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33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7.xml"/>
  <Override ContentType="application/vnd.openxmlformats-officedocument.spreadsheetml.worksheet+xml" PartName="/xl/worksheets/sheet28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36.xml"/>
  <Override ContentType="application/vnd.openxmlformats-officedocument.spreadsheetml.worksheet+xml" PartName="/xl/worksheets/sheet46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9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17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52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21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6.xml"/>
  <Override ContentType="application/vnd.openxmlformats-officedocument.drawing+xml" PartName="/xl/drawings/drawing40.xml"/>
  <Override ContentType="application/vnd.openxmlformats-officedocument.drawing+xml" PartName="/xl/drawings/drawing36.xml"/>
  <Override ContentType="application/vnd.openxmlformats-officedocument.drawing+xml" PartName="/xl/drawings/drawing23.xml"/>
  <Override ContentType="application/vnd.openxmlformats-officedocument.drawing+xml" PartName="/xl/drawings/drawing49.xml"/>
  <Override ContentType="application/vnd.openxmlformats-officedocument.drawing+xml" PartName="/xl/drawings/drawing38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11.xml"/>
  <Override ContentType="application/vnd.openxmlformats-officedocument.drawing+xml" PartName="/xl/drawings/drawing37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9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4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44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35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33.xml"/>
  <Override ContentType="application/vnd.openxmlformats-officedocument.drawing+xml" PartName="/xl/drawings/drawing46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29.xml"/>
  <Override ContentType="application/vnd.openxmlformats-officedocument.drawing+xml" PartName="/xl/drawings/drawing50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OC" sheetId="1" r:id="rId4"/>
    <sheet state="visible" name="Master_Mapping_Sheet" sheetId="2" r:id="rId5"/>
    <sheet state="visible" name="Pop_Census_2023" sheetId="3" r:id="rId6"/>
    <sheet state="visible" name="Grid_Region_Mapping" sheetId="4" r:id="rId7"/>
    <sheet state="visible" name="County_Data_CZones" sheetId="5" r:id="rId8"/>
    <sheet state="visible" name="Res_AllFuels_SEDS_2022_TBtus" sheetId="6" r:id="rId9"/>
    <sheet state="visible" name="Com_AllFuels_SEDS_2022_TBtus" sheetId="7" r:id="rId10"/>
    <sheet state="visible" name="Res_SF_Homes_RECS_2020" sheetId="8" r:id="rId11"/>
    <sheet state="visible" name="EMM_State_Elec_Map_NEMS_SEDS" sheetId="9" r:id="rId12"/>
    <sheet state="visible" name="State_Fossil_All_Mapping_SEDS" sheetId="10" r:id="rId13"/>
    <sheet state="visible" name="Com_Cdiv_EMM_Elec_RowSums" sheetId="11" r:id="rId14"/>
    <sheet state="visible" name="Com_Cdiv_EMM_Elec_ColSums" sheetId="12" r:id="rId15"/>
    <sheet state="visible" name="Res_Cdiv_EMM_Elec_RowSums" sheetId="13" r:id="rId16"/>
    <sheet state="visible" name="Res_Cdiv_EMM_Elec_ColSums" sheetId="14" r:id="rId17"/>
    <sheet state="visible" name="NElec_Cdiv_EMM_RowSums" sheetId="15" r:id="rId18"/>
    <sheet state="visible" name="NElec_Cdiv_EMM_ColSums" sheetId="16" r:id="rId19"/>
    <sheet state="visible" name="IECC_AIA_ColSums" sheetId="17" r:id="rId20"/>
    <sheet state="visible" name="BA_AIA_ColSums" sheetId="18" r:id="rId21"/>
    <sheet state="visible" name="AIA_Cdiv_ColSums" sheetId="19" r:id="rId22"/>
    <sheet state="visible" name="AIA_State_RowSums" sheetId="20" r:id="rId23"/>
    <sheet state="visible" name="AIA_State_ColSums" sheetId="21" r:id="rId24"/>
    <sheet state="visible" name="IECC_State_ColSums" sheetId="22" r:id="rId25"/>
    <sheet state="visible" name="ASH_State_ColSums" sheetId="23" r:id="rId26"/>
    <sheet state="visible" name="BA_State_ColSums" sheetId="24" r:id="rId27"/>
    <sheet state="visible" name="AIA_EMM_ColSums" sheetId="25" r:id="rId28"/>
    <sheet state="visible" name="IECC_EMM_ColSums" sheetId="26" r:id="rId29"/>
    <sheet state="visible" name="ASH_EMM_ColSums" sheetId="27" r:id="rId30"/>
    <sheet state="visible" name="BA_EMM_ColSums" sheetId="28" r:id="rId31"/>
    <sheet state="visible" name="Res_Homes_RowSums" sheetId="29" r:id="rId32"/>
    <sheet state="visible" name="Res_SF_RowSums" sheetId="30" r:id="rId33"/>
    <sheet state="visible" name="Res_Cdiv_State_AllFuels_RowSums" sheetId="31" r:id="rId34"/>
    <sheet state="visible" name="Com_Cdiv_State_AllFuels_RowSums" sheetId="32" r:id="rId35"/>
    <sheet state="visible" name="Res_Cdiv_State_Elec_RowSums" sheetId="33" r:id="rId36"/>
    <sheet state="visible" name="Com_Cdiv_State_Elec_RowSums" sheetId="34" r:id="rId37"/>
    <sheet state="visible" name="Res_Cdiv_State_NG_RowSums" sheetId="35" r:id="rId38"/>
    <sheet state="visible" name="Com_Cdiv_State_NG_RowSums" sheetId="36" r:id="rId39"/>
    <sheet state="visible" name="Res_Cdiv_State_Dist_RowSums" sheetId="37" r:id="rId40"/>
    <sheet state="visible" name="Com_Cdiv_State_Dist_RowSums" sheetId="38" r:id="rId41"/>
    <sheet state="visible" name="Res_Cdiv_State_Other_RowSums" sheetId="39" r:id="rId42"/>
    <sheet state="visible" name="Com_Cdiv_State_Other_RowSums" sheetId="40" r:id="rId43"/>
    <sheet state="visible" name="Res_Cdiv_EMM_NG_RowSums" sheetId="41" r:id="rId44"/>
    <sheet state="visible" name="Res_Cdiv_EMM_Dist_RowSums" sheetId="42" r:id="rId45"/>
    <sheet state="visible" name="Res_Cdiv_EMM_Other_RowSums" sheetId="43" r:id="rId46"/>
    <sheet state="visible" name="Com_Cdiv_EMM_NG_RowSums" sheetId="44" r:id="rId47"/>
    <sheet state="visible" name="Com_Cdiv_EMM_Dist_RowSums" sheetId="45" r:id="rId48"/>
    <sheet state="visible" name="Com_Cdiv_EMM_Other_RowSums" sheetId="46" r:id="rId49"/>
    <sheet state="visible" name="State_EMM_RowSums" sheetId="47" r:id="rId50"/>
    <sheet state="visible" name="EMM_State_RowSums" sheetId="48" r:id="rId51"/>
    <sheet state="visible" name="State_EMM_ColSums" sheetId="49" r:id="rId52"/>
    <sheet state="visible" name="EMM_State_ColSums" sheetId="50" r:id="rId53"/>
    <sheet state="visible" name="State_EMM-EMF37" sheetId="51" r:id="rId54"/>
    <sheet state="visible" name="EMM_National" sheetId="52" r:id="rId55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1">
      <text>
        <t xml:space="preserve">Note: based on sales, not total elec
	-Jared Langevin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K1">
      <text>
        <t xml:space="preserve">Source needs to be confirmed.
	-Jared Langevin</t>
      </text>
    </comment>
    <comment authorId="0" ref="L1">
      <text>
        <t xml:space="preserve">Source needs to be confirmed.
	-Jared Langevin</t>
      </text>
    </comment>
    <comment authorId="0" ref="E94">
      <text>
        <t xml:space="preserve">Carried forward from previous
	-Jared Langevin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R2">
      <text>
        <t xml:space="preserve">Accounts for "generation for own use" in electricity total
	-Jared Langevin</t>
      </text>
    </comment>
    <comment authorId="0" ref="Q2">
      <text>
        <t xml:space="preserve">Adds all "other" fuels.
	-Jared Langevin</t>
      </text>
    </comment>
  </commentList>
</comments>
</file>

<file path=xl/sharedStrings.xml><?xml version="1.0" encoding="utf-8"?>
<sst xmlns="http://schemas.openxmlformats.org/spreadsheetml/2006/main" count="47573" uniqueCount="4280">
  <si>
    <t>Table of Contents</t>
  </si>
  <si>
    <t>Geography Conversion</t>
  </si>
  <si>
    <t>Sheet</t>
  </si>
  <si>
    <t>Building Class</t>
  </si>
  <si>
    <t>Fuel Type</t>
  </si>
  <si>
    <t>From</t>
  </si>
  <si>
    <t>To</t>
  </si>
  <si>
    <t>Source</t>
  </si>
  <si>
    <t>Notes</t>
  </si>
  <si>
    <t>Master_Mapping_Sheet</t>
  </si>
  <si>
    <t>All</t>
  </si>
  <si>
    <t>See sources for supporting sheets in subsequent rows</t>
  </si>
  <si>
    <t>Missing original source for AIA and IECC tags</t>
  </si>
  <si>
    <t>Pop_Census_2023</t>
  </si>
  <si>
    <t>Based on this: https://www2.census.gov/programs-surveys/popest/datasets/2020-2023/counties/asrh/cc-est2023-agesex-all.csv; actual data pulled from USDA: https://www.ers.usda.gov/webdocs/DataFiles/48747/PopulationEstimates.xlsx?v=9655.3</t>
  </si>
  <si>
    <t>Grid_Region_Mapping</t>
  </si>
  <si>
    <t>Need supporting source</t>
  </si>
  <si>
    <t>County_Data_CZones</t>
  </si>
  <si>
    <t>Initial data from here: https://gist.github.com/philngo/d3e251040569dba67942</t>
  </si>
  <si>
    <t>Res_AllFuels_SEDS_2022_TBtus</t>
  </si>
  <si>
    <t>Residential</t>
  </si>
  <si>
    <t>https://www.eia.gov/state/seds/data.php?incfile=/state/seds/sep_sum/html/sum_btu_res.html&amp;sid=US</t>
  </si>
  <si>
    <t>Com_AllFuels_SEDS_2022_TBtus</t>
  </si>
  <si>
    <t>https://www.eia.gov/state/seds/data.php?incfile=/state/seds/sep_sum/html/sum_btu_com.html&amp;sid=US</t>
  </si>
  <si>
    <t>Res_SF_Homes_RECS_2020</t>
  </si>
  <si>
    <t>https://www.eia.gov/consumption/residential/data/2020/state/xls/State%20Square%20Footage.xlsx</t>
  </si>
  <si>
    <t>EMM_State_Elec_Mapping_NEMS_SEDS</t>
  </si>
  <si>
    <t>Electricity</t>
  </si>
  <si>
    <t>EMM sales data pasted in from tables provided by Laura Martin @ EIA</t>
  </si>
  <si>
    <t>State_Fossil_Mapping_SEDS</t>
  </si>
  <si>
    <t>All Fossil</t>
  </si>
  <si>
    <t>See "Res_AllFuels_SEDS_..." and "Com_AllFuels_SEDS_..."</t>
  </si>
  <si>
    <t>Com_Cdiv_EMM_Elec_ColSums</t>
  </si>
  <si>
    <t>Commercial</t>
  </si>
  <si>
    <t>Census Division</t>
  </si>
  <si>
    <t>EMM</t>
  </si>
  <si>
    <t>Com_Cdiv_EMM_Elec_RowSums</t>
  </si>
  <si>
    <t>Res_Cdiv_EMM_Elec_RowSums</t>
  </si>
  <si>
    <t>Res_Cdiv_EMM_Elec_ColSums</t>
  </si>
  <si>
    <t>NElec_Cdiv_EMM_RowSums</t>
  </si>
  <si>
    <t>NElec_Cdiv_EMM_ColSums</t>
  </si>
  <si>
    <t>IECC_AIA_ColSums</t>
  </si>
  <si>
    <t>IECC CZ</t>
  </si>
  <si>
    <t>AIA CZ</t>
  </si>
  <si>
    <t>BA_AIA_ColSums</t>
  </si>
  <si>
    <t>Building America CZ</t>
  </si>
  <si>
    <t>AIA_Cdiv_ColSums</t>
  </si>
  <si>
    <t>AIA_State_RowSums</t>
  </si>
  <si>
    <t>State</t>
  </si>
  <si>
    <t>AIA_State_ColSums</t>
  </si>
  <si>
    <t>IECC_State_ColSums</t>
  </si>
  <si>
    <t>ASH_State_ColSums</t>
  </si>
  <si>
    <t>ASHRAE CZ</t>
  </si>
  <si>
    <t>BA_State_ColSums</t>
  </si>
  <si>
    <t>AIA_EMM_ColSums</t>
  </si>
  <si>
    <t>IECC_EMM_ColSums</t>
  </si>
  <si>
    <t>ASH_EMM_ColSums</t>
  </si>
  <si>
    <t>BA_EMM_ColSums</t>
  </si>
  <si>
    <t>Res_SF_Homes</t>
  </si>
  <si>
    <t>Res_Cdiv_State_AllFuels_RowSums</t>
  </si>
  <si>
    <t>Com_Cdiv_State_AllFuels_RowSums</t>
  </si>
  <si>
    <t>Res_Cdiv_State_Elec_RowSums</t>
  </si>
  <si>
    <t>Com_Cdiv_State_Elec_RowSums</t>
  </si>
  <si>
    <t>Res_Cdiv_State_NG_RowSums</t>
  </si>
  <si>
    <t>Natural Gas</t>
  </si>
  <si>
    <t>Com_Cdiv_State_NG_RowSums</t>
  </si>
  <si>
    <t>Res_Cdiv_State_Dist_RowSums</t>
  </si>
  <si>
    <t>Fuel Oil</t>
  </si>
  <si>
    <t>Com_Cdiv_State_Dist_RowSums</t>
  </si>
  <si>
    <t>Res_Cdiv_State_Other_RowSums</t>
  </si>
  <si>
    <t>Other Fuel</t>
  </si>
  <si>
    <t>Com_Cdiv_State_Other_RowSums</t>
  </si>
  <si>
    <t>Res_Cdiv_EMM_NG_RowSums</t>
  </si>
  <si>
    <t>Res_Cdiv_EMM_Dist_RowSums</t>
  </si>
  <si>
    <t>Res_Cdiv_EMM_Other_RowSums</t>
  </si>
  <si>
    <t>Com_Cdiv_EMM_NG_RowSums</t>
  </si>
  <si>
    <t>Com_Cdiv_EMM_Dist_RowSums</t>
  </si>
  <si>
    <t>Com_Cdiv_EMM_Other_RowSums</t>
  </si>
  <si>
    <t>State_EMM_RowSums</t>
  </si>
  <si>
    <t>EMM_State_RowSums</t>
  </si>
  <si>
    <t>State_EMM_ColSums</t>
  </si>
  <si>
    <t>EMM_State_ColSums</t>
  </si>
  <si>
    <t>State_EMM-EMF37</t>
  </si>
  <si>
    <t>EMM_National</t>
  </si>
  <si>
    <t>IECC = climate zones w/o A/B/C distinction</t>
  </si>
  <si>
    <t>ASHRAE = climate zones w/ A/B/C distinction</t>
  </si>
  <si>
    <t>county_name</t>
  </si>
  <si>
    <t>state_name</t>
  </si>
  <si>
    <t>state_abbrev</t>
  </si>
  <si>
    <t>FIPS_code</t>
  </si>
  <si>
    <t>Population</t>
  </si>
  <si>
    <t>COUNTYNS</t>
  </si>
  <si>
    <t>cambium_ba</t>
  </si>
  <si>
    <t>EMM_2020</t>
  </si>
  <si>
    <t>CDIV</t>
  </si>
  <si>
    <t>CDIV_high</t>
  </si>
  <si>
    <t>AIA</t>
  </si>
  <si>
    <t>ASHRAE</t>
  </si>
  <si>
    <t>IECC</t>
  </si>
  <si>
    <t>BA Climate Zone</t>
  </si>
  <si>
    <t>Autauga</t>
  </si>
  <si>
    <t>Alabama</t>
  </si>
  <si>
    <t>3A</t>
  </si>
  <si>
    <t>Baldwin</t>
  </si>
  <si>
    <t>2A</t>
  </si>
  <si>
    <t>Barbour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</si>
  <si>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</si>
  <si>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</si>
  <si>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</si>
  <si>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</si>
  <si>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</si>
  <si>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</si>
  <si>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</si>
  <si>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</si>
  <si>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</si>
  <si>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</si>
  <si>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</si>
  <si>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</si>
  <si>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</si>
  <si>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</si>
  <si>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</si>
  <si>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</si>
  <si>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</si>
  <si>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</si>
  <si>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</si>
  <si>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</si>
  <si>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</si>
  <si>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</si>
  <si>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</si>
  <si>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</si>
  <si>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</si>
  <si>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</si>
  <si>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</si>
  <si>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</si>
  <si>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</si>
  <si>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</si>
  <si>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</si>
  <si>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</si>
  <si>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</si>
  <si>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</si>
  <si>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</si>
  <si>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</si>
  <si>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</si>
  <si>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</si>
  <si>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</si>
  <si>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</si>
  <si>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</si>
  <si>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</si>
  <si>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</si>
  <si>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</si>
  <si>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</si>
  <si>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</si>
  <si>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</si>
  <si>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</si>
  <si>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</si>
  <si>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</si>
  <si>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</si>
  <si>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</si>
  <si>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</si>
  <si>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</si>
  <si>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St. Clair</t>
  </si>
  <si>
    <t>Shelby</t>
  </si>
  <si>
    <t>Sumter</t>
  </si>
  <si>
    <t>Talladega</t>
  </si>
  <si>
    <t>Tallapoosa</t>
  </si>
  <si>
    <t>Tuscaloosa</t>
  </si>
  <si>
    <t>Walker</t>
  </si>
  <si>
    <t>Washington</t>
  </si>
  <si>
    <t>Wilcox</t>
  </si>
  <si>
    <t>Winston</t>
  </si>
  <si>
    <t>Aleutians East Borough</t>
  </si>
  <si>
    <t>Alaska</t>
  </si>
  <si>
    <t>Aleutians West Census Area</t>
  </si>
  <si>
    <t>Anchorage Municipality</t>
  </si>
  <si>
    <t>Bethel Census Area</t>
  </si>
  <si>
    <t>Bristol Bay Borough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</si>
  <si>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</si>
  <si>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</si>
  <si>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</si>
  <si>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</si>
  <si>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</si>
  <si>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</si>
  <si>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</si>
  <si>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</si>
  <si>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</si>
  <si>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Kusilvak Census Area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</si>
  <si>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</si>
  <si>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</si>
  <si>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</si>
  <si>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</si>
  <si>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</si>
  <si>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Borough</t>
  </si>
  <si>
    <t>Prince of Wales-Hyder Census Area</t>
  </si>
  <si>
    <t>Sitka City and Borough</t>
  </si>
  <si>
    <t>Skagway Municipality</t>
  </si>
  <si>
    <t>Southeast Fairbanks Census Area</t>
  </si>
  <si>
    <t>Valdez-Cordova Census Area</t>
  </si>
  <si>
    <t>Wrangell City and Borough</t>
  </si>
  <si>
    <t>Yakutat City and Borough</t>
  </si>
  <si>
    <t>Yukon-Koyukuk Census Area</t>
  </si>
  <si>
    <t>Apache</t>
  </si>
  <si>
    <t>Arizona</t>
  </si>
  <si>
    <t>5B</t>
  </si>
  <si>
    <t>Cochise</t>
  </si>
  <si>
    <t>3B</t>
  </si>
  <si>
    <t>Coconino</t>
  </si>
  <si>
    <t>Gila</t>
  </si>
  <si>
    <t>4B</t>
  </si>
  <si>
    <t>Graham</t>
  </si>
  <si>
    <t>Greenlee</t>
  </si>
  <si>
    <t>La Paz</t>
  </si>
  <si>
    <t>2B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</si>
  <si>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</si>
  <si>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</si>
  <si>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</si>
  <si>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</si>
  <si>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</si>
  <si>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</si>
  <si>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</si>
  <si>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</si>
  <si>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Arkansas</t>
  </si>
  <si>
    <t>Ashley</t>
  </si>
  <si>
    <t>Baxter</t>
  </si>
  <si>
    <t>4A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</si>
  <si>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</si>
  <si>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</si>
  <si>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</si>
  <si>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</si>
  <si>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</si>
  <si>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</si>
  <si>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</si>
  <si>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</si>
  <si>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</si>
  <si>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</si>
  <si>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</si>
  <si>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</si>
  <si>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</si>
  <si>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</si>
  <si>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</si>
  <si>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</si>
  <si>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</si>
  <si>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</si>
  <si>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</si>
  <si>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</si>
  <si>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</si>
  <si>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</si>
  <si>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</si>
  <si>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</si>
  <si>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Johnson</t>
  </si>
  <si>
    <t>Lafayette</t>
  </si>
  <si>
    <t>Lincoln</t>
  </si>
  <si>
    <t>Little River</t>
  </si>
  <si>
    <t>Logan</t>
  </si>
  <si>
    <t>Lonoke</t>
  </si>
  <si>
    <t>Miller</t>
  </si>
  <si>
    <t>Mississippi</t>
  </si>
  <si>
    <t>Nevada</t>
  </si>
  <si>
    <t>Newton</t>
  </si>
  <si>
    <t>Ouachita</t>
  </si>
  <si>
    <t>Phillips</t>
  </si>
  <si>
    <t>Poinsett</t>
  </si>
  <si>
    <t>Polk</t>
  </si>
  <si>
    <t>Pope</t>
  </si>
  <si>
    <t>Prairie</t>
  </si>
  <si>
    <t>Pulaski</t>
  </si>
  <si>
    <t>St. Francis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</si>
  <si>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</si>
  <si>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</si>
  <si>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</si>
  <si>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</si>
  <si>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</si>
  <si>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</si>
  <si>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</si>
  <si>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</si>
  <si>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Van Buren</t>
  </si>
  <si>
    <t>White</t>
  </si>
  <si>
    <t>Woodruff</t>
  </si>
  <si>
    <t>Yell</t>
  </si>
  <si>
    <t>Alameda</t>
  </si>
  <si>
    <t>California</t>
  </si>
  <si>
    <t>3C</t>
  </si>
  <si>
    <t>Alpine</t>
  </si>
  <si>
    <t>6B</t>
  </si>
  <si>
    <t>Amador</t>
  </si>
  <si>
    <t>Butte</t>
  </si>
  <si>
    <t>Calaveras</t>
  </si>
  <si>
    <t>Colusa</t>
  </si>
  <si>
    <t>Contra Costa</t>
  </si>
  <si>
    <t>Del Norte</t>
  </si>
  <si>
    <t>4C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</si>
  <si>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</si>
  <si>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</si>
  <si>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</si>
  <si>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</si>
  <si>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</si>
  <si>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</si>
  <si>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</si>
  <si>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</si>
  <si>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</si>
  <si>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</si>
  <si>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</si>
  <si>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</si>
  <si>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</si>
  <si>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</si>
  <si>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</si>
  <si>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</si>
  <si>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</si>
  <si>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</si>
  <si>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</si>
  <si>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</si>
  <si>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</si>
  <si>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</si>
  <si>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</si>
  <si>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</si>
  <si>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</si>
  <si>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</si>
  <si>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</si>
  <si>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</si>
  <si>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</si>
  <si>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</si>
  <si>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</si>
  <si>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</si>
  <si>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</si>
  <si>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</si>
  <si>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</si>
  <si>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</si>
  <si>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</si>
  <si>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</si>
  <si>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</si>
  <si>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</si>
  <si>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</si>
  <si>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</si>
  <si>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</si>
  <si>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</si>
  <si>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</si>
  <si>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</si>
  <si>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</si>
  <si>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</si>
  <si>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Adams</t>
  </si>
  <si>
    <t>Colorado</t>
  </si>
  <si>
    <t>Alamosa</t>
  </si>
  <si>
    <t>Arapahoe</t>
  </si>
  <si>
    <t>Archuleta</t>
  </si>
  <si>
    <t>Baca</t>
  </si>
  <si>
    <t>Bent</t>
  </si>
  <si>
    <t>Boulder</t>
  </si>
  <si>
    <t>Broomfield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</si>
  <si>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</si>
  <si>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</si>
  <si>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</si>
  <si>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</si>
  <si>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</si>
  <si>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</si>
  <si>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</si>
  <si>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</si>
  <si>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Denver</t>
  </si>
  <si>
    <t>Dolores</t>
  </si>
  <si>
    <t>Douglas</t>
  </si>
  <si>
    <t>Eagle</t>
  </si>
  <si>
    <t>Elbert</t>
  </si>
  <si>
    <t>El Paso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</si>
  <si>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</si>
  <si>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</si>
  <si>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</si>
  <si>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</si>
  <si>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</si>
  <si>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</si>
  <si>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</si>
  <si>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</si>
  <si>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</si>
  <si>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</si>
  <si>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</si>
  <si>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</si>
  <si>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</si>
  <si>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</si>
  <si>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</si>
  <si>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</si>
  <si>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</si>
  <si>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</si>
  <si>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</si>
  <si>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</si>
  <si>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</si>
  <si>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</si>
  <si>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</si>
  <si>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</si>
  <si>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</si>
  <si>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</si>
  <si>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</si>
  <si>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</si>
  <si>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</si>
  <si>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</si>
  <si>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</si>
  <si>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</si>
  <si>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</si>
  <si>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Fairfield</t>
  </si>
  <si>
    <t>Connecticut</t>
  </si>
  <si>
    <t>5A</t>
  </si>
  <si>
    <t>Hartford</t>
  </si>
  <si>
    <t>Litchfield</t>
  </si>
  <si>
    <t>Middlesex</t>
  </si>
  <si>
    <t>New Haven</t>
  </si>
  <si>
    <t>New London</t>
  </si>
  <si>
    <t>Tolland</t>
  </si>
  <si>
    <t>Windham</t>
  </si>
  <si>
    <t>Kent</t>
  </si>
  <si>
    <t>Delaware</t>
  </si>
  <si>
    <t>New Castle</t>
  </si>
  <si>
    <t>Sussex</t>
  </si>
  <si>
    <t>District of Columbia</t>
  </si>
  <si>
    <t>Alachua</t>
  </si>
  <si>
    <t>Florida</t>
  </si>
  <si>
    <t>Baker</t>
  </si>
  <si>
    <t>Bay</t>
  </si>
  <si>
    <t>Bradford</t>
  </si>
  <si>
    <t>Brevard</t>
  </si>
  <si>
    <t>Broward</t>
  </si>
  <si>
    <t>1A</t>
  </si>
  <si>
    <t>Charlotte</t>
  </si>
  <si>
    <t>Citrus</t>
  </si>
  <si>
    <t>Collier</t>
  </si>
  <si>
    <t>DeSoto</t>
  </si>
  <si>
    <t>Dixie</t>
  </si>
  <si>
    <t>Duval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</si>
  <si>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</si>
  <si>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</si>
  <si>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</si>
  <si>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</si>
  <si>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</si>
  <si>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</si>
  <si>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</si>
  <si>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</si>
  <si>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</si>
  <si>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</si>
  <si>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</si>
  <si>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</si>
  <si>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</si>
  <si>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Leon</t>
  </si>
  <si>
    <t>Levy</t>
  </si>
  <si>
    <t>Liberty</t>
  </si>
  <si>
    <t>Manatee</t>
  </si>
  <si>
    <t>Martin</t>
  </si>
  <si>
    <t>Miami-Dade</t>
  </si>
  <si>
    <t>Nassau</t>
  </si>
  <si>
    <t>Okaloosa</t>
  </si>
  <si>
    <t>Okeechobee</t>
  </si>
  <si>
    <t>Osceola</t>
  </si>
  <si>
    <t>Palm Beach</t>
  </si>
  <si>
    <t>Pasco</t>
  </si>
  <si>
    <t>Pinellas</t>
  </si>
  <si>
    <t>Putnam</t>
  </si>
  <si>
    <t>St. Johns</t>
  </si>
  <si>
    <t>St. Lucie</t>
  </si>
  <si>
    <t>Santa Rosa</t>
  </si>
  <si>
    <t>Sarasota</t>
  </si>
  <si>
    <t>Seminole</t>
  </si>
  <si>
    <t>Suwannee</t>
  </si>
  <si>
    <t>Taylor</t>
  </si>
  <si>
    <t>Volusia</t>
  </si>
  <si>
    <t>Wakulla</t>
  </si>
  <si>
    <t>Walton</t>
  </si>
  <si>
    <t>Appling</t>
  </si>
  <si>
    <t>Georgia</t>
  </si>
  <si>
    <t>Atkinson</t>
  </si>
  <si>
    <t>Bacon</t>
  </si>
  <si>
    <t>Banks</t>
  </si>
  <si>
    <t>Barrow</t>
  </si>
  <si>
    <t>Bartow</t>
  </si>
  <si>
    <t>Ben Hill</t>
  </si>
  <si>
    <t>Berrien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</si>
  <si>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</si>
  <si>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</si>
  <si>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</si>
  <si>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</si>
  <si>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</si>
  <si>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</si>
  <si>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</si>
  <si>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</si>
  <si>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</si>
  <si>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Catoosa</t>
  </si>
  <si>
    <t>Charlton</t>
  </si>
  <si>
    <t>Chatham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</si>
  <si>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</si>
  <si>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</si>
  <si>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</si>
  <si>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</si>
  <si>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</si>
  <si>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</si>
  <si>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</si>
  <si>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</si>
  <si>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</si>
  <si>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Dade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</si>
  <si>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</si>
  <si>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</si>
  <si>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</si>
  <si>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</si>
  <si>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</si>
  <si>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</si>
  <si>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</si>
  <si>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</si>
  <si>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</si>
  <si>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</si>
  <si>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</si>
  <si>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</si>
  <si>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</si>
  <si>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</si>
  <si>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</si>
  <si>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</si>
  <si>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</si>
  <si>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</si>
  <si>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</si>
  <si>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</si>
  <si>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</si>
  <si>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</si>
  <si>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</si>
  <si>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</si>
  <si>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</si>
  <si>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</si>
  <si>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</si>
  <si>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</si>
  <si>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Jeff Davis</t>
  </si>
  <si>
    <t>Jenkins</t>
  </si>
  <si>
    <t>Jones</t>
  </si>
  <si>
    <t>Lanier</t>
  </si>
  <si>
    <t>Laurens</t>
  </si>
  <si>
    <t>Long</t>
  </si>
  <si>
    <t>Lumpkin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</si>
  <si>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</si>
  <si>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</si>
  <si>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</si>
  <si>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</si>
  <si>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</si>
  <si>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</si>
  <si>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</si>
  <si>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</si>
  <si>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</si>
  <si>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</si>
  <si>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</si>
  <si>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</si>
  <si>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</si>
  <si>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</si>
  <si>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</si>
  <si>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</si>
  <si>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</si>
  <si>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</si>
  <si>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</si>
  <si>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</si>
  <si>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</si>
  <si>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</si>
  <si>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</si>
  <si>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</si>
  <si>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</si>
  <si>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</si>
  <si>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</si>
  <si>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</si>
  <si>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</si>
  <si>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</si>
  <si>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</si>
  <si>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</si>
  <si>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</si>
  <si>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</si>
  <si>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</si>
  <si>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Warren</t>
  </si>
  <si>
    <t>Wayne</t>
  </si>
  <si>
    <t>Webster</t>
  </si>
  <si>
    <t>Wheeler</t>
  </si>
  <si>
    <t>Whitfield</t>
  </si>
  <si>
    <t>Wilkes</t>
  </si>
  <si>
    <t>Wilkinson</t>
  </si>
  <si>
    <t>Worth</t>
  </si>
  <si>
    <t>Hawaii County</t>
  </si>
  <si>
    <t>Hawaii</t>
  </si>
  <si>
    <t>Honolulu County</t>
  </si>
  <si>
    <t>Kalawao County</t>
  </si>
  <si>
    <t>Kauai County</t>
  </si>
  <si>
    <t>Maui County</t>
  </si>
  <si>
    <t>Ada</t>
  </si>
  <si>
    <t>Idaho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</si>
  <si>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</si>
  <si>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</si>
  <si>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</si>
  <si>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</si>
  <si>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</si>
  <si>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</si>
  <si>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</si>
  <si>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</si>
  <si>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</si>
  <si>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</si>
  <si>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</si>
  <si>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</si>
  <si>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</si>
  <si>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</si>
  <si>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Gem</t>
  </si>
  <si>
    <t>Gooding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</si>
  <si>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</si>
  <si>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</si>
  <si>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</si>
  <si>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</si>
  <si>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</si>
  <si>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</si>
  <si>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</si>
  <si>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</si>
  <si>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</si>
  <si>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</si>
  <si>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</si>
  <si>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</si>
  <si>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Teton</t>
  </si>
  <si>
    <t>Twin Falls</t>
  </si>
  <si>
    <t>Valley</t>
  </si>
  <si>
    <t>Illinois</t>
  </si>
  <si>
    <t>Alexander</t>
  </si>
  <si>
    <t>Bond</t>
  </si>
  <si>
    <t>Brown</t>
  </si>
  <si>
    <t>Bureau</t>
  </si>
  <si>
    <t>Cass</t>
  </si>
  <si>
    <t>Champaign</t>
  </si>
  <si>
    <t>Christian</t>
  </si>
  <si>
    <t>Clinton</t>
  </si>
  <si>
    <t>Coles</t>
  </si>
  <si>
    <t>Cumberland</t>
  </si>
  <si>
    <t>De Witt</t>
  </si>
  <si>
    <t>DuPage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</si>
  <si>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</si>
  <si>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</si>
  <si>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</si>
  <si>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</si>
  <si>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</si>
  <si>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</si>
  <si>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</si>
  <si>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</si>
  <si>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Jersey</t>
  </si>
  <si>
    <t>Jo Daviess</t>
  </si>
  <si>
    <t>Kane</t>
  </si>
  <si>
    <t>Kankakee</t>
  </si>
  <si>
    <t>Kendall</t>
  </si>
  <si>
    <t>Knox</t>
  </si>
  <si>
    <t>LaSalle</t>
  </si>
  <si>
    <t>Livingston</t>
  </si>
  <si>
    <t>McDonough</t>
  </si>
  <si>
    <t>McHenry</t>
  </si>
  <si>
    <t>McLean</t>
  </si>
  <si>
    <t>Macoupin</t>
  </si>
  <si>
    <t>Mason</t>
  </si>
  <si>
    <t>Massac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</si>
  <si>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</si>
  <si>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</si>
  <si>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</si>
  <si>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</si>
  <si>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</si>
  <si>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</si>
  <si>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</si>
  <si>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</si>
  <si>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</si>
  <si>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</si>
  <si>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</si>
  <si>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</si>
  <si>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</si>
  <si>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</si>
  <si>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</si>
  <si>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</si>
  <si>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</si>
  <si>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</si>
  <si>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</si>
  <si>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</si>
  <si>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Indiana</t>
  </si>
  <si>
    <t>Allen</t>
  </si>
  <si>
    <t>Bartholomew</t>
  </si>
  <si>
    <t>Blackford</t>
  </si>
  <si>
    <t>Daviess</t>
  </si>
  <si>
    <t>Dearborn</t>
  </si>
  <si>
    <t>Dubois</t>
  </si>
  <si>
    <t>Elkhart</t>
  </si>
  <si>
    <t>Fountain</t>
  </si>
  <si>
    <t>Gibson</t>
  </si>
  <si>
    <t>Harrison</t>
  </si>
  <si>
    <t>Hendricks</t>
  </si>
  <si>
    <t>Huntington</t>
  </si>
  <si>
    <t>Jay</t>
  </si>
  <si>
    <t>Jennings</t>
  </si>
  <si>
    <t>Kosciusko</t>
  </si>
  <si>
    <t>LaGrange</t>
  </si>
  <si>
    <t>LaPorte</t>
  </si>
  <si>
    <t>Miami</t>
  </si>
  <si>
    <t>Noble</t>
  </si>
  <si>
    <t>Ohio</t>
  </si>
  <si>
    <t>Owen</t>
  </si>
  <si>
    <t>Parke</t>
  </si>
  <si>
    <t>Porter</t>
  </si>
  <si>
    <t>Posey</t>
  </si>
  <si>
    <t>Ripley</t>
  </si>
  <si>
    <t>Rush</t>
  </si>
  <si>
    <t>St. Joseph</t>
  </si>
  <si>
    <t>Spencer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</si>
  <si>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</si>
  <si>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</si>
  <si>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</si>
  <si>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</si>
  <si>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</si>
  <si>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</si>
  <si>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</si>
  <si>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</si>
  <si>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</si>
  <si>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</si>
  <si>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</si>
  <si>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</si>
  <si>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Adair</t>
  </si>
  <si>
    <t>Iowa</t>
  </si>
  <si>
    <t>Allamakee</t>
  </si>
  <si>
    <t>6A</t>
  </si>
  <si>
    <t>Appanoose</t>
  </si>
  <si>
    <t>Audubon</t>
  </si>
  <si>
    <t>Black Hawk</t>
  </si>
  <si>
    <t>Bremer</t>
  </si>
  <si>
    <t>Buchanan</t>
  </si>
  <si>
    <t>Buena Vista</t>
  </si>
  <si>
    <t>Cedar</t>
  </si>
  <si>
    <t>Cerro Gordo</t>
  </si>
  <si>
    <t>Chickasaw</t>
  </si>
  <si>
    <t>Davis</t>
  </si>
  <si>
    <t>Des Moines</t>
  </si>
  <si>
    <t>Dickinson</t>
  </si>
  <si>
    <t>Dubuque</t>
  </si>
  <si>
    <t>Emmet</t>
  </si>
  <si>
    <t>Guthrie</t>
  </si>
  <si>
    <t>Ida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</si>
  <si>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</si>
  <si>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</si>
  <si>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</si>
  <si>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</si>
  <si>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</si>
  <si>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</si>
  <si>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</si>
  <si>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</si>
  <si>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</si>
  <si>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</si>
  <si>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O'Brien</t>
  </si>
  <si>
    <t>Page</t>
  </si>
  <si>
    <t>Palo Alto</t>
  </si>
  <si>
    <t>Plymouth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</si>
  <si>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</si>
  <si>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</si>
  <si>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</si>
  <si>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</si>
  <si>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</si>
  <si>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</si>
  <si>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</si>
  <si>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</si>
  <si>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Wapello</t>
  </si>
  <si>
    <t>Winneshiek</t>
  </si>
  <si>
    <t>Woodbury</t>
  </si>
  <si>
    <t>Wright</t>
  </si>
  <si>
    <t>Kansas</t>
  </si>
  <si>
    <t>Anderson</t>
  </si>
  <si>
    <t>Atchison</t>
  </si>
  <si>
    <t>Barber</t>
  </si>
  <si>
    <t>Barton</t>
  </si>
  <si>
    <t>Bourbon</t>
  </si>
  <si>
    <t>Chase</t>
  </si>
  <si>
    <t>Chautauqua</t>
  </si>
  <si>
    <t>Cloud</t>
  </si>
  <si>
    <t>Coffey</t>
  </si>
  <si>
    <t>Comanche</t>
  </si>
  <si>
    <t>Cowley</t>
  </si>
  <si>
    <t>Doniphan</t>
  </si>
  <si>
    <t>Elk</t>
  </si>
  <si>
    <t>Ellis</t>
  </si>
  <si>
    <t>Ellsworth</t>
  </si>
  <si>
    <t>Finney</t>
  </si>
  <si>
    <t>Geary</t>
  </si>
  <si>
    <t>Gove</t>
  </si>
  <si>
    <t>Gray</t>
  </si>
  <si>
    <t>Greeley</t>
  </si>
  <si>
    <t>Greenwood</t>
  </si>
  <si>
    <t>Harper</t>
  </si>
  <si>
    <t>Harvey</t>
  </si>
  <si>
    <t>Haskell</t>
  </si>
  <si>
    <t>Hodgeman</t>
  </si>
  <si>
    <t>Jewell</t>
  </si>
  <si>
    <t>Kearny</t>
  </si>
  <si>
    <t>Kingman</t>
  </si>
  <si>
    <t>Labette</t>
  </si>
  <si>
    <t>Lane</t>
  </si>
  <si>
    <t>Leavenworth</t>
  </si>
  <si>
    <t>McPherson</t>
  </si>
  <si>
    <t>Meade</t>
  </si>
  <si>
    <t>Morris</t>
  </si>
  <si>
    <t>Morton</t>
  </si>
  <si>
    <t>Nemaha</t>
  </si>
  <si>
    <t>Neosho</t>
  </si>
  <si>
    <t>Ness</t>
  </si>
  <si>
    <t>Norton</t>
  </si>
  <si>
    <t>Osage</t>
  </si>
  <si>
    <t>Osborne</t>
  </si>
  <si>
    <t>Ottawa</t>
  </si>
  <si>
    <t>Pawnee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</si>
  <si>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</si>
  <si>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</si>
  <si>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</si>
  <si>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</si>
  <si>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</si>
  <si>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</si>
  <si>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</si>
  <si>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</si>
  <si>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Seward</t>
  </si>
  <si>
    <t>Shawnee</t>
  </si>
  <si>
    <t>Sheridan</t>
  </si>
  <si>
    <t>Sherman</t>
  </si>
  <si>
    <t>Smith</t>
  </si>
  <si>
    <t>Stafford</t>
  </si>
  <si>
    <t>Stanton</t>
  </si>
  <si>
    <t>Stevens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</si>
  <si>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</si>
  <si>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</si>
  <si>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</si>
  <si>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</si>
  <si>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</si>
  <si>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</si>
  <si>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</si>
  <si>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</si>
  <si>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Kentucky</t>
  </si>
  <si>
    <t>Ballard</t>
  </si>
  <si>
    <t>Barren</t>
  </si>
  <si>
    <t>Bath</t>
  </si>
  <si>
    <t>Bell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</si>
  <si>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</si>
  <si>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</si>
  <si>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</si>
  <si>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</si>
  <si>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</si>
  <si>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</si>
  <si>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</si>
  <si>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</si>
  <si>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</si>
  <si>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</si>
  <si>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</si>
  <si>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</si>
  <si>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</si>
  <si>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</si>
  <si>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</si>
  <si>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</si>
  <si>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</si>
  <si>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</si>
  <si>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</si>
  <si>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</si>
  <si>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</si>
  <si>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</si>
  <si>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</si>
  <si>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</si>
  <si>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</si>
  <si>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</si>
  <si>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</si>
  <si>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</si>
  <si>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</si>
  <si>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</si>
  <si>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</si>
  <si>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McCracken</t>
  </si>
  <si>
    <t>McCreary</t>
  </si>
  <si>
    <t>Magoffin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</si>
  <si>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</si>
  <si>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</si>
  <si>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</si>
  <si>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</si>
  <si>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</si>
  <si>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</si>
  <si>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</si>
  <si>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</si>
  <si>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</si>
  <si>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</si>
  <si>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</si>
  <si>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</si>
  <si>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</si>
  <si>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</si>
  <si>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</si>
  <si>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</si>
  <si>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</si>
  <si>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Acadia</t>
  </si>
  <si>
    <t>Louisiana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</si>
  <si>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</si>
  <si>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</si>
  <si>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</si>
  <si>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</si>
  <si>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</si>
  <si>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</si>
  <si>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</si>
  <si>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</si>
  <si>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Cameron</t>
  </si>
  <si>
    <t>Catahoula</t>
  </si>
  <si>
    <t>Claiborne</t>
  </si>
  <si>
    <t>Concordia</t>
  </si>
  <si>
    <t>De Soto</t>
  </si>
  <si>
    <t>East Baton Rouge</t>
  </si>
  <si>
    <t>East Carroll</t>
  </si>
  <si>
    <t>East Feliciana</t>
  </si>
  <si>
    <t>Evangeline</t>
  </si>
  <si>
    <t>Iberia</t>
  </si>
  <si>
    <t>Iberville</t>
  </si>
  <si>
    <t>Jefferson Davis</t>
  </si>
  <si>
    <t>Lafourche</t>
  </si>
  <si>
    <t>Morehouse</t>
  </si>
  <si>
    <t>Natchitoches</t>
  </si>
  <si>
    <t>Orleans</t>
  </si>
  <si>
    <t>Plaquemines</t>
  </si>
  <si>
    <t>Pointe Coupee</t>
  </si>
  <si>
    <t>Rapides</t>
  </si>
  <si>
    <t>Red River</t>
  </si>
  <si>
    <t>Sabine</t>
  </si>
  <si>
    <t>St. Bernard</t>
  </si>
  <si>
    <t>St. Charles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</si>
  <si>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</si>
  <si>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</si>
  <si>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</si>
  <si>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</si>
  <si>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</si>
  <si>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</si>
  <si>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</si>
  <si>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</si>
  <si>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</si>
  <si>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</si>
  <si>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Vernon</t>
  </si>
  <si>
    <t>West Baton Rouge</t>
  </si>
  <si>
    <t>West Carroll</t>
  </si>
  <si>
    <t>West Feliciana</t>
  </si>
  <si>
    <t>Winn</t>
  </si>
  <si>
    <t>Androscoggin</t>
  </si>
  <si>
    <t>Maine</t>
  </si>
  <si>
    <t>Aroostook</t>
  </si>
  <si>
    <t>Kennebec</t>
  </si>
  <si>
    <t>Oxford</t>
  </si>
  <si>
    <t>Penobscot</t>
  </si>
  <si>
    <t>Piscataquis</t>
  </si>
  <si>
    <t>Sagadahoc</t>
  </si>
  <si>
    <t>Somerset</t>
  </si>
  <si>
    <t>Waldo</t>
  </si>
  <si>
    <t>York</t>
  </si>
  <si>
    <t>Allegany</t>
  </si>
  <si>
    <t>Maryland</t>
  </si>
  <si>
    <t>Anne Arundel</t>
  </si>
  <si>
    <t>Baltimore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</si>
  <si>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</si>
  <si>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</si>
  <si>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</si>
  <si>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</si>
  <si>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</si>
  <si>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</si>
  <si>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</si>
  <si>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</si>
  <si>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George's</t>
  </si>
  <si>
    <t>Queen Anne's</t>
  </si>
  <si>
    <t>St. Mary's</t>
  </si>
  <si>
    <t>Wicomico</t>
  </si>
  <si>
    <t>Worcester</t>
  </si>
  <si>
    <t>Baltimore City</t>
  </si>
  <si>
    <t>Barnstable</t>
  </si>
  <si>
    <t>Massachusetts</t>
  </si>
  <si>
    <t>Berkshire</t>
  </si>
  <si>
    <t>Bristol</t>
  </si>
  <si>
    <t>Dukes</t>
  </si>
  <si>
    <t>Essex</t>
  </si>
  <si>
    <t>Hampden</t>
  </si>
  <si>
    <t>Hampshire</t>
  </si>
  <si>
    <t>Nantucket</t>
  </si>
  <si>
    <t>Norfolk</t>
  </si>
  <si>
    <t>Suffolk</t>
  </si>
  <si>
    <t>Alcona</t>
  </si>
  <si>
    <t>Michigan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</si>
  <si>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</si>
  <si>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</si>
  <si>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</si>
  <si>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</si>
  <si>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</si>
  <si>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</si>
  <si>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</si>
  <si>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</si>
  <si>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</si>
  <si>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</si>
  <si>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</si>
  <si>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</si>
  <si>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</si>
  <si>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</si>
  <si>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</si>
  <si>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</si>
  <si>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</si>
  <si>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</si>
  <si>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</si>
  <si>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</si>
  <si>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</si>
  <si>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</si>
  <si>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</si>
  <si>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</si>
  <si>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</si>
  <si>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</si>
  <si>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</si>
  <si>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</si>
  <si>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</si>
  <si>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</si>
  <si>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</si>
  <si>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</si>
  <si>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</si>
  <si>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</si>
  <si>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</si>
  <si>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</si>
  <si>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</si>
  <si>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</si>
  <si>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</si>
  <si>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</si>
  <si>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</si>
  <si>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</si>
  <si>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</si>
  <si>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</si>
  <si>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</si>
  <si>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</si>
  <si>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</si>
  <si>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</si>
  <si>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</si>
  <si>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</si>
  <si>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Oscoda</t>
  </si>
  <si>
    <t>Otsego</t>
  </si>
  <si>
    <t>Presque Isle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</si>
  <si>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</si>
  <si>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</si>
  <si>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</si>
  <si>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</si>
  <si>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</si>
  <si>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</si>
  <si>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</si>
  <si>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</si>
  <si>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Aitkin</t>
  </si>
  <si>
    <t>Minnesota</t>
  </si>
  <si>
    <t>Anoka</t>
  </si>
  <si>
    <t>Becker</t>
  </si>
  <si>
    <t>Beltrami</t>
  </si>
  <si>
    <t>Big Stone</t>
  </si>
  <si>
    <t>Blue Earth</t>
  </si>
  <si>
    <t>Carlton</t>
  </si>
  <si>
    <t>Carver</t>
  </si>
  <si>
    <t>Chisago</t>
  </si>
  <si>
    <t>Cottonwood</t>
  </si>
  <si>
    <t>Crow Wing</t>
  </si>
  <si>
    <t>Dakota</t>
  </si>
  <si>
    <t>Faribault</t>
  </si>
  <si>
    <t>Fillmore</t>
  </si>
  <si>
    <t>Freeborn</t>
  </si>
  <si>
    <t>Goodhue</t>
  </si>
  <si>
    <t>Hennepin</t>
  </si>
  <si>
    <t>Hubbard</t>
  </si>
  <si>
    <t>Isanti</t>
  </si>
  <si>
    <t>Itasca</t>
  </si>
  <si>
    <t>Kanabec</t>
  </si>
  <si>
    <t>Kandiyohi</t>
  </si>
  <si>
    <t>Kittson</t>
  </si>
  <si>
    <t>Koochiching</t>
  </si>
  <si>
    <t>Lac qui Parle</t>
  </si>
  <si>
    <t>Lake of the Woods</t>
  </si>
  <si>
    <t>Le Sueur</t>
  </si>
  <si>
    <t>McLeod</t>
  </si>
  <si>
    <t>Mahnomen</t>
  </si>
  <si>
    <t>Meeker</t>
  </si>
  <si>
    <t>Mille Lacs</t>
  </si>
  <si>
    <t>Morrison</t>
  </si>
  <si>
    <t>Mower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</si>
  <si>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</si>
  <si>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</si>
  <si>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</si>
  <si>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</si>
  <si>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</si>
  <si>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</si>
  <si>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</si>
  <si>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</si>
  <si>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Ramsey</t>
  </si>
  <si>
    <t>Red Lake</t>
  </si>
  <si>
    <t>Redwood</t>
  </si>
  <si>
    <t>Renville</t>
  </si>
  <si>
    <t>Rock</t>
  </si>
  <si>
    <t>Roseau</t>
  </si>
  <si>
    <t>St. Louis</t>
  </si>
  <si>
    <t>Sherburne</t>
  </si>
  <si>
    <t>Sibley</t>
  </si>
  <si>
    <t>Stearns</t>
  </si>
  <si>
    <t>Steele</t>
  </si>
  <si>
    <t>Swift</t>
  </si>
  <si>
    <t>Traverse</t>
  </si>
  <si>
    <t>Wabasha</t>
  </si>
  <si>
    <t>Wadena</t>
  </si>
  <si>
    <t>Waseca</t>
  </si>
  <si>
    <t>Watonwan</t>
  </si>
  <si>
    <t>Wilkin</t>
  </si>
  <si>
    <t>Winona</t>
  </si>
  <si>
    <t>Yellow Medicine</t>
  </si>
  <si>
    <t>Alcorn</t>
  </si>
  <si>
    <t>Amite</t>
  </si>
  <si>
    <t>Attala</t>
  </si>
  <si>
    <t>Bolivar</t>
  </si>
  <si>
    <t>Coahoma</t>
  </si>
  <si>
    <t>Copiah</t>
  </si>
  <si>
    <t>Forrest</t>
  </si>
  <si>
    <t>George</t>
  </si>
  <si>
    <t>Grenada</t>
  </si>
  <si>
    <t>Hinds</t>
  </si>
  <si>
    <t>Humphreys</t>
  </si>
  <si>
    <t>Issaquena</t>
  </si>
  <si>
    <t>Itawamba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</si>
  <si>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</si>
  <si>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</si>
  <si>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</si>
  <si>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</si>
  <si>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</si>
  <si>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</si>
  <si>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</si>
  <si>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</si>
  <si>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</si>
  <si>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</si>
  <si>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</si>
  <si>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</si>
  <si>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</si>
  <si>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</si>
  <si>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</si>
  <si>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</si>
  <si>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</si>
  <si>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</si>
  <si>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</si>
  <si>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</si>
  <si>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</si>
  <si>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Missouri</t>
  </si>
  <si>
    <t>Andrew</t>
  </si>
  <si>
    <t>Audrain</t>
  </si>
  <si>
    <t>Bates</t>
  </si>
  <si>
    <t>Bollinger</t>
  </si>
  <si>
    <t>Callaway</t>
  </si>
  <si>
    <t>Cape Girardeau</t>
  </si>
  <si>
    <t>Chariton</t>
  </si>
  <si>
    <t>Cole</t>
  </si>
  <si>
    <t>Cooper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</si>
  <si>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</si>
  <si>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</si>
  <si>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</si>
  <si>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</si>
  <si>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</si>
  <si>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</si>
  <si>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</si>
  <si>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</si>
  <si>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McDonald</t>
  </si>
  <si>
    <t>Maries</t>
  </si>
  <si>
    <t>Moniteau</t>
  </si>
  <si>
    <t>New Madrid</t>
  </si>
  <si>
    <t>Nodaway</t>
  </si>
  <si>
    <t>Oregon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</si>
  <si>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</si>
  <si>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</si>
  <si>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</si>
  <si>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</si>
  <si>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</si>
  <si>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</si>
  <si>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</si>
  <si>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</si>
  <si>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Ste. Genevieve</t>
  </si>
  <si>
    <t>St. Francois</t>
  </si>
  <si>
    <t>Scotland</t>
  </si>
  <si>
    <t>Shannon</t>
  </si>
  <si>
    <t>Stoddard</t>
  </si>
  <si>
    <t>Taney</t>
  </si>
  <si>
    <t>Texas</t>
  </si>
  <si>
    <t>St. Louis City</t>
  </si>
  <si>
    <t>Beaverhead</t>
  </si>
  <si>
    <t>Montana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</si>
  <si>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</si>
  <si>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</si>
  <si>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</si>
  <si>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</si>
  <si>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</si>
  <si>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</si>
  <si>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</si>
  <si>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</si>
  <si>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</si>
  <si>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</si>
  <si>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</si>
  <si>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</si>
  <si>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</si>
  <si>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</si>
  <si>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</si>
  <si>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</si>
  <si>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</si>
  <si>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</si>
  <si>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</si>
  <si>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</si>
  <si>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</si>
  <si>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</si>
  <si>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</si>
  <si>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</si>
  <si>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</si>
  <si>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</si>
  <si>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</si>
  <si>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</si>
  <si>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</si>
  <si>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</si>
  <si>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</si>
  <si>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</si>
  <si>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</si>
  <si>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</si>
  <si>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</si>
  <si>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Nebraska</t>
  </si>
  <si>
    <t>Antelope</t>
  </si>
  <si>
    <t>Arthur</t>
  </si>
  <si>
    <t>Banner</t>
  </si>
  <si>
    <t>Box Butte</t>
  </si>
  <si>
    <t>Buffalo</t>
  </si>
  <si>
    <t>Burt</t>
  </si>
  <si>
    <t>Cherry</t>
  </si>
  <si>
    <t>Colfax</t>
  </si>
  <si>
    <t>Cuming</t>
  </si>
  <si>
    <t>Dawes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</si>
  <si>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</si>
  <si>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</si>
  <si>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</si>
  <si>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</si>
  <si>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</si>
  <si>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</si>
  <si>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</si>
  <si>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</si>
  <si>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Hayes</t>
  </si>
  <si>
    <t>Hitchcock</t>
  </si>
  <si>
    <t>Hooker</t>
  </si>
  <si>
    <t>Kearney</t>
  </si>
  <si>
    <t>Keith</t>
  </si>
  <si>
    <t>Keya Paha</t>
  </si>
  <si>
    <t>Kimball</t>
  </si>
  <si>
    <t>Lancaster</t>
  </si>
  <si>
    <t>Loup</t>
  </si>
  <si>
    <t>Merrick</t>
  </si>
  <si>
    <t>Morrill</t>
  </si>
  <si>
    <t>Nance</t>
  </si>
  <si>
    <t>Nuckolls</t>
  </si>
  <si>
    <t>Otoe</t>
  </si>
  <si>
    <t>Perkins</t>
  </si>
  <si>
    <t>Red Willow</t>
  </si>
  <si>
    <t>Richardson</t>
  </si>
  <si>
    <t>Sarpy</t>
  </si>
  <si>
    <t>Saunders</t>
  </si>
  <si>
    <t>Scotts Bluff</t>
  </si>
  <si>
    <t>Thayer</t>
  </si>
  <si>
    <t>Thurston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</si>
  <si>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</si>
  <si>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</si>
  <si>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</si>
  <si>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</si>
  <si>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</si>
  <si>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</si>
  <si>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</si>
  <si>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</si>
  <si>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</si>
  <si>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</si>
  <si>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Carson City</t>
  </si>
  <si>
    <t>Belknap</t>
  </si>
  <si>
    <t>New Hampshire</t>
  </si>
  <si>
    <t>Cheshire</t>
  </si>
  <si>
    <t>Coos</t>
  </si>
  <si>
    <t>Grafton</t>
  </si>
  <si>
    <t>Merrimack</t>
  </si>
  <si>
    <t>Rockingham</t>
  </si>
  <si>
    <t>Strafford</t>
  </si>
  <si>
    <t>Atlantic</t>
  </si>
  <si>
    <t>New Jersey</t>
  </si>
  <si>
    <t>Bergen</t>
  </si>
  <si>
    <t>Burlington</t>
  </si>
  <si>
    <t>Cape May</t>
  </si>
  <si>
    <t>Gloucester</t>
  </si>
  <si>
    <t>Hudson</t>
  </si>
  <si>
    <t>Hunterdon</t>
  </si>
  <si>
    <t>Monmouth</t>
  </si>
  <si>
    <t>Ocean</t>
  </si>
  <si>
    <t>Passaic</t>
  </si>
  <si>
    <t>Salem</t>
  </si>
  <si>
    <t>Bernalillo</t>
  </si>
  <si>
    <t>New Mexico</t>
  </si>
  <si>
    <t>Catron</t>
  </si>
  <si>
    <t>Chaves</t>
  </si>
  <si>
    <t>Cibola</t>
  </si>
  <si>
    <t>Curry</t>
  </si>
  <si>
    <t>De Baca</t>
  </si>
  <si>
    <t>DoÒa Ana</t>
  </si>
  <si>
    <t>Eddy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</si>
  <si>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</si>
  <si>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</si>
  <si>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</si>
  <si>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</si>
  <si>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</si>
  <si>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</si>
  <si>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</si>
  <si>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</si>
  <si>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Quay</t>
  </si>
  <si>
    <t>Rio Arriba</t>
  </si>
  <si>
    <t>Sandoval</t>
  </si>
  <si>
    <t>Santa Fe</t>
  </si>
  <si>
    <t>Socorro</t>
  </si>
  <si>
    <t>Taos</t>
  </si>
  <si>
    <t>Torrance</t>
  </si>
  <si>
    <t>Valencia</t>
  </si>
  <si>
    <t>Albany</t>
  </si>
  <si>
    <t>New York</t>
  </si>
  <si>
    <t>Bronx</t>
  </si>
  <si>
    <t>Broome</t>
  </si>
  <si>
    <t>Cattaraugus</t>
  </si>
  <si>
    <t>Cayuga</t>
  </si>
  <si>
    <t>Chemung</t>
  </si>
  <si>
    <t>Chenango</t>
  </si>
  <si>
    <t>Cortland</t>
  </si>
  <si>
    <t>Dutchess</t>
  </si>
  <si>
    <t>Erie</t>
  </si>
  <si>
    <t>Herkimer</t>
  </si>
  <si>
    <t>Niagara</t>
  </si>
  <si>
    <t>Onondaga</t>
  </si>
  <si>
    <t>Ontario</t>
  </si>
  <si>
    <t>Oswego</t>
  </si>
  <si>
    <t>Queens</t>
  </si>
  <si>
    <t>Rensselaer</t>
  </si>
  <si>
    <t>Rockland</t>
  </si>
  <si>
    <t>St. Lawrence</t>
  </si>
  <si>
    <t>Saratoga</t>
  </si>
  <si>
    <t>Schenectady</t>
  </si>
  <si>
    <t>Schoharie</t>
  </si>
  <si>
    <t>Seneca</t>
  </si>
  <si>
    <t>Tioga</t>
  </si>
  <si>
    <t>Tompkins</t>
  </si>
  <si>
    <t>Ulster</t>
  </si>
  <si>
    <t>Westchester</t>
  </si>
  <si>
    <t>Wyoming</t>
  </si>
  <si>
    <t>Yates</t>
  </si>
  <si>
    <t>Alamance</t>
  </si>
  <si>
    <t>North Carolina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</si>
  <si>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</si>
  <si>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</si>
  <si>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</si>
  <si>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</si>
  <si>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</si>
  <si>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</si>
  <si>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</si>
  <si>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</si>
  <si>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</si>
  <si>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Cabarrus</t>
  </si>
  <si>
    <t>Carteret</t>
  </si>
  <si>
    <t>Caswell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</si>
  <si>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</si>
  <si>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</si>
  <si>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</si>
  <si>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</si>
  <si>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</si>
  <si>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</si>
  <si>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</si>
  <si>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</si>
  <si>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</si>
  <si>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</si>
  <si>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</si>
  <si>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Gaston</t>
  </si>
  <si>
    <t>Gates</t>
  </si>
  <si>
    <t>Granville</t>
  </si>
  <si>
    <t>Guilford</t>
  </si>
  <si>
    <t>Halifax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</si>
  <si>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</si>
  <si>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</si>
  <si>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</si>
  <si>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</si>
  <si>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</si>
  <si>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</si>
  <si>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</si>
  <si>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</si>
  <si>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</si>
  <si>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</si>
  <si>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</si>
  <si>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</si>
  <si>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</si>
  <si>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Northampton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</si>
  <si>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</si>
  <si>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</si>
  <si>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</si>
  <si>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</si>
  <si>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</si>
  <si>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</si>
  <si>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</si>
  <si>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</si>
  <si>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Rutherford</t>
  </si>
  <si>
    <t>Sampson</t>
  </si>
  <si>
    <t>Stanly</t>
  </si>
  <si>
    <t>Stokes</t>
  </si>
  <si>
    <t>Surry</t>
  </si>
  <si>
    <t>Swain</t>
  </si>
  <si>
    <t>Transylvania</t>
  </si>
  <si>
    <t>Tyrrell</t>
  </si>
  <si>
    <t>Vance</t>
  </si>
  <si>
    <t>Wake</t>
  </si>
  <si>
    <t>Watauga</t>
  </si>
  <si>
    <t>Yadkin</t>
  </si>
  <si>
    <t>Yancey</t>
  </si>
  <si>
    <t>North Dakota</t>
  </si>
  <si>
    <t>Barnes</t>
  </si>
  <si>
    <t>Benson</t>
  </si>
  <si>
    <t>Billings</t>
  </si>
  <si>
    <t>Bottineau</t>
  </si>
  <si>
    <t>Bowman</t>
  </si>
  <si>
    <t>Burleigh</t>
  </si>
  <si>
    <t>Cavalier</t>
  </si>
  <si>
    <t>Dickey</t>
  </si>
  <si>
    <t>Divide</t>
  </si>
  <si>
    <t>Dunn</t>
  </si>
  <si>
    <t>Emmons</t>
  </si>
  <si>
    <t>Foster</t>
  </si>
  <si>
    <t>Grand Forks</t>
  </si>
  <si>
    <t>Griggs</t>
  </si>
  <si>
    <t>Hettinger</t>
  </si>
  <si>
    <t>Kidder</t>
  </si>
  <si>
    <t>LaMoure</t>
  </si>
  <si>
    <t>McKenzie</t>
  </si>
  <si>
    <t>Mountrail</t>
  </si>
  <si>
    <t>Oliver</t>
  </si>
  <si>
    <t>Pembina</t>
  </si>
  <si>
    <t>Ransom</t>
  </si>
  <si>
    <t>Rolette</t>
  </si>
  <si>
    <t>Sargent</t>
  </si>
  <si>
    <t>Slope</t>
  </si>
  <si>
    <t>Stutsman</t>
  </si>
  <si>
    <t>Towner</t>
  </si>
  <si>
    <t>Traill</t>
  </si>
  <si>
    <t>Walsh</t>
  </si>
  <si>
    <t>Ward</t>
  </si>
  <si>
    <t>Williams</t>
  </si>
  <si>
    <t>Ashland</t>
  </si>
  <si>
    <t>Ashtabula</t>
  </si>
  <si>
    <t>Athens</t>
  </si>
  <si>
    <t>Auglaize</t>
  </si>
  <si>
    <t>Belmont</t>
  </si>
  <si>
    <t>Clermont</t>
  </si>
  <si>
    <t>Columbiana</t>
  </si>
  <si>
    <t>Coshocton</t>
  </si>
  <si>
    <t>Cuyahoga</t>
  </si>
  <si>
    <t>Darke</t>
  </si>
  <si>
    <t>Defiance</t>
  </si>
  <si>
    <t>Gallia</t>
  </si>
  <si>
    <t>Geauga</t>
  </si>
  <si>
    <t>Guernsey</t>
  </si>
  <si>
    <t>Highland</t>
  </si>
  <si>
    <t>Hocking</t>
  </si>
  <si>
    <t>Licking</t>
  </si>
  <si>
    <t>Lorain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</si>
  <si>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</si>
  <si>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</si>
  <si>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</si>
  <si>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</si>
  <si>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</si>
  <si>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</si>
  <si>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</si>
  <si>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</si>
  <si>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</si>
  <si>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</si>
  <si>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</si>
  <si>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Trumbull</t>
  </si>
  <si>
    <t>Tuscarawas</t>
  </si>
  <si>
    <t>Van Wert</t>
  </si>
  <si>
    <t>Vinton</t>
  </si>
  <si>
    <t>Wood</t>
  </si>
  <si>
    <t>Wyandot</t>
  </si>
  <si>
    <t>Oklahoma</t>
  </si>
  <si>
    <t>Alfalfa</t>
  </si>
  <si>
    <t>Atoka</t>
  </si>
  <si>
    <t>Beaver</t>
  </si>
  <si>
    <t>Beckham</t>
  </si>
  <si>
    <t>Canadian</t>
  </si>
  <si>
    <t>Cimarron</t>
  </si>
  <si>
    <t>Coal</t>
  </si>
  <si>
    <t>Cotton</t>
  </si>
  <si>
    <t>Craig</t>
  </si>
  <si>
    <t>Creek</t>
  </si>
  <si>
    <t>Dewey</t>
  </si>
  <si>
    <t>Garvin</t>
  </si>
  <si>
    <t>Greer</t>
  </si>
  <si>
    <t>Harmon</t>
  </si>
  <si>
    <t>Hughes</t>
  </si>
  <si>
    <t>Kay</t>
  </si>
  <si>
    <t>Kingfisher</t>
  </si>
  <si>
    <t>Latimer</t>
  </si>
  <si>
    <t>Le Flore</t>
  </si>
  <si>
    <t>Love</t>
  </si>
  <si>
    <t>McClain</t>
  </si>
  <si>
    <t>McCurtain</t>
  </si>
  <si>
    <t>Major</t>
  </si>
  <si>
    <t>Mayes</t>
  </si>
  <si>
    <t>Muskogee</t>
  </si>
  <si>
    <t>Nowata</t>
  </si>
  <si>
    <t>Okfuskee</t>
  </si>
  <si>
    <t>Okmulgee</t>
  </si>
  <si>
    <t>Payne</t>
  </si>
  <si>
    <t>Pittsburg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</si>
  <si>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</si>
  <si>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</si>
  <si>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</si>
  <si>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</si>
  <si>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</si>
  <si>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</si>
  <si>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</si>
  <si>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</si>
  <si>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</si>
  <si>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</si>
  <si>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Clackamas</t>
  </si>
  <si>
    <t>Clatsop</t>
  </si>
  <si>
    <t>Crook</t>
  </si>
  <si>
    <t>Deschutes</t>
  </si>
  <si>
    <t>Gilliam</t>
  </si>
  <si>
    <t>Harney</t>
  </si>
  <si>
    <t>Hood River</t>
  </si>
  <si>
    <t>Josephine</t>
  </si>
  <si>
    <t>Klamath</t>
  </si>
  <si>
    <t>Malheur</t>
  </si>
  <si>
    <t>Multnomah</t>
  </si>
  <si>
    <t>Tillamook</t>
  </si>
  <si>
    <t>Umatilla</t>
  </si>
  <si>
    <t>Wallowa</t>
  </si>
  <si>
    <t>Wasco</t>
  </si>
  <si>
    <t>Yamhill</t>
  </si>
  <si>
    <t>Pennsylvania</t>
  </si>
  <si>
    <t>Allegheny</t>
  </si>
  <si>
    <t>Armstrong</t>
  </si>
  <si>
    <t>Bedford</t>
  </si>
  <si>
    <t>Berks</t>
  </si>
  <si>
    <t>Blair</t>
  </si>
  <si>
    <t>Bucks</t>
  </si>
  <si>
    <t>Cambria</t>
  </si>
  <si>
    <t>Centre</t>
  </si>
  <si>
    <t>Chester</t>
  </si>
  <si>
    <t>Clarion</t>
  </si>
  <si>
    <t>Clearfield</t>
  </si>
  <si>
    <t>Dauphin</t>
  </si>
  <si>
    <t>Forest</t>
  </si>
  <si>
    <t>Huntingdon</t>
  </si>
  <si>
    <t>Juniata</t>
  </si>
  <si>
    <t>Lackawanna</t>
  </si>
  <si>
    <t>Lebanon</t>
  </si>
  <si>
    <t>Lehigh</t>
  </si>
  <si>
    <t>Luzerne</t>
  </si>
  <si>
    <t>Lycoming</t>
  </si>
  <si>
    <t>McKean</t>
  </si>
  <si>
    <t>Mifflin</t>
  </si>
  <si>
    <t>Montour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</si>
  <si>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</si>
  <si>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</si>
  <si>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</si>
  <si>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</si>
  <si>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</si>
  <si>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</si>
  <si>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</si>
  <si>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</si>
  <si>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Rhode Island</t>
  </si>
  <si>
    <t>Newport</t>
  </si>
  <si>
    <t>Providence</t>
  </si>
  <si>
    <t>Abbeville</t>
  </si>
  <si>
    <t>South Carolina</t>
  </si>
  <si>
    <t>Aiken</t>
  </si>
  <si>
    <t>Allendale</t>
  </si>
  <si>
    <t>Bamberg</t>
  </si>
  <si>
    <t>Barnwell</t>
  </si>
  <si>
    <t>Berkeley</t>
  </si>
  <si>
    <t>Charleston</t>
  </si>
  <si>
    <t>Chesterfield</t>
  </si>
  <si>
    <t>Clarendon</t>
  </si>
  <si>
    <t>Colleton</t>
  </si>
  <si>
    <t>Darlington</t>
  </si>
  <si>
    <t>Dillon</t>
  </si>
  <si>
    <t>Edgefield</t>
  </si>
  <si>
    <t>Florence</t>
  </si>
  <si>
    <t>Georgetown</t>
  </si>
  <si>
    <t>Greenville</t>
  </si>
  <si>
    <t>Hampton</t>
  </si>
  <si>
    <t>Horry</t>
  </si>
  <si>
    <t>Kershaw</t>
  </si>
  <si>
    <t>Lexington</t>
  </si>
  <si>
    <t>McCormick</t>
  </si>
  <si>
    <t>Marlboro</t>
  </si>
  <si>
    <t>Newberry</t>
  </si>
  <si>
    <t>Orangeburg</t>
  </si>
  <si>
    <t>Saluda</t>
  </si>
  <si>
    <t>Spartanburg</t>
  </si>
  <si>
    <t>Williamsburg</t>
  </si>
  <si>
    <t>Aurora</t>
  </si>
  <si>
    <t>South Dakota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</si>
  <si>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</si>
  <si>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</si>
  <si>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</si>
  <si>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</si>
  <si>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</si>
  <si>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</si>
  <si>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</si>
  <si>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</si>
  <si>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</si>
  <si>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</si>
  <si>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</si>
  <si>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</si>
  <si>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</si>
  <si>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</si>
  <si>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</si>
  <si>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</si>
  <si>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</si>
  <si>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</si>
  <si>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</si>
  <si>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</si>
  <si>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</si>
  <si>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Lyman</t>
  </si>
  <si>
    <t>McCook</t>
  </si>
  <si>
    <t>Mellette</t>
  </si>
  <si>
    <t>Miner</t>
  </si>
  <si>
    <t>Minnehaha</t>
  </si>
  <si>
    <t>Moody</t>
  </si>
  <si>
    <t>Oglala Lakota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</si>
  <si>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</si>
  <si>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</si>
  <si>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</si>
  <si>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</si>
  <si>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</si>
  <si>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</si>
  <si>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</si>
  <si>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</si>
  <si>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</si>
  <si>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Tennessee</t>
  </si>
  <si>
    <t>Bledsoe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</si>
  <si>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</si>
  <si>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</si>
  <si>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</si>
  <si>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</si>
  <si>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</si>
  <si>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</si>
  <si>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</si>
  <si>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</si>
  <si>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</si>
  <si>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</si>
  <si>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</si>
  <si>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</si>
  <si>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Loudon</t>
  </si>
  <si>
    <t>McMinn</t>
  </si>
  <si>
    <t>McNairy</t>
  </si>
  <si>
    <t>Maury</t>
  </si>
  <si>
    <t>Obion</t>
  </si>
  <si>
    <t>Overton</t>
  </si>
  <si>
    <t>Pickett</t>
  </si>
  <si>
    <t>Rhea</t>
  </si>
  <si>
    <t>Roane</t>
  </si>
  <si>
    <t>Sequatchie</t>
  </si>
  <si>
    <t>Trousdale</t>
  </si>
  <si>
    <t>Unicoi</t>
  </si>
  <si>
    <t>Weakley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</si>
  <si>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</si>
  <si>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</si>
  <si>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</si>
  <si>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</si>
  <si>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</si>
  <si>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</si>
  <si>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</si>
  <si>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</si>
  <si>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</si>
  <si>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</si>
  <si>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</si>
  <si>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</si>
  <si>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</si>
  <si>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</si>
  <si>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</si>
  <si>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</si>
  <si>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Brazoria</t>
  </si>
  <si>
    <t>Brazos</t>
  </si>
  <si>
    <t>Brewster</t>
  </si>
  <si>
    <t>Briscoe</t>
  </si>
  <si>
    <t>Burleson</t>
  </si>
  <si>
    <t>Burnet</t>
  </si>
  <si>
    <t>Callahan</t>
  </si>
  <si>
    <t>Camp</t>
  </si>
  <si>
    <t>Carson</t>
  </si>
  <si>
    <t>Castro</t>
  </si>
  <si>
    <t>Childress</t>
  </si>
  <si>
    <t>Cochran</t>
  </si>
  <si>
    <t>Coke</t>
  </si>
  <si>
    <t>Coleman</t>
  </si>
  <si>
    <t>Collin</t>
  </si>
  <si>
    <t>Collingsworth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</si>
  <si>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</si>
  <si>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</si>
  <si>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</si>
  <si>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</si>
  <si>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</si>
  <si>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</si>
  <si>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</si>
  <si>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</si>
  <si>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</si>
  <si>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Deaf Smith</t>
  </si>
  <si>
    <t>Denton</t>
  </si>
  <si>
    <t>DeWitt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</si>
  <si>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</si>
  <si>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</si>
  <si>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</si>
  <si>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</si>
  <si>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</si>
  <si>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</si>
  <si>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</si>
  <si>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</si>
  <si>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</si>
  <si>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</si>
  <si>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</si>
  <si>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</si>
  <si>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</si>
  <si>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</si>
  <si>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</si>
  <si>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</si>
  <si>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</si>
  <si>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</si>
  <si>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</si>
  <si>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</si>
  <si>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</si>
  <si>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</si>
  <si>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</si>
  <si>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</si>
  <si>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</si>
  <si>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</si>
  <si>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</si>
  <si>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</si>
  <si>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</si>
  <si>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</si>
  <si>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Jack</t>
  </si>
  <si>
    <t>Jim Hogg</t>
  </si>
  <si>
    <t>Jim Wells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</si>
  <si>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</si>
  <si>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</si>
  <si>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</si>
  <si>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</si>
  <si>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</si>
  <si>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</si>
  <si>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</si>
  <si>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</si>
  <si>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Lamb</t>
  </si>
  <si>
    <t>Lampasas</t>
  </si>
  <si>
    <t>La Salle</t>
  </si>
  <si>
    <t>Lavaca</t>
  </si>
  <si>
    <t>Lipscomb</t>
  </si>
  <si>
    <t>Live Oak</t>
  </si>
  <si>
    <t>Llano</t>
  </si>
  <si>
    <t>Loving</t>
  </si>
  <si>
    <t>Lubbock</t>
  </si>
  <si>
    <t>Lynn</t>
  </si>
  <si>
    <t>McCulloch</t>
  </si>
  <si>
    <t>McLennan</t>
  </si>
  <si>
    <t>McMullen</t>
  </si>
  <si>
    <t>Matagorda</t>
  </si>
  <si>
    <t>Maverick</t>
  </si>
  <si>
    <t>Milam</t>
  </si>
  <si>
    <t>Montague</t>
  </si>
  <si>
    <t>Motley</t>
  </si>
  <si>
    <t>Nacogdoches</t>
  </si>
  <si>
    <t>Navarro</t>
  </si>
  <si>
    <t>Nolan</t>
  </si>
  <si>
    <t>Nueces</t>
  </si>
  <si>
    <t>Ochiltree</t>
  </si>
  <si>
    <t>Palo Pinto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</si>
  <si>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</si>
  <si>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</si>
  <si>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</si>
  <si>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</si>
  <si>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</si>
  <si>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</si>
  <si>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</si>
  <si>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</si>
  <si>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Reeves</t>
  </si>
  <si>
    <t>Refugio</t>
  </si>
  <si>
    <t>Rockwall</t>
  </si>
  <si>
    <t>Runnels</t>
  </si>
  <si>
    <t>Rusk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</si>
  <si>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</si>
  <si>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</si>
  <si>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</si>
  <si>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</si>
  <si>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</si>
  <si>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</si>
  <si>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</si>
  <si>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</si>
  <si>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</si>
  <si>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</si>
  <si>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</si>
  <si>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</si>
  <si>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</si>
  <si>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</si>
  <si>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Terry</t>
  </si>
  <si>
    <t>Throckmorton</t>
  </si>
  <si>
    <t>Titus</t>
  </si>
  <si>
    <t>Tom Green</t>
  </si>
  <si>
    <t>Travis</t>
  </si>
  <si>
    <t>Tyler</t>
  </si>
  <si>
    <t>Upshur</t>
  </si>
  <si>
    <t>Upton</t>
  </si>
  <si>
    <t>Uvalde</t>
  </si>
  <si>
    <t>Val Verde</t>
  </si>
  <si>
    <t>Van Zandt</t>
  </si>
  <si>
    <t>Victoria</t>
  </si>
  <si>
    <t>Waller</t>
  </si>
  <si>
    <t>Webb</t>
  </si>
  <si>
    <t>Wharton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</si>
  <si>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</si>
  <si>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</si>
  <si>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</si>
  <si>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</si>
  <si>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</si>
  <si>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</si>
  <si>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</si>
  <si>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</si>
  <si>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Utah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</si>
  <si>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</si>
  <si>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</si>
  <si>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</si>
  <si>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</si>
  <si>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</si>
  <si>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</si>
  <si>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</si>
  <si>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</si>
  <si>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</si>
  <si>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</si>
  <si>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</si>
  <si>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</si>
  <si>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</si>
  <si>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Wasatch</t>
  </si>
  <si>
    <t>Weber</t>
  </si>
  <si>
    <t>Addison</t>
  </si>
  <si>
    <t>Vermont</t>
  </si>
  <si>
    <t>Bennington</t>
  </si>
  <si>
    <t>Caledonia</t>
  </si>
  <si>
    <t>Chittenden</t>
  </si>
  <si>
    <t>Grand Isle</t>
  </si>
  <si>
    <t>Lamoille</t>
  </si>
  <si>
    <t>Rutland</t>
  </si>
  <si>
    <t>Windsor</t>
  </si>
  <si>
    <t>Accomack</t>
  </si>
  <si>
    <t>Virginia</t>
  </si>
  <si>
    <t>Albemarle</t>
  </si>
  <si>
    <t>Amelia</t>
  </si>
  <si>
    <t>Amherst</t>
  </si>
  <si>
    <t>Appomattox</t>
  </si>
  <si>
    <t>Arlington</t>
  </si>
  <si>
    <t>Augusta</t>
  </si>
  <si>
    <t>Bland</t>
  </si>
  <si>
    <t>Botetourt</t>
  </si>
  <si>
    <t>Buckingham</t>
  </si>
  <si>
    <t>Charles City</t>
  </si>
  <si>
    <t>Culpeper</t>
  </si>
  <si>
    <t>Dickenson</t>
  </si>
  <si>
    <t>Dinwiddie</t>
  </si>
  <si>
    <t>Fairfax</t>
  </si>
  <si>
    <t>Fauquier</t>
  </si>
  <si>
    <t>Fluvanna</t>
  </si>
  <si>
    <t>Goochland</t>
  </si>
  <si>
    <t>Greensville</t>
  </si>
  <si>
    <t>Hanover</t>
  </si>
  <si>
    <t>Henrico</t>
  </si>
  <si>
    <t>Isle of Wight</t>
  </si>
  <si>
    <t>James City</t>
  </si>
  <si>
    <t>King and Queen</t>
  </si>
  <si>
    <t>King George</t>
  </si>
  <si>
    <t>King William</t>
  </si>
  <si>
    <t>Loudoun</t>
  </si>
  <si>
    <t>Lunenburg</t>
  </si>
  <si>
    <t>Mathews</t>
  </si>
  <si>
    <t>New Kent</t>
  </si>
  <si>
    <t>Nottoway</t>
  </si>
  <si>
    <t>Patrick</t>
  </si>
  <si>
    <t>Pittsylvania</t>
  </si>
  <si>
    <t>Powhatan</t>
  </si>
  <si>
    <t>Prince Edward</t>
  </si>
  <si>
    <t>Prince George</t>
  </si>
  <si>
    <t>Prince William</t>
  </si>
  <si>
    <t>Rappahannock</t>
  </si>
  <si>
    <t>Roanoke</t>
  </si>
  <si>
    <t>Rockbridge</t>
  </si>
  <si>
    <t>Shenandoah</t>
  </si>
  <si>
    <t>Smyth</t>
  </si>
  <si>
    <t>Southampton</t>
  </si>
  <si>
    <t>Spotsylvania</t>
  </si>
  <si>
    <t>Wythe</t>
  </si>
  <si>
    <t>Alexandria</t>
  </si>
  <si>
    <t>Charlottesville</t>
  </si>
  <si>
    <t>Chesapeake</t>
  </si>
  <si>
    <t>Colonial Heights</t>
  </si>
  <si>
    <t>Danville</t>
  </si>
  <si>
    <t>Emporia</t>
  </si>
  <si>
    <t>Fairfax City</t>
  </si>
  <si>
    <t>Falls Church</t>
  </si>
  <si>
    <t>Franklin City</t>
  </si>
  <si>
    <t>Fredericksburg</t>
  </si>
  <si>
    <t>Galax</t>
  </si>
  <si>
    <t>Harrisonburg</t>
  </si>
  <si>
    <t>Hopewell</t>
  </si>
  <si>
    <t>Lynchburg</t>
  </si>
  <si>
    <t>Manassas</t>
  </si>
  <si>
    <t>Manassas Park</t>
  </si>
  <si>
    <t>Martinsville</t>
  </si>
  <si>
    <t>Newport News</t>
  </si>
  <si>
    <t>Petersburg</t>
  </si>
  <si>
    <t>Poquoson</t>
  </si>
  <si>
    <t>Portsmouth</t>
  </si>
  <si>
    <t>Radford</t>
  </si>
  <si>
    <t>Richmond City</t>
  </si>
  <si>
    <t>Roanoke City</t>
  </si>
  <si>
    <t>Staunton</t>
  </si>
  <si>
    <t>Virginia Beach</t>
  </si>
  <si>
    <t>Waynesboro</t>
  </si>
  <si>
    <t>Winchester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</si>
  <si>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</si>
  <si>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</si>
  <si>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</si>
  <si>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</si>
  <si>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</si>
  <si>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</si>
  <si>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</si>
  <si>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</si>
  <si>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</si>
  <si>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</si>
  <si>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</si>
  <si>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</si>
  <si>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</si>
  <si>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</si>
  <si>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</si>
  <si>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Snohomish</t>
  </si>
  <si>
    <t>Spokane</t>
  </si>
  <si>
    <t>Wahkiakum</t>
  </si>
  <si>
    <t>Walla Walla</t>
  </si>
  <si>
    <t>Whatcom</t>
  </si>
  <si>
    <t>Whitman</t>
  </si>
  <si>
    <t>Yakima</t>
  </si>
  <si>
    <t>5C</t>
  </si>
  <si>
    <t>West Virginia</t>
  </si>
  <si>
    <t>Braxton</t>
  </si>
  <si>
    <t>Brooke</t>
  </si>
  <si>
    <t>Cabell</t>
  </si>
  <si>
    <t>Doddridge</t>
  </si>
  <si>
    <t>Greenbrier</t>
  </si>
  <si>
    <t>Hardy</t>
  </si>
  <si>
    <t>Kanawha</t>
  </si>
  <si>
    <t>Mingo</t>
  </si>
  <si>
    <t>Monongalia</t>
  </si>
  <si>
    <t>Pleasants</t>
  </si>
  <si>
    <t>Preston</t>
  </si>
  <si>
    <t>Raleigh</t>
  </si>
  <si>
    <t>Ritchie</t>
  </si>
  <si>
    <t>Summers</t>
  </si>
  <si>
    <t>Tucker</t>
  </si>
  <si>
    <t>Wetzel</t>
  </si>
  <si>
    <t>Wirt</t>
  </si>
  <si>
    <t>Wisconsin</t>
  </si>
  <si>
    <t>Barron</t>
  </si>
  <si>
    <t>Bayfield</t>
  </si>
  <si>
    <t>Burnett</t>
  </si>
  <si>
    <t>Calumet</t>
  </si>
  <si>
    <t>Dane</t>
  </si>
  <si>
    <t>Door</t>
  </si>
  <si>
    <t>Eau Claire</t>
  </si>
  <si>
    <t>Fond du Lac</t>
  </si>
  <si>
    <t>Green Lake</t>
  </si>
  <si>
    <t>Juneau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</si>
  <si>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</si>
  <si>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</si>
  <si>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</si>
  <si>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</si>
  <si>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</si>
  <si>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</si>
  <si>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</si>
  <si>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</si>
  <si>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</si>
  <si>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</si>
  <si>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</si>
  <si>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</si>
  <si>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</si>
  <si>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</si>
  <si>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St. Croix</t>
  </si>
  <si>
    <t>Sauk</t>
  </si>
  <si>
    <t>Sawyer</t>
  </si>
  <si>
    <t>Shawano</t>
  </si>
  <si>
    <t>Sheboygan</t>
  </si>
  <si>
    <t>Trempealeau</t>
  </si>
  <si>
    <t>Vilas</t>
  </si>
  <si>
    <t>Washburn</t>
  </si>
  <si>
    <t>Waukesha</t>
  </si>
  <si>
    <t>Waupaca</t>
  </si>
  <si>
    <t>Waushara</t>
  </si>
  <si>
    <t>Converse</t>
  </si>
  <si>
    <t>Goshen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</si>
  <si>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</si>
  <si>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</si>
  <si>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</si>
  <si>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</si>
  <si>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</si>
  <si>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</si>
  <si>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</si>
  <si>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</si>
  <si>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Weston</t>
  </si>
  <si>
    <t>FIPS</t>
  </si>
  <si>
    <t>State Name</t>
  </si>
  <si>
    <t>County Name</t>
  </si>
  <si>
    <t>Pop_2023</t>
  </si>
  <si>
    <t>Pop_2020</t>
  </si>
  <si>
    <t>AL</t>
  </si>
  <si>
    <t>Autauga County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</si>
  <si>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</si>
  <si>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</si>
  <si>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</si>
  <si>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</si>
  <si>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</si>
  <si>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</si>
  <si>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</si>
  <si>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</si>
  <si>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</si>
  <si>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</si>
  <si>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</si>
  <si>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</si>
  <si>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</si>
  <si>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</si>
  <si>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</si>
  <si>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</si>
  <si>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</si>
  <si>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</si>
  <si>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</si>
  <si>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</si>
  <si>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</si>
  <si>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</si>
  <si>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</si>
  <si>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</si>
  <si>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</si>
  <si>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</si>
  <si>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</si>
  <si>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</si>
  <si>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</si>
  <si>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</si>
  <si>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</si>
  <si>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</si>
  <si>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</si>
  <si>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</si>
  <si>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</si>
  <si>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</si>
  <si>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</si>
  <si>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</si>
  <si>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</si>
  <si>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</si>
  <si>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</si>
  <si>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</si>
  <si>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</si>
  <si>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</si>
  <si>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</si>
  <si>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</si>
  <si>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</si>
  <si>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</si>
  <si>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</si>
  <si>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</si>
  <si>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</si>
  <si>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</si>
  <si>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</si>
  <si>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</si>
  <si>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</si>
  <si>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</si>
  <si>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</si>
  <si>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</si>
  <si>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</si>
  <si>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</si>
  <si>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</si>
  <si>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</si>
  <si>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</si>
  <si>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</si>
  <si>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</si>
  <si>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</si>
  <si>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AK</t>
  </si>
  <si>
    <t>AZ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</si>
  <si>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</si>
  <si>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</si>
  <si>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</si>
  <si>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</si>
  <si>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</si>
  <si>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</si>
  <si>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</si>
  <si>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</si>
  <si>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</si>
  <si>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</si>
  <si>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</si>
  <si>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</si>
  <si>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</si>
  <si>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</si>
  <si>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</si>
  <si>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</si>
  <si>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</si>
  <si>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</si>
  <si>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</si>
  <si>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</si>
  <si>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</si>
  <si>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</si>
  <si>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</si>
  <si>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</si>
  <si>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</si>
  <si>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</si>
  <si>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</si>
  <si>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</si>
  <si>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</si>
  <si>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</si>
  <si>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</si>
  <si>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</si>
  <si>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</si>
  <si>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</si>
  <si>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</si>
  <si>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</si>
  <si>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</si>
  <si>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</si>
  <si>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</si>
  <si>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</si>
  <si>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</si>
  <si>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</si>
  <si>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</si>
  <si>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</si>
  <si>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</si>
  <si>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</si>
  <si>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</si>
  <si>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</si>
  <si>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</si>
  <si>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</si>
  <si>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</si>
  <si>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</si>
  <si>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</si>
  <si>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</si>
  <si>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</si>
  <si>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</si>
  <si>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</si>
  <si>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</si>
  <si>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</si>
  <si>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</si>
  <si>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</si>
  <si>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</si>
  <si>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</si>
  <si>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</si>
  <si>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</si>
  <si>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</si>
  <si>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</si>
  <si>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</si>
  <si>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</si>
  <si>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</si>
  <si>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</si>
  <si>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</si>
  <si>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</si>
  <si>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CA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</si>
  <si>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</si>
  <si>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</si>
  <si>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</si>
  <si>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</si>
  <si>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</si>
  <si>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</si>
  <si>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</si>
  <si>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</si>
  <si>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</si>
  <si>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</si>
  <si>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</si>
  <si>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</si>
  <si>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</si>
  <si>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</si>
  <si>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</si>
  <si>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</si>
  <si>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</si>
  <si>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</si>
  <si>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</si>
  <si>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</si>
  <si>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</si>
  <si>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</si>
  <si>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</si>
  <si>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</si>
  <si>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</si>
  <si>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</si>
  <si>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</si>
  <si>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</si>
  <si>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</si>
  <si>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</si>
  <si>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</si>
  <si>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</si>
  <si>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</si>
  <si>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</si>
  <si>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</si>
  <si>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</si>
  <si>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</si>
  <si>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</si>
  <si>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</si>
  <si>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</si>
  <si>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</si>
  <si>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</si>
  <si>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</si>
  <si>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</si>
  <si>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</si>
  <si>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</si>
  <si>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</si>
  <si>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</si>
  <si>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</si>
  <si>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</si>
  <si>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</si>
  <si>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</si>
  <si>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</si>
  <si>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</si>
  <si>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</si>
  <si>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</si>
  <si>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CO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</si>
  <si>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</si>
  <si>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</si>
  <si>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</si>
  <si>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</si>
  <si>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</si>
  <si>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</si>
  <si>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</si>
  <si>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</si>
  <si>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</si>
  <si>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</si>
  <si>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</si>
  <si>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</si>
  <si>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</si>
  <si>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</si>
  <si>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</si>
  <si>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</si>
  <si>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</si>
  <si>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</si>
  <si>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</si>
  <si>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</si>
  <si>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</si>
  <si>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</si>
  <si>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</si>
  <si>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</si>
  <si>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</si>
  <si>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</si>
  <si>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</si>
  <si>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</si>
  <si>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</si>
  <si>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</si>
  <si>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</si>
  <si>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</si>
  <si>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</si>
  <si>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</si>
  <si>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</si>
  <si>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</si>
  <si>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</si>
  <si>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</si>
  <si>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</si>
  <si>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</si>
  <si>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</si>
  <si>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</si>
  <si>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</si>
  <si>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</si>
  <si>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</si>
  <si>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</si>
  <si>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</si>
  <si>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</si>
  <si>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</si>
  <si>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</si>
  <si>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</si>
  <si>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</si>
  <si>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</si>
  <si>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</si>
  <si>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</si>
  <si>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CT</t>
  </si>
  <si>
    <t>Fairfield County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</si>
  <si>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</si>
  <si>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</si>
  <si>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</si>
  <si>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</si>
  <si>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</si>
  <si>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</si>
  <si>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</si>
  <si>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DE</t>
  </si>
  <si>
    <t>Kent County</t>
  </si>
  <si>
    <t>New Castle County</t>
  </si>
  <si>
    <t>Sussex County</t>
  </si>
  <si>
    <t>DC</t>
  </si>
  <si>
    <t>FL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</si>
  <si>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</si>
  <si>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</si>
  <si>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</si>
  <si>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</si>
  <si>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</si>
  <si>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</si>
  <si>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</si>
  <si>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</si>
  <si>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</si>
  <si>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</si>
  <si>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</si>
  <si>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</si>
  <si>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</si>
  <si>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</si>
  <si>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</si>
  <si>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</si>
  <si>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</si>
  <si>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</si>
  <si>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</si>
  <si>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</si>
  <si>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</si>
  <si>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</si>
  <si>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</si>
  <si>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</si>
  <si>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</si>
  <si>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</si>
  <si>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</si>
  <si>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</si>
  <si>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</si>
  <si>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</si>
  <si>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</si>
  <si>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</si>
  <si>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</si>
  <si>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</si>
  <si>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</si>
  <si>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</si>
  <si>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</si>
  <si>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</si>
  <si>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</si>
  <si>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</si>
  <si>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</si>
  <si>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</si>
  <si>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</si>
  <si>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</si>
  <si>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</si>
  <si>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</si>
  <si>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</si>
  <si>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</si>
  <si>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</si>
  <si>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GA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</si>
  <si>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</si>
  <si>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</si>
  <si>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</si>
  <si>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</si>
  <si>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</si>
  <si>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</si>
  <si>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</si>
  <si>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</si>
  <si>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</si>
  <si>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</si>
  <si>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</si>
  <si>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</si>
  <si>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</si>
  <si>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</si>
  <si>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</si>
  <si>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</si>
  <si>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</si>
  <si>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</si>
  <si>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</si>
  <si>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</si>
  <si>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</si>
  <si>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</si>
  <si>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</si>
  <si>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</si>
  <si>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</si>
  <si>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</si>
  <si>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</si>
  <si>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</si>
  <si>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</si>
  <si>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</si>
  <si>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</si>
  <si>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</si>
  <si>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</si>
  <si>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</si>
  <si>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</si>
  <si>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</si>
  <si>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</si>
  <si>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</si>
  <si>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</si>
  <si>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</si>
  <si>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</si>
  <si>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</si>
  <si>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</si>
  <si>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</si>
  <si>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</si>
  <si>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</si>
  <si>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</si>
  <si>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</si>
  <si>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</si>
  <si>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</si>
  <si>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</si>
  <si>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</si>
  <si>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</si>
  <si>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</si>
  <si>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</si>
  <si>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</si>
  <si>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</si>
  <si>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</si>
  <si>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</si>
  <si>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</si>
  <si>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</si>
  <si>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</si>
  <si>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</si>
  <si>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</si>
  <si>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</si>
  <si>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</si>
  <si>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</si>
  <si>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</si>
  <si>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</si>
  <si>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</si>
  <si>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</si>
  <si>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</si>
  <si>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</si>
  <si>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</si>
  <si>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</si>
  <si>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</si>
  <si>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</si>
  <si>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</si>
  <si>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</si>
  <si>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</si>
  <si>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</si>
  <si>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</si>
  <si>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</si>
  <si>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</si>
  <si>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</si>
  <si>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</si>
  <si>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</si>
  <si>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</si>
  <si>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</si>
  <si>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</si>
  <si>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</si>
  <si>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</si>
  <si>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</si>
  <si>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</si>
  <si>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</si>
  <si>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</si>
  <si>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</si>
  <si>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</si>
  <si>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</si>
  <si>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</si>
  <si>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</si>
  <si>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</si>
  <si>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</si>
  <si>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</si>
  <si>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</si>
  <si>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</si>
  <si>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</si>
  <si>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</si>
  <si>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HI</t>
  </si>
  <si>
    <t>ID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</si>
  <si>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</si>
  <si>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</si>
  <si>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</si>
  <si>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</si>
  <si>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</si>
  <si>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</si>
  <si>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</si>
  <si>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</si>
  <si>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</si>
  <si>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</si>
  <si>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</si>
  <si>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</si>
  <si>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</si>
  <si>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</si>
  <si>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</si>
  <si>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</si>
  <si>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</si>
  <si>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</si>
  <si>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</si>
  <si>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</si>
  <si>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</si>
  <si>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</si>
  <si>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</si>
  <si>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</si>
  <si>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</si>
  <si>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</si>
  <si>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</si>
  <si>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</si>
  <si>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</si>
  <si>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</si>
  <si>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</si>
  <si>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</si>
  <si>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</si>
  <si>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IL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</si>
  <si>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</si>
  <si>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</si>
  <si>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</si>
  <si>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</si>
  <si>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</si>
  <si>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</si>
  <si>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</si>
  <si>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</si>
  <si>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</si>
  <si>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</si>
  <si>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</si>
  <si>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</si>
  <si>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</si>
  <si>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</si>
  <si>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</si>
  <si>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</si>
  <si>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</si>
  <si>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</si>
  <si>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</si>
  <si>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</si>
  <si>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</si>
  <si>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</si>
  <si>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</si>
  <si>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</si>
  <si>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</si>
  <si>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</si>
  <si>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</si>
  <si>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</si>
  <si>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</si>
  <si>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</si>
  <si>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</si>
  <si>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</si>
  <si>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</si>
  <si>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</si>
  <si>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</si>
  <si>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</si>
  <si>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</si>
  <si>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</si>
  <si>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</si>
  <si>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</si>
  <si>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</si>
  <si>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</si>
  <si>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</si>
  <si>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</si>
  <si>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</si>
  <si>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</si>
  <si>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</si>
  <si>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</si>
  <si>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</si>
  <si>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</si>
  <si>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</si>
  <si>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</si>
  <si>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</si>
  <si>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</si>
  <si>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>IN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</si>
  <si>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</si>
  <si>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</si>
  <si>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</si>
  <si>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</si>
  <si>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</si>
  <si>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</si>
  <si>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</si>
  <si>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</si>
  <si>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</si>
  <si>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</si>
  <si>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</si>
  <si>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</si>
  <si>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</si>
  <si>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</si>
  <si>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</si>
  <si>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</si>
  <si>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</si>
  <si>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</si>
  <si>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</si>
  <si>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</si>
  <si>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</si>
  <si>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</si>
  <si>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</si>
  <si>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</si>
  <si>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</si>
  <si>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</si>
  <si>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</si>
  <si>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</si>
  <si>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</si>
  <si>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</si>
  <si>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</si>
  <si>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</si>
  <si>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</si>
  <si>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</si>
  <si>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</si>
  <si>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</si>
  <si>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</si>
  <si>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</si>
  <si>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</si>
  <si>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</si>
  <si>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</si>
  <si>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IA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</si>
  <si>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</si>
  <si>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</si>
  <si>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</si>
  <si>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</si>
  <si>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</si>
  <si>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</si>
  <si>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</si>
  <si>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</si>
  <si>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</si>
  <si>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</si>
  <si>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</si>
  <si>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</si>
  <si>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</si>
  <si>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</si>
  <si>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</si>
  <si>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</si>
  <si>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</si>
  <si>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</si>
  <si>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</si>
  <si>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</si>
  <si>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</si>
  <si>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</si>
  <si>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</si>
  <si>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</si>
  <si>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</si>
  <si>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</si>
  <si>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</si>
  <si>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</si>
  <si>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</si>
  <si>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</si>
  <si>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</si>
  <si>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</si>
  <si>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</si>
  <si>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</si>
  <si>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</si>
  <si>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</si>
  <si>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</si>
  <si>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</si>
  <si>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</si>
  <si>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</si>
  <si>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</si>
  <si>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</si>
  <si>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</si>
  <si>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</si>
  <si>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</si>
  <si>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KS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</si>
  <si>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</si>
  <si>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</si>
  <si>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</si>
  <si>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</si>
  <si>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</si>
  <si>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</si>
  <si>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</si>
  <si>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</si>
  <si>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</si>
  <si>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</si>
  <si>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</si>
  <si>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</si>
  <si>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</si>
  <si>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</si>
  <si>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</si>
  <si>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</si>
  <si>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</si>
  <si>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</si>
  <si>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</si>
  <si>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</si>
  <si>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</si>
  <si>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</si>
  <si>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</si>
  <si>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</si>
  <si>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</si>
  <si>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</si>
  <si>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</si>
  <si>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</si>
  <si>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</si>
  <si>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</si>
  <si>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</si>
  <si>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</si>
  <si>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</si>
  <si>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</si>
  <si>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</si>
  <si>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</si>
  <si>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</si>
  <si>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</si>
  <si>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</si>
  <si>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</si>
  <si>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</si>
  <si>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</si>
  <si>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</si>
  <si>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</si>
  <si>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</si>
  <si>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</si>
  <si>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</si>
  <si>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</si>
  <si>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</si>
  <si>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</si>
  <si>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</si>
  <si>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</si>
  <si>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</si>
  <si>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</si>
  <si>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</si>
  <si>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</si>
  <si>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</si>
  <si>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</si>
  <si>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</si>
  <si>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</si>
  <si>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</si>
  <si>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</si>
  <si>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</si>
  <si>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</si>
  <si>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</si>
  <si>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</si>
  <si>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</si>
  <si>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</si>
  <si>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</si>
  <si>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</si>
  <si>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</si>
  <si>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</si>
  <si>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</si>
  <si>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</si>
  <si>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</si>
  <si>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</si>
  <si>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</si>
  <si>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</si>
  <si>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</si>
  <si>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</si>
  <si>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</si>
  <si>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</si>
  <si>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</si>
  <si>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</si>
  <si>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</si>
  <si>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</si>
  <si>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</si>
  <si>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</si>
  <si>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</si>
  <si>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</si>
  <si>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</si>
  <si>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</si>
  <si>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</si>
  <si>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</si>
  <si>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</si>
  <si>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</si>
  <si>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</si>
  <si>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</si>
  <si>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</si>
  <si>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</si>
  <si>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</si>
  <si>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</si>
  <si>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</si>
  <si>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</si>
  <si>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</si>
  <si>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</si>
  <si>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</si>
  <si>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</si>
  <si>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</si>
  <si>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</si>
  <si>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</si>
  <si>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</si>
  <si>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</si>
  <si>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</si>
  <si>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</si>
  <si>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</si>
  <si>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</si>
  <si>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</si>
  <si>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</si>
  <si>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</si>
  <si>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</si>
  <si>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</si>
  <si>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</si>
  <si>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LA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</si>
  <si>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</si>
  <si>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</si>
  <si>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</si>
  <si>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</si>
  <si>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</si>
  <si>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</si>
  <si>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</si>
  <si>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</si>
  <si>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</si>
  <si>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</si>
  <si>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</si>
  <si>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</si>
  <si>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</si>
  <si>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</si>
  <si>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</si>
  <si>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</si>
  <si>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</si>
  <si>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</si>
  <si>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</si>
  <si>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</si>
  <si>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</si>
  <si>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</si>
  <si>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</si>
  <si>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</si>
  <si>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</si>
  <si>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</si>
  <si>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</si>
  <si>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</si>
  <si>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</si>
  <si>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</si>
  <si>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</si>
  <si>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</si>
  <si>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</si>
  <si>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</si>
  <si>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</si>
  <si>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</si>
  <si>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</si>
  <si>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</si>
  <si>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</si>
  <si>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</si>
  <si>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</si>
  <si>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</si>
  <si>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</si>
  <si>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</si>
  <si>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</si>
  <si>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</si>
  <si>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</si>
  <si>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</si>
  <si>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</si>
  <si>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</si>
  <si>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</si>
  <si>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</si>
  <si>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</si>
  <si>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</si>
  <si>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</si>
  <si>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</si>
  <si>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</si>
  <si>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</si>
  <si>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</si>
  <si>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</si>
  <si>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</si>
  <si>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</si>
  <si>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</si>
  <si>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</si>
  <si>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ME</t>
  </si>
  <si>
    <t>Androscoggin County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</si>
  <si>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</si>
  <si>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</si>
  <si>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</si>
  <si>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</si>
  <si>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</si>
  <si>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</si>
  <si>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</si>
  <si>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</si>
  <si>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</si>
  <si>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MD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</si>
  <si>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</si>
  <si>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</si>
  <si>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</si>
  <si>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</si>
  <si>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</si>
  <si>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</si>
  <si>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</si>
  <si>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</si>
  <si>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</si>
  <si>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</si>
  <si>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</si>
  <si>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</si>
  <si>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</si>
  <si>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</si>
  <si>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</si>
  <si>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</si>
  <si>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Baltimore city</t>
  </si>
  <si>
    <t>MA</t>
  </si>
  <si>
    <t>Barnstable County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</si>
  <si>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</si>
  <si>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</si>
  <si>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</si>
  <si>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</si>
  <si>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</si>
  <si>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</si>
  <si>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</si>
  <si>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</si>
  <si>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</si>
  <si>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MI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</si>
  <si>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</si>
  <si>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</si>
  <si>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</si>
  <si>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</si>
  <si>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</si>
  <si>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</si>
  <si>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</si>
  <si>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</si>
  <si>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</si>
  <si>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</si>
  <si>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</si>
  <si>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</si>
  <si>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</si>
  <si>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</si>
  <si>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</si>
  <si>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</si>
  <si>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</si>
  <si>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</si>
  <si>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</si>
  <si>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</si>
  <si>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</si>
  <si>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</si>
  <si>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</si>
  <si>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</si>
  <si>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</si>
  <si>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</si>
  <si>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</si>
  <si>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</si>
  <si>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</si>
  <si>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</si>
  <si>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</si>
  <si>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</si>
  <si>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</si>
  <si>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</si>
  <si>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</si>
  <si>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</si>
  <si>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</si>
  <si>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</si>
  <si>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</si>
  <si>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</si>
  <si>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</si>
  <si>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</si>
  <si>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</si>
  <si>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</si>
  <si>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</si>
  <si>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</si>
  <si>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</si>
  <si>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</si>
  <si>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</si>
  <si>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</si>
  <si>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</si>
  <si>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</si>
  <si>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</si>
  <si>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</si>
  <si>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</si>
  <si>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</si>
  <si>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</si>
  <si>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</si>
  <si>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</si>
  <si>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</si>
  <si>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</si>
  <si>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</si>
  <si>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MN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</si>
  <si>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</si>
  <si>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</si>
  <si>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</si>
  <si>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</si>
  <si>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</si>
  <si>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</si>
  <si>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</si>
  <si>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</si>
  <si>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</si>
  <si>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</si>
  <si>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</si>
  <si>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</si>
  <si>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</si>
  <si>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</si>
  <si>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</si>
  <si>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</si>
  <si>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</si>
  <si>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</si>
  <si>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</si>
  <si>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</si>
  <si>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</si>
  <si>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</si>
  <si>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</si>
  <si>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</si>
  <si>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</si>
  <si>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</si>
  <si>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</si>
  <si>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</si>
  <si>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</si>
  <si>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</si>
  <si>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</si>
  <si>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</si>
  <si>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</si>
  <si>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</si>
  <si>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</si>
  <si>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</si>
  <si>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</si>
  <si>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</si>
  <si>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</si>
  <si>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</si>
  <si>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</si>
  <si>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</si>
  <si>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</si>
  <si>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</si>
  <si>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</si>
  <si>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</si>
  <si>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</si>
  <si>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</si>
  <si>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</si>
  <si>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</si>
  <si>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</si>
  <si>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</si>
  <si>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</si>
  <si>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</si>
  <si>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</si>
  <si>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</si>
  <si>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</si>
  <si>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</si>
  <si>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</si>
  <si>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</si>
  <si>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</si>
  <si>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MS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</si>
  <si>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</si>
  <si>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</si>
  <si>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</si>
  <si>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</si>
  <si>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</si>
  <si>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</si>
  <si>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</si>
  <si>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</si>
  <si>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</si>
  <si>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</si>
  <si>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</si>
  <si>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</si>
  <si>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</si>
  <si>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</si>
  <si>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</si>
  <si>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</si>
  <si>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</si>
  <si>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</si>
  <si>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</si>
  <si>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</si>
  <si>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</si>
  <si>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</si>
  <si>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</si>
  <si>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</si>
  <si>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</si>
  <si>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</si>
  <si>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</si>
  <si>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</si>
  <si>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</si>
  <si>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</si>
  <si>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</si>
  <si>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</si>
  <si>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</si>
  <si>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</si>
  <si>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</si>
  <si>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</si>
  <si>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MO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</si>
  <si>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</si>
  <si>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</si>
  <si>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</si>
  <si>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</si>
  <si>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</si>
  <si>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</si>
  <si>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</si>
  <si>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</si>
  <si>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</si>
  <si>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</si>
  <si>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</si>
  <si>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</si>
  <si>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</si>
  <si>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</si>
  <si>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</si>
  <si>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</si>
  <si>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</si>
  <si>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</si>
  <si>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</si>
  <si>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</si>
  <si>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</si>
  <si>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</si>
  <si>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</si>
  <si>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</si>
  <si>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</si>
  <si>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</si>
  <si>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</si>
  <si>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</si>
  <si>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</si>
  <si>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</si>
  <si>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</si>
  <si>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</si>
  <si>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</si>
  <si>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</si>
  <si>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</si>
  <si>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</si>
  <si>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</si>
  <si>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</si>
  <si>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</si>
  <si>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</si>
  <si>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St. Louis city</t>
  </si>
  <si>
    <t>MT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</si>
  <si>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</si>
  <si>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</si>
  <si>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</si>
  <si>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</si>
  <si>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</si>
  <si>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</si>
  <si>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</si>
  <si>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</si>
  <si>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</si>
  <si>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</si>
  <si>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</si>
  <si>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</si>
  <si>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</si>
  <si>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</si>
  <si>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</si>
  <si>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</si>
  <si>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</si>
  <si>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</si>
  <si>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</si>
  <si>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</si>
  <si>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</si>
  <si>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</si>
  <si>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</si>
  <si>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</si>
  <si>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</si>
  <si>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</si>
  <si>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</si>
  <si>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</si>
  <si>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</si>
  <si>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</si>
  <si>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</si>
  <si>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</si>
  <si>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</si>
  <si>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</si>
  <si>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</si>
  <si>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</si>
  <si>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NE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</si>
  <si>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</si>
  <si>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</si>
  <si>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</si>
  <si>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</si>
  <si>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</si>
  <si>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</si>
  <si>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</si>
  <si>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</si>
  <si>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</si>
  <si>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</si>
  <si>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</si>
  <si>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</si>
  <si>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</si>
  <si>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</si>
  <si>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</si>
  <si>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</si>
  <si>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</si>
  <si>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</si>
  <si>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</si>
  <si>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</si>
  <si>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</si>
  <si>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</si>
  <si>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</si>
  <si>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</si>
  <si>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</si>
  <si>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</si>
  <si>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</si>
  <si>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</si>
  <si>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</si>
  <si>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</si>
  <si>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</si>
  <si>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</si>
  <si>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</si>
  <si>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</si>
  <si>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</si>
  <si>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</si>
  <si>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</si>
  <si>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</si>
  <si>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</si>
  <si>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</si>
  <si>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NV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</si>
  <si>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</si>
  <si>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</si>
  <si>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</si>
  <si>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</si>
  <si>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</si>
  <si>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</si>
  <si>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</si>
  <si>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</si>
  <si>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</si>
  <si>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</si>
  <si>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NH</t>
  </si>
  <si>
    <t>Belknap County</t>
  </si>
  <si>
    <t>Cheshire County</t>
  </si>
  <si>
    <t>Coos County</t>
  </si>
  <si>
    <t>Grafton County</t>
  </si>
  <si>
    <t>Merrimack County</t>
  </si>
  <si>
    <t>Rockingham County</t>
  </si>
  <si>
    <t>Strafford County</t>
  </si>
  <si>
    <t>NJ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</si>
  <si>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</si>
  <si>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</si>
  <si>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</si>
  <si>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</si>
  <si>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</si>
  <si>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</si>
  <si>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</si>
  <si>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</si>
  <si>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</si>
  <si>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</si>
  <si>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</si>
  <si>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NM</t>
  </si>
  <si>
    <t>Bernalillo County</t>
  </si>
  <si>
    <t>Catron County</t>
  </si>
  <si>
    <t>Chaves County</t>
  </si>
  <si>
    <t>Cibola County</t>
  </si>
  <si>
    <t>Curry County</t>
  </si>
  <si>
    <t>De Baca County</t>
  </si>
  <si>
    <t>Doña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</si>
  <si>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</si>
  <si>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</si>
  <si>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</si>
  <si>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</si>
  <si>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</si>
  <si>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</si>
  <si>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</si>
  <si>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</si>
  <si>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</si>
  <si>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</si>
  <si>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</si>
  <si>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</si>
  <si>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</si>
  <si>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</si>
  <si>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</si>
  <si>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</si>
  <si>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</si>
  <si>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NY</t>
  </si>
  <si>
    <t>Albany County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</si>
  <si>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</si>
  <si>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</si>
  <si>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</si>
  <si>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</si>
  <si>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</si>
  <si>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</si>
  <si>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</si>
  <si>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</si>
  <si>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</si>
  <si>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</si>
  <si>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</si>
  <si>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</si>
  <si>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</si>
  <si>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</si>
  <si>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</si>
  <si>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</si>
  <si>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</si>
  <si>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</si>
  <si>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</si>
  <si>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</si>
  <si>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</si>
  <si>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</si>
  <si>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</si>
  <si>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</si>
  <si>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</si>
  <si>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</si>
  <si>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</si>
  <si>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</si>
  <si>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</si>
  <si>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</si>
  <si>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NC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</si>
  <si>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</si>
  <si>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</si>
  <si>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</si>
  <si>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</si>
  <si>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</si>
  <si>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</si>
  <si>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</si>
  <si>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</si>
  <si>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</si>
  <si>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</si>
  <si>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</si>
  <si>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</si>
  <si>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</si>
  <si>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</si>
  <si>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</si>
  <si>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</si>
  <si>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</si>
  <si>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</si>
  <si>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</si>
  <si>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</si>
  <si>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</si>
  <si>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</si>
  <si>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</si>
  <si>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</si>
  <si>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</si>
  <si>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</si>
  <si>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</si>
  <si>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</si>
  <si>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</si>
  <si>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</si>
  <si>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</si>
  <si>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</si>
  <si>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</si>
  <si>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</si>
  <si>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</si>
  <si>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</si>
  <si>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</si>
  <si>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</si>
  <si>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</si>
  <si>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</si>
  <si>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</si>
  <si>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</si>
  <si>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</si>
  <si>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</si>
  <si>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</si>
  <si>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</si>
  <si>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</si>
  <si>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</si>
  <si>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</si>
  <si>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</si>
  <si>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</si>
  <si>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</si>
  <si>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</si>
  <si>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</si>
  <si>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</si>
  <si>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</si>
  <si>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</si>
  <si>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</si>
  <si>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</si>
  <si>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</si>
  <si>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</si>
  <si>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</si>
  <si>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</si>
  <si>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</si>
  <si>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ND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</si>
  <si>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</si>
  <si>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</si>
  <si>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</si>
  <si>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</si>
  <si>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</si>
  <si>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</si>
  <si>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</si>
  <si>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</si>
  <si>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</si>
  <si>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</si>
  <si>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</si>
  <si>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</si>
  <si>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</si>
  <si>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</si>
  <si>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</si>
  <si>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</si>
  <si>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</si>
  <si>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</si>
  <si>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</si>
  <si>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</si>
  <si>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</si>
  <si>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</si>
  <si>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</si>
  <si>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</si>
  <si>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</si>
  <si>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</si>
  <si>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</si>
  <si>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</si>
  <si>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</si>
  <si>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</si>
  <si>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</si>
  <si>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OH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</si>
  <si>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</si>
  <si>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</si>
  <si>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</si>
  <si>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</si>
  <si>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</si>
  <si>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</si>
  <si>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</si>
  <si>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</si>
  <si>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</si>
  <si>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</si>
  <si>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</si>
  <si>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</si>
  <si>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</si>
  <si>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</si>
  <si>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</si>
  <si>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</si>
  <si>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</si>
  <si>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</si>
  <si>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</si>
  <si>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</si>
  <si>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</si>
  <si>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</si>
  <si>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</si>
  <si>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</si>
  <si>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</si>
  <si>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</si>
  <si>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</si>
  <si>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</si>
  <si>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</si>
  <si>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</si>
  <si>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</si>
  <si>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</si>
  <si>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</si>
  <si>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</si>
  <si>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</si>
  <si>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OK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</si>
  <si>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</si>
  <si>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</si>
  <si>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</si>
  <si>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</si>
  <si>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</si>
  <si>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</si>
  <si>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</si>
  <si>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</si>
  <si>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</si>
  <si>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</si>
  <si>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</si>
  <si>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</si>
  <si>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</si>
  <si>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</si>
  <si>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</si>
  <si>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</si>
  <si>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</si>
  <si>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</si>
  <si>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</si>
  <si>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</si>
  <si>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</si>
  <si>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</si>
  <si>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</si>
  <si>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</si>
  <si>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</si>
  <si>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</si>
  <si>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</si>
  <si>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</si>
  <si>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</si>
  <si>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</si>
  <si>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</si>
  <si>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</si>
  <si>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</si>
  <si>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</si>
  <si>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</si>
  <si>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</si>
  <si>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</si>
  <si>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</si>
  <si>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</si>
  <si>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</si>
  <si>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</si>
  <si>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</si>
  <si>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OR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</si>
  <si>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</si>
  <si>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</si>
  <si>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</si>
  <si>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</si>
  <si>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</si>
  <si>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</si>
  <si>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</si>
  <si>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</si>
  <si>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</si>
  <si>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</si>
  <si>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</si>
  <si>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</si>
  <si>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</si>
  <si>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</si>
  <si>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</si>
  <si>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</si>
  <si>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PA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</si>
  <si>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</si>
  <si>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</si>
  <si>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</si>
  <si>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</si>
  <si>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</si>
  <si>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</si>
  <si>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</si>
  <si>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</si>
  <si>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</si>
  <si>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</si>
  <si>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</si>
  <si>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</si>
  <si>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</si>
  <si>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</si>
  <si>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</si>
  <si>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</si>
  <si>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</si>
  <si>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</si>
  <si>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</si>
  <si>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</si>
  <si>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</si>
  <si>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</si>
  <si>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</si>
  <si>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</si>
  <si>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</si>
  <si>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</si>
  <si>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</si>
  <si>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</si>
  <si>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</si>
  <si>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</si>
  <si>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</si>
  <si>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</si>
  <si>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</si>
  <si>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RI</t>
  </si>
  <si>
    <t>Newport County</t>
  </si>
  <si>
    <t>Providence County</t>
  </si>
  <si>
    <t>SC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</si>
  <si>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</si>
  <si>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</si>
  <si>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</si>
  <si>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</si>
  <si>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</si>
  <si>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</si>
  <si>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</si>
  <si>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</si>
  <si>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</si>
  <si>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</si>
  <si>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</si>
  <si>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</si>
  <si>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</si>
  <si>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</si>
  <si>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</si>
  <si>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</si>
  <si>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</si>
  <si>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</si>
  <si>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</si>
  <si>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</si>
  <si>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</si>
  <si>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</si>
  <si>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</si>
  <si>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</si>
  <si>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</si>
  <si>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</si>
  <si>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</si>
  <si>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SD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</si>
  <si>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</si>
  <si>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</si>
  <si>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</si>
  <si>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</si>
  <si>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</si>
  <si>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</si>
  <si>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</si>
  <si>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</si>
  <si>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</si>
  <si>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</si>
  <si>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</si>
  <si>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</si>
  <si>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</si>
  <si>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</si>
  <si>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</si>
  <si>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</si>
  <si>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</si>
  <si>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</si>
  <si>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</si>
  <si>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</si>
  <si>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</si>
  <si>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</si>
  <si>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</si>
  <si>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</si>
  <si>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</si>
  <si>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</si>
  <si>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</si>
  <si>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</si>
  <si>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Oglala Lakota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</si>
  <si>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</si>
  <si>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</si>
  <si>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</si>
  <si>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</si>
  <si>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</si>
  <si>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</si>
  <si>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</si>
  <si>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</si>
  <si>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</si>
  <si>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TN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</si>
  <si>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</si>
  <si>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</si>
  <si>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</si>
  <si>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</si>
  <si>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</si>
  <si>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</si>
  <si>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</si>
  <si>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</si>
  <si>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</si>
  <si>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</si>
  <si>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</si>
  <si>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</si>
  <si>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</si>
  <si>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</si>
  <si>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</si>
  <si>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</si>
  <si>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</si>
  <si>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</si>
  <si>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</si>
  <si>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</si>
  <si>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</si>
  <si>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</si>
  <si>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</si>
  <si>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</si>
  <si>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</si>
  <si>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</si>
  <si>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TX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</si>
  <si>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</si>
  <si>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</si>
  <si>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</si>
  <si>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</si>
  <si>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</si>
  <si>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</si>
  <si>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</si>
  <si>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</si>
  <si>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</si>
  <si>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</si>
  <si>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</si>
  <si>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</si>
  <si>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</si>
  <si>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</si>
  <si>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</si>
  <si>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</si>
  <si>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</si>
  <si>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</si>
  <si>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</si>
  <si>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</si>
  <si>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</si>
  <si>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</si>
  <si>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</si>
  <si>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</si>
  <si>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</si>
  <si>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</si>
  <si>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</si>
  <si>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</si>
  <si>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</si>
  <si>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</si>
  <si>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</si>
  <si>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</si>
  <si>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</si>
  <si>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</si>
  <si>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</si>
  <si>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</si>
  <si>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</si>
  <si>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</si>
  <si>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</si>
  <si>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</si>
  <si>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</si>
  <si>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</si>
  <si>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</si>
  <si>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</si>
  <si>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</si>
  <si>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</si>
  <si>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</si>
  <si>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</si>
  <si>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</si>
  <si>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</si>
  <si>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</si>
  <si>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</si>
  <si>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</si>
  <si>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</si>
  <si>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</si>
  <si>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</si>
  <si>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</si>
  <si>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</si>
  <si>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</si>
  <si>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</si>
  <si>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</si>
  <si>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</si>
  <si>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</si>
  <si>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</si>
  <si>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</si>
  <si>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</si>
  <si>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</si>
  <si>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</si>
  <si>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</si>
  <si>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</si>
  <si>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</si>
  <si>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</si>
  <si>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</si>
  <si>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</si>
  <si>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</si>
  <si>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</si>
  <si>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</si>
  <si>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</si>
  <si>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</si>
  <si>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</si>
  <si>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</si>
  <si>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</si>
  <si>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</si>
  <si>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</si>
  <si>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</si>
  <si>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</si>
  <si>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</si>
  <si>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</si>
  <si>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</si>
  <si>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</si>
  <si>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</si>
  <si>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</si>
  <si>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</si>
  <si>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</si>
  <si>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</si>
  <si>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</si>
  <si>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</si>
  <si>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</si>
  <si>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</si>
  <si>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</si>
  <si>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</si>
  <si>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</si>
  <si>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</si>
  <si>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</si>
  <si>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</si>
  <si>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</si>
  <si>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</si>
  <si>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</si>
  <si>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</si>
  <si>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</si>
  <si>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</si>
  <si>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</si>
  <si>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</si>
  <si>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</si>
  <si>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</si>
  <si>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</si>
  <si>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</si>
  <si>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</si>
  <si>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</si>
  <si>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</si>
  <si>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</si>
  <si>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</si>
  <si>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</si>
  <si>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</si>
  <si>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</si>
  <si>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</si>
  <si>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</si>
  <si>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</si>
  <si>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</si>
  <si>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</si>
  <si>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</si>
  <si>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</si>
  <si>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</si>
  <si>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</si>
  <si>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</si>
  <si>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</si>
  <si>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</si>
  <si>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</si>
  <si>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</si>
  <si>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</si>
  <si>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</si>
  <si>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</si>
  <si>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</si>
  <si>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</si>
  <si>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</si>
  <si>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</si>
  <si>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</si>
  <si>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</si>
  <si>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</si>
  <si>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</si>
  <si>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</si>
  <si>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</si>
  <si>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</si>
  <si>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</si>
  <si>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</si>
  <si>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</si>
  <si>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</si>
  <si>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</si>
  <si>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</si>
  <si>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</si>
  <si>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</si>
  <si>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</si>
  <si>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UT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</si>
  <si>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</si>
  <si>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</si>
  <si>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</si>
  <si>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</si>
  <si>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</si>
  <si>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</si>
  <si>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</si>
  <si>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</si>
  <si>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</si>
  <si>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</si>
  <si>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</si>
  <si>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</si>
  <si>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</si>
  <si>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</si>
  <si>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</si>
  <si>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</si>
  <si>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VT</t>
  </si>
  <si>
    <t>Addison County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</si>
  <si>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</si>
  <si>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</si>
  <si>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</si>
  <si>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</si>
  <si>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</si>
  <si>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</si>
  <si>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</si>
  <si>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VA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</si>
  <si>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</si>
  <si>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</si>
  <si>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</si>
  <si>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</si>
  <si>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</si>
  <si>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</si>
  <si>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</si>
  <si>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</si>
  <si>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</si>
  <si>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</si>
  <si>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</si>
  <si>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</si>
  <si>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</si>
  <si>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</si>
  <si>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</si>
  <si>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</si>
  <si>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</si>
  <si>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</si>
  <si>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</si>
  <si>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</si>
  <si>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</si>
  <si>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</si>
  <si>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</si>
  <si>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</si>
  <si>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</si>
  <si>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</si>
  <si>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</si>
  <si>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</si>
  <si>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</si>
  <si>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</si>
  <si>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</si>
  <si>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</si>
  <si>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</si>
  <si>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</si>
  <si>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</si>
  <si>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</si>
  <si>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</si>
  <si>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</si>
  <si>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</si>
  <si>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</si>
  <si>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</si>
  <si>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</si>
  <si>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</si>
  <si>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</si>
  <si>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</si>
  <si>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</si>
  <si>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</si>
  <si>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</si>
  <si>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</si>
  <si>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</si>
  <si>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</si>
  <si>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</si>
  <si>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</si>
  <si>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</si>
  <si>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</si>
  <si>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</si>
  <si>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</si>
  <si>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</si>
  <si>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</si>
  <si>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</si>
  <si>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</si>
  <si>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</si>
  <si>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</si>
  <si>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</si>
  <si>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</si>
  <si>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</si>
  <si>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</si>
  <si>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</si>
  <si>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</si>
  <si>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</si>
  <si>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</si>
  <si>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</si>
  <si>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</si>
  <si>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</si>
  <si>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</si>
  <si>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</si>
  <si>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</si>
  <si>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</si>
  <si>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</si>
  <si>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</si>
  <si>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</si>
  <si>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</si>
  <si>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</si>
  <si>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WA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</si>
  <si>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</si>
  <si>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</si>
  <si>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</si>
  <si>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</si>
  <si>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</si>
  <si>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</si>
  <si>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</si>
  <si>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</si>
  <si>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</si>
  <si>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</si>
  <si>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</si>
  <si>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</si>
  <si>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</si>
  <si>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</si>
  <si>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</si>
  <si>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</si>
  <si>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</si>
  <si>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</si>
  <si>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</si>
  <si>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</si>
  <si>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</si>
  <si>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</si>
  <si>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WV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</si>
  <si>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</si>
  <si>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</si>
  <si>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</si>
  <si>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</si>
  <si>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</si>
  <si>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</si>
  <si>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</si>
  <si>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</si>
  <si>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</si>
  <si>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</si>
  <si>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</si>
  <si>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</si>
  <si>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</si>
  <si>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</si>
  <si>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</si>
  <si>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</si>
  <si>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</si>
  <si>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WI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</si>
  <si>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</si>
  <si>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</si>
  <si>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</si>
  <si>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</si>
  <si>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</si>
  <si>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</si>
  <si>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</si>
  <si>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</si>
  <si>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</si>
  <si>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</si>
  <si>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</si>
  <si>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</si>
  <si>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</si>
  <si>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</si>
  <si>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</si>
  <si>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</si>
  <si>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</si>
  <si>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</si>
  <si>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</si>
  <si>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</si>
  <si>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</si>
  <si>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</si>
  <si>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</si>
  <si>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</si>
  <si>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</si>
  <si>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</si>
  <si>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</si>
  <si>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</si>
  <si>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</si>
  <si>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</si>
  <si>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</si>
  <si>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</si>
  <si>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</si>
  <si>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</si>
  <si>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</si>
  <si>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WY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</si>
  <si>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</si>
  <si>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</si>
  <si>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</si>
  <si>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</si>
  <si>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</si>
  <si>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</si>
  <si>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</si>
  <si>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</si>
  <si>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</si>
  <si>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</si>
  <si>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</si>
  <si>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PR</t>
  </si>
  <si>
    <t>Adjuntas Municipio</t>
  </si>
  <si>
    <t>Aguada Municipio</t>
  </si>
  <si>
    <t>Aguadilla Municipio</t>
  </si>
  <si>
    <t>Aguas Buenas Municipio</t>
  </si>
  <si>
    <t>Aibonito Municipio</t>
  </si>
  <si>
    <t>Añasco Municipio</t>
  </si>
  <si>
    <t>Arecibo Municipio</t>
  </si>
  <si>
    <t>Arroyo Municipio</t>
  </si>
  <si>
    <t>Barceloneta Municipio</t>
  </si>
  <si>
    <t>Barranquitas Municipio</t>
  </si>
  <si>
    <t>Bayamón Municipio</t>
  </si>
  <si>
    <t>Cabo Rojo Municipio</t>
  </si>
  <si>
    <t>Caguas Municipio</t>
  </si>
  <si>
    <t>Camuy Municipio</t>
  </si>
  <si>
    <t>Canóvanas Municipio</t>
  </si>
  <si>
    <t>Carolina Municipio</t>
  </si>
  <si>
    <t>Cataño Municipio</t>
  </si>
  <si>
    <t>Cayey Municipio</t>
  </si>
  <si>
    <t>Ceiba Municipio</t>
  </si>
  <si>
    <t>Ciales Municipio</t>
  </si>
  <si>
    <t>Cidra Municipio</t>
  </si>
  <si>
    <t>Coamo Municipio</t>
  </si>
  <si>
    <t>Comerío Municipio</t>
  </si>
  <si>
    <t>Corozal Municipio</t>
  </si>
  <si>
    <t>Culebra Municipio</t>
  </si>
  <si>
    <t>Dorado Municipio</t>
  </si>
  <si>
    <t>Fajardo Municipio</t>
  </si>
  <si>
    <t>Florida Municipio</t>
  </si>
  <si>
    <t>Guánica Municipio</t>
  </si>
  <si>
    <t>Guayama Municipio</t>
  </si>
  <si>
    <t>Guayanilla Municipio</t>
  </si>
  <si>
    <t>Guaynabo Municipio</t>
  </si>
  <si>
    <t>Gurabo Municipio</t>
  </si>
  <si>
    <t>Hatillo Municipio</t>
  </si>
  <si>
    <t>Hormigueros Municipio</t>
  </si>
  <si>
    <t>Humacao Municipio</t>
  </si>
  <si>
    <t>Isabela Municipio</t>
  </si>
  <si>
    <t>Jayuya Municipio</t>
  </si>
  <si>
    <t>Juana Díaz Municipio</t>
  </si>
  <si>
    <t>Juncos Municipio</t>
  </si>
  <si>
    <t>Lajas Municipio</t>
  </si>
  <si>
    <t>Lares Municipio</t>
  </si>
  <si>
    <t>Las Marías Municipio</t>
  </si>
  <si>
    <t>Las Piedras Municipio</t>
  </si>
  <si>
    <t>Loíza Municipio</t>
  </si>
  <si>
    <t>Luquillo Municipio</t>
  </si>
  <si>
    <t>Manatí Municipio</t>
  </si>
  <si>
    <t>Maricao Municipio</t>
  </si>
  <si>
    <t>Maunabo Municipio</t>
  </si>
  <si>
    <t>Mayagüez Municipio</t>
  </si>
  <si>
    <t>Moca Municipio</t>
  </si>
  <si>
    <t>Morovis Municipio</t>
  </si>
  <si>
    <t>Naguabo Municipio</t>
  </si>
  <si>
    <t>Naranjito Municipio</t>
  </si>
  <si>
    <t>Orocovis Municipio</t>
  </si>
  <si>
    <t>Patillas Municipio</t>
  </si>
  <si>
    <t>Peñuelas Municipio</t>
  </si>
  <si>
    <t>Ponce Municipio</t>
  </si>
  <si>
    <t>Quebradillas Municipio</t>
  </si>
  <si>
    <t>Rincón Municipio</t>
  </si>
  <si>
    <t>Río Grande Municipio</t>
  </si>
  <si>
    <t>Sabana Grande Municipio</t>
  </si>
  <si>
    <t>Salinas Municipio</t>
  </si>
  <si>
    <t>San Germán Municipio</t>
  </si>
  <si>
    <t>San Juan Municipio</t>
  </si>
  <si>
    <t>San Lorenzo Municipio</t>
  </si>
  <si>
    <t>San Sebastián Municipio</t>
  </si>
  <si>
    <t>Santa Isabel Municipio</t>
  </si>
  <si>
    <t>Toa Alta Municipio</t>
  </si>
  <si>
    <t>Toa Baja Municipio</t>
  </si>
  <si>
    <t>Trujillo Alto Municipio</t>
  </si>
  <si>
    <t>Utuado Municipio</t>
  </si>
  <si>
    <t>Vega Alta Municipio</t>
  </si>
  <si>
    <t>Vega Baja Municipio</t>
  </si>
  <si>
    <t>Vieques Municipio</t>
  </si>
  <si>
    <t>Villalba Municipio</t>
  </si>
  <si>
    <t>Yabucoa Municipio</t>
  </si>
  <si>
    <t>Yauco Municipio</t>
  </si>
  <si>
    <t>state_abbr</t>
  </si>
  <si>
    <t>EMM_pre2020</t>
  </si>
  <si>
    <t>EMM2020_county</t>
  </si>
  <si>
    <t>EMM2020_ba</t>
  </si>
  <si>
    <t>SRSE</t>
  </si>
  <si>
    <t>SRCE</t>
  </si>
  <si>
    <t>AZNM</t>
  </si>
  <si>
    <t>SRSG</t>
  </si>
  <si>
    <t>SRDA</t>
  </si>
  <si>
    <t>MISS</t>
  </si>
  <si>
    <t>SPNO</t>
  </si>
  <si>
    <t>SPPS</t>
  </si>
  <si>
    <t>SPSO</t>
  </si>
  <si>
    <t>CAMX</t>
  </si>
  <si>
    <t>CANO</t>
  </si>
  <si>
    <t>NWPP</t>
  </si>
  <si>
    <t>CASO</t>
  </si>
  <si>
    <t>RMPA</t>
  </si>
  <si>
    <t>RMRG</t>
  </si>
  <si>
    <t>NEWE</t>
  </si>
  <si>
    <t>ISNE</t>
  </si>
  <si>
    <t>RFCE</t>
  </si>
  <si>
    <t>PJME</t>
  </si>
  <si>
    <t>PJMD</t>
  </si>
  <si>
    <t>FRCC</t>
  </si>
  <si>
    <t>BASN</t>
  </si>
  <si>
    <t>SRGW</t>
  </si>
  <si>
    <t>MISC</t>
  </si>
  <si>
    <t>RFCW</t>
  </si>
  <si>
    <t>PJMC</t>
  </si>
  <si>
    <t>MROW</t>
  </si>
  <si>
    <t>MISW</t>
  </si>
  <si>
    <t>PJMW</t>
  </si>
  <si>
    <t>RFCM</t>
  </si>
  <si>
    <t>SPPN</t>
  </si>
  <si>
    <t>MROE</t>
  </si>
  <si>
    <t>SPPC</t>
  </si>
  <si>
    <t>ERCT</t>
  </si>
  <si>
    <t>MISE</t>
  </si>
  <si>
    <t>Doña Ana</t>
  </si>
  <si>
    <t>NYUP</t>
  </si>
  <si>
    <t>NYCW</t>
  </si>
  <si>
    <t>NYLI</t>
  </si>
  <si>
    <t>SRVC</t>
  </si>
  <si>
    <t>SRCA</t>
  </si>
  <si>
    <t>TRE</t>
  </si>
  <si>
    <t>IECC Climate Zone</t>
  </si>
  <si>
    <t>IECC Moisture Regime</t>
  </si>
  <si>
    <t>Composite IECC</t>
  </si>
  <si>
    <t>N/A</t>
  </si>
  <si>
    <t>Very Cold</t>
  </si>
  <si>
    <t>Aleutians East</t>
  </si>
  <si>
    <t>Aleutians West</t>
  </si>
  <si>
    <t>Anchorage</t>
  </si>
  <si>
    <t>Subarctic</t>
  </si>
  <si>
    <t>Bethel</t>
  </si>
  <si>
    <t>Bristol Bay</t>
  </si>
  <si>
    <t>Denali</t>
  </si>
  <si>
    <t>Dillingham</t>
  </si>
  <si>
    <t>Fairbanks North Star</t>
  </si>
  <si>
    <t>Haines</t>
  </si>
  <si>
    <t>Hoonah-Angoon</t>
  </si>
  <si>
    <t>Kenai Peninsula</t>
  </si>
  <si>
    <t>Ketchikan Gateway</t>
  </si>
  <si>
    <t>Kodiak Island</t>
  </si>
  <si>
    <t>Kusilvak</t>
  </si>
  <si>
    <t>Lake and Peninsula</t>
  </si>
  <si>
    <t>Matanuska-Susitna</t>
  </si>
  <si>
    <t>Nome</t>
  </si>
  <si>
    <t>North Slope</t>
  </si>
  <si>
    <t>Northwest Arctic</t>
  </si>
  <si>
    <t>Prince of Wales-Hyder</t>
  </si>
  <si>
    <t>Sitka</t>
  </si>
  <si>
    <t>Skagway</t>
  </si>
  <si>
    <t>Southeast Fairbanks</t>
  </si>
  <si>
    <t>Valdez-Cordova</t>
  </si>
  <si>
    <t>Wrangell</t>
  </si>
  <si>
    <t>Yakutat</t>
  </si>
  <si>
    <t>Yukon-Koyukuk</t>
  </si>
  <si>
    <t>A</t>
  </si>
  <si>
    <t>Hot-Humid</t>
  </si>
  <si>
    <t>Mixed-Humid</t>
  </si>
  <si>
    <t>AS</t>
  </si>
  <si>
    <t>Eastern District</t>
  </si>
  <si>
    <t>Manu'a District</t>
  </si>
  <si>
    <t>Rose Island</t>
  </si>
  <si>
    <t>Swains Island</t>
  </si>
  <si>
    <t>Western District</t>
  </si>
  <si>
    <t>B</t>
  </si>
  <si>
    <t>Cold</t>
  </si>
  <si>
    <t>Hot-Dry</t>
  </si>
  <si>
    <t>Mixed-Dry</t>
  </si>
  <si>
    <t>C</t>
  </si>
  <si>
    <t>Marine</t>
  </si>
  <si>
    <t>GU</t>
  </si>
  <si>
    <t>Guam</t>
  </si>
  <si>
    <t>Honolulu</t>
  </si>
  <si>
    <t>Kalawao</t>
  </si>
  <si>
    <t>Kauai</t>
  </si>
  <si>
    <t>Maui</t>
  </si>
  <si>
    <t>St. Louis (city)</t>
  </si>
  <si>
    <t>MP</t>
  </si>
  <si>
    <t>Northern Islands</t>
  </si>
  <si>
    <t>Rota</t>
  </si>
  <si>
    <t>Saipan</t>
  </si>
  <si>
    <t>Tinian</t>
  </si>
  <si>
    <t>Judith Basin</t>
  </si>
  <si>
    <t>Do¬ña Ana</t>
  </si>
  <si>
    <t>Carson City (city)</t>
  </si>
  <si>
    <t>Adjuntas</t>
  </si>
  <si>
    <t>Aguada</t>
  </si>
  <si>
    <t>Aguadilla</t>
  </si>
  <si>
    <t>Aguas Buenas</t>
  </si>
  <si>
    <t>Aibonito</t>
  </si>
  <si>
    <t>Anasco</t>
  </si>
  <si>
    <t>Arecibo</t>
  </si>
  <si>
    <t>Arroyo</t>
  </si>
  <si>
    <t>Barceloneta</t>
  </si>
  <si>
    <t>Barranquitas</t>
  </si>
  <si>
    <t>Bayamon</t>
  </si>
  <si>
    <t>Cabo Rojo</t>
  </si>
  <si>
    <t>Caguas</t>
  </si>
  <si>
    <t>Camuy</t>
  </si>
  <si>
    <t>Canovanas</t>
  </si>
  <si>
    <t>Carolina</t>
  </si>
  <si>
    <t>Catano</t>
  </si>
  <si>
    <t>Cayey</t>
  </si>
  <si>
    <t>Ceiba</t>
  </si>
  <si>
    <t>Ciales</t>
  </si>
  <si>
    <t>Cidra</t>
  </si>
  <si>
    <t>Coamo</t>
  </si>
  <si>
    <t>Comerio</t>
  </si>
  <si>
    <t>Corozal</t>
  </si>
  <si>
    <t>Culebra</t>
  </si>
  <si>
    <t>Dorado</t>
  </si>
  <si>
    <t>Fajardo</t>
  </si>
  <si>
    <t>Guanica</t>
  </si>
  <si>
    <t>Guayama</t>
  </si>
  <si>
    <t>Guayanilla</t>
  </si>
  <si>
    <t>Guaynabo</t>
  </si>
  <si>
    <t>Gurabo</t>
  </si>
  <si>
    <t>Hatillo</t>
  </si>
  <si>
    <t>Hormigueros</t>
  </si>
  <si>
    <t>Humacao</t>
  </si>
  <si>
    <t>Isabela</t>
  </si>
  <si>
    <t>Jayuya</t>
  </si>
  <si>
    <t>Juana Diaz</t>
  </si>
  <si>
    <t>Juncos</t>
  </si>
  <si>
    <t>Lajas</t>
  </si>
  <si>
    <t>Lares</t>
  </si>
  <si>
    <t>Las Marias</t>
  </si>
  <si>
    <t>Las Piedras</t>
  </si>
  <si>
    <t>Loiza</t>
  </si>
  <si>
    <t>Luquillo</t>
  </si>
  <si>
    <t>Manati</t>
  </si>
  <si>
    <t>Maricao</t>
  </si>
  <si>
    <t>Maunabo</t>
  </si>
  <si>
    <t>Mayaguez</t>
  </si>
  <si>
    <t>Moca</t>
  </si>
  <si>
    <t>Morovis</t>
  </si>
  <si>
    <t>Naguabo</t>
  </si>
  <si>
    <t>Naranjito</t>
  </si>
  <si>
    <t>Orocovis</t>
  </si>
  <si>
    <t>Patillas</t>
  </si>
  <si>
    <t>Penuelas</t>
  </si>
  <si>
    <t>Ponce</t>
  </si>
  <si>
    <t>Quebradillas</t>
  </si>
  <si>
    <t>Rincon</t>
  </si>
  <si>
    <t>Sabana Grande</t>
  </si>
  <si>
    <t>Salinas</t>
  </si>
  <si>
    <t>San German</t>
  </si>
  <si>
    <t>San Lorenzo</t>
  </si>
  <si>
    <t>San Sebastian</t>
  </si>
  <si>
    <t>Santa Isabel</t>
  </si>
  <si>
    <t>Toa Alta</t>
  </si>
  <si>
    <t>Toa Baja</t>
  </si>
  <si>
    <t>Trujillo Alto</t>
  </si>
  <si>
    <t>Utuado</t>
  </si>
  <si>
    <t>Vega Alta</t>
  </si>
  <si>
    <t>Vega Baja</t>
  </si>
  <si>
    <t>Vieques</t>
  </si>
  <si>
    <t>Villalba</t>
  </si>
  <si>
    <t>Yabucoa</t>
  </si>
  <si>
    <t>Yauco</t>
  </si>
  <si>
    <t>UM</t>
  </si>
  <si>
    <t>Midway Islands</t>
  </si>
  <si>
    <t>Alexandria (city)</t>
  </si>
  <si>
    <t>Bedford (city)</t>
  </si>
  <si>
    <t>Bristol (city)</t>
  </si>
  <si>
    <t>Buena Vista (city)</t>
  </si>
  <si>
    <t>Charlottesville (city)</t>
  </si>
  <si>
    <t>Chesapeake (city)</t>
  </si>
  <si>
    <t>Colonial Heights (city)</t>
  </si>
  <si>
    <t>Covington (city)</t>
  </si>
  <si>
    <t>Danville (city)</t>
  </si>
  <si>
    <t>Emporia (city)</t>
  </si>
  <si>
    <t>Fairfax (city)</t>
  </si>
  <si>
    <t>Falls Church (city)</t>
  </si>
  <si>
    <t>Franklin (city)</t>
  </si>
  <si>
    <t>Fredericksburg (city)</t>
  </si>
  <si>
    <t>Galax (city)</t>
  </si>
  <si>
    <t>Hampton (city)</t>
  </si>
  <si>
    <t>Harrisonburg (city)</t>
  </si>
  <si>
    <t>Hopewell (city)</t>
  </si>
  <si>
    <t>Lexington (city)</t>
  </si>
  <si>
    <t>Lynchburg (city)</t>
  </si>
  <si>
    <t>Manassas (city)</t>
  </si>
  <si>
    <t>Manassas Park (city)</t>
  </si>
  <si>
    <t>Martinsville (city)</t>
  </si>
  <si>
    <t>Newport News (city)</t>
  </si>
  <si>
    <t>Norfolk (city)</t>
  </si>
  <si>
    <t>Norton (city)</t>
  </si>
  <si>
    <t>Petersburg (city)</t>
  </si>
  <si>
    <t>Poquoson (city)</t>
  </si>
  <si>
    <t>Portsmouth (city)</t>
  </si>
  <si>
    <t>Radford (city)</t>
  </si>
  <si>
    <t>Richmond (city)</t>
  </si>
  <si>
    <t>Roanoke (city)</t>
  </si>
  <si>
    <t>Salem (city)</t>
  </si>
  <si>
    <t>Staunton (city)</t>
  </si>
  <si>
    <t>Suffolk (city)</t>
  </si>
  <si>
    <t>Virginia Beach (city)</t>
  </si>
  <si>
    <t>Waynesboro (city)</t>
  </si>
  <si>
    <t>Williamsburg (city)</t>
  </si>
  <si>
    <t>Winchester (city)</t>
  </si>
  <si>
    <t>VI</t>
  </si>
  <si>
    <t>St. Croix Island</t>
  </si>
  <si>
    <t>St. John Island</t>
  </si>
  <si>
    <t>St. Thomas Island</t>
  </si>
  <si>
    <t>Coal a</t>
  </si>
  <si>
    <t>Natural
gas b</t>
  </si>
  <si>
    <t>Biomass</t>
  </si>
  <si>
    <t>Geothermal</t>
  </si>
  <si>
    <t>Solar e</t>
  </si>
  <si>
    <t>Electricity f</t>
  </si>
  <si>
    <t>End use g</t>
  </si>
  <si>
    <t>Electrical
system
energy
losses h</t>
  </si>
  <si>
    <t>Total g</t>
  </si>
  <si>
    <t>cdiv</t>
  </si>
  <si>
    <t>Distillate
fuel oil</t>
  </si>
  <si>
    <t>HGL c</t>
  </si>
  <si>
    <t>Kerosene</t>
  </si>
  <si>
    <t>Total</t>
  </si>
  <si>
    <t>Wood d</t>
  </si>
  <si>
    <t>DISTILLATE</t>
  </si>
  <si>
    <t>ALL OTHER FOSSIL</t>
  </si>
  <si>
    <t>ELEC_SALES+GEN</t>
  </si>
  <si>
    <t>(s)</t>
  </si>
  <si>
    <t>United States</t>
  </si>
  <si>
    <t>Natural
gas a</t>
  </si>
  <si>
    <t>Hydro-
electric
power e</t>
  </si>
  <si>
    <t>Solar g</t>
  </si>
  <si>
    <t>Electricity h</t>
  </si>
  <si>
    <t>End use i</t>
  </si>
  <si>
    <t>Electrical
system
energy
losses j</t>
  </si>
  <si>
    <t>Total i</t>
  </si>
  <si>
    <t>HGL b</t>
  </si>
  <si>
    <t>Motor
gasoline c</t>
  </si>
  <si>
    <t>Residual
fuel oil</t>
  </si>
  <si>
    <t>Total d</t>
  </si>
  <si>
    <t>Wood and
waste f</t>
  </si>
  <si>
    <t>State_Abbrev</t>
  </si>
  <si>
    <t>Number of housing units (million)</t>
  </si>
  <si>
    <t>Total square footage (billion square feet)</t>
  </si>
  <si>
    <t>RESIDENTIAL</t>
  </si>
  <si>
    <t>Census Region</t>
  </si>
  <si>
    <t>EMM region</t>
  </si>
  <si>
    <t>total</t>
  </si>
  <si>
    <t>(AK)</t>
  </si>
  <si>
    <t>(HI)</t>
  </si>
  <si>
    <t>COMMERCIAL</t>
  </si>
  <si>
    <t>RES ELEC</t>
  </si>
  <si>
    <t>COM ELEC</t>
  </si>
  <si>
    <t>NATURAL GAS</t>
  </si>
  <si>
    <t>*Change in SEDS</t>
  </si>
  <si>
    <t>*change in SEDS</t>
  </si>
  <si>
    <t>DISTILLATE FUEL OIL</t>
  </si>
  <si>
    <t>OTHER FUELS</t>
  </si>
  <si>
    <t>ALL FUELS (SITE)</t>
  </si>
  <si>
    <t>HOMES</t>
  </si>
  <si>
    <t>SF</t>
  </si>
  <si>
    <t>AIA_CZ1</t>
  </si>
  <si>
    <t>AIA_CZ2</t>
  </si>
  <si>
    <t>AIA_CZ3</t>
  </si>
  <si>
    <t>AIA_CZ4</t>
  </si>
  <si>
    <t>AIA_CZ5</t>
  </si>
  <si>
    <t>IECC_CZ1</t>
  </si>
  <si>
    <t>IECC_CZ2</t>
  </si>
  <si>
    <t>IECC_CZ3</t>
  </si>
  <si>
    <t>IECC_CZ4</t>
  </si>
  <si>
    <t>IECC_CZ5</t>
  </si>
  <si>
    <t>IECC_CZ6</t>
  </si>
  <si>
    <t>IECC_CZ7</t>
  </si>
  <si>
    <t>IECC_CZ8</t>
  </si>
  <si>
    <t>BA</t>
  </si>
  <si>
    <t>BA_Hot-Humid</t>
  </si>
  <si>
    <t>BA_Mixed-Humid</t>
  </si>
  <si>
    <t>BA_Very Cold</t>
  </si>
  <si>
    <t>BA_Subarctic</t>
  </si>
  <si>
    <t>BA_Cold</t>
  </si>
  <si>
    <t>BA_Hot-Dry</t>
  </si>
  <si>
    <t>BA_Mixed-Dry</t>
  </si>
  <si>
    <t>BA_Marine</t>
  </si>
  <si>
    <t>new england</t>
  </si>
  <si>
    <t>mid atlantic</t>
  </si>
  <si>
    <t>east north central</t>
  </si>
  <si>
    <t>west north central</t>
  </si>
  <si>
    <t>south atlantic</t>
  </si>
  <si>
    <t>east south central</t>
  </si>
  <si>
    <t>west south central</t>
  </si>
  <si>
    <t>mountain</t>
  </si>
  <si>
    <t>pacific</t>
  </si>
  <si>
    <t>Primary EMM</t>
  </si>
  <si>
    <t>Total Population</t>
  </si>
  <si>
    <t>Population Weight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</si>
</sst>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0000"/>
  </numFmts>
  <fonts count="21">
    <font>
      <sz val="10.0"/>
      <color rgb="FF000000"/>
      <name val="Arial"/>
      <scheme val="minor"/>
    </font>
    <font>
      <b/>
      <sz val="14.0"/>
      <color rgb="FF1155CC"/>
      <name val="Arial"/>
      <scheme val="minor"/>
    </font>
    <font>
      <color theme="1"/>
      <name val="Arial"/>
      <scheme val="minor"/>
    </font>
    <font>
      <color theme="1"/>
      <name val="Arial"/>
    </font>
    <font>
      <b/>
      <color theme="1"/>
      <name val="Arial"/>
      <scheme val="minor"/>
    </font>
    <font>
      <b/>
      <color theme="1"/>
      <name val="Arial"/>
    </font>
    <font>
      <sz val="10.0"/>
      <color rgb="FF1F1F1F"/>
      <name val="Arial"/>
    </font>
    <font>
      <sz val="10.0"/>
      <color theme="1"/>
      <name val="Arial"/>
    </font>
    <font>
      <u/>
      <sz val="11.0"/>
      <color rgb="FF1F1F1F"/>
      <name val="Google Sans"/>
    </font>
    <font>
      <u/>
      <sz val="11.0"/>
      <color rgb="FF1F1F1F"/>
      <name val="Google Sans"/>
    </font>
    <font>
      <u/>
      <color rgb="FF0000FF"/>
      <name val="Arial"/>
    </font>
    <font>
      <b/>
      <sz val="10.0"/>
      <color rgb="FF000000"/>
      <name val="Arial"/>
    </font>
    <font>
      <sz val="12.0"/>
      <color theme="1"/>
      <name val="Calibri"/>
    </font>
    <font>
      <sz val="10.0"/>
      <color rgb="FF000000"/>
      <name val="Arial"/>
    </font>
    <font>
      <sz val="10.0"/>
      <color theme="1"/>
      <name val="Arial"/>
      <scheme val="minor"/>
    </font>
    <font>
      <b/>
      <sz val="9.0"/>
      <color rgb="FF333333"/>
      <name val="Inherit"/>
    </font>
    <font>
      <sz val="11.0"/>
      <color theme="1"/>
      <name val="Calibri"/>
    </font>
    <font>
      <sz val="9.0"/>
      <color rgb="FF333333"/>
      <name val="Inherit"/>
    </font>
    <font>
      <sz val="12.0"/>
      <color rgb="FF000000"/>
      <name val="Calibri"/>
    </font>
    <font>
      <sz val="11.0"/>
      <color rgb="FF000000"/>
      <name val="Calibri"/>
    </font>
    <font>
      <b/>
      <sz val="11.0"/>
      <color theme="1"/>
      <name val="Calibri"/>
    </font>
  </fonts>
  <fills count="5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FF0000"/>
        <bgColor rgb="FFFF0000"/>
      </patternFill>
    </fill>
  </fills>
  <borders count="3">
    <border/>
    <border>
      <bottom style="medium">
        <color rgb="FF189BD7"/>
      </bottom>
    </border>
    <border>
      <top style="thin">
        <color rgb="FF189BD7"/>
      </top>
    </border>
  </borders>
  <cellStyleXfs count="1">
    <xf borderId="0" fillId="0" fontId="0" numFmtId="0" applyAlignment="1" applyFont="1"/>
  </cellStyleXfs>
  <cellXfs count="8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vertical="bottom"/>
    </xf>
    <xf borderId="0" fillId="0" fontId="2" numFmtId="0" xfId="0" applyAlignment="1" applyFont="1">
      <alignment vertical="center"/>
    </xf>
    <xf borderId="0" fillId="0" fontId="3" numFmtId="0" xfId="0" applyAlignment="1" applyFont="1">
      <alignment shrinkToFit="0" wrapText="1"/>
    </xf>
    <xf borderId="0" fillId="0" fontId="2" numFmtId="0" xfId="0" applyAlignment="1" applyFont="1">
      <alignment shrinkToFit="0" vertical="center" wrapText="1"/>
    </xf>
    <xf borderId="0" fillId="0" fontId="4" numFmtId="0" xfId="0" applyAlignment="1" applyFont="1">
      <alignment vertical="center"/>
    </xf>
    <xf borderId="0" fillId="0" fontId="4" numFmtId="0" xfId="0" applyAlignment="1" applyFont="1">
      <alignment readingOrder="0" vertical="center"/>
    </xf>
    <xf borderId="0" fillId="0" fontId="4" numFmtId="0" xfId="0" applyAlignment="1" applyFont="1">
      <alignment shrinkToFit="0" vertical="center" wrapText="1"/>
    </xf>
    <xf borderId="0" fillId="0" fontId="5" numFmtId="0" xfId="0" applyAlignment="1" applyFont="1">
      <alignment shrinkToFit="0" wrapText="1"/>
    </xf>
    <xf borderId="0" fillId="0" fontId="4" numFmtId="0" xfId="0" applyAlignment="1" applyFont="1">
      <alignment readingOrder="0" shrinkToFit="0" vertical="center" wrapText="1"/>
    </xf>
    <xf borderId="0" fillId="0" fontId="2" numFmtId="0" xfId="0" applyAlignment="1" applyFont="1">
      <alignment readingOrder="0" vertical="center"/>
    </xf>
    <xf borderId="0" fillId="0" fontId="3" numFmtId="0" xfId="0" applyAlignment="1" applyFont="1">
      <alignment shrinkToFit="0" wrapText="1"/>
    </xf>
    <xf borderId="0" fillId="2" fontId="6" numFmtId="0" xfId="0" applyAlignment="1" applyFill="1" applyFont="1">
      <alignment readingOrder="0" shrinkToFit="0" wrapText="1"/>
    </xf>
    <xf borderId="0" fillId="2" fontId="6" numFmtId="0" xfId="0" applyAlignment="1" applyFont="1">
      <alignment readingOrder="0"/>
    </xf>
    <xf borderId="0" fillId="0" fontId="7" numFmtId="0" xfId="0" applyAlignment="1" applyFont="1">
      <alignment shrinkToFit="0" vertical="center" wrapText="1"/>
    </xf>
    <xf borderId="0" fillId="0" fontId="7" numFmtId="0" xfId="0" applyAlignment="1" applyFont="1">
      <alignment vertical="center"/>
    </xf>
    <xf borderId="0" fillId="3" fontId="3" numFmtId="0" xfId="0" applyAlignment="1" applyFill="1" applyFont="1">
      <alignment shrinkToFit="0" wrapText="1"/>
    </xf>
    <xf borderId="0" fillId="0" fontId="7" numFmtId="0" xfId="0" applyAlignment="1" applyFont="1">
      <alignment readingOrder="0" shrinkToFit="0" vertical="center" wrapText="1"/>
    </xf>
    <xf borderId="0" fillId="0" fontId="7" numFmtId="0" xfId="0" applyAlignment="1" applyFont="1">
      <alignment readingOrder="0" vertical="center"/>
    </xf>
    <xf borderId="0" fillId="0" fontId="8" numFmtId="0" xfId="0" applyAlignment="1" applyFont="1">
      <alignment shrinkToFit="0" vertical="bottom" wrapText="1"/>
    </xf>
    <xf borderId="0" fillId="2" fontId="9" numFmtId="0" xfId="0" applyAlignment="1" applyFont="1">
      <alignment shrinkToFit="0" vertical="bottom" wrapText="1"/>
    </xf>
    <xf borderId="0" fillId="0" fontId="10" numFmtId="0" xfId="0" applyAlignment="1" applyFont="1">
      <alignment shrinkToFit="0" wrapText="1"/>
    </xf>
    <xf borderId="0" fillId="0" fontId="2" numFmtId="0" xfId="0" applyAlignment="1" applyFont="1">
      <alignment shrinkToFit="0" wrapText="1"/>
    </xf>
    <xf borderId="0" fillId="0" fontId="3" numFmtId="0" xfId="0" applyFont="1"/>
    <xf borderId="0" fillId="0" fontId="3" numFmtId="0" xfId="0" applyAlignment="1" applyFont="1">
      <alignment readingOrder="0"/>
    </xf>
    <xf borderId="0" fillId="0" fontId="3" numFmtId="0" xfId="0" applyFont="1"/>
    <xf borderId="0" fillId="0" fontId="3" numFmtId="0" xfId="0" applyAlignment="1" applyFont="1">
      <alignment shrinkToFit="0" vertical="bottom" wrapText="1"/>
    </xf>
    <xf borderId="0" fillId="0" fontId="4" numFmtId="0" xfId="0" applyFont="1"/>
    <xf borderId="0" fillId="0" fontId="4" numFmtId="0" xfId="0" applyAlignment="1" applyFont="1">
      <alignment readingOrder="0"/>
    </xf>
    <xf borderId="0" fillId="0" fontId="4" numFmtId="0" xfId="0" applyAlignment="1" applyFont="1">
      <alignment horizontal="center" readingOrder="0"/>
    </xf>
    <xf borderId="0" fillId="0" fontId="4" numFmtId="0" xfId="0" applyAlignment="1" applyFont="1">
      <alignment horizontal="center"/>
    </xf>
    <xf borderId="0" fillId="0" fontId="11" numFmtId="0" xfId="0" applyAlignment="1" applyFont="1">
      <alignment horizontal="center" readingOrder="0" shrinkToFit="0" vertical="bottom" wrapText="0"/>
    </xf>
    <xf borderId="0" fillId="0" fontId="2" numFmtId="0" xfId="0" applyFont="1"/>
    <xf borderId="0" fillId="0" fontId="2" numFmtId="49" xfId="0" applyAlignment="1" applyFont="1" applyNumberFormat="1">
      <alignment horizontal="center"/>
    </xf>
    <xf borderId="0" fillId="0" fontId="2" numFmtId="0" xfId="0" applyFont="1"/>
    <xf borderId="0" fillId="0" fontId="2" numFmtId="0" xfId="0" applyAlignment="1" applyFont="1">
      <alignment horizontal="center"/>
    </xf>
    <xf borderId="0" fillId="0" fontId="12" numFmtId="0" xfId="0" applyAlignment="1" applyFont="1">
      <alignment horizontal="center"/>
    </xf>
    <xf borderId="0" fillId="0" fontId="2" numFmtId="0" xfId="0" applyAlignment="1" applyFont="1">
      <alignment horizontal="center"/>
    </xf>
    <xf borderId="0" fillId="3" fontId="13" numFmtId="0" xfId="0" applyAlignment="1" applyFont="1">
      <alignment vertical="bottom"/>
    </xf>
    <xf borderId="0" fillId="3" fontId="14" numFmtId="0" xfId="0" applyFont="1"/>
    <xf borderId="0" fillId="3" fontId="2" numFmtId="0" xfId="0" applyAlignment="1" applyFont="1">
      <alignment readingOrder="0"/>
    </xf>
    <xf borderId="0" fillId="3" fontId="2" numFmtId="0" xfId="0" applyFont="1"/>
    <xf borderId="0" fillId="3" fontId="2" numFmtId="0" xfId="0" applyAlignment="1" applyFont="1">
      <alignment horizontal="center"/>
    </xf>
    <xf borderId="0" fillId="4" fontId="2" numFmtId="0" xfId="0" applyAlignment="1" applyFill="1" applyFont="1">
      <alignment horizontal="center"/>
    </xf>
    <xf borderId="0" fillId="0" fontId="4" numFmtId="0" xfId="0" applyFont="1"/>
    <xf borderId="0" fillId="0" fontId="2" numFmtId="0" xfId="0" applyAlignment="1" applyFont="1">
      <alignment readingOrder="0"/>
    </xf>
    <xf borderId="0" fillId="0" fontId="2" numFmtId="3" xfId="0" applyAlignment="1" applyFont="1" applyNumberFormat="1">
      <alignment readingOrder="0"/>
    </xf>
    <xf borderId="0" fillId="0" fontId="13" numFmtId="0" xfId="0" applyAlignment="1" applyFont="1">
      <alignment horizontal="center" readingOrder="0" shrinkToFit="0" vertical="bottom" wrapText="0"/>
    </xf>
    <xf borderId="0" fillId="0" fontId="2" numFmtId="3" xfId="0" applyFont="1" applyNumberFormat="1"/>
    <xf borderId="0" fillId="0" fontId="15" numFmtId="0" xfId="0" applyAlignment="1" applyFont="1">
      <alignment horizontal="left" readingOrder="0" shrinkToFit="0" vertical="bottom" wrapText="0"/>
    </xf>
    <xf borderId="0" fillId="3" fontId="15" numFmtId="0" xfId="0" applyAlignment="1" applyFont="1">
      <alignment horizontal="left" readingOrder="0" shrinkToFit="0" vertical="bottom" wrapText="0"/>
    </xf>
    <xf borderId="0" fillId="3" fontId="2" numFmtId="0" xfId="0" applyFont="1"/>
    <xf borderId="0" fillId="0" fontId="16" numFmtId="0" xfId="0" applyAlignment="1" applyFont="1">
      <alignment vertical="bottom"/>
    </xf>
    <xf borderId="1" fillId="0" fontId="15" numFmtId="0" xfId="0" applyAlignment="1" applyBorder="1" applyFont="1">
      <alignment horizontal="left" readingOrder="0" shrinkToFit="0" vertical="bottom" wrapText="0"/>
    </xf>
    <xf borderId="1" fillId="3" fontId="15" numFmtId="0" xfId="0" applyAlignment="1" applyBorder="1" applyFont="1">
      <alignment horizontal="left" readingOrder="0" shrinkToFit="0" vertical="bottom" wrapText="0"/>
    </xf>
    <xf borderId="0" fillId="3" fontId="4" numFmtId="0" xfId="0" applyAlignment="1" applyFont="1">
      <alignment readingOrder="0"/>
    </xf>
    <xf borderId="2" fillId="2" fontId="17" numFmtId="0" xfId="0" applyAlignment="1" applyBorder="1" applyFont="1">
      <alignment horizontal="left" readingOrder="0" shrinkToFit="0" vertical="top" wrapText="0"/>
    </xf>
    <xf borderId="0" fillId="0" fontId="18" numFmtId="0" xfId="0" applyAlignment="1" applyFont="1">
      <alignment horizontal="right" shrinkToFit="0" vertical="bottom" wrapText="0"/>
    </xf>
    <xf borderId="2" fillId="2" fontId="17" numFmtId="0" xfId="0" applyAlignment="1" applyBorder="1" applyFont="1">
      <alignment horizontal="right" readingOrder="0" shrinkToFit="0" vertical="top" wrapText="0"/>
    </xf>
    <xf borderId="2" fillId="3" fontId="17" numFmtId="0" xfId="0" applyAlignment="1" applyBorder="1" applyFont="1">
      <alignment horizontal="right" readingOrder="0" shrinkToFit="0" vertical="top" wrapText="0"/>
    </xf>
    <xf borderId="0" fillId="2" fontId="17" numFmtId="0" xfId="0" applyAlignment="1" applyFont="1">
      <alignment horizontal="left" readingOrder="0" shrinkToFit="0" vertical="top" wrapText="0"/>
    </xf>
    <xf borderId="0" fillId="2" fontId="17" numFmtId="0" xfId="0" applyAlignment="1" applyFont="1">
      <alignment horizontal="right" readingOrder="0" shrinkToFit="0" vertical="top" wrapText="0"/>
    </xf>
    <xf borderId="0" fillId="2" fontId="17" numFmtId="4" xfId="0" applyAlignment="1" applyFont="1" applyNumberFormat="1">
      <alignment horizontal="right" readingOrder="0" shrinkToFit="0" vertical="top" wrapText="0"/>
    </xf>
    <xf borderId="0" fillId="3" fontId="18" numFmtId="0" xfId="0" applyAlignment="1" applyFont="1">
      <alignment shrinkToFit="0" vertical="bottom" wrapText="0"/>
    </xf>
    <xf borderId="0" fillId="3" fontId="17" numFmtId="0" xfId="0" applyAlignment="1" applyFont="1">
      <alignment horizontal="right" readingOrder="0" shrinkToFit="0" vertical="top" wrapText="0"/>
    </xf>
    <xf borderId="2" fillId="3" fontId="17" numFmtId="4" xfId="0" applyAlignment="1" applyBorder="1" applyFont="1" applyNumberFormat="1">
      <alignment horizontal="right" readingOrder="0" shrinkToFit="0" vertical="top" wrapText="0"/>
    </xf>
    <xf borderId="0" fillId="0" fontId="4" numFmtId="0" xfId="0" applyAlignment="1" applyFont="1">
      <alignment readingOrder="0" shrinkToFit="0" wrapText="1"/>
    </xf>
    <xf borderId="0" fillId="0" fontId="19" numFmtId="0" xfId="0" applyAlignment="1" applyFont="1">
      <alignment readingOrder="0" shrinkToFit="0" vertical="bottom" wrapText="0"/>
    </xf>
    <xf borderId="0" fillId="0" fontId="19" numFmtId="0" xfId="0" applyAlignment="1" applyFont="1">
      <alignment shrinkToFit="0" vertical="bottom" wrapText="0"/>
    </xf>
    <xf borderId="0" fillId="0" fontId="19" numFmtId="0" xfId="0" applyAlignment="1" applyFont="1">
      <alignment horizontal="right" readingOrder="0" shrinkToFit="0" vertical="bottom" wrapText="0"/>
    </xf>
    <xf borderId="0" fillId="0" fontId="20" numFmtId="0" xfId="0" applyAlignment="1" applyFont="1">
      <alignment vertical="bottom"/>
    </xf>
    <xf borderId="0" fillId="0" fontId="16" numFmtId="0" xfId="0" applyAlignment="1" applyFont="1">
      <alignment shrinkToFit="0" vertical="bottom" wrapText="0"/>
    </xf>
    <xf borderId="0" fillId="0" fontId="20" numFmtId="0" xfId="0" applyAlignment="1" applyFont="1">
      <alignment readingOrder="0" vertical="bottom"/>
    </xf>
    <xf borderId="0" fillId="0" fontId="18" numFmtId="0" xfId="0" applyAlignment="1" applyFont="1">
      <alignment shrinkToFit="0" vertical="bottom" wrapText="0"/>
    </xf>
    <xf borderId="0" fillId="0" fontId="16" numFmtId="0" xfId="0" applyAlignment="1" applyFont="1">
      <alignment horizontal="right" vertical="bottom"/>
    </xf>
    <xf borderId="0" fillId="0" fontId="16" numFmtId="0" xfId="0" applyAlignment="1" applyFont="1">
      <alignment horizontal="right" readingOrder="0" vertical="bottom"/>
    </xf>
    <xf borderId="0" fillId="0" fontId="19" numFmtId="0" xfId="0" applyAlignment="1" applyFont="1">
      <alignment horizontal="right" shrinkToFit="0" vertical="bottom" wrapText="0"/>
    </xf>
    <xf borderId="0" fillId="0" fontId="5" numFmtId="0" xfId="0" applyAlignment="1" applyFont="1">
      <alignment vertical="bottom"/>
    </xf>
    <xf borderId="0" fillId="0" fontId="3" numFmtId="0" xfId="0" applyAlignment="1" applyFont="1">
      <alignment vertical="bottom"/>
    </xf>
    <xf borderId="0" fillId="0" fontId="18" numFmtId="0" xfId="0" applyAlignment="1" applyFont="1">
      <alignment vertical="bottom"/>
    </xf>
    <xf borderId="0" fillId="0" fontId="5" numFmtId="0" xfId="0" applyAlignment="1" applyFont="1">
      <alignment readingOrder="0" vertical="bottom"/>
    </xf>
    <xf borderId="0" fillId="0" fontId="16" numFmtId="4" xfId="0" applyAlignment="1" applyFont="1" applyNumberFormat="1">
      <alignment horizontal="right" readingOrder="0" vertical="bottom"/>
    </xf>
    <xf borderId="0" fillId="0" fontId="3" numFmtId="0" xfId="0" applyAlignment="1" applyFont="1">
      <alignment vertical="bottom"/>
    </xf>
    <xf borderId="0" fillId="0" fontId="5" numFmtId="0" xfId="0" applyFont="1"/>
    <xf borderId="0" fillId="0" fontId="5" numFmtId="0" xfId="0" applyAlignment="1" applyFont="1">
      <alignment readingOrder="0"/>
    </xf>
    <xf borderId="0" fillId="0" fontId="3" numFmtId="0" xfId="0" applyFont="1"/>
    <xf borderId="0" fillId="0" fontId="3" numFmtId="49" xfId="0" applyFont="1" applyNumberFormat="1"/>
    <xf borderId="0" fillId="0" fontId="3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11" Type="http://schemas.openxmlformats.org/officeDocument/2006/relationships/worksheet" Target="worksheets/sheet8.xml"/><Relationship Id="rId55" Type="http://schemas.openxmlformats.org/officeDocument/2006/relationships/worksheet" Target="worksheets/sheet52.xml"/><Relationship Id="rId10" Type="http://schemas.openxmlformats.org/officeDocument/2006/relationships/worksheet" Target="worksheets/sheet7.xml"/><Relationship Id="rId54" Type="http://schemas.openxmlformats.org/officeDocument/2006/relationships/worksheet" Target="worksheets/sheet51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hyperlink" Target="https://gist.github.com/philngo/d3e251040569dba67942" TargetMode="External"/><Relationship Id="rId3" Type="http://schemas.openxmlformats.org/officeDocument/2006/relationships/hyperlink" Target="https://www.eia.gov/state/seds/data.php?incfile=/state/seds/sep_sum/html/sum_btu_res.html&amp;sid=US" TargetMode="External"/><Relationship Id="rId4" Type="http://schemas.openxmlformats.org/officeDocument/2006/relationships/hyperlink" Target="https://www.eia.gov/state/seds/data.php?incfile=/state/seds/sep_sum/html/sum_btu_com.html&amp;sid=US" TargetMode="External"/><Relationship Id="rId5" Type="http://schemas.openxmlformats.org/officeDocument/2006/relationships/hyperlink" Target="https://www.eia.gov/consumption/residential/data/2020/state/xls/State%20Square%20Footage.xlsx" TargetMode="External"/><Relationship Id="rId6" Type="http://schemas.openxmlformats.org/officeDocument/2006/relationships/drawing" Target="../drawings/drawing1.xml"/><Relationship Id="rId7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2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3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33.25"/>
    <col customWidth="1" min="6" max="6" width="27.5"/>
    <col customWidth="1" min="7" max="7" width="39.0"/>
    <col customWidth="1" min="8" max="8" width="70.38"/>
  </cols>
  <sheetData>
    <row r="1" ht="21.0" customHeight="1">
      <c r="A1" s="1" t="s">
        <v>0</v>
      </c>
      <c r="B1" s="2"/>
      <c r="C1" s="2"/>
      <c r="D1" s="2"/>
      <c r="E1" s="2"/>
      <c r="F1" s="3"/>
      <c r="G1" s="4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</row>
    <row r="2" ht="15.75" customHeight="1">
      <c r="A2" s="5"/>
      <c r="B2" s="6"/>
      <c r="C2" s="6"/>
      <c r="D2" s="6" t="s">
        <v>1</v>
      </c>
      <c r="F2" s="3"/>
      <c r="G2" s="7"/>
      <c r="H2" s="5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</row>
    <row r="3" ht="15.75" customHeight="1">
      <c r="A3" s="6" t="s">
        <v>2</v>
      </c>
      <c r="B3" s="6" t="s">
        <v>3</v>
      </c>
      <c r="C3" s="6" t="s">
        <v>4</v>
      </c>
      <c r="D3" s="6" t="s">
        <v>5</v>
      </c>
      <c r="E3" s="6" t="s">
        <v>6</v>
      </c>
      <c r="F3" s="8" t="s">
        <v>7</v>
      </c>
      <c r="G3" s="9" t="s">
        <v>8</v>
      </c>
      <c r="H3" s="6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</row>
    <row r="4" ht="15.75" customHeight="1">
      <c r="A4" s="10" t="s">
        <v>9</v>
      </c>
      <c r="B4" s="10" t="s">
        <v>10</v>
      </c>
      <c r="C4" s="10" t="s">
        <v>10</v>
      </c>
      <c r="D4" s="2"/>
      <c r="E4" s="2"/>
      <c r="F4" s="11" t="s">
        <v>11</v>
      </c>
      <c r="G4" s="12" t="s">
        <v>12</v>
      </c>
      <c r="H4" s="13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</row>
    <row r="5" ht="15.75" customHeight="1">
      <c r="A5" s="10" t="s">
        <v>13</v>
      </c>
      <c r="B5" s="10" t="s">
        <v>10</v>
      </c>
      <c r="C5" s="10" t="s">
        <v>10</v>
      </c>
      <c r="D5" s="2"/>
      <c r="E5" s="2"/>
      <c r="F5" s="3" t="s">
        <v>14</v>
      </c>
      <c r="G5" s="14"/>
      <c r="H5" s="15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</row>
    <row r="6" ht="15.75" customHeight="1">
      <c r="A6" s="10" t="s">
        <v>15</v>
      </c>
      <c r="B6" s="10" t="s">
        <v>10</v>
      </c>
      <c r="C6" s="10" t="s">
        <v>10</v>
      </c>
      <c r="D6" s="2"/>
      <c r="E6" s="2"/>
      <c r="F6" s="16"/>
      <c r="G6" s="17" t="s">
        <v>16</v>
      </c>
      <c r="H6" s="18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</row>
    <row r="7" ht="15.75" customHeight="1">
      <c r="A7" s="10" t="s">
        <v>17</v>
      </c>
      <c r="B7" s="10" t="s">
        <v>10</v>
      </c>
      <c r="C7" s="10" t="s">
        <v>10</v>
      </c>
      <c r="D7" s="2"/>
      <c r="E7" s="2"/>
      <c r="F7" s="19" t="s">
        <v>18</v>
      </c>
      <c r="G7" s="14"/>
      <c r="H7" s="15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</row>
    <row r="8" ht="15.75" customHeight="1">
      <c r="A8" s="10" t="s">
        <v>19</v>
      </c>
      <c r="B8" s="10" t="s">
        <v>20</v>
      </c>
      <c r="C8" s="10" t="s">
        <v>10</v>
      </c>
      <c r="D8" s="2"/>
      <c r="E8" s="2"/>
      <c r="F8" s="20" t="s">
        <v>21</v>
      </c>
      <c r="G8" s="4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</row>
    <row r="9" ht="15.75" customHeight="1">
      <c r="A9" s="10" t="s">
        <v>22</v>
      </c>
      <c r="B9" s="10" t="s">
        <v>20</v>
      </c>
      <c r="C9" s="10" t="s">
        <v>10</v>
      </c>
      <c r="D9" s="2"/>
      <c r="E9" s="2"/>
      <c r="F9" s="20" t="s">
        <v>23</v>
      </c>
      <c r="G9" s="4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</row>
    <row r="10" ht="15.75" customHeight="1">
      <c r="A10" s="10" t="s">
        <v>24</v>
      </c>
      <c r="B10" s="10" t="s">
        <v>20</v>
      </c>
      <c r="C10" s="10" t="s">
        <v>10</v>
      </c>
      <c r="D10" s="2"/>
      <c r="E10" s="2"/>
      <c r="F10" s="21" t="s">
        <v>25</v>
      </c>
      <c r="G10" s="4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</row>
    <row r="11" ht="16.5" customHeight="1">
      <c r="A11" s="10" t="s">
        <v>26</v>
      </c>
      <c r="B11" s="10" t="s">
        <v>10</v>
      </c>
      <c r="C11" s="10" t="s">
        <v>27</v>
      </c>
      <c r="D11" s="2"/>
      <c r="E11" s="2"/>
      <c r="F11" s="3" t="s">
        <v>28</v>
      </c>
      <c r="G11" s="2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</row>
    <row r="12" ht="15.75" customHeight="1">
      <c r="A12" s="10" t="s">
        <v>29</v>
      </c>
      <c r="B12" s="23" t="s">
        <v>10</v>
      </c>
      <c r="C12" s="24" t="s">
        <v>30</v>
      </c>
      <c r="D12" s="25"/>
      <c r="E12" s="25"/>
      <c r="F12" s="3" t="s">
        <v>31</v>
      </c>
      <c r="G12" s="22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  <c r="AA12" s="25"/>
      <c r="AB12" s="25"/>
      <c r="AC12" s="25"/>
    </row>
    <row r="13" ht="15.75" customHeight="1">
      <c r="A13" s="10" t="s">
        <v>32</v>
      </c>
      <c r="B13" s="10" t="s">
        <v>33</v>
      </c>
      <c r="C13" s="10" t="s">
        <v>27</v>
      </c>
      <c r="D13" s="10" t="s">
        <v>34</v>
      </c>
      <c r="E13" s="10" t="s">
        <v>35</v>
      </c>
      <c r="F13" s="3"/>
      <c r="G13" s="4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</row>
    <row r="14" ht="15.75" customHeight="1">
      <c r="A14" s="10" t="s">
        <v>36</v>
      </c>
      <c r="B14" s="10" t="s">
        <v>33</v>
      </c>
      <c r="C14" s="10" t="s">
        <v>27</v>
      </c>
      <c r="D14" s="10" t="s">
        <v>34</v>
      </c>
      <c r="E14" s="10" t="s">
        <v>35</v>
      </c>
      <c r="F14" s="3"/>
      <c r="G14" s="4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</row>
    <row r="15" ht="15.75" customHeight="1">
      <c r="A15" s="10" t="s">
        <v>37</v>
      </c>
      <c r="B15" s="10" t="s">
        <v>20</v>
      </c>
      <c r="C15" s="10" t="s">
        <v>27</v>
      </c>
      <c r="D15" s="10" t="s">
        <v>34</v>
      </c>
      <c r="E15" s="10" t="s">
        <v>35</v>
      </c>
      <c r="F15" s="3"/>
      <c r="G15" s="4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</row>
    <row r="16" ht="15.75" customHeight="1">
      <c r="A16" s="10" t="s">
        <v>38</v>
      </c>
      <c r="B16" s="10" t="s">
        <v>20</v>
      </c>
      <c r="C16" s="10" t="s">
        <v>27</v>
      </c>
      <c r="D16" s="10" t="s">
        <v>34</v>
      </c>
      <c r="E16" s="10" t="s">
        <v>35</v>
      </c>
      <c r="F16" s="3"/>
      <c r="G16" s="4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</row>
    <row r="17" ht="15.75" customHeight="1">
      <c r="A17" s="10" t="s">
        <v>39</v>
      </c>
      <c r="B17" s="10" t="s">
        <v>10</v>
      </c>
      <c r="C17" s="10" t="s">
        <v>10</v>
      </c>
      <c r="D17" s="10" t="s">
        <v>34</v>
      </c>
      <c r="E17" s="10" t="s">
        <v>35</v>
      </c>
      <c r="F17" s="3"/>
      <c r="G17" s="4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</row>
    <row r="18" ht="15.75" customHeight="1">
      <c r="A18" s="10" t="s">
        <v>40</v>
      </c>
      <c r="B18" s="10" t="s">
        <v>10</v>
      </c>
      <c r="C18" s="10" t="s">
        <v>10</v>
      </c>
      <c r="D18" s="10" t="s">
        <v>34</v>
      </c>
      <c r="E18" s="10" t="s">
        <v>35</v>
      </c>
      <c r="F18" s="3"/>
      <c r="G18" s="4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</row>
    <row r="19" ht="15.75" customHeight="1">
      <c r="A19" s="23" t="s">
        <v>41</v>
      </c>
      <c r="B19" s="24" t="s">
        <v>10</v>
      </c>
      <c r="C19" s="10" t="s">
        <v>10</v>
      </c>
      <c r="D19" s="24" t="s">
        <v>42</v>
      </c>
      <c r="E19" s="24" t="s">
        <v>43</v>
      </c>
      <c r="F19" s="26"/>
      <c r="G19" s="3"/>
      <c r="H19" s="25"/>
      <c r="I19" s="25"/>
      <c r="J19" s="25"/>
      <c r="K19" s="25"/>
      <c r="L19" s="25"/>
      <c r="M19" s="25"/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  <c r="AA19" s="25"/>
      <c r="AB19" s="25"/>
      <c r="AC19" s="25"/>
    </row>
    <row r="20" ht="15.75" customHeight="1">
      <c r="A20" s="23" t="s">
        <v>44</v>
      </c>
      <c r="B20" s="24" t="s">
        <v>10</v>
      </c>
      <c r="C20" s="10" t="s">
        <v>10</v>
      </c>
      <c r="D20" s="24" t="s">
        <v>45</v>
      </c>
      <c r="E20" s="24" t="s">
        <v>43</v>
      </c>
      <c r="F20" s="26"/>
      <c r="G20" s="3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</row>
    <row r="21" ht="15.75" customHeight="1">
      <c r="A21" s="23" t="s">
        <v>46</v>
      </c>
      <c r="B21" s="23" t="s">
        <v>10</v>
      </c>
      <c r="C21" s="10" t="s">
        <v>10</v>
      </c>
      <c r="D21" s="24" t="s">
        <v>43</v>
      </c>
      <c r="E21" s="24" t="s">
        <v>34</v>
      </c>
      <c r="F21" s="26"/>
      <c r="G21" s="3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</row>
    <row r="22" ht="15.75" customHeight="1">
      <c r="A22" s="24" t="s">
        <v>47</v>
      </c>
      <c r="B22" s="24" t="s">
        <v>10</v>
      </c>
      <c r="C22" s="10" t="s">
        <v>10</v>
      </c>
      <c r="D22" s="24" t="s">
        <v>43</v>
      </c>
      <c r="E22" s="24" t="s">
        <v>48</v>
      </c>
      <c r="F22" s="26"/>
      <c r="G22" s="3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  <c r="AA22" s="25"/>
      <c r="AB22" s="25"/>
      <c r="AC22" s="25"/>
    </row>
    <row r="23" ht="15.75" customHeight="1">
      <c r="A23" s="24" t="s">
        <v>49</v>
      </c>
      <c r="B23" s="23" t="s">
        <v>10</v>
      </c>
      <c r="C23" s="10" t="s">
        <v>10</v>
      </c>
      <c r="D23" s="24" t="s">
        <v>43</v>
      </c>
      <c r="E23" s="24" t="s">
        <v>48</v>
      </c>
      <c r="F23" s="26"/>
      <c r="G23" s="3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25"/>
    </row>
    <row r="24" ht="15.75" customHeight="1">
      <c r="A24" s="24" t="s">
        <v>50</v>
      </c>
      <c r="B24" s="23" t="s">
        <v>10</v>
      </c>
      <c r="C24" s="10" t="s">
        <v>10</v>
      </c>
      <c r="D24" s="24" t="s">
        <v>42</v>
      </c>
      <c r="E24" s="24" t="s">
        <v>48</v>
      </c>
      <c r="F24" s="26"/>
      <c r="G24" s="3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</row>
    <row r="25" ht="15.75" customHeight="1">
      <c r="A25" s="24" t="s">
        <v>51</v>
      </c>
      <c r="B25" s="23" t="s">
        <v>10</v>
      </c>
      <c r="C25" s="10" t="s">
        <v>10</v>
      </c>
      <c r="D25" s="24" t="s">
        <v>52</v>
      </c>
      <c r="E25" s="24" t="s">
        <v>48</v>
      </c>
      <c r="F25" s="26"/>
      <c r="G25" s="3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  <c r="AA25" s="25"/>
      <c r="AB25" s="25"/>
      <c r="AC25" s="25"/>
    </row>
    <row r="26" ht="15.75" customHeight="1">
      <c r="A26" s="10" t="s">
        <v>53</v>
      </c>
      <c r="B26" s="10" t="s">
        <v>10</v>
      </c>
      <c r="C26" s="10" t="s">
        <v>10</v>
      </c>
      <c r="D26" s="10" t="s">
        <v>45</v>
      </c>
      <c r="E26" s="10" t="s">
        <v>48</v>
      </c>
      <c r="F26" s="3"/>
      <c r="G26" s="4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</row>
    <row r="27" ht="15.75" customHeight="1">
      <c r="A27" s="10" t="s">
        <v>54</v>
      </c>
      <c r="B27" s="10" t="s">
        <v>10</v>
      </c>
      <c r="C27" s="10" t="s">
        <v>10</v>
      </c>
      <c r="D27" s="10" t="s">
        <v>43</v>
      </c>
      <c r="E27" s="10" t="s">
        <v>35</v>
      </c>
      <c r="F27" s="3"/>
      <c r="G27" s="4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</row>
    <row r="28" ht="15.75" customHeight="1">
      <c r="A28" s="10" t="s">
        <v>46</v>
      </c>
      <c r="B28" s="10" t="s">
        <v>10</v>
      </c>
      <c r="C28" s="10" t="s">
        <v>10</v>
      </c>
      <c r="D28" s="10" t="s">
        <v>43</v>
      </c>
      <c r="E28" s="10" t="s">
        <v>34</v>
      </c>
      <c r="F28" s="3"/>
      <c r="G28" s="4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</row>
    <row r="29" ht="15.75" customHeight="1">
      <c r="A29" s="10" t="s">
        <v>55</v>
      </c>
      <c r="B29" s="10" t="s">
        <v>10</v>
      </c>
      <c r="C29" s="10" t="s">
        <v>10</v>
      </c>
      <c r="D29" s="10" t="s">
        <v>42</v>
      </c>
      <c r="E29" s="10" t="s">
        <v>35</v>
      </c>
      <c r="F29" s="3"/>
      <c r="G29" s="4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</row>
    <row r="30" ht="15.75" customHeight="1">
      <c r="A30" s="10" t="s">
        <v>56</v>
      </c>
      <c r="B30" s="10" t="s">
        <v>10</v>
      </c>
      <c r="C30" s="10" t="s">
        <v>10</v>
      </c>
      <c r="D30" s="10" t="s">
        <v>52</v>
      </c>
      <c r="E30" s="10" t="s">
        <v>35</v>
      </c>
      <c r="F30" s="3"/>
      <c r="G30" s="4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</row>
    <row r="31" ht="15.75" customHeight="1">
      <c r="A31" s="10" t="s">
        <v>57</v>
      </c>
      <c r="B31" s="10" t="s">
        <v>10</v>
      </c>
      <c r="C31" s="10" t="s">
        <v>10</v>
      </c>
      <c r="D31" s="10" t="s">
        <v>45</v>
      </c>
      <c r="E31" s="10" t="s">
        <v>35</v>
      </c>
      <c r="F31" s="3"/>
      <c r="G31" s="4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</row>
    <row r="32" ht="15.75" customHeight="1">
      <c r="A32" s="10" t="s">
        <v>58</v>
      </c>
      <c r="B32" s="10" t="s">
        <v>20</v>
      </c>
      <c r="C32" s="10" t="s">
        <v>10</v>
      </c>
      <c r="D32" s="2"/>
      <c r="E32" s="2"/>
      <c r="F32" s="3"/>
      <c r="G32" s="4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</row>
    <row r="33" ht="15.75" customHeight="1">
      <c r="A33" s="10" t="s">
        <v>59</v>
      </c>
      <c r="B33" s="10" t="s">
        <v>20</v>
      </c>
      <c r="C33" s="10" t="s">
        <v>10</v>
      </c>
      <c r="D33" s="10" t="s">
        <v>34</v>
      </c>
      <c r="E33" s="10" t="s">
        <v>48</v>
      </c>
      <c r="F33" s="3"/>
      <c r="G33" s="4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</row>
    <row r="34" ht="15.75" customHeight="1">
      <c r="A34" s="10" t="s">
        <v>60</v>
      </c>
      <c r="B34" s="10" t="s">
        <v>33</v>
      </c>
      <c r="C34" s="10" t="s">
        <v>10</v>
      </c>
      <c r="D34" s="10" t="s">
        <v>34</v>
      </c>
      <c r="E34" s="10" t="s">
        <v>48</v>
      </c>
      <c r="F34" s="3"/>
      <c r="G34" s="4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</row>
    <row r="35" ht="15.75" customHeight="1">
      <c r="A35" s="10" t="s">
        <v>61</v>
      </c>
      <c r="B35" s="10" t="s">
        <v>20</v>
      </c>
      <c r="C35" s="10" t="s">
        <v>27</v>
      </c>
      <c r="D35" s="10" t="s">
        <v>34</v>
      </c>
      <c r="E35" s="10" t="s">
        <v>48</v>
      </c>
      <c r="F35" s="3"/>
      <c r="G35" s="4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</row>
    <row r="36" ht="15.75" customHeight="1">
      <c r="A36" s="10" t="s">
        <v>62</v>
      </c>
      <c r="B36" s="10" t="s">
        <v>33</v>
      </c>
      <c r="C36" s="10" t="s">
        <v>27</v>
      </c>
      <c r="D36" s="10" t="s">
        <v>34</v>
      </c>
      <c r="E36" s="10" t="s">
        <v>48</v>
      </c>
      <c r="F36" s="3"/>
      <c r="G36" s="4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</row>
    <row r="37" ht="15.75" customHeight="1">
      <c r="A37" s="10" t="s">
        <v>63</v>
      </c>
      <c r="B37" s="10" t="s">
        <v>20</v>
      </c>
      <c r="C37" s="10" t="s">
        <v>64</v>
      </c>
      <c r="D37" s="10" t="s">
        <v>34</v>
      </c>
      <c r="E37" s="10" t="s">
        <v>48</v>
      </c>
      <c r="F37" s="3"/>
      <c r="G37" s="4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</row>
    <row r="38" ht="15.75" customHeight="1">
      <c r="A38" s="10" t="s">
        <v>65</v>
      </c>
      <c r="B38" s="10" t="s">
        <v>33</v>
      </c>
      <c r="C38" s="10" t="s">
        <v>64</v>
      </c>
      <c r="D38" s="10" t="s">
        <v>34</v>
      </c>
      <c r="E38" s="10" t="s">
        <v>48</v>
      </c>
      <c r="F38" s="3"/>
      <c r="G38" s="4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</row>
    <row r="39" ht="15.75" customHeight="1">
      <c r="A39" s="10" t="s">
        <v>66</v>
      </c>
      <c r="B39" s="10" t="s">
        <v>20</v>
      </c>
      <c r="C39" s="10" t="s">
        <v>67</v>
      </c>
      <c r="D39" s="10" t="s">
        <v>34</v>
      </c>
      <c r="E39" s="10" t="s">
        <v>48</v>
      </c>
      <c r="F39" s="3"/>
      <c r="G39" s="4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</row>
    <row r="40" ht="15.75" customHeight="1">
      <c r="A40" s="10" t="s">
        <v>68</v>
      </c>
      <c r="B40" s="10" t="s">
        <v>33</v>
      </c>
      <c r="C40" s="10" t="s">
        <v>67</v>
      </c>
      <c r="D40" s="10" t="s">
        <v>34</v>
      </c>
      <c r="E40" s="10" t="s">
        <v>48</v>
      </c>
      <c r="F40" s="3"/>
      <c r="G40" s="4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</row>
    <row r="41" ht="15.75" customHeight="1">
      <c r="A41" s="10" t="s">
        <v>69</v>
      </c>
      <c r="B41" s="10" t="s">
        <v>20</v>
      </c>
      <c r="C41" s="10" t="s">
        <v>70</v>
      </c>
      <c r="D41" s="10" t="s">
        <v>34</v>
      </c>
      <c r="E41" s="10" t="s">
        <v>48</v>
      </c>
      <c r="F41" s="3"/>
      <c r="G41" s="4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</row>
    <row r="42" ht="15.75" customHeight="1">
      <c r="A42" s="10" t="s">
        <v>71</v>
      </c>
      <c r="B42" s="10" t="s">
        <v>33</v>
      </c>
      <c r="C42" s="10" t="s">
        <v>70</v>
      </c>
      <c r="D42" s="10" t="s">
        <v>34</v>
      </c>
      <c r="E42" s="10" t="s">
        <v>48</v>
      </c>
      <c r="F42" s="3"/>
      <c r="G42" s="4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</row>
    <row r="43" ht="15.75" customHeight="1">
      <c r="A43" s="10" t="s">
        <v>72</v>
      </c>
      <c r="B43" s="10" t="s">
        <v>20</v>
      </c>
      <c r="C43" s="10" t="s">
        <v>64</v>
      </c>
      <c r="D43" s="10" t="s">
        <v>34</v>
      </c>
      <c r="E43" s="10" t="s">
        <v>35</v>
      </c>
      <c r="F43" s="3"/>
      <c r="G43" s="4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</row>
    <row r="44" ht="15.75" customHeight="1">
      <c r="A44" s="10" t="s">
        <v>73</v>
      </c>
      <c r="B44" s="10" t="s">
        <v>20</v>
      </c>
      <c r="C44" s="10" t="s">
        <v>67</v>
      </c>
      <c r="D44" s="10" t="s">
        <v>34</v>
      </c>
      <c r="E44" s="10" t="s">
        <v>35</v>
      </c>
      <c r="F44" s="3"/>
      <c r="G44" s="4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</row>
    <row r="45" ht="15.75" customHeight="1">
      <c r="A45" s="10" t="s">
        <v>74</v>
      </c>
      <c r="B45" s="10" t="s">
        <v>20</v>
      </c>
      <c r="C45" s="10" t="s">
        <v>70</v>
      </c>
      <c r="D45" s="10" t="s">
        <v>34</v>
      </c>
      <c r="E45" s="10" t="s">
        <v>35</v>
      </c>
      <c r="F45" s="3"/>
      <c r="G45" s="4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</row>
    <row r="46" ht="15.75" customHeight="1">
      <c r="A46" s="10" t="s">
        <v>75</v>
      </c>
      <c r="B46" s="10" t="s">
        <v>33</v>
      </c>
      <c r="C46" s="10" t="s">
        <v>64</v>
      </c>
      <c r="D46" s="10" t="s">
        <v>34</v>
      </c>
      <c r="E46" s="10" t="s">
        <v>35</v>
      </c>
      <c r="F46" s="3"/>
      <c r="G46" s="4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</row>
    <row r="47" ht="15.75" customHeight="1">
      <c r="A47" s="10" t="s">
        <v>76</v>
      </c>
      <c r="B47" s="10" t="s">
        <v>33</v>
      </c>
      <c r="C47" s="10" t="s">
        <v>67</v>
      </c>
      <c r="D47" s="10" t="s">
        <v>34</v>
      </c>
      <c r="E47" s="10" t="s">
        <v>35</v>
      </c>
      <c r="F47" s="3"/>
      <c r="G47" s="4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</row>
    <row r="48" ht="15.75" customHeight="1">
      <c r="A48" s="10" t="s">
        <v>77</v>
      </c>
      <c r="B48" s="10" t="s">
        <v>33</v>
      </c>
      <c r="C48" s="10" t="s">
        <v>70</v>
      </c>
      <c r="D48" s="10" t="s">
        <v>34</v>
      </c>
      <c r="E48" s="10" t="s">
        <v>35</v>
      </c>
      <c r="F48" s="3"/>
      <c r="G48" s="4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</row>
    <row r="49" ht="15.75" customHeight="1">
      <c r="A49" s="10" t="s">
        <v>78</v>
      </c>
      <c r="B49" s="10" t="s">
        <v>10</v>
      </c>
      <c r="C49" s="10" t="s">
        <v>10</v>
      </c>
      <c r="D49" s="10" t="s">
        <v>48</v>
      </c>
      <c r="E49" s="10" t="s">
        <v>35</v>
      </c>
      <c r="F49" s="3"/>
      <c r="G49" s="4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</row>
    <row r="50" ht="15.75" customHeight="1">
      <c r="A50" s="10" t="s">
        <v>79</v>
      </c>
      <c r="B50" s="10" t="s">
        <v>10</v>
      </c>
      <c r="C50" s="10" t="s">
        <v>10</v>
      </c>
      <c r="D50" s="10" t="s">
        <v>35</v>
      </c>
      <c r="E50" s="10" t="s">
        <v>48</v>
      </c>
      <c r="F50" s="3"/>
      <c r="G50" s="4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</row>
    <row r="51" ht="15.75" customHeight="1">
      <c r="A51" s="10" t="s">
        <v>80</v>
      </c>
      <c r="B51" s="10" t="s">
        <v>10</v>
      </c>
      <c r="C51" s="10" t="s">
        <v>10</v>
      </c>
      <c r="D51" s="10" t="s">
        <v>48</v>
      </c>
      <c r="E51" s="10" t="s">
        <v>35</v>
      </c>
      <c r="F51" s="3"/>
      <c r="G51" s="4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</row>
    <row r="52" ht="15.75" customHeight="1">
      <c r="A52" s="10" t="s">
        <v>81</v>
      </c>
      <c r="B52" s="10" t="s">
        <v>10</v>
      </c>
      <c r="C52" s="10" t="s">
        <v>10</v>
      </c>
      <c r="D52" s="10" t="s">
        <v>35</v>
      </c>
      <c r="E52" s="10" t="s">
        <v>48</v>
      </c>
      <c r="F52" s="3"/>
      <c r="G52" s="4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</row>
    <row r="53" ht="15.75" customHeight="1">
      <c r="A53" s="10" t="s">
        <v>82</v>
      </c>
      <c r="B53" s="10" t="s">
        <v>10</v>
      </c>
      <c r="C53" s="10" t="s">
        <v>10</v>
      </c>
      <c r="D53" s="10" t="s">
        <v>48</v>
      </c>
      <c r="E53" s="10" t="s">
        <v>35</v>
      </c>
      <c r="F53" s="3"/>
      <c r="G53" s="4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</row>
    <row r="54" ht="15.75" customHeight="1">
      <c r="A54" s="10" t="s">
        <v>83</v>
      </c>
      <c r="B54" s="10" t="s">
        <v>10</v>
      </c>
      <c r="C54" s="10" t="s">
        <v>10</v>
      </c>
      <c r="D54" s="10"/>
      <c r="E54" s="2"/>
      <c r="F54" s="3"/>
      <c r="G54" s="4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</row>
    <row r="55" ht="15.75" customHeight="1">
      <c r="A55" s="2"/>
      <c r="B55" s="2"/>
      <c r="C55" s="2"/>
      <c r="D55" s="2"/>
      <c r="E55" s="2"/>
      <c r="F55" s="3"/>
      <c r="G55" s="4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</row>
    <row r="56" ht="15.75" customHeight="1">
      <c r="A56" s="10" t="s">
        <v>84</v>
      </c>
      <c r="B56" s="2"/>
      <c r="C56" s="2"/>
      <c r="D56" s="2"/>
      <c r="E56" s="2"/>
      <c r="F56" s="3"/>
      <c r="G56" s="4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</row>
    <row r="57" ht="15.75" customHeight="1">
      <c r="A57" s="10" t="s">
        <v>85</v>
      </c>
      <c r="B57" s="2"/>
      <c r="C57" s="2"/>
      <c r="D57" s="2"/>
      <c r="E57" s="2"/>
      <c r="F57" s="3"/>
      <c r="G57" s="4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</row>
    <row r="58" ht="15.75" customHeight="1">
      <c r="A58" s="2"/>
      <c r="B58" s="2"/>
      <c r="C58" s="2"/>
      <c r="D58" s="2"/>
      <c r="E58" s="2"/>
      <c r="F58" s="3"/>
      <c r="G58" s="4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</row>
    <row r="59" ht="15.75" customHeight="1">
      <c r="A59" s="2"/>
      <c r="B59" s="2"/>
      <c r="C59" s="2"/>
      <c r="D59" s="2"/>
      <c r="E59" s="2"/>
      <c r="F59" s="3"/>
      <c r="G59" s="4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</row>
    <row r="60" ht="15.75" customHeight="1">
      <c r="A60" s="2"/>
      <c r="B60" s="2"/>
      <c r="C60" s="2"/>
      <c r="D60" s="2"/>
      <c r="E60" s="2"/>
      <c r="F60" s="3"/>
      <c r="G60" s="4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</row>
    <row r="61" ht="15.75" customHeight="1">
      <c r="A61" s="2"/>
      <c r="B61" s="2"/>
      <c r="C61" s="2"/>
      <c r="D61" s="2"/>
      <c r="E61" s="2"/>
      <c r="F61" s="3"/>
      <c r="G61" s="4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</row>
    <row r="62" ht="15.75" customHeight="1">
      <c r="A62" s="2"/>
      <c r="B62" s="2"/>
      <c r="C62" s="2"/>
      <c r="D62" s="2"/>
      <c r="E62" s="2"/>
      <c r="F62" s="3"/>
      <c r="G62" s="4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</row>
    <row r="63" ht="15.75" customHeight="1">
      <c r="A63" s="2"/>
      <c r="B63" s="2"/>
      <c r="C63" s="2"/>
      <c r="D63" s="2"/>
      <c r="E63" s="2"/>
      <c r="F63" s="3"/>
      <c r="G63" s="4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</row>
    <row r="64" ht="15.75" customHeight="1">
      <c r="A64" s="2"/>
      <c r="B64" s="2"/>
      <c r="C64" s="2"/>
      <c r="D64" s="2"/>
      <c r="E64" s="2"/>
      <c r="F64" s="3"/>
      <c r="G64" s="4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</row>
    <row r="65" ht="15.75" customHeight="1">
      <c r="A65" s="2"/>
      <c r="B65" s="2"/>
      <c r="C65" s="2"/>
      <c r="D65" s="2"/>
      <c r="E65" s="2"/>
      <c r="F65" s="3"/>
      <c r="G65" s="4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</row>
    <row r="66" ht="15.75" customHeight="1">
      <c r="A66" s="2"/>
      <c r="B66" s="2"/>
      <c r="C66" s="2"/>
      <c r="D66" s="2"/>
      <c r="E66" s="2"/>
      <c r="F66" s="3"/>
      <c r="G66" s="4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</row>
    <row r="67" ht="15.75" customHeight="1">
      <c r="A67" s="2"/>
      <c r="B67" s="2"/>
      <c r="C67" s="2"/>
      <c r="D67" s="2"/>
      <c r="E67" s="2"/>
      <c r="F67" s="3"/>
      <c r="G67" s="4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</row>
    <row r="68" ht="15.75" customHeight="1">
      <c r="A68" s="2"/>
      <c r="B68" s="2"/>
      <c r="C68" s="2"/>
      <c r="D68" s="2"/>
      <c r="E68" s="2"/>
      <c r="F68" s="3"/>
      <c r="G68" s="4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</row>
    <row r="69" ht="15.75" customHeight="1">
      <c r="A69" s="2"/>
      <c r="B69" s="2"/>
      <c r="C69" s="2"/>
      <c r="D69" s="2"/>
      <c r="E69" s="2"/>
      <c r="F69" s="3"/>
      <c r="G69" s="4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</row>
    <row r="70" ht="15.75" customHeight="1">
      <c r="A70" s="2"/>
      <c r="B70" s="2"/>
      <c r="C70" s="2"/>
      <c r="D70" s="2"/>
      <c r="E70" s="2"/>
      <c r="F70" s="3"/>
      <c r="G70" s="4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</row>
    <row r="71" ht="15.75" customHeight="1">
      <c r="A71" s="2"/>
      <c r="B71" s="2"/>
      <c r="C71" s="2"/>
      <c r="D71" s="2"/>
      <c r="E71" s="2"/>
      <c r="F71" s="3"/>
      <c r="G71" s="4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</row>
    <row r="72" ht="15.75" customHeight="1">
      <c r="A72" s="2"/>
      <c r="B72" s="2"/>
      <c r="C72" s="2"/>
      <c r="D72" s="2"/>
      <c r="E72" s="2"/>
      <c r="F72" s="3"/>
      <c r="G72" s="4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</row>
    <row r="73" ht="15.75" customHeight="1">
      <c r="A73" s="2"/>
      <c r="B73" s="2"/>
      <c r="C73" s="2"/>
      <c r="D73" s="2"/>
      <c r="E73" s="2"/>
      <c r="F73" s="3"/>
      <c r="G73" s="4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</row>
    <row r="74" ht="15.75" customHeight="1">
      <c r="A74" s="2"/>
      <c r="B74" s="2"/>
      <c r="C74" s="2"/>
      <c r="D74" s="2"/>
      <c r="E74" s="2"/>
      <c r="F74" s="3"/>
      <c r="G74" s="4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</row>
    <row r="75" ht="15.75" customHeight="1">
      <c r="A75" s="2"/>
      <c r="B75" s="2"/>
      <c r="C75" s="2"/>
      <c r="D75" s="2"/>
      <c r="E75" s="2"/>
      <c r="F75" s="3"/>
      <c r="G75" s="4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</row>
    <row r="76" ht="15.75" customHeight="1">
      <c r="A76" s="2"/>
      <c r="B76" s="2"/>
      <c r="C76" s="2"/>
      <c r="D76" s="2"/>
      <c r="E76" s="2"/>
      <c r="F76" s="3"/>
      <c r="G76" s="4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</row>
    <row r="77" ht="15.75" customHeight="1">
      <c r="A77" s="2"/>
      <c r="B77" s="2"/>
      <c r="C77" s="2"/>
      <c r="D77" s="2"/>
      <c r="E77" s="2"/>
      <c r="F77" s="3"/>
      <c r="G77" s="4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</row>
    <row r="78" ht="15.75" customHeight="1">
      <c r="A78" s="2"/>
      <c r="B78" s="2"/>
      <c r="C78" s="2"/>
      <c r="D78" s="2"/>
      <c r="E78" s="2"/>
      <c r="F78" s="3"/>
      <c r="G78" s="4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</row>
    <row r="79" ht="15.75" customHeight="1">
      <c r="A79" s="2"/>
      <c r="B79" s="2"/>
      <c r="C79" s="2"/>
      <c r="D79" s="2"/>
      <c r="E79" s="2"/>
      <c r="F79" s="3"/>
      <c r="G79" s="4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</row>
    <row r="80" ht="15.75" customHeight="1">
      <c r="A80" s="2"/>
      <c r="B80" s="2"/>
      <c r="C80" s="2"/>
      <c r="D80" s="2"/>
      <c r="E80" s="2"/>
      <c r="F80" s="3"/>
      <c r="G80" s="4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</row>
    <row r="81" ht="15.75" customHeight="1">
      <c r="A81" s="2"/>
      <c r="B81" s="2"/>
      <c r="C81" s="2"/>
      <c r="D81" s="2"/>
      <c r="E81" s="2"/>
      <c r="F81" s="3"/>
      <c r="G81" s="4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</row>
    <row r="82" ht="15.75" customHeight="1">
      <c r="A82" s="2"/>
      <c r="B82" s="2"/>
      <c r="C82" s="2"/>
      <c r="D82" s="2"/>
      <c r="E82" s="2"/>
      <c r="F82" s="3"/>
      <c r="G82" s="4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</row>
    <row r="83" ht="15.75" customHeight="1">
      <c r="A83" s="2"/>
      <c r="B83" s="2"/>
      <c r="C83" s="2"/>
      <c r="D83" s="2"/>
      <c r="E83" s="2"/>
      <c r="F83" s="3"/>
      <c r="G83" s="4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</row>
    <row r="84" ht="15.75" customHeight="1">
      <c r="A84" s="2"/>
      <c r="B84" s="2"/>
      <c r="C84" s="2"/>
      <c r="D84" s="2"/>
      <c r="E84" s="2"/>
      <c r="F84" s="3"/>
      <c r="G84" s="4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</row>
    <row r="85" ht="15.75" customHeight="1">
      <c r="A85" s="2"/>
      <c r="B85" s="2"/>
      <c r="C85" s="2"/>
      <c r="D85" s="2"/>
      <c r="E85" s="2"/>
      <c r="F85" s="3"/>
      <c r="G85" s="4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</row>
    <row r="86" ht="15.75" customHeight="1">
      <c r="A86" s="2"/>
      <c r="B86" s="2"/>
      <c r="C86" s="2"/>
      <c r="D86" s="2"/>
      <c r="E86" s="2"/>
      <c r="F86" s="3"/>
      <c r="G86" s="4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</row>
    <row r="87" ht="15.75" customHeight="1">
      <c r="A87" s="2"/>
      <c r="B87" s="2"/>
      <c r="C87" s="2"/>
      <c r="D87" s="2"/>
      <c r="E87" s="2"/>
      <c r="F87" s="3"/>
      <c r="G87" s="4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</row>
    <row r="88" ht="15.75" customHeight="1">
      <c r="A88" s="2"/>
      <c r="B88" s="2"/>
      <c r="C88" s="2"/>
      <c r="D88" s="2"/>
      <c r="E88" s="2"/>
      <c r="F88" s="3"/>
      <c r="G88" s="4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</row>
    <row r="89" ht="15.75" customHeight="1">
      <c r="A89" s="2"/>
      <c r="B89" s="2"/>
      <c r="C89" s="2"/>
      <c r="D89" s="2"/>
      <c r="E89" s="2"/>
      <c r="F89" s="3"/>
      <c r="G89" s="4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</row>
    <row r="90" ht="15.75" customHeight="1">
      <c r="A90" s="2"/>
      <c r="B90" s="2"/>
      <c r="C90" s="2"/>
      <c r="D90" s="2"/>
      <c r="E90" s="2"/>
      <c r="F90" s="3"/>
      <c r="G90" s="4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</row>
    <row r="91" ht="15.75" customHeight="1">
      <c r="A91" s="2"/>
      <c r="B91" s="2"/>
      <c r="C91" s="2"/>
      <c r="D91" s="2"/>
      <c r="E91" s="2"/>
      <c r="F91" s="3"/>
      <c r="G91" s="4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</row>
    <row r="92" ht="15.75" customHeight="1">
      <c r="A92" s="2"/>
      <c r="B92" s="2"/>
      <c r="C92" s="2"/>
      <c r="D92" s="2"/>
      <c r="E92" s="2"/>
      <c r="F92" s="3"/>
      <c r="G92" s="4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</row>
    <row r="93" ht="15.75" customHeight="1">
      <c r="A93" s="2"/>
      <c r="B93" s="2"/>
      <c r="C93" s="2"/>
      <c r="D93" s="2"/>
      <c r="E93" s="2"/>
      <c r="F93" s="3"/>
      <c r="G93" s="4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</row>
    <row r="94" ht="15.75" customHeight="1">
      <c r="A94" s="2"/>
      <c r="B94" s="2"/>
      <c r="C94" s="2"/>
      <c r="D94" s="2"/>
      <c r="E94" s="2"/>
      <c r="F94" s="3"/>
      <c r="G94" s="4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</row>
    <row r="95" ht="15.75" customHeight="1">
      <c r="A95" s="2"/>
      <c r="B95" s="2"/>
      <c r="C95" s="2"/>
      <c r="D95" s="2"/>
      <c r="E95" s="2"/>
      <c r="F95" s="3"/>
      <c r="G95" s="4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</row>
    <row r="96" ht="15.75" customHeight="1">
      <c r="A96" s="2"/>
      <c r="B96" s="2"/>
      <c r="C96" s="2"/>
      <c r="D96" s="2"/>
      <c r="E96" s="2"/>
      <c r="F96" s="3"/>
      <c r="G96" s="4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</row>
    <row r="97" ht="15.75" customHeight="1">
      <c r="A97" s="2"/>
      <c r="B97" s="2"/>
      <c r="C97" s="2"/>
      <c r="D97" s="2"/>
      <c r="E97" s="2"/>
      <c r="F97" s="3"/>
      <c r="G97" s="4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</row>
    <row r="98" ht="15.75" customHeight="1">
      <c r="A98" s="2"/>
      <c r="B98" s="2"/>
      <c r="C98" s="2"/>
      <c r="D98" s="2"/>
      <c r="E98" s="2"/>
      <c r="F98" s="3"/>
      <c r="G98" s="4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</row>
    <row r="99" ht="15.75" customHeight="1">
      <c r="A99" s="2"/>
      <c r="B99" s="2"/>
      <c r="C99" s="2"/>
      <c r="D99" s="2"/>
      <c r="E99" s="2"/>
      <c r="F99" s="3"/>
      <c r="G99" s="4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</row>
    <row r="100" ht="15.75" customHeight="1">
      <c r="A100" s="2"/>
      <c r="B100" s="2"/>
      <c r="C100" s="2"/>
      <c r="D100" s="2"/>
      <c r="E100" s="2"/>
      <c r="F100" s="3"/>
      <c r="G100" s="4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</row>
    <row r="101" ht="15.75" customHeight="1">
      <c r="A101" s="2"/>
      <c r="B101" s="2"/>
      <c r="C101" s="2"/>
      <c r="D101" s="2"/>
      <c r="E101" s="2"/>
      <c r="F101" s="3"/>
      <c r="G101" s="4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</row>
    <row r="102" ht="15.75" customHeight="1">
      <c r="A102" s="2"/>
      <c r="B102" s="2"/>
      <c r="C102" s="2"/>
      <c r="D102" s="2"/>
      <c r="E102" s="2"/>
      <c r="F102" s="3"/>
      <c r="G102" s="4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</row>
    <row r="103" ht="15.75" customHeight="1">
      <c r="A103" s="2"/>
      <c r="B103" s="2"/>
      <c r="C103" s="2"/>
      <c r="D103" s="2"/>
      <c r="E103" s="2"/>
      <c r="F103" s="3"/>
      <c r="G103" s="4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</row>
    <row r="104" ht="15.75" customHeight="1">
      <c r="A104" s="2"/>
      <c r="B104" s="2"/>
      <c r="C104" s="2"/>
      <c r="D104" s="2"/>
      <c r="E104" s="2"/>
      <c r="F104" s="3"/>
      <c r="G104" s="4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</row>
    <row r="105" ht="15.75" customHeight="1">
      <c r="A105" s="2"/>
      <c r="B105" s="2"/>
      <c r="C105" s="2"/>
      <c r="D105" s="2"/>
      <c r="E105" s="2"/>
      <c r="F105" s="3"/>
      <c r="G105" s="4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</row>
    <row r="106" ht="15.75" customHeight="1">
      <c r="A106" s="2"/>
      <c r="B106" s="2"/>
      <c r="C106" s="2"/>
      <c r="D106" s="2"/>
      <c r="E106" s="2"/>
      <c r="F106" s="3"/>
      <c r="G106" s="4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</row>
    <row r="107" ht="15.75" customHeight="1">
      <c r="A107" s="2"/>
      <c r="B107" s="2"/>
      <c r="C107" s="2"/>
      <c r="D107" s="2"/>
      <c r="E107" s="2"/>
      <c r="F107" s="3"/>
      <c r="G107" s="4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</row>
    <row r="108" ht="15.75" customHeight="1">
      <c r="A108" s="2"/>
      <c r="B108" s="2"/>
      <c r="C108" s="2"/>
      <c r="D108" s="2"/>
      <c r="E108" s="2"/>
      <c r="F108" s="3"/>
      <c r="G108" s="4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</row>
    <row r="109" ht="15.75" customHeight="1">
      <c r="A109" s="2"/>
      <c r="B109" s="2"/>
      <c r="C109" s="2"/>
      <c r="D109" s="2"/>
      <c r="E109" s="2"/>
      <c r="F109" s="3"/>
      <c r="G109" s="4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</row>
    <row r="110" ht="15.75" customHeight="1">
      <c r="A110" s="2"/>
      <c r="B110" s="2"/>
      <c r="C110" s="2"/>
      <c r="D110" s="2"/>
      <c r="E110" s="2"/>
      <c r="F110" s="3"/>
      <c r="G110" s="4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</row>
    <row r="111" ht="15.75" customHeight="1">
      <c r="A111" s="2"/>
      <c r="B111" s="2"/>
      <c r="C111" s="2"/>
      <c r="D111" s="2"/>
      <c r="E111" s="2"/>
      <c r="F111" s="3"/>
      <c r="G111" s="4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</row>
    <row r="112" ht="15.75" customHeight="1">
      <c r="A112" s="2"/>
      <c r="B112" s="2"/>
      <c r="C112" s="2"/>
      <c r="D112" s="2"/>
      <c r="E112" s="2"/>
      <c r="F112" s="3"/>
      <c r="G112" s="4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</row>
    <row r="113" ht="15.75" customHeight="1">
      <c r="A113" s="2"/>
      <c r="B113" s="2"/>
      <c r="C113" s="2"/>
      <c r="D113" s="2"/>
      <c r="E113" s="2"/>
      <c r="F113" s="3"/>
      <c r="G113" s="4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</row>
    <row r="114" ht="15.75" customHeight="1">
      <c r="A114" s="2"/>
      <c r="B114" s="2"/>
      <c r="C114" s="2"/>
      <c r="D114" s="2"/>
      <c r="E114" s="2"/>
      <c r="F114" s="3"/>
      <c r="G114" s="4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</row>
    <row r="115" ht="15.75" customHeight="1">
      <c r="A115" s="2"/>
      <c r="B115" s="2"/>
      <c r="C115" s="2"/>
      <c r="D115" s="2"/>
      <c r="E115" s="2"/>
      <c r="F115" s="3"/>
      <c r="G115" s="4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</row>
    <row r="116" ht="15.75" customHeight="1">
      <c r="A116" s="2"/>
      <c r="B116" s="2"/>
      <c r="C116" s="2"/>
      <c r="D116" s="2"/>
      <c r="E116" s="2"/>
      <c r="F116" s="3"/>
      <c r="G116" s="4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</row>
    <row r="117" ht="15.75" customHeight="1">
      <c r="A117" s="2"/>
      <c r="B117" s="2"/>
      <c r="C117" s="2"/>
      <c r="D117" s="2"/>
      <c r="E117" s="2"/>
      <c r="F117" s="3"/>
      <c r="G117" s="4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</row>
    <row r="118" ht="15.75" customHeight="1">
      <c r="A118" s="2"/>
      <c r="B118" s="2"/>
      <c r="C118" s="2"/>
      <c r="D118" s="2"/>
      <c r="E118" s="2"/>
      <c r="F118" s="3"/>
      <c r="G118" s="4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</row>
    <row r="119" ht="15.75" customHeight="1">
      <c r="A119" s="2"/>
      <c r="B119" s="2"/>
      <c r="C119" s="2"/>
      <c r="D119" s="2"/>
      <c r="E119" s="2"/>
      <c r="F119" s="3"/>
      <c r="G119" s="4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</row>
    <row r="120" ht="15.75" customHeight="1">
      <c r="A120" s="2"/>
      <c r="B120" s="2"/>
      <c r="C120" s="2"/>
      <c r="D120" s="2"/>
      <c r="E120" s="2"/>
      <c r="F120" s="3"/>
      <c r="G120" s="4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</row>
    <row r="121" ht="15.75" customHeight="1">
      <c r="A121" s="2"/>
      <c r="B121" s="2"/>
      <c r="C121" s="2"/>
      <c r="D121" s="2"/>
      <c r="E121" s="2"/>
      <c r="F121" s="3"/>
      <c r="G121" s="4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</row>
    <row r="122" ht="15.75" customHeight="1">
      <c r="A122" s="2"/>
      <c r="B122" s="2"/>
      <c r="C122" s="2"/>
      <c r="D122" s="2"/>
      <c r="E122" s="2"/>
      <c r="F122" s="3"/>
      <c r="G122" s="4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</row>
    <row r="123" ht="15.75" customHeight="1">
      <c r="A123" s="2"/>
      <c r="B123" s="2"/>
      <c r="C123" s="2"/>
      <c r="D123" s="2"/>
      <c r="E123" s="2"/>
      <c r="F123" s="3"/>
      <c r="G123" s="4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</row>
    <row r="124" ht="15.75" customHeight="1">
      <c r="A124" s="2"/>
      <c r="B124" s="2"/>
      <c r="C124" s="2"/>
      <c r="D124" s="2"/>
      <c r="E124" s="2"/>
      <c r="F124" s="3"/>
      <c r="G124" s="4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</row>
    <row r="125" ht="15.75" customHeight="1">
      <c r="A125" s="2"/>
      <c r="B125" s="2"/>
      <c r="C125" s="2"/>
      <c r="D125" s="2"/>
      <c r="E125" s="2"/>
      <c r="F125" s="3"/>
      <c r="G125" s="4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</row>
    <row r="126" ht="15.75" customHeight="1">
      <c r="A126" s="2"/>
      <c r="B126" s="2"/>
      <c r="C126" s="2"/>
      <c r="D126" s="2"/>
      <c r="E126" s="2"/>
      <c r="F126" s="3"/>
      <c r="G126" s="4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</row>
    <row r="127" ht="15.75" customHeight="1">
      <c r="A127" s="2"/>
      <c r="B127" s="2"/>
      <c r="C127" s="2"/>
      <c r="D127" s="2"/>
      <c r="E127" s="2"/>
      <c r="F127" s="3"/>
      <c r="G127" s="4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</row>
    <row r="128" ht="15.75" customHeight="1">
      <c r="A128" s="2"/>
      <c r="B128" s="2"/>
      <c r="C128" s="2"/>
      <c r="D128" s="2"/>
      <c r="E128" s="2"/>
      <c r="F128" s="3"/>
      <c r="G128" s="4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</row>
    <row r="129" ht="15.75" customHeight="1">
      <c r="A129" s="2"/>
      <c r="B129" s="2"/>
      <c r="C129" s="2"/>
      <c r="D129" s="2"/>
      <c r="E129" s="2"/>
      <c r="F129" s="3"/>
      <c r="G129" s="4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</row>
    <row r="130" ht="15.75" customHeight="1">
      <c r="A130" s="2"/>
      <c r="B130" s="2"/>
      <c r="C130" s="2"/>
      <c r="D130" s="2"/>
      <c r="E130" s="2"/>
      <c r="F130" s="3"/>
      <c r="G130" s="4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</row>
    <row r="131" ht="15.75" customHeight="1">
      <c r="A131" s="2"/>
      <c r="B131" s="2"/>
      <c r="C131" s="2"/>
      <c r="D131" s="2"/>
      <c r="E131" s="2"/>
      <c r="F131" s="3"/>
      <c r="G131" s="4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</row>
    <row r="132" ht="15.75" customHeight="1">
      <c r="A132" s="2"/>
      <c r="B132" s="2"/>
      <c r="C132" s="2"/>
      <c r="D132" s="2"/>
      <c r="E132" s="2"/>
      <c r="F132" s="3"/>
      <c r="G132" s="4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</row>
    <row r="133" ht="15.75" customHeight="1">
      <c r="A133" s="2"/>
      <c r="B133" s="2"/>
      <c r="C133" s="2"/>
      <c r="D133" s="2"/>
      <c r="E133" s="2"/>
      <c r="F133" s="3"/>
      <c r="G133" s="4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</row>
    <row r="134" ht="15.75" customHeight="1">
      <c r="A134" s="2"/>
      <c r="B134" s="2"/>
      <c r="C134" s="2"/>
      <c r="D134" s="2"/>
      <c r="E134" s="2"/>
      <c r="F134" s="3"/>
      <c r="G134" s="4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</row>
    <row r="135" ht="15.75" customHeight="1">
      <c r="A135" s="2"/>
      <c r="B135" s="2"/>
      <c r="C135" s="2"/>
      <c r="D135" s="2"/>
      <c r="E135" s="2"/>
      <c r="F135" s="3"/>
      <c r="G135" s="4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</row>
    <row r="136" ht="15.75" customHeight="1">
      <c r="A136" s="2"/>
      <c r="B136" s="2"/>
      <c r="C136" s="2"/>
      <c r="D136" s="2"/>
      <c r="E136" s="2"/>
      <c r="F136" s="3"/>
      <c r="G136" s="4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</row>
    <row r="137" ht="15.75" customHeight="1">
      <c r="A137" s="2"/>
      <c r="B137" s="2"/>
      <c r="C137" s="2"/>
      <c r="D137" s="2"/>
      <c r="E137" s="2"/>
      <c r="F137" s="3"/>
      <c r="G137" s="4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</row>
    <row r="138" ht="15.75" customHeight="1">
      <c r="A138" s="2"/>
      <c r="B138" s="2"/>
      <c r="C138" s="2"/>
      <c r="D138" s="2"/>
      <c r="E138" s="2"/>
      <c r="F138" s="3"/>
      <c r="G138" s="4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</row>
    <row r="139" ht="15.75" customHeight="1">
      <c r="A139" s="2"/>
      <c r="B139" s="2"/>
      <c r="C139" s="2"/>
      <c r="D139" s="2"/>
      <c r="E139" s="2"/>
      <c r="F139" s="3"/>
      <c r="G139" s="4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</row>
    <row r="140" ht="15.75" customHeight="1">
      <c r="A140" s="2"/>
      <c r="B140" s="2"/>
      <c r="C140" s="2"/>
      <c r="D140" s="2"/>
      <c r="E140" s="2"/>
      <c r="F140" s="3"/>
      <c r="G140" s="4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</row>
    <row r="141" ht="15.75" customHeight="1">
      <c r="A141" s="2"/>
      <c r="B141" s="2"/>
      <c r="C141" s="2"/>
      <c r="D141" s="2"/>
      <c r="E141" s="2"/>
      <c r="F141" s="3"/>
      <c r="G141" s="4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</row>
    <row r="142" ht="15.75" customHeight="1">
      <c r="A142" s="2"/>
      <c r="B142" s="2"/>
      <c r="C142" s="2"/>
      <c r="D142" s="2"/>
      <c r="E142" s="2"/>
      <c r="F142" s="3"/>
      <c r="G142" s="4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</row>
    <row r="143" ht="15.75" customHeight="1">
      <c r="A143" s="2"/>
      <c r="B143" s="2"/>
      <c r="C143" s="2"/>
      <c r="D143" s="2"/>
      <c r="E143" s="2"/>
      <c r="F143" s="3"/>
      <c r="G143" s="4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</row>
    <row r="144" ht="15.75" customHeight="1">
      <c r="A144" s="2"/>
      <c r="B144" s="2"/>
      <c r="C144" s="2"/>
      <c r="D144" s="2"/>
      <c r="E144" s="2"/>
      <c r="F144" s="3"/>
      <c r="G144" s="4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</row>
    <row r="145" ht="15.75" customHeight="1">
      <c r="A145" s="2"/>
      <c r="B145" s="2"/>
      <c r="C145" s="2"/>
      <c r="D145" s="2"/>
      <c r="E145" s="2"/>
      <c r="F145" s="3"/>
      <c r="G145" s="4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</row>
    <row r="146">
      <c r="A146" s="2"/>
      <c r="B146" s="2"/>
      <c r="C146" s="2"/>
      <c r="D146" s="2"/>
      <c r="E146" s="2"/>
      <c r="F146" s="3"/>
      <c r="G146" s="4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</row>
    <row r="147">
      <c r="A147" s="2"/>
      <c r="B147" s="2"/>
      <c r="C147" s="2"/>
      <c r="D147" s="2"/>
      <c r="E147" s="2"/>
      <c r="F147" s="3"/>
      <c r="G147" s="4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</row>
    <row r="148">
      <c r="A148" s="2"/>
      <c r="B148" s="2"/>
      <c r="C148" s="2"/>
      <c r="D148" s="2"/>
      <c r="E148" s="2"/>
      <c r="F148" s="3"/>
      <c r="G148" s="4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</row>
    <row r="149">
      <c r="A149" s="2"/>
      <c r="B149" s="2"/>
      <c r="C149" s="2"/>
      <c r="D149" s="2"/>
      <c r="E149" s="2"/>
      <c r="F149" s="3"/>
      <c r="G149" s="4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</row>
    <row r="150">
      <c r="A150" s="2"/>
      <c r="B150" s="2"/>
      <c r="C150" s="2"/>
      <c r="D150" s="2"/>
      <c r="E150" s="2"/>
      <c r="F150" s="3"/>
      <c r="G150" s="4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</row>
    <row r="151">
      <c r="A151" s="2"/>
      <c r="B151" s="2"/>
      <c r="C151" s="2"/>
      <c r="D151" s="2"/>
      <c r="E151" s="2"/>
      <c r="F151" s="3"/>
      <c r="G151" s="4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</row>
    <row r="152">
      <c r="A152" s="2"/>
      <c r="B152" s="2"/>
      <c r="C152" s="2"/>
      <c r="D152" s="2"/>
      <c r="E152" s="2"/>
      <c r="F152" s="3"/>
      <c r="G152" s="4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</row>
    <row r="153">
      <c r="A153" s="2"/>
      <c r="B153" s="2"/>
      <c r="C153" s="2"/>
      <c r="D153" s="2"/>
      <c r="E153" s="2"/>
      <c r="F153" s="3"/>
      <c r="G153" s="4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</row>
    <row r="154">
      <c r="A154" s="2"/>
      <c r="B154" s="2"/>
      <c r="C154" s="2"/>
      <c r="D154" s="2"/>
      <c r="E154" s="2"/>
      <c r="F154" s="3"/>
      <c r="G154" s="4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</row>
    <row r="155">
      <c r="A155" s="2"/>
      <c r="B155" s="2"/>
      <c r="C155" s="2"/>
      <c r="D155" s="2"/>
      <c r="E155" s="2"/>
      <c r="F155" s="3"/>
      <c r="G155" s="4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</row>
    <row r="156">
      <c r="A156" s="2"/>
      <c r="B156" s="2"/>
      <c r="C156" s="2"/>
      <c r="D156" s="2"/>
      <c r="E156" s="2"/>
      <c r="F156" s="3"/>
      <c r="G156" s="4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</row>
    <row r="157">
      <c r="A157" s="2"/>
      <c r="B157" s="2"/>
      <c r="C157" s="2"/>
      <c r="D157" s="2"/>
      <c r="E157" s="2"/>
      <c r="F157" s="3"/>
      <c r="G157" s="4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</row>
    <row r="158">
      <c r="A158" s="2"/>
      <c r="B158" s="2"/>
      <c r="C158" s="2"/>
      <c r="D158" s="2"/>
      <c r="E158" s="2"/>
      <c r="F158" s="3"/>
      <c r="G158" s="4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</row>
    <row r="159">
      <c r="A159" s="2"/>
      <c r="B159" s="2"/>
      <c r="C159" s="2"/>
      <c r="D159" s="2"/>
      <c r="E159" s="2"/>
      <c r="F159" s="3"/>
      <c r="G159" s="4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</row>
    <row r="160">
      <c r="A160" s="2"/>
      <c r="B160" s="2"/>
      <c r="C160" s="2"/>
      <c r="D160" s="2"/>
      <c r="E160" s="2"/>
      <c r="F160" s="3"/>
      <c r="G160" s="4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</row>
    <row r="161">
      <c r="A161" s="2"/>
      <c r="B161" s="2"/>
      <c r="C161" s="2"/>
      <c r="D161" s="2"/>
      <c r="E161" s="2"/>
      <c r="F161" s="3"/>
      <c r="G161" s="4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</row>
    <row r="162">
      <c r="A162" s="2"/>
      <c r="B162" s="2"/>
      <c r="C162" s="2"/>
      <c r="D162" s="2"/>
      <c r="E162" s="2"/>
      <c r="F162" s="3"/>
      <c r="G162" s="4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</row>
    <row r="163">
      <c r="A163" s="2"/>
      <c r="B163" s="2"/>
      <c r="C163" s="2"/>
      <c r="D163" s="2"/>
      <c r="E163" s="2"/>
      <c r="F163" s="3"/>
      <c r="G163" s="4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</row>
    <row r="164">
      <c r="A164" s="2"/>
      <c r="B164" s="2"/>
      <c r="C164" s="2"/>
      <c r="D164" s="2"/>
      <c r="E164" s="2"/>
      <c r="F164" s="3"/>
      <c r="G164" s="4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</row>
    <row r="165">
      <c r="A165" s="2"/>
      <c r="B165" s="2"/>
      <c r="C165" s="2"/>
      <c r="D165" s="2"/>
      <c r="E165" s="2"/>
      <c r="F165" s="3"/>
      <c r="G165" s="4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</row>
    <row r="166">
      <c r="A166" s="2"/>
      <c r="B166" s="2"/>
      <c r="C166" s="2"/>
      <c r="D166" s="2"/>
      <c r="E166" s="2"/>
      <c r="F166" s="3"/>
      <c r="G166" s="4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</row>
    <row r="167">
      <c r="A167" s="2"/>
      <c r="B167" s="2"/>
      <c r="C167" s="2"/>
      <c r="D167" s="2"/>
      <c r="E167" s="2"/>
      <c r="F167" s="3"/>
      <c r="G167" s="4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</row>
    <row r="168">
      <c r="A168" s="2"/>
      <c r="B168" s="2"/>
      <c r="C168" s="2"/>
      <c r="D168" s="2"/>
      <c r="E168" s="2"/>
      <c r="F168" s="3"/>
      <c r="G168" s="4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</row>
    <row r="169">
      <c r="A169" s="2"/>
      <c r="B169" s="2"/>
      <c r="C169" s="2"/>
      <c r="D169" s="2"/>
      <c r="E169" s="2"/>
      <c r="F169" s="3"/>
      <c r="G169" s="4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</row>
    <row r="170">
      <c r="A170" s="2"/>
      <c r="B170" s="2"/>
      <c r="C170" s="2"/>
      <c r="D170" s="2"/>
      <c r="E170" s="2"/>
      <c r="F170" s="3"/>
      <c r="G170" s="4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</row>
    <row r="171">
      <c r="A171" s="2"/>
      <c r="B171" s="2"/>
      <c r="C171" s="2"/>
      <c r="D171" s="2"/>
      <c r="E171" s="2"/>
      <c r="F171" s="3"/>
      <c r="G171" s="4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</row>
    <row r="172">
      <c r="A172" s="2"/>
      <c r="B172" s="2"/>
      <c r="C172" s="2"/>
      <c r="D172" s="2"/>
      <c r="E172" s="2"/>
      <c r="F172" s="3"/>
      <c r="G172" s="4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</row>
    <row r="173">
      <c r="A173" s="2"/>
      <c r="B173" s="2"/>
      <c r="C173" s="2"/>
      <c r="D173" s="2"/>
      <c r="E173" s="2"/>
      <c r="F173" s="3"/>
      <c r="G173" s="4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</row>
    <row r="174">
      <c r="A174" s="2"/>
      <c r="B174" s="2"/>
      <c r="C174" s="2"/>
      <c r="D174" s="2"/>
      <c r="E174" s="2"/>
      <c r="F174" s="3"/>
      <c r="G174" s="4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</row>
    <row r="175">
      <c r="A175" s="2"/>
      <c r="B175" s="2"/>
      <c r="C175" s="2"/>
      <c r="D175" s="2"/>
      <c r="E175" s="2"/>
      <c r="F175" s="3"/>
      <c r="G175" s="4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</row>
    <row r="176">
      <c r="A176" s="2"/>
      <c r="B176" s="2"/>
      <c r="C176" s="2"/>
      <c r="D176" s="2"/>
      <c r="E176" s="2"/>
      <c r="F176" s="3"/>
      <c r="G176" s="4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</row>
    <row r="177">
      <c r="A177" s="2"/>
      <c r="B177" s="2"/>
      <c r="C177" s="2"/>
      <c r="D177" s="2"/>
      <c r="E177" s="2"/>
      <c r="F177" s="3"/>
      <c r="G177" s="4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</row>
    <row r="178">
      <c r="A178" s="2"/>
      <c r="B178" s="2"/>
      <c r="C178" s="2"/>
      <c r="D178" s="2"/>
      <c r="E178" s="2"/>
      <c r="F178" s="3"/>
      <c r="G178" s="4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</row>
    <row r="179">
      <c r="A179" s="2"/>
      <c r="B179" s="2"/>
      <c r="C179" s="2"/>
      <c r="D179" s="2"/>
      <c r="E179" s="2"/>
      <c r="F179" s="3"/>
      <c r="G179" s="4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</row>
    <row r="180">
      <c r="A180" s="2"/>
      <c r="B180" s="2"/>
      <c r="C180" s="2"/>
      <c r="D180" s="2"/>
      <c r="E180" s="2"/>
      <c r="F180" s="3"/>
      <c r="G180" s="4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</row>
    <row r="181">
      <c r="A181" s="2"/>
      <c r="B181" s="2"/>
      <c r="C181" s="2"/>
      <c r="D181" s="2"/>
      <c r="E181" s="2"/>
      <c r="F181" s="3"/>
      <c r="G181" s="4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</row>
    <row r="182">
      <c r="A182" s="2"/>
      <c r="B182" s="2"/>
      <c r="C182" s="2"/>
      <c r="D182" s="2"/>
      <c r="E182" s="2"/>
      <c r="F182" s="3"/>
      <c r="G182" s="4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</row>
    <row r="183">
      <c r="A183" s="2"/>
      <c r="B183" s="2"/>
      <c r="C183" s="2"/>
      <c r="D183" s="2"/>
      <c r="E183" s="2"/>
      <c r="F183" s="3"/>
      <c r="G183" s="4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</row>
    <row r="184">
      <c r="A184" s="2"/>
      <c r="B184" s="2"/>
      <c r="C184" s="2"/>
      <c r="D184" s="2"/>
      <c r="E184" s="2"/>
      <c r="F184" s="3"/>
      <c r="G184" s="4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</row>
    <row r="185">
      <c r="A185" s="2"/>
      <c r="B185" s="2"/>
      <c r="C185" s="2"/>
      <c r="D185" s="2"/>
      <c r="E185" s="2"/>
      <c r="F185" s="3"/>
      <c r="G185" s="4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</row>
    <row r="186">
      <c r="A186" s="2"/>
      <c r="B186" s="2"/>
      <c r="C186" s="2"/>
      <c r="D186" s="2"/>
      <c r="E186" s="2"/>
      <c r="F186" s="3"/>
      <c r="G186" s="4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</row>
    <row r="187">
      <c r="A187" s="2"/>
      <c r="B187" s="2"/>
      <c r="C187" s="2"/>
      <c r="D187" s="2"/>
      <c r="E187" s="2"/>
      <c r="F187" s="3"/>
      <c r="G187" s="4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</row>
    <row r="188">
      <c r="A188" s="2"/>
      <c r="B188" s="2"/>
      <c r="C188" s="2"/>
      <c r="D188" s="2"/>
      <c r="E188" s="2"/>
      <c r="F188" s="3"/>
      <c r="G188" s="4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</row>
    <row r="189">
      <c r="A189" s="2"/>
      <c r="B189" s="2"/>
      <c r="C189" s="2"/>
      <c r="D189" s="2"/>
      <c r="E189" s="2"/>
      <c r="F189" s="3"/>
      <c r="G189" s="4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</row>
    <row r="190">
      <c r="A190" s="2"/>
      <c r="B190" s="2"/>
      <c r="C190" s="2"/>
      <c r="D190" s="2"/>
      <c r="E190" s="2"/>
      <c r="F190" s="3"/>
      <c r="G190" s="4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</row>
    <row r="191">
      <c r="A191" s="2"/>
      <c r="B191" s="2"/>
      <c r="C191" s="2"/>
      <c r="D191" s="2"/>
      <c r="E191" s="2"/>
      <c r="F191" s="3"/>
      <c r="G191" s="4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</row>
    <row r="192">
      <c r="A192" s="2"/>
      <c r="B192" s="2"/>
      <c r="C192" s="2"/>
      <c r="D192" s="2"/>
      <c r="E192" s="2"/>
      <c r="F192" s="3"/>
      <c r="G192" s="4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</row>
    <row r="193">
      <c r="A193" s="2"/>
      <c r="B193" s="2"/>
      <c r="C193" s="2"/>
      <c r="D193" s="2"/>
      <c r="E193" s="2"/>
      <c r="F193" s="3"/>
      <c r="G193" s="4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</row>
    <row r="194">
      <c r="A194" s="2"/>
      <c r="B194" s="2"/>
      <c r="C194" s="2"/>
      <c r="D194" s="2"/>
      <c r="E194" s="2"/>
      <c r="F194" s="3"/>
      <c r="G194" s="4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</row>
    <row r="195">
      <c r="A195" s="2"/>
      <c r="B195" s="2"/>
      <c r="C195" s="2"/>
      <c r="D195" s="2"/>
      <c r="E195" s="2"/>
      <c r="F195" s="3"/>
      <c r="G195" s="4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</row>
    <row r="196">
      <c r="A196" s="2"/>
      <c r="B196" s="2"/>
      <c r="C196" s="2"/>
      <c r="D196" s="2"/>
      <c r="E196" s="2"/>
      <c r="F196" s="3"/>
      <c r="G196" s="4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</row>
    <row r="197">
      <c r="A197" s="2"/>
      <c r="B197" s="2"/>
      <c r="C197" s="2"/>
      <c r="D197" s="2"/>
      <c r="E197" s="2"/>
      <c r="F197" s="3"/>
      <c r="G197" s="4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</row>
    <row r="198">
      <c r="A198" s="2"/>
      <c r="B198" s="2"/>
      <c r="C198" s="2"/>
      <c r="D198" s="2"/>
      <c r="E198" s="2"/>
      <c r="F198" s="3"/>
      <c r="G198" s="4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</row>
    <row r="199">
      <c r="A199" s="2"/>
      <c r="B199" s="2"/>
      <c r="C199" s="2"/>
      <c r="D199" s="2"/>
      <c r="E199" s="2"/>
      <c r="F199" s="3"/>
      <c r="G199" s="4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</row>
    <row r="200">
      <c r="A200" s="2"/>
      <c r="B200" s="2"/>
      <c r="C200" s="2"/>
      <c r="D200" s="2"/>
      <c r="E200" s="2"/>
      <c r="F200" s="3"/>
      <c r="G200" s="4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</row>
    <row r="201">
      <c r="A201" s="2"/>
      <c r="B201" s="2"/>
      <c r="C201" s="2"/>
      <c r="D201" s="2"/>
      <c r="E201" s="2"/>
      <c r="F201" s="3"/>
      <c r="G201" s="4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</row>
    <row r="202">
      <c r="A202" s="2"/>
      <c r="B202" s="2"/>
      <c r="C202" s="2"/>
      <c r="D202" s="2"/>
      <c r="E202" s="2"/>
      <c r="F202" s="3"/>
      <c r="G202" s="4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</row>
    <row r="203">
      <c r="A203" s="2"/>
      <c r="B203" s="2"/>
      <c r="C203" s="2"/>
      <c r="D203" s="2"/>
      <c r="E203" s="2"/>
      <c r="F203" s="3"/>
      <c r="G203" s="4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</row>
    <row r="204">
      <c r="A204" s="2"/>
      <c r="B204" s="2"/>
      <c r="C204" s="2"/>
      <c r="D204" s="2"/>
      <c r="E204" s="2"/>
      <c r="F204" s="3"/>
      <c r="G204" s="4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</row>
    <row r="205">
      <c r="A205" s="2"/>
      <c r="B205" s="2"/>
      <c r="C205" s="2"/>
      <c r="D205" s="2"/>
      <c r="E205" s="2"/>
      <c r="F205" s="3"/>
      <c r="G205" s="4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</row>
    <row r="206">
      <c r="A206" s="2"/>
      <c r="B206" s="2"/>
      <c r="C206" s="2"/>
      <c r="D206" s="2"/>
      <c r="E206" s="2"/>
      <c r="F206" s="3"/>
      <c r="G206" s="4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</row>
    <row r="207">
      <c r="A207" s="2"/>
      <c r="B207" s="2"/>
      <c r="C207" s="2"/>
      <c r="D207" s="2"/>
      <c r="E207" s="2"/>
      <c r="F207" s="3"/>
      <c r="G207" s="4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</row>
    <row r="208">
      <c r="A208" s="2"/>
      <c r="B208" s="2"/>
      <c r="C208" s="2"/>
      <c r="D208" s="2"/>
      <c r="E208" s="2"/>
      <c r="F208" s="3"/>
      <c r="G208" s="4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</row>
    <row r="209">
      <c r="A209" s="2"/>
      <c r="B209" s="2"/>
      <c r="C209" s="2"/>
      <c r="D209" s="2"/>
      <c r="E209" s="2"/>
      <c r="F209" s="3"/>
      <c r="G209" s="4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</row>
    <row r="210">
      <c r="A210" s="2"/>
      <c r="B210" s="2"/>
      <c r="C210" s="2"/>
      <c r="D210" s="2"/>
      <c r="E210" s="2"/>
      <c r="F210" s="3"/>
      <c r="G210" s="4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</row>
    <row r="211">
      <c r="A211" s="2"/>
      <c r="B211" s="2"/>
      <c r="C211" s="2"/>
      <c r="D211" s="2"/>
      <c r="E211" s="2"/>
      <c r="F211" s="3"/>
      <c r="G211" s="4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</row>
    <row r="212">
      <c r="A212" s="2"/>
      <c r="B212" s="2"/>
      <c r="C212" s="2"/>
      <c r="D212" s="2"/>
      <c r="E212" s="2"/>
      <c r="F212" s="3"/>
      <c r="G212" s="4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</row>
    <row r="213">
      <c r="A213" s="2"/>
      <c r="B213" s="2"/>
      <c r="C213" s="2"/>
      <c r="D213" s="2"/>
      <c r="E213" s="2"/>
      <c r="F213" s="3"/>
      <c r="G213" s="4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</row>
    <row r="214">
      <c r="A214" s="2"/>
      <c r="B214" s="2"/>
      <c r="C214" s="2"/>
      <c r="D214" s="2"/>
      <c r="E214" s="2"/>
      <c r="F214" s="3"/>
      <c r="G214" s="4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</row>
    <row r="215">
      <c r="A215" s="2"/>
      <c r="B215" s="2"/>
      <c r="C215" s="2"/>
      <c r="D215" s="2"/>
      <c r="E215" s="2"/>
      <c r="F215" s="3"/>
      <c r="G215" s="4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</row>
    <row r="216">
      <c r="A216" s="2"/>
      <c r="B216" s="2"/>
      <c r="C216" s="2"/>
      <c r="D216" s="2"/>
      <c r="E216" s="2"/>
      <c r="F216" s="3"/>
      <c r="G216" s="4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</row>
    <row r="217">
      <c r="A217" s="2"/>
      <c r="B217" s="2"/>
      <c r="C217" s="2"/>
      <c r="D217" s="2"/>
      <c r="E217" s="2"/>
      <c r="F217" s="3"/>
      <c r="G217" s="4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</row>
    <row r="218">
      <c r="A218" s="2"/>
      <c r="B218" s="2"/>
      <c r="C218" s="2"/>
      <c r="D218" s="2"/>
      <c r="E218" s="2"/>
      <c r="F218" s="3"/>
      <c r="G218" s="4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</row>
    <row r="219">
      <c r="A219" s="2"/>
      <c r="B219" s="2"/>
      <c r="C219" s="2"/>
      <c r="D219" s="2"/>
      <c r="E219" s="2"/>
      <c r="F219" s="3"/>
      <c r="G219" s="4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</row>
    <row r="220">
      <c r="A220" s="2"/>
      <c r="B220" s="2"/>
      <c r="C220" s="2"/>
      <c r="D220" s="2"/>
      <c r="E220" s="2"/>
      <c r="F220" s="3"/>
      <c r="G220" s="4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</row>
    <row r="221">
      <c r="A221" s="2"/>
      <c r="B221" s="2"/>
      <c r="C221" s="2"/>
      <c r="D221" s="2"/>
      <c r="E221" s="2"/>
      <c r="F221" s="3"/>
      <c r="G221" s="4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</row>
    <row r="222">
      <c r="A222" s="2"/>
      <c r="B222" s="2"/>
      <c r="C222" s="2"/>
      <c r="D222" s="2"/>
      <c r="E222" s="2"/>
      <c r="F222" s="3"/>
      <c r="G222" s="4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</row>
    <row r="223">
      <c r="A223" s="2"/>
      <c r="B223" s="2"/>
      <c r="C223" s="2"/>
      <c r="D223" s="2"/>
      <c r="E223" s="2"/>
      <c r="F223" s="3"/>
      <c r="G223" s="4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</row>
    <row r="224">
      <c r="A224" s="2"/>
      <c r="B224" s="2"/>
      <c r="C224" s="2"/>
      <c r="D224" s="2"/>
      <c r="E224" s="2"/>
      <c r="F224" s="3"/>
      <c r="G224" s="4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</row>
    <row r="225">
      <c r="A225" s="2"/>
      <c r="B225" s="2"/>
      <c r="C225" s="2"/>
      <c r="D225" s="2"/>
      <c r="E225" s="2"/>
      <c r="F225" s="3"/>
      <c r="G225" s="4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</row>
    <row r="226">
      <c r="A226" s="2"/>
      <c r="B226" s="2"/>
      <c r="C226" s="2"/>
      <c r="D226" s="2"/>
      <c r="E226" s="2"/>
      <c r="F226" s="3"/>
      <c r="G226" s="4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</row>
    <row r="227">
      <c r="A227" s="2"/>
      <c r="B227" s="2"/>
      <c r="C227" s="2"/>
      <c r="D227" s="2"/>
      <c r="E227" s="2"/>
      <c r="F227" s="3"/>
      <c r="G227" s="4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</row>
    <row r="228">
      <c r="A228" s="2"/>
      <c r="B228" s="2"/>
      <c r="C228" s="2"/>
      <c r="D228" s="2"/>
      <c r="E228" s="2"/>
      <c r="F228" s="3"/>
      <c r="G228" s="4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</row>
    <row r="229">
      <c r="A229" s="2"/>
      <c r="B229" s="2"/>
      <c r="C229" s="2"/>
      <c r="D229" s="2"/>
      <c r="E229" s="2"/>
      <c r="F229" s="3"/>
      <c r="G229" s="4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</row>
    <row r="230">
      <c r="A230" s="2"/>
      <c r="B230" s="2"/>
      <c r="C230" s="2"/>
      <c r="D230" s="2"/>
      <c r="E230" s="2"/>
      <c r="F230" s="3"/>
      <c r="G230" s="4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</row>
    <row r="231">
      <c r="A231" s="2"/>
      <c r="B231" s="2"/>
      <c r="C231" s="2"/>
      <c r="D231" s="2"/>
      <c r="E231" s="2"/>
      <c r="F231" s="3"/>
      <c r="G231" s="4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</row>
    <row r="232">
      <c r="A232" s="2"/>
      <c r="B232" s="2"/>
      <c r="C232" s="2"/>
      <c r="D232" s="2"/>
      <c r="E232" s="2"/>
      <c r="F232" s="3"/>
      <c r="G232" s="4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</row>
    <row r="233">
      <c r="A233" s="2"/>
      <c r="B233" s="2"/>
      <c r="C233" s="2"/>
      <c r="D233" s="2"/>
      <c r="E233" s="2"/>
      <c r="F233" s="3"/>
      <c r="G233" s="4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</row>
    <row r="234">
      <c r="A234" s="2"/>
      <c r="B234" s="2"/>
      <c r="C234" s="2"/>
      <c r="D234" s="2"/>
      <c r="E234" s="2"/>
      <c r="F234" s="3"/>
      <c r="G234" s="4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</row>
    <row r="235">
      <c r="A235" s="2"/>
      <c r="B235" s="2"/>
      <c r="C235" s="2"/>
      <c r="D235" s="2"/>
      <c r="E235" s="2"/>
      <c r="F235" s="3"/>
      <c r="G235" s="4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</row>
    <row r="236">
      <c r="A236" s="2"/>
      <c r="B236" s="2"/>
      <c r="C236" s="2"/>
      <c r="D236" s="2"/>
      <c r="E236" s="2"/>
      <c r="F236" s="3"/>
      <c r="G236" s="4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</row>
    <row r="237">
      <c r="A237" s="2"/>
      <c r="B237" s="2"/>
      <c r="C237" s="2"/>
      <c r="D237" s="2"/>
      <c r="E237" s="2"/>
      <c r="F237" s="3"/>
      <c r="G237" s="4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</row>
    <row r="238">
      <c r="A238" s="2"/>
      <c r="B238" s="2"/>
      <c r="C238" s="2"/>
      <c r="D238" s="2"/>
      <c r="E238" s="2"/>
      <c r="F238" s="3"/>
      <c r="G238" s="4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</row>
    <row r="239">
      <c r="A239" s="2"/>
      <c r="B239" s="2"/>
      <c r="C239" s="2"/>
      <c r="D239" s="2"/>
      <c r="E239" s="2"/>
      <c r="F239" s="3"/>
      <c r="G239" s="4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</row>
    <row r="240">
      <c r="A240" s="2"/>
      <c r="B240" s="2"/>
      <c r="C240" s="2"/>
      <c r="D240" s="2"/>
      <c r="E240" s="2"/>
      <c r="F240" s="3"/>
      <c r="G240" s="4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</row>
    <row r="241">
      <c r="A241" s="2"/>
      <c r="B241" s="2"/>
      <c r="C241" s="2"/>
      <c r="D241" s="2"/>
      <c r="E241" s="2"/>
      <c r="F241" s="3"/>
      <c r="G241" s="4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</row>
    <row r="242">
      <c r="A242" s="2"/>
      <c r="B242" s="2"/>
      <c r="C242" s="2"/>
      <c r="D242" s="2"/>
      <c r="E242" s="2"/>
      <c r="F242" s="3"/>
      <c r="G242" s="4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</row>
    <row r="243">
      <c r="A243" s="2"/>
      <c r="B243" s="2"/>
      <c r="C243" s="2"/>
      <c r="D243" s="2"/>
      <c r="E243" s="2"/>
      <c r="F243" s="3"/>
      <c r="G243" s="4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</row>
    <row r="244">
      <c r="A244" s="2"/>
      <c r="B244" s="2"/>
      <c r="C244" s="2"/>
      <c r="D244" s="2"/>
      <c r="E244" s="2"/>
      <c r="F244" s="3"/>
      <c r="G244" s="4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</row>
    <row r="245">
      <c r="A245" s="2"/>
      <c r="B245" s="2"/>
      <c r="C245" s="2"/>
      <c r="D245" s="2"/>
      <c r="E245" s="2"/>
      <c r="F245" s="3"/>
      <c r="G245" s="4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</row>
    <row r="246">
      <c r="A246" s="2"/>
      <c r="B246" s="2"/>
      <c r="C246" s="2"/>
      <c r="D246" s="2"/>
      <c r="E246" s="2"/>
      <c r="F246" s="3"/>
      <c r="G246" s="4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</row>
    <row r="247">
      <c r="A247" s="2"/>
      <c r="B247" s="2"/>
      <c r="C247" s="2"/>
      <c r="D247" s="2"/>
      <c r="E247" s="2"/>
      <c r="F247" s="3"/>
      <c r="G247" s="4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</row>
    <row r="248">
      <c r="A248" s="2"/>
      <c r="B248" s="2"/>
      <c r="C248" s="2"/>
      <c r="D248" s="2"/>
      <c r="E248" s="2"/>
      <c r="F248" s="3"/>
      <c r="G248" s="4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</row>
    <row r="249">
      <c r="A249" s="2"/>
      <c r="B249" s="2"/>
      <c r="C249" s="2"/>
      <c r="D249" s="2"/>
      <c r="E249" s="2"/>
      <c r="F249" s="3"/>
      <c r="G249" s="4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</row>
    <row r="250">
      <c r="A250" s="2"/>
      <c r="B250" s="2"/>
      <c r="C250" s="2"/>
      <c r="D250" s="2"/>
      <c r="E250" s="2"/>
      <c r="F250" s="3"/>
      <c r="G250" s="4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</row>
    <row r="251">
      <c r="A251" s="2"/>
      <c r="B251" s="2"/>
      <c r="C251" s="2"/>
      <c r="D251" s="2"/>
      <c r="E251" s="2"/>
      <c r="F251" s="3"/>
      <c r="G251" s="4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</row>
    <row r="252">
      <c r="A252" s="2"/>
      <c r="B252" s="2"/>
      <c r="C252" s="2"/>
      <c r="D252" s="2"/>
      <c r="E252" s="2"/>
      <c r="F252" s="3"/>
      <c r="G252" s="4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</row>
    <row r="253">
      <c r="A253" s="2"/>
      <c r="B253" s="2"/>
      <c r="C253" s="2"/>
      <c r="D253" s="2"/>
      <c r="E253" s="2"/>
      <c r="F253" s="3"/>
      <c r="G253" s="4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</row>
    <row r="254">
      <c r="A254" s="2"/>
      <c r="B254" s="2"/>
      <c r="C254" s="2"/>
      <c r="D254" s="2"/>
      <c r="E254" s="2"/>
      <c r="F254" s="3"/>
      <c r="G254" s="4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</row>
    <row r="255">
      <c r="A255" s="2"/>
      <c r="B255" s="2"/>
      <c r="C255" s="2"/>
      <c r="D255" s="2"/>
      <c r="E255" s="2"/>
      <c r="F255" s="3"/>
      <c r="G255" s="4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</row>
    <row r="256">
      <c r="A256" s="2"/>
      <c r="B256" s="2"/>
      <c r="C256" s="2"/>
      <c r="D256" s="2"/>
      <c r="E256" s="2"/>
      <c r="F256" s="3"/>
      <c r="G256" s="4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</row>
    <row r="257">
      <c r="A257" s="2"/>
      <c r="B257" s="2"/>
      <c r="C257" s="2"/>
      <c r="D257" s="2"/>
      <c r="E257" s="2"/>
      <c r="F257" s="3"/>
      <c r="G257" s="4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</row>
    <row r="258">
      <c r="A258" s="2"/>
      <c r="B258" s="2"/>
      <c r="C258" s="2"/>
      <c r="D258" s="2"/>
      <c r="E258" s="2"/>
      <c r="F258" s="3"/>
      <c r="G258" s="4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</row>
    <row r="259">
      <c r="A259" s="2"/>
      <c r="B259" s="2"/>
      <c r="C259" s="2"/>
      <c r="D259" s="2"/>
      <c r="E259" s="2"/>
      <c r="F259" s="3"/>
      <c r="G259" s="4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</row>
    <row r="260">
      <c r="A260" s="2"/>
      <c r="B260" s="2"/>
      <c r="C260" s="2"/>
      <c r="D260" s="2"/>
      <c r="E260" s="2"/>
      <c r="F260" s="3"/>
      <c r="G260" s="4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</row>
    <row r="261">
      <c r="A261" s="2"/>
      <c r="B261" s="2"/>
      <c r="C261" s="2"/>
      <c r="D261" s="2"/>
      <c r="E261" s="2"/>
      <c r="F261" s="3"/>
      <c r="G261" s="4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</row>
    <row r="262">
      <c r="A262" s="2"/>
      <c r="B262" s="2"/>
      <c r="C262" s="2"/>
      <c r="D262" s="2"/>
      <c r="E262" s="2"/>
      <c r="F262" s="3"/>
      <c r="G262" s="4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</row>
    <row r="263">
      <c r="A263" s="2"/>
      <c r="B263" s="2"/>
      <c r="C263" s="2"/>
      <c r="D263" s="2"/>
      <c r="E263" s="2"/>
      <c r="F263" s="3"/>
      <c r="G263" s="4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</row>
    <row r="264">
      <c r="A264" s="2"/>
      <c r="B264" s="2"/>
      <c r="C264" s="2"/>
      <c r="D264" s="2"/>
      <c r="E264" s="2"/>
      <c r="F264" s="3"/>
      <c r="G264" s="4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</row>
    <row r="265">
      <c r="A265" s="2"/>
      <c r="B265" s="2"/>
      <c r="C265" s="2"/>
      <c r="D265" s="2"/>
      <c r="E265" s="2"/>
      <c r="F265" s="3"/>
      <c r="G265" s="4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</row>
    <row r="266">
      <c r="A266" s="2"/>
      <c r="B266" s="2"/>
      <c r="C266" s="2"/>
      <c r="D266" s="2"/>
      <c r="E266" s="2"/>
      <c r="F266" s="3"/>
      <c r="G266" s="4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</row>
    <row r="267">
      <c r="A267" s="2"/>
      <c r="B267" s="2"/>
      <c r="C267" s="2"/>
      <c r="D267" s="2"/>
      <c r="E267" s="2"/>
      <c r="F267" s="3"/>
      <c r="G267" s="4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</row>
    <row r="268">
      <c r="A268" s="2"/>
      <c r="B268" s="2"/>
      <c r="C268" s="2"/>
      <c r="D268" s="2"/>
      <c r="E268" s="2"/>
      <c r="F268" s="3"/>
      <c r="G268" s="4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</row>
    <row r="269">
      <c r="A269" s="2"/>
      <c r="B269" s="2"/>
      <c r="C269" s="2"/>
      <c r="D269" s="2"/>
      <c r="E269" s="2"/>
      <c r="F269" s="3"/>
      <c r="G269" s="4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</row>
    <row r="270">
      <c r="A270" s="2"/>
      <c r="B270" s="2"/>
      <c r="C270" s="2"/>
      <c r="D270" s="2"/>
      <c r="E270" s="2"/>
      <c r="F270" s="3"/>
      <c r="G270" s="4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</row>
    <row r="271">
      <c r="A271" s="2"/>
      <c r="B271" s="2"/>
      <c r="C271" s="2"/>
      <c r="D271" s="2"/>
      <c r="E271" s="2"/>
      <c r="F271" s="3"/>
      <c r="G271" s="4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</row>
    <row r="272">
      <c r="A272" s="2"/>
      <c r="B272" s="2"/>
      <c r="C272" s="2"/>
      <c r="D272" s="2"/>
      <c r="E272" s="2"/>
      <c r="F272" s="3"/>
      <c r="G272" s="4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</row>
    <row r="273">
      <c r="A273" s="2"/>
      <c r="B273" s="2"/>
      <c r="C273" s="2"/>
      <c r="D273" s="2"/>
      <c r="E273" s="2"/>
      <c r="F273" s="3"/>
      <c r="G273" s="4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</row>
    <row r="274">
      <c r="A274" s="2"/>
      <c r="B274" s="2"/>
      <c r="C274" s="2"/>
      <c r="D274" s="2"/>
      <c r="E274" s="2"/>
      <c r="F274" s="3"/>
      <c r="G274" s="4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</row>
    <row r="275">
      <c r="A275" s="2"/>
      <c r="B275" s="2"/>
      <c r="C275" s="2"/>
      <c r="D275" s="2"/>
      <c r="E275" s="2"/>
      <c r="F275" s="3"/>
      <c r="G275" s="4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</row>
    <row r="276">
      <c r="A276" s="2"/>
      <c r="B276" s="2"/>
      <c r="C276" s="2"/>
      <c r="D276" s="2"/>
      <c r="E276" s="2"/>
      <c r="F276" s="3"/>
      <c r="G276" s="4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</row>
    <row r="277">
      <c r="A277" s="2"/>
      <c r="B277" s="2"/>
      <c r="C277" s="2"/>
      <c r="D277" s="2"/>
      <c r="E277" s="2"/>
      <c r="F277" s="3"/>
      <c r="G277" s="4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</row>
    <row r="278">
      <c r="A278" s="2"/>
      <c r="B278" s="2"/>
      <c r="C278" s="2"/>
      <c r="D278" s="2"/>
      <c r="E278" s="2"/>
      <c r="F278" s="3"/>
      <c r="G278" s="4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</row>
    <row r="279">
      <c r="A279" s="2"/>
      <c r="B279" s="2"/>
      <c r="C279" s="2"/>
      <c r="D279" s="2"/>
      <c r="E279" s="2"/>
      <c r="F279" s="3"/>
      <c r="G279" s="4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</row>
    <row r="280">
      <c r="A280" s="2"/>
      <c r="B280" s="2"/>
      <c r="C280" s="2"/>
      <c r="D280" s="2"/>
      <c r="E280" s="2"/>
      <c r="F280" s="3"/>
      <c r="G280" s="4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</row>
    <row r="281">
      <c r="A281" s="2"/>
      <c r="B281" s="2"/>
      <c r="C281" s="2"/>
      <c r="D281" s="2"/>
      <c r="E281" s="2"/>
      <c r="F281" s="3"/>
      <c r="G281" s="4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</row>
    <row r="282">
      <c r="A282" s="2"/>
      <c r="B282" s="2"/>
      <c r="C282" s="2"/>
      <c r="D282" s="2"/>
      <c r="E282" s="2"/>
      <c r="F282" s="3"/>
      <c r="G282" s="4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</row>
    <row r="283">
      <c r="A283" s="2"/>
      <c r="B283" s="2"/>
      <c r="C283" s="2"/>
      <c r="D283" s="2"/>
      <c r="E283" s="2"/>
      <c r="F283" s="3"/>
      <c r="G283" s="4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</row>
    <row r="284">
      <c r="A284" s="2"/>
      <c r="B284" s="2"/>
      <c r="C284" s="2"/>
      <c r="D284" s="2"/>
      <c r="E284" s="2"/>
      <c r="F284" s="3"/>
      <c r="G284" s="4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</row>
    <row r="285">
      <c r="A285" s="2"/>
      <c r="B285" s="2"/>
      <c r="C285" s="2"/>
      <c r="D285" s="2"/>
      <c r="E285" s="2"/>
      <c r="F285" s="3"/>
      <c r="G285" s="4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</row>
    <row r="286">
      <c r="A286" s="2"/>
      <c r="B286" s="2"/>
      <c r="C286" s="2"/>
      <c r="D286" s="2"/>
      <c r="E286" s="2"/>
      <c r="F286" s="3"/>
      <c r="G286" s="4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</row>
    <row r="287">
      <c r="A287" s="2"/>
      <c r="B287" s="2"/>
      <c r="C287" s="2"/>
      <c r="D287" s="2"/>
      <c r="E287" s="2"/>
      <c r="F287" s="3"/>
      <c r="G287" s="4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</row>
    <row r="288">
      <c r="A288" s="2"/>
      <c r="B288" s="2"/>
      <c r="C288" s="2"/>
      <c r="D288" s="2"/>
      <c r="E288" s="2"/>
      <c r="F288" s="3"/>
      <c r="G288" s="4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</row>
    <row r="289">
      <c r="A289" s="2"/>
      <c r="B289" s="2"/>
      <c r="C289" s="2"/>
      <c r="D289" s="2"/>
      <c r="E289" s="2"/>
      <c r="F289" s="3"/>
      <c r="G289" s="4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</row>
    <row r="290">
      <c r="A290" s="2"/>
      <c r="B290" s="2"/>
      <c r="C290" s="2"/>
      <c r="D290" s="2"/>
      <c r="E290" s="2"/>
      <c r="F290" s="3"/>
      <c r="G290" s="4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</row>
    <row r="291">
      <c r="A291" s="2"/>
      <c r="B291" s="2"/>
      <c r="C291" s="2"/>
      <c r="D291" s="2"/>
      <c r="E291" s="2"/>
      <c r="F291" s="3"/>
      <c r="G291" s="4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</row>
    <row r="292">
      <c r="A292" s="2"/>
      <c r="B292" s="2"/>
      <c r="C292" s="2"/>
      <c r="D292" s="2"/>
      <c r="E292" s="2"/>
      <c r="F292" s="3"/>
      <c r="G292" s="4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</row>
    <row r="293">
      <c r="A293" s="2"/>
      <c r="B293" s="2"/>
      <c r="C293" s="2"/>
      <c r="D293" s="2"/>
      <c r="E293" s="2"/>
      <c r="F293" s="3"/>
      <c r="G293" s="4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</row>
    <row r="294">
      <c r="A294" s="2"/>
      <c r="B294" s="2"/>
      <c r="C294" s="2"/>
      <c r="D294" s="2"/>
      <c r="E294" s="2"/>
      <c r="F294" s="3"/>
      <c r="G294" s="4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</row>
    <row r="295">
      <c r="A295" s="2"/>
      <c r="B295" s="2"/>
      <c r="C295" s="2"/>
      <c r="D295" s="2"/>
      <c r="E295" s="2"/>
      <c r="F295" s="3"/>
      <c r="G295" s="4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</row>
    <row r="296">
      <c r="A296" s="2"/>
      <c r="B296" s="2"/>
      <c r="C296" s="2"/>
      <c r="D296" s="2"/>
      <c r="E296" s="2"/>
      <c r="F296" s="3"/>
      <c r="G296" s="4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</row>
    <row r="297">
      <c r="A297" s="2"/>
      <c r="B297" s="2"/>
      <c r="C297" s="2"/>
      <c r="D297" s="2"/>
      <c r="E297" s="2"/>
      <c r="F297" s="3"/>
      <c r="G297" s="4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</row>
    <row r="298">
      <c r="A298" s="2"/>
      <c r="B298" s="2"/>
      <c r="C298" s="2"/>
      <c r="D298" s="2"/>
      <c r="E298" s="2"/>
      <c r="F298" s="3"/>
      <c r="G298" s="4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</row>
    <row r="299">
      <c r="A299" s="2"/>
      <c r="B299" s="2"/>
      <c r="C299" s="2"/>
      <c r="D299" s="2"/>
      <c r="E299" s="2"/>
      <c r="F299" s="3"/>
      <c r="G299" s="4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</row>
    <row r="300">
      <c r="A300" s="2"/>
      <c r="B300" s="2"/>
      <c r="C300" s="2"/>
      <c r="D300" s="2"/>
      <c r="E300" s="2"/>
      <c r="F300" s="3"/>
      <c r="G300" s="4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</row>
    <row r="301">
      <c r="A301" s="2"/>
      <c r="B301" s="2"/>
      <c r="C301" s="2"/>
      <c r="D301" s="2"/>
      <c r="E301" s="2"/>
      <c r="F301" s="3"/>
      <c r="G301" s="4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</row>
    <row r="302">
      <c r="A302" s="2"/>
      <c r="B302" s="2"/>
      <c r="C302" s="2"/>
      <c r="D302" s="2"/>
      <c r="E302" s="2"/>
      <c r="F302" s="3"/>
      <c r="G302" s="4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</row>
    <row r="303">
      <c r="A303" s="2"/>
      <c r="B303" s="2"/>
      <c r="C303" s="2"/>
      <c r="D303" s="2"/>
      <c r="E303" s="2"/>
      <c r="F303" s="3"/>
      <c r="G303" s="4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</row>
    <row r="304">
      <c r="A304" s="2"/>
      <c r="B304" s="2"/>
      <c r="C304" s="2"/>
      <c r="D304" s="2"/>
      <c r="E304" s="2"/>
      <c r="F304" s="3"/>
      <c r="G304" s="4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</row>
    <row r="305">
      <c r="A305" s="2"/>
      <c r="B305" s="2"/>
      <c r="C305" s="2"/>
      <c r="D305" s="2"/>
      <c r="E305" s="2"/>
      <c r="F305" s="3"/>
      <c r="G305" s="4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</row>
    <row r="306">
      <c r="A306" s="2"/>
      <c r="B306" s="2"/>
      <c r="C306" s="2"/>
      <c r="D306" s="2"/>
      <c r="E306" s="2"/>
      <c r="F306" s="3"/>
      <c r="G306" s="4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</row>
    <row r="307">
      <c r="A307" s="2"/>
      <c r="B307" s="2"/>
      <c r="C307" s="2"/>
      <c r="D307" s="2"/>
      <c r="E307" s="2"/>
      <c r="F307" s="3"/>
      <c r="G307" s="4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</row>
    <row r="308">
      <c r="A308" s="2"/>
      <c r="B308" s="2"/>
      <c r="C308" s="2"/>
      <c r="D308" s="2"/>
      <c r="E308" s="2"/>
      <c r="F308" s="3"/>
      <c r="G308" s="4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</row>
    <row r="309">
      <c r="A309" s="2"/>
      <c r="B309" s="2"/>
      <c r="C309" s="2"/>
      <c r="D309" s="2"/>
      <c r="E309" s="2"/>
      <c r="F309" s="3"/>
      <c r="G309" s="4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</row>
    <row r="310">
      <c r="A310" s="2"/>
      <c r="B310" s="2"/>
      <c r="C310" s="2"/>
      <c r="D310" s="2"/>
      <c r="E310" s="2"/>
      <c r="F310" s="3"/>
      <c r="G310" s="4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</row>
    <row r="311">
      <c r="A311" s="2"/>
      <c r="B311" s="2"/>
      <c r="C311" s="2"/>
      <c r="D311" s="2"/>
      <c r="E311" s="2"/>
      <c r="F311" s="3"/>
      <c r="G311" s="4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</row>
    <row r="312">
      <c r="A312" s="2"/>
      <c r="B312" s="2"/>
      <c r="C312" s="2"/>
      <c r="D312" s="2"/>
      <c r="E312" s="2"/>
      <c r="F312" s="3"/>
      <c r="G312" s="4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</row>
    <row r="313">
      <c r="A313" s="2"/>
      <c r="B313" s="2"/>
      <c r="C313" s="2"/>
      <c r="D313" s="2"/>
      <c r="E313" s="2"/>
      <c r="F313" s="3"/>
      <c r="G313" s="4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</row>
    <row r="314">
      <c r="A314" s="2"/>
      <c r="B314" s="2"/>
      <c r="C314" s="2"/>
      <c r="D314" s="2"/>
      <c r="E314" s="2"/>
      <c r="F314" s="3"/>
      <c r="G314" s="4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</row>
    <row r="315">
      <c r="A315" s="2"/>
      <c r="B315" s="2"/>
      <c r="C315" s="2"/>
      <c r="D315" s="2"/>
      <c r="E315" s="2"/>
      <c r="F315" s="3"/>
      <c r="G315" s="4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</row>
    <row r="316">
      <c r="A316" s="2"/>
      <c r="B316" s="2"/>
      <c r="C316" s="2"/>
      <c r="D316" s="2"/>
      <c r="E316" s="2"/>
      <c r="F316" s="3"/>
      <c r="G316" s="4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</row>
    <row r="317">
      <c r="A317" s="2"/>
      <c r="B317" s="2"/>
      <c r="C317" s="2"/>
      <c r="D317" s="2"/>
      <c r="E317" s="2"/>
      <c r="F317" s="3"/>
      <c r="G317" s="4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</row>
    <row r="318">
      <c r="A318" s="2"/>
      <c r="B318" s="2"/>
      <c r="C318" s="2"/>
      <c r="D318" s="2"/>
      <c r="E318" s="2"/>
      <c r="F318" s="3"/>
      <c r="G318" s="4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</row>
    <row r="319">
      <c r="A319" s="2"/>
      <c r="B319" s="2"/>
      <c r="C319" s="2"/>
      <c r="D319" s="2"/>
      <c r="E319" s="2"/>
      <c r="F319" s="3"/>
      <c r="G319" s="4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</row>
    <row r="320">
      <c r="A320" s="2"/>
      <c r="B320" s="2"/>
      <c r="C320" s="2"/>
      <c r="D320" s="2"/>
      <c r="E320" s="2"/>
      <c r="F320" s="3"/>
      <c r="G320" s="4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</row>
    <row r="321">
      <c r="A321" s="2"/>
      <c r="B321" s="2"/>
      <c r="C321" s="2"/>
      <c r="D321" s="2"/>
      <c r="E321" s="2"/>
      <c r="F321" s="3"/>
      <c r="G321" s="4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</row>
    <row r="322">
      <c r="A322" s="2"/>
      <c r="B322" s="2"/>
      <c r="C322" s="2"/>
      <c r="D322" s="2"/>
      <c r="E322" s="2"/>
      <c r="F322" s="3"/>
      <c r="G322" s="4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</row>
    <row r="323">
      <c r="A323" s="2"/>
      <c r="B323" s="2"/>
      <c r="C323" s="2"/>
      <c r="D323" s="2"/>
      <c r="E323" s="2"/>
      <c r="F323" s="3"/>
      <c r="G323" s="4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</row>
    <row r="324">
      <c r="A324" s="2"/>
      <c r="B324" s="2"/>
      <c r="C324" s="2"/>
      <c r="D324" s="2"/>
      <c r="E324" s="2"/>
      <c r="F324" s="3"/>
      <c r="G324" s="4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</row>
    <row r="325">
      <c r="A325" s="2"/>
      <c r="B325" s="2"/>
      <c r="C325" s="2"/>
      <c r="D325" s="2"/>
      <c r="E325" s="2"/>
      <c r="F325" s="3"/>
      <c r="G325" s="4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</row>
    <row r="326">
      <c r="A326" s="2"/>
      <c r="B326" s="2"/>
      <c r="C326" s="2"/>
      <c r="D326" s="2"/>
      <c r="E326" s="2"/>
      <c r="F326" s="3"/>
      <c r="G326" s="4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</row>
    <row r="327">
      <c r="A327" s="2"/>
      <c r="B327" s="2"/>
      <c r="C327" s="2"/>
      <c r="D327" s="2"/>
      <c r="E327" s="2"/>
      <c r="F327" s="3"/>
      <c r="G327" s="4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</row>
    <row r="328">
      <c r="A328" s="2"/>
      <c r="B328" s="2"/>
      <c r="C328" s="2"/>
      <c r="D328" s="2"/>
      <c r="E328" s="2"/>
      <c r="F328" s="3"/>
      <c r="G328" s="4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</row>
    <row r="329">
      <c r="A329" s="2"/>
      <c r="B329" s="2"/>
      <c r="C329" s="2"/>
      <c r="D329" s="2"/>
      <c r="E329" s="2"/>
      <c r="F329" s="3"/>
      <c r="G329" s="4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</row>
    <row r="330">
      <c r="A330" s="2"/>
      <c r="B330" s="2"/>
      <c r="C330" s="2"/>
      <c r="D330" s="2"/>
      <c r="E330" s="2"/>
      <c r="F330" s="3"/>
      <c r="G330" s="4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</row>
    <row r="331">
      <c r="A331" s="2"/>
      <c r="B331" s="2"/>
      <c r="C331" s="2"/>
      <c r="D331" s="2"/>
      <c r="E331" s="2"/>
      <c r="F331" s="3"/>
      <c r="G331" s="4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</row>
    <row r="332">
      <c r="A332" s="2"/>
      <c r="B332" s="2"/>
      <c r="C332" s="2"/>
      <c r="D332" s="2"/>
      <c r="E332" s="2"/>
      <c r="F332" s="3"/>
      <c r="G332" s="4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</row>
    <row r="333">
      <c r="A333" s="2"/>
      <c r="B333" s="2"/>
      <c r="C333" s="2"/>
      <c r="D333" s="2"/>
      <c r="E333" s="2"/>
      <c r="F333" s="3"/>
      <c r="G333" s="4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</row>
    <row r="334">
      <c r="A334" s="2"/>
      <c r="B334" s="2"/>
      <c r="C334" s="2"/>
      <c r="D334" s="2"/>
      <c r="E334" s="2"/>
      <c r="F334" s="3"/>
      <c r="G334" s="4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</row>
    <row r="335">
      <c r="A335" s="2"/>
      <c r="B335" s="2"/>
      <c r="C335" s="2"/>
      <c r="D335" s="2"/>
      <c r="E335" s="2"/>
      <c r="F335" s="3"/>
      <c r="G335" s="4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</row>
    <row r="336">
      <c r="A336" s="2"/>
      <c r="B336" s="2"/>
      <c r="C336" s="2"/>
      <c r="D336" s="2"/>
      <c r="E336" s="2"/>
      <c r="F336" s="3"/>
      <c r="G336" s="4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</row>
    <row r="337">
      <c r="A337" s="2"/>
      <c r="B337" s="2"/>
      <c r="C337" s="2"/>
      <c r="D337" s="2"/>
      <c r="E337" s="2"/>
      <c r="F337" s="3"/>
      <c r="G337" s="4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</row>
    <row r="338">
      <c r="A338" s="2"/>
      <c r="B338" s="2"/>
      <c r="C338" s="2"/>
      <c r="D338" s="2"/>
      <c r="E338" s="2"/>
      <c r="F338" s="3"/>
      <c r="G338" s="4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</row>
    <row r="339">
      <c r="A339" s="2"/>
      <c r="B339" s="2"/>
      <c r="C339" s="2"/>
      <c r="D339" s="2"/>
      <c r="E339" s="2"/>
      <c r="F339" s="3"/>
      <c r="G339" s="4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</row>
    <row r="340">
      <c r="A340" s="2"/>
      <c r="B340" s="2"/>
      <c r="C340" s="2"/>
      <c r="D340" s="2"/>
      <c r="E340" s="2"/>
      <c r="F340" s="3"/>
      <c r="G340" s="4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</row>
    <row r="341">
      <c r="A341" s="2"/>
      <c r="B341" s="2"/>
      <c r="C341" s="2"/>
      <c r="D341" s="2"/>
      <c r="E341" s="2"/>
      <c r="F341" s="3"/>
      <c r="G341" s="4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</row>
    <row r="342">
      <c r="A342" s="2"/>
      <c r="B342" s="2"/>
      <c r="C342" s="2"/>
      <c r="D342" s="2"/>
      <c r="E342" s="2"/>
      <c r="F342" s="3"/>
      <c r="G342" s="4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</row>
    <row r="343">
      <c r="A343" s="2"/>
      <c r="B343" s="2"/>
      <c r="C343" s="2"/>
      <c r="D343" s="2"/>
      <c r="E343" s="2"/>
      <c r="F343" s="3"/>
      <c r="G343" s="4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</row>
    <row r="344">
      <c r="A344" s="2"/>
      <c r="B344" s="2"/>
      <c r="C344" s="2"/>
      <c r="D344" s="2"/>
      <c r="E344" s="2"/>
      <c r="F344" s="3"/>
      <c r="G344" s="4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</row>
    <row r="345">
      <c r="A345" s="2"/>
      <c r="B345" s="2"/>
      <c r="C345" s="2"/>
      <c r="D345" s="2"/>
      <c r="E345" s="2"/>
      <c r="F345" s="3"/>
      <c r="G345" s="4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</row>
    <row r="346">
      <c r="A346" s="2"/>
      <c r="B346" s="2"/>
      <c r="C346" s="2"/>
      <c r="D346" s="2"/>
      <c r="E346" s="2"/>
      <c r="F346" s="3"/>
      <c r="G346" s="4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</row>
    <row r="347">
      <c r="A347" s="2"/>
      <c r="B347" s="2"/>
      <c r="C347" s="2"/>
      <c r="D347" s="2"/>
      <c r="E347" s="2"/>
      <c r="F347" s="3"/>
      <c r="G347" s="4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</row>
    <row r="348">
      <c r="A348" s="2"/>
      <c r="B348" s="2"/>
      <c r="C348" s="2"/>
      <c r="D348" s="2"/>
      <c r="E348" s="2"/>
      <c r="F348" s="3"/>
      <c r="G348" s="4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</row>
    <row r="349">
      <c r="A349" s="2"/>
      <c r="B349" s="2"/>
      <c r="C349" s="2"/>
      <c r="D349" s="2"/>
      <c r="E349" s="2"/>
      <c r="F349" s="3"/>
      <c r="G349" s="4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</row>
    <row r="350">
      <c r="A350" s="2"/>
      <c r="B350" s="2"/>
      <c r="C350" s="2"/>
      <c r="D350" s="2"/>
      <c r="E350" s="2"/>
      <c r="F350" s="3"/>
      <c r="G350" s="4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</row>
    <row r="351">
      <c r="A351" s="2"/>
      <c r="B351" s="2"/>
      <c r="C351" s="2"/>
      <c r="D351" s="2"/>
      <c r="E351" s="2"/>
      <c r="F351" s="3"/>
      <c r="G351" s="4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</row>
    <row r="352">
      <c r="A352" s="2"/>
      <c r="B352" s="2"/>
      <c r="C352" s="2"/>
      <c r="D352" s="2"/>
      <c r="E352" s="2"/>
      <c r="F352" s="3"/>
      <c r="G352" s="4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</row>
    <row r="353">
      <c r="A353" s="2"/>
      <c r="B353" s="2"/>
      <c r="C353" s="2"/>
      <c r="D353" s="2"/>
      <c r="E353" s="2"/>
      <c r="F353" s="3"/>
      <c r="G353" s="4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</row>
    <row r="354">
      <c r="A354" s="2"/>
      <c r="B354" s="2"/>
      <c r="C354" s="2"/>
      <c r="D354" s="2"/>
      <c r="E354" s="2"/>
      <c r="F354" s="3"/>
      <c r="G354" s="4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</row>
    <row r="355">
      <c r="A355" s="2"/>
      <c r="B355" s="2"/>
      <c r="C355" s="2"/>
      <c r="D355" s="2"/>
      <c r="E355" s="2"/>
      <c r="F355" s="3"/>
      <c r="G355" s="4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</row>
    <row r="356">
      <c r="A356" s="2"/>
      <c r="B356" s="2"/>
      <c r="C356" s="2"/>
      <c r="D356" s="2"/>
      <c r="E356" s="2"/>
      <c r="F356" s="3"/>
      <c r="G356" s="4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</row>
    <row r="357">
      <c r="A357" s="2"/>
      <c r="B357" s="2"/>
      <c r="C357" s="2"/>
      <c r="D357" s="2"/>
      <c r="E357" s="2"/>
      <c r="F357" s="3"/>
      <c r="G357" s="4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</row>
    <row r="358">
      <c r="A358" s="2"/>
      <c r="B358" s="2"/>
      <c r="C358" s="2"/>
      <c r="D358" s="2"/>
      <c r="E358" s="2"/>
      <c r="F358" s="3"/>
      <c r="G358" s="4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</row>
    <row r="359">
      <c r="A359" s="2"/>
      <c r="B359" s="2"/>
      <c r="C359" s="2"/>
      <c r="D359" s="2"/>
      <c r="E359" s="2"/>
      <c r="F359" s="3"/>
      <c r="G359" s="4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</row>
    <row r="360">
      <c r="A360" s="2"/>
      <c r="B360" s="2"/>
      <c r="C360" s="2"/>
      <c r="D360" s="2"/>
      <c r="E360" s="2"/>
      <c r="F360" s="3"/>
      <c r="G360" s="4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</row>
    <row r="361">
      <c r="A361" s="2"/>
      <c r="B361" s="2"/>
      <c r="C361" s="2"/>
      <c r="D361" s="2"/>
      <c r="E361" s="2"/>
      <c r="F361" s="3"/>
      <c r="G361" s="4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</row>
    <row r="362">
      <c r="A362" s="2"/>
      <c r="B362" s="2"/>
      <c r="C362" s="2"/>
      <c r="D362" s="2"/>
      <c r="E362" s="2"/>
      <c r="F362" s="3"/>
      <c r="G362" s="4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</row>
    <row r="363">
      <c r="A363" s="2"/>
      <c r="B363" s="2"/>
      <c r="C363" s="2"/>
      <c r="D363" s="2"/>
      <c r="E363" s="2"/>
      <c r="F363" s="3"/>
      <c r="G363" s="4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</row>
    <row r="364">
      <c r="A364" s="2"/>
      <c r="B364" s="2"/>
      <c r="C364" s="2"/>
      <c r="D364" s="2"/>
      <c r="E364" s="2"/>
      <c r="F364" s="3"/>
      <c r="G364" s="4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</row>
    <row r="365">
      <c r="A365" s="2"/>
      <c r="B365" s="2"/>
      <c r="C365" s="2"/>
      <c r="D365" s="2"/>
      <c r="E365" s="2"/>
      <c r="F365" s="3"/>
      <c r="G365" s="4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</row>
    <row r="366">
      <c r="A366" s="2"/>
      <c r="B366" s="2"/>
      <c r="C366" s="2"/>
      <c r="D366" s="2"/>
      <c r="E366" s="2"/>
      <c r="F366" s="3"/>
      <c r="G366" s="4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</row>
    <row r="367">
      <c r="A367" s="2"/>
      <c r="B367" s="2"/>
      <c r="C367" s="2"/>
      <c r="D367" s="2"/>
      <c r="E367" s="2"/>
      <c r="F367" s="3"/>
      <c r="G367" s="4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</row>
    <row r="368">
      <c r="A368" s="2"/>
      <c r="B368" s="2"/>
      <c r="C368" s="2"/>
      <c r="D368" s="2"/>
      <c r="E368" s="2"/>
      <c r="F368" s="3"/>
      <c r="G368" s="4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</row>
    <row r="369">
      <c r="A369" s="2"/>
      <c r="B369" s="2"/>
      <c r="C369" s="2"/>
      <c r="D369" s="2"/>
      <c r="E369" s="2"/>
      <c r="F369" s="3"/>
      <c r="G369" s="4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</row>
    <row r="370">
      <c r="A370" s="2"/>
      <c r="B370" s="2"/>
      <c r="C370" s="2"/>
      <c r="D370" s="2"/>
      <c r="E370" s="2"/>
      <c r="F370" s="3"/>
      <c r="G370" s="4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</row>
    <row r="371">
      <c r="A371" s="2"/>
      <c r="B371" s="2"/>
      <c r="C371" s="2"/>
      <c r="D371" s="2"/>
      <c r="E371" s="2"/>
      <c r="F371" s="3"/>
      <c r="G371" s="4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</row>
    <row r="372">
      <c r="A372" s="2"/>
      <c r="B372" s="2"/>
      <c r="C372" s="2"/>
      <c r="D372" s="2"/>
      <c r="E372" s="2"/>
      <c r="F372" s="3"/>
      <c r="G372" s="4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</row>
    <row r="373">
      <c r="A373" s="2"/>
      <c r="B373" s="2"/>
      <c r="C373" s="2"/>
      <c r="D373" s="2"/>
      <c r="E373" s="2"/>
      <c r="F373" s="3"/>
      <c r="G373" s="4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</row>
    <row r="374">
      <c r="A374" s="2"/>
      <c r="B374" s="2"/>
      <c r="C374" s="2"/>
      <c r="D374" s="2"/>
      <c r="E374" s="2"/>
      <c r="F374" s="3"/>
      <c r="G374" s="4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</row>
    <row r="375">
      <c r="A375" s="2"/>
      <c r="B375" s="2"/>
      <c r="C375" s="2"/>
      <c r="D375" s="2"/>
      <c r="E375" s="2"/>
      <c r="F375" s="3"/>
      <c r="G375" s="4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</row>
    <row r="376">
      <c r="A376" s="2"/>
      <c r="B376" s="2"/>
      <c r="C376" s="2"/>
      <c r="D376" s="2"/>
      <c r="E376" s="2"/>
      <c r="F376" s="3"/>
      <c r="G376" s="4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</row>
    <row r="377">
      <c r="A377" s="2"/>
      <c r="B377" s="2"/>
      <c r="C377" s="2"/>
      <c r="D377" s="2"/>
      <c r="E377" s="2"/>
      <c r="F377" s="3"/>
      <c r="G377" s="4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</row>
    <row r="378">
      <c r="A378" s="2"/>
      <c r="B378" s="2"/>
      <c r="C378" s="2"/>
      <c r="D378" s="2"/>
      <c r="E378" s="2"/>
      <c r="F378" s="3"/>
      <c r="G378" s="4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</row>
    <row r="379">
      <c r="A379" s="2"/>
      <c r="B379" s="2"/>
      <c r="C379" s="2"/>
      <c r="D379" s="2"/>
      <c r="E379" s="2"/>
      <c r="F379" s="3"/>
      <c r="G379" s="4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</row>
    <row r="380">
      <c r="A380" s="2"/>
      <c r="B380" s="2"/>
      <c r="C380" s="2"/>
      <c r="D380" s="2"/>
      <c r="E380" s="2"/>
      <c r="F380" s="3"/>
      <c r="G380" s="4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</row>
    <row r="381">
      <c r="A381" s="2"/>
      <c r="B381" s="2"/>
      <c r="C381" s="2"/>
      <c r="D381" s="2"/>
      <c r="E381" s="2"/>
      <c r="F381" s="3"/>
      <c r="G381" s="4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</row>
    <row r="382">
      <c r="A382" s="2"/>
      <c r="B382" s="2"/>
      <c r="C382" s="2"/>
      <c r="D382" s="2"/>
      <c r="E382" s="2"/>
      <c r="F382" s="3"/>
      <c r="G382" s="4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</row>
    <row r="383">
      <c r="A383" s="2"/>
      <c r="B383" s="2"/>
      <c r="C383" s="2"/>
      <c r="D383" s="2"/>
      <c r="E383" s="2"/>
      <c r="F383" s="3"/>
      <c r="G383" s="4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</row>
    <row r="384">
      <c r="A384" s="2"/>
      <c r="B384" s="2"/>
      <c r="C384" s="2"/>
      <c r="D384" s="2"/>
      <c r="E384" s="2"/>
      <c r="F384" s="3"/>
      <c r="G384" s="4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</row>
    <row r="385">
      <c r="A385" s="2"/>
      <c r="B385" s="2"/>
      <c r="C385" s="2"/>
      <c r="D385" s="2"/>
      <c r="E385" s="2"/>
      <c r="F385" s="3"/>
      <c r="G385" s="4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</row>
    <row r="386">
      <c r="A386" s="2"/>
      <c r="B386" s="2"/>
      <c r="C386" s="2"/>
      <c r="D386" s="2"/>
      <c r="E386" s="2"/>
      <c r="F386" s="3"/>
      <c r="G386" s="4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</row>
    <row r="387">
      <c r="A387" s="2"/>
      <c r="B387" s="2"/>
      <c r="C387" s="2"/>
      <c r="D387" s="2"/>
      <c r="E387" s="2"/>
      <c r="F387" s="3"/>
      <c r="G387" s="4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</row>
    <row r="388">
      <c r="A388" s="2"/>
      <c r="B388" s="2"/>
      <c r="C388" s="2"/>
      <c r="D388" s="2"/>
      <c r="E388" s="2"/>
      <c r="F388" s="3"/>
      <c r="G388" s="4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</row>
    <row r="389">
      <c r="A389" s="2"/>
      <c r="B389" s="2"/>
      <c r="C389" s="2"/>
      <c r="D389" s="2"/>
      <c r="E389" s="2"/>
      <c r="F389" s="3"/>
      <c r="G389" s="4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</row>
    <row r="390">
      <c r="A390" s="2"/>
      <c r="B390" s="2"/>
      <c r="C390" s="2"/>
      <c r="D390" s="2"/>
      <c r="E390" s="2"/>
      <c r="F390" s="3"/>
      <c r="G390" s="4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</row>
    <row r="391">
      <c r="A391" s="2"/>
      <c r="B391" s="2"/>
      <c r="C391" s="2"/>
      <c r="D391" s="2"/>
      <c r="E391" s="2"/>
      <c r="F391" s="3"/>
      <c r="G391" s="4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</row>
    <row r="392">
      <c r="A392" s="2"/>
      <c r="B392" s="2"/>
      <c r="C392" s="2"/>
      <c r="D392" s="2"/>
      <c r="E392" s="2"/>
      <c r="F392" s="3"/>
      <c r="G392" s="4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</row>
    <row r="393">
      <c r="A393" s="2"/>
      <c r="B393" s="2"/>
      <c r="C393" s="2"/>
      <c r="D393" s="2"/>
      <c r="E393" s="2"/>
      <c r="F393" s="3"/>
      <c r="G393" s="4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</row>
    <row r="394">
      <c r="A394" s="2"/>
      <c r="B394" s="2"/>
      <c r="C394" s="2"/>
      <c r="D394" s="2"/>
      <c r="E394" s="2"/>
      <c r="F394" s="3"/>
      <c r="G394" s="4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</row>
    <row r="395">
      <c r="A395" s="2"/>
      <c r="B395" s="2"/>
      <c r="C395" s="2"/>
      <c r="D395" s="2"/>
      <c r="E395" s="2"/>
      <c r="F395" s="3"/>
      <c r="G395" s="4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</row>
    <row r="396">
      <c r="A396" s="2"/>
      <c r="B396" s="2"/>
      <c r="C396" s="2"/>
      <c r="D396" s="2"/>
      <c r="E396" s="2"/>
      <c r="F396" s="3"/>
      <c r="G396" s="4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</row>
    <row r="397">
      <c r="A397" s="2"/>
      <c r="B397" s="2"/>
      <c r="C397" s="2"/>
      <c r="D397" s="2"/>
      <c r="E397" s="2"/>
      <c r="F397" s="3"/>
      <c r="G397" s="4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</row>
    <row r="398">
      <c r="A398" s="2"/>
      <c r="B398" s="2"/>
      <c r="C398" s="2"/>
      <c r="D398" s="2"/>
      <c r="E398" s="2"/>
      <c r="F398" s="3"/>
      <c r="G398" s="4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</row>
    <row r="399">
      <c r="A399" s="2"/>
      <c r="B399" s="2"/>
      <c r="C399" s="2"/>
      <c r="D399" s="2"/>
      <c r="E399" s="2"/>
      <c r="F399" s="3"/>
      <c r="G399" s="4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</row>
    <row r="400">
      <c r="A400" s="2"/>
      <c r="B400" s="2"/>
      <c r="C400" s="2"/>
      <c r="D400" s="2"/>
      <c r="E400" s="2"/>
      <c r="F400" s="3"/>
      <c r="G400" s="4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</row>
    <row r="401">
      <c r="A401" s="2"/>
      <c r="B401" s="2"/>
      <c r="C401" s="2"/>
      <c r="D401" s="2"/>
      <c r="E401" s="2"/>
      <c r="F401" s="3"/>
      <c r="G401" s="4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</row>
    <row r="402">
      <c r="A402" s="2"/>
      <c r="B402" s="2"/>
      <c r="C402" s="2"/>
      <c r="D402" s="2"/>
      <c r="E402" s="2"/>
      <c r="F402" s="3"/>
      <c r="G402" s="4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</row>
    <row r="403">
      <c r="A403" s="2"/>
      <c r="B403" s="2"/>
      <c r="C403" s="2"/>
      <c r="D403" s="2"/>
      <c r="E403" s="2"/>
      <c r="F403" s="3"/>
      <c r="G403" s="4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</row>
    <row r="404">
      <c r="A404" s="2"/>
      <c r="B404" s="2"/>
      <c r="C404" s="2"/>
      <c r="D404" s="2"/>
      <c r="E404" s="2"/>
      <c r="F404" s="3"/>
      <c r="G404" s="4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</row>
    <row r="405">
      <c r="A405" s="2"/>
      <c r="B405" s="2"/>
      <c r="C405" s="2"/>
      <c r="D405" s="2"/>
      <c r="E405" s="2"/>
      <c r="F405" s="3"/>
      <c r="G405" s="4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</row>
    <row r="406">
      <c r="A406" s="2"/>
      <c r="B406" s="2"/>
      <c r="C406" s="2"/>
      <c r="D406" s="2"/>
      <c r="E406" s="2"/>
      <c r="F406" s="3"/>
      <c r="G406" s="4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</row>
    <row r="407">
      <c r="A407" s="2"/>
      <c r="B407" s="2"/>
      <c r="C407" s="2"/>
      <c r="D407" s="2"/>
      <c r="E407" s="2"/>
      <c r="F407" s="3"/>
      <c r="G407" s="4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</row>
    <row r="408">
      <c r="A408" s="2"/>
      <c r="B408" s="2"/>
      <c r="C408" s="2"/>
      <c r="D408" s="2"/>
      <c r="E408" s="2"/>
      <c r="F408" s="3"/>
      <c r="G408" s="4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</row>
    <row r="409">
      <c r="A409" s="2"/>
      <c r="B409" s="2"/>
      <c r="C409" s="2"/>
      <c r="D409" s="2"/>
      <c r="E409" s="2"/>
      <c r="F409" s="3"/>
      <c r="G409" s="4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</row>
    <row r="410">
      <c r="A410" s="2"/>
      <c r="B410" s="2"/>
      <c r="C410" s="2"/>
      <c r="D410" s="2"/>
      <c r="E410" s="2"/>
      <c r="F410" s="3"/>
      <c r="G410" s="4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</row>
    <row r="411">
      <c r="A411" s="2"/>
      <c r="B411" s="2"/>
      <c r="C411" s="2"/>
      <c r="D411" s="2"/>
      <c r="E411" s="2"/>
      <c r="F411" s="3"/>
      <c r="G411" s="4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</row>
    <row r="412">
      <c r="A412" s="2"/>
      <c r="B412" s="2"/>
      <c r="C412" s="2"/>
      <c r="D412" s="2"/>
      <c r="E412" s="2"/>
      <c r="F412" s="3"/>
      <c r="G412" s="4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</row>
    <row r="413">
      <c r="A413" s="2"/>
      <c r="B413" s="2"/>
      <c r="C413" s="2"/>
      <c r="D413" s="2"/>
      <c r="E413" s="2"/>
      <c r="F413" s="3"/>
      <c r="G413" s="4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</row>
    <row r="414">
      <c r="A414" s="2"/>
      <c r="B414" s="2"/>
      <c r="C414" s="2"/>
      <c r="D414" s="2"/>
      <c r="E414" s="2"/>
      <c r="F414" s="3"/>
      <c r="G414" s="4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</row>
    <row r="415">
      <c r="A415" s="2"/>
      <c r="B415" s="2"/>
      <c r="C415" s="2"/>
      <c r="D415" s="2"/>
      <c r="E415" s="2"/>
      <c r="F415" s="3"/>
      <c r="G415" s="4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</row>
    <row r="416">
      <c r="A416" s="2"/>
      <c r="B416" s="2"/>
      <c r="C416" s="2"/>
      <c r="D416" s="2"/>
      <c r="E416" s="2"/>
      <c r="F416" s="3"/>
      <c r="G416" s="4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</row>
    <row r="417">
      <c r="A417" s="2"/>
      <c r="B417" s="2"/>
      <c r="C417" s="2"/>
      <c r="D417" s="2"/>
      <c r="E417" s="2"/>
      <c r="F417" s="3"/>
      <c r="G417" s="4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</row>
    <row r="418">
      <c r="A418" s="2"/>
      <c r="B418" s="2"/>
      <c r="C418" s="2"/>
      <c r="D418" s="2"/>
      <c r="E418" s="2"/>
      <c r="F418" s="3"/>
      <c r="G418" s="4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</row>
    <row r="419">
      <c r="A419" s="2"/>
      <c r="B419" s="2"/>
      <c r="C419" s="2"/>
      <c r="D419" s="2"/>
      <c r="E419" s="2"/>
      <c r="F419" s="3"/>
      <c r="G419" s="4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</row>
    <row r="420">
      <c r="A420" s="2"/>
      <c r="B420" s="2"/>
      <c r="C420" s="2"/>
      <c r="D420" s="2"/>
      <c r="E420" s="2"/>
      <c r="F420" s="3"/>
      <c r="G420" s="4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</row>
    <row r="421">
      <c r="A421" s="2"/>
      <c r="B421" s="2"/>
      <c r="C421" s="2"/>
      <c r="D421" s="2"/>
      <c r="E421" s="2"/>
      <c r="F421" s="3"/>
      <c r="G421" s="4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</row>
    <row r="422">
      <c r="A422" s="2"/>
      <c r="B422" s="2"/>
      <c r="C422" s="2"/>
      <c r="D422" s="2"/>
      <c r="E422" s="2"/>
      <c r="F422" s="3"/>
      <c r="G422" s="4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</row>
    <row r="423">
      <c r="A423" s="2"/>
      <c r="B423" s="2"/>
      <c r="C423" s="2"/>
      <c r="D423" s="2"/>
      <c r="E423" s="2"/>
      <c r="F423" s="3"/>
      <c r="G423" s="4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</row>
    <row r="424">
      <c r="A424" s="2"/>
      <c r="B424" s="2"/>
      <c r="C424" s="2"/>
      <c r="D424" s="2"/>
      <c r="E424" s="2"/>
      <c r="F424" s="3"/>
      <c r="G424" s="4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</row>
    <row r="425">
      <c r="A425" s="2"/>
      <c r="B425" s="2"/>
      <c r="C425" s="2"/>
      <c r="D425" s="2"/>
      <c r="E425" s="2"/>
      <c r="F425" s="3"/>
      <c r="G425" s="4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</row>
    <row r="426">
      <c r="A426" s="2"/>
      <c r="B426" s="2"/>
      <c r="C426" s="2"/>
      <c r="D426" s="2"/>
      <c r="E426" s="2"/>
      <c r="F426" s="3"/>
      <c r="G426" s="4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</row>
    <row r="427">
      <c r="A427" s="2"/>
      <c r="B427" s="2"/>
      <c r="C427" s="2"/>
      <c r="D427" s="2"/>
      <c r="E427" s="2"/>
      <c r="F427" s="3"/>
      <c r="G427" s="4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</row>
    <row r="428">
      <c r="A428" s="2"/>
      <c r="B428" s="2"/>
      <c r="C428" s="2"/>
      <c r="D428" s="2"/>
      <c r="E428" s="2"/>
      <c r="F428" s="3"/>
      <c r="G428" s="4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</row>
    <row r="429">
      <c r="A429" s="2"/>
      <c r="B429" s="2"/>
      <c r="C429" s="2"/>
      <c r="D429" s="2"/>
      <c r="E429" s="2"/>
      <c r="F429" s="3"/>
      <c r="G429" s="4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</row>
    <row r="430">
      <c r="A430" s="2"/>
      <c r="B430" s="2"/>
      <c r="C430" s="2"/>
      <c r="D430" s="2"/>
      <c r="E430" s="2"/>
      <c r="F430" s="3"/>
      <c r="G430" s="4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</row>
    <row r="431">
      <c r="A431" s="2"/>
      <c r="B431" s="2"/>
      <c r="C431" s="2"/>
      <c r="D431" s="2"/>
      <c r="E431" s="2"/>
      <c r="F431" s="3"/>
      <c r="G431" s="4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</row>
    <row r="432">
      <c r="A432" s="2"/>
      <c r="B432" s="2"/>
      <c r="C432" s="2"/>
      <c r="D432" s="2"/>
      <c r="E432" s="2"/>
      <c r="F432" s="3"/>
      <c r="G432" s="4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</row>
    <row r="433">
      <c r="A433" s="2"/>
      <c r="B433" s="2"/>
      <c r="C433" s="2"/>
      <c r="D433" s="2"/>
      <c r="E433" s="2"/>
      <c r="F433" s="3"/>
      <c r="G433" s="4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</row>
    <row r="434">
      <c r="A434" s="2"/>
      <c r="B434" s="2"/>
      <c r="C434" s="2"/>
      <c r="D434" s="2"/>
      <c r="E434" s="2"/>
      <c r="F434" s="3"/>
      <c r="G434" s="4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</row>
    <row r="435">
      <c r="A435" s="2"/>
      <c r="B435" s="2"/>
      <c r="C435" s="2"/>
      <c r="D435" s="2"/>
      <c r="E435" s="2"/>
      <c r="F435" s="3"/>
      <c r="G435" s="4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</row>
    <row r="436">
      <c r="A436" s="2"/>
      <c r="B436" s="2"/>
      <c r="C436" s="2"/>
      <c r="D436" s="2"/>
      <c r="E436" s="2"/>
      <c r="F436" s="3"/>
      <c r="G436" s="4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</row>
    <row r="437">
      <c r="A437" s="2"/>
      <c r="B437" s="2"/>
      <c r="C437" s="2"/>
      <c r="D437" s="2"/>
      <c r="E437" s="2"/>
      <c r="F437" s="3"/>
      <c r="G437" s="4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</row>
    <row r="438">
      <c r="A438" s="2"/>
      <c r="B438" s="2"/>
      <c r="C438" s="2"/>
      <c r="D438" s="2"/>
      <c r="E438" s="2"/>
      <c r="F438" s="3"/>
      <c r="G438" s="4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</row>
    <row r="439">
      <c r="A439" s="2"/>
      <c r="B439" s="2"/>
      <c r="C439" s="2"/>
      <c r="D439" s="2"/>
      <c r="E439" s="2"/>
      <c r="F439" s="3"/>
      <c r="G439" s="4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</row>
    <row r="440">
      <c r="A440" s="2"/>
      <c r="B440" s="2"/>
      <c r="C440" s="2"/>
      <c r="D440" s="2"/>
      <c r="E440" s="2"/>
      <c r="F440" s="3"/>
      <c r="G440" s="4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</row>
    <row r="441">
      <c r="A441" s="2"/>
      <c r="B441" s="2"/>
      <c r="C441" s="2"/>
      <c r="D441" s="2"/>
      <c r="E441" s="2"/>
      <c r="F441" s="3"/>
      <c r="G441" s="4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</row>
    <row r="442">
      <c r="A442" s="2"/>
      <c r="B442" s="2"/>
      <c r="C442" s="2"/>
      <c r="D442" s="2"/>
      <c r="E442" s="2"/>
      <c r="F442" s="3"/>
      <c r="G442" s="4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</row>
    <row r="443">
      <c r="A443" s="2"/>
      <c r="B443" s="2"/>
      <c r="C443" s="2"/>
      <c r="D443" s="2"/>
      <c r="E443" s="2"/>
      <c r="F443" s="3"/>
      <c r="G443" s="4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</row>
    <row r="444">
      <c r="A444" s="2"/>
      <c r="B444" s="2"/>
      <c r="C444" s="2"/>
      <c r="D444" s="2"/>
      <c r="E444" s="2"/>
      <c r="F444" s="3"/>
      <c r="G444" s="4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</row>
    <row r="445">
      <c r="A445" s="2"/>
      <c r="B445" s="2"/>
      <c r="C445" s="2"/>
      <c r="D445" s="2"/>
      <c r="E445" s="2"/>
      <c r="F445" s="3"/>
      <c r="G445" s="4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</row>
    <row r="446">
      <c r="A446" s="2"/>
      <c r="B446" s="2"/>
      <c r="C446" s="2"/>
      <c r="D446" s="2"/>
      <c r="E446" s="2"/>
      <c r="F446" s="3"/>
      <c r="G446" s="4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</row>
    <row r="447">
      <c r="A447" s="2"/>
      <c r="B447" s="2"/>
      <c r="C447" s="2"/>
      <c r="D447" s="2"/>
      <c r="E447" s="2"/>
      <c r="F447" s="3"/>
      <c r="G447" s="4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</row>
    <row r="448">
      <c r="A448" s="2"/>
      <c r="B448" s="2"/>
      <c r="C448" s="2"/>
      <c r="D448" s="2"/>
      <c r="E448" s="2"/>
      <c r="F448" s="3"/>
      <c r="G448" s="4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</row>
    <row r="449">
      <c r="A449" s="2"/>
      <c r="B449" s="2"/>
      <c r="C449" s="2"/>
      <c r="D449" s="2"/>
      <c r="E449" s="2"/>
      <c r="F449" s="3"/>
      <c r="G449" s="4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</row>
    <row r="450">
      <c r="A450" s="2"/>
      <c r="B450" s="2"/>
      <c r="C450" s="2"/>
      <c r="D450" s="2"/>
      <c r="E450" s="2"/>
      <c r="F450" s="3"/>
      <c r="G450" s="4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</row>
    <row r="451">
      <c r="A451" s="2"/>
      <c r="B451" s="2"/>
      <c r="C451" s="2"/>
      <c r="D451" s="2"/>
      <c r="E451" s="2"/>
      <c r="F451" s="3"/>
      <c r="G451" s="4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</row>
    <row r="452">
      <c r="A452" s="2"/>
      <c r="B452" s="2"/>
      <c r="C452" s="2"/>
      <c r="D452" s="2"/>
      <c r="E452" s="2"/>
      <c r="F452" s="3"/>
      <c r="G452" s="4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</row>
    <row r="453">
      <c r="A453" s="2"/>
      <c r="B453" s="2"/>
      <c r="C453" s="2"/>
      <c r="D453" s="2"/>
      <c r="E453" s="2"/>
      <c r="F453" s="3"/>
      <c r="G453" s="4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</row>
    <row r="454">
      <c r="A454" s="2"/>
      <c r="B454" s="2"/>
      <c r="C454" s="2"/>
      <c r="D454" s="2"/>
      <c r="E454" s="2"/>
      <c r="F454" s="3"/>
      <c r="G454" s="4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</row>
    <row r="455">
      <c r="A455" s="2"/>
      <c r="B455" s="2"/>
      <c r="C455" s="2"/>
      <c r="D455" s="2"/>
      <c r="E455" s="2"/>
      <c r="F455" s="3"/>
      <c r="G455" s="4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</row>
    <row r="456">
      <c r="A456" s="2"/>
      <c r="B456" s="2"/>
      <c r="C456" s="2"/>
      <c r="D456" s="2"/>
      <c r="E456" s="2"/>
      <c r="F456" s="3"/>
      <c r="G456" s="4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</row>
    <row r="457">
      <c r="A457" s="2"/>
      <c r="B457" s="2"/>
      <c r="C457" s="2"/>
      <c r="D457" s="2"/>
      <c r="E457" s="2"/>
      <c r="F457" s="3"/>
      <c r="G457" s="4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</row>
    <row r="458">
      <c r="A458" s="2"/>
      <c r="B458" s="2"/>
      <c r="C458" s="2"/>
      <c r="D458" s="2"/>
      <c r="E458" s="2"/>
      <c r="F458" s="3"/>
      <c r="G458" s="4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</row>
    <row r="459">
      <c r="A459" s="2"/>
      <c r="B459" s="2"/>
      <c r="C459" s="2"/>
      <c r="D459" s="2"/>
      <c r="E459" s="2"/>
      <c r="F459" s="3"/>
      <c r="G459" s="4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</row>
    <row r="460">
      <c r="A460" s="2"/>
      <c r="B460" s="2"/>
      <c r="C460" s="2"/>
      <c r="D460" s="2"/>
      <c r="E460" s="2"/>
      <c r="F460" s="3"/>
      <c r="G460" s="4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</row>
    <row r="461">
      <c r="A461" s="2"/>
      <c r="B461" s="2"/>
      <c r="C461" s="2"/>
      <c r="D461" s="2"/>
      <c r="E461" s="2"/>
      <c r="F461" s="3"/>
      <c r="G461" s="4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</row>
    <row r="462">
      <c r="A462" s="2"/>
      <c r="B462" s="2"/>
      <c r="C462" s="2"/>
      <c r="D462" s="2"/>
      <c r="E462" s="2"/>
      <c r="F462" s="3"/>
      <c r="G462" s="4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</row>
    <row r="463">
      <c r="A463" s="2"/>
      <c r="B463" s="2"/>
      <c r="C463" s="2"/>
      <c r="D463" s="2"/>
      <c r="E463" s="2"/>
      <c r="F463" s="3"/>
      <c r="G463" s="4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</row>
    <row r="464">
      <c r="A464" s="2"/>
      <c r="B464" s="2"/>
      <c r="C464" s="2"/>
      <c r="D464" s="2"/>
      <c r="E464" s="2"/>
      <c r="F464" s="3"/>
      <c r="G464" s="4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</row>
    <row r="465">
      <c r="A465" s="2"/>
      <c r="B465" s="2"/>
      <c r="C465" s="2"/>
      <c r="D465" s="2"/>
      <c r="E465" s="2"/>
      <c r="F465" s="3"/>
      <c r="G465" s="4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</row>
    <row r="466">
      <c r="A466" s="2"/>
      <c r="B466" s="2"/>
      <c r="C466" s="2"/>
      <c r="D466" s="2"/>
      <c r="E466" s="2"/>
      <c r="F466" s="3"/>
      <c r="G466" s="4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</row>
    <row r="467">
      <c r="A467" s="2"/>
      <c r="B467" s="2"/>
      <c r="C467" s="2"/>
      <c r="D467" s="2"/>
      <c r="E467" s="2"/>
      <c r="F467" s="3"/>
      <c r="G467" s="4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</row>
    <row r="468">
      <c r="A468" s="2"/>
      <c r="B468" s="2"/>
      <c r="C468" s="2"/>
      <c r="D468" s="2"/>
      <c r="E468" s="2"/>
      <c r="F468" s="3"/>
      <c r="G468" s="4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</row>
    <row r="469">
      <c r="A469" s="2"/>
      <c r="B469" s="2"/>
      <c r="C469" s="2"/>
      <c r="D469" s="2"/>
      <c r="E469" s="2"/>
      <c r="F469" s="3"/>
      <c r="G469" s="4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</row>
    <row r="470">
      <c r="A470" s="2"/>
      <c r="B470" s="2"/>
      <c r="C470" s="2"/>
      <c r="D470" s="2"/>
      <c r="E470" s="2"/>
      <c r="F470" s="3"/>
      <c r="G470" s="4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</row>
    <row r="471">
      <c r="A471" s="2"/>
      <c r="B471" s="2"/>
      <c r="C471" s="2"/>
      <c r="D471" s="2"/>
      <c r="E471" s="2"/>
      <c r="F471" s="3"/>
      <c r="G471" s="4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</row>
    <row r="472">
      <c r="A472" s="2"/>
      <c r="B472" s="2"/>
      <c r="C472" s="2"/>
      <c r="D472" s="2"/>
      <c r="E472" s="2"/>
      <c r="F472" s="3"/>
      <c r="G472" s="4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</row>
    <row r="473">
      <c r="A473" s="2"/>
      <c r="B473" s="2"/>
      <c r="C473" s="2"/>
      <c r="D473" s="2"/>
      <c r="E473" s="2"/>
      <c r="F473" s="3"/>
      <c r="G473" s="4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</row>
    <row r="474">
      <c r="A474" s="2"/>
      <c r="B474" s="2"/>
      <c r="C474" s="2"/>
      <c r="D474" s="2"/>
      <c r="E474" s="2"/>
      <c r="F474" s="3"/>
      <c r="G474" s="4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</row>
    <row r="475">
      <c r="A475" s="2"/>
      <c r="B475" s="2"/>
      <c r="C475" s="2"/>
      <c r="D475" s="2"/>
      <c r="E475" s="2"/>
      <c r="F475" s="3"/>
      <c r="G475" s="4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</row>
    <row r="476">
      <c r="A476" s="2"/>
      <c r="B476" s="2"/>
      <c r="C476" s="2"/>
      <c r="D476" s="2"/>
      <c r="E476" s="2"/>
      <c r="F476" s="3"/>
      <c r="G476" s="4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</row>
    <row r="477">
      <c r="A477" s="2"/>
      <c r="B477" s="2"/>
      <c r="C477" s="2"/>
      <c r="D477" s="2"/>
      <c r="E477" s="2"/>
      <c r="F477" s="3"/>
      <c r="G477" s="4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</row>
    <row r="478">
      <c r="A478" s="2"/>
      <c r="B478" s="2"/>
      <c r="C478" s="2"/>
      <c r="D478" s="2"/>
      <c r="E478" s="2"/>
      <c r="F478" s="3"/>
      <c r="G478" s="4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</row>
    <row r="479">
      <c r="A479" s="2"/>
      <c r="B479" s="2"/>
      <c r="C479" s="2"/>
      <c r="D479" s="2"/>
      <c r="E479" s="2"/>
      <c r="F479" s="3"/>
      <c r="G479" s="4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</row>
    <row r="480">
      <c r="A480" s="2"/>
      <c r="B480" s="2"/>
      <c r="C480" s="2"/>
      <c r="D480" s="2"/>
      <c r="E480" s="2"/>
      <c r="F480" s="3"/>
      <c r="G480" s="4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</row>
    <row r="481">
      <c r="A481" s="2"/>
      <c r="B481" s="2"/>
      <c r="C481" s="2"/>
      <c r="D481" s="2"/>
      <c r="E481" s="2"/>
      <c r="F481" s="3"/>
      <c r="G481" s="4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</row>
    <row r="482">
      <c r="A482" s="2"/>
      <c r="B482" s="2"/>
      <c r="C482" s="2"/>
      <c r="D482" s="2"/>
      <c r="E482" s="2"/>
      <c r="F482" s="3"/>
      <c r="G482" s="4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</row>
    <row r="483">
      <c r="A483" s="2"/>
      <c r="B483" s="2"/>
      <c r="C483" s="2"/>
      <c r="D483" s="2"/>
      <c r="E483" s="2"/>
      <c r="F483" s="3"/>
      <c r="G483" s="4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</row>
    <row r="484">
      <c r="A484" s="2"/>
      <c r="B484" s="2"/>
      <c r="C484" s="2"/>
      <c r="D484" s="2"/>
      <c r="E484" s="2"/>
      <c r="F484" s="3"/>
      <c r="G484" s="4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</row>
    <row r="485">
      <c r="A485" s="2"/>
      <c r="B485" s="2"/>
      <c r="C485" s="2"/>
      <c r="D485" s="2"/>
      <c r="E485" s="2"/>
      <c r="F485" s="3"/>
      <c r="G485" s="4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</row>
    <row r="486">
      <c r="A486" s="2"/>
      <c r="B486" s="2"/>
      <c r="C486" s="2"/>
      <c r="D486" s="2"/>
      <c r="E486" s="2"/>
      <c r="F486" s="3"/>
      <c r="G486" s="4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</row>
    <row r="487">
      <c r="A487" s="2"/>
      <c r="B487" s="2"/>
      <c r="C487" s="2"/>
      <c r="D487" s="2"/>
      <c r="E487" s="2"/>
      <c r="F487" s="3"/>
      <c r="G487" s="4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</row>
    <row r="488">
      <c r="A488" s="2"/>
      <c r="B488" s="2"/>
      <c r="C488" s="2"/>
      <c r="D488" s="2"/>
      <c r="E488" s="2"/>
      <c r="F488" s="3"/>
      <c r="G488" s="4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</row>
    <row r="489">
      <c r="A489" s="2"/>
      <c r="B489" s="2"/>
      <c r="C489" s="2"/>
      <c r="D489" s="2"/>
      <c r="E489" s="2"/>
      <c r="F489" s="3"/>
      <c r="G489" s="4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</row>
    <row r="490">
      <c r="A490" s="2"/>
      <c r="B490" s="2"/>
      <c r="C490" s="2"/>
      <c r="D490" s="2"/>
      <c r="E490" s="2"/>
      <c r="F490" s="3"/>
      <c r="G490" s="4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</row>
    <row r="491">
      <c r="A491" s="2"/>
      <c r="B491" s="2"/>
      <c r="C491" s="2"/>
      <c r="D491" s="2"/>
      <c r="E491" s="2"/>
      <c r="F491" s="3"/>
      <c r="G491" s="4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</row>
    <row r="492">
      <c r="A492" s="2"/>
      <c r="B492" s="2"/>
      <c r="C492" s="2"/>
      <c r="D492" s="2"/>
      <c r="E492" s="2"/>
      <c r="F492" s="3"/>
      <c r="G492" s="4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</row>
    <row r="493">
      <c r="A493" s="2"/>
      <c r="B493" s="2"/>
      <c r="C493" s="2"/>
      <c r="D493" s="2"/>
      <c r="E493" s="2"/>
      <c r="F493" s="3"/>
      <c r="G493" s="4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</row>
    <row r="494">
      <c r="A494" s="2"/>
      <c r="B494" s="2"/>
      <c r="C494" s="2"/>
      <c r="D494" s="2"/>
      <c r="E494" s="2"/>
      <c r="F494" s="3"/>
      <c r="G494" s="4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</row>
    <row r="495">
      <c r="A495" s="2"/>
      <c r="B495" s="2"/>
      <c r="C495" s="2"/>
      <c r="D495" s="2"/>
      <c r="E495" s="2"/>
      <c r="F495" s="3"/>
      <c r="G495" s="4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</row>
    <row r="496">
      <c r="A496" s="2"/>
      <c r="B496" s="2"/>
      <c r="C496" s="2"/>
      <c r="D496" s="2"/>
      <c r="E496" s="2"/>
      <c r="F496" s="3"/>
      <c r="G496" s="4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</row>
    <row r="497">
      <c r="A497" s="2"/>
      <c r="B497" s="2"/>
      <c r="C497" s="2"/>
      <c r="D497" s="2"/>
      <c r="E497" s="2"/>
      <c r="F497" s="3"/>
      <c r="G497" s="4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</row>
    <row r="498">
      <c r="A498" s="2"/>
      <c r="B498" s="2"/>
      <c r="C498" s="2"/>
      <c r="D498" s="2"/>
      <c r="E498" s="2"/>
      <c r="F498" s="3"/>
      <c r="G498" s="4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</row>
    <row r="499">
      <c r="A499" s="2"/>
      <c r="B499" s="2"/>
      <c r="C499" s="2"/>
      <c r="D499" s="2"/>
      <c r="E499" s="2"/>
      <c r="F499" s="3"/>
      <c r="G499" s="4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</row>
    <row r="500">
      <c r="A500" s="2"/>
      <c r="B500" s="2"/>
      <c r="C500" s="2"/>
      <c r="D500" s="2"/>
      <c r="E500" s="2"/>
      <c r="F500" s="3"/>
      <c r="G500" s="4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</row>
    <row r="501">
      <c r="A501" s="2"/>
      <c r="B501" s="2"/>
      <c r="C501" s="2"/>
      <c r="D501" s="2"/>
      <c r="E501" s="2"/>
      <c r="F501" s="3"/>
      <c r="G501" s="4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</row>
    <row r="502">
      <c r="A502" s="2"/>
      <c r="B502" s="2"/>
      <c r="C502" s="2"/>
      <c r="D502" s="2"/>
      <c r="E502" s="2"/>
      <c r="F502" s="3"/>
      <c r="G502" s="4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</row>
    <row r="503">
      <c r="A503" s="2"/>
      <c r="B503" s="2"/>
      <c r="C503" s="2"/>
      <c r="D503" s="2"/>
      <c r="E503" s="2"/>
      <c r="F503" s="3"/>
      <c r="G503" s="4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</row>
    <row r="504">
      <c r="A504" s="2"/>
      <c r="B504" s="2"/>
      <c r="C504" s="2"/>
      <c r="D504" s="2"/>
      <c r="E504" s="2"/>
      <c r="F504" s="3"/>
      <c r="G504" s="4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</row>
    <row r="505">
      <c r="A505" s="2"/>
      <c r="B505" s="2"/>
      <c r="C505" s="2"/>
      <c r="D505" s="2"/>
      <c r="E505" s="2"/>
      <c r="F505" s="3"/>
      <c r="G505" s="4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</row>
    <row r="506">
      <c r="A506" s="2"/>
      <c r="B506" s="2"/>
      <c r="C506" s="2"/>
      <c r="D506" s="2"/>
      <c r="E506" s="2"/>
      <c r="F506" s="3"/>
      <c r="G506" s="4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</row>
    <row r="507">
      <c r="A507" s="2"/>
      <c r="B507" s="2"/>
      <c r="C507" s="2"/>
      <c r="D507" s="2"/>
      <c r="E507" s="2"/>
      <c r="F507" s="3"/>
      <c r="G507" s="4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</row>
    <row r="508">
      <c r="A508" s="2"/>
      <c r="B508" s="2"/>
      <c r="C508" s="2"/>
      <c r="D508" s="2"/>
      <c r="E508" s="2"/>
      <c r="F508" s="3"/>
      <c r="G508" s="4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</row>
    <row r="509">
      <c r="A509" s="2"/>
      <c r="B509" s="2"/>
      <c r="C509" s="2"/>
      <c r="D509" s="2"/>
      <c r="E509" s="2"/>
      <c r="F509" s="3"/>
      <c r="G509" s="4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</row>
    <row r="510">
      <c r="A510" s="2"/>
      <c r="B510" s="2"/>
      <c r="C510" s="2"/>
      <c r="D510" s="2"/>
      <c r="E510" s="2"/>
      <c r="F510" s="3"/>
      <c r="G510" s="4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</row>
    <row r="511">
      <c r="A511" s="2"/>
      <c r="B511" s="2"/>
      <c r="C511" s="2"/>
      <c r="D511" s="2"/>
      <c r="E511" s="2"/>
      <c r="F511" s="3"/>
      <c r="G511" s="4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</row>
    <row r="512">
      <c r="A512" s="2"/>
      <c r="B512" s="2"/>
      <c r="C512" s="2"/>
      <c r="D512" s="2"/>
      <c r="E512" s="2"/>
      <c r="F512" s="3"/>
      <c r="G512" s="4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</row>
    <row r="513">
      <c r="A513" s="2"/>
      <c r="B513" s="2"/>
      <c r="C513" s="2"/>
      <c r="D513" s="2"/>
      <c r="E513" s="2"/>
      <c r="F513" s="3"/>
      <c r="G513" s="4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</row>
    <row r="514">
      <c r="A514" s="2"/>
      <c r="B514" s="2"/>
      <c r="C514" s="2"/>
      <c r="D514" s="2"/>
      <c r="E514" s="2"/>
      <c r="F514" s="3"/>
      <c r="G514" s="4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</row>
    <row r="515">
      <c r="A515" s="2"/>
      <c r="B515" s="2"/>
      <c r="C515" s="2"/>
      <c r="D515" s="2"/>
      <c r="E515" s="2"/>
      <c r="F515" s="3"/>
      <c r="G515" s="4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</row>
    <row r="516">
      <c r="A516" s="2"/>
      <c r="B516" s="2"/>
      <c r="C516" s="2"/>
      <c r="D516" s="2"/>
      <c r="E516" s="2"/>
      <c r="F516" s="3"/>
      <c r="G516" s="4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</row>
    <row r="517">
      <c r="A517" s="2"/>
      <c r="B517" s="2"/>
      <c r="C517" s="2"/>
      <c r="D517" s="2"/>
      <c r="E517" s="2"/>
      <c r="F517" s="3"/>
      <c r="G517" s="4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</row>
    <row r="518">
      <c r="A518" s="2"/>
      <c r="B518" s="2"/>
      <c r="C518" s="2"/>
      <c r="D518" s="2"/>
      <c r="E518" s="2"/>
      <c r="F518" s="3"/>
      <c r="G518" s="4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</row>
    <row r="519">
      <c r="A519" s="2"/>
      <c r="B519" s="2"/>
      <c r="C519" s="2"/>
      <c r="D519" s="2"/>
      <c r="E519" s="2"/>
      <c r="F519" s="3"/>
      <c r="G519" s="4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</row>
    <row r="520">
      <c r="A520" s="2"/>
      <c r="B520" s="2"/>
      <c r="C520" s="2"/>
      <c r="D520" s="2"/>
      <c r="E520" s="2"/>
      <c r="F520" s="3"/>
      <c r="G520" s="4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</row>
    <row r="521">
      <c r="A521" s="2"/>
      <c r="B521" s="2"/>
      <c r="C521" s="2"/>
      <c r="D521" s="2"/>
      <c r="E521" s="2"/>
      <c r="F521" s="3"/>
      <c r="G521" s="4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</row>
    <row r="522">
      <c r="A522" s="2"/>
      <c r="B522" s="2"/>
      <c r="C522" s="2"/>
      <c r="D522" s="2"/>
      <c r="E522" s="2"/>
      <c r="F522" s="3"/>
      <c r="G522" s="4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</row>
    <row r="523">
      <c r="A523" s="2"/>
      <c r="B523" s="2"/>
      <c r="C523" s="2"/>
      <c r="D523" s="2"/>
      <c r="E523" s="2"/>
      <c r="F523" s="3"/>
      <c r="G523" s="4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</row>
    <row r="524">
      <c r="A524" s="2"/>
      <c r="B524" s="2"/>
      <c r="C524" s="2"/>
      <c r="D524" s="2"/>
      <c r="E524" s="2"/>
      <c r="F524" s="3"/>
      <c r="G524" s="4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</row>
    <row r="525">
      <c r="A525" s="2"/>
      <c r="B525" s="2"/>
      <c r="C525" s="2"/>
      <c r="D525" s="2"/>
      <c r="E525" s="2"/>
      <c r="F525" s="3"/>
      <c r="G525" s="4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</row>
    <row r="526">
      <c r="A526" s="2"/>
      <c r="B526" s="2"/>
      <c r="C526" s="2"/>
      <c r="D526" s="2"/>
      <c r="E526" s="2"/>
      <c r="F526" s="3"/>
      <c r="G526" s="4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</row>
    <row r="527">
      <c r="A527" s="2"/>
      <c r="B527" s="2"/>
      <c r="C527" s="2"/>
      <c r="D527" s="2"/>
      <c r="E527" s="2"/>
      <c r="F527" s="3"/>
      <c r="G527" s="4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</row>
    <row r="528">
      <c r="A528" s="2"/>
      <c r="B528" s="2"/>
      <c r="C528" s="2"/>
      <c r="D528" s="2"/>
      <c r="E528" s="2"/>
      <c r="F528" s="3"/>
      <c r="G528" s="4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</row>
    <row r="529">
      <c r="A529" s="2"/>
      <c r="B529" s="2"/>
      <c r="C529" s="2"/>
      <c r="D529" s="2"/>
      <c r="E529" s="2"/>
      <c r="F529" s="3"/>
      <c r="G529" s="4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</row>
    <row r="530">
      <c r="A530" s="2"/>
      <c r="B530" s="2"/>
      <c r="C530" s="2"/>
      <c r="D530" s="2"/>
      <c r="E530" s="2"/>
      <c r="F530" s="3"/>
      <c r="G530" s="4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</row>
    <row r="531">
      <c r="A531" s="2"/>
      <c r="B531" s="2"/>
      <c r="C531" s="2"/>
      <c r="D531" s="2"/>
      <c r="E531" s="2"/>
      <c r="F531" s="3"/>
      <c r="G531" s="4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</row>
    <row r="532">
      <c r="A532" s="2"/>
      <c r="B532" s="2"/>
      <c r="C532" s="2"/>
      <c r="D532" s="2"/>
      <c r="E532" s="2"/>
      <c r="F532" s="3"/>
      <c r="G532" s="4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</row>
    <row r="533">
      <c r="A533" s="2"/>
      <c r="B533" s="2"/>
      <c r="C533" s="2"/>
      <c r="D533" s="2"/>
      <c r="E533" s="2"/>
      <c r="F533" s="3"/>
      <c r="G533" s="4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</row>
    <row r="534">
      <c r="A534" s="2"/>
      <c r="B534" s="2"/>
      <c r="C534" s="2"/>
      <c r="D534" s="2"/>
      <c r="E534" s="2"/>
      <c r="F534" s="3"/>
      <c r="G534" s="4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</row>
    <row r="535">
      <c r="A535" s="2"/>
      <c r="B535" s="2"/>
      <c r="C535" s="2"/>
      <c r="D535" s="2"/>
      <c r="E535" s="2"/>
      <c r="F535" s="3"/>
      <c r="G535" s="4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</row>
    <row r="536">
      <c r="A536" s="2"/>
      <c r="B536" s="2"/>
      <c r="C536" s="2"/>
      <c r="D536" s="2"/>
      <c r="E536" s="2"/>
      <c r="F536" s="3"/>
      <c r="G536" s="4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</row>
    <row r="537">
      <c r="A537" s="2"/>
      <c r="B537" s="2"/>
      <c r="C537" s="2"/>
      <c r="D537" s="2"/>
      <c r="E537" s="2"/>
      <c r="F537" s="3"/>
      <c r="G537" s="4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</row>
    <row r="538">
      <c r="A538" s="2"/>
      <c r="B538" s="2"/>
      <c r="C538" s="2"/>
      <c r="D538" s="2"/>
      <c r="E538" s="2"/>
      <c r="F538" s="3"/>
      <c r="G538" s="4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</row>
    <row r="539">
      <c r="A539" s="2"/>
      <c r="B539" s="2"/>
      <c r="C539" s="2"/>
      <c r="D539" s="2"/>
      <c r="E539" s="2"/>
      <c r="F539" s="3"/>
      <c r="G539" s="4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</row>
    <row r="540">
      <c r="A540" s="2"/>
      <c r="B540" s="2"/>
      <c r="C540" s="2"/>
      <c r="D540" s="2"/>
      <c r="E540" s="2"/>
      <c r="F540" s="3"/>
      <c r="G540" s="4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</row>
    <row r="541">
      <c r="A541" s="2"/>
      <c r="B541" s="2"/>
      <c r="C541" s="2"/>
      <c r="D541" s="2"/>
      <c r="E541" s="2"/>
      <c r="F541" s="3"/>
      <c r="G541" s="4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</row>
    <row r="542">
      <c r="A542" s="2"/>
      <c r="B542" s="2"/>
      <c r="C542" s="2"/>
      <c r="D542" s="2"/>
      <c r="E542" s="2"/>
      <c r="F542" s="3"/>
      <c r="G542" s="4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</row>
    <row r="543">
      <c r="A543" s="2"/>
      <c r="B543" s="2"/>
      <c r="C543" s="2"/>
      <c r="D543" s="2"/>
      <c r="E543" s="2"/>
      <c r="F543" s="3"/>
      <c r="G543" s="4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</row>
    <row r="544">
      <c r="A544" s="2"/>
      <c r="B544" s="2"/>
      <c r="C544" s="2"/>
      <c r="D544" s="2"/>
      <c r="E544" s="2"/>
      <c r="F544" s="3"/>
      <c r="G544" s="4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</row>
    <row r="545">
      <c r="A545" s="2"/>
      <c r="B545" s="2"/>
      <c r="C545" s="2"/>
      <c r="D545" s="2"/>
      <c r="E545" s="2"/>
      <c r="F545" s="3"/>
      <c r="G545" s="4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</row>
    <row r="546">
      <c r="A546" s="2"/>
      <c r="B546" s="2"/>
      <c r="C546" s="2"/>
      <c r="D546" s="2"/>
      <c r="E546" s="2"/>
      <c r="F546" s="3"/>
      <c r="G546" s="4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</row>
    <row r="547">
      <c r="A547" s="2"/>
      <c r="B547" s="2"/>
      <c r="C547" s="2"/>
      <c r="D547" s="2"/>
      <c r="E547" s="2"/>
      <c r="F547" s="3"/>
      <c r="G547" s="4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</row>
    <row r="548">
      <c r="A548" s="2"/>
      <c r="B548" s="2"/>
      <c r="C548" s="2"/>
      <c r="D548" s="2"/>
      <c r="E548" s="2"/>
      <c r="F548" s="3"/>
      <c r="G548" s="4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</row>
    <row r="549">
      <c r="A549" s="2"/>
      <c r="B549" s="2"/>
      <c r="C549" s="2"/>
      <c r="D549" s="2"/>
      <c r="E549" s="2"/>
      <c r="F549" s="3"/>
      <c r="G549" s="4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</row>
    <row r="550">
      <c r="A550" s="2"/>
      <c r="B550" s="2"/>
      <c r="C550" s="2"/>
      <c r="D550" s="2"/>
      <c r="E550" s="2"/>
      <c r="F550" s="3"/>
      <c r="G550" s="4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</row>
    <row r="551">
      <c r="A551" s="2"/>
      <c r="B551" s="2"/>
      <c r="C551" s="2"/>
      <c r="D551" s="2"/>
      <c r="E551" s="2"/>
      <c r="F551" s="3"/>
      <c r="G551" s="4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</row>
    <row r="552">
      <c r="A552" s="2"/>
      <c r="B552" s="2"/>
      <c r="C552" s="2"/>
      <c r="D552" s="2"/>
      <c r="E552" s="2"/>
      <c r="F552" s="3"/>
      <c r="G552" s="4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</row>
    <row r="553">
      <c r="A553" s="2"/>
      <c r="B553" s="2"/>
      <c r="C553" s="2"/>
      <c r="D553" s="2"/>
      <c r="E553" s="2"/>
      <c r="F553" s="3"/>
      <c r="G553" s="4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</row>
    <row r="554">
      <c r="A554" s="2"/>
      <c r="B554" s="2"/>
      <c r="C554" s="2"/>
      <c r="D554" s="2"/>
      <c r="E554" s="2"/>
      <c r="F554" s="3"/>
      <c r="G554" s="4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</row>
    <row r="555">
      <c r="A555" s="2"/>
      <c r="B555" s="2"/>
      <c r="C555" s="2"/>
      <c r="D555" s="2"/>
      <c r="E555" s="2"/>
      <c r="F555" s="3"/>
      <c r="G555" s="4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</row>
    <row r="556">
      <c r="A556" s="2"/>
      <c r="B556" s="2"/>
      <c r="C556" s="2"/>
      <c r="D556" s="2"/>
      <c r="E556" s="2"/>
      <c r="F556" s="3"/>
      <c r="G556" s="4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</row>
    <row r="557">
      <c r="A557" s="2"/>
      <c r="B557" s="2"/>
      <c r="C557" s="2"/>
      <c r="D557" s="2"/>
      <c r="E557" s="2"/>
      <c r="F557" s="3"/>
      <c r="G557" s="4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</row>
    <row r="558">
      <c r="A558" s="2"/>
      <c r="B558" s="2"/>
      <c r="C558" s="2"/>
      <c r="D558" s="2"/>
      <c r="E558" s="2"/>
      <c r="F558" s="3"/>
      <c r="G558" s="4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</row>
    <row r="559">
      <c r="A559" s="2"/>
      <c r="B559" s="2"/>
      <c r="C559" s="2"/>
      <c r="D559" s="2"/>
      <c r="E559" s="2"/>
      <c r="F559" s="3"/>
      <c r="G559" s="4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</row>
    <row r="560">
      <c r="A560" s="2"/>
      <c r="B560" s="2"/>
      <c r="C560" s="2"/>
      <c r="D560" s="2"/>
      <c r="E560" s="2"/>
      <c r="F560" s="3"/>
      <c r="G560" s="4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</row>
    <row r="561">
      <c r="A561" s="2"/>
      <c r="B561" s="2"/>
      <c r="C561" s="2"/>
      <c r="D561" s="2"/>
      <c r="E561" s="2"/>
      <c r="F561" s="3"/>
      <c r="G561" s="4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</row>
    <row r="562">
      <c r="A562" s="2"/>
      <c r="B562" s="2"/>
      <c r="C562" s="2"/>
      <c r="D562" s="2"/>
      <c r="E562" s="2"/>
      <c r="F562" s="3"/>
      <c r="G562" s="4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</row>
    <row r="563">
      <c r="A563" s="2"/>
      <c r="B563" s="2"/>
      <c r="C563" s="2"/>
      <c r="D563" s="2"/>
      <c r="E563" s="2"/>
      <c r="F563" s="3"/>
      <c r="G563" s="4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</row>
    <row r="564">
      <c r="A564" s="2"/>
      <c r="B564" s="2"/>
      <c r="C564" s="2"/>
      <c r="D564" s="2"/>
      <c r="E564" s="2"/>
      <c r="F564" s="3"/>
      <c r="G564" s="4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</row>
    <row r="565">
      <c r="A565" s="2"/>
      <c r="B565" s="2"/>
      <c r="C565" s="2"/>
      <c r="D565" s="2"/>
      <c r="E565" s="2"/>
      <c r="F565" s="3"/>
      <c r="G565" s="4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</row>
    <row r="566">
      <c r="A566" s="2"/>
      <c r="B566" s="2"/>
      <c r="C566" s="2"/>
      <c r="D566" s="2"/>
      <c r="E566" s="2"/>
      <c r="F566" s="3"/>
      <c r="G566" s="4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</row>
    <row r="567">
      <c r="A567" s="2"/>
      <c r="B567" s="2"/>
      <c r="C567" s="2"/>
      <c r="D567" s="2"/>
      <c r="E567" s="2"/>
      <c r="F567" s="3"/>
      <c r="G567" s="4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</row>
    <row r="568">
      <c r="A568" s="2"/>
      <c r="B568" s="2"/>
      <c r="C568" s="2"/>
      <c r="D568" s="2"/>
      <c r="E568" s="2"/>
      <c r="F568" s="3"/>
      <c r="G568" s="4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</row>
    <row r="569">
      <c r="A569" s="2"/>
      <c r="B569" s="2"/>
      <c r="C569" s="2"/>
      <c r="D569" s="2"/>
      <c r="E569" s="2"/>
      <c r="F569" s="3"/>
      <c r="G569" s="4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</row>
    <row r="570">
      <c r="A570" s="2"/>
      <c r="B570" s="2"/>
      <c r="C570" s="2"/>
      <c r="D570" s="2"/>
      <c r="E570" s="2"/>
      <c r="F570" s="3"/>
      <c r="G570" s="4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</row>
    <row r="571">
      <c r="A571" s="2"/>
      <c r="B571" s="2"/>
      <c r="C571" s="2"/>
      <c r="D571" s="2"/>
      <c r="E571" s="2"/>
      <c r="F571" s="3"/>
      <c r="G571" s="4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</row>
    <row r="572">
      <c r="A572" s="2"/>
      <c r="B572" s="2"/>
      <c r="C572" s="2"/>
      <c r="D572" s="2"/>
      <c r="E572" s="2"/>
      <c r="F572" s="3"/>
      <c r="G572" s="4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</row>
    <row r="573">
      <c r="A573" s="2"/>
      <c r="B573" s="2"/>
      <c r="C573" s="2"/>
      <c r="D573" s="2"/>
      <c r="E573" s="2"/>
      <c r="F573" s="3"/>
      <c r="G573" s="4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</row>
    <row r="574">
      <c r="A574" s="2"/>
      <c r="B574" s="2"/>
      <c r="C574" s="2"/>
      <c r="D574" s="2"/>
      <c r="E574" s="2"/>
      <c r="F574" s="3"/>
      <c r="G574" s="4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</row>
    <row r="575">
      <c r="A575" s="2"/>
      <c r="B575" s="2"/>
      <c r="C575" s="2"/>
      <c r="D575" s="2"/>
      <c r="E575" s="2"/>
      <c r="F575" s="3"/>
      <c r="G575" s="4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</row>
    <row r="576">
      <c r="A576" s="2"/>
      <c r="B576" s="2"/>
      <c r="C576" s="2"/>
      <c r="D576" s="2"/>
      <c r="E576" s="2"/>
      <c r="F576" s="3"/>
      <c r="G576" s="4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</row>
    <row r="577">
      <c r="A577" s="2"/>
      <c r="B577" s="2"/>
      <c r="C577" s="2"/>
      <c r="D577" s="2"/>
      <c r="E577" s="2"/>
      <c r="F577" s="3"/>
      <c r="G577" s="4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</row>
    <row r="578">
      <c r="A578" s="2"/>
      <c r="B578" s="2"/>
      <c r="C578" s="2"/>
      <c r="D578" s="2"/>
      <c r="E578" s="2"/>
      <c r="F578" s="3"/>
      <c r="G578" s="4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</row>
    <row r="579">
      <c r="A579" s="2"/>
      <c r="B579" s="2"/>
      <c r="C579" s="2"/>
      <c r="D579" s="2"/>
      <c r="E579" s="2"/>
      <c r="F579" s="3"/>
      <c r="G579" s="4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</row>
    <row r="580">
      <c r="A580" s="2"/>
      <c r="B580" s="2"/>
      <c r="C580" s="2"/>
      <c r="D580" s="2"/>
      <c r="E580" s="2"/>
      <c r="F580" s="3"/>
      <c r="G580" s="4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</row>
    <row r="581">
      <c r="A581" s="2"/>
      <c r="B581" s="2"/>
      <c r="C581" s="2"/>
      <c r="D581" s="2"/>
      <c r="E581" s="2"/>
      <c r="F581" s="3"/>
      <c r="G581" s="4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</row>
    <row r="582">
      <c r="A582" s="2"/>
      <c r="B582" s="2"/>
      <c r="C582" s="2"/>
      <c r="D582" s="2"/>
      <c r="E582" s="2"/>
      <c r="F582" s="3"/>
      <c r="G582" s="4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</row>
    <row r="583">
      <c r="A583" s="2"/>
      <c r="B583" s="2"/>
      <c r="C583" s="2"/>
      <c r="D583" s="2"/>
      <c r="E583" s="2"/>
      <c r="F583" s="3"/>
      <c r="G583" s="4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</row>
    <row r="584">
      <c r="A584" s="2"/>
      <c r="B584" s="2"/>
      <c r="C584" s="2"/>
      <c r="D584" s="2"/>
      <c r="E584" s="2"/>
      <c r="F584" s="3"/>
      <c r="G584" s="4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</row>
    <row r="585">
      <c r="A585" s="2"/>
      <c r="B585" s="2"/>
      <c r="C585" s="2"/>
      <c r="D585" s="2"/>
      <c r="E585" s="2"/>
      <c r="F585" s="3"/>
      <c r="G585" s="4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</row>
    <row r="586">
      <c r="A586" s="2"/>
      <c r="B586" s="2"/>
      <c r="C586" s="2"/>
      <c r="D586" s="2"/>
      <c r="E586" s="2"/>
      <c r="F586" s="3"/>
      <c r="G586" s="4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</row>
    <row r="587">
      <c r="A587" s="2"/>
      <c r="B587" s="2"/>
      <c r="C587" s="2"/>
      <c r="D587" s="2"/>
      <c r="E587" s="2"/>
      <c r="F587" s="3"/>
      <c r="G587" s="4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</row>
    <row r="588">
      <c r="A588" s="2"/>
      <c r="B588" s="2"/>
      <c r="C588" s="2"/>
      <c r="D588" s="2"/>
      <c r="E588" s="2"/>
      <c r="F588" s="3"/>
      <c r="G588" s="4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</row>
    <row r="589">
      <c r="A589" s="2"/>
      <c r="B589" s="2"/>
      <c r="C589" s="2"/>
      <c r="D589" s="2"/>
      <c r="E589" s="2"/>
      <c r="F589" s="3"/>
      <c r="G589" s="4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</row>
    <row r="590">
      <c r="A590" s="2"/>
      <c r="B590" s="2"/>
      <c r="C590" s="2"/>
      <c r="D590" s="2"/>
      <c r="E590" s="2"/>
      <c r="F590" s="3"/>
      <c r="G590" s="4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</row>
    <row r="591">
      <c r="A591" s="2"/>
      <c r="B591" s="2"/>
      <c r="C591" s="2"/>
      <c r="D591" s="2"/>
      <c r="E591" s="2"/>
      <c r="F591" s="3"/>
      <c r="G591" s="4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</row>
    <row r="592">
      <c r="A592" s="2"/>
      <c r="B592" s="2"/>
      <c r="C592" s="2"/>
      <c r="D592" s="2"/>
      <c r="E592" s="2"/>
      <c r="F592" s="3"/>
      <c r="G592" s="4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</row>
    <row r="593">
      <c r="A593" s="2"/>
      <c r="B593" s="2"/>
      <c r="C593" s="2"/>
      <c r="D593" s="2"/>
      <c r="E593" s="2"/>
      <c r="F593" s="3"/>
      <c r="G593" s="4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</row>
    <row r="594">
      <c r="A594" s="2"/>
      <c r="B594" s="2"/>
      <c r="C594" s="2"/>
      <c r="D594" s="2"/>
      <c r="E594" s="2"/>
      <c r="F594" s="3"/>
      <c r="G594" s="4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</row>
    <row r="595">
      <c r="A595" s="2"/>
      <c r="B595" s="2"/>
      <c r="C595" s="2"/>
      <c r="D595" s="2"/>
      <c r="E595" s="2"/>
      <c r="F595" s="3"/>
      <c r="G595" s="4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</row>
    <row r="596">
      <c r="A596" s="2"/>
      <c r="B596" s="2"/>
      <c r="C596" s="2"/>
      <c r="D596" s="2"/>
      <c r="E596" s="2"/>
      <c r="F596" s="3"/>
      <c r="G596" s="4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</row>
    <row r="597">
      <c r="A597" s="2"/>
      <c r="B597" s="2"/>
      <c r="C597" s="2"/>
      <c r="D597" s="2"/>
      <c r="E597" s="2"/>
      <c r="F597" s="3"/>
      <c r="G597" s="4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</row>
    <row r="598">
      <c r="A598" s="2"/>
      <c r="B598" s="2"/>
      <c r="C598" s="2"/>
      <c r="D598" s="2"/>
      <c r="E598" s="2"/>
      <c r="F598" s="3"/>
      <c r="G598" s="4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</row>
    <row r="599">
      <c r="A599" s="2"/>
      <c r="B599" s="2"/>
      <c r="C599" s="2"/>
      <c r="D599" s="2"/>
      <c r="E599" s="2"/>
      <c r="F599" s="3"/>
      <c r="G599" s="4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</row>
    <row r="600">
      <c r="A600" s="2"/>
      <c r="B600" s="2"/>
      <c r="C600" s="2"/>
      <c r="D600" s="2"/>
      <c r="E600" s="2"/>
      <c r="F600" s="3"/>
      <c r="G600" s="4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</row>
    <row r="601">
      <c r="A601" s="2"/>
      <c r="B601" s="2"/>
      <c r="C601" s="2"/>
      <c r="D601" s="2"/>
      <c r="E601" s="2"/>
      <c r="F601" s="3"/>
      <c r="G601" s="4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</row>
    <row r="602">
      <c r="A602" s="2"/>
      <c r="B602" s="2"/>
      <c r="C602" s="2"/>
      <c r="D602" s="2"/>
      <c r="E602" s="2"/>
      <c r="F602" s="3"/>
      <c r="G602" s="4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</row>
    <row r="603">
      <c r="A603" s="2"/>
      <c r="B603" s="2"/>
      <c r="C603" s="2"/>
      <c r="D603" s="2"/>
      <c r="E603" s="2"/>
      <c r="F603" s="3"/>
      <c r="G603" s="4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</row>
    <row r="604">
      <c r="A604" s="2"/>
      <c r="B604" s="2"/>
      <c r="C604" s="2"/>
      <c r="D604" s="2"/>
      <c r="E604" s="2"/>
      <c r="F604" s="3"/>
      <c r="G604" s="4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</row>
    <row r="605">
      <c r="A605" s="2"/>
      <c r="B605" s="2"/>
      <c r="C605" s="2"/>
      <c r="D605" s="2"/>
      <c r="E605" s="2"/>
      <c r="F605" s="3"/>
      <c r="G605" s="4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</row>
    <row r="606">
      <c r="A606" s="2"/>
      <c r="B606" s="2"/>
      <c r="C606" s="2"/>
      <c r="D606" s="2"/>
      <c r="E606" s="2"/>
      <c r="F606" s="3"/>
      <c r="G606" s="4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</row>
    <row r="607">
      <c r="A607" s="2"/>
      <c r="B607" s="2"/>
      <c r="C607" s="2"/>
      <c r="D607" s="2"/>
      <c r="E607" s="2"/>
      <c r="F607" s="3"/>
      <c r="G607" s="4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</row>
    <row r="608">
      <c r="A608" s="2"/>
      <c r="B608" s="2"/>
      <c r="C608" s="2"/>
      <c r="D608" s="2"/>
      <c r="E608" s="2"/>
      <c r="F608" s="3"/>
      <c r="G608" s="4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</row>
    <row r="609">
      <c r="A609" s="2"/>
      <c r="B609" s="2"/>
      <c r="C609" s="2"/>
      <c r="D609" s="2"/>
      <c r="E609" s="2"/>
      <c r="F609" s="3"/>
      <c r="G609" s="4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</row>
    <row r="610">
      <c r="A610" s="2"/>
      <c r="B610" s="2"/>
      <c r="C610" s="2"/>
      <c r="D610" s="2"/>
      <c r="E610" s="2"/>
      <c r="F610" s="3"/>
      <c r="G610" s="4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</row>
    <row r="611">
      <c r="A611" s="2"/>
      <c r="B611" s="2"/>
      <c r="C611" s="2"/>
      <c r="D611" s="2"/>
      <c r="E611" s="2"/>
      <c r="F611" s="3"/>
      <c r="G611" s="4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</row>
    <row r="612">
      <c r="A612" s="2"/>
      <c r="B612" s="2"/>
      <c r="C612" s="2"/>
      <c r="D612" s="2"/>
      <c r="E612" s="2"/>
      <c r="F612" s="3"/>
      <c r="G612" s="4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</row>
    <row r="613">
      <c r="A613" s="2"/>
      <c r="B613" s="2"/>
      <c r="C613" s="2"/>
      <c r="D613" s="2"/>
      <c r="E613" s="2"/>
      <c r="F613" s="3"/>
      <c r="G613" s="4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</row>
    <row r="614">
      <c r="A614" s="2"/>
      <c r="B614" s="2"/>
      <c r="C614" s="2"/>
      <c r="D614" s="2"/>
      <c r="E614" s="2"/>
      <c r="F614" s="3"/>
      <c r="G614" s="4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</row>
    <row r="615">
      <c r="A615" s="2"/>
      <c r="B615" s="2"/>
      <c r="C615" s="2"/>
      <c r="D615" s="2"/>
      <c r="E615" s="2"/>
      <c r="F615" s="3"/>
      <c r="G615" s="4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</row>
    <row r="616">
      <c r="A616" s="2"/>
      <c r="B616" s="2"/>
      <c r="C616" s="2"/>
      <c r="D616" s="2"/>
      <c r="E616" s="2"/>
      <c r="F616" s="3"/>
      <c r="G616" s="4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</row>
    <row r="617">
      <c r="A617" s="2"/>
      <c r="B617" s="2"/>
      <c r="C617" s="2"/>
      <c r="D617" s="2"/>
      <c r="E617" s="2"/>
      <c r="F617" s="3"/>
      <c r="G617" s="4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</row>
    <row r="618">
      <c r="A618" s="2"/>
      <c r="B618" s="2"/>
      <c r="C618" s="2"/>
      <c r="D618" s="2"/>
      <c r="E618" s="2"/>
      <c r="F618" s="3"/>
      <c r="G618" s="4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</row>
    <row r="619">
      <c r="A619" s="2"/>
      <c r="B619" s="2"/>
      <c r="C619" s="2"/>
      <c r="D619" s="2"/>
      <c r="E619" s="2"/>
      <c r="F619" s="3"/>
      <c r="G619" s="4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</row>
    <row r="620">
      <c r="A620" s="2"/>
      <c r="B620" s="2"/>
      <c r="C620" s="2"/>
      <c r="D620" s="2"/>
      <c r="E620" s="2"/>
      <c r="F620" s="3"/>
      <c r="G620" s="4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</row>
    <row r="621">
      <c r="A621" s="2"/>
      <c r="B621" s="2"/>
      <c r="C621" s="2"/>
      <c r="D621" s="2"/>
      <c r="E621" s="2"/>
      <c r="F621" s="3"/>
      <c r="G621" s="4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</row>
    <row r="622">
      <c r="A622" s="2"/>
      <c r="B622" s="2"/>
      <c r="C622" s="2"/>
      <c r="D622" s="2"/>
      <c r="E622" s="2"/>
      <c r="F622" s="3"/>
      <c r="G622" s="4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</row>
    <row r="623">
      <c r="A623" s="2"/>
      <c r="B623" s="2"/>
      <c r="C623" s="2"/>
      <c r="D623" s="2"/>
      <c r="E623" s="2"/>
      <c r="F623" s="3"/>
      <c r="G623" s="4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</row>
    <row r="624">
      <c r="A624" s="2"/>
      <c r="B624" s="2"/>
      <c r="C624" s="2"/>
      <c r="D624" s="2"/>
      <c r="E624" s="2"/>
      <c r="F624" s="3"/>
      <c r="G624" s="4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</row>
    <row r="625">
      <c r="A625" s="2"/>
      <c r="B625" s="2"/>
      <c r="C625" s="2"/>
      <c r="D625" s="2"/>
      <c r="E625" s="2"/>
      <c r="F625" s="3"/>
      <c r="G625" s="4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</row>
    <row r="626">
      <c r="A626" s="2"/>
      <c r="B626" s="2"/>
      <c r="C626" s="2"/>
      <c r="D626" s="2"/>
      <c r="E626" s="2"/>
      <c r="F626" s="3"/>
      <c r="G626" s="4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</row>
    <row r="627">
      <c r="A627" s="2"/>
      <c r="B627" s="2"/>
      <c r="C627" s="2"/>
      <c r="D627" s="2"/>
      <c r="E627" s="2"/>
      <c r="F627" s="3"/>
      <c r="G627" s="4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</row>
    <row r="628">
      <c r="A628" s="2"/>
      <c r="B628" s="2"/>
      <c r="C628" s="2"/>
      <c r="D628" s="2"/>
      <c r="E628" s="2"/>
      <c r="F628" s="3"/>
      <c r="G628" s="4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</row>
    <row r="629">
      <c r="A629" s="2"/>
      <c r="B629" s="2"/>
      <c r="C629" s="2"/>
      <c r="D629" s="2"/>
      <c r="E629" s="2"/>
      <c r="F629" s="3"/>
      <c r="G629" s="4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</row>
    <row r="630">
      <c r="A630" s="2"/>
      <c r="B630" s="2"/>
      <c r="C630" s="2"/>
      <c r="D630" s="2"/>
      <c r="E630" s="2"/>
      <c r="F630" s="3"/>
      <c r="G630" s="4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</row>
    <row r="631">
      <c r="A631" s="2"/>
      <c r="B631" s="2"/>
      <c r="C631" s="2"/>
      <c r="D631" s="2"/>
      <c r="E631" s="2"/>
      <c r="F631" s="3"/>
      <c r="G631" s="4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</row>
    <row r="632">
      <c r="A632" s="2"/>
      <c r="B632" s="2"/>
      <c r="C632" s="2"/>
      <c r="D632" s="2"/>
      <c r="E632" s="2"/>
      <c r="F632" s="3"/>
      <c r="G632" s="4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</row>
    <row r="633">
      <c r="A633" s="2"/>
      <c r="B633" s="2"/>
      <c r="C633" s="2"/>
      <c r="D633" s="2"/>
      <c r="E633" s="2"/>
      <c r="F633" s="3"/>
      <c r="G633" s="4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</row>
    <row r="634">
      <c r="A634" s="2"/>
      <c r="B634" s="2"/>
      <c r="C634" s="2"/>
      <c r="D634" s="2"/>
      <c r="E634" s="2"/>
      <c r="F634" s="3"/>
      <c r="G634" s="4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</row>
    <row r="635">
      <c r="A635" s="2"/>
      <c r="B635" s="2"/>
      <c r="C635" s="2"/>
      <c r="D635" s="2"/>
      <c r="E635" s="2"/>
      <c r="F635" s="3"/>
      <c r="G635" s="4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</row>
    <row r="636">
      <c r="A636" s="2"/>
      <c r="B636" s="2"/>
      <c r="C636" s="2"/>
      <c r="D636" s="2"/>
      <c r="E636" s="2"/>
      <c r="F636" s="3"/>
      <c r="G636" s="4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</row>
    <row r="637">
      <c r="A637" s="2"/>
      <c r="B637" s="2"/>
      <c r="C637" s="2"/>
      <c r="D637" s="2"/>
      <c r="E637" s="2"/>
      <c r="F637" s="3"/>
      <c r="G637" s="4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</row>
    <row r="638">
      <c r="A638" s="2"/>
      <c r="B638" s="2"/>
      <c r="C638" s="2"/>
      <c r="D638" s="2"/>
      <c r="E638" s="2"/>
      <c r="F638" s="3"/>
      <c r="G638" s="4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</row>
    <row r="639">
      <c r="A639" s="2"/>
      <c r="B639" s="2"/>
      <c r="C639" s="2"/>
      <c r="D639" s="2"/>
      <c r="E639" s="2"/>
      <c r="F639" s="3"/>
      <c r="G639" s="4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</row>
    <row r="640">
      <c r="A640" s="2"/>
      <c r="B640" s="2"/>
      <c r="C640" s="2"/>
      <c r="D640" s="2"/>
      <c r="E640" s="2"/>
      <c r="F640" s="3"/>
      <c r="G640" s="4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</row>
    <row r="641">
      <c r="A641" s="2"/>
      <c r="B641" s="2"/>
      <c r="C641" s="2"/>
      <c r="D641" s="2"/>
      <c r="E641" s="2"/>
      <c r="F641" s="3"/>
      <c r="G641" s="4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</row>
    <row r="642">
      <c r="A642" s="2"/>
      <c r="B642" s="2"/>
      <c r="C642" s="2"/>
      <c r="D642" s="2"/>
      <c r="E642" s="2"/>
      <c r="F642" s="3"/>
      <c r="G642" s="4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</row>
    <row r="643">
      <c r="A643" s="2"/>
      <c r="B643" s="2"/>
      <c r="C643" s="2"/>
      <c r="D643" s="2"/>
      <c r="E643" s="2"/>
      <c r="F643" s="3"/>
      <c r="G643" s="4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</row>
    <row r="644">
      <c r="A644" s="2"/>
      <c r="B644" s="2"/>
      <c r="C644" s="2"/>
      <c r="D644" s="2"/>
      <c r="E644" s="2"/>
      <c r="F644" s="3"/>
      <c r="G644" s="4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</row>
    <row r="645">
      <c r="A645" s="2"/>
      <c r="B645" s="2"/>
      <c r="C645" s="2"/>
      <c r="D645" s="2"/>
      <c r="E645" s="2"/>
      <c r="F645" s="3"/>
      <c r="G645" s="4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</row>
    <row r="646">
      <c r="A646" s="2"/>
      <c r="B646" s="2"/>
      <c r="C646" s="2"/>
      <c r="D646" s="2"/>
      <c r="E646" s="2"/>
      <c r="F646" s="3"/>
      <c r="G646" s="4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</row>
    <row r="647">
      <c r="A647" s="2"/>
      <c r="B647" s="2"/>
      <c r="C647" s="2"/>
      <c r="D647" s="2"/>
      <c r="E647" s="2"/>
      <c r="F647" s="3"/>
      <c r="G647" s="4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</row>
    <row r="648">
      <c r="A648" s="2"/>
      <c r="B648" s="2"/>
      <c r="C648" s="2"/>
      <c r="D648" s="2"/>
      <c r="E648" s="2"/>
      <c r="F648" s="3"/>
      <c r="G648" s="4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</row>
    <row r="649">
      <c r="A649" s="2"/>
      <c r="B649" s="2"/>
      <c r="C649" s="2"/>
      <c r="D649" s="2"/>
      <c r="E649" s="2"/>
      <c r="F649" s="3"/>
      <c r="G649" s="4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</row>
    <row r="650">
      <c r="A650" s="2"/>
      <c r="B650" s="2"/>
      <c r="C650" s="2"/>
      <c r="D650" s="2"/>
      <c r="E650" s="2"/>
      <c r="F650" s="3"/>
      <c r="G650" s="4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</row>
    <row r="651">
      <c r="A651" s="2"/>
      <c r="B651" s="2"/>
      <c r="C651" s="2"/>
      <c r="D651" s="2"/>
      <c r="E651" s="2"/>
      <c r="F651" s="3"/>
      <c r="G651" s="4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</row>
    <row r="652">
      <c r="A652" s="2"/>
      <c r="B652" s="2"/>
      <c r="C652" s="2"/>
      <c r="D652" s="2"/>
      <c r="E652" s="2"/>
      <c r="F652" s="3"/>
      <c r="G652" s="4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</row>
    <row r="653">
      <c r="A653" s="2"/>
      <c r="B653" s="2"/>
      <c r="C653" s="2"/>
      <c r="D653" s="2"/>
      <c r="E653" s="2"/>
      <c r="F653" s="3"/>
      <c r="G653" s="4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</row>
    <row r="654">
      <c r="A654" s="2"/>
      <c r="B654" s="2"/>
      <c r="C654" s="2"/>
      <c r="D654" s="2"/>
      <c r="E654" s="2"/>
      <c r="F654" s="3"/>
      <c r="G654" s="4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</row>
    <row r="655">
      <c r="A655" s="2"/>
      <c r="B655" s="2"/>
      <c r="C655" s="2"/>
      <c r="D655" s="2"/>
      <c r="E655" s="2"/>
      <c r="F655" s="3"/>
      <c r="G655" s="4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</row>
    <row r="656">
      <c r="A656" s="2"/>
      <c r="B656" s="2"/>
      <c r="C656" s="2"/>
      <c r="D656" s="2"/>
      <c r="E656" s="2"/>
      <c r="F656" s="3"/>
      <c r="G656" s="4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</row>
    <row r="657">
      <c r="A657" s="2"/>
      <c r="B657" s="2"/>
      <c r="C657" s="2"/>
      <c r="D657" s="2"/>
      <c r="E657" s="2"/>
      <c r="F657" s="3"/>
      <c r="G657" s="4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</row>
    <row r="658">
      <c r="A658" s="2"/>
      <c r="B658" s="2"/>
      <c r="C658" s="2"/>
      <c r="D658" s="2"/>
      <c r="E658" s="2"/>
      <c r="F658" s="3"/>
      <c r="G658" s="4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</row>
    <row r="659">
      <c r="A659" s="2"/>
      <c r="B659" s="2"/>
      <c r="C659" s="2"/>
      <c r="D659" s="2"/>
      <c r="E659" s="2"/>
      <c r="F659" s="3"/>
      <c r="G659" s="4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</row>
    <row r="660">
      <c r="A660" s="2"/>
      <c r="B660" s="2"/>
      <c r="C660" s="2"/>
      <c r="D660" s="2"/>
      <c r="E660" s="2"/>
      <c r="F660" s="3"/>
      <c r="G660" s="4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</row>
    <row r="661">
      <c r="A661" s="2"/>
      <c r="B661" s="2"/>
      <c r="C661" s="2"/>
      <c r="D661" s="2"/>
      <c r="E661" s="2"/>
      <c r="F661" s="3"/>
      <c r="G661" s="4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</row>
    <row r="662">
      <c r="A662" s="2"/>
      <c r="B662" s="2"/>
      <c r="C662" s="2"/>
      <c r="D662" s="2"/>
      <c r="E662" s="2"/>
      <c r="F662" s="3"/>
      <c r="G662" s="4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</row>
    <row r="663">
      <c r="A663" s="2"/>
      <c r="B663" s="2"/>
      <c r="C663" s="2"/>
      <c r="D663" s="2"/>
      <c r="E663" s="2"/>
      <c r="F663" s="3"/>
      <c r="G663" s="4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</row>
    <row r="664">
      <c r="A664" s="2"/>
      <c r="B664" s="2"/>
      <c r="C664" s="2"/>
      <c r="D664" s="2"/>
      <c r="E664" s="2"/>
      <c r="F664" s="3"/>
      <c r="G664" s="4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</row>
    <row r="665">
      <c r="A665" s="2"/>
      <c r="B665" s="2"/>
      <c r="C665" s="2"/>
      <c r="D665" s="2"/>
      <c r="E665" s="2"/>
      <c r="F665" s="3"/>
      <c r="G665" s="4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</row>
    <row r="666">
      <c r="A666" s="2"/>
      <c r="B666" s="2"/>
      <c r="C666" s="2"/>
      <c r="D666" s="2"/>
      <c r="E666" s="2"/>
      <c r="F666" s="3"/>
      <c r="G666" s="4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</row>
    <row r="667">
      <c r="A667" s="2"/>
      <c r="B667" s="2"/>
      <c r="C667" s="2"/>
      <c r="D667" s="2"/>
      <c r="E667" s="2"/>
      <c r="F667" s="3"/>
      <c r="G667" s="4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</row>
    <row r="668">
      <c r="A668" s="2"/>
      <c r="B668" s="2"/>
      <c r="C668" s="2"/>
      <c r="D668" s="2"/>
      <c r="E668" s="2"/>
      <c r="F668" s="3"/>
      <c r="G668" s="4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</row>
    <row r="669">
      <c r="A669" s="2"/>
      <c r="B669" s="2"/>
      <c r="C669" s="2"/>
      <c r="D669" s="2"/>
      <c r="E669" s="2"/>
      <c r="F669" s="3"/>
      <c r="G669" s="4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</row>
    <row r="670">
      <c r="A670" s="2"/>
      <c r="B670" s="2"/>
      <c r="C670" s="2"/>
      <c r="D670" s="2"/>
      <c r="E670" s="2"/>
      <c r="F670" s="3"/>
      <c r="G670" s="4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</row>
    <row r="671">
      <c r="A671" s="2"/>
      <c r="B671" s="2"/>
      <c r="C671" s="2"/>
      <c r="D671" s="2"/>
      <c r="E671" s="2"/>
      <c r="F671" s="3"/>
      <c r="G671" s="4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</row>
    <row r="672">
      <c r="A672" s="2"/>
      <c r="B672" s="2"/>
      <c r="C672" s="2"/>
      <c r="D672" s="2"/>
      <c r="E672" s="2"/>
      <c r="F672" s="3"/>
      <c r="G672" s="4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</row>
    <row r="673">
      <c r="A673" s="2"/>
      <c r="B673" s="2"/>
      <c r="C673" s="2"/>
      <c r="D673" s="2"/>
      <c r="E673" s="2"/>
      <c r="F673" s="3"/>
      <c r="G673" s="4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</row>
    <row r="674">
      <c r="A674" s="2"/>
      <c r="B674" s="2"/>
      <c r="C674" s="2"/>
      <c r="D674" s="2"/>
      <c r="E674" s="2"/>
      <c r="F674" s="3"/>
      <c r="G674" s="4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</row>
    <row r="675">
      <c r="A675" s="2"/>
      <c r="B675" s="2"/>
      <c r="C675" s="2"/>
      <c r="D675" s="2"/>
      <c r="E675" s="2"/>
      <c r="F675" s="3"/>
      <c r="G675" s="4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</row>
    <row r="676">
      <c r="A676" s="2"/>
      <c r="B676" s="2"/>
      <c r="C676" s="2"/>
      <c r="D676" s="2"/>
      <c r="E676" s="2"/>
      <c r="F676" s="3"/>
      <c r="G676" s="4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</row>
    <row r="677">
      <c r="A677" s="2"/>
      <c r="B677" s="2"/>
      <c r="C677" s="2"/>
      <c r="D677" s="2"/>
      <c r="E677" s="2"/>
      <c r="F677" s="3"/>
      <c r="G677" s="4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</row>
    <row r="678">
      <c r="A678" s="2"/>
      <c r="B678" s="2"/>
      <c r="C678" s="2"/>
      <c r="D678" s="2"/>
      <c r="E678" s="2"/>
      <c r="F678" s="3"/>
      <c r="G678" s="4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</row>
    <row r="679">
      <c r="A679" s="2"/>
      <c r="B679" s="2"/>
      <c r="C679" s="2"/>
      <c r="D679" s="2"/>
      <c r="E679" s="2"/>
      <c r="F679" s="3"/>
      <c r="G679" s="4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</row>
    <row r="680">
      <c r="A680" s="2"/>
      <c r="B680" s="2"/>
      <c r="C680" s="2"/>
      <c r="D680" s="2"/>
      <c r="E680" s="2"/>
      <c r="F680" s="3"/>
      <c r="G680" s="4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</row>
    <row r="681">
      <c r="A681" s="2"/>
      <c r="B681" s="2"/>
      <c r="C681" s="2"/>
      <c r="D681" s="2"/>
      <c r="E681" s="2"/>
      <c r="F681" s="3"/>
      <c r="G681" s="4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</row>
    <row r="682">
      <c r="A682" s="2"/>
      <c r="B682" s="2"/>
      <c r="C682" s="2"/>
      <c r="D682" s="2"/>
      <c r="E682" s="2"/>
      <c r="F682" s="3"/>
      <c r="G682" s="4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</row>
    <row r="683">
      <c r="A683" s="2"/>
      <c r="B683" s="2"/>
      <c r="C683" s="2"/>
      <c r="D683" s="2"/>
      <c r="E683" s="2"/>
      <c r="F683" s="3"/>
      <c r="G683" s="4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</row>
    <row r="684">
      <c r="A684" s="2"/>
      <c r="B684" s="2"/>
      <c r="C684" s="2"/>
      <c r="D684" s="2"/>
      <c r="E684" s="2"/>
      <c r="F684" s="3"/>
      <c r="G684" s="4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</row>
    <row r="685">
      <c r="A685" s="2"/>
      <c r="B685" s="2"/>
      <c r="C685" s="2"/>
      <c r="D685" s="2"/>
      <c r="E685" s="2"/>
      <c r="F685" s="3"/>
      <c r="G685" s="4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</row>
    <row r="686">
      <c r="A686" s="2"/>
      <c r="B686" s="2"/>
      <c r="C686" s="2"/>
      <c r="D686" s="2"/>
      <c r="E686" s="2"/>
      <c r="F686" s="3"/>
      <c r="G686" s="4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</row>
    <row r="687">
      <c r="A687" s="2"/>
      <c r="B687" s="2"/>
      <c r="C687" s="2"/>
      <c r="D687" s="2"/>
      <c r="E687" s="2"/>
      <c r="F687" s="3"/>
      <c r="G687" s="4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</row>
    <row r="688">
      <c r="A688" s="2"/>
      <c r="B688" s="2"/>
      <c r="C688" s="2"/>
      <c r="D688" s="2"/>
      <c r="E688" s="2"/>
      <c r="F688" s="3"/>
      <c r="G688" s="4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</row>
    <row r="689">
      <c r="A689" s="2"/>
      <c r="B689" s="2"/>
      <c r="C689" s="2"/>
      <c r="D689" s="2"/>
      <c r="E689" s="2"/>
      <c r="F689" s="3"/>
      <c r="G689" s="4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</row>
    <row r="690">
      <c r="A690" s="2"/>
      <c r="B690" s="2"/>
      <c r="C690" s="2"/>
      <c r="D690" s="2"/>
      <c r="E690" s="2"/>
      <c r="F690" s="3"/>
      <c r="G690" s="4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</row>
    <row r="691">
      <c r="A691" s="2"/>
      <c r="B691" s="2"/>
      <c r="C691" s="2"/>
      <c r="D691" s="2"/>
      <c r="E691" s="2"/>
      <c r="F691" s="3"/>
      <c r="G691" s="4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</row>
    <row r="692">
      <c r="A692" s="2"/>
      <c r="B692" s="2"/>
      <c r="C692" s="2"/>
      <c r="D692" s="2"/>
      <c r="E692" s="2"/>
      <c r="F692" s="3"/>
      <c r="G692" s="4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</row>
    <row r="693">
      <c r="A693" s="2"/>
      <c r="B693" s="2"/>
      <c r="C693" s="2"/>
      <c r="D693" s="2"/>
      <c r="E693" s="2"/>
      <c r="F693" s="3"/>
      <c r="G693" s="4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</row>
    <row r="694">
      <c r="A694" s="2"/>
      <c r="B694" s="2"/>
      <c r="C694" s="2"/>
      <c r="D694" s="2"/>
      <c r="E694" s="2"/>
      <c r="F694" s="3"/>
      <c r="G694" s="4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</row>
    <row r="695">
      <c r="A695" s="2"/>
      <c r="B695" s="2"/>
      <c r="C695" s="2"/>
      <c r="D695" s="2"/>
      <c r="E695" s="2"/>
      <c r="F695" s="3"/>
      <c r="G695" s="4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</row>
    <row r="696">
      <c r="A696" s="2"/>
      <c r="B696" s="2"/>
      <c r="C696" s="2"/>
      <c r="D696" s="2"/>
      <c r="E696" s="2"/>
      <c r="F696" s="3"/>
      <c r="G696" s="4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</row>
    <row r="697">
      <c r="A697" s="2"/>
      <c r="B697" s="2"/>
      <c r="C697" s="2"/>
      <c r="D697" s="2"/>
      <c r="E697" s="2"/>
      <c r="F697" s="3"/>
      <c r="G697" s="4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</row>
    <row r="698">
      <c r="A698" s="2"/>
      <c r="B698" s="2"/>
      <c r="C698" s="2"/>
      <c r="D698" s="2"/>
      <c r="E698" s="2"/>
      <c r="F698" s="3"/>
      <c r="G698" s="4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</row>
    <row r="699">
      <c r="A699" s="2"/>
      <c r="B699" s="2"/>
      <c r="C699" s="2"/>
      <c r="D699" s="2"/>
      <c r="E699" s="2"/>
      <c r="F699" s="3"/>
      <c r="G699" s="4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</row>
    <row r="700">
      <c r="A700" s="2"/>
      <c r="B700" s="2"/>
      <c r="C700" s="2"/>
      <c r="D700" s="2"/>
      <c r="E700" s="2"/>
      <c r="F700" s="3"/>
      <c r="G700" s="4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</row>
    <row r="701">
      <c r="A701" s="2"/>
      <c r="B701" s="2"/>
      <c r="C701" s="2"/>
      <c r="D701" s="2"/>
      <c r="E701" s="2"/>
      <c r="F701" s="3"/>
      <c r="G701" s="4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</row>
    <row r="702">
      <c r="A702" s="2"/>
      <c r="B702" s="2"/>
      <c r="C702" s="2"/>
      <c r="D702" s="2"/>
      <c r="E702" s="2"/>
      <c r="F702" s="3"/>
      <c r="G702" s="4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</row>
    <row r="703">
      <c r="A703" s="2"/>
      <c r="B703" s="2"/>
      <c r="C703" s="2"/>
      <c r="D703" s="2"/>
      <c r="E703" s="2"/>
      <c r="F703" s="3"/>
      <c r="G703" s="4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</row>
    <row r="704">
      <c r="A704" s="2"/>
      <c r="B704" s="2"/>
      <c r="C704" s="2"/>
      <c r="D704" s="2"/>
      <c r="E704" s="2"/>
      <c r="F704" s="3"/>
      <c r="G704" s="4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</row>
    <row r="705">
      <c r="A705" s="2"/>
      <c r="B705" s="2"/>
      <c r="C705" s="2"/>
      <c r="D705" s="2"/>
      <c r="E705" s="2"/>
      <c r="F705" s="3"/>
      <c r="G705" s="4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</row>
    <row r="706">
      <c r="A706" s="2"/>
      <c r="B706" s="2"/>
      <c r="C706" s="2"/>
      <c r="D706" s="2"/>
      <c r="E706" s="2"/>
      <c r="F706" s="3"/>
      <c r="G706" s="4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</row>
    <row r="707">
      <c r="A707" s="2"/>
      <c r="B707" s="2"/>
      <c r="C707" s="2"/>
      <c r="D707" s="2"/>
      <c r="E707" s="2"/>
      <c r="F707" s="3"/>
      <c r="G707" s="4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</row>
    <row r="708">
      <c r="A708" s="2"/>
      <c r="B708" s="2"/>
      <c r="C708" s="2"/>
      <c r="D708" s="2"/>
      <c r="E708" s="2"/>
      <c r="F708" s="3"/>
      <c r="G708" s="4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</row>
    <row r="709">
      <c r="A709" s="2"/>
      <c r="B709" s="2"/>
      <c r="C709" s="2"/>
      <c r="D709" s="2"/>
      <c r="E709" s="2"/>
      <c r="F709" s="3"/>
      <c r="G709" s="4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</row>
    <row r="710">
      <c r="A710" s="2"/>
      <c r="B710" s="2"/>
      <c r="C710" s="2"/>
      <c r="D710" s="2"/>
      <c r="E710" s="2"/>
      <c r="F710" s="3"/>
      <c r="G710" s="4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</row>
    <row r="711">
      <c r="A711" s="2"/>
      <c r="B711" s="2"/>
      <c r="C711" s="2"/>
      <c r="D711" s="2"/>
      <c r="E711" s="2"/>
      <c r="F711" s="3"/>
      <c r="G711" s="4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</row>
    <row r="712">
      <c r="A712" s="2"/>
      <c r="B712" s="2"/>
      <c r="C712" s="2"/>
      <c r="D712" s="2"/>
      <c r="E712" s="2"/>
      <c r="F712" s="3"/>
      <c r="G712" s="4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</row>
    <row r="713">
      <c r="A713" s="2"/>
      <c r="B713" s="2"/>
      <c r="C713" s="2"/>
      <c r="D713" s="2"/>
      <c r="E713" s="2"/>
      <c r="F713" s="3"/>
      <c r="G713" s="4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</row>
    <row r="714">
      <c r="A714" s="2"/>
      <c r="B714" s="2"/>
      <c r="C714" s="2"/>
      <c r="D714" s="2"/>
      <c r="E714" s="2"/>
      <c r="F714" s="3"/>
      <c r="G714" s="4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</row>
    <row r="715">
      <c r="A715" s="2"/>
      <c r="B715" s="2"/>
      <c r="C715" s="2"/>
      <c r="D715" s="2"/>
      <c r="E715" s="2"/>
      <c r="F715" s="3"/>
      <c r="G715" s="4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</row>
    <row r="716">
      <c r="A716" s="2"/>
      <c r="B716" s="2"/>
      <c r="C716" s="2"/>
      <c r="D716" s="2"/>
      <c r="E716" s="2"/>
      <c r="F716" s="3"/>
      <c r="G716" s="4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</row>
    <row r="717">
      <c r="A717" s="2"/>
      <c r="B717" s="2"/>
      <c r="C717" s="2"/>
      <c r="D717" s="2"/>
      <c r="E717" s="2"/>
      <c r="F717" s="3"/>
      <c r="G717" s="4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</row>
    <row r="718">
      <c r="A718" s="2"/>
      <c r="B718" s="2"/>
      <c r="C718" s="2"/>
      <c r="D718" s="2"/>
      <c r="E718" s="2"/>
      <c r="F718" s="3"/>
      <c r="G718" s="4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</row>
    <row r="719">
      <c r="A719" s="2"/>
      <c r="B719" s="2"/>
      <c r="C719" s="2"/>
      <c r="D719" s="2"/>
      <c r="E719" s="2"/>
      <c r="F719" s="3"/>
      <c r="G719" s="4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</row>
    <row r="720">
      <c r="A720" s="2"/>
      <c r="B720" s="2"/>
      <c r="C720" s="2"/>
      <c r="D720" s="2"/>
      <c r="E720" s="2"/>
      <c r="F720" s="3"/>
      <c r="G720" s="4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</row>
    <row r="721">
      <c r="A721" s="2"/>
      <c r="B721" s="2"/>
      <c r="C721" s="2"/>
      <c r="D721" s="2"/>
      <c r="E721" s="2"/>
      <c r="F721" s="3"/>
      <c r="G721" s="4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</row>
    <row r="722">
      <c r="A722" s="2"/>
      <c r="B722" s="2"/>
      <c r="C722" s="2"/>
      <c r="D722" s="2"/>
      <c r="E722" s="2"/>
      <c r="F722" s="3"/>
      <c r="G722" s="4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</row>
    <row r="723">
      <c r="A723" s="2"/>
      <c r="B723" s="2"/>
      <c r="C723" s="2"/>
      <c r="D723" s="2"/>
      <c r="E723" s="2"/>
      <c r="F723" s="3"/>
      <c r="G723" s="4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</row>
    <row r="724">
      <c r="A724" s="2"/>
      <c r="B724" s="2"/>
      <c r="C724" s="2"/>
      <c r="D724" s="2"/>
      <c r="E724" s="2"/>
      <c r="F724" s="3"/>
      <c r="G724" s="4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</row>
    <row r="725">
      <c r="A725" s="2"/>
      <c r="B725" s="2"/>
      <c r="C725" s="2"/>
      <c r="D725" s="2"/>
      <c r="E725" s="2"/>
      <c r="F725" s="3"/>
      <c r="G725" s="4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</row>
    <row r="726">
      <c r="A726" s="2"/>
      <c r="B726" s="2"/>
      <c r="C726" s="2"/>
      <c r="D726" s="2"/>
      <c r="E726" s="2"/>
      <c r="F726" s="3"/>
      <c r="G726" s="4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</row>
    <row r="727">
      <c r="A727" s="2"/>
      <c r="B727" s="2"/>
      <c r="C727" s="2"/>
      <c r="D727" s="2"/>
      <c r="E727" s="2"/>
      <c r="F727" s="3"/>
      <c r="G727" s="4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</row>
    <row r="728">
      <c r="A728" s="2"/>
      <c r="B728" s="2"/>
      <c r="C728" s="2"/>
      <c r="D728" s="2"/>
      <c r="E728" s="2"/>
      <c r="F728" s="3"/>
      <c r="G728" s="4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</row>
    <row r="729">
      <c r="A729" s="2"/>
      <c r="B729" s="2"/>
      <c r="C729" s="2"/>
      <c r="D729" s="2"/>
      <c r="E729" s="2"/>
      <c r="F729" s="3"/>
      <c r="G729" s="4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</row>
    <row r="730">
      <c r="A730" s="2"/>
      <c r="B730" s="2"/>
      <c r="C730" s="2"/>
      <c r="D730" s="2"/>
      <c r="E730" s="2"/>
      <c r="F730" s="3"/>
      <c r="G730" s="4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</row>
    <row r="731">
      <c r="A731" s="2"/>
      <c r="B731" s="2"/>
      <c r="C731" s="2"/>
      <c r="D731" s="2"/>
      <c r="E731" s="2"/>
      <c r="F731" s="3"/>
      <c r="G731" s="4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</row>
    <row r="732">
      <c r="A732" s="2"/>
      <c r="B732" s="2"/>
      <c r="C732" s="2"/>
      <c r="D732" s="2"/>
      <c r="E732" s="2"/>
      <c r="F732" s="3"/>
      <c r="G732" s="4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</row>
    <row r="733">
      <c r="A733" s="2"/>
      <c r="B733" s="2"/>
      <c r="C733" s="2"/>
      <c r="D733" s="2"/>
      <c r="E733" s="2"/>
      <c r="F733" s="3"/>
      <c r="G733" s="4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</row>
    <row r="734">
      <c r="A734" s="2"/>
      <c r="B734" s="2"/>
      <c r="C734" s="2"/>
      <c r="D734" s="2"/>
      <c r="E734" s="2"/>
      <c r="F734" s="3"/>
      <c r="G734" s="4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</row>
    <row r="735">
      <c r="A735" s="2"/>
      <c r="B735" s="2"/>
      <c r="C735" s="2"/>
      <c r="D735" s="2"/>
      <c r="E735" s="2"/>
      <c r="F735" s="3"/>
      <c r="G735" s="4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</row>
    <row r="736">
      <c r="A736" s="2"/>
      <c r="B736" s="2"/>
      <c r="C736" s="2"/>
      <c r="D736" s="2"/>
      <c r="E736" s="2"/>
      <c r="F736" s="3"/>
      <c r="G736" s="4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</row>
    <row r="737">
      <c r="A737" s="2"/>
      <c r="B737" s="2"/>
      <c r="C737" s="2"/>
      <c r="D737" s="2"/>
      <c r="E737" s="2"/>
      <c r="F737" s="3"/>
      <c r="G737" s="4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</row>
    <row r="738">
      <c r="A738" s="2"/>
      <c r="B738" s="2"/>
      <c r="C738" s="2"/>
      <c r="D738" s="2"/>
      <c r="E738" s="2"/>
      <c r="F738" s="3"/>
      <c r="G738" s="4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</row>
    <row r="739">
      <c r="A739" s="2"/>
      <c r="B739" s="2"/>
      <c r="C739" s="2"/>
      <c r="D739" s="2"/>
      <c r="E739" s="2"/>
      <c r="F739" s="3"/>
      <c r="G739" s="4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</row>
    <row r="740">
      <c r="A740" s="2"/>
      <c r="B740" s="2"/>
      <c r="C740" s="2"/>
      <c r="D740" s="2"/>
      <c r="E740" s="2"/>
      <c r="F740" s="3"/>
      <c r="G740" s="4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</row>
    <row r="741">
      <c r="A741" s="2"/>
      <c r="B741" s="2"/>
      <c r="C741" s="2"/>
      <c r="D741" s="2"/>
      <c r="E741" s="2"/>
      <c r="F741" s="3"/>
      <c r="G741" s="4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</row>
    <row r="742">
      <c r="A742" s="2"/>
      <c r="B742" s="2"/>
      <c r="C742" s="2"/>
      <c r="D742" s="2"/>
      <c r="E742" s="2"/>
      <c r="F742" s="3"/>
      <c r="G742" s="4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</row>
    <row r="743">
      <c r="A743" s="2"/>
      <c r="B743" s="2"/>
      <c r="C743" s="2"/>
      <c r="D743" s="2"/>
      <c r="E743" s="2"/>
      <c r="F743" s="3"/>
      <c r="G743" s="4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</row>
    <row r="744">
      <c r="A744" s="2"/>
      <c r="B744" s="2"/>
      <c r="C744" s="2"/>
      <c r="D744" s="2"/>
      <c r="E744" s="2"/>
      <c r="F744" s="3"/>
      <c r="G744" s="4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</row>
    <row r="745">
      <c r="A745" s="2"/>
      <c r="B745" s="2"/>
      <c r="C745" s="2"/>
      <c r="D745" s="2"/>
      <c r="E745" s="2"/>
      <c r="F745" s="3"/>
      <c r="G745" s="4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</row>
    <row r="746">
      <c r="A746" s="2"/>
      <c r="B746" s="2"/>
      <c r="C746" s="2"/>
      <c r="D746" s="2"/>
      <c r="E746" s="2"/>
      <c r="F746" s="3"/>
      <c r="G746" s="4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</row>
    <row r="747">
      <c r="A747" s="2"/>
      <c r="B747" s="2"/>
      <c r="C747" s="2"/>
      <c r="D747" s="2"/>
      <c r="E747" s="2"/>
      <c r="F747" s="3"/>
      <c r="G747" s="4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</row>
    <row r="748">
      <c r="A748" s="2"/>
      <c r="B748" s="2"/>
      <c r="C748" s="2"/>
      <c r="D748" s="2"/>
      <c r="E748" s="2"/>
      <c r="F748" s="3"/>
      <c r="G748" s="4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</row>
    <row r="749">
      <c r="A749" s="2"/>
      <c r="B749" s="2"/>
      <c r="C749" s="2"/>
      <c r="D749" s="2"/>
      <c r="E749" s="2"/>
      <c r="F749" s="3"/>
      <c r="G749" s="4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</row>
    <row r="750">
      <c r="A750" s="2"/>
      <c r="B750" s="2"/>
      <c r="C750" s="2"/>
      <c r="D750" s="2"/>
      <c r="E750" s="2"/>
      <c r="F750" s="3"/>
      <c r="G750" s="4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</row>
    <row r="751">
      <c r="A751" s="2"/>
      <c r="B751" s="2"/>
      <c r="C751" s="2"/>
      <c r="D751" s="2"/>
      <c r="E751" s="2"/>
      <c r="F751" s="3"/>
      <c r="G751" s="4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</row>
    <row r="752">
      <c r="A752" s="2"/>
      <c r="B752" s="2"/>
      <c r="C752" s="2"/>
      <c r="D752" s="2"/>
      <c r="E752" s="2"/>
      <c r="F752" s="3"/>
      <c r="G752" s="4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</row>
    <row r="753">
      <c r="A753" s="2"/>
      <c r="B753" s="2"/>
      <c r="C753" s="2"/>
      <c r="D753" s="2"/>
      <c r="E753" s="2"/>
      <c r="F753" s="3"/>
      <c r="G753" s="4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</row>
    <row r="754">
      <c r="A754" s="2"/>
      <c r="B754" s="2"/>
      <c r="C754" s="2"/>
      <c r="D754" s="2"/>
      <c r="E754" s="2"/>
      <c r="F754" s="3"/>
      <c r="G754" s="4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</row>
    <row r="755">
      <c r="A755" s="2"/>
      <c r="B755" s="2"/>
      <c r="C755" s="2"/>
      <c r="D755" s="2"/>
      <c r="E755" s="2"/>
      <c r="F755" s="3"/>
      <c r="G755" s="4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</row>
    <row r="756">
      <c r="A756" s="2"/>
      <c r="B756" s="2"/>
      <c r="C756" s="2"/>
      <c r="D756" s="2"/>
      <c r="E756" s="2"/>
      <c r="F756" s="3"/>
      <c r="G756" s="4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</row>
    <row r="757">
      <c r="A757" s="2"/>
      <c r="B757" s="2"/>
      <c r="C757" s="2"/>
      <c r="D757" s="2"/>
      <c r="E757" s="2"/>
      <c r="F757" s="3"/>
      <c r="G757" s="4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</row>
    <row r="758">
      <c r="A758" s="2"/>
      <c r="B758" s="2"/>
      <c r="C758" s="2"/>
      <c r="D758" s="2"/>
      <c r="E758" s="2"/>
      <c r="F758" s="3"/>
      <c r="G758" s="4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</row>
    <row r="759">
      <c r="A759" s="2"/>
      <c r="B759" s="2"/>
      <c r="C759" s="2"/>
      <c r="D759" s="2"/>
      <c r="E759" s="2"/>
      <c r="F759" s="3"/>
      <c r="G759" s="4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</row>
    <row r="760">
      <c r="A760" s="2"/>
      <c r="B760" s="2"/>
      <c r="C760" s="2"/>
      <c r="D760" s="2"/>
      <c r="E760" s="2"/>
      <c r="F760" s="3"/>
      <c r="G760" s="4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</row>
    <row r="761">
      <c r="A761" s="2"/>
      <c r="B761" s="2"/>
      <c r="C761" s="2"/>
      <c r="D761" s="2"/>
      <c r="E761" s="2"/>
      <c r="F761" s="3"/>
      <c r="G761" s="4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</row>
    <row r="762">
      <c r="A762" s="2"/>
      <c r="B762" s="2"/>
      <c r="C762" s="2"/>
      <c r="D762" s="2"/>
      <c r="E762" s="2"/>
      <c r="F762" s="3"/>
      <c r="G762" s="4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</row>
    <row r="763">
      <c r="A763" s="2"/>
      <c r="B763" s="2"/>
      <c r="C763" s="2"/>
      <c r="D763" s="2"/>
      <c r="E763" s="2"/>
      <c r="F763" s="3"/>
      <c r="G763" s="4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</row>
    <row r="764">
      <c r="A764" s="2"/>
      <c r="B764" s="2"/>
      <c r="C764" s="2"/>
      <c r="D764" s="2"/>
      <c r="E764" s="2"/>
      <c r="F764" s="3"/>
      <c r="G764" s="4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</row>
    <row r="765">
      <c r="A765" s="2"/>
      <c r="B765" s="2"/>
      <c r="C765" s="2"/>
      <c r="D765" s="2"/>
      <c r="E765" s="2"/>
      <c r="F765" s="3"/>
      <c r="G765" s="4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</row>
    <row r="766">
      <c r="A766" s="2"/>
      <c r="B766" s="2"/>
      <c r="C766" s="2"/>
      <c r="D766" s="2"/>
      <c r="E766" s="2"/>
      <c r="F766" s="3"/>
      <c r="G766" s="4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</row>
    <row r="767">
      <c r="A767" s="2"/>
      <c r="B767" s="2"/>
      <c r="C767" s="2"/>
      <c r="D767" s="2"/>
      <c r="E767" s="2"/>
      <c r="F767" s="3"/>
      <c r="G767" s="4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</row>
    <row r="768">
      <c r="A768" s="2"/>
      <c r="B768" s="2"/>
      <c r="C768" s="2"/>
      <c r="D768" s="2"/>
      <c r="E768" s="2"/>
      <c r="F768" s="3"/>
      <c r="G768" s="4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</row>
    <row r="769">
      <c r="A769" s="2"/>
      <c r="B769" s="2"/>
      <c r="C769" s="2"/>
      <c r="D769" s="2"/>
      <c r="E769" s="2"/>
      <c r="F769" s="3"/>
      <c r="G769" s="4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</row>
    <row r="770">
      <c r="A770" s="2"/>
      <c r="B770" s="2"/>
      <c r="C770" s="2"/>
      <c r="D770" s="2"/>
      <c r="E770" s="2"/>
      <c r="F770" s="3"/>
      <c r="G770" s="4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</row>
    <row r="771">
      <c r="A771" s="2"/>
      <c r="B771" s="2"/>
      <c r="C771" s="2"/>
      <c r="D771" s="2"/>
      <c r="E771" s="2"/>
      <c r="F771" s="3"/>
      <c r="G771" s="4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</row>
    <row r="772">
      <c r="A772" s="2"/>
      <c r="B772" s="2"/>
      <c r="C772" s="2"/>
      <c r="D772" s="2"/>
      <c r="E772" s="2"/>
      <c r="F772" s="3"/>
      <c r="G772" s="4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</row>
    <row r="773">
      <c r="A773" s="2"/>
      <c r="B773" s="2"/>
      <c r="C773" s="2"/>
      <c r="D773" s="2"/>
      <c r="E773" s="2"/>
      <c r="F773" s="3"/>
      <c r="G773" s="4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</row>
    <row r="774">
      <c r="A774" s="2"/>
      <c r="B774" s="2"/>
      <c r="C774" s="2"/>
      <c r="D774" s="2"/>
      <c r="E774" s="2"/>
      <c r="F774" s="3"/>
      <c r="G774" s="4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</row>
    <row r="775">
      <c r="A775" s="2"/>
      <c r="B775" s="2"/>
      <c r="C775" s="2"/>
      <c r="D775" s="2"/>
      <c r="E775" s="2"/>
      <c r="F775" s="3"/>
      <c r="G775" s="4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</row>
    <row r="776">
      <c r="A776" s="2"/>
      <c r="B776" s="2"/>
      <c r="C776" s="2"/>
      <c r="D776" s="2"/>
      <c r="E776" s="2"/>
      <c r="F776" s="3"/>
      <c r="G776" s="4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</row>
    <row r="777">
      <c r="A777" s="2"/>
      <c r="B777" s="2"/>
      <c r="C777" s="2"/>
      <c r="D777" s="2"/>
      <c r="E777" s="2"/>
      <c r="F777" s="3"/>
      <c r="G777" s="4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</row>
    <row r="778">
      <c r="A778" s="2"/>
      <c r="B778" s="2"/>
      <c r="C778" s="2"/>
      <c r="D778" s="2"/>
      <c r="E778" s="2"/>
      <c r="F778" s="3"/>
      <c r="G778" s="4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</row>
    <row r="779">
      <c r="A779" s="2"/>
      <c r="B779" s="2"/>
      <c r="C779" s="2"/>
      <c r="D779" s="2"/>
      <c r="E779" s="2"/>
      <c r="F779" s="3"/>
      <c r="G779" s="4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</row>
    <row r="780">
      <c r="A780" s="2"/>
      <c r="B780" s="2"/>
      <c r="C780" s="2"/>
      <c r="D780" s="2"/>
      <c r="E780" s="2"/>
      <c r="F780" s="3"/>
      <c r="G780" s="4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</row>
    <row r="781">
      <c r="A781" s="2"/>
      <c r="B781" s="2"/>
      <c r="C781" s="2"/>
      <c r="D781" s="2"/>
      <c r="E781" s="2"/>
      <c r="F781" s="3"/>
      <c r="G781" s="4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</row>
    <row r="782">
      <c r="A782" s="2"/>
      <c r="B782" s="2"/>
      <c r="C782" s="2"/>
      <c r="D782" s="2"/>
      <c r="E782" s="2"/>
      <c r="F782" s="3"/>
      <c r="G782" s="4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</row>
    <row r="783">
      <c r="A783" s="2"/>
      <c r="B783" s="2"/>
      <c r="C783" s="2"/>
      <c r="D783" s="2"/>
      <c r="E783" s="2"/>
      <c r="F783" s="3"/>
      <c r="G783" s="4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</row>
    <row r="784">
      <c r="A784" s="2"/>
      <c r="B784" s="2"/>
      <c r="C784" s="2"/>
      <c r="D784" s="2"/>
      <c r="E784" s="2"/>
      <c r="F784" s="3"/>
      <c r="G784" s="4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</row>
    <row r="785">
      <c r="A785" s="2"/>
      <c r="B785" s="2"/>
      <c r="C785" s="2"/>
      <c r="D785" s="2"/>
      <c r="E785" s="2"/>
      <c r="F785" s="3"/>
      <c r="G785" s="4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</row>
    <row r="786">
      <c r="A786" s="2"/>
      <c r="B786" s="2"/>
      <c r="C786" s="2"/>
      <c r="D786" s="2"/>
      <c r="E786" s="2"/>
      <c r="F786" s="3"/>
      <c r="G786" s="4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</row>
    <row r="787">
      <c r="A787" s="2"/>
      <c r="B787" s="2"/>
      <c r="C787" s="2"/>
      <c r="D787" s="2"/>
      <c r="E787" s="2"/>
      <c r="F787" s="3"/>
      <c r="G787" s="4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</row>
    <row r="788">
      <c r="A788" s="2"/>
      <c r="B788" s="2"/>
      <c r="C788" s="2"/>
      <c r="D788" s="2"/>
      <c r="E788" s="2"/>
      <c r="F788" s="3"/>
      <c r="G788" s="4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</row>
    <row r="789">
      <c r="A789" s="2"/>
      <c r="B789" s="2"/>
      <c r="C789" s="2"/>
      <c r="D789" s="2"/>
      <c r="E789" s="2"/>
      <c r="F789" s="3"/>
      <c r="G789" s="4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</row>
    <row r="790">
      <c r="A790" s="2"/>
      <c r="B790" s="2"/>
      <c r="C790" s="2"/>
      <c r="D790" s="2"/>
      <c r="E790" s="2"/>
      <c r="F790" s="3"/>
      <c r="G790" s="4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</row>
    <row r="791">
      <c r="A791" s="2"/>
      <c r="B791" s="2"/>
      <c r="C791" s="2"/>
      <c r="D791" s="2"/>
      <c r="E791" s="2"/>
      <c r="F791" s="3"/>
      <c r="G791" s="4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</row>
    <row r="792">
      <c r="A792" s="2"/>
      <c r="B792" s="2"/>
      <c r="C792" s="2"/>
      <c r="D792" s="2"/>
      <c r="E792" s="2"/>
      <c r="F792" s="3"/>
      <c r="G792" s="4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</row>
    <row r="793">
      <c r="A793" s="2"/>
      <c r="B793" s="2"/>
      <c r="C793" s="2"/>
      <c r="D793" s="2"/>
      <c r="E793" s="2"/>
      <c r="F793" s="3"/>
      <c r="G793" s="4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</row>
    <row r="794">
      <c r="A794" s="2"/>
      <c r="B794" s="2"/>
      <c r="C794" s="2"/>
      <c r="D794" s="2"/>
      <c r="E794" s="2"/>
      <c r="F794" s="3"/>
      <c r="G794" s="4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</row>
    <row r="795">
      <c r="A795" s="2"/>
      <c r="B795" s="2"/>
      <c r="C795" s="2"/>
      <c r="D795" s="2"/>
      <c r="E795" s="2"/>
      <c r="F795" s="3"/>
      <c r="G795" s="4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</row>
    <row r="796">
      <c r="A796" s="2"/>
      <c r="B796" s="2"/>
      <c r="C796" s="2"/>
      <c r="D796" s="2"/>
      <c r="E796" s="2"/>
      <c r="F796" s="3"/>
      <c r="G796" s="4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</row>
    <row r="797">
      <c r="A797" s="2"/>
      <c r="B797" s="2"/>
      <c r="C797" s="2"/>
      <c r="D797" s="2"/>
      <c r="E797" s="2"/>
      <c r="F797" s="3"/>
      <c r="G797" s="4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</row>
    <row r="798">
      <c r="A798" s="2"/>
      <c r="B798" s="2"/>
      <c r="C798" s="2"/>
      <c r="D798" s="2"/>
      <c r="E798" s="2"/>
      <c r="F798" s="3"/>
      <c r="G798" s="4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</row>
    <row r="799">
      <c r="A799" s="2"/>
      <c r="B799" s="2"/>
      <c r="C799" s="2"/>
      <c r="D799" s="2"/>
      <c r="E799" s="2"/>
      <c r="F799" s="3"/>
      <c r="G799" s="4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</row>
    <row r="800">
      <c r="A800" s="2"/>
      <c r="B800" s="2"/>
      <c r="C800" s="2"/>
      <c r="D800" s="2"/>
      <c r="E800" s="2"/>
      <c r="F800" s="3"/>
      <c r="G800" s="4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</row>
    <row r="801">
      <c r="A801" s="2"/>
      <c r="B801" s="2"/>
      <c r="C801" s="2"/>
      <c r="D801" s="2"/>
      <c r="E801" s="2"/>
      <c r="F801" s="3"/>
      <c r="G801" s="4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</row>
    <row r="802">
      <c r="A802" s="2"/>
      <c r="B802" s="2"/>
      <c r="C802" s="2"/>
      <c r="D802" s="2"/>
      <c r="E802" s="2"/>
      <c r="F802" s="3"/>
      <c r="G802" s="4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</row>
    <row r="803">
      <c r="A803" s="2"/>
      <c r="B803" s="2"/>
      <c r="C803" s="2"/>
      <c r="D803" s="2"/>
      <c r="E803" s="2"/>
      <c r="F803" s="3"/>
      <c r="G803" s="4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</row>
    <row r="804">
      <c r="A804" s="2"/>
      <c r="B804" s="2"/>
      <c r="C804" s="2"/>
      <c r="D804" s="2"/>
      <c r="E804" s="2"/>
      <c r="F804" s="3"/>
      <c r="G804" s="4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</row>
    <row r="805">
      <c r="A805" s="2"/>
      <c r="B805" s="2"/>
      <c r="C805" s="2"/>
      <c r="D805" s="2"/>
      <c r="E805" s="2"/>
      <c r="F805" s="3"/>
      <c r="G805" s="4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</row>
    <row r="806">
      <c r="A806" s="2"/>
      <c r="B806" s="2"/>
      <c r="C806" s="2"/>
      <c r="D806" s="2"/>
      <c r="E806" s="2"/>
      <c r="F806" s="3"/>
      <c r="G806" s="4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</row>
    <row r="807">
      <c r="A807" s="2"/>
      <c r="B807" s="2"/>
      <c r="C807" s="2"/>
      <c r="D807" s="2"/>
      <c r="E807" s="2"/>
      <c r="F807" s="3"/>
      <c r="G807" s="4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</row>
    <row r="808">
      <c r="A808" s="2"/>
      <c r="B808" s="2"/>
      <c r="C808" s="2"/>
      <c r="D808" s="2"/>
      <c r="E808" s="2"/>
      <c r="F808" s="3"/>
      <c r="G808" s="4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</row>
    <row r="809">
      <c r="A809" s="2"/>
      <c r="B809" s="2"/>
      <c r="C809" s="2"/>
      <c r="D809" s="2"/>
      <c r="E809" s="2"/>
      <c r="F809" s="3"/>
      <c r="G809" s="4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</row>
    <row r="810">
      <c r="A810" s="2"/>
      <c r="B810" s="2"/>
      <c r="C810" s="2"/>
      <c r="D810" s="2"/>
      <c r="E810" s="2"/>
      <c r="F810" s="3"/>
      <c r="G810" s="4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</row>
    <row r="811">
      <c r="A811" s="2"/>
      <c r="B811" s="2"/>
      <c r="C811" s="2"/>
      <c r="D811" s="2"/>
      <c r="E811" s="2"/>
      <c r="F811" s="3"/>
      <c r="G811" s="4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</row>
    <row r="812">
      <c r="A812" s="2"/>
      <c r="B812" s="2"/>
      <c r="C812" s="2"/>
      <c r="D812" s="2"/>
      <c r="E812" s="2"/>
      <c r="F812" s="3"/>
      <c r="G812" s="4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</row>
    <row r="813">
      <c r="A813" s="2"/>
      <c r="B813" s="2"/>
      <c r="C813" s="2"/>
      <c r="D813" s="2"/>
      <c r="E813" s="2"/>
      <c r="F813" s="3"/>
      <c r="G813" s="4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</row>
    <row r="814">
      <c r="A814" s="2"/>
      <c r="B814" s="2"/>
      <c r="C814" s="2"/>
      <c r="D814" s="2"/>
      <c r="E814" s="2"/>
      <c r="F814" s="3"/>
      <c r="G814" s="4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</row>
    <row r="815">
      <c r="A815" s="2"/>
      <c r="B815" s="2"/>
      <c r="C815" s="2"/>
      <c r="D815" s="2"/>
      <c r="E815" s="2"/>
      <c r="F815" s="3"/>
      <c r="G815" s="4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</row>
    <row r="816">
      <c r="A816" s="2"/>
      <c r="B816" s="2"/>
      <c r="C816" s="2"/>
      <c r="D816" s="2"/>
      <c r="E816" s="2"/>
      <c r="F816" s="3"/>
      <c r="G816" s="4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</row>
    <row r="817">
      <c r="A817" s="2"/>
      <c r="B817" s="2"/>
      <c r="C817" s="2"/>
      <c r="D817" s="2"/>
      <c r="E817" s="2"/>
      <c r="F817" s="3"/>
      <c r="G817" s="4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</row>
    <row r="818">
      <c r="A818" s="2"/>
      <c r="B818" s="2"/>
      <c r="C818" s="2"/>
      <c r="D818" s="2"/>
      <c r="E818" s="2"/>
      <c r="F818" s="3"/>
      <c r="G818" s="4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</row>
    <row r="819">
      <c r="A819" s="2"/>
      <c r="B819" s="2"/>
      <c r="C819" s="2"/>
      <c r="D819" s="2"/>
      <c r="E819" s="2"/>
      <c r="F819" s="3"/>
      <c r="G819" s="4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</row>
    <row r="820">
      <c r="A820" s="2"/>
      <c r="B820" s="2"/>
      <c r="C820" s="2"/>
      <c r="D820" s="2"/>
      <c r="E820" s="2"/>
      <c r="F820" s="3"/>
      <c r="G820" s="4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</row>
    <row r="821">
      <c r="A821" s="2"/>
      <c r="B821" s="2"/>
      <c r="C821" s="2"/>
      <c r="D821" s="2"/>
      <c r="E821" s="2"/>
      <c r="F821" s="3"/>
      <c r="G821" s="4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</row>
    <row r="822">
      <c r="A822" s="2"/>
      <c r="B822" s="2"/>
      <c r="C822" s="2"/>
      <c r="D822" s="2"/>
      <c r="E822" s="2"/>
      <c r="F822" s="3"/>
      <c r="G822" s="4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</row>
    <row r="823">
      <c r="A823" s="2"/>
      <c r="B823" s="2"/>
      <c r="C823" s="2"/>
      <c r="D823" s="2"/>
      <c r="E823" s="2"/>
      <c r="F823" s="3"/>
      <c r="G823" s="4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</row>
    <row r="824">
      <c r="A824" s="2"/>
      <c r="B824" s="2"/>
      <c r="C824" s="2"/>
      <c r="D824" s="2"/>
      <c r="E824" s="2"/>
      <c r="F824" s="3"/>
      <c r="G824" s="4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</row>
    <row r="825">
      <c r="A825" s="2"/>
      <c r="B825" s="2"/>
      <c r="C825" s="2"/>
      <c r="D825" s="2"/>
      <c r="E825" s="2"/>
      <c r="F825" s="3"/>
      <c r="G825" s="4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</row>
    <row r="826">
      <c r="A826" s="2"/>
      <c r="B826" s="2"/>
      <c r="C826" s="2"/>
      <c r="D826" s="2"/>
      <c r="E826" s="2"/>
      <c r="F826" s="3"/>
      <c r="G826" s="4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</row>
    <row r="827">
      <c r="A827" s="2"/>
      <c r="B827" s="2"/>
      <c r="C827" s="2"/>
      <c r="D827" s="2"/>
      <c r="E827" s="2"/>
      <c r="F827" s="3"/>
      <c r="G827" s="4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</row>
    <row r="828">
      <c r="A828" s="2"/>
      <c r="B828" s="2"/>
      <c r="C828" s="2"/>
      <c r="D828" s="2"/>
      <c r="E828" s="2"/>
      <c r="F828" s="3"/>
      <c r="G828" s="4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</row>
    <row r="829">
      <c r="A829" s="2"/>
      <c r="B829" s="2"/>
      <c r="C829" s="2"/>
      <c r="D829" s="2"/>
      <c r="E829" s="2"/>
      <c r="F829" s="3"/>
      <c r="G829" s="4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</row>
    <row r="830">
      <c r="A830" s="2"/>
      <c r="B830" s="2"/>
      <c r="C830" s="2"/>
      <c r="D830" s="2"/>
      <c r="E830" s="2"/>
      <c r="F830" s="3"/>
      <c r="G830" s="4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</row>
    <row r="831">
      <c r="A831" s="2"/>
      <c r="B831" s="2"/>
      <c r="C831" s="2"/>
      <c r="D831" s="2"/>
      <c r="E831" s="2"/>
      <c r="F831" s="3"/>
      <c r="G831" s="4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</row>
    <row r="832">
      <c r="A832" s="2"/>
      <c r="B832" s="2"/>
      <c r="C832" s="2"/>
      <c r="D832" s="2"/>
      <c r="E832" s="2"/>
      <c r="F832" s="3"/>
      <c r="G832" s="4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</row>
    <row r="833">
      <c r="A833" s="2"/>
      <c r="B833" s="2"/>
      <c r="C833" s="2"/>
      <c r="D833" s="2"/>
      <c r="E833" s="2"/>
      <c r="F833" s="3"/>
      <c r="G833" s="4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</row>
    <row r="834">
      <c r="A834" s="2"/>
      <c r="B834" s="2"/>
      <c r="C834" s="2"/>
      <c r="D834" s="2"/>
      <c r="E834" s="2"/>
      <c r="F834" s="3"/>
      <c r="G834" s="4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</row>
    <row r="835">
      <c r="A835" s="2"/>
      <c r="B835" s="2"/>
      <c r="C835" s="2"/>
      <c r="D835" s="2"/>
      <c r="E835" s="2"/>
      <c r="F835" s="3"/>
      <c r="G835" s="4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</row>
    <row r="836">
      <c r="A836" s="2"/>
      <c r="B836" s="2"/>
      <c r="C836" s="2"/>
      <c r="D836" s="2"/>
      <c r="E836" s="2"/>
      <c r="F836" s="3"/>
      <c r="G836" s="4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</row>
    <row r="837">
      <c r="A837" s="2"/>
      <c r="B837" s="2"/>
      <c r="C837" s="2"/>
      <c r="D837" s="2"/>
      <c r="E837" s="2"/>
      <c r="F837" s="3"/>
      <c r="G837" s="4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</row>
    <row r="838">
      <c r="A838" s="2"/>
      <c r="B838" s="2"/>
      <c r="C838" s="2"/>
      <c r="D838" s="2"/>
      <c r="E838" s="2"/>
      <c r="F838" s="3"/>
      <c r="G838" s="4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</row>
    <row r="839">
      <c r="A839" s="2"/>
      <c r="B839" s="2"/>
      <c r="C839" s="2"/>
      <c r="D839" s="2"/>
      <c r="E839" s="2"/>
      <c r="F839" s="3"/>
      <c r="G839" s="4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</row>
    <row r="840">
      <c r="A840" s="2"/>
      <c r="B840" s="2"/>
      <c r="C840" s="2"/>
      <c r="D840" s="2"/>
      <c r="E840" s="2"/>
      <c r="F840" s="3"/>
      <c r="G840" s="4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</row>
    <row r="841">
      <c r="A841" s="2"/>
      <c r="B841" s="2"/>
      <c r="C841" s="2"/>
      <c r="D841" s="2"/>
      <c r="E841" s="2"/>
      <c r="F841" s="3"/>
      <c r="G841" s="4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</row>
    <row r="842">
      <c r="A842" s="2"/>
      <c r="B842" s="2"/>
      <c r="C842" s="2"/>
      <c r="D842" s="2"/>
      <c r="E842" s="2"/>
      <c r="F842" s="3"/>
      <c r="G842" s="4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</row>
    <row r="843">
      <c r="A843" s="2"/>
      <c r="B843" s="2"/>
      <c r="C843" s="2"/>
      <c r="D843" s="2"/>
      <c r="E843" s="2"/>
      <c r="F843" s="3"/>
      <c r="G843" s="4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</row>
    <row r="844">
      <c r="A844" s="2"/>
      <c r="B844" s="2"/>
      <c r="C844" s="2"/>
      <c r="D844" s="2"/>
      <c r="E844" s="2"/>
      <c r="F844" s="3"/>
      <c r="G844" s="4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</row>
    <row r="845">
      <c r="A845" s="2"/>
      <c r="B845" s="2"/>
      <c r="C845" s="2"/>
      <c r="D845" s="2"/>
      <c r="E845" s="2"/>
      <c r="F845" s="3"/>
      <c r="G845" s="4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</row>
    <row r="846">
      <c r="A846" s="2"/>
      <c r="B846" s="2"/>
      <c r="C846" s="2"/>
      <c r="D846" s="2"/>
      <c r="E846" s="2"/>
      <c r="F846" s="3"/>
      <c r="G846" s="4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</row>
    <row r="847">
      <c r="A847" s="2"/>
      <c r="B847" s="2"/>
      <c r="C847" s="2"/>
      <c r="D847" s="2"/>
      <c r="E847" s="2"/>
      <c r="F847" s="3"/>
      <c r="G847" s="4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</row>
    <row r="848">
      <c r="A848" s="2"/>
      <c r="B848" s="2"/>
      <c r="C848" s="2"/>
      <c r="D848" s="2"/>
      <c r="E848" s="2"/>
      <c r="F848" s="3"/>
      <c r="G848" s="4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</row>
    <row r="849">
      <c r="A849" s="2"/>
      <c r="B849" s="2"/>
      <c r="C849" s="2"/>
      <c r="D849" s="2"/>
      <c r="E849" s="2"/>
      <c r="F849" s="3"/>
      <c r="G849" s="4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</row>
    <row r="850">
      <c r="A850" s="2"/>
      <c r="B850" s="2"/>
      <c r="C850" s="2"/>
      <c r="D850" s="2"/>
      <c r="E850" s="2"/>
      <c r="F850" s="3"/>
      <c r="G850" s="4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</row>
    <row r="851">
      <c r="A851" s="2"/>
      <c r="B851" s="2"/>
      <c r="C851" s="2"/>
      <c r="D851" s="2"/>
      <c r="E851" s="2"/>
      <c r="F851" s="3"/>
      <c r="G851" s="4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</row>
    <row r="852">
      <c r="A852" s="2"/>
      <c r="B852" s="2"/>
      <c r="C852" s="2"/>
      <c r="D852" s="2"/>
      <c r="E852" s="2"/>
      <c r="F852" s="3"/>
      <c r="G852" s="4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</row>
    <row r="853">
      <c r="A853" s="2"/>
      <c r="B853" s="2"/>
      <c r="C853" s="2"/>
      <c r="D853" s="2"/>
      <c r="E853" s="2"/>
      <c r="F853" s="3"/>
      <c r="G853" s="4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</row>
    <row r="854">
      <c r="A854" s="2"/>
      <c r="B854" s="2"/>
      <c r="C854" s="2"/>
      <c r="D854" s="2"/>
      <c r="E854" s="2"/>
      <c r="F854" s="3"/>
      <c r="G854" s="4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</row>
    <row r="855">
      <c r="A855" s="2"/>
      <c r="B855" s="2"/>
      <c r="C855" s="2"/>
      <c r="D855" s="2"/>
      <c r="E855" s="2"/>
      <c r="F855" s="3"/>
      <c r="G855" s="4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</row>
    <row r="856">
      <c r="A856" s="2"/>
      <c r="B856" s="2"/>
      <c r="C856" s="2"/>
      <c r="D856" s="2"/>
      <c r="E856" s="2"/>
      <c r="F856" s="3"/>
      <c r="G856" s="4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</row>
    <row r="857">
      <c r="A857" s="2"/>
      <c r="B857" s="2"/>
      <c r="C857" s="2"/>
      <c r="D857" s="2"/>
      <c r="E857" s="2"/>
      <c r="F857" s="3"/>
      <c r="G857" s="4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</row>
    <row r="858">
      <c r="A858" s="2"/>
      <c r="B858" s="2"/>
      <c r="C858" s="2"/>
      <c r="D858" s="2"/>
      <c r="E858" s="2"/>
      <c r="F858" s="3"/>
      <c r="G858" s="4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</row>
    <row r="859">
      <c r="A859" s="2"/>
      <c r="B859" s="2"/>
      <c r="C859" s="2"/>
      <c r="D859" s="2"/>
      <c r="E859" s="2"/>
      <c r="F859" s="3"/>
      <c r="G859" s="4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</row>
    <row r="860">
      <c r="A860" s="2"/>
      <c r="B860" s="2"/>
      <c r="C860" s="2"/>
      <c r="D860" s="2"/>
      <c r="E860" s="2"/>
      <c r="F860" s="3"/>
      <c r="G860" s="4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</row>
    <row r="861">
      <c r="A861" s="2"/>
      <c r="B861" s="2"/>
      <c r="C861" s="2"/>
      <c r="D861" s="2"/>
      <c r="E861" s="2"/>
      <c r="F861" s="3"/>
      <c r="G861" s="4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</row>
    <row r="862">
      <c r="A862" s="2"/>
      <c r="B862" s="2"/>
      <c r="C862" s="2"/>
      <c r="D862" s="2"/>
      <c r="E862" s="2"/>
      <c r="F862" s="3"/>
      <c r="G862" s="4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</row>
    <row r="863">
      <c r="A863" s="2"/>
      <c r="B863" s="2"/>
      <c r="C863" s="2"/>
      <c r="D863" s="2"/>
      <c r="E863" s="2"/>
      <c r="F863" s="3"/>
      <c r="G863" s="4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</row>
    <row r="864">
      <c r="A864" s="2"/>
      <c r="B864" s="2"/>
      <c r="C864" s="2"/>
      <c r="D864" s="2"/>
      <c r="E864" s="2"/>
      <c r="F864" s="3"/>
      <c r="G864" s="4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</row>
    <row r="865">
      <c r="A865" s="2"/>
      <c r="B865" s="2"/>
      <c r="C865" s="2"/>
      <c r="D865" s="2"/>
      <c r="E865" s="2"/>
      <c r="F865" s="3"/>
      <c r="G865" s="4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</row>
    <row r="866">
      <c r="A866" s="2"/>
      <c r="B866" s="2"/>
      <c r="C866" s="2"/>
      <c r="D866" s="2"/>
      <c r="E866" s="2"/>
      <c r="F866" s="3"/>
      <c r="G866" s="4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</row>
    <row r="867">
      <c r="A867" s="2"/>
      <c r="B867" s="2"/>
      <c r="C867" s="2"/>
      <c r="D867" s="2"/>
      <c r="E867" s="2"/>
      <c r="F867" s="3"/>
      <c r="G867" s="4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</row>
    <row r="868">
      <c r="A868" s="2"/>
      <c r="B868" s="2"/>
      <c r="C868" s="2"/>
      <c r="D868" s="2"/>
      <c r="E868" s="2"/>
      <c r="F868" s="3"/>
      <c r="G868" s="4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</row>
    <row r="869">
      <c r="A869" s="2"/>
      <c r="B869" s="2"/>
      <c r="C869" s="2"/>
      <c r="D869" s="2"/>
      <c r="E869" s="2"/>
      <c r="F869" s="3"/>
      <c r="G869" s="4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</row>
    <row r="870">
      <c r="A870" s="2"/>
      <c r="B870" s="2"/>
      <c r="C870" s="2"/>
      <c r="D870" s="2"/>
      <c r="E870" s="2"/>
      <c r="F870" s="3"/>
      <c r="G870" s="4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</row>
    <row r="871">
      <c r="A871" s="2"/>
      <c r="B871" s="2"/>
      <c r="C871" s="2"/>
      <c r="D871" s="2"/>
      <c r="E871" s="2"/>
      <c r="F871" s="3"/>
      <c r="G871" s="4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</row>
    <row r="872">
      <c r="A872" s="2"/>
      <c r="B872" s="2"/>
      <c r="C872" s="2"/>
      <c r="D872" s="2"/>
      <c r="E872" s="2"/>
      <c r="F872" s="3"/>
      <c r="G872" s="4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</row>
    <row r="873">
      <c r="A873" s="2"/>
      <c r="B873" s="2"/>
      <c r="C873" s="2"/>
      <c r="D873" s="2"/>
      <c r="E873" s="2"/>
      <c r="F873" s="3"/>
      <c r="G873" s="4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</row>
    <row r="874">
      <c r="A874" s="2"/>
      <c r="B874" s="2"/>
      <c r="C874" s="2"/>
      <c r="D874" s="2"/>
      <c r="E874" s="2"/>
      <c r="F874" s="3"/>
      <c r="G874" s="4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</row>
    <row r="875">
      <c r="A875" s="2"/>
      <c r="B875" s="2"/>
      <c r="C875" s="2"/>
      <c r="D875" s="2"/>
      <c r="E875" s="2"/>
      <c r="F875" s="3"/>
      <c r="G875" s="4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</row>
    <row r="876">
      <c r="A876" s="2"/>
      <c r="B876" s="2"/>
      <c r="C876" s="2"/>
      <c r="D876" s="2"/>
      <c r="E876" s="2"/>
      <c r="F876" s="3"/>
      <c r="G876" s="4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</row>
    <row r="877">
      <c r="A877" s="2"/>
      <c r="B877" s="2"/>
      <c r="C877" s="2"/>
      <c r="D877" s="2"/>
      <c r="E877" s="2"/>
      <c r="F877" s="3"/>
      <c r="G877" s="4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</row>
    <row r="878">
      <c r="A878" s="2"/>
      <c r="B878" s="2"/>
      <c r="C878" s="2"/>
      <c r="D878" s="2"/>
      <c r="E878" s="2"/>
      <c r="F878" s="3"/>
      <c r="G878" s="4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</row>
    <row r="879">
      <c r="A879" s="2"/>
      <c r="B879" s="2"/>
      <c r="C879" s="2"/>
      <c r="D879" s="2"/>
      <c r="E879" s="2"/>
      <c r="F879" s="3"/>
      <c r="G879" s="4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</row>
    <row r="880">
      <c r="A880" s="2"/>
      <c r="B880" s="2"/>
      <c r="C880" s="2"/>
      <c r="D880" s="2"/>
      <c r="E880" s="2"/>
      <c r="F880" s="3"/>
      <c r="G880" s="4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</row>
    <row r="881">
      <c r="A881" s="2"/>
      <c r="B881" s="2"/>
      <c r="C881" s="2"/>
      <c r="D881" s="2"/>
      <c r="E881" s="2"/>
      <c r="F881" s="3"/>
      <c r="G881" s="4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</row>
    <row r="882">
      <c r="A882" s="2"/>
      <c r="B882" s="2"/>
      <c r="C882" s="2"/>
      <c r="D882" s="2"/>
      <c r="E882" s="2"/>
      <c r="F882" s="3"/>
      <c r="G882" s="4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</row>
    <row r="883">
      <c r="A883" s="2"/>
      <c r="B883" s="2"/>
      <c r="C883" s="2"/>
      <c r="D883" s="2"/>
      <c r="E883" s="2"/>
      <c r="F883" s="3"/>
      <c r="G883" s="4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</row>
    <row r="884">
      <c r="A884" s="2"/>
      <c r="B884" s="2"/>
      <c r="C884" s="2"/>
      <c r="D884" s="2"/>
      <c r="E884" s="2"/>
      <c r="F884" s="3"/>
      <c r="G884" s="4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</row>
    <row r="885">
      <c r="A885" s="2"/>
      <c r="B885" s="2"/>
      <c r="C885" s="2"/>
      <c r="D885" s="2"/>
      <c r="E885" s="2"/>
      <c r="F885" s="3"/>
      <c r="G885" s="4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</row>
    <row r="886">
      <c r="A886" s="2"/>
      <c r="B886" s="2"/>
      <c r="C886" s="2"/>
      <c r="D886" s="2"/>
      <c r="E886" s="2"/>
      <c r="F886" s="3"/>
      <c r="G886" s="4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</row>
    <row r="887">
      <c r="A887" s="2"/>
      <c r="B887" s="2"/>
      <c r="C887" s="2"/>
      <c r="D887" s="2"/>
      <c r="E887" s="2"/>
      <c r="F887" s="3"/>
      <c r="G887" s="4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</row>
    <row r="888">
      <c r="A888" s="2"/>
      <c r="B888" s="2"/>
      <c r="C888" s="2"/>
      <c r="D888" s="2"/>
      <c r="E888" s="2"/>
      <c r="F888" s="3"/>
      <c r="G888" s="4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</row>
    <row r="889">
      <c r="A889" s="2"/>
      <c r="B889" s="2"/>
      <c r="C889" s="2"/>
      <c r="D889" s="2"/>
      <c r="E889" s="2"/>
      <c r="F889" s="3"/>
      <c r="G889" s="4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</row>
    <row r="890">
      <c r="A890" s="2"/>
      <c r="B890" s="2"/>
      <c r="C890" s="2"/>
      <c r="D890" s="2"/>
      <c r="E890" s="2"/>
      <c r="F890" s="3"/>
      <c r="G890" s="4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</row>
    <row r="891">
      <c r="A891" s="2"/>
      <c r="B891" s="2"/>
      <c r="C891" s="2"/>
      <c r="D891" s="2"/>
      <c r="E891" s="2"/>
      <c r="F891" s="3"/>
      <c r="G891" s="4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</row>
    <row r="892">
      <c r="A892" s="2"/>
      <c r="B892" s="2"/>
      <c r="C892" s="2"/>
      <c r="D892" s="2"/>
      <c r="E892" s="2"/>
      <c r="F892" s="3"/>
      <c r="G892" s="4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</row>
    <row r="893">
      <c r="A893" s="2"/>
      <c r="B893" s="2"/>
      <c r="C893" s="2"/>
      <c r="D893" s="2"/>
      <c r="E893" s="2"/>
      <c r="F893" s="3"/>
      <c r="G893" s="4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</row>
    <row r="894">
      <c r="A894" s="2"/>
      <c r="B894" s="2"/>
      <c r="C894" s="2"/>
      <c r="D894" s="2"/>
      <c r="E894" s="2"/>
      <c r="F894" s="3"/>
      <c r="G894" s="4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</row>
    <row r="895">
      <c r="A895" s="2"/>
      <c r="B895" s="2"/>
      <c r="C895" s="2"/>
      <c r="D895" s="2"/>
      <c r="E895" s="2"/>
      <c r="F895" s="3"/>
      <c r="G895" s="4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</row>
    <row r="896">
      <c r="A896" s="2"/>
      <c r="B896" s="2"/>
      <c r="C896" s="2"/>
      <c r="D896" s="2"/>
      <c r="E896" s="2"/>
      <c r="F896" s="3"/>
      <c r="G896" s="4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</row>
    <row r="897">
      <c r="A897" s="2"/>
      <c r="B897" s="2"/>
      <c r="C897" s="2"/>
      <c r="D897" s="2"/>
      <c r="E897" s="2"/>
      <c r="F897" s="3"/>
      <c r="G897" s="4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</row>
    <row r="898">
      <c r="A898" s="2"/>
      <c r="B898" s="2"/>
      <c r="C898" s="2"/>
      <c r="D898" s="2"/>
      <c r="E898" s="2"/>
      <c r="F898" s="3"/>
      <c r="G898" s="4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</row>
    <row r="899">
      <c r="A899" s="2"/>
      <c r="B899" s="2"/>
      <c r="C899" s="2"/>
      <c r="D899" s="2"/>
      <c r="E899" s="2"/>
      <c r="F899" s="3"/>
      <c r="G899" s="4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</row>
    <row r="900">
      <c r="A900" s="2"/>
      <c r="B900" s="2"/>
      <c r="C900" s="2"/>
      <c r="D900" s="2"/>
      <c r="E900" s="2"/>
      <c r="F900" s="3"/>
      <c r="G900" s="4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</row>
    <row r="901">
      <c r="A901" s="2"/>
      <c r="B901" s="2"/>
      <c r="C901" s="2"/>
      <c r="D901" s="2"/>
      <c r="E901" s="2"/>
      <c r="F901" s="3"/>
      <c r="G901" s="4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</row>
    <row r="902">
      <c r="A902" s="2"/>
      <c r="B902" s="2"/>
      <c r="C902" s="2"/>
      <c r="D902" s="2"/>
      <c r="E902" s="2"/>
      <c r="F902" s="3"/>
      <c r="G902" s="4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</row>
    <row r="903">
      <c r="A903" s="2"/>
      <c r="B903" s="2"/>
      <c r="C903" s="2"/>
      <c r="D903" s="2"/>
      <c r="E903" s="2"/>
      <c r="F903" s="3"/>
      <c r="G903" s="4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</row>
    <row r="904">
      <c r="A904" s="2"/>
      <c r="B904" s="2"/>
      <c r="C904" s="2"/>
      <c r="D904" s="2"/>
      <c r="E904" s="2"/>
      <c r="F904" s="3"/>
      <c r="G904" s="4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</row>
    <row r="905">
      <c r="A905" s="2"/>
      <c r="B905" s="2"/>
      <c r="C905" s="2"/>
      <c r="D905" s="2"/>
      <c r="E905" s="2"/>
      <c r="F905" s="3"/>
      <c r="G905" s="4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</row>
    <row r="906">
      <c r="A906" s="2"/>
      <c r="B906" s="2"/>
      <c r="C906" s="2"/>
      <c r="D906" s="2"/>
      <c r="E906" s="2"/>
      <c r="F906" s="3"/>
      <c r="G906" s="4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</row>
    <row r="907">
      <c r="A907" s="2"/>
      <c r="B907" s="2"/>
      <c r="C907" s="2"/>
      <c r="D907" s="2"/>
      <c r="E907" s="2"/>
      <c r="F907" s="3"/>
      <c r="G907" s="4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</row>
    <row r="908">
      <c r="A908" s="2"/>
      <c r="B908" s="2"/>
      <c r="C908" s="2"/>
      <c r="D908" s="2"/>
      <c r="E908" s="2"/>
      <c r="F908" s="3"/>
      <c r="G908" s="4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</row>
    <row r="909">
      <c r="A909" s="2"/>
      <c r="B909" s="2"/>
      <c r="C909" s="2"/>
      <c r="D909" s="2"/>
      <c r="E909" s="2"/>
      <c r="F909" s="3"/>
      <c r="G909" s="4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</row>
    <row r="910">
      <c r="A910" s="2"/>
      <c r="B910" s="2"/>
      <c r="C910" s="2"/>
      <c r="D910" s="2"/>
      <c r="E910" s="2"/>
      <c r="F910" s="3"/>
      <c r="G910" s="4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</row>
    <row r="911">
      <c r="A911" s="2"/>
      <c r="B911" s="2"/>
      <c r="C911" s="2"/>
      <c r="D911" s="2"/>
      <c r="E911" s="2"/>
      <c r="F911" s="3"/>
      <c r="G911" s="4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</row>
    <row r="912">
      <c r="A912" s="2"/>
      <c r="B912" s="2"/>
      <c r="C912" s="2"/>
      <c r="D912" s="2"/>
      <c r="E912" s="2"/>
      <c r="F912" s="3"/>
      <c r="G912" s="4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</row>
    <row r="913">
      <c r="A913" s="2"/>
      <c r="B913" s="2"/>
      <c r="C913" s="2"/>
      <c r="D913" s="2"/>
      <c r="E913" s="2"/>
      <c r="F913" s="3"/>
      <c r="G913" s="4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</row>
    <row r="914">
      <c r="A914" s="2"/>
      <c r="B914" s="2"/>
      <c r="C914" s="2"/>
      <c r="D914" s="2"/>
      <c r="E914" s="2"/>
      <c r="F914" s="3"/>
      <c r="G914" s="4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</row>
    <row r="915">
      <c r="A915" s="2"/>
      <c r="B915" s="2"/>
      <c r="C915" s="2"/>
      <c r="D915" s="2"/>
      <c r="E915" s="2"/>
      <c r="F915" s="3"/>
      <c r="G915" s="4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</row>
    <row r="916">
      <c r="A916" s="2"/>
      <c r="B916" s="2"/>
      <c r="C916" s="2"/>
      <c r="D916" s="2"/>
      <c r="E916" s="2"/>
      <c r="F916" s="3"/>
      <c r="G916" s="4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</row>
    <row r="917">
      <c r="A917" s="2"/>
      <c r="B917" s="2"/>
      <c r="C917" s="2"/>
      <c r="D917" s="2"/>
      <c r="E917" s="2"/>
      <c r="F917" s="3"/>
      <c r="G917" s="4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</row>
    <row r="918">
      <c r="A918" s="2"/>
      <c r="B918" s="2"/>
      <c r="C918" s="2"/>
      <c r="D918" s="2"/>
      <c r="E918" s="2"/>
      <c r="F918" s="3"/>
      <c r="G918" s="4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</row>
    <row r="919">
      <c r="A919" s="2"/>
      <c r="B919" s="2"/>
      <c r="C919" s="2"/>
      <c r="D919" s="2"/>
      <c r="E919" s="2"/>
      <c r="F919" s="3"/>
      <c r="G919" s="4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</row>
    <row r="920">
      <c r="A920" s="2"/>
      <c r="B920" s="2"/>
      <c r="C920" s="2"/>
      <c r="D920" s="2"/>
      <c r="E920" s="2"/>
      <c r="F920" s="3"/>
      <c r="G920" s="4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</row>
    <row r="921">
      <c r="A921" s="2"/>
      <c r="B921" s="2"/>
      <c r="C921" s="2"/>
      <c r="D921" s="2"/>
      <c r="E921" s="2"/>
      <c r="F921" s="3"/>
      <c r="G921" s="4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</row>
    <row r="922">
      <c r="A922" s="2"/>
      <c r="B922" s="2"/>
      <c r="C922" s="2"/>
      <c r="D922" s="2"/>
      <c r="E922" s="2"/>
      <c r="F922" s="3"/>
      <c r="G922" s="4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</row>
    <row r="923">
      <c r="A923" s="2"/>
      <c r="B923" s="2"/>
      <c r="C923" s="2"/>
      <c r="D923" s="2"/>
      <c r="E923" s="2"/>
      <c r="F923" s="3"/>
      <c r="G923" s="4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</row>
    <row r="924">
      <c r="A924" s="2"/>
      <c r="B924" s="2"/>
      <c r="C924" s="2"/>
      <c r="D924" s="2"/>
      <c r="E924" s="2"/>
      <c r="F924" s="3"/>
      <c r="G924" s="4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</row>
    <row r="925">
      <c r="A925" s="2"/>
      <c r="B925" s="2"/>
      <c r="C925" s="2"/>
      <c r="D925" s="2"/>
      <c r="E925" s="2"/>
      <c r="F925" s="3"/>
      <c r="G925" s="4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</row>
    <row r="926">
      <c r="A926" s="2"/>
      <c r="B926" s="2"/>
      <c r="C926" s="2"/>
      <c r="D926" s="2"/>
      <c r="E926" s="2"/>
      <c r="F926" s="3"/>
      <c r="G926" s="4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</row>
    <row r="927">
      <c r="A927" s="2"/>
      <c r="B927" s="2"/>
      <c r="C927" s="2"/>
      <c r="D927" s="2"/>
      <c r="E927" s="2"/>
      <c r="F927" s="3"/>
      <c r="G927" s="4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</row>
    <row r="928">
      <c r="A928" s="2"/>
      <c r="B928" s="2"/>
      <c r="C928" s="2"/>
      <c r="D928" s="2"/>
      <c r="E928" s="2"/>
      <c r="F928" s="3"/>
      <c r="G928" s="4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</row>
    <row r="929">
      <c r="A929" s="2"/>
      <c r="B929" s="2"/>
      <c r="C929" s="2"/>
      <c r="D929" s="2"/>
      <c r="E929" s="2"/>
      <c r="F929" s="3"/>
      <c r="G929" s="4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</row>
    <row r="930">
      <c r="A930" s="2"/>
      <c r="B930" s="2"/>
      <c r="C930" s="2"/>
      <c r="D930" s="2"/>
      <c r="E930" s="2"/>
      <c r="F930" s="3"/>
      <c r="G930" s="4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</row>
    <row r="931">
      <c r="A931" s="2"/>
      <c r="B931" s="2"/>
      <c r="C931" s="2"/>
      <c r="D931" s="2"/>
      <c r="E931" s="2"/>
      <c r="F931" s="3"/>
      <c r="G931" s="4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</row>
    <row r="932">
      <c r="A932" s="2"/>
      <c r="B932" s="2"/>
      <c r="C932" s="2"/>
      <c r="D932" s="2"/>
      <c r="E932" s="2"/>
      <c r="F932" s="3"/>
      <c r="G932" s="4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</row>
    <row r="933">
      <c r="A933" s="2"/>
      <c r="B933" s="2"/>
      <c r="C933" s="2"/>
      <c r="D933" s="2"/>
      <c r="E933" s="2"/>
      <c r="F933" s="3"/>
      <c r="G933" s="4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</row>
    <row r="934">
      <c r="A934" s="2"/>
      <c r="B934" s="2"/>
      <c r="C934" s="2"/>
      <c r="D934" s="2"/>
      <c r="E934" s="2"/>
      <c r="F934" s="3"/>
      <c r="G934" s="4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</row>
    <row r="935">
      <c r="A935" s="2"/>
      <c r="B935" s="2"/>
      <c r="C935" s="2"/>
      <c r="D935" s="2"/>
      <c r="E935" s="2"/>
      <c r="F935" s="3"/>
      <c r="G935" s="4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</row>
    <row r="936">
      <c r="A936" s="2"/>
      <c r="B936" s="2"/>
      <c r="C936" s="2"/>
      <c r="D936" s="2"/>
      <c r="E936" s="2"/>
      <c r="F936" s="3"/>
      <c r="G936" s="4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</row>
    <row r="937">
      <c r="A937" s="2"/>
      <c r="B937" s="2"/>
      <c r="C937" s="2"/>
      <c r="D937" s="2"/>
      <c r="E937" s="2"/>
      <c r="F937" s="3"/>
      <c r="G937" s="4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</row>
    <row r="938">
      <c r="A938" s="2"/>
      <c r="B938" s="2"/>
      <c r="C938" s="2"/>
      <c r="D938" s="2"/>
      <c r="E938" s="2"/>
      <c r="F938" s="3"/>
      <c r="G938" s="4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</row>
    <row r="939">
      <c r="A939" s="2"/>
      <c r="B939" s="2"/>
      <c r="C939" s="2"/>
      <c r="D939" s="2"/>
      <c r="E939" s="2"/>
      <c r="F939" s="3"/>
      <c r="G939" s="4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</row>
    <row r="940">
      <c r="A940" s="2"/>
      <c r="B940" s="2"/>
      <c r="C940" s="2"/>
      <c r="D940" s="2"/>
      <c r="E940" s="2"/>
      <c r="F940" s="3"/>
      <c r="G940" s="4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</row>
    <row r="941">
      <c r="A941" s="2"/>
      <c r="B941" s="2"/>
      <c r="C941" s="2"/>
      <c r="D941" s="2"/>
      <c r="E941" s="2"/>
      <c r="F941" s="3"/>
      <c r="G941" s="4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</row>
    <row r="942">
      <c r="A942" s="2"/>
      <c r="B942" s="2"/>
      <c r="C942" s="2"/>
      <c r="D942" s="2"/>
      <c r="E942" s="2"/>
      <c r="F942" s="3"/>
      <c r="G942" s="4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</row>
    <row r="943">
      <c r="A943" s="2"/>
      <c r="B943" s="2"/>
      <c r="C943" s="2"/>
      <c r="D943" s="2"/>
      <c r="E943" s="2"/>
      <c r="F943" s="3"/>
      <c r="G943" s="4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</row>
    <row r="944">
      <c r="A944" s="2"/>
      <c r="B944" s="2"/>
      <c r="C944" s="2"/>
      <c r="D944" s="2"/>
      <c r="E944" s="2"/>
      <c r="F944" s="3"/>
      <c r="G944" s="4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</row>
    <row r="945">
      <c r="A945" s="2"/>
      <c r="B945" s="2"/>
      <c r="C945" s="2"/>
      <c r="D945" s="2"/>
      <c r="E945" s="2"/>
      <c r="F945" s="3"/>
      <c r="G945" s="4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</row>
    <row r="946">
      <c r="A946" s="2"/>
      <c r="B946" s="2"/>
      <c r="C946" s="2"/>
      <c r="D946" s="2"/>
      <c r="E946" s="2"/>
      <c r="F946" s="3"/>
      <c r="G946" s="4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</row>
    <row r="947">
      <c r="A947" s="2"/>
      <c r="B947" s="2"/>
      <c r="C947" s="2"/>
      <c r="D947" s="2"/>
      <c r="E947" s="2"/>
      <c r="F947" s="3"/>
      <c r="G947" s="4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</row>
    <row r="948">
      <c r="A948" s="2"/>
      <c r="B948" s="2"/>
      <c r="C948" s="2"/>
      <c r="D948" s="2"/>
      <c r="E948" s="2"/>
      <c r="F948" s="3"/>
      <c r="G948" s="4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</row>
    <row r="949">
      <c r="A949" s="2"/>
      <c r="B949" s="2"/>
      <c r="C949" s="2"/>
      <c r="D949" s="2"/>
      <c r="E949" s="2"/>
      <c r="F949" s="3"/>
      <c r="G949" s="4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</row>
    <row r="950">
      <c r="A950" s="2"/>
      <c r="B950" s="2"/>
      <c r="C950" s="2"/>
      <c r="D950" s="2"/>
      <c r="E950" s="2"/>
      <c r="F950" s="3"/>
      <c r="G950" s="4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</row>
    <row r="951">
      <c r="A951" s="2"/>
      <c r="B951" s="2"/>
      <c r="C951" s="2"/>
      <c r="D951" s="2"/>
      <c r="E951" s="2"/>
      <c r="F951" s="3"/>
      <c r="G951" s="4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</row>
    <row r="952">
      <c r="A952" s="2"/>
      <c r="B952" s="2"/>
      <c r="C952" s="2"/>
      <c r="D952" s="2"/>
      <c r="E952" s="2"/>
      <c r="F952" s="3"/>
      <c r="G952" s="4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</row>
    <row r="953">
      <c r="A953" s="2"/>
      <c r="B953" s="2"/>
      <c r="C953" s="2"/>
      <c r="D953" s="2"/>
      <c r="E953" s="2"/>
      <c r="F953" s="3"/>
      <c r="G953" s="4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</row>
    <row r="954">
      <c r="A954" s="2"/>
      <c r="B954" s="2"/>
      <c r="C954" s="2"/>
      <c r="D954" s="2"/>
      <c r="E954" s="2"/>
      <c r="F954" s="3"/>
      <c r="G954" s="4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</row>
    <row r="955">
      <c r="A955" s="2"/>
      <c r="B955" s="2"/>
      <c r="C955" s="2"/>
      <c r="D955" s="2"/>
      <c r="E955" s="2"/>
      <c r="F955" s="3"/>
      <c r="G955" s="4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</row>
    <row r="956">
      <c r="A956" s="2"/>
      <c r="B956" s="2"/>
      <c r="C956" s="2"/>
      <c r="D956" s="2"/>
      <c r="E956" s="2"/>
      <c r="F956" s="3"/>
      <c r="G956" s="4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</row>
    <row r="957">
      <c r="A957" s="2"/>
      <c r="B957" s="2"/>
      <c r="C957" s="2"/>
      <c r="D957" s="2"/>
      <c r="E957" s="2"/>
      <c r="F957" s="3"/>
      <c r="G957" s="4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</row>
    <row r="958">
      <c r="A958" s="2"/>
      <c r="B958" s="2"/>
      <c r="C958" s="2"/>
      <c r="D958" s="2"/>
      <c r="E958" s="2"/>
      <c r="F958" s="3"/>
      <c r="G958" s="4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</row>
    <row r="959">
      <c r="A959" s="2"/>
      <c r="B959" s="2"/>
      <c r="C959" s="2"/>
      <c r="D959" s="2"/>
      <c r="E959" s="2"/>
      <c r="F959" s="3"/>
      <c r="G959" s="4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</row>
    <row r="960">
      <c r="A960" s="2"/>
      <c r="B960" s="2"/>
      <c r="C960" s="2"/>
      <c r="D960" s="2"/>
      <c r="E960" s="2"/>
      <c r="F960" s="3"/>
      <c r="G960" s="4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</row>
    <row r="961">
      <c r="A961" s="2"/>
      <c r="B961" s="2"/>
      <c r="C961" s="2"/>
      <c r="D961" s="2"/>
      <c r="E961" s="2"/>
      <c r="F961" s="3"/>
      <c r="G961" s="4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</row>
    <row r="962">
      <c r="A962" s="2"/>
      <c r="B962" s="2"/>
      <c r="C962" s="2"/>
      <c r="D962" s="2"/>
      <c r="E962" s="2"/>
      <c r="F962" s="3"/>
      <c r="G962" s="4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</row>
    <row r="963">
      <c r="A963" s="2"/>
      <c r="B963" s="2"/>
      <c r="C963" s="2"/>
      <c r="D963" s="2"/>
      <c r="E963" s="2"/>
      <c r="F963" s="3"/>
      <c r="G963" s="4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</row>
    <row r="964">
      <c r="A964" s="2"/>
      <c r="B964" s="2"/>
      <c r="C964" s="2"/>
      <c r="D964" s="2"/>
      <c r="E964" s="2"/>
      <c r="F964" s="3"/>
      <c r="G964" s="4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</row>
    <row r="965">
      <c r="A965" s="2"/>
      <c r="B965" s="2"/>
      <c r="C965" s="2"/>
      <c r="D965" s="2"/>
      <c r="E965" s="2"/>
      <c r="F965" s="3"/>
      <c r="G965" s="4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</row>
    <row r="966">
      <c r="A966" s="2"/>
      <c r="B966" s="2"/>
      <c r="C966" s="2"/>
      <c r="D966" s="2"/>
      <c r="E966" s="2"/>
      <c r="F966" s="3"/>
      <c r="G966" s="4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</row>
    <row r="967">
      <c r="A967" s="2"/>
      <c r="B967" s="2"/>
      <c r="C967" s="2"/>
      <c r="D967" s="2"/>
      <c r="E967" s="2"/>
      <c r="F967" s="3"/>
      <c r="G967" s="4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</row>
    <row r="968">
      <c r="A968" s="2"/>
      <c r="B968" s="2"/>
      <c r="C968" s="2"/>
      <c r="D968" s="2"/>
      <c r="E968" s="2"/>
      <c r="F968" s="3"/>
      <c r="G968" s="4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</row>
    <row r="969">
      <c r="A969" s="2"/>
      <c r="B969" s="2"/>
      <c r="C969" s="2"/>
      <c r="D969" s="2"/>
      <c r="E969" s="2"/>
      <c r="F969" s="3"/>
      <c r="G969" s="4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</row>
    <row r="970">
      <c r="A970" s="2"/>
      <c r="B970" s="2"/>
      <c r="C970" s="2"/>
      <c r="D970" s="2"/>
      <c r="E970" s="2"/>
      <c r="F970" s="3"/>
      <c r="G970" s="4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</row>
    <row r="971">
      <c r="A971" s="2"/>
      <c r="B971" s="2"/>
      <c r="C971" s="2"/>
      <c r="D971" s="2"/>
      <c r="E971" s="2"/>
      <c r="F971" s="3"/>
      <c r="G971" s="4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</row>
    <row r="972">
      <c r="A972" s="2"/>
      <c r="B972" s="2"/>
      <c r="C972" s="2"/>
      <c r="D972" s="2"/>
      <c r="E972" s="2"/>
      <c r="F972" s="3"/>
      <c r="G972" s="4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</row>
    <row r="973">
      <c r="A973" s="2"/>
      <c r="B973" s="2"/>
      <c r="C973" s="2"/>
      <c r="D973" s="2"/>
      <c r="E973" s="2"/>
      <c r="F973" s="3"/>
      <c r="G973" s="4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</row>
    <row r="974">
      <c r="A974" s="2"/>
      <c r="B974" s="2"/>
      <c r="C974" s="2"/>
      <c r="D974" s="2"/>
      <c r="E974" s="2"/>
      <c r="F974" s="3"/>
      <c r="G974" s="4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</row>
    <row r="975">
      <c r="A975" s="2"/>
      <c r="B975" s="2"/>
      <c r="C975" s="2"/>
      <c r="D975" s="2"/>
      <c r="E975" s="2"/>
      <c r="F975" s="3"/>
      <c r="G975" s="4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</row>
    <row r="976">
      <c r="A976" s="2"/>
      <c r="B976" s="2"/>
      <c r="C976" s="2"/>
      <c r="D976" s="2"/>
      <c r="E976" s="2"/>
      <c r="F976" s="3"/>
      <c r="G976" s="4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</row>
    <row r="977">
      <c r="A977" s="2"/>
      <c r="B977" s="2"/>
      <c r="C977" s="2"/>
      <c r="D977" s="2"/>
      <c r="E977" s="2"/>
      <c r="F977" s="3"/>
      <c r="G977" s="4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</row>
    <row r="978">
      <c r="A978" s="2"/>
      <c r="B978" s="2"/>
      <c r="C978" s="2"/>
      <c r="D978" s="2"/>
      <c r="E978" s="2"/>
      <c r="F978" s="3"/>
      <c r="G978" s="4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</row>
    <row r="979">
      <c r="A979" s="2"/>
      <c r="B979" s="2"/>
      <c r="C979" s="2"/>
      <c r="D979" s="2"/>
      <c r="E979" s="2"/>
      <c r="F979" s="3"/>
      <c r="G979" s="4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</row>
    <row r="980">
      <c r="A980" s="2"/>
      <c r="B980" s="2"/>
      <c r="C980" s="2"/>
      <c r="D980" s="2"/>
      <c r="E980" s="2"/>
      <c r="F980" s="3"/>
      <c r="G980" s="4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</row>
    <row r="981">
      <c r="A981" s="2"/>
      <c r="B981" s="2"/>
      <c r="C981" s="2"/>
      <c r="D981" s="2"/>
      <c r="E981" s="2"/>
      <c r="F981" s="3"/>
      <c r="G981" s="4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</row>
    <row r="982">
      <c r="A982" s="2"/>
      <c r="B982" s="2"/>
      <c r="C982" s="2"/>
      <c r="D982" s="2"/>
      <c r="E982" s="2"/>
      <c r="F982" s="3"/>
      <c r="G982" s="4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</row>
    <row r="983">
      <c r="A983" s="2"/>
      <c r="B983" s="2"/>
      <c r="C983" s="2"/>
      <c r="D983" s="2"/>
      <c r="E983" s="2"/>
      <c r="F983" s="3"/>
      <c r="G983" s="4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</row>
    <row r="984">
      <c r="A984" s="2"/>
      <c r="B984" s="2"/>
      <c r="C984" s="2"/>
      <c r="D984" s="2"/>
      <c r="E984" s="2"/>
      <c r="F984" s="3"/>
      <c r="G984" s="4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</row>
    <row r="985">
      <c r="A985" s="2"/>
      <c r="B985" s="2"/>
      <c r="C985" s="2"/>
      <c r="D985" s="2"/>
      <c r="E985" s="2"/>
      <c r="F985" s="3"/>
      <c r="G985" s="4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</row>
    <row r="986">
      <c r="A986" s="2"/>
      <c r="B986" s="2"/>
      <c r="C986" s="2"/>
      <c r="D986" s="2"/>
      <c r="E986" s="2"/>
      <c r="F986" s="3"/>
      <c r="G986" s="4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</row>
    <row r="987">
      <c r="A987" s="2"/>
      <c r="B987" s="2"/>
      <c r="C987" s="2"/>
      <c r="D987" s="2"/>
      <c r="E987" s="2"/>
      <c r="F987" s="3"/>
      <c r="G987" s="4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</row>
    <row r="988">
      <c r="A988" s="2"/>
      <c r="B988" s="2"/>
      <c r="C988" s="2"/>
      <c r="D988" s="2"/>
      <c r="E988" s="2"/>
      <c r="F988" s="3"/>
      <c r="G988" s="4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</row>
    <row r="989">
      <c r="A989" s="2"/>
      <c r="B989" s="2"/>
      <c r="C989" s="2"/>
      <c r="D989" s="2"/>
      <c r="E989" s="2"/>
      <c r="F989" s="3"/>
      <c r="G989" s="4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</row>
    <row r="990">
      <c r="A990" s="2"/>
      <c r="B990" s="2"/>
      <c r="C990" s="2"/>
      <c r="D990" s="2"/>
      <c r="E990" s="2"/>
      <c r="F990" s="3"/>
      <c r="G990" s="4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</row>
    <row r="991">
      <c r="A991" s="2"/>
      <c r="B991" s="2"/>
      <c r="C991" s="2"/>
      <c r="D991" s="2"/>
      <c r="E991" s="2"/>
      <c r="F991" s="3"/>
      <c r="G991" s="4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</row>
    <row r="992">
      <c r="A992" s="2"/>
      <c r="B992" s="2"/>
      <c r="C992" s="2"/>
      <c r="D992" s="2"/>
      <c r="E992" s="2"/>
      <c r="F992" s="3"/>
      <c r="G992" s="4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</row>
    <row r="993">
      <c r="A993" s="2"/>
      <c r="B993" s="2"/>
      <c r="C993" s="2"/>
      <c r="D993" s="2"/>
      <c r="E993" s="2"/>
      <c r="F993" s="3"/>
      <c r="G993" s="4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</row>
    <row r="994">
      <c r="A994" s="2"/>
      <c r="B994" s="2"/>
      <c r="C994" s="2"/>
      <c r="D994" s="2"/>
      <c r="E994" s="2"/>
      <c r="F994" s="3"/>
      <c r="G994" s="4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</row>
    <row r="995">
      <c r="A995" s="2"/>
      <c r="B995" s="2"/>
      <c r="C995" s="2"/>
      <c r="D995" s="2"/>
      <c r="E995" s="2"/>
      <c r="F995" s="3"/>
      <c r="G995" s="4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</row>
    <row r="996">
      <c r="A996" s="2"/>
      <c r="B996" s="2"/>
      <c r="C996" s="2"/>
      <c r="D996" s="2"/>
      <c r="E996" s="2"/>
      <c r="F996" s="3"/>
      <c r="G996" s="4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</row>
    <row r="997">
      <c r="A997" s="2"/>
      <c r="B997" s="2"/>
      <c r="C997" s="2"/>
      <c r="D997" s="2"/>
      <c r="E997" s="2"/>
      <c r="F997" s="3"/>
      <c r="G997" s="4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</row>
    <row r="998">
      <c r="A998" s="2"/>
      <c r="B998" s="2"/>
      <c r="C998" s="2"/>
      <c r="D998" s="2"/>
      <c r="E998" s="2"/>
      <c r="F998" s="3"/>
      <c r="G998" s="4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</row>
    <row r="999">
      <c r="A999" s="2"/>
      <c r="B999" s="2"/>
      <c r="C999" s="2"/>
      <c r="D999" s="2"/>
      <c r="E999" s="2"/>
      <c r="F999" s="3"/>
      <c r="G999" s="4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</row>
    <row r="1000">
      <c r="A1000" s="2"/>
      <c r="B1000" s="2"/>
      <c r="C1000" s="2"/>
      <c r="D1000" s="2"/>
      <c r="E1000" s="2"/>
      <c r="F1000" s="3"/>
      <c r="G1000" s="4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</row>
    <row r="1001">
      <c r="A1001" s="2"/>
      <c r="B1001" s="2"/>
      <c r="C1001" s="2"/>
      <c r="D1001" s="2"/>
      <c r="E1001" s="2"/>
      <c r="F1001" s="3"/>
      <c r="G1001" s="4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</row>
    <row r="1002">
      <c r="A1002" s="2"/>
      <c r="B1002" s="2"/>
      <c r="C1002" s="2"/>
      <c r="D1002" s="2"/>
      <c r="E1002" s="2"/>
      <c r="F1002" s="3"/>
      <c r="G1002" s="4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</row>
    <row r="1003">
      <c r="A1003" s="2"/>
      <c r="B1003" s="2"/>
      <c r="C1003" s="2"/>
      <c r="D1003" s="2"/>
      <c r="E1003" s="2"/>
      <c r="F1003" s="3"/>
      <c r="G1003" s="4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</row>
    <row r="1004">
      <c r="A1004" s="2"/>
      <c r="B1004" s="2"/>
      <c r="C1004" s="2"/>
      <c r="D1004" s="2"/>
      <c r="E1004" s="2"/>
      <c r="F1004" s="3"/>
      <c r="G1004" s="4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</row>
    <row r="1005">
      <c r="A1005" s="2"/>
      <c r="B1005" s="2"/>
      <c r="C1005" s="2"/>
      <c r="D1005" s="2"/>
      <c r="E1005" s="2"/>
      <c r="F1005" s="3"/>
      <c r="G1005" s="4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</row>
    <row r="1006">
      <c r="A1006" s="2"/>
      <c r="B1006" s="2"/>
      <c r="C1006" s="2"/>
      <c r="D1006" s="2"/>
      <c r="E1006" s="2"/>
      <c r="F1006" s="3"/>
      <c r="G1006" s="4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</row>
    <row r="1007">
      <c r="A1007" s="2"/>
      <c r="B1007" s="2"/>
      <c r="C1007" s="2"/>
      <c r="D1007" s="2"/>
      <c r="E1007" s="2"/>
      <c r="F1007" s="3"/>
      <c r="G1007" s="4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</row>
    <row r="1008">
      <c r="A1008" s="2"/>
      <c r="B1008" s="2"/>
      <c r="C1008" s="2"/>
      <c r="D1008" s="2"/>
      <c r="E1008" s="2"/>
      <c r="F1008" s="3"/>
      <c r="G1008" s="4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</row>
    <row r="1009">
      <c r="A1009" s="2"/>
      <c r="B1009" s="2"/>
      <c r="C1009" s="2"/>
      <c r="D1009" s="2"/>
      <c r="E1009" s="2"/>
      <c r="F1009" s="3"/>
      <c r="G1009" s="4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</row>
    <row r="1010">
      <c r="A1010" s="2"/>
      <c r="B1010" s="2"/>
      <c r="C1010" s="2"/>
      <c r="D1010" s="2"/>
      <c r="E1010" s="2"/>
      <c r="F1010" s="3"/>
      <c r="G1010" s="4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</row>
    <row r="1011">
      <c r="A1011" s="2"/>
      <c r="B1011" s="2"/>
      <c r="C1011" s="2"/>
      <c r="D1011" s="2"/>
      <c r="E1011" s="2"/>
      <c r="F1011" s="3"/>
      <c r="G1011" s="4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</row>
    <row r="1012">
      <c r="A1012" s="2"/>
      <c r="B1012" s="2"/>
      <c r="C1012" s="2"/>
      <c r="D1012" s="2"/>
      <c r="E1012" s="2"/>
      <c r="F1012" s="3"/>
      <c r="G1012" s="4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</row>
    <row r="1013">
      <c r="A1013" s="2"/>
      <c r="B1013" s="2"/>
      <c r="C1013" s="2"/>
      <c r="D1013" s="2"/>
      <c r="E1013" s="2"/>
      <c r="F1013" s="3"/>
      <c r="G1013" s="4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</row>
    <row r="1014">
      <c r="A1014" s="2"/>
      <c r="B1014" s="2"/>
      <c r="C1014" s="2"/>
      <c r="D1014" s="2"/>
      <c r="E1014" s="2"/>
      <c r="F1014" s="3"/>
      <c r="G1014" s="4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</row>
    <row r="1015">
      <c r="A1015" s="2"/>
      <c r="B1015" s="2"/>
      <c r="C1015" s="2"/>
      <c r="D1015" s="2"/>
      <c r="E1015" s="2"/>
      <c r="F1015" s="3"/>
      <c r="G1015" s="4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</row>
  </sheetData>
  <mergeCells count="1">
    <mergeCell ref="D2:E2"/>
  </mergeCells>
  <dataValidations>
    <dataValidation type="list" allowBlank="1" showErrorMessage="1" sqref="C4:C54">
      <formula1>"All,Electricity,Natural Gas,Fuel Oil,Other Fuel,All Fossil"</formula1>
    </dataValidation>
    <dataValidation type="list" allowBlank="1" showErrorMessage="1" sqref="B4:B54">
      <formula1>"All,Commercial,Residential"</formula1>
    </dataValidation>
    <dataValidation type="list" allowBlank="1" showErrorMessage="1" sqref="D4:E53 D54">
      <formula1>"AIA CZ,IECC CZ,ASHRAE CZ,Census Division,State,EMM,Balancing Area,Building America CZ"</formula1>
    </dataValidation>
    <dataValidation type="list" allowBlank="1" showErrorMessage="1" sqref="E54">
      <formula1>"AIA CZ,IECC CZ,ASHRAE CZ,Census Division,State,EMM,Balancing Area,Building America CZ,Whole US"</formula1>
    </dataValidation>
  </dataValidations>
  <hyperlinks>
    <hyperlink r:id="rId2" ref="F7"/>
    <hyperlink r:id="rId3" ref="F8"/>
    <hyperlink r:id="rId4" ref="F9"/>
    <hyperlink r:id="rId5" ref="F10"/>
  </hyperlinks>
  <drawing r:id="rId6"/>
  <legacyDrawing r:id="rId7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6.0"/>
    <col customWidth="1" min="2" max="4" width="12.63"/>
    <col customWidth="1" min="5" max="5" width="14.0"/>
    <col customWidth="1" min="7" max="7" width="12.63"/>
    <col customWidth="1" min="9" max="9" width="12.63"/>
    <col customWidth="1" min="11" max="11" width="12.63"/>
    <col customWidth="1" min="14" max="14" width="17.38"/>
  </cols>
  <sheetData>
    <row r="1" ht="15.75" customHeight="1">
      <c r="A1" s="27" t="s">
        <v>86</v>
      </c>
      <c r="B1" s="27" t="s">
        <v>87</v>
      </c>
      <c r="C1" s="28" t="s">
        <v>88</v>
      </c>
      <c r="D1" s="27" t="s">
        <v>89</v>
      </c>
      <c r="E1" s="29" t="s">
        <v>90</v>
      </c>
      <c r="F1" s="27" t="s">
        <v>91</v>
      </c>
      <c r="G1" s="27" t="s">
        <v>92</v>
      </c>
      <c r="H1" s="27" t="s">
        <v>93</v>
      </c>
      <c r="I1" s="27" t="s">
        <v>94</v>
      </c>
      <c r="J1" s="28" t="s">
        <v>95</v>
      </c>
      <c r="K1" s="30" t="s">
        <v>96</v>
      </c>
      <c r="L1" s="30" t="s">
        <v>97</v>
      </c>
      <c r="M1" s="30" t="s">
        <v>98</v>
      </c>
      <c r="N1" s="31" t="s">
        <v>99</v>
      </c>
      <c r="O1" s="27"/>
      <c r="P1" s="27"/>
    </row>
    <row r="2" ht="15.75" customHeight="1">
      <c r="A2" s="32" t="s">
        <v>100</v>
      </c>
      <c r="B2" s="32" t="s">
        <v>101</v>
      </c>
      <c r="C2" s="32" t="str">
        <f>vlookup(B2,State_EMM_RowSums!$A$2:$B$52,2,FALSE)</f>
        <v>AL</v>
      </c>
      <c r="D2" s="32">
        <v>1001.0</v>
      </c>
      <c r="E2" s="33">
        <f>IF(NOT(ISBLANK(vlookup($D2,Pop_Census_2023!$A$2:$E$3220,4,FALSE))),vlookup($D2,Pop_Census_2023!$A$2:$E$3220,4,FALSE), vlookup($D2,Pop_Census_2023!$A$2:$E$3220,5,FALSE))</f>
        <v>60342</v>
      </c>
      <c r="F2" s="32">
        <v>161526.0</v>
      </c>
      <c r="G2" s="32">
        <v>90.0</v>
      </c>
      <c r="H2" s="32" t="str">
        <f>VLOOKUP(D2, Grid_Region_Mapping!$D$2:$F$5286, 3, FALSE)</f>
        <v>SRSE</v>
      </c>
      <c r="I2" s="32">
        <v>6.0</v>
      </c>
      <c r="J2" s="34" t="str">
        <f t="shared" ref="J2:J3143" si="1">if(OR(I2=1,I2=2), "Northeast", if(OR(I2=3,I2=4), "Midwest", if(OR(I2=5,I2=6, I2=7), "South", IF(OR(I2=8,I2=9), "West", "NONE"))))</f>
        <v>South</v>
      </c>
      <c r="K2" s="35">
        <v>5.0</v>
      </c>
      <c r="L2" s="35" t="s">
        <v>102</v>
      </c>
      <c r="M2" s="36">
        <f>VLOOKUP(D2, County_Data_CZones!$B$2:$F$3236, 2, FALSE)</f>
        <v>3</v>
      </c>
      <c r="N2" s="37" t="str">
        <f>VLOOKUP(D2, County_Data_CZones!$B$2:$F$3236, 5, FALSE)</f>
        <v>Hot-Humid</v>
      </c>
    </row>
    <row r="3" ht="15.75" customHeight="1">
      <c r="A3" s="32" t="s">
        <v>103</v>
      </c>
      <c r="B3" s="32" t="s">
        <v>101</v>
      </c>
      <c r="C3" s="32" t="str">
        <f>vlookup(B3,State_EMM_RowSums!$A$2:$B$52,2,FALSE)</f>
        <v>AL</v>
      </c>
      <c r="D3" s="32">
        <v>1003.0</v>
      </c>
      <c r="E3" s="33">
        <f>IF(NOT(ISBLANK(vlookup($D3,Pop_Census_2023!$A$2:$E$3220,4,FALSE))),vlookup($D3,Pop_Census_2023!$A$2:$E$3220,4,FALSE), vlookup($D3,Pop_Census_2023!$A$2:$E$3220,5,FALSE))</f>
        <v>253507</v>
      </c>
      <c r="F3" s="32">
        <v>161527.0</v>
      </c>
      <c r="G3" s="32">
        <v>90.0</v>
      </c>
      <c r="H3" s="32" t="str">
        <f>VLOOKUP(D3, Grid_Region_Mapping!$D$2:$F$5286, 3, FALSE)</f>
        <v>SRSE</v>
      </c>
      <c r="I3" s="32">
        <v>6.0</v>
      </c>
      <c r="J3" s="34" t="str">
        <f t="shared" si="1"/>
        <v>South</v>
      </c>
      <c r="K3" s="35">
        <v>5.0</v>
      </c>
      <c r="L3" s="35" t="s">
        <v>104</v>
      </c>
      <c r="M3" s="36">
        <f>VLOOKUP(D3, County_Data_CZones!$B$2:$F$3236, 2, FALSE)</f>
        <v>2</v>
      </c>
      <c r="N3" s="37" t="str">
        <f>VLOOKUP(D3, County_Data_CZones!$B$2:$F$3236, 5, FALSE)</f>
        <v>Hot-Humid</v>
      </c>
    </row>
    <row r="4" ht="15.75" customHeight="1">
      <c r="A4" s="32" t="s">
        <v>105</v>
      </c>
      <c r="B4" s="32" t="s">
        <v>101</v>
      </c>
      <c r="C4" s="32" t="str">
        <f>vlookup(B4,State_EMM_RowSums!$A$2:$B$52,2,FALSE)</f>
        <v>AL</v>
      </c>
      <c r="D4" s="32">
        <v>1005.0</v>
      </c>
      <c r="E4" s="33">
        <f>IF(NOT(ISBLANK(vlookup($D4,Pop_Census_2023!$A$2:$E$3220,4,FALSE))),vlookup($D4,Pop_Census_2023!$A$2:$E$3220,4,FALSE), vlookup($D4,Pop_Census_2023!$A$2:$E$3220,5,FALSE))</f>
        <v>24585</v>
      </c>
      <c r="F4" s="32">
        <v>161528.0</v>
      </c>
      <c r="G4" s="32">
        <v>90.0</v>
      </c>
      <c r="H4" s="32" t="str">
        <f>VLOOKUP(D4, Grid_Region_Mapping!$D$2:$F$5286, 3, FALSE)</f>
        <v>SRSE</v>
      </c>
      <c r="I4" s="32">
        <v>6.0</v>
      </c>
      <c r="J4" s="34" t="str">
        <f t="shared" si="1"/>
        <v>South</v>
      </c>
      <c r="K4" s="35">
        <v>5.0</v>
      </c>
      <c r="L4" s="35" t="s">
        <v>102</v>
      </c>
      <c r="M4" s="36">
        <f>VLOOKUP(D4, County_Data_CZones!$B$2:$F$3236, 2, FALSE)</f>
        <v>3</v>
      </c>
      <c r="N4" s="37" t="str">
        <f>VLOOKUP(D4, County_Data_CZones!$B$2:$F$3236, 5, FALSE)</f>
        <v>Hot-Humid</v>
      </c>
    </row>
    <row r="5" ht="15.75" customHeight="1">
      <c r="A5" s="32" t="s">
        <v>106</v>
      </c>
      <c r="B5" s="32" t="s">
        <v>101</v>
      </c>
      <c r="C5" s="32" t="str">
        <f>vlookup(B5,State_EMM_RowSums!$A$2:$B$52,2,FALSE)</f>
        <v>AL</v>
      </c>
      <c r="D5" s="32">
        <v>1007.0</v>
      </c>
      <c r="E5" s="33">
        <f>IF(NOT(ISBLANK(vlookup($D5,Pop_Census_2023!$A$2:$E$3220,4,FALSE))),vlookup($D5,Pop_Census_2023!$A$2:$E$3220,4,FALSE), vlookup($D5,Pop_Census_2023!$A$2:$E$3220,5,FALSE))</f>
        <v>21868</v>
      </c>
      <c r="F5" s="32">
        <v>161529.0</v>
      </c>
      <c r="G5" s="32">
        <v>89.0</v>
      </c>
      <c r="H5" s="32" t="str">
        <f>VLOOKUP(D5, Grid_Region_Mapping!$D$2:$F$5286, 3, FALSE)</f>
        <v>SRSE</v>
      </c>
      <c r="I5" s="32">
        <v>6.0</v>
      </c>
      <c r="J5" s="34" t="str">
        <f t="shared" si="1"/>
        <v>South</v>
      </c>
      <c r="K5" s="35">
        <v>4.0</v>
      </c>
      <c r="L5" s="35" t="s">
        <v>102</v>
      </c>
      <c r="M5" s="36">
        <f>VLOOKUP(D5, County_Data_CZones!$B$2:$F$3236, 2, FALSE)</f>
        <v>3</v>
      </c>
      <c r="N5" s="37" t="str">
        <f>VLOOKUP(D5, County_Data_CZones!$B$2:$F$3236, 5, FALSE)</f>
        <v>Mixed-Humid</v>
      </c>
    </row>
    <row r="6" ht="15.75" customHeight="1">
      <c r="A6" s="32" t="s">
        <v>107</v>
      </c>
      <c r="B6" s="32" t="s">
        <v>101</v>
      </c>
      <c r="C6" s="32" t="str">
        <f>vlookup(B6,State_EMM_RowSums!$A$2:$B$52,2,FALSE)</f>
        <v>AL</v>
      </c>
      <c r="D6" s="32">
        <v>1009.0</v>
      </c>
      <c r="E6" s="33">
        <f>IF(NOT(ISBLANK(vlookup($D6,Pop_Census_2023!$A$2:$E$3220,4,FALSE))),vlookup($D6,Pop_Census_2023!$A$2:$E$3220,4,FALSE), vlookup($D6,Pop_Census_2023!$A$2:$E$3220,5,FALSE))</f>
        <v>59816</v>
      </c>
      <c r="F6" s="32">
        <v>161530.0</v>
      </c>
      <c r="G6" s="32">
        <v>90.0</v>
      </c>
      <c r="H6" s="32" t="str">
        <f>VLOOKUP(D6, Grid_Region_Mapping!$D$2:$F$5286, 3, FALSE)</f>
        <v>SRSE</v>
      </c>
      <c r="I6" s="32">
        <v>6.0</v>
      </c>
      <c r="J6" s="34" t="str">
        <f t="shared" si="1"/>
        <v>South</v>
      </c>
      <c r="K6" s="35">
        <v>4.0</v>
      </c>
      <c r="L6" s="35" t="s">
        <v>102</v>
      </c>
      <c r="M6" s="36">
        <f>VLOOKUP(D6, County_Data_CZones!$B$2:$F$3236, 2, FALSE)</f>
        <v>3</v>
      </c>
      <c r="N6" s="37" t="str">
        <f>VLOOKUP(D6, County_Data_CZones!$B$2:$F$3236, 5, FALSE)</f>
        <v>Mixed-Humid</v>
      </c>
    </row>
    <row r="7" ht="15.75" customHeight="1">
      <c r="A7" s="32" t="s">
        <v>108</v>
      </c>
      <c r="B7" s="32" t="s">
        <v>101</v>
      </c>
      <c r="C7" s="32" t="str">
        <f>vlookup(B7,State_EMM_RowSums!$A$2:$B$52,2,FALSE)</f>
        <v>AL</v>
      </c>
      <c r="D7" s="32">
        <v>1011.0</v>
      </c>
      <c r="E7" s="33">
        <f>IF(NOT(ISBLANK(vlookup($D7,Pop_Census_2023!$A$2:$E$3220,4,FALSE))),vlookup($D7,Pop_Census_2023!$A$2:$E$3220,4,FALSE), vlookup($D7,Pop_Census_2023!$A$2:$E$3220,5,FALSE))</f>
        <v>9897</v>
      </c>
      <c r="F7" s="32">
        <v>161531.0</v>
      </c>
      <c r="G7" s="32">
        <v>90.0</v>
      </c>
      <c r="H7" s="32" t="str">
        <f>VLOOKUP(D7, Grid_Region_Mapping!$D$2:$F$5286, 3, FALSE)</f>
        <v>SRSE</v>
      </c>
      <c r="I7" s="32">
        <v>6.0</v>
      </c>
      <c r="J7" s="34" t="str">
        <f t="shared" si="1"/>
        <v>South</v>
      </c>
      <c r="K7" s="35">
        <v>5.0</v>
      </c>
      <c r="L7" s="35" t="s">
        <v>102</v>
      </c>
      <c r="M7" s="36">
        <f>VLOOKUP(D7, County_Data_CZones!$B$2:$F$3236, 2, FALSE)</f>
        <v>3</v>
      </c>
      <c r="N7" s="37" t="str">
        <f>VLOOKUP(D7, County_Data_CZones!$B$2:$F$3236, 5, FALSE)</f>
        <v>Hot-Humid</v>
      </c>
    </row>
    <row r="8" ht="15.75" customHeight="1">
      <c r="A8" s="32" t="s">
        <v>109</v>
      </c>
      <c r="B8" s="32" t="s">
        <v>101</v>
      </c>
      <c r="C8" s="32" t="str">
        <f>vlookup(B8,State_EMM_RowSums!$A$2:$B$52,2,FALSE)</f>
        <v>AL</v>
      </c>
      <c r="D8" s="32">
        <v>1013.0</v>
      </c>
      <c r="E8" s="33">
        <f>IF(NOT(ISBLANK(vlookup($D8,Pop_Census_2023!$A$2:$E$3220,4,FALSE))),vlookup($D8,Pop_Census_2023!$A$2:$E$3220,4,FALSE), vlookup($D8,Pop_Census_2023!$A$2:$E$3220,5,FALSE))</f>
        <v>18382</v>
      </c>
      <c r="F8" s="32">
        <v>161532.0</v>
      </c>
      <c r="G8" s="32">
        <v>90.0</v>
      </c>
      <c r="H8" s="32" t="str">
        <f>VLOOKUP(D8, Grid_Region_Mapping!$D$2:$F$5286, 3, FALSE)</f>
        <v>SRSE</v>
      </c>
      <c r="I8" s="32">
        <v>6.0</v>
      </c>
      <c r="J8" s="34" t="str">
        <f t="shared" si="1"/>
        <v>South</v>
      </c>
      <c r="K8" s="35">
        <v>5.0</v>
      </c>
      <c r="L8" s="35" t="s">
        <v>102</v>
      </c>
      <c r="M8" s="36">
        <f>VLOOKUP(D8, County_Data_CZones!$B$2:$F$3236, 2, FALSE)</f>
        <v>3</v>
      </c>
      <c r="N8" s="37" t="str">
        <f>VLOOKUP(D8, County_Data_CZones!$B$2:$F$3236, 5, FALSE)</f>
        <v>Hot-Humid</v>
      </c>
    </row>
    <row r="9" ht="15.75" customHeight="1">
      <c r="A9" s="32" t="s">
        <v>110</v>
      </c>
      <c r="B9" s="32" t="s">
        <v>101</v>
      </c>
      <c r="C9" s="32" t="str">
        <f>vlookup(B9,State_EMM_RowSums!$A$2:$B$52,2,FALSE)</f>
        <v>AL</v>
      </c>
      <c r="D9" s="32">
        <v>1015.0</v>
      </c>
      <c r="E9" s="33">
        <f>IF(NOT(ISBLANK(vlookup($D9,Pop_Census_2023!$A$2:$E$3220,4,FALSE))),vlookup($D9,Pop_Census_2023!$A$2:$E$3220,4,FALSE), vlookup($D9,Pop_Census_2023!$A$2:$E$3220,5,FALSE))</f>
        <v>116429</v>
      </c>
      <c r="F9" s="32">
        <v>161533.0</v>
      </c>
      <c r="G9" s="32">
        <v>90.0</v>
      </c>
      <c r="H9" s="32" t="str">
        <f>VLOOKUP(D9, Grid_Region_Mapping!$D$2:$F$5286, 3, FALSE)</f>
        <v>SRSE</v>
      </c>
      <c r="I9" s="32">
        <v>6.0</v>
      </c>
      <c r="J9" s="34" t="str">
        <f t="shared" si="1"/>
        <v>South</v>
      </c>
      <c r="K9" s="35">
        <v>4.0</v>
      </c>
      <c r="L9" s="35" t="s">
        <v>102</v>
      </c>
      <c r="M9" s="36">
        <f>VLOOKUP(D9, County_Data_CZones!$B$2:$F$3236, 2, FALSE)</f>
        <v>3</v>
      </c>
      <c r="N9" s="37" t="str">
        <f>VLOOKUP(D9, County_Data_CZones!$B$2:$F$3236, 5, FALSE)</f>
        <v>Mixed-Humid</v>
      </c>
    </row>
    <row r="10" ht="15.75" customHeight="1">
      <c r="A10" s="32" t="s">
        <v>111</v>
      </c>
      <c r="B10" s="32" t="s">
        <v>101</v>
      </c>
      <c r="C10" s="32" t="str">
        <f>vlookup(B10,State_EMM_RowSums!$A$2:$B$52,2,FALSE)</f>
        <v>AL</v>
      </c>
      <c r="D10" s="32">
        <v>1017.0</v>
      </c>
      <c r="E10" s="33">
        <f>IF(NOT(ISBLANK(vlookup($D10,Pop_Census_2023!$A$2:$E$3220,4,FALSE))),vlookup($D10,Pop_Census_2023!$A$2:$E$3220,4,FALSE), vlookup($D10,Pop_Census_2023!$A$2:$E$3220,5,FALSE))</f>
        <v>34079</v>
      </c>
      <c r="F10" s="32">
        <v>161534.0</v>
      </c>
      <c r="G10" s="32">
        <v>90.0</v>
      </c>
      <c r="H10" s="32" t="str">
        <f>VLOOKUP(D10, Grid_Region_Mapping!$D$2:$F$5286, 3, FALSE)</f>
        <v>SRSE</v>
      </c>
      <c r="I10" s="32">
        <v>6.0</v>
      </c>
      <c r="J10" s="34" t="str">
        <f t="shared" si="1"/>
        <v>South</v>
      </c>
      <c r="K10" s="35">
        <v>4.0</v>
      </c>
      <c r="L10" s="35" t="s">
        <v>102</v>
      </c>
      <c r="M10" s="36">
        <f>VLOOKUP(D10, County_Data_CZones!$B$2:$F$3236, 2, FALSE)</f>
        <v>3</v>
      </c>
      <c r="N10" s="37" t="str">
        <f>VLOOKUP(D10, County_Data_CZones!$B$2:$F$3236, 5, FALSE)</f>
        <v>Mixed-Humid</v>
      </c>
    </row>
    <row r="11" ht="15.75" customHeight="1">
      <c r="A11" s="32" t="s">
        <v>112</v>
      </c>
      <c r="B11" s="32" t="s">
        <v>101</v>
      </c>
      <c r="C11" s="32" t="str">
        <f>vlookup(B11,State_EMM_RowSums!$A$2:$B$52,2,FALSE)</f>
        <v>AL</v>
      </c>
      <c r="D11" s="32">
        <v>1019.0</v>
      </c>
      <c r="E11" s="33">
        <f>IF(NOT(ISBLANK(vlookup($D11,Pop_Census_2023!$A$2:$E$3220,4,FALSE))),vlookup($D11,Pop_Census_2023!$A$2:$E$3220,4,FALSE), vlookup($D11,Pop_Census_2023!$A$2:$E$3220,5,FALSE))</f>
        <v>25666</v>
      </c>
      <c r="F11" s="32">
        <v>161535.0</v>
      </c>
      <c r="G11" s="32">
        <v>90.0</v>
      </c>
      <c r="H11" s="32" t="str">
        <f>VLOOKUP(D11, Grid_Region_Mapping!$D$2:$F$5286, 3, FALSE)</f>
        <v>SRSE</v>
      </c>
      <c r="I11" s="32">
        <v>6.0</v>
      </c>
      <c r="J11" s="34" t="str">
        <f t="shared" si="1"/>
        <v>South</v>
      </c>
      <c r="K11" s="35">
        <v>4.0</v>
      </c>
      <c r="L11" s="35" t="s">
        <v>102</v>
      </c>
      <c r="M11" s="36">
        <f>VLOOKUP(D11, County_Data_CZones!$B$2:$F$3236, 2, FALSE)</f>
        <v>3</v>
      </c>
      <c r="N11" s="37" t="str">
        <f>VLOOKUP(D11, County_Data_CZones!$B$2:$F$3236, 5, FALSE)</f>
        <v>Mixed-Humid</v>
      </c>
    </row>
    <row r="12" ht="15.75" customHeight="1">
      <c r="A12" s="32" t="s">
        <v>113</v>
      </c>
      <c r="B12" s="32" t="s">
        <v>101</v>
      </c>
      <c r="C12" s="32" t="str">
        <f>vlookup(B12,State_EMM_RowSums!$A$2:$B$52,2,FALSE)</f>
        <v>AL</v>
      </c>
      <c r="D12" s="32">
        <v>1021.0</v>
      </c>
      <c r="E12" s="33">
        <f>IF(NOT(ISBLANK(vlookup($D12,Pop_Census_2023!$A$2:$E$3220,4,FALSE))),vlookup($D12,Pop_Census_2023!$A$2:$E$3220,4,FALSE), vlookup($D12,Pop_Census_2023!$A$2:$E$3220,5,FALSE))</f>
        <v>46431</v>
      </c>
      <c r="F12" s="32">
        <v>161536.0</v>
      </c>
      <c r="G12" s="32">
        <v>90.0</v>
      </c>
      <c r="H12" s="32" t="str">
        <f>VLOOKUP(D12, Grid_Region_Mapping!$D$2:$F$5286, 3, FALSE)</f>
        <v>SRSE</v>
      </c>
      <c r="I12" s="32">
        <v>6.0</v>
      </c>
      <c r="J12" s="34" t="str">
        <f t="shared" si="1"/>
        <v>South</v>
      </c>
      <c r="K12" s="35">
        <v>4.0</v>
      </c>
      <c r="L12" s="35" t="s">
        <v>102</v>
      </c>
      <c r="M12" s="36">
        <f>VLOOKUP(D12, County_Data_CZones!$B$2:$F$3236, 2, FALSE)</f>
        <v>3</v>
      </c>
      <c r="N12" s="37" t="str">
        <f>VLOOKUP(D12, County_Data_CZones!$B$2:$F$3236, 5, FALSE)</f>
        <v>Mixed-Humid</v>
      </c>
    </row>
    <row r="13" ht="15.75" customHeight="1">
      <c r="A13" s="32" t="s">
        <v>114</v>
      </c>
      <c r="B13" s="32" t="s">
        <v>101</v>
      </c>
      <c r="C13" s="32" t="str">
        <f>vlookup(B13,State_EMM_RowSums!$A$2:$B$52,2,FALSE)</f>
        <v>AL</v>
      </c>
      <c r="D13" s="32">
        <v>1023.0</v>
      </c>
      <c r="E13" s="33">
        <f>IF(NOT(ISBLANK(vlookup($D13,Pop_Census_2023!$A$2:$E$3220,4,FALSE))),vlookup($D13,Pop_Census_2023!$A$2:$E$3220,4,FALSE), vlookup($D13,Pop_Census_2023!$A$2:$E$3220,5,FALSE))</f>
        <v>12252</v>
      </c>
      <c r="F13" s="32">
        <v>161537.0</v>
      </c>
      <c r="G13" s="32">
        <v>89.0</v>
      </c>
      <c r="H13" s="32" t="str">
        <f>VLOOKUP(D13, Grid_Region_Mapping!$D$2:$F$5286, 3, FALSE)</f>
        <v>SRSE</v>
      </c>
      <c r="I13" s="32">
        <v>6.0</v>
      </c>
      <c r="J13" s="34" t="str">
        <f t="shared" si="1"/>
        <v>South</v>
      </c>
      <c r="K13" s="35">
        <v>4.0</v>
      </c>
      <c r="L13" s="35" t="s">
        <v>102</v>
      </c>
      <c r="M13" s="36">
        <f>VLOOKUP(D13, County_Data_CZones!$B$2:$F$3236, 2, FALSE)</f>
        <v>3</v>
      </c>
      <c r="N13" s="37" t="str">
        <f>VLOOKUP(D13, County_Data_CZones!$B$2:$F$3236, 5, FALSE)</f>
        <v>Hot-Humid</v>
      </c>
    </row>
    <row r="14" ht="15.75" customHeight="1">
      <c r="A14" s="32" t="s">
        <v>115</v>
      </c>
      <c r="B14" s="32" t="s">
        <v>101</v>
      </c>
      <c r="C14" s="32" t="str">
        <f>vlookup(B14,State_EMM_RowSums!$A$2:$B$52,2,FALSE)</f>
        <v>AL</v>
      </c>
      <c r="D14" s="32">
        <v>1025.0</v>
      </c>
      <c r="E14" s="33">
        <f>IF(NOT(ISBLANK(vlookup($D14,Pop_Census_2023!$A$2:$E$3220,4,FALSE))),vlookup($D14,Pop_Census_2023!$A$2:$E$3220,4,FALSE), vlookup($D14,Pop_Census_2023!$A$2:$E$3220,5,FALSE))</f>
        <v>22337</v>
      </c>
      <c r="F14" s="32">
        <v>161538.0</v>
      </c>
      <c r="G14" s="32">
        <v>90.0</v>
      </c>
      <c r="H14" s="32" t="str">
        <f>VLOOKUP(D14, Grid_Region_Mapping!$D$2:$F$5286, 3, FALSE)</f>
        <v>SRSE</v>
      </c>
      <c r="I14" s="32">
        <v>6.0</v>
      </c>
      <c r="J14" s="34" t="str">
        <f t="shared" si="1"/>
        <v>South</v>
      </c>
      <c r="K14" s="35">
        <v>5.0</v>
      </c>
      <c r="L14" s="35" t="s">
        <v>102</v>
      </c>
      <c r="M14" s="36">
        <f>VLOOKUP(D14, County_Data_CZones!$B$2:$F$3236, 2, FALSE)</f>
        <v>3</v>
      </c>
      <c r="N14" s="37" t="str">
        <f>VLOOKUP(D14, County_Data_CZones!$B$2:$F$3236, 5, FALSE)</f>
        <v>Hot-Humid</v>
      </c>
    </row>
    <row r="15" ht="15.75" customHeight="1">
      <c r="A15" s="32" t="s">
        <v>116</v>
      </c>
      <c r="B15" s="32" t="s">
        <v>101</v>
      </c>
      <c r="C15" s="32" t="str">
        <f>vlookup(B15,State_EMM_RowSums!$A$2:$B$52,2,FALSE)</f>
        <v>AL</v>
      </c>
      <c r="D15" s="32">
        <v>1027.0</v>
      </c>
      <c r="E15" s="33">
        <f>IF(NOT(ISBLANK(vlookup($D15,Pop_Census_2023!$A$2:$E$3220,4,FALSE))),vlookup($D15,Pop_Census_2023!$A$2:$E$3220,4,FALSE), vlookup($D15,Pop_Census_2023!$A$2:$E$3220,5,FALSE))</f>
        <v>14111</v>
      </c>
      <c r="F15" s="32">
        <v>161539.0</v>
      </c>
      <c r="G15" s="32">
        <v>90.0</v>
      </c>
      <c r="H15" s="32" t="str">
        <f>VLOOKUP(D15, Grid_Region_Mapping!$D$2:$F$5286, 3, FALSE)</f>
        <v>SRSE</v>
      </c>
      <c r="I15" s="32">
        <v>6.0</v>
      </c>
      <c r="J15" s="34" t="str">
        <f t="shared" si="1"/>
        <v>South</v>
      </c>
      <c r="K15" s="35">
        <v>4.0</v>
      </c>
      <c r="L15" s="35" t="s">
        <v>102</v>
      </c>
      <c r="M15" s="36">
        <f>VLOOKUP(D15, County_Data_CZones!$B$2:$F$3236, 2, FALSE)</f>
        <v>3</v>
      </c>
      <c r="N15" s="37" t="str">
        <f>VLOOKUP(D15, County_Data_CZones!$B$2:$F$3236, 5, FALSE)</f>
        <v>Mixed-Humid</v>
      </c>
    </row>
    <row r="16" ht="15.75" customHeight="1">
      <c r="A16" s="32" t="s">
        <v>117</v>
      </c>
      <c r="B16" s="32" t="s">
        <v>101</v>
      </c>
      <c r="C16" s="32" t="str">
        <f>vlookup(B16,State_EMM_RowSums!$A$2:$B$52,2,FALSE)</f>
        <v>AL</v>
      </c>
      <c r="D16" s="32">
        <v>1029.0</v>
      </c>
      <c r="E16" s="33">
        <f>IF(NOT(ISBLANK(vlookup($D16,Pop_Census_2023!$A$2:$E$3220,4,FALSE))),vlookup($D16,Pop_Census_2023!$A$2:$E$3220,4,FALSE), vlookup($D16,Pop_Census_2023!$A$2:$E$3220,5,FALSE))</f>
        <v>15639</v>
      </c>
      <c r="F16" s="32">
        <v>161540.0</v>
      </c>
      <c r="G16" s="32">
        <v>90.0</v>
      </c>
      <c r="H16" s="32" t="str">
        <f>VLOOKUP(D16, Grid_Region_Mapping!$D$2:$F$5286, 3, FALSE)</f>
        <v>SRSE</v>
      </c>
      <c r="I16" s="32">
        <v>6.0</v>
      </c>
      <c r="J16" s="34" t="str">
        <f t="shared" si="1"/>
        <v>South</v>
      </c>
      <c r="K16" s="35">
        <v>4.0</v>
      </c>
      <c r="L16" s="35" t="s">
        <v>102</v>
      </c>
      <c r="M16" s="36">
        <f>VLOOKUP(D16, County_Data_CZones!$B$2:$F$3236, 2, FALSE)</f>
        <v>3</v>
      </c>
      <c r="N16" s="37" t="str">
        <f>VLOOKUP(D16, County_Data_CZones!$B$2:$F$3236, 5, FALSE)</f>
        <v>Mixed-Humid</v>
      </c>
    </row>
    <row r="17" ht="15.75" customHeight="1">
      <c r="A17" s="32" t="s">
        <v>118</v>
      </c>
      <c r="B17" s="32" t="s">
        <v>101</v>
      </c>
      <c r="C17" s="32" t="str">
        <f>vlookup(B17,State_EMM_RowSums!$A$2:$B$52,2,FALSE)</f>
        <v>AL</v>
      </c>
      <c r="D17" s="32">
        <v>1031.0</v>
      </c>
      <c r="E17" s="33">
        <f>IF(NOT(ISBLANK(vlookup($D17,Pop_Census_2023!$A$2:$E$3220,4,FALSE))),vlookup($D17,Pop_Census_2023!$A$2:$E$3220,4,FALSE), vlookup($D17,Pop_Census_2023!$A$2:$E$3220,5,FALSE))</f>
        <v>55643</v>
      </c>
      <c r="F17" s="32">
        <v>161541.0</v>
      </c>
      <c r="G17" s="32">
        <v>90.0</v>
      </c>
      <c r="H17" s="32" t="str">
        <f>VLOOKUP(D17, Grid_Region_Mapping!$D$2:$F$5286, 3, FALSE)</f>
        <v>SRSE</v>
      </c>
      <c r="I17" s="32">
        <v>6.0</v>
      </c>
      <c r="J17" s="34" t="str">
        <f t="shared" si="1"/>
        <v>South</v>
      </c>
      <c r="K17" s="35">
        <v>5.0</v>
      </c>
      <c r="L17" s="35" t="s">
        <v>102</v>
      </c>
      <c r="M17" s="36">
        <f>VLOOKUP(D17, County_Data_CZones!$B$2:$F$3236, 2, FALSE)</f>
        <v>3</v>
      </c>
      <c r="N17" s="37" t="str">
        <f>VLOOKUP(D17, County_Data_CZones!$B$2:$F$3236, 5, FALSE)</f>
        <v>Hot-Humid</v>
      </c>
    </row>
    <row r="18" ht="15.75" customHeight="1">
      <c r="A18" s="32" t="s">
        <v>119</v>
      </c>
      <c r="B18" s="32" t="s">
        <v>101</v>
      </c>
      <c r="C18" s="32" t="str">
        <f>vlookup(B18,State_EMM_RowSums!$A$2:$B$52,2,FALSE)</f>
        <v>AL</v>
      </c>
      <c r="D18" s="32">
        <v>1033.0</v>
      </c>
      <c r="E18" s="33">
        <f>IF(NOT(ISBLANK(vlookup($D18,Pop_Census_2023!$A$2:$E$3220,4,FALSE))),vlookup($D18,Pop_Census_2023!$A$2:$E$3220,4,FALSE), vlookup($D18,Pop_Census_2023!$A$2:$E$3220,5,FALSE))</f>
        <v>58361</v>
      </c>
      <c r="F18" s="32">
        <v>161542.0</v>
      </c>
      <c r="G18" s="32">
        <v>89.0</v>
      </c>
      <c r="H18" s="32" t="str">
        <f>VLOOKUP(D18, Grid_Region_Mapping!$D$2:$F$5286, 3, FALSE)</f>
        <v>SRSE</v>
      </c>
      <c r="I18" s="32">
        <v>6.0</v>
      </c>
      <c r="J18" s="34" t="str">
        <f t="shared" si="1"/>
        <v>South</v>
      </c>
      <c r="K18" s="35">
        <v>4.0</v>
      </c>
      <c r="L18" s="35" t="s">
        <v>102</v>
      </c>
      <c r="M18" s="36">
        <f>VLOOKUP(D18, County_Data_CZones!$B$2:$F$3236, 2, FALSE)</f>
        <v>3</v>
      </c>
      <c r="N18" s="37" t="str">
        <f>VLOOKUP(D18, County_Data_CZones!$B$2:$F$3236, 5, FALSE)</f>
        <v>Mixed-Humid</v>
      </c>
    </row>
    <row r="19" ht="15.75" customHeight="1">
      <c r="A19" s="32" t="s">
        <v>120</v>
      </c>
      <c r="B19" s="32" t="s">
        <v>101</v>
      </c>
      <c r="C19" s="32" t="str">
        <f>vlookup(B19,State_EMM_RowSums!$A$2:$B$52,2,FALSE)</f>
        <v>AL</v>
      </c>
      <c r="D19" s="32">
        <v>1035.0</v>
      </c>
      <c r="E19" s="33">
        <f>IF(NOT(ISBLANK(vlookup($D19,Pop_Census_2023!$A$2:$E$3220,4,FALSE))),vlookup($D19,Pop_Census_2023!$A$2:$E$3220,4,FALSE), vlookup($D19,Pop_Census_2023!$A$2:$E$3220,5,FALSE))</f>
        <v>11174</v>
      </c>
      <c r="F19" s="32">
        <v>161543.0</v>
      </c>
      <c r="G19" s="32">
        <v>90.0</v>
      </c>
      <c r="H19" s="32" t="str">
        <f>VLOOKUP(D19, Grid_Region_Mapping!$D$2:$F$5286, 3, FALSE)</f>
        <v>SRSE</v>
      </c>
      <c r="I19" s="32">
        <v>6.0</v>
      </c>
      <c r="J19" s="34" t="str">
        <f t="shared" si="1"/>
        <v>South</v>
      </c>
      <c r="K19" s="35">
        <v>5.0</v>
      </c>
      <c r="L19" s="35" t="s">
        <v>102</v>
      </c>
      <c r="M19" s="36">
        <f>VLOOKUP(D19, County_Data_CZones!$B$2:$F$3236, 2, FALSE)</f>
        <v>3</v>
      </c>
      <c r="N19" s="37" t="str">
        <f>VLOOKUP(D19, County_Data_CZones!$B$2:$F$3236, 5, FALSE)</f>
        <v>Hot-Humid</v>
      </c>
    </row>
    <row r="20" ht="15.75" customHeight="1">
      <c r="A20" s="32" t="s">
        <v>121</v>
      </c>
      <c r="B20" s="32" t="s">
        <v>101</v>
      </c>
      <c r="C20" s="32" t="str">
        <f>vlookup(B20,State_EMM_RowSums!$A$2:$B$52,2,FALSE)</f>
        <v>AL</v>
      </c>
      <c r="D20" s="32">
        <v>1037.0</v>
      </c>
      <c r="E20" s="33">
        <f>IF(NOT(ISBLANK(vlookup($D20,Pop_Census_2023!$A$2:$E$3220,4,FALSE))),vlookup($D20,Pop_Census_2023!$A$2:$E$3220,4,FALSE), vlookup($D20,Pop_Census_2023!$A$2:$E$3220,5,FALSE))</f>
        <v>10268</v>
      </c>
      <c r="F20" s="32">
        <v>161544.0</v>
      </c>
      <c r="G20" s="32">
        <v>90.0</v>
      </c>
      <c r="H20" s="32" t="str">
        <f>VLOOKUP(D20, Grid_Region_Mapping!$D$2:$F$5286, 3, FALSE)</f>
        <v>SRSE</v>
      </c>
      <c r="I20" s="32">
        <v>6.0</v>
      </c>
      <c r="J20" s="34" t="str">
        <f t="shared" si="1"/>
        <v>South</v>
      </c>
      <c r="K20" s="35">
        <v>4.0</v>
      </c>
      <c r="L20" s="35" t="s">
        <v>102</v>
      </c>
      <c r="M20" s="36">
        <f>VLOOKUP(D20, County_Data_CZones!$B$2:$F$3236, 2, FALSE)</f>
        <v>3</v>
      </c>
      <c r="N20" s="37" t="str">
        <f>VLOOKUP(D20, County_Data_CZones!$B$2:$F$3236, 5, FALSE)</f>
        <v>Mixed-Humid</v>
      </c>
    </row>
    <row r="21" ht="15.75" customHeight="1">
      <c r="A21" s="32" t="s">
        <v>122</v>
      </c>
      <c r="B21" s="32" t="s">
        <v>101</v>
      </c>
      <c r="C21" s="32" t="str">
        <f>vlookup(B21,State_EMM_RowSums!$A$2:$B$52,2,FALSE)</f>
        <v>AL</v>
      </c>
      <c r="D21" s="32">
        <v>1039.0</v>
      </c>
      <c r="E21" s="33">
        <f>IF(NOT(ISBLANK(vlookup($D21,Pop_Census_2023!$A$2:$E$3220,4,FALSE))),vlookup($D21,Pop_Census_2023!$A$2:$E$3220,4,FALSE), vlookup($D21,Pop_Census_2023!$A$2:$E$3220,5,FALSE))</f>
        <v>37952</v>
      </c>
      <c r="F21" s="32">
        <v>161545.0</v>
      </c>
      <c r="G21" s="32">
        <v>90.0</v>
      </c>
      <c r="H21" s="32" t="str">
        <f>VLOOKUP(D21, Grid_Region_Mapping!$D$2:$F$5286, 3, FALSE)</f>
        <v>SRSE</v>
      </c>
      <c r="I21" s="32">
        <v>6.0</v>
      </c>
      <c r="J21" s="34" t="str">
        <f t="shared" si="1"/>
        <v>South</v>
      </c>
      <c r="K21" s="35">
        <v>4.0</v>
      </c>
      <c r="L21" s="35" t="s">
        <v>102</v>
      </c>
      <c r="M21" s="36">
        <f>VLOOKUP(D21, County_Data_CZones!$B$2:$F$3236, 2, FALSE)</f>
        <v>3</v>
      </c>
      <c r="N21" s="37" t="str">
        <f>VLOOKUP(D21, County_Data_CZones!$B$2:$F$3236, 5, FALSE)</f>
        <v>Hot-Humid</v>
      </c>
    </row>
    <row r="22" ht="15.75" customHeight="1">
      <c r="A22" s="32" t="s">
        <v>123</v>
      </c>
      <c r="B22" s="32" t="s">
        <v>101</v>
      </c>
      <c r="C22" s="32" t="str">
        <f>vlookup(B22,State_EMM_RowSums!$A$2:$B$52,2,FALSE)</f>
        <v>AL</v>
      </c>
      <c r="D22" s="32">
        <v>1041.0</v>
      </c>
      <c r="E22" s="33">
        <f>IF(NOT(ISBLANK(vlookup($D22,Pop_Census_2023!$A$2:$E$3220,4,FALSE))),vlookup($D22,Pop_Census_2023!$A$2:$E$3220,4,FALSE), vlookup($D22,Pop_Census_2023!$A$2:$E$3220,5,FALSE))</f>
        <v>13101</v>
      </c>
      <c r="F22" s="32">
        <v>161546.0</v>
      </c>
      <c r="G22" s="32">
        <v>90.0</v>
      </c>
      <c r="H22" s="32" t="str">
        <f>VLOOKUP(D22, Grid_Region_Mapping!$D$2:$F$5286, 3, FALSE)</f>
        <v>SRSE</v>
      </c>
      <c r="I22" s="32">
        <v>6.0</v>
      </c>
      <c r="J22" s="34" t="str">
        <f t="shared" si="1"/>
        <v>South</v>
      </c>
      <c r="K22" s="35">
        <v>4.0</v>
      </c>
      <c r="L22" s="35" t="s">
        <v>102</v>
      </c>
      <c r="M22" s="36">
        <f>VLOOKUP(D22, County_Data_CZones!$B$2:$F$3236, 2, FALSE)</f>
        <v>3</v>
      </c>
      <c r="N22" s="37" t="str">
        <f>VLOOKUP(D22, County_Data_CZones!$B$2:$F$3236, 5, FALSE)</f>
        <v>Hot-Humid</v>
      </c>
    </row>
    <row r="23" ht="15.75" customHeight="1">
      <c r="A23" s="32" t="s">
        <v>124</v>
      </c>
      <c r="B23" s="32" t="s">
        <v>101</v>
      </c>
      <c r="C23" s="32" t="str">
        <f>vlookup(B23,State_EMM_RowSums!$A$2:$B$52,2,FALSE)</f>
        <v>AL</v>
      </c>
      <c r="D23" s="32">
        <v>1043.0</v>
      </c>
      <c r="E23" s="33">
        <f>IF(NOT(ISBLANK(vlookup($D23,Pop_Census_2023!$A$2:$E$3220,4,FALSE))),vlookup($D23,Pop_Census_2023!$A$2:$E$3220,4,FALSE), vlookup($D23,Pop_Census_2023!$A$2:$E$3220,5,FALSE))</f>
        <v>92016</v>
      </c>
      <c r="F23" s="32">
        <v>161547.0</v>
      </c>
      <c r="G23" s="32">
        <v>89.0</v>
      </c>
      <c r="H23" s="32" t="str">
        <f>VLOOKUP(D23, Grid_Region_Mapping!$D$2:$F$5286, 3, FALSE)</f>
        <v>SRSE</v>
      </c>
      <c r="I23" s="32">
        <v>6.0</v>
      </c>
      <c r="J23" s="34" t="str">
        <f t="shared" si="1"/>
        <v>South</v>
      </c>
      <c r="K23" s="35">
        <v>4.0</v>
      </c>
      <c r="L23" s="35" t="s">
        <v>102</v>
      </c>
      <c r="M23" s="36">
        <f>VLOOKUP(D23, County_Data_CZones!$B$2:$F$3236, 2, FALSE)</f>
        <v>3</v>
      </c>
      <c r="N23" s="37" t="str">
        <f>VLOOKUP(D23, County_Data_CZones!$B$2:$F$3236, 5, FALSE)</f>
        <v>Mixed-Humid</v>
      </c>
    </row>
    <row r="24" ht="15.75" customHeight="1">
      <c r="A24" s="32" t="s">
        <v>125</v>
      </c>
      <c r="B24" s="32" t="s">
        <v>101</v>
      </c>
      <c r="C24" s="32" t="str">
        <f>vlookup(B24,State_EMM_RowSums!$A$2:$B$52,2,FALSE)</f>
        <v>AL</v>
      </c>
      <c r="D24" s="32">
        <v>1045.0</v>
      </c>
      <c r="E24" s="33">
        <f>IF(NOT(ISBLANK(vlookup($D24,Pop_Census_2023!$A$2:$E$3220,4,FALSE))),vlookup($D24,Pop_Census_2023!$A$2:$E$3220,4,FALSE), vlookup($D24,Pop_Census_2023!$A$2:$E$3220,5,FALSE))</f>
        <v>49871</v>
      </c>
      <c r="F24" s="32">
        <v>161548.0</v>
      </c>
      <c r="G24" s="32">
        <v>90.0</v>
      </c>
      <c r="H24" s="32" t="str">
        <f>VLOOKUP(D24, Grid_Region_Mapping!$D$2:$F$5286, 3, FALSE)</f>
        <v>SRSE</v>
      </c>
      <c r="I24" s="32">
        <v>6.0</v>
      </c>
      <c r="J24" s="34" t="str">
        <f t="shared" si="1"/>
        <v>South</v>
      </c>
      <c r="K24" s="35">
        <v>5.0</v>
      </c>
      <c r="L24" s="35" t="s">
        <v>102</v>
      </c>
      <c r="M24" s="36">
        <f>VLOOKUP(D24, County_Data_CZones!$B$2:$F$3236, 2, FALSE)</f>
        <v>3</v>
      </c>
      <c r="N24" s="37" t="str">
        <f>VLOOKUP(D24, County_Data_CZones!$B$2:$F$3236, 5, FALSE)</f>
        <v>Hot-Humid</v>
      </c>
    </row>
    <row r="25" ht="15.75" customHeight="1">
      <c r="A25" s="32" t="s">
        <v>126</v>
      </c>
      <c r="B25" s="32" t="s">
        <v>101</v>
      </c>
      <c r="C25" s="32" t="str">
        <f>vlookup(B25,State_EMM_RowSums!$A$2:$B$52,2,FALSE)</f>
        <v>AL</v>
      </c>
      <c r="D25" s="32">
        <v>1047.0</v>
      </c>
      <c r="E25" s="33">
        <f>IF(NOT(ISBLANK(vlookup($D25,Pop_Census_2023!$A$2:$E$3220,4,FALSE))),vlookup($D25,Pop_Census_2023!$A$2:$E$3220,4,FALSE), vlookup($D25,Pop_Census_2023!$A$2:$E$3220,5,FALSE))</f>
        <v>36165</v>
      </c>
      <c r="F25" s="32">
        <v>161549.0</v>
      </c>
      <c r="G25" s="32">
        <v>90.0</v>
      </c>
      <c r="H25" s="32" t="str">
        <f>VLOOKUP(D25, Grid_Region_Mapping!$D$2:$F$5286, 3, FALSE)</f>
        <v>SRSE</v>
      </c>
      <c r="I25" s="32">
        <v>6.0</v>
      </c>
      <c r="J25" s="34" t="str">
        <f t="shared" si="1"/>
        <v>South</v>
      </c>
      <c r="K25" s="35">
        <v>5.0</v>
      </c>
      <c r="L25" s="35" t="s">
        <v>102</v>
      </c>
      <c r="M25" s="36">
        <f>VLOOKUP(D25, County_Data_CZones!$B$2:$F$3236, 2, FALSE)</f>
        <v>3</v>
      </c>
      <c r="N25" s="37" t="str">
        <f>VLOOKUP(D25, County_Data_CZones!$B$2:$F$3236, 5, FALSE)</f>
        <v>Hot-Humid</v>
      </c>
    </row>
    <row r="26" ht="15.75" customHeight="1">
      <c r="A26" s="32" t="s">
        <v>127</v>
      </c>
      <c r="B26" s="32" t="s">
        <v>101</v>
      </c>
      <c r="C26" s="32" t="str">
        <f>vlookup(B26,State_EMM_RowSums!$A$2:$B$52,2,FALSE)</f>
        <v>AL</v>
      </c>
      <c r="D26" s="32">
        <v>1049.0</v>
      </c>
      <c r="E26" s="33">
        <f>IF(NOT(ISBLANK(vlookup($D26,Pop_Census_2023!$A$2:$E$3220,4,FALSE))),vlookup($D26,Pop_Census_2023!$A$2:$E$3220,4,FALSE), vlookup($D26,Pop_Census_2023!$A$2:$E$3220,5,FALSE))</f>
        <v>72569</v>
      </c>
      <c r="F26" s="32">
        <v>161550.0</v>
      </c>
      <c r="G26" s="32">
        <v>89.0</v>
      </c>
      <c r="H26" s="32" t="str">
        <f>VLOOKUP(D26, Grid_Region_Mapping!$D$2:$F$5286, 3, FALSE)</f>
        <v>SRCE</v>
      </c>
      <c r="I26" s="32">
        <v>6.0</v>
      </c>
      <c r="J26" s="34" t="str">
        <f t="shared" si="1"/>
        <v>South</v>
      </c>
      <c r="K26" s="35">
        <v>4.0</v>
      </c>
      <c r="L26" s="35" t="s">
        <v>102</v>
      </c>
      <c r="M26" s="36">
        <f>VLOOKUP(D26, County_Data_CZones!$B$2:$F$3236, 2, FALSE)</f>
        <v>3</v>
      </c>
      <c r="N26" s="37" t="str">
        <f>VLOOKUP(D26, County_Data_CZones!$B$2:$F$3236, 5, FALSE)</f>
        <v>Mixed-Humid</v>
      </c>
    </row>
    <row r="27" ht="15.75" customHeight="1">
      <c r="A27" s="32" t="s">
        <v>128</v>
      </c>
      <c r="B27" s="32" t="s">
        <v>101</v>
      </c>
      <c r="C27" s="32" t="str">
        <f>vlookup(B27,State_EMM_RowSums!$A$2:$B$52,2,FALSE)</f>
        <v>AL</v>
      </c>
      <c r="D27" s="32">
        <v>1051.0</v>
      </c>
      <c r="E27" s="33">
        <f>IF(NOT(ISBLANK(vlookup($D27,Pop_Census_2023!$A$2:$E$3220,4,FALSE))),vlookup($D27,Pop_Census_2023!$A$2:$E$3220,4,FALSE), vlookup($D27,Pop_Census_2023!$A$2:$E$3220,5,FALSE))</f>
        <v>90441</v>
      </c>
      <c r="F27" s="32">
        <v>161551.0</v>
      </c>
      <c r="G27" s="32">
        <v>90.0</v>
      </c>
      <c r="H27" s="32" t="str">
        <f>VLOOKUP(D27, Grid_Region_Mapping!$D$2:$F$5286, 3, FALSE)</f>
        <v>SRSE</v>
      </c>
      <c r="I27" s="32">
        <v>6.0</v>
      </c>
      <c r="J27" s="34" t="str">
        <f t="shared" si="1"/>
        <v>South</v>
      </c>
      <c r="K27" s="35">
        <v>4.0</v>
      </c>
      <c r="L27" s="35" t="s">
        <v>102</v>
      </c>
      <c r="M27" s="36">
        <f>VLOOKUP(D27, County_Data_CZones!$B$2:$F$3236, 2, FALSE)</f>
        <v>3</v>
      </c>
      <c r="N27" s="37" t="str">
        <f>VLOOKUP(D27, County_Data_CZones!$B$2:$F$3236, 5, FALSE)</f>
        <v>Hot-Humid</v>
      </c>
    </row>
    <row r="28" ht="15.75" customHeight="1">
      <c r="A28" s="32" t="s">
        <v>129</v>
      </c>
      <c r="B28" s="32" t="s">
        <v>101</v>
      </c>
      <c r="C28" s="32" t="str">
        <f>vlookup(B28,State_EMM_RowSums!$A$2:$B$52,2,FALSE)</f>
        <v>AL</v>
      </c>
      <c r="D28" s="32">
        <v>1053.0</v>
      </c>
      <c r="E28" s="33">
        <f>IF(NOT(ISBLANK(vlookup($D28,Pop_Census_2023!$A$2:$E$3220,4,FALSE))),vlookup($D28,Pop_Census_2023!$A$2:$E$3220,4,FALSE), vlookup($D28,Pop_Census_2023!$A$2:$E$3220,5,FALSE))</f>
        <v>36558</v>
      </c>
      <c r="F28" s="32">
        <v>161552.0</v>
      </c>
      <c r="G28" s="32">
        <v>90.0</v>
      </c>
      <c r="H28" s="32" t="str">
        <f>VLOOKUP(D28, Grid_Region_Mapping!$D$2:$F$5286, 3, FALSE)</f>
        <v>SRSE</v>
      </c>
      <c r="I28" s="32">
        <v>6.0</v>
      </c>
      <c r="J28" s="34" t="str">
        <f t="shared" si="1"/>
        <v>South</v>
      </c>
      <c r="K28" s="35">
        <v>5.0</v>
      </c>
      <c r="L28" s="35" t="s">
        <v>102</v>
      </c>
      <c r="M28" s="36">
        <f>VLOOKUP(D28, County_Data_CZones!$B$2:$F$3236, 2, FALSE)</f>
        <v>3</v>
      </c>
      <c r="N28" s="37" t="str">
        <f>VLOOKUP(D28, County_Data_CZones!$B$2:$F$3236, 5, FALSE)</f>
        <v>Hot-Humid</v>
      </c>
    </row>
    <row r="29" ht="15.75" customHeight="1">
      <c r="A29" s="32" t="s">
        <v>130</v>
      </c>
      <c r="B29" s="32" t="s">
        <v>101</v>
      </c>
      <c r="C29" s="32" t="str">
        <f>vlookup(B29,State_EMM_RowSums!$A$2:$B$52,2,FALSE)</f>
        <v>AL</v>
      </c>
      <c r="D29" s="32">
        <v>1055.0</v>
      </c>
      <c r="E29" s="33">
        <f>IF(NOT(ISBLANK(vlookup($D29,Pop_Census_2023!$A$2:$E$3220,4,FALSE))),vlookup($D29,Pop_Census_2023!$A$2:$E$3220,4,FALSE), vlookup($D29,Pop_Census_2023!$A$2:$E$3220,5,FALSE))</f>
        <v>103241</v>
      </c>
      <c r="F29" s="32">
        <v>161553.0</v>
      </c>
      <c r="G29" s="32">
        <v>90.0</v>
      </c>
      <c r="H29" s="32" t="str">
        <f>VLOOKUP(D29, Grid_Region_Mapping!$D$2:$F$5286, 3, FALSE)</f>
        <v>SRSE</v>
      </c>
      <c r="I29" s="32">
        <v>6.0</v>
      </c>
      <c r="J29" s="34" t="str">
        <f t="shared" si="1"/>
        <v>South</v>
      </c>
      <c r="K29" s="35">
        <v>4.0</v>
      </c>
      <c r="L29" s="35" t="s">
        <v>102</v>
      </c>
      <c r="M29" s="36">
        <f>VLOOKUP(D29, County_Data_CZones!$B$2:$F$3236, 2, FALSE)</f>
        <v>3</v>
      </c>
      <c r="N29" s="37" t="str">
        <f>VLOOKUP(D29, County_Data_CZones!$B$2:$F$3236, 5, FALSE)</f>
        <v>Mixed-Humid</v>
      </c>
    </row>
    <row r="30" ht="15.75" customHeight="1">
      <c r="A30" s="32" t="s">
        <v>131</v>
      </c>
      <c r="B30" s="32" t="s">
        <v>101</v>
      </c>
      <c r="C30" s="32" t="str">
        <f>vlookup(B30,State_EMM_RowSums!$A$2:$B$52,2,FALSE)</f>
        <v>AL</v>
      </c>
      <c r="D30" s="32">
        <v>1057.0</v>
      </c>
      <c r="E30" s="33">
        <f>IF(NOT(ISBLANK(vlookup($D30,Pop_Census_2023!$A$2:$E$3220,4,FALSE))),vlookup($D30,Pop_Census_2023!$A$2:$E$3220,4,FALSE), vlookup($D30,Pop_Census_2023!$A$2:$E$3220,5,FALSE))</f>
        <v>15967</v>
      </c>
      <c r="F30" s="32">
        <v>161554.0</v>
      </c>
      <c r="G30" s="32">
        <v>89.0</v>
      </c>
      <c r="H30" s="32" t="str">
        <f>VLOOKUP(D30, Grid_Region_Mapping!$D$2:$F$5286, 3, FALSE)</f>
        <v>SRSE</v>
      </c>
      <c r="I30" s="32">
        <v>6.0</v>
      </c>
      <c r="J30" s="34" t="str">
        <f t="shared" si="1"/>
        <v>South</v>
      </c>
      <c r="K30" s="35">
        <v>4.0</v>
      </c>
      <c r="L30" s="35" t="s">
        <v>102</v>
      </c>
      <c r="M30" s="36">
        <f>VLOOKUP(D30, County_Data_CZones!$B$2:$F$3236, 2, FALSE)</f>
        <v>3</v>
      </c>
      <c r="N30" s="37" t="str">
        <f>VLOOKUP(D30, County_Data_CZones!$B$2:$F$3236, 5, FALSE)</f>
        <v>Mixed-Humid</v>
      </c>
    </row>
    <row r="31" ht="15.75" customHeight="1">
      <c r="A31" s="32" t="s">
        <v>132</v>
      </c>
      <c r="B31" s="32" t="s">
        <v>101</v>
      </c>
      <c r="C31" s="32" t="str">
        <f>vlookup(B31,State_EMM_RowSums!$A$2:$B$52,2,FALSE)</f>
        <v>AL</v>
      </c>
      <c r="D31" s="32">
        <v>1059.0</v>
      </c>
      <c r="E31" s="33">
        <f>IF(NOT(ISBLANK(vlookup($D31,Pop_Census_2023!$A$2:$E$3220,4,FALSE))),vlookup($D31,Pop_Census_2023!$A$2:$E$3220,4,FALSE), vlookup($D31,Pop_Census_2023!$A$2:$E$3220,5,FALSE))</f>
        <v>31802</v>
      </c>
      <c r="F31" s="32">
        <v>161555.0</v>
      </c>
      <c r="G31" s="32">
        <v>89.0</v>
      </c>
      <c r="H31" s="32" t="str">
        <f>VLOOKUP(D31, Grid_Region_Mapping!$D$2:$F$5286, 3, FALSE)</f>
        <v>SRSE</v>
      </c>
      <c r="I31" s="32">
        <v>6.0</v>
      </c>
      <c r="J31" s="34" t="str">
        <f t="shared" si="1"/>
        <v>South</v>
      </c>
      <c r="K31" s="35">
        <v>4.0</v>
      </c>
      <c r="L31" s="35" t="s">
        <v>102</v>
      </c>
      <c r="M31" s="36">
        <f>VLOOKUP(D31, County_Data_CZones!$B$2:$F$3236, 2, FALSE)</f>
        <v>3</v>
      </c>
      <c r="N31" s="37" t="str">
        <f>VLOOKUP(D31, County_Data_CZones!$B$2:$F$3236, 5, FALSE)</f>
        <v>Mixed-Humid</v>
      </c>
    </row>
    <row r="32" ht="15.75" customHeight="1">
      <c r="A32" s="32" t="s">
        <v>133</v>
      </c>
      <c r="B32" s="32" t="s">
        <v>101</v>
      </c>
      <c r="C32" s="32" t="str">
        <f>vlookup(B32,State_EMM_RowSums!$A$2:$B$52,2,FALSE)</f>
        <v>AL</v>
      </c>
      <c r="D32" s="32">
        <v>1061.0</v>
      </c>
      <c r="E32" s="33">
        <f>IF(NOT(ISBLANK(vlookup($D32,Pop_Census_2023!$A$2:$E$3220,4,FALSE))),vlookup($D32,Pop_Census_2023!$A$2:$E$3220,4,FALSE), vlookup($D32,Pop_Census_2023!$A$2:$E$3220,5,FALSE))</f>
        <v>26988</v>
      </c>
      <c r="F32" s="32">
        <v>161556.0</v>
      </c>
      <c r="G32" s="32">
        <v>90.0</v>
      </c>
      <c r="H32" s="32" t="str">
        <f>VLOOKUP(D32, Grid_Region_Mapping!$D$2:$F$5286, 3, FALSE)</f>
        <v>SRSE</v>
      </c>
      <c r="I32" s="32">
        <v>6.0</v>
      </c>
      <c r="J32" s="34" t="str">
        <f t="shared" si="1"/>
        <v>South</v>
      </c>
      <c r="K32" s="35">
        <v>5.0</v>
      </c>
      <c r="L32" s="35" t="s">
        <v>102</v>
      </c>
      <c r="M32" s="36">
        <f>VLOOKUP(D32, County_Data_CZones!$B$2:$F$3236, 2, FALSE)</f>
        <v>3</v>
      </c>
      <c r="N32" s="37" t="str">
        <f>VLOOKUP(D32, County_Data_CZones!$B$2:$F$3236, 5, FALSE)</f>
        <v>Hot-Humid</v>
      </c>
    </row>
    <row r="33" ht="15.75" customHeight="1">
      <c r="A33" s="32" t="s">
        <v>134</v>
      </c>
      <c r="B33" s="32" t="s">
        <v>101</v>
      </c>
      <c r="C33" s="32" t="str">
        <f>vlookup(B33,State_EMM_RowSums!$A$2:$B$52,2,FALSE)</f>
        <v>AL</v>
      </c>
      <c r="D33" s="32">
        <v>1063.0</v>
      </c>
      <c r="E33" s="33">
        <f>IF(NOT(ISBLANK(vlookup($D33,Pop_Census_2023!$A$2:$E$3220,4,FALSE))),vlookup($D33,Pop_Census_2023!$A$2:$E$3220,4,FALSE), vlookup($D33,Pop_Census_2023!$A$2:$E$3220,5,FALSE))</f>
        <v>7341</v>
      </c>
      <c r="F33" s="32">
        <v>161557.0</v>
      </c>
      <c r="G33" s="32">
        <v>89.0</v>
      </c>
      <c r="H33" s="32" t="str">
        <f>VLOOKUP(D33, Grid_Region_Mapping!$D$2:$F$5286, 3, FALSE)</f>
        <v>SRSE</v>
      </c>
      <c r="I33" s="32">
        <v>6.0</v>
      </c>
      <c r="J33" s="34" t="str">
        <f t="shared" si="1"/>
        <v>South</v>
      </c>
      <c r="K33" s="35">
        <v>4.0</v>
      </c>
      <c r="L33" s="35" t="s">
        <v>102</v>
      </c>
      <c r="M33" s="36">
        <f>VLOOKUP(D33, County_Data_CZones!$B$2:$F$3236, 2, FALSE)</f>
        <v>3</v>
      </c>
      <c r="N33" s="37" t="str">
        <f>VLOOKUP(D33, County_Data_CZones!$B$2:$F$3236, 5, FALSE)</f>
        <v>Mixed-Humid</v>
      </c>
    </row>
    <row r="34" ht="15.75" customHeight="1">
      <c r="A34" s="32" t="s">
        <v>135</v>
      </c>
      <c r="B34" s="32" t="s">
        <v>101</v>
      </c>
      <c r="C34" s="32" t="str">
        <f>vlookup(B34,State_EMM_RowSums!$A$2:$B$52,2,FALSE)</f>
        <v>AL</v>
      </c>
      <c r="D34" s="32">
        <v>1065.0</v>
      </c>
      <c r="E34" s="33">
        <f>IF(NOT(ISBLANK(vlookup($D34,Pop_Census_2023!$A$2:$E$3220,4,FALSE))),vlookup($D34,Pop_Census_2023!$A$2:$E$3220,4,FALSE), vlookup($D34,Pop_Census_2023!$A$2:$E$3220,5,FALSE))</f>
        <v>14888</v>
      </c>
      <c r="F34" s="32">
        <v>161558.0</v>
      </c>
      <c r="G34" s="32">
        <v>89.0</v>
      </c>
      <c r="H34" s="32" t="str">
        <f>VLOOKUP(D34, Grid_Region_Mapping!$D$2:$F$5286, 3, FALSE)</f>
        <v>SRSE</v>
      </c>
      <c r="I34" s="32">
        <v>6.0</v>
      </c>
      <c r="J34" s="34" t="str">
        <f t="shared" si="1"/>
        <v>South</v>
      </c>
      <c r="K34" s="35">
        <v>5.0</v>
      </c>
      <c r="L34" s="35" t="s">
        <v>102</v>
      </c>
      <c r="M34" s="36">
        <f>VLOOKUP(D34, County_Data_CZones!$B$2:$F$3236, 2, FALSE)</f>
        <v>3</v>
      </c>
      <c r="N34" s="37" t="str">
        <f>VLOOKUP(D34, County_Data_CZones!$B$2:$F$3236, 5, FALSE)</f>
        <v>Mixed-Humid</v>
      </c>
    </row>
    <row r="35" ht="15.75" customHeight="1">
      <c r="A35" s="32" t="s">
        <v>136</v>
      </c>
      <c r="B35" s="32" t="s">
        <v>101</v>
      </c>
      <c r="C35" s="32" t="str">
        <f>vlookup(B35,State_EMM_RowSums!$A$2:$B$52,2,FALSE)</f>
        <v>AL</v>
      </c>
      <c r="D35" s="32">
        <v>1067.0</v>
      </c>
      <c r="E35" s="33">
        <f>IF(NOT(ISBLANK(vlookup($D35,Pop_Census_2023!$A$2:$E$3220,4,FALSE))),vlookup($D35,Pop_Census_2023!$A$2:$E$3220,4,FALSE), vlookup($D35,Pop_Census_2023!$A$2:$E$3220,5,FALSE))</f>
        <v>17899</v>
      </c>
      <c r="F35" s="32">
        <v>161559.0</v>
      </c>
      <c r="G35" s="32">
        <v>90.0</v>
      </c>
      <c r="H35" s="32" t="str">
        <f>VLOOKUP(D35, Grid_Region_Mapping!$D$2:$F$5286, 3, FALSE)</f>
        <v>SRSE</v>
      </c>
      <c r="I35" s="32">
        <v>6.0</v>
      </c>
      <c r="J35" s="34" t="str">
        <f t="shared" si="1"/>
        <v>South</v>
      </c>
      <c r="K35" s="35">
        <v>5.0</v>
      </c>
      <c r="L35" s="35" t="s">
        <v>102</v>
      </c>
      <c r="M35" s="36">
        <f>VLOOKUP(D35, County_Data_CZones!$B$2:$F$3236, 2, FALSE)</f>
        <v>3</v>
      </c>
      <c r="N35" s="37" t="str">
        <f>VLOOKUP(D35, County_Data_CZones!$B$2:$F$3236, 5, FALSE)</f>
        <v>Hot-Humid</v>
      </c>
    </row>
    <row r="36" ht="15.75" customHeight="1">
      <c r="A36" s="32" t="s">
        <v>137</v>
      </c>
      <c r="B36" s="32" t="s">
        <v>101</v>
      </c>
      <c r="C36" s="32" t="str">
        <f>vlookup(B36,State_EMM_RowSums!$A$2:$B$52,2,FALSE)</f>
        <v>AL</v>
      </c>
      <c r="D36" s="32">
        <v>1069.0</v>
      </c>
      <c r="E36" s="33">
        <f>IF(NOT(ISBLANK(vlookup($D36,Pop_Census_2023!$A$2:$E$3220,4,FALSE))),vlookup($D36,Pop_Census_2023!$A$2:$E$3220,4,FALSE), vlookup($D36,Pop_Census_2023!$A$2:$E$3220,5,FALSE))</f>
        <v>108462</v>
      </c>
      <c r="F36" s="32">
        <v>161560.0</v>
      </c>
      <c r="G36" s="32">
        <v>90.0</v>
      </c>
      <c r="H36" s="32" t="str">
        <f>VLOOKUP(D36, Grid_Region_Mapping!$D$2:$F$5286, 3, FALSE)</f>
        <v>SRSE</v>
      </c>
      <c r="I36" s="32">
        <v>6.0</v>
      </c>
      <c r="J36" s="34" t="str">
        <f t="shared" si="1"/>
        <v>South</v>
      </c>
      <c r="K36" s="35">
        <v>5.0</v>
      </c>
      <c r="L36" s="35" t="s">
        <v>102</v>
      </c>
      <c r="M36" s="36">
        <f>VLOOKUP(D36, County_Data_CZones!$B$2:$F$3236, 2, FALSE)</f>
        <v>3</v>
      </c>
      <c r="N36" s="37" t="str">
        <f>VLOOKUP(D36, County_Data_CZones!$B$2:$F$3236, 5, FALSE)</f>
        <v>Hot-Humid</v>
      </c>
    </row>
    <row r="37" ht="15.75" customHeight="1">
      <c r="A37" s="32" t="s">
        <v>138</v>
      </c>
      <c r="B37" s="32" t="s">
        <v>101</v>
      </c>
      <c r="C37" s="32" t="str">
        <f>vlookup(B37,State_EMM_RowSums!$A$2:$B$52,2,FALSE)</f>
        <v>AL</v>
      </c>
      <c r="D37" s="32">
        <v>1071.0</v>
      </c>
      <c r="E37" s="33">
        <f>IF(NOT(ISBLANK(vlookup($D37,Pop_Census_2023!$A$2:$E$3220,4,FALSE))),vlookup($D37,Pop_Census_2023!$A$2:$E$3220,4,FALSE), vlookup($D37,Pop_Census_2023!$A$2:$E$3220,5,FALSE))</f>
        <v>53467</v>
      </c>
      <c r="F37" s="32">
        <v>161561.0</v>
      </c>
      <c r="G37" s="32">
        <v>89.0</v>
      </c>
      <c r="H37" s="32" t="str">
        <f>VLOOKUP(D37, Grid_Region_Mapping!$D$2:$F$5286, 3, FALSE)</f>
        <v>SRCE</v>
      </c>
      <c r="I37" s="32">
        <v>6.0</v>
      </c>
      <c r="J37" s="34" t="str">
        <f t="shared" si="1"/>
        <v>South</v>
      </c>
      <c r="K37" s="35">
        <v>4.0</v>
      </c>
      <c r="L37" s="35" t="s">
        <v>102</v>
      </c>
      <c r="M37" s="36">
        <f>VLOOKUP(D37, County_Data_CZones!$B$2:$F$3236, 2, FALSE)</f>
        <v>3</v>
      </c>
      <c r="N37" s="37" t="str">
        <f>VLOOKUP(D37, County_Data_CZones!$B$2:$F$3236, 5, FALSE)</f>
        <v>Mixed-Humid</v>
      </c>
    </row>
    <row r="38" ht="15.75" customHeight="1">
      <c r="A38" s="32" t="s">
        <v>139</v>
      </c>
      <c r="B38" s="32" t="s">
        <v>101</v>
      </c>
      <c r="C38" s="32" t="str">
        <f>vlookup(B38,State_EMM_RowSums!$A$2:$B$52,2,FALSE)</f>
        <v>AL</v>
      </c>
      <c r="D38" s="32">
        <v>1073.0</v>
      </c>
      <c r="E38" s="33">
        <f>IF(NOT(ISBLANK(vlookup($D38,Pop_Census_2023!$A$2:$E$3220,4,FALSE))),vlookup($D38,Pop_Census_2023!$A$2:$E$3220,4,FALSE), vlookup($D38,Pop_Census_2023!$A$2:$E$3220,5,FALSE))</f>
        <v>662895</v>
      </c>
      <c r="F38" s="32">
        <v>161562.0</v>
      </c>
      <c r="G38" s="32">
        <v>89.0</v>
      </c>
      <c r="H38" s="32" t="str">
        <f>VLOOKUP(D38, Grid_Region_Mapping!$D$2:$F$5286, 3, FALSE)</f>
        <v>SRSE</v>
      </c>
      <c r="I38" s="32">
        <v>6.0</v>
      </c>
      <c r="J38" s="34" t="str">
        <f t="shared" si="1"/>
        <v>South</v>
      </c>
      <c r="K38" s="35">
        <v>4.0</v>
      </c>
      <c r="L38" s="35" t="s">
        <v>102</v>
      </c>
      <c r="M38" s="36">
        <f>VLOOKUP(D38, County_Data_CZones!$B$2:$F$3236, 2, FALSE)</f>
        <v>3</v>
      </c>
      <c r="N38" s="37" t="str">
        <f>VLOOKUP(D38, County_Data_CZones!$B$2:$F$3236, 5, FALSE)</f>
        <v>Mixed-Humid</v>
      </c>
    </row>
    <row r="39" ht="15.75" customHeight="1">
      <c r="A39" s="32" t="s">
        <v>140</v>
      </c>
      <c r="B39" s="32" t="s">
        <v>101</v>
      </c>
      <c r="C39" s="32" t="str">
        <f>vlookup(B39,State_EMM_RowSums!$A$2:$B$52,2,FALSE)</f>
        <v>AL</v>
      </c>
      <c r="D39" s="32">
        <v>1075.0</v>
      </c>
      <c r="E39" s="33">
        <f>IF(NOT(ISBLANK(vlookup($D39,Pop_Census_2023!$A$2:$E$3220,4,FALSE))),vlookup($D39,Pop_Census_2023!$A$2:$E$3220,4,FALSE), vlookup($D39,Pop_Census_2023!$A$2:$E$3220,5,FALSE))</f>
        <v>13661</v>
      </c>
      <c r="F39" s="32">
        <v>161563.0</v>
      </c>
      <c r="G39" s="32">
        <v>89.0</v>
      </c>
      <c r="H39" s="32" t="str">
        <f>VLOOKUP(D39, Grid_Region_Mapping!$D$2:$F$5286, 3, FALSE)</f>
        <v>SRSE</v>
      </c>
      <c r="I39" s="32">
        <v>6.0</v>
      </c>
      <c r="J39" s="34" t="str">
        <f t="shared" si="1"/>
        <v>South</v>
      </c>
      <c r="K39" s="35">
        <v>4.0</v>
      </c>
      <c r="L39" s="35" t="s">
        <v>102</v>
      </c>
      <c r="M39" s="36">
        <f>VLOOKUP(D39, County_Data_CZones!$B$2:$F$3236, 2, FALSE)</f>
        <v>3</v>
      </c>
      <c r="N39" s="37" t="str">
        <f>VLOOKUP(D39, County_Data_CZones!$B$2:$F$3236, 5, FALSE)</f>
        <v>Mixed-Humid</v>
      </c>
    </row>
    <row r="40" ht="15.75" customHeight="1">
      <c r="A40" s="32" t="s">
        <v>141</v>
      </c>
      <c r="B40" s="32" t="s">
        <v>101</v>
      </c>
      <c r="C40" s="32" t="str">
        <f>vlookup(B40,State_EMM_RowSums!$A$2:$B$52,2,FALSE)</f>
        <v>AL</v>
      </c>
      <c r="D40" s="32">
        <v>1077.0</v>
      </c>
      <c r="E40" s="33">
        <f>IF(NOT(ISBLANK(vlookup($D40,Pop_Census_2023!$A$2:$E$3220,4,FALSE))),vlookup($D40,Pop_Census_2023!$A$2:$E$3220,4,FALSE), vlookup($D40,Pop_Census_2023!$A$2:$E$3220,5,FALSE))</f>
        <v>96814</v>
      </c>
      <c r="F40" s="32">
        <v>161564.0</v>
      </c>
      <c r="G40" s="32">
        <v>89.0</v>
      </c>
      <c r="H40" s="32" t="str">
        <f>VLOOKUP(D40, Grid_Region_Mapping!$D$2:$F$5286, 3, FALSE)</f>
        <v>SRCE</v>
      </c>
      <c r="I40" s="32">
        <v>6.0</v>
      </c>
      <c r="J40" s="34" t="str">
        <f t="shared" si="1"/>
        <v>South</v>
      </c>
      <c r="K40" s="35">
        <v>4.0</v>
      </c>
      <c r="L40" s="35" t="s">
        <v>102</v>
      </c>
      <c r="M40" s="36">
        <f>VLOOKUP(D40, County_Data_CZones!$B$2:$F$3236, 2, FALSE)</f>
        <v>3</v>
      </c>
      <c r="N40" s="37" t="str">
        <f>VLOOKUP(D40, County_Data_CZones!$B$2:$F$3236, 5, FALSE)</f>
        <v>Mixed-Humid</v>
      </c>
    </row>
    <row r="41" ht="15.75" customHeight="1">
      <c r="A41" s="32" t="s">
        <v>142</v>
      </c>
      <c r="B41" s="32" t="s">
        <v>101</v>
      </c>
      <c r="C41" s="32" t="str">
        <f>vlookup(B41,State_EMM_RowSums!$A$2:$B$52,2,FALSE)</f>
        <v>AL</v>
      </c>
      <c r="D41" s="32">
        <v>1079.0</v>
      </c>
      <c r="E41" s="33">
        <f>IF(NOT(ISBLANK(vlookup($D41,Pop_Census_2023!$A$2:$E$3220,4,FALSE))),vlookup($D41,Pop_Census_2023!$A$2:$E$3220,4,FALSE), vlookup($D41,Pop_Census_2023!$A$2:$E$3220,5,FALSE))</f>
        <v>33502</v>
      </c>
      <c r="F41" s="32">
        <v>161565.0</v>
      </c>
      <c r="G41" s="32">
        <v>89.0</v>
      </c>
      <c r="H41" s="32" t="str">
        <f>VLOOKUP(D41, Grid_Region_Mapping!$D$2:$F$5286, 3, FALSE)</f>
        <v>SRSE</v>
      </c>
      <c r="I41" s="32">
        <v>6.0</v>
      </c>
      <c r="J41" s="34" t="str">
        <f t="shared" si="1"/>
        <v>South</v>
      </c>
      <c r="K41" s="35">
        <v>4.0</v>
      </c>
      <c r="L41" s="35" t="s">
        <v>102</v>
      </c>
      <c r="M41" s="36">
        <f>VLOOKUP(D41, County_Data_CZones!$B$2:$F$3236, 2, FALSE)</f>
        <v>3</v>
      </c>
      <c r="N41" s="37" t="str">
        <f>VLOOKUP(D41, County_Data_CZones!$B$2:$F$3236, 5, FALSE)</f>
        <v>Mixed-Humid</v>
      </c>
    </row>
    <row r="42" ht="15.75" customHeight="1">
      <c r="A42" s="32" t="s">
        <v>143</v>
      </c>
      <c r="B42" s="32" t="s">
        <v>101</v>
      </c>
      <c r="C42" s="32" t="str">
        <f>vlookup(B42,State_EMM_RowSums!$A$2:$B$52,2,FALSE)</f>
        <v>AL</v>
      </c>
      <c r="D42" s="32">
        <v>1081.0</v>
      </c>
      <c r="E42" s="33">
        <f>IF(NOT(ISBLANK(vlookup($D42,Pop_Census_2023!$A$2:$E$3220,4,FALSE))),vlookup($D42,Pop_Census_2023!$A$2:$E$3220,4,FALSE), vlookup($D42,Pop_Census_2023!$A$2:$E$3220,5,FALSE))</f>
        <v>183215</v>
      </c>
      <c r="F42" s="32">
        <v>161566.0</v>
      </c>
      <c r="G42" s="32">
        <v>90.0</v>
      </c>
      <c r="H42" s="32" t="str">
        <f>VLOOKUP(D42, Grid_Region_Mapping!$D$2:$F$5286, 3, FALSE)</f>
        <v>SRSE</v>
      </c>
      <c r="I42" s="32">
        <v>6.0</v>
      </c>
      <c r="J42" s="34" t="str">
        <f t="shared" si="1"/>
        <v>South</v>
      </c>
      <c r="K42" s="35">
        <v>4.0</v>
      </c>
      <c r="L42" s="35" t="s">
        <v>102</v>
      </c>
      <c r="M42" s="36">
        <f>VLOOKUP(D42, County_Data_CZones!$B$2:$F$3236, 2, FALSE)</f>
        <v>3</v>
      </c>
      <c r="N42" s="37" t="str">
        <f>VLOOKUP(D42, County_Data_CZones!$B$2:$F$3236, 5, FALSE)</f>
        <v>Mixed-Humid</v>
      </c>
    </row>
    <row r="43" ht="15.75" customHeight="1">
      <c r="A43" s="32" t="s">
        <v>144</v>
      </c>
      <c r="B43" s="32" t="s">
        <v>101</v>
      </c>
      <c r="C43" s="32" t="str">
        <f>vlookup(B43,State_EMM_RowSums!$A$2:$B$52,2,FALSE)</f>
        <v>AL</v>
      </c>
      <c r="D43" s="32">
        <v>1083.0</v>
      </c>
      <c r="E43" s="33">
        <f>IF(NOT(ISBLANK(vlookup($D43,Pop_Census_2023!$A$2:$E$3220,4,FALSE))),vlookup($D43,Pop_Census_2023!$A$2:$E$3220,4,FALSE), vlookup($D43,Pop_Census_2023!$A$2:$E$3220,5,FALSE))</f>
        <v>114654</v>
      </c>
      <c r="F43" s="32">
        <v>161567.0</v>
      </c>
      <c r="G43" s="32">
        <v>89.0</v>
      </c>
      <c r="H43" s="32" t="str">
        <f>VLOOKUP(D43, Grid_Region_Mapping!$D$2:$F$5286, 3, FALSE)</f>
        <v>SRCE</v>
      </c>
      <c r="I43" s="32">
        <v>6.0</v>
      </c>
      <c r="J43" s="34" t="str">
        <f t="shared" si="1"/>
        <v>South</v>
      </c>
      <c r="K43" s="35">
        <v>4.0</v>
      </c>
      <c r="L43" s="35" t="s">
        <v>102</v>
      </c>
      <c r="M43" s="36">
        <f>VLOOKUP(D43, County_Data_CZones!$B$2:$F$3236, 2, FALSE)</f>
        <v>3</v>
      </c>
      <c r="N43" s="37" t="str">
        <f>VLOOKUP(D43, County_Data_CZones!$B$2:$F$3236, 5, FALSE)</f>
        <v>Mixed-Humid</v>
      </c>
    </row>
    <row r="44" ht="15.75" customHeight="1">
      <c r="A44" s="32" t="s">
        <v>145</v>
      </c>
      <c r="B44" s="32" t="s">
        <v>101</v>
      </c>
      <c r="C44" s="32" t="str">
        <f>vlookup(B44,State_EMM_RowSums!$A$2:$B$52,2,FALSE)</f>
        <v>AL</v>
      </c>
      <c r="D44" s="32">
        <v>1085.0</v>
      </c>
      <c r="E44" s="33">
        <f>IF(NOT(ISBLANK(vlookup($D44,Pop_Census_2023!$A$2:$E$3220,4,FALSE))),vlookup($D44,Pop_Census_2023!$A$2:$E$3220,4,FALSE), vlookup($D44,Pop_Census_2023!$A$2:$E$3220,5,FALSE))</f>
        <v>9717</v>
      </c>
      <c r="F44" s="32">
        <v>161568.0</v>
      </c>
      <c r="G44" s="32">
        <v>90.0</v>
      </c>
      <c r="H44" s="32" t="str">
        <f>VLOOKUP(D44, Grid_Region_Mapping!$D$2:$F$5286, 3, FALSE)</f>
        <v>SRSE</v>
      </c>
      <c r="I44" s="32">
        <v>6.0</v>
      </c>
      <c r="J44" s="34" t="str">
        <f t="shared" si="1"/>
        <v>South</v>
      </c>
      <c r="K44" s="35">
        <v>5.0</v>
      </c>
      <c r="L44" s="35" t="s">
        <v>102</v>
      </c>
      <c r="M44" s="36">
        <f>VLOOKUP(D44, County_Data_CZones!$B$2:$F$3236, 2, FALSE)</f>
        <v>3</v>
      </c>
      <c r="N44" s="37" t="str">
        <f>VLOOKUP(D44, County_Data_CZones!$B$2:$F$3236, 5, FALSE)</f>
        <v>Hot-Humid</v>
      </c>
    </row>
    <row r="45" ht="15.75" customHeight="1">
      <c r="A45" s="32" t="s">
        <v>146</v>
      </c>
      <c r="B45" s="32" t="s">
        <v>101</v>
      </c>
      <c r="C45" s="32" t="str">
        <f>vlookup(B45,State_EMM_RowSums!$A$2:$B$52,2,FALSE)</f>
        <v>AL</v>
      </c>
      <c r="D45" s="32">
        <v>1087.0</v>
      </c>
      <c r="E45" s="33">
        <f>IF(NOT(ISBLANK(vlookup($D45,Pop_Census_2023!$A$2:$E$3220,4,FALSE))),vlookup($D45,Pop_Census_2023!$A$2:$E$3220,4,FALSE), vlookup($D45,Pop_Census_2023!$A$2:$E$3220,5,FALSE))</f>
        <v>18370</v>
      </c>
      <c r="F45" s="32">
        <v>161569.0</v>
      </c>
      <c r="G45" s="32">
        <v>90.0</v>
      </c>
      <c r="H45" s="32" t="str">
        <f>VLOOKUP(D45, Grid_Region_Mapping!$D$2:$F$5286, 3, FALSE)</f>
        <v>SRSE</v>
      </c>
      <c r="I45" s="32">
        <v>6.0</v>
      </c>
      <c r="J45" s="34" t="str">
        <f t="shared" si="1"/>
        <v>South</v>
      </c>
      <c r="K45" s="35">
        <v>4.0</v>
      </c>
      <c r="L45" s="35" t="s">
        <v>102</v>
      </c>
      <c r="M45" s="36">
        <f>VLOOKUP(D45, County_Data_CZones!$B$2:$F$3236, 2, FALSE)</f>
        <v>3</v>
      </c>
      <c r="N45" s="37" t="str">
        <f>VLOOKUP(D45, County_Data_CZones!$B$2:$F$3236, 5, FALSE)</f>
        <v>Hot-Humid</v>
      </c>
    </row>
    <row r="46" ht="15.75" customHeight="1">
      <c r="A46" s="32" t="s">
        <v>147</v>
      </c>
      <c r="B46" s="32" t="s">
        <v>101</v>
      </c>
      <c r="C46" s="32" t="str">
        <f>vlookup(B46,State_EMM_RowSums!$A$2:$B$52,2,FALSE)</f>
        <v>AL</v>
      </c>
      <c r="D46" s="32">
        <v>1089.0</v>
      </c>
      <c r="E46" s="33">
        <f>IF(NOT(ISBLANK(vlookup($D46,Pop_Census_2023!$A$2:$E$3220,4,FALSE))),vlookup($D46,Pop_Census_2023!$A$2:$E$3220,4,FALSE), vlookup($D46,Pop_Census_2023!$A$2:$E$3220,5,FALSE))</f>
        <v>412600</v>
      </c>
      <c r="F46" s="32">
        <v>161570.0</v>
      </c>
      <c r="G46" s="32">
        <v>89.0</v>
      </c>
      <c r="H46" s="32" t="str">
        <f>VLOOKUP(D46, Grid_Region_Mapping!$D$2:$F$5286, 3, FALSE)</f>
        <v>SRCE</v>
      </c>
      <c r="I46" s="32">
        <v>6.0</v>
      </c>
      <c r="J46" s="34" t="str">
        <f t="shared" si="1"/>
        <v>South</v>
      </c>
      <c r="K46" s="35">
        <v>4.0</v>
      </c>
      <c r="L46" s="35" t="s">
        <v>102</v>
      </c>
      <c r="M46" s="36">
        <f>VLOOKUP(D46, County_Data_CZones!$B$2:$F$3236, 2, FALSE)</f>
        <v>3</v>
      </c>
      <c r="N46" s="37" t="str">
        <f>VLOOKUP(D46, County_Data_CZones!$B$2:$F$3236, 5, FALSE)</f>
        <v>Mixed-Humid</v>
      </c>
    </row>
    <row r="47" ht="15.75" customHeight="1">
      <c r="A47" s="32" t="s">
        <v>148</v>
      </c>
      <c r="B47" s="32" t="s">
        <v>101</v>
      </c>
      <c r="C47" s="32" t="str">
        <f>vlookup(B47,State_EMM_RowSums!$A$2:$B$52,2,FALSE)</f>
        <v>AL</v>
      </c>
      <c r="D47" s="32">
        <v>1091.0</v>
      </c>
      <c r="E47" s="33">
        <f>IF(NOT(ISBLANK(vlookup($D47,Pop_Census_2023!$A$2:$E$3220,4,FALSE))),vlookup($D47,Pop_Census_2023!$A$2:$E$3220,4,FALSE), vlookup($D47,Pop_Census_2023!$A$2:$E$3220,5,FALSE))</f>
        <v>18684</v>
      </c>
      <c r="F47" s="32">
        <v>161572.0</v>
      </c>
      <c r="G47" s="32">
        <v>89.0</v>
      </c>
      <c r="H47" s="32" t="str">
        <f>VLOOKUP(D47, Grid_Region_Mapping!$D$2:$F$5286, 3, FALSE)</f>
        <v>SRSE</v>
      </c>
      <c r="I47" s="32">
        <v>6.0</v>
      </c>
      <c r="J47" s="34" t="str">
        <f t="shared" si="1"/>
        <v>South</v>
      </c>
      <c r="K47" s="35">
        <v>5.0</v>
      </c>
      <c r="L47" s="35" t="s">
        <v>102</v>
      </c>
      <c r="M47" s="36">
        <f>VLOOKUP(D47, County_Data_CZones!$B$2:$F$3236, 2, FALSE)</f>
        <v>3</v>
      </c>
      <c r="N47" s="37" t="str">
        <f>VLOOKUP(D47, County_Data_CZones!$B$2:$F$3236, 5, FALSE)</f>
        <v>Hot-Humid</v>
      </c>
    </row>
    <row r="48" ht="15.75" customHeight="1">
      <c r="A48" s="32" t="s">
        <v>149</v>
      </c>
      <c r="B48" s="32" t="s">
        <v>101</v>
      </c>
      <c r="C48" s="32" t="str">
        <f>vlookup(B48,State_EMM_RowSums!$A$2:$B$52,2,FALSE)</f>
        <v>AL</v>
      </c>
      <c r="D48" s="32">
        <v>1093.0</v>
      </c>
      <c r="E48" s="33">
        <f>IF(NOT(ISBLANK(vlookup($D48,Pop_Census_2023!$A$2:$E$3220,4,FALSE))),vlookup($D48,Pop_Census_2023!$A$2:$E$3220,4,FALSE), vlookup($D48,Pop_Census_2023!$A$2:$E$3220,5,FALSE))</f>
        <v>29244</v>
      </c>
      <c r="F48" s="32">
        <v>161573.0</v>
      </c>
      <c r="G48" s="32">
        <v>89.0</v>
      </c>
      <c r="H48" s="32" t="str">
        <f>VLOOKUP(D48, Grid_Region_Mapping!$D$2:$F$5286, 3, FALSE)</f>
        <v>SRSE</v>
      </c>
      <c r="I48" s="32">
        <v>6.0</v>
      </c>
      <c r="J48" s="34" t="str">
        <f t="shared" si="1"/>
        <v>South</v>
      </c>
      <c r="K48" s="35">
        <v>4.0</v>
      </c>
      <c r="L48" s="35" t="s">
        <v>102</v>
      </c>
      <c r="M48" s="36">
        <f>VLOOKUP(D48, County_Data_CZones!$B$2:$F$3236, 2, FALSE)</f>
        <v>3</v>
      </c>
      <c r="N48" s="37" t="str">
        <f>VLOOKUP(D48, County_Data_CZones!$B$2:$F$3236, 5, FALSE)</f>
        <v>Mixed-Humid</v>
      </c>
    </row>
    <row r="49" ht="15.75" customHeight="1">
      <c r="A49" s="32" t="s">
        <v>150</v>
      </c>
      <c r="B49" s="32" t="s">
        <v>101</v>
      </c>
      <c r="C49" s="32" t="str">
        <f>vlookup(B49,State_EMM_RowSums!$A$2:$B$52,2,FALSE)</f>
        <v>AL</v>
      </c>
      <c r="D49" s="32">
        <v>1095.0</v>
      </c>
      <c r="E49" s="33">
        <f>IF(NOT(ISBLANK(vlookup($D49,Pop_Census_2023!$A$2:$E$3220,4,FALSE))),vlookup($D49,Pop_Census_2023!$A$2:$E$3220,4,FALSE), vlookup($D49,Pop_Census_2023!$A$2:$E$3220,5,FALSE))</f>
        <v>100756</v>
      </c>
      <c r="F49" s="32">
        <v>161574.0</v>
      </c>
      <c r="G49" s="32">
        <v>89.0</v>
      </c>
      <c r="H49" s="32" t="str">
        <f>VLOOKUP(D49, Grid_Region_Mapping!$D$2:$F$5286, 3, FALSE)</f>
        <v>SRSE</v>
      </c>
      <c r="I49" s="32">
        <v>6.0</v>
      </c>
      <c r="J49" s="34" t="str">
        <f t="shared" si="1"/>
        <v>South</v>
      </c>
      <c r="K49" s="35">
        <v>4.0</v>
      </c>
      <c r="L49" s="35" t="s">
        <v>102</v>
      </c>
      <c r="M49" s="36">
        <f>VLOOKUP(D49, County_Data_CZones!$B$2:$F$3236, 2, FALSE)</f>
        <v>3</v>
      </c>
      <c r="N49" s="37" t="str">
        <f>VLOOKUP(D49, County_Data_CZones!$B$2:$F$3236, 5, FALSE)</f>
        <v>Mixed-Humid</v>
      </c>
    </row>
    <row r="50" ht="15.75" customHeight="1">
      <c r="A50" s="32" t="s">
        <v>151</v>
      </c>
      <c r="B50" s="32" t="s">
        <v>101</v>
      </c>
      <c r="C50" s="32" t="str">
        <f>vlookup(B50,State_EMM_RowSums!$A$2:$B$52,2,FALSE)</f>
        <v>AL</v>
      </c>
      <c r="D50" s="32">
        <v>1097.0</v>
      </c>
      <c r="E50" s="33">
        <f>IF(NOT(ISBLANK(vlookup($D50,Pop_Census_2023!$A$2:$E$3220,4,FALSE))),vlookup($D50,Pop_Census_2023!$A$2:$E$3220,4,FALSE), vlookup($D50,Pop_Census_2023!$A$2:$E$3220,5,FALSE))</f>
        <v>411640</v>
      </c>
      <c r="F50" s="32">
        <v>161575.0</v>
      </c>
      <c r="G50" s="32">
        <v>90.0</v>
      </c>
      <c r="H50" s="32" t="str">
        <f>VLOOKUP(D50, Grid_Region_Mapping!$D$2:$F$5286, 3, FALSE)</f>
        <v>SRSE</v>
      </c>
      <c r="I50" s="32">
        <v>6.0</v>
      </c>
      <c r="J50" s="34" t="str">
        <f t="shared" si="1"/>
        <v>South</v>
      </c>
      <c r="K50" s="35">
        <v>5.0</v>
      </c>
      <c r="L50" s="35" t="s">
        <v>104</v>
      </c>
      <c r="M50" s="36">
        <f>VLOOKUP(D50, County_Data_CZones!$B$2:$F$3236, 2, FALSE)</f>
        <v>2</v>
      </c>
      <c r="N50" s="37" t="str">
        <f>VLOOKUP(D50, County_Data_CZones!$B$2:$F$3236, 5, FALSE)</f>
        <v>Hot-Humid</v>
      </c>
    </row>
    <row r="51" ht="15.75" customHeight="1">
      <c r="A51" s="32" t="s">
        <v>152</v>
      </c>
      <c r="B51" s="32" t="s">
        <v>101</v>
      </c>
      <c r="C51" s="32" t="str">
        <f>vlookup(B51,State_EMM_RowSums!$A$2:$B$52,2,FALSE)</f>
        <v>AL</v>
      </c>
      <c r="D51" s="32">
        <v>1099.0</v>
      </c>
      <c r="E51" s="33">
        <f>IF(NOT(ISBLANK(vlookup($D51,Pop_Census_2023!$A$2:$E$3220,4,FALSE))),vlookup($D51,Pop_Census_2023!$A$2:$E$3220,4,FALSE), vlookup($D51,Pop_Census_2023!$A$2:$E$3220,5,FALSE))</f>
        <v>19229</v>
      </c>
      <c r="F51" s="32">
        <v>161576.0</v>
      </c>
      <c r="G51" s="32">
        <v>90.0</v>
      </c>
      <c r="H51" s="32" t="str">
        <f>VLOOKUP(D51, Grid_Region_Mapping!$D$2:$F$5286, 3, FALSE)</f>
        <v>SRSE</v>
      </c>
      <c r="I51" s="32">
        <v>6.0</v>
      </c>
      <c r="J51" s="34" t="str">
        <f t="shared" si="1"/>
        <v>South</v>
      </c>
      <c r="K51" s="35">
        <v>5.0</v>
      </c>
      <c r="L51" s="35" t="s">
        <v>102</v>
      </c>
      <c r="M51" s="36">
        <f>VLOOKUP(D51, County_Data_CZones!$B$2:$F$3236, 2, FALSE)</f>
        <v>3</v>
      </c>
      <c r="N51" s="37" t="str">
        <f>VLOOKUP(D51, County_Data_CZones!$B$2:$F$3236, 5, FALSE)</f>
        <v>Hot-Humid</v>
      </c>
    </row>
    <row r="52" ht="15.75" customHeight="1">
      <c r="A52" s="32" t="s">
        <v>153</v>
      </c>
      <c r="B52" s="32" t="s">
        <v>101</v>
      </c>
      <c r="C52" s="32" t="str">
        <f>vlookup(B52,State_EMM_RowSums!$A$2:$B$52,2,FALSE)</f>
        <v>AL</v>
      </c>
      <c r="D52" s="32">
        <v>1101.0</v>
      </c>
      <c r="E52" s="33">
        <f>IF(NOT(ISBLANK(vlookup($D52,Pop_Census_2023!$A$2:$E$3220,4,FALSE))),vlookup($D52,Pop_Census_2023!$A$2:$E$3220,4,FALSE), vlookup($D52,Pop_Census_2023!$A$2:$E$3220,5,FALSE))</f>
        <v>224980</v>
      </c>
      <c r="F52" s="32">
        <v>161577.0</v>
      </c>
      <c r="G52" s="32">
        <v>90.0</v>
      </c>
      <c r="H52" s="32" t="str">
        <f>VLOOKUP(D52, Grid_Region_Mapping!$D$2:$F$5286, 3, FALSE)</f>
        <v>SRSE</v>
      </c>
      <c r="I52" s="32">
        <v>6.0</v>
      </c>
      <c r="J52" s="34" t="str">
        <f t="shared" si="1"/>
        <v>South</v>
      </c>
      <c r="K52" s="35">
        <v>5.0</v>
      </c>
      <c r="L52" s="35" t="s">
        <v>102</v>
      </c>
      <c r="M52" s="36">
        <f>VLOOKUP(D52, County_Data_CZones!$B$2:$F$3236, 2, FALSE)</f>
        <v>3</v>
      </c>
      <c r="N52" s="37" t="str">
        <f>VLOOKUP(D52, County_Data_CZones!$B$2:$F$3236, 5, FALSE)</f>
        <v>Hot-Humid</v>
      </c>
    </row>
    <row r="53" ht="15.75" customHeight="1">
      <c r="A53" s="32" t="s">
        <v>154</v>
      </c>
      <c r="B53" s="32" t="s">
        <v>101</v>
      </c>
      <c r="C53" s="32" t="str">
        <f>vlookup(B53,State_EMM_RowSums!$A$2:$B$52,2,FALSE)</f>
        <v>AL</v>
      </c>
      <c r="D53" s="32">
        <v>1103.0</v>
      </c>
      <c r="E53" s="33">
        <f>IF(NOT(ISBLANK(vlookup($D53,Pop_Census_2023!$A$2:$E$3220,4,FALSE))),vlookup($D53,Pop_Census_2023!$A$2:$E$3220,4,FALSE), vlookup($D53,Pop_Census_2023!$A$2:$E$3220,5,FALSE))</f>
        <v>125133</v>
      </c>
      <c r="F53" s="32">
        <v>161578.0</v>
      </c>
      <c r="G53" s="32">
        <v>89.0</v>
      </c>
      <c r="H53" s="32" t="str">
        <f>VLOOKUP(D53, Grid_Region_Mapping!$D$2:$F$5286, 3, FALSE)</f>
        <v>SRCE</v>
      </c>
      <c r="I53" s="32">
        <v>6.0</v>
      </c>
      <c r="J53" s="34" t="str">
        <f t="shared" si="1"/>
        <v>South</v>
      </c>
      <c r="K53" s="35">
        <v>4.0</v>
      </c>
      <c r="L53" s="35" t="s">
        <v>102</v>
      </c>
      <c r="M53" s="36">
        <f>VLOOKUP(D53, County_Data_CZones!$B$2:$F$3236, 2, FALSE)</f>
        <v>3</v>
      </c>
      <c r="N53" s="37" t="str">
        <f>VLOOKUP(D53, County_Data_CZones!$B$2:$F$3236, 5, FALSE)</f>
        <v>Mixed-Humid</v>
      </c>
    </row>
    <row r="54" ht="15.75" customHeight="1">
      <c r="A54" s="32" t="s">
        <v>155</v>
      </c>
      <c r="B54" s="32" t="s">
        <v>101</v>
      </c>
      <c r="C54" s="32" t="str">
        <f>vlookup(B54,State_EMM_RowSums!$A$2:$B$52,2,FALSE)</f>
        <v>AL</v>
      </c>
      <c r="D54" s="32">
        <v>1105.0</v>
      </c>
      <c r="E54" s="33">
        <f>IF(NOT(ISBLANK(vlookup($D54,Pop_Census_2023!$A$2:$E$3220,4,FALSE))),vlookup($D54,Pop_Census_2023!$A$2:$E$3220,4,FALSE), vlookup($D54,Pop_Census_2023!$A$2:$E$3220,5,FALSE))</f>
        <v>7738</v>
      </c>
      <c r="F54" s="32">
        <v>161579.0</v>
      </c>
      <c r="G54" s="32">
        <v>89.0</v>
      </c>
      <c r="H54" s="32" t="str">
        <f>VLOOKUP(D54, Grid_Region_Mapping!$D$2:$F$5286, 3, FALSE)</f>
        <v>SRSE</v>
      </c>
      <c r="I54" s="32">
        <v>6.0</v>
      </c>
      <c r="J54" s="34" t="str">
        <f t="shared" si="1"/>
        <v>South</v>
      </c>
      <c r="K54" s="35">
        <v>4.0</v>
      </c>
      <c r="L54" s="35" t="s">
        <v>102</v>
      </c>
      <c r="M54" s="36">
        <f>VLOOKUP(D54, County_Data_CZones!$B$2:$F$3236, 2, FALSE)</f>
        <v>3</v>
      </c>
      <c r="N54" s="37" t="str">
        <f>VLOOKUP(D54, County_Data_CZones!$B$2:$F$3236, 5, FALSE)</f>
        <v>Hot-Humid</v>
      </c>
    </row>
    <row r="55" ht="15.75" customHeight="1">
      <c r="A55" s="32" t="s">
        <v>156</v>
      </c>
      <c r="B55" s="32" t="s">
        <v>101</v>
      </c>
      <c r="C55" s="32" t="str">
        <f>vlookup(B55,State_EMM_RowSums!$A$2:$B$52,2,FALSE)</f>
        <v>AL</v>
      </c>
      <c r="D55" s="32">
        <v>1107.0</v>
      </c>
      <c r="E55" s="33">
        <f>IF(NOT(ISBLANK(vlookup($D55,Pop_Census_2023!$A$2:$E$3220,4,FALSE))),vlookup($D55,Pop_Census_2023!$A$2:$E$3220,4,FALSE), vlookup($D55,Pop_Census_2023!$A$2:$E$3220,5,FALSE))</f>
        <v>18688</v>
      </c>
      <c r="F55" s="32">
        <v>161580.0</v>
      </c>
      <c r="G55" s="32">
        <v>89.0</v>
      </c>
      <c r="H55" s="32" t="str">
        <f>VLOOKUP(D55, Grid_Region_Mapping!$D$2:$F$5286, 3, FALSE)</f>
        <v>SRSE</v>
      </c>
      <c r="I55" s="32">
        <v>6.0</v>
      </c>
      <c r="J55" s="34" t="str">
        <f t="shared" si="1"/>
        <v>South</v>
      </c>
      <c r="K55" s="35">
        <v>4.0</v>
      </c>
      <c r="L55" s="35" t="s">
        <v>102</v>
      </c>
      <c r="M55" s="36">
        <f>VLOOKUP(D55, County_Data_CZones!$B$2:$F$3236, 2, FALSE)</f>
        <v>3</v>
      </c>
      <c r="N55" s="37" t="str">
        <f>VLOOKUP(D55, County_Data_CZones!$B$2:$F$3236, 5, FALSE)</f>
        <v>Mixed-Humid</v>
      </c>
    </row>
    <row r="56" ht="15.75" customHeight="1">
      <c r="A56" s="32" t="s">
        <v>157</v>
      </c>
      <c r="B56" s="32" t="s">
        <v>101</v>
      </c>
      <c r="C56" s="32" t="str">
        <f>vlookup(B56,State_EMM_RowSums!$A$2:$B$52,2,FALSE)</f>
        <v>AL</v>
      </c>
      <c r="D56" s="32">
        <v>1109.0</v>
      </c>
      <c r="E56" s="33">
        <f>IF(NOT(ISBLANK(vlookup($D56,Pop_Census_2023!$A$2:$E$3220,4,FALSE))),vlookup($D56,Pop_Census_2023!$A$2:$E$3220,4,FALSE), vlookup($D56,Pop_Census_2023!$A$2:$E$3220,5,FALSE))</f>
        <v>33137</v>
      </c>
      <c r="F56" s="32">
        <v>161581.0</v>
      </c>
      <c r="G56" s="32">
        <v>90.0</v>
      </c>
      <c r="H56" s="32" t="str">
        <f>VLOOKUP(D56, Grid_Region_Mapping!$D$2:$F$5286, 3, FALSE)</f>
        <v>SRSE</v>
      </c>
      <c r="I56" s="32">
        <v>6.0</v>
      </c>
      <c r="J56" s="34" t="str">
        <f t="shared" si="1"/>
        <v>South</v>
      </c>
      <c r="K56" s="35">
        <v>5.0</v>
      </c>
      <c r="L56" s="35" t="s">
        <v>102</v>
      </c>
      <c r="M56" s="36">
        <f>VLOOKUP(D56, County_Data_CZones!$B$2:$F$3236, 2, FALSE)</f>
        <v>3</v>
      </c>
      <c r="N56" s="37" t="str">
        <f>VLOOKUP(D56, County_Data_CZones!$B$2:$F$3236, 5, FALSE)</f>
        <v>Hot-Humid</v>
      </c>
    </row>
    <row r="57" ht="15.75" customHeight="1">
      <c r="A57" s="32" t="s">
        <v>158</v>
      </c>
      <c r="B57" s="32" t="s">
        <v>101</v>
      </c>
      <c r="C57" s="32" t="str">
        <f>vlookup(B57,State_EMM_RowSums!$A$2:$B$52,2,FALSE)</f>
        <v>AL</v>
      </c>
      <c r="D57" s="32">
        <v>1111.0</v>
      </c>
      <c r="E57" s="33">
        <f>IF(NOT(ISBLANK(vlookup($D57,Pop_Census_2023!$A$2:$E$3220,4,FALSE))),vlookup($D57,Pop_Census_2023!$A$2:$E$3220,4,FALSE), vlookup($D57,Pop_Census_2023!$A$2:$E$3220,5,FALSE))</f>
        <v>22786</v>
      </c>
      <c r="F57" s="32">
        <v>161582.0</v>
      </c>
      <c r="G57" s="32">
        <v>90.0</v>
      </c>
      <c r="H57" s="32" t="str">
        <f>VLOOKUP(D57, Grid_Region_Mapping!$D$2:$F$5286, 3, FALSE)</f>
        <v>SRSE</v>
      </c>
      <c r="I57" s="32">
        <v>6.0</v>
      </c>
      <c r="J57" s="34" t="str">
        <f t="shared" si="1"/>
        <v>South</v>
      </c>
      <c r="K57" s="35">
        <v>4.0</v>
      </c>
      <c r="L57" s="35" t="s">
        <v>102</v>
      </c>
      <c r="M57" s="36">
        <f>VLOOKUP(D57, County_Data_CZones!$B$2:$F$3236, 2, FALSE)</f>
        <v>3</v>
      </c>
      <c r="N57" s="37" t="str">
        <f>VLOOKUP(D57, County_Data_CZones!$B$2:$F$3236, 5, FALSE)</f>
        <v>Mixed-Humid</v>
      </c>
    </row>
    <row r="58" ht="15.75" customHeight="1">
      <c r="A58" s="32" t="s">
        <v>159</v>
      </c>
      <c r="B58" s="32" t="s">
        <v>101</v>
      </c>
      <c r="C58" s="32" t="str">
        <f>vlookup(B58,State_EMM_RowSums!$A$2:$B$52,2,FALSE)</f>
        <v>AL</v>
      </c>
      <c r="D58" s="32">
        <v>1113.0</v>
      </c>
      <c r="E58" s="33">
        <f>IF(NOT(ISBLANK(vlookup($D58,Pop_Census_2023!$A$2:$E$3220,4,FALSE))),vlookup($D58,Pop_Census_2023!$A$2:$E$3220,4,FALSE), vlookup($D58,Pop_Census_2023!$A$2:$E$3220,5,FALSE))</f>
        <v>58744</v>
      </c>
      <c r="F58" s="32">
        <v>161583.0</v>
      </c>
      <c r="G58" s="32">
        <v>90.0</v>
      </c>
      <c r="H58" s="32" t="str">
        <f>VLOOKUP(D58, Grid_Region_Mapping!$D$2:$F$5286, 3, FALSE)</f>
        <v>SRSE</v>
      </c>
      <c r="I58" s="32">
        <v>6.0</v>
      </c>
      <c r="J58" s="34" t="str">
        <f t="shared" si="1"/>
        <v>South</v>
      </c>
      <c r="K58" s="35">
        <v>5.0</v>
      </c>
      <c r="L58" s="35" t="s">
        <v>102</v>
      </c>
      <c r="M58" s="36">
        <f>VLOOKUP(D58, County_Data_CZones!$B$2:$F$3236, 2, FALSE)</f>
        <v>3</v>
      </c>
      <c r="N58" s="37" t="str">
        <f>VLOOKUP(D58, County_Data_CZones!$B$2:$F$3236, 5, FALSE)</f>
        <v>Hot-Humid</v>
      </c>
    </row>
    <row r="59" ht="15.75" customHeight="1">
      <c r="A59" s="32" t="s">
        <v>160</v>
      </c>
      <c r="B59" s="32" t="s">
        <v>101</v>
      </c>
      <c r="C59" s="32" t="str">
        <f>vlookup(B59,State_EMM_RowSums!$A$2:$B$52,2,FALSE)</f>
        <v>AL</v>
      </c>
      <c r="D59" s="32">
        <v>1115.0</v>
      </c>
      <c r="E59" s="33">
        <f>IF(NOT(ISBLANK(vlookup($D59,Pop_Census_2023!$A$2:$E$3220,4,FALSE))),vlookup($D59,Pop_Census_2023!$A$2:$E$3220,4,FALSE), vlookup($D59,Pop_Census_2023!$A$2:$E$3220,5,FALSE))</f>
        <v>95552</v>
      </c>
      <c r="F59" s="32">
        <v>164997.0</v>
      </c>
      <c r="G59" s="32">
        <v>90.0</v>
      </c>
      <c r="H59" s="32" t="str">
        <f>VLOOKUP(D59, Grid_Region_Mapping!$D$2:$F$5286, 3, FALSE)</f>
        <v>SRSE</v>
      </c>
      <c r="I59" s="32">
        <v>6.0</v>
      </c>
      <c r="J59" s="34" t="str">
        <f t="shared" si="1"/>
        <v>South</v>
      </c>
      <c r="K59" s="35">
        <v>4.0</v>
      </c>
      <c r="L59" s="35" t="s">
        <v>102</v>
      </c>
      <c r="M59" s="36">
        <f>VLOOKUP(D59, County_Data_CZones!$B$2:$F$3236, 2, FALSE)</f>
        <v>3</v>
      </c>
      <c r="N59" s="37" t="str">
        <f>VLOOKUP(D59, County_Data_CZones!$B$2:$F$3236, 5, FALSE)</f>
        <v>Mixed-Humid</v>
      </c>
    </row>
    <row r="60" ht="15.75" customHeight="1">
      <c r="A60" s="32" t="s">
        <v>161</v>
      </c>
      <c r="B60" s="32" t="s">
        <v>101</v>
      </c>
      <c r="C60" s="32" t="str">
        <f>vlookup(B60,State_EMM_RowSums!$A$2:$B$52,2,FALSE)</f>
        <v>AL</v>
      </c>
      <c r="D60" s="32">
        <v>1117.0</v>
      </c>
      <c r="E60" s="33">
        <f>IF(NOT(ISBLANK(vlookup($D60,Pop_Census_2023!$A$2:$E$3220,4,FALSE))),vlookup($D60,Pop_Census_2023!$A$2:$E$3220,4,FALSE), vlookup($D60,Pop_Census_2023!$A$2:$E$3220,5,FALSE))</f>
        <v>233000</v>
      </c>
      <c r="F60" s="32">
        <v>161584.0</v>
      </c>
      <c r="G60" s="32">
        <v>89.0</v>
      </c>
      <c r="H60" s="32" t="str">
        <f>VLOOKUP(D60, Grid_Region_Mapping!$D$2:$F$5286, 3, FALSE)</f>
        <v>SRSE</v>
      </c>
      <c r="I60" s="32">
        <v>6.0</v>
      </c>
      <c r="J60" s="34" t="str">
        <f t="shared" si="1"/>
        <v>South</v>
      </c>
      <c r="K60" s="35">
        <v>4.0</v>
      </c>
      <c r="L60" s="35" t="s">
        <v>102</v>
      </c>
      <c r="M60" s="36">
        <f>VLOOKUP(D60, County_Data_CZones!$B$2:$F$3236, 2, FALSE)</f>
        <v>3</v>
      </c>
      <c r="N60" s="37" t="str">
        <f>VLOOKUP(D60, County_Data_CZones!$B$2:$F$3236, 5, FALSE)</f>
        <v>Mixed-Humid</v>
      </c>
    </row>
    <row r="61" ht="15.75" customHeight="1">
      <c r="A61" s="32" t="s">
        <v>162</v>
      </c>
      <c r="B61" s="32" t="s">
        <v>101</v>
      </c>
      <c r="C61" s="32" t="str">
        <f>vlookup(B61,State_EMM_RowSums!$A$2:$B$52,2,FALSE)</f>
        <v>AL</v>
      </c>
      <c r="D61" s="32">
        <v>1119.0</v>
      </c>
      <c r="E61" s="33">
        <f>IF(NOT(ISBLANK(vlookup($D61,Pop_Census_2023!$A$2:$E$3220,4,FALSE))),vlookup($D61,Pop_Census_2023!$A$2:$E$3220,4,FALSE), vlookup($D61,Pop_Census_2023!$A$2:$E$3220,5,FALSE))</f>
        <v>11727</v>
      </c>
      <c r="F61" s="32">
        <v>161585.0</v>
      </c>
      <c r="G61" s="32">
        <v>89.0</v>
      </c>
      <c r="H61" s="32" t="str">
        <f>VLOOKUP(D61, Grid_Region_Mapping!$D$2:$F$5286, 3, FALSE)</f>
        <v>SRSE</v>
      </c>
      <c r="I61" s="32">
        <v>6.0</v>
      </c>
      <c r="J61" s="34" t="str">
        <f t="shared" si="1"/>
        <v>South</v>
      </c>
      <c r="K61" s="35">
        <v>4.0</v>
      </c>
      <c r="L61" s="35" t="s">
        <v>102</v>
      </c>
      <c r="M61" s="36">
        <f>VLOOKUP(D61, County_Data_CZones!$B$2:$F$3236, 2, FALSE)</f>
        <v>3</v>
      </c>
      <c r="N61" s="37" t="str">
        <f>VLOOKUP(D61, County_Data_CZones!$B$2:$F$3236, 5, FALSE)</f>
        <v>Mixed-Humid</v>
      </c>
    </row>
    <row r="62" ht="15.75" customHeight="1">
      <c r="A62" s="32" t="s">
        <v>163</v>
      </c>
      <c r="B62" s="32" t="s">
        <v>101</v>
      </c>
      <c r="C62" s="32" t="str">
        <f>vlookup(B62,State_EMM_RowSums!$A$2:$B$52,2,FALSE)</f>
        <v>AL</v>
      </c>
      <c r="D62" s="32">
        <v>1121.0</v>
      </c>
      <c r="E62" s="33">
        <f>IF(NOT(ISBLANK(vlookup($D62,Pop_Census_2023!$A$2:$E$3220,4,FALSE))),vlookup($D62,Pop_Census_2023!$A$2:$E$3220,4,FALSE), vlookup($D62,Pop_Census_2023!$A$2:$E$3220,5,FALSE))</f>
        <v>81132</v>
      </c>
      <c r="F62" s="32">
        <v>161586.0</v>
      </c>
      <c r="G62" s="32">
        <v>90.0</v>
      </c>
      <c r="H62" s="32" t="str">
        <f>VLOOKUP(D62, Grid_Region_Mapping!$D$2:$F$5286, 3, FALSE)</f>
        <v>SRSE</v>
      </c>
      <c r="I62" s="32">
        <v>6.0</v>
      </c>
      <c r="J62" s="34" t="str">
        <f t="shared" si="1"/>
        <v>South</v>
      </c>
      <c r="K62" s="35">
        <v>4.0</v>
      </c>
      <c r="L62" s="35" t="s">
        <v>102</v>
      </c>
      <c r="M62" s="36">
        <f>VLOOKUP(D62, County_Data_CZones!$B$2:$F$3236, 2, FALSE)</f>
        <v>3</v>
      </c>
      <c r="N62" s="37" t="str">
        <f>VLOOKUP(D62, County_Data_CZones!$B$2:$F$3236, 5, FALSE)</f>
        <v>Mixed-Humid</v>
      </c>
    </row>
    <row r="63" ht="15.75" customHeight="1">
      <c r="A63" s="32" t="s">
        <v>164</v>
      </c>
      <c r="B63" s="32" t="s">
        <v>101</v>
      </c>
      <c r="C63" s="32" t="str">
        <f>vlookup(B63,State_EMM_RowSums!$A$2:$B$52,2,FALSE)</f>
        <v>AL</v>
      </c>
      <c r="D63" s="32">
        <v>1123.0</v>
      </c>
      <c r="E63" s="33">
        <f>IF(NOT(ISBLANK(vlookup($D63,Pop_Census_2023!$A$2:$E$3220,4,FALSE))),vlookup($D63,Pop_Census_2023!$A$2:$E$3220,4,FALSE), vlookup($D63,Pop_Census_2023!$A$2:$E$3220,5,FALSE))</f>
        <v>40677</v>
      </c>
      <c r="F63" s="32">
        <v>161587.0</v>
      </c>
      <c r="G63" s="32">
        <v>90.0</v>
      </c>
      <c r="H63" s="32" t="str">
        <f>VLOOKUP(D63, Grid_Region_Mapping!$D$2:$F$5286, 3, FALSE)</f>
        <v>SRSE</v>
      </c>
      <c r="I63" s="32">
        <v>6.0</v>
      </c>
      <c r="J63" s="34" t="str">
        <f t="shared" si="1"/>
        <v>South</v>
      </c>
      <c r="K63" s="35">
        <v>4.0</v>
      </c>
      <c r="L63" s="35" t="s">
        <v>102</v>
      </c>
      <c r="M63" s="36">
        <f>VLOOKUP(D63, County_Data_CZones!$B$2:$F$3236, 2, FALSE)</f>
        <v>3</v>
      </c>
      <c r="N63" s="37" t="str">
        <f>VLOOKUP(D63, County_Data_CZones!$B$2:$F$3236, 5, FALSE)</f>
        <v>Mixed-Humid</v>
      </c>
    </row>
    <row r="64" ht="15.75" customHeight="1">
      <c r="A64" s="32" t="s">
        <v>165</v>
      </c>
      <c r="B64" s="32" t="s">
        <v>101</v>
      </c>
      <c r="C64" s="32" t="str">
        <f>vlookup(B64,State_EMM_RowSums!$A$2:$B$52,2,FALSE)</f>
        <v>AL</v>
      </c>
      <c r="D64" s="32">
        <v>1125.0</v>
      </c>
      <c r="E64" s="33">
        <f>IF(NOT(ISBLANK(vlookup($D64,Pop_Census_2023!$A$2:$E$3220,4,FALSE))),vlookup($D64,Pop_Census_2023!$A$2:$E$3220,4,FALSE), vlookup($D64,Pop_Census_2023!$A$2:$E$3220,5,FALSE))</f>
        <v>237373</v>
      </c>
      <c r="F64" s="32">
        <v>161588.0</v>
      </c>
      <c r="G64" s="32">
        <v>89.0</v>
      </c>
      <c r="H64" s="32" t="str">
        <f>VLOOKUP(D64, Grid_Region_Mapping!$D$2:$F$5286, 3, FALSE)</f>
        <v>SRSE</v>
      </c>
      <c r="I64" s="32">
        <v>6.0</v>
      </c>
      <c r="J64" s="34" t="str">
        <f t="shared" si="1"/>
        <v>South</v>
      </c>
      <c r="K64" s="35">
        <v>4.0</v>
      </c>
      <c r="L64" s="35" t="s">
        <v>102</v>
      </c>
      <c r="M64" s="36">
        <f>VLOOKUP(D64, County_Data_CZones!$B$2:$F$3236, 2, FALSE)</f>
        <v>3</v>
      </c>
      <c r="N64" s="37" t="str">
        <f>VLOOKUP(D64, County_Data_CZones!$B$2:$F$3236, 5, FALSE)</f>
        <v>Mixed-Humid</v>
      </c>
    </row>
    <row r="65" ht="15.75" customHeight="1">
      <c r="A65" s="32" t="s">
        <v>166</v>
      </c>
      <c r="B65" s="32" t="s">
        <v>101</v>
      </c>
      <c r="C65" s="32" t="str">
        <f>vlookup(B65,State_EMM_RowSums!$A$2:$B$52,2,FALSE)</f>
        <v>AL</v>
      </c>
      <c r="D65" s="32">
        <v>1127.0</v>
      </c>
      <c r="E65" s="33">
        <f>IF(NOT(ISBLANK(vlookup($D65,Pop_Census_2023!$A$2:$E$3220,4,FALSE))),vlookup($D65,Pop_Census_2023!$A$2:$E$3220,4,FALSE), vlookup($D65,Pop_Census_2023!$A$2:$E$3220,5,FALSE))</f>
        <v>64728</v>
      </c>
      <c r="F65" s="32">
        <v>161589.0</v>
      </c>
      <c r="G65" s="32">
        <v>89.0</v>
      </c>
      <c r="H65" s="32" t="str">
        <f>VLOOKUP(D65, Grid_Region_Mapping!$D$2:$F$5286, 3, FALSE)</f>
        <v>SRSE</v>
      </c>
      <c r="I65" s="32">
        <v>6.0</v>
      </c>
      <c r="J65" s="34" t="str">
        <f t="shared" si="1"/>
        <v>South</v>
      </c>
      <c r="K65" s="35">
        <v>4.0</v>
      </c>
      <c r="L65" s="35" t="s">
        <v>102</v>
      </c>
      <c r="M65" s="36">
        <f>VLOOKUP(D65, County_Data_CZones!$B$2:$F$3236, 2, FALSE)</f>
        <v>3</v>
      </c>
      <c r="N65" s="37" t="str">
        <f>VLOOKUP(D65, County_Data_CZones!$B$2:$F$3236, 5, FALSE)</f>
        <v>Mixed-Humid</v>
      </c>
    </row>
    <row r="66" ht="15.75" customHeight="1">
      <c r="A66" s="32" t="s">
        <v>167</v>
      </c>
      <c r="B66" s="32" t="s">
        <v>101</v>
      </c>
      <c r="C66" s="32" t="str">
        <f>vlookup(B66,State_EMM_RowSums!$A$2:$B$52,2,FALSE)</f>
        <v>AL</v>
      </c>
      <c r="D66" s="32">
        <v>1129.0</v>
      </c>
      <c r="E66" s="33">
        <f>IF(NOT(ISBLANK(vlookup($D66,Pop_Census_2023!$A$2:$E$3220,4,FALSE))),vlookup($D66,Pop_Census_2023!$A$2:$E$3220,4,FALSE), vlookup($D66,Pop_Census_2023!$A$2:$E$3220,5,FALSE))</f>
        <v>15022</v>
      </c>
      <c r="F66" s="32">
        <v>161590.0</v>
      </c>
      <c r="G66" s="32">
        <v>90.0</v>
      </c>
      <c r="H66" s="32" t="str">
        <f>VLOOKUP(D66, Grid_Region_Mapping!$D$2:$F$5286, 3, FALSE)</f>
        <v>SRSE</v>
      </c>
      <c r="I66" s="32">
        <v>6.0</v>
      </c>
      <c r="J66" s="34" t="str">
        <f t="shared" si="1"/>
        <v>South</v>
      </c>
      <c r="K66" s="35">
        <v>5.0</v>
      </c>
      <c r="L66" s="35" t="s">
        <v>102</v>
      </c>
      <c r="M66" s="36">
        <f>VLOOKUP(D66, County_Data_CZones!$B$2:$F$3236, 2, FALSE)</f>
        <v>3</v>
      </c>
      <c r="N66" s="37" t="str">
        <f>VLOOKUP(D66, County_Data_CZones!$B$2:$F$3236, 5, FALSE)</f>
        <v>Hot-Humid</v>
      </c>
    </row>
    <row r="67" ht="15.75" customHeight="1">
      <c r="A67" s="32" t="s">
        <v>168</v>
      </c>
      <c r="B67" s="32" t="s">
        <v>101</v>
      </c>
      <c r="C67" s="32" t="str">
        <f>vlookup(B67,State_EMM_RowSums!$A$2:$B$52,2,FALSE)</f>
        <v>AL</v>
      </c>
      <c r="D67" s="32">
        <v>1131.0</v>
      </c>
      <c r="E67" s="33">
        <f>IF(NOT(ISBLANK(vlookup($D67,Pop_Census_2023!$A$2:$E$3220,4,FALSE))),vlookup($D67,Pop_Census_2023!$A$2:$E$3220,4,FALSE), vlookup($D67,Pop_Census_2023!$A$2:$E$3220,5,FALSE))</f>
        <v>9944</v>
      </c>
      <c r="F67" s="32">
        <v>161591.0</v>
      </c>
      <c r="G67" s="32">
        <v>89.0</v>
      </c>
      <c r="H67" s="32" t="str">
        <f>VLOOKUP(D67, Grid_Region_Mapping!$D$2:$F$5286, 3, FALSE)</f>
        <v>SRSE</v>
      </c>
      <c r="I67" s="32">
        <v>6.0</v>
      </c>
      <c r="J67" s="34" t="str">
        <f t="shared" si="1"/>
        <v>South</v>
      </c>
      <c r="K67" s="35">
        <v>5.0</v>
      </c>
      <c r="L67" s="35" t="s">
        <v>102</v>
      </c>
      <c r="M67" s="36">
        <f>VLOOKUP(D67, County_Data_CZones!$B$2:$F$3236, 2, FALSE)</f>
        <v>3</v>
      </c>
      <c r="N67" s="37" t="str">
        <f>VLOOKUP(D67, County_Data_CZones!$B$2:$F$3236, 5, FALSE)</f>
        <v>Hot-Humid</v>
      </c>
    </row>
    <row r="68" ht="15.75" customHeight="1">
      <c r="A68" s="32" t="s">
        <v>169</v>
      </c>
      <c r="B68" s="32" t="s">
        <v>101</v>
      </c>
      <c r="C68" s="32" t="str">
        <f>vlookup(B68,State_EMM_RowSums!$A$2:$B$52,2,FALSE)</f>
        <v>AL</v>
      </c>
      <c r="D68" s="32">
        <v>1133.0</v>
      </c>
      <c r="E68" s="33">
        <f>IF(NOT(ISBLANK(vlookup($D68,Pop_Census_2023!$A$2:$E$3220,4,FALSE))),vlookup($D68,Pop_Census_2023!$A$2:$E$3220,4,FALSE), vlookup($D68,Pop_Census_2023!$A$2:$E$3220,5,FALSE))</f>
        <v>23611</v>
      </c>
      <c r="F68" s="32">
        <v>161592.0</v>
      </c>
      <c r="G68" s="32">
        <v>89.0</v>
      </c>
      <c r="H68" s="32" t="str">
        <f>VLOOKUP(D68, Grid_Region_Mapping!$D$2:$F$5286, 3, FALSE)</f>
        <v>SRSE</v>
      </c>
      <c r="I68" s="32">
        <v>6.0</v>
      </c>
      <c r="J68" s="34" t="str">
        <f t="shared" si="1"/>
        <v>South</v>
      </c>
      <c r="K68" s="35">
        <v>4.0</v>
      </c>
      <c r="L68" s="35" t="s">
        <v>102</v>
      </c>
      <c r="M68" s="36">
        <f>VLOOKUP(D68, County_Data_CZones!$B$2:$F$3236, 2, FALSE)</f>
        <v>3</v>
      </c>
      <c r="N68" s="37" t="str">
        <f>VLOOKUP(D68, County_Data_CZones!$B$2:$F$3236, 5, FALSE)</f>
        <v>Mixed-Humid</v>
      </c>
    </row>
    <row r="69" ht="15.75" customHeight="1">
      <c r="A69" s="38" t="s">
        <v>170</v>
      </c>
      <c r="B69" s="39" t="s">
        <v>171</v>
      </c>
      <c r="C69" s="32" t="str">
        <f>vlookup(B69,State_EMM_RowSums!$A$2:$B$52,2,FALSE)</f>
        <v>AK</v>
      </c>
      <c r="D69" s="40">
        <v>2013.0</v>
      </c>
      <c r="E69" s="33">
        <f>IF(NOT(ISBLANK(vlookup($D69,Pop_Census_2023!$A$2:$E$3220,4,FALSE))),vlookup($D69,Pop_Census_2023!$A$2:$E$3220,4,FALSE), vlookup($D69,Pop_Census_2023!$A$2:$E$3220,5,FALSE))</f>
        <v>3461</v>
      </c>
      <c r="F69" s="41"/>
      <c r="G69" s="41"/>
      <c r="H69" s="32" t="str">
        <f>VLOOKUP(D69, Grid_Region_Mapping!$D$2:$F$5286, 3, FALSE)</f>
        <v>#N/A</v>
      </c>
      <c r="I69" s="41">
        <v>9.0</v>
      </c>
      <c r="J69" s="34" t="str">
        <f t="shared" si="1"/>
        <v>West</v>
      </c>
      <c r="K69" s="42">
        <v>1.0</v>
      </c>
      <c r="L69" s="42">
        <v>7.0</v>
      </c>
      <c r="M69" s="36">
        <f>VLOOKUP(D69, County_Data_CZones!$B$2:$F$3236, 2, FALSE)</f>
        <v>7</v>
      </c>
      <c r="N69" s="37" t="str">
        <f>VLOOKUP(D69, County_Data_CZones!$B$2:$F$3236, 5, FALSE)</f>
        <v>Very Cold</v>
      </c>
      <c r="O69" s="41"/>
      <c r="P69" s="41"/>
    </row>
    <row r="70" ht="15.75" customHeight="1">
      <c r="A70" s="38" t="s">
        <v>172</v>
      </c>
      <c r="B70" s="39" t="s">
        <v>171</v>
      </c>
      <c r="C70" s="32" t="str">
        <f>vlookup(B70,State_EMM_RowSums!$A$2:$B$52,2,FALSE)</f>
        <v>AK</v>
      </c>
      <c r="D70" s="40">
        <v>2016.0</v>
      </c>
      <c r="E70" s="33">
        <f>IF(NOT(ISBLANK(vlookup($D70,Pop_Census_2023!$A$2:$E$3220,4,FALSE))),vlookup($D70,Pop_Census_2023!$A$2:$E$3220,4,FALSE), vlookup($D70,Pop_Census_2023!$A$2:$E$3220,5,FALSE))</f>
        <v>5160</v>
      </c>
      <c r="F70" s="41"/>
      <c r="G70" s="41"/>
      <c r="H70" s="32" t="str">
        <f>VLOOKUP(D70, Grid_Region_Mapping!$D$2:$F$5286, 3, FALSE)</f>
        <v>#N/A</v>
      </c>
      <c r="I70" s="41">
        <v>9.0</v>
      </c>
      <c r="J70" s="34" t="str">
        <f t="shared" si="1"/>
        <v>West</v>
      </c>
      <c r="K70" s="42">
        <v>1.0</v>
      </c>
      <c r="L70" s="42">
        <v>7.0</v>
      </c>
      <c r="M70" s="36">
        <f>VLOOKUP(D70, County_Data_CZones!$B$2:$F$3236, 2, FALSE)</f>
        <v>7</v>
      </c>
      <c r="N70" s="37" t="str">
        <f>VLOOKUP(D70, County_Data_CZones!$B$2:$F$3236, 5, FALSE)</f>
        <v>Very Cold</v>
      </c>
      <c r="O70" s="41"/>
      <c r="P70" s="41"/>
    </row>
    <row r="71" ht="15.75" customHeight="1">
      <c r="A71" s="38" t="s">
        <v>173</v>
      </c>
      <c r="B71" s="39" t="s">
        <v>171</v>
      </c>
      <c r="C71" s="32" t="str">
        <f>vlookup(B71,State_EMM_RowSums!$A$2:$B$52,2,FALSE)</f>
        <v>AK</v>
      </c>
      <c r="D71" s="40">
        <v>2020.0</v>
      </c>
      <c r="E71" s="33">
        <f>IF(NOT(ISBLANK(vlookup($D71,Pop_Census_2023!$A$2:$E$3220,4,FALSE))),vlookup($D71,Pop_Census_2023!$A$2:$E$3220,4,FALSE), vlookup($D71,Pop_Census_2023!$A$2:$E$3220,5,FALSE))</f>
        <v>286075</v>
      </c>
      <c r="F71" s="41"/>
      <c r="G71" s="41"/>
      <c r="H71" s="32" t="str">
        <f>VLOOKUP(D71, Grid_Region_Mapping!$D$2:$F$5286, 3, FALSE)</f>
        <v>#N/A</v>
      </c>
      <c r="I71" s="41">
        <v>9.0</v>
      </c>
      <c r="J71" s="34" t="str">
        <f t="shared" si="1"/>
        <v>West</v>
      </c>
      <c r="K71" s="42">
        <v>1.0</v>
      </c>
      <c r="L71" s="42">
        <v>7.0</v>
      </c>
      <c r="M71" s="36">
        <f>VLOOKUP(D71, County_Data_CZones!$B$2:$F$3236, 2, FALSE)</f>
        <v>7</v>
      </c>
      <c r="N71" s="37" t="str">
        <f>VLOOKUP(D71, County_Data_CZones!$B$2:$F$3236, 5, FALSE)</f>
        <v>Very Cold</v>
      </c>
      <c r="O71" s="41"/>
      <c r="P71" s="41"/>
    </row>
    <row r="72" ht="15.75" customHeight="1">
      <c r="A72" s="38" t="s">
        <v>174</v>
      </c>
      <c r="B72" s="39" t="s">
        <v>171</v>
      </c>
      <c r="C72" s="32" t="str">
        <f>vlookup(B72,State_EMM_RowSums!$A$2:$B$52,2,FALSE)</f>
        <v>AK</v>
      </c>
      <c r="D72" s="40">
        <v>2050.0</v>
      </c>
      <c r="E72" s="33">
        <f>IF(NOT(ISBLANK(vlookup($D72,Pop_Census_2023!$A$2:$E$3220,4,FALSE))),vlookup($D72,Pop_Census_2023!$A$2:$E$3220,4,FALSE), vlookup($D72,Pop_Census_2023!$A$2:$E$3220,5,FALSE))</f>
        <v>18224</v>
      </c>
      <c r="F72" s="41"/>
      <c r="G72" s="41"/>
      <c r="H72" s="32" t="str">
        <f>VLOOKUP(D72, Grid_Region_Mapping!$D$2:$F$5286, 3, FALSE)</f>
        <v>#N/A</v>
      </c>
      <c r="I72" s="41">
        <v>9.0</v>
      </c>
      <c r="J72" s="34" t="str">
        <f t="shared" si="1"/>
        <v>West</v>
      </c>
      <c r="K72" s="42">
        <v>1.0</v>
      </c>
      <c r="L72" s="42">
        <v>8.0</v>
      </c>
      <c r="M72" s="36">
        <f>VLOOKUP(D72, County_Data_CZones!$B$2:$F$3236, 2, FALSE)</f>
        <v>8</v>
      </c>
      <c r="N72" s="37" t="str">
        <f>VLOOKUP(D72, County_Data_CZones!$B$2:$F$3236, 5, FALSE)</f>
        <v>Subarctic</v>
      </c>
      <c r="O72" s="41"/>
      <c r="P72" s="41"/>
    </row>
    <row r="73" ht="15.75" customHeight="1">
      <c r="A73" s="38" t="s">
        <v>175</v>
      </c>
      <c r="B73" s="39" t="s">
        <v>171</v>
      </c>
      <c r="C73" s="32" t="str">
        <f>vlookup(B73,State_EMM_RowSums!$A$2:$B$52,2,FALSE)</f>
        <v>AK</v>
      </c>
      <c r="D73" s="40">
        <v>2060.0</v>
      </c>
      <c r="E73" s="33">
        <f>IF(NOT(ISBLANK(vlookup($D73,Pop_Census_2023!$A$2:$E$3220,4,FALSE))),vlookup($D73,Pop_Census_2023!$A$2:$E$3220,4,FALSE), vlookup($D73,Pop_Census_2023!$A$2:$E$3220,5,FALSE))</f>
        <v>844</v>
      </c>
      <c r="F73" s="41"/>
      <c r="G73" s="41"/>
      <c r="H73" s="32" t="str">
        <f>VLOOKUP(D73, Grid_Region_Mapping!$D$2:$F$5286, 3, FALSE)</f>
        <v>#N/A</v>
      </c>
      <c r="I73" s="41">
        <v>9.0</v>
      </c>
      <c r="J73" s="34" t="str">
        <f t="shared" si="1"/>
        <v>West</v>
      </c>
      <c r="K73" s="42">
        <v>1.0</v>
      </c>
      <c r="L73" s="42">
        <v>7.0</v>
      </c>
      <c r="M73" s="36">
        <f>VLOOKUP(D73, County_Data_CZones!$B$2:$F$3236, 2, FALSE)</f>
        <v>7</v>
      </c>
      <c r="N73" s="37" t="str">
        <f>VLOOKUP(D73, County_Data_CZones!$B$2:$F$3236, 5, FALSE)</f>
        <v>Very Cold</v>
      </c>
      <c r="O73" s="41"/>
      <c r="P73" s="41"/>
    </row>
    <row r="74" ht="15.75" customHeight="1">
      <c r="A74" s="38" t="s">
        <v>176</v>
      </c>
      <c r="B74" s="39" t="s">
        <v>171</v>
      </c>
      <c r="C74" s="32" t="str">
        <f>vlookup(B74,State_EMM_RowSums!$A$2:$B$52,2,FALSE)</f>
        <v>AK</v>
      </c>
      <c r="D74" s="40">
        <v>2068.0</v>
      </c>
      <c r="E74" s="33">
        <f>IF(NOT(ISBLANK(vlookup($D74,Pop_Census_2023!$A$2:$E$3220,4,FALSE))),vlookup($D74,Pop_Census_2023!$A$2:$E$3220,4,FALSE), vlookup($D74,Pop_Census_2023!$A$2:$E$3220,5,FALSE))</f>
        <v>1584</v>
      </c>
      <c r="F74" s="41"/>
      <c r="G74" s="41"/>
      <c r="H74" s="32" t="str">
        <f>VLOOKUP(D74, Grid_Region_Mapping!$D$2:$F$5286, 3, FALSE)</f>
        <v>#N/A</v>
      </c>
      <c r="I74" s="41">
        <v>9.0</v>
      </c>
      <c r="J74" s="34" t="str">
        <f t="shared" si="1"/>
        <v>West</v>
      </c>
      <c r="K74" s="42">
        <v>1.0</v>
      </c>
      <c r="L74" s="42">
        <v>7.0</v>
      </c>
      <c r="M74" s="36">
        <f>VLOOKUP(D74, County_Data_CZones!$B$2:$F$3236, 2, FALSE)</f>
        <v>7</v>
      </c>
      <c r="N74" s="37" t="str">
        <f>VLOOKUP(D74, County_Data_CZones!$B$2:$F$3236, 5, FALSE)</f>
        <v>Very Cold</v>
      </c>
      <c r="O74" s="41"/>
      <c r="P74" s="41"/>
    </row>
    <row r="75" ht="15.75" customHeight="1">
      <c r="A75" s="38" t="s">
        <v>177</v>
      </c>
      <c r="B75" s="39" t="s">
        <v>171</v>
      </c>
      <c r="C75" s="32" t="str">
        <f>vlookup(B75,State_EMM_RowSums!$A$2:$B$52,2,FALSE)</f>
        <v>AK</v>
      </c>
      <c r="D75" s="40">
        <v>2070.0</v>
      </c>
      <c r="E75" s="33">
        <f>IF(NOT(ISBLANK(vlookup($D75,Pop_Census_2023!$A$2:$E$3220,4,FALSE))),vlookup($D75,Pop_Census_2023!$A$2:$E$3220,4,FALSE), vlookup($D75,Pop_Census_2023!$A$2:$E$3220,5,FALSE))</f>
        <v>4607</v>
      </c>
      <c r="F75" s="41"/>
      <c r="G75" s="41"/>
      <c r="H75" s="32" t="str">
        <f>VLOOKUP(D75, Grid_Region_Mapping!$D$2:$F$5286, 3, FALSE)</f>
        <v>#N/A</v>
      </c>
      <c r="I75" s="41">
        <v>9.0</v>
      </c>
      <c r="J75" s="34" t="str">
        <f t="shared" si="1"/>
        <v>West</v>
      </c>
      <c r="K75" s="42">
        <v>1.0</v>
      </c>
      <c r="L75" s="42">
        <v>8.0</v>
      </c>
      <c r="M75" s="36">
        <f>VLOOKUP(D75, County_Data_CZones!$B$2:$F$3236, 2, FALSE)</f>
        <v>8</v>
      </c>
      <c r="N75" s="37" t="str">
        <f>VLOOKUP(D75, County_Data_CZones!$B$2:$F$3236, 5, FALSE)</f>
        <v>Subarctic</v>
      </c>
      <c r="O75" s="41"/>
      <c r="P75" s="41"/>
    </row>
    <row r="76" ht="15.75" customHeight="1">
      <c r="A76" s="38" t="s">
        <v>178</v>
      </c>
      <c r="B76" s="39" t="s">
        <v>171</v>
      </c>
      <c r="C76" s="32" t="str">
        <f>vlookup(B76,State_EMM_RowSums!$A$2:$B$52,2,FALSE)</f>
        <v>AK</v>
      </c>
      <c r="D76" s="40">
        <v>2090.0</v>
      </c>
      <c r="E76" s="33">
        <f>IF(NOT(ISBLANK(vlookup($D76,Pop_Census_2023!$A$2:$E$3220,4,FALSE))),vlookup($D76,Pop_Census_2023!$A$2:$E$3220,4,FALSE), vlookup($D76,Pop_Census_2023!$A$2:$E$3220,5,FALSE))</f>
        <v>94840</v>
      </c>
      <c r="F76" s="41"/>
      <c r="G76" s="41"/>
      <c r="H76" s="32" t="str">
        <f>VLOOKUP(D76, Grid_Region_Mapping!$D$2:$F$5286, 3, FALSE)</f>
        <v>#N/A</v>
      </c>
      <c r="I76" s="41">
        <v>9.0</v>
      </c>
      <c r="J76" s="34" t="str">
        <f t="shared" si="1"/>
        <v>West</v>
      </c>
      <c r="K76" s="42">
        <v>1.0</v>
      </c>
      <c r="L76" s="42">
        <v>8.0</v>
      </c>
      <c r="M76" s="36">
        <f>VLOOKUP(D76, County_Data_CZones!$B$2:$F$3236, 2, FALSE)</f>
        <v>8</v>
      </c>
      <c r="N76" s="37" t="str">
        <f>VLOOKUP(D76, County_Data_CZones!$B$2:$F$3236, 5, FALSE)</f>
        <v>Subarctic</v>
      </c>
      <c r="O76" s="41"/>
      <c r="P76" s="41"/>
    </row>
    <row r="77" ht="15.75" customHeight="1">
      <c r="A77" s="38" t="s">
        <v>179</v>
      </c>
      <c r="B77" s="39" t="s">
        <v>171</v>
      </c>
      <c r="C77" s="32" t="str">
        <f>vlookup(B77,State_EMM_RowSums!$A$2:$B$52,2,FALSE)</f>
        <v>AK</v>
      </c>
      <c r="D77" s="40">
        <v>2100.0</v>
      </c>
      <c r="E77" s="33">
        <f>IF(NOT(ISBLANK(vlookup($D77,Pop_Census_2023!$A$2:$E$3220,4,FALSE))),vlookup($D77,Pop_Census_2023!$A$2:$E$3220,4,FALSE), vlookup($D77,Pop_Census_2023!$A$2:$E$3220,5,FALSE))</f>
        <v>2070</v>
      </c>
      <c r="F77" s="41"/>
      <c r="G77" s="41"/>
      <c r="H77" s="32" t="str">
        <f>VLOOKUP(D77, Grid_Region_Mapping!$D$2:$F$5286, 3, FALSE)</f>
        <v>#N/A</v>
      </c>
      <c r="I77" s="41">
        <v>9.0</v>
      </c>
      <c r="J77" s="34" t="str">
        <f t="shared" si="1"/>
        <v>West</v>
      </c>
      <c r="K77" s="42">
        <v>1.0</v>
      </c>
      <c r="L77" s="42">
        <v>7.0</v>
      </c>
      <c r="M77" s="36">
        <f>VLOOKUP(D77, County_Data_CZones!$B$2:$F$3236, 2, FALSE)</f>
        <v>7</v>
      </c>
      <c r="N77" s="37" t="str">
        <f>VLOOKUP(D77, County_Data_CZones!$B$2:$F$3236, 5, FALSE)</f>
        <v>Very Cold</v>
      </c>
      <c r="O77" s="41"/>
      <c r="P77" s="41"/>
    </row>
    <row r="78" ht="15.75" customHeight="1">
      <c r="A78" s="38" t="s">
        <v>180</v>
      </c>
      <c r="B78" s="39" t="s">
        <v>171</v>
      </c>
      <c r="C78" s="32" t="str">
        <f>vlookup(B78,State_EMM_RowSums!$A$2:$B$52,2,FALSE)</f>
        <v>AK</v>
      </c>
      <c r="D78" s="40">
        <v>2105.0</v>
      </c>
      <c r="E78" s="33">
        <f>IF(NOT(ISBLANK(vlookup($D78,Pop_Census_2023!$A$2:$E$3220,4,FALSE))),vlookup($D78,Pop_Census_2023!$A$2:$E$3220,4,FALSE), vlookup($D78,Pop_Census_2023!$A$2:$E$3220,5,FALSE))</f>
        <v>2262</v>
      </c>
      <c r="F78" s="41"/>
      <c r="G78" s="41"/>
      <c r="H78" s="32" t="str">
        <f>VLOOKUP(D78, Grid_Region_Mapping!$D$2:$F$5286, 3, FALSE)</f>
        <v>#N/A</v>
      </c>
      <c r="I78" s="41">
        <v>9.0</v>
      </c>
      <c r="J78" s="34" t="str">
        <f t="shared" si="1"/>
        <v>West</v>
      </c>
      <c r="K78" s="42">
        <v>1.0</v>
      </c>
      <c r="L78" s="42">
        <v>7.0</v>
      </c>
      <c r="M78" s="36">
        <f>VLOOKUP(D78, County_Data_CZones!$B$2:$F$3236, 2, FALSE)</f>
        <v>7</v>
      </c>
      <c r="N78" s="37" t="str">
        <f>VLOOKUP(D78, County_Data_CZones!$B$2:$F$3236, 5, FALSE)</f>
        <v>Very Cold</v>
      </c>
      <c r="O78" s="41"/>
      <c r="P78" s="41"/>
    </row>
    <row r="79" ht="15.75" customHeight="1">
      <c r="A79" s="38" t="s">
        <v>181</v>
      </c>
      <c r="B79" s="39" t="s">
        <v>171</v>
      </c>
      <c r="C79" s="32" t="str">
        <f>vlookup(B79,State_EMM_RowSums!$A$2:$B$52,2,FALSE)</f>
        <v>AK</v>
      </c>
      <c r="D79" s="40">
        <v>2110.0</v>
      </c>
      <c r="E79" s="33">
        <f>IF(NOT(ISBLANK(vlookup($D79,Pop_Census_2023!$A$2:$E$3220,4,FALSE))),vlookup($D79,Pop_Census_2023!$A$2:$E$3220,4,FALSE), vlookup($D79,Pop_Census_2023!$A$2:$E$3220,5,FALSE))</f>
        <v>31555</v>
      </c>
      <c r="F79" s="41"/>
      <c r="G79" s="41"/>
      <c r="H79" s="32" t="str">
        <f>VLOOKUP(D79, Grid_Region_Mapping!$D$2:$F$5286, 3, FALSE)</f>
        <v>#N/A</v>
      </c>
      <c r="I79" s="41">
        <v>9.0</v>
      </c>
      <c r="J79" s="34" t="str">
        <f t="shared" si="1"/>
        <v>West</v>
      </c>
      <c r="K79" s="42">
        <v>1.0</v>
      </c>
      <c r="L79" s="42">
        <v>7.0</v>
      </c>
      <c r="M79" s="36">
        <f>VLOOKUP(D79, County_Data_CZones!$B$2:$F$3236, 2, FALSE)</f>
        <v>7</v>
      </c>
      <c r="N79" s="37" t="str">
        <f>VLOOKUP(D79, County_Data_CZones!$B$2:$F$3236, 5, FALSE)</f>
        <v>Very Cold</v>
      </c>
      <c r="O79" s="41"/>
      <c r="P79" s="41"/>
    </row>
    <row r="80" ht="15.75" customHeight="1">
      <c r="A80" s="38" t="s">
        <v>182</v>
      </c>
      <c r="B80" s="39" t="s">
        <v>171</v>
      </c>
      <c r="C80" s="32" t="str">
        <f>vlookup(B80,State_EMM_RowSums!$A$2:$B$52,2,FALSE)</f>
        <v>AK</v>
      </c>
      <c r="D80" s="40">
        <v>2122.0</v>
      </c>
      <c r="E80" s="33">
        <f>IF(NOT(ISBLANK(vlookup($D80,Pop_Census_2023!$A$2:$E$3220,4,FALSE))),vlookup($D80,Pop_Census_2023!$A$2:$E$3220,4,FALSE), vlookup($D80,Pop_Census_2023!$A$2:$E$3220,5,FALSE))</f>
        <v>61223</v>
      </c>
      <c r="F80" s="41"/>
      <c r="G80" s="41"/>
      <c r="H80" s="32" t="str">
        <f>VLOOKUP(D80, Grid_Region_Mapping!$D$2:$F$5286, 3, FALSE)</f>
        <v>#N/A</v>
      </c>
      <c r="I80" s="41">
        <v>9.0</v>
      </c>
      <c r="J80" s="34" t="str">
        <f t="shared" si="1"/>
        <v>West</v>
      </c>
      <c r="K80" s="42">
        <v>1.0</v>
      </c>
      <c r="L80" s="42">
        <v>7.0</v>
      </c>
      <c r="M80" s="36">
        <f>VLOOKUP(D80, County_Data_CZones!$B$2:$F$3236, 2, FALSE)</f>
        <v>7</v>
      </c>
      <c r="N80" s="37" t="str">
        <f>VLOOKUP(D80, County_Data_CZones!$B$2:$F$3236, 5, FALSE)</f>
        <v>Very Cold</v>
      </c>
      <c r="O80" s="41"/>
      <c r="P80" s="41"/>
    </row>
    <row r="81" ht="15.75" customHeight="1">
      <c r="A81" s="38" t="s">
        <v>183</v>
      </c>
      <c r="B81" s="39" t="s">
        <v>171</v>
      </c>
      <c r="C81" s="32" t="str">
        <f>vlookup(B81,State_EMM_RowSums!$A$2:$B$52,2,FALSE)</f>
        <v>AK</v>
      </c>
      <c r="D81" s="40">
        <v>2130.0</v>
      </c>
      <c r="E81" s="33">
        <f>IF(NOT(ISBLANK(vlookup($D81,Pop_Census_2023!$A$2:$E$3220,4,FALSE))),vlookup($D81,Pop_Census_2023!$A$2:$E$3220,4,FALSE), vlookup($D81,Pop_Census_2023!$A$2:$E$3220,5,FALSE))</f>
        <v>13738</v>
      </c>
      <c r="F81" s="41"/>
      <c r="G81" s="41"/>
      <c r="H81" s="32" t="str">
        <f>VLOOKUP(D81, Grid_Region_Mapping!$D$2:$F$5286, 3, FALSE)</f>
        <v>#N/A</v>
      </c>
      <c r="I81" s="41">
        <v>9.0</v>
      </c>
      <c r="J81" s="34" t="str">
        <f t="shared" si="1"/>
        <v>West</v>
      </c>
      <c r="K81" s="42">
        <v>1.0</v>
      </c>
      <c r="L81" s="42">
        <v>7.0</v>
      </c>
      <c r="M81" s="36">
        <f>VLOOKUP(D81, County_Data_CZones!$B$2:$F$3236, 2, FALSE)</f>
        <v>7</v>
      </c>
      <c r="N81" s="37" t="str">
        <f>VLOOKUP(D81, County_Data_CZones!$B$2:$F$3236, 5, FALSE)</f>
        <v>Very Cold</v>
      </c>
      <c r="O81" s="41"/>
      <c r="P81" s="41"/>
    </row>
    <row r="82" ht="15.75" customHeight="1">
      <c r="A82" s="38" t="s">
        <v>184</v>
      </c>
      <c r="B82" s="39" t="s">
        <v>171</v>
      </c>
      <c r="C82" s="32" t="str">
        <f>vlookup(B82,State_EMM_RowSums!$A$2:$B$52,2,FALSE)</f>
        <v>AK</v>
      </c>
      <c r="D82" s="40">
        <v>2150.0</v>
      </c>
      <c r="E82" s="33">
        <f>IF(NOT(ISBLANK(vlookup($D82,Pop_Census_2023!$A$2:$E$3220,4,FALSE))),vlookup($D82,Pop_Census_2023!$A$2:$E$3220,4,FALSE), vlookup($D82,Pop_Census_2023!$A$2:$E$3220,5,FALSE))</f>
        <v>12565</v>
      </c>
      <c r="F82" s="41"/>
      <c r="G82" s="41"/>
      <c r="H82" s="32" t="str">
        <f>VLOOKUP(D82, Grid_Region_Mapping!$D$2:$F$5286, 3, FALSE)</f>
        <v>#N/A</v>
      </c>
      <c r="I82" s="41">
        <v>9.0</v>
      </c>
      <c r="J82" s="34" t="str">
        <f t="shared" si="1"/>
        <v>West</v>
      </c>
      <c r="K82" s="42">
        <v>1.0</v>
      </c>
      <c r="L82" s="42">
        <v>7.0</v>
      </c>
      <c r="M82" s="36">
        <f>VLOOKUP(D82, County_Data_CZones!$B$2:$F$3236, 2, FALSE)</f>
        <v>7</v>
      </c>
      <c r="N82" s="37" t="str">
        <f>VLOOKUP(D82, County_Data_CZones!$B$2:$F$3236, 5, FALSE)</f>
        <v>Very Cold</v>
      </c>
      <c r="O82" s="41"/>
      <c r="P82" s="41"/>
    </row>
    <row r="83" ht="15.75" customHeight="1">
      <c r="A83" s="38" t="s">
        <v>185</v>
      </c>
      <c r="B83" s="39" t="s">
        <v>171</v>
      </c>
      <c r="C83" s="32" t="str">
        <f>vlookup(B83,State_EMM_RowSums!$A$2:$B$52,2,FALSE)</f>
        <v>AK</v>
      </c>
      <c r="D83" s="40">
        <v>2158.0</v>
      </c>
      <c r="E83" s="33">
        <f>IF(NOT(ISBLANK(vlookup($D83,Pop_Census_2023!$A$2:$E$3220,4,FALSE))),vlookup($D83,Pop_Census_2023!$A$2:$E$3220,4,FALSE), vlookup($D83,Pop_Census_2023!$A$2:$E$3220,5,FALSE))</f>
        <v>8001</v>
      </c>
      <c r="F83" s="41"/>
      <c r="G83" s="41"/>
      <c r="H83" s="32" t="str">
        <f>VLOOKUP(D83, Grid_Region_Mapping!$D$2:$F$5286, 3, FALSE)</f>
        <v>#N/A</v>
      </c>
      <c r="I83" s="41">
        <v>9.0</v>
      </c>
      <c r="J83" s="34" t="str">
        <f t="shared" si="1"/>
        <v>West</v>
      </c>
      <c r="K83" s="42">
        <v>1.0</v>
      </c>
      <c r="L83" s="42">
        <v>8.0</v>
      </c>
      <c r="M83" s="36">
        <f>VLOOKUP(D83, County_Data_CZones!$B$2:$F$3236, 2, FALSE)</f>
        <v>8</v>
      </c>
      <c r="N83" s="37" t="str">
        <f>VLOOKUP(D83, County_Data_CZones!$B$2:$F$3236, 5, FALSE)</f>
        <v>Subarctic</v>
      </c>
      <c r="O83" s="41"/>
      <c r="P83" s="41"/>
    </row>
    <row r="84" ht="15.75" customHeight="1">
      <c r="A84" s="38" t="s">
        <v>186</v>
      </c>
      <c r="B84" s="39" t="s">
        <v>171</v>
      </c>
      <c r="C84" s="32" t="str">
        <f>vlookup(B84,State_EMM_RowSums!$A$2:$B$52,2,FALSE)</f>
        <v>AK</v>
      </c>
      <c r="D84" s="40">
        <v>2164.0</v>
      </c>
      <c r="E84" s="33">
        <f>IF(NOT(ISBLANK(vlookup($D84,Pop_Census_2023!$A$2:$E$3220,4,FALSE))),vlookup($D84,Pop_Census_2023!$A$2:$E$3220,4,FALSE), vlookup($D84,Pop_Census_2023!$A$2:$E$3220,5,FALSE))</f>
        <v>1331</v>
      </c>
      <c r="F84" s="41"/>
      <c r="G84" s="41"/>
      <c r="H84" s="32" t="str">
        <f>VLOOKUP(D84, Grid_Region_Mapping!$D$2:$F$5286, 3, FALSE)</f>
        <v>#N/A</v>
      </c>
      <c r="I84" s="41">
        <v>9.0</v>
      </c>
      <c r="J84" s="34" t="str">
        <f t="shared" si="1"/>
        <v>West</v>
      </c>
      <c r="K84" s="42">
        <v>1.0</v>
      </c>
      <c r="L84" s="42">
        <v>7.0</v>
      </c>
      <c r="M84" s="36">
        <f>VLOOKUP(D84, County_Data_CZones!$B$2:$F$3236, 2, FALSE)</f>
        <v>7</v>
      </c>
      <c r="N84" s="37" t="str">
        <f>VLOOKUP(D84, County_Data_CZones!$B$2:$F$3236, 5, FALSE)</f>
        <v>Very Cold</v>
      </c>
      <c r="O84" s="41"/>
      <c r="P84" s="41"/>
    </row>
    <row r="85" ht="15.75" customHeight="1">
      <c r="A85" s="38" t="s">
        <v>187</v>
      </c>
      <c r="B85" s="39" t="s">
        <v>171</v>
      </c>
      <c r="C85" s="32" t="str">
        <f>vlookup(B85,State_EMM_RowSums!$A$2:$B$52,2,FALSE)</f>
        <v>AK</v>
      </c>
      <c r="D85" s="40">
        <v>2170.0</v>
      </c>
      <c r="E85" s="33">
        <f>IF(NOT(ISBLANK(vlookup($D85,Pop_Census_2023!$A$2:$E$3220,4,FALSE))),vlookup($D85,Pop_Census_2023!$A$2:$E$3220,4,FALSE), vlookup($D85,Pop_Census_2023!$A$2:$E$3220,5,FALSE))</f>
        <v>115239</v>
      </c>
      <c r="F85" s="41"/>
      <c r="G85" s="41"/>
      <c r="H85" s="32" t="str">
        <f>VLOOKUP(D85, Grid_Region_Mapping!$D$2:$F$5286, 3, FALSE)</f>
        <v>#N/A</v>
      </c>
      <c r="I85" s="41">
        <v>9.0</v>
      </c>
      <c r="J85" s="34" t="str">
        <f t="shared" si="1"/>
        <v>West</v>
      </c>
      <c r="K85" s="42">
        <v>1.0</v>
      </c>
      <c r="L85" s="42">
        <v>7.0</v>
      </c>
      <c r="M85" s="36">
        <f>VLOOKUP(D85, County_Data_CZones!$B$2:$F$3236, 2, FALSE)</f>
        <v>7</v>
      </c>
      <c r="N85" s="37" t="str">
        <f>VLOOKUP(D85, County_Data_CZones!$B$2:$F$3236, 5, FALSE)</f>
        <v>Very Cold</v>
      </c>
      <c r="O85" s="41"/>
      <c r="P85" s="41"/>
    </row>
    <row r="86" ht="15.75" customHeight="1">
      <c r="A86" s="38" t="s">
        <v>188</v>
      </c>
      <c r="B86" s="39" t="s">
        <v>171</v>
      </c>
      <c r="C86" s="32" t="str">
        <f>vlookup(B86,State_EMM_RowSums!$A$2:$B$52,2,FALSE)</f>
        <v>AK</v>
      </c>
      <c r="D86" s="40">
        <v>2180.0</v>
      </c>
      <c r="E86" s="33">
        <f>IF(NOT(ISBLANK(vlookup($D86,Pop_Census_2023!$A$2:$E$3220,4,FALSE))),vlookup($D86,Pop_Census_2023!$A$2:$E$3220,4,FALSE), vlookup($D86,Pop_Census_2023!$A$2:$E$3220,5,FALSE))</f>
        <v>9763</v>
      </c>
      <c r="F86" s="41"/>
      <c r="G86" s="41"/>
      <c r="H86" s="32" t="str">
        <f>VLOOKUP(D86, Grid_Region_Mapping!$D$2:$F$5286, 3, FALSE)</f>
        <v>#N/A</v>
      </c>
      <c r="I86" s="41">
        <v>9.0</v>
      </c>
      <c r="J86" s="34" t="str">
        <f t="shared" si="1"/>
        <v>West</v>
      </c>
      <c r="K86" s="42">
        <v>1.0</v>
      </c>
      <c r="L86" s="42">
        <v>8.0</v>
      </c>
      <c r="M86" s="36">
        <f>VLOOKUP(D86, County_Data_CZones!$B$2:$F$3236, 2, FALSE)</f>
        <v>8</v>
      </c>
      <c r="N86" s="37" t="str">
        <f>VLOOKUP(D86, County_Data_CZones!$B$2:$F$3236, 5, FALSE)</f>
        <v>Subarctic</v>
      </c>
      <c r="O86" s="41"/>
      <c r="P86" s="41"/>
    </row>
    <row r="87" ht="15.75" customHeight="1">
      <c r="A87" s="38" t="s">
        <v>189</v>
      </c>
      <c r="B87" s="39" t="s">
        <v>171</v>
      </c>
      <c r="C87" s="32" t="str">
        <f>vlookup(B87,State_EMM_RowSums!$A$2:$B$52,2,FALSE)</f>
        <v>AK</v>
      </c>
      <c r="D87" s="40">
        <v>2185.0</v>
      </c>
      <c r="E87" s="33">
        <f>IF(NOT(ISBLANK(vlookup($D87,Pop_Census_2023!$A$2:$E$3220,4,FALSE))),vlookup($D87,Pop_Census_2023!$A$2:$E$3220,4,FALSE), vlookup($D87,Pop_Census_2023!$A$2:$E$3220,5,FALSE))</f>
        <v>10603</v>
      </c>
      <c r="F87" s="41"/>
      <c r="G87" s="41"/>
      <c r="H87" s="32" t="str">
        <f>VLOOKUP(D87, Grid_Region_Mapping!$D$2:$F$5286, 3, FALSE)</f>
        <v>#N/A</v>
      </c>
      <c r="I87" s="41">
        <v>9.0</v>
      </c>
      <c r="J87" s="34" t="str">
        <f t="shared" si="1"/>
        <v>West</v>
      </c>
      <c r="K87" s="42">
        <v>1.0</v>
      </c>
      <c r="L87" s="42">
        <v>8.0</v>
      </c>
      <c r="M87" s="36">
        <f>VLOOKUP(D87, County_Data_CZones!$B$2:$F$3236, 2, FALSE)</f>
        <v>8</v>
      </c>
      <c r="N87" s="37" t="str">
        <f>VLOOKUP(D87, County_Data_CZones!$B$2:$F$3236, 5, FALSE)</f>
        <v>Subarctic</v>
      </c>
      <c r="O87" s="41"/>
      <c r="P87" s="41"/>
    </row>
    <row r="88" ht="15.75" customHeight="1">
      <c r="A88" s="38" t="s">
        <v>190</v>
      </c>
      <c r="B88" s="39" t="s">
        <v>171</v>
      </c>
      <c r="C88" s="32" t="str">
        <f>vlookup(B88,State_EMM_RowSums!$A$2:$B$52,2,FALSE)</f>
        <v>AK</v>
      </c>
      <c r="D88" s="40">
        <v>2188.0</v>
      </c>
      <c r="E88" s="33">
        <f>IF(NOT(ISBLANK(vlookup($D88,Pop_Census_2023!$A$2:$E$3220,4,FALSE))),vlookup($D88,Pop_Census_2023!$A$2:$E$3220,4,FALSE), vlookup($D88,Pop_Census_2023!$A$2:$E$3220,5,FALSE))</f>
        <v>7361</v>
      </c>
      <c r="F88" s="41"/>
      <c r="G88" s="41"/>
      <c r="H88" s="32" t="str">
        <f>VLOOKUP(D88, Grid_Region_Mapping!$D$2:$F$5286, 3, FALSE)</f>
        <v>#N/A</v>
      </c>
      <c r="I88" s="41">
        <v>9.0</v>
      </c>
      <c r="J88" s="34" t="str">
        <f t="shared" si="1"/>
        <v>West</v>
      </c>
      <c r="K88" s="42">
        <v>1.0</v>
      </c>
      <c r="L88" s="42">
        <v>8.0</v>
      </c>
      <c r="M88" s="36">
        <f>VLOOKUP(D88, County_Data_CZones!$B$2:$F$3236, 2, FALSE)</f>
        <v>8</v>
      </c>
      <c r="N88" s="37" t="str">
        <f>VLOOKUP(D88, County_Data_CZones!$B$2:$F$3236, 5, FALSE)</f>
        <v>Subarctic</v>
      </c>
      <c r="O88" s="41"/>
      <c r="P88" s="41"/>
    </row>
    <row r="89" ht="15.75" customHeight="1">
      <c r="A89" s="38" t="s">
        <v>191</v>
      </c>
      <c r="B89" s="39" t="s">
        <v>171</v>
      </c>
      <c r="C89" s="32" t="str">
        <f>vlookup(B89,State_EMM_RowSums!$A$2:$B$52,2,FALSE)</f>
        <v>AK</v>
      </c>
      <c r="D89" s="40">
        <v>2195.0</v>
      </c>
      <c r="E89" s="33">
        <f>IF(NOT(ISBLANK(vlookup($D89,Pop_Census_2023!$A$2:$E$3220,4,FALSE))),vlookup($D89,Pop_Census_2023!$A$2:$E$3220,4,FALSE), vlookup($D89,Pop_Census_2023!$A$2:$E$3220,5,FALSE))</f>
        <v>3427</v>
      </c>
      <c r="F89" s="41"/>
      <c r="G89" s="41"/>
      <c r="H89" s="32" t="str">
        <f>VLOOKUP(D89, Grid_Region_Mapping!$D$2:$F$5286, 3, FALSE)</f>
        <v>#N/A</v>
      </c>
      <c r="I89" s="41">
        <v>9.0</v>
      </c>
      <c r="J89" s="34" t="str">
        <f t="shared" si="1"/>
        <v>West</v>
      </c>
      <c r="K89" s="42">
        <v>1.0</v>
      </c>
      <c r="L89" s="42">
        <v>7.0</v>
      </c>
      <c r="M89" s="36">
        <f>VLOOKUP(D89, County_Data_CZones!$B$2:$F$3236, 2, FALSE)</f>
        <v>7</v>
      </c>
      <c r="N89" s="37" t="str">
        <f>VLOOKUP(D89, County_Data_CZones!$B$2:$F$3236, 5, FALSE)</f>
        <v>Very Cold</v>
      </c>
      <c r="O89" s="41"/>
      <c r="P89" s="41"/>
    </row>
    <row r="90" ht="15.75" customHeight="1">
      <c r="A90" s="38" t="s">
        <v>192</v>
      </c>
      <c r="B90" s="39" t="s">
        <v>171</v>
      </c>
      <c r="C90" s="32" t="str">
        <f>vlookup(B90,State_EMM_RowSums!$A$2:$B$52,2,FALSE)</f>
        <v>AK</v>
      </c>
      <c r="D90" s="40">
        <v>2198.0</v>
      </c>
      <c r="E90" s="33">
        <f>IF(NOT(ISBLANK(vlookup($D90,Pop_Census_2023!$A$2:$E$3220,4,FALSE))),vlookup($D90,Pop_Census_2023!$A$2:$E$3220,4,FALSE), vlookup($D90,Pop_Census_2023!$A$2:$E$3220,5,FALSE))</f>
        <v>5696</v>
      </c>
      <c r="F90" s="41"/>
      <c r="G90" s="41"/>
      <c r="H90" s="32" t="str">
        <f>VLOOKUP(D90, Grid_Region_Mapping!$D$2:$F$5286, 3, FALSE)</f>
        <v>#N/A</v>
      </c>
      <c r="I90" s="41">
        <v>9.0</v>
      </c>
      <c r="J90" s="34" t="str">
        <f t="shared" si="1"/>
        <v>West</v>
      </c>
      <c r="K90" s="42">
        <v>1.0</v>
      </c>
      <c r="L90" s="42">
        <v>7.0</v>
      </c>
      <c r="M90" s="36">
        <f>VLOOKUP(D90, County_Data_CZones!$B$2:$F$3236, 2, FALSE)</f>
        <v>7</v>
      </c>
      <c r="N90" s="37" t="str">
        <f>VLOOKUP(D90, County_Data_CZones!$B$2:$F$3236, 5, FALSE)</f>
        <v>Very Cold</v>
      </c>
      <c r="O90" s="41"/>
      <c r="P90" s="41"/>
    </row>
    <row r="91" ht="15.75" customHeight="1">
      <c r="A91" s="38" t="s">
        <v>193</v>
      </c>
      <c r="B91" s="39" t="s">
        <v>171</v>
      </c>
      <c r="C91" s="32" t="str">
        <f>vlookup(B91,State_EMM_RowSums!$A$2:$B$52,2,FALSE)</f>
        <v>AK</v>
      </c>
      <c r="D91" s="40">
        <v>2220.0</v>
      </c>
      <c r="E91" s="33">
        <f>IF(NOT(ISBLANK(vlookup($D91,Pop_Census_2023!$A$2:$E$3220,4,FALSE))),vlookup($D91,Pop_Census_2023!$A$2:$E$3220,4,FALSE), vlookup($D91,Pop_Census_2023!$A$2:$E$3220,5,FALSE))</f>
        <v>8282</v>
      </c>
      <c r="F91" s="41"/>
      <c r="G91" s="41"/>
      <c r="H91" s="32" t="str">
        <f>VLOOKUP(D91, Grid_Region_Mapping!$D$2:$F$5286, 3, FALSE)</f>
        <v>#N/A</v>
      </c>
      <c r="I91" s="41">
        <v>9.0</v>
      </c>
      <c r="J91" s="34" t="str">
        <f t="shared" si="1"/>
        <v>West</v>
      </c>
      <c r="K91" s="42">
        <v>1.0</v>
      </c>
      <c r="L91" s="42">
        <v>7.0</v>
      </c>
      <c r="M91" s="36">
        <f>VLOOKUP(D91, County_Data_CZones!$B$2:$F$3236, 2, FALSE)</f>
        <v>7</v>
      </c>
      <c r="N91" s="37" t="str">
        <f>VLOOKUP(D91, County_Data_CZones!$B$2:$F$3236, 5, FALSE)</f>
        <v>Very Cold</v>
      </c>
      <c r="O91" s="41"/>
      <c r="P91" s="41"/>
    </row>
    <row r="92" ht="15.75" customHeight="1">
      <c r="A92" s="38" t="s">
        <v>194</v>
      </c>
      <c r="B92" s="39" t="s">
        <v>171</v>
      </c>
      <c r="C92" s="32" t="str">
        <f>vlookup(B92,State_EMM_RowSums!$A$2:$B$52,2,FALSE)</f>
        <v>AK</v>
      </c>
      <c r="D92" s="40">
        <v>2230.0</v>
      </c>
      <c r="E92" s="33">
        <f>IF(NOT(ISBLANK(vlookup($D92,Pop_Census_2023!$A$2:$E$3220,4,FALSE))),vlookup($D92,Pop_Census_2023!$A$2:$E$3220,4,FALSE), vlookup($D92,Pop_Census_2023!$A$2:$E$3220,5,FALSE))</f>
        <v>1095</v>
      </c>
      <c r="F92" s="41"/>
      <c r="G92" s="41"/>
      <c r="H92" s="32" t="str">
        <f>VLOOKUP(D92, Grid_Region_Mapping!$D$2:$F$5286, 3, FALSE)</f>
        <v>#N/A</v>
      </c>
      <c r="I92" s="41">
        <v>9.0</v>
      </c>
      <c r="J92" s="34" t="str">
        <f t="shared" si="1"/>
        <v>West</v>
      </c>
      <c r="K92" s="42">
        <v>1.0</v>
      </c>
      <c r="L92" s="42">
        <v>7.0</v>
      </c>
      <c r="M92" s="36">
        <f>VLOOKUP(D92, County_Data_CZones!$B$2:$F$3236, 2, FALSE)</f>
        <v>7</v>
      </c>
      <c r="N92" s="37" t="str">
        <f>VLOOKUP(D92, County_Data_CZones!$B$2:$F$3236, 5, FALSE)</f>
        <v>Very Cold</v>
      </c>
      <c r="O92" s="41"/>
      <c r="P92" s="41"/>
    </row>
    <row r="93" ht="15.75" customHeight="1">
      <c r="A93" s="38" t="s">
        <v>195</v>
      </c>
      <c r="B93" s="39" t="s">
        <v>171</v>
      </c>
      <c r="C93" s="32" t="str">
        <f>vlookup(B93,State_EMM_RowSums!$A$2:$B$52,2,FALSE)</f>
        <v>AK</v>
      </c>
      <c r="D93" s="40">
        <v>2240.0</v>
      </c>
      <c r="E93" s="33">
        <f>IF(NOT(ISBLANK(vlookup($D93,Pop_Census_2023!$A$2:$E$3220,4,FALSE))),vlookup($D93,Pop_Census_2023!$A$2:$E$3220,4,FALSE), vlookup($D93,Pop_Census_2023!$A$2:$E$3220,5,FALSE))</f>
        <v>7077</v>
      </c>
      <c r="F93" s="41"/>
      <c r="G93" s="41"/>
      <c r="H93" s="32" t="str">
        <f>VLOOKUP(D93, Grid_Region_Mapping!$D$2:$F$5286, 3, FALSE)</f>
        <v>#N/A</v>
      </c>
      <c r="I93" s="41">
        <v>9.0</v>
      </c>
      <c r="J93" s="34" t="str">
        <f t="shared" si="1"/>
        <v>West</v>
      </c>
      <c r="K93" s="42">
        <v>1.0</v>
      </c>
      <c r="L93" s="42">
        <v>8.0</v>
      </c>
      <c r="M93" s="36">
        <f>VLOOKUP(D93, County_Data_CZones!$B$2:$F$3236, 2, FALSE)</f>
        <v>8</v>
      </c>
      <c r="N93" s="37" t="str">
        <f>VLOOKUP(D93, County_Data_CZones!$B$2:$F$3236, 5, FALSE)</f>
        <v>Subarctic</v>
      </c>
      <c r="O93" s="41"/>
      <c r="P93" s="41"/>
    </row>
    <row r="94" ht="15.75" customHeight="1">
      <c r="A94" s="38" t="s">
        <v>196</v>
      </c>
      <c r="B94" s="39" t="s">
        <v>171</v>
      </c>
      <c r="C94" s="32" t="str">
        <f>vlookup(B94,State_EMM_RowSums!$A$2:$B$52,2,FALSE)</f>
        <v>AK</v>
      </c>
      <c r="D94" s="40">
        <v>2261.0</v>
      </c>
      <c r="E94" s="43">
        <v>9202.0</v>
      </c>
      <c r="F94" s="41"/>
      <c r="G94" s="41"/>
      <c r="H94" s="32" t="str">
        <f>VLOOKUP(D94, Grid_Region_Mapping!$D$2:$F$5286, 3, FALSE)</f>
        <v>#N/A</v>
      </c>
      <c r="I94" s="41">
        <v>9.0</v>
      </c>
      <c r="J94" s="34" t="str">
        <f t="shared" si="1"/>
        <v>West</v>
      </c>
      <c r="K94" s="42">
        <v>1.0</v>
      </c>
      <c r="L94" s="42">
        <v>7.0</v>
      </c>
      <c r="M94" s="36">
        <f>VLOOKUP(D94, County_Data_CZones!$B$2:$F$3236, 2, FALSE)</f>
        <v>7</v>
      </c>
      <c r="N94" s="37" t="str">
        <f>VLOOKUP(D94, County_Data_CZones!$B$2:$F$3236, 5, FALSE)</f>
        <v>Very Cold</v>
      </c>
      <c r="O94" s="41"/>
      <c r="P94" s="41"/>
    </row>
    <row r="95" ht="15.75" customHeight="1">
      <c r="A95" s="38" t="s">
        <v>197</v>
      </c>
      <c r="B95" s="39" t="s">
        <v>171</v>
      </c>
      <c r="C95" s="32" t="str">
        <f>vlookup(B95,State_EMM_RowSums!$A$2:$B$52,2,FALSE)</f>
        <v>AK</v>
      </c>
      <c r="D95" s="40">
        <v>2275.0</v>
      </c>
      <c r="E95" s="33">
        <f>IF(NOT(ISBLANK(vlookup($D95,Pop_Census_2023!$A$2:$E$3220,4,FALSE))),vlookup($D95,Pop_Census_2023!$A$2:$E$3220,4,FALSE), vlookup($D95,Pop_Census_2023!$A$2:$E$3220,5,FALSE))</f>
        <v>2064</v>
      </c>
      <c r="F95" s="41"/>
      <c r="G95" s="41"/>
      <c r="H95" s="32" t="str">
        <f>VLOOKUP(D95, Grid_Region_Mapping!$D$2:$F$5286, 3, FALSE)</f>
        <v>#N/A</v>
      </c>
      <c r="I95" s="41">
        <v>9.0</v>
      </c>
      <c r="J95" s="34" t="str">
        <f t="shared" si="1"/>
        <v>West</v>
      </c>
      <c r="K95" s="42">
        <v>1.0</v>
      </c>
      <c r="L95" s="42">
        <v>7.0</v>
      </c>
      <c r="M95" s="36">
        <f>VLOOKUP(D95, County_Data_CZones!$B$2:$F$3236, 2, FALSE)</f>
        <v>7</v>
      </c>
      <c r="N95" s="37" t="str">
        <f>VLOOKUP(D95, County_Data_CZones!$B$2:$F$3236, 5, FALSE)</f>
        <v>Very Cold</v>
      </c>
      <c r="O95" s="41"/>
      <c r="P95" s="41"/>
    </row>
    <row r="96" ht="15.75" customHeight="1">
      <c r="A96" s="38" t="s">
        <v>198</v>
      </c>
      <c r="B96" s="39" t="s">
        <v>171</v>
      </c>
      <c r="C96" s="32" t="str">
        <f>vlookup(B96,State_EMM_RowSums!$A$2:$B$52,2,FALSE)</f>
        <v>AK</v>
      </c>
      <c r="D96" s="40">
        <v>2282.0</v>
      </c>
      <c r="E96" s="33">
        <f>IF(NOT(ISBLANK(vlookup($D96,Pop_Census_2023!$A$2:$E$3220,4,FALSE))),vlookup($D96,Pop_Census_2023!$A$2:$E$3220,4,FALSE), vlookup($D96,Pop_Census_2023!$A$2:$E$3220,5,FALSE))</f>
        <v>687</v>
      </c>
      <c r="F96" s="41"/>
      <c r="G96" s="41"/>
      <c r="H96" s="32" t="str">
        <f>VLOOKUP(D96, Grid_Region_Mapping!$D$2:$F$5286, 3, FALSE)</f>
        <v>#N/A</v>
      </c>
      <c r="I96" s="41">
        <v>9.0</v>
      </c>
      <c r="J96" s="34" t="str">
        <f t="shared" si="1"/>
        <v>West</v>
      </c>
      <c r="K96" s="42">
        <v>1.0</v>
      </c>
      <c r="L96" s="42">
        <v>7.0</v>
      </c>
      <c r="M96" s="36">
        <f>VLOOKUP(D96, County_Data_CZones!$B$2:$F$3236, 2, FALSE)</f>
        <v>7</v>
      </c>
      <c r="N96" s="37" t="str">
        <f>VLOOKUP(D96, County_Data_CZones!$B$2:$F$3236, 5, FALSE)</f>
        <v>Very Cold</v>
      </c>
      <c r="O96" s="41"/>
      <c r="P96" s="41"/>
    </row>
    <row r="97" ht="15.75" customHeight="1">
      <c r="A97" s="38" t="s">
        <v>199</v>
      </c>
      <c r="B97" s="39" t="s">
        <v>171</v>
      </c>
      <c r="C97" s="32" t="str">
        <f>vlookup(B97,State_EMM_RowSums!$A$2:$B$52,2,FALSE)</f>
        <v>AK</v>
      </c>
      <c r="D97" s="40">
        <v>2290.0</v>
      </c>
      <c r="E97" s="33">
        <f>IF(NOT(ISBLANK(vlookup($D97,Pop_Census_2023!$A$2:$E$3220,4,FALSE))),vlookup($D97,Pop_Census_2023!$A$2:$E$3220,4,FALSE), vlookup($D97,Pop_Census_2023!$A$2:$E$3220,5,FALSE))</f>
        <v>5129</v>
      </c>
      <c r="F97" s="41"/>
      <c r="G97" s="41"/>
      <c r="H97" s="32" t="str">
        <f>VLOOKUP(D97, Grid_Region_Mapping!$D$2:$F$5286, 3, FALSE)</f>
        <v>#N/A</v>
      </c>
      <c r="I97" s="41">
        <v>9.0</v>
      </c>
      <c r="J97" s="34" t="str">
        <f t="shared" si="1"/>
        <v>West</v>
      </c>
      <c r="K97" s="42">
        <v>1.0</v>
      </c>
      <c r="L97" s="42">
        <v>8.0</v>
      </c>
      <c r="M97" s="36">
        <f>VLOOKUP(D97, County_Data_CZones!$B$2:$F$3236, 2, FALSE)</f>
        <v>8</v>
      </c>
      <c r="N97" s="37" t="str">
        <f>VLOOKUP(D97, County_Data_CZones!$B$2:$F$3236, 5, FALSE)</f>
        <v>Subarctic</v>
      </c>
      <c r="O97" s="41"/>
      <c r="P97" s="41"/>
    </row>
    <row r="98" ht="15.75" customHeight="1">
      <c r="A98" s="32" t="s">
        <v>200</v>
      </c>
      <c r="B98" s="32" t="s">
        <v>201</v>
      </c>
      <c r="C98" s="32" t="str">
        <f>vlookup(B98,State_EMM_RowSums!$A$2:$B$52,2,FALSE)</f>
        <v>AZ</v>
      </c>
      <c r="D98" s="32">
        <v>4001.0</v>
      </c>
      <c r="E98" s="33">
        <f>IF(NOT(ISBLANK(vlookup($D98,Pop_Census_2023!$A$2:$E$3220,4,FALSE))),vlookup($D98,Pop_Census_2023!$A$2:$E$3220,4,FALSE), vlookup($D98,Pop_Census_2023!$A$2:$E$3220,5,FALSE))</f>
        <v>65036</v>
      </c>
      <c r="F98" s="32">
        <v>25441.0</v>
      </c>
      <c r="G98" s="32">
        <v>29.0</v>
      </c>
      <c r="H98" s="32" t="str">
        <f>VLOOKUP(D98, Grid_Region_Mapping!$D$2:$F$5286, 3, FALSE)</f>
        <v>SRSG</v>
      </c>
      <c r="I98" s="32">
        <v>8.0</v>
      </c>
      <c r="J98" s="34" t="str">
        <f t="shared" si="1"/>
        <v>West</v>
      </c>
      <c r="K98" s="35">
        <v>2.0</v>
      </c>
      <c r="L98" s="35" t="s">
        <v>202</v>
      </c>
      <c r="M98" s="36">
        <f>VLOOKUP(D98, County_Data_CZones!$B$2:$F$3236, 2, FALSE)</f>
        <v>5</v>
      </c>
      <c r="N98" s="37" t="str">
        <f>VLOOKUP(D98, County_Data_CZones!$B$2:$F$3236, 5, FALSE)</f>
        <v>Cold</v>
      </c>
    </row>
    <row r="99" ht="15.75" customHeight="1">
      <c r="A99" s="32" t="s">
        <v>203</v>
      </c>
      <c r="B99" s="32" t="s">
        <v>201</v>
      </c>
      <c r="C99" s="32" t="str">
        <f>vlookup(B99,State_EMM_RowSums!$A$2:$B$52,2,FALSE)</f>
        <v>AZ</v>
      </c>
      <c r="D99" s="32">
        <v>4003.0</v>
      </c>
      <c r="E99" s="33">
        <f>IF(NOT(ISBLANK(vlookup($D99,Pop_Census_2023!$A$2:$E$3220,4,FALSE))),vlookup($D99,Pop_Census_2023!$A$2:$E$3220,4,FALSE), vlookup($D99,Pop_Census_2023!$A$2:$E$3220,5,FALSE))</f>
        <v>124640</v>
      </c>
      <c r="F99" s="32">
        <v>25442.0</v>
      </c>
      <c r="G99" s="32">
        <v>28.0</v>
      </c>
      <c r="H99" s="32" t="str">
        <f>VLOOKUP(D99, Grid_Region_Mapping!$D$2:$F$5286, 3, FALSE)</f>
        <v>SRSG</v>
      </c>
      <c r="I99" s="32">
        <v>8.0</v>
      </c>
      <c r="J99" s="34" t="str">
        <f t="shared" si="1"/>
        <v>West</v>
      </c>
      <c r="K99" s="35">
        <v>4.0</v>
      </c>
      <c r="L99" s="35" t="s">
        <v>204</v>
      </c>
      <c r="M99" s="36">
        <f>VLOOKUP(D99, County_Data_CZones!$B$2:$F$3236, 2, FALSE)</f>
        <v>3</v>
      </c>
      <c r="N99" s="37" t="str">
        <f>VLOOKUP(D99, County_Data_CZones!$B$2:$F$3236, 5, FALSE)</f>
        <v>Hot-Dry</v>
      </c>
    </row>
    <row r="100" ht="15.75" customHeight="1">
      <c r="A100" s="32" t="s">
        <v>205</v>
      </c>
      <c r="B100" s="32" t="s">
        <v>201</v>
      </c>
      <c r="C100" s="32" t="str">
        <f>vlookup(B100,State_EMM_RowSums!$A$2:$B$52,2,FALSE)</f>
        <v>AZ</v>
      </c>
      <c r="D100" s="32">
        <v>4005.0</v>
      </c>
      <c r="E100" s="33">
        <f>IF(NOT(ISBLANK(vlookup($D100,Pop_Census_2023!$A$2:$E$3220,4,FALSE))),vlookup($D100,Pop_Census_2023!$A$2:$E$3220,4,FALSE), vlookup($D100,Pop_Census_2023!$A$2:$E$3220,5,FALSE))</f>
        <v>144472</v>
      </c>
      <c r="F100" s="32">
        <v>25443.0</v>
      </c>
      <c r="G100" s="32">
        <v>28.0</v>
      </c>
      <c r="H100" s="32" t="str">
        <f>VLOOKUP(D100, Grid_Region_Mapping!$D$2:$F$5286, 3, FALSE)</f>
        <v>SRSG</v>
      </c>
      <c r="I100" s="32">
        <v>8.0</v>
      </c>
      <c r="J100" s="34" t="str">
        <f t="shared" si="1"/>
        <v>West</v>
      </c>
      <c r="K100" s="35">
        <v>2.0</v>
      </c>
      <c r="L100" s="35" t="s">
        <v>202</v>
      </c>
      <c r="M100" s="36">
        <f>VLOOKUP(D100, County_Data_CZones!$B$2:$F$3236, 2, FALSE)</f>
        <v>5</v>
      </c>
      <c r="N100" s="37" t="str">
        <f>VLOOKUP(D100, County_Data_CZones!$B$2:$F$3236, 5, FALSE)</f>
        <v>Cold</v>
      </c>
    </row>
    <row r="101" ht="15.75" customHeight="1">
      <c r="A101" s="32" t="s">
        <v>206</v>
      </c>
      <c r="B101" s="32" t="s">
        <v>201</v>
      </c>
      <c r="C101" s="32" t="str">
        <f>vlookup(B101,State_EMM_RowSums!$A$2:$B$52,2,FALSE)</f>
        <v>AZ</v>
      </c>
      <c r="D101" s="32">
        <v>4007.0</v>
      </c>
      <c r="E101" s="33">
        <f>IF(NOT(ISBLANK(vlookup($D101,Pop_Census_2023!$A$2:$E$3220,4,FALSE))),vlookup($D101,Pop_Census_2023!$A$2:$E$3220,4,FALSE), vlookup($D101,Pop_Census_2023!$A$2:$E$3220,5,FALSE))</f>
        <v>54003</v>
      </c>
      <c r="F101" s="32">
        <v>40471.0</v>
      </c>
      <c r="G101" s="32">
        <v>28.0</v>
      </c>
      <c r="H101" s="32" t="str">
        <f>VLOOKUP(D101, Grid_Region_Mapping!$D$2:$F$5286, 3, FALSE)</f>
        <v>SRSG</v>
      </c>
      <c r="I101" s="32">
        <v>8.0</v>
      </c>
      <c r="J101" s="34" t="str">
        <f t="shared" si="1"/>
        <v>West</v>
      </c>
      <c r="K101" s="35">
        <v>4.0</v>
      </c>
      <c r="L101" s="35" t="s">
        <v>207</v>
      </c>
      <c r="M101" s="36">
        <f>VLOOKUP(D101, County_Data_CZones!$B$2:$F$3236, 2, FALSE)</f>
        <v>4</v>
      </c>
      <c r="N101" s="37" t="str">
        <f>VLOOKUP(D101, County_Data_CZones!$B$2:$F$3236, 5, FALSE)</f>
        <v>Mixed-Dry</v>
      </c>
    </row>
    <row r="102" ht="15.75" customHeight="1">
      <c r="A102" s="32" t="s">
        <v>208</v>
      </c>
      <c r="B102" s="32" t="s">
        <v>201</v>
      </c>
      <c r="C102" s="32" t="str">
        <f>vlookup(B102,State_EMM_RowSums!$A$2:$B$52,2,FALSE)</f>
        <v>AZ</v>
      </c>
      <c r="D102" s="32">
        <v>4009.0</v>
      </c>
      <c r="E102" s="33">
        <f>IF(NOT(ISBLANK(vlookup($D102,Pop_Census_2023!$A$2:$E$3220,4,FALSE))),vlookup($D102,Pop_Census_2023!$A$2:$E$3220,4,FALSE), vlookup($D102,Pop_Census_2023!$A$2:$E$3220,5,FALSE))</f>
        <v>39525</v>
      </c>
      <c r="F102" s="32">
        <v>25444.0</v>
      </c>
      <c r="G102" s="32">
        <v>28.0</v>
      </c>
      <c r="H102" s="32" t="str">
        <f>VLOOKUP(D102, Grid_Region_Mapping!$D$2:$F$5286, 3, FALSE)</f>
        <v>SRSG</v>
      </c>
      <c r="I102" s="32">
        <v>8.0</v>
      </c>
      <c r="J102" s="34" t="str">
        <f t="shared" si="1"/>
        <v>West</v>
      </c>
      <c r="K102" s="35">
        <v>5.0</v>
      </c>
      <c r="L102" s="35" t="s">
        <v>204</v>
      </c>
      <c r="M102" s="36">
        <f>VLOOKUP(D102, County_Data_CZones!$B$2:$F$3236, 2, FALSE)</f>
        <v>3</v>
      </c>
      <c r="N102" s="37" t="str">
        <f>VLOOKUP(D102, County_Data_CZones!$B$2:$F$3236, 5, FALSE)</f>
        <v>Hot-Dry</v>
      </c>
    </row>
    <row r="103" ht="15.75" customHeight="1">
      <c r="A103" s="32" t="s">
        <v>209</v>
      </c>
      <c r="B103" s="32" t="s">
        <v>201</v>
      </c>
      <c r="C103" s="32" t="str">
        <f>vlookup(B103,State_EMM_RowSums!$A$2:$B$52,2,FALSE)</f>
        <v>AZ</v>
      </c>
      <c r="D103" s="32">
        <v>4011.0</v>
      </c>
      <c r="E103" s="33">
        <f>IF(NOT(ISBLANK(vlookup($D103,Pop_Census_2023!$A$2:$E$3220,4,FALSE))),vlookup($D103,Pop_Census_2023!$A$2:$E$3220,4,FALSE), vlookup($D103,Pop_Census_2023!$A$2:$E$3220,5,FALSE))</f>
        <v>9369</v>
      </c>
      <c r="F103" s="32">
        <v>42807.0</v>
      </c>
      <c r="G103" s="32">
        <v>28.0</v>
      </c>
      <c r="H103" s="32" t="str">
        <f>VLOOKUP(D103, Grid_Region_Mapping!$D$2:$F$5286, 3, FALSE)</f>
        <v>SRSG</v>
      </c>
      <c r="I103" s="32">
        <v>8.0</v>
      </c>
      <c r="J103" s="34" t="str">
        <f t="shared" si="1"/>
        <v>West</v>
      </c>
      <c r="K103" s="35">
        <v>5.0</v>
      </c>
      <c r="L103" s="35" t="s">
        <v>204</v>
      </c>
      <c r="M103" s="36">
        <f>VLOOKUP(D103, County_Data_CZones!$B$2:$F$3236, 2, FALSE)</f>
        <v>3</v>
      </c>
      <c r="N103" s="37" t="str">
        <f>VLOOKUP(D103, County_Data_CZones!$B$2:$F$3236, 5, FALSE)</f>
        <v>Hot-Dry</v>
      </c>
    </row>
    <row r="104" ht="15.75" customHeight="1">
      <c r="A104" s="32" t="s">
        <v>210</v>
      </c>
      <c r="B104" s="32" t="s">
        <v>201</v>
      </c>
      <c r="C104" s="32" t="str">
        <f>vlookup(B104,State_EMM_RowSums!$A$2:$B$52,2,FALSE)</f>
        <v>AZ</v>
      </c>
      <c r="D104" s="32">
        <v>4012.0</v>
      </c>
      <c r="E104" s="33">
        <f>IF(NOT(ISBLANK(vlookup($D104,Pop_Census_2023!$A$2:$E$3220,4,FALSE))),vlookup($D104,Pop_Census_2023!$A$2:$E$3220,4,FALSE), vlookup($D104,Pop_Census_2023!$A$2:$E$3220,5,FALSE))</f>
        <v>16710</v>
      </c>
      <c r="F104" s="32">
        <v>43540.0</v>
      </c>
      <c r="G104" s="32">
        <v>28.0</v>
      </c>
      <c r="H104" s="32" t="str">
        <f>VLOOKUP(D104, Grid_Region_Mapping!$D$2:$F$5286, 3, FALSE)</f>
        <v>SRSG</v>
      </c>
      <c r="I104" s="32">
        <v>8.0</v>
      </c>
      <c r="J104" s="34" t="str">
        <f t="shared" si="1"/>
        <v>West</v>
      </c>
      <c r="K104" s="35">
        <v>5.0</v>
      </c>
      <c r="L104" s="35" t="s">
        <v>211</v>
      </c>
      <c r="M104" s="36">
        <f>VLOOKUP(D104, County_Data_CZones!$B$2:$F$3236, 2, FALSE)</f>
        <v>2</v>
      </c>
      <c r="N104" s="37" t="str">
        <f>VLOOKUP(D104, County_Data_CZones!$B$2:$F$3236, 5, FALSE)</f>
        <v>Hot-Dry</v>
      </c>
    </row>
    <row r="105" ht="15.75" customHeight="1">
      <c r="A105" s="32" t="s">
        <v>212</v>
      </c>
      <c r="B105" s="32" t="s">
        <v>201</v>
      </c>
      <c r="C105" s="32" t="str">
        <f>vlookup(B105,State_EMM_RowSums!$A$2:$B$52,2,FALSE)</f>
        <v>AZ</v>
      </c>
      <c r="D105" s="32">
        <v>4013.0</v>
      </c>
      <c r="E105" s="33">
        <f>IF(NOT(ISBLANK(vlookup($D105,Pop_Census_2023!$A$2:$E$3220,4,FALSE))),vlookup($D105,Pop_Census_2023!$A$2:$E$3220,4,FALSE), vlookup($D105,Pop_Census_2023!$A$2:$E$3220,5,FALSE))</f>
        <v>4585871</v>
      </c>
      <c r="F105" s="32">
        <v>37026.0</v>
      </c>
      <c r="G105" s="32">
        <v>28.0</v>
      </c>
      <c r="H105" s="32" t="str">
        <f>VLOOKUP(D105, Grid_Region_Mapping!$D$2:$F$5286, 3, FALSE)</f>
        <v>SRSG</v>
      </c>
      <c r="I105" s="32">
        <v>8.0</v>
      </c>
      <c r="J105" s="34" t="str">
        <f t="shared" si="1"/>
        <v>West</v>
      </c>
      <c r="K105" s="35">
        <v>5.0</v>
      </c>
      <c r="L105" s="35" t="s">
        <v>211</v>
      </c>
      <c r="M105" s="36">
        <f>VLOOKUP(D105, County_Data_CZones!$B$2:$F$3236, 2, FALSE)</f>
        <v>2</v>
      </c>
      <c r="N105" s="37" t="str">
        <f>VLOOKUP(D105, County_Data_CZones!$B$2:$F$3236, 5, FALSE)</f>
        <v>Hot-Dry</v>
      </c>
    </row>
    <row r="106" ht="15.75" customHeight="1">
      <c r="A106" s="32" t="s">
        <v>213</v>
      </c>
      <c r="B106" s="32" t="s">
        <v>201</v>
      </c>
      <c r="C106" s="32" t="str">
        <f>vlookup(B106,State_EMM_RowSums!$A$2:$B$52,2,FALSE)</f>
        <v>AZ</v>
      </c>
      <c r="D106" s="32">
        <v>4015.0</v>
      </c>
      <c r="E106" s="33">
        <f>IF(NOT(ISBLANK(vlookup($D106,Pop_Census_2023!$A$2:$E$3220,4,FALSE))),vlookup($D106,Pop_Census_2023!$A$2:$E$3220,4,FALSE), vlookup($D106,Pop_Census_2023!$A$2:$E$3220,5,FALSE))</f>
        <v>223682</v>
      </c>
      <c r="F106" s="32">
        <v>25445.0</v>
      </c>
      <c r="G106" s="32">
        <v>27.0</v>
      </c>
      <c r="H106" s="32" t="str">
        <f>VLOOKUP(D106, Grid_Region_Mapping!$D$2:$F$5286, 3, FALSE)</f>
        <v>SRSG</v>
      </c>
      <c r="I106" s="32">
        <v>8.0</v>
      </c>
      <c r="J106" s="34" t="str">
        <f t="shared" si="1"/>
        <v>West</v>
      </c>
      <c r="K106" s="35">
        <v>5.0</v>
      </c>
      <c r="L106" s="35" t="s">
        <v>204</v>
      </c>
      <c r="M106" s="36">
        <f>VLOOKUP(D106, County_Data_CZones!$B$2:$F$3236, 2, FALSE)</f>
        <v>3</v>
      </c>
      <c r="N106" s="37" t="str">
        <f>VLOOKUP(D106, County_Data_CZones!$B$2:$F$3236, 5, FALSE)</f>
        <v>Hot-Dry</v>
      </c>
    </row>
    <row r="107" ht="15.75" customHeight="1">
      <c r="A107" s="32" t="s">
        <v>214</v>
      </c>
      <c r="B107" s="32" t="s">
        <v>201</v>
      </c>
      <c r="C107" s="32" t="str">
        <f>vlookup(B107,State_EMM_RowSums!$A$2:$B$52,2,FALSE)</f>
        <v>AZ</v>
      </c>
      <c r="D107" s="32">
        <v>4017.0</v>
      </c>
      <c r="E107" s="33">
        <f>IF(NOT(ISBLANK(vlookup($D107,Pop_Census_2023!$A$2:$E$3220,4,FALSE))),vlookup($D107,Pop_Census_2023!$A$2:$E$3220,4,FALSE), vlookup($D107,Pop_Census_2023!$A$2:$E$3220,5,FALSE))</f>
        <v>109175</v>
      </c>
      <c r="F107" s="32">
        <v>42808.0</v>
      </c>
      <c r="G107" s="32">
        <v>28.0</v>
      </c>
      <c r="H107" s="32" t="str">
        <f>VLOOKUP(D107, Grid_Region_Mapping!$D$2:$F$5286, 3, FALSE)</f>
        <v>SRSG</v>
      </c>
      <c r="I107" s="32">
        <v>8.0</v>
      </c>
      <c r="J107" s="34" t="str">
        <f t="shared" si="1"/>
        <v>West</v>
      </c>
      <c r="K107" s="35">
        <v>3.0</v>
      </c>
      <c r="L107" s="35" t="s">
        <v>202</v>
      </c>
      <c r="M107" s="36">
        <f>VLOOKUP(D107, County_Data_CZones!$B$2:$F$3236, 2, FALSE)</f>
        <v>5</v>
      </c>
      <c r="N107" s="37" t="str">
        <f>VLOOKUP(D107, County_Data_CZones!$B$2:$F$3236, 5, FALSE)</f>
        <v>Cold</v>
      </c>
    </row>
    <row r="108" ht="15.75" customHeight="1">
      <c r="A108" s="32" t="s">
        <v>215</v>
      </c>
      <c r="B108" s="32" t="s">
        <v>201</v>
      </c>
      <c r="C108" s="32" t="str">
        <f>vlookup(B108,State_EMM_RowSums!$A$2:$B$52,2,FALSE)</f>
        <v>AZ</v>
      </c>
      <c r="D108" s="32">
        <v>4019.0</v>
      </c>
      <c r="E108" s="33">
        <f>IF(NOT(ISBLANK(vlookup($D108,Pop_Census_2023!$A$2:$E$3220,4,FALSE))),vlookup($D108,Pop_Census_2023!$A$2:$E$3220,4,FALSE), vlookup($D108,Pop_Census_2023!$A$2:$E$3220,5,FALSE))</f>
        <v>1063162</v>
      </c>
      <c r="F108" s="32">
        <v>25446.0</v>
      </c>
      <c r="G108" s="32">
        <v>30.0</v>
      </c>
      <c r="H108" s="32" t="str">
        <f>VLOOKUP(D108, Grid_Region_Mapping!$D$2:$F$5286, 3, FALSE)</f>
        <v>SRSG</v>
      </c>
      <c r="I108" s="32">
        <v>8.0</v>
      </c>
      <c r="J108" s="34" t="str">
        <f t="shared" si="1"/>
        <v>West</v>
      </c>
      <c r="K108" s="35">
        <v>5.0</v>
      </c>
      <c r="L108" s="35" t="s">
        <v>211</v>
      </c>
      <c r="M108" s="36">
        <f>VLOOKUP(D108, County_Data_CZones!$B$2:$F$3236, 2, FALSE)</f>
        <v>2</v>
      </c>
      <c r="N108" s="37" t="str">
        <f>VLOOKUP(D108, County_Data_CZones!$B$2:$F$3236, 5, FALSE)</f>
        <v>Hot-Dry</v>
      </c>
    </row>
    <row r="109" ht="15.75" customHeight="1">
      <c r="A109" s="32" t="s">
        <v>216</v>
      </c>
      <c r="B109" s="32" t="s">
        <v>201</v>
      </c>
      <c r="C109" s="32" t="str">
        <f>vlookup(B109,State_EMM_RowSums!$A$2:$B$52,2,FALSE)</f>
        <v>AZ</v>
      </c>
      <c r="D109" s="32">
        <v>4021.0</v>
      </c>
      <c r="E109" s="33">
        <f>IF(NOT(ISBLANK(vlookup($D109,Pop_Census_2023!$A$2:$E$3220,4,FALSE))),vlookup($D109,Pop_Census_2023!$A$2:$E$3220,4,FALSE), vlookup($D109,Pop_Census_2023!$A$2:$E$3220,5,FALSE))</f>
        <v>484239</v>
      </c>
      <c r="F109" s="32">
        <v>25447.0</v>
      </c>
      <c r="G109" s="32">
        <v>28.0</v>
      </c>
      <c r="H109" s="32" t="str">
        <f>VLOOKUP(D109, Grid_Region_Mapping!$D$2:$F$5286, 3, FALSE)</f>
        <v>SRSG</v>
      </c>
      <c r="I109" s="32">
        <v>8.0</v>
      </c>
      <c r="J109" s="34" t="str">
        <f t="shared" si="1"/>
        <v>West</v>
      </c>
      <c r="K109" s="35">
        <v>5.0</v>
      </c>
      <c r="L109" s="35" t="s">
        <v>211</v>
      </c>
      <c r="M109" s="36">
        <f>VLOOKUP(D109, County_Data_CZones!$B$2:$F$3236, 2, FALSE)</f>
        <v>2</v>
      </c>
      <c r="N109" s="37" t="str">
        <f>VLOOKUP(D109, County_Data_CZones!$B$2:$F$3236, 5, FALSE)</f>
        <v>Hot-Dry</v>
      </c>
    </row>
    <row r="110" ht="15.75" customHeight="1">
      <c r="A110" s="32" t="s">
        <v>217</v>
      </c>
      <c r="B110" s="32" t="s">
        <v>201</v>
      </c>
      <c r="C110" s="32" t="str">
        <f>vlookup(B110,State_EMM_RowSums!$A$2:$B$52,2,FALSE)</f>
        <v>AZ</v>
      </c>
      <c r="D110" s="32">
        <v>4023.0</v>
      </c>
      <c r="E110" s="33">
        <f>IF(NOT(ISBLANK(vlookup($D110,Pop_Census_2023!$A$2:$E$3220,4,FALSE))),vlookup($D110,Pop_Census_2023!$A$2:$E$3220,4,FALSE), vlookup($D110,Pop_Census_2023!$A$2:$E$3220,5,FALSE))</f>
        <v>49158</v>
      </c>
      <c r="F110" s="32">
        <v>40472.0</v>
      </c>
      <c r="G110" s="32">
        <v>30.0</v>
      </c>
      <c r="H110" s="32" t="str">
        <f>VLOOKUP(D110, Grid_Region_Mapping!$D$2:$F$5286, 3, FALSE)</f>
        <v>SRSG</v>
      </c>
      <c r="I110" s="32">
        <v>8.0</v>
      </c>
      <c r="J110" s="34" t="str">
        <f t="shared" si="1"/>
        <v>West</v>
      </c>
      <c r="K110" s="35">
        <v>4.0</v>
      </c>
      <c r="L110" s="35" t="s">
        <v>204</v>
      </c>
      <c r="M110" s="36">
        <f>VLOOKUP(D110, County_Data_CZones!$B$2:$F$3236, 2, FALSE)</f>
        <v>3</v>
      </c>
      <c r="N110" s="37" t="str">
        <f>VLOOKUP(D110, County_Data_CZones!$B$2:$F$3236, 5, FALSE)</f>
        <v>Hot-Dry</v>
      </c>
    </row>
    <row r="111" ht="15.75" customHeight="1">
      <c r="A111" s="32" t="s">
        <v>218</v>
      </c>
      <c r="B111" s="32" t="s">
        <v>201</v>
      </c>
      <c r="C111" s="32" t="str">
        <f>vlookup(B111,State_EMM_RowSums!$A$2:$B$52,2,FALSE)</f>
        <v>AZ</v>
      </c>
      <c r="D111" s="32">
        <v>4025.0</v>
      </c>
      <c r="E111" s="33">
        <f>IF(NOT(ISBLANK(vlookup($D111,Pop_Census_2023!$A$2:$E$3220,4,FALSE))),vlookup($D111,Pop_Census_2023!$A$2:$E$3220,4,FALSE), vlookup($D111,Pop_Census_2023!$A$2:$E$3220,5,FALSE))</f>
        <v>249081</v>
      </c>
      <c r="F111" s="32">
        <v>42809.0</v>
      </c>
      <c r="G111" s="32">
        <v>28.0</v>
      </c>
      <c r="H111" s="32" t="str">
        <f>VLOOKUP(D111, Grid_Region_Mapping!$D$2:$F$5286, 3, FALSE)</f>
        <v>SRSG</v>
      </c>
      <c r="I111" s="32">
        <v>8.0</v>
      </c>
      <c r="J111" s="34" t="str">
        <f t="shared" si="1"/>
        <v>West</v>
      </c>
      <c r="K111" s="35">
        <v>3.0</v>
      </c>
      <c r="L111" s="35" t="s">
        <v>207</v>
      </c>
      <c r="M111" s="36">
        <f>VLOOKUP(D111, County_Data_CZones!$B$2:$F$3236, 2, FALSE)</f>
        <v>4</v>
      </c>
      <c r="N111" s="37" t="str">
        <f>VLOOKUP(D111, County_Data_CZones!$B$2:$F$3236, 5, FALSE)</f>
        <v>Mixed-Dry</v>
      </c>
    </row>
    <row r="112" ht="15.75" customHeight="1">
      <c r="A112" s="32" t="s">
        <v>219</v>
      </c>
      <c r="B112" s="32" t="s">
        <v>201</v>
      </c>
      <c r="C112" s="32" t="str">
        <f>vlookup(B112,State_EMM_RowSums!$A$2:$B$52,2,FALSE)</f>
        <v>AZ</v>
      </c>
      <c r="D112" s="32">
        <v>4027.0</v>
      </c>
      <c r="E112" s="33">
        <f>IF(NOT(ISBLANK(vlookup($D112,Pop_Census_2023!$A$2:$E$3220,4,FALSE))),vlookup($D112,Pop_Census_2023!$A$2:$E$3220,4,FALSE), vlookup($D112,Pop_Census_2023!$A$2:$E$3220,5,FALSE))</f>
        <v>213221</v>
      </c>
      <c r="F112" s="32">
        <v>23901.0</v>
      </c>
      <c r="G112" s="32">
        <v>28.0</v>
      </c>
      <c r="H112" s="32" t="str">
        <f>VLOOKUP(D112, Grid_Region_Mapping!$D$2:$F$5286, 3, FALSE)</f>
        <v>SRSG</v>
      </c>
      <c r="I112" s="32">
        <v>8.0</v>
      </c>
      <c r="J112" s="34" t="str">
        <f t="shared" si="1"/>
        <v>West</v>
      </c>
      <c r="K112" s="35">
        <v>5.0</v>
      </c>
      <c r="L112" s="35" t="s">
        <v>211</v>
      </c>
      <c r="M112" s="36">
        <f>VLOOKUP(D112, County_Data_CZones!$B$2:$F$3236, 2, FALSE)</f>
        <v>2</v>
      </c>
      <c r="N112" s="37" t="str">
        <f>VLOOKUP(D112, County_Data_CZones!$B$2:$F$3236, 5, FALSE)</f>
        <v>Hot-Dry</v>
      </c>
    </row>
    <row r="113" ht="15.75" customHeight="1">
      <c r="A113" s="32" t="s">
        <v>220</v>
      </c>
      <c r="B113" s="32" t="s">
        <v>220</v>
      </c>
      <c r="C113" s="32" t="str">
        <f>vlookup(B113,State_EMM_RowSums!$A$2:$B$52,2,FALSE)</f>
        <v>AR</v>
      </c>
      <c r="D113" s="32">
        <v>5001.0</v>
      </c>
      <c r="E113" s="33">
        <f>IF(NOT(ISBLANK(vlookup($D113,Pop_Census_2023!$A$2:$E$3220,4,FALSE))),vlookup($D113,Pop_Census_2023!$A$2:$E$3220,4,FALSE), vlookup($D113,Pop_Census_2023!$A$2:$E$3220,5,FALSE))</f>
        <v>16307</v>
      </c>
      <c r="F113" s="32">
        <v>63755.0</v>
      </c>
      <c r="G113" s="32">
        <v>85.0</v>
      </c>
      <c r="H113" s="32" t="str">
        <f>VLOOKUP(D113, Grid_Region_Mapping!$D$2:$F$5286, 3, FALSE)</f>
        <v>MISS</v>
      </c>
      <c r="I113" s="32">
        <v>7.0</v>
      </c>
      <c r="J113" s="34" t="str">
        <f t="shared" si="1"/>
        <v>South</v>
      </c>
      <c r="K113" s="35">
        <v>5.0</v>
      </c>
      <c r="L113" s="35" t="s">
        <v>102</v>
      </c>
      <c r="M113" s="36">
        <f>VLOOKUP(D113, County_Data_CZones!$B$2:$F$3236, 2, FALSE)</f>
        <v>3</v>
      </c>
      <c r="N113" s="37" t="str">
        <f>VLOOKUP(D113, County_Data_CZones!$B$2:$F$3236, 5, FALSE)</f>
        <v>Mixed-Humid</v>
      </c>
    </row>
    <row r="114" ht="15.75" customHeight="1">
      <c r="A114" s="32" t="s">
        <v>221</v>
      </c>
      <c r="B114" s="32" t="s">
        <v>220</v>
      </c>
      <c r="C114" s="32" t="str">
        <f>vlookup(B114,State_EMM_RowSums!$A$2:$B$52,2,FALSE)</f>
        <v>AR</v>
      </c>
      <c r="D114" s="32">
        <v>5003.0</v>
      </c>
      <c r="E114" s="33">
        <f>IF(NOT(ISBLANK(vlookup($D114,Pop_Census_2023!$A$2:$E$3220,4,FALSE))),vlookup($D114,Pop_Census_2023!$A$2:$E$3220,4,FALSE), vlookup($D114,Pop_Census_2023!$A$2:$E$3220,5,FALSE))</f>
        <v>18262</v>
      </c>
      <c r="F114" s="32">
        <v>63756.0</v>
      </c>
      <c r="G114" s="32">
        <v>85.0</v>
      </c>
      <c r="H114" s="32" t="str">
        <f>VLOOKUP(D114, Grid_Region_Mapping!$D$2:$F$5286, 3, FALSE)</f>
        <v>MISS</v>
      </c>
      <c r="I114" s="32">
        <v>7.0</v>
      </c>
      <c r="J114" s="34" t="str">
        <f t="shared" si="1"/>
        <v>South</v>
      </c>
      <c r="K114" s="35">
        <v>4.0</v>
      </c>
      <c r="L114" s="35" t="s">
        <v>102</v>
      </c>
      <c r="M114" s="36">
        <f>VLOOKUP(D114, County_Data_CZones!$B$2:$F$3236, 2, FALSE)</f>
        <v>3</v>
      </c>
      <c r="N114" s="37" t="str">
        <f>VLOOKUP(D114, County_Data_CZones!$B$2:$F$3236, 5, FALSE)</f>
        <v>Mixed-Humid</v>
      </c>
    </row>
    <row r="115" ht="15.75" customHeight="1">
      <c r="A115" s="32" t="s">
        <v>222</v>
      </c>
      <c r="B115" s="32" t="s">
        <v>220</v>
      </c>
      <c r="C115" s="32" t="str">
        <f>vlookup(B115,State_EMM_RowSums!$A$2:$B$52,2,FALSE)</f>
        <v>AR</v>
      </c>
      <c r="D115" s="32">
        <v>5005.0</v>
      </c>
      <c r="E115" s="33">
        <f>IF(NOT(ISBLANK(vlookup($D115,Pop_Census_2023!$A$2:$E$3220,4,FALSE))),vlookup($D115,Pop_Census_2023!$A$2:$E$3220,4,FALSE), vlookup($D115,Pop_Census_2023!$A$2:$E$3220,5,FALSE))</f>
        <v>42875</v>
      </c>
      <c r="F115" s="32">
        <v>69895.0</v>
      </c>
      <c r="G115" s="32">
        <v>85.0</v>
      </c>
      <c r="H115" s="32" t="str">
        <f>VLOOKUP(D115, Grid_Region_Mapping!$D$2:$F$5286, 3, FALSE)</f>
        <v>MISS</v>
      </c>
      <c r="I115" s="32">
        <v>7.0</v>
      </c>
      <c r="J115" s="34" t="str">
        <f t="shared" si="1"/>
        <v>South</v>
      </c>
      <c r="K115" s="35">
        <v>3.0</v>
      </c>
      <c r="L115" s="35" t="s">
        <v>223</v>
      </c>
      <c r="M115" s="36">
        <f>VLOOKUP(D115, County_Data_CZones!$B$2:$F$3236, 2, FALSE)</f>
        <v>4</v>
      </c>
      <c r="N115" s="37" t="str">
        <f>VLOOKUP(D115, County_Data_CZones!$B$2:$F$3236, 5, FALSE)</f>
        <v>Mixed-Humid</v>
      </c>
    </row>
    <row r="116" ht="15.75" customHeight="1">
      <c r="A116" s="32" t="s">
        <v>224</v>
      </c>
      <c r="B116" s="32" t="s">
        <v>220</v>
      </c>
      <c r="C116" s="32" t="str">
        <f>vlookup(B116,State_EMM_RowSums!$A$2:$B$52,2,FALSE)</f>
        <v>AR</v>
      </c>
      <c r="D116" s="32">
        <v>5007.0</v>
      </c>
      <c r="E116" s="33">
        <f>IF(NOT(ISBLANK(vlookup($D116,Pop_Census_2023!$A$2:$E$3220,4,FALSE))),vlookup($D116,Pop_Census_2023!$A$2:$E$3220,4,FALSE), vlookup($D116,Pop_Census_2023!$A$2:$E$3220,5,FALSE))</f>
        <v>311013</v>
      </c>
      <c r="F116" s="32">
        <v>69896.0</v>
      </c>
      <c r="G116" s="32">
        <v>56.0</v>
      </c>
      <c r="H116" s="32" t="str">
        <f>VLOOKUP(D116, Grid_Region_Mapping!$D$2:$F$5286, 3, FALSE)</f>
        <v>SPPS</v>
      </c>
      <c r="I116" s="32">
        <v>7.0</v>
      </c>
      <c r="J116" s="34" t="str">
        <f t="shared" si="1"/>
        <v>South</v>
      </c>
      <c r="K116" s="35">
        <v>3.0</v>
      </c>
      <c r="L116" s="35" t="s">
        <v>223</v>
      </c>
      <c r="M116" s="36">
        <f>VLOOKUP(D116, County_Data_CZones!$B$2:$F$3236, 2, FALSE)</f>
        <v>4</v>
      </c>
      <c r="N116" s="37" t="str">
        <f>VLOOKUP(D116, County_Data_CZones!$B$2:$F$3236, 5, FALSE)</f>
        <v>Mixed-Humid</v>
      </c>
    </row>
    <row r="117" ht="15.75" customHeight="1">
      <c r="A117" s="32" t="s">
        <v>225</v>
      </c>
      <c r="B117" s="32" t="s">
        <v>220</v>
      </c>
      <c r="C117" s="32" t="str">
        <f>vlookup(B117,State_EMM_RowSums!$A$2:$B$52,2,FALSE)</f>
        <v>AR</v>
      </c>
      <c r="D117" s="32">
        <v>5009.0</v>
      </c>
      <c r="E117" s="33">
        <f>IF(NOT(ISBLANK(vlookup($D117,Pop_Census_2023!$A$2:$E$3220,4,FALSE))),vlookup($D117,Pop_Census_2023!$A$2:$E$3220,4,FALSE), vlookup($D117,Pop_Census_2023!$A$2:$E$3220,5,FALSE))</f>
        <v>38530</v>
      </c>
      <c r="F117" s="32">
        <v>69897.0</v>
      </c>
      <c r="G117" s="32">
        <v>56.0</v>
      </c>
      <c r="H117" s="32" t="str">
        <f>VLOOKUP(D117, Grid_Region_Mapping!$D$2:$F$5286, 3, FALSE)</f>
        <v>MISS</v>
      </c>
      <c r="I117" s="32">
        <v>7.0</v>
      </c>
      <c r="J117" s="34" t="str">
        <f t="shared" si="1"/>
        <v>South</v>
      </c>
      <c r="K117" s="35">
        <v>3.0</v>
      </c>
      <c r="L117" s="35" t="s">
        <v>223</v>
      </c>
      <c r="M117" s="36">
        <f>VLOOKUP(D117, County_Data_CZones!$B$2:$F$3236, 2, FALSE)</f>
        <v>4</v>
      </c>
      <c r="N117" s="37" t="str">
        <f>VLOOKUP(D117, County_Data_CZones!$B$2:$F$3236, 5, FALSE)</f>
        <v>Mixed-Humid</v>
      </c>
    </row>
    <row r="118" ht="15.75" customHeight="1">
      <c r="A118" s="32" t="s">
        <v>226</v>
      </c>
      <c r="B118" s="32" t="s">
        <v>220</v>
      </c>
      <c r="C118" s="32" t="str">
        <f>vlookup(B118,State_EMM_RowSums!$A$2:$B$52,2,FALSE)</f>
        <v>AR</v>
      </c>
      <c r="D118" s="32">
        <v>5011.0</v>
      </c>
      <c r="E118" s="33">
        <f>IF(NOT(ISBLANK(vlookup($D118,Pop_Census_2023!$A$2:$E$3220,4,FALSE))),vlookup($D118,Pop_Census_2023!$A$2:$E$3220,4,FALSE), vlookup($D118,Pop_Census_2023!$A$2:$E$3220,5,FALSE))</f>
        <v>10104</v>
      </c>
      <c r="F118" s="32">
        <v>63757.0</v>
      </c>
      <c r="G118" s="32">
        <v>85.0</v>
      </c>
      <c r="H118" s="32" t="str">
        <f>VLOOKUP(D118, Grid_Region_Mapping!$D$2:$F$5286, 3, FALSE)</f>
        <v>MISS</v>
      </c>
      <c r="I118" s="32">
        <v>7.0</v>
      </c>
      <c r="J118" s="34" t="str">
        <f t="shared" si="1"/>
        <v>South</v>
      </c>
      <c r="K118" s="35">
        <v>4.0</v>
      </c>
      <c r="L118" s="35" t="s">
        <v>102</v>
      </c>
      <c r="M118" s="36">
        <f>VLOOKUP(D118, County_Data_CZones!$B$2:$F$3236, 2, FALSE)</f>
        <v>3</v>
      </c>
      <c r="N118" s="37" t="str">
        <f>VLOOKUP(D118, County_Data_CZones!$B$2:$F$3236, 5, FALSE)</f>
        <v>Mixed-Humid</v>
      </c>
    </row>
    <row r="119" ht="15.75" customHeight="1">
      <c r="A119" s="32" t="s">
        <v>110</v>
      </c>
      <c r="B119" s="32" t="s">
        <v>220</v>
      </c>
      <c r="C119" s="32" t="str">
        <f>vlookup(B119,State_EMM_RowSums!$A$2:$B$52,2,FALSE)</f>
        <v>AR</v>
      </c>
      <c r="D119" s="32">
        <v>5013.0</v>
      </c>
      <c r="E119" s="33">
        <f>IF(NOT(ISBLANK(vlookup($D119,Pop_Census_2023!$A$2:$E$3220,4,FALSE))),vlookup($D119,Pop_Census_2023!$A$2:$E$3220,4,FALSE), vlookup($D119,Pop_Census_2023!$A$2:$E$3220,5,FALSE))</f>
        <v>4641</v>
      </c>
      <c r="F119" s="32">
        <v>63758.0</v>
      </c>
      <c r="G119" s="32">
        <v>85.0</v>
      </c>
      <c r="H119" s="32" t="str">
        <f>VLOOKUP(D119, Grid_Region_Mapping!$D$2:$F$5286, 3, FALSE)</f>
        <v>MISS</v>
      </c>
      <c r="I119" s="32">
        <v>7.0</v>
      </c>
      <c r="J119" s="34" t="str">
        <f t="shared" si="1"/>
        <v>South</v>
      </c>
      <c r="K119" s="35">
        <v>4.0</v>
      </c>
      <c r="L119" s="35" t="s">
        <v>102</v>
      </c>
      <c r="M119" s="36">
        <f>VLOOKUP(D119, County_Data_CZones!$B$2:$F$3236, 2, FALSE)</f>
        <v>3</v>
      </c>
      <c r="N119" s="37" t="str">
        <f>VLOOKUP(D119, County_Data_CZones!$B$2:$F$3236, 5, FALSE)</f>
        <v>Mixed-Humid</v>
      </c>
    </row>
    <row r="120" ht="15.75" customHeight="1">
      <c r="A120" s="32" t="s">
        <v>227</v>
      </c>
      <c r="B120" s="32" t="s">
        <v>220</v>
      </c>
      <c r="C120" s="32" t="str">
        <f>vlookup(B120,State_EMM_RowSums!$A$2:$B$52,2,FALSE)</f>
        <v>AR</v>
      </c>
      <c r="D120" s="32">
        <v>5015.0</v>
      </c>
      <c r="E120" s="33">
        <f>IF(NOT(ISBLANK(vlookup($D120,Pop_Census_2023!$A$2:$E$3220,4,FALSE))),vlookup($D120,Pop_Census_2023!$A$2:$E$3220,4,FALSE), vlookup($D120,Pop_Census_2023!$A$2:$E$3220,5,FALSE))</f>
        <v>28814</v>
      </c>
      <c r="F120" s="32">
        <v>66975.0</v>
      </c>
      <c r="G120" s="32">
        <v>56.0</v>
      </c>
      <c r="H120" s="32" t="str">
        <f>VLOOKUP(D120, Grid_Region_Mapping!$D$2:$F$5286, 3, FALSE)</f>
        <v>SPPS</v>
      </c>
      <c r="I120" s="32">
        <v>7.0</v>
      </c>
      <c r="J120" s="34" t="str">
        <f t="shared" si="1"/>
        <v>South</v>
      </c>
      <c r="K120" s="35">
        <v>3.0</v>
      </c>
      <c r="L120" s="35" t="s">
        <v>223</v>
      </c>
      <c r="M120" s="36">
        <f>VLOOKUP(D120, County_Data_CZones!$B$2:$F$3236, 2, FALSE)</f>
        <v>4</v>
      </c>
      <c r="N120" s="37" t="str">
        <f>VLOOKUP(D120, County_Data_CZones!$B$2:$F$3236, 5, FALSE)</f>
        <v>Mixed-Humid</v>
      </c>
    </row>
    <row r="121" ht="15.75" customHeight="1">
      <c r="A121" s="32" t="s">
        <v>228</v>
      </c>
      <c r="B121" s="32" t="s">
        <v>220</v>
      </c>
      <c r="C121" s="32" t="str">
        <f>vlookup(B121,State_EMM_RowSums!$A$2:$B$52,2,FALSE)</f>
        <v>AR</v>
      </c>
      <c r="D121" s="32">
        <v>5017.0</v>
      </c>
      <c r="E121" s="33">
        <f>IF(NOT(ISBLANK(vlookup($D121,Pop_Census_2023!$A$2:$E$3220,4,FALSE))),vlookup($D121,Pop_Census_2023!$A$2:$E$3220,4,FALSE), vlookup($D121,Pop_Census_2023!$A$2:$E$3220,5,FALSE))</f>
        <v>9538</v>
      </c>
      <c r="F121" s="32">
        <v>69160.0</v>
      </c>
      <c r="G121" s="32">
        <v>85.0</v>
      </c>
      <c r="H121" s="32" t="str">
        <f>VLOOKUP(D121, Grid_Region_Mapping!$D$2:$F$5286, 3, FALSE)</f>
        <v>MISS</v>
      </c>
      <c r="I121" s="32">
        <v>7.0</v>
      </c>
      <c r="J121" s="34" t="str">
        <f t="shared" si="1"/>
        <v>South</v>
      </c>
      <c r="K121" s="35">
        <v>5.0</v>
      </c>
      <c r="L121" s="35" t="s">
        <v>102</v>
      </c>
      <c r="M121" s="36">
        <f>VLOOKUP(D121, County_Data_CZones!$B$2:$F$3236, 2, FALSE)</f>
        <v>3</v>
      </c>
      <c r="N121" s="37" t="str">
        <f>VLOOKUP(D121, County_Data_CZones!$B$2:$F$3236, 5, FALSE)</f>
        <v>Mixed-Humid</v>
      </c>
    </row>
    <row r="122" ht="15.75" customHeight="1">
      <c r="A122" s="32" t="s">
        <v>229</v>
      </c>
      <c r="B122" s="32" t="s">
        <v>220</v>
      </c>
      <c r="C122" s="32" t="str">
        <f>vlookup(B122,State_EMM_RowSums!$A$2:$B$52,2,FALSE)</f>
        <v>AR</v>
      </c>
      <c r="D122" s="32">
        <v>5019.0</v>
      </c>
      <c r="E122" s="33">
        <f>IF(NOT(ISBLANK(vlookup($D122,Pop_Census_2023!$A$2:$E$3220,4,FALSE))),vlookup($D122,Pop_Census_2023!$A$2:$E$3220,4,FALSE), vlookup($D122,Pop_Census_2023!$A$2:$E$3220,5,FALSE))</f>
        <v>21274</v>
      </c>
      <c r="F122" s="32">
        <v>66845.0</v>
      </c>
      <c r="G122" s="32">
        <v>85.0</v>
      </c>
      <c r="H122" s="32" t="str">
        <f>VLOOKUP(D122, Grid_Region_Mapping!$D$2:$F$5286, 3, FALSE)</f>
        <v>MISS</v>
      </c>
      <c r="I122" s="32">
        <v>7.0</v>
      </c>
      <c r="J122" s="34" t="str">
        <f t="shared" si="1"/>
        <v>South</v>
      </c>
      <c r="K122" s="35">
        <v>4.0</v>
      </c>
      <c r="L122" s="35" t="s">
        <v>102</v>
      </c>
      <c r="M122" s="36">
        <f>VLOOKUP(D122, County_Data_CZones!$B$2:$F$3236, 2, FALSE)</f>
        <v>3</v>
      </c>
      <c r="N122" s="37" t="str">
        <f>VLOOKUP(D122, County_Data_CZones!$B$2:$F$3236, 5, FALSE)</f>
        <v>Mixed-Humid</v>
      </c>
    </row>
    <row r="123" ht="15.75" customHeight="1">
      <c r="A123" s="32" t="s">
        <v>116</v>
      </c>
      <c r="B123" s="32" t="s">
        <v>220</v>
      </c>
      <c r="C123" s="32" t="str">
        <f>vlookup(B123,State_EMM_RowSums!$A$2:$B$52,2,FALSE)</f>
        <v>AR</v>
      </c>
      <c r="D123" s="32">
        <v>5021.0</v>
      </c>
      <c r="E123" s="33">
        <f>IF(NOT(ISBLANK(vlookup($D123,Pop_Census_2023!$A$2:$E$3220,4,FALSE))),vlookup($D123,Pop_Census_2023!$A$2:$E$3220,4,FALSE), vlookup($D123,Pop_Census_2023!$A$2:$E$3220,5,FALSE))</f>
        <v>14201</v>
      </c>
      <c r="F123" s="32">
        <v>63759.0</v>
      </c>
      <c r="G123" s="32">
        <v>85.0</v>
      </c>
      <c r="H123" s="32" t="str">
        <f>VLOOKUP(D123, Grid_Region_Mapping!$D$2:$F$5286, 3, FALSE)</f>
        <v>MISS</v>
      </c>
      <c r="I123" s="32">
        <v>7.0</v>
      </c>
      <c r="J123" s="34" t="str">
        <f t="shared" si="1"/>
        <v>South</v>
      </c>
      <c r="K123" s="35">
        <v>4.0</v>
      </c>
      <c r="L123" s="35" t="s">
        <v>102</v>
      </c>
      <c r="M123" s="36">
        <f>VLOOKUP(D123, County_Data_CZones!$B$2:$F$3236, 2, FALSE)</f>
        <v>3</v>
      </c>
      <c r="N123" s="37" t="str">
        <f>VLOOKUP(D123, County_Data_CZones!$B$2:$F$3236, 5, FALSE)</f>
        <v>Mixed-Humid</v>
      </c>
    </row>
    <row r="124" ht="15.75" customHeight="1">
      <c r="A124" s="32" t="s">
        <v>117</v>
      </c>
      <c r="B124" s="32" t="s">
        <v>220</v>
      </c>
      <c r="C124" s="32" t="str">
        <f>vlookup(B124,State_EMM_RowSums!$A$2:$B$52,2,FALSE)</f>
        <v>AR</v>
      </c>
      <c r="D124" s="32">
        <v>5023.0</v>
      </c>
      <c r="E124" s="33">
        <f>IF(NOT(ISBLANK(vlookup($D124,Pop_Census_2023!$A$2:$E$3220,4,FALSE))),vlookup($D124,Pop_Census_2023!$A$2:$E$3220,4,FALSE), vlookup($D124,Pop_Census_2023!$A$2:$E$3220,5,FALSE))</f>
        <v>25445</v>
      </c>
      <c r="F124" s="32">
        <v>66983.0</v>
      </c>
      <c r="G124" s="32">
        <v>56.0</v>
      </c>
      <c r="H124" s="32" t="str">
        <f>VLOOKUP(D124, Grid_Region_Mapping!$D$2:$F$5286, 3, FALSE)</f>
        <v>MISS</v>
      </c>
      <c r="I124" s="32">
        <v>7.0</v>
      </c>
      <c r="J124" s="34" t="str">
        <f t="shared" si="1"/>
        <v>South</v>
      </c>
      <c r="K124" s="35">
        <v>4.0</v>
      </c>
      <c r="L124" s="35" t="s">
        <v>102</v>
      </c>
      <c r="M124" s="36">
        <f>VLOOKUP(D124, County_Data_CZones!$B$2:$F$3236, 2, FALSE)</f>
        <v>3</v>
      </c>
      <c r="N124" s="37" t="str">
        <f>VLOOKUP(D124, County_Data_CZones!$B$2:$F$3236, 5, FALSE)</f>
        <v>Mixed-Humid</v>
      </c>
    </row>
    <row r="125" ht="15.75" customHeight="1">
      <c r="A125" s="32" t="s">
        <v>230</v>
      </c>
      <c r="B125" s="32" t="s">
        <v>220</v>
      </c>
      <c r="C125" s="32" t="str">
        <f>vlookup(B125,State_EMM_RowSums!$A$2:$B$52,2,FALSE)</f>
        <v>AR</v>
      </c>
      <c r="D125" s="32">
        <v>5025.0</v>
      </c>
      <c r="E125" s="33">
        <f>IF(NOT(ISBLANK(vlookup($D125,Pop_Census_2023!$A$2:$E$3220,4,FALSE))),vlookup($D125,Pop_Census_2023!$A$2:$E$3220,4,FALSE), vlookup($D125,Pop_Census_2023!$A$2:$E$3220,5,FALSE))</f>
        <v>7378</v>
      </c>
      <c r="F125" s="32">
        <v>63760.0</v>
      </c>
      <c r="G125" s="32">
        <v>85.0</v>
      </c>
      <c r="H125" s="32" t="str">
        <f>VLOOKUP(D125, Grid_Region_Mapping!$D$2:$F$5286, 3, FALSE)</f>
        <v>MISS</v>
      </c>
      <c r="I125" s="32">
        <v>7.0</v>
      </c>
      <c r="J125" s="34" t="str">
        <f t="shared" si="1"/>
        <v>South</v>
      </c>
      <c r="K125" s="35">
        <v>4.0</v>
      </c>
      <c r="L125" s="35" t="s">
        <v>102</v>
      </c>
      <c r="M125" s="36">
        <f>VLOOKUP(D125, County_Data_CZones!$B$2:$F$3236, 2, FALSE)</f>
        <v>3</v>
      </c>
      <c r="N125" s="37" t="str">
        <f>VLOOKUP(D125, County_Data_CZones!$B$2:$F$3236, 5, FALSE)</f>
        <v>Mixed-Humid</v>
      </c>
    </row>
    <row r="126" ht="15.75" customHeight="1">
      <c r="A126" s="32" t="s">
        <v>231</v>
      </c>
      <c r="B126" s="32" t="s">
        <v>220</v>
      </c>
      <c r="C126" s="32" t="str">
        <f>vlookup(B126,State_EMM_RowSums!$A$2:$B$52,2,FALSE)</f>
        <v>AR</v>
      </c>
      <c r="D126" s="32">
        <v>5027.0</v>
      </c>
      <c r="E126" s="33">
        <f>IF(NOT(ISBLANK(vlookup($D126,Pop_Census_2023!$A$2:$E$3220,4,FALSE))),vlookup($D126,Pop_Census_2023!$A$2:$E$3220,4,FALSE), vlookup($D126,Pop_Census_2023!$A$2:$E$3220,5,FALSE))</f>
        <v>22150</v>
      </c>
      <c r="F126" s="32">
        <v>63761.0</v>
      </c>
      <c r="G126" s="32">
        <v>85.0</v>
      </c>
      <c r="H126" s="32" t="str">
        <f>VLOOKUP(D126, Grid_Region_Mapping!$D$2:$F$5286, 3, FALSE)</f>
        <v>MISS</v>
      </c>
      <c r="I126" s="32">
        <v>7.0</v>
      </c>
      <c r="J126" s="34" t="str">
        <f t="shared" si="1"/>
        <v>South</v>
      </c>
      <c r="K126" s="35">
        <v>4.0</v>
      </c>
      <c r="L126" s="35" t="s">
        <v>102</v>
      </c>
      <c r="M126" s="36">
        <f>VLOOKUP(D126, County_Data_CZones!$B$2:$F$3236, 2, FALSE)</f>
        <v>3</v>
      </c>
      <c r="N126" s="37" t="str">
        <f>VLOOKUP(D126, County_Data_CZones!$B$2:$F$3236, 5, FALSE)</f>
        <v>Hot-Humid</v>
      </c>
    </row>
    <row r="127" ht="15.75" customHeight="1">
      <c r="A127" s="32" t="s">
        <v>232</v>
      </c>
      <c r="B127" s="32" t="s">
        <v>220</v>
      </c>
      <c r="C127" s="32" t="str">
        <f>vlookup(B127,State_EMM_RowSums!$A$2:$B$52,2,FALSE)</f>
        <v>AR</v>
      </c>
      <c r="D127" s="32">
        <v>5029.0</v>
      </c>
      <c r="E127" s="33">
        <f>IF(NOT(ISBLANK(vlookup($D127,Pop_Census_2023!$A$2:$E$3220,4,FALSE))),vlookup($D127,Pop_Census_2023!$A$2:$E$3220,4,FALSE), vlookup($D127,Pop_Census_2023!$A$2:$E$3220,5,FALSE))</f>
        <v>21077</v>
      </c>
      <c r="F127" s="32">
        <v>66846.0</v>
      </c>
      <c r="G127" s="32">
        <v>85.0</v>
      </c>
      <c r="H127" s="32" t="str">
        <f>VLOOKUP(D127, Grid_Region_Mapping!$D$2:$F$5286, 3, FALSE)</f>
        <v>MISS</v>
      </c>
      <c r="I127" s="32">
        <v>7.0</v>
      </c>
      <c r="J127" s="34" t="str">
        <f t="shared" si="1"/>
        <v>South</v>
      </c>
      <c r="K127" s="35">
        <v>5.0</v>
      </c>
      <c r="L127" s="35" t="s">
        <v>102</v>
      </c>
      <c r="M127" s="36">
        <f>VLOOKUP(D127, County_Data_CZones!$B$2:$F$3236, 2, FALSE)</f>
        <v>3</v>
      </c>
      <c r="N127" s="37" t="str">
        <f>VLOOKUP(D127, County_Data_CZones!$B$2:$F$3236, 5, FALSE)</f>
        <v>Mixed-Humid</v>
      </c>
    </row>
    <row r="128" ht="15.75" customHeight="1">
      <c r="A128" s="32" t="s">
        <v>233</v>
      </c>
      <c r="B128" s="32" t="s">
        <v>220</v>
      </c>
      <c r="C128" s="32" t="str">
        <f>vlookup(B128,State_EMM_RowSums!$A$2:$B$52,2,FALSE)</f>
        <v>AR</v>
      </c>
      <c r="D128" s="32">
        <v>5031.0</v>
      </c>
      <c r="E128" s="33">
        <f>IF(NOT(ISBLANK(vlookup($D128,Pop_Census_2023!$A$2:$E$3220,4,FALSE))),vlookup($D128,Pop_Census_2023!$A$2:$E$3220,4,FALSE), vlookup($D128,Pop_Census_2023!$A$2:$E$3220,5,FALSE))</f>
        <v>113993</v>
      </c>
      <c r="F128" s="32">
        <v>66847.0</v>
      </c>
      <c r="G128" s="32">
        <v>85.0</v>
      </c>
      <c r="H128" s="32" t="str">
        <f>VLOOKUP(D128, Grid_Region_Mapping!$D$2:$F$5286, 3, FALSE)</f>
        <v>MISS</v>
      </c>
      <c r="I128" s="32">
        <v>7.0</v>
      </c>
      <c r="J128" s="34" t="str">
        <f t="shared" si="1"/>
        <v>South</v>
      </c>
      <c r="K128" s="35">
        <v>4.0</v>
      </c>
      <c r="L128" s="35" t="s">
        <v>102</v>
      </c>
      <c r="M128" s="36">
        <f>VLOOKUP(D128, County_Data_CZones!$B$2:$F$3236, 2, FALSE)</f>
        <v>3</v>
      </c>
      <c r="N128" s="37" t="str">
        <f>VLOOKUP(D128, County_Data_CZones!$B$2:$F$3236, 5, FALSE)</f>
        <v>Mixed-Humid</v>
      </c>
    </row>
    <row r="129" ht="15.75" customHeight="1">
      <c r="A129" s="32" t="s">
        <v>234</v>
      </c>
      <c r="B129" s="32" t="s">
        <v>220</v>
      </c>
      <c r="C129" s="32" t="str">
        <f>vlookup(B129,State_EMM_RowSums!$A$2:$B$52,2,FALSE)</f>
        <v>AR</v>
      </c>
      <c r="D129" s="32">
        <v>5033.0</v>
      </c>
      <c r="E129" s="33">
        <f>IF(NOT(ISBLANK(vlookup($D129,Pop_Census_2023!$A$2:$E$3220,4,FALSE))),vlookup($D129,Pop_Census_2023!$A$2:$E$3220,4,FALSE), vlookup($D129,Pop_Census_2023!$A$2:$E$3220,5,FALSE))</f>
        <v>61891</v>
      </c>
      <c r="F129" s="32">
        <v>69161.0</v>
      </c>
      <c r="G129" s="32">
        <v>56.0</v>
      </c>
      <c r="H129" s="32" t="str">
        <f>VLOOKUP(D129, Grid_Region_Mapping!$D$2:$F$5286, 3, FALSE)</f>
        <v>SPPS</v>
      </c>
      <c r="I129" s="32">
        <v>7.0</v>
      </c>
      <c r="J129" s="34" t="str">
        <f t="shared" si="1"/>
        <v>South</v>
      </c>
      <c r="K129" s="35">
        <v>4.0</v>
      </c>
      <c r="L129" s="35" t="s">
        <v>102</v>
      </c>
      <c r="M129" s="36">
        <f>VLOOKUP(D129, County_Data_CZones!$B$2:$F$3236, 2, FALSE)</f>
        <v>3</v>
      </c>
      <c r="N129" s="37" t="str">
        <f>VLOOKUP(D129, County_Data_CZones!$B$2:$F$3236, 5, FALSE)</f>
        <v>Mixed-Humid</v>
      </c>
    </row>
    <row r="130" ht="15.75" customHeight="1">
      <c r="A130" s="32" t="s">
        <v>235</v>
      </c>
      <c r="B130" s="32" t="s">
        <v>220</v>
      </c>
      <c r="C130" s="32" t="str">
        <f>vlookup(B130,State_EMM_RowSums!$A$2:$B$52,2,FALSE)</f>
        <v>AR</v>
      </c>
      <c r="D130" s="32">
        <v>5035.0</v>
      </c>
      <c r="E130" s="33">
        <f>IF(NOT(ISBLANK(vlookup($D130,Pop_Census_2023!$A$2:$E$3220,4,FALSE))),vlookup($D130,Pop_Census_2023!$A$2:$E$3220,4,FALSE), vlookup($D130,Pop_Census_2023!$A$2:$E$3220,5,FALSE))</f>
        <v>47139</v>
      </c>
      <c r="F130" s="32">
        <v>69162.0</v>
      </c>
      <c r="G130" s="32">
        <v>85.0</v>
      </c>
      <c r="H130" s="32" t="str">
        <f>VLOOKUP(D130, Grid_Region_Mapping!$D$2:$F$5286, 3, FALSE)</f>
        <v>MISS</v>
      </c>
      <c r="I130" s="32">
        <v>7.0</v>
      </c>
      <c r="J130" s="34" t="str">
        <f t="shared" si="1"/>
        <v>South</v>
      </c>
      <c r="K130" s="35">
        <v>4.0</v>
      </c>
      <c r="L130" s="35" t="s">
        <v>102</v>
      </c>
      <c r="M130" s="36">
        <f>VLOOKUP(D130, County_Data_CZones!$B$2:$F$3236, 2, FALSE)</f>
        <v>3</v>
      </c>
      <c r="N130" s="37" t="str">
        <f>VLOOKUP(D130, County_Data_CZones!$B$2:$F$3236, 5, FALSE)</f>
        <v>Mixed-Humid</v>
      </c>
    </row>
    <row r="131" ht="15.75" customHeight="1">
      <c r="A131" s="32" t="s">
        <v>236</v>
      </c>
      <c r="B131" s="32" t="s">
        <v>220</v>
      </c>
      <c r="C131" s="32" t="str">
        <f>vlookup(B131,State_EMM_RowSums!$A$2:$B$52,2,FALSE)</f>
        <v>AR</v>
      </c>
      <c r="D131" s="32">
        <v>5037.0</v>
      </c>
      <c r="E131" s="33">
        <f>IF(NOT(ISBLANK(vlookup($D131,Pop_Census_2023!$A$2:$E$3220,4,FALSE))),vlookup($D131,Pop_Census_2023!$A$2:$E$3220,4,FALSE), vlookup($D131,Pop_Census_2023!$A$2:$E$3220,5,FALSE))</f>
        <v>16420</v>
      </c>
      <c r="F131" s="32">
        <v>66848.0</v>
      </c>
      <c r="G131" s="32">
        <v>85.0</v>
      </c>
      <c r="H131" s="32" t="str">
        <f>VLOOKUP(D131, Grid_Region_Mapping!$D$2:$F$5286, 3, FALSE)</f>
        <v>MISS</v>
      </c>
      <c r="I131" s="32">
        <v>7.0</v>
      </c>
      <c r="J131" s="34" t="str">
        <f t="shared" si="1"/>
        <v>South</v>
      </c>
      <c r="K131" s="35">
        <v>4.0</v>
      </c>
      <c r="L131" s="35" t="s">
        <v>102</v>
      </c>
      <c r="M131" s="36">
        <f>VLOOKUP(D131, County_Data_CZones!$B$2:$F$3236, 2, FALSE)</f>
        <v>3</v>
      </c>
      <c r="N131" s="37" t="str">
        <f>VLOOKUP(D131, County_Data_CZones!$B$2:$F$3236, 5, FALSE)</f>
        <v>Mixed-Humid</v>
      </c>
    </row>
    <row r="132" ht="15.75" customHeight="1">
      <c r="A132" s="32" t="s">
        <v>126</v>
      </c>
      <c r="B132" s="32" t="s">
        <v>220</v>
      </c>
      <c r="C132" s="32" t="str">
        <f>vlookup(B132,State_EMM_RowSums!$A$2:$B$52,2,FALSE)</f>
        <v>AR</v>
      </c>
      <c r="D132" s="32">
        <v>5039.0</v>
      </c>
      <c r="E132" s="33">
        <f>IF(NOT(ISBLANK(vlookup($D132,Pop_Census_2023!$A$2:$E$3220,4,FALSE))),vlookup($D132,Pop_Census_2023!$A$2:$E$3220,4,FALSE), vlookup($D132,Pop_Census_2023!$A$2:$E$3220,5,FALSE))</f>
        <v>6185</v>
      </c>
      <c r="F132" s="32">
        <v>66849.0</v>
      </c>
      <c r="G132" s="32">
        <v>85.0</v>
      </c>
      <c r="H132" s="32" t="str">
        <f>VLOOKUP(D132, Grid_Region_Mapping!$D$2:$F$5286, 3, FALSE)</f>
        <v>MISS</v>
      </c>
      <c r="I132" s="32">
        <v>7.0</v>
      </c>
      <c r="J132" s="34" t="str">
        <f t="shared" si="1"/>
        <v>South</v>
      </c>
      <c r="K132" s="35">
        <v>4.0</v>
      </c>
      <c r="L132" s="35" t="s">
        <v>102</v>
      </c>
      <c r="M132" s="36">
        <f>VLOOKUP(D132, County_Data_CZones!$B$2:$F$3236, 2, FALSE)</f>
        <v>3</v>
      </c>
      <c r="N132" s="37" t="str">
        <f>VLOOKUP(D132, County_Data_CZones!$B$2:$F$3236, 5, FALSE)</f>
        <v>Mixed-Humid</v>
      </c>
    </row>
    <row r="133" ht="15.75" customHeight="1">
      <c r="A133" s="32" t="s">
        <v>237</v>
      </c>
      <c r="B133" s="32" t="s">
        <v>220</v>
      </c>
      <c r="C133" s="32" t="str">
        <f>vlookup(B133,State_EMM_RowSums!$A$2:$B$52,2,FALSE)</f>
        <v>AR</v>
      </c>
      <c r="D133" s="32">
        <v>5041.0</v>
      </c>
      <c r="E133" s="33">
        <f>IF(NOT(ISBLANK(vlookup($D133,Pop_Census_2023!$A$2:$E$3220,4,FALSE))),vlookup($D133,Pop_Census_2023!$A$2:$E$3220,4,FALSE), vlookup($D133,Pop_Census_2023!$A$2:$E$3220,5,FALSE))</f>
        <v>10479</v>
      </c>
      <c r="F133" s="32">
        <v>66850.0</v>
      </c>
      <c r="G133" s="32">
        <v>85.0</v>
      </c>
      <c r="H133" s="32" t="str">
        <f>VLOOKUP(D133, Grid_Region_Mapping!$D$2:$F$5286, 3, FALSE)</f>
        <v>MISS</v>
      </c>
      <c r="I133" s="32">
        <v>7.0</v>
      </c>
      <c r="J133" s="34" t="str">
        <f t="shared" si="1"/>
        <v>South</v>
      </c>
      <c r="K133" s="35">
        <v>5.0</v>
      </c>
      <c r="L133" s="35" t="s">
        <v>102</v>
      </c>
      <c r="M133" s="36">
        <f>VLOOKUP(D133, County_Data_CZones!$B$2:$F$3236, 2, FALSE)</f>
        <v>3</v>
      </c>
      <c r="N133" s="37" t="str">
        <f>VLOOKUP(D133, County_Data_CZones!$B$2:$F$3236, 5, FALSE)</f>
        <v>Mixed-Humid</v>
      </c>
    </row>
    <row r="134" ht="15.75" customHeight="1">
      <c r="A134" s="32" t="s">
        <v>238</v>
      </c>
      <c r="B134" s="32" t="s">
        <v>220</v>
      </c>
      <c r="C134" s="32" t="str">
        <f>vlookup(B134,State_EMM_RowSums!$A$2:$B$52,2,FALSE)</f>
        <v>AR</v>
      </c>
      <c r="D134" s="32">
        <v>5043.0</v>
      </c>
      <c r="E134" s="33">
        <f>IF(NOT(ISBLANK(vlookup($D134,Pop_Census_2023!$A$2:$E$3220,4,FALSE))),vlookup($D134,Pop_Census_2023!$A$2:$E$3220,4,FALSE), vlookup($D134,Pop_Census_2023!$A$2:$E$3220,5,FALSE))</f>
        <v>16945</v>
      </c>
      <c r="F134" s="32">
        <v>66851.0</v>
      </c>
      <c r="G134" s="32">
        <v>85.0</v>
      </c>
      <c r="H134" s="32" t="str">
        <f>VLOOKUP(D134, Grid_Region_Mapping!$D$2:$F$5286, 3, FALSE)</f>
        <v>MISS</v>
      </c>
      <c r="I134" s="32">
        <v>7.0</v>
      </c>
      <c r="J134" s="34" t="str">
        <f t="shared" si="1"/>
        <v>South</v>
      </c>
      <c r="K134" s="35">
        <v>4.0</v>
      </c>
      <c r="L134" s="35" t="s">
        <v>102</v>
      </c>
      <c r="M134" s="36">
        <f>VLOOKUP(D134, County_Data_CZones!$B$2:$F$3236, 2, FALSE)</f>
        <v>3</v>
      </c>
      <c r="N134" s="37" t="str">
        <f>VLOOKUP(D134, County_Data_CZones!$B$2:$F$3236, 5, FALSE)</f>
        <v>Mixed-Humid</v>
      </c>
    </row>
    <row r="135" ht="15.75" customHeight="1">
      <c r="A135" s="32" t="s">
        <v>239</v>
      </c>
      <c r="B135" s="32" t="s">
        <v>220</v>
      </c>
      <c r="C135" s="32" t="str">
        <f>vlookup(B135,State_EMM_RowSums!$A$2:$B$52,2,FALSE)</f>
        <v>AR</v>
      </c>
      <c r="D135" s="32">
        <v>5045.0</v>
      </c>
      <c r="E135" s="33">
        <f>IF(NOT(ISBLANK(vlookup($D135,Pop_Census_2023!$A$2:$E$3220,4,FALSE))),vlookup($D135,Pop_Census_2023!$A$2:$E$3220,4,FALSE), vlookup($D135,Pop_Census_2023!$A$2:$E$3220,5,FALSE))</f>
        <v>129951</v>
      </c>
      <c r="F135" s="32">
        <v>66852.0</v>
      </c>
      <c r="G135" s="32">
        <v>85.0</v>
      </c>
      <c r="H135" s="32" t="str">
        <f>VLOOKUP(D135, Grid_Region_Mapping!$D$2:$F$5286, 3, FALSE)</f>
        <v>MISS</v>
      </c>
      <c r="I135" s="32">
        <v>7.0</v>
      </c>
      <c r="J135" s="34" t="str">
        <f t="shared" si="1"/>
        <v>South</v>
      </c>
      <c r="K135" s="35">
        <v>4.0</v>
      </c>
      <c r="L135" s="35" t="s">
        <v>102</v>
      </c>
      <c r="M135" s="36">
        <f>VLOOKUP(D135, County_Data_CZones!$B$2:$F$3236, 2, FALSE)</f>
        <v>3</v>
      </c>
      <c r="N135" s="37" t="str">
        <f>VLOOKUP(D135, County_Data_CZones!$B$2:$F$3236, 5, FALSE)</f>
        <v>Mixed-Humid</v>
      </c>
    </row>
    <row r="136" ht="15.75" customHeight="1">
      <c r="A136" s="32" t="s">
        <v>132</v>
      </c>
      <c r="B136" s="32" t="s">
        <v>220</v>
      </c>
      <c r="C136" s="32" t="str">
        <f>vlookup(B136,State_EMM_RowSums!$A$2:$B$52,2,FALSE)</f>
        <v>AR</v>
      </c>
      <c r="D136" s="32">
        <v>5047.0</v>
      </c>
      <c r="E136" s="33">
        <f>IF(NOT(ISBLANK(vlookup($D136,Pop_Census_2023!$A$2:$E$3220,4,FALSE))),vlookup($D136,Pop_Census_2023!$A$2:$E$3220,4,FALSE), vlookup($D136,Pop_Census_2023!$A$2:$E$3220,5,FALSE))</f>
        <v>17468</v>
      </c>
      <c r="F136" s="32">
        <v>66853.0</v>
      </c>
      <c r="G136" s="32">
        <v>56.0</v>
      </c>
      <c r="H136" s="32" t="str">
        <f>VLOOKUP(D136, Grid_Region_Mapping!$D$2:$F$5286, 3, FALSE)</f>
        <v>SPPS</v>
      </c>
      <c r="I136" s="32">
        <v>7.0</v>
      </c>
      <c r="J136" s="34" t="str">
        <f t="shared" si="1"/>
        <v>South</v>
      </c>
      <c r="K136" s="35">
        <v>4.0</v>
      </c>
      <c r="L136" s="35" t="s">
        <v>102</v>
      </c>
      <c r="M136" s="36">
        <f>VLOOKUP(D136, County_Data_CZones!$B$2:$F$3236, 2, FALSE)</f>
        <v>3</v>
      </c>
      <c r="N136" s="37" t="str">
        <f>VLOOKUP(D136, County_Data_CZones!$B$2:$F$3236, 5, FALSE)</f>
        <v>Mixed-Humid</v>
      </c>
    </row>
    <row r="137" ht="15.75" customHeight="1">
      <c r="A137" s="32" t="s">
        <v>240</v>
      </c>
      <c r="B137" s="32" t="s">
        <v>220</v>
      </c>
      <c r="C137" s="32" t="str">
        <f>vlookup(B137,State_EMM_RowSums!$A$2:$B$52,2,FALSE)</f>
        <v>AR</v>
      </c>
      <c r="D137" s="32">
        <v>5049.0</v>
      </c>
      <c r="E137" s="33">
        <f>IF(NOT(ISBLANK(vlookup($D137,Pop_Census_2023!$A$2:$E$3220,4,FALSE))),vlookup($D137,Pop_Census_2023!$A$2:$E$3220,4,FALSE), vlookup($D137,Pop_Census_2023!$A$2:$E$3220,5,FALSE))</f>
        <v>12421</v>
      </c>
      <c r="F137" s="32">
        <v>66854.0</v>
      </c>
      <c r="G137" s="32">
        <v>85.0</v>
      </c>
      <c r="H137" s="32" t="str">
        <f>VLOOKUP(D137, Grid_Region_Mapping!$D$2:$F$5286, 3, FALSE)</f>
        <v>MISS</v>
      </c>
      <c r="I137" s="32">
        <v>7.0</v>
      </c>
      <c r="J137" s="34" t="str">
        <f t="shared" si="1"/>
        <v>South</v>
      </c>
      <c r="K137" s="35">
        <v>4.0</v>
      </c>
      <c r="L137" s="35" t="s">
        <v>223</v>
      </c>
      <c r="M137" s="36">
        <f>VLOOKUP(D137, County_Data_CZones!$B$2:$F$3236, 2, FALSE)</f>
        <v>4</v>
      </c>
      <c r="N137" s="37" t="str">
        <f>VLOOKUP(D137, County_Data_CZones!$B$2:$F$3236, 5, FALSE)</f>
        <v>Mixed-Humid</v>
      </c>
    </row>
    <row r="138" ht="15.75" customHeight="1">
      <c r="A138" s="32" t="s">
        <v>241</v>
      </c>
      <c r="B138" s="32" t="s">
        <v>220</v>
      </c>
      <c r="C138" s="32" t="str">
        <f>vlookup(B138,State_EMM_RowSums!$A$2:$B$52,2,FALSE)</f>
        <v>AR</v>
      </c>
      <c r="D138" s="32">
        <v>5051.0</v>
      </c>
      <c r="E138" s="33">
        <f>IF(NOT(ISBLANK(vlookup($D138,Pop_Census_2023!$A$2:$E$3220,4,FALSE))),vlookup($D138,Pop_Census_2023!$A$2:$E$3220,4,FALSE), vlookup($D138,Pop_Census_2023!$A$2:$E$3220,5,FALSE))</f>
        <v>99784</v>
      </c>
      <c r="F138" s="32">
        <v>66855.0</v>
      </c>
      <c r="G138" s="32">
        <v>85.0</v>
      </c>
      <c r="H138" s="32" t="str">
        <f>VLOOKUP(D138, Grid_Region_Mapping!$D$2:$F$5286, 3, FALSE)</f>
        <v>MISS</v>
      </c>
      <c r="I138" s="32">
        <v>7.0</v>
      </c>
      <c r="J138" s="34" t="str">
        <f t="shared" si="1"/>
        <v>South</v>
      </c>
      <c r="K138" s="35">
        <v>4.0</v>
      </c>
      <c r="L138" s="35" t="s">
        <v>102</v>
      </c>
      <c r="M138" s="36">
        <f>VLOOKUP(D138, County_Data_CZones!$B$2:$F$3236, 2, FALSE)</f>
        <v>3</v>
      </c>
      <c r="N138" s="37" t="str">
        <f>VLOOKUP(D138, County_Data_CZones!$B$2:$F$3236, 5, FALSE)</f>
        <v>Mixed-Humid</v>
      </c>
    </row>
    <row r="139" ht="15.75" customHeight="1">
      <c r="A139" s="32" t="s">
        <v>242</v>
      </c>
      <c r="B139" s="32" t="s">
        <v>220</v>
      </c>
      <c r="C139" s="32" t="str">
        <f>vlookup(B139,State_EMM_RowSums!$A$2:$B$52,2,FALSE)</f>
        <v>AR</v>
      </c>
      <c r="D139" s="32">
        <v>5053.0</v>
      </c>
      <c r="E139" s="33">
        <f>IF(NOT(ISBLANK(vlookup($D139,Pop_Census_2023!$A$2:$E$3220,4,FALSE))),vlookup($D139,Pop_Census_2023!$A$2:$E$3220,4,FALSE), vlookup($D139,Pop_Census_2023!$A$2:$E$3220,5,FALSE))</f>
        <v>18383</v>
      </c>
      <c r="F139" s="32">
        <v>66856.0</v>
      </c>
      <c r="G139" s="32">
        <v>85.0</v>
      </c>
      <c r="H139" s="32" t="str">
        <f>VLOOKUP(D139, Grid_Region_Mapping!$D$2:$F$5286, 3, FALSE)</f>
        <v>MISS</v>
      </c>
      <c r="I139" s="32">
        <v>7.0</v>
      </c>
      <c r="J139" s="34" t="str">
        <f t="shared" si="1"/>
        <v>South</v>
      </c>
      <c r="K139" s="35">
        <v>4.0</v>
      </c>
      <c r="L139" s="35" t="s">
        <v>102</v>
      </c>
      <c r="M139" s="36">
        <f>VLOOKUP(D139, County_Data_CZones!$B$2:$F$3236, 2, FALSE)</f>
        <v>3</v>
      </c>
      <c r="N139" s="37" t="str">
        <f>VLOOKUP(D139, County_Data_CZones!$B$2:$F$3236, 5, FALSE)</f>
        <v>Mixed-Humid</v>
      </c>
    </row>
    <row r="140" ht="15.75" customHeight="1">
      <c r="A140" s="32" t="s">
        <v>134</v>
      </c>
      <c r="B140" s="32" t="s">
        <v>220</v>
      </c>
      <c r="C140" s="32" t="str">
        <f>vlookup(B140,State_EMM_RowSums!$A$2:$B$52,2,FALSE)</f>
        <v>AR</v>
      </c>
      <c r="D140" s="32">
        <v>5055.0</v>
      </c>
      <c r="E140" s="33">
        <f>IF(NOT(ISBLANK(vlookup($D140,Pop_Census_2023!$A$2:$E$3220,4,FALSE))),vlookup($D140,Pop_Census_2023!$A$2:$E$3220,4,FALSE), vlookup($D140,Pop_Census_2023!$A$2:$E$3220,5,FALSE))</f>
        <v>46743</v>
      </c>
      <c r="F140" s="32">
        <v>66857.0</v>
      </c>
      <c r="G140" s="32">
        <v>85.0</v>
      </c>
      <c r="H140" s="32" t="str">
        <f>VLOOKUP(D140, Grid_Region_Mapping!$D$2:$F$5286, 3, FALSE)</f>
        <v>MISS</v>
      </c>
      <c r="I140" s="32">
        <v>7.0</v>
      </c>
      <c r="J140" s="34" t="str">
        <f t="shared" si="1"/>
        <v>South</v>
      </c>
      <c r="K140" s="35">
        <v>4.0</v>
      </c>
      <c r="L140" s="35" t="s">
        <v>102</v>
      </c>
      <c r="M140" s="36">
        <f>VLOOKUP(D140, County_Data_CZones!$B$2:$F$3236, 2, FALSE)</f>
        <v>3</v>
      </c>
      <c r="N140" s="37" t="str">
        <f>VLOOKUP(D140, County_Data_CZones!$B$2:$F$3236, 5, FALSE)</f>
        <v>Mixed-Humid</v>
      </c>
    </row>
    <row r="141" ht="15.75" customHeight="1">
      <c r="A141" s="32" t="s">
        <v>243</v>
      </c>
      <c r="B141" s="32" t="s">
        <v>220</v>
      </c>
      <c r="C141" s="32" t="str">
        <f>vlookup(B141,State_EMM_RowSums!$A$2:$B$52,2,FALSE)</f>
        <v>AR</v>
      </c>
      <c r="D141" s="32">
        <v>5057.0</v>
      </c>
      <c r="E141" s="33">
        <f>IF(NOT(ISBLANK(vlookup($D141,Pop_Census_2023!$A$2:$E$3220,4,FALSE))),vlookup($D141,Pop_Census_2023!$A$2:$E$3220,4,FALSE), vlookup($D141,Pop_Census_2023!$A$2:$E$3220,5,FALSE))</f>
        <v>19343</v>
      </c>
      <c r="F141" s="32">
        <v>66858.0</v>
      </c>
      <c r="G141" s="32">
        <v>85.0</v>
      </c>
      <c r="H141" s="32" t="str">
        <f>VLOOKUP(D141, Grid_Region_Mapping!$D$2:$F$5286, 3, FALSE)</f>
        <v>SPPS</v>
      </c>
      <c r="I141" s="32">
        <v>7.0</v>
      </c>
      <c r="J141" s="34" t="str">
        <f t="shared" si="1"/>
        <v>South</v>
      </c>
      <c r="K141" s="35">
        <v>4.0</v>
      </c>
      <c r="L141" s="35" t="s">
        <v>102</v>
      </c>
      <c r="M141" s="36">
        <f>VLOOKUP(D141, County_Data_CZones!$B$2:$F$3236, 2, FALSE)</f>
        <v>3</v>
      </c>
      <c r="N141" s="37" t="str">
        <f>VLOOKUP(D141, County_Data_CZones!$B$2:$F$3236, 5, FALSE)</f>
        <v>Mixed-Humid</v>
      </c>
    </row>
    <row r="142" ht="15.75" customHeight="1">
      <c r="A142" s="32" t="s">
        <v>244</v>
      </c>
      <c r="B142" s="32" t="s">
        <v>220</v>
      </c>
      <c r="C142" s="32" t="str">
        <f>vlookup(B142,State_EMM_RowSums!$A$2:$B$52,2,FALSE)</f>
        <v>AR</v>
      </c>
      <c r="D142" s="32">
        <v>5059.0</v>
      </c>
      <c r="E142" s="33">
        <f>IF(NOT(ISBLANK(vlookup($D142,Pop_Census_2023!$A$2:$E$3220,4,FALSE))),vlookup($D142,Pop_Census_2023!$A$2:$E$3220,4,FALSE), vlookup($D142,Pop_Census_2023!$A$2:$E$3220,5,FALSE))</f>
        <v>33258</v>
      </c>
      <c r="F142" s="32">
        <v>66859.0</v>
      </c>
      <c r="G142" s="32">
        <v>85.0</v>
      </c>
      <c r="H142" s="32" t="str">
        <f>VLOOKUP(D142, Grid_Region_Mapping!$D$2:$F$5286, 3, FALSE)</f>
        <v>MISS</v>
      </c>
      <c r="I142" s="32">
        <v>7.0</v>
      </c>
      <c r="J142" s="34" t="str">
        <f t="shared" si="1"/>
        <v>South</v>
      </c>
      <c r="K142" s="35">
        <v>4.0</v>
      </c>
      <c r="L142" s="35" t="s">
        <v>102</v>
      </c>
      <c r="M142" s="36">
        <f>VLOOKUP(D142, County_Data_CZones!$B$2:$F$3236, 2, FALSE)</f>
        <v>3</v>
      </c>
      <c r="N142" s="37" t="str">
        <f>VLOOKUP(D142, County_Data_CZones!$B$2:$F$3236, 5, FALSE)</f>
        <v>Mixed-Humid</v>
      </c>
    </row>
    <row r="143" ht="15.75" customHeight="1">
      <c r="A143" s="32" t="s">
        <v>245</v>
      </c>
      <c r="B143" s="32" t="s">
        <v>220</v>
      </c>
      <c r="C143" s="32" t="str">
        <f>vlookup(B143,State_EMM_RowSums!$A$2:$B$52,2,FALSE)</f>
        <v>AR</v>
      </c>
      <c r="D143" s="32">
        <v>5061.0</v>
      </c>
      <c r="E143" s="33">
        <f>IF(NOT(ISBLANK(vlookup($D143,Pop_Census_2023!$A$2:$E$3220,4,FALSE))),vlookup($D143,Pop_Census_2023!$A$2:$E$3220,4,FALSE), vlookup($D143,Pop_Census_2023!$A$2:$E$3220,5,FALSE))</f>
        <v>12533</v>
      </c>
      <c r="F143" s="32">
        <v>66872.0</v>
      </c>
      <c r="G143" s="32">
        <v>56.0</v>
      </c>
      <c r="H143" s="32" t="str">
        <f>VLOOKUP(D143, Grid_Region_Mapping!$D$2:$F$5286, 3, FALSE)</f>
        <v>SPPS</v>
      </c>
      <c r="I143" s="32">
        <v>7.0</v>
      </c>
      <c r="J143" s="34" t="str">
        <f t="shared" si="1"/>
        <v>South</v>
      </c>
      <c r="K143" s="35">
        <v>4.0</v>
      </c>
      <c r="L143" s="35" t="s">
        <v>102</v>
      </c>
      <c r="M143" s="36">
        <f>VLOOKUP(D143, County_Data_CZones!$B$2:$F$3236, 2, FALSE)</f>
        <v>3</v>
      </c>
      <c r="N143" s="37" t="str">
        <f>VLOOKUP(D143, County_Data_CZones!$B$2:$F$3236, 5, FALSE)</f>
        <v>Mixed-Humid</v>
      </c>
    </row>
    <row r="144" ht="15.75" customHeight="1">
      <c r="A144" s="32" t="s">
        <v>246</v>
      </c>
      <c r="B144" s="32" t="s">
        <v>220</v>
      </c>
      <c r="C144" s="32" t="str">
        <f>vlookup(B144,State_EMM_RowSums!$A$2:$B$52,2,FALSE)</f>
        <v>AR</v>
      </c>
      <c r="D144" s="32">
        <v>5063.0</v>
      </c>
      <c r="E144" s="33">
        <f>IF(NOT(ISBLANK(vlookup($D144,Pop_Census_2023!$A$2:$E$3220,4,FALSE))),vlookup($D144,Pop_Census_2023!$A$2:$E$3220,4,FALSE), vlookup($D144,Pop_Census_2023!$A$2:$E$3220,5,FALSE))</f>
        <v>38320</v>
      </c>
      <c r="F144" s="32">
        <v>69163.0</v>
      </c>
      <c r="G144" s="32">
        <v>85.0</v>
      </c>
      <c r="H144" s="32" t="str">
        <f>VLOOKUP(D144, Grid_Region_Mapping!$D$2:$F$5286, 3, FALSE)</f>
        <v>MISS</v>
      </c>
      <c r="I144" s="32">
        <v>7.0</v>
      </c>
      <c r="J144" s="34" t="str">
        <f t="shared" si="1"/>
        <v>South</v>
      </c>
      <c r="K144" s="35">
        <v>4.0</v>
      </c>
      <c r="L144" s="35" t="s">
        <v>102</v>
      </c>
      <c r="M144" s="36">
        <f>VLOOKUP(D144, County_Data_CZones!$B$2:$F$3236, 2, FALSE)</f>
        <v>3</v>
      </c>
      <c r="N144" s="37" t="str">
        <f>VLOOKUP(D144, County_Data_CZones!$B$2:$F$3236, 5, FALSE)</f>
        <v>Mixed-Humid</v>
      </c>
    </row>
    <row r="145" ht="15.75" customHeight="1">
      <c r="A145" s="32" t="s">
        <v>247</v>
      </c>
      <c r="B145" s="32" t="s">
        <v>220</v>
      </c>
      <c r="C145" s="32" t="str">
        <f>vlookup(B145,State_EMM_RowSums!$A$2:$B$52,2,FALSE)</f>
        <v>AR</v>
      </c>
      <c r="D145" s="32">
        <v>5065.0</v>
      </c>
      <c r="E145" s="33">
        <f>IF(NOT(ISBLANK(vlookup($D145,Pop_Census_2023!$A$2:$E$3220,4,FALSE))),vlookup($D145,Pop_Census_2023!$A$2:$E$3220,4,FALSE), vlookup($D145,Pop_Census_2023!$A$2:$E$3220,5,FALSE))</f>
        <v>14169</v>
      </c>
      <c r="F145" s="32">
        <v>66860.0</v>
      </c>
      <c r="G145" s="32">
        <v>85.0</v>
      </c>
      <c r="H145" s="32" t="str">
        <f>VLOOKUP(D145, Grid_Region_Mapping!$D$2:$F$5286, 3, FALSE)</f>
        <v>MISS</v>
      </c>
      <c r="I145" s="32">
        <v>7.0</v>
      </c>
      <c r="J145" s="34" t="str">
        <f t="shared" si="1"/>
        <v>South</v>
      </c>
      <c r="K145" s="35">
        <v>4.0</v>
      </c>
      <c r="L145" s="35" t="s">
        <v>223</v>
      </c>
      <c r="M145" s="36">
        <f>VLOOKUP(D145, County_Data_CZones!$B$2:$F$3236, 2, FALSE)</f>
        <v>4</v>
      </c>
      <c r="N145" s="37" t="str">
        <f>VLOOKUP(D145, County_Data_CZones!$B$2:$F$3236, 5, FALSE)</f>
        <v>Mixed-Humid</v>
      </c>
    </row>
    <row r="146" ht="15.75" customHeight="1">
      <c r="A146" s="32" t="s">
        <v>138</v>
      </c>
      <c r="B146" s="32" t="s">
        <v>220</v>
      </c>
      <c r="C146" s="32" t="str">
        <f>vlookup(B146,State_EMM_RowSums!$A$2:$B$52,2,FALSE)</f>
        <v>AR</v>
      </c>
      <c r="D146" s="32">
        <v>5067.0</v>
      </c>
      <c r="E146" s="33">
        <f>IF(NOT(ISBLANK(vlookup($D146,Pop_Census_2023!$A$2:$E$3220,4,FALSE))),vlookup($D146,Pop_Census_2023!$A$2:$E$3220,4,FALSE), vlookup($D146,Pop_Census_2023!$A$2:$E$3220,5,FALSE))</f>
        <v>16784</v>
      </c>
      <c r="F146" s="32">
        <v>66861.0</v>
      </c>
      <c r="G146" s="32">
        <v>85.0</v>
      </c>
      <c r="H146" s="32" t="str">
        <f>VLOOKUP(D146, Grid_Region_Mapping!$D$2:$F$5286, 3, FALSE)</f>
        <v>MISS</v>
      </c>
      <c r="I146" s="32">
        <v>7.0</v>
      </c>
      <c r="J146" s="34" t="str">
        <f t="shared" si="1"/>
        <v>South</v>
      </c>
      <c r="K146" s="35">
        <v>4.0</v>
      </c>
      <c r="L146" s="35" t="s">
        <v>102</v>
      </c>
      <c r="M146" s="36">
        <f>VLOOKUP(D146, County_Data_CZones!$B$2:$F$3236, 2, FALSE)</f>
        <v>3</v>
      </c>
      <c r="N146" s="37" t="str">
        <f>VLOOKUP(D146, County_Data_CZones!$B$2:$F$3236, 5, FALSE)</f>
        <v>Mixed-Humid</v>
      </c>
    </row>
    <row r="147" ht="15.75" customHeight="1">
      <c r="A147" s="32" t="s">
        <v>139</v>
      </c>
      <c r="B147" s="32" t="s">
        <v>220</v>
      </c>
      <c r="C147" s="32" t="str">
        <f>vlookup(B147,State_EMM_RowSums!$A$2:$B$52,2,FALSE)</f>
        <v>AR</v>
      </c>
      <c r="D147" s="32">
        <v>5069.0</v>
      </c>
      <c r="E147" s="33">
        <f>IF(NOT(ISBLANK(vlookup($D147,Pop_Census_2023!$A$2:$E$3220,4,FALSE))),vlookup($D147,Pop_Census_2023!$A$2:$E$3220,4,FALSE), vlookup($D147,Pop_Census_2023!$A$2:$E$3220,5,FALSE))</f>
        <v>63661</v>
      </c>
      <c r="F147" s="32">
        <v>66862.0</v>
      </c>
      <c r="G147" s="32">
        <v>85.0</v>
      </c>
      <c r="H147" s="32" t="str">
        <f>VLOOKUP(D147, Grid_Region_Mapping!$D$2:$F$5286, 3, FALSE)</f>
        <v>MISS</v>
      </c>
      <c r="I147" s="32">
        <v>7.0</v>
      </c>
      <c r="J147" s="34" t="str">
        <f t="shared" si="1"/>
        <v>South</v>
      </c>
      <c r="K147" s="35">
        <v>5.0</v>
      </c>
      <c r="L147" s="35" t="s">
        <v>102</v>
      </c>
      <c r="M147" s="36">
        <f>VLOOKUP(D147, County_Data_CZones!$B$2:$F$3236, 2, FALSE)</f>
        <v>3</v>
      </c>
      <c r="N147" s="37" t="str">
        <f>VLOOKUP(D147, County_Data_CZones!$B$2:$F$3236, 5, FALSE)</f>
        <v>Mixed-Humid</v>
      </c>
    </row>
    <row r="148" ht="15.75" customHeight="1">
      <c r="A148" s="32" t="s">
        <v>248</v>
      </c>
      <c r="B148" s="32" t="s">
        <v>220</v>
      </c>
      <c r="C148" s="32" t="str">
        <f>vlookup(B148,State_EMM_RowSums!$A$2:$B$52,2,FALSE)</f>
        <v>AR</v>
      </c>
      <c r="D148" s="32">
        <v>5071.0</v>
      </c>
      <c r="E148" s="33">
        <f>IF(NOT(ISBLANK(vlookup($D148,Pop_Census_2023!$A$2:$E$3220,4,FALSE))),vlookup($D148,Pop_Census_2023!$A$2:$E$3220,4,FALSE), vlookup($D148,Pop_Census_2023!$A$2:$E$3220,5,FALSE))</f>
        <v>26129</v>
      </c>
      <c r="F148" s="32">
        <v>66863.0</v>
      </c>
      <c r="G148" s="32">
        <v>56.0</v>
      </c>
      <c r="H148" s="32" t="str">
        <f>VLOOKUP(D148, Grid_Region_Mapping!$D$2:$F$5286, 3, FALSE)</f>
        <v>SPPS</v>
      </c>
      <c r="I148" s="32">
        <v>7.0</v>
      </c>
      <c r="J148" s="34" t="str">
        <f t="shared" si="1"/>
        <v>South</v>
      </c>
      <c r="K148" s="35">
        <v>4.0</v>
      </c>
      <c r="L148" s="35" t="s">
        <v>102</v>
      </c>
      <c r="M148" s="36">
        <f>VLOOKUP(D148, County_Data_CZones!$B$2:$F$3236, 2, FALSE)</f>
        <v>3</v>
      </c>
      <c r="N148" s="37" t="str">
        <f>VLOOKUP(D148, County_Data_CZones!$B$2:$F$3236, 5, FALSE)</f>
        <v>Mixed-Humid</v>
      </c>
    </row>
    <row r="149" ht="15.75" customHeight="1">
      <c r="A149" s="32" t="s">
        <v>249</v>
      </c>
      <c r="B149" s="32" t="s">
        <v>220</v>
      </c>
      <c r="C149" s="32" t="str">
        <f>vlookup(B149,State_EMM_RowSums!$A$2:$B$52,2,FALSE)</f>
        <v>AR</v>
      </c>
      <c r="D149" s="32">
        <v>5073.0</v>
      </c>
      <c r="E149" s="33">
        <f>IF(NOT(ISBLANK(vlookup($D149,Pop_Census_2023!$A$2:$E$3220,4,FALSE))),vlookup($D149,Pop_Census_2023!$A$2:$E$3220,4,FALSE), vlookup($D149,Pop_Census_2023!$A$2:$E$3220,5,FALSE))</f>
        <v>6095</v>
      </c>
      <c r="F149" s="32">
        <v>66864.0</v>
      </c>
      <c r="G149" s="32">
        <v>85.0</v>
      </c>
      <c r="H149" s="32" t="str">
        <f>VLOOKUP(D149, Grid_Region_Mapping!$D$2:$F$5286, 3, FALSE)</f>
        <v>SPPS</v>
      </c>
      <c r="I149" s="32">
        <v>7.0</v>
      </c>
      <c r="J149" s="34" t="str">
        <f t="shared" si="1"/>
        <v>South</v>
      </c>
      <c r="K149" s="35">
        <v>4.0</v>
      </c>
      <c r="L149" s="35" t="s">
        <v>102</v>
      </c>
      <c r="M149" s="36">
        <f>VLOOKUP(D149, County_Data_CZones!$B$2:$F$3236, 2, FALSE)</f>
        <v>3</v>
      </c>
      <c r="N149" s="37" t="str">
        <f>VLOOKUP(D149, County_Data_CZones!$B$2:$F$3236, 5, FALSE)</f>
        <v>Hot-Humid</v>
      </c>
    </row>
    <row r="150" ht="15.75" customHeight="1">
      <c r="A150" s="32" t="s">
        <v>142</v>
      </c>
      <c r="B150" s="32" t="s">
        <v>220</v>
      </c>
      <c r="C150" s="32" t="str">
        <f>vlookup(B150,State_EMM_RowSums!$A$2:$B$52,2,FALSE)</f>
        <v>AR</v>
      </c>
      <c r="D150" s="32">
        <v>5075.0</v>
      </c>
      <c r="E150" s="33">
        <f>IF(NOT(ISBLANK(vlookup($D150,Pop_Census_2023!$A$2:$E$3220,4,FALSE))),vlookup($D150,Pop_Census_2023!$A$2:$E$3220,4,FALSE), vlookup($D150,Pop_Census_2023!$A$2:$E$3220,5,FALSE))</f>
        <v>16318</v>
      </c>
      <c r="F150" s="32">
        <v>66865.0</v>
      </c>
      <c r="G150" s="32">
        <v>85.0</v>
      </c>
      <c r="H150" s="32" t="str">
        <f>VLOOKUP(D150, Grid_Region_Mapping!$D$2:$F$5286, 3, FALSE)</f>
        <v>MISS</v>
      </c>
      <c r="I150" s="32">
        <v>7.0</v>
      </c>
      <c r="J150" s="34" t="str">
        <f t="shared" si="1"/>
        <v>South</v>
      </c>
      <c r="K150" s="35">
        <v>4.0</v>
      </c>
      <c r="L150" s="35" t="s">
        <v>102</v>
      </c>
      <c r="M150" s="36">
        <f>VLOOKUP(D150, County_Data_CZones!$B$2:$F$3236, 2, FALSE)</f>
        <v>3</v>
      </c>
      <c r="N150" s="37" t="str">
        <f>VLOOKUP(D150, County_Data_CZones!$B$2:$F$3236, 5, FALSE)</f>
        <v>Mixed-Humid</v>
      </c>
    </row>
    <row r="151" ht="15.75" customHeight="1">
      <c r="A151" s="32" t="s">
        <v>143</v>
      </c>
      <c r="B151" s="32" t="s">
        <v>220</v>
      </c>
      <c r="C151" s="32" t="str">
        <f>vlookup(B151,State_EMM_RowSums!$A$2:$B$52,2,FALSE)</f>
        <v>AR</v>
      </c>
      <c r="D151" s="32">
        <v>5077.0</v>
      </c>
      <c r="E151" s="33">
        <f>IF(NOT(ISBLANK(vlookup($D151,Pop_Census_2023!$A$2:$E$3220,4,FALSE))),vlookup($D151,Pop_Census_2023!$A$2:$E$3220,4,FALSE), vlookup($D151,Pop_Census_2023!$A$2:$E$3220,5,FALSE))</f>
        <v>8201</v>
      </c>
      <c r="F151" s="32">
        <v>66866.0</v>
      </c>
      <c r="G151" s="32">
        <v>85.0</v>
      </c>
      <c r="H151" s="32" t="str">
        <f>VLOOKUP(D151, Grid_Region_Mapping!$D$2:$F$5286, 3, FALSE)</f>
        <v>MISS</v>
      </c>
      <c r="I151" s="32">
        <v>7.0</v>
      </c>
      <c r="J151" s="34" t="str">
        <f t="shared" si="1"/>
        <v>South</v>
      </c>
      <c r="K151" s="35">
        <v>4.0</v>
      </c>
      <c r="L151" s="35" t="s">
        <v>102</v>
      </c>
      <c r="M151" s="36">
        <f>VLOOKUP(D151, County_Data_CZones!$B$2:$F$3236, 2, FALSE)</f>
        <v>3</v>
      </c>
      <c r="N151" s="37" t="str">
        <f>VLOOKUP(D151, County_Data_CZones!$B$2:$F$3236, 5, FALSE)</f>
        <v>Mixed-Humid</v>
      </c>
    </row>
    <row r="152" ht="15.75" customHeight="1">
      <c r="A152" s="32" t="s">
        <v>250</v>
      </c>
      <c r="B152" s="32" t="s">
        <v>220</v>
      </c>
      <c r="C152" s="32" t="str">
        <f>vlookup(B152,State_EMM_RowSums!$A$2:$B$52,2,FALSE)</f>
        <v>AR</v>
      </c>
      <c r="D152" s="32">
        <v>5079.0</v>
      </c>
      <c r="E152" s="33">
        <f>IF(NOT(ISBLANK(vlookup($D152,Pop_Census_2023!$A$2:$E$3220,4,FALSE))),vlookup($D152,Pop_Census_2023!$A$2:$E$3220,4,FALSE), vlookup($D152,Pop_Census_2023!$A$2:$E$3220,5,FALSE))</f>
        <v>12898</v>
      </c>
      <c r="F152" s="32">
        <v>66873.0</v>
      </c>
      <c r="G152" s="32">
        <v>85.0</v>
      </c>
      <c r="H152" s="32" t="str">
        <f>VLOOKUP(D152, Grid_Region_Mapping!$D$2:$F$5286, 3, FALSE)</f>
        <v>MISS</v>
      </c>
      <c r="I152" s="32">
        <v>7.0</v>
      </c>
      <c r="J152" s="34" t="str">
        <f t="shared" si="1"/>
        <v>South</v>
      </c>
      <c r="K152" s="35">
        <v>5.0</v>
      </c>
      <c r="L152" s="35" t="s">
        <v>102</v>
      </c>
      <c r="M152" s="36">
        <f>VLOOKUP(D152, County_Data_CZones!$B$2:$F$3236, 2, FALSE)</f>
        <v>3</v>
      </c>
      <c r="N152" s="37" t="str">
        <f>VLOOKUP(D152, County_Data_CZones!$B$2:$F$3236, 5, FALSE)</f>
        <v>Mixed-Humid</v>
      </c>
    </row>
    <row r="153" ht="15.75" customHeight="1">
      <c r="A153" s="32" t="s">
        <v>251</v>
      </c>
      <c r="B153" s="32" t="s">
        <v>220</v>
      </c>
      <c r="C153" s="32" t="str">
        <f>vlookup(B153,State_EMM_RowSums!$A$2:$B$52,2,FALSE)</f>
        <v>AR</v>
      </c>
      <c r="D153" s="32">
        <v>5081.0</v>
      </c>
      <c r="E153" s="33">
        <f>IF(NOT(ISBLANK(vlookup($D153,Pop_Census_2023!$A$2:$E$3220,4,FALSE))),vlookup($D153,Pop_Census_2023!$A$2:$E$3220,4,FALSE), vlookup($D153,Pop_Census_2023!$A$2:$E$3220,5,FALSE))</f>
        <v>11805</v>
      </c>
      <c r="F153" s="32">
        <v>66874.0</v>
      </c>
      <c r="G153" s="32">
        <v>85.0</v>
      </c>
      <c r="H153" s="32" t="str">
        <f>VLOOKUP(D153, Grid_Region_Mapping!$D$2:$F$5286, 3, FALSE)</f>
        <v>SPPS</v>
      </c>
      <c r="I153" s="32">
        <v>7.0</v>
      </c>
      <c r="J153" s="34" t="str">
        <f t="shared" si="1"/>
        <v>South</v>
      </c>
      <c r="K153" s="35">
        <v>5.0</v>
      </c>
      <c r="L153" s="35" t="s">
        <v>102</v>
      </c>
      <c r="M153" s="36">
        <f>VLOOKUP(D153, County_Data_CZones!$B$2:$F$3236, 2, FALSE)</f>
        <v>3</v>
      </c>
      <c r="N153" s="37" t="str">
        <f>VLOOKUP(D153, County_Data_CZones!$B$2:$F$3236, 5, FALSE)</f>
        <v>Hot-Humid</v>
      </c>
    </row>
    <row r="154" ht="15.75" customHeight="1">
      <c r="A154" s="32" t="s">
        <v>252</v>
      </c>
      <c r="B154" s="32" t="s">
        <v>220</v>
      </c>
      <c r="C154" s="32" t="str">
        <f>vlookup(B154,State_EMM_RowSums!$A$2:$B$52,2,FALSE)</f>
        <v>AR</v>
      </c>
      <c r="D154" s="32">
        <v>5083.0</v>
      </c>
      <c r="E154" s="33">
        <f>IF(NOT(ISBLANK(vlookup($D154,Pop_Census_2023!$A$2:$E$3220,4,FALSE))),vlookup($D154,Pop_Census_2023!$A$2:$E$3220,4,FALSE), vlookup($D154,Pop_Census_2023!$A$2:$E$3220,5,FALSE))</f>
        <v>21400</v>
      </c>
      <c r="F154" s="32">
        <v>82850.0</v>
      </c>
      <c r="G154" s="32">
        <v>56.0</v>
      </c>
      <c r="H154" s="32" t="str">
        <f>VLOOKUP(D154, Grid_Region_Mapping!$D$2:$F$5286, 3, FALSE)</f>
        <v>SPPS</v>
      </c>
      <c r="I154" s="32">
        <v>7.0</v>
      </c>
      <c r="J154" s="34" t="str">
        <f t="shared" si="1"/>
        <v>South</v>
      </c>
      <c r="K154" s="35">
        <v>4.0</v>
      </c>
      <c r="L154" s="35" t="s">
        <v>102</v>
      </c>
      <c r="M154" s="36">
        <f>VLOOKUP(D154, County_Data_CZones!$B$2:$F$3236, 2, FALSE)</f>
        <v>3</v>
      </c>
      <c r="N154" s="37" t="str">
        <f>VLOOKUP(D154, County_Data_CZones!$B$2:$F$3236, 5, FALSE)</f>
        <v>Mixed-Humid</v>
      </c>
    </row>
    <row r="155" ht="15.75" customHeight="1">
      <c r="A155" s="32" t="s">
        <v>253</v>
      </c>
      <c r="B155" s="32" t="s">
        <v>220</v>
      </c>
      <c r="C155" s="32" t="str">
        <f>vlookup(B155,State_EMM_RowSums!$A$2:$B$52,2,FALSE)</f>
        <v>AR</v>
      </c>
      <c r="D155" s="32">
        <v>5085.0</v>
      </c>
      <c r="E155" s="33">
        <f>IF(NOT(ISBLANK(vlookup($D155,Pop_Census_2023!$A$2:$E$3220,4,FALSE))),vlookup($D155,Pop_Census_2023!$A$2:$E$3220,4,FALSE), vlookup($D155,Pop_Census_2023!$A$2:$E$3220,5,FALSE))</f>
        <v>75944</v>
      </c>
      <c r="F155" s="32">
        <v>69164.0</v>
      </c>
      <c r="G155" s="32">
        <v>85.0</v>
      </c>
      <c r="H155" s="32" t="str">
        <f>VLOOKUP(D155, Grid_Region_Mapping!$D$2:$F$5286, 3, FALSE)</f>
        <v>MISS</v>
      </c>
      <c r="I155" s="32">
        <v>7.0</v>
      </c>
      <c r="J155" s="34" t="str">
        <f t="shared" si="1"/>
        <v>South</v>
      </c>
      <c r="K155" s="35">
        <v>4.0</v>
      </c>
      <c r="L155" s="35" t="s">
        <v>102</v>
      </c>
      <c r="M155" s="36">
        <f>VLOOKUP(D155, County_Data_CZones!$B$2:$F$3236, 2, FALSE)</f>
        <v>3</v>
      </c>
      <c r="N155" s="37" t="str">
        <f>VLOOKUP(D155, County_Data_CZones!$B$2:$F$3236, 5, FALSE)</f>
        <v>Mixed-Humid</v>
      </c>
    </row>
    <row r="156" ht="15.75" customHeight="1">
      <c r="A156" s="32" t="s">
        <v>147</v>
      </c>
      <c r="B156" s="32" t="s">
        <v>220</v>
      </c>
      <c r="C156" s="32" t="str">
        <f>vlookup(B156,State_EMM_RowSums!$A$2:$B$52,2,FALSE)</f>
        <v>AR</v>
      </c>
      <c r="D156" s="32">
        <v>5087.0</v>
      </c>
      <c r="E156" s="33">
        <f>IF(NOT(ISBLANK(vlookup($D156,Pop_Census_2023!$A$2:$E$3220,4,FALSE))),vlookup($D156,Pop_Census_2023!$A$2:$E$3220,4,FALSE), vlookup($D156,Pop_Census_2023!$A$2:$E$3220,5,FALSE))</f>
        <v>17775</v>
      </c>
      <c r="F156" s="32">
        <v>69165.0</v>
      </c>
      <c r="G156" s="32">
        <v>56.0</v>
      </c>
      <c r="H156" s="32" t="str">
        <f>VLOOKUP(D156, Grid_Region_Mapping!$D$2:$F$5286, 3, FALSE)</f>
        <v>SPPS</v>
      </c>
      <c r="I156" s="32">
        <v>7.0</v>
      </c>
      <c r="J156" s="34" t="str">
        <f t="shared" si="1"/>
        <v>South</v>
      </c>
      <c r="K156" s="35">
        <v>3.0</v>
      </c>
      <c r="L156" s="35" t="s">
        <v>223</v>
      </c>
      <c r="M156" s="36">
        <f>VLOOKUP(D156, County_Data_CZones!$B$2:$F$3236, 2, FALSE)</f>
        <v>4</v>
      </c>
      <c r="N156" s="37" t="str">
        <f>VLOOKUP(D156, County_Data_CZones!$B$2:$F$3236, 5, FALSE)</f>
        <v>Mixed-Humid</v>
      </c>
    </row>
    <row r="157" ht="15.75" customHeight="1">
      <c r="A157" s="32" t="s">
        <v>149</v>
      </c>
      <c r="B157" s="32" t="s">
        <v>220</v>
      </c>
      <c r="C157" s="32" t="str">
        <f>vlookup(B157,State_EMM_RowSums!$A$2:$B$52,2,FALSE)</f>
        <v>AR</v>
      </c>
      <c r="D157" s="32">
        <v>5089.0</v>
      </c>
      <c r="E157" s="33">
        <f>IF(NOT(ISBLANK(vlookup($D157,Pop_Census_2023!$A$2:$E$3220,4,FALSE))),vlookup($D157,Pop_Census_2023!$A$2:$E$3220,4,FALSE), vlookup($D157,Pop_Census_2023!$A$2:$E$3220,5,FALSE))</f>
        <v>17514</v>
      </c>
      <c r="F157" s="32">
        <v>69898.0</v>
      </c>
      <c r="G157" s="32">
        <v>56.0</v>
      </c>
      <c r="H157" s="32" t="str">
        <f>VLOOKUP(D157, Grid_Region_Mapping!$D$2:$F$5286, 3, FALSE)</f>
        <v>MISS</v>
      </c>
      <c r="I157" s="32">
        <v>7.0</v>
      </c>
      <c r="J157" s="34" t="str">
        <f t="shared" si="1"/>
        <v>South</v>
      </c>
      <c r="K157" s="35">
        <v>3.0</v>
      </c>
      <c r="L157" s="35" t="s">
        <v>223</v>
      </c>
      <c r="M157" s="36">
        <f>VLOOKUP(D157, County_Data_CZones!$B$2:$F$3236, 2, FALSE)</f>
        <v>4</v>
      </c>
      <c r="N157" s="37" t="str">
        <f>VLOOKUP(D157, County_Data_CZones!$B$2:$F$3236, 5, FALSE)</f>
        <v>Mixed-Humid</v>
      </c>
    </row>
    <row r="158" ht="15.75" customHeight="1">
      <c r="A158" s="32" t="s">
        <v>254</v>
      </c>
      <c r="B158" s="32" t="s">
        <v>220</v>
      </c>
      <c r="C158" s="32" t="str">
        <f>vlookup(B158,State_EMM_RowSums!$A$2:$B$52,2,FALSE)</f>
        <v>AR</v>
      </c>
      <c r="D158" s="32">
        <v>5091.0</v>
      </c>
      <c r="E158" s="33">
        <f>IF(NOT(ISBLANK(vlookup($D158,Pop_Census_2023!$A$2:$E$3220,4,FALSE))),vlookup($D158,Pop_Census_2023!$A$2:$E$3220,4,FALSE), vlookup($D158,Pop_Census_2023!$A$2:$E$3220,5,FALSE))</f>
        <v>42415</v>
      </c>
      <c r="F158" s="32">
        <v>69166.0</v>
      </c>
      <c r="G158" s="32">
        <v>85.0</v>
      </c>
      <c r="H158" s="32" t="str">
        <f>VLOOKUP(D158, Grid_Region_Mapping!$D$2:$F$5286, 3, FALSE)</f>
        <v>SPPS</v>
      </c>
      <c r="I158" s="32">
        <v>7.0</v>
      </c>
      <c r="J158" s="34" t="str">
        <f t="shared" si="1"/>
        <v>South</v>
      </c>
      <c r="K158" s="35">
        <v>5.0</v>
      </c>
      <c r="L158" s="35" t="s">
        <v>102</v>
      </c>
      <c r="M158" s="36">
        <f>VLOOKUP(D158, County_Data_CZones!$B$2:$F$3236, 2, FALSE)</f>
        <v>3</v>
      </c>
      <c r="N158" s="37" t="str">
        <f>VLOOKUP(D158, County_Data_CZones!$B$2:$F$3236, 5, FALSE)</f>
        <v>Hot-Humid</v>
      </c>
    </row>
    <row r="159" ht="15.75" customHeight="1">
      <c r="A159" s="32" t="s">
        <v>255</v>
      </c>
      <c r="B159" s="32" t="s">
        <v>220</v>
      </c>
      <c r="C159" s="32" t="str">
        <f>vlookup(B159,State_EMM_RowSums!$A$2:$B$52,2,FALSE)</f>
        <v>AR</v>
      </c>
      <c r="D159" s="32">
        <v>5093.0</v>
      </c>
      <c r="E159" s="33">
        <f>IF(NOT(ISBLANK(vlookup($D159,Pop_Census_2023!$A$2:$E$3220,4,FALSE))),vlookup($D159,Pop_Census_2023!$A$2:$E$3220,4,FALSE), vlookup($D159,Pop_Census_2023!$A$2:$E$3220,5,FALSE))</f>
        <v>38663</v>
      </c>
      <c r="F159" s="32">
        <v>69899.0</v>
      </c>
      <c r="G159" s="32">
        <v>85.0</v>
      </c>
      <c r="H159" s="32" t="str">
        <f>VLOOKUP(D159, Grid_Region_Mapping!$D$2:$F$5286, 3, FALSE)</f>
        <v>MISS</v>
      </c>
      <c r="I159" s="32">
        <v>7.0</v>
      </c>
      <c r="J159" s="34" t="str">
        <f t="shared" si="1"/>
        <v>South</v>
      </c>
      <c r="K159" s="35">
        <v>4.0</v>
      </c>
      <c r="L159" s="35" t="s">
        <v>102</v>
      </c>
      <c r="M159" s="36">
        <f>VLOOKUP(D159, County_Data_CZones!$B$2:$F$3236, 2, FALSE)</f>
        <v>3</v>
      </c>
      <c r="N159" s="37" t="str">
        <f>VLOOKUP(D159, County_Data_CZones!$B$2:$F$3236, 5, FALSE)</f>
        <v>Mixed-Humid</v>
      </c>
    </row>
    <row r="160" ht="15.75" customHeight="1">
      <c r="A160" s="32" t="s">
        <v>152</v>
      </c>
      <c r="B160" s="32" t="s">
        <v>220</v>
      </c>
      <c r="C160" s="32" t="str">
        <f>vlookup(B160,State_EMM_RowSums!$A$2:$B$52,2,FALSE)</f>
        <v>AR</v>
      </c>
      <c r="D160" s="32">
        <v>5095.0</v>
      </c>
      <c r="E160" s="33">
        <f>IF(NOT(ISBLANK(vlookup($D160,Pop_Census_2023!$A$2:$E$3220,4,FALSE))),vlookup($D160,Pop_Census_2023!$A$2:$E$3220,4,FALSE), vlookup($D160,Pop_Census_2023!$A$2:$E$3220,5,FALSE))</f>
        <v>6512</v>
      </c>
      <c r="F160" s="32">
        <v>69167.0</v>
      </c>
      <c r="G160" s="32">
        <v>85.0</v>
      </c>
      <c r="H160" s="32" t="str">
        <f>VLOOKUP(D160, Grid_Region_Mapping!$D$2:$F$5286, 3, FALSE)</f>
        <v>MISS</v>
      </c>
      <c r="I160" s="32">
        <v>7.0</v>
      </c>
      <c r="J160" s="34" t="str">
        <f t="shared" si="1"/>
        <v>South</v>
      </c>
      <c r="K160" s="35">
        <v>4.0</v>
      </c>
      <c r="L160" s="35" t="s">
        <v>102</v>
      </c>
      <c r="M160" s="36">
        <f>VLOOKUP(D160, County_Data_CZones!$B$2:$F$3236, 2, FALSE)</f>
        <v>3</v>
      </c>
      <c r="N160" s="37" t="str">
        <f>VLOOKUP(D160, County_Data_CZones!$B$2:$F$3236, 5, FALSE)</f>
        <v>Mixed-Humid</v>
      </c>
    </row>
    <row r="161" ht="15.75" customHeight="1">
      <c r="A161" s="32" t="s">
        <v>153</v>
      </c>
      <c r="B161" s="32" t="s">
        <v>220</v>
      </c>
      <c r="C161" s="32" t="str">
        <f>vlookup(B161,State_EMM_RowSums!$A$2:$B$52,2,FALSE)</f>
        <v>AR</v>
      </c>
      <c r="D161" s="32">
        <v>5097.0</v>
      </c>
      <c r="E161" s="33">
        <f>IF(NOT(ISBLANK(vlookup($D161,Pop_Census_2023!$A$2:$E$3220,4,FALSE))),vlookup($D161,Pop_Census_2023!$A$2:$E$3220,4,FALSE), vlookup($D161,Pop_Census_2023!$A$2:$E$3220,5,FALSE))</f>
        <v>8620</v>
      </c>
      <c r="F161" s="32">
        <v>69168.0</v>
      </c>
      <c r="G161" s="32">
        <v>56.0</v>
      </c>
      <c r="H161" s="32" t="str">
        <f>VLOOKUP(D161, Grid_Region_Mapping!$D$2:$F$5286, 3, FALSE)</f>
        <v>SPPS</v>
      </c>
      <c r="I161" s="32">
        <v>7.0</v>
      </c>
      <c r="J161" s="34" t="str">
        <f t="shared" si="1"/>
        <v>South</v>
      </c>
      <c r="K161" s="35">
        <v>4.0</v>
      </c>
      <c r="L161" s="35" t="s">
        <v>102</v>
      </c>
      <c r="M161" s="36">
        <f>VLOOKUP(D161, County_Data_CZones!$B$2:$F$3236, 2, FALSE)</f>
        <v>3</v>
      </c>
      <c r="N161" s="37" t="str">
        <f>VLOOKUP(D161, County_Data_CZones!$B$2:$F$3236, 5, FALSE)</f>
        <v>Mixed-Humid</v>
      </c>
    </row>
    <row r="162" ht="15.75" customHeight="1">
      <c r="A162" s="32" t="s">
        <v>256</v>
      </c>
      <c r="B162" s="32" t="s">
        <v>220</v>
      </c>
      <c r="C162" s="32" t="str">
        <f>vlookup(B162,State_EMM_RowSums!$A$2:$B$52,2,FALSE)</f>
        <v>AR</v>
      </c>
      <c r="D162" s="32">
        <v>5099.0</v>
      </c>
      <c r="E162" s="33">
        <f>IF(NOT(ISBLANK(vlookup($D162,Pop_Census_2023!$A$2:$E$3220,4,FALSE))),vlookup($D162,Pop_Census_2023!$A$2:$E$3220,4,FALSE), vlookup($D162,Pop_Census_2023!$A$2:$E$3220,5,FALSE))</f>
        <v>8120</v>
      </c>
      <c r="F162" s="32">
        <v>69169.0</v>
      </c>
      <c r="G162" s="32">
        <v>85.0</v>
      </c>
      <c r="H162" s="32" t="str">
        <f>VLOOKUP(D162, Grid_Region_Mapping!$D$2:$F$5286, 3, FALSE)</f>
        <v>MISS</v>
      </c>
      <c r="I162" s="32">
        <v>7.0</v>
      </c>
      <c r="J162" s="34" t="str">
        <f t="shared" si="1"/>
        <v>South</v>
      </c>
      <c r="K162" s="35">
        <v>5.0</v>
      </c>
      <c r="L162" s="35" t="s">
        <v>102</v>
      </c>
      <c r="M162" s="36">
        <f>VLOOKUP(D162, County_Data_CZones!$B$2:$F$3236, 2, FALSE)</f>
        <v>3</v>
      </c>
      <c r="N162" s="37" t="str">
        <f>VLOOKUP(D162, County_Data_CZones!$B$2:$F$3236, 5, FALSE)</f>
        <v>Mixed-Humid</v>
      </c>
    </row>
    <row r="163" ht="15.75" customHeight="1">
      <c r="A163" s="32" t="s">
        <v>257</v>
      </c>
      <c r="B163" s="32" t="s">
        <v>220</v>
      </c>
      <c r="C163" s="32" t="str">
        <f>vlookup(B163,State_EMM_RowSums!$A$2:$B$52,2,FALSE)</f>
        <v>AR</v>
      </c>
      <c r="D163" s="32">
        <v>5101.0</v>
      </c>
      <c r="E163" s="33">
        <f>IF(NOT(ISBLANK(vlookup($D163,Pop_Census_2023!$A$2:$E$3220,4,FALSE))),vlookup($D163,Pop_Census_2023!$A$2:$E$3220,4,FALSE), vlookup($D163,Pop_Census_2023!$A$2:$E$3220,5,FALSE))</f>
        <v>7071</v>
      </c>
      <c r="F163" s="32">
        <v>69900.0</v>
      </c>
      <c r="G163" s="32">
        <v>56.0</v>
      </c>
      <c r="H163" s="32" t="str">
        <f>VLOOKUP(D163, Grid_Region_Mapping!$D$2:$F$5286, 3, FALSE)</f>
        <v>SPPS</v>
      </c>
      <c r="I163" s="32">
        <v>7.0</v>
      </c>
      <c r="J163" s="34" t="str">
        <f t="shared" si="1"/>
        <v>South</v>
      </c>
      <c r="K163" s="35">
        <v>3.0</v>
      </c>
      <c r="L163" s="35" t="s">
        <v>223</v>
      </c>
      <c r="M163" s="36">
        <f>VLOOKUP(D163, County_Data_CZones!$B$2:$F$3236, 2, FALSE)</f>
        <v>4</v>
      </c>
      <c r="N163" s="37" t="str">
        <f>VLOOKUP(D163, County_Data_CZones!$B$2:$F$3236, 5, FALSE)</f>
        <v>Mixed-Humid</v>
      </c>
    </row>
    <row r="164" ht="15.75" customHeight="1">
      <c r="A164" s="32" t="s">
        <v>258</v>
      </c>
      <c r="B164" s="32" t="s">
        <v>220</v>
      </c>
      <c r="C164" s="32" t="str">
        <f>vlookup(B164,State_EMM_RowSums!$A$2:$B$52,2,FALSE)</f>
        <v>AR</v>
      </c>
      <c r="D164" s="32">
        <v>5103.0</v>
      </c>
      <c r="E164" s="33">
        <f>IF(NOT(ISBLANK(vlookup($D164,Pop_Census_2023!$A$2:$E$3220,4,FALSE))),vlookup($D164,Pop_Census_2023!$A$2:$E$3220,4,FALSE), vlookup($D164,Pop_Census_2023!$A$2:$E$3220,5,FALSE))</f>
        <v>21793</v>
      </c>
      <c r="F164" s="32">
        <v>69170.0</v>
      </c>
      <c r="G164" s="32">
        <v>85.0</v>
      </c>
      <c r="H164" s="32" t="str">
        <f>VLOOKUP(D164, Grid_Region_Mapping!$D$2:$F$5286, 3, FALSE)</f>
        <v>MISS</v>
      </c>
      <c r="I164" s="32">
        <v>7.0</v>
      </c>
      <c r="J164" s="34" t="str">
        <f t="shared" si="1"/>
        <v>South</v>
      </c>
      <c r="K164" s="35">
        <v>4.0</v>
      </c>
      <c r="L164" s="35" t="s">
        <v>102</v>
      </c>
      <c r="M164" s="36">
        <f>VLOOKUP(D164, County_Data_CZones!$B$2:$F$3236, 2, FALSE)</f>
        <v>3</v>
      </c>
      <c r="N164" s="37" t="str">
        <f>VLOOKUP(D164, County_Data_CZones!$B$2:$F$3236, 5, FALSE)</f>
        <v>Mixed-Humid</v>
      </c>
    </row>
    <row r="165" ht="15.75" customHeight="1">
      <c r="A165" s="32" t="s">
        <v>155</v>
      </c>
      <c r="B165" s="32" t="s">
        <v>220</v>
      </c>
      <c r="C165" s="32" t="str">
        <f>vlookup(B165,State_EMM_RowSums!$A$2:$B$52,2,FALSE)</f>
        <v>AR</v>
      </c>
      <c r="D165" s="32">
        <v>5105.0</v>
      </c>
      <c r="E165" s="33">
        <f>IF(NOT(ISBLANK(vlookup($D165,Pop_Census_2023!$A$2:$E$3220,4,FALSE))),vlookup($D165,Pop_Census_2023!$A$2:$E$3220,4,FALSE), vlookup($D165,Pop_Census_2023!$A$2:$E$3220,5,FALSE))</f>
        <v>10184</v>
      </c>
      <c r="F165" s="32">
        <v>69171.0</v>
      </c>
      <c r="G165" s="32">
        <v>85.0</v>
      </c>
      <c r="H165" s="32" t="str">
        <f>VLOOKUP(D165, Grid_Region_Mapping!$D$2:$F$5286, 3, FALSE)</f>
        <v>MISS</v>
      </c>
      <c r="I165" s="32">
        <v>7.0</v>
      </c>
      <c r="J165" s="34" t="str">
        <f t="shared" si="1"/>
        <v>South</v>
      </c>
      <c r="K165" s="35">
        <v>4.0</v>
      </c>
      <c r="L165" s="35" t="s">
        <v>102</v>
      </c>
      <c r="M165" s="36">
        <f>VLOOKUP(D165, County_Data_CZones!$B$2:$F$3236, 2, FALSE)</f>
        <v>3</v>
      </c>
      <c r="N165" s="37" t="str">
        <f>VLOOKUP(D165, County_Data_CZones!$B$2:$F$3236, 5, FALSE)</f>
        <v>Mixed-Humid</v>
      </c>
    </row>
    <row r="166" ht="15.75" customHeight="1">
      <c r="A166" s="32" t="s">
        <v>259</v>
      </c>
      <c r="B166" s="32" t="s">
        <v>220</v>
      </c>
      <c r="C166" s="32" t="str">
        <f>vlookup(B166,State_EMM_RowSums!$A$2:$B$52,2,FALSE)</f>
        <v>AR</v>
      </c>
      <c r="D166" s="32">
        <v>5107.0</v>
      </c>
      <c r="E166" s="33">
        <f>IF(NOT(ISBLANK(vlookup($D166,Pop_Census_2023!$A$2:$E$3220,4,FALSE))),vlookup($D166,Pop_Census_2023!$A$2:$E$3220,4,FALSE), vlookup($D166,Pop_Census_2023!$A$2:$E$3220,5,FALSE))</f>
        <v>14961</v>
      </c>
      <c r="F166" s="32">
        <v>69172.0</v>
      </c>
      <c r="G166" s="32">
        <v>85.0</v>
      </c>
      <c r="H166" s="32" t="str">
        <f>VLOOKUP(D166, Grid_Region_Mapping!$D$2:$F$5286, 3, FALSE)</f>
        <v>MISS</v>
      </c>
      <c r="I166" s="32">
        <v>7.0</v>
      </c>
      <c r="J166" s="34" t="str">
        <f t="shared" si="1"/>
        <v>South</v>
      </c>
      <c r="K166" s="35">
        <v>4.0</v>
      </c>
      <c r="L166" s="35" t="s">
        <v>102</v>
      </c>
      <c r="M166" s="36">
        <f>VLOOKUP(D166, County_Data_CZones!$B$2:$F$3236, 2, FALSE)</f>
        <v>3</v>
      </c>
      <c r="N166" s="37" t="str">
        <f>VLOOKUP(D166, County_Data_CZones!$B$2:$F$3236, 5, FALSE)</f>
        <v>Mixed-Humid</v>
      </c>
    </row>
    <row r="167" ht="15.75" customHeight="1">
      <c r="A167" s="32" t="s">
        <v>157</v>
      </c>
      <c r="B167" s="32" t="s">
        <v>220</v>
      </c>
      <c r="C167" s="32" t="str">
        <f>vlookup(B167,State_EMM_RowSums!$A$2:$B$52,2,FALSE)</f>
        <v>AR</v>
      </c>
      <c r="D167" s="32">
        <v>5109.0</v>
      </c>
      <c r="E167" s="33">
        <f>IF(NOT(ISBLANK(vlookup($D167,Pop_Census_2023!$A$2:$E$3220,4,FALSE))),vlookup($D167,Pop_Census_2023!$A$2:$E$3220,4,FALSE), vlookup($D167,Pop_Census_2023!$A$2:$E$3220,5,FALSE))</f>
        <v>10208</v>
      </c>
      <c r="F167" s="32">
        <v>69173.0</v>
      </c>
      <c r="G167" s="32">
        <v>56.0</v>
      </c>
      <c r="H167" s="32" t="str">
        <f>VLOOKUP(D167, Grid_Region_Mapping!$D$2:$F$5286, 3, FALSE)</f>
        <v>SPPS</v>
      </c>
      <c r="I167" s="32">
        <v>7.0</v>
      </c>
      <c r="J167" s="34" t="str">
        <f t="shared" si="1"/>
        <v>South</v>
      </c>
      <c r="K167" s="35">
        <v>4.0</v>
      </c>
      <c r="L167" s="35" t="s">
        <v>102</v>
      </c>
      <c r="M167" s="36">
        <f>VLOOKUP(D167, County_Data_CZones!$B$2:$F$3236, 2, FALSE)</f>
        <v>3</v>
      </c>
      <c r="N167" s="37" t="str">
        <f>VLOOKUP(D167, County_Data_CZones!$B$2:$F$3236, 5, FALSE)</f>
        <v>Mixed-Humid</v>
      </c>
    </row>
    <row r="168" ht="15.75" customHeight="1">
      <c r="A168" s="32" t="s">
        <v>260</v>
      </c>
      <c r="B168" s="32" t="s">
        <v>220</v>
      </c>
      <c r="C168" s="32" t="str">
        <f>vlookup(B168,State_EMM_RowSums!$A$2:$B$52,2,FALSE)</f>
        <v>AR</v>
      </c>
      <c r="D168" s="32">
        <v>5111.0</v>
      </c>
      <c r="E168" s="33">
        <f>IF(NOT(ISBLANK(vlookup($D168,Pop_Census_2023!$A$2:$E$3220,4,FALSE))),vlookup($D168,Pop_Census_2023!$A$2:$E$3220,4,FALSE), vlookup($D168,Pop_Census_2023!$A$2:$E$3220,5,FALSE))</f>
        <v>22397</v>
      </c>
      <c r="F168" s="32">
        <v>69174.0</v>
      </c>
      <c r="G168" s="32">
        <v>85.0</v>
      </c>
      <c r="H168" s="32" t="str">
        <f>VLOOKUP(D168, Grid_Region_Mapping!$D$2:$F$5286, 3, FALSE)</f>
        <v>MISS</v>
      </c>
      <c r="I168" s="32">
        <v>7.0</v>
      </c>
      <c r="J168" s="34" t="str">
        <f t="shared" si="1"/>
        <v>South</v>
      </c>
      <c r="K168" s="35">
        <v>4.0</v>
      </c>
      <c r="L168" s="35" t="s">
        <v>102</v>
      </c>
      <c r="M168" s="36">
        <f>VLOOKUP(D168, County_Data_CZones!$B$2:$F$3236, 2, FALSE)</f>
        <v>3</v>
      </c>
      <c r="N168" s="37" t="str">
        <f>VLOOKUP(D168, County_Data_CZones!$B$2:$F$3236, 5, FALSE)</f>
        <v>Mixed-Humid</v>
      </c>
    </row>
    <row r="169" ht="15.75" customHeight="1">
      <c r="A169" s="32" t="s">
        <v>261</v>
      </c>
      <c r="B169" s="32" t="s">
        <v>220</v>
      </c>
      <c r="C169" s="32" t="str">
        <f>vlookup(B169,State_EMM_RowSums!$A$2:$B$52,2,FALSE)</f>
        <v>AR</v>
      </c>
      <c r="D169" s="32">
        <v>5113.0</v>
      </c>
      <c r="E169" s="33">
        <f>IF(NOT(ISBLANK(vlookup($D169,Pop_Census_2023!$A$2:$E$3220,4,FALSE))),vlookup($D169,Pop_Census_2023!$A$2:$E$3220,4,FALSE), vlookup($D169,Pop_Census_2023!$A$2:$E$3220,5,FALSE))</f>
        <v>19436</v>
      </c>
      <c r="F169" s="32">
        <v>69175.0</v>
      </c>
      <c r="G169" s="32">
        <v>56.0</v>
      </c>
      <c r="H169" s="32" t="str">
        <f>VLOOKUP(D169, Grid_Region_Mapping!$D$2:$F$5286, 3, FALSE)</f>
        <v>SPPS</v>
      </c>
      <c r="I169" s="32">
        <v>7.0</v>
      </c>
      <c r="J169" s="34" t="str">
        <f t="shared" si="1"/>
        <v>South</v>
      </c>
      <c r="K169" s="35">
        <v>4.0</v>
      </c>
      <c r="L169" s="35" t="s">
        <v>102</v>
      </c>
      <c r="M169" s="36">
        <f>VLOOKUP(D169, County_Data_CZones!$B$2:$F$3236, 2, FALSE)</f>
        <v>3</v>
      </c>
      <c r="N169" s="37" t="str">
        <f>VLOOKUP(D169, County_Data_CZones!$B$2:$F$3236, 5, FALSE)</f>
        <v>Mixed-Humid</v>
      </c>
    </row>
    <row r="170" ht="15.75" customHeight="1">
      <c r="A170" s="32" t="s">
        <v>262</v>
      </c>
      <c r="B170" s="32" t="s">
        <v>220</v>
      </c>
      <c r="C170" s="32" t="str">
        <f>vlookup(B170,State_EMM_RowSums!$A$2:$B$52,2,FALSE)</f>
        <v>AR</v>
      </c>
      <c r="D170" s="32">
        <v>5115.0</v>
      </c>
      <c r="E170" s="33">
        <f>IF(NOT(ISBLANK(vlookup($D170,Pop_Census_2023!$A$2:$E$3220,4,FALSE))),vlookup($D170,Pop_Census_2023!$A$2:$E$3220,4,FALSE), vlookup($D170,Pop_Census_2023!$A$2:$E$3220,5,FALSE))</f>
        <v>64593</v>
      </c>
      <c r="F170" s="32">
        <v>69901.0</v>
      </c>
      <c r="G170" s="32">
        <v>85.0</v>
      </c>
      <c r="H170" s="32" t="str">
        <f>VLOOKUP(D170, Grid_Region_Mapping!$D$2:$F$5286, 3, FALSE)</f>
        <v>MISS</v>
      </c>
      <c r="I170" s="32">
        <v>7.0</v>
      </c>
      <c r="J170" s="34" t="str">
        <f t="shared" si="1"/>
        <v>South</v>
      </c>
      <c r="K170" s="35">
        <v>4.0</v>
      </c>
      <c r="L170" s="35" t="s">
        <v>102</v>
      </c>
      <c r="M170" s="36">
        <f>VLOOKUP(D170, County_Data_CZones!$B$2:$F$3236, 2, FALSE)</f>
        <v>3</v>
      </c>
      <c r="N170" s="37" t="str">
        <f>VLOOKUP(D170, County_Data_CZones!$B$2:$F$3236, 5, FALSE)</f>
        <v>Mixed-Humid</v>
      </c>
    </row>
    <row r="171" ht="15.75" customHeight="1">
      <c r="A171" s="32" t="s">
        <v>263</v>
      </c>
      <c r="B171" s="32" t="s">
        <v>220</v>
      </c>
      <c r="C171" s="32" t="str">
        <f>vlookup(B171,State_EMM_RowSums!$A$2:$B$52,2,FALSE)</f>
        <v>AR</v>
      </c>
      <c r="D171" s="32">
        <v>5117.0</v>
      </c>
      <c r="E171" s="33">
        <f>IF(NOT(ISBLANK(vlookup($D171,Pop_Census_2023!$A$2:$E$3220,4,FALSE))),vlookup($D171,Pop_Census_2023!$A$2:$E$3220,4,FALSE), vlookup($D171,Pop_Census_2023!$A$2:$E$3220,5,FALSE))</f>
        <v>8036</v>
      </c>
      <c r="F171" s="32">
        <v>69176.0</v>
      </c>
      <c r="G171" s="32">
        <v>85.0</v>
      </c>
      <c r="H171" s="32" t="str">
        <f>VLOOKUP(D171, Grid_Region_Mapping!$D$2:$F$5286, 3, FALSE)</f>
        <v>MISS</v>
      </c>
      <c r="I171" s="32">
        <v>7.0</v>
      </c>
      <c r="J171" s="34" t="str">
        <f t="shared" si="1"/>
        <v>South</v>
      </c>
      <c r="K171" s="35">
        <v>4.0</v>
      </c>
      <c r="L171" s="35" t="s">
        <v>102</v>
      </c>
      <c r="M171" s="36">
        <f>VLOOKUP(D171, County_Data_CZones!$B$2:$F$3236, 2, FALSE)</f>
        <v>3</v>
      </c>
      <c r="N171" s="37" t="str">
        <f>VLOOKUP(D171, County_Data_CZones!$B$2:$F$3236, 5, FALSE)</f>
        <v>Mixed-Humid</v>
      </c>
    </row>
    <row r="172" ht="15.75" customHeight="1">
      <c r="A172" s="32" t="s">
        <v>264</v>
      </c>
      <c r="B172" s="32" t="s">
        <v>220</v>
      </c>
      <c r="C172" s="32" t="str">
        <f>vlookup(B172,State_EMM_RowSums!$A$2:$B$52,2,FALSE)</f>
        <v>AR</v>
      </c>
      <c r="D172" s="32">
        <v>5119.0</v>
      </c>
      <c r="E172" s="33">
        <f>IF(NOT(ISBLANK(vlookup($D172,Pop_Census_2023!$A$2:$E$3220,4,FALSE))),vlookup($D172,Pop_Census_2023!$A$2:$E$3220,4,FALSE), vlookup($D172,Pop_Census_2023!$A$2:$E$3220,5,FALSE))</f>
        <v>400009</v>
      </c>
      <c r="F172" s="32">
        <v>69177.0</v>
      </c>
      <c r="G172" s="32">
        <v>85.0</v>
      </c>
      <c r="H172" s="32" t="str">
        <f>VLOOKUP(D172, Grid_Region_Mapping!$D$2:$F$5286, 3, FALSE)</f>
        <v>MISS</v>
      </c>
      <c r="I172" s="32">
        <v>7.0</v>
      </c>
      <c r="J172" s="34" t="str">
        <f t="shared" si="1"/>
        <v>South</v>
      </c>
      <c r="K172" s="35">
        <v>4.0</v>
      </c>
      <c r="L172" s="35" t="s">
        <v>102</v>
      </c>
      <c r="M172" s="36">
        <f>VLOOKUP(D172, County_Data_CZones!$B$2:$F$3236, 2, FALSE)</f>
        <v>3</v>
      </c>
      <c r="N172" s="37" t="str">
        <f>VLOOKUP(D172, County_Data_CZones!$B$2:$F$3236, 5, FALSE)</f>
        <v>Mixed-Humid</v>
      </c>
    </row>
    <row r="173" ht="15.75" customHeight="1">
      <c r="A173" s="32" t="s">
        <v>158</v>
      </c>
      <c r="B173" s="32" t="s">
        <v>220</v>
      </c>
      <c r="C173" s="32" t="str">
        <f>vlookup(B173,State_EMM_RowSums!$A$2:$B$52,2,FALSE)</f>
        <v>AR</v>
      </c>
      <c r="D173" s="32">
        <v>5121.0</v>
      </c>
      <c r="E173" s="33">
        <f>IF(NOT(ISBLANK(vlookup($D173,Pop_Census_2023!$A$2:$E$3220,4,FALSE))),vlookup($D173,Pop_Census_2023!$A$2:$E$3220,4,FALSE), vlookup($D173,Pop_Census_2023!$A$2:$E$3220,5,FALSE))</f>
        <v>18907</v>
      </c>
      <c r="F173" s="32">
        <v>69178.0</v>
      </c>
      <c r="G173" s="32">
        <v>85.0</v>
      </c>
      <c r="H173" s="32" t="str">
        <f>VLOOKUP(D173, Grid_Region_Mapping!$D$2:$F$5286, 3, FALSE)</f>
        <v>MISS</v>
      </c>
      <c r="I173" s="32">
        <v>7.0</v>
      </c>
      <c r="J173" s="34" t="str">
        <f t="shared" si="1"/>
        <v>South</v>
      </c>
      <c r="K173" s="35">
        <v>4.0</v>
      </c>
      <c r="L173" s="35" t="s">
        <v>102</v>
      </c>
      <c r="M173" s="36">
        <f>VLOOKUP(D173, County_Data_CZones!$B$2:$F$3236, 2, FALSE)</f>
        <v>3</v>
      </c>
      <c r="N173" s="37" t="str">
        <f>VLOOKUP(D173, County_Data_CZones!$B$2:$F$3236, 5, FALSE)</f>
        <v>Mixed-Humid</v>
      </c>
    </row>
    <row r="174" ht="15.75" customHeight="1">
      <c r="A174" s="32" t="s">
        <v>265</v>
      </c>
      <c r="B174" s="32" t="s">
        <v>220</v>
      </c>
      <c r="C174" s="32" t="str">
        <f>vlookup(B174,State_EMM_RowSums!$A$2:$B$52,2,FALSE)</f>
        <v>AR</v>
      </c>
      <c r="D174" s="32">
        <v>5123.0</v>
      </c>
      <c r="E174" s="33">
        <f>IF(NOT(ISBLANK(vlookup($D174,Pop_Census_2023!$A$2:$E$3220,4,FALSE))),vlookup($D174,Pop_Census_2023!$A$2:$E$3220,4,FALSE), vlookup($D174,Pop_Census_2023!$A$2:$E$3220,5,FALSE))</f>
        <v>22101</v>
      </c>
      <c r="F174" s="32">
        <v>83331.0</v>
      </c>
      <c r="G174" s="32">
        <v>85.0</v>
      </c>
      <c r="H174" s="32" t="str">
        <f>VLOOKUP(D174, Grid_Region_Mapping!$D$2:$F$5286, 3, FALSE)</f>
        <v>MISS</v>
      </c>
      <c r="I174" s="32">
        <v>7.0</v>
      </c>
      <c r="J174" s="34" t="str">
        <f t="shared" si="1"/>
        <v>South</v>
      </c>
      <c r="K174" s="35">
        <v>4.0</v>
      </c>
      <c r="L174" s="35" t="s">
        <v>102</v>
      </c>
      <c r="M174" s="36">
        <f>VLOOKUP(D174, County_Data_CZones!$B$2:$F$3236, 2, FALSE)</f>
        <v>3</v>
      </c>
      <c r="N174" s="37" t="str">
        <f>VLOOKUP(D174, County_Data_CZones!$B$2:$F$3236, 5, FALSE)</f>
        <v>Mixed-Humid</v>
      </c>
    </row>
    <row r="175" ht="15.75" customHeight="1">
      <c r="A175" s="32" t="s">
        <v>266</v>
      </c>
      <c r="B175" s="32" t="s">
        <v>220</v>
      </c>
      <c r="C175" s="32" t="str">
        <f>vlookup(B175,State_EMM_RowSums!$A$2:$B$52,2,FALSE)</f>
        <v>AR</v>
      </c>
      <c r="D175" s="32">
        <v>5125.0</v>
      </c>
      <c r="E175" s="33">
        <f>IF(NOT(ISBLANK(vlookup($D175,Pop_Census_2023!$A$2:$E$3220,4,FALSE))),vlookup($D175,Pop_Census_2023!$A$2:$E$3220,4,FALSE), vlookup($D175,Pop_Census_2023!$A$2:$E$3220,5,FALSE))</f>
        <v>129574</v>
      </c>
      <c r="F175" s="32">
        <v>67102.0</v>
      </c>
      <c r="G175" s="32">
        <v>85.0</v>
      </c>
      <c r="H175" s="32" t="str">
        <f>VLOOKUP(D175, Grid_Region_Mapping!$D$2:$F$5286, 3, FALSE)</f>
        <v>MISS</v>
      </c>
      <c r="I175" s="32">
        <v>7.0</v>
      </c>
      <c r="J175" s="34" t="str">
        <f t="shared" si="1"/>
        <v>South</v>
      </c>
      <c r="K175" s="35">
        <v>4.0</v>
      </c>
      <c r="L175" s="35" t="s">
        <v>102</v>
      </c>
      <c r="M175" s="36">
        <f>VLOOKUP(D175, County_Data_CZones!$B$2:$F$3236, 2, FALSE)</f>
        <v>3</v>
      </c>
      <c r="N175" s="37" t="str">
        <f>VLOOKUP(D175, County_Data_CZones!$B$2:$F$3236, 5, FALSE)</f>
        <v>Mixed-Humid</v>
      </c>
    </row>
    <row r="176" ht="15.75" customHeight="1">
      <c r="A176" s="32" t="s">
        <v>267</v>
      </c>
      <c r="B176" s="32" t="s">
        <v>220</v>
      </c>
      <c r="C176" s="32" t="str">
        <f>vlookup(B176,State_EMM_RowSums!$A$2:$B$52,2,FALSE)</f>
        <v>AR</v>
      </c>
      <c r="D176" s="32">
        <v>5127.0</v>
      </c>
      <c r="E176" s="33">
        <f>IF(NOT(ISBLANK(vlookup($D176,Pop_Census_2023!$A$2:$E$3220,4,FALSE))),vlookup($D176,Pop_Census_2023!$A$2:$E$3220,4,FALSE), vlookup($D176,Pop_Census_2023!$A$2:$E$3220,5,FALSE))</f>
        <v>9851</v>
      </c>
      <c r="F176" s="32">
        <v>69179.0</v>
      </c>
      <c r="G176" s="32">
        <v>56.0</v>
      </c>
      <c r="H176" s="32" t="str">
        <f>VLOOKUP(D176, Grid_Region_Mapping!$D$2:$F$5286, 3, FALSE)</f>
        <v>SPPS</v>
      </c>
      <c r="I176" s="32">
        <v>7.0</v>
      </c>
      <c r="J176" s="34" t="str">
        <f t="shared" si="1"/>
        <v>South</v>
      </c>
      <c r="K176" s="35">
        <v>4.0</v>
      </c>
      <c r="L176" s="35" t="s">
        <v>102</v>
      </c>
      <c r="M176" s="36">
        <f>VLOOKUP(D176, County_Data_CZones!$B$2:$F$3236, 2, FALSE)</f>
        <v>3</v>
      </c>
      <c r="N176" s="37" t="str">
        <f>VLOOKUP(D176, County_Data_CZones!$B$2:$F$3236, 5, FALSE)</f>
        <v>Mixed-Humid</v>
      </c>
    </row>
    <row r="177" ht="15.75" customHeight="1">
      <c r="A177" s="32" t="s">
        <v>268</v>
      </c>
      <c r="B177" s="32" t="s">
        <v>220</v>
      </c>
      <c r="C177" s="32" t="str">
        <f>vlookup(B177,State_EMM_RowSums!$A$2:$B$52,2,FALSE)</f>
        <v>AR</v>
      </c>
      <c r="D177" s="32">
        <v>5129.0</v>
      </c>
      <c r="E177" s="33">
        <f>IF(NOT(ISBLANK(vlookup($D177,Pop_Census_2023!$A$2:$E$3220,4,FALSE))),vlookup($D177,Pop_Census_2023!$A$2:$E$3220,4,FALSE), vlookup($D177,Pop_Census_2023!$A$2:$E$3220,5,FALSE))</f>
        <v>7806</v>
      </c>
      <c r="F177" s="32">
        <v>69180.0</v>
      </c>
      <c r="G177" s="32">
        <v>56.0</v>
      </c>
      <c r="H177" s="32" t="str">
        <f>VLOOKUP(D177, Grid_Region_Mapping!$D$2:$F$5286, 3, FALSE)</f>
        <v>MISS</v>
      </c>
      <c r="I177" s="32">
        <v>7.0</v>
      </c>
      <c r="J177" s="34" t="str">
        <f t="shared" si="1"/>
        <v>South</v>
      </c>
      <c r="K177" s="35">
        <v>3.0</v>
      </c>
      <c r="L177" s="35" t="s">
        <v>223</v>
      </c>
      <c r="M177" s="36">
        <f>VLOOKUP(D177, County_Data_CZones!$B$2:$F$3236, 2, FALSE)</f>
        <v>4</v>
      </c>
      <c r="N177" s="37" t="str">
        <f>VLOOKUP(D177, County_Data_CZones!$B$2:$F$3236, 5, FALSE)</f>
        <v>Mixed-Humid</v>
      </c>
    </row>
    <row r="178" ht="15.75" customHeight="1">
      <c r="A178" s="32" t="s">
        <v>269</v>
      </c>
      <c r="B178" s="32" t="s">
        <v>220</v>
      </c>
      <c r="C178" s="32" t="str">
        <f>vlookup(B178,State_EMM_RowSums!$A$2:$B$52,2,FALSE)</f>
        <v>AR</v>
      </c>
      <c r="D178" s="32">
        <v>5131.0</v>
      </c>
      <c r="E178" s="33">
        <f>IF(NOT(ISBLANK(vlookup($D178,Pop_Census_2023!$A$2:$E$3220,4,FALSE))),vlookup($D178,Pop_Census_2023!$A$2:$E$3220,4,FALSE), vlookup($D178,Pop_Census_2023!$A$2:$E$3220,5,FALSE))</f>
        <v>129098</v>
      </c>
      <c r="F178" s="32">
        <v>69181.0</v>
      </c>
      <c r="G178" s="32">
        <v>56.0</v>
      </c>
      <c r="H178" s="32" t="str">
        <f>VLOOKUP(D178, Grid_Region_Mapping!$D$2:$F$5286, 3, FALSE)</f>
        <v>SPPS</v>
      </c>
      <c r="I178" s="32">
        <v>7.0</v>
      </c>
      <c r="J178" s="34" t="str">
        <f t="shared" si="1"/>
        <v>South</v>
      </c>
      <c r="K178" s="35">
        <v>4.0</v>
      </c>
      <c r="L178" s="35" t="s">
        <v>102</v>
      </c>
      <c r="M178" s="36">
        <f>VLOOKUP(D178, County_Data_CZones!$B$2:$F$3236, 2, FALSE)</f>
        <v>3</v>
      </c>
      <c r="N178" s="37" t="str">
        <f>VLOOKUP(D178, County_Data_CZones!$B$2:$F$3236, 5, FALSE)</f>
        <v>Mixed-Humid</v>
      </c>
    </row>
    <row r="179" ht="15.75" customHeight="1">
      <c r="A179" s="32" t="s">
        <v>270</v>
      </c>
      <c r="B179" s="32" t="s">
        <v>220</v>
      </c>
      <c r="C179" s="32" t="str">
        <f>vlookup(B179,State_EMM_RowSums!$A$2:$B$52,2,FALSE)</f>
        <v>AR</v>
      </c>
      <c r="D179" s="32">
        <v>5133.0</v>
      </c>
      <c r="E179" s="33">
        <f>IF(NOT(ISBLANK(vlookup($D179,Pop_Census_2023!$A$2:$E$3220,4,FALSE))),vlookup($D179,Pop_Census_2023!$A$2:$E$3220,4,FALSE), vlookup($D179,Pop_Census_2023!$A$2:$E$3220,5,FALSE))</f>
        <v>15632</v>
      </c>
      <c r="F179" s="32">
        <v>69182.0</v>
      </c>
      <c r="G179" s="32">
        <v>85.0</v>
      </c>
      <c r="H179" s="32" t="str">
        <f>VLOOKUP(D179, Grid_Region_Mapping!$D$2:$F$5286, 3, FALSE)</f>
        <v>SPPS</v>
      </c>
      <c r="I179" s="32">
        <v>7.0</v>
      </c>
      <c r="J179" s="34" t="str">
        <f t="shared" si="1"/>
        <v>South</v>
      </c>
      <c r="K179" s="35">
        <v>4.0</v>
      </c>
      <c r="L179" s="35" t="s">
        <v>102</v>
      </c>
      <c r="M179" s="36">
        <f>VLOOKUP(D179, County_Data_CZones!$B$2:$F$3236, 2, FALSE)</f>
        <v>3</v>
      </c>
      <c r="N179" s="37" t="str">
        <f>VLOOKUP(D179, County_Data_CZones!$B$2:$F$3236, 5, FALSE)</f>
        <v>Mixed-Humid</v>
      </c>
    </row>
    <row r="180" ht="15.75" customHeight="1">
      <c r="A180" s="32" t="s">
        <v>271</v>
      </c>
      <c r="B180" s="32" t="s">
        <v>220</v>
      </c>
      <c r="C180" s="32" t="str">
        <f>vlookup(B180,State_EMM_RowSums!$A$2:$B$52,2,FALSE)</f>
        <v>AR</v>
      </c>
      <c r="D180" s="32">
        <v>5135.0</v>
      </c>
      <c r="E180" s="33">
        <f>IF(NOT(ISBLANK(vlookup($D180,Pop_Census_2023!$A$2:$E$3220,4,FALSE))),vlookup($D180,Pop_Census_2023!$A$2:$E$3220,4,FALSE), vlookup($D180,Pop_Census_2023!$A$2:$E$3220,5,FALSE))</f>
        <v>17968</v>
      </c>
      <c r="F180" s="32">
        <v>69183.0</v>
      </c>
      <c r="G180" s="32">
        <v>85.0</v>
      </c>
      <c r="H180" s="32" t="str">
        <f>VLOOKUP(D180, Grid_Region_Mapping!$D$2:$F$5286, 3, FALSE)</f>
        <v>MISS</v>
      </c>
      <c r="I180" s="32">
        <v>7.0</v>
      </c>
      <c r="J180" s="34" t="str">
        <f t="shared" si="1"/>
        <v>South</v>
      </c>
      <c r="K180" s="35">
        <v>4.0</v>
      </c>
      <c r="L180" s="35" t="s">
        <v>102</v>
      </c>
      <c r="M180" s="36">
        <f>VLOOKUP(D180, County_Data_CZones!$B$2:$F$3236, 2, FALSE)</f>
        <v>3</v>
      </c>
      <c r="N180" s="37" t="str">
        <f>VLOOKUP(D180, County_Data_CZones!$B$2:$F$3236, 5, FALSE)</f>
        <v>Mixed-Humid</v>
      </c>
    </row>
    <row r="181" ht="15.75" customHeight="1">
      <c r="A181" s="32" t="s">
        <v>272</v>
      </c>
      <c r="B181" s="32" t="s">
        <v>220</v>
      </c>
      <c r="C181" s="32" t="str">
        <f>vlookup(B181,State_EMM_RowSums!$A$2:$B$52,2,FALSE)</f>
        <v>AR</v>
      </c>
      <c r="D181" s="32">
        <v>5137.0</v>
      </c>
      <c r="E181" s="33">
        <f>IF(NOT(ISBLANK(vlookup($D181,Pop_Census_2023!$A$2:$E$3220,4,FALSE))),vlookup($D181,Pop_Census_2023!$A$2:$E$3220,4,FALSE), vlookup($D181,Pop_Census_2023!$A$2:$E$3220,5,FALSE))</f>
        <v>12671</v>
      </c>
      <c r="F181" s="32">
        <v>69902.0</v>
      </c>
      <c r="G181" s="32">
        <v>85.0</v>
      </c>
      <c r="H181" s="32" t="str">
        <f>VLOOKUP(D181, Grid_Region_Mapping!$D$2:$F$5286, 3, FALSE)</f>
        <v>MISS</v>
      </c>
      <c r="I181" s="32">
        <v>7.0</v>
      </c>
      <c r="J181" s="34" t="str">
        <f t="shared" si="1"/>
        <v>South</v>
      </c>
      <c r="K181" s="35">
        <v>3.0</v>
      </c>
      <c r="L181" s="35" t="s">
        <v>223</v>
      </c>
      <c r="M181" s="36">
        <f>VLOOKUP(D181, County_Data_CZones!$B$2:$F$3236, 2, FALSE)</f>
        <v>4</v>
      </c>
      <c r="N181" s="37" t="str">
        <f>VLOOKUP(D181, County_Data_CZones!$B$2:$F$3236, 5, FALSE)</f>
        <v>Mixed-Humid</v>
      </c>
    </row>
    <row r="182" ht="15.75" customHeight="1">
      <c r="A182" s="32" t="s">
        <v>273</v>
      </c>
      <c r="B182" s="32" t="s">
        <v>220</v>
      </c>
      <c r="C182" s="32" t="str">
        <f>vlookup(B182,State_EMM_RowSums!$A$2:$B$52,2,FALSE)</f>
        <v>AR</v>
      </c>
      <c r="D182" s="32">
        <v>5139.0</v>
      </c>
      <c r="E182" s="33">
        <f>IF(NOT(ISBLANK(vlookup($D182,Pop_Census_2023!$A$2:$E$3220,4,FALSE))),vlookup($D182,Pop_Census_2023!$A$2:$E$3220,4,FALSE), vlookup($D182,Pop_Census_2023!$A$2:$E$3220,5,FALSE))</f>
        <v>37397</v>
      </c>
      <c r="F182" s="32">
        <v>69903.0</v>
      </c>
      <c r="G182" s="32">
        <v>85.0</v>
      </c>
      <c r="H182" s="32" t="str">
        <f>VLOOKUP(D182, Grid_Region_Mapping!$D$2:$F$5286, 3, FALSE)</f>
        <v>MISS</v>
      </c>
      <c r="I182" s="32">
        <v>7.0</v>
      </c>
      <c r="J182" s="34" t="str">
        <f t="shared" si="1"/>
        <v>South</v>
      </c>
      <c r="K182" s="35">
        <v>5.0</v>
      </c>
      <c r="L182" s="35" t="s">
        <v>102</v>
      </c>
      <c r="M182" s="36">
        <f>VLOOKUP(D182, County_Data_CZones!$B$2:$F$3236, 2, FALSE)</f>
        <v>3</v>
      </c>
      <c r="N182" s="37" t="str">
        <f>VLOOKUP(D182, County_Data_CZones!$B$2:$F$3236, 5, FALSE)</f>
        <v>Hot-Humid</v>
      </c>
    </row>
    <row r="183" ht="15.75" customHeight="1">
      <c r="A183" s="32" t="s">
        <v>274</v>
      </c>
      <c r="B183" s="32" t="s">
        <v>220</v>
      </c>
      <c r="C183" s="32" t="str">
        <f>vlookup(B183,State_EMM_RowSums!$A$2:$B$52,2,FALSE)</f>
        <v>AR</v>
      </c>
      <c r="D183" s="32">
        <v>5141.0</v>
      </c>
      <c r="E183" s="33">
        <f>IF(NOT(ISBLANK(vlookup($D183,Pop_Census_2023!$A$2:$E$3220,4,FALSE))),vlookup($D183,Pop_Census_2023!$A$2:$E$3220,4,FALSE), vlookup($D183,Pop_Census_2023!$A$2:$E$3220,5,FALSE))</f>
        <v>16142</v>
      </c>
      <c r="F183" s="32">
        <v>69904.0</v>
      </c>
      <c r="G183" s="32">
        <v>56.0</v>
      </c>
      <c r="H183" s="32" t="str">
        <f>VLOOKUP(D183, Grid_Region_Mapping!$D$2:$F$5286, 3, FALSE)</f>
        <v>MISS</v>
      </c>
      <c r="I183" s="32">
        <v>7.0</v>
      </c>
      <c r="J183" s="34" t="str">
        <f t="shared" si="1"/>
        <v>South</v>
      </c>
      <c r="K183" s="35">
        <v>4.0</v>
      </c>
      <c r="L183" s="35" t="s">
        <v>102</v>
      </c>
      <c r="M183" s="36">
        <f>VLOOKUP(D183, County_Data_CZones!$B$2:$F$3236, 2, FALSE)</f>
        <v>3</v>
      </c>
      <c r="N183" s="37" t="str">
        <f>VLOOKUP(D183, County_Data_CZones!$B$2:$F$3236, 5, FALSE)</f>
        <v>Mixed-Humid</v>
      </c>
    </row>
    <row r="184" ht="15.75" customHeight="1">
      <c r="A184" s="32" t="s">
        <v>167</v>
      </c>
      <c r="B184" s="32" t="s">
        <v>220</v>
      </c>
      <c r="C184" s="32" t="str">
        <f>vlookup(B184,State_EMM_RowSums!$A$2:$B$52,2,FALSE)</f>
        <v>AR</v>
      </c>
      <c r="D184" s="32">
        <v>5143.0</v>
      </c>
      <c r="E184" s="33">
        <f>IF(NOT(ISBLANK(vlookup($D184,Pop_Census_2023!$A$2:$E$3220,4,FALSE))),vlookup($D184,Pop_Census_2023!$A$2:$E$3220,4,FALSE), vlookup($D184,Pop_Census_2023!$A$2:$E$3220,5,FALSE))</f>
        <v>261549</v>
      </c>
      <c r="F184" s="32">
        <v>69905.0</v>
      </c>
      <c r="G184" s="32">
        <v>56.0</v>
      </c>
      <c r="H184" s="32" t="str">
        <f>VLOOKUP(D184, Grid_Region_Mapping!$D$2:$F$5286, 3, FALSE)</f>
        <v>SPPS</v>
      </c>
      <c r="I184" s="32">
        <v>7.0</v>
      </c>
      <c r="J184" s="34" t="str">
        <f t="shared" si="1"/>
        <v>South</v>
      </c>
      <c r="K184" s="35">
        <v>3.0</v>
      </c>
      <c r="L184" s="35" t="s">
        <v>223</v>
      </c>
      <c r="M184" s="36">
        <f>VLOOKUP(D184, County_Data_CZones!$B$2:$F$3236, 2, FALSE)</f>
        <v>4</v>
      </c>
      <c r="N184" s="37" t="str">
        <f>VLOOKUP(D184, County_Data_CZones!$B$2:$F$3236, 5, FALSE)</f>
        <v>Mixed-Humid</v>
      </c>
    </row>
    <row r="185" ht="15.75" customHeight="1">
      <c r="A185" s="32" t="s">
        <v>275</v>
      </c>
      <c r="B185" s="32" t="s">
        <v>220</v>
      </c>
      <c r="C185" s="32" t="str">
        <f>vlookup(B185,State_EMM_RowSums!$A$2:$B$52,2,FALSE)</f>
        <v>AR</v>
      </c>
      <c r="D185" s="32">
        <v>5145.0</v>
      </c>
      <c r="E185" s="33">
        <f>IF(NOT(ISBLANK(vlookup($D185,Pop_Census_2023!$A$2:$E$3220,4,FALSE))),vlookup($D185,Pop_Census_2023!$A$2:$E$3220,4,FALSE), vlookup($D185,Pop_Census_2023!$A$2:$E$3220,5,FALSE))</f>
        <v>78452</v>
      </c>
      <c r="F185" s="32">
        <v>69906.0</v>
      </c>
      <c r="G185" s="32">
        <v>85.0</v>
      </c>
      <c r="H185" s="32" t="str">
        <f>VLOOKUP(D185, Grid_Region_Mapping!$D$2:$F$5286, 3, FALSE)</f>
        <v>MISS</v>
      </c>
      <c r="I185" s="32">
        <v>7.0</v>
      </c>
      <c r="J185" s="34" t="str">
        <f t="shared" si="1"/>
        <v>South</v>
      </c>
      <c r="K185" s="35">
        <v>4.0</v>
      </c>
      <c r="L185" s="35" t="s">
        <v>102</v>
      </c>
      <c r="M185" s="36">
        <f>VLOOKUP(D185, County_Data_CZones!$B$2:$F$3236, 2, FALSE)</f>
        <v>3</v>
      </c>
      <c r="N185" s="37" t="str">
        <f>VLOOKUP(D185, County_Data_CZones!$B$2:$F$3236, 5, FALSE)</f>
        <v>Mixed-Humid</v>
      </c>
    </row>
    <row r="186" ht="15.75" customHeight="1">
      <c r="A186" s="32" t="s">
        <v>276</v>
      </c>
      <c r="B186" s="32" t="s">
        <v>220</v>
      </c>
      <c r="C186" s="32" t="str">
        <f>vlookup(B186,State_EMM_RowSums!$A$2:$B$52,2,FALSE)</f>
        <v>AR</v>
      </c>
      <c r="D186" s="32">
        <v>5147.0</v>
      </c>
      <c r="E186" s="33">
        <f>IF(NOT(ISBLANK(vlookup($D186,Pop_Census_2023!$A$2:$E$3220,4,FALSE))),vlookup($D186,Pop_Census_2023!$A$2:$E$3220,4,FALSE), vlookup($D186,Pop_Census_2023!$A$2:$E$3220,5,FALSE))</f>
        <v>5964</v>
      </c>
      <c r="F186" s="32">
        <v>69907.0</v>
      </c>
      <c r="G186" s="32">
        <v>85.0</v>
      </c>
      <c r="H186" s="32" t="str">
        <f>VLOOKUP(D186, Grid_Region_Mapping!$D$2:$F$5286, 3, FALSE)</f>
        <v>MISS</v>
      </c>
      <c r="I186" s="32">
        <v>7.0</v>
      </c>
      <c r="J186" s="34" t="str">
        <f t="shared" si="1"/>
        <v>South</v>
      </c>
      <c r="K186" s="35">
        <v>4.0</v>
      </c>
      <c r="L186" s="35" t="s">
        <v>102</v>
      </c>
      <c r="M186" s="36">
        <f>VLOOKUP(D186, County_Data_CZones!$B$2:$F$3236, 2, FALSE)</f>
        <v>3</v>
      </c>
      <c r="N186" s="37" t="str">
        <f>VLOOKUP(D186, County_Data_CZones!$B$2:$F$3236, 5, FALSE)</f>
        <v>Mixed-Humid</v>
      </c>
    </row>
    <row r="187" ht="15.75" customHeight="1">
      <c r="A187" s="32" t="s">
        <v>277</v>
      </c>
      <c r="B187" s="32" t="s">
        <v>220</v>
      </c>
      <c r="C187" s="32" t="str">
        <f>vlookup(B187,State_EMM_RowSums!$A$2:$B$52,2,FALSE)</f>
        <v>AR</v>
      </c>
      <c r="D187" s="32">
        <v>5149.0</v>
      </c>
      <c r="E187" s="33">
        <f>IF(NOT(ISBLANK(vlookup($D187,Pop_Census_2023!$A$2:$E$3220,4,FALSE))),vlookup($D187,Pop_Census_2023!$A$2:$E$3220,4,FALSE), vlookup($D187,Pop_Census_2023!$A$2:$E$3220,5,FALSE))</f>
        <v>20044</v>
      </c>
      <c r="F187" s="32">
        <v>69908.0</v>
      </c>
      <c r="G187" s="32">
        <v>85.0</v>
      </c>
      <c r="H187" s="32" t="str">
        <f>VLOOKUP(D187, Grid_Region_Mapping!$D$2:$F$5286, 3, FALSE)</f>
        <v>SPPS</v>
      </c>
      <c r="I187" s="32">
        <v>7.0</v>
      </c>
      <c r="J187" s="34" t="str">
        <f t="shared" si="1"/>
        <v>South</v>
      </c>
      <c r="K187" s="35">
        <v>4.0</v>
      </c>
      <c r="L187" s="35" t="s">
        <v>102</v>
      </c>
      <c r="M187" s="36">
        <f>VLOOKUP(D187, County_Data_CZones!$B$2:$F$3236, 2, FALSE)</f>
        <v>3</v>
      </c>
      <c r="N187" s="37" t="str">
        <f>VLOOKUP(D187, County_Data_CZones!$B$2:$F$3236, 5, FALSE)</f>
        <v>Mixed-Humid</v>
      </c>
    </row>
    <row r="188" ht="15.75" customHeight="1">
      <c r="A188" s="32" t="s">
        <v>278</v>
      </c>
      <c r="B188" s="32" t="s">
        <v>279</v>
      </c>
      <c r="C188" s="32" t="str">
        <f>vlookup(B188,State_EMM_RowSums!$A$2:$B$52,2,FALSE)</f>
        <v>CA</v>
      </c>
      <c r="D188" s="32">
        <v>6001.0</v>
      </c>
      <c r="E188" s="33">
        <f>IF(NOT(ISBLANK(vlookup($D188,Pop_Census_2023!$A$2:$E$3220,4,FALSE))),vlookup($D188,Pop_Census_2023!$A$2:$E$3220,4,FALSE), vlookup($D188,Pop_Census_2023!$A$2:$E$3220,5,FALSE))</f>
        <v>1622188</v>
      </c>
      <c r="F188" s="32">
        <v>1675839.0</v>
      </c>
      <c r="G188" s="32">
        <v>9.0</v>
      </c>
      <c r="H188" s="32" t="str">
        <f>VLOOKUP(D188, Grid_Region_Mapping!$D$2:$F$5286, 3, FALSE)</f>
        <v>CANO</v>
      </c>
      <c r="I188" s="32">
        <v>9.0</v>
      </c>
      <c r="J188" s="34" t="str">
        <f t="shared" si="1"/>
        <v>West</v>
      </c>
      <c r="K188" s="35">
        <v>4.0</v>
      </c>
      <c r="L188" s="35" t="s">
        <v>280</v>
      </c>
      <c r="M188" s="36">
        <f>VLOOKUP(D188, County_Data_CZones!$B$2:$F$3236, 2, FALSE)</f>
        <v>3</v>
      </c>
      <c r="N188" s="37" t="str">
        <f>VLOOKUP(D188, County_Data_CZones!$B$2:$F$3236, 5, FALSE)</f>
        <v>Marine</v>
      </c>
    </row>
    <row r="189" ht="15.75" customHeight="1">
      <c r="A189" s="32" t="s">
        <v>281</v>
      </c>
      <c r="B189" s="32" t="s">
        <v>279</v>
      </c>
      <c r="C189" s="32" t="str">
        <f>vlookup(B189,State_EMM_RowSums!$A$2:$B$52,2,FALSE)</f>
        <v>CA</v>
      </c>
      <c r="D189" s="32">
        <v>6003.0</v>
      </c>
      <c r="E189" s="33">
        <f>IF(NOT(ISBLANK(vlookup($D189,Pop_Census_2023!$A$2:$E$3220,4,FALSE))),vlookup($D189,Pop_Census_2023!$A$2:$E$3220,4,FALSE), vlookup($D189,Pop_Census_2023!$A$2:$E$3220,5,FALSE))</f>
        <v>1141</v>
      </c>
      <c r="F189" s="32">
        <v>1675840.0</v>
      </c>
      <c r="G189" s="32">
        <v>9.0</v>
      </c>
      <c r="H189" s="32" t="str">
        <f>VLOOKUP(D189, Grid_Region_Mapping!$D$2:$F$5286, 3, FALSE)</f>
        <v>CANO</v>
      </c>
      <c r="I189" s="32">
        <v>9.0</v>
      </c>
      <c r="J189" s="34" t="str">
        <f t="shared" si="1"/>
        <v>West</v>
      </c>
      <c r="K189" s="35">
        <v>1.0</v>
      </c>
      <c r="L189" s="35" t="s">
        <v>282</v>
      </c>
      <c r="M189" s="36">
        <f>VLOOKUP(D189, County_Data_CZones!$B$2:$F$3236, 2, FALSE)</f>
        <v>6</v>
      </c>
      <c r="N189" s="37" t="str">
        <f>VLOOKUP(D189, County_Data_CZones!$B$2:$F$3236, 5, FALSE)</f>
        <v>Cold</v>
      </c>
    </row>
    <row r="190" ht="15.75" customHeight="1">
      <c r="A190" s="32" t="s">
        <v>283</v>
      </c>
      <c r="B190" s="32" t="s">
        <v>279</v>
      </c>
      <c r="C190" s="32" t="str">
        <f>vlookup(B190,State_EMM_RowSums!$A$2:$B$52,2,FALSE)</f>
        <v>CA</v>
      </c>
      <c r="D190" s="32">
        <v>6005.0</v>
      </c>
      <c r="E190" s="33">
        <f>IF(NOT(ISBLANK(vlookup($D190,Pop_Census_2023!$A$2:$E$3220,4,FALSE))),vlookup($D190,Pop_Census_2023!$A$2:$E$3220,4,FALSE), vlookup($D190,Pop_Census_2023!$A$2:$E$3220,5,FALSE))</f>
        <v>41811</v>
      </c>
      <c r="F190" s="32">
        <v>1675841.0</v>
      </c>
      <c r="G190" s="32">
        <v>9.0</v>
      </c>
      <c r="H190" s="32" t="str">
        <f>VLOOKUP(D190, Grid_Region_Mapping!$D$2:$F$5286, 3, FALSE)</f>
        <v>CANO</v>
      </c>
      <c r="I190" s="32">
        <v>9.0</v>
      </c>
      <c r="J190" s="34" t="str">
        <f t="shared" si="1"/>
        <v>West</v>
      </c>
      <c r="K190" s="35">
        <v>4.0</v>
      </c>
      <c r="L190" s="35" t="s">
        <v>207</v>
      </c>
      <c r="M190" s="36">
        <f>VLOOKUP(D190, County_Data_CZones!$B$2:$F$3236, 2, FALSE)</f>
        <v>4</v>
      </c>
      <c r="N190" s="37" t="str">
        <f>VLOOKUP(D190, County_Data_CZones!$B$2:$F$3236, 5, FALSE)</f>
        <v>Mixed-Dry</v>
      </c>
    </row>
    <row r="191" ht="15.75" customHeight="1">
      <c r="A191" s="32" t="s">
        <v>284</v>
      </c>
      <c r="B191" s="32" t="s">
        <v>279</v>
      </c>
      <c r="C191" s="32" t="str">
        <f>vlookup(B191,State_EMM_RowSums!$A$2:$B$52,2,FALSE)</f>
        <v>CA</v>
      </c>
      <c r="D191" s="32">
        <v>6007.0</v>
      </c>
      <c r="E191" s="33">
        <f>IF(NOT(ISBLANK(vlookup($D191,Pop_Census_2023!$A$2:$E$3220,4,FALSE))),vlookup($D191,Pop_Census_2023!$A$2:$E$3220,4,FALSE), vlookup($D191,Pop_Census_2023!$A$2:$E$3220,5,FALSE))</f>
        <v>207172</v>
      </c>
      <c r="F191" s="32">
        <v>1675842.0</v>
      </c>
      <c r="G191" s="32">
        <v>9.0</v>
      </c>
      <c r="H191" s="32" t="str">
        <f>VLOOKUP(D191, Grid_Region_Mapping!$D$2:$F$5286, 3, FALSE)</f>
        <v>CANO</v>
      </c>
      <c r="I191" s="32">
        <v>9.0</v>
      </c>
      <c r="J191" s="34" t="str">
        <f t="shared" si="1"/>
        <v>West</v>
      </c>
      <c r="K191" s="35">
        <v>4.0</v>
      </c>
      <c r="L191" s="35" t="s">
        <v>204</v>
      </c>
      <c r="M191" s="36">
        <f>VLOOKUP(D191, County_Data_CZones!$B$2:$F$3236, 2, FALSE)</f>
        <v>3</v>
      </c>
      <c r="N191" s="37" t="str">
        <f>VLOOKUP(D191, County_Data_CZones!$B$2:$F$3236, 5, FALSE)</f>
        <v>Hot-Dry</v>
      </c>
    </row>
    <row r="192" ht="15.75" customHeight="1">
      <c r="A192" s="32" t="s">
        <v>285</v>
      </c>
      <c r="B192" s="32" t="s">
        <v>279</v>
      </c>
      <c r="C192" s="32" t="str">
        <f>vlookup(B192,State_EMM_RowSums!$A$2:$B$52,2,FALSE)</f>
        <v>CA</v>
      </c>
      <c r="D192" s="32">
        <v>6009.0</v>
      </c>
      <c r="E192" s="33">
        <f>IF(NOT(ISBLANK(vlookup($D192,Pop_Census_2023!$A$2:$E$3220,4,FALSE))),vlookup($D192,Pop_Census_2023!$A$2:$E$3220,4,FALSE), vlookup($D192,Pop_Census_2023!$A$2:$E$3220,5,FALSE))</f>
        <v>46565</v>
      </c>
      <c r="F192" s="32">
        <v>1675885.0</v>
      </c>
      <c r="G192" s="32">
        <v>9.0</v>
      </c>
      <c r="H192" s="32" t="str">
        <f>VLOOKUP(D192, Grid_Region_Mapping!$D$2:$F$5286, 3, FALSE)</f>
        <v>CANO</v>
      </c>
      <c r="I192" s="32">
        <v>9.0</v>
      </c>
      <c r="J192" s="34" t="str">
        <f t="shared" si="1"/>
        <v>West</v>
      </c>
      <c r="K192" s="35">
        <v>4.0</v>
      </c>
      <c r="L192" s="35" t="s">
        <v>207</v>
      </c>
      <c r="M192" s="36">
        <f>VLOOKUP(D192, County_Data_CZones!$B$2:$F$3236, 2, FALSE)</f>
        <v>4</v>
      </c>
      <c r="N192" s="37" t="str">
        <f>VLOOKUP(D192, County_Data_CZones!$B$2:$F$3236, 5, FALSE)</f>
        <v>Mixed-Dry</v>
      </c>
    </row>
    <row r="193" ht="15.75" customHeight="1">
      <c r="A193" s="32" t="s">
        <v>286</v>
      </c>
      <c r="B193" s="32" t="s">
        <v>279</v>
      </c>
      <c r="C193" s="32" t="str">
        <f>vlookup(B193,State_EMM_RowSums!$A$2:$B$52,2,FALSE)</f>
        <v>CA</v>
      </c>
      <c r="D193" s="32">
        <v>6011.0</v>
      </c>
      <c r="E193" s="33">
        <f>IF(NOT(ISBLANK(vlookup($D193,Pop_Census_2023!$A$2:$E$3220,4,FALSE))),vlookup($D193,Pop_Census_2023!$A$2:$E$3220,4,FALSE), vlookup($D193,Pop_Census_2023!$A$2:$E$3220,5,FALSE))</f>
        <v>22037</v>
      </c>
      <c r="F193" s="32">
        <v>1675902.0</v>
      </c>
      <c r="G193" s="32">
        <v>9.0</v>
      </c>
      <c r="H193" s="32" t="str">
        <f>VLOOKUP(D193, Grid_Region_Mapping!$D$2:$F$5286, 3, FALSE)</f>
        <v>CANO</v>
      </c>
      <c r="I193" s="32">
        <v>9.0</v>
      </c>
      <c r="J193" s="34" t="str">
        <f t="shared" si="1"/>
        <v>West</v>
      </c>
      <c r="K193" s="35">
        <v>4.0</v>
      </c>
      <c r="L193" s="35" t="s">
        <v>204</v>
      </c>
      <c r="M193" s="36">
        <f>VLOOKUP(D193, County_Data_CZones!$B$2:$F$3236, 2, FALSE)</f>
        <v>3</v>
      </c>
      <c r="N193" s="37" t="str">
        <f>VLOOKUP(D193, County_Data_CZones!$B$2:$F$3236, 5, FALSE)</f>
        <v>Hot-Dry</v>
      </c>
    </row>
    <row r="194" ht="15.75" customHeight="1">
      <c r="A194" s="32" t="s">
        <v>287</v>
      </c>
      <c r="B194" s="32" t="s">
        <v>279</v>
      </c>
      <c r="C194" s="32" t="str">
        <f>vlookup(B194,State_EMM_RowSums!$A$2:$B$52,2,FALSE)</f>
        <v>CA</v>
      </c>
      <c r="D194" s="32">
        <v>6013.0</v>
      </c>
      <c r="E194" s="33">
        <f>IF(NOT(ISBLANK(vlookup($D194,Pop_Census_2023!$A$2:$E$3220,4,FALSE))),vlookup($D194,Pop_Census_2023!$A$2:$E$3220,4,FALSE), vlookup($D194,Pop_Census_2023!$A$2:$E$3220,5,FALSE))</f>
        <v>1155025</v>
      </c>
      <c r="F194" s="32">
        <v>1675903.0</v>
      </c>
      <c r="G194" s="32">
        <v>9.0</v>
      </c>
      <c r="H194" s="32" t="str">
        <f>VLOOKUP(D194, Grid_Region_Mapping!$D$2:$F$5286, 3, FALSE)</f>
        <v>CANO</v>
      </c>
      <c r="I194" s="32">
        <v>9.0</v>
      </c>
      <c r="J194" s="34" t="str">
        <f t="shared" si="1"/>
        <v>West</v>
      </c>
      <c r="K194" s="35">
        <v>4.0</v>
      </c>
      <c r="L194" s="35" t="s">
        <v>204</v>
      </c>
      <c r="M194" s="36">
        <f>VLOOKUP(D194, County_Data_CZones!$B$2:$F$3236, 2, FALSE)</f>
        <v>3</v>
      </c>
      <c r="N194" s="37" t="str">
        <f>VLOOKUP(D194, County_Data_CZones!$B$2:$F$3236, 5, FALSE)</f>
        <v>Hot-Dry</v>
      </c>
    </row>
    <row r="195" ht="15.75" customHeight="1">
      <c r="A195" s="32" t="s">
        <v>288</v>
      </c>
      <c r="B195" s="32" t="s">
        <v>279</v>
      </c>
      <c r="C195" s="32" t="str">
        <f>vlookup(B195,State_EMM_RowSums!$A$2:$B$52,2,FALSE)</f>
        <v>CA</v>
      </c>
      <c r="D195" s="32">
        <v>6015.0</v>
      </c>
      <c r="E195" s="33">
        <f>IF(NOT(ISBLANK(vlookup($D195,Pop_Census_2023!$A$2:$E$3220,4,FALSE))),vlookup($D195,Pop_Census_2023!$A$2:$E$3220,4,FALSE), vlookup($D195,Pop_Census_2023!$A$2:$E$3220,5,FALSE))</f>
        <v>26589</v>
      </c>
      <c r="F195" s="32">
        <v>1682074.0</v>
      </c>
      <c r="G195" s="32">
        <v>9.0</v>
      </c>
      <c r="H195" s="32" t="str">
        <f>VLOOKUP(D195, Grid_Region_Mapping!$D$2:$F$5286, 3, FALSE)</f>
        <v>NWPP</v>
      </c>
      <c r="I195" s="32">
        <v>9.0</v>
      </c>
      <c r="J195" s="34" t="str">
        <f t="shared" si="1"/>
        <v>West</v>
      </c>
      <c r="K195" s="35">
        <v>3.0</v>
      </c>
      <c r="L195" s="35" t="s">
        <v>289</v>
      </c>
      <c r="M195" s="36">
        <f>VLOOKUP(D195, County_Data_CZones!$B$2:$F$3236, 2, FALSE)</f>
        <v>4</v>
      </c>
      <c r="N195" s="37" t="str">
        <f>VLOOKUP(D195, County_Data_CZones!$B$2:$F$3236, 5, FALSE)</f>
        <v>Marine</v>
      </c>
    </row>
    <row r="196" ht="15.75" customHeight="1">
      <c r="A196" s="32" t="s">
        <v>290</v>
      </c>
      <c r="B196" s="32" t="s">
        <v>279</v>
      </c>
      <c r="C196" s="32" t="str">
        <f>vlookup(B196,State_EMM_RowSums!$A$2:$B$52,2,FALSE)</f>
        <v>CA</v>
      </c>
      <c r="D196" s="32">
        <v>6017.0</v>
      </c>
      <c r="E196" s="33">
        <f>IF(NOT(ISBLANK(vlookup($D196,Pop_Census_2023!$A$2:$E$3220,4,FALSE))),vlookup($D196,Pop_Census_2023!$A$2:$E$3220,4,FALSE), vlookup($D196,Pop_Census_2023!$A$2:$E$3220,5,FALSE))</f>
        <v>192215</v>
      </c>
      <c r="F196" s="32">
        <v>277273.0</v>
      </c>
      <c r="G196" s="32">
        <v>9.0</v>
      </c>
      <c r="H196" s="32" t="str">
        <f>VLOOKUP(D196, Grid_Region_Mapping!$D$2:$F$5286, 3, FALSE)</f>
        <v>CANO</v>
      </c>
      <c r="I196" s="32">
        <v>9.0</v>
      </c>
      <c r="J196" s="34" t="str">
        <f t="shared" si="1"/>
        <v>West</v>
      </c>
      <c r="K196" s="35">
        <v>4.0</v>
      </c>
      <c r="L196" s="35" t="s">
        <v>207</v>
      </c>
      <c r="M196" s="36">
        <f>VLOOKUP(D196, County_Data_CZones!$B$2:$F$3236, 2, FALSE)</f>
        <v>4</v>
      </c>
      <c r="N196" s="37" t="str">
        <f>VLOOKUP(D196, County_Data_CZones!$B$2:$F$3236, 5, FALSE)</f>
        <v>Mixed-Dry</v>
      </c>
    </row>
    <row r="197" ht="15.75" customHeight="1">
      <c r="A197" s="32" t="s">
        <v>291</v>
      </c>
      <c r="B197" s="32" t="s">
        <v>279</v>
      </c>
      <c r="C197" s="32" t="str">
        <f>vlookup(B197,State_EMM_RowSums!$A$2:$B$52,2,FALSE)</f>
        <v>CA</v>
      </c>
      <c r="D197" s="32">
        <v>6019.0</v>
      </c>
      <c r="E197" s="33">
        <f>IF(NOT(ISBLANK(vlookup($D197,Pop_Census_2023!$A$2:$E$3220,4,FALSE))),vlookup($D197,Pop_Census_2023!$A$2:$E$3220,4,FALSE), vlookup($D197,Pop_Census_2023!$A$2:$E$3220,5,FALSE))</f>
        <v>1017162</v>
      </c>
      <c r="F197" s="32">
        <v>277274.0</v>
      </c>
      <c r="G197" s="32">
        <v>9.0</v>
      </c>
      <c r="H197" s="32" t="str">
        <f>VLOOKUP(D197, Grid_Region_Mapping!$D$2:$F$5286, 3, FALSE)</f>
        <v>CANO</v>
      </c>
      <c r="I197" s="32">
        <v>9.0</v>
      </c>
      <c r="J197" s="34" t="str">
        <f t="shared" si="1"/>
        <v>West</v>
      </c>
      <c r="K197" s="35">
        <v>4.0</v>
      </c>
      <c r="L197" s="35" t="s">
        <v>204</v>
      </c>
      <c r="M197" s="36">
        <f>VLOOKUP(D197, County_Data_CZones!$B$2:$F$3236, 2, FALSE)</f>
        <v>3</v>
      </c>
      <c r="N197" s="37" t="str">
        <f>VLOOKUP(D197, County_Data_CZones!$B$2:$F$3236, 5, FALSE)</f>
        <v>Hot-Dry</v>
      </c>
    </row>
    <row r="198" ht="15.75" customHeight="1">
      <c r="A198" s="32" t="s">
        <v>292</v>
      </c>
      <c r="B198" s="32" t="s">
        <v>279</v>
      </c>
      <c r="C198" s="32" t="str">
        <f>vlookup(B198,State_EMM_RowSums!$A$2:$B$52,2,FALSE)</f>
        <v>CA</v>
      </c>
      <c r="D198" s="32">
        <v>6021.0</v>
      </c>
      <c r="E198" s="33">
        <f>IF(NOT(ISBLANK(vlookup($D198,Pop_Census_2023!$A$2:$E$3220,4,FALSE))),vlookup($D198,Pop_Census_2023!$A$2:$E$3220,4,FALSE), vlookup($D198,Pop_Census_2023!$A$2:$E$3220,5,FALSE))</f>
        <v>28129</v>
      </c>
      <c r="F198" s="32">
        <v>277275.0</v>
      </c>
      <c r="G198" s="32">
        <v>9.0</v>
      </c>
      <c r="H198" s="32" t="str">
        <f>VLOOKUP(D198, Grid_Region_Mapping!$D$2:$F$5286, 3, FALSE)</f>
        <v>CANO</v>
      </c>
      <c r="I198" s="32">
        <v>9.0</v>
      </c>
      <c r="J198" s="34" t="str">
        <f t="shared" si="1"/>
        <v>West</v>
      </c>
      <c r="K198" s="35">
        <v>4.0</v>
      </c>
      <c r="L198" s="35" t="s">
        <v>204</v>
      </c>
      <c r="M198" s="36">
        <f>VLOOKUP(D198, County_Data_CZones!$B$2:$F$3236, 2, FALSE)</f>
        <v>3</v>
      </c>
      <c r="N198" s="37" t="str">
        <f>VLOOKUP(D198, County_Data_CZones!$B$2:$F$3236, 5, FALSE)</f>
        <v>Hot-Dry</v>
      </c>
    </row>
    <row r="199" ht="15.75" customHeight="1">
      <c r="A199" s="32" t="s">
        <v>293</v>
      </c>
      <c r="B199" s="32" t="s">
        <v>279</v>
      </c>
      <c r="C199" s="32" t="str">
        <f>vlookup(B199,State_EMM_RowSums!$A$2:$B$52,2,FALSE)</f>
        <v>CA</v>
      </c>
      <c r="D199" s="32">
        <v>6023.0</v>
      </c>
      <c r="E199" s="33">
        <f>IF(NOT(ISBLANK(vlookup($D199,Pop_Census_2023!$A$2:$E$3220,4,FALSE))),vlookup($D199,Pop_Census_2023!$A$2:$E$3220,4,FALSE), vlookup($D199,Pop_Census_2023!$A$2:$E$3220,5,FALSE))</f>
        <v>133985</v>
      </c>
      <c r="F199" s="32">
        <v>1681908.0</v>
      </c>
      <c r="G199" s="32">
        <v>9.0</v>
      </c>
      <c r="H199" s="32" t="str">
        <f>VLOOKUP(D199, Grid_Region_Mapping!$D$2:$F$5286, 3, FALSE)</f>
        <v>CANO</v>
      </c>
      <c r="I199" s="32">
        <v>9.0</v>
      </c>
      <c r="J199" s="34" t="str">
        <f t="shared" si="1"/>
        <v>West</v>
      </c>
      <c r="K199" s="35">
        <v>3.0</v>
      </c>
      <c r="L199" s="35" t="s">
        <v>289</v>
      </c>
      <c r="M199" s="36">
        <f>VLOOKUP(D199, County_Data_CZones!$B$2:$F$3236, 2, FALSE)</f>
        <v>4</v>
      </c>
      <c r="N199" s="37" t="str">
        <f>VLOOKUP(D199, County_Data_CZones!$B$2:$F$3236, 5, FALSE)</f>
        <v>Marine</v>
      </c>
    </row>
    <row r="200" ht="15.75" customHeight="1">
      <c r="A200" s="32" t="s">
        <v>294</v>
      </c>
      <c r="B200" s="32" t="s">
        <v>279</v>
      </c>
      <c r="C200" s="32" t="str">
        <f>vlookup(B200,State_EMM_RowSums!$A$2:$B$52,2,FALSE)</f>
        <v>CA</v>
      </c>
      <c r="D200" s="32">
        <v>6025.0</v>
      </c>
      <c r="E200" s="33">
        <f>IF(NOT(ISBLANK(vlookup($D200,Pop_Census_2023!$A$2:$E$3220,4,FALSE))),vlookup($D200,Pop_Census_2023!$A$2:$E$3220,4,FALSE), vlookup($D200,Pop_Census_2023!$A$2:$E$3220,5,FALSE))</f>
        <v>179057</v>
      </c>
      <c r="F200" s="32">
        <v>277277.0</v>
      </c>
      <c r="G200" s="32">
        <v>10.0</v>
      </c>
      <c r="H200" s="32" t="str">
        <f>VLOOKUP(D200, Grid_Region_Mapping!$D$2:$F$5286, 3, FALSE)</f>
        <v>SRSG</v>
      </c>
      <c r="I200" s="32">
        <v>9.0</v>
      </c>
      <c r="J200" s="34" t="str">
        <f t="shared" si="1"/>
        <v>West</v>
      </c>
      <c r="K200" s="35">
        <v>5.0</v>
      </c>
      <c r="L200" s="35" t="s">
        <v>211</v>
      </c>
      <c r="M200" s="36">
        <f>VLOOKUP(D200, County_Data_CZones!$B$2:$F$3236, 2, FALSE)</f>
        <v>2</v>
      </c>
      <c r="N200" s="37" t="str">
        <f>VLOOKUP(D200, County_Data_CZones!$B$2:$F$3236, 5, FALSE)</f>
        <v>Hot-Dry</v>
      </c>
    </row>
    <row r="201" ht="15.75" customHeight="1">
      <c r="A201" s="32" t="s">
        <v>295</v>
      </c>
      <c r="B201" s="32" t="s">
        <v>279</v>
      </c>
      <c r="C201" s="32" t="str">
        <f>vlookup(B201,State_EMM_RowSums!$A$2:$B$52,2,FALSE)</f>
        <v>CA</v>
      </c>
      <c r="D201" s="32">
        <v>6027.0</v>
      </c>
      <c r="E201" s="33">
        <f>IF(NOT(ISBLANK(vlookup($D201,Pop_Census_2023!$A$2:$E$3220,4,FALSE))),vlookup($D201,Pop_Census_2023!$A$2:$E$3220,4,FALSE), vlookup($D201,Pop_Census_2023!$A$2:$E$3220,5,FALSE))</f>
        <v>18527</v>
      </c>
      <c r="F201" s="32">
        <v>1804637.0</v>
      </c>
      <c r="G201" s="32">
        <v>10.0</v>
      </c>
      <c r="H201" s="32" t="str">
        <f>VLOOKUP(D201, Grid_Region_Mapping!$D$2:$F$5286, 3, FALSE)</f>
        <v>CASO</v>
      </c>
      <c r="I201" s="32">
        <v>9.0</v>
      </c>
      <c r="J201" s="34" t="str">
        <f t="shared" si="1"/>
        <v>West</v>
      </c>
      <c r="K201" s="35">
        <v>3.0</v>
      </c>
      <c r="L201" s="35" t="s">
        <v>207</v>
      </c>
      <c r="M201" s="36">
        <f>VLOOKUP(D201, County_Data_CZones!$B$2:$F$3236, 2, FALSE)</f>
        <v>4</v>
      </c>
      <c r="N201" s="37" t="str">
        <f>VLOOKUP(D201, County_Data_CZones!$B$2:$F$3236, 5, FALSE)</f>
        <v>Mixed-Dry</v>
      </c>
    </row>
    <row r="202" ht="15.75" customHeight="1">
      <c r="A202" s="32" t="s">
        <v>296</v>
      </c>
      <c r="B202" s="32" t="s">
        <v>279</v>
      </c>
      <c r="C202" s="32" t="str">
        <f>vlookup(B202,State_EMM_RowSums!$A$2:$B$52,2,FALSE)</f>
        <v>CA</v>
      </c>
      <c r="D202" s="32">
        <v>6029.0</v>
      </c>
      <c r="E202" s="33">
        <f>IF(NOT(ISBLANK(vlookup($D202,Pop_Census_2023!$A$2:$E$3220,4,FALSE))),vlookup($D202,Pop_Census_2023!$A$2:$E$3220,4,FALSE), vlookup($D202,Pop_Census_2023!$A$2:$E$3220,5,FALSE))</f>
        <v>913820</v>
      </c>
      <c r="F202" s="32">
        <v>2054176.0</v>
      </c>
      <c r="G202" s="32">
        <v>10.0</v>
      </c>
      <c r="H202" s="32" t="str">
        <f>VLOOKUP(D202, Grid_Region_Mapping!$D$2:$F$5286, 3, FALSE)</f>
        <v>CASO</v>
      </c>
      <c r="I202" s="32">
        <v>9.0</v>
      </c>
      <c r="J202" s="34" t="str">
        <f t="shared" si="1"/>
        <v>West</v>
      </c>
      <c r="K202" s="35">
        <v>5.0</v>
      </c>
      <c r="L202" s="35" t="s">
        <v>204</v>
      </c>
      <c r="M202" s="36">
        <f>VLOOKUP(D202, County_Data_CZones!$B$2:$F$3236, 2, FALSE)</f>
        <v>3</v>
      </c>
      <c r="N202" s="37" t="str">
        <f>VLOOKUP(D202, County_Data_CZones!$B$2:$F$3236, 5, FALSE)</f>
        <v>Hot-Dry</v>
      </c>
    </row>
    <row r="203" ht="15.75" customHeight="1">
      <c r="A203" s="32" t="s">
        <v>297</v>
      </c>
      <c r="B203" s="32" t="s">
        <v>279</v>
      </c>
      <c r="C203" s="32" t="str">
        <f>vlookup(B203,State_EMM_RowSums!$A$2:$B$52,2,FALSE)</f>
        <v>CA</v>
      </c>
      <c r="D203" s="32">
        <v>6031.0</v>
      </c>
      <c r="E203" s="33">
        <f>IF(NOT(ISBLANK(vlookup($D203,Pop_Census_2023!$A$2:$E$3220,4,FALSE))),vlookup($D203,Pop_Census_2023!$A$2:$E$3220,4,FALSE), vlookup($D203,Pop_Census_2023!$A$2:$E$3220,5,FALSE))</f>
        <v>152682</v>
      </c>
      <c r="F203" s="32">
        <v>277280.0</v>
      </c>
      <c r="G203" s="32">
        <v>9.0</v>
      </c>
      <c r="H203" s="32" t="str">
        <f>VLOOKUP(D203, Grid_Region_Mapping!$D$2:$F$5286, 3, FALSE)</f>
        <v>CANO</v>
      </c>
      <c r="I203" s="32">
        <v>9.0</v>
      </c>
      <c r="J203" s="34" t="str">
        <f t="shared" si="1"/>
        <v>West</v>
      </c>
      <c r="K203" s="35">
        <v>4.0</v>
      </c>
      <c r="L203" s="35" t="s">
        <v>204</v>
      </c>
      <c r="M203" s="36">
        <f>VLOOKUP(D203, County_Data_CZones!$B$2:$F$3236, 2, FALSE)</f>
        <v>3</v>
      </c>
      <c r="N203" s="37" t="str">
        <f>VLOOKUP(D203, County_Data_CZones!$B$2:$F$3236, 5, FALSE)</f>
        <v>Hot-Dry</v>
      </c>
    </row>
    <row r="204" ht="15.75" customHeight="1">
      <c r="A204" s="32" t="s">
        <v>298</v>
      </c>
      <c r="B204" s="32" t="s">
        <v>279</v>
      </c>
      <c r="C204" s="32" t="str">
        <f>vlookup(B204,State_EMM_RowSums!$A$2:$B$52,2,FALSE)</f>
        <v>CA</v>
      </c>
      <c r="D204" s="32">
        <v>6033.0</v>
      </c>
      <c r="E204" s="33">
        <f>IF(NOT(ISBLANK(vlookup($D204,Pop_Census_2023!$A$2:$E$3220,4,FALSE))),vlookup($D204,Pop_Census_2023!$A$2:$E$3220,4,FALSE), vlookup($D204,Pop_Census_2023!$A$2:$E$3220,5,FALSE))</f>
        <v>67878</v>
      </c>
      <c r="F204" s="32">
        <v>277281.0</v>
      </c>
      <c r="G204" s="32">
        <v>9.0</v>
      </c>
      <c r="H204" s="32" t="str">
        <f>VLOOKUP(D204, Grid_Region_Mapping!$D$2:$F$5286, 3, FALSE)</f>
        <v>CANO</v>
      </c>
      <c r="I204" s="32">
        <v>9.0</v>
      </c>
      <c r="J204" s="34" t="str">
        <f t="shared" si="1"/>
        <v>West</v>
      </c>
      <c r="K204" s="35">
        <v>4.0</v>
      </c>
      <c r="L204" s="35" t="s">
        <v>207</v>
      </c>
      <c r="M204" s="36">
        <f>VLOOKUP(D204, County_Data_CZones!$B$2:$F$3236, 2, FALSE)</f>
        <v>4</v>
      </c>
      <c r="N204" s="37" t="str">
        <f>VLOOKUP(D204, County_Data_CZones!$B$2:$F$3236, 5, FALSE)</f>
        <v>Mixed-Dry</v>
      </c>
    </row>
    <row r="205" ht="15.75" customHeight="1">
      <c r="A205" s="32" t="s">
        <v>299</v>
      </c>
      <c r="B205" s="32" t="s">
        <v>279</v>
      </c>
      <c r="C205" s="32" t="str">
        <f>vlookup(B205,State_EMM_RowSums!$A$2:$B$52,2,FALSE)</f>
        <v>CA</v>
      </c>
      <c r="D205" s="32">
        <v>6035.0</v>
      </c>
      <c r="E205" s="33">
        <f>IF(NOT(ISBLANK(vlookup($D205,Pop_Census_2023!$A$2:$E$3220,4,FALSE))),vlookup($D205,Pop_Census_2023!$A$2:$E$3220,4,FALSE), vlookup($D205,Pop_Census_2023!$A$2:$E$3220,5,FALSE))</f>
        <v>28861</v>
      </c>
      <c r="F205" s="32">
        <v>1693324.0</v>
      </c>
      <c r="G205" s="32">
        <v>8.0</v>
      </c>
      <c r="H205" s="32" t="str">
        <f>VLOOKUP(D205, Grid_Region_Mapping!$D$2:$F$5286, 3, FALSE)</f>
        <v>NWPP</v>
      </c>
      <c r="I205" s="32">
        <v>9.0</v>
      </c>
      <c r="J205" s="34" t="str">
        <f t="shared" si="1"/>
        <v>West</v>
      </c>
      <c r="K205" s="35">
        <v>2.0</v>
      </c>
      <c r="L205" s="35" t="s">
        <v>202</v>
      </c>
      <c r="M205" s="36">
        <f>VLOOKUP(D205, County_Data_CZones!$B$2:$F$3236, 2, FALSE)</f>
        <v>5</v>
      </c>
      <c r="N205" s="37" t="str">
        <f>VLOOKUP(D205, County_Data_CZones!$B$2:$F$3236, 5, FALSE)</f>
        <v>Cold</v>
      </c>
    </row>
    <row r="206" ht="15.75" customHeight="1">
      <c r="A206" s="32" t="s">
        <v>300</v>
      </c>
      <c r="B206" s="32" t="s">
        <v>279</v>
      </c>
      <c r="C206" s="32" t="str">
        <f>vlookup(B206,State_EMM_RowSums!$A$2:$B$52,2,FALSE)</f>
        <v>CA</v>
      </c>
      <c r="D206" s="32">
        <v>6037.0</v>
      </c>
      <c r="E206" s="33">
        <f>IF(NOT(ISBLANK(vlookup($D206,Pop_Census_2023!$A$2:$E$3220,4,FALSE))),vlookup($D206,Pop_Census_2023!$A$2:$E$3220,4,FALSE), vlookup($D206,Pop_Census_2023!$A$2:$E$3220,5,FALSE))</f>
        <v>9663345</v>
      </c>
      <c r="F206" s="32">
        <v>277283.0</v>
      </c>
      <c r="G206" s="32">
        <v>10.0</v>
      </c>
      <c r="H206" s="32" t="str">
        <f>VLOOKUP(D206, Grid_Region_Mapping!$D$2:$F$5286, 3, FALSE)</f>
        <v>CASO</v>
      </c>
      <c r="I206" s="32">
        <v>9.0</v>
      </c>
      <c r="J206" s="34" t="str">
        <f t="shared" si="1"/>
        <v>West</v>
      </c>
      <c r="K206" s="35">
        <v>4.0</v>
      </c>
      <c r="L206" s="35" t="s">
        <v>204</v>
      </c>
      <c r="M206" s="36">
        <f>VLOOKUP(D206, County_Data_CZones!$B$2:$F$3236, 2, FALSE)</f>
        <v>3</v>
      </c>
      <c r="N206" s="37" t="str">
        <f>VLOOKUP(D206, County_Data_CZones!$B$2:$F$3236, 5, FALSE)</f>
        <v>Hot-Dry</v>
      </c>
    </row>
    <row r="207" ht="15.75" customHeight="1">
      <c r="A207" s="32" t="s">
        <v>301</v>
      </c>
      <c r="B207" s="32" t="s">
        <v>279</v>
      </c>
      <c r="C207" s="32" t="str">
        <f>vlookup(B207,State_EMM_RowSums!$A$2:$B$52,2,FALSE)</f>
        <v>CA</v>
      </c>
      <c r="D207" s="32">
        <v>6039.0</v>
      </c>
      <c r="E207" s="33">
        <f>IF(NOT(ISBLANK(vlookup($D207,Pop_Census_2023!$A$2:$E$3220,4,FALSE))),vlookup($D207,Pop_Census_2023!$A$2:$E$3220,4,FALSE), vlookup($D207,Pop_Census_2023!$A$2:$E$3220,5,FALSE))</f>
        <v>162858</v>
      </c>
      <c r="F207" s="32">
        <v>277284.0</v>
      </c>
      <c r="G207" s="32">
        <v>9.0</v>
      </c>
      <c r="H207" s="32" t="str">
        <f>VLOOKUP(D207, Grid_Region_Mapping!$D$2:$F$5286, 3, FALSE)</f>
        <v>CANO</v>
      </c>
      <c r="I207" s="32">
        <v>9.0</v>
      </c>
      <c r="J207" s="34" t="str">
        <f t="shared" si="1"/>
        <v>West</v>
      </c>
      <c r="K207" s="35">
        <v>4.0</v>
      </c>
      <c r="L207" s="35" t="s">
        <v>204</v>
      </c>
      <c r="M207" s="36">
        <f>VLOOKUP(D207, County_Data_CZones!$B$2:$F$3236, 2, FALSE)</f>
        <v>3</v>
      </c>
      <c r="N207" s="37" t="str">
        <f>VLOOKUP(D207, County_Data_CZones!$B$2:$F$3236, 5, FALSE)</f>
        <v>Hot-Dry</v>
      </c>
    </row>
    <row r="208" ht="15.75" customHeight="1">
      <c r="A208" s="32" t="s">
        <v>302</v>
      </c>
      <c r="B208" s="32" t="s">
        <v>279</v>
      </c>
      <c r="C208" s="32" t="str">
        <f>vlookup(B208,State_EMM_RowSums!$A$2:$B$52,2,FALSE)</f>
        <v>CA</v>
      </c>
      <c r="D208" s="32">
        <v>6041.0</v>
      </c>
      <c r="E208" s="33">
        <f>IF(NOT(ISBLANK(vlookup($D208,Pop_Census_2023!$A$2:$E$3220,4,FALSE))),vlookup($D208,Pop_Census_2023!$A$2:$E$3220,4,FALSE), vlookup($D208,Pop_Census_2023!$A$2:$E$3220,5,FALSE))</f>
        <v>254407</v>
      </c>
      <c r="F208" s="32">
        <v>277285.0</v>
      </c>
      <c r="G208" s="32">
        <v>9.0</v>
      </c>
      <c r="H208" s="32" t="str">
        <f>VLOOKUP(D208, Grid_Region_Mapping!$D$2:$F$5286, 3, FALSE)</f>
        <v>CANO</v>
      </c>
      <c r="I208" s="32">
        <v>9.0</v>
      </c>
      <c r="J208" s="34" t="str">
        <f t="shared" si="1"/>
        <v>West</v>
      </c>
      <c r="K208" s="35">
        <v>4.0</v>
      </c>
      <c r="L208" s="35" t="s">
        <v>280</v>
      </c>
      <c r="M208" s="36">
        <f>VLOOKUP(D208, County_Data_CZones!$B$2:$F$3236, 2, FALSE)</f>
        <v>3</v>
      </c>
      <c r="N208" s="37" t="str">
        <f>VLOOKUP(D208, County_Data_CZones!$B$2:$F$3236, 5, FALSE)</f>
        <v>Marine</v>
      </c>
    </row>
    <row r="209" ht="15.75" customHeight="1">
      <c r="A209" s="32" t="s">
        <v>303</v>
      </c>
      <c r="B209" s="32" t="s">
        <v>279</v>
      </c>
      <c r="C209" s="32" t="str">
        <f>vlookup(B209,State_EMM_RowSums!$A$2:$B$52,2,FALSE)</f>
        <v>CA</v>
      </c>
      <c r="D209" s="32">
        <v>6043.0</v>
      </c>
      <c r="E209" s="33">
        <f>IF(NOT(ISBLANK(vlookup($D209,Pop_Census_2023!$A$2:$E$3220,4,FALSE))),vlookup($D209,Pop_Census_2023!$A$2:$E$3220,4,FALSE), vlookup($D209,Pop_Census_2023!$A$2:$E$3220,5,FALSE))</f>
        <v>16919</v>
      </c>
      <c r="F209" s="32">
        <v>277286.0</v>
      </c>
      <c r="G209" s="32">
        <v>9.0</v>
      </c>
      <c r="H209" s="32" t="str">
        <f>VLOOKUP(D209, Grid_Region_Mapping!$D$2:$F$5286, 3, FALSE)</f>
        <v>CANO</v>
      </c>
      <c r="I209" s="32">
        <v>9.0</v>
      </c>
      <c r="J209" s="34" t="str">
        <f t="shared" si="1"/>
        <v>West</v>
      </c>
      <c r="K209" s="35">
        <v>4.0</v>
      </c>
      <c r="L209" s="35" t="s">
        <v>207</v>
      </c>
      <c r="M209" s="36">
        <f>VLOOKUP(D209, County_Data_CZones!$B$2:$F$3236, 2, FALSE)</f>
        <v>4</v>
      </c>
      <c r="N209" s="37" t="str">
        <f>VLOOKUP(D209, County_Data_CZones!$B$2:$F$3236, 5, FALSE)</f>
        <v>Mixed-Dry</v>
      </c>
    </row>
    <row r="210" ht="15.75" customHeight="1">
      <c r="A210" s="32" t="s">
        <v>304</v>
      </c>
      <c r="B210" s="32" t="s">
        <v>279</v>
      </c>
      <c r="C210" s="32" t="str">
        <f>vlookup(B210,State_EMM_RowSums!$A$2:$B$52,2,FALSE)</f>
        <v>CA</v>
      </c>
      <c r="D210" s="32">
        <v>6045.0</v>
      </c>
      <c r="E210" s="33">
        <f>IF(NOT(ISBLANK(vlookup($D210,Pop_Census_2023!$A$2:$E$3220,4,FALSE))),vlookup($D210,Pop_Census_2023!$A$2:$E$3220,4,FALSE), vlookup($D210,Pop_Census_2023!$A$2:$E$3220,5,FALSE))</f>
        <v>89108</v>
      </c>
      <c r="F210" s="32">
        <v>277287.0</v>
      </c>
      <c r="G210" s="32">
        <v>9.0</v>
      </c>
      <c r="H210" s="32" t="str">
        <f>VLOOKUP(D210, Grid_Region_Mapping!$D$2:$F$5286, 3, FALSE)</f>
        <v>CANO</v>
      </c>
      <c r="I210" s="32">
        <v>9.0</v>
      </c>
      <c r="J210" s="34" t="str">
        <f t="shared" si="1"/>
        <v>West</v>
      </c>
      <c r="K210" s="35">
        <v>4.0</v>
      </c>
      <c r="L210" s="35" t="s">
        <v>280</v>
      </c>
      <c r="M210" s="36">
        <f>VLOOKUP(D210, County_Data_CZones!$B$2:$F$3236, 2, FALSE)</f>
        <v>3</v>
      </c>
      <c r="N210" s="37" t="str">
        <f>VLOOKUP(D210, County_Data_CZones!$B$2:$F$3236, 5, FALSE)</f>
        <v>Marine</v>
      </c>
    </row>
    <row r="211" ht="15.75" customHeight="1">
      <c r="A211" s="32" t="s">
        <v>305</v>
      </c>
      <c r="B211" s="32" t="s">
        <v>279</v>
      </c>
      <c r="C211" s="32" t="str">
        <f>vlookup(B211,State_EMM_RowSums!$A$2:$B$52,2,FALSE)</f>
        <v>CA</v>
      </c>
      <c r="D211" s="32">
        <v>6047.0</v>
      </c>
      <c r="E211" s="33">
        <f>IF(NOT(ISBLANK(vlookup($D211,Pop_Census_2023!$A$2:$E$3220,4,FALSE))),vlookup($D211,Pop_Census_2023!$A$2:$E$3220,4,FALSE), vlookup($D211,Pop_Census_2023!$A$2:$E$3220,5,FALSE))</f>
        <v>291920</v>
      </c>
      <c r="F211" s="32">
        <v>277288.0</v>
      </c>
      <c r="G211" s="32">
        <v>9.0</v>
      </c>
      <c r="H211" s="32" t="str">
        <f>VLOOKUP(D211, Grid_Region_Mapping!$D$2:$F$5286, 3, FALSE)</f>
        <v>CANO</v>
      </c>
      <c r="I211" s="32">
        <v>9.0</v>
      </c>
      <c r="J211" s="34" t="str">
        <f t="shared" si="1"/>
        <v>West</v>
      </c>
      <c r="K211" s="35">
        <v>4.0</v>
      </c>
      <c r="L211" s="35" t="s">
        <v>204</v>
      </c>
      <c r="M211" s="36">
        <f>VLOOKUP(D211, County_Data_CZones!$B$2:$F$3236, 2, FALSE)</f>
        <v>3</v>
      </c>
      <c r="N211" s="37" t="str">
        <f>VLOOKUP(D211, County_Data_CZones!$B$2:$F$3236, 5, FALSE)</f>
        <v>Hot-Dry</v>
      </c>
    </row>
    <row r="212" ht="15.75" customHeight="1">
      <c r="A212" s="32" t="s">
        <v>306</v>
      </c>
      <c r="B212" s="32" t="s">
        <v>279</v>
      </c>
      <c r="C212" s="32" t="str">
        <f>vlookup(B212,State_EMM_RowSums!$A$2:$B$52,2,FALSE)</f>
        <v>CA</v>
      </c>
      <c r="D212" s="32">
        <v>6049.0</v>
      </c>
      <c r="E212" s="33">
        <f>IF(NOT(ISBLANK(vlookup($D212,Pop_Census_2023!$A$2:$E$3220,4,FALSE))),vlookup($D212,Pop_Census_2023!$A$2:$E$3220,4,FALSE), vlookup($D212,Pop_Census_2023!$A$2:$E$3220,5,FALSE))</f>
        <v>8500</v>
      </c>
      <c r="F212" s="32">
        <v>277289.0</v>
      </c>
      <c r="G212" s="32">
        <v>8.0</v>
      </c>
      <c r="H212" s="32" t="str">
        <f>VLOOKUP(D212, Grid_Region_Mapping!$D$2:$F$5286, 3, FALSE)</f>
        <v>NWPP</v>
      </c>
      <c r="I212" s="32">
        <v>9.0</v>
      </c>
      <c r="J212" s="34" t="str">
        <f t="shared" si="1"/>
        <v>West</v>
      </c>
      <c r="K212" s="35">
        <v>1.0</v>
      </c>
      <c r="L212" s="35" t="s">
        <v>202</v>
      </c>
      <c r="M212" s="36">
        <f>VLOOKUP(D212, County_Data_CZones!$B$2:$F$3236, 2, FALSE)</f>
        <v>5</v>
      </c>
      <c r="N212" s="37" t="str">
        <f>VLOOKUP(D212, County_Data_CZones!$B$2:$F$3236, 5, FALSE)</f>
        <v>Cold</v>
      </c>
    </row>
    <row r="213" ht="15.75" customHeight="1">
      <c r="A213" s="32" t="s">
        <v>307</v>
      </c>
      <c r="B213" s="32" t="s">
        <v>279</v>
      </c>
      <c r="C213" s="32" t="str">
        <f>vlookup(B213,State_EMM_RowSums!$A$2:$B$52,2,FALSE)</f>
        <v>CA</v>
      </c>
      <c r="D213" s="32">
        <v>6051.0</v>
      </c>
      <c r="E213" s="33">
        <f>IF(NOT(ISBLANK(vlookup($D213,Pop_Census_2023!$A$2:$E$3220,4,FALSE))),vlookup($D213,Pop_Census_2023!$A$2:$E$3220,4,FALSE), vlookup($D213,Pop_Census_2023!$A$2:$E$3220,5,FALSE))</f>
        <v>13066</v>
      </c>
      <c r="F213" s="32">
        <v>277290.0</v>
      </c>
      <c r="G213" s="32">
        <v>10.0</v>
      </c>
      <c r="H213" s="32" t="str">
        <f>VLOOKUP(D213, Grid_Region_Mapping!$D$2:$F$5286, 3, FALSE)</f>
        <v>CASO</v>
      </c>
      <c r="I213" s="32">
        <v>9.0</v>
      </c>
      <c r="J213" s="34" t="str">
        <f t="shared" si="1"/>
        <v>West</v>
      </c>
      <c r="K213" s="35">
        <v>1.0</v>
      </c>
      <c r="L213" s="35" t="s">
        <v>282</v>
      </c>
      <c r="M213" s="36">
        <f>VLOOKUP(D213, County_Data_CZones!$B$2:$F$3236, 2, FALSE)</f>
        <v>6</v>
      </c>
      <c r="N213" s="37" t="str">
        <f>VLOOKUP(D213, County_Data_CZones!$B$2:$F$3236, 5, FALSE)</f>
        <v>Cold</v>
      </c>
    </row>
    <row r="214" ht="15.75" customHeight="1">
      <c r="A214" s="32" t="s">
        <v>308</v>
      </c>
      <c r="B214" s="32" t="s">
        <v>279</v>
      </c>
      <c r="C214" s="32" t="str">
        <f>vlookup(B214,State_EMM_RowSums!$A$2:$B$52,2,FALSE)</f>
        <v>CA</v>
      </c>
      <c r="D214" s="32">
        <v>6053.0</v>
      </c>
      <c r="E214" s="33">
        <f>IF(NOT(ISBLANK(vlookup($D214,Pop_Census_2023!$A$2:$E$3220,4,FALSE))),vlookup($D214,Pop_Census_2023!$A$2:$E$3220,4,FALSE), vlookup($D214,Pop_Census_2023!$A$2:$E$3220,5,FALSE))</f>
        <v>430723</v>
      </c>
      <c r="F214" s="32">
        <v>277291.0</v>
      </c>
      <c r="G214" s="32">
        <v>9.0</v>
      </c>
      <c r="H214" s="32" t="str">
        <f>VLOOKUP(D214, Grid_Region_Mapping!$D$2:$F$5286, 3, FALSE)</f>
        <v>CANO</v>
      </c>
      <c r="I214" s="32">
        <v>9.0</v>
      </c>
      <c r="J214" s="34" t="str">
        <f t="shared" si="1"/>
        <v>West</v>
      </c>
      <c r="K214" s="35">
        <v>4.0</v>
      </c>
      <c r="L214" s="35" t="s">
        <v>280</v>
      </c>
      <c r="M214" s="36">
        <f>VLOOKUP(D214, County_Data_CZones!$B$2:$F$3236, 2, FALSE)</f>
        <v>3</v>
      </c>
      <c r="N214" s="37" t="str">
        <f>VLOOKUP(D214, County_Data_CZones!$B$2:$F$3236, 5, FALSE)</f>
        <v>Marine</v>
      </c>
    </row>
    <row r="215" ht="15.75" customHeight="1">
      <c r="A215" s="32" t="s">
        <v>309</v>
      </c>
      <c r="B215" s="32" t="s">
        <v>279</v>
      </c>
      <c r="C215" s="32" t="str">
        <f>vlookup(B215,State_EMM_RowSums!$A$2:$B$52,2,FALSE)</f>
        <v>CA</v>
      </c>
      <c r="D215" s="32">
        <v>6055.0</v>
      </c>
      <c r="E215" s="33">
        <f>IF(NOT(ISBLANK(vlookup($D215,Pop_Census_2023!$A$2:$E$3220,4,FALSE))),vlookup($D215,Pop_Census_2023!$A$2:$E$3220,4,FALSE), vlookup($D215,Pop_Census_2023!$A$2:$E$3220,5,FALSE))</f>
        <v>133216</v>
      </c>
      <c r="F215" s="32">
        <v>277292.0</v>
      </c>
      <c r="G215" s="32">
        <v>9.0</v>
      </c>
      <c r="H215" s="32" t="str">
        <f>VLOOKUP(D215, Grid_Region_Mapping!$D$2:$F$5286, 3, FALSE)</f>
        <v>CANO</v>
      </c>
      <c r="I215" s="32">
        <v>9.0</v>
      </c>
      <c r="J215" s="34" t="str">
        <f t="shared" si="1"/>
        <v>West</v>
      </c>
      <c r="K215" s="35">
        <v>4.0</v>
      </c>
      <c r="L215" s="35" t="s">
        <v>280</v>
      </c>
      <c r="M215" s="36">
        <f>VLOOKUP(D215, County_Data_CZones!$B$2:$F$3236, 2, FALSE)</f>
        <v>3</v>
      </c>
      <c r="N215" s="37" t="str">
        <f>VLOOKUP(D215, County_Data_CZones!$B$2:$F$3236, 5, FALSE)</f>
        <v>Marine</v>
      </c>
    </row>
    <row r="216" ht="15.75" customHeight="1">
      <c r="A216" s="32" t="s">
        <v>256</v>
      </c>
      <c r="B216" s="32" t="s">
        <v>279</v>
      </c>
      <c r="C216" s="32" t="str">
        <f>vlookup(B216,State_EMM_RowSums!$A$2:$B$52,2,FALSE)</f>
        <v>CA</v>
      </c>
      <c r="D216" s="32">
        <v>6057.0</v>
      </c>
      <c r="E216" s="33">
        <f>IF(NOT(ISBLANK(vlookup($D216,Pop_Census_2023!$A$2:$E$3220,4,FALSE))),vlookup($D216,Pop_Census_2023!$A$2:$E$3220,4,FALSE), vlookup($D216,Pop_Census_2023!$A$2:$E$3220,5,FALSE))</f>
        <v>102037</v>
      </c>
      <c r="F216" s="32">
        <v>1682927.0</v>
      </c>
      <c r="G216" s="32">
        <v>9.0</v>
      </c>
      <c r="H216" s="32" t="str">
        <f>VLOOKUP(D216, Grid_Region_Mapping!$D$2:$F$5286, 3, FALSE)</f>
        <v>CANO</v>
      </c>
      <c r="I216" s="32">
        <v>9.0</v>
      </c>
      <c r="J216" s="34" t="str">
        <f t="shared" si="1"/>
        <v>West</v>
      </c>
      <c r="K216" s="35">
        <v>3.0</v>
      </c>
      <c r="L216" s="35" t="s">
        <v>202</v>
      </c>
      <c r="M216" s="36">
        <f>VLOOKUP(D216, County_Data_CZones!$B$2:$F$3236, 2, FALSE)</f>
        <v>5</v>
      </c>
      <c r="N216" s="37" t="str">
        <f>VLOOKUP(D216, County_Data_CZones!$B$2:$F$3236, 5, FALSE)</f>
        <v>Cold</v>
      </c>
    </row>
    <row r="217" ht="15.75" customHeight="1">
      <c r="A217" s="32" t="s">
        <v>310</v>
      </c>
      <c r="B217" s="32" t="s">
        <v>279</v>
      </c>
      <c r="C217" s="32" t="str">
        <f>vlookup(B217,State_EMM_RowSums!$A$2:$B$52,2,FALSE)</f>
        <v>CA</v>
      </c>
      <c r="D217" s="32">
        <v>6059.0</v>
      </c>
      <c r="E217" s="33">
        <f>IF(NOT(ISBLANK(vlookup($D217,Pop_Census_2023!$A$2:$E$3220,4,FALSE))),vlookup($D217,Pop_Census_2023!$A$2:$E$3220,4,FALSE), vlookup($D217,Pop_Census_2023!$A$2:$E$3220,5,FALSE))</f>
        <v>3135755</v>
      </c>
      <c r="F217" s="32">
        <v>277294.0</v>
      </c>
      <c r="G217" s="32">
        <v>10.0</v>
      </c>
      <c r="H217" s="32" t="str">
        <f>VLOOKUP(D217, Grid_Region_Mapping!$D$2:$F$5286, 3, FALSE)</f>
        <v>CASO</v>
      </c>
      <c r="I217" s="32">
        <v>9.0</v>
      </c>
      <c r="J217" s="34" t="str">
        <f t="shared" si="1"/>
        <v>West</v>
      </c>
      <c r="K217" s="35">
        <v>4.0</v>
      </c>
      <c r="L217" s="35" t="s">
        <v>204</v>
      </c>
      <c r="M217" s="36">
        <f>VLOOKUP(D217, County_Data_CZones!$B$2:$F$3236, 2, FALSE)</f>
        <v>3</v>
      </c>
      <c r="N217" s="37" t="str">
        <f>VLOOKUP(D217, County_Data_CZones!$B$2:$F$3236, 5, FALSE)</f>
        <v>Hot-Dry</v>
      </c>
    </row>
    <row r="218" ht="15.75" customHeight="1">
      <c r="A218" s="32" t="s">
        <v>311</v>
      </c>
      <c r="B218" s="32" t="s">
        <v>279</v>
      </c>
      <c r="C218" s="32" t="str">
        <f>vlookup(B218,State_EMM_RowSums!$A$2:$B$52,2,FALSE)</f>
        <v>CA</v>
      </c>
      <c r="D218" s="32">
        <v>6061.0</v>
      </c>
      <c r="E218" s="33">
        <f>IF(NOT(ISBLANK(vlookup($D218,Pop_Census_2023!$A$2:$E$3220,4,FALSE))),vlookup($D218,Pop_Census_2023!$A$2:$E$3220,4,FALSE), vlookup($D218,Pop_Census_2023!$A$2:$E$3220,5,FALSE))</f>
        <v>423561</v>
      </c>
      <c r="F218" s="32">
        <v>277295.0</v>
      </c>
      <c r="G218" s="32">
        <v>9.0</v>
      </c>
      <c r="H218" s="32" t="str">
        <f>VLOOKUP(D218, Grid_Region_Mapping!$D$2:$F$5286, 3, FALSE)</f>
        <v>CANO</v>
      </c>
      <c r="I218" s="32">
        <v>9.0</v>
      </c>
      <c r="J218" s="34" t="str">
        <f t="shared" si="1"/>
        <v>West</v>
      </c>
      <c r="K218" s="35">
        <v>4.0</v>
      </c>
      <c r="L218" s="35" t="s">
        <v>204</v>
      </c>
      <c r="M218" s="36">
        <f>VLOOKUP(D218, County_Data_CZones!$B$2:$F$3236, 2, FALSE)</f>
        <v>3</v>
      </c>
      <c r="N218" s="37" t="str">
        <f>VLOOKUP(D218, County_Data_CZones!$B$2:$F$3236, 5, FALSE)</f>
        <v>Hot-Dry</v>
      </c>
    </row>
    <row r="219" ht="15.75" customHeight="1">
      <c r="A219" s="32" t="s">
        <v>312</v>
      </c>
      <c r="B219" s="32" t="s">
        <v>279</v>
      </c>
      <c r="C219" s="32" t="str">
        <f>vlookup(B219,State_EMM_RowSums!$A$2:$B$52,2,FALSE)</f>
        <v>CA</v>
      </c>
      <c r="D219" s="32">
        <v>6063.0</v>
      </c>
      <c r="E219" s="33">
        <f>IF(NOT(ISBLANK(vlookup($D219,Pop_Census_2023!$A$2:$E$3220,4,FALSE))),vlookup($D219,Pop_Census_2023!$A$2:$E$3220,4,FALSE), vlookup($D219,Pop_Census_2023!$A$2:$E$3220,5,FALSE))</f>
        <v>19131</v>
      </c>
      <c r="F219" s="32">
        <v>277296.0</v>
      </c>
      <c r="G219" s="32">
        <v>9.0</v>
      </c>
      <c r="H219" s="32" t="str">
        <f>VLOOKUP(D219, Grid_Region_Mapping!$D$2:$F$5286, 3, FALSE)</f>
        <v>CANO</v>
      </c>
      <c r="I219" s="32">
        <v>9.0</v>
      </c>
      <c r="J219" s="34" t="str">
        <f t="shared" si="1"/>
        <v>West</v>
      </c>
      <c r="K219" s="35">
        <v>2.0</v>
      </c>
      <c r="L219" s="35" t="s">
        <v>202</v>
      </c>
      <c r="M219" s="36">
        <f>VLOOKUP(D219, County_Data_CZones!$B$2:$F$3236, 2, FALSE)</f>
        <v>5</v>
      </c>
      <c r="N219" s="37" t="str">
        <f>VLOOKUP(D219, County_Data_CZones!$B$2:$F$3236, 5, FALSE)</f>
        <v>Cold</v>
      </c>
    </row>
    <row r="220" ht="15.75" customHeight="1">
      <c r="A220" s="32" t="s">
        <v>313</v>
      </c>
      <c r="B220" s="32" t="s">
        <v>279</v>
      </c>
      <c r="C220" s="32" t="str">
        <f>vlookup(B220,State_EMM_RowSums!$A$2:$B$52,2,FALSE)</f>
        <v>CA</v>
      </c>
      <c r="D220" s="32">
        <v>6065.0</v>
      </c>
      <c r="E220" s="33">
        <f>IF(NOT(ISBLANK(vlookup($D220,Pop_Census_2023!$A$2:$E$3220,4,FALSE))),vlookup($D220,Pop_Census_2023!$A$2:$E$3220,4,FALSE), vlookup($D220,Pop_Census_2023!$A$2:$E$3220,5,FALSE))</f>
        <v>2492442</v>
      </c>
      <c r="F220" s="32">
        <v>277297.0</v>
      </c>
      <c r="G220" s="32">
        <v>10.0</v>
      </c>
      <c r="H220" s="32" t="str">
        <f>VLOOKUP(D220, Grid_Region_Mapping!$D$2:$F$5286, 3, FALSE)</f>
        <v>CASO</v>
      </c>
      <c r="I220" s="32">
        <v>9.0</v>
      </c>
      <c r="J220" s="34" t="str">
        <f t="shared" si="1"/>
        <v>West</v>
      </c>
      <c r="K220" s="35">
        <v>4.0</v>
      </c>
      <c r="L220" s="35" t="s">
        <v>204</v>
      </c>
      <c r="M220" s="36">
        <f>VLOOKUP(D220, County_Data_CZones!$B$2:$F$3236, 2, FALSE)</f>
        <v>3</v>
      </c>
      <c r="N220" s="37" t="str">
        <f>VLOOKUP(D220, County_Data_CZones!$B$2:$F$3236, 5, FALSE)</f>
        <v>Hot-Dry</v>
      </c>
    </row>
    <row r="221" ht="15.75" customHeight="1">
      <c r="A221" s="32" t="s">
        <v>314</v>
      </c>
      <c r="B221" s="32" t="s">
        <v>279</v>
      </c>
      <c r="C221" s="32" t="str">
        <f>vlookup(B221,State_EMM_RowSums!$A$2:$B$52,2,FALSE)</f>
        <v>CA</v>
      </c>
      <c r="D221" s="32">
        <v>6067.0</v>
      </c>
      <c r="E221" s="33">
        <f>IF(NOT(ISBLANK(vlookup($D221,Pop_Census_2023!$A$2:$E$3220,4,FALSE))),vlookup($D221,Pop_Census_2023!$A$2:$E$3220,4,FALSE), vlookup($D221,Pop_Census_2023!$A$2:$E$3220,5,FALSE))</f>
        <v>1584288</v>
      </c>
      <c r="F221" s="32">
        <v>277298.0</v>
      </c>
      <c r="G221" s="32">
        <v>9.0</v>
      </c>
      <c r="H221" s="32" t="str">
        <f>VLOOKUP(D221, Grid_Region_Mapping!$D$2:$F$5286, 3, FALSE)</f>
        <v>CANO</v>
      </c>
      <c r="I221" s="32">
        <v>9.0</v>
      </c>
      <c r="J221" s="34" t="str">
        <f t="shared" si="1"/>
        <v>West</v>
      </c>
      <c r="K221" s="35">
        <v>4.0</v>
      </c>
      <c r="L221" s="35" t="s">
        <v>204</v>
      </c>
      <c r="M221" s="36">
        <f>VLOOKUP(D221, County_Data_CZones!$B$2:$F$3236, 2, FALSE)</f>
        <v>3</v>
      </c>
      <c r="N221" s="37" t="str">
        <f>VLOOKUP(D221, County_Data_CZones!$B$2:$F$3236, 5, FALSE)</f>
        <v>Hot-Dry</v>
      </c>
    </row>
    <row r="222" ht="15.75" customHeight="1">
      <c r="A222" s="32" t="s">
        <v>315</v>
      </c>
      <c r="B222" s="32" t="s">
        <v>279</v>
      </c>
      <c r="C222" s="32" t="str">
        <f>vlookup(B222,State_EMM_RowSums!$A$2:$B$52,2,FALSE)</f>
        <v>CA</v>
      </c>
      <c r="D222" s="32">
        <v>6069.0</v>
      </c>
      <c r="E222" s="33">
        <f>IF(NOT(ISBLANK(vlookup($D222,Pop_Census_2023!$A$2:$E$3220,4,FALSE))),vlookup($D222,Pop_Census_2023!$A$2:$E$3220,4,FALSE), vlookup($D222,Pop_Census_2023!$A$2:$E$3220,5,FALSE))</f>
        <v>68175</v>
      </c>
      <c r="F222" s="32">
        <v>277299.0</v>
      </c>
      <c r="G222" s="32">
        <v>9.0</v>
      </c>
      <c r="H222" s="32" t="str">
        <f>VLOOKUP(D222, Grid_Region_Mapping!$D$2:$F$5286, 3, FALSE)</f>
        <v>CANO</v>
      </c>
      <c r="I222" s="32">
        <v>9.0</v>
      </c>
      <c r="J222" s="34" t="str">
        <f t="shared" si="1"/>
        <v>West</v>
      </c>
      <c r="K222" s="35">
        <v>4.0</v>
      </c>
      <c r="L222" s="35" t="s">
        <v>280</v>
      </c>
      <c r="M222" s="36">
        <f>VLOOKUP(D222, County_Data_CZones!$B$2:$F$3236, 2, FALSE)</f>
        <v>3</v>
      </c>
      <c r="N222" s="37" t="str">
        <f>VLOOKUP(D222, County_Data_CZones!$B$2:$F$3236, 5, FALSE)</f>
        <v>Marine</v>
      </c>
    </row>
    <row r="223" ht="15.75" customHeight="1">
      <c r="A223" s="32" t="s">
        <v>316</v>
      </c>
      <c r="B223" s="32" t="s">
        <v>279</v>
      </c>
      <c r="C223" s="32" t="str">
        <f>vlookup(B223,State_EMM_RowSums!$A$2:$B$52,2,FALSE)</f>
        <v>CA</v>
      </c>
      <c r="D223" s="32">
        <v>6071.0</v>
      </c>
      <c r="E223" s="33">
        <f>IF(NOT(ISBLANK(vlookup($D223,Pop_Census_2023!$A$2:$E$3220,4,FALSE))),vlookup($D223,Pop_Census_2023!$A$2:$E$3220,4,FALSE), vlookup($D223,Pop_Census_2023!$A$2:$E$3220,5,FALSE))</f>
        <v>2195611</v>
      </c>
      <c r="F223" s="32">
        <v>277300.0</v>
      </c>
      <c r="G223" s="32">
        <v>10.0</v>
      </c>
      <c r="H223" s="32" t="str">
        <f>VLOOKUP(D223, Grid_Region_Mapping!$D$2:$F$5286, 3, FALSE)</f>
        <v>CASO</v>
      </c>
      <c r="I223" s="32">
        <v>9.0</v>
      </c>
      <c r="J223" s="34" t="str">
        <f t="shared" si="1"/>
        <v>West</v>
      </c>
      <c r="K223" s="35">
        <v>4.0</v>
      </c>
      <c r="L223" s="35" t="s">
        <v>204</v>
      </c>
      <c r="M223" s="36">
        <f>VLOOKUP(D223, County_Data_CZones!$B$2:$F$3236, 2, FALSE)</f>
        <v>3</v>
      </c>
      <c r="N223" s="37" t="str">
        <f>VLOOKUP(D223, County_Data_CZones!$B$2:$F$3236, 5, FALSE)</f>
        <v>Hot-Dry</v>
      </c>
    </row>
    <row r="224" ht="15.75" customHeight="1">
      <c r="A224" s="32" t="s">
        <v>317</v>
      </c>
      <c r="B224" s="32" t="s">
        <v>279</v>
      </c>
      <c r="C224" s="32" t="str">
        <f>vlookup(B224,State_EMM_RowSums!$A$2:$B$52,2,FALSE)</f>
        <v>CA</v>
      </c>
      <c r="D224" s="32">
        <v>6073.0</v>
      </c>
      <c r="E224" s="33">
        <f>IF(NOT(ISBLANK(vlookup($D224,Pop_Census_2023!$A$2:$E$3220,4,FALSE))),vlookup($D224,Pop_Census_2023!$A$2:$E$3220,4,FALSE), vlookup($D224,Pop_Census_2023!$A$2:$E$3220,5,FALSE))</f>
        <v>3269973</v>
      </c>
      <c r="F224" s="32">
        <v>277301.0</v>
      </c>
      <c r="G224" s="32">
        <v>11.0</v>
      </c>
      <c r="H224" s="32" t="str">
        <f>VLOOKUP(D224, Grid_Region_Mapping!$D$2:$F$5286, 3, FALSE)</f>
        <v>CASO</v>
      </c>
      <c r="I224" s="32">
        <v>9.0</v>
      </c>
      <c r="J224" s="34" t="str">
        <f t="shared" si="1"/>
        <v>West</v>
      </c>
      <c r="K224" s="35">
        <v>4.0</v>
      </c>
      <c r="L224" s="35" t="s">
        <v>204</v>
      </c>
      <c r="M224" s="36">
        <f>VLOOKUP(D224, County_Data_CZones!$B$2:$F$3236, 2, FALSE)</f>
        <v>3</v>
      </c>
      <c r="N224" s="37" t="str">
        <f>VLOOKUP(D224, County_Data_CZones!$B$2:$F$3236, 5, FALSE)</f>
        <v>Hot-Dry</v>
      </c>
    </row>
    <row r="225" ht="15.75" customHeight="1">
      <c r="A225" s="32" t="s">
        <v>318</v>
      </c>
      <c r="B225" s="32" t="s">
        <v>279</v>
      </c>
      <c r="C225" s="32" t="str">
        <f>vlookup(B225,State_EMM_RowSums!$A$2:$B$52,2,FALSE)</f>
        <v>CA</v>
      </c>
      <c r="D225" s="32">
        <v>6075.0</v>
      </c>
      <c r="E225" s="33">
        <f>IF(NOT(ISBLANK(vlookup($D225,Pop_Census_2023!$A$2:$E$3220,4,FALSE))),vlookup($D225,Pop_Census_2023!$A$2:$E$3220,4,FALSE), vlookup($D225,Pop_Census_2023!$A$2:$E$3220,5,FALSE))</f>
        <v>808988</v>
      </c>
      <c r="F225" s="32">
        <v>277302.0</v>
      </c>
      <c r="G225" s="32">
        <v>9.0</v>
      </c>
      <c r="H225" s="32" t="str">
        <f>VLOOKUP(D225, Grid_Region_Mapping!$D$2:$F$5286, 3, FALSE)</f>
        <v>CANO</v>
      </c>
      <c r="I225" s="32">
        <v>9.0</v>
      </c>
      <c r="J225" s="34" t="str">
        <f t="shared" si="1"/>
        <v>West</v>
      </c>
      <c r="K225" s="35">
        <v>4.0</v>
      </c>
      <c r="L225" s="35" t="s">
        <v>280</v>
      </c>
      <c r="M225" s="36">
        <f>VLOOKUP(D225, County_Data_CZones!$B$2:$F$3236, 2, FALSE)</f>
        <v>3</v>
      </c>
      <c r="N225" s="37" t="str">
        <f>VLOOKUP(D225, County_Data_CZones!$B$2:$F$3236, 5, FALSE)</f>
        <v>Marine</v>
      </c>
    </row>
    <row r="226" ht="15.75" customHeight="1">
      <c r="A226" s="32" t="s">
        <v>319</v>
      </c>
      <c r="B226" s="32" t="s">
        <v>279</v>
      </c>
      <c r="C226" s="32" t="str">
        <f>vlookup(B226,State_EMM_RowSums!$A$2:$B$52,2,FALSE)</f>
        <v>CA</v>
      </c>
      <c r="D226" s="32">
        <v>6077.0</v>
      </c>
      <c r="E226" s="33">
        <f>IF(NOT(ISBLANK(vlookup($D226,Pop_Census_2023!$A$2:$E$3220,4,FALSE))),vlookup($D226,Pop_Census_2023!$A$2:$E$3220,4,FALSE), vlookup($D226,Pop_Census_2023!$A$2:$E$3220,5,FALSE))</f>
        <v>800965</v>
      </c>
      <c r="F226" s="32">
        <v>277303.0</v>
      </c>
      <c r="G226" s="32">
        <v>9.0</v>
      </c>
      <c r="H226" s="32" t="str">
        <f>VLOOKUP(D226, Grid_Region_Mapping!$D$2:$F$5286, 3, FALSE)</f>
        <v>CANO</v>
      </c>
      <c r="I226" s="32">
        <v>9.0</v>
      </c>
      <c r="J226" s="34" t="str">
        <f t="shared" si="1"/>
        <v>West</v>
      </c>
      <c r="K226" s="35">
        <v>4.0</v>
      </c>
      <c r="L226" s="35" t="s">
        <v>204</v>
      </c>
      <c r="M226" s="36">
        <f>VLOOKUP(D226, County_Data_CZones!$B$2:$F$3236, 2, FALSE)</f>
        <v>3</v>
      </c>
      <c r="N226" s="37" t="str">
        <f>VLOOKUP(D226, County_Data_CZones!$B$2:$F$3236, 5, FALSE)</f>
        <v>Hot-Dry</v>
      </c>
    </row>
    <row r="227" ht="15.75" customHeight="1">
      <c r="A227" s="32" t="s">
        <v>320</v>
      </c>
      <c r="B227" s="32" t="s">
        <v>279</v>
      </c>
      <c r="C227" s="32" t="str">
        <f>vlookup(B227,State_EMM_RowSums!$A$2:$B$52,2,FALSE)</f>
        <v>CA</v>
      </c>
      <c r="D227" s="32">
        <v>6079.0</v>
      </c>
      <c r="E227" s="33">
        <f>IF(NOT(ISBLANK(vlookup($D227,Pop_Census_2023!$A$2:$E$3220,4,FALSE))),vlookup($D227,Pop_Census_2023!$A$2:$E$3220,4,FALSE), vlookup($D227,Pop_Census_2023!$A$2:$E$3220,5,FALSE))</f>
        <v>281639</v>
      </c>
      <c r="F227" s="32">
        <v>277304.0</v>
      </c>
      <c r="G227" s="32">
        <v>9.0</v>
      </c>
      <c r="H227" s="32" t="str">
        <f>VLOOKUP(D227, Grid_Region_Mapping!$D$2:$F$5286, 3, FALSE)</f>
        <v>CANO</v>
      </c>
      <c r="I227" s="32">
        <v>9.0</v>
      </c>
      <c r="J227" s="34" t="str">
        <f t="shared" si="1"/>
        <v>West</v>
      </c>
      <c r="K227" s="35">
        <v>4.0</v>
      </c>
      <c r="L227" s="35" t="s">
        <v>280</v>
      </c>
      <c r="M227" s="36">
        <f>VLOOKUP(D227, County_Data_CZones!$B$2:$F$3236, 2, FALSE)</f>
        <v>3</v>
      </c>
      <c r="N227" s="37" t="str">
        <f>VLOOKUP(D227, County_Data_CZones!$B$2:$F$3236, 5, FALSE)</f>
        <v>Marine</v>
      </c>
    </row>
    <row r="228" ht="15.75" customHeight="1">
      <c r="A228" s="32" t="s">
        <v>321</v>
      </c>
      <c r="B228" s="32" t="s">
        <v>279</v>
      </c>
      <c r="C228" s="32" t="str">
        <f>vlookup(B228,State_EMM_RowSums!$A$2:$B$52,2,FALSE)</f>
        <v>CA</v>
      </c>
      <c r="D228" s="32">
        <v>6081.0</v>
      </c>
      <c r="E228" s="33">
        <f>IF(NOT(ISBLANK(vlookup($D228,Pop_Census_2023!$A$2:$E$3220,4,FALSE))),vlookup($D228,Pop_Census_2023!$A$2:$E$3220,4,FALSE), vlookup($D228,Pop_Census_2023!$A$2:$E$3220,5,FALSE))</f>
        <v>726353</v>
      </c>
      <c r="F228" s="32">
        <v>277305.0</v>
      </c>
      <c r="G228" s="32">
        <v>9.0</v>
      </c>
      <c r="H228" s="32" t="str">
        <f>VLOOKUP(D228, Grid_Region_Mapping!$D$2:$F$5286, 3, FALSE)</f>
        <v>CANO</v>
      </c>
      <c r="I228" s="32">
        <v>9.0</v>
      </c>
      <c r="J228" s="34" t="str">
        <f t="shared" si="1"/>
        <v>West</v>
      </c>
      <c r="K228" s="35">
        <v>4.0</v>
      </c>
      <c r="L228" s="35" t="s">
        <v>280</v>
      </c>
      <c r="M228" s="36">
        <f>VLOOKUP(D228, County_Data_CZones!$B$2:$F$3236, 2, FALSE)</f>
        <v>3</v>
      </c>
      <c r="N228" s="37" t="str">
        <f>VLOOKUP(D228, County_Data_CZones!$B$2:$F$3236, 5, FALSE)</f>
        <v>Marine</v>
      </c>
    </row>
    <row r="229" ht="15.75" customHeight="1">
      <c r="A229" s="32" t="s">
        <v>322</v>
      </c>
      <c r="B229" s="32" t="s">
        <v>279</v>
      </c>
      <c r="C229" s="32" t="str">
        <f>vlookup(B229,State_EMM_RowSums!$A$2:$B$52,2,FALSE)</f>
        <v>CA</v>
      </c>
      <c r="D229" s="32">
        <v>6083.0</v>
      </c>
      <c r="E229" s="33">
        <f>IF(NOT(ISBLANK(vlookup($D229,Pop_Census_2023!$A$2:$E$3220,4,FALSE))),vlookup($D229,Pop_Census_2023!$A$2:$E$3220,4,FALSE), vlookup($D229,Pop_Census_2023!$A$2:$E$3220,5,FALSE))</f>
        <v>441257</v>
      </c>
      <c r="F229" s="32">
        <v>277306.0</v>
      </c>
      <c r="G229" s="32">
        <v>9.0</v>
      </c>
      <c r="H229" s="32" t="str">
        <f>VLOOKUP(D229, Grid_Region_Mapping!$D$2:$F$5286, 3, FALSE)</f>
        <v>CANO</v>
      </c>
      <c r="I229" s="32">
        <v>9.0</v>
      </c>
      <c r="J229" s="34" t="str">
        <f t="shared" si="1"/>
        <v>West</v>
      </c>
      <c r="K229" s="35">
        <v>4.0</v>
      </c>
      <c r="L229" s="35" t="s">
        <v>280</v>
      </c>
      <c r="M229" s="36">
        <f>VLOOKUP(D229, County_Data_CZones!$B$2:$F$3236, 2, FALSE)</f>
        <v>3</v>
      </c>
      <c r="N229" s="37" t="str">
        <f>VLOOKUP(D229, County_Data_CZones!$B$2:$F$3236, 5, FALSE)</f>
        <v>Marine</v>
      </c>
    </row>
    <row r="230" ht="15.75" customHeight="1">
      <c r="A230" s="32" t="s">
        <v>323</v>
      </c>
      <c r="B230" s="32" t="s">
        <v>279</v>
      </c>
      <c r="C230" s="32" t="str">
        <f>vlookup(B230,State_EMM_RowSums!$A$2:$B$52,2,FALSE)</f>
        <v>CA</v>
      </c>
      <c r="D230" s="32">
        <v>6085.0</v>
      </c>
      <c r="E230" s="33">
        <f>IF(NOT(ISBLANK(vlookup($D230,Pop_Census_2023!$A$2:$E$3220,4,FALSE))),vlookup($D230,Pop_Census_2023!$A$2:$E$3220,4,FALSE), vlookup($D230,Pop_Census_2023!$A$2:$E$3220,5,FALSE))</f>
        <v>1877592</v>
      </c>
      <c r="F230" s="32">
        <v>277307.0</v>
      </c>
      <c r="G230" s="32">
        <v>9.0</v>
      </c>
      <c r="H230" s="32" t="str">
        <f>VLOOKUP(D230, Grid_Region_Mapping!$D$2:$F$5286, 3, FALSE)</f>
        <v>CANO</v>
      </c>
      <c r="I230" s="32">
        <v>9.0</v>
      </c>
      <c r="J230" s="34" t="str">
        <f t="shared" si="1"/>
        <v>West</v>
      </c>
      <c r="K230" s="35">
        <v>4.0</v>
      </c>
      <c r="L230" s="35" t="s">
        <v>280</v>
      </c>
      <c r="M230" s="36">
        <f>VLOOKUP(D230, County_Data_CZones!$B$2:$F$3236, 2, FALSE)</f>
        <v>3</v>
      </c>
      <c r="N230" s="37" t="str">
        <f>VLOOKUP(D230, County_Data_CZones!$B$2:$F$3236, 5, FALSE)</f>
        <v>Marine</v>
      </c>
    </row>
    <row r="231" ht="15.75" customHeight="1">
      <c r="A231" s="32" t="s">
        <v>217</v>
      </c>
      <c r="B231" s="32" t="s">
        <v>279</v>
      </c>
      <c r="C231" s="32" t="str">
        <f>vlookup(B231,State_EMM_RowSums!$A$2:$B$52,2,FALSE)</f>
        <v>CA</v>
      </c>
      <c r="D231" s="32">
        <v>6087.0</v>
      </c>
      <c r="E231" s="33">
        <f>IF(NOT(ISBLANK(vlookup($D231,Pop_Census_2023!$A$2:$E$3220,4,FALSE))),vlookup($D231,Pop_Census_2023!$A$2:$E$3220,4,FALSE), vlookup($D231,Pop_Census_2023!$A$2:$E$3220,5,FALSE))</f>
        <v>261547</v>
      </c>
      <c r="F231" s="32">
        <v>277308.0</v>
      </c>
      <c r="G231" s="32">
        <v>9.0</v>
      </c>
      <c r="H231" s="32" t="str">
        <f>VLOOKUP(D231, Grid_Region_Mapping!$D$2:$F$5286, 3, FALSE)</f>
        <v>CANO</v>
      </c>
      <c r="I231" s="32">
        <v>9.0</v>
      </c>
      <c r="J231" s="34" t="str">
        <f t="shared" si="1"/>
        <v>West</v>
      </c>
      <c r="K231" s="35">
        <v>4.0</v>
      </c>
      <c r="L231" s="35" t="s">
        <v>280</v>
      </c>
      <c r="M231" s="36">
        <f>VLOOKUP(D231, County_Data_CZones!$B$2:$F$3236, 2, FALSE)</f>
        <v>3</v>
      </c>
      <c r="N231" s="37" t="str">
        <f>VLOOKUP(D231, County_Data_CZones!$B$2:$F$3236, 5, FALSE)</f>
        <v>Marine</v>
      </c>
    </row>
    <row r="232" ht="15.75" customHeight="1">
      <c r="A232" s="32" t="s">
        <v>324</v>
      </c>
      <c r="B232" s="32" t="s">
        <v>279</v>
      </c>
      <c r="C232" s="32" t="str">
        <f>vlookup(B232,State_EMM_RowSums!$A$2:$B$52,2,FALSE)</f>
        <v>CA</v>
      </c>
      <c r="D232" s="32">
        <v>6089.0</v>
      </c>
      <c r="E232" s="33">
        <f>IF(NOT(ISBLANK(vlookup($D232,Pop_Census_2023!$A$2:$E$3220,4,FALSE))),vlookup($D232,Pop_Census_2023!$A$2:$E$3220,4,FALSE), vlookup($D232,Pop_Census_2023!$A$2:$E$3220,5,FALSE))</f>
        <v>180366</v>
      </c>
      <c r="F232" s="32">
        <v>1682610.0</v>
      </c>
      <c r="G232" s="32">
        <v>9.0</v>
      </c>
      <c r="H232" s="32" t="str">
        <f>VLOOKUP(D232, Grid_Region_Mapping!$D$2:$F$5286, 3, FALSE)</f>
        <v>CANO</v>
      </c>
      <c r="I232" s="32">
        <v>9.0</v>
      </c>
      <c r="J232" s="34" t="str">
        <f t="shared" si="1"/>
        <v>West</v>
      </c>
      <c r="K232" s="35">
        <v>4.0</v>
      </c>
      <c r="L232" s="35" t="s">
        <v>204</v>
      </c>
      <c r="M232" s="36">
        <f>VLOOKUP(D232, County_Data_CZones!$B$2:$F$3236, 2, FALSE)</f>
        <v>3</v>
      </c>
      <c r="N232" s="37" t="str">
        <f>VLOOKUP(D232, County_Data_CZones!$B$2:$F$3236, 5, FALSE)</f>
        <v>Hot-Dry</v>
      </c>
    </row>
    <row r="233" ht="15.75" customHeight="1">
      <c r="A233" s="32" t="s">
        <v>325</v>
      </c>
      <c r="B233" s="32" t="s">
        <v>279</v>
      </c>
      <c r="C233" s="32" t="str">
        <f>vlookup(B233,State_EMM_RowSums!$A$2:$B$52,2,FALSE)</f>
        <v>CA</v>
      </c>
      <c r="D233" s="32">
        <v>6091.0</v>
      </c>
      <c r="E233" s="33">
        <f>IF(NOT(ISBLANK(vlookup($D233,Pop_Census_2023!$A$2:$E$3220,4,FALSE))),vlookup($D233,Pop_Census_2023!$A$2:$E$3220,4,FALSE), vlookup($D233,Pop_Census_2023!$A$2:$E$3220,5,FALSE))</f>
        <v>3200</v>
      </c>
      <c r="F233" s="32">
        <v>277310.0</v>
      </c>
      <c r="G233" s="32">
        <v>9.0</v>
      </c>
      <c r="H233" s="32" t="str">
        <f>VLOOKUP(D233, Grid_Region_Mapping!$D$2:$F$5286, 3, FALSE)</f>
        <v>CANO</v>
      </c>
      <c r="I233" s="32">
        <v>9.0</v>
      </c>
      <c r="J233" s="34" t="str">
        <f t="shared" si="1"/>
        <v>West</v>
      </c>
      <c r="K233" s="35">
        <v>3.0</v>
      </c>
      <c r="L233" s="35" t="s">
        <v>202</v>
      </c>
      <c r="M233" s="36">
        <f>VLOOKUP(D233, County_Data_CZones!$B$2:$F$3236, 2, FALSE)</f>
        <v>5</v>
      </c>
      <c r="N233" s="37" t="str">
        <f>VLOOKUP(D233, County_Data_CZones!$B$2:$F$3236, 5, FALSE)</f>
        <v>Cold</v>
      </c>
    </row>
    <row r="234" ht="15.75" customHeight="1">
      <c r="A234" s="32" t="s">
        <v>326</v>
      </c>
      <c r="B234" s="32" t="s">
        <v>279</v>
      </c>
      <c r="C234" s="32" t="str">
        <f>vlookup(B234,State_EMM_RowSums!$A$2:$B$52,2,FALSE)</f>
        <v>CA</v>
      </c>
      <c r="D234" s="32">
        <v>6093.0</v>
      </c>
      <c r="E234" s="33">
        <f>IF(NOT(ISBLANK(vlookup($D234,Pop_Census_2023!$A$2:$E$3220,4,FALSE))),vlookup($D234,Pop_Census_2023!$A$2:$E$3220,4,FALSE), vlookup($D234,Pop_Census_2023!$A$2:$E$3220,5,FALSE))</f>
        <v>42905</v>
      </c>
      <c r="F234" s="32">
        <v>277311.0</v>
      </c>
      <c r="G234" s="32">
        <v>8.0</v>
      </c>
      <c r="H234" s="32" t="str">
        <f>VLOOKUP(D234, Grid_Region_Mapping!$D$2:$F$5286, 3, FALSE)</f>
        <v>NWPP</v>
      </c>
      <c r="I234" s="32">
        <v>9.0</v>
      </c>
      <c r="J234" s="34" t="str">
        <f t="shared" si="1"/>
        <v>West</v>
      </c>
      <c r="K234" s="35">
        <v>3.0</v>
      </c>
      <c r="L234" s="35" t="s">
        <v>202</v>
      </c>
      <c r="M234" s="36">
        <f>VLOOKUP(D234, County_Data_CZones!$B$2:$F$3236, 2, FALSE)</f>
        <v>5</v>
      </c>
      <c r="N234" s="37" t="str">
        <f>VLOOKUP(D234, County_Data_CZones!$B$2:$F$3236, 5, FALSE)</f>
        <v>Cold</v>
      </c>
    </row>
    <row r="235" ht="15.75" customHeight="1">
      <c r="A235" s="32" t="s">
        <v>327</v>
      </c>
      <c r="B235" s="32" t="s">
        <v>279</v>
      </c>
      <c r="C235" s="32" t="str">
        <f>vlookup(B235,State_EMM_RowSums!$A$2:$B$52,2,FALSE)</f>
        <v>CA</v>
      </c>
      <c r="D235" s="32">
        <v>6095.0</v>
      </c>
      <c r="E235" s="33">
        <f>IF(NOT(ISBLANK(vlookup($D235,Pop_Census_2023!$A$2:$E$3220,4,FALSE))),vlookup($D235,Pop_Census_2023!$A$2:$E$3220,4,FALSE), vlookup($D235,Pop_Census_2023!$A$2:$E$3220,5,FALSE))</f>
        <v>449218</v>
      </c>
      <c r="F235" s="32">
        <v>277312.0</v>
      </c>
      <c r="G235" s="32">
        <v>9.0</v>
      </c>
      <c r="H235" s="32" t="str">
        <f>VLOOKUP(D235, Grid_Region_Mapping!$D$2:$F$5286, 3, FALSE)</f>
        <v>CANO</v>
      </c>
      <c r="I235" s="32">
        <v>9.0</v>
      </c>
      <c r="J235" s="34" t="str">
        <f t="shared" si="1"/>
        <v>West</v>
      </c>
      <c r="K235" s="35">
        <v>4.0</v>
      </c>
      <c r="L235" s="35" t="s">
        <v>204</v>
      </c>
      <c r="M235" s="36">
        <f>VLOOKUP(D235, County_Data_CZones!$B$2:$F$3236, 2, FALSE)</f>
        <v>3</v>
      </c>
      <c r="N235" s="37" t="str">
        <f>VLOOKUP(D235, County_Data_CZones!$B$2:$F$3236, 5, FALSE)</f>
        <v>Hot-Dry</v>
      </c>
    </row>
    <row r="236" ht="15.75" customHeight="1">
      <c r="A236" s="32" t="s">
        <v>328</v>
      </c>
      <c r="B236" s="32" t="s">
        <v>279</v>
      </c>
      <c r="C236" s="32" t="str">
        <f>vlookup(B236,State_EMM_RowSums!$A$2:$B$52,2,FALSE)</f>
        <v>CA</v>
      </c>
      <c r="D236" s="32">
        <v>6097.0</v>
      </c>
      <c r="E236" s="33">
        <f>IF(NOT(ISBLANK(vlookup($D236,Pop_Census_2023!$A$2:$E$3220,4,FALSE))),vlookup($D236,Pop_Census_2023!$A$2:$E$3220,4,FALSE), vlookup($D236,Pop_Census_2023!$A$2:$E$3220,5,FALSE))</f>
        <v>481812</v>
      </c>
      <c r="F236" s="32">
        <v>1657246.0</v>
      </c>
      <c r="G236" s="32">
        <v>9.0</v>
      </c>
      <c r="H236" s="32" t="str">
        <f>VLOOKUP(D236, Grid_Region_Mapping!$D$2:$F$5286, 3, FALSE)</f>
        <v>CANO</v>
      </c>
      <c r="I236" s="32">
        <v>9.0</v>
      </c>
      <c r="J236" s="34" t="str">
        <f t="shared" si="1"/>
        <v>West</v>
      </c>
      <c r="K236" s="35">
        <v>4.0</v>
      </c>
      <c r="L236" s="35" t="s">
        <v>280</v>
      </c>
      <c r="M236" s="36">
        <f>VLOOKUP(D236, County_Data_CZones!$B$2:$F$3236, 2, FALSE)</f>
        <v>3</v>
      </c>
      <c r="N236" s="37" t="str">
        <f>VLOOKUP(D236, County_Data_CZones!$B$2:$F$3236, 5, FALSE)</f>
        <v>Marine</v>
      </c>
    </row>
    <row r="237" ht="15.75" customHeight="1">
      <c r="A237" s="32" t="s">
        <v>329</v>
      </c>
      <c r="B237" s="32" t="s">
        <v>279</v>
      </c>
      <c r="C237" s="32" t="str">
        <f>vlookup(B237,State_EMM_RowSums!$A$2:$B$52,2,FALSE)</f>
        <v>CA</v>
      </c>
      <c r="D237" s="32">
        <v>6099.0</v>
      </c>
      <c r="E237" s="33">
        <f>IF(NOT(ISBLANK(vlookup($D237,Pop_Census_2023!$A$2:$E$3220,4,FALSE))),vlookup($D237,Pop_Census_2023!$A$2:$E$3220,4,FALSE), vlookup($D237,Pop_Census_2023!$A$2:$E$3220,5,FALSE))</f>
        <v>551430</v>
      </c>
      <c r="F237" s="32">
        <v>277314.0</v>
      </c>
      <c r="G237" s="32">
        <v>9.0</v>
      </c>
      <c r="H237" s="32" t="str">
        <f>VLOOKUP(D237, Grid_Region_Mapping!$D$2:$F$5286, 3, FALSE)</f>
        <v>CANO</v>
      </c>
      <c r="I237" s="32">
        <v>9.0</v>
      </c>
      <c r="J237" s="34" t="str">
        <f t="shared" si="1"/>
        <v>West</v>
      </c>
      <c r="K237" s="35">
        <v>4.0</v>
      </c>
      <c r="L237" s="35" t="s">
        <v>204</v>
      </c>
      <c r="M237" s="36">
        <f>VLOOKUP(D237, County_Data_CZones!$B$2:$F$3236, 2, FALSE)</f>
        <v>3</v>
      </c>
      <c r="N237" s="37" t="str">
        <f>VLOOKUP(D237, County_Data_CZones!$B$2:$F$3236, 5, FALSE)</f>
        <v>Hot-Dry</v>
      </c>
    </row>
    <row r="238" ht="15.75" customHeight="1">
      <c r="A238" s="32" t="s">
        <v>330</v>
      </c>
      <c r="B238" s="32" t="s">
        <v>279</v>
      </c>
      <c r="C238" s="32" t="str">
        <f>vlookup(B238,State_EMM_RowSums!$A$2:$B$52,2,FALSE)</f>
        <v>CA</v>
      </c>
      <c r="D238" s="32">
        <v>6101.0</v>
      </c>
      <c r="E238" s="33">
        <f>IF(NOT(ISBLANK(vlookup($D238,Pop_Census_2023!$A$2:$E$3220,4,FALSE))),vlookup($D238,Pop_Census_2023!$A$2:$E$3220,4,FALSE), vlookup($D238,Pop_Census_2023!$A$2:$E$3220,5,FALSE))</f>
        <v>97948</v>
      </c>
      <c r="F238" s="32">
        <v>277315.0</v>
      </c>
      <c r="G238" s="32">
        <v>9.0</v>
      </c>
      <c r="H238" s="32" t="str">
        <f>VLOOKUP(D238, Grid_Region_Mapping!$D$2:$F$5286, 3, FALSE)</f>
        <v>CANO</v>
      </c>
      <c r="I238" s="32">
        <v>9.0</v>
      </c>
      <c r="J238" s="34" t="str">
        <f t="shared" si="1"/>
        <v>West</v>
      </c>
      <c r="K238" s="35">
        <v>4.0</v>
      </c>
      <c r="L238" s="35" t="s">
        <v>204</v>
      </c>
      <c r="M238" s="36">
        <f>VLOOKUP(D238, County_Data_CZones!$B$2:$F$3236, 2, FALSE)</f>
        <v>3</v>
      </c>
      <c r="N238" s="37" t="str">
        <f>VLOOKUP(D238, County_Data_CZones!$B$2:$F$3236, 5, FALSE)</f>
        <v>Hot-Dry</v>
      </c>
    </row>
    <row r="239" ht="15.75" customHeight="1">
      <c r="A239" s="32" t="s">
        <v>331</v>
      </c>
      <c r="B239" s="32" t="s">
        <v>279</v>
      </c>
      <c r="C239" s="32" t="str">
        <f>vlookup(B239,State_EMM_RowSums!$A$2:$B$52,2,FALSE)</f>
        <v>CA</v>
      </c>
      <c r="D239" s="32">
        <v>6103.0</v>
      </c>
      <c r="E239" s="33">
        <f>IF(NOT(ISBLANK(vlookup($D239,Pop_Census_2023!$A$2:$E$3220,4,FALSE))),vlookup($D239,Pop_Census_2023!$A$2:$E$3220,4,FALSE), vlookup($D239,Pop_Census_2023!$A$2:$E$3220,5,FALSE))</f>
        <v>64896</v>
      </c>
      <c r="F239" s="32">
        <v>1692767.0</v>
      </c>
      <c r="G239" s="32">
        <v>9.0</v>
      </c>
      <c r="H239" s="32" t="str">
        <f>VLOOKUP(D239, Grid_Region_Mapping!$D$2:$F$5286, 3, FALSE)</f>
        <v>CANO</v>
      </c>
      <c r="I239" s="32">
        <v>9.0</v>
      </c>
      <c r="J239" s="34" t="str">
        <f t="shared" si="1"/>
        <v>West</v>
      </c>
      <c r="K239" s="35">
        <v>4.0</v>
      </c>
      <c r="L239" s="35" t="s">
        <v>204</v>
      </c>
      <c r="M239" s="36">
        <f>VLOOKUP(D239, County_Data_CZones!$B$2:$F$3236, 2, FALSE)</f>
        <v>3</v>
      </c>
      <c r="N239" s="37" t="str">
        <f>VLOOKUP(D239, County_Data_CZones!$B$2:$F$3236, 5, FALSE)</f>
        <v>Hot-Dry</v>
      </c>
    </row>
    <row r="240" ht="15.75" customHeight="1">
      <c r="A240" s="32" t="s">
        <v>332</v>
      </c>
      <c r="B240" s="32" t="s">
        <v>279</v>
      </c>
      <c r="C240" s="32" t="str">
        <f>vlookup(B240,State_EMM_RowSums!$A$2:$B$52,2,FALSE)</f>
        <v>CA</v>
      </c>
      <c r="D240" s="32">
        <v>6105.0</v>
      </c>
      <c r="E240" s="33">
        <f>IF(NOT(ISBLANK(vlookup($D240,Pop_Census_2023!$A$2:$E$3220,4,FALSE))),vlookup($D240,Pop_Census_2023!$A$2:$E$3220,4,FALSE), vlookup($D240,Pop_Census_2023!$A$2:$E$3220,5,FALSE))</f>
        <v>15670</v>
      </c>
      <c r="F240" s="32">
        <v>277317.0</v>
      </c>
      <c r="G240" s="32">
        <v>9.0</v>
      </c>
      <c r="H240" s="32" t="str">
        <f>VLOOKUP(D240, Grid_Region_Mapping!$D$2:$F$5286, 3, FALSE)</f>
        <v>CANO</v>
      </c>
      <c r="I240" s="32">
        <v>9.0</v>
      </c>
      <c r="J240" s="34" t="str">
        <f t="shared" si="1"/>
        <v>West</v>
      </c>
      <c r="K240" s="35">
        <v>3.0</v>
      </c>
      <c r="L240" s="35" t="s">
        <v>207</v>
      </c>
      <c r="M240" s="36">
        <f>VLOOKUP(D240, County_Data_CZones!$B$2:$F$3236, 2, FALSE)</f>
        <v>4</v>
      </c>
      <c r="N240" s="37" t="str">
        <f>VLOOKUP(D240, County_Data_CZones!$B$2:$F$3236, 5, FALSE)</f>
        <v>Mixed-Dry</v>
      </c>
    </row>
    <row r="241" ht="15.75" customHeight="1">
      <c r="A241" s="32" t="s">
        <v>333</v>
      </c>
      <c r="B241" s="32" t="s">
        <v>279</v>
      </c>
      <c r="C241" s="32" t="str">
        <f>vlookup(B241,State_EMM_RowSums!$A$2:$B$52,2,FALSE)</f>
        <v>CA</v>
      </c>
      <c r="D241" s="32">
        <v>6107.0</v>
      </c>
      <c r="E241" s="33">
        <f>IF(NOT(ISBLANK(vlookup($D241,Pop_Census_2023!$A$2:$E$3220,4,FALSE))),vlookup($D241,Pop_Census_2023!$A$2:$E$3220,4,FALSE), vlookup($D241,Pop_Census_2023!$A$2:$E$3220,5,FALSE))</f>
        <v>479468</v>
      </c>
      <c r="F241" s="32">
        <v>277318.0</v>
      </c>
      <c r="G241" s="32">
        <v>10.0</v>
      </c>
      <c r="H241" s="32" t="str">
        <f>VLOOKUP(D241, Grid_Region_Mapping!$D$2:$F$5286, 3, FALSE)</f>
        <v>CASO</v>
      </c>
      <c r="I241" s="32">
        <v>9.0</v>
      </c>
      <c r="J241" s="34" t="str">
        <f t="shared" si="1"/>
        <v>West</v>
      </c>
      <c r="K241" s="35">
        <v>4.0</v>
      </c>
      <c r="L241" s="35" t="s">
        <v>204</v>
      </c>
      <c r="M241" s="36">
        <f>VLOOKUP(D241, County_Data_CZones!$B$2:$F$3236, 2, FALSE)</f>
        <v>3</v>
      </c>
      <c r="N241" s="37" t="str">
        <f>VLOOKUP(D241, County_Data_CZones!$B$2:$F$3236, 5, FALSE)</f>
        <v>Hot-Dry</v>
      </c>
    </row>
    <row r="242" ht="15.75" customHeight="1">
      <c r="A242" s="32" t="s">
        <v>334</v>
      </c>
      <c r="B242" s="32" t="s">
        <v>279</v>
      </c>
      <c r="C242" s="32" t="str">
        <f>vlookup(B242,State_EMM_RowSums!$A$2:$B$52,2,FALSE)</f>
        <v>CA</v>
      </c>
      <c r="D242" s="32">
        <v>6109.0</v>
      </c>
      <c r="E242" s="33">
        <f>IF(NOT(ISBLANK(vlookup($D242,Pop_Census_2023!$A$2:$E$3220,4,FALSE))),vlookup($D242,Pop_Census_2023!$A$2:$E$3220,4,FALSE), vlookup($D242,Pop_Census_2023!$A$2:$E$3220,5,FALSE))</f>
        <v>54204</v>
      </c>
      <c r="F242" s="32">
        <v>277319.0</v>
      </c>
      <c r="G242" s="32">
        <v>9.0</v>
      </c>
      <c r="H242" s="32" t="str">
        <f>VLOOKUP(D242, Grid_Region_Mapping!$D$2:$F$5286, 3, FALSE)</f>
        <v>CANO</v>
      </c>
      <c r="I242" s="32">
        <v>9.0</v>
      </c>
      <c r="J242" s="34" t="str">
        <f t="shared" si="1"/>
        <v>West</v>
      </c>
      <c r="K242" s="35">
        <v>4.0</v>
      </c>
      <c r="L242" s="35" t="s">
        <v>207</v>
      </c>
      <c r="M242" s="36">
        <f>VLOOKUP(D242, County_Data_CZones!$B$2:$F$3236, 2, FALSE)</f>
        <v>4</v>
      </c>
      <c r="N242" s="37" t="str">
        <f>VLOOKUP(D242, County_Data_CZones!$B$2:$F$3236, 5, FALSE)</f>
        <v>Mixed-Dry</v>
      </c>
    </row>
    <row r="243" ht="15.75" customHeight="1">
      <c r="A243" s="32" t="s">
        <v>335</v>
      </c>
      <c r="B243" s="32" t="s">
        <v>279</v>
      </c>
      <c r="C243" s="32" t="str">
        <f>vlookup(B243,State_EMM_RowSums!$A$2:$B$52,2,FALSE)</f>
        <v>CA</v>
      </c>
      <c r="D243" s="32">
        <v>6111.0</v>
      </c>
      <c r="E243" s="33">
        <f>IF(NOT(ISBLANK(vlookup($D243,Pop_Census_2023!$A$2:$E$3220,4,FALSE))),vlookup($D243,Pop_Census_2023!$A$2:$E$3220,4,FALSE), vlookup($D243,Pop_Census_2023!$A$2:$E$3220,5,FALSE))</f>
        <v>829590</v>
      </c>
      <c r="F243" s="32">
        <v>277320.0</v>
      </c>
      <c r="G243" s="32">
        <v>10.0</v>
      </c>
      <c r="H243" s="32" t="str">
        <f>VLOOKUP(D243, Grid_Region_Mapping!$D$2:$F$5286, 3, FALSE)</f>
        <v>CASO</v>
      </c>
      <c r="I243" s="32">
        <v>9.0</v>
      </c>
      <c r="J243" s="34" t="str">
        <f t="shared" si="1"/>
        <v>West</v>
      </c>
      <c r="K243" s="35">
        <v>4.0</v>
      </c>
      <c r="L243" s="35" t="s">
        <v>280</v>
      </c>
      <c r="M243" s="36">
        <f>VLOOKUP(D243, County_Data_CZones!$B$2:$F$3236, 2, FALSE)</f>
        <v>3</v>
      </c>
      <c r="N243" s="37" t="str">
        <f>VLOOKUP(D243, County_Data_CZones!$B$2:$F$3236, 5, FALSE)</f>
        <v>Marine</v>
      </c>
    </row>
    <row r="244" ht="15.75" customHeight="1">
      <c r="A244" s="32" t="s">
        <v>336</v>
      </c>
      <c r="B244" s="32" t="s">
        <v>279</v>
      </c>
      <c r="C244" s="32" t="str">
        <f>vlookup(B244,State_EMM_RowSums!$A$2:$B$52,2,FALSE)</f>
        <v>CA</v>
      </c>
      <c r="D244" s="32">
        <v>6113.0</v>
      </c>
      <c r="E244" s="33">
        <f>IF(NOT(ISBLANK(vlookup($D244,Pop_Census_2023!$A$2:$E$3220,4,FALSE))),vlookup($D244,Pop_Census_2023!$A$2:$E$3220,4,FALSE), vlookup($D244,Pop_Census_2023!$A$2:$E$3220,5,FALSE))</f>
        <v>220544</v>
      </c>
      <c r="F244" s="32">
        <v>277321.0</v>
      </c>
      <c r="G244" s="32">
        <v>9.0</v>
      </c>
      <c r="H244" s="32" t="str">
        <f>VLOOKUP(D244, Grid_Region_Mapping!$D$2:$F$5286, 3, FALSE)</f>
        <v>CANO</v>
      </c>
      <c r="I244" s="32">
        <v>9.0</v>
      </c>
      <c r="J244" s="34" t="str">
        <f t="shared" si="1"/>
        <v>West</v>
      </c>
      <c r="K244" s="35">
        <v>4.0</v>
      </c>
      <c r="L244" s="35" t="s">
        <v>204</v>
      </c>
      <c r="M244" s="36">
        <f>VLOOKUP(D244, County_Data_CZones!$B$2:$F$3236, 2, FALSE)</f>
        <v>3</v>
      </c>
      <c r="N244" s="37" t="str">
        <f>VLOOKUP(D244, County_Data_CZones!$B$2:$F$3236, 5, FALSE)</f>
        <v>Hot-Dry</v>
      </c>
    </row>
    <row r="245" ht="15.75" customHeight="1">
      <c r="A245" s="32" t="s">
        <v>337</v>
      </c>
      <c r="B245" s="32" t="s">
        <v>279</v>
      </c>
      <c r="C245" s="32" t="str">
        <f>vlookup(B245,State_EMM_RowSums!$A$2:$B$52,2,FALSE)</f>
        <v>CA</v>
      </c>
      <c r="D245" s="32">
        <v>6115.0</v>
      </c>
      <c r="E245" s="33">
        <f>IF(NOT(ISBLANK(vlookup($D245,Pop_Census_2023!$A$2:$E$3220,4,FALSE))),vlookup($D245,Pop_Census_2023!$A$2:$E$3220,4,FALSE), vlookup($D245,Pop_Census_2023!$A$2:$E$3220,5,FALSE))</f>
        <v>85722</v>
      </c>
      <c r="F245" s="32">
        <v>277322.0</v>
      </c>
      <c r="G245" s="32">
        <v>9.0</v>
      </c>
      <c r="H245" s="32" t="str">
        <f>VLOOKUP(D245, Grid_Region_Mapping!$D$2:$F$5286, 3, FALSE)</f>
        <v>CANO</v>
      </c>
      <c r="I245" s="32">
        <v>9.0</v>
      </c>
      <c r="J245" s="34" t="str">
        <f t="shared" si="1"/>
        <v>West</v>
      </c>
      <c r="K245" s="35">
        <v>4.0</v>
      </c>
      <c r="L245" s="35" t="s">
        <v>204</v>
      </c>
      <c r="M245" s="36">
        <f>VLOOKUP(D245, County_Data_CZones!$B$2:$F$3236, 2, FALSE)</f>
        <v>3</v>
      </c>
      <c r="N245" s="37" t="str">
        <f>VLOOKUP(D245, County_Data_CZones!$B$2:$F$3236, 5, FALSE)</f>
        <v>Hot-Dry</v>
      </c>
    </row>
    <row r="246" ht="15.75" customHeight="1">
      <c r="A246" s="32" t="s">
        <v>338</v>
      </c>
      <c r="B246" s="32" t="s">
        <v>339</v>
      </c>
      <c r="C246" s="32" t="str">
        <f>vlookup(B246,State_EMM_RowSums!$A$2:$B$52,2,FALSE)</f>
        <v>CO</v>
      </c>
      <c r="D246" s="32">
        <v>8001.0</v>
      </c>
      <c r="E246" s="33">
        <f>IF(NOT(ISBLANK(vlookup($D246,Pop_Census_2023!$A$2:$E$3220,4,FALSE))),vlookup($D246,Pop_Census_2023!$A$2:$E$3220,4,FALSE), vlookup($D246,Pop_Census_2023!$A$2:$E$3220,5,FALSE))</f>
        <v>533365</v>
      </c>
      <c r="F246" s="32">
        <v>198116.0</v>
      </c>
      <c r="G246" s="32">
        <v>33.0</v>
      </c>
      <c r="H246" s="32" t="str">
        <f>VLOOKUP(D246, Grid_Region_Mapping!$D$2:$F$5286, 3, FALSE)</f>
        <v>RMRG</v>
      </c>
      <c r="I246" s="32">
        <v>8.0</v>
      </c>
      <c r="J246" s="34" t="str">
        <f t="shared" si="1"/>
        <v>West</v>
      </c>
      <c r="K246" s="35">
        <v>2.0</v>
      </c>
      <c r="L246" s="35" t="s">
        <v>202</v>
      </c>
      <c r="M246" s="36">
        <f>VLOOKUP(D246, County_Data_CZones!$B$2:$F$3236, 2, FALSE)</f>
        <v>5</v>
      </c>
      <c r="N246" s="37" t="str">
        <f>VLOOKUP(D246, County_Data_CZones!$B$2:$F$3236, 5, FALSE)</f>
        <v>Cold</v>
      </c>
    </row>
    <row r="247" ht="15.75" customHeight="1">
      <c r="A247" s="32" t="s">
        <v>340</v>
      </c>
      <c r="B247" s="32" t="s">
        <v>339</v>
      </c>
      <c r="C247" s="32" t="str">
        <f>vlookup(B247,State_EMM_RowSums!$A$2:$B$52,2,FALSE)</f>
        <v>CO</v>
      </c>
      <c r="D247" s="32">
        <v>8003.0</v>
      </c>
      <c r="E247" s="33">
        <f>IF(NOT(ISBLANK(vlookup($D247,Pop_Census_2023!$A$2:$E$3220,4,FALSE))),vlookup($D247,Pop_Census_2023!$A$2:$E$3220,4,FALSE), vlookup($D247,Pop_Census_2023!$A$2:$E$3220,5,FALSE))</f>
        <v>16655</v>
      </c>
      <c r="F247" s="32">
        <v>198117.0</v>
      </c>
      <c r="G247" s="32">
        <v>34.0</v>
      </c>
      <c r="H247" s="32" t="str">
        <f>VLOOKUP(D247, Grid_Region_Mapping!$D$2:$F$5286, 3, FALSE)</f>
        <v>RMRG</v>
      </c>
      <c r="I247" s="32">
        <v>8.0</v>
      </c>
      <c r="J247" s="34" t="str">
        <f t="shared" si="1"/>
        <v>West</v>
      </c>
      <c r="K247" s="35">
        <v>1.0</v>
      </c>
      <c r="L247" s="35" t="s">
        <v>282</v>
      </c>
      <c r="M247" s="36">
        <f>VLOOKUP(D247, County_Data_CZones!$B$2:$F$3236, 2, FALSE)</f>
        <v>6</v>
      </c>
      <c r="N247" s="37" t="str">
        <f>VLOOKUP(D247, County_Data_CZones!$B$2:$F$3236, 5, FALSE)</f>
        <v>Cold</v>
      </c>
    </row>
    <row r="248" ht="15.75" customHeight="1">
      <c r="A248" s="32" t="s">
        <v>341</v>
      </c>
      <c r="B248" s="32" t="s">
        <v>339</v>
      </c>
      <c r="C248" s="32" t="str">
        <f>vlookup(B248,State_EMM_RowSums!$A$2:$B$52,2,FALSE)</f>
        <v>CO</v>
      </c>
      <c r="D248" s="32">
        <v>8005.0</v>
      </c>
      <c r="E248" s="33">
        <f>IF(NOT(ISBLANK(vlookup($D248,Pop_Census_2023!$A$2:$E$3220,4,FALSE))),vlookup($D248,Pop_Census_2023!$A$2:$E$3220,4,FALSE), vlookup($D248,Pop_Census_2023!$A$2:$E$3220,5,FALSE))</f>
        <v>656061</v>
      </c>
      <c r="F248" s="32">
        <v>198118.0</v>
      </c>
      <c r="G248" s="32">
        <v>33.0</v>
      </c>
      <c r="H248" s="32" t="str">
        <f>VLOOKUP(D248, Grid_Region_Mapping!$D$2:$F$5286, 3, FALSE)</f>
        <v>RMRG</v>
      </c>
      <c r="I248" s="32">
        <v>8.0</v>
      </c>
      <c r="J248" s="34" t="str">
        <f t="shared" si="1"/>
        <v>West</v>
      </c>
      <c r="K248" s="35">
        <v>2.0</v>
      </c>
      <c r="L248" s="35" t="s">
        <v>202</v>
      </c>
      <c r="M248" s="36">
        <f>VLOOKUP(D248, County_Data_CZones!$B$2:$F$3236, 2, FALSE)</f>
        <v>5</v>
      </c>
      <c r="N248" s="37" t="str">
        <f>VLOOKUP(D248, County_Data_CZones!$B$2:$F$3236, 5, FALSE)</f>
        <v>Cold</v>
      </c>
    </row>
    <row r="249" ht="15.75" customHeight="1">
      <c r="A249" s="32" t="s">
        <v>342</v>
      </c>
      <c r="B249" s="32" t="s">
        <v>339</v>
      </c>
      <c r="C249" s="32" t="str">
        <f>vlookup(B249,State_EMM_RowSums!$A$2:$B$52,2,FALSE)</f>
        <v>CO</v>
      </c>
      <c r="D249" s="32">
        <v>8007.0</v>
      </c>
      <c r="E249" s="33">
        <f>IF(NOT(ISBLANK(vlookup($D249,Pop_Census_2023!$A$2:$E$3220,4,FALSE))),vlookup($D249,Pop_Census_2023!$A$2:$E$3220,4,FALSE), vlookup($D249,Pop_Census_2023!$A$2:$E$3220,5,FALSE))</f>
        <v>14189</v>
      </c>
      <c r="F249" s="32">
        <v>198119.0</v>
      </c>
      <c r="G249" s="32">
        <v>34.0</v>
      </c>
      <c r="H249" s="32" t="str">
        <f>VLOOKUP(D249, Grid_Region_Mapping!$D$2:$F$5286, 3, FALSE)</f>
        <v>RMRG</v>
      </c>
      <c r="I249" s="32">
        <v>8.0</v>
      </c>
      <c r="J249" s="34" t="str">
        <f t="shared" si="1"/>
        <v>West</v>
      </c>
      <c r="K249" s="35">
        <v>1.0</v>
      </c>
      <c r="L249" s="35" t="s">
        <v>282</v>
      </c>
      <c r="M249" s="36">
        <f>VLOOKUP(D249, County_Data_CZones!$B$2:$F$3236, 2, FALSE)</f>
        <v>6</v>
      </c>
      <c r="N249" s="37" t="str">
        <f>VLOOKUP(D249, County_Data_CZones!$B$2:$F$3236, 5, FALSE)</f>
        <v>Cold</v>
      </c>
    </row>
    <row r="250" ht="15.75" customHeight="1">
      <c r="A250" s="32" t="s">
        <v>343</v>
      </c>
      <c r="B250" s="32" t="s">
        <v>339</v>
      </c>
      <c r="C250" s="32" t="str">
        <f>vlookup(B250,State_EMM_RowSums!$A$2:$B$52,2,FALSE)</f>
        <v>CO</v>
      </c>
      <c r="D250" s="32">
        <v>8009.0</v>
      </c>
      <c r="E250" s="33">
        <f>IF(NOT(ISBLANK(vlookup($D250,Pop_Census_2023!$A$2:$E$3220,4,FALSE))),vlookup($D250,Pop_Census_2023!$A$2:$E$3220,4,FALSE), vlookup($D250,Pop_Census_2023!$A$2:$E$3220,5,FALSE))</f>
        <v>3344</v>
      </c>
      <c r="F250" s="32">
        <v>198120.0</v>
      </c>
      <c r="G250" s="32">
        <v>34.0</v>
      </c>
      <c r="H250" s="32" t="str">
        <f>VLOOKUP(D250, Grid_Region_Mapping!$D$2:$F$5286, 3, FALSE)</f>
        <v>RMRG</v>
      </c>
      <c r="I250" s="32">
        <v>8.0</v>
      </c>
      <c r="J250" s="34" t="str">
        <f t="shared" si="1"/>
        <v>West</v>
      </c>
      <c r="K250" s="35">
        <v>3.0</v>
      </c>
      <c r="L250" s="35" t="s">
        <v>207</v>
      </c>
      <c r="M250" s="36">
        <f>VLOOKUP(D250, County_Data_CZones!$B$2:$F$3236, 2, FALSE)</f>
        <v>4</v>
      </c>
      <c r="N250" s="37" t="str">
        <f>VLOOKUP(D250, County_Data_CZones!$B$2:$F$3236, 5, FALSE)</f>
        <v>Mixed-Dry</v>
      </c>
    </row>
    <row r="251" ht="15.75" customHeight="1">
      <c r="A251" s="32" t="s">
        <v>344</v>
      </c>
      <c r="B251" s="32" t="s">
        <v>339</v>
      </c>
      <c r="C251" s="32" t="str">
        <f>vlookup(B251,State_EMM_RowSums!$A$2:$B$52,2,FALSE)</f>
        <v>CO</v>
      </c>
      <c r="D251" s="32">
        <v>8011.0</v>
      </c>
      <c r="E251" s="33">
        <f>IF(NOT(ISBLANK(vlookup($D251,Pop_Census_2023!$A$2:$E$3220,4,FALSE))),vlookup($D251,Pop_Census_2023!$A$2:$E$3220,4,FALSE), vlookup($D251,Pop_Census_2023!$A$2:$E$3220,5,FALSE))</f>
        <v>5681</v>
      </c>
      <c r="F251" s="32">
        <v>198121.0</v>
      </c>
      <c r="G251" s="32">
        <v>34.0</v>
      </c>
      <c r="H251" s="32" t="str">
        <f>VLOOKUP(D251, Grid_Region_Mapping!$D$2:$F$5286, 3, FALSE)</f>
        <v>RMRG</v>
      </c>
      <c r="I251" s="32">
        <v>8.0</v>
      </c>
      <c r="J251" s="34" t="str">
        <f t="shared" si="1"/>
        <v>West</v>
      </c>
      <c r="K251" s="35">
        <v>3.0</v>
      </c>
      <c r="L251" s="35" t="s">
        <v>202</v>
      </c>
      <c r="M251" s="36">
        <f>VLOOKUP(D251, County_Data_CZones!$B$2:$F$3236, 2, FALSE)</f>
        <v>5</v>
      </c>
      <c r="N251" s="37" t="str">
        <f>VLOOKUP(D251, County_Data_CZones!$B$2:$F$3236, 5, FALSE)</f>
        <v>Cold</v>
      </c>
    </row>
    <row r="252" ht="15.75" customHeight="1">
      <c r="A252" s="32" t="s">
        <v>345</v>
      </c>
      <c r="B252" s="32" t="s">
        <v>339</v>
      </c>
      <c r="C252" s="32" t="str">
        <f>vlookup(B252,State_EMM_RowSums!$A$2:$B$52,2,FALSE)</f>
        <v>CO</v>
      </c>
      <c r="D252" s="32">
        <v>8013.0</v>
      </c>
      <c r="E252" s="33">
        <f>IF(NOT(ISBLANK(vlookup($D252,Pop_Census_2023!$A$2:$E$3220,4,FALSE))),vlookup($D252,Pop_Census_2023!$A$2:$E$3220,4,FALSE), vlookup($D252,Pop_Census_2023!$A$2:$E$3220,5,FALSE))</f>
        <v>326831</v>
      </c>
      <c r="F252" s="32">
        <v>198122.0</v>
      </c>
      <c r="G252" s="32">
        <v>33.0</v>
      </c>
      <c r="H252" s="32" t="str">
        <f>VLOOKUP(D252, Grid_Region_Mapping!$D$2:$F$5286, 3, FALSE)</f>
        <v>RMRG</v>
      </c>
      <c r="I252" s="32">
        <v>8.0</v>
      </c>
      <c r="J252" s="34" t="str">
        <f t="shared" si="1"/>
        <v>West</v>
      </c>
      <c r="K252" s="35">
        <v>2.0</v>
      </c>
      <c r="L252" s="35" t="s">
        <v>202</v>
      </c>
      <c r="M252" s="36">
        <f>VLOOKUP(D252, County_Data_CZones!$B$2:$F$3236, 2, FALSE)</f>
        <v>5</v>
      </c>
      <c r="N252" s="37" t="str">
        <f>VLOOKUP(D252, County_Data_CZones!$B$2:$F$3236, 5, FALSE)</f>
        <v>Cold</v>
      </c>
    </row>
    <row r="253" ht="15.75" customHeight="1">
      <c r="A253" s="32" t="s">
        <v>346</v>
      </c>
      <c r="B253" s="32" t="s">
        <v>339</v>
      </c>
      <c r="C253" s="32" t="str">
        <f>vlookup(B253,State_EMM_RowSums!$A$2:$B$52,2,FALSE)</f>
        <v>CO</v>
      </c>
      <c r="D253" s="32">
        <v>8014.0</v>
      </c>
      <c r="E253" s="33">
        <f>IF(NOT(ISBLANK(vlookup($D253,Pop_Census_2023!$A$2:$E$3220,4,FALSE))),vlookup($D253,Pop_Census_2023!$A$2:$E$3220,4,FALSE), vlookup($D253,Pop_Census_2023!$A$2:$E$3220,5,FALSE))</f>
        <v>76860</v>
      </c>
      <c r="F253" s="32">
        <v>1945881.0</v>
      </c>
      <c r="G253" s="32">
        <v>33.0</v>
      </c>
      <c r="H253" s="32" t="str">
        <f>VLOOKUP(D253, Grid_Region_Mapping!$D$2:$F$5286, 3, FALSE)</f>
        <v>RMRG</v>
      </c>
      <c r="I253" s="32">
        <v>8.0</v>
      </c>
      <c r="J253" s="34" t="str">
        <f t="shared" si="1"/>
        <v>West</v>
      </c>
      <c r="K253" s="35">
        <v>2.0</v>
      </c>
      <c r="L253" s="35" t="s">
        <v>202</v>
      </c>
      <c r="M253" s="36">
        <f>VLOOKUP(D253, County_Data_CZones!$B$2:$F$3236, 2, FALSE)</f>
        <v>5</v>
      </c>
      <c r="N253" s="37" t="str">
        <f>VLOOKUP(D253, County_Data_CZones!$B$2:$F$3236, 5, FALSE)</f>
        <v>Cold</v>
      </c>
    </row>
    <row r="254" ht="15.75" customHeight="1">
      <c r="A254" s="32" t="s">
        <v>347</v>
      </c>
      <c r="B254" s="32" t="s">
        <v>339</v>
      </c>
      <c r="C254" s="32" t="str">
        <f>vlookup(B254,State_EMM_RowSums!$A$2:$B$52,2,FALSE)</f>
        <v>CO</v>
      </c>
      <c r="D254" s="32">
        <v>8015.0</v>
      </c>
      <c r="E254" s="33">
        <f>IF(NOT(ISBLANK(vlookup($D254,Pop_Census_2023!$A$2:$E$3220,4,FALSE))),vlookup($D254,Pop_Census_2023!$A$2:$E$3220,4,FALSE), vlookup($D254,Pop_Census_2023!$A$2:$E$3220,5,FALSE))</f>
        <v>20617</v>
      </c>
      <c r="F254" s="32">
        <v>198123.0</v>
      </c>
      <c r="G254" s="32">
        <v>34.0</v>
      </c>
      <c r="H254" s="32" t="str">
        <f>VLOOKUP(D254, Grid_Region_Mapping!$D$2:$F$5286, 3, FALSE)</f>
        <v>RMRG</v>
      </c>
      <c r="I254" s="32">
        <v>8.0</v>
      </c>
      <c r="J254" s="34" t="str">
        <f t="shared" si="1"/>
        <v>West</v>
      </c>
      <c r="K254" s="35">
        <v>1.0</v>
      </c>
      <c r="L254" s="35" t="s">
        <v>282</v>
      </c>
      <c r="M254" s="36">
        <f>VLOOKUP(D254, County_Data_CZones!$B$2:$F$3236, 2, FALSE)</f>
        <v>6</v>
      </c>
      <c r="N254" s="37" t="str">
        <f>VLOOKUP(D254, County_Data_CZones!$B$2:$F$3236, 5, FALSE)</f>
        <v>Cold</v>
      </c>
    </row>
    <row r="255" ht="15.75" customHeight="1">
      <c r="A255" s="32" t="s">
        <v>348</v>
      </c>
      <c r="B255" s="32" t="s">
        <v>339</v>
      </c>
      <c r="C255" s="32" t="str">
        <f>vlookup(B255,State_EMM_RowSums!$A$2:$B$52,2,FALSE)</f>
        <v>CO</v>
      </c>
      <c r="D255" s="32">
        <v>8017.0</v>
      </c>
      <c r="E255" s="33">
        <f>IF(NOT(ISBLANK(vlookup($D255,Pop_Census_2023!$A$2:$E$3220,4,FALSE))),vlookup($D255,Pop_Census_2023!$A$2:$E$3220,4,FALSE), vlookup($D255,Pop_Census_2023!$A$2:$E$3220,5,FALSE))</f>
        <v>1727</v>
      </c>
      <c r="F255" s="32">
        <v>198124.0</v>
      </c>
      <c r="G255" s="32">
        <v>34.0</v>
      </c>
      <c r="H255" s="32" t="str">
        <f>VLOOKUP(D255, Grid_Region_Mapping!$D$2:$F$5286, 3, FALSE)</f>
        <v>RMRG</v>
      </c>
      <c r="I255" s="32">
        <v>8.0</v>
      </c>
      <c r="J255" s="34" t="str">
        <f t="shared" si="1"/>
        <v>West</v>
      </c>
      <c r="K255" s="35">
        <v>2.0</v>
      </c>
      <c r="L255" s="35" t="s">
        <v>202</v>
      </c>
      <c r="M255" s="36">
        <f>VLOOKUP(D255, County_Data_CZones!$B$2:$F$3236, 2, FALSE)</f>
        <v>5</v>
      </c>
      <c r="N255" s="37" t="str">
        <f>VLOOKUP(D255, County_Data_CZones!$B$2:$F$3236, 5, FALSE)</f>
        <v>Cold</v>
      </c>
    </row>
    <row r="256" ht="15.75" customHeight="1">
      <c r="A256" s="32" t="s">
        <v>349</v>
      </c>
      <c r="B256" s="32" t="s">
        <v>339</v>
      </c>
      <c r="C256" s="32" t="str">
        <f>vlookup(B256,State_EMM_RowSums!$A$2:$B$52,2,FALSE)</f>
        <v>CO</v>
      </c>
      <c r="D256" s="32">
        <v>8019.0</v>
      </c>
      <c r="E256" s="33">
        <f>IF(NOT(ISBLANK(vlookup($D256,Pop_Census_2023!$A$2:$E$3220,4,FALSE))),vlookup($D256,Pop_Census_2023!$A$2:$E$3220,4,FALSE), vlookup($D256,Pop_Census_2023!$A$2:$E$3220,5,FALSE))</f>
        <v>9147</v>
      </c>
      <c r="F256" s="32">
        <v>198125.0</v>
      </c>
      <c r="G256" s="32">
        <v>33.0</v>
      </c>
      <c r="H256" s="32" t="str">
        <f>VLOOKUP(D256, Grid_Region_Mapping!$D$2:$F$5286, 3, FALSE)</f>
        <v>RMRG</v>
      </c>
      <c r="I256" s="32">
        <v>8.0</v>
      </c>
      <c r="J256" s="34" t="str">
        <f t="shared" si="1"/>
        <v>West</v>
      </c>
      <c r="K256" s="35">
        <v>1.0</v>
      </c>
      <c r="L256" s="35">
        <v>7.0</v>
      </c>
      <c r="M256" s="36">
        <f>VLOOKUP(D256, County_Data_CZones!$B$2:$F$3236, 2, FALSE)</f>
        <v>7</v>
      </c>
      <c r="N256" s="37" t="str">
        <f>VLOOKUP(D256, County_Data_CZones!$B$2:$F$3236, 5, FALSE)</f>
        <v>Very Cold</v>
      </c>
    </row>
    <row r="257" ht="15.75" customHeight="1">
      <c r="A257" s="32" t="s">
        <v>350</v>
      </c>
      <c r="B257" s="32" t="s">
        <v>339</v>
      </c>
      <c r="C257" s="32" t="str">
        <f>vlookup(B257,State_EMM_RowSums!$A$2:$B$52,2,FALSE)</f>
        <v>CO</v>
      </c>
      <c r="D257" s="32">
        <v>8021.0</v>
      </c>
      <c r="E257" s="33">
        <f>IF(NOT(ISBLANK(vlookup($D257,Pop_Census_2023!$A$2:$E$3220,4,FALSE))),vlookup($D257,Pop_Census_2023!$A$2:$E$3220,4,FALSE), vlookup($D257,Pop_Census_2023!$A$2:$E$3220,5,FALSE))</f>
        <v>7521</v>
      </c>
      <c r="F257" s="32">
        <v>198126.0</v>
      </c>
      <c r="G257" s="32">
        <v>34.0</v>
      </c>
      <c r="H257" s="32" t="str">
        <f>VLOOKUP(D257, Grid_Region_Mapping!$D$2:$F$5286, 3, FALSE)</f>
        <v>RMRG</v>
      </c>
      <c r="I257" s="32">
        <v>8.0</v>
      </c>
      <c r="J257" s="34" t="str">
        <f t="shared" si="1"/>
        <v>West</v>
      </c>
      <c r="K257" s="35">
        <v>1.0</v>
      </c>
      <c r="L257" s="35" t="s">
        <v>282</v>
      </c>
      <c r="M257" s="36">
        <f>VLOOKUP(D257, County_Data_CZones!$B$2:$F$3236, 2, FALSE)</f>
        <v>6</v>
      </c>
      <c r="N257" s="37" t="str">
        <f>VLOOKUP(D257, County_Data_CZones!$B$2:$F$3236, 5, FALSE)</f>
        <v>Cold</v>
      </c>
    </row>
    <row r="258" ht="15.75" customHeight="1">
      <c r="A258" s="32" t="s">
        <v>351</v>
      </c>
      <c r="B258" s="32" t="s">
        <v>339</v>
      </c>
      <c r="C258" s="32" t="str">
        <f>vlookup(B258,State_EMM_RowSums!$A$2:$B$52,2,FALSE)</f>
        <v>CO</v>
      </c>
      <c r="D258" s="32">
        <v>8023.0</v>
      </c>
      <c r="E258" s="33">
        <f>IF(NOT(ISBLANK(vlookup($D258,Pop_Census_2023!$A$2:$E$3220,4,FALSE))),vlookup($D258,Pop_Census_2023!$A$2:$E$3220,4,FALSE), vlookup($D258,Pop_Census_2023!$A$2:$E$3220,5,FALSE))</f>
        <v>3628</v>
      </c>
      <c r="F258" s="32">
        <v>198127.0</v>
      </c>
      <c r="G258" s="32">
        <v>34.0</v>
      </c>
      <c r="H258" s="32" t="str">
        <f>VLOOKUP(D258, Grid_Region_Mapping!$D$2:$F$5286, 3, FALSE)</f>
        <v>RMRG</v>
      </c>
      <c r="I258" s="32">
        <v>8.0</v>
      </c>
      <c r="J258" s="34" t="str">
        <f t="shared" si="1"/>
        <v>West</v>
      </c>
      <c r="K258" s="35">
        <v>1.0</v>
      </c>
      <c r="L258" s="35" t="s">
        <v>282</v>
      </c>
      <c r="M258" s="36">
        <f>VLOOKUP(D258, County_Data_CZones!$B$2:$F$3236, 2, FALSE)</f>
        <v>6</v>
      </c>
      <c r="N258" s="37" t="str">
        <f>VLOOKUP(D258, County_Data_CZones!$B$2:$F$3236, 5, FALSE)</f>
        <v>Cold</v>
      </c>
    </row>
    <row r="259" ht="15.75" customHeight="1">
      <c r="A259" s="32" t="s">
        <v>352</v>
      </c>
      <c r="B259" s="32" t="s">
        <v>339</v>
      </c>
      <c r="C259" s="32" t="str">
        <f>vlookup(B259,State_EMM_RowSums!$A$2:$B$52,2,FALSE)</f>
        <v>CO</v>
      </c>
      <c r="D259" s="32">
        <v>8025.0</v>
      </c>
      <c r="E259" s="33">
        <f>IF(NOT(ISBLANK(vlookup($D259,Pop_Census_2023!$A$2:$E$3220,4,FALSE))),vlookup($D259,Pop_Census_2023!$A$2:$E$3220,4,FALSE), vlookup($D259,Pop_Census_2023!$A$2:$E$3220,5,FALSE))</f>
        <v>5636</v>
      </c>
      <c r="F259" s="32">
        <v>198128.0</v>
      </c>
      <c r="G259" s="32">
        <v>34.0</v>
      </c>
      <c r="H259" s="32" t="str">
        <f>VLOOKUP(D259, Grid_Region_Mapping!$D$2:$F$5286, 3, FALSE)</f>
        <v>RMRG</v>
      </c>
      <c r="I259" s="32">
        <v>8.0</v>
      </c>
      <c r="J259" s="34" t="str">
        <f t="shared" si="1"/>
        <v>West</v>
      </c>
      <c r="K259" s="35">
        <v>3.0</v>
      </c>
      <c r="L259" s="35" t="s">
        <v>202</v>
      </c>
      <c r="M259" s="36">
        <f>VLOOKUP(D259, County_Data_CZones!$B$2:$F$3236, 2, FALSE)</f>
        <v>5</v>
      </c>
      <c r="N259" s="37" t="str">
        <f>VLOOKUP(D259, County_Data_CZones!$B$2:$F$3236, 5, FALSE)</f>
        <v>Cold</v>
      </c>
    </row>
    <row r="260" ht="15.75" customHeight="1">
      <c r="A260" s="32" t="s">
        <v>353</v>
      </c>
      <c r="B260" s="32" t="s">
        <v>339</v>
      </c>
      <c r="C260" s="32" t="str">
        <f>vlookup(B260,State_EMM_RowSums!$A$2:$B$52,2,FALSE)</f>
        <v>CO</v>
      </c>
      <c r="D260" s="32">
        <v>8027.0</v>
      </c>
      <c r="E260" s="33">
        <f>IF(NOT(ISBLANK(vlookup($D260,Pop_Census_2023!$A$2:$E$3220,4,FALSE))),vlookup($D260,Pop_Census_2023!$A$2:$E$3220,4,FALSE), vlookup($D260,Pop_Census_2023!$A$2:$E$3220,5,FALSE))</f>
        <v>5534</v>
      </c>
      <c r="F260" s="32">
        <v>198129.0</v>
      </c>
      <c r="G260" s="32">
        <v>34.0</v>
      </c>
      <c r="H260" s="32" t="str">
        <f>VLOOKUP(D260, Grid_Region_Mapping!$D$2:$F$5286, 3, FALSE)</f>
        <v>RMRG</v>
      </c>
      <c r="I260" s="32">
        <v>8.0</v>
      </c>
      <c r="J260" s="34" t="str">
        <f t="shared" si="1"/>
        <v>West</v>
      </c>
      <c r="K260" s="35">
        <v>1.0</v>
      </c>
      <c r="L260" s="35" t="s">
        <v>282</v>
      </c>
      <c r="M260" s="36">
        <f>VLOOKUP(D260, County_Data_CZones!$B$2:$F$3236, 2, FALSE)</f>
        <v>6</v>
      </c>
      <c r="N260" s="37" t="str">
        <f>VLOOKUP(D260, County_Data_CZones!$B$2:$F$3236, 5, FALSE)</f>
        <v>Cold</v>
      </c>
    </row>
    <row r="261" ht="15.75" customHeight="1">
      <c r="A261" s="32" t="s">
        <v>354</v>
      </c>
      <c r="B261" s="32" t="s">
        <v>339</v>
      </c>
      <c r="C261" s="32" t="str">
        <f>vlookup(B261,State_EMM_RowSums!$A$2:$B$52,2,FALSE)</f>
        <v>CO</v>
      </c>
      <c r="D261" s="32">
        <v>8029.0</v>
      </c>
      <c r="E261" s="33">
        <f>IF(NOT(ISBLANK(vlookup($D261,Pop_Census_2023!$A$2:$E$3220,4,FALSE))),vlookup($D261,Pop_Census_2023!$A$2:$E$3220,4,FALSE), vlookup($D261,Pop_Census_2023!$A$2:$E$3220,5,FALSE))</f>
        <v>31746</v>
      </c>
      <c r="F261" s="32">
        <v>198130.0</v>
      </c>
      <c r="G261" s="32">
        <v>34.0</v>
      </c>
      <c r="H261" s="32" t="str">
        <f>VLOOKUP(D261, Grid_Region_Mapping!$D$2:$F$5286, 3, FALSE)</f>
        <v>RMRG</v>
      </c>
      <c r="I261" s="32">
        <v>8.0</v>
      </c>
      <c r="J261" s="34" t="str">
        <f t="shared" si="1"/>
        <v>West</v>
      </c>
      <c r="K261" s="35">
        <v>2.0</v>
      </c>
      <c r="L261" s="35" t="s">
        <v>202</v>
      </c>
      <c r="M261" s="36">
        <f>VLOOKUP(D261, County_Data_CZones!$B$2:$F$3236, 2, FALSE)</f>
        <v>5</v>
      </c>
      <c r="N261" s="37" t="str">
        <f>VLOOKUP(D261, County_Data_CZones!$B$2:$F$3236, 5, FALSE)</f>
        <v>Cold</v>
      </c>
    </row>
    <row r="262" ht="15.75" customHeight="1">
      <c r="A262" s="32" t="s">
        <v>355</v>
      </c>
      <c r="B262" s="32" t="s">
        <v>339</v>
      </c>
      <c r="C262" s="32" t="str">
        <f>vlookup(B262,State_EMM_RowSums!$A$2:$B$52,2,FALSE)</f>
        <v>CO</v>
      </c>
      <c r="D262" s="32">
        <v>8031.0</v>
      </c>
      <c r="E262" s="33">
        <f>IF(NOT(ISBLANK(vlookup($D262,Pop_Census_2023!$A$2:$E$3220,4,FALSE))),vlookup($D262,Pop_Census_2023!$A$2:$E$3220,4,FALSE), vlookup($D262,Pop_Census_2023!$A$2:$E$3220,5,FALSE))</f>
        <v>716577</v>
      </c>
      <c r="F262" s="32">
        <v>198131.0</v>
      </c>
      <c r="G262" s="32">
        <v>33.0</v>
      </c>
      <c r="H262" s="32" t="str">
        <f>VLOOKUP(D262, Grid_Region_Mapping!$D$2:$F$5286, 3, FALSE)</f>
        <v>RMRG</v>
      </c>
      <c r="I262" s="32">
        <v>8.0</v>
      </c>
      <c r="J262" s="34" t="str">
        <f t="shared" si="1"/>
        <v>West</v>
      </c>
      <c r="K262" s="35">
        <v>2.0</v>
      </c>
      <c r="L262" s="35" t="s">
        <v>202</v>
      </c>
      <c r="M262" s="36">
        <f>VLOOKUP(D262, County_Data_CZones!$B$2:$F$3236, 2, FALSE)</f>
        <v>5</v>
      </c>
      <c r="N262" s="37" t="str">
        <f>VLOOKUP(D262, County_Data_CZones!$B$2:$F$3236, 5, FALSE)</f>
        <v>Cold</v>
      </c>
    </row>
    <row r="263" ht="15.75" customHeight="1">
      <c r="A263" s="32" t="s">
        <v>356</v>
      </c>
      <c r="B263" s="32" t="s">
        <v>339</v>
      </c>
      <c r="C263" s="32" t="str">
        <f>vlookup(B263,State_EMM_RowSums!$A$2:$B$52,2,FALSE)</f>
        <v>CO</v>
      </c>
      <c r="D263" s="32">
        <v>8033.0</v>
      </c>
      <c r="E263" s="33">
        <f>IF(NOT(ISBLANK(vlookup($D263,Pop_Census_2023!$A$2:$E$3220,4,FALSE))),vlookup($D263,Pop_Census_2023!$A$2:$E$3220,4,FALSE), vlookup($D263,Pop_Census_2023!$A$2:$E$3220,5,FALSE))</f>
        <v>2513</v>
      </c>
      <c r="F263" s="32">
        <v>198132.0</v>
      </c>
      <c r="G263" s="32">
        <v>34.0</v>
      </c>
      <c r="H263" s="32" t="str">
        <f>VLOOKUP(D263, Grid_Region_Mapping!$D$2:$F$5286, 3, FALSE)</f>
        <v>RMRG</v>
      </c>
      <c r="I263" s="32">
        <v>8.0</v>
      </c>
      <c r="J263" s="34" t="str">
        <f t="shared" si="1"/>
        <v>West</v>
      </c>
      <c r="K263" s="35">
        <v>1.0</v>
      </c>
      <c r="L263" s="35" t="s">
        <v>282</v>
      </c>
      <c r="M263" s="36">
        <f>VLOOKUP(D263, County_Data_CZones!$B$2:$F$3236, 2, FALSE)</f>
        <v>6</v>
      </c>
      <c r="N263" s="37" t="str">
        <f>VLOOKUP(D263, County_Data_CZones!$B$2:$F$3236, 5, FALSE)</f>
        <v>Cold</v>
      </c>
    </row>
    <row r="264" ht="15.75" customHeight="1">
      <c r="A264" s="32" t="s">
        <v>357</v>
      </c>
      <c r="B264" s="32" t="s">
        <v>339</v>
      </c>
      <c r="C264" s="32" t="str">
        <f>vlookup(B264,State_EMM_RowSums!$A$2:$B$52,2,FALSE)</f>
        <v>CO</v>
      </c>
      <c r="D264" s="32">
        <v>8035.0</v>
      </c>
      <c r="E264" s="33">
        <f>IF(NOT(ISBLANK(vlookup($D264,Pop_Census_2023!$A$2:$E$3220,4,FALSE))),vlookup($D264,Pop_Census_2023!$A$2:$E$3220,4,FALSE), vlookup($D264,Pop_Census_2023!$A$2:$E$3220,5,FALSE))</f>
        <v>383906</v>
      </c>
      <c r="F264" s="32">
        <v>198133.0</v>
      </c>
      <c r="G264" s="32">
        <v>33.0</v>
      </c>
      <c r="H264" s="32" t="str">
        <f>VLOOKUP(D264, Grid_Region_Mapping!$D$2:$F$5286, 3, FALSE)</f>
        <v>RMRG</v>
      </c>
      <c r="I264" s="32">
        <v>8.0</v>
      </c>
      <c r="J264" s="34" t="str">
        <f t="shared" si="1"/>
        <v>West</v>
      </c>
      <c r="K264" s="35">
        <v>2.0</v>
      </c>
      <c r="L264" s="35" t="s">
        <v>202</v>
      </c>
      <c r="M264" s="36">
        <f>VLOOKUP(D264, County_Data_CZones!$B$2:$F$3236, 2, FALSE)</f>
        <v>5</v>
      </c>
      <c r="N264" s="37" t="str">
        <f>VLOOKUP(D264, County_Data_CZones!$B$2:$F$3236, 5, FALSE)</f>
        <v>Cold</v>
      </c>
    </row>
    <row r="265" ht="15.75" customHeight="1">
      <c r="A265" s="32" t="s">
        <v>358</v>
      </c>
      <c r="B265" s="32" t="s">
        <v>339</v>
      </c>
      <c r="C265" s="32" t="str">
        <f>vlookup(B265,State_EMM_RowSums!$A$2:$B$52,2,FALSE)</f>
        <v>CO</v>
      </c>
      <c r="D265" s="32">
        <v>8037.0</v>
      </c>
      <c r="E265" s="33">
        <f>IF(NOT(ISBLANK(vlookup($D265,Pop_Census_2023!$A$2:$E$3220,4,FALSE))),vlookup($D265,Pop_Census_2023!$A$2:$E$3220,4,FALSE), vlookup($D265,Pop_Census_2023!$A$2:$E$3220,5,FALSE))</f>
        <v>54381</v>
      </c>
      <c r="F265" s="32">
        <v>198134.0</v>
      </c>
      <c r="G265" s="32">
        <v>33.0</v>
      </c>
      <c r="H265" s="32" t="str">
        <f>VLOOKUP(D265, Grid_Region_Mapping!$D$2:$F$5286, 3, FALSE)</f>
        <v>RMRG</v>
      </c>
      <c r="I265" s="32">
        <v>8.0</v>
      </c>
      <c r="J265" s="34" t="str">
        <f t="shared" si="1"/>
        <v>West</v>
      </c>
      <c r="K265" s="35">
        <v>1.0</v>
      </c>
      <c r="L265" s="35" t="s">
        <v>282</v>
      </c>
      <c r="M265" s="36">
        <f>VLOOKUP(D265, County_Data_CZones!$B$2:$F$3236, 2, FALSE)</f>
        <v>6</v>
      </c>
      <c r="N265" s="37" t="str">
        <f>VLOOKUP(D265, County_Data_CZones!$B$2:$F$3236, 5, FALSE)</f>
        <v>Cold</v>
      </c>
    </row>
    <row r="266" ht="15.75" customHeight="1">
      <c r="A266" s="32" t="s">
        <v>359</v>
      </c>
      <c r="B266" s="32" t="s">
        <v>339</v>
      </c>
      <c r="C266" s="32" t="str">
        <f>vlookup(B266,State_EMM_RowSums!$A$2:$B$52,2,FALSE)</f>
        <v>CO</v>
      </c>
      <c r="D266" s="32">
        <v>8039.0</v>
      </c>
      <c r="E266" s="33">
        <f>IF(NOT(ISBLANK(vlookup($D266,Pop_Census_2023!$A$2:$E$3220,4,FALSE))),vlookup($D266,Pop_Census_2023!$A$2:$E$3220,4,FALSE), vlookup($D266,Pop_Census_2023!$A$2:$E$3220,5,FALSE))</f>
        <v>28806</v>
      </c>
      <c r="F266" s="32">
        <v>198136.0</v>
      </c>
      <c r="G266" s="32">
        <v>34.0</v>
      </c>
      <c r="H266" s="32" t="str">
        <f>VLOOKUP(D266, Grid_Region_Mapping!$D$2:$F$5286, 3, FALSE)</f>
        <v>RMRG</v>
      </c>
      <c r="I266" s="32">
        <v>8.0</v>
      </c>
      <c r="J266" s="34" t="str">
        <f t="shared" si="1"/>
        <v>West</v>
      </c>
      <c r="K266" s="35">
        <v>2.0</v>
      </c>
      <c r="L266" s="35" t="s">
        <v>202</v>
      </c>
      <c r="M266" s="36">
        <f>VLOOKUP(D266, County_Data_CZones!$B$2:$F$3236, 2, FALSE)</f>
        <v>5</v>
      </c>
      <c r="N266" s="37" t="str">
        <f>VLOOKUP(D266, County_Data_CZones!$B$2:$F$3236, 5, FALSE)</f>
        <v>Cold</v>
      </c>
    </row>
    <row r="267" ht="15.75" customHeight="1">
      <c r="A267" s="32" t="s">
        <v>360</v>
      </c>
      <c r="B267" s="32" t="s">
        <v>339</v>
      </c>
      <c r="C267" s="32" t="str">
        <f>vlookup(B267,State_EMM_RowSums!$A$2:$B$52,2,FALSE)</f>
        <v>CO</v>
      </c>
      <c r="D267" s="32">
        <v>8041.0</v>
      </c>
      <c r="E267" s="33">
        <f>IF(NOT(ISBLANK(vlookup($D267,Pop_Census_2023!$A$2:$E$3220,4,FALSE))),vlookup($D267,Pop_Census_2023!$A$2:$E$3220,4,FALSE), vlookup($D267,Pop_Census_2023!$A$2:$E$3220,5,FALSE))</f>
        <v>744215</v>
      </c>
      <c r="F267" s="32">
        <v>198135.0</v>
      </c>
      <c r="G267" s="32">
        <v>34.0</v>
      </c>
      <c r="H267" s="32" t="str">
        <f>VLOOKUP(D267, Grid_Region_Mapping!$D$2:$F$5286, 3, FALSE)</f>
        <v>RMRG</v>
      </c>
      <c r="I267" s="32">
        <v>8.0</v>
      </c>
      <c r="J267" s="34" t="str">
        <f t="shared" si="1"/>
        <v>West</v>
      </c>
      <c r="K267" s="35">
        <v>2.0</v>
      </c>
      <c r="L267" s="35" t="s">
        <v>202</v>
      </c>
      <c r="M267" s="36">
        <f>VLOOKUP(D267, County_Data_CZones!$B$2:$F$3236, 2, FALSE)</f>
        <v>5</v>
      </c>
      <c r="N267" s="37" t="str">
        <f>VLOOKUP(D267, County_Data_CZones!$B$2:$F$3236, 5, FALSE)</f>
        <v>Cold</v>
      </c>
    </row>
    <row r="268" ht="15.75" customHeight="1">
      <c r="A268" s="32" t="s">
        <v>361</v>
      </c>
      <c r="B268" s="32" t="s">
        <v>339</v>
      </c>
      <c r="C268" s="32" t="str">
        <f>vlookup(B268,State_EMM_RowSums!$A$2:$B$52,2,FALSE)</f>
        <v>CO</v>
      </c>
      <c r="D268" s="32">
        <v>8043.0</v>
      </c>
      <c r="E268" s="33">
        <f>IF(NOT(ISBLANK(vlookup($D268,Pop_Census_2023!$A$2:$E$3220,4,FALSE))),vlookup($D268,Pop_Census_2023!$A$2:$E$3220,4,FALSE), vlookup($D268,Pop_Census_2023!$A$2:$E$3220,5,FALSE))</f>
        <v>50318</v>
      </c>
      <c r="F268" s="32">
        <v>198137.0</v>
      </c>
      <c r="G268" s="32">
        <v>34.0</v>
      </c>
      <c r="H268" s="32" t="str">
        <f>VLOOKUP(D268, Grid_Region_Mapping!$D$2:$F$5286, 3, FALSE)</f>
        <v>RMRG</v>
      </c>
      <c r="I268" s="32">
        <v>8.0</v>
      </c>
      <c r="J268" s="34" t="str">
        <f t="shared" si="1"/>
        <v>West</v>
      </c>
      <c r="K268" s="35">
        <v>3.0</v>
      </c>
      <c r="L268" s="35" t="s">
        <v>202</v>
      </c>
      <c r="M268" s="36">
        <f>VLOOKUP(D268, County_Data_CZones!$B$2:$F$3236, 2, FALSE)</f>
        <v>5</v>
      </c>
      <c r="N268" s="37" t="str">
        <f>VLOOKUP(D268, County_Data_CZones!$B$2:$F$3236, 5, FALSE)</f>
        <v>Cold</v>
      </c>
    </row>
    <row r="269" ht="15.75" customHeight="1">
      <c r="A269" s="32" t="s">
        <v>362</v>
      </c>
      <c r="B269" s="32" t="s">
        <v>339</v>
      </c>
      <c r="C269" s="32" t="str">
        <f>vlookup(B269,State_EMM_RowSums!$A$2:$B$52,2,FALSE)</f>
        <v>CO</v>
      </c>
      <c r="D269" s="32">
        <v>8045.0</v>
      </c>
      <c r="E269" s="33">
        <f>IF(NOT(ISBLANK(vlookup($D269,Pop_Census_2023!$A$2:$E$3220,4,FALSE))),vlookup($D269,Pop_Census_2023!$A$2:$E$3220,4,FALSE), vlookup($D269,Pop_Census_2023!$A$2:$E$3220,5,FALSE))</f>
        <v>62707</v>
      </c>
      <c r="F269" s="32">
        <v>198138.0</v>
      </c>
      <c r="G269" s="32">
        <v>33.0</v>
      </c>
      <c r="H269" s="32" t="str">
        <f>VLOOKUP(D269, Grid_Region_Mapping!$D$2:$F$5286, 3, FALSE)</f>
        <v>RMRG</v>
      </c>
      <c r="I269" s="32">
        <v>8.0</v>
      </c>
      <c r="J269" s="34" t="str">
        <f t="shared" si="1"/>
        <v>West</v>
      </c>
      <c r="K269" s="35">
        <v>1.0</v>
      </c>
      <c r="L269" s="35" t="s">
        <v>202</v>
      </c>
      <c r="M269" s="36">
        <f>VLOOKUP(D269, County_Data_CZones!$B$2:$F$3236, 2, FALSE)</f>
        <v>5</v>
      </c>
      <c r="N269" s="37" t="str">
        <f>VLOOKUP(D269, County_Data_CZones!$B$2:$F$3236, 5, FALSE)</f>
        <v>Cold</v>
      </c>
    </row>
    <row r="270" ht="15.75" customHeight="1">
      <c r="A270" s="32" t="s">
        <v>363</v>
      </c>
      <c r="B270" s="32" t="s">
        <v>339</v>
      </c>
      <c r="C270" s="32" t="str">
        <f>vlookup(B270,State_EMM_RowSums!$A$2:$B$52,2,FALSE)</f>
        <v>CO</v>
      </c>
      <c r="D270" s="32">
        <v>8047.0</v>
      </c>
      <c r="E270" s="33">
        <f>IF(NOT(ISBLANK(vlookup($D270,Pop_Census_2023!$A$2:$E$3220,4,FALSE))),vlookup($D270,Pop_Census_2023!$A$2:$E$3220,4,FALSE), vlookup($D270,Pop_Census_2023!$A$2:$E$3220,5,FALSE))</f>
        <v>5926</v>
      </c>
      <c r="F270" s="32">
        <v>198139.0</v>
      </c>
      <c r="G270" s="32">
        <v>33.0</v>
      </c>
      <c r="H270" s="32" t="str">
        <f>VLOOKUP(D270, Grid_Region_Mapping!$D$2:$F$5286, 3, FALSE)</f>
        <v>RMRG</v>
      </c>
      <c r="I270" s="32">
        <v>8.0</v>
      </c>
      <c r="J270" s="34" t="str">
        <f t="shared" si="1"/>
        <v>West</v>
      </c>
      <c r="K270" s="35">
        <v>2.0</v>
      </c>
      <c r="L270" s="35" t="s">
        <v>202</v>
      </c>
      <c r="M270" s="36">
        <f>VLOOKUP(D270, County_Data_CZones!$B$2:$F$3236, 2, FALSE)</f>
        <v>5</v>
      </c>
      <c r="N270" s="37" t="str">
        <f>VLOOKUP(D270, County_Data_CZones!$B$2:$F$3236, 5, FALSE)</f>
        <v>Cold</v>
      </c>
    </row>
    <row r="271" ht="15.75" customHeight="1">
      <c r="A271" s="32" t="s">
        <v>364</v>
      </c>
      <c r="B271" s="32" t="s">
        <v>339</v>
      </c>
      <c r="C271" s="32" t="str">
        <f>vlookup(B271,State_EMM_RowSums!$A$2:$B$52,2,FALSE)</f>
        <v>CO</v>
      </c>
      <c r="D271" s="32">
        <v>8049.0</v>
      </c>
      <c r="E271" s="33">
        <f>IF(NOT(ISBLANK(vlookup($D271,Pop_Census_2023!$A$2:$E$3220,4,FALSE))),vlookup($D271,Pop_Census_2023!$A$2:$E$3220,4,FALSE), vlookup($D271,Pop_Census_2023!$A$2:$E$3220,5,FALSE))</f>
        <v>15935</v>
      </c>
      <c r="F271" s="32">
        <v>198140.0</v>
      </c>
      <c r="G271" s="32">
        <v>33.0</v>
      </c>
      <c r="H271" s="32" t="str">
        <f>VLOOKUP(D271, Grid_Region_Mapping!$D$2:$F$5286, 3, FALSE)</f>
        <v>RMRG</v>
      </c>
      <c r="I271" s="32">
        <v>8.0</v>
      </c>
      <c r="J271" s="34" t="str">
        <f t="shared" si="1"/>
        <v>West</v>
      </c>
      <c r="K271" s="35">
        <v>1.0</v>
      </c>
      <c r="L271" s="35">
        <v>7.0</v>
      </c>
      <c r="M271" s="36">
        <f>VLOOKUP(D271, County_Data_CZones!$B$2:$F$3236, 2, FALSE)</f>
        <v>7</v>
      </c>
      <c r="N271" s="37" t="str">
        <f>VLOOKUP(D271, County_Data_CZones!$B$2:$F$3236, 5, FALSE)</f>
        <v>Very Cold</v>
      </c>
    </row>
    <row r="272" ht="15.75" customHeight="1">
      <c r="A272" s="32" t="s">
        <v>365</v>
      </c>
      <c r="B272" s="32" t="s">
        <v>339</v>
      </c>
      <c r="C272" s="32" t="str">
        <f>vlookup(B272,State_EMM_RowSums!$A$2:$B$52,2,FALSE)</f>
        <v>CO</v>
      </c>
      <c r="D272" s="32">
        <v>8051.0</v>
      </c>
      <c r="E272" s="33">
        <f>IF(NOT(ISBLANK(vlookup($D272,Pop_Census_2023!$A$2:$E$3220,4,FALSE))),vlookup($D272,Pop_Census_2023!$A$2:$E$3220,4,FALSE), vlookup($D272,Pop_Census_2023!$A$2:$E$3220,5,FALSE))</f>
        <v>17321</v>
      </c>
      <c r="F272" s="32">
        <v>198141.0</v>
      </c>
      <c r="G272" s="32">
        <v>34.0</v>
      </c>
      <c r="H272" s="32" t="str">
        <f>VLOOKUP(D272, Grid_Region_Mapping!$D$2:$F$5286, 3, FALSE)</f>
        <v>RMRG</v>
      </c>
      <c r="I272" s="32">
        <v>8.0</v>
      </c>
      <c r="J272" s="34" t="str">
        <f t="shared" si="1"/>
        <v>West</v>
      </c>
      <c r="K272" s="35">
        <v>1.0</v>
      </c>
      <c r="L272" s="35">
        <v>7.0</v>
      </c>
      <c r="M272" s="36">
        <f>VLOOKUP(D272, County_Data_CZones!$B$2:$F$3236, 2, FALSE)</f>
        <v>7</v>
      </c>
      <c r="N272" s="37" t="str">
        <f>VLOOKUP(D272, County_Data_CZones!$B$2:$F$3236, 5, FALSE)</f>
        <v>Very Cold</v>
      </c>
    </row>
    <row r="273" ht="15.75" customHeight="1">
      <c r="A273" s="32" t="s">
        <v>366</v>
      </c>
      <c r="B273" s="32" t="s">
        <v>339</v>
      </c>
      <c r="C273" s="32" t="str">
        <f>vlookup(B273,State_EMM_RowSums!$A$2:$B$52,2,FALSE)</f>
        <v>CO</v>
      </c>
      <c r="D273" s="32">
        <v>8053.0</v>
      </c>
      <c r="E273" s="33">
        <f>IF(NOT(ISBLANK(vlookup($D273,Pop_Census_2023!$A$2:$E$3220,4,FALSE))),vlookup($D273,Pop_Census_2023!$A$2:$E$3220,4,FALSE), vlookup($D273,Pop_Census_2023!$A$2:$E$3220,5,FALSE))</f>
        <v>765</v>
      </c>
      <c r="F273" s="32">
        <v>198142.0</v>
      </c>
      <c r="G273" s="32">
        <v>34.0</v>
      </c>
      <c r="H273" s="32" t="str">
        <f>VLOOKUP(D273, Grid_Region_Mapping!$D$2:$F$5286, 3, FALSE)</f>
        <v>RMRG</v>
      </c>
      <c r="I273" s="32">
        <v>8.0</v>
      </c>
      <c r="J273" s="34" t="str">
        <f t="shared" si="1"/>
        <v>West</v>
      </c>
      <c r="K273" s="35">
        <v>1.0</v>
      </c>
      <c r="L273" s="35">
        <v>7.0</v>
      </c>
      <c r="M273" s="36">
        <f>VLOOKUP(D273, County_Data_CZones!$B$2:$F$3236, 2, FALSE)</f>
        <v>7</v>
      </c>
      <c r="N273" s="37" t="str">
        <f>VLOOKUP(D273, County_Data_CZones!$B$2:$F$3236, 5, FALSE)</f>
        <v>Very Cold</v>
      </c>
    </row>
    <row r="274" ht="15.75" customHeight="1">
      <c r="A274" s="32" t="s">
        <v>367</v>
      </c>
      <c r="B274" s="32" t="s">
        <v>339</v>
      </c>
      <c r="C274" s="32" t="str">
        <f>vlookup(B274,State_EMM_RowSums!$A$2:$B$52,2,FALSE)</f>
        <v>CO</v>
      </c>
      <c r="D274" s="32">
        <v>8055.0</v>
      </c>
      <c r="E274" s="33">
        <f>IF(NOT(ISBLANK(vlookup($D274,Pop_Census_2023!$A$2:$E$3220,4,FALSE))),vlookup($D274,Pop_Census_2023!$A$2:$E$3220,4,FALSE), vlookup($D274,Pop_Census_2023!$A$2:$E$3220,5,FALSE))</f>
        <v>7055</v>
      </c>
      <c r="F274" s="32">
        <v>198143.0</v>
      </c>
      <c r="G274" s="32">
        <v>34.0</v>
      </c>
      <c r="H274" s="32" t="str">
        <f>VLOOKUP(D274, Grid_Region_Mapping!$D$2:$F$5286, 3, FALSE)</f>
        <v>RMRG</v>
      </c>
      <c r="I274" s="32">
        <v>8.0</v>
      </c>
      <c r="J274" s="34" t="str">
        <f t="shared" si="1"/>
        <v>West</v>
      </c>
      <c r="K274" s="35">
        <v>3.0</v>
      </c>
      <c r="L274" s="35" t="s">
        <v>202</v>
      </c>
      <c r="M274" s="36">
        <f>VLOOKUP(D274, County_Data_CZones!$B$2:$F$3236, 2, FALSE)</f>
        <v>5</v>
      </c>
      <c r="N274" s="37" t="str">
        <f>VLOOKUP(D274, County_Data_CZones!$B$2:$F$3236, 5, FALSE)</f>
        <v>Cold</v>
      </c>
    </row>
    <row r="275" ht="15.75" customHeight="1">
      <c r="A275" s="32" t="s">
        <v>138</v>
      </c>
      <c r="B275" s="32" t="s">
        <v>339</v>
      </c>
      <c r="C275" s="32" t="str">
        <f>vlookup(B275,State_EMM_RowSums!$A$2:$B$52,2,FALSE)</f>
        <v>CO</v>
      </c>
      <c r="D275" s="32">
        <v>8057.0</v>
      </c>
      <c r="E275" s="33">
        <f>IF(NOT(ISBLANK(vlookup($D275,Pop_Census_2023!$A$2:$E$3220,4,FALSE))),vlookup($D275,Pop_Census_2023!$A$2:$E$3220,4,FALSE), vlookup($D275,Pop_Census_2023!$A$2:$E$3220,5,FALSE))</f>
        <v>1309</v>
      </c>
      <c r="F275" s="32">
        <v>198144.0</v>
      </c>
      <c r="G275" s="32">
        <v>33.0</v>
      </c>
      <c r="H275" s="32" t="str">
        <f>VLOOKUP(D275, Grid_Region_Mapping!$D$2:$F$5286, 3, FALSE)</f>
        <v>RMRG</v>
      </c>
      <c r="I275" s="32">
        <v>8.0</v>
      </c>
      <c r="J275" s="34" t="str">
        <f t="shared" si="1"/>
        <v>West</v>
      </c>
      <c r="K275" s="35">
        <v>1.0</v>
      </c>
      <c r="L275" s="35">
        <v>7.0</v>
      </c>
      <c r="M275" s="36">
        <f>VLOOKUP(D275, County_Data_CZones!$B$2:$F$3236, 2, FALSE)</f>
        <v>7</v>
      </c>
      <c r="N275" s="37" t="str">
        <f>VLOOKUP(D275, County_Data_CZones!$B$2:$F$3236, 5, FALSE)</f>
        <v>Very Cold</v>
      </c>
    </row>
    <row r="276" ht="15.75" customHeight="1">
      <c r="A276" s="32" t="s">
        <v>139</v>
      </c>
      <c r="B276" s="32" t="s">
        <v>339</v>
      </c>
      <c r="C276" s="32" t="str">
        <f>vlookup(B276,State_EMM_RowSums!$A$2:$B$52,2,FALSE)</f>
        <v>CO</v>
      </c>
      <c r="D276" s="32">
        <v>8059.0</v>
      </c>
      <c r="E276" s="33">
        <f>IF(NOT(ISBLANK(vlookup($D276,Pop_Census_2023!$A$2:$E$3220,4,FALSE))),vlookup($D276,Pop_Census_2023!$A$2:$E$3220,4,FALSE), vlookup($D276,Pop_Census_2023!$A$2:$E$3220,5,FALSE))</f>
        <v>576366</v>
      </c>
      <c r="F276" s="32">
        <v>198145.0</v>
      </c>
      <c r="G276" s="32">
        <v>33.0</v>
      </c>
      <c r="H276" s="32" t="str">
        <f>VLOOKUP(D276, Grid_Region_Mapping!$D$2:$F$5286, 3, FALSE)</f>
        <v>RMRG</v>
      </c>
      <c r="I276" s="32">
        <v>8.0</v>
      </c>
      <c r="J276" s="34" t="str">
        <f t="shared" si="1"/>
        <v>West</v>
      </c>
      <c r="K276" s="35">
        <v>2.0</v>
      </c>
      <c r="L276" s="35" t="s">
        <v>202</v>
      </c>
      <c r="M276" s="36">
        <f>VLOOKUP(D276, County_Data_CZones!$B$2:$F$3236, 2, FALSE)</f>
        <v>5</v>
      </c>
      <c r="N276" s="37" t="str">
        <f>VLOOKUP(D276, County_Data_CZones!$B$2:$F$3236, 5, FALSE)</f>
        <v>Cold</v>
      </c>
    </row>
    <row r="277" ht="15.75" customHeight="1">
      <c r="A277" s="32" t="s">
        <v>368</v>
      </c>
      <c r="B277" s="32" t="s">
        <v>339</v>
      </c>
      <c r="C277" s="32" t="str">
        <f>vlookup(B277,State_EMM_RowSums!$A$2:$B$52,2,FALSE)</f>
        <v>CO</v>
      </c>
      <c r="D277" s="32">
        <v>8061.0</v>
      </c>
      <c r="E277" s="33">
        <f>IF(NOT(ISBLANK(vlookup($D277,Pop_Census_2023!$A$2:$E$3220,4,FALSE))),vlookup($D277,Pop_Census_2023!$A$2:$E$3220,4,FALSE), vlookup($D277,Pop_Census_2023!$A$2:$E$3220,5,FALSE))</f>
        <v>1384</v>
      </c>
      <c r="F277" s="32">
        <v>198146.0</v>
      </c>
      <c r="G277" s="32">
        <v>34.0</v>
      </c>
      <c r="H277" s="32" t="str">
        <f>VLOOKUP(D277, Grid_Region_Mapping!$D$2:$F$5286, 3, FALSE)</f>
        <v>RMRG</v>
      </c>
      <c r="I277" s="32">
        <v>8.0</v>
      </c>
      <c r="J277" s="34" t="str">
        <f t="shared" si="1"/>
        <v>West</v>
      </c>
      <c r="K277" s="35">
        <v>2.0</v>
      </c>
      <c r="L277" s="35" t="s">
        <v>202</v>
      </c>
      <c r="M277" s="36">
        <f>VLOOKUP(D277, County_Data_CZones!$B$2:$F$3236, 2, FALSE)</f>
        <v>5</v>
      </c>
      <c r="N277" s="37" t="str">
        <f>VLOOKUP(D277, County_Data_CZones!$B$2:$F$3236, 5, FALSE)</f>
        <v>Cold</v>
      </c>
    </row>
    <row r="278" ht="15.75" customHeight="1">
      <c r="A278" s="32" t="s">
        <v>369</v>
      </c>
      <c r="B278" s="32" t="s">
        <v>339</v>
      </c>
      <c r="C278" s="32" t="str">
        <f>vlookup(B278,State_EMM_RowSums!$A$2:$B$52,2,FALSE)</f>
        <v>CO</v>
      </c>
      <c r="D278" s="32">
        <v>8063.0</v>
      </c>
      <c r="E278" s="33">
        <f>IF(NOT(ISBLANK(vlookup($D278,Pop_Census_2023!$A$2:$E$3220,4,FALSE))),vlookup($D278,Pop_Census_2023!$A$2:$E$3220,4,FALSE), vlookup($D278,Pop_Census_2023!$A$2:$E$3220,5,FALSE))</f>
        <v>6994</v>
      </c>
      <c r="F278" s="32">
        <v>198147.0</v>
      </c>
      <c r="G278" s="32">
        <v>34.0</v>
      </c>
      <c r="H278" s="32" t="str">
        <f>VLOOKUP(D278, Grid_Region_Mapping!$D$2:$F$5286, 3, FALSE)</f>
        <v>RMRG</v>
      </c>
      <c r="I278" s="32">
        <v>8.0</v>
      </c>
      <c r="J278" s="34" t="str">
        <f t="shared" si="1"/>
        <v>West</v>
      </c>
      <c r="K278" s="35">
        <v>2.0</v>
      </c>
      <c r="L278" s="35" t="s">
        <v>202</v>
      </c>
      <c r="M278" s="36">
        <f>VLOOKUP(D278, County_Data_CZones!$B$2:$F$3236, 2, FALSE)</f>
        <v>5</v>
      </c>
      <c r="N278" s="37" t="str">
        <f>VLOOKUP(D278, County_Data_CZones!$B$2:$F$3236, 5, FALSE)</f>
        <v>Cold</v>
      </c>
    </row>
    <row r="279" ht="15.75" customHeight="1">
      <c r="A279" s="32" t="s">
        <v>298</v>
      </c>
      <c r="B279" s="32" t="s">
        <v>339</v>
      </c>
      <c r="C279" s="32" t="str">
        <f>vlookup(B279,State_EMM_RowSums!$A$2:$B$52,2,FALSE)</f>
        <v>CO</v>
      </c>
      <c r="D279" s="32">
        <v>8065.0</v>
      </c>
      <c r="E279" s="33">
        <f>IF(NOT(ISBLANK(vlookup($D279,Pop_Census_2023!$A$2:$E$3220,4,FALSE))),vlookup($D279,Pop_Census_2023!$A$2:$E$3220,4,FALSE), vlookup($D279,Pop_Census_2023!$A$2:$E$3220,5,FALSE))</f>
        <v>7365</v>
      </c>
      <c r="F279" s="32">
        <v>198149.0</v>
      </c>
      <c r="G279" s="32">
        <v>33.0</v>
      </c>
      <c r="H279" s="32" t="str">
        <f>VLOOKUP(D279, Grid_Region_Mapping!$D$2:$F$5286, 3, FALSE)</f>
        <v>RMRG</v>
      </c>
      <c r="I279" s="32">
        <v>8.0</v>
      </c>
      <c r="J279" s="34" t="str">
        <f t="shared" si="1"/>
        <v>West</v>
      </c>
      <c r="K279" s="35">
        <v>1.0</v>
      </c>
      <c r="L279" s="35">
        <v>7.0</v>
      </c>
      <c r="M279" s="36">
        <f>VLOOKUP(D279, County_Data_CZones!$B$2:$F$3236, 2, FALSE)</f>
        <v>7</v>
      </c>
      <c r="N279" s="37" t="str">
        <f>VLOOKUP(D279, County_Data_CZones!$B$2:$F$3236, 5, FALSE)</f>
        <v>Very Cold</v>
      </c>
    </row>
    <row r="280" ht="15.75" customHeight="1">
      <c r="A280" s="32" t="s">
        <v>370</v>
      </c>
      <c r="B280" s="32" t="s">
        <v>339</v>
      </c>
      <c r="C280" s="32" t="str">
        <f>vlookup(B280,State_EMM_RowSums!$A$2:$B$52,2,FALSE)</f>
        <v>CO</v>
      </c>
      <c r="D280" s="32">
        <v>8067.0</v>
      </c>
      <c r="E280" s="33">
        <f>IF(NOT(ISBLANK(vlookup($D280,Pop_Census_2023!$A$2:$E$3220,4,FALSE))),vlookup($D280,Pop_Census_2023!$A$2:$E$3220,4,FALSE), vlookup($D280,Pop_Census_2023!$A$2:$E$3220,5,FALSE))</f>
        <v>56407</v>
      </c>
      <c r="F280" s="32">
        <v>198148.0</v>
      </c>
      <c r="G280" s="32">
        <v>34.0</v>
      </c>
      <c r="H280" s="32" t="str">
        <f>VLOOKUP(D280, Grid_Region_Mapping!$D$2:$F$5286, 3, FALSE)</f>
        <v>RMRG</v>
      </c>
      <c r="I280" s="32">
        <v>8.0</v>
      </c>
      <c r="J280" s="34" t="str">
        <f t="shared" si="1"/>
        <v>West</v>
      </c>
      <c r="K280" s="35">
        <v>1.0</v>
      </c>
      <c r="L280" s="35" t="s">
        <v>202</v>
      </c>
      <c r="M280" s="36">
        <f>VLOOKUP(D280, County_Data_CZones!$B$2:$F$3236, 2, FALSE)</f>
        <v>5</v>
      </c>
      <c r="N280" s="37" t="str">
        <f>VLOOKUP(D280, County_Data_CZones!$B$2:$F$3236, 5, FALSE)</f>
        <v>Cold</v>
      </c>
    </row>
    <row r="281" ht="15.75" customHeight="1">
      <c r="A281" s="32" t="s">
        <v>371</v>
      </c>
      <c r="B281" s="32" t="s">
        <v>339</v>
      </c>
      <c r="C281" s="32" t="str">
        <f>vlookup(B281,State_EMM_RowSums!$A$2:$B$52,2,FALSE)</f>
        <v>CO</v>
      </c>
      <c r="D281" s="32">
        <v>8069.0</v>
      </c>
      <c r="E281" s="33">
        <f>IF(NOT(ISBLANK(vlookup($D281,Pop_Census_2023!$A$2:$E$3220,4,FALSE))),vlookup($D281,Pop_Census_2023!$A$2:$E$3220,4,FALSE), vlookup($D281,Pop_Census_2023!$A$2:$E$3220,5,FALSE))</f>
        <v>370771</v>
      </c>
      <c r="F281" s="32">
        <v>198150.0</v>
      </c>
      <c r="G281" s="32">
        <v>33.0</v>
      </c>
      <c r="H281" s="32" t="str">
        <f>VLOOKUP(D281, Grid_Region_Mapping!$D$2:$F$5286, 3, FALSE)</f>
        <v>RMRG</v>
      </c>
      <c r="I281" s="32">
        <v>8.0</v>
      </c>
      <c r="J281" s="34" t="str">
        <f t="shared" si="1"/>
        <v>West</v>
      </c>
      <c r="K281" s="35">
        <v>2.0</v>
      </c>
      <c r="L281" s="35" t="s">
        <v>202</v>
      </c>
      <c r="M281" s="36">
        <f>VLOOKUP(D281, County_Data_CZones!$B$2:$F$3236, 2, FALSE)</f>
        <v>5</v>
      </c>
      <c r="N281" s="37" t="str">
        <f>VLOOKUP(D281, County_Data_CZones!$B$2:$F$3236, 5, FALSE)</f>
        <v>Cold</v>
      </c>
    </row>
    <row r="282" ht="15.75" customHeight="1">
      <c r="A282" s="32" t="s">
        <v>372</v>
      </c>
      <c r="B282" s="32" t="s">
        <v>339</v>
      </c>
      <c r="C282" s="32" t="str">
        <f>vlookup(B282,State_EMM_RowSums!$A$2:$B$52,2,FALSE)</f>
        <v>CO</v>
      </c>
      <c r="D282" s="32">
        <v>8071.0</v>
      </c>
      <c r="E282" s="33">
        <f>IF(NOT(ISBLANK(vlookup($D282,Pop_Census_2023!$A$2:$E$3220,4,FALSE))),vlookup($D282,Pop_Census_2023!$A$2:$E$3220,4,FALSE), vlookup($D282,Pop_Census_2023!$A$2:$E$3220,5,FALSE))</f>
        <v>14348</v>
      </c>
      <c r="F282" s="32">
        <v>198151.0</v>
      </c>
      <c r="G282" s="32">
        <v>34.0</v>
      </c>
      <c r="H282" s="32" t="str">
        <f>VLOOKUP(D282, Grid_Region_Mapping!$D$2:$F$5286, 3, FALSE)</f>
        <v>RMRG</v>
      </c>
      <c r="I282" s="32">
        <v>8.0</v>
      </c>
      <c r="J282" s="34" t="str">
        <f t="shared" si="1"/>
        <v>West</v>
      </c>
      <c r="K282" s="35">
        <v>3.0</v>
      </c>
      <c r="L282" s="35" t="s">
        <v>207</v>
      </c>
      <c r="M282" s="36">
        <f>VLOOKUP(D282, County_Data_CZones!$B$2:$F$3236, 2, FALSE)</f>
        <v>4</v>
      </c>
      <c r="N282" s="37" t="str">
        <f>VLOOKUP(D282, County_Data_CZones!$B$2:$F$3236, 5, FALSE)</f>
        <v>Mixed-Dry</v>
      </c>
    </row>
    <row r="283" ht="15.75" customHeight="1">
      <c r="A283" s="32" t="s">
        <v>250</v>
      </c>
      <c r="B283" s="32" t="s">
        <v>339</v>
      </c>
      <c r="C283" s="32" t="str">
        <f>vlookup(B283,State_EMM_RowSums!$A$2:$B$52,2,FALSE)</f>
        <v>CO</v>
      </c>
      <c r="D283" s="32">
        <v>8073.0</v>
      </c>
      <c r="E283" s="33">
        <f>IF(NOT(ISBLANK(vlookup($D283,Pop_Census_2023!$A$2:$E$3220,4,FALSE))),vlookup($D283,Pop_Census_2023!$A$2:$E$3220,4,FALSE), vlookup($D283,Pop_Census_2023!$A$2:$E$3220,5,FALSE))</f>
        <v>5480</v>
      </c>
      <c r="F283" s="32">
        <v>198152.0</v>
      </c>
      <c r="G283" s="32">
        <v>34.0</v>
      </c>
      <c r="H283" s="32" t="str">
        <f>VLOOKUP(D283, Grid_Region_Mapping!$D$2:$F$5286, 3, FALSE)</f>
        <v>RMRG</v>
      </c>
      <c r="I283" s="32">
        <v>8.0</v>
      </c>
      <c r="J283" s="34" t="str">
        <f t="shared" si="1"/>
        <v>West</v>
      </c>
      <c r="K283" s="35">
        <v>2.0</v>
      </c>
      <c r="L283" s="35" t="s">
        <v>202</v>
      </c>
      <c r="M283" s="36">
        <f>VLOOKUP(D283, County_Data_CZones!$B$2:$F$3236, 2, FALSE)</f>
        <v>5</v>
      </c>
      <c r="N283" s="37" t="str">
        <f>VLOOKUP(D283, County_Data_CZones!$B$2:$F$3236, 5, FALSE)</f>
        <v>Cold</v>
      </c>
    </row>
    <row r="284" ht="15.75" customHeight="1">
      <c r="A284" s="32" t="s">
        <v>252</v>
      </c>
      <c r="B284" s="32" t="s">
        <v>339</v>
      </c>
      <c r="C284" s="32" t="str">
        <f>vlookup(B284,State_EMM_RowSums!$A$2:$B$52,2,FALSE)</f>
        <v>CO</v>
      </c>
      <c r="D284" s="32">
        <v>8075.0</v>
      </c>
      <c r="E284" s="33">
        <f>IF(NOT(ISBLANK(vlookup($D284,Pop_Census_2023!$A$2:$E$3220,4,FALSE))),vlookup($D284,Pop_Census_2023!$A$2:$E$3220,4,FALSE), vlookup($D284,Pop_Census_2023!$A$2:$E$3220,5,FALSE))</f>
        <v>20619</v>
      </c>
      <c r="F284" s="32">
        <v>198153.0</v>
      </c>
      <c r="G284" s="32">
        <v>33.0</v>
      </c>
      <c r="H284" s="32" t="str">
        <f>VLOOKUP(D284, Grid_Region_Mapping!$D$2:$F$5286, 3, FALSE)</f>
        <v>RMRG</v>
      </c>
      <c r="I284" s="32">
        <v>8.0</v>
      </c>
      <c r="J284" s="34" t="str">
        <f t="shared" si="1"/>
        <v>West</v>
      </c>
      <c r="K284" s="35">
        <v>2.0</v>
      </c>
      <c r="L284" s="35" t="s">
        <v>202</v>
      </c>
      <c r="M284" s="36">
        <f>VLOOKUP(D284, County_Data_CZones!$B$2:$F$3236, 2, FALSE)</f>
        <v>5</v>
      </c>
      <c r="N284" s="37" t="str">
        <f>VLOOKUP(D284, County_Data_CZones!$B$2:$F$3236, 5, FALSE)</f>
        <v>Cold</v>
      </c>
    </row>
    <row r="285" ht="15.75" customHeight="1">
      <c r="A285" s="32" t="s">
        <v>373</v>
      </c>
      <c r="B285" s="32" t="s">
        <v>339</v>
      </c>
      <c r="C285" s="32" t="str">
        <f>vlookup(B285,State_EMM_RowSums!$A$2:$B$52,2,FALSE)</f>
        <v>CO</v>
      </c>
      <c r="D285" s="32">
        <v>8077.0</v>
      </c>
      <c r="E285" s="33">
        <f>IF(NOT(ISBLANK(vlookup($D285,Pop_Census_2023!$A$2:$E$3220,4,FALSE))),vlookup($D285,Pop_Census_2023!$A$2:$E$3220,4,FALSE), vlookup($D285,Pop_Census_2023!$A$2:$E$3220,5,FALSE))</f>
        <v>159681</v>
      </c>
      <c r="F285" s="32">
        <v>198154.0</v>
      </c>
      <c r="G285" s="32">
        <v>33.0</v>
      </c>
      <c r="H285" s="32" t="str">
        <f>VLOOKUP(D285, Grid_Region_Mapping!$D$2:$F$5286, 3, FALSE)</f>
        <v>RMRG</v>
      </c>
      <c r="I285" s="32">
        <v>8.0</v>
      </c>
      <c r="J285" s="34" t="str">
        <f t="shared" si="1"/>
        <v>West</v>
      </c>
      <c r="K285" s="35">
        <v>2.0</v>
      </c>
      <c r="L285" s="35" t="s">
        <v>202</v>
      </c>
      <c r="M285" s="36">
        <f>VLOOKUP(D285, County_Data_CZones!$B$2:$F$3236, 2, FALSE)</f>
        <v>5</v>
      </c>
      <c r="N285" s="37" t="str">
        <f>VLOOKUP(D285, County_Data_CZones!$B$2:$F$3236, 5, FALSE)</f>
        <v>Cold</v>
      </c>
    </row>
    <row r="286" ht="15.75" customHeight="1">
      <c r="A286" s="32" t="s">
        <v>374</v>
      </c>
      <c r="B286" s="32" t="s">
        <v>339</v>
      </c>
      <c r="C286" s="32" t="str">
        <f>vlookup(B286,State_EMM_RowSums!$A$2:$B$52,2,FALSE)</f>
        <v>CO</v>
      </c>
      <c r="D286" s="32">
        <v>8079.0</v>
      </c>
      <c r="E286" s="33">
        <f>IF(NOT(ISBLANK(vlookup($D286,Pop_Census_2023!$A$2:$E$3220,4,FALSE))),vlookup($D286,Pop_Census_2023!$A$2:$E$3220,4,FALSE), vlookup($D286,Pop_Census_2023!$A$2:$E$3220,5,FALSE))</f>
        <v>944</v>
      </c>
      <c r="F286" s="32">
        <v>198155.0</v>
      </c>
      <c r="G286" s="32">
        <v>34.0</v>
      </c>
      <c r="H286" s="32" t="str">
        <f>VLOOKUP(D286, Grid_Region_Mapping!$D$2:$F$5286, 3, FALSE)</f>
        <v>RMRG</v>
      </c>
      <c r="I286" s="32">
        <v>8.0</v>
      </c>
      <c r="J286" s="34" t="str">
        <f t="shared" si="1"/>
        <v>West</v>
      </c>
      <c r="K286" s="35">
        <v>1.0</v>
      </c>
      <c r="L286" s="35">
        <v>7.0</v>
      </c>
      <c r="M286" s="36">
        <f>VLOOKUP(D286, County_Data_CZones!$B$2:$F$3236, 2, FALSE)</f>
        <v>7</v>
      </c>
      <c r="N286" s="37" t="str">
        <f>VLOOKUP(D286, County_Data_CZones!$B$2:$F$3236, 5, FALSE)</f>
        <v>Very Cold</v>
      </c>
    </row>
    <row r="287" ht="15.75" customHeight="1">
      <c r="A287" s="32" t="s">
        <v>375</v>
      </c>
      <c r="B287" s="32" t="s">
        <v>339</v>
      </c>
      <c r="C287" s="32" t="str">
        <f>vlookup(B287,State_EMM_RowSums!$A$2:$B$52,2,FALSE)</f>
        <v>CO</v>
      </c>
      <c r="D287" s="32">
        <v>8081.0</v>
      </c>
      <c r="E287" s="33">
        <f>IF(NOT(ISBLANK(vlookup($D287,Pop_Census_2023!$A$2:$E$3220,4,FALSE))),vlookup($D287,Pop_Census_2023!$A$2:$E$3220,4,FALSE), vlookup($D287,Pop_Census_2023!$A$2:$E$3220,5,FALSE))</f>
        <v>13327</v>
      </c>
      <c r="F287" s="32">
        <v>198156.0</v>
      </c>
      <c r="G287" s="32">
        <v>33.0</v>
      </c>
      <c r="H287" s="32" t="str">
        <f>VLOOKUP(D287, Grid_Region_Mapping!$D$2:$F$5286, 3, FALSE)</f>
        <v>RMRG</v>
      </c>
      <c r="I287" s="32">
        <v>8.0</v>
      </c>
      <c r="J287" s="34" t="str">
        <f t="shared" si="1"/>
        <v>West</v>
      </c>
      <c r="K287" s="35">
        <v>1.0</v>
      </c>
      <c r="L287" s="35" t="s">
        <v>282</v>
      </c>
      <c r="M287" s="36">
        <f>VLOOKUP(D287, County_Data_CZones!$B$2:$F$3236, 2, FALSE)</f>
        <v>6</v>
      </c>
      <c r="N287" s="37" t="str">
        <f>VLOOKUP(D287, County_Data_CZones!$B$2:$F$3236, 5, FALSE)</f>
        <v>Cold</v>
      </c>
    </row>
    <row r="288" ht="15.75" customHeight="1">
      <c r="A288" s="32" t="s">
        <v>376</v>
      </c>
      <c r="B288" s="32" t="s">
        <v>339</v>
      </c>
      <c r="C288" s="32" t="str">
        <f>vlookup(B288,State_EMM_RowSums!$A$2:$B$52,2,FALSE)</f>
        <v>CO</v>
      </c>
      <c r="D288" s="32">
        <v>8083.0</v>
      </c>
      <c r="E288" s="33">
        <f>IF(NOT(ISBLANK(vlookup($D288,Pop_Census_2023!$A$2:$E$3220,4,FALSE))),vlookup($D288,Pop_Census_2023!$A$2:$E$3220,4,FALSE), vlookup($D288,Pop_Census_2023!$A$2:$E$3220,5,FALSE))</f>
        <v>26531</v>
      </c>
      <c r="F288" s="32">
        <v>198157.0</v>
      </c>
      <c r="G288" s="32">
        <v>34.0</v>
      </c>
      <c r="H288" s="32" t="str">
        <f>VLOOKUP(D288, Grid_Region_Mapping!$D$2:$F$5286, 3, FALSE)</f>
        <v>RMRG</v>
      </c>
      <c r="I288" s="32">
        <v>8.0</v>
      </c>
      <c r="J288" s="34" t="str">
        <f t="shared" si="1"/>
        <v>West</v>
      </c>
      <c r="K288" s="35">
        <v>1.0</v>
      </c>
      <c r="L288" s="35" t="s">
        <v>202</v>
      </c>
      <c r="M288" s="36">
        <f>VLOOKUP(D288, County_Data_CZones!$B$2:$F$3236, 2, FALSE)</f>
        <v>5</v>
      </c>
      <c r="N288" s="37" t="str">
        <f>VLOOKUP(D288, County_Data_CZones!$B$2:$F$3236, 5, FALSE)</f>
        <v>Cold</v>
      </c>
    </row>
    <row r="289" ht="15.75" customHeight="1">
      <c r="A289" s="32" t="s">
        <v>377</v>
      </c>
      <c r="B289" s="32" t="s">
        <v>339</v>
      </c>
      <c r="C289" s="32" t="str">
        <f>vlookup(B289,State_EMM_RowSums!$A$2:$B$52,2,FALSE)</f>
        <v>CO</v>
      </c>
      <c r="D289" s="32">
        <v>8085.0</v>
      </c>
      <c r="E289" s="33">
        <f>IF(NOT(ISBLANK(vlookup($D289,Pop_Census_2023!$A$2:$E$3220,4,FALSE))),vlookup($D289,Pop_Census_2023!$A$2:$E$3220,4,FALSE), vlookup($D289,Pop_Census_2023!$A$2:$E$3220,5,FALSE))</f>
        <v>44156</v>
      </c>
      <c r="F289" s="32">
        <v>198158.0</v>
      </c>
      <c r="G289" s="32">
        <v>34.0</v>
      </c>
      <c r="H289" s="32" t="str">
        <f>VLOOKUP(D289, Grid_Region_Mapping!$D$2:$F$5286, 3, FALSE)</f>
        <v>RMRG</v>
      </c>
      <c r="I289" s="32">
        <v>8.0</v>
      </c>
      <c r="J289" s="34" t="str">
        <f t="shared" si="1"/>
        <v>West</v>
      </c>
      <c r="K289" s="35">
        <v>2.0</v>
      </c>
      <c r="L289" s="35" t="s">
        <v>202</v>
      </c>
      <c r="M289" s="36">
        <f>VLOOKUP(D289, County_Data_CZones!$B$2:$F$3236, 2, FALSE)</f>
        <v>5</v>
      </c>
      <c r="N289" s="37" t="str">
        <f>VLOOKUP(D289, County_Data_CZones!$B$2:$F$3236, 5, FALSE)</f>
        <v>Cold</v>
      </c>
    </row>
    <row r="290" ht="15.75" customHeight="1">
      <c r="A290" s="32" t="s">
        <v>154</v>
      </c>
      <c r="B290" s="32" t="s">
        <v>339</v>
      </c>
      <c r="C290" s="32" t="str">
        <f>vlookup(B290,State_EMM_RowSums!$A$2:$B$52,2,FALSE)</f>
        <v>CO</v>
      </c>
      <c r="D290" s="32">
        <v>8087.0</v>
      </c>
      <c r="E290" s="33">
        <f>IF(NOT(ISBLANK(vlookup($D290,Pop_Census_2023!$A$2:$E$3220,4,FALSE))),vlookup($D290,Pop_Census_2023!$A$2:$E$3220,4,FALSE), vlookup($D290,Pop_Census_2023!$A$2:$E$3220,5,FALSE))</f>
        <v>29524</v>
      </c>
      <c r="F290" s="32">
        <v>198159.0</v>
      </c>
      <c r="G290" s="32">
        <v>33.0</v>
      </c>
      <c r="H290" s="32" t="str">
        <f>VLOOKUP(D290, Grid_Region_Mapping!$D$2:$F$5286, 3, FALSE)</f>
        <v>RMRG</v>
      </c>
      <c r="I290" s="32">
        <v>8.0</v>
      </c>
      <c r="J290" s="34" t="str">
        <f t="shared" si="1"/>
        <v>West</v>
      </c>
      <c r="K290" s="35">
        <v>2.0</v>
      </c>
      <c r="L290" s="35" t="s">
        <v>202</v>
      </c>
      <c r="M290" s="36">
        <f>VLOOKUP(D290, County_Data_CZones!$B$2:$F$3236, 2, FALSE)</f>
        <v>5</v>
      </c>
      <c r="N290" s="37" t="str">
        <f>VLOOKUP(D290, County_Data_CZones!$B$2:$F$3236, 5, FALSE)</f>
        <v>Cold</v>
      </c>
    </row>
    <row r="291" ht="15.75" customHeight="1">
      <c r="A291" s="32" t="s">
        <v>378</v>
      </c>
      <c r="B291" s="32" t="s">
        <v>339</v>
      </c>
      <c r="C291" s="32" t="str">
        <f>vlookup(B291,State_EMM_RowSums!$A$2:$B$52,2,FALSE)</f>
        <v>CO</v>
      </c>
      <c r="D291" s="32">
        <v>8089.0</v>
      </c>
      <c r="E291" s="33">
        <f>IF(NOT(ISBLANK(vlookup($D291,Pop_Census_2023!$A$2:$E$3220,4,FALSE))),vlookup($D291,Pop_Census_2023!$A$2:$E$3220,4,FALSE), vlookup($D291,Pop_Census_2023!$A$2:$E$3220,5,FALSE))</f>
        <v>18136</v>
      </c>
      <c r="F291" s="32">
        <v>198160.0</v>
      </c>
      <c r="G291" s="32">
        <v>34.0</v>
      </c>
      <c r="H291" s="32" t="str">
        <f>VLOOKUP(D291, Grid_Region_Mapping!$D$2:$F$5286, 3, FALSE)</f>
        <v>RMRG</v>
      </c>
      <c r="I291" s="32">
        <v>8.0</v>
      </c>
      <c r="J291" s="34" t="str">
        <f t="shared" si="1"/>
        <v>West</v>
      </c>
      <c r="K291" s="35">
        <v>3.0</v>
      </c>
      <c r="L291" s="35" t="s">
        <v>207</v>
      </c>
      <c r="M291" s="36">
        <f>VLOOKUP(D291, County_Data_CZones!$B$2:$F$3236, 2, FALSE)</f>
        <v>4</v>
      </c>
      <c r="N291" s="37" t="str">
        <f>VLOOKUP(D291, County_Data_CZones!$B$2:$F$3236, 5, FALSE)</f>
        <v>Mixed-Dry</v>
      </c>
    </row>
    <row r="292" ht="15.75" customHeight="1">
      <c r="A292" s="32" t="s">
        <v>379</v>
      </c>
      <c r="B292" s="32" t="s">
        <v>339</v>
      </c>
      <c r="C292" s="32" t="str">
        <f>vlookup(B292,State_EMM_RowSums!$A$2:$B$52,2,FALSE)</f>
        <v>CO</v>
      </c>
      <c r="D292" s="32">
        <v>8091.0</v>
      </c>
      <c r="E292" s="33">
        <f>IF(NOT(ISBLANK(vlookup($D292,Pop_Census_2023!$A$2:$E$3220,4,FALSE))),vlookup($D292,Pop_Census_2023!$A$2:$E$3220,4,FALSE), vlookup($D292,Pop_Census_2023!$A$2:$E$3220,5,FALSE))</f>
        <v>5176</v>
      </c>
      <c r="F292" s="32">
        <v>198161.0</v>
      </c>
      <c r="G292" s="32">
        <v>34.0</v>
      </c>
      <c r="H292" s="32" t="str">
        <f>VLOOKUP(D292, Grid_Region_Mapping!$D$2:$F$5286, 3, FALSE)</f>
        <v>RMRG</v>
      </c>
      <c r="I292" s="32">
        <v>8.0</v>
      </c>
      <c r="J292" s="34" t="str">
        <f t="shared" si="1"/>
        <v>West</v>
      </c>
      <c r="K292" s="35">
        <v>1.0</v>
      </c>
      <c r="L292" s="35" t="s">
        <v>282</v>
      </c>
      <c r="M292" s="36">
        <f>VLOOKUP(D292, County_Data_CZones!$B$2:$F$3236, 2, FALSE)</f>
        <v>6</v>
      </c>
      <c r="N292" s="37" t="str">
        <f>VLOOKUP(D292, County_Data_CZones!$B$2:$F$3236, 5, FALSE)</f>
        <v>Cold</v>
      </c>
    </row>
    <row r="293" ht="15.75" customHeight="1">
      <c r="A293" s="32" t="s">
        <v>380</v>
      </c>
      <c r="B293" s="32" t="s">
        <v>339</v>
      </c>
      <c r="C293" s="32" t="str">
        <f>vlookup(B293,State_EMM_RowSums!$A$2:$B$52,2,FALSE)</f>
        <v>CO</v>
      </c>
      <c r="D293" s="32">
        <v>8093.0</v>
      </c>
      <c r="E293" s="33">
        <f>IF(NOT(ISBLANK(vlookup($D293,Pop_Census_2023!$A$2:$E$3220,4,FALSE))),vlookup($D293,Pop_Census_2023!$A$2:$E$3220,4,FALSE), vlookup($D293,Pop_Census_2023!$A$2:$E$3220,5,FALSE))</f>
        <v>18117</v>
      </c>
      <c r="F293" s="32">
        <v>198162.0</v>
      </c>
      <c r="G293" s="32">
        <v>33.0</v>
      </c>
      <c r="H293" s="32" t="str">
        <f>VLOOKUP(D293, Grid_Region_Mapping!$D$2:$F$5286, 3, FALSE)</f>
        <v>RMRG</v>
      </c>
      <c r="I293" s="32">
        <v>8.0</v>
      </c>
      <c r="J293" s="34" t="str">
        <f t="shared" si="1"/>
        <v>West</v>
      </c>
      <c r="K293" s="35">
        <v>1.0</v>
      </c>
      <c r="L293" s="35">
        <v>7.0</v>
      </c>
      <c r="M293" s="36">
        <f>VLOOKUP(D293, County_Data_CZones!$B$2:$F$3236, 2, FALSE)</f>
        <v>7</v>
      </c>
      <c r="N293" s="37" t="str">
        <f>VLOOKUP(D293, County_Data_CZones!$B$2:$F$3236, 5, FALSE)</f>
        <v>Very Cold</v>
      </c>
    </row>
    <row r="294" ht="15.75" customHeight="1">
      <c r="A294" s="32" t="s">
        <v>259</v>
      </c>
      <c r="B294" s="32" t="s">
        <v>339</v>
      </c>
      <c r="C294" s="32" t="str">
        <f>vlookup(B294,State_EMM_RowSums!$A$2:$B$52,2,FALSE)</f>
        <v>CO</v>
      </c>
      <c r="D294" s="32">
        <v>8095.0</v>
      </c>
      <c r="E294" s="33">
        <f>IF(NOT(ISBLANK(vlookup($D294,Pop_Census_2023!$A$2:$E$3220,4,FALSE))),vlookup($D294,Pop_Census_2023!$A$2:$E$3220,4,FALSE), vlookup($D294,Pop_Census_2023!$A$2:$E$3220,5,FALSE))</f>
        <v>4476</v>
      </c>
      <c r="F294" s="32">
        <v>198163.0</v>
      </c>
      <c r="G294" s="32">
        <v>33.0</v>
      </c>
      <c r="H294" s="32" t="str">
        <f>VLOOKUP(D294, Grid_Region_Mapping!$D$2:$F$5286, 3, FALSE)</f>
        <v>RMRG</v>
      </c>
      <c r="I294" s="32">
        <v>8.0</v>
      </c>
      <c r="J294" s="34" t="str">
        <f t="shared" si="1"/>
        <v>West</v>
      </c>
      <c r="K294" s="35">
        <v>2.0</v>
      </c>
      <c r="L294" s="35" t="s">
        <v>202</v>
      </c>
      <c r="M294" s="36">
        <f>VLOOKUP(D294, County_Data_CZones!$B$2:$F$3236, 2, FALSE)</f>
        <v>5</v>
      </c>
      <c r="N294" s="37" t="str">
        <f>VLOOKUP(D294, County_Data_CZones!$B$2:$F$3236, 5, FALSE)</f>
        <v>Cold</v>
      </c>
    </row>
    <row r="295" ht="15.75" customHeight="1">
      <c r="A295" s="32" t="s">
        <v>381</v>
      </c>
      <c r="B295" s="32" t="s">
        <v>339</v>
      </c>
      <c r="C295" s="32" t="str">
        <f>vlookup(B295,State_EMM_RowSums!$A$2:$B$52,2,FALSE)</f>
        <v>CO</v>
      </c>
      <c r="D295" s="32">
        <v>8097.0</v>
      </c>
      <c r="E295" s="33">
        <f>IF(NOT(ISBLANK(vlookup($D295,Pop_Census_2023!$A$2:$E$3220,4,FALSE))),vlookup($D295,Pop_Census_2023!$A$2:$E$3220,4,FALSE), vlookup($D295,Pop_Census_2023!$A$2:$E$3220,5,FALSE))</f>
        <v>16640</v>
      </c>
      <c r="F295" s="32">
        <v>198164.0</v>
      </c>
      <c r="G295" s="32">
        <v>33.0</v>
      </c>
      <c r="H295" s="32" t="str">
        <f>VLOOKUP(D295, Grid_Region_Mapping!$D$2:$F$5286, 3, FALSE)</f>
        <v>RMRG</v>
      </c>
      <c r="I295" s="32">
        <v>8.0</v>
      </c>
      <c r="J295" s="34" t="str">
        <f t="shared" si="1"/>
        <v>West</v>
      </c>
      <c r="K295" s="35">
        <v>1.0</v>
      </c>
      <c r="L295" s="35">
        <v>7.0</v>
      </c>
      <c r="M295" s="36">
        <f>VLOOKUP(D295, County_Data_CZones!$B$2:$F$3236, 2, FALSE)</f>
        <v>7</v>
      </c>
      <c r="N295" s="37" t="str">
        <f>VLOOKUP(D295, County_Data_CZones!$B$2:$F$3236, 5, FALSE)</f>
        <v>Very Cold</v>
      </c>
    </row>
    <row r="296" ht="15.75" customHeight="1">
      <c r="A296" s="32" t="s">
        <v>382</v>
      </c>
      <c r="B296" s="32" t="s">
        <v>339</v>
      </c>
      <c r="C296" s="32" t="str">
        <f>vlookup(B296,State_EMM_RowSums!$A$2:$B$52,2,FALSE)</f>
        <v>CO</v>
      </c>
      <c r="D296" s="32">
        <v>8099.0</v>
      </c>
      <c r="E296" s="33">
        <f>IF(NOT(ISBLANK(vlookup($D296,Pop_Census_2023!$A$2:$E$3220,4,FALSE))),vlookup($D296,Pop_Census_2023!$A$2:$E$3220,4,FALSE), vlookup($D296,Pop_Census_2023!$A$2:$E$3220,5,FALSE))</f>
        <v>11751</v>
      </c>
      <c r="F296" s="32">
        <v>198165.0</v>
      </c>
      <c r="G296" s="32">
        <v>34.0</v>
      </c>
      <c r="H296" s="32" t="str">
        <f>VLOOKUP(D296, Grid_Region_Mapping!$D$2:$F$5286, 3, FALSE)</f>
        <v>RMRG</v>
      </c>
      <c r="I296" s="32">
        <v>8.0</v>
      </c>
      <c r="J296" s="34" t="str">
        <f t="shared" si="1"/>
        <v>West</v>
      </c>
      <c r="K296" s="35">
        <v>3.0</v>
      </c>
      <c r="L296" s="35" t="s">
        <v>202</v>
      </c>
      <c r="M296" s="36">
        <f>VLOOKUP(D296, County_Data_CZones!$B$2:$F$3236, 2, FALSE)</f>
        <v>5</v>
      </c>
      <c r="N296" s="37" t="str">
        <f>VLOOKUP(D296, County_Data_CZones!$B$2:$F$3236, 5, FALSE)</f>
        <v>Cold</v>
      </c>
    </row>
    <row r="297" ht="15.75" customHeight="1">
      <c r="A297" s="32" t="s">
        <v>383</v>
      </c>
      <c r="B297" s="32" t="s">
        <v>339</v>
      </c>
      <c r="C297" s="32" t="str">
        <f>vlookup(B297,State_EMM_RowSums!$A$2:$B$52,2,FALSE)</f>
        <v>CO</v>
      </c>
      <c r="D297" s="32">
        <v>8101.0</v>
      </c>
      <c r="E297" s="33">
        <f>IF(NOT(ISBLANK(vlookup($D297,Pop_Census_2023!$A$2:$E$3220,4,FALSE))),vlookup($D297,Pop_Census_2023!$A$2:$E$3220,4,FALSE), vlookup($D297,Pop_Census_2023!$A$2:$E$3220,5,FALSE))</f>
        <v>169422</v>
      </c>
      <c r="F297" s="32">
        <v>198166.0</v>
      </c>
      <c r="G297" s="32">
        <v>34.0</v>
      </c>
      <c r="H297" s="32" t="str">
        <f>VLOOKUP(D297, Grid_Region_Mapping!$D$2:$F$5286, 3, FALSE)</f>
        <v>RMRG</v>
      </c>
      <c r="I297" s="32">
        <v>8.0</v>
      </c>
      <c r="J297" s="34" t="str">
        <f t="shared" si="1"/>
        <v>West</v>
      </c>
      <c r="K297" s="35">
        <v>3.0</v>
      </c>
      <c r="L297" s="35" t="s">
        <v>202</v>
      </c>
      <c r="M297" s="36">
        <f>VLOOKUP(D297, County_Data_CZones!$B$2:$F$3236, 2, FALSE)</f>
        <v>5</v>
      </c>
      <c r="N297" s="37" t="str">
        <f>VLOOKUP(D297, County_Data_CZones!$B$2:$F$3236, 5, FALSE)</f>
        <v>Cold</v>
      </c>
    </row>
    <row r="298" ht="15.75" customHeight="1">
      <c r="A298" s="32" t="s">
        <v>384</v>
      </c>
      <c r="B298" s="32" t="s">
        <v>339</v>
      </c>
      <c r="C298" s="32" t="str">
        <f>vlookup(B298,State_EMM_RowSums!$A$2:$B$52,2,FALSE)</f>
        <v>CO</v>
      </c>
      <c r="D298" s="32">
        <v>8103.0</v>
      </c>
      <c r="E298" s="33">
        <f>IF(NOT(ISBLANK(vlookup($D298,Pop_Census_2023!$A$2:$E$3220,4,FALSE))),vlookup($D298,Pop_Census_2023!$A$2:$E$3220,4,FALSE), vlookup($D298,Pop_Census_2023!$A$2:$E$3220,5,FALSE))</f>
        <v>6569</v>
      </c>
      <c r="F298" s="32">
        <v>198167.0</v>
      </c>
      <c r="G298" s="32">
        <v>33.0</v>
      </c>
      <c r="H298" s="32" t="str">
        <f>VLOOKUP(D298, Grid_Region_Mapping!$D$2:$F$5286, 3, FALSE)</f>
        <v>RMRG</v>
      </c>
      <c r="I298" s="32">
        <v>8.0</v>
      </c>
      <c r="J298" s="34" t="str">
        <f t="shared" si="1"/>
        <v>West</v>
      </c>
      <c r="K298" s="35">
        <v>1.0</v>
      </c>
      <c r="L298" s="35" t="s">
        <v>282</v>
      </c>
      <c r="M298" s="36">
        <f>VLOOKUP(D298, County_Data_CZones!$B$2:$F$3236, 2, FALSE)</f>
        <v>6</v>
      </c>
      <c r="N298" s="37" t="str">
        <f>VLOOKUP(D298, County_Data_CZones!$B$2:$F$3236, 5, FALSE)</f>
        <v>Cold</v>
      </c>
    </row>
    <row r="299" ht="15.75" customHeight="1">
      <c r="A299" s="32" t="s">
        <v>385</v>
      </c>
      <c r="B299" s="32" t="s">
        <v>339</v>
      </c>
      <c r="C299" s="32" t="str">
        <f>vlookup(B299,State_EMM_RowSums!$A$2:$B$52,2,FALSE)</f>
        <v>CO</v>
      </c>
      <c r="D299" s="32">
        <v>8105.0</v>
      </c>
      <c r="E299" s="33">
        <f>IF(NOT(ISBLANK(vlookup($D299,Pop_Census_2023!$A$2:$E$3220,4,FALSE))),vlookup($D299,Pop_Census_2023!$A$2:$E$3220,4,FALSE), vlookup($D299,Pop_Census_2023!$A$2:$E$3220,5,FALSE))</f>
        <v>11188</v>
      </c>
      <c r="F299" s="32">
        <v>198168.0</v>
      </c>
      <c r="G299" s="32">
        <v>34.0</v>
      </c>
      <c r="H299" s="32" t="str">
        <f>VLOOKUP(D299, Grid_Region_Mapping!$D$2:$F$5286, 3, FALSE)</f>
        <v>RMRG</v>
      </c>
      <c r="I299" s="32">
        <v>8.0</v>
      </c>
      <c r="J299" s="34" t="str">
        <f t="shared" si="1"/>
        <v>West</v>
      </c>
      <c r="K299" s="35">
        <v>1.0</v>
      </c>
      <c r="L299" s="35">
        <v>7.0</v>
      </c>
      <c r="M299" s="36">
        <f>VLOOKUP(D299, County_Data_CZones!$B$2:$F$3236, 2, FALSE)</f>
        <v>7</v>
      </c>
      <c r="N299" s="37" t="str">
        <f>VLOOKUP(D299, County_Data_CZones!$B$2:$F$3236, 5, FALSE)</f>
        <v>Very Cold</v>
      </c>
    </row>
    <row r="300" ht="15.75" customHeight="1">
      <c r="A300" s="32" t="s">
        <v>386</v>
      </c>
      <c r="B300" s="32" t="s">
        <v>339</v>
      </c>
      <c r="C300" s="32" t="str">
        <f>vlookup(B300,State_EMM_RowSums!$A$2:$B$52,2,FALSE)</f>
        <v>CO</v>
      </c>
      <c r="D300" s="32">
        <v>8107.0</v>
      </c>
      <c r="E300" s="33">
        <f>IF(NOT(ISBLANK(vlookup($D300,Pop_Census_2023!$A$2:$E$3220,4,FALSE))),vlookup($D300,Pop_Census_2023!$A$2:$E$3220,4,FALSE), vlookup($D300,Pop_Census_2023!$A$2:$E$3220,5,FALSE))</f>
        <v>25064</v>
      </c>
      <c r="F300" s="32">
        <v>198169.0</v>
      </c>
      <c r="G300" s="32">
        <v>33.0</v>
      </c>
      <c r="H300" s="32" t="str">
        <f>VLOOKUP(D300, Grid_Region_Mapping!$D$2:$F$5286, 3, FALSE)</f>
        <v>RMRG</v>
      </c>
      <c r="I300" s="32">
        <v>8.0</v>
      </c>
      <c r="J300" s="34" t="str">
        <f t="shared" si="1"/>
        <v>West</v>
      </c>
      <c r="K300" s="35">
        <v>1.0</v>
      </c>
      <c r="L300" s="35">
        <v>7.0</v>
      </c>
      <c r="M300" s="36">
        <f>VLOOKUP(D300, County_Data_CZones!$B$2:$F$3236, 2, FALSE)</f>
        <v>7</v>
      </c>
      <c r="N300" s="37" t="str">
        <f>VLOOKUP(D300, County_Data_CZones!$B$2:$F$3236, 5, FALSE)</f>
        <v>Very Cold</v>
      </c>
    </row>
    <row r="301" ht="15.75" customHeight="1">
      <c r="A301" s="32" t="s">
        <v>387</v>
      </c>
      <c r="B301" s="32" t="s">
        <v>339</v>
      </c>
      <c r="C301" s="32" t="str">
        <f>vlookup(B301,State_EMM_RowSums!$A$2:$B$52,2,FALSE)</f>
        <v>CO</v>
      </c>
      <c r="D301" s="32">
        <v>8109.0</v>
      </c>
      <c r="E301" s="33">
        <f>IF(NOT(ISBLANK(vlookup($D301,Pop_Census_2023!$A$2:$E$3220,4,FALSE))),vlookup($D301,Pop_Census_2023!$A$2:$E$3220,4,FALSE), vlookup($D301,Pop_Census_2023!$A$2:$E$3220,5,FALSE))</f>
        <v>6688</v>
      </c>
      <c r="F301" s="32">
        <v>198170.0</v>
      </c>
      <c r="G301" s="32">
        <v>34.0</v>
      </c>
      <c r="H301" s="32" t="str">
        <f>VLOOKUP(D301, Grid_Region_Mapping!$D$2:$F$5286, 3, FALSE)</f>
        <v>RMRG</v>
      </c>
      <c r="I301" s="32">
        <v>8.0</v>
      </c>
      <c r="J301" s="34" t="str">
        <f t="shared" si="1"/>
        <v>West</v>
      </c>
      <c r="K301" s="35">
        <v>1.0</v>
      </c>
      <c r="L301" s="35" t="s">
        <v>282</v>
      </c>
      <c r="M301" s="36">
        <f>VLOOKUP(D301, County_Data_CZones!$B$2:$F$3236, 2, FALSE)</f>
        <v>6</v>
      </c>
      <c r="N301" s="37" t="str">
        <f>VLOOKUP(D301, County_Data_CZones!$B$2:$F$3236, 5, FALSE)</f>
        <v>Cold</v>
      </c>
    </row>
    <row r="302" ht="15.75" customHeight="1">
      <c r="A302" s="32" t="s">
        <v>388</v>
      </c>
      <c r="B302" s="32" t="s">
        <v>339</v>
      </c>
      <c r="C302" s="32" t="str">
        <f>vlookup(B302,State_EMM_RowSums!$A$2:$B$52,2,FALSE)</f>
        <v>CO</v>
      </c>
      <c r="D302" s="32">
        <v>8111.0</v>
      </c>
      <c r="E302" s="33">
        <f>IF(NOT(ISBLANK(vlookup($D302,Pop_Census_2023!$A$2:$E$3220,4,FALSE))),vlookup($D302,Pop_Census_2023!$A$2:$E$3220,4,FALSE), vlookup($D302,Pop_Census_2023!$A$2:$E$3220,5,FALSE))</f>
        <v>802</v>
      </c>
      <c r="F302" s="32">
        <v>198171.0</v>
      </c>
      <c r="G302" s="32">
        <v>34.0</v>
      </c>
      <c r="H302" s="32" t="str">
        <f>VLOOKUP(D302, Grid_Region_Mapping!$D$2:$F$5286, 3, FALSE)</f>
        <v>RMRG</v>
      </c>
      <c r="I302" s="32">
        <v>8.0</v>
      </c>
      <c r="J302" s="34" t="str">
        <f t="shared" si="1"/>
        <v>West</v>
      </c>
      <c r="K302" s="35">
        <v>1.0</v>
      </c>
      <c r="L302" s="35">
        <v>7.0</v>
      </c>
      <c r="M302" s="36">
        <f>VLOOKUP(D302, County_Data_CZones!$B$2:$F$3236, 2, FALSE)</f>
        <v>7</v>
      </c>
      <c r="N302" s="37" t="str">
        <f>VLOOKUP(D302, County_Data_CZones!$B$2:$F$3236, 5, FALSE)</f>
        <v>Very Cold</v>
      </c>
    </row>
    <row r="303" ht="15.75" customHeight="1">
      <c r="A303" s="32" t="s">
        <v>389</v>
      </c>
      <c r="B303" s="32" t="s">
        <v>339</v>
      </c>
      <c r="C303" s="32" t="str">
        <f>vlookup(B303,State_EMM_RowSums!$A$2:$B$52,2,FALSE)</f>
        <v>CO</v>
      </c>
      <c r="D303" s="32">
        <v>8113.0</v>
      </c>
      <c r="E303" s="33">
        <f>IF(NOT(ISBLANK(vlookup($D303,Pop_Census_2023!$A$2:$E$3220,4,FALSE))),vlookup($D303,Pop_Census_2023!$A$2:$E$3220,4,FALSE), vlookup($D303,Pop_Census_2023!$A$2:$E$3220,5,FALSE))</f>
        <v>7868</v>
      </c>
      <c r="F303" s="32">
        <v>198172.0</v>
      </c>
      <c r="G303" s="32">
        <v>34.0</v>
      </c>
      <c r="H303" s="32" t="str">
        <f>VLOOKUP(D303, Grid_Region_Mapping!$D$2:$F$5286, 3, FALSE)</f>
        <v>RMRG</v>
      </c>
      <c r="I303" s="32">
        <v>8.0</v>
      </c>
      <c r="J303" s="34" t="str">
        <f t="shared" si="1"/>
        <v>West</v>
      </c>
      <c r="K303" s="35">
        <v>1.0</v>
      </c>
      <c r="L303" s="35" t="s">
        <v>282</v>
      </c>
      <c r="M303" s="36">
        <f>VLOOKUP(D303, County_Data_CZones!$B$2:$F$3236, 2, FALSE)</f>
        <v>6</v>
      </c>
      <c r="N303" s="37" t="str">
        <f>VLOOKUP(D303, County_Data_CZones!$B$2:$F$3236, 5, FALSE)</f>
        <v>Cold</v>
      </c>
    </row>
    <row r="304" ht="15.75" customHeight="1">
      <c r="A304" s="32" t="s">
        <v>390</v>
      </c>
      <c r="B304" s="32" t="s">
        <v>339</v>
      </c>
      <c r="C304" s="32" t="str">
        <f>vlookup(B304,State_EMM_RowSums!$A$2:$B$52,2,FALSE)</f>
        <v>CO</v>
      </c>
      <c r="D304" s="32">
        <v>8115.0</v>
      </c>
      <c r="E304" s="33">
        <f>IF(NOT(ISBLANK(vlookup($D304,Pop_Census_2023!$A$2:$E$3220,4,FALSE))),vlookup($D304,Pop_Census_2023!$A$2:$E$3220,4,FALSE), vlookup($D304,Pop_Census_2023!$A$2:$E$3220,5,FALSE))</f>
        <v>2299</v>
      </c>
      <c r="F304" s="32">
        <v>198173.0</v>
      </c>
      <c r="G304" s="32">
        <v>33.0</v>
      </c>
      <c r="H304" s="32" t="str">
        <f>VLOOKUP(D304, Grid_Region_Mapping!$D$2:$F$5286, 3, FALSE)</f>
        <v>RMRG</v>
      </c>
      <c r="I304" s="32">
        <v>8.0</v>
      </c>
      <c r="J304" s="34" t="str">
        <f t="shared" si="1"/>
        <v>West</v>
      </c>
      <c r="K304" s="35">
        <v>2.0</v>
      </c>
      <c r="L304" s="35" t="s">
        <v>202</v>
      </c>
      <c r="M304" s="36">
        <f>VLOOKUP(D304, County_Data_CZones!$B$2:$F$3236, 2, FALSE)</f>
        <v>5</v>
      </c>
      <c r="N304" s="37" t="str">
        <f>VLOOKUP(D304, County_Data_CZones!$B$2:$F$3236, 5, FALSE)</f>
        <v>Cold</v>
      </c>
    </row>
    <row r="305" ht="15.75" customHeight="1">
      <c r="A305" s="32" t="s">
        <v>391</v>
      </c>
      <c r="B305" s="32" t="s">
        <v>339</v>
      </c>
      <c r="C305" s="32" t="str">
        <f>vlookup(B305,State_EMM_RowSums!$A$2:$B$52,2,FALSE)</f>
        <v>CO</v>
      </c>
      <c r="D305" s="32">
        <v>8117.0</v>
      </c>
      <c r="E305" s="33">
        <f>IF(NOT(ISBLANK(vlookup($D305,Pop_Census_2023!$A$2:$E$3220,4,FALSE))),vlookup($D305,Pop_Census_2023!$A$2:$E$3220,4,FALSE), vlookup($D305,Pop_Census_2023!$A$2:$E$3220,5,FALSE))</f>
        <v>30465</v>
      </c>
      <c r="F305" s="32">
        <v>198174.0</v>
      </c>
      <c r="G305" s="32">
        <v>33.0</v>
      </c>
      <c r="H305" s="32" t="str">
        <f>VLOOKUP(D305, Grid_Region_Mapping!$D$2:$F$5286, 3, FALSE)</f>
        <v>RMRG</v>
      </c>
      <c r="I305" s="32">
        <v>8.0</v>
      </c>
      <c r="J305" s="34" t="str">
        <f t="shared" si="1"/>
        <v>West</v>
      </c>
      <c r="K305" s="35">
        <v>1.0</v>
      </c>
      <c r="L305" s="35">
        <v>7.0</v>
      </c>
      <c r="M305" s="36">
        <f>VLOOKUP(D305, County_Data_CZones!$B$2:$F$3236, 2, FALSE)</f>
        <v>7</v>
      </c>
      <c r="N305" s="37" t="str">
        <f>VLOOKUP(D305, County_Data_CZones!$B$2:$F$3236, 5, FALSE)</f>
        <v>Very Cold</v>
      </c>
    </row>
    <row r="306" ht="15.75" customHeight="1">
      <c r="A306" s="32" t="s">
        <v>392</v>
      </c>
      <c r="B306" s="32" t="s">
        <v>339</v>
      </c>
      <c r="C306" s="32" t="str">
        <f>vlookup(B306,State_EMM_RowSums!$A$2:$B$52,2,FALSE)</f>
        <v>CO</v>
      </c>
      <c r="D306" s="32">
        <v>8119.0</v>
      </c>
      <c r="E306" s="33">
        <f>IF(NOT(ISBLANK(vlookup($D306,Pop_Census_2023!$A$2:$E$3220,4,FALSE))),vlookup($D306,Pop_Census_2023!$A$2:$E$3220,4,FALSE), vlookup($D306,Pop_Census_2023!$A$2:$E$3220,5,FALSE))</f>
        <v>24617</v>
      </c>
      <c r="F306" s="32">
        <v>198175.0</v>
      </c>
      <c r="G306" s="32">
        <v>33.0</v>
      </c>
      <c r="H306" s="32" t="str">
        <f>VLOOKUP(D306, Grid_Region_Mapping!$D$2:$F$5286, 3, FALSE)</f>
        <v>RMRG</v>
      </c>
      <c r="I306" s="32">
        <v>8.0</v>
      </c>
      <c r="J306" s="34" t="str">
        <f t="shared" si="1"/>
        <v>West</v>
      </c>
      <c r="K306" s="35">
        <v>2.0</v>
      </c>
      <c r="L306" s="35" t="s">
        <v>202</v>
      </c>
      <c r="M306" s="36">
        <f>VLOOKUP(D306, County_Data_CZones!$B$2:$F$3236, 2, FALSE)</f>
        <v>5</v>
      </c>
      <c r="N306" s="37" t="str">
        <f>VLOOKUP(D306, County_Data_CZones!$B$2:$F$3236, 5, FALSE)</f>
        <v>Cold</v>
      </c>
    </row>
    <row r="307" ht="15.75" customHeight="1">
      <c r="A307" s="32" t="s">
        <v>167</v>
      </c>
      <c r="B307" s="32" t="s">
        <v>339</v>
      </c>
      <c r="C307" s="32" t="str">
        <f>vlookup(B307,State_EMM_RowSums!$A$2:$B$52,2,FALSE)</f>
        <v>CO</v>
      </c>
      <c r="D307" s="32">
        <v>8121.0</v>
      </c>
      <c r="E307" s="33">
        <f>IF(NOT(ISBLANK(vlookup($D307,Pop_Census_2023!$A$2:$E$3220,4,FALSE))),vlookup($D307,Pop_Census_2023!$A$2:$E$3220,4,FALSE), vlookup($D307,Pop_Census_2023!$A$2:$E$3220,5,FALSE))</f>
        <v>4855</v>
      </c>
      <c r="F307" s="32">
        <v>198176.0</v>
      </c>
      <c r="G307" s="32">
        <v>33.0</v>
      </c>
      <c r="H307" s="32" t="str">
        <f>VLOOKUP(D307, Grid_Region_Mapping!$D$2:$F$5286, 3, FALSE)</f>
        <v>RMRG</v>
      </c>
      <c r="I307" s="32">
        <v>8.0</v>
      </c>
      <c r="J307" s="34" t="str">
        <f t="shared" si="1"/>
        <v>West</v>
      </c>
      <c r="K307" s="35">
        <v>2.0</v>
      </c>
      <c r="L307" s="35" t="s">
        <v>202</v>
      </c>
      <c r="M307" s="36">
        <f>VLOOKUP(D307, County_Data_CZones!$B$2:$F$3236, 2, FALSE)</f>
        <v>5</v>
      </c>
      <c r="N307" s="37" t="str">
        <f>VLOOKUP(D307, County_Data_CZones!$B$2:$F$3236, 5, FALSE)</f>
        <v>Cold</v>
      </c>
    </row>
    <row r="308" ht="15.75" customHeight="1">
      <c r="A308" s="32" t="s">
        <v>393</v>
      </c>
      <c r="B308" s="32" t="s">
        <v>339</v>
      </c>
      <c r="C308" s="32" t="str">
        <f>vlookup(B308,State_EMM_RowSums!$A$2:$B$52,2,FALSE)</f>
        <v>CO</v>
      </c>
      <c r="D308" s="32">
        <v>8123.0</v>
      </c>
      <c r="E308" s="33">
        <f>IF(NOT(ISBLANK(vlookup($D308,Pop_Census_2023!$A$2:$E$3220,4,FALSE))),vlookup($D308,Pop_Census_2023!$A$2:$E$3220,4,FALSE), vlookup($D308,Pop_Census_2023!$A$2:$E$3220,5,FALSE))</f>
        <v>359442</v>
      </c>
      <c r="F308" s="32">
        <v>198177.0</v>
      </c>
      <c r="G308" s="32">
        <v>33.0</v>
      </c>
      <c r="H308" s="32" t="str">
        <f>VLOOKUP(D308, Grid_Region_Mapping!$D$2:$F$5286, 3, FALSE)</f>
        <v>RMRG</v>
      </c>
      <c r="I308" s="32">
        <v>8.0</v>
      </c>
      <c r="J308" s="34" t="str">
        <f t="shared" si="1"/>
        <v>West</v>
      </c>
      <c r="K308" s="35">
        <v>2.0</v>
      </c>
      <c r="L308" s="35" t="s">
        <v>202</v>
      </c>
      <c r="M308" s="36">
        <f>VLOOKUP(D308, County_Data_CZones!$B$2:$F$3236, 2, FALSE)</f>
        <v>5</v>
      </c>
      <c r="N308" s="37" t="str">
        <f>VLOOKUP(D308, County_Data_CZones!$B$2:$F$3236, 5, FALSE)</f>
        <v>Cold</v>
      </c>
    </row>
    <row r="309" ht="15.75" customHeight="1">
      <c r="A309" s="32" t="s">
        <v>219</v>
      </c>
      <c r="B309" s="32" t="s">
        <v>339</v>
      </c>
      <c r="C309" s="32" t="str">
        <f>vlookup(B309,State_EMM_RowSums!$A$2:$B$52,2,FALSE)</f>
        <v>CO</v>
      </c>
      <c r="D309" s="32">
        <v>8125.0</v>
      </c>
      <c r="E309" s="33">
        <f>IF(NOT(ISBLANK(vlookup($D309,Pop_Census_2023!$A$2:$E$3220,4,FALSE))),vlookup($D309,Pop_Census_2023!$A$2:$E$3220,4,FALSE), vlookup($D309,Pop_Census_2023!$A$2:$E$3220,5,FALSE))</f>
        <v>9862</v>
      </c>
      <c r="F309" s="32">
        <v>198178.0</v>
      </c>
      <c r="G309" s="32">
        <v>33.0</v>
      </c>
      <c r="H309" s="32" t="str">
        <f>VLOOKUP(D309, Grid_Region_Mapping!$D$2:$F$5286, 3, FALSE)</f>
        <v>RMRG</v>
      </c>
      <c r="I309" s="32">
        <v>8.0</v>
      </c>
      <c r="J309" s="34" t="str">
        <f t="shared" si="1"/>
        <v>West</v>
      </c>
      <c r="K309" s="35">
        <v>2.0</v>
      </c>
      <c r="L309" s="35" t="s">
        <v>202</v>
      </c>
      <c r="M309" s="36">
        <f>VLOOKUP(D309, County_Data_CZones!$B$2:$F$3236, 2, FALSE)</f>
        <v>5</v>
      </c>
      <c r="N309" s="37" t="str">
        <f>VLOOKUP(D309, County_Data_CZones!$B$2:$F$3236, 5, FALSE)</f>
        <v>Cold</v>
      </c>
    </row>
    <row r="310" ht="15.75" customHeight="1">
      <c r="A310" s="32" t="s">
        <v>394</v>
      </c>
      <c r="B310" s="32" t="s">
        <v>395</v>
      </c>
      <c r="C310" s="32" t="str">
        <f>vlookup(B310,State_EMM_RowSums!$A$2:$B$52,2,FALSE)</f>
        <v>CT</v>
      </c>
      <c r="D310" s="32">
        <v>9001.0</v>
      </c>
      <c r="E310" s="33">
        <f>IF(NOT(ISBLANK(vlookup($D310,Pop_Census_2023!$A$2:$E$3220,4,FALSE))),vlookup($D310,Pop_Census_2023!$A$2:$E$3220,4,FALSE), vlookup($D310,Pop_Census_2023!$A$2:$E$3220,5,FALSE))</f>
        <v>957419</v>
      </c>
      <c r="F310" s="32">
        <v>212794.0</v>
      </c>
      <c r="G310" s="32">
        <v>132.0</v>
      </c>
      <c r="H310" s="32" t="str">
        <f>VLOOKUP(D310, Grid_Region_Mapping!$D$2:$F$5286, 3, FALSE)</f>
        <v>ISNE</v>
      </c>
      <c r="I310" s="32">
        <v>1.0</v>
      </c>
      <c r="J310" s="34" t="str">
        <f t="shared" si="1"/>
        <v>Northeast</v>
      </c>
      <c r="K310" s="35">
        <v>2.0</v>
      </c>
      <c r="L310" s="35" t="s">
        <v>396</v>
      </c>
      <c r="M310" s="36">
        <f>VLOOKUP(D310, County_Data_CZones!$B$2:$F$3236, 2, FALSE)</f>
        <v>5</v>
      </c>
      <c r="N310" s="37" t="str">
        <f>VLOOKUP(D310, County_Data_CZones!$B$2:$F$3236, 5, FALSE)</f>
        <v>Cold</v>
      </c>
    </row>
    <row r="311" ht="15.75" customHeight="1">
      <c r="A311" s="32" t="s">
        <v>397</v>
      </c>
      <c r="B311" s="32" t="s">
        <v>395</v>
      </c>
      <c r="C311" s="32" t="str">
        <f>vlookup(B311,State_EMM_RowSums!$A$2:$B$52,2,FALSE)</f>
        <v>CT</v>
      </c>
      <c r="D311" s="32">
        <v>9003.0</v>
      </c>
      <c r="E311" s="33">
        <f>IF(NOT(ISBLANK(vlookup($D311,Pop_Census_2023!$A$2:$E$3220,4,FALSE))),vlookup($D311,Pop_Census_2023!$A$2:$E$3220,4,FALSE), vlookup($D311,Pop_Census_2023!$A$2:$E$3220,5,FALSE))</f>
        <v>899498</v>
      </c>
      <c r="F311" s="32">
        <v>212338.0</v>
      </c>
      <c r="G311" s="32">
        <v>132.0</v>
      </c>
      <c r="H311" s="32" t="str">
        <f>VLOOKUP(D311, Grid_Region_Mapping!$D$2:$F$5286, 3, FALSE)</f>
        <v>ISNE</v>
      </c>
      <c r="I311" s="32">
        <v>1.0</v>
      </c>
      <c r="J311" s="34" t="str">
        <f t="shared" si="1"/>
        <v>Northeast</v>
      </c>
      <c r="K311" s="35">
        <v>2.0</v>
      </c>
      <c r="L311" s="35" t="s">
        <v>396</v>
      </c>
      <c r="M311" s="36">
        <f>VLOOKUP(D311, County_Data_CZones!$B$2:$F$3236, 2, FALSE)</f>
        <v>5</v>
      </c>
      <c r="N311" s="37" t="str">
        <f>VLOOKUP(D311, County_Data_CZones!$B$2:$F$3236, 5, FALSE)</f>
        <v>Cold</v>
      </c>
    </row>
    <row r="312" ht="15.75" customHeight="1">
      <c r="A312" s="32" t="s">
        <v>398</v>
      </c>
      <c r="B312" s="32" t="s">
        <v>395</v>
      </c>
      <c r="C312" s="32" t="str">
        <f>vlookup(B312,State_EMM_RowSums!$A$2:$B$52,2,FALSE)</f>
        <v>CT</v>
      </c>
      <c r="D312" s="32">
        <v>9005.0</v>
      </c>
      <c r="E312" s="33">
        <f>IF(NOT(ISBLANK(vlookup($D312,Pop_Census_2023!$A$2:$E$3220,4,FALSE))),vlookup($D312,Pop_Census_2023!$A$2:$E$3220,4,FALSE), vlookup($D312,Pop_Census_2023!$A$2:$E$3220,5,FALSE))</f>
        <v>185186</v>
      </c>
      <c r="F312" s="32">
        <v>212796.0</v>
      </c>
      <c r="G312" s="32">
        <v>132.0</v>
      </c>
      <c r="H312" s="32" t="str">
        <f>VLOOKUP(D312, Grid_Region_Mapping!$D$2:$F$5286, 3, FALSE)</f>
        <v>ISNE</v>
      </c>
      <c r="I312" s="32">
        <v>1.0</v>
      </c>
      <c r="J312" s="34" t="str">
        <f t="shared" si="1"/>
        <v>Northeast</v>
      </c>
      <c r="K312" s="35">
        <v>2.0</v>
      </c>
      <c r="L312" s="35" t="s">
        <v>396</v>
      </c>
      <c r="M312" s="36">
        <f>VLOOKUP(D312, County_Data_CZones!$B$2:$F$3236, 2, FALSE)</f>
        <v>5</v>
      </c>
      <c r="N312" s="37" t="str">
        <f>VLOOKUP(D312, County_Data_CZones!$B$2:$F$3236, 5, FALSE)</f>
        <v>Cold</v>
      </c>
    </row>
    <row r="313" ht="15.75" customHeight="1">
      <c r="A313" s="32" t="s">
        <v>399</v>
      </c>
      <c r="B313" s="32" t="s">
        <v>395</v>
      </c>
      <c r="C313" s="32" t="str">
        <f>vlookup(B313,State_EMM_RowSums!$A$2:$B$52,2,FALSE)</f>
        <v>CT</v>
      </c>
      <c r="D313" s="32">
        <v>9007.0</v>
      </c>
      <c r="E313" s="33">
        <f>IF(NOT(ISBLANK(vlookup($D313,Pop_Census_2023!$A$2:$E$3220,4,FALSE))),vlookup($D313,Pop_Census_2023!$A$2:$E$3220,4,FALSE), vlookup($D313,Pop_Census_2023!$A$2:$E$3220,5,FALSE))</f>
        <v>164245</v>
      </c>
      <c r="F313" s="32">
        <v>212797.0</v>
      </c>
      <c r="G313" s="32">
        <v>132.0</v>
      </c>
      <c r="H313" s="32" t="str">
        <f>VLOOKUP(D313, Grid_Region_Mapping!$D$2:$F$5286, 3, FALSE)</f>
        <v>ISNE</v>
      </c>
      <c r="I313" s="32">
        <v>1.0</v>
      </c>
      <c r="J313" s="34" t="str">
        <f t="shared" si="1"/>
        <v>Northeast</v>
      </c>
      <c r="K313" s="35">
        <v>2.0</v>
      </c>
      <c r="L313" s="35" t="s">
        <v>396</v>
      </c>
      <c r="M313" s="36">
        <f>VLOOKUP(D313, County_Data_CZones!$B$2:$F$3236, 2, FALSE)</f>
        <v>5</v>
      </c>
      <c r="N313" s="37" t="str">
        <f>VLOOKUP(D313, County_Data_CZones!$B$2:$F$3236, 5, FALSE)</f>
        <v>Cold</v>
      </c>
    </row>
    <row r="314" ht="15.75" customHeight="1">
      <c r="A314" s="32" t="s">
        <v>400</v>
      </c>
      <c r="B314" s="32" t="s">
        <v>395</v>
      </c>
      <c r="C314" s="32" t="str">
        <f>vlookup(B314,State_EMM_RowSums!$A$2:$B$52,2,FALSE)</f>
        <v>CT</v>
      </c>
      <c r="D314" s="32">
        <v>9009.0</v>
      </c>
      <c r="E314" s="33">
        <f>IF(NOT(ISBLANK(vlookup($D314,Pop_Census_2023!$A$2:$E$3220,4,FALSE))),vlookup($D314,Pop_Census_2023!$A$2:$E$3220,4,FALSE), vlookup($D314,Pop_Census_2023!$A$2:$E$3220,5,FALSE))</f>
        <v>864835</v>
      </c>
      <c r="F314" s="32">
        <v>212798.0</v>
      </c>
      <c r="G314" s="32">
        <v>132.0</v>
      </c>
      <c r="H314" s="32" t="str">
        <f>VLOOKUP(D314, Grid_Region_Mapping!$D$2:$F$5286, 3, FALSE)</f>
        <v>ISNE</v>
      </c>
      <c r="I314" s="32">
        <v>1.0</v>
      </c>
      <c r="J314" s="34" t="str">
        <f t="shared" si="1"/>
        <v>Northeast</v>
      </c>
      <c r="K314" s="35">
        <v>2.0</v>
      </c>
      <c r="L314" s="35" t="s">
        <v>396</v>
      </c>
      <c r="M314" s="36">
        <f>VLOOKUP(D314, County_Data_CZones!$B$2:$F$3236, 2, FALSE)</f>
        <v>5</v>
      </c>
      <c r="N314" s="37" t="str">
        <f>VLOOKUP(D314, County_Data_CZones!$B$2:$F$3236, 5, FALSE)</f>
        <v>Cold</v>
      </c>
    </row>
    <row r="315" ht="15.75" customHeight="1">
      <c r="A315" s="32" t="s">
        <v>401</v>
      </c>
      <c r="B315" s="32" t="s">
        <v>395</v>
      </c>
      <c r="C315" s="32" t="str">
        <f>vlookup(B315,State_EMM_RowSums!$A$2:$B$52,2,FALSE)</f>
        <v>CT</v>
      </c>
      <c r="D315" s="32">
        <v>9011.0</v>
      </c>
      <c r="E315" s="33">
        <f>IF(NOT(ISBLANK(vlookup($D315,Pop_Census_2023!$A$2:$E$3220,4,FALSE))),vlookup($D315,Pop_Census_2023!$A$2:$E$3220,4,FALSE), vlookup($D315,Pop_Census_2023!$A$2:$E$3220,5,FALSE))</f>
        <v>268555</v>
      </c>
      <c r="F315" s="32">
        <v>212799.0</v>
      </c>
      <c r="G315" s="32">
        <v>132.0</v>
      </c>
      <c r="H315" s="32" t="str">
        <f>VLOOKUP(D315, Grid_Region_Mapping!$D$2:$F$5286, 3, FALSE)</f>
        <v>ISNE</v>
      </c>
      <c r="I315" s="32">
        <v>1.0</v>
      </c>
      <c r="J315" s="34" t="str">
        <f t="shared" si="1"/>
        <v>Northeast</v>
      </c>
      <c r="K315" s="35">
        <v>2.0</v>
      </c>
      <c r="L315" s="35" t="s">
        <v>396</v>
      </c>
      <c r="M315" s="36">
        <f>VLOOKUP(D315, County_Data_CZones!$B$2:$F$3236, 2, FALSE)</f>
        <v>5</v>
      </c>
      <c r="N315" s="37" t="str">
        <f>VLOOKUP(D315, County_Data_CZones!$B$2:$F$3236, 5, FALSE)</f>
        <v>Cold</v>
      </c>
    </row>
    <row r="316" ht="15.75" customHeight="1">
      <c r="A316" s="32" t="s">
        <v>402</v>
      </c>
      <c r="B316" s="32" t="s">
        <v>395</v>
      </c>
      <c r="C316" s="32" t="str">
        <f>vlookup(B316,State_EMM_RowSums!$A$2:$B$52,2,FALSE)</f>
        <v>CT</v>
      </c>
      <c r="D316" s="32">
        <v>9013.0</v>
      </c>
      <c r="E316" s="33">
        <f>IF(NOT(ISBLANK(vlookup($D316,Pop_Census_2023!$A$2:$E$3220,4,FALSE))),vlookup($D316,Pop_Census_2023!$A$2:$E$3220,4,FALSE), vlookup($D316,Pop_Census_2023!$A$2:$E$3220,5,FALSE))</f>
        <v>149788</v>
      </c>
      <c r="F316" s="32">
        <v>212668.0</v>
      </c>
      <c r="G316" s="32">
        <v>132.0</v>
      </c>
      <c r="H316" s="32" t="str">
        <f>VLOOKUP(D316, Grid_Region_Mapping!$D$2:$F$5286, 3, FALSE)</f>
        <v>ISNE</v>
      </c>
      <c r="I316" s="32">
        <v>1.0</v>
      </c>
      <c r="J316" s="34" t="str">
        <f t="shared" si="1"/>
        <v>Northeast</v>
      </c>
      <c r="K316" s="35">
        <v>2.0</v>
      </c>
      <c r="L316" s="35" t="s">
        <v>396</v>
      </c>
      <c r="M316" s="36">
        <f>VLOOKUP(D316, County_Data_CZones!$B$2:$F$3236, 2, FALSE)</f>
        <v>5</v>
      </c>
      <c r="N316" s="37" t="str">
        <f>VLOOKUP(D316, County_Data_CZones!$B$2:$F$3236, 5, FALSE)</f>
        <v>Cold</v>
      </c>
    </row>
    <row r="317" ht="15.75" customHeight="1">
      <c r="A317" s="32" t="s">
        <v>403</v>
      </c>
      <c r="B317" s="32" t="s">
        <v>395</v>
      </c>
      <c r="C317" s="32" t="str">
        <f>vlookup(B317,State_EMM_RowSums!$A$2:$B$52,2,FALSE)</f>
        <v>CT</v>
      </c>
      <c r="D317" s="32">
        <v>9015.0</v>
      </c>
      <c r="E317" s="33">
        <f>IF(NOT(ISBLANK(vlookup($D317,Pop_Census_2023!$A$2:$E$3220,4,FALSE))),vlookup($D317,Pop_Census_2023!$A$2:$E$3220,4,FALSE), vlookup($D317,Pop_Census_2023!$A$2:$E$3220,5,FALSE))</f>
        <v>116418</v>
      </c>
      <c r="F317" s="32">
        <v>212801.0</v>
      </c>
      <c r="G317" s="32">
        <v>132.0</v>
      </c>
      <c r="H317" s="32" t="str">
        <f>VLOOKUP(D317, Grid_Region_Mapping!$D$2:$F$5286, 3, FALSE)</f>
        <v>ISNE</v>
      </c>
      <c r="I317" s="32">
        <v>1.0</v>
      </c>
      <c r="J317" s="34" t="str">
        <f t="shared" si="1"/>
        <v>Northeast</v>
      </c>
      <c r="K317" s="35">
        <v>2.0</v>
      </c>
      <c r="L317" s="35" t="s">
        <v>396</v>
      </c>
      <c r="M317" s="36">
        <f>VLOOKUP(D317, County_Data_CZones!$B$2:$F$3236, 2, FALSE)</f>
        <v>5</v>
      </c>
      <c r="N317" s="37" t="str">
        <f>VLOOKUP(D317, County_Data_CZones!$B$2:$F$3236, 5, FALSE)</f>
        <v>Cold</v>
      </c>
    </row>
    <row r="318" ht="15.75" customHeight="1">
      <c r="A318" s="32" t="s">
        <v>404</v>
      </c>
      <c r="B318" s="32" t="s">
        <v>405</v>
      </c>
      <c r="C318" s="32" t="str">
        <f>vlookup(B318,State_EMM_RowSums!$A$2:$B$52,2,FALSE)</f>
        <v>DE</v>
      </c>
      <c r="D318" s="32">
        <v>10001.0</v>
      </c>
      <c r="E318" s="33">
        <f>IF(NOT(ISBLANK(vlookup($D318,Pop_Census_2023!$A$2:$E$3220,4,FALSE))),vlookup($D318,Pop_Census_2023!$A$2:$E$3220,4,FALSE), vlookup($D318,Pop_Census_2023!$A$2:$E$3220,5,FALSE))</f>
        <v>189789</v>
      </c>
      <c r="F318" s="32">
        <v>217271.0</v>
      </c>
      <c r="G318" s="32">
        <v>125.0</v>
      </c>
      <c r="H318" s="32" t="str">
        <f>VLOOKUP(D318, Grid_Region_Mapping!$D$2:$F$5286, 3, FALSE)</f>
        <v>PJME</v>
      </c>
      <c r="I318" s="32">
        <v>5.0</v>
      </c>
      <c r="J318" s="34" t="str">
        <f t="shared" si="1"/>
        <v>South</v>
      </c>
      <c r="K318" s="35">
        <v>3.0</v>
      </c>
      <c r="L318" s="35" t="s">
        <v>223</v>
      </c>
      <c r="M318" s="36">
        <f>VLOOKUP(D318, County_Data_CZones!$B$2:$F$3236, 2, FALSE)</f>
        <v>4</v>
      </c>
      <c r="N318" s="37" t="str">
        <f>VLOOKUP(D318, County_Data_CZones!$B$2:$F$3236, 5, FALSE)</f>
        <v>Mixed-Humid</v>
      </c>
    </row>
    <row r="319" ht="15.75" customHeight="1">
      <c r="A319" s="32" t="s">
        <v>406</v>
      </c>
      <c r="B319" s="32" t="s">
        <v>405</v>
      </c>
      <c r="C319" s="32" t="str">
        <f>vlookup(B319,State_EMM_RowSums!$A$2:$B$52,2,FALSE)</f>
        <v>DE</v>
      </c>
      <c r="D319" s="32">
        <v>10003.0</v>
      </c>
      <c r="E319" s="33">
        <f>IF(NOT(ISBLANK(vlookup($D319,Pop_Census_2023!$A$2:$E$3220,4,FALSE))),vlookup($D319,Pop_Census_2023!$A$2:$E$3220,4,FALSE), vlookup($D319,Pop_Census_2023!$A$2:$E$3220,5,FALSE))</f>
        <v>578592</v>
      </c>
      <c r="F319" s="32">
        <v>217270.0</v>
      </c>
      <c r="G319" s="32">
        <v>125.0</v>
      </c>
      <c r="H319" s="32" t="str">
        <f>VLOOKUP(D319, Grid_Region_Mapping!$D$2:$F$5286, 3, FALSE)</f>
        <v>PJME</v>
      </c>
      <c r="I319" s="32">
        <v>5.0</v>
      </c>
      <c r="J319" s="34" t="str">
        <f t="shared" si="1"/>
        <v>South</v>
      </c>
      <c r="K319" s="35">
        <v>3.0</v>
      </c>
      <c r="L319" s="35" t="s">
        <v>223</v>
      </c>
      <c r="M319" s="36">
        <f>VLOOKUP(D319, County_Data_CZones!$B$2:$F$3236, 2, FALSE)</f>
        <v>4</v>
      </c>
      <c r="N319" s="37" t="str">
        <f>VLOOKUP(D319, County_Data_CZones!$B$2:$F$3236, 5, FALSE)</f>
        <v>Mixed-Humid</v>
      </c>
    </row>
    <row r="320" ht="15.75" customHeight="1">
      <c r="A320" s="32" t="s">
        <v>407</v>
      </c>
      <c r="B320" s="32" t="s">
        <v>405</v>
      </c>
      <c r="C320" s="32" t="str">
        <f>vlookup(B320,State_EMM_RowSums!$A$2:$B$52,2,FALSE)</f>
        <v>DE</v>
      </c>
      <c r="D320" s="32">
        <v>10005.0</v>
      </c>
      <c r="E320" s="33">
        <f>IF(NOT(ISBLANK(vlookup($D320,Pop_Census_2023!$A$2:$E$3220,4,FALSE))),vlookup($D320,Pop_Census_2023!$A$2:$E$3220,4,FALSE), vlookup($D320,Pop_Census_2023!$A$2:$E$3220,5,FALSE))</f>
        <v>263509</v>
      </c>
      <c r="F320" s="32">
        <v>217269.0</v>
      </c>
      <c r="G320" s="32">
        <v>125.0</v>
      </c>
      <c r="H320" s="32" t="str">
        <f>VLOOKUP(D320, Grid_Region_Mapping!$D$2:$F$5286, 3, FALSE)</f>
        <v>PJME</v>
      </c>
      <c r="I320" s="32">
        <v>5.0</v>
      </c>
      <c r="J320" s="34" t="str">
        <f t="shared" si="1"/>
        <v>South</v>
      </c>
      <c r="K320" s="35">
        <v>3.0</v>
      </c>
      <c r="L320" s="35" t="s">
        <v>223</v>
      </c>
      <c r="M320" s="36">
        <f>VLOOKUP(D320, County_Data_CZones!$B$2:$F$3236, 2, FALSE)</f>
        <v>4</v>
      </c>
      <c r="N320" s="37" t="str">
        <f>VLOOKUP(D320, County_Data_CZones!$B$2:$F$3236, 5, FALSE)</f>
        <v>Mixed-Humid</v>
      </c>
    </row>
    <row r="321" ht="15.75" customHeight="1">
      <c r="A321" s="32" t="s">
        <v>408</v>
      </c>
      <c r="B321" s="32" t="s">
        <v>408</v>
      </c>
      <c r="C321" s="32" t="str">
        <f>vlookup(B321,State_EMM_RowSums!$A$2:$B$52,2,FALSE)</f>
        <v>DC</v>
      </c>
      <c r="D321" s="32">
        <v>11001.0</v>
      </c>
      <c r="E321" s="33">
        <f>IF(NOT(ISBLANK(vlookup($D321,Pop_Census_2023!$A$2:$E$3220,4,FALSE))),vlookup($D321,Pop_Census_2023!$A$2:$E$3220,4,FALSE), vlookup($D321,Pop_Census_2023!$A$2:$E$3220,5,FALSE))</f>
        <v>678972</v>
      </c>
      <c r="F321" s="32">
        <v>1702382.0</v>
      </c>
      <c r="G321" s="32">
        <v>123.0</v>
      </c>
      <c r="H321" s="32" t="str">
        <f>VLOOKUP(D321, Grid_Region_Mapping!$D$2:$F$5286, 3, FALSE)</f>
        <v>PJMD</v>
      </c>
      <c r="I321" s="32">
        <v>5.0</v>
      </c>
      <c r="J321" s="34" t="str">
        <f t="shared" si="1"/>
        <v>South</v>
      </c>
      <c r="K321" s="35">
        <v>3.0</v>
      </c>
      <c r="L321" s="35" t="s">
        <v>223</v>
      </c>
      <c r="M321" s="36">
        <f>VLOOKUP(D321, County_Data_CZones!$B$2:$F$3236, 2, FALSE)</f>
        <v>4</v>
      </c>
      <c r="N321" s="37" t="str">
        <f>VLOOKUP(D321, County_Data_CZones!$B$2:$F$3236, 5, FALSE)</f>
        <v>Mixed-Humid</v>
      </c>
    </row>
    <row r="322" ht="15.75" customHeight="1">
      <c r="A322" s="32" t="s">
        <v>409</v>
      </c>
      <c r="B322" s="32" t="s">
        <v>410</v>
      </c>
      <c r="C322" s="32" t="str">
        <f>vlookup(B322,State_EMM_RowSums!$A$2:$B$52,2,FALSE)</f>
        <v>FL</v>
      </c>
      <c r="D322" s="32">
        <v>12001.0</v>
      </c>
      <c r="E322" s="33">
        <f>IF(NOT(ISBLANK(vlookup($D322,Pop_Census_2023!$A$2:$E$3220,4,FALSE))),vlookup($D322,Pop_Census_2023!$A$2:$E$3220,4,FALSE), vlookup($D322,Pop_Census_2023!$A$2:$E$3220,5,FALSE))</f>
        <v>285994</v>
      </c>
      <c r="F322" s="32">
        <v>308548.0</v>
      </c>
      <c r="G322" s="32">
        <v>101.0</v>
      </c>
      <c r="H322" s="32" t="str">
        <f>VLOOKUP(D322, Grid_Region_Mapping!$D$2:$F$5286, 3, FALSE)</f>
        <v>FRCC</v>
      </c>
      <c r="I322" s="32">
        <v>5.0</v>
      </c>
      <c r="J322" s="34" t="str">
        <f t="shared" si="1"/>
        <v>South</v>
      </c>
      <c r="K322" s="35">
        <v>5.0</v>
      </c>
      <c r="L322" s="35" t="s">
        <v>104</v>
      </c>
      <c r="M322" s="36">
        <f>VLOOKUP(D322, County_Data_CZones!$B$2:$F$3236, 2, FALSE)</f>
        <v>2</v>
      </c>
      <c r="N322" s="37" t="str">
        <f>VLOOKUP(D322, County_Data_CZones!$B$2:$F$3236, 5, FALSE)</f>
        <v>Hot-Humid</v>
      </c>
    </row>
    <row r="323" ht="15.75" customHeight="1">
      <c r="A323" s="32" t="s">
        <v>411</v>
      </c>
      <c r="B323" s="32" t="s">
        <v>410</v>
      </c>
      <c r="C323" s="32" t="str">
        <f>vlookup(B323,State_EMM_RowSums!$A$2:$B$52,2,FALSE)</f>
        <v>FL</v>
      </c>
      <c r="D323" s="32">
        <v>12003.0</v>
      </c>
      <c r="E323" s="33">
        <f>IF(NOT(ISBLANK(vlookup($D323,Pop_Census_2023!$A$2:$E$3220,4,FALSE))),vlookup($D323,Pop_Census_2023!$A$2:$E$3220,4,FALSE), vlookup($D323,Pop_Census_2023!$A$2:$E$3220,5,FALSE))</f>
        <v>28368</v>
      </c>
      <c r="F323" s="32">
        <v>306920.0</v>
      </c>
      <c r="G323" s="32">
        <v>101.0</v>
      </c>
      <c r="H323" s="32" t="str">
        <f>VLOOKUP(D323, Grid_Region_Mapping!$D$2:$F$5286, 3, FALSE)</f>
        <v>FRCC</v>
      </c>
      <c r="I323" s="32">
        <v>5.0</v>
      </c>
      <c r="J323" s="34" t="str">
        <f t="shared" si="1"/>
        <v>South</v>
      </c>
      <c r="K323" s="35">
        <v>5.0</v>
      </c>
      <c r="L323" s="35" t="s">
        <v>104</v>
      </c>
      <c r="M323" s="36">
        <f>VLOOKUP(D323, County_Data_CZones!$B$2:$F$3236, 2, FALSE)</f>
        <v>2</v>
      </c>
      <c r="N323" s="37" t="str">
        <f>VLOOKUP(D323, County_Data_CZones!$B$2:$F$3236, 5, FALSE)</f>
        <v>Hot-Humid</v>
      </c>
    </row>
    <row r="324" ht="15.75" customHeight="1">
      <c r="A324" s="32" t="s">
        <v>412</v>
      </c>
      <c r="B324" s="32" t="s">
        <v>410</v>
      </c>
      <c r="C324" s="32" t="str">
        <f>vlookup(B324,State_EMM_RowSums!$A$2:$B$52,2,FALSE)</f>
        <v>FL</v>
      </c>
      <c r="D324" s="32">
        <v>12005.0</v>
      </c>
      <c r="E324" s="33">
        <f>IF(NOT(ISBLANK(vlookup($D324,Pop_Census_2023!$A$2:$E$3220,4,FALSE))),vlookup($D324,Pop_Census_2023!$A$2:$E$3220,4,FALSE), vlookup($D324,Pop_Census_2023!$A$2:$E$3220,5,FALSE))</f>
        <v>190769</v>
      </c>
      <c r="F324" s="32">
        <v>295738.0</v>
      </c>
      <c r="G324" s="32">
        <v>91.0</v>
      </c>
      <c r="H324" s="32" t="str">
        <f>VLOOKUP(D324, Grid_Region_Mapping!$D$2:$F$5286, 3, FALSE)</f>
        <v>SRSE</v>
      </c>
      <c r="I324" s="32">
        <v>5.0</v>
      </c>
      <c r="J324" s="34" t="str">
        <f t="shared" si="1"/>
        <v>South</v>
      </c>
      <c r="K324" s="35">
        <v>5.0</v>
      </c>
      <c r="L324" s="35" t="s">
        <v>104</v>
      </c>
      <c r="M324" s="36">
        <f>VLOOKUP(D324, County_Data_CZones!$B$2:$F$3236, 2, FALSE)</f>
        <v>2</v>
      </c>
      <c r="N324" s="37" t="str">
        <f>VLOOKUP(D324, County_Data_CZones!$B$2:$F$3236, 5, FALSE)</f>
        <v>Hot-Humid</v>
      </c>
    </row>
    <row r="325" ht="15.75" customHeight="1">
      <c r="A325" s="32" t="s">
        <v>413</v>
      </c>
      <c r="B325" s="32" t="s">
        <v>410</v>
      </c>
      <c r="C325" s="32" t="str">
        <f>vlookup(B325,State_EMM_RowSums!$A$2:$B$52,2,FALSE)</f>
        <v>FL</v>
      </c>
      <c r="D325" s="32">
        <v>12007.0</v>
      </c>
      <c r="E325" s="33">
        <f>IF(NOT(ISBLANK(vlookup($D325,Pop_Census_2023!$A$2:$E$3220,4,FALSE))),vlookup($D325,Pop_Census_2023!$A$2:$E$3220,4,FALSE), vlookup($D325,Pop_Census_2023!$A$2:$E$3220,5,FALSE))</f>
        <v>27858</v>
      </c>
      <c r="F325" s="32">
        <v>303634.0</v>
      </c>
      <c r="G325" s="32">
        <v>101.0</v>
      </c>
      <c r="H325" s="32" t="str">
        <f>VLOOKUP(D325, Grid_Region_Mapping!$D$2:$F$5286, 3, FALSE)</f>
        <v>FRCC</v>
      </c>
      <c r="I325" s="32">
        <v>5.0</v>
      </c>
      <c r="J325" s="34" t="str">
        <f t="shared" si="1"/>
        <v>South</v>
      </c>
      <c r="K325" s="35">
        <v>5.0</v>
      </c>
      <c r="L325" s="35" t="s">
        <v>104</v>
      </c>
      <c r="M325" s="36">
        <f>VLOOKUP(D325, County_Data_CZones!$B$2:$F$3236, 2, FALSE)</f>
        <v>2</v>
      </c>
      <c r="N325" s="37" t="str">
        <f>VLOOKUP(D325, County_Data_CZones!$B$2:$F$3236, 5, FALSE)</f>
        <v>Hot-Humid</v>
      </c>
    </row>
    <row r="326" ht="15.75" customHeight="1">
      <c r="A326" s="32" t="s">
        <v>414</v>
      </c>
      <c r="B326" s="32" t="s">
        <v>410</v>
      </c>
      <c r="C326" s="32" t="str">
        <f>vlookup(B326,State_EMM_RowSums!$A$2:$B$52,2,FALSE)</f>
        <v>FL</v>
      </c>
      <c r="D326" s="32">
        <v>12009.0</v>
      </c>
      <c r="E326" s="33">
        <f>IF(NOT(ISBLANK(vlookup($D326,Pop_Census_2023!$A$2:$E$3220,4,FALSE))),vlookup($D326,Pop_Census_2023!$A$2:$E$3220,4,FALSE), vlookup($D326,Pop_Census_2023!$A$2:$E$3220,5,FALSE))</f>
        <v>643979</v>
      </c>
      <c r="F326" s="32">
        <v>295749.0</v>
      </c>
      <c r="G326" s="32">
        <v>102.0</v>
      </c>
      <c r="H326" s="32" t="str">
        <f>VLOOKUP(D326, Grid_Region_Mapping!$D$2:$F$5286, 3, FALSE)</f>
        <v>FRCC</v>
      </c>
      <c r="I326" s="32">
        <v>5.0</v>
      </c>
      <c r="J326" s="34" t="str">
        <f t="shared" si="1"/>
        <v>South</v>
      </c>
      <c r="K326" s="35">
        <v>5.0</v>
      </c>
      <c r="L326" s="35" t="s">
        <v>104</v>
      </c>
      <c r="M326" s="36">
        <f>VLOOKUP(D326, County_Data_CZones!$B$2:$F$3236, 2, FALSE)</f>
        <v>2</v>
      </c>
      <c r="N326" s="37" t="str">
        <f>VLOOKUP(D326, County_Data_CZones!$B$2:$F$3236, 5, FALSE)</f>
        <v>Hot-Humid</v>
      </c>
    </row>
    <row r="327" ht="15.75" customHeight="1">
      <c r="A327" s="32" t="s">
        <v>415</v>
      </c>
      <c r="B327" s="32" t="s">
        <v>410</v>
      </c>
      <c r="C327" s="32" t="str">
        <f>vlookup(B327,State_EMM_RowSums!$A$2:$B$52,2,FALSE)</f>
        <v>FL</v>
      </c>
      <c r="D327" s="32">
        <v>12011.0</v>
      </c>
      <c r="E327" s="33">
        <f>IF(NOT(ISBLANK(vlookup($D327,Pop_Census_2023!$A$2:$E$3220,4,FALSE))),vlookup($D327,Pop_Census_2023!$A$2:$E$3220,4,FALSE), vlookup($D327,Pop_Census_2023!$A$2:$E$3220,5,FALSE))</f>
        <v>1962531</v>
      </c>
      <c r="F327" s="32">
        <v>295753.0</v>
      </c>
      <c r="G327" s="32">
        <v>102.0</v>
      </c>
      <c r="H327" s="32" t="str">
        <f>VLOOKUP(D327, Grid_Region_Mapping!$D$2:$F$5286, 3, FALSE)</f>
        <v>FRCC</v>
      </c>
      <c r="I327" s="32">
        <v>5.0</v>
      </c>
      <c r="J327" s="34" t="str">
        <f t="shared" si="1"/>
        <v>South</v>
      </c>
      <c r="K327" s="35">
        <v>5.0</v>
      </c>
      <c r="L327" s="35" t="s">
        <v>416</v>
      </c>
      <c r="M327" s="36">
        <f>VLOOKUP(D327, County_Data_CZones!$B$2:$F$3236, 2, FALSE)</f>
        <v>1</v>
      </c>
      <c r="N327" s="37" t="str">
        <f>VLOOKUP(D327, County_Data_CZones!$B$2:$F$3236, 5, FALSE)</f>
        <v>Hot-Humid</v>
      </c>
    </row>
    <row r="328" ht="15.75" customHeight="1">
      <c r="A328" s="32" t="s">
        <v>110</v>
      </c>
      <c r="B328" s="32" t="s">
        <v>410</v>
      </c>
      <c r="C328" s="32" t="str">
        <f>vlookup(B328,State_EMM_RowSums!$A$2:$B$52,2,FALSE)</f>
        <v>FL</v>
      </c>
      <c r="D328" s="32">
        <v>12013.0</v>
      </c>
      <c r="E328" s="33">
        <f>IF(NOT(ISBLANK(vlookup($D328,Pop_Census_2023!$A$2:$E$3220,4,FALSE))),vlookup($D328,Pop_Census_2023!$A$2:$E$3220,4,FALSE), vlookup($D328,Pop_Census_2023!$A$2:$E$3220,5,FALSE))</f>
        <v>13470</v>
      </c>
      <c r="F328" s="32">
        <v>306919.0</v>
      </c>
      <c r="G328" s="32">
        <v>91.0</v>
      </c>
      <c r="H328" s="32" t="str">
        <f>VLOOKUP(D328, Grid_Region_Mapping!$D$2:$F$5286, 3, FALSE)</f>
        <v>SRSE</v>
      </c>
      <c r="I328" s="32">
        <v>5.0</v>
      </c>
      <c r="J328" s="34" t="str">
        <f t="shared" si="1"/>
        <v>South</v>
      </c>
      <c r="K328" s="35">
        <v>5.0</v>
      </c>
      <c r="L328" s="35" t="s">
        <v>104</v>
      </c>
      <c r="M328" s="36">
        <f>VLOOKUP(D328, County_Data_CZones!$B$2:$F$3236, 2, FALSE)</f>
        <v>2</v>
      </c>
      <c r="N328" s="37" t="str">
        <f>VLOOKUP(D328, County_Data_CZones!$B$2:$F$3236, 5, FALSE)</f>
        <v>Hot-Humid</v>
      </c>
    </row>
    <row r="329" ht="15.75" customHeight="1">
      <c r="A329" s="32" t="s">
        <v>417</v>
      </c>
      <c r="B329" s="32" t="s">
        <v>410</v>
      </c>
      <c r="C329" s="32" t="str">
        <f>vlookup(B329,State_EMM_RowSums!$A$2:$B$52,2,FALSE)</f>
        <v>FL</v>
      </c>
      <c r="D329" s="32">
        <v>12015.0</v>
      </c>
      <c r="E329" s="33">
        <f>IF(NOT(ISBLANK(vlookup($D329,Pop_Census_2023!$A$2:$E$3220,4,FALSE))),vlookup($D329,Pop_Census_2023!$A$2:$E$3220,4,FALSE), vlookup($D329,Pop_Census_2023!$A$2:$E$3220,5,FALSE))</f>
        <v>206134</v>
      </c>
      <c r="F329" s="32">
        <v>295742.0</v>
      </c>
      <c r="G329" s="32">
        <v>101.0</v>
      </c>
      <c r="H329" s="32" t="str">
        <f>VLOOKUP(D329, Grid_Region_Mapping!$D$2:$F$5286, 3, FALSE)</f>
        <v>FRCC</v>
      </c>
      <c r="I329" s="32">
        <v>5.0</v>
      </c>
      <c r="J329" s="34" t="str">
        <f t="shared" si="1"/>
        <v>South</v>
      </c>
      <c r="K329" s="35">
        <v>5.0</v>
      </c>
      <c r="L329" s="35" t="s">
        <v>104</v>
      </c>
      <c r="M329" s="36">
        <f>VLOOKUP(D329, County_Data_CZones!$B$2:$F$3236, 2, FALSE)</f>
        <v>2</v>
      </c>
      <c r="N329" s="37" t="str">
        <f>VLOOKUP(D329, County_Data_CZones!$B$2:$F$3236, 5, FALSE)</f>
        <v>Hot-Humid</v>
      </c>
    </row>
    <row r="330" ht="15.75" customHeight="1">
      <c r="A330" s="32" t="s">
        <v>418</v>
      </c>
      <c r="B330" s="32" t="s">
        <v>410</v>
      </c>
      <c r="C330" s="32" t="str">
        <f>vlookup(B330,State_EMM_RowSums!$A$2:$B$52,2,FALSE)</f>
        <v>FL</v>
      </c>
      <c r="D330" s="32">
        <v>12017.0</v>
      </c>
      <c r="E330" s="33">
        <f>IF(NOT(ISBLANK(vlookup($D330,Pop_Census_2023!$A$2:$E$3220,4,FALSE))),vlookup($D330,Pop_Census_2023!$A$2:$E$3220,4,FALSE), vlookup($D330,Pop_Census_2023!$A$2:$E$3220,5,FALSE))</f>
        <v>166696</v>
      </c>
      <c r="F330" s="32">
        <v>295752.0</v>
      </c>
      <c r="G330" s="32">
        <v>101.0</v>
      </c>
      <c r="H330" s="32" t="str">
        <f>VLOOKUP(D330, Grid_Region_Mapping!$D$2:$F$5286, 3, FALSE)</f>
        <v>FRCC</v>
      </c>
      <c r="I330" s="32">
        <v>5.0</v>
      </c>
      <c r="J330" s="34" t="str">
        <f t="shared" si="1"/>
        <v>South</v>
      </c>
      <c r="K330" s="35">
        <v>5.0</v>
      </c>
      <c r="L330" s="35" t="s">
        <v>104</v>
      </c>
      <c r="M330" s="36">
        <f>VLOOKUP(D330, County_Data_CZones!$B$2:$F$3236, 2, FALSE)</f>
        <v>2</v>
      </c>
      <c r="N330" s="37" t="str">
        <f>VLOOKUP(D330, County_Data_CZones!$B$2:$F$3236, 5, FALSE)</f>
        <v>Hot-Humid</v>
      </c>
    </row>
    <row r="331" ht="15.75" customHeight="1">
      <c r="A331" s="32" t="s">
        <v>116</v>
      </c>
      <c r="B331" s="32" t="s">
        <v>410</v>
      </c>
      <c r="C331" s="32" t="str">
        <f>vlookup(B331,State_EMM_RowSums!$A$2:$B$52,2,FALSE)</f>
        <v>FL</v>
      </c>
      <c r="D331" s="32">
        <v>12019.0</v>
      </c>
      <c r="E331" s="33">
        <f>IF(NOT(ISBLANK(vlookup($D331,Pop_Census_2023!$A$2:$E$3220,4,FALSE))),vlookup($D331,Pop_Census_2023!$A$2:$E$3220,4,FALSE), vlookup($D331,Pop_Census_2023!$A$2:$E$3220,5,FALSE))</f>
        <v>232439</v>
      </c>
      <c r="F331" s="32">
        <v>295726.0</v>
      </c>
      <c r="G331" s="32">
        <v>101.0</v>
      </c>
      <c r="H331" s="32" t="str">
        <f>VLOOKUP(D331, Grid_Region_Mapping!$D$2:$F$5286, 3, FALSE)</f>
        <v>FRCC</v>
      </c>
      <c r="I331" s="32">
        <v>5.0</v>
      </c>
      <c r="J331" s="34" t="str">
        <f t="shared" si="1"/>
        <v>South</v>
      </c>
      <c r="K331" s="35">
        <v>5.0</v>
      </c>
      <c r="L331" s="35" t="s">
        <v>104</v>
      </c>
      <c r="M331" s="36">
        <f>VLOOKUP(D331, County_Data_CZones!$B$2:$F$3236, 2, FALSE)</f>
        <v>2</v>
      </c>
      <c r="N331" s="37" t="str">
        <f>VLOOKUP(D331, County_Data_CZones!$B$2:$F$3236, 5, FALSE)</f>
        <v>Hot-Humid</v>
      </c>
    </row>
    <row r="332" ht="15.75" customHeight="1">
      <c r="A332" s="32" t="s">
        <v>419</v>
      </c>
      <c r="B332" s="32" t="s">
        <v>410</v>
      </c>
      <c r="C332" s="32" t="str">
        <f>vlookup(B332,State_EMM_RowSums!$A$2:$B$52,2,FALSE)</f>
        <v>FL</v>
      </c>
      <c r="D332" s="32">
        <v>12021.0</v>
      </c>
      <c r="E332" s="33">
        <f>IF(NOT(ISBLANK(vlookup($D332,Pop_Census_2023!$A$2:$E$3220,4,FALSE))),vlookup($D332,Pop_Census_2023!$A$2:$E$3220,4,FALSE), vlookup($D332,Pop_Census_2023!$A$2:$E$3220,5,FALSE))</f>
        <v>404310</v>
      </c>
      <c r="F332" s="32">
        <v>295754.0</v>
      </c>
      <c r="G332" s="32">
        <v>101.0</v>
      </c>
      <c r="H332" s="32" t="str">
        <f>VLOOKUP(D332, Grid_Region_Mapping!$D$2:$F$5286, 3, FALSE)</f>
        <v>FRCC</v>
      </c>
      <c r="I332" s="32">
        <v>5.0</v>
      </c>
      <c r="J332" s="34" t="str">
        <f t="shared" si="1"/>
        <v>South</v>
      </c>
      <c r="K332" s="35">
        <v>5.0</v>
      </c>
      <c r="L332" s="35" t="s">
        <v>104</v>
      </c>
      <c r="M332" s="36">
        <f>VLOOKUP(D332, County_Data_CZones!$B$2:$F$3236, 2, FALSE)</f>
        <v>2</v>
      </c>
      <c r="N332" s="37" t="str">
        <f>VLOOKUP(D332, County_Data_CZones!$B$2:$F$3236, 5, FALSE)</f>
        <v>Hot-Humid</v>
      </c>
    </row>
    <row r="333" ht="15.75" customHeight="1">
      <c r="A333" s="32" t="s">
        <v>231</v>
      </c>
      <c r="B333" s="32" t="s">
        <v>410</v>
      </c>
      <c r="C333" s="32" t="str">
        <f>vlookup(B333,State_EMM_RowSums!$A$2:$B$52,2,FALSE)</f>
        <v>FL</v>
      </c>
      <c r="D333" s="32">
        <v>12023.0</v>
      </c>
      <c r="E333" s="33">
        <f>IF(NOT(ISBLANK(vlookup($D333,Pop_Census_2023!$A$2:$E$3220,4,FALSE))),vlookup($D333,Pop_Census_2023!$A$2:$E$3220,4,FALSE), vlookup($D333,Pop_Census_2023!$A$2:$E$3220,5,FALSE))</f>
        <v>73063</v>
      </c>
      <c r="F333" s="32">
        <v>306909.0</v>
      </c>
      <c r="G333" s="32">
        <v>101.0</v>
      </c>
      <c r="H333" s="32" t="str">
        <f>VLOOKUP(D333, Grid_Region_Mapping!$D$2:$F$5286, 3, FALSE)</f>
        <v>FRCC</v>
      </c>
      <c r="I333" s="32">
        <v>5.0</v>
      </c>
      <c r="J333" s="34" t="str">
        <f t="shared" si="1"/>
        <v>South</v>
      </c>
      <c r="K333" s="35">
        <v>5.0</v>
      </c>
      <c r="L333" s="35" t="s">
        <v>104</v>
      </c>
      <c r="M333" s="36">
        <f>VLOOKUP(D333, County_Data_CZones!$B$2:$F$3236, 2, FALSE)</f>
        <v>2</v>
      </c>
      <c r="N333" s="37" t="str">
        <f>VLOOKUP(D333, County_Data_CZones!$B$2:$F$3236, 5, FALSE)</f>
        <v>Hot-Humid</v>
      </c>
    </row>
    <row r="334" ht="15.75" customHeight="1">
      <c r="A334" s="32" t="s">
        <v>420</v>
      </c>
      <c r="B334" s="32" t="s">
        <v>410</v>
      </c>
      <c r="C334" s="32" t="str">
        <f>vlookup(B334,State_EMM_RowSums!$A$2:$B$52,2,FALSE)</f>
        <v>FL</v>
      </c>
      <c r="D334" s="32">
        <v>12027.0</v>
      </c>
      <c r="E334" s="33">
        <f>IF(NOT(ISBLANK(vlookup($D334,Pop_Census_2023!$A$2:$E$3220,4,FALSE))),vlookup($D334,Pop_Census_2023!$A$2:$E$3220,4,FALSE), vlookup($D334,Pop_Census_2023!$A$2:$E$3220,5,FALSE))</f>
        <v>35979</v>
      </c>
      <c r="F334" s="32">
        <v>294452.0</v>
      </c>
      <c r="G334" s="32">
        <v>101.0</v>
      </c>
      <c r="H334" s="32" t="str">
        <f>VLOOKUP(D334, Grid_Region_Mapping!$D$2:$F$5286, 3, FALSE)</f>
        <v>FRCC</v>
      </c>
      <c r="I334" s="32">
        <v>5.0</v>
      </c>
      <c r="J334" s="34" t="str">
        <f t="shared" si="1"/>
        <v>South</v>
      </c>
      <c r="K334" s="35">
        <v>5.0</v>
      </c>
      <c r="L334" s="35" t="s">
        <v>104</v>
      </c>
      <c r="M334" s="36">
        <f>VLOOKUP(D334, County_Data_CZones!$B$2:$F$3236, 2, FALSE)</f>
        <v>2</v>
      </c>
      <c r="N334" s="37" t="str">
        <f>VLOOKUP(D334, County_Data_CZones!$B$2:$F$3236, 5, FALSE)</f>
        <v>Hot-Humid</v>
      </c>
    </row>
    <row r="335" ht="15.75" customHeight="1">
      <c r="A335" s="32" t="s">
        <v>421</v>
      </c>
      <c r="B335" s="32" t="s">
        <v>410</v>
      </c>
      <c r="C335" s="32" t="str">
        <f>vlookup(B335,State_EMM_RowSums!$A$2:$B$52,2,FALSE)</f>
        <v>FL</v>
      </c>
      <c r="D335" s="32">
        <v>12029.0</v>
      </c>
      <c r="E335" s="33">
        <f>IF(NOT(ISBLANK(vlookup($D335,Pop_Census_2023!$A$2:$E$3220,4,FALSE))),vlookup($D335,Pop_Census_2023!$A$2:$E$3220,4,FALSE), vlookup($D335,Pop_Census_2023!$A$2:$E$3220,5,FALSE))</f>
        <v>17465</v>
      </c>
      <c r="F335" s="32">
        <v>295725.0</v>
      </c>
      <c r="G335" s="32">
        <v>101.0</v>
      </c>
      <c r="H335" s="32" t="str">
        <f>VLOOKUP(D335, Grid_Region_Mapping!$D$2:$F$5286, 3, FALSE)</f>
        <v>FRCC</v>
      </c>
      <c r="I335" s="32">
        <v>5.0</v>
      </c>
      <c r="J335" s="34" t="str">
        <f t="shared" si="1"/>
        <v>South</v>
      </c>
      <c r="K335" s="35">
        <v>5.0</v>
      </c>
      <c r="L335" s="35" t="s">
        <v>104</v>
      </c>
      <c r="M335" s="36">
        <f>VLOOKUP(D335, County_Data_CZones!$B$2:$F$3236, 2, FALSE)</f>
        <v>2</v>
      </c>
      <c r="N335" s="37" t="str">
        <f>VLOOKUP(D335, County_Data_CZones!$B$2:$F$3236, 5, FALSE)</f>
        <v>Hot-Humid</v>
      </c>
    </row>
    <row r="336" ht="15.75" customHeight="1">
      <c r="A336" s="32" t="s">
        <v>422</v>
      </c>
      <c r="B336" s="32" t="s">
        <v>410</v>
      </c>
      <c r="C336" s="32" t="str">
        <f>vlookup(B336,State_EMM_RowSums!$A$2:$B$52,2,FALSE)</f>
        <v>FL</v>
      </c>
      <c r="D336" s="32">
        <v>12031.0</v>
      </c>
      <c r="E336" s="33">
        <f>IF(NOT(ISBLANK(vlookup($D336,Pop_Census_2023!$A$2:$E$3220,4,FALSE))),vlookup($D336,Pop_Census_2023!$A$2:$E$3220,4,FALSE), vlookup($D336,Pop_Census_2023!$A$2:$E$3220,5,FALSE))</f>
        <v>1030822</v>
      </c>
      <c r="F336" s="32">
        <v>293656.0</v>
      </c>
      <c r="G336" s="32">
        <v>101.0</v>
      </c>
      <c r="H336" s="32" t="str">
        <f>VLOOKUP(D336, Grid_Region_Mapping!$D$2:$F$5286, 3, FALSE)</f>
        <v>FRCC</v>
      </c>
      <c r="I336" s="32">
        <v>5.0</v>
      </c>
      <c r="J336" s="34" t="str">
        <f t="shared" si="1"/>
        <v>South</v>
      </c>
      <c r="K336" s="35">
        <v>5.0</v>
      </c>
      <c r="L336" s="35" t="s">
        <v>104</v>
      </c>
      <c r="M336" s="36">
        <f>VLOOKUP(D336, County_Data_CZones!$B$2:$F$3236, 2, FALSE)</f>
        <v>2</v>
      </c>
      <c r="N336" s="37" t="str">
        <f>VLOOKUP(D336, County_Data_CZones!$B$2:$F$3236, 5, FALSE)</f>
        <v>Hot-Humid</v>
      </c>
    </row>
    <row r="337" ht="15.75" customHeight="1">
      <c r="A337" s="32" t="s">
        <v>129</v>
      </c>
      <c r="B337" s="32" t="s">
        <v>410</v>
      </c>
      <c r="C337" s="32" t="str">
        <f>vlookup(B337,State_EMM_RowSums!$A$2:$B$52,2,FALSE)</f>
        <v>FL</v>
      </c>
      <c r="D337" s="32">
        <v>12033.0</v>
      </c>
      <c r="E337" s="33">
        <f>IF(NOT(ISBLANK(vlookup($D337,Pop_Census_2023!$A$2:$E$3220,4,FALSE))),vlookup($D337,Pop_Census_2023!$A$2:$E$3220,4,FALSE), vlookup($D337,Pop_Census_2023!$A$2:$E$3220,5,FALSE))</f>
        <v>326928</v>
      </c>
      <c r="F337" s="32">
        <v>295737.0</v>
      </c>
      <c r="G337" s="32">
        <v>91.0</v>
      </c>
      <c r="H337" s="32" t="str">
        <f>VLOOKUP(D337, Grid_Region_Mapping!$D$2:$F$5286, 3, FALSE)</f>
        <v>SRSE</v>
      </c>
      <c r="I337" s="32">
        <v>5.0</v>
      </c>
      <c r="J337" s="34" t="str">
        <f t="shared" si="1"/>
        <v>South</v>
      </c>
      <c r="K337" s="35">
        <v>5.0</v>
      </c>
      <c r="L337" s="35" t="s">
        <v>104</v>
      </c>
      <c r="M337" s="36">
        <f>VLOOKUP(D337, County_Data_CZones!$B$2:$F$3236, 2, FALSE)</f>
        <v>2</v>
      </c>
      <c r="N337" s="37" t="str">
        <f>VLOOKUP(D337, County_Data_CZones!$B$2:$F$3236, 5, FALSE)</f>
        <v>Hot-Humid</v>
      </c>
    </row>
    <row r="338" ht="15.75" customHeight="1">
      <c r="A338" s="32" t="s">
        <v>423</v>
      </c>
      <c r="B338" s="32" t="s">
        <v>410</v>
      </c>
      <c r="C338" s="32" t="str">
        <f>vlookup(B338,State_EMM_RowSums!$A$2:$B$52,2,FALSE)</f>
        <v>FL</v>
      </c>
      <c r="D338" s="32">
        <v>12035.0</v>
      </c>
      <c r="E338" s="33">
        <f>IF(NOT(ISBLANK(vlookup($D338,Pop_Census_2023!$A$2:$E$3220,4,FALSE))),vlookup($D338,Pop_Census_2023!$A$2:$E$3220,4,FALSE), vlookup($D338,Pop_Census_2023!$A$2:$E$3220,5,FALSE))</f>
        <v>131439</v>
      </c>
      <c r="F338" s="32">
        <v>308547.0</v>
      </c>
      <c r="G338" s="32">
        <v>101.0</v>
      </c>
      <c r="H338" s="32" t="str">
        <f>VLOOKUP(D338, Grid_Region_Mapping!$D$2:$F$5286, 3, FALSE)</f>
        <v>FRCC</v>
      </c>
      <c r="I338" s="32">
        <v>5.0</v>
      </c>
      <c r="J338" s="34" t="str">
        <f t="shared" si="1"/>
        <v>South</v>
      </c>
      <c r="K338" s="35">
        <v>5.0</v>
      </c>
      <c r="L338" s="35" t="s">
        <v>104</v>
      </c>
      <c r="M338" s="36">
        <f>VLOOKUP(D338, County_Data_CZones!$B$2:$F$3236, 2, FALSE)</f>
        <v>2</v>
      </c>
      <c r="N338" s="37" t="str">
        <f>VLOOKUP(D338, County_Data_CZones!$B$2:$F$3236, 5, FALSE)</f>
        <v>Hot-Humid</v>
      </c>
    </row>
    <row r="339" ht="15.75" customHeight="1">
      <c r="A339" s="32" t="s">
        <v>132</v>
      </c>
      <c r="B339" s="32" t="s">
        <v>410</v>
      </c>
      <c r="C339" s="32" t="str">
        <f>vlookup(B339,State_EMM_RowSums!$A$2:$B$52,2,FALSE)</f>
        <v>FL</v>
      </c>
      <c r="D339" s="32">
        <v>12037.0</v>
      </c>
      <c r="E339" s="33">
        <f>IF(NOT(ISBLANK(vlookup($D339,Pop_Census_2023!$A$2:$E$3220,4,FALSE))),vlookup($D339,Pop_Census_2023!$A$2:$E$3220,4,FALSE), vlookup($D339,Pop_Census_2023!$A$2:$E$3220,5,FALSE))</f>
        <v>12594</v>
      </c>
      <c r="F339" s="32">
        <v>306911.0</v>
      </c>
      <c r="G339" s="32">
        <v>101.0</v>
      </c>
      <c r="H339" s="32" t="str">
        <f>VLOOKUP(D339, Grid_Region_Mapping!$D$2:$F$5286, 3, FALSE)</f>
        <v>FRCC</v>
      </c>
      <c r="I339" s="32">
        <v>5.0</v>
      </c>
      <c r="J339" s="34" t="str">
        <f t="shared" si="1"/>
        <v>South</v>
      </c>
      <c r="K339" s="35">
        <v>5.0</v>
      </c>
      <c r="L339" s="35" t="s">
        <v>104</v>
      </c>
      <c r="M339" s="36">
        <f>VLOOKUP(D339, County_Data_CZones!$B$2:$F$3236, 2, FALSE)</f>
        <v>2</v>
      </c>
      <c r="N339" s="37" t="str">
        <f>VLOOKUP(D339, County_Data_CZones!$B$2:$F$3236, 5, FALSE)</f>
        <v>Hot-Humid</v>
      </c>
    </row>
    <row r="340" ht="15.75" customHeight="1">
      <c r="A340" s="32" t="s">
        <v>424</v>
      </c>
      <c r="B340" s="32" t="s">
        <v>410</v>
      </c>
      <c r="C340" s="32" t="str">
        <f>vlookup(B340,State_EMM_RowSums!$A$2:$B$52,2,FALSE)</f>
        <v>FL</v>
      </c>
      <c r="D340" s="32">
        <v>12039.0</v>
      </c>
      <c r="E340" s="33">
        <f>IF(NOT(ISBLANK(vlookup($D340,Pop_Census_2023!$A$2:$E$3220,4,FALSE))),vlookup($D340,Pop_Census_2023!$A$2:$E$3220,4,FALSE), vlookup($D340,Pop_Census_2023!$A$2:$E$3220,5,FALSE))</f>
        <v>43833</v>
      </c>
      <c r="F340" s="32">
        <v>306918.0</v>
      </c>
      <c r="G340" s="32">
        <v>101.0</v>
      </c>
      <c r="H340" s="32" t="str">
        <f>VLOOKUP(D340, Grid_Region_Mapping!$D$2:$F$5286, 3, FALSE)</f>
        <v>FRCC</v>
      </c>
      <c r="I340" s="32">
        <v>5.0</v>
      </c>
      <c r="J340" s="34" t="str">
        <f t="shared" si="1"/>
        <v>South</v>
      </c>
      <c r="K340" s="35">
        <v>5.0</v>
      </c>
      <c r="L340" s="35" t="s">
        <v>104</v>
      </c>
      <c r="M340" s="36">
        <f>VLOOKUP(D340, County_Data_CZones!$B$2:$F$3236, 2, FALSE)</f>
        <v>2</v>
      </c>
      <c r="N340" s="37" t="str">
        <f>VLOOKUP(D340, County_Data_CZones!$B$2:$F$3236, 5, FALSE)</f>
        <v>Hot-Humid</v>
      </c>
    </row>
    <row r="341" ht="15.75" customHeight="1">
      <c r="A341" s="32" t="s">
        <v>425</v>
      </c>
      <c r="B341" s="32" t="s">
        <v>410</v>
      </c>
      <c r="C341" s="32" t="str">
        <f>vlookup(B341,State_EMM_RowSums!$A$2:$B$52,2,FALSE)</f>
        <v>FL</v>
      </c>
      <c r="D341" s="32">
        <v>12041.0</v>
      </c>
      <c r="E341" s="33">
        <f>IF(NOT(ISBLANK(vlookup($D341,Pop_Census_2023!$A$2:$E$3220,4,FALSE))),vlookup($D341,Pop_Census_2023!$A$2:$E$3220,4,FALSE), vlookup($D341,Pop_Census_2023!$A$2:$E$3220,5,FALSE))</f>
        <v>19587</v>
      </c>
      <c r="F341" s="32">
        <v>303633.0</v>
      </c>
      <c r="G341" s="32">
        <v>101.0</v>
      </c>
      <c r="H341" s="32" t="str">
        <f>VLOOKUP(D341, Grid_Region_Mapping!$D$2:$F$5286, 3, FALSE)</f>
        <v>FRCC</v>
      </c>
      <c r="I341" s="32">
        <v>5.0</v>
      </c>
      <c r="J341" s="34" t="str">
        <f t="shared" si="1"/>
        <v>South</v>
      </c>
      <c r="K341" s="35">
        <v>5.0</v>
      </c>
      <c r="L341" s="35" t="s">
        <v>104</v>
      </c>
      <c r="M341" s="36">
        <f>VLOOKUP(D341, County_Data_CZones!$B$2:$F$3236, 2, FALSE)</f>
        <v>2</v>
      </c>
      <c r="N341" s="37" t="str">
        <f>VLOOKUP(D341, County_Data_CZones!$B$2:$F$3236, 5, FALSE)</f>
        <v>Hot-Humid</v>
      </c>
    </row>
    <row r="342" ht="15.75" customHeight="1">
      <c r="A342" s="32" t="s">
        <v>426</v>
      </c>
      <c r="B342" s="32" t="s">
        <v>410</v>
      </c>
      <c r="C342" s="32" t="str">
        <f>vlookup(B342,State_EMM_RowSums!$A$2:$B$52,2,FALSE)</f>
        <v>FL</v>
      </c>
      <c r="D342" s="32">
        <v>12043.0</v>
      </c>
      <c r="E342" s="33">
        <f>IF(NOT(ISBLANK(vlookup($D342,Pop_Census_2023!$A$2:$E$3220,4,FALSE))),vlookup($D342,Pop_Census_2023!$A$2:$E$3220,4,FALSE), vlookup($D342,Pop_Census_2023!$A$2:$E$3220,5,FALSE))</f>
        <v>12786</v>
      </c>
      <c r="F342" s="32">
        <v>295743.0</v>
      </c>
      <c r="G342" s="32">
        <v>101.0</v>
      </c>
      <c r="H342" s="32" t="str">
        <f>VLOOKUP(D342, Grid_Region_Mapping!$D$2:$F$5286, 3, FALSE)</f>
        <v>FRCC</v>
      </c>
      <c r="I342" s="32">
        <v>5.0</v>
      </c>
      <c r="J342" s="34" t="str">
        <f t="shared" si="1"/>
        <v>South</v>
      </c>
      <c r="K342" s="35">
        <v>5.0</v>
      </c>
      <c r="L342" s="35" t="s">
        <v>104</v>
      </c>
      <c r="M342" s="36">
        <f>VLOOKUP(D342, County_Data_CZones!$B$2:$F$3236, 2, FALSE)</f>
        <v>2</v>
      </c>
      <c r="N342" s="37" t="str">
        <f>VLOOKUP(D342, County_Data_CZones!$B$2:$F$3236, 5, FALSE)</f>
        <v>Hot-Humid</v>
      </c>
    </row>
    <row r="343" ht="15.75" customHeight="1">
      <c r="A343" s="32" t="s">
        <v>427</v>
      </c>
      <c r="B343" s="32" t="s">
        <v>410</v>
      </c>
      <c r="C343" s="32" t="str">
        <f>vlookup(B343,State_EMM_RowSums!$A$2:$B$52,2,FALSE)</f>
        <v>FL</v>
      </c>
      <c r="D343" s="32">
        <v>12045.0</v>
      </c>
      <c r="E343" s="33">
        <f>IF(NOT(ISBLANK(vlookup($D343,Pop_Census_2023!$A$2:$E$3220,4,FALSE))),vlookup($D343,Pop_Census_2023!$A$2:$E$3220,4,FALSE), vlookup($D343,Pop_Census_2023!$A$2:$E$3220,5,FALSE))</f>
        <v>15693</v>
      </c>
      <c r="F343" s="32">
        <v>306917.0</v>
      </c>
      <c r="G343" s="32">
        <v>91.0</v>
      </c>
      <c r="H343" s="32" t="str">
        <f>VLOOKUP(D343, Grid_Region_Mapping!$D$2:$F$5286, 3, FALSE)</f>
        <v>SRSE</v>
      </c>
      <c r="I343" s="32">
        <v>5.0</v>
      </c>
      <c r="J343" s="34" t="str">
        <f t="shared" si="1"/>
        <v>South</v>
      </c>
      <c r="K343" s="35">
        <v>5.0</v>
      </c>
      <c r="L343" s="35" t="s">
        <v>104</v>
      </c>
      <c r="M343" s="36">
        <f>VLOOKUP(D343, County_Data_CZones!$B$2:$F$3236, 2, FALSE)</f>
        <v>2</v>
      </c>
      <c r="N343" s="37" t="str">
        <f>VLOOKUP(D343, County_Data_CZones!$B$2:$F$3236, 5, FALSE)</f>
        <v>Hot-Humid</v>
      </c>
    </row>
    <row r="344" ht="15.75" customHeight="1">
      <c r="A344" s="32" t="s">
        <v>428</v>
      </c>
      <c r="B344" s="32" t="s">
        <v>410</v>
      </c>
      <c r="C344" s="32" t="str">
        <f>vlookup(B344,State_EMM_RowSums!$A$2:$B$52,2,FALSE)</f>
        <v>FL</v>
      </c>
      <c r="D344" s="32">
        <v>12047.0</v>
      </c>
      <c r="E344" s="33">
        <f>IF(NOT(ISBLANK(vlookup($D344,Pop_Census_2023!$A$2:$E$3220,4,FALSE))),vlookup($D344,Pop_Census_2023!$A$2:$E$3220,4,FALSE), vlookup($D344,Pop_Census_2023!$A$2:$E$3220,5,FALSE))</f>
        <v>13471</v>
      </c>
      <c r="F344" s="32">
        <v>295736.0</v>
      </c>
      <c r="G344" s="32">
        <v>101.0</v>
      </c>
      <c r="H344" s="32" t="str">
        <f>VLOOKUP(D344, Grid_Region_Mapping!$D$2:$F$5286, 3, FALSE)</f>
        <v>FRCC</v>
      </c>
      <c r="I344" s="32">
        <v>5.0</v>
      </c>
      <c r="J344" s="34" t="str">
        <f t="shared" si="1"/>
        <v>South</v>
      </c>
      <c r="K344" s="35">
        <v>5.0</v>
      </c>
      <c r="L344" s="35" t="s">
        <v>104</v>
      </c>
      <c r="M344" s="36">
        <f>VLOOKUP(D344, County_Data_CZones!$B$2:$F$3236, 2, FALSE)</f>
        <v>2</v>
      </c>
      <c r="N344" s="37" t="str">
        <f>VLOOKUP(D344, County_Data_CZones!$B$2:$F$3236, 5, FALSE)</f>
        <v>Hot-Humid</v>
      </c>
    </row>
    <row r="345" ht="15.75" customHeight="1">
      <c r="A345" s="32" t="s">
        <v>429</v>
      </c>
      <c r="B345" s="32" t="s">
        <v>410</v>
      </c>
      <c r="C345" s="32" t="str">
        <f>vlookup(B345,State_EMM_RowSums!$A$2:$B$52,2,FALSE)</f>
        <v>FL</v>
      </c>
      <c r="D345" s="32">
        <v>12049.0</v>
      </c>
      <c r="E345" s="33">
        <f>IF(NOT(ISBLANK(vlookup($D345,Pop_Census_2023!$A$2:$E$3220,4,FALSE))),vlookup($D345,Pop_Census_2023!$A$2:$E$3220,4,FALSE), vlookup($D345,Pop_Census_2023!$A$2:$E$3220,5,FALSE))</f>
        <v>25760</v>
      </c>
      <c r="F345" s="32">
        <v>295746.0</v>
      </c>
      <c r="G345" s="32">
        <v>101.0</v>
      </c>
      <c r="H345" s="32" t="str">
        <f>VLOOKUP(D345, Grid_Region_Mapping!$D$2:$F$5286, 3, FALSE)</f>
        <v>FRCC</v>
      </c>
      <c r="I345" s="32">
        <v>5.0</v>
      </c>
      <c r="J345" s="34" t="str">
        <f t="shared" si="1"/>
        <v>South</v>
      </c>
      <c r="K345" s="35">
        <v>5.0</v>
      </c>
      <c r="L345" s="35" t="s">
        <v>104</v>
      </c>
      <c r="M345" s="36">
        <f>VLOOKUP(D345, County_Data_CZones!$B$2:$F$3236, 2, FALSE)</f>
        <v>2</v>
      </c>
      <c r="N345" s="37" t="str">
        <f>VLOOKUP(D345, County_Data_CZones!$B$2:$F$3236, 5, FALSE)</f>
        <v>Hot-Humid</v>
      </c>
    </row>
    <row r="346" ht="15.75" customHeight="1">
      <c r="A346" s="32" t="s">
        <v>430</v>
      </c>
      <c r="B346" s="32" t="s">
        <v>410</v>
      </c>
      <c r="C346" s="32" t="str">
        <f>vlookup(B346,State_EMM_RowSums!$A$2:$B$52,2,FALSE)</f>
        <v>FL</v>
      </c>
      <c r="D346" s="32">
        <v>12051.0</v>
      </c>
      <c r="E346" s="33">
        <f>IF(NOT(ISBLANK(vlookup($D346,Pop_Census_2023!$A$2:$E$3220,4,FALSE))),vlookup($D346,Pop_Census_2023!$A$2:$E$3220,4,FALSE), vlookup($D346,Pop_Census_2023!$A$2:$E$3220,5,FALSE))</f>
        <v>43333</v>
      </c>
      <c r="F346" s="32">
        <v>307626.0</v>
      </c>
      <c r="G346" s="32">
        <v>101.0</v>
      </c>
      <c r="H346" s="32" t="str">
        <f>VLOOKUP(D346, Grid_Region_Mapping!$D$2:$F$5286, 3, FALSE)</f>
        <v>FRCC</v>
      </c>
      <c r="I346" s="32">
        <v>5.0</v>
      </c>
      <c r="J346" s="34" t="str">
        <f t="shared" si="1"/>
        <v>South</v>
      </c>
      <c r="K346" s="35">
        <v>5.0</v>
      </c>
      <c r="L346" s="35" t="s">
        <v>104</v>
      </c>
      <c r="M346" s="36">
        <f>VLOOKUP(D346, County_Data_CZones!$B$2:$F$3236, 2, FALSE)</f>
        <v>2</v>
      </c>
      <c r="N346" s="37" t="str">
        <f>VLOOKUP(D346, County_Data_CZones!$B$2:$F$3236, 5, FALSE)</f>
        <v>Hot-Humid</v>
      </c>
    </row>
    <row r="347" ht="15.75" customHeight="1">
      <c r="A347" s="32" t="s">
        <v>431</v>
      </c>
      <c r="B347" s="32" t="s">
        <v>410</v>
      </c>
      <c r="C347" s="32" t="str">
        <f>vlookup(B347,State_EMM_RowSums!$A$2:$B$52,2,FALSE)</f>
        <v>FL</v>
      </c>
      <c r="D347" s="32">
        <v>12053.0</v>
      </c>
      <c r="E347" s="33">
        <f>IF(NOT(ISBLANK(vlookup($D347,Pop_Census_2023!$A$2:$E$3220,4,FALSE))),vlookup($D347,Pop_Census_2023!$A$2:$E$3220,4,FALSE), vlookup($D347,Pop_Census_2023!$A$2:$E$3220,5,FALSE))</f>
        <v>212807</v>
      </c>
      <c r="F347" s="32">
        <v>295751.0</v>
      </c>
      <c r="G347" s="32">
        <v>101.0</v>
      </c>
      <c r="H347" s="32" t="str">
        <f>VLOOKUP(D347, Grid_Region_Mapping!$D$2:$F$5286, 3, FALSE)</f>
        <v>FRCC</v>
      </c>
      <c r="I347" s="32">
        <v>5.0</v>
      </c>
      <c r="J347" s="34" t="str">
        <f t="shared" si="1"/>
        <v>South</v>
      </c>
      <c r="K347" s="35">
        <v>5.0</v>
      </c>
      <c r="L347" s="35" t="s">
        <v>104</v>
      </c>
      <c r="M347" s="36">
        <f>VLOOKUP(D347, County_Data_CZones!$B$2:$F$3236, 2, FALSE)</f>
        <v>2</v>
      </c>
      <c r="N347" s="37" t="str">
        <f>VLOOKUP(D347, County_Data_CZones!$B$2:$F$3236, 5, FALSE)</f>
        <v>Hot-Humid</v>
      </c>
    </row>
    <row r="348" ht="15.75" customHeight="1">
      <c r="A348" s="32" t="s">
        <v>432</v>
      </c>
      <c r="B348" s="32" t="s">
        <v>410</v>
      </c>
      <c r="C348" s="32" t="str">
        <f>vlookup(B348,State_EMM_RowSums!$A$2:$B$52,2,FALSE)</f>
        <v>FL</v>
      </c>
      <c r="D348" s="32">
        <v>12055.0</v>
      </c>
      <c r="E348" s="33">
        <f>IF(NOT(ISBLANK(vlookup($D348,Pop_Census_2023!$A$2:$E$3220,4,FALSE))),vlookup($D348,Pop_Census_2023!$A$2:$E$3220,4,FALSE), vlookup($D348,Pop_Census_2023!$A$2:$E$3220,5,FALSE))</f>
        <v>107614</v>
      </c>
      <c r="F348" s="32">
        <v>295756.0</v>
      </c>
      <c r="G348" s="32">
        <v>101.0</v>
      </c>
      <c r="H348" s="32" t="str">
        <f>VLOOKUP(D348, Grid_Region_Mapping!$D$2:$F$5286, 3, FALSE)</f>
        <v>FRCC</v>
      </c>
      <c r="I348" s="32">
        <v>5.0</v>
      </c>
      <c r="J348" s="34" t="str">
        <f t="shared" si="1"/>
        <v>South</v>
      </c>
      <c r="K348" s="35">
        <v>5.0</v>
      </c>
      <c r="L348" s="35" t="s">
        <v>104</v>
      </c>
      <c r="M348" s="36">
        <f>VLOOKUP(D348, County_Data_CZones!$B$2:$F$3236, 2, FALSE)</f>
        <v>2</v>
      </c>
      <c r="N348" s="37" t="str">
        <f>VLOOKUP(D348, County_Data_CZones!$B$2:$F$3236, 5, FALSE)</f>
        <v>Hot-Humid</v>
      </c>
    </row>
    <row r="349" ht="15.75" customHeight="1">
      <c r="A349" s="32" t="s">
        <v>433</v>
      </c>
      <c r="B349" s="32" t="s">
        <v>410</v>
      </c>
      <c r="C349" s="32" t="str">
        <f>vlookup(B349,State_EMM_RowSums!$A$2:$B$52,2,FALSE)</f>
        <v>FL</v>
      </c>
      <c r="D349" s="32">
        <v>12057.0</v>
      </c>
      <c r="E349" s="33">
        <f>IF(NOT(ISBLANK(vlookup($D349,Pop_Census_2023!$A$2:$E$3220,4,FALSE))),vlookup($D349,Pop_Census_2023!$A$2:$E$3220,4,FALSE), vlookup($D349,Pop_Census_2023!$A$2:$E$3220,5,FALSE))</f>
        <v>1535564</v>
      </c>
      <c r="F349" s="32">
        <v>295757.0</v>
      </c>
      <c r="G349" s="32">
        <v>101.0</v>
      </c>
      <c r="H349" s="32" t="str">
        <f>VLOOKUP(D349, Grid_Region_Mapping!$D$2:$F$5286, 3, FALSE)</f>
        <v>FRCC</v>
      </c>
      <c r="I349" s="32">
        <v>5.0</v>
      </c>
      <c r="J349" s="34" t="str">
        <f t="shared" si="1"/>
        <v>South</v>
      </c>
      <c r="K349" s="35">
        <v>5.0</v>
      </c>
      <c r="L349" s="35" t="s">
        <v>104</v>
      </c>
      <c r="M349" s="36">
        <f>VLOOKUP(D349, County_Data_CZones!$B$2:$F$3236, 2, FALSE)</f>
        <v>2</v>
      </c>
      <c r="N349" s="37" t="str">
        <f>VLOOKUP(D349, County_Data_CZones!$B$2:$F$3236, 5, FALSE)</f>
        <v>Hot-Humid</v>
      </c>
    </row>
    <row r="350" ht="15.75" customHeight="1">
      <c r="A350" s="32" t="s">
        <v>434</v>
      </c>
      <c r="B350" s="32" t="s">
        <v>410</v>
      </c>
      <c r="C350" s="32" t="str">
        <f>vlookup(B350,State_EMM_RowSums!$A$2:$B$52,2,FALSE)</f>
        <v>FL</v>
      </c>
      <c r="D350" s="32">
        <v>12059.0</v>
      </c>
      <c r="E350" s="33">
        <f>IF(NOT(ISBLANK(vlookup($D350,Pop_Census_2023!$A$2:$E$3220,4,FALSE))),vlookup($D350,Pop_Census_2023!$A$2:$E$3220,4,FALSE), vlookup($D350,Pop_Census_2023!$A$2:$E$3220,5,FALSE))</f>
        <v>19944</v>
      </c>
      <c r="F350" s="32">
        <v>295735.0</v>
      </c>
      <c r="G350" s="32">
        <v>91.0</v>
      </c>
      <c r="H350" s="32" t="str">
        <f>VLOOKUP(D350, Grid_Region_Mapping!$D$2:$F$5286, 3, FALSE)</f>
        <v>SRSE</v>
      </c>
      <c r="I350" s="32">
        <v>5.0</v>
      </c>
      <c r="J350" s="34" t="str">
        <f t="shared" si="1"/>
        <v>South</v>
      </c>
      <c r="K350" s="35">
        <v>5.0</v>
      </c>
      <c r="L350" s="35" t="s">
        <v>104</v>
      </c>
      <c r="M350" s="36">
        <f>VLOOKUP(D350, County_Data_CZones!$B$2:$F$3236, 2, FALSE)</f>
        <v>2</v>
      </c>
      <c r="N350" s="37" t="str">
        <f>VLOOKUP(D350, County_Data_CZones!$B$2:$F$3236, 5, FALSE)</f>
        <v>Hot-Humid</v>
      </c>
    </row>
    <row r="351" ht="15.75" customHeight="1">
      <c r="A351" s="32" t="s">
        <v>435</v>
      </c>
      <c r="B351" s="32" t="s">
        <v>410</v>
      </c>
      <c r="C351" s="32" t="str">
        <f>vlookup(B351,State_EMM_RowSums!$A$2:$B$52,2,FALSE)</f>
        <v>FL</v>
      </c>
      <c r="D351" s="32">
        <v>12061.0</v>
      </c>
      <c r="E351" s="33">
        <f>IF(NOT(ISBLANK(vlookup($D351,Pop_Census_2023!$A$2:$E$3220,4,FALSE))),vlookup($D351,Pop_Census_2023!$A$2:$E$3220,4,FALSE), vlookup($D351,Pop_Census_2023!$A$2:$E$3220,5,FALSE))</f>
        <v>169795</v>
      </c>
      <c r="F351" s="32">
        <v>307624.0</v>
      </c>
      <c r="G351" s="32">
        <v>102.0</v>
      </c>
      <c r="H351" s="32" t="str">
        <f>VLOOKUP(D351, Grid_Region_Mapping!$D$2:$F$5286, 3, FALSE)</f>
        <v>FRCC</v>
      </c>
      <c r="I351" s="32">
        <v>5.0</v>
      </c>
      <c r="J351" s="34" t="str">
        <f t="shared" si="1"/>
        <v>South</v>
      </c>
      <c r="K351" s="35">
        <v>5.0</v>
      </c>
      <c r="L351" s="35" t="s">
        <v>104</v>
      </c>
      <c r="M351" s="36">
        <f>VLOOKUP(D351, County_Data_CZones!$B$2:$F$3236, 2, FALSE)</f>
        <v>2</v>
      </c>
      <c r="N351" s="37" t="str">
        <f>VLOOKUP(D351, County_Data_CZones!$B$2:$F$3236, 5, FALSE)</f>
        <v>Hot-Humid</v>
      </c>
    </row>
    <row r="352" ht="15.75" customHeight="1">
      <c r="A352" s="32" t="s">
        <v>138</v>
      </c>
      <c r="B352" s="32" t="s">
        <v>410</v>
      </c>
      <c r="C352" s="32" t="str">
        <f>vlookup(B352,State_EMM_RowSums!$A$2:$B$52,2,FALSE)</f>
        <v>FL</v>
      </c>
      <c r="D352" s="32">
        <v>12063.0</v>
      </c>
      <c r="E352" s="33">
        <f>IF(NOT(ISBLANK(vlookup($D352,Pop_Census_2023!$A$2:$E$3220,4,FALSE))),vlookup($D352,Pop_Census_2023!$A$2:$E$3220,4,FALSE), vlookup($D352,Pop_Census_2023!$A$2:$E$3220,5,FALSE))</f>
        <v>48622</v>
      </c>
      <c r="F352" s="32">
        <v>295734.0</v>
      </c>
      <c r="G352" s="32">
        <v>91.0</v>
      </c>
      <c r="H352" s="32" t="str">
        <f>VLOOKUP(D352, Grid_Region_Mapping!$D$2:$F$5286, 3, FALSE)</f>
        <v>SRSE</v>
      </c>
      <c r="I352" s="32">
        <v>5.0</v>
      </c>
      <c r="J352" s="34" t="str">
        <f t="shared" si="1"/>
        <v>South</v>
      </c>
      <c r="K352" s="35">
        <v>5.0</v>
      </c>
      <c r="L352" s="35" t="s">
        <v>104</v>
      </c>
      <c r="M352" s="36">
        <f>VLOOKUP(D352, County_Data_CZones!$B$2:$F$3236, 2, FALSE)</f>
        <v>2</v>
      </c>
      <c r="N352" s="37" t="str">
        <f>VLOOKUP(D352, County_Data_CZones!$B$2:$F$3236, 5, FALSE)</f>
        <v>Hot-Humid</v>
      </c>
    </row>
    <row r="353" ht="15.75" customHeight="1">
      <c r="A353" s="32" t="s">
        <v>139</v>
      </c>
      <c r="B353" s="32" t="s">
        <v>410</v>
      </c>
      <c r="C353" s="32" t="str">
        <f>vlookup(B353,State_EMM_RowSums!$A$2:$B$52,2,FALSE)</f>
        <v>FL</v>
      </c>
      <c r="D353" s="32">
        <v>12065.0</v>
      </c>
      <c r="E353" s="33">
        <f>IF(NOT(ISBLANK(vlookup($D353,Pop_Census_2023!$A$2:$E$3220,4,FALSE))),vlookup($D353,Pop_Census_2023!$A$2:$E$3220,4,FALSE), vlookup($D353,Pop_Census_2023!$A$2:$E$3220,5,FALSE))</f>
        <v>15450</v>
      </c>
      <c r="F353" s="32">
        <v>295733.0</v>
      </c>
      <c r="G353" s="32">
        <v>101.0</v>
      </c>
      <c r="H353" s="32" t="str">
        <f>VLOOKUP(D353, Grid_Region_Mapping!$D$2:$F$5286, 3, FALSE)</f>
        <v>FRCC</v>
      </c>
      <c r="I353" s="32">
        <v>5.0</v>
      </c>
      <c r="J353" s="34" t="str">
        <f t="shared" si="1"/>
        <v>South</v>
      </c>
      <c r="K353" s="35">
        <v>5.0</v>
      </c>
      <c r="L353" s="35" t="s">
        <v>104</v>
      </c>
      <c r="M353" s="36">
        <f>VLOOKUP(D353, County_Data_CZones!$B$2:$F$3236, 2, FALSE)</f>
        <v>2</v>
      </c>
      <c r="N353" s="37" t="str">
        <f>VLOOKUP(D353, County_Data_CZones!$B$2:$F$3236, 5, FALSE)</f>
        <v>Hot-Humid</v>
      </c>
    </row>
    <row r="354" ht="15.75" customHeight="1">
      <c r="A354" s="32" t="s">
        <v>249</v>
      </c>
      <c r="B354" s="32" t="s">
        <v>410</v>
      </c>
      <c r="C354" s="32" t="str">
        <f>vlookup(B354,State_EMM_RowSums!$A$2:$B$52,2,FALSE)</f>
        <v>FL</v>
      </c>
      <c r="D354" s="32">
        <v>12067.0</v>
      </c>
      <c r="E354" s="33">
        <f>IF(NOT(ISBLANK(vlookup($D354,Pop_Census_2023!$A$2:$E$3220,4,FALSE))),vlookup($D354,Pop_Census_2023!$A$2:$E$3220,4,FALSE), vlookup($D354,Pop_Census_2023!$A$2:$E$3220,5,FALSE))</f>
        <v>8078</v>
      </c>
      <c r="F354" s="32">
        <v>295732.0</v>
      </c>
      <c r="G354" s="32">
        <v>101.0</v>
      </c>
      <c r="H354" s="32" t="str">
        <f>VLOOKUP(D354, Grid_Region_Mapping!$D$2:$F$5286, 3, FALSE)</f>
        <v>FRCC</v>
      </c>
      <c r="I354" s="32">
        <v>5.0</v>
      </c>
      <c r="J354" s="34" t="str">
        <f t="shared" si="1"/>
        <v>South</v>
      </c>
      <c r="K354" s="35">
        <v>5.0</v>
      </c>
      <c r="L354" s="35" t="s">
        <v>104</v>
      </c>
      <c r="M354" s="36">
        <f>VLOOKUP(D354, County_Data_CZones!$B$2:$F$3236, 2, FALSE)</f>
        <v>2</v>
      </c>
      <c r="N354" s="37" t="str">
        <f>VLOOKUP(D354, County_Data_CZones!$B$2:$F$3236, 5, FALSE)</f>
        <v>Hot-Humid</v>
      </c>
    </row>
    <row r="355" ht="15.75" customHeight="1">
      <c r="A355" s="32" t="s">
        <v>298</v>
      </c>
      <c r="B355" s="32" t="s">
        <v>410</v>
      </c>
      <c r="C355" s="32" t="str">
        <f>vlookup(B355,State_EMM_RowSums!$A$2:$B$52,2,FALSE)</f>
        <v>FL</v>
      </c>
      <c r="D355" s="32">
        <v>12069.0</v>
      </c>
      <c r="E355" s="33">
        <f>IF(NOT(ISBLANK(vlookup($D355,Pop_Census_2023!$A$2:$E$3220,4,FALSE))),vlookup($D355,Pop_Census_2023!$A$2:$E$3220,4,FALSE), vlookup($D355,Pop_Census_2023!$A$2:$E$3220,5,FALSE))</f>
        <v>424462</v>
      </c>
      <c r="F355" s="32">
        <v>308551.0</v>
      </c>
      <c r="G355" s="32">
        <v>101.0</v>
      </c>
      <c r="H355" s="32" t="str">
        <f>VLOOKUP(D355, Grid_Region_Mapping!$D$2:$F$5286, 3, FALSE)</f>
        <v>FRCC</v>
      </c>
      <c r="I355" s="32">
        <v>5.0</v>
      </c>
      <c r="J355" s="34" t="str">
        <f t="shared" si="1"/>
        <v>South</v>
      </c>
      <c r="K355" s="35">
        <v>5.0</v>
      </c>
      <c r="L355" s="35" t="s">
        <v>104</v>
      </c>
      <c r="M355" s="36">
        <f>VLOOKUP(D355, County_Data_CZones!$B$2:$F$3236, 2, FALSE)</f>
        <v>2</v>
      </c>
      <c r="N355" s="37" t="str">
        <f>VLOOKUP(D355, County_Data_CZones!$B$2:$F$3236, 5, FALSE)</f>
        <v>Hot-Humid</v>
      </c>
    </row>
    <row r="356" ht="15.75" customHeight="1">
      <c r="A356" s="32" t="s">
        <v>143</v>
      </c>
      <c r="B356" s="32" t="s">
        <v>410</v>
      </c>
      <c r="C356" s="32" t="str">
        <f>vlookup(B356,State_EMM_RowSums!$A$2:$B$52,2,FALSE)</f>
        <v>FL</v>
      </c>
      <c r="D356" s="32">
        <v>12071.0</v>
      </c>
      <c r="E356" s="33">
        <f>IF(NOT(ISBLANK(vlookup($D356,Pop_Census_2023!$A$2:$E$3220,4,FALSE))),vlookup($D356,Pop_Census_2023!$A$2:$E$3220,4,FALSE), vlookup($D356,Pop_Census_2023!$A$2:$E$3220,5,FALSE))</f>
        <v>834573</v>
      </c>
      <c r="F356" s="32">
        <v>295758.0</v>
      </c>
      <c r="G356" s="32">
        <v>101.0</v>
      </c>
      <c r="H356" s="32" t="str">
        <f>VLOOKUP(D356, Grid_Region_Mapping!$D$2:$F$5286, 3, FALSE)</f>
        <v>FRCC</v>
      </c>
      <c r="I356" s="32">
        <v>5.0</v>
      </c>
      <c r="J356" s="34" t="str">
        <f t="shared" si="1"/>
        <v>South</v>
      </c>
      <c r="K356" s="35">
        <v>5.0</v>
      </c>
      <c r="L356" s="35" t="s">
        <v>104</v>
      </c>
      <c r="M356" s="36">
        <f>VLOOKUP(D356, County_Data_CZones!$B$2:$F$3236, 2, FALSE)</f>
        <v>2</v>
      </c>
      <c r="N356" s="37" t="str">
        <f>VLOOKUP(D356, County_Data_CZones!$B$2:$F$3236, 5, FALSE)</f>
        <v>Hot-Humid</v>
      </c>
    </row>
    <row r="357" ht="15.75" customHeight="1">
      <c r="A357" s="32" t="s">
        <v>436</v>
      </c>
      <c r="B357" s="32" t="s">
        <v>410</v>
      </c>
      <c r="C357" s="32" t="str">
        <f>vlookup(B357,State_EMM_RowSums!$A$2:$B$52,2,FALSE)</f>
        <v>FL</v>
      </c>
      <c r="D357" s="32">
        <v>12073.0</v>
      </c>
      <c r="E357" s="33">
        <f>IF(NOT(ISBLANK(vlookup($D357,Pop_Census_2023!$A$2:$E$3220,4,FALSE))),vlookup($D357,Pop_Census_2023!$A$2:$E$3220,4,FALSE), vlookup($D357,Pop_Census_2023!$A$2:$E$3220,5,FALSE))</f>
        <v>296913</v>
      </c>
      <c r="F357" s="32">
        <v>306916.0</v>
      </c>
      <c r="G357" s="32">
        <v>101.0</v>
      </c>
      <c r="H357" s="32" t="str">
        <f>VLOOKUP(D357, Grid_Region_Mapping!$D$2:$F$5286, 3, FALSE)</f>
        <v>FRCC</v>
      </c>
      <c r="I357" s="32">
        <v>5.0</v>
      </c>
      <c r="J357" s="34" t="str">
        <f t="shared" si="1"/>
        <v>South</v>
      </c>
      <c r="K357" s="35">
        <v>5.0</v>
      </c>
      <c r="L357" s="35" t="s">
        <v>104</v>
      </c>
      <c r="M357" s="36">
        <f>VLOOKUP(D357, County_Data_CZones!$B$2:$F$3236, 2, FALSE)</f>
        <v>2</v>
      </c>
      <c r="N357" s="37" t="str">
        <f>VLOOKUP(D357, County_Data_CZones!$B$2:$F$3236, 5, FALSE)</f>
        <v>Hot-Humid</v>
      </c>
    </row>
    <row r="358" ht="15.75" customHeight="1">
      <c r="A358" s="32" t="s">
        <v>437</v>
      </c>
      <c r="B358" s="32" t="s">
        <v>410</v>
      </c>
      <c r="C358" s="32" t="str">
        <f>vlookup(B358,State_EMM_RowSums!$A$2:$B$52,2,FALSE)</f>
        <v>FL</v>
      </c>
      <c r="D358" s="32">
        <v>12075.0</v>
      </c>
      <c r="E358" s="33">
        <f>IF(NOT(ISBLANK(vlookup($D358,Pop_Census_2023!$A$2:$E$3220,4,FALSE))),vlookup($D358,Pop_Census_2023!$A$2:$E$3220,4,FALSE), vlookup($D358,Pop_Census_2023!$A$2:$E$3220,5,FALSE))</f>
        <v>46545</v>
      </c>
      <c r="F358" s="32">
        <v>295724.0</v>
      </c>
      <c r="G358" s="32">
        <v>101.0</v>
      </c>
      <c r="H358" s="32" t="str">
        <f>VLOOKUP(D358, Grid_Region_Mapping!$D$2:$F$5286, 3, FALSE)</f>
        <v>FRCC</v>
      </c>
      <c r="I358" s="32">
        <v>5.0</v>
      </c>
      <c r="J358" s="34" t="str">
        <f t="shared" si="1"/>
        <v>South</v>
      </c>
      <c r="K358" s="35">
        <v>5.0</v>
      </c>
      <c r="L358" s="35" t="s">
        <v>104</v>
      </c>
      <c r="M358" s="36">
        <f>VLOOKUP(D358, County_Data_CZones!$B$2:$F$3236, 2, FALSE)</f>
        <v>2</v>
      </c>
      <c r="N358" s="37" t="str">
        <f>VLOOKUP(D358, County_Data_CZones!$B$2:$F$3236, 5, FALSE)</f>
        <v>Hot-Humid</v>
      </c>
    </row>
    <row r="359" ht="15.75" customHeight="1">
      <c r="A359" s="32" t="s">
        <v>438</v>
      </c>
      <c r="B359" s="32" t="s">
        <v>410</v>
      </c>
      <c r="C359" s="32" t="str">
        <f>vlookup(B359,State_EMM_RowSums!$A$2:$B$52,2,FALSE)</f>
        <v>FL</v>
      </c>
      <c r="D359" s="32">
        <v>12077.0</v>
      </c>
      <c r="E359" s="33">
        <f>IF(NOT(ISBLANK(vlookup($D359,Pop_Census_2023!$A$2:$E$3220,4,FALSE))),vlookup($D359,Pop_Census_2023!$A$2:$E$3220,4,FALSE), vlookup($D359,Pop_Census_2023!$A$2:$E$3220,5,FALSE))</f>
        <v>7706</v>
      </c>
      <c r="F359" s="32">
        <v>308549.0</v>
      </c>
      <c r="G359" s="32">
        <v>101.0</v>
      </c>
      <c r="H359" s="32" t="str">
        <f>VLOOKUP(D359, Grid_Region_Mapping!$D$2:$F$5286, 3, FALSE)</f>
        <v>FRCC</v>
      </c>
      <c r="I359" s="32">
        <v>5.0</v>
      </c>
      <c r="J359" s="34" t="str">
        <f t="shared" si="1"/>
        <v>South</v>
      </c>
      <c r="K359" s="35">
        <v>5.0</v>
      </c>
      <c r="L359" s="35" t="s">
        <v>104</v>
      </c>
      <c r="M359" s="36">
        <f>VLOOKUP(D359, County_Data_CZones!$B$2:$F$3236, 2, FALSE)</f>
        <v>2</v>
      </c>
      <c r="N359" s="37" t="str">
        <f>VLOOKUP(D359, County_Data_CZones!$B$2:$F$3236, 5, FALSE)</f>
        <v>Hot-Humid</v>
      </c>
    </row>
    <row r="360" ht="15.75" customHeight="1">
      <c r="A360" s="32" t="s">
        <v>147</v>
      </c>
      <c r="B360" s="32" t="s">
        <v>410</v>
      </c>
      <c r="C360" s="32" t="str">
        <f>vlookup(B360,State_EMM_RowSums!$A$2:$B$52,2,FALSE)</f>
        <v>FL</v>
      </c>
      <c r="D360" s="32">
        <v>12079.0</v>
      </c>
      <c r="E360" s="33">
        <f>IF(NOT(ISBLANK(vlookup($D360,Pop_Census_2023!$A$2:$E$3220,4,FALSE))),vlookup($D360,Pop_Census_2023!$A$2:$E$3220,4,FALSE), vlookup($D360,Pop_Census_2023!$A$2:$E$3220,5,FALSE))</f>
        <v>18519</v>
      </c>
      <c r="F360" s="32">
        <v>295731.0</v>
      </c>
      <c r="G360" s="32">
        <v>101.0</v>
      </c>
      <c r="H360" s="32" t="str">
        <f>VLOOKUP(D360, Grid_Region_Mapping!$D$2:$F$5286, 3, FALSE)</f>
        <v>FRCC</v>
      </c>
      <c r="I360" s="32">
        <v>5.0</v>
      </c>
      <c r="J360" s="34" t="str">
        <f t="shared" si="1"/>
        <v>South</v>
      </c>
      <c r="K360" s="35">
        <v>5.0</v>
      </c>
      <c r="L360" s="35" t="s">
        <v>104</v>
      </c>
      <c r="M360" s="36">
        <f>VLOOKUP(D360, County_Data_CZones!$B$2:$F$3236, 2, FALSE)</f>
        <v>2</v>
      </c>
      <c r="N360" s="37" t="str">
        <f>VLOOKUP(D360, County_Data_CZones!$B$2:$F$3236, 5, FALSE)</f>
        <v>Hot-Humid</v>
      </c>
    </row>
    <row r="361" ht="15.75" customHeight="1">
      <c r="A361" s="32" t="s">
        <v>439</v>
      </c>
      <c r="B361" s="32" t="s">
        <v>410</v>
      </c>
      <c r="C361" s="32" t="str">
        <f>vlookup(B361,State_EMM_RowSums!$A$2:$B$52,2,FALSE)</f>
        <v>FL</v>
      </c>
      <c r="D361" s="32">
        <v>12081.0</v>
      </c>
      <c r="E361" s="33">
        <f>IF(NOT(ISBLANK(vlookup($D361,Pop_Census_2023!$A$2:$E$3220,4,FALSE))),vlookup($D361,Pop_Census_2023!$A$2:$E$3220,4,FALSE), vlookup($D361,Pop_Census_2023!$A$2:$E$3220,5,FALSE))</f>
        <v>441095</v>
      </c>
      <c r="F361" s="32">
        <v>295744.0</v>
      </c>
      <c r="G361" s="32">
        <v>101.0</v>
      </c>
      <c r="H361" s="32" t="str">
        <f>VLOOKUP(D361, Grid_Region_Mapping!$D$2:$F$5286, 3, FALSE)</f>
        <v>FRCC</v>
      </c>
      <c r="I361" s="32">
        <v>5.0</v>
      </c>
      <c r="J361" s="34" t="str">
        <f t="shared" si="1"/>
        <v>South</v>
      </c>
      <c r="K361" s="35">
        <v>5.0</v>
      </c>
      <c r="L361" s="35" t="s">
        <v>104</v>
      </c>
      <c r="M361" s="36">
        <f>VLOOKUP(D361, County_Data_CZones!$B$2:$F$3236, 2, FALSE)</f>
        <v>2</v>
      </c>
      <c r="N361" s="37" t="str">
        <f>VLOOKUP(D361, County_Data_CZones!$B$2:$F$3236, 5, FALSE)</f>
        <v>Hot-Humid</v>
      </c>
    </row>
    <row r="362" ht="15.75" customHeight="1">
      <c r="A362" s="32" t="s">
        <v>149</v>
      </c>
      <c r="B362" s="32" t="s">
        <v>410</v>
      </c>
      <c r="C362" s="32" t="str">
        <f>vlookup(B362,State_EMM_RowSums!$A$2:$B$52,2,FALSE)</f>
        <v>FL</v>
      </c>
      <c r="D362" s="32">
        <v>12083.0</v>
      </c>
      <c r="E362" s="33">
        <f>IF(NOT(ISBLANK(vlookup($D362,Pop_Census_2023!$A$2:$E$3220,4,FALSE))),vlookup($D362,Pop_Census_2023!$A$2:$E$3220,4,FALSE), vlookup($D362,Pop_Census_2023!$A$2:$E$3220,5,FALSE))</f>
        <v>409959</v>
      </c>
      <c r="F362" s="32">
        <v>306922.0</v>
      </c>
      <c r="G362" s="32">
        <v>101.0</v>
      </c>
      <c r="H362" s="32" t="str">
        <f>VLOOKUP(D362, Grid_Region_Mapping!$D$2:$F$5286, 3, FALSE)</f>
        <v>FRCC</v>
      </c>
      <c r="I362" s="32">
        <v>5.0</v>
      </c>
      <c r="J362" s="34" t="str">
        <f t="shared" si="1"/>
        <v>South</v>
      </c>
      <c r="K362" s="35">
        <v>5.0</v>
      </c>
      <c r="L362" s="35" t="s">
        <v>104</v>
      </c>
      <c r="M362" s="36">
        <f>VLOOKUP(D362, County_Data_CZones!$B$2:$F$3236, 2, FALSE)</f>
        <v>2</v>
      </c>
      <c r="N362" s="37" t="str">
        <f>VLOOKUP(D362, County_Data_CZones!$B$2:$F$3236, 5, FALSE)</f>
        <v>Hot-Humid</v>
      </c>
    </row>
    <row r="363" ht="15.75" customHeight="1">
      <c r="A363" s="32" t="s">
        <v>440</v>
      </c>
      <c r="B363" s="32" t="s">
        <v>410</v>
      </c>
      <c r="C363" s="32" t="str">
        <f>vlookup(B363,State_EMM_RowSums!$A$2:$B$52,2,FALSE)</f>
        <v>FL</v>
      </c>
      <c r="D363" s="32">
        <v>12085.0</v>
      </c>
      <c r="E363" s="33">
        <f>IF(NOT(ISBLANK(vlookup($D363,Pop_Census_2023!$A$2:$E$3220,4,FALSE))),vlookup($D363,Pop_Census_2023!$A$2:$E$3220,4,FALSE), vlookup($D363,Pop_Census_2023!$A$2:$E$3220,5,FALSE))</f>
        <v>163315</v>
      </c>
      <c r="F363" s="32">
        <v>308550.0</v>
      </c>
      <c r="G363" s="32">
        <v>102.0</v>
      </c>
      <c r="H363" s="32" t="str">
        <f>VLOOKUP(D363, Grid_Region_Mapping!$D$2:$F$5286, 3, FALSE)</f>
        <v>FRCC</v>
      </c>
      <c r="I363" s="32">
        <v>5.0</v>
      </c>
      <c r="J363" s="34" t="str">
        <f t="shared" si="1"/>
        <v>South</v>
      </c>
      <c r="K363" s="35">
        <v>5.0</v>
      </c>
      <c r="L363" s="35" t="s">
        <v>104</v>
      </c>
      <c r="M363" s="36">
        <f>VLOOKUP(D363, County_Data_CZones!$B$2:$F$3236, 2, FALSE)</f>
        <v>2</v>
      </c>
      <c r="N363" s="37" t="str">
        <f>VLOOKUP(D363, County_Data_CZones!$B$2:$F$3236, 5, FALSE)</f>
        <v>Hot-Humid</v>
      </c>
    </row>
    <row r="364" ht="15.75" customHeight="1">
      <c r="A364" s="32" t="s">
        <v>441</v>
      </c>
      <c r="B364" s="32" t="s">
        <v>410</v>
      </c>
      <c r="C364" s="32" t="str">
        <f>vlookup(B364,State_EMM_RowSums!$A$2:$B$52,2,FALSE)</f>
        <v>FL</v>
      </c>
      <c r="D364" s="32">
        <v>12086.0</v>
      </c>
      <c r="E364" s="33">
        <f>IF(NOT(ISBLANK(vlookup($D364,Pop_Census_2023!$A$2:$E$3220,4,FALSE))),vlookup($D364,Pop_Census_2023!$A$2:$E$3220,4,FALSE), vlookup($D364,Pop_Census_2023!$A$2:$E$3220,5,FALSE))</f>
        <v>2686867</v>
      </c>
      <c r="F364" s="32">
        <v>295755.0</v>
      </c>
      <c r="G364" s="32">
        <v>102.0</v>
      </c>
      <c r="H364" s="32" t="str">
        <f>VLOOKUP(D364, Grid_Region_Mapping!$D$2:$F$5286, 3, FALSE)</f>
        <v>FRCC</v>
      </c>
      <c r="I364" s="32">
        <v>5.0</v>
      </c>
      <c r="J364" s="34" t="str">
        <f t="shared" si="1"/>
        <v>South</v>
      </c>
      <c r="K364" s="35">
        <v>5.0</v>
      </c>
      <c r="L364" s="35" t="s">
        <v>416</v>
      </c>
      <c r="M364" s="36">
        <f>VLOOKUP(D364, County_Data_CZones!$B$2:$F$3236, 2, FALSE)</f>
        <v>1</v>
      </c>
      <c r="N364" s="37" t="str">
        <f>VLOOKUP(D364, County_Data_CZones!$B$2:$F$3236, 5, FALSE)</f>
        <v>Hot-Humid</v>
      </c>
    </row>
    <row r="365" ht="15.75" customHeight="1">
      <c r="A365" s="32" t="s">
        <v>152</v>
      </c>
      <c r="B365" s="32" t="s">
        <v>410</v>
      </c>
      <c r="C365" s="32" t="str">
        <f>vlookup(B365,State_EMM_RowSums!$A$2:$B$52,2,FALSE)</f>
        <v>FL</v>
      </c>
      <c r="D365" s="32">
        <v>12087.0</v>
      </c>
      <c r="E365" s="33">
        <f>IF(NOT(ISBLANK(vlookup($D365,Pop_Census_2023!$A$2:$E$3220,4,FALSE))),vlookup($D365,Pop_Census_2023!$A$2:$E$3220,4,FALSE), vlookup($D365,Pop_Census_2023!$A$2:$E$3220,5,FALSE))</f>
        <v>80614</v>
      </c>
      <c r="F365" s="32">
        <v>295759.0</v>
      </c>
      <c r="G365" s="32">
        <v>101.0</v>
      </c>
      <c r="H365" s="32" t="str">
        <f>VLOOKUP(D365, Grid_Region_Mapping!$D$2:$F$5286, 3, FALSE)</f>
        <v>FRCC</v>
      </c>
      <c r="I365" s="32">
        <v>5.0</v>
      </c>
      <c r="J365" s="34" t="str">
        <f t="shared" si="1"/>
        <v>South</v>
      </c>
      <c r="K365" s="35">
        <v>5.0</v>
      </c>
      <c r="L365" s="35" t="s">
        <v>416</v>
      </c>
      <c r="M365" s="36">
        <f>VLOOKUP(D365, County_Data_CZones!$B$2:$F$3236, 2, FALSE)</f>
        <v>1</v>
      </c>
      <c r="N365" s="37" t="str">
        <f>VLOOKUP(D365, County_Data_CZones!$B$2:$F$3236, 5, FALSE)</f>
        <v>Hot-Humid</v>
      </c>
    </row>
    <row r="366" ht="15.75" customHeight="1">
      <c r="A366" s="32" t="s">
        <v>442</v>
      </c>
      <c r="B366" s="32" t="s">
        <v>410</v>
      </c>
      <c r="C366" s="32" t="str">
        <f>vlookup(B366,State_EMM_RowSums!$A$2:$B$52,2,FALSE)</f>
        <v>FL</v>
      </c>
      <c r="D366" s="32">
        <v>12089.0</v>
      </c>
      <c r="E366" s="33">
        <f>IF(NOT(ISBLANK(vlookup($D366,Pop_Census_2023!$A$2:$E$3220,4,FALSE))),vlookup($D366,Pop_Census_2023!$A$2:$E$3220,4,FALSE), vlookup($D366,Pop_Census_2023!$A$2:$E$3220,5,FALSE))</f>
        <v>101501</v>
      </c>
      <c r="F366" s="32">
        <v>295730.0</v>
      </c>
      <c r="G366" s="32">
        <v>101.0</v>
      </c>
      <c r="H366" s="32" t="str">
        <f>VLOOKUP(D366, Grid_Region_Mapping!$D$2:$F$5286, 3, FALSE)</f>
        <v>FRCC</v>
      </c>
      <c r="I366" s="32">
        <v>5.0</v>
      </c>
      <c r="J366" s="34" t="str">
        <f t="shared" si="1"/>
        <v>South</v>
      </c>
      <c r="K366" s="35">
        <v>5.0</v>
      </c>
      <c r="L366" s="35" t="s">
        <v>104</v>
      </c>
      <c r="M366" s="36">
        <f>VLOOKUP(D366, County_Data_CZones!$B$2:$F$3236, 2, FALSE)</f>
        <v>2</v>
      </c>
      <c r="N366" s="37" t="str">
        <f>VLOOKUP(D366, County_Data_CZones!$B$2:$F$3236, 5, FALSE)</f>
        <v>Hot-Humid</v>
      </c>
    </row>
    <row r="367" ht="15.75" customHeight="1">
      <c r="A367" s="32" t="s">
        <v>443</v>
      </c>
      <c r="B367" s="32" t="s">
        <v>410</v>
      </c>
      <c r="C367" s="32" t="str">
        <f>vlookup(B367,State_EMM_RowSums!$A$2:$B$52,2,FALSE)</f>
        <v>FL</v>
      </c>
      <c r="D367" s="32">
        <v>12091.0</v>
      </c>
      <c r="E367" s="33">
        <f>IF(NOT(ISBLANK(vlookup($D367,Pop_Census_2023!$A$2:$E$3220,4,FALSE))),vlookup($D367,Pop_Census_2023!$A$2:$E$3220,4,FALSE), vlookup($D367,Pop_Census_2023!$A$2:$E$3220,5,FALSE))</f>
        <v>218464</v>
      </c>
      <c r="F367" s="32">
        <v>306915.0</v>
      </c>
      <c r="G367" s="32">
        <v>91.0</v>
      </c>
      <c r="H367" s="32" t="str">
        <f>VLOOKUP(D367, Grid_Region_Mapping!$D$2:$F$5286, 3, FALSE)</f>
        <v>SRSE</v>
      </c>
      <c r="I367" s="32">
        <v>5.0</v>
      </c>
      <c r="J367" s="34" t="str">
        <f t="shared" si="1"/>
        <v>South</v>
      </c>
      <c r="K367" s="35">
        <v>5.0</v>
      </c>
      <c r="L367" s="35" t="s">
        <v>104</v>
      </c>
      <c r="M367" s="36">
        <f>VLOOKUP(D367, County_Data_CZones!$B$2:$F$3236, 2, FALSE)</f>
        <v>2</v>
      </c>
      <c r="N367" s="37" t="str">
        <f>VLOOKUP(D367, County_Data_CZones!$B$2:$F$3236, 5, FALSE)</f>
        <v>Hot-Humid</v>
      </c>
    </row>
    <row r="368" ht="15.75" customHeight="1">
      <c r="A368" s="32" t="s">
        <v>444</v>
      </c>
      <c r="B368" s="32" t="s">
        <v>410</v>
      </c>
      <c r="C368" s="32" t="str">
        <f>vlookup(B368,State_EMM_RowSums!$A$2:$B$52,2,FALSE)</f>
        <v>FL</v>
      </c>
      <c r="D368" s="32">
        <v>12093.0</v>
      </c>
      <c r="E368" s="33">
        <f>IF(NOT(ISBLANK(vlookup($D368,Pop_Census_2023!$A$2:$E$3220,4,FALSE))),vlookup($D368,Pop_Census_2023!$A$2:$E$3220,4,FALSE), vlookup($D368,Pop_Census_2023!$A$2:$E$3220,5,FALSE))</f>
        <v>41427</v>
      </c>
      <c r="F368" s="32">
        <v>295760.0</v>
      </c>
      <c r="G368" s="32">
        <v>101.0</v>
      </c>
      <c r="H368" s="32" t="str">
        <f>VLOOKUP(D368, Grid_Region_Mapping!$D$2:$F$5286, 3, FALSE)</f>
        <v>FRCC</v>
      </c>
      <c r="I368" s="32">
        <v>5.0</v>
      </c>
      <c r="J368" s="34" t="str">
        <f t="shared" si="1"/>
        <v>South</v>
      </c>
      <c r="K368" s="35">
        <v>5.0</v>
      </c>
      <c r="L368" s="35" t="s">
        <v>104</v>
      </c>
      <c r="M368" s="36">
        <f>VLOOKUP(D368, County_Data_CZones!$B$2:$F$3236, 2, FALSE)</f>
        <v>2</v>
      </c>
      <c r="N368" s="37" t="str">
        <f>VLOOKUP(D368, County_Data_CZones!$B$2:$F$3236, 5, FALSE)</f>
        <v>Hot-Humid</v>
      </c>
    </row>
    <row r="369" ht="15.75" customHeight="1">
      <c r="A369" s="32" t="s">
        <v>310</v>
      </c>
      <c r="B369" s="32" t="s">
        <v>410</v>
      </c>
      <c r="C369" s="32" t="str">
        <f>vlookup(B369,State_EMM_RowSums!$A$2:$B$52,2,FALSE)</f>
        <v>FL</v>
      </c>
      <c r="D369" s="32">
        <v>12095.0</v>
      </c>
      <c r="E369" s="33">
        <f>IF(NOT(ISBLANK(vlookup($D369,Pop_Census_2023!$A$2:$E$3220,4,FALSE))),vlookup($D369,Pop_Census_2023!$A$2:$E$3220,4,FALSE), vlookup($D369,Pop_Census_2023!$A$2:$E$3220,5,FALSE))</f>
        <v>1471416</v>
      </c>
      <c r="F369" s="32">
        <v>295750.0</v>
      </c>
      <c r="G369" s="32">
        <v>101.0</v>
      </c>
      <c r="H369" s="32" t="str">
        <f>VLOOKUP(D369, Grid_Region_Mapping!$D$2:$F$5286, 3, FALSE)</f>
        <v>FRCC</v>
      </c>
      <c r="I369" s="32">
        <v>5.0</v>
      </c>
      <c r="J369" s="34" t="str">
        <f t="shared" si="1"/>
        <v>South</v>
      </c>
      <c r="K369" s="35">
        <v>5.0</v>
      </c>
      <c r="L369" s="35" t="s">
        <v>104</v>
      </c>
      <c r="M369" s="36">
        <f>VLOOKUP(D369, County_Data_CZones!$B$2:$F$3236, 2, FALSE)</f>
        <v>2</v>
      </c>
      <c r="N369" s="37" t="str">
        <f>VLOOKUP(D369, County_Data_CZones!$B$2:$F$3236, 5, FALSE)</f>
        <v>Hot-Humid</v>
      </c>
    </row>
    <row r="370" ht="15.75" customHeight="1">
      <c r="A370" s="32" t="s">
        <v>445</v>
      </c>
      <c r="B370" s="32" t="s">
        <v>410</v>
      </c>
      <c r="C370" s="32" t="str">
        <f>vlookup(B370,State_EMM_RowSums!$A$2:$B$52,2,FALSE)</f>
        <v>FL</v>
      </c>
      <c r="D370" s="32">
        <v>12097.0</v>
      </c>
      <c r="E370" s="33">
        <f>IF(NOT(ISBLANK(vlookup($D370,Pop_Census_2023!$A$2:$E$3220,4,FALSE))),vlookup($D370,Pop_Census_2023!$A$2:$E$3220,4,FALSE), vlookup($D370,Pop_Census_2023!$A$2:$E$3220,5,FALSE))</f>
        <v>437784</v>
      </c>
      <c r="F370" s="32">
        <v>295748.0</v>
      </c>
      <c r="G370" s="32">
        <v>101.0</v>
      </c>
      <c r="H370" s="32" t="str">
        <f>VLOOKUP(D370, Grid_Region_Mapping!$D$2:$F$5286, 3, FALSE)</f>
        <v>FRCC</v>
      </c>
      <c r="I370" s="32">
        <v>5.0</v>
      </c>
      <c r="J370" s="34" t="str">
        <f t="shared" si="1"/>
        <v>South</v>
      </c>
      <c r="K370" s="35">
        <v>5.0</v>
      </c>
      <c r="L370" s="35" t="s">
        <v>104</v>
      </c>
      <c r="M370" s="36">
        <f>VLOOKUP(D370, County_Data_CZones!$B$2:$F$3236, 2, FALSE)</f>
        <v>2</v>
      </c>
      <c r="N370" s="37" t="str">
        <f>VLOOKUP(D370, County_Data_CZones!$B$2:$F$3236, 5, FALSE)</f>
        <v>Hot-Humid</v>
      </c>
    </row>
    <row r="371" ht="15.75" customHeight="1">
      <c r="A371" s="32" t="s">
        <v>446</v>
      </c>
      <c r="B371" s="32" t="s">
        <v>410</v>
      </c>
      <c r="C371" s="32" t="str">
        <f>vlookup(B371,State_EMM_RowSums!$A$2:$B$52,2,FALSE)</f>
        <v>FL</v>
      </c>
      <c r="D371" s="32">
        <v>12099.0</v>
      </c>
      <c r="E371" s="33">
        <f>IF(NOT(ISBLANK(vlookup($D371,Pop_Census_2023!$A$2:$E$3220,4,FALSE))),vlookup($D371,Pop_Census_2023!$A$2:$E$3220,4,FALSE), vlookup($D371,Pop_Census_2023!$A$2:$E$3220,5,FALSE))</f>
        <v>1533801</v>
      </c>
      <c r="F371" s="32">
        <v>295761.0</v>
      </c>
      <c r="G371" s="32">
        <v>102.0</v>
      </c>
      <c r="H371" s="32" t="str">
        <f>VLOOKUP(D371, Grid_Region_Mapping!$D$2:$F$5286, 3, FALSE)</f>
        <v>FRCC</v>
      </c>
      <c r="I371" s="32">
        <v>5.0</v>
      </c>
      <c r="J371" s="34" t="str">
        <f t="shared" si="1"/>
        <v>South</v>
      </c>
      <c r="K371" s="35">
        <v>5.0</v>
      </c>
      <c r="L371" s="35" t="s">
        <v>104</v>
      </c>
      <c r="M371" s="36">
        <f>VLOOKUP(D371, County_Data_CZones!$B$2:$F$3236, 2, FALSE)</f>
        <v>2</v>
      </c>
      <c r="N371" s="37" t="str">
        <f>VLOOKUP(D371, County_Data_CZones!$B$2:$F$3236, 5, FALSE)</f>
        <v>Hot-Humid</v>
      </c>
    </row>
    <row r="372" ht="15.75" customHeight="1">
      <c r="A372" s="32" t="s">
        <v>447</v>
      </c>
      <c r="B372" s="32" t="s">
        <v>410</v>
      </c>
      <c r="C372" s="32" t="str">
        <f>vlookup(B372,State_EMM_RowSums!$A$2:$B$52,2,FALSE)</f>
        <v>FL</v>
      </c>
      <c r="D372" s="32">
        <v>12101.0</v>
      </c>
      <c r="E372" s="33">
        <f>IF(NOT(ISBLANK(vlookup($D372,Pop_Census_2023!$A$2:$E$3220,4,FALSE))),vlookup($D372,Pop_Census_2023!$A$2:$E$3220,4,FALSE), vlookup($D372,Pop_Census_2023!$A$2:$E$3220,5,FALSE))</f>
        <v>632996</v>
      </c>
      <c r="F372" s="32">
        <v>295739.0</v>
      </c>
      <c r="G372" s="32">
        <v>101.0</v>
      </c>
      <c r="H372" s="32" t="str">
        <f>VLOOKUP(D372, Grid_Region_Mapping!$D$2:$F$5286, 3, FALSE)</f>
        <v>FRCC</v>
      </c>
      <c r="I372" s="32">
        <v>5.0</v>
      </c>
      <c r="J372" s="34" t="str">
        <f t="shared" si="1"/>
        <v>South</v>
      </c>
      <c r="K372" s="35">
        <v>5.0</v>
      </c>
      <c r="L372" s="35" t="s">
        <v>104</v>
      </c>
      <c r="M372" s="36">
        <f>VLOOKUP(D372, County_Data_CZones!$B$2:$F$3236, 2, FALSE)</f>
        <v>2</v>
      </c>
      <c r="N372" s="37" t="str">
        <f>VLOOKUP(D372, County_Data_CZones!$B$2:$F$3236, 5, FALSE)</f>
        <v>Hot-Humid</v>
      </c>
    </row>
    <row r="373" ht="15.75" customHeight="1">
      <c r="A373" s="32" t="s">
        <v>448</v>
      </c>
      <c r="B373" s="32" t="s">
        <v>410</v>
      </c>
      <c r="C373" s="32" t="str">
        <f>vlookup(B373,State_EMM_RowSums!$A$2:$B$52,2,FALSE)</f>
        <v>FL</v>
      </c>
      <c r="D373" s="32">
        <v>12103.0</v>
      </c>
      <c r="E373" s="33">
        <f>IF(NOT(ISBLANK(vlookup($D373,Pop_Census_2023!$A$2:$E$3220,4,FALSE))),vlookup($D373,Pop_Census_2023!$A$2:$E$3220,4,FALSE), vlookup($D373,Pop_Census_2023!$A$2:$E$3220,5,FALSE))</f>
        <v>961596</v>
      </c>
      <c r="F373" s="32">
        <v>295745.0</v>
      </c>
      <c r="G373" s="32">
        <v>101.0</v>
      </c>
      <c r="H373" s="32" t="str">
        <f>VLOOKUP(D373, Grid_Region_Mapping!$D$2:$F$5286, 3, FALSE)</f>
        <v>FRCC</v>
      </c>
      <c r="I373" s="32">
        <v>5.0</v>
      </c>
      <c r="J373" s="34" t="str">
        <f t="shared" si="1"/>
        <v>South</v>
      </c>
      <c r="K373" s="35">
        <v>5.0</v>
      </c>
      <c r="L373" s="35" t="s">
        <v>104</v>
      </c>
      <c r="M373" s="36">
        <f>VLOOKUP(D373, County_Data_CZones!$B$2:$F$3236, 2, FALSE)</f>
        <v>2</v>
      </c>
      <c r="N373" s="37" t="str">
        <f>VLOOKUP(D373, County_Data_CZones!$B$2:$F$3236, 5, FALSE)</f>
        <v>Hot-Humid</v>
      </c>
    </row>
    <row r="374" ht="15.75" customHeight="1">
      <c r="A374" s="32" t="s">
        <v>261</v>
      </c>
      <c r="B374" s="32" t="s">
        <v>410</v>
      </c>
      <c r="C374" s="32" t="str">
        <f>vlookup(B374,State_EMM_RowSums!$A$2:$B$52,2,FALSE)</f>
        <v>FL</v>
      </c>
      <c r="D374" s="32">
        <v>12105.0</v>
      </c>
      <c r="E374" s="33">
        <f>IF(NOT(ISBLANK(vlookup($D374,Pop_Census_2023!$A$2:$E$3220,4,FALSE))),vlookup($D374,Pop_Census_2023!$A$2:$E$3220,4,FALSE), vlookup($D374,Pop_Census_2023!$A$2:$E$3220,5,FALSE))</f>
        <v>818330</v>
      </c>
      <c r="F374" s="32">
        <v>295747.0</v>
      </c>
      <c r="G374" s="32">
        <v>101.0</v>
      </c>
      <c r="H374" s="32" t="str">
        <f>VLOOKUP(D374, Grid_Region_Mapping!$D$2:$F$5286, 3, FALSE)</f>
        <v>FRCC</v>
      </c>
      <c r="I374" s="32">
        <v>5.0</v>
      </c>
      <c r="J374" s="34" t="str">
        <f t="shared" si="1"/>
        <v>South</v>
      </c>
      <c r="K374" s="35">
        <v>5.0</v>
      </c>
      <c r="L374" s="35" t="s">
        <v>104</v>
      </c>
      <c r="M374" s="36">
        <f>VLOOKUP(D374, County_Data_CZones!$B$2:$F$3236, 2, FALSE)</f>
        <v>2</v>
      </c>
      <c r="N374" s="37" t="str">
        <f>VLOOKUP(D374, County_Data_CZones!$B$2:$F$3236, 5, FALSE)</f>
        <v>Hot-Humid</v>
      </c>
    </row>
    <row r="375" ht="15.75" customHeight="1">
      <c r="A375" s="32" t="s">
        <v>449</v>
      </c>
      <c r="B375" s="32" t="s">
        <v>410</v>
      </c>
      <c r="C375" s="32" t="str">
        <f>vlookup(B375,State_EMM_RowSums!$A$2:$B$52,2,FALSE)</f>
        <v>FL</v>
      </c>
      <c r="D375" s="32">
        <v>12107.0</v>
      </c>
      <c r="E375" s="33">
        <f>IF(NOT(ISBLANK(vlookup($D375,Pop_Census_2023!$A$2:$E$3220,4,FALSE))),vlookup($D375,Pop_Census_2023!$A$2:$E$3220,4,FALSE), vlookup($D375,Pop_Census_2023!$A$2:$E$3220,5,FALSE))</f>
        <v>75955</v>
      </c>
      <c r="F375" s="32">
        <v>306910.0</v>
      </c>
      <c r="G375" s="32">
        <v>101.0</v>
      </c>
      <c r="H375" s="32" t="str">
        <f>VLOOKUP(D375, Grid_Region_Mapping!$D$2:$F$5286, 3, FALSE)</f>
        <v>FRCC</v>
      </c>
      <c r="I375" s="32">
        <v>5.0</v>
      </c>
      <c r="J375" s="34" t="str">
        <f t="shared" si="1"/>
        <v>South</v>
      </c>
      <c r="K375" s="35">
        <v>5.0</v>
      </c>
      <c r="L375" s="35" t="s">
        <v>104</v>
      </c>
      <c r="M375" s="36">
        <f>VLOOKUP(D375, County_Data_CZones!$B$2:$F$3236, 2, FALSE)</f>
        <v>2</v>
      </c>
      <c r="N375" s="37" t="str">
        <f>VLOOKUP(D375, County_Data_CZones!$B$2:$F$3236, 5, FALSE)</f>
        <v>Hot-Humid</v>
      </c>
    </row>
    <row r="376" ht="15.75" customHeight="1">
      <c r="A376" s="32" t="s">
        <v>450</v>
      </c>
      <c r="B376" s="32" t="s">
        <v>410</v>
      </c>
      <c r="C376" s="32" t="str">
        <f>vlookup(B376,State_EMM_RowSums!$A$2:$B$52,2,FALSE)</f>
        <v>FL</v>
      </c>
      <c r="D376" s="32">
        <v>12109.0</v>
      </c>
      <c r="E376" s="33">
        <f>IF(NOT(ISBLANK(vlookup($D376,Pop_Census_2023!$A$2:$E$3220,4,FALSE))),vlookup($D376,Pop_Census_2023!$A$2:$E$3220,4,FALSE), vlookup($D376,Pop_Census_2023!$A$2:$E$3220,5,FALSE))</f>
        <v>320110</v>
      </c>
      <c r="F376" s="32">
        <v>308371.0</v>
      </c>
      <c r="G376" s="32">
        <v>101.0</v>
      </c>
      <c r="H376" s="32" t="str">
        <f>VLOOKUP(D376, Grid_Region_Mapping!$D$2:$F$5286, 3, FALSE)</f>
        <v>FRCC</v>
      </c>
      <c r="I376" s="32">
        <v>5.0</v>
      </c>
      <c r="J376" s="34" t="str">
        <f t="shared" si="1"/>
        <v>South</v>
      </c>
      <c r="K376" s="35">
        <v>5.0</v>
      </c>
      <c r="L376" s="35" t="s">
        <v>104</v>
      </c>
      <c r="M376" s="36">
        <f>VLOOKUP(D376, County_Data_CZones!$B$2:$F$3236, 2, FALSE)</f>
        <v>2</v>
      </c>
      <c r="N376" s="37" t="str">
        <f>VLOOKUP(D376, County_Data_CZones!$B$2:$F$3236, 5, FALSE)</f>
        <v>Hot-Humid</v>
      </c>
    </row>
    <row r="377" ht="15.75" customHeight="1">
      <c r="A377" s="32" t="s">
        <v>451</v>
      </c>
      <c r="B377" s="32" t="s">
        <v>410</v>
      </c>
      <c r="C377" s="32" t="str">
        <f>vlookup(B377,State_EMM_RowSums!$A$2:$B$52,2,FALSE)</f>
        <v>FL</v>
      </c>
      <c r="D377" s="32">
        <v>12111.0</v>
      </c>
      <c r="E377" s="33">
        <f>IF(NOT(ISBLANK(vlookup($D377,Pop_Census_2023!$A$2:$E$3220,4,FALSE))),vlookup($D377,Pop_Census_2023!$A$2:$E$3220,4,FALSE), vlookup($D377,Pop_Census_2023!$A$2:$E$3220,5,FALSE))</f>
        <v>373586</v>
      </c>
      <c r="F377" s="32">
        <v>308372.0</v>
      </c>
      <c r="G377" s="32">
        <v>102.0</v>
      </c>
      <c r="H377" s="32" t="str">
        <f>VLOOKUP(D377, Grid_Region_Mapping!$D$2:$F$5286, 3, FALSE)</f>
        <v>FRCC</v>
      </c>
      <c r="I377" s="32">
        <v>5.0</v>
      </c>
      <c r="J377" s="34" t="str">
        <f t="shared" si="1"/>
        <v>South</v>
      </c>
      <c r="K377" s="35">
        <v>5.0</v>
      </c>
      <c r="L377" s="35" t="s">
        <v>104</v>
      </c>
      <c r="M377" s="36">
        <f>VLOOKUP(D377, County_Data_CZones!$B$2:$F$3236, 2, FALSE)</f>
        <v>2</v>
      </c>
      <c r="N377" s="37" t="str">
        <f>VLOOKUP(D377, County_Data_CZones!$B$2:$F$3236, 5, FALSE)</f>
        <v>Hot-Humid</v>
      </c>
    </row>
    <row r="378" ht="15.75" customHeight="1">
      <c r="A378" s="32" t="s">
        <v>452</v>
      </c>
      <c r="B378" s="32" t="s">
        <v>410</v>
      </c>
      <c r="C378" s="32" t="str">
        <f>vlookup(B378,State_EMM_RowSums!$A$2:$B$52,2,FALSE)</f>
        <v>FL</v>
      </c>
      <c r="D378" s="32">
        <v>12113.0</v>
      </c>
      <c r="E378" s="33">
        <f>IF(NOT(ISBLANK(vlookup($D378,Pop_Census_2023!$A$2:$E$3220,4,FALSE))),vlookup($D378,Pop_Census_2023!$A$2:$E$3220,4,FALSE), vlookup($D378,Pop_Census_2023!$A$2:$E$3220,5,FALSE))</f>
        <v>203162</v>
      </c>
      <c r="F378" s="32">
        <v>306914.0</v>
      </c>
      <c r="G378" s="32">
        <v>91.0</v>
      </c>
      <c r="H378" s="32" t="str">
        <f>VLOOKUP(D378, Grid_Region_Mapping!$D$2:$F$5286, 3, FALSE)</f>
        <v>SRSE</v>
      </c>
      <c r="I378" s="32">
        <v>5.0</v>
      </c>
      <c r="J378" s="34" t="str">
        <f t="shared" si="1"/>
        <v>South</v>
      </c>
      <c r="K378" s="35">
        <v>5.0</v>
      </c>
      <c r="L378" s="35" t="s">
        <v>104</v>
      </c>
      <c r="M378" s="36">
        <f>VLOOKUP(D378, County_Data_CZones!$B$2:$F$3236, 2, FALSE)</f>
        <v>2</v>
      </c>
      <c r="N378" s="37" t="str">
        <f>VLOOKUP(D378, County_Data_CZones!$B$2:$F$3236, 5, FALSE)</f>
        <v>Hot-Humid</v>
      </c>
    </row>
    <row r="379" ht="15.75" customHeight="1">
      <c r="A379" s="32" t="s">
        <v>453</v>
      </c>
      <c r="B379" s="32" t="s">
        <v>410</v>
      </c>
      <c r="C379" s="32" t="str">
        <f>vlookup(B379,State_EMM_RowSums!$A$2:$B$52,2,FALSE)</f>
        <v>FL</v>
      </c>
      <c r="D379" s="32">
        <v>12115.0</v>
      </c>
      <c r="E379" s="33">
        <f>IF(NOT(ISBLANK(vlookup($D379,Pop_Census_2023!$A$2:$E$3220,4,FALSE))),vlookup($D379,Pop_Census_2023!$A$2:$E$3220,4,FALSE), vlookup($D379,Pop_Census_2023!$A$2:$E$3220,5,FALSE))</f>
        <v>469013</v>
      </c>
      <c r="F379" s="32">
        <v>295741.0</v>
      </c>
      <c r="G379" s="32">
        <v>101.0</v>
      </c>
      <c r="H379" s="32" t="str">
        <f>VLOOKUP(D379, Grid_Region_Mapping!$D$2:$F$5286, 3, FALSE)</f>
        <v>FRCC</v>
      </c>
      <c r="I379" s="32">
        <v>5.0</v>
      </c>
      <c r="J379" s="34" t="str">
        <f t="shared" si="1"/>
        <v>South</v>
      </c>
      <c r="K379" s="35">
        <v>5.0</v>
      </c>
      <c r="L379" s="35" t="s">
        <v>104</v>
      </c>
      <c r="M379" s="36">
        <f>VLOOKUP(D379, County_Data_CZones!$B$2:$F$3236, 2, FALSE)</f>
        <v>2</v>
      </c>
      <c r="N379" s="37" t="str">
        <f>VLOOKUP(D379, County_Data_CZones!$B$2:$F$3236, 5, FALSE)</f>
        <v>Hot-Humid</v>
      </c>
    </row>
    <row r="380" ht="15.75" customHeight="1">
      <c r="A380" s="32" t="s">
        <v>454</v>
      </c>
      <c r="B380" s="32" t="s">
        <v>410</v>
      </c>
      <c r="C380" s="32" t="str">
        <f>vlookup(B380,State_EMM_RowSums!$A$2:$B$52,2,FALSE)</f>
        <v>FL</v>
      </c>
      <c r="D380" s="32">
        <v>12117.0</v>
      </c>
      <c r="E380" s="33">
        <f>IF(NOT(ISBLANK(vlookup($D380,Pop_Census_2023!$A$2:$E$3220,4,FALSE))),vlookup($D380,Pop_Census_2023!$A$2:$E$3220,4,FALSE), vlookup($D380,Pop_Census_2023!$A$2:$E$3220,5,FALSE))</f>
        <v>484271</v>
      </c>
      <c r="F380" s="32">
        <v>303665.0</v>
      </c>
      <c r="G380" s="32">
        <v>101.0</v>
      </c>
      <c r="H380" s="32" t="str">
        <f>VLOOKUP(D380, Grid_Region_Mapping!$D$2:$F$5286, 3, FALSE)</f>
        <v>FRCC</v>
      </c>
      <c r="I380" s="32">
        <v>5.0</v>
      </c>
      <c r="J380" s="34" t="str">
        <f t="shared" si="1"/>
        <v>South</v>
      </c>
      <c r="K380" s="35">
        <v>5.0</v>
      </c>
      <c r="L380" s="35" t="s">
        <v>104</v>
      </c>
      <c r="M380" s="36">
        <f>VLOOKUP(D380, County_Data_CZones!$B$2:$F$3236, 2, FALSE)</f>
        <v>2</v>
      </c>
      <c r="N380" s="37" t="str">
        <f>VLOOKUP(D380, County_Data_CZones!$B$2:$F$3236, 5, FALSE)</f>
        <v>Hot-Humid</v>
      </c>
    </row>
    <row r="381" ht="15.75" customHeight="1">
      <c r="A381" s="32" t="s">
        <v>162</v>
      </c>
      <c r="B381" s="32" t="s">
        <v>410</v>
      </c>
      <c r="C381" s="32" t="str">
        <f>vlookup(B381,State_EMM_RowSums!$A$2:$B$52,2,FALSE)</f>
        <v>FL</v>
      </c>
      <c r="D381" s="32">
        <v>12119.0</v>
      </c>
      <c r="E381" s="33">
        <f>IF(NOT(ISBLANK(vlookup($D381,Pop_Census_2023!$A$2:$E$3220,4,FALSE))),vlookup($D381,Pop_Census_2023!$A$2:$E$3220,4,FALSE), vlookup($D381,Pop_Census_2023!$A$2:$E$3220,5,FALSE))</f>
        <v>151565</v>
      </c>
      <c r="F381" s="32">
        <v>295740.0</v>
      </c>
      <c r="G381" s="32">
        <v>101.0</v>
      </c>
      <c r="H381" s="32" t="str">
        <f>VLOOKUP(D381, Grid_Region_Mapping!$D$2:$F$5286, 3, FALSE)</f>
        <v>FRCC</v>
      </c>
      <c r="I381" s="32">
        <v>5.0</v>
      </c>
      <c r="J381" s="34" t="str">
        <f t="shared" si="1"/>
        <v>South</v>
      </c>
      <c r="K381" s="35">
        <v>5.0</v>
      </c>
      <c r="L381" s="35" t="s">
        <v>104</v>
      </c>
      <c r="M381" s="36">
        <f>VLOOKUP(D381, County_Data_CZones!$B$2:$F$3236, 2, FALSE)</f>
        <v>2</v>
      </c>
      <c r="N381" s="37" t="str">
        <f>VLOOKUP(D381, County_Data_CZones!$B$2:$F$3236, 5, FALSE)</f>
        <v>Hot-Humid</v>
      </c>
    </row>
    <row r="382" ht="15.75" customHeight="1">
      <c r="A382" s="32" t="s">
        <v>455</v>
      </c>
      <c r="B382" s="32" t="s">
        <v>410</v>
      </c>
      <c r="C382" s="32" t="str">
        <f>vlookup(B382,State_EMM_RowSums!$A$2:$B$52,2,FALSE)</f>
        <v>FL</v>
      </c>
      <c r="D382" s="32">
        <v>12121.0</v>
      </c>
      <c r="E382" s="33">
        <f>IF(NOT(ISBLANK(vlookup($D382,Pop_Census_2023!$A$2:$E$3220,4,FALSE))),vlookup($D382,Pop_Census_2023!$A$2:$E$3220,4,FALSE), vlookup($D382,Pop_Census_2023!$A$2:$E$3220,5,FALSE))</f>
        <v>46130</v>
      </c>
      <c r="F382" s="32">
        <v>295729.0</v>
      </c>
      <c r="G382" s="32">
        <v>101.0</v>
      </c>
      <c r="H382" s="32" t="str">
        <f>VLOOKUP(D382, Grid_Region_Mapping!$D$2:$F$5286, 3, FALSE)</f>
        <v>FRCC</v>
      </c>
      <c r="I382" s="32">
        <v>5.0</v>
      </c>
      <c r="J382" s="34" t="str">
        <f t="shared" si="1"/>
        <v>South</v>
      </c>
      <c r="K382" s="35">
        <v>5.0</v>
      </c>
      <c r="L382" s="35" t="s">
        <v>104</v>
      </c>
      <c r="M382" s="36">
        <f>VLOOKUP(D382, County_Data_CZones!$B$2:$F$3236, 2, FALSE)</f>
        <v>2</v>
      </c>
      <c r="N382" s="37" t="str">
        <f>VLOOKUP(D382, County_Data_CZones!$B$2:$F$3236, 5, FALSE)</f>
        <v>Hot-Humid</v>
      </c>
    </row>
    <row r="383" ht="15.75" customHeight="1">
      <c r="A383" s="32" t="s">
        <v>456</v>
      </c>
      <c r="B383" s="32" t="s">
        <v>410</v>
      </c>
      <c r="C383" s="32" t="str">
        <f>vlookup(B383,State_EMM_RowSums!$A$2:$B$52,2,FALSE)</f>
        <v>FL</v>
      </c>
      <c r="D383" s="32">
        <v>12123.0</v>
      </c>
      <c r="E383" s="33">
        <f>IF(NOT(ISBLANK(vlookup($D383,Pop_Census_2023!$A$2:$E$3220,4,FALSE))),vlookup($D383,Pop_Census_2023!$A$2:$E$3220,4,FALSE), vlookup($D383,Pop_Census_2023!$A$2:$E$3220,5,FALSE))</f>
        <v>21582</v>
      </c>
      <c r="F383" s="32">
        <v>295728.0</v>
      </c>
      <c r="G383" s="32">
        <v>101.0</v>
      </c>
      <c r="H383" s="32" t="str">
        <f>VLOOKUP(D383, Grid_Region_Mapping!$D$2:$F$5286, 3, FALSE)</f>
        <v>FRCC</v>
      </c>
      <c r="I383" s="32">
        <v>5.0</v>
      </c>
      <c r="J383" s="34" t="str">
        <f t="shared" si="1"/>
        <v>South</v>
      </c>
      <c r="K383" s="35">
        <v>5.0</v>
      </c>
      <c r="L383" s="35" t="s">
        <v>104</v>
      </c>
      <c r="M383" s="36">
        <f>VLOOKUP(D383, County_Data_CZones!$B$2:$F$3236, 2, FALSE)</f>
        <v>2</v>
      </c>
      <c r="N383" s="37" t="str">
        <f>VLOOKUP(D383, County_Data_CZones!$B$2:$F$3236, 5, FALSE)</f>
        <v>Hot-Humid</v>
      </c>
    </row>
    <row r="384" ht="15.75" customHeight="1">
      <c r="A384" s="32" t="s">
        <v>273</v>
      </c>
      <c r="B384" s="32" t="s">
        <v>410</v>
      </c>
      <c r="C384" s="32" t="str">
        <f>vlookup(B384,State_EMM_RowSums!$A$2:$B$52,2,FALSE)</f>
        <v>FL</v>
      </c>
      <c r="D384" s="32">
        <v>12125.0</v>
      </c>
      <c r="E384" s="33">
        <f>IF(NOT(ISBLANK(vlookup($D384,Pop_Census_2023!$A$2:$E$3220,4,FALSE))),vlookup($D384,Pop_Census_2023!$A$2:$E$3220,4,FALSE), vlookup($D384,Pop_Census_2023!$A$2:$E$3220,5,FALSE))</f>
        <v>15532</v>
      </c>
      <c r="F384" s="32">
        <v>306913.0</v>
      </c>
      <c r="G384" s="32">
        <v>101.0</v>
      </c>
      <c r="H384" s="32" t="str">
        <f>VLOOKUP(D384, Grid_Region_Mapping!$D$2:$F$5286, 3, FALSE)</f>
        <v>FRCC</v>
      </c>
      <c r="I384" s="32">
        <v>5.0</v>
      </c>
      <c r="J384" s="34" t="str">
        <f t="shared" si="1"/>
        <v>South</v>
      </c>
      <c r="K384" s="35">
        <v>5.0</v>
      </c>
      <c r="L384" s="35" t="s">
        <v>104</v>
      </c>
      <c r="M384" s="36">
        <f>VLOOKUP(D384, County_Data_CZones!$B$2:$F$3236, 2, FALSE)</f>
        <v>2</v>
      </c>
      <c r="N384" s="37" t="str">
        <f>VLOOKUP(D384, County_Data_CZones!$B$2:$F$3236, 5, FALSE)</f>
        <v>Hot-Humid</v>
      </c>
    </row>
    <row r="385" ht="15.75" customHeight="1">
      <c r="A385" s="32" t="s">
        <v>457</v>
      </c>
      <c r="B385" s="32" t="s">
        <v>410</v>
      </c>
      <c r="C385" s="32" t="str">
        <f>vlookup(B385,State_EMM_RowSums!$A$2:$B$52,2,FALSE)</f>
        <v>FL</v>
      </c>
      <c r="D385" s="32">
        <v>12127.0</v>
      </c>
      <c r="E385" s="33">
        <f>IF(NOT(ISBLANK(vlookup($D385,Pop_Census_2023!$A$2:$E$3220,4,FALSE))),vlookup($D385,Pop_Census_2023!$A$2:$E$3220,4,FALSE), vlookup($D385,Pop_Census_2023!$A$2:$E$3220,5,FALSE))</f>
        <v>590357</v>
      </c>
      <c r="F385" s="32">
        <v>306921.0</v>
      </c>
      <c r="G385" s="32">
        <v>101.0</v>
      </c>
      <c r="H385" s="32" t="str">
        <f>VLOOKUP(D385, Grid_Region_Mapping!$D$2:$F$5286, 3, FALSE)</f>
        <v>FRCC</v>
      </c>
      <c r="I385" s="32">
        <v>5.0</v>
      </c>
      <c r="J385" s="34" t="str">
        <f t="shared" si="1"/>
        <v>South</v>
      </c>
      <c r="K385" s="35">
        <v>5.0</v>
      </c>
      <c r="L385" s="35" t="s">
        <v>104</v>
      </c>
      <c r="M385" s="36">
        <f>VLOOKUP(D385, County_Data_CZones!$B$2:$F$3236, 2, FALSE)</f>
        <v>2</v>
      </c>
      <c r="N385" s="37" t="str">
        <f>VLOOKUP(D385, County_Data_CZones!$B$2:$F$3236, 5, FALSE)</f>
        <v>Hot-Humid</v>
      </c>
    </row>
    <row r="386" ht="15.75" customHeight="1">
      <c r="A386" s="32" t="s">
        <v>458</v>
      </c>
      <c r="B386" s="32" t="s">
        <v>410</v>
      </c>
      <c r="C386" s="32" t="str">
        <f>vlookup(B386,State_EMM_RowSums!$A$2:$B$52,2,FALSE)</f>
        <v>FL</v>
      </c>
      <c r="D386" s="32">
        <v>12129.0</v>
      </c>
      <c r="E386" s="33">
        <f>IF(NOT(ISBLANK(vlookup($D386,Pop_Census_2023!$A$2:$E$3220,4,FALSE))),vlookup($D386,Pop_Census_2023!$A$2:$E$3220,4,FALSE), vlookup($D386,Pop_Census_2023!$A$2:$E$3220,5,FALSE))</f>
        <v>36449</v>
      </c>
      <c r="F386" s="32">
        <v>306912.0</v>
      </c>
      <c r="G386" s="32">
        <v>101.0</v>
      </c>
      <c r="H386" s="32" t="str">
        <f>VLOOKUP(D386, Grid_Region_Mapping!$D$2:$F$5286, 3, FALSE)</f>
        <v>FRCC</v>
      </c>
      <c r="I386" s="32">
        <v>5.0</v>
      </c>
      <c r="J386" s="34" t="str">
        <f t="shared" si="1"/>
        <v>South</v>
      </c>
      <c r="K386" s="35">
        <v>5.0</v>
      </c>
      <c r="L386" s="35" t="s">
        <v>104</v>
      </c>
      <c r="M386" s="36">
        <f>VLOOKUP(D386, County_Data_CZones!$B$2:$F$3236, 2, FALSE)</f>
        <v>2</v>
      </c>
      <c r="N386" s="37" t="str">
        <f>VLOOKUP(D386, County_Data_CZones!$B$2:$F$3236, 5, FALSE)</f>
        <v>Hot-Humid</v>
      </c>
    </row>
    <row r="387" ht="15.75" customHeight="1">
      <c r="A387" s="32" t="s">
        <v>459</v>
      </c>
      <c r="B387" s="32" t="s">
        <v>410</v>
      </c>
      <c r="C387" s="32" t="str">
        <f>vlookup(B387,State_EMM_RowSums!$A$2:$B$52,2,FALSE)</f>
        <v>FL</v>
      </c>
      <c r="D387" s="32">
        <v>12131.0</v>
      </c>
      <c r="E387" s="33">
        <f>IF(NOT(ISBLANK(vlookup($D387,Pop_Census_2023!$A$2:$E$3220,4,FALSE))),vlookup($D387,Pop_Census_2023!$A$2:$E$3220,4,FALSE), vlookup($D387,Pop_Census_2023!$A$2:$E$3220,5,FALSE))</f>
        <v>86354</v>
      </c>
      <c r="F387" s="32">
        <v>295727.0</v>
      </c>
      <c r="G387" s="32">
        <v>91.0</v>
      </c>
      <c r="H387" s="32" t="str">
        <f>VLOOKUP(D387, Grid_Region_Mapping!$D$2:$F$5286, 3, FALSE)</f>
        <v>SRSE</v>
      </c>
      <c r="I387" s="32">
        <v>5.0</v>
      </c>
      <c r="J387" s="34" t="str">
        <f t="shared" si="1"/>
        <v>South</v>
      </c>
      <c r="K387" s="35">
        <v>5.0</v>
      </c>
      <c r="L387" s="35" t="s">
        <v>104</v>
      </c>
      <c r="M387" s="36">
        <f>VLOOKUP(D387, County_Data_CZones!$B$2:$F$3236, 2, FALSE)</f>
        <v>2</v>
      </c>
      <c r="N387" s="37" t="str">
        <f>VLOOKUP(D387, County_Data_CZones!$B$2:$F$3236, 5, FALSE)</f>
        <v>Hot-Humid</v>
      </c>
    </row>
    <row r="388" ht="15.75" customHeight="1">
      <c r="A388" s="32" t="s">
        <v>167</v>
      </c>
      <c r="B388" s="32" t="s">
        <v>410</v>
      </c>
      <c r="C388" s="32" t="str">
        <f>vlookup(B388,State_EMM_RowSums!$A$2:$B$52,2,FALSE)</f>
        <v>FL</v>
      </c>
      <c r="D388" s="32">
        <v>12133.0</v>
      </c>
      <c r="E388" s="33">
        <f>IF(NOT(ISBLANK(vlookup($D388,Pop_Census_2023!$A$2:$E$3220,4,FALSE))),vlookup($D388,Pop_Census_2023!$A$2:$E$3220,4,FALSE), vlookup($D388,Pop_Census_2023!$A$2:$E$3220,5,FALSE))</f>
        <v>25602</v>
      </c>
      <c r="F388" s="32">
        <v>295762.0</v>
      </c>
      <c r="G388" s="32">
        <v>91.0</v>
      </c>
      <c r="H388" s="32" t="str">
        <f>VLOOKUP(D388, Grid_Region_Mapping!$D$2:$F$5286, 3, FALSE)</f>
        <v>SRSE</v>
      </c>
      <c r="I388" s="32">
        <v>5.0</v>
      </c>
      <c r="J388" s="34" t="str">
        <f t="shared" si="1"/>
        <v>South</v>
      </c>
      <c r="K388" s="35">
        <v>5.0</v>
      </c>
      <c r="L388" s="35" t="s">
        <v>104</v>
      </c>
      <c r="M388" s="36">
        <f>VLOOKUP(D388, County_Data_CZones!$B$2:$F$3236, 2, FALSE)</f>
        <v>2</v>
      </c>
      <c r="N388" s="37" t="str">
        <f>VLOOKUP(D388, County_Data_CZones!$B$2:$F$3236, 5, FALSE)</f>
        <v>Hot-Humid</v>
      </c>
    </row>
    <row r="389" ht="15.75" customHeight="1">
      <c r="A389" s="32" t="s">
        <v>460</v>
      </c>
      <c r="B389" s="32" t="s">
        <v>461</v>
      </c>
      <c r="C389" s="32" t="str">
        <f>vlookup(B389,State_EMM_RowSums!$A$2:$B$52,2,FALSE)</f>
        <v>GA</v>
      </c>
      <c r="D389" s="32">
        <v>13001.0</v>
      </c>
      <c r="E389" s="33">
        <f>IF(NOT(ISBLANK(vlookup($D389,Pop_Census_2023!$A$2:$E$3220,4,FALSE))),vlookup($D389,Pop_Census_2023!$A$2:$E$3220,4,FALSE), vlookup($D389,Pop_Census_2023!$A$2:$E$3220,5,FALSE))</f>
        <v>18457</v>
      </c>
      <c r="F389" s="32">
        <v>349113.0</v>
      </c>
      <c r="G389" s="32">
        <v>94.0</v>
      </c>
      <c r="H389" s="32" t="str">
        <f>VLOOKUP(D389, Grid_Region_Mapping!$D$2:$F$5286, 3, FALSE)</f>
        <v>SRSE</v>
      </c>
      <c r="I389" s="32">
        <v>5.0</v>
      </c>
      <c r="J389" s="34" t="str">
        <f t="shared" si="1"/>
        <v>South</v>
      </c>
      <c r="K389" s="35">
        <v>5.0</v>
      </c>
      <c r="L389" s="35" t="s">
        <v>104</v>
      </c>
      <c r="M389" s="36">
        <f>VLOOKUP(D389, County_Data_CZones!$B$2:$F$3236, 2, FALSE)</f>
        <v>2</v>
      </c>
      <c r="N389" s="37" t="str">
        <f>VLOOKUP(D389, County_Data_CZones!$B$2:$F$3236, 5, FALSE)</f>
        <v>Hot-Humid</v>
      </c>
    </row>
    <row r="390" ht="15.75" customHeight="1">
      <c r="A390" s="32" t="s">
        <v>462</v>
      </c>
      <c r="B390" s="32" t="s">
        <v>461</v>
      </c>
      <c r="C390" s="32" t="str">
        <f>vlookup(B390,State_EMM_RowSums!$A$2:$B$52,2,FALSE)</f>
        <v>GA</v>
      </c>
      <c r="D390" s="32">
        <v>13003.0</v>
      </c>
      <c r="E390" s="33">
        <f>IF(NOT(ISBLANK(vlookup($D390,Pop_Census_2023!$A$2:$E$3220,4,FALSE))),vlookup($D390,Pop_Census_2023!$A$2:$E$3220,4,FALSE), vlookup($D390,Pop_Census_2023!$A$2:$E$3220,5,FALSE))</f>
        <v>8293</v>
      </c>
      <c r="F390" s="32">
        <v>345784.0</v>
      </c>
      <c r="G390" s="32">
        <v>94.0</v>
      </c>
      <c r="H390" s="32" t="str">
        <f>VLOOKUP(D390, Grid_Region_Mapping!$D$2:$F$5286, 3, FALSE)</f>
        <v>SRSE</v>
      </c>
      <c r="I390" s="32">
        <v>5.0</v>
      </c>
      <c r="J390" s="34" t="str">
        <f t="shared" si="1"/>
        <v>South</v>
      </c>
      <c r="K390" s="35">
        <v>5.0</v>
      </c>
      <c r="L390" s="35" t="s">
        <v>104</v>
      </c>
      <c r="M390" s="36">
        <f>VLOOKUP(D390, County_Data_CZones!$B$2:$F$3236, 2, FALSE)</f>
        <v>2</v>
      </c>
      <c r="N390" s="37" t="str">
        <f>VLOOKUP(D390, County_Data_CZones!$B$2:$F$3236, 5, FALSE)</f>
        <v>Hot-Humid</v>
      </c>
    </row>
    <row r="391" ht="15.75" customHeight="1">
      <c r="A391" s="32" t="s">
        <v>463</v>
      </c>
      <c r="B391" s="32" t="s">
        <v>461</v>
      </c>
      <c r="C391" s="32" t="str">
        <f>vlookup(B391,State_EMM_RowSums!$A$2:$B$52,2,FALSE)</f>
        <v>GA</v>
      </c>
      <c r="D391" s="32">
        <v>13005.0</v>
      </c>
      <c r="E391" s="33">
        <f>IF(NOT(ISBLANK(vlookup($D391,Pop_Census_2023!$A$2:$E$3220,4,FALSE))),vlookup($D391,Pop_Census_2023!$A$2:$E$3220,4,FALSE), vlookup($D391,Pop_Census_2023!$A$2:$E$3220,5,FALSE))</f>
        <v>11124</v>
      </c>
      <c r="F391" s="32">
        <v>344784.0</v>
      </c>
      <c r="G391" s="32">
        <v>94.0</v>
      </c>
      <c r="H391" s="32" t="str">
        <f>VLOOKUP(D391, Grid_Region_Mapping!$D$2:$F$5286, 3, FALSE)</f>
        <v>SRSE</v>
      </c>
      <c r="I391" s="32">
        <v>5.0</v>
      </c>
      <c r="J391" s="34" t="str">
        <f t="shared" si="1"/>
        <v>South</v>
      </c>
      <c r="K391" s="35">
        <v>5.0</v>
      </c>
      <c r="L391" s="35" t="s">
        <v>104</v>
      </c>
      <c r="M391" s="36">
        <f>VLOOKUP(D391, County_Data_CZones!$B$2:$F$3236, 2, FALSE)</f>
        <v>2</v>
      </c>
      <c r="N391" s="37" t="str">
        <f>VLOOKUP(D391, County_Data_CZones!$B$2:$F$3236, 5, FALSE)</f>
        <v>Hot-Humid</v>
      </c>
    </row>
    <row r="392" ht="15.75" customHeight="1">
      <c r="A392" s="32" t="s">
        <v>411</v>
      </c>
      <c r="B392" s="32" t="s">
        <v>461</v>
      </c>
      <c r="C392" s="32" t="str">
        <f>vlookup(B392,State_EMM_RowSums!$A$2:$B$52,2,FALSE)</f>
        <v>GA</v>
      </c>
      <c r="D392" s="32">
        <v>13007.0</v>
      </c>
      <c r="E392" s="33">
        <f>IF(NOT(ISBLANK(vlookup($D392,Pop_Census_2023!$A$2:$E$3220,4,FALSE))),vlookup($D392,Pop_Census_2023!$A$2:$E$3220,4,FALSE), vlookup($D392,Pop_Census_2023!$A$2:$E$3220,5,FALSE))</f>
        <v>2743</v>
      </c>
      <c r="F392" s="32">
        <v>342832.0</v>
      </c>
      <c r="G392" s="32">
        <v>94.0</v>
      </c>
      <c r="H392" s="32" t="str">
        <f>VLOOKUP(D392, Grid_Region_Mapping!$D$2:$F$5286, 3, FALSE)</f>
        <v>SRSE</v>
      </c>
      <c r="I392" s="32">
        <v>5.0</v>
      </c>
      <c r="J392" s="34" t="str">
        <f t="shared" si="1"/>
        <v>South</v>
      </c>
      <c r="K392" s="35">
        <v>5.0</v>
      </c>
      <c r="L392" s="35" t="s">
        <v>104</v>
      </c>
      <c r="M392" s="36">
        <f>VLOOKUP(D392, County_Data_CZones!$B$2:$F$3236, 2, FALSE)</f>
        <v>2</v>
      </c>
      <c r="N392" s="37" t="str">
        <f>VLOOKUP(D392, County_Data_CZones!$B$2:$F$3236, 5, FALSE)</f>
        <v>Hot-Humid</v>
      </c>
    </row>
    <row r="393" ht="15.75" customHeight="1">
      <c r="A393" s="32" t="s">
        <v>103</v>
      </c>
      <c r="B393" s="32" t="s">
        <v>461</v>
      </c>
      <c r="C393" s="32" t="str">
        <f>vlookup(B393,State_EMM_RowSums!$A$2:$B$52,2,FALSE)</f>
        <v>GA</v>
      </c>
      <c r="D393" s="32">
        <v>13009.0</v>
      </c>
      <c r="E393" s="33">
        <f>IF(NOT(ISBLANK(vlookup($D393,Pop_Census_2023!$A$2:$E$3220,4,FALSE))),vlookup($D393,Pop_Census_2023!$A$2:$E$3220,4,FALSE), vlookup($D393,Pop_Census_2023!$A$2:$E$3220,5,FALSE))</f>
        <v>43396</v>
      </c>
      <c r="F393" s="32">
        <v>345255.0</v>
      </c>
      <c r="G393" s="32">
        <v>94.0</v>
      </c>
      <c r="H393" s="32" t="str">
        <f>VLOOKUP(D393, Grid_Region_Mapping!$D$2:$F$5286, 3, FALSE)</f>
        <v>SRSE</v>
      </c>
      <c r="I393" s="32">
        <v>5.0</v>
      </c>
      <c r="J393" s="34" t="str">
        <f t="shared" si="1"/>
        <v>South</v>
      </c>
      <c r="K393" s="35">
        <v>4.0</v>
      </c>
      <c r="L393" s="35" t="s">
        <v>102</v>
      </c>
      <c r="M393" s="36">
        <f>VLOOKUP(D393, County_Data_CZones!$B$2:$F$3236, 2, FALSE)</f>
        <v>3</v>
      </c>
      <c r="N393" s="37" t="str">
        <f>VLOOKUP(D393, County_Data_CZones!$B$2:$F$3236, 5, FALSE)</f>
        <v>Mixed-Humid</v>
      </c>
    </row>
    <row r="394" ht="15.75" customHeight="1">
      <c r="A394" s="32" t="s">
        <v>464</v>
      </c>
      <c r="B394" s="32" t="s">
        <v>461</v>
      </c>
      <c r="C394" s="32" t="str">
        <f>vlookup(B394,State_EMM_RowSums!$A$2:$B$52,2,FALSE)</f>
        <v>GA</v>
      </c>
      <c r="D394" s="32">
        <v>13011.0</v>
      </c>
      <c r="E394" s="33">
        <f>IF(NOT(ISBLANK(vlookup($D394,Pop_Census_2023!$A$2:$E$3220,4,FALSE))),vlookup($D394,Pop_Census_2023!$A$2:$E$3220,4,FALSE), vlookup($D394,Pop_Census_2023!$A$2:$E$3220,5,FALSE))</f>
        <v>19789</v>
      </c>
      <c r="F394" s="32">
        <v>349230.0</v>
      </c>
      <c r="G394" s="32">
        <v>94.0</v>
      </c>
      <c r="H394" s="32" t="str">
        <f>VLOOKUP(D394, Grid_Region_Mapping!$D$2:$F$5286, 3, FALSE)</f>
        <v>SRSE</v>
      </c>
      <c r="I394" s="32">
        <v>5.0</v>
      </c>
      <c r="J394" s="34" t="str">
        <f t="shared" si="1"/>
        <v>South</v>
      </c>
      <c r="K394" s="35">
        <v>4.0</v>
      </c>
      <c r="L394" s="35" t="s">
        <v>223</v>
      </c>
      <c r="M394" s="36">
        <f>VLOOKUP(D394, County_Data_CZones!$B$2:$F$3236, 2, FALSE)</f>
        <v>4</v>
      </c>
      <c r="N394" s="37" t="str">
        <f>VLOOKUP(D394, County_Data_CZones!$B$2:$F$3236, 5, FALSE)</f>
        <v>Mixed-Humid</v>
      </c>
    </row>
    <row r="395" ht="15.75" customHeight="1">
      <c r="A395" s="32" t="s">
        <v>465</v>
      </c>
      <c r="B395" s="32" t="s">
        <v>461</v>
      </c>
      <c r="C395" s="32" t="str">
        <f>vlookup(B395,State_EMM_RowSums!$A$2:$B$52,2,FALSE)</f>
        <v>GA</v>
      </c>
      <c r="D395" s="32">
        <v>13013.0</v>
      </c>
      <c r="E395" s="33">
        <f>IF(NOT(ISBLANK(vlookup($D395,Pop_Census_2023!$A$2:$E$3220,4,FALSE))),vlookup($D395,Pop_Census_2023!$A$2:$E$3220,4,FALSE), vlookup($D395,Pop_Census_2023!$A$2:$E$3220,5,FALSE))</f>
        <v>92792</v>
      </c>
      <c r="F395" s="32">
        <v>356976.0</v>
      </c>
      <c r="G395" s="32">
        <v>94.0</v>
      </c>
      <c r="H395" s="32" t="str">
        <f>VLOOKUP(D395, Grid_Region_Mapping!$D$2:$F$5286, 3, FALSE)</f>
        <v>SRSE</v>
      </c>
      <c r="I395" s="32">
        <v>5.0</v>
      </c>
      <c r="J395" s="34" t="str">
        <f t="shared" si="1"/>
        <v>South</v>
      </c>
      <c r="K395" s="35">
        <v>4.0</v>
      </c>
      <c r="L395" s="35" t="s">
        <v>102</v>
      </c>
      <c r="M395" s="36">
        <f>VLOOKUP(D395, County_Data_CZones!$B$2:$F$3236, 2, FALSE)</f>
        <v>3</v>
      </c>
      <c r="N395" s="37" t="str">
        <f>VLOOKUP(D395, County_Data_CZones!$B$2:$F$3236, 5, FALSE)</f>
        <v>Mixed-Humid</v>
      </c>
    </row>
    <row r="396" ht="15.75" customHeight="1">
      <c r="A396" s="32" t="s">
        <v>466</v>
      </c>
      <c r="B396" s="32" t="s">
        <v>461</v>
      </c>
      <c r="C396" s="32" t="str">
        <f>vlookup(B396,State_EMM_RowSums!$A$2:$B$52,2,FALSE)</f>
        <v>GA</v>
      </c>
      <c r="D396" s="32">
        <v>13015.0</v>
      </c>
      <c r="E396" s="33">
        <f>IF(NOT(ISBLANK(vlookup($D396,Pop_Census_2023!$A$2:$E$3220,4,FALSE))),vlookup($D396,Pop_Census_2023!$A$2:$E$3220,4,FALSE), vlookup($D396,Pop_Census_2023!$A$2:$E$3220,5,FALSE))</f>
        <v>115041</v>
      </c>
      <c r="F396" s="32">
        <v>351604.0</v>
      </c>
      <c r="G396" s="32">
        <v>94.0</v>
      </c>
      <c r="H396" s="32" t="str">
        <f>VLOOKUP(D396, Grid_Region_Mapping!$D$2:$F$5286, 3, FALSE)</f>
        <v>SRSE</v>
      </c>
      <c r="I396" s="32">
        <v>5.0</v>
      </c>
      <c r="J396" s="34" t="str">
        <f t="shared" si="1"/>
        <v>South</v>
      </c>
      <c r="K396" s="35">
        <v>4.0</v>
      </c>
      <c r="L396" s="35" t="s">
        <v>102</v>
      </c>
      <c r="M396" s="36">
        <f>VLOOKUP(D396, County_Data_CZones!$B$2:$F$3236, 2, FALSE)</f>
        <v>3</v>
      </c>
      <c r="N396" s="37" t="str">
        <f>VLOOKUP(D396, County_Data_CZones!$B$2:$F$3236, 5, FALSE)</f>
        <v>Mixed-Humid</v>
      </c>
    </row>
    <row r="397" ht="15.75" customHeight="1">
      <c r="A397" s="32" t="s">
        <v>467</v>
      </c>
      <c r="B397" s="32" t="s">
        <v>461</v>
      </c>
      <c r="C397" s="32" t="str">
        <f>vlookup(B397,State_EMM_RowSums!$A$2:$B$52,2,FALSE)</f>
        <v>GA</v>
      </c>
      <c r="D397" s="32">
        <v>13017.0</v>
      </c>
      <c r="E397" s="33">
        <f>IF(NOT(ISBLANK(vlookup($D397,Pop_Census_2023!$A$2:$E$3220,4,FALSE))),vlookup($D397,Pop_Census_2023!$A$2:$E$3220,4,FALSE), vlookup($D397,Pop_Census_2023!$A$2:$E$3220,5,FALSE))</f>
        <v>17128</v>
      </c>
      <c r="F397" s="32">
        <v>351606.0</v>
      </c>
      <c r="G397" s="32">
        <v>94.0</v>
      </c>
      <c r="H397" s="32" t="str">
        <f>VLOOKUP(D397, Grid_Region_Mapping!$D$2:$F$5286, 3, FALSE)</f>
        <v>SRSE</v>
      </c>
      <c r="I397" s="32">
        <v>5.0</v>
      </c>
      <c r="J397" s="34" t="str">
        <f t="shared" si="1"/>
        <v>South</v>
      </c>
      <c r="K397" s="35">
        <v>5.0</v>
      </c>
      <c r="L397" s="35" t="s">
        <v>102</v>
      </c>
      <c r="M397" s="36">
        <f>VLOOKUP(D397, County_Data_CZones!$B$2:$F$3236, 2, FALSE)</f>
        <v>3</v>
      </c>
      <c r="N397" s="37" t="str">
        <f>VLOOKUP(D397, County_Data_CZones!$B$2:$F$3236, 5, FALSE)</f>
        <v>Hot-Humid</v>
      </c>
    </row>
    <row r="398" ht="15.75" customHeight="1">
      <c r="A398" s="32" t="s">
        <v>468</v>
      </c>
      <c r="B398" s="32" t="s">
        <v>461</v>
      </c>
      <c r="C398" s="32" t="str">
        <f>vlookup(B398,State_EMM_RowSums!$A$2:$B$52,2,FALSE)</f>
        <v>GA</v>
      </c>
      <c r="D398" s="32">
        <v>13019.0</v>
      </c>
      <c r="E398" s="33">
        <f>IF(NOT(ISBLANK(vlookup($D398,Pop_Census_2023!$A$2:$E$3220,4,FALSE))),vlookup($D398,Pop_Census_2023!$A$2:$E$3220,4,FALSE), vlookup($D398,Pop_Census_2023!$A$2:$E$3220,5,FALSE))</f>
        <v>18570</v>
      </c>
      <c r="F398" s="32">
        <v>326638.0</v>
      </c>
      <c r="G398" s="32">
        <v>94.0</v>
      </c>
      <c r="H398" s="32" t="str">
        <f>VLOOKUP(D398, Grid_Region_Mapping!$D$2:$F$5286, 3, FALSE)</f>
        <v>SRSE</v>
      </c>
      <c r="I398" s="32">
        <v>5.0</v>
      </c>
      <c r="J398" s="34" t="str">
        <f t="shared" si="1"/>
        <v>South</v>
      </c>
      <c r="K398" s="35">
        <v>5.0</v>
      </c>
      <c r="L398" s="35" t="s">
        <v>104</v>
      </c>
      <c r="M398" s="36">
        <f>VLOOKUP(D398, County_Data_CZones!$B$2:$F$3236, 2, FALSE)</f>
        <v>2</v>
      </c>
      <c r="N398" s="37" t="str">
        <f>VLOOKUP(D398, County_Data_CZones!$B$2:$F$3236, 5, FALSE)</f>
        <v>Hot-Humid</v>
      </c>
    </row>
    <row r="399" ht="15.75" customHeight="1">
      <c r="A399" s="32" t="s">
        <v>106</v>
      </c>
      <c r="B399" s="32" t="s">
        <v>461</v>
      </c>
      <c r="C399" s="32" t="str">
        <f>vlookup(B399,State_EMM_RowSums!$A$2:$B$52,2,FALSE)</f>
        <v>GA</v>
      </c>
      <c r="D399" s="32">
        <v>13021.0</v>
      </c>
      <c r="E399" s="33">
        <f>IF(NOT(ISBLANK(vlookup($D399,Pop_Census_2023!$A$2:$E$3220,4,FALSE))),vlookup($D399,Pop_Census_2023!$A$2:$E$3220,4,FALSE), vlookup($D399,Pop_Census_2023!$A$2:$E$3220,5,FALSE))</f>
        <v>156512</v>
      </c>
      <c r="F399" s="32">
        <v>1672039.0</v>
      </c>
      <c r="G399" s="32">
        <v>94.0</v>
      </c>
      <c r="H399" s="32" t="str">
        <f>VLOOKUP(D399, Grid_Region_Mapping!$D$2:$F$5286, 3, FALSE)</f>
        <v>SRSE</v>
      </c>
      <c r="I399" s="32">
        <v>5.0</v>
      </c>
      <c r="J399" s="34" t="str">
        <f t="shared" si="1"/>
        <v>South</v>
      </c>
      <c r="K399" s="35">
        <v>5.0</v>
      </c>
      <c r="L399" s="35" t="s">
        <v>102</v>
      </c>
      <c r="M399" s="36">
        <f>VLOOKUP(D399, County_Data_CZones!$B$2:$F$3236, 2, FALSE)</f>
        <v>3</v>
      </c>
      <c r="N399" s="37" t="str">
        <f>VLOOKUP(D399, County_Data_CZones!$B$2:$F$3236, 5, FALSE)</f>
        <v>Mixed-Humid</v>
      </c>
    </row>
    <row r="400" ht="15.75" customHeight="1">
      <c r="A400" s="32" t="s">
        <v>469</v>
      </c>
      <c r="B400" s="32" t="s">
        <v>461</v>
      </c>
      <c r="C400" s="32" t="str">
        <f>vlookup(B400,State_EMM_RowSums!$A$2:$B$52,2,FALSE)</f>
        <v>GA</v>
      </c>
      <c r="D400" s="32">
        <v>13023.0</v>
      </c>
      <c r="E400" s="33">
        <f>IF(NOT(ISBLANK(vlookup($D400,Pop_Census_2023!$A$2:$E$3220,4,FALSE))),vlookup($D400,Pop_Census_2023!$A$2:$E$3220,4,FALSE), vlookup($D400,Pop_Census_2023!$A$2:$E$3220,5,FALSE))</f>
        <v>12465</v>
      </c>
      <c r="F400" s="32">
        <v>347451.0</v>
      </c>
      <c r="G400" s="32">
        <v>94.0</v>
      </c>
      <c r="H400" s="32" t="str">
        <f>VLOOKUP(D400, Grid_Region_Mapping!$D$2:$F$5286, 3, FALSE)</f>
        <v>SRSE</v>
      </c>
      <c r="I400" s="32">
        <v>5.0</v>
      </c>
      <c r="J400" s="34" t="str">
        <f t="shared" si="1"/>
        <v>South</v>
      </c>
      <c r="K400" s="35">
        <v>5.0</v>
      </c>
      <c r="L400" s="35" t="s">
        <v>102</v>
      </c>
      <c r="M400" s="36">
        <f>VLOOKUP(D400, County_Data_CZones!$B$2:$F$3236, 2, FALSE)</f>
        <v>3</v>
      </c>
      <c r="N400" s="37" t="str">
        <f>VLOOKUP(D400, County_Data_CZones!$B$2:$F$3236, 5, FALSE)</f>
        <v>Hot-Humid</v>
      </c>
    </row>
    <row r="401" ht="15.75" customHeight="1">
      <c r="A401" s="32" t="s">
        <v>470</v>
      </c>
      <c r="B401" s="32" t="s">
        <v>461</v>
      </c>
      <c r="C401" s="32" t="str">
        <f>vlookup(B401,State_EMM_RowSums!$A$2:$B$52,2,FALSE)</f>
        <v>GA</v>
      </c>
      <c r="D401" s="32">
        <v>13025.0</v>
      </c>
      <c r="E401" s="33">
        <f>IF(NOT(ISBLANK(vlookup($D401,Pop_Census_2023!$A$2:$E$3220,4,FALSE))),vlookup($D401,Pop_Census_2023!$A$2:$E$3220,4,FALSE), vlookup($D401,Pop_Census_2023!$A$2:$E$3220,5,FALSE))</f>
        <v>18401</v>
      </c>
      <c r="F401" s="32">
        <v>351605.0</v>
      </c>
      <c r="G401" s="32">
        <v>94.0</v>
      </c>
      <c r="H401" s="32" t="str">
        <f>VLOOKUP(D401, Grid_Region_Mapping!$D$2:$F$5286, 3, FALSE)</f>
        <v>SRSE</v>
      </c>
      <c r="I401" s="32">
        <v>5.0</v>
      </c>
      <c r="J401" s="34" t="str">
        <f t="shared" si="1"/>
        <v>South</v>
      </c>
      <c r="K401" s="35">
        <v>5.0</v>
      </c>
      <c r="L401" s="35" t="s">
        <v>104</v>
      </c>
      <c r="M401" s="36">
        <f>VLOOKUP(D401, County_Data_CZones!$B$2:$F$3236, 2, FALSE)</f>
        <v>2</v>
      </c>
      <c r="N401" s="37" t="str">
        <f>VLOOKUP(D401, County_Data_CZones!$B$2:$F$3236, 5, FALSE)</f>
        <v>Hot-Humid</v>
      </c>
    </row>
    <row r="402" ht="15.75" customHeight="1">
      <c r="A402" s="32" t="s">
        <v>471</v>
      </c>
      <c r="B402" s="32" t="s">
        <v>461</v>
      </c>
      <c r="C402" s="32" t="str">
        <f>vlookup(B402,State_EMM_RowSums!$A$2:$B$52,2,FALSE)</f>
        <v>GA</v>
      </c>
      <c r="D402" s="32">
        <v>13027.0</v>
      </c>
      <c r="E402" s="33">
        <f>IF(NOT(ISBLANK(vlookup($D402,Pop_Census_2023!$A$2:$E$3220,4,FALSE))),vlookup($D402,Pop_Census_2023!$A$2:$E$3220,4,FALSE), vlookup($D402,Pop_Census_2023!$A$2:$E$3220,5,FALSE))</f>
        <v>16245</v>
      </c>
      <c r="F402" s="32">
        <v>345518.0</v>
      </c>
      <c r="G402" s="32">
        <v>94.0</v>
      </c>
      <c r="H402" s="32" t="str">
        <f>VLOOKUP(D402, Grid_Region_Mapping!$D$2:$F$5286, 3, FALSE)</f>
        <v>SRSE</v>
      </c>
      <c r="I402" s="32">
        <v>5.0</v>
      </c>
      <c r="J402" s="34" t="str">
        <f t="shared" si="1"/>
        <v>South</v>
      </c>
      <c r="K402" s="35">
        <v>5.0</v>
      </c>
      <c r="L402" s="35" t="s">
        <v>104</v>
      </c>
      <c r="M402" s="36">
        <f>VLOOKUP(D402, County_Data_CZones!$B$2:$F$3236, 2, FALSE)</f>
        <v>2</v>
      </c>
      <c r="N402" s="37" t="str">
        <f>VLOOKUP(D402, County_Data_CZones!$B$2:$F$3236, 5, FALSE)</f>
        <v>Hot-Humid</v>
      </c>
    </row>
    <row r="403" ht="15.75" customHeight="1">
      <c r="A403" s="32" t="s">
        <v>472</v>
      </c>
      <c r="B403" s="32" t="s">
        <v>461</v>
      </c>
      <c r="C403" s="32" t="str">
        <f>vlookup(B403,State_EMM_RowSums!$A$2:$B$52,2,FALSE)</f>
        <v>GA</v>
      </c>
      <c r="D403" s="32">
        <v>13029.0</v>
      </c>
      <c r="E403" s="33">
        <f>IF(NOT(ISBLANK(vlookup($D403,Pop_Census_2023!$A$2:$E$3220,4,FALSE))),vlookup($D403,Pop_Census_2023!$A$2:$E$3220,4,FALSE), vlookup($D403,Pop_Census_2023!$A$2:$E$3220,5,FALSE))</f>
        <v>49739</v>
      </c>
      <c r="F403" s="32">
        <v>350496.0</v>
      </c>
      <c r="G403" s="32">
        <v>94.0</v>
      </c>
      <c r="H403" s="32" t="str">
        <f>VLOOKUP(D403, Grid_Region_Mapping!$D$2:$F$5286, 3, FALSE)</f>
        <v>SRSE</v>
      </c>
      <c r="I403" s="32">
        <v>5.0</v>
      </c>
      <c r="J403" s="34" t="str">
        <f t="shared" si="1"/>
        <v>South</v>
      </c>
      <c r="K403" s="35">
        <v>5.0</v>
      </c>
      <c r="L403" s="35" t="s">
        <v>104</v>
      </c>
      <c r="M403" s="36">
        <f>VLOOKUP(D403, County_Data_CZones!$B$2:$F$3236, 2, FALSE)</f>
        <v>2</v>
      </c>
      <c r="N403" s="37" t="str">
        <f>VLOOKUP(D403, County_Data_CZones!$B$2:$F$3236, 5, FALSE)</f>
        <v>Hot-Humid</v>
      </c>
    </row>
    <row r="404" ht="15.75" customHeight="1">
      <c r="A404" s="32" t="s">
        <v>473</v>
      </c>
      <c r="B404" s="32" t="s">
        <v>461</v>
      </c>
      <c r="C404" s="32" t="str">
        <f>vlookup(B404,State_EMM_RowSums!$A$2:$B$52,2,FALSE)</f>
        <v>GA</v>
      </c>
      <c r="D404" s="32">
        <v>13031.0</v>
      </c>
      <c r="E404" s="33">
        <f>IF(NOT(ISBLANK(vlookup($D404,Pop_Census_2023!$A$2:$E$3220,4,FALSE))),vlookup($D404,Pop_Census_2023!$A$2:$E$3220,4,FALSE), vlookup($D404,Pop_Census_2023!$A$2:$E$3220,5,FALSE))</f>
        <v>84327</v>
      </c>
      <c r="F404" s="32">
        <v>350302.0</v>
      </c>
      <c r="G404" s="32">
        <v>94.0</v>
      </c>
      <c r="H404" s="32" t="str">
        <f>VLOOKUP(D404, Grid_Region_Mapping!$D$2:$F$5286, 3, FALSE)</f>
        <v>SRSE</v>
      </c>
      <c r="I404" s="32">
        <v>5.0</v>
      </c>
      <c r="J404" s="34" t="str">
        <f t="shared" si="1"/>
        <v>South</v>
      </c>
      <c r="K404" s="35">
        <v>5.0</v>
      </c>
      <c r="L404" s="35" t="s">
        <v>102</v>
      </c>
      <c r="M404" s="36">
        <f>VLOOKUP(D404, County_Data_CZones!$B$2:$F$3236, 2, FALSE)</f>
        <v>3</v>
      </c>
      <c r="N404" s="37" t="str">
        <f>VLOOKUP(D404, County_Data_CZones!$B$2:$F$3236, 5, FALSE)</f>
        <v>Hot-Humid</v>
      </c>
    </row>
    <row r="405" ht="15.75" customHeight="1">
      <c r="A405" s="32" t="s">
        <v>474</v>
      </c>
      <c r="B405" s="32" t="s">
        <v>461</v>
      </c>
      <c r="C405" s="32" t="str">
        <f>vlookup(B405,State_EMM_RowSums!$A$2:$B$52,2,FALSE)</f>
        <v>GA</v>
      </c>
      <c r="D405" s="32">
        <v>13033.0</v>
      </c>
      <c r="E405" s="33">
        <f>IF(NOT(ISBLANK(vlookup($D405,Pop_Census_2023!$A$2:$E$3220,4,FALSE))),vlookup($D405,Pop_Census_2023!$A$2:$E$3220,4,FALSE), vlookup($D405,Pop_Census_2023!$A$2:$E$3220,5,FALSE))</f>
        <v>24438</v>
      </c>
      <c r="F405" s="32">
        <v>347944.0</v>
      </c>
      <c r="G405" s="32">
        <v>94.0</v>
      </c>
      <c r="H405" s="32" t="str">
        <f>VLOOKUP(D405, Grid_Region_Mapping!$D$2:$F$5286, 3, FALSE)</f>
        <v>SRSE</v>
      </c>
      <c r="I405" s="32">
        <v>5.0</v>
      </c>
      <c r="J405" s="34" t="str">
        <f t="shared" si="1"/>
        <v>South</v>
      </c>
      <c r="K405" s="35">
        <v>4.0</v>
      </c>
      <c r="L405" s="35" t="s">
        <v>102</v>
      </c>
      <c r="M405" s="36">
        <f>VLOOKUP(D405, County_Data_CZones!$B$2:$F$3236, 2, FALSE)</f>
        <v>3</v>
      </c>
      <c r="N405" s="37" t="str">
        <f>VLOOKUP(D405, County_Data_CZones!$B$2:$F$3236, 5, FALSE)</f>
        <v>Mixed-Humid</v>
      </c>
    </row>
    <row r="406" ht="15.75" customHeight="1">
      <c r="A406" s="32" t="s">
        <v>475</v>
      </c>
      <c r="B406" s="32" t="s">
        <v>461</v>
      </c>
      <c r="C406" s="32" t="str">
        <f>vlookup(B406,State_EMM_RowSums!$A$2:$B$52,2,FALSE)</f>
        <v>GA</v>
      </c>
      <c r="D406" s="32">
        <v>13035.0</v>
      </c>
      <c r="E406" s="33">
        <f>IF(NOT(ISBLANK(vlookup($D406,Pop_Census_2023!$A$2:$E$3220,4,FALSE))),vlookup($D406,Pop_Census_2023!$A$2:$E$3220,4,FALSE), vlookup($D406,Pop_Census_2023!$A$2:$E$3220,5,FALSE))</f>
        <v>26887</v>
      </c>
      <c r="F406" s="32">
        <v>352295.0</v>
      </c>
      <c r="G406" s="32">
        <v>94.0</v>
      </c>
      <c r="H406" s="32" t="str">
        <f>VLOOKUP(D406, Grid_Region_Mapping!$D$2:$F$5286, 3, FALSE)</f>
        <v>SRSE</v>
      </c>
      <c r="I406" s="32">
        <v>5.0</v>
      </c>
      <c r="J406" s="34" t="str">
        <f t="shared" si="1"/>
        <v>South</v>
      </c>
      <c r="K406" s="35">
        <v>4.0</v>
      </c>
      <c r="L406" s="35" t="s">
        <v>102</v>
      </c>
      <c r="M406" s="36">
        <f>VLOOKUP(D406, County_Data_CZones!$B$2:$F$3236, 2, FALSE)</f>
        <v>3</v>
      </c>
      <c r="N406" s="37" t="str">
        <f>VLOOKUP(D406, County_Data_CZones!$B$2:$F$3236, 5, FALSE)</f>
        <v>Mixed-Humid</v>
      </c>
    </row>
    <row r="407" ht="15.75" customHeight="1">
      <c r="A407" s="32" t="s">
        <v>110</v>
      </c>
      <c r="B407" s="32" t="s">
        <v>461</v>
      </c>
      <c r="C407" s="32" t="str">
        <f>vlookup(B407,State_EMM_RowSums!$A$2:$B$52,2,FALSE)</f>
        <v>GA</v>
      </c>
      <c r="D407" s="32">
        <v>13037.0</v>
      </c>
      <c r="E407" s="33">
        <f>IF(NOT(ISBLANK(vlookup($D407,Pop_Census_2023!$A$2:$E$3220,4,FALSE))),vlookup($D407,Pop_Census_2023!$A$2:$E$3220,4,FALSE), vlookup($D407,Pop_Census_2023!$A$2:$E$3220,5,FALSE))</f>
        <v>5457</v>
      </c>
      <c r="F407" s="32">
        <v>344074.0</v>
      </c>
      <c r="G407" s="32">
        <v>94.0</v>
      </c>
      <c r="H407" s="32" t="str">
        <f>VLOOKUP(D407, Grid_Region_Mapping!$D$2:$F$5286, 3, FALSE)</f>
        <v>SRSE</v>
      </c>
      <c r="I407" s="32">
        <v>5.0</v>
      </c>
      <c r="J407" s="34" t="str">
        <f t="shared" si="1"/>
        <v>South</v>
      </c>
      <c r="K407" s="35">
        <v>5.0</v>
      </c>
      <c r="L407" s="35" t="s">
        <v>102</v>
      </c>
      <c r="M407" s="36">
        <f>VLOOKUP(D407, County_Data_CZones!$B$2:$F$3236, 2, FALSE)</f>
        <v>3</v>
      </c>
      <c r="N407" s="37" t="str">
        <f>VLOOKUP(D407, County_Data_CZones!$B$2:$F$3236, 5, FALSE)</f>
        <v>Hot-Humid</v>
      </c>
    </row>
    <row r="408" ht="15.75" customHeight="1">
      <c r="A408" s="32" t="s">
        <v>476</v>
      </c>
      <c r="B408" s="32" t="s">
        <v>461</v>
      </c>
      <c r="C408" s="32" t="str">
        <f>vlookup(B408,State_EMM_RowSums!$A$2:$B$52,2,FALSE)</f>
        <v>GA</v>
      </c>
      <c r="D408" s="32">
        <v>13039.0</v>
      </c>
      <c r="E408" s="33">
        <f>IF(NOT(ISBLANK(vlookup($D408,Pop_Census_2023!$A$2:$E$3220,4,FALSE))),vlookup($D408,Pop_Census_2023!$A$2:$E$3220,4,FALSE), vlookup($D408,Pop_Census_2023!$A$2:$E$3220,5,FALSE))</f>
        <v>58118</v>
      </c>
      <c r="F408" s="32">
        <v>1671316.0</v>
      </c>
      <c r="G408" s="32">
        <v>94.0</v>
      </c>
      <c r="H408" s="32" t="str">
        <f>VLOOKUP(D408, Grid_Region_Mapping!$D$2:$F$5286, 3, FALSE)</f>
        <v>SRSE</v>
      </c>
      <c r="I408" s="32">
        <v>5.0</v>
      </c>
      <c r="J408" s="34" t="str">
        <f t="shared" si="1"/>
        <v>South</v>
      </c>
      <c r="K408" s="35">
        <v>5.0</v>
      </c>
      <c r="L408" s="35" t="s">
        <v>104</v>
      </c>
      <c r="M408" s="36">
        <f>VLOOKUP(D408, County_Data_CZones!$B$2:$F$3236, 2, FALSE)</f>
        <v>2</v>
      </c>
      <c r="N408" s="37" t="str">
        <f>VLOOKUP(D408, County_Data_CZones!$B$2:$F$3236, 5, FALSE)</f>
        <v>Hot-Humid</v>
      </c>
    </row>
    <row r="409" ht="15.75" customHeight="1">
      <c r="A409" s="32" t="s">
        <v>477</v>
      </c>
      <c r="B409" s="32" t="s">
        <v>461</v>
      </c>
      <c r="C409" s="32" t="str">
        <f>vlookup(B409,State_EMM_RowSums!$A$2:$B$52,2,FALSE)</f>
        <v>GA</v>
      </c>
      <c r="D409" s="32">
        <v>13043.0</v>
      </c>
      <c r="E409" s="33">
        <f>IF(NOT(ISBLANK(vlookup($D409,Pop_Census_2023!$A$2:$E$3220,4,FALSE))),vlookup($D409,Pop_Census_2023!$A$2:$E$3220,4,FALSE), vlookup($D409,Pop_Census_2023!$A$2:$E$3220,5,FALSE))</f>
        <v>11059</v>
      </c>
      <c r="F409" s="32">
        <v>342852.0</v>
      </c>
      <c r="G409" s="32">
        <v>94.0</v>
      </c>
      <c r="H409" s="32" t="str">
        <f>VLOOKUP(D409, Grid_Region_Mapping!$D$2:$F$5286, 3, FALSE)</f>
        <v>SRSE</v>
      </c>
      <c r="I409" s="32">
        <v>5.0</v>
      </c>
      <c r="J409" s="34" t="str">
        <f t="shared" si="1"/>
        <v>South</v>
      </c>
      <c r="K409" s="35">
        <v>5.0</v>
      </c>
      <c r="L409" s="35" t="s">
        <v>102</v>
      </c>
      <c r="M409" s="36">
        <f>VLOOKUP(D409, County_Data_CZones!$B$2:$F$3236, 2, FALSE)</f>
        <v>3</v>
      </c>
      <c r="N409" s="37" t="str">
        <f>VLOOKUP(D409, County_Data_CZones!$B$2:$F$3236, 5, FALSE)</f>
        <v>Hot-Humid</v>
      </c>
    </row>
    <row r="410" ht="15.75" customHeight="1">
      <c r="A410" s="32" t="s">
        <v>227</v>
      </c>
      <c r="B410" s="32" t="s">
        <v>461</v>
      </c>
      <c r="C410" s="32" t="str">
        <f>vlookup(B410,State_EMM_RowSums!$A$2:$B$52,2,FALSE)</f>
        <v>GA</v>
      </c>
      <c r="D410" s="32">
        <v>13045.0</v>
      </c>
      <c r="E410" s="33">
        <f>IF(NOT(ISBLANK(vlookup($D410,Pop_Census_2023!$A$2:$E$3220,4,FALSE))),vlookup($D410,Pop_Census_2023!$A$2:$E$3220,4,FALSE), vlookup($D410,Pop_Census_2023!$A$2:$E$3220,5,FALSE))</f>
        <v>127098</v>
      </c>
      <c r="F410" s="32">
        <v>326650.0</v>
      </c>
      <c r="G410" s="32">
        <v>94.0</v>
      </c>
      <c r="H410" s="32" t="str">
        <f>VLOOKUP(D410, Grid_Region_Mapping!$D$2:$F$5286, 3, FALSE)</f>
        <v>SRSE</v>
      </c>
      <c r="I410" s="32">
        <v>5.0</v>
      </c>
      <c r="J410" s="34" t="str">
        <f t="shared" si="1"/>
        <v>South</v>
      </c>
      <c r="K410" s="35">
        <v>4.0</v>
      </c>
      <c r="L410" s="35" t="s">
        <v>102</v>
      </c>
      <c r="M410" s="36">
        <f>VLOOKUP(D410, County_Data_CZones!$B$2:$F$3236, 2, FALSE)</f>
        <v>3</v>
      </c>
      <c r="N410" s="37" t="str">
        <f>VLOOKUP(D410, County_Data_CZones!$B$2:$F$3236, 5, FALSE)</f>
        <v>Mixed-Humid</v>
      </c>
    </row>
    <row r="411" ht="15.75" customHeight="1">
      <c r="A411" s="32" t="s">
        <v>478</v>
      </c>
      <c r="B411" s="32" t="s">
        <v>461</v>
      </c>
      <c r="C411" s="32" t="str">
        <f>vlookup(B411,State_EMM_RowSums!$A$2:$B$52,2,FALSE)</f>
        <v>GA</v>
      </c>
      <c r="D411" s="32">
        <v>13047.0</v>
      </c>
      <c r="E411" s="33">
        <f>IF(NOT(ISBLANK(vlookup($D411,Pop_Census_2023!$A$2:$E$3220,4,FALSE))),vlookup($D411,Pop_Census_2023!$A$2:$E$3220,4,FALSE), vlookup($D411,Pop_Census_2023!$A$2:$E$3220,5,FALSE))</f>
        <v>68910</v>
      </c>
      <c r="F411" s="32">
        <v>353230.0</v>
      </c>
      <c r="G411" s="32">
        <v>94.0</v>
      </c>
      <c r="H411" s="32" t="str">
        <f>VLOOKUP(D411, Grid_Region_Mapping!$D$2:$F$5286, 3, FALSE)</f>
        <v>SRSE</v>
      </c>
      <c r="I411" s="32">
        <v>5.0</v>
      </c>
      <c r="J411" s="34" t="str">
        <f t="shared" si="1"/>
        <v>South</v>
      </c>
      <c r="K411" s="35">
        <v>4.0</v>
      </c>
      <c r="L411" s="35" t="s">
        <v>223</v>
      </c>
      <c r="M411" s="36">
        <f>VLOOKUP(D411, County_Data_CZones!$B$2:$F$3236, 2, FALSE)</f>
        <v>4</v>
      </c>
      <c r="N411" s="37" t="str">
        <f>VLOOKUP(D411, County_Data_CZones!$B$2:$F$3236, 5, FALSE)</f>
        <v>Mixed-Humid</v>
      </c>
    </row>
    <row r="412" ht="15.75" customHeight="1">
      <c r="A412" s="32" t="s">
        <v>479</v>
      </c>
      <c r="B412" s="32" t="s">
        <v>461</v>
      </c>
      <c r="C412" s="32" t="str">
        <f>vlookup(B412,State_EMM_RowSums!$A$2:$B$52,2,FALSE)</f>
        <v>GA</v>
      </c>
      <c r="D412" s="32">
        <v>13049.0</v>
      </c>
      <c r="E412" s="33">
        <f>IF(NOT(ISBLANK(vlookup($D412,Pop_Census_2023!$A$2:$E$3220,4,FALSE))),vlookup($D412,Pop_Census_2023!$A$2:$E$3220,4,FALSE), vlookup($D412,Pop_Census_2023!$A$2:$E$3220,5,FALSE))</f>
        <v>12934</v>
      </c>
      <c r="F412" s="32">
        <v>357747.0</v>
      </c>
      <c r="G412" s="32">
        <v>94.0</v>
      </c>
      <c r="H412" s="32" t="str">
        <f>VLOOKUP(D412, Grid_Region_Mapping!$D$2:$F$5286, 3, FALSE)</f>
        <v>SRSE</v>
      </c>
      <c r="I412" s="32">
        <v>5.0</v>
      </c>
      <c r="J412" s="34" t="str">
        <f t="shared" si="1"/>
        <v>South</v>
      </c>
      <c r="K412" s="35">
        <v>5.0</v>
      </c>
      <c r="L412" s="35" t="s">
        <v>104</v>
      </c>
      <c r="M412" s="36">
        <f>VLOOKUP(D412, County_Data_CZones!$B$2:$F$3236, 2, FALSE)</f>
        <v>2</v>
      </c>
      <c r="N412" s="37" t="str">
        <f>VLOOKUP(D412, County_Data_CZones!$B$2:$F$3236, 5, FALSE)</f>
        <v>Hot-Humid</v>
      </c>
    </row>
    <row r="413" ht="15.75" customHeight="1">
      <c r="A413" s="32" t="s">
        <v>480</v>
      </c>
      <c r="B413" s="32" t="s">
        <v>461</v>
      </c>
      <c r="C413" s="32" t="str">
        <f>vlookup(B413,State_EMM_RowSums!$A$2:$B$52,2,FALSE)</f>
        <v>GA</v>
      </c>
      <c r="D413" s="32">
        <v>13051.0</v>
      </c>
      <c r="E413" s="33">
        <f>IF(NOT(ISBLANK(vlookup($D413,Pop_Census_2023!$A$2:$E$3220,4,FALSE))),vlookup($D413,Pop_Census_2023!$A$2:$E$3220,4,FALSE), vlookup($D413,Pop_Census_2023!$A$2:$E$3220,5,FALSE))</f>
        <v>303655</v>
      </c>
      <c r="F413" s="32">
        <v>1694477.0</v>
      </c>
      <c r="G413" s="32">
        <v>94.0</v>
      </c>
      <c r="H413" s="32" t="str">
        <f>VLOOKUP(D413, Grid_Region_Mapping!$D$2:$F$5286, 3, FALSE)</f>
        <v>SRSE</v>
      </c>
      <c r="I413" s="32">
        <v>5.0</v>
      </c>
      <c r="J413" s="34" t="str">
        <f t="shared" si="1"/>
        <v>South</v>
      </c>
      <c r="K413" s="35">
        <v>5.0</v>
      </c>
      <c r="L413" s="35" t="s">
        <v>104</v>
      </c>
      <c r="M413" s="36">
        <f>VLOOKUP(D413, County_Data_CZones!$B$2:$F$3236, 2, FALSE)</f>
        <v>2</v>
      </c>
      <c r="N413" s="37" t="str">
        <f>VLOOKUP(D413, County_Data_CZones!$B$2:$F$3236, 5, FALSE)</f>
        <v>Hot-Humid</v>
      </c>
    </row>
    <row r="414" ht="15.75" customHeight="1">
      <c r="A414" s="32" t="s">
        <v>481</v>
      </c>
      <c r="B414" s="32" t="s">
        <v>461</v>
      </c>
      <c r="C414" s="32" t="str">
        <f>vlookup(B414,State_EMM_RowSums!$A$2:$B$52,2,FALSE)</f>
        <v>GA</v>
      </c>
      <c r="D414" s="32">
        <v>13053.0</v>
      </c>
      <c r="E414" s="33">
        <f>IF(NOT(ISBLANK(vlookup($D414,Pop_Census_2023!$A$2:$E$3220,4,FALSE))),vlookup($D414,Pop_Census_2023!$A$2:$E$3220,4,FALSE), vlookup($D414,Pop_Census_2023!$A$2:$E$3220,5,FALSE))</f>
        <v>8661</v>
      </c>
      <c r="F414" s="32">
        <v>351012.0</v>
      </c>
      <c r="G414" s="32">
        <v>94.0</v>
      </c>
      <c r="H414" s="32" t="str">
        <f>VLOOKUP(D414, Grid_Region_Mapping!$D$2:$F$5286, 3, FALSE)</f>
        <v>SRSE</v>
      </c>
      <c r="I414" s="32">
        <v>5.0</v>
      </c>
      <c r="J414" s="34" t="str">
        <f t="shared" si="1"/>
        <v>South</v>
      </c>
      <c r="K414" s="35">
        <v>4.0</v>
      </c>
      <c r="L414" s="35" t="s">
        <v>102</v>
      </c>
      <c r="M414" s="36">
        <f>VLOOKUP(D414, County_Data_CZones!$B$2:$F$3236, 2, FALSE)</f>
        <v>3</v>
      </c>
      <c r="N414" s="37" t="str">
        <f>VLOOKUP(D414, County_Data_CZones!$B$2:$F$3236, 5, FALSE)</f>
        <v>Hot-Humid</v>
      </c>
    </row>
    <row r="415" ht="15.75" customHeight="1">
      <c r="A415" s="32" t="s">
        <v>482</v>
      </c>
      <c r="B415" s="32" t="s">
        <v>461</v>
      </c>
      <c r="C415" s="32" t="str">
        <f>vlookup(B415,State_EMM_RowSums!$A$2:$B$52,2,FALSE)</f>
        <v>GA</v>
      </c>
      <c r="D415" s="32">
        <v>13055.0</v>
      </c>
      <c r="E415" s="33">
        <f>IF(NOT(ISBLANK(vlookup($D415,Pop_Census_2023!$A$2:$E$3220,4,FALSE))),vlookup($D415,Pop_Census_2023!$A$2:$E$3220,4,FALSE), vlookup($D415,Pop_Census_2023!$A$2:$E$3220,5,FALSE))</f>
        <v>25222</v>
      </c>
      <c r="F415" s="32">
        <v>352213.0</v>
      </c>
      <c r="G415" s="32">
        <v>94.0</v>
      </c>
      <c r="H415" s="32" t="str">
        <f>VLOOKUP(D415, Grid_Region_Mapping!$D$2:$F$5286, 3, FALSE)</f>
        <v>SRSE</v>
      </c>
      <c r="I415" s="32">
        <v>5.0</v>
      </c>
      <c r="J415" s="34" t="str">
        <f t="shared" si="1"/>
        <v>South</v>
      </c>
      <c r="K415" s="35">
        <v>4.0</v>
      </c>
      <c r="L415" s="35" t="s">
        <v>223</v>
      </c>
      <c r="M415" s="36">
        <f>VLOOKUP(D415, County_Data_CZones!$B$2:$F$3236, 2, FALSE)</f>
        <v>4</v>
      </c>
      <c r="N415" s="37" t="str">
        <f>VLOOKUP(D415, County_Data_CZones!$B$2:$F$3236, 5, FALSE)</f>
        <v>Mixed-Humid</v>
      </c>
    </row>
    <row r="416" ht="15.75" customHeight="1">
      <c r="A416" s="32" t="s">
        <v>112</v>
      </c>
      <c r="B416" s="32" t="s">
        <v>461</v>
      </c>
      <c r="C416" s="32" t="str">
        <f>vlookup(B416,State_EMM_RowSums!$A$2:$B$52,2,FALSE)</f>
        <v>GA</v>
      </c>
      <c r="D416" s="32">
        <v>13057.0</v>
      </c>
      <c r="E416" s="33">
        <f>IF(NOT(ISBLANK(vlookup($D416,Pop_Census_2023!$A$2:$E$3220,4,FALSE))),vlookup($D416,Pop_Census_2023!$A$2:$E$3220,4,FALSE), vlookup($D416,Pop_Census_2023!$A$2:$E$3220,5,FALSE))</f>
        <v>286602</v>
      </c>
      <c r="F416" s="32">
        <v>1685718.0</v>
      </c>
      <c r="G416" s="32">
        <v>94.0</v>
      </c>
      <c r="H416" s="32" t="str">
        <f>VLOOKUP(D416, Grid_Region_Mapping!$D$2:$F$5286, 3, FALSE)</f>
        <v>SRSE</v>
      </c>
      <c r="I416" s="32">
        <v>5.0</v>
      </c>
      <c r="J416" s="34" t="str">
        <f t="shared" si="1"/>
        <v>South</v>
      </c>
      <c r="K416" s="35">
        <v>4.0</v>
      </c>
      <c r="L416" s="35" t="s">
        <v>102</v>
      </c>
      <c r="M416" s="36">
        <f>VLOOKUP(D416, County_Data_CZones!$B$2:$F$3236, 2, FALSE)</f>
        <v>3</v>
      </c>
      <c r="N416" s="37" t="str">
        <f>VLOOKUP(D416, County_Data_CZones!$B$2:$F$3236, 5, FALSE)</f>
        <v>Mixed-Humid</v>
      </c>
    </row>
    <row r="417" ht="15.75" customHeight="1">
      <c r="A417" s="32" t="s">
        <v>115</v>
      </c>
      <c r="B417" s="32" t="s">
        <v>461</v>
      </c>
      <c r="C417" s="32" t="str">
        <f>vlookup(B417,State_EMM_RowSums!$A$2:$B$52,2,FALSE)</f>
        <v>GA</v>
      </c>
      <c r="D417" s="32">
        <v>13059.0</v>
      </c>
      <c r="E417" s="33">
        <f>IF(NOT(ISBLANK(vlookup($D417,Pop_Census_2023!$A$2:$E$3220,4,FALSE))),vlookup($D417,Pop_Census_2023!$A$2:$E$3220,4,FALSE), vlookup($D417,Pop_Census_2023!$A$2:$E$3220,5,FALSE))</f>
        <v>129933</v>
      </c>
      <c r="F417" s="32">
        <v>1672699.0</v>
      </c>
      <c r="G417" s="32">
        <v>94.0</v>
      </c>
      <c r="H417" s="32" t="str">
        <f>VLOOKUP(D417, Grid_Region_Mapping!$D$2:$F$5286, 3, FALSE)</f>
        <v>SRSE</v>
      </c>
      <c r="I417" s="32">
        <v>5.0</v>
      </c>
      <c r="J417" s="34" t="str">
        <f t="shared" si="1"/>
        <v>South</v>
      </c>
      <c r="K417" s="35">
        <v>4.0</v>
      </c>
      <c r="L417" s="35" t="s">
        <v>102</v>
      </c>
      <c r="M417" s="36">
        <f>VLOOKUP(D417, County_Data_CZones!$B$2:$F$3236, 2, FALSE)</f>
        <v>3</v>
      </c>
      <c r="N417" s="37" t="str">
        <f>VLOOKUP(D417, County_Data_CZones!$B$2:$F$3236, 5, FALSE)</f>
        <v>Mixed-Humid</v>
      </c>
    </row>
    <row r="418" ht="15.75" customHeight="1">
      <c r="A418" s="32" t="s">
        <v>116</v>
      </c>
      <c r="B418" s="32" t="s">
        <v>461</v>
      </c>
      <c r="C418" s="32" t="str">
        <f>vlookup(B418,State_EMM_RowSums!$A$2:$B$52,2,FALSE)</f>
        <v>GA</v>
      </c>
      <c r="D418" s="32">
        <v>13061.0</v>
      </c>
      <c r="E418" s="33">
        <f>IF(NOT(ISBLANK(vlookup($D418,Pop_Census_2023!$A$2:$E$3220,4,FALSE))),vlookup($D418,Pop_Census_2023!$A$2:$E$3220,4,FALSE), vlookup($D418,Pop_Census_2023!$A$2:$E$3220,5,FALSE))</f>
        <v>2853</v>
      </c>
      <c r="F418" s="32">
        <v>344805.0</v>
      </c>
      <c r="G418" s="32">
        <v>94.0</v>
      </c>
      <c r="H418" s="32" t="str">
        <f>VLOOKUP(D418, Grid_Region_Mapping!$D$2:$F$5286, 3, FALSE)</f>
        <v>SRSE</v>
      </c>
      <c r="I418" s="32">
        <v>5.0</v>
      </c>
      <c r="J418" s="34" t="str">
        <f t="shared" si="1"/>
        <v>South</v>
      </c>
      <c r="K418" s="35">
        <v>5.0</v>
      </c>
      <c r="L418" s="35" t="s">
        <v>102</v>
      </c>
      <c r="M418" s="36">
        <f>VLOOKUP(D418, County_Data_CZones!$B$2:$F$3236, 2, FALSE)</f>
        <v>3</v>
      </c>
      <c r="N418" s="37" t="str">
        <f>VLOOKUP(D418, County_Data_CZones!$B$2:$F$3236, 5, FALSE)</f>
        <v>Hot-Humid</v>
      </c>
    </row>
    <row r="419" ht="15.75" customHeight="1">
      <c r="A419" s="32" t="s">
        <v>483</v>
      </c>
      <c r="B419" s="32" t="s">
        <v>461</v>
      </c>
      <c r="C419" s="32" t="str">
        <f>vlookup(B419,State_EMM_RowSums!$A$2:$B$52,2,FALSE)</f>
        <v>GA</v>
      </c>
      <c r="D419" s="32">
        <v>13063.0</v>
      </c>
      <c r="E419" s="33">
        <f>IF(NOT(ISBLANK(vlookup($D419,Pop_Census_2023!$A$2:$E$3220,4,FALSE))),vlookup($D419,Pop_Census_2023!$A$2:$E$3220,4,FALSE), vlookup($D419,Pop_Census_2023!$A$2:$E$3220,5,FALSE))</f>
        <v>298300</v>
      </c>
      <c r="F419" s="32">
        <v>1672399.0</v>
      </c>
      <c r="G419" s="32">
        <v>94.0</v>
      </c>
      <c r="H419" s="32" t="str">
        <f>VLOOKUP(D419, Grid_Region_Mapping!$D$2:$F$5286, 3, FALSE)</f>
        <v>SRSE</v>
      </c>
      <c r="I419" s="32">
        <v>5.0</v>
      </c>
      <c r="J419" s="34" t="str">
        <f t="shared" si="1"/>
        <v>South</v>
      </c>
      <c r="K419" s="35">
        <v>4.0</v>
      </c>
      <c r="L419" s="35" t="s">
        <v>102</v>
      </c>
      <c r="M419" s="36">
        <f>VLOOKUP(D419, County_Data_CZones!$B$2:$F$3236, 2, FALSE)</f>
        <v>3</v>
      </c>
      <c r="N419" s="37" t="str">
        <f>VLOOKUP(D419, County_Data_CZones!$B$2:$F$3236, 5, FALSE)</f>
        <v>Mixed-Humid</v>
      </c>
    </row>
    <row r="420" ht="15.75" customHeight="1">
      <c r="A420" s="32" t="s">
        <v>484</v>
      </c>
      <c r="B420" s="32" t="s">
        <v>461</v>
      </c>
      <c r="C420" s="32" t="str">
        <f>vlookup(B420,State_EMM_RowSums!$A$2:$B$52,2,FALSE)</f>
        <v>GA</v>
      </c>
      <c r="D420" s="32">
        <v>13065.0</v>
      </c>
      <c r="E420" s="33">
        <f>IF(NOT(ISBLANK(vlookup($D420,Pop_Census_2023!$A$2:$E$3220,4,FALSE))),vlookup($D420,Pop_Census_2023!$A$2:$E$3220,4,FALSE), vlookup($D420,Pop_Census_2023!$A$2:$E$3220,5,FALSE))</f>
        <v>6746</v>
      </c>
      <c r="F420" s="32">
        <v>351285.0</v>
      </c>
      <c r="G420" s="32">
        <v>94.0</v>
      </c>
      <c r="H420" s="32" t="str">
        <f>VLOOKUP(D420, Grid_Region_Mapping!$D$2:$F$5286, 3, FALSE)</f>
        <v>SRSE</v>
      </c>
      <c r="I420" s="32">
        <v>5.0</v>
      </c>
      <c r="J420" s="34" t="str">
        <f t="shared" si="1"/>
        <v>South</v>
      </c>
      <c r="K420" s="35">
        <v>5.0</v>
      </c>
      <c r="L420" s="35" t="s">
        <v>104</v>
      </c>
      <c r="M420" s="36">
        <f>VLOOKUP(D420, County_Data_CZones!$B$2:$F$3236, 2, FALSE)</f>
        <v>2</v>
      </c>
      <c r="N420" s="37" t="str">
        <f>VLOOKUP(D420, County_Data_CZones!$B$2:$F$3236, 5, FALSE)</f>
        <v>Hot-Humid</v>
      </c>
    </row>
    <row r="421" ht="15.75" customHeight="1">
      <c r="A421" s="32" t="s">
        <v>485</v>
      </c>
      <c r="B421" s="32" t="s">
        <v>461</v>
      </c>
      <c r="C421" s="32" t="str">
        <f>vlookup(B421,State_EMM_RowSums!$A$2:$B$52,2,FALSE)</f>
        <v>GA</v>
      </c>
      <c r="D421" s="32">
        <v>13067.0</v>
      </c>
      <c r="E421" s="33">
        <f>IF(NOT(ISBLANK(vlookup($D421,Pop_Census_2023!$A$2:$E$3220,4,FALSE))),vlookup($D421,Pop_Census_2023!$A$2:$E$3220,4,FALSE), vlookup($D421,Pop_Census_2023!$A$2:$E$3220,5,FALSE))</f>
        <v>776743</v>
      </c>
      <c r="F421" s="32">
        <v>1686112.0</v>
      </c>
      <c r="G421" s="32">
        <v>94.0</v>
      </c>
      <c r="H421" s="32" t="str">
        <f>VLOOKUP(D421, Grid_Region_Mapping!$D$2:$F$5286, 3, FALSE)</f>
        <v>SRSE</v>
      </c>
      <c r="I421" s="32">
        <v>5.0</v>
      </c>
      <c r="J421" s="34" t="str">
        <f t="shared" si="1"/>
        <v>South</v>
      </c>
      <c r="K421" s="35">
        <v>4.0</v>
      </c>
      <c r="L421" s="35" t="s">
        <v>102</v>
      </c>
      <c r="M421" s="36">
        <f>VLOOKUP(D421, County_Data_CZones!$B$2:$F$3236, 2, FALSE)</f>
        <v>3</v>
      </c>
      <c r="N421" s="37" t="str">
        <f>VLOOKUP(D421, County_Data_CZones!$B$2:$F$3236, 5, FALSE)</f>
        <v>Mixed-Humid</v>
      </c>
    </row>
    <row r="422" ht="15.75" customHeight="1">
      <c r="A422" s="32" t="s">
        <v>118</v>
      </c>
      <c r="B422" s="32" t="s">
        <v>461</v>
      </c>
      <c r="C422" s="32" t="str">
        <f>vlookup(B422,State_EMM_RowSums!$A$2:$B$52,2,FALSE)</f>
        <v>GA</v>
      </c>
      <c r="D422" s="32">
        <v>13069.0</v>
      </c>
      <c r="E422" s="33">
        <f>IF(NOT(ISBLANK(vlookup($D422,Pop_Census_2023!$A$2:$E$3220,4,FALSE))),vlookup($D422,Pop_Census_2023!$A$2:$E$3220,4,FALSE), vlookup($D422,Pop_Census_2023!$A$2:$E$3220,5,FALSE))</f>
        <v>43317</v>
      </c>
      <c r="F422" s="32">
        <v>347456.0</v>
      </c>
      <c r="G422" s="32">
        <v>94.0</v>
      </c>
      <c r="H422" s="32" t="str">
        <f>VLOOKUP(D422, Grid_Region_Mapping!$D$2:$F$5286, 3, FALSE)</f>
        <v>SRSE</v>
      </c>
      <c r="I422" s="32">
        <v>5.0</v>
      </c>
      <c r="J422" s="34" t="str">
        <f t="shared" si="1"/>
        <v>South</v>
      </c>
      <c r="K422" s="35">
        <v>5.0</v>
      </c>
      <c r="L422" s="35" t="s">
        <v>102</v>
      </c>
      <c r="M422" s="36">
        <f>VLOOKUP(D422, County_Data_CZones!$B$2:$F$3236, 2, FALSE)</f>
        <v>3</v>
      </c>
      <c r="N422" s="37" t="str">
        <f>VLOOKUP(D422, County_Data_CZones!$B$2:$F$3236, 5, FALSE)</f>
        <v>Hot-Humid</v>
      </c>
    </row>
    <row r="423" ht="15.75" customHeight="1">
      <c r="A423" s="32" t="s">
        <v>486</v>
      </c>
      <c r="B423" s="32" t="s">
        <v>461</v>
      </c>
      <c r="C423" s="32" t="str">
        <f>vlookup(B423,State_EMM_RowSums!$A$2:$B$52,2,FALSE)</f>
        <v>GA</v>
      </c>
      <c r="D423" s="32">
        <v>13071.0</v>
      </c>
      <c r="E423" s="33">
        <f>IF(NOT(ISBLANK(vlookup($D423,Pop_Census_2023!$A$2:$E$3220,4,FALSE))),vlookup($D423,Pop_Census_2023!$A$2:$E$3220,4,FALSE), vlookup($D423,Pop_Census_2023!$A$2:$E$3220,5,FALSE))</f>
        <v>46167</v>
      </c>
      <c r="F423" s="32">
        <v>343936.0</v>
      </c>
      <c r="G423" s="32">
        <v>94.0</v>
      </c>
      <c r="H423" s="32" t="str">
        <f>VLOOKUP(D423, Grid_Region_Mapping!$D$2:$F$5286, 3, FALSE)</f>
        <v>SRSE</v>
      </c>
      <c r="I423" s="32">
        <v>5.0</v>
      </c>
      <c r="J423" s="34" t="str">
        <f t="shared" si="1"/>
        <v>South</v>
      </c>
      <c r="K423" s="35">
        <v>5.0</v>
      </c>
      <c r="L423" s="35" t="s">
        <v>104</v>
      </c>
      <c r="M423" s="36">
        <f>VLOOKUP(D423, County_Data_CZones!$B$2:$F$3236, 2, FALSE)</f>
        <v>2</v>
      </c>
      <c r="N423" s="37" t="str">
        <f>VLOOKUP(D423, County_Data_CZones!$B$2:$F$3236, 5, FALSE)</f>
        <v>Hot-Humid</v>
      </c>
    </row>
    <row r="424" ht="15.75" customHeight="1">
      <c r="A424" s="32" t="s">
        <v>231</v>
      </c>
      <c r="B424" s="32" t="s">
        <v>461</v>
      </c>
      <c r="C424" s="32" t="str">
        <f>vlookup(B424,State_EMM_RowSums!$A$2:$B$52,2,FALSE)</f>
        <v>GA</v>
      </c>
      <c r="D424" s="32">
        <v>13073.0</v>
      </c>
      <c r="E424" s="33">
        <f>IF(NOT(ISBLANK(vlookup($D424,Pop_Census_2023!$A$2:$E$3220,4,FALSE))),vlookup($D424,Pop_Census_2023!$A$2:$E$3220,4,FALSE), vlookup($D424,Pop_Census_2023!$A$2:$E$3220,5,FALSE))</f>
        <v>165162</v>
      </c>
      <c r="F424" s="32">
        <v>348865.0</v>
      </c>
      <c r="G424" s="32">
        <v>94.0</v>
      </c>
      <c r="H424" s="32" t="str">
        <f>VLOOKUP(D424, Grid_Region_Mapping!$D$2:$F$5286, 3, FALSE)</f>
        <v>SRSE</v>
      </c>
      <c r="I424" s="32">
        <v>5.0</v>
      </c>
      <c r="J424" s="34" t="str">
        <f t="shared" si="1"/>
        <v>South</v>
      </c>
      <c r="K424" s="35">
        <v>4.0</v>
      </c>
      <c r="L424" s="35" t="s">
        <v>102</v>
      </c>
      <c r="M424" s="36">
        <f>VLOOKUP(D424, County_Data_CZones!$B$2:$F$3236, 2, FALSE)</f>
        <v>3</v>
      </c>
      <c r="N424" s="37" t="str">
        <f>VLOOKUP(D424, County_Data_CZones!$B$2:$F$3236, 5, FALSE)</f>
        <v>Mixed-Humid</v>
      </c>
    </row>
    <row r="425" ht="15.75" customHeight="1">
      <c r="A425" s="32" t="s">
        <v>487</v>
      </c>
      <c r="B425" s="32" t="s">
        <v>461</v>
      </c>
      <c r="C425" s="32" t="str">
        <f>vlookup(B425,State_EMM_RowSums!$A$2:$B$52,2,FALSE)</f>
        <v>GA</v>
      </c>
      <c r="D425" s="32">
        <v>13075.0</v>
      </c>
      <c r="E425" s="33">
        <f>IF(NOT(ISBLANK(vlookup($D425,Pop_Census_2023!$A$2:$E$3220,4,FALSE))),vlookup($D425,Pop_Census_2023!$A$2:$E$3220,4,FALSE), vlookup($D425,Pop_Census_2023!$A$2:$E$3220,5,FALSE))</f>
        <v>17714</v>
      </c>
      <c r="F425" s="32">
        <v>343878.0</v>
      </c>
      <c r="G425" s="32">
        <v>94.0</v>
      </c>
      <c r="H425" s="32" t="str">
        <f>VLOOKUP(D425, Grid_Region_Mapping!$D$2:$F$5286, 3, FALSE)</f>
        <v>SRSE</v>
      </c>
      <c r="I425" s="32">
        <v>5.0</v>
      </c>
      <c r="J425" s="34" t="str">
        <f t="shared" si="1"/>
        <v>South</v>
      </c>
      <c r="K425" s="35">
        <v>5.0</v>
      </c>
      <c r="L425" s="35" t="s">
        <v>104</v>
      </c>
      <c r="M425" s="36">
        <f>VLOOKUP(D425, County_Data_CZones!$B$2:$F$3236, 2, FALSE)</f>
        <v>2</v>
      </c>
      <c r="N425" s="37" t="str">
        <f>VLOOKUP(D425, County_Data_CZones!$B$2:$F$3236, 5, FALSE)</f>
        <v>Hot-Humid</v>
      </c>
    </row>
    <row r="426" ht="15.75" customHeight="1">
      <c r="A426" s="32" t="s">
        <v>488</v>
      </c>
      <c r="B426" s="32" t="s">
        <v>461</v>
      </c>
      <c r="C426" s="32" t="str">
        <f>vlookup(B426,State_EMM_RowSums!$A$2:$B$52,2,FALSE)</f>
        <v>GA</v>
      </c>
      <c r="D426" s="32">
        <v>13077.0</v>
      </c>
      <c r="E426" s="33">
        <f>IF(NOT(ISBLANK(vlookup($D426,Pop_Census_2023!$A$2:$E$3220,4,FALSE))),vlookup($D426,Pop_Census_2023!$A$2:$E$3220,4,FALSE), vlookup($D426,Pop_Census_2023!$A$2:$E$3220,5,FALSE))</f>
        <v>155892</v>
      </c>
      <c r="F426" s="32">
        <v>326666.0</v>
      </c>
      <c r="G426" s="32">
        <v>94.0</v>
      </c>
      <c r="H426" s="32" t="str">
        <f>VLOOKUP(D426, Grid_Region_Mapping!$D$2:$F$5286, 3, FALSE)</f>
        <v>SRSE</v>
      </c>
      <c r="I426" s="32">
        <v>5.0</v>
      </c>
      <c r="J426" s="34" t="str">
        <f t="shared" si="1"/>
        <v>South</v>
      </c>
      <c r="K426" s="35">
        <v>4.0</v>
      </c>
      <c r="L426" s="35" t="s">
        <v>102</v>
      </c>
      <c r="M426" s="36">
        <f>VLOOKUP(D426, County_Data_CZones!$B$2:$F$3236, 2, FALSE)</f>
        <v>3</v>
      </c>
      <c r="N426" s="37" t="str">
        <f>VLOOKUP(D426, County_Data_CZones!$B$2:$F$3236, 5, FALSE)</f>
        <v>Mixed-Humid</v>
      </c>
    </row>
    <row r="427" ht="15.75" customHeight="1">
      <c r="A427" s="32" t="s">
        <v>234</v>
      </c>
      <c r="B427" s="32" t="s">
        <v>461</v>
      </c>
      <c r="C427" s="32" t="str">
        <f>vlookup(B427,State_EMM_RowSums!$A$2:$B$52,2,FALSE)</f>
        <v>GA</v>
      </c>
      <c r="D427" s="32">
        <v>13079.0</v>
      </c>
      <c r="E427" s="33">
        <f>IF(NOT(ISBLANK(vlookup($D427,Pop_Census_2023!$A$2:$E$3220,4,FALSE))),vlookup($D427,Pop_Census_2023!$A$2:$E$3220,4,FALSE), vlookup($D427,Pop_Census_2023!$A$2:$E$3220,5,FALSE))</f>
        <v>12277</v>
      </c>
      <c r="F427" s="32">
        <v>342918.0</v>
      </c>
      <c r="G427" s="32">
        <v>94.0</v>
      </c>
      <c r="H427" s="32" t="str">
        <f>VLOOKUP(D427, Grid_Region_Mapping!$D$2:$F$5286, 3, FALSE)</f>
        <v>SRSE</v>
      </c>
      <c r="I427" s="32">
        <v>5.0</v>
      </c>
      <c r="J427" s="34" t="str">
        <f t="shared" si="1"/>
        <v>South</v>
      </c>
      <c r="K427" s="35">
        <v>5.0</v>
      </c>
      <c r="L427" s="35" t="s">
        <v>102</v>
      </c>
      <c r="M427" s="36">
        <f>VLOOKUP(D427, County_Data_CZones!$B$2:$F$3236, 2, FALSE)</f>
        <v>3</v>
      </c>
      <c r="N427" s="37" t="str">
        <f>VLOOKUP(D427, County_Data_CZones!$B$2:$F$3236, 5, FALSE)</f>
        <v>Mixed-Humid</v>
      </c>
    </row>
    <row r="428" ht="15.75" customHeight="1">
      <c r="A428" s="32" t="s">
        <v>489</v>
      </c>
      <c r="B428" s="32" t="s">
        <v>461</v>
      </c>
      <c r="C428" s="32" t="str">
        <f>vlookup(B428,State_EMM_RowSums!$A$2:$B$52,2,FALSE)</f>
        <v>GA</v>
      </c>
      <c r="D428" s="32">
        <v>13081.0</v>
      </c>
      <c r="E428" s="33">
        <f>IF(NOT(ISBLANK(vlookup($D428,Pop_Census_2023!$A$2:$E$3220,4,FALSE))),vlookup($D428,Pop_Census_2023!$A$2:$E$3220,4,FALSE), vlookup($D428,Pop_Census_2023!$A$2:$E$3220,5,FALSE))</f>
        <v>19631</v>
      </c>
      <c r="F428" s="32">
        <v>351607.0</v>
      </c>
      <c r="G428" s="32">
        <v>94.0</v>
      </c>
      <c r="H428" s="32" t="str">
        <f>VLOOKUP(D428, Grid_Region_Mapping!$D$2:$F$5286, 3, FALSE)</f>
        <v>SRSE</v>
      </c>
      <c r="I428" s="32">
        <v>5.0</v>
      </c>
      <c r="J428" s="34" t="str">
        <f t="shared" si="1"/>
        <v>South</v>
      </c>
      <c r="K428" s="35">
        <v>5.0</v>
      </c>
      <c r="L428" s="35" t="s">
        <v>102</v>
      </c>
      <c r="M428" s="36">
        <f>VLOOKUP(D428, County_Data_CZones!$B$2:$F$3236, 2, FALSE)</f>
        <v>3</v>
      </c>
      <c r="N428" s="37" t="str">
        <f>VLOOKUP(D428, County_Data_CZones!$B$2:$F$3236, 5, FALSE)</f>
        <v>Hot-Humid</v>
      </c>
    </row>
    <row r="429" ht="15.75" customHeight="1">
      <c r="A429" s="32" t="s">
        <v>490</v>
      </c>
      <c r="B429" s="32" t="s">
        <v>461</v>
      </c>
      <c r="C429" s="32" t="str">
        <f>vlookup(B429,State_EMM_RowSums!$A$2:$B$52,2,FALSE)</f>
        <v>GA</v>
      </c>
      <c r="D429" s="32">
        <v>13083.0</v>
      </c>
      <c r="E429" s="33">
        <f>IF(NOT(ISBLANK(vlookup($D429,Pop_Census_2023!$A$2:$E$3220,4,FALSE))),vlookup($D429,Pop_Census_2023!$A$2:$E$3220,4,FALSE), vlookup($D429,Pop_Census_2023!$A$2:$E$3220,5,FALSE))</f>
        <v>16165</v>
      </c>
      <c r="F429" s="32">
        <v>347465.0</v>
      </c>
      <c r="G429" s="32">
        <v>94.0</v>
      </c>
      <c r="H429" s="32" t="str">
        <f>VLOOKUP(D429, Grid_Region_Mapping!$D$2:$F$5286, 3, FALSE)</f>
        <v>SRCE</v>
      </c>
      <c r="I429" s="32">
        <v>5.0</v>
      </c>
      <c r="J429" s="34" t="str">
        <f t="shared" si="1"/>
        <v>South</v>
      </c>
      <c r="K429" s="35">
        <v>4.0</v>
      </c>
      <c r="L429" s="35" t="s">
        <v>223</v>
      </c>
      <c r="M429" s="36">
        <f>VLOOKUP(D429, County_Data_CZones!$B$2:$F$3236, 2, FALSE)</f>
        <v>4</v>
      </c>
      <c r="N429" s="37" t="str">
        <f>VLOOKUP(D429, County_Data_CZones!$B$2:$F$3236, 5, FALSE)</f>
        <v>Mixed-Humid</v>
      </c>
    </row>
    <row r="430" ht="15.75" customHeight="1">
      <c r="A430" s="32" t="s">
        <v>491</v>
      </c>
      <c r="B430" s="32" t="s">
        <v>461</v>
      </c>
      <c r="C430" s="32" t="str">
        <f>vlookup(B430,State_EMM_RowSums!$A$2:$B$52,2,FALSE)</f>
        <v>GA</v>
      </c>
      <c r="D430" s="32">
        <v>13085.0</v>
      </c>
      <c r="E430" s="33">
        <f>IF(NOT(ISBLANK(vlookup($D430,Pop_Census_2023!$A$2:$E$3220,4,FALSE))),vlookup($D430,Pop_Census_2023!$A$2:$E$3220,4,FALSE), vlookup($D430,Pop_Census_2023!$A$2:$E$3220,5,FALSE))</f>
        <v>31732</v>
      </c>
      <c r="F430" s="32">
        <v>351312.0</v>
      </c>
      <c r="G430" s="32">
        <v>94.0</v>
      </c>
      <c r="H430" s="32" t="str">
        <f>VLOOKUP(D430, Grid_Region_Mapping!$D$2:$F$5286, 3, FALSE)</f>
        <v>SRSE</v>
      </c>
      <c r="I430" s="32">
        <v>5.0</v>
      </c>
      <c r="J430" s="34" t="str">
        <f t="shared" si="1"/>
        <v>South</v>
      </c>
      <c r="K430" s="35">
        <v>4.0</v>
      </c>
      <c r="L430" s="35" t="s">
        <v>223</v>
      </c>
      <c r="M430" s="36">
        <f>VLOOKUP(D430, County_Data_CZones!$B$2:$F$3236, 2, FALSE)</f>
        <v>4</v>
      </c>
      <c r="N430" s="37" t="str">
        <f>VLOOKUP(D430, County_Data_CZones!$B$2:$F$3236, 5, FALSE)</f>
        <v>Mixed-Humid</v>
      </c>
    </row>
    <row r="431" ht="15.75" customHeight="1">
      <c r="A431" s="32" t="s">
        <v>492</v>
      </c>
      <c r="B431" s="32" t="s">
        <v>461</v>
      </c>
      <c r="C431" s="32" t="str">
        <f>vlookup(B431,State_EMM_RowSums!$A$2:$B$52,2,FALSE)</f>
        <v>GA</v>
      </c>
      <c r="D431" s="32">
        <v>13087.0</v>
      </c>
      <c r="E431" s="33">
        <f>IF(NOT(ISBLANK(vlookup($D431,Pop_Census_2023!$A$2:$E$3220,4,FALSE))),vlookup($D431,Pop_Census_2023!$A$2:$E$3220,4,FALSE), vlookup($D431,Pop_Census_2023!$A$2:$E$3220,5,FALSE))</f>
        <v>29087</v>
      </c>
      <c r="F431" s="32">
        <v>352234.0</v>
      </c>
      <c r="G431" s="32">
        <v>94.0</v>
      </c>
      <c r="H431" s="32" t="str">
        <f>VLOOKUP(D431, Grid_Region_Mapping!$D$2:$F$5286, 3, FALSE)</f>
        <v>SRSE</v>
      </c>
      <c r="I431" s="32">
        <v>5.0</v>
      </c>
      <c r="J431" s="34" t="str">
        <f t="shared" si="1"/>
        <v>South</v>
      </c>
      <c r="K431" s="35">
        <v>5.0</v>
      </c>
      <c r="L431" s="35" t="s">
        <v>104</v>
      </c>
      <c r="M431" s="36">
        <f>VLOOKUP(D431, County_Data_CZones!$B$2:$F$3236, 2, FALSE)</f>
        <v>2</v>
      </c>
      <c r="N431" s="37" t="str">
        <f>VLOOKUP(D431, County_Data_CZones!$B$2:$F$3236, 5, FALSE)</f>
        <v>Hot-Humid</v>
      </c>
    </row>
    <row r="432" ht="15.75" customHeight="1">
      <c r="A432" s="32" t="s">
        <v>127</v>
      </c>
      <c r="B432" s="32" t="s">
        <v>461</v>
      </c>
      <c r="C432" s="32" t="str">
        <f>vlookup(B432,State_EMM_RowSums!$A$2:$B$52,2,FALSE)</f>
        <v>GA</v>
      </c>
      <c r="D432" s="32">
        <v>13089.0</v>
      </c>
      <c r="E432" s="33">
        <f>IF(NOT(ISBLANK(vlookup($D432,Pop_Census_2023!$A$2:$E$3220,4,FALSE))),vlookup($D432,Pop_Census_2023!$A$2:$E$3220,4,FALSE), vlookup($D432,Pop_Census_2023!$A$2:$E$3220,5,FALSE))</f>
        <v>762992</v>
      </c>
      <c r="F432" s="32">
        <v>1687424.0</v>
      </c>
      <c r="G432" s="32">
        <v>94.0</v>
      </c>
      <c r="H432" s="32" t="str">
        <f>VLOOKUP(D432, Grid_Region_Mapping!$D$2:$F$5286, 3, FALSE)</f>
        <v>SRSE</v>
      </c>
      <c r="I432" s="32">
        <v>5.0</v>
      </c>
      <c r="J432" s="34" t="str">
        <f t="shared" si="1"/>
        <v>South</v>
      </c>
      <c r="K432" s="35">
        <v>4.0</v>
      </c>
      <c r="L432" s="35" t="s">
        <v>102</v>
      </c>
      <c r="M432" s="36">
        <f>VLOOKUP(D432, County_Data_CZones!$B$2:$F$3236, 2, FALSE)</f>
        <v>3</v>
      </c>
      <c r="N432" s="37" t="str">
        <f>VLOOKUP(D432, County_Data_CZones!$B$2:$F$3236, 5, FALSE)</f>
        <v>Mixed-Humid</v>
      </c>
    </row>
    <row r="433" ht="15.75" customHeight="1">
      <c r="A433" s="32" t="s">
        <v>493</v>
      </c>
      <c r="B433" s="32" t="s">
        <v>461</v>
      </c>
      <c r="C433" s="32" t="str">
        <f>vlookup(B433,State_EMM_RowSums!$A$2:$B$52,2,FALSE)</f>
        <v>GA</v>
      </c>
      <c r="D433" s="32">
        <v>13091.0</v>
      </c>
      <c r="E433" s="33">
        <f>IF(NOT(ISBLANK(vlookup($D433,Pop_Census_2023!$A$2:$E$3220,4,FALSE))),vlookup($D433,Pop_Census_2023!$A$2:$E$3220,4,FALSE), vlookup($D433,Pop_Census_2023!$A$2:$E$3220,5,FALSE))</f>
        <v>19776</v>
      </c>
      <c r="F433" s="32">
        <v>348116.0</v>
      </c>
      <c r="G433" s="32">
        <v>94.0</v>
      </c>
      <c r="H433" s="32" t="str">
        <f>VLOOKUP(D433, Grid_Region_Mapping!$D$2:$F$5286, 3, FALSE)</f>
        <v>SRSE</v>
      </c>
      <c r="I433" s="32">
        <v>5.0</v>
      </c>
      <c r="J433" s="34" t="str">
        <f t="shared" si="1"/>
        <v>South</v>
      </c>
      <c r="K433" s="35">
        <v>5.0</v>
      </c>
      <c r="L433" s="35" t="s">
        <v>102</v>
      </c>
      <c r="M433" s="36">
        <f>VLOOKUP(D433, County_Data_CZones!$B$2:$F$3236, 2, FALSE)</f>
        <v>3</v>
      </c>
      <c r="N433" s="37" t="str">
        <f>VLOOKUP(D433, County_Data_CZones!$B$2:$F$3236, 5, FALSE)</f>
        <v>Hot-Humid</v>
      </c>
    </row>
    <row r="434" ht="15.75" customHeight="1">
      <c r="A434" s="32" t="s">
        <v>494</v>
      </c>
      <c r="B434" s="32" t="s">
        <v>461</v>
      </c>
      <c r="C434" s="32" t="str">
        <f>vlookup(B434,State_EMM_RowSums!$A$2:$B$52,2,FALSE)</f>
        <v>GA</v>
      </c>
      <c r="D434" s="32">
        <v>13093.0</v>
      </c>
      <c r="E434" s="33">
        <f>IF(NOT(ISBLANK(vlookup($D434,Pop_Census_2023!$A$2:$E$3220,4,FALSE))),vlookup($D434,Pop_Census_2023!$A$2:$E$3220,4,FALSE), vlookup($D434,Pop_Census_2023!$A$2:$E$3220,5,FALSE))</f>
        <v>10981</v>
      </c>
      <c r="F434" s="32">
        <v>351608.0</v>
      </c>
      <c r="G434" s="32">
        <v>94.0</v>
      </c>
      <c r="H434" s="32" t="str">
        <f>VLOOKUP(D434, Grid_Region_Mapping!$D$2:$F$5286, 3, FALSE)</f>
        <v>SRSE</v>
      </c>
      <c r="I434" s="32">
        <v>5.0</v>
      </c>
      <c r="J434" s="34" t="str">
        <f t="shared" si="1"/>
        <v>South</v>
      </c>
      <c r="K434" s="35">
        <v>5.0</v>
      </c>
      <c r="L434" s="35" t="s">
        <v>102</v>
      </c>
      <c r="M434" s="36">
        <f>VLOOKUP(D434, County_Data_CZones!$B$2:$F$3236, 2, FALSE)</f>
        <v>3</v>
      </c>
      <c r="N434" s="37" t="str">
        <f>VLOOKUP(D434, County_Data_CZones!$B$2:$F$3236, 5, FALSE)</f>
        <v>Hot-Humid</v>
      </c>
    </row>
    <row r="435" ht="15.75" customHeight="1">
      <c r="A435" s="32" t="s">
        <v>495</v>
      </c>
      <c r="B435" s="32" t="s">
        <v>461</v>
      </c>
      <c r="C435" s="32" t="str">
        <f>vlookup(B435,State_EMM_RowSums!$A$2:$B$52,2,FALSE)</f>
        <v>GA</v>
      </c>
      <c r="D435" s="32">
        <v>13095.0</v>
      </c>
      <c r="E435" s="33">
        <f>IF(NOT(ISBLANK(vlookup($D435,Pop_Census_2023!$A$2:$E$3220,4,FALSE))),vlookup($D435,Pop_Census_2023!$A$2:$E$3220,4,FALSE), vlookup($D435,Pop_Census_2023!$A$2:$E$3220,5,FALSE))</f>
        <v>82645</v>
      </c>
      <c r="F435" s="32">
        <v>351259.0</v>
      </c>
      <c r="G435" s="32">
        <v>94.0</v>
      </c>
      <c r="H435" s="32" t="str">
        <f>VLOOKUP(D435, Grid_Region_Mapping!$D$2:$F$5286, 3, FALSE)</f>
        <v>SRSE</v>
      </c>
      <c r="I435" s="32">
        <v>5.0</v>
      </c>
      <c r="J435" s="34" t="str">
        <f t="shared" si="1"/>
        <v>South</v>
      </c>
      <c r="K435" s="35">
        <v>5.0</v>
      </c>
      <c r="L435" s="35" t="s">
        <v>102</v>
      </c>
      <c r="M435" s="36">
        <f>VLOOKUP(D435, County_Data_CZones!$B$2:$F$3236, 2, FALSE)</f>
        <v>3</v>
      </c>
      <c r="N435" s="37" t="str">
        <f>VLOOKUP(D435, County_Data_CZones!$B$2:$F$3236, 5, FALSE)</f>
        <v>Hot-Humid</v>
      </c>
    </row>
    <row r="436" ht="15.75" customHeight="1">
      <c r="A436" s="32" t="s">
        <v>357</v>
      </c>
      <c r="B436" s="32" t="s">
        <v>461</v>
      </c>
      <c r="C436" s="32" t="str">
        <f>vlookup(B436,State_EMM_RowSums!$A$2:$B$52,2,FALSE)</f>
        <v>GA</v>
      </c>
      <c r="D436" s="32">
        <v>13097.0</v>
      </c>
      <c r="E436" s="33">
        <f>IF(NOT(ISBLANK(vlookup($D436,Pop_Census_2023!$A$2:$E$3220,4,FALSE))),vlookup($D436,Pop_Census_2023!$A$2:$E$3220,4,FALSE), vlookup($D436,Pop_Census_2023!$A$2:$E$3220,5,FALSE))</f>
        <v>149160</v>
      </c>
      <c r="F436" s="32">
        <v>1686467.0</v>
      </c>
      <c r="G436" s="32">
        <v>94.0</v>
      </c>
      <c r="H436" s="32" t="str">
        <f>VLOOKUP(D436, Grid_Region_Mapping!$D$2:$F$5286, 3, FALSE)</f>
        <v>SRSE</v>
      </c>
      <c r="I436" s="32">
        <v>5.0</v>
      </c>
      <c r="J436" s="34" t="str">
        <f t="shared" si="1"/>
        <v>South</v>
      </c>
      <c r="K436" s="35">
        <v>4.0</v>
      </c>
      <c r="L436" s="35" t="s">
        <v>102</v>
      </c>
      <c r="M436" s="36">
        <f>VLOOKUP(D436, County_Data_CZones!$B$2:$F$3236, 2, FALSE)</f>
        <v>3</v>
      </c>
      <c r="N436" s="37" t="str">
        <f>VLOOKUP(D436, County_Data_CZones!$B$2:$F$3236, 5, FALSE)</f>
        <v>Mixed-Humid</v>
      </c>
    </row>
    <row r="437" ht="15.75" customHeight="1">
      <c r="A437" s="32" t="s">
        <v>496</v>
      </c>
      <c r="B437" s="32" t="s">
        <v>461</v>
      </c>
      <c r="C437" s="32" t="str">
        <f>vlookup(B437,State_EMM_RowSums!$A$2:$B$52,2,FALSE)</f>
        <v>GA</v>
      </c>
      <c r="D437" s="32">
        <v>13099.0</v>
      </c>
      <c r="E437" s="33">
        <f>IF(NOT(ISBLANK(vlookup($D437,Pop_Census_2023!$A$2:$E$3220,4,FALSE))),vlookup($D437,Pop_Census_2023!$A$2:$E$3220,4,FALSE), vlookup($D437,Pop_Census_2023!$A$2:$E$3220,5,FALSE))</f>
        <v>10563</v>
      </c>
      <c r="F437" s="32">
        <v>345041.0</v>
      </c>
      <c r="G437" s="32">
        <v>94.0</v>
      </c>
      <c r="H437" s="32" t="str">
        <f>VLOOKUP(D437, Grid_Region_Mapping!$D$2:$F$5286, 3, FALSE)</f>
        <v>SRSE</v>
      </c>
      <c r="I437" s="32">
        <v>5.0</v>
      </c>
      <c r="J437" s="34" t="str">
        <f t="shared" si="1"/>
        <v>South</v>
      </c>
      <c r="K437" s="35">
        <v>5.0</v>
      </c>
      <c r="L437" s="35" t="s">
        <v>102</v>
      </c>
      <c r="M437" s="36">
        <f>VLOOKUP(D437, County_Data_CZones!$B$2:$F$3236, 2, FALSE)</f>
        <v>3</v>
      </c>
      <c r="N437" s="37" t="str">
        <f>VLOOKUP(D437, County_Data_CZones!$B$2:$F$3236, 5, FALSE)</f>
        <v>Hot-Humid</v>
      </c>
    </row>
    <row r="438" ht="15.75" customHeight="1">
      <c r="A438" s="32" t="s">
        <v>497</v>
      </c>
      <c r="B438" s="32" t="s">
        <v>461</v>
      </c>
      <c r="C438" s="32" t="str">
        <f>vlookup(B438,State_EMM_RowSums!$A$2:$B$52,2,FALSE)</f>
        <v>GA</v>
      </c>
      <c r="D438" s="32">
        <v>13101.0</v>
      </c>
      <c r="E438" s="33">
        <f>IF(NOT(ISBLANK(vlookup($D438,Pop_Census_2023!$A$2:$E$3220,4,FALSE))),vlookup($D438,Pop_Census_2023!$A$2:$E$3220,4,FALSE), vlookup($D438,Pop_Census_2023!$A$2:$E$3220,5,FALSE))</f>
        <v>3709</v>
      </c>
      <c r="F438" s="32">
        <v>348092.0</v>
      </c>
      <c r="G438" s="32">
        <v>94.0</v>
      </c>
      <c r="H438" s="32" t="str">
        <f>VLOOKUP(D438, Grid_Region_Mapping!$D$2:$F$5286, 3, FALSE)</f>
        <v>SRSE</v>
      </c>
      <c r="I438" s="32">
        <v>5.0</v>
      </c>
      <c r="J438" s="34" t="str">
        <f t="shared" si="1"/>
        <v>South</v>
      </c>
      <c r="K438" s="35">
        <v>5.0</v>
      </c>
      <c r="L438" s="35" t="s">
        <v>104</v>
      </c>
      <c r="M438" s="36">
        <f>VLOOKUP(D438, County_Data_CZones!$B$2:$F$3236, 2, FALSE)</f>
        <v>2</v>
      </c>
      <c r="N438" s="37" t="str">
        <f>VLOOKUP(D438, County_Data_CZones!$B$2:$F$3236, 5, FALSE)</f>
        <v>Hot-Humid</v>
      </c>
    </row>
    <row r="439" ht="15.75" customHeight="1">
      <c r="A439" s="32" t="s">
        <v>498</v>
      </c>
      <c r="B439" s="32" t="s">
        <v>461</v>
      </c>
      <c r="C439" s="32" t="str">
        <f>vlookup(B439,State_EMM_RowSums!$A$2:$B$52,2,FALSE)</f>
        <v>GA</v>
      </c>
      <c r="D439" s="32">
        <v>13103.0</v>
      </c>
      <c r="E439" s="33">
        <f>IF(NOT(ISBLANK(vlookup($D439,Pop_Census_2023!$A$2:$E$3220,4,FALSE))),vlookup($D439,Pop_Census_2023!$A$2:$E$3220,4,FALSE), vlookup($D439,Pop_Census_2023!$A$2:$E$3220,5,FALSE))</f>
        <v>71541</v>
      </c>
      <c r="F439" s="32">
        <v>350219.0</v>
      </c>
      <c r="G439" s="32">
        <v>94.0</v>
      </c>
      <c r="H439" s="32" t="str">
        <f>VLOOKUP(D439, Grid_Region_Mapping!$D$2:$F$5286, 3, FALSE)</f>
        <v>SRSE</v>
      </c>
      <c r="I439" s="32">
        <v>5.0</v>
      </c>
      <c r="J439" s="34" t="str">
        <f t="shared" si="1"/>
        <v>South</v>
      </c>
      <c r="K439" s="35">
        <v>5.0</v>
      </c>
      <c r="L439" s="35" t="s">
        <v>104</v>
      </c>
      <c r="M439" s="36">
        <f>VLOOKUP(D439, County_Data_CZones!$B$2:$F$3236, 2, FALSE)</f>
        <v>2</v>
      </c>
      <c r="N439" s="37" t="str">
        <f>VLOOKUP(D439, County_Data_CZones!$B$2:$F$3236, 5, FALSE)</f>
        <v>Hot-Humid</v>
      </c>
    </row>
    <row r="440" ht="15.75" customHeight="1">
      <c r="A440" s="32" t="s">
        <v>359</v>
      </c>
      <c r="B440" s="32" t="s">
        <v>461</v>
      </c>
      <c r="C440" s="32" t="str">
        <f>vlookup(B440,State_EMM_RowSums!$A$2:$B$52,2,FALSE)</f>
        <v>GA</v>
      </c>
      <c r="D440" s="32">
        <v>13105.0</v>
      </c>
      <c r="E440" s="33">
        <f>IF(NOT(ISBLANK(vlookup($D440,Pop_Census_2023!$A$2:$E$3220,4,FALSE))),vlookup($D440,Pop_Census_2023!$A$2:$E$3220,4,FALSE), vlookup($D440,Pop_Census_2023!$A$2:$E$3220,5,FALSE))</f>
        <v>20013</v>
      </c>
      <c r="F440" s="32">
        <v>347828.0</v>
      </c>
      <c r="G440" s="32">
        <v>94.0</v>
      </c>
      <c r="H440" s="32" t="str">
        <f>VLOOKUP(D440, Grid_Region_Mapping!$D$2:$F$5286, 3, FALSE)</f>
        <v>SRSE</v>
      </c>
      <c r="I440" s="32">
        <v>5.0</v>
      </c>
      <c r="J440" s="34" t="str">
        <f t="shared" si="1"/>
        <v>South</v>
      </c>
      <c r="K440" s="35">
        <v>4.0</v>
      </c>
      <c r="L440" s="35" t="s">
        <v>102</v>
      </c>
      <c r="M440" s="36">
        <f>VLOOKUP(D440, County_Data_CZones!$B$2:$F$3236, 2, FALSE)</f>
        <v>3</v>
      </c>
      <c r="N440" s="37" t="str">
        <f>VLOOKUP(D440, County_Data_CZones!$B$2:$F$3236, 5, FALSE)</f>
        <v>Mixed-Humid</v>
      </c>
    </row>
    <row r="441" ht="15.75" customHeight="1">
      <c r="A441" s="32" t="s">
        <v>499</v>
      </c>
      <c r="B441" s="32" t="s">
        <v>461</v>
      </c>
      <c r="C441" s="32" t="str">
        <f>vlookup(B441,State_EMM_RowSums!$A$2:$B$52,2,FALSE)</f>
        <v>GA</v>
      </c>
      <c r="D441" s="32">
        <v>13107.0</v>
      </c>
      <c r="E441" s="33">
        <f>IF(NOT(ISBLANK(vlookup($D441,Pop_Census_2023!$A$2:$E$3220,4,FALSE))),vlookup($D441,Pop_Census_2023!$A$2:$E$3220,4,FALSE), vlookup($D441,Pop_Census_2023!$A$2:$E$3220,5,FALSE))</f>
        <v>23119</v>
      </c>
      <c r="F441" s="32">
        <v>347508.0</v>
      </c>
      <c r="G441" s="32">
        <v>94.0</v>
      </c>
      <c r="H441" s="32" t="str">
        <f>VLOOKUP(D441, Grid_Region_Mapping!$D$2:$F$5286, 3, FALSE)</f>
        <v>SRSE</v>
      </c>
      <c r="I441" s="32">
        <v>5.0</v>
      </c>
      <c r="J441" s="34" t="str">
        <f t="shared" si="1"/>
        <v>South</v>
      </c>
      <c r="K441" s="35">
        <v>5.0</v>
      </c>
      <c r="L441" s="35" t="s">
        <v>102</v>
      </c>
      <c r="M441" s="36">
        <f>VLOOKUP(D441, County_Data_CZones!$B$2:$F$3236, 2, FALSE)</f>
        <v>3</v>
      </c>
      <c r="N441" s="37" t="str">
        <f>VLOOKUP(D441, County_Data_CZones!$B$2:$F$3236, 5, FALSE)</f>
        <v>Hot-Humid</v>
      </c>
    </row>
    <row r="442" ht="15.75" customHeight="1">
      <c r="A442" s="32" t="s">
        <v>500</v>
      </c>
      <c r="B442" s="32" t="s">
        <v>461</v>
      </c>
      <c r="C442" s="32" t="str">
        <f>vlookup(B442,State_EMM_RowSums!$A$2:$B$52,2,FALSE)</f>
        <v>GA</v>
      </c>
      <c r="D442" s="32">
        <v>13109.0</v>
      </c>
      <c r="E442" s="33">
        <f>IF(NOT(ISBLANK(vlookup($D442,Pop_Census_2023!$A$2:$E$3220,4,FALSE))),vlookup($D442,Pop_Census_2023!$A$2:$E$3220,4,FALSE), vlookup($D442,Pop_Census_2023!$A$2:$E$3220,5,FALSE))</f>
        <v>10754</v>
      </c>
      <c r="F442" s="32">
        <v>345923.0</v>
      </c>
      <c r="G442" s="32">
        <v>94.0</v>
      </c>
      <c r="H442" s="32" t="str">
        <f>VLOOKUP(D442, Grid_Region_Mapping!$D$2:$F$5286, 3, FALSE)</f>
        <v>SRSE</v>
      </c>
      <c r="I442" s="32">
        <v>5.0</v>
      </c>
      <c r="J442" s="34" t="str">
        <f t="shared" si="1"/>
        <v>South</v>
      </c>
      <c r="K442" s="35">
        <v>5.0</v>
      </c>
      <c r="L442" s="35" t="s">
        <v>104</v>
      </c>
      <c r="M442" s="36">
        <f>VLOOKUP(D442, County_Data_CZones!$B$2:$F$3236, 2, FALSE)</f>
        <v>2</v>
      </c>
      <c r="N442" s="37" t="str">
        <f>VLOOKUP(D442, County_Data_CZones!$B$2:$F$3236, 5, FALSE)</f>
        <v>Hot-Humid</v>
      </c>
    </row>
    <row r="443" ht="15.75" customHeight="1">
      <c r="A443" s="32" t="s">
        <v>501</v>
      </c>
      <c r="B443" s="32" t="s">
        <v>461</v>
      </c>
      <c r="C443" s="32" t="str">
        <f>vlookup(B443,State_EMM_RowSums!$A$2:$B$52,2,FALSE)</f>
        <v>GA</v>
      </c>
      <c r="D443" s="32">
        <v>13111.0</v>
      </c>
      <c r="E443" s="33">
        <f>IF(NOT(ISBLANK(vlookup($D443,Pop_Census_2023!$A$2:$E$3220,4,FALSE))),vlookup($D443,Pop_Census_2023!$A$2:$E$3220,4,FALSE), vlookup($D443,Pop_Census_2023!$A$2:$E$3220,5,FALSE))</f>
        <v>25955</v>
      </c>
      <c r="F443" s="32">
        <v>351094.0</v>
      </c>
      <c r="G443" s="32">
        <v>94.0</v>
      </c>
      <c r="H443" s="32" t="str">
        <f>VLOOKUP(D443, Grid_Region_Mapping!$D$2:$F$5286, 3, FALSE)</f>
        <v>SRSE</v>
      </c>
      <c r="I443" s="32">
        <v>5.0</v>
      </c>
      <c r="J443" s="34" t="str">
        <f t="shared" si="1"/>
        <v>South</v>
      </c>
      <c r="K443" s="35">
        <v>4.0</v>
      </c>
      <c r="L443" s="35" t="s">
        <v>223</v>
      </c>
      <c r="M443" s="36">
        <f>VLOOKUP(D443, County_Data_CZones!$B$2:$F$3236, 2, FALSE)</f>
        <v>4</v>
      </c>
      <c r="N443" s="37" t="str">
        <f>VLOOKUP(D443, County_Data_CZones!$B$2:$F$3236, 5, FALSE)</f>
        <v>Mixed-Humid</v>
      </c>
    </row>
    <row r="444" ht="15.75" customHeight="1">
      <c r="A444" s="32" t="s">
        <v>131</v>
      </c>
      <c r="B444" s="32" t="s">
        <v>461</v>
      </c>
      <c r="C444" s="32" t="str">
        <f>vlookup(B444,State_EMM_RowSums!$A$2:$B$52,2,FALSE)</f>
        <v>GA</v>
      </c>
      <c r="D444" s="32">
        <v>13113.0</v>
      </c>
      <c r="E444" s="33">
        <f>IF(NOT(ISBLANK(vlookup($D444,Pop_Census_2023!$A$2:$E$3220,4,FALSE))),vlookup($D444,Pop_Census_2023!$A$2:$E$3220,4,FALSE), vlookup($D444,Pop_Census_2023!$A$2:$E$3220,5,FALSE))</f>
        <v>123351</v>
      </c>
      <c r="F444" s="32">
        <v>1687740.0</v>
      </c>
      <c r="G444" s="32">
        <v>94.0</v>
      </c>
      <c r="H444" s="32" t="str">
        <f>VLOOKUP(D444, Grid_Region_Mapping!$D$2:$F$5286, 3, FALSE)</f>
        <v>SRSE</v>
      </c>
      <c r="I444" s="32">
        <v>5.0</v>
      </c>
      <c r="J444" s="34" t="str">
        <f t="shared" si="1"/>
        <v>South</v>
      </c>
      <c r="K444" s="35">
        <v>4.0</v>
      </c>
      <c r="L444" s="35" t="s">
        <v>102</v>
      </c>
      <c r="M444" s="36">
        <f>VLOOKUP(D444, County_Data_CZones!$B$2:$F$3236, 2, FALSE)</f>
        <v>3</v>
      </c>
      <c r="N444" s="37" t="str">
        <f>VLOOKUP(D444, County_Data_CZones!$B$2:$F$3236, 5, FALSE)</f>
        <v>Mixed-Humid</v>
      </c>
    </row>
    <row r="445" ht="15.75" customHeight="1">
      <c r="A445" s="32" t="s">
        <v>502</v>
      </c>
      <c r="B445" s="32" t="s">
        <v>461</v>
      </c>
      <c r="C445" s="32" t="str">
        <f>vlookup(B445,State_EMM_RowSums!$A$2:$B$52,2,FALSE)</f>
        <v>GA</v>
      </c>
      <c r="D445" s="32">
        <v>13115.0</v>
      </c>
      <c r="E445" s="33">
        <f>IF(NOT(ISBLANK(vlookup($D445,Pop_Census_2023!$A$2:$E$3220,4,FALSE))),vlookup($D445,Pop_Census_2023!$A$2:$E$3220,4,FALSE), vlookup($D445,Pop_Census_2023!$A$2:$E$3220,5,FALSE))</f>
        <v>100113</v>
      </c>
      <c r="F445" s="32">
        <v>353665.0</v>
      </c>
      <c r="G445" s="32">
        <v>94.0</v>
      </c>
      <c r="H445" s="32" t="str">
        <f>VLOOKUP(D445, Grid_Region_Mapping!$D$2:$F$5286, 3, FALSE)</f>
        <v>SRSE</v>
      </c>
      <c r="I445" s="32">
        <v>5.0</v>
      </c>
      <c r="J445" s="34" t="str">
        <f t="shared" si="1"/>
        <v>South</v>
      </c>
      <c r="K445" s="35">
        <v>4.0</v>
      </c>
      <c r="L445" s="35" t="s">
        <v>223</v>
      </c>
      <c r="M445" s="36">
        <f>VLOOKUP(D445, County_Data_CZones!$B$2:$F$3236, 2, FALSE)</f>
        <v>4</v>
      </c>
      <c r="N445" s="37" t="str">
        <f>VLOOKUP(D445, County_Data_CZones!$B$2:$F$3236, 5, FALSE)</f>
        <v>Mixed-Humid</v>
      </c>
    </row>
    <row r="446" ht="15.75" customHeight="1">
      <c r="A446" s="32" t="s">
        <v>503</v>
      </c>
      <c r="B446" s="32" t="s">
        <v>461</v>
      </c>
      <c r="C446" s="32" t="str">
        <f>vlookup(B446,State_EMM_RowSums!$A$2:$B$52,2,FALSE)</f>
        <v>GA</v>
      </c>
      <c r="D446" s="32">
        <v>13117.0</v>
      </c>
      <c r="E446" s="33">
        <f>IF(NOT(ISBLANK(vlookup($D446,Pop_Census_2023!$A$2:$E$3220,4,FALSE))),vlookup($D446,Pop_Census_2023!$A$2:$E$3220,4,FALSE), vlookup($D446,Pop_Census_2023!$A$2:$E$3220,5,FALSE))</f>
        <v>272887</v>
      </c>
      <c r="F446" s="32">
        <v>1673358.0</v>
      </c>
      <c r="G446" s="32">
        <v>94.0</v>
      </c>
      <c r="H446" s="32" t="str">
        <f>VLOOKUP(D446, Grid_Region_Mapping!$D$2:$F$5286, 3, FALSE)</f>
        <v>SRSE</v>
      </c>
      <c r="I446" s="32">
        <v>5.0</v>
      </c>
      <c r="J446" s="34" t="str">
        <f t="shared" si="1"/>
        <v>South</v>
      </c>
      <c r="K446" s="35">
        <v>4.0</v>
      </c>
      <c r="L446" s="35" t="s">
        <v>102</v>
      </c>
      <c r="M446" s="36">
        <f>VLOOKUP(D446, County_Data_CZones!$B$2:$F$3236, 2, FALSE)</f>
        <v>3</v>
      </c>
      <c r="N446" s="37" t="str">
        <f>VLOOKUP(D446, County_Data_CZones!$B$2:$F$3236, 5, FALSE)</f>
        <v>Mixed-Humid</v>
      </c>
    </row>
    <row r="447" ht="15.75" customHeight="1">
      <c r="A447" s="32" t="s">
        <v>132</v>
      </c>
      <c r="B447" s="32" t="s">
        <v>461</v>
      </c>
      <c r="C447" s="32" t="str">
        <f>vlookup(B447,State_EMM_RowSums!$A$2:$B$52,2,FALSE)</f>
        <v>GA</v>
      </c>
      <c r="D447" s="32">
        <v>13119.0</v>
      </c>
      <c r="E447" s="33">
        <f>IF(NOT(ISBLANK(vlookup($D447,Pop_Census_2023!$A$2:$E$3220,4,FALSE))),vlookup($D447,Pop_Census_2023!$A$2:$E$3220,4,FALSE), vlookup($D447,Pop_Census_2023!$A$2:$E$3220,5,FALSE))</f>
        <v>24782</v>
      </c>
      <c r="F447" s="32">
        <v>349324.0</v>
      </c>
      <c r="G447" s="32">
        <v>94.0</v>
      </c>
      <c r="H447" s="32" t="str">
        <f>VLOOKUP(D447, Grid_Region_Mapping!$D$2:$F$5286, 3, FALSE)</f>
        <v>SRSE</v>
      </c>
      <c r="I447" s="32">
        <v>5.0</v>
      </c>
      <c r="J447" s="34" t="str">
        <f t="shared" si="1"/>
        <v>South</v>
      </c>
      <c r="K447" s="35">
        <v>4.0</v>
      </c>
      <c r="L447" s="35" t="s">
        <v>223</v>
      </c>
      <c r="M447" s="36">
        <f>VLOOKUP(D447, County_Data_CZones!$B$2:$F$3236, 2, FALSE)</f>
        <v>4</v>
      </c>
      <c r="N447" s="37" t="str">
        <f>VLOOKUP(D447, County_Data_CZones!$B$2:$F$3236, 5, FALSE)</f>
        <v>Mixed-Humid</v>
      </c>
    </row>
    <row r="448" ht="15.75" customHeight="1">
      <c r="A448" s="32" t="s">
        <v>240</v>
      </c>
      <c r="B448" s="32" t="s">
        <v>461</v>
      </c>
      <c r="C448" s="32" t="str">
        <f>vlookup(B448,State_EMM_RowSums!$A$2:$B$52,2,FALSE)</f>
        <v>GA</v>
      </c>
      <c r="D448" s="32">
        <v>13121.0</v>
      </c>
      <c r="E448" s="33">
        <f>IF(NOT(ISBLANK(vlookup($D448,Pop_Census_2023!$A$2:$E$3220,4,FALSE))),vlookup($D448,Pop_Census_2023!$A$2:$E$3220,4,FALSE), vlookup($D448,Pop_Census_2023!$A$2:$E$3220,5,FALSE))</f>
        <v>1079105</v>
      </c>
      <c r="F448" s="32">
        <v>1694833.0</v>
      </c>
      <c r="G448" s="32">
        <v>94.0</v>
      </c>
      <c r="H448" s="32" t="str">
        <f>VLOOKUP(D448, Grid_Region_Mapping!$D$2:$F$5286, 3, FALSE)</f>
        <v>SRSE</v>
      </c>
      <c r="I448" s="32">
        <v>5.0</v>
      </c>
      <c r="J448" s="34" t="str">
        <f t="shared" si="1"/>
        <v>South</v>
      </c>
      <c r="K448" s="35">
        <v>4.0</v>
      </c>
      <c r="L448" s="35" t="s">
        <v>102</v>
      </c>
      <c r="M448" s="36">
        <f>VLOOKUP(D448, County_Data_CZones!$B$2:$F$3236, 2, FALSE)</f>
        <v>3</v>
      </c>
      <c r="N448" s="37" t="str">
        <f>VLOOKUP(D448, County_Data_CZones!$B$2:$F$3236, 5, FALSE)</f>
        <v>Mixed-Humid</v>
      </c>
    </row>
    <row r="449" ht="15.75" customHeight="1">
      <c r="A449" s="32" t="s">
        <v>504</v>
      </c>
      <c r="B449" s="32" t="s">
        <v>461</v>
      </c>
      <c r="C449" s="32" t="str">
        <f>vlookup(B449,State_EMM_RowSums!$A$2:$B$52,2,FALSE)</f>
        <v>GA</v>
      </c>
      <c r="D449" s="32">
        <v>13123.0</v>
      </c>
      <c r="E449" s="33">
        <f>IF(NOT(ISBLANK(vlookup($D449,Pop_Census_2023!$A$2:$E$3220,4,FALSE))),vlookup($D449,Pop_Census_2023!$A$2:$E$3220,4,FALSE), vlookup($D449,Pop_Census_2023!$A$2:$E$3220,5,FALSE))</f>
        <v>32860</v>
      </c>
      <c r="F449" s="32">
        <v>351260.0</v>
      </c>
      <c r="G449" s="32">
        <v>94.0</v>
      </c>
      <c r="H449" s="32" t="str">
        <f>VLOOKUP(D449, Grid_Region_Mapping!$D$2:$F$5286, 3, FALSE)</f>
        <v>SRSE</v>
      </c>
      <c r="I449" s="32">
        <v>5.0</v>
      </c>
      <c r="J449" s="34" t="str">
        <f t="shared" si="1"/>
        <v>South</v>
      </c>
      <c r="K449" s="35">
        <v>4.0</v>
      </c>
      <c r="L449" s="35" t="s">
        <v>223</v>
      </c>
      <c r="M449" s="36">
        <f>VLOOKUP(D449, County_Data_CZones!$B$2:$F$3236, 2, FALSE)</f>
        <v>4</v>
      </c>
      <c r="N449" s="37" t="str">
        <f>VLOOKUP(D449, County_Data_CZones!$B$2:$F$3236, 5, FALSE)</f>
        <v>Mixed-Humid</v>
      </c>
    </row>
    <row r="450" ht="15.75" customHeight="1">
      <c r="A450" s="32" t="s">
        <v>505</v>
      </c>
      <c r="B450" s="32" t="s">
        <v>461</v>
      </c>
      <c r="C450" s="32" t="str">
        <f>vlookup(B450,State_EMM_RowSums!$A$2:$B$52,2,FALSE)</f>
        <v>GA</v>
      </c>
      <c r="D450" s="32">
        <v>13125.0</v>
      </c>
      <c r="E450" s="33">
        <f>IF(NOT(ISBLANK(vlookup($D450,Pop_Census_2023!$A$2:$E$3220,4,FALSE))),vlookup($D450,Pop_Census_2023!$A$2:$E$3220,4,FALSE), vlookup($D450,Pop_Census_2023!$A$2:$E$3220,5,FALSE))</f>
        <v>2954</v>
      </c>
      <c r="F450" s="32">
        <v>345642.0</v>
      </c>
      <c r="G450" s="32">
        <v>94.0</v>
      </c>
      <c r="H450" s="32" t="str">
        <f>VLOOKUP(D450, Grid_Region_Mapping!$D$2:$F$5286, 3, FALSE)</f>
        <v>SRSE</v>
      </c>
      <c r="I450" s="32">
        <v>5.0</v>
      </c>
      <c r="J450" s="34" t="str">
        <f t="shared" si="1"/>
        <v>South</v>
      </c>
      <c r="K450" s="35">
        <v>4.0</v>
      </c>
      <c r="L450" s="35" t="s">
        <v>102</v>
      </c>
      <c r="M450" s="36">
        <f>VLOOKUP(D450, County_Data_CZones!$B$2:$F$3236, 2, FALSE)</f>
        <v>3</v>
      </c>
      <c r="N450" s="37" t="str">
        <f>VLOOKUP(D450, County_Data_CZones!$B$2:$F$3236, 5, FALSE)</f>
        <v>Mixed-Humid</v>
      </c>
    </row>
    <row r="451" ht="15.75" customHeight="1">
      <c r="A451" s="32" t="s">
        <v>506</v>
      </c>
      <c r="B451" s="32" t="s">
        <v>461</v>
      </c>
      <c r="C451" s="32" t="str">
        <f>vlookup(B451,State_EMM_RowSums!$A$2:$B$52,2,FALSE)</f>
        <v>GA</v>
      </c>
      <c r="D451" s="32">
        <v>13127.0</v>
      </c>
      <c r="E451" s="33">
        <f>IF(NOT(ISBLANK(vlookup($D451,Pop_Census_2023!$A$2:$E$3220,4,FALSE))),vlookup($D451,Pop_Census_2023!$A$2:$E$3220,4,FALSE), vlookup($D451,Pop_Census_2023!$A$2:$E$3220,5,FALSE))</f>
        <v>86172</v>
      </c>
      <c r="F451" s="32">
        <v>1671513.0</v>
      </c>
      <c r="G451" s="32">
        <v>94.0</v>
      </c>
      <c r="H451" s="32" t="str">
        <f>VLOOKUP(D451, Grid_Region_Mapping!$D$2:$F$5286, 3, FALSE)</f>
        <v>SRSE</v>
      </c>
      <c r="I451" s="32">
        <v>5.0</v>
      </c>
      <c r="J451" s="34" t="str">
        <f t="shared" si="1"/>
        <v>South</v>
      </c>
      <c r="K451" s="35">
        <v>5.0</v>
      </c>
      <c r="L451" s="35" t="s">
        <v>104</v>
      </c>
      <c r="M451" s="36">
        <f>VLOOKUP(D451, County_Data_CZones!$B$2:$F$3236, 2, FALSE)</f>
        <v>2</v>
      </c>
      <c r="N451" s="37" t="str">
        <f>VLOOKUP(D451, County_Data_CZones!$B$2:$F$3236, 5, FALSE)</f>
        <v>Hot-Humid</v>
      </c>
    </row>
    <row r="452" ht="15.75" customHeight="1">
      <c r="A452" s="32" t="s">
        <v>507</v>
      </c>
      <c r="B452" s="32" t="s">
        <v>461</v>
      </c>
      <c r="C452" s="32" t="str">
        <f>vlookup(B452,State_EMM_RowSums!$A$2:$B$52,2,FALSE)</f>
        <v>GA</v>
      </c>
      <c r="D452" s="32">
        <v>13129.0</v>
      </c>
      <c r="E452" s="33">
        <f>IF(NOT(ISBLANK(vlookup($D452,Pop_Census_2023!$A$2:$E$3220,4,FALSE))),vlookup($D452,Pop_Census_2023!$A$2:$E$3220,4,FALSE), vlookup($D452,Pop_Census_2023!$A$2:$E$3220,5,FALSE))</f>
        <v>59757</v>
      </c>
      <c r="F452" s="32">
        <v>356672.0</v>
      </c>
      <c r="G452" s="32">
        <v>94.0</v>
      </c>
      <c r="H452" s="32" t="str">
        <f>VLOOKUP(D452, Grid_Region_Mapping!$D$2:$F$5286, 3, FALSE)</f>
        <v>SRSE</v>
      </c>
      <c r="I452" s="32">
        <v>5.0</v>
      </c>
      <c r="J452" s="34" t="str">
        <f t="shared" si="1"/>
        <v>South</v>
      </c>
      <c r="K452" s="35">
        <v>4.0</v>
      </c>
      <c r="L452" s="35" t="s">
        <v>223</v>
      </c>
      <c r="M452" s="36">
        <f>VLOOKUP(D452, County_Data_CZones!$B$2:$F$3236, 2, FALSE)</f>
        <v>4</v>
      </c>
      <c r="N452" s="37" t="str">
        <f>VLOOKUP(D452, County_Data_CZones!$B$2:$F$3236, 5, FALSE)</f>
        <v>Mixed-Humid</v>
      </c>
    </row>
    <row r="453" ht="15.75" customHeight="1">
      <c r="A453" s="32" t="s">
        <v>508</v>
      </c>
      <c r="B453" s="32" t="s">
        <v>461</v>
      </c>
      <c r="C453" s="32" t="str">
        <f>vlookup(B453,State_EMM_RowSums!$A$2:$B$52,2,FALSE)</f>
        <v>GA</v>
      </c>
      <c r="D453" s="32">
        <v>13131.0</v>
      </c>
      <c r="E453" s="33">
        <f>IF(NOT(ISBLANK(vlookup($D453,Pop_Census_2023!$A$2:$E$3220,4,FALSE))),vlookup($D453,Pop_Census_2023!$A$2:$E$3220,4,FALSE), vlookup($D453,Pop_Census_2023!$A$2:$E$3220,5,FALSE))</f>
        <v>26066</v>
      </c>
      <c r="F453" s="32">
        <v>351261.0</v>
      </c>
      <c r="G453" s="32">
        <v>94.0</v>
      </c>
      <c r="H453" s="32" t="str">
        <f>VLOOKUP(D453, Grid_Region_Mapping!$D$2:$F$5286, 3, FALSE)</f>
        <v>SRSE</v>
      </c>
      <c r="I453" s="32">
        <v>5.0</v>
      </c>
      <c r="J453" s="34" t="str">
        <f t="shared" si="1"/>
        <v>South</v>
      </c>
      <c r="K453" s="35">
        <v>5.0</v>
      </c>
      <c r="L453" s="35" t="s">
        <v>104</v>
      </c>
      <c r="M453" s="36">
        <f>VLOOKUP(D453, County_Data_CZones!$B$2:$F$3236, 2, FALSE)</f>
        <v>2</v>
      </c>
      <c r="N453" s="37" t="str">
        <f>VLOOKUP(D453, County_Data_CZones!$B$2:$F$3236, 5, FALSE)</f>
        <v>Hot-Humid</v>
      </c>
    </row>
    <row r="454" ht="15.75" customHeight="1">
      <c r="A454" s="32" t="s">
        <v>134</v>
      </c>
      <c r="B454" s="32" t="s">
        <v>461</v>
      </c>
      <c r="C454" s="32" t="str">
        <f>vlookup(B454,State_EMM_RowSums!$A$2:$B$52,2,FALSE)</f>
        <v>GA</v>
      </c>
      <c r="D454" s="32">
        <v>13133.0</v>
      </c>
      <c r="E454" s="33">
        <f>IF(NOT(ISBLANK(vlookup($D454,Pop_Census_2023!$A$2:$E$3220,4,FALSE))),vlookup($D454,Pop_Census_2023!$A$2:$E$3220,4,FALSE), vlookup($D454,Pop_Census_2023!$A$2:$E$3220,5,FALSE))</f>
        <v>20722</v>
      </c>
      <c r="F454" s="32">
        <v>348672.0</v>
      </c>
      <c r="G454" s="32">
        <v>94.0</v>
      </c>
      <c r="H454" s="32" t="str">
        <f>VLOOKUP(D454, Grid_Region_Mapping!$D$2:$F$5286, 3, FALSE)</f>
        <v>SRSE</v>
      </c>
      <c r="I454" s="32">
        <v>5.0</v>
      </c>
      <c r="J454" s="34" t="str">
        <f t="shared" si="1"/>
        <v>South</v>
      </c>
      <c r="K454" s="35">
        <v>4.0</v>
      </c>
      <c r="L454" s="35" t="s">
        <v>102</v>
      </c>
      <c r="M454" s="36">
        <f>VLOOKUP(D454, County_Data_CZones!$B$2:$F$3236, 2, FALSE)</f>
        <v>3</v>
      </c>
      <c r="N454" s="37" t="str">
        <f>VLOOKUP(D454, County_Data_CZones!$B$2:$F$3236, 5, FALSE)</f>
        <v>Mixed-Humid</v>
      </c>
    </row>
    <row r="455" ht="15.75" customHeight="1">
      <c r="A455" s="32" t="s">
        <v>509</v>
      </c>
      <c r="B455" s="32" t="s">
        <v>461</v>
      </c>
      <c r="C455" s="32" t="str">
        <f>vlookup(B455,State_EMM_RowSums!$A$2:$B$52,2,FALSE)</f>
        <v>GA</v>
      </c>
      <c r="D455" s="32">
        <v>13135.0</v>
      </c>
      <c r="E455" s="33">
        <f>IF(NOT(ISBLANK(vlookup($D455,Pop_Census_2023!$A$2:$E$3220,4,FALSE))),vlookup($D455,Pop_Census_2023!$A$2:$E$3220,4,FALSE), vlookup($D455,Pop_Census_2023!$A$2:$E$3220,5,FALSE))</f>
        <v>983526</v>
      </c>
      <c r="F455" s="32">
        <v>1688166.0</v>
      </c>
      <c r="G455" s="32">
        <v>94.0</v>
      </c>
      <c r="H455" s="32" t="str">
        <f>VLOOKUP(D455, Grid_Region_Mapping!$D$2:$F$5286, 3, FALSE)</f>
        <v>SRSE</v>
      </c>
      <c r="I455" s="32">
        <v>5.0</v>
      </c>
      <c r="J455" s="34" t="str">
        <f t="shared" si="1"/>
        <v>South</v>
      </c>
      <c r="K455" s="35">
        <v>4.0</v>
      </c>
      <c r="L455" s="35" t="s">
        <v>102</v>
      </c>
      <c r="M455" s="36">
        <f>VLOOKUP(D455, County_Data_CZones!$B$2:$F$3236, 2, FALSE)</f>
        <v>3</v>
      </c>
      <c r="N455" s="37" t="str">
        <f>VLOOKUP(D455, County_Data_CZones!$B$2:$F$3236, 5, FALSE)</f>
        <v>Mixed-Humid</v>
      </c>
    </row>
    <row r="456" ht="15.75" customHeight="1">
      <c r="A456" s="32" t="s">
        <v>510</v>
      </c>
      <c r="B456" s="32" t="s">
        <v>461</v>
      </c>
      <c r="C456" s="32" t="str">
        <f>vlookup(B456,State_EMM_RowSums!$A$2:$B$52,2,FALSE)</f>
        <v>GA</v>
      </c>
      <c r="D456" s="32">
        <v>13137.0</v>
      </c>
      <c r="E456" s="33">
        <f>IF(NOT(ISBLANK(vlookup($D456,Pop_Census_2023!$A$2:$E$3220,4,FALSE))),vlookup($D456,Pop_Census_2023!$A$2:$E$3220,4,FALSE), vlookup($D456,Pop_Census_2023!$A$2:$E$3220,5,FALSE))</f>
        <v>48757</v>
      </c>
      <c r="F456" s="32">
        <v>351383.0</v>
      </c>
      <c r="G456" s="32">
        <v>94.0</v>
      </c>
      <c r="H456" s="32" t="str">
        <f>VLOOKUP(D456, Grid_Region_Mapping!$D$2:$F$5286, 3, FALSE)</f>
        <v>SRSE</v>
      </c>
      <c r="I456" s="32">
        <v>5.0</v>
      </c>
      <c r="J456" s="34" t="str">
        <f t="shared" si="1"/>
        <v>South</v>
      </c>
      <c r="K456" s="35">
        <v>4.0</v>
      </c>
      <c r="L456" s="35" t="s">
        <v>223</v>
      </c>
      <c r="M456" s="36">
        <f>VLOOKUP(D456, County_Data_CZones!$B$2:$F$3236, 2, FALSE)</f>
        <v>4</v>
      </c>
      <c r="N456" s="37" t="str">
        <f>VLOOKUP(D456, County_Data_CZones!$B$2:$F$3236, 5, FALSE)</f>
        <v>Mixed-Humid</v>
      </c>
    </row>
    <row r="457" ht="15.75" customHeight="1">
      <c r="A457" s="32" t="s">
        <v>511</v>
      </c>
      <c r="B457" s="32" t="s">
        <v>461</v>
      </c>
      <c r="C457" s="32" t="str">
        <f>vlookup(B457,State_EMM_RowSums!$A$2:$B$52,2,FALSE)</f>
        <v>GA</v>
      </c>
      <c r="D457" s="32">
        <v>13139.0</v>
      </c>
      <c r="E457" s="33">
        <f>IF(NOT(ISBLANK(vlookup($D457,Pop_Census_2023!$A$2:$E$3220,4,FALSE))),vlookup($D457,Pop_Census_2023!$A$2:$E$3220,4,FALSE), vlookup($D457,Pop_Census_2023!$A$2:$E$3220,5,FALSE))</f>
        <v>217267</v>
      </c>
      <c r="F457" s="32">
        <v>1686953.0</v>
      </c>
      <c r="G457" s="32">
        <v>94.0</v>
      </c>
      <c r="H457" s="32" t="str">
        <f>VLOOKUP(D457, Grid_Region_Mapping!$D$2:$F$5286, 3, FALSE)</f>
        <v>SRSE</v>
      </c>
      <c r="I457" s="32">
        <v>5.0</v>
      </c>
      <c r="J457" s="34" t="str">
        <f t="shared" si="1"/>
        <v>South</v>
      </c>
      <c r="K457" s="35">
        <v>4.0</v>
      </c>
      <c r="L457" s="35" t="s">
        <v>223</v>
      </c>
      <c r="M457" s="36">
        <f>VLOOKUP(D457, County_Data_CZones!$B$2:$F$3236, 2, FALSE)</f>
        <v>4</v>
      </c>
      <c r="N457" s="37" t="str">
        <f>VLOOKUP(D457, County_Data_CZones!$B$2:$F$3236, 5, FALSE)</f>
        <v>Mixed-Humid</v>
      </c>
    </row>
    <row r="458" ht="15.75" customHeight="1">
      <c r="A458" s="32" t="s">
        <v>512</v>
      </c>
      <c r="B458" s="32" t="s">
        <v>461</v>
      </c>
      <c r="C458" s="32" t="str">
        <f>vlookup(B458,State_EMM_RowSums!$A$2:$B$52,2,FALSE)</f>
        <v>GA</v>
      </c>
      <c r="D458" s="32">
        <v>13141.0</v>
      </c>
      <c r="E458" s="33">
        <f>IF(NOT(ISBLANK(vlookup($D458,Pop_Census_2023!$A$2:$E$3220,4,FALSE))),vlookup($D458,Pop_Census_2023!$A$2:$E$3220,4,FALSE), vlookup($D458,Pop_Census_2023!$A$2:$E$3220,5,FALSE))</f>
        <v>8676</v>
      </c>
      <c r="F458" s="32">
        <v>348209.0</v>
      </c>
      <c r="G458" s="32">
        <v>94.0</v>
      </c>
      <c r="H458" s="32" t="str">
        <f>VLOOKUP(D458, Grid_Region_Mapping!$D$2:$F$5286, 3, FALSE)</f>
        <v>SRSE</v>
      </c>
      <c r="I458" s="32">
        <v>5.0</v>
      </c>
      <c r="J458" s="34" t="str">
        <f t="shared" si="1"/>
        <v>South</v>
      </c>
      <c r="K458" s="35">
        <v>4.0</v>
      </c>
      <c r="L458" s="35" t="s">
        <v>102</v>
      </c>
      <c r="M458" s="36">
        <f>VLOOKUP(D458, County_Data_CZones!$B$2:$F$3236, 2, FALSE)</f>
        <v>3</v>
      </c>
      <c r="N458" s="37" t="str">
        <f>VLOOKUP(D458, County_Data_CZones!$B$2:$F$3236, 5, FALSE)</f>
        <v>Mixed-Humid</v>
      </c>
    </row>
    <row r="459" ht="15.75" customHeight="1">
      <c r="A459" s="32" t="s">
        <v>513</v>
      </c>
      <c r="B459" s="32" t="s">
        <v>461</v>
      </c>
      <c r="C459" s="32" t="str">
        <f>vlookup(B459,State_EMM_RowSums!$A$2:$B$52,2,FALSE)</f>
        <v>GA</v>
      </c>
      <c r="D459" s="32">
        <v>13143.0</v>
      </c>
      <c r="E459" s="33">
        <f>IF(NOT(ISBLANK(vlookup($D459,Pop_Census_2023!$A$2:$E$3220,4,FALSE))),vlookup($D459,Pop_Census_2023!$A$2:$E$3220,4,FALSE), vlookup($D459,Pop_Census_2023!$A$2:$E$3220,5,FALSE))</f>
        <v>32038</v>
      </c>
      <c r="F459" s="32">
        <v>350637.0</v>
      </c>
      <c r="G459" s="32">
        <v>94.0</v>
      </c>
      <c r="H459" s="32" t="str">
        <f>VLOOKUP(D459, Grid_Region_Mapping!$D$2:$F$5286, 3, FALSE)</f>
        <v>SRSE</v>
      </c>
      <c r="I459" s="32">
        <v>5.0</v>
      </c>
      <c r="J459" s="34" t="str">
        <f t="shared" si="1"/>
        <v>South</v>
      </c>
      <c r="K459" s="35">
        <v>4.0</v>
      </c>
      <c r="L459" s="35" t="s">
        <v>102</v>
      </c>
      <c r="M459" s="36">
        <f>VLOOKUP(D459, County_Data_CZones!$B$2:$F$3236, 2, FALSE)</f>
        <v>3</v>
      </c>
      <c r="N459" s="37" t="str">
        <f>VLOOKUP(D459, County_Data_CZones!$B$2:$F$3236, 5, FALSE)</f>
        <v>Mixed-Humid</v>
      </c>
    </row>
    <row r="460" ht="15.75" customHeight="1">
      <c r="A460" s="32" t="s">
        <v>514</v>
      </c>
      <c r="B460" s="32" t="s">
        <v>461</v>
      </c>
      <c r="C460" s="32" t="str">
        <f>vlookup(B460,State_EMM_RowSums!$A$2:$B$52,2,FALSE)</f>
        <v>GA</v>
      </c>
      <c r="D460" s="32">
        <v>13145.0</v>
      </c>
      <c r="E460" s="33">
        <f>IF(NOT(ISBLANK(vlookup($D460,Pop_Census_2023!$A$2:$E$3220,4,FALSE))),vlookup($D460,Pop_Census_2023!$A$2:$E$3220,4,FALSE), vlookup($D460,Pop_Census_2023!$A$2:$E$3220,5,FALSE))</f>
        <v>36654</v>
      </c>
      <c r="F460" s="32">
        <v>326700.0</v>
      </c>
      <c r="G460" s="32">
        <v>94.0</v>
      </c>
      <c r="H460" s="32" t="str">
        <f>VLOOKUP(D460, Grid_Region_Mapping!$D$2:$F$5286, 3, FALSE)</f>
        <v>SRSE</v>
      </c>
      <c r="I460" s="32">
        <v>5.0</v>
      </c>
      <c r="J460" s="34" t="str">
        <f t="shared" si="1"/>
        <v>South</v>
      </c>
      <c r="K460" s="35">
        <v>4.0</v>
      </c>
      <c r="L460" s="35" t="s">
        <v>102</v>
      </c>
      <c r="M460" s="36">
        <f>VLOOKUP(D460, County_Data_CZones!$B$2:$F$3236, 2, FALSE)</f>
        <v>3</v>
      </c>
      <c r="N460" s="37" t="str">
        <f>VLOOKUP(D460, County_Data_CZones!$B$2:$F$3236, 5, FALSE)</f>
        <v>Mixed-Humid</v>
      </c>
    </row>
    <row r="461" ht="15.75" customHeight="1">
      <c r="A461" s="32" t="s">
        <v>515</v>
      </c>
      <c r="B461" s="32" t="s">
        <v>461</v>
      </c>
      <c r="C461" s="32" t="str">
        <f>vlookup(B461,State_EMM_RowSums!$A$2:$B$52,2,FALSE)</f>
        <v>GA</v>
      </c>
      <c r="D461" s="32">
        <v>13147.0</v>
      </c>
      <c r="E461" s="33">
        <f>IF(NOT(ISBLANK(vlookup($D461,Pop_Census_2023!$A$2:$E$3220,4,FALSE))),vlookup($D461,Pop_Census_2023!$A$2:$E$3220,4,FALSE), vlookup($D461,Pop_Census_2023!$A$2:$E$3220,5,FALSE))</f>
        <v>27556</v>
      </c>
      <c r="F461" s="32">
        <v>1687995.0</v>
      </c>
      <c r="G461" s="32">
        <v>94.0</v>
      </c>
      <c r="H461" s="32" t="str">
        <f>VLOOKUP(D461, Grid_Region_Mapping!$D$2:$F$5286, 3, FALSE)</f>
        <v>SRSE</v>
      </c>
      <c r="I461" s="32">
        <v>5.0</v>
      </c>
      <c r="J461" s="34" t="str">
        <f t="shared" si="1"/>
        <v>South</v>
      </c>
      <c r="K461" s="35">
        <v>4.0</v>
      </c>
      <c r="L461" s="35" t="s">
        <v>102</v>
      </c>
      <c r="M461" s="36">
        <f>VLOOKUP(D461, County_Data_CZones!$B$2:$F$3236, 2, FALSE)</f>
        <v>3</v>
      </c>
      <c r="N461" s="37" t="str">
        <f>VLOOKUP(D461, County_Data_CZones!$B$2:$F$3236, 5, FALSE)</f>
        <v>Mixed-Humid</v>
      </c>
    </row>
    <row r="462" ht="15.75" customHeight="1">
      <c r="A462" s="32" t="s">
        <v>516</v>
      </c>
      <c r="B462" s="32" t="s">
        <v>461</v>
      </c>
      <c r="C462" s="32" t="str">
        <f>vlookup(B462,State_EMM_RowSums!$A$2:$B$52,2,FALSE)</f>
        <v>GA</v>
      </c>
      <c r="D462" s="32">
        <v>13149.0</v>
      </c>
      <c r="E462" s="33">
        <f>IF(NOT(ISBLANK(vlookup($D462,Pop_Census_2023!$A$2:$E$3220,4,FALSE))),vlookup($D462,Pop_Census_2023!$A$2:$E$3220,4,FALSE), vlookup($D462,Pop_Census_2023!$A$2:$E$3220,5,FALSE))</f>
        <v>12034</v>
      </c>
      <c r="F462" s="32">
        <v>347067.0</v>
      </c>
      <c r="G462" s="32">
        <v>94.0</v>
      </c>
      <c r="H462" s="32" t="str">
        <f>VLOOKUP(D462, Grid_Region_Mapping!$D$2:$F$5286, 3, FALSE)</f>
        <v>SRSE</v>
      </c>
      <c r="I462" s="32">
        <v>5.0</v>
      </c>
      <c r="J462" s="34" t="str">
        <f t="shared" si="1"/>
        <v>South</v>
      </c>
      <c r="K462" s="35">
        <v>4.0</v>
      </c>
      <c r="L462" s="35" t="s">
        <v>102</v>
      </c>
      <c r="M462" s="36">
        <f>VLOOKUP(D462, County_Data_CZones!$B$2:$F$3236, 2, FALSE)</f>
        <v>3</v>
      </c>
      <c r="N462" s="37" t="str">
        <f>VLOOKUP(D462, County_Data_CZones!$B$2:$F$3236, 5, FALSE)</f>
        <v>Mixed-Humid</v>
      </c>
    </row>
    <row r="463" ht="15.75" customHeight="1">
      <c r="A463" s="32" t="s">
        <v>136</v>
      </c>
      <c r="B463" s="32" t="s">
        <v>461</v>
      </c>
      <c r="C463" s="32" t="str">
        <f>vlookup(B463,State_EMM_RowSums!$A$2:$B$52,2,FALSE)</f>
        <v>GA</v>
      </c>
      <c r="D463" s="32">
        <v>13151.0</v>
      </c>
      <c r="E463" s="33">
        <f>IF(NOT(ISBLANK(vlookup($D463,Pop_Census_2023!$A$2:$E$3220,4,FALSE))),vlookup($D463,Pop_Census_2023!$A$2:$E$3220,4,FALSE), vlookup($D463,Pop_Census_2023!$A$2:$E$3220,5,FALSE))</f>
        <v>254613</v>
      </c>
      <c r="F463" s="32">
        <v>1671894.0</v>
      </c>
      <c r="G463" s="32">
        <v>94.0</v>
      </c>
      <c r="H463" s="32" t="str">
        <f>VLOOKUP(D463, Grid_Region_Mapping!$D$2:$F$5286, 3, FALSE)</f>
        <v>SRSE</v>
      </c>
      <c r="I463" s="32">
        <v>5.0</v>
      </c>
      <c r="J463" s="34" t="str">
        <f t="shared" si="1"/>
        <v>South</v>
      </c>
      <c r="K463" s="35">
        <v>4.0</v>
      </c>
      <c r="L463" s="35" t="s">
        <v>102</v>
      </c>
      <c r="M463" s="36">
        <f>VLOOKUP(D463, County_Data_CZones!$B$2:$F$3236, 2, FALSE)</f>
        <v>3</v>
      </c>
      <c r="N463" s="37" t="str">
        <f>VLOOKUP(D463, County_Data_CZones!$B$2:$F$3236, 5, FALSE)</f>
        <v>Mixed-Humid</v>
      </c>
    </row>
    <row r="464" ht="15.75" customHeight="1">
      <c r="A464" s="32" t="s">
        <v>137</v>
      </c>
      <c r="B464" s="32" t="s">
        <v>461</v>
      </c>
      <c r="C464" s="32" t="str">
        <f>vlookup(B464,State_EMM_RowSums!$A$2:$B$52,2,FALSE)</f>
        <v>GA</v>
      </c>
      <c r="D464" s="32">
        <v>13153.0</v>
      </c>
      <c r="E464" s="33">
        <f>IF(NOT(ISBLANK(vlookup($D464,Pop_Census_2023!$A$2:$E$3220,4,FALSE))),vlookup($D464,Pop_Census_2023!$A$2:$E$3220,4,FALSE), vlookup($D464,Pop_Census_2023!$A$2:$E$3220,5,FALSE))</f>
        <v>171974</v>
      </c>
      <c r="F464" s="32">
        <v>1671693.0</v>
      </c>
      <c r="G464" s="32">
        <v>94.0</v>
      </c>
      <c r="H464" s="32" t="str">
        <f>VLOOKUP(D464, Grid_Region_Mapping!$D$2:$F$5286, 3, FALSE)</f>
        <v>SRSE</v>
      </c>
      <c r="I464" s="32">
        <v>5.0</v>
      </c>
      <c r="J464" s="34" t="str">
        <f t="shared" si="1"/>
        <v>South</v>
      </c>
      <c r="K464" s="35">
        <v>5.0</v>
      </c>
      <c r="L464" s="35" t="s">
        <v>102</v>
      </c>
      <c r="M464" s="36">
        <f>VLOOKUP(D464, County_Data_CZones!$B$2:$F$3236, 2, FALSE)</f>
        <v>3</v>
      </c>
      <c r="N464" s="37" t="str">
        <f>VLOOKUP(D464, County_Data_CZones!$B$2:$F$3236, 5, FALSE)</f>
        <v>Hot-Humid</v>
      </c>
    </row>
    <row r="465" ht="15.75" customHeight="1">
      <c r="A465" s="32" t="s">
        <v>517</v>
      </c>
      <c r="B465" s="32" t="s">
        <v>461</v>
      </c>
      <c r="C465" s="32" t="str">
        <f>vlookup(B465,State_EMM_RowSums!$A$2:$B$52,2,FALSE)</f>
        <v>GA</v>
      </c>
      <c r="D465" s="32">
        <v>13155.0</v>
      </c>
      <c r="E465" s="33">
        <f>IF(NOT(ISBLANK(vlookup($D465,Pop_Census_2023!$A$2:$E$3220,4,FALSE))),vlookup($D465,Pop_Census_2023!$A$2:$E$3220,4,FALSE), vlookup($D465,Pop_Census_2023!$A$2:$E$3220,5,FALSE))</f>
        <v>9120</v>
      </c>
      <c r="F465" s="32">
        <v>352302.0</v>
      </c>
      <c r="G465" s="32">
        <v>94.0</v>
      </c>
      <c r="H465" s="32" t="str">
        <f>VLOOKUP(D465, Grid_Region_Mapping!$D$2:$F$5286, 3, FALSE)</f>
        <v>SRSE</v>
      </c>
      <c r="I465" s="32">
        <v>5.0</v>
      </c>
      <c r="J465" s="34" t="str">
        <f t="shared" si="1"/>
        <v>South</v>
      </c>
      <c r="K465" s="35">
        <v>5.0</v>
      </c>
      <c r="L465" s="35" t="s">
        <v>102</v>
      </c>
      <c r="M465" s="36">
        <f>VLOOKUP(D465, County_Data_CZones!$B$2:$F$3236, 2, FALSE)</f>
        <v>3</v>
      </c>
      <c r="N465" s="37" t="str">
        <f>VLOOKUP(D465, County_Data_CZones!$B$2:$F$3236, 5, FALSE)</f>
        <v>Hot-Humid</v>
      </c>
    </row>
    <row r="466" ht="15.75" customHeight="1">
      <c r="A466" s="32" t="s">
        <v>138</v>
      </c>
      <c r="B466" s="32" t="s">
        <v>461</v>
      </c>
      <c r="C466" s="32" t="str">
        <f>vlookup(B466,State_EMM_RowSums!$A$2:$B$52,2,FALSE)</f>
        <v>GA</v>
      </c>
      <c r="D466" s="32">
        <v>13157.0</v>
      </c>
      <c r="E466" s="33">
        <f>IF(NOT(ISBLANK(vlookup($D466,Pop_Census_2023!$A$2:$E$3220,4,FALSE))),vlookup($D466,Pop_Census_2023!$A$2:$E$3220,4,FALSE), vlookup($D466,Pop_Census_2023!$A$2:$E$3220,5,FALSE))</f>
        <v>88615</v>
      </c>
      <c r="F466" s="32">
        <v>349570.0</v>
      </c>
      <c r="G466" s="32">
        <v>94.0</v>
      </c>
      <c r="H466" s="32" t="str">
        <f>VLOOKUP(D466, Grid_Region_Mapping!$D$2:$F$5286, 3, FALSE)</f>
        <v>SRSE</v>
      </c>
      <c r="I466" s="32">
        <v>5.0</v>
      </c>
      <c r="J466" s="34" t="str">
        <f t="shared" si="1"/>
        <v>South</v>
      </c>
      <c r="K466" s="35">
        <v>4.0</v>
      </c>
      <c r="L466" s="35" t="s">
        <v>102</v>
      </c>
      <c r="M466" s="36">
        <f>VLOOKUP(D466, County_Data_CZones!$B$2:$F$3236, 2, FALSE)</f>
        <v>3</v>
      </c>
      <c r="N466" s="37" t="str">
        <f>VLOOKUP(D466, County_Data_CZones!$B$2:$F$3236, 5, FALSE)</f>
        <v>Mixed-Humid</v>
      </c>
    </row>
    <row r="467" ht="15.75" customHeight="1">
      <c r="A467" s="32" t="s">
        <v>518</v>
      </c>
      <c r="B467" s="32" t="s">
        <v>461</v>
      </c>
      <c r="C467" s="32" t="str">
        <f>vlookup(B467,State_EMM_RowSums!$A$2:$B$52,2,FALSE)</f>
        <v>GA</v>
      </c>
      <c r="D467" s="32">
        <v>13159.0</v>
      </c>
      <c r="E467" s="33">
        <f>IF(NOT(ISBLANK(vlookup($D467,Pop_Census_2023!$A$2:$E$3220,4,FALSE))),vlookup($D467,Pop_Census_2023!$A$2:$E$3220,4,FALSE), vlookup($D467,Pop_Census_2023!$A$2:$E$3220,5,FALSE))</f>
        <v>16455</v>
      </c>
      <c r="F467" s="32">
        <v>346144.0</v>
      </c>
      <c r="G467" s="32">
        <v>94.0</v>
      </c>
      <c r="H467" s="32" t="str">
        <f>VLOOKUP(D467, Grid_Region_Mapping!$D$2:$F$5286, 3, FALSE)</f>
        <v>SRSE</v>
      </c>
      <c r="I467" s="32">
        <v>5.0</v>
      </c>
      <c r="J467" s="34" t="str">
        <f t="shared" si="1"/>
        <v>South</v>
      </c>
      <c r="K467" s="35">
        <v>5.0</v>
      </c>
      <c r="L467" s="35" t="s">
        <v>102</v>
      </c>
      <c r="M467" s="36">
        <f>VLOOKUP(D467, County_Data_CZones!$B$2:$F$3236, 2, FALSE)</f>
        <v>3</v>
      </c>
      <c r="N467" s="37" t="str">
        <f>VLOOKUP(D467, County_Data_CZones!$B$2:$F$3236, 5, FALSE)</f>
        <v>Mixed-Humid</v>
      </c>
    </row>
    <row r="468" ht="15.75" customHeight="1">
      <c r="A468" s="32" t="s">
        <v>519</v>
      </c>
      <c r="B468" s="32" t="s">
        <v>461</v>
      </c>
      <c r="C468" s="32" t="str">
        <f>vlookup(B468,State_EMM_RowSums!$A$2:$B$52,2,FALSE)</f>
        <v>GA</v>
      </c>
      <c r="D468" s="32">
        <v>13161.0</v>
      </c>
      <c r="E468" s="33">
        <f>IF(NOT(ISBLANK(vlookup($D468,Pop_Census_2023!$A$2:$E$3220,4,FALSE))),vlookup($D468,Pop_Census_2023!$A$2:$E$3220,4,FALSE), vlookup($D468,Pop_Census_2023!$A$2:$E$3220,5,FALSE))</f>
        <v>14906</v>
      </c>
      <c r="F468" s="32">
        <v>1687999.0</v>
      </c>
      <c r="G468" s="32">
        <v>94.0</v>
      </c>
      <c r="H468" s="32" t="str">
        <f>VLOOKUP(D468, Grid_Region_Mapping!$D$2:$F$5286, 3, FALSE)</f>
        <v>SRSE</v>
      </c>
      <c r="I468" s="32">
        <v>5.0</v>
      </c>
      <c r="J468" s="34" t="str">
        <f t="shared" si="1"/>
        <v>South</v>
      </c>
      <c r="K468" s="35">
        <v>5.0</v>
      </c>
      <c r="L468" s="35" t="s">
        <v>104</v>
      </c>
      <c r="M468" s="36">
        <f>VLOOKUP(D468, County_Data_CZones!$B$2:$F$3236, 2, FALSE)</f>
        <v>2</v>
      </c>
      <c r="N468" s="37" t="str">
        <f>VLOOKUP(D468, County_Data_CZones!$B$2:$F$3236, 5, FALSE)</f>
        <v>Hot-Humid</v>
      </c>
    </row>
    <row r="469" ht="15.75" customHeight="1">
      <c r="A469" s="32" t="s">
        <v>139</v>
      </c>
      <c r="B469" s="32" t="s">
        <v>461</v>
      </c>
      <c r="C469" s="32" t="str">
        <f>vlookup(B469,State_EMM_RowSums!$A$2:$B$52,2,FALSE)</f>
        <v>GA</v>
      </c>
      <c r="D469" s="32">
        <v>13163.0</v>
      </c>
      <c r="E469" s="33">
        <f>IF(NOT(ISBLANK(vlookup($D469,Pop_Census_2023!$A$2:$E$3220,4,FALSE))),vlookup($D469,Pop_Census_2023!$A$2:$E$3220,4,FALSE), vlookup($D469,Pop_Census_2023!$A$2:$E$3220,5,FALSE))</f>
        <v>15183</v>
      </c>
      <c r="F469" s="32">
        <v>345714.0</v>
      </c>
      <c r="G469" s="32">
        <v>94.0</v>
      </c>
      <c r="H469" s="32" t="str">
        <f>VLOOKUP(D469, Grid_Region_Mapping!$D$2:$F$5286, 3, FALSE)</f>
        <v>SRSE</v>
      </c>
      <c r="I469" s="32">
        <v>5.0</v>
      </c>
      <c r="J469" s="34" t="str">
        <f t="shared" si="1"/>
        <v>South</v>
      </c>
      <c r="K469" s="35">
        <v>5.0</v>
      </c>
      <c r="L469" s="35" t="s">
        <v>102</v>
      </c>
      <c r="M469" s="36">
        <f>VLOOKUP(D469, County_Data_CZones!$B$2:$F$3236, 2, FALSE)</f>
        <v>3</v>
      </c>
      <c r="N469" s="37" t="str">
        <f>VLOOKUP(D469, County_Data_CZones!$B$2:$F$3236, 5, FALSE)</f>
        <v>Mixed-Humid</v>
      </c>
    </row>
    <row r="470" ht="15.75" customHeight="1">
      <c r="A470" s="32" t="s">
        <v>520</v>
      </c>
      <c r="B470" s="32" t="s">
        <v>461</v>
      </c>
      <c r="C470" s="32" t="str">
        <f>vlookup(B470,State_EMM_RowSums!$A$2:$B$52,2,FALSE)</f>
        <v>GA</v>
      </c>
      <c r="D470" s="32">
        <v>13165.0</v>
      </c>
      <c r="E470" s="33">
        <f>IF(NOT(ISBLANK(vlookup($D470,Pop_Census_2023!$A$2:$E$3220,4,FALSE))),vlookup($D470,Pop_Census_2023!$A$2:$E$3220,4,FALSE), vlookup($D470,Pop_Census_2023!$A$2:$E$3220,5,FALSE))</f>
        <v>8627</v>
      </c>
      <c r="F470" s="32">
        <v>342985.0</v>
      </c>
      <c r="G470" s="32">
        <v>94.0</v>
      </c>
      <c r="H470" s="32" t="str">
        <f>VLOOKUP(D470, Grid_Region_Mapping!$D$2:$F$5286, 3, FALSE)</f>
        <v>SRSE</v>
      </c>
      <c r="I470" s="32">
        <v>5.0</v>
      </c>
      <c r="J470" s="34" t="str">
        <f t="shared" si="1"/>
        <v>South</v>
      </c>
      <c r="K470" s="35">
        <v>5.0</v>
      </c>
      <c r="L470" s="35" t="s">
        <v>102</v>
      </c>
      <c r="M470" s="36">
        <f>VLOOKUP(D470, County_Data_CZones!$B$2:$F$3236, 2, FALSE)</f>
        <v>3</v>
      </c>
      <c r="N470" s="37" t="str">
        <f>VLOOKUP(D470, County_Data_CZones!$B$2:$F$3236, 5, FALSE)</f>
        <v>Hot-Humid</v>
      </c>
    </row>
    <row r="471" ht="15.75" customHeight="1">
      <c r="A471" s="32" t="s">
        <v>248</v>
      </c>
      <c r="B471" s="32" t="s">
        <v>461</v>
      </c>
      <c r="C471" s="32" t="str">
        <f>vlookup(B471,State_EMM_RowSums!$A$2:$B$52,2,FALSE)</f>
        <v>GA</v>
      </c>
      <c r="D471" s="32">
        <v>13167.0</v>
      </c>
      <c r="E471" s="33">
        <f>IF(NOT(ISBLANK(vlookup($D471,Pop_Census_2023!$A$2:$E$3220,4,FALSE))),vlookup($D471,Pop_Census_2023!$A$2:$E$3220,4,FALSE), vlookup($D471,Pop_Census_2023!$A$2:$E$3220,5,FALSE))</f>
        <v>9282</v>
      </c>
      <c r="F471" s="32">
        <v>346664.0</v>
      </c>
      <c r="G471" s="32">
        <v>94.0</v>
      </c>
      <c r="H471" s="32" t="str">
        <f>VLOOKUP(D471, Grid_Region_Mapping!$D$2:$F$5286, 3, FALSE)</f>
        <v>SRSE</v>
      </c>
      <c r="I471" s="32">
        <v>5.0</v>
      </c>
      <c r="J471" s="34" t="str">
        <f t="shared" si="1"/>
        <v>South</v>
      </c>
      <c r="K471" s="35">
        <v>4.0</v>
      </c>
      <c r="L471" s="35" t="s">
        <v>102</v>
      </c>
      <c r="M471" s="36">
        <f>VLOOKUP(D471, County_Data_CZones!$B$2:$F$3236, 2, FALSE)</f>
        <v>3</v>
      </c>
      <c r="N471" s="37" t="str">
        <f>VLOOKUP(D471, County_Data_CZones!$B$2:$F$3236, 5, FALSE)</f>
        <v>Hot-Humid</v>
      </c>
    </row>
    <row r="472" ht="15.75" customHeight="1">
      <c r="A472" s="32" t="s">
        <v>521</v>
      </c>
      <c r="B472" s="32" t="s">
        <v>461</v>
      </c>
      <c r="C472" s="32" t="str">
        <f>vlookup(B472,State_EMM_RowSums!$A$2:$B$52,2,FALSE)</f>
        <v>GA</v>
      </c>
      <c r="D472" s="32">
        <v>13169.0</v>
      </c>
      <c r="E472" s="33">
        <f>IF(NOT(ISBLANK(vlookup($D472,Pop_Census_2023!$A$2:$E$3220,4,FALSE))),vlookup($D472,Pop_Census_2023!$A$2:$E$3220,4,FALSE), vlookup($D472,Pop_Census_2023!$A$2:$E$3220,5,FALSE))</f>
        <v>28969</v>
      </c>
      <c r="F472" s="32">
        <v>345367.0</v>
      </c>
      <c r="G472" s="32">
        <v>94.0</v>
      </c>
      <c r="H472" s="32" t="str">
        <f>VLOOKUP(D472, Grid_Region_Mapping!$D$2:$F$5286, 3, FALSE)</f>
        <v>SRSE</v>
      </c>
      <c r="I472" s="32">
        <v>5.0</v>
      </c>
      <c r="J472" s="34" t="str">
        <f t="shared" si="1"/>
        <v>South</v>
      </c>
      <c r="K472" s="35">
        <v>4.0</v>
      </c>
      <c r="L472" s="35" t="s">
        <v>102</v>
      </c>
      <c r="M472" s="36">
        <f>VLOOKUP(D472, County_Data_CZones!$B$2:$F$3236, 2, FALSE)</f>
        <v>3</v>
      </c>
      <c r="N472" s="37" t="str">
        <f>VLOOKUP(D472, County_Data_CZones!$B$2:$F$3236, 5, FALSE)</f>
        <v>Mixed-Humid</v>
      </c>
    </row>
    <row r="473" ht="15.75" customHeight="1">
      <c r="A473" s="32" t="s">
        <v>140</v>
      </c>
      <c r="B473" s="32" t="s">
        <v>461</v>
      </c>
      <c r="C473" s="32" t="str">
        <f>vlookup(B473,State_EMM_RowSums!$A$2:$B$52,2,FALSE)</f>
        <v>GA</v>
      </c>
      <c r="D473" s="32">
        <v>13171.0</v>
      </c>
      <c r="E473" s="33">
        <f>IF(NOT(ISBLANK(vlookup($D473,Pop_Census_2023!$A$2:$E$3220,4,FALSE))),vlookup($D473,Pop_Census_2023!$A$2:$E$3220,4,FALSE), vlookup($D473,Pop_Census_2023!$A$2:$E$3220,5,FALSE))</f>
        <v>20401</v>
      </c>
      <c r="F473" s="32">
        <v>326713.0</v>
      </c>
      <c r="G473" s="32">
        <v>94.0</v>
      </c>
      <c r="H473" s="32" t="str">
        <f>VLOOKUP(D473, Grid_Region_Mapping!$D$2:$F$5286, 3, FALSE)</f>
        <v>SRSE</v>
      </c>
      <c r="I473" s="32">
        <v>5.0</v>
      </c>
      <c r="J473" s="34" t="str">
        <f t="shared" si="1"/>
        <v>South</v>
      </c>
      <c r="K473" s="35">
        <v>4.0</v>
      </c>
      <c r="L473" s="35" t="s">
        <v>102</v>
      </c>
      <c r="M473" s="36">
        <f>VLOOKUP(D473, County_Data_CZones!$B$2:$F$3236, 2, FALSE)</f>
        <v>3</v>
      </c>
      <c r="N473" s="37" t="str">
        <f>VLOOKUP(D473, County_Data_CZones!$B$2:$F$3236, 5, FALSE)</f>
        <v>Mixed-Humid</v>
      </c>
    </row>
    <row r="474" ht="15.75" customHeight="1">
      <c r="A474" s="32" t="s">
        <v>522</v>
      </c>
      <c r="B474" s="32" t="s">
        <v>461</v>
      </c>
      <c r="C474" s="32" t="str">
        <f>vlookup(B474,State_EMM_RowSums!$A$2:$B$52,2,FALSE)</f>
        <v>GA</v>
      </c>
      <c r="D474" s="32">
        <v>13173.0</v>
      </c>
      <c r="E474" s="33">
        <f>IF(NOT(ISBLANK(vlookup($D474,Pop_Census_2023!$A$2:$E$3220,4,FALSE))),vlookup($D474,Pop_Census_2023!$A$2:$E$3220,4,FALSE), vlookup($D474,Pop_Census_2023!$A$2:$E$3220,5,FALSE))</f>
        <v>10452</v>
      </c>
      <c r="F474" s="32">
        <v>348102.0</v>
      </c>
      <c r="G474" s="32">
        <v>94.0</v>
      </c>
      <c r="H474" s="32" t="str">
        <f>VLOOKUP(D474, Grid_Region_Mapping!$D$2:$F$5286, 3, FALSE)</f>
        <v>SRSE</v>
      </c>
      <c r="I474" s="32">
        <v>5.0</v>
      </c>
      <c r="J474" s="34" t="str">
        <f t="shared" si="1"/>
        <v>South</v>
      </c>
      <c r="K474" s="35">
        <v>5.0</v>
      </c>
      <c r="L474" s="35" t="s">
        <v>104</v>
      </c>
      <c r="M474" s="36">
        <f>VLOOKUP(D474, County_Data_CZones!$B$2:$F$3236, 2, FALSE)</f>
        <v>2</v>
      </c>
      <c r="N474" s="37" t="str">
        <f>VLOOKUP(D474, County_Data_CZones!$B$2:$F$3236, 5, FALSE)</f>
        <v>Hot-Humid</v>
      </c>
    </row>
    <row r="475" ht="15.75" customHeight="1">
      <c r="A475" s="32" t="s">
        <v>523</v>
      </c>
      <c r="B475" s="32" t="s">
        <v>461</v>
      </c>
      <c r="C475" s="32" t="str">
        <f>vlookup(B475,State_EMM_RowSums!$A$2:$B$52,2,FALSE)</f>
        <v>GA</v>
      </c>
      <c r="D475" s="32">
        <v>13175.0</v>
      </c>
      <c r="E475" s="33">
        <f>IF(NOT(ISBLANK(vlookup($D475,Pop_Census_2023!$A$2:$E$3220,4,FALSE))),vlookup($D475,Pop_Census_2023!$A$2:$E$3220,4,FALSE), vlookup($D475,Pop_Census_2023!$A$2:$E$3220,5,FALSE))</f>
        <v>49941</v>
      </c>
      <c r="F475" s="32">
        <v>346568.0</v>
      </c>
      <c r="G475" s="32">
        <v>94.0</v>
      </c>
      <c r="H475" s="32" t="str">
        <f>VLOOKUP(D475, Grid_Region_Mapping!$D$2:$F$5286, 3, FALSE)</f>
        <v>SRSE</v>
      </c>
      <c r="I475" s="32">
        <v>5.0</v>
      </c>
      <c r="J475" s="34" t="str">
        <f t="shared" si="1"/>
        <v>South</v>
      </c>
      <c r="K475" s="35">
        <v>5.0</v>
      </c>
      <c r="L475" s="35" t="s">
        <v>102</v>
      </c>
      <c r="M475" s="36">
        <f>VLOOKUP(D475, County_Data_CZones!$B$2:$F$3236, 2, FALSE)</f>
        <v>3</v>
      </c>
      <c r="N475" s="37" t="str">
        <f>VLOOKUP(D475, County_Data_CZones!$B$2:$F$3236, 5, FALSE)</f>
        <v>Hot-Humid</v>
      </c>
    </row>
    <row r="476" ht="15.75" customHeight="1">
      <c r="A476" s="32" t="s">
        <v>143</v>
      </c>
      <c r="B476" s="32" t="s">
        <v>461</v>
      </c>
      <c r="C476" s="32" t="str">
        <f>vlookup(B476,State_EMM_RowSums!$A$2:$B$52,2,FALSE)</f>
        <v>GA</v>
      </c>
      <c r="D476" s="32">
        <v>13177.0</v>
      </c>
      <c r="E476" s="33">
        <f>IF(NOT(ISBLANK(vlookup($D476,Pop_Census_2023!$A$2:$E$3220,4,FALSE))),vlookup($D476,Pop_Census_2023!$A$2:$E$3220,4,FALSE), vlookup($D476,Pop_Census_2023!$A$2:$E$3220,5,FALSE))</f>
        <v>33872</v>
      </c>
      <c r="F476" s="32">
        <v>343390.0</v>
      </c>
      <c r="G476" s="32">
        <v>94.0</v>
      </c>
      <c r="H476" s="32" t="str">
        <f>VLOOKUP(D476, Grid_Region_Mapping!$D$2:$F$5286, 3, FALSE)</f>
        <v>SRSE</v>
      </c>
      <c r="I476" s="32">
        <v>5.0</v>
      </c>
      <c r="J476" s="34" t="str">
        <f t="shared" si="1"/>
        <v>South</v>
      </c>
      <c r="K476" s="35">
        <v>5.0</v>
      </c>
      <c r="L476" s="35" t="s">
        <v>102</v>
      </c>
      <c r="M476" s="36">
        <f>VLOOKUP(D476, County_Data_CZones!$B$2:$F$3236, 2, FALSE)</f>
        <v>3</v>
      </c>
      <c r="N476" s="37" t="str">
        <f>VLOOKUP(D476, County_Data_CZones!$B$2:$F$3236, 5, FALSE)</f>
        <v>Hot-Humid</v>
      </c>
    </row>
    <row r="477" ht="15.75" customHeight="1">
      <c r="A477" s="32" t="s">
        <v>438</v>
      </c>
      <c r="B477" s="32" t="s">
        <v>461</v>
      </c>
      <c r="C477" s="32" t="str">
        <f>vlookup(B477,State_EMM_RowSums!$A$2:$B$52,2,FALSE)</f>
        <v>GA</v>
      </c>
      <c r="D477" s="32">
        <v>13179.0</v>
      </c>
      <c r="E477" s="33">
        <f>IF(NOT(ISBLANK(vlookup($D477,Pop_Census_2023!$A$2:$E$3220,4,FALSE))),vlookup($D477,Pop_Census_2023!$A$2:$E$3220,4,FALSE), vlookup($D477,Pop_Census_2023!$A$2:$E$3220,5,FALSE))</f>
        <v>69210</v>
      </c>
      <c r="F477" s="32">
        <v>357095.0</v>
      </c>
      <c r="G477" s="32">
        <v>94.0</v>
      </c>
      <c r="H477" s="32" t="str">
        <f>VLOOKUP(D477, Grid_Region_Mapping!$D$2:$F$5286, 3, FALSE)</f>
        <v>SRSE</v>
      </c>
      <c r="I477" s="32">
        <v>5.0</v>
      </c>
      <c r="J477" s="34" t="str">
        <f t="shared" si="1"/>
        <v>South</v>
      </c>
      <c r="K477" s="35">
        <v>5.0</v>
      </c>
      <c r="L477" s="35" t="s">
        <v>104</v>
      </c>
      <c r="M477" s="36">
        <f>VLOOKUP(D477, County_Data_CZones!$B$2:$F$3236, 2, FALSE)</f>
        <v>2</v>
      </c>
      <c r="N477" s="37" t="str">
        <f>VLOOKUP(D477, County_Data_CZones!$B$2:$F$3236, 5, FALSE)</f>
        <v>Hot-Humid</v>
      </c>
    </row>
    <row r="478" ht="15.75" customHeight="1">
      <c r="A478" s="32" t="s">
        <v>250</v>
      </c>
      <c r="B478" s="32" t="s">
        <v>461</v>
      </c>
      <c r="C478" s="32" t="str">
        <f>vlookup(B478,State_EMM_RowSums!$A$2:$B$52,2,FALSE)</f>
        <v>GA</v>
      </c>
      <c r="D478" s="32">
        <v>13181.0</v>
      </c>
      <c r="E478" s="33">
        <f>IF(NOT(ISBLANK(vlookup($D478,Pop_Census_2023!$A$2:$E$3220,4,FALSE))),vlookup($D478,Pop_Census_2023!$A$2:$E$3220,4,FALSE), vlookup($D478,Pop_Census_2023!$A$2:$E$3220,5,FALSE))</f>
        <v>7879</v>
      </c>
      <c r="F478" s="32">
        <v>1688000.0</v>
      </c>
      <c r="G478" s="32">
        <v>94.0</v>
      </c>
      <c r="H478" s="32" t="str">
        <f>VLOOKUP(D478, Grid_Region_Mapping!$D$2:$F$5286, 3, FALSE)</f>
        <v>SRSE</v>
      </c>
      <c r="I478" s="32">
        <v>5.0</v>
      </c>
      <c r="J478" s="34" t="str">
        <f t="shared" si="1"/>
        <v>South</v>
      </c>
      <c r="K478" s="35">
        <v>4.0</v>
      </c>
      <c r="L478" s="35" t="s">
        <v>102</v>
      </c>
      <c r="M478" s="36">
        <f>VLOOKUP(D478, County_Data_CZones!$B$2:$F$3236, 2, FALSE)</f>
        <v>3</v>
      </c>
      <c r="N478" s="37" t="str">
        <f>VLOOKUP(D478, County_Data_CZones!$B$2:$F$3236, 5, FALSE)</f>
        <v>Mixed-Humid</v>
      </c>
    </row>
    <row r="479" ht="15.75" customHeight="1">
      <c r="A479" s="32" t="s">
        <v>524</v>
      </c>
      <c r="B479" s="32" t="s">
        <v>461</v>
      </c>
      <c r="C479" s="32" t="str">
        <f>vlookup(B479,State_EMM_RowSums!$A$2:$B$52,2,FALSE)</f>
        <v>GA</v>
      </c>
      <c r="D479" s="32">
        <v>13183.0</v>
      </c>
      <c r="E479" s="33">
        <f>IF(NOT(ISBLANK(vlookup($D479,Pop_Census_2023!$A$2:$E$3220,4,FALSE))),vlookup($D479,Pop_Census_2023!$A$2:$E$3220,4,FALSE), vlookup($D479,Pop_Census_2023!$A$2:$E$3220,5,FALSE))</f>
        <v>19594</v>
      </c>
      <c r="F479" s="32">
        <v>326719.0</v>
      </c>
      <c r="G479" s="32">
        <v>94.0</v>
      </c>
      <c r="H479" s="32" t="str">
        <f>VLOOKUP(D479, Grid_Region_Mapping!$D$2:$F$5286, 3, FALSE)</f>
        <v>SRSE</v>
      </c>
      <c r="I479" s="32">
        <v>5.0</v>
      </c>
      <c r="J479" s="34" t="str">
        <f t="shared" si="1"/>
        <v>South</v>
      </c>
      <c r="K479" s="35">
        <v>5.0</v>
      </c>
      <c r="L479" s="35" t="s">
        <v>104</v>
      </c>
      <c r="M479" s="36">
        <f>VLOOKUP(D479, County_Data_CZones!$B$2:$F$3236, 2, FALSE)</f>
        <v>2</v>
      </c>
      <c r="N479" s="37" t="str">
        <f>VLOOKUP(D479, County_Data_CZones!$B$2:$F$3236, 5, FALSE)</f>
        <v>Hot-Humid</v>
      </c>
    </row>
    <row r="480" ht="15.75" customHeight="1">
      <c r="A480" s="32" t="s">
        <v>145</v>
      </c>
      <c r="B480" s="32" t="s">
        <v>461</v>
      </c>
      <c r="C480" s="32" t="str">
        <f>vlookup(B480,State_EMM_RowSums!$A$2:$B$52,2,FALSE)</f>
        <v>GA</v>
      </c>
      <c r="D480" s="32">
        <v>13185.0</v>
      </c>
      <c r="E480" s="33">
        <f>IF(NOT(ISBLANK(vlookup($D480,Pop_Census_2023!$A$2:$E$3220,4,FALSE))),vlookup($D480,Pop_Census_2023!$A$2:$E$3220,4,FALSE), vlookup($D480,Pop_Census_2023!$A$2:$E$3220,5,FALSE))</f>
        <v>120712</v>
      </c>
      <c r="F480" s="32">
        <v>326720.0</v>
      </c>
      <c r="G480" s="32">
        <v>94.0</v>
      </c>
      <c r="H480" s="32" t="str">
        <f>VLOOKUP(D480, Grid_Region_Mapping!$D$2:$F$5286, 3, FALSE)</f>
        <v>SRSE</v>
      </c>
      <c r="I480" s="32">
        <v>5.0</v>
      </c>
      <c r="J480" s="34" t="str">
        <f t="shared" si="1"/>
        <v>South</v>
      </c>
      <c r="K480" s="35">
        <v>5.0</v>
      </c>
      <c r="L480" s="35" t="s">
        <v>104</v>
      </c>
      <c r="M480" s="36">
        <f>VLOOKUP(D480, County_Data_CZones!$B$2:$F$3236, 2, FALSE)</f>
        <v>2</v>
      </c>
      <c r="N480" s="37" t="str">
        <f>VLOOKUP(D480, County_Data_CZones!$B$2:$F$3236, 5, FALSE)</f>
        <v>Hot-Humid</v>
      </c>
    </row>
    <row r="481" ht="15.75" customHeight="1">
      <c r="A481" s="32" t="s">
        <v>525</v>
      </c>
      <c r="B481" s="32" t="s">
        <v>461</v>
      </c>
      <c r="C481" s="32" t="str">
        <f>vlookup(B481,State_EMM_RowSums!$A$2:$B$52,2,FALSE)</f>
        <v>GA</v>
      </c>
      <c r="D481" s="32">
        <v>13187.0</v>
      </c>
      <c r="E481" s="33">
        <f>IF(NOT(ISBLANK(vlookup($D481,Pop_Census_2023!$A$2:$E$3220,4,FALSE))),vlookup($D481,Pop_Census_2023!$A$2:$E$3220,4,FALSE), vlookup($D481,Pop_Census_2023!$A$2:$E$3220,5,FALSE))</f>
        <v>35258</v>
      </c>
      <c r="F481" s="32">
        <v>357196.0</v>
      </c>
      <c r="G481" s="32">
        <v>94.0</v>
      </c>
      <c r="H481" s="32" t="str">
        <f>VLOOKUP(D481, Grid_Region_Mapping!$D$2:$F$5286, 3, FALSE)</f>
        <v>SRSE</v>
      </c>
      <c r="I481" s="32">
        <v>5.0</v>
      </c>
      <c r="J481" s="34" t="str">
        <f t="shared" si="1"/>
        <v>South</v>
      </c>
      <c r="K481" s="35">
        <v>4.0</v>
      </c>
      <c r="L481" s="35" t="s">
        <v>223</v>
      </c>
      <c r="M481" s="36">
        <f>VLOOKUP(D481, County_Data_CZones!$B$2:$F$3236, 2, FALSE)</f>
        <v>4</v>
      </c>
      <c r="N481" s="37" t="str">
        <f>VLOOKUP(D481, County_Data_CZones!$B$2:$F$3236, 5, FALSE)</f>
        <v>Mixed-Humid</v>
      </c>
    </row>
    <row r="482" ht="15.75" customHeight="1">
      <c r="A482" s="32" t="s">
        <v>526</v>
      </c>
      <c r="B482" s="32" t="s">
        <v>461</v>
      </c>
      <c r="C482" s="32" t="str">
        <f>vlookup(B482,State_EMM_RowSums!$A$2:$B$52,2,FALSE)</f>
        <v>GA</v>
      </c>
      <c r="D482" s="32">
        <v>13189.0</v>
      </c>
      <c r="E482" s="33">
        <f>IF(NOT(ISBLANK(vlookup($D482,Pop_Census_2023!$A$2:$E$3220,4,FALSE))),vlookup($D482,Pop_Census_2023!$A$2:$E$3220,4,FALSE), vlookup($D482,Pop_Census_2023!$A$2:$E$3220,5,FALSE))</f>
        <v>21799</v>
      </c>
      <c r="F482" s="32">
        <v>348794.0</v>
      </c>
      <c r="G482" s="32">
        <v>94.0</v>
      </c>
      <c r="H482" s="32" t="str">
        <f>VLOOKUP(D482, Grid_Region_Mapping!$D$2:$F$5286, 3, FALSE)</f>
        <v>SRSE</v>
      </c>
      <c r="I482" s="32">
        <v>5.0</v>
      </c>
      <c r="J482" s="34" t="str">
        <f t="shared" si="1"/>
        <v>South</v>
      </c>
      <c r="K482" s="35">
        <v>4.0</v>
      </c>
      <c r="L482" s="35" t="s">
        <v>102</v>
      </c>
      <c r="M482" s="36">
        <f>VLOOKUP(D482, County_Data_CZones!$B$2:$F$3236, 2, FALSE)</f>
        <v>3</v>
      </c>
      <c r="N482" s="37" t="str">
        <f>VLOOKUP(D482, County_Data_CZones!$B$2:$F$3236, 5, FALSE)</f>
        <v>Mixed-Humid</v>
      </c>
    </row>
    <row r="483" ht="15.75" customHeight="1">
      <c r="A483" s="32" t="s">
        <v>527</v>
      </c>
      <c r="B483" s="32" t="s">
        <v>461</v>
      </c>
      <c r="C483" s="32" t="str">
        <f>vlookup(B483,State_EMM_RowSums!$A$2:$B$52,2,FALSE)</f>
        <v>GA</v>
      </c>
      <c r="D483" s="32">
        <v>13191.0</v>
      </c>
      <c r="E483" s="33">
        <f>IF(NOT(ISBLANK(vlookup($D483,Pop_Census_2023!$A$2:$E$3220,4,FALSE))),vlookup($D483,Pop_Census_2023!$A$2:$E$3220,4,FALSE), vlookup($D483,Pop_Census_2023!$A$2:$E$3220,5,FALSE))</f>
        <v>11501</v>
      </c>
      <c r="F483" s="32">
        <v>356886.0</v>
      </c>
      <c r="G483" s="32">
        <v>94.0</v>
      </c>
      <c r="H483" s="32" t="str">
        <f>VLOOKUP(D483, Grid_Region_Mapping!$D$2:$F$5286, 3, FALSE)</f>
        <v>SRSE</v>
      </c>
      <c r="I483" s="32">
        <v>5.0</v>
      </c>
      <c r="J483" s="34" t="str">
        <f t="shared" si="1"/>
        <v>South</v>
      </c>
      <c r="K483" s="35">
        <v>5.0</v>
      </c>
      <c r="L483" s="35" t="s">
        <v>104</v>
      </c>
      <c r="M483" s="36">
        <f>VLOOKUP(D483, County_Data_CZones!$B$2:$F$3236, 2, FALSE)</f>
        <v>2</v>
      </c>
      <c r="N483" s="37" t="str">
        <f>VLOOKUP(D483, County_Data_CZones!$B$2:$F$3236, 5, FALSE)</f>
        <v>Hot-Humid</v>
      </c>
    </row>
    <row r="484" ht="15.75" customHeight="1">
      <c r="A484" s="32" t="s">
        <v>146</v>
      </c>
      <c r="B484" s="32" t="s">
        <v>461</v>
      </c>
      <c r="C484" s="32" t="str">
        <f>vlookup(B484,State_EMM_RowSums!$A$2:$B$52,2,FALSE)</f>
        <v>GA</v>
      </c>
      <c r="D484" s="32">
        <v>13193.0</v>
      </c>
      <c r="E484" s="33">
        <f>IF(NOT(ISBLANK(vlookup($D484,Pop_Census_2023!$A$2:$E$3220,4,FALSE))),vlookup($D484,Pop_Census_2023!$A$2:$E$3220,4,FALSE), vlookup($D484,Pop_Census_2023!$A$2:$E$3220,5,FALSE))</f>
        <v>11817</v>
      </c>
      <c r="F484" s="32">
        <v>346957.0</v>
      </c>
      <c r="G484" s="32">
        <v>94.0</v>
      </c>
      <c r="H484" s="32" t="str">
        <f>VLOOKUP(D484, Grid_Region_Mapping!$D$2:$F$5286, 3, FALSE)</f>
        <v>SRSE</v>
      </c>
      <c r="I484" s="32">
        <v>5.0</v>
      </c>
      <c r="J484" s="34" t="str">
        <f t="shared" si="1"/>
        <v>South</v>
      </c>
      <c r="K484" s="35">
        <v>5.0</v>
      </c>
      <c r="L484" s="35" t="s">
        <v>102</v>
      </c>
      <c r="M484" s="36">
        <f>VLOOKUP(D484, County_Data_CZones!$B$2:$F$3236, 2, FALSE)</f>
        <v>3</v>
      </c>
      <c r="N484" s="37" t="str">
        <f>VLOOKUP(D484, County_Data_CZones!$B$2:$F$3236, 5, FALSE)</f>
        <v>Hot-Humid</v>
      </c>
    </row>
    <row r="485" ht="15.75" customHeight="1">
      <c r="A485" s="32" t="s">
        <v>147</v>
      </c>
      <c r="B485" s="32" t="s">
        <v>461</v>
      </c>
      <c r="C485" s="32" t="str">
        <f>vlookup(B485,State_EMM_RowSums!$A$2:$B$52,2,FALSE)</f>
        <v>GA</v>
      </c>
      <c r="D485" s="32">
        <v>13195.0</v>
      </c>
      <c r="E485" s="33">
        <f>IF(NOT(ISBLANK(vlookup($D485,Pop_Census_2023!$A$2:$E$3220,4,FALSE))),vlookup($D485,Pop_Census_2023!$A$2:$E$3220,4,FALSE), vlookup($D485,Pop_Census_2023!$A$2:$E$3220,5,FALSE))</f>
        <v>32191</v>
      </c>
      <c r="F485" s="32">
        <v>1688004.0</v>
      </c>
      <c r="G485" s="32">
        <v>94.0</v>
      </c>
      <c r="H485" s="32" t="str">
        <f>VLOOKUP(D485, Grid_Region_Mapping!$D$2:$F$5286, 3, FALSE)</f>
        <v>SRSE</v>
      </c>
      <c r="I485" s="32">
        <v>5.0</v>
      </c>
      <c r="J485" s="34" t="str">
        <f t="shared" si="1"/>
        <v>South</v>
      </c>
      <c r="K485" s="35">
        <v>4.0</v>
      </c>
      <c r="L485" s="35" t="s">
        <v>102</v>
      </c>
      <c r="M485" s="36">
        <f>VLOOKUP(D485, County_Data_CZones!$B$2:$F$3236, 2, FALSE)</f>
        <v>3</v>
      </c>
      <c r="N485" s="37" t="str">
        <f>VLOOKUP(D485, County_Data_CZones!$B$2:$F$3236, 5, FALSE)</f>
        <v>Mixed-Humid</v>
      </c>
    </row>
    <row r="486" ht="15.75" customHeight="1">
      <c r="A486" s="32" t="s">
        <v>149</v>
      </c>
      <c r="B486" s="32" t="s">
        <v>461</v>
      </c>
      <c r="C486" s="32" t="str">
        <f>vlookup(B486,State_EMM_RowSums!$A$2:$B$52,2,FALSE)</f>
        <v>GA</v>
      </c>
      <c r="D486" s="32">
        <v>13197.0</v>
      </c>
      <c r="E486" s="33">
        <f>IF(NOT(ISBLANK(vlookup($D486,Pop_Census_2023!$A$2:$E$3220,4,FALSE))),vlookup($D486,Pop_Census_2023!$A$2:$E$3220,4,FALSE), vlookup($D486,Pop_Census_2023!$A$2:$E$3220,5,FALSE))</f>
        <v>7440</v>
      </c>
      <c r="F486" s="32">
        <v>344107.0</v>
      </c>
      <c r="G486" s="32">
        <v>94.0</v>
      </c>
      <c r="H486" s="32" t="str">
        <f>VLOOKUP(D486, Grid_Region_Mapping!$D$2:$F$5286, 3, FALSE)</f>
        <v>SRSE</v>
      </c>
      <c r="I486" s="32">
        <v>5.0</v>
      </c>
      <c r="J486" s="34" t="str">
        <f t="shared" si="1"/>
        <v>South</v>
      </c>
      <c r="K486" s="35">
        <v>4.0</v>
      </c>
      <c r="L486" s="35" t="s">
        <v>102</v>
      </c>
      <c r="M486" s="36">
        <f>VLOOKUP(D486, County_Data_CZones!$B$2:$F$3236, 2, FALSE)</f>
        <v>3</v>
      </c>
      <c r="N486" s="37" t="str">
        <f>VLOOKUP(D486, County_Data_CZones!$B$2:$F$3236, 5, FALSE)</f>
        <v>Hot-Humid</v>
      </c>
    </row>
    <row r="487" ht="15.75" customHeight="1">
      <c r="A487" s="32" t="s">
        <v>528</v>
      </c>
      <c r="B487" s="32" t="s">
        <v>461</v>
      </c>
      <c r="C487" s="32" t="str">
        <f>vlookup(B487,State_EMM_RowSums!$A$2:$B$52,2,FALSE)</f>
        <v>GA</v>
      </c>
      <c r="D487" s="32">
        <v>13199.0</v>
      </c>
      <c r="E487" s="33">
        <f>IF(NOT(ISBLANK(vlookup($D487,Pop_Census_2023!$A$2:$E$3220,4,FALSE))),vlookup($D487,Pop_Census_2023!$A$2:$E$3220,4,FALSE), vlookup($D487,Pop_Census_2023!$A$2:$E$3220,5,FALSE))</f>
        <v>20931</v>
      </c>
      <c r="F487" s="32">
        <v>346892.0</v>
      </c>
      <c r="G487" s="32">
        <v>94.0</v>
      </c>
      <c r="H487" s="32" t="str">
        <f>VLOOKUP(D487, Grid_Region_Mapping!$D$2:$F$5286, 3, FALSE)</f>
        <v>SRSE</v>
      </c>
      <c r="I487" s="32">
        <v>5.0</v>
      </c>
      <c r="J487" s="34" t="str">
        <f t="shared" si="1"/>
        <v>South</v>
      </c>
      <c r="K487" s="35">
        <v>4.0</v>
      </c>
      <c r="L487" s="35" t="s">
        <v>102</v>
      </c>
      <c r="M487" s="36">
        <f>VLOOKUP(D487, County_Data_CZones!$B$2:$F$3236, 2, FALSE)</f>
        <v>3</v>
      </c>
      <c r="N487" s="37" t="str">
        <f>VLOOKUP(D487, County_Data_CZones!$B$2:$F$3236, 5, FALSE)</f>
        <v>Mixed-Humid</v>
      </c>
    </row>
    <row r="488" ht="15.75" customHeight="1">
      <c r="A488" s="32" t="s">
        <v>254</v>
      </c>
      <c r="B488" s="32" t="s">
        <v>461</v>
      </c>
      <c r="C488" s="32" t="str">
        <f>vlookup(B488,State_EMM_RowSums!$A$2:$B$52,2,FALSE)</f>
        <v>GA</v>
      </c>
      <c r="D488" s="32">
        <v>13201.0</v>
      </c>
      <c r="E488" s="33">
        <f>IF(NOT(ISBLANK(vlookup($D488,Pop_Census_2023!$A$2:$E$3220,4,FALSE))),vlookup($D488,Pop_Census_2023!$A$2:$E$3220,4,FALSE), vlookup($D488,Pop_Census_2023!$A$2:$E$3220,5,FALSE))</f>
        <v>5747</v>
      </c>
      <c r="F488" s="32">
        <v>344088.0</v>
      </c>
      <c r="G488" s="32">
        <v>94.0</v>
      </c>
      <c r="H488" s="32" t="str">
        <f>VLOOKUP(D488, Grid_Region_Mapping!$D$2:$F$5286, 3, FALSE)</f>
        <v>SRSE</v>
      </c>
      <c r="I488" s="32">
        <v>5.0</v>
      </c>
      <c r="J488" s="34" t="str">
        <f t="shared" si="1"/>
        <v>South</v>
      </c>
      <c r="K488" s="35">
        <v>5.0</v>
      </c>
      <c r="L488" s="35" t="s">
        <v>104</v>
      </c>
      <c r="M488" s="36">
        <f>VLOOKUP(D488, County_Data_CZones!$B$2:$F$3236, 2, FALSE)</f>
        <v>2</v>
      </c>
      <c r="N488" s="37" t="str">
        <f>VLOOKUP(D488, County_Data_CZones!$B$2:$F$3236, 5, FALSE)</f>
        <v>Hot-Humid</v>
      </c>
    </row>
    <row r="489" ht="15.75" customHeight="1">
      <c r="A489" s="32" t="s">
        <v>529</v>
      </c>
      <c r="B489" s="32" t="s">
        <v>461</v>
      </c>
      <c r="C489" s="32" t="str">
        <f>vlookup(B489,State_EMM_RowSums!$A$2:$B$52,2,FALSE)</f>
        <v>GA</v>
      </c>
      <c r="D489" s="32">
        <v>13205.0</v>
      </c>
      <c r="E489" s="33">
        <f>IF(NOT(ISBLANK(vlookup($D489,Pop_Census_2023!$A$2:$E$3220,4,FALSE))),vlookup($D489,Pop_Census_2023!$A$2:$E$3220,4,FALSE), vlookup($D489,Pop_Census_2023!$A$2:$E$3220,5,FALSE))</f>
        <v>21114</v>
      </c>
      <c r="F489" s="32">
        <v>343645.0</v>
      </c>
      <c r="G489" s="32">
        <v>94.0</v>
      </c>
      <c r="H489" s="32" t="str">
        <f>VLOOKUP(D489, Grid_Region_Mapping!$D$2:$F$5286, 3, FALSE)</f>
        <v>SRSE</v>
      </c>
      <c r="I489" s="32">
        <v>5.0</v>
      </c>
      <c r="J489" s="34" t="str">
        <f t="shared" si="1"/>
        <v>South</v>
      </c>
      <c r="K489" s="35">
        <v>5.0</v>
      </c>
      <c r="L489" s="35" t="s">
        <v>104</v>
      </c>
      <c r="M489" s="36">
        <f>VLOOKUP(D489, County_Data_CZones!$B$2:$F$3236, 2, FALSE)</f>
        <v>2</v>
      </c>
      <c r="N489" s="37" t="str">
        <f>VLOOKUP(D489, County_Data_CZones!$B$2:$F$3236, 5, FALSE)</f>
        <v>Hot-Humid</v>
      </c>
    </row>
    <row r="490" ht="15.75" customHeight="1">
      <c r="A490" s="32" t="s">
        <v>152</v>
      </c>
      <c r="B490" s="32" t="s">
        <v>461</v>
      </c>
      <c r="C490" s="32" t="str">
        <f>vlookup(B490,State_EMM_RowSums!$A$2:$B$52,2,FALSE)</f>
        <v>GA</v>
      </c>
      <c r="D490" s="32">
        <v>13207.0</v>
      </c>
      <c r="E490" s="33">
        <f>IF(NOT(ISBLANK(vlookup($D490,Pop_Census_2023!$A$2:$E$3220,4,FALSE))),vlookup($D490,Pop_Census_2023!$A$2:$E$3220,4,FALSE), vlookup($D490,Pop_Census_2023!$A$2:$E$3220,5,FALSE))</f>
        <v>30625</v>
      </c>
      <c r="F490" s="32">
        <v>343073.0</v>
      </c>
      <c r="G490" s="32">
        <v>94.0</v>
      </c>
      <c r="H490" s="32" t="str">
        <f>VLOOKUP(D490, Grid_Region_Mapping!$D$2:$F$5286, 3, FALSE)</f>
        <v>SRSE</v>
      </c>
      <c r="I490" s="32">
        <v>5.0</v>
      </c>
      <c r="J490" s="34" t="str">
        <f t="shared" si="1"/>
        <v>South</v>
      </c>
      <c r="K490" s="35">
        <v>4.0</v>
      </c>
      <c r="L490" s="35" t="s">
        <v>102</v>
      </c>
      <c r="M490" s="36">
        <f>VLOOKUP(D490, County_Data_CZones!$B$2:$F$3236, 2, FALSE)</f>
        <v>3</v>
      </c>
      <c r="N490" s="37" t="str">
        <f>VLOOKUP(D490, County_Data_CZones!$B$2:$F$3236, 5, FALSE)</f>
        <v>Mixed-Humid</v>
      </c>
    </row>
    <row r="491" ht="15.75" customHeight="1">
      <c r="A491" s="32" t="s">
        <v>153</v>
      </c>
      <c r="B491" s="32" t="s">
        <v>461</v>
      </c>
      <c r="C491" s="32" t="str">
        <f>vlookup(B491,State_EMM_RowSums!$A$2:$B$52,2,FALSE)</f>
        <v>GA</v>
      </c>
      <c r="D491" s="32">
        <v>13209.0</v>
      </c>
      <c r="E491" s="33">
        <f>IF(NOT(ISBLANK(vlookup($D491,Pop_Census_2023!$A$2:$E$3220,4,FALSE))),vlookup($D491,Pop_Census_2023!$A$2:$E$3220,4,FALSE), vlookup($D491,Pop_Census_2023!$A$2:$E$3220,5,FALSE))</f>
        <v>8761</v>
      </c>
      <c r="F491" s="32">
        <v>352276.0</v>
      </c>
      <c r="G491" s="32">
        <v>94.0</v>
      </c>
      <c r="H491" s="32" t="str">
        <f>VLOOKUP(D491, Grid_Region_Mapping!$D$2:$F$5286, 3, FALSE)</f>
        <v>SRSE</v>
      </c>
      <c r="I491" s="32">
        <v>5.0</v>
      </c>
      <c r="J491" s="34" t="str">
        <f t="shared" si="1"/>
        <v>South</v>
      </c>
      <c r="K491" s="35">
        <v>5.0</v>
      </c>
      <c r="L491" s="35" t="s">
        <v>102</v>
      </c>
      <c r="M491" s="36">
        <f>VLOOKUP(D491, County_Data_CZones!$B$2:$F$3236, 2, FALSE)</f>
        <v>3</v>
      </c>
      <c r="N491" s="37" t="str">
        <f>VLOOKUP(D491, County_Data_CZones!$B$2:$F$3236, 5, FALSE)</f>
        <v>Hot-Humid</v>
      </c>
    </row>
    <row r="492" ht="15.75" customHeight="1">
      <c r="A492" s="32" t="s">
        <v>154</v>
      </c>
      <c r="B492" s="32" t="s">
        <v>461</v>
      </c>
      <c r="C492" s="32" t="str">
        <f>vlookup(B492,State_EMM_RowSums!$A$2:$B$52,2,FALSE)</f>
        <v>GA</v>
      </c>
      <c r="D492" s="32">
        <v>13211.0</v>
      </c>
      <c r="E492" s="33">
        <f>IF(NOT(ISBLANK(vlookup($D492,Pop_Census_2023!$A$2:$E$3220,4,FALSE))),vlookup($D492,Pop_Census_2023!$A$2:$E$3220,4,FALSE), vlookup($D492,Pop_Census_2023!$A$2:$E$3220,5,FALSE))</f>
        <v>21460</v>
      </c>
      <c r="F492" s="32">
        <v>346008.0</v>
      </c>
      <c r="G492" s="32">
        <v>94.0</v>
      </c>
      <c r="H492" s="32" t="str">
        <f>VLOOKUP(D492, Grid_Region_Mapping!$D$2:$F$5286, 3, FALSE)</f>
        <v>SRSE</v>
      </c>
      <c r="I492" s="32">
        <v>5.0</v>
      </c>
      <c r="J492" s="34" t="str">
        <f t="shared" si="1"/>
        <v>South</v>
      </c>
      <c r="K492" s="35">
        <v>4.0</v>
      </c>
      <c r="L492" s="35" t="s">
        <v>102</v>
      </c>
      <c r="M492" s="36">
        <f>VLOOKUP(D492, County_Data_CZones!$B$2:$F$3236, 2, FALSE)</f>
        <v>3</v>
      </c>
      <c r="N492" s="37" t="str">
        <f>VLOOKUP(D492, County_Data_CZones!$B$2:$F$3236, 5, FALSE)</f>
        <v>Mixed-Humid</v>
      </c>
    </row>
    <row r="493" ht="15.75" customHeight="1">
      <c r="A493" s="32" t="s">
        <v>530</v>
      </c>
      <c r="B493" s="32" t="s">
        <v>461</v>
      </c>
      <c r="C493" s="32" t="str">
        <f>vlookup(B493,State_EMM_RowSums!$A$2:$B$52,2,FALSE)</f>
        <v>GA</v>
      </c>
      <c r="D493" s="32">
        <v>13213.0</v>
      </c>
      <c r="E493" s="33">
        <f>IF(NOT(ISBLANK(vlookup($D493,Pop_Census_2023!$A$2:$E$3220,4,FALSE))),vlookup($D493,Pop_Census_2023!$A$2:$E$3220,4,FALSE), vlookup($D493,Pop_Census_2023!$A$2:$E$3220,5,FALSE))</f>
        <v>41035</v>
      </c>
      <c r="F493" s="32">
        <v>1688005.0</v>
      </c>
      <c r="G493" s="32">
        <v>94.0</v>
      </c>
      <c r="H493" s="32" t="str">
        <f>VLOOKUP(D493, Grid_Region_Mapping!$D$2:$F$5286, 3, FALSE)</f>
        <v>SRSE</v>
      </c>
      <c r="I493" s="32">
        <v>5.0</v>
      </c>
      <c r="J493" s="34" t="str">
        <f t="shared" si="1"/>
        <v>South</v>
      </c>
      <c r="K493" s="35">
        <v>4.0</v>
      </c>
      <c r="L493" s="35" t="s">
        <v>223</v>
      </c>
      <c r="M493" s="36">
        <f>VLOOKUP(D493, County_Data_CZones!$B$2:$F$3236, 2, FALSE)</f>
        <v>4</v>
      </c>
      <c r="N493" s="37" t="str">
        <f>VLOOKUP(D493, County_Data_CZones!$B$2:$F$3236, 5, FALSE)</f>
        <v>Mixed-Humid</v>
      </c>
    </row>
    <row r="494" ht="15.75" customHeight="1">
      <c r="A494" s="32" t="s">
        <v>531</v>
      </c>
      <c r="B494" s="32" t="s">
        <v>461</v>
      </c>
      <c r="C494" s="32" t="str">
        <f>vlookup(B494,State_EMM_RowSums!$A$2:$B$52,2,FALSE)</f>
        <v>GA</v>
      </c>
      <c r="D494" s="32">
        <v>13215.0</v>
      </c>
      <c r="E494" s="33">
        <f>IF(NOT(ISBLANK(vlookup($D494,Pop_Census_2023!$A$2:$E$3220,4,FALSE))),vlookup($D494,Pop_Census_2023!$A$2:$E$3220,4,FALSE), vlookup($D494,Pop_Census_2023!$A$2:$E$3220,5,FALSE))</f>
        <v>201877</v>
      </c>
      <c r="F494" s="32">
        <v>357428.0</v>
      </c>
      <c r="G494" s="32">
        <v>94.0</v>
      </c>
      <c r="H494" s="32" t="str">
        <f>VLOOKUP(D494, Grid_Region_Mapping!$D$2:$F$5286, 3, FALSE)</f>
        <v>SRSE</v>
      </c>
      <c r="I494" s="32">
        <v>5.0</v>
      </c>
      <c r="J494" s="34" t="str">
        <f t="shared" si="1"/>
        <v>South</v>
      </c>
      <c r="K494" s="35">
        <v>5.0</v>
      </c>
      <c r="L494" s="35" t="s">
        <v>102</v>
      </c>
      <c r="M494" s="36">
        <f>VLOOKUP(D494, County_Data_CZones!$B$2:$F$3236, 2, FALSE)</f>
        <v>3</v>
      </c>
      <c r="N494" s="37" t="str">
        <f>VLOOKUP(D494, County_Data_CZones!$B$2:$F$3236, 5, FALSE)</f>
        <v>Mixed-Humid</v>
      </c>
    </row>
    <row r="495" ht="15.75" customHeight="1">
      <c r="A495" s="32" t="s">
        <v>257</v>
      </c>
      <c r="B495" s="32" t="s">
        <v>461</v>
      </c>
      <c r="C495" s="32" t="str">
        <f>vlookup(B495,State_EMM_RowSums!$A$2:$B$52,2,FALSE)</f>
        <v>GA</v>
      </c>
      <c r="D495" s="32">
        <v>13217.0</v>
      </c>
      <c r="E495" s="33">
        <f>IF(NOT(ISBLANK(vlookup($D495,Pop_Census_2023!$A$2:$E$3220,4,FALSE))),vlookup($D495,Pop_Census_2023!$A$2:$E$3220,4,FALSE), vlookup($D495,Pop_Census_2023!$A$2:$E$3220,5,FALSE))</f>
        <v>120135</v>
      </c>
      <c r="F495" s="32">
        <v>1673547.0</v>
      </c>
      <c r="G495" s="32">
        <v>94.0</v>
      </c>
      <c r="H495" s="32" t="str">
        <f>VLOOKUP(D495, Grid_Region_Mapping!$D$2:$F$5286, 3, FALSE)</f>
        <v>SRSE</v>
      </c>
      <c r="I495" s="32">
        <v>5.0</v>
      </c>
      <c r="J495" s="34" t="str">
        <f t="shared" si="1"/>
        <v>South</v>
      </c>
      <c r="K495" s="35">
        <v>4.0</v>
      </c>
      <c r="L495" s="35" t="s">
        <v>102</v>
      </c>
      <c r="M495" s="36">
        <f>VLOOKUP(D495, County_Data_CZones!$B$2:$F$3236, 2, FALSE)</f>
        <v>3</v>
      </c>
      <c r="N495" s="37" t="str">
        <f>VLOOKUP(D495, County_Data_CZones!$B$2:$F$3236, 5, FALSE)</f>
        <v>Mixed-Humid</v>
      </c>
    </row>
    <row r="496" ht="15.75" customHeight="1">
      <c r="A496" s="32" t="s">
        <v>532</v>
      </c>
      <c r="B496" s="32" t="s">
        <v>461</v>
      </c>
      <c r="C496" s="32" t="str">
        <f>vlookup(B496,State_EMM_RowSums!$A$2:$B$52,2,FALSE)</f>
        <v>GA</v>
      </c>
      <c r="D496" s="32">
        <v>13219.0</v>
      </c>
      <c r="E496" s="33">
        <f>IF(NOT(ISBLANK(vlookup($D496,Pop_Census_2023!$A$2:$E$3220,4,FALSE))),vlookup($D496,Pop_Census_2023!$A$2:$E$3220,4,FALSE), vlookup($D496,Pop_Census_2023!$A$2:$E$3220,5,FALSE))</f>
        <v>44182</v>
      </c>
      <c r="F496" s="32">
        <v>356774.0</v>
      </c>
      <c r="G496" s="32">
        <v>94.0</v>
      </c>
      <c r="H496" s="32" t="str">
        <f>VLOOKUP(D496, Grid_Region_Mapping!$D$2:$F$5286, 3, FALSE)</f>
        <v>SRSE</v>
      </c>
      <c r="I496" s="32">
        <v>5.0</v>
      </c>
      <c r="J496" s="34" t="str">
        <f t="shared" si="1"/>
        <v>South</v>
      </c>
      <c r="K496" s="35">
        <v>4.0</v>
      </c>
      <c r="L496" s="35" t="s">
        <v>102</v>
      </c>
      <c r="M496" s="36">
        <f>VLOOKUP(D496, County_Data_CZones!$B$2:$F$3236, 2, FALSE)</f>
        <v>3</v>
      </c>
      <c r="N496" s="37" t="str">
        <f>VLOOKUP(D496, County_Data_CZones!$B$2:$F$3236, 5, FALSE)</f>
        <v>Mixed-Humid</v>
      </c>
    </row>
    <row r="497" ht="15.75" customHeight="1">
      <c r="A497" s="32" t="s">
        <v>533</v>
      </c>
      <c r="B497" s="32" t="s">
        <v>461</v>
      </c>
      <c r="C497" s="32" t="str">
        <f>vlookup(B497,State_EMM_RowSums!$A$2:$B$52,2,FALSE)</f>
        <v>GA</v>
      </c>
      <c r="D497" s="32">
        <v>13221.0</v>
      </c>
      <c r="E497" s="33">
        <f>IF(NOT(ISBLANK(vlookup($D497,Pop_Census_2023!$A$2:$E$3220,4,FALSE))),vlookup($D497,Pop_Census_2023!$A$2:$E$3220,4,FALSE), vlookup($D497,Pop_Census_2023!$A$2:$E$3220,5,FALSE))</f>
        <v>15754</v>
      </c>
      <c r="F497" s="32">
        <v>351262.0</v>
      </c>
      <c r="G497" s="32">
        <v>94.0</v>
      </c>
      <c r="H497" s="32" t="str">
        <f>VLOOKUP(D497, Grid_Region_Mapping!$D$2:$F$5286, 3, FALSE)</f>
        <v>SRSE</v>
      </c>
      <c r="I497" s="32">
        <v>5.0</v>
      </c>
      <c r="J497" s="34" t="str">
        <f t="shared" si="1"/>
        <v>South</v>
      </c>
      <c r="K497" s="35">
        <v>4.0</v>
      </c>
      <c r="L497" s="35" t="s">
        <v>102</v>
      </c>
      <c r="M497" s="36">
        <f>VLOOKUP(D497, County_Data_CZones!$B$2:$F$3236, 2, FALSE)</f>
        <v>3</v>
      </c>
      <c r="N497" s="37" t="str">
        <f>VLOOKUP(D497, County_Data_CZones!$B$2:$F$3236, 5, FALSE)</f>
        <v>Mixed-Humid</v>
      </c>
    </row>
    <row r="498" ht="15.75" customHeight="1">
      <c r="A498" s="32" t="s">
        <v>534</v>
      </c>
      <c r="B498" s="32" t="s">
        <v>461</v>
      </c>
      <c r="C498" s="32" t="str">
        <f>vlookup(B498,State_EMM_RowSums!$A$2:$B$52,2,FALSE)</f>
        <v>GA</v>
      </c>
      <c r="D498" s="32">
        <v>13223.0</v>
      </c>
      <c r="E498" s="33">
        <f>IF(NOT(ISBLANK(vlookup($D498,Pop_Census_2023!$A$2:$E$3220,4,FALSE))),vlookup($D498,Pop_Census_2023!$A$2:$E$3220,4,FALSE), vlookup($D498,Pop_Census_2023!$A$2:$E$3220,5,FALSE))</f>
        <v>183164</v>
      </c>
      <c r="F498" s="32">
        <v>349912.0</v>
      </c>
      <c r="G498" s="32">
        <v>94.0</v>
      </c>
      <c r="H498" s="32" t="str">
        <f>VLOOKUP(D498, Grid_Region_Mapping!$D$2:$F$5286, 3, FALSE)</f>
        <v>SRSE</v>
      </c>
      <c r="I498" s="32">
        <v>5.0</v>
      </c>
      <c r="J498" s="34" t="str">
        <f t="shared" si="1"/>
        <v>South</v>
      </c>
      <c r="K498" s="35">
        <v>4.0</v>
      </c>
      <c r="L498" s="35" t="s">
        <v>102</v>
      </c>
      <c r="M498" s="36">
        <f>VLOOKUP(D498, County_Data_CZones!$B$2:$F$3236, 2, FALSE)</f>
        <v>3</v>
      </c>
      <c r="N498" s="37" t="str">
        <f>VLOOKUP(D498, County_Data_CZones!$B$2:$F$3236, 5, FALSE)</f>
        <v>Mixed-Humid</v>
      </c>
    </row>
    <row r="499" ht="15.75" customHeight="1">
      <c r="A499" s="32" t="s">
        <v>535</v>
      </c>
      <c r="B499" s="32" t="s">
        <v>461</v>
      </c>
      <c r="C499" s="32" t="str">
        <f>vlookup(B499,State_EMM_RowSums!$A$2:$B$52,2,FALSE)</f>
        <v>GA</v>
      </c>
      <c r="D499" s="32">
        <v>13225.0</v>
      </c>
      <c r="E499" s="33">
        <f>IF(NOT(ISBLANK(vlookup($D499,Pop_Census_2023!$A$2:$E$3220,4,FALSE))),vlookup($D499,Pop_Census_2023!$A$2:$E$3220,4,FALSE), vlookup($D499,Pop_Census_2023!$A$2:$E$3220,5,FALSE))</f>
        <v>28805</v>
      </c>
      <c r="F499" s="32">
        <v>343153.0</v>
      </c>
      <c r="G499" s="32">
        <v>94.0</v>
      </c>
      <c r="H499" s="32" t="str">
        <f>VLOOKUP(D499, Grid_Region_Mapping!$D$2:$F$5286, 3, FALSE)</f>
        <v>SRSE</v>
      </c>
      <c r="I499" s="32">
        <v>5.0</v>
      </c>
      <c r="J499" s="34" t="str">
        <f t="shared" si="1"/>
        <v>South</v>
      </c>
      <c r="K499" s="35">
        <v>5.0</v>
      </c>
      <c r="L499" s="35" t="s">
        <v>102</v>
      </c>
      <c r="M499" s="36">
        <f>VLOOKUP(D499, County_Data_CZones!$B$2:$F$3236, 2, FALSE)</f>
        <v>3</v>
      </c>
      <c r="N499" s="37" t="str">
        <f>VLOOKUP(D499, County_Data_CZones!$B$2:$F$3236, 5, FALSE)</f>
        <v>Hot-Humid</v>
      </c>
    </row>
    <row r="500" ht="15.75" customHeight="1">
      <c r="A500" s="32" t="s">
        <v>156</v>
      </c>
      <c r="B500" s="32" t="s">
        <v>461</v>
      </c>
      <c r="C500" s="32" t="str">
        <f>vlookup(B500,State_EMM_RowSums!$A$2:$B$52,2,FALSE)</f>
        <v>GA</v>
      </c>
      <c r="D500" s="32">
        <v>13227.0</v>
      </c>
      <c r="E500" s="33">
        <f>IF(NOT(ISBLANK(vlookup($D500,Pop_Census_2023!$A$2:$E$3220,4,FALSE))),vlookup($D500,Pop_Census_2023!$A$2:$E$3220,4,FALSE), vlookup($D500,Pop_Census_2023!$A$2:$E$3220,5,FALSE))</f>
        <v>35969</v>
      </c>
      <c r="F500" s="32">
        <v>1673011.0</v>
      </c>
      <c r="G500" s="32">
        <v>94.0</v>
      </c>
      <c r="H500" s="32" t="str">
        <f>VLOOKUP(D500, Grid_Region_Mapping!$D$2:$F$5286, 3, FALSE)</f>
        <v>SRSE</v>
      </c>
      <c r="I500" s="32">
        <v>5.0</v>
      </c>
      <c r="J500" s="34" t="str">
        <f t="shared" si="1"/>
        <v>South</v>
      </c>
      <c r="K500" s="35">
        <v>4.0</v>
      </c>
      <c r="L500" s="35" t="s">
        <v>223</v>
      </c>
      <c r="M500" s="36">
        <f>VLOOKUP(D500, County_Data_CZones!$B$2:$F$3236, 2, FALSE)</f>
        <v>4</v>
      </c>
      <c r="N500" s="37" t="str">
        <f>VLOOKUP(D500, County_Data_CZones!$B$2:$F$3236, 5, FALSE)</f>
        <v>Mixed-Humid</v>
      </c>
    </row>
    <row r="501" ht="15.75" customHeight="1">
      <c r="A501" s="32" t="s">
        <v>536</v>
      </c>
      <c r="B501" s="32" t="s">
        <v>461</v>
      </c>
      <c r="C501" s="32" t="str">
        <f>vlookup(B501,State_EMM_RowSums!$A$2:$B$52,2,FALSE)</f>
        <v>GA</v>
      </c>
      <c r="D501" s="32">
        <v>13229.0</v>
      </c>
      <c r="E501" s="33">
        <f>IF(NOT(ISBLANK(vlookup($D501,Pop_Census_2023!$A$2:$E$3220,4,FALSE))),vlookup($D501,Pop_Census_2023!$A$2:$E$3220,4,FALSE), vlookup($D501,Pop_Census_2023!$A$2:$E$3220,5,FALSE))</f>
        <v>20425</v>
      </c>
      <c r="F501" s="32">
        <v>349086.0</v>
      </c>
      <c r="G501" s="32">
        <v>94.0</v>
      </c>
      <c r="H501" s="32" t="str">
        <f>VLOOKUP(D501, Grid_Region_Mapping!$D$2:$F$5286, 3, FALSE)</f>
        <v>SRSE</v>
      </c>
      <c r="I501" s="32">
        <v>5.0</v>
      </c>
      <c r="J501" s="34" t="str">
        <f t="shared" si="1"/>
        <v>South</v>
      </c>
      <c r="K501" s="35">
        <v>5.0</v>
      </c>
      <c r="L501" s="35" t="s">
        <v>104</v>
      </c>
      <c r="M501" s="36">
        <f>VLOOKUP(D501, County_Data_CZones!$B$2:$F$3236, 2, FALSE)</f>
        <v>2</v>
      </c>
      <c r="N501" s="37" t="str">
        <f>VLOOKUP(D501, County_Data_CZones!$B$2:$F$3236, 5, FALSE)</f>
        <v>Hot-Humid</v>
      </c>
    </row>
    <row r="502" ht="15.75" customHeight="1">
      <c r="A502" s="32" t="s">
        <v>157</v>
      </c>
      <c r="B502" s="32" t="s">
        <v>461</v>
      </c>
      <c r="C502" s="32" t="str">
        <f>vlookup(B502,State_EMM_RowSums!$A$2:$B$52,2,FALSE)</f>
        <v>GA</v>
      </c>
      <c r="D502" s="32">
        <v>13231.0</v>
      </c>
      <c r="E502" s="33">
        <f>IF(NOT(ISBLANK(vlookup($D502,Pop_Census_2023!$A$2:$E$3220,4,FALSE))),vlookup($D502,Pop_Census_2023!$A$2:$E$3220,4,FALSE), vlookup($D502,Pop_Census_2023!$A$2:$E$3220,5,FALSE))</f>
        <v>20461</v>
      </c>
      <c r="F502" s="32">
        <v>346482.0</v>
      </c>
      <c r="G502" s="32">
        <v>94.0</v>
      </c>
      <c r="H502" s="32" t="str">
        <f>VLOOKUP(D502, Grid_Region_Mapping!$D$2:$F$5286, 3, FALSE)</f>
        <v>SRSE</v>
      </c>
      <c r="I502" s="32">
        <v>5.0</v>
      </c>
      <c r="J502" s="34" t="str">
        <f t="shared" si="1"/>
        <v>South</v>
      </c>
      <c r="K502" s="35">
        <v>4.0</v>
      </c>
      <c r="L502" s="35" t="s">
        <v>102</v>
      </c>
      <c r="M502" s="36">
        <f>VLOOKUP(D502, County_Data_CZones!$B$2:$F$3236, 2, FALSE)</f>
        <v>3</v>
      </c>
      <c r="N502" s="37" t="str">
        <f>VLOOKUP(D502, County_Data_CZones!$B$2:$F$3236, 5, FALSE)</f>
        <v>Mixed-Humid</v>
      </c>
    </row>
    <row r="503" ht="15.75" customHeight="1">
      <c r="A503" s="32" t="s">
        <v>261</v>
      </c>
      <c r="B503" s="32" t="s">
        <v>461</v>
      </c>
      <c r="C503" s="32" t="str">
        <f>vlookup(B503,State_EMM_RowSums!$A$2:$B$52,2,FALSE)</f>
        <v>GA</v>
      </c>
      <c r="D503" s="32">
        <v>13233.0</v>
      </c>
      <c r="E503" s="33">
        <f>IF(NOT(ISBLANK(vlookup($D503,Pop_Census_2023!$A$2:$E$3220,4,FALSE))),vlookup($D503,Pop_Census_2023!$A$2:$E$3220,4,FALSE), vlookup($D503,Pop_Census_2023!$A$2:$E$3220,5,FALSE))</f>
        <v>44223</v>
      </c>
      <c r="F503" s="32">
        <v>343585.0</v>
      </c>
      <c r="G503" s="32">
        <v>94.0</v>
      </c>
      <c r="H503" s="32" t="str">
        <f>VLOOKUP(D503, Grid_Region_Mapping!$D$2:$F$5286, 3, FALSE)</f>
        <v>SRSE</v>
      </c>
      <c r="I503" s="32">
        <v>5.0</v>
      </c>
      <c r="J503" s="34" t="str">
        <f t="shared" si="1"/>
        <v>South</v>
      </c>
      <c r="K503" s="35">
        <v>4.0</v>
      </c>
      <c r="L503" s="35" t="s">
        <v>102</v>
      </c>
      <c r="M503" s="36">
        <f>VLOOKUP(D503, County_Data_CZones!$B$2:$F$3236, 2, FALSE)</f>
        <v>3</v>
      </c>
      <c r="N503" s="37" t="str">
        <f>VLOOKUP(D503, County_Data_CZones!$B$2:$F$3236, 5, FALSE)</f>
        <v>Mixed-Humid</v>
      </c>
    </row>
    <row r="504" ht="15.75" customHeight="1">
      <c r="A504" s="32" t="s">
        <v>264</v>
      </c>
      <c r="B504" s="32" t="s">
        <v>461</v>
      </c>
      <c r="C504" s="32" t="str">
        <f>vlookup(B504,State_EMM_RowSums!$A$2:$B$52,2,FALSE)</f>
        <v>GA</v>
      </c>
      <c r="D504" s="32">
        <v>13235.0</v>
      </c>
      <c r="E504" s="33">
        <f>IF(NOT(ISBLANK(vlookup($D504,Pop_Census_2023!$A$2:$E$3220,4,FALSE))),vlookup($D504,Pop_Census_2023!$A$2:$E$3220,4,FALSE), vlookup($D504,Pop_Census_2023!$A$2:$E$3220,5,FALSE))</f>
        <v>10095</v>
      </c>
      <c r="F504" s="32">
        <v>347593.0</v>
      </c>
      <c r="G504" s="32">
        <v>94.0</v>
      </c>
      <c r="H504" s="32" t="str">
        <f>VLOOKUP(D504, Grid_Region_Mapping!$D$2:$F$5286, 3, FALSE)</f>
        <v>SRSE</v>
      </c>
      <c r="I504" s="32">
        <v>5.0</v>
      </c>
      <c r="J504" s="34" t="str">
        <f t="shared" si="1"/>
        <v>South</v>
      </c>
      <c r="K504" s="35">
        <v>5.0</v>
      </c>
      <c r="L504" s="35" t="s">
        <v>102</v>
      </c>
      <c r="M504" s="36">
        <f>VLOOKUP(D504, County_Data_CZones!$B$2:$F$3236, 2, FALSE)</f>
        <v>3</v>
      </c>
      <c r="N504" s="37" t="str">
        <f>VLOOKUP(D504, County_Data_CZones!$B$2:$F$3236, 5, FALSE)</f>
        <v>Hot-Humid</v>
      </c>
    </row>
    <row r="505" ht="15.75" customHeight="1">
      <c r="A505" s="32" t="s">
        <v>449</v>
      </c>
      <c r="B505" s="32" t="s">
        <v>461</v>
      </c>
      <c r="C505" s="32" t="str">
        <f>vlookup(B505,State_EMM_RowSums!$A$2:$B$52,2,FALSE)</f>
        <v>GA</v>
      </c>
      <c r="D505" s="32">
        <v>13237.0</v>
      </c>
      <c r="E505" s="33">
        <f>IF(NOT(ISBLANK(vlookup($D505,Pop_Census_2023!$A$2:$E$3220,4,FALSE))),vlookup($D505,Pop_Census_2023!$A$2:$E$3220,4,FALSE), vlookup($D505,Pop_Census_2023!$A$2:$E$3220,5,FALSE))</f>
        <v>23129</v>
      </c>
      <c r="F505" s="32">
        <v>347246.0</v>
      </c>
      <c r="G505" s="32">
        <v>94.0</v>
      </c>
      <c r="H505" s="32" t="str">
        <f>VLOOKUP(D505, Grid_Region_Mapping!$D$2:$F$5286, 3, FALSE)</f>
        <v>SRSE</v>
      </c>
      <c r="I505" s="32">
        <v>5.0</v>
      </c>
      <c r="J505" s="34" t="str">
        <f t="shared" si="1"/>
        <v>South</v>
      </c>
      <c r="K505" s="35">
        <v>5.0</v>
      </c>
      <c r="L505" s="35" t="s">
        <v>102</v>
      </c>
      <c r="M505" s="36">
        <f>VLOOKUP(D505, County_Data_CZones!$B$2:$F$3236, 2, FALSE)</f>
        <v>3</v>
      </c>
      <c r="N505" s="37" t="str">
        <f>VLOOKUP(D505, County_Data_CZones!$B$2:$F$3236, 5, FALSE)</f>
        <v>Mixed-Humid</v>
      </c>
    </row>
    <row r="506" ht="15.75" customHeight="1">
      <c r="A506" s="32" t="s">
        <v>537</v>
      </c>
      <c r="B506" s="32" t="s">
        <v>461</v>
      </c>
      <c r="C506" s="32" t="str">
        <f>vlookup(B506,State_EMM_RowSums!$A$2:$B$52,2,FALSE)</f>
        <v>GA</v>
      </c>
      <c r="D506" s="32">
        <v>13239.0</v>
      </c>
      <c r="E506" s="33">
        <f>IF(NOT(ISBLANK(vlookup($D506,Pop_Census_2023!$A$2:$E$3220,4,FALSE))),vlookup($D506,Pop_Census_2023!$A$2:$E$3220,4,FALSE), vlookup($D506,Pop_Census_2023!$A$2:$E$3220,5,FALSE))</f>
        <v>2280</v>
      </c>
      <c r="F506" s="32">
        <v>350547.0</v>
      </c>
      <c r="G506" s="32">
        <v>94.0</v>
      </c>
      <c r="H506" s="32" t="str">
        <f>VLOOKUP(D506, Grid_Region_Mapping!$D$2:$F$5286, 3, FALSE)</f>
        <v>SRSE</v>
      </c>
      <c r="I506" s="32">
        <v>5.0</v>
      </c>
      <c r="J506" s="34" t="str">
        <f t="shared" si="1"/>
        <v>South</v>
      </c>
      <c r="K506" s="35">
        <v>5.0</v>
      </c>
      <c r="L506" s="35" t="s">
        <v>102</v>
      </c>
      <c r="M506" s="36">
        <f>VLOOKUP(D506, County_Data_CZones!$B$2:$F$3236, 2, FALSE)</f>
        <v>3</v>
      </c>
      <c r="N506" s="37" t="str">
        <f>VLOOKUP(D506, County_Data_CZones!$B$2:$F$3236, 5, FALSE)</f>
        <v>Hot-Humid</v>
      </c>
    </row>
    <row r="507" ht="15.75" customHeight="1">
      <c r="A507" s="32" t="s">
        <v>538</v>
      </c>
      <c r="B507" s="32" t="s">
        <v>461</v>
      </c>
      <c r="C507" s="32" t="str">
        <f>vlookup(B507,State_EMM_RowSums!$A$2:$B$52,2,FALSE)</f>
        <v>GA</v>
      </c>
      <c r="D507" s="32">
        <v>13241.0</v>
      </c>
      <c r="E507" s="33">
        <f>IF(NOT(ISBLANK(vlookup($D507,Pop_Census_2023!$A$2:$E$3220,4,FALSE))),vlookup($D507,Pop_Census_2023!$A$2:$E$3220,4,FALSE), vlookup($D507,Pop_Census_2023!$A$2:$E$3220,5,FALSE))</f>
        <v>17442</v>
      </c>
      <c r="F507" s="32">
        <v>351489.0</v>
      </c>
      <c r="G507" s="32">
        <v>94.0</v>
      </c>
      <c r="H507" s="32" t="str">
        <f>VLOOKUP(D507, Grid_Region_Mapping!$D$2:$F$5286, 3, FALSE)</f>
        <v>SRSE</v>
      </c>
      <c r="I507" s="32">
        <v>5.0</v>
      </c>
      <c r="J507" s="34" t="str">
        <f t="shared" si="1"/>
        <v>South</v>
      </c>
      <c r="K507" s="35">
        <v>4.0</v>
      </c>
      <c r="L507" s="35" t="s">
        <v>223</v>
      </c>
      <c r="M507" s="36">
        <f>VLOOKUP(D507, County_Data_CZones!$B$2:$F$3236, 2, FALSE)</f>
        <v>4</v>
      </c>
      <c r="N507" s="37" t="str">
        <f>VLOOKUP(D507, County_Data_CZones!$B$2:$F$3236, 5, FALSE)</f>
        <v>Mixed-Humid</v>
      </c>
    </row>
    <row r="508" ht="15.75" customHeight="1">
      <c r="A508" s="32" t="s">
        <v>158</v>
      </c>
      <c r="B508" s="32" t="s">
        <v>461</v>
      </c>
      <c r="C508" s="32" t="str">
        <f>vlookup(B508,State_EMM_RowSums!$A$2:$B$52,2,FALSE)</f>
        <v>GA</v>
      </c>
      <c r="D508" s="32">
        <v>13243.0</v>
      </c>
      <c r="E508" s="33">
        <f>IF(NOT(ISBLANK(vlookup($D508,Pop_Census_2023!$A$2:$E$3220,4,FALSE))),vlookup($D508,Pop_Census_2023!$A$2:$E$3220,4,FALSE), vlookup($D508,Pop_Census_2023!$A$2:$E$3220,5,FALSE))</f>
        <v>6078</v>
      </c>
      <c r="F508" s="32">
        <v>352242.0</v>
      </c>
      <c r="G508" s="32">
        <v>94.0</v>
      </c>
      <c r="H508" s="32" t="str">
        <f>VLOOKUP(D508, Grid_Region_Mapping!$D$2:$F$5286, 3, FALSE)</f>
        <v>SRSE</v>
      </c>
      <c r="I508" s="32">
        <v>5.0</v>
      </c>
      <c r="J508" s="34" t="str">
        <f t="shared" si="1"/>
        <v>South</v>
      </c>
      <c r="K508" s="35">
        <v>5.0</v>
      </c>
      <c r="L508" s="35" t="s">
        <v>102</v>
      </c>
      <c r="M508" s="36">
        <f>VLOOKUP(D508, County_Data_CZones!$B$2:$F$3236, 2, FALSE)</f>
        <v>3</v>
      </c>
      <c r="N508" s="37" t="str">
        <f>VLOOKUP(D508, County_Data_CZones!$B$2:$F$3236, 5, FALSE)</f>
        <v>Hot-Humid</v>
      </c>
    </row>
    <row r="509" ht="15.75" customHeight="1">
      <c r="A509" s="32" t="s">
        <v>539</v>
      </c>
      <c r="B509" s="32" t="s">
        <v>461</v>
      </c>
      <c r="C509" s="32" t="str">
        <f>vlookup(B509,State_EMM_RowSums!$A$2:$B$52,2,FALSE)</f>
        <v>GA</v>
      </c>
      <c r="D509" s="32">
        <v>13245.0</v>
      </c>
      <c r="E509" s="33">
        <f>IF(NOT(ISBLANK(vlookup($D509,Pop_Census_2023!$A$2:$E$3220,4,FALSE))),vlookup($D509,Pop_Census_2023!$A$2:$E$3220,4,FALSE), vlookup($D509,Pop_Census_2023!$A$2:$E$3220,5,FALSE))</f>
        <v>205414</v>
      </c>
      <c r="F509" s="32">
        <v>358024.0</v>
      </c>
      <c r="G509" s="32">
        <v>94.0</v>
      </c>
      <c r="H509" s="32" t="str">
        <f>VLOOKUP(D509, Grid_Region_Mapping!$D$2:$F$5286, 3, FALSE)</f>
        <v>SRSE</v>
      </c>
      <c r="I509" s="32">
        <v>5.0</v>
      </c>
      <c r="J509" s="34" t="str">
        <f t="shared" si="1"/>
        <v>South</v>
      </c>
      <c r="K509" s="35">
        <v>4.0</v>
      </c>
      <c r="L509" s="35" t="s">
        <v>102</v>
      </c>
      <c r="M509" s="36">
        <f>VLOOKUP(D509, County_Data_CZones!$B$2:$F$3236, 2, FALSE)</f>
        <v>3</v>
      </c>
      <c r="N509" s="37" t="str">
        <f>VLOOKUP(D509, County_Data_CZones!$B$2:$F$3236, 5, FALSE)</f>
        <v>Mixed-Humid</v>
      </c>
    </row>
    <row r="510" ht="15.75" customHeight="1">
      <c r="A510" s="32" t="s">
        <v>540</v>
      </c>
      <c r="B510" s="32" t="s">
        <v>461</v>
      </c>
      <c r="C510" s="32" t="str">
        <f>vlookup(B510,State_EMM_RowSums!$A$2:$B$52,2,FALSE)</f>
        <v>GA</v>
      </c>
      <c r="D510" s="32">
        <v>13247.0</v>
      </c>
      <c r="E510" s="33">
        <f>IF(NOT(ISBLANK(vlookup($D510,Pop_Census_2023!$A$2:$E$3220,4,FALSE))),vlookup($D510,Pop_Census_2023!$A$2:$E$3220,4,FALSE), vlookup($D510,Pop_Census_2023!$A$2:$E$3220,5,FALSE))</f>
        <v>95987</v>
      </c>
      <c r="F510" s="32">
        <v>357592.0</v>
      </c>
      <c r="G510" s="32">
        <v>94.0</v>
      </c>
      <c r="H510" s="32" t="str">
        <f>VLOOKUP(D510, Grid_Region_Mapping!$D$2:$F$5286, 3, FALSE)</f>
        <v>SRSE</v>
      </c>
      <c r="I510" s="32">
        <v>5.0</v>
      </c>
      <c r="J510" s="34" t="str">
        <f t="shared" si="1"/>
        <v>South</v>
      </c>
      <c r="K510" s="35">
        <v>4.0</v>
      </c>
      <c r="L510" s="35" t="s">
        <v>102</v>
      </c>
      <c r="M510" s="36">
        <f>VLOOKUP(D510, County_Data_CZones!$B$2:$F$3236, 2, FALSE)</f>
        <v>3</v>
      </c>
      <c r="N510" s="37" t="str">
        <f>VLOOKUP(D510, County_Data_CZones!$B$2:$F$3236, 5, FALSE)</f>
        <v>Mixed-Humid</v>
      </c>
    </row>
    <row r="511" ht="15.75" customHeight="1">
      <c r="A511" s="32" t="s">
        <v>541</v>
      </c>
      <c r="B511" s="32" t="s">
        <v>461</v>
      </c>
      <c r="C511" s="32" t="str">
        <f>vlookup(B511,State_EMM_RowSums!$A$2:$B$52,2,FALSE)</f>
        <v>GA</v>
      </c>
      <c r="D511" s="32">
        <v>13249.0</v>
      </c>
      <c r="E511" s="33">
        <f>IF(NOT(ISBLANK(vlookup($D511,Pop_Census_2023!$A$2:$E$3220,4,FALSE))),vlookup($D511,Pop_Census_2023!$A$2:$E$3220,4,FALSE), vlookup($D511,Pop_Census_2023!$A$2:$E$3220,5,FALSE))</f>
        <v>4526</v>
      </c>
      <c r="F511" s="32">
        <v>344129.0</v>
      </c>
      <c r="G511" s="32">
        <v>94.0</v>
      </c>
      <c r="H511" s="32" t="str">
        <f>VLOOKUP(D511, Grid_Region_Mapping!$D$2:$F$5286, 3, FALSE)</f>
        <v>SRSE</v>
      </c>
      <c r="I511" s="32">
        <v>5.0</v>
      </c>
      <c r="J511" s="34" t="str">
        <f t="shared" si="1"/>
        <v>South</v>
      </c>
      <c r="K511" s="35">
        <v>4.0</v>
      </c>
      <c r="L511" s="35" t="s">
        <v>102</v>
      </c>
      <c r="M511" s="36">
        <f>VLOOKUP(D511, County_Data_CZones!$B$2:$F$3236, 2, FALSE)</f>
        <v>3</v>
      </c>
      <c r="N511" s="37" t="str">
        <f>VLOOKUP(D511, County_Data_CZones!$B$2:$F$3236, 5, FALSE)</f>
        <v>Hot-Humid</v>
      </c>
    </row>
    <row r="512" ht="15.75" customHeight="1">
      <c r="A512" s="32" t="s">
        <v>542</v>
      </c>
      <c r="B512" s="32" t="s">
        <v>461</v>
      </c>
      <c r="C512" s="32" t="str">
        <f>vlookup(B512,State_EMM_RowSums!$A$2:$B$52,2,FALSE)</f>
        <v>GA</v>
      </c>
      <c r="D512" s="32">
        <v>13251.0</v>
      </c>
      <c r="E512" s="33">
        <f>IF(NOT(ISBLANK(vlookup($D512,Pop_Census_2023!$A$2:$E$3220,4,FALSE))),vlookup($D512,Pop_Census_2023!$A$2:$E$3220,4,FALSE), vlookup($D512,Pop_Census_2023!$A$2:$E$3220,5,FALSE))</f>
        <v>14174</v>
      </c>
      <c r="F512" s="32">
        <v>350204.0</v>
      </c>
      <c r="G512" s="32">
        <v>94.0</v>
      </c>
      <c r="H512" s="32" t="str">
        <f>VLOOKUP(D512, Grid_Region_Mapping!$D$2:$F$5286, 3, FALSE)</f>
        <v>SRSE</v>
      </c>
      <c r="I512" s="32">
        <v>5.0</v>
      </c>
      <c r="J512" s="34" t="str">
        <f t="shared" si="1"/>
        <v>South</v>
      </c>
      <c r="K512" s="35">
        <v>5.0</v>
      </c>
      <c r="L512" s="35" t="s">
        <v>102</v>
      </c>
      <c r="M512" s="36">
        <f>VLOOKUP(D512, County_Data_CZones!$B$2:$F$3236, 2, FALSE)</f>
        <v>3</v>
      </c>
      <c r="N512" s="37" t="str">
        <f>VLOOKUP(D512, County_Data_CZones!$B$2:$F$3236, 5, FALSE)</f>
        <v>Hot-Humid</v>
      </c>
    </row>
    <row r="513" ht="15.75" customHeight="1">
      <c r="A513" s="32" t="s">
        <v>454</v>
      </c>
      <c r="B513" s="32" t="s">
        <v>461</v>
      </c>
      <c r="C513" s="32" t="str">
        <f>vlookup(B513,State_EMM_RowSums!$A$2:$B$52,2,FALSE)</f>
        <v>GA</v>
      </c>
      <c r="D513" s="32">
        <v>13253.0</v>
      </c>
      <c r="E513" s="33">
        <f>IF(NOT(ISBLANK(vlookup($D513,Pop_Census_2023!$A$2:$E$3220,4,FALSE))),vlookup($D513,Pop_Census_2023!$A$2:$E$3220,4,FALSE), vlookup($D513,Pop_Census_2023!$A$2:$E$3220,5,FALSE))</f>
        <v>9092</v>
      </c>
      <c r="F513" s="32">
        <v>351263.0</v>
      </c>
      <c r="G513" s="32">
        <v>94.0</v>
      </c>
      <c r="H513" s="32" t="str">
        <f>VLOOKUP(D513, Grid_Region_Mapping!$D$2:$F$5286, 3, FALSE)</f>
        <v>SRSE</v>
      </c>
      <c r="I513" s="32">
        <v>5.0</v>
      </c>
      <c r="J513" s="34" t="str">
        <f t="shared" si="1"/>
        <v>South</v>
      </c>
      <c r="K513" s="35">
        <v>5.0</v>
      </c>
      <c r="L513" s="35" t="s">
        <v>104</v>
      </c>
      <c r="M513" s="36">
        <f>VLOOKUP(D513, County_Data_CZones!$B$2:$F$3236, 2, FALSE)</f>
        <v>2</v>
      </c>
      <c r="N513" s="37" t="str">
        <f>VLOOKUP(D513, County_Data_CZones!$B$2:$F$3236, 5, FALSE)</f>
        <v>Hot-Humid</v>
      </c>
    </row>
    <row r="514" ht="15.75" customHeight="1">
      <c r="A514" s="32" t="s">
        <v>543</v>
      </c>
      <c r="B514" s="32" t="s">
        <v>461</v>
      </c>
      <c r="C514" s="32" t="str">
        <f>vlookup(B514,State_EMM_RowSums!$A$2:$B$52,2,FALSE)</f>
        <v>GA</v>
      </c>
      <c r="D514" s="32">
        <v>13255.0</v>
      </c>
      <c r="E514" s="33">
        <f>IF(NOT(ISBLANK(vlookup($D514,Pop_Census_2023!$A$2:$E$3220,4,FALSE))),vlookup($D514,Pop_Census_2023!$A$2:$E$3220,4,FALSE), vlookup($D514,Pop_Census_2023!$A$2:$E$3220,5,FALSE))</f>
        <v>69946</v>
      </c>
      <c r="F514" s="32">
        <v>353055.0</v>
      </c>
      <c r="G514" s="32">
        <v>94.0</v>
      </c>
      <c r="H514" s="32" t="str">
        <f>VLOOKUP(D514, Grid_Region_Mapping!$D$2:$F$5286, 3, FALSE)</f>
        <v>SRSE</v>
      </c>
      <c r="I514" s="32">
        <v>5.0</v>
      </c>
      <c r="J514" s="34" t="str">
        <f t="shared" si="1"/>
        <v>South</v>
      </c>
      <c r="K514" s="35">
        <v>4.0</v>
      </c>
      <c r="L514" s="35" t="s">
        <v>102</v>
      </c>
      <c r="M514" s="36">
        <f>VLOOKUP(D514, County_Data_CZones!$B$2:$F$3236, 2, FALSE)</f>
        <v>3</v>
      </c>
      <c r="N514" s="37" t="str">
        <f>VLOOKUP(D514, County_Data_CZones!$B$2:$F$3236, 5, FALSE)</f>
        <v>Mixed-Humid</v>
      </c>
    </row>
    <row r="515" ht="15.75" customHeight="1">
      <c r="A515" s="32" t="s">
        <v>544</v>
      </c>
      <c r="B515" s="32" t="s">
        <v>461</v>
      </c>
      <c r="C515" s="32" t="str">
        <f>vlookup(B515,State_EMM_RowSums!$A$2:$B$52,2,FALSE)</f>
        <v>GA</v>
      </c>
      <c r="D515" s="32">
        <v>13257.0</v>
      </c>
      <c r="E515" s="33">
        <f>IF(NOT(ISBLANK(vlookup($D515,Pop_Census_2023!$A$2:$E$3220,4,FALSE))),vlookup($D515,Pop_Census_2023!$A$2:$E$3220,4,FALSE), vlookup($D515,Pop_Census_2023!$A$2:$E$3220,5,FALSE))</f>
        <v>27228</v>
      </c>
      <c r="F515" s="32">
        <v>350028.0</v>
      </c>
      <c r="G515" s="32">
        <v>94.0</v>
      </c>
      <c r="H515" s="32" t="str">
        <f>VLOOKUP(D515, Grid_Region_Mapping!$D$2:$F$5286, 3, FALSE)</f>
        <v>SRSE</v>
      </c>
      <c r="I515" s="32">
        <v>5.0</v>
      </c>
      <c r="J515" s="34" t="str">
        <f t="shared" si="1"/>
        <v>South</v>
      </c>
      <c r="K515" s="35">
        <v>4.0</v>
      </c>
      <c r="L515" s="35" t="s">
        <v>223</v>
      </c>
      <c r="M515" s="36">
        <f>VLOOKUP(D515, County_Data_CZones!$B$2:$F$3236, 2, FALSE)</f>
        <v>4</v>
      </c>
      <c r="N515" s="37" t="str">
        <f>VLOOKUP(D515, County_Data_CZones!$B$2:$F$3236, 5, FALSE)</f>
        <v>Mixed-Humid</v>
      </c>
    </row>
    <row r="516" ht="15.75" customHeight="1">
      <c r="A516" s="32" t="s">
        <v>545</v>
      </c>
      <c r="B516" s="32" t="s">
        <v>461</v>
      </c>
      <c r="C516" s="32" t="str">
        <f>vlookup(B516,State_EMM_RowSums!$A$2:$B$52,2,FALSE)</f>
        <v>GA</v>
      </c>
      <c r="D516" s="32">
        <v>13259.0</v>
      </c>
      <c r="E516" s="33">
        <f>IF(NOT(ISBLANK(vlookup($D516,Pop_Census_2023!$A$2:$E$3220,4,FALSE))),vlookup($D516,Pop_Census_2023!$A$2:$E$3220,4,FALSE), vlookup($D516,Pop_Census_2023!$A$2:$E$3220,5,FALSE))</f>
        <v>4674</v>
      </c>
      <c r="F516" s="32">
        <v>347360.0</v>
      </c>
      <c r="G516" s="32">
        <v>94.0</v>
      </c>
      <c r="H516" s="32" t="str">
        <f>VLOOKUP(D516, Grid_Region_Mapping!$D$2:$F$5286, 3, FALSE)</f>
        <v>SRSE</v>
      </c>
      <c r="I516" s="32">
        <v>5.0</v>
      </c>
      <c r="J516" s="34" t="str">
        <f t="shared" si="1"/>
        <v>South</v>
      </c>
      <c r="K516" s="35">
        <v>5.0</v>
      </c>
      <c r="L516" s="35" t="s">
        <v>102</v>
      </c>
      <c r="M516" s="36">
        <f>VLOOKUP(D516, County_Data_CZones!$B$2:$F$3236, 2, FALSE)</f>
        <v>3</v>
      </c>
      <c r="N516" s="37" t="str">
        <f>VLOOKUP(D516, County_Data_CZones!$B$2:$F$3236, 5, FALSE)</f>
        <v>Hot-Humid</v>
      </c>
    </row>
    <row r="517" ht="15.75" customHeight="1">
      <c r="A517" s="32" t="s">
        <v>162</v>
      </c>
      <c r="B517" s="32" t="s">
        <v>461</v>
      </c>
      <c r="C517" s="32" t="str">
        <f>vlookup(B517,State_EMM_RowSums!$A$2:$B$52,2,FALSE)</f>
        <v>GA</v>
      </c>
      <c r="D517" s="32">
        <v>13261.0</v>
      </c>
      <c r="E517" s="33">
        <f>IF(NOT(ISBLANK(vlookup($D517,Pop_Census_2023!$A$2:$E$3220,4,FALSE))),vlookup($D517,Pop_Census_2023!$A$2:$E$3220,4,FALSE), vlookup($D517,Pop_Census_2023!$A$2:$E$3220,5,FALSE))</f>
        <v>28890</v>
      </c>
      <c r="F517" s="32">
        <v>343504.0</v>
      </c>
      <c r="G517" s="32">
        <v>94.0</v>
      </c>
      <c r="H517" s="32" t="str">
        <f>VLOOKUP(D517, Grid_Region_Mapping!$D$2:$F$5286, 3, FALSE)</f>
        <v>SRSE</v>
      </c>
      <c r="I517" s="32">
        <v>5.0</v>
      </c>
      <c r="J517" s="34" t="str">
        <f t="shared" si="1"/>
        <v>South</v>
      </c>
      <c r="K517" s="35">
        <v>4.0</v>
      </c>
      <c r="L517" s="35" t="s">
        <v>102</v>
      </c>
      <c r="M517" s="36">
        <f>VLOOKUP(D517, County_Data_CZones!$B$2:$F$3236, 2, FALSE)</f>
        <v>3</v>
      </c>
      <c r="N517" s="37" t="str">
        <f>VLOOKUP(D517, County_Data_CZones!$B$2:$F$3236, 5, FALSE)</f>
        <v>Hot-Humid</v>
      </c>
    </row>
    <row r="518" ht="15.75" customHeight="1">
      <c r="A518" s="32" t="s">
        <v>546</v>
      </c>
      <c r="B518" s="32" t="s">
        <v>461</v>
      </c>
      <c r="C518" s="32" t="str">
        <f>vlookup(B518,State_EMM_RowSums!$A$2:$B$52,2,FALSE)</f>
        <v>GA</v>
      </c>
      <c r="D518" s="32">
        <v>13263.0</v>
      </c>
      <c r="E518" s="33">
        <f>IF(NOT(ISBLANK(vlookup($D518,Pop_Census_2023!$A$2:$E$3220,4,FALSE))),vlookup($D518,Pop_Census_2023!$A$2:$E$3220,4,FALSE), vlookup($D518,Pop_Census_2023!$A$2:$E$3220,5,FALSE))</f>
        <v>5718</v>
      </c>
      <c r="F518" s="32">
        <v>326757.0</v>
      </c>
      <c r="G518" s="32">
        <v>94.0</v>
      </c>
      <c r="H518" s="32" t="str">
        <f>VLOOKUP(D518, Grid_Region_Mapping!$D$2:$F$5286, 3, FALSE)</f>
        <v>SRSE</v>
      </c>
      <c r="I518" s="32">
        <v>5.0</v>
      </c>
      <c r="J518" s="34" t="str">
        <f t="shared" si="1"/>
        <v>South</v>
      </c>
      <c r="K518" s="35">
        <v>4.0</v>
      </c>
      <c r="L518" s="35" t="s">
        <v>102</v>
      </c>
      <c r="M518" s="36">
        <f>VLOOKUP(D518, County_Data_CZones!$B$2:$F$3236, 2, FALSE)</f>
        <v>3</v>
      </c>
      <c r="N518" s="37" t="str">
        <f>VLOOKUP(D518, County_Data_CZones!$B$2:$F$3236, 5, FALSE)</f>
        <v>Mixed-Humid</v>
      </c>
    </row>
    <row r="519" ht="15.75" customHeight="1">
      <c r="A519" s="32" t="s">
        <v>547</v>
      </c>
      <c r="B519" s="32" t="s">
        <v>461</v>
      </c>
      <c r="C519" s="32" t="str">
        <f>vlookup(B519,State_EMM_RowSums!$A$2:$B$52,2,FALSE)</f>
        <v>GA</v>
      </c>
      <c r="D519" s="32">
        <v>13265.0</v>
      </c>
      <c r="E519" s="33">
        <f>IF(NOT(ISBLANK(vlookup($D519,Pop_Census_2023!$A$2:$E$3220,4,FALSE))),vlookup($D519,Pop_Census_2023!$A$2:$E$3220,4,FALSE), vlookup($D519,Pop_Census_2023!$A$2:$E$3220,5,FALSE))</f>
        <v>1609</v>
      </c>
      <c r="F519" s="32">
        <v>347654.0</v>
      </c>
      <c r="G519" s="32">
        <v>94.0</v>
      </c>
      <c r="H519" s="32" t="str">
        <f>VLOOKUP(D519, Grid_Region_Mapping!$D$2:$F$5286, 3, FALSE)</f>
        <v>SRSE</v>
      </c>
      <c r="I519" s="32">
        <v>5.0</v>
      </c>
      <c r="J519" s="34" t="str">
        <f t="shared" si="1"/>
        <v>South</v>
      </c>
      <c r="K519" s="35">
        <v>4.0</v>
      </c>
      <c r="L519" s="35" t="s">
        <v>102</v>
      </c>
      <c r="M519" s="36">
        <f>VLOOKUP(D519, County_Data_CZones!$B$2:$F$3236, 2, FALSE)</f>
        <v>3</v>
      </c>
      <c r="N519" s="37" t="str">
        <f>VLOOKUP(D519, County_Data_CZones!$B$2:$F$3236, 5, FALSE)</f>
        <v>Mixed-Humid</v>
      </c>
    </row>
    <row r="520" ht="15.75" customHeight="1">
      <c r="A520" s="32" t="s">
        <v>548</v>
      </c>
      <c r="B520" s="32" t="s">
        <v>461</v>
      </c>
      <c r="C520" s="32" t="str">
        <f>vlookup(B520,State_EMM_RowSums!$A$2:$B$52,2,FALSE)</f>
        <v>GA</v>
      </c>
      <c r="D520" s="32">
        <v>13267.0</v>
      </c>
      <c r="E520" s="33">
        <f>IF(NOT(ISBLANK(vlookup($D520,Pop_Census_2023!$A$2:$E$3220,4,FALSE))),vlookup($D520,Pop_Census_2023!$A$2:$E$3220,4,FALSE), vlookup($D520,Pop_Census_2023!$A$2:$E$3220,5,FALSE))</f>
        <v>24296</v>
      </c>
      <c r="F520" s="32">
        <v>347445.0</v>
      </c>
      <c r="G520" s="32">
        <v>94.0</v>
      </c>
      <c r="H520" s="32" t="str">
        <f>VLOOKUP(D520, Grid_Region_Mapping!$D$2:$F$5286, 3, FALSE)</f>
        <v>SRSE</v>
      </c>
      <c r="I520" s="32">
        <v>5.0</v>
      </c>
      <c r="J520" s="34" t="str">
        <f t="shared" si="1"/>
        <v>South</v>
      </c>
      <c r="K520" s="35">
        <v>5.0</v>
      </c>
      <c r="L520" s="35" t="s">
        <v>104</v>
      </c>
      <c r="M520" s="36">
        <f>VLOOKUP(D520, County_Data_CZones!$B$2:$F$3236, 2, FALSE)</f>
        <v>2</v>
      </c>
      <c r="N520" s="37" t="str">
        <f>VLOOKUP(D520, County_Data_CZones!$B$2:$F$3236, 5, FALSE)</f>
        <v>Hot-Humid</v>
      </c>
    </row>
    <row r="521" ht="15.75" customHeight="1">
      <c r="A521" s="32" t="s">
        <v>456</v>
      </c>
      <c r="B521" s="32" t="s">
        <v>461</v>
      </c>
      <c r="C521" s="32" t="str">
        <f>vlookup(B521,State_EMM_RowSums!$A$2:$B$52,2,FALSE)</f>
        <v>GA</v>
      </c>
      <c r="D521" s="32">
        <v>13269.0</v>
      </c>
      <c r="E521" s="33">
        <f>IF(NOT(ISBLANK(vlookup($D521,Pop_Census_2023!$A$2:$E$3220,4,FALSE))),vlookup($D521,Pop_Census_2023!$A$2:$E$3220,4,FALSE), vlookup($D521,Pop_Census_2023!$A$2:$E$3220,5,FALSE))</f>
        <v>7758</v>
      </c>
      <c r="F521" s="32">
        <v>344156.0</v>
      </c>
      <c r="G521" s="32">
        <v>94.0</v>
      </c>
      <c r="H521" s="32" t="str">
        <f>VLOOKUP(D521, Grid_Region_Mapping!$D$2:$F$5286, 3, FALSE)</f>
        <v>SRSE</v>
      </c>
      <c r="I521" s="32">
        <v>5.0</v>
      </c>
      <c r="J521" s="34" t="str">
        <f t="shared" si="1"/>
        <v>South</v>
      </c>
      <c r="K521" s="35">
        <v>5.0</v>
      </c>
      <c r="L521" s="35" t="s">
        <v>102</v>
      </c>
      <c r="M521" s="36">
        <f>VLOOKUP(D521, County_Data_CZones!$B$2:$F$3236, 2, FALSE)</f>
        <v>3</v>
      </c>
      <c r="N521" s="37" t="str">
        <f>VLOOKUP(D521, County_Data_CZones!$B$2:$F$3236, 5, FALSE)</f>
        <v>Hot-Humid</v>
      </c>
    </row>
    <row r="522" ht="15.75" customHeight="1">
      <c r="A522" s="32" t="s">
        <v>549</v>
      </c>
      <c r="B522" s="32" t="s">
        <v>461</v>
      </c>
      <c r="C522" s="32" t="str">
        <f>vlookup(B522,State_EMM_RowSums!$A$2:$B$52,2,FALSE)</f>
        <v>GA</v>
      </c>
      <c r="D522" s="32">
        <v>13271.0</v>
      </c>
      <c r="E522" s="33">
        <f>IF(NOT(ISBLANK(vlookup($D522,Pop_Census_2023!$A$2:$E$3220,4,FALSE))),vlookup($D522,Pop_Census_2023!$A$2:$E$3220,4,FALSE), vlookup($D522,Pop_Census_2023!$A$2:$E$3220,5,FALSE))</f>
        <v>10920</v>
      </c>
      <c r="F522" s="32">
        <v>356958.0</v>
      </c>
      <c r="G522" s="32">
        <v>94.0</v>
      </c>
      <c r="H522" s="32" t="str">
        <f>VLOOKUP(D522, Grid_Region_Mapping!$D$2:$F$5286, 3, FALSE)</f>
        <v>SRSE</v>
      </c>
      <c r="I522" s="32">
        <v>5.0</v>
      </c>
      <c r="J522" s="34" t="str">
        <f t="shared" si="1"/>
        <v>South</v>
      </c>
      <c r="K522" s="35">
        <v>5.0</v>
      </c>
      <c r="L522" s="35" t="s">
        <v>102</v>
      </c>
      <c r="M522" s="36">
        <f>VLOOKUP(D522, County_Data_CZones!$B$2:$F$3236, 2, FALSE)</f>
        <v>3</v>
      </c>
      <c r="N522" s="37" t="str">
        <f>VLOOKUP(D522, County_Data_CZones!$B$2:$F$3236, 5, FALSE)</f>
        <v>Hot-Humid</v>
      </c>
    </row>
    <row r="523" ht="15.75" customHeight="1">
      <c r="A523" s="32" t="s">
        <v>550</v>
      </c>
      <c r="B523" s="32" t="s">
        <v>461</v>
      </c>
      <c r="C523" s="32" t="str">
        <f>vlookup(B523,State_EMM_RowSums!$A$2:$B$52,2,FALSE)</f>
        <v>GA</v>
      </c>
      <c r="D523" s="32">
        <v>13273.0</v>
      </c>
      <c r="E523" s="33">
        <f>IF(NOT(ISBLANK(vlookup($D523,Pop_Census_2023!$A$2:$E$3220,4,FALSE))),vlookup($D523,Pop_Census_2023!$A$2:$E$3220,4,FALSE), vlookup($D523,Pop_Census_2023!$A$2:$E$3220,5,FALSE))</f>
        <v>8718</v>
      </c>
      <c r="F523" s="32">
        <v>352238.0</v>
      </c>
      <c r="G523" s="32">
        <v>94.0</v>
      </c>
      <c r="H523" s="32" t="str">
        <f>VLOOKUP(D523, Grid_Region_Mapping!$D$2:$F$5286, 3, FALSE)</f>
        <v>SRSE</v>
      </c>
      <c r="I523" s="32">
        <v>5.0</v>
      </c>
      <c r="J523" s="34" t="str">
        <f t="shared" si="1"/>
        <v>South</v>
      </c>
      <c r="K523" s="35">
        <v>5.0</v>
      </c>
      <c r="L523" s="35" t="s">
        <v>102</v>
      </c>
      <c r="M523" s="36">
        <f>VLOOKUP(D523, County_Data_CZones!$B$2:$F$3236, 2, FALSE)</f>
        <v>3</v>
      </c>
      <c r="N523" s="37" t="str">
        <f>VLOOKUP(D523, County_Data_CZones!$B$2:$F$3236, 5, FALSE)</f>
        <v>Hot-Humid</v>
      </c>
    </row>
    <row r="524" ht="15.75" customHeight="1">
      <c r="A524" s="32" t="s">
        <v>551</v>
      </c>
      <c r="B524" s="32" t="s">
        <v>461</v>
      </c>
      <c r="C524" s="32" t="str">
        <f>vlookup(B524,State_EMM_RowSums!$A$2:$B$52,2,FALSE)</f>
        <v>GA</v>
      </c>
      <c r="D524" s="32">
        <v>13275.0</v>
      </c>
      <c r="E524" s="33">
        <f>IF(NOT(ISBLANK(vlookup($D524,Pop_Census_2023!$A$2:$E$3220,4,FALSE))),vlookup($D524,Pop_Census_2023!$A$2:$E$3220,4,FALSE), vlookup($D524,Pop_Census_2023!$A$2:$E$3220,5,FALSE))</f>
        <v>45649</v>
      </c>
      <c r="F524" s="32">
        <v>343835.0</v>
      </c>
      <c r="G524" s="32">
        <v>94.0</v>
      </c>
      <c r="H524" s="32" t="str">
        <f>VLOOKUP(D524, Grid_Region_Mapping!$D$2:$F$5286, 3, FALSE)</f>
        <v>SRSE</v>
      </c>
      <c r="I524" s="32">
        <v>5.0</v>
      </c>
      <c r="J524" s="34" t="str">
        <f t="shared" si="1"/>
        <v>South</v>
      </c>
      <c r="K524" s="35">
        <v>5.0</v>
      </c>
      <c r="L524" s="35" t="s">
        <v>104</v>
      </c>
      <c r="M524" s="36">
        <f>VLOOKUP(D524, County_Data_CZones!$B$2:$F$3236, 2, FALSE)</f>
        <v>2</v>
      </c>
      <c r="N524" s="37" t="str">
        <f>VLOOKUP(D524, County_Data_CZones!$B$2:$F$3236, 5, FALSE)</f>
        <v>Hot-Humid</v>
      </c>
    </row>
    <row r="525" ht="15.75" customHeight="1">
      <c r="A525" s="32" t="s">
        <v>552</v>
      </c>
      <c r="B525" s="32" t="s">
        <v>461</v>
      </c>
      <c r="C525" s="32" t="str">
        <f>vlookup(B525,State_EMM_RowSums!$A$2:$B$52,2,FALSE)</f>
        <v>GA</v>
      </c>
      <c r="D525" s="32">
        <v>13277.0</v>
      </c>
      <c r="E525" s="33">
        <f>IF(NOT(ISBLANK(vlookup($D525,Pop_Census_2023!$A$2:$E$3220,4,FALSE))),vlookup($D525,Pop_Census_2023!$A$2:$E$3220,4,FALSE), vlookup($D525,Pop_Census_2023!$A$2:$E$3220,5,FALSE))</f>
        <v>41554</v>
      </c>
      <c r="F525" s="32">
        <v>344090.0</v>
      </c>
      <c r="G525" s="32">
        <v>94.0</v>
      </c>
      <c r="H525" s="32" t="str">
        <f>VLOOKUP(D525, Grid_Region_Mapping!$D$2:$F$5286, 3, FALSE)</f>
        <v>SRSE</v>
      </c>
      <c r="I525" s="32">
        <v>5.0</v>
      </c>
      <c r="J525" s="34" t="str">
        <f t="shared" si="1"/>
        <v>South</v>
      </c>
      <c r="K525" s="35">
        <v>5.0</v>
      </c>
      <c r="L525" s="35" t="s">
        <v>102</v>
      </c>
      <c r="M525" s="36">
        <f>VLOOKUP(D525, County_Data_CZones!$B$2:$F$3236, 2, FALSE)</f>
        <v>3</v>
      </c>
      <c r="N525" s="37" t="str">
        <f>VLOOKUP(D525, County_Data_CZones!$B$2:$F$3236, 5, FALSE)</f>
        <v>Hot-Humid</v>
      </c>
    </row>
    <row r="526" ht="15.75" customHeight="1">
      <c r="A526" s="32" t="s">
        <v>553</v>
      </c>
      <c r="B526" s="32" t="s">
        <v>461</v>
      </c>
      <c r="C526" s="32" t="str">
        <f>vlookup(B526,State_EMM_RowSums!$A$2:$B$52,2,FALSE)</f>
        <v>GA</v>
      </c>
      <c r="D526" s="32">
        <v>13279.0</v>
      </c>
      <c r="E526" s="33">
        <f>IF(NOT(ISBLANK(vlookup($D526,Pop_Census_2023!$A$2:$E$3220,4,FALSE))),vlookup($D526,Pop_Census_2023!$A$2:$E$3220,4,FALSE), vlookup($D526,Pop_Census_2023!$A$2:$E$3220,5,FALSE))</f>
        <v>27040</v>
      </c>
      <c r="F526" s="32">
        <v>345220.0</v>
      </c>
      <c r="G526" s="32">
        <v>94.0</v>
      </c>
      <c r="H526" s="32" t="str">
        <f>VLOOKUP(D526, Grid_Region_Mapping!$D$2:$F$5286, 3, FALSE)</f>
        <v>SRSE</v>
      </c>
      <c r="I526" s="32">
        <v>5.0</v>
      </c>
      <c r="J526" s="34" t="str">
        <f t="shared" si="1"/>
        <v>South</v>
      </c>
      <c r="K526" s="35">
        <v>5.0</v>
      </c>
      <c r="L526" s="35" t="s">
        <v>104</v>
      </c>
      <c r="M526" s="36">
        <f>VLOOKUP(D526, County_Data_CZones!$B$2:$F$3236, 2, FALSE)</f>
        <v>2</v>
      </c>
      <c r="N526" s="37" t="str">
        <f>VLOOKUP(D526, County_Data_CZones!$B$2:$F$3236, 5, FALSE)</f>
        <v>Hot-Humid</v>
      </c>
    </row>
    <row r="527" ht="15.75" customHeight="1">
      <c r="A527" s="32" t="s">
        <v>554</v>
      </c>
      <c r="B527" s="32" t="s">
        <v>461</v>
      </c>
      <c r="C527" s="32" t="str">
        <f>vlookup(B527,State_EMM_RowSums!$A$2:$B$52,2,FALSE)</f>
        <v>GA</v>
      </c>
      <c r="D527" s="32">
        <v>13281.0</v>
      </c>
      <c r="E527" s="33">
        <f>IF(NOT(ISBLANK(vlookup($D527,Pop_Census_2023!$A$2:$E$3220,4,FALSE))),vlookup($D527,Pop_Census_2023!$A$2:$E$3220,4,FALSE), vlookup($D527,Pop_Census_2023!$A$2:$E$3220,5,FALSE))</f>
        <v>13035</v>
      </c>
      <c r="F527" s="32">
        <v>351252.0</v>
      </c>
      <c r="G527" s="32">
        <v>94.0</v>
      </c>
      <c r="H527" s="32" t="str">
        <f>VLOOKUP(D527, Grid_Region_Mapping!$D$2:$F$5286, 3, FALSE)</f>
        <v>SRCE</v>
      </c>
      <c r="I527" s="32">
        <v>5.0</v>
      </c>
      <c r="J527" s="34" t="str">
        <f t="shared" si="1"/>
        <v>South</v>
      </c>
      <c r="K527" s="35">
        <v>4.0</v>
      </c>
      <c r="L527" s="35" t="s">
        <v>223</v>
      </c>
      <c r="M527" s="36">
        <f>VLOOKUP(D527, County_Data_CZones!$B$2:$F$3236, 2, FALSE)</f>
        <v>4</v>
      </c>
      <c r="N527" s="37" t="str">
        <f>VLOOKUP(D527, County_Data_CZones!$B$2:$F$3236, 5, FALSE)</f>
        <v>Mixed-Humid</v>
      </c>
    </row>
    <row r="528" ht="15.75" customHeight="1">
      <c r="A528" s="32" t="s">
        <v>555</v>
      </c>
      <c r="B528" s="32" t="s">
        <v>461</v>
      </c>
      <c r="C528" s="32" t="str">
        <f>vlookup(B528,State_EMM_RowSums!$A$2:$B$52,2,FALSE)</f>
        <v>GA</v>
      </c>
      <c r="D528" s="32">
        <v>13283.0</v>
      </c>
      <c r="E528" s="33">
        <f>IF(NOT(ISBLANK(vlookup($D528,Pop_Census_2023!$A$2:$E$3220,4,FALSE))),vlookup($D528,Pop_Census_2023!$A$2:$E$3220,4,FALSE), vlookup($D528,Pop_Census_2023!$A$2:$E$3220,5,FALSE))</f>
        <v>6341</v>
      </c>
      <c r="F528" s="32">
        <v>347505.0</v>
      </c>
      <c r="G528" s="32">
        <v>94.0</v>
      </c>
      <c r="H528" s="32" t="str">
        <f>VLOOKUP(D528, Grid_Region_Mapping!$D$2:$F$5286, 3, FALSE)</f>
        <v>SRSE</v>
      </c>
      <c r="I528" s="32">
        <v>5.0</v>
      </c>
      <c r="J528" s="34" t="str">
        <f t="shared" si="1"/>
        <v>South</v>
      </c>
      <c r="K528" s="35">
        <v>5.0</v>
      </c>
      <c r="L528" s="35" t="s">
        <v>102</v>
      </c>
      <c r="M528" s="36">
        <f>VLOOKUP(D528, County_Data_CZones!$B$2:$F$3236, 2, FALSE)</f>
        <v>3</v>
      </c>
      <c r="N528" s="37" t="str">
        <f>VLOOKUP(D528, County_Data_CZones!$B$2:$F$3236, 5, FALSE)</f>
        <v>Hot-Humid</v>
      </c>
    </row>
    <row r="529" ht="15.75" customHeight="1">
      <c r="A529" s="32" t="s">
        <v>556</v>
      </c>
      <c r="B529" s="32" t="s">
        <v>461</v>
      </c>
      <c r="C529" s="32" t="str">
        <f>vlookup(B529,State_EMM_RowSums!$A$2:$B$52,2,FALSE)</f>
        <v>GA</v>
      </c>
      <c r="D529" s="32">
        <v>13285.0</v>
      </c>
      <c r="E529" s="33">
        <f>IF(NOT(ISBLANK(vlookup($D529,Pop_Census_2023!$A$2:$E$3220,4,FALSE))),vlookup($D529,Pop_Census_2023!$A$2:$E$3220,4,FALSE), vlookup($D529,Pop_Census_2023!$A$2:$E$3220,5,FALSE))</f>
        <v>70742</v>
      </c>
      <c r="F529" s="32">
        <v>1673298.0</v>
      </c>
      <c r="G529" s="32">
        <v>94.0</v>
      </c>
      <c r="H529" s="32" t="str">
        <f>VLOOKUP(D529, Grid_Region_Mapping!$D$2:$F$5286, 3, FALSE)</f>
        <v>SRSE</v>
      </c>
      <c r="I529" s="32">
        <v>5.0</v>
      </c>
      <c r="J529" s="34" t="str">
        <f t="shared" si="1"/>
        <v>South</v>
      </c>
      <c r="K529" s="35">
        <v>4.0</v>
      </c>
      <c r="L529" s="35" t="s">
        <v>102</v>
      </c>
      <c r="M529" s="36">
        <f>VLOOKUP(D529, County_Data_CZones!$B$2:$F$3236, 2, FALSE)</f>
        <v>3</v>
      </c>
      <c r="N529" s="37" t="str">
        <f>VLOOKUP(D529, County_Data_CZones!$B$2:$F$3236, 5, FALSE)</f>
        <v>Mixed-Humid</v>
      </c>
    </row>
    <row r="530" ht="15.75" customHeight="1">
      <c r="A530" s="32" t="s">
        <v>557</v>
      </c>
      <c r="B530" s="32" t="s">
        <v>461</v>
      </c>
      <c r="C530" s="32" t="str">
        <f>vlookup(B530,State_EMM_RowSums!$A$2:$B$52,2,FALSE)</f>
        <v>GA</v>
      </c>
      <c r="D530" s="32">
        <v>13287.0</v>
      </c>
      <c r="E530" s="33">
        <f>IF(NOT(ISBLANK(vlookup($D530,Pop_Census_2023!$A$2:$E$3220,4,FALSE))),vlookup($D530,Pop_Census_2023!$A$2:$E$3220,4,FALSE), vlookup($D530,Pop_Census_2023!$A$2:$E$3220,5,FALSE))</f>
        <v>8909</v>
      </c>
      <c r="F530" s="32">
        <v>343238.0</v>
      </c>
      <c r="G530" s="32">
        <v>94.0</v>
      </c>
      <c r="H530" s="32" t="str">
        <f>VLOOKUP(D530, Grid_Region_Mapping!$D$2:$F$5286, 3, FALSE)</f>
        <v>SRSE</v>
      </c>
      <c r="I530" s="32">
        <v>5.0</v>
      </c>
      <c r="J530" s="34" t="str">
        <f t="shared" si="1"/>
        <v>South</v>
      </c>
      <c r="K530" s="35">
        <v>5.0</v>
      </c>
      <c r="L530" s="35" t="s">
        <v>102</v>
      </c>
      <c r="M530" s="36">
        <f>VLOOKUP(D530, County_Data_CZones!$B$2:$F$3236, 2, FALSE)</f>
        <v>3</v>
      </c>
      <c r="N530" s="37" t="str">
        <f>VLOOKUP(D530, County_Data_CZones!$B$2:$F$3236, 5, FALSE)</f>
        <v>Hot-Humid</v>
      </c>
    </row>
    <row r="531" ht="15.75" customHeight="1">
      <c r="A531" s="32" t="s">
        <v>558</v>
      </c>
      <c r="B531" s="32" t="s">
        <v>461</v>
      </c>
      <c r="C531" s="32" t="str">
        <f>vlookup(B531,State_EMM_RowSums!$A$2:$B$52,2,FALSE)</f>
        <v>GA</v>
      </c>
      <c r="D531" s="32">
        <v>13289.0</v>
      </c>
      <c r="E531" s="33">
        <f>IF(NOT(ISBLANK(vlookup($D531,Pop_Census_2023!$A$2:$E$3220,4,FALSE))),vlookup($D531,Pop_Census_2023!$A$2:$E$3220,4,FALSE), vlookup($D531,Pop_Census_2023!$A$2:$E$3220,5,FALSE))</f>
        <v>7691</v>
      </c>
      <c r="F531" s="32">
        <v>345456.0</v>
      </c>
      <c r="G531" s="32">
        <v>94.0</v>
      </c>
      <c r="H531" s="32" t="str">
        <f>VLOOKUP(D531, Grid_Region_Mapping!$D$2:$F$5286, 3, FALSE)</f>
        <v>SRSE</v>
      </c>
      <c r="I531" s="32">
        <v>5.0</v>
      </c>
      <c r="J531" s="34" t="str">
        <f t="shared" si="1"/>
        <v>South</v>
      </c>
      <c r="K531" s="35">
        <v>5.0</v>
      </c>
      <c r="L531" s="35" t="s">
        <v>102</v>
      </c>
      <c r="M531" s="36">
        <f>VLOOKUP(D531, County_Data_CZones!$B$2:$F$3236, 2, FALSE)</f>
        <v>3</v>
      </c>
      <c r="N531" s="37" t="str">
        <f>VLOOKUP(D531, County_Data_CZones!$B$2:$F$3236, 5, FALSE)</f>
        <v>Hot-Humid</v>
      </c>
    </row>
    <row r="532" ht="15.75" customHeight="1">
      <c r="A532" s="32" t="s">
        <v>273</v>
      </c>
      <c r="B532" s="32" t="s">
        <v>461</v>
      </c>
      <c r="C532" s="32" t="str">
        <f>vlookup(B532,State_EMM_RowSums!$A$2:$B$52,2,FALSE)</f>
        <v>GA</v>
      </c>
      <c r="D532" s="32">
        <v>13291.0</v>
      </c>
      <c r="E532" s="33">
        <f>IF(NOT(ISBLANK(vlookup($D532,Pop_Census_2023!$A$2:$E$3220,4,FALSE))),vlookup($D532,Pop_Census_2023!$A$2:$E$3220,4,FALSE), vlookup($D532,Pop_Census_2023!$A$2:$E$3220,5,FALSE))</f>
        <v>27124</v>
      </c>
      <c r="F532" s="32">
        <v>353193.0</v>
      </c>
      <c r="G532" s="32">
        <v>94.0</v>
      </c>
      <c r="H532" s="32" t="str">
        <f>VLOOKUP(D532, Grid_Region_Mapping!$D$2:$F$5286, 3, FALSE)</f>
        <v>SRCE</v>
      </c>
      <c r="I532" s="32">
        <v>5.0</v>
      </c>
      <c r="J532" s="34" t="str">
        <f t="shared" si="1"/>
        <v>South</v>
      </c>
      <c r="K532" s="35">
        <v>4.0</v>
      </c>
      <c r="L532" s="35" t="s">
        <v>223</v>
      </c>
      <c r="M532" s="36">
        <f>VLOOKUP(D532, County_Data_CZones!$B$2:$F$3236, 2, FALSE)</f>
        <v>4</v>
      </c>
      <c r="N532" s="37" t="str">
        <f>VLOOKUP(D532, County_Data_CZones!$B$2:$F$3236, 5, FALSE)</f>
        <v>Mixed-Humid</v>
      </c>
    </row>
    <row r="533" ht="15.75" customHeight="1">
      <c r="A533" s="32" t="s">
        <v>559</v>
      </c>
      <c r="B533" s="32" t="s">
        <v>461</v>
      </c>
      <c r="C533" s="32" t="str">
        <f>vlookup(B533,State_EMM_RowSums!$A$2:$B$52,2,FALSE)</f>
        <v>GA</v>
      </c>
      <c r="D533" s="32">
        <v>13293.0</v>
      </c>
      <c r="E533" s="33">
        <f>IF(NOT(ISBLANK(vlookup($D533,Pop_Census_2023!$A$2:$E$3220,4,FALSE))),vlookup($D533,Pop_Census_2023!$A$2:$E$3220,4,FALSE), vlookup($D533,Pop_Census_2023!$A$2:$E$3220,5,FALSE))</f>
        <v>28263</v>
      </c>
      <c r="F533" s="32">
        <v>346759.0</v>
      </c>
      <c r="G533" s="32">
        <v>94.0</v>
      </c>
      <c r="H533" s="32" t="str">
        <f>VLOOKUP(D533, Grid_Region_Mapping!$D$2:$F$5286, 3, FALSE)</f>
        <v>SRSE</v>
      </c>
      <c r="I533" s="32">
        <v>5.0</v>
      </c>
      <c r="J533" s="34" t="str">
        <f t="shared" si="1"/>
        <v>South</v>
      </c>
      <c r="K533" s="35">
        <v>5.0</v>
      </c>
      <c r="L533" s="35" t="s">
        <v>102</v>
      </c>
      <c r="M533" s="36">
        <f>VLOOKUP(D533, County_Data_CZones!$B$2:$F$3236, 2, FALSE)</f>
        <v>3</v>
      </c>
      <c r="N533" s="37" t="str">
        <f>VLOOKUP(D533, County_Data_CZones!$B$2:$F$3236, 5, FALSE)</f>
        <v>Mixed-Humid</v>
      </c>
    </row>
    <row r="534" ht="15.75" customHeight="1">
      <c r="A534" s="32" t="s">
        <v>166</v>
      </c>
      <c r="B534" s="32" t="s">
        <v>461</v>
      </c>
      <c r="C534" s="32" t="str">
        <f>vlookup(B534,State_EMM_RowSums!$A$2:$B$52,2,FALSE)</f>
        <v>GA</v>
      </c>
      <c r="D534" s="32">
        <v>13295.0</v>
      </c>
      <c r="E534" s="33">
        <f>IF(NOT(ISBLANK(vlookup($D534,Pop_Census_2023!$A$2:$E$3220,4,FALSE))),vlookup($D534,Pop_Census_2023!$A$2:$E$3220,4,FALSE), vlookup($D534,Pop_Census_2023!$A$2:$E$3220,5,FALSE))</f>
        <v>69489</v>
      </c>
      <c r="F534" s="32">
        <v>354216.0</v>
      </c>
      <c r="G534" s="32">
        <v>94.0</v>
      </c>
      <c r="H534" s="32" t="str">
        <f>VLOOKUP(D534, Grid_Region_Mapping!$D$2:$F$5286, 3, FALSE)</f>
        <v>SRSE</v>
      </c>
      <c r="I534" s="32">
        <v>5.0</v>
      </c>
      <c r="J534" s="34" t="str">
        <f t="shared" si="1"/>
        <v>South</v>
      </c>
      <c r="K534" s="35">
        <v>4.0</v>
      </c>
      <c r="L534" s="35" t="s">
        <v>223</v>
      </c>
      <c r="M534" s="36">
        <f>VLOOKUP(D534, County_Data_CZones!$B$2:$F$3236, 2, FALSE)</f>
        <v>4</v>
      </c>
      <c r="N534" s="37" t="str">
        <f>VLOOKUP(D534, County_Data_CZones!$B$2:$F$3236, 5, FALSE)</f>
        <v>Mixed-Humid</v>
      </c>
    </row>
    <row r="535" ht="15.75" customHeight="1">
      <c r="A535" s="32" t="s">
        <v>459</v>
      </c>
      <c r="B535" s="32" t="s">
        <v>461</v>
      </c>
      <c r="C535" s="32" t="str">
        <f>vlookup(B535,State_EMM_RowSums!$A$2:$B$52,2,FALSE)</f>
        <v>GA</v>
      </c>
      <c r="D535" s="32">
        <v>13297.0</v>
      </c>
      <c r="E535" s="33">
        <f>IF(NOT(ISBLANK(vlookup($D535,Pop_Census_2023!$A$2:$E$3220,4,FALSE))),vlookup($D535,Pop_Census_2023!$A$2:$E$3220,4,FALSE), vlookup($D535,Pop_Census_2023!$A$2:$E$3220,5,FALSE))</f>
        <v>106702</v>
      </c>
      <c r="F535" s="32">
        <v>351264.0</v>
      </c>
      <c r="G535" s="32">
        <v>94.0</v>
      </c>
      <c r="H535" s="32" t="str">
        <f>VLOOKUP(D535, Grid_Region_Mapping!$D$2:$F$5286, 3, FALSE)</f>
        <v>SRSE</v>
      </c>
      <c r="I535" s="32">
        <v>5.0</v>
      </c>
      <c r="J535" s="34" t="str">
        <f t="shared" si="1"/>
        <v>South</v>
      </c>
      <c r="K535" s="35">
        <v>4.0</v>
      </c>
      <c r="L535" s="35" t="s">
        <v>102</v>
      </c>
      <c r="M535" s="36">
        <f>VLOOKUP(D535, County_Data_CZones!$B$2:$F$3236, 2, FALSE)</f>
        <v>3</v>
      </c>
      <c r="N535" s="37" t="str">
        <f>VLOOKUP(D535, County_Data_CZones!$B$2:$F$3236, 5, FALSE)</f>
        <v>Mixed-Humid</v>
      </c>
    </row>
    <row r="536" ht="15.75" customHeight="1">
      <c r="A536" s="32" t="s">
        <v>560</v>
      </c>
      <c r="B536" s="32" t="s">
        <v>461</v>
      </c>
      <c r="C536" s="32" t="str">
        <f>vlookup(B536,State_EMM_RowSums!$A$2:$B$52,2,FALSE)</f>
        <v>GA</v>
      </c>
      <c r="D536" s="32">
        <v>13299.0</v>
      </c>
      <c r="E536" s="33">
        <f>IF(NOT(ISBLANK(vlookup($D536,Pop_Census_2023!$A$2:$E$3220,4,FALSE))),vlookup($D536,Pop_Census_2023!$A$2:$E$3220,4,FALSE), vlookup($D536,Pop_Census_2023!$A$2:$E$3220,5,FALSE))</f>
        <v>36243</v>
      </c>
      <c r="F536" s="32">
        <v>357722.0</v>
      </c>
      <c r="G536" s="32">
        <v>94.0</v>
      </c>
      <c r="H536" s="32" t="str">
        <f>VLOOKUP(D536, Grid_Region_Mapping!$D$2:$F$5286, 3, FALSE)</f>
        <v>SRSE</v>
      </c>
      <c r="I536" s="32">
        <v>5.0</v>
      </c>
      <c r="J536" s="34" t="str">
        <f t="shared" si="1"/>
        <v>South</v>
      </c>
      <c r="K536" s="35">
        <v>5.0</v>
      </c>
      <c r="L536" s="35" t="s">
        <v>104</v>
      </c>
      <c r="M536" s="36">
        <f>VLOOKUP(D536, County_Data_CZones!$B$2:$F$3236, 2, FALSE)</f>
        <v>2</v>
      </c>
      <c r="N536" s="37" t="str">
        <f>VLOOKUP(D536, County_Data_CZones!$B$2:$F$3236, 5, FALSE)</f>
        <v>Hot-Humid</v>
      </c>
    </row>
    <row r="537" ht="15.75" customHeight="1">
      <c r="A537" s="32" t="s">
        <v>561</v>
      </c>
      <c r="B537" s="32" t="s">
        <v>461</v>
      </c>
      <c r="C537" s="32" t="str">
        <f>vlookup(B537,State_EMM_RowSums!$A$2:$B$52,2,FALSE)</f>
        <v>GA</v>
      </c>
      <c r="D537" s="32">
        <v>13301.0</v>
      </c>
      <c r="E537" s="33">
        <f>IF(NOT(ISBLANK(vlookup($D537,Pop_Census_2023!$A$2:$E$3220,4,FALSE))),vlookup($D537,Pop_Census_2023!$A$2:$E$3220,4,FALSE), vlookup($D537,Pop_Census_2023!$A$2:$E$3220,5,FALSE))</f>
        <v>5106</v>
      </c>
      <c r="F537" s="32">
        <v>347777.0</v>
      </c>
      <c r="G537" s="32">
        <v>94.0</v>
      </c>
      <c r="H537" s="32" t="str">
        <f>VLOOKUP(D537, Grid_Region_Mapping!$D$2:$F$5286, 3, FALSE)</f>
        <v>SRSE</v>
      </c>
      <c r="I537" s="32">
        <v>5.0</v>
      </c>
      <c r="J537" s="34" t="str">
        <f t="shared" si="1"/>
        <v>South</v>
      </c>
      <c r="K537" s="35">
        <v>4.0</v>
      </c>
      <c r="L537" s="35" t="s">
        <v>102</v>
      </c>
      <c r="M537" s="36">
        <f>VLOOKUP(D537, County_Data_CZones!$B$2:$F$3236, 2, FALSE)</f>
        <v>3</v>
      </c>
      <c r="N537" s="37" t="str">
        <f>VLOOKUP(D537, County_Data_CZones!$B$2:$F$3236, 5, FALSE)</f>
        <v>Mixed-Humid</v>
      </c>
    </row>
    <row r="538" ht="15.75" customHeight="1">
      <c r="A538" s="32" t="s">
        <v>167</v>
      </c>
      <c r="B538" s="32" t="s">
        <v>461</v>
      </c>
      <c r="C538" s="32" t="str">
        <f>vlookup(B538,State_EMM_RowSums!$A$2:$B$52,2,FALSE)</f>
        <v>GA</v>
      </c>
      <c r="D538" s="32">
        <v>13303.0</v>
      </c>
      <c r="E538" s="33">
        <f>IF(NOT(ISBLANK(vlookup($D538,Pop_Census_2023!$A$2:$E$3220,4,FALSE))),vlookup($D538,Pop_Census_2023!$A$2:$E$3220,4,FALSE), vlookup($D538,Pop_Census_2023!$A$2:$E$3220,5,FALSE))</f>
        <v>19820</v>
      </c>
      <c r="F538" s="32">
        <v>348428.0</v>
      </c>
      <c r="G538" s="32">
        <v>94.0</v>
      </c>
      <c r="H538" s="32" t="str">
        <f>VLOOKUP(D538, Grid_Region_Mapping!$D$2:$F$5286, 3, FALSE)</f>
        <v>SRSE</v>
      </c>
      <c r="I538" s="32">
        <v>5.0</v>
      </c>
      <c r="J538" s="34" t="str">
        <f t="shared" si="1"/>
        <v>South</v>
      </c>
      <c r="K538" s="35">
        <v>4.0</v>
      </c>
      <c r="L538" s="35" t="s">
        <v>102</v>
      </c>
      <c r="M538" s="36">
        <f>VLOOKUP(D538, County_Data_CZones!$B$2:$F$3236, 2, FALSE)</f>
        <v>3</v>
      </c>
      <c r="N538" s="37" t="str">
        <f>VLOOKUP(D538, County_Data_CZones!$B$2:$F$3236, 5, FALSE)</f>
        <v>Mixed-Humid</v>
      </c>
    </row>
    <row r="539" ht="15.75" customHeight="1">
      <c r="A539" s="32" t="s">
        <v>562</v>
      </c>
      <c r="B539" s="32" t="s">
        <v>461</v>
      </c>
      <c r="C539" s="32" t="str">
        <f>vlookup(B539,State_EMM_RowSums!$A$2:$B$52,2,FALSE)</f>
        <v>GA</v>
      </c>
      <c r="D539" s="32">
        <v>13305.0</v>
      </c>
      <c r="E539" s="33">
        <f>IF(NOT(ISBLANK(vlookup($D539,Pop_Census_2023!$A$2:$E$3220,4,FALSE))),vlookup($D539,Pop_Census_2023!$A$2:$E$3220,4,FALSE), vlookup($D539,Pop_Census_2023!$A$2:$E$3220,5,FALSE))</f>
        <v>31373</v>
      </c>
      <c r="F539" s="32">
        <v>350608.0</v>
      </c>
      <c r="G539" s="32">
        <v>94.0</v>
      </c>
      <c r="H539" s="32" t="str">
        <f>VLOOKUP(D539, Grid_Region_Mapping!$D$2:$F$5286, 3, FALSE)</f>
        <v>SRSE</v>
      </c>
      <c r="I539" s="32">
        <v>5.0</v>
      </c>
      <c r="J539" s="34" t="str">
        <f t="shared" si="1"/>
        <v>South</v>
      </c>
      <c r="K539" s="35">
        <v>5.0</v>
      </c>
      <c r="L539" s="35" t="s">
        <v>104</v>
      </c>
      <c r="M539" s="36">
        <f>VLOOKUP(D539, County_Data_CZones!$B$2:$F$3236, 2, FALSE)</f>
        <v>2</v>
      </c>
      <c r="N539" s="37" t="str">
        <f>VLOOKUP(D539, County_Data_CZones!$B$2:$F$3236, 5, FALSE)</f>
        <v>Hot-Humid</v>
      </c>
    </row>
    <row r="540" ht="15.75" customHeight="1">
      <c r="A540" s="32" t="s">
        <v>563</v>
      </c>
      <c r="B540" s="32" t="s">
        <v>461</v>
      </c>
      <c r="C540" s="32" t="str">
        <f>vlookup(B540,State_EMM_RowSums!$A$2:$B$52,2,FALSE)</f>
        <v>GA</v>
      </c>
      <c r="D540" s="32">
        <v>13307.0</v>
      </c>
      <c r="E540" s="33">
        <f>IF(NOT(ISBLANK(vlookup($D540,Pop_Census_2023!$A$2:$E$3220,4,FALSE))),vlookup($D540,Pop_Census_2023!$A$2:$E$3220,4,FALSE), vlookup($D540,Pop_Census_2023!$A$2:$E$3220,5,FALSE))</f>
        <v>2337</v>
      </c>
      <c r="F540" s="32">
        <v>352287.0</v>
      </c>
      <c r="G540" s="32">
        <v>94.0</v>
      </c>
      <c r="H540" s="32" t="str">
        <f>VLOOKUP(D540, Grid_Region_Mapping!$D$2:$F$5286, 3, FALSE)</f>
        <v>SRSE</v>
      </c>
      <c r="I540" s="32">
        <v>5.0</v>
      </c>
      <c r="J540" s="34" t="str">
        <f t="shared" si="1"/>
        <v>South</v>
      </c>
      <c r="K540" s="35">
        <v>5.0</v>
      </c>
      <c r="L540" s="35" t="s">
        <v>102</v>
      </c>
      <c r="M540" s="36">
        <f>VLOOKUP(D540, County_Data_CZones!$B$2:$F$3236, 2, FALSE)</f>
        <v>3</v>
      </c>
      <c r="N540" s="37" t="str">
        <f>VLOOKUP(D540, County_Data_CZones!$B$2:$F$3236, 5, FALSE)</f>
        <v>Hot-Humid</v>
      </c>
    </row>
    <row r="541" ht="15.75" customHeight="1">
      <c r="A541" s="32" t="s">
        <v>564</v>
      </c>
      <c r="B541" s="32" t="s">
        <v>461</v>
      </c>
      <c r="C541" s="32" t="str">
        <f>vlookup(B541,State_EMM_RowSums!$A$2:$B$52,2,FALSE)</f>
        <v>GA</v>
      </c>
      <c r="D541" s="32">
        <v>13309.0</v>
      </c>
      <c r="E541" s="33">
        <f>IF(NOT(ISBLANK(vlookup($D541,Pop_Census_2023!$A$2:$E$3220,4,FALSE))),vlookup($D541,Pop_Census_2023!$A$2:$E$3220,4,FALSE), vlookup($D541,Pop_Census_2023!$A$2:$E$3220,5,FALSE))</f>
        <v>7081</v>
      </c>
      <c r="F541" s="32">
        <v>351278.0</v>
      </c>
      <c r="G541" s="32">
        <v>94.0</v>
      </c>
      <c r="H541" s="32" t="str">
        <f>VLOOKUP(D541, Grid_Region_Mapping!$D$2:$F$5286, 3, FALSE)</f>
        <v>SRSE</v>
      </c>
      <c r="I541" s="32">
        <v>5.0</v>
      </c>
      <c r="J541" s="34" t="str">
        <f t="shared" si="1"/>
        <v>South</v>
      </c>
      <c r="K541" s="35">
        <v>5.0</v>
      </c>
      <c r="L541" s="35" t="s">
        <v>102</v>
      </c>
      <c r="M541" s="36">
        <f>VLOOKUP(D541, County_Data_CZones!$B$2:$F$3236, 2, FALSE)</f>
        <v>3</v>
      </c>
      <c r="N541" s="37" t="str">
        <f>VLOOKUP(D541, County_Data_CZones!$B$2:$F$3236, 5, FALSE)</f>
        <v>Hot-Humid</v>
      </c>
    </row>
    <row r="542" ht="15.75" customHeight="1">
      <c r="A542" s="32" t="s">
        <v>275</v>
      </c>
      <c r="B542" s="32" t="s">
        <v>461</v>
      </c>
      <c r="C542" s="32" t="str">
        <f>vlookup(B542,State_EMM_RowSums!$A$2:$B$52,2,FALSE)</f>
        <v>GA</v>
      </c>
      <c r="D542" s="32">
        <v>13311.0</v>
      </c>
      <c r="E542" s="33">
        <f>IF(NOT(ISBLANK(vlookup($D542,Pop_Census_2023!$A$2:$E$3220,4,FALSE))),vlookup($D542,Pop_Census_2023!$A$2:$E$3220,4,FALSE), vlookup($D542,Pop_Census_2023!$A$2:$E$3220,5,FALSE))</f>
        <v>29026</v>
      </c>
      <c r="F542" s="32">
        <v>326781.0</v>
      </c>
      <c r="G542" s="32">
        <v>94.0</v>
      </c>
      <c r="H542" s="32" t="str">
        <f>VLOOKUP(D542, Grid_Region_Mapping!$D$2:$F$5286, 3, FALSE)</f>
        <v>SRSE</v>
      </c>
      <c r="I542" s="32">
        <v>5.0</v>
      </c>
      <c r="J542" s="34" t="str">
        <f t="shared" si="1"/>
        <v>South</v>
      </c>
      <c r="K542" s="35">
        <v>4.0</v>
      </c>
      <c r="L542" s="35" t="s">
        <v>223</v>
      </c>
      <c r="M542" s="36">
        <f>VLOOKUP(D542, County_Data_CZones!$B$2:$F$3236, 2, FALSE)</f>
        <v>4</v>
      </c>
      <c r="N542" s="37" t="str">
        <f>VLOOKUP(D542, County_Data_CZones!$B$2:$F$3236, 5, FALSE)</f>
        <v>Mixed-Humid</v>
      </c>
    </row>
    <row r="543" ht="15.75" customHeight="1">
      <c r="A543" s="32" t="s">
        <v>565</v>
      </c>
      <c r="B543" s="32" t="s">
        <v>461</v>
      </c>
      <c r="C543" s="32" t="str">
        <f>vlookup(B543,State_EMM_RowSums!$A$2:$B$52,2,FALSE)</f>
        <v>GA</v>
      </c>
      <c r="D543" s="32">
        <v>13313.0</v>
      </c>
      <c r="E543" s="33">
        <f>IF(NOT(ISBLANK(vlookup($D543,Pop_Census_2023!$A$2:$E$3220,4,FALSE))),vlookup($D543,Pop_Census_2023!$A$2:$E$3220,4,FALSE), vlookup($D543,Pop_Census_2023!$A$2:$E$3220,5,FALSE))</f>
        <v>103687</v>
      </c>
      <c r="F543" s="32">
        <v>353513.0</v>
      </c>
      <c r="G543" s="32">
        <v>94.0</v>
      </c>
      <c r="H543" s="32" t="str">
        <f>VLOOKUP(D543, Grid_Region_Mapping!$D$2:$F$5286, 3, FALSE)</f>
        <v>SRSE</v>
      </c>
      <c r="I543" s="32">
        <v>5.0</v>
      </c>
      <c r="J543" s="34" t="str">
        <f t="shared" si="1"/>
        <v>South</v>
      </c>
      <c r="K543" s="35">
        <v>4.0</v>
      </c>
      <c r="L543" s="35" t="s">
        <v>223</v>
      </c>
      <c r="M543" s="36">
        <f>VLOOKUP(D543, County_Data_CZones!$B$2:$F$3236, 2, FALSE)</f>
        <v>4</v>
      </c>
      <c r="N543" s="37" t="str">
        <f>VLOOKUP(D543, County_Data_CZones!$B$2:$F$3236, 5, FALSE)</f>
        <v>Mixed-Humid</v>
      </c>
    </row>
    <row r="544" ht="15.75" customHeight="1">
      <c r="A544" s="32" t="s">
        <v>168</v>
      </c>
      <c r="B544" s="32" t="s">
        <v>461</v>
      </c>
      <c r="C544" s="32" t="str">
        <f>vlookup(B544,State_EMM_RowSums!$A$2:$B$52,2,FALSE)</f>
        <v>GA</v>
      </c>
      <c r="D544" s="32">
        <v>13315.0</v>
      </c>
      <c r="E544" s="33">
        <f>IF(NOT(ISBLANK(vlookup($D544,Pop_Census_2023!$A$2:$E$3220,4,FALSE))),vlookup($D544,Pop_Census_2023!$A$2:$E$3220,4,FALSE), vlookup($D544,Pop_Census_2023!$A$2:$E$3220,5,FALSE))</f>
        <v>8779</v>
      </c>
      <c r="F544" s="32">
        <v>345499.0</v>
      </c>
      <c r="G544" s="32">
        <v>94.0</v>
      </c>
      <c r="H544" s="32" t="str">
        <f>VLOOKUP(D544, Grid_Region_Mapping!$D$2:$F$5286, 3, FALSE)</f>
        <v>SRSE</v>
      </c>
      <c r="I544" s="32">
        <v>5.0</v>
      </c>
      <c r="J544" s="34" t="str">
        <f t="shared" si="1"/>
        <v>South</v>
      </c>
      <c r="K544" s="35">
        <v>5.0</v>
      </c>
      <c r="L544" s="35" t="s">
        <v>102</v>
      </c>
      <c r="M544" s="36">
        <f>VLOOKUP(D544, County_Data_CZones!$B$2:$F$3236, 2, FALSE)</f>
        <v>3</v>
      </c>
      <c r="N544" s="37" t="str">
        <f>VLOOKUP(D544, County_Data_CZones!$B$2:$F$3236, 5, FALSE)</f>
        <v>Hot-Humid</v>
      </c>
    </row>
    <row r="545" ht="15.75" customHeight="1">
      <c r="A545" s="32" t="s">
        <v>566</v>
      </c>
      <c r="B545" s="32" t="s">
        <v>461</v>
      </c>
      <c r="C545" s="32" t="str">
        <f>vlookup(B545,State_EMM_RowSums!$A$2:$B$52,2,FALSE)</f>
        <v>GA</v>
      </c>
      <c r="D545" s="32">
        <v>13317.0</v>
      </c>
      <c r="E545" s="33">
        <f>IF(NOT(ISBLANK(vlookup($D545,Pop_Census_2023!$A$2:$E$3220,4,FALSE))),vlookup($D545,Pop_Census_2023!$A$2:$E$3220,4,FALSE), vlookup($D545,Pop_Census_2023!$A$2:$E$3220,5,FALSE))</f>
        <v>9518</v>
      </c>
      <c r="F545" s="32">
        <v>351265.0</v>
      </c>
      <c r="G545" s="32">
        <v>94.0</v>
      </c>
      <c r="H545" s="32" t="str">
        <f>VLOOKUP(D545, Grid_Region_Mapping!$D$2:$F$5286, 3, FALSE)</f>
        <v>SRSE</v>
      </c>
      <c r="I545" s="32">
        <v>5.0</v>
      </c>
      <c r="J545" s="34" t="str">
        <f t="shared" si="1"/>
        <v>South</v>
      </c>
      <c r="K545" s="35">
        <v>4.0</v>
      </c>
      <c r="L545" s="35" t="s">
        <v>102</v>
      </c>
      <c r="M545" s="36">
        <f>VLOOKUP(D545, County_Data_CZones!$B$2:$F$3236, 2, FALSE)</f>
        <v>3</v>
      </c>
      <c r="N545" s="37" t="str">
        <f>VLOOKUP(D545, County_Data_CZones!$B$2:$F$3236, 5, FALSE)</f>
        <v>Mixed-Humid</v>
      </c>
    </row>
    <row r="546" ht="15.75" customHeight="1">
      <c r="A546" s="32" t="s">
        <v>567</v>
      </c>
      <c r="B546" s="32" t="s">
        <v>461</v>
      </c>
      <c r="C546" s="32" t="str">
        <f>vlookup(B546,State_EMM_RowSums!$A$2:$B$52,2,FALSE)</f>
        <v>GA</v>
      </c>
      <c r="D546" s="32">
        <v>13319.0</v>
      </c>
      <c r="E546" s="33">
        <f>IF(NOT(ISBLANK(vlookup($D546,Pop_Census_2023!$A$2:$E$3220,4,FALSE))),vlookup($D546,Pop_Census_2023!$A$2:$E$3220,4,FALSE), vlookup($D546,Pop_Census_2023!$A$2:$E$3220,5,FALSE))</f>
        <v>8725</v>
      </c>
      <c r="F546" s="32">
        <v>346824.0</v>
      </c>
      <c r="G546" s="32">
        <v>94.0</v>
      </c>
      <c r="H546" s="32" t="str">
        <f>VLOOKUP(D546, Grid_Region_Mapping!$D$2:$F$5286, 3, FALSE)</f>
        <v>SRSE</v>
      </c>
      <c r="I546" s="32">
        <v>5.0</v>
      </c>
      <c r="J546" s="34" t="str">
        <f t="shared" si="1"/>
        <v>South</v>
      </c>
      <c r="K546" s="35">
        <v>5.0</v>
      </c>
      <c r="L546" s="35" t="s">
        <v>102</v>
      </c>
      <c r="M546" s="36">
        <f>VLOOKUP(D546, County_Data_CZones!$B$2:$F$3236, 2, FALSE)</f>
        <v>3</v>
      </c>
      <c r="N546" s="37" t="str">
        <f>VLOOKUP(D546, County_Data_CZones!$B$2:$F$3236, 5, FALSE)</f>
        <v>Mixed-Humid</v>
      </c>
    </row>
    <row r="547" ht="15.75" customHeight="1">
      <c r="A547" s="32" t="s">
        <v>568</v>
      </c>
      <c r="B547" s="32" t="s">
        <v>461</v>
      </c>
      <c r="C547" s="32" t="str">
        <f>vlookup(B547,State_EMM_RowSums!$A$2:$B$52,2,FALSE)</f>
        <v>GA</v>
      </c>
      <c r="D547" s="32">
        <v>13321.0</v>
      </c>
      <c r="E547" s="33">
        <f>IF(NOT(ISBLANK(vlookup($D547,Pop_Census_2023!$A$2:$E$3220,4,FALSE))),vlookup($D547,Pop_Census_2023!$A$2:$E$3220,4,FALSE), vlookup($D547,Pop_Census_2023!$A$2:$E$3220,5,FALSE))</f>
        <v>20273</v>
      </c>
      <c r="F547" s="32">
        <v>343365.0</v>
      </c>
      <c r="G547" s="32">
        <v>94.0</v>
      </c>
      <c r="H547" s="32" t="str">
        <f>VLOOKUP(D547, Grid_Region_Mapping!$D$2:$F$5286, 3, FALSE)</f>
        <v>SRSE</v>
      </c>
      <c r="I547" s="32">
        <v>5.0</v>
      </c>
      <c r="J547" s="34" t="str">
        <f t="shared" si="1"/>
        <v>South</v>
      </c>
      <c r="K547" s="35">
        <v>5.0</v>
      </c>
      <c r="L547" s="35" t="s">
        <v>102</v>
      </c>
      <c r="M547" s="36">
        <f>VLOOKUP(D547, County_Data_CZones!$B$2:$F$3236, 2, FALSE)</f>
        <v>3</v>
      </c>
      <c r="N547" s="37" t="str">
        <f>VLOOKUP(D547, County_Data_CZones!$B$2:$F$3236, 5, FALSE)</f>
        <v>Hot-Humid</v>
      </c>
    </row>
    <row r="548" ht="15.75" customHeight="1">
      <c r="A548" s="38" t="s">
        <v>569</v>
      </c>
      <c r="B548" s="39" t="s">
        <v>570</v>
      </c>
      <c r="C548" s="32" t="str">
        <f>vlookup(B548,State_EMM_RowSums!$A$2:$B$52,2,FALSE)</f>
        <v>HI</v>
      </c>
      <c r="D548" s="40">
        <v>15001.0</v>
      </c>
      <c r="E548" s="33">
        <f>IF(NOT(ISBLANK(vlookup($D548,Pop_Census_2023!$A$2:$E$3220,4,FALSE))),vlookup($D548,Pop_Census_2023!$A$2:$E$3220,4,FALSE), vlookup($D548,Pop_Census_2023!$A$2:$E$3220,5,FALSE))</f>
        <v>207615</v>
      </c>
      <c r="F548" s="41"/>
      <c r="G548" s="41"/>
      <c r="H548" s="32" t="str">
        <f>VLOOKUP(D548, Grid_Region_Mapping!$D$2:$F$5286, 3, FALSE)</f>
        <v>#N/A</v>
      </c>
      <c r="I548" s="41">
        <v>9.0</v>
      </c>
      <c r="J548" s="34" t="str">
        <f t="shared" si="1"/>
        <v>West</v>
      </c>
      <c r="K548" s="42">
        <v>5.0</v>
      </c>
      <c r="L548" s="42" t="s">
        <v>416</v>
      </c>
      <c r="M548" s="36">
        <f>VLOOKUP(D548, County_Data_CZones!$B$2:$F$3236, 2, FALSE)</f>
        <v>1</v>
      </c>
      <c r="N548" s="37" t="str">
        <f>VLOOKUP(D548, County_Data_CZones!$B$2:$F$3236, 5, FALSE)</f>
        <v>Hot-Humid</v>
      </c>
      <c r="O548" s="41"/>
      <c r="P548" s="41"/>
    </row>
    <row r="549" ht="15.75" customHeight="1">
      <c r="A549" s="38" t="s">
        <v>571</v>
      </c>
      <c r="B549" s="39" t="s">
        <v>570</v>
      </c>
      <c r="C549" s="32" t="str">
        <f>vlookup(B549,State_EMM_RowSums!$A$2:$B$52,2,FALSE)</f>
        <v>HI</v>
      </c>
      <c r="D549" s="40">
        <v>15003.0</v>
      </c>
      <c r="E549" s="33">
        <f>IF(NOT(ISBLANK(vlookup($D549,Pop_Census_2023!$A$2:$E$3220,4,FALSE))),vlookup($D549,Pop_Census_2023!$A$2:$E$3220,4,FALSE), vlookup($D549,Pop_Census_2023!$A$2:$E$3220,5,FALSE))</f>
        <v>989408</v>
      </c>
      <c r="F549" s="41"/>
      <c r="G549" s="41"/>
      <c r="H549" s="32" t="str">
        <f>VLOOKUP(D549, Grid_Region_Mapping!$D$2:$F$5286, 3, FALSE)</f>
        <v>#N/A</v>
      </c>
      <c r="I549" s="41">
        <v>9.0</v>
      </c>
      <c r="J549" s="34" t="str">
        <f t="shared" si="1"/>
        <v>West</v>
      </c>
      <c r="K549" s="42">
        <v>5.0</v>
      </c>
      <c r="L549" s="42" t="s">
        <v>416</v>
      </c>
      <c r="M549" s="36">
        <f>VLOOKUP(D549, County_Data_CZones!$B$2:$F$3236, 2, FALSE)</f>
        <v>1</v>
      </c>
      <c r="N549" s="37" t="str">
        <f>VLOOKUP(D549, County_Data_CZones!$B$2:$F$3236, 5, FALSE)</f>
        <v>Hot-Humid</v>
      </c>
      <c r="O549" s="41"/>
      <c r="P549" s="41"/>
    </row>
    <row r="550" ht="15.75" customHeight="1">
      <c r="A550" s="38" t="s">
        <v>572</v>
      </c>
      <c r="B550" s="39" t="s">
        <v>570</v>
      </c>
      <c r="C550" s="32" t="str">
        <f>vlookup(B550,State_EMM_RowSums!$A$2:$B$52,2,FALSE)</f>
        <v>HI</v>
      </c>
      <c r="D550" s="40">
        <v>15005.0</v>
      </c>
      <c r="E550" s="33">
        <f>IF(NOT(ISBLANK(vlookup($D550,Pop_Census_2023!$A$2:$E$3220,4,FALSE))),vlookup($D550,Pop_Census_2023!$A$2:$E$3220,4,FALSE), vlookup($D550,Pop_Census_2023!$A$2:$E$3220,5,FALSE))</f>
        <v>81</v>
      </c>
      <c r="F550" s="41"/>
      <c r="G550" s="41"/>
      <c r="H550" s="32" t="str">
        <f>VLOOKUP(D550, Grid_Region_Mapping!$D$2:$F$5286, 3, FALSE)</f>
        <v>#N/A</v>
      </c>
      <c r="I550" s="41">
        <v>9.0</v>
      </c>
      <c r="J550" s="34" t="str">
        <f t="shared" si="1"/>
        <v>West</v>
      </c>
      <c r="K550" s="42">
        <v>5.0</v>
      </c>
      <c r="L550" s="42" t="s">
        <v>416</v>
      </c>
      <c r="M550" s="36">
        <f>VLOOKUP(D550, County_Data_CZones!$B$2:$F$3236, 2, FALSE)</f>
        <v>1</v>
      </c>
      <c r="N550" s="37" t="str">
        <f>VLOOKUP(D550, County_Data_CZones!$B$2:$F$3236, 5, FALSE)</f>
        <v>Hot-Humid</v>
      </c>
      <c r="O550" s="41"/>
      <c r="P550" s="41"/>
    </row>
    <row r="551" ht="15.75" customHeight="1">
      <c r="A551" s="38" t="s">
        <v>573</v>
      </c>
      <c r="B551" s="39" t="s">
        <v>570</v>
      </c>
      <c r="C551" s="32" t="str">
        <f>vlookup(B551,State_EMM_RowSums!$A$2:$B$52,2,FALSE)</f>
        <v>HI</v>
      </c>
      <c r="D551" s="40">
        <v>15007.0</v>
      </c>
      <c r="E551" s="33">
        <f>IF(NOT(ISBLANK(vlookup($D551,Pop_Census_2023!$A$2:$E$3220,4,FALSE))),vlookup($D551,Pop_Census_2023!$A$2:$E$3220,4,FALSE), vlookup($D551,Pop_Census_2023!$A$2:$E$3220,5,FALSE))</f>
        <v>73851</v>
      </c>
      <c r="F551" s="41"/>
      <c r="G551" s="41"/>
      <c r="H551" s="32" t="str">
        <f>VLOOKUP(D551, Grid_Region_Mapping!$D$2:$F$5286, 3, FALSE)</f>
        <v>#N/A</v>
      </c>
      <c r="I551" s="41">
        <v>9.0</v>
      </c>
      <c r="J551" s="34" t="str">
        <f t="shared" si="1"/>
        <v>West</v>
      </c>
      <c r="K551" s="42">
        <v>5.0</v>
      </c>
      <c r="L551" s="42" t="s">
        <v>416</v>
      </c>
      <c r="M551" s="36">
        <f>VLOOKUP(D551, County_Data_CZones!$B$2:$F$3236, 2, FALSE)</f>
        <v>1</v>
      </c>
      <c r="N551" s="37" t="str">
        <f>VLOOKUP(D551, County_Data_CZones!$B$2:$F$3236, 5, FALSE)</f>
        <v>Hot-Humid</v>
      </c>
      <c r="O551" s="41"/>
      <c r="P551" s="41"/>
    </row>
    <row r="552" ht="15.75" customHeight="1">
      <c r="A552" s="38" t="s">
        <v>574</v>
      </c>
      <c r="B552" s="39" t="s">
        <v>570</v>
      </c>
      <c r="C552" s="32" t="str">
        <f>vlookup(B552,State_EMM_RowSums!$A$2:$B$52,2,FALSE)</f>
        <v>HI</v>
      </c>
      <c r="D552" s="40">
        <v>15009.0</v>
      </c>
      <c r="E552" s="33">
        <f>IF(NOT(ISBLANK(vlookup($D552,Pop_Census_2023!$A$2:$E$3220,4,FALSE))),vlookup($D552,Pop_Census_2023!$A$2:$E$3220,4,FALSE), vlookup($D552,Pop_Census_2023!$A$2:$E$3220,5,FALSE))</f>
        <v>164183</v>
      </c>
      <c r="F552" s="41"/>
      <c r="G552" s="41"/>
      <c r="H552" s="32" t="str">
        <f>VLOOKUP(D552, Grid_Region_Mapping!$D$2:$F$5286, 3, FALSE)</f>
        <v>#N/A</v>
      </c>
      <c r="I552" s="41">
        <v>9.0</v>
      </c>
      <c r="J552" s="34" t="str">
        <f t="shared" si="1"/>
        <v>West</v>
      </c>
      <c r="K552" s="42">
        <v>5.0</v>
      </c>
      <c r="L552" s="42" t="s">
        <v>416</v>
      </c>
      <c r="M552" s="36">
        <f>VLOOKUP(D552, County_Data_CZones!$B$2:$F$3236, 2, FALSE)</f>
        <v>1</v>
      </c>
      <c r="N552" s="37" t="str">
        <f>VLOOKUP(D552, County_Data_CZones!$B$2:$F$3236, 5, FALSE)</f>
        <v>Hot-Humid</v>
      </c>
      <c r="O552" s="41"/>
      <c r="P552" s="41"/>
    </row>
    <row r="553" ht="15.75" customHeight="1">
      <c r="A553" s="32" t="s">
        <v>575</v>
      </c>
      <c r="B553" s="32" t="s">
        <v>576</v>
      </c>
      <c r="C553" s="32" t="str">
        <f>vlookup(B553,State_EMM_RowSums!$A$2:$B$52,2,FALSE)</f>
        <v>ID</v>
      </c>
      <c r="D553" s="32">
        <v>16001.0</v>
      </c>
      <c r="E553" s="33">
        <f>IF(NOT(ISBLANK(vlookup($D553,Pop_Census_2023!$A$2:$E$3220,4,FALSE))),vlookup($D553,Pop_Census_2023!$A$2:$E$3220,4,FALSE), vlookup($D553,Pop_Census_2023!$A$2:$E$3220,5,FALSE))</f>
        <v>524673</v>
      </c>
      <c r="F553" s="32">
        <v>395066.0</v>
      </c>
      <c r="G553" s="32">
        <v>15.0</v>
      </c>
      <c r="H553" s="32" t="str">
        <f>VLOOKUP(D553, Grid_Region_Mapping!$D$2:$F$5286, 3, FALSE)</f>
        <v>BASN</v>
      </c>
      <c r="I553" s="32">
        <v>8.0</v>
      </c>
      <c r="J553" s="34" t="str">
        <f t="shared" si="1"/>
        <v>West</v>
      </c>
      <c r="K553" s="35">
        <v>2.0</v>
      </c>
      <c r="L553" s="35" t="s">
        <v>202</v>
      </c>
      <c r="M553" s="36">
        <f>VLOOKUP(D553, County_Data_CZones!$B$2:$F$3236, 2, FALSE)</f>
        <v>5</v>
      </c>
      <c r="N553" s="37" t="str">
        <f>VLOOKUP(D553, County_Data_CZones!$B$2:$F$3236, 5, FALSE)</f>
        <v>Cold</v>
      </c>
    </row>
    <row r="554" ht="15.75" customHeight="1">
      <c r="A554" s="32" t="s">
        <v>338</v>
      </c>
      <c r="B554" s="32" t="s">
        <v>576</v>
      </c>
      <c r="C554" s="32" t="str">
        <f>vlookup(B554,State_EMM_RowSums!$A$2:$B$52,2,FALSE)</f>
        <v>ID</v>
      </c>
      <c r="D554" s="32">
        <v>16003.0</v>
      </c>
      <c r="E554" s="33">
        <f>IF(NOT(ISBLANK(vlookup($D554,Pop_Census_2023!$A$2:$E$3220,4,FALSE))),vlookup($D554,Pop_Census_2023!$A$2:$E$3220,4,FALSE), vlookup($D554,Pop_Census_2023!$A$2:$E$3220,5,FALSE))</f>
        <v>4903</v>
      </c>
      <c r="F554" s="32">
        <v>395067.0</v>
      </c>
      <c r="G554" s="32">
        <v>15.0</v>
      </c>
      <c r="H554" s="32" t="str">
        <f>VLOOKUP(D554, Grid_Region_Mapping!$D$2:$F$5286, 3, FALSE)</f>
        <v>BASN</v>
      </c>
      <c r="I554" s="32">
        <v>8.0</v>
      </c>
      <c r="J554" s="34" t="str">
        <f t="shared" si="1"/>
        <v>West</v>
      </c>
      <c r="K554" s="35">
        <v>1.0</v>
      </c>
      <c r="L554" s="35" t="s">
        <v>282</v>
      </c>
      <c r="M554" s="36">
        <f>VLOOKUP(D554, County_Data_CZones!$B$2:$F$3236, 2, FALSE)</f>
        <v>6</v>
      </c>
      <c r="N554" s="37" t="str">
        <f>VLOOKUP(D554, County_Data_CZones!$B$2:$F$3236, 5, FALSE)</f>
        <v>Cold</v>
      </c>
    </row>
    <row r="555" ht="15.75" customHeight="1">
      <c r="A555" s="32" t="s">
        <v>577</v>
      </c>
      <c r="B555" s="32" t="s">
        <v>576</v>
      </c>
      <c r="C555" s="32" t="str">
        <f>vlookup(B555,State_EMM_RowSums!$A$2:$B$52,2,FALSE)</f>
        <v>ID</v>
      </c>
      <c r="D555" s="32">
        <v>16005.0</v>
      </c>
      <c r="E555" s="33">
        <f>IF(NOT(ISBLANK(vlookup($D555,Pop_Census_2023!$A$2:$E$3220,4,FALSE))),vlookup($D555,Pop_Census_2023!$A$2:$E$3220,4,FALSE), vlookup($D555,Pop_Census_2023!$A$2:$E$3220,5,FALSE))</f>
        <v>90400</v>
      </c>
      <c r="F555" s="32">
        <v>395091.0</v>
      </c>
      <c r="G555" s="32">
        <v>16.0</v>
      </c>
      <c r="H555" s="32" t="str">
        <f>VLOOKUP(D555, Grid_Region_Mapping!$D$2:$F$5286, 3, FALSE)</f>
        <v>BASN</v>
      </c>
      <c r="I555" s="32">
        <v>8.0</v>
      </c>
      <c r="J555" s="34" t="str">
        <f t="shared" si="1"/>
        <v>West</v>
      </c>
      <c r="K555" s="35">
        <v>1.0</v>
      </c>
      <c r="L555" s="35" t="s">
        <v>282</v>
      </c>
      <c r="M555" s="36">
        <f>VLOOKUP(D555, County_Data_CZones!$B$2:$F$3236, 2, FALSE)</f>
        <v>6</v>
      </c>
      <c r="N555" s="37" t="str">
        <f>VLOOKUP(D555, County_Data_CZones!$B$2:$F$3236, 5, FALSE)</f>
        <v>Cold</v>
      </c>
    </row>
    <row r="556" ht="15.75" customHeight="1">
      <c r="A556" s="32" t="s">
        <v>578</v>
      </c>
      <c r="B556" s="32" t="s">
        <v>576</v>
      </c>
      <c r="C556" s="32" t="str">
        <f>vlookup(B556,State_EMM_RowSums!$A$2:$B$52,2,FALSE)</f>
        <v>ID</v>
      </c>
      <c r="D556" s="32">
        <v>16007.0</v>
      </c>
      <c r="E556" s="33">
        <f>IF(NOT(ISBLANK(vlookup($D556,Pop_Census_2023!$A$2:$E$3220,4,FALSE))),vlookup($D556,Pop_Census_2023!$A$2:$E$3220,4,FALSE), vlookup($D556,Pop_Census_2023!$A$2:$E$3220,5,FALSE))</f>
        <v>6766</v>
      </c>
      <c r="F556" s="32">
        <v>395090.0</v>
      </c>
      <c r="G556" s="32">
        <v>16.0</v>
      </c>
      <c r="H556" s="32" t="str">
        <f>VLOOKUP(D556, Grid_Region_Mapping!$D$2:$F$5286, 3, FALSE)</f>
        <v>BASN</v>
      </c>
      <c r="I556" s="32">
        <v>8.0</v>
      </c>
      <c r="J556" s="34" t="str">
        <f t="shared" si="1"/>
        <v>West</v>
      </c>
      <c r="K556" s="35">
        <v>1.0</v>
      </c>
      <c r="L556" s="35" t="s">
        <v>282</v>
      </c>
      <c r="M556" s="36">
        <f>VLOOKUP(D556, County_Data_CZones!$B$2:$F$3236, 2, FALSE)</f>
        <v>6</v>
      </c>
      <c r="N556" s="37" t="str">
        <f>VLOOKUP(D556, County_Data_CZones!$B$2:$F$3236, 5, FALSE)</f>
        <v>Cold</v>
      </c>
    </row>
    <row r="557" ht="15.75" customHeight="1">
      <c r="A557" s="32" t="s">
        <v>579</v>
      </c>
      <c r="B557" s="32" t="s">
        <v>576</v>
      </c>
      <c r="C557" s="32" t="str">
        <f>vlookup(B557,State_EMM_RowSums!$A$2:$B$52,2,FALSE)</f>
        <v>ID</v>
      </c>
      <c r="D557" s="32">
        <v>16009.0</v>
      </c>
      <c r="E557" s="33">
        <f>IF(NOT(ISBLANK(vlookup($D557,Pop_Census_2023!$A$2:$E$3220,4,FALSE))),vlookup($D557,Pop_Census_2023!$A$2:$E$3220,4,FALSE), vlookup($D557,Pop_Census_2023!$A$2:$E$3220,5,FALSE))</f>
        <v>10369</v>
      </c>
      <c r="F557" s="32">
        <v>395190.0</v>
      </c>
      <c r="G557" s="32">
        <v>14.0</v>
      </c>
      <c r="H557" s="32" t="str">
        <f>VLOOKUP(D557, Grid_Region_Mapping!$D$2:$F$5286, 3, FALSE)</f>
        <v>NWPP</v>
      </c>
      <c r="I557" s="32">
        <v>8.0</v>
      </c>
      <c r="J557" s="34" t="str">
        <f t="shared" si="1"/>
        <v>West</v>
      </c>
      <c r="K557" s="35">
        <v>2.0</v>
      </c>
      <c r="L557" s="35" t="s">
        <v>202</v>
      </c>
      <c r="M557" s="36">
        <f>VLOOKUP(D557, County_Data_CZones!$B$2:$F$3236, 2, FALSE)</f>
        <v>5</v>
      </c>
      <c r="N557" s="37" t="str">
        <f>VLOOKUP(D557, County_Data_CZones!$B$2:$F$3236, 5, FALSE)</f>
        <v>Cold</v>
      </c>
    </row>
    <row r="558" ht="15.75" customHeight="1">
      <c r="A558" s="32" t="s">
        <v>580</v>
      </c>
      <c r="B558" s="32" t="s">
        <v>576</v>
      </c>
      <c r="C558" s="32" t="str">
        <f>vlookup(B558,State_EMM_RowSums!$A$2:$B$52,2,FALSE)</f>
        <v>ID</v>
      </c>
      <c r="D558" s="32">
        <v>16011.0</v>
      </c>
      <c r="E558" s="33">
        <f>IF(NOT(ISBLANK(vlookup($D558,Pop_Census_2023!$A$2:$E$3220,4,FALSE))),vlookup($D558,Pop_Census_2023!$A$2:$E$3220,4,FALSE), vlookup($D558,Pop_Census_2023!$A$2:$E$3220,5,FALSE))</f>
        <v>50395</v>
      </c>
      <c r="F558" s="32">
        <v>400593.0</v>
      </c>
      <c r="G558" s="32">
        <v>16.0</v>
      </c>
      <c r="H558" s="32" t="str">
        <f>VLOOKUP(D558, Grid_Region_Mapping!$D$2:$F$5286, 3, FALSE)</f>
        <v>BASN</v>
      </c>
      <c r="I558" s="32">
        <v>8.0</v>
      </c>
      <c r="J558" s="34" t="str">
        <f t="shared" si="1"/>
        <v>West</v>
      </c>
      <c r="K558" s="35">
        <v>1.0</v>
      </c>
      <c r="L558" s="35" t="s">
        <v>282</v>
      </c>
      <c r="M558" s="36">
        <f>VLOOKUP(D558, County_Data_CZones!$B$2:$F$3236, 2, FALSE)</f>
        <v>6</v>
      </c>
      <c r="N558" s="37" t="str">
        <f>VLOOKUP(D558, County_Data_CZones!$B$2:$F$3236, 5, FALSE)</f>
        <v>Cold</v>
      </c>
    </row>
    <row r="559" ht="15.75" customHeight="1">
      <c r="A559" s="32" t="s">
        <v>581</v>
      </c>
      <c r="B559" s="32" t="s">
        <v>576</v>
      </c>
      <c r="C559" s="32" t="str">
        <f>vlookup(B559,State_EMM_RowSums!$A$2:$B$52,2,FALSE)</f>
        <v>ID</v>
      </c>
      <c r="D559" s="32">
        <v>16013.0</v>
      </c>
      <c r="E559" s="33">
        <f>IF(NOT(ISBLANK(vlookup($D559,Pop_Census_2023!$A$2:$E$3220,4,FALSE))),vlookup($D559,Pop_Census_2023!$A$2:$E$3220,4,FALSE), vlookup($D559,Pop_Census_2023!$A$2:$E$3220,5,FALSE))</f>
        <v>25041</v>
      </c>
      <c r="F559" s="32">
        <v>395696.0</v>
      </c>
      <c r="G559" s="32">
        <v>15.0</v>
      </c>
      <c r="H559" s="32" t="str">
        <f>VLOOKUP(D559, Grid_Region_Mapping!$D$2:$F$5286, 3, FALSE)</f>
        <v>BASN</v>
      </c>
      <c r="I559" s="32">
        <v>8.0</v>
      </c>
      <c r="J559" s="34" t="str">
        <f t="shared" si="1"/>
        <v>West</v>
      </c>
      <c r="K559" s="35">
        <v>1.0</v>
      </c>
      <c r="L559" s="35" t="s">
        <v>282</v>
      </c>
      <c r="M559" s="36">
        <f>VLOOKUP(D559, County_Data_CZones!$B$2:$F$3236, 2, FALSE)</f>
        <v>6</v>
      </c>
      <c r="N559" s="37" t="str">
        <f>VLOOKUP(D559, County_Data_CZones!$B$2:$F$3236, 5, FALSE)</f>
        <v>Cold</v>
      </c>
    </row>
    <row r="560" ht="15.75" customHeight="1">
      <c r="A560" s="32" t="s">
        <v>582</v>
      </c>
      <c r="B560" s="32" t="s">
        <v>576</v>
      </c>
      <c r="C560" s="32" t="str">
        <f>vlookup(B560,State_EMM_RowSums!$A$2:$B$52,2,FALSE)</f>
        <v>ID</v>
      </c>
      <c r="D560" s="32">
        <v>16015.0</v>
      </c>
      <c r="E560" s="33">
        <f>IF(NOT(ISBLANK(vlookup($D560,Pop_Census_2023!$A$2:$E$3220,4,FALSE))),vlookup($D560,Pop_Census_2023!$A$2:$E$3220,4,FALSE), vlookup($D560,Pop_Census_2023!$A$2:$E$3220,5,FALSE))</f>
        <v>8517</v>
      </c>
      <c r="F560" s="32">
        <v>395157.0</v>
      </c>
      <c r="G560" s="32">
        <v>15.0</v>
      </c>
      <c r="H560" s="32" t="str">
        <f>VLOOKUP(D560, Grid_Region_Mapping!$D$2:$F$5286, 3, FALSE)</f>
        <v>BASN</v>
      </c>
      <c r="I560" s="32">
        <v>8.0</v>
      </c>
      <c r="J560" s="34" t="str">
        <f t="shared" si="1"/>
        <v>West</v>
      </c>
      <c r="K560" s="35">
        <v>1.0</v>
      </c>
      <c r="L560" s="35" t="s">
        <v>282</v>
      </c>
      <c r="M560" s="36">
        <f>VLOOKUP(D560, County_Data_CZones!$B$2:$F$3236, 2, FALSE)</f>
        <v>6</v>
      </c>
      <c r="N560" s="37" t="str">
        <f>VLOOKUP(D560, County_Data_CZones!$B$2:$F$3236, 5, FALSE)</f>
        <v>Cold</v>
      </c>
    </row>
    <row r="561" ht="15.75" customHeight="1">
      <c r="A561" s="32" t="s">
        <v>583</v>
      </c>
      <c r="B561" s="32" t="s">
        <v>576</v>
      </c>
      <c r="C561" s="32" t="str">
        <f>vlookup(B561,State_EMM_RowSums!$A$2:$B$52,2,FALSE)</f>
        <v>ID</v>
      </c>
      <c r="D561" s="32">
        <v>16017.0</v>
      </c>
      <c r="E561" s="33">
        <f>IF(NOT(ISBLANK(vlookup($D561,Pop_Census_2023!$A$2:$E$3220,4,FALSE))),vlookup($D561,Pop_Census_2023!$A$2:$E$3220,4,FALSE), vlookup($D561,Pop_Census_2023!$A$2:$E$3220,5,FALSE))</f>
        <v>52547</v>
      </c>
      <c r="F561" s="32">
        <v>395158.0</v>
      </c>
      <c r="G561" s="32">
        <v>14.0</v>
      </c>
      <c r="H561" s="32" t="str">
        <f>VLOOKUP(D561, Grid_Region_Mapping!$D$2:$F$5286, 3, FALSE)</f>
        <v>NWPP</v>
      </c>
      <c r="I561" s="32">
        <v>8.0</v>
      </c>
      <c r="J561" s="34" t="str">
        <f t="shared" si="1"/>
        <v>West</v>
      </c>
      <c r="K561" s="35">
        <v>1.0</v>
      </c>
      <c r="L561" s="35" t="s">
        <v>282</v>
      </c>
      <c r="M561" s="36">
        <f>VLOOKUP(D561, County_Data_CZones!$B$2:$F$3236, 2, FALSE)</f>
        <v>6</v>
      </c>
      <c r="N561" s="37" t="str">
        <f>VLOOKUP(D561, County_Data_CZones!$B$2:$F$3236, 5, FALSE)</f>
        <v>Cold</v>
      </c>
    </row>
    <row r="562" ht="15.75" customHeight="1">
      <c r="A562" s="32" t="s">
        <v>584</v>
      </c>
      <c r="B562" s="32" t="s">
        <v>576</v>
      </c>
      <c r="C562" s="32" t="str">
        <f>vlookup(B562,State_EMM_RowSums!$A$2:$B$52,2,FALSE)</f>
        <v>ID</v>
      </c>
      <c r="D562" s="32">
        <v>16019.0</v>
      </c>
      <c r="E562" s="33">
        <f>IF(NOT(ISBLANK(vlookup($D562,Pop_Census_2023!$A$2:$E$3220,4,FALSE))),vlookup($D562,Pop_Census_2023!$A$2:$E$3220,4,FALSE), vlookup($D562,Pop_Census_2023!$A$2:$E$3220,5,FALSE))</f>
        <v>131366</v>
      </c>
      <c r="F562" s="32">
        <v>395407.0</v>
      </c>
      <c r="G562" s="32">
        <v>16.0</v>
      </c>
      <c r="H562" s="32" t="str">
        <f>VLOOKUP(D562, Grid_Region_Mapping!$D$2:$F$5286, 3, FALSE)</f>
        <v>BASN</v>
      </c>
      <c r="I562" s="32">
        <v>8.0</v>
      </c>
      <c r="J562" s="34" t="str">
        <f t="shared" si="1"/>
        <v>West</v>
      </c>
      <c r="K562" s="35">
        <v>1.0</v>
      </c>
      <c r="L562" s="35" t="s">
        <v>282</v>
      </c>
      <c r="M562" s="36">
        <f>VLOOKUP(D562, County_Data_CZones!$B$2:$F$3236, 2, FALSE)</f>
        <v>6</v>
      </c>
      <c r="N562" s="37" t="str">
        <f>VLOOKUP(D562, County_Data_CZones!$B$2:$F$3236, 5, FALSE)</f>
        <v>Cold</v>
      </c>
    </row>
    <row r="563" ht="15.75" customHeight="1">
      <c r="A563" s="32" t="s">
        <v>585</v>
      </c>
      <c r="B563" s="32" t="s">
        <v>576</v>
      </c>
      <c r="C563" s="32" t="str">
        <f>vlookup(B563,State_EMM_RowSums!$A$2:$B$52,2,FALSE)</f>
        <v>ID</v>
      </c>
      <c r="D563" s="32">
        <v>16021.0</v>
      </c>
      <c r="E563" s="33">
        <f>IF(NOT(ISBLANK(vlookup($D563,Pop_Census_2023!$A$2:$E$3220,4,FALSE))),vlookup($D563,Pop_Census_2023!$A$2:$E$3220,4,FALSE), vlookup($D563,Pop_Census_2023!$A$2:$E$3220,5,FALSE))</f>
        <v>13557</v>
      </c>
      <c r="F563" s="32">
        <v>395159.0</v>
      </c>
      <c r="G563" s="32">
        <v>14.0</v>
      </c>
      <c r="H563" s="32" t="str">
        <f>VLOOKUP(D563, Grid_Region_Mapping!$D$2:$F$5286, 3, FALSE)</f>
        <v>NWPP</v>
      </c>
      <c r="I563" s="32">
        <v>8.0</v>
      </c>
      <c r="J563" s="34" t="str">
        <f t="shared" si="1"/>
        <v>West</v>
      </c>
      <c r="K563" s="35">
        <v>1.0</v>
      </c>
      <c r="L563" s="35" t="s">
        <v>282</v>
      </c>
      <c r="M563" s="36">
        <f>VLOOKUP(D563, County_Data_CZones!$B$2:$F$3236, 2, FALSE)</f>
        <v>6</v>
      </c>
      <c r="N563" s="37" t="str">
        <f>VLOOKUP(D563, County_Data_CZones!$B$2:$F$3236, 5, FALSE)</f>
        <v>Cold</v>
      </c>
    </row>
    <row r="564" ht="15.75" customHeight="1">
      <c r="A564" s="32" t="s">
        <v>284</v>
      </c>
      <c r="B564" s="32" t="s">
        <v>576</v>
      </c>
      <c r="C564" s="32" t="str">
        <f>vlookup(B564,State_EMM_RowSums!$A$2:$B$52,2,FALSE)</f>
        <v>ID</v>
      </c>
      <c r="D564" s="32">
        <v>16023.0</v>
      </c>
      <c r="E564" s="33">
        <f>IF(NOT(ISBLANK(vlookup($D564,Pop_Census_2023!$A$2:$E$3220,4,FALSE))),vlookup($D564,Pop_Census_2023!$A$2:$E$3220,4,FALSE), vlookup($D564,Pop_Census_2023!$A$2:$E$3220,5,FALSE))</f>
        <v>2758</v>
      </c>
      <c r="F564" s="32">
        <v>401703.0</v>
      </c>
      <c r="G564" s="32">
        <v>15.0</v>
      </c>
      <c r="H564" s="32" t="str">
        <f>VLOOKUP(D564, Grid_Region_Mapping!$D$2:$F$5286, 3, FALSE)</f>
        <v>BASN</v>
      </c>
      <c r="I564" s="32">
        <v>8.0</v>
      </c>
      <c r="J564" s="34" t="str">
        <f t="shared" si="1"/>
        <v>West</v>
      </c>
      <c r="K564" s="35">
        <v>1.0</v>
      </c>
      <c r="L564" s="35" t="s">
        <v>282</v>
      </c>
      <c r="M564" s="36">
        <f>VLOOKUP(D564, County_Data_CZones!$B$2:$F$3236, 2, FALSE)</f>
        <v>6</v>
      </c>
      <c r="N564" s="37" t="str">
        <f>VLOOKUP(D564, County_Data_CZones!$B$2:$F$3236, 5, FALSE)</f>
        <v>Cold</v>
      </c>
    </row>
    <row r="565" ht="15.75" customHeight="1">
      <c r="A565" s="32" t="s">
        <v>586</v>
      </c>
      <c r="B565" s="32" t="s">
        <v>576</v>
      </c>
      <c r="C565" s="32" t="str">
        <f>vlookup(B565,State_EMM_RowSums!$A$2:$B$52,2,FALSE)</f>
        <v>ID</v>
      </c>
      <c r="D565" s="32">
        <v>16025.0</v>
      </c>
      <c r="E565" s="33">
        <f>IF(NOT(ISBLANK(vlookup($D565,Pop_Census_2023!$A$2:$E$3220,4,FALSE))),vlookup($D565,Pop_Census_2023!$A$2:$E$3220,4,FALSE), vlookup($D565,Pop_Census_2023!$A$2:$E$3220,5,FALSE))</f>
        <v>1232</v>
      </c>
      <c r="F565" s="32">
        <v>399408.0</v>
      </c>
      <c r="G565" s="32">
        <v>15.0</v>
      </c>
      <c r="H565" s="32" t="str">
        <f>VLOOKUP(D565, Grid_Region_Mapping!$D$2:$F$5286, 3, FALSE)</f>
        <v>BASN</v>
      </c>
      <c r="I565" s="32">
        <v>8.0</v>
      </c>
      <c r="J565" s="34" t="str">
        <f t="shared" si="1"/>
        <v>West</v>
      </c>
      <c r="K565" s="35">
        <v>1.0</v>
      </c>
      <c r="L565" s="35" t="s">
        <v>282</v>
      </c>
      <c r="M565" s="36">
        <f>VLOOKUP(D565, County_Data_CZones!$B$2:$F$3236, 2, FALSE)</f>
        <v>6</v>
      </c>
      <c r="N565" s="37" t="str">
        <f>VLOOKUP(D565, County_Data_CZones!$B$2:$F$3236, 5, FALSE)</f>
        <v>Cold</v>
      </c>
    </row>
    <row r="566" ht="15.75" customHeight="1">
      <c r="A566" s="32" t="s">
        <v>587</v>
      </c>
      <c r="B566" s="32" t="s">
        <v>576</v>
      </c>
      <c r="C566" s="32" t="str">
        <f>vlookup(B566,State_EMM_RowSums!$A$2:$B$52,2,FALSE)</f>
        <v>ID</v>
      </c>
      <c r="D566" s="32">
        <v>16027.0</v>
      </c>
      <c r="E566" s="33">
        <f>IF(NOT(ISBLANK(vlookup($D566,Pop_Census_2023!$A$2:$E$3220,4,FALSE))),vlookup($D566,Pop_Census_2023!$A$2:$E$3220,4,FALSE), vlookup($D566,Pop_Census_2023!$A$2:$E$3220,5,FALSE))</f>
        <v>257674</v>
      </c>
      <c r="F566" s="32">
        <v>399406.0</v>
      </c>
      <c r="G566" s="32">
        <v>15.0</v>
      </c>
      <c r="H566" s="32" t="str">
        <f>VLOOKUP(D566, Grid_Region_Mapping!$D$2:$F$5286, 3, FALSE)</f>
        <v>BASN</v>
      </c>
      <c r="I566" s="32">
        <v>8.0</v>
      </c>
      <c r="J566" s="34" t="str">
        <f t="shared" si="1"/>
        <v>West</v>
      </c>
      <c r="K566" s="35">
        <v>2.0</v>
      </c>
      <c r="L566" s="35" t="s">
        <v>202</v>
      </c>
      <c r="M566" s="36">
        <f>VLOOKUP(D566, County_Data_CZones!$B$2:$F$3236, 2, FALSE)</f>
        <v>5</v>
      </c>
      <c r="N566" s="37" t="str">
        <f>VLOOKUP(D566, County_Data_CZones!$B$2:$F$3236, 5, FALSE)</f>
        <v>Cold</v>
      </c>
    </row>
    <row r="567" ht="15.75" customHeight="1">
      <c r="A567" s="32" t="s">
        <v>588</v>
      </c>
      <c r="B567" s="32" t="s">
        <v>576</v>
      </c>
      <c r="C567" s="32" t="str">
        <f>vlookup(B567,State_EMM_RowSums!$A$2:$B$52,2,FALSE)</f>
        <v>ID</v>
      </c>
      <c r="D567" s="32">
        <v>16029.0</v>
      </c>
      <c r="E567" s="33">
        <f>IF(NOT(ISBLANK(vlookup($D567,Pop_Census_2023!$A$2:$E$3220,4,FALSE))),vlookup($D567,Pop_Census_2023!$A$2:$E$3220,4,FALSE), vlookup($D567,Pop_Census_2023!$A$2:$E$3220,5,FALSE))</f>
        <v>7219</v>
      </c>
      <c r="F567" s="32">
        <v>395406.0</v>
      </c>
      <c r="G567" s="32">
        <v>16.0</v>
      </c>
      <c r="H567" s="32" t="str">
        <f>VLOOKUP(D567, Grid_Region_Mapping!$D$2:$F$5286, 3, FALSE)</f>
        <v>BASN</v>
      </c>
      <c r="I567" s="32">
        <v>8.0</v>
      </c>
      <c r="J567" s="34" t="str">
        <f t="shared" si="1"/>
        <v>West</v>
      </c>
      <c r="K567" s="35">
        <v>1.0</v>
      </c>
      <c r="L567" s="35" t="s">
        <v>282</v>
      </c>
      <c r="M567" s="36">
        <f>VLOOKUP(D567, County_Data_CZones!$B$2:$F$3236, 2, FALSE)</f>
        <v>6</v>
      </c>
      <c r="N567" s="37" t="str">
        <f>VLOOKUP(D567, County_Data_CZones!$B$2:$F$3236, 5, FALSE)</f>
        <v>Cold</v>
      </c>
    </row>
    <row r="568" ht="15.75" customHeight="1">
      <c r="A568" s="32" t="s">
        <v>589</v>
      </c>
      <c r="B568" s="32" t="s">
        <v>576</v>
      </c>
      <c r="C568" s="32" t="str">
        <f>vlookup(B568,State_EMM_RowSums!$A$2:$B$52,2,FALSE)</f>
        <v>ID</v>
      </c>
      <c r="D568" s="32">
        <v>16031.0</v>
      </c>
      <c r="E568" s="33">
        <f>IF(NOT(ISBLANK(vlookup($D568,Pop_Census_2023!$A$2:$E$3220,4,FALSE))),vlookup($D568,Pop_Census_2023!$A$2:$E$3220,4,FALSE), vlookup($D568,Pop_Census_2023!$A$2:$E$3220,5,FALSE))</f>
        <v>25696</v>
      </c>
      <c r="F568" s="32">
        <v>395698.0</v>
      </c>
      <c r="G568" s="32">
        <v>16.0</v>
      </c>
      <c r="H568" s="32" t="str">
        <f>VLOOKUP(D568, Grid_Region_Mapping!$D$2:$F$5286, 3, FALSE)</f>
        <v>BASN</v>
      </c>
      <c r="I568" s="32">
        <v>8.0</v>
      </c>
      <c r="J568" s="34" t="str">
        <f t="shared" si="1"/>
        <v>West</v>
      </c>
      <c r="K568" s="35">
        <v>2.0</v>
      </c>
      <c r="L568" s="35" t="s">
        <v>202</v>
      </c>
      <c r="M568" s="36">
        <f>VLOOKUP(D568, County_Data_CZones!$B$2:$F$3236, 2, FALSE)</f>
        <v>5</v>
      </c>
      <c r="N568" s="37" t="str">
        <f>VLOOKUP(D568, County_Data_CZones!$B$2:$F$3236, 5, FALSE)</f>
        <v>Cold</v>
      </c>
    </row>
    <row r="569" ht="15.75" customHeight="1">
      <c r="A569" s="32" t="s">
        <v>229</v>
      </c>
      <c r="B569" s="32" t="s">
        <v>576</v>
      </c>
      <c r="C569" s="32" t="str">
        <f>vlookup(B569,State_EMM_RowSums!$A$2:$B$52,2,FALSE)</f>
        <v>ID</v>
      </c>
      <c r="D569" s="32">
        <v>16033.0</v>
      </c>
      <c r="E569" s="33">
        <f>IF(NOT(ISBLANK(vlookup($D569,Pop_Census_2023!$A$2:$E$3220,4,FALSE))),vlookup($D569,Pop_Census_2023!$A$2:$E$3220,4,FALSE), vlookup($D569,Pop_Census_2023!$A$2:$E$3220,5,FALSE))</f>
        <v>801</v>
      </c>
      <c r="F569" s="32">
        <v>399755.0</v>
      </c>
      <c r="G569" s="32">
        <v>16.0</v>
      </c>
      <c r="H569" s="32" t="str">
        <f>VLOOKUP(D569, Grid_Region_Mapping!$D$2:$F$5286, 3, FALSE)</f>
        <v>BASN</v>
      </c>
      <c r="I569" s="32">
        <v>8.0</v>
      </c>
      <c r="J569" s="34" t="str">
        <f t="shared" si="1"/>
        <v>West</v>
      </c>
      <c r="K569" s="35">
        <v>1.0</v>
      </c>
      <c r="L569" s="35" t="s">
        <v>282</v>
      </c>
      <c r="M569" s="36">
        <f>VLOOKUP(D569, County_Data_CZones!$B$2:$F$3236, 2, FALSE)</f>
        <v>6</v>
      </c>
      <c r="N569" s="37" t="str">
        <f>VLOOKUP(D569, County_Data_CZones!$B$2:$F$3236, 5, FALSE)</f>
        <v>Cold</v>
      </c>
    </row>
    <row r="570" ht="15.75" customHeight="1">
      <c r="A570" s="32" t="s">
        <v>590</v>
      </c>
      <c r="B570" s="32" t="s">
        <v>576</v>
      </c>
      <c r="C570" s="32" t="str">
        <f>vlookup(B570,State_EMM_RowSums!$A$2:$B$52,2,FALSE)</f>
        <v>ID</v>
      </c>
      <c r="D570" s="32">
        <v>16035.0</v>
      </c>
      <c r="E570" s="33">
        <f>IF(NOT(ISBLANK(vlookup($D570,Pop_Census_2023!$A$2:$E$3220,4,FALSE))),vlookup($D570,Pop_Census_2023!$A$2:$E$3220,4,FALSE), vlookup($D570,Pop_Census_2023!$A$2:$E$3220,5,FALSE))</f>
        <v>9214</v>
      </c>
      <c r="F570" s="32">
        <v>395697.0</v>
      </c>
      <c r="G570" s="32">
        <v>15.0</v>
      </c>
      <c r="H570" s="32" t="str">
        <f>VLOOKUP(D570, Grid_Region_Mapping!$D$2:$F$5286, 3, FALSE)</f>
        <v>NWPP</v>
      </c>
      <c r="I570" s="32">
        <v>8.0</v>
      </c>
      <c r="J570" s="34" t="str">
        <f t="shared" si="1"/>
        <v>West</v>
      </c>
      <c r="K570" s="35">
        <v>2.0</v>
      </c>
      <c r="L570" s="35" t="s">
        <v>202</v>
      </c>
      <c r="M570" s="36">
        <f>VLOOKUP(D570, County_Data_CZones!$B$2:$F$3236, 2, FALSE)</f>
        <v>5</v>
      </c>
      <c r="N570" s="37" t="str">
        <f>VLOOKUP(D570, County_Data_CZones!$B$2:$F$3236, 5, FALSE)</f>
        <v>Cold</v>
      </c>
    </row>
    <row r="571" ht="15.75" customHeight="1">
      <c r="A571" s="32" t="s">
        <v>353</v>
      </c>
      <c r="B571" s="32" t="s">
        <v>576</v>
      </c>
      <c r="C571" s="32" t="str">
        <f>vlookup(B571,State_EMM_RowSums!$A$2:$B$52,2,FALSE)</f>
        <v>ID</v>
      </c>
      <c r="D571" s="32">
        <v>16037.0</v>
      </c>
      <c r="E571" s="33">
        <f>IF(NOT(ISBLANK(vlookup($D571,Pop_Census_2023!$A$2:$E$3220,4,FALSE))),vlookup($D571,Pop_Census_2023!$A$2:$E$3220,4,FALSE), vlookup($D571,Pop_Census_2023!$A$2:$E$3220,5,FALSE))</f>
        <v>4523</v>
      </c>
      <c r="F571" s="32">
        <v>399758.0</v>
      </c>
      <c r="G571" s="32">
        <v>15.0</v>
      </c>
      <c r="H571" s="32" t="str">
        <f>VLOOKUP(D571, Grid_Region_Mapping!$D$2:$F$5286, 3, FALSE)</f>
        <v>BASN</v>
      </c>
      <c r="I571" s="32">
        <v>8.0</v>
      </c>
      <c r="J571" s="34" t="str">
        <f t="shared" si="1"/>
        <v>West</v>
      </c>
      <c r="K571" s="35">
        <v>1.0</v>
      </c>
      <c r="L571" s="35" t="s">
        <v>282</v>
      </c>
      <c r="M571" s="36">
        <f>VLOOKUP(D571, County_Data_CZones!$B$2:$F$3236, 2, FALSE)</f>
        <v>6</v>
      </c>
      <c r="N571" s="37" t="str">
        <f>VLOOKUP(D571, County_Data_CZones!$B$2:$F$3236, 5, FALSE)</f>
        <v>Cold</v>
      </c>
    </row>
    <row r="572" ht="15.75" customHeight="1">
      <c r="A572" s="32" t="s">
        <v>128</v>
      </c>
      <c r="B572" s="32" t="s">
        <v>576</v>
      </c>
      <c r="C572" s="32" t="str">
        <f>vlookup(B572,State_EMM_RowSums!$A$2:$B$52,2,FALSE)</f>
        <v>ID</v>
      </c>
      <c r="D572" s="32">
        <v>16039.0</v>
      </c>
      <c r="E572" s="33">
        <f>IF(NOT(ISBLANK(vlookup($D572,Pop_Census_2023!$A$2:$E$3220,4,FALSE))),vlookup($D572,Pop_Census_2023!$A$2:$E$3220,4,FALSE), vlookup($D572,Pop_Census_2023!$A$2:$E$3220,5,FALSE))</f>
        <v>29724</v>
      </c>
      <c r="F572" s="32">
        <v>400252.0</v>
      </c>
      <c r="G572" s="32">
        <v>15.0</v>
      </c>
      <c r="H572" s="32" t="str">
        <f>VLOOKUP(D572, Grid_Region_Mapping!$D$2:$F$5286, 3, FALSE)</f>
        <v>BASN</v>
      </c>
      <c r="I572" s="32">
        <v>8.0</v>
      </c>
      <c r="J572" s="34" t="str">
        <f t="shared" si="1"/>
        <v>West</v>
      </c>
      <c r="K572" s="35">
        <v>2.0</v>
      </c>
      <c r="L572" s="35" t="s">
        <v>202</v>
      </c>
      <c r="M572" s="36">
        <f>VLOOKUP(D572, County_Data_CZones!$B$2:$F$3236, 2, FALSE)</f>
        <v>5</v>
      </c>
      <c r="N572" s="37" t="str">
        <f>VLOOKUP(D572, County_Data_CZones!$B$2:$F$3236, 5, FALSE)</f>
        <v>Cold</v>
      </c>
    </row>
    <row r="573" ht="15.75" customHeight="1">
      <c r="A573" s="32" t="s">
        <v>132</v>
      </c>
      <c r="B573" s="32" t="s">
        <v>576</v>
      </c>
      <c r="C573" s="32" t="str">
        <f>vlookup(B573,State_EMM_RowSums!$A$2:$B$52,2,FALSE)</f>
        <v>ID</v>
      </c>
      <c r="D573" s="32">
        <v>16041.0</v>
      </c>
      <c r="E573" s="33">
        <f>IF(NOT(ISBLANK(vlookup($D573,Pop_Census_2023!$A$2:$E$3220,4,FALSE))),vlookup($D573,Pop_Census_2023!$A$2:$E$3220,4,FALSE), vlookup($D573,Pop_Census_2023!$A$2:$E$3220,5,FALSE))</f>
        <v>15494</v>
      </c>
      <c r="F573" s="32">
        <v>395585.0</v>
      </c>
      <c r="G573" s="32">
        <v>16.0</v>
      </c>
      <c r="H573" s="32" t="str">
        <f>VLOOKUP(D573, Grid_Region_Mapping!$D$2:$F$5286, 3, FALSE)</f>
        <v>BASN</v>
      </c>
      <c r="I573" s="32">
        <v>8.0</v>
      </c>
      <c r="J573" s="34" t="str">
        <f t="shared" si="1"/>
        <v>West</v>
      </c>
      <c r="K573" s="35">
        <v>1.0</v>
      </c>
      <c r="L573" s="35" t="s">
        <v>282</v>
      </c>
      <c r="M573" s="36">
        <f>VLOOKUP(D573, County_Data_CZones!$B$2:$F$3236, 2, FALSE)</f>
        <v>6</v>
      </c>
      <c r="N573" s="37" t="str">
        <f>VLOOKUP(D573, County_Data_CZones!$B$2:$F$3236, 5, FALSE)</f>
        <v>Cold</v>
      </c>
    </row>
    <row r="574" ht="15.75" customHeight="1">
      <c r="A574" s="32" t="s">
        <v>361</v>
      </c>
      <c r="B574" s="32" t="s">
        <v>576</v>
      </c>
      <c r="C574" s="32" t="str">
        <f>vlookup(B574,State_EMM_RowSums!$A$2:$B$52,2,FALSE)</f>
        <v>ID</v>
      </c>
      <c r="D574" s="32">
        <v>16043.0</v>
      </c>
      <c r="E574" s="33">
        <f>IF(NOT(ISBLANK(vlookup($D574,Pop_Census_2023!$A$2:$E$3220,4,FALSE))),vlookup($D574,Pop_Census_2023!$A$2:$E$3220,4,FALSE), vlookup($D574,Pop_Census_2023!$A$2:$E$3220,5,FALSE))</f>
        <v>14196</v>
      </c>
      <c r="F574" s="32">
        <v>395408.0</v>
      </c>
      <c r="G574" s="32">
        <v>16.0</v>
      </c>
      <c r="H574" s="32" t="str">
        <f>VLOOKUP(D574, Grid_Region_Mapping!$D$2:$F$5286, 3, FALSE)</f>
        <v>BASN</v>
      </c>
      <c r="I574" s="32">
        <v>8.0</v>
      </c>
      <c r="J574" s="34" t="str">
        <f t="shared" si="1"/>
        <v>West</v>
      </c>
      <c r="K574" s="35">
        <v>1.0</v>
      </c>
      <c r="L574" s="35" t="s">
        <v>282</v>
      </c>
      <c r="M574" s="36">
        <f>VLOOKUP(D574, County_Data_CZones!$B$2:$F$3236, 2, FALSE)</f>
        <v>6</v>
      </c>
      <c r="N574" s="37" t="str">
        <f>VLOOKUP(D574, County_Data_CZones!$B$2:$F$3236, 5, FALSE)</f>
        <v>Cold</v>
      </c>
    </row>
    <row r="575" ht="15.75" customHeight="1">
      <c r="A575" s="32" t="s">
        <v>591</v>
      </c>
      <c r="B575" s="32" t="s">
        <v>576</v>
      </c>
      <c r="C575" s="32" t="str">
        <f>vlookup(B575,State_EMM_RowSums!$A$2:$B$52,2,FALSE)</f>
        <v>ID</v>
      </c>
      <c r="D575" s="32">
        <v>16045.0</v>
      </c>
      <c r="E575" s="33">
        <f>IF(NOT(ISBLANK(vlookup($D575,Pop_Census_2023!$A$2:$E$3220,4,FALSE))),vlookup($D575,Pop_Census_2023!$A$2:$E$3220,4,FALSE), vlookup($D575,Pop_Census_2023!$A$2:$E$3220,5,FALSE))</f>
        <v>21071</v>
      </c>
      <c r="F575" s="32">
        <v>395442.0</v>
      </c>
      <c r="G575" s="32">
        <v>15.0</v>
      </c>
      <c r="H575" s="32" t="str">
        <f>VLOOKUP(D575, Grid_Region_Mapping!$D$2:$F$5286, 3, FALSE)</f>
        <v>BASN</v>
      </c>
      <c r="I575" s="32">
        <v>8.0</v>
      </c>
      <c r="J575" s="34" t="str">
        <f t="shared" si="1"/>
        <v>West</v>
      </c>
      <c r="K575" s="35">
        <v>2.0</v>
      </c>
      <c r="L575" s="35" t="s">
        <v>202</v>
      </c>
      <c r="M575" s="36">
        <f>VLOOKUP(D575, County_Data_CZones!$B$2:$F$3236, 2, FALSE)</f>
        <v>5</v>
      </c>
      <c r="N575" s="37" t="str">
        <f>VLOOKUP(D575, County_Data_CZones!$B$2:$F$3236, 5, FALSE)</f>
        <v>Cold</v>
      </c>
    </row>
    <row r="576" ht="15.75" customHeight="1">
      <c r="A576" s="32" t="s">
        <v>592</v>
      </c>
      <c r="B576" s="32" t="s">
        <v>576</v>
      </c>
      <c r="C576" s="32" t="str">
        <f>vlookup(B576,State_EMM_RowSums!$A$2:$B$52,2,FALSE)</f>
        <v>ID</v>
      </c>
      <c r="D576" s="32">
        <v>16047.0</v>
      </c>
      <c r="E576" s="33">
        <f>IF(NOT(ISBLANK(vlookup($D576,Pop_Census_2023!$A$2:$E$3220,4,FALSE))),vlookup($D576,Pop_Census_2023!$A$2:$E$3220,4,FALSE), vlookup($D576,Pop_Census_2023!$A$2:$E$3220,5,FALSE))</f>
        <v>16061</v>
      </c>
      <c r="F576" s="32">
        <v>395441.0</v>
      </c>
      <c r="G576" s="32">
        <v>15.0</v>
      </c>
      <c r="H576" s="32" t="str">
        <f>VLOOKUP(D576, Grid_Region_Mapping!$D$2:$F$5286, 3, FALSE)</f>
        <v>BASN</v>
      </c>
      <c r="I576" s="32">
        <v>8.0</v>
      </c>
      <c r="J576" s="34" t="str">
        <f t="shared" si="1"/>
        <v>West</v>
      </c>
      <c r="K576" s="35">
        <v>2.0</v>
      </c>
      <c r="L576" s="35" t="s">
        <v>202</v>
      </c>
      <c r="M576" s="36">
        <f>VLOOKUP(D576, County_Data_CZones!$B$2:$F$3236, 2, FALSE)</f>
        <v>5</v>
      </c>
      <c r="N576" s="37" t="str">
        <f>VLOOKUP(D576, County_Data_CZones!$B$2:$F$3236, 5, FALSE)</f>
        <v>Cold</v>
      </c>
    </row>
    <row r="577" ht="15.75" customHeight="1">
      <c r="A577" s="32" t="s">
        <v>576</v>
      </c>
      <c r="B577" s="32" t="s">
        <v>576</v>
      </c>
      <c r="C577" s="32" t="str">
        <f>vlookup(B577,State_EMM_RowSums!$A$2:$B$52,2,FALSE)</f>
        <v>ID</v>
      </c>
      <c r="D577" s="32">
        <v>16049.0</v>
      </c>
      <c r="E577" s="33">
        <f>IF(NOT(ISBLANK(vlookup($D577,Pop_Census_2023!$A$2:$E$3220,4,FALSE))),vlookup($D577,Pop_Census_2023!$A$2:$E$3220,4,FALSE), vlookup($D577,Pop_Census_2023!$A$2:$E$3220,5,FALSE))</f>
        <v>17890</v>
      </c>
      <c r="F577" s="32">
        <v>395699.0</v>
      </c>
      <c r="G577" s="32">
        <v>15.0</v>
      </c>
      <c r="H577" s="32" t="str">
        <f>VLOOKUP(D577, Grid_Region_Mapping!$D$2:$F$5286, 3, FALSE)</f>
        <v>BASN</v>
      </c>
      <c r="I577" s="32">
        <v>8.0</v>
      </c>
      <c r="J577" s="34" t="str">
        <f t="shared" si="1"/>
        <v>West</v>
      </c>
      <c r="K577" s="35">
        <v>1.0</v>
      </c>
      <c r="L577" s="35" t="s">
        <v>202</v>
      </c>
      <c r="M577" s="36">
        <f>VLOOKUP(D577, County_Data_CZones!$B$2:$F$3236, 2, FALSE)</f>
        <v>5</v>
      </c>
      <c r="N577" s="37" t="str">
        <f>VLOOKUP(D577, County_Data_CZones!$B$2:$F$3236, 5, FALSE)</f>
        <v>Cold</v>
      </c>
    </row>
    <row r="578" ht="15.75" customHeight="1">
      <c r="A578" s="32" t="s">
        <v>139</v>
      </c>
      <c r="B578" s="32" t="s">
        <v>576</v>
      </c>
      <c r="C578" s="32" t="str">
        <f>vlookup(B578,State_EMM_RowSums!$A$2:$B$52,2,FALSE)</f>
        <v>ID</v>
      </c>
      <c r="D578" s="32">
        <v>16051.0</v>
      </c>
      <c r="E578" s="33">
        <f>IF(NOT(ISBLANK(vlookup($D578,Pop_Census_2023!$A$2:$E$3220,4,FALSE))),vlookup($D578,Pop_Census_2023!$A$2:$E$3220,4,FALSE), vlookup($D578,Pop_Census_2023!$A$2:$E$3220,5,FALSE))</f>
        <v>34198</v>
      </c>
      <c r="F578" s="32">
        <v>399751.0</v>
      </c>
      <c r="G578" s="32">
        <v>16.0</v>
      </c>
      <c r="H578" s="32" t="str">
        <f>VLOOKUP(D578, Grid_Region_Mapping!$D$2:$F$5286, 3, FALSE)</f>
        <v>BASN</v>
      </c>
      <c r="I578" s="32">
        <v>8.0</v>
      </c>
      <c r="J578" s="34" t="str">
        <f t="shared" si="1"/>
        <v>West</v>
      </c>
      <c r="K578" s="35">
        <v>1.0</v>
      </c>
      <c r="L578" s="35" t="s">
        <v>282</v>
      </c>
      <c r="M578" s="36">
        <f>VLOOKUP(D578, County_Data_CZones!$B$2:$F$3236, 2, FALSE)</f>
        <v>6</v>
      </c>
      <c r="N578" s="37" t="str">
        <f>VLOOKUP(D578, County_Data_CZones!$B$2:$F$3236, 5, FALSE)</f>
        <v>Cold</v>
      </c>
    </row>
    <row r="579" ht="15.75" customHeight="1">
      <c r="A579" s="32" t="s">
        <v>593</v>
      </c>
      <c r="B579" s="32" t="s">
        <v>576</v>
      </c>
      <c r="C579" s="32" t="str">
        <f>vlookup(B579,State_EMM_RowSums!$A$2:$B$52,2,FALSE)</f>
        <v>ID</v>
      </c>
      <c r="D579" s="32">
        <v>16053.0</v>
      </c>
      <c r="E579" s="33">
        <f>IF(NOT(ISBLANK(vlookup($D579,Pop_Census_2023!$A$2:$E$3220,4,FALSE))),vlookup($D579,Pop_Census_2023!$A$2:$E$3220,4,FALSE), vlookup($D579,Pop_Census_2023!$A$2:$E$3220,5,FALSE))</f>
        <v>25479</v>
      </c>
      <c r="F579" s="32">
        <v>395662.0</v>
      </c>
      <c r="G579" s="32">
        <v>15.0</v>
      </c>
      <c r="H579" s="32" t="str">
        <f>VLOOKUP(D579, Grid_Region_Mapping!$D$2:$F$5286, 3, FALSE)</f>
        <v>BASN</v>
      </c>
      <c r="I579" s="32">
        <v>8.0</v>
      </c>
      <c r="J579" s="34" t="str">
        <f t="shared" si="1"/>
        <v>West</v>
      </c>
      <c r="K579" s="35">
        <v>2.0</v>
      </c>
      <c r="L579" s="35" t="s">
        <v>202</v>
      </c>
      <c r="M579" s="36">
        <f>VLOOKUP(D579, County_Data_CZones!$B$2:$F$3236, 2, FALSE)</f>
        <v>5</v>
      </c>
      <c r="N579" s="37" t="str">
        <f>VLOOKUP(D579, County_Data_CZones!$B$2:$F$3236, 5, FALSE)</f>
        <v>Cold</v>
      </c>
    </row>
    <row r="580" ht="15.75" customHeight="1">
      <c r="A580" s="32" t="s">
        <v>594</v>
      </c>
      <c r="B580" s="32" t="s">
        <v>576</v>
      </c>
      <c r="C580" s="32" t="str">
        <f>vlookup(B580,State_EMM_RowSums!$A$2:$B$52,2,FALSE)</f>
        <v>ID</v>
      </c>
      <c r="D580" s="32">
        <v>16055.0</v>
      </c>
      <c r="E580" s="33">
        <f>IF(NOT(ISBLANK(vlookup($D580,Pop_Census_2023!$A$2:$E$3220,4,FALSE))),vlookup($D580,Pop_Census_2023!$A$2:$E$3220,4,FALSE), vlookup($D580,Pop_Census_2023!$A$2:$E$3220,5,FALSE))</f>
        <v>185010</v>
      </c>
      <c r="F580" s="32">
        <v>395661.0</v>
      </c>
      <c r="G580" s="32">
        <v>14.0</v>
      </c>
      <c r="H580" s="32" t="str">
        <f>VLOOKUP(D580, Grid_Region_Mapping!$D$2:$F$5286, 3, FALSE)</f>
        <v>NWPP</v>
      </c>
      <c r="I580" s="32">
        <v>8.0</v>
      </c>
      <c r="J580" s="34" t="str">
        <f t="shared" si="1"/>
        <v>West</v>
      </c>
      <c r="K580" s="35">
        <v>2.0</v>
      </c>
      <c r="L580" s="35" t="s">
        <v>202</v>
      </c>
      <c r="M580" s="36">
        <f>VLOOKUP(D580, County_Data_CZones!$B$2:$F$3236, 2, FALSE)</f>
        <v>5</v>
      </c>
      <c r="N580" s="37" t="str">
        <f>VLOOKUP(D580, County_Data_CZones!$B$2:$F$3236, 5, FALSE)</f>
        <v>Cold</v>
      </c>
    </row>
    <row r="581" ht="15.75" customHeight="1">
      <c r="A581" s="32" t="s">
        <v>595</v>
      </c>
      <c r="B581" s="32" t="s">
        <v>576</v>
      </c>
      <c r="C581" s="32" t="str">
        <f>vlookup(B581,State_EMM_RowSums!$A$2:$B$52,2,FALSE)</f>
        <v>ID</v>
      </c>
      <c r="D581" s="32">
        <v>16057.0</v>
      </c>
      <c r="E581" s="33">
        <f>IF(NOT(ISBLANK(vlookup($D581,Pop_Census_2023!$A$2:$E$3220,4,FALSE))),vlookup($D581,Pop_Census_2023!$A$2:$E$3220,4,FALSE), vlookup($D581,Pop_Census_2023!$A$2:$E$3220,5,FALSE))</f>
        <v>41301</v>
      </c>
      <c r="F581" s="32">
        <v>395613.0</v>
      </c>
      <c r="G581" s="32">
        <v>14.0</v>
      </c>
      <c r="H581" s="32" t="str">
        <f>VLOOKUP(D581, Grid_Region_Mapping!$D$2:$F$5286, 3, FALSE)</f>
        <v>NWPP</v>
      </c>
      <c r="I581" s="32">
        <v>8.0</v>
      </c>
      <c r="J581" s="34" t="str">
        <f t="shared" si="1"/>
        <v>West</v>
      </c>
      <c r="K581" s="35">
        <v>2.0</v>
      </c>
      <c r="L581" s="35" t="s">
        <v>202</v>
      </c>
      <c r="M581" s="36">
        <f>VLOOKUP(D581, County_Data_CZones!$B$2:$F$3236, 2, FALSE)</f>
        <v>5</v>
      </c>
      <c r="N581" s="37" t="str">
        <f>VLOOKUP(D581, County_Data_CZones!$B$2:$F$3236, 5, FALSE)</f>
        <v>Cold</v>
      </c>
    </row>
    <row r="582" ht="15.75" customHeight="1">
      <c r="A582" s="32" t="s">
        <v>596</v>
      </c>
      <c r="B582" s="32" t="s">
        <v>576</v>
      </c>
      <c r="C582" s="32" t="str">
        <f>vlookup(B582,State_EMM_RowSums!$A$2:$B$52,2,FALSE)</f>
        <v>ID</v>
      </c>
      <c r="D582" s="32">
        <v>16059.0</v>
      </c>
      <c r="E582" s="33">
        <f>IF(NOT(ISBLANK(vlookup($D582,Pop_Census_2023!$A$2:$E$3220,4,FALSE))),vlookup($D582,Pop_Census_2023!$A$2:$E$3220,4,FALSE), vlookup($D582,Pop_Census_2023!$A$2:$E$3220,5,FALSE))</f>
        <v>8441</v>
      </c>
      <c r="F582" s="32">
        <v>399754.0</v>
      </c>
      <c r="G582" s="32">
        <v>15.0</v>
      </c>
      <c r="H582" s="32" t="str">
        <f>VLOOKUP(D582, Grid_Region_Mapping!$D$2:$F$5286, 3, FALSE)</f>
        <v>BASN</v>
      </c>
      <c r="I582" s="32">
        <v>8.0</v>
      </c>
      <c r="J582" s="34" t="str">
        <f t="shared" si="1"/>
        <v>West</v>
      </c>
      <c r="K582" s="35">
        <v>1.0</v>
      </c>
      <c r="L582" s="35" t="s">
        <v>282</v>
      </c>
      <c r="M582" s="36">
        <f>VLOOKUP(D582, County_Data_CZones!$B$2:$F$3236, 2, FALSE)</f>
        <v>6</v>
      </c>
      <c r="N582" s="37" t="str">
        <f>VLOOKUP(D582, County_Data_CZones!$B$2:$F$3236, 5, FALSE)</f>
        <v>Cold</v>
      </c>
    </row>
    <row r="583" ht="15.75" customHeight="1">
      <c r="A583" s="32" t="s">
        <v>597</v>
      </c>
      <c r="B583" s="32" t="s">
        <v>576</v>
      </c>
      <c r="C583" s="32" t="str">
        <f>vlookup(B583,State_EMM_RowSums!$A$2:$B$52,2,FALSE)</f>
        <v>ID</v>
      </c>
      <c r="D583" s="32">
        <v>16061.0</v>
      </c>
      <c r="E583" s="33">
        <f>IF(NOT(ISBLANK(vlookup($D583,Pop_Census_2023!$A$2:$E$3220,4,FALSE))),vlookup($D583,Pop_Census_2023!$A$2:$E$3220,4,FALSE), vlookup($D583,Pop_Census_2023!$A$2:$E$3220,5,FALSE))</f>
        <v>3739</v>
      </c>
      <c r="F583" s="32">
        <v>395622.0</v>
      </c>
      <c r="G583" s="32">
        <v>14.0</v>
      </c>
      <c r="H583" s="32" t="str">
        <f>VLOOKUP(D583, Grid_Region_Mapping!$D$2:$F$5286, 3, FALSE)</f>
        <v>NWPP</v>
      </c>
      <c r="I583" s="32">
        <v>8.0</v>
      </c>
      <c r="J583" s="34" t="str">
        <f t="shared" si="1"/>
        <v>West</v>
      </c>
      <c r="K583" s="35">
        <v>1.0</v>
      </c>
      <c r="L583" s="35" t="s">
        <v>202</v>
      </c>
      <c r="M583" s="36">
        <f>VLOOKUP(D583, County_Data_CZones!$B$2:$F$3236, 2, FALSE)</f>
        <v>5</v>
      </c>
      <c r="N583" s="37" t="str">
        <f>VLOOKUP(D583, County_Data_CZones!$B$2:$F$3236, 5, FALSE)</f>
        <v>Cold</v>
      </c>
    </row>
    <row r="584" ht="15.75" customHeight="1">
      <c r="A584" s="32" t="s">
        <v>250</v>
      </c>
      <c r="B584" s="32" t="s">
        <v>576</v>
      </c>
      <c r="C584" s="32" t="str">
        <f>vlookup(B584,State_EMM_RowSums!$A$2:$B$52,2,FALSE)</f>
        <v>ID</v>
      </c>
      <c r="D584" s="32">
        <v>16063.0</v>
      </c>
      <c r="E584" s="33">
        <f>IF(NOT(ISBLANK(vlookup($D584,Pop_Census_2023!$A$2:$E$3220,4,FALSE))),vlookup($D584,Pop_Census_2023!$A$2:$E$3220,4,FALSE), vlookup($D584,Pop_Census_2023!$A$2:$E$3220,5,FALSE))</f>
        <v>5450</v>
      </c>
      <c r="F584" s="32">
        <v>395624.0</v>
      </c>
      <c r="G584" s="32">
        <v>15.0</v>
      </c>
      <c r="H584" s="32" t="str">
        <f>VLOOKUP(D584, Grid_Region_Mapping!$D$2:$F$5286, 3, FALSE)</f>
        <v>BASN</v>
      </c>
      <c r="I584" s="32">
        <v>8.0</v>
      </c>
      <c r="J584" s="34" t="str">
        <f t="shared" si="1"/>
        <v>West</v>
      </c>
      <c r="K584" s="35">
        <v>1.0</v>
      </c>
      <c r="L584" s="35" t="s">
        <v>202</v>
      </c>
      <c r="M584" s="36">
        <f>VLOOKUP(D584, County_Data_CZones!$B$2:$F$3236, 2, FALSE)</f>
        <v>5</v>
      </c>
      <c r="N584" s="37" t="str">
        <f>VLOOKUP(D584, County_Data_CZones!$B$2:$F$3236, 5, FALSE)</f>
        <v>Cold</v>
      </c>
    </row>
    <row r="585" ht="15.75" customHeight="1">
      <c r="A585" s="32" t="s">
        <v>147</v>
      </c>
      <c r="B585" s="32" t="s">
        <v>576</v>
      </c>
      <c r="C585" s="32" t="str">
        <f>vlookup(B585,State_EMM_RowSums!$A$2:$B$52,2,FALSE)</f>
        <v>ID</v>
      </c>
      <c r="D585" s="32">
        <v>16065.0</v>
      </c>
      <c r="E585" s="33">
        <f>IF(NOT(ISBLANK(vlookup($D585,Pop_Census_2023!$A$2:$E$3220,4,FALSE))),vlookup($D585,Pop_Census_2023!$A$2:$E$3220,4,FALSE), vlookup($D585,Pop_Census_2023!$A$2:$E$3220,5,FALSE))</f>
        <v>54547</v>
      </c>
      <c r="F585" s="32">
        <v>394803.0</v>
      </c>
      <c r="G585" s="32">
        <v>16.0</v>
      </c>
      <c r="H585" s="32" t="str">
        <f>VLOOKUP(D585, Grid_Region_Mapping!$D$2:$F$5286, 3, FALSE)</f>
        <v>BASN</v>
      </c>
      <c r="I585" s="32">
        <v>8.0</v>
      </c>
      <c r="J585" s="34" t="str">
        <f t="shared" si="1"/>
        <v>West</v>
      </c>
      <c r="K585" s="35">
        <v>1.0</v>
      </c>
      <c r="L585" s="35" t="s">
        <v>282</v>
      </c>
      <c r="M585" s="36">
        <f>VLOOKUP(D585, County_Data_CZones!$B$2:$F$3236, 2, FALSE)</f>
        <v>6</v>
      </c>
      <c r="N585" s="37" t="str">
        <f>VLOOKUP(D585, County_Data_CZones!$B$2:$F$3236, 5, FALSE)</f>
        <v>Cold</v>
      </c>
    </row>
    <row r="586" ht="15.75" customHeight="1">
      <c r="A586" s="32" t="s">
        <v>598</v>
      </c>
      <c r="B586" s="32" t="s">
        <v>576</v>
      </c>
      <c r="C586" s="32" t="str">
        <f>vlookup(B586,State_EMM_RowSums!$A$2:$B$52,2,FALSE)</f>
        <v>ID</v>
      </c>
      <c r="D586" s="32">
        <v>16067.0</v>
      </c>
      <c r="E586" s="33">
        <f>IF(NOT(ISBLANK(vlookup($D586,Pop_Census_2023!$A$2:$E$3220,4,FALSE))),vlookup($D586,Pop_Census_2023!$A$2:$E$3220,4,FALSE), vlookup($D586,Pop_Census_2023!$A$2:$E$3220,5,FALSE))</f>
        <v>22480</v>
      </c>
      <c r="F586" s="32">
        <v>394807.0</v>
      </c>
      <c r="G586" s="32">
        <v>15.0</v>
      </c>
      <c r="H586" s="32" t="str">
        <f>VLOOKUP(D586, Grid_Region_Mapping!$D$2:$F$5286, 3, FALSE)</f>
        <v>BASN</v>
      </c>
      <c r="I586" s="32">
        <v>8.0</v>
      </c>
      <c r="J586" s="34" t="str">
        <f t="shared" si="1"/>
        <v>West</v>
      </c>
      <c r="K586" s="35">
        <v>1.0</v>
      </c>
      <c r="L586" s="35" t="s">
        <v>202</v>
      </c>
      <c r="M586" s="36">
        <f>VLOOKUP(D586, County_Data_CZones!$B$2:$F$3236, 2, FALSE)</f>
        <v>5</v>
      </c>
      <c r="N586" s="37" t="str">
        <f>VLOOKUP(D586, County_Data_CZones!$B$2:$F$3236, 5, FALSE)</f>
        <v>Cold</v>
      </c>
    </row>
    <row r="587" ht="15.75" customHeight="1">
      <c r="A587" s="32" t="s">
        <v>599</v>
      </c>
      <c r="B587" s="32" t="s">
        <v>576</v>
      </c>
      <c r="C587" s="32" t="str">
        <f>vlookup(B587,State_EMM_RowSums!$A$2:$B$52,2,FALSE)</f>
        <v>ID</v>
      </c>
      <c r="D587" s="32">
        <v>16069.0</v>
      </c>
      <c r="E587" s="33">
        <f>IF(NOT(ISBLANK(vlookup($D587,Pop_Census_2023!$A$2:$E$3220,4,FALSE))),vlookup($D587,Pop_Census_2023!$A$2:$E$3220,4,FALSE), vlookup($D587,Pop_Census_2023!$A$2:$E$3220,5,FALSE))</f>
        <v>42987</v>
      </c>
      <c r="F587" s="32">
        <v>399394.0</v>
      </c>
      <c r="G587" s="32">
        <v>14.0</v>
      </c>
      <c r="H587" s="32" t="str">
        <f>VLOOKUP(D587, Grid_Region_Mapping!$D$2:$F$5286, 3, FALSE)</f>
        <v>NWPP</v>
      </c>
      <c r="I587" s="32">
        <v>8.0</v>
      </c>
      <c r="J587" s="34" t="str">
        <f t="shared" si="1"/>
        <v>West</v>
      </c>
      <c r="K587" s="35">
        <v>2.0</v>
      </c>
      <c r="L587" s="35" t="s">
        <v>202</v>
      </c>
      <c r="M587" s="36">
        <f>VLOOKUP(D587, County_Data_CZones!$B$2:$F$3236, 2, FALSE)</f>
        <v>5</v>
      </c>
      <c r="N587" s="37" t="str">
        <f>VLOOKUP(D587, County_Data_CZones!$B$2:$F$3236, 5, FALSE)</f>
        <v>Cold</v>
      </c>
    </row>
    <row r="588" ht="15.75" customHeight="1">
      <c r="A588" s="32" t="s">
        <v>600</v>
      </c>
      <c r="B588" s="32" t="s">
        <v>576</v>
      </c>
      <c r="C588" s="32" t="str">
        <f>vlookup(B588,State_EMM_RowSums!$A$2:$B$52,2,FALSE)</f>
        <v>ID</v>
      </c>
      <c r="D588" s="32">
        <v>16071.0</v>
      </c>
      <c r="E588" s="33">
        <f>IF(NOT(ISBLANK(vlookup($D588,Pop_Census_2023!$A$2:$E$3220,4,FALSE))),vlookup($D588,Pop_Census_2023!$A$2:$E$3220,4,FALSE), vlookup($D588,Pop_Census_2023!$A$2:$E$3220,5,FALSE))</f>
        <v>4953</v>
      </c>
      <c r="F588" s="32">
        <v>399759.0</v>
      </c>
      <c r="G588" s="32">
        <v>16.0</v>
      </c>
      <c r="H588" s="32" t="str">
        <f>VLOOKUP(D588, Grid_Region_Mapping!$D$2:$F$5286, 3, FALSE)</f>
        <v>BASN</v>
      </c>
      <c r="I588" s="32">
        <v>8.0</v>
      </c>
      <c r="J588" s="34" t="str">
        <f t="shared" si="1"/>
        <v>West</v>
      </c>
      <c r="K588" s="35">
        <v>1.0</v>
      </c>
      <c r="L588" s="35" t="s">
        <v>282</v>
      </c>
      <c r="M588" s="36">
        <f>VLOOKUP(D588, County_Data_CZones!$B$2:$F$3236, 2, FALSE)</f>
        <v>6</v>
      </c>
      <c r="N588" s="37" t="str">
        <f>VLOOKUP(D588, County_Data_CZones!$B$2:$F$3236, 5, FALSE)</f>
        <v>Cold</v>
      </c>
    </row>
    <row r="589" ht="15.75" customHeight="1">
      <c r="A589" s="32" t="s">
        <v>601</v>
      </c>
      <c r="B589" s="32" t="s">
        <v>576</v>
      </c>
      <c r="C589" s="32" t="str">
        <f>vlookup(B589,State_EMM_RowSums!$A$2:$B$52,2,FALSE)</f>
        <v>ID</v>
      </c>
      <c r="D589" s="32">
        <v>16073.0</v>
      </c>
      <c r="E589" s="33">
        <f>IF(NOT(ISBLANK(vlookup($D589,Pop_Census_2023!$A$2:$E$3220,4,FALSE))),vlookup($D589,Pop_Census_2023!$A$2:$E$3220,4,FALSE), vlookup($D589,Pop_Census_2023!$A$2:$E$3220,5,FALSE))</f>
        <v>12722</v>
      </c>
      <c r="F589" s="32">
        <v>399760.0</v>
      </c>
      <c r="G589" s="32">
        <v>15.0</v>
      </c>
      <c r="H589" s="32" t="str">
        <f>VLOOKUP(D589, Grid_Region_Mapping!$D$2:$F$5286, 3, FALSE)</f>
        <v>BASN</v>
      </c>
      <c r="I589" s="32">
        <v>8.0</v>
      </c>
      <c r="J589" s="34" t="str">
        <f t="shared" si="1"/>
        <v>West</v>
      </c>
      <c r="K589" s="35">
        <v>2.0</v>
      </c>
      <c r="L589" s="35" t="s">
        <v>202</v>
      </c>
      <c r="M589" s="36">
        <f>VLOOKUP(D589, County_Data_CZones!$B$2:$F$3236, 2, FALSE)</f>
        <v>5</v>
      </c>
      <c r="N589" s="37" t="str">
        <f>VLOOKUP(D589, County_Data_CZones!$B$2:$F$3236, 5, FALSE)</f>
        <v>Cold</v>
      </c>
    </row>
    <row r="590" ht="15.75" customHeight="1">
      <c r="A590" s="32" t="s">
        <v>602</v>
      </c>
      <c r="B590" s="32" t="s">
        <v>576</v>
      </c>
      <c r="C590" s="32" t="str">
        <f>vlookup(B590,State_EMM_RowSums!$A$2:$B$52,2,FALSE)</f>
        <v>ID</v>
      </c>
      <c r="D590" s="32">
        <v>16075.0</v>
      </c>
      <c r="E590" s="33">
        <f>IF(NOT(ISBLANK(vlookup($D590,Pop_Census_2023!$A$2:$E$3220,4,FALSE))),vlookup($D590,Pop_Census_2023!$A$2:$E$3220,4,FALSE), vlookup($D590,Pop_Census_2023!$A$2:$E$3220,5,FALSE))</f>
        <v>27279</v>
      </c>
      <c r="F590" s="32">
        <v>394896.0</v>
      </c>
      <c r="G590" s="32">
        <v>15.0</v>
      </c>
      <c r="H590" s="32" t="str">
        <f>VLOOKUP(D590, Grid_Region_Mapping!$D$2:$F$5286, 3, FALSE)</f>
        <v>BASN</v>
      </c>
      <c r="I590" s="32">
        <v>8.0</v>
      </c>
      <c r="J590" s="34" t="str">
        <f t="shared" si="1"/>
        <v>West</v>
      </c>
      <c r="K590" s="35">
        <v>2.0</v>
      </c>
      <c r="L590" s="35" t="s">
        <v>202</v>
      </c>
      <c r="M590" s="36">
        <f>VLOOKUP(D590, County_Data_CZones!$B$2:$F$3236, 2, FALSE)</f>
        <v>5</v>
      </c>
      <c r="N590" s="37" t="str">
        <f>VLOOKUP(D590, County_Data_CZones!$B$2:$F$3236, 5, FALSE)</f>
        <v>Cold</v>
      </c>
    </row>
    <row r="591" ht="15.75" customHeight="1">
      <c r="A591" s="32" t="s">
        <v>603</v>
      </c>
      <c r="B591" s="32" t="s">
        <v>576</v>
      </c>
      <c r="C591" s="32" t="str">
        <f>vlookup(B591,State_EMM_RowSums!$A$2:$B$52,2,FALSE)</f>
        <v>ID</v>
      </c>
      <c r="D591" s="32">
        <v>16077.0</v>
      </c>
      <c r="E591" s="33">
        <f>IF(NOT(ISBLANK(vlookup($D591,Pop_Census_2023!$A$2:$E$3220,4,FALSE))),vlookup($D591,Pop_Census_2023!$A$2:$E$3220,4,FALSE), vlookup($D591,Pop_Census_2023!$A$2:$E$3220,5,FALSE))</f>
        <v>8253</v>
      </c>
      <c r="F591" s="32">
        <v>394951.0</v>
      </c>
      <c r="G591" s="32">
        <v>16.0</v>
      </c>
      <c r="H591" s="32" t="str">
        <f>VLOOKUP(D591, Grid_Region_Mapping!$D$2:$F$5286, 3, FALSE)</f>
        <v>BASN</v>
      </c>
      <c r="I591" s="32">
        <v>8.0</v>
      </c>
      <c r="J591" s="34" t="str">
        <f t="shared" si="1"/>
        <v>West</v>
      </c>
      <c r="K591" s="35">
        <v>1.0</v>
      </c>
      <c r="L591" s="35" t="s">
        <v>202</v>
      </c>
      <c r="M591" s="36">
        <f>VLOOKUP(D591, County_Data_CZones!$B$2:$F$3236, 2, FALSE)</f>
        <v>5</v>
      </c>
      <c r="N591" s="37" t="str">
        <f>VLOOKUP(D591, County_Data_CZones!$B$2:$F$3236, 5, FALSE)</f>
        <v>Cold</v>
      </c>
    </row>
    <row r="592" ht="15.75" customHeight="1">
      <c r="A592" s="32" t="s">
        <v>604</v>
      </c>
      <c r="B592" s="32" t="s">
        <v>576</v>
      </c>
      <c r="C592" s="32" t="str">
        <f>vlookup(B592,State_EMM_RowSums!$A$2:$B$52,2,FALSE)</f>
        <v>ID</v>
      </c>
      <c r="D592" s="32">
        <v>16079.0</v>
      </c>
      <c r="E592" s="33">
        <f>IF(NOT(ISBLANK(vlookup($D592,Pop_Census_2023!$A$2:$E$3220,4,FALSE))),vlookup($D592,Pop_Census_2023!$A$2:$E$3220,4,FALSE), vlookup($D592,Pop_Census_2023!$A$2:$E$3220,5,FALSE))</f>
        <v>14026</v>
      </c>
      <c r="F592" s="32">
        <v>1702379.0</v>
      </c>
      <c r="G592" s="32">
        <v>15.0</v>
      </c>
      <c r="H592" s="32" t="str">
        <f>VLOOKUP(D592, Grid_Region_Mapping!$D$2:$F$5286, 3, FALSE)</f>
        <v>NWPP</v>
      </c>
      <c r="I592" s="32">
        <v>8.0</v>
      </c>
      <c r="J592" s="34" t="str">
        <f t="shared" si="1"/>
        <v>West</v>
      </c>
      <c r="K592" s="35">
        <v>2.0</v>
      </c>
      <c r="L592" s="35" t="s">
        <v>202</v>
      </c>
      <c r="M592" s="36">
        <f>VLOOKUP(D592, County_Data_CZones!$B$2:$F$3236, 2, FALSE)</f>
        <v>5</v>
      </c>
      <c r="N592" s="37" t="str">
        <f>VLOOKUP(D592, County_Data_CZones!$B$2:$F$3236, 5, FALSE)</f>
        <v>Cold</v>
      </c>
    </row>
    <row r="593" ht="15.75" customHeight="1">
      <c r="A593" s="32" t="s">
        <v>605</v>
      </c>
      <c r="B593" s="32" t="s">
        <v>576</v>
      </c>
      <c r="C593" s="32" t="str">
        <f>vlookup(B593,State_EMM_RowSums!$A$2:$B$52,2,FALSE)</f>
        <v>ID</v>
      </c>
      <c r="D593" s="32">
        <v>16081.0</v>
      </c>
      <c r="E593" s="33">
        <f>IF(NOT(ISBLANK(vlookup($D593,Pop_Census_2023!$A$2:$E$3220,4,FALSE))),vlookup($D593,Pop_Census_2023!$A$2:$E$3220,4,FALSE), vlookup($D593,Pop_Census_2023!$A$2:$E$3220,5,FALSE))</f>
        <v>12549</v>
      </c>
      <c r="F593" s="32">
        <v>399297.0</v>
      </c>
      <c r="G593" s="32">
        <v>16.0</v>
      </c>
      <c r="H593" s="32" t="str">
        <f>VLOOKUP(D593, Grid_Region_Mapping!$D$2:$F$5286, 3, FALSE)</f>
        <v>BASN</v>
      </c>
      <c r="I593" s="32">
        <v>8.0</v>
      </c>
      <c r="J593" s="34" t="str">
        <f t="shared" si="1"/>
        <v>West</v>
      </c>
      <c r="K593" s="35">
        <v>1.0</v>
      </c>
      <c r="L593" s="35" t="s">
        <v>282</v>
      </c>
      <c r="M593" s="36">
        <f>VLOOKUP(D593, County_Data_CZones!$B$2:$F$3236, 2, FALSE)</f>
        <v>6</v>
      </c>
      <c r="N593" s="37" t="str">
        <f>VLOOKUP(D593, County_Data_CZones!$B$2:$F$3236, 5, FALSE)</f>
        <v>Cold</v>
      </c>
    </row>
    <row r="594" ht="15.75" customHeight="1">
      <c r="A594" s="32" t="s">
        <v>606</v>
      </c>
      <c r="B594" s="32" t="s">
        <v>576</v>
      </c>
      <c r="C594" s="32" t="str">
        <f>vlookup(B594,State_EMM_RowSums!$A$2:$B$52,2,FALSE)</f>
        <v>ID</v>
      </c>
      <c r="D594" s="32">
        <v>16083.0</v>
      </c>
      <c r="E594" s="33">
        <f>IF(NOT(ISBLANK(vlookup($D594,Pop_Census_2023!$A$2:$E$3220,4,FALSE))),vlookup($D594,Pop_Census_2023!$A$2:$E$3220,4,FALSE), vlookup($D594,Pop_Census_2023!$A$2:$E$3220,5,FALSE))</f>
        <v>95156</v>
      </c>
      <c r="F594" s="32">
        <v>399334.0</v>
      </c>
      <c r="G594" s="32">
        <v>16.0</v>
      </c>
      <c r="H594" s="32" t="str">
        <f>VLOOKUP(D594, Grid_Region_Mapping!$D$2:$F$5286, 3, FALSE)</f>
        <v>BASN</v>
      </c>
      <c r="I594" s="32">
        <v>8.0</v>
      </c>
      <c r="J594" s="34" t="str">
        <f t="shared" si="1"/>
        <v>West</v>
      </c>
      <c r="K594" s="35">
        <v>2.0</v>
      </c>
      <c r="L594" s="35" t="s">
        <v>202</v>
      </c>
      <c r="M594" s="36">
        <f>VLOOKUP(D594, County_Data_CZones!$B$2:$F$3236, 2, FALSE)</f>
        <v>5</v>
      </c>
      <c r="N594" s="37" t="str">
        <f>VLOOKUP(D594, County_Data_CZones!$B$2:$F$3236, 5, FALSE)</f>
        <v>Cold</v>
      </c>
    </row>
    <row r="595" ht="15.75" customHeight="1">
      <c r="A595" s="32" t="s">
        <v>607</v>
      </c>
      <c r="B595" s="32" t="s">
        <v>576</v>
      </c>
      <c r="C595" s="32" t="str">
        <f>vlookup(B595,State_EMM_RowSums!$A$2:$B$52,2,FALSE)</f>
        <v>ID</v>
      </c>
      <c r="D595" s="32">
        <v>16085.0</v>
      </c>
      <c r="E595" s="33">
        <f>IF(NOT(ISBLANK(vlookup($D595,Pop_Census_2023!$A$2:$E$3220,4,FALSE))),vlookup($D595,Pop_Census_2023!$A$2:$E$3220,4,FALSE), vlookup($D595,Pop_Census_2023!$A$2:$E$3220,5,FALSE))</f>
        <v>12644</v>
      </c>
      <c r="F595" s="32">
        <v>399756.0</v>
      </c>
      <c r="G595" s="32">
        <v>15.0</v>
      </c>
      <c r="H595" s="32" t="str">
        <f>VLOOKUP(D595, Grid_Region_Mapping!$D$2:$F$5286, 3, FALSE)</f>
        <v>BASN</v>
      </c>
      <c r="I595" s="32">
        <v>8.0</v>
      </c>
      <c r="J595" s="34" t="str">
        <f t="shared" si="1"/>
        <v>West</v>
      </c>
      <c r="K595" s="35">
        <v>1.0</v>
      </c>
      <c r="L595" s="35" t="s">
        <v>282</v>
      </c>
      <c r="M595" s="36">
        <f>VLOOKUP(D595, County_Data_CZones!$B$2:$F$3236, 2, FALSE)</f>
        <v>6</v>
      </c>
      <c r="N595" s="37" t="str">
        <f>VLOOKUP(D595, County_Data_CZones!$B$2:$F$3236, 5, FALSE)</f>
        <v>Cold</v>
      </c>
    </row>
    <row r="596" ht="15.75" customHeight="1">
      <c r="A596" s="32" t="s">
        <v>167</v>
      </c>
      <c r="B596" s="32" t="s">
        <v>576</v>
      </c>
      <c r="C596" s="32" t="str">
        <f>vlookup(B596,State_EMM_RowSums!$A$2:$B$52,2,FALSE)</f>
        <v>ID</v>
      </c>
      <c r="D596" s="32">
        <v>16087.0</v>
      </c>
      <c r="E596" s="33">
        <f>IF(NOT(ISBLANK(vlookup($D596,Pop_Census_2023!$A$2:$E$3220,4,FALSE))),vlookup($D596,Pop_Census_2023!$A$2:$E$3220,4,FALSE), vlookup($D596,Pop_Census_2023!$A$2:$E$3220,5,FALSE))</f>
        <v>11425</v>
      </c>
      <c r="F596" s="32">
        <v>399757.0</v>
      </c>
      <c r="G596" s="32">
        <v>15.0</v>
      </c>
      <c r="H596" s="32" t="str">
        <f>VLOOKUP(D596, Grid_Region_Mapping!$D$2:$F$5286, 3, FALSE)</f>
        <v>BASN</v>
      </c>
      <c r="I596" s="32">
        <v>8.0</v>
      </c>
      <c r="J596" s="34" t="str">
        <f t="shared" si="1"/>
        <v>West</v>
      </c>
      <c r="K596" s="35">
        <v>2.0</v>
      </c>
      <c r="L596" s="35" t="s">
        <v>202</v>
      </c>
      <c r="M596" s="36">
        <f>VLOOKUP(D596, County_Data_CZones!$B$2:$F$3236, 2, FALSE)</f>
        <v>5</v>
      </c>
      <c r="N596" s="37" t="str">
        <f>VLOOKUP(D596, County_Data_CZones!$B$2:$F$3236, 5, FALSE)</f>
        <v>Cold</v>
      </c>
    </row>
    <row r="597" ht="15.75" customHeight="1">
      <c r="A597" s="32" t="s">
        <v>338</v>
      </c>
      <c r="B597" s="32" t="s">
        <v>608</v>
      </c>
      <c r="C597" s="32" t="str">
        <f>vlookup(B597,State_EMM_RowSums!$A$2:$B$52,2,FALSE)</f>
        <v>IL</v>
      </c>
      <c r="D597" s="32">
        <v>17001.0</v>
      </c>
      <c r="E597" s="33">
        <f>IF(NOT(ISBLANK(vlookup($D597,Pop_Census_2023!$A$2:$E$3220,4,FALSE))),vlookup($D597,Pop_Census_2023!$A$2:$E$3220,4,FALSE), vlookup($D597,Pop_Census_2023!$A$2:$E$3220,5,FALSE))</f>
        <v>64441</v>
      </c>
      <c r="F597" s="32">
        <v>424202.0</v>
      </c>
      <c r="G597" s="32">
        <v>81.0</v>
      </c>
      <c r="H597" s="32" t="str">
        <f>VLOOKUP(D597, Grid_Region_Mapping!$D$2:$F$5286, 3, FALSE)</f>
        <v>MISC</v>
      </c>
      <c r="I597" s="32">
        <v>3.0</v>
      </c>
      <c r="J597" s="34" t="str">
        <f t="shared" si="1"/>
        <v>Midwest</v>
      </c>
      <c r="K597" s="35">
        <v>2.0</v>
      </c>
      <c r="L597" s="35" t="s">
        <v>396</v>
      </c>
      <c r="M597" s="36">
        <f>VLOOKUP(D597, County_Data_CZones!$B$2:$F$3236, 2, FALSE)</f>
        <v>5</v>
      </c>
      <c r="N597" s="37" t="str">
        <f>VLOOKUP(D597, County_Data_CZones!$B$2:$F$3236, 5, FALSE)</f>
        <v>Cold</v>
      </c>
    </row>
    <row r="598" ht="15.75" customHeight="1">
      <c r="A598" s="32" t="s">
        <v>609</v>
      </c>
      <c r="B598" s="32" t="s">
        <v>608</v>
      </c>
      <c r="C598" s="32" t="str">
        <f>vlookup(B598,State_EMM_RowSums!$A$2:$B$52,2,FALSE)</f>
        <v>IL</v>
      </c>
      <c r="D598" s="32">
        <v>17003.0</v>
      </c>
      <c r="E598" s="33">
        <f>IF(NOT(ISBLANK(vlookup($D598,Pop_Census_2023!$A$2:$E$3220,4,FALSE))),vlookup($D598,Pop_Census_2023!$A$2:$E$3220,4,FALSE), vlookup($D598,Pop_Census_2023!$A$2:$E$3220,5,FALSE))</f>
        <v>4695</v>
      </c>
      <c r="F598" s="32">
        <v>424203.0</v>
      </c>
      <c r="G598" s="32">
        <v>81.0</v>
      </c>
      <c r="H598" s="32" t="str">
        <f>VLOOKUP(D598, Grid_Region_Mapping!$D$2:$F$5286, 3, FALSE)</f>
        <v>MISC</v>
      </c>
      <c r="I598" s="32">
        <v>3.0</v>
      </c>
      <c r="J598" s="34" t="str">
        <f t="shared" si="1"/>
        <v>Midwest</v>
      </c>
      <c r="K598" s="35">
        <v>3.0</v>
      </c>
      <c r="L598" s="35" t="s">
        <v>223</v>
      </c>
      <c r="M598" s="36">
        <f>VLOOKUP(D598, County_Data_CZones!$B$2:$F$3236, 2, FALSE)</f>
        <v>4</v>
      </c>
      <c r="N598" s="37" t="str">
        <f>VLOOKUP(D598, County_Data_CZones!$B$2:$F$3236, 5, FALSE)</f>
        <v>Mixed-Humid</v>
      </c>
    </row>
    <row r="599" ht="15.75" customHeight="1">
      <c r="A599" s="32" t="s">
        <v>610</v>
      </c>
      <c r="B599" s="32" t="s">
        <v>608</v>
      </c>
      <c r="C599" s="32" t="str">
        <f>vlookup(B599,State_EMM_RowSums!$A$2:$B$52,2,FALSE)</f>
        <v>IL</v>
      </c>
      <c r="D599" s="32">
        <v>17005.0</v>
      </c>
      <c r="E599" s="33">
        <f>IF(NOT(ISBLANK(vlookup($D599,Pop_Census_2023!$A$2:$E$3220,4,FALSE))),vlookup($D599,Pop_Census_2023!$A$2:$E$3220,4,FALSE), vlookup($D599,Pop_Census_2023!$A$2:$E$3220,5,FALSE))</f>
        <v>16450</v>
      </c>
      <c r="F599" s="32">
        <v>424204.0</v>
      </c>
      <c r="G599" s="32">
        <v>81.0</v>
      </c>
      <c r="H599" s="32" t="str">
        <f>VLOOKUP(D599, Grid_Region_Mapping!$D$2:$F$5286, 3, FALSE)</f>
        <v>MISC</v>
      </c>
      <c r="I599" s="32">
        <v>3.0</v>
      </c>
      <c r="J599" s="34" t="str">
        <f t="shared" si="1"/>
        <v>Midwest</v>
      </c>
      <c r="K599" s="35">
        <v>3.0</v>
      </c>
      <c r="L599" s="35" t="s">
        <v>223</v>
      </c>
      <c r="M599" s="36">
        <f>VLOOKUP(D599, County_Data_CZones!$B$2:$F$3236, 2, FALSE)</f>
        <v>4</v>
      </c>
      <c r="N599" s="37" t="str">
        <f>VLOOKUP(D599, County_Data_CZones!$B$2:$F$3236, 5, FALSE)</f>
        <v>Mixed-Humid</v>
      </c>
    </row>
    <row r="600" ht="15.75" customHeight="1">
      <c r="A600" s="32" t="s">
        <v>225</v>
      </c>
      <c r="B600" s="32" t="s">
        <v>608</v>
      </c>
      <c r="C600" s="32" t="str">
        <f>vlookup(B600,State_EMM_RowSums!$A$2:$B$52,2,FALSE)</f>
        <v>IL</v>
      </c>
      <c r="D600" s="32">
        <v>17007.0</v>
      </c>
      <c r="E600" s="33">
        <f>IF(NOT(ISBLANK(vlookup($D600,Pop_Census_2023!$A$2:$E$3220,4,FALSE))),vlookup($D600,Pop_Census_2023!$A$2:$E$3220,4,FALSE), vlookup($D600,Pop_Census_2023!$A$2:$E$3220,5,FALSE))</f>
        <v>53202</v>
      </c>
      <c r="F600" s="32">
        <v>424205.0</v>
      </c>
      <c r="G600" s="32">
        <v>80.0</v>
      </c>
      <c r="H600" s="32" t="str">
        <f>VLOOKUP(D600, Grid_Region_Mapping!$D$2:$F$5286, 3, FALSE)</f>
        <v>PJMC</v>
      </c>
      <c r="I600" s="32">
        <v>3.0</v>
      </c>
      <c r="J600" s="34" t="str">
        <f t="shared" si="1"/>
        <v>Midwest</v>
      </c>
      <c r="K600" s="35">
        <v>2.0</v>
      </c>
      <c r="L600" s="35" t="s">
        <v>396</v>
      </c>
      <c r="M600" s="36">
        <f>VLOOKUP(D600, County_Data_CZones!$B$2:$F$3236, 2, FALSE)</f>
        <v>5</v>
      </c>
      <c r="N600" s="37" t="str">
        <f>VLOOKUP(D600, County_Data_CZones!$B$2:$F$3236, 5, FALSE)</f>
        <v>Cold</v>
      </c>
    </row>
    <row r="601" ht="15.75" customHeight="1">
      <c r="A601" s="32" t="s">
        <v>611</v>
      </c>
      <c r="B601" s="32" t="s">
        <v>608</v>
      </c>
      <c r="C601" s="32" t="str">
        <f>vlookup(B601,State_EMM_RowSums!$A$2:$B$52,2,FALSE)</f>
        <v>IL</v>
      </c>
      <c r="D601" s="32">
        <v>17009.0</v>
      </c>
      <c r="E601" s="33">
        <f>IF(NOT(ISBLANK(vlookup($D601,Pop_Census_2023!$A$2:$E$3220,4,FALSE))),vlookup($D601,Pop_Census_2023!$A$2:$E$3220,4,FALSE), vlookup($D601,Pop_Census_2023!$A$2:$E$3220,5,FALSE))</f>
        <v>6294</v>
      </c>
      <c r="F601" s="32">
        <v>424206.0</v>
      </c>
      <c r="G601" s="32">
        <v>81.0</v>
      </c>
      <c r="H601" s="32" t="str">
        <f>VLOOKUP(D601, Grid_Region_Mapping!$D$2:$F$5286, 3, FALSE)</f>
        <v>MISC</v>
      </c>
      <c r="I601" s="32">
        <v>3.0</v>
      </c>
      <c r="J601" s="34" t="str">
        <f t="shared" si="1"/>
        <v>Midwest</v>
      </c>
      <c r="K601" s="35">
        <v>2.0</v>
      </c>
      <c r="L601" s="35" t="s">
        <v>396</v>
      </c>
      <c r="M601" s="36">
        <f>VLOOKUP(D601, County_Data_CZones!$B$2:$F$3236, 2, FALSE)</f>
        <v>5</v>
      </c>
      <c r="N601" s="37" t="str">
        <f>VLOOKUP(D601, County_Data_CZones!$B$2:$F$3236, 5, FALSE)</f>
        <v>Cold</v>
      </c>
    </row>
    <row r="602" ht="15.75" customHeight="1">
      <c r="A602" s="32" t="s">
        <v>612</v>
      </c>
      <c r="B602" s="32" t="s">
        <v>608</v>
      </c>
      <c r="C602" s="32" t="str">
        <f>vlookup(B602,State_EMM_RowSums!$A$2:$B$52,2,FALSE)</f>
        <v>IL</v>
      </c>
      <c r="D602" s="32">
        <v>17011.0</v>
      </c>
      <c r="E602" s="33">
        <f>IF(NOT(ISBLANK(vlookup($D602,Pop_Census_2023!$A$2:$E$3220,4,FALSE))),vlookup($D602,Pop_Census_2023!$A$2:$E$3220,4,FALSE), vlookup($D602,Pop_Census_2023!$A$2:$E$3220,5,FALSE))</f>
        <v>32729</v>
      </c>
      <c r="F602" s="32">
        <v>424207.0</v>
      </c>
      <c r="G602" s="32">
        <v>81.0</v>
      </c>
      <c r="H602" s="32" t="str">
        <f>VLOOKUP(D602, Grid_Region_Mapping!$D$2:$F$5286, 3, FALSE)</f>
        <v>MISC</v>
      </c>
      <c r="I602" s="32">
        <v>3.0</v>
      </c>
      <c r="J602" s="34" t="str">
        <f t="shared" si="1"/>
        <v>Midwest</v>
      </c>
      <c r="K602" s="35">
        <v>2.0</v>
      </c>
      <c r="L602" s="35" t="s">
        <v>396</v>
      </c>
      <c r="M602" s="36">
        <f>VLOOKUP(D602, County_Data_CZones!$B$2:$F$3236, 2, FALSE)</f>
        <v>5</v>
      </c>
      <c r="N602" s="37" t="str">
        <f>VLOOKUP(D602, County_Data_CZones!$B$2:$F$3236, 5, FALSE)</f>
        <v>Cold</v>
      </c>
    </row>
    <row r="603" ht="15.75" customHeight="1">
      <c r="A603" s="32" t="s">
        <v>110</v>
      </c>
      <c r="B603" s="32" t="s">
        <v>608</v>
      </c>
      <c r="C603" s="32" t="str">
        <f>vlookup(B603,State_EMM_RowSums!$A$2:$B$52,2,FALSE)</f>
        <v>IL</v>
      </c>
      <c r="D603" s="32">
        <v>17013.0</v>
      </c>
      <c r="E603" s="33">
        <f>IF(NOT(ISBLANK(vlookup($D603,Pop_Census_2023!$A$2:$E$3220,4,FALSE))),vlookup($D603,Pop_Census_2023!$A$2:$E$3220,4,FALSE), vlookup($D603,Pop_Census_2023!$A$2:$E$3220,5,FALSE))</f>
        <v>4317</v>
      </c>
      <c r="F603" s="32">
        <v>424208.0</v>
      </c>
      <c r="G603" s="32">
        <v>81.0</v>
      </c>
      <c r="H603" s="32" t="str">
        <f>VLOOKUP(D603, Grid_Region_Mapping!$D$2:$F$5286, 3, FALSE)</f>
        <v>MISC</v>
      </c>
      <c r="I603" s="32">
        <v>3.0</v>
      </c>
      <c r="J603" s="34" t="str">
        <f t="shared" si="1"/>
        <v>Midwest</v>
      </c>
      <c r="K603" s="35">
        <v>3.0</v>
      </c>
      <c r="L603" s="35" t="s">
        <v>396</v>
      </c>
      <c r="M603" s="36">
        <f>VLOOKUP(D603, County_Data_CZones!$B$2:$F$3236, 2, FALSE)</f>
        <v>5</v>
      </c>
      <c r="N603" s="37" t="str">
        <f>VLOOKUP(D603, County_Data_CZones!$B$2:$F$3236, 5, FALSE)</f>
        <v>Cold</v>
      </c>
    </row>
    <row r="604" ht="15.75" customHeight="1">
      <c r="A604" s="32" t="s">
        <v>227</v>
      </c>
      <c r="B604" s="32" t="s">
        <v>608</v>
      </c>
      <c r="C604" s="32" t="str">
        <f>vlookup(B604,State_EMM_RowSums!$A$2:$B$52,2,FALSE)</f>
        <v>IL</v>
      </c>
      <c r="D604" s="32">
        <v>17015.0</v>
      </c>
      <c r="E604" s="33">
        <f>IF(NOT(ISBLANK(vlookup($D604,Pop_Census_2023!$A$2:$E$3220,4,FALSE))),vlookup($D604,Pop_Census_2023!$A$2:$E$3220,4,FALSE), vlookup($D604,Pop_Census_2023!$A$2:$E$3220,5,FALSE))</f>
        <v>15526</v>
      </c>
      <c r="F604" s="32">
        <v>424209.0</v>
      </c>
      <c r="G604" s="32">
        <v>80.0</v>
      </c>
      <c r="H604" s="32" t="str">
        <f>VLOOKUP(D604, Grid_Region_Mapping!$D$2:$F$5286, 3, FALSE)</f>
        <v>PJMC</v>
      </c>
      <c r="I604" s="32">
        <v>3.0</v>
      </c>
      <c r="J604" s="34" t="str">
        <f t="shared" si="1"/>
        <v>Midwest</v>
      </c>
      <c r="K604" s="35">
        <v>2.0</v>
      </c>
      <c r="L604" s="35" t="s">
        <v>396</v>
      </c>
      <c r="M604" s="36">
        <f>VLOOKUP(D604, County_Data_CZones!$B$2:$F$3236, 2, FALSE)</f>
        <v>5</v>
      </c>
      <c r="N604" s="37" t="str">
        <f>VLOOKUP(D604, County_Data_CZones!$B$2:$F$3236, 5, FALSE)</f>
        <v>Cold</v>
      </c>
    </row>
    <row r="605" ht="15.75" customHeight="1">
      <c r="A605" s="32" t="s">
        <v>613</v>
      </c>
      <c r="B605" s="32" t="s">
        <v>608</v>
      </c>
      <c r="C605" s="32" t="str">
        <f>vlookup(B605,State_EMM_RowSums!$A$2:$B$52,2,FALSE)</f>
        <v>IL</v>
      </c>
      <c r="D605" s="32">
        <v>17017.0</v>
      </c>
      <c r="E605" s="33">
        <f>IF(NOT(ISBLANK(vlookup($D605,Pop_Census_2023!$A$2:$E$3220,4,FALSE))),vlookup($D605,Pop_Census_2023!$A$2:$E$3220,4,FALSE), vlookup($D605,Pop_Census_2023!$A$2:$E$3220,5,FALSE))</f>
        <v>12596</v>
      </c>
      <c r="F605" s="32">
        <v>424210.0</v>
      </c>
      <c r="G605" s="32">
        <v>81.0</v>
      </c>
      <c r="H605" s="32" t="str">
        <f>VLOOKUP(D605, Grid_Region_Mapping!$D$2:$F$5286, 3, FALSE)</f>
        <v>MISC</v>
      </c>
      <c r="I605" s="32">
        <v>3.0</v>
      </c>
      <c r="J605" s="34" t="str">
        <f t="shared" si="1"/>
        <v>Midwest</v>
      </c>
      <c r="K605" s="35">
        <v>2.0</v>
      </c>
      <c r="L605" s="35" t="s">
        <v>396</v>
      </c>
      <c r="M605" s="36">
        <f>VLOOKUP(D605, County_Data_CZones!$B$2:$F$3236, 2, FALSE)</f>
        <v>5</v>
      </c>
      <c r="N605" s="37" t="str">
        <f>VLOOKUP(D605, County_Data_CZones!$B$2:$F$3236, 5, FALSE)</f>
        <v>Cold</v>
      </c>
    </row>
    <row r="606" ht="15.75" customHeight="1">
      <c r="A606" s="32" t="s">
        <v>614</v>
      </c>
      <c r="B606" s="32" t="s">
        <v>608</v>
      </c>
      <c r="C606" s="32" t="str">
        <f>vlookup(B606,State_EMM_RowSums!$A$2:$B$52,2,FALSE)</f>
        <v>IL</v>
      </c>
      <c r="D606" s="32">
        <v>17019.0</v>
      </c>
      <c r="E606" s="33">
        <f>IF(NOT(ISBLANK(vlookup($D606,Pop_Census_2023!$A$2:$E$3220,4,FALSE))),vlookup($D606,Pop_Census_2023!$A$2:$E$3220,4,FALSE), vlookup($D606,Pop_Census_2023!$A$2:$E$3220,5,FALSE))</f>
        <v>205644</v>
      </c>
      <c r="F606" s="32">
        <v>424211.0</v>
      </c>
      <c r="G606" s="32">
        <v>83.0</v>
      </c>
      <c r="H606" s="32" t="str">
        <f>VLOOKUP(D606, Grid_Region_Mapping!$D$2:$F$5286, 3, FALSE)</f>
        <v>MISC</v>
      </c>
      <c r="I606" s="32">
        <v>3.0</v>
      </c>
      <c r="J606" s="34" t="str">
        <f t="shared" si="1"/>
        <v>Midwest</v>
      </c>
      <c r="K606" s="35">
        <v>2.0</v>
      </c>
      <c r="L606" s="35" t="s">
        <v>396</v>
      </c>
      <c r="M606" s="36">
        <f>VLOOKUP(D606, County_Data_CZones!$B$2:$F$3236, 2, FALSE)</f>
        <v>5</v>
      </c>
      <c r="N606" s="37" t="str">
        <f>VLOOKUP(D606, County_Data_CZones!$B$2:$F$3236, 5, FALSE)</f>
        <v>Cold</v>
      </c>
    </row>
    <row r="607" ht="15.75" customHeight="1">
      <c r="A607" s="32" t="s">
        <v>615</v>
      </c>
      <c r="B607" s="32" t="s">
        <v>608</v>
      </c>
      <c r="C607" s="32" t="str">
        <f>vlookup(B607,State_EMM_RowSums!$A$2:$B$52,2,FALSE)</f>
        <v>IL</v>
      </c>
      <c r="D607" s="32">
        <v>17021.0</v>
      </c>
      <c r="E607" s="33">
        <f>IF(NOT(ISBLANK(vlookup($D607,Pop_Census_2023!$A$2:$E$3220,4,FALSE))),vlookup($D607,Pop_Census_2023!$A$2:$E$3220,4,FALSE), vlookup($D607,Pop_Census_2023!$A$2:$E$3220,5,FALSE))</f>
        <v>33228</v>
      </c>
      <c r="F607" s="32">
        <v>424212.0</v>
      </c>
      <c r="G607" s="32">
        <v>83.0</v>
      </c>
      <c r="H607" s="32" t="str">
        <f>VLOOKUP(D607, Grid_Region_Mapping!$D$2:$F$5286, 3, FALSE)</f>
        <v>MISC</v>
      </c>
      <c r="I607" s="32">
        <v>3.0</v>
      </c>
      <c r="J607" s="34" t="str">
        <f t="shared" si="1"/>
        <v>Midwest</v>
      </c>
      <c r="K607" s="35">
        <v>3.0</v>
      </c>
      <c r="L607" s="35" t="s">
        <v>223</v>
      </c>
      <c r="M607" s="36">
        <f>VLOOKUP(D607, County_Data_CZones!$B$2:$F$3236, 2, FALSE)</f>
        <v>4</v>
      </c>
      <c r="N607" s="37" t="str">
        <f>VLOOKUP(D607, County_Data_CZones!$B$2:$F$3236, 5, FALSE)</f>
        <v>Mixed-Humid</v>
      </c>
    </row>
    <row r="608" ht="15.75" customHeight="1">
      <c r="A608" s="32" t="s">
        <v>229</v>
      </c>
      <c r="B608" s="32" t="s">
        <v>608</v>
      </c>
      <c r="C608" s="32" t="str">
        <f>vlookup(B608,State_EMM_RowSums!$A$2:$B$52,2,FALSE)</f>
        <v>IL</v>
      </c>
      <c r="D608" s="32">
        <v>17023.0</v>
      </c>
      <c r="E608" s="33">
        <f>IF(NOT(ISBLANK(vlookup($D608,Pop_Census_2023!$A$2:$E$3220,4,FALSE))),vlookup($D608,Pop_Census_2023!$A$2:$E$3220,4,FALSE), vlookup($D608,Pop_Census_2023!$A$2:$E$3220,5,FALSE))</f>
        <v>15088</v>
      </c>
      <c r="F608" s="32">
        <v>424213.0</v>
      </c>
      <c r="G608" s="32">
        <v>83.0</v>
      </c>
      <c r="H608" s="32" t="str">
        <f>VLOOKUP(D608, Grid_Region_Mapping!$D$2:$F$5286, 3, FALSE)</f>
        <v>MISC</v>
      </c>
      <c r="I608" s="32">
        <v>3.0</v>
      </c>
      <c r="J608" s="34" t="str">
        <f t="shared" si="1"/>
        <v>Midwest</v>
      </c>
      <c r="K608" s="35">
        <v>2.0</v>
      </c>
      <c r="L608" s="35" t="s">
        <v>396</v>
      </c>
      <c r="M608" s="36">
        <f>VLOOKUP(D608, County_Data_CZones!$B$2:$F$3236, 2, FALSE)</f>
        <v>5</v>
      </c>
      <c r="N608" s="37" t="str">
        <f>VLOOKUP(D608, County_Data_CZones!$B$2:$F$3236, 5, FALSE)</f>
        <v>Cold</v>
      </c>
    </row>
    <row r="609" ht="15.75" customHeight="1">
      <c r="A609" s="32" t="s">
        <v>116</v>
      </c>
      <c r="B609" s="32" t="s">
        <v>608</v>
      </c>
      <c r="C609" s="32" t="str">
        <f>vlookup(B609,State_EMM_RowSums!$A$2:$B$52,2,FALSE)</f>
        <v>IL</v>
      </c>
      <c r="D609" s="32">
        <v>17025.0</v>
      </c>
      <c r="E609" s="33">
        <f>IF(NOT(ISBLANK(vlookup($D609,Pop_Census_2023!$A$2:$E$3220,4,FALSE))),vlookup($D609,Pop_Census_2023!$A$2:$E$3220,4,FALSE), vlookup($D609,Pop_Census_2023!$A$2:$E$3220,5,FALSE))</f>
        <v>12999</v>
      </c>
      <c r="F609" s="32">
        <v>424214.0</v>
      </c>
      <c r="G609" s="32">
        <v>83.0</v>
      </c>
      <c r="H609" s="32" t="str">
        <f>VLOOKUP(D609, Grid_Region_Mapping!$D$2:$F$5286, 3, FALSE)</f>
        <v>MISC</v>
      </c>
      <c r="I609" s="32">
        <v>3.0</v>
      </c>
      <c r="J609" s="34" t="str">
        <f t="shared" si="1"/>
        <v>Midwest</v>
      </c>
      <c r="K609" s="35">
        <v>3.0</v>
      </c>
      <c r="L609" s="35" t="s">
        <v>223</v>
      </c>
      <c r="M609" s="36">
        <f>VLOOKUP(D609, County_Data_CZones!$B$2:$F$3236, 2, FALSE)</f>
        <v>4</v>
      </c>
      <c r="N609" s="37" t="str">
        <f>VLOOKUP(D609, County_Data_CZones!$B$2:$F$3236, 5, FALSE)</f>
        <v>Mixed-Humid</v>
      </c>
    </row>
    <row r="610" ht="15.75" customHeight="1">
      <c r="A610" s="32" t="s">
        <v>616</v>
      </c>
      <c r="B610" s="32" t="s">
        <v>608</v>
      </c>
      <c r="C610" s="32" t="str">
        <f>vlookup(B610,State_EMM_RowSums!$A$2:$B$52,2,FALSE)</f>
        <v>IL</v>
      </c>
      <c r="D610" s="32">
        <v>17027.0</v>
      </c>
      <c r="E610" s="33">
        <f>IF(NOT(ISBLANK(vlookup($D610,Pop_Census_2023!$A$2:$E$3220,4,FALSE))),vlookup($D610,Pop_Census_2023!$A$2:$E$3220,4,FALSE), vlookup($D610,Pop_Census_2023!$A$2:$E$3220,5,FALSE))</f>
        <v>36785</v>
      </c>
      <c r="F610" s="32">
        <v>424215.0</v>
      </c>
      <c r="G610" s="32">
        <v>81.0</v>
      </c>
      <c r="H610" s="32" t="str">
        <f>VLOOKUP(D610, Grid_Region_Mapping!$D$2:$F$5286, 3, FALSE)</f>
        <v>MISC</v>
      </c>
      <c r="I610" s="32">
        <v>3.0</v>
      </c>
      <c r="J610" s="34" t="str">
        <f t="shared" si="1"/>
        <v>Midwest</v>
      </c>
      <c r="K610" s="35">
        <v>3.0</v>
      </c>
      <c r="L610" s="35" t="s">
        <v>223</v>
      </c>
      <c r="M610" s="36">
        <f>VLOOKUP(D610, County_Data_CZones!$B$2:$F$3236, 2, FALSE)</f>
        <v>4</v>
      </c>
      <c r="N610" s="37" t="str">
        <f>VLOOKUP(D610, County_Data_CZones!$B$2:$F$3236, 5, FALSE)</f>
        <v>Mixed-Humid</v>
      </c>
    </row>
    <row r="611" ht="15.75" customHeight="1">
      <c r="A611" s="32" t="s">
        <v>617</v>
      </c>
      <c r="B611" s="32" t="s">
        <v>608</v>
      </c>
      <c r="C611" s="32" t="str">
        <f>vlookup(B611,State_EMM_RowSums!$A$2:$B$52,2,FALSE)</f>
        <v>IL</v>
      </c>
      <c r="D611" s="32">
        <v>17029.0</v>
      </c>
      <c r="E611" s="33">
        <f>IF(NOT(ISBLANK(vlookup($D611,Pop_Census_2023!$A$2:$E$3220,4,FALSE))),vlookup($D611,Pop_Census_2023!$A$2:$E$3220,4,FALSE), vlookup($D611,Pop_Census_2023!$A$2:$E$3220,5,FALSE))</f>
        <v>46060</v>
      </c>
      <c r="F611" s="32">
        <v>424216.0</v>
      </c>
      <c r="G611" s="32">
        <v>83.0</v>
      </c>
      <c r="H611" s="32" t="str">
        <f>VLOOKUP(D611, Grid_Region_Mapping!$D$2:$F$5286, 3, FALSE)</f>
        <v>MISC</v>
      </c>
      <c r="I611" s="32">
        <v>3.0</v>
      </c>
      <c r="J611" s="34" t="str">
        <f t="shared" si="1"/>
        <v>Midwest</v>
      </c>
      <c r="K611" s="35">
        <v>2.0</v>
      </c>
      <c r="L611" s="35" t="s">
        <v>396</v>
      </c>
      <c r="M611" s="36">
        <f>VLOOKUP(D611, County_Data_CZones!$B$2:$F$3236, 2, FALSE)</f>
        <v>5</v>
      </c>
      <c r="N611" s="37" t="str">
        <f>VLOOKUP(D611, County_Data_CZones!$B$2:$F$3236, 5, FALSE)</f>
        <v>Cold</v>
      </c>
    </row>
    <row r="612" ht="15.75" customHeight="1">
      <c r="A612" s="32" t="s">
        <v>487</v>
      </c>
      <c r="B612" s="32" t="s">
        <v>608</v>
      </c>
      <c r="C612" s="32" t="str">
        <f>vlookup(B612,State_EMM_RowSums!$A$2:$B$52,2,FALSE)</f>
        <v>IL</v>
      </c>
      <c r="D612" s="32">
        <v>17031.0</v>
      </c>
      <c r="E612" s="33">
        <f>IF(NOT(ISBLANK(vlookup($D612,Pop_Census_2023!$A$2:$E$3220,4,FALSE))),vlookup($D612,Pop_Census_2023!$A$2:$E$3220,4,FALSE), vlookup($D612,Pop_Census_2023!$A$2:$E$3220,5,FALSE))</f>
        <v>5087072</v>
      </c>
      <c r="F612" s="32">
        <v>1784766.0</v>
      </c>
      <c r="G612" s="32">
        <v>80.0</v>
      </c>
      <c r="H612" s="32" t="str">
        <f>VLOOKUP(D612, Grid_Region_Mapping!$D$2:$F$5286, 3, FALSE)</f>
        <v>PJMC</v>
      </c>
      <c r="I612" s="32">
        <v>3.0</v>
      </c>
      <c r="J612" s="34" t="str">
        <f t="shared" si="1"/>
        <v>Midwest</v>
      </c>
      <c r="K612" s="35">
        <v>2.0</v>
      </c>
      <c r="L612" s="35" t="s">
        <v>396</v>
      </c>
      <c r="M612" s="36">
        <f>VLOOKUP(D612, County_Data_CZones!$B$2:$F$3236, 2, FALSE)</f>
        <v>5</v>
      </c>
      <c r="N612" s="37" t="str">
        <f>VLOOKUP(D612, County_Data_CZones!$B$2:$F$3236, 5, FALSE)</f>
        <v>Cold</v>
      </c>
    </row>
    <row r="613" ht="15.75" customHeight="1">
      <c r="A613" s="32" t="s">
        <v>234</v>
      </c>
      <c r="B613" s="32" t="s">
        <v>608</v>
      </c>
      <c r="C613" s="32" t="str">
        <f>vlookup(B613,State_EMM_RowSums!$A$2:$B$52,2,FALSE)</f>
        <v>IL</v>
      </c>
      <c r="D613" s="32">
        <v>17033.0</v>
      </c>
      <c r="E613" s="33">
        <f>IF(NOT(ISBLANK(vlookup($D613,Pop_Census_2023!$A$2:$E$3220,4,FALSE))),vlookup($D613,Pop_Census_2023!$A$2:$E$3220,4,FALSE), vlookup($D613,Pop_Census_2023!$A$2:$E$3220,5,FALSE))</f>
        <v>18300</v>
      </c>
      <c r="F613" s="32">
        <v>424218.0</v>
      </c>
      <c r="G613" s="32">
        <v>83.0</v>
      </c>
      <c r="H613" s="32" t="str">
        <f>VLOOKUP(D613, Grid_Region_Mapping!$D$2:$F$5286, 3, FALSE)</f>
        <v>MISC</v>
      </c>
      <c r="I613" s="32">
        <v>3.0</v>
      </c>
      <c r="J613" s="34" t="str">
        <f t="shared" si="1"/>
        <v>Midwest</v>
      </c>
      <c r="K613" s="35">
        <v>3.0</v>
      </c>
      <c r="L613" s="35" t="s">
        <v>223</v>
      </c>
      <c r="M613" s="36">
        <f>VLOOKUP(D613, County_Data_CZones!$B$2:$F$3236, 2, FALSE)</f>
        <v>4</v>
      </c>
      <c r="N613" s="37" t="str">
        <f>VLOOKUP(D613, County_Data_CZones!$B$2:$F$3236, 5, FALSE)</f>
        <v>Mixed-Humid</v>
      </c>
    </row>
    <row r="614" ht="15.75" customHeight="1">
      <c r="A614" s="32" t="s">
        <v>618</v>
      </c>
      <c r="B614" s="32" t="s">
        <v>608</v>
      </c>
      <c r="C614" s="32" t="str">
        <f>vlookup(B614,State_EMM_RowSums!$A$2:$B$52,2,FALSE)</f>
        <v>IL</v>
      </c>
      <c r="D614" s="32">
        <v>17035.0</v>
      </c>
      <c r="E614" s="33">
        <f>IF(NOT(ISBLANK(vlookup($D614,Pop_Census_2023!$A$2:$E$3220,4,FALSE))),vlookup($D614,Pop_Census_2023!$A$2:$E$3220,4,FALSE), vlookup($D614,Pop_Census_2023!$A$2:$E$3220,5,FALSE))</f>
        <v>10261</v>
      </c>
      <c r="F614" s="32">
        <v>424219.0</v>
      </c>
      <c r="G614" s="32">
        <v>83.0</v>
      </c>
      <c r="H614" s="32" t="str">
        <f>VLOOKUP(D614, Grid_Region_Mapping!$D$2:$F$5286, 3, FALSE)</f>
        <v>MISC</v>
      </c>
      <c r="I614" s="32">
        <v>3.0</v>
      </c>
      <c r="J614" s="34" t="str">
        <f t="shared" si="1"/>
        <v>Midwest</v>
      </c>
      <c r="K614" s="35">
        <v>2.0</v>
      </c>
      <c r="L614" s="35" t="s">
        <v>396</v>
      </c>
      <c r="M614" s="36">
        <f>VLOOKUP(D614, County_Data_CZones!$B$2:$F$3236, 2, FALSE)</f>
        <v>5</v>
      </c>
      <c r="N614" s="37" t="str">
        <f>VLOOKUP(D614, County_Data_CZones!$B$2:$F$3236, 5, FALSE)</f>
        <v>Cold</v>
      </c>
    </row>
    <row r="615" ht="15.75" customHeight="1">
      <c r="A615" s="32" t="s">
        <v>127</v>
      </c>
      <c r="B615" s="32" t="s">
        <v>608</v>
      </c>
      <c r="C615" s="32" t="str">
        <f>vlookup(B615,State_EMM_RowSums!$A$2:$B$52,2,FALSE)</f>
        <v>IL</v>
      </c>
      <c r="D615" s="32">
        <v>17037.0</v>
      </c>
      <c r="E615" s="33">
        <f>IF(NOT(ISBLANK(vlookup($D615,Pop_Census_2023!$A$2:$E$3220,4,FALSE))),vlookup($D615,Pop_Census_2023!$A$2:$E$3220,4,FALSE), vlookup($D615,Pop_Census_2023!$A$2:$E$3220,5,FALSE))</f>
        <v>100288</v>
      </c>
      <c r="F615" s="32">
        <v>422190.0</v>
      </c>
      <c r="G615" s="32">
        <v>80.0</v>
      </c>
      <c r="H615" s="32" t="str">
        <f>VLOOKUP(D615, Grid_Region_Mapping!$D$2:$F$5286, 3, FALSE)</f>
        <v>PJMC</v>
      </c>
      <c r="I615" s="32">
        <v>3.0</v>
      </c>
      <c r="J615" s="34" t="str">
        <f t="shared" si="1"/>
        <v>Midwest</v>
      </c>
      <c r="K615" s="35">
        <v>2.0</v>
      </c>
      <c r="L615" s="35" t="s">
        <v>396</v>
      </c>
      <c r="M615" s="36">
        <f>VLOOKUP(D615, County_Data_CZones!$B$2:$F$3236, 2, FALSE)</f>
        <v>5</v>
      </c>
      <c r="N615" s="37" t="str">
        <f>VLOOKUP(D615, County_Data_CZones!$B$2:$F$3236, 5, FALSE)</f>
        <v>Cold</v>
      </c>
    </row>
    <row r="616" ht="15.75" customHeight="1">
      <c r="A616" s="32" t="s">
        <v>619</v>
      </c>
      <c r="B616" s="32" t="s">
        <v>608</v>
      </c>
      <c r="C616" s="32" t="str">
        <f>vlookup(B616,State_EMM_RowSums!$A$2:$B$52,2,FALSE)</f>
        <v>IL</v>
      </c>
      <c r="D616" s="32">
        <v>17039.0</v>
      </c>
      <c r="E616" s="33">
        <f>IF(NOT(ISBLANK(vlookup($D616,Pop_Census_2023!$A$2:$E$3220,4,FALSE))),vlookup($D616,Pop_Census_2023!$A$2:$E$3220,4,FALSE), vlookup($D616,Pop_Census_2023!$A$2:$E$3220,5,FALSE))</f>
        <v>15365</v>
      </c>
      <c r="F616" s="32">
        <v>426598.0</v>
      </c>
      <c r="G616" s="32">
        <v>83.0</v>
      </c>
      <c r="H616" s="32" t="str">
        <f>VLOOKUP(D616, Grid_Region_Mapping!$D$2:$F$5286, 3, FALSE)</f>
        <v>MISC</v>
      </c>
      <c r="I616" s="32">
        <v>3.0</v>
      </c>
      <c r="J616" s="34" t="str">
        <f t="shared" si="1"/>
        <v>Midwest</v>
      </c>
      <c r="K616" s="35">
        <v>2.0</v>
      </c>
      <c r="L616" s="35" t="s">
        <v>396</v>
      </c>
      <c r="M616" s="36">
        <f>VLOOKUP(D616, County_Data_CZones!$B$2:$F$3236, 2, FALSE)</f>
        <v>5</v>
      </c>
      <c r="N616" s="37" t="str">
        <f>VLOOKUP(D616, County_Data_CZones!$B$2:$F$3236, 5, FALSE)</f>
        <v>Cold</v>
      </c>
    </row>
    <row r="617" ht="15.75" customHeight="1">
      <c r="A617" s="32" t="s">
        <v>357</v>
      </c>
      <c r="B617" s="32" t="s">
        <v>608</v>
      </c>
      <c r="C617" s="32" t="str">
        <f>vlookup(B617,State_EMM_RowSums!$A$2:$B$52,2,FALSE)</f>
        <v>IL</v>
      </c>
      <c r="D617" s="32">
        <v>17041.0</v>
      </c>
      <c r="E617" s="33">
        <f>IF(NOT(ISBLANK(vlookup($D617,Pop_Census_2023!$A$2:$E$3220,4,FALSE))),vlookup($D617,Pop_Census_2023!$A$2:$E$3220,4,FALSE), vlookup($D617,Pop_Census_2023!$A$2:$E$3220,5,FALSE))</f>
        <v>19629</v>
      </c>
      <c r="F617" s="32">
        <v>424222.0</v>
      </c>
      <c r="G617" s="32">
        <v>83.0</v>
      </c>
      <c r="H617" s="32" t="str">
        <f>VLOOKUP(D617, Grid_Region_Mapping!$D$2:$F$5286, 3, FALSE)</f>
        <v>MISC</v>
      </c>
      <c r="I617" s="32">
        <v>3.0</v>
      </c>
      <c r="J617" s="34" t="str">
        <f t="shared" si="1"/>
        <v>Midwest</v>
      </c>
      <c r="K617" s="35">
        <v>2.0</v>
      </c>
      <c r="L617" s="35" t="s">
        <v>396</v>
      </c>
      <c r="M617" s="36">
        <f>VLOOKUP(D617, County_Data_CZones!$B$2:$F$3236, 2, FALSE)</f>
        <v>5</v>
      </c>
      <c r="N617" s="37" t="str">
        <f>VLOOKUP(D617, County_Data_CZones!$B$2:$F$3236, 5, FALSE)</f>
        <v>Cold</v>
      </c>
    </row>
    <row r="618" ht="15.75" customHeight="1">
      <c r="A618" s="32" t="s">
        <v>620</v>
      </c>
      <c r="B618" s="32" t="s">
        <v>608</v>
      </c>
      <c r="C618" s="32" t="str">
        <f>vlookup(B618,State_EMM_RowSums!$A$2:$B$52,2,FALSE)</f>
        <v>IL</v>
      </c>
      <c r="D618" s="32">
        <v>17043.0</v>
      </c>
      <c r="E618" s="33">
        <f>IF(NOT(ISBLANK(vlookup($D618,Pop_Census_2023!$A$2:$E$3220,4,FALSE))),vlookup($D618,Pop_Census_2023!$A$2:$E$3220,4,FALSE), vlookup($D618,Pop_Census_2023!$A$2:$E$3220,5,FALSE))</f>
        <v>921213</v>
      </c>
      <c r="F618" s="32">
        <v>422191.0</v>
      </c>
      <c r="G618" s="32">
        <v>80.0</v>
      </c>
      <c r="H618" s="32" t="str">
        <f>VLOOKUP(D618, Grid_Region_Mapping!$D$2:$F$5286, 3, FALSE)</f>
        <v>PJMC</v>
      </c>
      <c r="I618" s="32">
        <v>3.0</v>
      </c>
      <c r="J618" s="34" t="str">
        <f t="shared" si="1"/>
        <v>Midwest</v>
      </c>
      <c r="K618" s="35">
        <v>2.0</v>
      </c>
      <c r="L618" s="35" t="s">
        <v>396</v>
      </c>
      <c r="M618" s="36">
        <f>VLOOKUP(D618, County_Data_CZones!$B$2:$F$3236, 2, FALSE)</f>
        <v>5</v>
      </c>
      <c r="N618" s="37" t="str">
        <f>VLOOKUP(D618, County_Data_CZones!$B$2:$F$3236, 5, FALSE)</f>
        <v>Cold</v>
      </c>
    </row>
    <row r="619" ht="15.75" customHeight="1">
      <c r="A619" s="32" t="s">
        <v>621</v>
      </c>
      <c r="B619" s="32" t="s">
        <v>608</v>
      </c>
      <c r="C619" s="32" t="str">
        <f>vlookup(B619,State_EMM_RowSums!$A$2:$B$52,2,FALSE)</f>
        <v>IL</v>
      </c>
      <c r="D619" s="32">
        <v>17045.0</v>
      </c>
      <c r="E619" s="33">
        <f>IF(NOT(ISBLANK(vlookup($D619,Pop_Census_2023!$A$2:$E$3220,4,FALSE))),vlookup($D619,Pop_Census_2023!$A$2:$E$3220,4,FALSE), vlookup($D619,Pop_Census_2023!$A$2:$E$3220,5,FALSE))</f>
        <v>16334</v>
      </c>
      <c r="F619" s="32">
        <v>424224.0</v>
      </c>
      <c r="G619" s="32">
        <v>83.0</v>
      </c>
      <c r="H619" s="32" t="str">
        <f>VLOOKUP(D619, Grid_Region_Mapping!$D$2:$F$5286, 3, FALSE)</f>
        <v>MISC</v>
      </c>
      <c r="I619" s="32">
        <v>3.0</v>
      </c>
      <c r="J619" s="34" t="str">
        <f t="shared" si="1"/>
        <v>Midwest</v>
      </c>
      <c r="K619" s="35">
        <v>2.0</v>
      </c>
      <c r="L619" s="35" t="s">
        <v>396</v>
      </c>
      <c r="M619" s="36">
        <f>VLOOKUP(D619, County_Data_CZones!$B$2:$F$3236, 2, FALSE)</f>
        <v>5</v>
      </c>
      <c r="N619" s="37" t="str">
        <f>VLOOKUP(D619, County_Data_CZones!$B$2:$F$3236, 5, FALSE)</f>
        <v>Cold</v>
      </c>
    </row>
    <row r="620" ht="15.75" customHeight="1">
      <c r="A620" s="32" t="s">
        <v>622</v>
      </c>
      <c r="B620" s="32" t="s">
        <v>608</v>
      </c>
      <c r="C620" s="32" t="str">
        <f>vlookup(B620,State_EMM_RowSums!$A$2:$B$52,2,FALSE)</f>
        <v>IL</v>
      </c>
      <c r="D620" s="32">
        <v>17047.0</v>
      </c>
      <c r="E620" s="33">
        <f>IF(NOT(ISBLANK(vlookup($D620,Pop_Census_2023!$A$2:$E$3220,4,FALSE))),vlookup($D620,Pop_Census_2023!$A$2:$E$3220,4,FALSE), vlookup($D620,Pop_Census_2023!$A$2:$E$3220,5,FALSE))</f>
        <v>5968</v>
      </c>
      <c r="F620" s="32">
        <v>424225.0</v>
      </c>
      <c r="G620" s="32">
        <v>83.0</v>
      </c>
      <c r="H620" s="32" t="str">
        <f>VLOOKUP(D620, Grid_Region_Mapping!$D$2:$F$5286, 3, FALSE)</f>
        <v>MISC</v>
      </c>
      <c r="I620" s="32">
        <v>3.0</v>
      </c>
      <c r="J620" s="34" t="str">
        <f t="shared" si="1"/>
        <v>Midwest</v>
      </c>
      <c r="K620" s="35">
        <v>3.0</v>
      </c>
      <c r="L620" s="35" t="s">
        <v>223</v>
      </c>
      <c r="M620" s="36">
        <f>VLOOKUP(D620, County_Data_CZones!$B$2:$F$3236, 2, FALSE)</f>
        <v>4</v>
      </c>
      <c r="N620" s="37" t="str">
        <f>VLOOKUP(D620, County_Data_CZones!$B$2:$F$3236, 5, FALSE)</f>
        <v>Mixed-Humid</v>
      </c>
    </row>
    <row r="621" ht="15.75" customHeight="1">
      <c r="A621" s="32" t="s">
        <v>498</v>
      </c>
      <c r="B621" s="32" t="s">
        <v>608</v>
      </c>
      <c r="C621" s="32" t="str">
        <f>vlookup(B621,State_EMM_RowSums!$A$2:$B$52,2,FALSE)</f>
        <v>IL</v>
      </c>
      <c r="D621" s="32">
        <v>17049.0</v>
      </c>
      <c r="E621" s="33">
        <f>IF(NOT(ISBLANK(vlookup($D621,Pop_Census_2023!$A$2:$E$3220,4,FALSE))),vlookup($D621,Pop_Census_2023!$A$2:$E$3220,4,FALSE), vlookup($D621,Pop_Census_2023!$A$2:$E$3220,5,FALSE))</f>
        <v>34331</v>
      </c>
      <c r="F621" s="32">
        <v>424226.0</v>
      </c>
      <c r="G621" s="32">
        <v>83.0</v>
      </c>
      <c r="H621" s="32" t="str">
        <f>VLOOKUP(D621, Grid_Region_Mapping!$D$2:$F$5286, 3, FALSE)</f>
        <v>MISC</v>
      </c>
      <c r="I621" s="32">
        <v>3.0</v>
      </c>
      <c r="J621" s="34" t="str">
        <f t="shared" si="1"/>
        <v>Midwest</v>
      </c>
      <c r="K621" s="35">
        <v>3.0</v>
      </c>
      <c r="L621" s="35" t="s">
        <v>223</v>
      </c>
      <c r="M621" s="36">
        <f>VLOOKUP(D621, County_Data_CZones!$B$2:$F$3236, 2, FALSE)</f>
        <v>4</v>
      </c>
      <c r="N621" s="37" t="str">
        <f>VLOOKUP(D621, County_Data_CZones!$B$2:$F$3236, 5, FALSE)</f>
        <v>Mixed-Humid</v>
      </c>
    </row>
    <row r="622" ht="15.75" customHeight="1">
      <c r="A622" s="32" t="s">
        <v>131</v>
      </c>
      <c r="B622" s="32" t="s">
        <v>608</v>
      </c>
      <c r="C622" s="32" t="str">
        <f>vlookup(B622,State_EMM_RowSums!$A$2:$B$52,2,FALSE)</f>
        <v>IL</v>
      </c>
      <c r="D622" s="32">
        <v>17051.0</v>
      </c>
      <c r="E622" s="33">
        <f>IF(NOT(ISBLANK(vlookup($D622,Pop_Census_2023!$A$2:$E$3220,4,FALSE))),vlookup($D622,Pop_Census_2023!$A$2:$E$3220,4,FALSE), vlookup($D622,Pop_Census_2023!$A$2:$E$3220,5,FALSE))</f>
        <v>21164</v>
      </c>
      <c r="F622" s="32">
        <v>424227.0</v>
      </c>
      <c r="G622" s="32">
        <v>81.0</v>
      </c>
      <c r="H622" s="32" t="str">
        <f>VLOOKUP(D622, Grid_Region_Mapping!$D$2:$F$5286, 3, FALSE)</f>
        <v>MISC</v>
      </c>
      <c r="I622" s="32">
        <v>3.0</v>
      </c>
      <c r="J622" s="34" t="str">
        <f t="shared" si="1"/>
        <v>Midwest</v>
      </c>
      <c r="K622" s="35">
        <v>3.0</v>
      </c>
      <c r="L622" s="35" t="s">
        <v>223</v>
      </c>
      <c r="M622" s="36">
        <f>VLOOKUP(D622, County_Data_CZones!$B$2:$F$3236, 2, FALSE)</f>
        <v>4</v>
      </c>
      <c r="N622" s="37" t="str">
        <f>VLOOKUP(D622, County_Data_CZones!$B$2:$F$3236, 5, FALSE)</f>
        <v>Mixed-Humid</v>
      </c>
    </row>
    <row r="623" ht="15.75" customHeight="1">
      <c r="A623" s="32" t="s">
        <v>623</v>
      </c>
      <c r="B623" s="32" t="s">
        <v>608</v>
      </c>
      <c r="C623" s="32" t="str">
        <f>vlookup(B623,State_EMM_RowSums!$A$2:$B$52,2,FALSE)</f>
        <v>IL</v>
      </c>
      <c r="D623" s="32">
        <v>17053.0</v>
      </c>
      <c r="E623" s="33">
        <f>IF(NOT(ISBLANK(vlookup($D623,Pop_Census_2023!$A$2:$E$3220,4,FALSE))),vlookup($D623,Pop_Census_2023!$A$2:$E$3220,4,FALSE), vlookup($D623,Pop_Census_2023!$A$2:$E$3220,5,FALSE))</f>
        <v>13250</v>
      </c>
      <c r="F623" s="32">
        <v>424228.0</v>
      </c>
      <c r="G623" s="32">
        <v>83.0</v>
      </c>
      <c r="H623" s="32" t="str">
        <f>VLOOKUP(D623, Grid_Region_Mapping!$D$2:$F$5286, 3, FALSE)</f>
        <v>MISC</v>
      </c>
      <c r="I623" s="32">
        <v>3.0</v>
      </c>
      <c r="J623" s="34" t="str">
        <f t="shared" si="1"/>
        <v>Midwest</v>
      </c>
      <c r="K623" s="35">
        <v>2.0</v>
      </c>
      <c r="L623" s="35" t="s">
        <v>396</v>
      </c>
      <c r="M623" s="36">
        <f>VLOOKUP(D623, County_Data_CZones!$B$2:$F$3236, 2, FALSE)</f>
        <v>5</v>
      </c>
      <c r="N623" s="37" t="str">
        <f>VLOOKUP(D623, County_Data_CZones!$B$2:$F$3236, 5, FALSE)</f>
        <v>Cold</v>
      </c>
    </row>
    <row r="624" ht="15.75" customHeight="1">
      <c r="A624" s="32" t="s">
        <v>132</v>
      </c>
      <c r="B624" s="32" t="s">
        <v>608</v>
      </c>
      <c r="C624" s="32" t="str">
        <f>vlookup(B624,State_EMM_RowSums!$A$2:$B$52,2,FALSE)</f>
        <v>IL</v>
      </c>
      <c r="D624" s="32">
        <v>17055.0</v>
      </c>
      <c r="E624" s="33">
        <f>IF(NOT(ISBLANK(vlookup($D624,Pop_Census_2023!$A$2:$E$3220,4,FALSE))),vlookup($D624,Pop_Census_2023!$A$2:$E$3220,4,FALSE), vlookup($D624,Pop_Census_2023!$A$2:$E$3220,5,FALSE))</f>
        <v>37138</v>
      </c>
      <c r="F624" s="32">
        <v>424229.0</v>
      </c>
      <c r="G624" s="32">
        <v>81.0</v>
      </c>
      <c r="H624" s="32" t="str">
        <f>VLOOKUP(D624, Grid_Region_Mapping!$D$2:$F$5286, 3, FALSE)</f>
        <v>MISC</v>
      </c>
      <c r="I624" s="32">
        <v>3.0</v>
      </c>
      <c r="J624" s="34" t="str">
        <f t="shared" si="1"/>
        <v>Midwest</v>
      </c>
      <c r="K624" s="35">
        <v>3.0</v>
      </c>
      <c r="L624" s="35" t="s">
        <v>223</v>
      </c>
      <c r="M624" s="36">
        <f>VLOOKUP(D624, County_Data_CZones!$B$2:$F$3236, 2, FALSE)</f>
        <v>4</v>
      </c>
      <c r="N624" s="37" t="str">
        <f>VLOOKUP(D624, County_Data_CZones!$B$2:$F$3236, 5, FALSE)</f>
        <v>Mixed-Humid</v>
      </c>
    </row>
    <row r="625" ht="15.75" customHeight="1">
      <c r="A625" s="32" t="s">
        <v>240</v>
      </c>
      <c r="B625" s="32" t="s">
        <v>608</v>
      </c>
      <c r="C625" s="32" t="str">
        <f>vlookup(B625,State_EMM_RowSums!$A$2:$B$52,2,FALSE)</f>
        <v>IL</v>
      </c>
      <c r="D625" s="32">
        <v>17057.0</v>
      </c>
      <c r="E625" s="33">
        <f>IF(NOT(ISBLANK(vlookup($D625,Pop_Census_2023!$A$2:$E$3220,4,FALSE))),vlookup($D625,Pop_Census_2023!$A$2:$E$3220,4,FALSE), vlookup($D625,Pop_Census_2023!$A$2:$E$3220,5,FALSE))</f>
        <v>32541</v>
      </c>
      <c r="F625" s="32">
        <v>424230.0</v>
      </c>
      <c r="G625" s="32">
        <v>81.0</v>
      </c>
      <c r="H625" s="32" t="str">
        <f>VLOOKUP(D625, Grid_Region_Mapping!$D$2:$F$5286, 3, FALSE)</f>
        <v>MISC</v>
      </c>
      <c r="I625" s="32">
        <v>3.0</v>
      </c>
      <c r="J625" s="34" t="str">
        <f t="shared" si="1"/>
        <v>Midwest</v>
      </c>
      <c r="K625" s="35">
        <v>2.0</v>
      </c>
      <c r="L625" s="35" t="s">
        <v>396</v>
      </c>
      <c r="M625" s="36">
        <f>VLOOKUP(D625, County_Data_CZones!$B$2:$F$3236, 2, FALSE)</f>
        <v>5</v>
      </c>
      <c r="N625" s="37" t="str">
        <f>VLOOKUP(D625, County_Data_CZones!$B$2:$F$3236, 5, FALSE)</f>
        <v>Cold</v>
      </c>
    </row>
    <row r="626" ht="15.75" customHeight="1">
      <c r="A626" s="32" t="s">
        <v>624</v>
      </c>
      <c r="B626" s="32" t="s">
        <v>608</v>
      </c>
      <c r="C626" s="32" t="str">
        <f>vlookup(B626,State_EMM_RowSums!$A$2:$B$52,2,FALSE)</f>
        <v>IL</v>
      </c>
      <c r="D626" s="32">
        <v>17059.0</v>
      </c>
      <c r="E626" s="33">
        <f>IF(NOT(ISBLANK(vlookup($D626,Pop_Census_2023!$A$2:$E$3220,4,FALSE))),vlookup($D626,Pop_Census_2023!$A$2:$E$3220,4,FALSE), vlookup($D626,Pop_Census_2023!$A$2:$E$3220,5,FALSE))</f>
        <v>4670</v>
      </c>
      <c r="F626" s="32">
        <v>424231.0</v>
      </c>
      <c r="G626" s="32">
        <v>81.0</v>
      </c>
      <c r="H626" s="32" t="str">
        <f>VLOOKUP(D626, Grid_Region_Mapping!$D$2:$F$5286, 3, FALSE)</f>
        <v>MISC</v>
      </c>
      <c r="I626" s="32">
        <v>3.0</v>
      </c>
      <c r="J626" s="34" t="str">
        <f t="shared" si="1"/>
        <v>Midwest</v>
      </c>
      <c r="K626" s="35">
        <v>3.0</v>
      </c>
      <c r="L626" s="35" t="s">
        <v>223</v>
      </c>
      <c r="M626" s="36">
        <f>VLOOKUP(D626, County_Data_CZones!$B$2:$F$3236, 2, FALSE)</f>
        <v>4</v>
      </c>
      <c r="N626" s="37" t="str">
        <f>VLOOKUP(D626, County_Data_CZones!$B$2:$F$3236, 5, FALSE)</f>
        <v>Mixed-Humid</v>
      </c>
    </row>
    <row r="627" ht="15.75" customHeight="1">
      <c r="A627" s="32" t="s">
        <v>134</v>
      </c>
      <c r="B627" s="32" t="s">
        <v>608</v>
      </c>
      <c r="C627" s="32" t="str">
        <f>vlookup(B627,State_EMM_RowSums!$A$2:$B$52,2,FALSE)</f>
        <v>IL</v>
      </c>
      <c r="D627" s="32">
        <v>17061.0</v>
      </c>
      <c r="E627" s="33">
        <f>IF(NOT(ISBLANK(vlookup($D627,Pop_Census_2023!$A$2:$E$3220,4,FALSE))),vlookup($D627,Pop_Census_2023!$A$2:$E$3220,4,FALSE), vlookup($D627,Pop_Census_2023!$A$2:$E$3220,5,FALSE))</f>
        <v>11543</v>
      </c>
      <c r="F627" s="32">
        <v>424232.0</v>
      </c>
      <c r="G627" s="32">
        <v>81.0</v>
      </c>
      <c r="H627" s="32" t="str">
        <f>VLOOKUP(D627, Grid_Region_Mapping!$D$2:$F$5286, 3, FALSE)</f>
        <v>MISC</v>
      </c>
      <c r="I627" s="32">
        <v>3.0</v>
      </c>
      <c r="J627" s="34" t="str">
        <f t="shared" si="1"/>
        <v>Midwest</v>
      </c>
      <c r="K627" s="35">
        <v>3.0</v>
      </c>
      <c r="L627" s="35" t="s">
        <v>396</v>
      </c>
      <c r="M627" s="36">
        <f>VLOOKUP(D627, County_Data_CZones!$B$2:$F$3236, 2, FALSE)</f>
        <v>5</v>
      </c>
      <c r="N627" s="37" t="str">
        <f>VLOOKUP(D627, County_Data_CZones!$B$2:$F$3236, 5, FALSE)</f>
        <v>Cold</v>
      </c>
    </row>
    <row r="628" ht="15.75" customHeight="1">
      <c r="A628" s="32" t="s">
        <v>625</v>
      </c>
      <c r="B628" s="32" t="s">
        <v>608</v>
      </c>
      <c r="C628" s="32" t="str">
        <f>vlookup(B628,State_EMM_RowSums!$A$2:$B$52,2,FALSE)</f>
        <v>IL</v>
      </c>
      <c r="D628" s="32">
        <v>17063.0</v>
      </c>
      <c r="E628" s="33">
        <f>IF(NOT(ISBLANK(vlookup($D628,Pop_Census_2023!$A$2:$E$3220,4,FALSE))),vlookup($D628,Pop_Census_2023!$A$2:$E$3220,4,FALSE), vlookup($D628,Pop_Census_2023!$A$2:$E$3220,5,FALSE))</f>
        <v>53578</v>
      </c>
      <c r="F628" s="32">
        <v>424233.0</v>
      </c>
      <c r="G628" s="32">
        <v>80.0</v>
      </c>
      <c r="H628" s="32" t="str">
        <f>VLOOKUP(D628, Grid_Region_Mapping!$D$2:$F$5286, 3, FALSE)</f>
        <v>MISC</v>
      </c>
      <c r="I628" s="32">
        <v>3.0</v>
      </c>
      <c r="J628" s="34" t="str">
        <f t="shared" si="1"/>
        <v>Midwest</v>
      </c>
      <c r="K628" s="35">
        <v>2.0</v>
      </c>
      <c r="L628" s="35" t="s">
        <v>396</v>
      </c>
      <c r="M628" s="36">
        <f>VLOOKUP(D628, County_Data_CZones!$B$2:$F$3236, 2, FALSE)</f>
        <v>5</v>
      </c>
      <c r="N628" s="37" t="str">
        <f>VLOOKUP(D628, County_Data_CZones!$B$2:$F$3236, 5, FALSE)</f>
        <v>Cold</v>
      </c>
    </row>
    <row r="629" ht="15.75" customHeight="1">
      <c r="A629" s="32" t="s">
        <v>428</v>
      </c>
      <c r="B629" s="32" t="s">
        <v>608</v>
      </c>
      <c r="C629" s="32" t="str">
        <f>vlookup(B629,State_EMM_RowSums!$A$2:$B$52,2,FALSE)</f>
        <v>IL</v>
      </c>
      <c r="D629" s="32">
        <v>17065.0</v>
      </c>
      <c r="E629" s="33">
        <f>IF(NOT(ISBLANK(vlookup($D629,Pop_Census_2023!$A$2:$E$3220,4,FALSE))),vlookup($D629,Pop_Census_2023!$A$2:$E$3220,4,FALSE), vlookup($D629,Pop_Census_2023!$A$2:$E$3220,5,FALSE))</f>
        <v>7911</v>
      </c>
      <c r="F629" s="32">
        <v>424234.0</v>
      </c>
      <c r="G629" s="32">
        <v>81.0</v>
      </c>
      <c r="H629" s="32" t="str">
        <f>VLOOKUP(D629, Grid_Region_Mapping!$D$2:$F$5286, 3, FALSE)</f>
        <v>MISC</v>
      </c>
      <c r="I629" s="32">
        <v>3.0</v>
      </c>
      <c r="J629" s="34" t="str">
        <f t="shared" si="1"/>
        <v>Midwest</v>
      </c>
      <c r="K629" s="35">
        <v>3.0</v>
      </c>
      <c r="L629" s="35" t="s">
        <v>223</v>
      </c>
      <c r="M629" s="36">
        <f>VLOOKUP(D629, County_Data_CZones!$B$2:$F$3236, 2, FALSE)</f>
        <v>4</v>
      </c>
      <c r="N629" s="37" t="str">
        <f>VLOOKUP(D629, County_Data_CZones!$B$2:$F$3236, 5, FALSE)</f>
        <v>Mixed-Humid</v>
      </c>
    </row>
    <row r="630" ht="15.75" customHeight="1">
      <c r="A630" s="32" t="s">
        <v>512</v>
      </c>
      <c r="B630" s="32" t="s">
        <v>608</v>
      </c>
      <c r="C630" s="32" t="str">
        <f>vlookup(B630,State_EMM_RowSums!$A$2:$B$52,2,FALSE)</f>
        <v>IL</v>
      </c>
      <c r="D630" s="32">
        <v>17067.0</v>
      </c>
      <c r="E630" s="33">
        <f>IF(NOT(ISBLANK(vlookup($D630,Pop_Census_2023!$A$2:$E$3220,4,FALSE))),vlookup($D630,Pop_Census_2023!$A$2:$E$3220,4,FALSE), vlookup($D630,Pop_Census_2023!$A$2:$E$3220,5,FALSE))</f>
        <v>17186</v>
      </c>
      <c r="F630" s="32">
        <v>424235.0</v>
      </c>
      <c r="G630" s="32">
        <v>81.0</v>
      </c>
      <c r="H630" s="32" t="str">
        <f>VLOOKUP(D630, Grid_Region_Mapping!$D$2:$F$5286, 3, FALSE)</f>
        <v>MISC</v>
      </c>
      <c r="I630" s="32">
        <v>3.0</v>
      </c>
      <c r="J630" s="34" t="str">
        <f t="shared" si="1"/>
        <v>Midwest</v>
      </c>
      <c r="K630" s="35">
        <v>2.0</v>
      </c>
      <c r="L630" s="35" t="s">
        <v>396</v>
      </c>
      <c r="M630" s="36">
        <f>VLOOKUP(D630, County_Data_CZones!$B$2:$F$3236, 2, FALSE)</f>
        <v>5</v>
      </c>
      <c r="N630" s="37" t="str">
        <f>VLOOKUP(D630, County_Data_CZones!$B$2:$F$3236, 5, FALSE)</f>
        <v>Cold</v>
      </c>
    </row>
    <row r="631" ht="15.75" customHeight="1">
      <c r="A631" s="32" t="s">
        <v>626</v>
      </c>
      <c r="B631" s="32" t="s">
        <v>608</v>
      </c>
      <c r="C631" s="32" t="str">
        <f>vlookup(B631,State_EMM_RowSums!$A$2:$B$52,2,FALSE)</f>
        <v>IL</v>
      </c>
      <c r="D631" s="32">
        <v>17069.0</v>
      </c>
      <c r="E631" s="33">
        <f>IF(NOT(ISBLANK(vlookup($D631,Pop_Census_2023!$A$2:$E$3220,4,FALSE))),vlookup($D631,Pop_Census_2023!$A$2:$E$3220,4,FALSE), vlookup($D631,Pop_Census_2023!$A$2:$E$3220,5,FALSE))</f>
        <v>3569</v>
      </c>
      <c r="F631" s="32">
        <v>424236.0</v>
      </c>
      <c r="G631" s="32">
        <v>81.0</v>
      </c>
      <c r="H631" s="32" t="str">
        <f>VLOOKUP(D631, Grid_Region_Mapping!$D$2:$F$5286, 3, FALSE)</f>
        <v>MISC</v>
      </c>
      <c r="I631" s="32">
        <v>3.0</v>
      </c>
      <c r="J631" s="34" t="str">
        <f t="shared" si="1"/>
        <v>Midwest</v>
      </c>
      <c r="K631" s="35">
        <v>3.0</v>
      </c>
      <c r="L631" s="35" t="s">
        <v>223</v>
      </c>
      <c r="M631" s="36">
        <f>VLOOKUP(D631, County_Data_CZones!$B$2:$F$3236, 2, FALSE)</f>
        <v>4</v>
      </c>
      <c r="N631" s="37" t="str">
        <f>VLOOKUP(D631, County_Data_CZones!$B$2:$F$3236, 5, FALSE)</f>
        <v>Mixed-Humid</v>
      </c>
    </row>
    <row r="632" ht="15.75" customHeight="1">
      <c r="A632" s="32" t="s">
        <v>627</v>
      </c>
      <c r="B632" s="32" t="s">
        <v>608</v>
      </c>
      <c r="C632" s="32" t="str">
        <f>vlookup(B632,State_EMM_RowSums!$A$2:$B$52,2,FALSE)</f>
        <v>IL</v>
      </c>
      <c r="D632" s="32">
        <v>17071.0</v>
      </c>
      <c r="E632" s="33">
        <f>IF(NOT(ISBLANK(vlookup($D632,Pop_Census_2023!$A$2:$E$3220,4,FALSE))),vlookup($D632,Pop_Census_2023!$A$2:$E$3220,4,FALSE), vlookup($D632,Pop_Census_2023!$A$2:$E$3220,5,FALSE))</f>
        <v>6088</v>
      </c>
      <c r="F632" s="32">
        <v>424237.0</v>
      </c>
      <c r="G632" s="32">
        <v>81.0</v>
      </c>
      <c r="H632" s="32" t="str">
        <f>VLOOKUP(D632, Grid_Region_Mapping!$D$2:$F$5286, 3, FALSE)</f>
        <v>MISC</v>
      </c>
      <c r="I632" s="32">
        <v>3.0</v>
      </c>
      <c r="J632" s="34" t="str">
        <f t="shared" si="1"/>
        <v>Midwest</v>
      </c>
      <c r="K632" s="35">
        <v>2.0</v>
      </c>
      <c r="L632" s="35" t="s">
        <v>396</v>
      </c>
      <c r="M632" s="36">
        <f>VLOOKUP(D632, County_Data_CZones!$B$2:$F$3236, 2, FALSE)</f>
        <v>5</v>
      </c>
      <c r="N632" s="37" t="str">
        <f>VLOOKUP(D632, County_Data_CZones!$B$2:$F$3236, 5, FALSE)</f>
        <v>Cold</v>
      </c>
    </row>
    <row r="633" ht="15.75" customHeight="1">
      <c r="A633" s="32" t="s">
        <v>136</v>
      </c>
      <c r="B633" s="32" t="s">
        <v>608</v>
      </c>
      <c r="C633" s="32" t="str">
        <f>vlookup(B633,State_EMM_RowSums!$A$2:$B$52,2,FALSE)</f>
        <v>IL</v>
      </c>
      <c r="D633" s="32">
        <v>17073.0</v>
      </c>
      <c r="E633" s="33">
        <f>IF(NOT(ISBLANK(vlookup($D633,Pop_Census_2023!$A$2:$E$3220,4,FALSE))),vlookup($D633,Pop_Census_2023!$A$2:$E$3220,4,FALSE), vlookup($D633,Pop_Census_2023!$A$2:$E$3220,5,FALSE))</f>
        <v>48448</v>
      </c>
      <c r="F633" s="32">
        <v>424238.0</v>
      </c>
      <c r="G633" s="32">
        <v>81.0</v>
      </c>
      <c r="H633" s="32" t="str">
        <f>VLOOKUP(D633, Grid_Region_Mapping!$D$2:$F$5286, 3, FALSE)</f>
        <v>MISC</v>
      </c>
      <c r="I633" s="32">
        <v>3.0</v>
      </c>
      <c r="J633" s="34" t="str">
        <f t="shared" si="1"/>
        <v>Midwest</v>
      </c>
      <c r="K633" s="35">
        <v>2.0</v>
      </c>
      <c r="L633" s="35" t="s">
        <v>396</v>
      </c>
      <c r="M633" s="36">
        <f>VLOOKUP(D633, County_Data_CZones!$B$2:$F$3236, 2, FALSE)</f>
        <v>5</v>
      </c>
      <c r="N633" s="37" t="str">
        <f>VLOOKUP(D633, County_Data_CZones!$B$2:$F$3236, 5, FALSE)</f>
        <v>Cold</v>
      </c>
    </row>
    <row r="634" ht="15.75" customHeight="1">
      <c r="A634" s="32" t="s">
        <v>628</v>
      </c>
      <c r="B634" s="32" t="s">
        <v>608</v>
      </c>
      <c r="C634" s="32" t="str">
        <f>vlookup(B634,State_EMM_RowSums!$A$2:$B$52,2,FALSE)</f>
        <v>IL</v>
      </c>
      <c r="D634" s="32">
        <v>17075.0</v>
      </c>
      <c r="E634" s="33">
        <f>IF(NOT(ISBLANK(vlookup($D634,Pop_Census_2023!$A$2:$E$3220,4,FALSE))),vlookup($D634,Pop_Census_2023!$A$2:$E$3220,4,FALSE), vlookup($D634,Pop_Census_2023!$A$2:$E$3220,5,FALSE))</f>
        <v>26136</v>
      </c>
      <c r="F634" s="32">
        <v>424239.0</v>
      </c>
      <c r="G634" s="32">
        <v>83.0</v>
      </c>
      <c r="H634" s="32" t="str">
        <f>VLOOKUP(D634, Grid_Region_Mapping!$D$2:$F$5286, 3, FALSE)</f>
        <v>MISC</v>
      </c>
      <c r="I634" s="32">
        <v>3.0</v>
      </c>
      <c r="J634" s="34" t="str">
        <f t="shared" si="1"/>
        <v>Midwest</v>
      </c>
      <c r="K634" s="35">
        <v>2.0</v>
      </c>
      <c r="L634" s="35" t="s">
        <v>396</v>
      </c>
      <c r="M634" s="36">
        <f>VLOOKUP(D634, County_Data_CZones!$B$2:$F$3236, 2, FALSE)</f>
        <v>5</v>
      </c>
      <c r="N634" s="37" t="str">
        <f>VLOOKUP(D634, County_Data_CZones!$B$2:$F$3236, 5, FALSE)</f>
        <v>Cold</v>
      </c>
    </row>
    <row r="635" ht="15.75" customHeight="1">
      <c r="A635" s="32" t="s">
        <v>138</v>
      </c>
      <c r="B635" s="32" t="s">
        <v>608</v>
      </c>
      <c r="C635" s="32" t="str">
        <f>vlookup(B635,State_EMM_RowSums!$A$2:$B$52,2,FALSE)</f>
        <v>IL</v>
      </c>
      <c r="D635" s="32">
        <v>17077.0</v>
      </c>
      <c r="E635" s="33">
        <f>IF(NOT(ISBLANK(vlookup($D635,Pop_Census_2023!$A$2:$E$3220,4,FALSE))),vlookup($D635,Pop_Census_2023!$A$2:$E$3220,4,FALSE), vlookup($D635,Pop_Census_2023!$A$2:$E$3220,5,FALSE))</f>
        <v>52141</v>
      </c>
      <c r="F635" s="32">
        <v>424240.0</v>
      </c>
      <c r="G635" s="32">
        <v>81.0</v>
      </c>
      <c r="H635" s="32" t="str">
        <f>VLOOKUP(D635, Grid_Region_Mapping!$D$2:$F$5286, 3, FALSE)</f>
        <v>MISC</v>
      </c>
      <c r="I635" s="32">
        <v>3.0</v>
      </c>
      <c r="J635" s="34" t="str">
        <f t="shared" si="1"/>
        <v>Midwest</v>
      </c>
      <c r="K635" s="35">
        <v>3.0</v>
      </c>
      <c r="L635" s="35" t="s">
        <v>223</v>
      </c>
      <c r="M635" s="36">
        <f>VLOOKUP(D635, County_Data_CZones!$B$2:$F$3236, 2, FALSE)</f>
        <v>4</v>
      </c>
      <c r="N635" s="37" t="str">
        <f>VLOOKUP(D635, County_Data_CZones!$B$2:$F$3236, 5, FALSE)</f>
        <v>Mixed-Humid</v>
      </c>
    </row>
    <row r="636" ht="15.75" customHeight="1">
      <c r="A636" s="32" t="s">
        <v>518</v>
      </c>
      <c r="B636" s="32" t="s">
        <v>608</v>
      </c>
      <c r="C636" s="32" t="str">
        <f>vlookup(B636,State_EMM_RowSums!$A$2:$B$52,2,FALSE)</f>
        <v>IL</v>
      </c>
      <c r="D636" s="32">
        <v>17079.0</v>
      </c>
      <c r="E636" s="33">
        <f>IF(NOT(ISBLANK(vlookup($D636,Pop_Census_2023!$A$2:$E$3220,4,FALSE))),vlookup($D636,Pop_Census_2023!$A$2:$E$3220,4,FALSE), vlookup($D636,Pop_Census_2023!$A$2:$E$3220,5,FALSE))</f>
        <v>9144</v>
      </c>
      <c r="F636" s="32">
        <v>424241.0</v>
      </c>
      <c r="G636" s="32">
        <v>83.0</v>
      </c>
      <c r="H636" s="32" t="str">
        <f>VLOOKUP(D636, Grid_Region_Mapping!$D$2:$F$5286, 3, FALSE)</f>
        <v>MISC</v>
      </c>
      <c r="I636" s="32">
        <v>3.0</v>
      </c>
      <c r="J636" s="34" t="str">
        <f t="shared" si="1"/>
        <v>Midwest</v>
      </c>
      <c r="K636" s="35">
        <v>3.0</v>
      </c>
      <c r="L636" s="35" t="s">
        <v>223</v>
      </c>
      <c r="M636" s="36">
        <f>VLOOKUP(D636, County_Data_CZones!$B$2:$F$3236, 2, FALSE)</f>
        <v>4</v>
      </c>
      <c r="N636" s="37" t="str">
        <f>VLOOKUP(D636, County_Data_CZones!$B$2:$F$3236, 5, FALSE)</f>
        <v>Mixed-Humid</v>
      </c>
    </row>
    <row r="637" ht="15.75" customHeight="1">
      <c r="A637" s="32" t="s">
        <v>139</v>
      </c>
      <c r="B637" s="32" t="s">
        <v>608</v>
      </c>
      <c r="C637" s="32" t="str">
        <f>vlookup(B637,State_EMM_RowSums!$A$2:$B$52,2,FALSE)</f>
        <v>IL</v>
      </c>
      <c r="D637" s="32">
        <v>17081.0</v>
      </c>
      <c r="E637" s="33">
        <f>IF(NOT(ISBLANK(vlookup($D637,Pop_Census_2023!$A$2:$E$3220,4,FALSE))),vlookup($D637,Pop_Census_2023!$A$2:$E$3220,4,FALSE), vlookup($D637,Pop_Census_2023!$A$2:$E$3220,5,FALSE))</f>
        <v>36320</v>
      </c>
      <c r="F637" s="32">
        <v>424242.0</v>
      </c>
      <c r="G637" s="32">
        <v>81.0</v>
      </c>
      <c r="H637" s="32" t="str">
        <f>VLOOKUP(D637, Grid_Region_Mapping!$D$2:$F$5286, 3, FALSE)</f>
        <v>MISC</v>
      </c>
      <c r="I637" s="32">
        <v>3.0</v>
      </c>
      <c r="J637" s="34" t="str">
        <f t="shared" si="1"/>
        <v>Midwest</v>
      </c>
      <c r="K637" s="35">
        <v>3.0</v>
      </c>
      <c r="L637" s="35" t="s">
        <v>223</v>
      </c>
      <c r="M637" s="36">
        <f>VLOOKUP(D637, County_Data_CZones!$B$2:$F$3236, 2, FALSE)</f>
        <v>4</v>
      </c>
      <c r="N637" s="37" t="str">
        <f>VLOOKUP(D637, County_Data_CZones!$B$2:$F$3236, 5, FALSE)</f>
        <v>Mixed-Humid</v>
      </c>
    </row>
    <row r="638" ht="15.75" customHeight="1">
      <c r="A638" s="32" t="s">
        <v>629</v>
      </c>
      <c r="B638" s="32" t="s">
        <v>608</v>
      </c>
      <c r="C638" s="32" t="str">
        <f>vlookup(B638,State_EMM_RowSums!$A$2:$B$52,2,FALSE)</f>
        <v>IL</v>
      </c>
      <c r="D638" s="32">
        <v>17083.0</v>
      </c>
      <c r="E638" s="33">
        <f>IF(NOT(ISBLANK(vlookup($D638,Pop_Census_2023!$A$2:$E$3220,4,FALSE))),vlookup($D638,Pop_Census_2023!$A$2:$E$3220,4,FALSE), vlookup($D638,Pop_Census_2023!$A$2:$E$3220,5,FALSE))</f>
        <v>21091</v>
      </c>
      <c r="F638" s="32">
        <v>424243.0</v>
      </c>
      <c r="G638" s="32">
        <v>81.0</v>
      </c>
      <c r="H638" s="32" t="str">
        <f>VLOOKUP(D638, Grid_Region_Mapping!$D$2:$F$5286, 3, FALSE)</f>
        <v>MISC</v>
      </c>
      <c r="I638" s="32">
        <v>3.0</v>
      </c>
      <c r="J638" s="34" t="str">
        <f t="shared" si="1"/>
        <v>Midwest</v>
      </c>
      <c r="K638" s="35">
        <v>3.0</v>
      </c>
      <c r="L638" s="35" t="s">
        <v>396</v>
      </c>
      <c r="M638" s="36">
        <f>VLOOKUP(D638, County_Data_CZones!$B$2:$F$3236, 2, FALSE)</f>
        <v>5</v>
      </c>
      <c r="N638" s="37" t="str">
        <f>VLOOKUP(D638, County_Data_CZones!$B$2:$F$3236, 5, FALSE)</f>
        <v>Cold</v>
      </c>
    </row>
    <row r="639" ht="15.75" customHeight="1">
      <c r="A639" s="32" t="s">
        <v>630</v>
      </c>
      <c r="B639" s="32" t="s">
        <v>608</v>
      </c>
      <c r="C639" s="32" t="str">
        <f>vlookup(B639,State_EMM_RowSums!$A$2:$B$52,2,FALSE)</f>
        <v>IL</v>
      </c>
      <c r="D639" s="32">
        <v>17085.0</v>
      </c>
      <c r="E639" s="33">
        <f>IF(NOT(ISBLANK(vlookup($D639,Pop_Census_2023!$A$2:$E$3220,4,FALSE))),vlookup($D639,Pop_Census_2023!$A$2:$E$3220,4,FALSE), vlookup($D639,Pop_Census_2023!$A$2:$E$3220,5,FALSE))</f>
        <v>21756</v>
      </c>
      <c r="F639" s="32">
        <v>424244.0</v>
      </c>
      <c r="G639" s="32">
        <v>80.0</v>
      </c>
      <c r="H639" s="32" t="str">
        <f>VLOOKUP(D639, Grid_Region_Mapping!$D$2:$F$5286, 3, FALSE)</f>
        <v>MISW</v>
      </c>
      <c r="I639" s="32">
        <v>3.0</v>
      </c>
      <c r="J639" s="34" t="str">
        <f t="shared" si="1"/>
        <v>Midwest</v>
      </c>
      <c r="K639" s="35">
        <v>2.0</v>
      </c>
      <c r="L639" s="35" t="s">
        <v>396</v>
      </c>
      <c r="M639" s="36">
        <f>VLOOKUP(D639, County_Data_CZones!$B$2:$F$3236, 2, FALSE)</f>
        <v>5</v>
      </c>
      <c r="N639" s="37" t="str">
        <f>VLOOKUP(D639, County_Data_CZones!$B$2:$F$3236, 5, FALSE)</f>
        <v>Cold</v>
      </c>
    </row>
    <row r="640" ht="15.75" customHeight="1">
      <c r="A640" s="32" t="s">
        <v>248</v>
      </c>
      <c r="B640" s="32" t="s">
        <v>608</v>
      </c>
      <c r="C640" s="32" t="str">
        <f>vlookup(B640,State_EMM_RowSums!$A$2:$B$52,2,FALSE)</f>
        <v>IL</v>
      </c>
      <c r="D640" s="32">
        <v>17087.0</v>
      </c>
      <c r="E640" s="33">
        <f>IF(NOT(ISBLANK(vlookup($D640,Pop_Census_2023!$A$2:$E$3220,4,FALSE))),vlookup($D640,Pop_Census_2023!$A$2:$E$3220,4,FALSE), vlookup($D640,Pop_Census_2023!$A$2:$E$3220,5,FALSE))</f>
        <v>13326</v>
      </c>
      <c r="F640" s="32">
        <v>424245.0</v>
      </c>
      <c r="G640" s="32">
        <v>81.0</v>
      </c>
      <c r="H640" s="32" t="str">
        <f>VLOOKUP(D640, Grid_Region_Mapping!$D$2:$F$5286, 3, FALSE)</f>
        <v>MISC</v>
      </c>
      <c r="I640" s="32">
        <v>3.0</v>
      </c>
      <c r="J640" s="34" t="str">
        <f t="shared" si="1"/>
        <v>Midwest</v>
      </c>
      <c r="K640" s="35">
        <v>3.0</v>
      </c>
      <c r="L640" s="35" t="s">
        <v>223</v>
      </c>
      <c r="M640" s="36">
        <f>VLOOKUP(D640, County_Data_CZones!$B$2:$F$3236, 2, FALSE)</f>
        <v>4</v>
      </c>
      <c r="N640" s="37" t="str">
        <f>VLOOKUP(D640, County_Data_CZones!$B$2:$F$3236, 5, FALSE)</f>
        <v>Mixed-Humid</v>
      </c>
    </row>
    <row r="641" ht="15.75" customHeight="1">
      <c r="A641" s="32" t="s">
        <v>631</v>
      </c>
      <c r="B641" s="32" t="s">
        <v>608</v>
      </c>
      <c r="C641" s="32" t="str">
        <f>vlookup(B641,State_EMM_RowSums!$A$2:$B$52,2,FALSE)</f>
        <v>IL</v>
      </c>
      <c r="D641" s="32">
        <v>17089.0</v>
      </c>
      <c r="E641" s="33">
        <f>IF(NOT(ISBLANK(vlookup($D641,Pop_Census_2023!$A$2:$E$3220,4,FALSE))),vlookup($D641,Pop_Census_2023!$A$2:$E$3220,4,FALSE), vlookup($D641,Pop_Census_2023!$A$2:$E$3220,5,FALSE))</f>
        <v>514982</v>
      </c>
      <c r="F641" s="32">
        <v>424246.0</v>
      </c>
      <c r="G641" s="32">
        <v>80.0</v>
      </c>
      <c r="H641" s="32" t="str">
        <f>VLOOKUP(D641, Grid_Region_Mapping!$D$2:$F$5286, 3, FALSE)</f>
        <v>PJMC</v>
      </c>
      <c r="I641" s="32">
        <v>3.0</v>
      </c>
      <c r="J641" s="34" t="str">
        <f t="shared" si="1"/>
        <v>Midwest</v>
      </c>
      <c r="K641" s="35">
        <v>2.0</v>
      </c>
      <c r="L641" s="35" t="s">
        <v>396</v>
      </c>
      <c r="M641" s="36">
        <f>VLOOKUP(D641, County_Data_CZones!$B$2:$F$3236, 2, FALSE)</f>
        <v>5</v>
      </c>
      <c r="N641" s="37" t="str">
        <f>VLOOKUP(D641, County_Data_CZones!$B$2:$F$3236, 5, FALSE)</f>
        <v>Cold</v>
      </c>
    </row>
    <row r="642" ht="15.75" customHeight="1">
      <c r="A642" s="32" t="s">
        <v>632</v>
      </c>
      <c r="B642" s="32" t="s">
        <v>608</v>
      </c>
      <c r="C642" s="32" t="str">
        <f>vlookup(B642,State_EMM_RowSums!$A$2:$B$52,2,FALSE)</f>
        <v>IL</v>
      </c>
      <c r="D642" s="32">
        <v>17091.0</v>
      </c>
      <c r="E642" s="33">
        <f>IF(NOT(ISBLANK(vlookup($D642,Pop_Census_2023!$A$2:$E$3220,4,FALSE))),vlookup($D642,Pop_Census_2023!$A$2:$E$3220,4,FALSE), vlookup($D642,Pop_Census_2023!$A$2:$E$3220,5,FALSE))</f>
        <v>105940</v>
      </c>
      <c r="F642" s="32">
        <v>424247.0</v>
      </c>
      <c r="G642" s="32">
        <v>80.0</v>
      </c>
      <c r="H642" s="32" t="str">
        <f>VLOOKUP(D642, Grid_Region_Mapping!$D$2:$F$5286, 3, FALSE)</f>
        <v>MISC</v>
      </c>
      <c r="I642" s="32">
        <v>3.0</v>
      </c>
      <c r="J642" s="34" t="str">
        <f t="shared" si="1"/>
        <v>Midwest</v>
      </c>
      <c r="K642" s="35">
        <v>2.0</v>
      </c>
      <c r="L642" s="35" t="s">
        <v>396</v>
      </c>
      <c r="M642" s="36">
        <f>VLOOKUP(D642, County_Data_CZones!$B$2:$F$3236, 2, FALSE)</f>
        <v>5</v>
      </c>
      <c r="N642" s="37" t="str">
        <f>VLOOKUP(D642, County_Data_CZones!$B$2:$F$3236, 5, FALSE)</f>
        <v>Cold</v>
      </c>
    </row>
    <row r="643" ht="15.75" customHeight="1">
      <c r="A643" s="32" t="s">
        <v>633</v>
      </c>
      <c r="B643" s="32" t="s">
        <v>608</v>
      </c>
      <c r="C643" s="32" t="str">
        <f>vlookup(B643,State_EMM_RowSums!$A$2:$B$52,2,FALSE)</f>
        <v>IL</v>
      </c>
      <c r="D643" s="32">
        <v>17093.0</v>
      </c>
      <c r="E643" s="33">
        <f>IF(NOT(ISBLANK(vlookup($D643,Pop_Census_2023!$A$2:$E$3220,4,FALSE))),vlookup($D643,Pop_Census_2023!$A$2:$E$3220,4,FALSE), vlookup($D643,Pop_Census_2023!$A$2:$E$3220,5,FALSE))</f>
        <v>139976</v>
      </c>
      <c r="F643" s="32">
        <v>424248.0</v>
      </c>
      <c r="G643" s="32">
        <v>80.0</v>
      </c>
      <c r="H643" s="32" t="str">
        <f>VLOOKUP(D643, Grid_Region_Mapping!$D$2:$F$5286, 3, FALSE)</f>
        <v>MISC</v>
      </c>
      <c r="I643" s="32">
        <v>3.0</v>
      </c>
      <c r="J643" s="34" t="str">
        <f t="shared" si="1"/>
        <v>Midwest</v>
      </c>
      <c r="K643" s="35">
        <v>2.0</v>
      </c>
      <c r="L643" s="35" t="s">
        <v>396</v>
      </c>
      <c r="M643" s="36">
        <f>VLOOKUP(D643, County_Data_CZones!$B$2:$F$3236, 2, FALSE)</f>
        <v>5</v>
      </c>
      <c r="N643" s="37" t="str">
        <f>VLOOKUP(D643, County_Data_CZones!$B$2:$F$3236, 5, FALSE)</f>
        <v>Cold</v>
      </c>
    </row>
    <row r="644" ht="15.75" customHeight="1">
      <c r="A644" s="32" t="s">
        <v>634</v>
      </c>
      <c r="B644" s="32" t="s">
        <v>608</v>
      </c>
      <c r="C644" s="32" t="str">
        <f>vlookup(B644,State_EMM_RowSums!$A$2:$B$52,2,FALSE)</f>
        <v>IL</v>
      </c>
      <c r="D644" s="32">
        <v>17095.0</v>
      </c>
      <c r="E644" s="33">
        <f>IF(NOT(ISBLANK(vlookup($D644,Pop_Census_2023!$A$2:$E$3220,4,FALSE))),vlookup($D644,Pop_Census_2023!$A$2:$E$3220,4,FALSE), vlookup($D644,Pop_Census_2023!$A$2:$E$3220,5,FALSE))</f>
        <v>48411</v>
      </c>
      <c r="F644" s="32">
        <v>424249.0</v>
      </c>
      <c r="G644" s="32">
        <v>81.0</v>
      </c>
      <c r="H644" s="32" t="str">
        <f>VLOOKUP(D644, Grid_Region_Mapping!$D$2:$F$5286, 3, FALSE)</f>
        <v>MISC</v>
      </c>
      <c r="I644" s="32">
        <v>3.0</v>
      </c>
      <c r="J644" s="34" t="str">
        <f t="shared" si="1"/>
        <v>Midwest</v>
      </c>
      <c r="K644" s="35">
        <v>2.0</v>
      </c>
      <c r="L644" s="35" t="s">
        <v>396</v>
      </c>
      <c r="M644" s="36">
        <f>VLOOKUP(D644, County_Data_CZones!$B$2:$F$3236, 2, FALSE)</f>
        <v>5</v>
      </c>
      <c r="N644" s="37" t="str">
        <f>VLOOKUP(D644, County_Data_CZones!$B$2:$F$3236, 5, FALSE)</f>
        <v>Cold</v>
      </c>
    </row>
    <row r="645" ht="15.75" customHeight="1">
      <c r="A645" s="32" t="s">
        <v>298</v>
      </c>
      <c r="B645" s="32" t="s">
        <v>608</v>
      </c>
      <c r="C645" s="32" t="str">
        <f>vlookup(B645,State_EMM_RowSums!$A$2:$B$52,2,FALSE)</f>
        <v>IL</v>
      </c>
      <c r="D645" s="32">
        <v>17097.0</v>
      </c>
      <c r="E645" s="33">
        <f>IF(NOT(ISBLANK(vlookup($D645,Pop_Census_2023!$A$2:$E$3220,4,FALSE))),vlookup($D645,Pop_Census_2023!$A$2:$E$3220,4,FALSE), vlookup($D645,Pop_Census_2023!$A$2:$E$3220,5,FALSE))</f>
        <v>708760</v>
      </c>
      <c r="F645" s="32">
        <v>1784796.0</v>
      </c>
      <c r="G645" s="32">
        <v>80.0</v>
      </c>
      <c r="H645" s="32" t="str">
        <f>VLOOKUP(D645, Grid_Region_Mapping!$D$2:$F$5286, 3, FALSE)</f>
        <v>PJMC</v>
      </c>
      <c r="I645" s="32">
        <v>3.0</v>
      </c>
      <c r="J645" s="34" t="str">
        <f t="shared" si="1"/>
        <v>Midwest</v>
      </c>
      <c r="K645" s="35">
        <v>2.0</v>
      </c>
      <c r="L645" s="35" t="s">
        <v>396</v>
      </c>
      <c r="M645" s="36">
        <f>VLOOKUP(D645, County_Data_CZones!$B$2:$F$3236, 2, FALSE)</f>
        <v>5</v>
      </c>
      <c r="N645" s="37" t="str">
        <f>VLOOKUP(D645, County_Data_CZones!$B$2:$F$3236, 5, FALSE)</f>
        <v>Cold</v>
      </c>
    </row>
    <row r="646" ht="15.75" customHeight="1">
      <c r="A646" s="32" t="s">
        <v>635</v>
      </c>
      <c r="B646" s="32" t="s">
        <v>608</v>
      </c>
      <c r="C646" s="32" t="str">
        <f>vlookup(B646,State_EMM_RowSums!$A$2:$B$52,2,FALSE)</f>
        <v>IL</v>
      </c>
      <c r="D646" s="32">
        <v>17099.0</v>
      </c>
      <c r="E646" s="33">
        <f>IF(NOT(ISBLANK(vlookup($D646,Pop_Census_2023!$A$2:$E$3220,4,FALSE))),vlookup($D646,Pop_Census_2023!$A$2:$E$3220,4,FALSE), vlookup($D646,Pop_Census_2023!$A$2:$E$3220,5,FALSE))</f>
        <v>108309</v>
      </c>
      <c r="F646" s="32">
        <v>422247.0</v>
      </c>
      <c r="G646" s="32">
        <v>80.0</v>
      </c>
      <c r="H646" s="32" t="str">
        <f>VLOOKUP(D646, Grid_Region_Mapping!$D$2:$F$5286, 3, FALSE)</f>
        <v>MISC</v>
      </c>
      <c r="I646" s="32">
        <v>3.0</v>
      </c>
      <c r="J646" s="34" t="str">
        <f t="shared" si="1"/>
        <v>Midwest</v>
      </c>
      <c r="K646" s="35">
        <v>2.0</v>
      </c>
      <c r="L646" s="35" t="s">
        <v>396</v>
      </c>
      <c r="M646" s="36">
        <f>VLOOKUP(D646, County_Data_CZones!$B$2:$F$3236, 2, FALSE)</f>
        <v>5</v>
      </c>
      <c r="N646" s="37" t="str">
        <f>VLOOKUP(D646, County_Data_CZones!$B$2:$F$3236, 5, FALSE)</f>
        <v>Cold</v>
      </c>
    </row>
    <row r="647" ht="15.75" customHeight="1">
      <c r="A647" s="32" t="s">
        <v>142</v>
      </c>
      <c r="B647" s="32" t="s">
        <v>608</v>
      </c>
      <c r="C647" s="32" t="str">
        <f>vlookup(B647,State_EMM_RowSums!$A$2:$B$52,2,FALSE)</f>
        <v>IL</v>
      </c>
      <c r="D647" s="32">
        <v>17101.0</v>
      </c>
      <c r="E647" s="33">
        <f>IF(NOT(ISBLANK(vlookup($D647,Pop_Census_2023!$A$2:$E$3220,4,FALSE))),vlookup($D647,Pop_Census_2023!$A$2:$E$3220,4,FALSE), vlookup($D647,Pop_Census_2023!$A$2:$E$3220,5,FALSE))</f>
        <v>14813</v>
      </c>
      <c r="F647" s="32">
        <v>424252.0</v>
      </c>
      <c r="G647" s="32">
        <v>83.0</v>
      </c>
      <c r="H647" s="32" t="str">
        <f>VLOOKUP(D647, Grid_Region_Mapping!$D$2:$F$5286, 3, FALSE)</f>
        <v>MISC</v>
      </c>
      <c r="I647" s="32">
        <v>3.0</v>
      </c>
      <c r="J647" s="34" t="str">
        <f t="shared" si="1"/>
        <v>Midwest</v>
      </c>
      <c r="K647" s="35">
        <v>3.0</v>
      </c>
      <c r="L647" s="35" t="s">
        <v>223</v>
      </c>
      <c r="M647" s="36">
        <f>VLOOKUP(D647, County_Data_CZones!$B$2:$F$3236, 2, FALSE)</f>
        <v>4</v>
      </c>
      <c r="N647" s="37" t="str">
        <f>VLOOKUP(D647, County_Data_CZones!$B$2:$F$3236, 5, FALSE)</f>
        <v>Mixed-Humid</v>
      </c>
    </row>
    <row r="648" ht="15.75" customHeight="1">
      <c r="A648" s="32" t="s">
        <v>143</v>
      </c>
      <c r="B648" s="32" t="s">
        <v>608</v>
      </c>
      <c r="C648" s="32" t="str">
        <f>vlookup(B648,State_EMM_RowSums!$A$2:$B$52,2,FALSE)</f>
        <v>IL</v>
      </c>
      <c r="D648" s="32">
        <v>17103.0</v>
      </c>
      <c r="E648" s="33">
        <f>IF(NOT(ISBLANK(vlookup($D648,Pop_Census_2023!$A$2:$E$3220,4,FALSE))),vlookup($D648,Pop_Census_2023!$A$2:$E$3220,4,FALSE), vlookup($D648,Pop_Census_2023!$A$2:$E$3220,5,FALSE))</f>
        <v>33654</v>
      </c>
      <c r="F648" s="32">
        <v>424253.0</v>
      </c>
      <c r="G648" s="32">
        <v>80.0</v>
      </c>
      <c r="H648" s="32" t="str">
        <f>VLOOKUP(D648, Grid_Region_Mapping!$D$2:$F$5286, 3, FALSE)</f>
        <v>PJMC</v>
      </c>
      <c r="I648" s="32">
        <v>3.0</v>
      </c>
      <c r="J648" s="34" t="str">
        <f t="shared" si="1"/>
        <v>Midwest</v>
      </c>
      <c r="K648" s="35">
        <v>2.0</v>
      </c>
      <c r="L648" s="35" t="s">
        <v>396</v>
      </c>
      <c r="M648" s="36">
        <f>VLOOKUP(D648, County_Data_CZones!$B$2:$F$3236, 2, FALSE)</f>
        <v>5</v>
      </c>
      <c r="N648" s="37" t="str">
        <f>VLOOKUP(D648, County_Data_CZones!$B$2:$F$3236, 5, FALSE)</f>
        <v>Cold</v>
      </c>
    </row>
    <row r="649" ht="15.75" customHeight="1">
      <c r="A649" s="32" t="s">
        <v>636</v>
      </c>
      <c r="B649" s="32" t="s">
        <v>608</v>
      </c>
      <c r="C649" s="32" t="str">
        <f>vlookup(B649,State_EMM_RowSums!$A$2:$B$52,2,FALSE)</f>
        <v>IL</v>
      </c>
      <c r="D649" s="32">
        <v>17105.0</v>
      </c>
      <c r="E649" s="33">
        <f>IF(NOT(ISBLANK(vlookup($D649,Pop_Census_2023!$A$2:$E$3220,4,FALSE))),vlookup($D649,Pop_Census_2023!$A$2:$E$3220,4,FALSE), vlookup($D649,Pop_Census_2023!$A$2:$E$3220,5,FALSE))</f>
        <v>35320</v>
      </c>
      <c r="F649" s="32">
        <v>424254.0</v>
      </c>
      <c r="G649" s="32">
        <v>80.0</v>
      </c>
      <c r="H649" s="32" t="str">
        <f>VLOOKUP(D649, Grid_Region_Mapping!$D$2:$F$5286, 3, FALSE)</f>
        <v>MISC</v>
      </c>
      <c r="I649" s="32">
        <v>3.0</v>
      </c>
      <c r="J649" s="34" t="str">
        <f t="shared" si="1"/>
        <v>Midwest</v>
      </c>
      <c r="K649" s="35">
        <v>2.0</v>
      </c>
      <c r="L649" s="35" t="s">
        <v>396</v>
      </c>
      <c r="M649" s="36">
        <f>VLOOKUP(D649, County_Data_CZones!$B$2:$F$3236, 2, FALSE)</f>
        <v>5</v>
      </c>
      <c r="N649" s="37" t="str">
        <f>VLOOKUP(D649, County_Data_CZones!$B$2:$F$3236, 5, FALSE)</f>
        <v>Cold</v>
      </c>
    </row>
    <row r="650" ht="15.75" customHeight="1">
      <c r="A650" s="32" t="s">
        <v>252</v>
      </c>
      <c r="B650" s="32" t="s">
        <v>608</v>
      </c>
      <c r="C650" s="32" t="str">
        <f>vlookup(B650,State_EMM_RowSums!$A$2:$B$52,2,FALSE)</f>
        <v>IL</v>
      </c>
      <c r="D650" s="32">
        <v>17107.0</v>
      </c>
      <c r="E650" s="33">
        <f>IF(NOT(ISBLANK(vlookup($D650,Pop_Census_2023!$A$2:$E$3220,4,FALSE))),vlookup($D650,Pop_Census_2023!$A$2:$E$3220,4,FALSE), vlookup($D650,Pop_Census_2023!$A$2:$E$3220,5,FALSE))</f>
        <v>27590</v>
      </c>
      <c r="F650" s="32">
        <v>424255.0</v>
      </c>
      <c r="G650" s="32">
        <v>82.0</v>
      </c>
      <c r="H650" s="32" t="str">
        <f>VLOOKUP(D650, Grid_Region_Mapping!$D$2:$F$5286, 3, FALSE)</f>
        <v>MISC</v>
      </c>
      <c r="I650" s="32">
        <v>3.0</v>
      </c>
      <c r="J650" s="34" t="str">
        <f t="shared" si="1"/>
        <v>Midwest</v>
      </c>
      <c r="K650" s="35">
        <v>2.0</v>
      </c>
      <c r="L650" s="35" t="s">
        <v>396</v>
      </c>
      <c r="M650" s="36">
        <f>VLOOKUP(D650, County_Data_CZones!$B$2:$F$3236, 2, FALSE)</f>
        <v>5</v>
      </c>
      <c r="N650" s="37" t="str">
        <f>VLOOKUP(D650, County_Data_CZones!$B$2:$F$3236, 5, FALSE)</f>
        <v>Cold</v>
      </c>
    </row>
    <row r="651" ht="15.75" customHeight="1">
      <c r="A651" s="32" t="s">
        <v>637</v>
      </c>
      <c r="B651" s="32" t="s">
        <v>608</v>
      </c>
      <c r="C651" s="32" t="str">
        <f>vlookup(B651,State_EMM_RowSums!$A$2:$B$52,2,FALSE)</f>
        <v>IL</v>
      </c>
      <c r="D651" s="32">
        <v>17109.0</v>
      </c>
      <c r="E651" s="33">
        <f>IF(NOT(ISBLANK(vlookup($D651,Pop_Census_2023!$A$2:$E$3220,4,FALSE))),vlookup($D651,Pop_Census_2023!$A$2:$E$3220,4,FALSE), vlookup($D651,Pop_Census_2023!$A$2:$E$3220,5,FALSE))</f>
        <v>26839</v>
      </c>
      <c r="F651" s="32">
        <v>1784729.0</v>
      </c>
      <c r="G651" s="32">
        <v>81.0</v>
      </c>
      <c r="H651" s="32" t="str">
        <f>VLOOKUP(D651, Grid_Region_Mapping!$D$2:$F$5286, 3, FALSE)</f>
        <v>MISC</v>
      </c>
      <c r="I651" s="32">
        <v>3.0</v>
      </c>
      <c r="J651" s="34" t="str">
        <f t="shared" si="1"/>
        <v>Midwest</v>
      </c>
      <c r="K651" s="35">
        <v>2.0</v>
      </c>
      <c r="L651" s="35" t="s">
        <v>396</v>
      </c>
      <c r="M651" s="36">
        <f>VLOOKUP(D651, County_Data_CZones!$B$2:$F$3236, 2, FALSE)</f>
        <v>5</v>
      </c>
      <c r="N651" s="37" t="str">
        <f>VLOOKUP(D651, County_Data_CZones!$B$2:$F$3236, 5, FALSE)</f>
        <v>Cold</v>
      </c>
    </row>
    <row r="652" ht="15.75" customHeight="1">
      <c r="A652" s="32" t="s">
        <v>638</v>
      </c>
      <c r="B652" s="32" t="s">
        <v>608</v>
      </c>
      <c r="C652" s="32" t="str">
        <f>vlookup(B652,State_EMM_RowSums!$A$2:$B$52,2,FALSE)</f>
        <v>IL</v>
      </c>
      <c r="D652" s="32">
        <v>17111.0</v>
      </c>
      <c r="E652" s="33">
        <f>IF(NOT(ISBLANK(vlookup($D652,Pop_Census_2023!$A$2:$E$3220,4,FALSE))),vlookup($D652,Pop_Census_2023!$A$2:$E$3220,4,FALSE), vlookup($D652,Pop_Census_2023!$A$2:$E$3220,5,FALSE))</f>
        <v>312800</v>
      </c>
      <c r="F652" s="32">
        <v>1784815.0</v>
      </c>
      <c r="G652" s="32">
        <v>80.0</v>
      </c>
      <c r="H652" s="32" t="str">
        <f>VLOOKUP(D652, Grid_Region_Mapping!$D$2:$F$5286, 3, FALSE)</f>
        <v>PJMC</v>
      </c>
      <c r="I652" s="32">
        <v>3.0</v>
      </c>
      <c r="J652" s="34" t="str">
        <f t="shared" si="1"/>
        <v>Midwest</v>
      </c>
      <c r="K652" s="35">
        <v>2.0</v>
      </c>
      <c r="L652" s="35" t="s">
        <v>396</v>
      </c>
      <c r="M652" s="36">
        <f>VLOOKUP(D652, County_Data_CZones!$B$2:$F$3236, 2, FALSE)</f>
        <v>5</v>
      </c>
      <c r="N652" s="37" t="str">
        <f>VLOOKUP(D652, County_Data_CZones!$B$2:$F$3236, 5, FALSE)</f>
        <v>Cold</v>
      </c>
    </row>
    <row r="653" ht="15.75" customHeight="1">
      <c r="A653" s="32" t="s">
        <v>639</v>
      </c>
      <c r="B653" s="32" t="s">
        <v>608</v>
      </c>
      <c r="C653" s="32" t="str">
        <f>vlookup(B653,State_EMM_RowSums!$A$2:$B$52,2,FALSE)</f>
        <v>IL</v>
      </c>
      <c r="D653" s="32">
        <v>17113.0</v>
      </c>
      <c r="E653" s="33">
        <f>IF(NOT(ISBLANK(vlookup($D653,Pop_Census_2023!$A$2:$E$3220,4,FALSE))),vlookup($D653,Pop_Census_2023!$A$2:$E$3220,4,FALSE), vlookup($D653,Pop_Census_2023!$A$2:$E$3220,5,FALSE))</f>
        <v>170441</v>
      </c>
      <c r="F653" s="32">
        <v>1784833.0</v>
      </c>
      <c r="G653" s="32">
        <v>83.0</v>
      </c>
      <c r="H653" s="32" t="str">
        <f>VLOOKUP(D653, Grid_Region_Mapping!$D$2:$F$5286, 3, FALSE)</f>
        <v>MISC</v>
      </c>
      <c r="I653" s="32">
        <v>3.0</v>
      </c>
      <c r="J653" s="34" t="str">
        <f t="shared" si="1"/>
        <v>Midwest</v>
      </c>
      <c r="K653" s="35">
        <v>2.0</v>
      </c>
      <c r="L653" s="35" t="s">
        <v>396</v>
      </c>
      <c r="M653" s="36">
        <f>VLOOKUP(D653, County_Data_CZones!$B$2:$F$3236, 2, FALSE)</f>
        <v>5</v>
      </c>
      <c r="N653" s="37" t="str">
        <f>VLOOKUP(D653, County_Data_CZones!$B$2:$F$3236, 5, FALSE)</f>
        <v>Cold</v>
      </c>
    </row>
    <row r="654" ht="15.75" customHeight="1">
      <c r="A654" s="32" t="s">
        <v>146</v>
      </c>
      <c r="B654" s="32" t="s">
        <v>608</v>
      </c>
      <c r="C654" s="32" t="str">
        <f>vlookup(B654,State_EMM_RowSums!$A$2:$B$52,2,FALSE)</f>
        <v>IL</v>
      </c>
      <c r="D654" s="32">
        <v>17115.0</v>
      </c>
      <c r="E654" s="33">
        <f>IF(NOT(ISBLANK(vlookup($D654,Pop_Census_2023!$A$2:$E$3220,4,FALSE))),vlookup($D654,Pop_Census_2023!$A$2:$E$3220,4,FALSE), vlookup($D654,Pop_Census_2023!$A$2:$E$3220,5,FALSE))</f>
        <v>100591</v>
      </c>
      <c r="F654" s="32">
        <v>424256.0</v>
      </c>
      <c r="G654" s="32">
        <v>83.0</v>
      </c>
      <c r="H654" s="32" t="str">
        <f>VLOOKUP(D654, Grid_Region_Mapping!$D$2:$F$5286, 3, FALSE)</f>
        <v>MISC</v>
      </c>
      <c r="I654" s="32">
        <v>3.0</v>
      </c>
      <c r="J654" s="34" t="str">
        <f t="shared" si="1"/>
        <v>Midwest</v>
      </c>
      <c r="K654" s="35">
        <v>2.0</v>
      </c>
      <c r="L654" s="35" t="s">
        <v>396</v>
      </c>
      <c r="M654" s="36">
        <f>VLOOKUP(D654, County_Data_CZones!$B$2:$F$3236, 2, FALSE)</f>
        <v>5</v>
      </c>
      <c r="N654" s="37" t="str">
        <f>VLOOKUP(D654, County_Data_CZones!$B$2:$F$3236, 5, FALSE)</f>
        <v>Cold</v>
      </c>
    </row>
    <row r="655" ht="15.75" customHeight="1">
      <c r="A655" s="32" t="s">
        <v>640</v>
      </c>
      <c r="B655" s="32" t="s">
        <v>608</v>
      </c>
      <c r="C655" s="32" t="str">
        <f>vlookup(B655,State_EMM_RowSums!$A$2:$B$52,2,FALSE)</f>
        <v>IL</v>
      </c>
      <c r="D655" s="32">
        <v>17117.0</v>
      </c>
      <c r="E655" s="33">
        <f>IF(NOT(ISBLANK(vlookup($D655,Pop_Census_2023!$A$2:$E$3220,4,FALSE))),vlookup($D655,Pop_Census_2023!$A$2:$E$3220,4,FALSE), vlookup($D655,Pop_Census_2023!$A$2:$E$3220,5,FALSE))</f>
        <v>44018</v>
      </c>
      <c r="F655" s="32">
        <v>424257.0</v>
      </c>
      <c r="G655" s="32">
        <v>81.0</v>
      </c>
      <c r="H655" s="32" t="str">
        <f>VLOOKUP(D655, Grid_Region_Mapping!$D$2:$F$5286, 3, FALSE)</f>
        <v>MISC</v>
      </c>
      <c r="I655" s="32">
        <v>3.0</v>
      </c>
      <c r="J655" s="34" t="str">
        <f t="shared" si="1"/>
        <v>Midwest</v>
      </c>
      <c r="K655" s="35">
        <v>3.0</v>
      </c>
      <c r="L655" s="35" t="s">
        <v>223</v>
      </c>
      <c r="M655" s="36">
        <f>VLOOKUP(D655, County_Data_CZones!$B$2:$F$3236, 2, FALSE)</f>
        <v>4</v>
      </c>
      <c r="N655" s="37" t="str">
        <f>VLOOKUP(D655, County_Data_CZones!$B$2:$F$3236, 5, FALSE)</f>
        <v>Mixed-Humid</v>
      </c>
    </row>
    <row r="656" ht="15.75" customHeight="1">
      <c r="A656" s="32" t="s">
        <v>147</v>
      </c>
      <c r="B656" s="32" t="s">
        <v>608</v>
      </c>
      <c r="C656" s="32" t="str">
        <f>vlookup(B656,State_EMM_RowSums!$A$2:$B$52,2,FALSE)</f>
        <v>IL</v>
      </c>
      <c r="D656" s="32">
        <v>17119.0</v>
      </c>
      <c r="E656" s="33">
        <f>IF(NOT(ISBLANK(vlookup($D656,Pop_Census_2023!$A$2:$E$3220,4,FALSE))),vlookup($D656,Pop_Census_2023!$A$2:$E$3220,4,FALSE), vlookup($D656,Pop_Census_2023!$A$2:$E$3220,5,FALSE))</f>
        <v>262752</v>
      </c>
      <c r="F656" s="32">
        <v>424258.0</v>
      </c>
      <c r="G656" s="32">
        <v>81.0</v>
      </c>
      <c r="H656" s="32" t="str">
        <f>VLOOKUP(D656, Grid_Region_Mapping!$D$2:$F$5286, 3, FALSE)</f>
        <v>MISC</v>
      </c>
      <c r="I656" s="32">
        <v>3.0</v>
      </c>
      <c r="J656" s="34" t="str">
        <f t="shared" si="1"/>
        <v>Midwest</v>
      </c>
      <c r="K656" s="35">
        <v>3.0</v>
      </c>
      <c r="L656" s="35" t="s">
        <v>223</v>
      </c>
      <c r="M656" s="36">
        <f>VLOOKUP(D656, County_Data_CZones!$B$2:$F$3236, 2, FALSE)</f>
        <v>4</v>
      </c>
      <c r="N656" s="37" t="str">
        <f>VLOOKUP(D656, County_Data_CZones!$B$2:$F$3236, 5, FALSE)</f>
        <v>Mixed-Humid</v>
      </c>
    </row>
    <row r="657" ht="15.75" customHeight="1">
      <c r="A657" s="32" t="s">
        <v>149</v>
      </c>
      <c r="B657" s="32" t="s">
        <v>608</v>
      </c>
      <c r="C657" s="32" t="str">
        <f>vlookup(B657,State_EMM_RowSums!$A$2:$B$52,2,FALSE)</f>
        <v>IL</v>
      </c>
      <c r="D657" s="32">
        <v>17121.0</v>
      </c>
      <c r="E657" s="33">
        <f>IF(NOT(ISBLANK(vlookup($D657,Pop_Census_2023!$A$2:$E$3220,4,FALSE))),vlookup($D657,Pop_Census_2023!$A$2:$E$3220,4,FALSE), vlookup($D657,Pop_Census_2023!$A$2:$E$3220,5,FALSE))</f>
        <v>36673</v>
      </c>
      <c r="F657" s="32">
        <v>424259.0</v>
      </c>
      <c r="G657" s="32">
        <v>81.0</v>
      </c>
      <c r="H657" s="32" t="str">
        <f>VLOOKUP(D657, Grid_Region_Mapping!$D$2:$F$5286, 3, FALSE)</f>
        <v>MISC</v>
      </c>
      <c r="I657" s="32">
        <v>3.0</v>
      </c>
      <c r="J657" s="34" t="str">
        <f t="shared" si="1"/>
        <v>Midwest</v>
      </c>
      <c r="K657" s="35">
        <v>3.0</v>
      </c>
      <c r="L657" s="35" t="s">
        <v>223</v>
      </c>
      <c r="M657" s="36">
        <f>VLOOKUP(D657, County_Data_CZones!$B$2:$F$3236, 2, FALSE)</f>
        <v>4</v>
      </c>
      <c r="N657" s="37" t="str">
        <f>VLOOKUP(D657, County_Data_CZones!$B$2:$F$3236, 5, FALSE)</f>
        <v>Mixed-Humid</v>
      </c>
    </row>
    <row r="658" ht="15.75" customHeight="1">
      <c r="A658" s="32" t="s">
        <v>150</v>
      </c>
      <c r="B658" s="32" t="s">
        <v>608</v>
      </c>
      <c r="C658" s="32" t="str">
        <f>vlookup(B658,State_EMM_RowSums!$A$2:$B$52,2,FALSE)</f>
        <v>IL</v>
      </c>
      <c r="D658" s="32">
        <v>17123.0</v>
      </c>
      <c r="E658" s="33">
        <f>IF(NOT(ISBLANK(vlookup($D658,Pop_Census_2023!$A$2:$E$3220,4,FALSE))),vlookup($D658,Pop_Census_2023!$A$2:$E$3220,4,FALSE), vlookup($D658,Pop_Census_2023!$A$2:$E$3220,5,FALSE))</f>
        <v>11683</v>
      </c>
      <c r="F658" s="32">
        <v>424260.0</v>
      </c>
      <c r="G658" s="32">
        <v>82.0</v>
      </c>
      <c r="H658" s="32" t="str">
        <f>VLOOKUP(D658, Grid_Region_Mapping!$D$2:$F$5286, 3, FALSE)</f>
        <v>MISC</v>
      </c>
      <c r="I658" s="32">
        <v>3.0</v>
      </c>
      <c r="J658" s="34" t="str">
        <f t="shared" si="1"/>
        <v>Midwest</v>
      </c>
      <c r="K658" s="35">
        <v>2.0</v>
      </c>
      <c r="L658" s="35" t="s">
        <v>396</v>
      </c>
      <c r="M658" s="36">
        <f>VLOOKUP(D658, County_Data_CZones!$B$2:$F$3236, 2, FALSE)</f>
        <v>5</v>
      </c>
      <c r="N658" s="37" t="str">
        <f>VLOOKUP(D658, County_Data_CZones!$B$2:$F$3236, 5, FALSE)</f>
        <v>Cold</v>
      </c>
    </row>
    <row r="659" ht="15.75" customHeight="1">
      <c r="A659" s="32" t="s">
        <v>641</v>
      </c>
      <c r="B659" s="32" t="s">
        <v>608</v>
      </c>
      <c r="C659" s="32" t="str">
        <f>vlookup(B659,State_EMM_RowSums!$A$2:$B$52,2,FALSE)</f>
        <v>IL</v>
      </c>
      <c r="D659" s="32">
        <v>17125.0</v>
      </c>
      <c r="E659" s="33">
        <f>IF(NOT(ISBLANK(vlookup($D659,Pop_Census_2023!$A$2:$E$3220,4,FALSE))),vlookup($D659,Pop_Census_2023!$A$2:$E$3220,4,FALSE), vlookup($D659,Pop_Census_2023!$A$2:$E$3220,5,FALSE))</f>
        <v>12523</v>
      </c>
      <c r="F659" s="32">
        <v>424261.0</v>
      </c>
      <c r="G659" s="32">
        <v>81.0</v>
      </c>
      <c r="H659" s="32" t="str">
        <f>VLOOKUP(D659, Grid_Region_Mapping!$D$2:$F$5286, 3, FALSE)</f>
        <v>MISC</v>
      </c>
      <c r="I659" s="32">
        <v>3.0</v>
      </c>
      <c r="J659" s="34" t="str">
        <f t="shared" si="1"/>
        <v>Midwest</v>
      </c>
      <c r="K659" s="35">
        <v>2.0</v>
      </c>
      <c r="L659" s="35" t="s">
        <v>396</v>
      </c>
      <c r="M659" s="36">
        <f>VLOOKUP(D659, County_Data_CZones!$B$2:$F$3236, 2, FALSE)</f>
        <v>5</v>
      </c>
      <c r="N659" s="37" t="str">
        <f>VLOOKUP(D659, County_Data_CZones!$B$2:$F$3236, 5, FALSE)</f>
        <v>Cold</v>
      </c>
    </row>
    <row r="660" ht="15.75" customHeight="1">
      <c r="A660" s="32" t="s">
        <v>642</v>
      </c>
      <c r="B660" s="32" t="s">
        <v>608</v>
      </c>
      <c r="C660" s="32" t="str">
        <f>vlookup(B660,State_EMM_RowSums!$A$2:$B$52,2,FALSE)</f>
        <v>IL</v>
      </c>
      <c r="D660" s="32">
        <v>17127.0</v>
      </c>
      <c r="E660" s="33">
        <f>IF(NOT(ISBLANK(vlookup($D660,Pop_Census_2023!$A$2:$E$3220,4,FALSE))),vlookup($D660,Pop_Census_2023!$A$2:$E$3220,4,FALSE), vlookup($D660,Pop_Census_2023!$A$2:$E$3220,5,FALSE))</f>
        <v>13661</v>
      </c>
      <c r="F660" s="32">
        <v>1784730.0</v>
      </c>
      <c r="G660" s="32">
        <v>81.0</v>
      </c>
      <c r="H660" s="32" t="str">
        <f>VLOOKUP(D660, Grid_Region_Mapping!$D$2:$F$5286, 3, FALSE)</f>
        <v>MISC</v>
      </c>
      <c r="I660" s="32">
        <v>3.0</v>
      </c>
      <c r="J660" s="34" t="str">
        <f t="shared" si="1"/>
        <v>Midwest</v>
      </c>
      <c r="K660" s="35">
        <v>3.0</v>
      </c>
      <c r="L660" s="35" t="s">
        <v>223</v>
      </c>
      <c r="M660" s="36">
        <f>VLOOKUP(D660, County_Data_CZones!$B$2:$F$3236, 2, FALSE)</f>
        <v>4</v>
      </c>
      <c r="N660" s="37" t="str">
        <f>VLOOKUP(D660, County_Data_CZones!$B$2:$F$3236, 5, FALSE)</f>
        <v>Mixed-Humid</v>
      </c>
    </row>
    <row r="661" ht="15.75" customHeight="1">
      <c r="A661" s="32" t="s">
        <v>643</v>
      </c>
      <c r="B661" s="32" t="s">
        <v>608</v>
      </c>
      <c r="C661" s="32" t="str">
        <f>vlookup(B661,State_EMM_RowSums!$A$2:$B$52,2,FALSE)</f>
        <v>IL</v>
      </c>
      <c r="D661" s="32">
        <v>17129.0</v>
      </c>
      <c r="E661" s="33">
        <f>IF(NOT(ISBLANK(vlookup($D661,Pop_Census_2023!$A$2:$E$3220,4,FALSE))),vlookup($D661,Pop_Census_2023!$A$2:$E$3220,4,FALSE), vlookup($D661,Pop_Census_2023!$A$2:$E$3220,5,FALSE))</f>
        <v>11954</v>
      </c>
      <c r="F661" s="32">
        <v>424266.0</v>
      </c>
      <c r="G661" s="32">
        <v>81.0</v>
      </c>
      <c r="H661" s="32" t="str">
        <f>VLOOKUP(D661, Grid_Region_Mapping!$D$2:$F$5286, 3, FALSE)</f>
        <v>MISC</v>
      </c>
      <c r="I661" s="32">
        <v>3.0</v>
      </c>
      <c r="J661" s="34" t="str">
        <f t="shared" si="1"/>
        <v>Midwest</v>
      </c>
      <c r="K661" s="35">
        <v>2.0</v>
      </c>
      <c r="L661" s="35" t="s">
        <v>396</v>
      </c>
      <c r="M661" s="36">
        <f>VLOOKUP(D661, County_Data_CZones!$B$2:$F$3236, 2, FALSE)</f>
        <v>5</v>
      </c>
      <c r="N661" s="37" t="str">
        <f>VLOOKUP(D661, County_Data_CZones!$B$2:$F$3236, 5, FALSE)</f>
        <v>Cold</v>
      </c>
    </row>
    <row r="662" ht="15.75" customHeight="1">
      <c r="A662" s="32" t="s">
        <v>644</v>
      </c>
      <c r="B662" s="32" t="s">
        <v>608</v>
      </c>
      <c r="C662" s="32" t="str">
        <f>vlookup(B662,State_EMM_RowSums!$A$2:$B$52,2,FALSE)</f>
        <v>IL</v>
      </c>
      <c r="D662" s="32">
        <v>17131.0</v>
      </c>
      <c r="E662" s="33">
        <f>IF(NOT(ISBLANK(vlookup($D662,Pop_Census_2023!$A$2:$E$3220,4,FALSE))),vlookup($D662,Pop_Census_2023!$A$2:$E$3220,4,FALSE), vlookup($D662,Pop_Census_2023!$A$2:$E$3220,5,FALSE))</f>
        <v>15487</v>
      </c>
      <c r="F662" s="32">
        <v>1784750.0</v>
      </c>
      <c r="G662" s="32">
        <v>81.0</v>
      </c>
      <c r="H662" s="32" t="str">
        <f>VLOOKUP(D662, Grid_Region_Mapping!$D$2:$F$5286, 3, FALSE)</f>
        <v>MISC</v>
      </c>
      <c r="I662" s="32">
        <v>3.0</v>
      </c>
      <c r="J662" s="34" t="str">
        <f t="shared" si="1"/>
        <v>Midwest</v>
      </c>
      <c r="K662" s="35">
        <v>2.0</v>
      </c>
      <c r="L662" s="35" t="s">
        <v>396</v>
      </c>
      <c r="M662" s="36">
        <f>VLOOKUP(D662, County_Data_CZones!$B$2:$F$3236, 2, FALSE)</f>
        <v>5</v>
      </c>
      <c r="N662" s="37" t="str">
        <f>VLOOKUP(D662, County_Data_CZones!$B$2:$F$3236, 5, FALSE)</f>
        <v>Cold</v>
      </c>
    </row>
    <row r="663" ht="15.75" customHeight="1">
      <c r="A663" s="32" t="s">
        <v>152</v>
      </c>
      <c r="B663" s="32" t="s">
        <v>608</v>
      </c>
      <c r="C663" s="32" t="str">
        <f>vlookup(B663,State_EMM_RowSums!$A$2:$B$52,2,FALSE)</f>
        <v>IL</v>
      </c>
      <c r="D663" s="32">
        <v>17133.0</v>
      </c>
      <c r="E663" s="33">
        <f>IF(NOT(ISBLANK(vlookup($D663,Pop_Census_2023!$A$2:$E$3220,4,FALSE))),vlookup($D663,Pop_Census_2023!$A$2:$E$3220,4,FALSE), vlookup($D663,Pop_Census_2023!$A$2:$E$3220,5,FALSE))</f>
        <v>34957</v>
      </c>
      <c r="F663" s="32">
        <v>1784865.0</v>
      </c>
      <c r="G663" s="32">
        <v>81.0</v>
      </c>
      <c r="H663" s="32" t="str">
        <f>VLOOKUP(D663, Grid_Region_Mapping!$D$2:$F$5286, 3, FALSE)</f>
        <v>MISC</v>
      </c>
      <c r="I663" s="32">
        <v>3.0</v>
      </c>
      <c r="J663" s="34" t="str">
        <f t="shared" si="1"/>
        <v>Midwest</v>
      </c>
      <c r="K663" s="35">
        <v>3.0</v>
      </c>
      <c r="L663" s="35" t="s">
        <v>223</v>
      </c>
      <c r="M663" s="36">
        <f>VLOOKUP(D663, County_Data_CZones!$B$2:$F$3236, 2, FALSE)</f>
        <v>4</v>
      </c>
      <c r="N663" s="37" t="str">
        <f>VLOOKUP(D663, County_Data_CZones!$B$2:$F$3236, 5, FALSE)</f>
        <v>Mixed-Humid</v>
      </c>
    </row>
    <row r="664" ht="15.75" customHeight="1">
      <c r="A664" s="32" t="s">
        <v>153</v>
      </c>
      <c r="B664" s="32" t="s">
        <v>608</v>
      </c>
      <c r="C664" s="32" t="str">
        <f>vlookup(B664,State_EMM_RowSums!$A$2:$B$52,2,FALSE)</f>
        <v>IL</v>
      </c>
      <c r="D664" s="32">
        <v>17135.0</v>
      </c>
      <c r="E664" s="33">
        <f>IF(NOT(ISBLANK(vlookup($D664,Pop_Census_2023!$A$2:$E$3220,4,FALSE))),vlookup($D664,Pop_Census_2023!$A$2:$E$3220,4,FALSE), vlookup($D664,Pop_Census_2023!$A$2:$E$3220,5,FALSE))</f>
        <v>27663</v>
      </c>
      <c r="F664" s="32">
        <v>1784866.0</v>
      </c>
      <c r="G664" s="32">
        <v>81.0</v>
      </c>
      <c r="H664" s="32" t="str">
        <f>VLOOKUP(D664, Grid_Region_Mapping!$D$2:$F$5286, 3, FALSE)</f>
        <v>MISC</v>
      </c>
      <c r="I664" s="32">
        <v>3.0</v>
      </c>
      <c r="J664" s="34" t="str">
        <f t="shared" si="1"/>
        <v>Midwest</v>
      </c>
      <c r="K664" s="35">
        <v>3.0</v>
      </c>
      <c r="L664" s="35" t="s">
        <v>223</v>
      </c>
      <c r="M664" s="36">
        <f>VLOOKUP(D664, County_Data_CZones!$B$2:$F$3236, 2, FALSE)</f>
        <v>4</v>
      </c>
      <c r="N664" s="37" t="str">
        <f>VLOOKUP(D664, County_Data_CZones!$B$2:$F$3236, 5, FALSE)</f>
        <v>Mixed-Humid</v>
      </c>
    </row>
    <row r="665" ht="15.75" customHeight="1">
      <c r="A665" s="32" t="s">
        <v>154</v>
      </c>
      <c r="B665" s="32" t="s">
        <v>608</v>
      </c>
      <c r="C665" s="32" t="str">
        <f>vlookup(B665,State_EMM_RowSums!$A$2:$B$52,2,FALSE)</f>
        <v>IL</v>
      </c>
      <c r="D665" s="32">
        <v>17137.0</v>
      </c>
      <c r="E665" s="33">
        <f>IF(NOT(ISBLANK(vlookup($D665,Pop_Census_2023!$A$2:$E$3220,4,FALSE))),vlookup($D665,Pop_Census_2023!$A$2:$E$3220,4,FALSE), vlookup($D665,Pop_Census_2023!$A$2:$E$3220,5,FALSE))</f>
        <v>32140</v>
      </c>
      <c r="F665" s="32">
        <v>424270.0</v>
      </c>
      <c r="G665" s="32">
        <v>81.0</v>
      </c>
      <c r="H665" s="32" t="str">
        <f>VLOOKUP(D665, Grid_Region_Mapping!$D$2:$F$5286, 3, FALSE)</f>
        <v>MISC</v>
      </c>
      <c r="I665" s="32">
        <v>3.0</v>
      </c>
      <c r="J665" s="34" t="str">
        <f t="shared" si="1"/>
        <v>Midwest</v>
      </c>
      <c r="K665" s="35">
        <v>2.0</v>
      </c>
      <c r="L665" s="35" t="s">
        <v>396</v>
      </c>
      <c r="M665" s="36">
        <f>VLOOKUP(D665, County_Data_CZones!$B$2:$F$3236, 2, FALSE)</f>
        <v>5</v>
      </c>
      <c r="N665" s="37" t="str">
        <f>VLOOKUP(D665, County_Data_CZones!$B$2:$F$3236, 5, FALSE)</f>
        <v>Cold</v>
      </c>
    </row>
    <row r="666" ht="15.75" customHeight="1">
      <c r="A666" s="32" t="s">
        <v>645</v>
      </c>
      <c r="B666" s="32" t="s">
        <v>608</v>
      </c>
      <c r="C666" s="32" t="str">
        <f>vlookup(B666,State_EMM_RowSums!$A$2:$B$52,2,FALSE)</f>
        <v>IL</v>
      </c>
      <c r="D666" s="32">
        <v>17139.0</v>
      </c>
      <c r="E666" s="33">
        <f>IF(NOT(ISBLANK(vlookup($D666,Pop_Census_2023!$A$2:$E$3220,4,FALSE))),vlookup($D666,Pop_Census_2023!$A$2:$E$3220,4,FALSE), vlookup($D666,Pop_Census_2023!$A$2:$E$3220,5,FALSE))</f>
        <v>14342</v>
      </c>
      <c r="F666" s="32">
        <v>1784885.0</v>
      </c>
      <c r="G666" s="32">
        <v>83.0</v>
      </c>
      <c r="H666" s="32" t="str">
        <f>VLOOKUP(D666, Grid_Region_Mapping!$D$2:$F$5286, 3, FALSE)</f>
        <v>MISC</v>
      </c>
      <c r="I666" s="32">
        <v>3.0</v>
      </c>
      <c r="J666" s="34" t="str">
        <f t="shared" si="1"/>
        <v>Midwest</v>
      </c>
      <c r="K666" s="35">
        <v>2.0</v>
      </c>
      <c r="L666" s="35" t="s">
        <v>396</v>
      </c>
      <c r="M666" s="36">
        <f>VLOOKUP(D666, County_Data_CZones!$B$2:$F$3236, 2, FALSE)</f>
        <v>5</v>
      </c>
      <c r="N666" s="37" t="str">
        <f>VLOOKUP(D666, County_Data_CZones!$B$2:$F$3236, 5, FALSE)</f>
        <v>Cold</v>
      </c>
    </row>
    <row r="667" ht="15.75" customHeight="1">
      <c r="A667" s="32" t="s">
        <v>646</v>
      </c>
      <c r="B667" s="32" t="s">
        <v>608</v>
      </c>
      <c r="C667" s="32" t="str">
        <f>vlookup(B667,State_EMM_RowSums!$A$2:$B$52,2,FALSE)</f>
        <v>IL</v>
      </c>
      <c r="D667" s="32">
        <v>17141.0</v>
      </c>
      <c r="E667" s="33">
        <f>IF(NOT(ISBLANK(vlookup($D667,Pop_Census_2023!$A$2:$E$3220,4,FALSE))),vlookup($D667,Pop_Census_2023!$A$2:$E$3220,4,FALSE), vlookup($D667,Pop_Census_2023!$A$2:$E$3220,5,FALSE))</f>
        <v>51265</v>
      </c>
      <c r="F667" s="32">
        <v>1784894.0</v>
      </c>
      <c r="G667" s="32">
        <v>80.0</v>
      </c>
      <c r="H667" s="32" t="str">
        <f>VLOOKUP(D667, Grid_Region_Mapping!$D$2:$F$5286, 3, FALSE)</f>
        <v>PJMC</v>
      </c>
      <c r="I667" s="32">
        <v>3.0</v>
      </c>
      <c r="J667" s="34" t="str">
        <f t="shared" si="1"/>
        <v>Midwest</v>
      </c>
      <c r="K667" s="35">
        <v>2.0</v>
      </c>
      <c r="L667" s="35" t="s">
        <v>396</v>
      </c>
      <c r="M667" s="36">
        <f>VLOOKUP(D667, County_Data_CZones!$B$2:$F$3236, 2, FALSE)</f>
        <v>5</v>
      </c>
      <c r="N667" s="37" t="str">
        <f>VLOOKUP(D667, County_Data_CZones!$B$2:$F$3236, 5, FALSE)</f>
        <v>Cold</v>
      </c>
    </row>
    <row r="668" ht="15.75" customHeight="1">
      <c r="A668" s="32" t="s">
        <v>647</v>
      </c>
      <c r="B668" s="32" t="s">
        <v>608</v>
      </c>
      <c r="C668" s="32" t="str">
        <f>vlookup(B668,State_EMM_RowSums!$A$2:$B$52,2,FALSE)</f>
        <v>IL</v>
      </c>
      <c r="D668" s="32">
        <v>17143.0</v>
      </c>
      <c r="E668" s="33">
        <f>IF(NOT(ISBLANK(vlookup($D668,Pop_Census_2023!$A$2:$E$3220,4,FALSE))),vlookup($D668,Pop_Census_2023!$A$2:$E$3220,4,FALSE), vlookup($D668,Pop_Census_2023!$A$2:$E$3220,5,FALSE))</f>
        <v>177513</v>
      </c>
      <c r="F668" s="32">
        <v>1784920.0</v>
      </c>
      <c r="G668" s="32">
        <v>82.0</v>
      </c>
      <c r="H668" s="32" t="str">
        <f>VLOOKUP(D668, Grid_Region_Mapping!$D$2:$F$5286, 3, FALSE)</f>
        <v>MISC</v>
      </c>
      <c r="I668" s="32">
        <v>3.0</v>
      </c>
      <c r="J668" s="34" t="str">
        <f t="shared" si="1"/>
        <v>Midwest</v>
      </c>
      <c r="K668" s="35">
        <v>2.0</v>
      </c>
      <c r="L668" s="35" t="s">
        <v>396</v>
      </c>
      <c r="M668" s="36">
        <f>VLOOKUP(D668, County_Data_CZones!$B$2:$F$3236, 2, FALSE)</f>
        <v>5</v>
      </c>
      <c r="N668" s="37" t="str">
        <f>VLOOKUP(D668, County_Data_CZones!$B$2:$F$3236, 5, FALSE)</f>
        <v>Cold</v>
      </c>
    </row>
    <row r="669" ht="15.75" customHeight="1">
      <c r="A669" s="32" t="s">
        <v>155</v>
      </c>
      <c r="B669" s="32" t="s">
        <v>608</v>
      </c>
      <c r="C669" s="32" t="str">
        <f>vlookup(B669,State_EMM_RowSums!$A$2:$B$52,2,FALSE)</f>
        <v>IL</v>
      </c>
      <c r="D669" s="32">
        <v>17145.0</v>
      </c>
      <c r="E669" s="33">
        <f>IF(NOT(ISBLANK(vlookup($D669,Pop_Census_2023!$A$2:$E$3220,4,FALSE))),vlookup($D669,Pop_Census_2023!$A$2:$E$3220,4,FALSE), vlookup($D669,Pop_Census_2023!$A$2:$E$3220,5,FALSE))</f>
        <v>20503</v>
      </c>
      <c r="F669" s="32">
        <v>1784940.0</v>
      </c>
      <c r="G669" s="32">
        <v>81.0</v>
      </c>
      <c r="H669" s="32" t="str">
        <f>VLOOKUP(D669, Grid_Region_Mapping!$D$2:$F$5286, 3, FALSE)</f>
        <v>MISC</v>
      </c>
      <c r="I669" s="32">
        <v>3.0</v>
      </c>
      <c r="J669" s="34" t="str">
        <f t="shared" si="1"/>
        <v>Midwest</v>
      </c>
      <c r="K669" s="35">
        <v>3.0</v>
      </c>
      <c r="L669" s="35" t="s">
        <v>223</v>
      </c>
      <c r="M669" s="36">
        <f>VLOOKUP(D669, County_Data_CZones!$B$2:$F$3236, 2, FALSE)</f>
        <v>4</v>
      </c>
      <c r="N669" s="37" t="str">
        <f>VLOOKUP(D669, County_Data_CZones!$B$2:$F$3236, 5, FALSE)</f>
        <v>Mixed-Humid</v>
      </c>
    </row>
    <row r="670" ht="15.75" customHeight="1">
      <c r="A670" s="32" t="s">
        <v>648</v>
      </c>
      <c r="B670" s="32" t="s">
        <v>608</v>
      </c>
      <c r="C670" s="32" t="str">
        <f>vlookup(B670,State_EMM_RowSums!$A$2:$B$52,2,FALSE)</f>
        <v>IL</v>
      </c>
      <c r="D670" s="32">
        <v>17147.0</v>
      </c>
      <c r="E670" s="33">
        <f>IF(NOT(ISBLANK(vlookup($D670,Pop_Census_2023!$A$2:$E$3220,4,FALSE))),vlookup($D670,Pop_Census_2023!$A$2:$E$3220,4,FALSE), vlookup($D670,Pop_Census_2023!$A$2:$E$3220,5,FALSE))</f>
        <v>16714</v>
      </c>
      <c r="F670" s="32">
        <v>424275.0</v>
      </c>
      <c r="G670" s="32">
        <v>83.0</v>
      </c>
      <c r="H670" s="32" t="str">
        <f>VLOOKUP(D670, Grid_Region_Mapping!$D$2:$F$5286, 3, FALSE)</f>
        <v>MISC</v>
      </c>
      <c r="I670" s="32">
        <v>3.0</v>
      </c>
      <c r="J670" s="34" t="str">
        <f t="shared" si="1"/>
        <v>Midwest</v>
      </c>
      <c r="K670" s="35">
        <v>2.0</v>
      </c>
      <c r="L670" s="35" t="s">
        <v>396</v>
      </c>
      <c r="M670" s="36">
        <f>VLOOKUP(D670, County_Data_CZones!$B$2:$F$3236, 2, FALSE)</f>
        <v>5</v>
      </c>
      <c r="N670" s="37" t="str">
        <f>VLOOKUP(D670, County_Data_CZones!$B$2:$F$3236, 5, FALSE)</f>
        <v>Cold</v>
      </c>
    </row>
    <row r="671" ht="15.75" customHeight="1">
      <c r="A671" s="32" t="s">
        <v>157</v>
      </c>
      <c r="B671" s="32" t="s">
        <v>608</v>
      </c>
      <c r="C671" s="32" t="str">
        <f>vlookup(B671,State_EMM_RowSums!$A$2:$B$52,2,FALSE)</f>
        <v>IL</v>
      </c>
      <c r="D671" s="32">
        <v>17149.0</v>
      </c>
      <c r="E671" s="33">
        <f>IF(NOT(ISBLANK(vlookup($D671,Pop_Census_2023!$A$2:$E$3220,4,FALSE))),vlookup($D671,Pop_Census_2023!$A$2:$E$3220,4,FALSE), vlookup($D671,Pop_Census_2023!$A$2:$E$3220,5,FALSE))</f>
        <v>14342</v>
      </c>
      <c r="F671" s="32">
        <v>1784941.0</v>
      </c>
      <c r="G671" s="32">
        <v>81.0</v>
      </c>
      <c r="H671" s="32" t="str">
        <f>VLOOKUP(D671, Grid_Region_Mapping!$D$2:$F$5286, 3, FALSE)</f>
        <v>MISC</v>
      </c>
      <c r="I671" s="32">
        <v>3.0</v>
      </c>
      <c r="J671" s="34" t="str">
        <f t="shared" si="1"/>
        <v>Midwest</v>
      </c>
      <c r="K671" s="35">
        <v>2.0</v>
      </c>
      <c r="L671" s="35" t="s">
        <v>396</v>
      </c>
      <c r="M671" s="36">
        <f>VLOOKUP(D671, County_Data_CZones!$B$2:$F$3236, 2, FALSE)</f>
        <v>5</v>
      </c>
      <c r="N671" s="37" t="str">
        <f>VLOOKUP(D671, County_Data_CZones!$B$2:$F$3236, 5, FALSE)</f>
        <v>Cold</v>
      </c>
    </row>
    <row r="672" ht="15.75" customHeight="1">
      <c r="A672" s="32" t="s">
        <v>262</v>
      </c>
      <c r="B672" s="32" t="s">
        <v>608</v>
      </c>
      <c r="C672" s="32" t="str">
        <f>vlookup(B672,State_EMM_RowSums!$A$2:$B$52,2,FALSE)</f>
        <v>IL</v>
      </c>
      <c r="D672" s="32">
        <v>17151.0</v>
      </c>
      <c r="E672" s="33">
        <f>IF(NOT(ISBLANK(vlookup($D672,Pop_Census_2023!$A$2:$E$3220,4,FALSE))),vlookup($D672,Pop_Census_2023!$A$2:$E$3220,4,FALSE), vlookup($D672,Pop_Census_2023!$A$2:$E$3220,5,FALSE))</f>
        <v>3707</v>
      </c>
      <c r="F672" s="32">
        <v>424277.0</v>
      </c>
      <c r="G672" s="32">
        <v>81.0</v>
      </c>
      <c r="H672" s="32" t="str">
        <f>VLOOKUP(D672, Grid_Region_Mapping!$D$2:$F$5286, 3, FALSE)</f>
        <v>MISC</v>
      </c>
      <c r="I672" s="32">
        <v>3.0</v>
      </c>
      <c r="J672" s="34" t="str">
        <f t="shared" si="1"/>
        <v>Midwest</v>
      </c>
      <c r="K672" s="35">
        <v>3.0</v>
      </c>
      <c r="L672" s="35" t="s">
        <v>223</v>
      </c>
      <c r="M672" s="36">
        <f>VLOOKUP(D672, County_Data_CZones!$B$2:$F$3236, 2, FALSE)</f>
        <v>4</v>
      </c>
      <c r="N672" s="37" t="str">
        <f>VLOOKUP(D672, County_Data_CZones!$B$2:$F$3236, 5, FALSE)</f>
        <v>Mixed-Humid</v>
      </c>
    </row>
    <row r="673" ht="15.75" customHeight="1">
      <c r="A673" s="32" t="s">
        <v>264</v>
      </c>
      <c r="B673" s="32" t="s">
        <v>608</v>
      </c>
      <c r="C673" s="32" t="str">
        <f>vlookup(B673,State_EMM_RowSums!$A$2:$B$52,2,FALSE)</f>
        <v>IL</v>
      </c>
      <c r="D673" s="32">
        <v>17153.0</v>
      </c>
      <c r="E673" s="33">
        <f>IF(NOT(ISBLANK(vlookup($D673,Pop_Census_2023!$A$2:$E$3220,4,FALSE))),vlookup($D673,Pop_Census_2023!$A$2:$E$3220,4,FALSE), vlookup($D673,Pop_Census_2023!$A$2:$E$3220,5,FALSE))</f>
        <v>4911</v>
      </c>
      <c r="F673" s="32">
        <v>1784966.0</v>
      </c>
      <c r="G673" s="32">
        <v>81.0</v>
      </c>
      <c r="H673" s="32" t="str">
        <f>VLOOKUP(D673, Grid_Region_Mapping!$D$2:$F$5286, 3, FALSE)</f>
        <v>MISC</v>
      </c>
      <c r="I673" s="32">
        <v>3.0</v>
      </c>
      <c r="J673" s="34" t="str">
        <f t="shared" si="1"/>
        <v>Midwest</v>
      </c>
      <c r="K673" s="35">
        <v>3.0</v>
      </c>
      <c r="L673" s="35" t="s">
        <v>223</v>
      </c>
      <c r="M673" s="36">
        <f>VLOOKUP(D673, County_Data_CZones!$B$2:$F$3236, 2, FALSE)</f>
        <v>4</v>
      </c>
      <c r="N673" s="37" t="str">
        <f>VLOOKUP(D673, County_Data_CZones!$B$2:$F$3236, 5, FALSE)</f>
        <v>Mixed-Humid</v>
      </c>
    </row>
    <row r="674" ht="15.75" customHeight="1">
      <c r="A674" s="32" t="s">
        <v>449</v>
      </c>
      <c r="B674" s="32" t="s">
        <v>608</v>
      </c>
      <c r="C674" s="32" t="str">
        <f>vlookup(B674,State_EMM_RowSums!$A$2:$B$52,2,FALSE)</f>
        <v>IL</v>
      </c>
      <c r="D674" s="32">
        <v>17155.0</v>
      </c>
      <c r="E674" s="33">
        <f>IF(NOT(ISBLANK(vlookup($D674,Pop_Census_2023!$A$2:$E$3220,4,FALSE))),vlookup($D674,Pop_Census_2023!$A$2:$E$3220,4,FALSE), vlookup($D674,Pop_Census_2023!$A$2:$E$3220,5,FALSE))</f>
        <v>5561</v>
      </c>
      <c r="F674" s="32">
        <v>424279.0</v>
      </c>
      <c r="G674" s="32">
        <v>81.0</v>
      </c>
      <c r="H674" s="32" t="str">
        <f>VLOOKUP(D674, Grid_Region_Mapping!$D$2:$F$5286, 3, FALSE)</f>
        <v>MISC</v>
      </c>
      <c r="I674" s="32">
        <v>3.0</v>
      </c>
      <c r="J674" s="34" t="str">
        <f t="shared" si="1"/>
        <v>Midwest</v>
      </c>
      <c r="K674" s="35">
        <v>2.0</v>
      </c>
      <c r="L674" s="35" t="s">
        <v>396</v>
      </c>
      <c r="M674" s="36">
        <f>VLOOKUP(D674, County_Data_CZones!$B$2:$F$3236, 2, FALSE)</f>
        <v>5</v>
      </c>
      <c r="N674" s="37" t="str">
        <f>VLOOKUP(D674, County_Data_CZones!$B$2:$F$3236, 5, FALSE)</f>
        <v>Cold</v>
      </c>
    </row>
    <row r="675" ht="15.75" customHeight="1">
      <c r="A675" s="32" t="s">
        <v>158</v>
      </c>
      <c r="B675" s="32" t="s">
        <v>608</v>
      </c>
      <c r="C675" s="32" t="str">
        <f>vlookup(B675,State_EMM_RowSums!$A$2:$B$52,2,FALSE)</f>
        <v>IL</v>
      </c>
      <c r="D675" s="32">
        <v>17157.0</v>
      </c>
      <c r="E675" s="33">
        <f>IF(NOT(ISBLANK(vlookup($D675,Pop_Census_2023!$A$2:$E$3220,4,FALSE))),vlookup($D675,Pop_Census_2023!$A$2:$E$3220,4,FALSE), vlookup($D675,Pop_Census_2023!$A$2:$E$3220,5,FALSE))</f>
        <v>29815</v>
      </c>
      <c r="F675" s="32">
        <v>1784967.0</v>
      </c>
      <c r="G675" s="32">
        <v>81.0</v>
      </c>
      <c r="H675" s="32" t="str">
        <f>VLOOKUP(D675, Grid_Region_Mapping!$D$2:$F$5286, 3, FALSE)</f>
        <v>MISC</v>
      </c>
      <c r="I675" s="32">
        <v>3.0</v>
      </c>
      <c r="J675" s="34" t="str">
        <f t="shared" si="1"/>
        <v>Midwest</v>
      </c>
      <c r="K675" s="35">
        <v>3.0</v>
      </c>
      <c r="L675" s="35" t="s">
        <v>223</v>
      </c>
      <c r="M675" s="36">
        <f>VLOOKUP(D675, County_Data_CZones!$B$2:$F$3236, 2, FALSE)</f>
        <v>4</v>
      </c>
      <c r="N675" s="37" t="str">
        <f>VLOOKUP(D675, County_Data_CZones!$B$2:$F$3236, 5, FALSE)</f>
        <v>Mixed-Humid</v>
      </c>
    </row>
    <row r="676" ht="15.75" customHeight="1">
      <c r="A676" s="32" t="s">
        <v>649</v>
      </c>
      <c r="B676" s="32" t="s">
        <v>608</v>
      </c>
      <c r="C676" s="32" t="str">
        <f>vlookup(B676,State_EMM_RowSums!$A$2:$B$52,2,FALSE)</f>
        <v>IL</v>
      </c>
      <c r="D676" s="32">
        <v>17159.0</v>
      </c>
      <c r="E676" s="33">
        <f>IF(NOT(ISBLANK(vlookup($D676,Pop_Census_2023!$A$2:$E$3220,4,FALSE))),vlookup($D676,Pop_Census_2023!$A$2:$E$3220,4,FALSE), vlookup($D676,Pop_Census_2023!$A$2:$E$3220,5,FALSE))</f>
        <v>15488</v>
      </c>
      <c r="F676" s="32">
        <v>424281.0</v>
      </c>
      <c r="G676" s="32">
        <v>83.0</v>
      </c>
      <c r="H676" s="32" t="str">
        <f>VLOOKUP(D676, Grid_Region_Mapping!$D$2:$F$5286, 3, FALSE)</f>
        <v>MISC</v>
      </c>
      <c r="I676" s="32">
        <v>3.0</v>
      </c>
      <c r="J676" s="34" t="str">
        <f t="shared" si="1"/>
        <v>Midwest</v>
      </c>
      <c r="K676" s="35">
        <v>3.0</v>
      </c>
      <c r="L676" s="35" t="s">
        <v>223</v>
      </c>
      <c r="M676" s="36">
        <f>VLOOKUP(D676, County_Data_CZones!$B$2:$F$3236, 2, FALSE)</f>
        <v>4</v>
      </c>
      <c r="N676" s="37" t="str">
        <f>VLOOKUP(D676, County_Data_CZones!$B$2:$F$3236, 5, FALSE)</f>
        <v>Mixed-Humid</v>
      </c>
    </row>
    <row r="677" ht="15.75" customHeight="1">
      <c r="A677" s="32" t="s">
        <v>650</v>
      </c>
      <c r="B677" s="32" t="s">
        <v>608</v>
      </c>
      <c r="C677" s="32" t="str">
        <f>vlookup(B677,State_EMM_RowSums!$A$2:$B$52,2,FALSE)</f>
        <v>IL</v>
      </c>
      <c r="D677" s="32">
        <v>17161.0</v>
      </c>
      <c r="E677" s="33">
        <f>IF(NOT(ISBLANK(vlookup($D677,Pop_Census_2023!$A$2:$E$3220,4,FALSE))),vlookup($D677,Pop_Census_2023!$A$2:$E$3220,4,FALSE), vlookup($D677,Pop_Census_2023!$A$2:$E$3220,5,FALSE))</f>
        <v>141236</v>
      </c>
      <c r="F677" s="32">
        <v>424282.0</v>
      </c>
      <c r="G677" s="32">
        <v>81.0</v>
      </c>
      <c r="H677" s="32" t="str">
        <f>VLOOKUP(D677, Grid_Region_Mapping!$D$2:$F$5286, 3, FALSE)</f>
        <v>MISC</v>
      </c>
      <c r="I677" s="32">
        <v>3.0</v>
      </c>
      <c r="J677" s="34" t="str">
        <f t="shared" si="1"/>
        <v>Midwest</v>
      </c>
      <c r="K677" s="35">
        <v>2.0</v>
      </c>
      <c r="L677" s="35" t="s">
        <v>396</v>
      </c>
      <c r="M677" s="36">
        <f>VLOOKUP(D677, County_Data_CZones!$B$2:$F$3236, 2, FALSE)</f>
        <v>5</v>
      </c>
      <c r="N677" s="37" t="str">
        <f>VLOOKUP(D677, County_Data_CZones!$B$2:$F$3236, 5, FALSE)</f>
        <v>Cold</v>
      </c>
    </row>
    <row r="678" ht="15.75" customHeight="1">
      <c r="A678" s="32" t="s">
        <v>160</v>
      </c>
      <c r="B678" s="32" t="s">
        <v>608</v>
      </c>
      <c r="C678" s="32" t="str">
        <f>vlookup(B678,State_EMM_RowSums!$A$2:$B$52,2,FALSE)</f>
        <v>IL</v>
      </c>
      <c r="D678" s="32">
        <v>17163.0</v>
      </c>
      <c r="E678" s="33">
        <f>IF(NOT(ISBLANK(vlookup($D678,Pop_Census_2023!$A$2:$E$3220,4,FALSE))),vlookup($D678,Pop_Census_2023!$A$2:$E$3220,4,FALSE), vlookup($D678,Pop_Census_2023!$A$2:$E$3220,5,FALSE))</f>
        <v>251018</v>
      </c>
      <c r="F678" s="32">
        <v>1784987.0</v>
      </c>
      <c r="G678" s="32">
        <v>81.0</v>
      </c>
      <c r="H678" s="32" t="str">
        <f>VLOOKUP(D678, Grid_Region_Mapping!$D$2:$F$5286, 3, FALSE)</f>
        <v>MISC</v>
      </c>
      <c r="I678" s="32">
        <v>3.0</v>
      </c>
      <c r="J678" s="34" t="str">
        <f t="shared" si="1"/>
        <v>Midwest</v>
      </c>
      <c r="K678" s="35">
        <v>3.0</v>
      </c>
      <c r="L678" s="35" t="s">
        <v>223</v>
      </c>
      <c r="M678" s="36">
        <f>VLOOKUP(D678, County_Data_CZones!$B$2:$F$3236, 2, FALSE)</f>
        <v>4</v>
      </c>
      <c r="N678" s="37" t="str">
        <f>VLOOKUP(D678, County_Data_CZones!$B$2:$F$3236, 5, FALSE)</f>
        <v>Mixed-Humid</v>
      </c>
    </row>
    <row r="679" ht="15.75" customHeight="1">
      <c r="A679" s="32" t="s">
        <v>266</v>
      </c>
      <c r="B679" s="32" t="s">
        <v>608</v>
      </c>
      <c r="C679" s="32" t="str">
        <f>vlookup(B679,State_EMM_RowSums!$A$2:$B$52,2,FALSE)</f>
        <v>IL</v>
      </c>
      <c r="D679" s="32">
        <v>17165.0</v>
      </c>
      <c r="E679" s="33">
        <f>IF(NOT(ISBLANK(vlookup($D679,Pop_Census_2023!$A$2:$E$3220,4,FALSE))),vlookup($D679,Pop_Census_2023!$A$2:$E$3220,4,FALSE), vlookup($D679,Pop_Census_2023!$A$2:$E$3220,5,FALSE))</f>
        <v>22873</v>
      </c>
      <c r="F679" s="32">
        <v>424283.0</v>
      </c>
      <c r="G679" s="32">
        <v>81.0</v>
      </c>
      <c r="H679" s="32" t="str">
        <f>VLOOKUP(D679, Grid_Region_Mapping!$D$2:$F$5286, 3, FALSE)</f>
        <v>MISC</v>
      </c>
      <c r="I679" s="32">
        <v>3.0</v>
      </c>
      <c r="J679" s="34" t="str">
        <f t="shared" si="1"/>
        <v>Midwest</v>
      </c>
      <c r="K679" s="35">
        <v>3.0</v>
      </c>
      <c r="L679" s="35" t="s">
        <v>223</v>
      </c>
      <c r="M679" s="36">
        <f>VLOOKUP(D679, County_Data_CZones!$B$2:$F$3236, 2, FALSE)</f>
        <v>4</v>
      </c>
      <c r="N679" s="37" t="str">
        <f>VLOOKUP(D679, County_Data_CZones!$B$2:$F$3236, 5, FALSE)</f>
        <v>Mixed-Humid</v>
      </c>
    </row>
    <row r="680" ht="15.75" customHeight="1">
      <c r="A680" s="32" t="s">
        <v>651</v>
      </c>
      <c r="B680" s="32" t="s">
        <v>608</v>
      </c>
      <c r="C680" s="32" t="str">
        <f>vlookup(B680,State_EMM_RowSums!$A$2:$B$52,2,FALSE)</f>
        <v>IL</v>
      </c>
      <c r="D680" s="32">
        <v>17167.0</v>
      </c>
      <c r="E680" s="33">
        <f>IF(NOT(ISBLANK(vlookup($D680,Pop_Census_2023!$A$2:$E$3220,4,FALSE))),vlookup($D680,Pop_Census_2023!$A$2:$E$3220,4,FALSE), vlookup($D680,Pop_Census_2023!$A$2:$E$3220,5,FALSE))</f>
        <v>193491</v>
      </c>
      <c r="F680" s="32">
        <v>1785010.0</v>
      </c>
      <c r="G680" s="32">
        <v>82.0</v>
      </c>
      <c r="H680" s="32" t="str">
        <f>VLOOKUP(D680, Grid_Region_Mapping!$D$2:$F$5286, 3, FALSE)</f>
        <v>MISC</v>
      </c>
      <c r="I680" s="32">
        <v>3.0</v>
      </c>
      <c r="J680" s="34" t="str">
        <f t="shared" si="1"/>
        <v>Midwest</v>
      </c>
      <c r="K680" s="35">
        <v>2.0</v>
      </c>
      <c r="L680" s="35" t="s">
        <v>396</v>
      </c>
      <c r="M680" s="36">
        <f>VLOOKUP(D680, County_Data_CZones!$B$2:$F$3236, 2, FALSE)</f>
        <v>5</v>
      </c>
      <c r="N680" s="37" t="str">
        <f>VLOOKUP(D680, County_Data_CZones!$B$2:$F$3236, 5, FALSE)</f>
        <v>Cold</v>
      </c>
    </row>
    <row r="681" ht="15.75" customHeight="1">
      <c r="A681" s="32" t="s">
        <v>652</v>
      </c>
      <c r="B681" s="32" t="s">
        <v>608</v>
      </c>
      <c r="C681" s="32" t="str">
        <f>vlookup(B681,State_EMM_RowSums!$A$2:$B$52,2,FALSE)</f>
        <v>IL</v>
      </c>
      <c r="D681" s="32">
        <v>17169.0</v>
      </c>
      <c r="E681" s="33">
        <f>IF(NOT(ISBLANK(vlookup($D681,Pop_Census_2023!$A$2:$E$3220,4,FALSE))),vlookup($D681,Pop_Census_2023!$A$2:$E$3220,4,FALSE), vlookup($D681,Pop_Census_2023!$A$2:$E$3220,5,FALSE))</f>
        <v>6733</v>
      </c>
      <c r="F681" s="32">
        <v>1785037.0</v>
      </c>
      <c r="G681" s="32">
        <v>81.0</v>
      </c>
      <c r="H681" s="32" t="str">
        <f>VLOOKUP(D681, Grid_Region_Mapping!$D$2:$F$5286, 3, FALSE)</f>
        <v>MISC</v>
      </c>
      <c r="I681" s="32">
        <v>3.0</v>
      </c>
      <c r="J681" s="34" t="str">
        <f t="shared" si="1"/>
        <v>Midwest</v>
      </c>
      <c r="K681" s="35">
        <v>2.0</v>
      </c>
      <c r="L681" s="35" t="s">
        <v>396</v>
      </c>
      <c r="M681" s="36">
        <f>VLOOKUP(D681, County_Data_CZones!$B$2:$F$3236, 2, FALSE)</f>
        <v>5</v>
      </c>
      <c r="N681" s="37" t="str">
        <f>VLOOKUP(D681, County_Data_CZones!$B$2:$F$3236, 5, FALSE)</f>
        <v>Cold</v>
      </c>
    </row>
    <row r="682" ht="15.75" customHeight="1">
      <c r="A682" s="32" t="s">
        <v>267</v>
      </c>
      <c r="B682" s="32" t="s">
        <v>608</v>
      </c>
      <c r="C682" s="32" t="str">
        <f>vlookup(B682,State_EMM_RowSums!$A$2:$B$52,2,FALSE)</f>
        <v>IL</v>
      </c>
      <c r="D682" s="32">
        <v>17171.0</v>
      </c>
      <c r="E682" s="33">
        <f>IF(NOT(ISBLANK(vlookup($D682,Pop_Census_2023!$A$2:$E$3220,4,FALSE))),vlookup($D682,Pop_Census_2023!$A$2:$E$3220,4,FALSE), vlookup($D682,Pop_Census_2023!$A$2:$E$3220,5,FALSE))</f>
        <v>4710</v>
      </c>
      <c r="F682" s="32">
        <v>424286.0</v>
      </c>
      <c r="G682" s="32">
        <v>81.0</v>
      </c>
      <c r="H682" s="32" t="str">
        <f>VLOOKUP(D682, Grid_Region_Mapping!$D$2:$F$5286, 3, FALSE)</f>
        <v>MISC</v>
      </c>
      <c r="I682" s="32">
        <v>3.0</v>
      </c>
      <c r="J682" s="34" t="str">
        <f t="shared" si="1"/>
        <v>Midwest</v>
      </c>
      <c r="K682" s="35">
        <v>2.0</v>
      </c>
      <c r="L682" s="35" t="s">
        <v>396</v>
      </c>
      <c r="M682" s="36">
        <f>VLOOKUP(D682, County_Data_CZones!$B$2:$F$3236, 2, FALSE)</f>
        <v>5</v>
      </c>
      <c r="N682" s="37" t="str">
        <f>VLOOKUP(D682, County_Data_CZones!$B$2:$F$3236, 5, FALSE)</f>
        <v>Cold</v>
      </c>
    </row>
    <row r="683" ht="15.75" customHeight="1">
      <c r="A683" s="32" t="s">
        <v>161</v>
      </c>
      <c r="B683" s="32" t="s">
        <v>608</v>
      </c>
      <c r="C683" s="32" t="str">
        <f>vlookup(B683,State_EMM_RowSums!$A$2:$B$52,2,FALSE)</f>
        <v>IL</v>
      </c>
      <c r="D683" s="32">
        <v>17173.0</v>
      </c>
      <c r="E683" s="33">
        <f>IF(NOT(ISBLANK(vlookup($D683,Pop_Census_2023!$A$2:$E$3220,4,FALSE))),vlookup($D683,Pop_Census_2023!$A$2:$E$3220,4,FALSE), vlookup($D683,Pop_Census_2023!$A$2:$E$3220,5,FALSE))</f>
        <v>20568</v>
      </c>
      <c r="F683" s="32">
        <v>1785051.0</v>
      </c>
      <c r="G683" s="32">
        <v>83.0</v>
      </c>
      <c r="H683" s="32" t="str">
        <f>VLOOKUP(D683, Grid_Region_Mapping!$D$2:$F$5286, 3, FALSE)</f>
        <v>MISC</v>
      </c>
      <c r="I683" s="32">
        <v>3.0</v>
      </c>
      <c r="J683" s="34" t="str">
        <f t="shared" si="1"/>
        <v>Midwest</v>
      </c>
      <c r="K683" s="35">
        <v>3.0</v>
      </c>
      <c r="L683" s="35" t="s">
        <v>223</v>
      </c>
      <c r="M683" s="36">
        <f>VLOOKUP(D683, County_Data_CZones!$B$2:$F$3236, 2, FALSE)</f>
        <v>4</v>
      </c>
      <c r="N683" s="37" t="str">
        <f>VLOOKUP(D683, County_Data_CZones!$B$2:$F$3236, 5, FALSE)</f>
        <v>Mixed-Humid</v>
      </c>
    </row>
    <row r="684" ht="15.75" customHeight="1">
      <c r="A684" s="32" t="s">
        <v>653</v>
      </c>
      <c r="B684" s="32" t="s">
        <v>608</v>
      </c>
      <c r="C684" s="32" t="str">
        <f>vlookup(B684,State_EMM_RowSums!$A$2:$B$52,2,FALSE)</f>
        <v>IL</v>
      </c>
      <c r="D684" s="32">
        <v>17175.0</v>
      </c>
      <c r="E684" s="33">
        <f>IF(NOT(ISBLANK(vlookup($D684,Pop_Census_2023!$A$2:$E$3220,4,FALSE))),vlookup($D684,Pop_Census_2023!$A$2:$E$3220,4,FALSE), vlookup($D684,Pop_Census_2023!$A$2:$E$3220,5,FALSE))</f>
        <v>5218</v>
      </c>
      <c r="F684" s="32">
        <v>424288.0</v>
      </c>
      <c r="G684" s="32">
        <v>81.0</v>
      </c>
      <c r="H684" s="32" t="str">
        <f>VLOOKUP(D684, Grid_Region_Mapping!$D$2:$F$5286, 3, FALSE)</f>
        <v>MISC</v>
      </c>
      <c r="I684" s="32">
        <v>3.0</v>
      </c>
      <c r="J684" s="34" t="str">
        <f t="shared" si="1"/>
        <v>Midwest</v>
      </c>
      <c r="K684" s="35">
        <v>2.0</v>
      </c>
      <c r="L684" s="35" t="s">
        <v>396</v>
      </c>
      <c r="M684" s="36">
        <f>VLOOKUP(D684, County_Data_CZones!$B$2:$F$3236, 2, FALSE)</f>
        <v>5</v>
      </c>
      <c r="N684" s="37" t="str">
        <f>VLOOKUP(D684, County_Data_CZones!$B$2:$F$3236, 5, FALSE)</f>
        <v>Cold</v>
      </c>
    </row>
    <row r="685" ht="15.75" customHeight="1">
      <c r="A685" s="32" t="s">
        <v>654</v>
      </c>
      <c r="B685" s="32" t="s">
        <v>608</v>
      </c>
      <c r="C685" s="32" t="str">
        <f>vlookup(B685,State_EMM_RowSums!$A$2:$B$52,2,FALSE)</f>
        <v>IL</v>
      </c>
      <c r="D685" s="32">
        <v>17177.0</v>
      </c>
      <c r="E685" s="33">
        <f>IF(NOT(ISBLANK(vlookup($D685,Pop_Census_2023!$A$2:$E$3220,4,FALSE))),vlookup($D685,Pop_Census_2023!$A$2:$E$3220,4,FALSE), vlookup($D685,Pop_Census_2023!$A$2:$E$3220,5,FALSE))</f>
        <v>43105</v>
      </c>
      <c r="F685" s="32">
        <v>1785076.0</v>
      </c>
      <c r="G685" s="32">
        <v>80.0</v>
      </c>
      <c r="H685" s="32" t="str">
        <f>VLOOKUP(D685, Grid_Region_Mapping!$D$2:$F$5286, 3, FALSE)</f>
        <v>PJMC</v>
      </c>
      <c r="I685" s="32">
        <v>3.0</v>
      </c>
      <c r="J685" s="34" t="str">
        <f t="shared" si="1"/>
        <v>Midwest</v>
      </c>
      <c r="K685" s="35">
        <v>2.0</v>
      </c>
      <c r="L685" s="35" t="s">
        <v>396</v>
      </c>
      <c r="M685" s="36">
        <f>VLOOKUP(D685, County_Data_CZones!$B$2:$F$3236, 2, FALSE)</f>
        <v>5</v>
      </c>
      <c r="N685" s="37" t="str">
        <f>VLOOKUP(D685, County_Data_CZones!$B$2:$F$3236, 5, FALSE)</f>
        <v>Cold</v>
      </c>
    </row>
    <row r="686" ht="15.75" customHeight="1">
      <c r="A686" s="32" t="s">
        <v>655</v>
      </c>
      <c r="B686" s="32" t="s">
        <v>608</v>
      </c>
      <c r="C686" s="32" t="str">
        <f>vlookup(B686,State_EMM_RowSums!$A$2:$B$52,2,FALSE)</f>
        <v>IL</v>
      </c>
      <c r="D686" s="32">
        <v>17179.0</v>
      </c>
      <c r="E686" s="33">
        <f>IF(NOT(ISBLANK(vlookup($D686,Pop_Census_2023!$A$2:$E$3220,4,FALSE))),vlookup($D686,Pop_Census_2023!$A$2:$E$3220,4,FALSE), vlookup($D686,Pop_Census_2023!$A$2:$E$3220,5,FALSE))</f>
        <v>129541</v>
      </c>
      <c r="F686" s="32">
        <v>1785094.0</v>
      </c>
      <c r="G686" s="32">
        <v>82.0</v>
      </c>
      <c r="H686" s="32" t="str">
        <f>VLOOKUP(D686, Grid_Region_Mapping!$D$2:$F$5286, 3, FALSE)</f>
        <v>MISC</v>
      </c>
      <c r="I686" s="32">
        <v>3.0</v>
      </c>
      <c r="J686" s="34" t="str">
        <f t="shared" si="1"/>
        <v>Midwest</v>
      </c>
      <c r="K686" s="35">
        <v>2.0</v>
      </c>
      <c r="L686" s="35" t="s">
        <v>396</v>
      </c>
      <c r="M686" s="36">
        <f>VLOOKUP(D686, County_Data_CZones!$B$2:$F$3236, 2, FALSE)</f>
        <v>5</v>
      </c>
      <c r="N686" s="37" t="str">
        <f>VLOOKUP(D686, County_Data_CZones!$B$2:$F$3236, 5, FALSE)</f>
        <v>Cold</v>
      </c>
    </row>
    <row r="687" ht="15.75" customHeight="1">
      <c r="A687" s="32" t="s">
        <v>273</v>
      </c>
      <c r="B687" s="32" t="s">
        <v>608</v>
      </c>
      <c r="C687" s="32" t="str">
        <f>vlookup(B687,State_EMM_RowSums!$A$2:$B$52,2,FALSE)</f>
        <v>IL</v>
      </c>
      <c r="D687" s="32">
        <v>17181.0</v>
      </c>
      <c r="E687" s="33">
        <f>IF(NOT(ISBLANK(vlookup($D687,Pop_Census_2023!$A$2:$E$3220,4,FALSE))),vlookup($D687,Pop_Census_2023!$A$2:$E$3220,4,FALSE), vlookup($D687,Pop_Census_2023!$A$2:$E$3220,5,FALSE))</f>
        <v>16667</v>
      </c>
      <c r="F687" s="32">
        <v>1785113.0</v>
      </c>
      <c r="G687" s="32">
        <v>81.0</v>
      </c>
      <c r="H687" s="32" t="str">
        <f>VLOOKUP(D687, Grid_Region_Mapping!$D$2:$F$5286, 3, FALSE)</f>
        <v>MISC</v>
      </c>
      <c r="I687" s="32">
        <v>3.0</v>
      </c>
      <c r="J687" s="34" t="str">
        <f t="shared" si="1"/>
        <v>Midwest</v>
      </c>
      <c r="K687" s="35">
        <v>3.0</v>
      </c>
      <c r="L687" s="35" t="s">
        <v>223</v>
      </c>
      <c r="M687" s="36">
        <f>VLOOKUP(D687, County_Data_CZones!$B$2:$F$3236, 2, FALSE)</f>
        <v>4</v>
      </c>
      <c r="N687" s="37" t="str">
        <f>VLOOKUP(D687, County_Data_CZones!$B$2:$F$3236, 5, FALSE)</f>
        <v>Mixed-Humid</v>
      </c>
    </row>
    <row r="688" ht="15.75" customHeight="1">
      <c r="A688" s="32" t="s">
        <v>656</v>
      </c>
      <c r="B688" s="32" t="s">
        <v>608</v>
      </c>
      <c r="C688" s="32" t="str">
        <f>vlookup(B688,State_EMM_RowSums!$A$2:$B$52,2,FALSE)</f>
        <v>IL</v>
      </c>
      <c r="D688" s="32">
        <v>17183.0</v>
      </c>
      <c r="E688" s="33">
        <f>IF(NOT(ISBLANK(vlookup($D688,Pop_Census_2023!$A$2:$E$3220,4,FALSE))),vlookup($D688,Pop_Census_2023!$A$2:$E$3220,4,FALSE), vlookup($D688,Pop_Census_2023!$A$2:$E$3220,5,FALSE))</f>
        <v>71652</v>
      </c>
      <c r="F688" s="32">
        <v>1785114.0</v>
      </c>
      <c r="G688" s="32">
        <v>83.0</v>
      </c>
      <c r="H688" s="32" t="str">
        <f>VLOOKUP(D688, Grid_Region_Mapping!$D$2:$F$5286, 3, FALSE)</f>
        <v>MISC</v>
      </c>
      <c r="I688" s="32">
        <v>3.0</v>
      </c>
      <c r="J688" s="34" t="str">
        <f t="shared" si="1"/>
        <v>Midwest</v>
      </c>
      <c r="K688" s="35">
        <v>2.0</v>
      </c>
      <c r="L688" s="35" t="s">
        <v>396</v>
      </c>
      <c r="M688" s="36">
        <f>VLOOKUP(D688, County_Data_CZones!$B$2:$F$3236, 2, FALSE)</f>
        <v>5</v>
      </c>
      <c r="N688" s="37" t="str">
        <f>VLOOKUP(D688, County_Data_CZones!$B$2:$F$3236, 5, FALSE)</f>
        <v>Cold</v>
      </c>
    </row>
    <row r="689" ht="15.75" customHeight="1">
      <c r="A689" s="32" t="s">
        <v>657</v>
      </c>
      <c r="B689" s="32" t="s">
        <v>608</v>
      </c>
      <c r="C689" s="32" t="str">
        <f>vlookup(B689,State_EMM_RowSums!$A$2:$B$52,2,FALSE)</f>
        <v>IL</v>
      </c>
      <c r="D689" s="32">
        <v>17185.0</v>
      </c>
      <c r="E689" s="33">
        <f>IF(NOT(ISBLANK(vlookup($D689,Pop_Census_2023!$A$2:$E$3220,4,FALSE))),vlookup($D689,Pop_Census_2023!$A$2:$E$3220,4,FALSE), vlookup($D689,Pop_Census_2023!$A$2:$E$3220,5,FALSE))</f>
        <v>10942</v>
      </c>
      <c r="F689" s="32">
        <v>424293.0</v>
      </c>
      <c r="G689" s="32">
        <v>83.0</v>
      </c>
      <c r="H689" s="32" t="str">
        <f>VLOOKUP(D689, Grid_Region_Mapping!$D$2:$F$5286, 3, FALSE)</f>
        <v>MISC</v>
      </c>
      <c r="I689" s="32">
        <v>3.0</v>
      </c>
      <c r="J689" s="34" t="str">
        <f t="shared" si="1"/>
        <v>Midwest</v>
      </c>
      <c r="K689" s="35">
        <v>3.0</v>
      </c>
      <c r="L689" s="35" t="s">
        <v>223</v>
      </c>
      <c r="M689" s="36">
        <f>VLOOKUP(D689, County_Data_CZones!$B$2:$F$3236, 2, FALSE)</f>
        <v>4</v>
      </c>
      <c r="N689" s="37" t="str">
        <f>VLOOKUP(D689, County_Data_CZones!$B$2:$F$3236, 5, FALSE)</f>
        <v>Mixed-Humid</v>
      </c>
    </row>
    <row r="690" ht="15.75" customHeight="1">
      <c r="A690" s="32" t="s">
        <v>561</v>
      </c>
      <c r="B690" s="32" t="s">
        <v>608</v>
      </c>
      <c r="C690" s="32" t="str">
        <f>vlookup(B690,State_EMM_RowSums!$A$2:$B$52,2,FALSE)</f>
        <v>IL</v>
      </c>
      <c r="D690" s="32">
        <v>17187.0</v>
      </c>
      <c r="E690" s="33">
        <f>IF(NOT(ISBLANK(vlookup($D690,Pop_Census_2023!$A$2:$E$3220,4,FALSE))),vlookup($D690,Pop_Census_2023!$A$2:$E$3220,4,FALSE), vlookup($D690,Pop_Census_2023!$A$2:$E$3220,5,FALSE))</f>
        <v>16185</v>
      </c>
      <c r="F690" s="32">
        <v>1785134.0</v>
      </c>
      <c r="G690" s="32">
        <v>81.0</v>
      </c>
      <c r="H690" s="32" t="str">
        <f>VLOOKUP(D690, Grid_Region_Mapping!$D$2:$F$5286, 3, FALSE)</f>
        <v>MISC</v>
      </c>
      <c r="I690" s="32">
        <v>3.0</v>
      </c>
      <c r="J690" s="34" t="str">
        <f t="shared" si="1"/>
        <v>Midwest</v>
      </c>
      <c r="K690" s="35">
        <v>2.0</v>
      </c>
      <c r="L690" s="35" t="s">
        <v>396</v>
      </c>
      <c r="M690" s="36">
        <f>VLOOKUP(D690, County_Data_CZones!$B$2:$F$3236, 2, FALSE)</f>
        <v>5</v>
      </c>
      <c r="N690" s="37" t="str">
        <f>VLOOKUP(D690, County_Data_CZones!$B$2:$F$3236, 5, FALSE)</f>
        <v>Cold</v>
      </c>
    </row>
    <row r="691" ht="15.75" customHeight="1">
      <c r="A691" s="32" t="s">
        <v>167</v>
      </c>
      <c r="B691" s="32" t="s">
        <v>608</v>
      </c>
      <c r="C691" s="32" t="str">
        <f>vlookup(B691,State_EMM_RowSums!$A$2:$B$52,2,FALSE)</f>
        <v>IL</v>
      </c>
      <c r="D691" s="32">
        <v>17189.0</v>
      </c>
      <c r="E691" s="33">
        <f>IF(NOT(ISBLANK(vlookup($D691,Pop_Census_2023!$A$2:$E$3220,4,FALSE))),vlookup($D691,Pop_Census_2023!$A$2:$E$3220,4,FALSE), vlookup($D691,Pop_Census_2023!$A$2:$E$3220,5,FALSE))</f>
        <v>13536</v>
      </c>
      <c r="F691" s="32">
        <v>1785150.0</v>
      </c>
      <c r="G691" s="32">
        <v>81.0</v>
      </c>
      <c r="H691" s="32" t="str">
        <f>VLOOKUP(D691, Grid_Region_Mapping!$D$2:$F$5286, 3, FALSE)</f>
        <v>MISC</v>
      </c>
      <c r="I691" s="32">
        <v>3.0</v>
      </c>
      <c r="J691" s="34" t="str">
        <f t="shared" si="1"/>
        <v>Midwest</v>
      </c>
      <c r="K691" s="35">
        <v>3.0</v>
      </c>
      <c r="L691" s="35" t="s">
        <v>223</v>
      </c>
      <c r="M691" s="36">
        <f>VLOOKUP(D691, County_Data_CZones!$B$2:$F$3236, 2, FALSE)</f>
        <v>4</v>
      </c>
      <c r="N691" s="37" t="str">
        <f>VLOOKUP(D691, County_Data_CZones!$B$2:$F$3236, 5, FALSE)</f>
        <v>Mixed-Humid</v>
      </c>
    </row>
    <row r="692" ht="15.75" customHeight="1">
      <c r="A692" s="32" t="s">
        <v>562</v>
      </c>
      <c r="B692" s="32" t="s">
        <v>608</v>
      </c>
      <c r="C692" s="32" t="str">
        <f>vlookup(B692,State_EMM_RowSums!$A$2:$B$52,2,FALSE)</f>
        <v>IL</v>
      </c>
      <c r="D692" s="32">
        <v>17191.0</v>
      </c>
      <c r="E692" s="33">
        <f>IF(NOT(ISBLANK(vlookup($D692,Pop_Census_2023!$A$2:$E$3220,4,FALSE))),vlookup($D692,Pop_Census_2023!$A$2:$E$3220,4,FALSE), vlookup($D692,Pop_Census_2023!$A$2:$E$3220,5,FALSE))</f>
        <v>15761</v>
      </c>
      <c r="F692" s="32">
        <v>424296.0</v>
      </c>
      <c r="G692" s="32">
        <v>81.0</v>
      </c>
      <c r="H692" s="32" t="str">
        <f>VLOOKUP(D692, Grid_Region_Mapping!$D$2:$F$5286, 3, FALSE)</f>
        <v>MISC</v>
      </c>
      <c r="I692" s="32">
        <v>3.0</v>
      </c>
      <c r="J692" s="34" t="str">
        <f t="shared" si="1"/>
        <v>Midwest</v>
      </c>
      <c r="K692" s="35">
        <v>3.0</v>
      </c>
      <c r="L692" s="35" t="s">
        <v>223</v>
      </c>
      <c r="M692" s="36">
        <f>VLOOKUP(D692, County_Data_CZones!$B$2:$F$3236, 2, FALSE)</f>
        <v>4</v>
      </c>
      <c r="N692" s="37" t="str">
        <f>VLOOKUP(D692, County_Data_CZones!$B$2:$F$3236, 5, FALSE)</f>
        <v>Mixed-Humid</v>
      </c>
    </row>
    <row r="693" ht="15.75" customHeight="1">
      <c r="A693" s="32" t="s">
        <v>275</v>
      </c>
      <c r="B693" s="32" t="s">
        <v>608</v>
      </c>
      <c r="C693" s="32" t="str">
        <f>vlookup(B693,State_EMM_RowSums!$A$2:$B$52,2,FALSE)</f>
        <v>IL</v>
      </c>
      <c r="D693" s="32">
        <v>17193.0</v>
      </c>
      <c r="E693" s="33">
        <f>IF(NOT(ISBLANK(vlookup($D693,Pop_Census_2023!$A$2:$E$3220,4,FALSE))),vlookup($D693,Pop_Census_2023!$A$2:$E$3220,4,FALSE), vlookup($D693,Pop_Census_2023!$A$2:$E$3220,5,FALSE))</f>
        <v>13401</v>
      </c>
      <c r="F693" s="32">
        <v>424297.0</v>
      </c>
      <c r="G693" s="32">
        <v>81.0</v>
      </c>
      <c r="H693" s="32" t="str">
        <f>VLOOKUP(D693, Grid_Region_Mapping!$D$2:$F$5286, 3, FALSE)</f>
        <v>MISC</v>
      </c>
      <c r="I693" s="32">
        <v>3.0</v>
      </c>
      <c r="J693" s="34" t="str">
        <f t="shared" si="1"/>
        <v>Midwest</v>
      </c>
      <c r="K693" s="35">
        <v>3.0</v>
      </c>
      <c r="L693" s="35" t="s">
        <v>223</v>
      </c>
      <c r="M693" s="36">
        <f>VLOOKUP(D693, County_Data_CZones!$B$2:$F$3236, 2, FALSE)</f>
        <v>4</v>
      </c>
      <c r="N693" s="37" t="str">
        <f>VLOOKUP(D693, County_Data_CZones!$B$2:$F$3236, 5, FALSE)</f>
        <v>Mixed-Humid</v>
      </c>
    </row>
    <row r="694" ht="15.75" customHeight="1">
      <c r="A694" s="32" t="s">
        <v>658</v>
      </c>
      <c r="B694" s="32" t="s">
        <v>608</v>
      </c>
      <c r="C694" s="32" t="str">
        <f>vlookup(B694,State_EMM_RowSums!$A$2:$B$52,2,FALSE)</f>
        <v>IL</v>
      </c>
      <c r="D694" s="32">
        <v>17195.0</v>
      </c>
      <c r="E694" s="33">
        <f>IF(NOT(ISBLANK(vlookup($D694,Pop_Census_2023!$A$2:$E$3220,4,FALSE))),vlookup($D694,Pop_Census_2023!$A$2:$E$3220,4,FALSE), vlookup($D694,Pop_Census_2023!$A$2:$E$3220,5,FALSE))</f>
        <v>54498</v>
      </c>
      <c r="F694" s="32">
        <v>1785167.0</v>
      </c>
      <c r="G694" s="32">
        <v>80.0</v>
      </c>
      <c r="H694" s="32" t="str">
        <f>VLOOKUP(D694, Grid_Region_Mapping!$D$2:$F$5286, 3, FALSE)</f>
        <v>PJMC</v>
      </c>
      <c r="I694" s="32">
        <v>3.0</v>
      </c>
      <c r="J694" s="34" t="str">
        <f t="shared" si="1"/>
        <v>Midwest</v>
      </c>
      <c r="K694" s="35">
        <v>2.0</v>
      </c>
      <c r="L694" s="35" t="s">
        <v>396</v>
      </c>
      <c r="M694" s="36">
        <f>VLOOKUP(D694, County_Data_CZones!$B$2:$F$3236, 2, FALSE)</f>
        <v>5</v>
      </c>
      <c r="N694" s="37" t="str">
        <f>VLOOKUP(D694, County_Data_CZones!$B$2:$F$3236, 5, FALSE)</f>
        <v>Cold</v>
      </c>
    </row>
    <row r="695" ht="15.75" customHeight="1">
      <c r="A695" s="32" t="s">
        <v>659</v>
      </c>
      <c r="B695" s="32" t="s">
        <v>608</v>
      </c>
      <c r="C695" s="32" t="str">
        <f>vlookup(B695,State_EMM_RowSums!$A$2:$B$52,2,FALSE)</f>
        <v>IL</v>
      </c>
      <c r="D695" s="32">
        <v>17197.0</v>
      </c>
      <c r="E695" s="33">
        <f>IF(NOT(ISBLANK(vlookup($D695,Pop_Census_2023!$A$2:$E$3220,4,FALSE))),vlookup($D695,Pop_Census_2023!$A$2:$E$3220,4,FALSE), vlookup($D695,Pop_Census_2023!$A$2:$E$3220,5,FALSE))</f>
        <v>700728</v>
      </c>
      <c r="F695" s="32">
        <v>1785190.0</v>
      </c>
      <c r="G695" s="32">
        <v>80.0</v>
      </c>
      <c r="H695" s="32" t="str">
        <f>VLOOKUP(D695, Grid_Region_Mapping!$D$2:$F$5286, 3, FALSE)</f>
        <v>PJMC</v>
      </c>
      <c r="I695" s="32">
        <v>3.0</v>
      </c>
      <c r="J695" s="34" t="str">
        <f t="shared" si="1"/>
        <v>Midwest</v>
      </c>
      <c r="K695" s="35">
        <v>2.0</v>
      </c>
      <c r="L695" s="35" t="s">
        <v>396</v>
      </c>
      <c r="M695" s="36">
        <f>VLOOKUP(D695, County_Data_CZones!$B$2:$F$3236, 2, FALSE)</f>
        <v>5</v>
      </c>
      <c r="N695" s="37" t="str">
        <f>VLOOKUP(D695, County_Data_CZones!$B$2:$F$3236, 5, FALSE)</f>
        <v>Cold</v>
      </c>
    </row>
    <row r="696" ht="15.75" customHeight="1">
      <c r="A696" s="32" t="s">
        <v>660</v>
      </c>
      <c r="B696" s="32" t="s">
        <v>608</v>
      </c>
      <c r="C696" s="32" t="str">
        <f>vlookup(B696,State_EMM_RowSums!$A$2:$B$52,2,FALSE)</f>
        <v>IL</v>
      </c>
      <c r="D696" s="32">
        <v>17199.0</v>
      </c>
      <c r="E696" s="33">
        <f>IF(NOT(ISBLANK(vlookup($D696,Pop_Census_2023!$A$2:$E$3220,4,FALSE))),vlookup($D696,Pop_Census_2023!$A$2:$E$3220,4,FALSE), vlookup($D696,Pop_Census_2023!$A$2:$E$3220,5,FALSE))</f>
        <v>66706</v>
      </c>
      <c r="F696" s="32">
        <v>1785215.0</v>
      </c>
      <c r="G696" s="32">
        <v>81.0</v>
      </c>
      <c r="H696" s="32" t="str">
        <f>VLOOKUP(D696, Grid_Region_Mapping!$D$2:$F$5286, 3, FALSE)</f>
        <v>MISC</v>
      </c>
      <c r="I696" s="32">
        <v>3.0</v>
      </c>
      <c r="J696" s="34" t="str">
        <f t="shared" si="1"/>
        <v>Midwest</v>
      </c>
      <c r="K696" s="35">
        <v>3.0</v>
      </c>
      <c r="L696" s="35" t="s">
        <v>223</v>
      </c>
      <c r="M696" s="36">
        <f>VLOOKUP(D696, County_Data_CZones!$B$2:$F$3236, 2, FALSE)</f>
        <v>4</v>
      </c>
      <c r="N696" s="37" t="str">
        <f>VLOOKUP(D696, County_Data_CZones!$B$2:$F$3236, 5, FALSE)</f>
        <v>Mixed-Humid</v>
      </c>
    </row>
    <row r="697" ht="15.75" customHeight="1">
      <c r="A697" s="32" t="s">
        <v>661</v>
      </c>
      <c r="B697" s="32" t="s">
        <v>608</v>
      </c>
      <c r="C697" s="32" t="str">
        <f>vlookup(B697,State_EMM_RowSums!$A$2:$B$52,2,FALSE)</f>
        <v>IL</v>
      </c>
      <c r="D697" s="32">
        <v>17201.0</v>
      </c>
      <c r="E697" s="33">
        <f>IF(NOT(ISBLANK(vlookup($D697,Pop_Census_2023!$A$2:$E$3220,4,FALSE))),vlookup($D697,Pop_Census_2023!$A$2:$E$3220,4,FALSE), vlookup($D697,Pop_Census_2023!$A$2:$E$3220,5,FALSE))</f>
        <v>280922</v>
      </c>
      <c r="F697" s="32">
        <v>1785216.0</v>
      </c>
      <c r="G697" s="32">
        <v>80.0</v>
      </c>
      <c r="H697" s="32" t="str">
        <f>VLOOKUP(D697, Grid_Region_Mapping!$D$2:$F$5286, 3, FALSE)</f>
        <v>PJMC</v>
      </c>
      <c r="I697" s="32">
        <v>3.0</v>
      </c>
      <c r="J697" s="34" t="str">
        <f t="shared" si="1"/>
        <v>Midwest</v>
      </c>
      <c r="K697" s="35">
        <v>2.0</v>
      </c>
      <c r="L697" s="35" t="s">
        <v>396</v>
      </c>
      <c r="M697" s="36">
        <f>VLOOKUP(D697, County_Data_CZones!$B$2:$F$3236, 2, FALSE)</f>
        <v>5</v>
      </c>
      <c r="N697" s="37" t="str">
        <f>VLOOKUP(D697, County_Data_CZones!$B$2:$F$3236, 5, FALSE)</f>
        <v>Cold</v>
      </c>
    </row>
    <row r="698" ht="15.75" customHeight="1">
      <c r="A698" s="32" t="s">
        <v>662</v>
      </c>
      <c r="B698" s="32" t="s">
        <v>608</v>
      </c>
      <c r="C698" s="32" t="str">
        <f>vlookup(B698,State_EMM_RowSums!$A$2:$B$52,2,FALSE)</f>
        <v>IL</v>
      </c>
      <c r="D698" s="32">
        <v>17203.0</v>
      </c>
      <c r="E698" s="33">
        <f>IF(NOT(ISBLANK(vlookup($D698,Pop_Census_2023!$A$2:$E$3220,4,FALSE))),vlookup($D698,Pop_Census_2023!$A$2:$E$3220,4,FALSE), vlookup($D698,Pop_Census_2023!$A$2:$E$3220,5,FALSE))</f>
        <v>38285</v>
      </c>
      <c r="F698" s="32">
        <v>1785231.0</v>
      </c>
      <c r="G698" s="32">
        <v>82.0</v>
      </c>
      <c r="H698" s="32" t="str">
        <f>VLOOKUP(D698, Grid_Region_Mapping!$D$2:$F$5286, 3, FALSE)</f>
        <v>MISC</v>
      </c>
      <c r="I698" s="32">
        <v>3.0</v>
      </c>
      <c r="J698" s="34" t="str">
        <f t="shared" si="1"/>
        <v>Midwest</v>
      </c>
      <c r="K698" s="35">
        <v>2.0</v>
      </c>
      <c r="L698" s="35" t="s">
        <v>396</v>
      </c>
      <c r="M698" s="36">
        <f>VLOOKUP(D698, County_Data_CZones!$B$2:$F$3236, 2, FALSE)</f>
        <v>5</v>
      </c>
      <c r="N698" s="37" t="str">
        <f>VLOOKUP(D698, County_Data_CZones!$B$2:$F$3236, 5, FALSE)</f>
        <v>Cold</v>
      </c>
    </row>
    <row r="699" ht="15.75" customHeight="1">
      <c r="A699" s="32" t="s">
        <v>338</v>
      </c>
      <c r="B699" s="32" t="s">
        <v>663</v>
      </c>
      <c r="C699" s="32" t="str">
        <f>vlookup(B699,State_EMM_RowSums!$A$2:$B$52,2,FALSE)</f>
        <v>IN</v>
      </c>
      <c r="D699" s="32">
        <v>18001.0</v>
      </c>
      <c r="E699" s="33">
        <f>IF(NOT(ISBLANK(vlookup($D699,Pop_Census_2023!$A$2:$E$3220,4,FALSE))),vlookup($D699,Pop_Census_2023!$A$2:$E$3220,4,FALSE), vlookup($D699,Pop_Census_2023!$A$2:$E$3220,5,FALSE))</f>
        <v>36288</v>
      </c>
      <c r="F699" s="32">
        <v>450401.0</v>
      </c>
      <c r="G699" s="32">
        <v>105.0</v>
      </c>
      <c r="H699" s="32" t="str">
        <f>VLOOKUP(D699, Grid_Region_Mapping!$D$2:$F$5286, 3, FALSE)</f>
        <v>PJMW</v>
      </c>
      <c r="I699" s="32">
        <v>3.0</v>
      </c>
      <c r="J699" s="34" t="str">
        <f t="shared" si="1"/>
        <v>Midwest</v>
      </c>
      <c r="K699" s="35">
        <v>2.0</v>
      </c>
      <c r="L699" s="35" t="s">
        <v>396</v>
      </c>
      <c r="M699" s="36">
        <f>VLOOKUP(D699, County_Data_CZones!$B$2:$F$3236, 2, FALSE)</f>
        <v>5</v>
      </c>
      <c r="N699" s="37" t="str">
        <f>VLOOKUP(D699, County_Data_CZones!$B$2:$F$3236, 5, FALSE)</f>
        <v>Cold</v>
      </c>
    </row>
    <row r="700" ht="15.75" customHeight="1">
      <c r="A700" s="32" t="s">
        <v>664</v>
      </c>
      <c r="B700" s="32" t="s">
        <v>663</v>
      </c>
      <c r="C700" s="32" t="str">
        <f>vlookup(B700,State_EMM_RowSums!$A$2:$B$52,2,FALSE)</f>
        <v>IN</v>
      </c>
      <c r="D700" s="32">
        <v>18003.0</v>
      </c>
      <c r="E700" s="33">
        <f>IF(NOT(ISBLANK(vlookup($D700,Pop_Census_2023!$A$2:$E$3220,4,FALSE))),vlookup($D700,Pop_Census_2023!$A$2:$E$3220,4,FALSE), vlookup($D700,Pop_Census_2023!$A$2:$E$3220,5,FALSE))</f>
        <v>394545</v>
      </c>
      <c r="F700" s="32">
        <v>450402.0</v>
      </c>
      <c r="G700" s="32">
        <v>105.0</v>
      </c>
      <c r="H700" s="32" t="str">
        <f>VLOOKUP(D700, Grid_Region_Mapping!$D$2:$F$5286, 3, FALSE)</f>
        <v>PJMW</v>
      </c>
      <c r="I700" s="32">
        <v>3.0</v>
      </c>
      <c r="J700" s="34" t="str">
        <f t="shared" si="1"/>
        <v>Midwest</v>
      </c>
      <c r="K700" s="35">
        <v>2.0</v>
      </c>
      <c r="L700" s="35" t="s">
        <v>396</v>
      </c>
      <c r="M700" s="36">
        <f>VLOOKUP(D700, County_Data_CZones!$B$2:$F$3236, 2, FALSE)</f>
        <v>5</v>
      </c>
      <c r="N700" s="37" t="str">
        <f>VLOOKUP(D700, County_Data_CZones!$B$2:$F$3236, 5, FALSE)</f>
        <v>Cold</v>
      </c>
    </row>
    <row r="701" ht="15.75" customHeight="1">
      <c r="A701" s="32" t="s">
        <v>665</v>
      </c>
      <c r="B701" s="32" t="s">
        <v>663</v>
      </c>
      <c r="C701" s="32" t="str">
        <f>vlookup(B701,State_EMM_RowSums!$A$2:$B$52,2,FALSE)</f>
        <v>IN</v>
      </c>
      <c r="D701" s="32">
        <v>18005.0</v>
      </c>
      <c r="E701" s="33">
        <f>IF(NOT(ISBLANK(vlookup($D701,Pop_Census_2023!$A$2:$E$3220,4,FALSE))),vlookup($D701,Pop_Census_2023!$A$2:$E$3220,4,FALSE), vlookup($D701,Pop_Census_2023!$A$2:$E$3220,5,FALSE))</f>
        <v>84003</v>
      </c>
      <c r="F701" s="32">
        <v>451683.0</v>
      </c>
      <c r="G701" s="32">
        <v>107.0</v>
      </c>
      <c r="H701" s="32" t="str">
        <f>VLOOKUP(D701, Grid_Region_Mapping!$D$2:$F$5286, 3, FALSE)</f>
        <v>MISC</v>
      </c>
      <c r="I701" s="32">
        <v>3.0</v>
      </c>
      <c r="J701" s="34" t="str">
        <f t="shared" si="1"/>
        <v>Midwest</v>
      </c>
      <c r="K701" s="35">
        <v>3.0</v>
      </c>
      <c r="L701" s="35" t="s">
        <v>396</v>
      </c>
      <c r="M701" s="36">
        <f>VLOOKUP(D701, County_Data_CZones!$B$2:$F$3236, 2, FALSE)</f>
        <v>5</v>
      </c>
      <c r="N701" s="37" t="str">
        <f>VLOOKUP(D701, County_Data_CZones!$B$2:$F$3236, 5, FALSE)</f>
        <v>Cold</v>
      </c>
    </row>
    <row r="702" ht="15.75" customHeight="1">
      <c r="A702" s="32" t="s">
        <v>224</v>
      </c>
      <c r="B702" s="32" t="s">
        <v>663</v>
      </c>
      <c r="C702" s="32" t="str">
        <f>vlookup(B702,State_EMM_RowSums!$A$2:$B$52,2,FALSE)</f>
        <v>IN</v>
      </c>
      <c r="D702" s="32">
        <v>18007.0</v>
      </c>
      <c r="E702" s="33">
        <f>IF(NOT(ISBLANK(vlookup($D702,Pop_Census_2023!$A$2:$E$3220,4,FALSE))),vlookup($D702,Pop_Census_2023!$A$2:$E$3220,4,FALSE), vlookup($D702,Pop_Census_2023!$A$2:$E$3220,5,FALSE))</f>
        <v>8729</v>
      </c>
      <c r="F702" s="32">
        <v>450403.0</v>
      </c>
      <c r="G702" s="32">
        <v>105.0</v>
      </c>
      <c r="H702" s="32" t="str">
        <f>VLOOKUP(D702, Grid_Region_Mapping!$D$2:$F$5286, 3, FALSE)</f>
        <v>MISC</v>
      </c>
      <c r="I702" s="32">
        <v>3.0</v>
      </c>
      <c r="J702" s="34" t="str">
        <f t="shared" si="1"/>
        <v>Midwest</v>
      </c>
      <c r="K702" s="35">
        <v>2.0</v>
      </c>
      <c r="L702" s="35" t="s">
        <v>396</v>
      </c>
      <c r="M702" s="36">
        <f>VLOOKUP(D702, County_Data_CZones!$B$2:$F$3236, 2, FALSE)</f>
        <v>5</v>
      </c>
      <c r="N702" s="37" t="str">
        <f>VLOOKUP(D702, County_Data_CZones!$B$2:$F$3236, 5, FALSE)</f>
        <v>Cold</v>
      </c>
    </row>
    <row r="703" ht="15.75" customHeight="1">
      <c r="A703" s="32" t="s">
        <v>666</v>
      </c>
      <c r="B703" s="32" t="s">
        <v>663</v>
      </c>
      <c r="C703" s="32" t="str">
        <f>vlookup(B703,State_EMM_RowSums!$A$2:$B$52,2,FALSE)</f>
        <v>IN</v>
      </c>
      <c r="D703" s="32">
        <v>18009.0</v>
      </c>
      <c r="E703" s="33">
        <f>IF(NOT(ISBLANK(vlookup($D703,Pop_Census_2023!$A$2:$E$3220,4,FALSE))),vlookup($D703,Pop_Census_2023!$A$2:$E$3220,4,FALSE), vlookup($D703,Pop_Census_2023!$A$2:$E$3220,5,FALSE))</f>
        <v>11893</v>
      </c>
      <c r="F703" s="32">
        <v>450404.0</v>
      </c>
      <c r="G703" s="32">
        <v>105.0</v>
      </c>
      <c r="H703" s="32" t="str">
        <f>VLOOKUP(D703, Grid_Region_Mapping!$D$2:$F$5286, 3, FALSE)</f>
        <v>PJMW</v>
      </c>
      <c r="I703" s="32">
        <v>3.0</v>
      </c>
      <c r="J703" s="34" t="str">
        <f t="shared" si="1"/>
        <v>Midwest</v>
      </c>
      <c r="K703" s="35">
        <v>2.0</v>
      </c>
      <c r="L703" s="35" t="s">
        <v>396</v>
      </c>
      <c r="M703" s="36">
        <f>VLOOKUP(D703, County_Data_CZones!$B$2:$F$3236, 2, FALSE)</f>
        <v>5</v>
      </c>
      <c r="N703" s="37" t="str">
        <f>VLOOKUP(D703, County_Data_CZones!$B$2:$F$3236, 5, FALSE)</f>
        <v>Cold</v>
      </c>
    </row>
    <row r="704" ht="15.75" customHeight="1">
      <c r="A704" s="32" t="s">
        <v>225</v>
      </c>
      <c r="B704" s="32" t="s">
        <v>663</v>
      </c>
      <c r="C704" s="32" t="str">
        <f>vlookup(B704,State_EMM_RowSums!$A$2:$B$52,2,FALSE)</f>
        <v>IN</v>
      </c>
      <c r="D704" s="32">
        <v>18011.0</v>
      </c>
      <c r="E704" s="33">
        <f>IF(NOT(ISBLANK(vlookup($D704,Pop_Census_2023!$A$2:$E$3220,4,FALSE))),vlookup($D704,Pop_Census_2023!$A$2:$E$3220,4,FALSE), vlookup($D704,Pop_Census_2023!$A$2:$E$3220,5,FALSE))</f>
        <v>76120</v>
      </c>
      <c r="F704" s="32">
        <v>450405.0</v>
      </c>
      <c r="G704" s="32">
        <v>105.0</v>
      </c>
      <c r="H704" s="32" t="str">
        <f>VLOOKUP(D704, Grid_Region_Mapping!$D$2:$F$5286, 3, FALSE)</f>
        <v>MISC</v>
      </c>
      <c r="I704" s="32">
        <v>3.0</v>
      </c>
      <c r="J704" s="34" t="str">
        <f t="shared" si="1"/>
        <v>Midwest</v>
      </c>
      <c r="K704" s="35">
        <v>2.0</v>
      </c>
      <c r="L704" s="35" t="s">
        <v>396</v>
      </c>
      <c r="M704" s="36">
        <f>VLOOKUP(D704, County_Data_CZones!$B$2:$F$3236, 2, FALSE)</f>
        <v>5</v>
      </c>
      <c r="N704" s="37" t="str">
        <f>VLOOKUP(D704, County_Data_CZones!$B$2:$F$3236, 5, FALSE)</f>
        <v>Cold</v>
      </c>
    </row>
    <row r="705" ht="15.75" customHeight="1">
      <c r="A705" s="32" t="s">
        <v>611</v>
      </c>
      <c r="B705" s="32" t="s">
        <v>663</v>
      </c>
      <c r="C705" s="32" t="str">
        <f>vlookup(B705,State_EMM_RowSums!$A$2:$B$52,2,FALSE)</f>
        <v>IN</v>
      </c>
      <c r="D705" s="32">
        <v>18013.0</v>
      </c>
      <c r="E705" s="33">
        <f>IF(NOT(ISBLANK(vlookup($D705,Pop_Census_2023!$A$2:$E$3220,4,FALSE))),vlookup($D705,Pop_Census_2023!$A$2:$E$3220,4,FALSE), vlookup($D705,Pop_Census_2023!$A$2:$E$3220,5,FALSE))</f>
        <v>15653</v>
      </c>
      <c r="F705" s="32">
        <v>451684.0</v>
      </c>
      <c r="G705" s="32">
        <v>107.0</v>
      </c>
      <c r="H705" s="32" t="str">
        <f>VLOOKUP(D705, Grid_Region_Mapping!$D$2:$F$5286, 3, FALSE)</f>
        <v>MISC</v>
      </c>
      <c r="I705" s="32">
        <v>3.0</v>
      </c>
      <c r="J705" s="34" t="str">
        <f t="shared" si="1"/>
        <v>Midwest</v>
      </c>
      <c r="K705" s="35">
        <v>3.0</v>
      </c>
      <c r="L705" s="35" t="s">
        <v>223</v>
      </c>
      <c r="M705" s="36">
        <f>VLOOKUP(D705, County_Data_CZones!$B$2:$F$3236, 2, FALSE)</f>
        <v>4</v>
      </c>
      <c r="N705" s="37" t="str">
        <f>VLOOKUP(D705, County_Data_CZones!$B$2:$F$3236, 5, FALSE)</f>
        <v>Mixed-Humid</v>
      </c>
    </row>
    <row r="706" ht="15.75" customHeight="1">
      <c r="A706" s="32" t="s">
        <v>227</v>
      </c>
      <c r="B706" s="32" t="s">
        <v>663</v>
      </c>
      <c r="C706" s="32" t="str">
        <f>vlookup(B706,State_EMM_RowSums!$A$2:$B$52,2,FALSE)</f>
        <v>IN</v>
      </c>
      <c r="D706" s="32">
        <v>18015.0</v>
      </c>
      <c r="E706" s="33">
        <f>IF(NOT(ISBLANK(vlookup($D706,Pop_Census_2023!$A$2:$E$3220,4,FALSE))),vlookup($D706,Pop_Census_2023!$A$2:$E$3220,4,FALSE), vlookup($D706,Pop_Census_2023!$A$2:$E$3220,5,FALSE))</f>
        <v>20525</v>
      </c>
      <c r="F706" s="32">
        <v>450406.0</v>
      </c>
      <c r="G706" s="32">
        <v>105.0</v>
      </c>
      <c r="H706" s="32" t="str">
        <f>VLOOKUP(D706, Grid_Region_Mapping!$D$2:$F$5286, 3, FALSE)</f>
        <v>PJMW</v>
      </c>
      <c r="I706" s="32">
        <v>3.0</v>
      </c>
      <c r="J706" s="34" t="str">
        <f t="shared" si="1"/>
        <v>Midwest</v>
      </c>
      <c r="K706" s="35">
        <v>2.0</v>
      </c>
      <c r="L706" s="35" t="s">
        <v>396</v>
      </c>
      <c r="M706" s="36">
        <f>VLOOKUP(D706, County_Data_CZones!$B$2:$F$3236, 2, FALSE)</f>
        <v>5</v>
      </c>
      <c r="N706" s="37" t="str">
        <f>VLOOKUP(D706, County_Data_CZones!$B$2:$F$3236, 5, FALSE)</f>
        <v>Cold</v>
      </c>
    </row>
    <row r="707" ht="15.75" customHeight="1">
      <c r="A707" s="32" t="s">
        <v>613</v>
      </c>
      <c r="B707" s="32" t="s">
        <v>663</v>
      </c>
      <c r="C707" s="32" t="str">
        <f>vlookup(B707,State_EMM_RowSums!$A$2:$B$52,2,FALSE)</f>
        <v>IN</v>
      </c>
      <c r="D707" s="32">
        <v>18017.0</v>
      </c>
      <c r="E707" s="33">
        <f>IF(NOT(ISBLANK(vlookup($D707,Pop_Census_2023!$A$2:$E$3220,4,FALSE))),vlookup($D707,Pop_Census_2023!$A$2:$E$3220,4,FALSE), vlookup($D707,Pop_Census_2023!$A$2:$E$3220,5,FALSE))</f>
        <v>37666</v>
      </c>
      <c r="F707" s="32">
        <v>450339.0</v>
      </c>
      <c r="G707" s="32">
        <v>105.0</v>
      </c>
      <c r="H707" s="32" t="str">
        <f>VLOOKUP(D707, Grid_Region_Mapping!$D$2:$F$5286, 3, FALSE)</f>
        <v>MISC</v>
      </c>
      <c r="I707" s="32">
        <v>3.0</v>
      </c>
      <c r="J707" s="34" t="str">
        <f t="shared" si="1"/>
        <v>Midwest</v>
      </c>
      <c r="K707" s="35">
        <v>2.0</v>
      </c>
      <c r="L707" s="35" t="s">
        <v>396</v>
      </c>
      <c r="M707" s="36">
        <f>VLOOKUP(D707, County_Data_CZones!$B$2:$F$3236, 2, FALSE)</f>
        <v>5</v>
      </c>
      <c r="N707" s="37" t="str">
        <f>VLOOKUP(D707, County_Data_CZones!$B$2:$F$3236, 5, FALSE)</f>
        <v>Cold</v>
      </c>
    </row>
    <row r="708" ht="15.75" customHeight="1">
      <c r="A708" s="32" t="s">
        <v>229</v>
      </c>
      <c r="B708" s="32" t="s">
        <v>663</v>
      </c>
      <c r="C708" s="32" t="str">
        <f>vlookup(B708,State_EMM_RowSums!$A$2:$B$52,2,FALSE)</f>
        <v>IN</v>
      </c>
      <c r="D708" s="32">
        <v>18019.0</v>
      </c>
      <c r="E708" s="33">
        <f>IF(NOT(ISBLANK(vlookup($D708,Pop_Census_2023!$A$2:$E$3220,4,FALSE))),vlookup($D708,Pop_Census_2023!$A$2:$E$3220,4,FALSE), vlookup($D708,Pop_Census_2023!$A$2:$E$3220,5,FALSE))</f>
        <v>125467</v>
      </c>
      <c r="F708" s="32">
        <v>450340.0</v>
      </c>
      <c r="G708" s="32">
        <v>107.0</v>
      </c>
      <c r="H708" s="32" t="str">
        <f>VLOOKUP(D708, Grid_Region_Mapping!$D$2:$F$5286, 3, FALSE)</f>
        <v>MISC</v>
      </c>
      <c r="I708" s="32">
        <v>3.0</v>
      </c>
      <c r="J708" s="34" t="str">
        <f t="shared" si="1"/>
        <v>Midwest</v>
      </c>
      <c r="K708" s="35">
        <v>3.0</v>
      </c>
      <c r="L708" s="35" t="s">
        <v>223</v>
      </c>
      <c r="M708" s="36">
        <f>VLOOKUP(D708, County_Data_CZones!$B$2:$F$3236, 2, FALSE)</f>
        <v>4</v>
      </c>
      <c r="N708" s="37" t="str">
        <f>VLOOKUP(D708, County_Data_CZones!$B$2:$F$3236, 5, FALSE)</f>
        <v>Mixed-Humid</v>
      </c>
    </row>
    <row r="709" ht="15.75" customHeight="1">
      <c r="A709" s="32" t="s">
        <v>116</v>
      </c>
      <c r="B709" s="32" t="s">
        <v>663</v>
      </c>
      <c r="C709" s="32" t="str">
        <f>vlookup(B709,State_EMM_RowSums!$A$2:$B$52,2,FALSE)</f>
        <v>IN</v>
      </c>
      <c r="D709" s="32">
        <v>18021.0</v>
      </c>
      <c r="E709" s="33">
        <f>IF(NOT(ISBLANK(vlookup($D709,Pop_Census_2023!$A$2:$E$3220,4,FALSE))),vlookup($D709,Pop_Census_2023!$A$2:$E$3220,4,FALSE), vlookup($D709,Pop_Census_2023!$A$2:$E$3220,5,FALSE))</f>
        <v>26460</v>
      </c>
      <c r="F709" s="32">
        <v>450341.0</v>
      </c>
      <c r="G709" s="32">
        <v>107.0</v>
      </c>
      <c r="H709" s="32" t="str">
        <f>VLOOKUP(D709, Grid_Region_Mapping!$D$2:$F$5286, 3, FALSE)</f>
        <v>MISC</v>
      </c>
      <c r="I709" s="32">
        <v>3.0</v>
      </c>
      <c r="J709" s="34" t="str">
        <f t="shared" si="1"/>
        <v>Midwest</v>
      </c>
      <c r="K709" s="35">
        <v>2.0</v>
      </c>
      <c r="L709" s="35" t="s">
        <v>396</v>
      </c>
      <c r="M709" s="36">
        <f>VLOOKUP(D709, County_Data_CZones!$B$2:$F$3236, 2, FALSE)</f>
        <v>5</v>
      </c>
      <c r="N709" s="37" t="str">
        <f>VLOOKUP(D709, County_Data_CZones!$B$2:$F$3236, 5, FALSE)</f>
        <v>Cold</v>
      </c>
    </row>
    <row r="710" ht="15.75" customHeight="1">
      <c r="A710" s="32" t="s">
        <v>616</v>
      </c>
      <c r="B710" s="32" t="s">
        <v>663</v>
      </c>
      <c r="C710" s="32" t="str">
        <f>vlookup(B710,State_EMM_RowSums!$A$2:$B$52,2,FALSE)</f>
        <v>IN</v>
      </c>
      <c r="D710" s="32">
        <v>18023.0</v>
      </c>
      <c r="E710" s="33">
        <f>IF(NOT(ISBLANK(vlookup($D710,Pop_Census_2023!$A$2:$E$3220,4,FALSE))),vlookup($D710,Pop_Census_2023!$A$2:$E$3220,4,FALSE), vlookup($D710,Pop_Census_2023!$A$2:$E$3220,5,FALSE))</f>
        <v>32730</v>
      </c>
      <c r="F710" s="32">
        <v>450342.0</v>
      </c>
      <c r="G710" s="32">
        <v>105.0</v>
      </c>
      <c r="H710" s="32" t="str">
        <f>VLOOKUP(D710, Grid_Region_Mapping!$D$2:$F$5286, 3, FALSE)</f>
        <v>MISC</v>
      </c>
      <c r="I710" s="32">
        <v>3.0</v>
      </c>
      <c r="J710" s="34" t="str">
        <f t="shared" si="1"/>
        <v>Midwest</v>
      </c>
      <c r="K710" s="35">
        <v>2.0</v>
      </c>
      <c r="L710" s="35" t="s">
        <v>396</v>
      </c>
      <c r="M710" s="36">
        <f>VLOOKUP(D710, County_Data_CZones!$B$2:$F$3236, 2, FALSE)</f>
        <v>5</v>
      </c>
      <c r="N710" s="37" t="str">
        <f>VLOOKUP(D710, County_Data_CZones!$B$2:$F$3236, 5, FALSE)</f>
        <v>Cold</v>
      </c>
    </row>
    <row r="711" ht="15.75" customHeight="1">
      <c r="A711" s="32" t="s">
        <v>234</v>
      </c>
      <c r="B711" s="32" t="s">
        <v>663</v>
      </c>
      <c r="C711" s="32" t="str">
        <f>vlookup(B711,State_EMM_RowSums!$A$2:$B$52,2,FALSE)</f>
        <v>IN</v>
      </c>
      <c r="D711" s="32">
        <v>18025.0</v>
      </c>
      <c r="E711" s="33">
        <f>IF(NOT(ISBLANK(vlookup($D711,Pop_Census_2023!$A$2:$E$3220,4,FALSE))),vlookup($D711,Pop_Census_2023!$A$2:$E$3220,4,FALSE), vlookup($D711,Pop_Census_2023!$A$2:$E$3220,5,FALSE))</f>
        <v>10438</v>
      </c>
      <c r="F711" s="32">
        <v>451674.0</v>
      </c>
      <c r="G711" s="32">
        <v>107.0</v>
      </c>
      <c r="H711" s="32" t="str">
        <f>VLOOKUP(D711, Grid_Region_Mapping!$D$2:$F$5286, 3, FALSE)</f>
        <v>MISC</v>
      </c>
      <c r="I711" s="32">
        <v>3.0</v>
      </c>
      <c r="J711" s="34" t="str">
        <f t="shared" si="1"/>
        <v>Midwest</v>
      </c>
      <c r="K711" s="35">
        <v>3.0</v>
      </c>
      <c r="L711" s="35" t="s">
        <v>223</v>
      </c>
      <c r="M711" s="36">
        <f>VLOOKUP(D711, County_Data_CZones!$B$2:$F$3236, 2, FALSE)</f>
        <v>4</v>
      </c>
      <c r="N711" s="37" t="str">
        <f>VLOOKUP(D711, County_Data_CZones!$B$2:$F$3236, 5, FALSE)</f>
        <v>Mixed-Humid</v>
      </c>
    </row>
    <row r="712" ht="15.75" customHeight="1">
      <c r="A712" s="32" t="s">
        <v>667</v>
      </c>
      <c r="B712" s="32" t="s">
        <v>663</v>
      </c>
      <c r="C712" s="32" t="str">
        <f>vlookup(B712,State_EMM_RowSums!$A$2:$B$52,2,FALSE)</f>
        <v>IN</v>
      </c>
      <c r="D712" s="32">
        <v>18027.0</v>
      </c>
      <c r="E712" s="33">
        <f>IF(NOT(ISBLANK(vlookup($D712,Pop_Census_2023!$A$2:$E$3220,4,FALSE))),vlookup($D712,Pop_Census_2023!$A$2:$E$3220,4,FALSE), vlookup($D712,Pop_Census_2023!$A$2:$E$3220,5,FALSE))</f>
        <v>33656</v>
      </c>
      <c r="F712" s="32">
        <v>450343.0</v>
      </c>
      <c r="G712" s="32">
        <v>107.0</v>
      </c>
      <c r="H712" s="32" t="str">
        <f>VLOOKUP(D712, Grid_Region_Mapping!$D$2:$F$5286, 3, FALSE)</f>
        <v>MISC</v>
      </c>
      <c r="I712" s="32">
        <v>3.0</v>
      </c>
      <c r="J712" s="34" t="str">
        <f t="shared" si="1"/>
        <v>Midwest</v>
      </c>
      <c r="K712" s="35">
        <v>3.0</v>
      </c>
      <c r="L712" s="35" t="s">
        <v>223</v>
      </c>
      <c r="M712" s="36">
        <f>VLOOKUP(D712, County_Data_CZones!$B$2:$F$3236, 2, FALSE)</f>
        <v>4</v>
      </c>
      <c r="N712" s="37" t="str">
        <f>VLOOKUP(D712, County_Data_CZones!$B$2:$F$3236, 5, FALSE)</f>
        <v>Mixed-Humid</v>
      </c>
    </row>
    <row r="713" ht="15.75" customHeight="1">
      <c r="A713" s="32" t="s">
        <v>668</v>
      </c>
      <c r="B713" s="32" t="s">
        <v>663</v>
      </c>
      <c r="C713" s="32" t="str">
        <f>vlookup(B713,State_EMM_RowSums!$A$2:$B$52,2,FALSE)</f>
        <v>IN</v>
      </c>
      <c r="D713" s="32">
        <v>18029.0</v>
      </c>
      <c r="E713" s="33">
        <f>IF(NOT(ISBLANK(vlookup($D713,Pop_Census_2023!$A$2:$E$3220,4,FALSE))),vlookup($D713,Pop_Census_2023!$A$2:$E$3220,4,FALSE), vlookup($D713,Pop_Census_2023!$A$2:$E$3220,5,FALSE))</f>
        <v>51215</v>
      </c>
      <c r="F713" s="32">
        <v>450344.0</v>
      </c>
      <c r="G713" s="32">
        <v>107.0</v>
      </c>
      <c r="H713" s="32" t="str">
        <f>VLOOKUP(D713, Grid_Region_Mapping!$D$2:$F$5286, 3, FALSE)</f>
        <v>MISC</v>
      </c>
      <c r="I713" s="32">
        <v>3.0</v>
      </c>
      <c r="J713" s="34" t="str">
        <f t="shared" si="1"/>
        <v>Midwest</v>
      </c>
      <c r="K713" s="35">
        <v>3.0</v>
      </c>
      <c r="L713" s="35" t="s">
        <v>223</v>
      </c>
      <c r="M713" s="36">
        <f>VLOOKUP(D713, County_Data_CZones!$B$2:$F$3236, 2, FALSE)</f>
        <v>4</v>
      </c>
      <c r="N713" s="37" t="str">
        <f>VLOOKUP(D713, County_Data_CZones!$B$2:$F$3236, 5, FALSE)</f>
        <v>Mixed-Humid</v>
      </c>
    </row>
    <row r="714" ht="15.75" customHeight="1">
      <c r="A714" s="32" t="s">
        <v>492</v>
      </c>
      <c r="B714" s="32" t="s">
        <v>663</v>
      </c>
      <c r="C714" s="32" t="str">
        <f>vlookup(B714,State_EMM_RowSums!$A$2:$B$52,2,FALSE)</f>
        <v>IN</v>
      </c>
      <c r="D714" s="32">
        <v>18031.0</v>
      </c>
      <c r="E714" s="33">
        <f>IF(NOT(ISBLANK(vlookup($D714,Pop_Census_2023!$A$2:$E$3220,4,FALSE))),vlookup($D714,Pop_Census_2023!$A$2:$E$3220,4,FALSE), vlookup($D714,Pop_Census_2023!$A$2:$E$3220,5,FALSE))</f>
        <v>26399</v>
      </c>
      <c r="F714" s="32">
        <v>450345.0</v>
      </c>
      <c r="G714" s="32">
        <v>107.0</v>
      </c>
      <c r="H714" s="32" t="str">
        <f>VLOOKUP(D714, Grid_Region_Mapping!$D$2:$F$5286, 3, FALSE)</f>
        <v>MISC</v>
      </c>
      <c r="I714" s="32">
        <v>3.0</v>
      </c>
      <c r="J714" s="34" t="str">
        <f t="shared" si="1"/>
        <v>Midwest</v>
      </c>
      <c r="K714" s="35">
        <v>2.0</v>
      </c>
      <c r="L714" s="35" t="s">
        <v>396</v>
      </c>
      <c r="M714" s="36">
        <f>VLOOKUP(D714, County_Data_CZones!$B$2:$F$3236, 2, FALSE)</f>
        <v>5</v>
      </c>
      <c r="N714" s="37" t="str">
        <f>VLOOKUP(D714, County_Data_CZones!$B$2:$F$3236, 5, FALSE)</f>
        <v>Cold</v>
      </c>
    </row>
    <row r="715" ht="15.75" customHeight="1">
      <c r="A715" s="32" t="s">
        <v>127</v>
      </c>
      <c r="B715" s="32" t="s">
        <v>663</v>
      </c>
      <c r="C715" s="32" t="str">
        <f>vlookup(B715,State_EMM_RowSums!$A$2:$B$52,2,FALSE)</f>
        <v>IN</v>
      </c>
      <c r="D715" s="32">
        <v>18033.0</v>
      </c>
      <c r="E715" s="33">
        <f>IF(NOT(ISBLANK(vlookup($D715,Pop_Census_2023!$A$2:$E$3220,4,FALSE))),vlookup($D715,Pop_Census_2023!$A$2:$E$3220,4,FALSE), vlookup($D715,Pop_Census_2023!$A$2:$E$3220,5,FALSE))</f>
        <v>44198</v>
      </c>
      <c r="F715" s="32">
        <v>450346.0</v>
      </c>
      <c r="G715" s="32">
        <v>105.0</v>
      </c>
      <c r="H715" s="32" t="str">
        <f>VLOOKUP(D715, Grid_Region_Mapping!$D$2:$F$5286, 3, FALSE)</f>
        <v>PJMW</v>
      </c>
      <c r="I715" s="32">
        <v>3.0</v>
      </c>
      <c r="J715" s="34" t="str">
        <f t="shared" si="1"/>
        <v>Midwest</v>
      </c>
      <c r="K715" s="35">
        <v>2.0</v>
      </c>
      <c r="L715" s="35" t="s">
        <v>396</v>
      </c>
      <c r="M715" s="36">
        <f>VLOOKUP(D715, County_Data_CZones!$B$2:$F$3236, 2, FALSE)</f>
        <v>5</v>
      </c>
      <c r="N715" s="37" t="str">
        <f>VLOOKUP(D715, County_Data_CZones!$B$2:$F$3236, 5, FALSE)</f>
        <v>Cold</v>
      </c>
    </row>
    <row r="716" ht="15.75" customHeight="1">
      <c r="A716" s="32" t="s">
        <v>405</v>
      </c>
      <c r="B716" s="32" t="s">
        <v>663</v>
      </c>
      <c r="C716" s="32" t="str">
        <f>vlookup(B716,State_EMM_RowSums!$A$2:$B$52,2,FALSE)</f>
        <v>IN</v>
      </c>
      <c r="D716" s="32">
        <v>18035.0</v>
      </c>
      <c r="E716" s="33">
        <f>IF(NOT(ISBLANK(vlookup($D716,Pop_Census_2023!$A$2:$E$3220,4,FALSE))),vlookup($D716,Pop_Census_2023!$A$2:$E$3220,4,FALSE), vlookup($D716,Pop_Census_2023!$A$2:$E$3220,5,FALSE))</f>
        <v>112321</v>
      </c>
      <c r="F716" s="32">
        <v>450347.0</v>
      </c>
      <c r="G716" s="32">
        <v>105.0</v>
      </c>
      <c r="H716" s="32" t="str">
        <f>VLOOKUP(D716, Grid_Region_Mapping!$D$2:$F$5286, 3, FALSE)</f>
        <v>PJMW</v>
      </c>
      <c r="I716" s="32">
        <v>3.0</v>
      </c>
      <c r="J716" s="34" t="str">
        <f t="shared" si="1"/>
        <v>Midwest</v>
      </c>
      <c r="K716" s="35">
        <v>2.0</v>
      </c>
      <c r="L716" s="35" t="s">
        <v>396</v>
      </c>
      <c r="M716" s="36">
        <f>VLOOKUP(D716, County_Data_CZones!$B$2:$F$3236, 2, FALSE)</f>
        <v>5</v>
      </c>
      <c r="N716" s="37" t="str">
        <f>VLOOKUP(D716, County_Data_CZones!$B$2:$F$3236, 5, FALSE)</f>
        <v>Cold</v>
      </c>
    </row>
    <row r="717" ht="15.75" customHeight="1">
      <c r="A717" s="32" t="s">
        <v>669</v>
      </c>
      <c r="B717" s="32" t="s">
        <v>663</v>
      </c>
      <c r="C717" s="32" t="str">
        <f>vlookup(B717,State_EMM_RowSums!$A$2:$B$52,2,FALSE)</f>
        <v>IN</v>
      </c>
      <c r="D717" s="32">
        <v>18037.0</v>
      </c>
      <c r="E717" s="33">
        <f>IF(NOT(ISBLANK(vlookup($D717,Pop_Census_2023!$A$2:$E$3220,4,FALSE))),vlookup($D717,Pop_Census_2023!$A$2:$E$3220,4,FALSE), vlookup($D717,Pop_Census_2023!$A$2:$E$3220,5,FALSE))</f>
        <v>43546</v>
      </c>
      <c r="F717" s="32">
        <v>451675.0</v>
      </c>
      <c r="G717" s="32">
        <v>107.0</v>
      </c>
      <c r="H717" s="32" t="str">
        <f>VLOOKUP(D717, Grid_Region_Mapping!$D$2:$F$5286, 3, FALSE)</f>
        <v>MISC</v>
      </c>
      <c r="I717" s="32">
        <v>3.0</v>
      </c>
      <c r="J717" s="34" t="str">
        <f t="shared" si="1"/>
        <v>Midwest</v>
      </c>
      <c r="K717" s="35">
        <v>3.0</v>
      </c>
      <c r="L717" s="35" t="s">
        <v>223</v>
      </c>
      <c r="M717" s="36">
        <f>VLOOKUP(D717, County_Data_CZones!$B$2:$F$3236, 2, FALSE)</f>
        <v>4</v>
      </c>
      <c r="N717" s="37" t="str">
        <f>VLOOKUP(D717, County_Data_CZones!$B$2:$F$3236, 5, FALSE)</f>
        <v>Mixed-Humid</v>
      </c>
    </row>
    <row r="718" ht="15.75" customHeight="1">
      <c r="A718" s="32" t="s">
        <v>670</v>
      </c>
      <c r="B718" s="32" t="s">
        <v>663</v>
      </c>
      <c r="C718" s="32" t="str">
        <f>vlookup(B718,State_EMM_RowSums!$A$2:$B$52,2,FALSE)</f>
        <v>IN</v>
      </c>
      <c r="D718" s="32">
        <v>18039.0</v>
      </c>
      <c r="E718" s="33">
        <f>IF(NOT(ISBLANK(vlookup($D718,Pop_Census_2023!$A$2:$E$3220,4,FALSE))),vlookup($D718,Pop_Census_2023!$A$2:$E$3220,4,FALSE), vlookup($D718,Pop_Census_2023!$A$2:$E$3220,5,FALSE))</f>
        <v>206409</v>
      </c>
      <c r="F718" s="32">
        <v>450348.0</v>
      </c>
      <c r="G718" s="32">
        <v>105.0</v>
      </c>
      <c r="H718" s="32" t="str">
        <f>VLOOKUP(D718, Grid_Region_Mapping!$D$2:$F$5286, 3, FALSE)</f>
        <v>PJMW</v>
      </c>
      <c r="I718" s="32">
        <v>3.0</v>
      </c>
      <c r="J718" s="34" t="str">
        <f t="shared" si="1"/>
        <v>Midwest</v>
      </c>
      <c r="K718" s="35">
        <v>2.0</v>
      </c>
      <c r="L718" s="35" t="s">
        <v>396</v>
      </c>
      <c r="M718" s="36">
        <f>VLOOKUP(D718, County_Data_CZones!$B$2:$F$3236, 2, FALSE)</f>
        <v>5</v>
      </c>
      <c r="N718" s="37" t="str">
        <f>VLOOKUP(D718, County_Data_CZones!$B$2:$F$3236, 5, FALSE)</f>
        <v>Cold</v>
      </c>
    </row>
    <row r="719" ht="15.75" customHeight="1">
      <c r="A719" s="32" t="s">
        <v>131</v>
      </c>
      <c r="B719" s="32" t="s">
        <v>663</v>
      </c>
      <c r="C719" s="32" t="str">
        <f>vlookup(B719,State_EMM_RowSums!$A$2:$B$52,2,FALSE)</f>
        <v>IN</v>
      </c>
      <c r="D719" s="32">
        <v>18041.0</v>
      </c>
      <c r="E719" s="33">
        <f>IF(NOT(ISBLANK(vlookup($D719,Pop_Census_2023!$A$2:$E$3220,4,FALSE))),vlookup($D719,Pop_Census_2023!$A$2:$E$3220,4,FALSE), vlookup($D719,Pop_Census_2023!$A$2:$E$3220,5,FALSE))</f>
        <v>23362</v>
      </c>
      <c r="F719" s="32">
        <v>450349.0</v>
      </c>
      <c r="G719" s="32">
        <v>107.0</v>
      </c>
      <c r="H719" s="32" t="str">
        <f>VLOOKUP(D719, Grid_Region_Mapping!$D$2:$F$5286, 3, FALSE)</f>
        <v>MISC</v>
      </c>
      <c r="I719" s="32">
        <v>3.0</v>
      </c>
      <c r="J719" s="34" t="str">
        <f t="shared" si="1"/>
        <v>Midwest</v>
      </c>
      <c r="K719" s="35">
        <v>2.0</v>
      </c>
      <c r="L719" s="35" t="s">
        <v>396</v>
      </c>
      <c r="M719" s="36">
        <f>VLOOKUP(D719, County_Data_CZones!$B$2:$F$3236, 2, FALSE)</f>
        <v>5</v>
      </c>
      <c r="N719" s="37" t="str">
        <f>VLOOKUP(D719, County_Data_CZones!$B$2:$F$3236, 5, FALSE)</f>
        <v>Cold</v>
      </c>
    </row>
    <row r="720" ht="15.75" customHeight="1">
      <c r="A720" s="32" t="s">
        <v>502</v>
      </c>
      <c r="B720" s="32" t="s">
        <v>663</v>
      </c>
      <c r="C720" s="32" t="str">
        <f>vlookup(B720,State_EMM_RowSums!$A$2:$B$52,2,FALSE)</f>
        <v>IN</v>
      </c>
      <c r="D720" s="32">
        <v>18043.0</v>
      </c>
      <c r="E720" s="33">
        <f>IF(NOT(ISBLANK(vlookup($D720,Pop_Census_2023!$A$2:$E$3220,4,FALSE))),vlookup($D720,Pop_Census_2023!$A$2:$E$3220,4,FALSE), vlookup($D720,Pop_Census_2023!$A$2:$E$3220,5,FALSE))</f>
        <v>80809</v>
      </c>
      <c r="F720" s="32">
        <v>450350.0</v>
      </c>
      <c r="G720" s="32">
        <v>107.0</v>
      </c>
      <c r="H720" s="32" t="str">
        <f>VLOOKUP(D720, Grid_Region_Mapping!$D$2:$F$5286, 3, FALSE)</f>
        <v>MISC</v>
      </c>
      <c r="I720" s="32">
        <v>3.0</v>
      </c>
      <c r="J720" s="34" t="str">
        <f t="shared" si="1"/>
        <v>Midwest</v>
      </c>
      <c r="K720" s="35">
        <v>3.0</v>
      </c>
      <c r="L720" s="35" t="s">
        <v>223</v>
      </c>
      <c r="M720" s="36">
        <f>VLOOKUP(D720, County_Data_CZones!$B$2:$F$3236, 2, FALSE)</f>
        <v>4</v>
      </c>
      <c r="N720" s="37" t="str">
        <f>VLOOKUP(D720, County_Data_CZones!$B$2:$F$3236, 5, FALSE)</f>
        <v>Mixed-Humid</v>
      </c>
    </row>
    <row r="721" ht="15.75" customHeight="1">
      <c r="A721" s="32" t="s">
        <v>671</v>
      </c>
      <c r="B721" s="32" t="s">
        <v>663</v>
      </c>
      <c r="C721" s="32" t="str">
        <f>vlookup(B721,State_EMM_RowSums!$A$2:$B$52,2,FALSE)</f>
        <v>IN</v>
      </c>
      <c r="D721" s="32">
        <v>18045.0</v>
      </c>
      <c r="E721" s="33">
        <f>IF(NOT(ISBLANK(vlookup($D721,Pop_Census_2023!$A$2:$E$3220,4,FALSE))),vlookup($D721,Pop_Census_2023!$A$2:$E$3220,4,FALSE), vlookup($D721,Pop_Census_2023!$A$2:$E$3220,5,FALSE))</f>
        <v>16731</v>
      </c>
      <c r="F721" s="32">
        <v>450351.0</v>
      </c>
      <c r="G721" s="32">
        <v>105.0</v>
      </c>
      <c r="H721" s="32" t="str">
        <f>VLOOKUP(D721, Grid_Region_Mapping!$D$2:$F$5286, 3, FALSE)</f>
        <v>MISC</v>
      </c>
      <c r="I721" s="32">
        <v>3.0</v>
      </c>
      <c r="J721" s="34" t="str">
        <f t="shared" si="1"/>
        <v>Midwest</v>
      </c>
      <c r="K721" s="35">
        <v>2.0</v>
      </c>
      <c r="L721" s="35" t="s">
        <v>396</v>
      </c>
      <c r="M721" s="36">
        <f>VLOOKUP(D721, County_Data_CZones!$B$2:$F$3236, 2, FALSE)</f>
        <v>5</v>
      </c>
      <c r="N721" s="37" t="str">
        <f>VLOOKUP(D721, County_Data_CZones!$B$2:$F$3236, 5, FALSE)</f>
        <v>Cold</v>
      </c>
    </row>
    <row r="722" ht="15.75" customHeight="1">
      <c r="A722" s="32" t="s">
        <v>132</v>
      </c>
      <c r="B722" s="32" t="s">
        <v>663</v>
      </c>
      <c r="C722" s="32" t="str">
        <f>vlookup(B722,State_EMM_RowSums!$A$2:$B$52,2,FALSE)</f>
        <v>IN</v>
      </c>
      <c r="D722" s="32">
        <v>18047.0</v>
      </c>
      <c r="E722" s="33">
        <f>IF(NOT(ISBLANK(vlookup($D722,Pop_Census_2023!$A$2:$E$3220,4,FALSE))),vlookup($D722,Pop_Census_2023!$A$2:$E$3220,4,FALSE), vlookup($D722,Pop_Census_2023!$A$2:$E$3220,5,FALSE))</f>
        <v>23096</v>
      </c>
      <c r="F722" s="32">
        <v>450352.0</v>
      </c>
      <c r="G722" s="32">
        <v>107.0</v>
      </c>
      <c r="H722" s="32" t="str">
        <f>VLOOKUP(D722, Grid_Region_Mapping!$D$2:$F$5286, 3, FALSE)</f>
        <v>MISC</v>
      </c>
      <c r="I722" s="32">
        <v>3.0</v>
      </c>
      <c r="J722" s="34" t="str">
        <f t="shared" si="1"/>
        <v>Midwest</v>
      </c>
      <c r="K722" s="35">
        <v>2.0</v>
      </c>
      <c r="L722" s="35" t="s">
        <v>396</v>
      </c>
      <c r="M722" s="36">
        <f>VLOOKUP(D722, County_Data_CZones!$B$2:$F$3236, 2, FALSE)</f>
        <v>5</v>
      </c>
      <c r="N722" s="37" t="str">
        <f>VLOOKUP(D722, County_Data_CZones!$B$2:$F$3236, 5, FALSE)</f>
        <v>Cold</v>
      </c>
    </row>
    <row r="723" ht="15.75" customHeight="1">
      <c r="A723" s="32" t="s">
        <v>240</v>
      </c>
      <c r="B723" s="32" t="s">
        <v>663</v>
      </c>
      <c r="C723" s="32" t="str">
        <f>vlookup(B723,State_EMM_RowSums!$A$2:$B$52,2,FALSE)</f>
        <v>IN</v>
      </c>
      <c r="D723" s="32">
        <v>18049.0</v>
      </c>
      <c r="E723" s="33">
        <f>IF(NOT(ISBLANK(vlookup($D723,Pop_Census_2023!$A$2:$E$3220,4,FALSE))),vlookup($D723,Pop_Census_2023!$A$2:$E$3220,4,FALSE), vlookup($D723,Pop_Census_2023!$A$2:$E$3220,5,FALSE))</f>
        <v>20358</v>
      </c>
      <c r="F723" s="32">
        <v>450353.0</v>
      </c>
      <c r="G723" s="32">
        <v>105.0</v>
      </c>
      <c r="H723" s="32" t="str">
        <f>VLOOKUP(D723, Grid_Region_Mapping!$D$2:$F$5286, 3, FALSE)</f>
        <v>MISC</v>
      </c>
      <c r="I723" s="32">
        <v>3.0</v>
      </c>
      <c r="J723" s="34" t="str">
        <f t="shared" si="1"/>
        <v>Midwest</v>
      </c>
      <c r="K723" s="35">
        <v>2.0</v>
      </c>
      <c r="L723" s="35" t="s">
        <v>396</v>
      </c>
      <c r="M723" s="36">
        <f>VLOOKUP(D723, County_Data_CZones!$B$2:$F$3236, 2, FALSE)</f>
        <v>5</v>
      </c>
      <c r="N723" s="37" t="str">
        <f>VLOOKUP(D723, County_Data_CZones!$B$2:$F$3236, 5, FALSE)</f>
        <v>Cold</v>
      </c>
    </row>
    <row r="724" ht="15.75" customHeight="1">
      <c r="A724" s="32" t="s">
        <v>672</v>
      </c>
      <c r="B724" s="32" t="s">
        <v>663</v>
      </c>
      <c r="C724" s="32" t="str">
        <f>vlookup(B724,State_EMM_RowSums!$A$2:$B$52,2,FALSE)</f>
        <v>IN</v>
      </c>
      <c r="D724" s="32">
        <v>18051.0</v>
      </c>
      <c r="E724" s="33">
        <f>IF(NOT(ISBLANK(vlookup($D724,Pop_Census_2023!$A$2:$E$3220,4,FALSE))),vlookup($D724,Pop_Census_2023!$A$2:$E$3220,4,FALSE), vlookup($D724,Pop_Census_2023!$A$2:$E$3220,5,FALSE))</f>
        <v>32904</v>
      </c>
      <c r="F724" s="32">
        <v>450354.0</v>
      </c>
      <c r="G724" s="32">
        <v>107.0</v>
      </c>
      <c r="H724" s="32" t="str">
        <f>VLOOKUP(D724, Grid_Region_Mapping!$D$2:$F$5286, 3, FALSE)</f>
        <v>MISC</v>
      </c>
      <c r="I724" s="32">
        <v>3.0</v>
      </c>
      <c r="J724" s="34" t="str">
        <f t="shared" si="1"/>
        <v>Midwest</v>
      </c>
      <c r="K724" s="35">
        <v>3.0</v>
      </c>
      <c r="L724" s="35" t="s">
        <v>223</v>
      </c>
      <c r="M724" s="36">
        <f>VLOOKUP(D724, County_Data_CZones!$B$2:$F$3236, 2, FALSE)</f>
        <v>4</v>
      </c>
      <c r="N724" s="37" t="str">
        <f>VLOOKUP(D724, County_Data_CZones!$B$2:$F$3236, 5, FALSE)</f>
        <v>Mixed-Humid</v>
      </c>
    </row>
    <row r="725" ht="15.75" customHeight="1">
      <c r="A725" s="32" t="s">
        <v>242</v>
      </c>
      <c r="B725" s="32" t="s">
        <v>663</v>
      </c>
      <c r="C725" s="32" t="str">
        <f>vlookup(B725,State_EMM_RowSums!$A$2:$B$52,2,FALSE)</f>
        <v>IN</v>
      </c>
      <c r="D725" s="32">
        <v>18053.0</v>
      </c>
      <c r="E725" s="33">
        <f>IF(NOT(ISBLANK(vlookup($D725,Pop_Census_2023!$A$2:$E$3220,4,FALSE))),vlookup($D725,Pop_Census_2023!$A$2:$E$3220,4,FALSE), vlookup($D725,Pop_Census_2023!$A$2:$E$3220,5,FALSE))</f>
        <v>66200</v>
      </c>
      <c r="F725" s="32">
        <v>450355.0</v>
      </c>
      <c r="G725" s="32">
        <v>105.0</v>
      </c>
      <c r="H725" s="32" t="str">
        <f>VLOOKUP(D725, Grid_Region_Mapping!$D$2:$F$5286, 3, FALSE)</f>
        <v>PJMW</v>
      </c>
      <c r="I725" s="32">
        <v>3.0</v>
      </c>
      <c r="J725" s="34" t="str">
        <f t="shared" si="1"/>
        <v>Midwest</v>
      </c>
      <c r="K725" s="35">
        <v>2.0</v>
      </c>
      <c r="L725" s="35" t="s">
        <v>396</v>
      </c>
      <c r="M725" s="36">
        <f>VLOOKUP(D725, County_Data_CZones!$B$2:$F$3236, 2, FALSE)</f>
        <v>5</v>
      </c>
      <c r="N725" s="37" t="str">
        <f>VLOOKUP(D725, County_Data_CZones!$B$2:$F$3236, 5, FALSE)</f>
        <v>Cold</v>
      </c>
    </row>
    <row r="726" ht="15.75" customHeight="1">
      <c r="A726" s="32" t="s">
        <v>134</v>
      </c>
      <c r="B726" s="32" t="s">
        <v>663</v>
      </c>
      <c r="C726" s="32" t="str">
        <f>vlookup(B726,State_EMM_RowSums!$A$2:$B$52,2,FALSE)</f>
        <v>IN</v>
      </c>
      <c r="D726" s="32">
        <v>18055.0</v>
      </c>
      <c r="E726" s="33">
        <f>IF(NOT(ISBLANK(vlookup($D726,Pop_Census_2023!$A$2:$E$3220,4,FALSE))),vlookup($D726,Pop_Census_2023!$A$2:$E$3220,4,FALSE), vlookup($D726,Pop_Census_2023!$A$2:$E$3220,5,FALSE))</f>
        <v>31196</v>
      </c>
      <c r="F726" s="32">
        <v>451676.0</v>
      </c>
      <c r="G726" s="32">
        <v>107.0</v>
      </c>
      <c r="H726" s="32" t="str">
        <f>VLOOKUP(D726, Grid_Region_Mapping!$D$2:$F$5286, 3, FALSE)</f>
        <v>MISC</v>
      </c>
      <c r="I726" s="32">
        <v>3.0</v>
      </c>
      <c r="J726" s="34" t="str">
        <f t="shared" si="1"/>
        <v>Midwest</v>
      </c>
      <c r="K726" s="35">
        <v>3.0</v>
      </c>
      <c r="L726" s="35" t="s">
        <v>223</v>
      </c>
      <c r="M726" s="36">
        <f>VLOOKUP(D726, County_Data_CZones!$B$2:$F$3236, 2, FALSE)</f>
        <v>4</v>
      </c>
      <c r="N726" s="37" t="str">
        <f>VLOOKUP(D726, County_Data_CZones!$B$2:$F$3236, 5, FALSE)</f>
        <v>Mixed-Humid</v>
      </c>
    </row>
    <row r="727" ht="15.75" customHeight="1">
      <c r="A727" s="32" t="s">
        <v>428</v>
      </c>
      <c r="B727" s="32" t="s">
        <v>663</v>
      </c>
      <c r="C727" s="32" t="str">
        <f>vlookup(B727,State_EMM_RowSums!$A$2:$B$52,2,FALSE)</f>
        <v>IN</v>
      </c>
      <c r="D727" s="32">
        <v>18057.0</v>
      </c>
      <c r="E727" s="33">
        <f>IF(NOT(ISBLANK(vlookup($D727,Pop_Census_2023!$A$2:$E$3220,4,FALSE))),vlookup($D727,Pop_Census_2023!$A$2:$E$3220,4,FALSE), vlookup($D727,Pop_Census_2023!$A$2:$E$3220,5,FALSE))</f>
        <v>371645</v>
      </c>
      <c r="F727" s="32">
        <v>450356.0</v>
      </c>
      <c r="G727" s="32">
        <v>106.0</v>
      </c>
      <c r="H727" s="32" t="str">
        <f>VLOOKUP(D727, Grid_Region_Mapping!$D$2:$F$5286, 3, FALSE)</f>
        <v>PJMW</v>
      </c>
      <c r="I727" s="32">
        <v>3.0</v>
      </c>
      <c r="J727" s="34" t="str">
        <f t="shared" si="1"/>
        <v>Midwest</v>
      </c>
      <c r="K727" s="35">
        <v>2.0</v>
      </c>
      <c r="L727" s="35" t="s">
        <v>396</v>
      </c>
      <c r="M727" s="36">
        <f>VLOOKUP(D727, County_Data_CZones!$B$2:$F$3236, 2, FALSE)</f>
        <v>5</v>
      </c>
      <c r="N727" s="37" t="str">
        <f>VLOOKUP(D727, County_Data_CZones!$B$2:$F$3236, 5, FALSE)</f>
        <v>Cold</v>
      </c>
    </row>
    <row r="728" ht="15.75" customHeight="1">
      <c r="A728" s="32" t="s">
        <v>512</v>
      </c>
      <c r="B728" s="32" t="s">
        <v>663</v>
      </c>
      <c r="C728" s="32" t="str">
        <f>vlookup(B728,State_EMM_RowSums!$A$2:$B$52,2,FALSE)</f>
        <v>IN</v>
      </c>
      <c r="D728" s="32">
        <v>18059.0</v>
      </c>
      <c r="E728" s="33">
        <f>IF(NOT(ISBLANK(vlookup($D728,Pop_Census_2023!$A$2:$E$3220,4,FALSE))),vlookup($D728,Pop_Census_2023!$A$2:$E$3220,4,FALSE), vlookup($D728,Pop_Census_2023!$A$2:$E$3220,5,FALSE))</f>
        <v>86166</v>
      </c>
      <c r="F728" s="32">
        <v>450357.0</v>
      </c>
      <c r="G728" s="32">
        <v>105.0</v>
      </c>
      <c r="H728" s="32" t="str">
        <f>VLOOKUP(D728, Grid_Region_Mapping!$D$2:$F$5286, 3, FALSE)</f>
        <v>MISC</v>
      </c>
      <c r="I728" s="32">
        <v>3.0</v>
      </c>
      <c r="J728" s="34" t="str">
        <f t="shared" si="1"/>
        <v>Midwest</v>
      </c>
      <c r="K728" s="35">
        <v>2.0</v>
      </c>
      <c r="L728" s="35" t="s">
        <v>396</v>
      </c>
      <c r="M728" s="36">
        <f>VLOOKUP(D728, County_Data_CZones!$B$2:$F$3236, 2, FALSE)</f>
        <v>5</v>
      </c>
      <c r="N728" s="37" t="str">
        <f>VLOOKUP(D728, County_Data_CZones!$B$2:$F$3236, 5, FALSE)</f>
        <v>Cold</v>
      </c>
    </row>
    <row r="729" ht="15.75" customHeight="1">
      <c r="A729" s="32" t="s">
        <v>673</v>
      </c>
      <c r="B729" s="32" t="s">
        <v>663</v>
      </c>
      <c r="C729" s="32" t="str">
        <f>vlookup(B729,State_EMM_RowSums!$A$2:$B$52,2,FALSE)</f>
        <v>IN</v>
      </c>
      <c r="D729" s="32">
        <v>18061.0</v>
      </c>
      <c r="E729" s="33">
        <f>IF(NOT(ISBLANK(vlookup($D729,Pop_Census_2023!$A$2:$E$3220,4,FALSE))),vlookup($D729,Pop_Census_2023!$A$2:$E$3220,4,FALSE), vlookup($D729,Pop_Census_2023!$A$2:$E$3220,5,FALSE))</f>
        <v>40006</v>
      </c>
      <c r="F729" s="32">
        <v>451677.0</v>
      </c>
      <c r="G729" s="32">
        <v>107.0</v>
      </c>
      <c r="H729" s="32" t="str">
        <f>VLOOKUP(D729, Grid_Region_Mapping!$D$2:$F$5286, 3, FALSE)</f>
        <v>MISC</v>
      </c>
      <c r="I729" s="32">
        <v>3.0</v>
      </c>
      <c r="J729" s="34" t="str">
        <f t="shared" si="1"/>
        <v>Midwest</v>
      </c>
      <c r="K729" s="35">
        <v>3.0</v>
      </c>
      <c r="L729" s="35" t="s">
        <v>223</v>
      </c>
      <c r="M729" s="36">
        <f>VLOOKUP(D729, County_Data_CZones!$B$2:$F$3236, 2, FALSE)</f>
        <v>4</v>
      </c>
      <c r="N729" s="37" t="str">
        <f>VLOOKUP(D729, County_Data_CZones!$B$2:$F$3236, 5, FALSE)</f>
        <v>Mixed-Humid</v>
      </c>
    </row>
    <row r="730" ht="15.75" customHeight="1">
      <c r="A730" s="32" t="s">
        <v>674</v>
      </c>
      <c r="B730" s="32" t="s">
        <v>663</v>
      </c>
      <c r="C730" s="32" t="str">
        <f>vlookup(B730,State_EMM_RowSums!$A$2:$B$52,2,FALSE)</f>
        <v>IN</v>
      </c>
      <c r="D730" s="32">
        <v>18063.0</v>
      </c>
      <c r="E730" s="33">
        <f>IF(NOT(ISBLANK(vlookup($D730,Pop_Census_2023!$A$2:$E$3220,4,FALSE))),vlookup($D730,Pop_Census_2023!$A$2:$E$3220,4,FALSE), vlookup($D730,Pop_Census_2023!$A$2:$E$3220,5,FALSE))</f>
        <v>186387</v>
      </c>
      <c r="F730" s="32">
        <v>450358.0</v>
      </c>
      <c r="G730" s="32">
        <v>105.0</v>
      </c>
      <c r="H730" s="32" t="str">
        <f>VLOOKUP(D730, Grid_Region_Mapping!$D$2:$F$5286, 3, FALSE)</f>
        <v>MISC</v>
      </c>
      <c r="I730" s="32">
        <v>3.0</v>
      </c>
      <c r="J730" s="34" t="str">
        <f t="shared" si="1"/>
        <v>Midwest</v>
      </c>
      <c r="K730" s="35">
        <v>2.0</v>
      </c>
      <c r="L730" s="35" t="s">
        <v>396</v>
      </c>
      <c r="M730" s="36">
        <f>VLOOKUP(D730, County_Data_CZones!$B$2:$F$3236, 2, FALSE)</f>
        <v>5</v>
      </c>
      <c r="N730" s="37" t="str">
        <f>VLOOKUP(D730, County_Data_CZones!$B$2:$F$3236, 5, FALSE)</f>
        <v>Cold</v>
      </c>
    </row>
    <row r="731" ht="15.75" customHeight="1">
      <c r="A731" s="32" t="s">
        <v>136</v>
      </c>
      <c r="B731" s="32" t="s">
        <v>663</v>
      </c>
      <c r="C731" s="32" t="str">
        <f>vlookup(B731,State_EMM_RowSums!$A$2:$B$52,2,FALSE)</f>
        <v>IN</v>
      </c>
      <c r="D731" s="32">
        <v>18065.0</v>
      </c>
      <c r="E731" s="33">
        <f>IF(NOT(ISBLANK(vlookup($D731,Pop_Census_2023!$A$2:$E$3220,4,FALSE))),vlookup($D731,Pop_Census_2023!$A$2:$E$3220,4,FALSE), vlookup($D731,Pop_Census_2023!$A$2:$E$3220,5,FALSE))</f>
        <v>48929</v>
      </c>
      <c r="F731" s="32">
        <v>450359.0</v>
      </c>
      <c r="G731" s="32">
        <v>107.0</v>
      </c>
      <c r="H731" s="32" t="str">
        <f>VLOOKUP(D731, Grid_Region_Mapping!$D$2:$F$5286, 3, FALSE)</f>
        <v>PJMW</v>
      </c>
      <c r="I731" s="32">
        <v>3.0</v>
      </c>
      <c r="J731" s="34" t="str">
        <f t="shared" si="1"/>
        <v>Midwest</v>
      </c>
      <c r="K731" s="35">
        <v>2.0</v>
      </c>
      <c r="L731" s="35" t="s">
        <v>396</v>
      </c>
      <c r="M731" s="36">
        <f>VLOOKUP(D731, County_Data_CZones!$B$2:$F$3236, 2, FALSE)</f>
        <v>5</v>
      </c>
      <c r="N731" s="37" t="str">
        <f>VLOOKUP(D731, County_Data_CZones!$B$2:$F$3236, 5, FALSE)</f>
        <v>Cold</v>
      </c>
    </row>
    <row r="732" ht="15.75" customHeight="1">
      <c r="A732" s="32" t="s">
        <v>245</v>
      </c>
      <c r="B732" s="32" t="s">
        <v>663</v>
      </c>
      <c r="C732" s="32" t="str">
        <f>vlookup(B732,State_EMM_RowSums!$A$2:$B$52,2,FALSE)</f>
        <v>IN</v>
      </c>
      <c r="D732" s="32">
        <v>18067.0</v>
      </c>
      <c r="E732" s="33">
        <f>IF(NOT(ISBLANK(vlookup($D732,Pop_Census_2023!$A$2:$E$3220,4,FALSE))),vlookup($D732,Pop_Census_2023!$A$2:$E$3220,4,FALSE), vlookup($D732,Pop_Census_2023!$A$2:$E$3220,5,FALSE))</f>
        <v>83831</v>
      </c>
      <c r="F732" s="32">
        <v>450360.0</v>
      </c>
      <c r="G732" s="32">
        <v>105.0</v>
      </c>
      <c r="H732" s="32" t="str">
        <f>VLOOKUP(D732, Grid_Region_Mapping!$D$2:$F$5286, 3, FALSE)</f>
        <v>PJMW</v>
      </c>
      <c r="I732" s="32">
        <v>3.0</v>
      </c>
      <c r="J732" s="34" t="str">
        <f t="shared" si="1"/>
        <v>Midwest</v>
      </c>
      <c r="K732" s="35">
        <v>2.0</v>
      </c>
      <c r="L732" s="35" t="s">
        <v>396</v>
      </c>
      <c r="M732" s="36">
        <f>VLOOKUP(D732, County_Data_CZones!$B$2:$F$3236, 2, FALSE)</f>
        <v>5</v>
      </c>
      <c r="N732" s="37" t="str">
        <f>VLOOKUP(D732, County_Data_CZones!$B$2:$F$3236, 5, FALSE)</f>
        <v>Cold</v>
      </c>
    </row>
    <row r="733" ht="15.75" customHeight="1">
      <c r="A733" s="32" t="s">
        <v>675</v>
      </c>
      <c r="B733" s="32" t="s">
        <v>663</v>
      </c>
      <c r="C733" s="32" t="str">
        <f>vlookup(B733,State_EMM_RowSums!$A$2:$B$52,2,FALSE)</f>
        <v>IN</v>
      </c>
      <c r="D733" s="32">
        <v>18069.0</v>
      </c>
      <c r="E733" s="33">
        <f>IF(NOT(ISBLANK(vlookup($D733,Pop_Census_2023!$A$2:$E$3220,4,FALSE))),vlookup($D733,Pop_Census_2023!$A$2:$E$3220,4,FALSE), vlookup($D733,Pop_Census_2023!$A$2:$E$3220,5,FALSE))</f>
        <v>36781</v>
      </c>
      <c r="F733" s="32">
        <v>450361.0</v>
      </c>
      <c r="G733" s="32">
        <v>105.0</v>
      </c>
      <c r="H733" s="32" t="str">
        <f>VLOOKUP(D733, Grid_Region_Mapping!$D$2:$F$5286, 3, FALSE)</f>
        <v>PJMW</v>
      </c>
      <c r="I733" s="32">
        <v>3.0</v>
      </c>
      <c r="J733" s="34" t="str">
        <f t="shared" si="1"/>
        <v>Midwest</v>
      </c>
      <c r="K733" s="35">
        <v>2.0</v>
      </c>
      <c r="L733" s="35" t="s">
        <v>396</v>
      </c>
      <c r="M733" s="36">
        <f>VLOOKUP(D733, County_Data_CZones!$B$2:$F$3236, 2, FALSE)</f>
        <v>5</v>
      </c>
      <c r="N733" s="37" t="str">
        <f>VLOOKUP(D733, County_Data_CZones!$B$2:$F$3236, 5, FALSE)</f>
        <v>Cold</v>
      </c>
    </row>
    <row r="734" ht="15.75" customHeight="1">
      <c r="A734" s="32" t="s">
        <v>138</v>
      </c>
      <c r="B734" s="32" t="s">
        <v>663</v>
      </c>
      <c r="C734" s="32" t="str">
        <f>vlookup(B734,State_EMM_RowSums!$A$2:$B$52,2,FALSE)</f>
        <v>IN</v>
      </c>
      <c r="D734" s="32">
        <v>18071.0</v>
      </c>
      <c r="E734" s="33">
        <f>IF(NOT(ISBLANK(vlookup($D734,Pop_Census_2023!$A$2:$E$3220,4,FALSE))),vlookup($D734,Pop_Census_2023!$A$2:$E$3220,4,FALSE), vlookup($D734,Pop_Census_2023!$A$2:$E$3220,5,FALSE))</f>
        <v>46460</v>
      </c>
      <c r="F734" s="32">
        <v>451678.0</v>
      </c>
      <c r="G734" s="32">
        <v>107.0</v>
      </c>
      <c r="H734" s="32" t="str">
        <f>VLOOKUP(D734, Grid_Region_Mapping!$D$2:$F$5286, 3, FALSE)</f>
        <v>MISC</v>
      </c>
      <c r="I734" s="32">
        <v>3.0</v>
      </c>
      <c r="J734" s="34" t="str">
        <f t="shared" si="1"/>
        <v>Midwest</v>
      </c>
      <c r="K734" s="35">
        <v>3.0</v>
      </c>
      <c r="L734" s="35" t="s">
        <v>223</v>
      </c>
      <c r="M734" s="36">
        <f>VLOOKUP(D734, County_Data_CZones!$B$2:$F$3236, 2, FALSE)</f>
        <v>4</v>
      </c>
      <c r="N734" s="37" t="str">
        <f>VLOOKUP(D734, County_Data_CZones!$B$2:$F$3236, 5, FALSE)</f>
        <v>Mixed-Humid</v>
      </c>
    </row>
    <row r="735" ht="15.75" customHeight="1">
      <c r="A735" s="32" t="s">
        <v>518</v>
      </c>
      <c r="B735" s="32" t="s">
        <v>663</v>
      </c>
      <c r="C735" s="32" t="str">
        <f>vlookup(B735,State_EMM_RowSums!$A$2:$B$52,2,FALSE)</f>
        <v>IN</v>
      </c>
      <c r="D735" s="32">
        <v>18073.0</v>
      </c>
      <c r="E735" s="33">
        <f>IF(NOT(ISBLANK(vlookup($D735,Pop_Census_2023!$A$2:$E$3220,4,FALSE))),vlookup($D735,Pop_Census_2023!$A$2:$E$3220,4,FALSE), vlookup($D735,Pop_Census_2023!$A$2:$E$3220,5,FALSE))</f>
        <v>33535</v>
      </c>
      <c r="F735" s="32">
        <v>450494.0</v>
      </c>
      <c r="G735" s="32">
        <v>105.0</v>
      </c>
      <c r="H735" s="32" t="str">
        <f>VLOOKUP(D735, Grid_Region_Mapping!$D$2:$F$5286, 3, FALSE)</f>
        <v>MISC</v>
      </c>
      <c r="I735" s="32">
        <v>3.0</v>
      </c>
      <c r="J735" s="34" t="str">
        <f t="shared" si="1"/>
        <v>Midwest</v>
      </c>
      <c r="K735" s="35">
        <v>2.0</v>
      </c>
      <c r="L735" s="35" t="s">
        <v>396</v>
      </c>
      <c r="M735" s="36">
        <f>VLOOKUP(D735, County_Data_CZones!$B$2:$F$3236, 2, FALSE)</f>
        <v>5</v>
      </c>
      <c r="N735" s="37" t="str">
        <f>VLOOKUP(D735, County_Data_CZones!$B$2:$F$3236, 5, FALSE)</f>
        <v>Cold</v>
      </c>
    </row>
    <row r="736" ht="15.75" customHeight="1">
      <c r="A736" s="32" t="s">
        <v>676</v>
      </c>
      <c r="B736" s="32" t="s">
        <v>663</v>
      </c>
      <c r="C736" s="32" t="str">
        <f>vlookup(B736,State_EMM_RowSums!$A$2:$B$52,2,FALSE)</f>
        <v>IN</v>
      </c>
      <c r="D736" s="32">
        <v>18075.0</v>
      </c>
      <c r="E736" s="33">
        <f>IF(NOT(ISBLANK(vlookup($D736,Pop_Census_2023!$A$2:$E$3220,4,FALSE))),vlookup($D736,Pop_Census_2023!$A$2:$E$3220,4,FALSE), vlookup($D736,Pop_Census_2023!$A$2:$E$3220,5,FALSE))</f>
        <v>20032</v>
      </c>
      <c r="F736" s="32">
        <v>450362.0</v>
      </c>
      <c r="G736" s="32">
        <v>105.0</v>
      </c>
      <c r="H736" s="32" t="str">
        <f>VLOOKUP(D736, Grid_Region_Mapping!$D$2:$F$5286, 3, FALSE)</f>
        <v>PJMW</v>
      </c>
      <c r="I736" s="32">
        <v>3.0</v>
      </c>
      <c r="J736" s="34" t="str">
        <f t="shared" si="1"/>
        <v>Midwest</v>
      </c>
      <c r="K736" s="35">
        <v>2.0</v>
      </c>
      <c r="L736" s="35" t="s">
        <v>396</v>
      </c>
      <c r="M736" s="36">
        <f>VLOOKUP(D736, County_Data_CZones!$B$2:$F$3236, 2, FALSE)</f>
        <v>5</v>
      </c>
      <c r="N736" s="37" t="str">
        <f>VLOOKUP(D736, County_Data_CZones!$B$2:$F$3236, 5, FALSE)</f>
        <v>Cold</v>
      </c>
    </row>
    <row r="737" ht="15.75" customHeight="1">
      <c r="A737" s="32" t="s">
        <v>139</v>
      </c>
      <c r="B737" s="32" t="s">
        <v>663</v>
      </c>
      <c r="C737" s="32" t="str">
        <f>vlookup(B737,State_EMM_RowSums!$A$2:$B$52,2,FALSE)</f>
        <v>IN</v>
      </c>
      <c r="D737" s="32">
        <v>18077.0</v>
      </c>
      <c r="E737" s="33">
        <f>IF(NOT(ISBLANK(vlookup($D737,Pop_Census_2023!$A$2:$E$3220,4,FALSE))),vlookup($D737,Pop_Census_2023!$A$2:$E$3220,4,FALSE), vlookup($D737,Pop_Census_2023!$A$2:$E$3220,5,FALSE))</f>
        <v>33056</v>
      </c>
      <c r="F737" s="32">
        <v>450363.0</v>
      </c>
      <c r="G737" s="32">
        <v>107.0</v>
      </c>
      <c r="H737" s="32" t="str">
        <f>VLOOKUP(D737, Grid_Region_Mapping!$D$2:$F$5286, 3, FALSE)</f>
        <v>MISC</v>
      </c>
      <c r="I737" s="32">
        <v>3.0</v>
      </c>
      <c r="J737" s="34" t="str">
        <f t="shared" si="1"/>
        <v>Midwest</v>
      </c>
      <c r="K737" s="35">
        <v>3.0</v>
      </c>
      <c r="L737" s="35" t="s">
        <v>223</v>
      </c>
      <c r="M737" s="36">
        <f>VLOOKUP(D737, County_Data_CZones!$B$2:$F$3236, 2, FALSE)</f>
        <v>4</v>
      </c>
      <c r="N737" s="37" t="str">
        <f>VLOOKUP(D737, County_Data_CZones!$B$2:$F$3236, 5, FALSE)</f>
        <v>Mixed-Humid</v>
      </c>
    </row>
    <row r="738" ht="15.75" customHeight="1">
      <c r="A738" s="32" t="s">
        <v>677</v>
      </c>
      <c r="B738" s="32" t="s">
        <v>663</v>
      </c>
      <c r="C738" s="32" t="str">
        <f>vlookup(B738,State_EMM_RowSums!$A$2:$B$52,2,FALSE)</f>
        <v>IN</v>
      </c>
      <c r="D738" s="32">
        <v>18079.0</v>
      </c>
      <c r="E738" s="33">
        <f>IF(NOT(ISBLANK(vlookup($D738,Pop_Census_2023!$A$2:$E$3220,4,FALSE))),vlookup($D738,Pop_Census_2023!$A$2:$E$3220,4,FALSE), vlookup($D738,Pop_Census_2023!$A$2:$E$3220,5,FALSE))</f>
        <v>27622</v>
      </c>
      <c r="F738" s="32">
        <v>450364.0</v>
      </c>
      <c r="G738" s="32">
        <v>107.0</v>
      </c>
      <c r="H738" s="32" t="str">
        <f>VLOOKUP(D738, Grid_Region_Mapping!$D$2:$F$5286, 3, FALSE)</f>
        <v>MISC</v>
      </c>
      <c r="I738" s="32">
        <v>3.0</v>
      </c>
      <c r="J738" s="34" t="str">
        <f t="shared" si="1"/>
        <v>Midwest</v>
      </c>
      <c r="K738" s="35">
        <v>3.0</v>
      </c>
      <c r="L738" s="35" t="s">
        <v>223</v>
      </c>
      <c r="M738" s="36">
        <f>VLOOKUP(D738, County_Data_CZones!$B$2:$F$3236, 2, FALSE)</f>
        <v>4</v>
      </c>
      <c r="N738" s="37" t="str">
        <f>VLOOKUP(D738, County_Data_CZones!$B$2:$F$3236, 5, FALSE)</f>
        <v>Mixed-Humid</v>
      </c>
    </row>
    <row r="739" ht="15.75" customHeight="1">
      <c r="A739" s="32" t="s">
        <v>248</v>
      </c>
      <c r="B739" s="32" t="s">
        <v>663</v>
      </c>
      <c r="C739" s="32" t="str">
        <f>vlookup(B739,State_EMM_RowSums!$A$2:$B$52,2,FALSE)</f>
        <v>IN</v>
      </c>
      <c r="D739" s="32">
        <v>18081.0</v>
      </c>
      <c r="E739" s="33">
        <f>IF(NOT(ISBLANK(vlookup($D739,Pop_Census_2023!$A$2:$E$3220,4,FALSE))),vlookup($D739,Pop_Census_2023!$A$2:$E$3220,4,FALSE), vlookup($D739,Pop_Census_2023!$A$2:$E$3220,5,FALSE))</f>
        <v>167819</v>
      </c>
      <c r="F739" s="32">
        <v>450365.0</v>
      </c>
      <c r="G739" s="32">
        <v>107.0</v>
      </c>
      <c r="H739" s="32" t="str">
        <f>VLOOKUP(D739, Grid_Region_Mapping!$D$2:$F$5286, 3, FALSE)</f>
        <v>MISC</v>
      </c>
      <c r="I739" s="32">
        <v>3.0</v>
      </c>
      <c r="J739" s="34" t="str">
        <f t="shared" si="1"/>
        <v>Midwest</v>
      </c>
      <c r="K739" s="35">
        <v>2.0</v>
      </c>
      <c r="L739" s="35" t="s">
        <v>396</v>
      </c>
      <c r="M739" s="36">
        <f>VLOOKUP(D739, County_Data_CZones!$B$2:$F$3236, 2, FALSE)</f>
        <v>5</v>
      </c>
      <c r="N739" s="37" t="str">
        <f>VLOOKUP(D739, County_Data_CZones!$B$2:$F$3236, 5, FALSE)</f>
        <v>Cold</v>
      </c>
    </row>
    <row r="740" ht="15.75" customHeight="1">
      <c r="A740" s="32" t="s">
        <v>634</v>
      </c>
      <c r="B740" s="32" t="s">
        <v>663</v>
      </c>
      <c r="C740" s="32" t="str">
        <f>vlookup(B740,State_EMM_RowSums!$A$2:$B$52,2,FALSE)</f>
        <v>IN</v>
      </c>
      <c r="D740" s="32">
        <v>18083.0</v>
      </c>
      <c r="E740" s="33">
        <f>IF(NOT(ISBLANK(vlookup($D740,Pop_Census_2023!$A$2:$E$3220,4,FALSE))),vlookup($D740,Pop_Census_2023!$A$2:$E$3220,4,FALSE), vlookup($D740,Pop_Census_2023!$A$2:$E$3220,5,FALSE))</f>
        <v>36070</v>
      </c>
      <c r="F740" s="32">
        <v>450366.0</v>
      </c>
      <c r="G740" s="32">
        <v>107.0</v>
      </c>
      <c r="H740" s="32" t="str">
        <f>VLOOKUP(D740, Grid_Region_Mapping!$D$2:$F$5286, 3, FALSE)</f>
        <v>MISC</v>
      </c>
      <c r="I740" s="32">
        <v>3.0</v>
      </c>
      <c r="J740" s="34" t="str">
        <f t="shared" si="1"/>
        <v>Midwest</v>
      </c>
      <c r="K740" s="35">
        <v>3.0</v>
      </c>
      <c r="L740" s="35" t="s">
        <v>223</v>
      </c>
      <c r="M740" s="36">
        <f>VLOOKUP(D740, County_Data_CZones!$B$2:$F$3236, 2, FALSE)</f>
        <v>4</v>
      </c>
      <c r="N740" s="37" t="str">
        <f>VLOOKUP(D740, County_Data_CZones!$B$2:$F$3236, 5, FALSE)</f>
        <v>Mixed-Humid</v>
      </c>
    </row>
    <row r="741" ht="15.75" customHeight="1">
      <c r="A741" s="32" t="s">
        <v>678</v>
      </c>
      <c r="B741" s="32" t="s">
        <v>663</v>
      </c>
      <c r="C741" s="32" t="str">
        <f>vlookup(B741,State_EMM_RowSums!$A$2:$B$52,2,FALSE)</f>
        <v>IN</v>
      </c>
      <c r="D741" s="32">
        <v>18085.0</v>
      </c>
      <c r="E741" s="33">
        <f>IF(NOT(ISBLANK(vlookup($D741,Pop_Census_2023!$A$2:$E$3220,4,FALSE))),vlookup($D741,Pop_Census_2023!$A$2:$E$3220,4,FALSE), vlookup($D741,Pop_Census_2023!$A$2:$E$3220,5,FALSE))</f>
        <v>80364</v>
      </c>
      <c r="F741" s="32">
        <v>450367.0</v>
      </c>
      <c r="G741" s="32">
        <v>105.0</v>
      </c>
      <c r="H741" s="32" t="str">
        <f>VLOOKUP(D741, Grid_Region_Mapping!$D$2:$F$5286, 3, FALSE)</f>
        <v>PJMW</v>
      </c>
      <c r="I741" s="32">
        <v>3.0</v>
      </c>
      <c r="J741" s="34" t="str">
        <f t="shared" si="1"/>
        <v>Midwest</v>
      </c>
      <c r="K741" s="35">
        <v>2.0</v>
      </c>
      <c r="L741" s="35" t="s">
        <v>396</v>
      </c>
      <c r="M741" s="36">
        <f>VLOOKUP(D741, County_Data_CZones!$B$2:$F$3236, 2, FALSE)</f>
        <v>5</v>
      </c>
      <c r="N741" s="37" t="str">
        <f>VLOOKUP(D741, County_Data_CZones!$B$2:$F$3236, 5, FALSE)</f>
        <v>Cold</v>
      </c>
    </row>
    <row r="742" ht="15.75" customHeight="1">
      <c r="A742" s="32" t="s">
        <v>679</v>
      </c>
      <c r="B742" s="32" t="s">
        <v>663</v>
      </c>
      <c r="C742" s="32" t="str">
        <f>vlookup(B742,State_EMM_RowSums!$A$2:$B$52,2,FALSE)</f>
        <v>IN</v>
      </c>
      <c r="D742" s="32">
        <v>18087.0</v>
      </c>
      <c r="E742" s="33">
        <f>IF(NOT(ISBLANK(vlookup($D742,Pop_Census_2023!$A$2:$E$3220,4,FALSE))),vlookup($D742,Pop_Census_2023!$A$2:$E$3220,4,FALSE), vlookup($D742,Pop_Census_2023!$A$2:$E$3220,5,FALSE))</f>
        <v>40907</v>
      </c>
      <c r="F742" s="32">
        <v>450368.0</v>
      </c>
      <c r="G742" s="32">
        <v>105.0</v>
      </c>
      <c r="H742" s="32" t="str">
        <f>VLOOKUP(D742, Grid_Region_Mapping!$D$2:$F$5286, 3, FALSE)</f>
        <v>PJMW</v>
      </c>
      <c r="I742" s="32">
        <v>3.0</v>
      </c>
      <c r="J742" s="34" t="str">
        <f t="shared" si="1"/>
        <v>Midwest</v>
      </c>
      <c r="K742" s="35">
        <v>2.0</v>
      </c>
      <c r="L742" s="35" t="s">
        <v>396</v>
      </c>
      <c r="M742" s="36">
        <f>VLOOKUP(D742, County_Data_CZones!$B$2:$F$3236, 2, FALSE)</f>
        <v>5</v>
      </c>
      <c r="N742" s="37" t="str">
        <f>VLOOKUP(D742, County_Data_CZones!$B$2:$F$3236, 5, FALSE)</f>
        <v>Cold</v>
      </c>
    </row>
    <row r="743" ht="15.75" customHeight="1">
      <c r="A743" s="32" t="s">
        <v>298</v>
      </c>
      <c r="B743" s="32" t="s">
        <v>663</v>
      </c>
      <c r="C743" s="32" t="str">
        <f>vlookup(B743,State_EMM_RowSums!$A$2:$B$52,2,FALSE)</f>
        <v>IN</v>
      </c>
      <c r="D743" s="32">
        <v>18089.0</v>
      </c>
      <c r="E743" s="33">
        <f>IF(NOT(ISBLANK(vlookup($D743,Pop_Census_2023!$A$2:$E$3220,4,FALSE))),vlookup($D743,Pop_Census_2023!$A$2:$E$3220,4,FALSE), vlookup($D743,Pop_Census_2023!$A$2:$E$3220,5,FALSE))</f>
        <v>500598</v>
      </c>
      <c r="F743" s="32">
        <v>450495.0</v>
      </c>
      <c r="G743" s="32">
        <v>105.0</v>
      </c>
      <c r="H743" s="32" t="str">
        <f>VLOOKUP(D743, Grid_Region_Mapping!$D$2:$F$5286, 3, FALSE)</f>
        <v>MISC</v>
      </c>
      <c r="I743" s="32">
        <v>3.0</v>
      </c>
      <c r="J743" s="34" t="str">
        <f t="shared" si="1"/>
        <v>Midwest</v>
      </c>
      <c r="K743" s="35">
        <v>2.0</v>
      </c>
      <c r="L743" s="35" t="s">
        <v>396</v>
      </c>
      <c r="M743" s="36">
        <f>VLOOKUP(D743, County_Data_CZones!$B$2:$F$3236, 2, FALSE)</f>
        <v>5</v>
      </c>
      <c r="N743" s="37" t="str">
        <f>VLOOKUP(D743, County_Data_CZones!$B$2:$F$3236, 5, FALSE)</f>
        <v>Cold</v>
      </c>
    </row>
    <row r="744" ht="15.75" customHeight="1">
      <c r="A744" s="32" t="s">
        <v>680</v>
      </c>
      <c r="B744" s="32" t="s">
        <v>663</v>
      </c>
      <c r="C744" s="32" t="str">
        <f>vlookup(B744,State_EMM_RowSums!$A$2:$B$52,2,FALSE)</f>
        <v>IN</v>
      </c>
      <c r="D744" s="32">
        <v>18091.0</v>
      </c>
      <c r="E744" s="33">
        <f>IF(NOT(ISBLANK(vlookup($D744,Pop_Census_2023!$A$2:$E$3220,4,FALSE))),vlookup($D744,Pop_Census_2023!$A$2:$E$3220,4,FALSE), vlookup($D744,Pop_Census_2023!$A$2:$E$3220,5,FALSE))</f>
        <v>111706</v>
      </c>
      <c r="F744" s="32">
        <v>450507.0</v>
      </c>
      <c r="G744" s="32">
        <v>105.0</v>
      </c>
      <c r="H744" s="32" t="str">
        <f>VLOOKUP(D744, Grid_Region_Mapping!$D$2:$F$5286, 3, FALSE)</f>
        <v>PJMW</v>
      </c>
      <c r="I744" s="32">
        <v>3.0</v>
      </c>
      <c r="J744" s="34" t="str">
        <f t="shared" si="1"/>
        <v>Midwest</v>
      </c>
      <c r="K744" s="35">
        <v>2.0</v>
      </c>
      <c r="L744" s="35" t="s">
        <v>396</v>
      </c>
      <c r="M744" s="36">
        <f>VLOOKUP(D744, County_Data_CZones!$B$2:$F$3236, 2, FALSE)</f>
        <v>5</v>
      </c>
      <c r="N744" s="37" t="str">
        <f>VLOOKUP(D744, County_Data_CZones!$B$2:$F$3236, 5, FALSE)</f>
        <v>Cold</v>
      </c>
    </row>
    <row r="745" ht="15.75" customHeight="1">
      <c r="A745" s="32" t="s">
        <v>142</v>
      </c>
      <c r="B745" s="32" t="s">
        <v>663</v>
      </c>
      <c r="C745" s="32" t="str">
        <f>vlookup(B745,State_EMM_RowSums!$A$2:$B$52,2,FALSE)</f>
        <v>IN</v>
      </c>
      <c r="D745" s="32">
        <v>18093.0</v>
      </c>
      <c r="E745" s="33">
        <f>IF(NOT(ISBLANK(vlookup($D745,Pop_Census_2023!$A$2:$E$3220,4,FALSE))),vlookup($D745,Pop_Census_2023!$A$2:$E$3220,4,FALSE), vlookup($D745,Pop_Census_2023!$A$2:$E$3220,5,FALSE))</f>
        <v>45084</v>
      </c>
      <c r="F745" s="32">
        <v>451703.0</v>
      </c>
      <c r="G745" s="32">
        <v>107.0</v>
      </c>
      <c r="H745" s="32" t="str">
        <f>VLOOKUP(D745, Grid_Region_Mapping!$D$2:$F$5286, 3, FALSE)</f>
        <v>MISC</v>
      </c>
      <c r="I745" s="32">
        <v>3.0</v>
      </c>
      <c r="J745" s="34" t="str">
        <f t="shared" si="1"/>
        <v>Midwest</v>
      </c>
      <c r="K745" s="35">
        <v>3.0</v>
      </c>
      <c r="L745" s="35" t="s">
        <v>223</v>
      </c>
      <c r="M745" s="36">
        <f>VLOOKUP(D745, County_Data_CZones!$B$2:$F$3236, 2, FALSE)</f>
        <v>4</v>
      </c>
      <c r="N745" s="37" t="str">
        <f>VLOOKUP(D745, County_Data_CZones!$B$2:$F$3236, 5, FALSE)</f>
        <v>Mixed-Humid</v>
      </c>
    </row>
    <row r="746" ht="15.75" customHeight="1">
      <c r="A746" s="32" t="s">
        <v>147</v>
      </c>
      <c r="B746" s="32" t="s">
        <v>663</v>
      </c>
      <c r="C746" s="32" t="str">
        <f>vlookup(B746,State_EMM_RowSums!$A$2:$B$52,2,FALSE)</f>
        <v>IN</v>
      </c>
      <c r="D746" s="32">
        <v>18095.0</v>
      </c>
      <c r="E746" s="33">
        <f>IF(NOT(ISBLANK(vlookup($D746,Pop_Census_2023!$A$2:$E$3220,4,FALSE))),vlookup($D746,Pop_Census_2023!$A$2:$E$3220,4,FALSE), vlookup($D746,Pop_Census_2023!$A$2:$E$3220,5,FALSE))</f>
        <v>132504</v>
      </c>
      <c r="F746" s="32">
        <v>450370.0</v>
      </c>
      <c r="G746" s="32">
        <v>105.0</v>
      </c>
      <c r="H746" s="32" t="str">
        <f>VLOOKUP(D746, Grid_Region_Mapping!$D$2:$F$5286, 3, FALSE)</f>
        <v>PJMW</v>
      </c>
      <c r="I746" s="32">
        <v>3.0</v>
      </c>
      <c r="J746" s="34" t="str">
        <f t="shared" si="1"/>
        <v>Midwest</v>
      </c>
      <c r="K746" s="35">
        <v>2.0</v>
      </c>
      <c r="L746" s="35" t="s">
        <v>396</v>
      </c>
      <c r="M746" s="36">
        <f>VLOOKUP(D746, County_Data_CZones!$B$2:$F$3236, 2, FALSE)</f>
        <v>5</v>
      </c>
      <c r="N746" s="37" t="str">
        <f>VLOOKUP(D746, County_Data_CZones!$B$2:$F$3236, 5, FALSE)</f>
        <v>Cold</v>
      </c>
    </row>
    <row r="747" ht="15.75" customHeight="1">
      <c r="A747" s="32" t="s">
        <v>149</v>
      </c>
      <c r="B747" s="32" t="s">
        <v>663</v>
      </c>
      <c r="C747" s="32" t="str">
        <f>vlookup(B747,State_EMM_RowSums!$A$2:$B$52,2,FALSE)</f>
        <v>IN</v>
      </c>
      <c r="D747" s="32">
        <v>18097.0</v>
      </c>
      <c r="E747" s="33">
        <f>IF(NOT(ISBLANK(vlookup($D747,Pop_Census_2023!$A$2:$E$3220,4,FALSE))),vlookup($D747,Pop_Census_2023!$A$2:$E$3220,4,FALSE), vlookup($D747,Pop_Census_2023!$A$2:$E$3220,5,FALSE))</f>
        <v>968460</v>
      </c>
      <c r="F747" s="32">
        <v>450371.0</v>
      </c>
      <c r="G747" s="32">
        <v>106.0</v>
      </c>
      <c r="H747" s="32" t="str">
        <f>VLOOKUP(D747, Grid_Region_Mapping!$D$2:$F$5286, 3, FALSE)</f>
        <v>MISC</v>
      </c>
      <c r="I747" s="32">
        <v>3.0</v>
      </c>
      <c r="J747" s="34" t="str">
        <f t="shared" si="1"/>
        <v>Midwest</v>
      </c>
      <c r="K747" s="35">
        <v>2.0</v>
      </c>
      <c r="L747" s="35" t="s">
        <v>396</v>
      </c>
      <c r="M747" s="36">
        <f>VLOOKUP(D747, County_Data_CZones!$B$2:$F$3236, 2, FALSE)</f>
        <v>5</v>
      </c>
      <c r="N747" s="37" t="str">
        <f>VLOOKUP(D747, County_Data_CZones!$B$2:$F$3236, 5, FALSE)</f>
        <v>Cold</v>
      </c>
    </row>
    <row r="748" ht="15.75" customHeight="1">
      <c r="A748" s="32" t="s">
        <v>150</v>
      </c>
      <c r="B748" s="32" t="s">
        <v>663</v>
      </c>
      <c r="C748" s="32" t="str">
        <f>vlookup(B748,State_EMM_RowSums!$A$2:$B$52,2,FALSE)</f>
        <v>IN</v>
      </c>
      <c r="D748" s="32">
        <v>18099.0</v>
      </c>
      <c r="E748" s="33">
        <f>IF(NOT(ISBLANK(vlookup($D748,Pop_Census_2023!$A$2:$E$3220,4,FALSE))),vlookup($D748,Pop_Census_2023!$A$2:$E$3220,4,FALSE), vlookup($D748,Pop_Census_2023!$A$2:$E$3220,5,FALSE))</f>
        <v>46352</v>
      </c>
      <c r="F748" s="32">
        <v>450372.0</v>
      </c>
      <c r="G748" s="32">
        <v>105.0</v>
      </c>
      <c r="H748" s="32" t="str">
        <f>VLOOKUP(D748, Grid_Region_Mapping!$D$2:$F$5286, 3, FALSE)</f>
        <v>PJMW</v>
      </c>
      <c r="I748" s="32">
        <v>3.0</v>
      </c>
      <c r="J748" s="34" t="str">
        <f t="shared" si="1"/>
        <v>Midwest</v>
      </c>
      <c r="K748" s="35">
        <v>2.0</v>
      </c>
      <c r="L748" s="35" t="s">
        <v>396</v>
      </c>
      <c r="M748" s="36">
        <f>VLOOKUP(D748, County_Data_CZones!$B$2:$F$3236, 2, FALSE)</f>
        <v>5</v>
      </c>
      <c r="N748" s="37" t="str">
        <f>VLOOKUP(D748, County_Data_CZones!$B$2:$F$3236, 5, FALSE)</f>
        <v>Cold</v>
      </c>
    </row>
    <row r="749" ht="15.75" customHeight="1">
      <c r="A749" s="32" t="s">
        <v>440</v>
      </c>
      <c r="B749" s="32" t="s">
        <v>663</v>
      </c>
      <c r="C749" s="32" t="str">
        <f>vlookup(B749,State_EMM_RowSums!$A$2:$B$52,2,FALSE)</f>
        <v>IN</v>
      </c>
      <c r="D749" s="32">
        <v>18101.0</v>
      </c>
      <c r="E749" s="33">
        <f>IF(NOT(ISBLANK(vlookup($D749,Pop_Census_2023!$A$2:$E$3220,4,FALSE))),vlookup($D749,Pop_Census_2023!$A$2:$E$3220,4,FALSE), vlookup($D749,Pop_Census_2023!$A$2:$E$3220,5,FALSE))</f>
        <v>9897</v>
      </c>
      <c r="F749" s="32">
        <v>451679.0</v>
      </c>
      <c r="G749" s="32">
        <v>107.0</v>
      </c>
      <c r="H749" s="32" t="str">
        <f>VLOOKUP(D749, Grid_Region_Mapping!$D$2:$F$5286, 3, FALSE)</f>
        <v>MISC</v>
      </c>
      <c r="I749" s="32">
        <v>3.0</v>
      </c>
      <c r="J749" s="34" t="str">
        <f t="shared" si="1"/>
        <v>Midwest</v>
      </c>
      <c r="K749" s="35">
        <v>3.0</v>
      </c>
      <c r="L749" s="35" t="s">
        <v>223</v>
      </c>
      <c r="M749" s="36">
        <f>VLOOKUP(D749, County_Data_CZones!$B$2:$F$3236, 2, FALSE)</f>
        <v>4</v>
      </c>
      <c r="N749" s="37" t="str">
        <f>VLOOKUP(D749, County_Data_CZones!$B$2:$F$3236, 5, FALSE)</f>
        <v>Mixed-Humid</v>
      </c>
    </row>
    <row r="750" ht="15.75" customHeight="1">
      <c r="A750" s="32" t="s">
        <v>681</v>
      </c>
      <c r="B750" s="32" t="s">
        <v>663</v>
      </c>
      <c r="C750" s="32" t="str">
        <f>vlookup(B750,State_EMM_RowSums!$A$2:$B$52,2,FALSE)</f>
        <v>IN</v>
      </c>
      <c r="D750" s="32">
        <v>18103.0</v>
      </c>
      <c r="E750" s="33">
        <f>IF(NOT(ISBLANK(vlookup($D750,Pop_Census_2023!$A$2:$E$3220,4,FALSE))),vlookup($D750,Pop_Census_2023!$A$2:$E$3220,4,FALSE), vlookup($D750,Pop_Census_2023!$A$2:$E$3220,5,FALSE))</f>
        <v>35402</v>
      </c>
      <c r="F750" s="32">
        <v>450373.0</v>
      </c>
      <c r="G750" s="32">
        <v>105.0</v>
      </c>
      <c r="H750" s="32" t="str">
        <f>VLOOKUP(D750, Grid_Region_Mapping!$D$2:$F$5286, 3, FALSE)</f>
        <v>PJMW</v>
      </c>
      <c r="I750" s="32">
        <v>3.0</v>
      </c>
      <c r="J750" s="34" t="str">
        <f t="shared" si="1"/>
        <v>Midwest</v>
      </c>
      <c r="K750" s="35">
        <v>2.0</v>
      </c>
      <c r="L750" s="35" t="s">
        <v>396</v>
      </c>
      <c r="M750" s="36">
        <f>VLOOKUP(D750, County_Data_CZones!$B$2:$F$3236, 2, FALSE)</f>
        <v>5</v>
      </c>
      <c r="N750" s="37" t="str">
        <f>VLOOKUP(D750, County_Data_CZones!$B$2:$F$3236, 5, FALSE)</f>
        <v>Cold</v>
      </c>
    </row>
    <row r="751" ht="15.75" customHeight="1">
      <c r="A751" s="32" t="s">
        <v>152</v>
      </c>
      <c r="B751" s="32" t="s">
        <v>663</v>
      </c>
      <c r="C751" s="32" t="str">
        <f>vlookup(B751,State_EMM_RowSums!$A$2:$B$52,2,FALSE)</f>
        <v>IN</v>
      </c>
      <c r="D751" s="32">
        <v>18105.0</v>
      </c>
      <c r="E751" s="33">
        <f>IF(NOT(ISBLANK(vlookup($D751,Pop_Census_2023!$A$2:$E$3220,4,FALSE))),vlookup($D751,Pop_Census_2023!$A$2:$E$3220,4,FALSE), vlookup($D751,Pop_Census_2023!$A$2:$E$3220,5,FALSE))</f>
        <v>139342</v>
      </c>
      <c r="F751" s="32">
        <v>451680.0</v>
      </c>
      <c r="G751" s="32">
        <v>107.0</v>
      </c>
      <c r="H751" s="32" t="str">
        <f>VLOOKUP(D751, Grid_Region_Mapping!$D$2:$F$5286, 3, FALSE)</f>
        <v>MISC</v>
      </c>
      <c r="I751" s="32">
        <v>3.0</v>
      </c>
      <c r="J751" s="34" t="str">
        <f t="shared" si="1"/>
        <v>Midwest</v>
      </c>
      <c r="K751" s="35">
        <v>3.0</v>
      </c>
      <c r="L751" s="35" t="s">
        <v>223</v>
      </c>
      <c r="M751" s="36">
        <f>VLOOKUP(D751, County_Data_CZones!$B$2:$F$3236, 2, FALSE)</f>
        <v>4</v>
      </c>
      <c r="N751" s="37" t="str">
        <f>VLOOKUP(D751, County_Data_CZones!$B$2:$F$3236, 5, FALSE)</f>
        <v>Mixed-Humid</v>
      </c>
    </row>
    <row r="752" ht="15.75" customHeight="1">
      <c r="A752" s="32" t="s">
        <v>153</v>
      </c>
      <c r="B752" s="32" t="s">
        <v>663</v>
      </c>
      <c r="C752" s="32" t="str">
        <f>vlookup(B752,State_EMM_RowSums!$A$2:$B$52,2,FALSE)</f>
        <v>IN</v>
      </c>
      <c r="D752" s="32">
        <v>18107.0</v>
      </c>
      <c r="E752" s="33">
        <f>IF(NOT(ISBLANK(vlookup($D752,Pop_Census_2023!$A$2:$E$3220,4,FALSE))),vlookup($D752,Pop_Census_2023!$A$2:$E$3220,4,FALSE), vlookup($D752,Pop_Census_2023!$A$2:$E$3220,5,FALSE))</f>
        <v>38573</v>
      </c>
      <c r="F752" s="32">
        <v>450374.0</v>
      </c>
      <c r="G752" s="32">
        <v>105.0</v>
      </c>
      <c r="H752" s="32" t="str">
        <f>VLOOKUP(D752, Grid_Region_Mapping!$D$2:$F$5286, 3, FALSE)</f>
        <v>PJMW</v>
      </c>
      <c r="I752" s="32">
        <v>3.0</v>
      </c>
      <c r="J752" s="34" t="str">
        <f t="shared" si="1"/>
        <v>Midwest</v>
      </c>
      <c r="K752" s="35">
        <v>2.0</v>
      </c>
      <c r="L752" s="35" t="s">
        <v>396</v>
      </c>
      <c r="M752" s="36">
        <f>VLOOKUP(D752, County_Data_CZones!$B$2:$F$3236, 2, FALSE)</f>
        <v>5</v>
      </c>
      <c r="N752" s="37" t="str">
        <f>VLOOKUP(D752, County_Data_CZones!$B$2:$F$3236, 5, FALSE)</f>
        <v>Cold</v>
      </c>
    </row>
    <row r="753" ht="15.75" customHeight="1">
      <c r="A753" s="32" t="s">
        <v>154</v>
      </c>
      <c r="B753" s="32" t="s">
        <v>663</v>
      </c>
      <c r="C753" s="32" t="str">
        <f>vlookup(B753,State_EMM_RowSums!$A$2:$B$52,2,FALSE)</f>
        <v>IN</v>
      </c>
      <c r="D753" s="32">
        <v>18109.0</v>
      </c>
      <c r="E753" s="33">
        <f>IF(NOT(ISBLANK(vlookup($D753,Pop_Census_2023!$A$2:$E$3220,4,FALSE))),vlookup($D753,Pop_Census_2023!$A$2:$E$3220,4,FALSE), vlookup($D753,Pop_Census_2023!$A$2:$E$3220,5,FALSE))</f>
        <v>73227</v>
      </c>
      <c r="F753" s="32">
        <v>450375.0</v>
      </c>
      <c r="G753" s="32">
        <v>107.0</v>
      </c>
      <c r="H753" s="32" t="str">
        <f>VLOOKUP(D753, Grid_Region_Mapping!$D$2:$F$5286, 3, FALSE)</f>
        <v>MISC</v>
      </c>
      <c r="I753" s="32">
        <v>3.0</v>
      </c>
      <c r="J753" s="34" t="str">
        <f t="shared" si="1"/>
        <v>Midwest</v>
      </c>
      <c r="K753" s="35">
        <v>2.0</v>
      </c>
      <c r="L753" s="35" t="s">
        <v>396</v>
      </c>
      <c r="M753" s="36">
        <f>VLOOKUP(D753, County_Data_CZones!$B$2:$F$3236, 2, FALSE)</f>
        <v>5</v>
      </c>
      <c r="N753" s="37" t="str">
        <f>VLOOKUP(D753, County_Data_CZones!$B$2:$F$3236, 5, FALSE)</f>
        <v>Cold</v>
      </c>
    </row>
    <row r="754" ht="15.75" customHeight="1">
      <c r="A754" s="32" t="s">
        <v>257</v>
      </c>
      <c r="B754" s="32" t="s">
        <v>663</v>
      </c>
      <c r="C754" s="32" t="str">
        <f>vlookup(B754,State_EMM_RowSums!$A$2:$B$52,2,FALSE)</f>
        <v>IN</v>
      </c>
      <c r="D754" s="32">
        <v>18111.0</v>
      </c>
      <c r="E754" s="33">
        <f>IF(NOT(ISBLANK(vlookup($D754,Pop_Census_2023!$A$2:$E$3220,4,FALSE))),vlookup($D754,Pop_Census_2023!$A$2:$E$3220,4,FALSE), vlookup($D754,Pop_Census_2023!$A$2:$E$3220,5,FALSE))</f>
        <v>13960</v>
      </c>
      <c r="F754" s="32">
        <v>450376.0</v>
      </c>
      <c r="G754" s="32">
        <v>105.0</v>
      </c>
      <c r="H754" s="32" t="str">
        <f>VLOOKUP(D754, Grid_Region_Mapping!$D$2:$F$5286, 3, FALSE)</f>
        <v>MISC</v>
      </c>
      <c r="I754" s="32">
        <v>3.0</v>
      </c>
      <c r="J754" s="34" t="str">
        <f t="shared" si="1"/>
        <v>Midwest</v>
      </c>
      <c r="K754" s="35">
        <v>2.0</v>
      </c>
      <c r="L754" s="35" t="s">
        <v>396</v>
      </c>
      <c r="M754" s="36">
        <f>VLOOKUP(D754, County_Data_CZones!$B$2:$F$3236, 2, FALSE)</f>
        <v>5</v>
      </c>
      <c r="N754" s="37" t="str">
        <f>VLOOKUP(D754, County_Data_CZones!$B$2:$F$3236, 5, FALSE)</f>
        <v>Cold</v>
      </c>
    </row>
    <row r="755" ht="15.75" customHeight="1">
      <c r="A755" s="32" t="s">
        <v>682</v>
      </c>
      <c r="B755" s="32" t="s">
        <v>663</v>
      </c>
      <c r="C755" s="32" t="str">
        <f>vlookup(B755,State_EMM_RowSums!$A$2:$B$52,2,FALSE)</f>
        <v>IN</v>
      </c>
      <c r="D755" s="32">
        <v>18113.0</v>
      </c>
      <c r="E755" s="33">
        <f>IF(NOT(ISBLANK(vlookup($D755,Pop_Census_2023!$A$2:$E$3220,4,FALSE))),vlookup($D755,Pop_Census_2023!$A$2:$E$3220,4,FALSE), vlookup($D755,Pop_Census_2023!$A$2:$E$3220,5,FALSE))</f>
        <v>47430</v>
      </c>
      <c r="F755" s="32">
        <v>450377.0</v>
      </c>
      <c r="G755" s="32">
        <v>105.0</v>
      </c>
      <c r="H755" s="32" t="str">
        <f>VLOOKUP(D755, Grid_Region_Mapping!$D$2:$F$5286, 3, FALSE)</f>
        <v>PJMW</v>
      </c>
      <c r="I755" s="32">
        <v>3.0</v>
      </c>
      <c r="J755" s="34" t="str">
        <f t="shared" si="1"/>
        <v>Midwest</v>
      </c>
      <c r="K755" s="35">
        <v>2.0</v>
      </c>
      <c r="L755" s="35" t="s">
        <v>396</v>
      </c>
      <c r="M755" s="36">
        <f>VLOOKUP(D755, County_Data_CZones!$B$2:$F$3236, 2, FALSE)</f>
        <v>5</v>
      </c>
      <c r="N755" s="37" t="str">
        <f>VLOOKUP(D755, County_Data_CZones!$B$2:$F$3236, 5, FALSE)</f>
        <v>Cold</v>
      </c>
    </row>
    <row r="756" ht="15.75" customHeight="1">
      <c r="A756" s="32" t="s">
        <v>683</v>
      </c>
      <c r="B756" s="32" t="s">
        <v>663</v>
      </c>
      <c r="C756" s="32" t="str">
        <f>vlookup(B756,State_EMM_RowSums!$A$2:$B$52,2,FALSE)</f>
        <v>IN</v>
      </c>
      <c r="D756" s="32">
        <v>18115.0</v>
      </c>
      <c r="E756" s="33">
        <f>IF(NOT(ISBLANK(vlookup($D756,Pop_Census_2023!$A$2:$E$3220,4,FALSE))),vlookup($D756,Pop_Census_2023!$A$2:$E$3220,4,FALSE), vlookup($D756,Pop_Census_2023!$A$2:$E$3220,5,FALSE))</f>
        <v>6004</v>
      </c>
      <c r="F756" s="32">
        <v>450378.0</v>
      </c>
      <c r="G756" s="32">
        <v>107.0</v>
      </c>
      <c r="H756" s="32" t="str">
        <f>VLOOKUP(D756, Grid_Region_Mapping!$D$2:$F$5286, 3, FALSE)</f>
        <v>MISC</v>
      </c>
      <c r="I756" s="32">
        <v>3.0</v>
      </c>
      <c r="J756" s="34" t="str">
        <f t="shared" si="1"/>
        <v>Midwest</v>
      </c>
      <c r="K756" s="35">
        <v>3.0</v>
      </c>
      <c r="L756" s="35" t="s">
        <v>223</v>
      </c>
      <c r="M756" s="36">
        <f>VLOOKUP(D756, County_Data_CZones!$B$2:$F$3236, 2, FALSE)</f>
        <v>4</v>
      </c>
      <c r="N756" s="37" t="str">
        <f>VLOOKUP(D756, County_Data_CZones!$B$2:$F$3236, 5, FALSE)</f>
        <v>Mixed-Humid</v>
      </c>
    </row>
    <row r="757" ht="15.75" customHeight="1">
      <c r="A757" s="32" t="s">
        <v>310</v>
      </c>
      <c r="B757" s="32" t="s">
        <v>663</v>
      </c>
      <c r="C757" s="32" t="str">
        <f>vlookup(B757,State_EMM_RowSums!$A$2:$B$52,2,FALSE)</f>
        <v>IN</v>
      </c>
      <c r="D757" s="32">
        <v>18117.0</v>
      </c>
      <c r="E757" s="33">
        <f>IF(NOT(ISBLANK(vlookup($D757,Pop_Census_2023!$A$2:$E$3220,4,FALSE))),vlookup($D757,Pop_Census_2023!$A$2:$E$3220,4,FALSE), vlookup($D757,Pop_Census_2023!$A$2:$E$3220,5,FALSE))</f>
        <v>19638</v>
      </c>
      <c r="F757" s="32">
        <v>451681.0</v>
      </c>
      <c r="G757" s="32">
        <v>107.0</v>
      </c>
      <c r="H757" s="32" t="str">
        <f>VLOOKUP(D757, Grid_Region_Mapping!$D$2:$F$5286, 3, FALSE)</f>
        <v>MISC</v>
      </c>
      <c r="I757" s="32">
        <v>3.0</v>
      </c>
      <c r="J757" s="34" t="str">
        <f t="shared" si="1"/>
        <v>Midwest</v>
      </c>
      <c r="K757" s="35">
        <v>3.0</v>
      </c>
      <c r="L757" s="35" t="s">
        <v>223</v>
      </c>
      <c r="M757" s="36">
        <f>VLOOKUP(D757, County_Data_CZones!$B$2:$F$3236, 2, FALSE)</f>
        <v>4</v>
      </c>
      <c r="N757" s="37" t="str">
        <f>VLOOKUP(D757, County_Data_CZones!$B$2:$F$3236, 5, FALSE)</f>
        <v>Mixed-Humid</v>
      </c>
    </row>
    <row r="758" ht="15.75" customHeight="1">
      <c r="A758" s="32" t="s">
        <v>684</v>
      </c>
      <c r="B758" s="32" t="s">
        <v>663</v>
      </c>
      <c r="C758" s="32" t="str">
        <f>vlookup(B758,State_EMM_RowSums!$A$2:$B$52,2,FALSE)</f>
        <v>IN</v>
      </c>
      <c r="D758" s="32">
        <v>18119.0</v>
      </c>
      <c r="E758" s="33">
        <f>IF(NOT(ISBLANK(vlookup($D758,Pop_Census_2023!$A$2:$E$3220,4,FALSE))),vlookup($D758,Pop_Census_2023!$A$2:$E$3220,4,FALSE), vlookup($D758,Pop_Census_2023!$A$2:$E$3220,5,FALSE))</f>
        <v>21532</v>
      </c>
      <c r="F758" s="32">
        <v>450379.0</v>
      </c>
      <c r="G758" s="32">
        <v>107.0</v>
      </c>
      <c r="H758" s="32" t="str">
        <f>VLOOKUP(D758, Grid_Region_Mapping!$D$2:$F$5286, 3, FALSE)</f>
        <v>MISC</v>
      </c>
      <c r="I758" s="32">
        <v>3.0</v>
      </c>
      <c r="J758" s="34" t="str">
        <f t="shared" si="1"/>
        <v>Midwest</v>
      </c>
      <c r="K758" s="35">
        <v>2.0</v>
      </c>
      <c r="L758" s="35" t="s">
        <v>396</v>
      </c>
      <c r="M758" s="36">
        <f>VLOOKUP(D758, County_Data_CZones!$B$2:$F$3236, 2, FALSE)</f>
        <v>5</v>
      </c>
      <c r="N758" s="37" t="str">
        <f>VLOOKUP(D758, County_Data_CZones!$B$2:$F$3236, 5, FALSE)</f>
        <v>Cold</v>
      </c>
    </row>
    <row r="759" ht="15.75" customHeight="1">
      <c r="A759" s="32" t="s">
        <v>685</v>
      </c>
      <c r="B759" s="32" t="s">
        <v>663</v>
      </c>
      <c r="C759" s="32" t="str">
        <f>vlookup(B759,State_EMM_RowSums!$A$2:$B$52,2,FALSE)</f>
        <v>IN</v>
      </c>
      <c r="D759" s="32">
        <v>18121.0</v>
      </c>
      <c r="E759" s="33">
        <f>IF(NOT(ISBLANK(vlookup($D759,Pop_Census_2023!$A$2:$E$3220,4,FALSE))),vlookup($D759,Pop_Census_2023!$A$2:$E$3220,4,FALSE), vlookup($D759,Pop_Census_2023!$A$2:$E$3220,5,FALSE))</f>
        <v>16484</v>
      </c>
      <c r="F759" s="32">
        <v>450380.0</v>
      </c>
      <c r="G759" s="32">
        <v>105.0</v>
      </c>
      <c r="H759" s="32" t="str">
        <f>VLOOKUP(D759, Grid_Region_Mapping!$D$2:$F$5286, 3, FALSE)</f>
        <v>MISC</v>
      </c>
      <c r="I759" s="32">
        <v>3.0</v>
      </c>
      <c r="J759" s="34" t="str">
        <f t="shared" si="1"/>
        <v>Midwest</v>
      </c>
      <c r="K759" s="35">
        <v>2.0</v>
      </c>
      <c r="L759" s="35" t="s">
        <v>396</v>
      </c>
      <c r="M759" s="36">
        <f>VLOOKUP(D759, County_Data_CZones!$B$2:$F$3236, 2, FALSE)</f>
        <v>5</v>
      </c>
      <c r="N759" s="37" t="str">
        <f>VLOOKUP(D759, County_Data_CZones!$B$2:$F$3236, 5, FALSE)</f>
        <v>Cold</v>
      </c>
    </row>
    <row r="760" ht="15.75" customHeight="1">
      <c r="A760" s="32" t="s">
        <v>155</v>
      </c>
      <c r="B760" s="32" t="s">
        <v>663</v>
      </c>
      <c r="C760" s="32" t="str">
        <f>vlookup(B760,State_EMM_RowSums!$A$2:$B$52,2,FALSE)</f>
        <v>IN</v>
      </c>
      <c r="D760" s="32">
        <v>18123.0</v>
      </c>
      <c r="E760" s="33">
        <f>IF(NOT(ISBLANK(vlookup($D760,Pop_Census_2023!$A$2:$E$3220,4,FALSE))),vlookup($D760,Pop_Census_2023!$A$2:$E$3220,4,FALSE), vlookup($D760,Pop_Census_2023!$A$2:$E$3220,5,FALSE))</f>
        <v>19209</v>
      </c>
      <c r="F760" s="32">
        <v>451682.0</v>
      </c>
      <c r="G760" s="32">
        <v>107.0</v>
      </c>
      <c r="H760" s="32" t="str">
        <f>VLOOKUP(D760, Grid_Region_Mapping!$D$2:$F$5286, 3, FALSE)</f>
        <v>MISC</v>
      </c>
      <c r="I760" s="32">
        <v>3.0</v>
      </c>
      <c r="J760" s="34" t="str">
        <f t="shared" si="1"/>
        <v>Midwest</v>
      </c>
      <c r="K760" s="35">
        <v>3.0</v>
      </c>
      <c r="L760" s="35" t="s">
        <v>223</v>
      </c>
      <c r="M760" s="36">
        <f>VLOOKUP(D760, County_Data_CZones!$B$2:$F$3236, 2, FALSE)</f>
        <v>4</v>
      </c>
      <c r="N760" s="37" t="str">
        <f>VLOOKUP(D760, County_Data_CZones!$B$2:$F$3236, 5, FALSE)</f>
        <v>Mixed-Humid</v>
      </c>
    </row>
    <row r="761" ht="15.75" customHeight="1">
      <c r="A761" s="32" t="s">
        <v>157</v>
      </c>
      <c r="B761" s="32" t="s">
        <v>663</v>
      </c>
      <c r="C761" s="32" t="str">
        <f>vlookup(B761,State_EMM_RowSums!$A$2:$B$52,2,FALSE)</f>
        <v>IN</v>
      </c>
      <c r="D761" s="32">
        <v>18125.0</v>
      </c>
      <c r="E761" s="33">
        <f>IF(NOT(ISBLANK(vlookup($D761,Pop_Census_2023!$A$2:$E$3220,4,FALSE))),vlookup($D761,Pop_Census_2023!$A$2:$E$3220,4,FALSE), vlookup($D761,Pop_Census_2023!$A$2:$E$3220,5,FALSE))</f>
        <v>12106</v>
      </c>
      <c r="F761" s="32">
        <v>450381.0</v>
      </c>
      <c r="G761" s="32">
        <v>107.0</v>
      </c>
      <c r="H761" s="32" t="str">
        <f>VLOOKUP(D761, Grid_Region_Mapping!$D$2:$F$5286, 3, FALSE)</f>
        <v>MISC</v>
      </c>
      <c r="I761" s="32">
        <v>3.0</v>
      </c>
      <c r="J761" s="34" t="str">
        <f t="shared" si="1"/>
        <v>Midwest</v>
      </c>
      <c r="K761" s="35">
        <v>3.0</v>
      </c>
      <c r="L761" s="35" t="s">
        <v>223</v>
      </c>
      <c r="M761" s="36">
        <f>VLOOKUP(D761, County_Data_CZones!$B$2:$F$3236, 2, FALSE)</f>
        <v>4</v>
      </c>
      <c r="N761" s="37" t="str">
        <f>VLOOKUP(D761, County_Data_CZones!$B$2:$F$3236, 5, FALSE)</f>
        <v>Mixed-Humid</v>
      </c>
    </row>
    <row r="762" ht="15.75" customHeight="1">
      <c r="A762" s="32" t="s">
        <v>686</v>
      </c>
      <c r="B762" s="32" t="s">
        <v>663</v>
      </c>
      <c r="C762" s="32" t="str">
        <f>vlookup(B762,State_EMM_RowSums!$A$2:$B$52,2,FALSE)</f>
        <v>IN</v>
      </c>
      <c r="D762" s="32">
        <v>18127.0</v>
      </c>
      <c r="E762" s="33">
        <f>IF(NOT(ISBLANK(vlookup($D762,Pop_Census_2023!$A$2:$E$3220,4,FALSE))),vlookup($D762,Pop_Census_2023!$A$2:$E$3220,4,FALSE), vlookup($D762,Pop_Census_2023!$A$2:$E$3220,5,FALSE))</f>
        <v>175335</v>
      </c>
      <c r="F762" s="32">
        <v>450382.0</v>
      </c>
      <c r="G762" s="32">
        <v>105.0</v>
      </c>
      <c r="H762" s="32" t="str">
        <f>VLOOKUP(D762, Grid_Region_Mapping!$D$2:$F$5286, 3, FALSE)</f>
        <v>MISC</v>
      </c>
      <c r="I762" s="32">
        <v>3.0</v>
      </c>
      <c r="J762" s="34" t="str">
        <f t="shared" si="1"/>
        <v>Midwest</v>
      </c>
      <c r="K762" s="35">
        <v>2.0</v>
      </c>
      <c r="L762" s="35" t="s">
        <v>396</v>
      </c>
      <c r="M762" s="36">
        <f>VLOOKUP(D762, County_Data_CZones!$B$2:$F$3236, 2, FALSE)</f>
        <v>5</v>
      </c>
      <c r="N762" s="37" t="str">
        <f>VLOOKUP(D762, County_Data_CZones!$B$2:$F$3236, 5, FALSE)</f>
        <v>Cold</v>
      </c>
    </row>
    <row r="763" ht="15.75" customHeight="1">
      <c r="A763" s="32" t="s">
        <v>687</v>
      </c>
      <c r="B763" s="32" t="s">
        <v>663</v>
      </c>
      <c r="C763" s="32" t="str">
        <f>vlookup(B763,State_EMM_RowSums!$A$2:$B$52,2,FALSE)</f>
        <v>IN</v>
      </c>
      <c r="D763" s="32">
        <v>18129.0</v>
      </c>
      <c r="E763" s="33">
        <f>IF(NOT(ISBLANK(vlookup($D763,Pop_Census_2023!$A$2:$E$3220,4,FALSE))),vlookup($D763,Pop_Census_2023!$A$2:$E$3220,4,FALSE), vlookup($D763,Pop_Census_2023!$A$2:$E$3220,5,FALSE))</f>
        <v>25040</v>
      </c>
      <c r="F763" s="32">
        <v>450383.0</v>
      </c>
      <c r="G763" s="32">
        <v>107.0</v>
      </c>
      <c r="H763" s="32" t="str">
        <f>VLOOKUP(D763, Grid_Region_Mapping!$D$2:$F$5286, 3, FALSE)</f>
        <v>MISC</v>
      </c>
      <c r="I763" s="32">
        <v>3.0</v>
      </c>
      <c r="J763" s="34" t="str">
        <f t="shared" si="1"/>
        <v>Midwest</v>
      </c>
      <c r="K763" s="35">
        <v>3.0</v>
      </c>
      <c r="L763" s="35" t="s">
        <v>223</v>
      </c>
      <c r="M763" s="36">
        <f>VLOOKUP(D763, County_Data_CZones!$B$2:$F$3236, 2, FALSE)</f>
        <v>4</v>
      </c>
      <c r="N763" s="37" t="str">
        <f>VLOOKUP(D763, County_Data_CZones!$B$2:$F$3236, 5, FALSE)</f>
        <v>Mixed-Humid</v>
      </c>
    </row>
    <row r="764" ht="15.75" customHeight="1">
      <c r="A764" s="32" t="s">
        <v>264</v>
      </c>
      <c r="B764" s="32" t="s">
        <v>663</v>
      </c>
      <c r="C764" s="32" t="str">
        <f>vlookup(B764,State_EMM_RowSums!$A$2:$B$52,2,FALSE)</f>
        <v>IN</v>
      </c>
      <c r="D764" s="32">
        <v>18131.0</v>
      </c>
      <c r="E764" s="33">
        <f>IF(NOT(ISBLANK(vlookup($D764,Pop_Census_2023!$A$2:$E$3220,4,FALSE))),vlookup($D764,Pop_Census_2023!$A$2:$E$3220,4,FALSE), vlookup($D764,Pop_Census_2023!$A$2:$E$3220,5,FALSE))</f>
        <v>12385</v>
      </c>
      <c r="F764" s="32">
        <v>446852.0</v>
      </c>
      <c r="G764" s="32">
        <v>105.0</v>
      </c>
      <c r="H764" s="32" t="str">
        <f>VLOOKUP(D764, Grid_Region_Mapping!$D$2:$F$5286, 3, FALSE)</f>
        <v>MISC</v>
      </c>
      <c r="I764" s="32">
        <v>3.0</v>
      </c>
      <c r="J764" s="34" t="str">
        <f t="shared" si="1"/>
        <v>Midwest</v>
      </c>
      <c r="K764" s="35">
        <v>2.0</v>
      </c>
      <c r="L764" s="35" t="s">
        <v>396</v>
      </c>
      <c r="M764" s="36">
        <f>VLOOKUP(D764, County_Data_CZones!$B$2:$F$3236, 2, FALSE)</f>
        <v>5</v>
      </c>
      <c r="N764" s="37" t="str">
        <f>VLOOKUP(D764, County_Data_CZones!$B$2:$F$3236, 5, FALSE)</f>
        <v>Cold</v>
      </c>
    </row>
    <row r="765" ht="15.75" customHeight="1">
      <c r="A765" s="32" t="s">
        <v>449</v>
      </c>
      <c r="B765" s="32" t="s">
        <v>663</v>
      </c>
      <c r="C765" s="32" t="str">
        <f>vlookup(B765,State_EMM_RowSums!$A$2:$B$52,2,FALSE)</f>
        <v>IN</v>
      </c>
      <c r="D765" s="32">
        <v>18133.0</v>
      </c>
      <c r="E765" s="33">
        <f>IF(NOT(ISBLANK(vlookup($D765,Pop_Census_2023!$A$2:$E$3220,4,FALSE))),vlookup($D765,Pop_Census_2023!$A$2:$E$3220,4,FALSE), vlookup($D765,Pop_Census_2023!$A$2:$E$3220,5,FALSE))</f>
        <v>37567</v>
      </c>
      <c r="F765" s="32">
        <v>450384.0</v>
      </c>
      <c r="G765" s="32">
        <v>105.0</v>
      </c>
      <c r="H765" s="32" t="str">
        <f>VLOOKUP(D765, Grid_Region_Mapping!$D$2:$F$5286, 3, FALSE)</f>
        <v>MISC</v>
      </c>
      <c r="I765" s="32">
        <v>3.0</v>
      </c>
      <c r="J765" s="34" t="str">
        <f t="shared" si="1"/>
        <v>Midwest</v>
      </c>
      <c r="K765" s="35">
        <v>2.0</v>
      </c>
      <c r="L765" s="35" t="s">
        <v>396</v>
      </c>
      <c r="M765" s="36">
        <f>VLOOKUP(D765, County_Data_CZones!$B$2:$F$3236, 2, FALSE)</f>
        <v>5</v>
      </c>
      <c r="N765" s="37" t="str">
        <f>VLOOKUP(D765, County_Data_CZones!$B$2:$F$3236, 5, FALSE)</f>
        <v>Cold</v>
      </c>
    </row>
    <row r="766" ht="15.75" customHeight="1">
      <c r="A766" s="32" t="s">
        <v>158</v>
      </c>
      <c r="B766" s="32" t="s">
        <v>663</v>
      </c>
      <c r="C766" s="32" t="str">
        <f>vlookup(B766,State_EMM_RowSums!$A$2:$B$52,2,FALSE)</f>
        <v>IN</v>
      </c>
      <c r="D766" s="32">
        <v>18135.0</v>
      </c>
      <c r="E766" s="33">
        <f>IF(NOT(ISBLANK(vlookup($D766,Pop_Census_2023!$A$2:$E$3220,4,FALSE))),vlookup($D766,Pop_Census_2023!$A$2:$E$3220,4,FALSE), vlookup($D766,Pop_Census_2023!$A$2:$E$3220,5,FALSE))</f>
        <v>24216</v>
      </c>
      <c r="F766" s="32">
        <v>446853.0</v>
      </c>
      <c r="G766" s="32">
        <v>105.0</v>
      </c>
      <c r="H766" s="32" t="str">
        <f>VLOOKUP(D766, Grid_Region_Mapping!$D$2:$F$5286, 3, FALSE)</f>
        <v>PJMW</v>
      </c>
      <c r="I766" s="32">
        <v>3.0</v>
      </c>
      <c r="J766" s="34" t="str">
        <f t="shared" si="1"/>
        <v>Midwest</v>
      </c>
      <c r="K766" s="35">
        <v>2.0</v>
      </c>
      <c r="L766" s="35" t="s">
        <v>396</v>
      </c>
      <c r="M766" s="36">
        <f>VLOOKUP(D766, County_Data_CZones!$B$2:$F$3236, 2, FALSE)</f>
        <v>5</v>
      </c>
      <c r="N766" s="37" t="str">
        <f>VLOOKUP(D766, County_Data_CZones!$B$2:$F$3236, 5, FALSE)</f>
        <v>Cold</v>
      </c>
    </row>
    <row r="767" ht="15.75" customHeight="1">
      <c r="A767" s="32" t="s">
        <v>688</v>
      </c>
      <c r="B767" s="32" t="s">
        <v>663</v>
      </c>
      <c r="C767" s="32" t="str">
        <f>vlookup(B767,State_EMM_RowSums!$A$2:$B$52,2,FALSE)</f>
        <v>IN</v>
      </c>
      <c r="D767" s="32">
        <v>18137.0</v>
      </c>
      <c r="E767" s="33">
        <f>IF(NOT(ISBLANK(vlookup($D767,Pop_Census_2023!$A$2:$E$3220,4,FALSE))),vlookup($D767,Pop_Census_2023!$A$2:$E$3220,4,FALSE), vlookup($D767,Pop_Census_2023!$A$2:$E$3220,5,FALSE))</f>
        <v>29227</v>
      </c>
      <c r="F767" s="32">
        <v>450385.0</v>
      </c>
      <c r="G767" s="32">
        <v>107.0</v>
      </c>
      <c r="H767" s="32" t="str">
        <f>VLOOKUP(D767, Grid_Region_Mapping!$D$2:$F$5286, 3, FALSE)</f>
        <v>MISC</v>
      </c>
      <c r="I767" s="32">
        <v>3.0</v>
      </c>
      <c r="J767" s="34" t="str">
        <f t="shared" si="1"/>
        <v>Midwest</v>
      </c>
      <c r="K767" s="35">
        <v>3.0</v>
      </c>
      <c r="L767" s="35" t="s">
        <v>223</v>
      </c>
      <c r="M767" s="36">
        <f>VLOOKUP(D767, County_Data_CZones!$B$2:$F$3236, 2, FALSE)</f>
        <v>4</v>
      </c>
      <c r="N767" s="37" t="str">
        <f>VLOOKUP(D767, County_Data_CZones!$B$2:$F$3236, 5, FALSE)</f>
        <v>Mixed-Humid</v>
      </c>
    </row>
    <row r="768" ht="15.75" customHeight="1">
      <c r="A768" s="32" t="s">
        <v>689</v>
      </c>
      <c r="B768" s="32" t="s">
        <v>663</v>
      </c>
      <c r="C768" s="32" t="str">
        <f>vlookup(B768,State_EMM_RowSums!$A$2:$B$52,2,FALSE)</f>
        <v>IN</v>
      </c>
      <c r="D768" s="32">
        <v>18139.0</v>
      </c>
      <c r="E768" s="33">
        <f>IF(NOT(ISBLANK(vlookup($D768,Pop_Census_2023!$A$2:$E$3220,4,FALSE))),vlookup($D768,Pop_Census_2023!$A$2:$E$3220,4,FALSE), vlookup($D768,Pop_Census_2023!$A$2:$E$3220,5,FALSE))</f>
        <v>16847</v>
      </c>
      <c r="F768" s="32">
        <v>446854.0</v>
      </c>
      <c r="G768" s="32">
        <v>107.0</v>
      </c>
      <c r="H768" s="32" t="str">
        <f>VLOOKUP(D768, Grid_Region_Mapping!$D$2:$F$5286, 3, FALSE)</f>
        <v>MISC</v>
      </c>
      <c r="I768" s="32">
        <v>3.0</v>
      </c>
      <c r="J768" s="34" t="str">
        <f t="shared" si="1"/>
        <v>Midwest</v>
      </c>
      <c r="K768" s="35">
        <v>2.0</v>
      </c>
      <c r="L768" s="35" t="s">
        <v>396</v>
      </c>
      <c r="M768" s="36">
        <f>VLOOKUP(D768, County_Data_CZones!$B$2:$F$3236, 2, FALSE)</f>
        <v>5</v>
      </c>
      <c r="N768" s="37" t="str">
        <f>VLOOKUP(D768, County_Data_CZones!$B$2:$F$3236, 5, FALSE)</f>
        <v>Cold</v>
      </c>
    </row>
    <row r="769" ht="15.75" customHeight="1">
      <c r="A769" s="32" t="s">
        <v>690</v>
      </c>
      <c r="B769" s="32" t="s">
        <v>663</v>
      </c>
      <c r="C769" s="32" t="str">
        <f>vlookup(B769,State_EMM_RowSums!$A$2:$B$52,2,FALSE)</f>
        <v>IN</v>
      </c>
      <c r="D769" s="32">
        <v>18141.0</v>
      </c>
      <c r="E769" s="33">
        <f>IF(NOT(ISBLANK(vlookup($D769,Pop_Census_2023!$A$2:$E$3220,4,FALSE))),vlookup($D769,Pop_Census_2023!$A$2:$E$3220,4,FALSE), vlookup($D769,Pop_Census_2023!$A$2:$E$3220,5,FALSE))</f>
        <v>272848</v>
      </c>
      <c r="F769" s="32">
        <v>452855.0</v>
      </c>
      <c r="G769" s="32">
        <v>105.0</v>
      </c>
      <c r="H769" s="32" t="str">
        <f>VLOOKUP(D769, Grid_Region_Mapping!$D$2:$F$5286, 3, FALSE)</f>
        <v>PJMW</v>
      </c>
      <c r="I769" s="32">
        <v>3.0</v>
      </c>
      <c r="J769" s="34" t="str">
        <f t="shared" si="1"/>
        <v>Midwest</v>
      </c>
      <c r="K769" s="35">
        <v>2.0</v>
      </c>
      <c r="L769" s="35" t="s">
        <v>396</v>
      </c>
      <c r="M769" s="36">
        <f>VLOOKUP(D769, County_Data_CZones!$B$2:$F$3236, 2, FALSE)</f>
        <v>5</v>
      </c>
      <c r="N769" s="37" t="str">
        <f>VLOOKUP(D769, County_Data_CZones!$B$2:$F$3236, 5, FALSE)</f>
        <v>Cold</v>
      </c>
    </row>
    <row r="770" ht="15.75" customHeight="1">
      <c r="A770" s="32" t="s">
        <v>267</v>
      </c>
      <c r="B770" s="32" t="s">
        <v>663</v>
      </c>
      <c r="C770" s="32" t="str">
        <f>vlookup(B770,State_EMM_RowSums!$A$2:$B$52,2,FALSE)</f>
        <v>IN</v>
      </c>
      <c r="D770" s="32">
        <v>18143.0</v>
      </c>
      <c r="E770" s="33">
        <f>IF(NOT(ISBLANK(vlookup($D770,Pop_Census_2023!$A$2:$E$3220,4,FALSE))),vlookup($D770,Pop_Census_2023!$A$2:$E$3220,4,FALSE), vlookup($D770,Pop_Census_2023!$A$2:$E$3220,5,FALSE))</f>
        <v>24657</v>
      </c>
      <c r="F770" s="32">
        <v>450386.0</v>
      </c>
      <c r="G770" s="32">
        <v>107.0</v>
      </c>
      <c r="H770" s="32" t="str">
        <f>VLOOKUP(D770, Grid_Region_Mapping!$D$2:$F$5286, 3, FALSE)</f>
        <v>MISC</v>
      </c>
      <c r="I770" s="32">
        <v>3.0</v>
      </c>
      <c r="J770" s="34" t="str">
        <f t="shared" si="1"/>
        <v>Midwest</v>
      </c>
      <c r="K770" s="35">
        <v>3.0</v>
      </c>
      <c r="L770" s="35" t="s">
        <v>223</v>
      </c>
      <c r="M770" s="36">
        <f>VLOOKUP(D770, County_Data_CZones!$B$2:$F$3236, 2, FALSE)</f>
        <v>4</v>
      </c>
      <c r="N770" s="37" t="str">
        <f>VLOOKUP(D770, County_Data_CZones!$B$2:$F$3236, 5, FALSE)</f>
        <v>Mixed-Humid</v>
      </c>
    </row>
    <row r="771" ht="15.75" customHeight="1">
      <c r="A771" s="32" t="s">
        <v>161</v>
      </c>
      <c r="B771" s="32" t="s">
        <v>663</v>
      </c>
      <c r="C771" s="32" t="str">
        <f>vlookup(B771,State_EMM_RowSums!$A$2:$B$52,2,FALSE)</f>
        <v>IN</v>
      </c>
      <c r="D771" s="32">
        <v>18145.0</v>
      </c>
      <c r="E771" s="33">
        <f>IF(NOT(ISBLANK(vlookup($D771,Pop_Census_2023!$A$2:$E$3220,4,FALSE))),vlookup($D771,Pop_Census_2023!$A$2:$E$3220,4,FALSE), vlookup($D771,Pop_Census_2023!$A$2:$E$3220,5,FALSE))</f>
        <v>45231</v>
      </c>
      <c r="F771" s="32">
        <v>450387.0</v>
      </c>
      <c r="G771" s="32">
        <v>107.0</v>
      </c>
      <c r="H771" s="32" t="str">
        <f>VLOOKUP(D771, Grid_Region_Mapping!$D$2:$F$5286, 3, FALSE)</f>
        <v>MISC</v>
      </c>
      <c r="I771" s="32">
        <v>3.0</v>
      </c>
      <c r="J771" s="34" t="str">
        <f t="shared" si="1"/>
        <v>Midwest</v>
      </c>
      <c r="K771" s="35">
        <v>2.0</v>
      </c>
      <c r="L771" s="35" t="s">
        <v>396</v>
      </c>
      <c r="M771" s="36">
        <f>VLOOKUP(D771, County_Data_CZones!$B$2:$F$3236, 2, FALSE)</f>
        <v>5</v>
      </c>
      <c r="N771" s="37" t="str">
        <f>VLOOKUP(D771, County_Data_CZones!$B$2:$F$3236, 5, FALSE)</f>
        <v>Cold</v>
      </c>
    </row>
    <row r="772" ht="15.75" customHeight="1">
      <c r="A772" s="32" t="s">
        <v>691</v>
      </c>
      <c r="B772" s="32" t="s">
        <v>663</v>
      </c>
      <c r="C772" s="32" t="str">
        <f>vlookup(B772,State_EMM_RowSums!$A$2:$B$52,2,FALSE)</f>
        <v>IN</v>
      </c>
      <c r="D772" s="32">
        <v>18147.0</v>
      </c>
      <c r="E772" s="33">
        <f>IF(NOT(ISBLANK(vlookup($D772,Pop_Census_2023!$A$2:$E$3220,4,FALSE))),vlookup($D772,Pop_Census_2023!$A$2:$E$3220,4,FALSE), vlookup($D772,Pop_Census_2023!$A$2:$E$3220,5,FALSE))</f>
        <v>19910</v>
      </c>
      <c r="F772" s="32">
        <v>450388.0</v>
      </c>
      <c r="G772" s="32">
        <v>107.0</v>
      </c>
      <c r="H772" s="32" t="str">
        <f>VLOOKUP(D772, Grid_Region_Mapping!$D$2:$F$5286, 3, FALSE)</f>
        <v>MISC</v>
      </c>
      <c r="I772" s="32">
        <v>3.0</v>
      </c>
      <c r="J772" s="34" t="str">
        <f t="shared" si="1"/>
        <v>Midwest</v>
      </c>
      <c r="K772" s="35">
        <v>3.0</v>
      </c>
      <c r="L772" s="35" t="s">
        <v>223</v>
      </c>
      <c r="M772" s="36">
        <f>VLOOKUP(D772, County_Data_CZones!$B$2:$F$3236, 2, FALSE)</f>
        <v>4</v>
      </c>
      <c r="N772" s="37" t="str">
        <f>VLOOKUP(D772, County_Data_CZones!$B$2:$F$3236, 5, FALSE)</f>
        <v>Mixed-Humid</v>
      </c>
    </row>
    <row r="773" ht="15.75" customHeight="1">
      <c r="A773" s="32" t="s">
        <v>692</v>
      </c>
      <c r="B773" s="32" t="s">
        <v>663</v>
      </c>
      <c r="C773" s="32" t="str">
        <f>vlookup(B773,State_EMM_RowSums!$A$2:$B$52,2,FALSE)</f>
        <v>IN</v>
      </c>
      <c r="D773" s="32">
        <v>18149.0</v>
      </c>
      <c r="E773" s="33">
        <f>IF(NOT(ISBLANK(vlookup($D773,Pop_Census_2023!$A$2:$E$3220,4,FALSE))),vlookup($D773,Pop_Census_2023!$A$2:$E$3220,4,FALSE), vlookup($D773,Pop_Census_2023!$A$2:$E$3220,5,FALSE))</f>
        <v>23206</v>
      </c>
      <c r="F773" s="32">
        <v>450389.0</v>
      </c>
      <c r="G773" s="32">
        <v>105.0</v>
      </c>
      <c r="H773" s="32" t="str">
        <f>VLOOKUP(D773, Grid_Region_Mapping!$D$2:$F$5286, 3, FALSE)</f>
        <v>MISC</v>
      </c>
      <c r="I773" s="32">
        <v>3.0</v>
      </c>
      <c r="J773" s="34" t="str">
        <f t="shared" si="1"/>
        <v>Midwest</v>
      </c>
      <c r="K773" s="35">
        <v>2.0</v>
      </c>
      <c r="L773" s="35" t="s">
        <v>396</v>
      </c>
      <c r="M773" s="36">
        <f>VLOOKUP(D773, County_Data_CZones!$B$2:$F$3236, 2, FALSE)</f>
        <v>5</v>
      </c>
      <c r="N773" s="37" t="str">
        <f>VLOOKUP(D773, County_Data_CZones!$B$2:$F$3236, 5, FALSE)</f>
        <v>Cold</v>
      </c>
    </row>
    <row r="774" ht="15.75" customHeight="1">
      <c r="A774" s="32" t="s">
        <v>693</v>
      </c>
      <c r="B774" s="32" t="s">
        <v>663</v>
      </c>
      <c r="C774" s="32" t="str">
        <f>vlookup(B774,State_EMM_RowSums!$A$2:$B$52,2,FALSE)</f>
        <v>IN</v>
      </c>
      <c r="D774" s="32">
        <v>18151.0</v>
      </c>
      <c r="E774" s="33">
        <f>IF(NOT(ISBLANK(vlookup($D774,Pop_Census_2023!$A$2:$E$3220,4,FALSE))),vlookup($D774,Pop_Census_2023!$A$2:$E$3220,4,FALSE), vlookup($D774,Pop_Census_2023!$A$2:$E$3220,5,FALSE))</f>
        <v>34917</v>
      </c>
      <c r="F774" s="32">
        <v>450390.0</v>
      </c>
      <c r="G774" s="32">
        <v>105.0</v>
      </c>
      <c r="H774" s="32" t="str">
        <f>VLOOKUP(D774, Grid_Region_Mapping!$D$2:$F$5286, 3, FALSE)</f>
        <v>PJMW</v>
      </c>
      <c r="I774" s="32">
        <v>3.0</v>
      </c>
      <c r="J774" s="34" t="str">
        <f t="shared" si="1"/>
        <v>Midwest</v>
      </c>
      <c r="K774" s="35">
        <v>2.0</v>
      </c>
      <c r="L774" s="35" t="s">
        <v>396</v>
      </c>
      <c r="M774" s="36">
        <f>VLOOKUP(D774, County_Data_CZones!$B$2:$F$3236, 2, FALSE)</f>
        <v>5</v>
      </c>
      <c r="N774" s="37" t="str">
        <f>VLOOKUP(D774, County_Data_CZones!$B$2:$F$3236, 5, FALSE)</f>
        <v>Cold</v>
      </c>
    </row>
    <row r="775" ht="15.75" customHeight="1">
      <c r="A775" s="32" t="s">
        <v>694</v>
      </c>
      <c r="B775" s="32" t="s">
        <v>663</v>
      </c>
      <c r="C775" s="32" t="str">
        <f>vlookup(B775,State_EMM_RowSums!$A$2:$B$52,2,FALSE)</f>
        <v>IN</v>
      </c>
      <c r="D775" s="32">
        <v>18153.0</v>
      </c>
      <c r="E775" s="33">
        <f>IF(NOT(ISBLANK(vlookup($D775,Pop_Census_2023!$A$2:$E$3220,4,FALSE))),vlookup($D775,Pop_Census_2023!$A$2:$E$3220,4,FALSE), vlookup($D775,Pop_Census_2023!$A$2:$E$3220,5,FALSE))</f>
        <v>20757</v>
      </c>
      <c r="F775" s="32">
        <v>450391.0</v>
      </c>
      <c r="G775" s="32">
        <v>107.0</v>
      </c>
      <c r="H775" s="32" t="str">
        <f>VLOOKUP(D775, Grid_Region_Mapping!$D$2:$F$5286, 3, FALSE)</f>
        <v>MISC</v>
      </c>
      <c r="I775" s="32">
        <v>3.0</v>
      </c>
      <c r="J775" s="34" t="str">
        <f t="shared" si="1"/>
        <v>Midwest</v>
      </c>
      <c r="K775" s="35">
        <v>3.0</v>
      </c>
      <c r="L775" s="35" t="s">
        <v>223</v>
      </c>
      <c r="M775" s="36">
        <f>VLOOKUP(D775, County_Data_CZones!$B$2:$F$3236, 2, FALSE)</f>
        <v>4</v>
      </c>
      <c r="N775" s="37" t="str">
        <f>VLOOKUP(D775, County_Data_CZones!$B$2:$F$3236, 5, FALSE)</f>
        <v>Mixed-Humid</v>
      </c>
    </row>
    <row r="776" ht="15.75" customHeight="1">
      <c r="A776" s="32" t="s">
        <v>695</v>
      </c>
      <c r="B776" s="32" t="s">
        <v>663</v>
      </c>
      <c r="C776" s="32" t="str">
        <f>vlookup(B776,State_EMM_RowSums!$A$2:$B$52,2,FALSE)</f>
        <v>IN</v>
      </c>
      <c r="D776" s="32">
        <v>18155.0</v>
      </c>
      <c r="E776" s="33">
        <f>IF(NOT(ISBLANK(vlookup($D776,Pop_Census_2023!$A$2:$E$3220,4,FALSE))),vlookup($D776,Pop_Census_2023!$A$2:$E$3220,4,FALSE), vlookup($D776,Pop_Census_2023!$A$2:$E$3220,5,FALSE))</f>
        <v>10019</v>
      </c>
      <c r="F776" s="32">
        <v>450392.0</v>
      </c>
      <c r="G776" s="32">
        <v>107.0</v>
      </c>
      <c r="H776" s="32" t="str">
        <f>VLOOKUP(D776, Grid_Region_Mapping!$D$2:$F$5286, 3, FALSE)</f>
        <v>MISC</v>
      </c>
      <c r="I776" s="32">
        <v>3.0</v>
      </c>
      <c r="J776" s="34" t="str">
        <f t="shared" si="1"/>
        <v>Midwest</v>
      </c>
      <c r="K776" s="35">
        <v>3.0</v>
      </c>
      <c r="L776" s="35" t="s">
        <v>223</v>
      </c>
      <c r="M776" s="36">
        <f>VLOOKUP(D776, County_Data_CZones!$B$2:$F$3236, 2, FALSE)</f>
        <v>4</v>
      </c>
      <c r="N776" s="37" t="str">
        <f>VLOOKUP(D776, County_Data_CZones!$B$2:$F$3236, 5, FALSE)</f>
        <v>Mixed-Humid</v>
      </c>
    </row>
    <row r="777" ht="15.75" customHeight="1">
      <c r="A777" s="32" t="s">
        <v>696</v>
      </c>
      <c r="B777" s="32" t="s">
        <v>663</v>
      </c>
      <c r="C777" s="32" t="str">
        <f>vlookup(B777,State_EMM_RowSums!$A$2:$B$52,2,FALSE)</f>
        <v>IN</v>
      </c>
      <c r="D777" s="32">
        <v>18157.0</v>
      </c>
      <c r="E777" s="33">
        <f>IF(NOT(ISBLANK(vlookup($D777,Pop_Census_2023!$A$2:$E$3220,4,FALSE))),vlookup($D777,Pop_Census_2023!$A$2:$E$3220,4,FALSE), vlookup($D777,Pop_Census_2023!$A$2:$E$3220,5,FALSE))</f>
        <v>188792</v>
      </c>
      <c r="F777" s="32">
        <v>450393.0</v>
      </c>
      <c r="G777" s="32">
        <v>105.0</v>
      </c>
      <c r="H777" s="32" t="str">
        <f>VLOOKUP(D777, Grid_Region_Mapping!$D$2:$F$5286, 3, FALSE)</f>
        <v>MISC</v>
      </c>
      <c r="I777" s="32">
        <v>3.0</v>
      </c>
      <c r="J777" s="34" t="str">
        <f t="shared" si="1"/>
        <v>Midwest</v>
      </c>
      <c r="K777" s="35">
        <v>2.0</v>
      </c>
      <c r="L777" s="35" t="s">
        <v>396</v>
      </c>
      <c r="M777" s="36">
        <f>VLOOKUP(D777, County_Data_CZones!$B$2:$F$3236, 2, FALSE)</f>
        <v>5</v>
      </c>
      <c r="N777" s="37" t="str">
        <f>VLOOKUP(D777, County_Data_CZones!$B$2:$F$3236, 5, FALSE)</f>
        <v>Cold</v>
      </c>
    </row>
    <row r="778" ht="15.75" customHeight="1">
      <c r="A778" s="32" t="s">
        <v>697</v>
      </c>
      <c r="B778" s="32" t="s">
        <v>663</v>
      </c>
      <c r="C778" s="32" t="str">
        <f>vlookup(B778,State_EMM_RowSums!$A$2:$B$52,2,FALSE)</f>
        <v>IN</v>
      </c>
      <c r="D778" s="32">
        <v>18159.0</v>
      </c>
      <c r="E778" s="33">
        <f>IF(NOT(ISBLANK(vlookup($D778,Pop_Census_2023!$A$2:$E$3220,4,FALSE))),vlookup($D778,Pop_Census_2023!$A$2:$E$3220,4,FALSE), vlookup($D778,Pop_Census_2023!$A$2:$E$3220,5,FALSE))</f>
        <v>15256</v>
      </c>
      <c r="F778" s="32">
        <v>450394.0</v>
      </c>
      <c r="G778" s="32">
        <v>105.0</v>
      </c>
      <c r="H778" s="32" t="str">
        <f>VLOOKUP(D778, Grid_Region_Mapping!$D$2:$F$5286, 3, FALSE)</f>
        <v>PJMW</v>
      </c>
      <c r="I778" s="32">
        <v>3.0</v>
      </c>
      <c r="J778" s="34" t="str">
        <f t="shared" si="1"/>
        <v>Midwest</v>
      </c>
      <c r="K778" s="35">
        <v>2.0</v>
      </c>
      <c r="L778" s="35" t="s">
        <v>396</v>
      </c>
      <c r="M778" s="36">
        <f>VLOOKUP(D778, County_Data_CZones!$B$2:$F$3236, 2, FALSE)</f>
        <v>5</v>
      </c>
      <c r="N778" s="37" t="str">
        <f>VLOOKUP(D778, County_Data_CZones!$B$2:$F$3236, 5, FALSE)</f>
        <v>Cold</v>
      </c>
    </row>
    <row r="779" ht="15.75" customHeight="1">
      <c r="A779" s="32" t="s">
        <v>273</v>
      </c>
      <c r="B779" s="32" t="s">
        <v>663</v>
      </c>
      <c r="C779" s="32" t="str">
        <f>vlookup(B779,State_EMM_RowSums!$A$2:$B$52,2,FALSE)</f>
        <v>IN</v>
      </c>
      <c r="D779" s="32">
        <v>18161.0</v>
      </c>
      <c r="E779" s="33">
        <f>IF(NOT(ISBLANK(vlookup($D779,Pop_Census_2023!$A$2:$E$3220,4,FALSE))),vlookup($D779,Pop_Census_2023!$A$2:$E$3220,4,FALSE), vlookup($D779,Pop_Census_2023!$A$2:$E$3220,5,FALSE))</f>
        <v>6973</v>
      </c>
      <c r="F779" s="32">
        <v>450395.0</v>
      </c>
      <c r="G779" s="32">
        <v>107.0</v>
      </c>
      <c r="H779" s="32" t="str">
        <f>VLOOKUP(D779, Grid_Region_Mapping!$D$2:$F$5286, 3, FALSE)</f>
        <v>MISC</v>
      </c>
      <c r="I779" s="32">
        <v>3.0</v>
      </c>
      <c r="J779" s="34" t="str">
        <f t="shared" si="1"/>
        <v>Midwest</v>
      </c>
      <c r="K779" s="35">
        <v>2.0</v>
      </c>
      <c r="L779" s="35" t="s">
        <v>396</v>
      </c>
      <c r="M779" s="36">
        <f>VLOOKUP(D779, County_Data_CZones!$B$2:$F$3236, 2, FALSE)</f>
        <v>5</v>
      </c>
      <c r="N779" s="37" t="str">
        <f>VLOOKUP(D779, County_Data_CZones!$B$2:$F$3236, 5, FALSE)</f>
        <v>Cold</v>
      </c>
    </row>
    <row r="780" ht="15.75" customHeight="1">
      <c r="A780" s="32" t="s">
        <v>698</v>
      </c>
      <c r="B780" s="32" t="s">
        <v>663</v>
      </c>
      <c r="C780" s="32" t="str">
        <f>vlookup(B780,State_EMM_RowSums!$A$2:$B$52,2,FALSE)</f>
        <v>IN</v>
      </c>
      <c r="D780" s="32">
        <v>18163.0</v>
      </c>
      <c r="E780" s="33">
        <f>IF(NOT(ISBLANK(vlookup($D780,Pop_Census_2023!$A$2:$E$3220,4,FALSE))),vlookup($D780,Pop_Census_2023!$A$2:$E$3220,4,FALSE), vlookup($D780,Pop_Census_2023!$A$2:$E$3220,5,FALSE))</f>
        <v>179810</v>
      </c>
      <c r="F780" s="32">
        <v>450396.0</v>
      </c>
      <c r="G780" s="32">
        <v>107.0</v>
      </c>
      <c r="H780" s="32" t="str">
        <f>VLOOKUP(D780, Grid_Region_Mapping!$D$2:$F$5286, 3, FALSE)</f>
        <v>MISC</v>
      </c>
      <c r="I780" s="32">
        <v>3.0</v>
      </c>
      <c r="J780" s="34" t="str">
        <f t="shared" si="1"/>
        <v>Midwest</v>
      </c>
      <c r="K780" s="35">
        <v>3.0</v>
      </c>
      <c r="L780" s="35" t="s">
        <v>223</v>
      </c>
      <c r="M780" s="36">
        <f>VLOOKUP(D780, County_Data_CZones!$B$2:$F$3236, 2, FALSE)</f>
        <v>4</v>
      </c>
      <c r="N780" s="37" t="str">
        <f>VLOOKUP(D780, County_Data_CZones!$B$2:$F$3236, 5, FALSE)</f>
        <v>Mixed-Humid</v>
      </c>
    </row>
    <row r="781" ht="15.75" customHeight="1">
      <c r="A781" s="32" t="s">
        <v>699</v>
      </c>
      <c r="B781" s="32" t="s">
        <v>663</v>
      </c>
      <c r="C781" s="32" t="str">
        <f>vlookup(B781,State_EMM_RowSums!$A$2:$B$52,2,FALSE)</f>
        <v>IN</v>
      </c>
      <c r="D781" s="32">
        <v>18165.0</v>
      </c>
      <c r="E781" s="33">
        <f>IF(NOT(ISBLANK(vlookup($D781,Pop_Census_2023!$A$2:$E$3220,4,FALSE))),vlookup($D781,Pop_Census_2023!$A$2:$E$3220,4,FALSE), vlookup($D781,Pop_Census_2023!$A$2:$E$3220,5,FALSE))</f>
        <v>15417</v>
      </c>
      <c r="F781" s="32">
        <v>450397.0</v>
      </c>
      <c r="G781" s="32">
        <v>105.0</v>
      </c>
      <c r="H781" s="32" t="str">
        <f>VLOOKUP(D781, Grid_Region_Mapping!$D$2:$F$5286, 3, FALSE)</f>
        <v>MISC</v>
      </c>
      <c r="I781" s="32">
        <v>3.0</v>
      </c>
      <c r="J781" s="34" t="str">
        <f t="shared" si="1"/>
        <v>Midwest</v>
      </c>
      <c r="K781" s="35">
        <v>2.0</v>
      </c>
      <c r="L781" s="35" t="s">
        <v>396</v>
      </c>
      <c r="M781" s="36">
        <f>VLOOKUP(D781, County_Data_CZones!$B$2:$F$3236, 2, FALSE)</f>
        <v>5</v>
      </c>
      <c r="N781" s="37" t="str">
        <f>VLOOKUP(D781, County_Data_CZones!$B$2:$F$3236, 5, FALSE)</f>
        <v>Cold</v>
      </c>
    </row>
    <row r="782" ht="15.75" customHeight="1">
      <c r="A782" s="32" t="s">
        <v>700</v>
      </c>
      <c r="B782" s="32" t="s">
        <v>663</v>
      </c>
      <c r="C782" s="32" t="str">
        <f>vlookup(B782,State_EMM_RowSums!$A$2:$B$52,2,FALSE)</f>
        <v>IN</v>
      </c>
      <c r="D782" s="32">
        <v>18167.0</v>
      </c>
      <c r="E782" s="33">
        <f>IF(NOT(ISBLANK(vlookup($D782,Pop_Census_2023!$A$2:$E$3220,4,FALSE))),vlookup($D782,Pop_Census_2023!$A$2:$E$3220,4,FALSE), vlookup($D782,Pop_Census_2023!$A$2:$E$3220,5,FALSE))</f>
        <v>106153</v>
      </c>
      <c r="F782" s="32">
        <v>450398.0</v>
      </c>
      <c r="G782" s="32">
        <v>105.0</v>
      </c>
      <c r="H782" s="32" t="str">
        <f>VLOOKUP(D782, Grid_Region_Mapping!$D$2:$F$5286, 3, FALSE)</f>
        <v>MISC</v>
      </c>
      <c r="I782" s="32">
        <v>3.0</v>
      </c>
      <c r="J782" s="34" t="str">
        <f t="shared" si="1"/>
        <v>Midwest</v>
      </c>
      <c r="K782" s="35">
        <v>2.0</v>
      </c>
      <c r="L782" s="35" t="s">
        <v>396</v>
      </c>
      <c r="M782" s="36">
        <f>VLOOKUP(D782, County_Data_CZones!$B$2:$F$3236, 2, FALSE)</f>
        <v>5</v>
      </c>
      <c r="N782" s="37" t="str">
        <f>VLOOKUP(D782, County_Data_CZones!$B$2:$F$3236, 5, FALSE)</f>
        <v>Cold</v>
      </c>
    </row>
    <row r="783" ht="15.75" customHeight="1">
      <c r="A783" s="32" t="s">
        <v>657</v>
      </c>
      <c r="B783" s="32" t="s">
        <v>663</v>
      </c>
      <c r="C783" s="32" t="str">
        <f>vlookup(B783,State_EMM_RowSums!$A$2:$B$52,2,FALSE)</f>
        <v>IN</v>
      </c>
      <c r="D783" s="32">
        <v>18169.0</v>
      </c>
      <c r="E783" s="33">
        <f>IF(NOT(ISBLANK(vlookup($D783,Pop_Census_2023!$A$2:$E$3220,4,FALSE))),vlookup($D783,Pop_Census_2023!$A$2:$E$3220,4,FALSE), vlookup($D783,Pop_Census_2023!$A$2:$E$3220,5,FALSE))</f>
        <v>30670</v>
      </c>
      <c r="F783" s="32">
        <v>450399.0</v>
      </c>
      <c r="G783" s="32">
        <v>105.0</v>
      </c>
      <c r="H783" s="32" t="str">
        <f>VLOOKUP(D783, Grid_Region_Mapping!$D$2:$F$5286, 3, FALSE)</f>
        <v>PJMW</v>
      </c>
      <c r="I783" s="32">
        <v>3.0</v>
      </c>
      <c r="J783" s="34" t="str">
        <f t="shared" si="1"/>
        <v>Midwest</v>
      </c>
      <c r="K783" s="35">
        <v>2.0</v>
      </c>
      <c r="L783" s="35" t="s">
        <v>396</v>
      </c>
      <c r="M783" s="36">
        <f>VLOOKUP(D783, County_Data_CZones!$B$2:$F$3236, 2, FALSE)</f>
        <v>5</v>
      </c>
      <c r="N783" s="37" t="str">
        <f>VLOOKUP(D783, County_Data_CZones!$B$2:$F$3236, 5, FALSE)</f>
        <v>Cold</v>
      </c>
    </row>
    <row r="784" ht="15.75" customHeight="1">
      <c r="A784" s="32" t="s">
        <v>561</v>
      </c>
      <c r="B784" s="32" t="s">
        <v>663</v>
      </c>
      <c r="C784" s="32" t="str">
        <f>vlookup(B784,State_EMM_RowSums!$A$2:$B$52,2,FALSE)</f>
        <v>IN</v>
      </c>
      <c r="D784" s="32">
        <v>18171.0</v>
      </c>
      <c r="E784" s="33">
        <f>IF(NOT(ISBLANK(vlookup($D784,Pop_Census_2023!$A$2:$E$3220,4,FALSE))),vlookup($D784,Pop_Census_2023!$A$2:$E$3220,4,FALSE), vlookup($D784,Pop_Census_2023!$A$2:$E$3220,5,FALSE))</f>
        <v>8518</v>
      </c>
      <c r="F784" s="32">
        <v>450400.0</v>
      </c>
      <c r="G784" s="32">
        <v>105.0</v>
      </c>
      <c r="H784" s="32" t="str">
        <f>VLOOKUP(D784, Grid_Region_Mapping!$D$2:$F$5286, 3, FALSE)</f>
        <v>MISC</v>
      </c>
      <c r="I784" s="32">
        <v>3.0</v>
      </c>
      <c r="J784" s="34" t="str">
        <f t="shared" si="1"/>
        <v>Midwest</v>
      </c>
      <c r="K784" s="35">
        <v>2.0</v>
      </c>
      <c r="L784" s="35" t="s">
        <v>396</v>
      </c>
      <c r="M784" s="36">
        <f>VLOOKUP(D784, County_Data_CZones!$B$2:$F$3236, 2, FALSE)</f>
        <v>5</v>
      </c>
      <c r="N784" s="37" t="str">
        <f>VLOOKUP(D784, County_Data_CZones!$B$2:$F$3236, 5, FALSE)</f>
        <v>Cold</v>
      </c>
    </row>
    <row r="785" ht="15.75" customHeight="1">
      <c r="A785" s="32" t="s">
        <v>701</v>
      </c>
      <c r="B785" s="32" t="s">
        <v>663</v>
      </c>
      <c r="C785" s="32" t="str">
        <f>vlookup(B785,State_EMM_RowSums!$A$2:$B$52,2,FALSE)</f>
        <v>IN</v>
      </c>
      <c r="D785" s="32">
        <v>18173.0</v>
      </c>
      <c r="E785" s="33">
        <f>IF(NOT(ISBLANK(vlookup($D785,Pop_Census_2023!$A$2:$E$3220,4,FALSE))),vlookup($D785,Pop_Census_2023!$A$2:$E$3220,4,FALSE), vlookup($D785,Pop_Census_2023!$A$2:$E$3220,5,FALSE))</f>
        <v>65867</v>
      </c>
      <c r="F785" s="32">
        <v>450335.0</v>
      </c>
      <c r="G785" s="32">
        <v>107.0</v>
      </c>
      <c r="H785" s="32" t="str">
        <f>VLOOKUP(D785, Grid_Region_Mapping!$D$2:$F$5286, 3, FALSE)</f>
        <v>MISC</v>
      </c>
      <c r="I785" s="32">
        <v>3.0</v>
      </c>
      <c r="J785" s="34" t="str">
        <f t="shared" si="1"/>
        <v>Midwest</v>
      </c>
      <c r="K785" s="35">
        <v>3.0</v>
      </c>
      <c r="L785" s="35" t="s">
        <v>223</v>
      </c>
      <c r="M785" s="36">
        <f>VLOOKUP(D785, County_Data_CZones!$B$2:$F$3236, 2, FALSE)</f>
        <v>4</v>
      </c>
      <c r="N785" s="37" t="str">
        <f>VLOOKUP(D785, County_Data_CZones!$B$2:$F$3236, 5, FALSE)</f>
        <v>Mixed-Humid</v>
      </c>
    </row>
    <row r="786" ht="15.75" customHeight="1">
      <c r="A786" s="32" t="s">
        <v>167</v>
      </c>
      <c r="B786" s="32" t="s">
        <v>663</v>
      </c>
      <c r="C786" s="32" t="str">
        <f>vlookup(B786,State_EMM_RowSums!$A$2:$B$52,2,FALSE)</f>
        <v>IN</v>
      </c>
      <c r="D786" s="32">
        <v>18175.0</v>
      </c>
      <c r="E786" s="33">
        <f>IF(NOT(ISBLANK(vlookup($D786,Pop_Census_2023!$A$2:$E$3220,4,FALSE))),vlookup($D786,Pop_Census_2023!$A$2:$E$3220,4,FALSE), vlookup($D786,Pop_Census_2023!$A$2:$E$3220,5,FALSE))</f>
        <v>28205</v>
      </c>
      <c r="F786" s="32">
        <v>451665.0</v>
      </c>
      <c r="G786" s="32">
        <v>107.0</v>
      </c>
      <c r="H786" s="32" t="str">
        <f>VLOOKUP(D786, Grid_Region_Mapping!$D$2:$F$5286, 3, FALSE)</f>
        <v>MISC</v>
      </c>
      <c r="I786" s="32">
        <v>3.0</v>
      </c>
      <c r="J786" s="34" t="str">
        <f t="shared" si="1"/>
        <v>Midwest</v>
      </c>
      <c r="K786" s="35">
        <v>3.0</v>
      </c>
      <c r="L786" s="35" t="s">
        <v>223</v>
      </c>
      <c r="M786" s="36">
        <f>VLOOKUP(D786, County_Data_CZones!$B$2:$F$3236, 2, FALSE)</f>
        <v>4</v>
      </c>
      <c r="N786" s="37" t="str">
        <f>VLOOKUP(D786, County_Data_CZones!$B$2:$F$3236, 5, FALSE)</f>
        <v>Mixed-Humid</v>
      </c>
    </row>
    <row r="787" ht="15.75" customHeight="1">
      <c r="A787" s="32" t="s">
        <v>562</v>
      </c>
      <c r="B787" s="32" t="s">
        <v>663</v>
      </c>
      <c r="C787" s="32" t="str">
        <f>vlookup(B787,State_EMM_RowSums!$A$2:$B$52,2,FALSE)</f>
        <v>IN</v>
      </c>
      <c r="D787" s="32">
        <v>18177.0</v>
      </c>
      <c r="E787" s="33">
        <f>IF(NOT(ISBLANK(vlookup($D787,Pop_Census_2023!$A$2:$E$3220,4,FALSE))),vlookup($D787,Pop_Census_2023!$A$2:$E$3220,4,FALSE), vlookup($D787,Pop_Census_2023!$A$2:$E$3220,5,FALSE))</f>
        <v>66127</v>
      </c>
      <c r="F787" s="32">
        <v>450336.0</v>
      </c>
      <c r="G787" s="32">
        <v>107.0</v>
      </c>
      <c r="H787" s="32" t="str">
        <f>VLOOKUP(D787, Grid_Region_Mapping!$D$2:$F$5286, 3, FALSE)</f>
        <v>MISC</v>
      </c>
      <c r="I787" s="32">
        <v>3.0</v>
      </c>
      <c r="J787" s="34" t="str">
        <f t="shared" si="1"/>
        <v>Midwest</v>
      </c>
      <c r="K787" s="35">
        <v>2.0</v>
      </c>
      <c r="L787" s="35" t="s">
        <v>396</v>
      </c>
      <c r="M787" s="36">
        <f>VLOOKUP(D787, County_Data_CZones!$B$2:$F$3236, 2, FALSE)</f>
        <v>5</v>
      </c>
      <c r="N787" s="37" t="str">
        <f>VLOOKUP(D787, County_Data_CZones!$B$2:$F$3236, 5, FALSE)</f>
        <v>Cold</v>
      </c>
    </row>
    <row r="788" ht="15.75" customHeight="1">
      <c r="A788" s="32" t="s">
        <v>702</v>
      </c>
      <c r="B788" s="32" t="s">
        <v>663</v>
      </c>
      <c r="C788" s="32" t="str">
        <f>vlookup(B788,State_EMM_RowSums!$A$2:$B$52,2,FALSE)</f>
        <v>IN</v>
      </c>
      <c r="D788" s="32">
        <v>18179.0</v>
      </c>
      <c r="E788" s="33">
        <f>IF(NOT(ISBLANK(vlookup($D788,Pop_Census_2023!$A$2:$E$3220,4,FALSE))),vlookup($D788,Pop_Census_2023!$A$2:$E$3220,4,FALSE), vlookup($D788,Pop_Census_2023!$A$2:$E$3220,5,FALSE))</f>
        <v>28555</v>
      </c>
      <c r="F788" s="32">
        <v>450337.0</v>
      </c>
      <c r="G788" s="32">
        <v>105.0</v>
      </c>
      <c r="H788" s="32" t="str">
        <f>VLOOKUP(D788, Grid_Region_Mapping!$D$2:$F$5286, 3, FALSE)</f>
        <v>PJMW</v>
      </c>
      <c r="I788" s="32">
        <v>3.0</v>
      </c>
      <c r="J788" s="34" t="str">
        <f t="shared" si="1"/>
        <v>Midwest</v>
      </c>
      <c r="K788" s="35">
        <v>2.0</v>
      </c>
      <c r="L788" s="35" t="s">
        <v>396</v>
      </c>
      <c r="M788" s="36">
        <f>VLOOKUP(D788, County_Data_CZones!$B$2:$F$3236, 2, FALSE)</f>
        <v>5</v>
      </c>
      <c r="N788" s="37" t="str">
        <f>VLOOKUP(D788, County_Data_CZones!$B$2:$F$3236, 5, FALSE)</f>
        <v>Cold</v>
      </c>
    </row>
    <row r="789" ht="15.75" customHeight="1">
      <c r="A789" s="32" t="s">
        <v>275</v>
      </c>
      <c r="B789" s="32" t="s">
        <v>663</v>
      </c>
      <c r="C789" s="32" t="str">
        <f>vlookup(B789,State_EMM_RowSums!$A$2:$B$52,2,FALSE)</f>
        <v>IN</v>
      </c>
      <c r="D789" s="32">
        <v>18181.0</v>
      </c>
      <c r="E789" s="33">
        <f>IF(NOT(ISBLANK(vlookup($D789,Pop_Census_2023!$A$2:$E$3220,4,FALSE))),vlookup($D789,Pop_Census_2023!$A$2:$E$3220,4,FALSE), vlookup($D789,Pop_Census_2023!$A$2:$E$3220,5,FALSE))</f>
        <v>24917</v>
      </c>
      <c r="F789" s="32">
        <v>450338.0</v>
      </c>
      <c r="G789" s="32">
        <v>105.0</v>
      </c>
      <c r="H789" s="32" t="str">
        <f>VLOOKUP(D789, Grid_Region_Mapping!$D$2:$F$5286, 3, FALSE)</f>
        <v>MISC</v>
      </c>
      <c r="I789" s="32">
        <v>3.0</v>
      </c>
      <c r="J789" s="34" t="str">
        <f t="shared" si="1"/>
        <v>Midwest</v>
      </c>
      <c r="K789" s="35">
        <v>2.0</v>
      </c>
      <c r="L789" s="35" t="s">
        <v>396</v>
      </c>
      <c r="M789" s="36">
        <f>VLOOKUP(D789, County_Data_CZones!$B$2:$F$3236, 2, FALSE)</f>
        <v>5</v>
      </c>
      <c r="N789" s="37" t="str">
        <f>VLOOKUP(D789, County_Data_CZones!$B$2:$F$3236, 5, FALSE)</f>
        <v>Cold</v>
      </c>
    </row>
    <row r="790" ht="15.75" customHeight="1">
      <c r="A790" s="32" t="s">
        <v>703</v>
      </c>
      <c r="B790" s="32" t="s">
        <v>663</v>
      </c>
      <c r="C790" s="32" t="str">
        <f>vlookup(B790,State_EMM_RowSums!$A$2:$B$52,2,FALSE)</f>
        <v>IN</v>
      </c>
      <c r="D790" s="32">
        <v>18183.0</v>
      </c>
      <c r="E790" s="33">
        <f>IF(NOT(ISBLANK(vlookup($D790,Pop_Census_2023!$A$2:$E$3220,4,FALSE))),vlookup($D790,Pop_Census_2023!$A$2:$E$3220,4,FALSE), vlookup($D790,Pop_Census_2023!$A$2:$E$3220,5,FALSE))</f>
        <v>34742</v>
      </c>
      <c r="F790" s="32">
        <v>450369.0</v>
      </c>
      <c r="G790" s="32">
        <v>105.0</v>
      </c>
      <c r="H790" s="32" t="str">
        <f>VLOOKUP(D790, Grid_Region_Mapping!$D$2:$F$5286, 3, FALSE)</f>
        <v>PJMW</v>
      </c>
      <c r="I790" s="32">
        <v>3.0</v>
      </c>
      <c r="J790" s="34" t="str">
        <f t="shared" si="1"/>
        <v>Midwest</v>
      </c>
      <c r="K790" s="35">
        <v>2.0</v>
      </c>
      <c r="L790" s="35" t="s">
        <v>396</v>
      </c>
      <c r="M790" s="36">
        <f>VLOOKUP(D790, County_Data_CZones!$B$2:$F$3236, 2, FALSE)</f>
        <v>5</v>
      </c>
      <c r="N790" s="37" t="str">
        <f>VLOOKUP(D790, County_Data_CZones!$B$2:$F$3236, 5, FALSE)</f>
        <v>Cold</v>
      </c>
    </row>
    <row r="791" ht="15.75" customHeight="1">
      <c r="A791" s="32" t="s">
        <v>704</v>
      </c>
      <c r="B791" s="32" t="s">
        <v>705</v>
      </c>
      <c r="C791" s="32" t="str">
        <f>vlookup(B791,State_EMM_RowSums!$A$2:$B$52,2,FALSE)</f>
        <v>IA</v>
      </c>
      <c r="D791" s="32">
        <v>19001.0</v>
      </c>
      <c r="E791" s="33">
        <f>IF(NOT(ISBLANK(vlookup($D791,Pop_Census_2023!$A$2:$E$3220,4,FALSE))),vlookup($D791,Pop_Census_2023!$A$2:$E$3220,4,FALSE), vlookup($D791,Pop_Census_2023!$A$2:$E$3220,5,FALSE))</f>
        <v>7389</v>
      </c>
      <c r="F791" s="32">
        <v>465190.0</v>
      </c>
      <c r="G791" s="32">
        <v>70.0</v>
      </c>
      <c r="H791" s="32" t="str">
        <f>VLOOKUP(D791, Grid_Region_Mapping!$D$2:$F$5286, 3, FALSE)</f>
        <v>SPPN</v>
      </c>
      <c r="I791" s="32">
        <v>4.0</v>
      </c>
      <c r="J791" s="34" t="str">
        <f t="shared" si="1"/>
        <v>Midwest</v>
      </c>
      <c r="K791" s="35">
        <v>2.0</v>
      </c>
      <c r="L791" s="35" t="s">
        <v>396</v>
      </c>
      <c r="M791" s="36">
        <f>VLOOKUP(D791, County_Data_CZones!$B$2:$F$3236, 2, FALSE)</f>
        <v>5</v>
      </c>
      <c r="N791" s="37" t="str">
        <f>VLOOKUP(D791, County_Data_CZones!$B$2:$F$3236, 5, FALSE)</f>
        <v>Cold</v>
      </c>
    </row>
    <row r="792" ht="15.75" customHeight="1">
      <c r="A792" s="32" t="s">
        <v>338</v>
      </c>
      <c r="B792" s="32" t="s">
        <v>705</v>
      </c>
      <c r="C792" s="32" t="str">
        <f>vlookup(B792,State_EMM_RowSums!$A$2:$B$52,2,FALSE)</f>
        <v>IA</v>
      </c>
      <c r="D792" s="32">
        <v>19003.0</v>
      </c>
      <c r="E792" s="33">
        <f>IF(NOT(ISBLANK(vlookup($D792,Pop_Census_2023!$A$2:$E$3220,4,FALSE))),vlookup($D792,Pop_Census_2023!$A$2:$E$3220,4,FALSE), vlookup($D792,Pop_Census_2023!$A$2:$E$3220,5,FALSE))</f>
        <v>3544</v>
      </c>
      <c r="F792" s="32">
        <v>465191.0</v>
      </c>
      <c r="G792" s="32">
        <v>70.0</v>
      </c>
      <c r="H792" s="32" t="str">
        <f>VLOOKUP(D792, Grid_Region_Mapping!$D$2:$F$5286, 3, FALSE)</f>
        <v>MISW</v>
      </c>
      <c r="I792" s="32">
        <v>4.0</v>
      </c>
      <c r="J792" s="34" t="str">
        <f t="shared" si="1"/>
        <v>Midwest</v>
      </c>
      <c r="K792" s="35">
        <v>2.0</v>
      </c>
      <c r="L792" s="35" t="s">
        <v>396</v>
      </c>
      <c r="M792" s="36">
        <f>VLOOKUP(D792, County_Data_CZones!$B$2:$F$3236, 2, FALSE)</f>
        <v>5</v>
      </c>
      <c r="N792" s="37" t="str">
        <f>VLOOKUP(D792, County_Data_CZones!$B$2:$F$3236, 5, FALSE)</f>
        <v>Cold</v>
      </c>
    </row>
    <row r="793" ht="15.75" customHeight="1">
      <c r="A793" s="32" t="s">
        <v>706</v>
      </c>
      <c r="B793" s="32" t="s">
        <v>705</v>
      </c>
      <c r="C793" s="32" t="str">
        <f>vlookup(B793,State_EMM_RowSums!$A$2:$B$52,2,FALSE)</f>
        <v>IA</v>
      </c>
      <c r="D793" s="32">
        <v>19005.0</v>
      </c>
      <c r="E793" s="33">
        <f>IF(NOT(ISBLANK(vlookup($D793,Pop_Census_2023!$A$2:$E$3220,4,FALSE))),vlookup($D793,Pop_Census_2023!$A$2:$E$3220,4,FALSE), vlookup($D793,Pop_Census_2023!$A$2:$E$3220,5,FALSE))</f>
        <v>14074</v>
      </c>
      <c r="F793" s="32">
        <v>465192.0</v>
      </c>
      <c r="G793" s="32">
        <v>69.0</v>
      </c>
      <c r="H793" s="32" t="str">
        <f>VLOOKUP(D793, Grid_Region_Mapping!$D$2:$F$5286, 3, FALSE)</f>
        <v>MISW</v>
      </c>
      <c r="I793" s="32">
        <v>4.0</v>
      </c>
      <c r="J793" s="34" t="str">
        <f t="shared" si="1"/>
        <v>Midwest</v>
      </c>
      <c r="K793" s="35">
        <v>1.0</v>
      </c>
      <c r="L793" s="35" t="s">
        <v>707</v>
      </c>
      <c r="M793" s="36">
        <f>VLOOKUP(D793, County_Data_CZones!$B$2:$F$3236, 2, FALSE)</f>
        <v>6</v>
      </c>
      <c r="N793" s="37" t="str">
        <f>VLOOKUP(D793, County_Data_CZones!$B$2:$F$3236, 5, FALSE)</f>
        <v>Cold</v>
      </c>
    </row>
    <row r="794" ht="15.75" customHeight="1">
      <c r="A794" s="32" t="s">
        <v>708</v>
      </c>
      <c r="B794" s="32" t="s">
        <v>705</v>
      </c>
      <c r="C794" s="32" t="str">
        <f>vlookup(B794,State_EMM_RowSums!$A$2:$B$52,2,FALSE)</f>
        <v>IA</v>
      </c>
      <c r="D794" s="32">
        <v>19007.0</v>
      </c>
      <c r="E794" s="33">
        <f>IF(NOT(ISBLANK(vlookup($D794,Pop_Census_2023!$A$2:$E$3220,4,FALSE))),vlookup($D794,Pop_Census_2023!$A$2:$E$3220,4,FALSE), vlookup($D794,Pop_Census_2023!$A$2:$E$3220,5,FALSE))</f>
        <v>12119</v>
      </c>
      <c r="F794" s="32">
        <v>465193.0</v>
      </c>
      <c r="G794" s="32">
        <v>70.0</v>
      </c>
      <c r="H794" s="32" t="str">
        <f>VLOOKUP(D794, Grid_Region_Mapping!$D$2:$F$5286, 3, FALSE)</f>
        <v>MISW</v>
      </c>
      <c r="I794" s="32">
        <v>4.0</v>
      </c>
      <c r="J794" s="34" t="str">
        <f t="shared" si="1"/>
        <v>Midwest</v>
      </c>
      <c r="K794" s="35">
        <v>2.0</v>
      </c>
      <c r="L794" s="35" t="s">
        <v>396</v>
      </c>
      <c r="M794" s="36">
        <f>VLOOKUP(D794, County_Data_CZones!$B$2:$F$3236, 2, FALSE)</f>
        <v>5</v>
      </c>
      <c r="N794" s="37" t="str">
        <f>VLOOKUP(D794, County_Data_CZones!$B$2:$F$3236, 5, FALSE)</f>
        <v>Cold</v>
      </c>
    </row>
    <row r="795" ht="15.75" customHeight="1">
      <c r="A795" s="32" t="s">
        <v>709</v>
      </c>
      <c r="B795" s="32" t="s">
        <v>705</v>
      </c>
      <c r="C795" s="32" t="str">
        <f>vlookup(B795,State_EMM_RowSums!$A$2:$B$52,2,FALSE)</f>
        <v>IA</v>
      </c>
      <c r="D795" s="32">
        <v>19009.0</v>
      </c>
      <c r="E795" s="33">
        <f>IF(NOT(ISBLANK(vlookup($D795,Pop_Census_2023!$A$2:$E$3220,4,FALSE))),vlookup($D795,Pop_Census_2023!$A$2:$E$3220,4,FALSE), vlookup($D795,Pop_Census_2023!$A$2:$E$3220,5,FALSE))</f>
        <v>5534</v>
      </c>
      <c r="F795" s="32">
        <v>465194.0</v>
      </c>
      <c r="G795" s="32">
        <v>45.0</v>
      </c>
      <c r="H795" s="32" t="str">
        <f>VLOOKUP(D795, Grid_Region_Mapping!$D$2:$F$5286, 3, FALSE)</f>
        <v>SPPN</v>
      </c>
      <c r="I795" s="32">
        <v>4.0</v>
      </c>
      <c r="J795" s="34" t="str">
        <f t="shared" si="1"/>
        <v>Midwest</v>
      </c>
      <c r="K795" s="35">
        <v>2.0</v>
      </c>
      <c r="L795" s="35" t="s">
        <v>396</v>
      </c>
      <c r="M795" s="36">
        <f>VLOOKUP(D795, County_Data_CZones!$B$2:$F$3236, 2, FALSE)</f>
        <v>5</v>
      </c>
      <c r="N795" s="37" t="str">
        <f>VLOOKUP(D795, County_Data_CZones!$B$2:$F$3236, 5, FALSE)</f>
        <v>Cold</v>
      </c>
    </row>
    <row r="796" ht="15.75" customHeight="1">
      <c r="A796" s="32" t="s">
        <v>224</v>
      </c>
      <c r="B796" s="32" t="s">
        <v>705</v>
      </c>
      <c r="C796" s="32" t="str">
        <f>vlookup(B796,State_EMM_RowSums!$A$2:$B$52,2,FALSE)</f>
        <v>IA</v>
      </c>
      <c r="D796" s="32">
        <v>19011.0</v>
      </c>
      <c r="E796" s="33">
        <f>IF(NOT(ISBLANK(vlookup($D796,Pop_Census_2023!$A$2:$E$3220,4,FALSE))),vlookup($D796,Pop_Census_2023!$A$2:$E$3220,4,FALSE), vlookup($D796,Pop_Census_2023!$A$2:$E$3220,5,FALSE))</f>
        <v>25796</v>
      </c>
      <c r="F796" s="32">
        <v>465195.0</v>
      </c>
      <c r="G796" s="32">
        <v>70.0</v>
      </c>
      <c r="H796" s="32" t="str">
        <f>VLOOKUP(D796, Grid_Region_Mapping!$D$2:$F$5286, 3, FALSE)</f>
        <v>MISW</v>
      </c>
      <c r="I796" s="32">
        <v>4.0</v>
      </c>
      <c r="J796" s="34" t="str">
        <f t="shared" si="1"/>
        <v>Midwest</v>
      </c>
      <c r="K796" s="35">
        <v>2.0</v>
      </c>
      <c r="L796" s="35" t="s">
        <v>396</v>
      </c>
      <c r="M796" s="36">
        <f>VLOOKUP(D796, County_Data_CZones!$B$2:$F$3236, 2, FALSE)</f>
        <v>5</v>
      </c>
      <c r="N796" s="37" t="str">
        <f>VLOOKUP(D796, County_Data_CZones!$B$2:$F$3236, 5, FALSE)</f>
        <v>Cold</v>
      </c>
    </row>
    <row r="797" ht="15.75" customHeight="1">
      <c r="A797" s="32" t="s">
        <v>710</v>
      </c>
      <c r="B797" s="32" t="s">
        <v>705</v>
      </c>
      <c r="C797" s="32" t="str">
        <f>vlookup(B797,State_EMM_RowSums!$A$2:$B$52,2,FALSE)</f>
        <v>IA</v>
      </c>
      <c r="D797" s="32">
        <v>19013.0</v>
      </c>
      <c r="E797" s="33">
        <f>IF(NOT(ISBLANK(vlookup($D797,Pop_Census_2023!$A$2:$E$3220,4,FALSE))),vlookup($D797,Pop_Census_2023!$A$2:$E$3220,4,FALSE), vlookup($D797,Pop_Census_2023!$A$2:$E$3220,5,FALSE))</f>
        <v>130471</v>
      </c>
      <c r="F797" s="32">
        <v>465196.0</v>
      </c>
      <c r="G797" s="32">
        <v>69.0</v>
      </c>
      <c r="H797" s="32" t="str">
        <f>VLOOKUP(D797, Grid_Region_Mapping!$D$2:$F$5286, 3, FALSE)</f>
        <v>MISW</v>
      </c>
      <c r="I797" s="32">
        <v>4.0</v>
      </c>
      <c r="J797" s="34" t="str">
        <f t="shared" si="1"/>
        <v>Midwest</v>
      </c>
      <c r="K797" s="35">
        <v>1.0</v>
      </c>
      <c r="L797" s="35" t="s">
        <v>707</v>
      </c>
      <c r="M797" s="36">
        <f>VLOOKUP(D797, County_Data_CZones!$B$2:$F$3236, 2, FALSE)</f>
        <v>6</v>
      </c>
      <c r="N797" s="37" t="str">
        <f>VLOOKUP(D797, County_Data_CZones!$B$2:$F$3236, 5, FALSE)</f>
        <v>Cold</v>
      </c>
    </row>
    <row r="798" ht="15.75" customHeight="1">
      <c r="A798" s="32" t="s">
        <v>225</v>
      </c>
      <c r="B798" s="32" t="s">
        <v>705</v>
      </c>
      <c r="C798" s="32" t="str">
        <f>vlookup(B798,State_EMM_RowSums!$A$2:$B$52,2,FALSE)</f>
        <v>IA</v>
      </c>
      <c r="D798" s="32">
        <v>19015.0</v>
      </c>
      <c r="E798" s="33">
        <f>IF(NOT(ISBLANK(vlookup($D798,Pop_Census_2023!$A$2:$E$3220,4,FALSE))),vlookup($D798,Pop_Census_2023!$A$2:$E$3220,4,FALSE), vlookup($D798,Pop_Census_2023!$A$2:$E$3220,5,FALSE))</f>
        <v>26590</v>
      </c>
      <c r="F798" s="32">
        <v>465197.0</v>
      </c>
      <c r="G798" s="32">
        <v>70.0</v>
      </c>
      <c r="H798" s="32" t="str">
        <f>VLOOKUP(D798, Grid_Region_Mapping!$D$2:$F$5286, 3, FALSE)</f>
        <v>MISW</v>
      </c>
      <c r="I798" s="32">
        <v>4.0</v>
      </c>
      <c r="J798" s="34" t="str">
        <f t="shared" si="1"/>
        <v>Midwest</v>
      </c>
      <c r="K798" s="35">
        <v>2.0</v>
      </c>
      <c r="L798" s="35" t="s">
        <v>396</v>
      </c>
      <c r="M798" s="36">
        <f>VLOOKUP(D798, County_Data_CZones!$B$2:$F$3236, 2, FALSE)</f>
        <v>5</v>
      </c>
      <c r="N798" s="37" t="str">
        <f>VLOOKUP(D798, County_Data_CZones!$B$2:$F$3236, 5, FALSE)</f>
        <v>Cold</v>
      </c>
    </row>
    <row r="799" ht="15.75" customHeight="1">
      <c r="A799" s="32" t="s">
        <v>711</v>
      </c>
      <c r="B799" s="32" t="s">
        <v>705</v>
      </c>
      <c r="C799" s="32" t="str">
        <f>vlookup(B799,State_EMM_RowSums!$A$2:$B$52,2,FALSE)</f>
        <v>IA</v>
      </c>
      <c r="D799" s="32">
        <v>19017.0</v>
      </c>
      <c r="E799" s="33">
        <f>IF(NOT(ISBLANK(vlookup($D799,Pop_Census_2023!$A$2:$E$3220,4,FALSE))),vlookup($D799,Pop_Census_2023!$A$2:$E$3220,4,FALSE), vlookup($D799,Pop_Census_2023!$A$2:$E$3220,5,FALSE))</f>
        <v>25307</v>
      </c>
      <c r="F799" s="32">
        <v>465198.0</v>
      </c>
      <c r="G799" s="32">
        <v>69.0</v>
      </c>
      <c r="H799" s="32" t="str">
        <f>VLOOKUP(D799, Grid_Region_Mapping!$D$2:$F$5286, 3, FALSE)</f>
        <v>MISW</v>
      </c>
      <c r="I799" s="32">
        <v>4.0</v>
      </c>
      <c r="J799" s="34" t="str">
        <f t="shared" si="1"/>
        <v>Midwest</v>
      </c>
      <c r="K799" s="35">
        <v>1.0</v>
      </c>
      <c r="L799" s="35" t="s">
        <v>707</v>
      </c>
      <c r="M799" s="36">
        <f>VLOOKUP(D799, County_Data_CZones!$B$2:$F$3236, 2, FALSE)</f>
        <v>6</v>
      </c>
      <c r="N799" s="37" t="str">
        <f>VLOOKUP(D799, County_Data_CZones!$B$2:$F$3236, 5, FALSE)</f>
        <v>Cold</v>
      </c>
    </row>
    <row r="800" ht="15.75" customHeight="1">
      <c r="A800" s="32" t="s">
        <v>712</v>
      </c>
      <c r="B800" s="32" t="s">
        <v>705</v>
      </c>
      <c r="C800" s="32" t="str">
        <f>vlookup(B800,State_EMM_RowSums!$A$2:$B$52,2,FALSE)</f>
        <v>IA</v>
      </c>
      <c r="D800" s="32">
        <v>19019.0</v>
      </c>
      <c r="E800" s="33">
        <f>IF(NOT(ISBLANK(vlookup($D800,Pop_Census_2023!$A$2:$E$3220,4,FALSE))),vlookup($D800,Pop_Census_2023!$A$2:$E$3220,4,FALSE), vlookup($D800,Pop_Census_2023!$A$2:$E$3220,5,FALSE))</f>
        <v>20691</v>
      </c>
      <c r="F800" s="32">
        <v>465199.0</v>
      </c>
      <c r="G800" s="32">
        <v>69.0</v>
      </c>
      <c r="H800" s="32" t="str">
        <f>VLOOKUP(D800, Grid_Region_Mapping!$D$2:$F$5286, 3, FALSE)</f>
        <v>MISW</v>
      </c>
      <c r="I800" s="32">
        <v>4.0</v>
      </c>
      <c r="J800" s="34" t="str">
        <f t="shared" si="1"/>
        <v>Midwest</v>
      </c>
      <c r="K800" s="35">
        <v>1.0</v>
      </c>
      <c r="L800" s="35" t="s">
        <v>707</v>
      </c>
      <c r="M800" s="36">
        <f>VLOOKUP(D800, County_Data_CZones!$B$2:$F$3236, 2, FALSE)</f>
        <v>6</v>
      </c>
      <c r="N800" s="37" t="str">
        <f>VLOOKUP(D800, County_Data_CZones!$B$2:$F$3236, 5, FALSE)</f>
        <v>Cold</v>
      </c>
    </row>
    <row r="801" ht="15.75" customHeight="1">
      <c r="A801" s="32" t="s">
        <v>713</v>
      </c>
      <c r="B801" s="32" t="s">
        <v>705</v>
      </c>
      <c r="C801" s="32" t="str">
        <f>vlookup(B801,State_EMM_RowSums!$A$2:$B$52,2,FALSE)</f>
        <v>IA</v>
      </c>
      <c r="D801" s="32">
        <v>19021.0</v>
      </c>
      <c r="E801" s="33">
        <f>IF(NOT(ISBLANK(vlookup($D801,Pop_Census_2023!$A$2:$E$3220,4,FALSE))),vlookup($D801,Pop_Census_2023!$A$2:$E$3220,4,FALSE), vlookup($D801,Pop_Census_2023!$A$2:$E$3220,5,FALSE))</f>
        <v>20567</v>
      </c>
      <c r="F801" s="32">
        <v>465200.0</v>
      </c>
      <c r="G801" s="32">
        <v>45.0</v>
      </c>
      <c r="H801" s="32" t="str">
        <f>VLOOKUP(D801, Grid_Region_Mapping!$D$2:$F$5286, 3, FALSE)</f>
        <v>SPPN</v>
      </c>
      <c r="I801" s="32">
        <v>4.0</v>
      </c>
      <c r="J801" s="34" t="str">
        <f t="shared" si="1"/>
        <v>Midwest</v>
      </c>
      <c r="K801" s="35">
        <v>1.0</v>
      </c>
      <c r="L801" s="35" t="s">
        <v>707</v>
      </c>
      <c r="M801" s="36">
        <f>VLOOKUP(D801, County_Data_CZones!$B$2:$F$3236, 2, FALSE)</f>
        <v>6</v>
      </c>
      <c r="N801" s="37" t="str">
        <f>VLOOKUP(D801, County_Data_CZones!$B$2:$F$3236, 5, FALSE)</f>
        <v>Cold</v>
      </c>
    </row>
    <row r="802" ht="15.75" customHeight="1">
      <c r="A802" s="32" t="s">
        <v>109</v>
      </c>
      <c r="B802" s="32" t="s">
        <v>705</v>
      </c>
      <c r="C802" s="32" t="str">
        <f>vlookup(B802,State_EMM_RowSums!$A$2:$B$52,2,FALSE)</f>
        <v>IA</v>
      </c>
      <c r="D802" s="32">
        <v>19023.0</v>
      </c>
      <c r="E802" s="33">
        <f>IF(NOT(ISBLANK(vlookup($D802,Pop_Census_2023!$A$2:$E$3220,4,FALSE))),vlookup($D802,Pop_Census_2023!$A$2:$E$3220,4,FALSE), vlookup($D802,Pop_Census_2023!$A$2:$E$3220,5,FALSE))</f>
        <v>14172</v>
      </c>
      <c r="F802" s="32">
        <v>465201.0</v>
      </c>
      <c r="G802" s="32">
        <v>69.0</v>
      </c>
      <c r="H802" s="32" t="str">
        <f>VLOOKUP(D802, Grid_Region_Mapping!$D$2:$F$5286, 3, FALSE)</f>
        <v>MISW</v>
      </c>
      <c r="I802" s="32">
        <v>4.0</v>
      </c>
      <c r="J802" s="34" t="str">
        <f t="shared" si="1"/>
        <v>Midwest</v>
      </c>
      <c r="K802" s="35">
        <v>1.0</v>
      </c>
      <c r="L802" s="35" t="s">
        <v>707</v>
      </c>
      <c r="M802" s="36">
        <f>VLOOKUP(D802, County_Data_CZones!$B$2:$F$3236, 2, FALSE)</f>
        <v>6</v>
      </c>
      <c r="N802" s="37" t="str">
        <f>VLOOKUP(D802, County_Data_CZones!$B$2:$F$3236, 5, FALSE)</f>
        <v>Cold</v>
      </c>
    </row>
    <row r="803" ht="15.75" customHeight="1">
      <c r="A803" s="32" t="s">
        <v>110</v>
      </c>
      <c r="B803" s="32" t="s">
        <v>705</v>
      </c>
      <c r="C803" s="32" t="str">
        <f>vlookup(B803,State_EMM_RowSums!$A$2:$B$52,2,FALSE)</f>
        <v>IA</v>
      </c>
      <c r="D803" s="32">
        <v>19025.0</v>
      </c>
      <c r="E803" s="33">
        <f>IF(NOT(ISBLANK(vlookup($D803,Pop_Census_2023!$A$2:$E$3220,4,FALSE))),vlookup($D803,Pop_Census_2023!$A$2:$E$3220,4,FALSE), vlookup($D803,Pop_Census_2023!$A$2:$E$3220,5,FALSE))</f>
        <v>9763</v>
      </c>
      <c r="F803" s="32">
        <v>465202.0</v>
      </c>
      <c r="G803" s="32">
        <v>45.0</v>
      </c>
      <c r="H803" s="32" t="str">
        <f>VLOOKUP(D803, Grid_Region_Mapping!$D$2:$F$5286, 3, FALSE)</f>
        <v>MISW</v>
      </c>
      <c r="I803" s="32">
        <v>4.0</v>
      </c>
      <c r="J803" s="34" t="str">
        <f t="shared" si="1"/>
        <v>Midwest</v>
      </c>
      <c r="K803" s="35">
        <v>1.0</v>
      </c>
      <c r="L803" s="35" t="s">
        <v>707</v>
      </c>
      <c r="M803" s="36">
        <f>VLOOKUP(D803, County_Data_CZones!$B$2:$F$3236, 2, FALSE)</f>
        <v>6</v>
      </c>
      <c r="N803" s="37" t="str">
        <f>VLOOKUP(D803, County_Data_CZones!$B$2:$F$3236, 5, FALSE)</f>
        <v>Cold</v>
      </c>
    </row>
    <row r="804" ht="15.75" customHeight="1">
      <c r="A804" s="32" t="s">
        <v>227</v>
      </c>
      <c r="B804" s="32" t="s">
        <v>705</v>
      </c>
      <c r="C804" s="32" t="str">
        <f>vlookup(B804,State_EMM_RowSums!$A$2:$B$52,2,FALSE)</f>
        <v>IA</v>
      </c>
      <c r="D804" s="32">
        <v>19027.0</v>
      </c>
      <c r="E804" s="33">
        <f>IF(NOT(ISBLANK(vlookup($D804,Pop_Census_2023!$A$2:$E$3220,4,FALSE))),vlookup($D804,Pop_Census_2023!$A$2:$E$3220,4,FALSE), vlookup($D804,Pop_Census_2023!$A$2:$E$3220,5,FALSE))</f>
        <v>20522</v>
      </c>
      <c r="F804" s="32">
        <v>465203.0</v>
      </c>
      <c r="G804" s="32">
        <v>45.0</v>
      </c>
      <c r="H804" s="32" t="str">
        <f>VLOOKUP(D804, Grid_Region_Mapping!$D$2:$F$5286, 3, FALSE)</f>
        <v>SPPN</v>
      </c>
      <c r="I804" s="32">
        <v>4.0</v>
      </c>
      <c r="J804" s="34" t="str">
        <f t="shared" si="1"/>
        <v>Midwest</v>
      </c>
      <c r="K804" s="35">
        <v>2.0</v>
      </c>
      <c r="L804" s="35" t="s">
        <v>396</v>
      </c>
      <c r="M804" s="36">
        <f>VLOOKUP(D804, County_Data_CZones!$B$2:$F$3236, 2, FALSE)</f>
        <v>5</v>
      </c>
      <c r="N804" s="37" t="str">
        <f>VLOOKUP(D804, County_Data_CZones!$B$2:$F$3236, 5, FALSE)</f>
        <v>Cold</v>
      </c>
    </row>
    <row r="805" ht="15.75" customHeight="1">
      <c r="A805" s="32" t="s">
        <v>613</v>
      </c>
      <c r="B805" s="32" t="s">
        <v>705</v>
      </c>
      <c r="C805" s="32" t="str">
        <f>vlookup(B805,State_EMM_RowSums!$A$2:$B$52,2,FALSE)</f>
        <v>IA</v>
      </c>
      <c r="D805" s="32">
        <v>19029.0</v>
      </c>
      <c r="E805" s="33">
        <f>IF(NOT(ISBLANK(vlookup($D805,Pop_Census_2023!$A$2:$E$3220,4,FALSE))),vlookup($D805,Pop_Census_2023!$A$2:$E$3220,4,FALSE), vlookup($D805,Pop_Census_2023!$A$2:$E$3220,5,FALSE))</f>
        <v>13130</v>
      </c>
      <c r="F805" s="32">
        <v>465204.0</v>
      </c>
      <c r="G805" s="32">
        <v>70.0</v>
      </c>
      <c r="H805" s="32" t="str">
        <f>VLOOKUP(D805, Grid_Region_Mapping!$D$2:$F$5286, 3, FALSE)</f>
        <v>SPPN</v>
      </c>
      <c r="I805" s="32">
        <v>4.0</v>
      </c>
      <c r="J805" s="34" t="str">
        <f t="shared" si="1"/>
        <v>Midwest</v>
      </c>
      <c r="K805" s="35">
        <v>2.0</v>
      </c>
      <c r="L805" s="35" t="s">
        <v>396</v>
      </c>
      <c r="M805" s="36">
        <f>VLOOKUP(D805, County_Data_CZones!$B$2:$F$3236, 2, FALSE)</f>
        <v>5</v>
      </c>
      <c r="N805" s="37" t="str">
        <f>VLOOKUP(D805, County_Data_CZones!$B$2:$F$3236, 5, FALSE)</f>
        <v>Cold</v>
      </c>
    </row>
    <row r="806" ht="15.75" customHeight="1">
      <c r="A806" s="32" t="s">
        <v>714</v>
      </c>
      <c r="B806" s="32" t="s">
        <v>705</v>
      </c>
      <c r="C806" s="32" t="str">
        <f>vlookup(B806,State_EMM_RowSums!$A$2:$B$52,2,FALSE)</f>
        <v>IA</v>
      </c>
      <c r="D806" s="32">
        <v>19031.0</v>
      </c>
      <c r="E806" s="33">
        <f>IF(NOT(ISBLANK(vlookup($D806,Pop_Census_2023!$A$2:$E$3220,4,FALSE))),vlookup($D806,Pop_Census_2023!$A$2:$E$3220,4,FALSE), vlookup($D806,Pop_Census_2023!$A$2:$E$3220,5,FALSE))</f>
        <v>18302</v>
      </c>
      <c r="F806" s="32">
        <v>465205.0</v>
      </c>
      <c r="G806" s="32">
        <v>70.0</v>
      </c>
      <c r="H806" s="32" t="str">
        <f>VLOOKUP(D806, Grid_Region_Mapping!$D$2:$F$5286, 3, FALSE)</f>
        <v>MISW</v>
      </c>
      <c r="I806" s="32">
        <v>4.0</v>
      </c>
      <c r="J806" s="34" t="str">
        <f t="shared" si="1"/>
        <v>Midwest</v>
      </c>
      <c r="K806" s="35">
        <v>2.0</v>
      </c>
      <c r="L806" s="35" t="s">
        <v>396</v>
      </c>
      <c r="M806" s="36">
        <f>VLOOKUP(D806, County_Data_CZones!$B$2:$F$3236, 2, FALSE)</f>
        <v>5</v>
      </c>
      <c r="N806" s="37" t="str">
        <f>VLOOKUP(D806, County_Data_CZones!$B$2:$F$3236, 5, FALSE)</f>
        <v>Cold</v>
      </c>
    </row>
    <row r="807" ht="15.75" customHeight="1">
      <c r="A807" s="32" t="s">
        <v>715</v>
      </c>
      <c r="B807" s="32" t="s">
        <v>705</v>
      </c>
      <c r="C807" s="32" t="str">
        <f>vlookup(B807,State_EMM_RowSums!$A$2:$B$52,2,FALSE)</f>
        <v>IA</v>
      </c>
      <c r="D807" s="32">
        <v>19033.0</v>
      </c>
      <c r="E807" s="33">
        <f>IF(NOT(ISBLANK(vlookup($D807,Pop_Census_2023!$A$2:$E$3220,4,FALSE))),vlookup($D807,Pop_Census_2023!$A$2:$E$3220,4,FALSE), vlookup($D807,Pop_Census_2023!$A$2:$E$3220,5,FALSE))</f>
        <v>42406</v>
      </c>
      <c r="F807" s="32">
        <v>465206.0</v>
      </c>
      <c r="G807" s="32">
        <v>45.0</v>
      </c>
      <c r="H807" s="32" t="str">
        <f>VLOOKUP(D807, Grid_Region_Mapping!$D$2:$F$5286, 3, FALSE)</f>
        <v>MISW</v>
      </c>
      <c r="I807" s="32">
        <v>4.0</v>
      </c>
      <c r="J807" s="34" t="str">
        <f t="shared" si="1"/>
        <v>Midwest</v>
      </c>
      <c r="K807" s="35">
        <v>1.0</v>
      </c>
      <c r="L807" s="35" t="s">
        <v>707</v>
      </c>
      <c r="M807" s="36">
        <f>VLOOKUP(D807, County_Data_CZones!$B$2:$F$3236, 2, FALSE)</f>
        <v>6</v>
      </c>
      <c r="N807" s="37" t="str">
        <f>VLOOKUP(D807, County_Data_CZones!$B$2:$F$3236, 5, FALSE)</f>
        <v>Cold</v>
      </c>
    </row>
    <row r="808" ht="15.75" customHeight="1">
      <c r="A808" s="32" t="s">
        <v>112</v>
      </c>
      <c r="B808" s="32" t="s">
        <v>705</v>
      </c>
      <c r="C808" s="32" t="str">
        <f>vlookup(B808,State_EMM_RowSums!$A$2:$B$52,2,FALSE)</f>
        <v>IA</v>
      </c>
      <c r="D808" s="32">
        <v>19035.0</v>
      </c>
      <c r="E808" s="33">
        <f>IF(NOT(ISBLANK(vlookup($D808,Pop_Census_2023!$A$2:$E$3220,4,FALSE))),vlookup($D808,Pop_Census_2023!$A$2:$E$3220,4,FALSE), vlookup($D808,Pop_Census_2023!$A$2:$E$3220,5,FALSE))</f>
        <v>11605</v>
      </c>
      <c r="F808" s="32">
        <v>465207.0</v>
      </c>
      <c r="G808" s="32">
        <v>45.0</v>
      </c>
      <c r="H808" s="32" t="str">
        <f>VLOOKUP(D808, Grid_Region_Mapping!$D$2:$F$5286, 3, FALSE)</f>
        <v>SPPN</v>
      </c>
      <c r="I808" s="32">
        <v>4.0</v>
      </c>
      <c r="J808" s="34" t="str">
        <f t="shared" si="1"/>
        <v>Midwest</v>
      </c>
      <c r="K808" s="35">
        <v>1.0</v>
      </c>
      <c r="L808" s="35" t="s">
        <v>707</v>
      </c>
      <c r="M808" s="36">
        <f>VLOOKUP(D808, County_Data_CZones!$B$2:$F$3236, 2, FALSE)</f>
        <v>6</v>
      </c>
      <c r="N808" s="37" t="str">
        <f>VLOOKUP(D808, County_Data_CZones!$B$2:$F$3236, 5, FALSE)</f>
        <v>Cold</v>
      </c>
    </row>
    <row r="809" ht="15.75" customHeight="1">
      <c r="A809" s="32" t="s">
        <v>716</v>
      </c>
      <c r="B809" s="32" t="s">
        <v>705</v>
      </c>
      <c r="C809" s="32" t="str">
        <f>vlookup(B809,State_EMM_RowSums!$A$2:$B$52,2,FALSE)</f>
        <v>IA</v>
      </c>
      <c r="D809" s="32">
        <v>19037.0</v>
      </c>
      <c r="E809" s="33">
        <f>IF(NOT(ISBLANK(vlookup($D809,Pop_Census_2023!$A$2:$E$3220,4,FALSE))),vlookup($D809,Pop_Census_2023!$A$2:$E$3220,4,FALSE), vlookup($D809,Pop_Census_2023!$A$2:$E$3220,5,FALSE))</f>
        <v>11658</v>
      </c>
      <c r="F809" s="32">
        <v>465208.0</v>
      </c>
      <c r="G809" s="32">
        <v>69.0</v>
      </c>
      <c r="H809" s="32" t="str">
        <f>VLOOKUP(D809, Grid_Region_Mapping!$D$2:$F$5286, 3, FALSE)</f>
        <v>MISW</v>
      </c>
      <c r="I809" s="32">
        <v>4.0</v>
      </c>
      <c r="J809" s="34" t="str">
        <f t="shared" si="1"/>
        <v>Midwest</v>
      </c>
      <c r="K809" s="35">
        <v>1.0</v>
      </c>
      <c r="L809" s="35" t="s">
        <v>707</v>
      </c>
      <c r="M809" s="36">
        <f>VLOOKUP(D809, County_Data_CZones!$B$2:$F$3236, 2, FALSE)</f>
        <v>6</v>
      </c>
      <c r="N809" s="37" t="str">
        <f>VLOOKUP(D809, County_Data_CZones!$B$2:$F$3236, 5, FALSE)</f>
        <v>Cold</v>
      </c>
    </row>
    <row r="810" ht="15.75" customHeight="1">
      <c r="A810" s="32" t="s">
        <v>115</v>
      </c>
      <c r="B810" s="32" t="s">
        <v>705</v>
      </c>
      <c r="C810" s="32" t="str">
        <f>vlookup(B810,State_EMM_RowSums!$A$2:$B$52,2,FALSE)</f>
        <v>IA</v>
      </c>
      <c r="D810" s="32">
        <v>19039.0</v>
      </c>
      <c r="E810" s="33">
        <f>IF(NOT(ISBLANK(vlookup($D810,Pop_Census_2023!$A$2:$E$3220,4,FALSE))),vlookup($D810,Pop_Census_2023!$A$2:$E$3220,4,FALSE), vlookup($D810,Pop_Census_2023!$A$2:$E$3220,5,FALSE))</f>
        <v>9588</v>
      </c>
      <c r="F810" s="32">
        <v>465209.0</v>
      </c>
      <c r="G810" s="32">
        <v>70.0</v>
      </c>
      <c r="H810" s="32" t="str">
        <f>VLOOKUP(D810, Grid_Region_Mapping!$D$2:$F$5286, 3, FALSE)</f>
        <v>MISW</v>
      </c>
      <c r="I810" s="32">
        <v>4.0</v>
      </c>
      <c r="J810" s="34" t="str">
        <f t="shared" si="1"/>
        <v>Midwest</v>
      </c>
      <c r="K810" s="35">
        <v>2.0</v>
      </c>
      <c r="L810" s="35" t="s">
        <v>396</v>
      </c>
      <c r="M810" s="36">
        <f>VLOOKUP(D810, County_Data_CZones!$B$2:$F$3236, 2, FALSE)</f>
        <v>5</v>
      </c>
      <c r="N810" s="37" t="str">
        <f>VLOOKUP(D810, County_Data_CZones!$B$2:$F$3236, 5, FALSE)</f>
        <v>Cold</v>
      </c>
    </row>
    <row r="811" ht="15.75" customHeight="1">
      <c r="A811" s="32" t="s">
        <v>116</v>
      </c>
      <c r="B811" s="32" t="s">
        <v>705</v>
      </c>
      <c r="C811" s="32" t="str">
        <f>vlookup(B811,State_EMM_RowSums!$A$2:$B$52,2,FALSE)</f>
        <v>IA</v>
      </c>
      <c r="D811" s="32">
        <v>19041.0</v>
      </c>
      <c r="E811" s="33">
        <f>IF(NOT(ISBLANK(vlookup($D811,Pop_Census_2023!$A$2:$E$3220,4,FALSE))),vlookup($D811,Pop_Census_2023!$A$2:$E$3220,4,FALSE), vlookup($D811,Pop_Census_2023!$A$2:$E$3220,5,FALSE))</f>
        <v>16511</v>
      </c>
      <c r="F811" s="32">
        <v>465625.0</v>
      </c>
      <c r="G811" s="32">
        <v>45.0</v>
      </c>
      <c r="H811" s="32" t="str">
        <f>VLOOKUP(D811, Grid_Region_Mapping!$D$2:$F$5286, 3, FALSE)</f>
        <v>SPPN</v>
      </c>
      <c r="I811" s="32">
        <v>4.0</v>
      </c>
      <c r="J811" s="34" t="str">
        <f t="shared" si="1"/>
        <v>Midwest</v>
      </c>
      <c r="K811" s="35">
        <v>1.0</v>
      </c>
      <c r="L811" s="35" t="s">
        <v>707</v>
      </c>
      <c r="M811" s="36">
        <f>VLOOKUP(D811, County_Data_CZones!$B$2:$F$3236, 2, FALSE)</f>
        <v>6</v>
      </c>
      <c r="N811" s="37" t="str">
        <f>VLOOKUP(D811, County_Data_CZones!$B$2:$F$3236, 5, FALSE)</f>
        <v>Cold</v>
      </c>
    </row>
    <row r="812" ht="15.75" customHeight="1">
      <c r="A812" s="32" t="s">
        <v>483</v>
      </c>
      <c r="B812" s="32" t="s">
        <v>705</v>
      </c>
      <c r="C812" s="32" t="str">
        <f>vlookup(B812,State_EMM_RowSums!$A$2:$B$52,2,FALSE)</f>
        <v>IA</v>
      </c>
      <c r="D812" s="32">
        <v>19043.0</v>
      </c>
      <c r="E812" s="33">
        <f>IF(NOT(ISBLANK(vlookup($D812,Pop_Census_2023!$A$2:$E$3220,4,FALSE))),vlookup($D812,Pop_Census_2023!$A$2:$E$3220,4,FALSE), vlookup($D812,Pop_Census_2023!$A$2:$E$3220,5,FALSE))</f>
        <v>16969</v>
      </c>
      <c r="F812" s="32">
        <v>465210.0</v>
      </c>
      <c r="G812" s="32">
        <v>69.0</v>
      </c>
      <c r="H812" s="32" t="str">
        <f>VLOOKUP(D812, Grid_Region_Mapping!$D$2:$F$5286, 3, FALSE)</f>
        <v>MISW</v>
      </c>
      <c r="I812" s="32">
        <v>4.0</v>
      </c>
      <c r="J812" s="34" t="str">
        <f t="shared" si="1"/>
        <v>Midwest</v>
      </c>
      <c r="K812" s="35">
        <v>1.0</v>
      </c>
      <c r="L812" s="35" t="s">
        <v>707</v>
      </c>
      <c r="M812" s="36">
        <f>VLOOKUP(D812, County_Data_CZones!$B$2:$F$3236, 2, FALSE)</f>
        <v>6</v>
      </c>
      <c r="N812" s="37" t="str">
        <f>VLOOKUP(D812, County_Data_CZones!$B$2:$F$3236, 5, FALSE)</f>
        <v>Cold</v>
      </c>
    </row>
    <row r="813" ht="15.75" customHeight="1">
      <c r="A813" s="32" t="s">
        <v>616</v>
      </c>
      <c r="B813" s="32" t="s">
        <v>705</v>
      </c>
      <c r="C813" s="32" t="str">
        <f>vlookup(B813,State_EMM_RowSums!$A$2:$B$52,2,FALSE)</f>
        <v>IA</v>
      </c>
      <c r="D813" s="32">
        <v>19045.0</v>
      </c>
      <c r="E813" s="33">
        <f>IF(NOT(ISBLANK(vlookup($D813,Pop_Census_2023!$A$2:$E$3220,4,FALSE))),vlookup($D813,Pop_Census_2023!$A$2:$E$3220,4,FALSE), vlookup($D813,Pop_Census_2023!$A$2:$E$3220,5,FALSE))</f>
        <v>46158</v>
      </c>
      <c r="F813" s="32">
        <v>465211.0</v>
      </c>
      <c r="G813" s="32">
        <v>70.0</v>
      </c>
      <c r="H813" s="32" t="str">
        <f>VLOOKUP(D813, Grid_Region_Mapping!$D$2:$F$5286, 3, FALSE)</f>
        <v>MISW</v>
      </c>
      <c r="I813" s="32">
        <v>4.0</v>
      </c>
      <c r="J813" s="34" t="str">
        <f t="shared" si="1"/>
        <v>Midwest</v>
      </c>
      <c r="K813" s="35">
        <v>2.0</v>
      </c>
      <c r="L813" s="35" t="s">
        <v>396</v>
      </c>
      <c r="M813" s="36">
        <f>VLOOKUP(D813, County_Data_CZones!$B$2:$F$3236, 2, FALSE)</f>
        <v>5</v>
      </c>
      <c r="N813" s="37" t="str">
        <f>VLOOKUP(D813, County_Data_CZones!$B$2:$F$3236, 5, FALSE)</f>
        <v>Cold</v>
      </c>
    </row>
    <row r="814" ht="15.75" customHeight="1">
      <c r="A814" s="32" t="s">
        <v>234</v>
      </c>
      <c r="B814" s="32" t="s">
        <v>705</v>
      </c>
      <c r="C814" s="32" t="str">
        <f>vlookup(B814,State_EMM_RowSums!$A$2:$B$52,2,FALSE)</f>
        <v>IA</v>
      </c>
      <c r="D814" s="32">
        <v>19047.0</v>
      </c>
      <c r="E814" s="33">
        <f>IF(NOT(ISBLANK(vlookup($D814,Pop_Census_2023!$A$2:$E$3220,4,FALSE))),vlookup($D814,Pop_Census_2023!$A$2:$E$3220,4,FALSE), vlookup($D814,Pop_Census_2023!$A$2:$E$3220,5,FALSE))</f>
        <v>16013</v>
      </c>
      <c r="F814" s="32">
        <v>465212.0</v>
      </c>
      <c r="G814" s="32">
        <v>45.0</v>
      </c>
      <c r="H814" s="32" t="str">
        <f>VLOOKUP(D814, Grid_Region_Mapping!$D$2:$F$5286, 3, FALSE)</f>
        <v>SPPN</v>
      </c>
      <c r="I814" s="32">
        <v>4.0</v>
      </c>
      <c r="J814" s="34" t="str">
        <f t="shared" si="1"/>
        <v>Midwest</v>
      </c>
      <c r="K814" s="35">
        <v>2.0</v>
      </c>
      <c r="L814" s="35" t="s">
        <v>396</v>
      </c>
      <c r="M814" s="36">
        <f>VLOOKUP(D814, County_Data_CZones!$B$2:$F$3236, 2, FALSE)</f>
        <v>6</v>
      </c>
      <c r="N814" s="37" t="str">
        <f>VLOOKUP(D814, County_Data_CZones!$B$2:$F$3236, 5, FALSE)</f>
        <v>Cold</v>
      </c>
    </row>
    <row r="815" ht="15.75" customHeight="1">
      <c r="A815" s="32" t="s">
        <v>126</v>
      </c>
      <c r="B815" s="32" t="s">
        <v>705</v>
      </c>
      <c r="C815" s="32" t="str">
        <f>vlookup(B815,State_EMM_RowSums!$A$2:$B$52,2,FALSE)</f>
        <v>IA</v>
      </c>
      <c r="D815" s="32">
        <v>19049.0</v>
      </c>
      <c r="E815" s="33">
        <f>IF(NOT(ISBLANK(vlookup($D815,Pop_Census_2023!$A$2:$E$3220,4,FALSE))),vlookup($D815,Pop_Census_2023!$A$2:$E$3220,4,FALSE), vlookup($D815,Pop_Census_2023!$A$2:$E$3220,5,FALSE))</f>
        <v>111092</v>
      </c>
      <c r="F815" s="32">
        <v>465213.0</v>
      </c>
      <c r="G815" s="32">
        <v>70.0</v>
      </c>
      <c r="H815" s="32" t="str">
        <f>VLOOKUP(D815, Grid_Region_Mapping!$D$2:$F$5286, 3, FALSE)</f>
        <v>MISW</v>
      </c>
      <c r="I815" s="32">
        <v>4.0</v>
      </c>
      <c r="J815" s="34" t="str">
        <f t="shared" si="1"/>
        <v>Midwest</v>
      </c>
      <c r="K815" s="35">
        <v>2.0</v>
      </c>
      <c r="L815" s="35" t="s">
        <v>396</v>
      </c>
      <c r="M815" s="36">
        <f>VLOOKUP(D815, County_Data_CZones!$B$2:$F$3236, 2, FALSE)</f>
        <v>5</v>
      </c>
      <c r="N815" s="37" t="str">
        <f>VLOOKUP(D815, County_Data_CZones!$B$2:$F$3236, 5, FALSE)</f>
        <v>Cold</v>
      </c>
    </row>
    <row r="816" ht="15.75" customHeight="1">
      <c r="A816" s="32" t="s">
        <v>717</v>
      </c>
      <c r="B816" s="32" t="s">
        <v>705</v>
      </c>
      <c r="C816" s="32" t="str">
        <f>vlookup(B816,State_EMM_RowSums!$A$2:$B$52,2,FALSE)</f>
        <v>IA</v>
      </c>
      <c r="D816" s="32">
        <v>19051.0</v>
      </c>
      <c r="E816" s="33">
        <f>IF(NOT(ISBLANK(vlookup($D816,Pop_Census_2023!$A$2:$E$3220,4,FALSE))),vlookup($D816,Pop_Census_2023!$A$2:$E$3220,4,FALSE), vlookup($D816,Pop_Census_2023!$A$2:$E$3220,5,FALSE))</f>
        <v>9169</v>
      </c>
      <c r="F816" s="32">
        <v>465214.0</v>
      </c>
      <c r="G816" s="32">
        <v>70.0</v>
      </c>
      <c r="H816" s="32" t="str">
        <f>VLOOKUP(D816, Grid_Region_Mapping!$D$2:$F$5286, 3, FALSE)</f>
        <v>MISW</v>
      </c>
      <c r="I816" s="32">
        <v>4.0</v>
      </c>
      <c r="J816" s="34" t="str">
        <f t="shared" si="1"/>
        <v>Midwest</v>
      </c>
      <c r="K816" s="35">
        <v>2.0</v>
      </c>
      <c r="L816" s="35" t="s">
        <v>396</v>
      </c>
      <c r="M816" s="36">
        <f>VLOOKUP(D816, County_Data_CZones!$B$2:$F$3236, 2, FALSE)</f>
        <v>5</v>
      </c>
      <c r="N816" s="37" t="str">
        <f>VLOOKUP(D816, County_Data_CZones!$B$2:$F$3236, 5, FALSE)</f>
        <v>Cold</v>
      </c>
    </row>
    <row r="817" ht="15.75" customHeight="1">
      <c r="A817" s="32" t="s">
        <v>492</v>
      </c>
      <c r="B817" s="32" t="s">
        <v>705</v>
      </c>
      <c r="C817" s="32" t="str">
        <f>vlookup(B817,State_EMM_RowSums!$A$2:$B$52,2,FALSE)</f>
        <v>IA</v>
      </c>
      <c r="D817" s="32">
        <v>19053.0</v>
      </c>
      <c r="E817" s="33">
        <f>IF(NOT(ISBLANK(vlookup($D817,Pop_Census_2023!$A$2:$E$3220,4,FALSE))),vlookup($D817,Pop_Census_2023!$A$2:$E$3220,4,FALSE), vlookup($D817,Pop_Census_2023!$A$2:$E$3220,5,FALSE))</f>
        <v>7665</v>
      </c>
      <c r="F817" s="32">
        <v>465215.0</v>
      </c>
      <c r="G817" s="32">
        <v>70.0</v>
      </c>
      <c r="H817" s="32" t="str">
        <f>VLOOKUP(D817, Grid_Region_Mapping!$D$2:$F$5286, 3, FALSE)</f>
        <v>MISW</v>
      </c>
      <c r="I817" s="32">
        <v>4.0</v>
      </c>
      <c r="J817" s="34" t="str">
        <f t="shared" si="1"/>
        <v>Midwest</v>
      </c>
      <c r="K817" s="35">
        <v>2.0</v>
      </c>
      <c r="L817" s="35" t="s">
        <v>396</v>
      </c>
      <c r="M817" s="36">
        <f>VLOOKUP(D817, County_Data_CZones!$B$2:$F$3236, 2, FALSE)</f>
        <v>5</v>
      </c>
      <c r="N817" s="37" t="str">
        <f>VLOOKUP(D817, County_Data_CZones!$B$2:$F$3236, 5, FALSE)</f>
        <v>Cold</v>
      </c>
    </row>
    <row r="818" ht="15.75" customHeight="1">
      <c r="A818" s="32" t="s">
        <v>405</v>
      </c>
      <c r="B818" s="32" t="s">
        <v>705</v>
      </c>
      <c r="C818" s="32" t="str">
        <f>vlookup(B818,State_EMM_RowSums!$A$2:$B$52,2,FALSE)</f>
        <v>IA</v>
      </c>
      <c r="D818" s="32">
        <v>19055.0</v>
      </c>
      <c r="E818" s="33">
        <f>IF(NOT(ISBLANK(vlookup($D818,Pop_Census_2023!$A$2:$E$3220,4,FALSE))),vlookup($D818,Pop_Census_2023!$A$2:$E$3220,4,FALSE), vlookup($D818,Pop_Census_2023!$A$2:$E$3220,5,FALSE))</f>
        <v>17600</v>
      </c>
      <c r="F818" s="32">
        <v>465216.0</v>
      </c>
      <c r="G818" s="32">
        <v>70.0</v>
      </c>
      <c r="H818" s="32" t="str">
        <f>VLOOKUP(D818, Grid_Region_Mapping!$D$2:$F$5286, 3, FALSE)</f>
        <v>MISW</v>
      </c>
      <c r="I818" s="32">
        <v>4.0</v>
      </c>
      <c r="J818" s="34" t="str">
        <f t="shared" si="1"/>
        <v>Midwest</v>
      </c>
      <c r="K818" s="35">
        <v>1.0</v>
      </c>
      <c r="L818" s="35" t="s">
        <v>707</v>
      </c>
      <c r="M818" s="36">
        <f>VLOOKUP(D818, County_Data_CZones!$B$2:$F$3236, 2, FALSE)</f>
        <v>6</v>
      </c>
      <c r="N818" s="37" t="str">
        <f>VLOOKUP(D818, County_Data_CZones!$B$2:$F$3236, 5, FALSE)</f>
        <v>Cold</v>
      </c>
    </row>
    <row r="819" ht="15.75" customHeight="1">
      <c r="A819" s="32" t="s">
        <v>718</v>
      </c>
      <c r="B819" s="32" t="s">
        <v>705</v>
      </c>
      <c r="C819" s="32" t="str">
        <f>vlookup(B819,State_EMM_RowSums!$A$2:$B$52,2,FALSE)</f>
        <v>IA</v>
      </c>
      <c r="D819" s="32">
        <v>19057.0</v>
      </c>
      <c r="E819" s="33">
        <f>IF(NOT(ISBLANK(vlookup($D819,Pop_Census_2023!$A$2:$E$3220,4,FALSE))),vlookup($D819,Pop_Census_2023!$A$2:$E$3220,4,FALSE), vlookup($D819,Pop_Census_2023!$A$2:$E$3220,5,FALSE))</f>
        <v>38253</v>
      </c>
      <c r="F819" s="32">
        <v>465217.0</v>
      </c>
      <c r="G819" s="32">
        <v>70.0</v>
      </c>
      <c r="H819" s="32" t="str">
        <f>VLOOKUP(D819, Grid_Region_Mapping!$D$2:$F$5286, 3, FALSE)</f>
        <v>MISW</v>
      </c>
      <c r="I819" s="32">
        <v>4.0</v>
      </c>
      <c r="J819" s="34" t="str">
        <f t="shared" si="1"/>
        <v>Midwest</v>
      </c>
      <c r="K819" s="35">
        <v>2.0</v>
      </c>
      <c r="L819" s="35" t="s">
        <v>396</v>
      </c>
      <c r="M819" s="36">
        <f>VLOOKUP(D819, County_Data_CZones!$B$2:$F$3236, 2, FALSE)</f>
        <v>5</v>
      </c>
      <c r="N819" s="37" t="str">
        <f>VLOOKUP(D819, County_Data_CZones!$B$2:$F$3236, 5, FALSE)</f>
        <v>Cold</v>
      </c>
    </row>
    <row r="820" ht="15.75" customHeight="1">
      <c r="A820" s="32" t="s">
        <v>719</v>
      </c>
      <c r="B820" s="32" t="s">
        <v>705</v>
      </c>
      <c r="C820" s="32" t="str">
        <f>vlookup(B820,State_EMM_RowSums!$A$2:$B$52,2,FALSE)</f>
        <v>IA</v>
      </c>
      <c r="D820" s="32">
        <v>19059.0</v>
      </c>
      <c r="E820" s="33">
        <f>IF(NOT(ISBLANK(vlookup($D820,Pop_Census_2023!$A$2:$E$3220,4,FALSE))),vlookup($D820,Pop_Census_2023!$A$2:$E$3220,4,FALSE), vlookup($D820,Pop_Census_2023!$A$2:$E$3220,5,FALSE))</f>
        <v>18056</v>
      </c>
      <c r="F820" s="32">
        <v>465218.0</v>
      </c>
      <c r="G820" s="32">
        <v>45.0</v>
      </c>
      <c r="H820" s="32" t="str">
        <f>VLOOKUP(D820, Grid_Region_Mapping!$D$2:$F$5286, 3, FALSE)</f>
        <v>SPPN</v>
      </c>
      <c r="I820" s="32">
        <v>4.0</v>
      </c>
      <c r="J820" s="34" t="str">
        <f t="shared" si="1"/>
        <v>Midwest</v>
      </c>
      <c r="K820" s="35">
        <v>1.0</v>
      </c>
      <c r="L820" s="35" t="s">
        <v>707</v>
      </c>
      <c r="M820" s="36">
        <f>VLOOKUP(D820, County_Data_CZones!$B$2:$F$3236, 2, FALSE)</f>
        <v>6</v>
      </c>
      <c r="N820" s="37" t="str">
        <f>VLOOKUP(D820, County_Data_CZones!$B$2:$F$3236, 5, FALSE)</f>
        <v>Cold</v>
      </c>
    </row>
    <row r="821" ht="15.75" customHeight="1">
      <c r="A821" s="32" t="s">
        <v>720</v>
      </c>
      <c r="B821" s="32" t="s">
        <v>705</v>
      </c>
      <c r="C821" s="32" t="str">
        <f>vlookup(B821,State_EMM_RowSums!$A$2:$B$52,2,FALSE)</f>
        <v>IA</v>
      </c>
      <c r="D821" s="32">
        <v>19061.0</v>
      </c>
      <c r="E821" s="33">
        <f>IF(NOT(ISBLANK(vlookup($D821,Pop_Census_2023!$A$2:$E$3220,4,FALSE))),vlookup($D821,Pop_Census_2023!$A$2:$E$3220,4,FALSE), vlookup($D821,Pop_Census_2023!$A$2:$E$3220,5,FALSE))</f>
        <v>98887</v>
      </c>
      <c r="F821" s="32">
        <v>465219.0</v>
      </c>
      <c r="G821" s="32">
        <v>70.0</v>
      </c>
      <c r="H821" s="32" t="str">
        <f>VLOOKUP(D821, Grid_Region_Mapping!$D$2:$F$5286, 3, FALSE)</f>
        <v>MISW</v>
      </c>
      <c r="I821" s="32">
        <v>4.0</v>
      </c>
      <c r="J821" s="34" t="str">
        <f t="shared" si="1"/>
        <v>Midwest</v>
      </c>
      <c r="K821" s="35">
        <v>2.0</v>
      </c>
      <c r="L821" s="35" t="s">
        <v>396</v>
      </c>
      <c r="M821" s="36">
        <f>VLOOKUP(D821, County_Data_CZones!$B$2:$F$3236, 2, FALSE)</f>
        <v>5</v>
      </c>
      <c r="N821" s="37" t="str">
        <f>VLOOKUP(D821, County_Data_CZones!$B$2:$F$3236, 5, FALSE)</f>
        <v>Cold</v>
      </c>
    </row>
    <row r="822" ht="15.75" customHeight="1">
      <c r="A822" s="32" t="s">
        <v>721</v>
      </c>
      <c r="B822" s="32" t="s">
        <v>705</v>
      </c>
      <c r="C822" s="32" t="str">
        <f>vlookup(B822,State_EMM_RowSums!$A$2:$B$52,2,FALSE)</f>
        <v>IA</v>
      </c>
      <c r="D822" s="32">
        <v>19063.0</v>
      </c>
      <c r="E822" s="33">
        <f>IF(NOT(ISBLANK(vlookup($D822,Pop_Census_2023!$A$2:$E$3220,4,FALSE))),vlookup($D822,Pop_Census_2023!$A$2:$E$3220,4,FALSE), vlookup($D822,Pop_Census_2023!$A$2:$E$3220,5,FALSE))</f>
        <v>9229</v>
      </c>
      <c r="F822" s="32">
        <v>465220.0</v>
      </c>
      <c r="G822" s="32">
        <v>45.0</v>
      </c>
      <c r="H822" s="32" t="str">
        <f>VLOOKUP(D822, Grid_Region_Mapping!$D$2:$F$5286, 3, FALSE)</f>
        <v>SPPN</v>
      </c>
      <c r="I822" s="32">
        <v>4.0</v>
      </c>
      <c r="J822" s="34" t="str">
        <f t="shared" si="1"/>
        <v>Midwest</v>
      </c>
      <c r="K822" s="35">
        <v>1.0</v>
      </c>
      <c r="L822" s="35" t="s">
        <v>707</v>
      </c>
      <c r="M822" s="36">
        <f>VLOOKUP(D822, County_Data_CZones!$B$2:$F$3236, 2, FALSE)</f>
        <v>6</v>
      </c>
      <c r="N822" s="37" t="str">
        <f>VLOOKUP(D822, County_Data_CZones!$B$2:$F$3236, 5, FALSE)</f>
        <v>Cold</v>
      </c>
    </row>
    <row r="823" ht="15.75" customHeight="1">
      <c r="A823" s="32" t="s">
        <v>131</v>
      </c>
      <c r="B823" s="32" t="s">
        <v>705</v>
      </c>
      <c r="C823" s="32" t="str">
        <f>vlookup(B823,State_EMM_RowSums!$A$2:$B$52,2,FALSE)</f>
        <v>IA</v>
      </c>
      <c r="D823" s="32">
        <v>19065.0</v>
      </c>
      <c r="E823" s="33">
        <f>IF(NOT(ISBLANK(vlookup($D823,Pop_Census_2023!$A$2:$E$3220,4,FALSE))),vlookup($D823,Pop_Census_2023!$A$2:$E$3220,4,FALSE), vlookup($D823,Pop_Census_2023!$A$2:$E$3220,5,FALSE))</f>
        <v>19210</v>
      </c>
      <c r="F823" s="32">
        <v>465221.0</v>
      </c>
      <c r="G823" s="32">
        <v>69.0</v>
      </c>
      <c r="H823" s="32" t="str">
        <f>VLOOKUP(D823, Grid_Region_Mapping!$D$2:$F$5286, 3, FALSE)</f>
        <v>MISW</v>
      </c>
      <c r="I823" s="32">
        <v>4.0</v>
      </c>
      <c r="J823" s="34" t="str">
        <f t="shared" si="1"/>
        <v>Midwest</v>
      </c>
      <c r="K823" s="35">
        <v>1.0</v>
      </c>
      <c r="L823" s="35" t="s">
        <v>707</v>
      </c>
      <c r="M823" s="36">
        <f>VLOOKUP(D823, County_Data_CZones!$B$2:$F$3236, 2, FALSE)</f>
        <v>6</v>
      </c>
      <c r="N823" s="37" t="str">
        <f>VLOOKUP(D823, County_Data_CZones!$B$2:$F$3236, 5, FALSE)</f>
        <v>Cold</v>
      </c>
    </row>
    <row r="824" ht="15.75" customHeight="1">
      <c r="A824" s="32" t="s">
        <v>502</v>
      </c>
      <c r="B824" s="32" t="s">
        <v>705</v>
      </c>
      <c r="C824" s="32" t="str">
        <f>vlookup(B824,State_EMM_RowSums!$A$2:$B$52,2,FALSE)</f>
        <v>IA</v>
      </c>
      <c r="D824" s="32">
        <v>19067.0</v>
      </c>
      <c r="E824" s="33">
        <f>IF(NOT(ISBLANK(vlookup($D824,Pop_Census_2023!$A$2:$E$3220,4,FALSE))),vlookup($D824,Pop_Census_2023!$A$2:$E$3220,4,FALSE), vlookup($D824,Pop_Census_2023!$A$2:$E$3220,5,FALSE))</f>
        <v>15326</v>
      </c>
      <c r="F824" s="32">
        <v>465222.0</v>
      </c>
      <c r="G824" s="32">
        <v>69.0</v>
      </c>
      <c r="H824" s="32" t="str">
        <f>VLOOKUP(D824, Grid_Region_Mapping!$D$2:$F$5286, 3, FALSE)</f>
        <v>MISW</v>
      </c>
      <c r="I824" s="32">
        <v>4.0</v>
      </c>
      <c r="J824" s="34" t="str">
        <f t="shared" si="1"/>
        <v>Midwest</v>
      </c>
      <c r="K824" s="35">
        <v>1.0</v>
      </c>
      <c r="L824" s="35" t="s">
        <v>707</v>
      </c>
      <c r="M824" s="36">
        <f>VLOOKUP(D824, County_Data_CZones!$B$2:$F$3236, 2, FALSE)</f>
        <v>6</v>
      </c>
      <c r="N824" s="37" t="str">
        <f>VLOOKUP(D824, County_Data_CZones!$B$2:$F$3236, 5, FALSE)</f>
        <v>Cold</v>
      </c>
    </row>
    <row r="825" ht="15.75" customHeight="1">
      <c r="A825" s="32" t="s">
        <v>132</v>
      </c>
      <c r="B825" s="32" t="s">
        <v>705</v>
      </c>
      <c r="C825" s="32" t="str">
        <f>vlookup(B825,State_EMM_RowSums!$A$2:$B$52,2,FALSE)</f>
        <v>IA</v>
      </c>
      <c r="D825" s="32">
        <v>19069.0</v>
      </c>
      <c r="E825" s="33">
        <f>IF(NOT(ISBLANK(vlookup($D825,Pop_Census_2023!$A$2:$E$3220,4,FALSE))),vlookup($D825,Pop_Census_2023!$A$2:$E$3220,4,FALSE), vlookup($D825,Pop_Census_2023!$A$2:$E$3220,5,FALSE))</f>
        <v>9875</v>
      </c>
      <c r="F825" s="32">
        <v>465223.0</v>
      </c>
      <c r="G825" s="32">
        <v>45.0</v>
      </c>
      <c r="H825" s="32" t="str">
        <f>VLOOKUP(D825, Grid_Region_Mapping!$D$2:$F$5286, 3, FALSE)</f>
        <v>MISW</v>
      </c>
      <c r="I825" s="32">
        <v>4.0</v>
      </c>
      <c r="J825" s="34" t="str">
        <f t="shared" si="1"/>
        <v>Midwest</v>
      </c>
      <c r="K825" s="35">
        <v>1.0</v>
      </c>
      <c r="L825" s="35" t="s">
        <v>707</v>
      </c>
      <c r="M825" s="36">
        <f>VLOOKUP(D825, County_Data_CZones!$B$2:$F$3236, 2, FALSE)</f>
        <v>6</v>
      </c>
      <c r="N825" s="37" t="str">
        <f>VLOOKUP(D825, County_Data_CZones!$B$2:$F$3236, 5, FALSE)</f>
        <v>Cold</v>
      </c>
    </row>
    <row r="826" ht="15.75" customHeight="1">
      <c r="A826" s="32" t="s">
        <v>361</v>
      </c>
      <c r="B826" s="32" t="s">
        <v>705</v>
      </c>
      <c r="C826" s="32" t="str">
        <f>vlookup(B826,State_EMM_RowSums!$A$2:$B$52,2,FALSE)</f>
        <v>IA</v>
      </c>
      <c r="D826" s="32">
        <v>19071.0</v>
      </c>
      <c r="E826" s="33">
        <f>IF(NOT(ISBLANK(vlookup($D826,Pop_Census_2023!$A$2:$E$3220,4,FALSE))),vlookup($D826,Pop_Census_2023!$A$2:$E$3220,4,FALSE), vlookup($D826,Pop_Census_2023!$A$2:$E$3220,5,FALSE))</f>
        <v>6458</v>
      </c>
      <c r="F826" s="32">
        <v>465224.0</v>
      </c>
      <c r="G826" s="32">
        <v>45.0</v>
      </c>
      <c r="H826" s="32" t="str">
        <f>VLOOKUP(D826, Grid_Region_Mapping!$D$2:$F$5286, 3, FALSE)</f>
        <v>MISW</v>
      </c>
      <c r="I826" s="32">
        <v>4.0</v>
      </c>
      <c r="J826" s="34" t="str">
        <f t="shared" si="1"/>
        <v>Midwest</v>
      </c>
      <c r="K826" s="35">
        <v>2.0</v>
      </c>
      <c r="L826" s="35" t="s">
        <v>396</v>
      </c>
      <c r="M826" s="36">
        <f>VLOOKUP(D826, County_Data_CZones!$B$2:$F$3236, 2, FALSE)</f>
        <v>5</v>
      </c>
      <c r="N826" s="37" t="str">
        <f>VLOOKUP(D826, County_Data_CZones!$B$2:$F$3236, 5, FALSE)</f>
        <v>Cold</v>
      </c>
    </row>
    <row r="827" ht="15.75" customHeight="1">
      <c r="A827" s="32" t="s">
        <v>134</v>
      </c>
      <c r="B827" s="32" t="s">
        <v>705</v>
      </c>
      <c r="C827" s="32" t="str">
        <f>vlookup(B827,State_EMM_RowSums!$A$2:$B$52,2,FALSE)</f>
        <v>IA</v>
      </c>
      <c r="D827" s="32">
        <v>19073.0</v>
      </c>
      <c r="E827" s="33">
        <f>IF(NOT(ISBLANK(vlookup($D827,Pop_Census_2023!$A$2:$E$3220,4,FALSE))),vlookup($D827,Pop_Census_2023!$A$2:$E$3220,4,FALSE), vlookup($D827,Pop_Census_2023!$A$2:$E$3220,5,FALSE))</f>
        <v>8584</v>
      </c>
      <c r="F827" s="32">
        <v>465225.0</v>
      </c>
      <c r="G827" s="32">
        <v>70.0</v>
      </c>
      <c r="H827" s="32" t="str">
        <f>VLOOKUP(D827, Grid_Region_Mapping!$D$2:$F$5286, 3, FALSE)</f>
        <v>MISW</v>
      </c>
      <c r="I827" s="32">
        <v>4.0</v>
      </c>
      <c r="J827" s="34" t="str">
        <f t="shared" si="1"/>
        <v>Midwest</v>
      </c>
      <c r="K827" s="35">
        <v>2.0</v>
      </c>
      <c r="L827" s="35" t="s">
        <v>396</v>
      </c>
      <c r="M827" s="36">
        <f>VLOOKUP(D827, County_Data_CZones!$B$2:$F$3236, 2, FALSE)</f>
        <v>5</v>
      </c>
      <c r="N827" s="37" t="str">
        <f>VLOOKUP(D827, County_Data_CZones!$B$2:$F$3236, 5, FALSE)</f>
        <v>Cold</v>
      </c>
    </row>
    <row r="828" ht="15.75" customHeight="1">
      <c r="A828" s="32" t="s">
        <v>625</v>
      </c>
      <c r="B828" s="32" t="s">
        <v>705</v>
      </c>
      <c r="C828" s="32" t="str">
        <f>vlookup(B828,State_EMM_RowSums!$A$2:$B$52,2,FALSE)</f>
        <v>IA</v>
      </c>
      <c r="D828" s="32">
        <v>19075.0</v>
      </c>
      <c r="E828" s="33">
        <f>IF(NOT(ISBLANK(vlookup($D828,Pop_Census_2023!$A$2:$E$3220,4,FALSE))),vlookup($D828,Pop_Census_2023!$A$2:$E$3220,4,FALSE), vlookup($D828,Pop_Census_2023!$A$2:$E$3220,5,FALSE))</f>
        <v>12384</v>
      </c>
      <c r="F828" s="32">
        <v>465226.0</v>
      </c>
      <c r="G828" s="32">
        <v>69.0</v>
      </c>
      <c r="H828" s="32" t="str">
        <f>VLOOKUP(D828, Grid_Region_Mapping!$D$2:$F$5286, 3, FALSE)</f>
        <v>MISW</v>
      </c>
      <c r="I828" s="32">
        <v>4.0</v>
      </c>
      <c r="J828" s="34" t="str">
        <f t="shared" si="1"/>
        <v>Midwest</v>
      </c>
      <c r="K828" s="35">
        <v>1.0</v>
      </c>
      <c r="L828" s="35" t="s">
        <v>707</v>
      </c>
      <c r="M828" s="36">
        <f>VLOOKUP(D828, County_Data_CZones!$B$2:$F$3236, 2, FALSE)</f>
        <v>6</v>
      </c>
      <c r="N828" s="37" t="str">
        <f>VLOOKUP(D828, County_Data_CZones!$B$2:$F$3236, 5, FALSE)</f>
        <v>Cold</v>
      </c>
    </row>
    <row r="829" ht="15.75" customHeight="1">
      <c r="A829" s="32" t="s">
        <v>722</v>
      </c>
      <c r="B829" s="32" t="s">
        <v>705</v>
      </c>
      <c r="C829" s="32" t="str">
        <f>vlookup(B829,State_EMM_RowSums!$A$2:$B$52,2,FALSE)</f>
        <v>IA</v>
      </c>
      <c r="D829" s="32">
        <v>19077.0</v>
      </c>
      <c r="E829" s="33">
        <f>IF(NOT(ISBLANK(vlookup($D829,Pop_Census_2023!$A$2:$E$3220,4,FALSE))),vlookup($D829,Pop_Census_2023!$A$2:$E$3220,4,FALSE), vlookup($D829,Pop_Census_2023!$A$2:$E$3220,5,FALSE))</f>
        <v>10722</v>
      </c>
      <c r="F829" s="32">
        <v>465227.0</v>
      </c>
      <c r="G829" s="32">
        <v>70.0</v>
      </c>
      <c r="H829" s="32" t="str">
        <f>VLOOKUP(D829, Grid_Region_Mapping!$D$2:$F$5286, 3, FALSE)</f>
        <v>SPPN</v>
      </c>
      <c r="I829" s="32">
        <v>4.0</v>
      </c>
      <c r="J829" s="34" t="str">
        <f t="shared" si="1"/>
        <v>Midwest</v>
      </c>
      <c r="K829" s="35">
        <v>2.0</v>
      </c>
      <c r="L829" s="35" t="s">
        <v>396</v>
      </c>
      <c r="M829" s="36">
        <f>VLOOKUP(D829, County_Data_CZones!$B$2:$F$3236, 2, FALSE)</f>
        <v>5</v>
      </c>
      <c r="N829" s="37" t="str">
        <f>VLOOKUP(D829, County_Data_CZones!$B$2:$F$3236, 5, FALSE)</f>
        <v>Cold</v>
      </c>
    </row>
    <row r="830" ht="15.75" customHeight="1">
      <c r="A830" s="32" t="s">
        <v>428</v>
      </c>
      <c r="B830" s="32" t="s">
        <v>705</v>
      </c>
      <c r="C830" s="32" t="str">
        <f>vlookup(B830,State_EMM_RowSums!$A$2:$B$52,2,FALSE)</f>
        <v>IA</v>
      </c>
      <c r="D830" s="32">
        <v>19079.0</v>
      </c>
      <c r="E830" s="33">
        <f>IF(NOT(ISBLANK(vlookup($D830,Pop_Census_2023!$A$2:$E$3220,4,FALSE))),vlookup($D830,Pop_Census_2023!$A$2:$E$3220,4,FALSE), vlookup($D830,Pop_Census_2023!$A$2:$E$3220,5,FALSE))</f>
        <v>14729</v>
      </c>
      <c r="F830" s="32">
        <v>465228.0</v>
      </c>
      <c r="G830" s="32">
        <v>70.0</v>
      </c>
      <c r="H830" s="32" t="str">
        <f>VLOOKUP(D830, Grid_Region_Mapping!$D$2:$F$5286, 3, FALSE)</f>
        <v>MISW</v>
      </c>
      <c r="I830" s="32">
        <v>4.0</v>
      </c>
      <c r="J830" s="34" t="str">
        <f t="shared" si="1"/>
        <v>Midwest</v>
      </c>
      <c r="K830" s="35">
        <v>1.0</v>
      </c>
      <c r="L830" s="35" t="s">
        <v>707</v>
      </c>
      <c r="M830" s="36">
        <f>VLOOKUP(D830, County_Data_CZones!$B$2:$F$3236, 2, FALSE)</f>
        <v>6</v>
      </c>
      <c r="N830" s="37" t="str">
        <f>VLOOKUP(D830, County_Data_CZones!$B$2:$F$3236, 5, FALSE)</f>
        <v>Cold</v>
      </c>
    </row>
    <row r="831" ht="15.75" customHeight="1">
      <c r="A831" s="32" t="s">
        <v>512</v>
      </c>
      <c r="B831" s="32" t="s">
        <v>705</v>
      </c>
      <c r="C831" s="32" t="str">
        <f>vlookup(B831,State_EMM_RowSums!$A$2:$B$52,2,FALSE)</f>
        <v>IA</v>
      </c>
      <c r="D831" s="32">
        <v>19081.0</v>
      </c>
      <c r="E831" s="33">
        <f>IF(NOT(ISBLANK(vlookup($D831,Pop_Census_2023!$A$2:$E$3220,4,FALSE))),vlookup($D831,Pop_Census_2023!$A$2:$E$3220,4,FALSE), vlookup($D831,Pop_Census_2023!$A$2:$E$3220,5,FALSE))</f>
        <v>10615</v>
      </c>
      <c r="F831" s="32">
        <v>465229.0</v>
      </c>
      <c r="G831" s="32">
        <v>45.0</v>
      </c>
      <c r="H831" s="32" t="str">
        <f>VLOOKUP(D831, Grid_Region_Mapping!$D$2:$F$5286, 3, FALSE)</f>
        <v>MISW</v>
      </c>
      <c r="I831" s="32">
        <v>4.0</v>
      </c>
      <c r="J831" s="34" t="str">
        <f t="shared" si="1"/>
        <v>Midwest</v>
      </c>
      <c r="K831" s="35">
        <v>1.0</v>
      </c>
      <c r="L831" s="35" t="s">
        <v>707</v>
      </c>
      <c r="M831" s="36">
        <f>VLOOKUP(D831, County_Data_CZones!$B$2:$F$3236, 2, FALSE)</f>
        <v>6</v>
      </c>
      <c r="N831" s="37" t="str">
        <f>VLOOKUP(D831, County_Data_CZones!$B$2:$F$3236, 5, FALSE)</f>
        <v>Cold</v>
      </c>
    </row>
    <row r="832" ht="15.75" customHeight="1">
      <c r="A832" s="32" t="s">
        <v>626</v>
      </c>
      <c r="B832" s="32" t="s">
        <v>705</v>
      </c>
      <c r="C832" s="32" t="str">
        <f>vlookup(B832,State_EMM_RowSums!$A$2:$B$52,2,FALSE)</f>
        <v>IA</v>
      </c>
      <c r="D832" s="32">
        <v>19083.0</v>
      </c>
      <c r="E832" s="33">
        <f>IF(NOT(ISBLANK(vlookup($D832,Pop_Census_2023!$A$2:$E$3220,4,FALSE))),vlookup($D832,Pop_Census_2023!$A$2:$E$3220,4,FALSE), vlookup($D832,Pop_Census_2023!$A$2:$E$3220,5,FALSE))</f>
        <v>16463</v>
      </c>
      <c r="F832" s="32">
        <v>465230.0</v>
      </c>
      <c r="G832" s="32">
        <v>70.0</v>
      </c>
      <c r="H832" s="32" t="str">
        <f>VLOOKUP(D832, Grid_Region_Mapping!$D$2:$F$5286, 3, FALSE)</f>
        <v>MISW</v>
      </c>
      <c r="I832" s="32">
        <v>4.0</v>
      </c>
      <c r="J832" s="34" t="str">
        <f t="shared" si="1"/>
        <v>Midwest</v>
      </c>
      <c r="K832" s="35">
        <v>1.0</v>
      </c>
      <c r="L832" s="35" t="s">
        <v>707</v>
      </c>
      <c r="M832" s="36">
        <f>VLOOKUP(D832, County_Data_CZones!$B$2:$F$3236, 2, FALSE)</f>
        <v>6</v>
      </c>
      <c r="N832" s="37" t="str">
        <f>VLOOKUP(D832, County_Data_CZones!$B$2:$F$3236, 5, FALSE)</f>
        <v>Cold</v>
      </c>
    </row>
    <row r="833" ht="15.75" customHeight="1">
      <c r="A833" s="32" t="s">
        <v>673</v>
      </c>
      <c r="B833" s="32" t="s">
        <v>705</v>
      </c>
      <c r="C833" s="32" t="str">
        <f>vlookup(B833,State_EMM_RowSums!$A$2:$B$52,2,FALSE)</f>
        <v>IA</v>
      </c>
      <c r="D833" s="32">
        <v>19085.0</v>
      </c>
      <c r="E833" s="33">
        <f>IF(NOT(ISBLANK(vlookup($D833,Pop_Census_2023!$A$2:$E$3220,4,FALSE))),vlookup($D833,Pop_Census_2023!$A$2:$E$3220,4,FALSE), vlookup($D833,Pop_Census_2023!$A$2:$E$3220,5,FALSE))</f>
        <v>14670</v>
      </c>
      <c r="F833" s="32">
        <v>465231.0</v>
      </c>
      <c r="G833" s="32">
        <v>45.0</v>
      </c>
      <c r="H833" s="32" t="str">
        <f>VLOOKUP(D833, Grid_Region_Mapping!$D$2:$F$5286, 3, FALSE)</f>
        <v>SPPN</v>
      </c>
      <c r="I833" s="32">
        <v>4.0</v>
      </c>
      <c r="J833" s="34" t="str">
        <f t="shared" si="1"/>
        <v>Midwest</v>
      </c>
      <c r="K833" s="35">
        <v>2.0</v>
      </c>
      <c r="L833" s="35" t="s">
        <v>396</v>
      </c>
      <c r="M833" s="36">
        <f>VLOOKUP(D833, County_Data_CZones!$B$2:$F$3236, 2, FALSE)</f>
        <v>5</v>
      </c>
      <c r="N833" s="37" t="str">
        <f>VLOOKUP(D833, County_Data_CZones!$B$2:$F$3236, 5, FALSE)</f>
        <v>Cold</v>
      </c>
    </row>
    <row r="834" ht="15.75" customHeight="1">
      <c r="A834" s="32" t="s">
        <v>136</v>
      </c>
      <c r="B834" s="32" t="s">
        <v>705</v>
      </c>
      <c r="C834" s="32" t="str">
        <f>vlookup(B834,State_EMM_RowSums!$A$2:$B$52,2,FALSE)</f>
        <v>IA</v>
      </c>
      <c r="D834" s="32">
        <v>19087.0</v>
      </c>
      <c r="E834" s="33">
        <f>IF(NOT(ISBLANK(vlookup($D834,Pop_Census_2023!$A$2:$E$3220,4,FALSE))),vlookup($D834,Pop_Census_2023!$A$2:$E$3220,4,FALSE), vlookup($D834,Pop_Census_2023!$A$2:$E$3220,5,FALSE))</f>
        <v>19547</v>
      </c>
      <c r="F834" s="32">
        <v>465232.0</v>
      </c>
      <c r="G834" s="32">
        <v>70.0</v>
      </c>
      <c r="H834" s="32" t="str">
        <f>VLOOKUP(D834, Grid_Region_Mapping!$D$2:$F$5286, 3, FALSE)</f>
        <v>MISW</v>
      </c>
      <c r="I834" s="32">
        <v>4.0</v>
      </c>
      <c r="J834" s="34" t="str">
        <f t="shared" si="1"/>
        <v>Midwest</v>
      </c>
      <c r="K834" s="35">
        <v>2.0</v>
      </c>
      <c r="L834" s="35" t="s">
        <v>396</v>
      </c>
      <c r="M834" s="36">
        <f>VLOOKUP(D834, County_Data_CZones!$B$2:$F$3236, 2, FALSE)</f>
        <v>5</v>
      </c>
      <c r="N834" s="37" t="str">
        <f>VLOOKUP(D834, County_Data_CZones!$B$2:$F$3236, 5, FALSE)</f>
        <v>Cold</v>
      </c>
    </row>
    <row r="835" ht="15.75" customHeight="1">
      <c r="A835" s="32" t="s">
        <v>245</v>
      </c>
      <c r="B835" s="32" t="s">
        <v>705</v>
      </c>
      <c r="C835" s="32" t="str">
        <f>vlookup(B835,State_EMM_RowSums!$A$2:$B$52,2,FALSE)</f>
        <v>IA</v>
      </c>
      <c r="D835" s="32">
        <v>19089.0</v>
      </c>
      <c r="E835" s="33">
        <f>IF(NOT(ISBLANK(vlookup($D835,Pop_Census_2023!$A$2:$E$3220,4,FALSE))),vlookup($D835,Pop_Census_2023!$A$2:$E$3220,4,FALSE), vlookup($D835,Pop_Census_2023!$A$2:$E$3220,5,FALSE))</f>
        <v>9376</v>
      </c>
      <c r="F835" s="32">
        <v>465233.0</v>
      </c>
      <c r="G835" s="32">
        <v>69.0</v>
      </c>
      <c r="H835" s="32" t="str">
        <f>VLOOKUP(D835, Grid_Region_Mapping!$D$2:$F$5286, 3, FALSE)</f>
        <v>MISW</v>
      </c>
      <c r="I835" s="32">
        <v>4.0</v>
      </c>
      <c r="J835" s="34" t="str">
        <f t="shared" si="1"/>
        <v>Midwest</v>
      </c>
      <c r="K835" s="35">
        <v>1.0</v>
      </c>
      <c r="L835" s="35" t="s">
        <v>707</v>
      </c>
      <c r="M835" s="36">
        <f>VLOOKUP(D835, County_Data_CZones!$B$2:$F$3236, 2, FALSE)</f>
        <v>6</v>
      </c>
      <c r="N835" s="37" t="str">
        <f>VLOOKUP(D835, County_Data_CZones!$B$2:$F$3236, 5, FALSE)</f>
        <v>Cold</v>
      </c>
    </row>
    <row r="836" ht="15.75" customHeight="1">
      <c r="A836" s="32" t="s">
        <v>293</v>
      </c>
      <c r="B836" s="32" t="s">
        <v>705</v>
      </c>
      <c r="C836" s="32" t="str">
        <f>vlookup(B836,State_EMM_RowSums!$A$2:$B$52,2,FALSE)</f>
        <v>IA</v>
      </c>
      <c r="D836" s="32">
        <v>19091.0</v>
      </c>
      <c r="E836" s="33">
        <f>IF(NOT(ISBLANK(vlookup($D836,Pop_Census_2023!$A$2:$E$3220,4,FALSE))),vlookup($D836,Pop_Census_2023!$A$2:$E$3220,4,FALSE), vlookup($D836,Pop_Census_2023!$A$2:$E$3220,5,FALSE))</f>
        <v>9500</v>
      </c>
      <c r="F836" s="32">
        <v>465234.0</v>
      </c>
      <c r="G836" s="32">
        <v>45.0</v>
      </c>
      <c r="H836" s="32" t="str">
        <f>VLOOKUP(D836, Grid_Region_Mapping!$D$2:$F$5286, 3, FALSE)</f>
        <v>MISW</v>
      </c>
      <c r="I836" s="32">
        <v>4.0</v>
      </c>
      <c r="J836" s="34" t="str">
        <f t="shared" si="1"/>
        <v>Midwest</v>
      </c>
      <c r="K836" s="35">
        <v>1.0</v>
      </c>
      <c r="L836" s="35" t="s">
        <v>707</v>
      </c>
      <c r="M836" s="36">
        <f>VLOOKUP(D836, County_Data_CZones!$B$2:$F$3236, 2, FALSE)</f>
        <v>6</v>
      </c>
      <c r="N836" s="37" t="str">
        <f>VLOOKUP(D836, County_Data_CZones!$B$2:$F$3236, 5, FALSE)</f>
        <v>Cold</v>
      </c>
    </row>
    <row r="837" ht="15.75" customHeight="1">
      <c r="A837" s="32" t="s">
        <v>723</v>
      </c>
      <c r="B837" s="32" t="s">
        <v>705</v>
      </c>
      <c r="C837" s="32" t="str">
        <f>vlookup(B837,State_EMM_RowSums!$A$2:$B$52,2,FALSE)</f>
        <v>IA</v>
      </c>
      <c r="D837" s="32">
        <v>19093.0</v>
      </c>
      <c r="E837" s="33">
        <f>IF(NOT(ISBLANK(vlookup($D837,Pop_Census_2023!$A$2:$E$3220,4,FALSE))),vlookup($D837,Pop_Census_2023!$A$2:$E$3220,4,FALSE), vlookup($D837,Pop_Census_2023!$A$2:$E$3220,5,FALSE))</f>
        <v>6833</v>
      </c>
      <c r="F837" s="32">
        <v>465235.0</v>
      </c>
      <c r="G837" s="32">
        <v>45.0</v>
      </c>
      <c r="H837" s="32" t="str">
        <f>VLOOKUP(D837, Grid_Region_Mapping!$D$2:$F$5286, 3, FALSE)</f>
        <v>SPPN</v>
      </c>
      <c r="I837" s="32">
        <v>4.0</v>
      </c>
      <c r="J837" s="34" t="str">
        <f t="shared" si="1"/>
        <v>Midwest</v>
      </c>
      <c r="K837" s="35">
        <v>1.0</v>
      </c>
      <c r="L837" s="35" t="s">
        <v>707</v>
      </c>
      <c r="M837" s="36">
        <f>VLOOKUP(D837, County_Data_CZones!$B$2:$F$3236, 2, FALSE)</f>
        <v>6</v>
      </c>
      <c r="N837" s="37" t="str">
        <f>VLOOKUP(D837, County_Data_CZones!$B$2:$F$3236, 5, FALSE)</f>
        <v>Cold</v>
      </c>
    </row>
    <row r="838" ht="15.75" customHeight="1">
      <c r="A838" s="32" t="s">
        <v>705</v>
      </c>
      <c r="B838" s="32" t="s">
        <v>705</v>
      </c>
      <c r="C838" s="32" t="str">
        <f>vlookup(B838,State_EMM_RowSums!$A$2:$B$52,2,FALSE)</f>
        <v>IA</v>
      </c>
      <c r="D838" s="32">
        <v>19095.0</v>
      </c>
      <c r="E838" s="33">
        <f>IF(NOT(ISBLANK(vlookup($D838,Pop_Census_2023!$A$2:$E$3220,4,FALSE))),vlookup($D838,Pop_Census_2023!$A$2:$E$3220,4,FALSE), vlookup($D838,Pop_Census_2023!$A$2:$E$3220,5,FALSE))</f>
        <v>16381</v>
      </c>
      <c r="F838" s="32">
        <v>465236.0</v>
      </c>
      <c r="G838" s="32">
        <v>70.0</v>
      </c>
      <c r="H838" s="32" t="str">
        <f>VLOOKUP(D838, Grid_Region_Mapping!$D$2:$F$5286, 3, FALSE)</f>
        <v>MISW</v>
      </c>
      <c r="I838" s="32">
        <v>4.0</v>
      </c>
      <c r="J838" s="34" t="str">
        <f t="shared" si="1"/>
        <v>Midwest</v>
      </c>
      <c r="K838" s="35">
        <v>2.0</v>
      </c>
      <c r="L838" s="35" t="s">
        <v>396</v>
      </c>
      <c r="M838" s="36">
        <f>VLOOKUP(D838, County_Data_CZones!$B$2:$F$3236, 2, FALSE)</f>
        <v>5</v>
      </c>
      <c r="N838" s="37" t="str">
        <f>VLOOKUP(D838, County_Data_CZones!$B$2:$F$3236, 5, FALSE)</f>
        <v>Cold</v>
      </c>
    </row>
    <row r="839" ht="15.75" customHeight="1">
      <c r="A839" s="32" t="s">
        <v>138</v>
      </c>
      <c r="B839" s="32" t="s">
        <v>705</v>
      </c>
      <c r="C839" s="32" t="str">
        <f>vlookup(B839,State_EMM_RowSums!$A$2:$B$52,2,FALSE)</f>
        <v>IA</v>
      </c>
      <c r="D839" s="32">
        <v>19097.0</v>
      </c>
      <c r="E839" s="33">
        <f>IF(NOT(ISBLANK(vlookup($D839,Pop_Census_2023!$A$2:$E$3220,4,FALSE))),vlookup($D839,Pop_Census_2023!$A$2:$E$3220,4,FALSE), vlookup($D839,Pop_Census_2023!$A$2:$E$3220,5,FALSE))</f>
        <v>19342</v>
      </c>
      <c r="F839" s="32">
        <v>465237.0</v>
      </c>
      <c r="G839" s="32">
        <v>70.0</v>
      </c>
      <c r="H839" s="32" t="str">
        <f>VLOOKUP(D839, Grid_Region_Mapping!$D$2:$F$5286, 3, FALSE)</f>
        <v>MISW</v>
      </c>
      <c r="I839" s="32">
        <v>4.0</v>
      </c>
      <c r="J839" s="34" t="str">
        <f t="shared" si="1"/>
        <v>Midwest</v>
      </c>
      <c r="K839" s="35">
        <v>2.0</v>
      </c>
      <c r="L839" s="35" t="s">
        <v>396</v>
      </c>
      <c r="M839" s="36">
        <f>VLOOKUP(D839, County_Data_CZones!$B$2:$F$3236, 2, FALSE)</f>
        <v>5</v>
      </c>
      <c r="N839" s="37" t="str">
        <f>VLOOKUP(D839, County_Data_CZones!$B$2:$F$3236, 5, FALSE)</f>
        <v>Cold</v>
      </c>
    </row>
    <row r="840" ht="15.75" customHeight="1">
      <c r="A840" s="32" t="s">
        <v>518</v>
      </c>
      <c r="B840" s="32" t="s">
        <v>705</v>
      </c>
      <c r="C840" s="32" t="str">
        <f>vlookup(B840,State_EMM_RowSums!$A$2:$B$52,2,FALSE)</f>
        <v>IA</v>
      </c>
      <c r="D840" s="32">
        <v>19099.0</v>
      </c>
      <c r="E840" s="33">
        <f>IF(NOT(ISBLANK(vlookup($D840,Pop_Census_2023!$A$2:$E$3220,4,FALSE))),vlookup($D840,Pop_Census_2023!$A$2:$E$3220,4,FALSE), vlookup($D840,Pop_Census_2023!$A$2:$E$3220,5,FALSE))</f>
        <v>37919</v>
      </c>
      <c r="F840" s="32">
        <v>465238.0</v>
      </c>
      <c r="G840" s="32">
        <v>70.0</v>
      </c>
      <c r="H840" s="32" t="str">
        <f>VLOOKUP(D840, Grid_Region_Mapping!$D$2:$F$5286, 3, FALSE)</f>
        <v>MISW</v>
      </c>
      <c r="I840" s="32">
        <v>4.0</v>
      </c>
      <c r="J840" s="34" t="str">
        <f t="shared" si="1"/>
        <v>Midwest</v>
      </c>
      <c r="K840" s="35">
        <v>2.0</v>
      </c>
      <c r="L840" s="35" t="s">
        <v>396</v>
      </c>
      <c r="M840" s="36">
        <f>VLOOKUP(D840, County_Data_CZones!$B$2:$F$3236, 2, FALSE)</f>
        <v>5</v>
      </c>
      <c r="N840" s="37" t="str">
        <f>VLOOKUP(D840, County_Data_CZones!$B$2:$F$3236, 5, FALSE)</f>
        <v>Cold</v>
      </c>
    </row>
    <row r="841" ht="15.75" customHeight="1">
      <c r="A841" s="32" t="s">
        <v>139</v>
      </c>
      <c r="B841" s="32" t="s">
        <v>705</v>
      </c>
      <c r="C841" s="32" t="str">
        <f>vlookup(B841,State_EMM_RowSums!$A$2:$B$52,2,FALSE)</f>
        <v>IA</v>
      </c>
      <c r="D841" s="32">
        <v>19101.0</v>
      </c>
      <c r="E841" s="33">
        <f>IF(NOT(ISBLANK(vlookup($D841,Pop_Census_2023!$A$2:$E$3220,4,FALSE))),vlookup($D841,Pop_Census_2023!$A$2:$E$3220,4,FALSE), vlookup($D841,Pop_Census_2023!$A$2:$E$3220,5,FALSE))</f>
        <v>15440</v>
      </c>
      <c r="F841" s="32">
        <v>465239.0</v>
      </c>
      <c r="G841" s="32">
        <v>70.0</v>
      </c>
      <c r="H841" s="32" t="str">
        <f>VLOOKUP(D841, Grid_Region_Mapping!$D$2:$F$5286, 3, FALSE)</f>
        <v>MISW</v>
      </c>
      <c r="I841" s="32">
        <v>4.0</v>
      </c>
      <c r="J841" s="34" t="str">
        <f t="shared" si="1"/>
        <v>Midwest</v>
      </c>
      <c r="K841" s="35">
        <v>2.0</v>
      </c>
      <c r="L841" s="35" t="s">
        <v>396</v>
      </c>
      <c r="M841" s="36">
        <f>VLOOKUP(D841, County_Data_CZones!$B$2:$F$3236, 2, FALSE)</f>
        <v>5</v>
      </c>
      <c r="N841" s="37" t="str">
        <f>VLOOKUP(D841, County_Data_CZones!$B$2:$F$3236, 5, FALSE)</f>
        <v>Cold</v>
      </c>
    </row>
    <row r="842" ht="15.75" customHeight="1">
      <c r="A842" s="32" t="s">
        <v>248</v>
      </c>
      <c r="B842" s="32" t="s">
        <v>705</v>
      </c>
      <c r="C842" s="32" t="str">
        <f>vlookup(B842,State_EMM_RowSums!$A$2:$B$52,2,FALSE)</f>
        <v>IA</v>
      </c>
      <c r="D842" s="32">
        <v>19103.0</v>
      </c>
      <c r="E842" s="33">
        <f>IF(NOT(ISBLANK(vlookup($D842,Pop_Census_2023!$A$2:$E$3220,4,FALSE))),vlookup($D842,Pop_Census_2023!$A$2:$E$3220,4,FALSE), vlookup($D842,Pop_Census_2023!$A$2:$E$3220,5,FALSE))</f>
        <v>157528</v>
      </c>
      <c r="F842" s="32">
        <v>465240.0</v>
      </c>
      <c r="G842" s="32">
        <v>70.0</v>
      </c>
      <c r="H842" s="32" t="str">
        <f>VLOOKUP(D842, Grid_Region_Mapping!$D$2:$F$5286, 3, FALSE)</f>
        <v>MISW</v>
      </c>
      <c r="I842" s="32">
        <v>4.0</v>
      </c>
      <c r="J842" s="34" t="str">
        <f t="shared" si="1"/>
        <v>Midwest</v>
      </c>
      <c r="K842" s="35">
        <v>2.0</v>
      </c>
      <c r="L842" s="35" t="s">
        <v>396</v>
      </c>
      <c r="M842" s="36">
        <f>VLOOKUP(D842, County_Data_CZones!$B$2:$F$3236, 2, FALSE)</f>
        <v>5</v>
      </c>
      <c r="N842" s="37" t="str">
        <f>VLOOKUP(D842, County_Data_CZones!$B$2:$F$3236, 5, FALSE)</f>
        <v>Cold</v>
      </c>
    </row>
    <row r="843" ht="15.75" customHeight="1">
      <c r="A843" s="32" t="s">
        <v>521</v>
      </c>
      <c r="B843" s="32" t="s">
        <v>705</v>
      </c>
      <c r="C843" s="32" t="str">
        <f>vlookup(B843,State_EMM_RowSums!$A$2:$B$52,2,FALSE)</f>
        <v>IA</v>
      </c>
      <c r="D843" s="32">
        <v>19105.0</v>
      </c>
      <c r="E843" s="33">
        <f>IF(NOT(ISBLANK(vlookup($D843,Pop_Census_2023!$A$2:$E$3220,4,FALSE))),vlookup($D843,Pop_Census_2023!$A$2:$E$3220,4,FALSE), vlookup($D843,Pop_Census_2023!$A$2:$E$3220,5,FALSE))</f>
        <v>20900</v>
      </c>
      <c r="F843" s="32">
        <v>465241.0</v>
      </c>
      <c r="G843" s="32">
        <v>70.0</v>
      </c>
      <c r="H843" s="32" t="str">
        <f>VLOOKUP(D843, Grid_Region_Mapping!$D$2:$F$5286, 3, FALSE)</f>
        <v>MISW</v>
      </c>
      <c r="I843" s="32">
        <v>4.0</v>
      </c>
      <c r="J843" s="34" t="str">
        <f t="shared" si="1"/>
        <v>Midwest</v>
      </c>
      <c r="K843" s="35">
        <v>2.0</v>
      </c>
      <c r="L843" s="35" t="s">
        <v>396</v>
      </c>
      <c r="M843" s="36">
        <f>VLOOKUP(D843, County_Data_CZones!$B$2:$F$3236, 2, FALSE)</f>
        <v>5</v>
      </c>
      <c r="N843" s="37" t="str">
        <f>VLOOKUP(D843, County_Data_CZones!$B$2:$F$3236, 5, FALSE)</f>
        <v>Cold</v>
      </c>
    </row>
    <row r="844" ht="15.75" customHeight="1">
      <c r="A844" s="32" t="s">
        <v>724</v>
      </c>
      <c r="B844" s="32" t="s">
        <v>705</v>
      </c>
      <c r="C844" s="32" t="str">
        <f>vlookup(B844,State_EMM_RowSums!$A$2:$B$52,2,FALSE)</f>
        <v>IA</v>
      </c>
      <c r="D844" s="32">
        <v>19107.0</v>
      </c>
      <c r="E844" s="33">
        <f>IF(NOT(ISBLANK(vlookup($D844,Pop_Census_2023!$A$2:$E$3220,4,FALSE))),vlookup($D844,Pop_Census_2023!$A$2:$E$3220,4,FALSE), vlookup($D844,Pop_Census_2023!$A$2:$E$3220,5,FALSE))</f>
        <v>9914</v>
      </c>
      <c r="F844" s="32">
        <v>465242.0</v>
      </c>
      <c r="G844" s="32">
        <v>70.0</v>
      </c>
      <c r="H844" s="32" t="str">
        <f>VLOOKUP(D844, Grid_Region_Mapping!$D$2:$F$5286, 3, FALSE)</f>
        <v>MISW</v>
      </c>
      <c r="I844" s="32">
        <v>4.0</v>
      </c>
      <c r="J844" s="34" t="str">
        <f t="shared" si="1"/>
        <v>Midwest</v>
      </c>
      <c r="K844" s="35">
        <v>2.0</v>
      </c>
      <c r="L844" s="35" t="s">
        <v>396</v>
      </c>
      <c r="M844" s="36">
        <f>VLOOKUP(D844, County_Data_CZones!$B$2:$F$3236, 2, FALSE)</f>
        <v>5</v>
      </c>
      <c r="N844" s="37" t="str">
        <f>VLOOKUP(D844, County_Data_CZones!$B$2:$F$3236, 5, FALSE)</f>
        <v>Cold</v>
      </c>
    </row>
    <row r="845" ht="15.75" customHeight="1">
      <c r="A845" s="32" t="s">
        <v>725</v>
      </c>
      <c r="B845" s="32" t="s">
        <v>705</v>
      </c>
      <c r="C845" s="32" t="str">
        <f>vlookup(B845,State_EMM_RowSums!$A$2:$B$52,2,FALSE)</f>
        <v>IA</v>
      </c>
      <c r="D845" s="32">
        <v>19109.0</v>
      </c>
      <c r="E845" s="33">
        <f>IF(NOT(ISBLANK(vlookup($D845,Pop_Census_2023!$A$2:$E$3220,4,FALSE))),vlookup($D845,Pop_Census_2023!$A$2:$E$3220,4,FALSE), vlookup($D845,Pop_Census_2023!$A$2:$E$3220,5,FALSE))</f>
        <v>14396</v>
      </c>
      <c r="F845" s="32">
        <v>465243.0</v>
      </c>
      <c r="G845" s="32">
        <v>45.0</v>
      </c>
      <c r="H845" s="32" t="str">
        <f>VLOOKUP(D845, Grid_Region_Mapping!$D$2:$F$5286, 3, FALSE)</f>
        <v>SPPN</v>
      </c>
      <c r="I845" s="32">
        <v>4.0</v>
      </c>
      <c r="J845" s="34" t="str">
        <f t="shared" si="1"/>
        <v>Midwest</v>
      </c>
      <c r="K845" s="35">
        <v>1.0</v>
      </c>
      <c r="L845" s="35" t="s">
        <v>707</v>
      </c>
      <c r="M845" s="36">
        <f>VLOOKUP(D845, County_Data_CZones!$B$2:$F$3236, 2, FALSE)</f>
        <v>6</v>
      </c>
      <c r="N845" s="37" t="str">
        <f>VLOOKUP(D845, County_Data_CZones!$B$2:$F$3236, 5, FALSE)</f>
        <v>Cold</v>
      </c>
    </row>
    <row r="846" ht="15.75" customHeight="1">
      <c r="A846" s="32" t="s">
        <v>143</v>
      </c>
      <c r="B846" s="32" t="s">
        <v>705</v>
      </c>
      <c r="C846" s="32" t="str">
        <f>vlookup(B846,State_EMM_RowSums!$A$2:$B$52,2,FALSE)</f>
        <v>IA</v>
      </c>
      <c r="D846" s="32">
        <v>19111.0</v>
      </c>
      <c r="E846" s="33">
        <f>IF(NOT(ISBLANK(vlookup($D846,Pop_Census_2023!$A$2:$E$3220,4,FALSE))),vlookup($D846,Pop_Census_2023!$A$2:$E$3220,4,FALSE), vlookup($D846,Pop_Census_2023!$A$2:$E$3220,5,FALSE))</f>
        <v>32565</v>
      </c>
      <c r="F846" s="32">
        <v>465244.0</v>
      </c>
      <c r="G846" s="32">
        <v>70.0</v>
      </c>
      <c r="H846" s="32" t="str">
        <f>VLOOKUP(D846, Grid_Region_Mapping!$D$2:$F$5286, 3, FALSE)</f>
        <v>MISW</v>
      </c>
      <c r="I846" s="32">
        <v>4.0</v>
      </c>
      <c r="J846" s="34" t="str">
        <f t="shared" si="1"/>
        <v>Midwest</v>
      </c>
      <c r="K846" s="35">
        <v>2.0</v>
      </c>
      <c r="L846" s="35" t="s">
        <v>396</v>
      </c>
      <c r="M846" s="36">
        <f>VLOOKUP(D846, County_Data_CZones!$B$2:$F$3236, 2, FALSE)</f>
        <v>5</v>
      </c>
      <c r="N846" s="37" t="str">
        <f>VLOOKUP(D846, County_Data_CZones!$B$2:$F$3236, 5, FALSE)</f>
        <v>Cold</v>
      </c>
    </row>
    <row r="847" ht="15.75" customHeight="1">
      <c r="A847" s="32" t="s">
        <v>726</v>
      </c>
      <c r="B847" s="32" t="s">
        <v>705</v>
      </c>
      <c r="C847" s="32" t="str">
        <f>vlookup(B847,State_EMM_RowSums!$A$2:$B$52,2,FALSE)</f>
        <v>IA</v>
      </c>
      <c r="D847" s="32">
        <v>19113.0</v>
      </c>
      <c r="E847" s="33">
        <f>IF(NOT(ISBLANK(vlookup($D847,Pop_Census_2023!$A$2:$E$3220,4,FALSE))),vlookup($D847,Pop_Census_2023!$A$2:$E$3220,4,FALSE), vlookup($D847,Pop_Census_2023!$A$2:$E$3220,5,FALSE))</f>
        <v>228972</v>
      </c>
      <c r="F847" s="32">
        <v>465245.0</v>
      </c>
      <c r="G847" s="32">
        <v>70.0</v>
      </c>
      <c r="H847" s="32" t="str">
        <f>VLOOKUP(D847, Grid_Region_Mapping!$D$2:$F$5286, 3, FALSE)</f>
        <v>MISW</v>
      </c>
      <c r="I847" s="32">
        <v>4.0</v>
      </c>
      <c r="J847" s="34" t="str">
        <f t="shared" si="1"/>
        <v>Midwest</v>
      </c>
      <c r="K847" s="35">
        <v>2.0</v>
      </c>
      <c r="L847" s="35" t="s">
        <v>396</v>
      </c>
      <c r="M847" s="36">
        <f>VLOOKUP(D847, County_Data_CZones!$B$2:$F$3236, 2, FALSE)</f>
        <v>5</v>
      </c>
      <c r="N847" s="37" t="str">
        <f>VLOOKUP(D847, County_Data_CZones!$B$2:$F$3236, 5, FALSE)</f>
        <v>Cold</v>
      </c>
    </row>
    <row r="848" ht="15.75" customHeight="1">
      <c r="A848" s="32" t="s">
        <v>727</v>
      </c>
      <c r="B848" s="32" t="s">
        <v>705</v>
      </c>
      <c r="C848" s="32" t="str">
        <f>vlookup(B848,State_EMM_RowSums!$A$2:$B$52,2,FALSE)</f>
        <v>IA</v>
      </c>
      <c r="D848" s="32">
        <v>19115.0</v>
      </c>
      <c r="E848" s="33">
        <f>IF(NOT(ISBLANK(vlookup($D848,Pop_Census_2023!$A$2:$E$3220,4,FALSE))),vlookup($D848,Pop_Census_2023!$A$2:$E$3220,4,FALSE), vlookup($D848,Pop_Census_2023!$A$2:$E$3220,5,FALSE))</f>
        <v>10513</v>
      </c>
      <c r="F848" s="32">
        <v>465246.0</v>
      </c>
      <c r="G848" s="32">
        <v>70.0</v>
      </c>
      <c r="H848" s="32" t="str">
        <f>VLOOKUP(D848, Grid_Region_Mapping!$D$2:$F$5286, 3, FALSE)</f>
        <v>MISW</v>
      </c>
      <c r="I848" s="32">
        <v>4.0</v>
      </c>
      <c r="J848" s="34" t="str">
        <f t="shared" si="1"/>
        <v>Midwest</v>
      </c>
      <c r="K848" s="35">
        <v>2.0</v>
      </c>
      <c r="L848" s="35" t="s">
        <v>396</v>
      </c>
      <c r="M848" s="36">
        <f>VLOOKUP(D848, County_Data_CZones!$B$2:$F$3236, 2, FALSE)</f>
        <v>5</v>
      </c>
      <c r="N848" s="37" t="str">
        <f>VLOOKUP(D848, County_Data_CZones!$B$2:$F$3236, 5, FALSE)</f>
        <v>Cold</v>
      </c>
    </row>
    <row r="849" ht="15.75" customHeight="1">
      <c r="A849" s="32" t="s">
        <v>728</v>
      </c>
      <c r="B849" s="32" t="s">
        <v>705</v>
      </c>
      <c r="C849" s="32" t="str">
        <f>vlookup(B849,State_EMM_RowSums!$A$2:$B$52,2,FALSE)</f>
        <v>IA</v>
      </c>
      <c r="D849" s="32">
        <v>19117.0</v>
      </c>
      <c r="E849" s="33">
        <f>IF(NOT(ISBLANK(vlookup($D849,Pop_Census_2023!$A$2:$E$3220,4,FALSE))),vlookup($D849,Pop_Census_2023!$A$2:$E$3220,4,FALSE), vlookup($D849,Pop_Census_2023!$A$2:$E$3220,5,FALSE))</f>
        <v>8747</v>
      </c>
      <c r="F849" s="32">
        <v>465247.0</v>
      </c>
      <c r="G849" s="32">
        <v>70.0</v>
      </c>
      <c r="H849" s="32" t="str">
        <f>VLOOKUP(D849, Grid_Region_Mapping!$D$2:$F$5286, 3, FALSE)</f>
        <v>MISW</v>
      </c>
      <c r="I849" s="32">
        <v>4.0</v>
      </c>
      <c r="J849" s="34" t="str">
        <f t="shared" si="1"/>
        <v>Midwest</v>
      </c>
      <c r="K849" s="35">
        <v>2.0</v>
      </c>
      <c r="L849" s="35" t="s">
        <v>396</v>
      </c>
      <c r="M849" s="36">
        <f>VLOOKUP(D849, County_Data_CZones!$B$2:$F$3236, 2, FALSE)</f>
        <v>5</v>
      </c>
      <c r="N849" s="37" t="str">
        <f>VLOOKUP(D849, County_Data_CZones!$B$2:$F$3236, 5, FALSE)</f>
        <v>Cold</v>
      </c>
    </row>
    <row r="850" ht="15.75" customHeight="1">
      <c r="A850" s="32" t="s">
        <v>729</v>
      </c>
      <c r="B850" s="32" t="s">
        <v>705</v>
      </c>
      <c r="C850" s="32" t="str">
        <f>vlookup(B850,State_EMM_RowSums!$A$2:$B$52,2,FALSE)</f>
        <v>IA</v>
      </c>
      <c r="D850" s="32">
        <v>19119.0</v>
      </c>
      <c r="E850" s="33">
        <f>IF(NOT(ISBLANK(vlookup($D850,Pop_Census_2023!$A$2:$E$3220,4,FALSE))),vlookup($D850,Pop_Census_2023!$A$2:$E$3220,4,FALSE), vlookup($D850,Pop_Census_2023!$A$2:$E$3220,5,FALSE))</f>
        <v>12324</v>
      </c>
      <c r="F850" s="32">
        <v>465248.0</v>
      </c>
      <c r="G850" s="32">
        <v>45.0</v>
      </c>
      <c r="H850" s="32" t="str">
        <f>VLOOKUP(D850, Grid_Region_Mapping!$D$2:$F$5286, 3, FALSE)</f>
        <v>SPPN</v>
      </c>
      <c r="I850" s="32">
        <v>4.0</v>
      </c>
      <c r="J850" s="34" t="str">
        <f t="shared" si="1"/>
        <v>Midwest</v>
      </c>
      <c r="K850" s="35">
        <v>1.0</v>
      </c>
      <c r="L850" s="35" t="s">
        <v>707</v>
      </c>
      <c r="M850" s="36">
        <f>VLOOKUP(D850, County_Data_CZones!$B$2:$F$3236, 2, FALSE)</f>
        <v>6</v>
      </c>
      <c r="N850" s="37" t="str">
        <f>VLOOKUP(D850, County_Data_CZones!$B$2:$F$3236, 5, FALSE)</f>
        <v>Cold</v>
      </c>
    </row>
    <row r="851" ht="15.75" customHeight="1">
      <c r="A851" s="32" t="s">
        <v>147</v>
      </c>
      <c r="B851" s="32" t="s">
        <v>705</v>
      </c>
      <c r="C851" s="32" t="str">
        <f>vlookup(B851,State_EMM_RowSums!$A$2:$B$52,2,FALSE)</f>
        <v>IA</v>
      </c>
      <c r="D851" s="32">
        <v>19121.0</v>
      </c>
      <c r="E851" s="33">
        <f>IF(NOT(ISBLANK(vlookup($D851,Pop_Census_2023!$A$2:$E$3220,4,FALSE))),vlookup($D851,Pop_Census_2023!$A$2:$E$3220,4,FALSE), vlookup($D851,Pop_Census_2023!$A$2:$E$3220,5,FALSE))</f>
        <v>16971</v>
      </c>
      <c r="F851" s="32">
        <v>465249.0</v>
      </c>
      <c r="G851" s="32">
        <v>70.0</v>
      </c>
      <c r="H851" s="32" t="str">
        <f>VLOOKUP(D851, Grid_Region_Mapping!$D$2:$F$5286, 3, FALSE)</f>
        <v>MISW</v>
      </c>
      <c r="I851" s="32">
        <v>4.0</v>
      </c>
      <c r="J851" s="34" t="str">
        <f t="shared" si="1"/>
        <v>Midwest</v>
      </c>
      <c r="K851" s="35">
        <v>2.0</v>
      </c>
      <c r="L851" s="35" t="s">
        <v>396</v>
      </c>
      <c r="M851" s="36">
        <f>VLOOKUP(D851, County_Data_CZones!$B$2:$F$3236, 2, FALSE)</f>
        <v>5</v>
      </c>
      <c r="N851" s="37" t="str">
        <f>VLOOKUP(D851, County_Data_CZones!$B$2:$F$3236, 5, FALSE)</f>
        <v>Cold</v>
      </c>
    </row>
    <row r="852" ht="15.75" customHeight="1">
      <c r="A852" s="32" t="s">
        <v>730</v>
      </c>
      <c r="B852" s="32" t="s">
        <v>705</v>
      </c>
      <c r="C852" s="32" t="str">
        <f>vlookup(B852,State_EMM_RowSums!$A$2:$B$52,2,FALSE)</f>
        <v>IA</v>
      </c>
      <c r="D852" s="32">
        <v>19123.0</v>
      </c>
      <c r="E852" s="33">
        <f>IF(NOT(ISBLANK(vlookup($D852,Pop_Census_2023!$A$2:$E$3220,4,FALSE))),vlookup($D852,Pop_Census_2023!$A$2:$E$3220,4,FALSE), vlookup($D852,Pop_Census_2023!$A$2:$E$3220,5,FALSE))</f>
        <v>21874</v>
      </c>
      <c r="F852" s="32">
        <v>465250.0</v>
      </c>
      <c r="G852" s="32">
        <v>70.0</v>
      </c>
      <c r="H852" s="32" t="str">
        <f>VLOOKUP(D852, Grid_Region_Mapping!$D$2:$F$5286, 3, FALSE)</f>
        <v>MISW</v>
      </c>
      <c r="I852" s="32">
        <v>4.0</v>
      </c>
      <c r="J852" s="34" t="str">
        <f t="shared" si="1"/>
        <v>Midwest</v>
      </c>
      <c r="K852" s="35">
        <v>2.0</v>
      </c>
      <c r="L852" s="35" t="s">
        <v>396</v>
      </c>
      <c r="M852" s="36">
        <f>VLOOKUP(D852, County_Data_CZones!$B$2:$F$3236, 2, FALSE)</f>
        <v>5</v>
      </c>
      <c r="N852" s="37" t="str">
        <f>VLOOKUP(D852, County_Data_CZones!$B$2:$F$3236, 5, FALSE)</f>
        <v>Cold</v>
      </c>
    </row>
    <row r="853" ht="15.75" customHeight="1">
      <c r="A853" s="32" t="s">
        <v>149</v>
      </c>
      <c r="B853" s="32" t="s">
        <v>705</v>
      </c>
      <c r="C853" s="32" t="str">
        <f>vlookup(B853,State_EMM_RowSums!$A$2:$B$52,2,FALSE)</f>
        <v>IA</v>
      </c>
      <c r="D853" s="32">
        <v>19125.0</v>
      </c>
      <c r="E853" s="33">
        <f>IF(NOT(ISBLANK(vlookup($D853,Pop_Census_2023!$A$2:$E$3220,4,FALSE))),vlookup($D853,Pop_Census_2023!$A$2:$E$3220,4,FALSE), vlookup($D853,Pop_Census_2023!$A$2:$E$3220,5,FALSE))</f>
        <v>33770</v>
      </c>
      <c r="F853" s="32">
        <v>465251.0</v>
      </c>
      <c r="G853" s="32">
        <v>70.0</v>
      </c>
      <c r="H853" s="32" t="str">
        <f>VLOOKUP(D853, Grid_Region_Mapping!$D$2:$F$5286, 3, FALSE)</f>
        <v>MISW</v>
      </c>
      <c r="I853" s="32">
        <v>4.0</v>
      </c>
      <c r="J853" s="34" t="str">
        <f t="shared" si="1"/>
        <v>Midwest</v>
      </c>
      <c r="K853" s="35">
        <v>2.0</v>
      </c>
      <c r="L853" s="35" t="s">
        <v>396</v>
      </c>
      <c r="M853" s="36">
        <f>VLOOKUP(D853, County_Data_CZones!$B$2:$F$3236, 2, FALSE)</f>
        <v>5</v>
      </c>
      <c r="N853" s="37" t="str">
        <f>VLOOKUP(D853, County_Data_CZones!$B$2:$F$3236, 5, FALSE)</f>
        <v>Cold</v>
      </c>
    </row>
    <row r="854" ht="15.75" customHeight="1">
      <c r="A854" s="32" t="s">
        <v>150</v>
      </c>
      <c r="B854" s="32" t="s">
        <v>705</v>
      </c>
      <c r="C854" s="32" t="str">
        <f>vlookup(B854,State_EMM_RowSums!$A$2:$B$52,2,FALSE)</f>
        <v>IA</v>
      </c>
      <c r="D854" s="32">
        <v>19127.0</v>
      </c>
      <c r="E854" s="33">
        <f>IF(NOT(ISBLANK(vlookup($D854,Pop_Census_2023!$A$2:$E$3220,4,FALSE))),vlookup($D854,Pop_Census_2023!$A$2:$E$3220,4,FALSE), vlookup($D854,Pop_Census_2023!$A$2:$E$3220,5,FALSE))</f>
        <v>40014</v>
      </c>
      <c r="F854" s="32">
        <v>465252.0</v>
      </c>
      <c r="G854" s="32">
        <v>70.0</v>
      </c>
      <c r="H854" s="32" t="str">
        <f>VLOOKUP(D854, Grid_Region_Mapping!$D$2:$F$5286, 3, FALSE)</f>
        <v>MISW</v>
      </c>
      <c r="I854" s="32">
        <v>4.0</v>
      </c>
      <c r="J854" s="34" t="str">
        <f t="shared" si="1"/>
        <v>Midwest</v>
      </c>
      <c r="K854" s="35">
        <v>2.0</v>
      </c>
      <c r="L854" s="35" t="s">
        <v>396</v>
      </c>
      <c r="M854" s="36">
        <f>VLOOKUP(D854, County_Data_CZones!$B$2:$F$3236, 2, FALSE)</f>
        <v>5</v>
      </c>
      <c r="N854" s="37" t="str">
        <f>VLOOKUP(D854, County_Data_CZones!$B$2:$F$3236, 5, FALSE)</f>
        <v>Cold</v>
      </c>
    </row>
    <row r="855" ht="15.75" customHeight="1">
      <c r="A855" s="32" t="s">
        <v>731</v>
      </c>
      <c r="B855" s="32" t="s">
        <v>705</v>
      </c>
      <c r="C855" s="32" t="str">
        <f>vlookup(B855,State_EMM_RowSums!$A$2:$B$52,2,FALSE)</f>
        <v>IA</v>
      </c>
      <c r="D855" s="32">
        <v>19129.0</v>
      </c>
      <c r="E855" s="33">
        <f>IF(NOT(ISBLANK(vlookup($D855,Pop_Census_2023!$A$2:$E$3220,4,FALSE))),vlookup($D855,Pop_Census_2023!$A$2:$E$3220,4,FALSE), vlookup($D855,Pop_Census_2023!$A$2:$E$3220,5,FALSE))</f>
        <v>14633</v>
      </c>
      <c r="F855" s="32">
        <v>465253.0</v>
      </c>
      <c r="G855" s="32">
        <v>45.0</v>
      </c>
      <c r="H855" s="32" t="str">
        <f>VLOOKUP(D855, Grid_Region_Mapping!$D$2:$F$5286, 3, FALSE)</f>
        <v>MISW</v>
      </c>
      <c r="I855" s="32">
        <v>4.0</v>
      </c>
      <c r="J855" s="34" t="str">
        <f t="shared" si="1"/>
        <v>Midwest</v>
      </c>
      <c r="K855" s="35">
        <v>2.0</v>
      </c>
      <c r="L855" s="35" t="s">
        <v>396</v>
      </c>
      <c r="M855" s="36">
        <f>VLOOKUP(D855, County_Data_CZones!$B$2:$F$3236, 2, FALSE)</f>
        <v>5</v>
      </c>
      <c r="N855" s="37" t="str">
        <f>VLOOKUP(D855, County_Data_CZones!$B$2:$F$3236, 5, FALSE)</f>
        <v>Cold</v>
      </c>
    </row>
    <row r="856" ht="15.75" customHeight="1">
      <c r="A856" s="32" t="s">
        <v>529</v>
      </c>
      <c r="B856" s="32" t="s">
        <v>705</v>
      </c>
      <c r="C856" s="32" t="str">
        <f>vlookup(B856,State_EMM_RowSums!$A$2:$B$52,2,FALSE)</f>
        <v>IA</v>
      </c>
      <c r="D856" s="32">
        <v>19131.0</v>
      </c>
      <c r="E856" s="33">
        <f>IF(NOT(ISBLANK(vlookup($D856,Pop_Census_2023!$A$2:$E$3220,4,FALSE))),vlookup($D856,Pop_Census_2023!$A$2:$E$3220,4,FALSE), vlookup($D856,Pop_Census_2023!$A$2:$E$3220,5,FALSE))</f>
        <v>10518</v>
      </c>
      <c r="F856" s="32">
        <v>465254.0</v>
      </c>
      <c r="G856" s="32">
        <v>69.0</v>
      </c>
      <c r="H856" s="32" t="str">
        <f>VLOOKUP(D856, Grid_Region_Mapping!$D$2:$F$5286, 3, FALSE)</f>
        <v>MISW</v>
      </c>
      <c r="I856" s="32">
        <v>4.0</v>
      </c>
      <c r="J856" s="34" t="str">
        <f t="shared" si="1"/>
        <v>Midwest</v>
      </c>
      <c r="K856" s="35">
        <v>1.0</v>
      </c>
      <c r="L856" s="35" t="s">
        <v>707</v>
      </c>
      <c r="M856" s="36">
        <f>VLOOKUP(D856, County_Data_CZones!$B$2:$F$3236, 2, FALSE)</f>
        <v>6</v>
      </c>
      <c r="N856" s="37" t="str">
        <f>VLOOKUP(D856, County_Data_CZones!$B$2:$F$3236, 5, FALSE)</f>
        <v>Cold</v>
      </c>
    </row>
    <row r="857" ht="15.75" customHeight="1">
      <c r="A857" s="32" t="s">
        <v>732</v>
      </c>
      <c r="B857" s="32" t="s">
        <v>705</v>
      </c>
      <c r="C857" s="32" t="str">
        <f>vlookup(B857,State_EMM_RowSums!$A$2:$B$52,2,FALSE)</f>
        <v>IA</v>
      </c>
      <c r="D857" s="32">
        <v>19133.0</v>
      </c>
      <c r="E857" s="33">
        <f>IF(NOT(ISBLANK(vlookup($D857,Pop_Census_2023!$A$2:$E$3220,4,FALSE))),vlookup($D857,Pop_Census_2023!$A$2:$E$3220,4,FALSE), vlookup($D857,Pop_Census_2023!$A$2:$E$3220,5,FALSE))</f>
        <v>8493</v>
      </c>
      <c r="F857" s="32">
        <v>465255.0</v>
      </c>
      <c r="G857" s="32">
        <v>45.0</v>
      </c>
      <c r="H857" s="32" t="str">
        <f>VLOOKUP(D857, Grid_Region_Mapping!$D$2:$F$5286, 3, FALSE)</f>
        <v>SPPN</v>
      </c>
      <c r="I857" s="32">
        <v>4.0</v>
      </c>
      <c r="J857" s="34" t="str">
        <f t="shared" si="1"/>
        <v>Midwest</v>
      </c>
      <c r="K857" s="35">
        <v>2.0</v>
      </c>
      <c r="L857" s="35" t="s">
        <v>396</v>
      </c>
      <c r="M857" s="36">
        <f>VLOOKUP(D857, County_Data_CZones!$B$2:$F$3236, 2, FALSE)</f>
        <v>5</v>
      </c>
      <c r="N857" s="37" t="str">
        <f>VLOOKUP(D857, County_Data_CZones!$B$2:$F$3236, 5, FALSE)</f>
        <v>Cold</v>
      </c>
    </row>
    <row r="858" ht="15.75" customHeight="1">
      <c r="A858" s="32" t="s">
        <v>152</v>
      </c>
      <c r="B858" s="32" t="s">
        <v>705</v>
      </c>
      <c r="C858" s="32" t="str">
        <f>vlookup(B858,State_EMM_RowSums!$A$2:$B$52,2,FALSE)</f>
        <v>IA</v>
      </c>
      <c r="D858" s="32">
        <v>19135.0</v>
      </c>
      <c r="E858" s="33">
        <f>IF(NOT(ISBLANK(vlookup($D858,Pop_Census_2023!$A$2:$E$3220,4,FALSE))),vlookup($D858,Pop_Census_2023!$A$2:$E$3220,4,FALSE), vlookup($D858,Pop_Census_2023!$A$2:$E$3220,5,FALSE))</f>
        <v>7504</v>
      </c>
      <c r="F858" s="32">
        <v>465256.0</v>
      </c>
      <c r="G858" s="32">
        <v>70.0</v>
      </c>
      <c r="H858" s="32" t="str">
        <f>VLOOKUP(D858, Grid_Region_Mapping!$D$2:$F$5286, 3, FALSE)</f>
        <v>MISW</v>
      </c>
      <c r="I858" s="32">
        <v>4.0</v>
      </c>
      <c r="J858" s="34" t="str">
        <f t="shared" si="1"/>
        <v>Midwest</v>
      </c>
      <c r="K858" s="35">
        <v>2.0</v>
      </c>
      <c r="L858" s="35" t="s">
        <v>396</v>
      </c>
      <c r="M858" s="36">
        <f>VLOOKUP(D858, County_Data_CZones!$B$2:$F$3236, 2, FALSE)</f>
        <v>5</v>
      </c>
      <c r="N858" s="37" t="str">
        <f>VLOOKUP(D858, County_Data_CZones!$B$2:$F$3236, 5, FALSE)</f>
        <v>Cold</v>
      </c>
    </row>
    <row r="859" ht="15.75" customHeight="1">
      <c r="A859" s="32" t="s">
        <v>153</v>
      </c>
      <c r="B859" s="32" t="s">
        <v>705</v>
      </c>
      <c r="C859" s="32" t="str">
        <f>vlookup(B859,State_EMM_RowSums!$A$2:$B$52,2,FALSE)</f>
        <v>IA</v>
      </c>
      <c r="D859" s="32">
        <v>19137.0</v>
      </c>
      <c r="E859" s="33">
        <f>IF(NOT(ISBLANK(vlookup($D859,Pop_Census_2023!$A$2:$E$3220,4,FALSE))),vlookup($D859,Pop_Census_2023!$A$2:$E$3220,4,FALSE), vlookup($D859,Pop_Census_2023!$A$2:$E$3220,5,FALSE))</f>
        <v>10139</v>
      </c>
      <c r="F859" s="32">
        <v>465257.0</v>
      </c>
      <c r="G859" s="32">
        <v>45.0</v>
      </c>
      <c r="H859" s="32" t="str">
        <f>VLOOKUP(D859, Grid_Region_Mapping!$D$2:$F$5286, 3, FALSE)</f>
        <v>MISW</v>
      </c>
      <c r="I859" s="32">
        <v>4.0</v>
      </c>
      <c r="J859" s="34" t="str">
        <f t="shared" si="1"/>
        <v>Midwest</v>
      </c>
      <c r="K859" s="35">
        <v>2.0</v>
      </c>
      <c r="L859" s="35" t="s">
        <v>396</v>
      </c>
      <c r="M859" s="36">
        <f>VLOOKUP(D859, County_Data_CZones!$B$2:$F$3236, 2, FALSE)</f>
        <v>5</v>
      </c>
      <c r="N859" s="37" t="str">
        <f>VLOOKUP(D859, County_Data_CZones!$B$2:$F$3236, 5, FALSE)</f>
        <v>Cold</v>
      </c>
    </row>
    <row r="860" ht="15.75" customHeight="1">
      <c r="A860" s="32" t="s">
        <v>733</v>
      </c>
      <c r="B860" s="32" t="s">
        <v>705</v>
      </c>
      <c r="C860" s="32" t="str">
        <f>vlookup(B860,State_EMM_RowSums!$A$2:$B$52,2,FALSE)</f>
        <v>IA</v>
      </c>
      <c r="D860" s="32">
        <v>19139.0</v>
      </c>
      <c r="E860" s="33">
        <f>IF(NOT(ISBLANK(vlookup($D860,Pop_Census_2023!$A$2:$E$3220,4,FALSE))),vlookup($D860,Pop_Census_2023!$A$2:$E$3220,4,FALSE), vlookup($D860,Pop_Census_2023!$A$2:$E$3220,5,FALSE))</f>
        <v>42218</v>
      </c>
      <c r="F860" s="32">
        <v>465258.0</v>
      </c>
      <c r="G860" s="32">
        <v>70.0</v>
      </c>
      <c r="H860" s="32" t="str">
        <f>VLOOKUP(D860, Grid_Region_Mapping!$D$2:$F$5286, 3, FALSE)</f>
        <v>MISW</v>
      </c>
      <c r="I860" s="32">
        <v>4.0</v>
      </c>
      <c r="J860" s="34" t="str">
        <f t="shared" si="1"/>
        <v>Midwest</v>
      </c>
      <c r="K860" s="35">
        <v>2.0</v>
      </c>
      <c r="L860" s="35" t="s">
        <v>396</v>
      </c>
      <c r="M860" s="36">
        <f>VLOOKUP(D860, County_Data_CZones!$B$2:$F$3236, 2, FALSE)</f>
        <v>5</v>
      </c>
      <c r="N860" s="37" t="str">
        <f>VLOOKUP(D860, County_Data_CZones!$B$2:$F$3236, 5, FALSE)</f>
        <v>Cold</v>
      </c>
    </row>
    <row r="861" ht="15.75" customHeight="1">
      <c r="A861" s="32" t="s">
        <v>734</v>
      </c>
      <c r="B861" s="32" t="s">
        <v>705</v>
      </c>
      <c r="C861" s="32" t="str">
        <f>vlookup(B861,State_EMM_RowSums!$A$2:$B$52,2,FALSE)</f>
        <v>IA</v>
      </c>
      <c r="D861" s="32">
        <v>19141.0</v>
      </c>
      <c r="E861" s="33">
        <f>IF(NOT(ISBLANK(vlookup($D861,Pop_Census_2023!$A$2:$E$3220,4,FALSE))),vlookup($D861,Pop_Census_2023!$A$2:$E$3220,4,FALSE), vlookup($D861,Pop_Census_2023!$A$2:$E$3220,5,FALSE))</f>
        <v>14012</v>
      </c>
      <c r="F861" s="32">
        <v>465259.0</v>
      </c>
      <c r="G861" s="32">
        <v>45.0</v>
      </c>
      <c r="H861" s="32" t="str">
        <f>VLOOKUP(D861, Grid_Region_Mapping!$D$2:$F$5286, 3, FALSE)</f>
        <v>SPPN</v>
      </c>
      <c r="I861" s="32">
        <v>4.0</v>
      </c>
      <c r="J861" s="34" t="str">
        <f t="shared" si="1"/>
        <v>Midwest</v>
      </c>
      <c r="K861" s="35">
        <v>1.0</v>
      </c>
      <c r="L861" s="35" t="s">
        <v>707</v>
      </c>
      <c r="M861" s="36">
        <f>VLOOKUP(D861, County_Data_CZones!$B$2:$F$3236, 2, FALSE)</f>
        <v>6</v>
      </c>
      <c r="N861" s="37" t="str">
        <f>VLOOKUP(D861, County_Data_CZones!$B$2:$F$3236, 5, FALSE)</f>
        <v>Cold</v>
      </c>
    </row>
    <row r="862" ht="15.75" customHeight="1">
      <c r="A862" s="32" t="s">
        <v>445</v>
      </c>
      <c r="B862" s="32" t="s">
        <v>705</v>
      </c>
      <c r="C862" s="32" t="str">
        <f>vlookup(B862,State_EMM_RowSums!$A$2:$B$52,2,FALSE)</f>
        <v>IA</v>
      </c>
      <c r="D862" s="32">
        <v>19143.0</v>
      </c>
      <c r="E862" s="33">
        <f>IF(NOT(ISBLANK(vlookup($D862,Pop_Census_2023!$A$2:$E$3220,4,FALSE))),vlookup($D862,Pop_Census_2023!$A$2:$E$3220,4,FALSE), vlookup($D862,Pop_Census_2023!$A$2:$E$3220,5,FALSE))</f>
        <v>5978</v>
      </c>
      <c r="F862" s="32">
        <v>465260.0</v>
      </c>
      <c r="G862" s="32">
        <v>45.0</v>
      </c>
      <c r="H862" s="32" t="str">
        <f>VLOOKUP(D862, Grid_Region_Mapping!$D$2:$F$5286, 3, FALSE)</f>
        <v>SPPN</v>
      </c>
      <c r="I862" s="32">
        <v>4.0</v>
      </c>
      <c r="J862" s="34" t="str">
        <f t="shared" si="1"/>
        <v>Midwest</v>
      </c>
      <c r="K862" s="35">
        <v>1.0</v>
      </c>
      <c r="L862" s="35" t="s">
        <v>707</v>
      </c>
      <c r="M862" s="36">
        <f>VLOOKUP(D862, County_Data_CZones!$B$2:$F$3236, 2, FALSE)</f>
        <v>6</v>
      </c>
      <c r="N862" s="37" t="str">
        <f>VLOOKUP(D862, County_Data_CZones!$B$2:$F$3236, 5, FALSE)</f>
        <v>Cold</v>
      </c>
    </row>
    <row r="863" ht="15.75" customHeight="1">
      <c r="A863" s="32" t="s">
        <v>735</v>
      </c>
      <c r="B863" s="32" t="s">
        <v>705</v>
      </c>
      <c r="C863" s="32" t="str">
        <f>vlookup(B863,State_EMM_RowSums!$A$2:$B$52,2,FALSE)</f>
        <v>IA</v>
      </c>
      <c r="D863" s="32">
        <v>19145.0</v>
      </c>
      <c r="E863" s="33">
        <f>IF(NOT(ISBLANK(vlookup($D863,Pop_Census_2023!$A$2:$E$3220,4,FALSE))),vlookup($D863,Pop_Census_2023!$A$2:$E$3220,4,FALSE), vlookup($D863,Pop_Census_2023!$A$2:$E$3220,5,FALSE))</f>
        <v>15014</v>
      </c>
      <c r="F863" s="32">
        <v>465261.0</v>
      </c>
      <c r="G863" s="32">
        <v>45.0</v>
      </c>
      <c r="H863" s="32" t="str">
        <f>VLOOKUP(D863, Grid_Region_Mapping!$D$2:$F$5286, 3, FALSE)</f>
        <v>MISW</v>
      </c>
      <c r="I863" s="32">
        <v>4.0</v>
      </c>
      <c r="J863" s="34" t="str">
        <f t="shared" si="1"/>
        <v>Midwest</v>
      </c>
      <c r="K863" s="35">
        <v>2.0</v>
      </c>
      <c r="L863" s="35" t="s">
        <v>396</v>
      </c>
      <c r="M863" s="36">
        <f>VLOOKUP(D863, County_Data_CZones!$B$2:$F$3236, 2, FALSE)</f>
        <v>5</v>
      </c>
      <c r="N863" s="37" t="str">
        <f>VLOOKUP(D863, County_Data_CZones!$B$2:$F$3236, 5, FALSE)</f>
        <v>Cold</v>
      </c>
    </row>
    <row r="864" ht="15.75" customHeight="1">
      <c r="A864" s="32" t="s">
        <v>736</v>
      </c>
      <c r="B864" s="32" t="s">
        <v>705</v>
      </c>
      <c r="C864" s="32" t="str">
        <f>vlookup(B864,State_EMM_RowSums!$A$2:$B$52,2,FALSE)</f>
        <v>IA</v>
      </c>
      <c r="D864" s="32">
        <v>19147.0</v>
      </c>
      <c r="E864" s="33">
        <f>IF(NOT(ISBLANK(vlookup($D864,Pop_Census_2023!$A$2:$E$3220,4,FALSE))),vlookup($D864,Pop_Census_2023!$A$2:$E$3220,4,FALSE), vlookup($D864,Pop_Census_2023!$A$2:$E$3220,5,FALSE))</f>
        <v>8810</v>
      </c>
      <c r="F864" s="32">
        <v>465262.0</v>
      </c>
      <c r="G864" s="32">
        <v>45.0</v>
      </c>
      <c r="H864" s="32" t="str">
        <f>VLOOKUP(D864, Grid_Region_Mapping!$D$2:$F$5286, 3, FALSE)</f>
        <v>SPPN</v>
      </c>
      <c r="I864" s="32">
        <v>4.0</v>
      </c>
      <c r="J864" s="34" t="str">
        <f t="shared" si="1"/>
        <v>Midwest</v>
      </c>
      <c r="K864" s="35">
        <v>1.0</v>
      </c>
      <c r="L864" s="35" t="s">
        <v>707</v>
      </c>
      <c r="M864" s="36">
        <f>VLOOKUP(D864, County_Data_CZones!$B$2:$F$3236, 2, FALSE)</f>
        <v>6</v>
      </c>
      <c r="N864" s="37" t="str">
        <f>VLOOKUP(D864, County_Data_CZones!$B$2:$F$3236, 5, FALSE)</f>
        <v>Cold</v>
      </c>
    </row>
    <row r="865" ht="15.75" customHeight="1">
      <c r="A865" s="32" t="s">
        <v>737</v>
      </c>
      <c r="B865" s="32" t="s">
        <v>705</v>
      </c>
      <c r="C865" s="32" t="str">
        <f>vlookup(B865,State_EMM_RowSums!$A$2:$B$52,2,FALSE)</f>
        <v>IA</v>
      </c>
      <c r="D865" s="32">
        <v>19149.0</v>
      </c>
      <c r="E865" s="33">
        <f>IF(NOT(ISBLANK(vlookup($D865,Pop_Census_2023!$A$2:$E$3220,4,FALSE))),vlookup($D865,Pop_Census_2023!$A$2:$E$3220,4,FALSE), vlookup($D865,Pop_Census_2023!$A$2:$E$3220,5,FALSE))</f>
        <v>25722</v>
      </c>
      <c r="F865" s="32">
        <v>465263.0</v>
      </c>
      <c r="G865" s="32">
        <v>45.0</v>
      </c>
      <c r="H865" s="32" t="str">
        <f>VLOOKUP(D865, Grid_Region_Mapping!$D$2:$F$5286, 3, FALSE)</f>
        <v>SPPN</v>
      </c>
      <c r="I865" s="32">
        <v>4.0</v>
      </c>
      <c r="J865" s="34" t="str">
        <f t="shared" si="1"/>
        <v>Midwest</v>
      </c>
      <c r="K865" s="35">
        <v>1.0</v>
      </c>
      <c r="L865" s="35" t="s">
        <v>707</v>
      </c>
      <c r="M865" s="36">
        <f>VLOOKUP(D865, County_Data_CZones!$B$2:$F$3236, 2, FALSE)</f>
        <v>6</v>
      </c>
      <c r="N865" s="37" t="str">
        <f>VLOOKUP(D865, County_Data_CZones!$B$2:$F$3236, 5, FALSE)</f>
        <v>Cold</v>
      </c>
    </row>
    <row r="866" ht="15.75" customHeight="1">
      <c r="A866" s="32" t="s">
        <v>738</v>
      </c>
      <c r="B866" s="32" t="s">
        <v>705</v>
      </c>
      <c r="C866" s="32" t="str">
        <f>vlookup(B866,State_EMM_RowSums!$A$2:$B$52,2,FALSE)</f>
        <v>IA</v>
      </c>
      <c r="D866" s="32">
        <v>19151.0</v>
      </c>
      <c r="E866" s="33">
        <f>IF(NOT(ISBLANK(vlookup($D866,Pop_Census_2023!$A$2:$E$3220,4,FALSE))),vlookup($D866,Pop_Census_2023!$A$2:$E$3220,4,FALSE), vlookup($D866,Pop_Census_2023!$A$2:$E$3220,5,FALSE))</f>
        <v>6976</v>
      </c>
      <c r="F866" s="32">
        <v>465264.0</v>
      </c>
      <c r="G866" s="32">
        <v>45.0</v>
      </c>
      <c r="H866" s="32" t="str">
        <f>VLOOKUP(D866, Grid_Region_Mapping!$D$2:$F$5286, 3, FALSE)</f>
        <v>SPPN</v>
      </c>
      <c r="I866" s="32">
        <v>4.0</v>
      </c>
      <c r="J866" s="34" t="str">
        <f t="shared" si="1"/>
        <v>Midwest</v>
      </c>
      <c r="K866" s="35">
        <v>1.0</v>
      </c>
      <c r="L866" s="35" t="s">
        <v>707</v>
      </c>
      <c r="M866" s="36">
        <f>VLOOKUP(D866, County_Data_CZones!$B$2:$F$3236, 2, FALSE)</f>
        <v>6</v>
      </c>
      <c r="N866" s="37" t="str">
        <f>VLOOKUP(D866, County_Data_CZones!$B$2:$F$3236, 5, FALSE)</f>
        <v>Cold</v>
      </c>
    </row>
    <row r="867" ht="15.75" customHeight="1">
      <c r="A867" s="32" t="s">
        <v>261</v>
      </c>
      <c r="B867" s="32" t="s">
        <v>705</v>
      </c>
      <c r="C867" s="32" t="str">
        <f>vlookup(B867,State_EMM_RowSums!$A$2:$B$52,2,FALSE)</f>
        <v>IA</v>
      </c>
      <c r="D867" s="32">
        <v>19153.0</v>
      </c>
      <c r="E867" s="33">
        <f>IF(NOT(ISBLANK(vlookup($D867,Pop_Census_2023!$A$2:$E$3220,4,FALSE))),vlookup($D867,Pop_Census_2023!$A$2:$E$3220,4,FALSE), vlookup($D867,Pop_Census_2023!$A$2:$E$3220,5,FALSE))</f>
        <v>505255</v>
      </c>
      <c r="F867" s="32">
        <v>465265.0</v>
      </c>
      <c r="G867" s="32">
        <v>70.0</v>
      </c>
      <c r="H867" s="32" t="str">
        <f>VLOOKUP(D867, Grid_Region_Mapping!$D$2:$F$5286, 3, FALSE)</f>
        <v>MISW</v>
      </c>
      <c r="I867" s="32">
        <v>4.0</v>
      </c>
      <c r="J867" s="34" t="str">
        <f t="shared" si="1"/>
        <v>Midwest</v>
      </c>
      <c r="K867" s="35">
        <v>2.0</v>
      </c>
      <c r="L867" s="35" t="s">
        <v>396</v>
      </c>
      <c r="M867" s="36">
        <f>VLOOKUP(D867, County_Data_CZones!$B$2:$F$3236, 2, FALSE)</f>
        <v>5</v>
      </c>
      <c r="N867" s="37" t="str">
        <f>VLOOKUP(D867, County_Data_CZones!$B$2:$F$3236, 5, FALSE)</f>
        <v>Cold</v>
      </c>
    </row>
    <row r="868" ht="15.75" customHeight="1">
      <c r="A868" s="32" t="s">
        <v>739</v>
      </c>
      <c r="B868" s="32" t="s">
        <v>705</v>
      </c>
      <c r="C868" s="32" t="str">
        <f>vlookup(B868,State_EMM_RowSums!$A$2:$B$52,2,FALSE)</f>
        <v>IA</v>
      </c>
      <c r="D868" s="32">
        <v>19155.0</v>
      </c>
      <c r="E868" s="33">
        <f>IF(NOT(ISBLANK(vlookup($D868,Pop_Census_2023!$A$2:$E$3220,4,FALSE))),vlookup($D868,Pop_Census_2023!$A$2:$E$3220,4,FALSE), vlookup($D868,Pop_Census_2023!$A$2:$E$3220,5,FALSE))</f>
        <v>93179</v>
      </c>
      <c r="F868" s="32">
        <v>465266.0</v>
      </c>
      <c r="G868" s="32">
        <v>45.0</v>
      </c>
      <c r="H868" s="32" t="str">
        <f>VLOOKUP(D868, Grid_Region_Mapping!$D$2:$F$5286, 3, FALSE)</f>
        <v>SPPN</v>
      </c>
      <c r="I868" s="32">
        <v>4.0</v>
      </c>
      <c r="J868" s="34" t="str">
        <f t="shared" si="1"/>
        <v>Midwest</v>
      </c>
      <c r="K868" s="35">
        <v>2.0</v>
      </c>
      <c r="L868" s="35" t="s">
        <v>396</v>
      </c>
      <c r="M868" s="36">
        <f>VLOOKUP(D868, County_Data_CZones!$B$2:$F$3236, 2, FALSE)</f>
        <v>5</v>
      </c>
      <c r="N868" s="37" t="str">
        <f>VLOOKUP(D868, County_Data_CZones!$B$2:$F$3236, 5, FALSE)</f>
        <v>Cold</v>
      </c>
    </row>
    <row r="869" ht="15.75" customHeight="1">
      <c r="A869" s="32" t="s">
        <v>740</v>
      </c>
      <c r="B869" s="32" t="s">
        <v>705</v>
      </c>
      <c r="C869" s="32" t="str">
        <f>vlookup(B869,State_EMM_RowSums!$A$2:$B$52,2,FALSE)</f>
        <v>IA</v>
      </c>
      <c r="D869" s="32">
        <v>19157.0</v>
      </c>
      <c r="E869" s="33">
        <f>IF(NOT(ISBLANK(vlookup($D869,Pop_Census_2023!$A$2:$E$3220,4,FALSE))),vlookup($D869,Pop_Census_2023!$A$2:$E$3220,4,FALSE), vlookup($D869,Pop_Census_2023!$A$2:$E$3220,5,FALSE))</f>
        <v>18453</v>
      </c>
      <c r="F869" s="32">
        <v>465267.0</v>
      </c>
      <c r="G869" s="32">
        <v>70.0</v>
      </c>
      <c r="H869" s="32" t="str">
        <f>VLOOKUP(D869, Grid_Region_Mapping!$D$2:$F$5286, 3, FALSE)</f>
        <v>MISW</v>
      </c>
      <c r="I869" s="32">
        <v>4.0</v>
      </c>
      <c r="J869" s="34" t="str">
        <f t="shared" si="1"/>
        <v>Midwest</v>
      </c>
      <c r="K869" s="35">
        <v>2.0</v>
      </c>
      <c r="L869" s="35" t="s">
        <v>396</v>
      </c>
      <c r="M869" s="36">
        <f>VLOOKUP(D869, County_Data_CZones!$B$2:$F$3236, 2, FALSE)</f>
        <v>5</v>
      </c>
      <c r="N869" s="37" t="str">
        <f>VLOOKUP(D869, County_Data_CZones!$B$2:$F$3236, 5, FALSE)</f>
        <v>Cold</v>
      </c>
    </row>
    <row r="870" ht="15.75" customHeight="1">
      <c r="A870" s="32" t="s">
        <v>741</v>
      </c>
      <c r="B870" s="32" t="s">
        <v>705</v>
      </c>
      <c r="C870" s="32" t="str">
        <f>vlookup(B870,State_EMM_RowSums!$A$2:$B$52,2,FALSE)</f>
        <v>IA</v>
      </c>
      <c r="D870" s="32">
        <v>19159.0</v>
      </c>
      <c r="E870" s="33">
        <f>IF(NOT(ISBLANK(vlookup($D870,Pop_Census_2023!$A$2:$E$3220,4,FALSE))),vlookup($D870,Pop_Census_2023!$A$2:$E$3220,4,FALSE), vlookup($D870,Pop_Census_2023!$A$2:$E$3220,5,FALSE))</f>
        <v>4642</v>
      </c>
      <c r="F870" s="32">
        <v>465268.0</v>
      </c>
      <c r="G870" s="32">
        <v>70.0</v>
      </c>
      <c r="H870" s="32" t="str">
        <f>VLOOKUP(D870, Grid_Region_Mapping!$D$2:$F$5286, 3, FALSE)</f>
        <v>SPPN</v>
      </c>
      <c r="I870" s="32">
        <v>4.0</v>
      </c>
      <c r="J870" s="34" t="str">
        <f t="shared" si="1"/>
        <v>Midwest</v>
      </c>
      <c r="K870" s="35">
        <v>2.0</v>
      </c>
      <c r="L870" s="35" t="s">
        <v>396</v>
      </c>
      <c r="M870" s="36">
        <f>VLOOKUP(D870, County_Data_CZones!$B$2:$F$3236, 2, FALSE)</f>
        <v>5</v>
      </c>
      <c r="N870" s="37" t="str">
        <f>VLOOKUP(D870, County_Data_CZones!$B$2:$F$3236, 5, FALSE)</f>
        <v>Cold</v>
      </c>
    </row>
    <row r="871" ht="15.75" customHeight="1">
      <c r="A871" s="32" t="s">
        <v>742</v>
      </c>
      <c r="B871" s="32" t="s">
        <v>705</v>
      </c>
      <c r="C871" s="32" t="str">
        <f>vlookup(B871,State_EMM_RowSums!$A$2:$B$52,2,FALSE)</f>
        <v>IA</v>
      </c>
      <c r="D871" s="32">
        <v>19161.0</v>
      </c>
      <c r="E871" s="33">
        <f>IF(NOT(ISBLANK(vlookup($D871,Pop_Census_2023!$A$2:$E$3220,4,FALSE))),vlookup($D871,Pop_Census_2023!$A$2:$E$3220,4,FALSE), vlookup($D871,Pop_Census_2023!$A$2:$E$3220,5,FALSE))</f>
        <v>9686</v>
      </c>
      <c r="F871" s="32">
        <v>465269.0</v>
      </c>
      <c r="G871" s="32">
        <v>45.0</v>
      </c>
      <c r="H871" s="32" t="str">
        <f>VLOOKUP(D871, Grid_Region_Mapping!$D$2:$F$5286, 3, FALSE)</f>
        <v>SPPN</v>
      </c>
      <c r="I871" s="32">
        <v>4.0</v>
      </c>
      <c r="J871" s="34" t="str">
        <f t="shared" si="1"/>
        <v>Midwest</v>
      </c>
      <c r="K871" s="35">
        <v>1.0</v>
      </c>
      <c r="L871" s="35" t="s">
        <v>707</v>
      </c>
      <c r="M871" s="36">
        <f>VLOOKUP(D871, County_Data_CZones!$B$2:$F$3236, 2, FALSE)</f>
        <v>6</v>
      </c>
      <c r="N871" s="37" t="str">
        <f>VLOOKUP(D871, County_Data_CZones!$B$2:$F$3236, 5, FALSE)</f>
        <v>Cold</v>
      </c>
    </row>
    <row r="872" ht="15.75" customHeight="1">
      <c r="A872" s="32" t="s">
        <v>267</v>
      </c>
      <c r="B872" s="32" t="s">
        <v>705</v>
      </c>
      <c r="C872" s="32" t="str">
        <f>vlookup(B872,State_EMM_RowSums!$A$2:$B$52,2,FALSE)</f>
        <v>IA</v>
      </c>
      <c r="D872" s="32">
        <v>19163.0</v>
      </c>
      <c r="E872" s="33">
        <f>IF(NOT(ISBLANK(vlookup($D872,Pop_Census_2023!$A$2:$E$3220,4,FALSE))),vlookup($D872,Pop_Census_2023!$A$2:$E$3220,4,FALSE), vlookup($D872,Pop_Census_2023!$A$2:$E$3220,5,FALSE))</f>
        <v>174270</v>
      </c>
      <c r="F872" s="32">
        <v>465270.0</v>
      </c>
      <c r="G872" s="32">
        <v>70.0</v>
      </c>
      <c r="H872" s="32" t="str">
        <f>VLOOKUP(D872, Grid_Region_Mapping!$D$2:$F$5286, 3, FALSE)</f>
        <v>MISW</v>
      </c>
      <c r="I872" s="32">
        <v>4.0</v>
      </c>
      <c r="J872" s="34" t="str">
        <f t="shared" si="1"/>
        <v>Midwest</v>
      </c>
      <c r="K872" s="35">
        <v>2.0</v>
      </c>
      <c r="L872" s="35" t="s">
        <v>396</v>
      </c>
      <c r="M872" s="36">
        <f>VLOOKUP(D872, County_Data_CZones!$B$2:$F$3236, 2, FALSE)</f>
        <v>5</v>
      </c>
      <c r="N872" s="37" t="str">
        <f>VLOOKUP(D872, County_Data_CZones!$B$2:$F$3236, 5, FALSE)</f>
        <v>Cold</v>
      </c>
    </row>
    <row r="873" ht="15.75" customHeight="1">
      <c r="A873" s="32" t="s">
        <v>161</v>
      </c>
      <c r="B873" s="32" t="s">
        <v>705</v>
      </c>
      <c r="C873" s="32" t="str">
        <f>vlookup(B873,State_EMM_RowSums!$A$2:$B$52,2,FALSE)</f>
        <v>IA</v>
      </c>
      <c r="D873" s="32">
        <v>19165.0</v>
      </c>
      <c r="E873" s="33">
        <f>IF(NOT(ISBLANK(vlookup($D873,Pop_Census_2023!$A$2:$E$3220,4,FALSE))),vlookup($D873,Pop_Census_2023!$A$2:$E$3220,4,FALSE), vlookup($D873,Pop_Census_2023!$A$2:$E$3220,5,FALSE))</f>
        <v>11806</v>
      </c>
      <c r="F873" s="32">
        <v>465271.0</v>
      </c>
      <c r="G873" s="32">
        <v>45.0</v>
      </c>
      <c r="H873" s="32" t="str">
        <f>VLOOKUP(D873, Grid_Region_Mapping!$D$2:$F$5286, 3, FALSE)</f>
        <v>SPPN</v>
      </c>
      <c r="I873" s="32">
        <v>4.0</v>
      </c>
      <c r="J873" s="34" t="str">
        <f t="shared" si="1"/>
        <v>Midwest</v>
      </c>
      <c r="K873" s="35">
        <v>2.0</v>
      </c>
      <c r="L873" s="35" t="s">
        <v>396</v>
      </c>
      <c r="M873" s="36">
        <f>VLOOKUP(D873, County_Data_CZones!$B$2:$F$3236, 2, FALSE)</f>
        <v>5</v>
      </c>
      <c r="N873" s="37" t="str">
        <f>VLOOKUP(D873, County_Data_CZones!$B$2:$F$3236, 5, FALSE)</f>
        <v>Cold</v>
      </c>
    </row>
    <row r="874" ht="15.75" customHeight="1">
      <c r="A874" s="32" t="s">
        <v>743</v>
      </c>
      <c r="B874" s="32" t="s">
        <v>705</v>
      </c>
      <c r="C874" s="32" t="str">
        <f>vlookup(B874,State_EMM_RowSums!$A$2:$B$52,2,FALSE)</f>
        <v>IA</v>
      </c>
      <c r="D874" s="32">
        <v>19167.0</v>
      </c>
      <c r="E874" s="33">
        <f>IF(NOT(ISBLANK(vlookup($D874,Pop_Census_2023!$A$2:$E$3220,4,FALSE))),vlookup($D874,Pop_Census_2023!$A$2:$E$3220,4,FALSE), vlookup($D874,Pop_Census_2023!$A$2:$E$3220,5,FALSE))</f>
        <v>36246</v>
      </c>
      <c r="F874" s="32">
        <v>465272.0</v>
      </c>
      <c r="G874" s="32">
        <v>45.0</v>
      </c>
      <c r="H874" s="32" t="str">
        <f>VLOOKUP(D874, Grid_Region_Mapping!$D$2:$F$5286, 3, FALSE)</f>
        <v>SPPN</v>
      </c>
      <c r="I874" s="32">
        <v>4.0</v>
      </c>
      <c r="J874" s="34" t="str">
        <f t="shared" si="1"/>
        <v>Midwest</v>
      </c>
      <c r="K874" s="35">
        <v>1.0</v>
      </c>
      <c r="L874" s="35" t="s">
        <v>707</v>
      </c>
      <c r="M874" s="36">
        <f>VLOOKUP(D874, County_Data_CZones!$B$2:$F$3236, 2, FALSE)</f>
        <v>6</v>
      </c>
      <c r="N874" s="37" t="str">
        <f>VLOOKUP(D874, County_Data_CZones!$B$2:$F$3236, 5, FALSE)</f>
        <v>Cold</v>
      </c>
    </row>
    <row r="875" ht="15.75" customHeight="1">
      <c r="A875" s="32" t="s">
        <v>744</v>
      </c>
      <c r="B875" s="32" t="s">
        <v>705</v>
      </c>
      <c r="C875" s="32" t="str">
        <f>vlookup(B875,State_EMM_RowSums!$A$2:$B$52,2,FALSE)</f>
        <v>IA</v>
      </c>
      <c r="D875" s="32">
        <v>19169.0</v>
      </c>
      <c r="E875" s="33">
        <f>IF(NOT(ISBLANK(vlookup($D875,Pop_Census_2023!$A$2:$E$3220,4,FALSE))),vlookup($D875,Pop_Census_2023!$A$2:$E$3220,4,FALSE), vlookup($D875,Pop_Census_2023!$A$2:$E$3220,5,FALSE))</f>
        <v>98566</v>
      </c>
      <c r="F875" s="32">
        <v>465273.0</v>
      </c>
      <c r="G875" s="32">
        <v>70.0</v>
      </c>
      <c r="H875" s="32" t="str">
        <f>VLOOKUP(D875, Grid_Region_Mapping!$D$2:$F$5286, 3, FALSE)</f>
        <v>MISW</v>
      </c>
      <c r="I875" s="32">
        <v>4.0</v>
      </c>
      <c r="J875" s="34" t="str">
        <f t="shared" si="1"/>
        <v>Midwest</v>
      </c>
      <c r="K875" s="35">
        <v>2.0</v>
      </c>
      <c r="L875" s="35" t="s">
        <v>396</v>
      </c>
      <c r="M875" s="36">
        <f>VLOOKUP(D875, County_Data_CZones!$B$2:$F$3236, 2, FALSE)</f>
        <v>5</v>
      </c>
      <c r="N875" s="37" t="str">
        <f>VLOOKUP(D875, County_Data_CZones!$B$2:$F$3236, 5, FALSE)</f>
        <v>Cold</v>
      </c>
    </row>
    <row r="876" ht="15.75" customHeight="1">
      <c r="A876" s="32" t="s">
        <v>745</v>
      </c>
      <c r="B876" s="32" t="s">
        <v>705</v>
      </c>
      <c r="C876" s="32" t="str">
        <f>vlookup(B876,State_EMM_RowSums!$A$2:$B$52,2,FALSE)</f>
        <v>IA</v>
      </c>
      <c r="D876" s="32">
        <v>19171.0</v>
      </c>
      <c r="E876" s="33">
        <f>IF(NOT(ISBLANK(vlookup($D876,Pop_Census_2023!$A$2:$E$3220,4,FALSE))),vlookup($D876,Pop_Census_2023!$A$2:$E$3220,4,FALSE), vlookup($D876,Pop_Census_2023!$A$2:$E$3220,5,FALSE))</f>
        <v>16833</v>
      </c>
      <c r="F876" s="32">
        <v>465274.0</v>
      </c>
      <c r="G876" s="32">
        <v>70.0</v>
      </c>
      <c r="H876" s="32" t="str">
        <f>VLOOKUP(D876, Grid_Region_Mapping!$D$2:$F$5286, 3, FALSE)</f>
        <v>MISW</v>
      </c>
      <c r="I876" s="32">
        <v>4.0</v>
      </c>
      <c r="J876" s="34" t="str">
        <f t="shared" si="1"/>
        <v>Midwest</v>
      </c>
      <c r="K876" s="35">
        <v>2.0</v>
      </c>
      <c r="L876" s="35" t="s">
        <v>396</v>
      </c>
      <c r="M876" s="36">
        <f>VLOOKUP(D876, County_Data_CZones!$B$2:$F$3236, 2, FALSE)</f>
        <v>5</v>
      </c>
      <c r="N876" s="37" t="str">
        <f>VLOOKUP(D876, County_Data_CZones!$B$2:$F$3236, 5, FALSE)</f>
        <v>Cold</v>
      </c>
    </row>
    <row r="877" ht="15.75" customHeight="1">
      <c r="A877" s="32" t="s">
        <v>456</v>
      </c>
      <c r="B877" s="32" t="s">
        <v>705</v>
      </c>
      <c r="C877" s="32" t="str">
        <f>vlookup(B877,State_EMM_RowSums!$A$2:$B$52,2,FALSE)</f>
        <v>IA</v>
      </c>
      <c r="D877" s="32">
        <v>19173.0</v>
      </c>
      <c r="E877" s="33">
        <f>IF(NOT(ISBLANK(vlookup($D877,Pop_Census_2023!$A$2:$E$3220,4,FALSE))),vlookup($D877,Pop_Census_2023!$A$2:$E$3220,4,FALSE), vlookup($D877,Pop_Census_2023!$A$2:$E$3220,5,FALSE))</f>
        <v>5924</v>
      </c>
      <c r="F877" s="32">
        <v>465275.0</v>
      </c>
      <c r="G877" s="32">
        <v>45.0</v>
      </c>
      <c r="H877" s="32" t="str">
        <f>VLOOKUP(D877, Grid_Region_Mapping!$D$2:$F$5286, 3, FALSE)</f>
        <v>SPPN</v>
      </c>
      <c r="I877" s="32">
        <v>4.0</v>
      </c>
      <c r="J877" s="34" t="str">
        <f t="shared" si="1"/>
        <v>Midwest</v>
      </c>
      <c r="K877" s="35">
        <v>2.0</v>
      </c>
      <c r="L877" s="35" t="s">
        <v>396</v>
      </c>
      <c r="M877" s="36">
        <f>VLOOKUP(D877, County_Data_CZones!$B$2:$F$3236, 2, FALSE)</f>
        <v>5</v>
      </c>
      <c r="N877" s="37" t="str">
        <f>VLOOKUP(D877, County_Data_CZones!$B$2:$F$3236, 5, FALSE)</f>
        <v>Cold</v>
      </c>
    </row>
    <row r="878" ht="15.75" customHeight="1">
      <c r="A878" s="32" t="s">
        <v>273</v>
      </c>
      <c r="B878" s="32" t="s">
        <v>705</v>
      </c>
      <c r="C878" s="32" t="str">
        <f>vlookup(B878,State_EMM_RowSums!$A$2:$B$52,2,FALSE)</f>
        <v>IA</v>
      </c>
      <c r="D878" s="32">
        <v>19175.0</v>
      </c>
      <c r="E878" s="33">
        <f>IF(NOT(ISBLANK(vlookup($D878,Pop_Census_2023!$A$2:$E$3220,4,FALSE))),vlookup($D878,Pop_Census_2023!$A$2:$E$3220,4,FALSE), vlookup($D878,Pop_Census_2023!$A$2:$E$3220,5,FALSE))</f>
        <v>11906</v>
      </c>
      <c r="F878" s="32">
        <v>465276.0</v>
      </c>
      <c r="G878" s="32">
        <v>70.0</v>
      </c>
      <c r="H878" s="32" t="str">
        <f>VLOOKUP(D878, Grid_Region_Mapping!$D$2:$F$5286, 3, FALSE)</f>
        <v>SPPN</v>
      </c>
      <c r="I878" s="32">
        <v>4.0</v>
      </c>
      <c r="J878" s="34" t="str">
        <f t="shared" si="1"/>
        <v>Midwest</v>
      </c>
      <c r="K878" s="35">
        <v>2.0</v>
      </c>
      <c r="L878" s="35" t="s">
        <v>396</v>
      </c>
      <c r="M878" s="36">
        <f>VLOOKUP(D878, County_Data_CZones!$B$2:$F$3236, 2, FALSE)</f>
        <v>5</v>
      </c>
      <c r="N878" s="37" t="str">
        <f>VLOOKUP(D878, County_Data_CZones!$B$2:$F$3236, 5, FALSE)</f>
        <v>Cold</v>
      </c>
    </row>
    <row r="879" ht="15.75" customHeight="1">
      <c r="A879" s="32" t="s">
        <v>274</v>
      </c>
      <c r="B879" s="32" t="s">
        <v>705</v>
      </c>
      <c r="C879" s="32" t="str">
        <f>vlookup(B879,State_EMM_RowSums!$A$2:$B$52,2,FALSE)</f>
        <v>IA</v>
      </c>
      <c r="D879" s="32">
        <v>19177.0</v>
      </c>
      <c r="E879" s="33">
        <f>IF(NOT(ISBLANK(vlookup($D879,Pop_Census_2023!$A$2:$E$3220,4,FALSE))),vlookup($D879,Pop_Census_2023!$A$2:$E$3220,4,FALSE), vlookup($D879,Pop_Census_2023!$A$2:$E$3220,5,FALSE))</f>
        <v>7266</v>
      </c>
      <c r="F879" s="32">
        <v>465277.0</v>
      </c>
      <c r="G879" s="32">
        <v>70.0</v>
      </c>
      <c r="H879" s="32" t="str">
        <f>VLOOKUP(D879, Grid_Region_Mapping!$D$2:$F$5286, 3, FALSE)</f>
        <v>MISW</v>
      </c>
      <c r="I879" s="32">
        <v>4.0</v>
      </c>
      <c r="J879" s="34" t="str">
        <f t="shared" si="1"/>
        <v>Midwest</v>
      </c>
      <c r="K879" s="35">
        <v>2.0</v>
      </c>
      <c r="L879" s="35" t="s">
        <v>396</v>
      </c>
      <c r="M879" s="36">
        <f>VLOOKUP(D879, County_Data_CZones!$B$2:$F$3236, 2, FALSE)</f>
        <v>5</v>
      </c>
      <c r="N879" s="37" t="str">
        <f>VLOOKUP(D879, County_Data_CZones!$B$2:$F$3236, 5, FALSE)</f>
        <v>Cold</v>
      </c>
    </row>
    <row r="880" ht="15.75" customHeight="1">
      <c r="A880" s="32" t="s">
        <v>746</v>
      </c>
      <c r="B880" s="32" t="s">
        <v>705</v>
      </c>
      <c r="C880" s="32" t="str">
        <f>vlookup(B880,State_EMM_RowSums!$A$2:$B$52,2,FALSE)</f>
        <v>IA</v>
      </c>
      <c r="D880" s="32">
        <v>19179.0</v>
      </c>
      <c r="E880" s="33">
        <f>IF(NOT(ISBLANK(vlookup($D880,Pop_Census_2023!$A$2:$E$3220,4,FALSE))),vlookup($D880,Pop_Census_2023!$A$2:$E$3220,4,FALSE), vlookup($D880,Pop_Census_2023!$A$2:$E$3220,5,FALSE))</f>
        <v>35166</v>
      </c>
      <c r="F880" s="32">
        <v>465278.0</v>
      </c>
      <c r="G880" s="32">
        <v>70.0</v>
      </c>
      <c r="H880" s="32" t="str">
        <f>VLOOKUP(D880, Grid_Region_Mapping!$D$2:$F$5286, 3, FALSE)</f>
        <v>MISW</v>
      </c>
      <c r="I880" s="32">
        <v>4.0</v>
      </c>
      <c r="J880" s="34" t="str">
        <f t="shared" si="1"/>
        <v>Midwest</v>
      </c>
      <c r="K880" s="35">
        <v>2.0</v>
      </c>
      <c r="L880" s="35" t="s">
        <v>396</v>
      </c>
      <c r="M880" s="36">
        <f>VLOOKUP(D880, County_Data_CZones!$B$2:$F$3236, 2, FALSE)</f>
        <v>5</v>
      </c>
      <c r="N880" s="37" t="str">
        <f>VLOOKUP(D880, County_Data_CZones!$B$2:$F$3236, 5, FALSE)</f>
        <v>Cold</v>
      </c>
    </row>
    <row r="881" ht="15.75" customHeight="1">
      <c r="A881" s="32" t="s">
        <v>561</v>
      </c>
      <c r="B881" s="32" t="s">
        <v>705</v>
      </c>
      <c r="C881" s="32" t="str">
        <f>vlookup(B881,State_EMM_RowSums!$A$2:$B$52,2,FALSE)</f>
        <v>IA</v>
      </c>
      <c r="D881" s="32">
        <v>19181.0</v>
      </c>
      <c r="E881" s="33">
        <f>IF(NOT(ISBLANK(vlookup($D881,Pop_Census_2023!$A$2:$E$3220,4,FALSE))),vlookup($D881,Pop_Census_2023!$A$2:$E$3220,4,FALSE), vlookup($D881,Pop_Census_2023!$A$2:$E$3220,5,FALSE))</f>
        <v>55205</v>
      </c>
      <c r="F881" s="32">
        <v>465279.0</v>
      </c>
      <c r="G881" s="32">
        <v>70.0</v>
      </c>
      <c r="H881" s="32" t="str">
        <f>VLOOKUP(D881, Grid_Region_Mapping!$D$2:$F$5286, 3, FALSE)</f>
        <v>MISW</v>
      </c>
      <c r="I881" s="32">
        <v>4.0</v>
      </c>
      <c r="J881" s="34" t="str">
        <f t="shared" si="1"/>
        <v>Midwest</v>
      </c>
      <c r="K881" s="35">
        <v>2.0</v>
      </c>
      <c r="L881" s="35" t="s">
        <v>396</v>
      </c>
      <c r="M881" s="36">
        <f>VLOOKUP(D881, County_Data_CZones!$B$2:$F$3236, 2, FALSE)</f>
        <v>5</v>
      </c>
      <c r="N881" s="37" t="str">
        <f>VLOOKUP(D881, County_Data_CZones!$B$2:$F$3236, 5, FALSE)</f>
        <v>Cold</v>
      </c>
    </row>
    <row r="882" ht="15.75" customHeight="1">
      <c r="A882" s="32" t="s">
        <v>167</v>
      </c>
      <c r="B882" s="32" t="s">
        <v>705</v>
      </c>
      <c r="C882" s="32" t="str">
        <f>vlookup(B882,State_EMM_RowSums!$A$2:$B$52,2,FALSE)</f>
        <v>IA</v>
      </c>
      <c r="D882" s="32">
        <v>19183.0</v>
      </c>
      <c r="E882" s="33">
        <f>IF(NOT(ISBLANK(vlookup($D882,Pop_Census_2023!$A$2:$E$3220,4,FALSE))),vlookup($D882,Pop_Census_2023!$A$2:$E$3220,4,FALSE), vlookup($D882,Pop_Census_2023!$A$2:$E$3220,5,FALSE))</f>
        <v>22560</v>
      </c>
      <c r="F882" s="32">
        <v>465280.0</v>
      </c>
      <c r="G882" s="32">
        <v>70.0</v>
      </c>
      <c r="H882" s="32" t="str">
        <f>VLOOKUP(D882, Grid_Region_Mapping!$D$2:$F$5286, 3, FALSE)</f>
        <v>MISW</v>
      </c>
      <c r="I882" s="32">
        <v>4.0</v>
      </c>
      <c r="J882" s="34" t="str">
        <f t="shared" si="1"/>
        <v>Midwest</v>
      </c>
      <c r="K882" s="35">
        <v>2.0</v>
      </c>
      <c r="L882" s="35" t="s">
        <v>396</v>
      </c>
      <c r="M882" s="36">
        <f>VLOOKUP(D882, County_Data_CZones!$B$2:$F$3236, 2, FALSE)</f>
        <v>5</v>
      </c>
      <c r="N882" s="37" t="str">
        <f>VLOOKUP(D882, County_Data_CZones!$B$2:$F$3236, 5, FALSE)</f>
        <v>Cold</v>
      </c>
    </row>
    <row r="883" ht="15.75" customHeight="1">
      <c r="A883" s="32" t="s">
        <v>562</v>
      </c>
      <c r="B883" s="32" t="s">
        <v>705</v>
      </c>
      <c r="C883" s="32" t="str">
        <f>vlookup(B883,State_EMM_RowSums!$A$2:$B$52,2,FALSE)</f>
        <v>IA</v>
      </c>
      <c r="D883" s="32">
        <v>19185.0</v>
      </c>
      <c r="E883" s="33">
        <f>IF(NOT(ISBLANK(vlookup($D883,Pop_Census_2023!$A$2:$E$3220,4,FALSE))),vlookup($D883,Pop_Census_2023!$A$2:$E$3220,4,FALSE), vlookup($D883,Pop_Census_2023!$A$2:$E$3220,5,FALSE))</f>
        <v>6557</v>
      </c>
      <c r="F883" s="32">
        <v>465281.0</v>
      </c>
      <c r="G883" s="32">
        <v>70.0</v>
      </c>
      <c r="H883" s="32" t="str">
        <f>VLOOKUP(D883, Grid_Region_Mapping!$D$2:$F$5286, 3, FALSE)</f>
        <v>MISW</v>
      </c>
      <c r="I883" s="32">
        <v>4.0</v>
      </c>
      <c r="J883" s="34" t="str">
        <f t="shared" si="1"/>
        <v>Midwest</v>
      </c>
      <c r="K883" s="35">
        <v>2.0</v>
      </c>
      <c r="L883" s="35" t="s">
        <v>396</v>
      </c>
      <c r="M883" s="36">
        <f>VLOOKUP(D883, County_Data_CZones!$B$2:$F$3236, 2, FALSE)</f>
        <v>5</v>
      </c>
      <c r="N883" s="37" t="str">
        <f>VLOOKUP(D883, County_Data_CZones!$B$2:$F$3236, 5, FALSE)</f>
        <v>Cold</v>
      </c>
    </row>
    <row r="884" ht="15.75" customHeight="1">
      <c r="A884" s="32" t="s">
        <v>563</v>
      </c>
      <c r="B884" s="32" t="s">
        <v>705</v>
      </c>
      <c r="C884" s="32" t="str">
        <f>vlookup(B884,State_EMM_RowSums!$A$2:$B$52,2,FALSE)</f>
        <v>IA</v>
      </c>
      <c r="D884" s="32">
        <v>19187.0</v>
      </c>
      <c r="E884" s="33">
        <f>IF(NOT(ISBLANK(vlookup($D884,Pop_Census_2023!$A$2:$E$3220,4,FALSE))),vlookup($D884,Pop_Census_2023!$A$2:$E$3220,4,FALSE), vlookup($D884,Pop_Census_2023!$A$2:$E$3220,5,FALSE))</f>
        <v>36485</v>
      </c>
      <c r="F884" s="32">
        <v>465282.0</v>
      </c>
      <c r="G884" s="32">
        <v>45.0</v>
      </c>
      <c r="H884" s="32" t="str">
        <f>VLOOKUP(D884, Grid_Region_Mapping!$D$2:$F$5286, 3, FALSE)</f>
        <v>MISW</v>
      </c>
      <c r="I884" s="32">
        <v>4.0</v>
      </c>
      <c r="J884" s="34" t="str">
        <f t="shared" si="1"/>
        <v>Midwest</v>
      </c>
      <c r="K884" s="35">
        <v>1.0</v>
      </c>
      <c r="L884" s="35" t="s">
        <v>707</v>
      </c>
      <c r="M884" s="36">
        <f>VLOOKUP(D884, County_Data_CZones!$B$2:$F$3236, 2, FALSE)</f>
        <v>6</v>
      </c>
      <c r="N884" s="37" t="str">
        <f>VLOOKUP(D884, County_Data_CZones!$B$2:$F$3236, 5, FALSE)</f>
        <v>Cold</v>
      </c>
    </row>
    <row r="885" ht="15.75" customHeight="1">
      <c r="A885" s="32" t="s">
        <v>661</v>
      </c>
      <c r="B885" s="32" t="s">
        <v>705</v>
      </c>
      <c r="C885" s="32" t="str">
        <f>vlookup(B885,State_EMM_RowSums!$A$2:$B$52,2,FALSE)</f>
        <v>IA</v>
      </c>
      <c r="D885" s="32">
        <v>19189.0</v>
      </c>
      <c r="E885" s="33">
        <f>IF(NOT(ISBLANK(vlookup($D885,Pop_Census_2023!$A$2:$E$3220,4,FALSE))),vlookup($D885,Pop_Census_2023!$A$2:$E$3220,4,FALSE), vlookup($D885,Pop_Census_2023!$A$2:$E$3220,5,FALSE))</f>
        <v>10571</v>
      </c>
      <c r="F885" s="32">
        <v>465283.0</v>
      </c>
      <c r="G885" s="32">
        <v>45.0</v>
      </c>
      <c r="H885" s="32" t="str">
        <f>VLOOKUP(D885, Grid_Region_Mapping!$D$2:$F$5286, 3, FALSE)</f>
        <v>MISW</v>
      </c>
      <c r="I885" s="32">
        <v>4.0</v>
      </c>
      <c r="J885" s="34" t="str">
        <f t="shared" si="1"/>
        <v>Midwest</v>
      </c>
      <c r="K885" s="35">
        <v>1.0</v>
      </c>
      <c r="L885" s="35" t="s">
        <v>707</v>
      </c>
      <c r="M885" s="36">
        <f>VLOOKUP(D885, County_Data_CZones!$B$2:$F$3236, 2, FALSE)</f>
        <v>6</v>
      </c>
      <c r="N885" s="37" t="str">
        <f>VLOOKUP(D885, County_Data_CZones!$B$2:$F$3236, 5, FALSE)</f>
        <v>Cold</v>
      </c>
    </row>
    <row r="886" ht="15.75" customHeight="1">
      <c r="A886" s="32" t="s">
        <v>747</v>
      </c>
      <c r="B886" s="32" t="s">
        <v>705</v>
      </c>
      <c r="C886" s="32" t="str">
        <f>vlookup(B886,State_EMM_RowSums!$A$2:$B$52,2,FALSE)</f>
        <v>IA</v>
      </c>
      <c r="D886" s="32">
        <v>19191.0</v>
      </c>
      <c r="E886" s="33">
        <f>IF(NOT(ISBLANK(vlookup($D886,Pop_Census_2023!$A$2:$E$3220,4,FALSE))),vlookup($D886,Pop_Census_2023!$A$2:$E$3220,4,FALSE), vlookup($D886,Pop_Census_2023!$A$2:$E$3220,5,FALSE))</f>
        <v>19815</v>
      </c>
      <c r="F886" s="32">
        <v>465284.0</v>
      </c>
      <c r="G886" s="32">
        <v>69.0</v>
      </c>
      <c r="H886" s="32" t="str">
        <f>VLOOKUP(D886, Grid_Region_Mapping!$D$2:$F$5286, 3, FALSE)</f>
        <v>MISW</v>
      </c>
      <c r="I886" s="32">
        <v>4.0</v>
      </c>
      <c r="J886" s="34" t="str">
        <f t="shared" si="1"/>
        <v>Midwest</v>
      </c>
      <c r="K886" s="35">
        <v>1.0</v>
      </c>
      <c r="L886" s="35" t="s">
        <v>707</v>
      </c>
      <c r="M886" s="36">
        <f>VLOOKUP(D886, County_Data_CZones!$B$2:$F$3236, 2, FALSE)</f>
        <v>6</v>
      </c>
      <c r="N886" s="37" t="str">
        <f>VLOOKUP(D886, County_Data_CZones!$B$2:$F$3236, 5, FALSE)</f>
        <v>Cold</v>
      </c>
    </row>
    <row r="887" ht="15.75" customHeight="1">
      <c r="A887" s="32" t="s">
        <v>748</v>
      </c>
      <c r="B887" s="32" t="s">
        <v>705</v>
      </c>
      <c r="C887" s="32" t="str">
        <f>vlookup(B887,State_EMM_RowSums!$A$2:$B$52,2,FALSE)</f>
        <v>IA</v>
      </c>
      <c r="D887" s="32">
        <v>19193.0</v>
      </c>
      <c r="E887" s="33">
        <f>IF(NOT(ISBLANK(vlookup($D887,Pop_Census_2023!$A$2:$E$3220,4,FALSE))),vlookup($D887,Pop_Census_2023!$A$2:$E$3220,4,FALSE), vlookup($D887,Pop_Census_2023!$A$2:$E$3220,5,FALSE))</f>
        <v>105951</v>
      </c>
      <c r="F887" s="32">
        <v>465285.0</v>
      </c>
      <c r="G887" s="32">
        <v>45.0</v>
      </c>
      <c r="H887" s="32" t="str">
        <f>VLOOKUP(D887, Grid_Region_Mapping!$D$2:$F$5286, 3, FALSE)</f>
        <v>SPPN</v>
      </c>
      <c r="I887" s="32">
        <v>4.0</v>
      </c>
      <c r="J887" s="34" t="str">
        <f t="shared" si="1"/>
        <v>Midwest</v>
      </c>
      <c r="K887" s="35">
        <v>1.0</v>
      </c>
      <c r="L887" s="35" t="s">
        <v>396</v>
      </c>
      <c r="M887" s="36">
        <f>VLOOKUP(D887, County_Data_CZones!$B$2:$F$3236, 2, FALSE)</f>
        <v>5</v>
      </c>
      <c r="N887" s="37" t="str">
        <f>VLOOKUP(D887, County_Data_CZones!$B$2:$F$3236, 5, FALSE)</f>
        <v>Cold</v>
      </c>
    </row>
    <row r="888" ht="15.75" customHeight="1">
      <c r="A888" s="32" t="s">
        <v>568</v>
      </c>
      <c r="B888" s="32" t="s">
        <v>705</v>
      </c>
      <c r="C888" s="32" t="str">
        <f>vlookup(B888,State_EMM_RowSums!$A$2:$B$52,2,FALSE)</f>
        <v>IA</v>
      </c>
      <c r="D888" s="32">
        <v>19195.0</v>
      </c>
      <c r="E888" s="33">
        <f>IF(NOT(ISBLANK(vlookup($D888,Pop_Census_2023!$A$2:$E$3220,4,FALSE))),vlookup($D888,Pop_Census_2023!$A$2:$E$3220,4,FALSE), vlookup($D888,Pop_Census_2023!$A$2:$E$3220,5,FALSE))</f>
        <v>7297</v>
      </c>
      <c r="F888" s="32">
        <v>465286.0</v>
      </c>
      <c r="G888" s="32">
        <v>45.0</v>
      </c>
      <c r="H888" s="32" t="str">
        <f>VLOOKUP(D888, Grid_Region_Mapping!$D$2:$F$5286, 3, FALSE)</f>
        <v>MISW</v>
      </c>
      <c r="I888" s="32">
        <v>4.0</v>
      </c>
      <c r="J888" s="34" t="str">
        <f t="shared" si="1"/>
        <v>Midwest</v>
      </c>
      <c r="K888" s="35">
        <v>1.0</v>
      </c>
      <c r="L888" s="35" t="s">
        <v>707</v>
      </c>
      <c r="M888" s="36">
        <f>VLOOKUP(D888, County_Data_CZones!$B$2:$F$3236, 2, FALSE)</f>
        <v>6</v>
      </c>
      <c r="N888" s="37" t="str">
        <f>VLOOKUP(D888, County_Data_CZones!$B$2:$F$3236, 5, FALSE)</f>
        <v>Cold</v>
      </c>
    </row>
    <row r="889" ht="15.75" customHeight="1">
      <c r="A889" s="32" t="s">
        <v>749</v>
      </c>
      <c r="B889" s="32" t="s">
        <v>705</v>
      </c>
      <c r="C889" s="32" t="str">
        <f>vlookup(B889,State_EMM_RowSums!$A$2:$B$52,2,FALSE)</f>
        <v>IA</v>
      </c>
      <c r="D889" s="32">
        <v>19197.0</v>
      </c>
      <c r="E889" s="33">
        <f>IF(NOT(ISBLANK(vlookup($D889,Pop_Census_2023!$A$2:$E$3220,4,FALSE))),vlookup($D889,Pop_Census_2023!$A$2:$E$3220,4,FALSE), vlookup($D889,Pop_Census_2023!$A$2:$E$3220,5,FALSE))</f>
        <v>12656</v>
      </c>
      <c r="F889" s="32">
        <v>465287.0</v>
      </c>
      <c r="G889" s="32">
        <v>45.0</v>
      </c>
      <c r="H889" s="32" t="str">
        <f>VLOOKUP(D889, Grid_Region_Mapping!$D$2:$F$5286, 3, FALSE)</f>
        <v>MISW</v>
      </c>
      <c r="I889" s="32">
        <v>4.0</v>
      </c>
      <c r="J889" s="34" t="str">
        <f t="shared" si="1"/>
        <v>Midwest</v>
      </c>
      <c r="K889" s="35">
        <v>1.0</v>
      </c>
      <c r="L889" s="35" t="s">
        <v>707</v>
      </c>
      <c r="M889" s="36">
        <f>VLOOKUP(D889, County_Data_CZones!$B$2:$F$3236, 2, FALSE)</f>
        <v>6</v>
      </c>
      <c r="N889" s="37" t="str">
        <f>VLOOKUP(D889, County_Data_CZones!$B$2:$F$3236, 5, FALSE)</f>
        <v>Cold</v>
      </c>
    </row>
    <row r="890" ht="15.75" customHeight="1">
      <c r="A890" s="32" t="s">
        <v>664</v>
      </c>
      <c r="B890" s="32" t="s">
        <v>750</v>
      </c>
      <c r="C890" s="32" t="str">
        <f>vlookup(B890,State_EMM_RowSums!$A$2:$B$52,2,FALSE)</f>
        <v>KS</v>
      </c>
      <c r="D890" s="32">
        <v>20001.0</v>
      </c>
      <c r="E890" s="33">
        <f>IF(NOT(ISBLANK(vlookup($D890,Pop_Census_2023!$A$2:$E$3220,4,FALSE))),vlookup($D890,Pop_Census_2023!$A$2:$E$3220,4,FALSE), vlookup($D890,Pop_Census_2023!$A$2:$E$3220,5,FALSE))</f>
        <v>12412</v>
      </c>
      <c r="F890" s="32">
        <v>484970.0</v>
      </c>
      <c r="G890" s="32">
        <v>53.0</v>
      </c>
      <c r="H890" s="32" t="str">
        <f>VLOOKUP(D890, Grid_Region_Mapping!$D$2:$F$5286, 3, FALSE)</f>
        <v>SPPC</v>
      </c>
      <c r="I890" s="32">
        <v>4.0</v>
      </c>
      <c r="J890" s="34" t="str">
        <f t="shared" si="1"/>
        <v>Midwest</v>
      </c>
      <c r="K890" s="35">
        <v>3.0</v>
      </c>
      <c r="L890" s="35" t="s">
        <v>223</v>
      </c>
      <c r="M890" s="36">
        <f>VLOOKUP(D890, County_Data_CZones!$B$2:$F$3236, 2, FALSE)</f>
        <v>4</v>
      </c>
      <c r="N890" s="37" t="str">
        <f>VLOOKUP(D890, County_Data_CZones!$B$2:$F$3236, 5, FALSE)</f>
        <v>Mixed-Humid</v>
      </c>
    </row>
    <row r="891" ht="15.75" customHeight="1">
      <c r="A891" s="32" t="s">
        <v>751</v>
      </c>
      <c r="B891" s="32" t="s">
        <v>750</v>
      </c>
      <c r="C891" s="32" t="str">
        <f>vlookup(B891,State_EMM_RowSums!$A$2:$B$52,2,FALSE)</f>
        <v>KS</v>
      </c>
      <c r="D891" s="32">
        <v>20003.0</v>
      </c>
      <c r="E891" s="33">
        <f>IF(NOT(ISBLANK(vlookup($D891,Pop_Census_2023!$A$2:$E$3220,4,FALSE))),vlookup($D891,Pop_Census_2023!$A$2:$E$3220,4,FALSE), vlookup($D891,Pop_Census_2023!$A$2:$E$3220,5,FALSE))</f>
        <v>7838</v>
      </c>
      <c r="F891" s="32">
        <v>484971.0</v>
      </c>
      <c r="G891" s="32">
        <v>53.0</v>
      </c>
      <c r="H891" s="32" t="str">
        <f>VLOOKUP(D891, Grid_Region_Mapping!$D$2:$F$5286, 3, FALSE)</f>
        <v>SPPC</v>
      </c>
      <c r="I891" s="32">
        <v>4.0</v>
      </c>
      <c r="J891" s="34" t="str">
        <f t="shared" si="1"/>
        <v>Midwest</v>
      </c>
      <c r="K891" s="35">
        <v>3.0</v>
      </c>
      <c r="L891" s="35" t="s">
        <v>223</v>
      </c>
      <c r="M891" s="36">
        <f>VLOOKUP(D891, County_Data_CZones!$B$2:$F$3236, 2, FALSE)</f>
        <v>4</v>
      </c>
      <c r="N891" s="37" t="str">
        <f>VLOOKUP(D891, County_Data_CZones!$B$2:$F$3236, 5, FALSE)</f>
        <v>Mixed-Humid</v>
      </c>
    </row>
    <row r="892" ht="15.75" customHeight="1">
      <c r="A892" s="32" t="s">
        <v>752</v>
      </c>
      <c r="B892" s="32" t="s">
        <v>750</v>
      </c>
      <c r="C892" s="32" t="str">
        <f>vlookup(B892,State_EMM_RowSums!$A$2:$B$52,2,FALSE)</f>
        <v>KS</v>
      </c>
      <c r="D892" s="32">
        <v>20005.0</v>
      </c>
      <c r="E892" s="33">
        <f>IF(NOT(ISBLANK(vlookup($D892,Pop_Census_2023!$A$2:$E$3220,4,FALSE))),vlookup($D892,Pop_Census_2023!$A$2:$E$3220,4,FALSE), vlookup($D892,Pop_Census_2023!$A$2:$E$3220,5,FALSE))</f>
        <v>16016</v>
      </c>
      <c r="F892" s="32">
        <v>484972.0</v>
      </c>
      <c r="G892" s="32">
        <v>53.0</v>
      </c>
      <c r="H892" s="32" t="str">
        <f>VLOOKUP(D892, Grid_Region_Mapping!$D$2:$F$5286, 3, FALSE)</f>
        <v>SPPC</v>
      </c>
      <c r="I892" s="32">
        <v>4.0</v>
      </c>
      <c r="J892" s="34" t="str">
        <f t="shared" si="1"/>
        <v>Midwest</v>
      </c>
      <c r="K892" s="35">
        <v>3.0</v>
      </c>
      <c r="L892" s="35" t="s">
        <v>223</v>
      </c>
      <c r="M892" s="36">
        <f>VLOOKUP(D892, County_Data_CZones!$B$2:$F$3236, 2, FALSE)</f>
        <v>4</v>
      </c>
      <c r="N892" s="37" t="str">
        <f>VLOOKUP(D892, County_Data_CZones!$B$2:$F$3236, 5, FALSE)</f>
        <v>Mixed-Humid</v>
      </c>
    </row>
    <row r="893" ht="15.75" customHeight="1">
      <c r="A893" s="32" t="s">
        <v>753</v>
      </c>
      <c r="B893" s="32" t="s">
        <v>750</v>
      </c>
      <c r="C893" s="32" t="str">
        <f>vlookup(B893,State_EMM_RowSums!$A$2:$B$52,2,FALSE)</f>
        <v>KS</v>
      </c>
      <c r="D893" s="32">
        <v>20007.0</v>
      </c>
      <c r="E893" s="33">
        <f>IF(NOT(ISBLANK(vlookup($D893,Pop_Census_2023!$A$2:$E$3220,4,FALSE))),vlookup($D893,Pop_Census_2023!$A$2:$E$3220,4,FALSE), vlookup($D893,Pop_Census_2023!$A$2:$E$3220,5,FALSE))</f>
        <v>4071</v>
      </c>
      <c r="F893" s="32">
        <v>484973.0</v>
      </c>
      <c r="G893" s="32">
        <v>53.0</v>
      </c>
      <c r="H893" s="32" t="str">
        <f>VLOOKUP(D893, Grid_Region_Mapping!$D$2:$F$5286, 3, FALSE)</f>
        <v>SPPC</v>
      </c>
      <c r="I893" s="32">
        <v>4.0</v>
      </c>
      <c r="J893" s="34" t="str">
        <f t="shared" si="1"/>
        <v>Midwest</v>
      </c>
      <c r="K893" s="35">
        <v>3.0</v>
      </c>
      <c r="L893" s="35" t="s">
        <v>223</v>
      </c>
      <c r="M893" s="36">
        <f>VLOOKUP(D893, County_Data_CZones!$B$2:$F$3236, 2, FALSE)</f>
        <v>4</v>
      </c>
      <c r="N893" s="37" t="str">
        <f>VLOOKUP(D893, County_Data_CZones!$B$2:$F$3236, 5, FALSE)</f>
        <v>Mixed-Humid</v>
      </c>
    </row>
    <row r="894" ht="15.75" customHeight="1">
      <c r="A894" s="32" t="s">
        <v>754</v>
      </c>
      <c r="B894" s="32" t="s">
        <v>750</v>
      </c>
      <c r="C894" s="32" t="str">
        <f>vlookup(B894,State_EMM_RowSums!$A$2:$B$52,2,FALSE)</f>
        <v>KS</v>
      </c>
      <c r="D894" s="32">
        <v>20009.0</v>
      </c>
      <c r="E894" s="33">
        <f>IF(NOT(ISBLANK(vlookup($D894,Pop_Census_2023!$A$2:$E$3220,4,FALSE))),vlookup($D894,Pop_Census_2023!$A$2:$E$3220,4,FALSE), vlookup($D894,Pop_Census_2023!$A$2:$E$3220,5,FALSE))</f>
        <v>24899</v>
      </c>
      <c r="F894" s="32">
        <v>484974.0</v>
      </c>
      <c r="G894" s="32">
        <v>53.0</v>
      </c>
      <c r="H894" s="32" t="str">
        <f>VLOOKUP(D894, Grid_Region_Mapping!$D$2:$F$5286, 3, FALSE)</f>
        <v>SPPC</v>
      </c>
      <c r="I894" s="32">
        <v>4.0</v>
      </c>
      <c r="J894" s="34" t="str">
        <f t="shared" si="1"/>
        <v>Midwest</v>
      </c>
      <c r="K894" s="35">
        <v>3.0</v>
      </c>
      <c r="L894" s="35" t="s">
        <v>223</v>
      </c>
      <c r="M894" s="36">
        <f>VLOOKUP(D894, County_Data_CZones!$B$2:$F$3236, 2, FALSE)</f>
        <v>4</v>
      </c>
      <c r="N894" s="37" t="str">
        <f>VLOOKUP(D894, County_Data_CZones!$B$2:$F$3236, 5, FALSE)</f>
        <v>Mixed-Humid</v>
      </c>
    </row>
    <row r="895" ht="15.75" customHeight="1">
      <c r="A895" s="32" t="s">
        <v>755</v>
      </c>
      <c r="B895" s="32" t="s">
        <v>750</v>
      </c>
      <c r="C895" s="32" t="str">
        <f>vlookup(B895,State_EMM_RowSums!$A$2:$B$52,2,FALSE)</f>
        <v>KS</v>
      </c>
      <c r="D895" s="32">
        <v>20011.0</v>
      </c>
      <c r="E895" s="33">
        <f>IF(NOT(ISBLANK(vlookup($D895,Pop_Census_2023!$A$2:$E$3220,4,FALSE))),vlookup($D895,Pop_Census_2023!$A$2:$E$3220,4,FALSE), vlookup($D895,Pop_Census_2023!$A$2:$E$3220,5,FALSE))</f>
        <v>14408</v>
      </c>
      <c r="F895" s="32">
        <v>484975.0</v>
      </c>
      <c r="G895" s="32">
        <v>53.0</v>
      </c>
      <c r="H895" s="32" t="str">
        <f>VLOOKUP(D895, Grid_Region_Mapping!$D$2:$F$5286, 3, FALSE)</f>
        <v>SPPC</v>
      </c>
      <c r="I895" s="32">
        <v>4.0</v>
      </c>
      <c r="J895" s="34" t="str">
        <f t="shared" si="1"/>
        <v>Midwest</v>
      </c>
      <c r="K895" s="35">
        <v>3.0</v>
      </c>
      <c r="L895" s="35" t="s">
        <v>223</v>
      </c>
      <c r="M895" s="36">
        <f>VLOOKUP(D895, County_Data_CZones!$B$2:$F$3236, 2, FALSE)</f>
        <v>4</v>
      </c>
      <c r="N895" s="37" t="str">
        <f>VLOOKUP(D895, County_Data_CZones!$B$2:$F$3236, 5, FALSE)</f>
        <v>Mixed-Humid</v>
      </c>
    </row>
    <row r="896" ht="15.75" customHeight="1">
      <c r="A896" s="32" t="s">
        <v>611</v>
      </c>
      <c r="B896" s="32" t="s">
        <v>750</v>
      </c>
      <c r="C896" s="32" t="str">
        <f>vlookup(B896,State_EMM_RowSums!$A$2:$B$52,2,FALSE)</f>
        <v>KS</v>
      </c>
      <c r="D896" s="32">
        <v>20013.0</v>
      </c>
      <c r="E896" s="33">
        <f>IF(NOT(ISBLANK(vlookup($D896,Pop_Census_2023!$A$2:$E$3220,4,FALSE))),vlookup($D896,Pop_Census_2023!$A$2:$E$3220,4,FALSE), vlookup($D896,Pop_Census_2023!$A$2:$E$3220,5,FALSE))</f>
        <v>9250</v>
      </c>
      <c r="F896" s="32">
        <v>484976.0</v>
      </c>
      <c r="G896" s="32">
        <v>53.0</v>
      </c>
      <c r="H896" s="32" t="str">
        <f>VLOOKUP(D896, Grid_Region_Mapping!$D$2:$F$5286, 3, FALSE)</f>
        <v>SPPC</v>
      </c>
      <c r="I896" s="32">
        <v>4.0</v>
      </c>
      <c r="J896" s="34" t="str">
        <f t="shared" si="1"/>
        <v>Midwest</v>
      </c>
      <c r="K896" s="35">
        <v>3.0</v>
      </c>
      <c r="L896" s="35" t="s">
        <v>223</v>
      </c>
      <c r="M896" s="36">
        <f>VLOOKUP(D896, County_Data_CZones!$B$2:$F$3236, 2, FALSE)</f>
        <v>4</v>
      </c>
      <c r="N896" s="37" t="str">
        <f>VLOOKUP(D896, County_Data_CZones!$B$2:$F$3236, 5, FALSE)</f>
        <v>Mixed-Humid</v>
      </c>
    </row>
    <row r="897" ht="15.75" customHeight="1">
      <c r="A897" s="32" t="s">
        <v>109</v>
      </c>
      <c r="B897" s="32" t="s">
        <v>750</v>
      </c>
      <c r="C897" s="32" t="str">
        <f>vlookup(B897,State_EMM_RowSums!$A$2:$B$52,2,FALSE)</f>
        <v>KS</v>
      </c>
      <c r="D897" s="32">
        <v>20015.0</v>
      </c>
      <c r="E897" s="33">
        <f>IF(NOT(ISBLANK(vlookup($D897,Pop_Census_2023!$A$2:$E$3220,4,FALSE))),vlookup($D897,Pop_Census_2023!$A$2:$E$3220,4,FALSE), vlookup($D897,Pop_Census_2023!$A$2:$E$3220,5,FALSE))</f>
        <v>68632</v>
      </c>
      <c r="F897" s="32">
        <v>484977.0</v>
      </c>
      <c r="G897" s="32">
        <v>53.0</v>
      </c>
      <c r="H897" s="32" t="str">
        <f>VLOOKUP(D897, Grid_Region_Mapping!$D$2:$F$5286, 3, FALSE)</f>
        <v>SPPC</v>
      </c>
      <c r="I897" s="32">
        <v>4.0</v>
      </c>
      <c r="J897" s="34" t="str">
        <f t="shared" si="1"/>
        <v>Midwest</v>
      </c>
      <c r="K897" s="35">
        <v>3.0</v>
      </c>
      <c r="L897" s="35" t="s">
        <v>223</v>
      </c>
      <c r="M897" s="36">
        <f>VLOOKUP(D897, County_Data_CZones!$B$2:$F$3236, 2, FALSE)</f>
        <v>4</v>
      </c>
      <c r="N897" s="37" t="str">
        <f>VLOOKUP(D897, County_Data_CZones!$B$2:$F$3236, 5, FALSE)</f>
        <v>Mixed-Humid</v>
      </c>
    </row>
    <row r="898" ht="15.75" customHeight="1">
      <c r="A898" s="32" t="s">
        <v>756</v>
      </c>
      <c r="B898" s="32" t="s">
        <v>750</v>
      </c>
      <c r="C898" s="32" t="str">
        <f>vlookup(B898,State_EMM_RowSums!$A$2:$B$52,2,FALSE)</f>
        <v>KS</v>
      </c>
      <c r="D898" s="32">
        <v>20017.0</v>
      </c>
      <c r="E898" s="33">
        <f>IF(NOT(ISBLANK(vlookup($D898,Pop_Census_2023!$A$2:$E$3220,4,FALSE))),vlookup($D898,Pop_Census_2023!$A$2:$E$3220,4,FALSE), vlookup($D898,Pop_Census_2023!$A$2:$E$3220,5,FALSE))</f>
        <v>2579</v>
      </c>
      <c r="F898" s="32">
        <v>484978.0</v>
      </c>
      <c r="G898" s="32">
        <v>53.0</v>
      </c>
      <c r="H898" s="32" t="str">
        <f>VLOOKUP(D898, Grid_Region_Mapping!$D$2:$F$5286, 3, FALSE)</f>
        <v>SPPC</v>
      </c>
      <c r="I898" s="32">
        <v>4.0</v>
      </c>
      <c r="J898" s="34" t="str">
        <f t="shared" si="1"/>
        <v>Midwest</v>
      </c>
      <c r="K898" s="35">
        <v>3.0</v>
      </c>
      <c r="L898" s="35" t="s">
        <v>223</v>
      </c>
      <c r="M898" s="36">
        <f>VLOOKUP(D898, County_Data_CZones!$B$2:$F$3236, 2, FALSE)</f>
        <v>4</v>
      </c>
      <c r="N898" s="37" t="str">
        <f>VLOOKUP(D898, County_Data_CZones!$B$2:$F$3236, 5, FALSE)</f>
        <v>Mixed-Humid</v>
      </c>
    </row>
    <row r="899" ht="15.75" customHeight="1">
      <c r="A899" s="32" t="s">
        <v>757</v>
      </c>
      <c r="B899" s="32" t="s">
        <v>750</v>
      </c>
      <c r="C899" s="32" t="str">
        <f>vlookup(B899,State_EMM_RowSums!$A$2:$B$52,2,FALSE)</f>
        <v>KS</v>
      </c>
      <c r="D899" s="32">
        <v>20019.0</v>
      </c>
      <c r="E899" s="33">
        <f>IF(NOT(ISBLANK(vlookup($D899,Pop_Census_2023!$A$2:$E$3220,4,FALSE))),vlookup($D899,Pop_Census_2023!$A$2:$E$3220,4,FALSE), vlookup($D899,Pop_Census_2023!$A$2:$E$3220,5,FALSE))</f>
        <v>3347</v>
      </c>
      <c r="F899" s="32">
        <v>484979.0</v>
      </c>
      <c r="G899" s="32">
        <v>53.0</v>
      </c>
      <c r="H899" s="32" t="str">
        <f>VLOOKUP(D899, Grid_Region_Mapping!$D$2:$F$5286, 3, FALSE)</f>
        <v>SPPC</v>
      </c>
      <c r="I899" s="32">
        <v>4.0</v>
      </c>
      <c r="J899" s="34" t="str">
        <f t="shared" si="1"/>
        <v>Midwest</v>
      </c>
      <c r="K899" s="35">
        <v>3.0</v>
      </c>
      <c r="L899" s="35" t="s">
        <v>223</v>
      </c>
      <c r="M899" s="36">
        <f>VLOOKUP(D899, County_Data_CZones!$B$2:$F$3236, 2, FALSE)</f>
        <v>4</v>
      </c>
      <c r="N899" s="37" t="str">
        <f>VLOOKUP(D899, County_Data_CZones!$B$2:$F$3236, 5, FALSE)</f>
        <v>Mixed-Humid</v>
      </c>
    </row>
    <row r="900" ht="15.75" customHeight="1">
      <c r="A900" s="32" t="s">
        <v>112</v>
      </c>
      <c r="B900" s="32" t="s">
        <v>750</v>
      </c>
      <c r="C900" s="32" t="str">
        <f>vlookup(B900,State_EMM_RowSums!$A$2:$B$52,2,FALSE)</f>
        <v>KS</v>
      </c>
      <c r="D900" s="32">
        <v>20021.0</v>
      </c>
      <c r="E900" s="33">
        <f>IF(NOT(ISBLANK(vlookup($D900,Pop_Census_2023!$A$2:$E$3220,4,FALSE))),vlookup($D900,Pop_Census_2023!$A$2:$E$3220,4,FALSE), vlookup($D900,Pop_Census_2023!$A$2:$E$3220,5,FALSE))</f>
        <v>19054</v>
      </c>
      <c r="F900" s="32">
        <v>484980.0</v>
      </c>
      <c r="G900" s="32">
        <v>53.0</v>
      </c>
      <c r="H900" s="32" t="str">
        <f>VLOOKUP(D900, Grid_Region_Mapping!$D$2:$F$5286, 3, FALSE)</f>
        <v>SPPC</v>
      </c>
      <c r="I900" s="32">
        <v>4.0</v>
      </c>
      <c r="J900" s="34" t="str">
        <f t="shared" si="1"/>
        <v>Midwest</v>
      </c>
      <c r="K900" s="35">
        <v>3.0</v>
      </c>
      <c r="L900" s="35" t="s">
        <v>223</v>
      </c>
      <c r="M900" s="36">
        <f>VLOOKUP(D900, County_Data_CZones!$B$2:$F$3236, 2, FALSE)</f>
        <v>4</v>
      </c>
      <c r="N900" s="37" t="str">
        <f>VLOOKUP(D900, County_Data_CZones!$B$2:$F$3236, 5, FALSE)</f>
        <v>Mixed-Humid</v>
      </c>
    </row>
    <row r="901" ht="15.75" customHeight="1">
      <c r="A901" s="32" t="s">
        <v>348</v>
      </c>
      <c r="B901" s="32" t="s">
        <v>750</v>
      </c>
      <c r="C901" s="32" t="str">
        <f>vlookup(B901,State_EMM_RowSums!$A$2:$B$52,2,FALSE)</f>
        <v>KS</v>
      </c>
      <c r="D901" s="32">
        <v>20023.0</v>
      </c>
      <c r="E901" s="33">
        <f>IF(NOT(ISBLANK(vlookup($D901,Pop_Census_2023!$A$2:$E$3220,4,FALSE))),vlookup($D901,Pop_Census_2023!$A$2:$E$3220,4,FALSE), vlookup($D901,Pop_Census_2023!$A$2:$E$3220,5,FALSE))</f>
        <v>2636</v>
      </c>
      <c r="F901" s="32">
        <v>484981.0</v>
      </c>
      <c r="G901" s="32">
        <v>52.0</v>
      </c>
      <c r="H901" s="32" t="str">
        <f>VLOOKUP(D901, Grid_Region_Mapping!$D$2:$F$5286, 3, FALSE)</f>
        <v>SPPC</v>
      </c>
      <c r="I901" s="32">
        <v>4.0</v>
      </c>
      <c r="J901" s="34" t="str">
        <f t="shared" si="1"/>
        <v>Midwest</v>
      </c>
      <c r="K901" s="35">
        <v>2.0</v>
      </c>
      <c r="L901" s="35" t="s">
        <v>396</v>
      </c>
      <c r="M901" s="36">
        <f>VLOOKUP(D901, County_Data_CZones!$B$2:$F$3236, 2, FALSE)</f>
        <v>5</v>
      </c>
      <c r="N901" s="37" t="str">
        <f>VLOOKUP(D901, County_Data_CZones!$B$2:$F$3236, 5, FALSE)</f>
        <v>Cold</v>
      </c>
    </row>
    <row r="902" ht="15.75" customHeight="1">
      <c r="A902" s="32" t="s">
        <v>229</v>
      </c>
      <c r="B902" s="32" t="s">
        <v>750</v>
      </c>
      <c r="C902" s="32" t="str">
        <f>vlookup(B902,State_EMM_RowSums!$A$2:$B$52,2,FALSE)</f>
        <v>KS</v>
      </c>
      <c r="D902" s="32">
        <v>20025.0</v>
      </c>
      <c r="E902" s="33">
        <f>IF(NOT(ISBLANK(vlookup($D902,Pop_Census_2023!$A$2:$E$3220,4,FALSE))),vlookup($D902,Pop_Census_2023!$A$2:$E$3220,4,FALSE), vlookup($D902,Pop_Census_2023!$A$2:$E$3220,5,FALSE))</f>
        <v>1847</v>
      </c>
      <c r="F902" s="32">
        <v>484982.0</v>
      </c>
      <c r="G902" s="32">
        <v>53.0</v>
      </c>
      <c r="H902" s="32" t="str">
        <f>VLOOKUP(D902, Grid_Region_Mapping!$D$2:$F$5286, 3, FALSE)</f>
        <v>SPPC</v>
      </c>
      <c r="I902" s="32">
        <v>4.0</v>
      </c>
      <c r="J902" s="34" t="str">
        <f t="shared" si="1"/>
        <v>Midwest</v>
      </c>
      <c r="K902" s="35">
        <v>3.0</v>
      </c>
      <c r="L902" s="35" t="s">
        <v>223</v>
      </c>
      <c r="M902" s="36">
        <f>VLOOKUP(D902, County_Data_CZones!$B$2:$F$3236, 2, FALSE)</f>
        <v>4</v>
      </c>
      <c r="N902" s="37" t="str">
        <f>VLOOKUP(D902, County_Data_CZones!$B$2:$F$3236, 5, FALSE)</f>
        <v>Mixed-Humid</v>
      </c>
    </row>
    <row r="903" ht="15.75" customHeight="1">
      <c r="A903" s="32" t="s">
        <v>116</v>
      </c>
      <c r="B903" s="32" t="s">
        <v>750</v>
      </c>
      <c r="C903" s="32" t="str">
        <f>vlookup(B903,State_EMM_RowSums!$A$2:$B$52,2,FALSE)</f>
        <v>KS</v>
      </c>
      <c r="D903" s="32">
        <v>20027.0</v>
      </c>
      <c r="E903" s="33">
        <f>IF(NOT(ISBLANK(vlookup($D903,Pop_Census_2023!$A$2:$E$3220,4,FALSE))),vlookup($D903,Pop_Census_2023!$A$2:$E$3220,4,FALSE), vlookup($D903,Pop_Census_2023!$A$2:$E$3220,5,FALSE))</f>
        <v>8007</v>
      </c>
      <c r="F903" s="32">
        <v>484983.0</v>
      </c>
      <c r="G903" s="32">
        <v>53.0</v>
      </c>
      <c r="H903" s="32" t="str">
        <f>VLOOKUP(D903, Grid_Region_Mapping!$D$2:$F$5286, 3, FALSE)</f>
        <v>SPPC</v>
      </c>
      <c r="I903" s="32">
        <v>4.0</v>
      </c>
      <c r="J903" s="34" t="str">
        <f t="shared" si="1"/>
        <v>Midwest</v>
      </c>
      <c r="K903" s="35">
        <v>3.0</v>
      </c>
      <c r="L903" s="35" t="s">
        <v>223</v>
      </c>
      <c r="M903" s="36">
        <f>VLOOKUP(D903, County_Data_CZones!$B$2:$F$3236, 2, FALSE)</f>
        <v>4</v>
      </c>
      <c r="N903" s="37" t="str">
        <f>VLOOKUP(D903, County_Data_CZones!$B$2:$F$3236, 5, FALSE)</f>
        <v>Mixed-Humid</v>
      </c>
    </row>
    <row r="904" ht="15.75" customHeight="1">
      <c r="A904" s="32" t="s">
        <v>758</v>
      </c>
      <c r="B904" s="32" t="s">
        <v>750</v>
      </c>
      <c r="C904" s="32" t="str">
        <f>vlookup(B904,State_EMM_RowSums!$A$2:$B$52,2,FALSE)</f>
        <v>KS</v>
      </c>
      <c r="D904" s="32">
        <v>20029.0</v>
      </c>
      <c r="E904" s="33">
        <f>IF(NOT(ISBLANK(vlookup($D904,Pop_Census_2023!$A$2:$E$3220,4,FALSE))),vlookup($D904,Pop_Census_2023!$A$2:$E$3220,4,FALSE), vlookup($D904,Pop_Census_2023!$A$2:$E$3220,5,FALSE))</f>
        <v>8854</v>
      </c>
      <c r="F904" s="32">
        <v>484984.0</v>
      </c>
      <c r="G904" s="32">
        <v>53.0</v>
      </c>
      <c r="H904" s="32" t="str">
        <f>VLOOKUP(D904, Grid_Region_Mapping!$D$2:$F$5286, 3, FALSE)</f>
        <v>SPPC</v>
      </c>
      <c r="I904" s="32">
        <v>4.0</v>
      </c>
      <c r="J904" s="34" t="str">
        <f t="shared" si="1"/>
        <v>Midwest</v>
      </c>
      <c r="K904" s="35">
        <v>2.0</v>
      </c>
      <c r="L904" s="35" t="s">
        <v>396</v>
      </c>
      <c r="M904" s="36">
        <f>VLOOKUP(D904, County_Data_CZones!$B$2:$F$3236, 2, FALSE)</f>
        <v>5</v>
      </c>
      <c r="N904" s="37" t="str">
        <f>VLOOKUP(D904, County_Data_CZones!$B$2:$F$3236, 5, FALSE)</f>
        <v>Cold</v>
      </c>
    </row>
    <row r="905" ht="15.75" customHeight="1">
      <c r="A905" s="32" t="s">
        <v>759</v>
      </c>
      <c r="B905" s="32" t="s">
        <v>750</v>
      </c>
      <c r="C905" s="32" t="str">
        <f>vlookup(B905,State_EMM_RowSums!$A$2:$B$52,2,FALSE)</f>
        <v>KS</v>
      </c>
      <c r="D905" s="32">
        <v>20031.0</v>
      </c>
      <c r="E905" s="33">
        <f>IF(NOT(ISBLANK(vlookup($D905,Pop_Census_2023!$A$2:$E$3220,4,FALSE))),vlookup($D905,Pop_Census_2023!$A$2:$E$3220,4,FALSE), vlookup($D905,Pop_Census_2023!$A$2:$E$3220,5,FALSE))</f>
        <v>8251</v>
      </c>
      <c r="F905" s="32">
        <v>484985.0</v>
      </c>
      <c r="G905" s="32">
        <v>53.0</v>
      </c>
      <c r="H905" s="32" t="str">
        <f>VLOOKUP(D905, Grid_Region_Mapping!$D$2:$F$5286, 3, FALSE)</f>
        <v>SPPC</v>
      </c>
      <c r="I905" s="32">
        <v>4.0</v>
      </c>
      <c r="J905" s="34" t="str">
        <f t="shared" si="1"/>
        <v>Midwest</v>
      </c>
      <c r="K905" s="35">
        <v>3.0</v>
      </c>
      <c r="L905" s="35" t="s">
        <v>223</v>
      </c>
      <c r="M905" s="36">
        <f>VLOOKUP(D905, County_Data_CZones!$B$2:$F$3236, 2, FALSE)</f>
        <v>4</v>
      </c>
      <c r="N905" s="37" t="str">
        <f>VLOOKUP(D905, County_Data_CZones!$B$2:$F$3236, 5, FALSE)</f>
        <v>Mixed-Humid</v>
      </c>
    </row>
    <row r="906" ht="15.75" customHeight="1">
      <c r="A906" s="32" t="s">
        <v>760</v>
      </c>
      <c r="B906" s="32" t="s">
        <v>750</v>
      </c>
      <c r="C906" s="32" t="str">
        <f>vlookup(B906,State_EMM_RowSums!$A$2:$B$52,2,FALSE)</f>
        <v>KS</v>
      </c>
      <c r="D906" s="32">
        <v>20033.0</v>
      </c>
      <c r="E906" s="33">
        <f>IF(NOT(ISBLANK(vlookup($D906,Pop_Census_2023!$A$2:$E$3220,4,FALSE))),vlookup($D906,Pop_Census_2023!$A$2:$E$3220,4,FALSE), vlookup($D906,Pop_Census_2023!$A$2:$E$3220,5,FALSE))</f>
        <v>1655</v>
      </c>
      <c r="F906" s="32">
        <v>484986.0</v>
      </c>
      <c r="G906" s="32">
        <v>53.0</v>
      </c>
      <c r="H906" s="32" t="str">
        <f>VLOOKUP(D906, Grid_Region_Mapping!$D$2:$F$5286, 3, FALSE)</f>
        <v>SPPC</v>
      </c>
      <c r="I906" s="32">
        <v>4.0</v>
      </c>
      <c r="J906" s="34" t="str">
        <f t="shared" si="1"/>
        <v>Midwest</v>
      </c>
      <c r="K906" s="35">
        <v>3.0</v>
      </c>
      <c r="L906" s="35" t="s">
        <v>223</v>
      </c>
      <c r="M906" s="36">
        <f>VLOOKUP(D906, County_Data_CZones!$B$2:$F$3236, 2, FALSE)</f>
        <v>4</v>
      </c>
      <c r="N906" s="37" t="str">
        <f>VLOOKUP(D906, County_Data_CZones!$B$2:$F$3236, 5, FALSE)</f>
        <v>Mixed-Humid</v>
      </c>
    </row>
    <row r="907" ht="15.75" customHeight="1">
      <c r="A907" s="32" t="s">
        <v>761</v>
      </c>
      <c r="B907" s="32" t="s">
        <v>750</v>
      </c>
      <c r="C907" s="32" t="str">
        <f>vlookup(B907,State_EMM_RowSums!$A$2:$B$52,2,FALSE)</f>
        <v>KS</v>
      </c>
      <c r="D907" s="32">
        <v>20035.0</v>
      </c>
      <c r="E907" s="33">
        <f>IF(NOT(ISBLANK(vlookup($D907,Pop_Census_2023!$A$2:$E$3220,4,FALSE))),vlookup($D907,Pop_Census_2023!$A$2:$E$3220,4,FALSE), vlookup($D907,Pop_Census_2023!$A$2:$E$3220,5,FALSE))</f>
        <v>34157</v>
      </c>
      <c r="F907" s="32">
        <v>484987.0</v>
      </c>
      <c r="G907" s="32">
        <v>53.0</v>
      </c>
      <c r="H907" s="32" t="str">
        <f>VLOOKUP(D907, Grid_Region_Mapping!$D$2:$F$5286, 3, FALSE)</f>
        <v>SPPC</v>
      </c>
      <c r="I907" s="32">
        <v>4.0</v>
      </c>
      <c r="J907" s="34" t="str">
        <f t="shared" si="1"/>
        <v>Midwest</v>
      </c>
      <c r="K907" s="35">
        <v>3.0</v>
      </c>
      <c r="L907" s="35" t="s">
        <v>223</v>
      </c>
      <c r="M907" s="36">
        <f>VLOOKUP(D907, County_Data_CZones!$B$2:$F$3236, 2, FALSE)</f>
        <v>4</v>
      </c>
      <c r="N907" s="37" t="str">
        <f>VLOOKUP(D907, County_Data_CZones!$B$2:$F$3236, 5, FALSE)</f>
        <v>Mixed-Humid</v>
      </c>
    </row>
    <row r="908" ht="15.75" customHeight="1">
      <c r="A908" s="32" t="s">
        <v>234</v>
      </c>
      <c r="B908" s="32" t="s">
        <v>750</v>
      </c>
      <c r="C908" s="32" t="str">
        <f>vlookup(B908,State_EMM_RowSums!$A$2:$B$52,2,FALSE)</f>
        <v>KS</v>
      </c>
      <c r="D908" s="32">
        <v>20037.0</v>
      </c>
      <c r="E908" s="33">
        <f>IF(NOT(ISBLANK(vlookup($D908,Pop_Census_2023!$A$2:$E$3220,4,FALSE))),vlookup($D908,Pop_Census_2023!$A$2:$E$3220,4,FALSE), vlookup($D908,Pop_Census_2023!$A$2:$E$3220,5,FALSE))</f>
        <v>38764</v>
      </c>
      <c r="F908" s="32">
        <v>484988.0</v>
      </c>
      <c r="G908" s="32">
        <v>53.0</v>
      </c>
      <c r="H908" s="32" t="str">
        <f>VLOOKUP(D908, Grid_Region_Mapping!$D$2:$F$5286, 3, FALSE)</f>
        <v>SPPC</v>
      </c>
      <c r="I908" s="32">
        <v>4.0</v>
      </c>
      <c r="J908" s="34" t="str">
        <f t="shared" si="1"/>
        <v>Midwest</v>
      </c>
      <c r="K908" s="35">
        <v>3.0</v>
      </c>
      <c r="L908" s="35" t="s">
        <v>223</v>
      </c>
      <c r="M908" s="36">
        <f>VLOOKUP(D908, County_Data_CZones!$B$2:$F$3236, 2, FALSE)</f>
        <v>4</v>
      </c>
      <c r="N908" s="37" t="str">
        <f>VLOOKUP(D908, County_Data_CZones!$B$2:$F$3236, 5, FALSE)</f>
        <v>Mixed-Humid</v>
      </c>
    </row>
    <row r="909" ht="15.75" customHeight="1">
      <c r="A909" s="32" t="s">
        <v>492</v>
      </c>
      <c r="B909" s="32" t="s">
        <v>750</v>
      </c>
      <c r="C909" s="32" t="str">
        <f>vlookup(B909,State_EMM_RowSums!$A$2:$B$52,2,FALSE)</f>
        <v>KS</v>
      </c>
      <c r="D909" s="32">
        <v>20039.0</v>
      </c>
      <c r="E909" s="33">
        <f>IF(NOT(ISBLANK(vlookup($D909,Pop_Census_2023!$A$2:$E$3220,4,FALSE))),vlookup($D909,Pop_Census_2023!$A$2:$E$3220,4,FALSE), vlookup($D909,Pop_Census_2023!$A$2:$E$3220,5,FALSE))</f>
        <v>2712</v>
      </c>
      <c r="F909" s="32">
        <v>484989.0</v>
      </c>
      <c r="G909" s="32">
        <v>52.0</v>
      </c>
      <c r="H909" s="32" t="str">
        <f>VLOOKUP(D909, Grid_Region_Mapping!$D$2:$F$5286, 3, FALSE)</f>
        <v>SPPC</v>
      </c>
      <c r="I909" s="32">
        <v>4.0</v>
      </c>
      <c r="J909" s="34" t="str">
        <f t="shared" si="1"/>
        <v>Midwest</v>
      </c>
      <c r="K909" s="35">
        <v>2.0</v>
      </c>
      <c r="L909" s="35" t="s">
        <v>396</v>
      </c>
      <c r="M909" s="36">
        <f>VLOOKUP(D909, County_Data_CZones!$B$2:$F$3236, 2, FALSE)</f>
        <v>5</v>
      </c>
      <c r="N909" s="37" t="str">
        <f>VLOOKUP(D909, County_Data_CZones!$B$2:$F$3236, 5, FALSE)</f>
        <v>Cold</v>
      </c>
    </row>
    <row r="910" ht="15.75" customHeight="1">
      <c r="A910" s="32" t="s">
        <v>719</v>
      </c>
      <c r="B910" s="32" t="s">
        <v>750</v>
      </c>
      <c r="C910" s="32" t="str">
        <f>vlookup(B910,State_EMM_RowSums!$A$2:$B$52,2,FALSE)</f>
        <v>KS</v>
      </c>
      <c r="D910" s="32">
        <v>20041.0</v>
      </c>
      <c r="E910" s="33">
        <f>IF(NOT(ISBLANK(vlookup($D910,Pop_Census_2023!$A$2:$E$3220,4,FALSE))),vlookup($D910,Pop_Census_2023!$A$2:$E$3220,4,FALSE), vlookup($D910,Pop_Census_2023!$A$2:$E$3220,5,FALSE))</f>
        <v>18445</v>
      </c>
      <c r="F910" s="32">
        <v>484990.0</v>
      </c>
      <c r="G910" s="32">
        <v>53.0</v>
      </c>
      <c r="H910" s="32" t="str">
        <f>VLOOKUP(D910, Grid_Region_Mapping!$D$2:$F$5286, 3, FALSE)</f>
        <v>SPPC</v>
      </c>
      <c r="I910" s="32">
        <v>4.0</v>
      </c>
      <c r="J910" s="34" t="str">
        <f t="shared" si="1"/>
        <v>Midwest</v>
      </c>
      <c r="K910" s="35">
        <v>3.0</v>
      </c>
      <c r="L910" s="35" t="s">
        <v>223</v>
      </c>
      <c r="M910" s="36">
        <f>VLOOKUP(D910, County_Data_CZones!$B$2:$F$3236, 2, FALSE)</f>
        <v>4</v>
      </c>
      <c r="N910" s="37" t="str">
        <f>VLOOKUP(D910, County_Data_CZones!$B$2:$F$3236, 5, FALSE)</f>
        <v>Mixed-Humid</v>
      </c>
    </row>
    <row r="911" ht="15.75" customHeight="1">
      <c r="A911" s="32" t="s">
        <v>762</v>
      </c>
      <c r="B911" s="32" t="s">
        <v>750</v>
      </c>
      <c r="C911" s="32" t="str">
        <f>vlookup(B911,State_EMM_RowSums!$A$2:$B$52,2,FALSE)</f>
        <v>KS</v>
      </c>
      <c r="D911" s="32">
        <v>20043.0</v>
      </c>
      <c r="E911" s="33">
        <f>IF(NOT(ISBLANK(vlookup($D911,Pop_Census_2023!$A$2:$E$3220,4,FALSE))),vlookup($D911,Pop_Census_2023!$A$2:$E$3220,4,FALSE), vlookup($D911,Pop_Census_2023!$A$2:$E$3220,5,FALSE))</f>
        <v>7493</v>
      </c>
      <c r="F911" s="32">
        <v>484991.0</v>
      </c>
      <c r="G911" s="32">
        <v>53.0</v>
      </c>
      <c r="H911" s="32" t="str">
        <f>VLOOKUP(D911, Grid_Region_Mapping!$D$2:$F$5286, 3, FALSE)</f>
        <v>SPPC</v>
      </c>
      <c r="I911" s="32">
        <v>4.0</v>
      </c>
      <c r="J911" s="34" t="str">
        <f t="shared" si="1"/>
        <v>Midwest</v>
      </c>
      <c r="K911" s="35">
        <v>3.0</v>
      </c>
      <c r="L911" s="35" t="s">
        <v>223</v>
      </c>
      <c r="M911" s="36">
        <f>VLOOKUP(D911, County_Data_CZones!$B$2:$F$3236, 2, FALSE)</f>
        <v>4</v>
      </c>
      <c r="N911" s="37" t="str">
        <f>VLOOKUP(D911, County_Data_CZones!$B$2:$F$3236, 5, FALSE)</f>
        <v>Mixed-Humid</v>
      </c>
    </row>
    <row r="912" ht="15.75" customHeight="1">
      <c r="A912" s="32" t="s">
        <v>357</v>
      </c>
      <c r="B912" s="32" t="s">
        <v>750</v>
      </c>
      <c r="C912" s="32" t="str">
        <f>vlookup(B912,State_EMM_RowSums!$A$2:$B$52,2,FALSE)</f>
        <v>KS</v>
      </c>
      <c r="D912" s="32">
        <v>20045.0</v>
      </c>
      <c r="E912" s="33">
        <f>IF(NOT(ISBLANK(vlookup($D912,Pop_Census_2023!$A$2:$E$3220,4,FALSE))),vlookup($D912,Pop_Census_2023!$A$2:$E$3220,4,FALSE), vlookup($D912,Pop_Census_2023!$A$2:$E$3220,5,FALSE))</f>
        <v>120553</v>
      </c>
      <c r="F912" s="32">
        <v>484992.0</v>
      </c>
      <c r="G912" s="32">
        <v>53.0</v>
      </c>
      <c r="H912" s="32" t="str">
        <f>VLOOKUP(D912, Grid_Region_Mapping!$D$2:$F$5286, 3, FALSE)</f>
        <v>SPPC</v>
      </c>
      <c r="I912" s="32">
        <v>4.0</v>
      </c>
      <c r="J912" s="34" t="str">
        <f t="shared" si="1"/>
        <v>Midwest</v>
      </c>
      <c r="K912" s="35">
        <v>3.0</v>
      </c>
      <c r="L912" s="35" t="s">
        <v>223</v>
      </c>
      <c r="M912" s="36">
        <f>VLOOKUP(D912, County_Data_CZones!$B$2:$F$3236, 2, FALSE)</f>
        <v>4</v>
      </c>
      <c r="N912" s="37" t="str">
        <f>VLOOKUP(D912, County_Data_CZones!$B$2:$F$3236, 5, FALSE)</f>
        <v>Mixed-Humid</v>
      </c>
    </row>
    <row r="913" ht="15.75" customHeight="1">
      <c r="A913" s="32" t="s">
        <v>622</v>
      </c>
      <c r="B913" s="32" t="s">
        <v>750</v>
      </c>
      <c r="C913" s="32" t="str">
        <f>vlookup(B913,State_EMM_RowSums!$A$2:$B$52,2,FALSE)</f>
        <v>KS</v>
      </c>
      <c r="D913" s="32">
        <v>20047.0</v>
      </c>
      <c r="E913" s="33">
        <f>IF(NOT(ISBLANK(vlookup($D913,Pop_Census_2023!$A$2:$E$3220,4,FALSE))),vlookup($D913,Pop_Census_2023!$A$2:$E$3220,4,FALSE), vlookup($D913,Pop_Census_2023!$A$2:$E$3220,5,FALSE))</f>
        <v>2733</v>
      </c>
      <c r="F913" s="32">
        <v>484993.0</v>
      </c>
      <c r="G913" s="32">
        <v>53.0</v>
      </c>
      <c r="H913" s="32" t="str">
        <f>VLOOKUP(D913, Grid_Region_Mapping!$D$2:$F$5286, 3, FALSE)</f>
        <v>SPPC</v>
      </c>
      <c r="I913" s="32">
        <v>4.0</v>
      </c>
      <c r="J913" s="34" t="str">
        <f t="shared" si="1"/>
        <v>Midwest</v>
      </c>
      <c r="K913" s="35">
        <v>3.0</v>
      </c>
      <c r="L913" s="35" t="s">
        <v>223</v>
      </c>
      <c r="M913" s="36">
        <f>VLOOKUP(D913, County_Data_CZones!$B$2:$F$3236, 2, FALSE)</f>
        <v>4</v>
      </c>
      <c r="N913" s="37" t="str">
        <f>VLOOKUP(D913, County_Data_CZones!$B$2:$F$3236, 5, FALSE)</f>
        <v>Mixed-Humid</v>
      </c>
    </row>
    <row r="914" ht="15.75" customHeight="1">
      <c r="A914" s="32" t="s">
        <v>763</v>
      </c>
      <c r="B914" s="32" t="s">
        <v>750</v>
      </c>
      <c r="C914" s="32" t="str">
        <f>vlookup(B914,State_EMM_RowSums!$A$2:$B$52,2,FALSE)</f>
        <v>KS</v>
      </c>
      <c r="D914" s="32">
        <v>20049.0</v>
      </c>
      <c r="E914" s="33">
        <f>IF(NOT(ISBLANK(vlookup($D914,Pop_Census_2023!$A$2:$E$3220,4,FALSE))),vlookup($D914,Pop_Census_2023!$A$2:$E$3220,4,FALSE), vlookup($D914,Pop_Census_2023!$A$2:$E$3220,5,FALSE))</f>
        <v>2467</v>
      </c>
      <c r="F914" s="32">
        <v>484994.0</v>
      </c>
      <c r="G914" s="32">
        <v>53.0</v>
      </c>
      <c r="H914" s="32" t="str">
        <f>VLOOKUP(D914, Grid_Region_Mapping!$D$2:$F$5286, 3, FALSE)</f>
        <v>SPPC</v>
      </c>
      <c r="I914" s="32">
        <v>4.0</v>
      </c>
      <c r="J914" s="34" t="str">
        <f t="shared" si="1"/>
        <v>Midwest</v>
      </c>
      <c r="K914" s="35">
        <v>3.0</v>
      </c>
      <c r="L914" s="35" t="s">
        <v>223</v>
      </c>
      <c r="M914" s="36">
        <f>VLOOKUP(D914, County_Data_CZones!$B$2:$F$3236, 2, FALSE)</f>
        <v>4</v>
      </c>
      <c r="N914" s="37" t="str">
        <f>VLOOKUP(D914, County_Data_CZones!$B$2:$F$3236, 5, FALSE)</f>
        <v>Mixed-Humid</v>
      </c>
    </row>
    <row r="915" ht="15.75" customHeight="1">
      <c r="A915" s="32" t="s">
        <v>764</v>
      </c>
      <c r="B915" s="32" t="s">
        <v>750</v>
      </c>
      <c r="C915" s="32" t="str">
        <f>vlookup(B915,State_EMM_RowSums!$A$2:$B$52,2,FALSE)</f>
        <v>KS</v>
      </c>
      <c r="D915" s="32">
        <v>20051.0</v>
      </c>
      <c r="E915" s="33">
        <f>IF(NOT(ISBLANK(vlookup($D915,Pop_Census_2023!$A$2:$E$3220,4,FALSE))),vlookup($D915,Pop_Census_2023!$A$2:$E$3220,4,FALSE), vlookup($D915,Pop_Census_2023!$A$2:$E$3220,5,FALSE))</f>
        <v>28810</v>
      </c>
      <c r="F915" s="32">
        <v>484995.0</v>
      </c>
      <c r="G915" s="32">
        <v>53.0</v>
      </c>
      <c r="H915" s="32" t="str">
        <f>VLOOKUP(D915, Grid_Region_Mapping!$D$2:$F$5286, 3, FALSE)</f>
        <v>SPPC</v>
      </c>
      <c r="I915" s="32">
        <v>4.0</v>
      </c>
      <c r="J915" s="34" t="str">
        <f t="shared" si="1"/>
        <v>Midwest</v>
      </c>
      <c r="K915" s="35">
        <v>2.0</v>
      </c>
      <c r="L915" s="35" t="s">
        <v>396</v>
      </c>
      <c r="M915" s="36">
        <f>VLOOKUP(D915, County_Data_CZones!$B$2:$F$3236, 2, FALSE)</f>
        <v>5</v>
      </c>
      <c r="N915" s="37" t="str">
        <f>VLOOKUP(D915, County_Data_CZones!$B$2:$F$3236, 5, FALSE)</f>
        <v>Cold</v>
      </c>
    </row>
    <row r="916" ht="15.75" customHeight="1">
      <c r="A916" s="32" t="s">
        <v>765</v>
      </c>
      <c r="B916" s="32" t="s">
        <v>750</v>
      </c>
      <c r="C916" s="32" t="str">
        <f>vlookup(B916,State_EMM_RowSums!$A$2:$B$52,2,FALSE)</f>
        <v>KS</v>
      </c>
      <c r="D916" s="32">
        <v>20053.0</v>
      </c>
      <c r="E916" s="33">
        <f>IF(NOT(ISBLANK(vlookup($D916,Pop_Census_2023!$A$2:$E$3220,4,FALSE))),vlookup($D916,Pop_Census_2023!$A$2:$E$3220,4,FALSE), vlookup($D916,Pop_Census_2023!$A$2:$E$3220,5,FALSE))</f>
        <v>6357</v>
      </c>
      <c r="F916" s="32">
        <v>484996.0</v>
      </c>
      <c r="G916" s="32">
        <v>53.0</v>
      </c>
      <c r="H916" s="32" t="str">
        <f>VLOOKUP(D916, Grid_Region_Mapping!$D$2:$F$5286, 3, FALSE)</f>
        <v>SPPC</v>
      </c>
      <c r="I916" s="32">
        <v>4.0</v>
      </c>
      <c r="J916" s="34" t="str">
        <f t="shared" si="1"/>
        <v>Midwest</v>
      </c>
      <c r="K916" s="35">
        <v>3.0</v>
      </c>
      <c r="L916" s="35" t="s">
        <v>223</v>
      </c>
      <c r="M916" s="36">
        <f>VLOOKUP(D916, County_Data_CZones!$B$2:$F$3236, 2, FALSE)</f>
        <v>4</v>
      </c>
      <c r="N916" s="37" t="str">
        <f>VLOOKUP(D916, County_Data_CZones!$B$2:$F$3236, 5, FALSE)</f>
        <v>Mixed-Humid</v>
      </c>
    </row>
    <row r="917" ht="15.75" customHeight="1">
      <c r="A917" s="32" t="s">
        <v>766</v>
      </c>
      <c r="B917" s="32" t="s">
        <v>750</v>
      </c>
      <c r="C917" s="32" t="str">
        <f>vlookup(B917,State_EMM_RowSums!$A$2:$B$52,2,FALSE)</f>
        <v>KS</v>
      </c>
      <c r="D917" s="32">
        <v>20055.0</v>
      </c>
      <c r="E917" s="33">
        <f>IF(NOT(ISBLANK(vlookup($D917,Pop_Census_2023!$A$2:$E$3220,4,FALSE))),vlookup($D917,Pop_Census_2023!$A$2:$E$3220,4,FALSE), vlookup($D917,Pop_Census_2023!$A$2:$E$3220,5,FALSE))</f>
        <v>37466</v>
      </c>
      <c r="F917" s="32">
        <v>485326.0</v>
      </c>
      <c r="G917" s="32">
        <v>52.0</v>
      </c>
      <c r="H917" s="32" t="str">
        <f>VLOOKUP(D917, Grid_Region_Mapping!$D$2:$F$5286, 3, FALSE)</f>
        <v>SPPC</v>
      </c>
      <c r="I917" s="32">
        <v>4.0</v>
      </c>
      <c r="J917" s="34" t="str">
        <f t="shared" si="1"/>
        <v>Midwest</v>
      </c>
      <c r="K917" s="35">
        <v>3.0</v>
      </c>
      <c r="L917" s="35" t="s">
        <v>223</v>
      </c>
      <c r="M917" s="36">
        <f>VLOOKUP(D917, County_Data_CZones!$B$2:$F$3236, 2, FALSE)</f>
        <v>4</v>
      </c>
      <c r="N917" s="37" t="str">
        <f>VLOOKUP(D917, County_Data_CZones!$B$2:$F$3236, 5, FALSE)</f>
        <v>Mixed-Humid</v>
      </c>
    </row>
    <row r="918" ht="15.75" customHeight="1">
      <c r="A918" s="32" t="s">
        <v>623</v>
      </c>
      <c r="B918" s="32" t="s">
        <v>750</v>
      </c>
      <c r="C918" s="32" t="str">
        <f>vlookup(B918,State_EMM_RowSums!$A$2:$B$52,2,FALSE)</f>
        <v>KS</v>
      </c>
      <c r="D918" s="32">
        <v>20057.0</v>
      </c>
      <c r="E918" s="33">
        <f>IF(NOT(ISBLANK(vlookup($D918,Pop_Census_2023!$A$2:$E$3220,4,FALSE))),vlookup($D918,Pop_Census_2023!$A$2:$E$3220,4,FALSE), vlookup($D918,Pop_Census_2023!$A$2:$E$3220,5,FALSE))</f>
        <v>33980</v>
      </c>
      <c r="F918" s="32">
        <v>484997.0</v>
      </c>
      <c r="G918" s="32">
        <v>53.0</v>
      </c>
      <c r="H918" s="32" t="str">
        <f>VLOOKUP(D918, Grid_Region_Mapping!$D$2:$F$5286, 3, FALSE)</f>
        <v>SPPC</v>
      </c>
      <c r="I918" s="32">
        <v>4.0</v>
      </c>
      <c r="J918" s="34" t="str">
        <f t="shared" si="1"/>
        <v>Midwest</v>
      </c>
      <c r="K918" s="35">
        <v>3.0</v>
      </c>
      <c r="L918" s="35" t="s">
        <v>223</v>
      </c>
      <c r="M918" s="36">
        <f>VLOOKUP(D918, County_Data_CZones!$B$2:$F$3236, 2, FALSE)</f>
        <v>4</v>
      </c>
      <c r="N918" s="37" t="str">
        <f>VLOOKUP(D918, County_Data_CZones!$B$2:$F$3236, 5, FALSE)</f>
        <v>Mixed-Humid</v>
      </c>
    </row>
    <row r="919" ht="15.75" customHeight="1">
      <c r="A919" s="32" t="s">
        <v>132</v>
      </c>
      <c r="B919" s="32" t="s">
        <v>750</v>
      </c>
      <c r="C919" s="32" t="str">
        <f>vlookup(B919,State_EMM_RowSums!$A$2:$B$52,2,FALSE)</f>
        <v>KS</v>
      </c>
      <c r="D919" s="32">
        <v>20059.0</v>
      </c>
      <c r="E919" s="33">
        <f>IF(NOT(ISBLANK(vlookup($D919,Pop_Census_2023!$A$2:$E$3220,4,FALSE))),vlookup($D919,Pop_Census_2023!$A$2:$E$3220,4,FALSE), vlookup($D919,Pop_Census_2023!$A$2:$E$3220,5,FALSE))</f>
        <v>26125</v>
      </c>
      <c r="F919" s="32">
        <v>484998.0</v>
      </c>
      <c r="G919" s="32">
        <v>53.0</v>
      </c>
      <c r="H919" s="32" t="str">
        <f>VLOOKUP(D919, Grid_Region_Mapping!$D$2:$F$5286, 3, FALSE)</f>
        <v>SPPC</v>
      </c>
      <c r="I919" s="32">
        <v>4.0</v>
      </c>
      <c r="J919" s="34" t="str">
        <f t="shared" si="1"/>
        <v>Midwest</v>
      </c>
      <c r="K919" s="35">
        <v>3.0</v>
      </c>
      <c r="L919" s="35" t="s">
        <v>223</v>
      </c>
      <c r="M919" s="36">
        <f>VLOOKUP(D919, County_Data_CZones!$B$2:$F$3236, 2, FALSE)</f>
        <v>4</v>
      </c>
      <c r="N919" s="37" t="str">
        <f>VLOOKUP(D919, County_Data_CZones!$B$2:$F$3236, 5, FALSE)</f>
        <v>Mixed-Humid</v>
      </c>
    </row>
    <row r="920" ht="15.75" customHeight="1">
      <c r="A920" s="32" t="s">
        <v>767</v>
      </c>
      <c r="B920" s="32" t="s">
        <v>750</v>
      </c>
      <c r="C920" s="32" t="str">
        <f>vlookup(B920,State_EMM_RowSums!$A$2:$B$52,2,FALSE)</f>
        <v>KS</v>
      </c>
      <c r="D920" s="32">
        <v>20061.0</v>
      </c>
      <c r="E920" s="33">
        <f>IF(NOT(ISBLANK(vlookup($D920,Pop_Census_2023!$A$2:$E$3220,4,FALSE))),vlookup($D920,Pop_Census_2023!$A$2:$E$3220,4,FALSE), vlookup($D920,Pop_Census_2023!$A$2:$E$3220,5,FALSE))</f>
        <v>35047</v>
      </c>
      <c r="F920" s="32">
        <v>484999.0</v>
      </c>
      <c r="G920" s="32">
        <v>53.0</v>
      </c>
      <c r="H920" s="32" t="str">
        <f>VLOOKUP(D920, Grid_Region_Mapping!$D$2:$F$5286, 3, FALSE)</f>
        <v>SPPC</v>
      </c>
      <c r="I920" s="32">
        <v>4.0</v>
      </c>
      <c r="J920" s="34" t="str">
        <f t="shared" si="1"/>
        <v>Midwest</v>
      </c>
      <c r="K920" s="35">
        <v>3.0</v>
      </c>
      <c r="L920" s="35" t="s">
        <v>223</v>
      </c>
      <c r="M920" s="36">
        <f>VLOOKUP(D920, County_Data_CZones!$B$2:$F$3236, 2, FALSE)</f>
        <v>4</v>
      </c>
      <c r="N920" s="37" t="str">
        <f>VLOOKUP(D920, County_Data_CZones!$B$2:$F$3236, 5, FALSE)</f>
        <v>Mixed-Humid</v>
      </c>
    </row>
    <row r="921" ht="15.75" customHeight="1">
      <c r="A921" s="32" t="s">
        <v>768</v>
      </c>
      <c r="B921" s="32" t="s">
        <v>750</v>
      </c>
      <c r="C921" s="32" t="str">
        <f>vlookup(B921,State_EMM_RowSums!$A$2:$B$52,2,FALSE)</f>
        <v>KS</v>
      </c>
      <c r="D921" s="32">
        <v>20063.0</v>
      </c>
      <c r="E921" s="33">
        <f>IF(NOT(ISBLANK(vlookup($D921,Pop_Census_2023!$A$2:$E$3220,4,FALSE))),vlookup($D921,Pop_Census_2023!$A$2:$E$3220,4,FALSE), vlookup($D921,Pop_Census_2023!$A$2:$E$3220,5,FALSE))</f>
        <v>2735</v>
      </c>
      <c r="F921" s="32">
        <v>485000.0</v>
      </c>
      <c r="G921" s="32">
        <v>52.0</v>
      </c>
      <c r="H921" s="32" t="str">
        <f>VLOOKUP(D921, Grid_Region_Mapping!$D$2:$F$5286, 3, FALSE)</f>
        <v>SPPC</v>
      </c>
      <c r="I921" s="32">
        <v>4.0</v>
      </c>
      <c r="J921" s="34" t="str">
        <f t="shared" si="1"/>
        <v>Midwest</v>
      </c>
      <c r="K921" s="35">
        <v>2.0</v>
      </c>
      <c r="L921" s="35" t="s">
        <v>396</v>
      </c>
      <c r="M921" s="36">
        <f>VLOOKUP(D921, County_Data_CZones!$B$2:$F$3236, 2, FALSE)</f>
        <v>5</v>
      </c>
      <c r="N921" s="37" t="str">
        <f>VLOOKUP(D921, County_Data_CZones!$B$2:$F$3236, 5, FALSE)</f>
        <v>Cold</v>
      </c>
    </row>
    <row r="922" ht="15.75" customHeight="1">
      <c r="A922" s="32" t="s">
        <v>208</v>
      </c>
      <c r="B922" s="32" t="s">
        <v>750</v>
      </c>
      <c r="C922" s="32" t="str">
        <f>vlookup(B922,State_EMM_RowSums!$A$2:$B$52,2,FALSE)</f>
        <v>KS</v>
      </c>
      <c r="D922" s="32">
        <v>20065.0</v>
      </c>
      <c r="E922" s="33">
        <f>IF(NOT(ISBLANK(vlookup($D922,Pop_Census_2023!$A$2:$E$3220,4,FALSE))),vlookup($D922,Pop_Census_2023!$A$2:$E$3220,4,FALSE), vlookup($D922,Pop_Census_2023!$A$2:$E$3220,5,FALSE))</f>
        <v>2376</v>
      </c>
      <c r="F922" s="32">
        <v>481811.0</v>
      </c>
      <c r="G922" s="32">
        <v>52.0</v>
      </c>
      <c r="H922" s="32" t="str">
        <f>VLOOKUP(D922, Grid_Region_Mapping!$D$2:$F$5286, 3, FALSE)</f>
        <v>SPPC</v>
      </c>
      <c r="I922" s="32">
        <v>4.0</v>
      </c>
      <c r="J922" s="34" t="str">
        <f t="shared" si="1"/>
        <v>Midwest</v>
      </c>
      <c r="K922" s="35">
        <v>2.0</v>
      </c>
      <c r="L922" s="35" t="s">
        <v>396</v>
      </c>
      <c r="M922" s="36">
        <f>VLOOKUP(D922, County_Data_CZones!$B$2:$F$3236, 2, FALSE)</f>
        <v>5</v>
      </c>
      <c r="N922" s="37" t="str">
        <f>VLOOKUP(D922, County_Data_CZones!$B$2:$F$3236, 5, FALSE)</f>
        <v>Cold</v>
      </c>
    </row>
    <row r="923" ht="15.75" customHeight="1">
      <c r="A923" s="32" t="s">
        <v>242</v>
      </c>
      <c r="B923" s="32" t="s">
        <v>750</v>
      </c>
      <c r="C923" s="32" t="str">
        <f>vlookup(B923,State_EMM_RowSums!$A$2:$B$52,2,FALSE)</f>
        <v>KS</v>
      </c>
      <c r="D923" s="32">
        <v>20067.0</v>
      </c>
      <c r="E923" s="33">
        <f>IF(NOT(ISBLANK(vlookup($D923,Pop_Census_2023!$A$2:$E$3220,4,FALSE))),vlookup($D923,Pop_Census_2023!$A$2:$E$3220,4,FALSE), vlookup($D923,Pop_Census_2023!$A$2:$E$3220,5,FALSE))</f>
        <v>7147</v>
      </c>
      <c r="F923" s="32">
        <v>485099.0</v>
      </c>
      <c r="G923" s="32">
        <v>52.0</v>
      </c>
      <c r="H923" s="32" t="str">
        <f>VLOOKUP(D923, Grid_Region_Mapping!$D$2:$F$5286, 3, FALSE)</f>
        <v>SPPC</v>
      </c>
      <c r="I923" s="32">
        <v>4.0</v>
      </c>
      <c r="J923" s="34" t="str">
        <f t="shared" si="1"/>
        <v>Midwest</v>
      </c>
      <c r="K923" s="35">
        <v>3.0</v>
      </c>
      <c r="L923" s="35" t="s">
        <v>223</v>
      </c>
      <c r="M923" s="36">
        <f>VLOOKUP(D923, County_Data_CZones!$B$2:$F$3236, 2, FALSE)</f>
        <v>4</v>
      </c>
      <c r="N923" s="37" t="str">
        <f>VLOOKUP(D923, County_Data_CZones!$B$2:$F$3236, 5, FALSE)</f>
        <v>Mixed-Humid</v>
      </c>
    </row>
    <row r="924" ht="15.75" customHeight="1">
      <c r="A924" s="32" t="s">
        <v>769</v>
      </c>
      <c r="B924" s="32" t="s">
        <v>750</v>
      </c>
      <c r="C924" s="32" t="str">
        <f>vlookup(B924,State_EMM_RowSums!$A$2:$B$52,2,FALSE)</f>
        <v>KS</v>
      </c>
      <c r="D924" s="32">
        <v>20069.0</v>
      </c>
      <c r="E924" s="33">
        <f>IF(NOT(ISBLANK(vlookup($D924,Pop_Census_2023!$A$2:$E$3220,4,FALSE))),vlookup($D924,Pop_Census_2023!$A$2:$E$3220,4,FALSE), vlookup($D924,Pop_Census_2023!$A$2:$E$3220,5,FALSE))</f>
        <v>5743</v>
      </c>
      <c r="F924" s="32">
        <v>485001.0</v>
      </c>
      <c r="G924" s="32">
        <v>53.0</v>
      </c>
      <c r="H924" s="32" t="str">
        <f>VLOOKUP(D924, Grid_Region_Mapping!$D$2:$F$5286, 3, FALSE)</f>
        <v>SPPC</v>
      </c>
      <c r="I924" s="32">
        <v>4.0</v>
      </c>
      <c r="J924" s="34" t="str">
        <f t="shared" si="1"/>
        <v>Midwest</v>
      </c>
      <c r="K924" s="35">
        <v>3.0</v>
      </c>
      <c r="L924" s="35" t="s">
        <v>223</v>
      </c>
      <c r="M924" s="36">
        <f>VLOOKUP(D924, County_Data_CZones!$B$2:$F$3236, 2, FALSE)</f>
        <v>4</v>
      </c>
      <c r="N924" s="37" t="str">
        <f>VLOOKUP(D924, County_Data_CZones!$B$2:$F$3236, 5, FALSE)</f>
        <v>Mixed-Humid</v>
      </c>
    </row>
    <row r="925" ht="15.75" customHeight="1">
      <c r="A925" s="32" t="s">
        <v>770</v>
      </c>
      <c r="B925" s="32" t="s">
        <v>750</v>
      </c>
      <c r="C925" s="32" t="str">
        <f>vlookup(B925,State_EMM_RowSums!$A$2:$B$52,2,FALSE)</f>
        <v>KS</v>
      </c>
      <c r="D925" s="32">
        <v>20071.0</v>
      </c>
      <c r="E925" s="33">
        <f>IF(NOT(ISBLANK(vlookup($D925,Pop_Census_2023!$A$2:$E$3220,4,FALSE))),vlookup($D925,Pop_Census_2023!$A$2:$E$3220,4,FALSE), vlookup($D925,Pop_Census_2023!$A$2:$E$3220,5,FALSE))</f>
        <v>1181</v>
      </c>
      <c r="F925" s="32">
        <v>485002.0</v>
      </c>
      <c r="G925" s="32">
        <v>52.0</v>
      </c>
      <c r="H925" s="32" t="str">
        <f>VLOOKUP(D925, Grid_Region_Mapping!$D$2:$F$5286, 3, FALSE)</f>
        <v>SPPC</v>
      </c>
      <c r="I925" s="32">
        <v>4.0</v>
      </c>
      <c r="J925" s="34" t="str">
        <f t="shared" si="1"/>
        <v>Midwest</v>
      </c>
      <c r="K925" s="35">
        <v>2.0</v>
      </c>
      <c r="L925" s="35" t="s">
        <v>396</v>
      </c>
      <c r="M925" s="36">
        <f>VLOOKUP(D925, County_Data_CZones!$B$2:$F$3236, 2, FALSE)</f>
        <v>5</v>
      </c>
      <c r="N925" s="37" t="str">
        <f>VLOOKUP(D925, County_Data_CZones!$B$2:$F$3236, 5, FALSE)</f>
        <v>Cold</v>
      </c>
    </row>
    <row r="926" ht="15.75" customHeight="1">
      <c r="A926" s="32" t="s">
        <v>771</v>
      </c>
      <c r="B926" s="32" t="s">
        <v>750</v>
      </c>
      <c r="C926" s="32" t="str">
        <f>vlookup(B926,State_EMM_RowSums!$A$2:$B$52,2,FALSE)</f>
        <v>KS</v>
      </c>
      <c r="D926" s="32">
        <v>20073.0</v>
      </c>
      <c r="E926" s="33">
        <f>IF(NOT(ISBLANK(vlookup($D926,Pop_Census_2023!$A$2:$E$3220,4,FALSE))),vlookup($D926,Pop_Census_2023!$A$2:$E$3220,4,FALSE), vlookup($D926,Pop_Census_2023!$A$2:$E$3220,5,FALSE))</f>
        <v>5870</v>
      </c>
      <c r="F926" s="32">
        <v>485003.0</v>
      </c>
      <c r="G926" s="32">
        <v>53.0</v>
      </c>
      <c r="H926" s="32" t="str">
        <f>VLOOKUP(D926, Grid_Region_Mapping!$D$2:$F$5286, 3, FALSE)</f>
        <v>SPPC</v>
      </c>
      <c r="I926" s="32">
        <v>4.0</v>
      </c>
      <c r="J926" s="34" t="str">
        <f t="shared" si="1"/>
        <v>Midwest</v>
      </c>
      <c r="K926" s="35">
        <v>3.0</v>
      </c>
      <c r="L926" s="35" t="s">
        <v>223</v>
      </c>
      <c r="M926" s="36">
        <f>VLOOKUP(D926, County_Data_CZones!$B$2:$F$3236, 2, FALSE)</f>
        <v>4</v>
      </c>
      <c r="N926" s="37" t="str">
        <f>VLOOKUP(D926, County_Data_CZones!$B$2:$F$3236, 5, FALSE)</f>
        <v>Mixed-Humid</v>
      </c>
    </row>
    <row r="927" ht="15.75" customHeight="1">
      <c r="A927" s="32" t="s">
        <v>428</v>
      </c>
      <c r="B927" s="32" t="s">
        <v>750</v>
      </c>
      <c r="C927" s="32" t="str">
        <f>vlookup(B927,State_EMM_RowSums!$A$2:$B$52,2,FALSE)</f>
        <v>KS</v>
      </c>
      <c r="D927" s="32">
        <v>20075.0</v>
      </c>
      <c r="E927" s="33">
        <f>IF(NOT(ISBLANK(vlookup($D927,Pop_Census_2023!$A$2:$E$3220,4,FALSE))),vlookup($D927,Pop_Census_2023!$A$2:$E$3220,4,FALSE), vlookup($D927,Pop_Census_2023!$A$2:$E$3220,5,FALSE))</f>
        <v>2437</v>
      </c>
      <c r="F927" s="32">
        <v>485327.0</v>
      </c>
      <c r="G927" s="32">
        <v>52.0</v>
      </c>
      <c r="H927" s="32" t="str">
        <f>VLOOKUP(D927, Grid_Region_Mapping!$D$2:$F$5286, 3, FALSE)</f>
        <v>SPPC</v>
      </c>
      <c r="I927" s="32">
        <v>4.0</v>
      </c>
      <c r="J927" s="34" t="str">
        <f t="shared" si="1"/>
        <v>Midwest</v>
      </c>
      <c r="K927" s="35">
        <v>3.0</v>
      </c>
      <c r="L927" s="35" t="s">
        <v>396</v>
      </c>
      <c r="M927" s="36">
        <f>VLOOKUP(D927, County_Data_CZones!$B$2:$F$3236, 2, FALSE)</f>
        <v>5</v>
      </c>
      <c r="N927" s="37" t="str">
        <f>VLOOKUP(D927, County_Data_CZones!$B$2:$F$3236, 5, FALSE)</f>
        <v>Cold</v>
      </c>
    </row>
    <row r="928" ht="15.75" customHeight="1">
      <c r="A928" s="32" t="s">
        <v>772</v>
      </c>
      <c r="B928" s="32" t="s">
        <v>750</v>
      </c>
      <c r="C928" s="32" t="str">
        <f>vlookup(B928,State_EMM_RowSums!$A$2:$B$52,2,FALSE)</f>
        <v>KS</v>
      </c>
      <c r="D928" s="32">
        <v>20077.0</v>
      </c>
      <c r="E928" s="33">
        <f>IF(NOT(ISBLANK(vlookup($D928,Pop_Census_2023!$A$2:$E$3220,4,FALSE))),vlookup($D928,Pop_Census_2023!$A$2:$E$3220,4,FALSE), vlookup($D928,Pop_Census_2023!$A$2:$E$3220,5,FALSE))</f>
        <v>5435</v>
      </c>
      <c r="F928" s="32">
        <v>485004.0</v>
      </c>
      <c r="G928" s="32">
        <v>53.0</v>
      </c>
      <c r="H928" s="32" t="str">
        <f>VLOOKUP(D928, Grid_Region_Mapping!$D$2:$F$5286, 3, FALSE)</f>
        <v>SPPC</v>
      </c>
      <c r="I928" s="32">
        <v>4.0</v>
      </c>
      <c r="J928" s="34" t="str">
        <f t="shared" si="1"/>
        <v>Midwest</v>
      </c>
      <c r="K928" s="35">
        <v>3.0</v>
      </c>
      <c r="L928" s="35" t="s">
        <v>223</v>
      </c>
      <c r="M928" s="36">
        <f>VLOOKUP(D928, County_Data_CZones!$B$2:$F$3236, 2, FALSE)</f>
        <v>4</v>
      </c>
      <c r="N928" s="37" t="str">
        <f>VLOOKUP(D928, County_Data_CZones!$B$2:$F$3236, 5, FALSE)</f>
        <v>Mixed-Humid</v>
      </c>
    </row>
    <row r="929" ht="15.75" customHeight="1">
      <c r="A929" s="32" t="s">
        <v>773</v>
      </c>
      <c r="B929" s="32" t="s">
        <v>750</v>
      </c>
      <c r="C929" s="32" t="str">
        <f>vlookup(B929,State_EMM_RowSums!$A$2:$B$52,2,FALSE)</f>
        <v>KS</v>
      </c>
      <c r="D929" s="32">
        <v>20079.0</v>
      </c>
      <c r="E929" s="33">
        <f>IF(NOT(ISBLANK(vlookup($D929,Pop_Census_2023!$A$2:$E$3220,4,FALSE))),vlookup($D929,Pop_Census_2023!$A$2:$E$3220,4,FALSE), vlookup($D929,Pop_Census_2023!$A$2:$E$3220,5,FALSE))</f>
        <v>33504</v>
      </c>
      <c r="F929" s="32">
        <v>485005.0</v>
      </c>
      <c r="G929" s="32">
        <v>53.0</v>
      </c>
      <c r="H929" s="32" t="str">
        <f>VLOOKUP(D929, Grid_Region_Mapping!$D$2:$F$5286, 3, FALSE)</f>
        <v>SPPC</v>
      </c>
      <c r="I929" s="32">
        <v>4.0</v>
      </c>
      <c r="J929" s="34" t="str">
        <f t="shared" si="1"/>
        <v>Midwest</v>
      </c>
      <c r="K929" s="35">
        <v>3.0</v>
      </c>
      <c r="L929" s="35" t="s">
        <v>223</v>
      </c>
      <c r="M929" s="36">
        <f>VLOOKUP(D929, County_Data_CZones!$B$2:$F$3236, 2, FALSE)</f>
        <v>4</v>
      </c>
      <c r="N929" s="37" t="str">
        <f>VLOOKUP(D929, County_Data_CZones!$B$2:$F$3236, 5, FALSE)</f>
        <v>Mixed-Humid</v>
      </c>
    </row>
    <row r="930" ht="15.75" customHeight="1">
      <c r="A930" s="32" t="s">
        <v>774</v>
      </c>
      <c r="B930" s="32" t="s">
        <v>750</v>
      </c>
      <c r="C930" s="32" t="str">
        <f>vlookup(B930,State_EMM_RowSums!$A$2:$B$52,2,FALSE)</f>
        <v>KS</v>
      </c>
      <c r="D930" s="32">
        <v>20081.0</v>
      </c>
      <c r="E930" s="33">
        <f>IF(NOT(ISBLANK(vlookup($D930,Pop_Census_2023!$A$2:$E$3220,4,FALSE))),vlookup($D930,Pop_Census_2023!$A$2:$E$3220,4,FALSE), vlookup($D930,Pop_Census_2023!$A$2:$E$3220,5,FALSE))</f>
        <v>3630</v>
      </c>
      <c r="F930" s="32">
        <v>485328.0</v>
      </c>
      <c r="G930" s="32">
        <v>53.0</v>
      </c>
      <c r="H930" s="32" t="str">
        <f>VLOOKUP(D930, Grid_Region_Mapping!$D$2:$F$5286, 3, FALSE)</f>
        <v>SPPC</v>
      </c>
      <c r="I930" s="32">
        <v>4.0</v>
      </c>
      <c r="J930" s="34" t="str">
        <f t="shared" si="1"/>
        <v>Midwest</v>
      </c>
      <c r="K930" s="35">
        <v>3.0</v>
      </c>
      <c r="L930" s="35" t="s">
        <v>223</v>
      </c>
      <c r="M930" s="36">
        <f>VLOOKUP(D930, County_Data_CZones!$B$2:$F$3236, 2, FALSE)</f>
        <v>4</v>
      </c>
      <c r="N930" s="37" t="str">
        <f>VLOOKUP(D930, County_Data_CZones!$B$2:$F$3236, 5, FALSE)</f>
        <v>Mixed-Humid</v>
      </c>
    </row>
    <row r="931" ht="15.75" customHeight="1">
      <c r="A931" s="32" t="s">
        <v>775</v>
      </c>
      <c r="B931" s="32" t="s">
        <v>750</v>
      </c>
      <c r="C931" s="32" t="str">
        <f>vlookup(B931,State_EMM_RowSums!$A$2:$B$52,2,FALSE)</f>
        <v>KS</v>
      </c>
      <c r="D931" s="32">
        <v>20083.0</v>
      </c>
      <c r="E931" s="33">
        <f>IF(NOT(ISBLANK(vlookup($D931,Pop_Census_2023!$A$2:$E$3220,4,FALSE))),vlookup($D931,Pop_Census_2023!$A$2:$E$3220,4,FALSE), vlookup($D931,Pop_Census_2023!$A$2:$E$3220,5,FALSE))</f>
        <v>1655</v>
      </c>
      <c r="F931" s="32">
        <v>485006.0</v>
      </c>
      <c r="G931" s="32">
        <v>53.0</v>
      </c>
      <c r="H931" s="32" t="str">
        <f>VLOOKUP(D931, Grid_Region_Mapping!$D$2:$F$5286, 3, FALSE)</f>
        <v>SPPC</v>
      </c>
      <c r="I931" s="32">
        <v>4.0</v>
      </c>
      <c r="J931" s="34" t="str">
        <f t="shared" si="1"/>
        <v>Midwest</v>
      </c>
      <c r="K931" s="35">
        <v>3.0</v>
      </c>
      <c r="L931" s="35" t="s">
        <v>223</v>
      </c>
      <c r="M931" s="36">
        <f>VLOOKUP(D931, County_Data_CZones!$B$2:$F$3236, 2, FALSE)</f>
        <v>4</v>
      </c>
      <c r="N931" s="37" t="str">
        <f>VLOOKUP(D931, County_Data_CZones!$B$2:$F$3236, 5, FALSE)</f>
        <v>Mixed-Humid</v>
      </c>
    </row>
    <row r="932" ht="15.75" customHeight="1">
      <c r="A932" s="32" t="s">
        <v>138</v>
      </c>
      <c r="B932" s="32" t="s">
        <v>750</v>
      </c>
      <c r="C932" s="32" t="str">
        <f>vlookup(B932,State_EMM_RowSums!$A$2:$B$52,2,FALSE)</f>
        <v>KS</v>
      </c>
      <c r="D932" s="32">
        <v>20085.0</v>
      </c>
      <c r="E932" s="33">
        <f>IF(NOT(ISBLANK(vlookup($D932,Pop_Census_2023!$A$2:$E$3220,4,FALSE))),vlookup($D932,Pop_Census_2023!$A$2:$E$3220,4,FALSE), vlookup($D932,Pop_Census_2023!$A$2:$E$3220,5,FALSE))</f>
        <v>13368</v>
      </c>
      <c r="F932" s="32">
        <v>485007.0</v>
      </c>
      <c r="G932" s="32">
        <v>53.0</v>
      </c>
      <c r="H932" s="32" t="str">
        <f>VLOOKUP(D932, Grid_Region_Mapping!$D$2:$F$5286, 3, FALSE)</f>
        <v>SPPC</v>
      </c>
      <c r="I932" s="32">
        <v>4.0</v>
      </c>
      <c r="J932" s="34" t="str">
        <f t="shared" si="1"/>
        <v>Midwest</v>
      </c>
      <c r="K932" s="35">
        <v>3.0</v>
      </c>
      <c r="L932" s="35" t="s">
        <v>223</v>
      </c>
      <c r="M932" s="36">
        <f>VLOOKUP(D932, County_Data_CZones!$B$2:$F$3236, 2, FALSE)</f>
        <v>4</v>
      </c>
      <c r="N932" s="37" t="str">
        <f>VLOOKUP(D932, County_Data_CZones!$B$2:$F$3236, 5, FALSE)</f>
        <v>Mixed-Humid</v>
      </c>
    </row>
    <row r="933" ht="15.75" customHeight="1">
      <c r="A933" s="32" t="s">
        <v>139</v>
      </c>
      <c r="B933" s="32" t="s">
        <v>750</v>
      </c>
      <c r="C933" s="32" t="str">
        <f>vlookup(B933,State_EMM_RowSums!$A$2:$B$52,2,FALSE)</f>
        <v>KS</v>
      </c>
      <c r="D933" s="32">
        <v>20087.0</v>
      </c>
      <c r="E933" s="33">
        <f>IF(NOT(ISBLANK(vlookup($D933,Pop_Census_2023!$A$2:$E$3220,4,FALSE))),vlookup($D933,Pop_Census_2023!$A$2:$E$3220,4,FALSE), vlookup($D933,Pop_Census_2023!$A$2:$E$3220,5,FALSE))</f>
        <v>18327</v>
      </c>
      <c r="F933" s="32">
        <v>485008.0</v>
      </c>
      <c r="G933" s="32">
        <v>53.0</v>
      </c>
      <c r="H933" s="32" t="str">
        <f>VLOOKUP(D933, Grid_Region_Mapping!$D$2:$F$5286, 3, FALSE)</f>
        <v>SPPC</v>
      </c>
      <c r="I933" s="32">
        <v>4.0</v>
      </c>
      <c r="J933" s="34" t="str">
        <f t="shared" si="1"/>
        <v>Midwest</v>
      </c>
      <c r="K933" s="35">
        <v>3.0</v>
      </c>
      <c r="L933" s="35" t="s">
        <v>223</v>
      </c>
      <c r="M933" s="36">
        <f>VLOOKUP(D933, County_Data_CZones!$B$2:$F$3236, 2, FALSE)</f>
        <v>4</v>
      </c>
      <c r="N933" s="37" t="str">
        <f>VLOOKUP(D933, County_Data_CZones!$B$2:$F$3236, 5, FALSE)</f>
        <v>Mixed-Humid</v>
      </c>
    </row>
    <row r="934" ht="15.75" customHeight="1">
      <c r="A934" s="32" t="s">
        <v>776</v>
      </c>
      <c r="B934" s="32" t="s">
        <v>750</v>
      </c>
      <c r="C934" s="32" t="str">
        <f>vlookup(B934,State_EMM_RowSums!$A$2:$B$52,2,FALSE)</f>
        <v>KS</v>
      </c>
      <c r="D934" s="32">
        <v>20089.0</v>
      </c>
      <c r="E934" s="33">
        <f>IF(NOT(ISBLANK(vlookup($D934,Pop_Census_2023!$A$2:$E$3220,4,FALSE))),vlookup($D934,Pop_Census_2023!$A$2:$E$3220,4,FALSE), vlookup($D934,Pop_Census_2023!$A$2:$E$3220,5,FALSE))</f>
        <v>2847</v>
      </c>
      <c r="F934" s="32">
        <v>485009.0</v>
      </c>
      <c r="G934" s="32">
        <v>53.0</v>
      </c>
      <c r="H934" s="32" t="str">
        <f>VLOOKUP(D934, Grid_Region_Mapping!$D$2:$F$5286, 3, FALSE)</f>
        <v>SPPC</v>
      </c>
      <c r="I934" s="32">
        <v>4.0</v>
      </c>
      <c r="J934" s="34" t="str">
        <f t="shared" si="1"/>
        <v>Midwest</v>
      </c>
      <c r="K934" s="35">
        <v>2.0</v>
      </c>
      <c r="L934" s="35" t="s">
        <v>396</v>
      </c>
      <c r="M934" s="36">
        <f>VLOOKUP(D934, County_Data_CZones!$B$2:$F$3236, 2, FALSE)</f>
        <v>5</v>
      </c>
      <c r="N934" s="37" t="str">
        <f>VLOOKUP(D934, County_Data_CZones!$B$2:$F$3236, 5, FALSE)</f>
        <v>Cold</v>
      </c>
    </row>
    <row r="935" ht="15.75" customHeight="1">
      <c r="A935" s="32" t="s">
        <v>248</v>
      </c>
      <c r="B935" s="32" t="s">
        <v>750</v>
      </c>
      <c r="C935" s="32" t="str">
        <f>vlookup(B935,State_EMM_RowSums!$A$2:$B$52,2,FALSE)</f>
        <v>KS</v>
      </c>
      <c r="D935" s="32">
        <v>20091.0</v>
      </c>
      <c r="E935" s="33">
        <f>IF(NOT(ISBLANK(vlookup($D935,Pop_Census_2023!$A$2:$E$3220,4,FALSE))),vlookup($D935,Pop_Census_2023!$A$2:$E$3220,4,FALSE), vlookup($D935,Pop_Census_2023!$A$2:$E$3220,5,FALSE))</f>
        <v>622237</v>
      </c>
      <c r="F935" s="32">
        <v>485010.0</v>
      </c>
      <c r="G935" s="32">
        <v>53.0</v>
      </c>
      <c r="H935" s="32" t="str">
        <f>VLOOKUP(D935, Grid_Region_Mapping!$D$2:$F$5286, 3, FALSE)</f>
        <v>SPPC</v>
      </c>
      <c r="I935" s="32">
        <v>4.0</v>
      </c>
      <c r="J935" s="34" t="str">
        <f t="shared" si="1"/>
        <v>Midwest</v>
      </c>
      <c r="K935" s="35">
        <v>3.0</v>
      </c>
      <c r="L935" s="35" t="s">
        <v>223</v>
      </c>
      <c r="M935" s="36">
        <f>VLOOKUP(D935, County_Data_CZones!$B$2:$F$3236, 2, FALSE)</f>
        <v>4</v>
      </c>
      <c r="N935" s="37" t="str">
        <f>VLOOKUP(D935, County_Data_CZones!$B$2:$F$3236, 5, FALSE)</f>
        <v>Mixed-Humid</v>
      </c>
    </row>
    <row r="936" ht="15.75" customHeight="1">
      <c r="A936" s="32" t="s">
        <v>777</v>
      </c>
      <c r="B936" s="32" t="s">
        <v>750</v>
      </c>
      <c r="C936" s="32" t="str">
        <f>vlookup(B936,State_EMM_RowSums!$A$2:$B$52,2,FALSE)</f>
        <v>KS</v>
      </c>
      <c r="D936" s="32">
        <v>20093.0</v>
      </c>
      <c r="E936" s="33">
        <f>IF(NOT(ISBLANK(vlookup($D936,Pop_Census_2023!$A$2:$E$3220,4,FALSE))),vlookup($D936,Pop_Census_2023!$A$2:$E$3220,4,FALSE), vlookup($D936,Pop_Census_2023!$A$2:$E$3220,5,FALSE))</f>
        <v>3823</v>
      </c>
      <c r="F936" s="32">
        <v>485011.0</v>
      </c>
      <c r="G936" s="32">
        <v>52.0</v>
      </c>
      <c r="H936" s="32" t="str">
        <f>VLOOKUP(D936, Grid_Region_Mapping!$D$2:$F$5286, 3, FALSE)</f>
        <v>SPPC</v>
      </c>
      <c r="I936" s="32">
        <v>4.0</v>
      </c>
      <c r="J936" s="34" t="str">
        <f t="shared" si="1"/>
        <v>Midwest</v>
      </c>
      <c r="K936" s="35">
        <v>3.0</v>
      </c>
      <c r="L936" s="35" t="s">
        <v>223</v>
      </c>
      <c r="M936" s="36">
        <f>VLOOKUP(D936, County_Data_CZones!$B$2:$F$3236, 2, FALSE)</f>
        <v>4</v>
      </c>
      <c r="N936" s="37" t="str">
        <f>VLOOKUP(D936, County_Data_CZones!$B$2:$F$3236, 5, FALSE)</f>
        <v>Mixed-Humid</v>
      </c>
    </row>
    <row r="937" ht="15.75" customHeight="1">
      <c r="A937" s="32" t="s">
        <v>778</v>
      </c>
      <c r="B937" s="32" t="s">
        <v>750</v>
      </c>
      <c r="C937" s="32" t="str">
        <f>vlookup(B937,State_EMM_RowSums!$A$2:$B$52,2,FALSE)</f>
        <v>KS</v>
      </c>
      <c r="D937" s="32">
        <v>20095.0</v>
      </c>
      <c r="E937" s="33">
        <f>IF(NOT(ISBLANK(vlookup($D937,Pop_Census_2023!$A$2:$E$3220,4,FALSE))),vlookup($D937,Pop_Census_2023!$A$2:$E$3220,4,FALSE), vlookup($D937,Pop_Census_2023!$A$2:$E$3220,5,FALSE))</f>
        <v>7066</v>
      </c>
      <c r="F937" s="32">
        <v>485012.0</v>
      </c>
      <c r="G937" s="32">
        <v>53.0</v>
      </c>
      <c r="H937" s="32" t="str">
        <f>VLOOKUP(D937, Grid_Region_Mapping!$D$2:$F$5286, 3, FALSE)</f>
        <v>SPPC</v>
      </c>
      <c r="I937" s="32">
        <v>4.0</v>
      </c>
      <c r="J937" s="34" t="str">
        <f t="shared" si="1"/>
        <v>Midwest</v>
      </c>
      <c r="K937" s="35">
        <v>3.0</v>
      </c>
      <c r="L937" s="35" t="s">
        <v>223</v>
      </c>
      <c r="M937" s="36">
        <f>VLOOKUP(D937, County_Data_CZones!$B$2:$F$3236, 2, FALSE)</f>
        <v>4</v>
      </c>
      <c r="N937" s="37" t="str">
        <f>VLOOKUP(D937, County_Data_CZones!$B$2:$F$3236, 5, FALSE)</f>
        <v>Mixed-Humid</v>
      </c>
    </row>
    <row r="938" ht="15.75" customHeight="1">
      <c r="A938" s="32" t="s">
        <v>368</v>
      </c>
      <c r="B938" s="32" t="s">
        <v>750</v>
      </c>
      <c r="C938" s="32" t="str">
        <f>vlookup(B938,State_EMM_RowSums!$A$2:$B$52,2,FALSE)</f>
        <v>KS</v>
      </c>
      <c r="D938" s="32">
        <v>20097.0</v>
      </c>
      <c r="E938" s="33">
        <f>IF(NOT(ISBLANK(vlookup($D938,Pop_Census_2023!$A$2:$E$3220,4,FALSE))),vlookup($D938,Pop_Census_2023!$A$2:$E$3220,4,FALSE), vlookup($D938,Pop_Census_2023!$A$2:$E$3220,5,FALSE))</f>
        <v>2374</v>
      </c>
      <c r="F938" s="32">
        <v>485013.0</v>
      </c>
      <c r="G938" s="32">
        <v>53.0</v>
      </c>
      <c r="H938" s="32" t="str">
        <f>VLOOKUP(D938, Grid_Region_Mapping!$D$2:$F$5286, 3, FALSE)</f>
        <v>SPPC</v>
      </c>
      <c r="I938" s="32">
        <v>4.0</v>
      </c>
      <c r="J938" s="34" t="str">
        <f t="shared" si="1"/>
        <v>Midwest</v>
      </c>
      <c r="K938" s="35">
        <v>3.0</v>
      </c>
      <c r="L938" s="35" t="s">
        <v>223</v>
      </c>
      <c r="M938" s="36">
        <f>VLOOKUP(D938, County_Data_CZones!$B$2:$F$3236, 2, FALSE)</f>
        <v>4</v>
      </c>
      <c r="N938" s="37" t="str">
        <f>VLOOKUP(D938, County_Data_CZones!$B$2:$F$3236, 5, FALSE)</f>
        <v>Mixed-Humid</v>
      </c>
    </row>
    <row r="939" ht="15.75" customHeight="1">
      <c r="A939" s="32" t="s">
        <v>779</v>
      </c>
      <c r="B939" s="32" t="s">
        <v>750</v>
      </c>
      <c r="C939" s="32" t="str">
        <f>vlookup(B939,State_EMM_RowSums!$A$2:$B$52,2,FALSE)</f>
        <v>KS</v>
      </c>
      <c r="D939" s="32">
        <v>20099.0</v>
      </c>
      <c r="E939" s="33">
        <f>IF(NOT(ISBLANK(vlookup($D939,Pop_Census_2023!$A$2:$E$3220,4,FALSE))),vlookup($D939,Pop_Census_2023!$A$2:$E$3220,4,FALSE), vlookup($D939,Pop_Census_2023!$A$2:$E$3220,5,FALSE))</f>
        <v>19728</v>
      </c>
      <c r="F939" s="32">
        <v>485014.0</v>
      </c>
      <c r="G939" s="32">
        <v>53.0</v>
      </c>
      <c r="H939" s="32" t="str">
        <f>VLOOKUP(D939, Grid_Region_Mapping!$D$2:$F$5286, 3, FALSE)</f>
        <v>SPPC</v>
      </c>
      <c r="I939" s="32">
        <v>4.0</v>
      </c>
      <c r="J939" s="34" t="str">
        <f t="shared" si="1"/>
        <v>Midwest</v>
      </c>
      <c r="K939" s="35">
        <v>3.0</v>
      </c>
      <c r="L939" s="35" t="s">
        <v>223</v>
      </c>
      <c r="M939" s="36">
        <f>VLOOKUP(D939, County_Data_CZones!$B$2:$F$3236, 2, FALSE)</f>
        <v>4</v>
      </c>
      <c r="N939" s="37" t="str">
        <f>VLOOKUP(D939, County_Data_CZones!$B$2:$F$3236, 5, FALSE)</f>
        <v>Mixed-Humid</v>
      </c>
    </row>
    <row r="940" ht="15.75" customHeight="1">
      <c r="A940" s="32" t="s">
        <v>780</v>
      </c>
      <c r="B940" s="32" t="s">
        <v>750</v>
      </c>
      <c r="C940" s="32" t="str">
        <f>vlookup(B940,State_EMM_RowSums!$A$2:$B$52,2,FALSE)</f>
        <v>KS</v>
      </c>
      <c r="D940" s="32">
        <v>20101.0</v>
      </c>
      <c r="E940" s="33">
        <f>IF(NOT(ISBLANK(vlookup($D940,Pop_Census_2023!$A$2:$E$3220,4,FALSE))),vlookup($D940,Pop_Census_2023!$A$2:$E$3220,4,FALSE), vlookup($D940,Pop_Census_2023!$A$2:$E$3220,5,FALSE))</f>
        <v>1529</v>
      </c>
      <c r="F940" s="32">
        <v>485015.0</v>
      </c>
      <c r="G940" s="32">
        <v>52.0</v>
      </c>
      <c r="H940" s="32" t="str">
        <f>VLOOKUP(D940, Grid_Region_Mapping!$D$2:$F$5286, 3, FALSE)</f>
        <v>SPPC</v>
      </c>
      <c r="I940" s="32">
        <v>4.0</v>
      </c>
      <c r="J940" s="34" t="str">
        <f t="shared" si="1"/>
        <v>Midwest</v>
      </c>
      <c r="K940" s="35">
        <v>2.0</v>
      </c>
      <c r="L940" s="35" t="s">
        <v>396</v>
      </c>
      <c r="M940" s="36">
        <f>VLOOKUP(D940, County_Data_CZones!$B$2:$F$3236, 2, FALSE)</f>
        <v>5</v>
      </c>
      <c r="N940" s="37" t="str">
        <f>VLOOKUP(D940, County_Data_CZones!$B$2:$F$3236, 5, FALSE)</f>
        <v>Cold</v>
      </c>
    </row>
    <row r="941" ht="15.75" customHeight="1">
      <c r="A941" s="32" t="s">
        <v>781</v>
      </c>
      <c r="B941" s="32" t="s">
        <v>750</v>
      </c>
      <c r="C941" s="32" t="str">
        <f>vlookup(B941,State_EMM_RowSums!$A$2:$B$52,2,FALSE)</f>
        <v>KS</v>
      </c>
      <c r="D941" s="32">
        <v>20103.0</v>
      </c>
      <c r="E941" s="33">
        <f>IF(NOT(ISBLANK(vlookup($D941,Pop_Census_2023!$A$2:$E$3220,4,FALSE))),vlookup($D941,Pop_Census_2023!$A$2:$E$3220,4,FALSE), vlookup($D941,Pop_Census_2023!$A$2:$E$3220,5,FALSE))</f>
        <v>83518</v>
      </c>
      <c r="F941" s="32">
        <v>485016.0</v>
      </c>
      <c r="G941" s="32">
        <v>53.0</v>
      </c>
      <c r="H941" s="32" t="str">
        <f>VLOOKUP(D941, Grid_Region_Mapping!$D$2:$F$5286, 3, FALSE)</f>
        <v>SPPC</v>
      </c>
      <c r="I941" s="32">
        <v>4.0</v>
      </c>
      <c r="J941" s="34" t="str">
        <f t="shared" si="1"/>
        <v>Midwest</v>
      </c>
      <c r="K941" s="35">
        <v>3.0</v>
      </c>
      <c r="L941" s="35" t="s">
        <v>223</v>
      </c>
      <c r="M941" s="36">
        <f>VLOOKUP(D941, County_Data_CZones!$B$2:$F$3236, 2, FALSE)</f>
        <v>4</v>
      </c>
      <c r="N941" s="37" t="str">
        <f>VLOOKUP(D941, County_Data_CZones!$B$2:$F$3236, 5, FALSE)</f>
        <v>Mixed-Humid</v>
      </c>
    </row>
    <row r="942" ht="15.75" customHeight="1">
      <c r="A942" s="32" t="s">
        <v>250</v>
      </c>
      <c r="B942" s="32" t="s">
        <v>750</v>
      </c>
      <c r="C942" s="32" t="str">
        <f>vlookup(B942,State_EMM_RowSums!$A$2:$B$52,2,FALSE)</f>
        <v>KS</v>
      </c>
      <c r="D942" s="32">
        <v>20105.0</v>
      </c>
      <c r="E942" s="33">
        <f>IF(NOT(ISBLANK(vlookup($D942,Pop_Census_2023!$A$2:$E$3220,4,FALSE))),vlookup($D942,Pop_Census_2023!$A$2:$E$3220,4,FALSE), vlookup($D942,Pop_Census_2023!$A$2:$E$3220,5,FALSE))</f>
        <v>2920</v>
      </c>
      <c r="F942" s="32">
        <v>485017.0</v>
      </c>
      <c r="G942" s="32">
        <v>53.0</v>
      </c>
      <c r="H942" s="32" t="str">
        <f>VLOOKUP(D942, Grid_Region_Mapping!$D$2:$F$5286, 3, FALSE)</f>
        <v>SPPC</v>
      </c>
      <c r="I942" s="32">
        <v>4.0</v>
      </c>
      <c r="J942" s="34" t="str">
        <f t="shared" si="1"/>
        <v>Midwest</v>
      </c>
      <c r="K942" s="35">
        <v>3.0</v>
      </c>
      <c r="L942" s="35" t="s">
        <v>223</v>
      </c>
      <c r="M942" s="36">
        <f>VLOOKUP(D942, County_Data_CZones!$B$2:$F$3236, 2, FALSE)</f>
        <v>4</v>
      </c>
      <c r="N942" s="37" t="str">
        <f>VLOOKUP(D942, County_Data_CZones!$B$2:$F$3236, 5, FALSE)</f>
        <v>Mixed-Humid</v>
      </c>
    </row>
    <row r="943" ht="15.75" customHeight="1">
      <c r="A943" s="32" t="s">
        <v>726</v>
      </c>
      <c r="B943" s="32" t="s">
        <v>750</v>
      </c>
      <c r="C943" s="32" t="str">
        <f>vlookup(B943,State_EMM_RowSums!$A$2:$B$52,2,FALSE)</f>
        <v>KS</v>
      </c>
      <c r="D943" s="32">
        <v>20107.0</v>
      </c>
      <c r="E943" s="33">
        <f>IF(NOT(ISBLANK(vlookup($D943,Pop_Census_2023!$A$2:$E$3220,4,FALSE))),vlookup($D943,Pop_Census_2023!$A$2:$E$3220,4,FALSE), vlookup($D943,Pop_Census_2023!$A$2:$E$3220,5,FALSE))</f>
        <v>9860</v>
      </c>
      <c r="F943" s="32">
        <v>485018.0</v>
      </c>
      <c r="G943" s="32">
        <v>53.0</v>
      </c>
      <c r="H943" s="32" t="str">
        <f>VLOOKUP(D943, Grid_Region_Mapping!$D$2:$F$5286, 3, FALSE)</f>
        <v>SPPC</v>
      </c>
      <c r="I943" s="32">
        <v>4.0</v>
      </c>
      <c r="J943" s="34" t="str">
        <f t="shared" si="1"/>
        <v>Midwest</v>
      </c>
      <c r="K943" s="35">
        <v>3.0</v>
      </c>
      <c r="L943" s="35" t="s">
        <v>223</v>
      </c>
      <c r="M943" s="36">
        <f>VLOOKUP(D943, County_Data_CZones!$B$2:$F$3236, 2, FALSE)</f>
        <v>4</v>
      </c>
      <c r="N943" s="37" t="str">
        <f>VLOOKUP(D943, County_Data_CZones!$B$2:$F$3236, 5, FALSE)</f>
        <v>Mixed-Humid</v>
      </c>
    </row>
    <row r="944" ht="15.75" customHeight="1">
      <c r="A944" s="32" t="s">
        <v>252</v>
      </c>
      <c r="B944" s="32" t="s">
        <v>750</v>
      </c>
      <c r="C944" s="32" t="str">
        <f>vlookup(B944,State_EMM_RowSums!$A$2:$B$52,2,FALSE)</f>
        <v>KS</v>
      </c>
      <c r="D944" s="32">
        <v>20109.0</v>
      </c>
      <c r="E944" s="33">
        <f>IF(NOT(ISBLANK(vlookup($D944,Pop_Census_2023!$A$2:$E$3220,4,FALSE))),vlookup($D944,Pop_Census_2023!$A$2:$E$3220,4,FALSE), vlookup($D944,Pop_Census_2023!$A$2:$E$3220,5,FALSE))</f>
        <v>2665</v>
      </c>
      <c r="F944" s="32">
        <v>485019.0</v>
      </c>
      <c r="G944" s="32">
        <v>52.0</v>
      </c>
      <c r="H944" s="32" t="str">
        <f>VLOOKUP(D944, Grid_Region_Mapping!$D$2:$F$5286, 3, FALSE)</f>
        <v>SPPC</v>
      </c>
      <c r="I944" s="32">
        <v>4.0</v>
      </c>
      <c r="J944" s="34" t="str">
        <f t="shared" si="1"/>
        <v>Midwest</v>
      </c>
      <c r="K944" s="35">
        <v>2.0</v>
      </c>
      <c r="L944" s="35" t="s">
        <v>396</v>
      </c>
      <c r="M944" s="36">
        <f>VLOOKUP(D944, County_Data_CZones!$B$2:$F$3236, 2, FALSE)</f>
        <v>5</v>
      </c>
      <c r="N944" s="37" t="str">
        <f>VLOOKUP(D944, County_Data_CZones!$B$2:$F$3236, 5, FALSE)</f>
        <v>Cold</v>
      </c>
    </row>
    <row r="945" ht="15.75" customHeight="1">
      <c r="A945" s="32" t="s">
        <v>729</v>
      </c>
      <c r="B945" s="32" t="s">
        <v>750</v>
      </c>
      <c r="C945" s="32" t="str">
        <f>vlookup(B945,State_EMM_RowSums!$A$2:$B$52,2,FALSE)</f>
        <v>KS</v>
      </c>
      <c r="D945" s="32">
        <v>20111.0</v>
      </c>
      <c r="E945" s="33">
        <f>IF(NOT(ISBLANK(vlookup($D945,Pop_Census_2023!$A$2:$E$3220,4,FALSE))),vlookup($D945,Pop_Census_2023!$A$2:$E$3220,4,FALSE), vlookup($D945,Pop_Census_2023!$A$2:$E$3220,5,FALSE))</f>
        <v>32172</v>
      </c>
      <c r="F945" s="32">
        <v>485020.0</v>
      </c>
      <c r="G945" s="32">
        <v>53.0</v>
      </c>
      <c r="H945" s="32" t="str">
        <f>VLOOKUP(D945, Grid_Region_Mapping!$D$2:$F$5286, 3, FALSE)</f>
        <v>SPPC</v>
      </c>
      <c r="I945" s="32">
        <v>4.0</v>
      </c>
      <c r="J945" s="34" t="str">
        <f t="shared" si="1"/>
        <v>Midwest</v>
      </c>
      <c r="K945" s="35">
        <v>3.0</v>
      </c>
      <c r="L945" s="35" t="s">
        <v>223</v>
      </c>
      <c r="M945" s="36">
        <f>VLOOKUP(D945, County_Data_CZones!$B$2:$F$3236, 2, FALSE)</f>
        <v>4</v>
      </c>
      <c r="N945" s="37" t="str">
        <f>VLOOKUP(D945, County_Data_CZones!$B$2:$F$3236, 5, FALSE)</f>
        <v>Mixed-Humid</v>
      </c>
    </row>
    <row r="946" ht="15.75" customHeight="1">
      <c r="A946" s="32" t="s">
        <v>782</v>
      </c>
      <c r="B946" s="32" t="s">
        <v>750</v>
      </c>
      <c r="C946" s="32" t="str">
        <f>vlookup(B946,State_EMM_RowSums!$A$2:$B$52,2,FALSE)</f>
        <v>KS</v>
      </c>
      <c r="D946" s="32">
        <v>20113.0</v>
      </c>
      <c r="E946" s="33">
        <f>IF(NOT(ISBLANK(vlookup($D946,Pop_Census_2023!$A$2:$E$3220,4,FALSE))),vlookup($D946,Pop_Census_2023!$A$2:$E$3220,4,FALSE), vlookup($D946,Pop_Census_2023!$A$2:$E$3220,5,FALSE))</f>
        <v>30091</v>
      </c>
      <c r="F946" s="32">
        <v>485021.0</v>
      </c>
      <c r="G946" s="32">
        <v>53.0</v>
      </c>
      <c r="H946" s="32" t="str">
        <f>VLOOKUP(D946, Grid_Region_Mapping!$D$2:$F$5286, 3, FALSE)</f>
        <v>SPPC</v>
      </c>
      <c r="I946" s="32">
        <v>4.0</v>
      </c>
      <c r="J946" s="34" t="str">
        <f t="shared" si="1"/>
        <v>Midwest</v>
      </c>
      <c r="K946" s="35">
        <v>3.0</v>
      </c>
      <c r="L946" s="35" t="s">
        <v>223</v>
      </c>
      <c r="M946" s="36">
        <f>VLOOKUP(D946, County_Data_CZones!$B$2:$F$3236, 2, FALSE)</f>
        <v>4</v>
      </c>
      <c r="N946" s="37" t="str">
        <f>VLOOKUP(D946, County_Data_CZones!$B$2:$F$3236, 5, FALSE)</f>
        <v>Mixed-Humid</v>
      </c>
    </row>
    <row r="947" ht="15.75" customHeight="1">
      <c r="A947" s="32" t="s">
        <v>149</v>
      </c>
      <c r="B947" s="32" t="s">
        <v>750</v>
      </c>
      <c r="C947" s="32" t="str">
        <f>vlookup(B947,State_EMM_RowSums!$A$2:$B$52,2,FALSE)</f>
        <v>KS</v>
      </c>
      <c r="D947" s="32">
        <v>20115.0</v>
      </c>
      <c r="E947" s="33">
        <f>IF(NOT(ISBLANK(vlookup($D947,Pop_Census_2023!$A$2:$E$3220,4,FALSE))),vlookup($D947,Pop_Census_2023!$A$2:$E$3220,4,FALSE), vlookup($D947,Pop_Census_2023!$A$2:$E$3220,5,FALSE))</f>
        <v>11690</v>
      </c>
      <c r="F947" s="32">
        <v>485022.0</v>
      </c>
      <c r="G947" s="32">
        <v>53.0</v>
      </c>
      <c r="H947" s="32" t="str">
        <f>VLOOKUP(D947, Grid_Region_Mapping!$D$2:$F$5286, 3, FALSE)</f>
        <v>SPPC</v>
      </c>
      <c r="I947" s="32">
        <v>4.0</v>
      </c>
      <c r="J947" s="34" t="str">
        <f t="shared" si="1"/>
        <v>Midwest</v>
      </c>
      <c r="K947" s="35">
        <v>3.0</v>
      </c>
      <c r="L947" s="35" t="s">
        <v>223</v>
      </c>
      <c r="M947" s="36">
        <f>VLOOKUP(D947, County_Data_CZones!$B$2:$F$3236, 2, FALSE)</f>
        <v>4</v>
      </c>
      <c r="N947" s="37" t="str">
        <f>VLOOKUP(D947, County_Data_CZones!$B$2:$F$3236, 5, FALSE)</f>
        <v>Mixed-Humid</v>
      </c>
    </row>
    <row r="948" ht="15.75" customHeight="1">
      <c r="A948" s="32" t="s">
        <v>150</v>
      </c>
      <c r="B948" s="32" t="s">
        <v>750</v>
      </c>
      <c r="C948" s="32" t="str">
        <f>vlookup(B948,State_EMM_RowSums!$A$2:$B$52,2,FALSE)</f>
        <v>KS</v>
      </c>
      <c r="D948" s="32">
        <v>20117.0</v>
      </c>
      <c r="E948" s="33">
        <f>IF(NOT(ISBLANK(vlookup($D948,Pop_Census_2023!$A$2:$E$3220,4,FALSE))),vlookup($D948,Pop_Census_2023!$A$2:$E$3220,4,FALSE), vlookup($D948,Pop_Census_2023!$A$2:$E$3220,5,FALSE))</f>
        <v>9933</v>
      </c>
      <c r="F948" s="32">
        <v>485023.0</v>
      </c>
      <c r="G948" s="32">
        <v>53.0</v>
      </c>
      <c r="H948" s="32" t="str">
        <f>VLOOKUP(D948, Grid_Region_Mapping!$D$2:$F$5286, 3, FALSE)</f>
        <v>SPPC</v>
      </c>
      <c r="I948" s="32">
        <v>4.0</v>
      </c>
      <c r="J948" s="34" t="str">
        <f t="shared" si="1"/>
        <v>Midwest</v>
      </c>
      <c r="K948" s="35">
        <v>2.0</v>
      </c>
      <c r="L948" s="35" t="s">
        <v>223</v>
      </c>
      <c r="M948" s="36">
        <f>VLOOKUP(D948, County_Data_CZones!$B$2:$F$3236, 2, FALSE)</f>
        <v>4</v>
      </c>
      <c r="N948" s="37" t="str">
        <f>VLOOKUP(D948, County_Data_CZones!$B$2:$F$3236, 5, FALSE)</f>
        <v>Mixed-Humid</v>
      </c>
    </row>
    <row r="949" ht="15.75" customHeight="1">
      <c r="A949" s="32" t="s">
        <v>783</v>
      </c>
      <c r="B949" s="32" t="s">
        <v>750</v>
      </c>
      <c r="C949" s="32" t="str">
        <f>vlookup(B949,State_EMM_RowSums!$A$2:$B$52,2,FALSE)</f>
        <v>KS</v>
      </c>
      <c r="D949" s="32">
        <v>20119.0</v>
      </c>
      <c r="E949" s="33">
        <f>IF(NOT(ISBLANK(vlookup($D949,Pop_Census_2023!$A$2:$E$3220,4,FALSE))),vlookup($D949,Pop_Census_2023!$A$2:$E$3220,4,FALSE), vlookup($D949,Pop_Census_2023!$A$2:$E$3220,5,FALSE))</f>
        <v>3911</v>
      </c>
      <c r="F949" s="32">
        <v>485024.0</v>
      </c>
      <c r="G949" s="32">
        <v>53.0</v>
      </c>
      <c r="H949" s="32" t="str">
        <f>VLOOKUP(D949, Grid_Region_Mapping!$D$2:$F$5286, 3, FALSE)</f>
        <v>SPPC</v>
      </c>
      <c r="I949" s="32">
        <v>4.0</v>
      </c>
      <c r="J949" s="34" t="str">
        <f t="shared" si="1"/>
        <v>Midwest</v>
      </c>
      <c r="K949" s="35">
        <v>3.0</v>
      </c>
      <c r="L949" s="35" t="s">
        <v>223</v>
      </c>
      <c r="M949" s="36">
        <f>VLOOKUP(D949, County_Data_CZones!$B$2:$F$3236, 2, FALSE)</f>
        <v>4</v>
      </c>
      <c r="N949" s="37" t="str">
        <f>VLOOKUP(D949, County_Data_CZones!$B$2:$F$3236, 5, FALSE)</f>
        <v>Mixed-Humid</v>
      </c>
    </row>
    <row r="950" ht="15.75" customHeight="1">
      <c r="A950" s="32" t="s">
        <v>681</v>
      </c>
      <c r="B950" s="32" t="s">
        <v>750</v>
      </c>
      <c r="C950" s="32" t="str">
        <f>vlookup(B950,State_EMM_RowSums!$A$2:$B$52,2,FALSE)</f>
        <v>KS</v>
      </c>
      <c r="D950" s="32">
        <v>20121.0</v>
      </c>
      <c r="E950" s="33">
        <f>IF(NOT(ISBLANK(vlookup($D950,Pop_Census_2023!$A$2:$E$3220,4,FALSE))),vlookup($D950,Pop_Census_2023!$A$2:$E$3220,4,FALSE), vlookup($D950,Pop_Census_2023!$A$2:$E$3220,5,FALSE))</f>
        <v>35320</v>
      </c>
      <c r="F950" s="32">
        <v>485025.0</v>
      </c>
      <c r="G950" s="32">
        <v>53.0</v>
      </c>
      <c r="H950" s="32" t="str">
        <f>VLOOKUP(D950, Grid_Region_Mapping!$D$2:$F$5286, 3, FALSE)</f>
        <v>SPPC</v>
      </c>
      <c r="I950" s="32">
        <v>4.0</v>
      </c>
      <c r="J950" s="34" t="str">
        <f t="shared" si="1"/>
        <v>Midwest</v>
      </c>
      <c r="K950" s="35">
        <v>3.0</v>
      </c>
      <c r="L950" s="35" t="s">
        <v>223</v>
      </c>
      <c r="M950" s="36">
        <f>VLOOKUP(D950, County_Data_CZones!$B$2:$F$3236, 2, FALSE)</f>
        <v>4</v>
      </c>
      <c r="N950" s="37" t="str">
        <f>VLOOKUP(D950, County_Data_CZones!$B$2:$F$3236, 5, FALSE)</f>
        <v>Mixed-Humid</v>
      </c>
    </row>
    <row r="951" ht="15.75" customHeight="1">
      <c r="A951" s="32" t="s">
        <v>529</v>
      </c>
      <c r="B951" s="32" t="s">
        <v>750</v>
      </c>
      <c r="C951" s="32" t="str">
        <f>vlookup(B951,State_EMM_RowSums!$A$2:$B$52,2,FALSE)</f>
        <v>KS</v>
      </c>
      <c r="D951" s="32">
        <v>20123.0</v>
      </c>
      <c r="E951" s="33">
        <f>IF(NOT(ISBLANK(vlookup($D951,Pop_Census_2023!$A$2:$E$3220,4,FALSE))),vlookup($D951,Pop_Census_2023!$A$2:$E$3220,4,FALSE), vlookup($D951,Pop_Census_2023!$A$2:$E$3220,5,FALSE))</f>
        <v>5719</v>
      </c>
      <c r="F951" s="32">
        <v>485026.0</v>
      </c>
      <c r="G951" s="32">
        <v>53.0</v>
      </c>
      <c r="H951" s="32" t="str">
        <f>VLOOKUP(D951, Grid_Region_Mapping!$D$2:$F$5286, 3, FALSE)</f>
        <v>SPPC</v>
      </c>
      <c r="I951" s="32">
        <v>4.0</v>
      </c>
      <c r="J951" s="34" t="str">
        <f t="shared" si="1"/>
        <v>Midwest</v>
      </c>
      <c r="K951" s="35">
        <v>2.0</v>
      </c>
      <c r="L951" s="35" t="s">
        <v>396</v>
      </c>
      <c r="M951" s="36">
        <f>VLOOKUP(D951, County_Data_CZones!$B$2:$F$3236, 2, FALSE)</f>
        <v>5</v>
      </c>
      <c r="N951" s="37" t="str">
        <f>VLOOKUP(D951, County_Data_CZones!$B$2:$F$3236, 5, FALSE)</f>
        <v>Cold</v>
      </c>
    </row>
    <row r="952" ht="15.75" customHeight="1">
      <c r="A952" s="32" t="s">
        <v>153</v>
      </c>
      <c r="B952" s="32" t="s">
        <v>750</v>
      </c>
      <c r="C952" s="32" t="str">
        <f>vlookup(B952,State_EMM_RowSums!$A$2:$B$52,2,FALSE)</f>
        <v>KS</v>
      </c>
      <c r="D952" s="32">
        <v>20125.0</v>
      </c>
      <c r="E952" s="33">
        <f>IF(NOT(ISBLANK(vlookup($D952,Pop_Census_2023!$A$2:$E$3220,4,FALSE))),vlookup($D952,Pop_Census_2023!$A$2:$E$3220,4,FALSE), vlookup($D952,Pop_Census_2023!$A$2:$E$3220,5,FALSE))</f>
        <v>30568</v>
      </c>
      <c r="F952" s="32">
        <v>485027.0</v>
      </c>
      <c r="G952" s="32">
        <v>53.0</v>
      </c>
      <c r="H952" s="32" t="str">
        <f>VLOOKUP(D952, Grid_Region_Mapping!$D$2:$F$5286, 3, FALSE)</f>
        <v>SPPC</v>
      </c>
      <c r="I952" s="32">
        <v>4.0</v>
      </c>
      <c r="J952" s="34" t="str">
        <f t="shared" si="1"/>
        <v>Midwest</v>
      </c>
      <c r="K952" s="35">
        <v>3.0</v>
      </c>
      <c r="L952" s="35" t="s">
        <v>223</v>
      </c>
      <c r="M952" s="36">
        <f>VLOOKUP(D952, County_Data_CZones!$B$2:$F$3236, 2, FALSE)</f>
        <v>4</v>
      </c>
      <c r="N952" s="37" t="str">
        <f>VLOOKUP(D952, County_Data_CZones!$B$2:$F$3236, 5, FALSE)</f>
        <v>Mixed-Humid</v>
      </c>
    </row>
    <row r="953" ht="15.75" customHeight="1">
      <c r="A953" s="32" t="s">
        <v>784</v>
      </c>
      <c r="B953" s="32" t="s">
        <v>750</v>
      </c>
      <c r="C953" s="32" t="str">
        <f>vlookup(B953,State_EMM_RowSums!$A$2:$B$52,2,FALSE)</f>
        <v>KS</v>
      </c>
      <c r="D953" s="32">
        <v>20127.0</v>
      </c>
      <c r="E953" s="33">
        <f>IF(NOT(ISBLANK(vlookup($D953,Pop_Census_2023!$A$2:$E$3220,4,FALSE))),vlookup($D953,Pop_Census_2023!$A$2:$E$3220,4,FALSE), vlookup($D953,Pop_Census_2023!$A$2:$E$3220,5,FALSE))</f>
        <v>5334</v>
      </c>
      <c r="F953" s="32">
        <v>485028.0</v>
      </c>
      <c r="G953" s="32">
        <v>53.0</v>
      </c>
      <c r="H953" s="32" t="str">
        <f>VLOOKUP(D953, Grid_Region_Mapping!$D$2:$F$5286, 3, FALSE)</f>
        <v>SPPC</v>
      </c>
      <c r="I953" s="32">
        <v>4.0</v>
      </c>
      <c r="J953" s="34" t="str">
        <f t="shared" si="1"/>
        <v>Midwest</v>
      </c>
      <c r="K953" s="35">
        <v>3.0</v>
      </c>
      <c r="L953" s="35" t="s">
        <v>223</v>
      </c>
      <c r="M953" s="36">
        <f>VLOOKUP(D953, County_Data_CZones!$B$2:$F$3236, 2, FALSE)</f>
        <v>4</v>
      </c>
      <c r="N953" s="37" t="str">
        <f>VLOOKUP(D953, County_Data_CZones!$B$2:$F$3236, 5, FALSE)</f>
        <v>Mixed-Humid</v>
      </c>
    </row>
    <row r="954" ht="15.75" customHeight="1">
      <c r="A954" s="32" t="s">
        <v>785</v>
      </c>
      <c r="B954" s="32" t="s">
        <v>750</v>
      </c>
      <c r="C954" s="32" t="str">
        <f>vlookup(B954,State_EMM_RowSums!$A$2:$B$52,2,FALSE)</f>
        <v>KS</v>
      </c>
      <c r="D954" s="32">
        <v>20129.0</v>
      </c>
      <c r="E954" s="33">
        <f>IF(NOT(ISBLANK(vlookup($D954,Pop_Census_2023!$A$2:$E$3220,4,FALSE))),vlookup($D954,Pop_Census_2023!$A$2:$E$3220,4,FALSE), vlookup($D954,Pop_Census_2023!$A$2:$E$3220,5,FALSE))</f>
        <v>2580</v>
      </c>
      <c r="F954" s="32">
        <v>485135.0</v>
      </c>
      <c r="G954" s="32">
        <v>52.0</v>
      </c>
      <c r="H954" s="32" t="str">
        <f>VLOOKUP(D954, Grid_Region_Mapping!$D$2:$F$5286, 3, FALSE)</f>
        <v>SPPC</v>
      </c>
      <c r="I954" s="32">
        <v>4.0</v>
      </c>
      <c r="J954" s="34" t="str">
        <f t="shared" si="1"/>
        <v>Midwest</v>
      </c>
      <c r="K954" s="35">
        <v>3.0</v>
      </c>
      <c r="L954" s="35" t="s">
        <v>223</v>
      </c>
      <c r="M954" s="36">
        <f>VLOOKUP(D954, County_Data_CZones!$B$2:$F$3236, 2, FALSE)</f>
        <v>4</v>
      </c>
      <c r="N954" s="37" t="str">
        <f>VLOOKUP(D954, County_Data_CZones!$B$2:$F$3236, 5, FALSE)</f>
        <v>Mixed-Humid</v>
      </c>
    </row>
    <row r="955" ht="15.75" customHeight="1">
      <c r="A955" s="32" t="s">
        <v>786</v>
      </c>
      <c r="B955" s="32" t="s">
        <v>750</v>
      </c>
      <c r="C955" s="32" t="str">
        <f>vlookup(B955,State_EMM_RowSums!$A$2:$B$52,2,FALSE)</f>
        <v>KS</v>
      </c>
      <c r="D955" s="32">
        <v>20131.0</v>
      </c>
      <c r="E955" s="33">
        <f>IF(NOT(ISBLANK(vlookup($D955,Pop_Census_2023!$A$2:$E$3220,4,FALSE))),vlookup($D955,Pop_Census_2023!$A$2:$E$3220,4,FALSE), vlookup($D955,Pop_Census_2023!$A$2:$E$3220,5,FALSE))</f>
        <v>10114</v>
      </c>
      <c r="F955" s="32">
        <v>485029.0</v>
      </c>
      <c r="G955" s="32">
        <v>53.0</v>
      </c>
      <c r="H955" s="32" t="str">
        <f>VLOOKUP(D955, Grid_Region_Mapping!$D$2:$F$5286, 3, FALSE)</f>
        <v>SPPC</v>
      </c>
      <c r="I955" s="32">
        <v>4.0</v>
      </c>
      <c r="J955" s="34" t="str">
        <f t="shared" si="1"/>
        <v>Midwest</v>
      </c>
      <c r="K955" s="35">
        <v>3.0</v>
      </c>
      <c r="L955" s="35" t="s">
        <v>223</v>
      </c>
      <c r="M955" s="36">
        <f>VLOOKUP(D955, County_Data_CZones!$B$2:$F$3236, 2, FALSE)</f>
        <v>4</v>
      </c>
      <c r="N955" s="37" t="str">
        <f>VLOOKUP(D955, County_Data_CZones!$B$2:$F$3236, 5, FALSE)</f>
        <v>Mixed-Humid</v>
      </c>
    </row>
    <row r="956" ht="15.75" customHeight="1">
      <c r="A956" s="32" t="s">
        <v>787</v>
      </c>
      <c r="B956" s="32" t="s">
        <v>750</v>
      </c>
      <c r="C956" s="32" t="str">
        <f>vlookup(B956,State_EMM_RowSums!$A$2:$B$52,2,FALSE)</f>
        <v>KS</v>
      </c>
      <c r="D956" s="32">
        <v>20133.0</v>
      </c>
      <c r="E956" s="33">
        <f>IF(NOT(ISBLANK(vlookup($D956,Pop_Census_2023!$A$2:$E$3220,4,FALSE))),vlookup($D956,Pop_Census_2023!$A$2:$E$3220,4,FALSE), vlookup($D956,Pop_Census_2023!$A$2:$E$3220,5,FALSE))</f>
        <v>15420</v>
      </c>
      <c r="F956" s="32">
        <v>485030.0</v>
      </c>
      <c r="G956" s="32">
        <v>53.0</v>
      </c>
      <c r="H956" s="32" t="str">
        <f>VLOOKUP(D956, Grid_Region_Mapping!$D$2:$F$5286, 3, FALSE)</f>
        <v>SPPC</v>
      </c>
      <c r="I956" s="32">
        <v>4.0</v>
      </c>
      <c r="J956" s="34" t="str">
        <f t="shared" si="1"/>
        <v>Midwest</v>
      </c>
      <c r="K956" s="35">
        <v>3.0</v>
      </c>
      <c r="L956" s="35" t="s">
        <v>223</v>
      </c>
      <c r="M956" s="36">
        <f>VLOOKUP(D956, County_Data_CZones!$B$2:$F$3236, 2, FALSE)</f>
        <v>4</v>
      </c>
      <c r="N956" s="37" t="str">
        <f>VLOOKUP(D956, County_Data_CZones!$B$2:$F$3236, 5, FALSE)</f>
        <v>Mixed-Humid</v>
      </c>
    </row>
    <row r="957" ht="15.75" customHeight="1">
      <c r="A957" s="32" t="s">
        <v>788</v>
      </c>
      <c r="B957" s="32" t="s">
        <v>750</v>
      </c>
      <c r="C957" s="32" t="str">
        <f>vlookup(B957,State_EMM_RowSums!$A$2:$B$52,2,FALSE)</f>
        <v>KS</v>
      </c>
      <c r="D957" s="32">
        <v>20135.0</v>
      </c>
      <c r="E957" s="33">
        <f>IF(NOT(ISBLANK(vlookup($D957,Pop_Census_2023!$A$2:$E$3220,4,FALSE))),vlookup($D957,Pop_Census_2023!$A$2:$E$3220,4,FALSE), vlookup($D957,Pop_Census_2023!$A$2:$E$3220,5,FALSE))</f>
        <v>2618</v>
      </c>
      <c r="F957" s="32">
        <v>485031.0</v>
      </c>
      <c r="G957" s="32">
        <v>53.0</v>
      </c>
      <c r="H957" s="32" t="str">
        <f>VLOOKUP(D957, Grid_Region_Mapping!$D$2:$F$5286, 3, FALSE)</f>
        <v>SPPC</v>
      </c>
      <c r="I957" s="32">
        <v>4.0</v>
      </c>
      <c r="J957" s="34" t="str">
        <f t="shared" si="1"/>
        <v>Midwest</v>
      </c>
      <c r="K957" s="35">
        <v>2.0</v>
      </c>
      <c r="L957" s="35" t="s">
        <v>396</v>
      </c>
      <c r="M957" s="36">
        <f>VLOOKUP(D957, County_Data_CZones!$B$2:$F$3236, 2, FALSE)</f>
        <v>5</v>
      </c>
      <c r="N957" s="37" t="str">
        <f>VLOOKUP(D957, County_Data_CZones!$B$2:$F$3236, 5, FALSE)</f>
        <v>Cold</v>
      </c>
    </row>
    <row r="958" ht="15.75" customHeight="1">
      <c r="A958" s="32" t="s">
        <v>789</v>
      </c>
      <c r="B958" s="32" t="s">
        <v>750</v>
      </c>
      <c r="C958" s="32" t="str">
        <f>vlookup(B958,State_EMM_RowSums!$A$2:$B$52,2,FALSE)</f>
        <v>KS</v>
      </c>
      <c r="D958" s="32">
        <v>20137.0</v>
      </c>
      <c r="E958" s="33">
        <f>IF(NOT(ISBLANK(vlookup($D958,Pop_Census_2023!$A$2:$E$3220,4,FALSE))),vlookup($D958,Pop_Census_2023!$A$2:$E$3220,4,FALSE), vlookup($D958,Pop_Census_2023!$A$2:$E$3220,5,FALSE))</f>
        <v>5330</v>
      </c>
      <c r="F958" s="32">
        <v>485032.0</v>
      </c>
      <c r="G958" s="32">
        <v>52.0</v>
      </c>
      <c r="H958" s="32" t="str">
        <f>VLOOKUP(D958, Grid_Region_Mapping!$D$2:$F$5286, 3, FALSE)</f>
        <v>SPPC</v>
      </c>
      <c r="I958" s="32">
        <v>4.0</v>
      </c>
      <c r="J958" s="34" t="str">
        <f t="shared" si="1"/>
        <v>Midwest</v>
      </c>
      <c r="K958" s="35">
        <v>2.0</v>
      </c>
      <c r="L958" s="35" t="s">
        <v>396</v>
      </c>
      <c r="M958" s="36">
        <f>VLOOKUP(D958, County_Data_CZones!$B$2:$F$3236, 2, FALSE)</f>
        <v>5</v>
      </c>
      <c r="N958" s="37" t="str">
        <f>VLOOKUP(D958, County_Data_CZones!$B$2:$F$3236, 5, FALSE)</f>
        <v>Cold</v>
      </c>
    </row>
    <row r="959" ht="15.75" customHeight="1">
      <c r="A959" s="32" t="s">
        <v>790</v>
      </c>
      <c r="B959" s="32" t="s">
        <v>750</v>
      </c>
      <c r="C959" s="32" t="str">
        <f>vlookup(B959,State_EMM_RowSums!$A$2:$B$52,2,FALSE)</f>
        <v>KS</v>
      </c>
      <c r="D959" s="32">
        <v>20139.0</v>
      </c>
      <c r="E959" s="33">
        <f>IF(NOT(ISBLANK(vlookup($D959,Pop_Census_2023!$A$2:$E$3220,4,FALSE))),vlookup($D959,Pop_Census_2023!$A$2:$E$3220,4,FALSE), vlookup($D959,Pop_Census_2023!$A$2:$E$3220,5,FALSE))</f>
        <v>15824</v>
      </c>
      <c r="F959" s="32">
        <v>485033.0</v>
      </c>
      <c r="G959" s="32">
        <v>53.0</v>
      </c>
      <c r="H959" s="32" t="str">
        <f>VLOOKUP(D959, Grid_Region_Mapping!$D$2:$F$5286, 3, FALSE)</f>
        <v>SPPC</v>
      </c>
      <c r="I959" s="32">
        <v>4.0</v>
      </c>
      <c r="J959" s="34" t="str">
        <f t="shared" si="1"/>
        <v>Midwest</v>
      </c>
      <c r="K959" s="35">
        <v>3.0</v>
      </c>
      <c r="L959" s="35" t="s">
        <v>223</v>
      </c>
      <c r="M959" s="36">
        <f>VLOOKUP(D959, County_Data_CZones!$B$2:$F$3236, 2, FALSE)</f>
        <v>4</v>
      </c>
      <c r="N959" s="37" t="str">
        <f>VLOOKUP(D959, County_Data_CZones!$B$2:$F$3236, 5, FALSE)</f>
        <v>Mixed-Humid</v>
      </c>
    </row>
    <row r="960" ht="15.75" customHeight="1">
      <c r="A960" s="32" t="s">
        <v>791</v>
      </c>
      <c r="B960" s="32" t="s">
        <v>750</v>
      </c>
      <c r="C960" s="32" t="str">
        <f>vlookup(B960,State_EMM_RowSums!$A$2:$B$52,2,FALSE)</f>
        <v>KS</v>
      </c>
      <c r="D960" s="32">
        <v>20141.0</v>
      </c>
      <c r="E960" s="33">
        <f>IF(NOT(ISBLANK(vlookup($D960,Pop_Census_2023!$A$2:$E$3220,4,FALSE))),vlookup($D960,Pop_Census_2023!$A$2:$E$3220,4,FALSE), vlookup($D960,Pop_Census_2023!$A$2:$E$3220,5,FALSE))</f>
        <v>3427</v>
      </c>
      <c r="F960" s="32">
        <v>485034.0</v>
      </c>
      <c r="G960" s="32">
        <v>53.0</v>
      </c>
      <c r="H960" s="32" t="str">
        <f>VLOOKUP(D960, Grid_Region_Mapping!$D$2:$F$5286, 3, FALSE)</f>
        <v>SPPC</v>
      </c>
      <c r="I960" s="32">
        <v>4.0</v>
      </c>
      <c r="J960" s="34" t="str">
        <f t="shared" si="1"/>
        <v>Midwest</v>
      </c>
      <c r="K960" s="35">
        <v>2.0</v>
      </c>
      <c r="L960" s="35" t="s">
        <v>396</v>
      </c>
      <c r="M960" s="36">
        <f>VLOOKUP(D960, County_Data_CZones!$B$2:$F$3236, 2, FALSE)</f>
        <v>5</v>
      </c>
      <c r="N960" s="37" t="str">
        <f>VLOOKUP(D960, County_Data_CZones!$B$2:$F$3236, 5, FALSE)</f>
        <v>Cold</v>
      </c>
    </row>
    <row r="961" ht="15.75" customHeight="1">
      <c r="A961" s="32" t="s">
        <v>792</v>
      </c>
      <c r="B961" s="32" t="s">
        <v>750</v>
      </c>
      <c r="C961" s="32" t="str">
        <f>vlookup(B961,State_EMM_RowSums!$A$2:$B$52,2,FALSE)</f>
        <v>KS</v>
      </c>
      <c r="D961" s="32">
        <v>20143.0</v>
      </c>
      <c r="E961" s="33">
        <f>IF(NOT(ISBLANK(vlookup($D961,Pop_Census_2023!$A$2:$E$3220,4,FALSE))),vlookup($D961,Pop_Census_2023!$A$2:$E$3220,4,FALSE), vlookup($D961,Pop_Census_2023!$A$2:$E$3220,5,FALSE))</f>
        <v>5818</v>
      </c>
      <c r="F961" s="32">
        <v>485035.0</v>
      </c>
      <c r="G961" s="32">
        <v>53.0</v>
      </c>
      <c r="H961" s="32" t="str">
        <f>VLOOKUP(D961, Grid_Region_Mapping!$D$2:$F$5286, 3, FALSE)</f>
        <v>SPPC</v>
      </c>
      <c r="I961" s="32">
        <v>4.0</v>
      </c>
      <c r="J961" s="34" t="str">
        <f t="shared" si="1"/>
        <v>Midwest</v>
      </c>
      <c r="K961" s="35">
        <v>3.0</v>
      </c>
      <c r="L961" s="35" t="s">
        <v>223</v>
      </c>
      <c r="M961" s="36">
        <f>VLOOKUP(D961, County_Data_CZones!$B$2:$F$3236, 2, FALSE)</f>
        <v>4</v>
      </c>
      <c r="N961" s="37" t="str">
        <f>VLOOKUP(D961, County_Data_CZones!$B$2:$F$3236, 5, FALSE)</f>
        <v>Mixed-Humid</v>
      </c>
    </row>
    <row r="962" ht="15.75" customHeight="1">
      <c r="A962" s="32" t="s">
        <v>793</v>
      </c>
      <c r="B962" s="32" t="s">
        <v>750</v>
      </c>
      <c r="C962" s="32" t="str">
        <f>vlookup(B962,State_EMM_RowSums!$A$2:$B$52,2,FALSE)</f>
        <v>KS</v>
      </c>
      <c r="D962" s="32">
        <v>20145.0</v>
      </c>
      <c r="E962" s="33">
        <f>IF(NOT(ISBLANK(vlookup($D962,Pop_Census_2023!$A$2:$E$3220,4,FALSE))),vlookup($D962,Pop_Census_2023!$A$2:$E$3220,4,FALSE), vlookup($D962,Pop_Census_2023!$A$2:$E$3220,5,FALSE))</f>
        <v>6126</v>
      </c>
      <c r="F962" s="32">
        <v>485036.0</v>
      </c>
      <c r="G962" s="32">
        <v>53.0</v>
      </c>
      <c r="H962" s="32" t="str">
        <f>VLOOKUP(D962, Grid_Region_Mapping!$D$2:$F$5286, 3, FALSE)</f>
        <v>SPPC</v>
      </c>
      <c r="I962" s="32">
        <v>4.0</v>
      </c>
      <c r="J962" s="34" t="str">
        <f t="shared" si="1"/>
        <v>Midwest</v>
      </c>
      <c r="K962" s="35">
        <v>3.0</v>
      </c>
      <c r="L962" s="35" t="s">
        <v>223</v>
      </c>
      <c r="M962" s="36">
        <f>VLOOKUP(D962, County_Data_CZones!$B$2:$F$3236, 2, FALSE)</f>
        <v>4</v>
      </c>
      <c r="N962" s="37" t="str">
        <f>VLOOKUP(D962, County_Data_CZones!$B$2:$F$3236, 5, FALSE)</f>
        <v>Mixed-Humid</v>
      </c>
    </row>
    <row r="963" ht="15.75" customHeight="1">
      <c r="A963" s="32" t="s">
        <v>259</v>
      </c>
      <c r="B963" s="32" t="s">
        <v>750</v>
      </c>
      <c r="C963" s="32" t="str">
        <f>vlookup(B963,State_EMM_RowSums!$A$2:$B$52,2,FALSE)</f>
        <v>KS</v>
      </c>
      <c r="D963" s="32">
        <v>20147.0</v>
      </c>
      <c r="E963" s="33">
        <f>IF(NOT(ISBLANK(vlookup($D963,Pop_Census_2023!$A$2:$E$3220,4,FALSE))),vlookup($D963,Pop_Census_2023!$A$2:$E$3220,4,FALSE), vlookup($D963,Pop_Census_2023!$A$2:$E$3220,5,FALSE))</f>
        <v>4761</v>
      </c>
      <c r="F963" s="32">
        <v>485037.0</v>
      </c>
      <c r="G963" s="32">
        <v>53.0</v>
      </c>
      <c r="H963" s="32" t="str">
        <f>VLOOKUP(D963, Grid_Region_Mapping!$D$2:$F$5286, 3, FALSE)</f>
        <v>SPPC</v>
      </c>
      <c r="I963" s="32">
        <v>4.0</v>
      </c>
      <c r="J963" s="34" t="str">
        <f t="shared" si="1"/>
        <v>Midwest</v>
      </c>
      <c r="K963" s="35">
        <v>2.0</v>
      </c>
      <c r="L963" s="35" t="s">
        <v>396</v>
      </c>
      <c r="M963" s="36">
        <f>VLOOKUP(D963, County_Data_CZones!$B$2:$F$3236, 2, FALSE)</f>
        <v>5</v>
      </c>
      <c r="N963" s="37" t="str">
        <f>VLOOKUP(D963, County_Data_CZones!$B$2:$F$3236, 5, FALSE)</f>
        <v>Cold</v>
      </c>
    </row>
    <row r="964" ht="15.75" customHeight="1">
      <c r="A964" s="32" t="s">
        <v>794</v>
      </c>
      <c r="B964" s="32" t="s">
        <v>750</v>
      </c>
      <c r="C964" s="32" t="str">
        <f>vlookup(B964,State_EMM_RowSums!$A$2:$B$52,2,FALSE)</f>
        <v>KS</v>
      </c>
      <c r="D964" s="32">
        <v>20149.0</v>
      </c>
      <c r="E964" s="33">
        <f>IF(NOT(ISBLANK(vlookup($D964,Pop_Census_2023!$A$2:$E$3220,4,FALSE))),vlookup($D964,Pop_Census_2023!$A$2:$E$3220,4,FALSE), vlookup($D964,Pop_Census_2023!$A$2:$E$3220,5,FALSE))</f>
        <v>26382</v>
      </c>
      <c r="F964" s="32">
        <v>485038.0</v>
      </c>
      <c r="G964" s="32">
        <v>53.0</v>
      </c>
      <c r="H964" s="32" t="str">
        <f>VLOOKUP(D964, Grid_Region_Mapping!$D$2:$F$5286, 3, FALSE)</f>
        <v>SPPC</v>
      </c>
      <c r="I964" s="32">
        <v>4.0</v>
      </c>
      <c r="J964" s="34" t="str">
        <f t="shared" si="1"/>
        <v>Midwest</v>
      </c>
      <c r="K964" s="35">
        <v>3.0</v>
      </c>
      <c r="L964" s="35" t="s">
        <v>223</v>
      </c>
      <c r="M964" s="36">
        <f>VLOOKUP(D964, County_Data_CZones!$B$2:$F$3236, 2, FALSE)</f>
        <v>4</v>
      </c>
      <c r="N964" s="37" t="str">
        <f>VLOOKUP(D964, County_Data_CZones!$B$2:$F$3236, 5, FALSE)</f>
        <v>Mixed-Humid</v>
      </c>
    </row>
    <row r="965" ht="15.75" customHeight="1">
      <c r="A965" s="32" t="s">
        <v>795</v>
      </c>
      <c r="B965" s="32" t="s">
        <v>750</v>
      </c>
      <c r="C965" s="32" t="str">
        <f>vlookup(B965,State_EMM_RowSums!$A$2:$B$52,2,FALSE)</f>
        <v>KS</v>
      </c>
      <c r="D965" s="32">
        <v>20151.0</v>
      </c>
      <c r="E965" s="33">
        <f>IF(NOT(ISBLANK(vlookup($D965,Pop_Census_2023!$A$2:$E$3220,4,FALSE))),vlookup($D965,Pop_Census_2023!$A$2:$E$3220,4,FALSE), vlookup($D965,Pop_Census_2023!$A$2:$E$3220,5,FALSE))</f>
        <v>9082</v>
      </c>
      <c r="F965" s="32">
        <v>485039.0</v>
      </c>
      <c r="G965" s="32">
        <v>53.0</v>
      </c>
      <c r="H965" s="32" t="str">
        <f>VLOOKUP(D965, Grid_Region_Mapping!$D$2:$F$5286, 3, FALSE)</f>
        <v>SPPC</v>
      </c>
      <c r="I965" s="32">
        <v>4.0</v>
      </c>
      <c r="J965" s="34" t="str">
        <f t="shared" si="1"/>
        <v>Midwest</v>
      </c>
      <c r="K965" s="35">
        <v>3.0</v>
      </c>
      <c r="L965" s="35" t="s">
        <v>223</v>
      </c>
      <c r="M965" s="36">
        <f>VLOOKUP(D965, County_Data_CZones!$B$2:$F$3236, 2, FALSE)</f>
        <v>4</v>
      </c>
      <c r="N965" s="37" t="str">
        <f>VLOOKUP(D965, County_Data_CZones!$B$2:$F$3236, 5, FALSE)</f>
        <v>Mixed-Humid</v>
      </c>
    </row>
    <row r="966" ht="15.75" customHeight="1">
      <c r="A966" s="32" t="s">
        <v>796</v>
      </c>
      <c r="B966" s="32" t="s">
        <v>750</v>
      </c>
      <c r="C966" s="32" t="str">
        <f>vlookup(B966,State_EMM_RowSums!$A$2:$B$52,2,FALSE)</f>
        <v>KS</v>
      </c>
      <c r="D966" s="32">
        <v>20153.0</v>
      </c>
      <c r="E966" s="33">
        <f>IF(NOT(ISBLANK(vlookup($D966,Pop_Census_2023!$A$2:$E$3220,4,FALSE))),vlookup($D966,Pop_Census_2023!$A$2:$E$3220,4,FALSE), vlookup($D966,Pop_Census_2023!$A$2:$E$3220,5,FALSE))</f>
        <v>2463</v>
      </c>
      <c r="F966" s="32">
        <v>485040.0</v>
      </c>
      <c r="G966" s="32">
        <v>52.0</v>
      </c>
      <c r="H966" s="32" t="str">
        <f>VLOOKUP(D966, Grid_Region_Mapping!$D$2:$F$5286, 3, FALSE)</f>
        <v>SPPC</v>
      </c>
      <c r="I966" s="32">
        <v>4.0</v>
      </c>
      <c r="J966" s="34" t="str">
        <f t="shared" si="1"/>
        <v>Midwest</v>
      </c>
      <c r="K966" s="35">
        <v>2.0</v>
      </c>
      <c r="L966" s="35" t="s">
        <v>396</v>
      </c>
      <c r="M966" s="36">
        <f>VLOOKUP(D966, County_Data_CZones!$B$2:$F$3236, 2, FALSE)</f>
        <v>5</v>
      </c>
      <c r="N966" s="37" t="str">
        <f>VLOOKUP(D966, County_Data_CZones!$B$2:$F$3236, 5, FALSE)</f>
        <v>Cold</v>
      </c>
    </row>
    <row r="967" ht="15.75" customHeight="1">
      <c r="A967" s="32" t="s">
        <v>797</v>
      </c>
      <c r="B967" s="32" t="s">
        <v>750</v>
      </c>
      <c r="C967" s="32" t="str">
        <f>vlookup(B967,State_EMM_RowSums!$A$2:$B$52,2,FALSE)</f>
        <v>KS</v>
      </c>
      <c r="D967" s="32">
        <v>20155.0</v>
      </c>
      <c r="E967" s="33">
        <f>IF(NOT(ISBLANK(vlookup($D967,Pop_Census_2023!$A$2:$E$3220,4,FALSE))),vlookup($D967,Pop_Census_2023!$A$2:$E$3220,4,FALSE), vlookup($D967,Pop_Census_2023!$A$2:$E$3220,5,FALSE))</f>
        <v>61497</v>
      </c>
      <c r="F967" s="32">
        <v>485041.0</v>
      </c>
      <c r="G967" s="32">
        <v>53.0</v>
      </c>
      <c r="H967" s="32" t="str">
        <f>VLOOKUP(D967, Grid_Region_Mapping!$D$2:$F$5286, 3, FALSE)</f>
        <v>SPPC</v>
      </c>
      <c r="I967" s="32">
        <v>4.0</v>
      </c>
      <c r="J967" s="34" t="str">
        <f t="shared" si="1"/>
        <v>Midwest</v>
      </c>
      <c r="K967" s="35">
        <v>3.0</v>
      </c>
      <c r="L967" s="35" t="s">
        <v>223</v>
      </c>
      <c r="M967" s="36">
        <f>VLOOKUP(D967, County_Data_CZones!$B$2:$F$3236, 2, FALSE)</f>
        <v>4</v>
      </c>
      <c r="N967" s="37" t="str">
        <f>VLOOKUP(D967, County_Data_CZones!$B$2:$F$3236, 5, FALSE)</f>
        <v>Mixed-Humid</v>
      </c>
    </row>
    <row r="968" ht="15.75" customHeight="1">
      <c r="A968" s="32" t="s">
        <v>798</v>
      </c>
      <c r="B968" s="32" t="s">
        <v>750</v>
      </c>
      <c r="C968" s="32" t="str">
        <f>vlookup(B968,State_EMM_RowSums!$A$2:$B$52,2,FALSE)</f>
        <v>KS</v>
      </c>
      <c r="D968" s="32">
        <v>20157.0</v>
      </c>
      <c r="E968" s="33">
        <f>IF(NOT(ISBLANK(vlookup($D968,Pop_Census_2023!$A$2:$E$3220,4,FALSE))),vlookup($D968,Pop_Census_2023!$A$2:$E$3220,4,FALSE), vlookup($D968,Pop_Census_2023!$A$2:$E$3220,5,FALSE))</f>
        <v>4627</v>
      </c>
      <c r="F968" s="32">
        <v>485042.0</v>
      </c>
      <c r="G968" s="32">
        <v>53.0</v>
      </c>
      <c r="H968" s="32" t="str">
        <f>VLOOKUP(D968, Grid_Region_Mapping!$D$2:$F$5286, 3, FALSE)</f>
        <v>SPPC</v>
      </c>
      <c r="I968" s="32">
        <v>4.0</v>
      </c>
      <c r="J968" s="34" t="str">
        <f t="shared" si="1"/>
        <v>Midwest</v>
      </c>
      <c r="K968" s="35">
        <v>2.0</v>
      </c>
      <c r="L968" s="35" t="s">
        <v>396</v>
      </c>
      <c r="M968" s="36">
        <f>VLOOKUP(D968, County_Data_CZones!$B$2:$F$3236, 2, FALSE)</f>
        <v>5</v>
      </c>
      <c r="N968" s="37" t="str">
        <f>VLOOKUP(D968, County_Data_CZones!$B$2:$F$3236, 5, FALSE)</f>
        <v>Cold</v>
      </c>
    </row>
    <row r="969" ht="15.75" customHeight="1">
      <c r="A969" s="32" t="s">
        <v>799</v>
      </c>
      <c r="B969" s="32" t="s">
        <v>750</v>
      </c>
      <c r="C969" s="32" t="str">
        <f>vlookup(B969,State_EMM_RowSums!$A$2:$B$52,2,FALSE)</f>
        <v>KS</v>
      </c>
      <c r="D969" s="32">
        <v>20159.0</v>
      </c>
      <c r="E969" s="33">
        <f>IF(NOT(ISBLANK(vlookup($D969,Pop_Census_2023!$A$2:$E$3220,4,FALSE))),vlookup($D969,Pop_Census_2023!$A$2:$E$3220,4,FALSE), vlookup($D969,Pop_Census_2023!$A$2:$E$3220,5,FALSE))</f>
        <v>9260</v>
      </c>
      <c r="F969" s="32">
        <v>485043.0</v>
      </c>
      <c r="G969" s="32">
        <v>53.0</v>
      </c>
      <c r="H969" s="32" t="str">
        <f>VLOOKUP(D969, Grid_Region_Mapping!$D$2:$F$5286, 3, FALSE)</f>
        <v>SPPC</v>
      </c>
      <c r="I969" s="32">
        <v>4.0</v>
      </c>
      <c r="J969" s="34" t="str">
        <f t="shared" si="1"/>
        <v>Midwest</v>
      </c>
      <c r="K969" s="35">
        <v>3.0</v>
      </c>
      <c r="L969" s="35" t="s">
        <v>223</v>
      </c>
      <c r="M969" s="36">
        <f>VLOOKUP(D969, County_Data_CZones!$B$2:$F$3236, 2, FALSE)</f>
        <v>4</v>
      </c>
      <c r="N969" s="37" t="str">
        <f>VLOOKUP(D969, County_Data_CZones!$B$2:$F$3236, 5, FALSE)</f>
        <v>Mixed-Humid</v>
      </c>
    </row>
    <row r="970" ht="15.75" customHeight="1">
      <c r="A970" s="32" t="s">
        <v>800</v>
      </c>
      <c r="B970" s="32" t="s">
        <v>750</v>
      </c>
      <c r="C970" s="32" t="str">
        <f>vlookup(B970,State_EMM_RowSums!$A$2:$B$52,2,FALSE)</f>
        <v>KS</v>
      </c>
      <c r="D970" s="32">
        <v>20161.0</v>
      </c>
      <c r="E970" s="33">
        <f>IF(NOT(ISBLANK(vlookup($D970,Pop_Census_2023!$A$2:$E$3220,4,FALSE))),vlookup($D970,Pop_Census_2023!$A$2:$E$3220,4,FALSE), vlookup($D970,Pop_Census_2023!$A$2:$E$3220,5,FALSE))</f>
        <v>71402</v>
      </c>
      <c r="F970" s="32">
        <v>485044.0</v>
      </c>
      <c r="G970" s="32">
        <v>53.0</v>
      </c>
      <c r="H970" s="32" t="str">
        <f>VLOOKUP(D970, Grid_Region_Mapping!$D$2:$F$5286, 3, FALSE)</f>
        <v>SPPC</v>
      </c>
      <c r="I970" s="32">
        <v>4.0</v>
      </c>
      <c r="J970" s="34" t="str">
        <f t="shared" si="1"/>
        <v>Midwest</v>
      </c>
      <c r="K970" s="35">
        <v>3.0</v>
      </c>
      <c r="L970" s="35" t="s">
        <v>223</v>
      </c>
      <c r="M970" s="36">
        <f>VLOOKUP(D970, County_Data_CZones!$B$2:$F$3236, 2, FALSE)</f>
        <v>4</v>
      </c>
      <c r="N970" s="37" t="str">
        <f>VLOOKUP(D970, County_Data_CZones!$B$2:$F$3236, 5, FALSE)</f>
        <v>Mixed-Humid</v>
      </c>
    </row>
    <row r="971" ht="15.75" customHeight="1">
      <c r="A971" s="32" t="s">
        <v>801</v>
      </c>
      <c r="B971" s="32" t="s">
        <v>750</v>
      </c>
      <c r="C971" s="32" t="str">
        <f>vlookup(B971,State_EMM_RowSums!$A$2:$B$52,2,FALSE)</f>
        <v>KS</v>
      </c>
      <c r="D971" s="32">
        <v>20163.0</v>
      </c>
      <c r="E971" s="33">
        <f>IF(NOT(ISBLANK(vlookup($D971,Pop_Census_2023!$A$2:$E$3220,4,FALSE))),vlookup($D971,Pop_Census_2023!$A$2:$E$3220,4,FALSE), vlookup($D971,Pop_Census_2023!$A$2:$E$3220,5,FALSE))</f>
        <v>4778</v>
      </c>
      <c r="F971" s="32">
        <v>485045.0</v>
      </c>
      <c r="G971" s="32">
        <v>53.0</v>
      </c>
      <c r="H971" s="32" t="str">
        <f>VLOOKUP(D971, Grid_Region_Mapping!$D$2:$F$5286, 3, FALSE)</f>
        <v>SPPC</v>
      </c>
      <c r="I971" s="32">
        <v>4.0</v>
      </c>
      <c r="J971" s="34" t="str">
        <f t="shared" si="1"/>
        <v>Midwest</v>
      </c>
      <c r="K971" s="35">
        <v>2.0</v>
      </c>
      <c r="L971" s="35" t="s">
        <v>396</v>
      </c>
      <c r="M971" s="36">
        <f>VLOOKUP(D971, County_Data_CZones!$B$2:$F$3236, 2, FALSE)</f>
        <v>5</v>
      </c>
      <c r="N971" s="37" t="str">
        <f>VLOOKUP(D971, County_Data_CZones!$B$2:$F$3236, 5, FALSE)</f>
        <v>Cold</v>
      </c>
    </row>
    <row r="972" ht="15.75" customHeight="1">
      <c r="A972" s="32" t="s">
        <v>689</v>
      </c>
      <c r="B972" s="32" t="s">
        <v>750</v>
      </c>
      <c r="C972" s="32" t="str">
        <f>vlookup(B972,State_EMM_RowSums!$A$2:$B$52,2,FALSE)</f>
        <v>KS</v>
      </c>
      <c r="D972" s="32">
        <v>20165.0</v>
      </c>
      <c r="E972" s="33">
        <f>IF(NOT(ISBLANK(vlookup($D972,Pop_Census_2023!$A$2:$E$3220,4,FALSE))),vlookup($D972,Pop_Census_2023!$A$2:$E$3220,4,FALSE), vlookup($D972,Pop_Census_2023!$A$2:$E$3220,5,FALSE))</f>
        <v>2830</v>
      </c>
      <c r="F972" s="32">
        <v>485358.0</v>
      </c>
      <c r="G972" s="32">
        <v>53.0</v>
      </c>
      <c r="H972" s="32" t="str">
        <f>VLOOKUP(D972, Grid_Region_Mapping!$D$2:$F$5286, 3, FALSE)</f>
        <v>SPPC</v>
      </c>
      <c r="I972" s="32">
        <v>4.0</v>
      </c>
      <c r="J972" s="34" t="str">
        <f t="shared" si="1"/>
        <v>Midwest</v>
      </c>
      <c r="K972" s="35">
        <v>3.0</v>
      </c>
      <c r="L972" s="35" t="s">
        <v>223</v>
      </c>
      <c r="M972" s="36">
        <f>VLOOKUP(D972, County_Data_CZones!$B$2:$F$3236, 2, FALSE)</f>
        <v>4</v>
      </c>
      <c r="N972" s="37" t="str">
        <f>VLOOKUP(D972, County_Data_CZones!$B$2:$F$3236, 5, FALSE)</f>
        <v>Mixed-Humid</v>
      </c>
    </row>
    <row r="973" ht="15.75" customHeight="1">
      <c r="A973" s="32" t="s">
        <v>159</v>
      </c>
      <c r="B973" s="32" t="s">
        <v>750</v>
      </c>
      <c r="C973" s="32" t="str">
        <f>vlookup(B973,State_EMM_RowSums!$A$2:$B$52,2,FALSE)</f>
        <v>KS</v>
      </c>
      <c r="D973" s="32">
        <v>20167.0</v>
      </c>
      <c r="E973" s="33">
        <f>IF(NOT(ISBLANK(vlookup($D973,Pop_Census_2023!$A$2:$E$3220,4,FALSE))),vlookup($D973,Pop_Census_2023!$A$2:$E$3220,4,FALSE), vlookup($D973,Pop_Census_2023!$A$2:$E$3220,5,FALSE))</f>
        <v>6723</v>
      </c>
      <c r="F973" s="32">
        <v>485046.0</v>
      </c>
      <c r="G973" s="32">
        <v>53.0</v>
      </c>
      <c r="H973" s="32" t="str">
        <f>VLOOKUP(D973, Grid_Region_Mapping!$D$2:$F$5286, 3, FALSE)</f>
        <v>SPPC</v>
      </c>
      <c r="I973" s="32">
        <v>4.0</v>
      </c>
      <c r="J973" s="34" t="str">
        <f t="shared" si="1"/>
        <v>Midwest</v>
      </c>
      <c r="K973" s="35">
        <v>3.0</v>
      </c>
      <c r="L973" s="35" t="s">
        <v>223</v>
      </c>
      <c r="M973" s="36">
        <f>VLOOKUP(D973, County_Data_CZones!$B$2:$F$3236, 2, FALSE)</f>
        <v>4</v>
      </c>
      <c r="N973" s="37" t="str">
        <f>VLOOKUP(D973, County_Data_CZones!$B$2:$F$3236, 5, FALSE)</f>
        <v>Mixed-Humid</v>
      </c>
    </row>
    <row r="974" ht="15.75" customHeight="1">
      <c r="A974" s="32" t="s">
        <v>266</v>
      </c>
      <c r="B974" s="32" t="s">
        <v>750</v>
      </c>
      <c r="C974" s="32" t="str">
        <f>vlookup(B974,State_EMM_RowSums!$A$2:$B$52,2,FALSE)</f>
        <v>KS</v>
      </c>
      <c r="D974" s="32">
        <v>20169.0</v>
      </c>
      <c r="E974" s="33">
        <f>IF(NOT(ISBLANK(vlookup($D974,Pop_Census_2023!$A$2:$E$3220,4,FALSE))),vlookup($D974,Pop_Census_2023!$A$2:$E$3220,4,FALSE), vlookup($D974,Pop_Census_2023!$A$2:$E$3220,5,FALSE))</f>
        <v>53098</v>
      </c>
      <c r="F974" s="32">
        <v>485047.0</v>
      </c>
      <c r="G974" s="32">
        <v>53.0</v>
      </c>
      <c r="H974" s="32" t="str">
        <f>VLOOKUP(D974, Grid_Region_Mapping!$D$2:$F$5286, 3, FALSE)</f>
        <v>SPPC</v>
      </c>
      <c r="I974" s="32">
        <v>4.0</v>
      </c>
      <c r="J974" s="34" t="str">
        <f t="shared" si="1"/>
        <v>Midwest</v>
      </c>
      <c r="K974" s="35">
        <v>3.0</v>
      </c>
      <c r="L974" s="35" t="s">
        <v>223</v>
      </c>
      <c r="M974" s="36">
        <f>VLOOKUP(D974, County_Data_CZones!$B$2:$F$3236, 2, FALSE)</f>
        <v>4</v>
      </c>
      <c r="N974" s="37" t="str">
        <f>VLOOKUP(D974, County_Data_CZones!$B$2:$F$3236, 5, FALSE)</f>
        <v>Mixed-Humid</v>
      </c>
    </row>
    <row r="975" ht="15.75" customHeight="1">
      <c r="A975" s="32" t="s">
        <v>267</v>
      </c>
      <c r="B975" s="32" t="s">
        <v>750</v>
      </c>
      <c r="C975" s="32" t="str">
        <f>vlookup(B975,State_EMM_RowSums!$A$2:$B$52,2,FALSE)</f>
        <v>KS</v>
      </c>
      <c r="D975" s="32">
        <v>20171.0</v>
      </c>
      <c r="E975" s="33">
        <f>IF(NOT(ISBLANK(vlookup($D975,Pop_Census_2023!$A$2:$E$3220,4,FALSE))),vlookup($D975,Pop_Census_2023!$A$2:$E$3220,4,FALSE), vlookup($D975,Pop_Census_2023!$A$2:$E$3220,5,FALSE))</f>
        <v>4922</v>
      </c>
      <c r="F975" s="32">
        <v>485048.0</v>
      </c>
      <c r="G975" s="32">
        <v>52.0</v>
      </c>
      <c r="H975" s="32" t="str">
        <f>VLOOKUP(D975, Grid_Region_Mapping!$D$2:$F$5286, 3, FALSE)</f>
        <v>SPPC</v>
      </c>
      <c r="I975" s="32">
        <v>4.0</v>
      </c>
      <c r="J975" s="34" t="str">
        <f t="shared" si="1"/>
        <v>Midwest</v>
      </c>
      <c r="K975" s="35">
        <v>2.0</v>
      </c>
      <c r="L975" s="35" t="s">
        <v>396</v>
      </c>
      <c r="M975" s="36">
        <f>VLOOKUP(D975, County_Data_CZones!$B$2:$F$3236, 2, FALSE)</f>
        <v>5</v>
      </c>
      <c r="N975" s="37" t="str">
        <f>VLOOKUP(D975, County_Data_CZones!$B$2:$F$3236, 5, FALSE)</f>
        <v>Cold</v>
      </c>
    </row>
    <row r="976" ht="15.75" customHeight="1">
      <c r="A976" s="32" t="s">
        <v>390</v>
      </c>
      <c r="B976" s="32" t="s">
        <v>750</v>
      </c>
      <c r="C976" s="32" t="str">
        <f>vlookup(B976,State_EMM_RowSums!$A$2:$B$52,2,FALSE)</f>
        <v>KS</v>
      </c>
      <c r="D976" s="32">
        <v>20173.0</v>
      </c>
      <c r="E976" s="33">
        <f>IF(NOT(ISBLANK(vlookup($D976,Pop_Census_2023!$A$2:$E$3220,4,FALSE))),vlookup($D976,Pop_Census_2023!$A$2:$E$3220,4,FALSE), vlookup($D976,Pop_Census_2023!$A$2:$E$3220,5,FALSE))</f>
        <v>528469</v>
      </c>
      <c r="F976" s="32">
        <v>485049.0</v>
      </c>
      <c r="G976" s="32">
        <v>53.0</v>
      </c>
      <c r="H976" s="32" t="str">
        <f>VLOOKUP(D976, Grid_Region_Mapping!$D$2:$F$5286, 3, FALSE)</f>
        <v>SPPC</v>
      </c>
      <c r="I976" s="32">
        <v>4.0</v>
      </c>
      <c r="J976" s="34" t="str">
        <f t="shared" si="1"/>
        <v>Midwest</v>
      </c>
      <c r="K976" s="35">
        <v>3.0</v>
      </c>
      <c r="L976" s="35" t="s">
        <v>223</v>
      </c>
      <c r="M976" s="36">
        <f>VLOOKUP(D976, County_Data_CZones!$B$2:$F$3236, 2, FALSE)</f>
        <v>4</v>
      </c>
      <c r="N976" s="37" t="str">
        <f>VLOOKUP(D976, County_Data_CZones!$B$2:$F$3236, 5, FALSE)</f>
        <v>Mixed-Humid</v>
      </c>
    </row>
    <row r="977" ht="15.75" customHeight="1">
      <c r="A977" s="32" t="s">
        <v>802</v>
      </c>
      <c r="B977" s="32" t="s">
        <v>750</v>
      </c>
      <c r="C977" s="32" t="str">
        <f>vlookup(B977,State_EMM_RowSums!$A$2:$B$52,2,FALSE)</f>
        <v>KS</v>
      </c>
      <c r="D977" s="32">
        <v>20175.0</v>
      </c>
      <c r="E977" s="33">
        <f>IF(NOT(ISBLANK(vlookup($D977,Pop_Census_2023!$A$2:$E$3220,4,FALSE))),vlookup($D977,Pop_Census_2023!$A$2:$E$3220,4,FALSE), vlookup($D977,Pop_Census_2023!$A$2:$E$3220,5,FALSE))</f>
        <v>21067</v>
      </c>
      <c r="F977" s="32">
        <v>485050.0</v>
      </c>
      <c r="G977" s="32">
        <v>53.0</v>
      </c>
      <c r="H977" s="32" t="str">
        <f>VLOOKUP(D977, Grid_Region_Mapping!$D$2:$F$5286, 3, FALSE)</f>
        <v>SPPC</v>
      </c>
      <c r="I977" s="32">
        <v>4.0</v>
      </c>
      <c r="J977" s="34" t="str">
        <f t="shared" si="1"/>
        <v>Midwest</v>
      </c>
      <c r="K977" s="35">
        <v>3.0</v>
      </c>
      <c r="L977" s="35" t="s">
        <v>223</v>
      </c>
      <c r="M977" s="36">
        <f>VLOOKUP(D977, County_Data_CZones!$B$2:$F$3236, 2, FALSE)</f>
        <v>4</v>
      </c>
      <c r="N977" s="37" t="str">
        <f>VLOOKUP(D977, County_Data_CZones!$B$2:$F$3236, 5, FALSE)</f>
        <v>Mixed-Humid</v>
      </c>
    </row>
    <row r="978" ht="15.75" customHeight="1">
      <c r="A978" s="32" t="s">
        <v>803</v>
      </c>
      <c r="B978" s="32" t="s">
        <v>750</v>
      </c>
      <c r="C978" s="32" t="str">
        <f>vlookup(B978,State_EMM_RowSums!$A$2:$B$52,2,FALSE)</f>
        <v>KS</v>
      </c>
      <c r="D978" s="32">
        <v>20177.0</v>
      </c>
      <c r="E978" s="33">
        <f>IF(NOT(ISBLANK(vlookup($D978,Pop_Census_2023!$A$2:$E$3220,4,FALSE))),vlookup($D978,Pop_Census_2023!$A$2:$E$3220,4,FALSE), vlookup($D978,Pop_Census_2023!$A$2:$E$3220,5,FALSE))</f>
        <v>177746</v>
      </c>
      <c r="F978" s="32">
        <v>485051.0</v>
      </c>
      <c r="G978" s="32">
        <v>53.0</v>
      </c>
      <c r="H978" s="32" t="str">
        <f>VLOOKUP(D978, Grid_Region_Mapping!$D$2:$F$5286, 3, FALSE)</f>
        <v>SPPC</v>
      </c>
      <c r="I978" s="32">
        <v>4.0</v>
      </c>
      <c r="J978" s="34" t="str">
        <f t="shared" si="1"/>
        <v>Midwest</v>
      </c>
      <c r="K978" s="35">
        <v>3.0</v>
      </c>
      <c r="L978" s="35" t="s">
        <v>223</v>
      </c>
      <c r="M978" s="36">
        <f>VLOOKUP(D978, County_Data_CZones!$B$2:$F$3236, 2, FALSE)</f>
        <v>4</v>
      </c>
      <c r="N978" s="37" t="str">
        <f>VLOOKUP(D978, County_Data_CZones!$B$2:$F$3236, 5, FALSE)</f>
        <v>Mixed-Humid</v>
      </c>
    </row>
    <row r="979" ht="15.75" customHeight="1">
      <c r="A979" s="32" t="s">
        <v>804</v>
      </c>
      <c r="B979" s="32" t="s">
        <v>750</v>
      </c>
      <c r="C979" s="32" t="str">
        <f>vlookup(B979,State_EMM_RowSums!$A$2:$B$52,2,FALSE)</f>
        <v>KS</v>
      </c>
      <c r="D979" s="32">
        <v>20179.0</v>
      </c>
      <c r="E979" s="33">
        <f>IF(NOT(ISBLANK(vlookup($D979,Pop_Census_2023!$A$2:$E$3220,4,FALSE))),vlookup($D979,Pop_Census_2023!$A$2:$E$3220,4,FALSE), vlookup($D979,Pop_Census_2023!$A$2:$E$3220,5,FALSE))</f>
        <v>2423</v>
      </c>
      <c r="F979" s="32">
        <v>485052.0</v>
      </c>
      <c r="G979" s="32">
        <v>52.0</v>
      </c>
      <c r="H979" s="32" t="str">
        <f>VLOOKUP(D979, Grid_Region_Mapping!$D$2:$F$5286, 3, FALSE)</f>
        <v>SPPC</v>
      </c>
      <c r="I979" s="32">
        <v>4.0</v>
      </c>
      <c r="J979" s="34" t="str">
        <f t="shared" si="1"/>
        <v>Midwest</v>
      </c>
      <c r="K979" s="35">
        <v>2.0</v>
      </c>
      <c r="L979" s="35" t="s">
        <v>396</v>
      </c>
      <c r="M979" s="36">
        <f>VLOOKUP(D979, County_Data_CZones!$B$2:$F$3236, 2, FALSE)</f>
        <v>5</v>
      </c>
      <c r="N979" s="37" t="str">
        <f>VLOOKUP(D979, County_Data_CZones!$B$2:$F$3236, 5, FALSE)</f>
        <v>Cold</v>
      </c>
    </row>
    <row r="980" ht="15.75" customHeight="1">
      <c r="A980" s="32" t="s">
        <v>805</v>
      </c>
      <c r="B980" s="32" t="s">
        <v>750</v>
      </c>
      <c r="C980" s="32" t="str">
        <f>vlookup(B980,State_EMM_RowSums!$A$2:$B$52,2,FALSE)</f>
        <v>KS</v>
      </c>
      <c r="D980" s="32">
        <v>20181.0</v>
      </c>
      <c r="E980" s="33">
        <f>IF(NOT(ISBLANK(vlookup($D980,Pop_Census_2023!$A$2:$E$3220,4,FALSE))),vlookup($D980,Pop_Census_2023!$A$2:$E$3220,4,FALSE), vlookup($D980,Pop_Census_2023!$A$2:$E$3220,5,FALSE))</f>
        <v>5844</v>
      </c>
      <c r="F980" s="32">
        <v>485053.0</v>
      </c>
      <c r="G980" s="32">
        <v>52.0</v>
      </c>
      <c r="H980" s="32" t="str">
        <f>VLOOKUP(D980, Grid_Region_Mapping!$D$2:$F$5286, 3, FALSE)</f>
        <v>SPPC</v>
      </c>
      <c r="I980" s="32">
        <v>4.0</v>
      </c>
      <c r="J980" s="34" t="str">
        <f t="shared" si="1"/>
        <v>Midwest</v>
      </c>
      <c r="K980" s="35">
        <v>2.0</v>
      </c>
      <c r="L980" s="35" t="s">
        <v>396</v>
      </c>
      <c r="M980" s="36">
        <f>VLOOKUP(D980, County_Data_CZones!$B$2:$F$3236, 2, FALSE)</f>
        <v>5</v>
      </c>
      <c r="N980" s="37" t="str">
        <f>VLOOKUP(D980, County_Data_CZones!$B$2:$F$3236, 5, FALSE)</f>
        <v>Cold</v>
      </c>
    </row>
    <row r="981" ht="15.75" customHeight="1">
      <c r="A981" s="32" t="s">
        <v>806</v>
      </c>
      <c r="B981" s="32" t="s">
        <v>750</v>
      </c>
      <c r="C981" s="32" t="str">
        <f>vlookup(B981,State_EMM_RowSums!$A$2:$B$52,2,FALSE)</f>
        <v>KS</v>
      </c>
      <c r="D981" s="32">
        <v>20183.0</v>
      </c>
      <c r="E981" s="33">
        <f>IF(NOT(ISBLANK(vlookup($D981,Pop_Census_2023!$A$2:$E$3220,4,FALSE))),vlookup($D981,Pop_Census_2023!$A$2:$E$3220,4,FALSE), vlookup($D981,Pop_Census_2023!$A$2:$E$3220,5,FALSE))</f>
        <v>3590</v>
      </c>
      <c r="F981" s="32">
        <v>484969.0</v>
      </c>
      <c r="G981" s="32">
        <v>53.0</v>
      </c>
      <c r="H981" s="32" t="str">
        <f>VLOOKUP(D981, Grid_Region_Mapping!$D$2:$F$5286, 3, FALSE)</f>
        <v>SPPC</v>
      </c>
      <c r="I981" s="32">
        <v>4.0</v>
      </c>
      <c r="J981" s="34" t="str">
        <f t="shared" si="1"/>
        <v>Midwest</v>
      </c>
      <c r="K981" s="35">
        <v>2.0</v>
      </c>
      <c r="L981" s="35" t="s">
        <v>396</v>
      </c>
      <c r="M981" s="36">
        <f>VLOOKUP(D981, County_Data_CZones!$B$2:$F$3236, 2, FALSE)</f>
        <v>5</v>
      </c>
      <c r="N981" s="37" t="str">
        <f>VLOOKUP(D981, County_Data_CZones!$B$2:$F$3236, 5, FALSE)</f>
        <v>Cold</v>
      </c>
    </row>
    <row r="982" ht="15.75" customHeight="1">
      <c r="A982" s="32" t="s">
        <v>807</v>
      </c>
      <c r="B982" s="32" t="s">
        <v>750</v>
      </c>
      <c r="C982" s="32" t="str">
        <f>vlookup(B982,State_EMM_RowSums!$A$2:$B$52,2,FALSE)</f>
        <v>KS</v>
      </c>
      <c r="D982" s="32">
        <v>20185.0</v>
      </c>
      <c r="E982" s="33">
        <f>IF(NOT(ISBLANK(vlookup($D982,Pop_Census_2023!$A$2:$E$3220,4,FALSE))),vlookup($D982,Pop_Census_2023!$A$2:$E$3220,4,FALSE), vlookup($D982,Pop_Census_2023!$A$2:$E$3220,5,FALSE))</f>
        <v>3909</v>
      </c>
      <c r="F982" s="32">
        <v>485054.0</v>
      </c>
      <c r="G982" s="32">
        <v>53.0</v>
      </c>
      <c r="H982" s="32" t="str">
        <f>VLOOKUP(D982, Grid_Region_Mapping!$D$2:$F$5286, 3, FALSE)</f>
        <v>SPPC</v>
      </c>
      <c r="I982" s="32">
        <v>4.0</v>
      </c>
      <c r="J982" s="34" t="str">
        <f t="shared" si="1"/>
        <v>Midwest</v>
      </c>
      <c r="K982" s="35">
        <v>3.0</v>
      </c>
      <c r="L982" s="35" t="s">
        <v>223</v>
      </c>
      <c r="M982" s="36">
        <f>VLOOKUP(D982, County_Data_CZones!$B$2:$F$3236, 2, FALSE)</f>
        <v>4</v>
      </c>
      <c r="N982" s="37" t="str">
        <f>VLOOKUP(D982, County_Data_CZones!$B$2:$F$3236, 5, FALSE)</f>
        <v>Mixed-Humid</v>
      </c>
    </row>
    <row r="983" ht="15.75" customHeight="1">
      <c r="A983" s="32" t="s">
        <v>808</v>
      </c>
      <c r="B983" s="32" t="s">
        <v>750</v>
      </c>
      <c r="C983" s="32" t="str">
        <f>vlookup(B983,State_EMM_RowSums!$A$2:$B$52,2,FALSE)</f>
        <v>KS</v>
      </c>
      <c r="D983" s="32">
        <v>20187.0</v>
      </c>
      <c r="E983" s="33">
        <f>IF(NOT(ISBLANK(vlookup($D983,Pop_Census_2023!$A$2:$E$3220,4,FALSE))),vlookup($D983,Pop_Census_2023!$A$2:$E$3220,4,FALSE), vlookup($D983,Pop_Census_2023!$A$2:$E$3220,5,FALSE))</f>
        <v>1901</v>
      </c>
      <c r="F983" s="32">
        <v>485055.0</v>
      </c>
      <c r="G983" s="32">
        <v>52.0</v>
      </c>
      <c r="H983" s="32" t="str">
        <f>VLOOKUP(D983, Grid_Region_Mapping!$D$2:$F$5286, 3, FALSE)</f>
        <v>SPPC</v>
      </c>
      <c r="I983" s="32">
        <v>4.0</v>
      </c>
      <c r="J983" s="34" t="str">
        <f t="shared" si="1"/>
        <v>Midwest</v>
      </c>
      <c r="K983" s="35">
        <v>3.0</v>
      </c>
      <c r="L983" s="35" t="s">
        <v>223</v>
      </c>
      <c r="M983" s="36">
        <f>VLOOKUP(D983, County_Data_CZones!$B$2:$F$3236, 2, FALSE)</f>
        <v>4</v>
      </c>
      <c r="N983" s="37" t="str">
        <f>VLOOKUP(D983, County_Data_CZones!$B$2:$F$3236, 5, FALSE)</f>
        <v>Mixed-Humid</v>
      </c>
    </row>
    <row r="984" ht="15.75" customHeight="1">
      <c r="A984" s="32" t="s">
        <v>809</v>
      </c>
      <c r="B984" s="32" t="s">
        <v>750</v>
      </c>
      <c r="C984" s="32" t="str">
        <f>vlookup(B984,State_EMM_RowSums!$A$2:$B$52,2,FALSE)</f>
        <v>KS</v>
      </c>
      <c r="D984" s="32">
        <v>20189.0</v>
      </c>
      <c r="E984" s="33">
        <f>IF(NOT(ISBLANK(vlookup($D984,Pop_Census_2023!$A$2:$E$3220,4,FALSE))),vlookup($D984,Pop_Census_2023!$A$2:$E$3220,4,FALSE), vlookup($D984,Pop_Census_2023!$A$2:$E$3220,5,FALSE))</f>
        <v>5077</v>
      </c>
      <c r="F984" s="32">
        <v>485056.0</v>
      </c>
      <c r="G984" s="32">
        <v>52.0</v>
      </c>
      <c r="H984" s="32" t="str">
        <f>VLOOKUP(D984, Grid_Region_Mapping!$D$2:$F$5286, 3, FALSE)</f>
        <v>SPPC</v>
      </c>
      <c r="I984" s="32">
        <v>4.0</v>
      </c>
      <c r="J984" s="34" t="str">
        <f t="shared" si="1"/>
        <v>Midwest</v>
      </c>
      <c r="K984" s="35">
        <v>3.0</v>
      </c>
      <c r="L984" s="35" t="s">
        <v>223</v>
      </c>
      <c r="M984" s="36">
        <f>VLOOKUP(D984, County_Data_CZones!$B$2:$F$3236, 2, FALSE)</f>
        <v>4</v>
      </c>
      <c r="N984" s="37" t="str">
        <f>VLOOKUP(D984, County_Data_CZones!$B$2:$F$3236, 5, FALSE)</f>
        <v>Mixed-Humid</v>
      </c>
    </row>
    <row r="985" ht="15.75" customHeight="1">
      <c r="A985" s="32" t="s">
        <v>810</v>
      </c>
      <c r="B985" s="32" t="s">
        <v>750</v>
      </c>
      <c r="C985" s="32" t="str">
        <f>vlookup(B985,State_EMM_RowSums!$A$2:$B$52,2,FALSE)</f>
        <v>KS</v>
      </c>
      <c r="D985" s="32">
        <v>20191.0</v>
      </c>
      <c r="E985" s="33">
        <f>IF(NOT(ISBLANK(vlookup($D985,Pop_Census_2023!$A$2:$E$3220,4,FALSE))),vlookup($D985,Pop_Census_2023!$A$2:$E$3220,4,FALSE), vlookup($D985,Pop_Census_2023!$A$2:$E$3220,5,FALSE))</f>
        <v>22334</v>
      </c>
      <c r="F985" s="32">
        <v>481812.0</v>
      </c>
      <c r="G985" s="32">
        <v>53.0</v>
      </c>
      <c r="H985" s="32" t="str">
        <f>VLOOKUP(D985, Grid_Region_Mapping!$D$2:$F$5286, 3, FALSE)</f>
        <v>SPPC</v>
      </c>
      <c r="I985" s="32">
        <v>4.0</v>
      </c>
      <c r="J985" s="34" t="str">
        <f t="shared" si="1"/>
        <v>Midwest</v>
      </c>
      <c r="K985" s="35">
        <v>3.0</v>
      </c>
      <c r="L985" s="35" t="s">
        <v>223</v>
      </c>
      <c r="M985" s="36">
        <f>VLOOKUP(D985, County_Data_CZones!$B$2:$F$3236, 2, FALSE)</f>
        <v>4</v>
      </c>
      <c r="N985" s="37" t="str">
        <f>VLOOKUP(D985, County_Data_CZones!$B$2:$F$3236, 5, FALSE)</f>
        <v>Mixed-Humid</v>
      </c>
    </row>
    <row r="986" ht="15.75" customHeight="1">
      <c r="A986" s="32" t="s">
        <v>551</v>
      </c>
      <c r="B986" s="32" t="s">
        <v>750</v>
      </c>
      <c r="C986" s="32" t="str">
        <f>vlookup(B986,State_EMM_RowSums!$A$2:$B$52,2,FALSE)</f>
        <v>KS</v>
      </c>
      <c r="D986" s="32">
        <v>20193.0</v>
      </c>
      <c r="E986" s="33">
        <f>IF(NOT(ISBLANK(vlookup($D986,Pop_Census_2023!$A$2:$E$3220,4,FALSE))),vlookup($D986,Pop_Census_2023!$A$2:$E$3220,4,FALSE), vlookup($D986,Pop_Census_2023!$A$2:$E$3220,5,FALSE))</f>
        <v>7865</v>
      </c>
      <c r="F986" s="32">
        <v>485057.0</v>
      </c>
      <c r="G986" s="32">
        <v>52.0</v>
      </c>
      <c r="H986" s="32" t="str">
        <f>VLOOKUP(D986, Grid_Region_Mapping!$D$2:$F$5286, 3, FALSE)</f>
        <v>SPPC</v>
      </c>
      <c r="I986" s="32">
        <v>4.0</v>
      </c>
      <c r="J986" s="34" t="str">
        <f t="shared" si="1"/>
        <v>Midwest</v>
      </c>
      <c r="K986" s="35">
        <v>2.0</v>
      </c>
      <c r="L986" s="35" t="s">
        <v>396</v>
      </c>
      <c r="M986" s="36">
        <f>VLOOKUP(D986, County_Data_CZones!$B$2:$F$3236, 2, FALSE)</f>
        <v>5</v>
      </c>
      <c r="N986" s="37" t="str">
        <f>VLOOKUP(D986, County_Data_CZones!$B$2:$F$3236, 5, FALSE)</f>
        <v>Cold</v>
      </c>
    </row>
    <row r="987" ht="15.75" customHeight="1">
      <c r="A987" s="32" t="s">
        <v>811</v>
      </c>
      <c r="B987" s="32" t="s">
        <v>750</v>
      </c>
      <c r="C987" s="32" t="str">
        <f>vlookup(B987,State_EMM_RowSums!$A$2:$B$52,2,FALSE)</f>
        <v>KS</v>
      </c>
      <c r="D987" s="32">
        <v>20195.0</v>
      </c>
      <c r="E987" s="33">
        <f>IF(NOT(ISBLANK(vlookup($D987,Pop_Census_2023!$A$2:$E$3220,4,FALSE))),vlookup($D987,Pop_Census_2023!$A$2:$E$3220,4,FALSE), vlookup($D987,Pop_Census_2023!$A$2:$E$3220,5,FALSE))</f>
        <v>2731</v>
      </c>
      <c r="F987" s="32">
        <v>485058.0</v>
      </c>
      <c r="G987" s="32">
        <v>52.0</v>
      </c>
      <c r="H987" s="32" t="str">
        <f>VLOOKUP(D987, Grid_Region_Mapping!$D$2:$F$5286, 3, FALSE)</f>
        <v>SPPC</v>
      </c>
      <c r="I987" s="32">
        <v>4.0</v>
      </c>
      <c r="J987" s="34" t="str">
        <f t="shared" si="1"/>
        <v>Midwest</v>
      </c>
      <c r="K987" s="35">
        <v>2.0</v>
      </c>
      <c r="L987" s="35" t="s">
        <v>396</v>
      </c>
      <c r="M987" s="36">
        <f>VLOOKUP(D987, County_Data_CZones!$B$2:$F$3236, 2, FALSE)</f>
        <v>5</v>
      </c>
      <c r="N987" s="37" t="str">
        <f>VLOOKUP(D987, County_Data_CZones!$B$2:$F$3236, 5, FALSE)</f>
        <v>Cold</v>
      </c>
    </row>
    <row r="988" ht="15.75" customHeight="1">
      <c r="A988" s="32" t="s">
        <v>812</v>
      </c>
      <c r="B988" s="32" t="s">
        <v>750</v>
      </c>
      <c r="C988" s="32" t="str">
        <f>vlookup(B988,State_EMM_RowSums!$A$2:$B$52,2,FALSE)</f>
        <v>KS</v>
      </c>
      <c r="D988" s="32">
        <v>20197.0</v>
      </c>
      <c r="E988" s="33">
        <f>IF(NOT(ISBLANK(vlookup($D988,Pop_Census_2023!$A$2:$E$3220,4,FALSE))),vlookup($D988,Pop_Census_2023!$A$2:$E$3220,4,FALSE), vlookup($D988,Pop_Census_2023!$A$2:$E$3220,5,FALSE))</f>
        <v>7057</v>
      </c>
      <c r="F988" s="32">
        <v>485059.0</v>
      </c>
      <c r="G988" s="32">
        <v>53.0</v>
      </c>
      <c r="H988" s="32" t="str">
        <f>VLOOKUP(D988, Grid_Region_Mapping!$D$2:$F$5286, 3, FALSE)</f>
        <v>SPPC</v>
      </c>
      <c r="I988" s="32">
        <v>4.0</v>
      </c>
      <c r="J988" s="34" t="str">
        <f t="shared" si="1"/>
        <v>Midwest</v>
      </c>
      <c r="K988" s="35">
        <v>3.0</v>
      </c>
      <c r="L988" s="35" t="s">
        <v>223</v>
      </c>
      <c r="M988" s="36">
        <f>VLOOKUP(D988, County_Data_CZones!$B$2:$F$3236, 2, FALSE)</f>
        <v>4</v>
      </c>
      <c r="N988" s="37" t="str">
        <f>VLOOKUP(D988, County_Data_CZones!$B$2:$F$3236, 5, FALSE)</f>
        <v>Mixed-Humid</v>
      </c>
    </row>
    <row r="989" ht="15.75" customHeight="1">
      <c r="A989" s="32" t="s">
        <v>813</v>
      </c>
      <c r="B989" s="32" t="s">
        <v>750</v>
      </c>
      <c r="C989" s="32" t="str">
        <f>vlookup(B989,State_EMM_RowSums!$A$2:$B$52,2,FALSE)</f>
        <v>KS</v>
      </c>
      <c r="D989" s="32">
        <v>20199.0</v>
      </c>
      <c r="E989" s="33">
        <f>IF(NOT(ISBLANK(vlookup($D989,Pop_Census_2023!$A$2:$E$3220,4,FALSE))),vlookup($D989,Pop_Census_2023!$A$2:$E$3220,4,FALSE), vlookup($D989,Pop_Census_2023!$A$2:$E$3220,5,FALSE))</f>
        <v>1509</v>
      </c>
      <c r="F989" s="32">
        <v>485060.0</v>
      </c>
      <c r="G989" s="32">
        <v>52.0</v>
      </c>
      <c r="H989" s="32" t="str">
        <f>VLOOKUP(D989, Grid_Region_Mapping!$D$2:$F$5286, 3, FALSE)</f>
        <v>SPPC</v>
      </c>
      <c r="I989" s="32">
        <v>4.0</v>
      </c>
      <c r="J989" s="34" t="str">
        <f t="shared" si="1"/>
        <v>Midwest</v>
      </c>
      <c r="K989" s="35">
        <v>2.0</v>
      </c>
      <c r="L989" s="35" t="s">
        <v>396</v>
      </c>
      <c r="M989" s="36">
        <f>VLOOKUP(D989, County_Data_CZones!$B$2:$F$3236, 2, FALSE)</f>
        <v>5</v>
      </c>
      <c r="N989" s="37" t="str">
        <f>VLOOKUP(D989, County_Data_CZones!$B$2:$F$3236, 5, FALSE)</f>
        <v>Cold</v>
      </c>
    </row>
    <row r="990" ht="15.75" customHeight="1">
      <c r="A990" s="32" t="s">
        <v>167</v>
      </c>
      <c r="B990" s="32" t="s">
        <v>750</v>
      </c>
      <c r="C990" s="32" t="str">
        <f>vlookup(B990,State_EMM_RowSums!$A$2:$B$52,2,FALSE)</f>
        <v>KS</v>
      </c>
      <c r="D990" s="32">
        <v>20201.0</v>
      </c>
      <c r="E990" s="33">
        <f>IF(NOT(ISBLANK(vlookup($D990,Pop_Census_2023!$A$2:$E$3220,4,FALSE))),vlookup($D990,Pop_Census_2023!$A$2:$E$3220,4,FALSE), vlookup($D990,Pop_Census_2023!$A$2:$E$3220,5,FALSE))</f>
        <v>5504</v>
      </c>
      <c r="F990" s="32">
        <v>485061.0</v>
      </c>
      <c r="G990" s="32">
        <v>53.0</v>
      </c>
      <c r="H990" s="32" t="str">
        <f>VLOOKUP(D990, Grid_Region_Mapping!$D$2:$F$5286, 3, FALSE)</f>
        <v>SPPC</v>
      </c>
      <c r="I990" s="32">
        <v>4.0</v>
      </c>
      <c r="J990" s="34" t="str">
        <f t="shared" si="1"/>
        <v>Midwest</v>
      </c>
      <c r="K990" s="35">
        <v>2.0</v>
      </c>
      <c r="L990" s="35" t="s">
        <v>223</v>
      </c>
      <c r="M990" s="36">
        <f>VLOOKUP(D990, County_Data_CZones!$B$2:$F$3236, 2, FALSE)</f>
        <v>4</v>
      </c>
      <c r="N990" s="37" t="str">
        <f>VLOOKUP(D990, County_Data_CZones!$B$2:$F$3236, 5, FALSE)</f>
        <v>Mixed-Humid</v>
      </c>
    </row>
    <row r="991" ht="15.75" customHeight="1">
      <c r="A991" s="32" t="s">
        <v>814</v>
      </c>
      <c r="B991" s="32" t="s">
        <v>750</v>
      </c>
      <c r="C991" s="32" t="str">
        <f>vlookup(B991,State_EMM_RowSums!$A$2:$B$52,2,FALSE)</f>
        <v>KS</v>
      </c>
      <c r="D991" s="32">
        <v>20203.0</v>
      </c>
      <c r="E991" s="33">
        <f>IF(NOT(ISBLANK(vlookup($D991,Pop_Census_2023!$A$2:$E$3220,4,FALSE))),vlookup($D991,Pop_Census_2023!$A$2:$E$3220,4,FALSE), vlookup($D991,Pop_Census_2023!$A$2:$E$3220,5,FALSE))</f>
        <v>2082</v>
      </c>
      <c r="F991" s="32">
        <v>485062.0</v>
      </c>
      <c r="G991" s="32">
        <v>52.0</v>
      </c>
      <c r="H991" s="32" t="str">
        <f>VLOOKUP(D991, Grid_Region_Mapping!$D$2:$F$5286, 3, FALSE)</f>
        <v>SPPC</v>
      </c>
      <c r="I991" s="32">
        <v>4.0</v>
      </c>
      <c r="J991" s="34" t="str">
        <f t="shared" si="1"/>
        <v>Midwest</v>
      </c>
      <c r="K991" s="35">
        <v>2.0</v>
      </c>
      <c r="L991" s="35" t="s">
        <v>396</v>
      </c>
      <c r="M991" s="36">
        <f>VLOOKUP(D991, County_Data_CZones!$B$2:$F$3236, 2, FALSE)</f>
        <v>5</v>
      </c>
      <c r="N991" s="37" t="str">
        <f>VLOOKUP(D991, County_Data_CZones!$B$2:$F$3236, 5, FALSE)</f>
        <v>Cold</v>
      </c>
    </row>
    <row r="992" ht="15.75" customHeight="1">
      <c r="A992" s="32" t="s">
        <v>815</v>
      </c>
      <c r="B992" s="32" t="s">
        <v>750</v>
      </c>
      <c r="C992" s="32" t="str">
        <f>vlookup(B992,State_EMM_RowSums!$A$2:$B$52,2,FALSE)</f>
        <v>KS</v>
      </c>
      <c r="D992" s="32">
        <v>20205.0</v>
      </c>
      <c r="E992" s="33">
        <f>IF(NOT(ISBLANK(vlookup($D992,Pop_Census_2023!$A$2:$E$3220,4,FALSE))),vlookup($D992,Pop_Census_2023!$A$2:$E$3220,4,FALSE), vlookup($D992,Pop_Census_2023!$A$2:$E$3220,5,FALSE))</f>
        <v>8382</v>
      </c>
      <c r="F992" s="32">
        <v>485063.0</v>
      </c>
      <c r="G992" s="32">
        <v>53.0</v>
      </c>
      <c r="H992" s="32" t="str">
        <f>VLOOKUP(D992, Grid_Region_Mapping!$D$2:$F$5286, 3, FALSE)</f>
        <v>SPPC</v>
      </c>
      <c r="I992" s="32">
        <v>4.0</v>
      </c>
      <c r="J992" s="34" t="str">
        <f t="shared" si="1"/>
        <v>Midwest</v>
      </c>
      <c r="K992" s="35">
        <v>3.0</v>
      </c>
      <c r="L992" s="35" t="s">
        <v>223</v>
      </c>
      <c r="M992" s="36">
        <f>VLOOKUP(D992, County_Data_CZones!$B$2:$F$3236, 2, FALSE)</f>
        <v>4</v>
      </c>
      <c r="N992" s="37" t="str">
        <f>VLOOKUP(D992, County_Data_CZones!$B$2:$F$3236, 5, FALSE)</f>
        <v>Mixed-Humid</v>
      </c>
    </row>
    <row r="993" ht="15.75" customHeight="1">
      <c r="A993" s="32" t="s">
        <v>816</v>
      </c>
      <c r="B993" s="32" t="s">
        <v>750</v>
      </c>
      <c r="C993" s="32" t="str">
        <f>vlookup(B993,State_EMM_RowSums!$A$2:$B$52,2,FALSE)</f>
        <v>KS</v>
      </c>
      <c r="D993" s="32">
        <v>20207.0</v>
      </c>
      <c r="E993" s="33">
        <f>IF(NOT(ISBLANK(vlookup($D993,Pop_Census_2023!$A$2:$E$3220,4,FALSE))),vlookup($D993,Pop_Census_2023!$A$2:$E$3220,4,FALSE), vlookup($D993,Pop_Census_2023!$A$2:$E$3220,5,FALSE))</f>
        <v>3115</v>
      </c>
      <c r="F993" s="32">
        <v>485064.0</v>
      </c>
      <c r="G993" s="32">
        <v>53.0</v>
      </c>
      <c r="H993" s="32" t="str">
        <f>VLOOKUP(D993, Grid_Region_Mapping!$D$2:$F$5286, 3, FALSE)</f>
        <v>SPPC</v>
      </c>
      <c r="I993" s="32">
        <v>4.0</v>
      </c>
      <c r="J993" s="34" t="str">
        <f t="shared" si="1"/>
        <v>Midwest</v>
      </c>
      <c r="K993" s="35">
        <v>3.0</v>
      </c>
      <c r="L993" s="35" t="s">
        <v>223</v>
      </c>
      <c r="M993" s="36">
        <f>VLOOKUP(D993, County_Data_CZones!$B$2:$F$3236, 2, FALSE)</f>
        <v>4</v>
      </c>
      <c r="N993" s="37" t="str">
        <f>VLOOKUP(D993, County_Data_CZones!$B$2:$F$3236, 5, FALSE)</f>
        <v>Mixed-Humid</v>
      </c>
    </row>
    <row r="994" ht="15.75" customHeight="1">
      <c r="A994" s="32" t="s">
        <v>817</v>
      </c>
      <c r="B994" s="32" t="s">
        <v>750</v>
      </c>
      <c r="C994" s="32" t="str">
        <f>vlookup(B994,State_EMM_RowSums!$A$2:$B$52,2,FALSE)</f>
        <v>KS</v>
      </c>
      <c r="D994" s="32">
        <v>20209.0</v>
      </c>
      <c r="E994" s="33">
        <f>IF(NOT(ISBLANK(vlookup($D994,Pop_Census_2023!$A$2:$E$3220,4,FALSE))),vlookup($D994,Pop_Census_2023!$A$2:$E$3220,4,FALSE), vlookup($D994,Pop_Census_2023!$A$2:$E$3220,5,FALSE))</f>
        <v>165281</v>
      </c>
      <c r="F994" s="32">
        <v>485065.0</v>
      </c>
      <c r="G994" s="32">
        <v>53.0</v>
      </c>
      <c r="H994" s="32" t="str">
        <f>VLOOKUP(D994, Grid_Region_Mapping!$D$2:$F$5286, 3, FALSE)</f>
        <v>SPPC</v>
      </c>
      <c r="I994" s="32">
        <v>4.0</v>
      </c>
      <c r="J994" s="34" t="str">
        <f t="shared" si="1"/>
        <v>Midwest</v>
      </c>
      <c r="K994" s="35">
        <v>3.0</v>
      </c>
      <c r="L994" s="35" t="s">
        <v>223</v>
      </c>
      <c r="M994" s="36">
        <f>VLOOKUP(D994, County_Data_CZones!$B$2:$F$3236, 2, FALSE)</f>
        <v>4</v>
      </c>
      <c r="N994" s="37" t="str">
        <f>VLOOKUP(D994, County_Data_CZones!$B$2:$F$3236, 5, FALSE)</f>
        <v>Mixed-Humid</v>
      </c>
    </row>
    <row r="995" ht="15.75" customHeight="1">
      <c r="A995" s="32" t="s">
        <v>704</v>
      </c>
      <c r="B995" s="32" t="s">
        <v>818</v>
      </c>
      <c r="C995" s="32" t="str">
        <f>vlookup(B995,State_EMM_RowSums!$A$2:$B$52,2,FALSE)</f>
        <v>KY</v>
      </c>
      <c r="D995" s="32">
        <v>21001.0</v>
      </c>
      <c r="E995" s="33">
        <f>IF(NOT(ISBLANK(vlookup($D995,Pop_Census_2023!$A$2:$E$3220,4,FALSE))),vlookup($D995,Pop_Census_2023!$A$2:$E$3220,4,FALSE), vlookup($D995,Pop_Census_2023!$A$2:$E$3220,5,FALSE))</f>
        <v>19264</v>
      </c>
      <c r="F995" s="32">
        <v>516847.0</v>
      </c>
      <c r="G995" s="32">
        <v>109.0</v>
      </c>
      <c r="H995" s="32" t="str">
        <f>VLOOKUP(D995, Grid_Region_Mapping!$D$2:$F$5286, 3, FALSE)</f>
        <v>SRCE</v>
      </c>
      <c r="I995" s="32">
        <v>6.0</v>
      </c>
      <c r="J995" s="34" t="str">
        <f t="shared" si="1"/>
        <v>South</v>
      </c>
      <c r="K995" s="35">
        <v>3.0</v>
      </c>
      <c r="L995" s="35" t="s">
        <v>223</v>
      </c>
      <c r="M995" s="36">
        <f>VLOOKUP(D995, County_Data_CZones!$B$2:$F$3236, 2, FALSE)</f>
        <v>4</v>
      </c>
      <c r="N995" s="37" t="str">
        <f>VLOOKUP(D995, County_Data_CZones!$B$2:$F$3236, 5, FALSE)</f>
        <v>Mixed-Humid</v>
      </c>
    </row>
    <row r="996" ht="15.75" customHeight="1">
      <c r="A996" s="32" t="s">
        <v>664</v>
      </c>
      <c r="B996" s="32" t="s">
        <v>818</v>
      </c>
      <c r="C996" s="32" t="str">
        <f>vlookup(B996,State_EMM_RowSums!$A$2:$B$52,2,FALSE)</f>
        <v>KY</v>
      </c>
      <c r="D996" s="32">
        <v>21003.0</v>
      </c>
      <c r="E996" s="33">
        <f>IF(NOT(ISBLANK(vlookup($D996,Pop_Census_2023!$A$2:$E$3220,4,FALSE))),vlookup($D996,Pop_Census_2023!$A$2:$E$3220,4,FALSE), vlookup($D996,Pop_Census_2023!$A$2:$E$3220,5,FALSE))</f>
        <v>21788</v>
      </c>
      <c r="F996" s="32">
        <v>516848.0</v>
      </c>
      <c r="G996" s="32">
        <v>93.0</v>
      </c>
      <c r="H996" s="32" t="str">
        <f>VLOOKUP(D996, Grid_Region_Mapping!$D$2:$F$5286, 3, FALSE)</f>
        <v>SRCE</v>
      </c>
      <c r="I996" s="32">
        <v>6.0</v>
      </c>
      <c r="J996" s="34" t="str">
        <f t="shared" si="1"/>
        <v>South</v>
      </c>
      <c r="K996" s="35">
        <v>3.0</v>
      </c>
      <c r="L996" s="35" t="s">
        <v>223</v>
      </c>
      <c r="M996" s="36">
        <f>VLOOKUP(D996, County_Data_CZones!$B$2:$F$3236, 2, FALSE)</f>
        <v>4</v>
      </c>
      <c r="N996" s="37" t="str">
        <f>VLOOKUP(D996, County_Data_CZones!$B$2:$F$3236, 5, FALSE)</f>
        <v>Mixed-Humid</v>
      </c>
    </row>
    <row r="997" ht="15.75" customHeight="1">
      <c r="A997" s="32" t="s">
        <v>751</v>
      </c>
      <c r="B997" s="32" t="s">
        <v>818</v>
      </c>
      <c r="C997" s="32" t="str">
        <f>vlookup(B997,State_EMM_RowSums!$A$2:$B$52,2,FALSE)</f>
        <v>KY</v>
      </c>
      <c r="D997" s="32">
        <v>21005.0</v>
      </c>
      <c r="E997" s="33">
        <f>IF(NOT(ISBLANK(vlookup($D997,Pop_Census_2023!$A$2:$E$3220,4,FALSE))),vlookup($D997,Pop_Census_2023!$A$2:$E$3220,4,FALSE), vlookup($D997,Pop_Census_2023!$A$2:$E$3220,5,FALSE))</f>
        <v>24613</v>
      </c>
      <c r="F997" s="32">
        <v>516849.0</v>
      </c>
      <c r="G997" s="32">
        <v>109.0</v>
      </c>
      <c r="H997" s="32" t="str">
        <f>VLOOKUP(D997, Grid_Region_Mapping!$D$2:$F$5286, 3, FALSE)</f>
        <v>SRCE</v>
      </c>
      <c r="I997" s="32">
        <v>6.0</v>
      </c>
      <c r="J997" s="34" t="str">
        <f t="shared" si="1"/>
        <v>South</v>
      </c>
      <c r="K997" s="35">
        <v>3.0</v>
      </c>
      <c r="L997" s="35" t="s">
        <v>223</v>
      </c>
      <c r="M997" s="36">
        <f>VLOOKUP(D997, County_Data_CZones!$B$2:$F$3236, 2, FALSE)</f>
        <v>4</v>
      </c>
      <c r="N997" s="37" t="str">
        <f>VLOOKUP(D997, County_Data_CZones!$B$2:$F$3236, 5, FALSE)</f>
        <v>Mixed-Humid</v>
      </c>
    </row>
    <row r="998" ht="15.75" customHeight="1">
      <c r="A998" s="32" t="s">
        <v>819</v>
      </c>
      <c r="B998" s="32" t="s">
        <v>818</v>
      </c>
      <c r="C998" s="32" t="str">
        <f>vlookup(B998,State_EMM_RowSums!$A$2:$B$52,2,FALSE)</f>
        <v>KY</v>
      </c>
      <c r="D998" s="32">
        <v>21007.0</v>
      </c>
      <c r="E998" s="33">
        <f>IF(NOT(ISBLANK(vlookup($D998,Pop_Census_2023!$A$2:$E$3220,4,FALSE))),vlookup($D998,Pop_Census_2023!$A$2:$E$3220,4,FALSE), vlookup($D998,Pop_Census_2023!$A$2:$E$3220,5,FALSE))</f>
        <v>7582</v>
      </c>
      <c r="F998" s="32">
        <v>516850.0</v>
      </c>
      <c r="G998" s="32">
        <v>93.0</v>
      </c>
      <c r="H998" s="32" t="str">
        <f>VLOOKUP(D998, Grid_Region_Mapping!$D$2:$F$5286, 3, FALSE)</f>
        <v>SRCE</v>
      </c>
      <c r="I998" s="32">
        <v>6.0</v>
      </c>
      <c r="J998" s="34" t="str">
        <f t="shared" si="1"/>
        <v>South</v>
      </c>
      <c r="K998" s="35">
        <v>3.0</v>
      </c>
      <c r="L998" s="35" t="s">
        <v>223</v>
      </c>
      <c r="M998" s="36">
        <f>VLOOKUP(D998, County_Data_CZones!$B$2:$F$3236, 2, FALSE)</f>
        <v>4</v>
      </c>
      <c r="N998" s="37" t="str">
        <f>VLOOKUP(D998, County_Data_CZones!$B$2:$F$3236, 5, FALSE)</f>
        <v>Mixed-Humid</v>
      </c>
    </row>
    <row r="999" ht="15.75" customHeight="1">
      <c r="A999" s="32" t="s">
        <v>820</v>
      </c>
      <c r="B999" s="32" t="s">
        <v>818</v>
      </c>
      <c r="C999" s="32" t="str">
        <f>vlookup(B999,State_EMM_RowSums!$A$2:$B$52,2,FALSE)</f>
        <v>KY</v>
      </c>
      <c r="D999" s="32">
        <v>21009.0</v>
      </c>
      <c r="E999" s="33">
        <f>IF(NOT(ISBLANK(vlookup($D999,Pop_Census_2023!$A$2:$E$3220,4,FALSE))),vlookup($D999,Pop_Census_2023!$A$2:$E$3220,4,FALSE), vlookup($D999,Pop_Census_2023!$A$2:$E$3220,5,FALSE))</f>
        <v>45008</v>
      </c>
      <c r="F999" s="32">
        <v>516851.0</v>
      </c>
      <c r="G999" s="32">
        <v>109.0</v>
      </c>
      <c r="H999" s="32" t="str">
        <f>VLOOKUP(D999, Grid_Region_Mapping!$D$2:$F$5286, 3, FALSE)</f>
        <v>SRCE</v>
      </c>
      <c r="I999" s="32">
        <v>6.0</v>
      </c>
      <c r="J999" s="34" t="str">
        <f t="shared" si="1"/>
        <v>South</v>
      </c>
      <c r="K999" s="35">
        <v>3.0</v>
      </c>
      <c r="L999" s="35" t="s">
        <v>223</v>
      </c>
      <c r="M999" s="36">
        <f>VLOOKUP(D999, County_Data_CZones!$B$2:$F$3236, 2, FALSE)</f>
        <v>4</v>
      </c>
      <c r="N999" s="37" t="str">
        <f>VLOOKUP(D999, County_Data_CZones!$B$2:$F$3236, 5, FALSE)</f>
        <v>Mixed-Humid</v>
      </c>
    </row>
    <row r="1000" ht="15.75" customHeight="1">
      <c r="A1000" s="32" t="s">
        <v>821</v>
      </c>
      <c r="B1000" s="32" t="s">
        <v>818</v>
      </c>
      <c r="C1000" s="32" t="str">
        <f>vlookup(B1000,State_EMM_RowSums!$A$2:$B$52,2,FALSE)</f>
        <v>KY</v>
      </c>
      <c r="D1000" s="32">
        <v>21011.0</v>
      </c>
      <c r="E1000" s="33">
        <f>IF(NOT(ISBLANK(vlookup($D1000,Pop_Census_2023!$A$2:$E$3220,4,FALSE))),vlookup($D1000,Pop_Census_2023!$A$2:$E$3220,4,FALSE), vlookup($D1000,Pop_Census_2023!$A$2:$E$3220,5,FALSE))</f>
        <v>12975</v>
      </c>
      <c r="F1000" s="32">
        <v>516852.0</v>
      </c>
      <c r="G1000" s="32">
        <v>109.0</v>
      </c>
      <c r="H1000" s="32" t="str">
        <f>VLOOKUP(D1000, Grid_Region_Mapping!$D$2:$F$5286, 3, FALSE)</f>
        <v>SRCE</v>
      </c>
      <c r="I1000" s="32">
        <v>6.0</v>
      </c>
      <c r="J1000" s="34" t="str">
        <f t="shared" si="1"/>
        <v>South</v>
      </c>
      <c r="K1000" s="35">
        <v>3.0</v>
      </c>
      <c r="L1000" s="35" t="s">
        <v>223</v>
      </c>
      <c r="M1000" s="36">
        <f>VLOOKUP(D1000, County_Data_CZones!$B$2:$F$3236, 2, FALSE)</f>
        <v>4</v>
      </c>
      <c r="N1000" s="37" t="str">
        <f>VLOOKUP(D1000, County_Data_CZones!$B$2:$F$3236, 5, FALSE)</f>
        <v>Mixed-Humid</v>
      </c>
    </row>
    <row r="1001" ht="15.75" customHeight="1">
      <c r="A1001" s="32" t="s">
        <v>822</v>
      </c>
      <c r="B1001" s="32" t="s">
        <v>818</v>
      </c>
      <c r="C1001" s="32" t="str">
        <f>vlookup(B1001,State_EMM_RowSums!$A$2:$B$52,2,FALSE)</f>
        <v>KY</v>
      </c>
      <c r="D1001" s="32">
        <v>21013.0</v>
      </c>
      <c r="E1001" s="33">
        <f>IF(NOT(ISBLANK(vlookup($D1001,Pop_Census_2023!$A$2:$E$3220,4,FALSE))),vlookup($D1001,Pop_Census_2023!$A$2:$E$3220,4,FALSE), vlookup($D1001,Pop_Census_2023!$A$2:$E$3220,5,FALSE))</f>
        <v>23317</v>
      </c>
      <c r="F1001" s="32">
        <v>516853.0</v>
      </c>
      <c r="G1001" s="32">
        <v>109.0</v>
      </c>
      <c r="H1001" s="32" t="str">
        <f>VLOOKUP(D1001, Grid_Region_Mapping!$D$2:$F$5286, 3, FALSE)</f>
        <v>SRCE</v>
      </c>
      <c r="I1001" s="32">
        <v>6.0</v>
      </c>
      <c r="J1001" s="34" t="str">
        <f t="shared" si="1"/>
        <v>South</v>
      </c>
      <c r="K1001" s="35">
        <v>3.0</v>
      </c>
      <c r="L1001" s="35" t="s">
        <v>223</v>
      </c>
      <c r="M1001" s="36">
        <f>VLOOKUP(D1001, County_Data_CZones!$B$2:$F$3236, 2, FALSE)</f>
        <v>4</v>
      </c>
      <c r="N1001" s="37" t="str">
        <f>VLOOKUP(D1001, County_Data_CZones!$B$2:$F$3236, 5, FALSE)</f>
        <v>Mixed-Humid</v>
      </c>
    </row>
    <row r="1002" ht="15.75" customHeight="1">
      <c r="A1002" s="32" t="s">
        <v>225</v>
      </c>
      <c r="B1002" s="32" t="s">
        <v>818</v>
      </c>
      <c r="C1002" s="32" t="str">
        <f>vlookup(B1002,State_EMM_RowSums!$A$2:$B$52,2,FALSE)</f>
        <v>KY</v>
      </c>
      <c r="D1002" s="32">
        <v>21015.0</v>
      </c>
      <c r="E1002" s="33">
        <f>IF(NOT(ISBLANK(vlookup($D1002,Pop_Census_2023!$A$2:$E$3220,4,FALSE))),vlookup($D1002,Pop_Census_2023!$A$2:$E$3220,4,FALSE), vlookup($D1002,Pop_Census_2023!$A$2:$E$3220,5,FALSE))</f>
        <v>140496</v>
      </c>
      <c r="F1002" s="32">
        <v>516854.0</v>
      </c>
      <c r="G1002" s="32">
        <v>109.0</v>
      </c>
      <c r="H1002" s="32" t="str">
        <f>VLOOKUP(D1002, Grid_Region_Mapping!$D$2:$F$5286, 3, FALSE)</f>
        <v>SRCE</v>
      </c>
      <c r="I1002" s="32">
        <v>6.0</v>
      </c>
      <c r="J1002" s="34" t="str">
        <f t="shared" si="1"/>
        <v>South</v>
      </c>
      <c r="K1002" s="35">
        <v>3.0</v>
      </c>
      <c r="L1002" s="35" t="s">
        <v>223</v>
      </c>
      <c r="M1002" s="36">
        <f>VLOOKUP(D1002, County_Data_CZones!$B$2:$F$3236, 2, FALSE)</f>
        <v>4</v>
      </c>
      <c r="N1002" s="37" t="str">
        <f>VLOOKUP(D1002, County_Data_CZones!$B$2:$F$3236, 5, FALSE)</f>
        <v>Mixed-Humid</v>
      </c>
    </row>
    <row r="1003" ht="15.75" customHeight="1">
      <c r="A1003" s="32" t="s">
        <v>755</v>
      </c>
      <c r="B1003" s="32" t="s">
        <v>818</v>
      </c>
      <c r="C1003" s="32" t="str">
        <f>vlookup(B1003,State_EMM_RowSums!$A$2:$B$52,2,FALSE)</f>
        <v>KY</v>
      </c>
      <c r="D1003" s="32">
        <v>21017.0</v>
      </c>
      <c r="E1003" s="33">
        <f>IF(NOT(ISBLANK(vlookup($D1003,Pop_Census_2023!$A$2:$E$3220,4,FALSE))),vlookup($D1003,Pop_Census_2023!$A$2:$E$3220,4,FALSE), vlookup($D1003,Pop_Census_2023!$A$2:$E$3220,5,FALSE))</f>
        <v>20134</v>
      </c>
      <c r="F1003" s="32">
        <v>516855.0</v>
      </c>
      <c r="G1003" s="32">
        <v>109.0</v>
      </c>
      <c r="H1003" s="32" t="str">
        <f>VLOOKUP(D1003, Grid_Region_Mapping!$D$2:$F$5286, 3, FALSE)</f>
        <v>SRCE</v>
      </c>
      <c r="I1003" s="32">
        <v>6.0</v>
      </c>
      <c r="J1003" s="34" t="str">
        <f t="shared" si="1"/>
        <v>South</v>
      </c>
      <c r="K1003" s="35">
        <v>3.0</v>
      </c>
      <c r="L1003" s="35" t="s">
        <v>223</v>
      </c>
      <c r="M1003" s="36">
        <f>VLOOKUP(D1003, County_Data_CZones!$B$2:$F$3236, 2, FALSE)</f>
        <v>4</v>
      </c>
      <c r="N1003" s="37" t="str">
        <f>VLOOKUP(D1003, County_Data_CZones!$B$2:$F$3236, 5, FALSE)</f>
        <v>Mixed-Humid</v>
      </c>
    </row>
    <row r="1004" ht="15.75" customHeight="1">
      <c r="A1004" s="32" t="s">
        <v>823</v>
      </c>
      <c r="B1004" s="32" t="s">
        <v>818</v>
      </c>
      <c r="C1004" s="32" t="str">
        <f>vlookup(B1004,State_EMM_RowSums!$A$2:$B$52,2,FALSE)</f>
        <v>KY</v>
      </c>
      <c r="D1004" s="32">
        <v>21019.0</v>
      </c>
      <c r="E1004" s="33">
        <f>IF(NOT(ISBLANK(vlookup($D1004,Pop_Census_2023!$A$2:$E$3220,4,FALSE))),vlookup($D1004,Pop_Census_2023!$A$2:$E$3220,4,FALSE), vlookup($D1004,Pop_Census_2023!$A$2:$E$3220,5,FALSE))</f>
        <v>47826</v>
      </c>
      <c r="F1004" s="32">
        <v>516856.0</v>
      </c>
      <c r="G1004" s="32">
        <v>110.0</v>
      </c>
      <c r="H1004" s="32" t="str">
        <f>VLOOKUP(D1004, Grid_Region_Mapping!$D$2:$F$5286, 3, FALSE)</f>
        <v>PJMW</v>
      </c>
      <c r="I1004" s="32">
        <v>6.0</v>
      </c>
      <c r="J1004" s="34" t="str">
        <f t="shared" si="1"/>
        <v>South</v>
      </c>
      <c r="K1004" s="35">
        <v>3.0</v>
      </c>
      <c r="L1004" s="35" t="s">
        <v>223</v>
      </c>
      <c r="M1004" s="36">
        <f>VLOOKUP(D1004, County_Data_CZones!$B$2:$F$3236, 2, FALSE)</f>
        <v>4</v>
      </c>
      <c r="N1004" s="37" t="str">
        <f>VLOOKUP(D1004, County_Data_CZones!$B$2:$F$3236, 5, FALSE)</f>
        <v>Mixed-Humid</v>
      </c>
    </row>
    <row r="1005" ht="15.75" customHeight="1">
      <c r="A1005" s="32" t="s">
        <v>824</v>
      </c>
      <c r="B1005" s="32" t="s">
        <v>818</v>
      </c>
      <c r="C1005" s="32" t="str">
        <f>vlookup(B1005,State_EMM_RowSums!$A$2:$B$52,2,FALSE)</f>
        <v>KY</v>
      </c>
      <c r="D1005" s="32">
        <v>21021.0</v>
      </c>
      <c r="E1005" s="33">
        <f>IF(NOT(ISBLANK(vlookup($D1005,Pop_Census_2023!$A$2:$E$3220,4,FALSE))),vlookup($D1005,Pop_Census_2023!$A$2:$E$3220,4,FALSE), vlookup($D1005,Pop_Census_2023!$A$2:$E$3220,5,FALSE))</f>
        <v>30988</v>
      </c>
      <c r="F1005" s="32">
        <v>516857.0</v>
      </c>
      <c r="G1005" s="32">
        <v>109.0</v>
      </c>
      <c r="H1005" s="32" t="str">
        <f>VLOOKUP(D1005, Grid_Region_Mapping!$D$2:$F$5286, 3, FALSE)</f>
        <v>SRCE</v>
      </c>
      <c r="I1005" s="32">
        <v>6.0</v>
      </c>
      <c r="J1005" s="34" t="str">
        <f t="shared" si="1"/>
        <v>South</v>
      </c>
      <c r="K1005" s="35">
        <v>3.0</v>
      </c>
      <c r="L1005" s="35" t="s">
        <v>223</v>
      </c>
      <c r="M1005" s="36">
        <f>VLOOKUP(D1005, County_Data_CZones!$B$2:$F$3236, 2, FALSE)</f>
        <v>4</v>
      </c>
      <c r="N1005" s="37" t="str">
        <f>VLOOKUP(D1005, County_Data_CZones!$B$2:$F$3236, 5, FALSE)</f>
        <v>Mixed-Humid</v>
      </c>
    </row>
    <row r="1006" ht="15.75" customHeight="1">
      <c r="A1006" s="32" t="s">
        <v>825</v>
      </c>
      <c r="B1006" s="32" t="s">
        <v>818</v>
      </c>
      <c r="C1006" s="32" t="str">
        <f>vlookup(B1006,State_EMM_RowSums!$A$2:$B$52,2,FALSE)</f>
        <v>KY</v>
      </c>
      <c r="D1006" s="32">
        <v>21023.0</v>
      </c>
      <c r="E1006" s="33">
        <f>IF(NOT(ISBLANK(vlookup($D1006,Pop_Census_2023!$A$2:$E$3220,4,FALSE))),vlookup($D1006,Pop_Census_2023!$A$2:$E$3220,4,FALSE), vlookup($D1006,Pop_Census_2023!$A$2:$E$3220,5,FALSE))</f>
        <v>8426</v>
      </c>
      <c r="F1006" s="32">
        <v>516858.0</v>
      </c>
      <c r="G1006" s="32">
        <v>109.0</v>
      </c>
      <c r="H1006" s="32" t="str">
        <f>VLOOKUP(D1006, Grid_Region_Mapping!$D$2:$F$5286, 3, FALSE)</f>
        <v>SRCE</v>
      </c>
      <c r="I1006" s="32">
        <v>6.0</v>
      </c>
      <c r="J1006" s="34" t="str">
        <f t="shared" si="1"/>
        <v>South</v>
      </c>
      <c r="K1006" s="35">
        <v>3.0</v>
      </c>
      <c r="L1006" s="35" t="s">
        <v>223</v>
      </c>
      <c r="M1006" s="36">
        <f>VLOOKUP(D1006, County_Data_CZones!$B$2:$F$3236, 2, FALSE)</f>
        <v>4</v>
      </c>
      <c r="N1006" s="37" t="str">
        <f>VLOOKUP(D1006, County_Data_CZones!$B$2:$F$3236, 5, FALSE)</f>
        <v>Mixed-Humid</v>
      </c>
    </row>
    <row r="1007" ht="15.75" customHeight="1">
      <c r="A1007" s="32" t="s">
        <v>826</v>
      </c>
      <c r="B1007" s="32" t="s">
        <v>818</v>
      </c>
      <c r="C1007" s="32" t="str">
        <f>vlookup(B1007,State_EMM_RowSums!$A$2:$B$52,2,FALSE)</f>
        <v>KY</v>
      </c>
      <c r="D1007" s="32">
        <v>21025.0</v>
      </c>
      <c r="E1007" s="33">
        <f>IF(NOT(ISBLANK(vlookup($D1007,Pop_Census_2023!$A$2:$E$3220,4,FALSE))),vlookup($D1007,Pop_Census_2023!$A$2:$E$3220,4,FALSE), vlookup($D1007,Pop_Census_2023!$A$2:$E$3220,5,FALSE))</f>
        <v>12953</v>
      </c>
      <c r="F1007" s="32">
        <v>516859.0</v>
      </c>
      <c r="G1007" s="32">
        <v>110.0</v>
      </c>
      <c r="H1007" s="32" t="str">
        <f>VLOOKUP(D1007, Grid_Region_Mapping!$D$2:$F$5286, 3, FALSE)</f>
        <v>SRCE</v>
      </c>
      <c r="I1007" s="32">
        <v>6.0</v>
      </c>
      <c r="J1007" s="34" t="str">
        <f t="shared" si="1"/>
        <v>South</v>
      </c>
      <c r="K1007" s="35">
        <v>3.0</v>
      </c>
      <c r="L1007" s="35" t="s">
        <v>223</v>
      </c>
      <c r="M1007" s="36">
        <f>VLOOKUP(D1007, County_Data_CZones!$B$2:$F$3236, 2, FALSE)</f>
        <v>4</v>
      </c>
      <c r="N1007" s="37" t="str">
        <f>VLOOKUP(D1007, County_Data_CZones!$B$2:$F$3236, 5, FALSE)</f>
        <v>Mixed-Humid</v>
      </c>
    </row>
    <row r="1008" ht="15.75" customHeight="1">
      <c r="A1008" s="32" t="s">
        <v>827</v>
      </c>
      <c r="B1008" s="32" t="s">
        <v>818</v>
      </c>
      <c r="C1008" s="32" t="str">
        <f>vlookup(B1008,State_EMM_RowSums!$A$2:$B$52,2,FALSE)</f>
        <v>KY</v>
      </c>
      <c r="D1008" s="32">
        <v>21027.0</v>
      </c>
      <c r="E1008" s="33">
        <f>IF(NOT(ISBLANK(vlookup($D1008,Pop_Census_2023!$A$2:$E$3220,4,FALSE))),vlookup($D1008,Pop_Census_2023!$A$2:$E$3220,4,FALSE), vlookup($D1008,Pop_Census_2023!$A$2:$E$3220,5,FALSE))</f>
        <v>21124</v>
      </c>
      <c r="F1008" s="32">
        <v>516860.0</v>
      </c>
      <c r="G1008" s="32">
        <v>108.0</v>
      </c>
      <c r="H1008" s="32" t="str">
        <f>VLOOKUP(D1008, Grid_Region_Mapping!$D$2:$F$5286, 3, FALSE)</f>
        <v>SRCE</v>
      </c>
      <c r="I1008" s="32">
        <v>6.0</v>
      </c>
      <c r="J1008" s="34" t="str">
        <f t="shared" si="1"/>
        <v>South</v>
      </c>
      <c r="K1008" s="35">
        <v>3.0</v>
      </c>
      <c r="L1008" s="35" t="s">
        <v>223</v>
      </c>
      <c r="M1008" s="36">
        <f>VLOOKUP(D1008, County_Data_CZones!$B$2:$F$3236, 2, FALSE)</f>
        <v>4</v>
      </c>
      <c r="N1008" s="37" t="str">
        <f>VLOOKUP(D1008, County_Data_CZones!$B$2:$F$3236, 5, FALSE)</f>
        <v>Mixed-Humid</v>
      </c>
    </row>
    <row r="1009" ht="15.75" customHeight="1">
      <c r="A1009" s="32" t="s">
        <v>828</v>
      </c>
      <c r="B1009" s="32" t="s">
        <v>818</v>
      </c>
      <c r="C1009" s="32" t="str">
        <f>vlookup(B1009,State_EMM_RowSums!$A$2:$B$52,2,FALSE)</f>
        <v>KY</v>
      </c>
      <c r="D1009" s="32">
        <v>21029.0</v>
      </c>
      <c r="E1009" s="33">
        <f>IF(NOT(ISBLANK(vlookup($D1009,Pop_Census_2023!$A$2:$E$3220,4,FALSE))),vlookup($D1009,Pop_Census_2023!$A$2:$E$3220,4,FALSE), vlookup($D1009,Pop_Census_2023!$A$2:$E$3220,5,FALSE))</f>
        <v>84863</v>
      </c>
      <c r="F1009" s="32">
        <v>516861.0</v>
      </c>
      <c r="G1009" s="32">
        <v>109.0</v>
      </c>
      <c r="H1009" s="32" t="str">
        <f>VLOOKUP(D1009, Grid_Region_Mapping!$D$2:$F$5286, 3, FALSE)</f>
        <v>SRCE</v>
      </c>
      <c r="I1009" s="32">
        <v>6.0</v>
      </c>
      <c r="J1009" s="34" t="str">
        <f t="shared" si="1"/>
        <v>South</v>
      </c>
      <c r="K1009" s="35">
        <v>3.0</v>
      </c>
      <c r="L1009" s="35" t="s">
        <v>223</v>
      </c>
      <c r="M1009" s="36">
        <f>VLOOKUP(D1009, County_Data_CZones!$B$2:$F$3236, 2, FALSE)</f>
        <v>4</v>
      </c>
      <c r="N1009" s="37" t="str">
        <f>VLOOKUP(D1009, County_Data_CZones!$B$2:$F$3236, 5, FALSE)</f>
        <v>Mixed-Humid</v>
      </c>
    </row>
    <row r="1010" ht="15.75" customHeight="1">
      <c r="A1010" s="32" t="s">
        <v>109</v>
      </c>
      <c r="B1010" s="32" t="s">
        <v>818</v>
      </c>
      <c r="C1010" s="32" t="str">
        <f>vlookup(B1010,State_EMM_RowSums!$A$2:$B$52,2,FALSE)</f>
        <v>KY</v>
      </c>
      <c r="D1010" s="32">
        <v>21031.0</v>
      </c>
      <c r="E1010" s="33">
        <f>IF(NOT(ISBLANK(vlookup($D1010,Pop_Census_2023!$A$2:$E$3220,4,FALSE))),vlookup($D1010,Pop_Census_2023!$A$2:$E$3220,4,FALSE), vlookup($D1010,Pop_Census_2023!$A$2:$E$3220,5,FALSE))</f>
        <v>12375</v>
      </c>
      <c r="F1010" s="32">
        <v>516862.0</v>
      </c>
      <c r="G1010" s="32">
        <v>93.0</v>
      </c>
      <c r="H1010" s="32" t="str">
        <f>VLOOKUP(D1010, Grid_Region_Mapping!$D$2:$F$5286, 3, FALSE)</f>
        <v>SRCE</v>
      </c>
      <c r="I1010" s="32">
        <v>6.0</v>
      </c>
      <c r="J1010" s="34" t="str">
        <f t="shared" si="1"/>
        <v>South</v>
      </c>
      <c r="K1010" s="35">
        <v>3.0</v>
      </c>
      <c r="L1010" s="35" t="s">
        <v>223</v>
      </c>
      <c r="M1010" s="36">
        <f>VLOOKUP(D1010, County_Data_CZones!$B$2:$F$3236, 2, FALSE)</f>
        <v>4</v>
      </c>
      <c r="N1010" s="37" t="str">
        <f>VLOOKUP(D1010, County_Data_CZones!$B$2:$F$3236, 5, FALSE)</f>
        <v>Mixed-Humid</v>
      </c>
    </row>
    <row r="1011" ht="15.75" customHeight="1">
      <c r="A1011" s="32" t="s">
        <v>829</v>
      </c>
      <c r="B1011" s="32" t="s">
        <v>818</v>
      </c>
      <c r="C1011" s="32" t="str">
        <f>vlookup(B1011,State_EMM_RowSums!$A$2:$B$52,2,FALSE)</f>
        <v>KY</v>
      </c>
      <c r="D1011" s="32">
        <v>21033.0</v>
      </c>
      <c r="E1011" s="33">
        <f>IF(NOT(ISBLANK(vlookup($D1011,Pop_Census_2023!$A$2:$E$3220,4,FALSE))),vlookup($D1011,Pop_Census_2023!$A$2:$E$3220,4,FALSE), vlookup($D1011,Pop_Census_2023!$A$2:$E$3220,5,FALSE))</f>
        <v>12551</v>
      </c>
      <c r="F1011" s="32">
        <v>516863.0</v>
      </c>
      <c r="G1011" s="32">
        <v>108.0</v>
      </c>
      <c r="H1011" s="32" t="str">
        <f>VLOOKUP(D1011, Grid_Region_Mapping!$D$2:$F$5286, 3, FALSE)</f>
        <v>SRCE</v>
      </c>
      <c r="I1011" s="32">
        <v>6.0</v>
      </c>
      <c r="J1011" s="34" t="str">
        <f t="shared" si="1"/>
        <v>South</v>
      </c>
      <c r="K1011" s="35">
        <v>3.0</v>
      </c>
      <c r="L1011" s="35" t="s">
        <v>223</v>
      </c>
      <c r="M1011" s="36">
        <f>VLOOKUP(D1011, County_Data_CZones!$B$2:$F$3236, 2, FALSE)</f>
        <v>4</v>
      </c>
      <c r="N1011" s="37" t="str">
        <f>VLOOKUP(D1011, County_Data_CZones!$B$2:$F$3236, 5, FALSE)</f>
        <v>Mixed-Humid</v>
      </c>
    </row>
    <row r="1012" ht="15.75" customHeight="1">
      <c r="A1012" s="32" t="s">
        <v>830</v>
      </c>
      <c r="B1012" s="32" t="s">
        <v>818</v>
      </c>
      <c r="C1012" s="32" t="str">
        <f>vlookup(B1012,State_EMM_RowSums!$A$2:$B$52,2,FALSE)</f>
        <v>KY</v>
      </c>
      <c r="D1012" s="32">
        <v>21035.0</v>
      </c>
      <c r="E1012" s="33">
        <f>IF(NOT(ISBLANK(vlookup($D1012,Pop_Census_2023!$A$2:$E$3220,4,FALSE))),vlookup($D1012,Pop_Census_2023!$A$2:$E$3220,4,FALSE), vlookup($D1012,Pop_Census_2023!$A$2:$E$3220,5,FALSE))</f>
        <v>38280</v>
      </c>
      <c r="F1012" s="32">
        <v>516864.0</v>
      </c>
      <c r="G1012" s="32">
        <v>93.0</v>
      </c>
      <c r="H1012" s="32" t="str">
        <f>VLOOKUP(D1012, Grid_Region_Mapping!$D$2:$F$5286, 3, FALSE)</f>
        <v>SRCE</v>
      </c>
      <c r="I1012" s="32">
        <v>6.0</v>
      </c>
      <c r="J1012" s="34" t="str">
        <f t="shared" si="1"/>
        <v>South</v>
      </c>
      <c r="K1012" s="35">
        <v>3.0</v>
      </c>
      <c r="L1012" s="35" t="s">
        <v>223</v>
      </c>
      <c r="M1012" s="36">
        <f>VLOOKUP(D1012, County_Data_CZones!$B$2:$F$3236, 2, FALSE)</f>
        <v>4</v>
      </c>
      <c r="N1012" s="37" t="str">
        <f>VLOOKUP(D1012, County_Data_CZones!$B$2:$F$3236, 5, FALSE)</f>
        <v>Mixed-Humid</v>
      </c>
    </row>
    <row r="1013" ht="15.75" customHeight="1">
      <c r="A1013" s="32" t="s">
        <v>831</v>
      </c>
      <c r="B1013" s="32" t="s">
        <v>818</v>
      </c>
      <c r="C1013" s="32" t="str">
        <f>vlookup(B1013,State_EMM_RowSums!$A$2:$B$52,2,FALSE)</f>
        <v>KY</v>
      </c>
      <c r="D1013" s="32">
        <v>21037.0</v>
      </c>
      <c r="E1013" s="33">
        <f>IF(NOT(ISBLANK(vlookup($D1013,Pop_Census_2023!$A$2:$E$3220,4,FALSE))),vlookup($D1013,Pop_Census_2023!$A$2:$E$3220,4,FALSE), vlookup($D1013,Pop_Census_2023!$A$2:$E$3220,5,FALSE))</f>
        <v>93702</v>
      </c>
      <c r="F1013" s="32">
        <v>516865.0</v>
      </c>
      <c r="G1013" s="32">
        <v>109.0</v>
      </c>
      <c r="H1013" s="32" t="str">
        <f>VLOOKUP(D1013, Grid_Region_Mapping!$D$2:$F$5286, 3, FALSE)</f>
        <v>PJMW</v>
      </c>
      <c r="I1013" s="32">
        <v>6.0</v>
      </c>
      <c r="J1013" s="34" t="str">
        <f t="shared" si="1"/>
        <v>South</v>
      </c>
      <c r="K1013" s="35">
        <v>3.0</v>
      </c>
      <c r="L1013" s="35" t="s">
        <v>223</v>
      </c>
      <c r="M1013" s="36">
        <f>VLOOKUP(D1013, County_Data_CZones!$B$2:$F$3236, 2, FALSE)</f>
        <v>4</v>
      </c>
      <c r="N1013" s="37" t="str">
        <f>VLOOKUP(D1013, County_Data_CZones!$B$2:$F$3236, 5, FALSE)</f>
        <v>Mixed-Humid</v>
      </c>
    </row>
    <row r="1014" ht="15.75" customHeight="1">
      <c r="A1014" s="32" t="s">
        <v>832</v>
      </c>
      <c r="B1014" s="32" t="s">
        <v>818</v>
      </c>
      <c r="C1014" s="32" t="str">
        <f>vlookup(B1014,State_EMM_RowSums!$A$2:$B$52,2,FALSE)</f>
        <v>KY</v>
      </c>
      <c r="D1014" s="32">
        <v>21039.0</v>
      </c>
      <c r="E1014" s="33">
        <f>IF(NOT(ISBLANK(vlookup($D1014,Pop_Census_2023!$A$2:$E$3220,4,FALSE))),vlookup($D1014,Pop_Census_2023!$A$2:$E$3220,4,FALSE), vlookup($D1014,Pop_Census_2023!$A$2:$E$3220,5,FALSE))</f>
        <v>4704</v>
      </c>
      <c r="F1014" s="32">
        <v>516866.0</v>
      </c>
      <c r="G1014" s="32">
        <v>93.0</v>
      </c>
      <c r="H1014" s="32" t="str">
        <f>VLOOKUP(D1014, Grid_Region_Mapping!$D$2:$F$5286, 3, FALSE)</f>
        <v>SRCE</v>
      </c>
      <c r="I1014" s="32">
        <v>6.0</v>
      </c>
      <c r="J1014" s="34" t="str">
        <f t="shared" si="1"/>
        <v>South</v>
      </c>
      <c r="K1014" s="35">
        <v>3.0</v>
      </c>
      <c r="L1014" s="35" t="s">
        <v>223</v>
      </c>
      <c r="M1014" s="36">
        <f>VLOOKUP(D1014, County_Data_CZones!$B$2:$F$3236, 2, FALSE)</f>
        <v>4</v>
      </c>
      <c r="N1014" s="37" t="str">
        <f>VLOOKUP(D1014, County_Data_CZones!$B$2:$F$3236, 5, FALSE)</f>
        <v>Mixed-Humid</v>
      </c>
    </row>
    <row r="1015" ht="15.75" customHeight="1">
      <c r="A1015" s="32" t="s">
        <v>227</v>
      </c>
      <c r="B1015" s="32" t="s">
        <v>818</v>
      </c>
      <c r="C1015" s="32" t="str">
        <f>vlookup(B1015,State_EMM_RowSums!$A$2:$B$52,2,FALSE)</f>
        <v>KY</v>
      </c>
      <c r="D1015" s="32">
        <v>21041.0</v>
      </c>
      <c r="E1015" s="33">
        <f>IF(NOT(ISBLANK(vlookup($D1015,Pop_Census_2023!$A$2:$E$3220,4,FALSE))),vlookup($D1015,Pop_Census_2023!$A$2:$E$3220,4,FALSE), vlookup($D1015,Pop_Census_2023!$A$2:$E$3220,5,FALSE))</f>
        <v>10987</v>
      </c>
      <c r="F1015" s="32">
        <v>516867.0</v>
      </c>
      <c r="G1015" s="32">
        <v>109.0</v>
      </c>
      <c r="H1015" s="32" t="str">
        <f>VLOOKUP(D1015, Grid_Region_Mapping!$D$2:$F$5286, 3, FALSE)</f>
        <v>SRCE</v>
      </c>
      <c r="I1015" s="32">
        <v>6.0</v>
      </c>
      <c r="J1015" s="34" t="str">
        <f t="shared" si="1"/>
        <v>South</v>
      </c>
      <c r="K1015" s="35">
        <v>3.0</v>
      </c>
      <c r="L1015" s="35" t="s">
        <v>223</v>
      </c>
      <c r="M1015" s="36">
        <f>VLOOKUP(D1015, County_Data_CZones!$B$2:$F$3236, 2, FALSE)</f>
        <v>4</v>
      </c>
      <c r="N1015" s="37" t="str">
        <f>VLOOKUP(D1015, County_Data_CZones!$B$2:$F$3236, 5, FALSE)</f>
        <v>Mixed-Humid</v>
      </c>
    </row>
    <row r="1016" ht="15.75" customHeight="1">
      <c r="A1016" s="32" t="s">
        <v>833</v>
      </c>
      <c r="B1016" s="32" t="s">
        <v>818</v>
      </c>
      <c r="C1016" s="32" t="str">
        <f>vlookup(B1016,State_EMM_RowSums!$A$2:$B$52,2,FALSE)</f>
        <v>KY</v>
      </c>
      <c r="D1016" s="32">
        <v>21043.0</v>
      </c>
      <c r="E1016" s="33">
        <f>IF(NOT(ISBLANK(vlookup($D1016,Pop_Census_2023!$A$2:$E$3220,4,FALSE))),vlookup($D1016,Pop_Census_2023!$A$2:$E$3220,4,FALSE), vlookup($D1016,Pop_Census_2023!$A$2:$E$3220,5,FALSE))</f>
        <v>26366</v>
      </c>
      <c r="F1016" s="32">
        <v>516868.0</v>
      </c>
      <c r="G1016" s="32">
        <v>110.0</v>
      </c>
      <c r="H1016" s="32" t="str">
        <f>VLOOKUP(D1016, Grid_Region_Mapping!$D$2:$F$5286, 3, FALSE)</f>
        <v>SRCE</v>
      </c>
      <c r="I1016" s="32">
        <v>6.0</v>
      </c>
      <c r="J1016" s="34" t="str">
        <f t="shared" si="1"/>
        <v>South</v>
      </c>
      <c r="K1016" s="35">
        <v>3.0</v>
      </c>
      <c r="L1016" s="35" t="s">
        <v>223</v>
      </c>
      <c r="M1016" s="36">
        <f>VLOOKUP(D1016, County_Data_CZones!$B$2:$F$3236, 2, FALSE)</f>
        <v>4</v>
      </c>
      <c r="N1016" s="37" t="str">
        <f>VLOOKUP(D1016, County_Data_CZones!$B$2:$F$3236, 5, FALSE)</f>
        <v>Mixed-Humid</v>
      </c>
    </row>
    <row r="1017" ht="15.75" customHeight="1">
      <c r="A1017" s="32" t="s">
        <v>834</v>
      </c>
      <c r="B1017" s="32" t="s">
        <v>818</v>
      </c>
      <c r="C1017" s="32" t="str">
        <f>vlookup(B1017,State_EMM_RowSums!$A$2:$B$52,2,FALSE)</f>
        <v>KY</v>
      </c>
      <c r="D1017" s="32">
        <v>21045.0</v>
      </c>
      <c r="E1017" s="33">
        <f>IF(NOT(ISBLANK(vlookup($D1017,Pop_Census_2023!$A$2:$E$3220,4,FALSE))),vlookup($D1017,Pop_Census_2023!$A$2:$E$3220,4,FALSE), vlookup($D1017,Pop_Census_2023!$A$2:$E$3220,5,FALSE))</f>
        <v>15918</v>
      </c>
      <c r="F1017" s="32">
        <v>516869.0</v>
      </c>
      <c r="G1017" s="32">
        <v>109.0</v>
      </c>
      <c r="H1017" s="32" t="str">
        <f>VLOOKUP(D1017, Grid_Region_Mapping!$D$2:$F$5286, 3, FALSE)</f>
        <v>SRCE</v>
      </c>
      <c r="I1017" s="32">
        <v>6.0</v>
      </c>
      <c r="J1017" s="34" t="str">
        <f t="shared" si="1"/>
        <v>South</v>
      </c>
      <c r="K1017" s="35">
        <v>3.0</v>
      </c>
      <c r="L1017" s="35" t="s">
        <v>223</v>
      </c>
      <c r="M1017" s="36">
        <f>VLOOKUP(D1017, County_Data_CZones!$B$2:$F$3236, 2, FALSE)</f>
        <v>4</v>
      </c>
      <c r="N1017" s="37" t="str">
        <f>VLOOKUP(D1017, County_Data_CZones!$B$2:$F$3236, 5, FALSE)</f>
        <v>Mixed-Humid</v>
      </c>
    </row>
    <row r="1018" ht="15.75" customHeight="1">
      <c r="A1018" s="32" t="s">
        <v>615</v>
      </c>
      <c r="B1018" s="32" t="s">
        <v>818</v>
      </c>
      <c r="C1018" s="32" t="str">
        <f>vlookup(B1018,State_EMM_RowSums!$A$2:$B$52,2,FALSE)</f>
        <v>KY</v>
      </c>
      <c r="D1018" s="32">
        <v>21047.0</v>
      </c>
      <c r="E1018" s="33">
        <f>IF(NOT(ISBLANK(vlookup($D1018,Pop_Census_2023!$A$2:$E$3220,4,FALSE))),vlookup($D1018,Pop_Census_2023!$A$2:$E$3220,4,FALSE), vlookup($D1018,Pop_Census_2023!$A$2:$E$3220,5,FALSE))</f>
        <v>72032</v>
      </c>
      <c r="F1018" s="32">
        <v>516870.0</v>
      </c>
      <c r="G1018" s="32">
        <v>93.0</v>
      </c>
      <c r="H1018" s="32" t="str">
        <f>VLOOKUP(D1018, Grid_Region_Mapping!$D$2:$F$5286, 3, FALSE)</f>
        <v>SRCE</v>
      </c>
      <c r="I1018" s="32">
        <v>6.0</v>
      </c>
      <c r="J1018" s="34" t="str">
        <f t="shared" si="1"/>
        <v>South</v>
      </c>
      <c r="K1018" s="35">
        <v>3.0</v>
      </c>
      <c r="L1018" s="35" t="s">
        <v>223</v>
      </c>
      <c r="M1018" s="36">
        <f>VLOOKUP(D1018, County_Data_CZones!$B$2:$F$3236, 2, FALSE)</f>
        <v>4</v>
      </c>
      <c r="N1018" s="37" t="str">
        <f>VLOOKUP(D1018, County_Data_CZones!$B$2:$F$3236, 5, FALSE)</f>
        <v>Mixed-Humid</v>
      </c>
    </row>
    <row r="1019" ht="15.75" customHeight="1">
      <c r="A1019" s="32" t="s">
        <v>229</v>
      </c>
      <c r="B1019" s="32" t="s">
        <v>818</v>
      </c>
      <c r="C1019" s="32" t="str">
        <f>vlookup(B1019,State_EMM_RowSums!$A$2:$B$52,2,FALSE)</f>
        <v>KY</v>
      </c>
      <c r="D1019" s="32">
        <v>21049.0</v>
      </c>
      <c r="E1019" s="33">
        <f>IF(NOT(ISBLANK(vlookup($D1019,Pop_Census_2023!$A$2:$E$3220,4,FALSE))),vlookup($D1019,Pop_Census_2023!$A$2:$E$3220,4,FALSE), vlookup($D1019,Pop_Census_2023!$A$2:$E$3220,5,FALSE))</f>
        <v>37304</v>
      </c>
      <c r="F1019" s="32">
        <v>516871.0</v>
      </c>
      <c r="G1019" s="32">
        <v>109.0</v>
      </c>
      <c r="H1019" s="32" t="str">
        <f>VLOOKUP(D1019, Grid_Region_Mapping!$D$2:$F$5286, 3, FALSE)</f>
        <v>SRCE</v>
      </c>
      <c r="I1019" s="32">
        <v>6.0</v>
      </c>
      <c r="J1019" s="34" t="str">
        <f t="shared" si="1"/>
        <v>South</v>
      </c>
      <c r="K1019" s="35">
        <v>3.0</v>
      </c>
      <c r="L1019" s="35" t="s">
        <v>223</v>
      </c>
      <c r="M1019" s="36">
        <f>VLOOKUP(D1019, County_Data_CZones!$B$2:$F$3236, 2, FALSE)</f>
        <v>4</v>
      </c>
      <c r="N1019" s="37" t="str">
        <f>VLOOKUP(D1019, County_Data_CZones!$B$2:$F$3236, 5, FALSE)</f>
        <v>Mixed-Humid</v>
      </c>
    </row>
    <row r="1020" ht="15.75" customHeight="1">
      <c r="A1020" s="32" t="s">
        <v>116</v>
      </c>
      <c r="B1020" s="32" t="s">
        <v>818</v>
      </c>
      <c r="C1020" s="32" t="str">
        <f>vlookup(B1020,State_EMM_RowSums!$A$2:$B$52,2,FALSE)</f>
        <v>KY</v>
      </c>
      <c r="D1020" s="32">
        <v>21051.0</v>
      </c>
      <c r="E1020" s="33">
        <f>IF(NOT(ISBLANK(vlookup($D1020,Pop_Census_2023!$A$2:$E$3220,4,FALSE))),vlookup($D1020,Pop_Census_2023!$A$2:$E$3220,4,FALSE), vlookup($D1020,Pop_Census_2023!$A$2:$E$3220,5,FALSE))</f>
        <v>19648</v>
      </c>
      <c r="F1020" s="32">
        <v>516872.0</v>
      </c>
      <c r="G1020" s="32">
        <v>109.0</v>
      </c>
      <c r="H1020" s="32" t="str">
        <f>VLOOKUP(D1020, Grid_Region_Mapping!$D$2:$F$5286, 3, FALSE)</f>
        <v>SRCE</v>
      </c>
      <c r="I1020" s="32">
        <v>6.0</v>
      </c>
      <c r="J1020" s="34" t="str">
        <f t="shared" si="1"/>
        <v>South</v>
      </c>
      <c r="K1020" s="35">
        <v>3.0</v>
      </c>
      <c r="L1020" s="35" t="s">
        <v>223</v>
      </c>
      <c r="M1020" s="36">
        <f>VLOOKUP(D1020, County_Data_CZones!$B$2:$F$3236, 2, FALSE)</f>
        <v>4</v>
      </c>
      <c r="N1020" s="37" t="str">
        <f>VLOOKUP(D1020, County_Data_CZones!$B$2:$F$3236, 5, FALSE)</f>
        <v>Mixed-Humid</v>
      </c>
    </row>
    <row r="1021" ht="15.75" customHeight="1">
      <c r="A1021" s="32" t="s">
        <v>616</v>
      </c>
      <c r="B1021" s="32" t="s">
        <v>818</v>
      </c>
      <c r="C1021" s="32" t="str">
        <f>vlookup(B1021,State_EMM_RowSums!$A$2:$B$52,2,FALSE)</f>
        <v>KY</v>
      </c>
      <c r="D1021" s="32">
        <v>21053.0</v>
      </c>
      <c r="E1021" s="33">
        <f>IF(NOT(ISBLANK(vlookup($D1021,Pop_Census_2023!$A$2:$E$3220,4,FALSE))),vlookup($D1021,Pop_Census_2023!$A$2:$E$3220,4,FALSE), vlookup($D1021,Pop_Census_2023!$A$2:$E$3220,5,FALSE))</f>
        <v>9148</v>
      </c>
      <c r="F1021" s="32">
        <v>516873.0</v>
      </c>
      <c r="G1021" s="32">
        <v>93.0</v>
      </c>
      <c r="H1021" s="32" t="str">
        <f>VLOOKUP(D1021, Grid_Region_Mapping!$D$2:$F$5286, 3, FALSE)</f>
        <v>SRCE</v>
      </c>
      <c r="I1021" s="32">
        <v>6.0</v>
      </c>
      <c r="J1021" s="34" t="str">
        <f t="shared" si="1"/>
        <v>South</v>
      </c>
      <c r="K1021" s="35">
        <v>3.0</v>
      </c>
      <c r="L1021" s="35" t="s">
        <v>223</v>
      </c>
      <c r="M1021" s="36">
        <f>VLOOKUP(D1021, County_Data_CZones!$B$2:$F$3236, 2, FALSE)</f>
        <v>4</v>
      </c>
      <c r="N1021" s="37" t="str">
        <f>VLOOKUP(D1021, County_Data_CZones!$B$2:$F$3236, 5, FALSE)</f>
        <v>Mixed-Humid</v>
      </c>
    </row>
    <row r="1022" ht="15.75" customHeight="1">
      <c r="A1022" s="32" t="s">
        <v>235</v>
      </c>
      <c r="B1022" s="32" t="s">
        <v>818</v>
      </c>
      <c r="C1022" s="32" t="str">
        <f>vlookup(B1022,State_EMM_RowSums!$A$2:$B$52,2,FALSE)</f>
        <v>KY</v>
      </c>
      <c r="D1022" s="32">
        <v>21055.0</v>
      </c>
      <c r="E1022" s="33">
        <f>IF(NOT(ISBLANK(vlookup($D1022,Pop_Census_2023!$A$2:$E$3220,4,FALSE))),vlookup($D1022,Pop_Census_2023!$A$2:$E$3220,4,FALSE), vlookup($D1022,Pop_Census_2023!$A$2:$E$3220,5,FALSE))</f>
        <v>8974</v>
      </c>
      <c r="F1022" s="32">
        <v>516874.0</v>
      </c>
      <c r="G1022" s="32">
        <v>108.0</v>
      </c>
      <c r="H1022" s="32" t="str">
        <f>VLOOKUP(D1022, Grid_Region_Mapping!$D$2:$F$5286, 3, FALSE)</f>
        <v>SRCE</v>
      </c>
      <c r="I1022" s="32">
        <v>6.0</v>
      </c>
      <c r="J1022" s="34" t="str">
        <f t="shared" si="1"/>
        <v>South</v>
      </c>
      <c r="K1022" s="35">
        <v>3.0</v>
      </c>
      <c r="L1022" s="35" t="s">
        <v>223</v>
      </c>
      <c r="M1022" s="36">
        <f>VLOOKUP(D1022, County_Data_CZones!$B$2:$F$3236, 2, FALSE)</f>
        <v>4</v>
      </c>
      <c r="N1022" s="37" t="str">
        <f>VLOOKUP(D1022, County_Data_CZones!$B$2:$F$3236, 5, FALSE)</f>
        <v>Mixed-Humid</v>
      </c>
    </row>
    <row r="1023" ht="15.75" customHeight="1">
      <c r="A1023" s="32" t="s">
        <v>618</v>
      </c>
      <c r="B1023" s="32" t="s">
        <v>818</v>
      </c>
      <c r="C1023" s="32" t="str">
        <f>vlookup(B1023,State_EMM_RowSums!$A$2:$B$52,2,FALSE)</f>
        <v>KY</v>
      </c>
      <c r="D1023" s="32">
        <v>21057.0</v>
      </c>
      <c r="E1023" s="33">
        <f>IF(NOT(ISBLANK(vlookup($D1023,Pop_Census_2023!$A$2:$E$3220,4,FALSE))),vlookup($D1023,Pop_Census_2023!$A$2:$E$3220,4,FALSE), vlookup($D1023,Pop_Census_2023!$A$2:$E$3220,5,FALSE))</f>
        <v>6000</v>
      </c>
      <c r="F1023" s="32">
        <v>516875.0</v>
      </c>
      <c r="G1023" s="32">
        <v>93.0</v>
      </c>
      <c r="H1023" s="32" t="str">
        <f>VLOOKUP(D1023, Grid_Region_Mapping!$D$2:$F$5286, 3, FALSE)</f>
        <v>SRCE</v>
      </c>
      <c r="I1023" s="32">
        <v>6.0</v>
      </c>
      <c r="J1023" s="34" t="str">
        <f t="shared" si="1"/>
        <v>South</v>
      </c>
      <c r="K1023" s="35">
        <v>3.0</v>
      </c>
      <c r="L1023" s="35" t="s">
        <v>223</v>
      </c>
      <c r="M1023" s="36">
        <f>VLOOKUP(D1023, County_Data_CZones!$B$2:$F$3236, 2, FALSE)</f>
        <v>4</v>
      </c>
      <c r="N1023" s="37" t="str">
        <f>VLOOKUP(D1023, County_Data_CZones!$B$2:$F$3236, 5, FALSE)</f>
        <v>Mixed-Humid</v>
      </c>
    </row>
    <row r="1024" ht="15.75" customHeight="1">
      <c r="A1024" s="32" t="s">
        <v>667</v>
      </c>
      <c r="B1024" s="32" t="s">
        <v>818</v>
      </c>
      <c r="C1024" s="32" t="str">
        <f>vlookup(B1024,State_EMM_RowSums!$A$2:$B$52,2,FALSE)</f>
        <v>KY</v>
      </c>
      <c r="D1024" s="32">
        <v>21059.0</v>
      </c>
      <c r="E1024" s="33">
        <f>IF(NOT(ISBLANK(vlookup($D1024,Pop_Census_2023!$A$2:$E$3220,4,FALSE))),vlookup($D1024,Pop_Census_2023!$A$2:$E$3220,4,FALSE), vlookup($D1024,Pop_Census_2023!$A$2:$E$3220,5,FALSE))</f>
        <v>103458</v>
      </c>
      <c r="F1024" s="32">
        <v>516876.0</v>
      </c>
      <c r="G1024" s="32">
        <v>108.0</v>
      </c>
      <c r="H1024" s="32" t="str">
        <f>VLOOKUP(D1024, Grid_Region_Mapping!$D$2:$F$5286, 3, FALSE)</f>
        <v>SRCE</v>
      </c>
      <c r="I1024" s="32">
        <v>6.0</v>
      </c>
      <c r="J1024" s="34" t="str">
        <f t="shared" si="1"/>
        <v>South</v>
      </c>
      <c r="K1024" s="35">
        <v>3.0</v>
      </c>
      <c r="L1024" s="35" t="s">
        <v>223</v>
      </c>
      <c r="M1024" s="36">
        <f>VLOOKUP(D1024, County_Data_CZones!$B$2:$F$3236, 2, FALSE)</f>
        <v>4</v>
      </c>
      <c r="N1024" s="37" t="str">
        <f>VLOOKUP(D1024, County_Data_CZones!$B$2:$F$3236, 5, FALSE)</f>
        <v>Mixed-Humid</v>
      </c>
    </row>
    <row r="1025" ht="15.75" customHeight="1">
      <c r="A1025" s="32" t="s">
        <v>835</v>
      </c>
      <c r="B1025" s="32" t="s">
        <v>818</v>
      </c>
      <c r="C1025" s="32" t="str">
        <f>vlookup(B1025,State_EMM_RowSums!$A$2:$B$52,2,FALSE)</f>
        <v>KY</v>
      </c>
      <c r="D1025" s="32">
        <v>21061.0</v>
      </c>
      <c r="E1025" s="33">
        <f>IF(NOT(ISBLANK(vlookup($D1025,Pop_Census_2023!$A$2:$E$3220,4,FALSE))),vlookup($D1025,Pop_Census_2023!$A$2:$E$3220,4,FALSE), vlookup($D1025,Pop_Census_2023!$A$2:$E$3220,5,FALSE))</f>
        <v>12448</v>
      </c>
      <c r="F1025" s="32">
        <v>516877.0</v>
      </c>
      <c r="G1025" s="32">
        <v>109.0</v>
      </c>
      <c r="H1025" s="32" t="str">
        <f>VLOOKUP(D1025, Grid_Region_Mapping!$D$2:$F$5286, 3, FALSE)</f>
        <v>SRCE</v>
      </c>
      <c r="I1025" s="32">
        <v>6.0</v>
      </c>
      <c r="J1025" s="34" t="str">
        <f t="shared" si="1"/>
        <v>South</v>
      </c>
      <c r="K1025" s="35">
        <v>3.0</v>
      </c>
      <c r="L1025" s="35" t="s">
        <v>223</v>
      </c>
      <c r="M1025" s="36">
        <f>VLOOKUP(D1025, County_Data_CZones!$B$2:$F$3236, 2, FALSE)</f>
        <v>4</v>
      </c>
      <c r="N1025" s="37" t="str">
        <f>VLOOKUP(D1025, County_Data_CZones!$B$2:$F$3236, 5, FALSE)</f>
        <v>Mixed-Humid</v>
      </c>
    </row>
    <row r="1026" ht="15.75" customHeight="1">
      <c r="A1026" s="32" t="s">
        <v>836</v>
      </c>
      <c r="B1026" s="32" t="s">
        <v>818</v>
      </c>
      <c r="C1026" s="32" t="str">
        <f>vlookup(B1026,State_EMM_RowSums!$A$2:$B$52,2,FALSE)</f>
        <v>KY</v>
      </c>
      <c r="D1026" s="32">
        <v>21063.0</v>
      </c>
      <c r="E1026" s="33">
        <f>IF(NOT(ISBLANK(vlookup($D1026,Pop_Census_2023!$A$2:$E$3220,4,FALSE))),vlookup($D1026,Pop_Census_2023!$A$2:$E$3220,4,FALSE), vlookup($D1026,Pop_Census_2023!$A$2:$E$3220,5,FALSE))</f>
        <v>7245</v>
      </c>
      <c r="F1026" s="32">
        <v>516878.0</v>
      </c>
      <c r="G1026" s="32">
        <v>109.0</v>
      </c>
      <c r="H1026" s="32" t="str">
        <f>VLOOKUP(D1026, Grid_Region_Mapping!$D$2:$F$5286, 3, FALSE)</f>
        <v>SRCE</v>
      </c>
      <c r="I1026" s="32">
        <v>6.0</v>
      </c>
      <c r="J1026" s="34" t="str">
        <f t="shared" si="1"/>
        <v>South</v>
      </c>
      <c r="K1026" s="35">
        <v>3.0</v>
      </c>
      <c r="L1026" s="35" t="s">
        <v>223</v>
      </c>
      <c r="M1026" s="36">
        <f>VLOOKUP(D1026, County_Data_CZones!$B$2:$F$3236, 2, FALSE)</f>
        <v>4</v>
      </c>
      <c r="N1026" s="37" t="str">
        <f>VLOOKUP(D1026, County_Data_CZones!$B$2:$F$3236, 5, FALSE)</f>
        <v>Mixed-Humid</v>
      </c>
    </row>
    <row r="1027" ht="15.75" customHeight="1">
      <c r="A1027" s="32" t="s">
        <v>837</v>
      </c>
      <c r="B1027" s="32" t="s">
        <v>818</v>
      </c>
      <c r="C1027" s="32" t="str">
        <f>vlookup(B1027,State_EMM_RowSums!$A$2:$B$52,2,FALSE)</f>
        <v>KY</v>
      </c>
      <c r="D1027" s="32">
        <v>21065.0</v>
      </c>
      <c r="E1027" s="33">
        <f>IF(NOT(ISBLANK(vlookup($D1027,Pop_Census_2023!$A$2:$E$3220,4,FALSE))),vlookup($D1027,Pop_Census_2023!$A$2:$E$3220,4,FALSE), vlookup($D1027,Pop_Census_2023!$A$2:$E$3220,5,FALSE))</f>
        <v>13936</v>
      </c>
      <c r="F1027" s="32">
        <v>516879.0</v>
      </c>
      <c r="G1027" s="32">
        <v>109.0</v>
      </c>
      <c r="H1027" s="32" t="str">
        <f>VLOOKUP(D1027, Grid_Region_Mapping!$D$2:$F$5286, 3, FALSE)</f>
        <v>SRCE</v>
      </c>
      <c r="I1027" s="32">
        <v>6.0</v>
      </c>
      <c r="J1027" s="34" t="str">
        <f t="shared" si="1"/>
        <v>South</v>
      </c>
      <c r="K1027" s="35">
        <v>3.0</v>
      </c>
      <c r="L1027" s="35" t="s">
        <v>223</v>
      </c>
      <c r="M1027" s="36">
        <f>VLOOKUP(D1027, County_Data_CZones!$B$2:$F$3236, 2, FALSE)</f>
        <v>4</v>
      </c>
      <c r="N1027" s="37" t="str">
        <f>VLOOKUP(D1027, County_Data_CZones!$B$2:$F$3236, 5, FALSE)</f>
        <v>Mixed-Humid</v>
      </c>
    </row>
    <row r="1028" ht="15.75" customHeight="1">
      <c r="A1028" s="32" t="s">
        <v>131</v>
      </c>
      <c r="B1028" s="32" t="s">
        <v>818</v>
      </c>
      <c r="C1028" s="32" t="str">
        <f>vlookup(B1028,State_EMM_RowSums!$A$2:$B$52,2,FALSE)</f>
        <v>KY</v>
      </c>
      <c r="D1028" s="32">
        <v>21067.0</v>
      </c>
      <c r="E1028" s="33">
        <f>IF(NOT(ISBLANK(vlookup($D1028,Pop_Census_2023!$A$2:$E$3220,4,FALSE))),vlookup($D1028,Pop_Census_2023!$A$2:$E$3220,4,FALSE), vlookup($D1028,Pop_Census_2023!$A$2:$E$3220,5,FALSE))</f>
        <v>320154</v>
      </c>
      <c r="F1028" s="32">
        <v>516880.0</v>
      </c>
      <c r="G1028" s="32">
        <v>109.0</v>
      </c>
      <c r="H1028" s="32" t="str">
        <f>VLOOKUP(D1028, Grid_Region_Mapping!$D$2:$F$5286, 3, FALSE)</f>
        <v>SRCE</v>
      </c>
      <c r="I1028" s="32">
        <v>6.0</v>
      </c>
      <c r="J1028" s="34" t="str">
        <f t="shared" si="1"/>
        <v>South</v>
      </c>
      <c r="K1028" s="35">
        <v>3.0</v>
      </c>
      <c r="L1028" s="35" t="s">
        <v>223</v>
      </c>
      <c r="M1028" s="36">
        <f>VLOOKUP(D1028, County_Data_CZones!$B$2:$F$3236, 2, FALSE)</f>
        <v>4</v>
      </c>
      <c r="N1028" s="37" t="str">
        <f>VLOOKUP(D1028, County_Data_CZones!$B$2:$F$3236, 5, FALSE)</f>
        <v>Mixed-Humid</v>
      </c>
    </row>
    <row r="1029" ht="15.75" customHeight="1">
      <c r="A1029" s="32" t="s">
        <v>838</v>
      </c>
      <c r="B1029" s="32" t="s">
        <v>818</v>
      </c>
      <c r="C1029" s="32" t="str">
        <f>vlookup(B1029,State_EMM_RowSums!$A$2:$B$52,2,FALSE)</f>
        <v>KY</v>
      </c>
      <c r="D1029" s="32">
        <v>21069.0</v>
      </c>
      <c r="E1029" s="33">
        <f>IF(NOT(ISBLANK(vlookup($D1029,Pop_Census_2023!$A$2:$E$3220,4,FALSE))),vlookup($D1029,Pop_Census_2023!$A$2:$E$3220,4,FALSE), vlookup($D1029,Pop_Census_2023!$A$2:$E$3220,5,FALSE))</f>
        <v>15442</v>
      </c>
      <c r="F1029" s="32">
        <v>516881.0</v>
      </c>
      <c r="G1029" s="32">
        <v>109.0</v>
      </c>
      <c r="H1029" s="32" t="str">
        <f>VLOOKUP(D1029, Grid_Region_Mapping!$D$2:$F$5286, 3, FALSE)</f>
        <v>SRCE</v>
      </c>
      <c r="I1029" s="32">
        <v>6.0</v>
      </c>
      <c r="J1029" s="34" t="str">
        <f t="shared" si="1"/>
        <v>South</v>
      </c>
      <c r="K1029" s="35">
        <v>3.0</v>
      </c>
      <c r="L1029" s="35" t="s">
        <v>223</v>
      </c>
      <c r="M1029" s="36">
        <f>VLOOKUP(D1029, County_Data_CZones!$B$2:$F$3236, 2, FALSE)</f>
        <v>4</v>
      </c>
      <c r="N1029" s="37" t="str">
        <f>VLOOKUP(D1029, County_Data_CZones!$B$2:$F$3236, 5, FALSE)</f>
        <v>Mixed-Humid</v>
      </c>
    </row>
    <row r="1030" ht="15.75" customHeight="1">
      <c r="A1030" s="32" t="s">
        <v>502</v>
      </c>
      <c r="B1030" s="32" t="s">
        <v>818</v>
      </c>
      <c r="C1030" s="32" t="str">
        <f>vlookup(B1030,State_EMM_RowSums!$A$2:$B$52,2,FALSE)</f>
        <v>KY</v>
      </c>
      <c r="D1030" s="32">
        <v>21071.0</v>
      </c>
      <c r="E1030" s="33">
        <f>IF(NOT(ISBLANK(vlookup($D1030,Pop_Census_2023!$A$2:$E$3220,4,FALSE))),vlookup($D1030,Pop_Census_2023!$A$2:$E$3220,4,FALSE), vlookup($D1030,Pop_Census_2023!$A$2:$E$3220,5,FALSE))</f>
        <v>34423</v>
      </c>
      <c r="F1030" s="32">
        <v>516882.0</v>
      </c>
      <c r="G1030" s="32">
        <v>110.0</v>
      </c>
      <c r="H1030" s="32" t="str">
        <f>VLOOKUP(D1030, Grid_Region_Mapping!$D$2:$F$5286, 3, FALSE)</f>
        <v>SRCE</v>
      </c>
      <c r="I1030" s="32">
        <v>6.0</v>
      </c>
      <c r="J1030" s="34" t="str">
        <f t="shared" si="1"/>
        <v>South</v>
      </c>
      <c r="K1030" s="35">
        <v>3.0</v>
      </c>
      <c r="L1030" s="35" t="s">
        <v>223</v>
      </c>
      <c r="M1030" s="36">
        <f>VLOOKUP(D1030, County_Data_CZones!$B$2:$F$3236, 2, FALSE)</f>
        <v>4</v>
      </c>
      <c r="N1030" s="37" t="str">
        <f>VLOOKUP(D1030, County_Data_CZones!$B$2:$F$3236, 5, FALSE)</f>
        <v>Mixed-Humid</v>
      </c>
    </row>
    <row r="1031" ht="15.75" customHeight="1">
      <c r="A1031" s="32" t="s">
        <v>132</v>
      </c>
      <c r="B1031" s="32" t="s">
        <v>818</v>
      </c>
      <c r="C1031" s="32" t="str">
        <f>vlookup(B1031,State_EMM_RowSums!$A$2:$B$52,2,FALSE)</f>
        <v>KY</v>
      </c>
      <c r="D1031" s="32">
        <v>21073.0</v>
      </c>
      <c r="E1031" s="33">
        <f>IF(NOT(ISBLANK(vlookup($D1031,Pop_Census_2023!$A$2:$E$3220,4,FALSE))),vlookup($D1031,Pop_Census_2023!$A$2:$E$3220,4,FALSE), vlookup($D1031,Pop_Census_2023!$A$2:$E$3220,5,FALSE))</f>
        <v>51644</v>
      </c>
      <c r="F1031" s="32">
        <v>516883.0</v>
      </c>
      <c r="G1031" s="32">
        <v>109.0</v>
      </c>
      <c r="H1031" s="32" t="str">
        <f>VLOOKUP(D1031, Grid_Region_Mapping!$D$2:$F$5286, 3, FALSE)</f>
        <v>SRCE</v>
      </c>
      <c r="I1031" s="32">
        <v>6.0</v>
      </c>
      <c r="J1031" s="34" t="str">
        <f t="shared" si="1"/>
        <v>South</v>
      </c>
      <c r="K1031" s="35">
        <v>3.0</v>
      </c>
      <c r="L1031" s="35" t="s">
        <v>223</v>
      </c>
      <c r="M1031" s="36">
        <f>VLOOKUP(D1031, County_Data_CZones!$B$2:$F$3236, 2, FALSE)</f>
        <v>4</v>
      </c>
      <c r="N1031" s="37" t="str">
        <f>VLOOKUP(D1031, County_Data_CZones!$B$2:$F$3236, 5, FALSE)</f>
        <v>Mixed-Humid</v>
      </c>
    </row>
    <row r="1032" ht="15.75" customHeight="1">
      <c r="A1032" s="32" t="s">
        <v>240</v>
      </c>
      <c r="B1032" s="32" t="s">
        <v>818</v>
      </c>
      <c r="C1032" s="32" t="str">
        <f>vlookup(B1032,State_EMM_RowSums!$A$2:$B$52,2,FALSE)</f>
        <v>KY</v>
      </c>
      <c r="D1032" s="32">
        <v>21075.0</v>
      </c>
      <c r="E1032" s="33">
        <f>IF(NOT(ISBLANK(vlookup($D1032,Pop_Census_2023!$A$2:$E$3220,4,FALSE))),vlookup($D1032,Pop_Census_2023!$A$2:$E$3220,4,FALSE), vlookup($D1032,Pop_Census_2023!$A$2:$E$3220,5,FALSE))</f>
        <v>6338</v>
      </c>
      <c r="F1032" s="32">
        <v>516884.0</v>
      </c>
      <c r="G1032" s="32">
        <v>93.0</v>
      </c>
      <c r="H1032" s="32" t="str">
        <f>VLOOKUP(D1032, Grid_Region_Mapping!$D$2:$F$5286, 3, FALSE)</f>
        <v>SRCE</v>
      </c>
      <c r="I1032" s="32">
        <v>6.0</v>
      </c>
      <c r="J1032" s="34" t="str">
        <f t="shared" si="1"/>
        <v>South</v>
      </c>
      <c r="K1032" s="35">
        <v>3.0</v>
      </c>
      <c r="L1032" s="35" t="s">
        <v>223</v>
      </c>
      <c r="M1032" s="36">
        <f>VLOOKUP(D1032, County_Data_CZones!$B$2:$F$3236, 2, FALSE)</f>
        <v>4</v>
      </c>
      <c r="N1032" s="37" t="str">
        <f>VLOOKUP(D1032, County_Data_CZones!$B$2:$F$3236, 5, FALSE)</f>
        <v>Mixed-Humid</v>
      </c>
    </row>
    <row r="1033" ht="15.75" customHeight="1">
      <c r="A1033" s="32" t="s">
        <v>624</v>
      </c>
      <c r="B1033" s="32" t="s">
        <v>818</v>
      </c>
      <c r="C1033" s="32" t="str">
        <f>vlookup(B1033,State_EMM_RowSums!$A$2:$B$52,2,FALSE)</f>
        <v>KY</v>
      </c>
      <c r="D1033" s="32">
        <v>21077.0</v>
      </c>
      <c r="E1033" s="33">
        <f>IF(NOT(ISBLANK(vlookup($D1033,Pop_Census_2023!$A$2:$E$3220,4,FALSE))),vlookup($D1033,Pop_Census_2023!$A$2:$E$3220,4,FALSE), vlookup($D1033,Pop_Census_2023!$A$2:$E$3220,5,FALSE))</f>
        <v>8792</v>
      </c>
      <c r="F1033" s="32">
        <v>516885.0</v>
      </c>
      <c r="G1033" s="32">
        <v>109.0</v>
      </c>
      <c r="H1033" s="32" t="str">
        <f>VLOOKUP(D1033, Grid_Region_Mapping!$D$2:$F$5286, 3, FALSE)</f>
        <v>SRCE</v>
      </c>
      <c r="I1033" s="32">
        <v>6.0</v>
      </c>
      <c r="J1033" s="34" t="str">
        <f t="shared" si="1"/>
        <v>South</v>
      </c>
      <c r="K1033" s="35">
        <v>3.0</v>
      </c>
      <c r="L1033" s="35" t="s">
        <v>223</v>
      </c>
      <c r="M1033" s="36">
        <f>VLOOKUP(D1033, County_Data_CZones!$B$2:$F$3236, 2, FALSE)</f>
        <v>4</v>
      </c>
      <c r="N1033" s="37" t="str">
        <f>VLOOKUP(D1033, County_Data_CZones!$B$2:$F$3236, 5, FALSE)</f>
        <v>Mixed-Humid</v>
      </c>
    </row>
    <row r="1034" ht="15.75" customHeight="1">
      <c r="A1034" s="32" t="s">
        <v>839</v>
      </c>
      <c r="B1034" s="32" t="s">
        <v>818</v>
      </c>
      <c r="C1034" s="32" t="str">
        <f>vlookup(B1034,State_EMM_RowSums!$A$2:$B$52,2,FALSE)</f>
        <v>KY</v>
      </c>
      <c r="D1034" s="32">
        <v>21079.0</v>
      </c>
      <c r="E1034" s="33">
        <f>IF(NOT(ISBLANK(vlookup($D1034,Pop_Census_2023!$A$2:$E$3220,4,FALSE))),vlookup($D1034,Pop_Census_2023!$A$2:$E$3220,4,FALSE), vlookup($D1034,Pop_Census_2023!$A$2:$E$3220,5,FALSE))</f>
        <v>17829</v>
      </c>
      <c r="F1034" s="32">
        <v>516886.0</v>
      </c>
      <c r="G1034" s="32">
        <v>109.0</v>
      </c>
      <c r="H1034" s="32" t="str">
        <f>VLOOKUP(D1034, Grid_Region_Mapping!$D$2:$F$5286, 3, FALSE)</f>
        <v>SRCE</v>
      </c>
      <c r="I1034" s="32">
        <v>6.0</v>
      </c>
      <c r="J1034" s="34" t="str">
        <f t="shared" si="1"/>
        <v>South</v>
      </c>
      <c r="K1034" s="35">
        <v>3.0</v>
      </c>
      <c r="L1034" s="35" t="s">
        <v>223</v>
      </c>
      <c r="M1034" s="36">
        <f>VLOOKUP(D1034, County_Data_CZones!$B$2:$F$3236, 2, FALSE)</f>
        <v>4</v>
      </c>
      <c r="N1034" s="37" t="str">
        <f>VLOOKUP(D1034, County_Data_CZones!$B$2:$F$3236, 5, FALSE)</f>
        <v>Mixed-Humid</v>
      </c>
    </row>
    <row r="1035" ht="15.75" customHeight="1">
      <c r="A1035" s="32" t="s">
        <v>242</v>
      </c>
      <c r="B1035" s="32" t="s">
        <v>818</v>
      </c>
      <c r="C1035" s="32" t="str">
        <f>vlookup(B1035,State_EMM_RowSums!$A$2:$B$52,2,FALSE)</f>
        <v>KY</v>
      </c>
      <c r="D1035" s="32">
        <v>21081.0</v>
      </c>
      <c r="E1035" s="33">
        <f>IF(NOT(ISBLANK(vlookup($D1035,Pop_Census_2023!$A$2:$E$3220,4,FALSE))),vlookup($D1035,Pop_Census_2023!$A$2:$E$3220,4,FALSE), vlookup($D1035,Pop_Census_2023!$A$2:$E$3220,5,FALSE))</f>
        <v>25619</v>
      </c>
      <c r="F1035" s="32">
        <v>516887.0</v>
      </c>
      <c r="G1035" s="32">
        <v>109.0</v>
      </c>
      <c r="H1035" s="32" t="str">
        <f>VLOOKUP(D1035, Grid_Region_Mapping!$D$2:$F$5286, 3, FALSE)</f>
        <v>SRCE</v>
      </c>
      <c r="I1035" s="32">
        <v>6.0</v>
      </c>
      <c r="J1035" s="34" t="str">
        <f t="shared" si="1"/>
        <v>South</v>
      </c>
      <c r="K1035" s="35">
        <v>3.0</v>
      </c>
      <c r="L1035" s="35" t="s">
        <v>223</v>
      </c>
      <c r="M1035" s="36">
        <f>VLOOKUP(D1035, County_Data_CZones!$B$2:$F$3236, 2, FALSE)</f>
        <v>4</v>
      </c>
      <c r="N1035" s="37" t="str">
        <f>VLOOKUP(D1035, County_Data_CZones!$B$2:$F$3236, 5, FALSE)</f>
        <v>Mixed-Humid</v>
      </c>
    </row>
    <row r="1036" ht="15.75" customHeight="1">
      <c r="A1036" s="32" t="s">
        <v>840</v>
      </c>
      <c r="B1036" s="32" t="s">
        <v>818</v>
      </c>
      <c r="C1036" s="32" t="str">
        <f>vlookup(B1036,State_EMM_RowSums!$A$2:$B$52,2,FALSE)</f>
        <v>KY</v>
      </c>
      <c r="D1036" s="32">
        <v>21083.0</v>
      </c>
      <c r="E1036" s="33">
        <f>IF(NOT(ISBLANK(vlookup($D1036,Pop_Census_2023!$A$2:$E$3220,4,FALSE))),vlookup($D1036,Pop_Census_2023!$A$2:$E$3220,4,FALSE), vlookup($D1036,Pop_Census_2023!$A$2:$E$3220,5,FALSE))</f>
        <v>36461</v>
      </c>
      <c r="F1036" s="32">
        <v>516888.0</v>
      </c>
      <c r="G1036" s="32">
        <v>93.0</v>
      </c>
      <c r="H1036" s="32" t="str">
        <f>VLOOKUP(D1036, Grid_Region_Mapping!$D$2:$F$5286, 3, FALSE)</f>
        <v>SRCE</v>
      </c>
      <c r="I1036" s="32">
        <v>6.0</v>
      </c>
      <c r="J1036" s="34" t="str">
        <f t="shared" si="1"/>
        <v>South</v>
      </c>
      <c r="K1036" s="35">
        <v>3.0</v>
      </c>
      <c r="L1036" s="35" t="s">
        <v>223</v>
      </c>
      <c r="M1036" s="36">
        <f>VLOOKUP(D1036, County_Data_CZones!$B$2:$F$3236, 2, FALSE)</f>
        <v>4</v>
      </c>
      <c r="N1036" s="37" t="str">
        <f>VLOOKUP(D1036, County_Data_CZones!$B$2:$F$3236, 5, FALSE)</f>
        <v>Mixed-Humid</v>
      </c>
    </row>
    <row r="1037" ht="15.75" customHeight="1">
      <c r="A1037" s="32" t="s">
        <v>841</v>
      </c>
      <c r="B1037" s="32" t="s">
        <v>818</v>
      </c>
      <c r="C1037" s="32" t="str">
        <f>vlookup(B1037,State_EMM_RowSums!$A$2:$B$52,2,FALSE)</f>
        <v>KY</v>
      </c>
      <c r="D1037" s="32">
        <v>21085.0</v>
      </c>
      <c r="E1037" s="33">
        <f>IF(NOT(ISBLANK(vlookup($D1037,Pop_Census_2023!$A$2:$E$3220,4,FALSE))),vlookup($D1037,Pop_Census_2023!$A$2:$E$3220,4,FALSE), vlookup($D1037,Pop_Census_2023!$A$2:$E$3220,5,FALSE))</f>
        <v>26825</v>
      </c>
      <c r="F1037" s="32">
        <v>516889.0</v>
      </c>
      <c r="G1037" s="32">
        <v>108.0</v>
      </c>
      <c r="H1037" s="32" t="str">
        <f>VLOOKUP(D1037, Grid_Region_Mapping!$D$2:$F$5286, 3, FALSE)</f>
        <v>SRCE</v>
      </c>
      <c r="I1037" s="32">
        <v>6.0</v>
      </c>
      <c r="J1037" s="34" t="str">
        <f t="shared" si="1"/>
        <v>South</v>
      </c>
      <c r="K1037" s="35">
        <v>3.0</v>
      </c>
      <c r="L1037" s="35" t="s">
        <v>223</v>
      </c>
      <c r="M1037" s="36">
        <f>VLOOKUP(D1037, County_Data_CZones!$B$2:$F$3236, 2, FALSE)</f>
        <v>4</v>
      </c>
      <c r="N1037" s="37" t="str">
        <f>VLOOKUP(D1037, County_Data_CZones!$B$2:$F$3236, 5, FALSE)</f>
        <v>Mixed-Humid</v>
      </c>
    </row>
    <row r="1038" ht="15.75" customHeight="1">
      <c r="A1038" s="32" t="s">
        <v>842</v>
      </c>
      <c r="B1038" s="32" t="s">
        <v>818</v>
      </c>
      <c r="C1038" s="32" t="str">
        <f>vlookup(B1038,State_EMM_RowSums!$A$2:$B$52,2,FALSE)</f>
        <v>KY</v>
      </c>
      <c r="D1038" s="32">
        <v>21087.0</v>
      </c>
      <c r="E1038" s="33">
        <f>IF(NOT(ISBLANK(vlookup($D1038,Pop_Census_2023!$A$2:$E$3220,4,FALSE))),vlookup($D1038,Pop_Census_2023!$A$2:$E$3220,4,FALSE), vlookup($D1038,Pop_Census_2023!$A$2:$E$3220,5,FALSE))</f>
        <v>11468</v>
      </c>
      <c r="F1038" s="32">
        <v>516890.0</v>
      </c>
      <c r="G1038" s="32">
        <v>109.0</v>
      </c>
      <c r="H1038" s="32" t="str">
        <f>VLOOKUP(D1038, Grid_Region_Mapping!$D$2:$F$5286, 3, FALSE)</f>
        <v>SRCE</v>
      </c>
      <c r="I1038" s="32">
        <v>6.0</v>
      </c>
      <c r="J1038" s="34" t="str">
        <f t="shared" si="1"/>
        <v>South</v>
      </c>
      <c r="K1038" s="35">
        <v>3.0</v>
      </c>
      <c r="L1038" s="35" t="s">
        <v>223</v>
      </c>
      <c r="M1038" s="36">
        <f>VLOOKUP(D1038, County_Data_CZones!$B$2:$F$3236, 2, FALSE)</f>
        <v>4</v>
      </c>
      <c r="N1038" s="37" t="str">
        <f>VLOOKUP(D1038, County_Data_CZones!$B$2:$F$3236, 5, FALSE)</f>
        <v>Mixed-Humid</v>
      </c>
    </row>
    <row r="1039" ht="15.75" customHeight="1">
      <c r="A1039" s="32" t="s">
        <v>843</v>
      </c>
      <c r="B1039" s="32" t="s">
        <v>818</v>
      </c>
      <c r="C1039" s="32" t="str">
        <f>vlookup(B1039,State_EMM_RowSums!$A$2:$B$52,2,FALSE)</f>
        <v>KY</v>
      </c>
      <c r="D1039" s="32">
        <v>21089.0</v>
      </c>
      <c r="E1039" s="33">
        <f>IF(NOT(ISBLANK(vlookup($D1039,Pop_Census_2023!$A$2:$E$3220,4,FALSE))),vlookup($D1039,Pop_Census_2023!$A$2:$E$3220,4,FALSE), vlookup($D1039,Pop_Census_2023!$A$2:$E$3220,5,FALSE))</f>
        <v>35221</v>
      </c>
      <c r="F1039" s="32">
        <v>516891.0</v>
      </c>
      <c r="G1039" s="32">
        <v>109.0</v>
      </c>
      <c r="H1039" s="32" t="str">
        <f>VLOOKUP(D1039, Grid_Region_Mapping!$D$2:$F$5286, 3, FALSE)</f>
        <v>SRCE</v>
      </c>
      <c r="I1039" s="32">
        <v>6.0</v>
      </c>
      <c r="J1039" s="34" t="str">
        <f t="shared" si="1"/>
        <v>South</v>
      </c>
      <c r="K1039" s="35">
        <v>3.0</v>
      </c>
      <c r="L1039" s="35" t="s">
        <v>223</v>
      </c>
      <c r="M1039" s="36">
        <f>VLOOKUP(D1039, County_Data_CZones!$B$2:$F$3236, 2, FALSE)</f>
        <v>4</v>
      </c>
      <c r="N1039" s="37" t="str">
        <f>VLOOKUP(D1039, County_Data_CZones!$B$2:$F$3236, 5, FALSE)</f>
        <v>Mixed-Humid</v>
      </c>
    </row>
    <row r="1040" ht="15.75" customHeight="1">
      <c r="A1040" s="32" t="s">
        <v>512</v>
      </c>
      <c r="B1040" s="32" t="s">
        <v>818</v>
      </c>
      <c r="C1040" s="32" t="str">
        <f>vlookup(B1040,State_EMM_RowSums!$A$2:$B$52,2,FALSE)</f>
        <v>KY</v>
      </c>
      <c r="D1040" s="32">
        <v>21091.0</v>
      </c>
      <c r="E1040" s="33">
        <f>IF(NOT(ISBLANK(vlookup($D1040,Pop_Census_2023!$A$2:$E$3220,4,FALSE))),vlookup($D1040,Pop_Census_2023!$A$2:$E$3220,4,FALSE), vlookup($D1040,Pop_Census_2023!$A$2:$E$3220,5,FALSE))</f>
        <v>8920</v>
      </c>
      <c r="F1040" s="32">
        <v>516892.0</v>
      </c>
      <c r="G1040" s="32">
        <v>108.0</v>
      </c>
      <c r="H1040" s="32" t="str">
        <f>VLOOKUP(D1040, Grid_Region_Mapping!$D$2:$F$5286, 3, FALSE)</f>
        <v>SRCE</v>
      </c>
      <c r="I1040" s="32">
        <v>6.0</v>
      </c>
      <c r="J1040" s="34" t="str">
        <f t="shared" si="1"/>
        <v>South</v>
      </c>
      <c r="K1040" s="35">
        <v>3.0</v>
      </c>
      <c r="L1040" s="35" t="s">
        <v>223</v>
      </c>
      <c r="M1040" s="36">
        <f>VLOOKUP(D1040, County_Data_CZones!$B$2:$F$3236, 2, FALSE)</f>
        <v>4</v>
      </c>
      <c r="N1040" s="37" t="str">
        <f>VLOOKUP(D1040, County_Data_CZones!$B$2:$F$3236, 5, FALSE)</f>
        <v>Mixed-Humid</v>
      </c>
    </row>
    <row r="1041" ht="15.75" customHeight="1">
      <c r="A1041" s="32" t="s">
        <v>626</v>
      </c>
      <c r="B1041" s="32" t="s">
        <v>818</v>
      </c>
      <c r="C1041" s="32" t="str">
        <f>vlookup(B1041,State_EMM_RowSums!$A$2:$B$52,2,FALSE)</f>
        <v>KY</v>
      </c>
      <c r="D1041" s="32">
        <v>21093.0</v>
      </c>
      <c r="E1041" s="33">
        <f>IF(NOT(ISBLANK(vlookup($D1041,Pop_Census_2023!$A$2:$E$3220,4,FALSE))),vlookup($D1041,Pop_Census_2023!$A$2:$E$3220,4,FALSE), vlookup($D1041,Pop_Census_2023!$A$2:$E$3220,5,FALSE))</f>
        <v>112273</v>
      </c>
      <c r="F1041" s="32">
        <v>516893.0</v>
      </c>
      <c r="G1041" s="32">
        <v>109.0</v>
      </c>
      <c r="H1041" s="32" t="str">
        <f>VLOOKUP(D1041, Grid_Region_Mapping!$D$2:$F$5286, 3, FALSE)</f>
        <v>SRCE</v>
      </c>
      <c r="I1041" s="32">
        <v>6.0</v>
      </c>
      <c r="J1041" s="34" t="str">
        <f t="shared" si="1"/>
        <v>South</v>
      </c>
      <c r="K1041" s="35">
        <v>3.0</v>
      </c>
      <c r="L1041" s="35" t="s">
        <v>223</v>
      </c>
      <c r="M1041" s="36">
        <f>VLOOKUP(D1041, County_Data_CZones!$B$2:$F$3236, 2, FALSE)</f>
        <v>4</v>
      </c>
      <c r="N1041" s="37" t="str">
        <f>VLOOKUP(D1041, County_Data_CZones!$B$2:$F$3236, 5, FALSE)</f>
        <v>Mixed-Humid</v>
      </c>
    </row>
    <row r="1042" ht="15.75" customHeight="1">
      <c r="A1042" s="32" t="s">
        <v>844</v>
      </c>
      <c r="B1042" s="32" t="s">
        <v>818</v>
      </c>
      <c r="C1042" s="32" t="str">
        <f>vlookup(B1042,State_EMM_RowSums!$A$2:$B$52,2,FALSE)</f>
        <v>KY</v>
      </c>
      <c r="D1042" s="32">
        <v>21095.0</v>
      </c>
      <c r="E1042" s="33">
        <f>IF(NOT(ISBLANK(vlookup($D1042,Pop_Census_2023!$A$2:$E$3220,4,FALSE))),vlookup($D1042,Pop_Census_2023!$A$2:$E$3220,4,FALSE), vlookup($D1042,Pop_Census_2023!$A$2:$E$3220,5,FALSE))</f>
        <v>25324</v>
      </c>
      <c r="F1042" s="32">
        <v>516894.0</v>
      </c>
      <c r="G1042" s="32">
        <v>109.0</v>
      </c>
      <c r="H1042" s="32" t="str">
        <f>VLOOKUP(D1042, Grid_Region_Mapping!$D$2:$F$5286, 3, FALSE)</f>
        <v>SRCE</v>
      </c>
      <c r="I1042" s="32">
        <v>6.0</v>
      </c>
      <c r="J1042" s="34" t="str">
        <f t="shared" si="1"/>
        <v>South</v>
      </c>
      <c r="K1042" s="35">
        <v>3.0</v>
      </c>
      <c r="L1042" s="35" t="s">
        <v>223</v>
      </c>
      <c r="M1042" s="36">
        <f>VLOOKUP(D1042, County_Data_CZones!$B$2:$F$3236, 2, FALSE)</f>
        <v>4</v>
      </c>
      <c r="N1042" s="37" t="str">
        <f>VLOOKUP(D1042, County_Data_CZones!$B$2:$F$3236, 5, FALSE)</f>
        <v>Mixed-Humid</v>
      </c>
    </row>
    <row r="1043" ht="15.75" customHeight="1">
      <c r="A1043" s="32" t="s">
        <v>673</v>
      </c>
      <c r="B1043" s="32" t="s">
        <v>818</v>
      </c>
      <c r="C1043" s="32" t="str">
        <f>vlookup(B1043,State_EMM_RowSums!$A$2:$B$52,2,FALSE)</f>
        <v>KY</v>
      </c>
      <c r="D1043" s="32">
        <v>21097.0</v>
      </c>
      <c r="E1043" s="33">
        <f>IF(NOT(ISBLANK(vlookup($D1043,Pop_Census_2023!$A$2:$E$3220,4,FALSE))),vlookup($D1043,Pop_Census_2023!$A$2:$E$3220,4,FALSE), vlookup($D1043,Pop_Census_2023!$A$2:$E$3220,5,FALSE))</f>
        <v>19415</v>
      </c>
      <c r="F1043" s="32">
        <v>516895.0</v>
      </c>
      <c r="G1043" s="32">
        <v>109.0</v>
      </c>
      <c r="H1043" s="32" t="str">
        <f>VLOOKUP(D1043, Grid_Region_Mapping!$D$2:$F$5286, 3, FALSE)</f>
        <v>SRCE</v>
      </c>
      <c r="I1043" s="32">
        <v>6.0</v>
      </c>
      <c r="J1043" s="34" t="str">
        <f t="shared" si="1"/>
        <v>South</v>
      </c>
      <c r="K1043" s="35">
        <v>3.0</v>
      </c>
      <c r="L1043" s="35" t="s">
        <v>223</v>
      </c>
      <c r="M1043" s="36">
        <f>VLOOKUP(D1043, County_Data_CZones!$B$2:$F$3236, 2, FALSE)</f>
        <v>4</v>
      </c>
      <c r="N1043" s="37" t="str">
        <f>VLOOKUP(D1043, County_Data_CZones!$B$2:$F$3236, 5, FALSE)</f>
        <v>Mixed-Humid</v>
      </c>
    </row>
    <row r="1044" ht="15.75" customHeight="1">
      <c r="A1044" s="32" t="s">
        <v>515</v>
      </c>
      <c r="B1044" s="32" t="s">
        <v>818</v>
      </c>
      <c r="C1044" s="32" t="str">
        <f>vlookup(B1044,State_EMM_RowSums!$A$2:$B$52,2,FALSE)</f>
        <v>KY</v>
      </c>
      <c r="D1044" s="32">
        <v>21099.0</v>
      </c>
      <c r="E1044" s="33">
        <f>IF(NOT(ISBLANK(vlookup($D1044,Pop_Census_2023!$A$2:$E$3220,4,FALSE))),vlookup($D1044,Pop_Census_2023!$A$2:$E$3220,4,FALSE), vlookup($D1044,Pop_Census_2023!$A$2:$E$3220,5,FALSE))</f>
        <v>19724</v>
      </c>
      <c r="F1044" s="32">
        <v>516896.0</v>
      </c>
      <c r="G1044" s="32">
        <v>109.0</v>
      </c>
      <c r="H1044" s="32" t="str">
        <f>VLOOKUP(D1044, Grid_Region_Mapping!$D$2:$F$5286, 3, FALSE)</f>
        <v>SRCE</v>
      </c>
      <c r="I1044" s="32">
        <v>6.0</v>
      </c>
      <c r="J1044" s="34" t="str">
        <f t="shared" si="1"/>
        <v>South</v>
      </c>
      <c r="K1044" s="35">
        <v>3.0</v>
      </c>
      <c r="L1044" s="35" t="s">
        <v>223</v>
      </c>
      <c r="M1044" s="36">
        <f>VLOOKUP(D1044, County_Data_CZones!$B$2:$F$3236, 2, FALSE)</f>
        <v>4</v>
      </c>
      <c r="N1044" s="37" t="str">
        <f>VLOOKUP(D1044, County_Data_CZones!$B$2:$F$3236, 5, FALSE)</f>
        <v>Mixed-Humid</v>
      </c>
    </row>
    <row r="1045" ht="15.75" customHeight="1">
      <c r="A1045" s="32" t="s">
        <v>627</v>
      </c>
      <c r="B1045" s="32" t="s">
        <v>818</v>
      </c>
      <c r="C1045" s="32" t="str">
        <f>vlookup(B1045,State_EMM_RowSums!$A$2:$B$52,2,FALSE)</f>
        <v>KY</v>
      </c>
      <c r="D1045" s="32">
        <v>21101.0</v>
      </c>
      <c r="E1045" s="33">
        <f>IF(NOT(ISBLANK(vlookup($D1045,Pop_Census_2023!$A$2:$E$3220,4,FALSE))),vlookup($D1045,Pop_Census_2023!$A$2:$E$3220,4,FALSE), vlookup($D1045,Pop_Census_2023!$A$2:$E$3220,5,FALSE))</f>
        <v>44119</v>
      </c>
      <c r="F1045" s="32">
        <v>516897.0</v>
      </c>
      <c r="G1045" s="32">
        <v>108.0</v>
      </c>
      <c r="H1045" s="32" t="str">
        <f>VLOOKUP(D1045, Grid_Region_Mapping!$D$2:$F$5286, 3, FALSE)</f>
        <v>SRCE</v>
      </c>
      <c r="I1045" s="32">
        <v>6.0</v>
      </c>
      <c r="J1045" s="34" t="str">
        <f t="shared" si="1"/>
        <v>South</v>
      </c>
      <c r="K1045" s="35">
        <v>3.0</v>
      </c>
      <c r="L1045" s="35" t="s">
        <v>223</v>
      </c>
      <c r="M1045" s="36">
        <f>VLOOKUP(D1045, County_Data_CZones!$B$2:$F$3236, 2, FALSE)</f>
        <v>4</v>
      </c>
      <c r="N1045" s="37" t="str">
        <f>VLOOKUP(D1045, County_Data_CZones!$B$2:$F$3236, 5, FALSE)</f>
        <v>Mixed-Humid</v>
      </c>
    </row>
    <row r="1046" ht="15.75" customHeight="1">
      <c r="A1046" s="32" t="s">
        <v>136</v>
      </c>
      <c r="B1046" s="32" t="s">
        <v>818</v>
      </c>
      <c r="C1046" s="32" t="str">
        <f>vlookup(B1046,State_EMM_RowSums!$A$2:$B$52,2,FALSE)</f>
        <v>KY</v>
      </c>
      <c r="D1046" s="32">
        <v>21103.0</v>
      </c>
      <c r="E1046" s="33">
        <f>IF(NOT(ISBLANK(vlookup($D1046,Pop_Census_2023!$A$2:$E$3220,4,FALSE))),vlookup($D1046,Pop_Census_2023!$A$2:$E$3220,4,FALSE), vlookup($D1046,Pop_Census_2023!$A$2:$E$3220,5,FALSE))</f>
        <v>15973</v>
      </c>
      <c r="F1046" s="32">
        <v>516898.0</v>
      </c>
      <c r="G1046" s="32">
        <v>109.0</v>
      </c>
      <c r="H1046" s="32" t="str">
        <f>VLOOKUP(D1046, Grid_Region_Mapping!$D$2:$F$5286, 3, FALSE)</f>
        <v>SRCE</v>
      </c>
      <c r="I1046" s="32">
        <v>6.0</v>
      </c>
      <c r="J1046" s="34" t="str">
        <f t="shared" si="1"/>
        <v>South</v>
      </c>
      <c r="K1046" s="35">
        <v>3.0</v>
      </c>
      <c r="L1046" s="35" t="s">
        <v>223</v>
      </c>
      <c r="M1046" s="36">
        <f>VLOOKUP(D1046, County_Data_CZones!$B$2:$F$3236, 2, FALSE)</f>
        <v>4</v>
      </c>
      <c r="N1046" s="37" t="str">
        <f>VLOOKUP(D1046, County_Data_CZones!$B$2:$F$3236, 5, FALSE)</f>
        <v>Mixed-Humid</v>
      </c>
    </row>
    <row r="1047" ht="15.75" customHeight="1">
      <c r="A1047" s="32" t="s">
        <v>845</v>
      </c>
      <c r="B1047" s="32" t="s">
        <v>818</v>
      </c>
      <c r="C1047" s="32" t="str">
        <f>vlookup(B1047,State_EMM_RowSums!$A$2:$B$52,2,FALSE)</f>
        <v>KY</v>
      </c>
      <c r="D1047" s="32">
        <v>21105.0</v>
      </c>
      <c r="E1047" s="33">
        <f>IF(NOT(ISBLANK(vlookup($D1047,Pop_Census_2023!$A$2:$E$3220,4,FALSE))),vlookup($D1047,Pop_Census_2023!$A$2:$E$3220,4,FALSE), vlookup($D1047,Pop_Census_2023!$A$2:$E$3220,5,FALSE))</f>
        <v>4447</v>
      </c>
      <c r="F1047" s="32">
        <v>516899.0</v>
      </c>
      <c r="G1047" s="32">
        <v>93.0</v>
      </c>
      <c r="H1047" s="32" t="str">
        <f>VLOOKUP(D1047, Grid_Region_Mapping!$D$2:$F$5286, 3, FALSE)</f>
        <v>SRCE</v>
      </c>
      <c r="I1047" s="32">
        <v>6.0</v>
      </c>
      <c r="J1047" s="34" t="str">
        <f t="shared" si="1"/>
        <v>South</v>
      </c>
      <c r="K1047" s="35">
        <v>3.0</v>
      </c>
      <c r="L1047" s="35" t="s">
        <v>223</v>
      </c>
      <c r="M1047" s="36">
        <f>VLOOKUP(D1047, County_Data_CZones!$B$2:$F$3236, 2, FALSE)</f>
        <v>4</v>
      </c>
      <c r="N1047" s="37" t="str">
        <f>VLOOKUP(D1047, County_Data_CZones!$B$2:$F$3236, 5, FALSE)</f>
        <v>Mixed-Humid</v>
      </c>
    </row>
    <row r="1048" ht="15.75" customHeight="1">
      <c r="A1048" s="32" t="s">
        <v>846</v>
      </c>
      <c r="B1048" s="32" t="s">
        <v>818</v>
      </c>
      <c r="C1048" s="32" t="str">
        <f>vlookup(B1048,State_EMM_RowSums!$A$2:$B$52,2,FALSE)</f>
        <v>KY</v>
      </c>
      <c r="D1048" s="32">
        <v>21107.0</v>
      </c>
      <c r="E1048" s="33">
        <f>IF(NOT(ISBLANK(vlookup($D1048,Pop_Census_2023!$A$2:$E$3220,4,FALSE))),vlookup($D1048,Pop_Census_2023!$A$2:$E$3220,4,FALSE), vlookup($D1048,Pop_Census_2023!$A$2:$E$3220,5,FALSE))</f>
        <v>44929</v>
      </c>
      <c r="F1048" s="32">
        <v>516900.0</v>
      </c>
      <c r="G1048" s="32">
        <v>108.0</v>
      </c>
      <c r="H1048" s="32" t="str">
        <f>VLOOKUP(D1048, Grid_Region_Mapping!$D$2:$F$5286, 3, FALSE)</f>
        <v>SRCE</v>
      </c>
      <c r="I1048" s="32">
        <v>6.0</v>
      </c>
      <c r="J1048" s="34" t="str">
        <f t="shared" si="1"/>
        <v>South</v>
      </c>
      <c r="K1048" s="35">
        <v>3.0</v>
      </c>
      <c r="L1048" s="35" t="s">
        <v>223</v>
      </c>
      <c r="M1048" s="36">
        <f>VLOOKUP(D1048, County_Data_CZones!$B$2:$F$3236, 2, FALSE)</f>
        <v>4</v>
      </c>
      <c r="N1048" s="37" t="str">
        <f>VLOOKUP(D1048, County_Data_CZones!$B$2:$F$3236, 5, FALSE)</f>
        <v>Mixed-Humid</v>
      </c>
    </row>
    <row r="1049" ht="15.75" customHeight="1">
      <c r="A1049" s="32" t="s">
        <v>138</v>
      </c>
      <c r="B1049" s="32" t="s">
        <v>818</v>
      </c>
      <c r="C1049" s="32" t="str">
        <f>vlookup(B1049,State_EMM_RowSums!$A$2:$B$52,2,FALSE)</f>
        <v>KY</v>
      </c>
      <c r="D1049" s="32">
        <v>21109.0</v>
      </c>
      <c r="E1049" s="33">
        <f>IF(NOT(ISBLANK(vlookup($D1049,Pop_Census_2023!$A$2:$E$3220,4,FALSE))),vlookup($D1049,Pop_Census_2023!$A$2:$E$3220,4,FALSE), vlookup($D1049,Pop_Census_2023!$A$2:$E$3220,5,FALSE))</f>
        <v>13104</v>
      </c>
      <c r="F1049" s="32">
        <v>516901.0</v>
      </c>
      <c r="G1049" s="32">
        <v>109.0</v>
      </c>
      <c r="H1049" s="32" t="str">
        <f>VLOOKUP(D1049, Grid_Region_Mapping!$D$2:$F$5286, 3, FALSE)</f>
        <v>SRCE</v>
      </c>
      <c r="I1049" s="32">
        <v>6.0</v>
      </c>
      <c r="J1049" s="34" t="str">
        <f t="shared" si="1"/>
        <v>South</v>
      </c>
      <c r="K1049" s="35">
        <v>3.0</v>
      </c>
      <c r="L1049" s="35" t="s">
        <v>223</v>
      </c>
      <c r="M1049" s="36">
        <f>VLOOKUP(D1049, County_Data_CZones!$B$2:$F$3236, 2, FALSE)</f>
        <v>4</v>
      </c>
      <c r="N1049" s="37" t="str">
        <f>VLOOKUP(D1049, County_Data_CZones!$B$2:$F$3236, 5, FALSE)</f>
        <v>Mixed-Humid</v>
      </c>
    </row>
    <row r="1050" ht="15.75" customHeight="1">
      <c r="A1050" s="32" t="s">
        <v>139</v>
      </c>
      <c r="B1050" s="32" t="s">
        <v>818</v>
      </c>
      <c r="C1050" s="32" t="str">
        <f>vlookup(B1050,State_EMM_RowSums!$A$2:$B$52,2,FALSE)</f>
        <v>KY</v>
      </c>
      <c r="D1050" s="32">
        <v>21111.0</v>
      </c>
      <c r="E1050" s="33">
        <f>IF(NOT(ISBLANK(vlookup($D1050,Pop_Census_2023!$A$2:$E$3220,4,FALSE))),vlookup($D1050,Pop_Census_2023!$A$2:$E$3220,4,FALSE), vlookup($D1050,Pop_Census_2023!$A$2:$E$3220,5,FALSE))</f>
        <v>772144</v>
      </c>
      <c r="F1050" s="32">
        <v>516902.0</v>
      </c>
      <c r="G1050" s="32">
        <v>109.0</v>
      </c>
      <c r="H1050" s="32" t="str">
        <f>VLOOKUP(D1050, Grid_Region_Mapping!$D$2:$F$5286, 3, FALSE)</f>
        <v>SRCE</v>
      </c>
      <c r="I1050" s="32">
        <v>6.0</v>
      </c>
      <c r="J1050" s="34" t="str">
        <f t="shared" si="1"/>
        <v>South</v>
      </c>
      <c r="K1050" s="35">
        <v>3.0</v>
      </c>
      <c r="L1050" s="35" t="s">
        <v>223</v>
      </c>
      <c r="M1050" s="36">
        <f>VLOOKUP(D1050, County_Data_CZones!$B$2:$F$3236, 2, FALSE)</f>
        <v>4</v>
      </c>
      <c r="N1050" s="37" t="str">
        <f>VLOOKUP(D1050, County_Data_CZones!$B$2:$F$3236, 5, FALSE)</f>
        <v>Mixed-Humid</v>
      </c>
    </row>
    <row r="1051" ht="15.75" customHeight="1">
      <c r="A1051" s="32" t="s">
        <v>847</v>
      </c>
      <c r="B1051" s="32" t="s">
        <v>818</v>
      </c>
      <c r="C1051" s="32" t="str">
        <f>vlookup(B1051,State_EMM_RowSums!$A$2:$B$52,2,FALSE)</f>
        <v>KY</v>
      </c>
      <c r="D1051" s="32">
        <v>21113.0</v>
      </c>
      <c r="E1051" s="33">
        <f>IF(NOT(ISBLANK(vlookup($D1051,Pop_Census_2023!$A$2:$E$3220,4,FALSE))),vlookup($D1051,Pop_Census_2023!$A$2:$E$3220,4,FALSE), vlookup($D1051,Pop_Census_2023!$A$2:$E$3220,5,FALSE))</f>
        <v>55017</v>
      </c>
      <c r="F1051" s="32">
        <v>516903.0</v>
      </c>
      <c r="G1051" s="32">
        <v>109.0</v>
      </c>
      <c r="H1051" s="32" t="str">
        <f>VLOOKUP(D1051, Grid_Region_Mapping!$D$2:$F$5286, 3, FALSE)</f>
        <v>SRCE</v>
      </c>
      <c r="I1051" s="32">
        <v>6.0</v>
      </c>
      <c r="J1051" s="34" t="str">
        <f t="shared" si="1"/>
        <v>South</v>
      </c>
      <c r="K1051" s="35">
        <v>3.0</v>
      </c>
      <c r="L1051" s="35" t="s">
        <v>223</v>
      </c>
      <c r="M1051" s="36">
        <f>VLOOKUP(D1051, County_Data_CZones!$B$2:$F$3236, 2, FALSE)</f>
        <v>4</v>
      </c>
      <c r="N1051" s="37" t="str">
        <f>VLOOKUP(D1051, County_Data_CZones!$B$2:$F$3236, 5, FALSE)</f>
        <v>Mixed-Humid</v>
      </c>
    </row>
    <row r="1052" ht="15.75" customHeight="1">
      <c r="A1052" s="32" t="s">
        <v>248</v>
      </c>
      <c r="B1052" s="32" t="s">
        <v>818</v>
      </c>
      <c r="C1052" s="32" t="str">
        <f>vlookup(B1052,State_EMM_RowSums!$A$2:$B$52,2,FALSE)</f>
        <v>KY</v>
      </c>
      <c r="D1052" s="32">
        <v>21115.0</v>
      </c>
      <c r="E1052" s="33">
        <f>IF(NOT(ISBLANK(vlookup($D1052,Pop_Census_2023!$A$2:$E$3220,4,FALSE))),vlookup($D1052,Pop_Census_2023!$A$2:$E$3220,4,FALSE), vlookup($D1052,Pop_Census_2023!$A$2:$E$3220,5,FALSE))</f>
        <v>22116</v>
      </c>
      <c r="F1052" s="32">
        <v>516904.0</v>
      </c>
      <c r="G1052" s="32">
        <v>109.0</v>
      </c>
      <c r="H1052" s="32" t="str">
        <f>VLOOKUP(D1052, Grid_Region_Mapping!$D$2:$F$5286, 3, FALSE)</f>
        <v>PJMW</v>
      </c>
      <c r="I1052" s="32">
        <v>6.0</v>
      </c>
      <c r="J1052" s="34" t="str">
        <f t="shared" si="1"/>
        <v>South</v>
      </c>
      <c r="K1052" s="35">
        <v>3.0</v>
      </c>
      <c r="L1052" s="35" t="s">
        <v>223</v>
      </c>
      <c r="M1052" s="36">
        <f>VLOOKUP(D1052, County_Data_CZones!$B$2:$F$3236, 2, FALSE)</f>
        <v>4</v>
      </c>
      <c r="N1052" s="37" t="str">
        <f>VLOOKUP(D1052, County_Data_CZones!$B$2:$F$3236, 5, FALSE)</f>
        <v>Mixed-Humid</v>
      </c>
    </row>
    <row r="1053" ht="15.75" customHeight="1">
      <c r="A1053" s="32" t="s">
        <v>848</v>
      </c>
      <c r="B1053" s="32" t="s">
        <v>818</v>
      </c>
      <c r="C1053" s="32" t="str">
        <f>vlookup(B1053,State_EMM_RowSums!$A$2:$B$52,2,FALSE)</f>
        <v>KY</v>
      </c>
      <c r="D1053" s="32">
        <v>21117.0</v>
      </c>
      <c r="E1053" s="33">
        <f>IF(NOT(ISBLANK(vlookup($D1053,Pop_Census_2023!$A$2:$E$3220,4,FALSE))),vlookup($D1053,Pop_Census_2023!$A$2:$E$3220,4,FALSE), vlookup($D1053,Pop_Census_2023!$A$2:$E$3220,5,FALSE))</f>
        <v>171321</v>
      </c>
      <c r="F1053" s="32">
        <v>516905.0</v>
      </c>
      <c r="G1053" s="32">
        <v>109.0</v>
      </c>
      <c r="H1053" s="32" t="str">
        <f>VLOOKUP(D1053, Grid_Region_Mapping!$D$2:$F$5286, 3, FALSE)</f>
        <v>PJMW</v>
      </c>
      <c r="I1053" s="32">
        <v>6.0</v>
      </c>
      <c r="J1053" s="34" t="str">
        <f t="shared" si="1"/>
        <v>South</v>
      </c>
      <c r="K1053" s="35">
        <v>3.0</v>
      </c>
      <c r="L1053" s="35" t="s">
        <v>223</v>
      </c>
      <c r="M1053" s="36">
        <f>VLOOKUP(D1053, County_Data_CZones!$B$2:$F$3236, 2, FALSE)</f>
        <v>4</v>
      </c>
      <c r="N1053" s="37" t="str">
        <f>VLOOKUP(D1053, County_Data_CZones!$B$2:$F$3236, 5, FALSE)</f>
        <v>Mixed-Humid</v>
      </c>
    </row>
    <row r="1054" ht="15.75" customHeight="1">
      <c r="A1054" s="32" t="s">
        <v>849</v>
      </c>
      <c r="B1054" s="32" t="s">
        <v>818</v>
      </c>
      <c r="C1054" s="32" t="str">
        <f>vlookup(B1054,State_EMM_RowSums!$A$2:$B$52,2,FALSE)</f>
        <v>KY</v>
      </c>
      <c r="D1054" s="32">
        <v>21119.0</v>
      </c>
      <c r="E1054" s="33">
        <f>IF(NOT(ISBLANK(vlookup($D1054,Pop_Census_2023!$A$2:$E$3220,4,FALSE))),vlookup($D1054,Pop_Census_2023!$A$2:$E$3220,4,FALSE), vlookup($D1054,Pop_Census_2023!$A$2:$E$3220,5,FALSE))</f>
        <v>13659</v>
      </c>
      <c r="F1054" s="32">
        <v>516906.0</v>
      </c>
      <c r="G1054" s="32">
        <v>110.0</v>
      </c>
      <c r="H1054" s="32" t="str">
        <f>VLOOKUP(D1054, Grid_Region_Mapping!$D$2:$F$5286, 3, FALSE)</f>
        <v>PJMW</v>
      </c>
      <c r="I1054" s="32">
        <v>6.0</v>
      </c>
      <c r="J1054" s="34" t="str">
        <f t="shared" si="1"/>
        <v>South</v>
      </c>
      <c r="K1054" s="35">
        <v>3.0</v>
      </c>
      <c r="L1054" s="35" t="s">
        <v>223</v>
      </c>
      <c r="M1054" s="36">
        <f>VLOOKUP(D1054, County_Data_CZones!$B$2:$F$3236, 2, FALSE)</f>
        <v>4</v>
      </c>
      <c r="N1054" s="37" t="str">
        <f>VLOOKUP(D1054, County_Data_CZones!$B$2:$F$3236, 5, FALSE)</f>
        <v>Mixed-Humid</v>
      </c>
    </row>
    <row r="1055" ht="15.75" customHeight="1">
      <c r="A1055" s="32" t="s">
        <v>634</v>
      </c>
      <c r="B1055" s="32" t="s">
        <v>818</v>
      </c>
      <c r="C1055" s="32" t="str">
        <f>vlookup(B1055,State_EMM_RowSums!$A$2:$B$52,2,FALSE)</f>
        <v>KY</v>
      </c>
      <c r="D1055" s="32">
        <v>21121.0</v>
      </c>
      <c r="E1055" s="33">
        <f>IF(NOT(ISBLANK(vlookup($D1055,Pop_Census_2023!$A$2:$E$3220,4,FALSE))),vlookup($D1055,Pop_Census_2023!$A$2:$E$3220,4,FALSE), vlookup($D1055,Pop_Census_2023!$A$2:$E$3220,5,FALSE))</f>
        <v>29794</v>
      </c>
      <c r="F1055" s="32">
        <v>516907.0</v>
      </c>
      <c r="G1055" s="32">
        <v>109.0</v>
      </c>
      <c r="H1055" s="32" t="str">
        <f>VLOOKUP(D1055, Grid_Region_Mapping!$D$2:$F$5286, 3, FALSE)</f>
        <v>SRCE</v>
      </c>
      <c r="I1055" s="32">
        <v>6.0</v>
      </c>
      <c r="J1055" s="34" t="str">
        <f t="shared" si="1"/>
        <v>South</v>
      </c>
      <c r="K1055" s="35">
        <v>3.0</v>
      </c>
      <c r="L1055" s="35" t="s">
        <v>223</v>
      </c>
      <c r="M1055" s="36">
        <f>VLOOKUP(D1055, County_Data_CZones!$B$2:$F$3236, 2, FALSE)</f>
        <v>4</v>
      </c>
      <c r="N1055" s="37" t="str">
        <f>VLOOKUP(D1055, County_Data_CZones!$B$2:$F$3236, 5, FALSE)</f>
        <v>Mixed-Humid</v>
      </c>
    </row>
    <row r="1056" ht="15.75" customHeight="1">
      <c r="A1056" s="32" t="s">
        <v>850</v>
      </c>
      <c r="B1056" s="32" t="s">
        <v>818</v>
      </c>
      <c r="C1056" s="32" t="str">
        <f>vlookup(B1056,State_EMM_RowSums!$A$2:$B$52,2,FALSE)</f>
        <v>KY</v>
      </c>
      <c r="D1056" s="32">
        <v>21123.0</v>
      </c>
      <c r="E1056" s="33">
        <f>IF(NOT(ISBLANK(vlookup($D1056,Pop_Census_2023!$A$2:$E$3220,4,FALSE))),vlookup($D1056,Pop_Census_2023!$A$2:$E$3220,4,FALSE), vlookup($D1056,Pop_Census_2023!$A$2:$E$3220,5,FALSE))</f>
        <v>15303</v>
      </c>
      <c r="F1056" s="32">
        <v>516908.0</v>
      </c>
      <c r="G1056" s="32">
        <v>109.0</v>
      </c>
      <c r="H1056" s="32" t="str">
        <f>VLOOKUP(D1056, Grid_Region_Mapping!$D$2:$F$5286, 3, FALSE)</f>
        <v>SRCE</v>
      </c>
      <c r="I1056" s="32">
        <v>6.0</v>
      </c>
      <c r="J1056" s="34" t="str">
        <f t="shared" si="1"/>
        <v>South</v>
      </c>
      <c r="K1056" s="35">
        <v>3.0</v>
      </c>
      <c r="L1056" s="35" t="s">
        <v>223</v>
      </c>
      <c r="M1056" s="36">
        <f>VLOOKUP(D1056, County_Data_CZones!$B$2:$F$3236, 2, FALSE)</f>
        <v>4</v>
      </c>
      <c r="N1056" s="37" t="str">
        <f>VLOOKUP(D1056, County_Data_CZones!$B$2:$F$3236, 5, FALSE)</f>
        <v>Mixed-Humid</v>
      </c>
    </row>
    <row r="1057" ht="15.75" customHeight="1">
      <c r="A1057" s="32" t="s">
        <v>851</v>
      </c>
      <c r="B1057" s="32" t="s">
        <v>818</v>
      </c>
      <c r="C1057" s="32" t="str">
        <f>vlookup(B1057,State_EMM_RowSums!$A$2:$B$52,2,FALSE)</f>
        <v>KY</v>
      </c>
      <c r="D1057" s="32">
        <v>21125.0</v>
      </c>
      <c r="E1057" s="33">
        <f>IF(NOT(ISBLANK(vlookup($D1057,Pop_Census_2023!$A$2:$E$3220,4,FALSE))),vlookup($D1057,Pop_Census_2023!$A$2:$E$3220,4,FALSE), vlookup($D1057,Pop_Census_2023!$A$2:$E$3220,5,FALSE))</f>
        <v>63296</v>
      </c>
      <c r="F1057" s="32">
        <v>516909.0</v>
      </c>
      <c r="G1057" s="32">
        <v>109.0</v>
      </c>
      <c r="H1057" s="32" t="str">
        <f>VLOOKUP(D1057, Grid_Region_Mapping!$D$2:$F$5286, 3, FALSE)</f>
        <v>SRCE</v>
      </c>
      <c r="I1057" s="32">
        <v>6.0</v>
      </c>
      <c r="J1057" s="34" t="str">
        <f t="shared" si="1"/>
        <v>South</v>
      </c>
      <c r="K1057" s="35">
        <v>3.0</v>
      </c>
      <c r="L1057" s="35" t="s">
        <v>223</v>
      </c>
      <c r="M1057" s="36">
        <f>VLOOKUP(D1057, County_Data_CZones!$B$2:$F$3236, 2, FALSE)</f>
        <v>4</v>
      </c>
      <c r="N1057" s="37" t="str">
        <f>VLOOKUP(D1057, County_Data_CZones!$B$2:$F$3236, 5, FALSE)</f>
        <v>Mixed-Humid</v>
      </c>
    </row>
    <row r="1058" ht="15.75" customHeight="1">
      <c r="A1058" s="32" t="s">
        <v>142</v>
      </c>
      <c r="B1058" s="32" t="s">
        <v>818</v>
      </c>
      <c r="C1058" s="32" t="str">
        <f>vlookup(B1058,State_EMM_RowSums!$A$2:$B$52,2,FALSE)</f>
        <v>KY</v>
      </c>
      <c r="D1058" s="32">
        <v>21127.0</v>
      </c>
      <c r="E1058" s="33">
        <f>IF(NOT(ISBLANK(vlookup($D1058,Pop_Census_2023!$A$2:$E$3220,4,FALSE))),vlookup($D1058,Pop_Census_2023!$A$2:$E$3220,4,FALSE), vlookup($D1058,Pop_Census_2023!$A$2:$E$3220,5,FALSE))</f>
        <v>16000</v>
      </c>
      <c r="F1058" s="32">
        <v>516910.0</v>
      </c>
      <c r="G1058" s="32">
        <v>110.0</v>
      </c>
      <c r="H1058" s="32" t="str">
        <f>VLOOKUP(D1058, Grid_Region_Mapping!$D$2:$F$5286, 3, FALSE)</f>
        <v>PJMW</v>
      </c>
      <c r="I1058" s="32">
        <v>6.0</v>
      </c>
      <c r="J1058" s="34" t="str">
        <f t="shared" si="1"/>
        <v>South</v>
      </c>
      <c r="K1058" s="35">
        <v>3.0</v>
      </c>
      <c r="L1058" s="35" t="s">
        <v>223</v>
      </c>
      <c r="M1058" s="36">
        <f>VLOOKUP(D1058, County_Data_CZones!$B$2:$F$3236, 2, FALSE)</f>
        <v>4</v>
      </c>
      <c r="N1058" s="37" t="str">
        <f>VLOOKUP(D1058, County_Data_CZones!$B$2:$F$3236, 5, FALSE)</f>
        <v>Mixed-Humid</v>
      </c>
    </row>
    <row r="1059" ht="15.75" customHeight="1">
      <c r="A1059" s="32" t="s">
        <v>143</v>
      </c>
      <c r="B1059" s="32" t="s">
        <v>818</v>
      </c>
      <c r="C1059" s="32" t="str">
        <f>vlookup(B1059,State_EMM_RowSums!$A$2:$B$52,2,FALSE)</f>
        <v>KY</v>
      </c>
      <c r="D1059" s="32">
        <v>21129.0</v>
      </c>
      <c r="E1059" s="33">
        <f>IF(NOT(ISBLANK(vlookup($D1059,Pop_Census_2023!$A$2:$E$3220,4,FALSE))),vlookup($D1059,Pop_Census_2023!$A$2:$E$3220,4,FALSE), vlookup($D1059,Pop_Census_2023!$A$2:$E$3220,5,FALSE))</f>
        <v>7293</v>
      </c>
      <c r="F1059" s="32">
        <v>516911.0</v>
      </c>
      <c r="G1059" s="32">
        <v>109.0</v>
      </c>
      <c r="H1059" s="32" t="str">
        <f>VLOOKUP(D1059, Grid_Region_Mapping!$D$2:$F$5286, 3, FALSE)</f>
        <v>SRCE</v>
      </c>
      <c r="I1059" s="32">
        <v>6.0</v>
      </c>
      <c r="J1059" s="34" t="str">
        <f t="shared" si="1"/>
        <v>South</v>
      </c>
      <c r="K1059" s="35">
        <v>3.0</v>
      </c>
      <c r="L1059" s="35" t="s">
        <v>223</v>
      </c>
      <c r="M1059" s="36">
        <f>VLOOKUP(D1059, County_Data_CZones!$B$2:$F$3236, 2, FALSE)</f>
        <v>4</v>
      </c>
      <c r="N1059" s="37" t="str">
        <f>VLOOKUP(D1059, County_Data_CZones!$B$2:$F$3236, 5, FALSE)</f>
        <v>Mixed-Humid</v>
      </c>
    </row>
    <row r="1060" ht="15.75" customHeight="1">
      <c r="A1060" s="32" t="s">
        <v>852</v>
      </c>
      <c r="B1060" s="32" t="s">
        <v>818</v>
      </c>
      <c r="C1060" s="32" t="str">
        <f>vlookup(B1060,State_EMM_RowSums!$A$2:$B$52,2,FALSE)</f>
        <v>KY</v>
      </c>
      <c r="D1060" s="32">
        <v>21131.0</v>
      </c>
      <c r="E1060" s="33">
        <f>IF(NOT(ISBLANK(vlookup($D1060,Pop_Census_2023!$A$2:$E$3220,4,FALSE))),vlookup($D1060,Pop_Census_2023!$A$2:$E$3220,4,FALSE), vlookup($D1060,Pop_Census_2023!$A$2:$E$3220,5,FALSE))</f>
        <v>9864</v>
      </c>
      <c r="F1060" s="32">
        <v>516912.0</v>
      </c>
      <c r="G1060" s="32">
        <v>110.0</v>
      </c>
      <c r="H1060" s="32" t="str">
        <f>VLOOKUP(D1060, Grid_Region_Mapping!$D$2:$F$5286, 3, FALSE)</f>
        <v>SRCE</v>
      </c>
      <c r="I1060" s="32">
        <v>6.0</v>
      </c>
      <c r="J1060" s="34" t="str">
        <f t="shared" si="1"/>
        <v>South</v>
      </c>
      <c r="K1060" s="35">
        <v>3.0</v>
      </c>
      <c r="L1060" s="35" t="s">
        <v>223</v>
      </c>
      <c r="M1060" s="36">
        <f>VLOOKUP(D1060, County_Data_CZones!$B$2:$F$3236, 2, FALSE)</f>
        <v>4</v>
      </c>
      <c r="N1060" s="37" t="str">
        <f>VLOOKUP(D1060, County_Data_CZones!$B$2:$F$3236, 5, FALSE)</f>
        <v>Mixed-Humid</v>
      </c>
    </row>
    <row r="1061" ht="15.75" customHeight="1">
      <c r="A1061" s="32" t="s">
        <v>853</v>
      </c>
      <c r="B1061" s="32" t="s">
        <v>818</v>
      </c>
      <c r="C1061" s="32" t="str">
        <f>vlookup(B1061,State_EMM_RowSums!$A$2:$B$52,2,FALSE)</f>
        <v>KY</v>
      </c>
      <c r="D1061" s="32">
        <v>21133.0</v>
      </c>
      <c r="E1061" s="33">
        <f>IF(NOT(ISBLANK(vlookup($D1061,Pop_Census_2023!$A$2:$E$3220,4,FALSE))),vlookup($D1061,Pop_Census_2023!$A$2:$E$3220,4,FALSE), vlookup($D1061,Pop_Census_2023!$A$2:$E$3220,5,FALSE))</f>
        <v>20423</v>
      </c>
      <c r="F1061" s="32">
        <v>516913.0</v>
      </c>
      <c r="G1061" s="32">
        <v>110.0</v>
      </c>
      <c r="H1061" s="32" t="str">
        <f>VLOOKUP(D1061, Grid_Region_Mapping!$D$2:$F$5286, 3, FALSE)</f>
        <v>SRCE</v>
      </c>
      <c r="I1061" s="32">
        <v>6.0</v>
      </c>
      <c r="J1061" s="34" t="str">
        <f t="shared" si="1"/>
        <v>South</v>
      </c>
      <c r="K1061" s="35">
        <v>3.0</v>
      </c>
      <c r="L1061" s="35" t="s">
        <v>223</v>
      </c>
      <c r="M1061" s="36">
        <f>VLOOKUP(D1061, County_Data_CZones!$B$2:$F$3236, 2, FALSE)</f>
        <v>4</v>
      </c>
      <c r="N1061" s="37" t="str">
        <f>VLOOKUP(D1061, County_Data_CZones!$B$2:$F$3236, 5, FALSE)</f>
        <v>Mixed-Humid</v>
      </c>
    </row>
    <row r="1062" ht="15.75" customHeight="1">
      <c r="A1062" s="32" t="s">
        <v>597</v>
      </c>
      <c r="B1062" s="32" t="s">
        <v>818</v>
      </c>
      <c r="C1062" s="32" t="str">
        <f>vlookup(B1062,State_EMM_RowSums!$A$2:$B$52,2,FALSE)</f>
        <v>KY</v>
      </c>
      <c r="D1062" s="32">
        <v>21135.0</v>
      </c>
      <c r="E1062" s="33">
        <f>IF(NOT(ISBLANK(vlookup($D1062,Pop_Census_2023!$A$2:$E$3220,4,FALSE))),vlookup($D1062,Pop_Census_2023!$A$2:$E$3220,4,FALSE), vlookup($D1062,Pop_Census_2023!$A$2:$E$3220,5,FALSE))</f>
        <v>12973</v>
      </c>
      <c r="F1062" s="32">
        <v>516914.0</v>
      </c>
      <c r="G1062" s="32">
        <v>109.0</v>
      </c>
      <c r="H1062" s="32" t="str">
        <f>VLOOKUP(D1062, Grid_Region_Mapping!$D$2:$F$5286, 3, FALSE)</f>
        <v>SRCE</v>
      </c>
      <c r="I1062" s="32">
        <v>6.0</v>
      </c>
      <c r="J1062" s="34" t="str">
        <f t="shared" si="1"/>
        <v>South</v>
      </c>
      <c r="K1062" s="35">
        <v>3.0</v>
      </c>
      <c r="L1062" s="35" t="s">
        <v>223</v>
      </c>
      <c r="M1062" s="36">
        <f>VLOOKUP(D1062, County_Data_CZones!$B$2:$F$3236, 2, FALSE)</f>
        <v>4</v>
      </c>
      <c r="N1062" s="37" t="str">
        <f>VLOOKUP(D1062, County_Data_CZones!$B$2:$F$3236, 5, FALSE)</f>
        <v>Mixed-Humid</v>
      </c>
    </row>
    <row r="1063" ht="15.75" customHeight="1">
      <c r="A1063" s="32" t="s">
        <v>250</v>
      </c>
      <c r="B1063" s="32" t="s">
        <v>818</v>
      </c>
      <c r="C1063" s="32" t="str">
        <f>vlookup(B1063,State_EMM_RowSums!$A$2:$B$52,2,FALSE)</f>
        <v>KY</v>
      </c>
      <c r="D1063" s="32">
        <v>21137.0</v>
      </c>
      <c r="E1063" s="33">
        <f>IF(NOT(ISBLANK(vlookup($D1063,Pop_Census_2023!$A$2:$E$3220,4,FALSE))),vlookup($D1063,Pop_Census_2023!$A$2:$E$3220,4,FALSE), vlookup($D1063,Pop_Census_2023!$A$2:$E$3220,5,FALSE))</f>
        <v>24776</v>
      </c>
      <c r="F1063" s="32">
        <v>516915.0</v>
      </c>
      <c r="G1063" s="32">
        <v>109.0</v>
      </c>
      <c r="H1063" s="32" t="str">
        <f>VLOOKUP(D1063, Grid_Region_Mapping!$D$2:$F$5286, 3, FALSE)</f>
        <v>SRCE</v>
      </c>
      <c r="I1063" s="32">
        <v>6.0</v>
      </c>
      <c r="J1063" s="34" t="str">
        <f t="shared" si="1"/>
        <v>South</v>
      </c>
      <c r="K1063" s="35">
        <v>3.0</v>
      </c>
      <c r="L1063" s="35" t="s">
        <v>223</v>
      </c>
      <c r="M1063" s="36">
        <f>VLOOKUP(D1063, County_Data_CZones!$B$2:$F$3236, 2, FALSE)</f>
        <v>4</v>
      </c>
      <c r="N1063" s="37" t="str">
        <f>VLOOKUP(D1063, County_Data_CZones!$B$2:$F$3236, 5, FALSE)</f>
        <v>Mixed-Humid</v>
      </c>
    </row>
    <row r="1064" ht="15.75" customHeight="1">
      <c r="A1064" s="32" t="s">
        <v>636</v>
      </c>
      <c r="B1064" s="32" t="s">
        <v>818</v>
      </c>
      <c r="C1064" s="32" t="str">
        <f>vlookup(B1064,State_EMM_RowSums!$A$2:$B$52,2,FALSE)</f>
        <v>KY</v>
      </c>
      <c r="D1064" s="32">
        <v>21139.0</v>
      </c>
      <c r="E1064" s="33">
        <f>IF(NOT(ISBLANK(vlookup($D1064,Pop_Census_2023!$A$2:$E$3220,4,FALSE))),vlookup($D1064,Pop_Census_2023!$A$2:$E$3220,4,FALSE), vlookup($D1064,Pop_Census_2023!$A$2:$E$3220,5,FALSE))</f>
        <v>8892</v>
      </c>
      <c r="F1064" s="32">
        <v>516916.0</v>
      </c>
      <c r="G1064" s="32">
        <v>93.0</v>
      </c>
      <c r="H1064" s="32" t="str">
        <f>VLOOKUP(D1064, Grid_Region_Mapping!$D$2:$F$5286, 3, FALSE)</f>
        <v>SRCE</v>
      </c>
      <c r="I1064" s="32">
        <v>6.0</v>
      </c>
      <c r="J1064" s="34" t="str">
        <f t="shared" si="1"/>
        <v>South</v>
      </c>
      <c r="K1064" s="35">
        <v>3.0</v>
      </c>
      <c r="L1064" s="35" t="s">
        <v>223</v>
      </c>
      <c r="M1064" s="36">
        <f>VLOOKUP(D1064, County_Data_CZones!$B$2:$F$3236, 2, FALSE)</f>
        <v>4</v>
      </c>
      <c r="N1064" s="37" t="str">
        <f>VLOOKUP(D1064, County_Data_CZones!$B$2:$F$3236, 5, FALSE)</f>
        <v>Mixed-Humid</v>
      </c>
    </row>
    <row r="1065" ht="15.75" customHeight="1">
      <c r="A1065" s="32" t="s">
        <v>252</v>
      </c>
      <c r="B1065" s="32" t="s">
        <v>818</v>
      </c>
      <c r="C1065" s="32" t="str">
        <f>vlookup(B1065,State_EMM_RowSums!$A$2:$B$52,2,FALSE)</f>
        <v>KY</v>
      </c>
      <c r="D1065" s="32">
        <v>21141.0</v>
      </c>
      <c r="E1065" s="33">
        <f>IF(NOT(ISBLANK(vlookup($D1065,Pop_Census_2023!$A$2:$E$3220,4,FALSE))),vlookup($D1065,Pop_Census_2023!$A$2:$E$3220,4,FALSE), vlookup($D1065,Pop_Census_2023!$A$2:$E$3220,5,FALSE))</f>
        <v>28283</v>
      </c>
      <c r="F1065" s="32">
        <v>516917.0</v>
      </c>
      <c r="G1065" s="32">
        <v>93.0</v>
      </c>
      <c r="H1065" s="32" t="str">
        <f>VLOOKUP(D1065, Grid_Region_Mapping!$D$2:$F$5286, 3, FALSE)</f>
        <v>SRCE</v>
      </c>
      <c r="I1065" s="32">
        <v>6.0</v>
      </c>
      <c r="J1065" s="34" t="str">
        <f t="shared" si="1"/>
        <v>South</v>
      </c>
      <c r="K1065" s="35">
        <v>3.0</v>
      </c>
      <c r="L1065" s="35" t="s">
        <v>223</v>
      </c>
      <c r="M1065" s="36">
        <f>VLOOKUP(D1065, County_Data_CZones!$B$2:$F$3236, 2, FALSE)</f>
        <v>4</v>
      </c>
      <c r="N1065" s="37" t="str">
        <f>VLOOKUP(D1065, County_Data_CZones!$B$2:$F$3236, 5, FALSE)</f>
        <v>Mixed-Humid</v>
      </c>
    </row>
    <row r="1066" ht="15.75" customHeight="1">
      <c r="A1066" s="32" t="s">
        <v>729</v>
      </c>
      <c r="B1066" s="32" t="s">
        <v>818</v>
      </c>
      <c r="C1066" s="32" t="str">
        <f>vlookup(B1066,State_EMM_RowSums!$A$2:$B$52,2,FALSE)</f>
        <v>KY</v>
      </c>
      <c r="D1066" s="32">
        <v>21143.0</v>
      </c>
      <c r="E1066" s="33">
        <f>IF(NOT(ISBLANK(vlookup($D1066,Pop_Census_2023!$A$2:$E$3220,4,FALSE))),vlookup($D1066,Pop_Census_2023!$A$2:$E$3220,4,FALSE), vlookup($D1066,Pop_Census_2023!$A$2:$E$3220,5,FALSE))</f>
        <v>9187</v>
      </c>
      <c r="F1066" s="32">
        <v>516918.0</v>
      </c>
      <c r="G1066" s="32">
        <v>93.0</v>
      </c>
      <c r="H1066" s="32" t="str">
        <f>VLOOKUP(D1066, Grid_Region_Mapping!$D$2:$F$5286, 3, FALSE)</f>
        <v>SRCE</v>
      </c>
      <c r="I1066" s="32">
        <v>6.0</v>
      </c>
      <c r="J1066" s="34" t="str">
        <f t="shared" si="1"/>
        <v>South</v>
      </c>
      <c r="K1066" s="35">
        <v>3.0</v>
      </c>
      <c r="L1066" s="35" t="s">
        <v>223</v>
      </c>
      <c r="M1066" s="36">
        <f>VLOOKUP(D1066, County_Data_CZones!$B$2:$F$3236, 2, FALSE)</f>
        <v>4</v>
      </c>
      <c r="N1066" s="37" t="str">
        <f>VLOOKUP(D1066, County_Data_CZones!$B$2:$F$3236, 5, FALSE)</f>
        <v>Mixed-Humid</v>
      </c>
    </row>
    <row r="1067" ht="15.75" customHeight="1">
      <c r="A1067" s="32" t="s">
        <v>854</v>
      </c>
      <c r="B1067" s="32" t="s">
        <v>818</v>
      </c>
      <c r="C1067" s="32" t="str">
        <f>vlookup(B1067,State_EMM_RowSums!$A$2:$B$52,2,FALSE)</f>
        <v>KY</v>
      </c>
      <c r="D1067" s="32">
        <v>21145.0</v>
      </c>
      <c r="E1067" s="33">
        <f>IF(NOT(ISBLANK(vlookup($D1067,Pop_Census_2023!$A$2:$E$3220,4,FALSE))),vlookup($D1067,Pop_Census_2023!$A$2:$E$3220,4,FALSE), vlookup($D1067,Pop_Census_2023!$A$2:$E$3220,5,FALSE))</f>
        <v>67428</v>
      </c>
      <c r="F1067" s="32">
        <v>516925.0</v>
      </c>
      <c r="G1067" s="32">
        <v>93.0</v>
      </c>
      <c r="H1067" s="32" t="str">
        <f>VLOOKUP(D1067, Grid_Region_Mapping!$D$2:$F$5286, 3, FALSE)</f>
        <v>SRCE</v>
      </c>
      <c r="I1067" s="32">
        <v>6.0</v>
      </c>
      <c r="J1067" s="34" t="str">
        <f t="shared" si="1"/>
        <v>South</v>
      </c>
      <c r="K1067" s="35">
        <v>3.0</v>
      </c>
      <c r="L1067" s="35" t="s">
        <v>223</v>
      </c>
      <c r="M1067" s="36">
        <f>VLOOKUP(D1067, County_Data_CZones!$B$2:$F$3236, 2, FALSE)</f>
        <v>4</v>
      </c>
      <c r="N1067" s="37" t="str">
        <f>VLOOKUP(D1067, County_Data_CZones!$B$2:$F$3236, 5, FALSE)</f>
        <v>Mixed-Humid</v>
      </c>
    </row>
    <row r="1068" ht="15.75" customHeight="1">
      <c r="A1068" s="32" t="s">
        <v>855</v>
      </c>
      <c r="B1068" s="32" t="s">
        <v>818</v>
      </c>
      <c r="C1068" s="32" t="str">
        <f>vlookup(B1068,State_EMM_RowSums!$A$2:$B$52,2,FALSE)</f>
        <v>KY</v>
      </c>
      <c r="D1068" s="32">
        <v>21147.0</v>
      </c>
      <c r="E1068" s="33">
        <f>IF(NOT(ISBLANK(vlookup($D1068,Pop_Census_2023!$A$2:$E$3220,4,FALSE))),vlookup($D1068,Pop_Census_2023!$A$2:$E$3220,4,FALSE), vlookup($D1068,Pop_Census_2023!$A$2:$E$3220,5,FALSE))</f>
        <v>17050</v>
      </c>
      <c r="F1068" s="32">
        <v>516926.0</v>
      </c>
      <c r="G1068" s="32">
        <v>93.0</v>
      </c>
      <c r="H1068" s="32" t="str">
        <f>VLOOKUP(D1068, Grid_Region_Mapping!$D$2:$F$5286, 3, FALSE)</f>
        <v>SRCE</v>
      </c>
      <c r="I1068" s="32">
        <v>6.0</v>
      </c>
      <c r="J1068" s="34" t="str">
        <f t="shared" si="1"/>
        <v>South</v>
      </c>
      <c r="K1068" s="35">
        <v>3.0</v>
      </c>
      <c r="L1068" s="35" t="s">
        <v>223</v>
      </c>
      <c r="M1068" s="36">
        <f>VLOOKUP(D1068, County_Data_CZones!$B$2:$F$3236, 2, FALSE)</f>
        <v>4</v>
      </c>
      <c r="N1068" s="37" t="str">
        <f>VLOOKUP(D1068, County_Data_CZones!$B$2:$F$3236, 5, FALSE)</f>
        <v>Mixed-Humid</v>
      </c>
    </row>
    <row r="1069" ht="15.75" customHeight="1">
      <c r="A1069" s="32" t="s">
        <v>639</v>
      </c>
      <c r="B1069" s="32" t="s">
        <v>818</v>
      </c>
      <c r="C1069" s="32" t="str">
        <f>vlookup(B1069,State_EMM_RowSums!$A$2:$B$52,2,FALSE)</f>
        <v>KY</v>
      </c>
      <c r="D1069" s="32">
        <v>21149.0</v>
      </c>
      <c r="E1069" s="33">
        <f>IF(NOT(ISBLANK(vlookup($D1069,Pop_Census_2023!$A$2:$E$3220,4,FALSE))),vlookup($D1069,Pop_Census_2023!$A$2:$E$3220,4,FALSE), vlookup($D1069,Pop_Census_2023!$A$2:$E$3220,5,FALSE))</f>
        <v>9054</v>
      </c>
      <c r="F1069" s="32">
        <v>516927.0</v>
      </c>
      <c r="G1069" s="32">
        <v>108.0</v>
      </c>
      <c r="H1069" s="32" t="str">
        <f>VLOOKUP(D1069, Grid_Region_Mapping!$D$2:$F$5286, 3, FALSE)</f>
        <v>SRCE</v>
      </c>
      <c r="I1069" s="32">
        <v>6.0</v>
      </c>
      <c r="J1069" s="34" t="str">
        <f t="shared" si="1"/>
        <v>South</v>
      </c>
      <c r="K1069" s="35">
        <v>3.0</v>
      </c>
      <c r="L1069" s="35" t="s">
        <v>223</v>
      </c>
      <c r="M1069" s="36">
        <f>VLOOKUP(D1069, County_Data_CZones!$B$2:$F$3236, 2, FALSE)</f>
        <v>4</v>
      </c>
      <c r="N1069" s="37" t="str">
        <f>VLOOKUP(D1069, County_Data_CZones!$B$2:$F$3236, 5, FALSE)</f>
        <v>Mixed-Humid</v>
      </c>
    </row>
    <row r="1070" ht="15.75" customHeight="1">
      <c r="A1070" s="32" t="s">
        <v>147</v>
      </c>
      <c r="B1070" s="32" t="s">
        <v>818</v>
      </c>
      <c r="C1070" s="32" t="str">
        <f>vlookup(B1070,State_EMM_RowSums!$A$2:$B$52,2,FALSE)</f>
        <v>KY</v>
      </c>
      <c r="D1070" s="32">
        <v>21151.0</v>
      </c>
      <c r="E1070" s="33">
        <f>IF(NOT(ISBLANK(vlookup($D1070,Pop_Census_2023!$A$2:$E$3220,4,FALSE))),vlookup($D1070,Pop_Census_2023!$A$2:$E$3220,4,FALSE), vlookup($D1070,Pop_Census_2023!$A$2:$E$3220,5,FALSE))</f>
        <v>96735</v>
      </c>
      <c r="F1070" s="32">
        <v>516919.0</v>
      </c>
      <c r="G1070" s="32">
        <v>109.0</v>
      </c>
      <c r="H1070" s="32" t="str">
        <f>VLOOKUP(D1070, Grid_Region_Mapping!$D$2:$F$5286, 3, FALSE)</f>
        <v>SRCE</v>
      </c>
      <c r="I1070" s="32">
        <v>6.0</v>
      </c>
      <c r="J1070" s="34" t="str">
        <f t="shared" si="1"/>
        <v>South</v>
      </c>
      <c r="K1070" s="35">
        <v>3.0</v>
      </c>
      <c r="L1070" s="35" t="s">
        <v>223</v>
      </c>
      <c r="M1070" s="36">
        <f>VLOOKUP(D1070, County_Data_CZones!$B$2:$F$3236, 2, FALSE)</f>
        <v>4</v>
      </c>
      <c r="N1070" s="37" t="str">
        <f>VLOOKUP(D1070, County_Data_CZones!$B$2:$F$3236, 5, FALSE)</f>
        <v>Mixed-Humid</v>
      </c>
    </row>
    <row r="1071" ht="15.75" customHeight="1">
      <c r="A1071" s="32" t="s">
        <v>856</v>
      </c>
      <c r="B1071" s="32" t="s">
        <v>818</v>
      </c>
      <c r="C1071" s="32" t="str">
        <f>vlookup(B1071,State_EMM_RowSums!$A$2:$B$52,2,FALSE)</f>
        <v>KY</v>
      </c>
      <c r="D1071" s="32">
        <v>21153.0</v>
      </c>
      <c r="E1071" s="33">
        <f>IF(NOT(ISBLANK(vlookup($D1071,Pop_Census_2023!$A$2:$E$3220,4,FALSE))),vlookup($D1071,Pop_Census_2023!$A$2:$E$3220,4,FALSE), vlookup($D1071,Pop_Census_2023!$A$2:$E$3220,5,FALSE))</f>
        <v>11228</v>
      </c>
      <c r="F1071" s="32">
        <v>516920.0</v>
      </c>
      <c r="G1071" s="32">
        <v>109.0</v>
      </c>
      <c r="H1071" s="32" t="str">
        <f>VLOOKUP(D1071, Grid_Region_Mapping!$D$2:$F$5286, 3, FALSE)</f>
        <v>SRCE</v>
      </c>
      <c r="I1071" s="32">
        <v>6.0</v>
      </c>
      <c r="J1071" s="34" t="str">
        <f t="shared" si="1"/>
        <v>South</v>
      </c>
      <c r="K1071" s="35">
        <v>3.0</v>
      </c>
      <c r="L1071" s="35" t="s">
        <v>223</v>
      </c>
      <c r="M1071" s="36">
        <f>VLOOKUP(D1071, County_Data_CZones!$B$2:$F$3236, 2, FALSE)</f>
        <v>4</v>
      </c>
      <c r="N1071" s="37" t="str">
        <f>VLOOKUP(D1071, County_Data_CZones!$B$2:$F$3236, 5, FALSE)</f>
        <v>Mixed-Humid</v>
      </c>
    </row>
    <row r="1072" ht="15.75" customHeight="1">
      <c r="A1072" s="32" t="s">
        <v>149</v>
      </c>
      <c r="B1072" s="32" t="s">
        <v>818</v>
      </c>
      <c r="C1072" s="32" t="str">
        <f>vlookup(B1072,State_EMM_RowSums!$A$2:$B$52,2,FALSE)</f>
        <v>KY</v>
      </c>
      <c r="D1072" s="32">
        <v>21155.0</v>
      </c>
      <c r="E1072" s="33">
        <f>IF(NOT(ISBLANK(vlookup($D1072,Pop_Census_2023!$A$2:$E$3220,4,FALSE))),vlookup($D1072,Pop_Census_2023!$A$2:$E$3220,4,FALSE), vlookup($D1072,Pop_Census_2023!$A$2:$E$3220,5,FALSE))</f>
        <v>19834</v>
      </c>
      <c r="F1072" s="32">
        <v>516921.0</v>
      </c>
      <c r="G1072" s="32">
        <v>109.0</v>
      </c>
      <c r="H1072" s="32" t="str">
        <f>VLOOKUP(D1072, Grid_Region_Mapping!$D$2:$F$5286, 3, FALSE)</f>
        <v>SRCE</v>
      </c>
      <c r="I1072" s="32">
        <v>6.0</v>
      </c>
      <c r="J1072" s="34" t="str">
        <f t="shared" si="1"/>
        <v>South</v>
      </c>
      <c r="K1072" s="35">
        <v>3.0</v>
      </c>
      <c r="L1072" s="35" t="s">
        <v>223</v>
      </c>
      <c r="M1072" s="36">
        <f>VLOOKUP(D1072, County_Data_CZones!$B$2:$F$3236, 2, FALSE)</f>
        <v>4</v>
      </c>
      <c r="N1072" s="37" t="str">
        <f>VLOOKUP(D1072, County_Data_CZones!$B$2:$F$3236, 5, FALSE)</f>
        <v>Mixed-Humid</v>
      </c>
    </row>
    <row r="1073" ht="15.75" customHeight="1">
      <c r="A1073" s="32" t="s">
        <v>150</v>
      </c>
      <c r="B1073" s="32" t="s">
        <v>818</v>
      </c>
      <c r="C1073" s="32" t="str">
        <f>vlookup(B1073,State_EMM_RowSums!$A$2:$B$52,2,FALSE)</f>
        <v>KY</v>
      </c>
      <c r="D1073" s="32">
        <v>21157.0</v>
      </c>
      <c r="E1073" s="33">
        <f>IF(NOT(ISBLANK(vlookup($D1073,Pop_Census_2023!$A$2:$E$3220,4,FALSE))),vlookup($D1073,Pop_Census_2023!$A$2:$E$3220,4,FALSE), vlookup($D1073,Pop_Census_2023!$A$2:$E$3220,5,FALSE))</f>
        <v>31744</v>
      </c>
      <c r="F1073" s="32">
        <v>516922.0</v>
      </c>
      <c r="G1073" s="32">
        <v>93.0</v>
      </c>
      <c r="H1073" s="32" t="str">
        <f>VLOOKUP(D1073, Grid_Region_Mapping!$D$2:$F$5286, 3, FALSE)</f>
        <v>SRCE</v>
      </c>
      <c r="I1073" s="32">
        <v>6.0</v>
      </c>
      <c r="J1073" s="34" t="str">
        <f t="shared" si="1"/>
        <v>South</v>
      </c>
      <c r="K1073" s="35">
        <v>3.0</v>
      </c>
      <c r="L1073" s="35" t="s">
        <v>223</v>
      </c>
      <c r="M1073" s="36">
        <f>VLOOKUP(D1073, County_Data_CZones!$B$2:$F$3236, 2, FALSE)</f>
        <v>4</v>
      </c>
      <c r="N1073" s="37" t="str">
        <f>VLOOKUP(D1073, County_Data_CZones!$B$2:$F$3236, 5, FALSE)</f>
        <v>Mixed-Humid</v>
      </c>
    </row>
    <row r="1074" ht="15.75" customHeight="1">
      <c r="A1074" s="32" t="s">
        <v>440</v>
      </c>
      <c r="B1074" s="32" t="s">
        <v>818</v>
      </c>
      <c r="C1074" s="32" t="str">
        <f>vlookup(B1074,State_EMM_RowSums!$A$2:$B$52,2,FALSE)</f>
        <v>KY</v>
      </c>
      <c r="D1074" s="32">
        <v>21159.0</v>
      </c>
      <c r="E1074" s="33">
        <f>IF(NOT(ISBLANK(vlookup($D1074,Pop_Census_2023!$A$2:$E$3220,4,FALSE))),vlookup($D1074,Pop_Census_2023!$A$2:$E$3220,4,FALSE), vlookup($D1074,Pop_Census_2023!$A$2:$E$3220,5,FALSE))</f>
        <v>10928</v>
      </c>
      <c r="F1074" s="32">
        <v>516923.0</v>
      </c>
      <c r="G1074" s="32">
        <v>110.0</v>
      </c>
      <c r="H1074" s="32" t="str">
        <f>VLOOKUP(D1074, Grid_Region_Mapping!$D$2:$F$5286, 3, FALSE)</f>
        <v>PJMW</v>
      </c>
      <c r="I1074" s="32">
        <v>6.0</v>
      </c>
      <c r="J1074" s="34" t="str">
        <f t="shared" si="1"/>
        <v>South</v>
      </c>
      <c r="K1074" s="35">
        <v>3.0</v>
      </c>
      <c r="L1074" s="35" t="s">
        <v>223</v>
      </c>
      <c r="M1074" s="36">
        <f>VLOOKUP(D1074, County_Data_CZones!$B$2:$F$3236, 2, FALSE)</f>
        <v>4</v>
      </c>
      <c r="N1074" s="37" t="str">
        <f>VLOOKUP(D1074, County_Data_CZones!$B$2:$F$3236, 5, FALSE)</f>
        <v>Mixed-Humid</v>
      </c>
    </row>
    <row r="1075" ht="15.75" customHeight="1">
      <c r="A1075" s="32" t="s">
        <v>641</v>
      </c>
      <c r="B1075" s="32" t="s">
        <v>818</v>
      </c>
      <c r="C1075" s="32" t="str">
        <f>vlookup(B1075,State_EMM_RowSums!$A$2:$B$52,2,FALSE)</f>
        <v>KY</v>
      </c>
      <c r="D1075" s="32">
        <v>21161.0</v>
      </c>
      <c r="E1075" s="33">
        <f>IF(NOT(ISBLANK(vlookup($D1075,Pop_Census_2023!$A$2:$E$3220,4,FALSE))),vlookup($D1075,Pop_Census_2023!$A$2:$E$3220,4,FALSE), vlookup($D1075,Pop_Census_2023!$A$2:$E$3220,5,FALSE))</f>
        <v>16841</v>
      </c>
      <c r="F1075" s="32">
        <v>516924.0</v>
      </c>
      <c r="G1075" s="32">
        <v>109.0</v>
      </c>
      <c r="H1075" s="32" t="str">
        <f>VLOOKUP(D1075, Grid_Region_Mapping!$D$2:$F$5286, 3, FALSE)</f>
        <v>SRCE</v>
      </c>
      <c r="I1075" s="32">
        <v>6.0</v>
      </c>
      <c r="J1075" s="34" t="str">
        <f t="shared" si="1"/>
        <v>South</v>
      </c>
      <c r="K1075" s="35">
        <v>3.0</v>
      </c>
      <c r="L1075" s="35" t="s">
        <v>223</v>
      </c>
      <c r="M1075" s="36">
        <f>VLOOKUP(D1075, County_Data_CZones!$B$2:$F$3236, 2, FALSE)</f>
        <v>4</v>
      </c>
      <c r="N1075" s="37" t="str">
        <f>VLOOKUP(D1075, County_Data_CZones!$B$2:$F$3236, 5, FALSE)</f>
        <v>Mixed-Humid</v>
      </c>
    </row>
    <row r="1076" ht="15.75" customHeight="1">
      <c r="A1076" s="32" t="s">
        <v>783</v>
      </c>
      <c r="B1076" s="32" t="s">
        <v>818</v>
      </c>
      <c r="C1076" s="32" t="str">
        <f>vlookup(B1076,State_EMM_RowSums!$A$2:$B$52,2,FALSE)</f>
        <v>KY</v>
      </c>
      <c r="D1076" s="32">
        <v>21163.0</v>
      </c>
      <c r="E1076" s="33">
        <f>IF(NOT(ISBLANK(vlookup($D1076,Pop_Census_2023!$A$2:$E$3220,4,FALSE))),vlookup($D1076,Pop_Census_2023!$A$2:$E$3220,4,FALSE), vlookup($D1076,Pop_Census_2023!$A$2:$E$3220,5,FALSE))</f>
        <v>30131</v>
      </c>
      <c r="F1076" s="32">
        <v>516928.0</v>
      </c>
      <c r="G1076" s="32">
        <v>109.0</v>
      </c>
      <c r="H1076" s="32" t="str">
        <f>VLOOKUP(D1076, Grid_Region_Mapping!$D$2:$F$5286, 3, FALSE)</f>
        <v>SRCE</v>
      </c>
      <c r="I1076" s="32">
        <v>6.0</v>
      </c>
      <c r="J1076" s="34" t="str">
        <f t="shared" si="1"/>
        <v>South</v>
      </c>
      <c r="K1076" s="35">
        <v>3.0</v>
      </c>
      <c r="L1076" s="35" t="s">
        <v>223</v>
      </c>
      <c r="M1076" s="36">
        <f>VLOOKUP(D1076, County_Data_CZones!$B$2:$F$3236, 2, FALSE)</f>
        <v>4</v>
      </c>
      <c r="N1076" s="37" t="str">
        <f>VLOOKUP(D1076, County_Data_CZones!$B$2:$F$3236, 5, FALSE)</f>
        <v>Mixed-Humid</v>
      </c>
    </row>
    <row r="1077" ht="15.75" customHeight="1">
      <c r="A1077" s="32" t="s">
        <v>857</v>
      </c>
      <c r="B1077" s="32" t="s">
        <v>818</v>
      </c>
      <c r="C1077" s="32" t="str">
        <f>vlookup(B1077,State_EMM_RowSums!$A$2:$B$52,2,FALSE)</f>
        <v>KY</v>
      </c>
      <c r="D1077" s="32">
        <v>21165.0</v>
      </c>
      <c r="E1077" s="33">
        <f>IF(NOT(ISBLANK(vlookup($D1077,Pop_Census_2023!$A$2:$E$3220,4,FALSE))),vlookup($D1077,Pop_Census_2023!$A$2:$E$3220,4,FALSE), vlookup($D1077,Pop_Census_2023!$A$2:$E$3220,5,FALSE))</f>
        <v>6286</v>
      </c>
      <c r="F1077" s="32">
        <v>516929.0</v>
      </c>
      <c r="G1077" s="32">
        <v>109.0</v>
      </c>
      <c r="H1077" s="32" t="str">
        <f>VLOOKUP(D1077, Grid_Region_Mapping!$D$2:$F$5286, 3, FALSE)</f>
        <v>SRCE</v>
      </c>
      <c r="I1077" s="32">
        <v>6.0</v>
      </c>
      <c r="J1077" s="34" t="str">
        <f t="shared" si="1"/>
        <v>South</v>
      </c>
      <c r="K1077" s="35">
        <v>3.0</v>
      </c>
      <c r="L1077" s="35" t="s">
        <v>223</v>
      </c>
      <c r="M1077" s="36">
        <f>VLOOKUP(D1077, County_Data_CZones!$B$2:$F$3236, 2, FALSE)</f>
        <v>4</v>
      </c>
      <c r="N1077" s="37" t="str">
        <f>VLOOKUP(D1077, County_Data_CZones!$B$2:$F$3236, 5, FALSE)</f>
        <v>Mixed-Humid</v>
      </c>
    </row>
    <row r="1078" ht="15.75" customHeight="1">
      <c r="A1078" s="32" t="s">
        <v>644</v>
      </c>
      <c r="B1078" s="32" t="s">
        <v>818</v>
      </c>
      <c r="C1078" s="32" t="str">
        <f>vlookup(B1078,State_EMM_RowSums!$A$2:$B$52,2,FALSE)</f>
        <v>KY</v>
      </c>
      <c r="D1078" s="32">
        <v>21167.0</v>
      </c>
      <c r="E1078" s="33">
        <f>IF(NOT(ISBLANK(vlookup($D1078,Pop_Census_2023!$A$2:$E$3220,4,FALSE))),vlookup($D1078,Pop_Census_2023!$A$2:$E$3220,4,FALSE), vlookup($D1078,Pop_Census_2023!$A$2:$E$3220,5,FALSE))</f>
        <v>23097</v>
      </c>
      <c r="F1078" s="32">
        <v>516930.0</v>
      </c>
      <c r="G1078" s="32">
        <v>109.0</v>
      </c>
      <c r="H1078" s="32" t="str">
        <f>VLOOKUP(D1078, Grid_Region_Mapping!$D$2:$F$5286, 3, FALSE)</f>
        <v>SRCE</v>
      </c>
      <c r="I1078" s="32">
        <v>6.0</v>
      </c>
      <c r="J1078" s="34" t="str">
        <f t="shared" si="1"/>
        <v>South</v>
      </c>
      <c r="K1078" s="35">
        <v>3.0</v>
      </c>
      <c r="L1078" s="35" t="s">
        <v>223</v>
      </c>
      <c r="M1078" s="36">
        <f>VLOOKUP(D1078, County_Data_CZones!$B$2:$F$3236, 2, FALSE)</f>
        <v>4</v>
      </c>
      <c r="N1078" s="37" t="str">
        <f>VLOOKUP(D1078, County_Data_CZones!$B$2:$F$3236, 5, FALSE)</f>
        <v>Mixed-Humid</v>
      </c>
    </row>
    <row r="1079" ht="15.75" customHeight="1">
      <c r="A1079" s="32" t="s">
        <v>858</v>
      </c>
      <c r="B1079" s="32" t="s">
        <v>818</v>
      </c>
      <c r="C1079" s="32" t="str">
        <f>vlookup(B1079,State_EMM_RowSums!$A$2:$B$52,2,FALSE)</f>
        <v>KY</v>
      </c>
      <c r="D1079" s="32">
        <v>21169.0</v>
      </c>
      <c r="E1079" s="33">
        <f>IF(NOT(ISBLANK(vlookup($D1079,Pop_Census_2023!$A$2:$E$3220,4,FALSE))),vlookup($D1079,Pop_Census_2023!$A$2:$E$3220,4,FALSE), vlookup($D1079,Pop_Census_2023!$A$2:$E$3220,5,FALSE))</f>
        <v>10482</v>
      </c>
      <c r="F1079" s="32">
        <v>516931.0</v>
      </c>
      <c r="G1079" s="32">
        <v>93.0</v>
      </c>
      <c r="H1079" s="32" t="str">
        <f>VLOOKUP(D1079, Grid_Region_Mapping!$D$2:$F$5286, 3, FALSE)</f>
        <v>SRCE</v>
      </c>
      <c r="I1079" s="32">
        <v>6.0</v>
      </c>
      <c r="J1079" s="34" t="str">
        <f t="shared" si="1"/>
        <v>South</v>
      </c>
      <c r="K1079" s="35">
        <v>3.0</v>
      </c>
      <c r="L1079" s="35" t="s">
        <v>223</v>
      </c>
      <c r="M1079" s="36">
        <f>VLOOKUP(D1079, County_Data_CZones!$B$2:$F$3236, 2, FALSE)</f>
        <v>4</v>
      </c>
      <c r="N1079" s="37" t="str">
        <f>VLOOKUP(D1079, County_Data_CZones!$B$2:$F$3236, 5, FALSE)</f>
        <v>Mixed-Humid</v>
      </c>
    </row>
    <row r="1080" ht="15.75" customHeight="1">
      <c r="A1080" s="32" t="s">
        <v>152</v>
      </c>
      <c r="B1080" s="32" t="s">
        <v>818</v>
      </c>
      <c r="C1080" s="32" t="str">
        <f>vlookup(B1080,State_EMM_RowSums!$A$2:$B$52,2,FALSE)</f>
        <v>KY</v>
      </c>
      <c r="D1080" s="32">
        <v>21171.0</v>
      </c>
      <c r="E1080" s="33">
        <f>IF(NOT(ISBLANK(vlookup($D1080,Pop_Census_2023!$A$2:$E$3220,4,FALSE))),vlookup($D1080,Pop_Census_2023!$A$2:$E$3220,4,FALSE), vlookup($D1080,Pop_Census_2023!$A$2:$E$3220,5,FALSE))</f>
        <v>11306</v>
      </c>
      <c r="F1080" s="32">
        <v>516932.0</v>
      </c>
      <c r="G1080" s="32">
        <v>93.0</v>
      </c>
      <c r="H1080" s="32" t="str">
        <f>VLOOKUP(D1080, Grid_Region_Mapping!$D$2:$F$5286, 3, FALSE)</f>
        <v>SRCE</v>
      </c>
      <c r="I1080" s="32">
        <v>6.0</v>
      </c>
      <c r="J1080" s="34" t="str">
        <f t="shared" si="1"/>
        <v>South</v>
      </c>
      <c r="K1080" s="35">
        <v>3.0</v>
      </c>
      <c r="L1080" s="35" t="s">
        <v>223</v>
      </c>
      <c r="M1080" s="36">
        <f>VLOOKUP(D1080, County_Data_CZones!$B$2:$F$3236, 2, FALSE)</f>
        <v>4</v>
      </c>
      <c r="N1080" s="37" t="str">
        <f>VLOOKUP(D1080, County_Data_CZones!$B$2:$F$3236, 5, FALSE)</f>
        <v>Mixed-Humid</v>
      </c>
    </row>
    <row r="1081" ht="15.75" customHeight="1">
      <c r="A1081" s="32" t="s">
        <v>153</v>
      </c>
      <c r="B1081" s="32" t="s">
        <v>818</v>
      </c>
      <c r="C1081" s="32" t="str">
        <f>vlookup(B1081,State_EMM_RowSums!$A$2:$B$52,2,FALSE)</f>
        <v>KY</v>
      </c>
      <c r="D1081" s="32">
        <v>21173.0</v>
      </c>
      <c r="E1081" s="33">
        <f>IF(NOT(ISBLANK(vlookup($D1081,Pop_Census_2023!$A$2:$E$3220,4,FALSE))),vlookup($D1081,Pop_Census_2023!$A$2:$E$3220,4,FALSE), vlookup($D1081,Pop_Census_2023!$A$2:$E$3220,5,FALSE))</f>
        <v>28527</v>
      </c>
      <c r="F1081" s="32">
        <v>516933.0</v>
      </c>
      <c r="G1081" s="32">
        <v>109.0</v>
      </c>
      <c r="H1081" s="32" t="str">
        <f>VLOOKUP(D1081, Grid_Region_Mapping!$D$2:$F$5286, 3, FALSE)</f>
        <v>SRCE</v>
      </c>
      <c r="I1081" s="32">
        <v>6.0</v>
      </c>
      <c r="J1081" s="34" t="str">
        <f t="shared" si="1"/>
        <v>South</v>
      </c>
      <c r="K1081" s="35">
        <v>3.0</v>
      </c>
      <c r="L1081" s="35" t="s">
        <v>223</v>
      </c>
      <c r="M1081" s="36">
        <f>VLOOKUP(D1081, County_Data_CZones!$B$2:$F$3236, 2, FALSE)</f>
        <v>4</v>
      </c>
      <c r="N1081" s="37" t="str">
        <f>VLOOKUP(D1081, County_Data_CZones!$B$2:$F$3236, 5, FALSE)</f>
        <v>Mixed-Humid</v>
      </c>
    </row>
    <row r="1082" ht="15.75" customHeight="1">
      <c r="A1082" s="32" t="s">
        <v>154</v>
      </c>
      <c r="B1082" s="32" t="s">
        <v>818</v>
      </c>
      <c r="C1082" s="32" t="str">
        <f>vlookup(B1082,State_EMM_RowSums!$A$2:$B$52,2,FALSE)</f>
        <v>KY</v>
      </c>
      <c r="D1082" s="32">
        <v>21175.0</v>
      </c>
      <c r="E1082" s="33">
        <f>IF(NOT(ISBLANK(vlookup($D1082,Pop_Census_2023!$A$2:$E$3220,4,FALSE))),vlookup($D1082,Pop_Census_2023!$A$2:$E$3220,4,FALSE), vlookup($D1082,Pop_Census_2023!$A$2:$E$3220,5,FALSE))</f>
        <v>14283</v>
      </c>
      <c r="F1082" s="32">
        <v>516934.0</v>
      </c>
      <c r="G1082" s="32">
        <v>109.0</v>
      </c>
      <c r="H1082" s="32" t="str">
        <f>VLOOKUP(D1082, Grid_Region_Mapping!$D$2:$F$5286, 3, FALSE)</f>
        <v>SRCE</v>
      </c>
      <c r="I1082" s="32">
        <v>6.0</v>
      </c>
      <c r="J1082" s="34" t="str">
        <f t="shared" si="1"/>
        <v>South</v>
      </c>
      <c r="K1082" s="35">
        <v>3.0</v>
      </c>
      <c r="L1082" s="35" t="s">
        <v>223</v>
      </c>
      <c r="M1082" s="36">
        <f>VLOOKUP(D1082, County_Data_CZones!$B$2:$F$3236, 2, FALSE)</f>
        <v>4</v>
      </c>
      <c r="N1082" s="37" t="str">
        <f>VLOOKUP(D1082, County_Data_CZones!$B$2:$F$3236, 5, FALSE)</f>
        <v>Mixed-Humid</v>
      </c>
    </row>
    <row r="1083" ht="15.75" customHeight="1">
      <c r="A1083" s="32" t="s">
        <v>859</v>
      </c>
      <c r="B1083" s="32" t="s">
        <v>818</v>
      </c>
      <c r="C1083" s="32" t="str">
        <f>vlookup(B1083,State_EMM_RowSums!$A$2:$B$52,2,FALSE)</f>
        <v>KY</v>
      </c>
      <c r="D1083" s="32">
        <v>21177.0</v>
      </c>
      <c r="E1083" s="33">
        <f>IF(NOT(ISBLANK(vlookup($D1083,Pop_Census_2023!$A$2:$E$3220,4,FALSE))),vlookup($D1083,Pop_Census_2023!$A$2:$E$3220,4,FALSE), vlookup($D1083,Pop_Census_2023!$A$2:$E$3220,5,FALSE))</f>
        <v>30568</v>
      </c>
      <c r="F1083" s="32">
        <v>516935.0</v>
      </c>
      <c r="G1083" s="32">
        <v>108.0</v>
      </c>
      <c r="H1083" s="32" t="str">
        <f>VLOOKUP(D1083, Grid_Region_Mapping!$D$2:$F$5286, 3, FALSE)</f>
        <v>SRCE</v>
      </c>
      <c r="I1083" s="32">
        <v>6.0</v>
      </c>
      <c r="J1083" s="34" t="str">
        <f t="shared" si="1"/>
        <v>South</v>
      </c>
      <c r="K1083" s="35">
        <v>3.0</v>
      </c>
      <c r="L1083" s="35" t="s">
        <v>223</v>
      </c>
      <c r="M1083" s="36">
        <f>VLOOKUP(D1083, County_Data_CZones!$B$2:$F$3236, 2, FALSE)</f>
        <v>4</v>
      </c>
      <c r="N1083" s="37" t="str">
        <f>VLOOKUP(D1083, County_Data_CZones!$B$2:$F$3236, 5, FALSE)</f>
        <v>Mixed-Humid</v>
      </c>
    </row>
    <row r="1084" ht="15.75" customHeight="1">
      <c r="A1084" s="32" t="s">
        <v>860</v>
      </c>
      <c r="B1084" s="32" t="s">
        <v>818</v>
      </c>
      <c r="C1084" s="32" t="str">
        <f>vlookup(B1084,State_EMM_RowSums!$A$2:$B$52,2,FALSE)</f>
        <v>KY</v>
      </c>
      <c r="D1084" s="32">
        <v>21179.0</v>
      </c>
      <c r="E1084" s="33">
        <f>IF(NOT(ISBLANK(vlookup($D1084,Pop_Census_2023!$A$2:$E$3220,4,FALSE))),vlookup($D1084,Pop_Census_2023!$A$2:$E$3220,4,FALSE), vlookup($D1084,Pop_Census_2023!$A$2:$E$3220,5,FALSE))</f>
        <v>47730</v>
      </c>
      <c r="F1084" s="32">
        <v>516936.0</v>
      </c>
      <c r="G1084" s="32">
        <v>109.0</v>
      </c>
      <c r="H1084" s="32" t="str">
        <f>VLOOKUP(D1084, Grid_Region_Mapping!$D$2:$F$5286, 3, FALSE)</f>
        <v>SRCE</v>
      </c>
      <c r="I1084" s="32">
        <v>6.0</v>
      </c>
      <c r="J1084" s="34" t="str">
        <f t="shared" si="1"/>
        <v>South</v>
      </c>
      <c r="K1084" s="35">
        <v>3.0</v>
      </c>
      <c r="L1084" s="35" t="s">
        <v>223</v>
      </c>
      <c r="M1084" s="36">
        <f>VLOOKUP(D1084, County_Data_CZones!$B$2:$F$3236, 2, FALSE)</f>
        <v>4</v>
      </c>
      <c r="N1084" s="37" t="str">
        <f>VLOOKUP(D1084, County_Data_CZones!$B$2:$F$3236, 5, FALSE)</f>
        <v>Mixed-Humid</v>
      </c>
    </row>
    <row r="1085" ht="15.75" customHeight="1">
      <c r="A1085" s="32" t="s">
        <v>861</v>
      </c>
      <c r="B1085" s="32" t="s">
        <v>818</v>
      </c>
      <c r="C1085" s="32" t="str">
        <f>vlookup(B1085,State_EMM_RowSums!$A$2:$B$52,2,FALSE)</f>
        <v>KY</v>
      </c>
      <c r="D1085" s="32">
        <v>21181.0</v>
      </c>
      <c r="E1085" s="33">
        <f>IF(NOT(ISBLANK(vlookup($D1085,Pop_Census_2023!$A$2:$E$3220,4,FALSE))),vlookup($D1085,Pop_Census_2023!$A$2:$E$3220,4,FALSE), vlookup($D1085,Pop_Census_2023!$A$2:$E$3220,5,FALSE))</f>
        <v>7686</v>
      </c>
      <c r="F1085" s="32">
        <v>516937.0</v>
      </c>
      <c r="G1085" s="32">
        <v>109.0</v>
      </c>
      <c r="H1085" s="32" t="str">
        <f>VLOOKUP(D1085, Grid_Region_Mapping!$D$2:$F$5286, 3, FALSE)</f>
        <v>SRCE</v>
      </c>
      <c r="I1085" s="32">
        <v>6.0</v>
      </c>
      <c r="J1085" s="34" t="str">
        <f t="shared" si="1"/>
        <v>South</v>
      </c>
      <c r="K1085" s="35">
        <v>3.0</v>
      </c>
      <c r="L1085" s="35" t="s">
        <v>223</v>
      </c>
      <c r="M1085" s="36">
        <f>VLOOKUP(D1085, County_Data_CZones!$B$2:$F$3236, 2, FALSE)</f>
        <v>4</v>
      </c>
      <c r="N1085" s="37" t="str">
        <f>VLOOKUP(D1085, County_Data_CZones!$B$2:$F$3236, 5, FALSE)</f>
        <v>Mixed-Humid</v>
      </c>
    </row>
    <row r="1086" ht="15.75" customHeight="1">
      <c r="A1086" s="32" t="s">
        <v>683</v>
      </c>
      <c r="B1086" s="32" t="s">
        <v>818</v>
      </c>
      <c r="C1086" s="32" t="str">
        <f>vlookup(B1086,State_EMM_RowSums!$A$2:$B$52,2,FALSE)</f>
        <v>KY</v>
      </c>
      <c r="D1086" s="32">
        <v>21183.0</v>
      </c>
      <c r="E1086" s="33">
        <f>IF(NOT(ISBLANK(vlookup($D1086,Pop_Census_2023!$A$2:$E$3220,4,FALSE))),vlookup($D1086,Pop_Census_2023!$A$2:$E$3220,4,FALSE), vlookup($D1086,Pop_Census_2023!$A$2:$E$3220,5,FALSE))</f>
        <v>23626</v>
      </c>
      <c r="F1086" s="32">
        <v>516938.0</v>
      </c>
      <c r="G1086" s="32">
        <v>108.0</v>
      </c>
      <c r="H1086" s="32" t="str">
        <f>VLOOKUP(D1086, Grid_Region_Mapping!$D$2:$F$5286, 3, FALSE)</f>
        <v>SRCE</v>
      </c>
      <c r="I1086" s="32">
        <v>6.0</v>
      </c>
      <c r="J1086" s="34" t="str">
        <f t="shared" si="1"/>
        <v>South</v>
      </c>
      <c r="K1086" s="35">
        <v>3.0</v>
      </c>
      <c r="L1086" s="35" t="s">
        <v>223</v>
      </c>
      <c r="M1086" s="36">
        <f>VLOOKUP(D1086, County_Data_CZones!$B$2:$F$3236, 2, FALSE)</f>
        <v>4</v>
      </c>
      <c r="N1086" s="37" t="str">
        <f>VLOOKUP(D1086, County_Data_CZones!$B$2:$F$3236, 5, FALSE)</f>
        <v>Mixed-Humid</v>
      </c>
    </row>
    <row r="1087" ht="15.75" customHeight="1">
      <c r="A1087" s="32" t="s">
        <v>862</v>
      </c>
      <c r="B1087" s="32" t="s">
        <v>818</v>
      </c>
      <c r="C1087" s="32" t="str">
        <f>vlookup(B1087,State_EMM_RowSums!$A$2:$B$52,2,FALSE)</f>
        <v>KY</v>
      </c>
      <c r="D1087" s="32">
        <v>21185.0</v>
      </c>
      <c r="E1087" s="33">
        <f>IF(NOT(ISBLANK(vlookup($D1087,Pop_Census_2023!$A$2:$E$3220,4,FALSE))),vlookup($D1087,Pop_Census_2023!$A$2:$E$3220,4,FALSE), vlookup($D1087,Pop_Census_2023!$A$2:$E$3220,5,FALSE))</f>
        <v>70183</v>
      </c>
      <c r="F1087" s="32">
        <v>516939.0</v>
      </c>
      <c r="G1087" s="32">
        <v>109.0</v>
      </c>
      <c r="H1087" s="32" t="str">
        <f>VLOOKUP(D1087, Grid_Region_Mapping!$D$2:$F$5286, 3, FALSE)</f>
        <v>SRCE</v>
      </c>
      <c r="I1087" s="32">
        <v>6.0</v>
      </c>
      <c r="J1087" s="34" t="str">
        <f t="shared" si="1"/>
        <v>South</v>
      </c>
      <c r="K1087" s="35">
        <v>3.0</v>
      </c>
      <c r="L1087" s="35" t="s">
        <v>223</v>
      </c>
      <c r="M1087" s="36">
        <f>VLOOKUP(D1087, County_Data_CZones!$B$2:$F$3236, 2, FALSE)</f>
        <v>4</v>
      </c>
      <c r="N1087" s="37" t="str">
        <f>VLOOKUP(D1087, County_Data_CZones!$B$2:$F$3236, 5, FALSE)</f>
        <v>Mixed-Humid</v>
      </c>
    </row>
    <row r="1088" ht="15.75" customHeight="1">
      <c r="A1088" s="32" t="s">
        <v>684</v>
      </c>
      <c r="B1088" s="32" t="s">
        <v>818</v>
      </c>
      <c r="C1088" s="32" t="str">
        <f>vlookup(B1088,State_EMM_RowSums!$A$2:$B$52,2,FALSE)</f>
        <v>KY</v>
      </c>
      <c r="D1088" s="32">
        <v>21187.0</v>
      </c>
      <c r="E1088" s="33">
        <f>IF(NOT(ISBLANK(vlookup($D1088,Pop_Census_2023!$A$2:$E$3220,4,FALSE))),vlookup($D1088,Pop_Census_2023!$A$2:$E$3220,4,FALSE), vlookup($D1088,Pop_Census_2023!$A$2:$E$3220,5,FALSE))</f>
        <v>11313</v>
      </c>
      <c r="F1088" s="32">
        <v>516940.0</v>
      </c>
      <c r="G1088" s="32">
        <v>109.0</v>
      </c>
      <c r="H1088" s="32" t="str">
        <f>VLOOKUP(D1088, Grid_Region_Mapping!$D$2:$F$5286, 3, FALSE)</f>
        <v>SRCE</v>
      </c>
      <c r="I1088" s="32">
        <v>6.0</v>
      </c>
      <c r="J1088" s="34" t="str">
        <f t="shared" si="1"/>
        <v>South</v>
      </c>
      <c r="K1088" s="35">
        <v>3.0</v>
      </c>
      <c r="L1088" s="35" t="s">
        <v>223</v>
      </c>
      <c r="M1088" s="36">
        <f>VLOOKUP(D1088, County_Data_CZones!$B$2:$F$3236, 2, FALSE)</f>
        <v>4</v>
      </c>
      <c r="N1088" s="37" t="str">
        <f>VLOOKUP(D1088, County_Data_CZones!$B$2:$F$3236, 5, FALSE)</f>
        <v>Mixed-Humid</v>
      </c>
    </row>
    <row r="1089" ht="15.75" customHeight="1">
      <c r="A1089" s="32" t="s">
        <v>863</v>
      </c>
      <c r="B1089" s="32" t="s">
        <v>818</v>
      </c>
      <c r="C1089" s="32" t="str">
        <f>vlookup(B1089,State_EMM_RowSums!$A$2:$B$52,2,FALSE)</f>
        <v>KY</v>
      </c>
      <c r="D1089" s="32">
        <v>21189.0</v>
      </c>
      <c r="E1089" s="33">
        <f>IF(NOT(ISBLANK(vlookup($D1089,Pop_Census_2023!$A$2:$E$3220,4,FALSE))),vlookup($D1089,Pop_Census_2023!$A$2:$E$3220,4,FALSE), vlookup($D1089,Pop_Census_2023!$A$2:$E$3220,5,FALSE))</f>
        <v>4001</v>
      </c>
      <c r="F1089" s="32">
        <v>516941.0</v>
      </c>
      <c r="G1089" s="32">
        <v>109.0</v>
      </c>
      <c r="H1089" s="32" t="str">
        <f>VLOOKUP(D1089, Grid_Region_Mapping!$D$2:$F$5286, 3, FALSE)</f>
        <v>SRCE</v>
      </c>
      <c r="I1089" s="32">
        <v>6.0</v>
      </c>
      <c r="J1089" s="34" t="str">
        <f t="shared" si="1"/>
        <v>South</v>
      </c>
      <c r="K1089" s="35">
        <v>3.0</v>
      </c>
      <c r="L1089" s="35" t="s">
        <v>223</v>
      </c>
      <c r="M1089" s="36">
        <f>VLOOKUP(D1089, County_Data_CZones!$B$2:$F$3236, 2, FALSE)</f>
        <v>4</v>
      </c>
      <c r="N1089" s="37" t="str">
        <f>VLOOKUP(D1089, County_Data_CZones!$B$2:$F$3236, 5, FALSE)</f>
        <v>Mixed-Humid</v>
      </c>
    </row>
    <row r="1090" ht="15.75" customHeight="1">
      <c r="A1090" s="32" t="s">
        <v>864</v>
      </c>
      <c r="B1090" s="32" t="s">
        <v>818</v>
      </c>
      <c r="C1090" s="32" t="str">
        <f>vlookup(B1090,State_EMM_RowSums!$A$2:$B$52,2,FALSE)</f>
        <v>KY</v>
      </c>
      <c r="D1090" s="32">
        <v>21191.0</v>
      </c>
      <c r="E1090" s="33">
        <f>IF(NOT(ISBLANK(vlookup($D1090,Pop_Census_2023!$A$2:$E$3220,4,FALSE))),vlookup($D1090,Pop_Census_2023!$A$2:$E$3220,4,FALSE), vlookup($D1090,Pop_Census_2023!$A$2:$E$3220,5,FALSE))</f>
        <v>14810</v>
      </c>
      <c r="F1090" s="32">
        <v>516942.0</v>
      </c>
      <c r="G1090" s="32">
        <v>109.0</v>
      </c>
      <c r="H1090" s="32" t="str">
        <f>VLOOKUP(D1090, Grid_Region_Mapping!$D$2:$F$5286, 3, FALSE)</f>
        <v>SRCE</v>
      </c>
      <c r="I1090" s="32">
        <v>6.0</v>
      </c>
      <c r="J1090" s="34" t="str">
        <f t="shared" si="1"/>
        <v>South</v>
      </c>
      <c r="K1090" s="35">
        <v>3.0</v>
      </c>
      <c r="L1090" s="35" t="s">
        <v>223</v>
      </c>
      <c r="M1090" s="36">
        <f>VLOOKUP(D1090, County_Data_CZones!$B$2:$F$3236, 2, FALSE)</f>
        <v>4</v>
      </c>
      <c r="N1090" s="37" t="str">
        <f>VLOOKUP(D1090, County_Data_CZones!$B$2:$F$3236, 5, FALSE)</f>
        <v>Mixed-Humid</v>
      </c>
    </row>
    <row r="1091" ht="15.75" customHeight="1">
      <c r="A1091" s="32" t="s">
        <v>155</v>
      </c>
      <c r="B1091" s="32" t="s">
        <v>818</v>
      </c>
      <c r="C1091" s="32" t="str">
        <f>vlookup(B1091,State_EMM_RowSums!$A$2:$B$52,2,FALSE)</f>
        <v>KY</v>
      </c>
      <c r="D1091" s="32">
        <v>21193.0</v>
      </c>
      <c r="E1091" s="33">
        <f>IF(NOT(ISBLANK(vlookup($D1091,Pop_Census_2023!$A$2:$E$3220,4,FALSE))),vlookup($D1091,Pop_Census_2023!$A$2:$E$3220,4,FALSE), vlookup($D1091,Pop_Census_2023!$A$2:$E$3220,5,FALSE))</f>
        <v>27133</v>
      </c>
      <c r="F1091" s="32">
        <v>516943.0</v>
      </c>
      <c r="G1091" s="32">
        <v>110.0</v>
      </c>
      <c r="H1091" s="32" t="str">
        <f>VLOOKUP(D1091, Grid_Region_Mapping!$D$2:$F$5286, 3, FALSE)</f>
        <v>SRCE</v>
      </c>
      <c r="I1091" s="32">
        <v>6.0</v>
      </c>
      <c r="J1091" s="34" t="str">
        <f t="shared" si="1"/>
        <v>South</v>
      </c>
      <c r="K1091" s="35">
        <v>3.0</v>
      </c>
      <c r="L1091" s="35" t="s">
        <v>223</v>
      </c>
      <c r="M1091" s="36">
        <f>VLOOKUP(D1091, County_Data_CZones!$B$2:$F$3236, 2, FALSE)</f>
        <v>4</v>
      </c>
      <c r="N1091" s="37" t="str">
        <f>VLOOKUP(D1091, County_Data_CZones!$B$2:$F$3236, 5, FALSE)</f>
        <v>Mixed-Humid</v>
      </c>
    </row>
    <row r="1092" ht="15.75" customHeight="1">
      <c r="A1092" s="32" t="s">
        <v>157</v>
      </c>
      <c r="B1092" s="32" t="s">
        <v>818</v>
      </c>
      <c r="C1092" s="32" t="str">
        <f>vlookup(B1092,State_EMM_RowSums!$A$2:$B$52,2,FALSE)</f>
        <v>KY</v>
      </c>
      <c r="D1092" s="32">
        <v>21195.0</v>
      </c>
      <c r="E1092" s="33">
        <f>IF(NOT(ISBLANK(vlookup($D1092,Pop_Census_2023!$A$2:$E$3220,4,FALSE))),vlookup($D1092,Pop_Census_2023!$A$2:$E$3220,4,FALSE), vlookup($D1092,Pop_Census_2023!$A$2:$E$3220,5,FALSE))</f>
        <v>55973</v>
      </c>
      <c r="F1092" s="32">
        <v>516944.0</v>
      </c>
      <c r="G1092" s="32">
        <v>110.0</v>
      </c>
      <c r="H1092" s="32" t="str">
        <f>VLOOKUP(D1092, Grid_Region_Mapping!$D$2:$F$5286, 3, FALSE)</f>
        <v>PJMW</v>
      </c>
      <c r="I1092" s="32">
        <v>6.0</v>
      </c>
      <c r="J1092" s="34" t="str">
        <f t="shared" si="1"/>
        <v>South</v>
      </c>
      <c r="K1092" s="35">
        <v>3.0</v>
      </c>
      <c r="L1092" s="35" t="s">
        <v>223</v>
      </c>
      <c r="M1092" s="36">
        <f>VLOOKUP(D1092, County_Data_CZones!$B$2:$F$3236, 2, FALSE)</f>
        <v>4</v>
      </c>
      <c r="N1092" s="37" t="str">
        <f>VLOOKUP(D1092, County_Data_CZones!$B$2:$F$3236, 5, FALSE)</f>
        <v>Mixed-Humid</v>
      </c>
    </row>
    <row r="1093" ht="15.75" customHeight="1">
      <c r="A1093" s="32" t="s">
        <v>865</v>
      </c>
      <c r="B1093" s="32" t="s">
        <v>818</v>
      </c>
      <c r="C1093" s="32" t="str">
        <f>vlookup(B1093,State_EMM_RowSums!$A$2:$B$52,2,FALSE)</f>
        <v>KY</v>
      </c>
      <c r="D1093" s="32">
        <v>21197.0</v>
      </c>
      <c r="E1093" s="33">
        <f>IF(NOT(ISBLANK(vlookup($D1093,Pop_Census_2023!$A$2:$E$3220,4,FALSE))),vlookup($D1093,Pop_Census_2023!$A$2:$E$3220,4,FALSE), vlookup($D1093,Pop_Census_2023!$A$2:$E$3220,5,FALSE))</f>
        <v>12972</v>
      </c>
      <c r="F1093" s="32">
        <v>516945.0</v>
      </c>
      <c r="G1093" s="32">
        <v>109.0</v>
      </c>
      <c r="H1093" s="32" t="str">
        <f>VLOOKUP(D1093, Grid_Region_Mapping!$D$2:$F$5286, 3, FALSE)</f>
        <v>SRCE</v>
      </c>
      <c r="I1093" s="32">
        <v>6.0</v>
      </c>
      <c r="J1093" s="34" t="str">
        <f t="shared" si="1"/>
        <v>South</v>
      </c>
      <c r="K1093" s="35">
        <v>3.0</v>
      </c>
      <c r="L1093" s="35" t="s">
        <v>223</v>
      </c>
      <c r="M1093" s="36">
        <f>VLOOKUP(D1093, County_Data_CZones!$B$2:$F$3236, 2, FALSE)</f>
        <v>4</v>
      </c>
      <c r="N1093" s="37" t="str">
        <f>VLOOKUP(D1093, County_Data_CZones!$B$2:$F$3236, 5, FALSE)</f>
        <v>Mixed-Humid</v>
      </c>
    </row>
    <row r="1094" ht="15.75" customHeight="1">
      <c r="A1094" s="32" t="s">
        <v>264</v>
      </c>
      <c r="B1094" s="32" t="s">
        <v>818</v>
      </c>
      <c r="C1094" s="32" t="str">
        <f>vlookup(B1094,State_EMM_RowSums!$A$2:$B$52,2,FALSE)</f>
        <v>KY</v>
      </c>
      <c r="D1094" s="32">
        <v>21199.0</v>
      </c>
      <c r="E1094" s="33">
        <f>IF(NOT(ISBLANK(vlookup($D1094,Pop_Census_2023!$A$2:$E$3220,4,FALSE))),vlookup($D1094,Pop_Census_2023!$A$2:$E$3220,4,FALSE), vlookup($D1094,Pop_Census_2023!$A$2:$E$3220,5,FALSE))</f>
        <v>66191</v>
      </c>
      <c r="F1094" s="32">
        <v>516946.0</v>
      </c>
      <c r="G1094" s="32">
        <v>93.0</v>
      </c>
      <c r="H1094" s="32" t="str">
        <f>VLOOKUP(D1094, Grid_Region_Mapping!$D$2:$F$5286, 3, FALSE)</f>
        <v>SRCE</v>
      </c>
      <c r="I1094" s="32">
        <v>6.0</v>
      </c>
      <c r="J1094" s="34" t="str">
        <f t="shared" si="1"/>
        <v>South</v>
      </c>
      <c r="K1094" s="35">
        <v>3.0</v>
      </c>
      <c r="L1094" s="35" t="s">
        <v>223</v>
      </c>
      <c r="M1094" s="36">
        <f>VLOOKUP(D1094, County_Data_CZones!$B$2:$F$3236, 2, FALSE)</f>
        <v>4</v>
      </c>
      <c r="N1094" s="37" t="str">
        <f>VLOOKUP(D1094, County_Data_CZones!$B$2:$F$3236, 5, FALSE)</f>
        <v>Mixed-Humid</v>
      </c>
    </row>
    <row r="1095" ht="15.75" customHeight="1">
      <c r="A1095" s="32" t="s">
        <v>866</v>
      </c>
      <c r="B1095" s="32" t="s">
        <v>818</v>
      </c>
      <c r="C1095" s="32" t="str">
        <f>vlookup(B1095,State_EMM_RowSums!$A$2:$B$52,2,FALSE)</f>
        <v>KY</v>
      </c>
      <c r="D1095" s="32">
        <v>21201.0</v>
      </c>
      <c r="E1095" s="33">
        <f>IF(NOT(ISBLANK(vlookup($D1095,Pop_Census_2023!$A$2:$E$3220,4,FALSE))),vlookup($D1095,Pop_Census_2023!$A$2:$E$3220,4,FALSE), vlookup($D1095,Pop_Census_2023!$A$2:$E$3220,5,FALSE))</f>
        <v>2313</v>
      </c>
      <c r="F1095" s="32">
        <v>516947.0</v>
      </c>
      <c r="G1095" s="32">
        <v>109.0</v>
      </c>
      <c r="H1095" s="32" t="str">
        <f>VLOOKUP(D1095, Grid_Region_Mapping!$D$2:$F$5286, 3, FALSE)</f>
        <v>SRCE</v>
      </c>
      <c r="I1095" s="32">
        <v>6.0</v>
      </c>
      <c r="J1095" s="34" t="str">
        <f t="shared" si="1"/>
        <v>South</v>
      </c>
      <c r="K1095" s="35">
        <v>3.0</v>
      </c>
      <c r="L1095" s="35" t="s">
        <v>223</v>
      </c>
      <c r="M1095" s="36">
        <f>VLOOKUP(D1095, County_Data_CZones!$B$2:$F$3236, 2, FALSE)</f>
        <v>4</v>
      </c>
      <c r="N1095" s="37" t="str">
        <f>VLOOKUP(D1095, County_Data_CZones!$B$2:$F$3236, 5, FALSE)</f>
        <v>Mixed-Humid</v>
      </c>
    </row>
    <row r="1096" ht="15.75" customHeight="1">
      <c r="A1096" s="32" t="s">
        <v>867</v>
      </c>
      <c r="B1096" s="32" t="s">
        <v>818</v>
      </c>
      <c r="C1096" s="32" t="str">
        <f>vlookup(B1096,State_EMM_RowSums!$A$2:$B$52,2,FALSE)</f>
        <v>KY</v>
      </c>
      <c r="D1096" s="32">
        <v>21203.0</v>
      </c>
      <c r="E1096" s="33">
        <f>IF(NOT(ISBLANK(vlookup($D1096,Pop_Census_2023!$A$2:$E$3220,4,FALSE))),vlookup($D1096,Pop_Census_2023!$A$2:$E$3220,4,FALSE), vlookup($D1096,Pop_Census_2023!$A$2:$E$3220,5,FALSE))</f>
        <v>16190</v>
      </c>
      <c r="F1096" s="32">
        <v>516948.0</v>
      </c>
      <c r="G1096" s="32">
        <v>109.0</v>
      </c>
      <c r="H1096" s="32" t="str">
        <f>VLOOKUP(D1096, Grid_Region_Mapping!$D$2:$F$5286, 3, FALSE)</f>
        <v>SRCE</v>
      </c>
      <c r="I1096" s="32">
        <v>6.0</v>
      </c>
      <c r="J1096" s="34" t="str">
        <f t="shared" si="1"/>
        <v>South</v>
      </c>
      <c r="K1096" s="35">
        <v>3.0</v>
      </c>
      <c r="L1096" s="35" t="s">
        <v>223</v>
      </c>
      <c r="M1096" s="36">
        <f>VLOOKUP(D1096, County_Data_CZones!$B$2:$F$3236, 2, FALSE)</f>
        <v>4</v>
      </c>
      <c r="N1096" s="37" t="str">
        <f>VLOOKUP(D1096, County_Data_CZones!$B$2:$F$3236, 5, FALSE)</f>
        <v>Mixed-Humid</v>
      </c>
    </row>
    <row r="1097" ht="15.75" customHeight="1">
      <c r="A1097" s="32" t="s">
        <v>868</v>
      </c>
      <c r="B1097" s="32" t="s">
        <v>818</v>
      </c>
      <c r="C1097" s="32" t="str">
        <f>vlookup(B1097,State_EMM_RowSums!$A$2:$B$52,2,FALSE)</f>
        <v>KY</v>
      </c>
      <c r="D1097" s="32">
        <v>21205.0</v>
      </c>
      <c r="E1097" s="33">
        <f>IF(NOT(ISBLANK(vlookup($D1097,Pop_Census_2023!$A$2:$E$3220,4,FALSE))),vlookup($D1097,Pop_Census_2023!$A$2:$E$3220,4,FALSE), vlookup($D1097,Pop_Census_2023!$A$2:$E$3220,5,FALSE))</f>
        <v>24409</v>
      </c>
      <c r="F1097" s="32">
        <v>516949.0</v>
      </c>
      <c r="G1097" s="32">
        <v>109.0</v>
      </c>
      <c r="H1097" s="32" t="str">
        <f>VLOOKUP(D1097, Grid_Region_Mapping!$D$2:$F$5286, 3, FALSE)</f>
        <v>SRCE</v>
      </c>
      <c r="I1097" s="32">
        <v>6.0</v>
      </c>
      <c r="J1097" s="34" t="str">
        <f t="shared" si="1"/>
        <v>South</v>
      </c>
      <c r="K1097" s="35">
        <v>3.0</v>
      </c>
      <c r="L1097" s="35" t="s">
        <v>223</v>
      </c>
      <c r="M1097" s="36">
        <f>VLOOKUP(D1097, County_Data_CZones!$B$2:$F$3236, 2, FALSE)</f>
        <v>4</v>
      </c>
      <c r="N1097" s="37" t="str">
        <f>VLOOKUP(D1097, County_Data_CZones!$B$2:$F$3236, 5, FALSE)</f>
        <v>Mixed-Humid</v>
      </c>
    </row>
    <row r="1098" ht="15.75" customHeight="1">
      <c r="A1098" s="32" t="s">
        <v>159</v>
      </c>
      <c r="B1098" s="32" t="s">
        <v>818</v>
      </c>
      <c r="C1098" s="32" t="str">
        <f>vlookup(B1098,State_EMM_RowSums!$A$2:$B$52,2,FALSE)</f>
        <v>KY</v>
      </c>
      <c r="D1098" s="32">
        <v>21207.0</v>
      </c>
      <c r="E1098" s="33">
        <f>IF(NOT(ISBLANK(vlookup($D1098,Pop_Census_2023!$A$2:$E$3220,4,FALSE))),vlookup($D1098,Pop_Census_2023!$A$2:$E$3220,4,FALSE), vlookup($D1098,Pop_Census_2023!$A$2:$E$3220,5,FALSE))</f>
        <v>18279</v>
      </c>
      <c r="F1098" s="32">
        <v>516950.0</v>
      </c>
      <c r="G1098" s="32">
        <v>93.0</v>
      </c>
      <c r="H1098" s="32" t="str">
        <f>VLOOKUP(D1098, Grid_Region_Mapping!$D$2:$F$5286, 3, FALSE)</f>
        <v>SRCE</v>
      </c>
      <c r="I1098" s="32">
        <v>6.0</v>
      </c>
      <c r="J1098" s="34" t="str">
        <f t="shared" si="1"/>
        <v>South</v>
      </c>
      <c r="K1098" s="35">
        <v>3.0</v>
      </c>
      <c r="L1098" s="35" t="s">
        <v>223</v>
      </c>
      <c r="M1098" s="36">
        <f>VLOOKUP(D1098, County_Data_CZones!$B$2:$F$3236, 2, FALSE)</f>
        <v>4</v>
      </c>
      <c r="N1098" s="37" t="str">
        <f>VLOOKUP(D1098, County_Data_CZones!$B$2:$F$3236, 5, FALSE)</f>
        <v>Mixed-Humid</v>
      </c>
    </row>
    <row r="1099" ht="15.75" customHeight="1">
      <c r="A1099" s="32" t="s">
        <v>267</v>
      </c>
      <c r="B1099" s="32" t="s">
        <v>818</v>
      </c>
      <c r="C1099" s="32" t="str">
        <f>vlookup(B1099,State_EMM_RowSums!$A$2:$B$52,2,FALSE)</f>
        <v>KY</v>
      </c>
      <c r="D1099" s="32">
        <v>21209.0</v>
      </c>
      <c r="E1099" s="33">
        <f>IF(NOT(ISBLANK(vlookup($D1099,Pop_Census_2023!$A$2:$E$3220,4,FALSE))),vlookup($D1099,Pop_Census_2023!$A$2:$E$3220,4,FALSE), vlookup($D1099,Pop_Census_2023!$A$2:$E$3220,5,FALSE))</f>
        <v>60168</v>
      </c>
      <c r="F1099" s="32">
        <v>516951.0</v>
      </c>
      <c r="G1099" s="32">
        <v>109.0</v>
      </c>
      <c r="H1099" s="32" t="str">
        <f>VLOOKUP(D1099, Grid_Region_Mapping!$D$2:$F$5286, 3, FALSE)</f>
        <v>SRCE</v>
      </c>
      <c r="I1099" s="32">
        <v>6.0</v>
      </c>
      <c r="J1099" s="34" t="str">
        <f t="shared" si="1"/>
        <v>South</v>
      </c>
      <c r="K1099" s="35">
        <v>3.0</v>
      </c>
      <c r="L1099" s="35" t="s">
        <v>223</v>
      </c>
      <c r="M1099" s="36">
        <f>VLOOKUP(D1099, County_Data_CZones!$B$2:$F$3236, 2, FALSE)</f>
        <v>4</v>
      </c>
      <c r="N1099" s="37" t="str">
        <f>VLOOKUP(D1099, County_Data_CZones!$B$2:$F$3236, 5, FALSE)</f>
        <v>Mixed-Humid</v>
      </c>
    </row>
    <row r="1100" ht="15.75" customHeight="1">
      <c r="A1100" s="32" t="s">
        <v>161</v>
      </c>
      <c r="B1100" s="32" t="s">
        <v>818</v>
      </c>
      <c r="C1100" s="32" t="str">
        <f>vlookup(B1100,State_EMM_RowSums!$A$2:$B$52,2,FALSE)</f>
        <v>KY</v>
      </c>
      <c r="D1100" s="32">
        <v>21211.0</v>
      </c>
      <c r="E1100" s="33">
        <f>IF(NOT(ISBLANK(vlookup($D1100,Pop_Census_2023!$A$2:$E$3220,4,FALSE))),vlookup($D1100,Pop_Census_2023!$A$2:$E$3220,4,FALSE), vlookup($D1100,Pop_Census_2023!$A$2:$E$3220,5,FALSE))</f>
        <v>49515</v>
      </c>
      <c r="F1100" s="32">
        <v>516952.0</v>
      </c>
      <c r="G1100" s="32">
        <v>109.0</v>
      </c>
      <c r="H1100" s="32" t="str">
        <f>VLOOKUP(D1100, Grid_Region_Mapping!$D$2:$F$5286, 3, FALSE)</f>
        <v>SRCE</v>
      </c>
      <c r="I1100" s="32">
        <v>6.0</v>
      </c>
      <c r="J1100" s="34" t="str">
        <f t="shared" si="1"/>
        <v>South</v>
      </c>
      <c r="K1100" s="35">
        <v>3.0</v>
      </c>
      <c r="L1100" s="35" t="s">
        <v>223</v>
      </c>
      <c r="M1100" s="36">
        <f>VLOOKUP(D1100, County_Data_CZones!$B$2:$F$3236, 2, FALSE)</f>
        <v>4</v>
      </c>
      <c r="N1100" s="37" t="str">
        <f>VLOOKUP(D1100, County_Data_CZones!$B$2:$F$3236, 5, FALSE)</f>
        <v>Mixed-Humid</v>
      </c>
    </row>
    <row r="1101" ht="15.75" customHeight="1">
      <c r="A1101" s="32" t="s">
        <v>869</v>
      </c>
      <c r="B1101" s="32" t="s">
        <v>818</v>
      </c>
      <c r="C1101" s="32" t="str">
        <f>vlookup(B1101,State_EMM_RowSums!$A$2:$B$52,2,FALSE)</f>
        <v>KY</v>
      </c>
      <c r="D1101" s="32">
        <v>21213.0</v>
      </c>
      <c r="E1101" s="33">
        <f>IF(NOT(ISBLANK(vlookup($D1101,Pop_Census_2023!$A$2:$E$3220,4,FALSE))),vlookup($D1101,Pop_Census_2023!$A$2:$E$3220,4,FALSE), vlookup($D1101,Pop_Census_2023!$A$2:$E$3220,5,FALSE))</f>
        <v>20195</v>
      </c>
      <c r="F1101" s="32">
        <v>516953.0</v>
      </c>
      <c r="G1101" s="32">
        <v>93.0</v>
      </c>
      <c r="H1101" s="32" t="str">
        <f>VLOOKUP(D1101, Grid_Region_Mapping!$D$2:$F$5286, 3, FALSE)</f>
        <v>SRCE</v>
      </c>
      <c r="I1101" s="32">
        <v>6.0</v>
      </c>
      <c r="J1101" s="34" t="str">
        <f t="shared" si="1"/>
        <v>South</v>
      </c>
      <c r="K1101" s="35">
        <v>3.0</v>
      </c>
      <c r="L1101" s="35" t="s">
        <v>223</v>
      </c>
      <c r="M1101" s="36">
        <f>VLOOKUP(D1101, County_Data_CZones!$B$2:$F$3236, 2, FALSE)</f>
        <v>4</v>
      </c>
      <c r="N1101" s="37" t="str">
        <f>VLOOKUP(D1101, County_Data_CZones!$B$2:$F$3236, 5, FALSE)</f>
        <v>Mixed-Humid</v>
      </c>
    </row>
    <row r="1102" ht="15.75" customHeight="1">
      <c r="A1102" s="32" t="s">
        <v>691</v>
      </c>
      <c r="B1102" s="32" t="s">
        <v>818</v>
      </c>
      <c r="C1102" s="32" t="str">
        <f>vlookup(B1102,State_EMM_RowSums!$A$2:$B$52,2,FALSE)</f>
        <v>KY</v>
      </c>
      <c r="D1102" s="32">
        <v>21215.0</v>
      </c>
      <c r="E1102" s="33">
        <f>IF(NOT(ISBLANK(vlookup($D1102,Pop_Census_2023!$A$2:$E$3220,4,FALSE))),vlookup($D1102,Pop_Census_2023!$A$2:$E$3220,4,FALSE), vlookup($D1102,Pop_Census_2023!$A$2:$E$3220,5,FALSE))</f>
        <v>20531</v>
      </c>
      <c r="F1102" s="32">
        <v>516954.0</v>
      </c>
      <c r="G1102" s="32">
        <v>109.0</v>
      </c>
      <c r="H1102" s="32" t="str">
        <f>VLOOKUP(D1102, Grid_Region_Mapping!$D$2:$F$5286, 3, FALSE)</f>
        <v>SRCE</v>
      </c>
      <c r="I1102" s="32">
        <v>6.0</v>
      </c>
      <c r="J1102" s="34" t="str">
        <f t="shared" si="1"/>
        <v>South</v>
      </c>
      <c r="K1102" s="35">
        <v>3.0</v>
      </c>
      <c r="L1102" s="35" t="s">
        <v>223</v>
      </c>
      <c r="M1102" s="36">
        <f>VLOOKUP(D1102, County_Data_CZones!$B$2:$F$3236, 2, FALSE)</f>
        <v>4</v>
      </c>
      <c r="N1102" s="37" t="str">
        <f>VLOOKUP(D1102, County_Data_CZones!$B$2:$F$3236, 5, FALSE)</f>
        <v>Mixed-Humid</v>
      </c>
    </row>
    <row r="1103" ht="15.75" customHeight="1">
      <c r="A1103" s="32" t="s">
        <v>456</v>
      </c>
      <c r="B1103" s="32" t="s">
        <v>818</v>
      </c>
      <c r="C1103" s="32" t="str">
        <f>vlookup(B1103,State_EMM_RowSums!$A$2:$B$52,2,FALSE)</f>
        <v>KY</v>
      </c>
      <c r="D1103" s="32">
        <v>21217.0</v>
      </c>
      <c r="E1103" s="33">
        <f>IF(NOT(ISBLANK(vlookup($D1103,Pop_Census_2023!$A$2:$E$3220,4,FALSE))),vlookup($D1103,Pop_Census_2023!$A$2:$E$3220,4,FALSE), vlookup($D1103,Pop_Census_2023!$A$2:$E$3220,5,FALSE))</f>
        <v>26443</v>
      </c>
      <c r="F1103" s="32">
        <v>516955.0</v>
      </c>
      <c r="G1103" s="32">
        <v>109.0</v>
      </c>
      <c r="H1103" s="32" t="str">
        <f>VLOOKUP(D1103, Grid_Region_Mapping!$D$2:$F$5286, 3, FALSE)</f>
        <v>SRCE</v>
      </c>
      <c r="I1103" s="32">
        <v>6.0</v>
      </c>
      <c r="J1103" s="34" t="str">
        <f t="shared" si="1"/>
        <v>South</v>
      </c>
      <c r="K1103" s="35">
        <v>3.0</v>
      </c>
      <c r="L1103" s="35" t="s">
        <v>223</v>
      </c>
      <c r="M1103" s="36">
        <f>VLOOKUP(D1103, County_Data_CZones!$B$2:$F$3236, 2, FALSE)</f>
        <v>4</v>
      </c>
      <c r="N1103" s="37" t="str">
        <f>VLOOKUP(D1103, County_Data_CZones!$B$2:$F$3236, 5, FALSE)</f>
        <v>Mixed-Humid</v>
      </c>
    </row>
    <row r="1104" ht="15.75" customHeight="1">
      <c r="A1104" s="32" t="s">
        <v>870</v>
      </c>
      <c r="B1104" s="32" t="s">
        <v>818</v>
      </c>
      <c r="C1104" s="32" t="str">
        <f>vlookup(B1104,State_EMM_RowSums!$A$2:$B$52,2,FALSE)</f>
        <v>KY</v>
      </c>
      <c r="D1104" s="32">
        <v>21219.0</v>
      </c>
      <c r="E1104" s="33">
        <f>IF(NOT(ISBLANK(vlookup($D1104,Pop_Census_2023!$A$2:$E$3220,4,FALSE))),vlookup($D1104,Pop_Census_2023!$A$2:$E$3220,4,FALSE), vlookup($D1104,Pop_Census_2023!$A$2:$E$3220,5,FALSE))</f>
        <v>12494</v>
      </c>
      <c r="F1104" s="32">
        <v>516956.0</v>
      </c>
      <c r="G1104" s="32">
        <v>93.0</v>
      </c>
      <c r="H1104" s="32" t="str">
        <f>VLOOKUP(D1104, Grid_Region_Mapping!$D$2:$F$5286, 3, FALSE)</f>
        <v>SRCE</v>
      </c>
      <c r="I1104" s="32">
        <v>6.0</v>
      </c>
      <c r="J1104" s="34" t="str">
        <f t="shared" si="1"/>
        <v>South</v>
      </c>
      <c r="K1104" s="35">
        <v>3.0</v>
      </c>
      <c r="L1104" s="35" t="s">
        <v>223</v>
      </c>
      <c r="M1104" s="36">
        <f>VLOOKUP(D1104, County_Data_CZones!$B$2:$F$3236, 2, FALSE)</f>
        <v>4</v>
      </c>
      <c r="N1104" s="37" t="str">
        <f>VLOOKUP(D1104, County_Data_CZones!$B$2:$F$3236, 5, FALSE)</f>
        <v>Mixed-Humid</v>
      </c>
    </row>
    <row r="1105" ht="15.75" customHeight="1">
      <c r="A1105" s="32" t="s">
        <v>871</v>
      </c>
      <c r="B1105" s="32" t="s">
        <v>818</v>
      </c>
      <c r="C1105" s="32" t="str">
        <f>vlookup(B1105,State_EMM_RowSums!$A$2:$B$52,2,FALSE)</f>
        <v>KY</v>
      </c>
      <c r="D1105" s="32">
        <v>21221.0</v>
      </c>
      <c r="E1105" s="33">
        <f>IF(NOT(ISBLANK(vlookup($D1105,Pop_Census_2023!$A$2:$E$3220,4,FALSE))),vlookup($D1105,Pop_Census_2023!$A$2:$E$3220,4,FALSE), vlookup($D1105,Pop_Census_2023!$A$2:$E$3220,5,FALSE))</f>
        <v>14369</v>
      </c>
      <c r="F1105" s="32">
        <v>516957.0</v>
      </c>
      <c r="G1105" s="32">
        <v>93.0</v>
      </c>
      <c r="H1105" s="32" t="str">
        <f>VLOOKUP(D1105, Grid_Region_Mapping!$D$2:$F$5286, 3, FALSE)</f>
        <v>SRCE</v>
      </c>
      <c r="I1105" s="32">
        <v>6.0</v>
      </c>
      <c r="J1105" s="34" t="str">
        <f t="shared" si="1"/>
        <v>South</v>
      </c>
      <c r="K1105" s="35">
        <v>3.0</v>
      </c>
      <c r="L1105" s="35" t="s">
        <v>223</v>
      </c>
      <c r="M1105" s="36">
        <f>VLOOKUP(D1105, County_Data_CZones!$B$2:$F$3236, 2, FALSE)</f>
        <v>4</v>
      </c>
      <c r="N1105" s="37" t="str">
        <f>VLOOKUP(D1105, County_Data_CZones!$B$2:$F$3236, 5, FALSE)</f>
        <v>Mixed-Humid</v>
      </c>
    </row>
    <row r="1106" ht="15.75" customHeight="1">
      <c r="A1106" s="32" t="s">
        <v>872</v>
      </c>
      <c r="B1106" s="32" t="s">
        <v>818</v>
      </c>
      <c r="C1106" s="32" t="str">
        <f>vlookup(B1106,State_EMM_RowSums!$A$2:$B$52,2,FALSE)</f>
        <v>KY</v>
      </c>
      <c r="D1106" s="32">
        <v>21223.0</v>
      </c>
      <c r="E1106" s="33">
        <f>IF(NOT(ISBLANK(vlookup($D1106,Pop_Census_2023!$A$2:$E$3220,4,FALSE))),vlookup($D1106,Pop_Census_2023!$A$2:$E$3220,4,FALSE), vlookup($D1106,Pop_Census_2023!$A$2:$E$3220,5,FALSE))</f>
        <v>8607</v>
      </c>
      <c r="F1106" s="32">
        <v>516958.0</v>
      </c>
      <c r="G1106" s="32">
        <v>109.0</v>
      </c>
      <c r="H1106" s="32" t="str">
        <f>VLOOKUP(D1106, Grid_Region_Mapping!$D$2:$F$5286, 3, FALSE)</f>
        <v>SRCE</v>
      </c>
      <c r="I1106" s="32">
        <v>6.0</v>
      </c>
      <c r="J1106" s="34" t="str">
        <f t="shared" si="1"/>
        <v>South</v>
      </c>
      <c r="K1106" s="35">
        <v>3.0</v>
      </c>
      <c r="L1106" s="35" t="s">
        <v>223</v>
      </c>
      <c r="M1106" s="36">
        <f>VLOOKUP(D1106, County_Data_CZones!$B$2:$F$3236, 2, FALSE)</f>
        <v>4</v>
      </c>
      <c r="N1106" s="37" t="str">
        <f>VLOOKUP(D1106, County_Data_CZones!$B$2:$F$3236, 5, FALSE)</f>
        <v>Mixed-Humid</v>
      </c>
    </row>
    <row r="1107" ht="15.75" customHeight="1">
      <c r="A1107" s="32" t="s">
        <v>273</v>
      </c>
      <c r="B1107" s="32" t="s">
        <v>818</v>
      </c>
      <c r="C1107" s="32" t="str">
        <f>vlookup(B1107,State_EMM_RowSums!$A$2:$B$52,2,FALSE)</f>
        <v>KY</v>
      </c>
      <c r="D1107" s="32">
        <v>21225.0</v>
      </c>
      <c r="E1107" s="33">
        <f>IF(NOT(ISBLANK(vlookup($D1107,Pop_Census_2023!$A$2:$E$3220,4,FALSE))),vlookup($D1107,Pop_Census_2023!$A$2:$E$3220,4,FALSE), vlookup($D1107,Pop_Census_2023!$A$2:$E$3220,5,FALSE))</f>
        <v>13106</v>
      </c>
      <c r="F1107" s="32">
        <v>516959.0</v>
      </c>
      <c r="G1107" s="32">
        <v>108.0</v>
      </c>
      <c r="H1107" s="32" t="str">
        <f>VLOOKUP(D1107, Grid_Region_Mapping!$D$2:$F$5286, 3, FALSE)</f>
        <v>SRCE</v>
      </c>
      <c r="I1107" s="32">
        <v>6.0</v>
      </c>
      <c r="J1107" s="34" t="str">
        <f t="shared" si="1"/>
        <v>South</v>
      </c>
      <c r="K1107" s="35">
        <v>3.0</v>
      </c>
      <c r="L1107" s="35" t="s">
        <v>223</v>
      </c>
      <c r="M1107" s="36">
        <f>VLOOKUP(D1107, County_Data_CZones!$B$2:$F$3236, 2, FALSE)</f>
        <v>4</v>
      </c>
      <c r="N1107" s="37" t="str">
        <f>VLOOKUP(D1107, County_Data_CZones!$B$2:$F$3236, 5, FALSE)</f>
        <v>Mixed-Humid</v>
      </c>
    </row>
    <row r="1108" ht="15.75" customHeight="1">
      <c r="A1108" s="32" t="s">
        <v>561</v>
      </c>
      <c r="B1108" s="32" t="s">
        <v>818</v>
      </c>
      <c r="C1108" s="32" t="str">
        <f>vlookup(B1108,State_EMM_RowSums!$A$2:$B$52,2,FALSE)</f>
        <v>KY</v>
      </c>
      <c r="D1108" s="32">
        <v>21227.0</v>
      </c>
      <c r="E1108" s="33">
        <f>IF(NOT(ISBLANK(vlookup($D1108,Pop_Census_2023!$A$2:$E$3220,4,FALSE))),vlookup($D1108,Pop_Census_2023!$A$2:$E$3220,4,FALSE), vlookup($D1108,Pop_Census_2023!$A$2:$E$3220,5,FALSE))</f>
        <v>142229</v>
      </c>
      <c r="F1108" s="32">
        <v>516960.0</v>
      </c>
      <c r="G1108" s="32">
        <v>93.0</v>
      </c>
      <c r="H1108" s="32" t="str">
        <f>VLOOKUP(D1108, Grid_Region_Mapping!$D$2:$F$5286, 3, FALSE)</f>
        <v>SRCE</v>
      </c>
      <c r="I1108" s="32">
        <v>6.0</v>
      </c>
      <c r="J1108" s="34" t="str">
        <f t="shared" si="1"/>
        <v>South</v>
      </c>
      <c r="K1108" s="35">
        <v>3.0</v>
      </c>
      <c r="L1108" s="35" t="s">
        <v>223</v>
      </c>
      <c r="M1108" s="36">
        <f>VLOOKUP(D1108, County_Data_CZones!$B$2:$F$3236, 2, FALSE)</f>
        <v>4</v>
      </c>
      <c r="N1108" s="37" t="str">
        <f>VLOOKUP(D1108, County_Data_CZones!$B$2:$F$3236, 5, FALSE)</f>
        <v>Mixed-Humid</v>
      </c>
    </row>
    <row r="1109" ht="15.75" customHeight="1">
      <c r="A1109" s="32" t="s">
        <v>167</v>
      </c>
      <c r="B1109" s="32" t="s">
        <v>818</v>
      </c>
      <c r="C1109" s="32" t="str">
        <f>vlookup(B1109,State_EMM_RowSums!$A$2:$B$52,2,FALSE)</f>
        <v>KY</v>
      </c>
      <c r="D1109" s="32">
        <v>21229.0</v>
      </c>
      <c r="E1109" s="33">
        <f>IF(NOT(ISBLANK(vlookup($D1109,Pop_Census_2023!$A$2:$E$3220,4,FALSE))),vlookup($D1109,Pop_Census_2023!$A$2:$E$3220,4,FALSE), vlookup($D1109,Pop_Census_2023!$A$2:$E$3220,5,FALSE))</f>
        <v>12267</v>
      </c>
      <c r="F1109" s="32">
        <v>516961.0</v>
      </c>
      <c r="G1109" s="32">
        <v>109.0</v>
      </c>
      <c r="H1109" s="32" t="str">
        <f>VLOOKUP(D1109, Grid_Region_Mapping!$D$2:$F$5286, 3, FALSE)</f>
        <v>SRCE</v>
      </c>
      <c r="I1109" s="32">
        <v>6.0</v>
      </c>
      <c r="J1109" s="34" t="str">
        <f t="shared" si="1"/>
        <v>South</v>
      </c>
      <c r="K1109" s="35">
        <v>3.0</v>
      </c>
      <c r="L1109" s="35" t="s">
        <v>223</v>
      </c>
      <c r="M1109" s="36">
        <f>VLOOKUP(D1109, County_Data_CZones!$B$2:$F$3236, 2, FALSE)</f>
        <v>4</v>
      </c>
      <c r="N1109" s="37" t="str">
        <f>VLOOKUP(D1109, County_Data_CZones!$B$2:$F$3236, 5, FALSE)</f>
        <v>Mixed-Humid</v>
      </c>
    </row>
    <row r="1110" ht="15.75" customHeight="1">
      <c r="A1110" s="32" t="s">
        <v>562</v>
      </c>
      <c r="B1110" s="32" t="s">
        <v>818</v>
      </c>
      <c r="C1110" s="32" t="str">
        <f>vlookup(B1110,State_EMM_RowSums!$A$2:$B$52,2,FALSE)</f>
        <v>KY</v>
      </c>
      <c r="D1110" s="32">
        <v>21231.0</v>
      </c>
      <c r="E1110" s="33">
        <f>IF(NOT(ISBLANK(vlookup($D1110,Pop_Census_2023!$A$2:$E$3220,4,FALSE))),vlookup($D1110,Pop_Census_2023!$A$2:$E$3220,4,FALSE), vlookup($D1110,Pop_Census_2023!$A$2:$E$3220,5,FALSE))</f>
        <v>19580</v>
      </c>
      <c r="F1110" s="32">
        <v>516962.0</v>
      </c>
      <c r="G1110" s="32">
        <v>93.0</v>
      </c>
      <c r="H1110" s="32" t="str">
        <f>VLOOKUP(D1110, Grid_Region_Mapping!$D$2:$F$5286, 3, FALSE)</f>
        <v>SRCE</v>
      </c>
      <c r="I1110" s="32">
        <v>6.0</v>
      </c>
      <c r="J1110" s="34" t="str">
        <f t="shared" si="1"/>
        <v>South</v>
      </c>
      <c r="K1110" s="35">
        <v>3.0</v>
      </c>
      <c r="L1110" s="35" t="s">
        <v>223</v>
      </c>
      <c r="M1110" s="36">
        <f>VLOOKUP(D1110, County_Data_CZones!$B$2:$F$3236, 2, FALSE)</f>
        <v>4</v>
      </c>
      <c r="N1110" s="37" t="str">
        <f>VLOOKUP(D1110, County_Data_CZones!$B$2:$F$3236, 5, FALSE)</f>
        <v>Mixed-Humid</v>
      </c>
    </row>
    <row r="1111" ht="15.75" customHeight="1">
      <c r="A1111" s="32" t="s">
        <v>563</v>
      </c>
      <c r="B1111" s="32" t="s">
        <v>818</v>
      </c>
      <c r="C1111" s="32" t="str">
        <f>vlookup(B1111,State_EMM_RowSums!$A$2:$B$52,2,FALSE)</f>
        <v>KY</v>
      </c>
      <c r="D1111" s="32">
        <v>21233.0</v>
      </c>
      <c r="E1111" s="33">
        <f>IF(NOT(ISBLANK(vlookup($D1111,Pop_Census_2023!$A$2:$E$3220,4,FALSE))),vlookup($D1111,Pop_Census_2023!$A$2:$E$3220,4,FALSE), vlookup($D1111,Pop_Census_2023!$A$2:$E$3220,5,FALSE))</f>
        <v>12726</v>
      </c>
      <c r="F1111" s="32">
        <v>516963.0</v>
      </c>
      <c r="G1111" s="32">
        <v>108.0</v>
      </c>
      <c r="H1111" s="32" t="str">
        <f>VLOOKUP(D1111, Grid_Region_Mapping!$D$2:$F$5286, 3, FALSE)</f>
        <v>SRCE</v>
      </c>
      <c r="I1111" s="32">
        <v>6.0</v>
      </c>
      <c r="J1111" s="34" t="str">
        <f t="shared" si="1"/>
        <v>South</v>
      </c>
      <c r="K1111" s="35">
        <v>3.0</v>
      </c>
      <c r="L1111" s="35" t="s">
        <v>223</v>
      </c>
      <c r="M1111" s="36">
        <f>VLOOKUP(D1111, County_Data_CZones!$B$2:$F$3236, 2, FALSE)</f>
        <v>4</v>
      </c>
      <c r="N1111" s="37" t="str">
        <f>VLOOKUP(D1111, County_Data_CZones!$B$2:$F$3236, 5, FALSE)</f>
        <v>Mixed-Humid</v>
      </c>
    </row>
    <row r="1112" ht="15.75" customHeight="1">
      <c r="A1112" s="32" t="s">
        <v>703</v>
      </c>
      <c r="B1112" s="32" t="s">
        <v>818</v>
      </c>
      <c r="C1112" s="32" t="str">
        <f>vlookup(B1112,State_EMM_RowSums!$A$2:$B$52,2,FALSE)</f>
        <v>KY</v>
      </c>
      <c r="D1112" s="32">
        <v>21235.0</v>
      </c>
      <c r="E1112" s="33">
        <f>IF(NOT(ISBLANK(vlookup($D1112,Pop_Census_2023!$A$2:$E$3220,4,FALSE))),vlookup($D1112,Pop_Census_2023!$A$2:$E$3220,4,FALSE), vlookup($D1112,Pop_Census_2023!$A$2:$E$3220,5,FALSE))</f>
        <v>36825</v>
      </c>
      <c r="F1112" s="32">
        <v>516964.0</v>
      </c>
      <c r="G1112" s="32">
        <v>109.0</v>
      </c>
      <c r="H1112" s="32" t="str">
        <f>VLOOKUP(D1112, Grid_Region_Mapping!$D$2:$F$5286, 3, FALSE)</f>
        <v>SRCE</v>
      </c>
      <c r="I1112" s="32">
        <v>6.0</v>
      </c>
      <c r="J1112" s="34" t="str">
        <f t="shared" si="1"/>
        <v>South</v>
      </c>
      <c r="K1112" s="35">
        <v>3.0</v>
      </c>
      <c r="L1112" s="35" t="s">
        <v>223</v>
      </c>
      <c r="M1112" s="36">
        <f>VLOOKUP(D1112, County_Data_CZones!$B$2:$F$3236, 2, FALSE)</f>
        <v>4</v>
      </c>
      <c r="N1112" s="37" t="str">
        <f>VLOOKUP(D1112, County_Data_CZones!$B$2:$F$3236, 5, FALSE)</f>
        <v>Mixed-Humid</v>
      </c>
    </row>
    <row r="1113" ht="15.75" customHeight="1">
      <c r="A1113" s="32" t="s">
        <v>873</v>
      </c>
      <c r="B1113" s="32" t="s">
        <v>818</v>
      </c>
      <c r="C1113" s="32" t="str">
        <f>vlookup(B1113,State_EMM_RowSums!$A$2:$B$52,2,FALSE)</f>
        <v>KY</v>
      </c>
      <c r="D1113" s="32">
        <v>21237.0</v>
      </c>
      <c r="E1113" s="33">
        <f>IF(NOT(ISBLANK(vlookup($D1113,Pop_Census_2023!$A$2:$E$3220,4,FALSE))),vlookup($D1113,Pop_Census_2023!$A$2:$E$3220,4,FALSE), vlookup($D1113,Pop_Census_2023!$A$2:$E$3220,5,FALSE))</f>
        <v>6282</v>
      </c>
      <c r="F1113" s="32">
        <v>516965.0</v>
      </c>
      <c r="G1113" s="32">
        <v>109.0</v>
      </c>
      <c r="H1113" s="32" t="str">
        <f>VLOOKUP(D1113, Grid_Region_Mapping!$D$2:$F$5286, 3, FALSE)</f>
        <v>SRCE</v>
      </c>
      <c r="I1113" s="32">
        <v>6.0</v>
      </c>
      <c r="J1113" s="34" t="str">
        <f t="shared" si="1"/>
        <v>South</v>
      </c>
      <c r="K1113" s="35">
        <v>3.0</v>
      </c>
      <c r="L1113" s="35" t="s">
        <v>223</v>
      </c>
      <c r="M1113" s="36">
        <f>VLOOKUP(D1113, County_Data_CZones!$B$2:$F$3236, 2, FALSE)</f>
        <v>4</v>
      </c>
      <c r="N1113" s="37" t="str">
        <f>VLOOKUP(D1113, County_Data_CZones!$B$2:$F$3236, 5, FALSE)</f>
        <v>Mixed-Humid</v>
      </c>
    </row>
    <row r="1114" ht="15.75" customHeight="1">
      <c r="A1114" s="32" t="s">
        <v>662</v>
      </c>
      <c r="B1114" s="32" t="s">
        <v>818</v>
      </c>
      <c r="C1114" s="32" t="str">
        <f>vlookup(B1114,State_EMM_RowSums!$A$2:$B$52,2,FALSE)</f>
        <v>KY</v>
      </c>
      <c r="D1114" s="32">
        <v>21239.0</v>
      </c>
      <c r="E1114" s="33">
        <f>IF(NOT(ISBLANK(vlookup($D1114,Pop_Census_2023!$A$2:$E$3220,4,FALSE))),vlookup($D1114,Pop_Census_2023!$A$2:$E$3220,4,FALSE), vlookup($D1114,Pop_Census_2023!$A$2:$E$3220,5,FALSE))</f>
        <v>27268</v>
      </c>
      <c r="F1114" s="32">
        <v>516966.0</v>
      </c>
      <c r="G1114" s="32">
        <v>109.0</v>
      </c>
      <c r="H1114" s="32" t="str">
        <f>VLOOKUP(D1114, Grid_Region_Mapping!$D$2:$F$5286, 3, FALSE)</f>
        <v>SRCE</v>
      </c>
      <c r="I1114" s="32">
        <v>6.0</v>
      </c>
      <c r="J1114" s="34" t="str">
        <f t="shared" si="1"/>
        <v>South</v>
      </c>
      <c r="K1114" s="35">
        <v>3.0</v>
      </c>
      <c r="L1114" s="35" t="s">
        <v>223</v>
      </c>
      <c r="M1114" s="36">
        <f>VLOOKUP(D1114, County_Data_CZones!$B$2:$F$3236, 2, FALSE)</f>
        <v>4</v>
      </c>
      <c r="N1114" s="37" t="str">
        <f>VLOOKUP(D1114, County_Data_CZones!$B$2:$F$3236, 5, FALSE)</f>
        <v>Mixed-Humid</v>
      </c>
    </row>
    <row r="1115" ht="15.75" customHeight="1">
      <c r="A1115" s="32" t="s">
        <v>874</v>
      </c>
      <c r="B1115" s="32" t="s">
        <v>875</v>
      </c>
      <c r="C1115" s="32" t="str">
        <f>vlookup(B1115,State_EMM_RowSums!$A$2:$B$52,2,FALSE)</f>
        <v>LA</v>
      </c>
      <c r="D1115" s="32">
        <v>22001.0</v>
      </c>
      <c r="E1115" s="33">
        <f>IF(NOT(ISBLANK(vlookup($D1115,Pop_Census_2023!$A$2:$E$3220,4,FALSE))),vlookup($D1115,Pop_Census_2023!$A$2:$E$3220,4,FALSE), vlookup($D1115,Pop_Census_2023!$A$2:$E$3220,5,FALSE))</f>
        <v>56489</v>
      </c>
      <c r="F1115" s="32">
        <v>558389.0</v>
      </c>
      <c r="G1115" s="32">
        <v>58.0</v>
      </c>
      <c r="H1115" s="32" t="str">
        <f>VLOOKUP(D1115, Grid_Region_Mapping!$D$2:$F$5286, 3, FALSE)</f>
        <v>MISS</v>
      </c>
      <c r="I1115" s="32">
        <v>7.0</v>
      </c>
      <c r="J1115" s="34" t="str">
        <f t="shared" si="1"/>
        <v>South</v>
      </c>
      <c r="K1115" s="35">
        <v>5.0</v>
      </c>
      <c r="L1115" s="35" t="s">
        <v>104</v>
      </c>
      <c r="M1115" s="36">
        <f>VLOOKUP(D1115, County_Data_CZones!$B$2:$F$3236, 2, FALSE)</f>
        <v>2</v>
      </c>
      <c r="N1115" s="37" t="str">
        <f>VLOOKUP(D1115, County_Data_CZones!$B$2:$F$3236, 5, FALSE)</f>
        <v>Hot-Humid</v>
      </c>
    </row>
    <row r="1116" ht="15.75" customHeight="1">
      <c r="A1116" s="32" t="s">
        <v>664</v>
      </c>
      <c r="B1116" s="32" t="s">
        <v>875</v>
      </c>
      <c r="C1116" s="32" t="str">
        <f>vlookup(B1116,State_EMM_RowSums!$A$2:$B$52,2,FALSE)</f>
        <v>LA</v>
      </c>
      <c r="D1116" s="32">
        <v>22003.0</v>
      </c>
      <c r="E1116" s="33">
        <f>IF(NOT(ISBLANK(vlookup($D1116,Pop_Census_2023!$A$2:$E$3220,4,FALSE))),vlookup($D1116,Pop_Census_2023!$A$2:$E$3220,4,FALSE), vlookup($D1116,Pop_Census_2023!$A$2:$E$3220,5,FALSE))</f>
        <v>22112</v>
      </c>
      <c r="F1116" s="32">
        <v>558397.0</v>
      </c>
      <c r="G1116" s="32">
        <v>58.0</v>
      </c>
      <c r="H1116" s="32" t="str">
        <f>VLOOKUP(D1116, Grid_Region_Mapping!$D$2:$F$5286, 3, FALSE)</f>
        <v>SPPS</v>
      </c>
      <c r="I1116" s="32">
        <v>7.0</v>
      </c>
      <c r="J1116" s="34" t="str">
        <f t="shared" si="1"/>
        <v>South</v>
      </c>
      <c r="K1116" s="35">
        <v>5.0</v>
      </c>
      <c r="L1116" s="35" t="s">
        <v>104</v>
      </c>
      <c r="M1116" s="36">
        <f>VLOOKUP(D1116, County_Data_CZones!$B$2:$F$3236, 2, FALSE)</f>
        <v>2</v>
      </c>
      <c r="N1116" s="37" t="str">
        <f>VLOOKUP(D1116, County_Data_CZones!$B$2:$F$3236, 5, FALSE)</f>
        <v>Hot-Humid</v>
      </c>
    </row>
    <row r="1117" ht="15.75" customHeight="1">
      <c r="A1117" s="32" t="s">
        <v>876</v>
      </c>
      <c r="B1117" s="32" t="s">
        <v>875</v>
      </c>
      <c r="C1117" s="32" t="str">
        <f>vlookup(B1117,State_EMM_RowSums!$A$2:$B$52,2,FALSE)</f>
        <v>LA</v>
      </c>
      <c r="D1117" s="32">
        <v>22005.0</v>
      </c>
      <c r="E1117" s="33">
        <f>IF(NOT(ISBLANK(vlookup($D1117,Pop_Census_2023!$A$2:$E$3220,4,FALSE))),vlookup($D1117,Pop_Census_2023!$A$2:$E$3220,4,FALSE), vlookup($D1117,Pop_Census_2023!$A$2:$E$3220,5,FALSE))</f>
        <v>131632</v>
      </c>
      <c r="F1117" s="32">
        <v>558403.0</v>
      </c>
      <c r="G1117" s="32">
        <v>58.0</v>
      </c>
      <c r="H1117" s="32" t="str">
        <f>VLOOKUP(D1117, Grid_Region_Mapping!$D$2:$F$5286, 3, FALSE)</f>
        <v>MISS</v>
      </c>
      <c r="I1117" s="32">
        <v>7.0</v>
      </c>
      <c r="J1117" s="34" t="str">
        <f t="shared" si="1"/>
        <v>South</v>
      </c>
      <c r="K1117" s="35">
        <v>5.0</v>
      </c>
      <c r="L1117" s="35" t="s">
        <v>104</v>
      </c>
      <c r="M1117" s="36">
        <f>VLOOKUP(D1117, County_Data_CZones!$B$2:$F$3236, 2, FALSE)</f>
        <v>2</v>
      </c>
      <c r="N1117" s="37" t="str">
        <f>VLOOKUP(D1117, County_Data_CZones!$B$2:$F$3236, 5, FALSE)</f>
        <v>Hot-Humid</v>
      </c>
    </row>
    <row r="1118" ht="15.75" customHeight="1">
      <c r="A1118" s="32" t="s">
        <v>877</v>
      </c>
      <c r="B1118" s="32" t="s">
        <v>875</v>
      </c>
      <c r="C1118" s="32" t="str">
        <f>vlookup(B1118,State_EMM_RowSums!$A$2:$B$52,2,FALSE)</f>
        <v>LA</v>
      </c>
      <c r="D1118" s="32">
        <v>22007.0</v>
      </c>
      <c r="E1118" s="33">
        <f>IF(NOT(ISBLANK(vlookup($D1118,Pop_Census_2023!$A$2:$E$3220,4,FALSE))),vlookup($D1118,Pop_Census_2023!$A$2:$E$3220,4,FALSE), vlookup($D1118,Pop_Census_2023!$A$2:$E$3220,5,FALSE))</f>
        <v>20160</v>
      </c>
      <c r="F1118" s="32">
        <v>558414.0</v>
      </c>
      <c r="G1118" s="32">
        <v>58.0</v>
      </c>
      <c r="H1118" s="32" t="str">
        <f>VLOOKUP(D1118, Grid_Region_Mapping!$D$2:$F$5286, 3, FALSE)</f>
        <v>MISS</v>
      </c>
      <c r="I1118" s="32">
        <v>7.0</v>
      </c>
      <c r="J1118" s="34" t="str">
        <f t="shared" si="1"/>
        <v>South</v>
      </c>
      <c r="K1118" s="35">
        <v>5.0</v>
      </c>
      <c r="L1118" s="35" t="s">
        <v>104</v>
      </c>
      <c r="M1118" s="36">
        <f>VLOOKUP(D1118, County_Data_CZones!$B$2:$F$3236, 2, FALSE)</f>
        <v>2</v>
      </c>
      <c r="N1118" s="37" t="str">
        <f>VLOOKUP(D1118, County_Data_CZones!$B$2:$F$3236, 5, FALSE)</f>
        <v>Hot-Humid</v>
      </c>
    </row>
    <row r="1119" ht="15.75" customHeight="1">
      <c r="A1119" s="32" t="s">
        <v>878</v>
      </c>
      <c r="B1119" s="32" t="s">
        <v>875</v>
      </c>
      <c r="C1119" s="32" t="str">
        <f>vlookup(B1119,State_EMM_RowSums!$A$2:$B$52,2,FALSE)</f>
        <v>LA</v>
      </c>
      <c r="D1119" s="32">
        <v>22009.0</v>
      </c>
      <c r="E1119" s="33">
        <f>IF(NOT(ISBLANK(vlookup($D1119,Pop_Census_2023!$A$2:$E$3220,4,FALSE))),vlookup($D1119,Pop_Census_2023!$A$2:$E$3220,4,FALSE), vlookup($D1119,Pop_Census_2023!$A$2:$E$3220,5,FALSE))</f>
        <v>38408</v>
      </c>
      <c r="F1119" s="32">
        <v>558424.0</v>
      </c>
      <c r="G1119" s="32">
        <v>58.0</v>
      </c>
      <c r="H1119" s="32" t="str">
        <f>VLOOKUP(D1119, Grid_Region_Mapping!$D$2:$F$5286, 3, FALSE)</f>
        <v>SPPS</v>
      </c>
      <c r="I1119" s="32">
        <v>7.0</v>
      </c>
      <c r="J1119" s="34" t="str">
        <f t="shared" si="1"/>
        <v>South</v>
      </c>
      <c r="K1119" s="35">
        <v>5.0</v>
      </c>
      <c r="L1119" s="35" t="s">
        <v>104</v>
      </c>
      <c r="M1119" s="36">
        <f>VLOOKUP(D1119, County_Data_CZones!$B$2:$F$3236, 2, FALSE)</f>
        <v>2</v>
      </c>
      <c r="N1119" s="37" t="str">
        <f>VLOOKUP(D1119, County_Data_CZones!$B$2:$F$3236, 5, FALSE)</f>
        <v>Hot-Humid</v>
      </c>
    </row>
    <row r="1120" ht="15.75" customHeight="1">
      <c r="A1120" s="32" t="s">
        <v>879</v>
      </c>
      <c r="B1120" s="32" t="s">
        <v>875</v>
      </c>
      <c r="C1120" s="32" t="str">
        <f>vlookup(B1120,State_EMM_RowSums!$A$2:$B$52,2,FALSE)</f>
        <v>LA</v>
      </c>
      <c r="D1120" s="32">
        <v>22011.0</v>
      </c>
      <c r="E1120" s="33">
        <f>IF(NOT(ISBLANK(vlookup($D1120,Pop_Census_2023!$A$2:$E$3220,4,FALSE))),vlookup($D1120,Pop_Census_2023!$A$2:$E$3220,4,FALSE), vlookup($D1120,Pop_Census_2023!$A$2:$E$3220,5,FALSE))</f>
        <v>36827</v>
      </c>
      <c r="F1120" s="32">
        <v>558436.0</v>
      </c>
      <c r="G1120" s="32">
        <v>58.0</v>
      </c>
      <c r="H1120" s="32" t="str">
        <f>VLOOKUP(D1120, Grid_Region_Mapping!$D$2:$F$5286, 3, FALSE)</f>
        <v>SPPS</v>
      </c>
      <c r="I1120" s="32">
        <v>7.0</v>
      </c>
      <c r="J1120" s="34" t="str">
        <f t="shared" si="1"/>
        <v>South</v>
      </c>
      <c r="K1120" s="35">
        <v>5.0</v>
      </c>
      <c r="L1120" s="35" t="s">
        <v>104</v>
      </c>
      <c r="M1120" s="36">
        <f>VLOOKUP(D1120, County_Data_CZones!$B$2:$F$3236, 2, FALSE)</f>
        <v>2</v>
      </c>
      <c r="N1120" s="37" t="str">
        <f>VLOOKUP(D1120, County_Data_CZones!$B$2:$F$3236, 5, FALSE)</f>
        <v>Hot-Humid</v>
      </c>
    </row>
    <row r="1121" ht="15.75" customHeight="1">
      <c r="A1121" s="32" t="s">
        <v>880</v>
      </c>
      <c r="B1121" s="32" t="s">
        <v>875</v>
      </c>
      <c r="C1121" s="32" t="str">
        <f>vlookup(B1121,State_EMM_RowSums!$A$2:$B$52,2,FALSE)</f>
        <v>LA</v>
      </c>
      <c r="D1121" s="32">
        <v>22013.0</v>
      </c>
      <c r="E1121" s="33">
        <f>IF(NOT(ISBLANK(vlookup($D1121,Pop_Census_2023!$A$2:$E$3220,4,FALSE))),vlookup($D1121,Pop_Census_2023!$A$2:$E$3220,4,FALSE), vlookup($D1121,Pop_Census_2023!$A$2:$E$3220,5,FALSE))</f>
        <v>12366</v>
      </c>
      <c r="F1121" s="32">
        <v>558445.0</v>
      </c>
      <c r="G1121" s="32">
        <v>58.0</v>
      </c>
      <c r="H1121" s="32" t="str">
        <f>VLOOKUP(D1121, Grid_Region_Mapping!$D$2:$F$5286, 3, FALSE)</f>
        <v>SPPS</v>
      </c>
      <c r="I1121" s="32">
        <v>7.0</v>
      </c>
      <c r="J1121" s="34" t="str">
        <f t="shared" si="1"/>
        <v>South</v>
      </c>
      <c r="K1121" s="35">
        <v>5.0</v>
      </c>
      <c r="L1121" s="35" t="s">
        <v>102</v>
      </c>
      <c r="M1121" s="36">
        <f>VLOOKUP(D1121, County_Data_CZones!$B$2:$F$3236, 2, FALSE)</f>
        <v>3</v>
      </c>
      <c r="N1121" s="37" t="str">
        <f>VLOOKUP(D1121, County_Data_CZones!$B$2:$F$3236, 5, FALSE)</f>
        <v>Hot-Humid</v>
      </c>
    </row>
    <row r="1122" ht="15.75" customHeight="1">
      <c r="A1122" s="32" t="s">
        <v>881</v>
      </c>
      <c r="B1122" s="32" t="s">
        <v>875</v>
      </c>
      <c r="C1122" s="32" t="str">
        <f>vlookup(B1122,State_EMM_RowSums!$A$2:$B$52,2,FALSE)</f>
        <v>LA</v>
      </c>
      <c r="D1122" s="32">
        <v>22015.0</v>
      </c>
      <c r="E1122" s="33">
        <f>IF(NOT(ISBLANK(vlookup($D1122,Pop_Census_2023!$A$2:$E$3220,4,FALSE))),vlookup($D1122,Pop_Census_2023!$A$2:$E$3220,4,FALSE), vlookup($D1122,Pop_Census_2023!$A$2:$E$3220,5,FALSE))</f>
        <v>129795</v>
      </c>
      <c r="F1122" s="32">
        <v>558453.0</v>
      </c>
      <c r="G1122" s="32">
        <v>58.0</v>
      </c>
      <c r="H1122" s="32" t="str">
        <f>VLOOKUP(D1122, Grid_Region_Mapping!$D$2:$F$5286, 3, FALSE)</f>
        <v>SPPS</v>
      </c>
      <c r="I1122" s="32">
        <v>7.0</v>
      </c>
      <c r="J1122" s="34" t="str">
        <f t="shared" si="1"/>
        <v>South</v>
      </c>
      <c r="K1122" s="35">
        <v>5.0</v>
      </c>
      <c r="L1122" s="35" t="s">
        <v>102</v>
      </c>
      <c r="M1122" s="36">
        <f>VLOOKUP(D1122, County_Data_CZones!$B$2:$F$3236, 2, FALSE)</f>
        <v>3</v>
      </c>
      <c r="N1122" s="37" t="str">
        <f>VLOOKUP(D1122, County_Data_CZones!$B$2:$F$3236, 5, FALSE)</f>
        <v>Hot-Humid</v>
      </c>
    </row>
    <row r="1123" ht="15.75" customHeight="1">
      <c r="A1123" s="32" t="s">
        <v>882</v>
      </c>
      <c r="B1123" s="32" t="s">
        <v>875</v>
      </c>
      <c r="C1123" s="32" t="str">
        <f>vlookup(B1123,State_EMM_RowSums!$A$2:$B$52,2,FALSE)</f>
        <v>LA</v>
      </c>
      <c r="D1123" s="32">
        <v>22017.0</v>
      </c>
      <c r="E1123" s="33">
        <f>IF(NOT(ISBLANK(vlookup($D1123,Pop_Census_2023!$A$2:$E$3220,4,FALSE))),vlookup($D1123,Pop_Census_2023!$A$2:$E$3220,4,FALSE), vlookup($D1123,Pop_Census_2023!$A$2:$E$3220,5,FALSE))</f>
        <v>226386</v>
      </c>
      <c r="F1123" s="32">
        <v>558458.0</v>
      </c>
      <c r="G1123" s="32">
        <v>58.0</v>
      </c>
      <c r="H1123" s="32" t="str">
        <f>VLOOKUP(D1123, Grid_Region_Mapping!$D$2:$F$5286, 3, FALSE)</f>
        <v>SPPS</v>
      </c>
      <c r="I1123" s="32">
        <v>7.0</v>
      </c>
      <c r="J1123" s="34" t="str">
        <f t="shared" si="1"/>
        <v>South</v>
      </c>
      <c r="K1123" s="35">
        <v>5.0</v>
      </c>
      <c r="L1123" s="35" t="s">
        <v>102</v>
      </c>
      <c r="M1123" s="36">
        <f>VLOOKUP(D1123, County_Data_CZones!$B$2:$F$3236, 2, FALSE)</f>
        <v>3</v>
      </c>
      <c r="N1123" s="37" t="str">
        <f>VLOOKUP(D1123, County_Data_CZones!$B$2:$F$3236, 5, FALSE)</f>
        <v>Hot-Humid</v>
      </c>
    </row>
    <row r="1124" ht="15.75" customHeight="1">
      <c r="A1124" s="32" t="s">
        <v>883</v>
      </c>
      <c r="B1124" s="32" t="s">
        <v>875</v>
      </c>
      <c r="C1124" s="32" t="str">
        <f>vlookup(B1124,State_EMM_RowSums!$A$2:$B$52,2,FALSE)</f>
        <v>LA</v>
      </c>
      <c r="D1124" s="32">
        <v>22019.0</v>
      </c>
      <c r="E1124" s="33">
        <f>IF(NOT(ISBLANK(vlookup($D1124,Pop_Census_2023!$A$2:$E$3220,4,FALSE))),vlookup($D1124,Pop_Census_2023!$A$2:$E$3220,4,FALSE), vlookup($D1124,Pop_Census_2023!$A$2:$E$3220,5,FALSE))</f>
        <v>203761</v>
      </c>
      <c r="F1124" s="32">
        <v>558468.0</v>
      </c>
      <c r="G1124" s="32">
        <v>58.0</v>
      </c>
      <c r="H1124" s="32" t="str">
        <f>VLOOKUP(D1124, Grid_Region_Mapping!$D$2:$F$5286, 3, FALSE)</f>
        <v>MISS</v>
      </c>
      <c r="I1124" s="32">
        <v>7.0</v>
      </c>
      <c r="J1124" s="34" t="str">
        <f t="shared" si="1"/>
        <v>South</v>
      </c>
      <c r="K1124" s="35">
        <v>5.0</v>
      </c>
      <c r="L1124" s="35" t="s">
        <v>104</v>
      </c>
      <c r="M1124" s="36">
        <f>VLOOKUP(D1124, County_Data_CZones!$B$2:$F$3236, 2, FALSE)</f>
        <v>2</v>
      </c>
      <c r="N1124" s="37" t="str">
        <f>VLOOKUP(D1124, County_Data_CZones!$B$2:$F$3236, 5, FALSE)</f>
        <v>Hot-Humid</v>
      </c>
    </row>
    <row r="1125" ht="15.75" customHeight="1">
      <c r="A1125" s="32" t="s">
        <v>829</v>
      </c>
      <c r="B1125" s="32" t="s">
        <v>875</v>
      </c>
      <c r="C1125" s="32" t="str">
        <f>vlookup(B1125,State_EMM_RowSums!$A$2:$B$52,2,FALSE)</f>
        <v>LA</v>
      </c>
      <c r="D1125" s="32">
        <v>22021.0</v>
      </c>
      <c r="E1125" s="33">
        <f>IF(NOT(ISBLANK(vlookup($D1125,Pop_Census_2023!$A$2:$E$3220,4,FALSE))),vlookup($D1125,Pop_Census_2023!$A$2:$E$3220,4,FALSE), vlookup($D1125,Pop_Census_2023!$A$2:$E$3220,5,FALSE))</f>
        <v>9389</v>
      </c>
      <c r="F1125" s="32">
        <v>558477.0</v>
      </c>
      <c r="G1125" s="32">
        <v>58.0</v>
      </c>
      <c r="H1125" s="32" t="str">
        <f>VLOOKUP(D1125, Grid_Region_Mapping!$D$2:$F$5286, 3, FALSE)</f>
        <v>MISS</v>
      </c>
      <c r="I1125" s="32">
        <v>7.0</v>
      </c>
      <c r="J1125" s="34" t="str">
        <f t="shared" si="1"/>
        <v>South</v>
      </c>
      <c r="K1125" s="35">
        <v>5.0</v>
      </c>
      <c r="L1125" s="35" t="s">
        <v>102</v>
      </c>
      <c r="M1125" s="36">
        <f>VLOOKUP(D1125, County_Data_CZones!$B$2:$F$3236, 2, FALSE)</f>
        <v>3</v>
      </c>
      <c r="N1125" s="37" t="str">
        <f>VLOOKUP(D1125, County_Data_CZones!$B$2:$F$3236, 5, FALSE)</f>
        <v>Hot-Humid</v>
      </c>
    </row>
    <row r="1126" ht="15.75" customHeight="1">
      <c r="A1126" s="32" t="s">
        <v>884</v>
      </c>
      <c r="B1126" s="32" t="s">
        <v>875</v>
      </c>
      <c r="C1126" s="32" t="str">
        <f>vlookup(B1126,State_EMM_RowSums!$A$2:$B$52,2,FALSE)</f>
        <v>LA</v>
      </c>
      <c r="D1126" s="32">
        <v>22023.0</v>
      </c>
      <c r="E1126" s="33">
        <f>IF(NOT(ISBLANK(vlookup($D1126,Pop_Census_2023!$A$2:$E$3220,4,FALSE))),vlookup($D1126,Pop_Census_2023!$A$2:$E$3220,4,FALSE), vlookup($D1126,Pop_Census_2023!$A$2:$E$3220,5,FALSE))</f>
        <v>4768</v>
      </c>
      <c r="F1126" s="32">
        <v>558488.0</v>
      </c>
      <c r="G1126" s="32">
        <v>58.0</v>
      </c>
      <c r="H1126" s="32" t="str">
        <f>VLOOKUP(D1126, Grid_Region_Mapping!$D$2:$F$5286, 3, FALSE)</f>
        <v>MISS</v>
      </c>
      <c r="I1126" s="32">
        <v>7.0</v>
      </c>
      <c r="J1126" s="34" t="str">
        <f t="shared" si="1"/>
        <v>South</v>
      </c>
      <c r="K1126" s="35">
        <v>5.0</v>
      </c>
      <c r="L1126" s="35" t="s">
        <v>104</v>
      </c>
      <c r="M1126" s="36">
        <f>VLOOKUP(D1126, County_Data_CZones!$B$2:$F$3236, 2, FALSE)</f>
        <v>2</v>
      </c>
      <c r="N1126" s="37" t="str">
        <f>VLOOKUP(D1126, County_Data_CZones!$B$2:$F$3236, 5, FALSE)</f>
        <v>Hot-Humid</v>
      </c>
    </row>
    <row r="1127" ht="15.75" customHeight="1">
      <c r="A1127" s="32" t="s">
        <v>885</v>
      </c>
      <c r="B1127" s="32" t="s">
        <v>875</v>
      </c>
      <c r="C1127" s="32" t="str">
        <f>vlookup(B1127,State_EMM_RowSums!$A$2:$B$52,2,FALSE)</f>
        <v>LA</v>
      </c>
      <c r="D1127" s="32">
        <v>22025.0</v>
      </c>
      <c r="E1127" s="33">
        <f>IF(NOT(ISBLANK(vlookup($D1127,Pop_Census_2023!$A$2:$E$3220,4,FALSE))),vlookup($D1127,Pop_Census_2023!$A$2:$E$3220,4,FALSE), vlookup($D1127,Pop_Census_2023!$A$2:$E$3220,5,FALSE))</f>
        <v>8414</v>
      </c>
      <c r="F1127" s="32">
        <v>558495.0</v>
      </c>
      <c r="G1127" s="32">
        <v>58.0</v>
      </c>
      <c r="H1127" s="32" t="str">
        <f>VLOOKUP(D1127, Grid_Region_Mapping!$D$2:$F$5286, 3, FALSE)</f>
        <v>MISS</v>
      </c>
      <c r="I1127" s="32">
        <v>7.0</v>
      </c>
      <c r="J1127" s="34" t="str">
        <f t="shared" si="1"/>
        <v>South</v>
      </c>
      <c r="K1127" s="35">
        <v>5.0</v>
      </c>
      <c r="L1127" s="35" t="s">
        <v>102</v>
      </c>
      <c r="M1127" s="36">
        <f>VLOOKUP(D1127, County_Data_CZones!$B$2:$F$3236, 2, FALSE)</f>
        <v>3</v>
      </c>
      <c r="N1127" s="37" t="str">
        <f>VLOOKUP(D1127, County_Data_CZones!$B$2:$F$3236, 5, FALSE)</f>
        <v>Hot-Humid</v>
      </c>
    </row>
    <row r="1128" ht="15.75" customHeight="1">
      <c r="A1128" s="32" t="s">
        <v>886</v>
      </c>
      <c r="B1128" s="32" t="s">
        <v>875</v>
      </c>
      <c r="C1128" s="32" t="str">
        <f>vlookup(B1128,State_EMM_RowSums!$A$2:$B$52,2,FALSE)</f>
        <v>LA</v>
      </c>
      <c r="D1128" s="32">
        <v>22027.0</v>
      </c>
      <c r="E1128" s="33">
        <f>IF(NOT(ISBLANK(vlookup($D1128,Pop_Census_2023!$A$2:$E$3220,4,FALSE))),vlookup($D1128,Pop_Census_2023!$A$2:$E$3220,4,FALSE), vlookup($D1128,Pop_Census_2023!$A$2:$E$3220,5,FALSE))</f>
        <v>13670</v>
      </c>
      <c r="F1128" s="32">
        <v>558505.0</v>
      </c>
      <c r="G1128" s="32">
        <v>86.0</v>
      </c>
      <c r="H1128" s="32" t="str">
        <f>VLOOKUP(D1128, Grid_Region_Mapping!$D$2:$F$5286, 3, FALSE)</f>
        <v>MISS</v>
      </c>
      <c r="I1128" s="32">
        <v>7.0</v>
      </c>
      <c r="J1128" s="34" t="str">
        <f t="shared" si="1"/>
        <v>South</v>
      </c>
      <c r="K1128" s="35">
        <v>4.0</v>
      </c>
      <c r="L1128" s="35" t="s">
        <v>102</v>
      </c>
      <c r="M1128" s="36">
        <f>VLOOKUP(D1128, County_Data_CZones!$B$2:$F$3236, 2, FALSE)</f>
        <v>3</v>
      </c>
      <c r="N1128" s="37" t="str">
        <f>VLOOKUP(D1128, County_Data_CZones!$B$2:$F$3236, 5, FALSE)</f>
        <v>Hot-Humid</v>
      </c>
    </row>
    <row r="1129" ht="15.75" customHeight="1">
      <c r="A1129" s="32" t="s">
        <v>887</v>
      </c>
      <c r="B1129" s="32" t="s">
        <v>875</v>
      </c>
      <c r="C1129" s="32" t="str">
        <f>vlookup(B1129,State_EMM_RowSums!$A$2:$B$52,2,FALSE)</f>
        <v>LA</v>
      </c>
      <c r="D1129" s="32">
        <v>22029.0</v>
      </c>
      <c r="E1129" s="33">
        <f>IF(NOT(ISBLANK(vlookup($D1129,Pop_Census_2023!$A$2:$E$3220,4,FALSE))),vlookup($D1129,Pop_Census_2023!$A$2:$E$3220,4,FALSE), vlookup($D1129,Pop_Census_2023!$A$2:$E$3220,5,FALSE))</f>
        <v>17688</v>
      </c>
      <c r="F1129" s="32">
        <v>558515.0</v>
      </c>
      <c r="G1129" s="32">
        <v>58.0</v>
      </c>
      <c r="H1129" s="32" t="str">
        <f>VLOOKUP(D1129, Grid_Region_Mapping!$D$2:$F$5286, 3, FALSE)</f>
        <v>MISS</v>
      </c>
      <c r="I1129" s="32">
        <v>7.0</v>
      </c>
      <c r="J1129" s="34" t="str">
        <f t="shared" si="1"/>
        <v>South</v>
      </c>
      <c r="K1129" s="35">
        <v>5.0</v>
      </c>
      <c r="L1129" s="35" t="s">
        <v>102</v>
      </c>
      <c r="M1129" s="36">
        <f>VLOOKUP(D1129, County_Data_CZones!$B$2:$F$3236, 2, FALSE)</f>
        <v>3</v>
      </c>
      <c r="N1129" s="37" t="str">
        <f>VLOOKUP(D1129, County_Data_CZones!$B$2:$F$3236, 5, FALSE)</f>
        <v>Hot-Humid</v>
      </c>
    </row>
    <row r="1130" ht="15.75" customHeight="1">
      <c r="A1130" s="32" t="s">
        <v>888</v>
      </c>
      <c r="B1130" s="32" t="s">
        <v>875</v>
      </c>
      <c r="C1130" s="32" t="str">
        <f>vlookup(B1130,State_EMM_RowSums!$A$2:$B$52,2,FALSE)</f>
        <v>LA</v>
      </c>
      <c r="D1130" s="32">
        <v>22031.0</v>
      </c>
      <c r="E1130" s="33">
        <f>IF(NOT(ISBLANK(vlookup($D1130,Pop_Census_2023!$A$2:$E$3220,4,FALSE))),vlookup($D1130,Pop_Census_2023!$A$2:$E$3220,4,FALSE), vlookup($D1130,Pop_Census_2023!$A$2:$E$3220,5,FALSE))</f>
        <v>27114</v>
      </c>
      <c r="F1130" s="32">
        <v>558521.0</v>
      </c>
      <c r="G1130" s="32">
        <v>58.0</v>
      </c>
      <c r="H1130" s="32" t="str">
        <f>VLOOKUP(D1130, Grid_Region_Mapping!$D$2:$F$5286, 3, FALSE)</f>
        <v>SPPS</v>
      </c>
      <c r="I1130" s="32">
        <v>7.0</v>
      </c>
      <c r="J1130" s="34" t="str">
        <f t="shared" si="1"/>
        <v>South</v>
      </c>
      <c r="K1130" s="35">
        <v>5.0</v>
      </c>
      <c r="L1130" s="35" t="s">
        <v>102</v>
      </c>
      <c r="M1130" s="36">
        <f>VLOOKUP(D1130, County_Data_CZones!$B$2:$F$3236, 2, FALSE)</f>
        <v>3</v>
      </c>
      <c r="N1130" s="37" t="str">
        <f>VLOOKUP(D1130, County_Data_CZones!$B$2:$F$3236, 5, FALSE)</f>
        <v>Hot-Humid</v>
      </c>
    </row>
    <row r="1131" ht="15.75" customHeight="1">
      <c r="A1131" s="32" t="s">
        <v>889</v>
      </c>
      <c r="B1131" s="32" t="s">
        <v>875</v>
      </c>
      <c r="C1131" s="32" t="str">
        <f>vlookup(B1131,State_EMM_RowSums!$A$2:$B$52,2,FALSE)</f>
        <v>LA</v>
      </c>
      <c r="D1131" s="32">
        <v>22033.0</v>
      </c>
      <c r="E1131" s="33">
        <f>IF(NOT(ISBLANK(vlookup($D1131,Pop_Census_2023!$A$2:$E$3220,4,FALSE))),vlookup($D1131,Pop_Census_2023!$A$2:$E$3220,4,FALSE), vlookup($D1131,Pop_Census_2023!$A$2:$E$3220,5,FALSE))</f>
        <v>448467</v>
      </c>
      <c r="F1131" s="32">
        <v>558530.0</v>
      </c>
      <c r="G1131" s="32">
        <v>58.0</v>
      </c>
      <c r="H1131" s="32" t="str">
        <f>VLOOKUP(D1131, Grid_Region_Mapping!$D$2:$F$5286, 3, FALSE)</f>
        <v>MISS</v>
      </c>
      <c r="I1131" s="32">
        <v>7.0</v>
      </c>
      <c r="J1131" s="34" t="str">
        <f t="shared" si="1"/>
        <v>South</v>
      </c>
      <c r="K1131" s="35">
        <v>5.0</v>
      </c>
      <c r="L1131" s="35" t="s">
        <v>104</v>
      </c>
      <c r="M1131" s="36">
        <f>VLOOKUP(D1131, County_Data_CZones!$B$2:$F$3236, 2, FALSE)</f>
        <v>2</v>
      </c>
      <c r="N1131" s="37" t="str">
        <f>VLOOKUP(D1131, County_Data_CZones!$B$2:$F$3236, 5, FALSE)</f>
        <v>Hot-Humid</v>
      </c>
    </row>
    <row r="1132" ht="15.75" customHeight="1">
      <c r="A1132" s="32" t="s">
        <v>890</v>
      </c>
      <c r="B1132" s="32" t="s">
        <v>875</v>
      </c>
      <c r="C1132" s="32" t="str">
        <f>vlookup(B1132,State_EMM_RowSums!$A$2:$B$52,2,FALSE)</f>
        <v>LA</v>
      </c>
      <c r="D1132" s="32">
        <v>22035.0</v>
      </c>
      <c r="E1132" s="33">
        <f>IF(NOT(ISBLANK(vlookup($D1132,Pop_Census_2023!$A$2:$E$3220,4,FALSE))),vlookup($D1132,Pop_Census_2023!$A$2:$E$3220,4,FALSE), vlookup($D1132,Pop_Census_2023!$A$2:$E$3220,5,FALSE))</f>
        <v>6829</v>
      </c>
      <c r="F1132" s="32">
        <v>558534.0</v>
      </c>
      <c r="G1132" s="32">
        <v>86.0</v>
      </c>
      <c r="H1132" s="32" t="str">
        <f>VLOOKUP(D1132, Grid_Region_Mapping!$D$2:$F$5286, 3, FALSE)</f>
        <v>MISS</v>
      </c>
      <c r="I1132" s="32">
        <v>7.0</v>
      </c>
      <c r="J1132" s="34" t="str">
        <f t="shared" si="1"/>
        <v>South</v>
      </c>
      <c r="K1132" s="35">
        <v>5.0</v>
      </c>
      <c r="L1132" s="35" t="s">
        <v>102</v>
      </c>
      <c r="M1132" s="36">
        <f>VLOOKUP(D1132, County_Data_CZones!$B$2:$F$3236, 2, FALSE)</f>
        <v>3</v>
      </c>
      <c r="N1132" s="37" t="str">
        <f>VLOOKUP(D1132, County_Data_CZones!$B$2:$F$3236, 5, FALSE)</f>
        <v>Mixed-Humid</v>
      </c>
    </row>
    <row r="1133" ht="15.75" customHeight="1">
      <c r="A1133" s="32" t="s">
        <v>891</v>
      </c>
      <c r="B1133" s="32" t="s">
        <v>875</v>
      </c>
      <c r="C1133" s="32" t="str">
        <f>vlookup(B1133,State_EMM_RowSums!$A$2:$B$52,2,FALSE)</f>
        <v>LA</v>
      </c>
      <c r="D1133" s="32">
        <v>22037.0</v>
      </c>
      <c r="E1133" s="33">
        <f>IF(NOT(ISBLANK(vlookup($D1133,Pop_Census_2023!$A$2:$E$3220,4,FALSE))),vlookup($D1133,Pop_Census_2023!$A$2:$E$3220,4,FALSE), vlookup($D1133,Pop_Census_2023!$A$2:$E$3220,5,FALSE))</f>
        <v>19229</v>
      </c>
      <c r="F1133" s="32">
        <v>558542.0</v>
      </c>
      <c r="G1133" s="32">
        <v>58.0</v>
      </c>
      <c r="H1133" s="32" t="str">
        <f>VLOOKUP(D1133, Grid_Region_Mapping!$D$2:$F$5286, 3, FALSE)</f>
        <v>MISS</v>
      </c>
      <c r="I1133" s="32">
        <v>7.0</v>
      </c>
      <c r="J1133" s="34" t="str">
        <f t="shared" si="1"/>
        <v>South</v>
      </c>
      <c r="K1133" s="35">
        <v>5.0</v>
      </c>
      <c r="L1133" s="35" t="s">
        <v>104</v>
      </c>
      <c r="M1133" s="36">
        <f>VLOOKUP(D1133, County_Data_CZones!$B$2:$F$3236, 2, FALSE)</f>
        <v>2</v>
      </c>
      <c r="N1133" s="37" t="str">
        <f>VLOOKUP(D1133, County_Data_CZones!$B$2:$F$3236, 5, FALSE)</f>
        <v>Hot-Humid</v>
      </c>
    </row>
    <row r="1134" ht="15.75" customHeight="1">
      <c r="A1134" s="32" t="s">
        <v>892</v>
      </c>
      <c r="B1134" s="32" t="s">
        <v>875</v>
      </c>
      <c r="C1134" s="32" t="str">
        <f>vlookup(B1134,State_EMM_RowSums!$A$2:$B$52,2,FALSE)</f>
        <v>LA</v>
      </c>
      <c r="D1134" s="32">
        <v>22039.0</v>
      </c>
      <c r="E1134" s="33">
        <f>IF(NOT(ISBLANK(vlookup($D1134,Pop_Census_2023!$A$2:$E$3220,4,FALSE))),vlookup($D1134,Pop_Census_2023!$A$2:$E$3220,4,FALSE), vlookup($D1134,Pop_Census_2023!$A$2:$E$3220,5,FALSE))</f>
        <v>31754</v>
      </c>
      <c r="F1134" s="32">
        <v>558551.0</v>
      </c>
      <c r="G1134" s="32">
        <v>58.0</v>
      </c>
      <c r="H1134" s="32" t="str">
        <f>VLOOKUP(D1134, Grid_Region_Mapping!$D$2:$F$5286, 3, FALSE)</f>
        <v>SPPS</v>
      </c>
      <c r="I1134" s="32">
        <v>7.0</v>
      </c>
      <c r="J1134" s="34" t="str">
        <f t="shared" si="1"/>
        <v>South</v>
      </c>
      <c r="K1134" s="35">
        <v>5.0</v>
      </c>
      <c r="L1134" s="35" t="s">
        <v>104</v>
      </c>
      <c r="M1134" s="36">
        <f>VLOOKUP(D1134, County_Data_CZones!$B$2:$F$3236, 2, FALSE)</f>
        <v>2</v>
      </c>
      <c r="N1134" s="37" t="str">
        <f>VLOOKUP(D1134, County_Data_CZones!$B$2:$F$3236, 5, FALSE)</f>
        <v>Hot-Humid</v>
      </c>
    </row>
    <row r="1135" ht="15.75" customHeight="1">
      <c r="A1135" s="32" t="s">
        <v>132</v>
      </c>
      <c r="B1135" s="32" t="s">
        <v>875</v>
      </c>
      <c r="C1135" s="32" t="str">
        <f>vlookup(B1135,State_EMM_RowSums!$A$2:$B$52,2,FALSE)</f>
        <v>LA</v>
      </c>
      <c r="D1135" s="32">
        <v>22041.0</v>
      </c>
      <c r="E1135" s="33">
        <f>IF(NOT(ISBLANK(vlookup($D1135,Pop_Census_2023!$A$2:$E$3220,4,FALSE))),vlookup($D1135,Pop_Census_2023!$A$2:$E$3220,4,FALSE), vlookup($D1135,Pop_Census_2023!$A$2:$E$3220,5,FALSE))</f>
        <v>19285</v>
      </c>
      <c r="F1135" s="32">
        <v>558557.0</v>
      </c>
      <c r="G1135" s="32">
        <v>86.0</v>
      </c>
      <c r="H1135" s="32" t="str">
        <f>VLOOKUP(D1135, Grid_Region_Mapping!$D$2:$F$5286, 3, FALSE)</f>
        <v>MISS</v>
      </c>
      <c r="I1135" s="32">
        <v>7.0</v>
      </c>
      <c r="J1135" s="34" t="str">
        <f t="shared" si="1"/>
        <v>South</v>
      </c>
      <c r="K1135" s="35">
        <v>5.0</v>
      </c>
      <c r="L1135" s="35" t="s">
        <v>102</v>
      </c>
      <c r="M1135" s="36">
        <f>VLOOKUP(D1135, County_Data_CZones!$B$2:$F$3236, 2, FALSE)</f>
        <v>3</v>
      </c>
      <c r="N1135" s="37" t="str">
        <f>VLOOKUP(D1135, County_Data_CZones!$B$2:$F$3236, 5, FALSE)</f>
        <v>Hot-Humid</v>
      </c>
    </row>
    <row r="1136" ht="15.75" customHeight="1">
      <c r="A1136" s="32" t="s">
        <v>242</v>
      </c>
      <c r="B1136" s="32" t="s">
        <v>875</v>
      </c>
      <c r="C1136" s="32" t="str">
        <f>vlookup(B1136,State_EMM_RowSums!$A$2:$B$52,2,FALSE)</f>
        <v>LA</v>
      </c>
      <c r="D1136" s="32">
        <v>22043.0</v>
      </c>
      <c r="E1136" s="33">
        <f>IF(NOT(ISBLANK(vlookup($D1136,Pop_Census_2023!$A$2:$E$3220,4,FALSE))),vlookup($D1136,Pop_Census_2023!$A$2:$E$3220,4,FALSE), vlookup($D1136,Pop_Census_2023!$A$2:$E$3220,5,FALSE))</f>
        <v>21911</v>
      </c>
      <c r="F1136" s="32">
        <v>558567.0</v>
      </c>
      <c r="G1136" s="32">
        <v>58.0</v>
      </c>
      <c r="H1136" s="32" t="str">
        <f>VLOOKUP(D1136, Grid_Region_Mapping!$D$2:$F$5286, 3, FALSE)</f>
        <v>SPPS</v>
      </c>
      <c r="I1136" s="32">
        <v>7.0</v>
      </c>
      <c r="J1136" s="34" t="str">
        <f t="shared" si="1"/>
        <v>South</v>
      </c>
      <c r="K1136" s="35">
        <v>5.0</v>
      </c>
      <c r="L1136" s="35" t="s">
        <v>102</v>
      </c>
      <c r="M1136" s="36">
        <f>VLOOKUP(D1136, County_Data_CZones!$B$2:$F$3236, 2, FALSE)</f>
        <v>3</v>
      </c>
      <c r="N1136" s="37" t="str">
        <f>VLOOKUP(D1136, County_Data_CZones!$B$2:$F$3236, 5, FALSE)</f>
        <v>Hot-Humid</v>
      </c>
    </row>
    <row r="1137" ht="15.75" customHeight="1">
      <c r="A1137" s="32" t="s">
        <v>893</v>
      </c>
      <c r="B1137" s="32" t="s">
        <v>875</v>
      </c>
      <c r="C1137" s="32" t="str">
        <f>vlookup(B1137,State_EMM_RowSums!$A$2:$B$52,2,FALSE)</f>
        <v>LA</v>
      </c>
      <c r="D1137" s="32">
        <v>22045.0</v>
      </c>
      <c r="E1137" s="33">
        <f>IF(NOT(ISBLANK(vlookup($D1137,Pop_Census_2023!$A$2:$E$3220,4,FALSE))),vlookup($D1137,Pop_Census_2023!$A$2:$E$3220,4,FALSE), vlookup($D1137,Pop_Census_2023!$A$2:$E$3220,5,FALSE))</f>
        <v>67659</v>
      </c>
      <c r="F1137" s="32">
        <v>558576.0</v>
      </c>
      <c r="G1137" s="32">
        <v>58.0</v>
      </c>
      <c r="H1137" s="32" t="str">
        <f>VLOOKUP(D1137, Grid_Region_Mapping!$D$2:$F$5286, 3, FALSE)</f>
        <v>MISS</v>
      </c>
      <c r="I1137" s="32">
        <v>7.0</v>
      </c>
      <c r="J1137" s="34" t="str">
        <f t="shared" si="1"/>
        <v>South</v>
      </c>
      <c r="K1137" s="35">
        <v>5.0</v>
      </c>
      <c r="L1137" s="35" t="s">
        <v>104</v>
      </c>
      <c r="M1137" s="36">
        <f>VLOOKUP(D1137, County_Data_CZones!$B$2:$F$3236, 2, FALSE)</f>
        <v>2</v>
      </c>
      <c r="N1137" s="37" t="str">
        <f>VLOOKUP(D1137, County_Data_CZones!$B$2:$F$3236, 5, FALSE)</f>
        <v>Hot-Humid</v>
      </c>
    </row>
    <row r="1138" ht="15.75" customHeight="1">
      <c r="A1138" s="32" t="s">
        <v>894</v>
      </c>
      <c r="B1138" s="32" t="s">
        <v>875</v>
      </c>
      <c r="C1138" s="32" t="str">
        <f>vlookup(B1138,State_EMM_RowSums!$A$2:$B$52,2,FALSE)</f>
        <v>LA</v>
      </c>
      <c r="D1138" s="32">
        <v>22047.0</v>
      </c>
      <c r="E1138" s="33">
        <f>IF(NOT(ISBLANK(vlookup($D1138,Pop_Census_2023!$A$2:$E$3220,4,FALSE))),vlookup($D1138,Pop_Census_2023!$A$2:$E$3220,4,FALSE), vlookup($D1138,Pop_Census_2023!$A$2:$E$3220,5,FALSE))</f>
        <v>29617</v>
      </c>
      <c r="F1138" s="32">
        <v>558582.0</v>
      </c>
      <c r="G1138" s="32">
        <v>58.0</v>
      </c>
      <c r="H1138" s="32" t="str">
        <f>VLOOKUP(D1138, Grid_Region_Mapping!$D$2:$F$5286, 3, FALSE)</f>
        <v>MISS</v>
      </c>
      <c r="I1138" s="32">
        <v>7.0</v>
      </c>
      <c r="J1138" s="34" t="str">
        <f t="shared" si="1"/>
        <v>South</v>
      </c>
      <c r="K1138" s="35">
        <v>5.0</v>
      </c>
      <c r="L1138" s="35" t="s">
        <v>104</v>
      </c>
      <c r="M1138" s="36">
        <f>VLOOKUP(D1138, County_Data_CZones!$B$2:$F$3236, 2, FALSE)</f>
        <v>2</v>
      </c>
      <c r="N1138" s="37" t="str">
        <f>VLOOKUP(D1138, County_Data_CZones!$B$2:$F$3236, 5, FALSE)</f>
        <v>Hot-Humid</v>
      </c>
    </row>
    <row r="1139" ht="15.75" customHeight="1">
      <c r="A1139" s="32" t="s">
        <v>138</v>
      </c>
      <c r="B1139" s="32" t="s">
        <v>875</v>
      </c>
      <c r="C1139" s="32" t="str">
        <f>vlookup(B1139,State_EMM_RowSums!$A$2:$B$52,2,FALSE)</f>
        <v>LA</v>
      </c>
      <c r="D1139" s="32">
        <v>22049.0</v>
      </c>
      <c r="E1139" s="33">
        <f>IF(NOT(ISBLANK(vlookup($D1139,Pop_Census_2023!$A$2:$E$3220,4,FALSE))),vlookup($D1139,Pop_Census_2023!$A$2:$E$3220,4,FALSE), vlookup($D1139,Pop_Census_2023!$A$2:$E$3220,5,FALSE))</f>
        <v>14746</v>
      </c>
      <c r="F1139" s="32">
        <v>558592.0</v>
      </c>
      <c r="G1139" s="32">
        <v>58.0</v>
      </c>
      <c r="H1139" s="32" t="str">
        <f>VLOOKUP(D1139, Grid_Region_Mapping!$D$2:$F$5286, 3, FALSE)</f>
        <v>SPPS</v>
      </c>
      <c r="I1139" s="32">
        <v>7.0</v>
      </c>
      <c r="J1139" s="34" t="str">
        <f t="shared" si="1"/>
        <v>South</v>
      </c>
      <c r="K1139" s="35">
        <v>5.0</v>
      </c>
      <c r="L1139" s="35" t="s">
        <v>102</v>
      </c>
      <c r="M1139" s="36">
        <f>VLOOKUP(D1139, County_Data_CZones!$B$2:$F$3236, 2, FALSE)</f>
        <v>3</v>
      </c>
      <c r="N1139" s="37" t="str">
        <f>VLOOKUP(D1139, County_Data_CZones!$B$2:$F$3236, 5, FALSE)</f>
        <v>Hot-Humid</v>
      </c>
    </row>
    <row r="1140" ht="15.75" customHeight="1">
      <c r="A1140" s="32" t="s">
        <v>139</v>
      </c>
      <c r="B1140" s="32" t="s">
        <v>875</v>
      </c>
      <c r="C1140" s="32" t="str">
        <f>vlookup(B1140,State_EMM_RowSums!$A$2:$B$52,2,FALSE)</f>
        <v>LA</v>
      </c>
      <c r="D1140" s="32">
        <v>22051.0</v>
      </c>
      <c r="E1140" s="33">
        <f>IF(NOT(ISBLANK(vlookup($D1140,Pop_Census_2023!$A$2:$E$3220,4,FALSE))),vlookup($D1140,Pop_Census_2023!$A$2:$E$3220,4,FALSE), vlookup($D1140,Pop_Census_2023!$A$2:$E$3220,5,FALSE))</f>
        <v>421777</v>
      </c>
      <c r="F1140" s="32">
        <v>558027.0</v>
      </c>
      <c r="G1140" s="32">
        <v>58.0</v>
      </c>
      <c r="H1140" s="32" t="str">
        <f>VLOOKUP(D1140, Grid_Region_Mapping!$D$2:$F$5286, 3, FALSE)</f>
        <v>MISS</v>
      </c>
      <c r="I1140" s="32">
        <v>7.0</v>
      </c>
      <c r="J1140" s="34" t="str">
        <f t="shared" si="1"/>
        <v>South</v>
      </c>
      <c r="K1140" s="35">
        <v>5.0</v>
      </c>
      <c r="L1140" s="35" t="s">
        <v>104</v>
      </c>
      <c r="M1140" s="36">
        <f>VLOOKUP(D1140, County_Data_CZones!$B$2:$F$3236, 2, FALSE)</f>
        <v>2</v>
      </c>
      <c r="N1140" s="37" t="str">
        <f>VLOOKUP(D1140, County_Data_CZones!$B$2:$F$3236, 5, FALSE)</f>
        <v>Hot-Humid</v>
      </c>
    </row>
    <row r="1141" ht="15.75" customHeight="1">
      <c r="A1141" s="32" t="s">
        <v>895</v>
      </c>
      <c r="B1141" s="32" t="s">
        <v>875</v>
      </c>
      <c r="C1141" s="32" t="str">
        <f>vlookup(B1141,State_EMM_RowSums!$A$2:$B$52,2,FALSE)</f>
        <v>LA</v>
      </c>
      <c r="D1141" s="32">
        <v>22053.0</v>
      </c>
      <c r="E1141" s="33">
        <f>IF(NOT(ISBLANK(vlookup($D1141,Pop_Census_2023!$A$2:$E$3220,4,FALSE))),vlookup($D1141,Pop_Census_2023!$A$2:$E$3220,4,FALSE), vlookup($D1141,Pop_Census_2023!$A$2:$E$3220,5,FALSE))</f>
        <v>31553</v>
      </c>
      <c r="F1141" s="32">
        <v>558039.0</v>
      </c>
      <c r="G1141" s="32">
        <v>58.0</v>
      </c>
      <c r="H1141" s="32" t="str">
        <f>VLOOKUP(D1141, Grid_Region_Mapping!$D$2:$F$5286, 3, FALSE)</f>
        <v>MISS</v>
      </c>
      <c r="I1141" s="32">
        <v>7.0</v>
      </c>
      <c r="J1141" s="34" t="str">
        <f t="shared" si="1"/>
        <v>South</v>
      </c>
      <c r="K1141" s="35">
        <v>5.0</v>
      </c>
      <c r="L1141" s="35" t="s">
        <v>104</v>
      </c>
      <c r="M1141" s="36">
        <f>VLOOKUP(D1141, County_Data_CZones!$B$2:$F$3236, 2, FALSE)</f>
        <v>2</v>
      </c>
      <c r="N1141" s="37" t="str">
        <f>VLOOKUP(D1141, County_Data_CZones!$B$2:$F$3236, 5, FALSE)</f>
        <v>Hot-Humid</v>
      </c>
    </row>
    <row r="1142" ht="15.75" customHeight="1">
      <c r="A1142" s="32" t="s">
        <v>249</v>
      </c>
      <c r="B1142" s="32" t="s">
        <v>875</v>
      </c>
      <c r="C1142" s="32" t="str">
        <f>vlookup(B1142,State_EMM_RowSums!$A$2:$B$52,2,FALSE)</f>
        <v>LA</v>
      </c>
      <c r="D1142" s="32">
        <v>22055.0</v>
      </c>
      <c r="E1142" s="33">
        <f>IF(NOT(ISBLANK(vlookup($D1142,Pop_Census_2023!$A$2:$E$3220,4,FALSE))),vlookup($D1142,Pop_Census_2023!$A$2:$E$3220,4,FALSE), vlookup($D1142,Pop_Census_2023!$A$2:$E$3220,5,FALSE))</f>
        <v>249750</v>
      </c>
      <c r="F1142" s="32">
        <v>558059.0</v>
      </c>
      <c r="G1142" s="32">
        <v>58.0</v>
      </c>
      <c r="H1142" s="32" t="str">
        <f>VLOOKUP(D1142, Grid_Region_Mapping!$D$2:$F$5286, 3, FALSE)</f>
        <v>MISS</v>
      </c>
      <c r="I1142" s="32">
        <v>7.0</v>
      </c>
      <c r="J1142" s="34" t="str">
        <f t="shared" si="1"/>
        <v>South</v>
      </c>
      <c r="K1142" s="35">
        <v>5.0</v>
      </c>
      <c r="L1142" s="35" t="s">
        <v>104</v>
      </c>
      <c r="M1142" s="36">
        <f>VLOOKUP(D1142, County_Data_CZones!$B$2:$F$3236, 2, FALSE)</f>
        <v>2</v>
      </c>
      <c r="N1142" s="37" t="str">
        <f>VLOOKUP(D1142, County_Data_CZones!$B$2:$F$3236, 5, FALSE)</f>
        <v>Hot-Humid</v>
      </c>
    </row>
    <row r="1143" ht="15.75" customHeight="1">
      <c r="A1143" s="32" t="s">
        <v>896</v>
      </c>
      <c r="B1143" s="32" t="s">
        <v>875</v>
      </c>
      <c r="C1143" s="32" t="str">
        <f>vlookup(B1143,State_EMM_RowSums!$A$2:$B$52,2,FALSE)</f>
        <v>LA</v>
      </c>
      <c r="D1143" s="32">
        <v>22057.0</v>
      </c>
      <c r="E1143" s="33">
        <f>IF(NOT(ISBLANK(vlookup($D1143,Pop_Census_2023!$A$2:$E$3220,4,FALSE))),vlookup($D1143,Pop_Census_2023!$A$2:$E$3220,4,FALSE), vlookup($D1143,Pop_Census_2023!$A$2:$E$3220,5,FALSE))</f>
        <v>95056</v>
      </c>
      <c r="F1143" s="32">
        <v>558065.0</v>
      </c>
      <c r="G1143" s="32">
        <v>58.0</v>
      </c>
      <c r="H1143" s="32" t="str">
        <f>VLOOKUP(D1143, Grid_Region_Mapping!$D$2:$F$5286, 3, FALSE)</f>
        <v>MISS</v>
      </c>
      <c r="I1143" s="32">
        <v>7.0</v>
      </c>
      <c r="J1143" s="34" t="str">
        <f t="shared" si="1"/>
        <v>South</v>
      </c>
      <c r="K1143" s="35">
        <v>5.0</v>
      </c>
      <c r="L1143" s="35" t="s">
        <v>104</v>
      </c>
      <c r="M1143" s="36">
        <f>VLOOKUP(D1143, County_Data_CZones!$B$2:$F$3236, 2, FALSE)</f>
        <v>2</v>
      </c>
      <c r="N1143" s="37" t="str">
        <f>VLOOKUP(D1143, County_Data_CZones!$B$2:$F$3236, 5, FALSE)</f>
        <v>Hot-Humid</v>
      </c>
    </row>
    <row r="1144" ht="15.75" customHeight="1">
      <c r="A1144" s="32" t="s">
        <v>635</v>
      </c>
      <c r="B1144" s="32" t="s">
        <v>875</v>
      </c>
      <c r="C1144" s="32" t="str">
        <f>vlookup(B1144,State_EMM_RowSums!$A$2:$B$52,2,FALSE)</f>
        <v>LA</v>
      </c>
      <c r="D1144" s="32">
        <v>22059.0</v>
      </c>
      <c r="E1144" s="33">
        <f>IF(NOT(ISBLANK(vlookup($D1144,Pop_Census_2023!$A$2:$E$3220,4,FALSE))),vlookup($D1144,Pop_Census_2023!$A$2:$E$3220,4,FALSE), vlookup($D1144,Pop_Census_2023!$A$2:$E$3220,5,FALSE))</f>
        <v>14800</v>
      </c>
      <c r="F1144" s="32">
        <v>558049.0</v>
      </c>
      <c r="G1144" s="32">
        <v>58.0</v>
      </c>
      <c r="H1144" s="32" t="str">
        <f>VLOOKUP(D1144, Grid_Region_Mapping!$D$2:$F$5286, 3, FALSE)</f>
        <v>SPPS</v>
      </c>
      <c r="I1144" s="32">
        <v>7.0</v>
      </c>
      <c r="J1144" s="34" t="str">
        <f t="shared" si="1"/>
        <v>South</v>
      </c>
      <c r="K1144" s="35">
        <v>5.0</v>
      </c>
      <c r="L1144" s="35" t="s">
        <v>102</v>
      </c>
      <c r="M1144" s="36">
        <f>VLOOKUP(D1144, County_Data_CZones!$B$2:$F$3236, 2, FALSE)</f>
        <v>3</v>
      </c>
      <c r="N1144" s="37" t="str">
        <f>VLOOKUP(D1144, County_Data_CZones!$B$2:$F$3236, 5, FALSE)</f>
        <v>Hot-Humid</v>
      </c>
    </row>
    <row r="1145" ht="15.75" customHeight="1">
      <c r="A1145" s="32" t="s">
        <v>250</v>
      </c>
      <c r="B1145" s="32" t="s">
        <v>875</v>
      </c>
      <c r="C1145" s="32" t="str">
        <f>vlookup(B1145,State_EMM_RowSums!$A$2:$B$52,2,FALSE)</f>
        <v>LA</v>
      </c>
      <c r="D1145" s="32">
        <v>22061.0</v>
      </c>
      <c r="E1145" s="33">
        <f>IF(NOT(ISBLANK(vlookup($D1145,Pop_Census_2023!$A$2:$E$3220,4,FALSE))),vlookup($D1145,Pop_Census_2023!$A$2:$E$3220,4,FALSE), vlookup($D1145,Pop_Census_2023!$A$2:$E$3220,5,FALSE))</f>
        <v>47962</v>
      </c>
      <c r="F1145" s="32">
        <v>558077.0</v>
      </c>
      <c r="G1145" s="32">
        <v>86.0</v>
      </c>
      <c r="H1145" s="32" t="str">
        <f>VLOOKUP(D1145, Grid_Region_Mapping!$D$2:$F$5286, 3, FALSE)</f>
        <v>MISS</v>
      </c>
      <c r="I1145" s="32">
        <v>7.0</v>
      </c>
      <c r="J1145" s="34" t="str">
        <f t="shared" si="1"/>
        <v>South</v>
      </c>
      <c r="K1145" s="35">
        <v>5.0</v>
      </c>
      <c r="L1145" s="35" t="s">
        <v>102</v>
      </c>
      <c r="M1145" s="36">
        <f>VLOOKUP(D1145, County_Data_CZones!$B$2:$F$3236, 2, FALSE)</f>
        <v>3</v>
      </c>
      <c r="N1145" s="37" t="str">
        <f>VLOOKUP(D1145, County_Data_CZones!$B$2:$F$3236, 5, FALSE)</f>
        <v>Hot-Humid</v>
      </c>
    </row>
    <row r="1146" ht="15.75" customHeight="1">
      <c r="A1146" s="32" t="s">
        <v>636</v>
      </c>
      <c r="B1146" s="32" t="s">
        <v>875</v>
      </c>
      <c r="C1146" s="32" t="str">
        <f>vlookup(B1146,State_EMM_RowSums!$A$2:$B$52,2,FALSE)</f>
        <v>LA</v>
      </c>
      <c r="D1146" s="32">
        <v>22063.0</v>
      </c>
      <c r="E1146" s="33">
        <f>IF(NOT(ISBLANK(vlookup($D1146,Pop_Census_2023!$A$2:$E$3220,4,FALSE))),vlookup($D1146,Pop_Census_2023!$A$2:$E$3220,4,FALSE), vlookup($D1146,Pop_Census_2023!$A$2:$E$3220,5,FALSE))</f>
        <v>150145</v>
      </c>
      <c r="F1146" s="32">
        <v>558083.0</v>
      </c>
      <c r="G1146" s="32">
        <v>58.0</v>
      </c>
      <c r="H1146" s="32" t="str">
        <f>VLOOKUP(D1146, Grid_Region_Mapping!$D$2:$F$5286, 3, FALSE)</f>
        <v>MISS</v>
      </c>
      <c r="I1146" s="32">
        <v>7.0</v>
      </c>
      <c r="J1146" s="34" t="str">
        <f t="shared" si="1"/>
        <v>South</v>
      </c>
      <c r="K1146" s="35">
        <v>5.0</v>
      </c>
      <c r="L1146" s="35" t="s">
        <v>104</v>
      </c>
      <c r="M1146" s="36">
        <f>VLOOKUP(D1146, County_Data_CZones!$B$2:$F$3236, 2, FALSE)</f>
        <v>2</v>
      </c>
      <c r="N1146" s="37" t="str">
        <f>VLOOKUP(D1146, County_Data_CZones!$B$2:$F$3236, 5, FALSE)</f>
        <v>Hot-Humid</v>
      </c>
    </row>
    <row r="1147" ht="15.75" customHeight="1">
      <c r="A1147" s="32" t="s">
        <v>147</v>
      </c>
      <c r="B1147" s="32" t="s">
        <v>875</v>
      </c>
      <c r="C1147" s="32" t="str">
        <f>vlookup(B1147,State_EMM_RowSums!$A$2:$B$52,2,FALSE)</f>
        <v>LA</v>
      </c>
      <c r="D1147" s="32">
        <v>22065.0</v>
      </c>
      <c r="E1147" s="33">
        <f>IF(NOT(ISBLANK(vlookup($D1147,Pop_Census_2023!$A$2:$E$3220,4,FALSE))),vlookup($D1147,Pop_Census_2023!$A$2:$E$3220,4,FALSE), vlookup($D1147,Pop_Census_2023!$A$2:$E$3220,5,FALSE))</f>
        <v>9246</v>
      </c>
      <c r="F1147" s="32">
        <v>558088.0</v>
      </c>
      <c r="G1147" s="32">
        <v>86.0</v>
      </c>
      <c r="H1147" s="32" t="str">
        <f>VLOOKUP(D1147, Grid_Region_Mapping!$D$2:$F$5286, 3, FALSE)</f>
        <v>MISS</v>
      </c>
      <c r="I1147" s="32">
        <v>7.0</v>
      </c>
      <c r="J1147" s="34" t="str">
        <f t="shared" si="1"/>
        <v>South</v>
      </c>
      <c r="K1147" s="35">
        <v>5.0</v>
      </c>
      <c r="L1147" s="35" t="s">
        <v>102</v>
      </c>
      <c r="M1147" s="36">
        <f>VLOOKUP(D1147, County_Data_CZones!$B$2:$F$3236, 2, FALSE)</f>
        <v>3</v>
      </c>
      <c r="N1147" s="37" t="str">
        <f>VLOOKUP(D1147, County_Data_CZones!$B$2:$F$3236, 5, FALSE)</f>
        <v>Hot-Humid</v>
      </c>
    </row>
    <row r="1148" ht="15.75" customHeight="1">
      <c r="A1148" s="32" t="s">
        <v>897</v>
      </c>
      <c r="B1148" s="32" t="s">
        <v>875</v>
      </c>
      <c r="C1148" s="32" t="str">
        <f>vlookup(B1148,State_EMM_RowSums!$A$2:$B$52,2,FALSE)</f>
        <v>LA</v>
      </c>
      <c r="D1148" s="32">
        <v>22067.0</v>
      </c>
      <c r="E1148" s="33">
        <f>IF(NOT(ISBLANK(vlookup($D1148,Pop_Census_2023!$A$2:$E$3220,4,FALSE))),vlookup($D1148,Pop_Census_2023!$A$2:$E$3220,4,FALSE), vlookup($D1148,Pop_Census_2023!$A$2:$E$3220,5,FALSE))</f>
        <v>23955</v>
      </c>
      <c r="F1148" s="32">
        <v>558097.0</v>
      </c>
      <c r="G1148" s="32">
        <v>86.0</v>
      </c>
      <c r="H1148" s="32" t="str">
        <f>VLOOKUP(D1148, Grid_Region_Mapping!$D$2:$F$5286, 3, FALSE)</f>
        <v>MISS</v>
      </c>
      <c r="I1148" s="32">
        <v>7.0</v>
      </c>
      <c r="J1148" s="34" t="str">
        <f t="shared" si="1"/>
        <v>South</v>
      </c>
      <c r="K1148" s="35">
        <v>5.0</v>
      </c>
      <c r="L1148" s="35" t="s">
        <v>102</v>
      </c>
      <c r="M1148" s="36">
        <f>VLOOKUP(D1148, County_Data_CZones!$B$2:$F$3236, 2, FALSE)</f>
        <v>3</v>
      </c>
      <c r="N1148" s="37" t="str">
        <f>VLOOKUP(D1148, County_Data_CZones!$B$2:$F$3236, 5, FALSE)</f>
        <v>Mixed-Humid</v>
      </c>
    </row>
    <row r="1149" ht="15.75" customHeight="1">
      <c r="A1149" s="32" t="s">
        <v>898</v>
      </c>
      <c r="B1149" s="32" t="s">
        <v>875</v>
      </c>
      <c r="C1149" s="32" t="str">
        <f>vlookup(B1149,State_EMM_RowSums!$A$2:$B$52,2,FALSE)</f>
        <v>LA</v>
      </c>
      <c r="D1149" s="32">
        <v>22069.0</v>
      </c>
      <c r="E1149" s="33">
        <f>IF(NOT(ISBLANK(vlookup($D1149,Pop_Census_2023!$A$2:$E$3220,4,FALSE))),vlookup($D1149,Pop_Census_2023!$A$2:$E$3220,4,FALSE), vlookup($D1149,Pop_Census_2023!$A$2:$E$3220,5,FALSE))</f>
        <v>36291</v>
      </c>
      <c r="F1149" s="32">
        <v>558108.0</v>
      </c>
      <c r="G1149" s="32">
        <v>58.0</v>
      </c>
      <c r="H1149" s="32" t="str">
        <f>VLOOKUP(D1149, Grid_Region_Mapping!$D$2:$F$5286, 3, FALSE)</f>
        <v>SPPS</v>
      </c>
      <c r="I1149" s="32">
        <v>7.0</v>
      </c>
      <c r="J1149" s="34" t="str">
        <f t="shared" si="1"/>
        <v>South</v>
      </c>
      <c r="K1149" s="35">
        <v>5.0</v>
      </c>
      <c r="L1149" s="35" t="s">
        <v>102</v>
      </c>
      <c r="M1149" s="36">
        <f>VLOOKUP(D1149, County_Data_CZones!$B$2:$F$3236, 2, FALSE)</f>
        <v>3</v>
      </c>
      <c r="N1149" s="37" t="str">
        <f>VLOOKUP(D1149, County_Data_CZones!$B$2:$F$3236, 5, FALSE)</f>
        <v>Hot-Humid</v>
      </c>
    </row>
    <row r="1150" ht="15.75" customHeight="1">
      <c r="A1150" s="32" t="s">
        <v>899</v>
      </c>
      <c r="B1150" s="32" t="s">
        <v>875</v>
      </c>
      <c r="C1150" s="32" t="str">
        <f>vlookup(B1150,State_EMM_RowSums!$A$2:$B$52,2,FALSE)</f>
        <v>LA</v>
      </c>
      <c r="D1150" s="32">
        <v>22071.0</v>
      </c>
      <c r="E1150" s="33">
        <f>IF(NOT(ISBLANK(vlookup($D1150,Pop_Census_2023!$A$2:$E$3220,4,FALSE))),vlookup($D1150,Pop_Census_2023!$A$2:$E$3220,4,FALSE), vlookup($D1150,Pop_Census_2023!$A$2:$E$3220,5,FALSE))</f>
        <v>364136</v>
      </c>
      <c r="F1150" s="32">
        <v>558113.0</v>
      </c>
      <c r="G1150" s="32">
        <v>58.0</v>
      </c>
      <c r="H1150" s="32" t="str">
        <f>VLOOKUP(D1150, Grid_Region_Mapping!$D$2:$F$5286, 3, FALSE)</f>
        <v>MISS</v>
      </c>
      <c r="I1150" s="32">
        <v>7.0</v>
      </c>
      <c r="J1150" s="34" t="str">
        <f t="shared" si="1"/>
        <v>South</v>
      </c>
      <c r="K1150" s="35">
        <v>5.0</v>
      </c>
      <c r="L1150" s="35" t="s">
        <v>104</v>
      </c>
      <c r="M1150" s="36">
        <f>VLOOKUP(D1150, County_Data_CZones!$B$2:$F$3236, 2, FALSE)</f>
        <v>2</v>
      </c>
      <c r="N1150" s="37" t="str">
        <f>VLOOKUP(D1150, County_Data_CZones!$B$2:$F$3236, 5, FALSE)</f>
        <v>Hot-Humid</v>
      </c>
    </row>
    <row r="1151" ht="15.75" customHeight="1">
      <c r="A1151" s="32" t="s">
        <v>258</v>
      </c>
      <c r="B1151" s="32" t="s">
        <v>875</v>
      </c>
      <c r="C1151" s="32" t="str">
        <f>vlookup(B1151,State_EMM_RowSums!$A$2:$B$52,2,FALSE)</f>
        <v>LA</v>
      </c>
      <c r="D1151" s="32">
        <v>22073.0</v>
      </c>
      <c r="E1151" s="33">
        <f>IF(NOT(ISBLANK(vlookup($D1151,Pop_Census_2023!$A$2:$E$3220,4,FALSE))),vlookup($D1151,Pop_Census_2023!$A$2:$E$3220,4,FALSE), vlookup($D1151,Pop_Census_2023!$A$2:$E$3220,5,FALSE))</f>
        <v>157568</v>
      </c>
      <c r="F1151" s="32">
        <v>558114.0</v>
      </c>
      <c r="G1151" s="32">
        <v>86.0</v>
      </c>
      <c r="H1151" s="32" t="str">
        <f>VLOOKUP(D1151, Grid_Region_Mapping!$D$2:$F$5286, 3, FALSE)</f>
        <v>MISS</v>
      </c>
      <c r="I1151" s="32">
        <v>7.0</v>
      </c>
      <c r="J1151" s="34" t="str">
        <f t="shared" si="1"/>
        <v>South</v>
      </c>
      <c r="K1151" s="35">
        <v>5.0</v>
      </c>
      <c r="L1151" s="35" t="s">
        <v>102</v>
      </c>
      <c r="M1151" s="36">
        <f>VLOOKUP(D1151, County_Data_CZones!$B$2:$F$3236, 2, FALSE)</f>
        <v>3</v>
      </c>
      <c r="N1151" s="37" t="str">
        <f>VLOOKUP(D1151, County_Data_CZones!$B$2:$F$3236, 5, FALSE)</f>
        <v>Hot-Humid</v>
      </c>
    </row>
    <row r="1152" ht="15.75" customHeight="1">
      <c r="A1152" s="32" t="s">
        <v>900</v>
      </c>
      <c r="B1152" s="32" t="s">
        <v>875</v>
      </c>
      <c r="C1152" s="32" t="str">
        <f>vlookup(B1152,State_EMM_RowSums!$A$2:$B$52,2,FALSE)</f>
        <v>LA</v>
      </c>
      <c r="D1152" s="32">
        <v>22075.0</v>
      </c>
      <c r="E1152" s="33">
        <f>IF(NOT(ISBLANK(vlookup($D1152,Pop_Census_2023!$A$2:$E$3220,4,FALSE))),vlookup($D1152,Pop_Census_2023!$A$2:$E$3220,4,FALSE), vlookup($D1152,Pop_Census_2023!$A$2:$E$3220,5,FALSE))</f>
        <v>22386</v>
      </c>
      <c r="F1152" s="32">
        <v>558125.0</v>
      </c>
      <c r="G1152" s="32">
        <v>58.0</v>
      </c>
      <c r="H1152" s="32" t="str">
        <f>VLOOKUP(D1152, Grid_Region_Mapping!$D$2:$F$5286, 3, FALSE)</f>
        <v>MISS</v>
      </c>
      <c r="I1152" s="32">
        <v>7.0</v>
      </c>
      <c r="J1152" s="34" t="str">
        <f t="shared" si="1"/>
        <v>South</v>
      </c>
      <c r="K1152" s="35">
        <v>5.0</v>
      </c>
      <c r="L1152" s="35" t="s">
        <v>104</v>
      </c>
      <c r="M1152" s="36">
        <f>VLOOKUP(D1152, County_Data_CZones!$B$2:$F$3236, 2, FALSE)</f>
        <v>2</v>
      </c>
      <c r="N1152" s="37" t="str">
        <f>VLOOKUP(D1152, County_Data_CZones!$B$2:$F$3236, 5, FALSE)</f>
        <v>Hot-Humid</v>
      </c>
    </row>
    <row r="1153" ht="15.75" customHeight="1">
      <c r="A1153" s="32" t="s">
        <v>901</v>
      </c>
      <c r="B1153" s="32" t="s">
        <v>875</v>
      </c>
      <c r="C1153" s="32" t="str">
        <f>vlookup(B1153,State_EMM_RowSums!$A$2:$B$52,2,FALSE)</f>
        <v>LA</v>
      </c>
      <c r="D1153" s="32">
        <v>22077.0</v>
      </c>
      <c r="E1153" s="33">
        <f>IF(NOT(ISBLANK(vlookup($D1153,Pop_Census_2023!$A$2:$E$3220,4,FALSE))),vlookup($D1153,Pop_Census_2023!$A$2:$E$3220,4,FALSE), vlookup($D1153,Pop_Census_2023!$A$2:$E$3220,5,FALSE))</f>
        <v>20000</v>
      </c>
      <c r="F1153" s="32">
        <v>559449.0</v>
      </c>
      <c r="G1153" s="32">
        <v>58.0</v>
      </c>
      <c r="H1153" s="32" t="str">
        <f>VLOOKUP(D1153, Grid_Region_Mapping!$D$2:$F$5286, 3, FALSE)</f>
        <v>MISS</v>
      </c>
      <c r="I1153" s="32">
        <v>7.0</v>
      </c>
      <c r="J1153" s="34" t="str">
        <f t="shared" si="1"/>
        <v>South</v>
      </c>
      <c r="K1153" s="35">
        <v>5.0</v>
      </c>
      <c r="L1153" s="35" t="s">
        <v>104</v>
      </c>
      <c r="M1153" s="36">
        <f>VLOOKUP(D1153, County_Data_CZones!$B$2:$F$3236, 2, FALSE)</f>
        <v>2</v>
      </c>
      <c r="N1153" s="37" t="str">
        <f>VLOOKUP(D1153, County_Data_CZones!$B$2:$F$3236, 5, FALSE)</f>
        <v>Hot-Humid</v>
      </c>
    </row>
    <row r="1154" ht="15.75" customHeight="1">
      <c r="A1154" s="32" t="s">
        <v>902</v>
      </c>
      <c r="B1154" s="32" t="s">
        <v>875</v>
      </c>
      <c r="C1154" s="32" t="str">
        <f>vlookup(B1154,State_EMM_RowSums!$A$2:$B$52,2,FALSE)</f>
        <v>LA</v>
      </c>
      <c r="D1154" s="32">
        <v>22079.0</v>
      </c>
      <c r="E1154" s="33">
        <f>IF(NOT(ISBLANK(vlookup($D1154,Pop_Census_2023!$A$2:$E$3220,4,FALSE))),vlookup($D1154,Pop_Census_2023!$A$2:$E$3220,4,FALSE), vlookup($D1154,Pop_Census_2023!$A$2:$E$3220,5,FALSE))</f>
        <v>126260</v>
      </c>
      <c r="F1154" s="32">
        <v>559460.0</v>
      </c>
      <c r="G1154" s="32">
        <v>58.0</v>
      </c>
      <c r="H1154" s="32" t="str">
        <f>VLOOKUP(D1154, Grid_Region_Mapping!$D$2:$F$5286, 3, FALSE)</f>
        <v>SPPS</v>
      </c>
      <c r="I1154" s="32">
        <v>7.0</v>
      </c>
      <c r="J1154" s="34" t="str">
        <f t="shared" si="1"/>
        <v>South</v>
      </c>
      <c r="K1154" s="35">
        <v>5.0</v>
      </c>
      <c r="L1154" s="35" t="s">
        <v>104</v>
      </c>
      <c r="M1154" s="36">
        <f>VLOOKUP(D1154, County_Data_CZones!$B$2:$F$3236, 2, FALSE)</f>
        <v>2</v>
      </c>
      <c r="N1154" s="37" t="str">
        <f>VLOOKUP(D1154, County_Data_CZones!$B$2:$F$3236, 5, FALSE)</f>
        <v>Hot-Humid</v>
      </c>
    </row>
    <row r="1155" ht="15.75" customHeight="1">
      <c r="A1155" s="32" t="s">
        <v>903</v>
      </c>
      <c r="B1155" s="32" t="s">
        <v>875</v>
      </c>
      <c r="C1155" s="32" t="str">
        <f>vlookup(B1155,State_EMM_RowSums!$A$2:$B$52,2,FALSE)</f>
        <v>LA</v>
      </c>
      <c r="D1155" s="32">
        <v>22081.0</v>
      </c>
      <c r="E1155" s="33">
        <f>IF(NOT(ISBLANK(vlookup($D1155,Pop_Census_2023!$A$2:$E$3220,4,FALSE))),vlookup($D1155,Pop_Census_2023!$A$2:$E$3220,4,FALSE), vlookup($D1155,Pop_Census_2023!$A$2:$E$3220,5,FALSE))</f>
        <v>7356</v>
      </c>
      <c r="F1155" s="32">
        <v>559472.0</v>
      </c>
      <c r="G1155" s="32">
        <v>58.0</v>
      </c>
      <c r="H1155" s="32" t="str">
        <f>VLOOKUP(D1155, Grid_Region_Mapping!$D$2:$F$5286, 3, FALSE)</f>
        <v>SPPS</v>
      </c>
      <c r="I1155" s="32">
        <v>7.0</v>
      </c>
      <c r="J1155" s="34" t="str">
        <f t="shared" si="1"/>
        <v>South</v>
      </c>
      <c r="K1155" s="35">
        <v>5.0</v>
      </c>
      <c r="L1155" s="35" t="s">
        <v>102</v>
      </c>
      <c r="M1155" s="36">
        <f>VLOOKUP(D1155, County_Data_CZones!$B$2:$F$3236, 2, FALSE)</f>
        <v>3</v>
      </c>
      <c r="N1155" s="37" t="str">
        <f>VLOOKUP(D1155, County_Data_CZones!$B$2:$F$3236, 5, FALSE)</f>
        <v>Hot-Humid</v>
      </c>
    </row>
    <row r="1156" ht="15.75" customHeight="1">
      <c r="A1156" s="32" t="s">
        <v>649</v>
      </c>
      <c r="B1156" s="32" t="s">
        <v>875</v>
      </c>
      <c r="C1156" s="32" t="str">
        <f>vlookup(B1156,State_EMM_RowSums!$A$2:$B$52,2,FALSE)</f>
        <v>LA</v>
      </c>
      <c r="D1156" s="32">
        <v>22083.0</v>
      </c>
      <c r="E1156" s="33">
        <f>IF(NOT(ISBLANK(vlookup($D1156,Pop_Census_2023!$A$2:$E$3220,4,FALSE))),vlookup($D1156,Pop_Census_2023!$A$2:$E$3220,4,FALSE), vlookup($D1156,Pop_Census_2023!$A$2:$E$3220,5,FALSE))</f>
        <v>19712</v>
      </c>
      <c r="F1156" s="32">
        <v>559481.0</v>
      </c>
      <c r="G1156" s="32">
        <v>86.0</v>
      </c>
      <c r="H1156" s="32" t="str">
        <f>VLOOKUP(D1156, Grid_Region_Mapping!$D$2:$F$5286, 3, FALSE)</f>
        <v>MISS</v>
      </c>
      <c r="I1156" s="32">
        <v>7.0</v>
      </c>
      <c r="J1156" s="34" t="str">
        <f t="shared" si="1"/>
        <v>South</v>
      </c>
      <c r="K1156" s="35">
        <v>5.0</v>
      </c>
      <c r="L1156" s="35" t="s">
        <v>102</v>
      </c>
      <c r="M1156" s="36">
        <f>VLOOKUP(D1156, County_Data_CZones!$B$2:$F$3236, 2, FALSE)</f>
        <v>3</v>
      </c>
      <c r="N1156" s="37" t="str">
        <f>VLOOKUP(D1156, County_Data_CZones!$B$2:$F$3236, 5, FALSE)</f>
        <v>Hot-Humid</v>
      </c>
    </row>
    <row r="1157" ht="15.75" customHeight="1">
      <c r="A1157" s="32" t="s">
        <v>904</v>
      </c>
      <c r="B1157" s="32" t="s">
        <v>875</v>
      </c>
      <c r="C1157" s="32" t="str">
        <f>vlookup(B1157,State_EMM_RowSums!$A$2:$B$52,2,FALSE)</f>
        <v>LA</v>
      </c>
      <c r="D1157" s="32">
        <v>22085.0</v>
      </c>
      <c r="E1157" s="33">
        <f>IF(NOT(ISBLANK(vlookup($D1157,Pop_Census_2023!$A$2:$E$3220,4,FALSE))),vlookup($D1157,Pop_Census_2023!$A$2:$E$3220,4,FALSE), vlookup($D1157,Pop_Census_2023!$A$2:$E$3220,5,FALSE))</f>
        <v>21906</v>
      </c>
      <c r="F1157" s="32">
        <v>559489.0</v>
      </c>
      <c r="G1157" s="32">
        <v>58.0</v>
      </c>
      <c r="H1157" s="32" t="str">
        <f>VLOOKUP(D1157, Grid_Region_Mapping!$D$2:$F$5286, 3, FALSE)</f>
        <v>SPPS</v>
      </c>
      <c r="I1157" s="32">
        <v>7.0</v>
      </c>
      <c r="J1157" s="34" t="str">
        <f t="shared" si="1"/>
        <v>South</v>
      </c>
      <c r="K1157" s="35">
        <v>5.0</v>
      </c>
      <c r="L1157" s="35" t="s">
        <v>102</v>
      </c>
      <c r="M1157" s="36">
        <f>VLOOKUP(D1157, County_Data_CZones!$B$2:$F$3236, 2, FALSE)</f>
        <v>3</v>
      </c>
      <c r="N1157" s="37" t="str">
        <f>VLOOKUP(D1157, County_Data_CZones!$B$2:$F$3236, 5, FALSE)</f>
        <v>Hot-Humid</v>
      </c>
    </row>
    <row r="1158" ht="15.75" customHeight="1">
      <c r="A1158" s="32" t="s">
        <v>905</v>
      </c>
      <c r="B1158" s="32" t="s">
        <v>875</v>
      </c>
      <c r="C1158" s="32" t="str">
        <f>vlookup(B1158,State_EMM_RowSums!$A$2:$B$52,2,FALSE)</f>
        <v>LA</v>
      </c>
      <c r="D1158" s="32">
        <v>22087.0</v>
      </c>
      <c r="E1158" s="33">
        <f>IF(NOT(ISBLANK(vlookup($D1158,Pop_Census_2023!$A$2:$E$3220,4,FALSE))),vlookup($D1158,Pop_Census_2023!$A$2:$E$3220,4,FALSE), vlookup($D1158,Pop_Census_2023!$A$2:$E$3220,5,FALSE))</f>
        <v>44463</v>
      </c>
      <c r="F1158" s="32">
        <v>1629542.0</v>
      </c>
      <c r="G1158" s="32">
        <v>58.0</v>
      </c>
      <c r="H1158" s="32" t="str">
        <f>VLOOKUP(D1158, Grid_Region_Mapping!$D$2:$F$5286, 3, FALSE)</f>
        <v>MISS</v>
      </c>
      <c r="I1158" s="32">
        <v>7.0</v>
      </c>
      <c r="J1158" s="34" t="str">
        <f t="shared" si="1"/>
        <v>South</v>
      </c>
      <c r="K1158" s="35">
        <v>5.0</v>
      </c>
      <c r="L1158" s="35" t="s">
        <v>104</v>
      </c>
      <c r="M1158" s="36">
        <f>VLOOKUP(D1158, County_Data_CZones!$B$2:$F$3236, 2, FALSE)</f>
        <v>2</v>
      </c>
      <c r="N1158" s="37" t="str">
        <f>VLOOKUP(D1158, County_Data_CZones!$B$2:$F$3236, 5, FALSE)</f>
        <v>Hot-Humid</v>
      </c>
    </row>
    <row r="1159" ht="15.75" customHeight="1">
      <c r="A1159" s="32" t="s">
        <v>906</v>
      </c>
      <c r="B1159" s="32" t="s">
        <v>875</v>
      </c>
      <c r="C1159" s="32" t="str">
        <f>vlookup(B1159,State_EMM_RowSums!$A$2:$B$52,2,FALSE)</f>
        <v>LA</v>
      </c>
      <c r="D1159" s="32">
        <v>22089.0</v>
      </c>
      <c r="E1159" s="33">
        <f>IF(NOT(ISBLANK(vlookup($D1159,Pop_Census_2023!$A$2:$E$3220,4,FALSE))),vlookup($D1159,Pop_Census_2023!$A$2:$E$3220,4,FALSE), vlookup($D1159,Pop_Census_2023!$A$2:$E$3220,5,FALSE))</f>
        <v>50620</v>
      </c>
      <c r="F1159" s="32">
        <v>1629449.0</v>
      </c>
      <c r="G1159" s="32">
        <v>58.0</v>
      </c>
      <c r="H1159" s="32" t="str">
        <f>VLOOKUP(D1159, Grid_Region_Mapping!$D$2:$F$5286, 3, FALSE)</f>
        <v>MISS</v>
      </c>
      <c r="I1159" s="32">
        <v>7.0</v>
      </c>
      <c r="J1159" s="34" t="str">
        <f t="shared" si="1"/>
        <v>South</v>
      </c>
      <c r="K1159" s="35">
        <v>5.0</v>
      </c>
      <c r="L1159" s="35" t="s">
        <v>104</v>
      </c>
      <c r="M1159" s="36">
        <f>VLOOKUP(D1159, County_Data_CZones!$B$2:$F$3236, 2, FALSE)</f>
        <v>2</v>
      </c>
      <c r="N1159" s="37" t="str">
        <f>VLOOKUP(D1159, County_Data_CZones!$B$2:$F$3236, 5, FALSE)</f>
        <v>Hot-Humid</v>
      </c>
    </row>
    <row r="1160" ht="15.75" customHeight="1">
      <c r="A1160" s="32" t="s">
        <v>907</v>
      </c>
      <c r="B1160" s="32" t="s">
        <v>875</v>
      </c>
      <c r="C1160" s="32" t="str">
        <f>vlookup(B1160,State_EMM_RowSums!$A$2:$B$52,2,FALSE)</f>
        <v>LA</v>
      </c>
      <c r="D1160" s="32">
        <v>22091.0</v>
      </c>
      <c r="E1160" s="33">
        <f>IF(NOT(ISBLANK(vlookup($D1160,Pop_Census_2023!$A$2:$E$3220,4,FALSE))),vlookup($D1160,Pop_Census_2023!$A$2:$E$3220,4,FALSE), vlookup($D1160,Pop_Census_2023!$A$2:$E$3220,5,FALSE))</f>
        <v>10774</v>
      </c>
      <c r="F1160" s="32">
        <v>1629457.0</v>
      </c>
      <c r="G1160" s="32">
        <v>58.0</v>
      </c>
      <c r="H1160" s="32" t="str">
        <f>VLOOKUP(D1160, Grid_Region_Mapping!$D$2:$F$5286, 3, FALSE)</f>
        <v>MISS</v>
      </c>
      <c r="I1160" s="32">
        <v>7.0</v>
      </c>
      <c r="J1160" s="34" t="str">
        <f t="shared" si="1"/>
        <v>South</v>
      </c>
      <c r="K1160" s="35">
        <v>5.0</v>
      </c>
      <c r="L1160" s="35" t="s">
        <v>104</v>
      </c>
      <c r="M1160" s="36">
        <f>VLOOKUP(D1160, County_Data_CZones!$B$2:$F$3236, 2, FALSE)</f>
        <v>2</v>
      </c>
      <c r="N1160" s="37" t="str">
        <f>VLOOKUP(D1160, County_Data_CZones!$B$2:$F$3236, 5, FALSE)</f>
        <v>Hot-Humid</v>
      </c>
    </row>
    <row r="1161" ht="15.75" customHeight="1">
      <c r="A1161" s="32" t="s">
        <v>908</v>
      </c>
      <c r="B1161" s="32" t="s">
        <v>875</v>
      </c>
      <c r="C1161" s="32" t="str">
        <f>vlookup(B1161,State_EMM_RowSums!$A$2:$B$52,2,FALSE)</f>
        <v>LA</v>
      </c>
      <c r="D1161" s="32">
        <v>22093.0</v>
      </c>
      <c r="E1161" s="33">
        <f>IF(NOT(ISBLANK(vlookup($D1161,Pop_Census_2023!$A$2:$E$3220,4,FALSE))),vlookup($D1161,Pop_Census_2023!$A$2:$E$3220,4,FALSE), vlookup($D1161,Pop_Census_2023!$A$2:$E$3220,5,FALSE))</f>
        <v>19191</v>
      </c>
      <c r="F1161" s="32">
        <v>1629464.0</v>
      </c>
      <c r="G1161" s="32">
        <v>58.0</v>
      </c>
      <c r="H1161" s="32" t="str">
        <f>VLOOKUP(D1161, Grid_Region_Mapping!$D$2:$F$5286, 3, FALSE)</f>
        <v>MISS</v>
      </c>
      <c r="I1161" s="32">
        <v>7.0</v>
      </c>
      <c r="J1161" s="34" t="str">
        <f t="shared" si="1"/>
        <v>South</v>
      </c>
      <c r="K1161" s="35">
        <v>5.0</v>
      </c>
      <c r="L1161" s="35" t="s">
        <v>104</v>
      </c>
      <c r="M1161" s="36">
        <f>VLOOKUP(D1161, County_Data_CZones!$B$2:$F$3236, 2, FALSE)</f>
        <v>2</v>
      </c>
      <c r="N1161" s="37" t="str">
        <f>VLOOKUP(D1161, County_Data_CZones!$B$2:$F$3236, 5, FALSE)</f>
        <v>Hot-Humid</v>
      </c>
    </row>
    <row r="1162" ht="15.75" customHeight="1">
      <c r="A1162" s="32" t="s">
        <v>909</v>
      </c>
      <c r="B1162" s="32" t="s">
        <v>875</v>
      </c>
      <c r="C1162" s="32" t="str">
        <f>vlookup(B1162,State_EMM_RowSums!$A$2:$B$52,2,FALSE)</f>
        <v>LA</v>
      </c>
      <c r="D1162" s="32">
        <v>22095.0</v>
      </c>
      <c r="E1162" s="33">
        <f>IF(NOT(ISBLANK(vlookup($D1162,Pop_Census_2023!$A$2:$E$3220,4,FALSE))),vlookup($D1162,Pop_Census_2023!$A$2:$E$3220,4,FALSE), vlookup($D1162,Pop_Census_2023!$A$2:$E$3220,5,FALSE))</f>
        <v>39592</v>
      </c>
      <c r="F1162" s="32">
        <v>1629472.0</v>
      </c>
      <c r="G1162" s="32">
        <v>58.0</v>
      </c>
      <c r="H1162" s="32" t="str">
        <f>VLOOKUP(D1162, Grid_Region_Mapping!$D$2:$F$5286, 3, FALSE)</f>
        <v>MISS</v>
      </c>
      <c r="I1162" s="32">
        <v>7.0</v>
      </c>
      <c r="J1162" s="34" t="str">
        <f t="shared" si="1"/>
        <v>South</v>
      </c>
      <c r="K1162" s="35">
        <v>5.0</v>
      </c>
      <c r="L1162" s="35" t="s">
        <v>104</v>
      </c>
      <c r="M1162" s="36">
        <f>VLOOKUP(D1162, County_Data_CZones!$B$2:$F$3236, 2, FALSE)</f>
        <v>2</v>
      </c>
      <c r="N1162" s="37" t="str">
        <f>VLOOKUP(D1162, County_Data_CZones!$B$2:$F$3236, 5, FALSE)</f>
        <v>Hot-Humid</v>
      </c>
    </row>
    <row r="1163" ht="15.75" customHeight="1">
      <c r="A1163" s="32" t="s">
        <v>910</v>
      </c>
      <c r="B1163" s="32" t="s">
        <v>875</v>
      </c>
      <c r="C1163" s="32" t="str">
        <f>vlookup(B1163,State_EMM_RowSums!$A$2:$B$52,2,FALSE)</f>
        <v>LA</v>
      </c>
      <c r="D1163" s="32">
        <v>22097.0</v>
      </c>
      <c r="E1163" s="33">
        <f>IF(NOT(ISBLANK(vlookup($D1163,Pop_Census_2023!$A$2:$E$3220,4,FALSE))),vlookup($D1163,Pop_Census_2023!$A$2:$E$3220,4,FALSE), vlookup($D1163,Pop_Census_2023!$A$2:$E$3220,5,FALSE))</f>
        <v>81464</v>
      </c>
      <c r="F1163" s="32">
        <v>1629479.0</v>
      </c>
      <c r="G1163" s="32">
        <v>58.0</v>
      </c>
      <c r="H1163" s="32" t="str">
        <f>VLOOKUP(D1163, Grid_Region_Mapping!$D$2:$F$5286, 3, FALSE)</f>
        <v>MISS</v>
      </c>
      <c r="I1163" s="32">
        <v>7.0</v>
      </c>
      <c r="J1163" s="34" t="str">
        <f t="shared" si="1"/>
        <v>South</v>
      </c>
      <c r="K1163" s="35">
        <v>5.0</v>
      </c>
      <c r="L1163" s="35" t="s">
        <v>104</v>
      </c>
      <c r="M1163" s="36">
        <f>VLOOKUP(D1163, County_Data_CZones!$B$2:$F$3236, 2, FALSE)</f>
        <v>2</v>
      </c>
      <c r="N1163" s="37" t="str">
        <f>VLOOKUP(D1163, County_Data_CZones!$B$2:$F$3236, 5, FALSE)</f>
        <v>Hot-Humid</v>
      </c>
    </row>
    <row r="1164" ht="15.75" customHeight="1">
      <c r="A1164" s="32" t="s">
        <v>911</v>
      </c>
      <c r="B1164" s="32" t="s">
        <v>875</v>
      </c>
      <c r="C1164" s="32" t="str">
        <f>vlookup(B1164,State_EMM_RowSums!$A$2:$B$52,2,FALSE)</f>
        <v>LA</v>
      </c>
      <c r="D1164" s="32">
        <v>22099.0</v>
      </c>
      <c r="E1164" s="33">
        <f>IF(NOT(ISBLANK(vlookup($D1164,Pop_Census_2023!$A$2:$E$3220,4,FALSE))),vlookup($D1164,Pop_Census_2023!$A$2:$E$3220,4,FALSE), vlookup($D1164,Pop_Census_2023!$A$2:$E$3220,5,FALSE))</f>
        <v>51057</v>
      </c>
      <c r="F1164" s="32">
        <v>1629486.0</v>
      </c>
      <c r="G1164" s="32">
        <v>58.0</v>
      </c>
      <c r="H1164" s="32" t="str">
        <f>VLOOKUP(D1164, Grid_Region_Mapping!$D$2:$F$5286, 3, FALSE)</f>
        <v>MISS</v>
      </c>
      <c r="I1164" s="32">
        <v>7.0</v>
      </c>
      <c r="J1164" s="34" t="str">
        <f t="shared" si="1"/>
        <v>South</v>
      </c>
      <c r="K1164" s="35">
        <v>5.0</v>
      </c>
      <c r="L1164" s="35" t="s">
        <v>104</v>
      </c>
      <c r="M1164" s="36">
        <f>VLOOKUP(D1164, County_Data_CZones!$B$2:$F$3236, 2, FALSE)</f>
        <v>2</v>
      </c>
      <c r="N1164" s="37" t="str">
        <f>VLOOKUP(D1164, County_Data_CZones!$B$2:$F$3236, 5, FALSE)</f>
        <v>Hot-Humid</v>
      </c>
    </row>
    <row r="1165" ht="15.75" customHeight="1">
      <c r="A1165" s="32" t="s">
        <v>912</v>
      </c>
      <c r="B1165" s="32" t="s">
        <v>875</v>
      </c>
      <c r="C1165" s="32" t="str">
        <f>vlookup(B1165,State_EMM_RowSums!$A$2:$B$52,2,FALSE)</f>
        <v>LA</v>
      </c>
      <c r="D1165" s="32">
        <v>22101.0</v>
      </c>
      <c r="E1165" s="33">
        <f>IF(NOT(ISBLANK(vlookup($D1165,Pop_Census_2023!$A$2:$E$3220,4,FALSE))),vlookup($D1165,Pop_Census_2023!$A$2:$E$3220,4,FALSE), vlookup($D1165,Pop_Census_2023!$A$2:$E$3220,5,FALSE))</f>
        <v>47055</v>
      </c>
      <c r="F1165" s="32">
        <v>1629492.0</v>
      </c>
      <c r="G1165" s="32">
        <v>58.0</v>
      </c>
      <c r="H1165" s="32" t="str">
        <f>VLOOKUP(D1165, Grid_Region_Mapping!$D$2:$F$5286, 3, FALSE)</f>
        <v>MISS</v>
      </c>
      <c r="I1165" s="32">
        <v>7.0</v>
      </c>
      <c r="J1165" s="34" t="str">
        <f t="shared" si="1"/>
        <v>South</v>
      </c>
      <c r="K1165" s="35">
        <v>5.0</v>
      </c>
      <c r="L1165" s="35" t="s">
        <v>104</v>
      </c>
      <c r="M1165" s="36">
        <f>VLOOKUP(D1165, County_Data_CZones!$B$2:$F$3236, 2, FALSE)</f>
        <v>2</v>
      </c>
      <c r="N1165" s="37" t="str">
        <f>VLOOKUP(D1165, County_Data_CZones!$B$2:$F$3236, 5, FALSE)</f>
        <v>Hot-Humid</v>
      </c>
    </row>
    <row r="1166" ht="15.75" customHeight="1">
      <c r="A1166" s="32" t="s">
        <v>913</v>
      </c>
      <c r="B1166" s="32" t="s">
        <v>875</v>
      </c>
      <c r="C1166" s="32" t="str">
        <f>vlookup(B1166,State_EMM_RowSums!$A$2:$B$52,2,FALSE)</f>
        <v>LA</v>
      </c>
      <c r="D1166" s="32">
        <v>22103.0</v>
      </c>
      <c r="E1166" s="33">
        <f>IF(NOT(ISBLANK(vlookup($D1166,Pop_Census_2023!$A$2:$E$3220,4,FALSE))),vlookup($D1166,Pop_Census_2023!$A$2:$E$3220,4,FALSE), vlookup($D1166,Pop_Census_2023!$A$2:$E$3220,5,FALSE))</f>
        <v>275583</v>
      </c>
      <c r="F1166" s="32">
        <v>1629503.0</v>
      </c>
      <c r="G1166" s="32">
        <v>58.0</v>
      </c>
      <c r="H1166" s="32" t="str">
        <f>VLOOKUP(D1166, Grid_Region_Mapping!$D$2:$F$5286, 3, FALSE)</f>
        <v>MISS</v>
      </c>
      <c r="I1166" s="32">
        <v>7.0</v>
      </c>
      <c r="J1166" s="34" t="str">
        <f t="shared" si="1"/>
        <v>South</v>
      </c>
      <c r="K1166" s="35">
        <v>5.0</v>
      </c>
      <c r="L1166" s="35" t="s">
        <v>104</v>
      </c>
      <c r="M1166" s="36">
        <f>VLOOKUP(D1166, County_Data_CZones!$B$2:$F$3236, 2, FALSE)</f>
        <v>2</v>
      </c>
      <c r="N1166" s="37" t="str">
        <f>VLOOKUP(D1166, County_Data_CZones!$B$2:$F$3236, 5, FALSE)</f>
        <v>Hot-Humid</v>
      </c>
    </row>
    <row r="1167" ht="15.75" customHeight="1">
      <c r="A1167" s="32" t="s">
        <v>914</v>
      </c>
      <c r="B1167" s="32" t="s">
        <v>875</v>
      </c>
      <c r="C1167" s="32" t="str">
        <f>vlookup(B1167,State_EMM_RowSums!$A$2:$B$52,2,FALSE)</f>
        <v>LA</v>
      </c>
      <c r="D1167" s="32">
        <v>22105.0</v>
      </c>
      <c r="E1167" s="33">
        <f>IF(NOT(ISBLANK(vlookup($D1167,Pop_Census_2023!$A$2:$E$3220,4,FALSE))),vlookup($D1167,Pop_Census_2023!$A$2:$E$3220,4,FALSE), vlookup($D1167,Pop_Census_2023!$A$2:$E$3220,5,FALSE))</f>
        <v>138064</v>
      </c>
      <c r="F1167" s="32">
        <v>559500.0</v>
      </c>
      <c r="G1167" s="32">
        <v>58.0</v>
      </c>
      <c r="H1167" s="32" t="str">
        <f>VLOOKUP(D1167, Grid_Region_Mapping!$D$2:$F$5286, 3, FALSE)</f>
        <v>MISS</v>
      </c>
      <c r="I1167" s="32">
        <v>7.0</v>
      </c>
      <c r="J1167" s="34" t="str">
        <f t="shared" si="1"/>
        <v>South</v>
      </c>
      <c r="K1167" s="35">
        <v>5.0</v>
      </c>
      <c r="L1167" s="35" t="s">
        <v>104</v>
      </c>
      <c r="M1167" s="36">
        <f>VLOOKUP(D1167, County_Data_CZones!$B$2:$F$3236, 2, FALSE)</f>
        <v>2</v>
      </c>
      <c r="N1167" s="37" t="str">
        <f>VLOOKUP(D1167, County_Data_CZones!$B$2:$F$3236, 5, FALSE)</f>
        <v>Hot-Humid</v>
      </c>
    </row>
    <row r="1168" ht="15.75" customHeight="1">
      <c r="A1168" s="32" t="s">
        <v>915</v>
      </c>
      <c r="B1168" s="32" t="s">
        <v>875</v>
      </c>
      <c r="C1168" s="32" t="str">
        <f>vlookup(B1168,State_EMM_RowSums!$A$2:$B$52,2,FALSE)</f>
        <v>LA</v>
      </c>
      <c r="D1168" s="32">
        <v>22107.0</v>
      </c>
      <c r="E1168" s="33">
        <f>IF(NOT(ISBLANK(vlookup($D1168,Pop_Census_2023!$A$2:$E$3220,4,FALSE))),vlookup($D1168,Pop_Census_2023!$A$2:$E$3220,4,FALSE), vlookup($D1168,Pop_Census_2023!$A$2:$E$3220,5,FALSE))</f>
        <v>3764</v>
      </c>
      <c r="F1168" s="32">
        <v>559509.0</v>
      </c>
      <c r="G1168" s="32">
        <v>86.0</v>
      </c>
      <c r="H1168" s="32" t="str">
        <f>VLOOKUP(D1168, Grid_Region_Mapping!$D$2:$F$5286, 3, FALSE)</f>
        <v>MISS</v>
      </c>
      <c r="I1168" s="32">
        <v>7.0</v>
      </c>
      <c r="J1168" s="34" t="str">
        <f t="shared" si="1"/>
        <v>South</v>
      </c>
      <c r="K1168" s="35">
        <v>5.0</v>
      </c>
      <c r="L1168" s="35" t="s">
        <v>102</v>
      </c>
      <c r="M1168" s="36">
        <f>VLOOKUP(D1168, County_Data_CZones!$B$2:$F$3236, 2, FALSE)</f>
        <v>3</v>
      </c>
      <c r="N1168" s="37" t="str">
        <f>VLOOKUP(D1168, County_Data_CZones!$B$2:$F$3236, 5, FALSE)</f>
        <v>Hot-Humid</v>
      </c>
    </row>
    <row r="1169" ht="15.75" customHeight="1">
      <c r="A1169" s="32" t="s">
        <v>916</v>
      </c>
      <c r="B1169" s="32" t="s">
        <v>875</v>
      </c>
      <c r="C1169" s="32" t="str">
        <f>vlookup(B1169,State_EMM_RowSums!$A$2:$B$52,2,FALSE)</f>
        <v>LA</v>
      </c>
      <c r="D1169" s="32">
        <v>22109.0</v>
      </c>
      <c r="E1169" s="33">
        <f>IF(NOT(ISBLANK(vlookup($D1169,Pop_Census_2023!$A$2:$E$3220,4,FALSE))),vlookup($D1169,Pop_Census_2023!$A$2:$E$3220,4,FALSE), vlookup($D1169,Pop_Census_2023!$A$2:$E$3220,5,FALSE))</f>
        <v>103616</v>
      </c>
      <c r="F1169" s="32">
        <v>559517.0</v>
      </c>
      <c r="G1169" s="32">
        <v>58.0</v>
      </c>
      <c r="H1169" s="32" t="str">
        <f>VLOOKUP(D1169, Grid_Region_Mapping!$D$2:$F$5286, 3, FALSE)</f>
        <v>MISS</v>
      </c>
      <c r="I1169" s="32">
        <v>7.0</v>
      </c>
      <c r="J1169" s="34" t="str">
        <f t="shared" si="1"/>
        <v>South</v>
      </c>
      <c r="K1169" s="35">
        <v>5.0</v>
      </c>
      <c r="L1169" s="35" t="s">
        <v>104</v>
      </c>
      <c r="M1169" s="36">
        <f>VLOOKUP(D1169, County_Data_CZones!$B$2:$F$3236, 2, FALSE)</f>
        <v>2</v>
      </c>
      <c r="N1169" s="37" t="str">
        <f>VLOOKUP(D1169, County_Data_CZones!$B$2:$F$3236, 5, FALSE)</f>
        <v>Hot-Humid</v>
      </c>
    </row>
    <row r="1170" ht="15.75" customHeight="1">
      <c r="A1170" s="32" t="s">
        <v>273</v>
      </c>
      <c r="B1170" s="32" t="s">
        <v>875</v>
      </c>
      <c r="C1170" s="32" t="str">
        <f>vlookup(B1170,State_EMM_RowSums!$A$2:$B$52,2,FALSE)</f>
        <v>LA</v>
      </c>
      <c r="D1170" s="32">
        <v>22111.0</v>
      </c>
      <c r="E1170" s="33">
        <f>IF(NOT(ISBLANK(vlookup($D1170,Pop_Census_2023!$A$2:$E$3220,4,FALSE))),vlookup($D1170,Pop_Census_2023!$A$2:$E$3220,4,FALSE), vlookup($D1170,Pop_Census_2023!$A$2:$E$3220,5,FALSE))</f>
        <v>20650</v>
      </c>
      <c r="F1170" s="32">
        <v>559528.0</v>
      </c>
      <c r="G1170" s="32">
        <v>86.0</v>
      </c>
      <c r="H1170" s="32" t="str">
        <f>VLOOKUP(D1170, Grid_Region_Mapping!$D$2:$F$5286, 3, FALSE)</f>
        <v>MISS</v>
      </c>
      <c r="I1170" s="32">
        <v>7.0</v>
      </c>
      <c r="J1170" s="34" t="str">
        <f t="shared" si="1"/>
        <v>South</v>
      </c>
      <c r="K1170" s="35">
        <v>5.0</v>
      </c>
      <c r="L1170" s="35" t="s">
        <v>102</v>
      </c>
      <c r="M1170" s="36">
        <f>VLOOKUP(D1170, County_Data_CZones!$B$2:$F$3236, 2, FALSE)</f>
        <v>3</v>
      </c>
      <c r="N1170" s="37" t="str">
        <f>VLOOKUP(D1170, County_Data_CZones!$B$2:$F$3236, 5, FALSE)</f>
        <v>Hot-Humid</v>
      </c>
    </row>
    <row r="1171" ht="15.75" customHeight="1">
      <c r="A1171" s="32" t="s">
        <v>656</v>
      </c>
      <c r="B1171" s="32" t="s">
        <v>875</v>
      </c>
      <c r="C1171" s="32" t="str">
        <f>vlookup(B1171,State_EMM_RowSums!$A$2:$B$52,2,FALSE)</f>
        <v>LA</v>
      </c>
      <c r="D1171" s="32">
        <v>22113.0</v>
      </c>
      <c r="E1171" s="33">
        <f>IF(NOT(ISBLANK(vlookup($D1171,Pop_Census_2023!$A$2:$E$3220,4,FALSE))),vlookup($D1171,Pop_Census_2023!$A$2:$E$3220,4,FALSE), vlookup($D1171,Pop_Census_2023!$A$2:$E$3220,5,FALSE))</f>
        <v>56992</v>
      </c>
      <c r="F1171" s="32">
        <v>559538.0</v>
      </c>
      <c r="G1171" s="32">
        <v>58.0</v>
      </c>
      <c r="H1171" s="32" t="str">
        <f>VLOOKUP(D1171, Grid_Region_Mapping!$D$2:$F$5286, 3, FALSE)</f>
        <v>MISS</v>
      </c>
      <c r="I1171" s="32">
        <v>7.0</v>
      </c>
      <c r="J1171" s="34" t="str">
        <f t="shared" si="1"/>
        <v>South</v>
      </c>
      <c r="K1171" s="35">
        <v>5.0</v>
      </c>
      <c r="L1171" s="35" t="s">
        <v>104</v>
      </c>
      <c r="M1171" s="36">
        <f>VLOOKUP(D1171, County_Data_CZones!$B$2:$F$3236, 2, FALSE)</f>
        <v>2</v>
      </c>
      <c r="N1171" s="37" t="str">
        <f>VLOOKUP(D1171, County_Data_CZones!$B$2:$F$3236, 5, FALSE)</f>
        <v>Hot-Humid</v>
      </c>
    </row>
    <row r="1172" ht="15.75" customHeight="1">
      <c r="A1172" s="32" t="s">
        <v>917</v>
      </c>
      <c r="B1172" s="32" t="s">
        <v>875</v>
      </c>
      <c r="C1172" s="32" t="str">
        <f>vlookup(B1172,State_EMM_RowSums!$A$2:$B$52,2,FALSE)</f>
        <v>LA</v>
      </c>
      <c r="D1172" s="32">
        <v>22115.0</v>
      </c>
      <c r="E1172" s="33">
        <f>IF(NOT(ISBLANK(vlookup($D1172,Pop_Census_2023!$A$2:$E$3220,4,FALSE))),vlookup($D1172,Pop_Census_2023!$A$2:$E$3220,4,FALSE), vlookup($D1172,Pop_Census_2023!$A$2:$E$3220,5,FALSE))</f>
        <v>46250</v>
      </c>
      <c r="F1172" s="32">
        <v>559548.0</v>
      </c>
      <c r="G1172" s="32">
        <v>58.0</v>
      </c>
      <c r="H1172" s="32" t="str">
        <f>VLOOKUP(D1172, Grid_Region_Mapping!$D$2:$F$5286, 3, FALSE)</f>
        <v>SPPS</v>
      </c>
      <c r="I1172" s="32">
        <v>7.0</v>
      </c>
      <c r="J1172" s="34" t="str">
        <f t="shared" si="1"/>
        <v>South</v>
      </c>
      <c r="K1172" s="35">
        <v>5.0</v>
      </c>
      <c r="L1172" s="35" t="s">
        <v>102</v>
      </c>
      <c r="M1172" s="36">
        <f>VLOOKUP(D1172, County_Data_CZones!$B$2:$F$3236, 2, FALSE)</f>
        <v>3</v>
      </c>
      <c r="N1172" s="37" t="str">
        <f>VLOOKUP(D1172, County_Data_CZones!$B$2:$F$3236, 5, FALSE)</f>
        <v>Hot-Humid</v>
      </c>
    </row>
    <row r="1173" ht="15.75" customHeight="1">
      <c r="A1173" s="32" t="s">
        <v>167</v>
      </c>
      <c r="B1173" s="32" t="s">
        <v>875</v>
      </c>
      <c r="C1173" s="32" t="str">
        <f>vlookup(B1173,State_EMM_RowSums!$A$2:$B$52,2,FALSE)</f>
        <v>LA</v>
      </c>
      <c r="D1173" s="32">
        <v>22117.0</v>
      </c>
      <c r="E1173" s="33">
        <f>IF(NOT(ISBLANK(vlookup($D1173,Pop_Census_2023!$A$2:$E$3220,4,FALSE))),vlookup($D1173,Pop_Census_2023!$A$2:$E$3220,4,FALSE), vlookup($D1173,Pop_Census_2023!$A$2:$E$3220,5,FALSE))</f>
        <v>44865</v>
      </c>
      <c r="F1173" s="32">
        <v>559557.0</v>
      </c>
      <c r="G1173" s="32">
        <v>58.0</v>
      </c>
      <c r="H1173" s="32" t="str">
        <f>VLOOKUP(D1173, Grid_Region_Mapping!$D$2:$F$5286, 3, FALSE)</f>
        <v>MISS</v>
      </c>
      <c r="I1173" s="32">
        <v>7.0</v>
      </c>
      <c r="J1173" s="34" t="str">
        <f t="shared" si="1"/>
        <v>South</v>
      </c>
      <c r="K1173" s="35">
        <v>5.0</v>
      </c>
      <c r="L1173" s="35" t="s">
        <v>104</v>
      </c>
      <c r="M1173" s="36">
        <f>VLOOKUP(D1173, County_Data_CZones!$B$2:$F$3236, 2, FALSE)</f>
        <v>2</v>
      </c>
      <c r="N1173" s="37" t="str">
        <f>VLOOKUP(D1173, County_Data_CZones!$B$2:$F$3236, 5, FALSE)</f>
        <v>Hot-Humid</v>
      </c>
    </row>
    <row r="1174" ht="15.75" customHeight="1">
      <c r="A1174" s="32" t="s">
        <v>563</v>
      </c>
      <c r="B1174" s="32" t="s">
        <v>875</v>
      </c>
      <c r="C1174" s="32" t="str">
        <f>vlookup(B1174,State_EMM_RowSums!$A$2:$B$52,2,FALSE)</f>
        <v>LA</v>
      </c>
      <c r="D1174" s="32">
        <v>22119.0</v>
      </c>
      <c r="E1174" s="33">
        <f>IF(NOT(ISBLANK(vlookup($D1174,Pop_Census_2023!$A$2:$E$3220,4,FALSE))),vlookup($D1174,Pop_Census_2023!$A$2:$E$3220,4,FALSE), vlookup($D1174,Pop_Census_2023!$A$2:$E$3220,5,FALSE))</f>
        <v>35238</v>
      </c>
      <c r="F1174" s="32">
        <v>559567.0</v>
      </c>
      <c r="G1174" s="32">
        <v>58.0</v>
      </c>
      <c r="H1174" s="32" t="str">
        <f>VLOOKUP(D1174, Grid_Region_Mapping!$D$2:$F$5286, 3, FALSE)</f>
        <v>SPPS</v>
      </c>
      <c r="I1174" s="32">
        <v>7.0</v>
      </c>
      <c r="J1174" s="34" t="str">
        <f t="shared" si="1"/>
        <v>South</v>
      </c>
      <c r="K1174" s="35">
        <v>5.0</v>
      </c>
      <c r="L1174" s="35" t="s">
        <v>102</v>
      </c>
      <c r="M1174" s="36">
        <f>VLOOKUP(D1174, County_Data_CZones!$B$2:$F$3236, 2, FALSE)</f>
        <v>3</v>
      </c>
      <c r="N1174" s="37" t="str">
        <f>VLOOKUP(D1174, County_Data_CZones!$B$2:$F$3236, 5, FALSE)</f>
        <v>Hot-Humid</v>
      </c>
    </row>
    <row r="1175" ht="15.75" customHeight="1">
      <c r="A1175" s="32" t="s">
        <v>918</v>
      </c>
      <c r="B1175" s="32" t="s">
        <v>875</v>
      </c>
      <c r="C1175" s="32" t="str">
        <f>vlookup(B1175,State_EMM_RowSums!$A$2:$B$52,2,FALSE)</f>
        <v>LA</v>
      </c>
      <c r="D1175" s="32">
        <v>22121.0</v>
      </c>
      <c r="E1175" s="33">
        <f>IF(NOT(ISBLANK(vlookup($D1175,Pop_Census_2023!$A$2:$E$3220,4,FALSE))),vlookup($D1175,Pop_Census_2023!$A$2:$E$3220,4,FALSE), vlookup($D1175,Pop_Census_2023!$A$2:$E$3220,5,FALSE))</f>
        <v>28266</v>
      </c>
      <c r="F1175" s="32">
        <v>559570.0</v>
      </c>
      <c r="G1175" s="32">
        <v>58.0</v>
      </c>
      <c r="H1175" s="32" t="str">
        <f>VLOOKUP(D1175, Grid_Region_Mapping!$D$2:$F$5286, 3, FALSE)</f>
        <v>MISS</v>
      </c>
      <c r="I1175" s="32">
        <v>7.0</v>
      </c>
      <c r="J1175" s="34" t="str">
        <f t="shared" si="1"/>
        <v>South</v>
      </c>
      <c r="K1175" s="35">
        <v>5.0</v>
      </c>
      <c r="L1175" s="35" t="s">
        <v>104</v>
      </c>
      <c r="M1175" s="36">
        <f>VLOOKUP(D1175, County_Data_CZones!$B$2:$F$3236, 2, FALSE)</f>
        <v>2</v>
      </c>
      <c r="N1175" s="37" t="str">
        <f>VLOOKUP(D1175, County_Data_CZones!$B$2:$F$3236, 5, FALSE)</f>
        <v>Hot-Humid</v>
      </c>
    </row>
    <row r="1176" ht="15.75" customHeight="1">
      <c r="A1176" s="32" t="s">
        <v>919</v>
      </c>
      <c r="B1176" s="32" t="s">
        <v>875</v>
      </c>
      <c r="C1176" s="32" t="str">
        <f>vlookup(B1176,State_EMM_RowSums!$A$2:$B$52,2,FALSE)</f>
        <v>LA</v>
      </c>
      <c r="D1176" s="32">
        <v>22123.0</v>
      </c>
      <c r="E1176" s="33">
        <f>IF(NOT(ISBLANK(vlookup($D1176,Pop_Census_2023!$A$2:$E$3220,4,FALSE))),vlookup($D1176,Pop_Census_2023!$A$2:$E$3220,4,FALSE), vlookup($D1176,Pop_Census_2023!$A$2:$E$3220,5,FALSE))</f>
        <v>9323</v>
      </c>
      <c r="F1176" s="32">
        <v>559578.0</v>
      </c>
      <c r="G1176" s="32">
        <v>86.0</v>
      </c>
      <c r="H1176" s="32" t="str">
        <f>VLOOKUP(D1176, Grid_Region_Mapping!$D$2:$F$5286, 3, FALSE)</f>
        <v>MISS</v>
      </c>
      <c r="I1176" s="32">
        <v>7.0</v>
      </c>
      <c r="J1176" s="34" t="str">
        <f t="shared" si="1"/>
        <v>South</v>
      </c>
      <c r="K1176" s="35">
        <v>5.0</v>
      </c>
      <c r="L1176" s="35" t="s">
        <v>102</v>
      </c>
      <c r="M1176" s="36">
        <f>VLOOKUP(D1176, County_Data_CZones!$B$2:$F$3236, 2, FALSE)</f>
        <v>3</v>
      </c>
      <c r="N1176" s="37" t="str">
        <f>VLOOKUP(D1176, County_Data_CZones!$B$2:$F$3236, 5, FALSE)</f>
        <v>Mixed-Humid</v>
      </c>
    </row>
    <row r="1177" ht="15.75" customHeight="1">
      <c r="A1177" s="32" t="s">
        <v>920</v>
      </c>
      <c r="B1177" s="32" t="s">
        <v>875</v>
      </c>
      <c r="C1177" s="32" t="str">
        <f>vlookup(B1177,State_EMM_RowSums!$A$2:$B$52,2,FALSE)</f>
        <v>LA</v>
      </c>
      <c r="D1177" s="32">
        <v>22125.0</v>
      </c>
      <c r="E1177" s="33">
        <f>IF(NOT(ISBLANK(vlookup($D1177,Pop_Census_2023!$A$2:$E$3220,4,FALSE))),vlookup($D1177,Pop_Census_2023!$A$2:$E$3220,4,FALSE), vlookup($D1177,Pop_Census_2023!$A$2:$E$3220,5,FALSE))</f>
        <v>15371</v>
      </c>
      <c r="F1177" s="32">
        <v>559584.0</v>
      </c>
      <c r="G1177" s="32">
        <v>58.0</v>
      </c>
      <c r="H1177" s="32" t="str">
        <f>VLOOKUP(D1177, Grid_Region_Mapping!$D$2:$F$5286, 3, FALSE)</f>
        <v>MISS</v>
      </c>
      <c r="I1177" s="32">
        <v>7.0</v>
      </c>
      <c r="J1177" s="34" t="str">
        <f t="shared" si="1"/>
        <v>South</v>
      </c>
      <c r="K1177" s="35">
        <v>5.0</v>
      </c>
      <c r="L1177" s="35" t="s">
        <v>104</v>
      </c>
      <c r="M1177" s="36">
        <f>VLOOKUP(D1177, County_Data_CZones!$B$2:$F$3236, 2, FALSE)</f>
        <v>2</v>
      </c>
      <c r="N1177" s="37" t="str">
        <f>VLOOKUP(D1177, County_Data_CZones!$B$2:$F$3236, 5, FALSE)</f>
        <v>Hot-Humid</v>
      </c>
    </row>
    <row r="1178" ht="15.75" customHeight="1">
      <c r="A1178" s="32" t="s">
        <v>921</v>
      </c>
      <c r="B1178" s="32" t="s">
        <v>875</v>
      </c>
      <c r="C1178" s="32" t="str">
        <f>vlookup(B1178,State_EMM_RowSums!$A$2:$B$52,2,FALSE)</f>
        <v>LA</v>
      </c>
      <c r="D1178" s="32">
        <v>22127.0</v>
      </c>
      <c r="E1178" s="33">
        <f>IF(NOT(ISBLANK(vlookup($D1178,Pop_Census_2023!$A$2:$E$3220,4,FALSE))),vlookup($D1178,Pop_Census_2023!$A$2:$E$3220,4,FALSE), vlookup($D1178,Pop_Census_2023!$A$2:$E$3220,5,FALSE))</f>
        <v>13216</v>
      </c>
      <c r="F1178" s="32">
        <v>559594.0</v>
      </c>
      <c r="G1178" s="32">
        <v>58.0</v>
      </c>
      <c r="H1178" s="32" t="str">
        <f>VLOOKUP(D1178, Grid_Region_Mapping!$D$2:$F$5286, 3, FALSE)</f>
        <v>SPPS</v>
      </c>
      <c r="I1178" s="32">
        <v>7.0</v>
      </c>
      <c r="J1178" s="34" t="str">
        <f t="shared" si="1"/>
        <v>South</v>
      </c>
      <c r="K1178" s="35">
        <v>5.0</v>
      </c>
      <c r="L1178" s="35" t="s">
        <v>102</v>
      </c>
      <c r="M1178" s="36">
        <f>VLOOKUP(D1178, County_Data_CZones!$B$2:$F$3236, 2, FALSE)</f>
        <v>3</v>
      </c>
      <c r="N1178" s="37" t="str">
        <f>VLOOKUP(D1178, County_Data_CZones!$B$2:$F$3236, 5, FALSE)</f>
        <v>Hot-Humid</v>
      </c>
    </row>
    <row r="1179" ht="15.75" customHeight="1">
      <c r="A1179" s="32" t="s">
        <v>922</v>
      </c>
      <c r="B1179" s="32" t="s">
        <v>923</v>
      </c>
      <c r="C1179" s="32" t="str">
        <f>vlookup(B1179,State_EMM_RowSums!$A$2:$B$52,2,FALSE)</f>
        <v>ME</v>
      </c>
      <c r="D1179" s="32">
        <v>23001.0</v>
      </c>
      <c r="E1179" s="33">
        <f>IF(NOT(ISBLANK(vlookup($D1179,Pop_Census_2023!$A$2:$E$3220,4,FALSE))),vlookup($D1179,Pop_Census_2023!$A$2:$E$3220,4,FALSE), vlookup($D1179,Pop_Census_2023!$A$2:$E$3220,5,FALSE))</f>
        <v>113765</v>
      </c>
      <c r="F1179" s="32">
        <v>581286.0</v>
      </c>
      <c r="G1179" s="32">
        <v>134.0</v>
      </c>
      <c r="H1179" s="32" t="str">
        <f>VLOOKUP(D1179, Grid_Region_Mapping!$D$2:$F$5286, 3, FALSE)</f>
        <v>ISNE</v>
      </c>
      <c r="I1179" s="32">
        <v>1.0</v>
      </c>
      <c r="J1179" s="34" t="str">
        <f t="shared" si="1"/>
        <v>Northeast</v>
      </c>
      <c r="K1179" s="35">
        <v>1.0</v>
      </c>
      <c r="L1179" s="35" t="s">
        <v>707</v>
      </c>
      <c r="M1179" s="36">
        <f>VLOOKUP(D1179, County_Data_CZones!$B$2:$F$3236, 2, FALSE)</f>
        <v>6</v>
      </c>
      <c r="N1179" s="37" t="str">
        <f>VLOOKUP(D1179, County_Data_CZones!$B$2:$F$3236, 5, FALSE)</f>
        <v>Cold</v>
      </c>
    </row>
    <row r="1180" ht="15.75" customHeight="1">
      <c r="A1180" s="32" t="s">
        <v>924</v>
      </c>
      <c r="B1180" s="32" t="s">
        <v>923</v>
      </c>
      <c r="C1180" s="32" t="str">
        <f>vlookup(B1180,State_EMM_RowSums!$A$2:$B$52,2,FALSE)</f>
        <v>ME</v>
      </c>
      <c r="D1180" s="32">
        <v>23003.0</v>
      </c>
      <c r="E1180" s="33">
        <f>IF(NOT(ISBLANK(vlookup($D1180,Pop_Census_2023!$A$2:$E$3220,4,FALSE))),vlookup($D1180,Pop_Census_2023!$A$2:$E$3220,4,FALSE), vlookup($D1180,Pop_Census_2023!$A$2:$E$3220,5,FALSE))</f>
        <v>67351</v>
      </c>
      <c r="F1180" s="32">
        <v>581287.0</v>
      </c>
      <c r="G1180" s="32">
        <v>134.0</v>
      </c>
      <c r="H1180" s="32" t="str">
        <f>VLOOKUP(D1180, Grid_Region_Mapping!$D$2:$F$5286, 3, FALSE)</f>
        <v>ISNE</v>
      </c>
      <c r="I1180" s="32">
        <v>1.0</v>
      </c>
      <c r="J1180" s="34" t="str">
        <f t="shared" si="1"/>
        <v>Northeast</v>
      </c>
      <c r="K1180" s="35">
        <v>1.0</v>
      </c>
      <c r="L1180" s="35">
        <v>7.0</v>
      </c>
      <c r="M1180" s="36">
        <f>VLOOKUP(D1180, County_Data_CZones!$B$2:$F$3236, 2, FALSE)</f>
        <v>7</v>
      </c>
      <c r="N1180" s="37" t="str">
        <f>VLOOKUP(D1180, County_Data_CZones!$B$2:$F$3236, 5, FALSE)</f>
        <v>Very Cold</v>
      </c>
    </row>
    <row r="1181" ht="15.75" customHeight="1">
      <c r="A1181" s="32" t="s">
        <v>618</v>
      </c>
      <c r="B1181" s="32" t="s">
        <v>923</v>
      </c>
      <c r="C1181" s="32" t="str">
        <f>vlookup(B1181,State_EMM_RowSums!$A$2:$B$52,2,FALSE)</f>
        <v>ME</v>
      </c>
      <c r="D1181" s="32">
        <v>23005.0</v>
      </c>
      <c r="E1181" s="33">
        <f>IF(NOT(ISBLANK(vlookup($D1181,Pop_Census_2023!$A$2:$E$3220,4,FALSE))),vlookup($D1181,Pop_Census_2023!$A$2:$E$3220,4,FALSE), vlookup($D1181,Pop_Census_2023!$A$2:$E$3220,5,FALSE))</f>
        <v>310230</v>
      </c>
      <c r="F1181" s="32">
        <v>581288.0</v>
      </c>
      <c r="G1181" s="32">
        <v>134.0</v>
      </c>
      <c r="H1181" s="32" t="str">
        <f>VLOOKUP(D1181, Grid_Region_Mapping!$D$2:$F$5286, 3, FALSE)</f>
        <v>ISNE</v>
      </c>
      <c r="I1181" s="32">
        <v>1.0</v>
      </c>
      <c r="J1181" s="34" t="str">
        <f t="shared" si="1"/>
        <v>Northeast</v>
      </c>
      <c r="K1181" s="35">
        <v>1.0</v>
      </c>
      <c r="L1181" s="35" t="s">
        <v>707</v>
      </c>
      <c r="M1181" s="36">
        <f>VLOOKUP(D1181, County_Data_CZones!$B$2:$F$3236, 2, FALSE)</f>
        <v>6</v>
      </c>
      <c r="N1181" s="37" t="str">
        <f>VLOOKUP(D1181, County_Data_CZones!$B$2:$F$3236, 5, FALSE)</f>
        <v>Cold</v>
      </c>
    </row>
    <row r="1182" ht="15.75" customHeight="1">
      <c r="A1182" s="32" t="s">
        <v>132</v>
      </c>
      <c r="B1182" s="32" t="s">
        <v>923</v>
      </c>
      <c r="C1182" s="32" t="str">
        <f>vlookup(B1182,State_EMM_RowSums!$A$2:$B$52,2,FALSE)</f>
        <v>ME</v>
      </c>
      <c r="D1182" s="32">
        <v>23007.0</v>
      </c>
      <c r="E1182" s="33">
        <f>IF(NOT(ISBLANK(vlookup($D1182,Pop_Census_2023!$A$2:$E$3220,4,FALSE))),vlookup($D1182,Pop_Census_2023!$A$2:$E$3220,4,FALSE), vlookup($D1182,Pop_Census_2023!$A$2:$E$3220,5,FALSE))</f>
        <v>30828</v>
      </c>
      <c r="F1182" s="32">
        <v>581289.0</v>
      </c>
      <c r="G1182" s="32">
        <v>134.0</v>
      </c>
      <c r="H1182" s="32" t="str">
        <f>VLOOKUP(D1182, Grid_Region_Mapping!$D$2:$F$5286, 3, FALSE)</f>
        <v>ISNE</v>
      </c>
      <c r="I1182" s="32">
        <v>1.0</v>
      </c>
      <c r="J1182" s="34" t="str">
        <f t="shared" si="1"/>
        <v>Northeast</v>
      </c>
      <c r="K1182" s="35">
        <v>1.0</v>
      </c>
      <c r="L1182" s="35" t="s">
        <v>707</v>
      </c>
      <c r="M1182" s="36">
        <f>VLOOKUP(D1182, County_Data_CZones!$B$2:$F$3236, 2, FALSE)</f>
        <v>6</v>
      </c>
      <c r="N1182" s="37" t="str">
        <f>VLOOKUP(D1182, County_Data_CZones!$B$2:$F$3236, 5, FALSE)</f>
        <v>Cold</v>
      </c>
    </row>
    <row r="1183" ht="15.75" customHeight="1">
      <c r="A1183" s="32" t="s">
        <v>512</v>
      </c>
      <c r="B1183" s="32" t="s">
        <v>923</v>
      </c>
      <c r="C1183" s="32" t="str">
        <f>vlookup(B1183,State_EMM_RowSums!$A$2:$B$52,2,FALSE)</f>
        <v>ME</v>
      </c>
      <c r="D1183" s="32">
        <v>23009.0</v>
      </c>
      <c r="E1183" s="33">
        <f>IF(NOT(ISBLANK(vlookup($D1183,Pop_Census_2023!$A$2:$E$3220,4,FALSE))),vlookup($D1183,Pop_Census_2023!$A$2:$E$3220,4,FALSE), vlookup($D1183,Pop_Census_2023!$A$2:$E$3220,5,FALSE))</f>
        <v>56526</v>
      </c>
      <c r="F1183" s="32">
        <v>581290.0</v>
      </c>
      <c r="G1183" s="32">
        <v>134.0</v>
      </c>
      <c r="H1183" s="32" t="str">
        <f>VLOOKUP(D1183, Grid_Region_Mapping!$D$2:$F$5286, 3, FALSE)</f>
        <v>ISNE</v>
      </c>
      <c r="I1183" s="32">
        <v>1.0</v>
      </c>
      <c r="J1183" s="34" t="str">
        <f t="shared" si="1"/>
        <v>Northeast</v>
      </c>
      <c r="K1183" s="35">
        <v>1.0</v>
      </c>
      <c r="L1183" s="35" t="s">
        <v>707</v>
      </c>
      <c r="M1183" s="36">
        <f>VLOOKUP(D1183, County_Data_CZones!$B$2:$F$3236, 2, FALSE)</f>
        <v>6</v>
      </c>
      <c r="N1183" s="37" t="str">
        <f>VLOOKUP(D1183, County_Data_CZones!$B$2:$F$3236, 5, FALSE)</f>
        <v>Cold</v>
      </c>
    </row>
    <row r="1184" ht="15.75" customHeight="1">
      <c r="A1184" s="32" t="s">
        <v>925</v>
      </c>
      <c r="B1184" s="32" t="s">
        <v>923</v>
      </c>
      <c r="C1184" s="32" t="str">
        <f>vlookup(B1184,State_EMM_RowSums!$A$2:$B$52,2,FALSE)</f>
        <v>ME</v>
      </c>
      <c r="D1184" s="32">
        <v>23011.0</v>
      </c>
      <c r="E1184" s="33">
        <f>IF(NOT(ISBLANK(vlookup($D1184,Pop_Census_2023!$A$2:$E$3220,4,FALSE))),vlookup($D1184,Pop_Census_2023!$A$2:$E$3220,4,FALSE), vlookup($D1184,Pop_Census_2023!$A$2:$E$3220,5,FALSE))</f>
        <v>127259</v>
      </c>
      <c r="F1184" s="32">
        <v>581291.0</v>
      </c>
      <c r="G1184" s="32">
        <v>134.0</v>
      </c>
      <c r="H1184" s="32" t="str">
        <f>VLOOKUP(D1184, Grid_Region_Mapping!$D$2:$F$5286, 3, FALSE)</f>
        <v>ISNE</v>
      </c>
      <c r="I1184" s="32">
        <v>1.0</v>
      </c>
      <c r="J1184" s="34" t="str">
        <f t="shared" si="1"/>
        <v>Northeast</v>
      </c>
      <c r="K1184" s="35">
        <v>1.0</v>
      </c>
      <c r="L1184" s="35" t="s">
        <v>707</v>
      </c>
      <c r="M1184" s="36">
        <f>VLOOKUP(D1184, County_Data_CZones!$B$2:$F$3236, 2, FALSE)</f>
        <v>6</v>
      </c>
      <c r="N1184" s="37" t="str">
        <f>VLOOKUP(D1184, County_Data_CZones!$B$2:$F$3236, 5, FALSE)</f>
        <v>Cold</v>
      </c>
    </row>
    <row r="1185" ht="15.75" customHeight="1">
      <c r="A1185" s="32" t="s">
        <v>634</v>
      </c>
      <c r="B1185" s="32" t="s">
        <v>923</v>
      </c>
      <c r="C1185" s="32" t="str">
        <f>vlookup(B1185,State_EMM_RowSums!$A$2:$B$52,2,FALSE)</f>
        <v>ME</v>
      </c>
      <c r="D1185" s="32">
        <v>23013.0</v>
      </c>
      <c r="E1185" s="33">
        <f>IF(NOT(ISBLANK(vlookup($D1185,Pop_Census_2023!$A$2:$E$3220,4,FALSE))),vlookup($D1185,Pop_Census_2023!$A$2:$E$3220,4,FALSE), vlookup($D1185,Pop_Census_2023!$A$2:$E$3220,5,FALSE))</f>
        <v>40977</v>
      </c>
      <c r="F1185" s="32">
        <v>581292.0</v>
      </c>
      <c r="G1185" s="32">
        <v>134.0</v>
      </c>
      <c r="H1185" s="32" t="str">
        <f>VLOOKUP(D1185, Grid_Region_Mapping!$D$2:$F$5286, 3, FALSE)</f>
        <v>ISNE</v>
      </c>
      <c r="I1185" s="32">
        <v>1.0</v>
      </c>
      <c r="J1185" s="34" t="str">
        <f t="shared" si="1"/>
        <v>Northeast</v>
      </c>
      <c r="K1185" s="35">
        <v>1.0</v>
      </c>
      <c r="L1185" s="35" t="s">
        <v>707</v>
      </c>
      <c r="M1185" s="36">
        <f>VLOOKUP(D1185, County_Data_CZones!$B$2:$F$3236, 2, FALSE)</f>
        <v>6</v>
      </c>
      <c r="N1185" s="37" t="str">
        <f>VLOOKUP(D1185, County_Data_CZones!$B$2:$F$3236, 5, FALSE)</f>
        <v>Cold</v>
      </c>
    </row>
    <row r="1186" ht="15.75" customHeight="1">
      <c r="A1186" s="32" t="s">
        <v>250</v>
      </c>
      <c r="B1186" s="32" t="s">
        <v>923</v>
      </c>
      <c r="C1186" s="32" t="str">
        <f>vlookup(B1186,State_EMM_RowSums!$A$2:$B$52,2,FALSE)</f>
        <v>ME</v>
      </c>
      <c r="D1186" s="32">
        <v>23015.0</v>
      </c>
      <c r="E1186" s="33">
        <f>IF(NOT(ISBLANK(vlookup($D1186,Pop_Census_2023!$A$2:$E$3220,4,FALSE))),vlookup($D1186,Pop_Census_2023!$A$2:$E$3220,4,FALSE), vlookup($D1186,Pop_Census_2023!$A$2:$E$3220,5,FALSE))</f>
        <v>36507</v>
      </c>
      <c r="F1186" s="32">
        <v>581293.0</v>
      </c>
      <c r="G1186" s="32">
        <v>134.0</v>
      </c>
      <c r="H1186" s="32" t="str">
        <f>VLOOKUP(D1186, Grid_Region_Mapping!$D$2:$F$5286, 3, FALSE)</f>
        <v>ISNE</v>
      </c>
      <c r="I1186" s="32">
        <v>1.0</v>
      </c>
      <c r="J1186" s="34" t="str">
        <f t="shared" si="1"/>
        <v>Northeast</v>
      </c>
      <c r="K1186" s="35">
        <v>1.0</v>
      </c>
      <c r="L1186" s="35" t="s">
        <v>707</v>
      </c>
      <c r="M1186" s="36">
        <f>VLOOKUP(D1186, County_Data_CZones!$B$2:$F$3236, 2, FALSE)</f>
        <v>6</v>
      </c>
      <c r="N1186" s="37" t="str">
        <f>VLOOKUP(D1186, County_Data_CZones!$B$2:$F$3236, 5, FALSE)</f>
        <v>Cold</v>
      </c>
    </row>
    <row r="1187" ht="15.75" customHeight="1">
      <c r="A1187" s="32" t="s">
        <v>926</v>
      </c>
      <c r="B1187" s="32" t="s">
        <v>923</v>
      </c>
      <c r="C1187" s="32" t="str">
        <f>vlookup(B1187,State_EMM_RowSums!$A$2:$B$52,2,FALSE)</f>
        <v>ME</v>
      </c>
      <c r="D1187" s="32">
        <v>23017.0</v>
      </c>
      <c r="E1187" s="33">
        <f>IF(NOT(ISBLANK(vlookup($D1187,Pop_Census_2023!$A$2:$E$3220,4,FALSE))),vlookup($D1187,Pop_Census_2023!$A$2:$E$3220,4,FALSE), vlookup($D1187,Pop_Census_2023!$A$2:$E$3220,5,FALSE))</f>
        <v>59905</v>
      </c>
      <c r="F1187" s="32">
        <v>581294.0</v>
      </c>
      <c r="G1187" s="32">
        <v>134.0</v>
      </c>
      <c r="H1187" s="32" t="str">
        <f>VLOOKUP(D1187, Grid_Region_Mapping!$D$2:$F$5286, 3, FALSE)</f>
        <v>ISNE</v>
      </c>
      <c r="I1187" s="32">
        <v>1.0</v>
      </c>
      <c r="J1187" s="34" t="str">
        <f t="shared" si="1"/>
        <v>Northeast</v>
      </c>
      <c r="K1187" s="35">
        <v>1.0</v>
      </c>
      <c r="L1187" s="35" t="s">
        <v>707</v>
      </c>
      <c r="M1187" s="36">
        <f>VLOOKUP(D1187, County_Data_CZones!$B$2:$F$3236, 2, FALSE)</f>
        <v>6</v>
      </c>
      <c r="N1187" s="37" t="str">
        <f>VLOOKUP(D1187, County_Data_CZones!$B$2:$F$3236, 5, FALSE)</f>
        <v>Cold</v>
      </c>
    </row>
    <row r="1188" ht="15.75" customHeight="1">
      <c r="A1188" s="32" t="s">
        <v>927</v>
      </c>
      <c r="B1188" s="32" t="s">
        <v>923</v>
      </c>
      <c r="C1188" s="32" t="str">
        <f>vlookup(B1188,State_EMM_RowSums!$A$2:$B$52,2,FALSE)</f>
        <v>ME</v>
      </c>
      <c r="D1188" s="32">
        <v>23019.0</v>
      </c>
      <c r="E1188" s="33">
        <f>IF(NOT(ISBLANK(vlookup($D1188,Pop_Census_2023!$A$2:$E$3220,4,FALSE))),vlookup($D1188,Pop_Census_2023!$A$2:$E$3220,4,FALSE), vlookup($D1188,Pop_Census_2023!$A$2:$E$3220,5,FALSE))</f>
        <v>155312</v>
      </c>
      <c r="F1188" s="32">
        <v>581295.0</v>
      </c>
      <c r="G1188" s="32">
        <v>134.0</v>
      </c>
      <c r="H1188" s="32" t="str">
        <f>VLOOKUP(D1188, Grid_Region_Mapping!$D$2:$F$5286, 3, FALSE)</f>
        <v>ISNE</v>
      </c>
      <c r="I1188" s="32">
        <v>1.0</v>
      </c>
      <c r="J1188" s="34" t="str">
        <f t="shared" si="1"/>
        <v>Northeast</v>
      </c>
      <c r="K1188" s="35">
        <v>1.0</v>
      </c>
      <c r="L1188" s="35" t="s">
        <v>707</v>
      </c>
      <c r="M1188" s="36">
        <f>VLOOKUP(D1188, County_Data_CZones!$B$2:$F$3236, 2, FALSE)</f>
        <v>6</v>
      </c>
      <c r="N1188" s="37" t="str">
        <f>VLOOKUP(D1188, County_Data_CZones!$B$2:$F$3236, 5, FALSE)</f>
        <v>Cold</v>
      </c>
    </row>
    <row r="1189" ht="15.75" customHeight="1">
      <c r="A1189" s="32" t="s">
        <v>928</v>
      </c>
      <c r="B1189" s="32" t="s">
        <v>923</v>
      </c>
      <c r="C1189" s="32" t="str">
        <f>vlookup(B1189,State_EMM_RowSums!$A$2:$B$52,2,FALSE)</f>
        <v>ME</v>
      </c>
      <c r="D1189" s="32">
        <v>23021.0</v>
      </c>
      <c r="E1189" s="33">
        <f>IF(NOT(ISBLANK(vlookup($D1189,Pop_Census_2023!$A$2:$E$3220,4,FALSE))),vlookup($D1189,Pop_Census_2023!$A$2:$E$3220,4,FALSE), vlookup($D1189,Pop_Census_2023!$A$2:$E$3220,5,FALSE))</f>
        <v>17486</v>
      </c>
      <c r="F1189" s="32">
        <v>581296.0</v>
      </c>
      <c r="G1189" s="32">
        <v>134.0</v>
      </c>
      <c r="H1189" s="32" t="str">
        <f>VLOOKUP(D1189, Grid_Region_Mapping!$D$2:$F$5286, 3, FALSE)</f>
        <v>ISNE</v>
      </c>
      <c r="I1189" s="32">
        <v>1.0</v>
      </c>
      <c r="J1189" s="34" t="str">
        <f t="shared" si="1"/>
        <v>Northeast</v>
      </c>
      <c r="K1189" s="35">
        <v>1.0</v>
      </c>
      <c r="L1189" s="35" t="s">
        <v>707</v>
      </c>
      <c r="M1189" s="36">
        <f>VLOOKUP(D1189, County_Data_CZones!$B$2:$F$3236, 2, FALSE)</f>
        <v>6</v>
      </c>
      <c r="N1189" s="37" t="str">
        <f>VLOOKUP(D1189, County_Data_CZones!$B$2:$F$3236, 5, FALSE)</f>
        <v>Cold</v>
      </c>
    </row>
    <row r="1190" ht="15.75" customHeight="1">
      <c r="A1190" s="32" t="s">
        <v>929</v>
      </c>
      <c r="B1190" s="32" t="s">
        <v>923</v>
      </c>
      <c r="C1190" s="32" t="str">
        <f>vlookup(B1190,State_EMM_RowSums!$A$2:$B$52,2,FALSE)</f>
        <v>ME</v>
      </c>
      <c r="D1190" s="32">
        <v>23023.0</v>
      </c>
      <c r="E1190" s="33">
        <f>IF(NOT(ISBLANK(vlookup($D1190,Pop_Census_2023!$A$2:$E$3220,4,FALSE))),vlookup($D1190,Pop_Census_2023!$A$2:$E$3220,4,FALSE), vlookup($D1190,Pop_Census_2023!$A$2:$E$3220,5,FALSE))</f>
        <v>37513</v>
      </c>
      <c r="F1190" s="32">
        <v>581297.0</v>
      </c>
      <c r="G1190" s="32">
        <v>134.0</v>
      </c>
      <c r="H1190" s="32" t="str">
        <f>VLOOKUP(D1190, Grid_Region_Mapping!$D$2:$F$5286, 3, FALSE)</f>
        <v>ISNE</v>
      </c>
      <c r="I1190" s="32">
        <v>1.0</v>
      </c>
      <c r="J1190" s="34" t="str">
        <f t="shared" si="1"/>
        <v>Northeast</v>
      </c>
      <c r="K1190" s="35">
        <v>1.0</v>
      </c>
      <c r="L1190" s="35" t="s">
        <v>707</v>
      </c>
      <c r="M1190" s="36">
        <f>VLOOKUP(D1190, County_Data_CZones!$B$2:$F$3236, 2, FALSE)</f>
        <v>6</v>
      </c>
      <c r="N1190" s="37" t="str">
        <f>VLOOKUP(D1190, County_Data_CZones!$B$2:$F$3236, 5, FALSE)</f>
        <v>Cold</v>
      </c>
    </row>
    <row r="1191" ht="15.75" customHeight="1">
      <c r="A1191" s="32" t="s">
        <v>930</v>
      </c>
      <c r="B1191" s="32" t="s">
        <v>923</v>
      </c>
      <c r="C1191" s="32" t="str">
        <f>vlookup(B1191,State_EMM_RowSums!$A$2:$B$52,2,FALSE)</f>
        <v>ME</v>
      </c>
      <c r="D1191" s="32">
        <v>23025.0</v>
      </c>
      <c r="E1191" s="33">
        <f>IF(NOT(ISBLANK(vlookup($D1191,Pop_Census_2023!$A$2:$E$3220,4,FALSE))),vlookup($D1191,Pop_Census_2023!$A$2:$E$3220,4,FALSE), vlookup($D1191,Pop_Census_2023!$A$2:$E$3220,5,FALSE))</f>
        <v>51302</v>
      </c>
      <c r="F1191" s="32">
        <v>581298.0</v>
      </c>
      <c r="G1191" s="32">
        <v>134.0</v>
      </c>
      <c r="H1191" s="32" t="str">
        <f>VLOOKUP(D1191, Grid_Region_Mapping!$D$2:$F$5286, 3, FALSE)</f>
        <v>ISNE</v>
      </c>
      <c r="I1191" s="32">
        <v>1.0</v>
      </c>
      <c r="J1191" s="34" t="str">
        <f t="shared" si="1"/>
        <v>Northeast</v>
      </c>
      <c r="K1191" s="35">
        <v>1.0</v>
      </c>
      <c r="L1191" s="35" t="s">
        <v>707</v>
      </c>
      <c r="M1191" s="36">
        <f>VLOOKUP(D1191, County_Data_CZones!$B$2:$F$3236, 2, FALSE)</f>
        <v>6</v>
      </c>
      <c r="N1191" s="37" t="str">
        <f>VLOOKUP(D1191, County_Data_CZones!$B$2:$F$3236, 5, FALSE)</f>
        <v>Cold</v>
      </c>
    </row>
    <row r="1192" ht="15.75" customHeight="1">
      <c r="A1192" s="32" t="s">
        <v>931</v>
      </c>
      <c r="B1192" s="32" t="s">
        <v>923</v>
      </c>
      <c r="C1192" s="32" t="str">
        <f>vlookup(B1192,State_EMM_RowSums!$A$2:$B$52,2,FALSE)</f>
        <v>ME</v>
      </c>
      <c r="D1192" s="32">
        <v>23027.0</v>
      </c>
      <c r="E1192" s="33">
        <f>IF(NOT(ISBLANK(vlookup($D1192,Pop_Census_2023!$A$2:$E$3220,4,FALSE))),vlookup($D1192,Pop_Census_2023!$A$2:$E$3220,4,FALSE), vlookup($D1192,Pop_Census_2023!$A$2:$E$3220,5,FALSE))</f>
        <v>40620</v>
      </c>
      <c r="F1192" s="32">
        <v>581299.0</v>
      </c>
      <c r="G1192" s="32">
        <v>134.0</v>
      </c>
      <c r="H1192" s="32" t="str">
        <f>VLOOKUP(D1192, Grid_Region_Mapping!$D$2:$F$5286, 3, FALSE)</f>
        <v>ISNE</v>
      </c>
      <c r="I1192" s="32">
        <v>1.0</v>
      </c>
      <c r="J1192" s="34" t="str">
        <f t="shared" si="1"/>
        <v>Northeast</v>
      </c>
      <c r="K1192" s="35">
        <v>1.0</v>
      </c>
      <c r="L1192" s="35" t="s">
        <v>707</v>
      </c>
      <c r="M1192" s="36">
        <f>VLOOKUP(D1192, County_Data_CZones!$B$2:$F$3236, 2, FALSE)</f>
        <v>6</v>
      </c>
      <c r="N1192" s="37" t="str">
        <f>VLOOKUP(D1192, County_Data_CZones!$B$2:$F$3236, 5, FALSE)</f>
        <v>Cold</v>
      </c>
    </row>
    <row r="1193" ht="15.75" customHeight="1">
      <c r="A1193" s="32" t="s">
        <v>167</v>
      </c>
      <c r="B1193" s="32" t="s">
        <v>923</v>
      </c>
      <c r="C1193" s="32" t="str">
        <f>vlookup(B1193,State_EMM_RowSums!$A$2:$B$52,2,FALSE)</f>
        <v>ME</v>
      </c>
      <c r="D1193" s="32">
        <v>23029.0</v>
      </c>
      <c r="E1193" s="33">
        <f>IF(NOT(ISBLANK(vlookup($D1193,Pop_Census_2023!$A$2:$E$3220,4,FALSE))),vlookup($D1193,Pop_Census_2023!$A$2:$E$3220,4,FALSE), vlookup($D1193,Pop_Census_2023!$A$2:$E$3220,5,FALSE))</f>
        <v>31555</v>
      </c>
      <c r="F1193" s="32">
        <v>581300.0</v>
      </c>
      <c r="G1193" s="32">
        <v>134.0</v>
      </c>
      <c r="H1193" s="32" t="str">
        <f>VLOOKUP(D1193, Grid_Region_Mapping!$D$2:$F$5286, 3, FALSE)</f>
        <v>ISNE</v>
      </c>
      <c r="I1193" s="32">
        <v>1.0</v>
      </c>
      <c r="J1193" s="34" t="str">
        <f t="shared" si="1"/>
        <v>Northeast</v>
      </c>
      <c r="K1193" s="35">
        <v>1.0</v>
      </c>
      <c r="L1193" s="35" t="s">
        <v>707</v>
      </c>
      <c r="M1193" s="36">
        <f>VLOOKUP(D1193, County_Data_CZones!$B$2:$F$3236, 2, FALSE)</f>
        <v>6</v>
      </c>
      <c r="N1193" s="37" t="str">
        <f>VLOOKUP(D1193, County_Data_CZones!$B$2:$F$3236, 5, FALSE)</f>
        <v>Cold</v>
      </c>
    </row>
    <row r="1194" ht="15.75" customHeight="1">
      <c r="A1194" s="32" t="s">
        <v>932</v>
      </c>
      <c r="B1194" s="32" t="s">
        <v>923</v>
      </c>
      <c r="C1194" s="32" t="str">
        <f>vlookup(B1194,State_EMM_RowSums!$A$2:$B$52,2,FALSE)</f>
        <v>ME</v>
      </c>
      <c r="D1194" s="32">
        <v>23031.0</v>
      </c>
      <c r="E1194" s="33">
        <f>IF(NOT(ISBLANK(vlookup($D1194,Pop_Census_2023!$A$2:$E$3220,4,FALSE))),vlookup($D1194,Pop_Census_2023!$A$2:$E$3220,4,FALSE), vlookup($D1194,Pop_Census_2023!$A$2:$E$3220,5,FALSE))</f>
        <v>218586</v>
      </c>
      <c r="F1194" s="32">
        <v>581301.0</v>
      </c>
      <c r="G1194" s="32">
        <v>134.0</v>
      </c>
      <c r="H1194" s="32" t="str">
        <f>VLOOKUP(D1194, Grid_Region_Mapping!$D$2:$F$5286, 3, FALSE)</f>
        <v>ISNE</v>
      </c>
      <c r="I1194" s="32">
        <v>1.0</v>
      </c>
      <c r="J1194" s="34" t="str">
        <f t="shared" si="1"/>
        <v>Northeast</v>
      </c>
      <c r="K1194" s="35">
        <v>1.0</v>
      </c>
      <c r="L1194" s="35" t="s">
        <v>707</v>
      </c>
      <c r="M1194" s="36">
        <f>VLOOKUP(D1194, County_Data_CZones!$B$2:$F$3236, 2, FALSE)</f>
        <v>6</v>
      </c>
      <c r="N1194" s="37" t="str">
        <f>VLOOKUP(D1194, County_Data_CZones!$B$2:$F$3236, 5, FALSE)</f>
        <v>Cold</v>
      </c>
    </row>
    <row r="1195" ht="15.75" customHeight="1">
      <c r="A1195" s="32" t="s">
        <v>933</v>
      </c>
      <c r="B1195" s="32" t="s">
        <v>934</v>
      </c>
      <c r="C1195" s="32" t="str">
        <f>vlookup(B1195,State_EMM_RowSums!$A$2:$B$52,2,FALSE)</f>
        <v>MD</v>
      </c>
      <c r="D1195" s="32">
        <v>24001.0</v>
      </c>
      <c r="E1195" s="33">
        <f>IF(NOT(ISBLANK(vlookup($D1195,Pop_Census_2023!$A$2:$E$3220,4,FALSE))),vlookup($D1195,Pop_Census_2023!$A$2:$E$3220,4,FALSE), vlookup($D1195,Pop_Census_2023!$A$2:$E$3220,5,FALSE))</f>
        <v>67273</v>
      </c>
      <c r="F1195" s="32">
        <v>1713506.0</v>
      </c>
      <c r="G1195" s="32">
        <v>121.0</v>
      </c>
      <c r="H1195" s="32" t="str">
        <f>VLOOKUP(D1195, Grid_Region_Mapping!$D$2:$F$5286, 3, FALSE)</f>
        <v>PJMW</v>
      </c>
      <c r="I1195" s="32">
        <v>5.0</v>
      </c>
      <c r="J1195" s="34" t="str">
        <f t="shared" si="1"/>
        <v>South</v>
      </c>
      <c r="K1195" s="35">
        <v>2.0</v>
      </c>
      <c r="L1195" s="35" t="s">
        <v>223</v>
      </c>
      <c r="M1195" s="36">
        <f>VLOOKUP(D1195, County_Data_CZones!$B$2:$F$3236, 2, FALSE)</f>
        <v>4</v>
      </c>
      <c r="N1195" s="37" t="str">
        <f>VLOOKUP(D1195, County_Data_CZones!$B$2:$F$3236, 5, FALSE)</f>
        <v>Mixed-Humid</v>
      </c>
    </row>
    <row r="1196" ht="15.75" customHeight="1">
      <c r="A1196" s="32" t="s">
        <v>935</v>
      </c>
      <c r="B1196" s="32" t="s">
        <v>934</v>
      </c>
      <c r="C1196" s="32" t="str">
        <f>vlookup(B1196,State_EMM_RowSums!$A$2:$B$52,2,FALSE)</f>
        <v>MD</v>
      </c>
      <c r="D1196" s="32">
        <v>24003.0</v>
      </c>
      <c r="E1196" s="33">
        <f>IF(NOT(ISBLANK(vlookup($D1196,Pop_Census_2023!$A$2:$E$3220,4,FALSE))),vlookup($D1196,Pop_Census_2023!$A$2:$E$3220,4,FALSE), vlookup($D1196,Pop_Census_2023!$A$2:$E$3220,5,FALSE))</f>
        <v>594582</v>
      </c>
      <c r="F1196" s="32">
        <v>1710958.0</v>
      </c>
      <c r="G1196" s="32">
        <v>123.0</v>
      </c>
      <c r="H1196" s="32" t="str">
        <f>VLOOKUP(D1196, Grid_Region_Mapping!$D$2:$F$5286, 3, FALSE)</f>
        <v>PJME</v>
      </c>
      <c r="I1196" s="32">
        <v>5.0</v>
      </c>
      <c r="J1196" s="34" t="str">
        <f t="shared" si="1"/>
        <v>South</v>
      </c>
      <c r="K1196" s="35">
        <v>3.0</v>
      </c>
      <c r="L1196" s="35" t="s">
        <v>223</v>
      </c>
      <c r="M1196" s="36">
        <f>VLOOKUP(D1196, County_Data_CZones!$B$2:$F$3236, 2, FALSE)</f>
        <v>4</v>
      </c>
      <c r="N1196" s="37" t="str">
        <f>VLOOKUP(D1196, County_Data_CZones!$B$2:$F$3236, 5, FALSE)</f>
        <v>Mixed-Humid</v>
      </c>
    </row>
    <row r="1197" ht="15.75" customHeight="1">
      <c r="A1197" s="32" t="s">
        <v>936</v>
      </c>
      <c r="B1197" s="32" t="s">
        <v>934</v>
      </c>
      <c r="C1197" s="32" t="str">
        <f>vlookup(B1197,State_EMM_RowSums!$A$2:$B$52,2,FALSE)</f>
        <v>MD</v>
      </c>
      <c r="D1197" s="32">
        <v>24005.0</v>
      </c>
      <c r="E1197" s="33">
        <f>IF(NOT(ISBLANK(vlookup($D1197,Pop_Census_2023!$A$2:$E$3220,4,FALSE))),vlookup($D1197,Pop_Census_2023!$A$2:$E$3220,4,FALSE), vlookup($D1197,Pop_Census_2023!$A$2:$E$3220,5,FALSE))</f>
        <v>844703</v>
      </c>
      <c r="F1197" s="32">
        <v>1695314.0</v>
      </c>
      <c r="G1197" s="32">
        <v>123.0</v>
      </c>
      <c r="H1197" s="32" t="str">
        <f>VLOOKUP(D1197, Grid_Region_Mapping!$D$2:$F$5286, 3, FALSE)</f>
        <v>PJME</v>
      </c>
      <c r="I1197" s="32">
        <v>5.0</v>
      </c>
      <c r="J1197" s="34" t="str">
        <f t="shared" si="1"/>
        <v>South</v>
      </c>
      <c r="K1197" s="35">
        <v>3.0</v>
      </c>
      <c r="L1197" s="35" t="s">
        <v>223</v>
      </c>
      <c r="M1197" s="36">
        <f>VLOOKUP(D1197, County_Data_CZones!$B$2:$F$3236, 2, FALSE)</f>
        <v>4</v>
      </c>
      <c r="N1197" s="37" t="str">
        <f>VLOOKUP(D1197, County_Data_CZones!$B$2:$F$3236, 5, FALSE)</f>
        <v>Mixed-Humid</v>
      </c>
    </row>
    <row r="1198" ht="15.75" customHeight="1">
      <c r="A1198" s="32" t="s">
        <v>937</v>
      </c>
      <c r="B1198" s="32" t="s">
        <v>934</v>
      </c>
      <c r="C1198" s="32" t="str">
        <f>vlookup(B1198,State_EMM_RowSums!$A$2:$B$52,2,FALSE)</f>
        <v>MD</v>
      </c>
      <c r="D1198" s="32">
        <v>24009.0</v>
      </c>
      <c r="E1198" s="33">
        <f>IF(NOT(ISBLANK(vlookup($D1198,Pop_Census_2023!$A$2:$E$3220,4,FALSE))),vlookup($D1198,Pop_Census_2023!$A$2:$E$3220,4,FALSE), vlookup($D1198,Pop_Census_2023!$A$2:$E$3220,5,FALSE))</f>
        <v>94728</v>
      </c>
      <c r="F1198" s="32">
        <v>1676636.0</v>
      </c>
      <c r="G1198" s="32">
        <v>123.0</v>
      </c>
      <c r="H1198" s="32" t="str">
        <f>VLOOKUP(D1198, Grid_Region_Mapping!$D$2:$F$5286, 3, FALSE)</f>
        <v>PJME</v>
      </c>
      <c r="I1198" s="32">
        <v>5.0</v>
      </c>
      <c r="J1198" s="34" t="str">
        <f t="shared" si="1"/>
        <v>South</v>
      </c>
      <c r="K1198" s="35">
        <v>3.0</v>
      </c>
      <c r="L1198" s="35" t="s">
        <v>223</v>
      </c>
      <c r="M1198" s="36">
        <f>VLOOKUP(D1198, County_Data_CZones!$B$2:$F$3236, 2, FALSE)</f>
        <v>4</v>
      </c>
      <c r="N1198" s="37" t="str">
        <f>VLOOKUP(D1198, County_Data_CZones!$B$2:$F$3236, 5, FALSE)</f>
        <v>Mixed-Humid</v>
      </c>
    </row>
    <row r="1199" ht="15.75" customHeight="1">
      <c r="A1199" s="32" t="s">
        <v>938</v>
      </c>
      <c r="B1199" s="32" t="s">
        <v>934</v>
      </c>
      <c r="C1199" s="32" t="str">
        <f>vlookup(B1199,State_EMM_RowSums!$A$2:$B$52,2,FALSE)</f>
        <v>MD</v>
      </c>
      <c r="D1199" s="32">
        <v>24011.0</v>
      </c>
      <c r="E1199" s="33">
        <f>IF(NOT(ISBLANK(vlookup($D1199,Pop_Census_2023!$A$2:$E$3220,4,FALSE))),vlookup($D1199,Pop_Census_2023!$A$2:$E$3220,4,FALSE), vlookup($D1199,Pop_Census_2023!$A$2:$E$3220,5,FALSE))</f>
        <v>33593</v>
      </c>
      <c r="F1199" s="32">
        <v>595737.0</v>
      </c>
      <c r="G1199" s="32">
        <v>123.0</v>
      </c>
      <c r="H1199" s="32" t="str">
        <f>VLOOKUP(D1199, Grid_Region_Mapping!$D$2:$F$5286, 3, FALSE)</f>
        <v>PJME</v>
      </c>
      <c r="I1199" s="32">
        <v>5.0</v>
      </c>
      <c r="J1199" s="34" t="str">
        <f t="shared" si="1"/>
        <v>South</v>
      </c>
      <c r="K1199" s="35">
        <v>3.0</v>
      </c>
      <c r="L1199" s="35" t="s">
        <v>223</v>
      </c>
      <c r="M1199" s="36">
        <f>VLOOKUP(D1199, County_Data_CZones!$B$2:$F$3236, 2, FALSE)</f>
        <v>4</v>
      </c>
      <c r="N1199" s="37" t="str">
        <f>VLOOKUP(D1199, County_Data_CZones!$B$2:$F$3236, 5, FALSE)</f>
        <v>Mixed-Humid</v>
      </c>
    </row>
    <row r="1200" ht="15.75" customHeight="1">
      <c r="A1200" s="32" t="s">
        <v>227</v>
      </c>
      <c r="B1200" s="32" t="s">
        <v>934</v>
      </c>
      <c r="C1200" s="32" t="str">
        <f>vlookup(B1200,State_EMM_RowSums!$A$2:$B$52,2,FALSE)</f>
        <v>MD</v>
      </c>
      <c r="D1200" s="32">
        <v>24013.0</v>
      </c>
      <c r="E1200" s="33">
        <f>IF(NOT(ISBLANK(vlookup($D1200,Pop_Census_2023!$A$2:$E$3220,4,FALSE))),vlookup($D1200,Pop_Census_2023!$A$2:$E$3220,4,FALSE), vlookup($D1200,Pop_Census_2023!$A$2:$E$3220,5,FALSE))</f>
        <v>176639</v>
      </c>
      <c r="F1200" s="32">
        <v>1696228.0</v>
      </c>
      <c r="G1200" s="32">
        <v>123.0</v>
      </c>
      <c r="H1200" s="32" t="str">
        <f>VLOOKUP(D1200, Grid_Region_Mapping!$D$2:$F$5286, 3, FALSE)</f>
        <v>PJME</v>
      </c>
      <c r="I1200" s="32">
        <v>5.0</v>
      </c>
      <c r="J1200" s="34" t="str">
        <f t="shared" si="1"/>
        <v>South</v>
      </c>
      <c r="K1200" s="35">
        <v>3.0</v>
      </c>
      <c r="L1200" s="35" t="s">
        <v>223</v>
      </c>
      <c r="M1200" s="36">
        <f>VLOOKUP(D1200, County_Data_CZones!$B$2:$F$3236, 2, FALSE)</f>
        <v>4</v>
      </c>
      <c r="N1200" s="37" t="str">
        <f>VLOOKUP(D1200, County_Data_CZones!$B$2:$F$3236, 5, FALSE)</f>
        <v>Mixed-Humid</v>
      </c>
    </row>
    <row r="1201" ht="15.75" customHeight="1">
      <c r="A1201" s="32" t="s">
        <v>939</v>
      </c>
      <c r="B1201" s="32" t="s">
        <v>934</v>
      </c>
      <c r="C1201" s="32" t="str">
        <f>vlookup(B1201,State_EMM_RowSums!$A$2:$B$52,2,FALSE)</f>
        <v>MD</v>
      </c>
      <c r="D1201" s="32">
        <v>24015.0</v>
      </c>
      <c r="E1201" s="33">
        <f>IF(NOT(ISBLANK(vlookup($D1201,Pop_Census_2023!$A$2:$E$3220,4,FALSE))),vlookup($D1201,Pop_Census_2023!$A$2:$E$3220,4,FALSE), vlookup($D1201,Pop_Census_2023!$A$2:$E$3220,5,FALSE))</f>
        <v>105672</v>
      </c>
      <c r="F1201" s="32">
        <v>596115.0</v>
      </c>
      <c r="G1201" s="32">
        <v>123.0</v>
      </c>
      <c r="H1201" s="32" t="str">
        <f>VLOOKUP(D1201, Grid_Region_Mapping!$D$2:$F$5286, 3, FALSE)</f>
        <v>PJME</v>
      </c>
      <c r="I1201" s="32">
        <v>5.0</v>
      </c>
      <c r="J1201" s="34" t="str">
        <f t="shared" si="1"/>
        <v>South</v>
      </c>
      <c r="K1201" s="35">
        <v>3.0</v>
      </c>
      <c r="L1201" s="35" t="s">
        <v>223</v>
      </c>
      <c r="M1201" s="36">
        <f>VLOOKUP(D1201, County_Data_CZones!$B$2:$F$3236, 2, FALSE)</f>
        <v>4</v>
      </c>
      <c r="N1201" s="37" t="str">
        <f>VLOOKUP(D1201, County_Data_CZones!$B$2:$F$3236, 5, FALSE)</f>
        <v>Mixed-Humid</v>
      </c>
    </row>
    <row r="1202" ht="15.75" customHeight="1">
      <c r="A1202" s="32" t="s">
        <v>940</v>
      </c>
      <c r="B1202" s="32" t="s">
        <v>934</v>
      </c>
      <c r="C1202" s="32" t="str">
        <f>vlookup(B1202,State_EMM_RowSums!$A$2:$B$52,2,FALSE)</f>
        <v>MD</v>
      </c>
      <c r="D1202" s="32">
        <v>24017.0</v>
      </c>
      <c r="E1202" s="33">
        <f>IF(NOT(ISBLANK(vlookup($D1202,Pop_Census_2023!$A$2:$E$3220,4,FALSE))),vlookup($D1202,Pop_Census_2023!$A$2:$E$3220,4,FALSE), vlookup($D1202,Pop_Census_2023!$A$2:$E$3220,5,FALSE))</f>
        <v>171973</v>
      </c>
      <c r="F1202" s="32">
        <v>1676992.0</v>
      </c>
      <c r="G1202" s="32">
        <v>123.0</v>
      </c>
      <c r="H1202" s="32" t="str">
        <f>VLOOKUP(D1202, Grid_Region_Mapping!$D$2:$F$5286, 3, FALSE)</f>
        <v>PJME</v>
      </c>
      <c r="I1202" s="32">
        <v>5.0</v>
      </c>
      <c r="J1202" s="34" t="str">
        <f t="shared" si="1"/>
        <v>South</v>
      </c>
      <c r="K1202" s="35">
        <v>3.0</v>
      </c>
      <c r="L1202" s="35" t="s">
        <v>223</v>
      </c>
      <c r="M1202" s="36">
        <f>VLOOKUP(D1202, County_Data_CZones!$B$2:$F$3236, 2, FALSE)</f>
        <v>4</v>
      </c>
      <c r="N1202" s="37" t="str">
        <f>VLOOKUP(D1202, County_Data_CZones!$B$2:$F$3236, 5, FALSE)</f>
        <v>Mixed-Humid</v>
      </c>
    </row>
    <row r="1203" ht="15.75" customHeight="1">
      <c r="A1203" s="32" t="s">
        <v>941</v>
      </c>
      <c r="B1203" s="32" t="s">
        <v>934</v>
      </c>
      <c r="C1203" s="32" t="str">
        <f>vlookup(B1203,State_EMM_RowSums!$A$2:$B$52,2,FALSE)</f>
        <v>MD</v>
      </c>
      <c r="D1203" s="32">
        <v>24019.0</v>
      </c>
      <c r="E1203" s="33">
        <f>IF(NOT(ISBLANK(vlookup($D1203,Pop_Census_2023!$A$2:$E$3220,4,FALSE))),vlookup($D1203,Pop_Census_2023!$A$2:$E$3220,4,FALSE), vlookup($D1203,Pop_Census_2023!$A$2:$E$3220,5,FALSE))</f>
        <v>32879</v>
      </c>
      <c r="F1203" s="32">
        <v>596495.0</v>
      </c>
      <c r="G1203" s="32">
        <v>123.0</v>
      </c>
      <c r="H1203" s="32" t="str">
        <f>VLOOKUP(D1203, Grid_Region_Mapping!$D$2:$F$5286, 3, FALSE)</f>
        <v>PJME</v>
      </c>
      <c r="I1203" s="32">
        <v>5.0</v>
      </c>
      <c r="J1203" s="34" t="str">
        <f t="shared" si="1"/>
        <v>South</v>
      </c>
      <c r="K1203" s="35">
        <v>3.0</v>
      </c>
      <c r="L1203" s="35" t="s">
        <v>223</v>
      </c>
      <c r="M1203" s="36">
        <f>VLOOKUP(D1203, County_Data_CZones!$B$2:$F$3236, 2, FALSE)</f>
        <v>4</v>
      </c>
      <c r="N1203" s="37" t="str">
        <f>VLOOKUP(D1203, County_Data_CZones!$B$2:$F$3236, 5, FALSE)</f>
        <v>Mixed-Humid</v>
      </c>
    </row>
    <row r="1204" ht="15.75" customHeight="1">
      <c r="A1204" s="32" t="s">
        <v>942</v>
      </c>
      <c r="B1204" s="32" t="s">
        <v>934</v>
      </c>
      <c r="C1204" s="32" t="str">
        <f>vlookup(B1204,State_EMM_RowSums!$A$2:$B$52,2,FALSE)</f>
        <v>MD</v>
      </c>
      <c r="D1204" s="32">
        <v>24021.0</v>
      </c>
      <c r="E1204" s="33">
        <f>IF(NOT(ISBLANK(vlookup($D1204,Pop_Census_2023!$A$2:$E$3220,4,FALSE))),vlookup($D1204,Pop_Census_2023!$A$2:$E$3220,4,FALSE), vlookup($D1204,Pop_Census_2023!$A$2:$E$3220,5,FALSE))</f>
        <v>293391</v>
      </c>
      <c r="F1204" s="32">
        <v>1711211.0</v>
      </c>
      <c r="G1204" s="32">
        <v>121.0</v>
      </c>
      <c r="H1204" s="32" t="str">
        <f>VLOOKUP(D1204, Grid_Region_Mapping!$D$2:$F$5286, 3, FALSE)</f>
        <v>PJMW</v>
      </c>
      <c r="I1204" s="32">
        <v>5.0</v>
      </c>
      <c r="J1204" s="34" t="str">
        <f t="shared" si="1"/>
        <v>South</v>
      </c>
      <c r="K1204" s="35">
        <v>3.0</v>
      </c>
      <c r="L1204" s="35" t="s">
        <v>223</v>
      </c>
      <c r="M1204" s="36">
        <f>VLOOKUP(D1204, County_Data_CZones!$B$2:$F$3236, 2, FALSE)</f>
        <v>4</v>
      </c>
      <c r="N1204" s="37" t="str">
        <f>VLOOKUP(D1204, County_Data_CZones!$B$2:$F$3236, 5, FALSE)</f>
        <v>Mixed-Humid</v>
      </c>
    </row>
    <row r="1205" ht="15.75" customHeight="1">
      <c r="A1205" s="32" t="s">
        <v>943</v>
      </c>
      <c r="B1205" s="32" t="s">
        <v>934</v>
      </c>
      <c r="C1205" s="32" t="str">
        <f>vlookup(B1205,State_EMM_RowSums!$A$2:$B$52,2,FALSE)</f>
        <v>MD</v>
      </c>
      <c r="D1205" s="32">
        <v>24023.0</v>
      </c>
      <c r="E1205" s="33">
        <f>IF(NOT(ISBLANK(vlookup($D1205,Pop_Census_2023!$A$2:$E$3220,4,FALSE))),vlookup($D1205,Pop_Census_2023!$A$2:$E$3220,4,FALSE), vlookup($D1205,Pop_Census_2023!$A$2:$E$3220,5,FALSE))</f>
        <v>28423</v>
      </c>
      <c r="F1205" s="32">
        <v>1711058.0</v>
      </c>
      <c r="G1205" s="32">
        <v>121.0</v>
      </c>
      <c r="H1205" s="32" t="str">
        <f>VLOOKUP(D1205, Grid_Region_Mapping!$D$2:$F$5286, 3, FALSE)</f>
        <v>PJMW</v>
      </c>
      <c r="I1205" s="32">
        <v>5.0</v>
      </c>
      <c r="J1205" s="34" t="str">
        <f t="shared" si="1"/>
        <v>South</v>
      </c>
      <c r="K1205" s="35">
        <v>2.0</v>
      </c>
      <c r="L1205" s="35" t="s">
        <v>396</v>
      </c>
      <c r="M1205" s="36">
        <f>VLOOKUP(D1205, County_Data_CZones!$B$2:$F$3236, 2, FALSE)</f>
        <v>5</v>
      </c>
      <c r="N1205" s="37" t="str">
        <f>VLOOKUP(D1205, County_Data_CZones!$B$2:$F$3236, 5, FALSE)</f>
        <v>Cold</v>
      </c>
    </row>
    <row r="1206" ht="15.75" customHeight="1">
      <c r="A1206" s="32" t="s">
        <v>944</v>
      </c>
      <c r="B1206" s="32" t="s">
        <v>934</v>
      </c>
      <c r="C1206" s="32" t="str">
        <f>vlookup(B1206,State_EMM_RowSums!$A$2:$B$52,2,FALSE)</f>
        <v>MD</v>
      </c>
      <c r="D1206" s="32">
        <v>24025.0</v>
      </c>
      <c r="E1206" s="33">
        <f>IF(NOT(ISBLANK(vlookup($D1206,Pop_Census_2023!$A$2:$E$3220,4,FALSE))),vlookup($D1206,Pop_Census_2023!$A$2:$E$3220,4,FALSE), vlookup($D1206,Pop_Census_2023!$A$2:$E$3220,5,FALSE))</f>
        <v>264644</v>
      </c>
      <c r="F1206" s="32">
        <v>1698178.0</v>
      </c>
      <c r="G1206" s="32">
        <v>123.0</v>
      </c>
      <c r="H1206" s="32" t="str">
        <f>VLOOKUP(D1206, Grid_Region_Mapping!$D$2:$F$5286, 3, FALSE)</f>
        <v>PJME</v>
      </c>
      <c r="I1206" s="32">
        <v>5.0</v>
      </c>
      <c r="J1206" s="34" t="str">
        <f t="shared" si="1"/>
        <v>South</v>
      </c>
      <c r="K1206" s="35">
        <v>3.0</v>
      </c>
      <c r="L1206" s="35" t="s">
        <v>223</v>
      </c>
      <c r="M1206" s="36">
        <f>VLOOKUP(D1206, County_Data_CZones!$B$2:$F$3236, 2, FALSE)</f>
        <v>4</v>
      </c>
      <c r="N1206" s="37" t="str">
        <f>VLOOKUP(D1206, County_Data_CZones!$B$2:$F$3236, 5, FALSE)</f>
        <v>Mixed-Humid</v>
      </c>
    </row>
    <row r="1207" ht="15.75" customHeight="1">
      <c r="A1207" s="32" t="s">
        <v>245</v>
      </c>
      <c r="B1207" s="32" t="s">
        <v>934</v>
      </c>
      <c r="C1207" s="32" t="str">
        <f>vlookup(B1207,State_EMM_RowSums!$A$2:$B$52,2,FALSE)</f>
        <v>MD</v>
      </c>
      <c r="D1207" s="32">
        <v>24027.0</v>
      </c>
      <c r="E1207" s="33">
        <f>IF(NOT(ISBLANK(vlookup($D1207,Pop_Census_2023!$A$2:$E$3220,4,FALSE))),vlookup($D1207,Pop_Census_2023!$A$2:$E$3220,4,FALSE), vlookup($D1207,Pop_Census_2023!$A$2:$E$3220,5,FALSE))</f>
        <v>336001</v>
      </c>
      <c r="F1207" s="32">
        <v>1709077.0</v>
      </c>
      <c r="G1207" s="32">
        <v>123.0</v>
      </c>
      <c r="H1207" s="32" t="str">
        <f>VLOOKUP(D1207, Grid_Region_Mapping!$D$2:$F$5286, 3, FALSE)</f>
        <v>PJME</v>
      </c>
      <c r="I1207" s="32">
        <v>5.0</v>
      </c>
      <c r="J1207" s="34" t="str">
        <f t="shared" si="1"/>
        <v>South</v>
      </c>
      <c r="K1207" s="35">
        <v>3.0</v>
      </c>
      <c r="L1207" s="35" t="s">
        <v>223</v>
      </c>
      <c r="M1207" s="36">
        <f>VLOOKUP(D1207, County_Data_CZones!$B$2:$F$3236, 2, FALSE)</f>
        <v>4</v>
      </c>
      <c r="N1207" s="37" t="str">
        <f>VLOOKUP(D1207, County_Data_CZones!$B$2:$F$3236, 5, FALSE)</f>
        <v>Mixed-Humid</v>
      </c>
    </row>
    <row r="1208" ht="15.75" customHeight="1">
      <c r="A1208" s="32" t="s">
        <v>404</v>
      </c>
      <c r="B1208" s="32" t="s">
        <v>934</v>
      </c>
      <c r="C1208" s="32" t="str">
        <f>vlookup(B1208,State_EMM_RowSums!$A$2:$B$52,2,FALSE)</f>
        <v>MD</v>
      </c>
      <c r="D1208" s="32">
        <v>24029.0</v>
      </c>
      <c r="E1208" s="33">
        <f>IF(NOT(ISBLANK(vlookup($D1208,Pop_Census_2023!$A$2:$E$3220,4,FALSE))),vlookup($D1208,Pop_Census_2023!$A$2:$E$3220,4,FALSE), vlookup($D1208,Pop_Census_2023!$A$2:$E$3220,5,FALSE))</f>
        <v>19303</v>
      </c>
      <c r="F1208" s="32">
        <v>593907.0</v>
      </c>
      <c r="G1208" s="32">
        <v>123.0</v>
      </c>
      <c r="H1208" s="32" t="str">
        <f>VLOOKUP(D1208, Grid_Region_Mapping!$D$2:$F$5286, 3, FALSE)</f>
        <v>PJME</v>
      </c>
      <c r="I1208" s="32">
        <v>5.0</v>
      </c>
      <c r="J1208" s="34" t="str">
        <f t="shared" si="1"/>
        <v>South</v>
      </c>
      <c r="K1208" s="35">
        <v>3.0</v>
      </c>
      <c r="L1208" s="35" t="s">
        <v>223</v>
      </c>
      <c r="M1208" s="36">
        <f>VLOOKUP(D1208, County_Data_CZones!$B$2:$F$3236, 2, FALSE)</f>
        <v>4</v>
      </c>
      <c r="N1208" s="37" t="str">
        <f>VLOOKUP(D1208, County_Data_CZones!$B$2:$F$3236, 5, FALSE)</f>
        <v>Mixed-Humid</v>
      </c>
    </row>
    <row r="1209" ht="15.75" customHeight="1">
      <c r="A1209" s="32" t="s">
        <v>153</v>
      </c>
      <c r="B1209" s="32" t="s">
        <v>934</v>
      </c>
      <c r="C1209" s="32" t="str">
        <f>vlookup(B1209,State_EMM_RowSums!$A$2:$B$52,2,FALSE)</f>
        <v>MD</v>
      </c>
      <c r="D1209" s="32">
        <v>24031.0</v>
      </c>
      <c r="E1209" s="33">
        <f>IF(NOT(ISBLANK(vlookup($D1209,Pop_Census_2023!$A$2:$E$3220,4,FALSE))),vlookup($D1209,Pop_Census_2023!$A$2:$E$3220,4,FALSE), vlookup($D1209,Pop_Census_2023!$A$2:$E$3220,5,FALSE))</f>
        <v>1058474</v>
      </c>
      <c r="F1209" s="32">
        <v>1712500.0</v>
      </c>
      <c r="G1209" s="32">
        <v>123.0</v>
      </c>
      <c r="H1209" s="32" t="str">
        <f>VLOOKUP(D1209, Grid_Region_Mapping!$D$2:$F$5286, 3, FALSE)</f>
        <v>PJMW</v>
      </c>
      <c r="I1209" s="32">
        <v>5.0</v>
      </c>
      <c r="J1209" s="34" t="str">
        <f t="shared" si="1"/>
        <v>South</v>
      </c>
      <c r="K1209" s="35">
        <v>3.0</v>
      </c>
      <c r="L1209" s="35" t="s">
        <v>223</v>
      </c>
      <c r="M1209" s="36">
        <f>VLOOKUP(D1209, County_Data_CZones!$B$2:$F$3236, 2, FALSE)</f>
        <v>4</v>
      </c>
      <c r="N1209" s="37" t="str">
        <f>VLOOKUP(D1209, County_Data_CZones!$B$2:$F$3236, 5, FALSE)</f>
        <v>Mixed-Humid</v>
      </c>
    </row>
    <row r="1210" ht="15.75" customHeight="1">
      <c r="A1210" s="32" t="s">
        <v>945</v>
      </c>
      <c r="B1210" s="32" t="s">
        <v>934</v>
      </c>
      <c r="C1210" s="32" t="str">
        <f>vlookup(B1210,State_EMM_RowSums!$A$2:$B$52,2,FALSE)</f>
        <v>MD</v>
      </c>
      <c r="D1210" s="32">
        <v>24033.0</v>
      </c>
      <c r="E1210" s="33">
        <f>IF(NOT(ISBLANK(vlookup($D1210,Pop_Census_2023!$A$2:$E$3220,4,FALSE))),vlookup($D1210,Pop_Census_2023!$A$2:$E$3220,4,FALSE), vlookup($D1210,Pop_Census_2023!$A$2:$E$3220,5,FALSE))</f>
        <v>947430</v>
      </c>
      <c r="F1210" s="32">
        <v>1714670.0</v>
      </c>
      <c r="G1210" s="32">
        <v>123.0</v>
      </c>
      <c r="H1210" s="32" t="str">
        <f>VLOOKUP(D1210, Grid_Region_Mapping!$D$2:$F$5286, 3, FALSE)</f>
        <v>PJME</v>
      </c>
      <c r="I1210" s="32">
        <v>5.0</v>
      </c>
      <c r="J1210" s="34" t="str">
        <f t="shared" si="1"/>
        <v>South</v>
      </c>
      <c r="K1210" s="35">
        <v>3.0</v>
      </c>
      <c r="L1210" s="35" t="s">
        <v>223</v>
      </c>
      <c r="M1210" s="36">
        <f>VLOOKUP(D1210, County_Data_CZones!$B$2:$F$3236, 2, FALSE)</f>
        <v>4</v>
      </c>
      <c r="N1210" s="37" t="str">
        <f>VLOOKUP(D1210, County_Data_CZones!$B$2:$F$3236, 5, FALSE)</f>
        <v>Mixed-Humid</v>
      </c>
    </row>
    <row r="1211" ht="15.75" customHeight="1">
      <c r="A1211" s="32" t="s">
        <v>946</v>
      </c>
      <c r="B1211" s="32" t="s">
        <v>934</v>
      </c>
      <c r="C1211" s="32" t="str">
        <f>vlookup(B1211,State_EMM_RowSums!$A$2:$B$52,2,FALSE)</f>
        <v>MD</v>
      </c>
      <c r="D1211" s="32">
        <v>24035.0</v>
      </c>
      <c r="E1211" s="33">
        <f>IF(NOT(ISBLANK(vlookup($D1211,Pop_Census_2023!$A$2:$E$3220,4,FALSE))),vlookup($D1211,Pop_Census_2023!$A$2:$E$3220,4,FALSE), vlookup($D1211,Pop_Census_2023!$A$2:$E$3220,5,FALSE))</f>
        <v>52508</v>
      </c>
      <c r="F1211" s="32">
        <v>596089.0</v>
      </c>
      <c r="G1211" s="32">
        <v>123.0</v>
      </c>
      <c r="H1211" s="32" t="str">
        <f>VLOOKUP(D1211, Grid_Region_Mapping!$D$2:$F$5286, 3, FALSE)</f>
        <v>PJME</v>
      </c>
      <c r="I1211" s="32">
        <v>5.0</v>
      </c>
      <c r="J1211" s="34" t="str">
        <f t="shared" si="1"/>
        <v>South</v>
      </c>
      <c r="K1211" s="35">
        <v>3.0</v>
      </c>
      <c r="L1211" s="35" t="s">
        <v>223</v>
      </c>
      <c r="M1211" s="36">
        <f>VLOOKUP(D1211, County_Data_CZones!$B$2:$F$3236, 2, FALSE)</f>
        <v>4</v>
      </c>
      <c r="N1211" s="37" t="str">
        <f>VLOOKUP(D1211, County_Data_CZones!$B$2:$F$3236, 5, FALSE)</f>
        <v>Mixed-Humid</v>
      </c>
    </row>
    <row r="1212" ht="15.75" customHeight="1">
      <c r="A1212" s="32" t="s">
        <v>947</v>
      </c>
      <c r="B1212" s="32" t="s">
        <v>934</v>
      </c>
      <c r="C1212" s="32" t="str">
        <f>vlookup(B1212,State_EMM_RowSums!$A$2:$B$52,2,FALSE)</f>
        <v>MD</v>
      </c>
      <c r="D1212" s="32">
        <v>24037.0</v>
      </c>
      <c r="E1212" s="33">
        <f>IF(NOT(ISBLANK(vlookup($D1212,Pop_Census_2023!$A$2:$E$3220,4,FALSE))),vlookup($D1212,Pop_Census_2023!$A$2:$E$3220,4,FALSE), vlookup($D1212,Pop_Census_2023!$A$2:$E$3220,5,FALSE))</f>
        <v>115281</v>
      </c>
      <c r="F1212" s="32">
        <v>1697853.0</v>
      </c>
      <c r="G1212" s="32">
        <v>123.0</v>
      </c>
      <c r="H1212" s="32" t="str">
        <f>VLOOKUP(D1212, Grid_Region_Mapping!$D$2:$F$5286, 3, FALSE)</f>
        <v>PJME</v>
      </c>
      <c r="I1212" s="32">
        <v>5.0</v>
      </c>
      <c r="J1212" s="34" t="str">
        <f t="shared" si="1"/>
        <v>South</v>
      </c>
      <c r="K1212" s="35">
        <v>3.0</v>
      </c>
      <c r="L1212" s="35" t="s">
        <v>223</v>
      </c>
      <c r="M1212" s="36">
        <f>VLOOKUP(D1212, County_Data_CZones!$B$2:$F$3236, 2, FALSE)</f>
        <v>4</v>
      </c>
      <c r="N1212" s="37" t="str">
        <f>VLOOKUP(D1212, County_Data_CZones!$B$2:$F$3236, 5, FALSE)</f>
        <v>Mixed-Humid</v>
      </c>
    </row>
    <row r="1213" ht="15.75" customHeight="1">
      <c r="A1213" s="32" t="s">
        <v>930</v>
      </c>
      <c r="B1213" s="32" t="s">
        <v>934</v>
      </c>
      <c r="C1213" s="32" t="str">
        <f>vlookup(B1213,State_EMM_RowSums!$A$2:$B$52,2,FALSE)</f>
        <v>MD</v>
      </c>
      <c r="D1213" s="32">
        <v>24039.0</v>
      </c>
      <c r="E1213" s="33">
        <f>IF(NOT(ISBLANK(vlookup($D1213,Pop_Census_2023!$A$2:$E$3220,4,FALSE))),vlookup($D1213,Pop_Census_2023!$A$2:$E$3220,4,FALSE), vlookup($D1213,Pop_Census_2023!$A$2:$E$3220,5,FALSE))</f>
        <v>24910</v>
      </c>
      <c r="F1213" s="32">
        <v>596907.0</v>
      </c>
      <c r="G1213" s="32">
        <v>123.0</v>
      </c>
      <c r="H1213" s="32" t="str">
        <f>VLOOKUP(D1213, Grid_Region_Mapping!$D$2:$F$5286, 3, FALSE)</f>
        <v>PJME</v>
      </c>
      <c r="I1213" s="32">
        <v>5.0</v>
      </c>
      <c r="J1213" s="34" t="str">
        <f t="shared" si="1"/>
        <v>South</v>
      </c>
      <c r="K1213" s="35">
        <v>3.0</v>
      </c>
      <c r="L1213" s="35" t="s">
        <v>223</v>
      </c>
      <c r="M1213" s="36">
        <f>VLOOKUP(D1213, County_Data_CZones!$B$2:$F$3236, 2, FALSE)</f>
        <v>4</v>
      </c>
      <c r="N1213" s="37" t="str">
        <f>VLOOKUP(D1213, County_Data_CZones!$B$2:$F$3236, 5, FALSE)</f>
        <v>Mixed-Humid</v>
      </c>
    </row>
    <row r="1214" ht="15.75" customHeight="1">
      <c r="A1214" s="32" t="s">
        <v>546</v>
      </c>
      <c r="B1214" s="32" t="s">
        <v>934</v>
      </c>
      <c r="C1214" s="32" t="str">
        <f>vlookup(B1214,State_EMM_RowSums!$A$2:$B$52,2,FALSE)</f>
        <v>MD</v>
      </c>
      <c r="D1214" s="32">
        <v>24041.0</v>
      </c>
      <c r="E1214" s="33">
        <f>IF(NOT(ISBLANK(vlookup($D1214,Pop_Census_2023!$A$2:$E$3220,4,FALSE))),vlookup($D1214,Pop_Census_2023!$A$2:$E$3220,4,FALSE), vlookup($D1214,Pop_Census_2023!$A$2:$E$3220,5,FALSE))</f>
        <v>37823</v>
      </c>
      <c r="F1214" s="32">
        <v>592947.0</v>
      </c>
      <c r="G1214" s="32">
        <v>123.0</v>
      </c>
      <c r="H1214" s="32" t="str">
        <f>VLOOKUP(D1214, Grid_Region_Mapping!$D$2:$F$5286, 3, FALSE)</f>
        <v>PJME</v>
      </c>
      <c r="I1214" s="32">
        <v>5.0</v>
      </c>
      <c r="J1214" s="34" t="str">
        <f t="shared" si="1"/>
        <v>South</v>
      </c>
      <c r="K1214" s="35">
        <v>3.0</v>
      </c>
      <c r="L1214" s="35" t="s">
        <v>223</v>
      </c>
      <c r="M1214" s="36">
        <f>VLOOKUP(D1214, County_Data_CZones!$B$2:$F$3236, 2, FALSE)</f>
        <v>4</v>
      </c>
      <c r="N1214" s="37" t="str">
        <f>VLOOKUP(D1214, County_Data_CZones!$B$2:$F$3236, 5, FALSE)</f>
        <v>Mixed-Humid</v>
      </c>
    </row>
    <row r="1215" ht="15.75" customHeight="1">
      <c r="A1215" s="32" t="s">
        <v>167</v>
      </c>
      <c r="B1215" s="32" t="s">
        <v>934</v>
      </c>
      <c r="C1215" s="32" t="str">
        <f>vlookup(B1215,State_EMM_RowSums!$A$2:$B$52,2,FALSE)</f>
        <v>MD</v>
      </c>
      <c r="D1215" s="32">
        <v>24043.0</v>
      </c>
      <c r="E1215" s="33">
        <f>IF(NOT(ISBLANK(vlookup($D1215,Pop_Census_2023!$A$2:$E$3220,4,FALSE))),vlookup($D1215,Pop_Census_2023!$A$2:$E$3220,4,FALSE), vlookup($D1215,Pop_Census_2023!$A$2:$E$3220,5,FALSE))</f>
        <v>155813</v>
      </c>
      <c r="F1215" s="32">
        <v>1714220.0</v>
      </c>
      <c r="G1215" s="32">
        <v>121.0</v>
      </c>
      <c r="H1215" s="32" t="str">
        <f>VLOOKUP(D1215, Grid_Region_Mapping!$D$2:$F$5286, 3, FALSE)</f>
        <v>PJMW</v>
      </c>
      <c r="I1215" s="32">
        <v>5.0</v>
      </c>
      <c r="J1215" s="34" t="str">
        <f t="shared" si="1"/>
        <v>South</v>
      </c>
      <c r="K1215" s="35">
        <v>3.0</v>
      </c>
      <c r="L1215" s="35" t="s">
        <v>223</v>
      </c>
      <c r="M1215" s="36">
        <f>VLOOKUP(D1215, County_Data_CZones!$B$2:$F$3236, 2, FALSE)</f>
        <v>4</v>
      </c>
      <c r="N1215" s="37" t="str">
        <f>VLOOKUP(D1215, County_Data_CZones!$B$2:$F$3236, 5, FALSE)</f>
        <v>Mixed-Humid</v>
      </c>
    </row>
    <row r="1216" ht="15.75" customHeight="1">
      <c r="A1216" s="32" t="s">
        <v>948</v>
      </c>
      <c r="B1216" s="32" t="s">
        <v>934</v>
      </c>
      <c r="C1216" s="32" t="str">
        <f>vlookup(B1216,State_EMM_RowSums!$A$2:$B$52,2,FALSE)</f>
        <v>MD</v>
      </c>
      <c r="D1216" s="32">
        <v>24045.0</v>
      </c>
      <c r="E1216" s="33">
        <f>IF(NOT(ISBLANK(vlookup($D1216,Pop_Census_2023!$A$2:$E$3220,4,FALSE))),vlookup($D1216,Pop_Census_2023!$A$2:$E$3220,4,FALSE), vlookup($D1216,Pop_Census_2023!$A$2:$E$3220,5,FALSE))</f>
        <v>104800</v>
      </c>
      <c r="F1216" s="32">
        <v>1668606.0</v>
      </c>
      <c r="G1216" s="32">
        <v>123.0</v>
      </c>
      <c r="H1216" s="32" t="str">
        <f>VLOOKUP(D1216, Grid_Region_Mapping!$D$2:$F$5286, 3, FALSE)</f>
        <v>PJME</v>
      </c>
      <c r="I1216" s="32">
        <v>5.0</v>
      </c>
      <c r="J1216" s="34" t="str">
        <f t="shared" si="1"/>
        <v>South</v>
      </c>
      <c r="K1216" s="35">
        <v>3.0</v>
      </c>
      <c r="L1216" s="35" t="s">
        <v>223</v>
      </c>
      <c r="M1216" s="36">
        <f>VLOOKUP(D1216, County_Data_CZones!$B$2:$F$3236, 2, FALSE)</f>
        <v>4</v>
      </c>
      <c r="N1216" s="37" t="str">
        <f>VLOOKUP(D1216, County_Data_CZones!$B$2:$F$3236, 5, FALSE)</f>
        <v>Mixed-Humid</v>
      </c>
    </row>
    <row r="1217" ht="15.75" customHeight="1">
      <c r="A1217" s="32" t="s">
        <v>949</v>
      </c>
      <c r="B1217" s="32" t="s">
        <v>934</v>
      </c>
      <c r="C1217" s="32" t="str">
        <f>vlookup(B1217,State_EMM_RowSums!$A$2:$B$52,2,FALSE)</f>
        <v>MD</v>
      </c>
      <c r="D1217" s="32">
        <v>24047.0</v>
      </c>
      <c r="E1217" s="33">
        <f>IF(NOT(ISBLANK(vlookup($D1217,Pop_Census_2023!$A$2:$E$3220,4,FALSE))),vlookup($D1217,Pop_Census_2023!$A$2:$E$3220,4,FALSE), vlookup($D1217,Pop_Census_2023!$A$2:$E$3220,5,FALSE))</f>
        <v>54171</v>
      </c>
      <c r="F1217" s="32">
        <v>1668802.0</v>
      </c>
      <c r="G1217" s="32">
        <v>123.0</v>
      </c>
      <c r="H1217" s="32" t="str">
        <f>VLOOKUP(D1217, Grid_Region_Mapping!$D$2:$F$5286, 3, FALSE)</f>
        <v>PJME</v>
      </c>
      <c r="I1217" s="32">
        <v>5.0</v>
      </c>
      <c r="J1217" s="34" t="str">
        <f t="shared" si="1"/>
        <v>South</v>
      </c>
      <c r="K1217" s="35">
        <v>3.0</v>
      </c>
      <c r="L1217" s="35" t="s">
        <v>223</v>
      </c>
      <c r="M1217" s="36">
        <f>VLOOKUP(D1217, County_Data_CZones!$B$2:$F$3236, 2, FALSE)</f>
        <v>4</v>
      </c>
      <c r="N1217" s="37" t="str">
        <f>VLOOKUP(D1217, County_Data_CZones!$B$2:$F$3236, 5, FALSE)</f>
        <v>Mixed-Humid</v>
      </c>
    </row>
    <row r="1218" ht="15.75" customHeight="1">
      <c r="A1218" s="32" t="s">
        <v>950</v>
      </c>
      <c r="B1218" s="32" t="s">
        <v>934</v>
      </c>
      <c r="C1218" s="32" t="str">
        <f>vlookup(B1218,State_EMM_RowSums!$A$2:$B$52,2,FALSE)</f>
        <v>MD</v>
      </c>
      <c r="D1218" s="32">
        <v>24510.0</v>
      </c>
      <c r="E1218" s="33">
        <f>IF(NOT(ISBLANK(vlookup($D1218,Pop_Census_2023!$A$2:$E$3220,4,FALSE))),vlookup($D1218,Pop_Census_2023!$A$2:$E$3220,4,FALSE), vlookup($D1218,Pop_Census_2023!$A$2:$E$3220,5,FALSE))</f>
        <v>565239</v>
      </c>
      <c r="F1218" s="32">
        <v>1702381.0</v>
      </c>
      <c r="G1218" s="32">
        <v>123.0</v>
      </c>
      <c r="H1218" s="32" t="str">
        <f>VLOOKUP(D1218, Grid_Region_Mapping!$D$2:$F$5286, 3, FALSE)</f>
        <v>PJME</v>
      </c>
      <c r="I1218" s="32">
        <v>5.0</v>
      </c>
      <c r="J1218" s="34" t="str">
        <f t="shared" si="1"/>
        <v>South</v>
      </c>
      <c r="K1218" s="35">
        <v>3.0</v>
      </c>
      <c r="L1218" s="35" t="s">
        <v>223</v>
      </c>
      <c r="M1218" s="36">
        <f>VLOOKUP(D1218, County_Data_CZones!$B$2:$F$3236, 2, FALSE)</f>
        <v>4</v>
      </c>
      <c r="N1218" s="37" t="str">
        <f>VLOOKUP(D1218, County_Data_CZones!$B$2:$F$3236, 5, FALSE)</f>
        <v>Mixed-Humid</v>
      </c>
    </row>
    <row r="1219" ht="15.75" customHeight="1">
      <c r="A1219" s="32" t="s">
        <v>951</v>
      </c>
      <c r="B1219" s="32" t="s">
        <v>952</v>
      </c>
      <c r="C1219" s="32" t="str">
        <f>vlookup(B1219,State_EMM_RowSums!$A$2:$B$52,2,FALSE)</f>
        <v>MA</v>
      </c>
      <c r="D1219" s="32">
        <v>25001.0</v>
      </c>
      <c r="E1219" s="33">
        <f>IF(NOT(ISBLANK(vlookup($D1219,Pop_Census_2023!$A$2:$E$3220,4,FALSE))),vlookup($D1219,Pop_Census_2023!$A$2:$E$3220,4,FALSE), vlookup($D1219,Pop_Census_2023!$A$2:$E$3220,5,FALSE))</f>
        <v>231735</v>
      </c>
      <c r="F1219" s="32">
        <v>606927.0</v>
      </c>
      <c r="G1219" s="32">
        <v>131.0</v>
      </c>
      <c r="H1219" s="32" t="str">
        <f>VLOOKUP(D1219, Grid_Region_Mapping!$D$2:$F$5286, 3, FALSE)</f>
        <v>ISNE</v>
      </c>
      <c r="I1219" s="32">
        <v>1.0</v>
      </c>
      <c r="J1219" s="34" t="str">
        <f t="shared" si="1"/>
        <v>Northeast</v>
      </c>
      <c r="K1219" s="35">
        <v>2.0</v>
      </c>
      <c r="L1219" s="35" t="s">
        <v>396</v>
      </c>
      <c r="M1219" s="36">
        <f>VLOOKUP(D1219, County_Data_CZones!$B$2:$F$3236, 2, FALSE)</f>
        <v>5</v>
      </c>
      <c r="N1219" s="37" t="str">
        <f>VLOOKUP(D1219, County_Data_CZones!$B$2:$F$3236, 5, FALSE)</f>
        <v>Cold</v>
      </c>
    </row>
    <row r="1220" ht="15.75" customHeight="1">
      <c r="A1220" s="32" t="s">
        <v>953</v>
      </c>
      <c r="B1220" s="32" t="s">
        <v>952</v>
      </c>
      <c r="C1220" s="32" t="str">
        <f>vlookup(B1220,State_EMM_RowSums!$A$2:$B$52,2,FALSE)</f>
        <v>MA</v>
      </c>
      <c r="D1220" s="32">
        <v>25003.0</v>
      </c>
      <c r="E1220" s="33">
        <f>IF(NOT(ISBLANK(vlookup($D1220,Pop_Census_2023!$A$2:$E$3220,4,FALSE))),vlookup($D1220,Pop_Census_2023!$A$2:$E$3220,4,FALSE), vlookup($D1220,Pop_Census_2023!$A$2:$E$3220,5,FALSE))</f>
        <v>126818</v>
      </c>
      <c r="F1220" s="32">
        <v>606928.0</v>
      </c>
      <c r="G1220" s="32">
        <v>131.0</v>
      </c>
      <c r="H1220" s="32" t="str">
        <f>VLOOKUP(D1220, Grid_Region_Mapping!$D$2:$F$5286, 3, FALSE)</f>
        <v>ISNE</v>
      </c>
      <c r="I1220" s="32">
        <v>1.0</v>
      </c>
      <c r="J1220" s="34" t="str">
        <f t="shared" si="1"/>
        <v>Northeast</v>
      </c>
      <c r="K1220" s="35">
        <v>2.0</v>
      </c>
      <c r="L1220" s="35" t="s">
        <v>396</v>
      </c>
      <c r="M1220" s="36">
        <f>VLOOKUP(D1220, County_Data_CZones!$B$2:$F$3236, 2, FALSE)</f>
        <v>5</v>
      </c>
      <c r="N1220" s="37" t="str">
        <f>VLOOKUP(D1220, County_Data_CZones!$B$2:$F$3236, 5, FALSE)</f>
        <v>Cold</v>
      </c>
    </row>
    <row r="1221" ht="15.75" customHeight="1">
      <c r="A1221" s="32" t="s">
        <v>954</v>
      </c>
      <c r="B1221" s="32" t="s">
        <v>952</v>
      </c>
      <c r="C1221" s="32" t="str">
        <f>vlookup(B1221,State_EMM_RowSums!$A$2:$B$52,2,FALSE)</f>
        <v>MA</v>
      </c>
      <c r="D1221" s="32">
        <v>25005.0</v>
      </c>
      <c r="E1221" s="33">
        <f>IF(NOT(ISBLANK(vlookup($D1221,Pop_Census_2023!$A$2:$E$3220,4,FALSE))),vlookup($D1221,Pop_Census_2023!$A$2:$E$3220,4,FALSE), vlookup($D1221,Pop_Census_2023!$A$2:$E$3220,5,FALSE))</f>
        <v>581841</v>
      </c>
      <c r="F1221" s="32">
        <v>606929.0</v>
      </c>
      <c r="G1221" s="32">
        <v>131.0</v>
      </c>
      <c r="H1221" s="32" t="str">
        <f>VLOOKUP(D1221, Grid_Region_Mapping!$D$2:$F$5286, 3, FALSE)</f>
        <v>ISNE</v>
      </c>
      <c r="I1221" s="32">
        <v>1.0</v>
      </c>
      <c r="J1221" s="34" t="str">
        <f t="shared" si="1"/>
        <v>Northeast</v>
      </c>
      <c r="K1221" s="35">
        <v>2.0</v>
      </c>
      <c r="L1221" s="35" t="s">
        <v>396</v>
      </c>
      <c r="M1221" s="36">
        <f>VLOOKUP(D1221, County_Data_CZones!$B$2:$F$3236, 2, FALSE)</f>
        <v>5</v>
      </c>
      <c r="N1221" s="37" t="str">
        <f>VLOOKUP(D1221, County_Data_CZones!$B$2:$F$3236, 5, FALSE)</f>
        <v>Cold</v>
      </c>
    </row>
    <row r="1222" ht="15.75" customHeight="1">
      <c r="A1222" s="32" t="s">
        <v>955</v>
      </c>
      <c r="B1222" s="32" t="s">
        <v>952</v>
      </c>
      <c r="C1222" s="32" t="str">
        <f>vlookup(B1222,State_EMM_RowSums!$A$2:$B$52,2,FALSE)</f>
        <v>MA</v>
      </c>
      <c r="D1222" s="32">
        <v>25007.0</v>
      </c>
      <c r="E1222" s="33">
        <f>IF(NOT(ISBLANK(vlookup($D1222,Pop_Census_2023!$A$2:$E$3220,4,FALSE))),vlookup($D1222,Pop_Census_2023!$A$2:$E$3220,4,FALSE), vlookup($D1222,Pop_Census_2023!$A$2:$E$3220,5,FALSE))</f>
        <v>20819</v>
      </c>
      <c r="F1222" s="32">
        <v>606930.0</v>
      </c>
      <c r="G1222" s="32">
        <v>131.0</v>
      </c>
      <c r="H1222" s="32" t="str">
        <f>VLOOKUP(D1222, Grid_Region_Mapping!$D$2:$F$5286, 3, FALSE)</f>
        <v>ISNE</v>
      </c>
      <c r="I1222" s="32">
        <v>1.0</v>
      </c>
      <c r="J1222" s="34" t="str">
        <f t="shared" si="1"/>
        <v>Northeast</v>
      </c>
      <c r="K1222" s="35">
        <v>2.0</v>
      </c>
      <c r="L1222" s="35" t="s">
        <v>396</v>
      </c>
      <c r="M1222" s="36">
        <f>VLOOKUP(D1222, County_Data_CZones!$B$2:$F$3236, 2, FALSE)</f>
        <v>5</v>
      </c>
      <c r="N1222" s="37" t="str">
        <f>VLOOKUP(D1222, County_Data_CZones!$B$2:$F$3236, 5, FALSE)</f>
        <v>Cold</v>
      </c>
    </row>
    <row r="1223" ht="15.75" customHeight="1">
      <c r="A1223" s="32" t="s">
        <v>956</v>
      </c>
      <c r="B1223" s="32" t="s">
        <v>952</v>
      </c>
      <c r="C1223" s="32" t="str">
        <f>vlookup(B1223,State_EMM_RowSums!$A$2:$B$52,2,FALSE)</f>
        <v>MA</v>
      </c>
      <c r="D1223" s="32">
        <v>25009.0</v>
      </c>
      <c r="E1223" s="33">
        <f>IF(NOT(ISBLANK(vlookup($D1223,Pop_Census_2023!$A$2:$E$3220,4,FALSE))),vlookup($D1223,Pop_Census_2023!$A$2:$E$3220,4,FALSE), vlookup($D1223,Pop_Census_2023!$A$2:$E$3220,5,FALSE))</f>
        <v>810089</v>
      </c>
      <c r="F1223" s="32">
        <v>606931.0</v>
      </c>
      <c r="G1223" s="32">
        <v>131.0</v>
      </c>
      <c r="H1223" s="32" t="str">
        <f>VLOOKUP(D1223, Grid_Region_Mapping!$D$2:$F$5286, 3, FALSE)</f>
        <v>ISNE</v>
      </c>
      <c r="I1223" s="32">
        <v>1.0</v>
      </c>
      <c r="J1223" s="34" t="str">
        <f t="shared" si="1"/>
        <v>Northeast</v>
      </c>
      <c r="K1223" s="35">
        <v>2.0</v>
      </c>
      <c r="L1223" s="35" t="s">
        <v>396</v>
      </c>
      <c r="M1223" s="36">
        <f>VLOOKUP(D1223, County_Data_CZones!$B$2:$F$3236, 2, FALSE)</f>
        <v>5</v>
      </c>
      <c r="N1223" s="37" t="str">
        <f>VLOOKUP(D1223, County_Data_CZones!$B$2:$F$3236, 5, FALSE)</f>
        <v>Cold</v>
      </c>
    </row>
    <row r="1224" ht="15.75" customHeight="1">
      <c r="A1224" s="32" t="s">
        <v>132</v>
      </c>
      <c r="B1224" s="32" t="s">
        <v>952</v>
      </c>
      <c r="C1224" s="32" t="str">
        <f>vlookup(B1224,State_EMM_RowSums!$A$2:$B$52,2,FALSE)</f>
        <v>MA</v>
      </c>
      <c r="D1224" s="32">
        <v>25011.0</v>
      </c>
      <c r="E1224" s="33">
        <f>IF(NOT(ISBLANK(vlookup($D1224,Pop_Census_2023!$A$2:$E$3220,4,FALSE))),vlookup($D1224,Pop_Census_2023!$A$2:$E$3220,4,FALSE), vlookup($D1224,Pop_Census_2023!$A$2:$E$3220,5,FALSE))</f>
        <v>70836</v>
      </c>
      <c r="F1224" s="32">
        <v>606932.0</v>
      </c>
      <c r="G1224" s="32">
        <v>131.0</v>
      </c>
      <c r="H1224" s="32" t="str">
        <f>VLOOKUP(D1224, Grid_Region_Mapping!$D$2:$F$5286, 3, FALSE)</f>
        <v>ISNE</v>
      </c>
      <c r="I1224" s="32">
        <v>1.0</v>
      </c>
      <c r="J1224" s="34" t="str">
        <f t="shared" si="1"/>
        <v>Northeast</v>
      </c>
      <c r="K1224" s="35">
        <v>2.0</v>
      </c>
      <c r="L1224" s="35" t="s">
        <v>396</v>
      </c>
      <c r="M1224" s="36">
        <f>VLOOKUP(D1224, County_Data_CZones!$B$2:$F$3236, 2, FALSE)</f>
        <v>5</v>
      </c>
      <c r="N1224" s="37" t="str">
        <f>VLOOKUP(D1224, County_Data_CZones!$B$2:$F$3236, 5, FALSE)</f>
        <v>Cold</v>
      </c>
    </row>
    <row r="1225" ht="15.75" customHeight="1">
      <c r="A1225" s="32" t="s">
        <v>957</v>
      </c>
      <c r="B1225" s="32" t="s">
        <v>952</v>
      </c>
      <c r="C1225" s="32" t="str">
        <f>vlookup(B1225,State_EMM_RowSums!$A$2:$B$52,2,FALSE)</f>
        <v>MA</v>
      </c>
      <c r="D1225" s="32">
        <v>25013.0</v>
      </c>
      <c r="E1225" s="33">
        <f>IF(NOT(ISBLANK(vlookup($D1225,Pop_Census_2023!$A$2:$E$3220,4,FALSE))),vlookup($D1225,Pop_Census_2023!$A$2:$E$3220,4,FALSE), vlookup($D1225,Pop_Census_2023!$A$2:$E$3220,5,FALSE))</f>
        <v>460291</v>
      </c>
      <c r="F1225" s="32">
        <v>606933.0</v>
      </c>
      <c r="G1225" s="32">
        <v>131.0</v>
      </c>
      <c r="H1225" s="32" t="str">
        <f>VLOOKUP(D1225, Grid_Region_Mapping!$D$2:$F$5286, 3, FALSE)</f>
        <v>ISNE</v>
      </c>
      <c r="I1225" s="32">
        <v>1.0</v>
      </c>
      <c r="J1225" s="34" t="str">
        <f t="shared" si="1"/>
        <v>Northeast</v>
      </c>
      <c r="K1225" s="35">
        <v>2.0</v>
      </c>
      <c r="L1225" s="35" t="s">
        <v>396</v>
      </c>
      <c r="M1225" s="36">
        <f>VLOOKUP(D1225, County_Data_CZones!$B$2:$F$3236, 2, FALSE)</f>
        <v>5</v>
      </c>
      <c r="N1225" s="37" t="str">
        <f>VLOOKUP(D1225, County_Data_CZones!$B$2:$F$3236, 5, FALSE)</f>
        <v>Cold</v>
      </c>
    </row>
    <row r="1226" ht="15.75" customHeight="1">
      <c r="A1226" s="32" t="s">
        <v>958</v>
      </c>
      <c r="B1226" s="32" t="s">
        <v>952</v>
      </c>
      <c r="C1226" s="32" t="str">
        <f>vlookup(B1226,State_EMM_RowSums!$A$2:$B$52,2,FALSE)</f>
        <v>MA</v>
      </c>
      <c r="D1226" s="32">
        <v>25015.0</v>
      </c>
      <c r="E1226" s="33">
        <f>IF(NOT(ISBLANK(vlookup($D1226,Pop_Census_2023!$A$2:$E$3220,4,FALSE))),vlookup($D1226,Pop_Census_2023!$A$2:$E$3220,4,FALSE), vlookup($D1226,Pop_Census_2023!$A$2:$E$3220,5,FALSE))</f>
        <v>162502</v>
      </c>
      <c r="F1226" s="32">
        <v>606934.0</v>
      </c>
      <c r="G1226" s="32">
        <v>131.0</v>
      </c>
      <c r="H1226" s="32" t="str">
        <f>VLOOKUP(D1226, Grid_Region_Mapping!$D$2:$F$5286, 3, FALSE)</f>
        <v>ISNE</v>
      </c>
      <c r="I1226" s="32">
        <v>1.0</v>
      </c>
      <c r="J1226" s="34" t="str">
        <f t="shared" si="1"/>
        <v>Northeast</v>
      </c>
      <c r="K1226" s="35">
        <v>2.0</v>
      </c>
      <c r="L1226" s="35" t="s">
        <v>396</v>
      </c>
      <c r="M1226" s="36">
        <f>VLOOKUP(D1226, County_Data_CZones!$B$2:$F$3236, 2, FALSE)</f>
        <v>5</v>
      </c>
      <c r="N1226" s="37" t="str">
        <f>VLOOKUP(D1226, County_Data_CZones!$B$2:$F$3236, 5, FALSE)</f>
        <v>Cold</v>
      </c>
    </row>
    <row r="1227" ht="15.75" customHeight="1">
      <c r="A1227" s="32" t="s">
        <v>399</v>
      </c>
      <c r="B1227" s="32" t="s">
        <v>952</v>
      </c>
      <c r="C1227" s="32" t="str">
        <f>vlookup(B1227,State_EMM_RowSums!$A$2:$B$52,2,FALSE)</f>
        <v>MA</v>
      </c>
      <c r="D1227" s="32">
        <v>25017.0</v>
      </c>
      <c r="E1227" s="33">
        <f>IF(NOT(ISBLANK(vlookup($D1227,Pop_Census_2023!$A$2:$E$3220,4,FALSE))),vlookup($D1227,Pop_Census_2023!$A$2:$E$3220,4,FALSE), vlookup($D1227,Pop_Census_2023!$A$2:$E$3220,5,FALSE))</f>
        <v>1623952</v>
      </c>
      <c r="F1227" s="32">
        <v>606935.0</v>
      </c>
      <c r="G1227" s="32">
        <v>131.0</v>
      </c>
      <c r="H1227" s="32" t="str">
        <f>VLOOKUP(D1227, Grid_Region_Mapping!$D$2:$F$5286, 3, FALSE)</f>
        <v>ISNE</v>
      </c>
      <c r="I1227" s="32">
        <v>1.0</v>
      </c>
      <c r="J1227" s="34" t="str">
        <f t="shared" si="1"/>
        <v>Northeast</v>
      </c>
      <c r="K1227" s="35">
        <v>2.0</v>
      </c>
      <c r="L1227" s="35" t="s">
        <v>396</v>
      </c>
      <c r="M1227" s="36">
        <f>VLOOKUP(D1227, County_Data_CZones!$B$2:$F$3236, 2, FALSE)</f>
        <v>5</v>
      </c>
      <c r="N1227" s="37" t="str">
        <f>VLOOKUP(D1227, County_Data_CZones!$B$2:$F$3236, 5, FALSE)</f>
        <v>Cold</v>
      </c>
    </row>
    <row r="1228" ht="15.75" customHeight="1">
      <c r="A1228" s="32" t="s">
        <v>959</v>
      </c>
      <c r="B1228" s="32" t="s">
        <v>952</v>
      </c>
      <c r="C1228" s="32" t="str">
        <f>vlookup(B1228,State_EMM_RowSums!$A$2:$B$52,2,FALSE)</f>
        <v>MA</v>
      </c>
      <c r="D1228" s="32">
        <v>25019.0</v>
      </c>
      <c r="E1228" s="33">
        <f>IF(NOT(ISBLANK(vlookup($D1228,Pop_Census_2023!$A$2:$E$3220,4,FALSE))),vlookup($D1228,Pop_Census_2023!$A$2:$E$3220,4,FALSE), vlookup($D1228,Pop_Census_2023!$A$2:$E$3220,5,FALSE))</f>
        <v>14444</v>
      </c>
      <c r="F1228" s="32">
        <v>606936.0</v>
      </c>
      <c r="G1228" s="32">
        <v>131.0</v>
      </c>
      <c r="H1228" s="32" t="str">
        <f>VLOOKUP(D1228, Grid_Region_Mapping!$D$2:$F$5286, 3, FALSE)</f>
        <v>ISNE</v>
      </c>
      <c r="I1228" s="32">
        <v>1.0</v>
      </c>
      <c r="J1228" s="34" t="str">
        <f t="shared" si="1"/>
        <v>Northeast</v>
      </c>
      <c r="K1228" s="35">
        <v>2.0</v>
      </c>
      <c r="L1228" s="35" t="s">
        <v>396</v>
      </c>
      <c r="M1228" s="36">
        <f>VLOOKUP(D1228, County_Data_CZones!$B$2:$F$3236, 2, FALSE)</f>
        <v>5</v>
      </c>
      <c r="N1228" s="37" t="str">
        <f>VLOOKUP(D1228, County_Data_CZones!$B$2:$F$3236, 5, FALSE)</f>
        <v>Cold</v>
      </c>
    </row>
    <row r="1229" ht="15.75" customHeight="1">
      <c r="A1229" s="32" t="s">
        <v>960</v>
      </c>
      <c r="B1229" s="32" t="s">
        <v>952</v>
      </c>
      <c r="C1229" s="32" t="str">
        <f>vlookup(B1229,State_EMM_RowSums!$A$2:$B$52,2,FALSE)</f>
        <v>MA</v>
      </c>
      <c r="D1229" s="32">
        <v>25021.0</v>
      </c>
      <c r="E1229" s="33">
        <f>IF(NOT(ISBLANK(vlookup($D1229,Pop_Census_2023!$A$2:$E$3220,4,FALSE))),vlookup($D1229,Pop_Census_2023!$A$2:$E$3220,4,FALSE), vlookup($D1229,Pop_Census_2023!$A$2:$E$3220,5,FALSE))</f>
        <v>727473</v>
      </c>
      <c r="F1229" s="32">
        <v>606937.0</v>
      </c>
      <c r="G1229" s="32">
        <v>131.0</v>
      </c>
      <c r="H1229" s="32" t="str">
        <f>VLOOKUP(D1229, Grid_Region_Mapping!$D$2:$F$5286, 3, FALSE)</f>
        <v>ISNE</v>
      </c>
      <c r="I1229" s="32">
        <v>1.0</v>
      </c>
      <c r="J1229" s="34" t="str">
        <f t="shared" si="1"/>
        <v>Northeast</v>
      </c>
      <c r="K1229" s="35">
        <v>2.0</v>
      </c>
      <c r="L1229" s="35" t="s">
        <v>396</v>
      </c>
      <c r="M1229" s="36">
        <f>VLOOKUP(D1229, County_Data_CZones!$B$2:$F$3236, 2, FALSE)</f>
        <v>5</v>
      </c>
      <c r="N1229" s="37" t="str">
        <f>VLOOKUP(D1229, County_Data_CZones!$B$2:$F$3236, 5, FALSE)</f>
        <v>Cold</v>
      </c>
    </row>
    <row r="1230" ht="15.75" customHeight="1">
      <c r="A1230" s="32" t="s">
        <v>737</v>
      </c>
      <c r="B1230" s="32" t="s">
        <v>952</v>
      </c>
      <c r="C1230" s="32" t="str">
        <f>vlookup(B1230,State_EMM_RowSums!$A$2:$B$52,2,FALSE)</f>
        <v>MA</v>
      </c>
      <c r="D1230" s="32">
        <v>25023.0</v>
      </c>
      <c r="E1230" s="33">
        <f>IF(NOT(ISBLANK(vlookup($D1230,Pop_Census_2023!$A$2:$E$3220,4,FALSE))),vlookup($D1230,Pop_Census_2023!$A$2:$E$3220,4,FALSE), vlookup($D1230,Pop_Census_2023!$A$2:$E$3220,5,FALSE))</f>
        <v>535308</v>
      </c>
      <c r="F1230" s="32">
        <v>606938.0</v>
      </c>
      <c r="G1230" s="32">
        <v>131.0</v>
      </c>
      <c r="H1230" s="32" t="str">
        <f>VLOOKUP(D1230, Grid_Region_Mapping!$D$2:$F$5286, 3, FALSE)</f>
        <v>ISNE</v>
      </c>
      <c r="I1230" s="32">
        <v>1.0</v>
      </c>
      <c r="J1230" s="34" t="str">
        <f t="shared" si="1"/>
        <v>Northeast</v>
      </c>
      <c r="K1230" s="35">
        <v>2.0</v>
      </c>
      <c r="L1230" s="35" t="s">
        <v>396</v>
      </c>
      <c r="M1230" s="36">
        <f>VLOOKUP(D1230, County_Data_CZones!$B$2:$F$3236, 2, FALSE)</f>
        <v>5</v>
      </c>
      <c r="N1230" s="37" t="str">
        <f>VLOOKUP(D1230, County_Data_CZones!$B$2:$F$3236, 5, FALSE)</f>
        <v>Cold</v>
      </c>
    </row>
    <row r="1231" ht="15.75" customHeight="1">
      <c r="A1231" s="32" t="s">
        <v>961</v>
      </c>
      <c r="B1231" s="32" t="s">
        <v>952</v>
      </c>
      <c r="C1231" s="32" t="str">
        <f>vlookup(B1231,State_EMM_RowSums!$A$2:$B$52,2,FALSE)</f>
        <v>MA</v>
      </c>
      <c r="D1231" s="32">
        <v>25025.0</v>
      </c>
      <c r="E1231" s="33">
        <f>IF(NOT(ISBLANK(vlookup($D1231,Pop_Census_2023!$A$2:$E$3220,4,FALSE))),vlookup($D1231,Pop_Census_2023!$A$2:$E$3220,4,FALSE), vlookup($D1231,Pop_Census_2023!$A$2:$E$3220,5,FALSE))</f>
        <v>768425</v>
      </c>
      <c r="F1231" s="32">
        <v>606939.0</v>
      </c>
      <c r="G1231" s="32">
        <v>131.0</v>
      </c>
      <c r="H1231" s="32" t="str">
        <f>VLOOKUP(D1231, Grid_Region_Mapping!$D$2:$F$5286, 3, FALSE)</f>
        <v>ISNE</v>
      </c>
      <c r="I1231" s="32">
        <v>1.0</v>
      </c>
      <c r="J1231" s="34" t="str">
        <f t="shared" si="1"/>
        <v>Northeast</v>
      </c>
      <c r="K1231" s="35">
        <v>2.0</v>
      </c>
      <c r="L1231" s="35" t="s">
        <v>396</v>
      </c>
      <c r="M1231" s="36">
        <f>VLOOKUP(D1231, County_Data_CZones!$B$2:$F$3236, 2, FALSE)</f>
        <v>5</v>
      </c>
      <c r="N1231" s="37" t="str">
        <f>VLOOKUP(D1231, County_Data_CZones!$B$2:$F$3236, 5, FALSE)</f>
        <v>Cold</v>
      </c>
    </row>
    <row r="1232" ht="15.75" customHeight="1">
      <c r="A1232" s="32" t="s">
        <v>949</v>
      </c>
      <c r="B1232" s="32" t="s">
        <v>952</v>
      </c>
      <c r="C1232" s="32" t="str">
        <f>vlookup(B1232,State_EMM_RowSums!$A$2:$B$52,2,FALSE)</f>
        <v>MA</v>
      </c>
      <c r="D1232" s="32">
        <v>25027.0</v>
      </c>
      <c r="E1232" s="33">
        <f>IF(NOT(ISBLANK(vlookup($D1232,Pop_Census_2023!$A$2:$E$3220,4,FALSE))),vlookup($D1232,Pop_Census_2023!$A$2:$E$3220,4,FALSE), vlookup($D1232,Pop_Census_2023!$A$2:$E$3220,5,FALSE))</f>
        <v>866866</v>
      </c>
      <c r="F1232" s="32">
        <v>606940.0</v>
      </c>
      <c r="G1232" s="32">
        <v>131.0</v>
      </c>
      <c r="H1232" s="32" t="str">
        <f>VLOOKUP(D1232, Grid_Region_Mapping!$D$2:$F$5286, 3, FALSE)</f>
        <v>ISNE</v>
      </c>
      <c r="I1232" s="32">
        <v>1.0</v>
      </c>
      <c r="J1232" s="34" t="str">
        <f t="shared" si="1"/>
        <v>Northeast</v>
      </c>
      <c r="K1232" s="35">
        <v>2.0</v>
      </c>
      <c r="L1232" s="35" t="s">
        <v>396</v>
      </c>
      <c r="M1232" s="36">
        <f>VLOOKUP(D1232, County_Data_CZones!$B$2:$F$3236, 2, FALSE)</f>
        <v>5</v>
      </c>
      <c r="N1232" s="37" t="str">
        <f>VLOOKUP(D1232, County_Data_CZones!$B$2:$F$3236, 5, FALSE)</f>
        <v>Cold</v>
      </c>
    </row>
    <row r="1233" ht="15.75" customHeight="1">
      <c r="A1233" s="32" t="s">
        <v>962</v>
      </c>
      <c r="B1233" s="32" t="s">
        <v>963</v>
      </c>
      <c r="C1233" s="32" t="str">
        <f>vlookup(B1233,State_EMM_RowSums!$A$2:$B$52,2,FALSE)</f>
        <v>MI</v>
      </c>
      <c r="D1233" s="32">
        <v>26001.0</v>
      </c>
      <c r="E1233" s="33">
        <f>IF(NOT(ISBLANK(vlookup($D1233,Pop_Census_2023!$A$2:$E$3220,4,FALSE))),vlookup($D1233,Pop_Census_2023!$A$2:$E$3220,4,FALSE), vlookup($D1233,Pop_Census_2023!$A$2:$E$3220,5,FALSE))</f>
        <v>10489</v>
      </c>
      <c r="F1233" s="32">
        <v>1622943.0</v>
      </c>
      <c r="G1233" s="32">
        <v>103.0</v>
      </c>
      <c r="H1233" s="32" t="str">
        <f>VLOOKUP(D1233, Grid_Region_Mapping!$D$2:$F$5286, 3, FALSE)</f>
        <v>MISE</v>
      </c>
      <c r="I1233" s="32">
        <v>3.0</v>
      </c>
      <c r="J1233" s="34" t="str">
        <f t="shared" si="1"/>
        <v>Midwest</v>
      </c>
      <c r="K1233" s="35">
        <v>1.0</v>
      </c>
      <c r="L1233" s="35" t="s">
        <v>707</v>
      </c>
      <c r="M1233" s="36">
        <f>VLOOKUP(D1233, County_Data_CZones!$B$2:$F$3236, 2, FALSE)</f>
        <v>6</v>
      </c>
      <c r="N1233" s="37" t="str">
        <f>VLOOKUP(D1233, County_Data_CZones!$B$2:$F$3236, 5, FALSE)</f>
        <v>Cold</v>
      </c>
    </row>
    <row r="1234" ht="15.75" customHeight="1">
      <c r="A1234" s="32" t="s">
        <v>964</v>
      </c>
      <c r="B1234" s="32" t="s">
        <v>963</v>
      </c>
      <c r="C1234" s="32" t="str">
        <f>vlookup(B1234,State_EMM_RowSums!$A$2:$B$52,2,FALSE)</f>
        <v>MI</v>
      </c>
      <c r="D1234" s="32">
        <v>26003.0</v>
      </c>
      <c r="E1234" s="33">
        <f>IF(NOT(ISBLANK(vlookup($D1234,Pop_Census_2023!$A$2:$E$3220,4,FALSE))),vlookup($D1234,Pop_Census_2023!$A$2:$E$3220,4,FALSE), vlookup($D1234,Pop_Census_2023!$A$2:$E$3220,5,FALSE))</f>
        <v>8757</v>
      </c>
      <c r="F1234" s="32">
        <v>1622944.0</v>
      </c>
      <c r="G1234" s="32">
        <v>74.0</v>
      </c>
      <c r="H1234" s="32" t="str">
        <f>VLOOKUP(D1234, Grid_Region_Mapping!$D$2:$F$5286, 3, FALSE)</f>
        <v>MISW</v>
      </c>
      <c r="I1234" s="32">
        <v>3.0</v>
      </c>
      <c r="J1234" s="34" t="str">
        <f t="shared" si="1"/>
        <v>Midwest</v>
      </c>
      <c r="K1234" s="35">
        <v>1.0</v>
      </c>
      <c r="L1234" s="35" t="s">
        <v>707</v>
      </c>
      <c r="M1234" s="36">
        <f>VLOOKUP(D1234, County_Data_CZones!$B$2:$F$3236, 2, FALSE)</f>
        <v>6</v>
      </c>
      <c r="N1234" s="37" t="str">
        <f>VLOOKUP(D1234, County_Data_CZones!$B$2:$F$3236, 5, FALSE)</f>
        <v>Cold</v>
      </c>
    </row>
    <row r="1235" ht="15.75" customHeight="1">
      <c r="A1235" s="32" t="s">
        <v>965</v>
      </c>
      <c r="B1235" s="32" t="s">
        <v>963</v>
      </c>
      <c r="C1235" s="32" t="str">
        <f>vlookup(B1235,State_EMM_RowSums!$A$2:$B$52,2,FALSE)</f>
        <v>MI</v>
      </c>
      <c r="D1235" s="32">
        <v>26005.0</v>
      </c>
      <c r="E1235" s="33">
        <f>IF(NOT(ISBLANK(vlookup($D1235,Pop_Census_2023!$A$2:$E$3220,4,FALSE))),vlookup($D1235,Pop_Census_2023!$A$2:$E$3220,4,FALSE), vlookup($D1235,Pop_Census_2023!$A$2:$E$3220,5,FALSE))</f>
        <v>121939</v>
      </c>
      <c r="F1235" s="32">
        <v>1622945.0</v>
      </c>
      <c r="G1235" s="32">
        <v>103.0</v>
      </c>
      <c r="H1235" s="32" t="str">
        <f>VLOOKUP(D1235, Grid_Region_Mapping!$D$2:$F$5286, 3, FALSE)</f>
        <v>PJMW</v>
      </c>
      <c r="I1235" s="32">
        <v>3.0</v>
      </c>
      <c r="J1235" s="34" t="str">
        <f t="shared" si="1"/>
        <v>Midwest</v>
      </c>
      <c r="K1235" s="35">
        <v>2.0</v>
      </c>
      <c r="L1235" s="35" t="s">
        <v>396</v>
      </c>
      <c r="M1235" s="36">
        <f>VLOOKUP(D1235, County_Data_CZones!$B$2:$F$3236, 2, FALSE)</f>
        <v>5</v>
      </c>
      <c r="N1235" s="37" t="str">
        <f>VLOOKUP(D1235, County_Data_CZones!$B$2:$F$3236, 5, FALSE)</f>
        <v>Cold</v>
      </c>
    </row>
    <row r="1236" ht="15.75" customHeight="1">
      <c r="A1236" s="32" t="s">
        <v>966</v>
      </c>
      <c r="B1236" s="32" t="s">
        <v>963</v>
      </c>
      <c r="C1236" s="32" t="str">
        <f>vlookup(B1236,State_EMM_RowSums!$A$2:$B$52,2,FALSE)</f>
        <v>MI</v>
      </c>
      <c r="D1236" s="32">
        <v>26007.0</v>
      </c>
      <c r="E1236" s="33">
        <f>IF(NOT(ISBLANK(vlookup($D1236,Pop_Census_2023!$A$2:$E$3220,4,FALSE))),vlookup($D1236,Pop_Census_2023!$A$2:$E$3220,4,FALSE), vlookup($D1236,Pop_Census_2023!$A$2:$E$3220,5,FALSE))</f>
        <v>28904</v>
      </c>
      <c r="F1236" s="32">
        <v>1622946.0</v>
      </c>
      <c r="G1236" s="32">
        <v>103.0</v>
      </c>
      <c r="H1236" s="32" t="str">
        <f>VLOOKUP(D1236, Grid_Region_Mapping!$D$2:$F$5286, 3, FALSE)</f>
        <v>MISE</v>
      </c>
      <c r="I1236" s="32">
        <v>3.0</v>
      </c>
      <c r="J1236" s="34" t="str">
        <f t="shared" si="1"/>
        <v>Midwest</v>
      </c>
      <c r="K1236" s="35">
        <v>1.0</v>
      </c>
      <c r="L1236" s="35" t="s">
        <v>707</v>
      </c>
      <c r="M1236" s="36">
        <f>VLOOKUP(D1236, County_Data_CZones!$B$2:$F$3236, 2, FALSE)</f>
        <v>6</v>
      </c>
      <c r="N1236" s="37" t="str">
        <f>VLOOKUP(D1236, County_Data_CZones!$B$2:$F$3236, 5, FALSE)</f>
        <v>Cold</v>
      </c>
    </row>
    <row r="1237" ht="15.75" customHeight="1">
      <c r="A1237" s="32" t="s">
        <v>967</v>
      </c>
      <c r="B1237" s="32" t="s">
        <v>963</v>
      </c>
      <c r="C1237" s="32" t="str">
        <f>vlookup(B1237,State_EMM_RowSums!$A$2:$B$52,2,FALSE)</f>
        <v>MI</v>
      </c>
      <c r="D1237" s="32">
        <v>26009.0</v>
      </c>
      <c r="E1237" s="33">
        <f>IF(NOT(ISBLANK(vlookup($D1237,Pop_Census_2023!$A$2:$E$3220,4,FALSE))),vlookup($D1237,Pop_Census_2023!$A$2:$E$3220,4,FALSE), vlookup($D1237,Pop_Census_2023!$A$2:$E$3220,5,FALSE))</f>
        <v>24409</v>
      </c>
      <c r="F1237" s="32">
        <v>1622947.0</v>
      </c>
      <c r="G1237" s="32">
        <v>103.0</v>
      </c>
      <c r="H1237" s="32" t="str">
        <f>VLOOKUP(D1237, Grid_Region_Mapping!$D$2:$F$5286, 3, FALSE)</f>
        <v>MISE</v>
      </c>
      <c r="I1237" s="32">
        <v>3.0</v>
      </c>
      <c r="J1237" s="34" t="str">
        <f t="shared" si="1"/>
        <v>Midwest</v>
      </c>
      <c r="K1237" s="35">
        <v>1.0</v>
      </c>
      <c r="L1237" s="35" t="s">
        <v>707</v>
      </c>
      <c r="M1237" s="36">
        <f>VLOOKUP(D1237, County_Data_CZones!$B$2:$F$3236, 2, FALSE)</f>
        <v>6</v>
      </c>
      <c r="N1237" s="37" t="str">
        <f>VLOOKUP(D1237, County_Data_CZones!$B$2:$F$3236, 5, FALSE)</f>
        <v>Cold</v>
      </c>
    </row>
    <row r="1238" ht="15.75" customHeight="1">
      <c r="A1238" s="32" t="s">
        <v>968</v>
      </c>
      <c r="B1238" s="32" t="s">
        <v>963</v>
      </c>
      <c r="C1238" s="32" t="str">
        <f>vlookup(B1238,State_EMM_RowSums!$A$2:$B$52,2,FALSE)</f>
        <v>MI</v>
      </c>
      <c r="D1238" s="32">
        <v>26011.0</v>
      </c>
      <c r="E1238" s="33">
        <f>IF(NOT(ISBLANK(vlookup($D1238,Pop_Census_2023!$A$2:$E$3220,4,FALSE))),vlookup($D1238,Pop_Census_2023!$A$2:$E$3220,4,FALSE), vlookup($D1238,Pop_Census_2023!$A$2:$E$3220,5,FALSE))</f>
        <v>15145</v>
      </c>
      <c r="F1238" s="32">
        <v>1622948.0</v>
      </c>
      <c r="G1238" s="32">
        <v>103.0</v>
      </c>
      <c r="H1238" s="32" t="str">
        <f>VLOOKUP(D1238, Grid_Region_Mapping!$D$2:$F$5286, 3, FALSE)</f>
        <v>MISE</v>
      </c>
      <c r="I1238" s="32">
        <v>3.0</v>
      </c>
      <c r="J1238" s="34" t="str">
        <f t="shared" si="1"/>
        <v>Midwest</v>
      </c>
      <c r="K1238" s="35">
        <v>1.0</v>
      </c>
      <c r="L1238" s="35" t="s">
        <v>707</v>
      </c>
      <c r="M1238" s="36">
        <f>VLOOKUP(D1238, County_Data_CZones!$B$2:$F$3236, 2, FALSE)</f>
        <v>6</v>
      </c>
      <c r="N1238" s="37" t="str">
        <f>VLOOKUP(D1238, County_Data_CZones!$B$2:$F$3236, 5, FALSE)</f>
        <v>Cold</v>
      </c>
    </row>
    <row r="1239" ht="15.75" customHeight="1">
      <c r="A1239" s="32" t="s">
        <v>969</v>
      </c>
      <c r="B1239" s="32" t="s">
        <v>963</v>
      </c>
      <c r="C1239" s="32" t="str">
        <f>vlookup(B1239,State_EMM_RowSums!$A$2:$B$52,2,FALSE)</f>
        <v>MI</v>
      </c>
      <c r="D1239" s="32">
        <v>26013.0</v>
      </c>
      <c r="E1239" s="33">
        <f>IF(NOT(ISBLANK(vlookup($D1239,Pop_Census_2023!$A$2:$E$3220,4,FALSE))),vlookup($D1239,Pop_Census_2023!$A$2:$E$3220,4,FALSE), vlookup($D1239,Pop_Census_2023!$A$2:$E$3220,5,FALSE))</f>
        <v>8310</v>
      </c>
      <c r="F1239" s="32">
        <v>1622949.0</v>
      </c>
      <c r="G1239" s="32">
        <v>74.0</v>
      </c>
      <c r="H1239" s="32" t="str">
        <f>VLOOKUP(D1239, Grid_Region_Mapping!$D$2:$F$5286, 3, FALSE)</f>
        <v>MISW</v>
      </c>
      <c r="I1239" s="32">
        <v>3.0</v>
      </c>
      <c r="J1239" s="34" t="str">
        <f t="shared" si="1"/>
        <v>Midwest</v>
      </c>
      <c r="K1239" s="35">
        <v>1.0</v>
      </c>
      <c r="L1239" s="35">
        <v>7.0</v>
      </c>
      <c r="M1239" s="36">
        <f>VLOOKUP(D1239, County_Data_CZones!$B$2:$F$3236, 2, FALSE)</f>
        <v>7</v>
      </c>
      <c r="N1239" s="37" t="str">
        <f>VLOOKUP(D1239, County_Data_CZones!$B$2:$F$3236, 5, FALSE)</f>
        <v>Very Cold</v>
      </c>
    </row>
    <row r="1240" ht="15.75" customHeight="1">
      <c r="A1240" s="32" t="s">
        <v>970</v>
      </c>
      <c r="B1240" s="32" t="s">
        <v>963</v>
      </c>
      <c r="C1240" s="32" t="str">
        <f>vlookup(B1240,State_EMM_RowSums!$A$2:$B$52,2,FALSE)</f>
        <v>MI</v>
      </c>
      <c r="D1240" s="32">
        <v>26015.0</v>
      </c>
      <c r="E1240" s="33">
        <f>IF(NOT(ISBLANK(vlookup($D1240,Pop_Census_2023!$A$2:$E$3220,4,FALSE))),vlookup($D1240,Pop_Census_2023!$A$2:$E$3220,4,FALSE), vlookup($D1240,Pop_Census_2023!$A$2:$E$3220,5,FALSE))</f>
        <v>63808</v>
      </c>
      <c r="F1240" s="32">
        <v>1622950.0</v>
      </c>
      <c r="G1240" s="32">
        <v>103.0</v>
      </c>
      <c r="H1240" s="32" t="str">
        <f>VLOOKUP(D1240, Grid_Region_Mapping!$D$2:$F$5286, 3, FALSE)</f>
        <v>MISE</v>
      </c>
      <c r="I1240" s="32">
        <v>3.0</v>
      </c>
      <c r="J1240" s="34" t="str">
        <f t="shared" si="1"/>
        <v>Midwest</v>
      </c>
      <c r="K1240" s="35">
        <v>2.0</v>
      </c>
      <c r="L1240" s="35" t="s">
        <v>396</v>
      </c>
      <c r="M1240" s="36">
        <f>VLOOKUP(D1240, County_Data_CZones!$B$2:$F$3236, 2, FALSE)</f>
        <v>5</v>
      </c>
      <c r="N1240" s="37" t="str">
        <f>VLOOKUP(D1240, County_Data_CZones!$B$2:$F$3236, 5, FALSE)</f>
        <v>Cold</v>
      </c>
    </row>
    <row r="1241" ht="15.75" customHeight="1">
      <c r="A1241" s="32" t="s">
        <v>412</v>
      </c>
      <c r="B1241" s="32" t="s">
        <v>963</v>
      </c>
      <c r="C1241" s="32" t="str">
        <f>vlookup(B1241,State_EMM_RowSums!$A$2:$B$52,2,FALSE)</f>
        <v>MI</v>
      </c>
      <c r="D1241" s="32">
        <v>26017.0</v>
      </c>
      <c r="E1241" s="33">
        <f>IF(NOT(ISBLANK(vlookup($D1241,Pop_Census_2023!$A$2:$E$3220,4,FALSE))),vlookup($D1241,Pop_Census_2023!$A$2:$E$3220,4,FALSE), vlookup($D1241,Pop_Census_2023!$A$2:$E$3220,5,FALSE))</f>
        <v>102500</v>
      </c>
      <c r="F1241" s="32">
        <v>1622951.0</v>
      </c>
      <c r="G1241" s="32">
        <v>103.0</v>
      </c>
      <c r="H1241" s="32" t="str">
        <f>VLOOKUP(D1241, Grid_Region_Mapping!$D$2:$F$5286, 3, FALSE)</f>
        <v>MISE</v>
      </c>
      <c r="I1241" s="32">
        <v>3.0</v>
      </c>
      <c r="J1241" s="34" t="str">
        <f t="shared" si="1"/>
        <v>Midwest</v>
      </c>
      <c r="K1241" s="35">
        <v>1.0</v>
      </c>
      <c r="L1241" s="35" t="s">
        <v>396</v>
      </c>
      <c r="M1241" s="36">
        <f>VLOOKUP(D1241, County_Data_CZones!$B$2:$F$3236, 2, FALSE)</f>
        <v>5</v>
      </c>
      <c r="N1241" s="37" t="str">
        <f>VLOOKUP(D1241, County_Data_CZones!$B$2:$F$3236, 5, FALSE)</f>
        <v>Cold</v>
      </c>
    </row>
    <row r="1242" ht="15.75" customHeight="1">
      <c r="A1242" s="32" t="s">
        <v>971</v>
      </c>
      <c r="B1242" s="32" t="s">
        <v>963</v>
      </c>
      <c r="C1242" s="32" t="str">
        <f>vlookup(B1242,State_EMM_RowSums!$A$2:$B$52,2,FALSE)</f>
        <v>MI</v>
      </c>
      <c r="D1242" s="32">
        <v>26019.0</v>
      </c>
      <c r="E1242" s="33">
        <f>IF(NOT(ISBLANK(vlookup($D1242,Pop_Census_2023!$A$2:$E$3220,4,FALSE))),vlookup($D1242,Pop_Census_2023!$A$2:$E$3220,4,FALSE), vlookup($D1242,Pop_Census_2023!$A$2:$E$3220,5,FALSE))</f>
        <v>18441</v>
      </c>
      <c r="F1242" s="32">
        <v>1622952.0</v>
      </c>
      <c r="G1242" s="32">
        <v>103.0</v>
      </c>
      <c r="H1242" s="32" t="str">
        <f>VLOOKUP(D1242, Grid_Region_Mapping!$D$2:$F$5286, 3, FALSE)</f>
        <v>MISE</v>
      </c>
      <c r="I1242" s="32">
        <v>3.0</v>
      </c>
      <c r="J1242" s="34" t="str">
        <f t="shared" si="1"/>
        <v>Midwest</v>
      </c>
      <c r="K1242" s="35">
        <v>1.0</v>
      </c>
      <c r="L1242" s="35" t="s">
        <v>707</v>
      </c>
      <c r="M1242" s="36">
        <f>VLOOKUP(D1242, County_Data_CZones!$B$2:$F$3236, 2, FALSE)</f>
        <v>6</v>
      </c>
      <c r="N1242" s="37" t="str">
        <f>VLOOKUP(D1242, County_Data_CZones!$B$2:$F$3236, 5, FALSE)</f>
        <v>Cold</v>
      </c>
    </row>
    <row r="1243" ht="15.75" customHeight="1">
      <c r="A1243" s="32" t="s">
        <v>468</v>
      </c>
      <c r="B1243" s="32" t="s">
        <v>963</v>
      </c>
      <c r="C1243" s="32" t="str">
        <f>vlookup(B1243,State_EMM_RowSums!$A$2:$B$52,2,FALSE)</f>
        <v>MI</v>
      </c>
      <c r="D1243" s="32">
        <v>26021.0</v>
      </c>
      <c r="E1243" s="33">
        <f>IF(NOT(ISBLANK(vlookup($D1243,Pop_Census_2023!$A$2:$E$3220,4,FALSE))),vlookup($D1243,Pop_Census_2023!$A$2:$E$3220,4,FALSE), vlookup($D1243,Pop_Census_2023!$A$2:$E$3220,5,FALSE))</f>
        <v>152261</v>
      </c>
      <c r="F1243" s="32">
        <v>1622953.0</v>
      </c>
      <c r="G1243" s="32">
        <v>104.0</v>
      </c>
      <c r="H1243" s="32" t="str">
        <f>VLOOKUP(D1243, Grid_Region_Mapping!$D$2:$F$5286, 3, FALSE)</f>
        <v>PJMW</v>
      </c>
      <c r="I1243" s="32">
        <v>3.0</v>
      </c>
      <c r="J1243" s="34" t="str">
        <f t="shared" si="1"/>
        <v>Midwest</v>
      </c>
      <c r="K1243" s="35">
        <v>2.0</v>
      </c>
      <c r="L1243" s="35" t="s">
        <v>396</v>
      </c>
      <c r="M1243" s="36">
        <f>VLOOKUP(D1243, County_Data_CZones!$B$2:$F$3236, 2, FALSE)</f>
        <v>5</v>
      </c>
      <c r="N1243" s="37" t="str">
        <f>VLOOKUP(D1243, County_Data_CZones!$B$2:$F$3236, 5, FALSE)</f>
        <v>Cold</v>
      </c>
    </row>
    <row r="1244" ht="15.75" customHeight="1">
      <c r="A1244" s="32" t="s">
        <v>972</v>
      </c>
      <c r="B1244" s="32" t="s">
        <v>963</v>
      </c>
      <c r="C1244" s="32" t="str">
        <f>vlookup(B1244,State_EMM_RowSums!$A$2:$B$52,2,FALSE)</f>
        <v>MI</v>
      </c>
      <c r="D1244" s="32">
        <v>26023.0</v>
      </c>
      <c r="E1244" s="33">
        <f>IF(NOT(ISBLANK(vlookup($D1244,Pop_Census_2023!$A$2:$E$3220,4,FALSE))),vlookup($D1244,Pop_Census_2023!$A$2:$E$3220,4,FALSE), vlookup($D1244,Pop_Census_2023!$A$2:$E$3220,5,FALSE))</f>
        <v>45215</v>
      </c>
      <c r="F1244" s="32">
        <v>1622954.0</v>
      </c>
      <c r="G1244" s="32">
        <v>103.0</v>
      </c>
      <c r="H1244" s="32" t="str">
        <f>VLOOKUP(D1244, Grid_Region_Mapping!$D$2:$F$5286, 3, FALSE)</f>
        <v>MISE</v>
      </c>
      <c r="I1244" s="32">
        <v>3.0</v>
      </c>
      <c r="J1244" s="34" t="str">
        <f t="shared" si="1"/>
        <v>Midwest</v>
      </c>
      <c r="K1244" s="35">
        <v>2.0</v>
      </c>
      <c r="L1244" s="35" t="s">
        <v>396</v>
      </c>
      <c r="M1244" s="36">
        <f>VLOOKUP(D1244, County_Data_CZones!$B$2:$F$3236, 2, FALSE)</f>
        <v>5</v>
      </c>
      <c r="N1244" s="37" t="str">
        <f>VLOOKUP(D1244, County_Data_CZones!$B$2:$F$3236, 5, FALSE)</f>
        <v>Cold</v>
      </c>
    </row>
    <row r="1245" ht="15.75" customHeight="1">
      <c r="A1245" s="32" t="s">
        <v>110</v>
      </c>
      <c r="B1245" s="32" t="s">
        <v>963</v>
      </c>
      <c r="C1245" s="32" t="str">
        <f>vlookup(B1245,State_EMM_RowSums!$A$2:$B$52,2,FALSE)</f>
        <v>MI</v>
      </c>
      <c r="D1245" s="32">
        <v>26025.0</v>
      </c>
      <c r="E1245" s="33">
        <f>IF(NOT(ISBLANK(vlookup($D1245,Pop_Census_2023!$A$2:$E$3220,4,FALSE))),vlookup($D1245,Pop_Census_2023!$A$2:$E$3220,4,FALSE), vlookup($D1245,Pop_Census_2023!$A$2:$E$3220,5,FALSE))</f>
        <v>133366</v>
      </c>
      <c r="F1245" s="32">
        <v>1622955.0</v>
      </c>
      <c r="G1245" s="32">
        <v>103.0</v>
      </c>
      <c r="H1245" s="32" t="str">
        <f>VLOOKUP(D1245, Grid_Region_Mapping!$D$2:$F$5286, 3, FALSE)</f>
        <v>MISE</v>
      </c>
      <c r="I1245" s="32">
        <v>3.0</v>
      </c>
      <c r="J1245" s="34" t="str">
        <f t="shared" si="1"/>
        <v>Midwest</v>
      </c>
      <c r="K1245" s="35">
        <v>2.0</v>
      </c>
      <c r="L1245" s="35" t="s">
        <v>396</v>
      </c>
      <c r="M1245" s="36">
        <f>VLOOKUP(D1245, County_Data_CZones!$B$2:$F$3236, 2, FALSE)</f>
        <v>5</v>
      </c>
      <c r="N1245" s="37" t="str">
        <f>VLOOKUP(D1245, County_Data_CZones!$B$2:$F$3236, 5, FALSE)</f>
        <v>Cold</v>
      </c>
    </row>
    <row r="1246" ht="15.75" customHeight="1">
      <c r="A1246" s="32" t="s">
        <v>613</v>
      </c>
      <c r="B1246" s="32" t="s">
        <v>963</v>
      </c>
      <c r="C1246" s="32" t="str">
        <f>vlookup(B1246,State_EMM_RowSums!$A$2:$B$52,2,FALSE)</f>
        <v>MI</v>
      </c>
      <c r="D1246" s="32">
        <v>26027.0</v>
      </c>
      <c r="E1246" s="33">
        <f>IF(NOT(ISBLANK(vlookup($D1246,Pop_Census_2023!$A$2:$E$3220,4,FALSE))),vlookup($D1246,Pop_Census_2023!$A$2:$E$3220,4,FALSE), vlookup($D1246,Pop_Census_2023!$A$2:$E$3220,5,FALSE))</f>
        <v>51642</v>
      </c>
      <c r="F1246" s="32">
        <v>1622956.0</v>
      </c>
      <c r="G1246" s="32">
        <v>104.0</v>
      </c>
      <c r="H1246" s="32" t="str">
        <f>VLOOKUP(D1246, Grid_Region_Mapping!$D$2:$F$5286, 3, FALSE)</f>
        <v>PJMW</v>
      </c>
      <c r="I1246" s="32">
        <v>3.0</v>
      </c>
      <c r="J1246" s="34" t="str">
        <f t="shared" si="1"/>
        <v>Midwest</v>
      </c>
      <c r="K1246" s="35">
        <v>2.0</v>
      </c>
      <c r="L1246" s="35" t="s">
        <v>396</v>
      </c>
      <c r="M1246" s="36">
        <f>VLOOKUP(D1246, County_Data_CZones!$B$2:$F$3236, 2, FALSE)</f>
        <v>5</v>
      </c>
      <c r="N1246" s="37" t="str">
        <f>VLOOKUP(D1246, County_Data_CZones!$B$2:$F$3236, 5, FALSE)</f>
        <v>Cold</v>
      </c>
    </row>
    <row r="1247" ht="15.75" customHeight="1">
      <c r="A1247" s="32" t="s">
        <v>973</v>
      </c>
      <c r="B1247" s="32" t="s">
        <v>963</v>
      </c>
      <c r="C1247" s="32" t="str">
        <f>vlookup(B1247,State_EMM_RowSums!$A$2:$B$52,2,FALSE)</f>
        <v>MI</v>
      </c>
      <c r="D1247" s="32">
        <v>26029.0</v>
      </c>
      <c r="E1247" s="33">
        <f>IF(NOT(ISBLANK(vlookup($D1247,Pop_Census_2023!$A$2:$E$3220,4,FALSE))),vlookup($D1247,Pop_Census_2023!$A$2:$E$3220,4,FALSE), vlookup($D1247,Pop_Census_2023!$A$2:$E$3220,5,FALSE))</f>
        <v>26159</v>
      </c>
      <c r="F1247" s="32">
        <v>1622957.0</v>
      </c>
      <c r="G1247" s="32">
        <v>103.0</v>
      </c>
      <c r="H1247" s="32" t="str">
        <f>VLOOKUP(D1247, Grid_Region_Mapping!$D$2:$F$5286, 3, FALSE)</f>
        <v>MISE</v>
      </c>
      <c r="I1247" s="32">
        <v>3.0</v>
      </c>
      <c r="J1247" s="34" t="str">
        <f t="shared" si="1"/>
        <v>Midwest</v>
      </c>
      <c r="K1247" s="35">
        <v>1.0</v>
      </c>
      <c r="L1247" s="35" t="s">
        <v>707</v>
      </c>
      <c r="M1247" s="36">
        <f>VLOOKUP(D1247, County_Data_CZones!$B$2:$F$3236, 2, FALSE)</f>
        <v>6</v>
      </c>
      <c r="N1247" s="37" t="str">
        <f>VLOOKUP(D1247, County_Data_CZones!$B$2:$F$3236, 5, FALSE)</f>
        <v>Cold</v>
      </c>
    </row>
    <row r="1248" ht="15.75" customHeight="1">
      <c r="A1248" s="32" t="s">
        <v>974</v>
      </c>
      <c r="B1248" s="32" t="s">
        <v>963</v>
      </c>
      <c r="C1248" s="32" t="str">
        <f>vlookup(B1248,State_EMM_RowSums!$A$2:$B$52,2,FALSE)</f>
        <v>MI</v>
      </c>
      <c r="D1248" s="32">
        <v>26031.0</v>
      </c>
      <c r="E1248" s="33">
        <f>IF(NOT(ISBLANK(vlookup($D1248,Pop_Census_2023!$A$2:$E$3220,4,FALSE))),vlookup($D1248,Pop_Census_2023!$A$2:$E$3220,4,FALSE), vlookup($D1248,Pop_Census_2023!$A$2:$E$3220,5,FALSE))</f>
        <v>26048</v>
      </c>
      <c r="F1248" s="32">
        <v>1622958.0</v>
      </c>
      <c r="G1248" s="32">
        <v>103.0</v>
      </c>
      <c r="H1248" s="32" t="str">
        <f>VLOOKUP(D1248, Grid_Region_Mapping!$D$2:$F$5286, 3, FALSE)</f>
        <v>MISE</v>
      </c>
      <c r="I1248" s="32">
        <v>3.0</v>
      </c>
      <c r="J1248" s="34" t="str">
        <f t="shared" si="1"/>
        <v>Midwest</v>
      </c>
      <c r="K1248" s="35">
        <v>1.0</v>
      </c>
      <c r="L1248" s="35" t="s">
        <v>707</v>
      </c>
      <c r="M1248" s="36">
        <f>VLOOKUP(D1248, County_Data_CZones!$B$2:$F$3236, 2, FALSE)</f>
        <v>6</v>
      </c>
      <c r="N1248" s="37" t="str">
        <f>VLOOKUP(D1248, County_Data_CZones!$B$2:$F$3236, 5, FALSE)</f>
        <v>Cold</v>
      </c>
    </row>
    <row r="1249" ht="15.75" customHeight="1">
      <c r="A1249" s="32" t="s">
        <v>975</v>
      </c>
      <c r="B1249" s="32" t="s">
        <v>963</v>
      </c>
      <c r="C1249" s="32" t="str">
        <f>vlookup(B1249,State_EMM_RowSums!$A$2:$B$52,2,FALSE)</f>
        <v>MI</v>
      </c>
      <c r="D1249" s="32">
        <v>26033.0</v>
      </c>
      <c r="E1249" s="33">
        <f>IF(NOT(ISBLANK(vlookup($D1249,Pop_Census_2023!$A$2:$E$3220,4,FALSE))),vlookup($D1249,Pop_Census_2023!$A$2:$E$3220,4,FALSE), vlookup($D1249,Pop_Census_2023!$A$2:$E$3220,5,FALSE))</f>
        <v>36264</v>
      </c>
      <c r="F1249" s="32">
        <v>1622959.0</v>
      </c>
      <c r="G1249" s="32">
        <v>103.0</v>
      </c>
      <c r="H1249" s="32" t="str">
        <f>VLOOKUP(D1249, Grid_Region_Mapping!$D$2:$F$5286, 3, FALSE)</f>
        <v>MISW</v>
      </c>
      <c r="I1249" s="32">
        <v>3.0</v>
      </c>
      <c r="J1249" s="34" t="str">
        <f t="shared" si="1"/>
        <v>Midwest</v>
      </c>
      <c r="K1249" s="35">
        <v>1.0</v>
      </c>
      <c r="L1249" s="35">
        <v>7.0</v>
      </c>
      <c r="M1249" s="36">
        <f>VLOOKUP(D1249, County_Data_CZones!$B$2:$F$3236, 2, FALSE)</f>
        <v>7</v>
      </c>
      <c r="N1249" s="37" t="str">
        <f>VLOOKUP(D1249, County_Data_CZones!$B$2:$F$3236, 5, FALSE)</f>
        <v>Very Cold</v>
      </c>
    </row>
    <row r="1250" ht="15.75" customHeight="1">
      <c r="A1250" s="32" t="s">
        <v>976</v>
      </c>
      <c r="B1250" s="32" t="s">
        <v>963</v>
      </c>
      <c r="C1250" s="32" t="str">
        <f>vlookup(B1250,State_EMM_RowSums!$A$2:$B$52,2,FALSE)</f>
        <v>MI</v>
      </c>
      <c r="D1250" s="32">
        <v>26035.0</v>
      </c>
      <c r="E1250" s="33">
        <f>IF(NOT(ISBLANK(vlookup($D1250,Pop_Census_2023!$A$2:$E$3220,4,FALSE))),vlookup($D1250,Pop_Census_2023!$A$2:$E$3220,4,FALSE), vlookup($D1250,Pop_Census_2023!$A$2:$E$3220,5,FALSE))</f>
        <v>31316</v>
      </c>
      <c r="F1250" s="32">
        <v>1622960.0</v>
      </c>
      <c r="G1250" s="32">
        <v>103.0</v>
      </c>
      <c r="H1250" s="32" t="str">
        <f>VLOOKUP(D1250, Grid_Region_Mapping!$D$2:$F$5286, 3, FALSE)</f>
        <v>MISE</v>
      </c>
      <c r="I1250" s="32">
        <v>3.0</v>
      </c>
      <c r="J1250" s="34" t="str">
        <f t="shared" si="1"/>
        <v>Midwest</v>
      </c>
      <c r="K1250" s="35">
        <v>1.0</v>
      </c>
      <c r="L1250" s="35" t="s">
        <v>707</v>
      </c>
      <c r="M1250" s="36">
        <f>VLOOKUP(D1250, County_Data_CZones!$B$2:$F$3236, 2, FALSE)</f>
        <v>6</v>
      </c>
      <c r="N1250" s="37" t="str">
        <f>VLOOKUP(D1250, County_Data_CZones!$B$2:$F$3236, 5, FALSE)</f>
        <v>Cold</v>
      </c>
    </row>
    <row r="1251" ht="15.75" customHeight="1">
      <c r="A1251" s="32" t="s">
        <v>616</v>
      </c>
      <c r="B1251" s="32" t="s">
        <v>963</v>
      </c>
      <c r="C1251" s="32" t="str">
        <f>vlookup(B1251,State_EMM_RowSums!$A$2:$B$52,2,FALSE)</f>
        <v>MI</v>
      </c>
      <c r="D1251" s="32">
        <v>26037.0</v>
      </c>
      <c r="E1251" s="33">
        <f>IF(NOT(ISBLANK(vlookup($D1251,Pop_Census_2023!$A$2:$E$3220,4,FALSE))),vlookup($D1251,Pop_Census_2023!$A$2:$E$3220,4,FALSE), vlookup($D1251,Pop_Census_2023!$A$2:$E$3220,5,FALSE))</f>
        <v>79720</v>
      </c>
      <c r="F1251" s="32">
        <v>1622961.0</v>
      </c>
      <c r="G1251" s="32">
        <v>103.0</v>
      </c>
      <c r="H1251" s="32" t="str">
        <f>VLOOKUP(D1251, Grid_Region_Mapping!$D$2:$F$5286, 3, FALSE)</f>
        <v>MISE</v>
      </c>
      <c r="I1251" s="32">
        <v>3.0</v>
      </c>
      <c r="J1251" s="34" t="str">
        <f t="shared" si="1"/>
        <v>Midwest</v>
      </c>
      <c r="K1251" s="35">
        <v>2.0</v>
      </c>
      <c r="L1251" s="35" t="s">
        <v>396</v>
      </c>
      <c r="M1251" s="36">
        <f>VLOOKUP(D1251, County_Data_CZones!$B$2:$F$3236, 2, FALSE)</f>
        <v>5</v>
      </c>
      <c r="N1251" s="37" t="str">
        <f>VLOOKUP(D1251, County_Data_CZones!$B$2:$F$3236, 5, FALSE)</f>
        <v>Cold</v>
      </c>
    </row>
    <row r="1252" ht="15.75" customHeight="1">
      <c r="A1252" s="32" t="s">
        <v>234</v>
      </c>
      <c r="B1252" s="32" t="s">
        <v>963</v>
      </c>
      <c r="C1252" s="32" t="str">
        <f>vlookup(B1252,State_EMM_RowSums!$A$2:$B$52,2,FALSE)</f>
        <v>MI</v>
      </c>
      <c r="D1252" s="32">
        <v>26039.0</v>
      </c>
      <c r="E1252" s="33">
        <f>IF(NOT(ISBLANK(vlookup($D1252,Pop_Census_2023!$A$2:$E$3220,4,FALSE))),vlookup($D1252,Pop_Census_2023!$A$2:$E$3220,4,FALSE), vlookup($D1252,Pop_Census_2023!$A$2:$E$3220,5,FALSE))</f>
        <v>13538</v>
      </c>
      <c r="F1252" s="32">
        <v>1622962.0</v>
      </c>
      <c r="G1252" s="32">
        <v>103.0</v>
      </c>
      <c r="H1252" s="32" t="str">
        <f>VLOOKUP(D1252, Grid_Region_Mapping!$D$2:$F$5286, 3, FALSE)</f>
        <v>MISE</v>
      </c>
      <c r="I1252" s="32">
        <v>3.0</v>
      </c>
      <c r="J1252" s="34" t="str">
        <f t="shared" si="1"/>
        <v>Midwest</v>
      </c>
      <c r="K1252" s="35">
        <v>1.0</v>
      </c>
      <c r="L1252" s="35" t="s">
        <v>707</v>
      </c>
      <c r="M1252" s="36">
        <f>VLOOKUP(D1252, County_Data_CZones!$B$2:$F$3236, 2, FALSE)</f>
        <v>6</v>
      </c>
      <c r="N1252" s="37" t="str">
        <f>VLOOKUP(D1252, County_Data_CZones!$B$2:$F$3236, 5, FALSE)</f>
        <v>Cold</v>
      </c>
    </row>
    <row r="1253" ht="15.75" customHeight="1">
      <c r="A1253" s="32" t="s">
        <v>354</v>
      </c>
      <c r="B1253" s="32" t="s">
        <v>963</v>
      </c>
      <c r="C1253" s="32" t="str">
        <f>vlookup(B1253,State_EMM_RowSums!$A$2:$B$52,2,FALSE)</f>
        <v>MI</v>
      </c>
      <c r="D1253" s="32">
        <v>26041.0</v>
      </c>
      <c r="E1253" s="33">
        <f>IF(NOT(ISBLANK(vlookup($D1253,Pop_Census_2023!$A$2:$E$3220,4,FALSE))),vlookup($D1253,Pop_Census_2023!$A$2:$E$3220,4,FALSE), vlookup($D1253,Pop_Census_2023!$A$2:$E$3220,5,FALSE))</f>
        <v>36790</v>
      </c>
      <c r="F1253" s="32">
        <v>1622963.0</v>
      </c>
      <c r="G1253" s="32">
        <v>74.0</v>
      </c>
      <c r="H1253" s="32" t="str">
        <f>VLOOKUP(D1253, Grid_Region_Mapping!$D$2:$F$5286, 3, FALSE)</f>
        <v>MISW</v>
      </c>
      <c r="I1253" s="32">
        <v>3.0</v>
      </c>
      <c r="J1253" s="34" t="str">
        <f t="shared" si="1"/>
        <v>Midwest</v>
      </c>
      <c r="K1253" s="35">
        <v>1.0</v>
      </c>
      <c r="L1253" s="35" t="s">
        <v>707</v>
      </c>
      <c r="M1253" s="36">
        <f>VLOOKUP(D1253, County_Data_CZones!$B$2:$F$3236, 2, FALSE)</f>
        <v>6</v>
      </c>
      <c r="N1253" s="37" t="str">
        <f>VLOOKUP(D1253, County_Data_CZones!$B$2:$F$3236, 5, FALSE)</f>
        <v>Cold</v>
      </c>
    </row>
    <row r="1254" ht="15.75" customHeight="1">
      <c r="A1254" s="32" t="s">
        <v>719</v>
      </c>
      <c r="B1254" s="32" t="s">
        <v>963</v>
      </c>
      <c r="C1254" s="32" t="str">
        <f>vlookup(B1254,State_EMM_RowSums!$A$2:$B$52,2,FALSE)</f>
        <v>MI</v>
      </c>
      <c r="D1254" s="32">
        <v>26043.0</v>
      </c>
      <c r="E1254" s="33">
        <f>IF(NOT(ISBLANK(vlookup($D1254,Pop_Census_2023!$A$2:$E$3220,4,FALSE))),vlookup($D1254,Pop_Census_2023!$A$2:$E$3220,4,FALSE), vlookup($D1254,Pop_Census_2023!$A$2:$E$3220,5,FALSE))</f>
        <v>25982</v>
      </c>
      <c r="F1254" s="32">
        <v>1622964.0</v>
      </c>
      <c r="G1254" s="32">
        <v>74.0</v>
      </c>
      <c r="H1254" s="32" t="str">
        <f>VLOOKUP(D1254, Grid_Region_Mapping!$D$2:$F$5286, 3, FALSE)</f>
        <v>MISW</v>
      </c>
      <c r="I1254" s="32">
        <v>3.0</v>
      </c>
      <c r="J1254" s="34" t="str">
        <f t="shared" si="1"/>
        <v>Midwest</v>
      </c>
      <c r="K1254" s="35">
        <v>1.0</v>
      </c>
      <c r="L1254" s="35" t="s">
        <v>707</v>
      </c>
      <c r="M1254" s="36">
        <f>VLOOKUP(D1254, County_Data_CZones!$B$2:$F$3236, 2, FALSE)</f>
        <v>6</v>
      </c>
      <c r="N1254" s="37" t="str">
        <f>VLOOKUP(D1254, County_Data_CZones!$B$2:$F$3236, 5, FALSE)</f>
        <v>Cold</v>
      </c>
    </row>
    <row r="1255" ht="15.75" customHeight="1">
      <c r="A1255" s="32" t="s">
        <v>977</v>
      </c>
      <c r="B1255" s="32" t="s">
        <v>963</v>
      </c>
      <c r="C1255" s="32" t="str">
        <f>vlookup(B1255,State_EMM_RowSums!$A$2:$B$52,2,FALSE)</f>
        <v>MI</v>
      </c>
      <c r="D1255" s="32">
        <v>26045.0</v>
      </c>
      <c r="E1255" s="33">
        <f>IF(NOT(ISBLANK(vlookup($D1255,Pop_Census_2023!$A$2:$E$3220,4,FALSE))),vlookup($D1255,Pop_Census_2023!$A$2:$E$3220,4,FALSE), vlookup($D1255,Pop_Census_2023!$A$2:$E$3220,5,FALSE))</f>
        <v>108820</v>
      </c>
      <c r="F1255" s="32">
        <v>1622965.0</v>
      </c>
      <c r="G1255" s="32">
        <v>103.0</v>
      </c>
      <c r="H1255" s="32" t="str">
        <f>VLOOKUP(D1255, Grid_Region_Mapping!$D$2:$F$5286, 3, FALSE)</f>
        <v>MISE</v>
      </c>
      <c r="I1255" s="32">
        <v>3.0</v>
      </c>
      <c r="J1255" s="34" t="str">
        <f t="shared" si="1"/>
        <v>Midwest</v>
      </c>
      <c r="K1255" s="35">
        <v>2.0</v>
      </c>
      <c r="L1255" s="35" t="s">
        <v>396</v>
      </c>
      <c r="M1255" s="36">
        <f>VLOOKUP(D1255, County_Data_CZones!$B$2:$F$3236, 2, FALSE)</f>
        <v>5</v>
      </c>
      <c r="N1255" s="37" t="str">
        <f>VLOOKUP(D1255, County_Data_CZones!$B$2:$F$3236, 5, FALSE)</f>
        <v>Cold</v>
      </c>
    </row>
    <row r="1256" ht="15.75" customHeight="1">
      <c r="A1256" s="32" t="s">
        <v>721</v>
      </c>
      <c r="B1256" s="32" t="s">
        <v>963</v>
      </c>
      <c r="C1256" s="32" t="str">
        <f>vlookup(B1256,State_EMM_RowSums!$A$2:$B$52,2,FALSE)</f>
        <v>MI</v>
      </c>
      <c r="D1256" s="32">
        <v>26047.0</v>
      </c>
      <c r="E1256" s="33">
        <f>IF(NOT(ISBLANK(vlookup($D1256,Pop_Census_2023!$A$2:$E$3220,4,FALSE))),vlookup($D1256,Pop_Census_2023!$A$2:$E$3220,4,FALSE), vlookup($D1256,Pop_Census_2023!$A$2:$E$3220,5,FALSE))</f>
        <v>34123</v>
      </c>
      <c r="F1256" s="32">
        <v>1622966.0</v>
      </c>
      <c r="G1256" s="32">
        <v>103.0</v>
      </c>
      <c r="H1256" s="32" t="str">
        <f>VLOOKUP(D1256, Grid_Region_Mapping!$D$2:$F$5286, 3, FALSE)</f>
        <v>MISE</v>
      </c>
      <c r="I1256" s="32">
        <v>3.0</v>
      </c>
      <c r="J1256" s="34" t="str">
        <f t="shared" si="1"/>
        <v>Midwest</v>
      </c>
      <c r="K1256" s="35">
        <v>1.0</v>
      </c>
      <c r="L1256" s="35" t="s">
        <v>707</v>
      </c>
      <c r="M1256" s="36">
        <f>VLOOKUP(D1256, County_Data_CZones!$B$2:$F$3236, 2, FALSE)</f>
        <v>6</v>
      </c>
      <c r="N1256" s="37" t="str">
        <f>VLOOKUP(D1256, County_Data_CZones!$B$2:$F$3236, 5, FALSE)</f>
        <v>Cold</v>
      </c>
    </row>
    <row r="1257" ht="15.75" customHeight="1">
      <c r="A1257" s="32" t="s">
        <v>978</v>
      </c>
      <c r="B1257" s="32" t="s">
        <v>963</v>
      </c>
      <c r="C1257" s="32" t="str">
        <f>vlookup(B1257,State_EMM_RowSums!$A$2:$B$52,2,FALSE)</f>
        <v>MI</v>
      </c>
      <c r="D1257" s="32">
        <v>26049.0</v>
      </c>
      <c r="E1257" s="33">
        <f>IF(NOT(ISBLANK(vlookup($D1257,Pop_Census_2023!$A$2:$E$3220,4,FALSE))),vlookup($D1257,Pop_Census_2023!$A$2:$E$3220,4,FALSE), vlookup($D1257,Pop_Census_2023!$A$2:$E$3220,5,FALSE))</f>
        <v>401522</v>
      </c>
      <c r="F1257" s="32">
        <v>1622967.0</v>
      </c>
      <c r="G1257" s="32">
        <v>103.0</v>
      </c>
      <c r="H1257" s="32" t="str">
        <f>VLOOKUP(D1257, Grid_Region_Mapping!$D$2:$F$5286, 3, FALSE)</f>
        <v>MISE</v>
      </c>
      <c r="I1257" s="32">
        <v>3.0</v>
      </c>
      <c r="J1257" s="34" t="str">
        <f t="shared" si="1"/>
        <v>Midwest</v>
      </c>
      <c r="K1257" s="35">
        <v>2.0</v>
      </c>
      <c r="L1257" s="35" t="s">
        <v>396</v>
      </c>
      <c r="M1257" s="36">
        <f>VLOOKUP(D1257, County_Data_CZones!$B$2:$F$3236, 2, FALSE)</f>
        <v>5</v>
      </c>
      <c r="N1257" s="37" t="str">
        <f>VLOOKUP(D1257, County_Data_CZones!$B$2:$F$3236, 5, FALSE)</f>
        <v>Cold</v>
      </c>
    </row>
    <row r="1258" ht="15.75" customHeight="1">
      <c r="A1258" s="32" t="s">
        <v>979</v>
      </c>
      <c r="B1258" s="32" t="s">
        <v>963</v>
      </c>
      <c r="C1258" s="32" t="str">
        <f>vlookup(B1258,State_EMM_RowSums!$A$2:$B$52,2,FALSE)</f>
        <v>MI</v>
      </c>
      <c r="D1258" s="32">
        <v>26051.0</v>
      </c>
      <c r="E1258" s="33">
        <f>IF(NOT(ISBLANK(vlookup($D1258,Pop_Census_2023!$A$2:$E$3220,4,FALSE))),vlookup($D1258,Pop_Census_2023!$A$2:$E$3220,4,FALSE), vlookup($D1258,Pop_Census_2023!$A$2:$E$3220,5,FALSE))</f>
        <v>25853</v>
      </c>
      <c r="F1258" s="32">
        <v>1622968.0</v>
      </c>
      <c r="G1258" s="32">
        <v>103.0</v>
      </c>
      <c r="H1258" s="32" t="str">
        <f>VLOOKUP(D1258, Grid_Region_Mapping!$D$2:$F$5286, 3, FALSE)</f>
        <v>MISE</v>
      </c>
      <c r="I1258" s="32">
        <v>3.0</v>
      </c>
      <c r="J1258" s="34" t="str">
        <f t="shared" si="1"/>
        <v>Midwest</v>
      </c>
      <c r="K1258" s="35">
        <v>1.0</v>
      </c>
      <c r="L1258" s="35" t="s">
        <v>707</v>
      </c>
      <c r="M1258" s="36">
        <f>VLOOKUP(D1258, County_Data_CZones!$B$2:$F$3236, 2, FALSE)</f>
        <v>6</v>
      </c>
      <c r="N1258" s="37" t="str">
        <f>VLOOKUP(D1258, County_Data_CZones!$B$2:$F$3236, 5, FALSE)</f>
        <v>Cold</v>
      </c>
    </row>
    <row r="1259" ht="15.75" customHeight="1">
      <c r="A1259" s="32" t="s">
        <v>980</v>
      </c>
      <c r="B1259" s="32" t="s">
        <v>963</v>
      </c>
      <c r="C1259" s="32" t="str">
        <f>vlookup(B1259,State_EMM_RowSums!$A$2:$B$52,2,FALSE)</f>
        <v>MI</v>
      </c>
      <c r="D1259" s="32">
        <v>26053.0</v>
      </c>
      <c r="E1259" s="33">
        <f>IF(NOT(ISBLANK(vlookup($D1259,Pop_Census_2023!$A$2:$E$3220,4,FALSE))),vlookup($D1259,Pop_Census_2023!$A$2:$E$3220,4,FALSE), vlookup($D1259,Pop_Census_2023!$A$2:$E$3220,5,FALSE))</f>
        <v>14224</v>
      </c>
      <c r="F1259" s="32">
        <v>1622969.0</v>
      </c>
      <c r="G1259" s="32">
        <v>74.0</v>
      </c>
      <c r="H1259" s="32" t="str">
        <f>VLOOKUP(D1259, Grid_Region_Mapping!$D$2:$F$5286, 3, FALSE)</f>
        <v>MISW</v>
      </c>
      <c r="I1259" s="32">
        <v>3.0</v>
      </c>
      <c r="J1259" s="34" t="str">
        <f t="shared" si="1"/>
        <v>Midwest</v>
      </c>
      <c r="K1259" s="35">
        <v>1.0</v>
      </c>
      <c r="L1259" s="35">
        <v>7.0</v>
      </c>
      <c r="M1259" s="36">
        <f>VLOOKUP(D1259, County_Data_CZones!$B$2:$F$3236, 2, FALSE)</f>
        <v>7</v>
      </c>
      <c r="N1259" s="37" t="str">
        <f>VLOOKUP(D1259, County_Data_CZones!$B$2:$F$3236, 5, FALSE)</f>
        <v>Very Cold</v>
      </c>
    </row>
    <row r="1260" ht="15.75" customHeight="1">
      <c r="A1260" s="32" t="s">
        <v>981</v>
      </c>
      <c r="B1260" s="32" t="s">
        <v>963</v>
      </c>
      <c r="C1260" s="32" t="str">
        <f>vlookup(B1260,State_EMM_RowSums!$A$2:$B$52,2,FALSE)</f>
        <v>MI</v>
      </c>
      <c r="D1260" s="32">
        <v>26055.0</v>
      </c>
      <c r="E1260" s="33">
        <f>IF(NOT(ISBLANK(vlookup($D1260,Pop_Census_2023!$A$2:$E$3220,4,FALSE))),vlookup($D1260,Pop_Census_2023!$A$2:$E$3220,4,FALSE), vlookup($D1260,Pop_Census_2023!$A$2:$E$3220,5,FALSE))</f>
        <v>96421</v>
      </c>
      <c r="F1260" s="32">
        <v>1622970.0</v>
      </c>
      <c r="G1260" s="32">
        <v>103.0</v>
      </c>
      <c r="H1260" s="32" t="str">
        <f>VLOOKUP(D1260, Grid_Region_Mapping!$D$2:$F$5286, 3, FALSE)</f>
        <v>MISE</v>
      </c>
      <c r="I1260" s="32">
        <v>3.0</v>
      </c>
      <c r="J1260" s="34" t="str">
        <f t="shared" si="1"/>
        <v>Midwest</v>
      </c>
      <c r="K1260" s="35">
        <v>1.0</v>
      </c>
      <c r="L1260" s="35" t="s">
        <v>707</v>
      </c>
      <c r="M1260" s="36">
        <f>VLOOKUP(D1260, County_Data_CZones!$B$2:$F$3236, 2, FALSE)</f>
        <v>6</v>
      </c>
      <c r="N1260" s="37" t="str">
        <f>VLOOKUP(D1260, County_Data_CZones!$B$2:$F$3236, 5, FALSE)</f>
        <v>Cold</v>
      </c>
    </row>
    <row r="1261" ht="15.75" customHeight="1">
      <c r="A1261" s="32" t="s">
        <v>982</v>
      </c>
      <c r="B1261" s="32" t="s">
        <v>963</v>
      </c>
      <c r="C1261" s="32" t="str">
        <f>vlookup(B1261,State_EMM_RowSums!$A$2:$B$52,2,FALSE)</f>
        <v>MI</v>
      </c>
      <c r="D1261" s="32">
        <v>26057.0</v>
      </c>
      <c r="E1261" s="33">
        <f>IF(NOT(ISBLANK(vlookup($D1261,Pop_Census_2023!$A$2:$E$3220,4,FALSE))),vlookup($D1261,Pop_Census_2023!$A$2:$E$3220,4,FALSE), vlookup($D1261,Pop_Census_2023!$A$2:$E$3220,5,FALSE))</f>
        <v>41368</v>
      </c>
      <c r="F1261" s="32">
        <v>1622971.0</v>
      </c>
      <c r="G1261" s="32">
        <v>103.0</v>
      </c>
      <c r="H1261" s="32" t="str">
        <f>VLOOKUP(D1261, Grid_Region_Mapping!$D$2:$F$5286, 3, FALSE)</f>
        <v>MISE</v>
      </c>
      <c r="I1261" s="32">
        <v>3.0</v>
      </c>
      <c r="J1261" s="34" t="str">
        <f t="shared" si="1"/>
        <v>Midwest</v>
      </c>
      <c r="K1261" s="35">
        <v>2.0</v>
      </c>
      <c r="L1261" s="35" t="s">
        <v>396</v>
      </c>
      <c r="M1261" s="36">
        <f>VLOOKUP(D1261, County_Data_CZones!$B$2:$F$3236, 2, FALSE)</f>
        <v>5</v>
      </c>
      <c r="N1261" s="37" t="str">
        <f>VLOOKUP(D1261, County_Data_CZones!$B$2:$F$3236, 5, FALSE)</f>
        <v>Cold</v>
      </c>
    </row>
    <row r="1262" ht="15.75" customHeight="1">
      <c r="A1262" s="32" t="s">
        <v>983</v>
      </c>
      <c r="B1262" s="32" t="s">
        <v>963</v>
      </c>
      <c r="C1262" s="32" t="str">
        <f>vlookup(B1262,State_EMM_RowSums!$A$2:$B$52,2,FALSE)</f>
        <v>MI</v>
      </c>
      <c r="D1262" s="32">
        <v>26059.0</v>
      </c>
      <c r="E1262" s="33">
        <f>IF(NOT(ISBLANK(vlookup($D1262,Pop_Census_2023!$A$2:$E$3220,4,FALSE))),vlookup($D1262,Pop_Census_2023!$A$2:$E$3220,4,FALSE), vlookup($D1262,Pop_Census_2023!$A$2:$E$3220,5,FALSE))</f>
        <v>45587</v>
      </c>
      <c r="F1262" s="32">
        <v>1622972.0</v>
      </c>
      <c r="G1262" s="32">
        <v>103.0</v>
      </c>
      <c r="H1262" s="32" t="str">
        <f>VLOOKUP(D1262, Grid_Region_Mapping!$D$2:$F$5286, 3, FALSE)</f>
        <v>MISE</v>
      </c>
      <c r="I1262" s="32">
        <v>3.0</v>
      </c>
      <c r="J1262" s="34" t="str">
        <f t="shared" si="1"/>
        <v>Midwest</v>
      </c>
      <c r="K1262" s="35">
        <v>2.0</v>
      </c>
      <c r="L1262" s="35" t="s">
        <v>396</v>
      </c>
      <c r="M1262" s="36">
        <f>VLOOKUP(D1262, County_Data_CZones!$B$2:$F$3236, 2, FALSE)</f>
        <v>5</v>
      </c>
      <c r="N1262" s="37" t="str">
        <f>VLOOKUP(D1262, County_Data_CZones!$B$2:$F$3236, 5, FALSE)</f>
        <v>Cold</v>
      </c>
    </row>
    <row r="1263" ht="15.75" customHeight="1">
      <c r="A1263" s="32" t="s">
        <v>984</v>
      </c>
      <c r="B1263" s="32" t="s">
        <v>963</v>
      </c>
      <c r="C1263" s="32" t="str">
        <f>vlookup(B1263,State_EMM_RowSums!$A$2:$B$52,2,FALSE)</f>
        <v>MI</v>
      </c>
      <c r="D1263" s="32">
        <v>26061.0</v>
      </c>
      <c r="E1263" s="33">
        <f>IF(NOT(ISBLANK(vlookup($D1263,Pop_Census_2023!$A$2:$E$3220,4,FALSE))),vlookup($D1263,Pop_Census_2023!$A$2:$E$3220,4,FALSE), vlookup($D1263,Pop_Census_2023!$A$2:$E$3220,5,FALSE))</f>
        <v>37599</v>
      </c>
      <c r="F1263" s="32">
        <v>1622973.0</v>
      </c>
      <c r="G1263" s="32">
        <v>74.0</v>
      </c>
      <c r="H1263" s="32" t="str">
        <f>VLOOKUP(D1263, Grid_Region_Mapping!$D$2:$F$5286, 3, FALSE)</f>
        <v>MISW</v>
      </c>
      <c r="I1263" s="32">
        <v>3.0</v>
      </c>
      <c r="J1263" s="34" t="str">
        <f t="shared" si="1"/>
        <v>Midwest</v>
      </c>
      <c r="K1263" s="35">
        <v>1.0</v>
      </c>
      <c r="L1263" s="35">
        <v>7.0</v>
      </c>
      <c r="M1263" s="36">
        <f>VLOOKUP(D1263, County_Data_CZones!$B$2:$F$3236, 2, FALSE)</f>
        <v>7</v>
      </c>
      <c r="N1263" s="37" t="str">
        <f>VLOOKUP(D1263, County_Data_CZones!$B$2:$F$3236, 5, FALSE)</f>
        <v>Very Cold</v>
      </c>
    </row>
    <row r="1264" ht="15.75" customHeight="1">
      <c r="A1264" s="32" t="s">
        <v>985</v>
      </c>
      <c r="B1264" s="32" t="s">
        <v>963</v>
      </c>
      <c r="C1264" s="32" t="str">
        <f>vlookup(B1264,State_EMM_RowSums!$A$2:$B$52,2,FALSE)</f>
        <v>MI</v>
      </c>
      <c r="D1264" s="32">
        <v>26063.0</v>
      </c>
      <c r="E1264" s="33">
        <f>IF(NOT(ISBLANK(vlookup($D1264,Pop_Census_2023!$A$2:$E$3220,4,FALSE))),vlookup($D1264,Pop_Census_2023!$A$2:$E$3220,4,FALSE), vlookup($D1264,Pop_Census_2023!$A$2:$E$3220,5,FALSE))</f>
        <v>30927</v>
      </c>
      <c r="F1264" s="32">
        <v>1622974.0</v>
      </c>
      <c r="G1264" s="32">
        <v>103.0</v>
      </c>
      <c r="H1264" s="32" t="str">
        <f>VLOOKUP(D1264, Grid_Region_Mapping!$D$2:$F$5286, 3, FALSE)</f>
        <v>MISE</v>
      </c>
      <c r="I1264" s="32">
        <v>3.0</v>
      </c>
      <c r="J1264" s="34" t="str">
        <f t="shared" si="1"/>
        <v>Midwest</v>
      </c>
      <c r="K1264" s="35">
        <v>2.0</v>
      </c>
      <c r="L1264" s="35" t="s">
        <v>707</v>
      </c>
      <c r="M1264" s="36">
        <f>VLOOKUP(D1264, County_Data_CZones!$B$2:$F$3236, 2, FALSE)</f>
        <v>6</v>
      </c>
      <c r="N1264" s="37" t="str">
        <f>VLOOKUP(D1264, County_Data_CZones!$B$2:$F$3236, 5, FALSE)</f>
        <v>Cold</v>
      </c>
    </row>
    <row r="1265" ht="15.75" customHeight="1">
      <c r="A1265" s="32" t="s">
        <v>986</v>
      </c>
      <c r="B1265" s="32" t="s">
        <v>963</v>
      </c>
      <c r="C1265" s="32" t="str">
        <f>vlookup(B1265,State_EMM_RowSums!$A$2:$B$52,2,FALSE)</f>
        <v>MI</v>
      </c>
      <c r="D1265" s="32">
        <v>26065.0</v>
      </c>
      <c r="E1265" s="33">
        <f>IF(NOT(ISBLANK(vlookup($D1265,Pop_Census_2023!$A$2:$E$3220,4,FALSE))),vlookup($D1265,Pop_Census_2023!$A$2:$E$3220,4,FALSE), vlookup($D1265,Pop_Census_2023!$A$2:$E$3220,5,FALSE))</f>
        <v>284637</v>
      </c>
      <c r="F1265" s="32">
        <v>1622975.0</v>
      </c>
      <c r="G1265" s="32">
        <v>103.0</v>
      </c>
      <c r="H1265" s="32" t="str">
        <f>VLOOKUP(D1265, Grid_Region_Mapping!$D$2:$F$5286, 3, FALSE)</f>
        <v>MISE</v>
      </c>
      <c r="I1265" s="32">
        <v>3.0</v>
      </c>
      <c r="J1265" s="34" t="str">
        <f t="shared" si="1"/>
        <v>Midwest</v>
      </c>
      <c r="K1265" s="35">
        <v>2.0</v>
      </c>
      <c r="L1265" s="35" t="s">
        <v>396</v>
      </c>
      <c r="M1265" s="36">
        <f>VLOOKUP(D1265, County_Data_CZones!$B$2:$F$3236, 2, FALSE)</f>
        <v>5</v>
      </c>
      <c r="N1265" s="37" t="str">
        <f>VLOOKUP(D1265, County_Data_CZones!$B$2:$F$3236, 5, FALSE)</f>
        <v>Cold</v>
      </c>
    </row>
    <row r="1266" ht="15.75" customHeight="1">
      <c r="A1266" s="32" t="s">
        <v>987</v>
      </c>
      <c r="B1266" s="32" t="s">
        <v>963</v>
      </c>
      <c r="C1266" s="32" t="str">
        <f>vlookup(B1266,State_EMM_RowSums!$A$2:$B$52,2,FALSE)</f>
        <v>MI</v>
      </c>
      <c r="D1266" s="32">
        <v>26067.0</v>
      </c>
      <c r="E1266" s="33">
        <f>IF(NOT(ISBLANK(vlookup($D1266,Pop_Census_2023!$A$2:$E$3220,4,FALSE))),vlookup($D1266,Pop_Census_2023!$A$2:$E$3220,4,FALSE), vlookup($D1266,Pop_Census_2023!$A$2:$E$3220,5,FALSE))</f>
        <v>66262</v>
      </c>
      <c r="F1266" s="32">
        <v>1622976.0</v>
      </c>
      <c r="G1266" s="32">
        <v>103.0</v>
      </c>
      <c r="H1266" s="32" t="str">
        <f>VLOOKUP(D1266, Grid_Region_Mapping!$D$2:$F$5286, 3, FALSE)</f>
        <v>MISE</v>
      </c>
      <c r="I1266" s="32">
        <v>3.0</v>
      </c>
      <c r="J1266" s="34" t="str">
        <f t="shared" si="1"/>
        <v>Midwest</v>
      </c>
      <c r="K1266" s="35">
        <v>2.0</v>
      </c>
      <c r="L1266" s="35" t="s">
        <v>396</v>
      </c>
      <c r="M1266" s="36">
        <f>VLOOKUP(D1266, County_Data_CZones!$B$2:$F$3236, 2, FALSE)</f>
        <v>5</v>
      </c>
      <c r="N1266" s="37" t="str">
        <f>VLOOKUP(D1266, County_Data_CZones!$B$2:$F$3236, 5, FALSE)</f>
        <v>Cold</v>
      </c>
    </row>
    <row r="1267" ht="15.75" customHeight="1">
      <c r="A1267" s="32" t="s">
        <v>988</v>
      </c>
      <c r="B1267" s="32" t="s">
        <v>963</v>
      </c>
      <c r="C1267" s="32" t="str">
        <f>vlookup(B1267,State_EMM_RowSums!$A$2:$B$52,2,FALSE)</f>
        <v>MI</v>
      </c>
      <c r="D1267" s="32">
        <v>26069.0</v>
      </c>
      <c r="E1267" s="33">
        <f>IF(NOT(ISBLANK(vlookup($D1267,Pop_Census_2023!$A$2:$E$3220,4,FALSE))),vlookup($D1267,Pop_Census_2023!$A$2:$E$3220,4,FALSE), vlookup($D1267,Pop_Census_2023!$A$2:$E$3220,5,FALSE))</f>
        <v>25373</v>
      </c>
      <c r="F1267" s="32">
        <v>1622977.0</v>
      </c>
      <c r="G1267" s="32">
        <v>103.0</v>
      </c>
      <c r="H1267" s="32" t="str">
        <f>VLOOKUP(D1267, Grid_Region_Mapping!$D$2:$F$5286, 3, FALSE)</f>
        <v>MISE</v>
      </c>
      <c r="I1267" s="32">
        <v>3.0</v>
      </c>
      <c r="J1267" s="34" t="str">
        <f t="shared" si="1"/>
        <v>Midwest</v>
      </c>
      <c r="K1267" s="35">
        <v>1.0</v>
      </c>
      <c r="L1267" s="35" t="s">
        <v>707</v>
      </c>
      <c r="M1267" s="36">
        <f>VLOOKUP(D1267, County_Data_CZones!$B$2:$F$3236, 2, FALSE)</f>
        <v>6</v>
      </c>
      <c r="N1267" s="37" t="str">
        <f>VLOOKUP(D1267, County_Data_CZones!$B$2:$F$3236, 5, FALSE)</f>
        <v>Cold</v>
      </c>
    </row>
    <row r="1268" ht="15.75" customHeight="1">
      <c r="A1268" s="32" t="s">
        <v>989</v>
      </c>
      <c r="B1268" s="32" t="s">
        <v>963</v>
      </c>
      <c r="C1268" s="32" t="str">
        <f>vlookup(B1268,State_EMM_RowSums!$A$2:$B$52,2,FALSE)</f>
        <v>MI</v>
      </c>
      <c r="D1268" s="32">
        <v>26071.0</v>
      </c>
      <c r="E1268" s="33">
        <f>IF(NOT(ISBLANK(vlookup($D1268,Pop_Census_2023!$A$2:$E$3220,4,FALSE))),vlookup($D1268,Pop_Census_2023!$A$2:$E$3220,4,FALSE), vlookup($D1268,Pop_Census_2023!$A$2:$E$3220,5,FALSE))</f>
        <v>11740</v>
      </c>
      <c r="F1268" s="32">
        <v>1622978.0</v>
      </c>
      <c r="G1268" s="32">
        <v>74.0</v>
      </c>
      <c r="H1268" s="32" t="str">
        <f>VLOOKUP(D1268, Grid_Region_Mapping!$D$2:$F$5286, 3, FALSE)</f>
        <v>MISW</v>
      </c>
      <c r="I1268" s="32">
        <v>3.0</v>
      </c>
      <c r="J1268" s="34" t="str">
        <f t="shared" si="1"/>
        <v>Midwest</v>
      </c>
      <c r="K1268" s="35">
        <v>1.0</v>
      </c>
      <c r="L1268" s="35">
        <v>7.0</v>
      </c>
      <c r="M1268" s="36">
        <f>VLOOKUP(D1268, County_Data_CZones!$B$2:$F$3236, 2, FALSE)</f>
        <v>7</v>
      </c>
      <c r="N1268" s="37" t="str">
        <f>VLOOKUP(D1268, County_Data_CZones!$B$2:$F$3236, 5, FALSE)</f>
        <v>Very Cold</v>
      </c>
    </row>
    <row r="1269" ht="15.75" customHeight="1">
      <c r="A1269" s="32" t="s">
        <v>990</v>
      </c>
      <c r="B1269" s="32" t="s">
        <v>963</v>
      </c>
      <c r="C1269" s="32" t="str">
        <f>vlookup(B1269,State_EMM_RowSums!$A$2:$B$52,2,FALSE)</f>
        <v>MI</v>
      </c>
      <c r="D1269" s="32">
        <v>26073.0</v>
      </c>
      <c r="E1269" s="33">
        <f>IF(NOT(ISBLANK(vlookup($D1269,Pop_Census_2023!$A$2:$E$3220,4,FALSE))),vlookup($D1269,Pop_Census_2023!$A$2:$E$3220,4,FALSE), vlookup($D1269,Pop_Census_2023!$A$2:$E$3220,5,FALSE))</f>
        <v>64118</v>
      </c>
      <c r="F1269" s="32">
        <v>1622979.0</v>
      </c>
      <c r="G1269" s="32">
        <v>103.0</v>
      </c>
      <c r="H1269" s="32" t="str">
        <f>VLOOKUP(D1269, Grid_Region_Mapping!$D$2:$F$5286, 3, FALSE)</f>
        <v>MISE</v>
      </c>
      <c r="I1269" s="32">
        <v>3.0</v>
      </c>
      <c r="J1269" s="34" t="str">
        <f t="shared" si="1"/>
        <v>Midwest</v>
      </c>
      <c r="K1269" s="35">
        <v>1.0</v>
      </c>
      <c r="L1269" s="35" t="s">
        <v>707</v>
      </c>
      <c r="M1269" s="36">
        <f>VLOOKUP(D1269, County_Data_CZones!$B$2:$F$3236, 2, FALSE)</f>
        <v>6</v>
      </c>
      <c r="N1269" s="37" t="str">
        <f>VLOOKUP(D1269, County_Data_CZones!$B$2:$F$3236, 5, FALSE)</f>
        <v>Cold</v>
      </c>
    </row>
    <row r="1270" ht="15.75" customHeight="1">
      <c r="A1270" s="32" t="s">
        <v>138</v>
      </c>
      <c r="B1270" s="32" t="s">
        <v>963</v>
      </c>
      <c r="C1270" s="32" t="str">
        <f>vlookup(B1270,State_EMM_RowSums!$A$2:$B$52,2,FALSE)</f>
        <v>MI</v>
      </c>
      <c r="D1270" s="32">
        <v>26075.0</v>
      </c>
      <c r="E1270" s="33">
        <f>IF(NOT(ISBLANK(vlookup($D1270,Pop_Census_2023!$A$2:$E$3220,4,FALSE))),vlookup($D1270,Pop_Census_2023!$A$2:$E$3220,4,FALSE), vlookup($D1270,Pop_Census_2023!$A$2:$E$3220,5,FALSE))</f>
        <v>159424</v>
      </c>
      <c r="F1270" s="32">
        <v>1622980.0</v>
      </c>
      <c r="G1270" s="32">
        <v>103.0</v>
      </c>
      <c r="H1270" s="32" t="str">
        <f>VLOOKUP(D1270, Grid_Region_Mapping!$D$2:$F$5286, 3, FALSE)</f>
        <v>MISE</v>
      </c>
      <c r="I1270" s="32">
        <v>3.0</v>
      </c>
      <c r="J1270" s="34" t="str">
        <f t="shared" si="1"/>
        <v>Midwest</v>
      </c>
      <c r="K1270" s="35">
        <v>2.0</v>
      </c>
      <c r="L1270" s="35" t="s">
        <v>396</v>
      </c>
      <c r="M1270" s="36">
        <f>VLOOKUP(D1270, County_Data_CZones!$B$2:$F$3236, 2, FALSE)</f>
        <v>5</v>
      </c>
      <c r="N1270" s="37" t="str">
        <f>VLOOKUP(D1270, County_Data_CZones!$B$2:$F$3236, 5, FALSE)</f>
        <v>Cold</v>
      </c>
    </row>
    <row r="1271" ht="15.75" customHeight="1">
      <c r="A1271" s="32" t="s">
        <v>991</v>
      </c>
      <c r="B1271" s="32" t="s">
        <v>963</v>
      </c>
      <c r="C1271" s="32" t="str">
        <f>vlookup(B1271,State_EMM_RowSums!$A$2:$B$52,2,FALSE)</f>
        <v>MI</v>
      </c>
      <c r="D1271" s="32">
        <v>26077.0</v>
      </c>
      <c r="E1271" s="33">
        <f>IF(NOT(ISBLANK(vlookup($D1271,Pop_Census_2023!$A$2:$E$3220,4,FALSE))),vlookup($D1271,Pop_Census_2023!$A$2:$E$3220,4,FALSE), vlookup($D1271,Pop_Census_2023!$A$2:$E$3220,5,FALSE))</f>
        <v>262215</v>
      </c>
      <c r="F1271" s="32">
        <v>1622981.0</v>
      </c>
      <c r="G1271" s="32">
        <v>104.0</v>
      </c>
      <c r="H1271" s="32" t="str">
        <f>VLOOKUP(D1271, Grid_Region_Mapping!$D$2:$F$5286, 3, FALSE)</f>
        <v>PJMW</v>
      </c>
      <c r="I1271" s="32">
        <v>3.0</v>
      </c>
      <c r="J1271" s="34" t="str">
        <f t="shared" si="1"/>
        <v>Midwest</v>
      </c>
      <c r="K1271" s="35">
        <v>2.0</v>
      </c>
      <c r="L1271" s="35" t="s">
        <v>396</v>
      </c>
      <c r="M1271" s="36">
        <f>VLOOKUP(D1271, County_Data_CZones!$B$2:$F$3236, 2, FALSE)</f>
        <v>5</v>
      </c>
      <c r="N1271" s="37" t="str">
        <f>VLOOKUP(D1271, County_Data_CZones!$B$2:$F$3236, 5, FALSE)</f>
        <v>Cold</v>
      </c>
    </row>
    <row r="1272" ht="15.75" customHeight="1">
      <c r="A1272" s="32" t="s">
        <v>992</v>
      </c>
      <c r="B1272" s="32" t="s">
        <v>963</v>
      </c>
      <c r="C1272" s="32" t="str">
        <f>vlookup(B1272,State_EMM_RowSums!$A$2:$B$52,2,FALSE)</f>
        <v>MI</v>
      </c>
      <c r="D1272" s="32">
        <v>26079.0</v>
      </c>
      <c r="E1272" s="33">
        <f>IF(NOT(ISBLANK(vlookup($D1272,Pop_Census_2023!$A$2:$E$3220,4,FALSE))),vlookup($D1272,Pop_Census_2023!$A$2:$E$3220,4,FALSE), vlookup($D1272,Pop_Census_2023!$A$2:$E$3220,5,FALSE))</f>
        <v>18490</v>
      </c>
      <c r="F1272" s="32">
        <v>1622982.0</v>
      </c>
      <c r="G1272" s="32">
        <v>103.0</v>
      </c>
      <c r="H1272" s="32" t="str">
        <f>VLOOKUP(D1272, Grid_Region_Mapping!$D$2:$F$5286, 3, FALSE)</f>
        <v>MISE</v>
      </c>
      <c r="I1272" s="32">
        <v>3.0</v>
      </c>
      <c r="J1272" s="34" t="str">
        <f t="shared" si="1"/>
        <v>Midwest</v>
      </c>
      <c r="K1272" s="35">
        <v>1.0</v>
      </c>
      <c r="L1272" s="35" t="s">
        <v>707</v>
      </c>
      <c r="M1272" s="36">
        <f>VLOOKUP(D1272, County_Data_CZones!$B$2:$F$3236, 2, FALSE)</f>
        <v>6</v>
      </c>
      <c r="N1272" s="37" t="str">
        <f>VLOOKUP(D1272, County_Data_CZones!$B$2:$F$3236, 5, FALSE)</f>
        <v>Cold</v>
      </c>
    </row>
    <row r="1273" ht="15.75" customHeight="1">
      <c r="A1273" s="32" t="s">
        <v>404</v>
      </c>
      <c r="B1273" s="32" t="s">
        <v>963</v>
      </c>
      <c r="C1273" s="32" t="str">
        <f>vlookup(B1273,State_EMM_RowSums!$A$2:$B$52,2,FALSE)</f>
        <v>MI</v>
      </c>
      <c r="D1273" s="32">
        <v>26081.0</v>
      </c>
      <c r="E1273" s="33">
        <f>IF(NOT(ISBLANK(vlookup($D1273,Pop_Census_2023!$A$2:$E$3220,4,FALSE))),vlookup($D1273,Pop_Census_2023!$A$2:$E$3220,4,FALSE), vlookup($D1273,Pop_Census_2023!$A$2:$E$3220,5,FALSE))</f>
        <v>661354</v>
      </c>
      <c r="F1273" s="32">
        <v>1622983.0</v>
      </c>
      <c r="G1273" s="32">
        <v>103.0</v>
      </c>
      <c r="H1273" s="32" t="str">
        <f>VLOOKUP(D1273, Grid_Region_Mapping!$D$2:$F$5286, 3, FALSE)</f>
        <v>MISE</v>
      </c>
      <c r="I1273" s="32">
        <v>3.0</v>
      </c>
      <c r="J1273" s="34" t="str">
        <f t="shared" si="1"/>
        <v>Midwest</v>
      </c>
      <c r="K1273" s="35">
        <v>2.0</v>
      </c>
      <c r="L1273" s="35" t="s">
        <v>396</v>
      </c>
      <c r="M1273" s="36">
        <f>VLOOKUP(D1273, County_Data_CZones!$B$2:$F$3236, 2, FALSE)</f>
        <v>5</v>
      </c>
      <c r="N1273" s="37" t="str">
        <f>VLOOKUP(D1273, County_Data_CZones!$B$2:$F$3236, 5, FALSE)</f>
        <v>Cold</v>
      </c>
    </row>
    <row r="1274" ht="15.75" customHeight="1">
      <c r="A1274" s="32" t="s">
        <v>993</v>
      </c>
      <c r="B1274" s="32" t="s">
        <v>963</v>
      </c>
      <c r="C1274" s="32" t="str">
        <f>vlookup(B1274,State_EMM_RowSums!$A$2:$B$52,2,FALSE)</f>
        <v>MI</v>
      </c>
      <c r="D1274" s="32">
        <v>26083.0</v>
      </c>
      <c r="E1274" s="33">
        <f>IF(NOT(ISBLANK(vlookup($D1274,Pop_Census_2023!$A$2:$E$3220,4,FALSE))),vlookup($D1274,Pop_Census_2023!$A$2:$E$3220,4,FALSE), vlookup($D1274,Pop_Census_2023!$A$2:$E$3220,5,FALSE))</f>
        <v>2172</v>
      </c>
      <c r="F1274" s="32">
        <v>1622984.0</v>
      </c>
      <c r="G1274" s="32">
        <v>74.0</v>
      </c>
      <c r="H1274" s="32" t="str">
        <f>VLOOKUP(D1274, Grid_Region_Mapping!$D$2:$F$5286, 3, FALSE)</f>
        <v>MISW</v>
      </c>
      <c r="I1274" s="32">
        <v>3.0</v>
      </c>
      <c r="J1274" s="34" t="str">
        <f t="shared" si="1"/>
        <v>Midwest</v>
      </c>
      <c r="K1274" s="35">
        <v>1.0</v>
      </c>
      <c r="L1274" s="35">
        <v>7.0</v>
      </c>
      <c r="M1274" s="36">
        <f>VLOOKUP(D1274, County_Data_CZones!$B$2:$F$3236, 2, FALSE)</f>
        <v>7</v>
      </c>
      <c r="N1274" s="37" t="str">
        <f>VLOOKUP(D1274, County_Data_CZones!$B$2:$F$3236, 5, FALSE)</f>
        <v>Very Cold</v>
      </c>
    </row>
    <row r="1275" ht="15.75" customHeight="1">
      <c r="A1275" s="32" t="s">
        <v>298</v>
      </c>
      <c r="B1275" s="32" t="s">
        <v>963</v>
      </c>
      <c r="C1275" s="32" t="str">
        <f>vlookup(B1275,State_EMM_RowSums!$A$2:$B$52,2,FALSE)</f>
        <v>MI</v>
      </c>
      <c r="D1275" s="32">
        <v>26085.0</v>
      </c>
      <c r="E1275" s="33">
        <f>IF(NOT(ISBLANK(vlookup($D1275,Pop_Census_2023!$A$2:$E$3220,4,FALSE))),vlookup($D1275,Pop_Census_2023!$A$2:$E$3220,4,FALSE), vlookup($D1275,Pop_Census_2023!$A$2:$E$3220,5,FALSE))</f>
        <v>12734</v>
      </c>
      <c r="F1275" s="32">
        <v>1622985.0</v>
      </c>
      <c r="G1275" s="32">
        <v>103.0</v>
      </c>
      <c r="H1275" s="32" t="str">
        <f>VLOOKUP(D1275, Grid_Region_Mapping!$D$2:$F$5286, 3, FALSE)</f>
        <v>MISE</v>
      </c>
      <c r="I1275" s="32">
        <v>3.0</v>
      </c>
      <c r="J1275" s="34" t="str">
        <f t="shared" si="1"/>
        <v>Midwest</v>
      </c>
      <c r="K1275" s="35">
        <v>1.0</v>
      </c>
      <c r="L1275" s="35" t="s">
        <v>707</v>
      </c>
      <c r="M1275" s="36">
        <f>VLOOKUP(D1275, County_Data_CZones!$B$2:$F$3236, 2, FALSE)</f>
        <v>6</v>
      </c>
      <c r="N1275" s="37" t="str">
        <f>VLOOKUP(D1275, County_Data_CZones!$B$2:$F$3236, 5, FALSE)</f>
        <v>Cold</v>
      </c>
    </row>
    <row r="1276" ht="15.75" customHeight="1">
      <c r="A1276" s="32" t="s">
        <v>994</v>
      </c>
      <c r="B1276" s="32" t="s">
        <v>963</v>
      </c>
      <c r="C1276" s="32" t="str">
        <f>vlookup(B1276,State_EMM_RowSums!$A$2:$B$52,2,FALSE)</f>
        <v>MI</v>
      </c>
      <c r="D1276" s="32">
        <v>26087.0</v>
      </c>
      <c r="E1276" s="33">
        <f>IF(NOT(ISBLANK(vlookup($D1276,Pop_Census_2023!$A$2:$E$3220,4,FALSE))),vlookup($D1276,Pop_Census_2023!$A$2:$E$3220,4,FALSE), vlookup($D1276,Pop_Census_2023!$A$2:$E$3220,5,FALSE))</f>
        <v>88977</v>
      </c>
      <c r="F1276" s="32">
        <v>1622986.0</v>
      </c>
      <c r="G1276" s="32">
        <v>103.0</v>
      </c>
      <c r="H1276" s="32" t="str">
        <f>VLOOKUP(D1276, Grid_Region_Mapping!$D$2:$F$5286, 3, FALSE)</f>
        <v>MISE</v>
      </c>
      <c r="I1276" s="32">
        <v>3.0</v>
      </c>
      <c r="J1276" s="34" t="str">
        <f t="shared" si="1"/>
        <v>Midwest</v>
      </c>
      <c r="K1276" s="35">
        <v>2.0</v>
      </c>
      <c r="L1276" s="35" t="s">
        <v>396</v>
      </c>
      <c r="M1276" s="36">
        <f>VLOOKUP(D1276, County_Data_CZones!$B$2:$F$3236, 2, FALSE)</f>
        <v>5</v>
      </c>
      <c r="N1276" s="37" t="str">
        <f>VLOOKUP(D1276, County_Data_CZones!$B$2:$F$3236, 5, FALSE)</f>
        <v>Cold</v>
      </c>
    </row>
    <row r="1277" ht="15.75" customHeight="1">
      <c r="A1277" s="32" t="s">
        <v>995</v>
      </c>
      <c r="B1277" s="32" t="s">
        <v>963</v>
      </c>
      <c r="C1277" s="32" t="str">
        <f>vlookup(B1277,State_EMM_RowSums!$A$2:$B$52,2,FALSE)</f>
        <v>MI</v>
      </c>
      <c r="D1277" s="32">
        <v>26089.0</v>
      </c>
      <c r="E1277" s="33">
        <f>IF(NOT(ISBLANK(vlookup($D1277,Pop_Census_2023!$A$2:$E$3220,4,FALSE))),vlookup($D1277,Pop_Census_2023!$A$2:$E$3220,4,FALSE), vlookup($D1277,Pop_Census_2023!$A$2:$E$3220,5,FALSE))</f>
        <v>23019</v>
      </c>
      <c r="F1277" s="32">
        <v>1622987.0</v>
      </c>
      <c r="G1277" s="32">
        <v>103.0</v>
      </c>
      <c r="H1277" s="32" t="str">
        <f>VLOOKUP(D1277, Grid_Region_Mapping!$D$2:$F$5286, 3, FALSE)</f>
        <v>MISE</v>
      </c>
      <c r="I1277" s="32">
        <v>3.0</v>
      </c>
      <c r="J1277" s="34" t="str">
        <f t="shared" si="1"/>
        <v>Midwest</v>
      </c>
      <c r="K1277" s="35">
        <v>1.0</v>
      </c>
      <c r="L1277" s="35" t="s">
        <v>707</v>
      </c>
      <c r="M1277" s="36">
        <f>VLOOKUP(D1277, County_Data_CZones!$B$2:$F$3236, 2, FALSE)</f>
        <v>6</v>
      </c>
      <c r="N1277" s="37" t="str">
        <f>VLOOKUP(D1277, County_Data_CZones!$B$2:$F$3236, 5, FALSE)</f>
        <v>Cold</v>
      </c>
    </row>
    <row r="1278" ht="15.75" customHeight="1">
      <c r="A1278" s="32" t="s">
        <v>996</v>
      </c>
      <c r="B1278" s="32" t="s">
        <v>963</v>
      </c>
      <c r="C1278" s="32" t="str">
        <f>vlookup(B1278,State_EMM_RowSums!$A$2:$B$52,2,FALSE)</f>
        <v>MI</v>
      </c>
      <c r="D1278" s="32">
        <v>26091.0</v>
      </c>
      <c r="E1278" s="33">
        <f>IF(NOT(ISBLANK(vlookup($D1278,Pop_Census_2023!$A$2:$E$3220,4,FALSE))),vlookup($D1278,Pop_Census_2023!$A$2:$E$3220,4,FALSE), vlookup($D1278,Pop_Census_2023!$A$2:$E$3220,5,FALSE))</f>
        <v>97520</v>
      </c>
      <c r="F1278" s="32">
        <v>1622988.0</v>
      </c>
      <c r="G1278" s="32">
        <v>103.0</v>
      </c>
      <c r="H1278" s="32" t="str">
        <f>VLOOKUP(D1278, Grid_Region_Mapping!$D$2:$F$5286, 3, FALSE)</f>
        <v>MISE</v>
      </c>
      <c r="I1278" s="32">
        <v>3.0</v>
      </c>
      <c r="J1278" s="34" t="str">
        <f t="shared" si="1"/>
        <v>Midwest</v>
      </c>
      <c r="K1278" s="35">
        <v>2.0</v>
      </c>
      <c r="L1278" s="35" t="s">
        <v>396</v>
      </c>
      <c r="M1278" s="36">
        <f>VLOOKUP(D1278, County_Data_CZones!$B$2:$F$3236, 2, FALSE)</f>
        <v>5</v>
      </c>
      <c r="N1278" s="37" t="str">
        <f>VLOOKUP(D1278, County_Data_CZones!$B$2:$F$3236, 5, FALSE)</f>
        <v>Cold</v>
      </c>
    </row>
    <row r="1279" ht="15.75" customHeight="1">
      <c r="A1279" s="32" t="s">
        <v>636</v>
      </c>
      <c r="B1279" s="32" t="s">
        <v>963</v>
      </c>
      <c r="C1279" s="32" t="str">
        <f>vlookup(B1279,State_EMM_RowSums!$A$2:$B$52,2,FALSE)</f>
        <v>MI</v>
      </c>
      <c r="D1279" s="32">
        <v>26093.0</v>
      </c>
      <c r="E1279" s="33">
        <f>IF(NOT(ISBLANK(vlookup($D1279,Pop_Census_2023!$A$2:$E$3220,4,FALSE))),vlookup($D1279,Pop_Census_2023!$A$2:$E$3220,4,FALSE), vlookup($D1279,Pop_Census_2023!$A$2:$E$3220,5,FALSE))</f>
        <v>196757</v>
      </c>
      <c r="F1279" s="32">
        <v>1622989.0</v>
      </c>
      <c r="G1279" s="32">
        <v>103.0</v>
      </c>
      <c r="H1279" s="32" t="str">
        <f>VLOOKUP(D1279, Grid_Region_Mapping!$D$2:$F$5286, 3, FALSE)</f>
        <v>MISE</v>
      </c>
      <c r="I1279" s="32">
        <v>3.0</v>
      </c>
      <c r="J1279" s="34" t="str">
        <f t="shared" si="1"/>
        <v>Midwest</v>
      </c>
      <c r="K1279" s="35">
        <v>2.0</v>
      </c>
      <c r="L1279" s="35" t="s">
        <v>396</v>
      </c>
      <c r="M1279" s="36">
        <f>VLOOKUP(D1279, County_Data_CZones!$B$2:$F$3236, 2, FALSE)</f>
        <v>5</v>
      </c>
      <c r="N1279" s="37" t="str">
        <f>VLOOKUP(D1279, County_Data_CZones!$B$2:$F$3236, 5, FALSE)</f>
        <v>Cold</v>
      </c>
    </row>
    <row r="1280" ht="15.75" customHeight="1">
      <c r="A1280" s="32" t="s">
        <v>997</v>
      </c>
      <c r="B1280" s="32" t="s">
        <v>963</v>
      </c>
      <c r="C1280" s="32" t="str">
        <f>vlookup(B1280,State_EMM_RowSums!$A$2:$B$52,2,FALSE)</f>
        <v>MI</v>
      </c>
      <c r="D1280" s="32">
        <v>26095.0</v>
      </c>
      <c r="E1280" s="33">
        <f>IF(NOT(ISBLANK(vlookup($D1280,Pop_Census_2023!$A$2:$E$3220,4,FALSE))),vlookup($D1280,Pop_Census_2023!$A$2:$E$3220,4,FALSE), vlookup($D1280,Pop_Census_2023!$A$2:$E$3220,5,FALSE))</f>
        <v>6435</v>
      </c>
      <c r="F1280" s="32">
        <v>1622990.0</v>
      </c>
      <c r="G1280" s="32">
        <v>103.0</v>
      </c>
      <c r="H1280" s="32" t="str">
        <f>VLOOKUP(D1280, Grid_Region_Mapping!$D$2:$F$5286, 3, FALSE)</f>
        <v>MISW</v>
      </c>
      <c r="I1280" s="32">
        <v>3.0</v>
      </c>
      <c r="J1280" s="34" t="str">
        <f t="shared" si="1"/>
        <v>Midwest</v>
      </c>
      <c r="K1280" s="35">
        <v>1.0</v>
      </c>
      <c r="L1280" s="35">
        <v>7.0</v>
      </c>
      <c r="M1280" s="36">
        <f>VLOOKUP(D1280, County_Data_CZones!$B$2:$F$3236, 2, FALSE)</f>
        <v>7</v>
      </c>
      <c r="N1280" s="37" t="str">
        <f>VLOOKUP(D1280, County_Data_CZones!$B$2:$F$3236, 5, FALSE)</f>
        <v>Very Cold</v>
      </c>
    </row>
    <row r="1281" ht="15.75" customHeight="1">
      <c r="A1281" s="32" t="s">
        <v>998</v>
      </c>
      <c r="B1281" s="32" t="s">
        <v>963</v>
      </c>
      <c r="C1281" s="32" t="str">
        <f>vlookup(B1281,State_EMM_RowSums!$A$2:$B$52,2,FALSE)</f>
        <v>MI</v>
      </c>
      <c r="D1281" s="32">
        <v>26097.0</v>
      </c>
      <c r="E1281" s="33">
        <f>IF(NOT(ISBLANK(vlookup($D1281,Pop_Census_2023!$A$2:$E$3220,4,FALSE))),vlookup($D1281,Pop_Census_2023!$A$2:$E$3220,4,FALSE), vlookup($D1281,Pop_Census_2023!$A$2:$E$3220,5,FALSE))</f>
        <v>10851</v>
      </c>
      <c r="F1281" s="32">
        <v>1622991.0</v>
      </c>
      <c r="G1281" s="32">
        <v>103.0</v>
      </c>
      <c r="H1281" s="32" t="str">
        <f>VLOOKUP(D1281, Grid_Region_Mapping!$D$2:$F$5286, 3, FALSE)</f>
        <v>MISW</v>
      </c>
      <c r="I1281" s="32">
        <v>3.0</v>
      </c>
      <c r="J1281" s="34" t="str">
        <f t="shared" si="1"/>
        <v>Midwest</v>
      </c>
      <c r="K1281" s="35">
        <v>1.0</v>
      </c>
      <c r="L1281" s="35">
        <v>7.0</v>
      </c>
      <c r="M1281" s="36">
        <f>VLOOKUP(D1281, County_Data_CZones!$B$2:$F$3236, 2, FALSE)</f>
        <v>7</v>
      </c>
      <c r="N1281" s="37" t="str">
        <f>VLOOKUP(D1281, County_Data_CZones!$B$2:$F$3236, 5, FALSE)</f>
        <v>Very Cold</v>
      </c>
    </row>
    <row r="1282" ht="15.75" customHeight="1">
      <c r="A1282" s="32" t="s">
        <v>999</v>
      </c>
      <c r="B1282" s="32" t="s">
        <v>963</v>
      </c>
      <c r="C1282" s="32" t="str">
        <f>vlookup(B1282,State_EMM_RowSums!$A$2:$B$52,2,FALSE)</f>
        <v>MI</v>
      </c>
      <c r="D1282" s="32">
        <v>26099.0</v>
      </c>
      <c r="E1282" s="33">
        <f>IF(NOT(ISBLANK(vlookup($D1282,Pop_Census_2023!$A$2:$E$3220,4,FALSE))),vlookup($D1282,Pop_Census_2023!$A$2:$E$3220,4,FALSE), vlookup($D1282,Pop_Census_2023!$A$2:$E$3220,5,FALSE))</f>
        <v>875101</v>
      </c>
      <c r="F1282" s="32">
        <v>1622992.0</v>
      </c>
      <c r="G1282" s="32">
        <v>103.0</v>
      </c>
      <c r="H1282" s="32" t="str">
        <f>VLOOKUP(D1282, Grid_Region_Mapping!$D$2:$F$5286, 3, FALSE)</f>
        <v>MISE</v>
      </c>
      <c r="I1282" s="32">
        <v>3.0</v>
      </c>
      <c r="J1282" s="34" t="str">
        <f t="shared" si="1"/>
        <v>Midwest</v>
      </c>
      <c r="K1282" s="35">
        <v>2.0</v>
      </c>
      <c r="L1282" s="35" t="s">
        <v>396</v>
      </c>
      <c r="M1282" s="36">
        <f>VLOOKUP(D1282, County_Data_CZones!$B$2:$F$3236, 2, FALSE)</f>
        <v>5</v>
      </c>
      <c r="N1282" s="37" t="str">
        <f>VLOOKUP(D1282, County_Data_CZones!$B$2:$F$3236, 5, FALSE)</f>
        <v>Cold</v>
      </c>
    </row>
    <row r="1283" ht="15.75" customHeight="1">
      <c r="A1283" s="32" t="s">
        <v>1000</v>
      </c>
      <c r="B1283" s="32" t="s">
        <v>963</v>
      </c>
      <c r="C1283" s="32" t="str">
        <f>vlookup(B1283,State_EMM_RowSums!$A$2:$B$52,2,FALSE)</f>
        <v>MI</v>
      </c>
      <c r="D1283" s="32">
        <v>26101.0</v>
      </c>
      <c r="E1283" s="33">
        <f>IF(NOT(ISBLANK(vlookup($D1283,Pop_Census_2023!$A$2:$E$3220,4,FALSE))),vlookup($D1283,Pop_Census_2023!$A$2:$E$3220,4,FALSE), vlookup($D1283,Pop_Census_2023!$A$2:$E$3220,5,FALSE))</f>
        <v>25562</v>
      </c>
      <c r="F1283" s="32">
        <v>1622993.0</v>
      </c>
      <c r="G1283" s="32">
        <v>103.0</v>
      </c>
      <c r="H1283" s="32" t="str">
        <f>VLOOKUP(D1283, Grid_Region_Mapping!$D$2:$F$5286, 3, FALSE)</f>
        <v>MISE</v>
      </c>
      <c r="I1283" s="32">
        <v>3.0</v>
      </c>
      <c r="J1283" s="34" t="str">
        <f t="shared" si="1"/>
        <v>Midwest</v>
      </c>
      <c r="K1283" s="35">
        <v>1.0</v>
      </c>
      <c r="L1283" s="35" t="s">
        <v>707</v>
      </c>
      <c r="M1283" s="36">
        <f>VLOOKUP(D1283, County_Data_CZones!$B$2:$F$3236, 2, FALSE)</f>
        <v>6</v>
      </c>
      <c r="N1283" s="37" t="str">
        <f>VLOOKUP(D1283, County_Data_CZones!$B$2:$F$3236, 5, FALSE)</f>
        <v>Cold</v>
      </c>
    </row>
    <row r="1284" ht="15.75" customHeight="1">
      <c r="A1284" s="32" t="s">
        <v>1001</v>
      </c>
      <c r="B1284" s="32" t="s">
        <v>963</v>
      </c>
      <c r="C1284" s="32" t="str">
        <f>vlookup(B1284,State_EMM_RowSums!$A$2:$B$52,2,FALSE)</f>
        <v>MI</v>
      </c>
      <c r="D1284" s="32">
        <v>26103.0</v>
      </c>
      <c r="E1284" s="33">
        <f>IF(NOT(ISBLANK(vlookup($D1284,Pop_Census_2023!$A$2:$E$3220,4,FALSE))),vlookup($D1284,Pop_Census_2023!$A$2:$E$3220,4,FALSE), vlookup($D1284,Pop_Census_2023!$A$2:$E$3220,5,FALSE))</f>
        <v>66999</v>
      </c>
      <c r="F1284" s="32">
        <v>1622994.0</v>
      </c>
      <c r="G1284" s="32">
        <v>74.0</v>
      </c>
      <c r="H1284" s="32" t="str">
        <f>VLOOKUP(D1284, Grid_Region_Mapping!$D$2:$F$5286, 3, FALSE)</f>
        <v>MISW</v>
      </c>
      <c r="I1284" s="32">
        <v>3.0</v>
      </c>
      <c r="J1284" s="34" t="str">
        <f t="shared" si="1"/>
        <v>Midwest</v>
      </c>
      <c r="K1284" s="35">
        <v>1.0</v>
      </c>
      <c r="L1284" s="35" t="s">
        <v>707</v>
      </c>
      <c r="M1284" s="36">
        <f>VLOOKUP(D1284, County_Data_CZones!$B$2:$F$3236, 2, FALSE)</f>
        <v>6</v>
      </c>
      <c r="N1284" s="37" t="str">
        <f>VLOOKUP(D1284, County_Data_CZones!$B$2:$F$3236, 5, FALSE)</f>
        <v>Cold</v>
      </c>
    </row>
    <row r="1285" ht="15.75" customHeight="1">
      <c r="A1285" s="32" t="s">
        <v>641</v>
      </c>
      <c r="B1285" s="32" t="s">
        <v>963</v>
      </c>
      <c r="C1285" s="32" t="str">
        <f>vlookup(B1285,State_EMM_RowSums!$A$2:$B$52,2,FALSE)</f>
        <v>MI</v>
      </c>
      <c r="D1285" s="32">
        <v>26105.0</v>
      </c>
      <c r="E1285" s="33">
        <f>IF(NOT(ISBLANK(vlookup($D1285,Pop_Census_2023!$A$2:$E$3220,4,FALSE))),vlookup($D1285,Pop_Census_2023!$A$2:$E$3220,4,FALSE), vlookup($D1285,Pop_Census_2023!$A$2:$E$3220,5,FALSE))</f>
        <v>29159</v>
      </c>
      <c r="F1285" s="32">
        <v>1622995.0</v>
      </c>
      <c r="G1285" s="32">
        <v>103.0</v>
      </c>
      <c r="H1285" s="32" t="str">
        <f>VLOOKUP(D1285, Grid_Region_Mapping!$D$2:$F$5286, 3, FALSE)</f>
        <v>MISE</v>
      </c>
      <c r="I1285" s="32">
        <v>3.0</v>
      </c>
      <c r="J1285" s="34" t="str">
        <f t="shared" si="1"/>
        <v>Midwest</v>
      </c>
      <c r="K1285" s="35">
        <v>1.0</v>
      </c>
      <c r="L1285" s="35" t="s">
        <v>707</v>
      </c>
      <c r="M1285" s="36">
        <f>VLOOKUP(D1285, County_Data_CZones!$B$2:$F$3236, 2, FALSE)</f>
        <v>6</v>
      </c>
      <c r="N1285" s="37" t="str">
        <f>VLOOKUP(D1285, County_Data_CZones!$B$2:$F$3236, 5, FALSE)</f>
        <v>Cold</v>
      </c>
    </row>
    <row r="1286" ht="15.75" customHeight="1">
      <c r="A1286" s="32" t="s">
        <v>1002</v>
      </c>
      <c r="B1286" s="32" t="s">
        <v>963</v>
      </c>
      <c r="C1286" s="32" t="str">
        <f>vlookup(B1286,State_EMM_RowSums!$A$2:$B$52,2,FALSE)</f>
        <v>MI</v>
      </c>
      <c r="D1286" s="32">
        <v>26107.0</v>
      </c>
      <c r="E1286" s="33">
        <f>IF(NOT(ISBLANK(vlookup($D1286,Pop_Census_2023!$A$2:$E$3220,4,FALSE))),vlookup($D1286,Pop_Census_2023!$A$2:$E$3220,4,FALSE), vlookup($D1286,Pop_Census_2023!$A$2:$E$3220,5,FALSE))</f>
        <v>41099</v>
      </c>
      <c r="F1286" s="32">
        <v>1622996.0</v>
      </c>
      <c r="G1286" s="32">
        <v>103.0</v>
      </c>
      <c r="H1286" s="32" t="str">
        <f>VLOOKUP(D1286, Grid_Region_Mapping!$D$2:$F$5286, 3, FALSE)</f>
        <v>MISE</v>
      </c>
      <c r="I1286" s="32">
        <v>3.0</v>
      </c>
      <c r="J1286" s="34" t="str">
        <f t="shared" si="1"/>
        <v>Midwest</v>
      </c>
      <c r="K1286" s="35">
        <v>1.0</v>
      </c>
      <c r="L1286" s="35" t="s">
        <v>707</v>
      </c>
      <c r="M1286" s="36">
        <f>VLOOKUP(D1286, County_Data_CZones!$B$2:$F$3236, 2, FALSE)</f>
        <v>6</v>
      </c>
      <c r="N1286" s="37" t="str">
        <f>VLOOKUP(D1286, County_Data_CZones!$B$2:$F$3236, 5, FALSE)</f>
        <v>Cold</v>
      </c>
    </row>
    <row r="1287" ht="15.75" customHeight="1">
      <c r="A1287" s="32" t="s">
        <v>1003</v>
      </c>
      <c r="B1287" s="32" t="s">
        <v>963</v>
      </c>
      <c r="C1287" s="32" t="str">
        <f>vlookup(B1287,State_EMM_RowSums!$A$2:$B$52,2,FALSE)</f>
        <v>MI</v>
      </c>
      <c r="D1287" s="32">
        <v>26109.0</v>
      </c>
      <c r="E1287" s="33">
        <f>IF(NOT(ISBLANK(vlookup($D1287,Pop_Census_2023!$A$2:$E$3220,4,FALSE))),vlookup($D1287,Pop_Census_2023!$A$2:$E$3220,4,FALSE), vlookup($D1287,Pop_Census_2023!$A$2:$E$3220,5,FALSE))</f>
        <v>22945</v>
      </c>
      <c r="F1287" s="32">
        <v>1622997.0</v>
      </c>
      <c r="G1287" s="32">
        <v>74.0</v>
      </c>
      <c r="H1287" s="32" t="str">
        <f>VLOOKUP(D1287, Grid_Region_Mapping!$D$2:$F$5286, 3, FALSE)</f>
        <v>MISW</v>
      </c>
      <c r="I1287" s="32">
        <v>3.0</v>
      </c>
      <c r="J1287" s="34" t="str">
        <f t="shared" si="1"/>
        <v>Midwest</v>
      </c>
      <c r="K1287" s="35">
        <v>1.0</v>
      </c>
      <c r="L1287" s="35" t="s">
        <v>707</v>
      </c>
      <c r="M1287" s="36">
        <f>VLOOKUP(D1287, County_Data_CZones!$B$2:$F$3236, 2, FALSE)</f>
        <v>6</v>
      </c>
      <c r="N1287" s="37" t="str">
        <f>VLOOKUP(D1287, County_Data_CZones!$B$2:$F$3236, 5, FALSE)</f>
        <v>Cold</v>
      </c>
    </row>
    <row r="1288" ht="15.75" customHeight="1">
      <c r="A1288" s="32" t="s">
        <v>1004</v>
      </c>
      <c r="B1288" s="32" t="s">
        <v>963</v>
      </c>
      <c r="C1288" s="32" t="str">
        <f>vlookup(B1288,State_EMM_RowSums!$A$2:$B$52,2,FALSE)</f>
        <v>MI</v>
      </c>
      <c r="D1288" s="32">
        <v>26111.0</v>
      </c>
      <c r="E1288" s="33">
        <f>IF(NOT(ISBLANK(vlookup($D1288,Pop_Census_2023!$A$2:$E$3220,4,FALSE))),vlookup($D1288,Pop_Census_2023!$A$2:$E$3220,4,FALSE), vlookup($D1288,Pop_Census_2023!$A$2:$E$3220,5,FALSE))</f>
        <v>84039</v>
      </c>
      <c r="F1288" s="32">
        <v>1622998.0</v>
      </c>
      <c r="G1288" s="32">
        <v>103.0</v>
      </c>
      <c r="H1288" s="32" t="str">
        <f>VLOOKUP(D1288, Grid_Region_Mapping!$D$2:$F$5286, 3, FALSE)</f>
        <v>MISE</v>
      </c>
      <c r="I1288" s="32">
        <v>3.0</v>
      </c>
      <c r="J1288" s="34" t="str">
        <f t="shared" si="1"/>
        <v>Midwest</v>
      </c>
      <c r="K1288" s="35">
        <v>1.0</v>
      </c>
      <c r="L1288" s="35" t="s">
        <v>396</v>
      </c>
      <c r="M1288" s="36">
        <f>VLOOKUP(D1288, County_Data_CZones!$B$2:$F$3236, 2, FALSE)</f>
        <v>5</v>
      </c>
      <c r="N1288" s="37" t="str">
        <f>VLOOKUP(D1288, County_Data_CZones!$B$2:$F$3236, 5, FALSE)</f>
        <v>Cold</v>
      </c>
    </row>
    <row r="1289" ht="15.75" customHeight="1">
      <c r="A1289" s="32" t="s">
        <v>1005</v>
      </c>
      <c r="B1289" s="32" t="s">
        <v>963</v>
      </c>
      <c r="C1289" s="32" t="str">
        <f>vlookup(B1289,State_EMM_RowSums!$A$2:$B$52,2,FALSE)</f>
        <v>MI</v>
      </c>
      <c r="D1289" s="32">
        <v>26113.0</v>
      </c>
      <c r="E1289" s="33">
        <f>IF(NOT(ISBLANK(vlookup($D1289,Pop_Census_2023!$A$2:$E$3220,4,FALSE))),vlookup($D1289,Pop_Census_2023!$A$2:$E$3220,4,FALSE), vlookup($D1289,Pop_Census_2023!$A$2:$E$3220,5,FALSE))</f>
        <v>15311</v>
      </c>
      <c r="F1289" s="32">
        <v>1622999.0</v>
      </c>
      <c r="G1289" s="32">
        <v>103.0</v>
      </c>
      <c r="H1289" s="32" t="str">
        <f>VLOOKUP(D1289, Grid_Region_Mapping!$D$2:$F$5286, 3, FALSE)</f>
        <v>MISE</v>
      </c>
      <c r="I1289" s="32">
        <v>3.0</v>
      </c>
      <c r="J1289" s="34" t="str">
        <f t="shared" si="1"/>
        <v>Midwest</v>
      </c>
      <c r="K1289" s="35">
        <v>1.0</v>
      </c>
      <c r="L1289" s="35" t="s">
        <v>707</v>
      </c>
      <c r="M1289" s="36">
        <f>VLOOKUP(D1289, County_Data_CZones!$B$2:$F$3236, 2, FALSE)</f>
        <v>6</v>
      </c>
      <c r="N1289" s="37" t="str">
        <f>VLOOKUP(D1289, County_Data_CZones!$B$2:$F$3236, 5, FALSE)</f>
        <v>Cold</v>
      </c>
    </row>
    <row r="1290" ht="15.75" customHeight="1">
      <c r="A1290" s="32" t="s">
        <v>152</v>
      </c>
      <c r="B1290" s="32" t="s">
        <v>963</v>
      </c>
      <c r="C1290" s="32" t="str">
        <f>vlookup(B1290,State_EMM_RowSums!$A$2:$B$52,2,FALSE)</f>
        <v>MI</v>
      </c>
      <c r="D1290" s="32">
        <v>26115.0</v>
      </c>
      <c r="E1290" s="33">
        <f>IF(NOT(ISBLANK(vlookup($D1290,Pop_Census_2023!$A$2:$E$3220,4,FALSE))),vlookup($D1290,Pop_Census_2023!$A$2:$E$3220,4,FALSE), vlookup($D1290,Pop_Census_2023!$A$2:$E$3220,5,FALSE))</f>
        <v>155045</v>
      </c>
      <c r="F1290" s="32">
        <v>1623000.0</v>
      </c>
      <c r="G1290" s="32">
        <v>103.0</v>
      </c>
      <c r="H1290" s="32" t="str">
        <f>VLOOKUP(D1290, Grid_Region_Mapping!$D$2:$F$5286, 3, FALSE)</f>
        <v>MISE</v>
      </c>
      <c r="I1290" s="32">
        <v>3.0</v>
      </c>
      <c r="J1290" s="34" t="str">
        <f t="shared" si="1"/>
        <v>Midwest</v>
      </c>
      <c r="K1290" s="35">
        <v>2.0</v>
      </c>
      <c r="L1290" s="35" t="s">
        <v>396</v>
      </c>
      <c r="M1290" s="36">
        <f>VLOOKUP(D1290, County_Data_CZones!$B$2:$F$3236, 2, FALSE)</f>
        <v>5</v>
      </c>
      <c r="N1290" s="37" t="str">
        <f>VLOOKUP(D1290, County_Data_CZones!$B$2:$F$3236, 5, FALSE)</f>
        <v>Cold</v>
      </c>
    </row>
    <row r="1291" ht="15.75" customHeight="1">
      <c r="A1291" s="32" t="s">
        <v>1006</v>
      </c>
      <c r="B1291" s="32" t="s">
        <v>963</v>
      </c>
      <c r="C1291" s="32" t="str">
        <f>vlookup(B1291,State_EMM_RowSums!$A$2:$B$52,2,FALSE)</f>
        <v>MI</v>
      </c>
      <c r="D1291" s="32">
        <v>26117.0</v>
      </c>
      <c r="E1291" s="33">
        <f>IF(NOT(ISBLANK(vlookup($D1291,Pop_Census_2023!$A$2:$E$3220,4,FALSE))),vlookup($D1291,Pop_Census_2023!$A$2:$E$3220,4,FALSE), vlookup($D1291,Pop_Census_2023!$A$2:$E$3220,5,FALSE))</f>
        <v>68154</v>
      </c>
      <c r="F1291" s="32">
        <v>1623001.0</v>
      </c>
      <c r="G1291" s="32">
        <v>103.0</v>
      </c>
      <c r="H1291" s="32" t="str">
        <f>VLOOKUP(D1291, Grid_Region_Mapping!$D$2:$F$5286, 3, FALSE)</f>
        <v>MISE</v>
      </c>
      <c r="I1291" s="32">
        <v>3.0</v>
      </c>
      <c r="J1291" s="34" t="str">
        <f t="shared" si="1"/>
        <v>Midwest</v>
      </c>
      <c r="K1291" s="35">
        <v>2.0</v>
      </c>
      <c r="L1291" s="35" t="s">
        <v>396</v>
      </c>
      <c r="M1291" s="36">
        <f>VLOOKUP(D1291, County_Data_CZones!$B$2:$F$3236, 2, FALSE)</f>
        <v>5</v>
      </c>
      <c r="N1291" s="37" t="str">
        <f>VLOOKUP(D1291, County_Data_CZones!$B$2:$F$3236, 5, FALSE)</f>
        <v>Cold</v>
      </c>
    </row>
    <row r="1292" ht="15.75" customHeight="1">
      <c r="A1292" s="32" t="s">
        <v>1007</v>
      </c>
      <c r="B1292" s="32" t="s">
        <v>963</v>
      </c>
      <c r="C1292" s="32" t="str">
        <f>vlookup(B1292,State_EMM_RowSums!$A$2:$B$52,2,FALSE)</f>
        <v>MI</v>
      </c>
      <c r="D1292" s="32">
        <v>26119.0</v>
      </c>
      <c r="E1292" s="33">
        <f>IF(NOT(ISBLANK(vlookup($D1292,Pop_Census_2023!$A$2:$E$3220,4,FALSE))),vlookup($D1292,Pop_Census_2023!$A$2:$E$3220,4,FALSE), vlookup($D1292,Pop_Census_2023!$A$2:$E$3220,5,FALSE))</f>
        <v>9678</v>
      </c>
      <c r="F1292" s="32">
        <v>1623002.0</v>
      </c>
      <c r="G1292" s="32">
        <v>103.0</v>
      </c>
      <c r="H1292" s="32" t="str">
        <f>VLOOKUP(D1292, Grid_Region_Mapping!$D$2:$F$5286, 3, FALSE)</f>
        <v>MISE</v>
      </c>
      <c r="I1292" s="32">
        <v>3.0</v>
      </c>
      <c r="J1292" s="34" t="str">
        <f t="shared" si="1"/>
        <v>Midwest</v>
      </c>
      <c r="K1292" s="35">
        <v>1.0</v>
      </c>
      <c r="L1292" s="35" t="s">
        <v>707</v>
      </c>
      <c r="M1292" s="36">
        <f>VLOOKUP(D1292, County_Data_CZones!$B$2:$F$3236, 2, FALSE)</f>
        <v>6</v>
      </c>
      <c r="N1292" s="37" t="str">
        <f>VLOOKUP(D1292, County_Data_CZones!$B$2:$F$3236, 5, FALSE)</f>
        <v>Cold</v>
      </c>
    </row>
    <row r="1293" ht="15.75" customHeight="1">
      <c r="A1293" s="32" t="s">
        <v>1008</v>
      </c>
      <c r="B1293" s="32" t="s">
        <v>963</v>
      </c>
      <c r="C1293" s="32" t="str">
        <f>vlookup(B1293,State_EMM_RowSums!$A$2:$B$52,2,FALSE)</f>
        <v>MI</v>
      </c>
      <c r="D1293" s="32">
        <v>26121.0</v>
      </c>
      <c r="E1293" s="33">
        <f>IF(NOT(ISBLANK(vlookup($D1293,Pop_Census_2023!$A$2:$E$3220,4,FALSE))),vlookup($D1293,Pop_Census_2023!$A$2:$E$3220,4,FALSE), vlookup($D1293,Pop_Census_2023!$A$2:$E$3220,5,FALSE))</f>
        <v>176564</v>
      </c>
      <c r="F1293" s="32">
        <v>1623003.0</v>
      </c>
      <c r="G1293" s="32">
        <v>103.0</v>
      </c>
      <c r="H1293" s="32" t="str">
        <f>VLOOKUP(D1293, Grid_Region_Mapping!$D$2:$F$5286, 3, FALSE)</f>
        <v>MISE</v>
      </c>
      <c r="I1293" s="32">
        <v>3.0</v>
      </c>
      <c r="J1293" s="34" t="str">
        <f t="shared" si="1"/>
        <v>Midwest</v>
      </c>
      <c r="K1293" s="35">
        <v>2.0</v>
      </c>
      <c r="L1293" s="35" t="s">
        <v>396</v>
      </c>
      <c r="M1293" s="36">
        <f>VLOOKUP(D1293, County_Data_CZones!$B$2:$F$3236, 2, FALSE)</f>
        <v>5</v>
      </c>
      <c r="N1293" s="37" t="str">
        <f>VLOOKUP(D1293, County_Data_CZones!$B$2:$F$3236, 5, FALSE)</f>
        <v>Cold</v>
      </c>
    </row>
    <row r="1294" ht="15.75" customHeight="1">
      <c r="A1294" s="32" t="s">
        <v>1009</v>
      </c>
      <c r="B1294" s="32" t="s">
        <v>963</v>
      </c>
      <c r="C1294" s="32" t="str">
        <f>vlookup(B1294,State_EMM_RowSums!$A$2:$B$52,2,FALSE)</f>
        <v>MI</v>
      </c>
      <c r="D1294" s="32">
        <v>26123.0</v>
      </c>
      <c r="E1294" s="33">
        <f>IF(NOT(ISBLANK(vlookup($D1294,Pop_Census_2023!$A$2:$E$3220,4,FALSE))),vlookup($D1294,Pop_Census_2023!$A$2:$E$3220,4,FALSE), vlookup($D1294,Pop_Census_2023!$A$2:$E$3220,5,FALSE))</f>
        <v>51108</v>
      </c>
      <c r="F1294" s="32">
        <v>1623004.0</v>
      </c>
      <c r="G1294" s="32">
        <v>103.0</v>
      </c>
      <c r="H1294" s="32" t="str">
        <f>VLOOKUP(D1294, Grid_Region_Mapping!$D$2:$F$5286, 3, FALSE)</f>
        <v>MISE</v>
      </c>
      <c r="I1294" s="32">
        <v>3.0</v>
      </c>
      <c r="J1294" s="34" t="str">
        <f t="shared" si="1"/>
        <v>Midwest</v>
      </c>
      <c r="K1294" s="35">
        <v>1.0</v>
      </c>
      <c r="L1294" s="35" t="s">
        <v>707</v>
      </c>
      <c r="M1294" s="36">
        <f>VLOOKUP(D1294, County_Data_CZones!$B$2:$F$3236, 2, FALSE)</f>
        <v>6</v>
      </c>
      <c r="N1294" s="37" t="str">
        <f>VLOOKUP(D1294, County_Data_CZones!$B$2:$F$3236, 5, FALSE)</f>
        <v>Cold</v>
      </c>
    </row>
    <row r="1295" ht="15.75" customHeight="1">
      <c r="A1295" s="32" t="s">
        <v>1010</v>
      </c>
      <c r="B1295" s="32" t="s">
        <v>963</v>
      </c>
      <c r="C1295" s="32" t="str">
        <f>vlookup(B1295,State_EMM_RowSums!$A$2:$B$52,2,FALSE)</f>
        <v>MI</v>
      </c>
      <c r="D1295" s="32">
        <v>26125.0</v>
      </c>
      <c r="E1295" s="33">
        <f>IF(NOT(ISBLANK(vlookup($D1295,Pop_Census_2023!$A$2:$E$3220,4,FALSE))),vlookup($D1295,Pop_Census_2023!$A$2:$E$3220,4,FALSE), vlookup($D1295,Pop_Census_2023!$A$2:$E$3220,5,FALSE))</f>
        <v>1270426</v>
      </c>
      <c r="F1295" s="32">
        <v>1623005.0</v>
      </c>
      <c r="G1295" s="32">
        <v>103.0</v>
      </c>
      <c r="H1295" s="32" t="str">
        <f>VLOOKUP(D1295, Grid_Region_Mapping!$D$2:$F$5286, 3, FALSE)</f>
        <v>MISE</v>
      </c>
      <c r="I1295" s="32">
        <v>3.0</v>
      </c>
      <c r="J1295" s="34" t="str">
        <f t="shared" si="1"/>
        <v>Midwest</v>
      </c>
      <c r="K1295" s="35">
        <v>2.0</v>
      </c>
      <c r="L1295" s="35" t="s">
        <v>396</v>
      </c>
      <c r="M1295" s="36">
        <f>VLOOKUP(D1295, County_Data_CZones!$B$2:$F$3236, 2, FALSE)</f>
        <v>5</v>
      </c>
      <c r="N1295" s="37" t="str">
        <f>VLOOKUP(D1295, County_Data_CZones!$B$2:$F$3236, 5, FALSE)</f>
        <v>Cold</v>
      </c>
    </row>
    <row r="1296" ht="15.75" customHeight="1">
      <c r="A1296" s="32" t="s">
        <v>1011</v>
      </c>
      <c r="B1296" s="32" t="s">
        <v>963</v>
      </c>
      <c r="C1296" s="32" t="str">
        <f>vlookup(B1296,State_EMM_RowSums!$A$2:$B$52,2,FALSE)</f>
        <v>MI</v>
      </c>
      <c r="D1296" s="32">
        <v>26127.0</v>
      </c>
      <c r="E1296" s="33">
        <f>IF(NOT(ISBLANK(vlookup($D1296,Pop_Census_2023!$A$2:$E$3220,4,FALSE))),vlookup($D1296,Pop_Census_2023!$A$2:$E$3220,4,FALSE), vlookup($D1296,Pop_Census_2023!$A$2:$E$3220,5,FALSE))</f>
        <v>26981</v>
      </c>
      <c r="F1296" s="32">
        <v>1623006.0</v>
      </c>
      <c r="G1296" s="32">
        <v>103.0</v>
      </c>
      <c r="H1296" s="32" t="str">
        <f>VLOOKUP(D1296, Grid_Region_Mapping!$D$2:$F$5286, 3, FALSE)</f>
        <v>MISE</v>
      </c>
      <c r="I1296" s="32">
        <v>3.0</v>
      </c>
      <c r="J1296" s="34" t="str">
        <f t="shared" si="1"/>
        <v>Midwest</v>
      </c>
      <c r="K1296" s="35">
        <v>1.0</v>
      </c>
      <c r="L1296" s="35" t="s">
        <v>707</v>
      </c>
      <c r="M1296" s="36">
        <f>VLOOKUP(D1296, County_Data_CZones!$B$2:$F$3236, 2, FALSE)</f>
        <v>6</v>
      </c>
      <c r="N1296" s="37" t="str">
        <f>VLOOKUP(D1296, County_Data_CZones!$B$2:$F$3236, 5, FALSE)</f>
        <v>Cold</v>
      </c>
    </row>
    <row r="1297" ht="15.75" customHeight="1">
      <c r="A1297" s="32" t="s">
        <v>1012</v>
      </c>
      <c r="B1297" s="32" t="s">
        <v>963</v>
      </c>
      <c r="C1297" s="32" t="str">
        <f>vlookup(B1297,State_EMM_RowSums!$A$2:$B$52,2,FALSE)</f>
        <v>MI</v>
      </c>
      <c r="D1297" s="32">
        <v>26129.0</v>
      </c>
      <c r="E1297" s="33">
        <f>IF(NOT(ISBLANK(vlookup($D1297,Pop_Census_2023!$A$2:$E$3220,4,FALSE))),vlookup($D1297,Pop_Census_2023!$A$2:$E$3220,4,FALSE), vlookup($D1297,Pop_Census_2023!$A$2:$E$3220,5,FALSE))</f>
        <v>20990</v>
      </c>
      <c r="F1297" s="32">
        <v>1623007.0</v>
      </c>
      <c r="G1297" s="32">
        <v>103.0</v>
      </c>
      <c r="H1297" s="32" t="str">
        <f>VLOOKUP(D1297, Grid_Region_Mapping!$D$2:$F$5286, 3, FALSE)</f>
        <v>MISE</v>
      </c>
      <c r="I1297" s="32">
        <v>3.0</v>
      </c>
      <c r="J1297" s="34" t="str">
        <f t="shared" si="1"/>
        <v>Midwest</v>
      </c>
      <c r="K1297" s="35">
        <v>1.0</v>
      </c>
      <c r="L1297" s="35" t="s">
        <v>707</v>
      </c>
      <c r="M1297" s="36">
        <f>VLOOKUP(D1297, County_Data_CZones!$B$2:$F$3236, 2, FALSE)</f>
        <v>6</v>
      </c>
      <c r="N1297" s="37" t="str">
        <f>VLOOKUP(D1297, County_Data_CZones!$B$2:$F$3236, 5, FALSE)</f>
        <v>Cold</v>
      </c>
    </row>
    <row r="1298" ht="15.75" customHeight="1">
      <c r="A1298" s="32" t="s">
        <v>1013</v>
      </c>
      <c r="B1298" s="32" t="s">
        <v>963</v>
      </c>
      <c r="C1298" s="32" t="str">
        <f>vlookup(B1298,State_EMM_RowSums!$A$2:$B$52,2,FALSE)</f>
        <v>MI</v>
      </c>
      <c r="D1298" s="32">
        <v>26131.0</v>
      </c>
      <c r="E1298" s="33">
        <f>IF(NOT(ISBLANK(vlookup($D1298,Pop_Census_2023!$A$2:$E$3220,4,FALSE))),vlookup($D1298,Pop_Census_2023!$A$2:$E$3220,4,FALSE), vlookup($D1298,Pop_Census_2023!$A$2:$E$3220,5,FALSE))</f>
        <v>5906</v>
      </c>
      <c r="F1298" s="32">
        <v>1623008.0</v>
      </c>
      <c r="G1298" s="32">
        <v>74.0</v>
      </c>
      <c r="H1298" s="32" t="str">
        <f>VLOOKUP(D1298, Grid_Region_Mapping!$D$2:$F$5286, 3, FALSE)</f>
        <v>MISW</v>
      </c>
      <c r="I1298" s="32">
        <v>3.0</v>
      </c>
      <c r="J1298" s="34" t="str">
        <f t="shared" si="1"/>
        <v>Midwest</v>
      </c>
      <c r="K1298" s="35">
        <v>1.0</v>
      </c>
      <c r="L1298" s="35">
        <v>7.0</v>
      </c>
      <c r="M1298" s="36">
        <f>VLOOKUP(D1298, County_Data_CZones!$B$2:$F$3236, 2, FALSE)</f>
        <v>7</v>
      </c>
      <c r="N1298" s="37" t="str">
        <f>VLOOKUP(D1298, County_Data_CZones!$B$2:$F$3236, 5, FALSE)</f>
        <v>Very Cold</v>
      </c>
    </row>
    <row r="1299" ht="15.75" customHeight="1">
      <c r="A1299" s="32" t="s">
        <v>445</v>
      </c>
      <c r="B1299" s="32" t="s">
        <v>963</v>
      </c>
      <c r="C1299" s="32" t="str">
        <f>vlookup(B1299,State_EMM_RowSums!$A$2:$B$52,2,FALSE)</f>
        <v>MI</v>
      </c>
      <c r="D1299" s="32">
        <v>26133.0</v>
      </c>
      <c r="E1299" s="33">
        <f>IF(NOT(ISBLANK(vlookup($D1299,Pop_Census_2023!$A$2:$E$3220,4,FALSE))),vlookup($D1299,Pop_Census_2023!$A$2:$E$3220,4,FALSE), vlookup($D1299,Pop_Census_2023!$A$2:$E$3220,5,FALSE))</f>
        <v>23330</v>
      </c>
      <c r="F1299" s="32">
        <v>1623009.0</v>
      </c>
      <c r="G1299" s="32">
        <v>103.0</v>
      </c>
      <c r="H1299" s="32" t="str">
        <f>VLOOKUP(D1299, Grid_Region_Mapping!$D$2:$F$5286, 3, FALSE)</f>
        <v>MISE</v>
      </c>
      <c r="I1299" s="32">
        <v>3.0</v>
      </c>
      <c r="J1299" s="34" t="str">
        <f t="shared" si="1"/>
        <v>Midwest</v>
      </c>
      <c r="K1299" s="35">
        <v>1.0</v>
      </c>
      <c r="L1299" s="35" t="s">
        <v>707</v>
      </c>
      <c r="M1299" s="36">
        <f>VLOOKUP(D1299, County_Data_CZones!$B$2:$F$3236, 2, FALSE)</f>
        <v>6</v>
      </c>
      <c r="N1299" s="37" t="str">
        <f>VLOOKUP(D1299, County_Data_CZones!$B$2:$F$3236, 5, FALSE)</f>
        <v>Cold</v>
      </c>
    </row>
    <row r="1300" ht="15.75" customHeight="1">
      <c r="A1300" s="32" t="s">
        <v>1014</v>
      </c>
      <c r="B1300" s="32" t="s">
        <v>963</v>
      </c>
      <c r="C1300" s="32" t="str">
        <f>vlookup(B1300,State_EMM_RowSums!$A$2:$B$52,2,FALSE)</f>
        <v>MI</v>
      </c>
      <c r="D1300" s="32">
        <v>26135.0</v>
      </c>
      <c r="E1300" s="33">
        <f>IF(NOT(ISBLANK(vlookup($D1300,Pop_Census_2023!$A$2:$E$3220,4,FALSE))),vlookup($D1300,Pop_Census_2023!$A$2:$E$3220,4,FALSE), vlookup($D1300,Pop_Census_2023!$A$2:$E$3220,5,FALSE))</f>
        <v>8545</v>
      </c>
      <c r="F1300" s="32">
        <v>1623010.0</v>
      </c>
      <c r="G1300" s="32">
        <v>103.0</v>
      </c>
      <c r="H1300" s="32" t="str">
        <f>VLOOKUP(D1300, Grid_Region_Mapping!$D$2:$F$5286, 3, FALSE)</f>
        <v>MISE</v>
      </c>
      <c r="I1300" s="32">
        <v>3.0</v>
      </c>
      <c r="J1300" s="34" t="str">
        <f t="shared" si="1"/>
        <v>Midwest</v>
      </c>
      <c r="K1300" s="35">
        <v>1.0</v>
      </c>
      <c r="L1300" s="35" t="s">
        <v>707</v>
      </c>
      <c r="M1300" s="36">
        <f>VLOOKUP(D1300, County_Data_CZones!$B$2:$F$3236, 2, FALSE)</f>
        <v>6</v>
      </c>
      <c r="N1300" s="37" t="str">
        <f>VLOOKUP(D1300, County_Data_CZones!$B$2:$F$3236, 5, FALSE)</f>
        <v>Cold</v>
      </c>
    </row>
    <row r="1301" ht="15.75" customHeight="1">
      <c r="A1301" s="32" t="s">
        <v>1015</v>
      </c>
      <c r="B1301" s="32" t="s">
        <v>963</v>
      </c>
      <c r="C1301" s="32" t="str">
        <f>vlookup(B1301,State_EMM_RowSums!$A$2:$B$52,2,FALSE)</f>
        <v>MI</v>
      </c>
      <c r="D1301" s="32">
        <v>26137.0</v>
      </c>
      <c r="E1301" s="33">
        <f>IF(NOT(ISBLANK(vlookup($D1301,Pop_Census_2023!$A$2:$E$3220,4,FALSE))),vlookup($D1301,Pop_Census_2023!$A$2:$E$3220,4,FALSE), vlookup($D1301,Pop_Census_2023!$A$2:$E$3220,5,FALSE))</f>
        <v>25747</v>
      </c>
      <c r="F1301" s="32">
        <v>1623011.0</v>
      </c>
      <c r="G1301" s="32">
        <v>103.0</v>
      </c>
      <c r="H1301" s="32" t="str">
        <f>VLOOKUP(D1301, Grid_Region_Mapping!$D$2:$F$5286, 3, FALSE)</f>
        <v>MISE</v>
      </c>
      <c r="I1301" s="32">
        <v>3.0</v>
      </c>
      <c r="J1301" s="34" t="str">
        <f t="shared" si="1"/>
        <v>Midwest</v>
      </c>
      <c r="K1301" s="35">
        <v>1.0</v>
      </c>
      <c r="L1301" s="35" t="s">
        <v>707</v>
      </c>
      <c r="M1301" s="36">
        <f>VLOOKUP(D1301, County_Data_CZones!$B$2:$F$3236, 2, FALSE)</f>
        <v>6</v>
      </c>
      <c r="N1301" s="37" t="str">
        <f>VLOOKUP(D1301, County_Data_CZones!$B$2:$F$3236, 5, FALSE)</f>
        <v>Cold</v>
      </c>
    </row>
    <row r="1302" ht="15.75" customHeight="1">
      <c r="A1302" s="32" t="s">
        <v>792</v>
      </c>
      <c r="B1302" s="32" t="s">
        <v>963</v>
      </c>
      <c r="C1302" s="32" t="str">
        <f>vlookup(B1302,State_EMM_RowSums!$A$2:$B$52,2,FALSE)</f>
        <v>MI</v>
      </c>
      <c r="D1302" s="32">
        <v>26139.0</v>
      </c>
      <c r="E1302" s="33">
        <f>IF(NOT(ISBLANK(vlookup($D1302,Pop_Census_2023!$A$2:$E$3220,4,FALSE))),vlookup($D1302,Pop_Census_2023!$A$2:$E$3220,4,FALSE), vlookup($D1302,Pop_Census_2023!$A$2:$E$3220,5,FALSE))</f>
        <v>303372</v>
      </c>
      <c r="F1302" s="32">
        <v>1623012.0</v>
      </c>
      <c r="G1302" s="32">
        <v>103.0</v>
      </c>
      <c r="H1302" s="32" t="str">
        <f>VLOOKUP(D1302, Grid_Region_Mapping!$D$2:$F$5286, 3, FALSE)</f>
        <v>MISE</v>
      </c>
      <c r="I1302" s="32">
        <v>3.0</v>
      </c>
      <c r="J1302" s="34" t="str">
        <f t="shared" si="1"/>
        <v>Midwest</v>
      </c>
      <c r="K1302" s="35">
        <v>2.0</v>
      </c>
      <c r="L1302" s="35" t="s">
        <v>396</v>
      </c>
      <c r="M1302" s="36">
        <f>VLOOKUP(D1302, County_Data_CZones!$B$2:$F$3236, 2, FALSE)</f>
        <v>5</v>
      </c>
      <c r="N1302" s="37" t="str">
        <f>VLOOKUP(D1302, County_Data_CZones!$B$2:$F$3236, 5, FALSE)</f>
        <v>Cold</v>
      </c>
    </row>
    <row r="1303" ht="15.75" customHeight="1">
      <c r="A1303" s="32" t="s">
        <v>1016</v>
      </c>
      <c r="B1303" s="32" t="s">
        <v>963</v>
      </c>
      <c r="C1303" s="32" t="str">
        <f>vlookup(B1303,State_EMM_RowSums!$A$2:$B$52,2,FALSE)</f>
        <v>MI</v>
      </c>
      <c r="D1303" s="32">
        <v>26141.0</v>
      </c>
      <c r="E1303" s="33">
        <f>IF(NOT(ISBLANK(vlookup($D1303,Pop_Census_2023!$A$2:$E$3220,4,FALSE))),vlookup($D1303,Pop_Census_2023!$A$2:$E$3220,4,FALSE), vlookup($D1303,Pop_Census_2023!$A$2:$E$3220,5,FALSE))</f>
        <v>13285</v>
      </c>
      <c r="F1303" s="32">
        <v>1623013.0</v>
      </c>
      <c r="G1303" s="32">
        <v>103.0</v>
      </c>
      <c r="H1303" s="32" t="str">
        <f>VLOOKUP(D1303, Grid_Region_Mapping!$D$2:$F$5286, 3, FALSE)</f>
        <v>MISE</v>
      </c>
      <c r="I1303" s="32">
        <v>3.0</v>
      </c>
      <c r="J1303" s="34" t="str">
        <f t="shared" si="1"/>
        <v>Midwest</v>
      </c>
      <c r="K1303" s="35">
        <v>1.0</v>
      </c>
      <c r="L1303" s="35" t="s">
        <v>707</v>
      </c>
      <c r="M1303" s="36">
        <f>VLOOKUP(D1303, County_Data_CZones!$B$2:$F$3236, 2, FALSE)</f>
        <v>6</v>
      </c>
      <c r="N1303" s="37" t="str">
        <f>VLOOKUP(D1303, County_Data_CZones!$B$2:$F$3236, 5, FALSE)</f>
        <v>Cold</v>
      </c>
    </row>
    <row r="1304" ht="15.75" customHeight="1">
      <c r="A1304" s="32" t="s">
        <v>1017</v>
      </c>
      <c r="B1304" s="32" t="s">
        <v>963</v>
      </c>
      <c r="C1304" s="32" t="str">
        <f>vlookup(B1304,State_EMM_RowSums!$A$2:$B$52,2,FALSE)</f>
        <v>MI</v>
      </c>
      <c r="D1304" s="32">
        <v>26143.0</v>
      </c>
      <c r="E1304" s="33">
        <f>IF(NOT(ISBLANK(vlookup($D1304,Pop_Census_2023!$A$2:$E$3220,4,FALSE))),vlookup($D1304,Pop_Census_2023!$A$2:$E$3220,4,FALSE), vlookup($D1304,Pop_Census_2023!$A$2:$E$3220,5,FALSE))</f>
        <v>23863</v>
      </c>
      <c r="F1304" s="32">
        <v>1623014.0</v>
      </c>
      <c r="G1304" s="32">
        <v>103.0</v>
      </c>
      <c r="H1304" s="32" t="str">
        <f>VLOOKUP(D1304, Grid_Region_Mapping!$D$2:$F$5286, 3, FALSE)</f>
        <v>MISE</v>
      </c>
      <c r="I1304" s="32">
        <v>3.0</v>
      </c>
      <c r="J1304" s="34" t="str">
        <f t="shared" si="1"/>
        <v>Midwest</v>
      </c>
      <c r="K1304" s="35">
        <v>1.0</v>
      </c>
      <c r="L1304" s="35" t="s">
        <v>707</v>
      </c>
      <c r="M1304" s="36">
        <f>VLOOKUP(D1304, County_Data_CZones!$B$2:$F$3236, 2, FALSE)</f>
        <v>6</v>
      </c>
      <c r="N1304" s="37" t="str">
        <f>VLOOKUP(D1304, County_Data_CZones!$B$2:$F$3236, 5, FALSE)</f>
        <v>Cold</v>
      </c>
    </row>
    <row r="1305" ht="15.75" customHeight="1">
      <c r="A1305" s="32" t="s">
        <v>1018</v>
      </c>
      <c r="B1305" s="32" t="s">
        <v>963</v>
      </c>
      <c r="C1305" s="32" t="str">
        <f>vlookup(B1305,State_EMM_RowSums!$A$2:$B$52,2,FALSE)</f>
        <v>MI</v>
      </c>
      <c r="D1305" s="32">
        <v>26145.0</v>
      </c>
      <c r="E1305" s="33">
        <f>IF(NOT(ISBLANK(vlookup($D1305,Pop_Census_2023!$A$2:$E$3220,4,FALSE))),vlookup($D1305,Pop_Census_2023!$A$2:$E$3220,4,FALSE), vlookup($D1305,Pop_Census_2023!$A$2:$E$3220,5,FALSE))</f>
        <v>187782</v>
      </c>
      <c r="F1305" s="32">
        <v>1623015.0</v>
      </c>
      <c r="G1305" s="32">
        <v>103.0</v>
      </c>
      <c r="H1305" s="32" t="str">
        <f>VLOOKUP(D1305, Grid_Region_Mapping!$D$2:$F$5286, 3, FALSE)</f>
        <v>MISE</v>
      </c>
      <c r="I1305" s="32">
        <v>3.0</v>
      </c>
      <c r="J1305" s="34" t="str">
        <f t="shared" si="1"/>
        <v>Midwest</v>
      </c>
      <c r="K1305" s="35">
        <v>2.0</v>
      </c>
      <c r="L1305" s="35" t="s">
        <v>396</v>
      </c>
      <c r="M1305" s="36">
        <f>VLOOKUP(D1305, County_Data_CZones!$B$2:$F$3236, 2, FALSE)</f>
        <v>5</v>
      </c>
      <c r="N1305" s="37" t="str">
        <f>VLOOKUP(D1305, County_Data_CZones!$B$2:$F$3236, 5, FALSE)</f>
        <v>Cold</v>
      </c>
    </row>
    <row r="1306" ht="15.75" customHeight="1">
      <c r="A1306" s="32" t="s">
        <v>160</v>
      </c>
      <c r="B1306" s="32" t="s">
        <v>963</v>
      </c>
      <c r="C1306" s="32" t="str">
        <f>vlookup(B1306,State_EMM_RowSums!$A$2:$B$52,2,FALSE)</f>
        <v>MI</v>
      </c>
      <c r="D1306" s="32">
        <v>26147.0</v>
      </c>
      <c r="E1306" s="33">
        <f>IF(NOT(ISBLANK(vlookup($D1306,Pop_Census_2023!$A$2:$E$3220,4,FALSE))),vlookup($D1306,Pop_Census_2023!$A$2:$E$3220,4,FALSE), vlookup($D1306,Pop_Census_2023!$A$2:$E$3220,5,FALSE))</f>
        <v>159874</v>
      </c>
      <c r="F1306" s="32">
        <v>1625033.0</v>
      </c>
      <c r="G1306" s="32">
        <v>103.0</v>
      </c>
      <c r="H1306" s="32" t="str">
        <f>VLOOKUP(D1306, Grid_Region_Mapping!$D$2:$F$5286, 3, FALSE)</f>
        <v>MISE</v>
      </c>
      <c r="I1306" s="32">
        <v>3.0</v>
      </c>
      <c r="J1306" s="34" t="str">
        <f t="shared" si="1"/>
        <v>Midwest</v>
      </c>
      <c r="K1306" s="35">
        <v>2.0</v>
      </c>
      <c r="L1306" s="35" t="s">
        <v>396</v>
      </c>
      <c r="M1306" s="36">
        <f>VLOOKUP(D1306, County_Data_CZones!$B$2:$F$3236, 2, FALSE)</f>
        <v>5</v>
      </c>
      <c r="N1306" s="37" t="str">
        <f>VLOOKUP(D1306, County_Data_CZones!$B$2:$F$3236, 5, FALSE)</f>
        <v>Cold</v>
      </c>
    </row>
    <row r="1307" ht="15.75" customHeight="1">
      <c r="A1307" s="32" t="s">
        <v>690</v>
      </c>
      <c r="B1307" s="32" t="s">
        <v>963</v>
      </c>
      <c r="C1307" s="32" t="str">
        <f>vlookup(B1307,State_EMM_RowSums!$A$2:$B$52,2,FALSE)</f>
        <v>MI</v>
      </c>
      <c r="D1307" s="32">
        <v>26149.0</v>
      </c>
      <c r="E1307" s="33">
        <f>IF(NOT(ISBLANK(vlookup($D1307,Pop_Census_2023!$A$2:$E$3220,4,FALSE))),vlookup($D1307,Pop_Census_2023!$A$2:$E$3220,4,FALSE), vlookup($D1307,Pop_Census_2023!$A$2:$E$3220,5,FALSE))</f>
        <v>60878</v>
      </c>
      <c r="F1307" s="32">
        <v>1625034.0</v>
      </c>
      <c r="G1307" s="32">
        <v>104.0</v>
      </c>
      <c r="H1307" s="32" t="str">
        <f>VLOOKUP(D1307, Grid_Region_Mapping!$D$2:$F$5286, 3, FALSE)</f>
        <v>PJMW</v>
      </c>
      <c r="I1307" s="32">
        <v>3.0</v>
      </c>
      <c r="J1307" s="34" t="str">
        <f t="shared" si="1"/>
        <v>Midwest</v>
      </c>
      <c r="K1307" s="35">
        <v>2.0</v>
      </c>
      <c r="L1307" s="35" t="s">
        <v>396</v>
      </c>
      <c r="M1307" s="36">
        <f>VLOOKUP(D1307, County_Data_CZones!$B$2:$F$3236, 2, FALSE)</f>
        <v>5</v>
      </c>
      <c r="N1307" s="37" t="str">
        <f>VLOOKUP(D1307, County_Data_CZones!$B$2:$F$3236, 5, FALSE)</f>
        <v>Cold</v>
      </c>
    </row>
    <row r="1308" ht="15.75" customHeight="1">
      <c r="A1308" s="32" t="s">
        <v>1019</v>
      </c>
      <c r="B1308" s="32" t="s">
        <v>963</v>
      </c>
      <c r="C1308" s="32" t="str">
        <f>vlookup(B1308,State_EMM_RowSums!$A$2:$B$52,2,FALSE)</f>
        <v>MI</v>
      </c>
      <c r="D1308" s="32">
        <v>26151.0</v>
      </c>
      <c r="E1308" s="33">
        <f>IF(NOT(ISBLANK(vlookup($D1308,Pop_Census_2023!$A$2:$E$3220,4,FALSE))),vlookup($D1308,Pop_Census_2023!$A$2:$E$3220,4,FALSE), vlookup($D1308,Pop_Census_2023!$A$2:$E$3220,5,FALSE))</f>
        <v>40368</v>
      </c>
      <c r="F1308" s="32">
        <v>1623016.0</v>
      </c>
      <c r="G1308" s="32">
        <v>103.0</v>
      </c>
      <c r="H1308" s="32" t="str">
        <f>VLOOKUP(D1308, Grid_Region_Mapping!$D$2:$F$5286, 3, FALSE)</f>
        <v>MISE</v>
      </c>
      <c r="I1308" s="32">
        <v>3.0</v>
      </c>
      <c r="J1308" s="34" t="str">
        <f t="shared" si="1"/>
        <v>Midwest</v>
      </c>
      <c r="K1308" s="35">
        <v>2.0</v>
      </c>
      <c r="L1308" s="35" t="s">
        <v>707</v>
      </c>
      <c r="M1308" s="36">
        <f>VLOOKUP(D1308, County_Data_CZones!$B$2:$F$3236, 2, FALSE)</f>
        <v>6</v>
      </c>
      <c r="N1308" s="37" t="str">
        <f>VLOOKUP(D1308, County_Data_CZones!$B$2:$F$3236, 5, FALSE)</f>
        <v>Cold</v>
      </c>
    </row>
    <row r="1309" ht="15.75" customHeight="1">
      <c r="A1309" s="32" t="s">
        <v>1020</v>
      </c>
      <c r="B1309" s="32" t="s">
        <v>963</v>
      </c>
      <c r="C1309" s="32" t="str">
        <f>vlookup(B1309,State_EMM_RowSums!$A$2:$B$52,2,FALSE)</f>
        <v>MI</v>
      </c>
      <c r="D1309" s="32">
        <v>26153.0</v>
      </c>
      <c r="E1309" s="33">
        <f>IF(NOT(ISBLANK(vlookup($D1309,Pop_Census_2023!$A$2:$E$3220,4,FALSE))),vlookup($D1309,Pop_Census_2023!$A$2:$E$3220,4,FALSE), vlookup($D1309,Pop_Census_2023!$A$2:$E$3220,5,FALSE))</f>
        <v>8149</v>
      </c>
      <c r="F1309" s="32">
        <v>1623017.0</v>
      </c>
      <c r="G1309" s="32">
        <v>103.0</v>
      </c>
      <c r="H1309" s="32" t="str">
        <f>VLOOKUP(D1309, Grid_Region_Mapping!$D$2:$F$5286, 3, FALSE)</f>
        <v>MISW</v>
      </c>
      <c r="I1309" s="32">
        <v>3.0</v>
      </c>
      <c r="J1309" s="34" t="str">
        <f t="shared" si="1"/>
        <v>Midwest</v>
      </c>
      <c r="K1309" s="35">
        <v>1.0</v>
      </c>
      <c r="L1309" s="35">
        <v>7.0</v>
      </c>
      <c r="M1309" s="36">
        <f>VLOOKUP(D1309, County_Data_CZones!$B$2:$F$3236, 2, FALSE)</f>
        <v>7</v>
      </c>
      <c r="N1309" s="37" t="str">
        <f>VLOOKUP(D1309, County_Data_CZones!$B$2:$F$3236, 5, FALSE)</f>
        <v>Very Cold</v>
      </c>
    </row>
    <row r="1310" ht="15.75" customHeight="1">
      <c r="A1310" s="32" t="s">
        <v>1021</v>
      </c>
      <c r="B1310" s="32" t="s">
        <v>963</v>
      </c>
      <c r="C1310" s="32" t="str">
        <f>vlookup(B1310,State_EMM_RowSums!$A$2:$B$52,2,FALSE)</f>
        <v>MI</v>
      </c>
      <c r="D1310" s="32">
        <v>26155.0</v>
      </c>
      <c r="E1310" s="33">
        <f>IF(NOT(ISBLANK(vlookup($D1310,Pop_Census_2023!$A$2:$E$3220,4,FALSE))),vlookup($D1310,Pop_Census_2023!$A$2:$E$3220,4,FALSE), vlookup($D1310,Pop_Census_2023!$A$2:$E$3220,5,FALSE))</f>
        <v>68025</v>
      </c>
      <c r="F1310" s="32">
        <v>1623018.0</v>
      </c>
      <c r="G1310" s="32">
        <v>103.0</v>
      </c>
      <c r="H1310" s="32" t="str">
        <f>VLOOKUP(D1310, Grid_Region_Mapping!$D$2:$F$5286, 3, FALSE)</f>
        <v>MISE</v>
      </c>
      <c r="I1310" s="32">
        <v>3.0</v>
      </c>
      <c r="J1310" s="34" t="str">
        <f t="shared" si="1"/>
        <v>Midwest</v>
      </c>
      <c r="K1310" s="35">
        <v>2.0</v>
      </c>
      <c r="L1310" s="35" t="s">
        <v>396</v>
      </c>
      <c r="M1310" s="36">
        <f>VLOOKUP(D1310, County_Data_CZones!$B$2:$F$3236, 2, FALSE)</f>
        <v>5</v>
      </c>
      <c r="N1310" s="37" t="str">
        <f>VLOOKUP(D1310, County_Data_CZones!$B$2:$F$3236, 5, FALSE)</f>
        <v>Cold</v>
      </c>
    </row>
    <row r="1311" ht="15.75" customHeight="1">
      <c r="A1311" s="32" t="s">
        <v>1022</v>
      </c>
      <c r="B1311" s="32" t="s">
        <v>963</v>
      </c>
      <c r="C1311" s="32" t="str">
        <f>vlookup(B1311,State_EMM_RowSums!$A$2:$B$52,2,FALSE)</f>
        <v>MI</v>
      </c>
      <c r="D1311" s="32">
        <v>26157.0</v>
      </c>
      <c r="E1311" s="33">
        <f>IF(NOT(ISBLANK(vlookup($D1311,Pop_Census_2023!$A$2:$E$3220,4,FALSE))),vlookup($D1311,Pop_Census_2023!$A$2:$E$3220,4,FALSE), vlookup($D1311,Pop_Census_2023!$A$2:$E$3220,5,FALSE))</f>
        <v>52826</v>
      </c>
      <c r="F1311" s="32">
        <v>1623019.0</v>
      </c>
      <c r="G1311" s="32">
        <v>103.0</v>
      </c>
      <c r="H1311" s="32" t="str">
        <f>VLOOKUP(D1311, Grid_Region_Mapping!$D$2:$F$5286, 3, FALSE)</f>
        <v>MISE</v>
      </c>
      <c r="I1311" s="32">
        <v>3.0</v>
      </c>
      <c r="J1311" s="34" t="str">
        <f t="shared" si="1"/>
        <v>Midwest</v>
      </c>
      <c r="K1311" s="35">
        <v>2.0</v>
      </c>
      <c r="L1311" s="35" t="s">
        <v>396</v>
      </c>
      <c r="M1311" s="36">
        <f>VLOOKUP(D1311, County_Data_CZones!$B$2:$F$3236, 2, FALSE)</f>
        <v>5</v>
      </c>
      <c r="N1311" s="37" t="str">
        <f>VLOOKUP(D1311, County_Data_CZones!$B$2:$F$3236, 5, FALSE)</f>
        <v>Cold</v>
      </c>
    </row>
    <row r="1312" ht="15.75" customHeight="1">
      <c r="A1312" s="32" t="s">
        <v>274</v>
      </c>
      <c r="B1312" s="32" t="s">
        <v>963</v>
      </c>
      <c r="C1312" s="32" t="str">
        <f>vlookup(B1312,State_EMM_RowSums!$A$2:$B$52,2,FALSE)</f>
        <v>MI</v>
      </c>
      <c r="D1312" s="32">
        <v>26159.0</v>
      </c>
      <c r="E1312" s="33">
        <f>IF(NOT(ISBLANK(vlookup($D1312,Pop_Census_2023!$A$2:$E$3220,4,FALSE))),vlookup($D1312,Pop_Census_2023!$A$2:$E$3220,4,FALSE), vlookup($D1312,Pop_Census_2023!$A$2:$E$3220,5,FALSE))</f>
        <v>75798</v>
      </c>
      <c r="F1312" s="32">
        <v>1623020.0</v>
      </c>
      <c r="G1312" s="32">
        <v>104.0</v>
      </c>
      <c r="H1312" s="32" t="str">
        <f>VLOOKUP(D1312, Grid_Region_Mapping!$D$2:$F$5286, 3, FALSE)</f>
        <v>PJMW</v>
      </c>
      <c r="I1312" s="32">
        <v>3.0</v>
      </c>
      <c r="J1312" s="34" t="str">
        <f t="shared" si="1"/>
        <v>Midwest</v>
      </c>
      <c r="K1312" s="35">
        <v>2.0</v>
      </c>
      <c r="L1312" s="35" t="s">
        <v>396</v>
      </c>
      <c r="M1312" s="36">
        <f>VLOOKUP(D1312, County_Data_CZones!$B$2:$F$3236, 2, FALSE)</f>
        <v>5</v>
      </c>
      <c r="N1312" s="37" t="str">
        <f>VLOOKUP(D1312, County_Data_CZones!$B$2:$F$3236, 5, FALSE)</f>
        <v>Cold</v>
      </c>
    </row>
    <row r="1313" ht="15.75" customHeight="1">
      <c r="A1313" s="32" t="s">
        <v>1023</v>
      </c>
      <c r="B1313" s="32" t="s">
        <v>963</v>
      </c>
      <c r="C1313" s="32" t="str">
        <f>vlookup(B1313,State_EMM_RowSums!$A$2:$B$52,2,FALSE)</f>
        <v>MI</v>
      </c>
      <c r="D1313" s="32">
        <v>26161.0</v>
      </c>
      <c r="E1313" s="33">
        <f>IF(NOT(ISBLANK(vlookup($D1313,Pop_Census_2023!$A$2:$E$3220,4,FALSE))),vlookup($D1313,Pop_Census_2023!$A$2:$E$3220,4,FALSE), vlookup($D1313,Pop_Census_2023!$A$2:$E$3220,5,FALSE))</f>
        <v>365536</v>
      </c>
      <c r="F1313" s="32">
        <v>1623021.0</v>
      </c>
      <c r="G1313" s="32">
        <v>103.0</v>
      </c>
      <c r="H1313" s="32" t="str">
        <f>VLOOKUP(D1313, Grid_Region_Mapping!$D$2:$F$5286, 3, FALSE)</f>
        <v>MISE</v>
      </c>
      <c r="I1313" s="32">
        <v>3.0</v>
      </c>
      <c r="J1313" s="34" t="str">
        <f t="shared" si="1"/>
        <v>Midwest</v>
      </c>
      <c r="K1313" s="35">
        <v>2.0</v>
      </c>
      <c r="L1313" s="35" t="s">
        <v>396</v>
      </c>
      <c r="M1313" s="36">
        <f>VLOOKUP(D1313, County_Data_CZones!$B$2:$F$3236, 2, FALSE)</f>
        <v>5</v>
      </c>
      <c r="N1313" s="37" t="str">
        <f>VLOOKUP(D1313, County_Data_CZones!$B$2:$F$3236, 5, FALSE)</f>
        <v>Cold</v>
      </c>
    </row>
    <row r="1314" ht="15.75" customHeight="1">
      <c r="A1314" s="32" t="s">
        <v>562</v>
      </c>
      <c r="B1314" s="32" t="s">
        <v>963</v>
      </c>
      <c r="C1314" s="32" t="str">
        <f>vlookup(B1314,State_EMM_RowSums!$A$2:$B$52,2,FALSE)</f>
        <v>MI</v>
      </c>
      <c r="D1314" s="32">
        <v>26163.0</v>
      </c>
      <c r="E1314" s="33">
        <f>IF(NOT(ISBLANK(vlookup($D1314,Pop_Census_2023!$A$2:$E$3220,4,FALSE))),vlookup($D1314,Pop_Census_2023!$A$2:$E$3220,4,FALSE), vlookup($D1314,Pop_Census_2023!$A$2:$E$3220,5,FALSE))</f>
        <v>1751169</v>
      </c>
      <c r="F1314" s="32">
        <v>1623022.0</v>
      </c>
      <c r="G1314" s="32">
        <v>103.0</v>
      </c>
      <c r="H1314" s="32" t="str">
        <f>VLOOKUP(D1314, Grid_Region_Mapping!$D$2:$F$5286, 3, FALSE)</f>
        <v>MISE</v>
      </c>
      <c r="I1314" s="32">
        <v>3.0</v>
      </c>
      <c r="J1314" s="34" t="str">
        <f t="shared" si="1"/>
        <v>Midwest</v>
      </c>
      <c r="K1314" s="35">
        <v>2.0</v>
      </c>
      <c r="L1314" s="35" t="s">
        <v>396</v>
      </c>
      <c r="M1314" s="36">
        <f>VLOOKUP(D1314, County_Data_CZones!$B$2:$F$3236, 2, FALSE)</f>
        <v>5</v>
      </c>
      <c r="N1314" s="37" t="str">
        <f>VLOOKUP(D1314, County_Data_CZones!$B$2:$F$3236, 5, FALSE)</f>
        <v>Cold</v>
      </c>
    </row>
    <row r="1315" ht="15.75" customHeight="1">
      <c r="A1315" s="32" t="s">
        <v>1024</v>
      </c>
      <c r="B1315" s="32" t="s">
        <v>963</v>
      </c>
      <c r="C1315" s="32" t="str">
        <f>vlookup(B1315,State_EMM_RowSums!$A$2:$B$52,2,FALSE)</f>
        <v>MI</v>
      </c>
      <c r="D1315" s="32">
        <v>26165.0</v>
      </c>
      <c r="E1315" s="33">
        <f>IF(NOT(ISBLANK(vlookup($D1315,Pop_Census_2023!$A$2:$E$3220,4,FALSE))),vlookup($D1315,Pop_Census_2023!$A$2:$E$3220,4,FALSE), vlookup($D1315,Pop_Census_2023!$A$2:$E$3220,5,FALSE))</f>
        <v>34122</v>
      </c>
      <c r="F1315" s="32">
        <v>1623023.0</v>
      </c>
      <c r="G1315" s="32">
        <v>103.0</v>
      </c>
      <c r="H1315" s="32" t="str">
        <f>VLOOKUP(D1315, Grid_Region_Mapping!$D$2:$F$5286, 3, FALSE)</f>
        <v>MISE</v>
      </c>
      <c r="I1315" s="32">
        <v>3.0</v>
      </c>
      <c r="J1315" s="34" t="str">
        <f t="shared" si="1"/>
        <v>Midwest</v>
      </c>
      <c r="K1315" s="35">
        <v>1.0</v>
      </c>
      <c r="L1315" s="35" t="s">
        <v>707</v>
      </c>
      <c r="M1315" s="36">
        <f>VLOOKUP(D1315, County_Data_CZones!$B$2:$F$3236, 2, FALSE)</f>
        <v>6</v>
      </c>
      <c r="N1315" s="37" t="str">
        <f>VLOOKUP(D1315, County_Data_CZones!$B$2:$F$3236, 5, FALSE)</f>
        <v>Cold</v>
      </c>
    </row>
    <row r="1316" ht="15.75" customHeight="1">
      <c r="A1316" s="32" t="s">
        <v>1025</v>
      </c>
      <c r="B1316" s="32" t="s">
        <v>1026</v>
      </c>
      <c r="C1316" s="32" t="str">
        <f>vlookup(B1316,State_EMM_RowSums!$A$2:$B$52,2,FALSE)</f>
        <v>MN</v>
      </c>
      <c r="D1316" s="32">
        <v>27001.0</v>
      </c>
      <c r="E1316" s="33">
        <f>IF(NOT(ISBLANK(vlookup($D1316,Pop_Census_2023!$A$2:$E$3220,4,FALSE))),vlookup($D1316,Pop_Census_2023!$A$2:$E$3220,4,FALSE), vlookup($D1316,Pop_Census_2023!$A$2:$E$3220,5,FALSE))</f>
        <v>16102</v>
      </c>
      <c r="F1316" s="32">
        <v>663198.0</v>
      </c>
      <c r="G1316" s="32">
        <v>43.0</v>
      </c>
      <c r="H1316" s="32" t="str">
        <f>VLOOKUP(D1316, Grid_Region_Mapping!$D$2:$F$5286, 3, FALSE)</f>
        <v>MISW</v>
      </c>
      <c r="I1316" s="32">
        <v>4.0</v>
      </c>
      <c r="J1316" s="34" t="str">
        <f t="shared" si="1"/>
        <v>Midwest</v>
      </c>
      <c r="K1316" s="35">
        <v>1.0</v>
      </c>
      <c r="L1316" s="35">
        <v>7.0</v>
      </c>
      <c r="M1316" s="36">
        <f>VLOOKUP(D1316, County_Data_CZones!$B$2:$F$3236, 2, FALSE)</f>
        <v>7</v>
      </c>
      <c r="N1316" s="37" t="str">
        <f>VLOOKUP(D1316, County_Data_CZones!$B$2:$F$3236, 5, FALSE)</f>
        <v>Very Cold</v>
      </c>
    </row>
    <row r="1317" ht="15.75" customHeight="1">
      <c r="A1317" s="32" t="s">
        <v>1027</v>
      </c>
      <c r="B1317" s="32" t="s">
        <v>1026</v>
      </c>
      <c r="C1317" s="32" t="str">
        <f>vlookup(B1317,State_EMM_RowSums!$A$2:$B$52,2,FALSE)</f>
        <v>MN</v>
      </c>
      <c r="D1317" s="32">
        <v>27003.0</v>
      </c>
      <c r="E1317" s="33">
        <f>IF(NOT(ISBLANK(vlookup($D1317,Pop_Census_2023!$A$2:$E$3220,4,FALSE))),vlookup($D1317,Pop_Census_2023!$A$2:$E$3220,4,FALSE), vlookup($D1317,Pop_Census_2023!$A$2:$E$3220,5,FALSE))</f>
        <v>372441</v>
      </c>
      <c r="F1317" s="32">
        <v>659447.0</v>
      </c>
      <c r="G1317" s="32">
        <v>43.0</v>
      </c>
      <c r="H1317" s="32" t="str">
        <f>VLOOKUP(D1317, Grid_Region_Mapping!$D$2:$F$5286, 3, FALSE)</f>
        <v>MISW</v>
      </c>
      <c r="I1317" s="32">
        <v>4.0</v>
      </c>
      <c r="J1317" s="34" t="str">
        <f t="shared" si="1"/>
        <v>Midwest</v>
      </c>
      <c r="K1317" s="35">
        <v>1.0</v>
      </c>
      <c r="L1317" s="35" t="s">
        <v>707</v>
      </c>
      <c r="M1317" s="36">
        <f>VLOOKUP(D1317, County_Data_CZones!$B$2:$F$3236, 2, FALSE)</f>
        <v>6</v>
      </c>
      <c r="N1317" s="37" t="str">
        <f>VLOOKUP(D1317, County_Data_CZones!$B$2:$F$3236, 5, FALSE)</f>
        <v>Cold</v>
      </c>
    </row>
    <row r="1318" ht="15.75" customHeight="1">
      <c r="A1318" s="32" t="s">
        <v>1028</v>
      </c>
      <c r="B1318" s="32" t="s">
        <v>1026</v>
      </c>
      <c r="C1318" s="32" t="str">
        <f>vlookup(B1318,State_EMM_RowSums!$A$2:$B$52,2,FALSE)</f>
        <v>MN</v>
      </c>
      <c r="D1318" s="32">
        <v>27005.0</v>
      </c>
      <c r="E1318" s="33">
        <f>IF(NOT(ISBLANK(vlookup($D1318,Pop_Census_2023!$A$2:$E$3220,4,FALSE))),vlookup($D1318,Pop_Census_2023!$A$2:$E$3220,4,FALSE), vlookup($D1318,Pop_Census_2023!$A$2:$E$3220,5,FALSE))</f>
        <v>35283</v>
      </c>
      <c r="F1318" s="32">
        <v>659448.0</v>
      </c>
      <c r="G1318" s="32">
        <v>42.0</v>
      </c>
      <c r="H1318" s="32" t="str">
        <f>VLOOKUP(D1318, Grid_Region_Mapping!$D$2:$F$5286, 3, FALSE)</f>
        <v>MISW</v>
      </c>
      <c r="I1318" s="32">
        <v>4.0</v>
      </c>
      <c r="J1318" s="34" t="str">
        <f t="shared" si="1"/>
        <v>Midwest</v>
      </c>
      <c r="K1318" s="35">
        <v>1.0</v>
      </c>
      <c r="L1318" s="35">
        <v>7.0</v>
      </c>
      <c r="M1318" s="36">
        <f>VLOOKUP(D1318, County_Data_CZones!$B$2:$F$3236, 2, FALSE)</f>
        <v>7</v>
      </c>
      <c r="N1318" s="37" t="str">
        <f>VLOOKUP(D1318, County_Data_CZones!$B$2:$F$3236, 5, FALSE)</f>
        <v>Very Cold</v>
      </c>
    </row>
    <row r="1319" ht="15.75" customHeight="1">
      <c r="A1319" s="32" t="s">
        <v>1029</v>
      </c>
      <c r="B1319" s="32" t="s">
        <v>1026</v>
      </c>
      <c r="C1319" s="32" t="str">
        <f>vlookup(B1319,State_EMM_RowSums!$A$2:$B$52,2,FALSE)</f>
        <v>MN</v>
      </c>
      <c r="D1319" s="32">
        <v>27007.0</v>
      </c>
      <c r="E1319" s="33">
        <f>IF(NOT(ISBLANK(vlookup($D1319,Pop_Census_2023!$A$2:$E$3220,4,FALSE))),vlookup($D1319,Pop_Census_2023!$A$2:$E$3220,4,FALSE), vlookup($D1319,Pop_Census_2023!$A$2:$E$3220,5,FALSE))</f>
        <v>46718</v>
      </c>
      <c r="F1319" s="32">
        <v>659449.0</v>
      </c>
      <c r="G1319" s="32">
        <v>42.0</v>
      </c>
      <c r="H1319" s="32" t="str">
        <f>VLOOKUP(D1319, Grid_Region_Mapping!$D$2:$F$5286, 3, FALSE)</f>
        <v>MISW</v>
      </c>
      <c r="I1319" s="32">
        <v>4.0</v>
      </c>
      <c r="J1319" s="34" t="str">
        <f t="shared" si="1"/>
        <v>Midwest</v>
      </c>
      <c r="K1319" s="35">
        <v>1.0</v>
      </c>
      <c r="L1319" s="35">
        <v>7.0</v>
      </c>
      <c r="M1319" s="36">
        <f>VLOOKUP(D1319, County_Data_CZones!$B$2:$F$3236, 2, FALSE)</f>
        <v>7</v>
      </c>
      <c r="N1319" s="37" t="str">
        <f>VLOOKUP(D1319, County_Data_CZones!$B$2:$F$3236, 5, FALSE)</f>
        <v>Very Cold</v>
      </c>
    </row>
    <row r="1320" ht="15.75" customHeight="1">
      <c r="A1320" s="32" t="s">
        <v>224</v>
      </c>
      <c r="B1320" s="32" t="s">
        <v>1026</v>
      </c>
      <c r="C1320" s="32" t="str">
        <f>vlookup(B1320,State_EMM_RowSums!$A$2:$B$52,2,FALSE)</f>
        <v>MN</v>
      </c>
      <c r="D1320" s="32">
        <v>27009.0</v>
      </c>
      <c r="E1320" s="33">
        <f>IF(NOT(ISBLANK(vlookup($D1320,Pop_Census_2023!$A$2:$E$3220,4,FALSE))),vlookup($D1320,Pop_Census_2023!$A$2:$E$3220,4,FALSE), vlookup($D1320,Pop_Census_2023!$A$2:$E$3220,5,FALSE))</f>
        <v>41600</v>
      </c>
      <c r="F1320" s="32">
        <v>659450.0</v>
      </c>
      <c r="G1320" s="32">
        <v>43.0</v>
      </c>
      <c r="H1320" s="32" t="str">
        <f>VLOOKUP(D1320, Grid_Region_Mapping!$D$2:$F$5286, 3, FALSE)</f>
        <v>MISW</v>
      </c>
      <c r="I1320" s="32">
        <v>4.0</v>
      </c>
      <c r="J1320" s="34" t="str">
        <f t="shared" si="1"/>
        <v>Midwest</v>
      </c>
      <c r="K1320" s="35">
        <v>1.0</v>
      </c>
      <c r="L1320" s="35" t="s">
        <v>707</v>
      </c>
      <c r="M1320" s="36">
        <f>VLOOKUP(D1320, County_Data_CZones!$B$2:$F$3236, 2, FALSE)</f>
        <v>6</v>
      </c>
      <c r="N1320" s="37" t="str">
        <f>VLOOKUP(D1320, County_Data_CZones!$B$2:$F$3236, 5, FALSE)</f>
        <v>Cold</v>
      </c>
    </row>
    <row r="1321" ht="15.75" customHeight="1">
      <c r="A1321" s="32" t="s">
        <v>1030</v>
      </c>
      <c r="B1321" s="32" t="s">
        <v>1026</v>
      </c>
      <c r="C1321" s="32" t="str">
        <f>vlookup(B1321,State_EMM_RowSums!$A$2:$B$52,2,FALSE)</f>
        <v>MN</v>
      </c>
      <c r="D1321" s="32">
        <v>27011.0</v>
      </c>
      <c r="E1321" s="33">
        <f>IF(NOT(ISBLANK(vlookup($D1321,Pop_Census_2023!$A$2:$E$3220,4,FALSE))),vlookup($D1321,Pop_Census_2023!$A$2:$E$3220,4,FALSE), vlookup($D1321,Pop_Census_2023!$A$2:$E$3220,5,FALSE))</f>
        <v>5105</v>
      </c>
      <c r="F1321" s="32">
        <v>659451.0</v>
      </c>
      <c r="G1321" s="32">
        <v>43.0</v>
      </c>
      <c r="H1321" s="32" t="str">
        <f>VLOOKUP(D1321, Grid_Region_Mapping!$D$2:$F$5286, 3, FALSE)</f>
        <v>MISW</v>
      </c>
      <c r="I1321" s="32">
        <v>4.0</v>
      </c>
      <c r="J1321" s="34" t="str">
        <f t="shared" si="1"/>
        <v>Midwest</v>
      </c>
      <c r="K1321" s="35">
        <v>1.0</v>
      </c>
      <c r="L1321" s="35" t="s">
        <v>707</v>
      </c>
      <c r="M1321" s="36">
        <f>VLOOKUP(D1321, County_Data_CZones!$B$2:$F$3236, 2, FALSE)</f>
        <v>6</v>
      </c>
      <c r="N1321" s="37" t="str">
        <f>VLOOKUP(D1321, County_Data_CZones!$B$2:$F$3236, 5, FALSE)</f>
        <v>Cold</v>
      </c>
    </row>
    <row r="1322" ht="15.75" customHeight="1">
      <c r="A1322" s="32" t="s">
        <v>1031</v>
      </c>
      <c r="B1322" s="32" t="s">
        <v>1026</v>
      </c>
      <c r="C1322" s="32" t="str">
        <f>vlookup(B1322,State_EMM_RowSums!$A$2:$B$52,2,FALSE)</f>
        <v>MN</v>
      </c>
      <c r="D1322" s="32">
        <v>27013.0</v>
      </c>
      <c r="E1322" s="33">
        <f>IF(NOT(ISBLANK(vlookup($D1322,Pop_Census_2023!$A$2:$E$3220,4,FALSE))),vlookup($D1322,Pop_Census_2023!$A$2:$E$3220,4,FALSE), vlookup($D1322,Pop_Census_2023!$A$2:$E$3220,5,FALSE))</f>
        <v>70006</v>
      </c>
      <c r="F1322" s="32">
        <v>659452.0</v>
      </c>
      <c r="G1322" s="32">
        <v>68.0</v>
      </c>
      <c r="H1322" s="32" t="str">
        <f>VLOOKUP(D1322, Grid_Region_Mapping!$D$2:$F$5286, 3, FALSE)</f>
        <v>MISW</v>
      </c>
      <c r="I1322" s="32">
        <v>4.0</v>
      </c>
      <c r="J1322" s="34" t="str">
        <f t="shared" si="1"/>
        <v>Midwest</v>
      </c>
      <c r="K1322" s="35">
        <v>1.0</v>
      </c>
      <c r="L1322" s="35" t="s">
        <v>707</v>
      </c>
      <c r="M1322" s="36">
        <f>VLOOKUP(D1322, County_Data_CZones!$B$2:$F$3236, 2, FALSE)</f>
        <v>6</v>
      </c>
      <c r="N1322" s="37" t="str">
        <f>VLOOKUP(D1322, County_Data_CZones!$B$2:$F$3236, 5, FALSE)</f>
        <v>Cold</v>
      </c>
    </row>
    <row r="1323" ht="15.75" customHeight="1">
      <c r="A1323" s="32" t="s">
        <v>611</v>
      </c>
      <c r="B1323" s="32" t="s">
        <v>1026</v>
      </c>
      <c r="C1323" s="32" t="str">
        <f>vlookup(B1323,State_EMM_RowSums!$A$2:$B$52,2,FALSE)</f>
        <v>MN</v>
      </c>
      <c r="D1323" s="32">
        <v>27015.0</v>
      </c>
      <c r="E1323" s="33">
        <f>IF(NOT(ISBLANK(vlookup($D1323,Pop_Census_2023!$A$2:$E$3220,4,FALSE))),vlookup($D1323,Pop_Census_2023!$A$2:$E$3220,4,FALSE), vlookup($D1323,Pop_Census_2023!$A$2:$E$3220,5,FALSE))</f>
        <v>25628</v>
      </c>
      <c r="F1323" s="32">
        <v>659453.0</v>
      </c>
      <c r="G1323" s="32">
        <v>68.0</v>
      </c>
      <c r="H1323" s="32" t="str">
        <f>VLOOKUP(D1323, Grid_Region_Mapping!$D$2:$F$5286, 3, FALSE)</f>
        <v>MISW</v>
      </c>
      <c r="I1323" s="32">
        <v>4.0</v>
      </c>
      <c r="J1323" s="34" t="str">
        <f t="shared" si="1"/>
        <v>Midwest</v>
      </c>
      <c r="K1323" s="35">
        <v>1.0</v>
      </c>
      <c r="L1323" s="35" t="s">
        <v>707</v>
      </c>
      <c r="M1323" s="36">
        <f>VLOOKUP(D1323, County_Data_CZones!$B$2:$F$3236, 2, FALSE)</f>
        <v>6</v>
      </c>
      <c r="N1323" s="37" t="str">
        <f>VLOOKUP(D1323, County_Data_CZones!$B$2:$F$3236, 5, FALSE)</f>
        <v>Cold</v>
      </c>
    </row>
    <row r="1324" ht="15.75" customHeight="1">
      <c r="A1324" s="32" t="s">
        <v>1032</v>
      </c>
      <c r="B1324" s="32" t="s">
        <v>1026</v>
      </c>
      <c r="C1324" s="32" t="str">
        <f>vlookup(B1324,State_EMM_RowSums!$A$2:$B$52,2,FALSE)</f>
        <v>MN</v>
      </c>
      <c r="D1324" s="32">
        <v>27017.0</v>
      </c>
      <c r="E1324" s="33">
        <f>IF(NOT(ISBLANK(vlookup($D1324,Pop_Census_2023!$A$2:$E$3220,4,FALSE))),vlookup($D1324,Pop_Census_2023!$A$2:$E$3220,4,FALSE), vlookup($D1324,Pop_Census_2023!$A$2:$E$3220,5,FALSE))</f>
        <v>36825</v>
      </c>
      <c r="F1324" s="32">
        <v>659454.0</v>
      </c>
      <c r="G1324" s="32">
        <v>43.0</v>
      </c>
      <c r="H1324" s="32" t="str">
        <f>VLOOKUP(D1324, Grid_Region_Mapping!$D$2:$F$5286, 3, FALSE)</f>
        <v>MISW</v>
      </c>
      <c r="I1324" s="32">
        <v>4.0</v>
      </c>
      <c r="J1324" s="34" t="str">
        <f t="shared" si="1"/>
        <v>Midwest</v>
      </c>
      <c r="K1324" s="35">
        <v>1.0</v>
      </c>
      <c r="L1324" s="35">
        <v>7.0</v>
      </c>
      <c r="M1324" s="36">
        <f>VLOOKUP(D1324, County_Data_CZones!$B$2:$F$3236, 2, FALSE)</f>
        <v>7</v>
      </c>
      <c r="N1324" s="37" t="str">
        <f>VLOOKUP(D1324, County_Data_CZones!$B$2:$F$3236, 5, FALSE)</f>
        <v>Very Cold</v>
      </c>
    </row>
    <row r="1325" ht="15.75" customHeight="1">
      <c r="A1325" s="32" t="s">
        <v>1033</v>
      </c>
      <c r="B1325" s="32" t="s">
        <v>1026</v>
      </c>
      <c r="C1325" s="32" t="str">
        <f>vlookup(B1325,State_EMM_RowSums!$A$2:$B$52,2,FALSE)</f>
        <v>MN</v>
      </c>
      <c r="D1325" s="32">
        <v>27019.0</v>
      </c>
      <c r="E1325" s="33">
        <f>IF(NOT(ISBLANK(vlookup($D1325,Pop_Census_2023!$A$2:$E$3220,4,FALSE))),vlookup($D1325,Pop_Census_2023!$A$2:$E$3220,4,FALSE), vlookup($D1325,Pop_Census_2023!$A$2:$E$3220,5,FALSE))</f>
        <v>111057</v>
      </c>
      <c r="F1325" s="32">
        <v>659455.0</v>
      </c>
      <c r="G1325" s="32">
        <v>43.0</v>
      </c>
      <c r="H1325" s="32" t="str">
        <f>VLOOKUP(D1325, Grid_Region_Mapping!$D$2:$F$5286, 3, FALSE)</f>
        <v>MISW</v>
      </c>
      <c r="I1325" s="32">
        <v>4.0</v>
      </c>
      <c r="J1325" s="34" t="str">
        <f t="shared" si="1"/>
        <v>Midwest</v>
      </c>
      <c r="K1325" s="35">
        <v>1.0</v>
      </c>
      <c r="L1325" s="35" t="s">
        <v>707</v>
      </c>
      <c r="M1325" s="36">
        <f>VLOOKUP(D1325, County_Data_CZones!$B$2:$F$3236, 2, FALSE)</f>
        <v>6</v>
      </c>
      <c r="N1325" s="37" t="str">
        <f>VLOOKUP(D1325, County_Data_CZones!$B$2:$F$3236, 5, FALSE)</f>
        <v>Cold</v>
      </c>
    </row>
    <row r="1326" ht="15.75" customHeight="1">
      <c r="A1326" s="32" t="s">
        <v>613</v>
      </c>
      <c r="B1326" s="32" t="s">
        <v>1026</v>
      </c>
      <c r="C1326" s="32" t="str">
        <f>vlookup(B1326,State_EMM_RowSums!$A$2:$B$52,2,FALSE)</f>
        <v>MN</v>
      </c>
      <c r="D1326" s="32">
        <v>27021.0</v>
      </c>
      <c r="E1326" s="33">
        <f>IF(NOT(ISBLANK(vlookup($D1326,Pop_Census_2023!$A$2:$E$3220,4,FALSE))),vlookup($D1326,Pop_Census_2023!$A$2:$E$3220,4,FALSE), vlookup($D1326,Pop_Census_2023!$A$2:$E$3220,5,FALSE))</f>
        <v>31446</v>
      </c>
      <c r="F1326" s="32">
        <v>659456.0</v>
      </c>
      <c r="G1326" s="32">
        <v>43.0</v>
      </c>
      <c r="H1326" s="32" t="str">
        <f>VLOOKUP(D1326, Grid_Region_Mapping!$D$2:$F$5286, 3, FALSE)</f>
        <v>MISW</v>
      </c>
      <c r="I1326" s="32">
        <v>4.0</v>
      </c>
      <c r="J1326" s="34" t="str">
        <f t="shared" si="1"/>
        <v>Midwest</v>
      </c>
      <c r="K1326" s="35">
        <v>1.0</v>
      </c>
      <c r="L1326" s="35">
        <v>7.0</v>
      </c>
      <c r="M1326" s="36">
        <f>VLOOKUP(D1326, County_Data_CZones!$B$2:$F$3236, 2, FALSE)</f>
        <v>7</v>
      </c>
      <c r="N1326" s="37" t="str">
        <f>VLOOKUP(D1326, County_Data_CZones!$B$2:$F$3236, 5, FALSE)</f>
        <v>Very Cold</v>
      </c>
    </row>
    <row r="1327" ht="15.75" customHeight="1">
      <c r="A1327" s="32" t="s">
        <v>975</v>
      </c>
      <c r="B1327" s="32" t="s">
        <v>1026</v>
      </c>
      <c r="C1327" s="32" t="str">
        <f>vlookup(B1327,State_EMM_RowSums!$A$2:$B$52,2,FALSE)</f>
        <v>MN</v>
      </c>
      <c r="D1327" s="32">
        <v>27023.0</v>
      </c>
      <c r="E1327" s="33">
        <f>IF(NOT(ISBLANK(vlookup($D1327,Pop_Census_2023!$A$2:$E$3220,4,FALSE))),vlookup($D1327,Pop_Census_2023!$A$2:$E$3220,4,FALSE), vlookup($D1327,Pop_Census_2023!$A$2:$E$3220,5,FALSE))</f>
        <v>12172</v>
      </c>
      <c r="F1327" s="32">
        <v>659457.0</v>
      </c>
      <c r="G1327" s="32">
        <v>44.0</v>
      </c>
      <c r="H1327" s="32" t="str">
        <f>VLOOKUP(D1327, Grid_Region_Mapping!$D$2:$F$5286, 3, FALSE)</f>
        <v>SPPN</v>
      </c>
      <c r="I1327" s="32">
        <v>4.0</v>
      </c>
      <c r="J1327" s="34" t="str">
        <f t="shared" si="1"/>
        <v>Midwest</v>
      </c>
      <c r="K1327" s="35">
        <v>1.0</v>
      </c>
      <c r="L1327" s="35" t="s">
        <v>707</v>
      </c>
      <c r="M1327" s="36">
        <f>VLOOKUP(D1327, County_Data_CZones!$B$2:$F$3236, 2, FALSE)</f>
        <v>6</v>
      </c>
      <c r="N1327" s="37" t="str">
        <f>VLOOKUP(D1327, County_Data_CZones!$B$2:$F$3236, 5, FALSE)</f>
        <v>Cold</v>
      </c>
    </row>
    <row r="1328" ht="15.75" customHeight="1">
      <c r="A1328" s="32" t="s">
        <v>1034</v>
      </c>
      <c r="B1328" s="32" t="s">
        <v>1026</v>
      </c>
      <c r="C1328" s="32" t="str">
        <f>vlookup(B1328,State_EMM_RowSums!$A$2:$B$52,2,FALSE)</f>
        <v>MN</v>
      </c>
      <c r="D1328" s="32">
        <v>27025.0</v>
      </c>
      <c r="E1328" s="33">
        <f>IF(NOT(ISBLANK(vlookup($D1328,Pop_Census_2023!$A$2:$E$3220,4,FALSE))),vlookup($D1328,Pop_Census_2023!$A$2:$E$3220,4,FALSE), vlookup($D1328,Pop_Census_2023!$A$2:$E$3220,5,FALSE))</f>
        <v>58535</v>
      </c>
      <c r="F1328" s="32">
        <v>659458.0</v>
      </c>
      <c r="G1328" s="32">
        <v>43.0</v>
      </c>
      <c r="H1328" s="32" t="str">
        <f>VLOOKUP(D1328, Grid_Region_Mapping!$D$2:$F$5286, 3, FALSE)</f>
        <v>MISW</v>
      </c>
      <c r="I1328" s="32">
        <v>4.0</v>
      </c>
      <c r="J1328" s="34" t="str">
        <f t="shared" si="1"/>
        <v>Midwest</v>
      </c>
      <c r="K1328" s="35">
        <v>1.0</v>
      </c>
      <c r="L1328" s="35" t="s">
        <v>707</v>
      </c>
      <c r="M1328" s="36">
        <f>VLOOKUP(D1328, County_Data_CZones!$B$2:$F$3236, 2, FALSE)</f>
        <v>6</v>
      </c>
      <c r="N1328" s="37" t="str">
        <f>VLOOKUP(D1328, County_Data_CZones!$B$2:$F$3236, 5, FALSE)</f>
        <v>Cold</v>
      </c>
    </row>
    <row r="1329" ht="15.75" customHeight="1">
      <c r="A1329" s="32" t="s">
        <v>116</v>
      </c>
      <c r="B1329" s="32" t="s">
        <v>1026</v>
      </c>
      <c r="C1329" s="32" t="str">
        <f>vlookup(B1329,State_EMM_RowSums!$A$2:$B$52,2,FALSE)</f>
        <v>MN</v>
      </c>
      <c r="D1329" s="32">
        <v>27027.0</v>
      </c>
      <c r="E1329" s="33">
        <f>IF(NOT(ISBLANK(vlookup($D1329,Pop_Census_2023!$A$2:$E$3220,4,FALSE))),vlookup($D1329,Pop_Census_2023!$A$2:$E$3220,4,FALSE), vlookup($D1329,Pop_Census_2023!$A$2:$E$3220,5,FALSE))</f>
        <v>66258</v>
      </c>
      <c r="F1329" s="32">
        <v>659459.0</v>
      </c>
      <c r="G1329" s="32">
        <v>42.0</v>
      </c>
      <c r="H1329" s="32" t="str">
        <f>VLOOKUP(D1329, Grid_Region_Mapping!$D$2:$F$5286, 3, FALSE)</f>
        <v>SPPN</v>
      </c>
      <c r="I1329" s="32">
        <v>4.0</v>
      </c>
      <c r="J1329" s="34" t="str">
        <f t="shared" si="1"/>
        <v>Midwest</v>
      </c>
      <c r="K1329" s="35">
        <v>1.0</v>
      </c>
      <c r="L1329" s="35">
        <v>7.0</v>
      </c>
      <c r="M1329" s="36">
        <f>VLOOKUP(D1329, County_Data_CZones!$B$2:$F$3236, 2, FALSE)</f>
        <v>7</v>
      </c>
      <c r="N1329" s="37" t="str">
        <f>VLOOKUP(D1329, County_Data_CZones!$B$2:$F$3236, 5, FALSE)</f>
        <v>Very Cold</v>
      </c>
    </row>
    <row r="1330" ht="15.75" customHeight="1">
      <c r="A1330" s="32" t="s">
        <v>590</v>
      </c>
      <c r="B1330" s="32" t="s">
        <v>1026</v>
      </c>
      <c r="C1330" s="32" t="str">
        <f>vlookup(B1330,State_EMM_RowSums!$A$2:$B$52,2,FALSE)</f>
        <v>MN</v>
      </c>
      <c r="D1330" s="32">
        <v>27029.0</v>
      </c>
      <c r="E1330" s="33">
        <f>IF(NOT(ISBLANK(vlookup($D1330,Pop_Census_2023!$A$2:$E$3220,4,FALSE))),vlookup($D1330,Pop_Census_2023!$A$2:$E$3220,4,FALSE), vlookup($D1330,Pop_Census_2023!$A$2:$E$3220,5,FALSE))</f>
        <v>8644</v>
      </c>
      <c r="F1330" s="32">
        <v>659460.0</v>
      </c>
      <c r="G1330" s="32">
        <v>42.0</v>
      </c>
      <c r="H1330" s="32" t="str">
        <f>VLOOKUP(D1330, Grid_Region_Mapping!$D$2:$F$5286, 3, FALSE)</f>
        <v>MISW</v>
      </c>
      <c r="I1330" s="32">
        <v>4.0</v>
      </c>
      <c r="J1330" s="34" t="str">
        <f t="shared" si="1"/>
        <v>Midwest</v>
      </c>
      <c r="K1330" s="35">
        <v>1.0</v>
      </c>
      <c r="L1330" s="35">
        <v>7.0</v>
      </c>
      <c r="M1330" s="36">
        <f>VLOOKUP(D1330, County_Data_CZones!$B$2:$F$3236, 2, FALSE)</f>
        <v>7</v>
      </c>
      <c r="N1330" s="37" t="str">
        <f>VLOOKUP(D1330, County_Data_CZones!$B$2:$F$3236, 5, FALSE)</f>
        <v>Very Cold</v>
      </c>
    </row>
    <row r="1331" ht="15.75" customHeight="1">
      <c r="A1331" s="32" t="s">
        <v>487</v>
      </c>
      <c r="B1331" s="32" t="s">
        <v>1026</v>
      </c>
      <c r="C1331" s="32" t="str">
        <f>vlookup(B1331,State_EMM_RowSums!$A$2:$B$52,2,FALSE)</f>
        <v>MN</v>
      </c>
      <c r="D1331" s="32">
        <v>27031.0</v>
      </c>
      <c r="E1331" s="33">
        <f>IF(NOT(ISBLANK(vlookup($D1331,Pop_Census_2023!$A$2:$E$3220,4,FALSE))),vlookup($D1331,Pop_Census_2023!$A$2:$E$3220,4,FALSE), vlookup($D1331,Pop_Census_2023!$A$2:$E$3220,5,FALSE))</f>
        <v>5639</v>
      </c>
      <c r="F1331" s="32">
        <v>659461.0</v>
      </c>
      <c r="G1331" s="32">
        <v>43.0</v>
      </c>
      <c r="H1331" s="32" t="str">
        <f>VLOOKUP(D1331, Grid_Region_Mapping!$D$2:$F$5286, 3, FALSE)</f>
        <v>MISW</v>
      </c>
      <c r="I1331" s="32">
        <v>4.0</v>
      </c>
      <c r="J1331" s="34" t="str">
        <f t="shared" si="1"/>
        <v>Midwest</v>
      </c>
      <c r="K1331" s="35">
        <v>1.0</v>
      </c>
      <c r="L1331" s="35">
        <v>7.0</v>
      </c>
      <c r="M1331" s="36">
        <f>VLOOKUP(D1331, County_Data_CZones!$B$2:$F$3236, 2, FALSE)</f>
        <v>7</v>
      </c>
      <c r="N1331" s="37" t="str">
        <f>VLOOKUP(D1331, County_Data_CZones!$B$2:$F$3236, 5, FALSE)</f>
        <v>Very Cold</v>
      </c>
    </row>
    <row r="1332" ht="15.75" customHeight="1">
      <c r="A1332" s="32" t="s">
        <v>1035</v>
      </c>
      <c r="B1332" s="32" t="s">
        <v>1026</v>
      </c>
      <c r="C1332" s="32" t="str">
        <f>vlookup(B1332,State_EMM_RowSums!$A$2:$B$52,2,FALSE)</f>
        <v>MN</v>
      </c>
      <c r="D1332" s="32">
        <v>27033.0</v>
      </c>
      <c r="E1332" s="33">
        <f>IF(NOT(ISBLANK(vlookup($D1332,Pop_Census_2023!$A$2:$E$3220,4,FALSE))),vlookup($D1332,Pop_Census_2023!$A$2:$E$3220,4,FALSE), vlookup($D1332,Pop_Census_2023!$A$2:$E$3220,5,FALSE))</f>
        <v>11319</v>
      </c>
      <c r="F1332" s="32">
        <v>659462.0</v>
      </c>
      <c r="G1332" s="32">
        <v>68.0</v>
      </c>
      <c r="H1332" s="32" t="str">
        <f>VLOOKUP(D1332, Grid_Region_Mapping!$D$2:$F$5286, 3, FALSE)</f>
        <v>MISW</v>
      </c>
      <c r="I1332" s="32">
        <v>4.0</v>
      </c>
      <c r="J1332" s="34" t="str">
        <f t="shared" si="1"/>
        <v>Midwest</v>
      </c>
      <c r="K1332" s="35">
        <v>1.0</v>
      </c>
      <c r="L1332" s="35" t="s">
        <v>707</v>
      </c>
      <c r="M1332" s="36">
        <f>VLOOKUP(D1332, County_Data_CZones!$B$2:$F$3236, 2, FALSE)</f>
        <v>6</v>
      </c>
      <c r="N1332" s="37" t="str">
        <f>VLOOKUP(D1332, County_Data_CZones!$B$2:$F$3236, 5, FALSE)</f>
        <v>Cold</v>
      </c>
    </row>
    <row r="1333" ht="15.75" customHeight="1">
      <c r="A1333" s="32" t="s">
        <v>1036</v>
      </c>
      <c r="B1333" s="32" t="s">
        <v>1026</v>
      </c>
      <c r="C1333" s="32" t="str">
        <f>vlookup(B1333,State_EMM_RowSums!$A$2:$B$52,2,FALSE)</f>
        <v>MN</v>
      </c>
      <c r="D1333" s="32">
        <v>27035.0</v>
      </c>
      <c r="E1333" s="33">
        <f>IF(NOT(ISBLANK(vlookup($D1333,Pop_Census_2023!$A$2:$E$3220,4,FALSE))),vlookup($D1333,Pop_Census_2023!$A$2:$E$3220,4,FALSE), vlookup($D1333,Pop_Census_2023!$A$2:$E$3220,5,FALSE))</f>
        <v>68304</v>
      </c>
      <c r="F1333" s="32">
        <v>659463.0</v>
      </c>
      <c r="G1333" s="32">
        <v>43.0</v>
      </c>
      <c r="H1333" s="32" t="str">
        <f>VLOOKUP(D1333, Grid_Region_Mapping!$D$2:$F$5286, 3, FALSE)</f>
        <v>MISW</v>
      </c>
      <c r="I1333" s="32">
        <v>4.0</v>
      </c>
      <c r="J1333" s="34" t="str">
        <f t="shared" si="1"/>
        <v>Midwest</v>
      </c>
      <c r="K1333" s="35">
        <v>1.0</v>
      </c>
      <c r="L1333" s="35">
        <v>7.0</v>
      </c>
      <c r="M1333" s="36">
        <f>VLOOKUP(D1333, County_Data_CZones!$B$2:$F$3236, 2, FALSE)</f>
        <v>7</v>
      </c>
      <c r="N1333" s="37" t="str">
        <f>VLOOKUP(D1333, County_Data_CZones!$B$2:$F$3236, 5, FALSE)</f>
        <v>Very Cold</v>
      </c>
    </row>
    <row r="1334" ht="15.75" customHeight="1">
      <c r="A1334" s="32" t="s">
        <v>1037</v>
      </c>
      <c r="B1334" s="32" t="s">
        <v>1026</v>
      </c>
      <c r="C1334" s="32" t="str">
        <f>vlookup(B1334,State_EMM_RowSums!$A$2:$B$52,2,FALSE)</f>
        <v>MN</v>
      </c>
      <c r="D1334" s="32">
        <v>27037.0</v>
      </c>
      <c r="E1334" s="33">
        <f>IF(NOT(ISBLANK(vlookup($D1334,Pop_Census_2023!$A$2:$E$3220,4,FALSE))),vlookup($D1334,Pop_Census_2023!$A$2:$E$3220,4,FALSE), vlookup($D1334,Pop_Census_2023!$A$2:$E$3220,5,FALSE))</f>
        <v>447440</v>
      </c>
      <c r="F1334" s="32">
        <v>659464.0</v>
      </c>
      <c r="G1334" s="32">
        <v>43.0</v>
      </c>
      <c r="H1334" s="32" t="str">
        <f>VLOOKUP(D1334, Grid_Region_Mapping!$D$2:$F$5286, 3, FALSE)</f>
        <v>MISW</v>
      </c>
      <c r="I1334" s="32">
        <v>4.0</v>
      </c>
      <c r="J1334" s="34" t="str">
        <f t="shared" si="1"/>
        <v>Midwest</v>
      </c>
      <c r="K1334" s="35">
        <v>1.0</v>
      </c>
      <c r="L1334" s="35" t="s">
        <v>707</v>
      </c>
      <c r="M1334" s="36">
        <f>VLOOKUP(D1334, County_Data_CZones!$B$2:$F$3236, 2, FALSE)</f>
        <v>6</v>
      </c>
      <c r="N1334" s="37" t="str">
        <f>VLOOKUP(D1334, County_Data_CZones!$B$2:$F$3236, 5, FALSE)</f>
        <v>Cold</v>
      </c>
    </row>
    <row r="1335" ht="15.75" customHeight="1">
      <c r="A1335" s="32" t="s">
        <v>493</v>
      </c>
      <c r="B1335" s="32" t="s">
        <v>1026</v>
      </c>
      <c r="C1335" s="32" t="str">
        <f>vlookup(B1335,State_EMM_RowSums!$A$2:$B$52,2,FALSE)</f>
        <v>MN</v>
      </c>
      <c r="D1335" s="32">
        <v>27039.0</v>
      </c>
      <c r="E1335" s="33">
        <f>IF(NOT(ISBLANK(vlookup($D1335,Pop_Census_2023!$A$2:$E$3220,4,FALSE))),vlookup($D1335,Pop_Census_2023!$A$2:$E$3220,4,FALSE), vlookup($D1335,Pop_Census_2023!$A$2:$E$3220,5,FALSE))</f>
        <v>21088</v>
      </c>
      <c r="F1335" s="32">
        <v>659465.0</v>
      </c>
      <c r="G1335" s="32">
        <v>43.0</v>
      </c>
      <c r="H1335" s="32" t="str">
        <f>VLOOKUP(D1335, Grid_Region_Mapping!$D$2:$F$5286, 3, FALSE)</f>
        <v>MISW</v>
      </c>
      <c r="I1335" s="32">
        <v>4.0</v>
      </c>
      <c r="J1335" s="34" t="str">
        <f t="shared" si="1"/>
        <v>Midwest</v>
      </c>
      <c r="K1335" s="35">
        <v>1.0</v>
      </c>
      <c r="L1335" s="35" t="s">
        <v>707</v>
      </c>
      <c r="M1335" s="36">
        <f>VLOOKUP(D1335, County_Data_CZones!$B$2:$F$3236, 2, FALSE)</f>
        <v>6</v>
      </c>
      <c r="N1335" s="37" t="str">
        <f>VLOOKUP(D1335, County_Data_CZones!$B$2:$F$3236, 5, FALSE)</f>
        <v>Cold</v>
      </c>
    </row>
    <row r="1336" ht="15.75" customHeight="1">
      <c r="A1336" s="32" t="s">
        <v>357</v>
      </c>
      <c r="B1336" s="32" t="s">
        <v>1026</v>
      </c>
      <c r="C1336" s="32" t="str">
        <f>vlookup(B1336,State_EMM_RowSums!$A$2:$B$52,2,FALSE)</f>
        <v>MN</v>
      </c>
      <c r="D1336" s="32">
        <v>27041.0</v>
      </c>
      <c r="E1336" s="33">
        <f>IF(NOT(ISBLANK(vlookup($D1336,Pop_Census_2023!$A$2:$E$3220,4,FALSE))),vlookup($D1336,Pop_Census_2023!$A$2:$E$3220,4,FALSE), vlookup($D1336,Pop_Census_2023!$A$2:$E$3220,5,FALSE))</f>
        <v>39953</v>
      </c>
      <c r="F1336" s="32">
        <v>659466.0</v>
      </c>
      <c r="G1336" s="32">
        <v>43.0</v>
      </c>
      <c r="H1336" s="32" t="str">
        <f>VLOOKUP(D1336, Grid_Region_Mapping!$D$2:$F$5286, 3, FALSE)</f>
        <v>MISW</v>
      </c>
      <c r="I1336" s="32">
        <v>4.0</v>
      </c>
      <c r="J1336" s="34" t="str">
        <f t="shared" si="1"/>
        <v>Midwest</v>
      </c>
      <c r="K1336" s="35">
        <v>1.0</v>
      </c>
      <c r="L1336" s="35" t="s">
        <v>707</v>
      </c>
      <c r="M1336" s="36">
        <f>VLOOKUP(D1336, County_Data_CZones!$B$2:$F$3236, 2, FALSE)</f>
        <v>6</v>
      </c>
      <c r="N1336" s="37" t="str">
        <f>VLOOKUP(D1336, County_Data_CZones!$B$2:$F$3236, 5, FALSE)</f>
        <v>Cold</v>
      </c>
    </row>
    <row r="1337" ht="15.75" customHeight="1">
      <c r="A1337" s="32" t="s">
        <v>1038</v>
      </c>
      <c r="B1337" s="32" t="s">
        <v>1026</v>
      </c>
      <c r="C1337" s="32" t="str">
        <f>vlookup(B1337,State_EMM_RowSums!$A$2:$B$52,2,FALSE)</f>
        <v>MN</v>
      </c>
      <c r="D1337" s="32">
        <v>27043.0</v>
      </c>
      <c r="E1337" s="33">
        <f>IF(NOT(ISBLANK(vlookup($D1337,Pop_Census_2023!$A$2:$E$3220,4,FALSE))),vlookup($D1337,Pop_Census_2023!$A$2:$E$3220,4,FALSE), vlookup($D1337,Pop_Census_2023!$A$2:$E$3220,5,FALSE))</f>
        <v>13873</v>
      </c>
      <c r="F1337" s="32">
        <v>659467.0</v>
      </c>
      <c r="G1337" s="32">
        <v>68.0</v>
      </c>
      <c r="H1337" s="32" t="str">
        <f>VLOOKUP(D1337, Grid_Region_Mapping!$D$2:$F$5286, 3, FALSE)</f>
        <v>MISW</v>
      </c>
      <c r="I1337" s="32">
        <v>4.0</v>
      </c>
      <c r="J1337" s="34" t="str">
        <f t="shared" si="1"/>
        <v>Midwest</v>
      </c>
      <c r="K1337" s="35">
        <v>1.0</v>
      </c>
      <c r="L1337" s="35" t="s">
        <v>707</v>
      </c>
      <c r="M1337" s="36">
        <f>VLOOKUP(D1337, County_Data_CZones!$B$2:$F$3236, 2, FALSE)</f>
        <v>6</v>
      </c>
      <c r="N1337" s="37" t="str">
        <f>VLOOKUP(D1337, County_Data_CZones!$B$2:$F$3236, 5, FALSE)</f>
        <v>Cold</v>
      </c>
    </row>
    <row r="1338" ht="15.75" customHeight="1">
      <c r="A1338" s="32" t="s">
        <v>1039</v>
      </c>
      <c r="B1338" s="32" t="s">
        <v>1026</v>
      </c>
      <c r="C1338" s="32" t="str">
        <f>vlookup(B1338,State_EMM_RowSums!$A$2:$B$52,2,FALSE)</f>
        <v>MN</v>
      </c>
      <c r="D1338" s="32">
        <v>27045.0</v>
      </c>
      <c r="E1338" s="33">
        <f>IF(NOT(ISBLANK(vlookup($D1338,Pop_Census_2023!$A$2:$E$3220,4,FALSE))),vlookup($D1338,Pop_Census_2023!$A$2:$E$3220,4,FALSE), vlookup($D1338,Pop_Census_2023!$A$2:$E$3220,5,FALSE))</f>
        <v>21522</v>
      </c>
      <c r="F1338" s="32">
        <v>659468.0</v>
      </c>
      <c r="G1338" s="32">
        <v>68.0</v>
      </c>
      <c r="H1338" s="32" t="str">
        <f>VLOOKUP(D1338, Grid_Region_Mapping!$D$2:$F$5286, 3, FALSE)</f>
        <v>MISW</v>
      </c>
      <c r="I1338" s="32">
        <v>4.0</v>
      </c>
      <c r="J1338" s="34" t="str">
        <f t="shared" si="1"/>
        <v>Midwest</v>
      </c>
      <c r="K1338" s="35">
        <v>1.0</v>
      </c>
      <c r="L1338" s="35" t="s">
        <v>707</v>
      </c>
      <c r="M1338" s="36">
        <f>VLOOKUP(D1338, County_Data_CZones!$B$2:$F$3236, 2, FALSE)</f>
        <v>6</v>
      </c>
      <c r="N1338" s="37" t="str">
        <f>VLOOKUP(D1338, County_Data_CZones!$B$2:$F$3236, 5, FALSE)</f>
        <v>Cold</v>
      </c>
    </row>
    <row r="1339" ht="15.75" customHeight="1">
      <c r="A1339" s="32" t="s">
        <v>1040</v>
      </c>
      <c r="B1339" s="32" t="s">
        <v>1026</v>
      </c>
      <c r="C1339" s="32" t="str">
        <f>vlookup(B1339,State_EMM_RowSums!$A$2:$B$52,2,FALSE)</f>
        <v>MN</v>
      </c>
      <c r="D1339" s="32">
        <v>27047.0</v>
      </c>
      <c r="E1339" s="33">
        <f>IF(NOT(ISBLANK(vlookup($D1339,Pop_Census_2023!$A$2:$E$3220,4,FALSE))),vlookup($D1339,Pop_Census_2023!$A$2:$E$3220,4,FALSE), vlookup($D1339,Pop_Census_2023!$A$2:$E$3220,5,FALSE))</f>
        <v>30515</v>
      </c>
      <c r="F1339" s="32">
        <v>659469.0</v>
      </c>
      <c r="G1339" s="32">
        <v>68.0</v>
      </c>
      <c r="H1339" s="32" t="str">
        <f>VLOOKUP(D1339, Grid_Region_Mapping!$D$2:$F$5286, 3, FALSE)</f>
        <v>MISW</v>
      </c>
      <c r="I1339" s="32">
        <v>4.0</v>
      </c>
      <c r="J1339" s="34" t="str">
        <f t="shared" si="1"/>
        <v>Midwest</v>
      </c>
      <c r="K1339" s="35">
        <v>1.0</v>
      </c>
      <c r="L1339" s="35" t="s">
        <v>707</v>
      </c>
      <c r="M1339" s="36">
        <f>VLOOKUP(D1339, County_Data_CZones!$B$2:$F$3236, 2, FALSE)</f>
        <v>6</v>
      </c>
      <c r="N1339" s="37" t="str">
        <f>VLOOKUP(D1339, County_Data_CZones!$B$2:$F$3236, 5, FALSE)</f>
        <v>Cold</v>
      </c>
    </row>
    <row r="1340" ht="15.75" customHeight="1">
      <c r="A1340" s="32" t="s">
        <v>1041</v>
      </c>
      <c r="B1340" s="32" t="s">
        <v>1026</v>
      </c>
      <c r="C1340" s="32" t="str">
        <f>vlookup(B1340,State_EMM_RowSums!$A$2:$B$52,2,FALSE)</f>
        <v>MN</v>
      </c>
      <c r="D1340" s="32">
        <v>27049.0</v>
      </c>
      <c r="E1340" s="33">
        <f>IF(NOT(ISBLANK(vlookup($D1340,Pop_Census_2023!$A$2:$E$3220,4,FALSE))),vlookup($D1340,Pop_Census_2023!$A$2:$E$3220,4,FALSE), vlookup($D1340,Pop_Census_2023!$A$2:$E$3220,5,FALSE))</f>
        <v>48035</v>
      </c>
      <c r="F1340" s="32">
        <v>659470.0</v>
      </c>
      <c r="G1340" s="32">
        <v>43.0</v>
      </c>
      <c r="H1340" s="32" t="str">
        <f>VLOOKUP(D1340, Grid_Region_Mapping!$D$2:$F$5286, 3, FALSE)</f>
        <v>MISW</v>
      </c>
      <c r="I1340" s="32">
        <v>4.0</v>
      </c>
      <c r="J1340" s="34" t="str">
        <f t="shared" si="1"/>
        <v>Midwest</v>
      </c>
      <c r="K1340" s="35">
        <v>1.0</v>
      </c>
      <c r="L1340" s="35" t="s">
        <v>707</v>
      </c>
      <c r="M1340" s="36">
        <f>VLOOKUP(D1340, County_Data_CZones!$B$2:$F$3236, 2, FALSE)</f>
        <v>6</v>
      </c>
      <c r="N1340" s="37" t="str">
        <f>VLOOKUP(D1340, County_Data_CZones!$B$2:$F$3236, 5, FALSE)</f>
        <v>Cold</v>
      </c>
    </row>
    <row r="1341" ht="15.75" customHeight="1">
      <c r="A1341" s="32" t="s">
        <v>242</v>
      </c>
      <c r="B1341" s="32" t="s">
        <v>1026</v>
      </c>
      <c r="C1341" s="32" t="str">
        <f>vlookup(B1341,State_EMM_RowSums!$A$2:$B$52,2,FALSE)</f>
        <v>MN</v>
      </c>
      <c r="D1341" s="32">
        <v>27051.0</v>
      </c>
      <c r="E1341" s="33">
        <f>IF(NOT(ISBLANK(vlookup($D1341,Pop_Census_2023!$A$2:$E$3220,4,FALSE))),vlookup($D1341,Pop_Census_2023!$A$2:$E$3220,4,FALSE), vlookup($D1341,Pop_Census_2023!$A$2:$E$3220,5,FALSE))</f>
        <v>6139</v>
      </c>
      <c r="F1341" s="32">
        <v>659471.0</v>
      </c>
      <c r="G1341" s="32">
        <v>43.0</v>
      </c>
      <c r="H1341" s="32" t="str">
        <f>VLOOKUP(D1341, Grid_Region_Mapping!$D$2:$F$5286, 3, FALSE)</f>
        <v>SPPN</v>
      </c>
      <c r="I1341" s="32">
        <v>4.0</v>
      </c>
      <c r="J1341" s="34" t="str">
        <f t="shared" si="1"/>
        <v>Midwest</v>
      </c>
      <c r="K1341" s="35">
        <v>1.0</v>
      </c>
      <c r="L1341" s="35">
        <v>7.0</v>
      </c>
      <c r="M1341" s="36">
        <f>VLOOKUP(D1341, County_Data_CZones!$B$2:$F$3236, 2, FALSE)</f>
        <v>7</v>
      </c>
      <c r="N1341" s="37" t="str">
        <f>VLOOKUP(D1341, County_Data_CZones!$B$2:$F$3236, 5, FALSE)</f>
        <v>Very Cold</v>
      </c>
    </row>
    <row r="1342" ht="15.75" customHeight="1">
      <c r="A1342" s="32" t="s">
        <v>1042</v>
      </c>
      <c r="B1342" s="32" t="s">
        <v>1026</v>
      </c>
      <c r="C1342" s="32" t="str">
        <f>vlookup(B1342,State_EMM_RowSums!$A$2:$B$52,2,FALSE)</f>
        <v>MN</v>
      </c>
      <c r="D1342" s="32">
        <v>27053.0</v>
      </c>
      <c r="E1342" s="33">
        <f>IF(NOT(ISBLANK(vlookup($D1342,Pop_Census_2023!$A$2:$E$3220,4,FALSE))),vlookup($D1342,Pop_Census_2023!$A$2:$E$3220,4,FALSE), vlookup($D1342,Pop_Census_2023!$A$2:$E$3220,5,FALSE))</f>
        <v>1258713</v>
      </c>
      <c r="F1342" s="32">
        <v>659472.0</v>
      </c>
      <c r="G1342" s="32">
        <v>43.0</v>
      </c>
      <c r="H1342" s="32" t="str">
        <f>VLOOKUP(D1342, Grid_Region_Mapping!$D$2:$F$5286, 3, FALSE)</f>
        <v>MISW</v>
      </c>
      <c r="I1342" s="32">
        <v>4.0</v>
      </c>
      <c r="J1342" s="34" t="str">
        <f t="shared" si="1"/>
        <v>Midwest</v>
      </c>
      <c r="K1342" s="35">
        <v>1.0</v>
      </c>
      <c r="L1342" s="35" t="s">
        <v>707</v>
      </c>
      <c r="M1342" s="36">
        <f>VLOOKUP(D1342, County_Data_CZones!$B$2:$F$3236, 2, FALSE)</f>
        <v>6</v>
      </c>
      <c r="N1342" s="37" t="str">
        <f>VLOOKUP(D1342, County_Data_CZones!$B$2:$F$3236, 5, FALSE)</f>
        <v>Cold</v>
      </c>
    </row>
    <row r="1343" ht="15.75" customHeight="1">
      <c r="A1343" s="32" t="s">
        <v>137</v>
      </c>
      <c r="B1343" s="32" t="s">
        <v>1026</v>
      </c>
      <c r="C1343" s="32" t="str">
        <f>vlookup(B1343,State_EMM_RowSums!$A$2:$B$52,2,FALSE)</f>
        <v>MN</v>
      </c>
      <c r="D1343" s="32">
        <v>27055.0</v>
      </c>
      <c r="E1343" s="33">
        <f>IF(NOT(ISBLANK(vlookup($D1343,Pop_Census_2023!$A$2:$E$3220,4,FALSE))),vlookup($D1343,Pop_Census_2023!$A$2:$E$3220,4,FALSE), vlookup($D1343,Pop_Census_2023!$A$2:$E$3220,5,FALSE))</f>
        <v>18582</v>
      </c>
      <c r="F1343" s="32">
        <v>659473.0</v>
      </c>
      <c r="G1343" s="32">
        <v>68.0</v>
      </c>
      <c r="H1343" s="32" t="str">
        <f>VLOOKUP(D1343, Grid_Region_Mapping!$D$2:$F$5286, 3, FALSE)</f>
        <v>MISW</v>
      </c>
      <c r="I1343" s="32">
        <v>4.0</v>
      </c>
      <c r="J1343" s="34" t="str">
        <f t="shared" si="1"/>
        <v>Midwest</v>
      </c>
      <c r="K1343" s="35">
        <v>1.0</v>
      </c>
      <c r="L1343" s="35" t="s">
        <v>707</v>
      </c>
      <c r="M1343" s="36">
        <f>VLOOKUP(D1343, County_Data_CZones!$B$2:$F$3236, 2, FALSE)</f>
        <v>6</v>
      </c>
      <c r="N1343" s="37" t="str">
        <f>VLOOKUP(D1343, County_Data_CZones!$B$2:$F$3236, 5, FALSE)</f>
        <v>Cold</v>
      </c>
    </row>
    <row r="1344" ht="15.75" customHeight="1">
      <c r="A1344" s="32" t="s">
        <v>1043</v>
      </c>
      <c r="B1344" s="32" t="s">
        <v>1026</v>
      </c>
      <c r="C1344" s="32" t="str">
        <f>vlookup(B1344,State_EMM_RowSums!$A$2:$B$52,2,FALSE)</f>
        <v>MN</v>
      </c>
      <c r="D1344" s="32">
        <v>27057.0</v>
      </c>
      <c r="E1344" s="33">
        <f>IF(NOT(ISBLANK(vlookup($D1344,Pop_Census_2023!$A$2:$E$3220,4,FALSE))),vlookup($D1344,Pop_Census_2023!$A$2:$E$3220,4,FALSE), vlookup($D1344,Pop_Census_2023!$A$2:$E$3220,5,FALSE))</f>
        <v>22132</v>
      </c>
      <c r="F1344" s="32">
        <v>659474.0</v>
      </c>
      <c r="G1344" s="32">
        <v>43.0</v>
      </c>
      <c r="H1344" s="32" t="str">
        <f>VLOOKUP(D1344, Grid_Region_Mapping!$D$2:$F$5286, 3, FALSE)</f>
        <v>MISW</v>
      </c>
      <c r="I1344" s="32">
        <v>4.0</v>
      </c>
      <c r="J1344" s="34" t="str">
        <f t="shared" si="1"/>
        <v>Midwest</v>
      </c>
      <c r="K1344" s="35">
        <v>1.0</v>
      </c>
      <c r="L1344" s="35">
        <v>7.0</v>
      </c>
      <c r="M1344" s="36">
        <f>VLOOKUP(D1344, County_Data_CZones!$B$2:$F$3236, 2, FALSE)</f>
        <v>7</v>
      </c>
      <c r="N1344" s="37" t="str">
        <f>VLOOKUP(D1344, County_Data_CZones!$B$2:$F$3236, 5, FALSE)</f>
        <v>Very Cold</v>
      </c>
    </row>
    <row r="1345" ht="15.75" customHeight="1">
      <c r="A1345" s="32" t="s">
        <v>1044</v>
      </c>
      <c r="B1345" s="32" t="s">
        <v>1026</v>
      </c>
      <c r="C1345" s="32" t="str">
        <f>vlookup(B1345,State_EMM_RowSums!$A$2:$B$52,2,FALSE)</f>
        <v>MN</v>
      </c>
      <c r="D1345" s="32">
        <v>27059.0</v>
      </c>
      <c r="E1345" s="33">
        <f>IF(NOT(ISBLANK(vlookup($D1345,Pop_Census_2023!$A$2:$E$3220,4,FALSE))),vlookup($D1345,Pop_Census_2023!$A$2:$E$3220,4,FALSE), vlookup($D1345,Pop_Census_2023!$A$2:$E$3220,5,FALSE))</f>
        <v>43182</v>
      </c>
      <c r="F1345" s="32">
        <v>659475.0</v>
      </c>
      <c r="G1345" s="32">
        <v>43.0</v>
      </c>
      <c r="H1345" s="32" t="str">
        <f>VLOOKUP(D1345, Grid_Region_Mapping!$D$2:$F$5286, 3, FALSE)</f>
        <v>MISW</v>
      </c>
      <c r="I1345" s="32">
        <v>4.0</v>
      </c>
      <c r="J1345" s="34" t="str">
        <f t="shared" si="1"/>
        <v>Midwest</v>
      </c>
      <c r="K1345" s="35">
        <v>1.0</v>
      </c>
      <c r="L1345" s="35" t="s">
        <v>707</v>
      </c>
      <c r="M1345" s="36">
        <f>VLOOKUP(D1345, County_Data_CZones!$B$2:$F$3236, 2, FALSE)</f>
        <v>6</v>
      </c>
      <c r="N1345" s="37" t="str">
        <f>VLOOKUP(D1345, County_Data_CZones!$B$2:$F$3236, 5, FALSE)</f>
        <v>Cold</v>
      </c>
    </row>
    <row r="1346" ht="15.75" customHeight="1">
      <c r="A1346" s="32" t="s">
        <v>1045</v>
      </c>
      <c r="B1346" s="32" t="s">
        <v>1026</v>
      </c>
      <c r="C1346" s="32" t="str">
        <f>vlookup(B1346,State_EMM_RowSums!$A$2:$B$52,2,FALSE)</f>
        <v>MN</v>
      </c>
      <c r="D1346" s="32">
        <v>27061.0</v>
      </c>
      <c r="E1346" s="33">
        <f>IF(NOT(ISBLANK(vlookup($D1346,Pop_Census_2023!$A$2:$E$3220,4,FALSE))),vlookup($D1346,Pop_Census_2023!$A$2:$E$3220,4,FALSE), vlookup($D1346,Pop_Census_2023!$A$2:$E$3220,5,FALSE))</f>
        <v>45365</v>
      </c>
      <c r="F1346" s="32">
        <v>659476.0</v>
      </c>
      <c r="G1346" s="32">
        <v>43.0</v>
      </c>
      <c r="H1346" s="32" t="str">
        <f>VLOOKUP(D1346, Grid_Region_Mapping!$D$2:$F$5286, 3, FALSE)</f>
        <v>MISW</v>
      </c>
      <c r="I1346" s="32">
        <v>4.0</v>
      </c>
      <c r="J1346" s="34" t="str">
        <f t="shared" si="1"/>
        <v>Midwest</v>
      </c>
      <c r="K1346" s="35">
        <v>1.0</v>
      </c>
      <c r="L1346" s="35">
        <v>7.0</v>
      </c>
      <c r="M1346" s="36">
        <f>VLOOKUP(D1346, County_Data_CZones!$B$2:$F$3236, 2, FALSE)</f>
        <v>7</v>
      </c>
      <c r="N1346" s="37" t="str">
        <f>VLOOKUP(D1346, County_Data_CZones!$B$2:$F$3236, 5, FALSE)</f>
        <v>Very Cold</v>
      </c>
    </row>
    <row r="1347" ht="15.75" customHeight="1">
      <c r="A1347" s="32" t="s">
        <v>138</v>
      </c>
      <c r="B1347" s="32" t="s">
        <v>1026</v>
      </c>
      <c r="C1347" s="32" t="str">
        <f>vlookup(B1347,State_EMM_RowSums!$A$2:$B$52,2,FALSE)</f>
        <v>MN</v>
      </c>
      <c r="D1347" s="32">
        <v>27063.0</v>
      </c>
      <c r="E1347" s="33">
        <f>IF(NOT(ISBLANK(vlookup($D1347,Pop_Census_2023!$A$2:$E$3220,4,FALSE))),vlookup($D1347,Pop_Census_2023!$A$2:$E$3220,4,FALSE), vlookup($D1347,Pop_Census_2023!$A$2:$E$3220,5,FALSE))</f>
        <v>9919</v>
      </c>
      <c r="F1347" s="32">
        <v>659477.0</v>
      </c>
      <c r="G1347" s="32">
        <v>68.0</v>
      </c>
      <c r="H1347" s="32" t="str">
        <f>VLOOKUP(D1347, Grid_Region_Mapping!$D$2:$F$5286, 3, FALSE)</f>
        <v>MISW</v>
      </c>
      <c r="I1347" s="32">
        <v>4.0</v>
      </c>
      <c r="J1347" s="34" t="str">
        <f t="shared" si="1"/>
        <v>Midwest</v>
      </c>
      <c r="K1347" s="35">
        <v>1.0</v>
      </c>
      <c r="L1347" s="35" t="s">
        <v>707</v>
      </c>
      <c r="M1347" s="36">
        <f>VLOOKUP(D1347, County_Data_CZones!$B$2:$F$3236, 2, FALSE)</f>
        <v>6</v>
      </c>
      <c r="N1347" s="37" t="str">
        <f>VLOOKUP(D1347, County_Data_CZones!$B$2:$F$3236, 5, FALSE)</f>
        <v>Cold</v>
      </c>
    </row>
    <row r="1348" ht="15.75" customHeight="1">
      <c r="A1348" s="32" t="s">
        <v>1046</v>
      </c>
      <c r="B1348" s="32" t="s">
        <v>1026</v>
      </c>
      <c r="C1348" s="32" t="str">
        <f>vlookup(B1348,State_EMM_RowSums!$A$2:$B$52,2,FALSE)</f>
        <v>MN</v>
      </c>
      <c r="D1348" s="32">
        <v>27065.0</v>
      </c>
      <c r="E1348" s="33">
        <f>IF(NOT(ISBLANK(vlookup($D1348,Pop_Census_2023!$A$2:$E$3220,4,FALSE))),vlookup($D1348,Pop_Census_2023!$A$2:$E$3220,4,FALSE), vlookup($D1348,Pop_Census_2023!$A$2:$E$3220,5,FALSE))</f>
        <v>16602</v>
      </c>
      <c r="F1348" s="32">
        <v>659478.0</v>
      </c>
      <c r="G1348" s="32">
        <v>43.0</v>
      </c>
      <c r="H1348" s="32" t="str">
        <f>VLOOKUP(D1348, Grid_Region_Mapping!$D$2:$F$5286, 3, FALSE)</f>
        <v>MISW</v>
      </c>
      <c r="I1348" s="32">
        <v>4.0</v>
      </c>
      <c r="J1348" s="34" t="str">
        <f t="shared" si="1"/>
        <v>Midwest</v>
      </c>
      <c r="K1348" s="35">
        <v>1.0</v>
      </c>
      <c r="L1348" s="35">
        <v>7.0</v>
      </c>
      <c r="M1348" s="36">
        <f>VLOOKUP(D1348, County_Data_CZones!$B$2:$F$3236, 2, FALSE)</f>
        <v>7</v>
      </c>
      <c r="N1348" s="37" t="str">
        <f>VLOOKUP(D1348, County_Data_CZones!$B$2:$F$3236, 5, FALSE)</f>
        <v>Very Cold</v>
      </c>
    </row>
    <row r="1349" ht="15.75" customHeight="1">
      <c r="A1349" s="32" t="s">
        <v>1047</v>
      </c>
      <c r="B1349" s="32" t="s">
        <v>1026</v>
      </c>
      <c r="C1349" s="32" t="str">
        <f>vlookup(B1349,State_EMM_RowSums!$A$2:$B$52,2,FALSE)</f>
        <v>MN</v>
      </c>
      <c r="D1349" s="32">
        <v>27067.0</v>
      </c>
      <c r="E1349" s="33">
        <f>IF(NOT(ISBLANK(vlookup($D1349,Pop_Census_2023!$A$2:$E$3220,4,FALSE))),vlookup($D1349,Pop_Census_2023!$A$2:$E$3220,4,FALSE), vlookup($D1349,Pop_Census_2023!$A$2:$E$3220,5,FALSE))</f>
        <v>43813</v>
      </c>
      <c r="F1349" s="32">
        <v>659479.0</v>
      </c>
      <c r="G1349" s="32">
        <v>43.0</v>
      </c>
      <c r="H1349" s="32" t="str">
        <f>VLOOKUP(D1349, Grid_Region_Mapping!$D$2:$F$5286, 3, FALSE)</f>
        <v>MISW</v>
      </c>
      <c r="I1349" s="32">
        <v>4.0</v>
      </c>
      <c r="J1349" s="34" t="str">
        <f t="shared" si="1"/>
        <v>Midwest</v>
      </c>
      <c r="K1349" s="35">
        <v>1.0</v>
      </c>
      <c r="L1349" s="35" t="s">
        <v>707</v>
      </c>
      <c r="M1349" s="36">
        <f>VLOOKUP(D1349, County_Data_CZones!$B$2:$F$3236, 2, FALSE)</f>
        <v>6</v>
      </c>
      <c r="N1349" s="37" t="str">
        <f>VLOOKUP(D1349, County_Data_CZones!$B$2:$F$3236, 5, FALSE)</f>
        <v>Cold</v>
      </c>
    </row>
    <row r="1350" ht="15.75" customHeight="1">
      <c r="A1350" s="32" t="s">
        <v>1048</v>
      </c>
      <c r="B1350" s="32" t="s">
        <v>1026</v>
      </c>
      <c r="C1350" s="32" t="str">
        <f>vlookup(B1350,State_EMM_RowSums!$A$2:$B$52,2,FALSE)</f>
        <v>MN</v>
      </c>
      <c r="D1350" s="32">
        <v>27069.0</v>
      </c>
      <c r="E1350" s="33">
        <f>IF(NOT(ISBLANK(vlookup($D1350,Pop_Census_2023!$A$2:$E$3220,4,FALSE))),vlookup($D1350,Pop_Census_2023!$A$2:$E$3220,4,FALSE), vlookup($D1350,Pop_Census_2023!$A$2:$E$3220,5,FALSE))</f>
        <v>4060</v>
      </c>
      <c r="F1350" s="32">
        <v>659480.0</v>
      </c>
      <c r="G1350" s="32">
        <v>42.0</v>
      </c>
      <c r="H1350" s="32" t="str">
        <f>VLOOKUP(D1350, Grid_Region_Mapping!$D$2:$F$5286, 3, FALSE)</f>
        <v>MISW</v>
      </c>
      <c r="I1350" s="32">
        <v>4.0</v>
      </c>
      <c r="J1350" s="34" t="str">
        <f t="shared" si="1"/>
        <v>Midwest</v>
      </c>
      <c r="K1350" s="35">
        <v>1.0</v>
      </c>
      <c r="L1350" s="35">
        <v>7.0</v>
      </c>
      <c r="M1350" s="36">
        <f>VLOOKUP(D1350, County_Data_CZones!$B$2:$F$3236, 2, FALSE)</f>
        <v>7</v>
      </c>
      <c r="N1350" s="37" t="str">
        <f>VLOOKUP(D1350, County_Data_CZones!$B$2:$F$3236, 5, FALSE)</f>
        <v>Very Cold</v>
      </c>
    </row>
    <row r="1351" ht="15.75" customHeight="1">
      <c r="A1351" s="32" t="s">
        <v>1049</v>
      </c>
      <c r="B1351" s="32" t="s">
        <v>1026</v>
      </c>
      <c r="C1351" s="32" t="str">
        <f>vlookup(B1351,State_EMM_RowSums!$A$2:$B$52,2,FALSE)</f>
        <v>MN</v>
      </c>
      <c r="D1351" s="32">
        <v>27071.0</v>
      </c>
      <c r="E1351" s="33">
        <f>IF(NOT(ISBLANK(vlookup($D1351,Pop_Census_2023!$A$2:$E$3220,4,FALSE))),vlookup($D1351,Pop_Census_2023!$A$2:$E$3220,4,FALSE), vlookup($D1351,Pop_Census_2023!$A$2:$E$3220,5,FALSE))</f>
        <v>11751</v>
      </c>
      <c r="F1351" s="32">
        <v>659481.0</v>
      </c>
      <c r="G1351" s="32">
        <v>42.0</v>
      </c>
      <c r="H1351" s="32" t="str">
        <f>VLOOKUP(D1351, Grid_Region_Mapping!$D$2:$F$5286, 3, FALSE)</f>
        <v>MISW</v>
      </c>
      <c r="I1351" s="32">
        <v>4.0</v>
      </c>
      <c r="J1351" s="34" t="str">
        <f t="shared" si="1"/>
        <v>Midwest</v>
      </c>
      <c r="K1351" s="35">
        <v>1.0</v>
      </c>
      <c r="L1351" s="35">
        <v>7.0</v>
      </c>
      <c r="M1351" s="36">
        <f>VLOOKUP(D1351, County_Data_CZones!$B$2:$F$3236, 2, FALSE)</f>
        <v>7</v>
      </c>
      <c r="N1351" s="37" t="str">
        <f>VLOOKUP(D1351, County_Data_CZones!$B$2:$F$3236, 5, FALSE)</f>
        <v>Very Cold</v>
      </c>
    </row>
    <row r="1352" ht="15.75" customHeight="1">
      <c r="A1352" s="32" t="s">
        <v>1050</v>
      </c>
      <c r="B1352" s="32" t="s">
        <v>1026</v>
      </c>
      <c r="C1352" s="32" t="str">
        <f>vlookup(B1352,State_EMM_RowSums!$A$2:$B$52,2,FALSE)</f>
        <v>MN</v>
      </c>
      <c r="D1352" s="32">
        <v>27073.0</v>
      </c>
      <c r="E1352" s="33">
        <f>IF(NOT(ISBLANK(vlookup($D1352,Pop_Census_2023!$A$2:$E$3220,4,FALSE))),vlookup($D1352,Pop_Census_2023!$A$2:$E$3220,4,FALSE), vlookup($D1352,Pop_Census_2023!$A$2:$E$3220,5,FALSE))</f>
        <v>6630</v>
      </c>
      <c r="F1352" s="32">
        <v>659482.0</v>
      </c>
      <c r="G1352" s="32">
        <v>44.0</v>
      </c>
      <c r="H1352" s="32" t="str">
        <f>VLOOKUP(D1352, Grid_Region_Mapping!$D$2:$F$5286, 3, FALSE)</f>
        <v>MISW</v>
      </c>
      <c r="I1352" s="32">
        <v>4.0</v>
      </c>
      <c r="J1352" s="34" t="str">
        <f t="shared" si="1"/>
        <v>Midwest</v>
      </c>
      <c r="K1352" s="35">
        <v>1.0</v>
      </c>
      <c r="L1352" s="35" t="s">
        <v>707</v>
      </c>
      <c r="M1352" s="36">
        <f>VLOOKUP(D1352, County_Data_CZones!$B$2:$F$3236, 2, FALSE)</f>
        <v>6</v>
      </c>
      <c r="N1352" s="37" t="str">
        <f>VLOOKUP(D1352, County_Data_CZones!$B$2:$F$3236, 5, FALSE)</f>
        <v>Cold</v>
      </c>
    </row>
    <row r="1353" ht="15.75" customHeight="1">
      <c r="A1353" s="32" t="s">
        <v>298</v>
      </c>
      <c r="B1353" s="32" t="s">
        <v>1026</v>
      </c>
      <c r="C1353" s="32" t="str">
        <f>vlookup(B1353,State_EMM_RowSums!$A$2:$B$52,2,FALSE)</f>
        <v>MN</v>
      </c>
      <c r="D1353" s="32">
        <v>27075.0</v>
      </c>
      <c r="E1353" s="33">
        <f>IF(NOT(ISBLANK(vlookup($D1353,Pop_Census_2023!$A$2:$E$3220,4,FALSE))),vlookup($D1353,Pop_Census_2023!$A$2:$E$3220,4,FALSE), vlookup($D1353,Pop_Census_2023!$A$2:$E$3220,5,FALSE))</f>
        <v>10855</v>
      </c>
      <c r="F1353" s="32">
        <v>659484.0</v>
      </c>
      <c r="G1353" s="32">
        <v>43.0</v>
      </c>
      <c r="H1353" s="32" t="str">
        <f>VLOOKUP(D1353, Grid_Region_Mapping!$D$2:$F$5286, 3, FALSE)</f>
        <v>MISW</v>
      </c>
      <c r="I1353" s="32">
        <v>4.0</v>
      </c>
      <c r="J1353" s="34" t="str">
        <f t="shared" si="1"/>
        <v>Midwest</v>
      </c>
      <c r="K1353" s="35">
        <v>1.0</v>
      </c>
      <c r="L1353" s="35">
        <v>7.0</v>
      </c>
      <c r="M1353" s="36">
        <f>VLOOKUP(D1353, County_Data_CZones!$B$2:$F$3236, 2, FALSE)</f>
        <v>7</v>
      </c>
      <c r="N1353" s="37" t="str">
        <f>VLOOKUP(D1353, County_Data_CZones!$B$2:$F$3236, 5, FALSE)</f>
        <v>Very Cold</v>
      </c>
    </row>
    <row r="1354" ht="15.75" customHeight="1">
      <c r="A1354" s="32" t="s">
        <v>1051</v>
      </c>
      <c r="B1354" s="32" t="s">
        <v>1026</v>
      </c>
      <c r="C1354" s="32" t="str">
        <f>vlookup(B1354,State_EMM_RowSums!$A$2:$B$52,2,FALSE)</f>
        <v>MN</v>
      </c>
      <c r="D1354" s="32">
        <v>27077.0</v>
      </c>
      <c r="E1354" s="33">
        <f>IF(NOT(ISBLANK(vlookup($D1354,Pop_Census_2023!$A$2:$E$3220,4,FALSE))),vlookup($D1354,Pop_Census_2023!$A$2:$E$3220,4,FALSE), vlookup($D1354,Pop_Census_2023!$A$2:$E$3220,5,FALSE))</f>
        <v>3778</v>
      </c>
      <c r="F1354" s="32">
        <v>659483.0</v>
      </c>
      <c r="G1354" s="32">
        <v>42.0</v>
      </c>
      <c r="H1354" s="32" t="str">
        <f>VLOOKUP(D1354, Grid_Region_Mapping!$D$2:$F$5286, 3, FALSE)</f>
        <v>MISW</v>
      </c>
      <c r="I1354" s="32">
        <v>4.0</v>
      </c>
      <c r="J1354" s="34" t="str">
        <f t="shared" si="1"/>
        <v>Midwest</v>
      </c>
      <c r="K1354" s="35">
        <v>1.0</v>
      </c>
      <c r="L1354" s="35">
        <v>7.0</v>
      </c>
      <c r="M1354" s="36">
        <f>VLOOKUP(D1354, County_Data_CZones!$B$2:$F$3236, 2, FALSE)</f>
        <v>7</v>
      </c>
      <c r="N1354" s="37" t="str">
        <f>VLOOKUP(D1354, County_Data_CZones!$B$2:$F$3236, 5, FALSE)</f>
        <v>Very Cold</v>
      </c>
    </row>
    <row r="1355" ht="15.75" customHeight="1">
      <c r="A1355" s="32" t="s">
        <v>1052</v>
      </c>
      <c r="B1355" s="32" t="s">
        <v>1026</v>
      </c>
      <c r="C1355" s="32" t="str">
        <f>vlookup(B1355,State_EMM_RowSums!$A$2:$B$52,2,FALSE)</f>
        <v>MN</v>
      </c>
      <c r="D1355" s="32">
        <v>27079.0</v>
      </c>
      <c r="E1355" s="33">
        <f>IF(NOT(ISBLANK(vlookup($D1355,Pop_Census_2023!$A$2:$E$3220,4,FALSE))),vlookup($D1355,Pop_Census_2023!$A$2:$E$3220,4,FALSE), vlookup($D1355,Pop_Census_2023!$A$2:$E$3220,5,FALSE))</f>
        <v>29255</v>
      </c>
      <c r="F1355" s="32">
        <v>659485.0</v>
      </c>
      <c r="G1355" s="32">
        <v>43.0</v>
      </c>
      <c r="H1355" s="32" t="str">
        <f>VLOOKUP(D1355, Grid_Region_Mapping!$D$2:$F$5286, 3, FALSE)</f>
        <v>MISW</v>
      </c>
      <c r="I1355" s="32">
        <v>4.0</v>
      </c>
      <c r="J1355" s="34" t="str">
        <f t="shared" si="1"/>
        <v>Midwest</v>
      </c>
      <c r="K1355" s="35">
        <v>1.0</v>
      </c>
      <c r="L1355" s="35" t="s">
        <v>707</v>
      </c>
      <c r="M1355" s="36">
        <f>VLOOKUP(D1355, County_Data_CZones!$B$2:$F$3236, 2, FALSE)</f>
        <v>6</v>
      </c>
      <c r="N1355" s="37" t="str">
        <f>VLOOKUP(D1355, County_Data_CZones!$B$2:$F$3236, 5, FALSE)</f>
        <v>Cold</v>
      </c>
    </row>
    <row r="1356" ht="15.75" customHeight="1">
      <c r="A1356" s="32" t="s">
        <v>250</v>
      </c>
      <c r="B1356" s="32" t="s">
        <v>1026</v>
      </c>
      <c r="C1356" s="32" t="str">
        <f>vlookup(B1356,State_EMM_RowSums!$A$2:$B$52,2,FALSE)</f>
        <v>MN</v>
      </c>
      <c r="D1356" s="32">
        <v>27081.0</v>
      </c>
      <c r="E1356" s="33">
        <f>IF(NOT(ISBLANK(vlookup($D1356,Pop_Census_2023!$A$2:$E$3220,4,FALSE))),vlookup($D1356,Pop_Census_2023!$A$2:$E$3220,4,FALSE), vlookup($D1356,Pop_Census_2023!$A$2:$E$3220,5,FALSE))</f>
        <v>5521</v>
      </c>
      <c r="F1356" s="32">
        <v>659486.0</v>
      </c>
      <c r="G1356" s="32">
        <v>44.0</v>
      </c>
      <c r="H1356" s="32" t="str">
        <f>VLOOKUP(D1356, Grid_Region_Mapping!$D$2:$F$5286, 3, FALSE)</f>
        <v>SPPN</v>
      </c>
      <c r="I1356" s="32">
        <v>4.0</v>
      </c>
      <c r="J1356" s="34" t="str">
        <f t="shared" si="1"/>
        <v>Midwest</v>
      </c>
      <c r="K1356" s="35">
        <v>1.0</v>
      </c>
      <c r="L1356" s="35" t="s">
        <v>707</v>
      </c>
      <c r="M1356" s="36">
        <f>VLOOKUP(D1356, County_Data_CZones!$B$2:$F$3236, 2, FALSE)</f>
        <v>6</v>
      </c>
      <c r="N1356" s="37" t="str">
        <f>VLOOKUP(D1356, County_Data_CZones!$B$2:$F$3236, 5, FALSE)</f>
        <v>Cold</v>
      </c>
    </row>
    <row r="1357" ht="15.75" customHeight="1">
      <c r="A1357" s="32" t="s">
        <v>729</v>
      </c>
      <c r="B1357" s="32" t="s">
        <v>1026</v>
      </c>
      <c r="C1357" s="32" t="str">
        <f>vlookup(B1357,State_EMM_RowSums!$A$2:$B$52,2,FALSE)</f>
        <v>MN</v>
      </c>
      <c r="D1357" s="32">
        <v>27083.0</v>
      </c>
      <c r="E1357" s="33">
        <f>IF(NOT(ISBLANK(vlookup($D1357,Pop_Census_2023!$A$2:$E$3220,4,FALSE))),vlookup($D1357,Pop_Census_2023!$A$2:$E$3220,4,FALSE), vlookup($D1357,Pop_Census_2023!$A$2:$E$3220,5,FALSE))</f>
        <v>25427</v>
      </c>
      <c r="F1357" s="32">
        <v>659487.0</v>
      </c>
      <c r="G1357" s="32">
        <v>44.0</v>
      </c>
      <c r="H1357" s="32" t="str">
        <f>VLOOKUP(D1357, Grid_Region_Mapping!$D$2:$F$5286, 3, FALSE)</f>
        <v>SPPN</v>
      </c>
      <c r="I1357" s="32">
        <v>4.0</v>
      </c>
      <c r="J1357" s="34" t="str">
        <f t="shared" si="1"/>
        <v>Midwest</v>
      </c>
      <c r="K1357" s="35">
        <v>1.0</v>
      </c>
      <c r="L1357" s="35" t="s">
        <v>707</v>
      </c>
      <c r="M1357" s="36">
        <f>VLOOKUP(D1357, County_Data_CZones!$B$2:$F$3236, 2, FALSE)</f>
        <v>6</v>
      </c>
      <c r="N1357" s="37" t="str">
        <f>VLOOKUP(D1357, County_Data_CZones!$B$2:$F$3236, 5, FALSE)</f>
        <v>Cold</v>
      </c>
    </row>
    <row r="1358" ht="15.75" customHeight="1">
      <c r="A1358" s="32" t="s">
        <v>1053</v>
      </c>
      <c r="B1358" s="32" t="s">
        <v>1026</v>
      </c>
      <c r="C1358" s="32" t="str">
        <f>vlookup(B1358,State_EMM_RowSums!$A$2:$B$52,2,FALSE)</f>
        <v>MN</v>
      </c>
      <c r="D1358" s="32">
        <v>27085.0</v>
      </c>
      <c r="E1358" s="33">
        <f>IF(NOT(ISBLANK(vlookup($D1358,Pop_Census_2023!$A$2:$E$3220,4,FALSE))),vlookup($D1358,Pop_Census_2023!$A$2:$E$3220,4,FALSE), vlookup($D1358,Pop_Census_2023!$A$2:$E$3220,5,FALSE))</f>
        <v>36785</v>
      </c>
      <c r="F1358" s="32">
        <v>659491.0</v>
      </c>
      <c r="G1358" s="32">
        <v>43.0</v>
      </c>
      <c r="H1358" s="32" t="str">
        <f>VLOOKUP(D1358, Grid_Region_Mapping!$D$2:$F$5286, 3, FALSE)</f>
        <v>MISW</v>
      </c>
      <c r="I1358" s="32">
        <v>4.0</v>
      </c>
      <c r="J1358" s="34" t="str">
        <f t="shared" si="1"/>
        <v>Midwest</v>
      </c>
      <c r="K1358" s="35">
        <v>1.0</v>
      </c>
      <c r="L1358" s="35" t="s">
        <v>707</v>
      </c>
      <c r="M1358" s="36">
        <f>VLOOKUP(D1358, County_Data_CZones!$B$2:$F$3236, 2, FALSE)</f>
        <v>6</v>
      </c>
      <c r="N1358" s="37" t="str">
        <f>VLOOKUP(D1358, County_Data_CZones!$B$2:$F$3236, 5, FALSE)</f>
        <v>Cold</v>
      </c>
    </row>
    <row r="1359" ht="15.75" customHeight="1">
      <c r="A1359" s="32" t="s">
        <v>1054</v>
      </c>
      <c r="B1359" s="32" t="s">
        <v>1026</v>
      </c>
      <c r="C1359" s="32" t="str">
        <f>vlookup(B1359,State_EMM_RowSums!$A$2:$B$52,2,FALSE)</f>
        <v>MN</v>
      </c>
      <c r="D1359" s="32">
        <v>27087.0</v>
      </c>
      <c r="E1359" s="33">
        <f>IF(NOT(ISBLANK(vlookup($D1359,Pop_Census_2023!$A$2:$E$3220,4,FALSE))),vlookup($D1359,Pop_Census_2023!$A$2:$E$3220,4,FALSE), vlookup($D1359,Pop_Census_2023!$A$2:$E$3220,5,FALSE))</f>
        <v>5280</v>
      </c>
      <c r="F1359" s="32">
        <v>659488.0</v>
      </c>
      <c r="G1359" s="32">
        <v>42.0</v>
      </c>
      <c r="H1359" s="32" t="str">
        <f>VLOOKUP(D1359, Grid_Region_Mapping!$D$2:$F$5286, 3, FALSE)</f>
        <v>MISW</v>
      </c>
      <c r="I1359" s="32">
        <v>4.0</v>
      </c>
      <c r="J1359" s="34" t="str">
        <f t="shared" si="1"/>
        <v>Midwest</v>
      </c>
      <c r="K1359" s="35">
        <v>1.0</v>
      </c>
      <c r="L1359" s="35">
        <v>7.0</v>
      </c>
      <c r="M1359" s="36">
        <f>VLOOKUP(D1359, County_Data_CZones!$B$2:$F$3236, 2, FALSE)</f>
        <v>7</v>
      </c>
      <c r="N1359" s="37" t="str">
        <f>VLOOKUP(D1359, County_Data_CZones!$B$2:$F$3236, 5, FALSE)</f>
        <v>Very Cold</v>
      </c>
    </row>
    <row r="1360" ht="15.75" customHeight="1">
      <c r="A1360" s="32" t="s">
        <v>150</v>
      </c>
      <c r="B1360" s="32" t="s">
        <v>1026</v>
      </c>
      <c r="C1360" s="32" t="str">
        <f>vlookup(B1360,State_EMM_RowSums!$A$2:$B$52,2,FALSE)</f>
        <v>MN</v>
      </c>
      <c r="D1360" s="32">
        <v>27089.0</v>
      </c>
      <c r="E1360" s="33">
        <f>IF(NOT(ISBLANK(vlookup($D1360,Pop_Census_2023!$A$2:$E$3220,4,FALSE))),vlookup($D1360,Pop_Census_2023!$A$2:$E$3220,4,FALSE), vlookup($D1360,Pop_Census_2023!$A$2:$E$3220,5,FALSE))</f>
        <v>8810</v>
      </c>
      <c r="F1360" s="32">
        <v>659489.0</v>
      </c>
      <c r="G1360" s="32">
        <v>42.0</v>
      </c>
      <c r="H1360" s="32" t="str">
        <f>VLOOKUP(D1360, Grid_Region_Mapping!$D$2:$F$5286, 3, FALSE)</f>
        <v>MISW</v>
      </c>
      <c r="I1360" s="32">
        <v>4.0</v>
      </c>
      <c r="J1360" s="34" t="str">
        <f t="shared" si="1"/>
        <v>Midwest</v>
      </c>
      <c r="K1360" s="35">
        <v>1.0</v>
      </c>
      <c r="L1360" s="35">
        <v>7.0</v>
      </c>
      <c r="M1360" s="36">
        <f>VLOOKUP(D1360, County_Data_CZones!$B$2:$F$3236, 2, FALSE)</f>
        <v>7</v>
      </c>
      <c r="N1360" s="37" t="str">
        <f>VLOOKUP(D1360, County_Data_CZones!$B$2:$F$3236, 5, FALSE)</f>
        <v>Very Cold</v>
      </c>
    </row>
    <row r="1361" ht="15.75" customHeight="1">
      <c r="A1361" s="32" t="s">
        <v>440</v>
      </c>
      <c r="B1361" s="32" t="s">
        <v>1026</v>
      </c>
      <c r="C1361" s="32" t="str">
        <f>vlookup(B1361,State_EMM_RowSums!$A$2:$B$52,2,FALSE)</f>
        <v>MN</v>
      </c>
      <c r="D1361" s="32">
        <v>27091.0</v>
      </c>
      <c r="E1361" s="33">
        <f>IF(NOT(ISBLANK(vlookup($D1361,Pop_Census_2023!$A$2:$E$3220,4,FALSE))),vlookup($D1361,Pop_Census_2023!$A$2:$E$3220,4,FALSE), vlookup($D1361,Pop_Census_2023!$A$2:$E$3220,5,FALSE))</f>
        <v>19657</v>
      </c>
      <c r="F1361" s="32">
        <v>659490.0</v>
      </c>
      <c r="G1361" s="32">
        <v>68.0</v>
      </c>
      <c r="H1361" s="32" t="str">
        <f>VLOOKUP(D1361, Grid_Region_Mapping!$D$2:$F$5286, 3, FALSE)</f>
        <v>MISW</v>
      </c>
      <c r="I1361" s="32">
        <v>4.0</v>
      </c>
      <c r="J1361" s="34" t="str">
        <f t="shared" si="1"/>
        <v>Midwest</v>
      </c>
      <c r="K1361" s="35">
        <v>1.0</v>
      </c>
      <c r="L1361" s="35" t="s">
        <v>707</v>
      </c>
      <c r="M1361" s="36">
        <f>VLOOKUP(D1361, County_Data_CZones!$B$2:$F$3236, 2, FALSE)</f>
        <v>6</v>
      </c>
      <c r="N1361" s="37" t="str">
        <f>VLOOKUP(D1361, County_Data_CZones!$B$2:$F$3236, 5, FALSE)</f>
        <v>Cold</v>
      </c>
    </row>
    <row r="1362" ht="15.75" customHeight="1">
      <c r="A1362" s="32" t="s">
        <v>1055</v>
      </c>
      <c r="B1362" s="32" t="s">
        <v>1026</v>
      </c>
      <c r="C1362" s="32" t="str">
        <f>vlookup(B1362,State_EMM_RowSums!$A$2:$B$52,2,FALSE)</f>
        <v>MN</v>
      </c>
      <c r="D1362" s="32">
        <v>27093.0</v>
      </c>
      <c r="E1362" s="33">
        <f>IF(NOT(ISBLANK(vlookup($D1362,Pop_Census_2023!$A$2:$E$3220,4,FALSE))),vlookup($D1362,Pop_Census_2023!$A$2:$E$3220,4,FALSE), vlookup($D1362,Pop_Census_2023!$A$2:$E$3220,5,FALSE))</f>
        <v>23490</v>
      </c>
      <c r="F1362" s="32">
        <v>659492.0</v>
      </c>
      <c r="G1362" s="32">
        <v>43.0</v>
      </c>
      <c r="H1362" s="32" t="str">
        <f>VLOOKUP(D1362, Grid_Region_Mapping!$D$2:$F$5286, 3, FALSE)</f>
        <v>MISW</v>
      </c>
      <c r="I1362" s="32">
        <v>4.0</v>
      </c>
      <c r="J1362" s="34" t="str">
        <f t="shared" si="1"/>
        <v>Midwest</v>
      </c>
      <c r="K1362" s="35">
        <v>1.0</v>
      </c>
      <c r="L1362" s="35" t="s">
        <v>707</v>
      </c>
      <c r="M1362" s="36">
        <f>VLOOKUP(D1362, County_Data_CZones!$B$2:$F$3236, 2, FALSE)</f>
        <v>6</v>
      </c>
      <c r="N1362" s="37" t="str">
        <f>VLOOKUP(D1362, County_Data_CZones!$B$2:$F$3236, 5, FALSE)</f>
        <v>Cold</v>
      </c>
    </row>
    <row r="1363" ht="15.75" customHeight="1">
      <c r="A1363" s="32" t="s">
        <v>1056</v>
      </c>
      <c r="B1363" s="32" t="s">
        <v>1026</v>
      </c>
      <c r="C1363" s="32" t="str">
        <f>vlookup(B1363,State_EMM_RowSums!$A$2:$B$52,2,FALSE)</f>
        <v>MN</v>
      </c>
      <c r="D1363" s="32">
        <v>27095.0</v>
      </c>
      <c r="E1363" s="33">
        <f>IF(NOT(ISBLANK(vlookup($D1363,Pop_Census_2023!$A$2:$E$3220,4,FALSE))),vlookup($D1363,Pop_Census_2023!$A$2:$E$3220,4,FALSE), vlookup($D1363,Pop_Census_2023!$A$2:$E$3220,5,FALSE))</f>
        <v>27427</v>
      </c>
      <c r="F1363" s="32">
        <v>659493.0</v>
      </c>
      <c r="G1363" s="32">
        <v>43.0</v>
      </c>
      <c r="H1363" s="32" t="str">
        <f>VLOOKUP(D1363, Grid_Region_Mapping!$D$2:$F$5286, 3, FALSE)</f>
        <v>MISW</v>
      </c>
      <c r="I1363" s="32">
        <v>4.0</v>
      </c>
      <c r="J1363" s="34" t="str">
        <f t="shared" si="1"/>
        <v>Midwest</v>
      </c>
      <c r="K1363" s="35">
        <v>1.0</v>
      </c>
      <c r="L1363" s="35">
        <v>7.0</v>
      </c>
      <c r="M1363" s="36">
        <f>VLOOKUP(D1363, County_Data_CZones!$B$2:$F$3236, 2, FALSE)</f>
        <v>7</v>
      </c>
      <c r="N1363" s="37" t="str">
        <f>VLOOKUP(D1363, County_Data_CZones!$B$2:$F$3236, 5, FALSE)</f>
        <v>Very Cold</v>
      </c>
    </row>
    <row r="1364" ht="15.75" customHeight="1">
      <c r="A1364" s="32" t="s">
        <v>1057</v>
      </c>
      <c r="B1364" s="32" t="s">
        <v>1026</v>
      </c>
      <c r="C1364" s="32" t="str">
        <f>vlookup(B1364,State_EMM_RowSums!$A$2:$B$52,2,FALSE)</f>
        <v>MN</v>
      </c>
      <c r="D1364" s="32">
        <v>27097.0</v>
      </c>
      <c r="E1364" s="33">
        <f>IF(NOT(ISBLANK(vlookup($D1364,Pop_Census_2023!$A$2:$E$3220,4,FALSE))),vlookup($D1364,Pop_Census_2023!$A$2:$E$3220,4,FALSE), vlookup($D1364,Pop_Census_2023!$A$2:$E$3220,5,FALSE))</f>
        <v>34250</v>
      </c>
      <c r="F1364" s="32">
        <v>659494.0</v>
      </c>
      <c r="G1364" s="32">
        <v>43.0</v>
      </c>
      <c r="H1364" s="32" t="str">
        <f>VLOOKUP(D1364, Grid_Region_Mapping!$D$2:$F$5286, 3, FALSE)</f>
        <v>MISW</v>
      </c>
      <c r="I1364" s="32">
        <v>4.0</v>
      </c>
      <c r="J1364" s="34" t="str">
        <f t="shared" si="1"/>
        <v>Midwest</v>
      </c>
      <c r="K1364" s="35">
        <v>1.0</v>
      </c>
      <c r="L1364" s="35" t="s">
        <v>707</v>
      </c>
      <c r="M1364" s="36">
        <f>VLOOKUP(D1364, County_Data_CZones!$B$2:$F$3236, 2, FALSE)</f>
        <v>6</v>
      </c>
      <c r="N1364" s="37" t="str">
        <f>VLOOKUP(D1364, County_Data_CZones!$B$2:$F$3236, 5, FALSE)</f>
        <v>Cold</v>
      </c>
    </row>
    <row r="1365" ht="15.75" customHeight="1">
      <c r="A1365" s="32" t="s">
        <v>1058</v>
      </c>
      <c r="B1365" s="32" t="s">
        <v>1026</v>
      </c>
      <c r="C1365" s="32" t="str">
        <f>vlookup(B1365,State_EMM_RowSums!$A$2:$B$52,2,FALSE)</f>
        <v>MN</v>
      </c>
      <c r="D1365" s="32">
        <v>27099.0</v>
      </c>
      <c r="E1365" s="33">
        <f>IF(NOT(ISBLANK(vlookup($D1365,Pop_Census_2023!$A$2:$E$3220,4,FALSE))),vlookup($D1365,Pop_Census_2023!$A$2:$E$3220,4,FALSE), vlookup($D1365,Pop_Census_2023!$A$2:$E$3220,5,FALSE))</f>
        <v>40058</v>
      </c>
      <c r="F1365" s="32">
        <v>659495.0</v>
      </c>
      <c r="G1365" s="32">
        <v>68.0</v>
      </c>
      <c r="H1365" s="32" t="str">
        <f>VLOOKUP(D1365, Grid_Region_Mapping!$D$2:$F$5286, 3, FALSE)</f>
        <v>MISW</v>
      </c>
      <c r="I1365" s="32">
        <v>4.0</v>
      </c>
      <c r="J1365" s="34" t="str">
        <f t="shared" si="1"/>
        <v>Midwest</v>
      </c>
      <c r="K1365" s="35">
        <v>1.0</v>
      </c>
      <c r="L1365" s="35" t="s">
        <v>707</v>
      </c>
      <c r="M1365" s="36">
        <f>VLOOKUP(D1365, County_Data_CZones!$B$2:$F$3236, 2, FALSE)</f>
        <v>6</v>
      </c>
      <c r="N1365" s="37" t="str">
        <f>VLOOKUP(D1365, County_Data_CZones!$B$2:$F$3236, 5, FALSE)</f>
        <v>Cold</v>
      </c>
    </row>
    <row r="1366" ht="15.75" customHeight="1">
      <c r="A1366" s="32" t="s">
        <v>530</v>
      </c>
      <c r="B1366" s="32" t="s">
        <v>1026</v>
      </c>
      <c r="C1366" s="32" t="str">
        <f>vlookup(B1366,State_EMM_RowSums!$A$2:$B$52,2,FALSE)</f>
        <v>MN</v>
      </c>
      <c r="D1366" s="32">
        <v>27101.0</v>
      </c>
      <c r="E1366" s="33">
        <f>IF(NOT(ISBLANK(vlookup($D1366,Pop_Census_2023!$A$2:$E$3220,4,FALSE))),vlookup($D1366,Pop_Census_2023!$A$2:$E$3220,4,FALSE), vlookup($D1366,Pop_Census_2023!$A$2:$E$3220,5,FALSE))</f>
        <v>8049</v>
      </c>
      <c r="F1366" s="32">
        <v>659496.0</v>
      </c>
      <c r="G1366" s="32">
        <v>44.0</v>
      </c>
      <c r="H1366" s="32" t="str">
        <f>VLOOKUP(D1366, Grid_Region_Mapping!$D$2:$F$5286, 3, FALSE)</f>
        <v>SPPN</v>
      </c>
      <c r="I1366" s="32">
        <v>4.0</v>
      </c>
      <c r="J1366" s="34" t="str">
        <f t="shared" si="1"/>
        <v>Midwest</v>
      </c>
      <c r="K1366" s="35">
        <v>1.0</v>
      </c>
      <c r="L1366" s="35" t="s">
        <v>707</v>
      </c>
      <c r="M1366" s="36">
        <f>VLOOKUP(D1366, County_Data_CZones!$B$2:$F$3236, 2, FALSE)</f>
        <v>6</v>
      </c>
      <c r="N1366" s="37" t="str">
        <f>VLOOKUP(D1366, County_Data_CZones!$B$2:$F$3236, 5, FALSE)</f>
        <v>Cold</v>
      </c>
    </row>
    <row r="1367" ht="15.75" customHeight="1">
      <c r="A1367" s="32" t="s">
        <v>1059</v>
      </c>
      <c r="B1367" s="32" t="s">
        <v>1026</v>
      </c>
      <c r="C1367" s="32" t="str">
        <f>vlookup(B1367,State_EMM_RowSums!$A$2:$B$52,2,FALSE)</f>
        <v>MN</v>
      </c>
      <c r="D1367" s="32">
        <v>27103.0</v>
      </c>
      <c r="E1367" s="33">
        <f>IF(NOT(ISBLANK(vlookup($D1367,Pop_Census_2023!$A$2:$E$3220,4,FALSE))),vlookup($D1367,Pop_Census_2023!$A$2:$E$3220,4,FALSE), vlookup($D1367,Pop_Census_2023!$A$2:$E$3220,5,FALSE))</f>
        <v>34242</v>
      </c>
      <c r="F1367" s="32">
        <v>659497.0</v>
      </c>
      <c r="G1367" s="32">
        <v>68.0</v>
      </c>
      <c r="H1367" s="32" t="str">
        <f>VLOOKUP(D1367, Grid_Region_Mapping!$D$2:$F$5286, 3, FALSE)</f>
        <v>MISW</v>
      </c>
      <c r="I1367" s="32">
        <v>4.0</v>
      </c>
      <c r="J1367" s="34" t="str">
        <f t="shared" si="1"/>
        <v>Midwest</v>
      </c>
      <c r="K1367" s="35">
        <v>1.0</v>
      </c>
      <c r="L1367" s="35" t="s">
        <v>707</v>
      </c>
      <c r="M1367" s="36">
        <f>VLOOKUP(D1367, County_Data_CZones!$B$2:$F$3236, 2, FALSE)</f>
        <v>6</v>
      </c>
      <c r="N1367" s="37" t="str">
        <f>VLOOKUP(D1367, County_Data_CZones!$B$2:$F$3236, 5, FALSE)</f>
        <v>Cold</v>
      </c>
    </row>
    <row r="1368" ht="15.75" customHeight="1">
      <c r="A1368" s="32" t="s">
        <v>1060</v>
      </c>
      <c r="B1368" s="32" t="s">
        <v>1026</v>
      </c>
      <c r="C1368" s="32" t="str">
        <f>vlookup(B1368,State_EMM_RowSums!$A$2:$B$52,2,FALSE)</f>
        <v>MN</v>
      </c>
      <c r="D1368" s="32">
        <v>27105.0</v>
      </c>
      <c r="E1368" s="33">
        <f>IF(NOT(ISBLANK(vlookup($D1368,Pop_Census_2023!$A$2:$E$3220,4,FALSE))),vlookup($D1368,Pop_Census_2023!$A$2:$E$3220,4,FALSE), vlookup($D1368,Pop_Census_2023!$A$2:$E$3220,5,FALSE))</f>
        <v>21727</v>
      </c>
      <c r="F1368" s="32">
        <v>659498.0</v>
      </c>
      <c r="G1368" s="32">
        <v>44.0</v>
      </c>
      <c r="H1368" s="32" t="str">
        <f>VLOOKUP(D1368, Grid_Region_Mapping!$D$2:$F$5286, 3, FALSE)</f>
        <v>MISW</v>
      </c>
      <c r="I1368" s="32">
        <v>4.0</v>
      </c>
      <c r="J1368" s="34" t="str">
        <f t="shared" si="1"/>
        <v>Midwest</v>
      </c>
      <c r="K1368" s="35">
        <v>1.0</v>
      </c>
      <c r="L1368" s="35" t="s">
        <v>707</v>
      </c>
      <c r="M1368" s="36">
        <f>VLOOKUP(D1368, County_Data_CZones!$B$2:$F$3236, 2, FALSE)</f>
        <v>6</v>
      </c>
      <c r="N1368" s="37" t="str">
        <f>VLOOKUP(D1368, County_Data_CZones!$B$2:$F$3236, 5, FALSE)</f>
        <v>Cold</v>
      </c>
    </row>
    <row r="1369" ht="15.75" customHeight="1">
      <c r="A1369" s="32" t="s">
        <v>1061</v>
      </c>
      <c r="B1369" s="32" t="s">
        <v>1026</v>
      </c>
      <c r="C1369" s="32" t="str">
        <f>vlookup(B1369,State_EMM_RowSums!$A$2:$B$52,2,FALSE)</f>
        <v>MN</v>
      </c>
      <c r="D1369" s="32">
        <v>27107.0</v>
      </c>
      <c r="E1369" s="33">
        <f>IF(NOT(ISBLANK(vlookup($D1369,Pop_Census_2023!$A$2:$E$3220,4,FALSE))),vlookup($D1369,Pop_Census_2023!$A$2:$E$3220,4,FALSE), vlookup($D1369,Pop_Census_2023!$A$2:$E$3220,5,FALSE))</f>
        <v>6329</v>
      </c>
      <c r="F1369" s="32">
        <v>659499.0</v>
      </c>
      <c r="G1369" s="32">
        <v>42.0</v>
      </c>
      <c r="H1369" s="32" t="str">
        <f>VLOOKUP(D1369, Grid_Region_Mapping!$D$2:$F$5286, 3, FALSE)</f>
        <v>MISW</v>
      </c>
      <c r="I1369" s="32">
        <v>4.0</v>
      </c>
      <c r="J1369" s="34" t="str">
        <f t="shared" si="1"/>
        <v>Midwest</v>
      </c>
      <c r="K1369" s="35">
        <v>1.0</v>
      </c>
      <c r="L1369" s="35">
        <v>7.0</v>
      </c>
      <c r="M1369" s="36">
        <f>VLOOKUP(D1369, County_Data_CZones!$B$2:$F$3236, 2, FALSE)</f>
        <v>7</v>
      </c>
      <c r="N1369" s="37" t="str">
        <f>VLOOKUP(D1369, County_Data_CZones!$B$2:$F$3236, 5, FALSE)</f>
        <v>Very Cold</v>
      </c>
    </row>
    <row r="1370" ht="15.75" customHeight="1">
      <c r="A1370" s="32" t="s">
        <v>1062</v>
      </c>
      <c r="B1370" s="32" t="s">
        <v>1026</v>
      </c>
      <c r="C1370" s="32" t="str">
        <f>vlookup(B1370,State_EMM_RowSums!$A$2:$B$52,2,FALSE)</f>
        <v>MN</v>
      </c>
      <c r="D1370" s="32">
        <v>27109.0</v>
      </c>
      <c r="E1370" s="33">
        <f>IF(NOT(ISBLANK(vlookup($D1370,Pop_Census_2023!$A$2:$E$3220,4,FALSE))),vlookup($D1370,Pop_Census_2023!$A$2:$E$3220,4,FALSE), vlookup($D1370,Pop_Census_2023!$A$2:$E$3220,5,FALSE))</f>
        <v>164784</v>
      </c>
      <c r="F1370" s="32">
        <v>659500.0</v>
      </c>
      <c r="G1370" s="32">
        <v>43.0</v>
      </c>
      <c r="H1370" s="32" t="str">
        <f>VLOOKUP(D1370, Grid_Region_Mapping!$D$2:$F$5286, 3, FALSE)</f>
        <v>MISW</v>
      </c>
      <c r="I1370" s="32">
        <v>4.0</v>
      </c>
      <c r="J1370" s="34" t="str">
        <f t="shared" si="1"/>
        <v>Midwest</v>
      </c>
      <c r="K1370" s="35">
        <v>1.0</v>
      </c>
      <c r="L1370" s="35" t="s">
        <v>707</v>
      </c>
      <c r="M1370" s="36">
        <f>VLOOKUP(D1370, County_Data_CZones!$B$2:$F$3236, 2, FALSE)</f>
        <v>6</v>
      </c>
      <c r="N1370" s="37" t="str">
        <f>VLOOKUP(D1370, County_Data_CZones!$B$2:$F$3236, 5, FALSE)</f>
        <v>Cold</v>
      </c>
    </row>
    <row r="1371" ht="15.75" customHeight="1">
      <c r="A1371" s="32" t="s">
        <v>1063</v>
      </c>
      <c r="B1371" s="32" t="s">
        <v>1026</v>
      </c>
      <c r="C1371" s="32" t="str">
        <f>vlookup(B1371,State_EMM_RowSums!$A$2:$B$52,2,FALSE)</f>
        <v>MN</v>
      </c>
      <c r="D1371" s="32">
        <v>27111.0</v>
      </c>
      <c r="E1371" s="33">
        <f>IF(NOT(ISBLANK(vlookup($D1371,Pop_Census_2023!$A$2:$E$3220,4,FALSE))),vlookup($D1371,Pop_Census_2023!$A$2:$E$3220,4,FALSE), vlookup($D1371,Pop_Census_2023!$A$2:$E$3220,5,FALSE))</f>
        <v>60626</v>
      </c>
      <c r="F1371" s="32">
        <v>659501.0</v>
      </c>
      <c r="G1371" s="32">
        <v>43.0</v>
      </c>
      <c r="H1371" s="32" t="str">
        <f>VLOOKUP(D1371, Grid_Region_Mapping!$D$2:$F$5286, 3, FALSE)</f>
        <v>SPPN</v>
      </c>
      <c r="I1371" s="32">
        <v>4.0</v>
      </c>
      <c r="J1371" s="34" t="str">
        <f t="shared" si="1"/>
        <v>Midwest</v>
      </c>
      <c r="K1371" s="35">
        <v>1.0</v>
      </c>
      <c r="L1371" s="35">
        <v>7.0</v>
      </c>
      <c r="M1371" s="36">
        <f>VLOOKUP(D1371, County_Data_CZones!$B$2:$F$3236, 2, FALSE)</f>
        <v>7</v>
      </c>
      <c r="N1371" s="37" t="str">
        <f>VLOOKUP(D1371, County_Data_CZones!$B$2:$F$3236, 5, FALSE)</f>
        <v>Very Cold</v>
      </c>
    </row>
    <row r="1372" ht="15.75" customHeight="1">
      <c r="A1372" s="32" t="s">
        <v>1064</v>
      </c>
      <c r="B1372" s="32" t="s">
        <v>1026</v>
      </c>
      <c r="C1372" s="32" t="str">
        <f>vlookup(B1372,State_EMM_RowSums!$A$2:$B$52,2,FALSE)</f>
        <v>MN</v>
      </c>
      <c r="D1372" s="32">
        <v>27113.0</v>
      </c>
      <c r="E1372" s="33">
        <f>IF(NOT(ISBLANK(vlookup($D1372,Pop_Census_2023!$A$2:$E$3220,4,FALSE))),vlookup($D1372,Pop_Census_2023!$A$2:$E$3220,4,FALSE), vlookup($D1372,Pop_Census_2023!$A$2:$E$3220,5,FALSE))</f>
        <v>13714</v>
      </c>
      <c r="F1372" s="32">
        <v>659502.0</v>
      </c>
      <c r="G1372" s="32">
        <v>42.0</v>
      </c>
      <c r="H1372" s="32" t="str">
        <f>VLOOKUP(D1372, Grid_Region_Mapping!$D$2:$F$5286, 3, FALSE)</f>
        <v>MISW</v>
      </c>
      <c r="I1372" s="32">
        <v>4.0</v>
      </c>
      <c r="J1372" s="34" t="str">
        <f t="shared" si="1"/>
        <v>Midwest</v>
      </c>
      <c r="K1372" s="35">
        <v>1.0</v>
      </c>
      <c r="L1372" s="35">
        <v>7.0</v>
      </c>
      <c r="M1372" s="36">
        <f>VLOOKUP(D1372, County_Data_CZones!$B$2:$F$3236, 2, FALSE)</f>
        <v>7</v>
      </c>
      <c r="N1372" s="37" t="str">
        <f>VLOOKUP(D1372, County_Data_CZones!$B$2:$F$3236, 5, FALSE)</f>
        <v>Very Cold</v>
      </c>
    </row>
    <row r="1373" ht="15.75" customHeight="1">
      <c r="A1373" s="32" t="s">
        <v>1065</v>
      </c>
      <c r="B1373" s="32" t="s">
        <v>1026</v>
      </c>
      <c r="C1373" s="32" t="str">
        <f>vlookup(B1373,State_EMM_RowSums!$A$2:$B$52,2,FALSE)</f>
        <v>MN</v>
      </c>
      <c r="D1373" s="32">
        <v>27115.0</v>
      </c>
      <c r="E1373" s="33">
        <f>IF(NOT(ISBLANK(vlookup($D1373,Pop_Census_2023!$A$2:$E$3220,4,FALSE))),vlookup($D1373,Pop_Census_2023!$A$2:$E$3220,4,FALSE), vlookup($D1373,Pop_Census_2023!$A$2:$E$3220,5,FALSE))</f>
        <v>30197</v>
      </c>
      <c r="F1373" s="32">
        <v>659503.0</v>
      </c>
      <c r="G1373" s="32">
        <v>43.0</v>
      </c>
      <c r="H1373" s="32" t="str">
        <f>VLOOKUP(D1373, Grid_Region_Mapping!$D$2:$F$5286, 3, FALSE)</f>
        <v>MISW</v>
      </c>
      <c r="I1373" s="32">
        <v>4.0</v>
      </c>
      <c r="J1373" s="34" t="str">
        <f t="shared" si="1"/>
        <v>Midwest</v>
      </c>
      <c r="K1373" s="35">
        <v>1.0</v>
      </c>
      <c r="L1373" s="35">
        <v>7.0</v>
      </c>
      <c r="M1373" s="36">
        <f>VLOOKUP(D1373, County_Data_CZones!$B$2:$F$3236, 2, FALSE)</f>
        <v>7</v>
      </c>
      <c r="N1373" s="37" t="str">
        <f>VLOOKUP(D1373, County_Data_CZones!$B$2:$F$3236, 5, FALSE)</f>
        <v>Very Cold</v>
      </c>
    </row>
    <row r="1374" ht="15.75" customHeight="1">
      <c r="A1374" s="32" t="s">
        <v>1066</v>
      </c>
      <c r="B1374" s="32" t="s">
        <v>1026</v>
      </c>
      <c r="C1374" s="32" t="str">
        <f>vlookup(B1374,State_EMM_RowSums!$A$2:$B$52,2,FALSE)</f>
        <v>MN</v>
      </c>
      <c r="D1374" s="32">
        <v>27117.0</v>
      </c>
      <c r="E1374" s="33">
        <f>IF(NOT(ISBLANK(vlookup($D1374,Pop_Census_2023!$A$2:$E$3220,4,FALSE))),vlookup($D1374,Pop_Census_2023!$A$2:$E$3220,4,FALSE), vlookup($D1374,Pop_Census_2023!$A$2:$E$3220,5,FALSE))</f>
        <v>9245</v>
      </c>
      <c r="F1374" s="32">
        <v>659504.0</v>
      </c>
      <c r="G1374" s="32">
        <v>44.0</v>
      </c>
      <c r="H1374" s="32" t="str">
        <f>VLOOKUP(D1374, Grid_Region_Mapping!$D$2:$F$5286, 3, FALSE)</f>
        <v>SPPN</v>
      </c>
      <c r="I1374" s="32">
        <v>4.0</v>
      </c>
      <c r="J1374" s="34" t="str">
        <f t="shared" si="1"/>
        <v>Midwest</v>
      </c>
      <c r="K1374" s="35">
        <v>1.0</v>
      </c>
      <c r="L1374" s="35" t="s">
        <v>707</v>
      </c>
      <c r="M1374" s="36">
        <f>VLOOKUP(D1374, County_Data_CZones!$B$2:$F$3236, 2, FALSE)</f>
        <v>6</v>
      </c>
      <c r="N1374" s="37" t="str">
        <f>VLOOKUP(D1374, County_Data_CZones!$B$2:$F$3236, 5, FALSE)</f>
        <v>Cold</v>
      </c>
    </row>
    <row r="1375" ht="15.75" customHeight="1">
      <c r="A1375" s="32" t="s">
        <v>261</v>
      </c>
      <c r="B1375" s="32" t="s">
        <v>1026</v>
      </c>
      <c r="C1375" s="32" t="str">
        <f>vlookup(B1375,State_EMM_RowSums!$A$2:$B$52,2,FALSE)</f>
        <v>MN</v>
      </c>
      <c r="D1375" s="32">
        <v>27119.0</v>
      </c>
      <c r="E1375" s="33">
        <f>IF(NOT(ISBLANK(vlookup($D1375,Pop_Census_2023!$A$2:$E$3220,4,FALSE))),vlookup($D1375,Pop_Census_2023!$A$2:$E$3220,4,FALSE), vlookup($D1375,Pop_Census_2023!$A$2:$E$3220,5,FALSE))</f>
        <v>30412</v>
      </c>
      <c r="F1375" s="32">
        <v>659505.0</v>
      </c>
      <c r="G1375" s="32">
        <v>42.0</v>
      </c>
      <c r="H1375" s="32" t="str">
        <f>VLOOKUP(D1375, Grid_Region_Mapping!$D$2:$F$5286, 3, FALSE)</f>
        <v>SPPN</v>
      </c>
      <c r="I1375" s="32">
        <v>4.0</v>
      </c>
      <c r="J1375" s="34" t="str">
        <f t="shared" si="1"/>
        <v>Midwest</v>
      </c>
      <c r="K1375" s="35">
        <v>1.0</v>
      </c>
      <c r="L1375" s="35">
        <v>7.0</v>
      </c>
      <c r="M1375" s="36">
        <f>VLOOKUP(D1375, County_Data_CZones!$B$2:$F$3236, 2, FALSE)</f>
        <v>7</v>
      </c>
      <c r="N1375" s="37" t="str">
        <f>VLOOKUP(D1375, County_Data_CZones!$B$2:$F$3236, 5, FALSE)</f>
        <v>Very Cold</v>
      </c>
    </row>
    <row r="1376" ht="15.75" customHeight="1">
      <c r="A1376" s="32" t="s">
        <v>262</v>
      </c>
      <c r="B1376" s="32" t="s">
        <v>1026</v>
      </c>
      <c r="C1376" s="32" t="str">
        <f>vlookup(B1376,State_EMM_RowSums!$A$2:$B$52,2,FALSE)</f>
        <v>MN</v>
      </c>
      <c r="D1376" s="32">
        <v>27121.0</v>
      </c>
      <c r="E1376" s="33">
        <f>IF(NOT(ISBLANK(vlookup($D1376,Pop_Census_2023!$A$2:$E$3220,4,FALSE))),vlookup($D1376,Pop_Census_2023!$A$2:$E$3220,4,FALSE), vlookup($D1376,Pop_Census_2023!$A$2:$E$3220,5,FALSE))</f>
        <v>11400</v>
      </c>
      <c r="F1376" s="32">
        <v>659506.0</v>
      </c>
      <c r="G1376" s="32">
        <v>43.0</v>
      </c>
      <c r="H1376" s="32" t="str">
        <f>VLOOKUP(D1376, Grid_Region_Mapping!$D$2:$F$5286, 3, FALSE)</f>
        <v>MISW</v>
      </c>
      <c r="I1376" s="32">
        <v>4.0</v>
      </c>
      <c r="J1376" s="34" t="str">
        <f t="shared" si="1"/>
        <v>Midwest</v>
      </c>
      <c r="K1376" s="35">
        <v>1.0</v>
      </c>
      <c r="L1376" s="35" t="s">
        <v>707</v>
      </c>
      <c r="M1376" s="36">
        <f>VLOOKUP(D1376, County_Data_CZones!$B$2:$F$3236, 2, FALSE)</f>
        <v>6</v>
      </c>
      <c r="N1376" s="37" t="str">
        <f>VLOOKUP(D1376, County_Data_CZones!$B$2:$F$3236, 5, FALSE)</f>
        <v>Cold</v>
      </c>
    </row>
    <row r="1377" ht="15.75" customHeight="1">
      <c r="A1377" s="32" t="s">
        <v>1067</v>
      </c>
      <c r="B1377" s="32" t="s">
        <v>1026</v>
      </c>
      <c r="C1377" s="32" t="str">
        <f>vlookup(B1377,State_EMM_RowSums!$A$2:$B$52,2,FALSE)</f>
        <v>MN</v>
      </c>
      <c r="D1377" s="32">
        <v>27123.0</v>
      </c>
      <c r="E1377" s="33">
        <f>IF(NOT(ISBLANK(vlookup($D1377,Pop_Census_2023!$A$2:$E$3220,4,FALSE))),vlookup($D1377,Pop_Census_2023!$A$2:$E$3220,4,FALSE), vlookup($D1377,Pop_Census_2023!$A$2:$E$3220,5,FALSE))</f>
        <v>536075</v>
      </c>
      <c r="F1377" s="32">
        <v>659507.0</v>
      </c>
      <c r="G1377" s="32">
        <v>43.0</v>
      </c>
      <c r="H1377" s="32" t="str">
        <f>VLOOKUP(D1377, Grid_Region_Mapping!$D$2:$F$5286, 3, FALSE)</f>
        <v>MISW</v>
      </c>
      <c r="I1377" s="32">
        <v>4.0</v>
      </c>
      <c r="J1377" s="34" t="str">
        <f t="shared" si="1"/>
        <v>Midwest</v>
      </c>
      <c r="K1377" s="35">
        <v>1.0</v>
      </c>
      <c r="L1377" s="35" t="s">
        <v>707</v>
      </c>
      <c r="M1377" s="36">
        <f>VLOOKUP(D1377, County_Data_CZones!$B$2:$F$3236, 2, FALSE)</f>
        <v>6</v>
      </c>
      <c r="N1377" s="37" t="str">
        <f>VLOOKUP(D1377, County_Data_CZones!$B$2:$F$3236, 5, FALSE)</f>
        <v>Cold</v>
      </c>
    </row>
    <row r="1378" ht="15.75" customHeight="1">
      <c r="A1378" s="32" t="s">
        <v>1068</v>
      </c>
      <c r="B1378" s="32" t="s">
        <v>1026</v>
      </c>
      <c r="C1378" s="32" t="str">
        <f>vlookup(B1378,State_EMM_RowSums!$A$2:$B$52,2,FALSE)</f>
        <v>MN</v>
      </c>
      <c r="D1378" s="32">
        <v>27125.0</v>
      </c>
      <c r="E1378" s="33">
        <f>IF(NOT(ISBLANK(vlookup($D1378,Pop_Census_2023!$A$2:$E$3220,4,FALSE))),vlookup($D1378,Pop_Census_2023!$A$2:$E$3220,4,FALSE), vlookup($D1378,Pop_Census_2023!$A$2:$E$3220,5,FALSE))</f>
        <v>3911</v>
      </c>
      <c r="F1378" s="32">
        <v>659508.0</v>
      </c>
      <c r="G1378" s="32">
        <v>42.0</v>
      </c>
      <c r="H1378" s="32" t="str">
        <f>VLOOKUP(D1378, Grid_Region_Mapping!$D$2:$F$5286, 3, FALSE)</f>
        <v>MISW</v>
      </c>
      <c r="I1378" s="32">
        <v>4.0</v>
      </c>
      <c r="J1378" s="34" t="str">
        <f t="shared" si="1"/>
        <v>Midwest</v>
      </c>
      <c r="K1378" s="35">
        <v>1.0</v>
      </c>
      <c r="L1378" s="35">
        <v>7.0</v>
      </c>
      <c r="M1378" s="36">
        <f>VLOOKUP(D1378, County_Data_CZones!$B$2:$F$3236, 2, FALSE)</f>
        <v>7</v>
      </c>
      <c r="N1378" s="37" t="str">
        <f>VLOOKUP(D1378, County_Data_CZones!$B$2:$F$3236, 5, FALSE)</f>
        <v>Very Cold</v>
      </c>
    </row>
    <row r="1379" ht="15.75" customHeight="1">
      <c r="A1379" s="32" t="s">
        <v>1069</v>
      </c>
      <c r="B1379" s="32" t="s">
        <v>1026</v>
      </c>
      <c r="C1379" s="32" t="str">
        <f>vlookup(B1379,State_EMM_RowSums!$A$2:$B$52,2,FALSE)</f>
        <v>MN</v>
      </c>
      <c r="D1379" s="32">
        <v>27127.0</v>
      </c>
      <c r="E1379" s="33">
        <f>IF(NOT(ISBLANK(vlookup($D1379,Pop_Census_2023!$A$2:$E$3220,4,FALSE))),vlookup($D1379,Pop_Census_2023!$A$2:$E$3220,4,FALSE), vlookup($D1379,Pop_Census_2023!$A$2:$E$3220,5,FALSE))</f>
        <v>15288</v>
      </c>
      <c r="F1379" s="32">
        <v>659509.0</v>
      </c>
      <c r="G1379" s="32">
        <v>44.0</v>
      </c>
      <c r="H1379" s="32" t="str">
        <f>VLOOKUP(D1379, Grid_Region_Mapping!$D$2:$F$5286, 3, FALSE)</f>
        <v>MISW</v>
      </c>
      <c r="I1379" s="32">
        <v>4.0</v>
      </c>
      <c r="J1379" s="34" t="str">
        <f t="shared" si="1"/>
        <v>Midwest</v>
      </c>
      <c r="K1379" s="35">
        <v>1.0</v>
      </c>
      <c r="L1379" s="35" t="s">
        <v>707</v>
      </c>
      <c r="M1379" s="36">
        <f>VLOOKUP(D1379, County_Data_CZones!$B$2:$F$3236, 2, FALSE)</f>
        <v>6</v>
      </c>
      <c r="N1379" s="37" t="str">
        <f>VLOOKUP(D1379, County_Data_CZones!$B$2:$F$3236, 5, FALSE)</f>
        <v>Cold</v>
      </c>
    </row>
    <row r="1380" ht="15.75" customHeight="1">
      <c r="A1380" s="32" t="s">
        <v>1070</v>
      </c>
      <c r="B1380" s="32" t="s">
        <v>1026</v>
      </c>
      <c r="C1380" s="32" t="str">
        <f>vlookup(B1380,State_EMM_RowSums!$A$2:$B$52,2,FALSE)</f>
        <v>MN</v>
      </c>
      <c r="D1380" s="32">
        <v>27129.0</v>
      </c>
      <c r="E1380" s="33">
        <f>IF(NOT(ISBLANK(vlookup($D1380,Pop_Census_2023!$A$2:$E$3220,4,FALSE))),vlookup($D1380,Pop_Census_2023!$A$2:$E$3220,4,FALSE), vlookup($D1380,Pop_Census_2023!$A$2:$E$3220,5,FALSE))</f>
        <v>14348</v>
      </c>
      <c r="F1380" s="32">
        <v>659510.0</v>
      </c>
      <c r="G1380" s="32">
        <v>44.0</v>
      </c>
      <c r="H1380" s="32" t="str">
        <f>VLOOKUP(D1380, Grid_Region_Mapping!$D$2:$F$5286, 3, FALSE)</f>
        <v>MISW</v>
      </c>
      <c r="I1380" s="32">
        <v>4.0</v>
      </c>
      <c r="J1380" s="34" t="str">
        <f t="shared" si="1"/>
        <v>Midwest</v>
      </c>
      <c r="K1380" s="35">
        <v>1.0</v>
      </c>
      <c r="L1380" s="35" t="s">
        <v>707</v>
      </c>
      <c r="M1380" s="36">
        <f>VLOOKUP(D1380, County_Data_CZones!$B$2:$F$3236, 2, FALSE)</f>
        <v>6</v>
      </c>
      <c r="N1380" s="37" t="str">
        <f>VLOOKUP(D1380, County_Data_CZones!$B$2:$F$3236, 5, FALSE)</f>
        <v>Cold</v>
      </c>
    </row>
    <row r="1381" ht="15.75" customHeight="1">
      <c r="A1381" s="32" t="s">
        <v>799</v>
      </c>
      <c r="B1381" s="32" t="s">
        <v>1026</v>
      </c>
      <c r="C1381" s="32" t="str">
        <f>vlookup(B1381,State_EMM_RowSums!$A$2:$B$52,2,FALSE)</f>
        <v>MN</v>
      </c>
      <c r="D1381" s="32">
        <v>27131.0</v>
      </c>
      <c r="E1381" s="33">
        <f>IF(NOT(ISBLANK(vlookup($D1381,Pop_Census_2023!$A$2:$E$3220,4,FALSE))),vlookup($D1381,Pop_Census_2023!$A$2:$E$3220,4,FALSE), vlookup($D1381,Pop_Census_2023!$A$2:$E$3220,5,FALSE))</f>
        <v>67948</v>
      </c>
      <c r="F1381" s="32">
        <v>659511.0</v>
      </c>
      <c r="G1381" s="32">
        <v>43.0</v>
      </c>
      <c r="H1381" s="32" t="str">
        <f>VLOOKUP(D1381, Grid_Region_Mapping!$D$2:$F$5286, 3, FALSE)</f>
        <v>MISW</v>
      </c>
      <c r="I1381" s="32">
        <v>4.0</v>
      </c>
      <c r="J1381" s="34" t="str">
        <f t="shared" si="1"/>
        <v>Midwest</v>
      </c>
      <c r="K1381" s="35">
        <v>1.0</v>
      </c>
      <c r="L1381" s="35" t="s">
        <v>707</v>
      </c>
      <c r="M1381" s="36">
        <f>VLOOKUP(D1381, County_Data_CZones!$B$2:$F$3236, 2, FALSE)</f>
        <v>6</v>
      </c>
      <c r="N1381" s="37" t="str">
        <f>VLOOKUP(D1381, County_Data_CZones!$B$2:$F$3236, 5, FALSE)</f>
        <v>Cold</v>
      </c>
    </row>
    <row r="1382" ht="15.75" customHeight="1">
      <c r="A1382" s="32" t="s">
        <v>1071</v>
      </c>
      <c r="B1382" s="32" t="s">
        <v>1026</v>
      </c>
      <c r="C1382" s="32" t="str">
        <f>vlookup(B1382,State_EMM_RowSums!$A$2:$B$52,2,FALSE)</f>
        <v>MN</v>
      </c>
      <c r="D1382" s="32">
        <v>27133.0</v>
      </c>
      <c r="E1382" s="33">
        <f>IF(NOT(ISBLANK(vlookup($D1382,Pop_Census_2023!$A$2:$E$3220,4,FALSE))),vlookup($D1382,Pop_Census_2023!$A$2:$E$3220,4,FALSE), vlookup($D1382,Pop_Census_2023!$A$2:$E$3220,5,FALSE))</f>
        <v>9551</v>
      </c>
      <c r="F1382" s="32">
        <v>659512.0</v>
      </c>
      <c r="G1382" s="32">
        <v>44.0</v>
      </c>
      <c r="H1382" s="32" t="str">
        <f>VLOOKUP(D1382, Grid_Region_Mapping!$D$2:$F$5286, 3, FALSE)</f>
        <v>MISW</v>
      </c>
      <c r="I1382" s="32">
        <v>4.0</v>
      </c>
      <c r="J1382" s="34" t="str">
        <f t="shared" si="1"/>
        <v>Midwest</v>
      </c>
      <c r="K1382" s="35">
        <v>1.0</v>
      </c>
      <c r="L1382" s="35" t="s">
        <v>707</v>
      </c>
      <c r="M1382" s="36">
        <f>VLOOKUP(D1382, County_Data_CZones!$B$2:$F$3236, 2, FALSE)</f>
        <v>6</v>
      </c>
      <c r="N1382" s="37" t="str">
        <f>VLOOKUP(D1382, County_Data_CZones!$B$2:$F$3236, 5, FALSE)</f>
        <v>Cold</v>
      </c>
    </row>
    <row r="1383" ht="15.75" customHeight="1">
      <c r="A1383" s="32" t="s">
        <v>1072</v>
      </c>
      <c r="B1383" s="32" t="s">
        <v>1026</v>
      </c>
      <c r="C1383" s="32" t="str">
        <f>vlookup(B1383,State_EMM_RowSums!$A$2:$B$52,2,FALSE)</f>
        <v>MN</v>
      </c>
      <c r="D1383" s="32">
        <v>27135.0</v>
      </c>
      <c r="E1383" s="33">
        <f>IF(NOT(ISBLANK(vlookup($D1383,Pop_Census_2023!$A$2:$E$3220,4,FALSE))),vlookup($D1383,Pop_Census_2023!$A$2:$E$3220,4,FALSE), vlookup($D1383,Pop_Census_2023!$A$2:$E$3220,5,FALSE))</f>
        <v>15252</v>
      </c>
      <c r="F1383" s="32">
        <v>659513.0</v>
      </c>
      <c r="G1383" s="32">
        <v>42.0</v>
      </c>
      <c r="H1383" s="32" t="str">
        <f>VLOOKUP(D1383, Grid_Region_Mapping!$D$2:$F$5286, 3, FALSE)</f>
        <v>MISW</v>
      </c>
      <c r="I1383" s="32">
        <v>4.0</v>
      </c>
      <c r="J1383" s="34" t="str">
        <f t="shared" si="1"/>
        <v>Midwest</v>
      </c>
      <c r="K1383" s="35">
        <v>1.0</v>
      </c>
      <c r="L1383" s="35">
        <v>7.0</v>
      </c>
      <c r="M1383" s="36">
        <f>VLOOKUP(D1383, County_Data_CZones!$B$2:$F$3236, 2, FALSE)</f>
        <v>7</v>
      </c>
      <c r="N1383" s="37" t="str">
        <f>VLOOKUP(D1383, County_Data_CZones!$B$2:$F$3236, 5, FALSE)</f>
        <v>Very Cold</v>
      </c>
    </row>
    <row r="1384" ht="15.75" customHeight="1">
      <c r="A1384" s="32" t="s">
        <v>1073</v>
      </c>
      <c r="B1384" s="32" t="s">
        <v>1026</v>
      </c>
      <c r="C1384" s="32" t="str">
        <f>vlookup(B1384,State_EMM_RowSums!$A$2:$B$52,2,FALSE)</f>
        <v>MN</v>
      </c>
      <c r="D1384" s="32">
        <v>27137.0</v>
      </c>
      <c r="E1384" s="33">
        <f>IF(NOT(ISBLANK(vlookup($D1384,Pop_Census_2023!$A$2:$E$3220,4,FALSE))),vlookup($D1384,Pop_Census_2023!$A$2:$E$3220,4,FALSE), vlookup($D1384,Pop_Census_2023!$A$2:$E$3220,5,FALSE))</f>
        <v>200514</v>
      </c>
      <c r="F1384" s="32">
        <v>662850.0</v>
      </c>
      <c r="G1384" s="32">
        <v>43.0</v>
      </c>
      <c r="H1384" s="32" t="str">
        <f>VLOOKUP(D1384, Grid_Region_Mapping!$D$2:$F$5286, 3, FALSE)</f>
        <v>MISW</v>
      </c>
      <c r="I1384" s="32">
        <v>4.0</v>
      </c>
      <c r="J1384" s="34" t="str">
        <f t="shared" si="1"/>
        <v>Midwest</v>
      </c>
      <c r="K1384" s="35">
        <v>1.0</v>
      </c>
      <c r="L1384" s="35">
        <v>7.0</v>
      </c>
      <c r="M1384" s="36">
        <f>VLOOKUP(D1384, County_Data_CZones!$B$2:$F$3236, 2, FALSE)</f>
        <v>7</v>
      </c>
      <c r="N1384" s="37" t="str">
        <f>VLOOKUP(D1384, County_Data_CZones!$B$2:$F$3236, 5, FALSE)</f>
        <v>Very Cold</v>
      </c>
    </row>
    <row r="1385" ht="15.75" customHeight="1">
      <c r="A1385" s="32" t="s">
        <v>267</v>
      </c>
      <c r="B1385" s="32" t="s">
        <v>1026</v>
      </c>
      <c r="C1385" s="32" t="str">
        <f>vlookup(B1385,State_EMM_RowSums!$A$2:$B$52,2,FALSE)</f>
        <v>MN</v>
      </c>
      <c r="D1385" s="32">
        <v>27139.0</v>
      </c>
      <c r="E1385" s="33">
        <f>IF(NOT(ISBLANK(vlookup($D1385,Pop_Census_2023!$A$2:$E$3220,4,FALSE))),vlookup($D1385,Pop_Census_2023!$A$2:$E$3220,4,FALSE), vlookup($D1385,Pop_Census_2023!$A$2:$E$3220,5,FALSE))</f>
        <v>155814</v>
      </c>
      <c r="F1385" s="32">
        <v>659514.0</v>
      </c>
      <c r="G1385" s="32">
        <v>43.0</v>
      </c>
      <c r="H1385" s="32" t="str">
        <f>VLOOKUP(D1385, Grid_Region_Mapping!$D$2:$F$5286, 3, FALSE)</f>
        <v>MISW</v>
      </c>
      <c r="I1385" s="32">
        <v>4.0</v>
      </c>
      <c r="J1385" s="34" t="str">
        <f t="shared" si="1"/>
        <v>Midwest</v>
      </c>
      <c r="K1385" s="35">
        <v>1.0</v>
      </c>
      <c r="L1385" s="35" t="s">
        <v>707</v>
      </c>
      <c r="M1385" s="36">
        <f>VLOOKUP(D1385, County_Data_CZones!$B$2:$F$3236, 2, FALSE)</f>
        <v>6</v>
      </c>
      <c r="N1385" s="37" t="str">
        <f>VLOOKUP(D1385, County_Data_CZones!$B$2:$F$3236, 5, FALSE)</f>
        <v>Cold</v>
      </c>
    </row>
    <row r="1386" ht="15.75" customHeight="1">
      <c r="A1386" s="32" t="s">
        <v>1074</v>
      </c>
      <c r="B1386" s="32" t="s">
        <v>1026</v>
      </c>
      <c r="C1386" s="32" t="str">
        <f>vlookup(B1386,State_EMM_RowSums!$A$2:$B$52,2,FALSE)</f>
        <v>MN</v>
      </c>
      <c r="D1386" s="32">
        <v>27141.0</v>
      </c>
      <c r="E1386" s="33">
        <f>IF(NOT(ISBLANK(vlookup($D1386,Pop_Census_2023!$A$2:$E$3220,4,FALSE))),vlookup($D1386,Pop_Census_2023!$A$2:$E$3220,4,FALSE), vlookup($D1386,Pop_Census_2023!$A$2:$E$3220,5,FALSE))</f>
        <v>102206</v>
      </c>
      <c r="F1386" s="32">
        <v>659515.0</v>
      </c>
      <c r="G1386" s="32">
        <v>43.0</v>
      </c>
      <c r="H1386" s="32" t="str">
        <f>VLOOKUP(D1386, Grid_Region_Mapping!$D$2:$F$5286, 3, FALSE)</f>
        <v>MISW</v>
      </c>
      <c r="I1386" s="32">
        <v>4.0</v>
      </c>
      <c r="J1386" s="34" t="str">
        <f t="shared" si="1"/>
        <v>Midwest</v>
      </c>
      <c r="K1386" s="35">
        <v>1.0</v>
      </c>
      <c r="L1386" s="35" t="s">
        <v>707</v>
      </c>
      <c r="M1386" s="36">
        <f>VLOOKUP(D1386, County_Data_CZones!$B$2:$F$3236, 2, FALSE)</f>
        <v>6</v>
      </c>
      <c r="N1386" s="37" t="str">
        <f>VLOOKUP(D1386, County_Data_CZones!$B$2:$F$3236, 5, FALSE)</f>
        <v>Cold</v>
      </c>
    </row>
    <row r="1387" ht="15.75" customHeight="1">
      <c r="A1387" s="32" t="s">
        <v>1075</v>
      </c>
      <c r="B1387" s="32" t="s">
        <v>1026</v>
      </c>
      <c r="C1387" s="32" t="str">
        <f>vlookup(B1387,State_EMM_RowSums!$A$2:$B$52,2,FALSE)</f>
        <v>MN</v>
      </c>
      <c r="D1387" s="32">
        <v>27143.0</v>
      </c>
      <c r="E1387" s="33">
        <f>IF(NOT(ISBLANK(vlookup($D1387,Pop_Census_2023!$A$2:$E$3220,4,FALSE))),vlookup($D1387,Pop_Census_2023!$A$2:$E$3220,4,FALSE), vlookup($D1387,Pop_Census_2023!$A$2:$E$3220,5,FALSE))</f>
        <v>15084</v>
      </c>
      <c r="F1387" s="32">
        <v>659516.0</v>
      </c>
      <c r="G1387" s="32">
        <v>43.0</v>
      </c>
      <c r="H1387" s="32" t="str">
        <f>VLOOKUP(D1387, Grid_Region_Mapping!$D$2:$F$5286, 3, FALSE)</f>
        <v>MISW</v>
      </c>
      <c r="I1387" s="32">
        <v>4.0</v>
      </c>
      <c r="J1387" s="34" t="str">
        <f t="shared" si="1"/>
        <v>Midwest</v>
      </c>
      <c r="K1387" s="35">
        <v>1.0</v>
      </c>
      <c r="L1387" s="35" t="s">
        <v>707</v>
      </c>
      <c r="M1387" s="36">
        <f>VLOOKUP(D1387, County_Data_CZones!$B$2:$F$3236, 2, FALSE)</f>
        <v>6</v>
      </c>
      <c r="N1387" s="37" t="str">
        <f>VLOOKUP(D1387, County_Data_CZones!$B$2:$F$3236, 5, FALSE)</f>
        <v>Cold</v>
      </c>
    </row>
    <row r="1388" ht="15.75" customHeight="1">
      <c r="A1388" s="32" t="s">
        <v>1076</v>
      </c>
      <c r="B1388" s="32" t="s">
        <v>1026</v>
      </c>
      <c r="C1388" s="32" t="str">
        <f>vlookup(B1388,State_EMM_RowSums!$A$2:$B$52,2,FALSE)</f>
        <v>MN</v>
      </c>
      <c r="D1388" s="32">
        <v>27145.0</v>
      </c>
      <c r="E1388" s="33">
        <f>IF(NOT(ISBLANK(vlookup($D1388,Pop_Census_2023!$A$2:$E$3220,4,FALSE))),vlookup($D1388,Pop_Census_2023!$A$2:$E$3220,4,FALSE), vlookup($D1388,Pop_Census_2023!$A$2:$E$3220,5,FALSE))</f>
        <v>160977</v>
      </c>
      <c r="F1388" s="32">
        <v>659517.0</v>
      </c>
      <c r="G1388" s="32">
        <v>43.0</v>
      </c>
      <c r="H1388" s="32" t="str">
        <f>VLOOKUP(D1388, Grid_Region_Mapping!$D$2:$F$5286, 3, FALSE)</f>
        <v>MISW</v>
      </c>
      <c r="I1388" s="32">
        <v>4.0</v>
      </c>
      <c r="J1388" s="34" t="str">
        <f t="shared" si="1"/>
        <v>Midwest</v>
      </c>
      <c r="K1388" s="35">
        <v>1.0</v>
      </c>
      <c r="L1388" s="35" t="s">
        <v>707</v>
      </c>
      <c r="M1388" s="36">
        <f>VLOOKUP(D1388, County_Data_CZones!$B$2:$F$3236, 2, FALSE)</f>
        <v>6</v>
      </c>
      <c r="N1388" s="37" t="str">
        <f>VLOOKUP(D1388, County_Data_CZones!$B$2:$F$3236, 5, FALSE)</f>
        <v>Cold</v>
      </c>
    </row>
    <row r="1389" ht="15.75" customHeight="1">
      <c r="A1389" s="32" t="s">
        <v>1077</v>
      </c>
      <c r="B1389" s="32" t="s">
        <v>1026</v>
      </c>
      <c r="C1389" s="32" t="str">
        <f>vlookup(B1389,State_EMM_RowSums!$A$2:$B$52,2,FALSE)</f>
        <v>MN</v>
      </c>
      <c r="D1389" s="32">
        <v>27147.0</v>
      </c>
      <c r="E1389" s="33">
        <f>IF(NOT(ISBLANK(vlookup($D1389,Pop_Census_2023!$A$2:$E$3220,4,FALSE))),vlookup($D1389,Pop_Census_2023!$A$2:$E$3220,4,FALSE), vlookup($D1389,Pop_Census_2023!$A$2:$E$3220,5,FALSE))</f>
        <v>37421</v>
      </c>
      <c r="F1389" s="32">
        <v>659518.0</v>
      </c>
      <c r="G1389" s="32">
        <v>43.0</v>
      </c>
      <c r="H1389" s="32" t="str">
        <f>VLOOKUP(D1389, Grid_Region_Mapping!$D$2:$F$5286, 3, FALSE)</f>
        <v>MISW</v>
      </c>
      <c r="I1389" s="32">
        <v>4.0</v>
      </c>
      <c r="J1389" s="34" t="str">
        <f t="shared" si="1"/>
        <v>Midwest</v>
      </c>
      <c r="K1389" s="35">
        <v>1.0</v>
      </c>
      <c r="L1389" s="35" t="s">
        <v>707</v>
      </c>
      <c r="M1389" s="36">
        <f>VLOOKUP(D1389, County_Data_CZones!$B$2:$F$3236, 2, FALSE)</f>
        <v>6</v>
      </c>
      <c r="N1389" s="37" t="str">
        <f>VLOOKUP(D1389, County_Data_CZones!$B$2:$F$3236, 5, FALSE)</f>
        <v>Cold</v>
      </c>
    </row>
    <row r="1390" ht="15.75" customHeight="1">
      <c r="A1390" s="32" t="s">
        <v>809</v>
      </c>
      <c r="B1390" s="32" t="s">
        <v>1026</v>
      </c>
      <c r="C1390" s="32" t="str">
        <f>vlookup(B1390,State_EMM_RowSums!$A$2:$B$52,2,FALSE)</f>
        <v>MN</v>
      </c>
      <c r="D1390" s="32">
        <v>27149.0</v>
      </c>
      <c r="E1390" s="33">
        <f>IF(NOT(ISBLANK(vlookup($D1390,Pop_Census_2023!$A$2:$E$3220,4,FALSE))),vlookup($D1390,Pop_Census_2023!$A$2:$E$3220,4,FALSE), vlookup($D1390,Pop_Census_2023!$A$2:$E$3220,5,FALSE))</f>
        <v>9728</v>
      </c>
      <c r="F1390" s="32">
        <v>659519.0</v>
      </c>
      <c r="G1390" s="32">
        <v>43.0</v>
      </c>
      <c r="H1390" s="32" t="str">
        <f>VLOOKUP(D1390, Grid_Region_Mapping!$D$2:$F$5286, 3, FALSE)</f>
        <v>SPPN</v>
      </c>
      <c r="I1390" s="32">
        <v>4.0</v>
      </c>
      <c r="J1390" s="34" t="str">
        <f t="shared" si="1"/>
        <v>Midwest</v>
      </c>
      <c r="K1390" s="35">
        <v>1.0</v>
      </c>
      <c r="L1390" s="35" t="s">
        <v>707</v>
      </c>
      <c r="M1390" s="36">
        <f>VLOOKUP(D1390, County_Data_CZones!$B$2:$F$3236, 2, FALSE)</f>
        <v>6</v>
      </c>
      <c r="N1390" s="37" t="str">
        <f>VLOOKUP(D1390, County_Data_CZones!$B$2:$F$3236, 5, FALSE)</f>
        <v>Cold</v>
      </c>
    </row>
    <row r="1391" ht="15.75" customHeight="1">
      <c r="A1391" s="32" t="s">
        <v>1078</v>
      </c>
      <c r="B1391" s="32" t="s">
        <v>1026</v>
      </c>
      <c r="C1391" s="32" t="str">
        <f>vlookup(B1391,State_EMM_RowSums!$A$2:$B$52,2,FALSE)</f>
        <v>MN</v>
      </c>
      <c r="D1391" s="32">
        <v>27151.0</v>
      </c>
      <c r="E1391" s="33">
        <f>IF(NOT(ISBLANK(vlookup($D1391,Pop_Census_2023!$A$2:$E$3220,4,FALSE))),vlookup($D1391,Pop_Census_2023!$A$2:$E$3220,4,FALSE), vlookup($D1391,Pop_Census_2023!$A$2:$E$3220,5,FALSE))</f>
        <v>9719</v>
      </c>
      <c r="F1391" s="32">
        <v>659520.0</v>
      </c>
      <c r="G1391" s="32">
        <v>43.0</v>
      </c>
      <c r="H1391" s="32" t="str">
        <f>VLOOKUP(D1391, Grid_Region_Mapping!$D$2:$F$5286, 3, FALSE)</f>
        <v>SPPN</v>
      </c>
      <c r="I1391" s="32">
        <v>4.0</v>
      </c>
      <c r="J1391" s="34" t="str">
        <f t="shared" si="1"/>
        <v>Midwest</v>
      </c>
      <c r="K1391" s="35">
        <v>1.0</v>
      </c>
      <c r="L1391" s="35" t="s">
        <v>707</v>
      </c>
      <c r="M1391" s="36">
        <f>VLOOKUP(D1391, County_Data_CZones!$B$2:$F$3236, 2, FALSE)</f>
        <v>6</v>
      </c>
      <c r="N1391" s="37" t="str">
        <f>VLOOKUP(D1391, County_Data_CZones!$B$2:$F$3236, 5, FALSE)</f>
        <v>Cold</v>
      </c>
    </row>
    <row r="1392" ht="15.75" customHeight="1">
      <c r="A1392" s="32" t="s">
        <v>870</v>
      </c>
      <c r="B1392" s="32" t="s">
        <v>1026</v>
      </c>
      <c r="C1392" s="32" t="str">
        <f>vlookup(B1392,State_EMM_RowSums!$A$2:$B$52,2,FALSE)</f>
        <v>MN</v>
      </c>
      <c r="D1392" s="32">
        <v>27153.0</v>
      </c>
      <c r="E1392" s="33">
        <f>IF(NOT(ISBLANK(vlookup($D1392,Pop_Census_2023!$A$2:$E$3220,4,FALSE))),vlookup($D1392,Pop_Census_2023!$A$2:$E$3220,4,FALSE), vlookup($D1392,Pop_Census_2023!$A$2:$E$3220,5,FALSE))</f>
        <v>25667</v>
      </c>
      <c r="F1392" s="32">
        <v>659521.0</v>
      </c>
      <c r="G1392" s="32">
        <v>43.0</v>
      </c>
      <c r="H1392" s="32" t="str">
        <f>VLOOKUP(D1392, Grid_Region_Mapping!$D$2:$F$5286, 3, FALSE)</f>
        <v>MISW</v>
      </c>
      <c r="I1392" s="32">
        <v>4.0</v>
      </c>
      <c r="J1392" s="34" t="str">
        <f t="shared" si="1"/>
        <v>Midwest</v>
      </c>
      <c r="K1392" s="35">
        <v>1.0</v>
      </c>
      <c r="L1392" s="35" t="s">
        <v>707</v>
      </c>
      <c r="M1392" s="36">
        <f>VLOOKUP(D1392, County_Data_CZones!$B$2:$F$3236, 2, FALSE)</f>
        <v>6</v>
      </c>
      <c r="N1392" s="37" t="str">
        <f>VLOOKUP(D1392, County_Data_CZones!$B$2:$F$3236, 5, FALSE)</f>
        <v>Cold</v>
      </c>
    </row>
    <row r="1393" ht="15.75" customHeight="1">
      <c r="A1393" s="32" t="s">
        <v>1079</v>
      </c>
      <c r="B1393" s="32" t="s">
        <v>1026</v>
      </c>
      <c r="C1393" s="32" t="str">
        <f>vlookup(B1393,State_EMM_RowSums!$A$2:$B$52,2,FALSE)</f>
        <v>MN</v>
      </c>
      <c r="D1393" s="32">
        <v>27155.0</v>
      </c>
      <c r="E1393" s="33">
        <f>IF(NOT(ISBLANK(vlookup($D1393,Pop_Census_2023!$A$2:$E$3220,4,FALSE))),vlookup($D1393,Pop_Census_2023!$A$2:$E$3220,4,FALSE), vlookup($D1393,Pop_Census_2023!$A$2:$E$3220,5,FALSE))</f>
        <v>3136</v>
      </c>
      <c r="F1393" s="32">
        <v>659522.0</v>
      </c>
      <c r="G1393" s="32">
        <v>43.0</v>
      </c>
      <c r="H1393" s="32" t="str">
        <f>VLOOKUP(D1393, Grid_Region_Mapping!$D$2:$F$5286, 3, FALSE)</f>
        <v>SPPN</v>
      </c>
      <c r="I1393" s="32">
        <v>4.0</v>
      </c>
      <c r="J1393" s="34" t="str">
        <f t="shared" si="1"/>
        <v>Midwest</v>
      </c>
      <c r="K1393" s="35">
        <v>1.0</v>
      </c>
      <c r="L1393" s="35" t="s">
        <v>707</v>
      </c>
      <c r="M1393" s="36">
        <f>VLOOKUP(D1393, County_Data_CZones!$B$2:$F$3236, 2, FALSE)</f>
        <v>6</v>
      </c>
      <c r="N1393" s="37" t="str">
        <f>VLOOKUP(D1393, County_Data_CZones!$B$2:$F$3236, 5, FALSE)</f>
        <v>Cold</v>
      </c>
    </row>
    <row r="1394" ht="15.75" customHeight="1">
      <c r="A1394" s="32" t="s">
        <v>1080</v>
      </c>
      <c r="B1394" s="32" t="s">
        <v>1026</v>
      </c>
      <c r="C1394" s="32" t="str">
        <f>vlookup(B1394,State_EMM_RowSums!$A$2:$B$52,2,FALSE)</f>
        <v>MN</v>
      </c>
      <c r="D1394" s="32">
        <v>27157.0</v>
      </c>
      <c r="E1394" s="33">
        <f>IF(NOT(ISBLANK(vlookup($D1394,Pop_Census_2023!$A$2:$E$3220,4,FALSE))),vlookup($D1394,Pop_Census_2023!$A$2:$E$3220,4,FALSE), vlookup($D1394,Pop_Census_2023!$A$2:$E$3220,5,FALSE))</f>
        <v>21683</v>
      </c>
      <c r="F1394" s="32">
        <v>659523.0</v>
      </c>
      <c r="G1394" s="32">
        <v>43.0</v>
      </c>
      <c r="H1394" s="32" t="str">
        <f>VLOOKUP(D1394, Grid_Region_Mapping!$D$2:$F$5286, 3, FALSE)</f>
        <v>MISW</v>
      </c>
      <c r="I1394" s="32">
        <v>4.0</v>
      </c>
      <c r="J1394" s="34" t="str">
        <f t="shared" si="1"/>
        <v>Midwest</v>
      </c>
      <c r="K1394" s="35">
        <v>1.0</v>
      </c>
      <c r="L1394" s="35" t="s">
        <v>707</v>
      </c>
      <c r="M1394" s="36">
        <f>VLOOKUP(D1394, County_Data_CZones!$B$2:$F$3236, 2, FALSE)</f>
        <v>6</v>
      </c>
      <c r="N1394" s="37" t="str">
        <f>VLOOKUP(D1394, County_Data_CZones!$B$2:$F$3236, 5, FALSE)</f>
        <v>Cold</v>
      </c>
    </row>
    <row r="1395" ht="15.75" customHeight="1">
      <c r="A1395" s="32" t="s">
        <v>1081</v>
      </c>
      <c r="B1395" s="32" t="s">
        <v>1026</v>
      </c>
      <c r="C1395" s="32" t="str">
        <f>vlookup(B1395,State_EMM_RowSums!$A$2:$B$52,2,FALSE)</f>
        <v>MN</v>
      </c>
      <c r="D1395" s="32">
        <v>27159.0</v>
      </c>
      <c r="E1395" s="33">
        <f>IF(NOT(ISBLANK(vlookup($D1395,Pop_Census_2023!$A$2:$E$3220,4,FALSE))),vlookup($D1395,Pop_Census_2023!$A$2:$E$3220,4,FALSE), vlookup($D1395,Pop_Census_2023!$A$2:$E$3220,5,FALSE))</f>
        <v>14241</v>
      </c>
      <c r="F1395" s="32">
        <v>659524.0</v>
      </c>
      <c r="G1395" s="32">
        <v>43.0</v>
      </c>
      <c r="H1395" s="32" t="str">
        <f>VLOOKUP(D1395, Grid_Region_Mapping!$D$2:$F$5286, 3, FALSE)</f>
        <v>MISW</v>
      </c>
      <c r="I1395" s="32">
        <v>4.0</v>
      </c>
      <c r="J1395" s="34" t="str">
        <f t="shared" si="1"/>
        <v>Midwest</v>
      </c>
      <c r="K1395" s="35">
        <v>1.0</v>
      </c>
      <c r="L1395" s="35">
        <v>7.0</v>
      </c>
      <c r="M1395" s="36">
        <f>VLOOKUP(D1395, County_Data_CZones!$B$2:$F$3236, 2, FALSE)</f>
        <v>7</v>
      </c>
      <c r="N1395" s="37" t="str">
        <f>VLOOKUP(D1395, County_Data_CZones!$B$2:$F$3236, 5, FALSE)</f>
        <v>Very Cold</v>
      </c>
    </row>
    <row r="1396" ht="15.75" customHeight="1">
      <c r="A1396" s="32" t="s">
        <v>1082</v>
      </c>
      <c r="B1396" s="32" t="s">
        <v>1026</v>
      </c>
      <c r="C1396" s="32" t="str">
        <f>vlookup(B1396,State_EMM_RowSums!$A$2:$B$52,2,FALSE)</f>
        <v>MN</v>
      </c>
      <c r="D1396" s="32">
        <v>27161.0</v>
      </c>
      <c r="E1396" s="33">
        <f>IF(NOT(ISBLANK(vlookup($D1396,Pop_Census_2023!$A$2:$E$3220,4,FALSE))),vlookup($D1396,Pop_Census_2023!$A$2:$E$3220,4,FALSE), vlookup($D1396,Pop_Census_2023!$A$2:$E$3220,5,FALSE))</f>
        <v>18981</v>
      </c>
      <c r="F1396" s="32">
        <v>659525.0</v>
      </c>
      <c r="G1396" s="32">
        <v>68.0</v>
      </c>
      <c r="H1396" s="32" t="str">
        <f>VLOOKUP(D1396, Grid_Region_Mapping!$D$2:$F$5286, 3, FALSE)</f>
        <v>MISW</v>
      </c>
      <c r="I1396" s="32">
        <v>4.0</v>
      </c>
      <c r="J1396" s="34" t="str">
        <f t="shared" si="1"/>
        <v>Midwest</v>
      </c>
      <c r="K1396" s="35">
        <v>1.0</v>
      </c>
      <c r="L1396" s="35" t="s">
        <v>707</v>
      </c>
      <c r="M1396" s="36">
        <f>VLOOKUP(D1396, County_Data_CZones!$B$2:$F$3236, 2, FALSE)</f>
        <v>6</v>
      </c>
      <c r="N1396" s="37" t="str">
        <f>VLOOKUP(D1396, County_Data_CZones!$B$2:$F$3236, 5, FALSE)</f>
        <v>Cold</v>
      </c>
    </row>
    <row r="1397" ht="15.75" customHeight="1">
      <c r="A1397" s="32" t="s">
        <v>167</v>
      </c>
      <c r="B1397" s="32" t="s">
        <v>1026</v>
      </c>
      <c r="C1397" s="32" t="str">
        <f>vlookup(B1397,State_EMM_RowSums!$A$2:$B$52,2,FALSE)</f>
        <v>MN</v>
      </c>
      <c r="D1397" s="32">
        <v>27163.0</v>
      </c>
      <c r="E1397" s="33">
        <f>IF(NOT(ISBLANK(vlookup($D1397,Pop_Census_2023!$A$2:$E$3220,4,FALSE))),vlookup($D1397,Pop_Census_2023!$A$2:$E$3220,4,FALSE), vlookup($D1397,Pop_Census_2023!$A$2:$E$3220,5,FALSE))</f>
        <v>278936</v>
      </c>
      <c r="F1397" s="32">
        <v>659526.0</v>
      </c>
      <c r="G1397" s="32">
        <v>43.0</v>
      </c>
      <c r="H1397" s="32" t="str">
        <f>VLOOKUP(D1397, Grid_Region_Mapping!$D$2:$F$5286, 3, FALSE)</f>
        <v>MISW</v>
      </c>
      <c r="I1397" s="32">
        <v>4.0</v>
      </c>
      <c r="J1397" s="34" t="str">
        <f t="shared" si="1"/>
        <v>Midwest</v>
      </c>
      <c r="K1397" s="35">
        <v>1.0</v>
      </c>
      <c r="L1397" s="35" t="s">
        <v>707</v>
      </c>
      <c r="M1397" s="36">
        <f>VLOOKUP(D1397, County_Data_CZones!$B$2:$F$3236, 2, FALSE)</f>
        <v>6</v>
      </c>
      <c r="N1397" s="37" t="str">
        <f>VLOOKUP(D1397, County_Data_CZones!$B$2:$F$3236, 5, FALSE)</f>
        <v>Cold</v>
      </c>
    </row>
    <row r="1398" ht="15.75" customHeight="1">
      <c r="A1398" s="32" t="s">
        <v>1083</v>
      </c>
      <c r="B1398" s="32" t="s">
        <v>1026</v>
      </c>
      <c r="C1398" s="32" t="str">
        <f>vlookup(B1398,State_EMM_RowSums!$A$2:$B$52,2,FALSE)</f>
        <v>MN</v>
      </c>
      <c r="D1398" s="32">
        <v>27165.0</v>
      </c>
      <c r="E1398" s="33">
        <f>IF(NOT(ISBLANK(vlookup($D1398,Pop_Census_2023!$A$2:$E$3220,4,FALSE))),vlookup($D1398,Pop_Census_2023!$A$2:$E$3220,4,FALSE), vlookup($D1398,Pop_Census_2023!$A$2:$E$3220,5,FALSE))</f>
        <v>11077</v>
      </c>
      <c r="F1398" s="32">
        <v>659527.0</v>
      </c>
      <c r="G1398" s="32">
        <v>68.0</v>
      </c>
      <c r="H1398" s="32" t="str">
        <f>VLOOKUP(D1398, Grid_Region_Mapping!$D$2:$F$5286, 3, FALSE)</f>
        <v>MISW</v>
      </c>
      <c r="I1398" s="32">
        <v>4.0</v>
      </c>
      <c r="J1398" s="34" t="str">
        <f t="shared" si="1"/>
        <v>Midwest</v>
      </c>
      <c r="K1398" s="35">
        <v>1.0</v>
      </c>
      <c r="L1398" s="35" t="s">
        <v>707</v>
      </c>
      <c r="M1398" s="36">
        <f>VLOOKUP(D1398, County_Data_CZones!$B$2:$F$3236, 2, FALSE)</f>
        <v>6</v>
      </c>
      <c r="N1398" s="37" t="str">
        <f>VLOOKUP(D1398, County_Data_CZones!$B$2:$F$3236, 5, FALSE)</f>
        <v>Cold</v>
      </c>
    </row>
    <row r="1399" ht="15.75" customHeight="1">
      <c r="A1399" s="32" t="s">
        <v>1084</v>
      </c>
      <c r="B1399" s="32" t="s">
        <v>1026</v>
      </c>
      <c r="C1399" s="32" t="str">
        <f>vlookup(B1399,State_EMM_RowSums!$A$2:$B$52,2,FALSE)</f>
        <v>MN</v>
      </c>
      <c r="D1399" s="32">
        <v>27167.0</v>
      </c>
      <c r="E1399" s="33">
        <f>IF(NOT(ISBLANK(vlookup($D1399,Pop_Census_2023!$A$2:$E$3220,4,FALSE))),vlookup($D1399,Pop_Census_2023!$A$2:$E$3220,4,FALSE), vlookup($D1399,Pop_Census_2023!$A$2:$E$3220,5,FALSE))</f>
        <v>6306</v>
      </c>
      <c r="F1399" s="32">
        <v>659528.0</v>
      </c>
      <c r="G1399" s="32">
        <v>43.0</v>
      </c>
      <c r="H1399" s="32" t="str">
        <f>VLOOKUP(D1399, Grid_Region_Mapping!$D$2:$F$5286, 3, FALSE)</f>
        <v>SPPN</v>
      </c>
      <c r="I1399" s="32">
        <v>4.0</v>
      </c>
      <c r="J1399" s="34" t="str">
        <f t="shared" si="1"/>
        <v>Midwest</v>
      </c>
      <c r="K1399" s="35">
        <v>1.0</v>
      </c>
      <c r="L1399" s="35">
        <v>7.0</v>
      </c>
      <c r="M1399" s="36">
        <f>VLOOKUP(D1399, County_Data_CZones!$B$2:$F$3236, 2, FALSE)</f>
        <v>7</v>
      </c>
      <c r="N1399" s="37" t="str">
        <f>VLOOKUP(D1399, County_Data_CZones!$B$2:$F$3236, 5, FALSE)</f>
        <v>Very Cold</v>
      </c>
    </row>
    <row r="1400" ht="15.75" customHeight="1">
      <c r="A1400" s="32" t="s">
        <v>1085</v>
      </c>
      <c r="B1400" s="32" t="s">
        <v>1026</v>
      </c>
      <c r="C1400" s="32" t="str">
        <f>vlookup(B1400,State_EMM_RowSums!$A$2:$B$52,2,FALSE)</f>
        <v>MN</v>
      </c>
      <c r="D1400" s="32">
        <v>27169.0</v>
      </c>
      <c r="E1400" s="33">
        <f>IF(NOT(ISBLANK(vlookup($D1400,Pop_Census_2023!$A$2:$E$3220,4,FALSE))),vlookup($D1400,Pop_Census_2023!$A$2:$E$3220,4,FALSE), vlookup($D1400,Pop_Census_2023!$A$2:$E$3220,5,FALSE))</f>
        <v>49721</v>
      </c>
      <c r="F1400" s="32">
        <v>659529.0</v>
      </c>
      <c r="G1400" s="32">
        <v>43.0</v>
      </c>
      <c r="H1400" s="32" t="str">
        <f>VLOOKUP(D1400, Grid_Region_Mapping!$D$2:$F$5286, 3, FALSE)</f>
        <v>MISW</v>
      </c>
      <c r="I1400" s="32">
        <v>4.0</v>
      </c>
      <c r="J1400" s="34" t="str">
        <f t="shared" si="1"/>
        <v>Midwest</v>
      </c>
      <c r="K1400" s="35">
        <v>1.0</v>
      </c>
      <c r="L1400" s="35" t="s">
        <v>707</v>
      </c>
      <c r="M1400" s="36">
        <f>VLOOKUP(D1400, County_Data_CZones!$B$2:$F$3236, 2, FALSE)</f>
        <v>6</v>
      </c>
      <c r="N1400" s="37" t="str">
        <f>VLOOKUP(D1400, County_Data_CZones!$B$2:$F$3236, 5, FALSE)</f>
        <v>Cold</v>
      </c>
    </row>
    <row r="1401" ht="15.75" customHeight="1">
      <c r="A1401" s="32" t="s">
        <v>749</v>
      </c>
      <c r="B1401" s="32" t="s">
        <v>1026</v>
      </c>
      <c r="C1401" s="32" t="str">
        <f>vlookup(B1401,State_EMM_RowSums!$A$2:$B$52,2,FALSE)</f>
        <v>MN</v>
      </c>
      <c r="D1401" s="32">
        <v>27171.0</v>
      </c>
      <c r="E1401" s="33">
        <f>IF(NOT(ISBLANK(vlookup($D1401,Pop_Census_2023!$A$2:$E$3220,4,FALSE))),vlookup($D1401,Pop_Census_2023!$A$2:$E$3220,4,FALSE), vlookup($D1401,Pop_Census_2023!$A$2:$E$3220,5,FALSE))</f>
        <v>151150</v>
      </c>
      <c r="F1401" s="32">
        <v>659530.0</v>
      </c>
      <c r="G1401" s="32">
        <v>43.0</v>
      </c>
      <c r="H1401" s="32" t="str">
        <f>VLOOKUP(D1401, Grid_Region_Mapping!$D$2:$F$5286, 3, FALSE)</f>
        <v>MISW</v>
      </c>
      <c r="I1401" s="32">
        <v>4.0</v>
      </c>
      <c r="J1401" s="34" t="str">
        <f t="shared" si="1"/>
        <v>Midwest</v>
      </c>
      <c r="K1401" s="35">
        <v>1.0</v>
      </c>
      <c r="L1401" s="35" t="s">
        <v>707</v>
      </c>
      <c r="M1401" s="36">
        <f>VLOOKUP(D1401, County_Data_CZones!$B$2:$F$3236, 2, FALSE)</f>
        <v>6</v>
      </c>
      <c r="N1401" s="37" t="str">
        <f>VLOOKUP(D1401, County_Data_CZones!$B$2:$F$3236, 5, FALSE)</f>
        <v>Cold</v>
      </c>
    </row>
    <row r="1402" ht="15.75" customHeight="1">
      <c r="A1402" s="32" t="s">
        <v>1086</v>
      </c>
      <c r="B1402" s="32" t="s">
        <v>1026</v>
      </c>
      <c r="C1402" s="32" t="str">
        <f>vlookup(B1402,State_EMM_RowSums!$A$2:$B$52,2,FALSE)</f>
        <v>MN</v>
      </c>
      <c r="D1402" s="32">
        <v>27173.0</v>
      </c>
      <c r="E1402" s="33">
        <f>IF(NOT(ISBLANK(vlookup($D1402,Pop_Census_2023!$A$2:$E$3220,4,FALSE))),vlookup($D1402,Pop_Census_2023!$A$2:$E$3220,4,FALSE), vlookup($D1402,Pop_Census_2023!$A$2:$E$3220,5,FALSE))</f>
        <v>9467</v>
      </c>
      <c r="F1402" s="32">
        <v>659531.0</v>
      </c>
      <c r="G1402" s="32">
        <v>44.0</v>
      </c>
      <c r="H1402" s="32" t="str">
        <f>VLOOKUP(D1402, Grid_Region_Mapping!$D$2:$F$5286, 3, FALSE)</f>
        <v>SPPN</v>
      </c>
      <c r="I1402" s="32">
        <v>4.0</v>
      </c>
      <c r="J1402" s="34" t="str">
        <f t="shared" si="1"/>
        <v>Midwest</v>
      </c>
      <c r="K1402" s="35">
        <v>1.0</v>
      </c>
      <c r="L1402" s="35" t="s">
        <v>707</v>
      </c>
      <c r="M1402" s="36">
        <f>VLOOKUP(D1402, County_Data_CZones!$B$2:$F$3236, 2, FALSE)</f>
        <v>6</v>
      </c>
      <c r="N1402" s="37" t="str">
        <f>VLOOKUP(D1402, County_Data_CZones!$B$2:$F$3236, 5, FALSE)</f>
        <v>Cold</v>
      </c>
    </row>
    <row r="1403" ht="15.75" customHeight="1">
      <c r="A1403" s="32" t="s">
        <v>338</v>
      </c>
      <c r="B1403" s="32" t="s">
        <v>255</v>
      </c>
      <c r="C1403" s="32" t="str">
        <f>vlookup(B1403,State_EMM_RowSums!$A$2:$B$52,2,FALSE)</f>
        <v>MS</v>
      </c>
      <c r="D1403" s="32">
        <v>28001.0</v>
      </c>
      <c r="E1403" s="33">
        <f>IF(NOT(ISBLANK(vlookup($D1403,Pop_Census_2023!$A$2:$E$3220,4,FALSE))),vlookup($D1403,Pop_Census_2023!$A$2:$E$3220,4,FALSE), vlookup($D1403,Pop_Census_2023!$A$2:$E$3220,5,FALSE))</f>
        <v>28746</v>
      </c>
      <c r="F1403" s="32">
        <v>695726.0</v>
      </c>
      <c r="G1403" s="32">
        <v>87.0</v>
      </c>
      <c r="H1403" s="32" t="str">
        <f>VLOOKUP(D1403, Grid_Region_Mapping!$D$2:$F$5286, 3, FALSE)</f>
        <v>MISS</v>
      </c>
      <c r="I1403" s="32">
        <v>6.0</v>
      </c>
      <c r="J1403" s="34" t="str">
        <f t="shared" si="1"/>
        <v>South</v>
      </c>
      <c r="K1403" s="35">
        <v>5.0</v>
      </c>
      <c r="L1403" s="35" t="s">
        <v>102</v>
      </c>
      <c r="M1403" s="36">
        <f>VLOOKUP(D1403, County_Data_CZones!$B$2:$F$3236, 2, FALSE)</f>
        <v>3</v>
      </c>
      <c r="N1403" s="37" t="str">
        <f>VLOOKUP(D1403, County_Data_CZones!$B$2:$F$3236, 5, FALSE)</f>
        <v>Hot-Humid</v>
      </c>
    </row>
    <row r="1404" ht="15.75" customHeight="1">
      <c r="A1404" s="32" t="s">
        <v>1087</v>
      </c>
      <c r="B1404" s="32" t="s">
        <v>255</v>
      </c>
      <c r="C1404" s="32" t="str">
        <f>vlookup(B1404,State_EMM_RowSums!$A$2:$B$52,2,FALSE)</f>
        <v>MS</v>
      </c>
      <c r="D1404" s="32">
        <v>28003.0</v>
      </c>
      <c r="E1404" s="33">
        <f>IF(NOT(ISBLANK(vlookup($D1404,Pop_Census_2023!$A$2:$E$3220,4,FALSE))),vlookup($D1404,Pop_Census_2023!$A$2:$E$3220,4,FALSE), vlookup($D1404,Pop_Census_2023!$A$2:$E$3220,5,FALSE))</f>
        <v>34135</v>
      </c>
      <c r="F1404" s="32">
        <v>711755.0</v>
      </c>
      <c r="G1404" s="32">
        <v>88.0</v>
      </c>
      <c r="H1404" s="32" t="str">
        <f>VLOOKUP(D1404, Grid_Region_Mapping!$D$2:$F$5286, 3, FALSE)</f>
        <v>SRCE</v>
      </c>
      <c r="I1404" s="32">
        <v>6.0</v>
      </c>
      <c r="J1404" s="34" t="str">
        <f t="shared" si="1"/>
        <v>South</v>
      </c>
      <c r="K1404" s="35">
        <v>4.0</v>
      </c>
      <c r="L1404" s="35" t="s">
        <v>102</v>
      </c>
      <c r="M1404" s="36">
        <f>VLOOKUP(D1404, County_Data_CZones!$B$2:$F$3236, 2, FALSE)</f>
        <v>3</v>
      </c>
      <c r="N1404" s="37" t="str">
        <f>VLOOKUP(D1404, County_Data_CZones!$B$2:$F$3236, 5, FALSE)</f>
        <v>Mixed-Humid</v>
      </c>
    </row>
    <row r="1405" ht="15.75" customHeight="1">
      <c r="A1405" s="32" t="s">
        <v>1088</v>
      </c>
      <c r="B1405" s="32" t="s">
        <v>255</v>
      </c>
      <c r="C1405" s="32" t="str">
        <f>vlookup(B1405,State_EMM_RowSums!$A$2:$B$52,2,FALSE)</f>
        <v>MS</v>
      </c>
      <c r="D1405" s="32">
        <v>28005.0</v>
      </c>
      <c r="E1405" s="33">
        <f>IF(NOT(ISBLANK(vlookup($D1405,Pop_Census_2023!$A$2:$E$3220,4,FALSE))),vlookup($D1405,Pop_Census_2023!$A$2:$E$3220,4,FALSE), vlookup($D1405,Pop_Census_2023!$A$2:$E$3220,5,FALSE))</f>
        <v>12442</v>
      </c>
      <c r="F1405" s="32">
        <v>695727.0</v>
      </c>
      <c r="G1405" s="32">
        <v>87.0</v>
      </c>
      <c r="H1405" s="32" t="str">
        <f>VLOOKUP(D1405, Grid_Region_Mapping!$D$2:$F$5286, 3, FALSE)</f>
        <v>MISS</v>
      </c>
      <c r="I1405" s="32">
        <v>6.0</v>
      </c>
      <c r="J1405" s="34" t="str">
        <f t="shared" si="1"/>
        <v>South</v>
      </c>
      <c r="K1405" s="35">
        <v>5.0</v>
      </c>
      <c r="L1405" s="35" t="s">
        <v>102</v>
      </c>
      <c r="M1405" s="36">
        <f>VLOOKUP(D1405, County_Data_CZones!$B$2:$F$3236, 2, FALSE)</f>
        <v>3</v>
      </c>
      <c r="N1405" s="37" t="str">
        <f>VLOOKUP(D1405, County_Data_CZones!$B$2:$F$3236, 5, FALSE)</f>
        <v>Hot-Humid</v>
      </c>
    </row>
    <row r="1406" ht="15.75" customHeight="1">
      <c r="A1406" s="32" t="s">
        <v>1089</v>
      </c>
      <c r="B1406" s="32" t="s">
        <v>255</v>
      </c>
      <c r="C1406" s="32" t="str">
        <f>vlookup(B1406,State_EMM_RowSums!$A$2:$B$52,2,FALSE)</f>
        <v>MS</v>
      </c>
      <c r="D1406" s="32">
        <v>28007.0</v>
      </c>
      <c r="E1406" s="33">
        <f>IF(NOT(ISBLANK(vlookup($D1406,Pop_Census_2023!$A$2:$E$3220,4,FALSE))),vlookup($D1406,Pop_Census_2023!$A$2:$E$3220,4,FALSE), vlookup($D1406,Pop_Census_2023!$A$2:$E$3220,5,FALSE))</f>
        <v>17359</v>
      </c>
      <c r="F1406" s="32">
        <v>695728.0</v>
      </c>
      <c r="G1406" s="32">
        <v>87.0</v>
      </c>
      <c r="H1406" s="32" t="str">
        <f>VLOOKUP(D1406, Grid_Region_Mapping!$D$2:$F$5286, 3, FALSE)</f>
        <v>MISS</v>
      </c>
      <c r="I1406" s="32">
        <v>6.0</v>
      </c>
      <c r="J1406" s="34" t="str">
        <f t="shared" si="1"/>
        <v>South</v>
      </c>
      <c r="K1406" s="35">
        <v>4.0</v>
      </c>
      <c r="L1406" s="35" t="s">
        <v>102</v>
      </c>
      <c r="M1406" s="36">
        <f>VLOOKUP(D1406, County_Data_CZones!$B$2:$F$3236, 2, FALSE)</f>
        <v>3</v>
      </c>
      <c r="N1406" s="37" t="str">
        <f>VLOOKUP(D1406, County_Data_CZones!$B$2:$F$3236, 5, FALSE)</f>
        <v>Mixed-Humid</v>
      </c>
    </row>
    <row r="1407" ht="15.75" customHeight="1">
      <c r="A1407" s="32" t="s">
        <v>224</v>
      </c>
      <c r="B1407" s="32" t="s">
        <v>255</v>
      </c>
      <c r="C1407" s="32" t="str">
        <f>vlookup(B1407,State_EMM_RowSums!$A$2:$B$52,2,FALSE)</f>
        <v>MS</v>
      </c>
      <c r="D1407" s="32">
        <v>28009.0</v>
      </c>
      <c r="E1407" s="33">
        <f>IF(NOT(ISBLANK(vlookup($D1407,Pop_Census_2023!$A$2:$E$3220,4,FALSE))),vlookup($D1407,Pop_Census_2023!$A$2:$E$3220,4,FALSE), vlookup($D1407,Pop_Census_2023!$A$2:$E$3220,5,FALSE))</f>
        <v>7438</v>
      </c>
      <c r="F1407" s="32">
        <v>695729.0</v>
      </c>
      <c r="G1407" s="32">
        <v>88.0</v>
      </c>
      <c r="H1407" s="32" t="str">
        <f>VLOOKUP(D1407, Grid_Region_Mapping!$D$2:$F$5286, 3, FALSE)</f>
        <v>SRCE</v>
      </c>
      <c r="I1407" s="32">
        <v>6.0</v>
      </c>
      <c r="J1407" s="34" t="str">
        <f t="shared" si="1"/>
        <v>South</v>
      </c>
      <c r="K1407" s="35">
        <v>4.0</v>
      </c>
      <c r="L1407" s="35" t="s">
        <v>102</v>
      </c>
      <c r="M1407" s="36">
        <f>VLOOKUP(D1407, County_Data_CZones!$B$2:$F$3236, 2, FALSE)</f>
        <v>3</v>
      </c>
      <c r="N1407" s="37" t="str">
        <f>VLOOKUP(D1407, County_Data_CZones!$B$2:$F$3236, 5, FALSE)</f>
        <v>Mixed-Humid</v>
      </c>
    </row>
    <row r="1408" ht="15.75" customHeight="1">
      <c r="A1408" s="32" t="s">
        <v>1090</v>
      </c>
      <c r="B1408" s="32" t="s">
        <v>255</v>
      </c>
      <c r="C1408" s="32" t="str">
        <f>vlookup(B1408,State_EMM_RowSums!$A$2:$B$52,2,FALSE)</f>
        <v>MS</v>
      </c>
      <c r="D1408" s="32">
        <v>28011.0</v>
      </c>
      <c r="E1408" s="33">
        <f>IF(NOT(ISBLANK(vlookup($D1408,Pop_Census_2023!$A$2:$E$3220,4,FALSE))),vlookup($D1408,Pop_Census_2023!$A$2:$E$3220,4,FALSE), vlookup($D1408,Pop_Census_2023!$A$2:$E$3220,5,FALSE))</f>
        <v>28968</v>
      </c>
      <c r="F1408" s="32">
        <v>695730.0</v>
      </c>
      <c r="G1408" s="32">
        <v>87.0</v>
      </c>
      <c r="H1408" s="32" t="str">
        <f>VLOOKUP(D1408, Grid_Region_Mapping!$D$2:$F$5286, 3, FALSE)</f>
        <v>MISS</v>
      </c>
      <c r="I1408" s="32">
        <v>6.0</v>
      </c>
      <c r="J1408" s="34" t="str">
        <f t="shared" si="1"/>
        <v>South</v>
      </c>
      <c r="K1408" s="35">
        <v>5.0</v>
      </c>
      <c r="L1408" s="35" t="s">
        <v>102</v>
      </c>
      <c r="M1408" s="36">
        <f>VLOOKUP(D1408, County_Data_CZones!$B$2:$F$3236, 2, FALSE)</f>
        <v>3</v>
      </c>
      <c r="N1408" s="37" t="str">
        <f>VLOOKUP(D1408, County_Data_CZones!$B$2:$F$3236, 5, FALSE)</f>
        <v>Mixed-Humid</v>
      </c>
    </row>
    <row r="1409" ht="15.75" customHeight="1">
      <c r="A1409" s="32" t="s">
        <v>110</v>
      </c>
      <c r="B1409" s="32" t="s">
        <v>255</v>
      </c>
      <c r="C1409" s="32" t="str">
        <f>vlookup(B1409,State_EMM_RowSums!$A$2:$B$52,2,FALSE)</f>
        <v>MS</v>
      </c>
      <c r="D1409" s="32">
        <v>28013.0</v>
      </c>
      <c r="E1409" s="33">
        <f>IF(NOT(ISBLANK(vlookup($D1409,Pop_Census_2023!$A$2:$E$3220,4,FALSE))),vlookup($D1409,Pop_Census_2023!$A$2:$E$3220,4,FALSE), vlookup($D1409,Pop_Census_2023!$A$2:$E$3220,5,FALSE))</f>
        <v>12685</v>
      </c>
      <c r="F1409" s="32">
        <v>695731.0</v>
      </c>
      <c r="G1409" s="32">
        <v>88.0</v>
      </c>
      <c r="H1409" s="32" t="str">
        <f>VLOOKUP(D1409, Grid_Region_Mapping!$D$2:$F$5286, 3, FALSE)</f>
        <v>MISS</v>
      </c>
      <c r="I1409" s="32">
        <v>6.0</v>
      </c>
      <c r="J1409" s="34" t="str">
        <f t="shared" si="1"/>
        <v>South</v>
      </c>
      <c r="K1409" s="35">
        <v>4.0</v>
      </c>
      <c r="L1409" s="35" t="s">
        <v>102</v>
      </c>
      <c r="M1409" s="36">
        <f>VLOOKUP(D1409, County_Data_CZones!$B$2:$F$3236, 2, FALSE)</f>
        <v>3</v>
      </c>
      <c r="N1409" s="37" t="str">
        <f>VLOOKUP(D1409, County_Data_CZones!$B$2:$F$3236, 5, FALSE)</f>
        <v>Mixed-Humid</v>
      </c>
    </row>
    <row r="1410" ht="15.75" customHeight="1">
      <c r="A1410" s="32" t="s">
        <v>227</v>
      </c>
      <c r="B1410" s="32" t="s">
        <v>255</v>
      </c>
      <c r="C1410" s="32" t="str">
        <f>vlookup(B1410,State_EMM_RowSums!$A$2:$B$52,2,FALSE)</f>
        <v>MS</v>
      </c>
      <c r="D1410" s="32">
        <v>28015.0</v>
      </c>
      <c r="E1410" s="33">
        <f>IF(NOT(ISBLANK(vlookup($D1410,Pop_Census_2023!$A$2:$E$3220,4,FALSE))),vlookup($D1410,Pop_Census_2023!$A$2:$E$3220,4,FALSE), vlookup($D1410,Pop_Census_2023!$A$2:$E$3220,5,FALSE))</f>
        <v>9535</v>
      </c>
      <c r="F1410" s="32">
        <v>695732.0</v>
      </c>
      <c r="G1410" s="32">
        <v>87.0</v>
      </c>
      <c r="H1410" s="32" t="str">
        <f>VLOOKUP(D1410, Grid_Region_Mapping!$D$2:$F$5286, 3, FALSE)</f>
        <v>MISS</v>
      </c>
      <c r="I1410" s="32">
        <v>6.0</v>
      </c>
      <c r="J1410" s="34" t="str">
        <f t="shared" si="1"/>
        <v>South</v>
      </c>
      <c r="K1410" s="35">
        <v>4.0</v>
      </c>
      <c r="L1410" s="35" t="s">
        <v>102</v>
      </c>
      <c r="M1410" s="36">
        <f>VLOOKUP(D1410, County_Data_CZones!$B$2:$F$3236, 2, FALSE)</f>
        <v>3</v>
      </c>
      <c r="N1410" s="37" t="str">
        <f>VLOOKUP(D1410, County_Data_CZones!$B$2:$F$3236, 5, FALSE)</f>
        <v>Mixed-Humid</v>
      </c>
    </row>
    <row r="1411" ht="15.75" customHeight="1">
      <c r="A1411" s="32" t="s">
        <v>716</v>
      </c>
      <c r="B1411" s="32" t="s">
        <v>255</v>
      </c>
      <c r="C1411" s="32" t="str">
        <f>vlookup(B1411,State_EMM_RowSums!$A$2:$B$52,2,FALSE)</f>
        <v>MS</v>
      </c>
      <c r="D1411" s="32">
        <v>28017.0</v>
      </c>
      <c r="E1411" s="33">
        <f>IF(NOT(ISBLANK(vlookup($D1411,Pop_Census_2023!$A$2:$E$3220,4,FALSE))),vlookup($D1411,Pop_Census_2023!$A$2:$E$3220,4,FALSE), vlookup($D1411,Pop_Census_2023!$A$2:$E$3220,5,FALSE))</f>
        <v>16866</v>
      </c>
      <c r="F1411" s="32">
        <v>695733.0</v>
      </c>
      <c r="G1411" s="32">
        <v>88.0</v>
      </c>
      <c r="H1411" s="32" t="str">
        <f>VLOOKUP(D1411, Grid_Region_Mapping!$D$2:$F$5286, 3, FALSE)</f>
        <v>SRCE</v>
      </c>
      <c r="I1411" s="32">
        <v>6.0</v>
      </c>
      <c r="J1411" s="34" t="str">
        <f t="shared" si="1"/>
        <v>South</v>
      </c>
      <c r="K1411" s="35">
        <v>4.0</v>
      </c>
      <c r="L1411" s="35" t="s">
        <v>102</v>
      </c>
      <c r="M1411" s="36">
        <f>VLOOKUP(D1411, County_Data_CZones!$B$2:$F$3236, 2, FALSE)</f>
        <v>3</v>
      </c>
      <c r="N1411" s="37" t="str">
        <f>VLOOKUP(D1411, County_Data_CZones!$B$2:$F$3236, 5, FALSE)</f>
        <v>Mixed-Humid</v>
      </c>
    </row>
    <row r="1412" ht="15.75" customHeight="1">
      <c r="A1412" s="32" t="s">
        <v>114</v>
      </c>
      <c r="B1412" s="32" t="s">
        <v>255</v>
      </c>
      <c r="C1412" s="32" t="str">
        <f>vlookup(B1412,State_EMM_RowSums!$A$2:$B$52,2,FALSE)</f>
        <v>MS</v>
      </c>
      <c r="D1412" s="32">
        <v>28019.0</v>
      </c>
      <c r="E1412" s="33">
        <f>IF(NOT(ISBLANK(vlookup($D1412,Pop_Census_2023!$A$2:$E$3220,4,FALSE))),vlookup($D1412,Pop_Census_2023!$A$2:$E$3220,4,FALSE), vlookup($D1412,Pop_Census_2023!$A$2:$E$3220,5,FALSE))</f>
        <v>8088</v>
      </c>
      <c r="F1412" s="32">
        <v>695734.0</v>
      </c>
      <c r="G1412" s="32">
        <v>88.0</v>
      </c>
      <c r="H1412" s="32" t="str">
        <f>VLOOKUP(D1412, Grid_Region_Mapping!$D$2:$F$5286, 3, FALSE)</f>
        <v>SRCE</v>
      </c>
      <c r="I1412" s="32">
        <v>6.0</v>
      </c>
      <c r="J1412" s="34" t="str">
        <f t="shared" si="1"/>
        <v>South</v>
      </c>
      <c r="K1412" s="35">
        <v>4.0</v>
      </c>
      <c r="L1412" s="35" t="s">
        <v>102</v>
      </c>
      <c r="M1412" s="36">
        <f>VLOOKUP(D1412, County_Data_CZones!$B$2:$F$3236, 2, FALSE)</f>
        <v>3</v>
      </c>
      <c r="N1412" s="37" t="str">
        <f>VLOOKUP(D1412, County_Data_CZones!$B$2:$F$3236, 5, FALSE)</f>
        <v>Mixed-Humid</v>
      </c>
    </row>
    <row r="1413" ht="15.75" customHeight="1">
      <c r="A1413" s="32" t="s">
        <v>886</v>
      </c>
      <c r="B1413" s="32" t="s">
        <v>255</v>
      </c>
      <c r="C1413" s="32" t="str">
        <f>vlookup(B1413,State_EMM_RowSums!$A$2:$B$52,2,FALSE)</f>
        <v>MS</v>
      </c>
      <c r="D1413" s="32">
        <v>28021.0</v>
      </c>
      <c r="E1413" s="33">
        <f>IF(NOT(ISBLANK(vlookup($D1413,Pop_Census_2023!$A$2:$E$3220,4,FALSE))),vlookup($D1413,Pop_Census_2023!$A$2:$E$3220,4,FALSE), vlookup($D1413,Pop_Census_2023!$A$2:$E$3220,5,FALSE))</f>
        <v>8617</v>
      </c>
      <c r="F1413" s="32">
        <v>695735.0</v>
      </c>
      <c r="G1413" s="32">
        <v>87.0</v>
      </c>
      <c r="H1413" s="32" t="str">
        <f>VLOOKUP(D1413, Grid_Region_Mapping!$D$2:$F$5286, 3, FALSE)</f>
        <v>MISS</v>
      </c>
      <c r="I1413" s="32">
        <v>6.0</v>
      </c>
      <c r="J1413" s="34" t="str">
        <f t="shared" si="1"/>
        <v>South</v>
      </c>
      <c r="K1413" s="35">
        <v>4.0</v>
      </c>
      <c r="L1413" s="35" t="s">
        <v>102</v>
      </c>
      <c r="M1413" s="36">
        <f>VLOOKUP(D1413, County_Data_CZones!$B$2:$F$3236, 2, FALSE)</f>
        <v>3</v>
      </c>
      <c r="N1413" s="37" t="str">
        <f>VLOOKUP(D1413, County_Data_CZones!$B$2:$F$3236, 5, FALSE)</f>
        <v>Hot-Humid</v>
      </c>
    </row>
    <row r="1414" ht="15.75" customHeight="1">
      <c r="A1414" s="32" t="s">
        <v>115</v>
      </c>
      <c r="B1414" s="32" t="s">
        <v>255</v>
      </c>
      <c r="C1414" s="32" t="str">
        <f>vlookup(B1414,State_EMM_RowSums!$A$2:$B$52,2,FALSE)</f>
        <v>MS</v>
      </c>
      <c r="D1414" s="32">
        <v>28023.0</v>
      </c>
      <c r="E1414" s="33">
        <f>IF(NOT(ISBLANK(vlookup($D1414,Pop_Census_2023!$A$2:$E$3220,4,FALSE))),vlookup($D1414,Pop_Census_2023!$A$2:$E$3220,4,FALSE), vlookup($D1414,Pop_Census_2023!$A$2:$E$3220,5,FALSE))</f>
        <v>15228</v>
      </c>
      <c r="F1414" s="32">
        <v>695736.0</v>
      </c>
      <c r="G1414" s="32">
        <v>87.0</v>
      </c>
      <c r="H1414" s="32" t="str">
        <f>VLOOKUP(D1414, Grid_Region_Mapping!$D$2:$F$5286, 3, FALSE)</f>
        <v>SRSE</v>
      </c>
      <c r="I1414" s="32">
        <v>6.0</v>
      </c>
      <c r="J1414" s="34" t="str">
        <f t="shared" si="1"/>
        <v>South</v>
      </c>
      <c r="K1414" s="35">
        <v>4.0</v>
      </c>
      <c r="L1414" s="35" t="s">
        <v>102</v>
      </c>
      <c r="M1414" s="36">
        <f>VLOOKUP(D1414, County_Data_CZones!$B$2:$F$3236, 2, FALSE)</f>
        <v>3</v>
      </c>
      <c r="N1414" s="37" t="str">
        <f>VLOOKUP(D1414, County_Data_CZones!$B$2:$F$3236, 5, FALSE)</f>
        <v>Mixed-Humid</v>
      </c>
    </row>
    <row r="1415" ht="15.75" customHeight="1">
      <c r="A1415" s="32" t="s">
        <v>116</v>
      </c>
      <c r="B1415" s="32" t="s">
        <v>255</v>
      </c>
      <c r="C1415" s="32" t="str">
        <f>vlookup(B1415,State_EMM_RowSums!$A$2:$B$52,2,FALSE)</f>
        <v>MS</v>
      </c>
      <c r="D1415" s="32">
        <v>28025.0</v>
      </c>
      <c r="E1415" s="33">
        <f>IF(NOT(ISBLANK(vlookup($D1415,Pop_Census_2023!$A$2:$E$3220,4,FALSE))),vlookup($D1415,Pop_Census_2023!$A$2:$E$3220,4,FALSE), vlookup($D1415,Pop_Census_2023!$A$2:$E$3220,5,FALSE))</f>
        <v>18206</v>
      </c>
      <c r="F1415" s="32">
        <v>695737.0</v>
      </c>
      <c r="G1415" s="32">
        <v>88.0</v>
      </c>
      <c r="H1415" s="32" t="str">
        <f>VLOOKUP(D1415, Grid_Region_Mapping!$D$2:$F$5286, 3, FALSE)</f>
        <v>SRCE</v>
      </c>
      <c r="I1415" s="32">
        <v>6.0</v>
      </c>
      <c r="J1415" s="34" t="str">
        <f t="shared" si="1"/>
        <v>South</v>
      </c>
      <c r="K1415" s="35">
        <v>4.0</v>
      </c>
      <c r="L1415" s="35" t="s">
        <v>102</v>
      </c>
      <c r="M1415" s="36">
        <f>VLOOKUP(D1415, County_Data_CZones!$B$2:$F$3236, 2, FALSE)</f>
        <v>3</v>
      </c>
      <c r="N1415" s="37" t="str">
        <f>VLOOKUP(D1415, County_Data_CZones!$B$2:$F$3236, 5, FALSE)</f>
        <v>Mixed-Humid</v>
      </c>
    </row>
    <row r="1416" ht="15.75" customHeight="1">
      <c r="A1416" s="32" t="s">
        <v>1091</v>
      </c>
      <c r="B1416" s="32" t="s">
        <v>255</v>
      </c>
      <c r="C1416" s="32" t="str">
        <f>vlookup(B1416,State_EMM_RowSums!$A$2:$B$52,2,FALSE)</f>
        <v>MS</v>
      </c>
      <c r="D1416" s="32">
        <v>28027.0</v>
      </c>
      <c r="E1416" s="33">
        <f>IF(NOT(ISBLANK(vlookup($D1416,Pop_Census_2023!$A$2:$E$3220,4,FALSE))),vlookup($D1416,Pop_Census_2023!$A$2:$E$3220,4,FALSE), vlookup($D1416,Pop_Census_2023!$A$2:$E$3220,5,FALSE))</f>
        <v>20077</v>
      </c>
      <c r="F1416" s="32">
        <v>695738.0</v>
      </c>
      <c r="G1416" s="32">
        <v>87.0</v>
      </c>
      <c r="H1416" s="32" t="str">
        <f>VLOOKUP(D1416, Grid_Region_Mapping!$D$2:$F$5286, 3, FALSE)</f>
        <v>MISS</v>
      </c>
      <c r="I1416" s="32">
        <v>6.0</v>
      </c>
      <c r="J1416" s="34" t="str">
        <f t="shared" si="1"/>
        <v>South</v>
      </c>
      <c r="K1416" s="35">
        <v>5.0</v>
      </c>
      <c r="L1416" s="35" t="s">
        <v>102</v>
      </c>
      <c r="M1416" s="36">
        <f>VLOOKUP(D1416, County_Data_CZones!$B$2:$F$3236, 2, FALSE)</f>
        <v>3</v>
      </c>
      <c r="N1416" s="37" t="str">
        <f>VLOOKUP(D1416, County_Data_CZones!$B$2:$F$3236, 5, FALSE)</f>
        <v>Mixed-Humid</v>
      </c>
    </row>
    <row r="1417" ht="15.75" customHeight="1">
      <c r="A1417" s="32" t="s">
        <v>1092</v>
      </c>
      <c r="B1417" s="32" t="s">
        <v>255</v>
      </c>
      <c r="C1417" s="32" t="str">
        <f>vlookup(B1417,State_EMM_RowSums!$A$2:$B$52,2,FALSE)</f>
        <v>MS</v>
      </c>
      <c r="D1417" s="32">
        <v>28029.0</v>
      </c>
      <c r="E1417" s="33">
        <f>IF(NOT(ISBLANK(vlookup($D1417,Pop_Census_2023!$A$2:$E$3220,4,FALSE))),vlookup($D1417,Pop_Census_2023!$A$2:$E$3220,4,FALSE), vlookup($D1417,Pop_Census_2023!$A$2:$E$3220,5,FALSE))</f>
        <v>27664</v>
      </c>
      <c r="F1417" s="32">
        <v>695739.0</v>
      </c>
      <c r="G1417" s="32">
        <v>87.0</v>
      </c>
      <c r="H1417" s="32" t="str">
        <f>VLOOKUP(D1417, Grid_Region_Mapping!$D$2:$F$5286, 3, FALSE)</f>
        <v>MISS</v>
      </c>
      <c r="I1417" s="32">
        <v>6.0</v>
      </c>
      <c r="J1417" s="34" t="str">
        <f t="shared" si="1"/>
        <v>South</v>
      </c>
      <c r="K1417" s="35">
        <v>5.0</v>
      </c>
      <c r="L1417" s="35" t="s">
        <v>102</v>
      </c>
      <c r="M1417" s="36">
        <f>VLOOKUP(D1417, County_Data_CZones!$B$2:$F$3236, 2, FALSE)</f>
        <v>3</v>
      </c>
      <c r="N1417" s="37" t="str">
        <f>VLOOKUP(D1417, County_Data_CZones!$B$2:$F$3236, 5, FALSE)</f>
        <v>Hot-Humid</v>
      </c>
    </row>
    <row r="1418" ht="15.75" customHeight="1">
      <c r="A1418" s="32" t="s">
        <v>122</v>
      </c>
      <c r="B1418" s="32" t="s">
        <v>255</v>
      </c>
      <c r="C1418" s="32" t="str">
        <f>vlookup(B1418,State_EMM_RowSums!$A$2:$B$52,2,FALSE)</f>
        <v>MS</v>
      </c>
      <c r="D1418" s="32">
        <v>28031.0</v>
      </c>
      <c r="E1418" s="33">
        <f>IF(NOT(ISBLANK(vlookup($D1418,Pop_Census_2023!$A$2:$E$3220,4,FALSE))),vlookup($D1418,Pop_Census_2023!$A$2:$E$3220,4,FALSE), vlookup($D1418,Pop_Census_2023!$A$2:$E$3220,5,FALSE))</f>
        <v>18059</v>
      </c>
      <c r="F1418" s="32">
        <v>695740.0</v>
      </c>
      <c r="G1418" s="32">
        <v>87.0</v>
      </c>
      <c r="H1418" s="32" t="str">
        <f>VLOOKUP(D1418, Grid_Region_Mapping!$D$2:$F$5286, 3, FALSE)</f>
        <v>SRSE</v>
      </c>
      <c r="I1418" s="32">
        <v>6.0</v>
      </c>
      <c r="J1418" s="34" t="str">
        <f t="shared" si="1"/>
        <v>South</v>
      </c>
      <c r="K1418" s="35">
        <v>5.0</v>
      </c>
      <c r="L1418" s="35" t="s">
        <v>102</v>
      </c>
      <c r="M1418" s="36">
        <f>VLOOKUP(D1418, County_Data_CZones!$B$2:$F$3236, 2, FALSE)</f>
        <v>3</v>
      </c>
      <c r="N1418" s="37" t="str">
        <f>VLOOKUP(D1418, County_Data_CZones!$B$2:$F$3236, 5, FALSE)</f>
        <v>Hot-Humid</v>
      </c>
    </row>
    <row r="1419" ht="15.75" customHeight="1">
      <c r="A1419" s="32" t="s">
        <v>420</v>
      </c>
      <c r="B1419" s="32" t="s">
        <v>255</v>
      </c>
      <c r="C1419" s="32" t="str">
        <f>vlookup(B1419,State_EMM_RowSums!$A$2:$B$52,2,FALSE)</f>
        <v>MS</v>
      </c>
      <c r="D1419" s="32">
        <v>28033.0</v>
      </c>
      <c r="E1419" s="33">
        <f>IF(NOT(ISBLANK(vlookup($D1419,Pop_Census_2023!$A$2:$E$3220,4,FALSE))),vlookup($D1419,Pop_Census_2023!$A$2:$E$3220,4,FALSE), vlookup($D1419,Pop_Census_2023!$A$2:$E$3220,5,FALSE))</f>
        <v>193247</v>
      </c>
      <c r="F1419" s="32">
        <v>695741.0</v>
      </c>
      <c r="G1419" s="32">
        <v>87.0</v>
      </c>
      <c r="H1419" s="32" t="str">
        <f>VLOOKUP(D1419, Grid_Region_Mapping!$D$2:$F$5286, 3, FALSE)</f>
        <v>MISS</v>
      </c>
      <c r="I1419" s="32">
        <v>6.0</v>
      </c>
      <c r="J1419" s="34" t="str">
        <f t="shared" si="1"/>
        <v>South</v>
      </c>
      <c r="K1419" s="35">
        <v>5.0</v>
      </c>
      <c r="L1419" s="35" t="s">
        <v>102</v>
      </c>
      <c r="M1419" s="36">
        <f>VLOOKUP(D1419, County_Data_CZones!$B$2:$F$3236, 2, FALSE)</f>
        <v>3</v>
      </c>
      <c r="N1419" s="37" t="str">
        <f>VLOOKUP(D1419, County_Data_CZones!$B$2:$F$3236, 5, FALSE)</f>
        <v>Mixed-Humid</v>
      </c>
    </row>
    <row r="1420" ht="15.75" customHeight="1">
      <c r="A1420" s="32" t="s">
        <v>1093</v>
      </c>
      <c r="B1420" s="32" t="s">
        <v>255</v>
      </c>
      <c r="C1420" s="32" t="str">
        <f>vlookup(B1420,State_EMM_RowSums!$A$2:$B$52,2,FALSE)</f>
        <v>MS</v>
      </c>
      <c r="D1420" s="32">
        <v>28035.0</v>
      </c>
      <c r="E1420" s="33">
        <f>IF(NOT(ISBLANK(vlookup($D1420,Pop_Census_2023!$A$2:$E$3220,4,FALSE))),vlookup($D1420,Pop_Census_2023!$A$2:$E$3220,4,FALSE), vlookup($D1420,Pop_Census_2023!$A$2:$E$3220,5,FALSE))</f>
        <v>78208</v>
      </c>
      <c r="F1420" s="32">
        <v>695742.0</v>
      </c>
      <c r="G1420" s="32">
        <v>87.0</v>
      </c>
      <c r="H1420" s="32" t="str">
        <f>VLOOKUP(D1420, Grid_Region_Mapping!$D$2:$F$5286, 3, FALSE)</f>
        <v>SRSE</v>
      </c>
      <c r="I1420" s="32">
        <v>6.0</v>
      </c>
      <c r="J1420" s="34" t="str">
        <f t="shared" si="1"/>
        <v>South</v>
      </c>
      <c r="K1420" s="35">
        <v>5.0</v>
      </c>
      <c r="L1420" s="35" t="s">
        <v>102</v>
      </c>
      <c r="M1420" s="36">
        <f>VLOOKUP(D1420, County_Data_CZones!$B$2:$F$3236, 2, FALSE)</f>
        <v>3</v>
      </c>
      <c r="N1420" s="37" t="str">
        <f>VLOOKUP(D1420, County_Data_CZones!$B$2:$F$3236, 5, FALSE)</f>
        <v>Hot-Humid</v>
      </c>
    </row>
    <row r="1421" ht="15.75" customHeight="1">
      <c r="A1421" s="32" t="s">
        <v>132</v>
      </c>
      <c r="B1421" s="32" t="s">
        <v>255</v>
      </c>
      <c r="C1421" s="32" t="str">
        <f>vlookup(B1421,State_EMM_RowSums!$A$2:$B$52,2,FALSE)</f>
        <v>MS</v>
      </c>
      <c r="D1421" s="32">
        <v>28037.0</v>
      </c>
      <c r="E1421" s="33">
        <f>IF(NOT(ISBLANK(vlookup($D1421,Pop_Census_2023!$A$2:$E$3220,4,FALSE))),vlookup($D1421,Pop_Census_2023!$A$2:$E$3220,4,FALSE), vlookup($D1421,Pop_Census_2023!$A$2:$E$3220,5,FALSE))</f>
        <v>7610</v>
      </c>
      <c r="F1421" s="32">
        <v>695743.0</v>
      </c>
      <c r="G1421" s="32">
        <v>87.0</v>
      </c>
      <c r="H1421" s="32" t="str">
        <f>VLOOKUP(D1421, Grid_Region_Mapping!$D$2:$F$5286, 3, FALSE)</f>
        <v>MISS</v>
      </c>
      <c r="I1421" s="32">
        <v>6.0</v>
      </c>
      <c r="J1421" s="34" t="str">
        <f t="shared" si="1"/>
        <v>South</v>
      </c>
      <c r="K1421" s="35">
        <v>5.0</v>
      </c>
      <c r="L1421" s="35" t="s">
        <v>102</v>
      </c>
      <c r="M1421" s="36">
        <f>VLOOKUP(D1421, County_Data_CZones!$B$2:$F$3236, 2, FALSE)</f>
        <v>3</v>
      </c>
      <c r="N1421" s="37" t="str">
        <f>VLOOKUP(D1421, County_Data_CZones!$B$2:$F$3236, 5, FALSE)</f>
        <v>Hot-Humid</v>
      </c>
    </row>
    <row r="1422" ht="15.75" customHeight="1">
      <c r="A1422" s="32" t="s">
        <v>1094</v>
      </c>
      <c r="B1422" s="32" t="s">
        <v>255</v>
      </c>
      <c r="C1422" s="32" t="str">
        <f>vlookup(B1422,State_EMM_RowSums!$A$2:$B$52,2,FALSE)</f>
        <v>MS</v>
      </c>
      <c r="D1422" s="32">
        <v>28039.0</v>
      </c>
      <c r="E1422" s="33">
        <f>IF(NOT(ISBLANK(vlookup($D1422,Pop_Census_2023!$A$2:$E$3220,4,FALSE))),vlookup($D1422,Pop_Census_2023!$A$2:$E$3220,4,FALSE), vlookup($D1422,Pop_Census_2023!$A$2:$E$3220,5,FALSE))</f>
        <v>25619</v>
      </c>
      <c r="F1422" s="32">
        <v>695744.0</v>
      </c>
      <c r="G1422" s="32">
        <v>87.0</v>
      </c>
      <c r="H1422" s="32" t="str">
        <f>VLOOKUP(D1422, Grid_Region_Mapping!$D$2:$F$5286, 3, FALSE)</f>
        <v>SRSE</v>
      </c>
      <c r="I1422" s="32">
        <v>6.0</v>
      </c>
      <c r="J1422" s="34" t="str">
        <f t="shared" si="1"/>
        <v>South</v>
      </c>
      <c r="K1422" s="35">
        <v>5.0</v>
      </c>
      <c r="L1422" s="35" t="s">
        <v>102</v>
      </c>
      <c r="M1422" s="36">
        <f>VLOOKUP(D1422, County_Data_CZones!$B$2:$F$3236, 2, FALSE)</f>
        <v>3</v>
      </c>
      <c r="N1422" s="37" t="str">
        <f>VLOOKUP(D1422, County_Data_CZones!$B$2:$F$3236, 5, FALSE)</f>
        <v>Hot-Humid</v>
      </c>
    </row>
    <row r="1423" ht="15.75" customHeight="1">
      <c r="A1423" s="32" t="s">
        <v>134</v>
      </c>
      <c r="B1423" s="32" t="s">
        <v>255</v>
      </c>
      <c r="C1423" s="32" t="str">
        <f>vlookup(B1423,State_EMM_RowSums!$A$2:$B$52,2,FALSE)</f>
        <v>MS</v>
      </c>
      <c r="D1423" s="32">
        <v>28041.0</v>
      </c>
      <c r="E1423" s="33">
        <f>IF(NOT(ISBLANK(vlookup($D1423,Pop_Census_2023!$A$2:$E$3220,4,FALSE))),vlookup($D1423,Pop_Census_2023!$A$2:$E$3220,4,FALSE), vlookup($D1423,Pop_Census_2023!$A$2:$E$3220,5,FALSE))</f>
        <v>13601</v>
      </c>
      <c r="F1423" s="32">
        <v>695745.0</v>
      </c>
      <c r="G1423" s="32">
        <v>87.0</v>
      </c>
      <c r="H1423" s="32" t="str">
        <f>VLOOKUP(D1423, Grid_Region_Mapping!$D$2:$F$5286, 3, FALSE)</f>
        <v>SRSE</v>
      </c>
      <c r="I1423" s="32">
        <v>6.0</v>
      </c>
      <c r="J1423" s="34" t="str">
        <f t="shared" si="1"/>
        <v>South</v>
      </c>
      <c r="K1423" s="35">
        <v>5.0</v>
      </c>
      <c r="L1423" s="35" t="s">
        <v>102</v>
      </c>
      <c r="M1423" s="36">
        <f>VLOOKUP(D1423, County_Data_CZones!$B$2:$F$3236, 2, FALSE)</f>
        <v>3</v>
      </c>
      <c r="N1423" s="37" t="str">
        <f>VLOOKUP(D1423, County_Data_CZones!$B$2:$F$3236, 5, FALSE)</f>
        <v>Hot-Humid</v>
      </c>
    </row>
    <row r="1424" ht="15.75" customHeight="1">
      <c r="A1424" s="32" t="s">
        <v>1095</v>
      </c>
      <c r="B1424" s="32" t="s">
        <v>255</v>
      </c>
      <c r="C1424" s="32" t="str">
        <f>vlookup(B1424,State_EMM_RowSums!$A$2:$B$52,2,FALSE)</f>
        <v>MS</v>
      </c>
      <c r="D1424" s="32">
        <v>28043.0</v>
      </c>
      <c r="E1424" s="33">
        <f>IF(NOT(ISBLANK(vlookup($D1424,Pop_Census_2023!$A$2:$E$3220,4,FALSE))),vlookup($D1424,Pop_Census_2023!$A$2:$E$3220,4,FALSE), vlookup($D1424,Pop_Census_2023!$A$2:$E$3220,5,FALSE))</f>
        <v>21065</v>
      </c>
      <c r="F1424" s="32">
        <v>695746.0</v>
      </c>
      <c r="G1424" s="32">
        <v>87.0</v>
      </c>
      <c r="H1424" s="32" t="str">
        <f>VLOOKUP(D1424, Grid_Region_Mapping!$D$2:$F$5286, 3, FALSE)</f>
        <v>MISS</v>
      </c>
      <c r="I1424" s="32">
        <v>6.0</v>
      </c>
      <c r="J1424" s="34" t="str">
        <f t="shared" si="1"/>
        <v>South</v>
      </c>
      <c r="K1424" s="35">
        <v>4.0</v>
      </c>
      <c r="L1424" s="35" t="s">
        <v>102</v>
      </c>
      <c r="M1424" s="36">
        <f>VLOOKUP(D1424, County_Data_CZones!$B$2:$F$3236, 2, FALSE)</f>
        <v>3</v>
      </c>
      <c r="N1424" s="37" t="str">
        <f>VLOOKUP(D1424, County_Data_CZones!$B$2:$F$3236, 5, FALSE)</f>
        <v>Mixed-Humid</v>
      </c>
    </row>
    <row r="1425" ht="15.75" customHeight="1">
      <c r="A1425" s="32" t="s">
        <v>512</v>
      </c>
      <c r="B1425" s="32" t="s">
        <v>255</v>
      </c>
      <c r="C1425" s="32" t="str">
        <f>vlookup(B1425,State_EMM_RowSums!$A$2:$B$52,2,FALSE)</f>
        <v>MS</v>
      </c>
      <c r="D1425" s="32">
        <v>28045.0</v>
      </c>
      <c r="E1425" s="33">
        <f>IF(NOT(ISBLANK(vlookup($D1425,Pop_Census_2023!$A$2:$E$3220,4,FALSE))),vlookup($D1425,Pop_Census_2023!$A$2:$E$3220,4,FALSE), vlookup($D1425,Pop_Census_2023!$A$2:$E$3220,5,FALSE))</f>
        <v>46159</v>
      </c>
      <c r="F1425" s="32">
        <v>711756.0</v>
      </c>
      <c r="G1425" s="32">
        <v>87.0</v>
      </c>
      <c r="H1425" s="32" t="str">
        <f>VLOOKUP(D1425, Grid_Region_Mapping!$D$2:$F$5286, 3, FALSE)</f>
        <v>SRSE</v>
      </c>
      <c r="I1425" s="32">
        <v>6.0</v>
      </c>
      <c r="J1425" s="34" t="str">
        <f t="shared" si="1"/>
        <v>South</v>
      </c>
      <c r="K1425" s="35">
        <v>5.0</v>
      </c>
      <c r="L1425" s="35" t="s">
        <v>104</v>
      </c>
      <c r="M1425" s="36">
        <f>VLOOKUP(D1425, County_Data_CZones!$B$2:$F$3236, 2, FALSE)</f>
        <v>2</v>
      </c>
      <c r="N1425" s="37" t="str">
        <f>VLOOKUP(D1425, County_Data_CZones!$B$2:$F$3236, 5, FALSE)</f>
        <v>Hot-Humid</v>
      </c>
    </row>
    <row r="1426" ht="15.75" customHeight="1">
      <c r="A1426" s="32" t="s">
        <v>673</v>
      </c>
      <c r="B1426" s="32" t="s">
        <v>255</v>
      </c>
      <c r="C1426" s="32" t="str">
        <f>vlookup(B1426,State_EMM_RowSums!$A$2:$B$52,2,FALSE)</f>
        <v>MS</v>
      </c>
      <c r="D1426" s="32">
        <v>28047.0</v>
      </c>
      <c r="E1426" s="33">
        <f>IF(NOT(ISBLANK(vlookup($D1426,Pop_Census_2023!$A$2:$E$3220,4,FALSE))),vlookup($D1426,Pop_Census_2023!$A$2:$E$3220,4,FALSE), vlookup($D1426,Pop_Census_2023!$A$2:$E$3220,5,FALSE))</f>
        <v>210612</v>
      </c>
      <c r="F1426" s="32">
        <v>695747.0</v>
      </c>
      <c r="G1426" s="32">
        <v>87.0</v>
      </c>
      <c r="H1426" s="32" t="str">
        <f>VLOOKUP(D1426, Grid_Region_Mapping!$D$2:$F$5286, 3, FALSE)</f>
        <v>SRSE</v>
      </c>
      <c r="I1426" s="32">
        <v>6.0</v>
      </c>
      <c r="J1426" s="34" t="str">
        <f t="shared" si="1"/>
        <v>South</v>
      </c>
      <c r="K1426" s="35">
        <v>5.0</v>
      </c>
      <c r="L1426" s="35" t="s">
        <v>104</v>
      </c>
      <c r="M1426" s="36">
        <f>VLOOKUP(D1426, County_Data_CZones!$B$2:$F$3236, 2, FALSE)</f>
        <v>2</v>
      </c>
      <c r="N1426" s="37" t="str">
        <f>VLOOKUP(D1426, County_Data_CZones!$B$2:$F$3236, 5, FALSE)</f>
        <v>Hot-Humid</v>
      </c>
    </row>
    <row r="1427" ht="15.75" customHeight="1">
      <c r="A1427" s="32" t="s">
        <v>1096</v>
      </c>
      <c r="B1427" s="32" t="s">
        <v>255</v>
      </c>
      <c r="C1427" s="32" t="str">
        <f>vlookup(B1427,State_EMM_RowSums!$A$2:$B$52,2,FALSE)</f>
        <v>MS</v>
      </c>
      <c r="D1427" s="32">
        <v>28049.0</v>
      </c>
      <c r="E1427" s="33">
        <f>IF(NOT(ISBLANK(vlookup($D1427,Pop_Census_2023!$A$2:$E$3220,4,FALSE))),vlookup($D1427,Pop_Census_2023!$A$2:$E$3220,4,FALSE), vlookup($D1427,Pop_Census_2023!$A$2:$E$3220,5,FALSE))</f>
        <v>214870</v>
      </c>
      <c r="F1427" s="32">
        <v>695748.0</v>
      </c>
      <c r="G1427" s="32">
        <v>87.0</v>
      </c>
      <c r="H1427" s="32" t="str">
        <f>VLOOKUP(D1427, Grid_Region_Mapping!$D$2:$F$5286, 3, FALSE)</f>
        <v>MISS</v>
      </c>
      <c r="I1427" s="32">
        <v>6.0</v>
      </c>
      <c r="J1427" s="34" t="str">
        <f t="shared" si="1"/>
        <v>South</v>
      </c>
      <c r="K1427" s="35">
        <v>5.0</v>
      </c>
      <c r="L1427" s="35" t="s">
        <v>102</v>
      </c>
      <c r="M1427" s="36">
        <f>VLOOKUP(D1427, County_Data_CZones!$B$2:$F$3236, 2, FALSE)</f>
        <v>3</v>
      </c>
      <c r="N1427" s="37" t="str">
        <f>VLOOKUP(D1427, County_Data_CZones!$B$2:$F$3236, 5, FALSE)</f>
        <v>Hot-Humid</v>
      </c>
    </row>
    <row r="1428" ht="15.75" customHeight="1">
      <c r="A1428" s="32" t="s">
        <v>434</v>
      </c>
      <c r="B1428" s="32" t="s">
        <v>255</v>
      </c>
      <c r="C1428" s="32" t="str">
        <f>vlookup(B1428,State_EMM_RowSums!$A$2:$B$52,2,FALSE)</f>
        <v>MS</v>
      </c>
      <c r="D1428" s="32">
        <v>28051.0</v>
      </c>
      <c r="E1428" s="33">
        <f>IF(NOT(ISBLANK(vlookup($D1428,Pop_Census_2023!$A$2:$E$3220,4,FALSE))),vlookup($D1428,Pop_Census_2023!$A$2:$E$3220,4,FALSE), vlookup($D1428,Pop_Census_2023!$A$2:$E$3220,5,FALSE))</f>
        <v>15777</v>
      </c>
      <c r="F1428" s="32">
        <v>695749.0</v>
      </c>
      <c r="G1428" s="32">
        <v>87.0</v>
      </c>
      <c r="H1428" s="32" t="str">
        <f>VLOOKUP(D1428, Grid_Region_Mapping!$D$2:$F$5286, 3, FALSE)</f>
        <v>MISS</v>
      </c>
      <c r="I1428" s="32">
        <v>6.0</v>
      </c>
      <c r="J1428" s="34" t="str">
        <f t="shared" si="1"/>
        <v>South</v>
      </c>
      <c r="K1428" s="35">
        <v>4.0</v>
      </c>
      <c r="L1428" s="35" t="s">
        <v>102</v>
      </c>
      <c r="M1428" s="36">
        <f>VLOOKUP(D1428, County_Data_CZones!$B$2:$F$3236, 2, FALSE)</f>
        <v>3</v>
      </c>
      <c r="N1428" s="37" t="str">
        <f>VLOOKUP(D1428, County_Data_CZones!$B$2:$F$3236, 5, FALSE)</f>
        <v>Mixed-Humid</v>
      </c>
    </row>
    <row r="1429" ht="15.75" customHeight="1">
      <c r="A1429" s="32" t="s">
        <v>1097</v>
      </c>
      <c r="B1429" s="32" t="s">
        <v>255</v>
      </c>
      <c r="C1429" s="32" t="str">
        <f>vlookup(B1429,State_EMM_RowSums!$A$2:$B$52,2,FALSE)</f>
        <v>MS</v>
      </c>
      <c r="D1429" s="32">
        <v>28053.0</v>
      </c>
      <c r="E1429" s="33">
        <f>IF(NOT(ISBLANK(vlookup($D1429,Pop_Census_2023!$A$2:$E$3220,4,FALSE))),vlookup($D1429,Pop_Census_2023!$A$2:$E$3220,4,FALSE), vlookup($D1429,Pop_Census_2023!$A$2:$E$3220,5,FALSE))</f>
        <v>7216</v>
      </c>
      <c r="F1429" s="32">
        <v>695750.0</v>
      </c>
      <c r="G1429" s="32">
        <v>87.0</v>
      </c>
      <c r="H1429" s="32" t="str">
        <f>VLOOKUP(D1429, Grid_Region_Mapping!$D$2:$F$5286, 3, FALSE)</f>
        <v>MISS</v>
      </c>
      <c r="I1429" s="32">
        <v>6.0</v>
      </c>
      <c r="J1429" s="34" t="str">
        <f t="shared" si="1"/>
        <v>South</v>
      </c>
      <c r="K1429" s="35">
        <v>5.0</v>
      </c>
      <c r="L1429" s="35" t="s">
        <v>102</v>
      </c>
      <c r="M1429" s="36">
        <f>VLOOKUP(D1429, County_Data_CZones!$B$2:$F$3236, 2, FALSE)</f>
        <v>3</v>
      </c>
      <c r="N1429" s="37" t="str">
        <f>VLOOKUP(D1429, County_Data_CZones!$B$2:$F$3236, 5, FALSE)</f>
        <v>Mixed-Humid</v>
      </c>
    </row>
    <row r="1430" ht="15.75" customHeight="1">
      <c r="A1430" s="32" t="s">
        <v>1098</v>
      </c>
      <c r="B1430" s="32" t="s">
        <v>255</v>
      </c>
      <c r="C1430" s="32" t="str">
        <f>vlookup(B1430,State_EMM_RowSums!$A$2:$B$52,2,FALSE)</f>
        <v>MS</v>
      </c>
      <c r="D1430" s="32">
        <v>28055.0</v>
      </c>
      <c r="E1430" s="33">
        <f>IF(NOT(ISBLANK(vlookup($D1430,Pop_Census_2023!$A$2:$E$3220,4,FALSE))),vlookup($D1430,Pop_Census_2023!$A$2:$E$3220,4,FALSE), vlookup($D1430,Pop_Census_2023!$A$2:$E$3220,5,FALSE))</f>
        <v>1256</v>
      </c>
      <c r="F1430" s="32">
        <v>695751.0</v>
      </c>
      <c r="G1430" s="32">
        <v>87.0</v>
      </c>
      <c r="H1430" s="32" t="str">
        <f>VLOOKUP(D1430, Grid_Region_Mapping!$D$2:$F$5286, 3, FALSE)</f>
        <v>MISS</v>
      </c>
      <c r="I1430" s="32">
        <v>6.0</v>
      </c>
      <c r="J1430" s="34" t="str">
        <f t="shared" si="1"/>
        <v>South</v>
      </c>
      <c r="K1430" s="35">
        <v>5.0</v>
      </c>
      <c r="L1430" s="35" t="s">
        <v>102</v>
      </c>
      <c r="M1430" s="36">
        <f>VLOOKUP(D1430, County_Data_CZones!$B$2:$F$3236, 2, FALSE)</f>
        <v>3</v>
      </c>
      <c r="N1430" s="37" t="str">
        <f>VLOOKUP(D1430, County_Data_CZones!$B$2:$F$3236, 5, FALSE)</f>
        <v>Mixed-Humid</v>
      </c>
    </row>
    <row r="1431" ht="15.75" customHeight="1">
      <c r="A1431" s="32" t="s">
        <v>1099</v>
      </c>
      <c r="B1431" s="32" t="s">
        <v>255</v>
      </c>
      <c r="C1431" s="32" t="str">
        <f>vlookup(B1431,State_EMM_RowSums!$A$2:$B$52,2,FALSE)</f>
        <v>MS</v>
      </c>
      <c r="D1431" s="32">
        <v>28057.0</v>
      </c>
      <c r="E1431" s="33">
        <f>IF(NOT(ISBLANK(vlookup($D1431,Pop_Census_2023!$A$2:$E$3220,4,FALSE))),vlookup($D1431,Pop_Census_2023!$A$2:$E$3220,4,FALSE), vlookup($D1431,Pop_Census_2023!$A$2:$E$3220,5,FALSE))</f>
        <v>24093</v>
      </c>
      <c r="F1431" s="32">
        <v>695752.0</v>
      </c>
      <c r="G1431" s="32">
        <v>88.0</v>
      </c>
      <c r="H1431" s="32" t="str">
        <f>VLOOKUP(D1431, Grid_Region_Mapping!$D$2:$F$5286, 3, FALSE)</f>
        <v>SRCE</v>
      </c>
      <c r="I1431" s="32">
        <v>6.0</v>
      </c>
      <c r="J1431" s="34" t="str">
        <f t="shared" si="1"/>
        <v>South</v>
      </c>
      <c r="K1431" s="35">
        <v>4.0</v>
      </c>
      <c r="L1431" s="35" t="s">
        <v>102</v>
      </c>
      <c r="M1431" s="36">
        <f>VLOOKUP(D1431, County_Data_CZones!$B$2:$F$3236, 2, FALSE)</f>
        <v>3</v>
      </c>
      <c r="N1431" s="37" t="str">
        <f>VLOOKUP(D1431, County_Data_CZones!$B$2:$F$3236, 5, FALSE)</f>
        <v>Mixed-Humid</v>
      </c>
    </row>
    <row r="1432" ht="15.75" customHeight="1">
      <c r="A1432" s="32" t="s">
        <v>138</v>
      </c>
      <c r="B1432" s="32" t="s">
        <v>255</v>
      </c>
      <c r="C1432" s="32" t="str">
        <f>vlookup(B1432,State_EMM_RowSums!$A$2:$B$52,2,FALSE)</f>
        <v>MS</v>
      </c>
      <c r="D1432" s="32">
        <v>28059.0</v>
      </c>
      <c r="E1432" s="33">
        <f>IF(NOT(ISBLANK(vlookup($D1432,Pop_Census_2023!$A$2:$E$3220,4,FALSE))),vlookup($D1432,Pop_Census_2023!$A$2:$E$3220,4,FALSE), vlookup($D1432,Pop_Census_2023!$A$2:$E$3220,5,FALSE))</f>
        <v>146389</v>
      </c>
      <c r="F1432" s="32">
        <v>695753.0</v>
      </c>
      <c r="G1432" s="32">
        <v>87.0</v>
      </c>
      <c r="H1432" s="32" t="str">
        <f>VLOOKUP(D1432, Grid_Region_Mapping!$D$2:$F$5286, 3, FALSE)</f>
        <v>SRSE</v>
      </c>
      <c r="I1432" s="32">
        <v>6.0</v>
      </c>
      <c r="J1432" s="34" t="str">
        <f t="shared" si="1"/>
        <v>South</v>
      </c>
      <c r="K1432" s="35">
        <v>5.0</v>
      </c>
      <c r="L1432" s="35" t="s">
        <v>104</v>
      </c>
      <c r="M1432" s="36">
        <f>VLOOKUP(D1432, County_Data_CZones!$B$2:$F$3236, 2, FALSE)</f>
        <v>2</v>
      </c>
      <c r="N1432" s="37" t="str">
        <f>VLOOKUP(D1432, County_Data_CZones!$B$2:$F$3236, 5, FALSE)</f>
        <v>Hot-Humid</v>
      </c>
    </row>
    <row r="1433" ht="15.75" customHeight="1">
      <c r="A1433" s="32" t="s">
        <v>518</v>
      </c>
      <c r="B1433" s="32" t="s">
        <v>255</v>
      </c>
      <c r="C1433" s="32" t="str">
        <f>vlookup(B1433,State_EMM_RowSums!$A$2:$B$52,2,FALSE)</f>
        <v>MS</v>
      </c>
      <c r="D1433" s="32">
        <v>28061.0</v>
      </c>
      <c r="E1433" s="33">
        <f>IF(NOT(ISBLANK(vlookup($D1433,Pop_Census_2023!$A$2:$E$3220,4,FALSE))),vlookup($D1433,Pop_Census_2023!$A$2:$E$3220,4,FALSE), vlookup($D1433,Pop_Census_2023!$A$2:$E$3220,5,FALSE))</f>
        <v>16013</v>
      </c>
      <c r="F1433" s="32">
        <v>695754.0</v>
      </c>
      <c r="G1433" s="32">
        <v>87.0</v>
      </c>
      <c r="H1433" s="32" t="str">
        <f>VLOOKUP(D1433, Grid_Region_Mapping!$D$2:$F$5286, 3, FALSE)</f>
        <v>SRSE</v>
      </c>
      <c r="I1433" s="32">
        <v>6.0</v>
      </c>
      <c r="J1433" s="34" t="str">
        <f t="shared" si="1"/>
        <v>South</v>
      </c>
      <c r="K1433" s="35">
        <v>5.0</v>
      </c>
      <c r="L1433" s="35" t="s">
        <v>102</v>
      </c>
      <c r="M1433" s="36">
        <f>VLOOKUP(D1433, County_Data_CZones!$B$2:$F$3236, 2, FALSE)</f>
        <v>3</v>
      </c>
      <c r="N1433" s="37" t="str">
        <f>VLOOKUP(D1433, County_Data_CZones!$B$2:$F$3236, 5, FALSE)</f>
        <v>Mixed-Humid</v>
      </c>
    </row>
    <row r="1434" ht="15.75" customHeight="1">
      <c r="A1434" s="32" t="s">
        <v>139</v>
      </c>
      <c r="B1434" s="32" t="s">
        <v>255</v>
      </c>
      <c r="C1434" s="32" t="str">
        <f>vlookup(B1434,State_EMM_RowSums!$A$2:$B$52,2,FALSE)</f>
        <v>MS</v>
      </c>
      <c r="D1434" s="32">
        <v>28063.0</v>
      </c>
      <c r="E1434" s="33">
        <f>IF(NOT(ISBLANK(vlookup($D1434,Pop_Census_2023!$A$2:$E$3220,4,FALSE))),vlookup($D1434,Pop_Census_2023!$A$2:$E$3220,4,FALSE), vlookup($D1434,Pop_Census_2023!$A$2:$E$3220,5,FALSE))</f>
        <v>6941</v>
      </c>
      <c r="F1434" s="32">
        <v>695755.0</v>
      </c>
      <c r="G1434" s="32">
        <v>87.0</v>
      </c>
      <c r="H1434" s="32" t="str">
        <f>VLOOKUP(D1434, Grid_Region_Mapping!$D$2:$F$5286, 3, FALSE)</f>
        <v>MISS</v>
      </c>
      <c r="I1434" s="32">
        <v>6.0</v>
      </c>
      <c r="J1434" s="34" t="str">
        <f t="shared" si="1"/>
        <v>South</v>
      </c>
      <c r="K1434" s="35">
        <v>4.0</v>
      </c>
      <c r="L1434" s="35" t="s">
        <v>102</v>
      </c>
      <c r="M1434" s="36">
        <f>VLOOKUP(D1434, County_Data_CZones!$B$2:$F$3236, 2, FALSE)</f>
        <v>3</v>
      </c>
      <c r="N1434" s="37" t="str">
        <f>VLOOKUP(D1434, County_Data_CZones!$B$2:$F$3236, 5, FALSE)</f>
        <v>Hot-Humid</v>
      </c>
    </row>
    <row r="1435" ht="15.75" customHeight="1">
      <c r="A1435" s="32" t="s">
        <v>895</v>
      </c>
      <c r="B1435" s="32" t="s">
        <v>255</v>
      </c>
      <c r="C1435" s="32" t="str">
        <f>vlookup(B1435,State_EMM_RowSums!$A$2:$B$52,2,FALSE)</f>
        <v>MS</v>
      </c>
      <c r="D1435" s="32">
        <v>28065.0</v>
      </c>
      <c r="E1435" s="33">
        <f>IF(NOT(ISBLANK(vlookup($D1435,Pop_Census_2023!$A$2:$E$3220,4,FALSE))),vlookup($D1435,Pop_Census_2023!$A$2:$E$3220,4,FALSE), vlookup($D1435,Pop_Census_2023!$A$2:$E$3220,5,FALSE))</f>
        <v>10969</v>
      </c>
      <c r="F1435" s="32">
        <v>695756.0</v>
      </c>
      <c r="G1435" s="32">
        <v>87.0</v>
      </c>
      <c r="H1435" s="32" t="str">
        <f>VLOOKUP(D1435, Grid_Region_Mapping!$D$2:$F$5286, 3, FALSE)</f>
        <v>MISS</v>
      </c>
      <c r="I1435" s="32">
        <v>6.0</v>
      </c>
      <c r="J1435" s="34" t="str">
        <f t="shared" si="1"/>
        <v>South</v>
      </c>
      <c r="K1435" s="35">
        <v>5.0</v>
      </c>
      <c r="L1435" s="35" t="s">
        <v>102</v>
      </c>
      <c r="M1435" s="36">
        <f>VLOOKUP(D1435, County_Data_CZones!$B$2:$F$3236, 2, FALSE)</f>
        <v>3</v>
      </c>
      <c r="N1435" s="37" t="str">
        <f>VLOOKUP(D1435, County_Data_CZones!$B$2:$F$3236, 5, FALSE)</f>
        <v>Hot-Humid</v>
      </c>
    </row>
    <row r="1436" ht="15.75" customHeight="1">
      <c r="A1436" s="32" t="s">
        <v>521</v>
      </c>
      <c r="B1436" s="32" t="s">
        <v>255</v>
      </c>
      <c r="C1436" s="32" t="str">
        <f>vlookup(B1436,State_EMM_RowSums!$A$2:$B$52,2,FALSE)</f>
        <v>MS</v>
      </c>
      <c r="D1436" s="32">
        <v>28067.0</v>
      </c>
      <c r="E1436" s="33">
        <f>IF(NOT(ISBLANK(vlookup($D1436,Pop_Census_2023!$A$2:$E$3220,4,FALSE))),vlookup($D1436,Pop_Census_2023!$A$2:$E$3220,4,FALSE), vlookup($D1436,Pop_Census_2023!$A$2:$E$3220,5,FALSE))</f>
        <v>66250</v>
      </c>
      <c r="F1436" s="32">
        <v>695757.0</v>
      </c>
      <c r="G1436" s="32">
        <v>87.0</v>
      </c>
      <c r="H1436" s="32" t="str">
        <f>VLOOKUP(D1436, Grid_Region_Mapping!$D$2:$F$5286, 3, FALSE)</f>
        <v>SRSE</v>
      </c>
      <c r="I1436" s="32">
        <v>6.0</v>
      </c>
      <c r="J1436" s="34" t="str">
        <f t="shared" si="1"/>
        <v>South</v>
      </c>
      <c r="K1436" s="35">
        <v>5.0</v>
      </c>
      <c r="L1436" s="35" t="s">
        <v>102</v>
      </c>
      <c r="M1436" s="36">
        <f>VLOOKUP(D1436, County_Data_CZones!$B$2:$F$3236, 2, FALSE)</f>
        <v>3</v>
      </c>
      <c r="N1436" s="37" t="str">
        <f>VLOOKUP(D1436, County_Data_CZones!$B$2:$F$3236, 5, FALSE)</f>
        <v>Hot-Humid</v>
      </c>
    </row>
    <row r="1437" ht="15.75" customHeight="1">
      <c r="A1437" s="32" t="s">
        <v>1100</v>
      </c>
      <c r="B1437" s="32" t="s">
        <v>255</v>
      </c>
      <c r="C1437" s="32" t="str">
        <f>vlookup(B1437,State_EMM_RowSums!$A$2:$B$52,2,FALSE)</f>
        <v>MS</v>
      </c>
      <c r="D1437" s="32">
        <v>28069.0</v>
      </c>
      <c r="E1437" s="33">
        <f>IF(NOT(ISBLANK(vlookup($D1437,Pop_Census_2023!$A$2:$E$3220,4,FALSE))),vlookup($D1437,Pop_Census_2023!$A$2:$E$3220,4,FALSE), vlookup($D1437,Pop_Census_2023!$A$2:$E$3220,5,FALSE))</f>
        <v>8584</v>
      </c>
      <c r="F1437" s="32">
        <v>695758.0</v>
      </c>
      <c r="G1437" s="32">
        <v>88.0</v>
      </c>
      <c r="H1437" s="32" t="str">
        <f>VLOOKUP(D1437, Grid_Region_Mapping!$D$2:$F$5286, 3, FALSE)</f>
        <v>SRSE</v>
      </c>
      <c r="I1437" s="32">
        <v>6.0</v>
      </c>
      <c r="J1437" s="34" t="str">
        <f t="shared" si="1"/>
        <v>South</v>
      </c>
      <c r="K1437" s="35">
        <v>4.0</v>
      </c>
      <c r="L1437" s="35" t="s">
        <v>102</v>
      </c>
      <c r="M1437" s="36">
        <f>VLOOKUP(D1437, County_Data_CZones!$B$2:$F$3236, 2, FALSE)</f>
        <v>3</v>
      </c>
      <c r="N1437" s="37" t="str">
        <f>VLOOKUP(D1437, County_Data_CZones!$B$2:$F$3236, 5, FALSE)</f>
        <v>Mixed-Humid</v>
      </c>
    </row>
    <row r="1438" ht="15.75" customHeight="1">
      <c r="A1438" s="32" t="s">
        <v>249</v>
      </c>
      <c r="B1438" s="32" t="s">
        <v>255</v>
      </c>
      <c r="C1438" s="32" t="str">
        <f>vlookup(B1438,State_EMM_RowSums!$A$2:$B$52,2,FALSE)</f>
        <v>MS</v>
      </c>
      <c r="D1438" s="32">
        <v>28071.0</v>
      </c>
      <c r="E1438" s="33">
        <f>IF(NOT(ISBLANK(vlookup($D1438,Pop_Census_2023!$A$2:$E$3220,4,FALSE))),vlookup($D1438,Pop_Census_2023!$A$2:$E$3220,4,FALSE), vlookup($D1438,Pop_Census_2023!$A$2:$E$3220,5,FALSE))</f>
        <v>58467</v>
      </c>
      <c r="F1438" s="32">
        <v>695759.0</v>
      </c>
      <c r="G1438" s="32">
        <v>88.0</v>
      </c>
      <c r="H1438" s="32" t="str">
        <f>VLOOKUP(D1438, Grid_Region_Mapping!$D$2:$F$5286, 3, FALSE)</f>
        <v>SRCE</v>
      </c>
      <c r="I1438" s="32">
        <v>6.0</v>
      </c>
      <c r="J1438" s="34" t="str">
        <f t="shared" si="1"/>
        <v>South</v>
      </c>
      <c r="K1438" s="35">
        <v>4.0</v>
      </c>
      <c r="L1438" s="35" t="s">
        <v>102</v>
      </c>
      <c r="M1438" s="36">
        <f>VLOOKUP(D1438, County_Data_CZones!$B$2:$F$3236, 2, FALSE)</f>
        <v>3</v>
      </c>
      <c r="N1438" s="37" t="str">
        <f>VLOOKUP(D1438, County_Data_CZones!$B$2:$F$3236, 5, FALSE)</f>
        <v>Mixed-Humid</v>
      </c>
    </row>
    <row r="1439" ht="15.75" customHeight="1">
      <c r="A1439" s="32" t="s">
        <v>140</v>
      </c>
      <c r="B1439" s="32" t="s">
        <v>255</v>
      </c>
      <c r="C1439" s="32" t="str">
        <f>vlookup(B1439,State_EMM_RowSums!$A$2:$B$52,2,FALSE)</f>
        <v>MS</v>
      </c>
      <c r="D1439" s="32">
        <v>28073.0</v>
      </c>
      <c r="E1439" s="33">
        <f>IF(NOT(ISBLANK(vlookup($D1439,Pop_Census_2023!$A$2:$E$3220,4,FALSE))),vlookup($D1439,Pop_Census_2023!$A$2:$E$3220,4,FALSE), vlookup($D1439,Pop_Census_2023!$A$2:$E$3220,5,FALSE))</f>
        <v>66217</v>
      </c>
      <c r="F1439" s="32">
        <v>695760.0</v>
      </c>
      <c r="G1439" s="32">
        <v>87.0</v>
      </c>
      <c r="H1439" s="32" t="str">
        <f>VLOOKUP(D1439, Grid_Region_Mapping!$D$2:$F$5286, 3, FALSE)</f>
        <v>SRSE</v>
      </c>
      <c r="I1439" s="32">
        <v>6.0</v>
      </c>
      <c r="J1439" s="34" t="str">
        <f t="shared" si="1"/>
        <v>South</v>
      </c>
      <c r="K1439" s="35">
        <v>5.0</v>
      </c>
      <c r="L1439" s="35" t="s">
        <v>102</v>
      </c>
      <c r="M1439" s="36">
        <f>VLOOKUP(D1439, County_Data_CZones!$B$2:$F$3236, 2, FALSE)</f>
        <v>3</v>
      </c>
      <c r="N1439" s="37" t="str">
        <f>VLOOKUP(D1439, County_Data_CZones!$B$2:$F$3236, 5, FALSE)</f>
        <v>Hot-Humid</v>
      </c>
    </row>
    <row r="1440" ht="15.75" customHeight="1">
      <c r="A1440" s="32" t="s">
        <v>141</v>
      </c>
      <c r="B1440" s="32" t="s">
        <v>255</v>
      </c>
      <c r="C1440" s="32" t="str">
        <f>vlookup(B1440,State_EMM_RowSums!$A$2:$B$52,2,FALSE)</f>
        <v>MS</v>
      </c>
      <c r="D1440" s="32">
        <v>28075.0</v>
      </c>
      <c r="E1440" s="33">
        <f>IF(NOT(ISBLANK(vlookup($D1440,Pop_Census_2023!$A$2:$E$3220,4,FALSE))),vlookup($D1440,Pop_Census_2023!$A$2:$E$3220,4,FALSE), vlookup($D1440,Pop_Census_2023!$A$2:$E$3220,5,FALSE))</f>
        <v>70527</v>
      </c>
      <c r="F1440" s="32">
        <v>695761.0</v>
      </c>
      <c r="G1440" s="32">
        <v>87.0</v>
      </c>
      <c r="H1440" s="32" t="str">
        <f>VLOOKUP(D1440, Grid_Region_Mapping!$D$2:$F$5286, 3, FALSE)</f>
        <v>SRSE</v>
      </c>
      <c r="I1440" s="32">
        <v>6.0</v>
      </c>
      <c r="J1440" s="34" t="str">
        <f t="shared" si="1"/>
        <v>South</v>
      </c>
      <c r="K1440" s="35">
        <v>5.0</v>
      </c>
      <c r="L1440" s="35" t="s">
        <v>102</v>
      </c>
      <c r="M1440" s="36">
        <f>VLOOKUP(D1440, County_Data_CZones!$B$2:$F$3236, 2, FALSE)</f>
        <v>3</v>
      </c>
      <c r="N1440" s="37" t="str">
        <f>VLOOKUP(D1440, County_Data_CZones!$B$2:$F$3236, 5, FALSE)</f>
        <v>Mixed-Humid</v>
      </c>
    </row>
    <row r="1441" ht="15.75" customHeight="1">
      <c r="A1441" s="32" t="s">
        <v>142</v>
      </c>
      <c r="B1441" s="32" t="s">
        <v>255</v>
      </c>
      <c r="C1441" s="32" t="str">
        <f>vlookup(B1441,State_EMM_RowSums!$A$2:$B$52,2,FALSE)</f>
        <v>MS</v>
      </c>
      <c r="D1441" s="32">
        <v>28077.0</v>
      </c>
      <c r="E1441" s="33">
        <f>IF(NOT(ISBLANK(vlookup($D1441,Pop_Census_2023!$A$2:$E$3220,4,FALSE))),vlookup($D1441,Pop_Census_2023!$A$2:$E$3220,4,FALSE), vlookup($D1441,Pop_Census_2023!$A$2:$E$3220,5,FALSE))</f>
        <v>11741</v>
      </c>
      <c r="F1441" s="32">
        <v>695762.0</v>
      </c>
      <c r="G1441" s="32">
        <v>87.0</v>
      </c>
      <c r="H1441" s="32" t="str">
        <f>VLOOKUP(D1441, Grid_Region_Mapping!$D$2:$F$5286, 3, FALSE)</f>
        <v>MISS</v>
      </c>
      <c r="I1441" s="32">
        <v>6.0</v>
      </c>
      <c r="J1441" s="34" t="str">
        <f t="shared" si="1"/>
        <v>South</v>
      </c>
      <c r="K1441" s="35">
        <v>5.0</v>
      </c>
      <c r="L1441" s="35" t="s">
        <v>102</v>
      </c>
      <c r="M1441" s="36">
        <f>VLOOKUP(D1441, County_Data_CZones!$B$2:$F$3236, 2, FALSE)</f>
        <v>3</v>
      </c>
      <c r="N1441" s="37" t="str">
        <f>VLOOKUP(D1441, County_Data_CZones!$B$2:$F$3236, 5, FALSE)</f>
        <v>Hot-Humid</v>
      </c>
    </row>
    <row r="1442" ht="15.75" customHeight="1">
      <c r="A1442" s="32" t="s">
        <v>1101</v>
      </c>
      <c r="B1442" s="32" t="s">
        <v>255</v>
      </c>
      <c r="C1442" s="32" t="str">
        <f>vlookup(B1442,State_EMM_RowSums!$A$2:$B$52,2,FALSE)</f>
        <v>MS</v>
      </c>
      <c r="D1442" s="32">
        <v>28079.0</v>
      </c>
      <c r="E1442" s="33">
        <f>IF(NOT(ISBLANK(vlookup($D1442,Pop_Census_2023!$A$2:$E$3220,4,FALSE))),vlookup($D1442,Pop_Census_2023!$A$2:$E$3220,4,FALSE), vlookup($D1442,Pop_Census_2023!$A$2:$E$3220,5,FALSE))</f>
        <v>21258</v>
      </c>
      <c r="F1442" s="32">
        <v>695763.0</v>
      </c>
      <c r="G1442" s="32">
        <v>87.0</v>
      </c>
      <c r="H1442" s="32" t="str">
        <f>VLOOKUP(D1442, Grid_Region_Mapping!$D$2:$F$5286, 3, FALSE)</f>
        <v>MISS</v>
      </c>
      <c r="I1442" s="32">
        <v>6.0</v>
      </c>
      <c r="J1442" s="34" t="str">
        <f t="shared" si="1"/>
        <v>South</v>
      </c>
      <c r="K1442" s="35">
        <v>4.0</v>
      </c>
      <c r="L1442" s="35" t="s">
        <v>102</v>
      </c>
      <c r="M1442" s="36">
        <f>VLOOKUP(D1442, County_Data_CZones!$B$2:$F$3236, 2, FALSE)</f>
        <v>3</v>
      </c>
      <c r="N1442" s="37" t="str">
        <f>VLOOKUP(D1442, County_Data_CZones!$B$2:$F$3236, 5, FALSE)</f>
        <v>Mixed-Humid</v>
      </c>
    </row>
    <row r="1443" ht="15.75" customHeight="1">
      <c r="A1443" s="32" t="s">
        <v>143</v>
      </c>
      <c r="B1443" s="32" t="s">
        <v>255</v>
      </c>
      <c r="C1443" s="32" t="str">
        <f>vlookup(B1443,State_EMM_RowSums!$A$2:$B$52,2,FALSE)</f>
        <v>MS</v>
      </c>
      <c r="D1443" s="32">
        <v>28081.0</v>
      </c>
      <c r="E1443" s="33">
        <f>IF(NOT(ISBLANK(vlookup($D1443,Pop_Census_2023!$A$2:$E$3220,4,FALSE))),vlookup($D1443,Pop_Census_2023!$A$2:$E$3220,4,FALSE), vlookup($D1443,Pop_Census_2023!$A$2:$E$3220,5,FALSE))</f>
        <v>82799</v>
      </c>
      <c r="F1443" s="32">
        <v>695764.0</v>
      </c>
      <c r="G1443" s="32">
        <v>88.0</v>
      </c>
      <c r="H1443" s="32" t="str">
        <f>VLOOKUP(D1443, Grid_Region_Mapping!$D$2:$F$5286, 3, FALSE)</f>
        <v>SRCE</v>
      </c>
      <c r="I1443" s="32">
        <v>6.0</v>
      </c>
      <c r="J1443" s="34" t="str">
        <f t="shared" si="1"/>
        <v>South</v>
      </c>
      <c r="K1443" s="35">
        <v>4.0</v>
      </c>
      <c r="L1443" s="35" t="s">
        <v>102</v>
      </c>
      <c r="M1443" s="36">
        <f>VLOOKUP(D1443, County_Data_CZones!$B$2:$F$3236, 2, FALSE)</f>
        <v>3</v>
      </c>
      <c r="N1443" s="37" t="str">
        <f>VLOOKUP(D1443, County_Data_CZones!$B$2:$F$3236, 5, FALSE)</f>
        <v>Mixed-Humid</v>
      </c>
    </row>
    <row r="1444" ht="15.75" customHeight="1">
      <c r="A1444" s="32" t="s">
        <v>1102</v>
      </c>
      <c r="B1444" s="32" t="s">
        <v>255</v>
      </c>
      <c r="C1444" s="32" t="str">
        <f>vlookup(B1444,State_EMM_RowSums!$A$2:$B$52,2,FALSE)</f>
        <v>MS</v>
      </c>
      <c r="D1444" s="32">
        <v>28083.0</v>
      </c>
      <c r="E1444" s="33">
        <f>IF(NOT(ISBLANK(vlookup($D1444,Pop_Census_2023!$A$2:$E$3220,4,FALSE))),vlookup($D1444,Pop_Census_2023!$A$2:$E$3220,4,FALSE), vlookup($D1444,Pop_Census_2023!$A$2:$E$3220,5,FALSE))</f>
        <v>26378</v>
      </c>
      <c r="F1444" s="32">
        <v>695765.0</v>
      </c>
      <c r="G1444" s="32">
        <v>87.0</v>
      </c>
      <c r="H1444" s="32" t="str">
        <f>VLOOKUP(D1444, Grid_Region_Mapping!$D$2:$F$5286, 3, FALSE)</f>
        <v>MISS</v>
      </c>
      <c r="I1444" s="32">
        <v>6.0</v>
      </c>
      <c r="J1444" s="34" t="str">
        <f t="shared" si="1"/>
        <v>South</v>
      </c>
      <c r="K1444" s="35">
        <v>5.0</v>
      </c>
      <c r="L1444" s="35" t="s">
        <v>102</v>
      </c>
      <c r="M1444" s="36">
        <f>VLOOKUP(D1444, County_Data_CZones!$B$2:$F$3236, 2, FALSE)</f>
        <v>3</v>
      </c>
      <c r="N1444" s="37" t="str">
        <f>VLOOKUP(D1444, County_Data_CZones!$B$2:$F$3236, 5, FALSE)</f>
        <v>Mixed-Humid</v>
      </c>
    </row>
    <row r="1445" ht="15.75" customHeight="1">
      <c r="A1445" s="32" t="s">
        <v>250</v>
      </c>
      <c r="B1445" s="32" t="s">
        <v>255</v>
      </c>
      <c r="C1445" s="32" t="str">
        <f>vlookup(B1445,State_EMM_RowSums!$A$2:$B$52,2,FALSE)</f>
        <v>MS</v>
      </c>
      <c r="D1445" s="32">
        <v>28085.0</v>
      </c>
      <c r="E1445" s="33">
        <f>IF(NOT(ISBLANK(vlookup($D1445,Pop_Census_2023!$A$2:$E$3220,4,FALSE))),vlookup($D1445,Pop_Census_2023!$A$2:$E$3220,4,FALSE), vlookup($D1445,Pop_Census_2023!$A$2:$E$3220,5,FALSE))</f>
        <v>34702</v>
      </c>
      <c r="F1445" s="32">
        <v>695766.0</v>
      </c>
      <c r="G1445" s="32">
        <v>87.0</v>
      </c>
      <c r="H1445" s="32" t="str">
        <f>VLOOKUP(D1445, Grid_Region_Mapping!$D$2:$F$5286, 3, FALSE)</f>
        <v>MISS</v>
      </c>
      <c r="I1445" s="32">
        <v>6.0</v>
      </c>
      <c r="J1445" s="34" t="str">
        <f t="shared" si="1"/>
        <v>South</v>
      </c>
      <c r="K1445" s="35">
        <v>5.0</v>
      </c>
      <c r="L1445" s="35" t="s">
        <v>102</v>
      </c>
      <c r="M1445" s="36">
        <f>VLOOKUP(D1445, County_Data_CZones!$B$2:$F$3236, 2, FALSE)</f>
        <v>3</v>
      </c>
      <c r="N1445" s="37" t="str">
        <f>VLOOKUP(D1445, County_Data_CZones!$B$2:$F$3236, 5, FALSE)</f>
        <v>Hot-Humid</v>
      </c>
    </row>
    <row r="1446" ht="15.75" customHeight="1">
      <c r="A1446" s="32" t="s">
        <v>145</v>
      </c>
      <c r="B1446" s="32" t="s">
        <v>255</v>
      </c>
      <c r="C1446" s="32" t="str">
        <f>vlookup(B1446,State_EMM_RowSums!$A$2:$B$52,2,FALSE)</f>
        <v>MS</v>
      </c>
      <c r="D1446" s="32">
        <v>28087.0</v>
      </c>
      <c r="E1446" s="33">
        <f>IF(NOT(ISBLANK(vlookup($D1446,Pop_Census_2023!$A$2:$E$3220,4,FALSE))),vlookup($D1446,Pop_Census_2023!$A$2:$E$3220,4,FALSE), vlookup($D1446,Pop_Census_2023!$A$2:$E$3220,5,FALSE))</f>
        <v>57283</v>
      </c>
      <c r="F1446" s="32">
        <v>695767.0</v>
      </c>
      <c r="G1446" s="32">
        <v>88.0</v>
      </c>
      <c r="H1446" s="32" t="str">
        <f>VLOOKUP(D1446, Grid_Region_Mapping!$D$2:$F$5286, 3, FALSE)</f>
        <v>SRCE</v>
      </c>
      <c r="I1446" s="32">
        <v>6.0</v>
      </c>
      <c r="J1446" s="34" t="str">
        <f t="shared" si="1"/>
        <v>South</v>
      </c>
      <c r="K1446" s="35">
        <v>4.0</v>
      </c>
      <c r="L1446" s="35" t="s">
        <v>102</v>
      </c>
      <c r="M1446" s="36">
        <f>VLOOKUP(D1446, County_Data_CZones!$B$2:$F$3236, 2, FALSE)</f>
        <v>3</v>
      </c>
      <c r="N1446" s="37" t="str">
        <f>VLOOKUP(D1446, County_Data_CZones!$B$2:$F$3236, 5, FALSE)</f>
        <v>Mixed-Humid</v>
      </c>
    </row>
    <row r="1447" ht="15.75" customHeight="1">
      <c r="A1447" s="32" t="s">
        <v>147</v>
      </c>
      <c r="B1447" s="32" t="s">
        <v>255</v>
      </c>
      <c r="C1447" s="32" t="str">
        <f>vlookup(B1447,State_EMM_RowSums!$A$2:$B$52,2,FALSE)</f>
        <v>MS</v>
      </c>
      <c r="D1447" s="32">
        <v>28089.0</v>
      </c>
      <c r="E1447" s="33">
        <f>IF(NOT(ISBLANK(vlookup($D1447,Pop_Census_2023!$A$2:$E$3220,4,FALSE))),vlookup($D1447,Pop_Census_2023!$A$2:$E$3220,4,FALSE), vlookup($D1447,Pop_Census_2023!$A$2:$E$3220,5,FALSE))</f>
        <v>112511</v>
      </c>
      <c r="F1447" s="32">
        <v>695768.0</v>
      </c>
      <c r="G1447" s="32">
        <v>87.0</v>
      </c>
      <c r="H1447" s="32" t="str">
        <f>VLOOKUP(D1447, Grid_Region_Mapping!$D$2:$F$5286, 3, FALSE)</f>
        <v>MISS</v>
      </c>
      <c r="I1447" s="32">
        <v>6.0</v>
      </c>
      <c r="J1447" s="34" t="str">
        <f t="shared" si="1"/>
        <v>South</v>
      </c>
      <c r="K1447" s="35">
        <v>5.0</v>
      </c>
      <c r="L1447" s="35" t="s">
        <v>102</v>
      </c>
      <c r="M1447" s="36">
        <f>VLOOKUP(D1447, County_Data_CZones!$B$2:$F$3236, 2, FALSE)</f>
        <v>3</v>
      </c>
      <c r="N1447" s="37" t="str">
        <f>VLOOKUP(D1447, County_Data_CZones!$B$2:$F$3236, 5, FALSE)</f>
        <v>Mixed-Humid</v>
      </c>
    </row>
    <row r="1448" ht="15.75" customHeight="1">
      <c r="A1448" s="32" t="s">
        <v>149</v>
      </c>
      <c r="B1448" s="32" t="s">
        <v>255</v>
      </c>
      <c r="C1448" s="32" t="str">
        <f>vlookup(B1448,State_EMM_RowSums!$A$2:$B$52,2,FALSE)</f>
        <v>MS</v>
      </c>
      <c r="D1448" s="32">
        <v>28091.0</v>
      </c>
      <c r="E1448" s="33">
        <f>IF(NOT(ISBLANK(vlookup($D1448,Pop_Census_2023!$A$2:$E$3220,4,FALSE))),vlookup($D1448,Pop_Census_2023!$A$2:$E$3220,4,FALSE), vlookup($D1448,Pop_Census_2023!$A$2:$E$3220,5,FALSE))</f>
        <v>24224</v>
      </c>
      <c r="F1448" s="32">
        <v>695769.0</v>
      </c>
      <c r="G1448" s="32">
        <v>87.0</v>
      </c>
      <c r="H1448" s="32" t="str">
        <f>VLOOKUP(D1448, Grid_Region_Mapping!$D$2:$F$5286, 3, FALSE)</f>
        <v>MISS</v>
      </c>
      <c r="I1448" s="32">
        <v>6.0</v>
      </c>
      <c r="J1448" s="34" t="str">
        <f t="shared" si="1"/>
        <v>South</v>
      </c>
      <c r="K1448" s="35">
        <v>5.0</v>
      </c>
      <c r="L1448" s="35" t="s">
        <v>102</v>
      </c>
      <c r="M1448" s="36">
        <f>VLOOKUP(D1448, County_Data_CZones!$B$2:$F$3236, 2, FALSE)</f>
        <v>3</v>
      </c>
      <c r="N1448" s="37" t="str">
        <f>VLOOKUP(D1448, County_Data_CZones!$B$2:$F$3236, 5, FALSE)</f>
        <v>Hot-Humid</v>
      </c>
    </row>
    <row r="1449" ht="15.75" customHeight="1">
      <c r="A1449" s="32" t="s">
        <v>150</v>
      </c>
      <c r="B1449" s="32" t="s">
        <v>255</v>
      </c>
      <c r="C1449" s="32" t="str">
        <f>vlookup(B1449,State_EMM_RowSums!$A$2:$B$52,2,FALSE)</f>
        <v>MS</v>
      </c>
      <c r="D1449" s="32">
        <v>28093.0</v>
      </c>
      <c r="E1449" s="33">
        <f>IF(NOT(ISBLANK(vlookup($D1449,Pop_Census_2023!$A$2:$E$3220,4,FALSE))),vlookup($D1449,Pop_Census_2023!$A$2:$E$3220,4,FALSE), vlookup($D1449,Pop_Census_2023!$A$2:$E$3220,5,FALSE))</f>
        <v>34123</v>
      </c>
      <c r="F1449" s="32">
        <v>695770.0</v>
      </c>
      <c r="G1449" s="32">
        <v>88.0</v>
      </c>
      <c r="H1449" s="32" t="str">
        <f>VLOOKUP(D1449, Grid_Region_Mapping!$D$2:$F$5286, 3, FALSE)</f>
        <v>MISS</v>
      </c>
      <c r="I1449" s="32">
        <v>6.0</v>
      </c>
      <c r="J1449" s="34" t="str">
        <f t="shared" si="1"/>
        <v>South</v>
      </c>
      <c r="K1449" s="35">
        <v>4.0</v>
      </c>
      <c r="L1449" s="35" t="s">
        <v>102</v>
      </c>
      <c r="M1449" s="36">
        <f>VLOOKUP(D1449, County_Data_CZones!$B$2:$F$3236, 2, FALSE)</f>
        <v>3</v>
      </c>
      <c r="N1449" s="37" t="str">
        <f>VLOOKUP(D1449, County_Data_CZones!$B$2:$F$3236, 5, FALSE)</f>
        <v>Mixed-Humid</v>
      </c>
    </row>
    <row r="1450" ht="15.75" customHeight="1">
      <c r="A1450" s="32" t="s">
        <v>152</v>
      </c>
      <c r="B1450" s="32" t="s">
        <v>255</v>
      </c>
      <c r="C1450" s="32" t="str">
        <f>vlookup(B1450,State_EMM_RowSums!$A$2:$B$52,2,FALSE)</f>
        <v>MS</v>
      </c>
      <c r="D1450" s="32">
        <v>28095.0</v>
      </c>
      <c r="E1450" s="33">
        <f>IF(NOT(ISBLANK(vlookup($D1450,Pop_Census_2023!$A$2:$E$3220,4,FALSE))),vlookup($D1450,Pop_Census_2023!$A$2:$E$3220,4,FALSE), vlookup($D1450,Pop_Census_2023!$A$2:$E$3220,5,FALSE))</f>
        <v>33609</v>
      </c>
      <c r="F1450" s="32">
        <v>695771.0</v>
      </c>
      <c r="G1450" s="32">
        <v>88.0</v>
      </c>
      <c r="H1450" s="32" t="str">
        <f>VLOOKUP(D1450, Grid_Region_Mapping!$D$2:$F$5286, 3, FALSE)</f>
        <v>SRCE</v>
      </c>
      <c r="I1450" s="32">
        <v>6.0</v>
      </c>
      <c r="J1450" s="34" t="str">
        <f t="shared" si="1"/>
        <v>South</v>
      </c>
      <c r="K1450" s="35">
        <v>4.0</v>
      </c>
      <c r="L1450" s="35" t="s">
        <v>102</v>
      </c>
      <c r="M1450" s="36">
        <f>VLOOKUP(D1450, County_Data_CZones!$B$2:$F$3236, 2, FALSE)</f>
        <v>3</v>
      </c>
      <c r="N1450" s="37" t="str">
        <f>VLOOKUP(D1450, County_Data_CZones!$B$2:$F$3236, 5, FALSE)</f>
        <v>Mixed-Humid</v>
      </c>
    </row>
    <row r="1451" ht="15.75" customHeight="1">
      <c r="A1451" s="32" t="s">
        <v>153</v>
      </c>
      <c r="B1451" s="32" t="s">
        <v>255</v>
      </c>
      <c r="C1451" s="32" t="str">
        <f>vlookup(B1451,State_EMM_RowSums!$A$2:$B$52,2,FALSE)</f>
        <v>MS</v>
      </c>
      <c r="D1451" s="32">
        <v>28097.0</v>
      </c>
      <c r="E1451" s="33">
        <f>IF(NOT(ISBLANK(vlookup($D1451,Pop_Census_2023!$A$2:$E$3220,4,FALSE))),vlookup($D1451,Pop_Census_2023!$A$2:$E$3220,4,FALSE), vlookup($D1451,Pop_Census_2023!$A$2:$E$3220,5,FALSE))</f>
        <v>9600</v>
      </c>
      <c r="F1451" s="32">
        <v>711757.0</v>
      </c>
      <c r="G1451" s="32">
        <v>87.0</v>
      </c>
      <c r="H1451" s="32" t="str">
        <f>VLOOKUP(D1451, Grid_Region_Mapping!$D$2:$F$5286, 3, FALSE)</f>
        <v>MISS</v>
      </c>
      <c r="I1451" s="32">
        <v>6.0</v>
      </c>
      <c r="J1451" s="34" t="str">
        <f t="shared" si="1"/>
        <v>South</v>
      </c>
      <c r="K1451" s="35">
        <v>4.0</v>
      </c>
      <c r="L1451" s="35" t="s">
        <v>102</v>
      </c>
      <c r="M1451" s="36">
        <f>VLOOKUP(D1451, County_Data_CZones!$B$2:$F$3236, 2, FALSE)</f>
        <v>3</v>
      </c>
      <c r="N1451" s="37" t="str">
        <f>VLOOKUP(D1451, County_Data_CZones!$B$2:$F$3236, 5, FALSE)</f>
        <v>Mixed-Humid</v>
      </c>
    </row>
    <row r="1452" ht="15.75" customHeight="1">
      <c r="A1452" s="32" t="s">
        <v>1103</v>
      </c>
      <c r="B1452" s="32" t="s">
        <v>255</v>
      </c>
      <c r="C1452" s="32" t="str">
        <f>vlookup(B1452,State_EMM_RowSums!$A$2:$B$52,2,FALSE)</f>
        <v>MS</v>
      </c>
      <c r="D1452" s="32">
        <v>28099.0</v>
      </c>
      <c r="E1452" s="33">
        <f>IF(NOT(ISBLANK(vlookup($D1452,Pop_Census_2023!$A$2:$E$3220,4,FALSE))),vlookup($D1452,Pop_Census_2023!$A$2:$E$3220,4,FALSE), vlookup($D1452,Pop_Census_2023!$A$2:$E$3220,5,FALSE))</f>
        <v>28789</v>
      </c>
      <c r="F1452" s="32">
        <v>695772.0</v>
      </c>
      <c r="G1452" s="32">
        <v>88.0</v>
      </c>
      <c r="H1452" s="32" t="str">
        <f>VLOOKUP(D1452, Grid_Region_Mapping!$D$2:$F$5286, 3, FALSE)</f>
        <v>SRSE</v>
      </c>
      <c r="I1452" s="32">
        <v>6.0</v>
      </c>
      <c r="J1452" s="34" t="str">
        <f t="shared" si="1"/>
        <v>South</v>
      </c>
      <c r="K1452" s="35">
        <v>4.0</v>
      </c>
      <c r="L1452" s="35" t="s">
        <v>102</v>
      </c>
      <c r="M1452" s="36">
        <f>VLOOKUP(D1452, County_Data_CZones!$B$2:$F$3236, 2, FALSE)</f>
        <v>3</v>
      </c>
      <c r="N1452" s="37" t="str">
        <f>VLOOKUP(D1452, County_Data_CZones!$B$2:$F$3236, 5, FALSE)</f>
        <v>Mixed-Humid</v>
      </c>
    </row>
    <row r="1453" ht="15.75" customHeight="1">
      <c r="A1453" s="32" t="s">
        <v>257</v>
      </c>
      <c r="B1453" s="32" t="s">
        <v>255</v>
      </c>
      <c r="C1453" s="32" t="str">
        <f>vlookup(B1453,State_EMM_RowSums!$A$2:$B$52,2,FALSE)</f>
        <v>MS</v>
      </c>
      <c r="D1453" s="32">
        <v>28101.0</v>
      </c>
      <c r="E1453" s="33">
        <f>IF(NOT(ISBLANK(vlookup($D1453,Pop_Census_2023!$A$2:$E$3220,4,FALSE))),vlookup($D1453,Pop_Census_2023!$A$2:$E$3220,4,FALSE), vlookup($D1453,Pop_Census_2023!$A$2:$E$3220,5,FALSE))</f>
        <v>21019</v>
      </c>
      <c r="F1453" s="32">
        <v>695773.0</v>
      </c>
      <c r="G1453" s="32">
        <v>87.0</v>
      </c>
      <c r="H1453" s="32" t="str">
        <f>VLOOKUP(D1453, Grid_Region_Mapping!$D$2:$F$5286, 3, FALSE)</f>
        <v>SRSE</v>
      </c>
      <c r="I1453" s="32">
        <v>6.0</v>
      </c>
      <c r="J1453" s="34" t="str">
        <f t="shared" si="1"/>
        <v>South</v>
      </c>
      <c r="K1453" s="35">
        <v>4.0</v>
      </c>
      <c r="L1453" s="35" t="s">
        <v>102</v>
      </c>
      <c r="M1453" s="36">
        <f>VLOOKUP(D1453, County_Data_CZones!$B$2:$F$3236, 2, FALSE)</f>
        <v>3</v>
      </c>
      <c r="N1453" s="37" t="str">
        <f>VLOOKUP(D1453, County_Data_CZones!$B$2:$F$3236, 5, FALSE)</f>
        <v>Mixed-Humid</v>
      </c>
    </row>
    <row r="1454" ht="15.75" customHeight="1">
      <c r="A1454" s="32" t="s">
        <v>1104</v>
      </c>
      <c r="B1454" s="32" t="s">
        <v>255</v>
      </c>
      <c r="C1454" s="32" t="str">
        <f>vlookup(B1454,State_EMM_RowSums!$A$2:$B$52,2,FALSE)</f>
        <v>MS</v>
      </c>
      <c r="D1454" s="32">
        <v>28103.0</v>
      </c>
      <c r="E1454" s="33">
        <f>IF(NOT(ISBLANK(vlookup($D1454,Pop_Census_2023!$A$2:$E$3220,4,FALSE))),vlookup($D1454,Pop_Census_2023!$A$2:$E$3220,4,FALSE), vlookup($D1454,Pop_Census_2023!$A$2:$E$3220,5,FALSE))</f>
        <v>9914</v>
      </c>
      <c r="F1454" s="32">
        <v>695774.0</v>
      </c>
      <c r="G1454" s="32">
        <v>88.0</v>
      </c>
      <c r="H1454" s="32" t="str">
        <f>VLOOKUP(D1454, Grid_Region_Mapping!$D$2:$F$5286, 3, FALSE)</f>
        <v>SRCE</v>
      </c>
      <c r="I1454" s="32">
        <v>6.0</v>
      </c>
      <c r="J1454" s="34" t="str">
        <f t="shared" si="1"/>
        <v>South</v>
      </c>
      <c r="K1454" s="35">
        <v>4.0</v>
      </c>
      <c r="L1454" s="35" t="s">
        <v>102</v>
      </c>
      <c r="M1454" s="36">
        <f>VLOOKUP(D1454, County_Data_CZones!$B$2:$F$3236, 2, FALSE)</f>
        <v>3</v>
      </c>
      <c r="N1454" s="37" t="str">
        <f>VLOOKUP(D1454, County_Data_CZones!$B$2:$F$3236, 5, FALSE)</f>
        <v>Mixed-Humid</v>
      </c>
    </row>
    <row r="1455" ht="15.75" customHeight="1">
      <c r="A1455" s="32" t="s">
        <v>1105</v>
      </c>
      <c r="B1455" s="32" t="s">
        <v>255</v>
      </c>
      <c r="C1455" s="32" t="str">
        <f>vlookup(B1455,State_EMM_RowSums!$A$2:$B$52,2,FALSE)</f>
        <v>MS</v>
      </c>
      <c r="D1455" s="32">
        <v>28105.0</v>
      </c>
      <c r="E1455" s="33">
        <f>IF(NOT(ISBLANK(vlookup($D1455,Pop_Census_2023!$A$2:$E$3220,4,FALSE))),vlookup($D1455,Pop_Census_2023!$A$2:$E$3220,4,FALSE), vlookup($D1455,Pop_Census_2023!$A$2:$E$3220,5,FALSE))</f>
        <v>51203</v>
      </c>
      <c r="F1455" s="32">
        <v>695775.0</v>
      </c>
      <c r="G1455" s="32">
        <v>88.0</v>
      </c>
      <c r="H1455" s="32" t="str">
        <f>VLOOKUP(D1455, Grid_Region_Mapping!$D$2:$F$5286, 3, FALSE)</f>
        <v>SRCE</v>
      </c>
      <c r="I1455" s="32">
        <v>6.0</v>
      </c>
      <c r="J1455" s="34" t="str">
        <f t="shared" si="1"/>
        <v>South</v>
      </c>
      <c r="K1455" s="35">
        <v>4.0</v>
      </c>
      <c r="L1455" s="35" t="s">
        <v>102</v>
      </c>
      <c r="M1455" s="36">
        <f>VLOOKUP(D1455, County_Data_CZones!$B$2:$F$3236, 2, FALSE)</f>
        <v>3</v>
      </c>
      <c r="N1455" s="37" t="str">
        <f>VLOOKUP(D1455, County_Data_CZones!$B$2:$F$3236, 5, FALSE)</f>
        <v>Mixed-Humid</v>
      </c>
    </row>
    <row r="1456" ht="15.75" customHeight="1">
      <c r="A1456" s="32" t="s">
        <v>1106</v>
      </c>
      <c r="B1456" s="32" t="s">
        <v>255</v>
      </c>
      <c r="C1456" s="32" t="str">
        <f>vlookup(B1456,State_EMM_RowSums!$A$2:$B$52,2,FALSE)</f>
        <v>MS</v>
      </c>
      <c r="D1456" s="32">
        <v>28107.0</v>
      </c>
      <c r="E1456" s="33">
        <f>IF(NOT(ISBLANK(vlookup($D1456,Pop_Census_2023!$A$2:$E$3220,4,FALSE))),vlookup($D1456,Pop_Census_2023!$A$2:$E$3220,4,FALSE), vlookup($D1456,Pop_Census_2023!$A$2:$E$3220,5,FALSE))</f>
        <v>32669</v>
      </c>
      <c r="F1456" s="32">
        <v>695776.0</v>
      </c>
      <c r="G1456" s="32">
        <v>87.0</v>
      </c>
      <c r="H1456" s="32" t="str">
        <f>VLOOKUP(D1456, Grid_Region_Mapping!$D$2:$F$5286, 3, FALSE)</f>
        <v>MISS</v>
      </c>
      <c r="I1456" s="32">
        <v>6.0</v>
      </c>
      <c r="J1456" s="34" t="str">
        <f t="shared" si="1"/>
        <v>South</v>
      </c>
      <c r="K1456" s="35">
        <v>4.0</v>
      </c>
      <c r="L1456" s="35" t="s">
        <v>102</v>
      </c>
      <c r="M1456" s="36">
        <f>VLOOKUP(D1456, County_Data_CZones!$B$2:$F$3236, 2, FALSE)</f>
        <v>3</v>
      </c>
      <c r="N1456" s="37" t="str">
        <f>VLOOKUP(D1456, County_Data_CZones!$B$2:$F$3236, 5, FALSE)</f>
        <v>Mixed-Humid</v>
      </c>
    </row>
    <row r="1457" ht="15.75" customHeight="1">
      <c r="A1457" s="32" t="s">
        <v>1107</v>
      </c>
      <c r="B1457" s="32" t="s">
        <v>255</v>
      </c>
      <c r="C1457" s="32" t="str">
        <f>vlookup(B1457,State_EMM_RowSums!$A$2:$B$52,2,FALSE)</f>
        <v>MS</v>
      </c>
      <c r="D1457" s="32">
        <v>28109.0</v>
      </c>
      <c r="E1457" s="33">
        <f>IF(NOT(ISBLANK(vlookup($D1457,Pop_Census_2023!$A$2:$E$3220,4,FALSE))),vlookup($D1457,Pop_Census_2023!$A$2:$E$3220,4,FALSE), vlookup($D1457,Pop_Census_2023!$A$2:$E$3220,5,FALSE))</f>
        <v>57978</v>
      </c>
      <c r="F1457" s="32">
        <v>695777.0</v>
      </c>
      <c r="G1457" s="32">
        <v>87.0</v>
      </c>
      <c r="H1457" s="32" t="str">
        <f>VLOOKUP(D1457, Grid_Region_Mapping!$D$2:$F$5286, 3, FALSE)</f>
        <v>SRSE</v>
      </c>
      <c r="I1457" s="32">
        <v>6.0</v>
      </c>
      <c r="J1457" s="34" t="str">
        <f t="shared" si="1"/>
        <v>South</v>
      </c>
      <c r="K1457" s="35">
        <v>5.0</v>
      </c>
      <c r="L1457" s="35" t="s">
        <v>104</v>
      </c>
      <c r="M1457" s="36">
        <f>VLOOKUP(D1457, County_Data_CZones!$B$2:$F$3236, 2, FALSE)</f>
        <v>2</v>
      </c>
      <c r="N1457" s="37" t="str">
        <f>VLOOKUP(D1457, County_Data_CZones!$B$2:$F$3236, 5, FALSE)</f>
        <v>Hot-Humid</v>
      </c>
    </row>
    <row r="1458" ht="15.75" customHeight="1">
      <c r="A1458" s="32" t="s">
        <v>155</v>
      </c>
      <c r="B1458" s="32" t="s">
        <v>255</v>
      </c>
      <c r="C1458" s="32" t="str">
        <f>vlookup(B1458,State_EMM_RowSums!$A$2:$B$52,2,FALSE)</f>
        <v>MS</v>
      </c>
      <c r="D1458" s="32">
        <v>28111.0</v>
      </c>
      <c r="E1458" s="33">
        <f>IF(NOT(ISBLANK(vlookup($D1458,Pop_Census_2023!$A$2:$E$3220,4,FALSE))),vlookup($D1458,Pop_Census_2023!$A$2:$E$3220,4,FALSE), vlookup($D1458,Pop_Census_2023!$A$2:$E$3220,5,FALSE))</f>
        <v>11315</v>
      </c>
      <c r="F1458" s="32">
        <v>695778.0</v>
      </c>
      <c r="G1458" s="32">
        <v>87.0</v>
      </c>
      <c r="H1458" s="32" t="str">
        <f>VLOOKUP(D1458, Grid_Region_Mapping!$D$2:$F$5286, 3, FALSE)</f>
        <v>SRSE</v>
      </c>
      <c r="I1458" s="32">
        <v>6.0</v>
      </c>
      <c r="J1458" s="34" t="str">
        <f t="shared" si="1"/>
        <v>South</v>
      </c>
      <c r="K1458" s="35">
        <v>5.0</v>
      </c>
      <c r="L1458" s="35" t="s">
        <v>102</v>
      </c>
      <c r="M1458" s="36">
        <f>VLOOKUP(D1458, County_Data_CZones!$B$2:$F$3236, 2, FALSE)</f>
        <v>3</v>
      </c>
      <c r="N1458" s="37" t="str">
        <f>VLOOKUP(D1458, County_Data_CZones!$B$2:$F$3236, 5, FALSE)</f>
        <v>Hot-Humid</v>
      </c>
    </row>
    <row r="1459" ht="15.75" customHeight="1">
      <c r="A1459" s="32" t="s">
        <v>157</v>
      </c>
      <c r="B1459" s="32" t="s">
        <v>255</v>
      </c>
      <c r="C1459" s="32" t="str">
        <f>vlookup(B1459,State_EMM_RowSums!$A$2:$B$52,2,FALSE)</f>
        <v>MS</v>
      </c>
      <c r="D1459" s="32">
        <v>28113.0</v>
      </c>
      <c r="E1459" s="33">
        <f>IF(NOT(ISBLANK(vlookup($D1459,Pop_Census_2023!$A$2:$E$3220,4,FALSE))),vlookup($D1459,Pop_Census_2023!$A$2:$E$3220,4,FALSE), vlookup($D1459,Pop_Census_2023!$A$2:$E$3220,5,FALSE))</f>
        <v>39394</v>
      </c>
      <c r="F1459" s="32">
        <v>711758.0</v>
      </c>
      <c r="G1459" s="32">
        <v>87.0</v>
      </c>
      <c r="H1459" s="32" t="str">
        <f>VLOOKUP(D1459, Grid_Region_Mapping!$D$2:$F$5286, 3, FALSE)</f>
        <v>MISS</v>
      </c>
      <c r="I1459" s="32">
        <v>6.0</v>
      </c>
      <c r="J1459" s="34" t="str">
        <f t="shared" si="1"/>
        <v>South</v>
      </c>
      <c r="K1459" s="35">
        <v>5.0</v>
      </c>
      <c r="L1459" s="35" t="s">
        <v>102</v>
      </c>
      <c r="M1459" s="36">
        <f>VLOOKUP(D1459, County_Data_CZones!$B$2:$F$3236, 2, FALSE)</f>
        <v>3</v>
      </c>
      <c r="N1459" s="37" t="str">
        <f>VLOOKUP(D1459, County_Data_CZones!$B$2:$F$3236, 5, FALSE)</f>
        <v>Hot-Humid</v>
      </c>
    </row>
    <row r="1460" ht="15.75" customHeight="1">
      <c r="A1460" s="32" t="s">
        <v>1108</v>
      </c>
      <c r="B1460" s="32" t="s">
        <v>255</v>
      </c>
      <c r="C1460" s="32" t="str">
        <f>vlookup(B1460,State_EMM_RowSums!$A$2:$B$52,2,FALSE)</f>
        <v>MS</v>
      </c>
      <c r="D1460" s="32">
        <v>28115.0</v>
      </c>
      <c r="E1460" s="33">
        <f>IF(NOT(ISBLANK(vlookup($D1460,Pop_Census_2023!$A$2:$E$3220,4,FALSE))),vlookup($D1460,Pop_Census_2023!$A$2:$E$3220,4,FALSE), vlookup($D1460,Pop_Census_2023!$A$2:$E$3220,5,FALSE))</f>
        <v>31535</v>
      </c>
      <c r="F1460" s="32">
        <v>695803.0</v>
      </c>
      <c r="G1460" s="32">
        <v>88.0</v>
      </c>
      <c r="H1460" s="32" t="str">
        <f>VLOOKUP(D1460, Grid_Region_Mapping!$D$2:$F$5286, 3, FALSE)</f>
        <v>SRCE</v>
      </c>
      <c r="I1460" s="32">
        <v>6.0</v>
      </c>
      <c r="J1460" s="34" t="str">
        <f t="shared" si="1"/>
        <v>South</v>
      </c>
      <c r="K1460" s="35">
        <v>4.0</v>
      </c>
      <c r="L1460" s="35" t="s">
        <v>102</v>
      </c>
      <c r="M1460" s="36">
        <f>VLOOKUP(D1460, County_Data_CZones!$B$2:$F$3236, 2, FALSE)</f>
        <v>3</v>
      </c>
      <c r="N1460" s="37" t="str">
        <f>VLOOKUP(D1460, County_Data_CZones!$B$2:$F$3236, 5, FALSE)</f>
        <v>Mixed-Humid</v>
      </c>
    </row>
    <row r="1461" ht="15.75" customHeight="1">
      <c r="A1461" s="32" t="s">
        <v>1109</v>
      </c>
      <c r="B1461" s="32" t="s">
        <v>255</v>
      </c>
      <c r="C1461" s="32" t="str">
        <f>vlookup(B1461,State_EMM_RowSums!$A$2:$B$52,2,FALSE)</f>
        <v>MS</v>
      </c>
      <c r="D1461" s="32">
        <v>28117.0</v>
      </c>
      <c r="E1461" s="33">
        <f>IF(NOT(ISBLANK(vlookup($D1461,Pop_Census_2023!$A$2:$E$3220,4,FALSE))),vlookup($D1461,Pop_Census_2023!$A$2:$E$3220,4,FALSE), vlookup($D1461,Pop_Census_2023!$A$2:$E$3220,5,FALSE))</f>
        <v>25135</v>
      </c>
      <c r="F1461" s="32">
        <v>695779.0</v>
      </c>
      <c r="G1461" s="32">
        <v>88.0</v>
      </c>
      <c r="H1461" s="32" t="str">
        <f>VLOOKUP(D1461, Grid_Region_Mapping!$D$2:$F$5286, 3, FALSE)</f>
        <v>SRCE</v>
      </c>
      <c r="I1461" s="32">
        <v>6.0</v>
      </c>
      <c r="J1461" s="34" t="str">
        <f t="shared" si="1"/>
        <v>South</v>
      </c>
      <c r="K1461" s="35">
        <v>4.0</v>
      </c>
      <c r="L1461" s="35" t="s">
        <v>102</v>
      </c>
      <c r="M1461" s="36">
        <f>VLOOKUP(D1461, County_Data_CZones!$B$2:$F$3236, 2, FALSE)</f>
        <v>3</v>
      </c>
      <c r="N1461" s="37" t="str">
        <f>VLOOKUP(D1461, County_Data_CZones!$B$2:$F$3236, 5, FALSE)</f>
        <v>Mixed-Humid</v>
      </c>
    </row>
    <row r="1462" ht="15.75" customHeight="1">
      <c r="A1462" s="32" t="s">
        <v>537</v>
      </c>
      <c r="B1462" s="32" t="s">
        <v>255</v>
      </c>
      <c r="C1462" s="32" t="str">
        <f>vlookup(B1462,State_EMM_RowSums!$A$2:$B$52,2,FALSE)</f>
        <v>MS</v>
      </c>
      <c r="D1462" s="32">
        <v>28119.0</v>
      </c>
      <c r="E1462" s="33">
        <f>IF(NOT(ISBLANK(vlookup($D1462,Pop_Census_2023!$A$2:$E$3220,4,FALSE))),vlookup($D1462,Pop_Census_2023!$A$2:$E$3220,4,FALSE), vlookup($D1462,Pop_Census_2023!$A$2:$E$3220,5,FALSE))</f>
        <v>5546</v>
      </c>
      <c r="F1462" s="32">
        <v>695780.0</v>
      </c>
      <c r="G1462" s="32">
        <v>87.0</v>
      </c>
      <c r="H1462" s="32" t="str">
        <f>VLOOKUP(D1462, Grid_Region_Mapping!$D$2:$F$5286, 3, FALSE)</f>
        <v>MISS</v>
      </c>
      <c r="I1462" s="32">
        <v>6.0</v>
      </c>
      <c r="J1462" s="34" t="str">
        <f t="shared" si="1"/>
        <v>South</v>
      </c>
      <c r="K1462" s="35">
        <v>4.0</v>
      </c>
      <c r="L1462" s="35" t="s">
        <v>102</v>
      </c>
      <c r="M1462" s="36">
        <f>VLOOKUP(D1462, County_Data_CZones!$B$2:$F$3236, 2, FALSE)</f>
        <v>3</v>
      </c>
      <c r="N1462" s="37" t="str">
        <f>VLOOKUP(D1462, County_Data_CZones!$B$2:$F$3236, 5, FALSE)</f>
        <v>Mixed-Humid</v>
      </c>
    </row>
    <row r="1463" ht="15.75" customHeight="1">
      <c r="A1463" s="32" t="s">
        <v>1110</v>
      </c>
      <c r="B1463" s="32" t="s">
        <v>255</v>
      </c>
      <c r="C1463" s="32" t="str">
        <f>vlookup(B1463,State_EMM_RowSums!$A$2:$B$52,2,FALSE)</f>
        <v>MS</v>
      </c>
      <c r="D1463" s="32">
        <v>28121.0</v>
      </c>
      <c r="E1463" s="33">
        <f>IF(NOT(ISBLANK(vlookup($D1463,Pop_Census_2023!$A$2:$E$3220,4,FALSE))),vlookup($D1463,Pop_Census_2023!$A$2:$E$3220,4,FALSE), vlookup($D1463,Pop_Census_2023!$A$2:$E$3220,5,FALSE))</f>
        <v>160417</v>
      </c>
      <c r="F1463" s="32">
        <v>695781.0</v>
      </c>
      <c r="G1463" s="32">
        <v>87.0</v>
      </c>
      <c r="H1463" s="32" t="str">
        <f>VLOOKUP(D1463, Grid_Region_Mapping!$D$2:$F$5286, 3, FALSE)</f>
        <v>MISS</v>
      </c>
      <c r="I1463" s="32">
        <v>6.0</v>
      </c>
      <c r="J1463" s="34" t="str">
        <f t="shared" si="1"/>
        <v>South</v>
      </c>
      <c r="K1463" s="35">
        <v>5.0</v>
      </c>
      <c r="L1463" s="35" t="s">
        <v>102</v>
      </c>
      <c r="M1463" s="36">
        <f>VLOOKUP(D1463, County_Data_CZones!$B$2:$F$3236, 2, FALSE)</f>
        <v>3</v>
      </c>
      <c r="N1463" s="37" t="str">
        <f>VLOOKUP(D1463, County_Data_CZones!$B$2:$F$3236, 5, FALSE)</f>
        <v>Hot-Humid</v>
      </c>
    </row>
    <row r="1464" ht="15.75" customHeight="1">
      <c r="A1464" s="32" t="s">
        <v>267</v>
      </c>
      <c r="B1464" s="32" t="s">
        <v>255</v>
      </c>
      <c r="C1464" s="32" t="str">
        <f>vlookup(B1464,State_EMM_RowSums!$A$2:$B$52,2,FALSE)</f>
        <v>MS</v>
      </c>
      <c r="D1464" s="32">
        <v>28123.0</v>
      </c>
      <c r="E1464" s="33">
        <f>IF(NOT(ISBLANK(vlookup($D1464,Pop_Census_2023!$A$2:$E$3220,4,FALSE))),vlookup($D1464,Pop_Census_2023!$A$2:$E$3220,4,FALSE), vlookup($D1464,Pop_Census_2023!$A$2:$E$3220,5,FALSE))</f>
        <v>27507</v>
      </c>
      <c r="F1464" s="32">
        <v>695782.0</v>
      </c>
      <c r="G1464" s="32">
        <v>87.0</v>
      </c>
      <c r="H1464" s="32" t="str">
        <f>VLOOKUP(D1464, Grid_Region_Mapping!$D$2:$F$5286, 3, FALSE)</f>
        <v>MISS</v>
      </c>
      <c r="I1464" s="32">
        <v>6.0</v>
      </c>
      <c r="J1464" s="34" t="str">
        <f t="shared" si="1"/>
        <v>South</v>
      </c>
      <c r="K1464" s="35">
        <v>5.0</v>
      </c>
      <c r="L1464" s="35" t="s">
        <v>102</v>
      </c>
      <c r="M1464" s="36">
        <f>VLOOKUP(D1464, County_Data_CZones!$B$2:$F$3236, 2, FALSE)</f>
        <v>3</v>
      </c>
      <c r="N1464" s="37" t="str">
        <f>VLOOKUP(D1464, County_Data_CZones!$B$2:$F$3236, 5, FALSE)</f>
        <v>Mixed-Humid</v>
      </c>
    </row>
    <row r="1465" ht="15.75" customHeight="1">
      <c r="A1465" s="32" t="s">
        <v>1111</v>
      </c>
      <c r="B1465" s="32" t="s">
        <v>255</v>
      </c>
      <c r="C1465" s="32" t="str">
        <f>vlookup(B1465,State_EMM_RowSums!$A$2:$B$52,2,FALSE)</f>
        <v>MS</v>
      </c>
      <c r="D1465" s="32">
        <v>28125.0</v>
      </c>
      <c r="E1465" s="33">
        <f>IF(NOT(ISBLANK(vlookup($D1465,Pop_Census_2023!$A$2:$E$3220,4,FALSE))),vlookup($D1465,Pop_Census_2023!$A$2:$E$3220,4,FALSE), vlookup($D1465,Pop_Census_2023!$A$2:$E$3220,5,FALSE))</f>
        <v>3336</v>
      </c>
      <c r="F1465" s="32">
        <v>695783.0</v>
      </c>
      <c r="G1465" s="32">
        <v>87.0</v>
      </c>
      <c r="H1465" s="32" t="str">
        <f>VLOOKUP(D1465, Grid_Region_Mapping!$D$2:$F$5286, 3, FALSE)</f>
        <v>MISS</v>
      </c>
      <c r="I1465" s="32">
        <v>6.0</v>
      </c>
      <c r="J1465" s="34" t="str">
        <f t="shared" si="1"/>
        <v>South</v>
      </c>
      <c r="K1465" s="35">
        <v>5.0</v>
      </c>
      <c r="L1465" s="35" t="s">
        <v>102</v>
      </c>
      <c r="M1465" s="36">
        <f>VLOOKUP(D1465, County_Data_CZones!$B$2:$F$3236, 2, FALSE)</f>
        <v>3</v>
      </c>
      <c r="N1465" s="37" t="str">
        <f>VLOOKUP(D1465, County_Data_CZones!$B$2:$F$3236, 5, FALSE)</f>
        <v>Mixed-Humid</v>
      </c>
    </row>
    <row r="1466" ht="15.75" customHeight="1">
      <c r="A1466" s="32" t="s">
        <v>869</v>
      </c>
      <c r="B1466" s="32" t="s">
        <v>255</v>
      </c>
      <c r="C1466" s="32" t="str">
        <f>vlookup(B1466,State_EMM_RowSums!$A$2:$B$52,2,FALSE)</f>
        <v>MS</v>
      </c>
      <c r="D1466" s="32">
        <v>28127.0</v>
      </c>
      <c r="E1466" s="33">
        <f>IF(NOT(ISBLANK(vlookup($D1466,Pop_Census_2023!$A$2:$E$3220,4,FALSE))),vlookup($D1466,Pop_Census_2023!$A$2:$E$3220,4,FALSE), vlookup($D1466,Pop_Census_2023!$A$2:$E$3220,5,FALSE))</f>
        <v>25715</v>
      </c>
      <c r="F1466" s="32">
        <v>695784.0</v>
      </c>
      <c r="G1466" s="32">
        <v>87.0</v>
      </c>
      <c r="H1466" s="32" t="str">
        <f>VLOOKUP(D1466, Grid_Region_Mapping!$D$2:$F$5286, 3, FALSE)</f>
        <v>MISS</v>
      </c>
      <c r="I1466" s="32">
        <v>6.0</v>
      </c>
      <c r="J1466" s="34" t="str">
        <f t="shared" si="1"/>
        <v>South</v>
      </c>
      <c r="K1466" s="35">
        <v>4.0</v>
      </c>
      <c r="L1466" s="35" t="s">
        <v>102</v>
      </c>
      <c r="M1466" s="36">
        <f>VLOOKUP(D1466, County_Data_CZones!$B$2:$F$3236, 2, FALSE)</f>
        <v>3</v>
      </c>
      <c r="N1466" s="37" t="str">
        <f>VLOOKUP(D1466, County_Data_CZones!$B$2:$F$3236, 5, FALSE)</f>
        <v>Hot-Humid</v>
      </c>
    </row>
    <row r="1467" ht="15.75" customHeight="1">
      <c r="A1467" s="32" t="s">
        <v>806</v>
      </c>
      <c r="B1467" s="32" t="s">
        <v>255</v>
      </c>
      <c r="C1467" s="32" t="str">
        <f>vlookup(B1467,State_EMM_RowSums!$A$2:$B$52,2,FALSE)</f>
        <v>MS</v>
      </c>
      <c r="D1467" s="32">
        <v>28129.0</v>
      </c>
      <c r="E1467" s="33">
        <f>IF(NOT(ISBLANK(vlookup($D1467,Pop_Census_2023!$A$2:$E$3220,4,FALSE))),vlookup($D1467,Pop_Census_2023!$A$2:$E$3220,4,FALSE), vlookup($D1467,Pop_Census_2023!$A$2:$E$3220,5,FALSE))</f>
        <v>14099</v>
      </c>
      <c r="F1467" s="32">
        <v>695785.0</v>
      </c>
      <c r="G1467" s="32">
        <v>87.0</v>
      </c>
      <c r="H1467" s="32" t="str">
        <f>VLOOKUP(D1467, Grid_Region_Mapping!$D$2:$F$5286, 3, FALSE)</f>
        <v>SRSE</v>
      </c>
      <c r="I1467" s="32">
        <v>6.0</v>
      </c>
      <c r="J1467" s="34" t="str">
        <f t="shared" si="1"/>
        <v>South</v>
      </c>
      <c r="K1467" s="35">
        <v>5.0</v>
      </c>
      <c r="L1467" s="35" t="s">
        <v>102</v>
      </c>
      <c r="M1467" s="36">
        <f>VLOOKUP(D1467, County_Data_CZones!$B$2:$F$3236, 2, FALSE)</f>
        <v>3</v>
      </c>
      <c r="N1467" s="37" t="str">
        <f>VLOOKUP(D1467, County_Data_CZones!$B$2:$F$3236, 5, FALSE)</f>
        <v>Hot-Humid</v>
      </c>
    </row>
    <row r="1468" ht="15.75" customHeight="1">
      <c r="A1468" s="32" t="s">
        <v>272</v>
      </c>
      <c r="B1468" s="32" t="s">
        <v>255</v>
      </c>
      <c r="C1468" s="32" t="str">
        <f>vlookup(B1468,State_EMM_RowSums!$A$2:$B$52,2,FALSE)</f>
        <v>MS</v>
      </c>
      <c r="D1468" s="32">
        <v>28131.0</v>
      </c>
      <c r="E1468" s="33">
        <f>IF(NOT(ISBLANK(vlookup($D1468,Pop_Census_2023!$A$2:$E$3220,4,FALSE))),vlookup($D1468,Pop_Census_2023!$A$2:$E$3220,4,FALSE), vlookup($D1468,Pop_Census_2023!$A$2:$E$3220,5,FALSE))</f>
        <v>18756</v>
      </c>
      <c r="F1468" s="32">
        <v>695786.0</v>
      </c>
      <c r="G1468" s="32">
        <v>87.0</v>
      </c>
      <c r="H1468" s="32" t="str">
        <f>VLOOKUP(D1468, Grid_Region_Mapping!$D$2:$F$5286, 3, FALSE)</f>
        <v>SRSE</v>
      </c>
      <c r="I1468" s="32">
        <v>6.0</v>
      </c>
      <c r="J1468" s="34" t="str">
        <f t="shared" si="1"/>
        <v>South</v>
      </c>
      <c r="K1468" s="35">
        <v>5.0</v>
      </c>
      <c r="L1468" s="35" t="s">
        <v>104</v>
      </c>
      <c r="M1468" s="36">
        <f>VLOOKUP(D1468, County_Data_CZones!$B$2:$F$3236, 2, FALSE)</f>
        <v>2</v>
      </c>
      <c r="N1468" s="37" t="str">
        <f>VLOOKUP(D1468, County_Data_CZones!$B$2:$F$3236, 5, FALSE)</f>
        <v>Hot-Humid</v>
      </c>
    </row>
    <row r="1469" ht="15.75" customHeight="1">
      <c r="A1469" s="32" t="s">
        <v>1112</v>
      </c>
      <c r="B1469" s="32" t="s">
        <v>255</v>
      </c>
      <c r="C1469" s="32" t="str">
        <f>vlookup(B1469,State_EMM_RowSums!$A$2:$B$52,2,FALSE)</f>
        <v>MS</v>
      </c>
      <c r="D1469" s="32">
        <v>28133.0</v>
      </c>
      <c r="E1469" s="33">
        <f>IF(NOT(ISBLANK(vlookup($D1469,Pop_Census_2023!$A$2:$E$3220,4,FALSE))),vlookup($D1469,Pop_Census_2023!$A$2:$E$3220,4,FALSE), vlookup($D1469,Pop_Census_2023!$A$2:$E$3220,5,FALSE))</f>
        <v>24468</v>
      </c>
      <c r="F1469" s="32">
        <v>695787.0</v>
      </c>
      <c r="G1469" s="32">
        <v>87.0</v>
      </c>
      <c r="H1469" s="32" t="str">
        <f>VLOOKUP(D1469, Grid_Region_Mapping!$D$2:$F$5286, 3, FALSE)</f>
        <v>MISS</v>
      </c>
      <c r="I1469" s="32">
        <v>6.0</v>
      </c>
      <c r="J1469" s="34" t="str">
        <f t="shared" si="1"/>
        <v>South</v>
      </c>
      <c r="K1469" s="35">
        <v>5.0</v>
      </c>
      <c r="L1469" s="35" t="s">
        <v>102</v>
      </c>
      <c r="M1469" s="36">
        <f>VLOOKUP(D1469, County_Data_CZones!$B$2:$F$3236, 2, FALSE)</f>
        <v>3</v>
      </c>
      <c r="N1469" s="37" t="str">
        <f>VLOOKUP(D1469, County_Data_CZones!$B$2:$F$3236, 5, FALSE)</f>
        <v>Mixed-Humid</v>
      </c>
    </row>
    <row r="1470" ht="15.75" customHeight="1">
      <c r="A1470" s="32" t="s">
        <v>1113</v>
      </c>
      <c r="B1470" s="32" t="s">
        <v>255</v>
      </c>
      <c r="C1470" s="32" t="str">
        <f>vlookup(B1470,State_EMM_RowSums!$A$2:$B$52,2,FALSE)</f>
        <v>MS</v>
      </c>
      <c r="D1470" s="32">
        <v>28135.0</v>
      </c>
      <c r="E1470" s="33">
        <f>IF(NOT(ISBLANK(vlookup($D1470,Pop_Census_2023!$A$2:$E$3220,4,FALSE))),vlookup($D1470,Pop_Census_2023!$A$2:$E$3220,4,FALSE), vlookup($D1470,Pop_Census_2023!$A$2:$E$3220,5,FALSE))</f>
        <v>11837</v>
      </c>
      <c r="F1470" s="32">
        <v>695788.0</v>
      </c>
      <c r="G1470" s="32">
        <v>87.0</v>
      </c>
      <c r="H1470" s="32" t="str">
        <f>VLOOKUP(D1470, Grid_Region_Mapping!$D$2:$F$5286, 3, FALSE)</f>
        <v>MISS</v>
      </c>
      <c r="I1470" s="32">
        <v>6.0</v>
      </c>
      <c r="J1470" s="34" t="str">
        <f t="shared" si="1"/>
        <v>South</v>
      </c>
      <c r="K1470" s="35">
        <v>4.0</v>
      </c>
      <c r="L1470" s="35" t="s">
        <v>102</v>
      </c>
      <c r="M1470" s="36">
        <f>VLOOKUP(D1470, County_Data_CZones!$B$2:$F$3236, 2, FALSE)</f>
        <v>3</v>
      </c>
      <c r="N1470" s="37" t="str">
        <f>VLOOKUP(D1470, County_Data_CZones!$B$2:$F$3236, 5, FALSE)</f>
        <v>Mixed-Humid</v>
      </c>
    </row>
    <row r="1471" ht="15.75" customHeight="1">
      <c r="A1471" s="32" t="s">
        <v>1114</v>
      </c>
      <c r="B1471" s="32" t="s">
        <v>255</v>
      </c>
      <c r="C1471" s="32" t="str">
        <f>vlookup(B1471,State_EMM_RowSums!$A$2:$B$52,2,FALSE)</f>
        <v>MS</v>
      </c>
      <c r="D1471" s="32">
        <v>28137.0</v>
      </c>
      <c r="E1471" s="33">
        <f>IF(NOT(ISBLANK(vlookup($D1471,Pop_Census_2023!$A$2:$E$3220,4,FALSE))),vlookup($D1471,Pop_Census_2023!$A$2:$E$3220,4,FALSE), vlookup($D1471,Pop_Census_2023!$A$2:$E$3220,5,FALSE))</f>
        <v>28261</v>
      </c>
      <c r="F1471" s="32">
        <v>695789.0</v>
      </c>
      <c r="G1471" s="32">
        <v>87.0</v>
      </c>
      <c r="H1471" s="32" t="str">
        <f>VLOOKUP(D1471, Grid_Region_Mapping!$D$2:$F$5286, 3, FALSE)</f>
        <v>MISS</v>
      </c>
      <c r="I1471" s="32">
        <v>6.0</v>
      </c>
      <c r="J1471" s="34" t="str">
        <f t="shared" si="1"/>
        <v>South</v>
      </c>
      <c r="K1471" s="35">
        <v>4.0</v>
      </c>
      <c r="L1471" s="35" t="s">
        <v>102</v>
      </c>
      <c r="M1471" s="36">
        <f>VLOOKUP(D1471, County_Data_CZones!$B$2:$F$3236, 2, FALSE)</f>
        <v>3</v>
      </c>
      <c r="N1471" s="37" t="str">
        <f>VLOOKUP(D1471, County_Data_CZones!$B$2:$F$3236, 5, FALSE)</f>
        <v>Mixed-Humid</v>
      </c>
    </row>
    <row r="1472" ht="15.75" customHeight="1">
      <c r="A1472" s="32" t="s">
        <v>1115</v>
      </c>
      <c r="B1472" s="32" t="s">
        <v>255</v>
      </c>
      <c r="C1472" s="32" t="str">
        <f>vlookup(B1472,State_EMM_RowSums!$A$2:$B$52,2,FALSE)</f>
        <v>MS</v>
      </c>
      <c r="D1472" s="32">
        <v>28139.0</v>
      </c>
      <c r="E1472" s="33">
        <f>IF(NOT(ISBLANK(vlookup($D1472,Pop_Census_2023!$A$2:$E$3220,4,FALSE))),vlookup($D1472,Pop_Census_2023!$A$2:$E$3220,4,FALSE), vlookup($D1472,Pop_Census_2023!$A$2:$E$3220,5,FALSE))</f>
        <v>21287</v>
      </c>
      <c r="F1472" s="32">
        <v>695790.0</v>
      </c>
      <c r="G1472" s="32">
        <v>88.0</v>
      </c>
      <c r="H1472" s="32" t="str">
        <f>VLOOKUP(D1472, Grid_Region_Mapping!$D$2:$F$5286, 3, FALSE)</f>
        <v>SRCE</v>
      </c>
      <c r="I1472" s="32">
        <v>6.0</v>
      </c>
      <c r="J1472" s="34" t="str">
        <f t="shared" si="1"/>
        <v>South</v>
      </c>
      <c r="K1472" s="35">
        <v>4.0</v>
      </c>
      <c r="L1472" s="35" t="s">
        <v>102</v>
      </c>
      <c r="M1472" s="36">
        <f>VLOOKUP(D1472, County_Data_CZones!$B$2:$F$3236, 2, FALSE)</f>
        <v>3</v>
      </c>
      <c r="N1472" s="37" t="str">
        <f>VLOOKUP(D1472, County_Data_CZones!$B$2:$F$3236, 5, FALSE)</f>
        <v>Mixed-Humid</v>
      </c>
    </row>
    <row r="1473" ht="15.75" customHeight="1">
      <c r="A1473" s="32" t="s">
        <v>1116</v>
      </c>
      <c r="B1473" s="32" t="s">
        <v>255</v>
      </c>
      <c r="C1473" s="32" t="str">
        <f>vlookup(B1473,State_EMM_RowSums!$A$2:$B$52,2,FALSE)</f>
        <v>MS</v>
      </c>
      <c r="D1473" s="32">
        <v>28141.0</v>
      </c>
      <c r="E1473" s="33">
        <f>IF(NOT(ISBLANK(vlookup($D1473,Pop_Census_2023!$A$2:$E$3220,4,FALSE))),vlookup($D1473,Pop_Census_2023!$A$2:$E$3220,4,FALSE), vlookup($D1473,Pop_Census_2023!$A$2:$E$3220,5,FALSE))</f>
        <v>18507</v>
      </c>
      <c r="F1473" s="32">
        <v>695791.0</v>
      </c>
      <c r="G1473" s="32">
        <v>88.0</v>
      </c>
      <c r="H1473" s="32" t="str">
        <f>VLOOKUP(D1473, Grid_Region_Mapping!$D$2:$F$5286, 3, FALSE)</f>
        <v>SRCE</v>
      </c>
      <c r="I1473" s="32">
        <v>6.0</v>
      </c>
      <c r="J1473" s="34" t="str">
        <f t="shared" si="1"/>
        <v>South</v>
      </c>
      <c r="K1473" s="35">
        <v>4.0</v>
      </c>
      <c r="L1473" s="35" t="s">
        <v>102</v>
      </c>
      <c r="M1473" s="36">
        <f>VLOOKUP(D1473, County_Data_CZones!$B$2:$F$3236, 2, FALSE)</f>
        <v>3</v>
      </c>
      <c r="N1473" s="37" t="str">
        <f>VLOOKUP(D1473, County_Data_CZones!$B$2:$F$3236, 5, FALSE)</f>
        <v>Mixed-Humid</v>
      </c>
    </row>
    <row r="1474" ht="15.75" customHeight="1">
      <c r="A1474" s="32" t="s">
        <v>1117</v>
      </c>
      <c r="B1474" s="32" t="s">
        <v>255</v>
      </c>
      <c r="C1474" s="32" t="str">
        <f>vlookup(B1474,State_EMM_RowSums!$A$2:$B$52,2,FALSE)</f>
        <v>MS</v>
      </c>
      <c r="D1474" s="32">
        <v>28143.0</v>
      </c>
      <c r="E1474" s="33">
        <f>IF(NOT(ISBLANK(vlookup($D1474,Pop_Census_2023!$A$2:$E$3220,4,FALSE))),vlookup($D1474,Pop_Census_2023!$A$2:$E$3220,4,FALSE), vlookup($D1474,Pop_Census_2023!$A$2:$E$3220,5,FALSE))</f>
        <v>9234</v>
      </c>
      <c r="F1474" s="32">
        <v>695792.0</v>
      </c>
      <c r="G1474" s="32">
        <v>87.0</v>
      </c>
      <c r="H1474" s="32" t="str">
        <f>VLOOKUP(D1474, Grid_Region_Mapping!$D$2:$F$5286, 3, FALSE)</f>
        <v>MISS</v>
      </c>
      <c r="I1474" s="32">
        <v>6.0</v>
      </c>
      <c r="J1474" s="34" t="str">
        <f t="shared" si="1"/>
        <v>South</v>
      </c>
      <c r="K1474" s="35">
        <v>4.0</v>
      </c>
      <c r="L1474" s="35" t="s">
        <v>102</v>
      </c>
      <c r="M1474" s="36">
        <f>VLOOKUP(D1474, County_Data_CZones!$B$2:$F$3236, 2, FALSE)</f>
        <v>3</v>
      </c>
      <c r="N1474" s="37" t="str">
        <f>VLOOKUP(D1474, County_Data_CZones!$B$2:$F$3236, 5, FALSE)</f>
        <v>Mixed-Humid</v>
      </c>
    </row>
    <row r="1475" ht="15.75" customHeight="1">
      <c r="A1475" s="32" t="s">
        <v>273</v>
      </c>
      <c r="B1475" s="32" t="s">
        <v>255</v>
      </c>
      <c r="C1475" s="32" t="str">
        <f>vlookup(B1475,State_EMM_RowSums!$A$2:$B$52,2,FALSE)</f>
        <v>MS</v>
      </c>
      <c r="D1475" s="32">
        <v>28145.0</v>
      </c>
      <c r="E1475" s="33">
        <f>IF(NOT(ISBLANK(vlookup($D1475,Pop_Census_2023!$A$2:$E$3220,4,FALSE))),vlookup($D1475,Pop_Census_2023!$A$2:$E$3220,4,FALSE), vlookup($D1475,Pop_Census_2023!$A$2:$E$3220,5,FALSE))</f>
        <v>28284</v>
      </c>
      <c r="F1475" s="32">
        <v>695793.0</v>
      </c>
      <c r="G1475" s="32">
        <v>88.0</v>
      </c>
      <c r="H1475" s="32" t="str">
        <f>VLOOKUP(D1475, Grid_Region_Mapping!$D$2:$F$5286, 3, FALSE)</f>
        <v>SRCE</v>
      </c>
      <c r="I1475" s="32">
        <v>6.0</v>
      </c>
      <c r="J1475" s="34" t="str">
        <f t="shared" si="1"/>
        <v>South</v>
      </c>
      <c r="K1475" s="35">
        <v>4.0</v>
      </c>
      <c r="L1475" s="35" t="s">
        <v>102</v>
      </c>
      <c r="M1475" s="36">
        <f>VLOOKUP(D1475, County_Data_CZones!$B$2:$F$3236, 2, FALSE)</f>
        <v>3</v>
      </c>
      <c r="N1475" s="37" t="str">
        <f>VLOOKUP(D1475, County_Data_CZones!$B$2:$F$3236, 5, FALSE)</f>
        <v>Mixed-Humid</v>
      </c>
    </row>
    <row r="1476" ht="15.75" customHeight="1">
      <c r="A1476" s="32" t="s">
        <v>1118</v>
      </c>
      <c r="B1476" s="32" t="s">
        <v>255</v>
      </c>
      <c r="C1476" s="32" t="str">
        <f>vlookup(B1476,State_EMM_RowSums!$A$2:$B$52,2,FALSE)</f>
        <v>MS</v>
      </c>
      <c r="D1476" s="32">
        <v>28147.0</v>
      </c>
      <c r="E1476" s="33">
        <f>IF(NOT(ISBLANK(vlookup($D1476,Pop_Census_2023!$A$2:$E$3220,4,FALSE))),vlookup($D1476,Pop_Census_2023!$A$2:$E$3220,4,FALSE), vlookup($D1476,Pop_Census_2023!$A$2:$E$3220,5,FALSE))</f>
        <v>13863</v>
      </c>
      <c r="F1476" s="32">
        <v>695794.0</v>
      </c>
      <c r="G1476" s="32">
        <v>87.0</v>
      </c>
      <c r="H1476" s="32" t="str">
        <f>VLOOKUP(D1476, Grid_Region_Mapping!$D$2:$F$5286, 3, FALSE)</f>
        <v>MISS</v>
      </c>
      <c r="I1476" s="32">
        <v>6.0</v>
      </c>
      <c r="J1476" s="34" t="str">
        <f t="shared" si="1"/>
        <v>South</v>
      </c>
      <c r="K1476" s="35">
        <v>5.0</v>
      </c>
      <c r="L1476" s="35" t="s">
        <v>102</v>
      </c>
      <c r="M1476" s="36">
        <f>VLOOKUP(D1476, County_Data_CZones!$B$2:$F$3236, 2, FALSE)</f>
        <v>3</v>
      </c>
      <c r="N1476" s="37" t="str">
        <f>VLOOKUP(D1476, County_Data_CZones!$B$2:$F$3236, 5, FALSE)</f>
        <v>Hot-Humid</v>
      </c>
    </row>
    <row r="1477" ht="15.75" customHeight="1">
      <c r="A1477" s="32" t="s">
        <v>561</v>
      </c>
      <c r="B1477" s="32" t="s">
        <v>255</v>
      </c>
      <c r="C1477" s="32" t="str">
        <f>vlookup(B1477,State_EMM_RowSums!$A$2:$B$52,2,FALSE)</f>
        <v>MS</v>
      </c>
      <c r="D1477" s="32">
        <v>28149.0</v>
      </c>
      <c r="E1477" s="33">
        <f>IF(NOT(ISBLANK(vlookup($D1477,Pop_Census_2023!$A$2:$E$3220,4,FALSE))),vlookup($D1477,Pop_Census_2023!$A$2:$E$3220,4,FALSE), vlookup($D1477,Pop_Census_2023!$A$2:$E$3220,5,FALSE))</f>
        <v>42298</v>
      </c>
      <c r="F1477" s="32">
        <v>695795.0</v>
      </c>
      <c r="G1477" s="32">
        <v>87.0</v>
      </c>
      <c r="H1477" s="32" t="str">
        <f>VLOOKUP(D1477, Grid_Region_Mapping!$D$2:$F$5286, 3, FALSE)</f>
        <v>MISS</v>
      </c>
      <c r="I1477" s="32">
        <v>6.0</v>
      </c>
      <c r="J1477" s="34" t="str">
        <f t="shared" si="1"/>
        <v>South</v>
      </c>
      <c r="K1477" s="35">
        <v>5.0</v>
      </c>
      <c r="L1477" s="35" t="s">
        <v>102</v>
      </c>
      <c r="M1477" s="36">
        <f>VLOOKUP(D1477, County_Data_CZones!$B$2:$F$3236, 2, FALSE)</f>
        <v>3</v>
      </c>
      <c r="N1477" s="37" t="str">
        <f>VLOOKUP(D1477, County_Data_CZones!$B$2:$F$3236, 5, FALSE)</f>
        <v>Hot-Humid</v>
      </c>
    </row>
    <row r="1478" ht="15.75" customHeight="1">
      <c r="A1478" s="32" t="s">
        <v>167</v>
      </c>
      <c r="B1478" s="32" t="s">
        <v>255</v>
      </c>
      <c r="C1478" s="32" t="str">
        <f>vlookup(B1478,State_EMM_RowSums!$A$2:$B$52,2,FALSE)</f>
        <v>MS</v>
      </c>
      <c r="D1478" s="32">
        <v>28151.0</v>
      </c>
      <c r="E1478" s="33">
        <f>IF(NOT(ISBLANK(vlookup($D1478,Pop_Census_2023!$A$2:$E$3220,4,FALSE))),vlookup($D1478,Pop_Census_2023!$A$2:$E$3220,4,FALSE), vlookup($D1478,Pop_Census_2023!$A$2:$E$3220,5,FALSE))</f>
        <v>41946</v>
      </c>
      <c r="F1478" s="32">
        <v>695796.0</v>
      </c>
      <c r="G1478" s="32">
        <v>87.0</v>
      </c>
      <c r="H1478" s="32" t="str">
        <f>VLOOKUP(D1478, Grid_Region_Mapping!$D$2:$F$5286, 3, FALSE)</f>
        <v>MISS</v>
      </c>
      <c r="I1478" s="32">
        <v>6.0</v>
      </c>
      <c r="J1478" s="34" t="str">
        <f t="shared" si="1"/>
        <v>South</v>
      </c>
      <c r="K1478" s="35">
        <v>5.0</v>
      </c>
      <c r="L1478" s="35" t="s">
        <v>102</v>
      </c>
      <c r="M1478" s="36">
        <f>VLOOKUP(D1478, County_Data_CZones!$B$2:$F$3236, 2, FALSE)</f>
        <v>3</v>
      </c>
      <c r="N1478" s="37" t="str">
        <f>VLOOKUP(D1478, County_Data_CZones!$B$2:$F$3236, 5, FALSE)</f>
        <v>Mixed-Humid</v>
      </c>
    </row>
    <row r="1479" ht="15.75" customHeight="1">
      <c r="A1479" s="32" t="s">
        <v>562</v>
      </c>
      <c r="B1479" s="32" t="s">
        <v>255</v>
      </c>
      <c r="C1479" s="32" t="str">
        <f>vlookup(B1479,State_EMM_RowSums!$A$2:$B$52,2,FALSE)</f>
        <v>MS</v>
      </c>
      <c r="D1479" s="32">
        <v>28153.0</v>
      </c>
      <c r="E1479" s="33">
        <f>IF(NOT(ISBLANK(vlookup($D1479,Pop_Census_2023!$A$2:$E$3220,4,FALSE))),vlookup($D1479,Pop_Census_2023!$A$2:$E$3220,4,FALSE), vlookup($D1479,Pop_Census_2023!$A$2:$E$3220,5,FALSE))</f>
        <v>19703</v>
      </c>
      <c r="F1479" s="32">
        <v>695797.0</v>
      </c>
      <c r="G1479" s="32">
        <v>87.0</v>
      </c>
      <c r="H1479" s="32" t="str">
        <f>VLOOKUP(D1479, Grid_Region_Mapping!$D$2:$F$5286, 3, FALSE)</f>
        <v>SRSE</v>
      </c>
      <c r="I1479" s="32">
        <v>6.0</v>
      </c>
      <c r="J1479" s="34" t="str">
        <f t="shared" si="1"/>
        <v>South</v>
      </c>
      <c r="K1479" s="35">
        <v>5.0</v>
      </c>
      <c r="L1479" s="35" t="s">
        <v>102</v>
      </c>
      <c r="M1479" s="36">
        <f>VLOOKUP(D1479, County_Data_CZones!$B$2:$F$3236, 2, FALSE)</f>
        <v>3</v>
      </c>
      <c r="N1479" s="37" t="str">
        <f>VLOOKUP(D1479, County_Data_CZones!$B$2:$F$3236, 5, FALSE)</f>
        <v>Hot-Humid</v>
      </c>
    </row>
    <row r="1480" ht="15.75" customHeight="1">
      <c r="A1480" s="32" t="s">
        <v>563</v>
      </c>
      <c r="B1480" s="32" t="s">
        <v>255</v>
      </c>
      <c r="C1480" s="32" t="str">
        <f>vlookup(B1480,State_EMM_RowSums!$A$2:$B$52,2,FALSE)</f>
        <v>MS</v>
      </c>
      <c r="D1480" s="32">
        <v>28155.0</v>
      </c>
      <c r="E1480" s="33">
        <f>IF(NOT(ISBLANK(vlookup($D1480,Pop_Census_2023!$A$2:$E$3220,4,FALSE))),vlookup($D1480,Pop_Census_2023!$A$2:$E$3220,4,FALSE), vlookup($D1480,Pop_Census_2023!$A$2:$E$3220,5,FALSE))</f>
        <v>9988</v>
      </c>
      <c r="F1480" s="32">
        <v>695798.0</v>
      </c>
      <c r="G1480" s="32">
        <v>88.0</v>
      </c>
      <c r="H1480" s="32" t="str">
        <f>VLOOKUP(D1480, Grid_Region_Mapping!$D$2:$F$5286, 3, FALSE)</f>
        <v>MISS</v>
      </c>
      <c r="I1480" s="32">
        <v>6.0</v>
      </c>
      <c r="J1480" s="34" t="str">
        <f t="shared" si="1"/>
        <v>South</v>
      </c>
      <c r="K1480" s="35">
        <v>4.0</v>
      </c>
      <c r="L1480" s="35" t="s">
        <v>102</v>
      </c>
      <c r="M1480" s="36">
        <f>VLOOKUP(D1480, County_Data_CZones!$B$2:$F$3236, 2, FALSE)</f>
        <v>3</v>
      </c>
      <c r="N1480" s="37" t="str">
        <f>VLOOKUP(D1480, County_Data_CZones!$B$2:$F$3236, 5, FALSE)</f>
        <v>Mixed-Humid</v>
      </c>
    </row>
    <row r="1481" ht="15.75" customHeight="1">
      <c r="A1481" s="32" t="s">
        <v>567</v>
      </c>
      <c r="B1481" s="32" t="s">
        <v>255</v>
      </c>
      <c r="C1481" s="32" t="str">
        <f>vlookup(B1481,State_EMM_RowSums!$A$2:$B$52,2,FALSE)</f>
        <v>MS</v>
      </c>
      <c r="D1481" s="32">
        <v>28157.0</v>
      </c>
      <c r="E1481" s="33">
        <f>IF(NOT(ISBLANK(vlookup($D1481,Pop_Census_2023!$A$2:$E$3220,4,FALSE))),vlookup($D1481,Pop_Census_2023!$A$2:$E$3220,4,FALSE), vlookup($D1481,Pop_Census_2023!$A$2:$E$3220,5,FALSE))</f>
        <v>8058</v>
      </c>
      <c r="F1481" s="32">
        <v>695799.0</v>
      </c>
      <c r="G1481" s="32">
        <v>87.0</v>
      </c>
      <c r="H1481" s="32" t="str">
        <f>VLOOKUP(D1481, Grid_Region_Mapping!$D$2:$F$5286, 3, FALSE)</f>
        <v>MISS</v>
      </c>
      <c r="I1481" s="32">
        <v>6.0</v>
      </c>
      <c r="J1481" s="34" t="str">
        <f t="shared" si="1"/>
        <v>South</v>
      </c>
      <c r="K1481" s="35">
        <v>5.0</v>
      </c>
      <c r="L1481" s="35" t="s">
        <v>102</v>
      </c>
      <c r="M1481" s="36">
        <f>VLOOKUP(D1481, County_Data_CZones!$B$2:$F$3236, 2, FALSE)</f>
        <v>3</v>
      </c>
      <c r="N1481" s="37" t="str">
        <f>VLOOKUP(D1481, County_Data_CZones!$B$2:$F$3236, 5, FALSE)</f>
        <v>Hot-Humid</v>
      </c>
    </row>
    <row r="1482" ht="15.75" customHeight="1">
      <c r="A1482" s="32" t="s">
        <v>169</v>
      </c>
      <c r="B1482" s="32" t="s">
        <v>255</v>
      </c>
      <c r="C1482" s="32" t="str">
        <f>vlookup(B1482,State_EMM_RowSums!$A$2:$B$52,2,FALSE)</f>
        <v>MS</v>
      </c>
      <c r="D1482" s="32">
        <v>28159.0</v>
      </c>
      <c r="E1482" s="33">
        <f>IF(NOT(ISBLANK(vlookup($D1482,Pop_Census_2023!$A$2:$E$3220,4,FALSE))),vlookup($D1482,Pop_Census_2023!$A$2:$E$3220,4,FALSE), vlookup($D1482,Pop_Census_2023!$A$2:$E$3220,5,FALSE))</f>
        <v>17416</v>
      </c>
      <c r="F1482" s="32">
        <v>695800.0</v>
      </c>
      <c r="G1482" s="32">
        <v>88.0</v>
      </c>
      <c r="H1482" s="32" t="str">
        <f>VLOOKUP(D1482, Grid_Region_Mapping!$D$2:$F$5286, 3, FALSE)</f>
        <v>SRCE</v>
      </c>
      <c r="I1482" s="32">
        <v>6.0</v>
      </c>
      <c r="J1482" s="34" t="str">
        <f t="shared" si="1"/>
        <v>South</v>
      </c>
      <c r="K1482" s="35">
        <v>4.0</v>
      </c>
      <c r="L1482" s="35" t="s">
        <v>102</v>
      </c>
      <c r="M1482" s="36">
        <f>VLOOKUP(D1482, County_Data_CZones!$B$2:$F$3236, 2, FALSE)</f>
        <v>3</v>
      </c>
      <c r="N1482" s="37" t="str">
        <f>VLOOKUP(D1482, County_Data_CZones!$B$2:$F$3236, 5, FALSE)</f>
        <v>Mixed-Humid</v>
      </c>
    </row>
    <row r="1483" ht="15.75" customHeight="1">
      <c r="A1483" s="32" t="s">
        <v>1119</v>
      </c>
      <c r="B1483" s="32" t="s">
        <v>255</v>
      </c>
      <c r="C1483" s="32" t="str">
        <f>vlookup(B1483,State_EMM_RowSums!$A$2:$B$52,2,FALSE)</f>
        <v>MS</v>
      </c>
      <c r="D1483" s="32">
        <v>28161.0</v>
      </c>
      <c r="E1483" s="33">
        <f>IF(NOT(ISBLANK(vlookup($D1483,Pop_Census_2023!$A$2:$E$3220,4,FALSE))),vlookup($D1483,Pop_Census_2023!$A$2:$E$3220,4,FALSE), vlookup($D1483,Pop_Census_2023!$A$2:$E$3220,5,FALSE))</f>
        <v>12386</v>
      </c>
      <c r="F1483" s="32">
        <v>695801.0</v>
      </c>
      <c r="G1483" s="32">
        <v>88.0</v>
      </c>
      <c r="H1483" s="32" t="str">
        <f>VLOOKUP(D1483, Grid_Region_Mapping!$D$2:$F$5286, 3, FALSE)</f>
        <v>MISS</v>
      </c>
      <c r="I1483" s="32">
        <v>6.0</v>
      </c>
      <c r="J1483" s="34" t="str">
        <f t="shared" si="1"/>
        <v>South</v>
      </c>
      <c r="K1483" s="35">
        <v>4.0</v>
      </c>
      <c r="L1483" s="35" t="s">
        <v>102</v>
      </c>
      <c r="M1483" s="36">
        <f>VLOOKUP(D1483, County_Data_CZones!$B$2:$F$3236, 2, FALSE)</f>
        <v>3</v>
      </c>
      <c r="N1483" s="37" t="str">
        <f>VLOOKUP(D1483, County_Data_CZones!$B$2:$F$3236, 5, FALSE)</f>
        <v>Mixed-Humid</v>
      </c>
    </row>
    <row r="1484" ht="15.75" customHeight="1">
      <c r="A1484" s="32" t="s">
        <v>1120</v>
      </c>
      <c r="B1484" s="32" t="s">
        <v>255</v>
      </c>
      <c r="C1484" s="32" t="str">
        <f>vlookup(B1484,State_EMM_RowSums!$A$2:$B$52,2,FALSE)</f>
        <v>MS</v>
      </c>
      <c r="D1484" s="32">
        <v>28163.0</v>
      </c>
      <c r="E1484" s="33">
        <f>IF(NOT(ISBLANK(vlookup($D1484,Pop_Census_2023!$A$2:$E$3220,4,FALSE))),vlookup($D1484,Pop_Census_2023!$A$2:$E$3220,4,FALSE), vlookup($D1484,Pop_Census_2023!$A$2:$E$3220,5,FALSE))</f>
        <v>25796</v>
      </c>
      <c r="F1484" s="32">
        <v>695802.0</v>
      </c>
      <c r="G1484" s="32">
        <v>87.0</v>
      </c>
      <c r="H1484" s="32" t="str">
        <f>VLOOKUP(D1484, Grid_Region_Mapping!$D$2:$F$5286, 3, FALSE)</f>
        <v>MISS</v>
      </c>
      <c r="I1484" s="32">
        <v>6.0</v>
      </c>
      <c r="J1484" s="34" t="str">
        <f t="shared" si="1"/>
        <v>South</v>
      </c>
      <c r="K1484" s="35">
        <v>5.0</v>
      </c>
      <c r="L1484" s="35" t="s">
        <v>102</v>
      </c>
      <c r="M1484" s="36">
        <f>VLOOKUP(D1484, County_Data_CZones!$B$2:$F$3236, 2, FALSE)</f>
        <v>3</v>
      </c>
      <c r="N1484" s="37" t="str">
        <f>VLOOKUP(D1484, County_Data_CZones!$B$2:$F$3236, 5, FALSE)</f>
        <v>Mixed-Humid</v>
      </c>
    </row>
    <row r="1485" ht="15.75" customHeight="1">
      <c r="A1485" s="32" t="s">
        <v>704</v>
      </c>
      <c r="B1485" s="32" t="s">
        <v>1121</v>
      </c>
      <c r="C1485" s="32" t="str">
        <f>vlookup(B1485,State_EMM_RowSums!$A$2:$B$52,2,FALSE)</f>
        <v>MO</v>
      </c>
      <c r="D1485" s="32">
        <v>29001.0</v>
      </c>
      <c r="E1485" s="33">
        <f>IF(NOT(ISBLANK(vlookup($D1485,Pop_Census_2023!$A$2:$E$3220,4,FALSE))),vlookup($D1485,Pop_Census_2023!$A$2:$E$3220,4,FALSE), vlookup($D1485,Pop_Census_2023!$A$2:$E$3220,5,FALSE))</f>
        <v>25122</v>
      </c>
      <c r="F1485" s="32">
        <v>765805.0</v>
      </c>
      <c r="G1485" s="32">
        <v>71.0</v>
      </c>
      <c r="H1485" s="32" t="str">
        <f>VLOOKUP(D1485, Grid_Region_Mapping!$D$2:$F$5286, 3, FALSE)</f>
        <v>MISC</v>
      </c>
      <c r="I1485" s="32">
        <v>4.0</v>
      </c>
      <c r="J1485" s="34" t="str">
        <f t="shared" si="1"/>
        <v>Midwest</v>
      </c>
      <c r="K1485" s="35">
        <v>2.0</v>
      </c>
      <c r="L1485" s="35" t="s">
        <v>396</v>
      </c>
      <c r="M1485" s="36">
        <f>VLOOKUP(D1485, County_Data_CZones!$B$2:$F$3236, 2, FALSE)</f>
        <v>5</v>
      </c>
      <c r="N1485" s="37" t="str">
        <f>VLOOKUP(D1485, County_Data_CZones!$B$2:$F$3236, 5, FALSE)</f>
        <v>Cold</v>
      </c>
    </row>
    <row r="1486" ht="15.75" customHeight="1">
      <c r="A1486" s="32" t="s">
        <v>1122</v>
      </c>
      <c r="B1486" s="32" t="s">
        <v>1121</v>
      </c>
      <c r="C1486" s="32" t="str">
        <f>vlookup(B1486,State_EMM_RowSums!$A$2:$B$52,2,FALSE)</f>
        <v>MO</v>
      </c>
      <c r="D1486" s="32">
        <v>29003.0</v>
      </c>
      <c r="E1486" s="33">
        <f>IF(NOT(ISBLANK(vlookup($D1486,Pop_Census_2023!$A$2:$E$3220,4,FALSE))),vlookup($D1486,Pop_Census_2023!$A$2:$E$3220,4,FALSE), vlookup($D1486,Pop_Census_2023!$A$2:$E$3220,5,FALSE))</f>
        <v>18127</v>
      </c>
      <c r="F1486" s="32">
        <v>758456.0</v>
      </c>
      <c r="G1486" s="32">
        <v>54.0</v>
      </c>
      <c r="H1486" s="32" t="str">
        <f>VLOOKUP(D1486, Grid_Region_Mapping!$D$2:$F$5286, 3, FALSE)</f>
        <v>SPPC</v>
      </c>
      <c r="I1486" s="32">
        <v>4.0</v>
      </c>
      <c r="J1486" s="34" t="str">
        <f t="shared" si="1"/>
        <v>Midwest</v>
      </c>
      <c r="K1486" s="35">
        <v>2.0</v>
      </c>
      <c r="L1486" s="35" t="s">
        <v>396</v>
      </c>
      <c r="M1486" s="36">
        <f>VLOOKUP(D1486, County_Data_CZones!$B$2:$F$3236, 2, FALSE)</f>
        <v>5</v>
      </c>
      <c r="N1486" s="37" t="str">
        <f>VLOOKUP(D1486, County_Data_CZones!$B$2:$F$3236, 5, FALSE)</f>
        <v>Cold</v>
      </c>
    </row>
    <row r="1487" ht="15.75" customHeight="1">
      <c r="A1487" s="32" t="s">
        <v>752</v>
      </c>
      <c r="B1487" s="32" t="s">
        <v>1121</v>
      </c>
      <c r="C1487" s="32" t="str">
        <f>vlookup(B1487,State_EMM_RowSums!$A$2:$B$52,2,FALSE)</f>
        <v>MO</v>
      </c>
      <c r="D1487" s="32">
        <v>29005.0</v>
      </c>
      <c r="E1487" s="33">
        <f>IF(NOT(ISBLANK(vlookup($D1487,Pop_Census_2023!$A$2:$E$3220,4,FALSE))),vlookup($D1487,Pop_Census_2023!$A$2:$E$3220,4,FALSE), vlookup($D1487,Pop_Census_2023!$A$2:$E$3220,5,FALSE))</f>
        <v>5107</v>
      </c>
      <c r="F1487" s="32">
        <v>758457.0</v>
      </c>
      <c r="G1487" s="32">
        <v>54.0</v>
      </c>
      <c r="H1487" s="32" t="str">
        <f>VLOOKUP(D1487, Grid_Region_Mapping!$D$2:$F$5286, 3, FALSE)</f>
        <v>SPPC</v>
      </c>
      <c r="I1487" s="32">
        <v>4.0</v>
      </c>
      <c r="J1487" s="34" t="str">
        <f t="shared" si="1"/>
        <v>Midwest</v>
      </c>
      <c r="K1487" s="35">
        <v>2.0</v>
      </c>
      <c r="L1487" s="35" t="s">
        <v>396</v>
      </c>
      <c r="M1487" s="36">
        <f>VLOOKUP(D1487, County_Data_CZones!$B$2:$F$3236, 2, FALSE)</f>
        <v>5</v>
      </c>
      <c r="N1487" s="37" t="str">
        <f>VLOOKUP(D1487, County_Data_CZones!$B$2:$F$3236, 5, FALSE)</f>
        <v>Cold</v>
      </c>
    </row>
    <row r="1488" ht="15.75" customHeight="1">
      <c r="A1488" s="32" t="s">
        <v>1123</v>
      </c>
      <c r="B1488" s="32" t="s">
        <v>1121</v>
      </c>
      <c r="C1488" s="32" t="str">
        <f>vlookup(B1488,State_EMM_RowSums!$A$2:$B$52,2,FALSE)</f>
        <v>MO</v>
      </c>
      <c r="D1488" s="32">
        <v>29007.0</v>
      </c>
      <c r="E1488" s="33">
        <f>IF(NOT(ISBLANK(vlookup($D1488,Pop_Census_2023!$A$2:$E$3220,4,FALSE))),vlookup($D1488,Pop_Census_2023!$A$2:$E$3220,4,FALSE), vlookup($D1488,Pop_Census_2023!$A$2:$E$3220,5,FALSE))</f>
        <v>24394</v>
      </c>
      <c r="F1488" s="32">
        <v>758458.0</v>
      </c>
      <c r="G1488" s="32">
        <v>72.0</v>
      </c>
      <c r="H1488" s="32" t="str">
        <f>VLOOKUP(D1488, Grid_Region_Mapping!$D$2:$F$5286, 3, FALSE)</f>
        <v>MISC</v>
      </c>
      <c r="I1488" s="32">
        <v>4.0</v>
      </c>
      <c r="J1488" s="34" t="str">
        <f t="shared" si="1"/>
        <v>Midwest</v>
      </c>
      <c r="K1488" s="35">
        <v>2.0</v>
      </c>
      <c r="L1488" s="35" t="s">
        <v>223</v>
      </c>
      <c r="M1488" s="36">
        <f>VLOOKUP(D1488, County_Data_CZones!$B$2:$F$3236, 2, FALSE)</f>
        <v>4</v>
      </c>
      <c r="N1488" s="37" t="str">
        <f>VLOOKUP(D1488, County_Data_CZones!$B$2:$F$3236, 5, FALSE)</f>
        <v>Mixed-Humid</v>
      </c>
    </row>
    <row r="1489" ht="15.75" customHeight="1">
      <c r="A1489" s="32" t="s">
        <v>970</v>
      </c>
      <c r="B1489" s="32" t="s">
        <v>1121</v>
      </c>
      <c r="C1489" s="32" t="str">
        <f>vlookup(B1489,State_EMM_RowSums!$A$2:$B$52,2,FALSE)</f>
        <v>MO</v>
      </c>
      <c r="D1489" s="32">
        <v>29009.0</v>
      </c>
      <c r="E1489" s="33">
        <f>IF(NOT(ISBLANK(vlookup($D1489,Pop_Census_2023!$A$2:$E$3220,4,FALSE))),vlookup($D1489,Pop_Census_2023!$A$2:$E$3220,4,FALSE), vlookup($D1489,Pop_Census_2023!$A$2:$E$3220,5,FALSE))</f>
        <v>35265</v>
      </c>
      <c r="F1489" s="32">
        <v>758459.0</v>
      </c>
      <c r="G1489" s="32">
        <v>55.0</v>
      </c>
      <c r="H1489" s="32" t="str">
        <f>VLOOKUP(D1489, Grid_Region_Mapping!$D$2:$F$5286, 3, FALSE)</f>
        <v>SPPC</v>
      </c>
      <c r="I1489" s="32">
        <v>4.0</v>
      </c>
      <c r="J1489" s="34" t="str">
        <f t="shared" si="1"/>
        <v>Midwest</v>
      </c>
      <c r="K1489" s="35">
        <v>3.0</v>
      </c>
      <c r="L1489" s="35" t="s">
        <v>223</v>
      </c>
      <c r="M1489" s="36">
        <f>VLOOKUP(D1489, County_Data_CZones!$B$2:$F$3236, 2, FALSE)</f>
        <v>4</v>
      </c>
      <c r="N1489" s="37" t="str">
        <f>VLOOKUP(D1489, County_Data_CZones!$B$2:$F$3236, 5, FALSE)</f>
        <v>Mixed-Humid</v>
      </c>
    </row>
    <row r="1490" ht="15.75" customHeight="1">
      <c r="A1490" s="32" t="s">
        <v>754</v>
      </c>
      <c r="B1490" s="32" t="s">
        <v>1121</v>
      </c>
      <c r="C1490" s="32" t="str">
        <f>vlookup(B1490,State_EMM_RowSums!$A$2:$B$52,2,FALSE)</f>
        <v>MO</v>
      </c>
      <c r="D1490" s="32">
        <v>29011.0</v>
      </c>
      <c r="E1490" s="33">
        <f>IF(NOT(ISBLANK(vlookup($D1490,Pop_Census_2023!$A$2:$E$3220,4,FALSE))),vlookup($D1490,Pop_Census_2023!$A$2:$E$3220,4,FALSE), vlookup($D1490,Pop_Census_2023!$A$2:$E$3220,5,FALSE))</f>
        <v>11731</v>
      </c>
      <c r="F1490" s="32">
        <v>758460.0</v>
      </c>
      <c r="G1490" s="32">
        <v>55.0</v>
      </c>
      <c r="H1490" s="32" t="str">
        <f>VLOOKUP(D1490, Grid_Region_Mapping!$D$2:$F$5286, 3, FALSE)</f>
        <v>SPPC</v>
      </c>
      <c r="I1490" s="32">
        <v>4.0</v>
      </c>
      <c r="J1490" s="34" t="str">
        <f t="shared" si="1"/>
        <v>Midwest</v>
      </c>
      <c r="K1490" s="35">
        <v>3.0</v>
      </c>
      <c r="L1490" s="35" t="s">
        <v>223</v>
      </c>
      <c r="M1490" s="36">
        <f>VLOOKUP(D1490, County_Data_CZones!$B$2:$F$3236, 2, FALSE)</f>
        <v>4</v>
      </c>
      <c r="N1490" s="37" t="str">
        <f>VLOOKUP(D1490, County_Data_CZones!$B$2:$F$3236, 5, FALSE)</f>
        <v>Mixed-Humid</v>
      </c>
    </row>
    <row r="1491" ht="15.75" customHeight="1">
      <c r="A1491" s="32" t="s">
        <v>1124</v>
      </c>
      <c r="B1491" s="32" t="s">
        <v>1121</v>
      </c>
      <c r="C1491" s="32" t="str">
        <f>vlookup(B1491,State_EMM_RowSums!$A$2:$B$52,2,FALSE)</f>
        <v>MO</v>
      </c>
      <c r="D1491" s="32">
        <v>29013.0</v>
      </c>
      <c r="E1491" s="33">
        <f>IF(NOT(ISBLANK(vlookup($D1491,Pop_Census_2023!$A$2:$E$3220,4,FALSE))),vlookup($D1491,Pop_Census_2023!$A$2:$E$3220,4,FALSE), vlookup($D1491,Pop_Census_2023!$A$2:$E$3220,5,FALSE))</f>
        <v>16242</v>
      </c>
      <c r="F1491" s="32">
        <v>758461.0</v>
      </c>
      <c r="G1491" s="32">
        <v>55.0</v>
      </c>
      <c r="H1491" s="32" t="str">
        <f>VLOOKUP(D1491, Grid_Region_Mapping!$D$2:$F$5286, 3, FALSE)</f>
        <v>SPPC</v>
      </c>
      <c r="I1491" s="32">
        <v>4.0</v>
      </c>
      <c r="J1491" s="34" t="str">
        <f t="shared" si="1"/>
        <v>Midwest</v>
      </c>
      <c r="K1491" s="35">
        <v>3.0</v>
      </c>
      <c r="L1491" s="35" t="s">
        <v>223</v>
      </c>
      <c r="M1491" s="36">
        <f>VLOOKUP(D1491, County_Data_CZones!$B$2:$F$3236, 2, FALSE)</f>
        <v>4</v>
      </c>
      <c r="N1491" s="37" t="str">
        <f>VLOOKUP(D1491, County_Data_CZones!$B$2:$F$3236, 5, FALSE)</f>
        <v>Mixed-Humid</v>
      </c>
    </row>
    <row r="1492" ht="15.75" customHeight="1">
      <c r="A1492" s="32" t="s">
        <v>224</v>
      </c>
      <c r="B1492" s="32" t="s">
        <v>1121</v>
      </c>
      <c r="C1492" s="32" t="str">
        <f>vlookup(B1492,State_EMM_RowSums!$A$2:$B$52,2,FALSE)</f>
        <v>MO</v>
      </c>
      <c r="D1492" s="32">
        <v>29015.0</v>
      </c>
      <c r="E1492" s="33">
        <f>IF(NOT(ISBLANK(vlookup($D1492,Pop_Census_2023!$A$2:$E$3220,4,FALSE))),vlookup($D1492,Pop_Census_2023!$A$2:$E$3220,4,FALSE), vlookup($D1492,Pop_Census_2023!$A$2:$E$3220,5,FALSE))</f>
        <v>20552</v>
      </c>
      <c r="F1492" s="32">
        <v>758462.0</v>
      </c>
      <c r="G1492" s="32">
        <v>55.0</v>
      </c>
      <c r="H1492" s="32" t="str">
        <f>VLOOKUP(D1492, Grid_Region_Mapping!$D$2:$F$5286, 3, FALSE)</f>
        <v>SPPC</v>
      </c>
      <c r="I1492" s="32">
        <v>4.0</v>
      </c>
      <c r="J1492" s="34" t="str">
        <f t="shared" si="1"/>
        <v>Midwest</v>
      </c>
      <c r="K1492" s="35">
        <v>3.0</v>
      </c>
      <c r="L1492" s="35" t="s">
        <v>223</v>
      </c>
      <c r="M1492" s="36">
        <f>VLOOKUP(D1492, County_Data_CZones!$B$2:$F$3236, 2, FALSE)</f>
        <v>4</v>
      </c>
      <c r="N1492" s="37" t="str">
        <f>VLOOKUP(D1492, County_Data_CZones!$B$2:$F$3236, 5, FALSE)</f>
        <v>Mixed-Humid</v>
      </c>
    </row>
    <row r="1493" ht="15.75" customHeight="1">
      <c r="A1493" s="32" t="s">
        <v>1125</v>
      </c>
      <c r="B1493" s="32" t="s">
        <v>1121</v>
      </c>
      <c r="C1493" s="32" t="str">
        <f>vlookup(B1493,State_EMM_RowSums!$A$2:$B$52,2,FALSE)</f>
        <v>MO</v>
      </c>
      <c r="D1493" s="32">
        <v>29017.0</v>
      </c>
      <c r="E1493" s="33">
        <f>IF(NOT(ISBLANK(vlookup($D1493,Pop_Census_2023!$A$2:$E$3220,4,FALSE))),vlookup($D1493,Pop_Census_2023!$A$2:$E$3220,4,FALSE), vlookup($D1493,Pop_Census_2023!$A$2:$E$3220,5,FALSE))</f>
        <v>10544</v>
      </c>
      <c r="F1493" s="32">
        <v>758463.0</v>
      </c>
      <c r="G1493" s="32">
        <v>73.0</v>
      </c>
      <c r="H1493" s="32" t="str">
        <f>VLOOKUP(D1493, Grid_Region_Mapping!$D$2:$F$5286, 3, FALSE)</f>
        <v>MISC</v>
      </c>
      <c r="I1493" s="32">
        <v>4.0</v>
      </c>
      <c r="J1493" s="34" t="str">
        <f t="shared" si="1"/>
        <v>Midwest</v>
      </c>
      <c r="K1493" s="35">
        <v>3.0</v>
      </c>
      <c r="L1493" s="35" t="s">
        <v>223</v>
      </c>
      <c r="M1493" s="36">
        <f>VLOOKUP(D1493, County_Data_CZones!$B$2:$F$3236, 2, FALSE)</f>
        <v>4</v>
      </c>
      <c r="N1493" s="37" t="str">
        <f>VLOOKUP(D1493, County_Data_CZones!$B$2:$F$3236, 5, FALSE)</f>
        <v>Mixed-Humid</v>
      </c>
    </row>
    <row r="1494" ht="15.75" customHeight="1">
      <c r="A1494" s="32" t="s">
        <v>225</v>
      </c>
      <c r="B1494" s="32" t="s">
        <v>1121</v>
      </c>
      <c r="C1494" s="32" t="str">
        <f>vlookup(B1494,State_EMM_RowSums!$A$2:$B$52,2,FALSE)</f>
        <v>MO</v>
      </c>
      <c r="D1494" s="32">
        <v>29019.0</v>
      </c>
      <c r="E1494" s="33">
        <f>IF(NOT(ISBLANK(vlookup($D1494,Pop_Census_2023!$A$2:$E$3220,4,FALSE))),vlookup($D1494,Pop_Census_2023!$A$2:$E$3220,4,FALSE), vlookup($D1494,Pop_Census_2023!$A$2:$E$3220,5,FALSE))</f>
        <v>189463</v>
      </c>
      <c r="F1494" s="32">
        <v>758464.0</v>
      </c>
      <c r="G1494" s="32">
        <v>72.0</v>
      </c>
      <c r="H1494" s="32" t="str">
        <f>VLOOKUP(D1494, Grid_Region_Mapping!$D$2:$F$5286, 3, FALSE)</f>
        <v>MISC</v>
      </c>
      <c r="I1494" s="32">
        <v>4.0</v>
      </c>
      <c r="J1494" s="34" t="str">
        <f t="shared" si="1"/>
        <v>Midwest</v>
      </c>
      <c r="K1494" s="35">
        <v>3.0</v>
      </c>
      <c r="L1494" s="35" t="s">
        <v>223</v>
      </c>
      <c r="M1494" s="36">
        <f>VLOOKUP(D1494, County_Data_CZones!$B$2:$F$3236, 2, FALSE)</f>
        <v>4</v>
      </c>
      <c r="N1494" s="37" t="str">
        <f>VLOOKUP(D1494, County_Data_CZones!$B$2:$F$3236, 5, FALSE)</f>
        <v>Mixed-Humid</v>
      </c>
    </row>
    <row r="1495" ht="15.75" customHeight="1">
      <c r="A1495" s="32" t="s">
        <v>712</v>
      </c>
      <c r="B1495" s="32" t="s">
        <v>1121</v>
      </c>
      <c r="C1495" s="32" t="str">
        <f>vlookup(B1495,State_EMM_RowSums!$A$2:$B$52,2,FALSE)</f>
        <v>MO</v>
      </c>
      <c r="D1495" s="32">
        <v>29021.0</v>
      </c>
      <c r="E1495" s="33">
        <f>IF(NOT(ISBLANK(vlookup($D1495,Pop_Census_2023!$A$2:$E$3220,4,FALSE))),vlookup($D1495,Pop_Census_2023!$A$2:$E$3220,4,FALSE), vlookup($D1495,Pop_Census_2023!$A$2:$E$3220,5,FALSE))</f>
        <v>82956</v>
      </c>
      <c r="F1495" s="32">
        <v>758465.0</v>
      </c>
      <c r="G1495" s="32">
        <v>54.0</v>
      </c>
      <c r="H1495" s="32" t="str">
        <f>VLOOKUP(D1495, Grid_Region_Mapping!$D$2:$F$5286, 3, FALSE)</f>
        <v>SPPC</v>
      </c>
      <c r="I1495" s="32">
        <v>4.0</v>
      </c>
      <c r="J1495" s="34" t="str">
        <f t="shared" si="1"/>
        <v>Midwest</v>
      </c>
      <c r="K1495" s="35">
        <v>2.0</v>
      </c>
      <c r="L1495" s="35" t="s">
        <v>396</v>
      </c>
      <c r="M1495" s="36">
        <f>VLOOKUP(D1495, County_Data_CZones!$B$2:$F$3236, 2, FALSE)</f>
        <v>5</v>
      </c>
      <c r="N1495" s="37" t="str">
        <f>VLOOKUP(D1495, County_Data_CZones!$B$2:$F$3236, 5, FALSE)</f>
        <v>Cold</v>
      </c>
    </row>
    <row r="1496" ht="15.75" customHeight="1">
      <c r="A1496" s="32" t="s">
        <v>109</v>
      </c>
      <c r="B1496" s="32" t="s">
        <v>1121</v>
      </c>
      <c r="C1496" s="32" t="str">
        <f>vlookup(B1496,State_EMM_RowSums!$A$2:$B$52,2,FALSE)</f>
        <v>MO</v>
      </c>
      <c r="D1496" s="32">
        <v>29023.0</v>
      </c>
      <c r="E1496" s="33">
        <f>IF(NOT(ISBLANK(vlookup($D1496,Pop_Census_2023!$A$2:$E$3220,4,FALSE))),vlookup($D1496,Pop_Census_2023!$A$2:$E$3220,4,FALSE), vlookup($D1496,Pop_Census_2023!$A$2:$E$3220,5,FALSE))</f>
        <v>41948</v>
      </c>
      <c r="F1496" s="32">
        <v>758466.0</v>
      </c>
      <c r="G1496" s="32">
        <v>84.0</v>
      </c>
      <c r="H1496" s="32" t="str">
        <f>VLOOKUP(D1496, Grid_Region_Mapping!$D$2:$F$5286, 3, FALSE)</f>
        <v>MISC</v>
      </c>
      <c r="I1496" s="32">
        <v>4.0</v>
      </c>
      <c r="J1496" s="34" t="str">
        <f t="shared" si="1"/>
        <v>Midwest</v>
      </c>
      <c r="K1496" s="35">
        <v>3.0</v>
      </c>
      <c r="L1496" s="35" t="s">
        <v>223</v>
      </c>
      <c r="M1496" s="36">
        <f>VLOOKUP(D1496, County_Data_CZones!$B$2:$F$3236, 2, FALSE)</f>
        <v>4</v>
      </c>
      <c r="N1496" s="37" t="str">
        <f>VLOOKUP(D1496, County_Data_CZones!$B$2:$F$3236, 5, FALSE)</f>
        <v>Mixed-Humid</v>
      </c>
    </row>
    <row r="1497" ht="15.75" customHeight="1">
      <c r="A1497" s="32" t="s">
        <v>829</v>
      </c>
      <c r="B1497" s="32" t="s">
        <v>1121</v>
      </c>
      <c r="C1497" s="32" t="str">
        <f>vlookup(B1497,State_EMM_RowSums!$A$2:$B$52,2,FALSE)</f>
        <v>MO</v>
      </c>
      <c r="D1497" s="32">
        <v>29025.0</v>
      </c>
      <c r="E1497" s="33">
        <f>IF(NOT(ISBLANK(vlookup($D1497,Pop_Census_2023!$A$2:$E$3220,4,FALSE))),vlookup($D1497,Pop_Census_2023!$A$2:$E$3220,4,FALSE), vlookup($D1497,Pop_Census_2023!$A$2:$E$3220,5,FALSE))</f>
        <v>8955</v>
      </c>
      <c r="F1497" s="32">
        <v>758467.0</v>
      </c>
      <c r="G1497" s="32">
        <v>54.0</v>
      </c>
      <c r="H1497" s="32" t="str">
        <f>VLOOKUP(D1497, Grid_Region_Mapping!$D$2:$F$5286, 3, FALSE)</f>
        <v>SPPC</v>
      </c>
      <c r="I1497" s="32">
        <v>4.0</v>
      </c>
      <c r="J1497" s="34" t="str">
        <f t="shared" si="1"/>
        <v>Midwest</v>
      </c>
      <c r="K1497" s="35">
        <v>2.0</v>
      </c>
      <c r="L1497" s="35" t="s">
        <v>396</v>
      </c>
      <c r="M1497" s="36">
        <f>VLOOKUP(D1497, County_Data_CZones!$B$2:$F$3236, 2, FALSE)</f>
        <v>5</v>
      </c>
      <c r="N1497" s="37" t="str">
        <f>VLOOKUP(D1497, County_Data_CZones!$B$2:$F$3236, 5, FALSE)</f>
        <v>Cold</v>
      </c>
    </row>
    <row r="1498" ht="15.75" customHeight="1">
      <c r="A1498" s="32" t="s">
        <v>1126</v>
      </c>
      <c r="B1498" s="32" t="s">
        <v>1121</v>
      </c>
      <c r="C1498" s="32" t="str">
        <f>vlookup(B1498,State_EMM_RowSums!$A$2:$B$52,2,FALSE)</f>
        <v>MO</v>
      </c>
      <c r="D1498" s="32">
        <v>29027.0</v>
      </c>
      <c r="E1498" s="33">
        <f>IF(NOT(ISBLANK(vlookup($D1498,Pop_Census_2023!$A$2:$E$3220,4,FALSE))),vlookup($D1498,Pop_Census_2023!$A$2:$E$3220,4,FALSE), vlookup($D1498,Pop_Census_2023!$A$2:$E$3220,5,FALSE))</f>
        <v>44731</v>
      </c>
      <c r="F1498" s="32">
        <v>758468.0</v>
      </c>
      <c r="G1498" s="32">
        <v>72.0</v>
      </c>
      <c r="H1498" s="32" t="str">
        <f>VLOOKUP(D1498, Grid_Region_Mapping!$D$2:$F$5286, 3, FALSE)</f>
        <v>MISC</v>
      </c>
      <c r="I1498" s="32">
        <v>4.0</v>
      </c>
      <c r="J1498" s="34" t="str">
        <f t="shared" si="1"/>
        <v>Midwest</v>
      </c>
      <c r="K1498" s="35">
        <v>3.0</v>
      </c>
      <c r="L1498" s="35" t="s">
        <v>223</v>
      </c>
      <c r="M1498" s="36">
        <f>VLOOKUP(D1498, County_Data_CZones!$B$2:$F$3236, 2, FALSE)</f>
        <v>4</v>
      </c>
      <c r="N1498" s="37" t="str">
        <f>VLOOKUP(D1498, County_Data_CZones!$B$2:$F$3236, 5, FALSE)</f>
        <v>Mixed-Humid</v>
      </c>
    </row>
    <row r="1499" ht="15.75" customHeight="1">
      <c r="A1499" s="32" t="s">
        <v>476</v>
      </c>
      <c r="B1499" s="32" t="s">
        <v>1121</v>
      </c>
      <c r="C1499" s="32" t="str">
        <f>vlookup(B1499,State_EMM_RowSums!$A$2:$B$52,2,FALSE)</f>
        <v>MO</v>
      </c>
      <c r="D1499" s="32">
        <v>29029.0</v>
      </c>
      <c r="E1499" s="33">
        <f>IF(NOT(ISBLANK(vlookup($D1499,Pop_Census_2023!$A$2:$E$3220,4,FALSE))),vlookup($D1499,Pop_Census_2023!$A$2:$E$3220,4,FALSE), vlookup($D1499,Pop_Census_2023!$A$2:$E$3220,5,FALSE))</f>
        <v>44044</v>
      </c>
      <c r="F1499" s="32">
        <v>758469.0</v>
      </c>
      <c r="G1499" s="32">
        <v>84.0</v>
      </c>
      <c r="H1499" s="32" t="str">
        <f>VLOOKUP(D1499, Grid_Region_Mapping!$D$2:$F$5286, 3, FALSE)</f>
        <v>MISC</v>
      </c>
      <c r="I1499" s="32">
        <v>4.0</v>
      </c>
      <c r="J1499" s="34" t="str">
        <f t="shared" si="1"/>
        <v>Midwest</v>
      </c>
      <c r="K1499" s="35">
        <v>3.0</v>
      </c>
      <c r="L1499" s="35" t="s">
        <v>223</v>
      </c>
      <c r="M1499" s="36">
        <f>VLOOKUP(D1499, County_Data_CZones!$B$2:$F$3236, 2, FALSE)</f>
        <v>4</v>
      </c>
      <c r="N1499" s="37" t="str">
        <f>VLOOKUP(D1499, County_Data_CZones!$B$2:$F$3236, 5, FALSE)</f>
        <v>Mixed-Humid</v>
      </c>
    </row>
    <row r="1500" ht="15.75" customHeight="1">
      <c r="A1500" s="32" t="s">
        <v>1127</v>
      </c>
      <c r="B1500" s="32" t="s">
        <v>1121</v>
      </c>
      <c r="C1500" s="32" t="str">
        <f>vlookup(B1500,State_EMM_RowSums!$A$2:$B$52,2,FALSE)</f>
        <v>MO</v>
      </c>
      <c r="D1500" s="32">
        <v>29031.0</v>
      </c>
      <c r="E1500" s="33">
        <f>IF(NOT(ISBLANK(vlookup($D1500,Pop_Census_2023!$A$2:$E$3220,4,FALSE))),vlookup($D1500,Pop_Census_2023!$A$2:$E$3220,4,FALSE), vlookup($D1500,Pop_Census_2023!$A$2:$E$3220,5,FALSE))</f>
        <v>82984</v>
      </c>
      <c r="F1500" s="32">
        <v>758470.0</v>
      </c>
      <c r="G1500" s="32">
        <v>72.0</v>
      </c>
      <c r="H1500" s="32" t="str">
        <f>VLOOKUP(D1500, Grid_Region_Mapping!$D$2:$F$5286, 3, FALSE)</f>
        <v>MISC</v>
      </c>
      <c r="I1500" s="32">
        <v>4.0</v>
      </c>
      <c r="J1500" s="34" t="str">
        <f t="shared" si="1"/>
        <v>Midwest</v>
      </c>
      <c r="K1500" s="35">
        <v>3.0</v>
      </c>
      <c r="L1500" s="35" t="s">
        <v>223</v>
      </c>
      <c r="M1500" s="36">
        <f>VLOOKUP(D1500, County_Data_CZones!$B$2:$F$3236, 2, FALSE)</f>
        <v>4</v>
      </c>
      <c r="N1500" s="37" t="str">
        <f>VLOOKUP(D1500, County_Data_CZones!$B$2:$F$3236, 5, FALSE)</f>
        <v>Mixed-Humid</v>
      </c>
    </row>
    <row r="1501" ht="15.75" customHeight="1">
      <c r="A1501" s="32" t="s">
        <v>227</v>
      </c>
      <c r="B1501" s="32" t="s">
        <v>1121</v>
      </c>
      <c r="C1501" s="32" t="str">
        <f>vlookup(B1501,State_EMM_RowSums!$A$2:$B$52,2,FALSE)</f>
        <v>MO</v>
      </c>
      <c r="D1501" s="32">
        <v>29033.0</v>
      </c>
      <c r="E1501" s="33">
        <f>IF(NOT(ISBLANK(vlookup($D1501,Pop_Census_2023!$A$2:$E$3220,4,FALSE))),vlookup($D1501,Pop_Census_2023!$A$2:$E$3220,4,FALSE), vlookup($D1501,Pop_Census_2023!$A$2:$E$3220,5,FALSE))</f>
        <v>8391</v>
      </c>
      <c r="F1501" s="32">
        <v>758471.0</v>
      </c>
      <c r="G1501" s="32">
        <v>54.0</v>
      </c>
      <c r="H1501" s="32" t="str">
        <f>VLOOKUP(D1501, Grid_Region_Mapping!$D$2:$F$5286, 3, FALSE)</f>
        <v>SPPC</v>
      </c>
      <c r="I1501" s="32">
        <v>4.0</v>
      </c>
      <c r="J1501" s="34" t="str">
        <f t="shared" si="1"/>
        <v>Midwest</v>
      </c>
      <c r="K1501" s="35">
        <v>2.0</v>
      </c>
      <c r="L1501" s="35" t="s">
        <v>223</v>
      </c>
      <c r="M1501" s="36">
        <f>VLOOKUP(D1501, County_Data_CZones!$B$2:$F$3236, 2, FALSE)</f>
        <v>4</v>
      </c>
      <c r="N1501" s="37" t="str">
        <f>VLOOKUP(D1501, County_Data_CZones!$B$2:$F$3236, 5, FALSE)</f>
        <v>Mixed-Humid</v>
      </c>
    </row>
    <row r="1502" ht="15.75" customHeight="1">
      <c r="A1502" s="32" t="s">
        <v>833</v>
      </c>
      <c r="B1502" s="32" t="s">
        <v>1121</v>
      </c>
      <c r="C1502" s="32" t="str">
        <f>vlookup(B1502,State_EMM_RowSums!$A$2:$B$52,2,FALSE)</f>
        <v>MO</v>
      </c>
      <c r="D1502" s="32">
        <v>29035.0</v>
      </c>
      <c r="E1502" s="33">
        <f>IF(NOT(ISBLANK(vlookup($D1502,Pop_Census_2023!$A$2:$E$3220,4,FALSE))),vlookup($D1502,Pop_Census_2023!$A$2:$E$3220,4,FALSE), vlookup($D1502,Pop_Census_2023!$A$2:$E$3220,5,FALSE))</f>
        <v>5303</v>
      </c>
      <c r="F1502" s="32">
        <v>758472.0</v>
      </c>
      <c r="G1502" s="32">
        <v>84.0</v>
      </c>
      <c r="H1502" s="32" t="str">
        <f>VLOOKUP(D1502, Grid_Region_Mapping!$D$2:$F$5286, 3, FALSE)</f>
        <v>MISC</v>
      </c>
      <c r="I1502" s="32">
        <v>4.0</v>
      </c>
      <c r="J1502" s="34" t="str">
        <f t="shared" si="1"/>
        <v>Midwest</v>
      </c>
      <c r="K1502" s="35">
        <v>3.0</v>
      </c>
      <c r="L1502" s="35" t="s">
        <v>223</v>
      </c>
      <c r="M1502" s="36">
        <f>VLOOKUP(D1502, County_Data_CZones!$B$2:$F$3236, 2, FALSE)</f>
        <v>4</v>
      </c>
      <c r="N1502" s="37" t="str">
        <f>VLOOKUP(D1502, County_Data_CZones!$B$2:$F$3236, 5, FALSE)</f>
        <v>Mixed-Humid</v>
      </c>
    </row>
    <row r="1503" ht="15.75" customHeight="1">
      <c r="A1503" s="32" t="s">
        <v>613</v>
      </c>
      <c r="B1503" s="32" t="s">
        <v>1121</v>
      </c>
      <c r="C1503" s="32" t="str">
        <f>vlookup(B1503,State_EMM_RowSums!$A$2:$B$52,2,FALSE)</f>
        <v>MO</v>
      </c>
      <c r="D1503" s="32">
        <v>29037.0</v>
      </c>
      <c r="E1503" s="33">
        <f>IF(NOT(ISBLANK(vlookup($D1503,Pop_Census_2023!$A$2:$E$3220,4,FALSE))),vlookup($D1503,Pop_Census_2023!$A$2:$E$3220,4,FALSE), vlookup($D1503,Pop_Census_2023!$A$2:$E$3220,5,FALSE))</f>
        <v>111732</v>
      </c>
      <c r="F1503" s="32">
        <v>758473.0</v>
      </c>
      <c r="G1503" s="32">
        <v>54.0</v>
      </c>
      <c r="H1503" s="32" t="str">
        <f>VLOOKUP(D1503, Grid_Region_Mapping!$D$2:$F$5286, 3, FALSE)</f>
        <v>SPPC</v>
      </c>
      <c r="I1503" s="32">
        <v>4.0</v>
      </c>
      <c r="J1503" s="34" t="str">
        <f t="shared" si="1"/>
        <v>Midwest</v>
      </c>
      <c r="K1503" s="35">
        <v>3.0</v>
      </c>
      <c r="L1503" s="35" t="s">
        <v>223</v>
      </c>
      <c r="M1503" s="36">
        <f>VLOOKUP(D1503, County_Data_CZones!$B$2:$F$3236, 2, FALSE)</f>
        <v>4</v>
      </c>
      <c r="N1503" s="37" t="str">
        <f>VLOOKUP(D1503, County_Data_CZones!$B$2:$F$3236, 5, FALSE)</f>
        <v>Mixed-Humid</v>
      </c>
    </row>
    <row r="1504" ht="15.75" customHeight="1">
      <c r="A1504" s="32" t="s">
        <v>714</v>
      </c>
      <c r="B1504" s="32" t="s">
        <v>1121</v>
      </c>
      <c r="C1504" s="32" t="str">
        <f>vlookup(B1504,State_EMM_RowSums!$A$2:$B$52,2,FALSE)</f>
        <v>MO</v>
      </c>
      <c r="D1504" s="32">
        <v>29039.0</v>
      </c>
      <c r="E1504" s="33">
        <f>IF(NOT(ISBLANK(vlookup($D1504,Pop_Census_2023!$A$2:$E$3220,4,FALSE))),vlookup($D1504,Pop_Census_2023!$A$2:$E$3220,4,FALSE), vlookup($D1504,Pop_Census_2023!$A$2:$E$3220,5,FALSE))</f>
        <v>14672</v>
      </c>
      <c r="F1504" s="32">
        <v>758474.0</v>
      </c>
      <c r="G1504" s="32">
        <v>55.0</v>
      </c>
      <c r="H1504" s="32" t="str">
        <f>VLOOKUP(D1504, Grid_Region_Mapping!$D$2:$F$5286, 3, FALSE)</f>
        <v>SPPC</v>
      </c>
      <c r="I1504" s="32">
        <v>4.0</v>
      </c>
      <c r="J1504" s="34" t="str">
        <f t="shared" si="1"/>
        <v>Midwest</v>
      </c>
      <c r="K1504" s="35">
        <v>3.0</v>
      </c>
      <c r="L1504" s="35" t="s">
        <v>223</v>
      </c>
      <c r="M1504" s="36">
        <f>VLOOKUP(D1504, County_Data_CZones!$B$2:$F$3236, 2, FALSE)</f>
        <v>4</v>
      </c>
      <c r="N1504" s="37" t="str">
        <f>VLOOKUP(D1504, County_Data_CZones!$B$2:$F$3236, 5, FALSE)</f>
        <v>Mixed-Humid</v>
      </c>
    </row>
    <row r="1505" ht="15.75" customHeight="1">
      <c r="A1505" s="32" t="s">
        <v>1128</v>
      </c>
      <c r="B1505" s="32" t="s">
        <v>1121</v>
      </c>
      <c r="C1505" s="32" t="str">
        <f>vlookup(B1505,State_EMM_RowSums!$A$2:$B$52,2,FALSE)</f>
        <v>MO</v>
      </c>
      <c r="D1505" s="32">
        <v>29041.0</v>
      </c>
      <c r="E1505" s="33">
        <f>IF(NOT(ISBLANK(vlookup($D1505,Pop_Census_2023!$A$2:$E$3220,4,FALSE))),vlookup($D1505,Pop_Census_2023!$A$2:$E$3220,4,FALSE), vlookup($D1505,Pop_Census_2023!$A$2:$E$3220,5,FALSE))</f>
        <v>7399</v>
      </c>
      <c r="F1505" s="32">
        <v>758475.0</v>
      </c>
      <c r="G1505" s="32">
        <v>54.0</v>
      </c>
      <c r="H1505" s="32" t="str">
        <f>VLOOKUP(D1505, Grid_Region_Mapping!$D$2:$F$5286, 3, FALSE)</f>
        <v>MISC</v>
      </c>
      <c r="I1505" s="32">
        <v>4.0</v>
      </c>
      <c r="J1505" s="34" t="str">
        <f t="shared" si="1"/>
        <v>Midwest</v>
      </c>
      <c r="K1505" s="35">
        <v>2.0</v>
      </c>
      <c r="L1505" s="35" t="s">
        <v>396</v>
      </c>
      <c r="M1505" s="36">
        <f>VLOOKUP(D1505, County_Data_CZones!$B$2:$F$3236, 2, FALSE)</f>
        <v>5</v>
      </c>
      <c r="N1505" s="37" t="str">
        <f>VLOOKUP(D1505, County_Data_CZones!$B$2:$F$3236, 5, FALSE)</f>
        <v>Cold</v>
      </c>
    </row>
    <row r="1506" ht="15.75" customHeight="1">
      <c r="A1506" s="32" t="s">
        <v>615</v>
      </c>
      <c r="B1506" s="32" t="s">
        <v>1121</v>
      </c>
      <c r="C1506" s="32" t="str">
        <f>vlookup(B1506,State_EMM_RowSums!$A$2:$B$52,2,FALSE)</f>
        <v>MO</v>
      </c>
      <c r="D1506" s="32">
        <v>29043.0</v>
      </c>
      <c r="E1506" s="33">
        <f>IF(NOT(ISBLANK(vlookup($D1506,Pop_Census_2023!$A$2:$E$3220,4,FALSE))),vlookup($D1506,Pop_Census_2023!$A$2:$E$3220,4,FALSE), vlookup($D1506,Pop_Census_2023!$A$2:$E$3220,5,FALSE))</f>
        <v>94422</v>
      </c>
      <c r="F1506" s="32">
        <v>758476.0</v>
      </c>
      <c r="G1506" s="32">
        <v>55.0</v>
      </c>
      <c r="H1506" s="32" t="str">
        <f>VLOOKUP(D1506, Grid_Region_Mapping!$D$2:$F$5286, 3, FALSE)</f>
        <v>SPPC</v>
      </c>
      <c r="I1506" s="32">
        <v>4.0</v>
      </c>
      <c r="J1506" s="34" t="str">
        <f t="shared" si="1"/>
        <v>Midwest</v>
      </c>
      <c r="K1506" s="35">
        <v>3.0</v>
      </c>
      <c r="L1506" s="35" t="s">
        <v>223</v>
      </c>
      <c r="M1506" s="36">
        <f>VLOOKUP(D1506, County_Data_CZones!$B$2:$F$3236, 2, FALSE)</f>
        <v>4</v>
      </c>
      <c r="N1506" s="37" t="str">
        <f>VLOOKUP(D1506, County_Data_CZones!$B$2:$F$3236, 5, FALSE)</f>
        <v>Mixed-Humid</v>
      </c>
    </row>
    <row r="1507" ht="15.75" customHeight="1">
      <c r="A1507" s="32" t="s">
        <v>229</v>
      </c>
      <c r="B1507" s="32" t="s">
        <v>1121</v>
      </c>
      <c r="C1507" s="32" t="str">
        <f>vlookup(B1507,State_EMM_RowSums!$A$2:$B$52,2,FALSE)</f>
        <v>MO</v>
      </c>
      <c r="D1507" s="32">
        <v>29045.0</v>
      </c>
      <c r="E1507" s="33">
        <f>IF(NOT(ISBLANK(vlookup($D1507,Pop_Census_2023!$A$2:$E$3220,4,FALSE))),vlookup($D1507,Pop_Census_2023!$A$2:$E$3220,4,FALSE), vlookup($D1507,Pop_Census_2023!$A$2:$E$3220,5,FALSE))</f>
        <v>6641</v>
      </c>
      <c r="F1507" s="32">
        <v>758477.0</v>
      </c>
      <c r="G1507" s="32">
        <v>71.0</v>
      </c>
      <c r="H1507" s="32" t="str">
        <f>VLOOKUP(D1507, Grid_Region_Mapping!$D$2:$F$5286, 3, FALSE)</f>
        <v>MISC</v>
      </c>
      <c r="I1507" s="32">
        <v>4.0</v>
      </c>
      <c r="J1507" s="34" t="str">
        <f t="shared" si="1"/>
        <v>Midwest</v>
      </c>
      <c r="K1507" s="35">
        <v>2.0</v>
      </c>
      <c r="L1507" s="35" t="s">
        <v>396</v>
      </c>
      <c r="M1507" s="36">
        <f>VLOOKUP(D1507, County_Data_CZones!$B$2:$F$3236, 2, FALSE)</f>
        <v>5</v>
      </c>
      <c r="N1507" s="37" t="str">
        <f>VLOOKUP(D1507, County_Data_CZones!$B$2:$F$3236, 5, FALSE)</f>
        <v>Cold</v>
      </c>
    </row>
    <row r="1508" ht="15.75" customHeight="1">
      <c r="A1508" s="32" t="s">
        <v>116</v>
      </c>
      <c r="B1508" s="32" t="s">
        <v>1121</v>
      </c>
      <c r="C1508" s="32" t="str">
        <f>vlookup(B1508,State_EMM_RowSums!$A$2:$B$52,2,FALSE)</f>
        <v>MO</v>
      </c>
      <c r="D1508" s="32">
        <v>29047.0</v>
      </c>
      <c r="E1508" s="33">
        <f>IF(NOT(ISBLANK(vlookup($D1508,Pop_Census_2023!$A$2:$E$3220,4,FALSE))),vlookup($D1508,Pop_Census_2023!$A$2:$E$3220,4,FALSE), vlookup($D1508,Pop_Census_2023!$A$2:$E$3220,5,FALSE))</f>
        <v>259772</v>
      </c>
      <c r="F1508" s="32">
        <v>758478.0</v>
      </c>
      <c r="G1508" s="32">
        <v>54.0</v>
      </c>
      <c r="H1508" s="32" t="str">
        <f>VLOOKUP(D1508, Grid_Region_Mapping!$D$2:$F$5286, 3, FALSE)</f>
        <v>SPPC</v>
      </c>
      <c r="I1508" s="32">
        <v>4.0</v>
      </c>
      <c r="J1508" s="34" t="str">
        <f t="shared" si="1"/>
        <v>Midwest</v>
      </c>
      <c r="K1508" s="35">
        <v>3.0</v>
      </c>
      <c r="L1508" s="35" t="s">
        <v>223</v>
      </c>
      <c r="M1508" s="36">
        <f>VLOOKUP(D1508, County_Data_CZones!$B$2:$F$3236, 2, FALSE)</f>
        <v>4</v>
      </c>
      <c r="N1508" s="37" t="str">
        <f>VLOOKUP(D1508, County_Data_CZones!$B$2:$F$3236, 5, FALSE)</f>
        <v>Mixed-Humid</v>
      </c>
    </row>
    <row r="1509" ht="15.75" customHeight="1">
      <c r="A1509" s="32" t="s">
        <v>616</v>
      </c>
      <c r="B1509" s="32" t="s">
        <v>1121</v>
      </c>
      <c r="C1509" s="32" t="str">
        <f>vlookup(B1509,State_EMM_RowSums!$A$2:$B$52,2,FALSE)</f>
        <v>MO</v>
      </c>
      <c r="D1509" s="32">
        <v>29049.0</v>
      </c>
      <c r="E1509" s="33">
        <f>IF(NOT(ISBLANK(vlookup($D1509,Pop_Census_2023!$A$2:$E$3220,4,FALSE))),vlookup($D1509,Pop_Census_2023!$A$2:$E$3220,4,FALSE), vlookup($D1509,Pop_Census_2023!$A$2:$E$3220,5,FALSE))</f>
        <v>21548</v>
      </c>
      <c r="F1509" s="32">
        <v>758479.0</v>
      </c>
      <c r="G1509" s="32">
        <v>54.0</v>
      </c>
      <c r="H1509" s="32" t="str">
        <f>VLOOKUP(D1509, Grid_Region_Mapping!$D$2:$F$5286, 3, FALSE)</f>
        <v>SPPC</v>
      </c>
      <c r="I1509" s="32">
        <v>4.0</v>
      </c>
      <c r="J1509" s="34" t="str">
        <f t="shared" si="1"/>
        <v>Midwest</v>
      </c>
      <c r="K1509" s="35">
        <v>2.0</v>
      </c>
      <c r="L1509" s="35" t="s">
        <v>396</v>
      </c>
      <c r="M1509" s="36">
        <f>VLOOKUP(D1509, County_Data_CZones!$B$2:$F$3236, 2, FALSE)</f>
        <v>5</v>
      </c>
      <c r="N1509" s="37" t="str">
        <f>VLOOKUP(D1509, County_Data_CZones!$B$2:$F$3236, 5, FALSE)</f>
        <v>Cold</v>
      </c>
    </row>
    <row r="1510" ht="15.75" customHeight="1">
      <c r="A1510" s="32" t="s">
        <v>1129</v>
      </c>
      <c r="B1510" s="32" t="s">
        <v>1121</v>
      </c>
      <c r="C1510" s="32" t="str">
        <f>vlookup(B1510,State_EMM_RowSums!$A$2:$B$52,2,FALSE)</f>
        <v>MO</v>
      </c>
      <c r="D1510" s="32">
        <v>29051.0</v>
      </c>
      <c r="E1510" s="33">
        <f>IF(NOT(ISBLANK(vlookup($D1510,Pop_Census_2023!$A$2:$E$3220,4,FALSE))),vlookup($D1510,Pop_Census_2023!$A$2:$E$3220,4,FALSE), vlookup($D1510,Pop_Census_2023!$A$2:$E$3220,5,FALSE))</f>
        <v>77278</v>
      </c>
      <c r="F1510" s="32">
        <v>758480.0</v>
      </c>
      <c r="G1510" s="32">
        <v>72.0</v>
      </c>
      <c r="H1510" s="32" t="str">
        <f>VLOOKUP(D1510, Grid_Region_Mapping!$D$2:$F$5286, 3, FALSE)</f>
        <v>MISC</v>
      </c>
      <c r="I1510" s="32">
        <v>4.0</v>
      </c>
      <c r="J1510" s="34" t="str">
        <f t="shared" si="1"/>
        <v>Midwest</v>
      </c>
      <c r="K1510" s="35">
        <v>3.0</v>
      </c>
      <c r="L1510" s="35" t="s">
        <v>223</v>
      </c>
      <c r="M1510" s="36">
        <f>VLOOKUP(D1510, County_Data_CZones!$B$2:$F$3236, 2, FALSE)</f>
        <v>4</v>
      </c>
      <c r="N1510" s="37" t="str">
        <f>VLOOKUP(D1510, County_Data_CZones!$B$2:$F$3236, 5, FALSE)</f>
        <v>Mixed-Humid</v>
      </c>
    </row>
    <row r="1511" ht="15.75" customHeight="1">
      <c r="A1511" s="32" t="s">
        <v>1130</v>
      </c>
      <c r="B1511" s="32" t="s">
        <v>1121</v>
      </c>
      <c r="C1511" s="32" t="str">
        <f>vlookup(B1511,State_EMM_RowSums!$A$2:$B$52,2,FALSE)</f>
        <v>MO</v>
      </c>
      <c r="D1511" s="32">
        <v>29053.0</v>
      </c>
      <c r="E1511" s="33">
        <f>IF(NOT(ISBLANK(vlookup($D1511,Pop_Census_2023!$A$2:$E$3220,4,FALSE))),vlookup($D1511,Pop_Census_2023!$A$2:$E$3220,4,FALSE), vlookup($D1511,Pop_Census_2023!$A$2:$E$3220,5,FALSE))</f>
        <v>16947</v>
      </c>
      <c r="F1511" s="32">
        <v>758481.0</v>
      </c>
      <c r="G1511" s="32">
        <v>72.0</v>
      </c>
      <c r="H1511" s="32" t="str">
        <f>VLOOKUP(D1511, Grid_Region_Mapping!$D$2:$F$5286, 3, FALSE)</f>
        <v>MISC</v>
      </c>
      <c r="I1511" s="32">
        <v>4.0</v>
      </c>
      <c r="J1511" s="34" t="str">
        <f t="shared" si="1"/>
        <v>Midwest</v>
      </c>
      <c r="K1511" s="35">
        <v>3.0</v>
      </c>
      <c r="L1511" s="35" t="s">
        <v>223</v>
      </c>
      <c r="M1511" s="36">
        <f>VLOOKUP(D1511, County_Data_CZones!$B$2:$F$3236, 2, FALSE)</f>
        <v>4</v>
      </c>
      <c r="N1511" s="37" t="str">
        <f>VLOOKUP(D1511, County_Data_CZones!$B$2:$F$3236, 5, FALSE)</f>
        <v>Mixed-Humid</v>
      </c>
    </row>
    <row r="1512" ht="15.75" customHeight="1">
      <c r="A1512" s="32" t="s">
        <v>234</v>
      </c>
      <c r="B1512" s="32" t="s">
        <v>1121</v>
      </c>
      <c r="C1512" s="32" t="str">
        <f>vlookup(B1512,State_EMM_RowSums!$A$2:$B$52,2,FALSE)</f>
        <v>MO</v>
      </c>
      <c r="D1512" s="32">
        <v>29055.0</v>
      </c>
      <c r="E1512" s="33">
        <f>IF(NOT(ISBLANK(vlookup($D1512,Pop_Census_2023!$A$2:$E$3220,4,FALSE))),vlookup($D1512,Pop_Census_2023!$A$2:$E$3220,4,FALSE), vlookup($D1512,Pop_Census_2023!$A$2:$E$3220,5,FALSE))</f>
        <v>22719</v>
      </c>
      <c r="F1512" s="32">
        <v>758482.0</v>
      </c>
      <c r="G1512" s="32">
        <v>73.0</v>
      </c>
      <c r="H1512" s="32" t="str">
        <f>VLOOKUP(D1512, Grid_Region_Mapping!$D$2:$F$5286, 3, FALSE)</f>
        <v>MISC</v>
      </c>
      <c r="I1512" s="32">
        <v>4.0</v>
      </c>
      <c r="J1512" s="34" t="str">
        <f t="shared" si="1"/>
        <v>Midwest</v>
      </c>
      <c r="K1512" s="35">
        <v>3.0</v>
      </c>
      <c r="L1512" s="35" t="s">
        <v>223</v>
      </c>
      <c r="M1512" s="36">
        <f>VLOOKUP(D1512, County_Data_CZones!$B$2:$F$3236, 2, FALSE)</f>
        <v>4</v>
      </c>
      <c r="N1512" s="37" t="str">
        <f>VLOOKUP(D1512, County_Data_CZones!$B$2:$F$3236, 5, FALSE)</f>
        <v>Mixed-Humid</v>
      </c>
    </row>
    <row r="1513" ht="15.75" customHeight="1">
      <c r="A1513" s="32" t="s">
        <v>490</v>
      </c>
      <c r="B1513" s="32" t="s">
        <v>1121</v>
      </c>
      <c r="C1513" s="32" t="str">
        <f>vlookup(B1513,State_EMM_RowSums!$A$2:$B$52,2,FALSE)</f>
        <v>MO</v>
      </c>
      <c r="D1513" s="32">
        <v>29057.0</v>
      </c>
      <c r="E1513" s="33">
        <f>IF(NOT(ISBLANK(vlookup($D1513,Pop_Census_2023!$A$2:$E$3220,4,FALSE))),vlookup($D1513,Pop_Census_2023!$A$2:$E$3220,4,FALSE), vlookup($D1513,Pop_Census_2023!$A$2:$E$3220,5,FALSE))</f>
        <v>7716</v>
      </c>
      <c r="F1513" s="32">
        <v>758483.0</v>
      </c>
      <c r="G1513" s="32">
        <v>55.0</v>
      </c>
      <c r="H1513" s="32" t="str">
        <f>VLOOKUP(D1513, Grid_Region_Mapping!$D$2:$F$5286, 3, FALSE)</f>
        <v>SPPC</v>
      </c>
      <c r="I1513" s="32">
        <v>4.0</v>
      </c>
      <c r="J1513" s="34" t="str">
        <f t="shared" si="1"/>
        <v>Midwest</v>
      </c>
      <c r="K1513" s="35">
        <v>3.0</v>
      </c>
      <c r="L1513" s="35" t="s">
        <v>223</v>
      </c>
      <c r="M1513" s="36">
        <f>VLOOKUP(D1513, County_Data_CZones!$B$2:$F$3236, 2, FALSE)</f>
        <v>4</v>
      </c>
      <c r="N1513" s="37" t="str">
        <f>VLOOKUP(D1513, County_Data_CZones!$B$2:$F$3236, 5, FALSE)</f>
        <v>Mixed-Humid</v>
      </c>
    </row>
    <row r="1514" ht="15.75" customHeight="1">
      <c r="A1514" s="32" t="s">
        <v>126</v>
      </c>
      <c r="B1514" s="32" t="s">
        <v>1121</v>
      </c>
      <c r="C1514" s="32" t="str">
        <f>vlookup(B1514,State_EMM_RowSums!$A$2:$B$52,2,FALSE)</f>
        <v>MO</v>
      </c>
      <c r="D1514" s="32">
        <v>29059.0</v>
      </c>
      <c r="E1514" s="33">
        <f>IF(NOT(ISBLANK(vlookup($D1514,Pop_Census_2023!$A$2:$E$3220,4,FALSE))),vlookup($D1514,Pop_Census_2023!$A$2:$E$3220,4,FALSE), vlookup($D1514,Pop_Census_2023!$A$2:$E$3220,5,FALSE))</f>
        <v>17768</v>
      </c>
      <c r="F1514" s="32">
        <v>758484.0</v>
      </c>
      <c r="G1514" s="32">
        <v>84.0</v>
      </c>
      <c r="H1514" s="32" t="str">
        <f>VLOOKUP(D1514, Grid_Region_Mapping!$D$2:$F$5286, 3, FALSE)</f>
        <v>SPPC</v>
      </c>
      <c r="I1514" s="32">
        <v>4.0</v>
      </c>
      <c r="J1514" s="34" t="str">
        <f t="shared" si="1"/>
        <v>Midwest</v>
      </c>
      <c r="K1514" s="35">
        <v>3.0</v>
      </c>
      <c r="L1514" s="35" t="s">
        <v>223</v>
      </c>
      <c r="M1514" s="36">
        <f>VLOOKUP(D1514, County_Data_CZones!$B$2:$F$3236, 2, FALSE)</f>
        <v>4</v>
      </c>
      <c r="N1514" s="37" t="str">
        <f>VLOOKUP(D1514, County_Data_CZones!$B$2:$F$3236, 5, FALSE)</f>
        <v>Mixed-Humid</v>
      </c>
    </row>
    <row r="1515" ht="15.75" customHeight="1">
      <c r="A1515" s="32" t="s">
        <v>667</v>
      </c>
      <c r="B1515" s="32" t="s">
        <v>1121</v>
      </c>
      <c r="C1515" s="32" t="str">
        <f>vlookup(B1515,State_EMM_RowSums!$A$2:$B$52,2,FALSE)</f>
        <v>MO</v>
      </c>
      <c r="D1515" s="32">
        <v>29061.0</v>
      </c>
      <c r="E1515" s="33">
        <f>IF(NOT(ISBLANK(vlookup($D1515,Pop_Census_2023!$A$2:$E$3220,4,FALSE))),vlookup($D1515,Pop_Census_2023!$A$2:$E$3220,4,FALSE), vlookup($D1515,Pop_Census_2023!$A$2:$E$3220,5,FALSE))</f>
        <v>8551</v>
      </c>
      <c r="F1515" s="32">
        <v>758485.0</v>
      </c>
      <c r="G1515" s="32">
        <v>54.0</v>
      </c>
      <c r="H1515" s="32" t="str">
        <f>VLOOKUP(D1515, Grid_Region_Mapping!$D$2:$F$5286, 3, FALSE)</f>
        <v>SPPC</v>
      </c>
      <c r="I1515" s="32">
        <v>4.0</v>
      </c>
      <c r="J1515" s="34" t="str">
        <f t="shared" si="1"/>
        <v>Midwest</v>
      </c>
      <c r="K1515" s="35">
        <v>2.0</v>
      </c>
      <c r="L1515" s="35" t="s">
        <v>396</v>
      </c>
      <c r="M1515" s="36">
        <f>VLOOKUP(D1515, County_Data_CZones!$B$2:$F$3236, 2, FALSE)</f>
        <v>5</v>
      </c>
      <c r="N1515" s="37" t="str">
        <f>VLOOKUP(D1515, County_Data_CZones!$B$2:$F$3236, 5, FALSE)</f>
        <v>Cold</v>
      </c>
    </row>
    <row r="1516" ht="15.75" customHeight="1">
      <c r="A1516" s="32" t="s">
        <v>127</v>
      </c>
      <c r="B1516" s="32" t="s">
        <v>1121</v>
      </c>
      <c r="C1516" s="32" t="str">
        <f>vlookup(B1516,State_EMM_RowSums!$A$2:$B$52,2,FALSE)</f>
        <v>MO</v>
      </c>
      <c r="D1516" s="32">
        <v>29063.0</v>
      </c>
      <c r="E1516" s="33">
        <f>IF(NOT(ISBLANK(vlookup($D1516,Pop_Census_2023!$A$2:$E$3220,4,FALSE))),vlookup($D1516,Pop_Census_2023!$A$2:$E$3220,4,FALSE), vlookup($D1516,Pop_Census_2023!$A$2:$E$3220,5,FALSE))</f>
        <v>9899</v>
      </c>
      <c r="F1516" s="32">
        <v>758486.0</v>
      </c>
      <c r="G1516" s="32">
        <v>54.0</v>
      </c>
      <c r="H1516" s="32" t="str">
        <f>VLOOKUP(D1516, Grid_Region_Mapping!$D$2:$F$5286, 3, FALSE)</f>
        <v>SPPC</v>
      </c>
      <c r="I1516" s="32">
        <v>4.0</v>
      </c>
      <c r="J1516" s="34" t="str">
        <f t="shared" si="1"/>
        <v>Midwest</v>
      </c>
      <c r="K1516" s="35">
        <v>2.0</v>
      </c>
      <c r="L1516" s="35" t="s">
        <v>396</v>
      </c>
      <c r="M1516" s="36">
        <f>VLOOKUP(D1516, County_Data_CZones!$B$2:$F$3236, 2, FALSE)</f>
        <v>5</v>
      </c>
      <c r="N1516" s="37" t="str">
        <f>VLOOKUP(D1516, County_Data_CZones!$B$2:$F$3236, 5, FALSE)</f>
        <v>Cold</v>
      </c>
    </row>
    <row r="1517" ht="15.75" customHeight="1">
      <c r="A1517" s="32" t="s">
        <v>1131</v>
      </c>
      <c r="B1517" s="32" t="s">
        <v>1121</v>
      </c>
      <c r="C1517" s="32" t="str">
        <f>vlookup(B1517,State_EMM_RowSums!$A$2:$B$52,2,FALSE)</f>
        <v>MO</v>
      </c>
      <c r="D1517" s="32">
        <v>29065.0</v>
      </c>
      <c r="E1517" s="33">
        <f>IF(NOT(ISBLANK(vlookup($D1517,Pop_Census_2023!$A$2:$E$3220,4,FALSE))),vlookup($D1517,Pop_Census_2023!$A$2:$E$3220,4,FALSE), vlookup($D1517,Pop_Census_2023!$A$2:$E$3220,5,FALSE))</f>
        <v>14647</v>
      </c>
      <c r="F1517" s="32">
        <v>758487.0</v>
      </c>
      <c r="G1517" s="32">
        <v>84.0</v>
      </c>
      <c r="H1517" s="32" t="str">
        <f>VLOOKUP(D1517, Grid_Region_Mapping!$D$2:$F$5286, 3, FALSE)</f>
        <v>MISC</v>
      </c>
      <c r="I1517" s="32">
        <v>4.0</v>
      </c>
      <c r="J1517" s="34" t="str">
        <f t="shared" si="1"/>
        <v>Midwest</v>
      </c>
      <c r="K1517" s="35">
        <v>3.0</v>
      </c>
      <c r="L1517" s="35" t="s">
        <v>223</v>
      </c>
      <c r="M1517" s="36">
        <f>VLOOKUP(D1517, County_Data_CZones!$B$2:$F$3236, 2, FALSE)</f>
        <v>4</v>
      </c>
      <c r="N1517" s="37" t="str">
        <f>VLOOKUP(D1517, County_Data_CZones!$B$2:$F$3236, 5, FALSE)</f>
        <v>Mixed-Humid</v>
      </c>
    </row>
    <row r="1518" ht="15.75" customHeight="1">
      <c r="A1518" s="32" t="s">
        <v>357</v>
      </c>
      <c r="B1518" s="32" t="s">
        <v>1121</v>
      </c>
      <c r="C1518" s="32" t="str">
        <f>vlookup(B1518,State_EMM_RowSums!$A$2:$B$52,2,FALSE)</f>
        <v>MO</v>
      </c>
      <c r="D1518" s="32">
        <v>29067.0</v>
      </c>
      <c r="E1518" s="33">
        <f>IF(NOT(ISBLANK(vlookup($D1518,Pop_Census_2023!$A$2:$E$3220,4,FALSE))),vlookup($D1518,Pop_Census_2023!$A$2:$E$3220,4,FALSE), vlookup($D1518,Pop_Census_2023!$A$2:$E$3220,5,FALSE))</f>
        <v>12228</v>
      </c>
      <c r="F1518" s="32">
        <v>758488.0</v>
      </c>
      <c r="G1518" s="32">
        <v>55.0</v>
      </c>
      <c r="H1518" s="32" t="str">
        <f>VLOOKUP(D1518, Grid_Region_Mapping!$D$2:$F$5286, 3, FALSE)</f>
        <v>SPPC</v>
      </c>
      <c r="I1518" s="32">
        <v>4.0</v>
      </c>
      <c r="J1518" s="34" t="str">
        <f t="shared" si="1"/>
        <v>Midwest</v>
      </c>
      <c r="K1518" s="35">
        <v>3.0</v>
      </c>
      <c r="L1518" s="35" t="s">
        <v>223</v>
      </c>
      <c r="M1518" s="36">
        <f>VLOOKUP(D1518, County_Data_CZones!$B$2:$F$3236, 2, FALSE)</f>
        <v>4</v>
      </c>
      <c r="N1518" s="37" t="str">
        <f>VLOOKUP(D1518, County_Data_CZones!$B$2:$F$3236, 5, FALSE)</f>
        <v>Mixed-Humid</v>
      </c>
    </row>
    <row r="1519" ht="15.75" customHeight="1">
      <c r="A1519" s="32" t="s">
        <v>1132</v>
      </c>
      <c r="B1519" s="32" t="s">
        <v>1121</v>
      </c>
      <c r="C1519" s="32" t="str">
        <f>vlookup(B1519,State_EMM_RowSums!$A$2:$B$52,2,FALSE)</f>
        <v>MO</v>
      </c>
      <c r="D1519" s="32">
        <v>29069.0</v>
      </c>
      <c r="E1519" s="33">
        <f>IF(NOT(ISBLANK(vlookup($D1519,Pop_Census_2023!$A$2:$E$3220,4,FALSE))),vlookup($D1519,Pop_Census_2023!$A$2:$E$3220,4,FALSE), vlookup($D1519,Pop_Census_2023!$A$2:$E$3220,5,FALSE))</f>
        <v>27032</v>
      </c>
      <c r="F1519" s="32">
        <v>758489.0</v>
      </c>
      <c r="G1519" s="32">
        <v>84.0</v>
      </c>
      <c r="H1519" s="32" t="str">
        <f>VLOOKUP(D1519, Grid_Region_Mapping!$D$2:$F$5286, 3, FALSE)</f>
        <v>MISC</v>
      </c>
      <c r="I1519" s="32">
        <v>4.0</v>
      </c>
      <c r="J1519" s="34" t="str">
        <f t="shared" si="1"/>
        <v>Midwest</v>
      </c>
      <c r="K1519" s="35">
        <v>3.0</v>
      </c>
      <c r="L1519" s="35" t="s">
        <v>223</v>
      </c>
      <c r="M1519" s="36">
        <f>VLOOKUP(D1519, County_Data_CZones!$B$2:$F$3236, 2, FALSE)</f>
        <v>4</v>
      </c>
      <c r="N1519" s="37" t="str">
        <f>VLOOKUP(D1519, County_Data_CZones!$B$2:$F$3236, 5, FALSE)</f>
        <v>Mixed-Humid</v>
      </c>
    </row>
    <row r="1520" ht="15.75" customHeight="1">
      <c r="A1520" s="32" t="s">
        <v>132</v>
      </c>
      <c r="B1520" s="32" t="s">
        <v>1121</v>
      </c>
      <c r="C1520" s="32" t="str">
        <f>vlookup(B1520,State_EMM_RowSums!$A$2:$B$52,2,FALSE)</f>
        <v>MO</v>
      </c>
      <c r="D1520" s="32">
        <v>29071.0</v>
      </c>
      <c r="E1520" s="33">
        <f>IF(NOT(ISBLANK(vlookup($D1520,Pop_Census_2023!$A$2:$E$3220,4,FALSE))),vlookup($D1520,Pop_Census_2023!$A$2:$E$3220,4,FALSE), vlookup($D1520,Pop_Census_2023!$A$2:$E$3220,5,FALSE))</f>
        <v>106404</v>
      </c>
      <c r="F1520" s="32">
        <v>758490.0</v>
      </c>
      <c r="G1520" s="32">
        <v>72.0</v>
      </c>
      <c r="H1520" s="32" t="str">
        <f>VLOOKUP(D1520, Grid_Region_Mapping!$D$2:$F$5286, 3, FALSE)</f>
        <v>MISC</v>
      </c>
      <c r="I1520" s="32">
        <v>4.0</v>
      </c>
      <c r="J1520" s="34" t="str">
        <f t="shared" si="1"/>
        <v>Midwest</v>
      </c>
      <c r="K1520" s="35">
        <v>3.0</v>
      </c>
      <c r="L1520" s="35" t="s">
        <v>223</v>
      </c>
      <c r="M1520" s="36">
        <f>VLOOKUP(D1520, County_Data_CZones!$B$2:$F$3236, 2, FALSE)</f>
        <v>4</v>
      </c>
      <c r="N1520" s="37" t="str">
        <f>VLOOKUP(D1520, County_Data_CZones!$B$2:$F$3236, 5, FALSE)</f>
        <v>Mixed-Humid</v>
      </c>
    </row>
    <row r="1521" ht="15.75" customHeight="1">
      <c r="A1521" s="32" t="s">
        <v>1133</v>
      </c>
      <c r="B1521" s="32" t="s">
        <v>1121</v>
      </c>
      <c r="C1521" s="32" t="str">
        <f>vlookup(B1521,State_EMM_RowSums!$A$2:$B$52,2,FALSE)</f>
        <v>MO</v>
      </c>
      <c r="D1521" s="32">
        <v>29073.0</v>
      </c>
      <c r="E1521" s="33">
        <f>IF(NOT(ISBLANK(vlookup($D1521,Pop_Census_2023!$A$2:$E$3220,4,FALSE))),vlookup($D1521,Pop_Census_2023!$A$2:$E$3220,4,FALSE), vlookup($D1521,Pop_Census_2023!$A$2:$E$3220,5,FALSE))</f>
        <v>14705</v>
      </c>
      <c r="F1521" s="32">
        <v>758491.0</v>
      </c>
      <c r="G1521" s="32">
        <v>72.0</v>
      </c>
      <c r="H1521" s="32" t="str">
        <f>VLOOKUP(D1521, Grid_Region_Mapping!$D$2:$F$5286, 3, FALSE)</f>
        <v>MISC</v>
      </c>
      <c r="I1521" s="32">
        <v>4.0</v>
      </c>
      <c r="J1521" s="34" t="str">
        <f t="shared" si="1"/>
        <v>Midwest</v>
      </c>
      <c r="K1521" s="35">
        <v>3.0</v>
      </c>
      <c r="L1521" s="35" t="s">
        <v>223</v>
      </c>
      <c r="M1521" s="36">
        <f>VLOOKUP(D1521, County_Data_CZones!$B$2:$F$3236, 2, FALSE)</f>
        <v>4</v>
      </c>
      <c r="N1521" s="37" t="str">
        <f>VLOOKUP(D1521, County_Data_CZones!$B$2:$F$3236, 5, FALSE)</f>
        <v>Mixed-Humid</v>
      </c>
    </row>
    <row r="1522" ht="15.75" customHeight="1">
      <c r="A1522" s="32" t="s">
        <v>1134</v>
      </c>
      <c r="B1522" s="32" t="s">
        <v>1121</v>
      </c>
      <c r="C1522" s="32" t="str">
        <f>vlookup(B1522,State_EMM_RowSums!$A$2:$B$52,2,FALSE)</f>
        <v>MO</v>
      </c>
      <c r="D1522" s="32">
        <v>29075.0</v>
      </c>
      <c r="E1522" s="33">
        <f>IF(NOT(ISBLANK(vlookup($D1522,Pop_Census_2023!$A$2:$E$3220,4,FALSE))),vlookup($D1522,Pop_Census_2023!$A$2:$E$3220,4,FALSE), vlookup($D1522,Pop_Census_2023!$A$2:$E$3220,5,FALSE))</f>
        <v>6287</v>
      </c>
      <c r="F1522" s="32">
        <v>758492.0</v>
      </c>
      <c r="G1522" s="32">
        <v>54.0</v>
      </c>
      <c r="H1522" s="32" t="str">
        <f>VLOOKUP(D1522, Grid_Region_Mapping!$D$2:$F$5286, 3, FALSE)</f>
        <v>SPPC</v>
      </c>
      <c r="I1522" s="32">
        <v>4.0</v>
      </c>
      <c r="J1522" s="34" t="str">
        <f t="shared" si="1"/>
        <v>Midwest</v>
      </c>
      <c r="K1522" s="35">
        <v>2.0</v>
      </c>
      <c r="L1522" s="35" t="s">
        <v>396</v>
      </c>
      <c r="M1522" s="36">
        <f>VLOOKUP(D1522, County_Data_CZones!$B$2:$F$3236, 2, FALSE)</f>
        <v>5</v>
      </c>
      <c r="N1522" s="37" t="str">
        <f>VLOOKUP(D1522, County_Data_CZones!$B$2:$F$3236, 5, FALSE)</f>
        <v>Cold</v>
      </c>
    </row>
    <row r="1523" ht="15.75" customHeight="1">
      <c r="A1523" s="32" t="s">
        <v>134</v>
      </c>
      <c r="B1523" s="32" t="s">
        <v>1121</v>
      </c>
      <c r="C1523" s="32" t="str">
        <f>vlookup(B1523,State_EMM_RowSums!$A$2:$B$52,2,FALSE)</f>
        <v>MO</v>
      </c>
      <c r="D1523" s="32">
        <v>29077.0</v>
      </c>
      <c r="E1523" s="33">
        <f>IF(NOT(ISBLANK(vlookup($D1523,Pop_Census_2023!$A$2:$E$3220,4,FALSE))),vlookup($D1523,Pop_Census_2023!$A$2:$E$3220,4,FALSE), vlookup($D1523,Pop_Census_2023!$A$2:$E$3220,5,FALSE))</f>
        <v>304611</v>
      </c>
      <c r="F1523" s="32">
        <v>758493.0</v>
      </c>
      <c r="G1523" s="32">
        <v>55.0</v>
      </c>
      <c r="H1523" s="32" t="str">
        <f>VLOOKUP(D1523, Grid_Region_Mapping!$D$2:$F$5286, 3, FALSE)</f>
        <v>SPPC</v>
      </c>
      <c r="I1523" s="32">
        <v>4.0</v>
      </c>
      <c r="J1523" s="34" t="str">
        <f t="shared" si="1"/>
        <v>Midwest</v>
      </c>
      <c r="K1523" s="35">
        <v>3.0</v>
      </c>
      <c r="L1523" s="35" t="s">
        <v>223</v>
      </c>
      <c r="M1523" s="36">
        <f>VLOOKUP(D1523, County_Data_CZones!$B$2:$F$3236, 2, FALSE)</f>
        <v>4</v>
      </c>
      <c r="N1523" s="37" t="str">
        <f>VLOOKUP(D1523, County_Data_CZones!$B$2:$F$3236, 5, FALSE)</f>
        <v>Mixed-Humid</v>
      </c>
    </row>
    <row r="1524" ht="15.75" customHeight="1">
      <c r="A1524" s="32" t="s">
        <v>625</v>
      </c>
      <c r="B1524" s="32" t="s">
        <v>1121</v>
      </c>
      <c r="C1524" s="32" t="str">
        <f>vlookup(B1524,State_EMM_RowSums!$A$2:$B$52,2,FALSE)</f>
        <v>MO</v>
      </c>
      <c r="D1524" s="32">
        <v>29079.0</v>
      </c>
      <c r="E1524" s="33">
        <f>IF(NOT(ISBLANK(vlookup($D1524,Pop_Census_2023!$A$2:$E$3220,4,FALSE))),vlookup($D1524,Pop_Census_2023!$A$2:$E$3220,4,FALSE), vlookup($D1524,Pop_Census_2023!$A$2:$E$3220,5,FALSE))</f>
        <v>9815</v>
      </c>
      <c r="F1524" s="32">
        <v>758494.0</v>
      </c>
      <c r="G1524" s="32">
        <v>54.0</v>
      </c>
      <c r="H1524" s="32" t="str">
        <f>VLOOKUP(D1524, Grid_Region_Mapping!$D$2:$F$5286, 3, FALSE)</f>
        <v>SPPC</v>
      </c>
      <c r="I1524" s="32">
        <v>4.0</v>
      </c>
      <c r="J1524" s="34" t="str">
        <f t="shared" si="1"/>
        <v>Midwest</v>
      </c>
      <c r="K1524" s="35">
        <v>2.0</v>
      </c>
      <c r="L1524" s="35" t="s">
        <v>396</v>
      </c>
      <c r="M1524" s="36">
        <f>VLOOKUP(D1524, County_Data_CZones!$B$2:$F$3236, 2, FALSE)</f>
        <v>5</v>
      </c>
      <c r="N1524" s="37" t="str">
        <f>VLOOKUP(D1524, County_Data_CZones!$B$2:$F$3236, 5, FALSE)</f>
        <v>Cold</v>
      </c>
    </row>
    <row r="1525" ht="15.75" customHeight="1">
      <c r="A1525" s="32" t="s">
        <v>673</v>
      </c>
      <c r="B1525" s="32" t="s">
        <v>1121</v>
      </c>
      <c r="C1525" s="32" t="str">
        <f>vlookup(B1525,State_EMM_RowSums!$A$2:$B$52,2,FALSE)</f>
        <v>MO</v>
      </c>
      <c r="D1525" s="32">
        <v>29081.0</v>
      </c>
      <c r="E1525" s="33">
        <f>IF(NOT(ISBLANK(vlookup($D1525,Pop_Census_2023!$A$2:$E$3220,4,FALSE))),vlookup($D1525,Pop_Census_2023!$A$2:$E$3220,4,FALSE), vlookup($D1525,Pop_Census_2023!$A$2:$E$3220,5,FALSE))</f>
        <v>8220</v>
      </c>
      <c r="F1525" s="32">
        <v>758495.0</v>
      </c>
      <c r="G1525" s="32">
        <v>54.0</v>
      </c>
      <c r="H1525" s="32" t="str">
        <f>VLOOKUP(D1525, Grid_Region_Mapping!$D$2:$F$5286, 3, FALSE)</f>
        <v>SPPC</v>
      </c>
      <c r="I1525" s="32">
        <v>4.0</v>
      </c>
      <c r="J1525" s="34" t="str">
        <f t="shared" si="1"/>
        <v>Midwest</v>
      </c>
      <c r="K1525" s="35">
        <v>2.0</v>
      </c>
      <c r="L1525" s="35" t="s">
        <v>396</v>
      </c>
      <c r="M1525" s="36">
        <f>VLOOKUP(D1525, County_Data_CZones!$B$2:$F$3236, 2, FALSE)</f>
        <v>5</v>
      </c>
      <c r="N1525" s="37" t="str">
        <f>VLOOKUP(D1525, County_Data_CZones!$B$2:$F$3236, 5, FALSE)</f>
        <v>Cold</v>
      </c>
    </row>
    <row r="1526" ht="15.75" customHeight="1">
      <c r="A1526" s="32" t="s">
        <v>136</v>
      </c>
      <c r="B1526" s="32" t="s">
        <v>1121</v>
      </c>
      <c r="C1526" s="32" t="str">
        <f>vlookup(B1526,State_EMM_RowSums!$A$2:$B$52,2,FALSE)</f>
        <v>MO</v>
      </c>
      <c r="D1526" s="32">
        <v>29083.0</v>
      </c>
      <c r="E1526" s="33">
        <f>IF(NOT(ISBLANK(vlookup($D1526,Pop_Census_2023!$A$2:$E$3220,4,FALSE))),vlookup($D1526,Pop_Census_2023!$A$2:$E$3220,4,FALSE), vlookup($D1526,Pop_Census_2023!$A$2:$E$3220,5,FALSE))</f>
        <v>22485</v>
      </c>
      <c r="F1526" s="32">
        <v>758496.0</v>
      </c>
      <c r="G1526" s="32">
        <v>55.0</v>
      </c>
      <c r="H1526" s="32" t="str">
        <f>VLOOKUP(D1526, Grid_Region_Mapping!$D$2:$F$5286, 3, FALSE)</f>
        <v>SPPC</v>
      </c>
      <c r="I1526" s="32">
        <v>4.0</v>
      </c>
      <c r="J1526" s="34" t="str">
        <f t="shared" si="1"/>
        <v>Midwest</v>
      </c>
      <c r="K1526" s="35">
        <v>3.0</v>
      </c>
      <c r="L1526" s="35" t="s">
        <v>223</v>
      </c>
      <c r="M1526" s="36">
        <f>VLOOKUP(D1526, County_Data_CZones!$B$2:$F$3236, 2, FALSE)</f>
        <v>4</v>
      </c>
      <c r="N1526" s="37" t="str">
        <f>VLOOKUP(D1526, County_Data_CZones!$B$2:$F$3236, 5, FALSE)</f>
        <v>Mixed-Humid</v>
      </c>
    </row>
    <row r="1527" ht="15.75" customHeight="1">
      <c r="A1527" s="32" t="s">
        <v>1135</v>
      </c>
      <c r="B1527" s="32" t="s">
        <v>1121</v>
      </c>
      <c r="C1527" s="32" t="str">
        <f>vlookup(B1527,State_EMM_RowSums!$A$2:$B$52,2,FALSE)</f>
        <v>MO</v>
      </c>
      <c r="D1527" s="32">
        <v>29085.0</v>
      </c>
      <c r="E1527" s="33">
        <f>IF(NOT(ISBLANK(vlookup($D1527,Pop_Census_2023!$A$2:$E$3220,4,FALSE))),vlookup($D1527,Pop_Census_2023!$A$2:$E$3220,4,FALSE), vlookup($D1527,Pop_Census_2023!$A$2:$E$3220,5,FALSE))</f>
        <v>8718</v>
      </c>
      <c r="F1527" s="32">
        <v>758497.0</v>
      </c>
      <c r="G1527" s="32">
        <v>55.0</v>
      </c>
      <c r="H1527" s="32" t="str">
        <f>VLOOKUP(D1527, Grid_Region_Mapping!$D$2:$F$5286, 3, FALSE)</f>
        <v>SPPC</v>
      </c>
      <c r="I1527" s="32">
        <v>4.0</v>
      </c>
      <c r="J1527" s="34" t="str">
        <f t="shared" si="1"/>
        <v>Midwest</v>
      </c>
      <c r="K1527" s="35">
        <v>3.0</v>
      </c>
      <c r="L1527" s="35" t="s">
        <v>223</v>
      </c>
      <c r="M1527" s="36">
        <f>VLOOKUP(D1527, County_Data_CZones!$B$2:$F$3236, 2, FALSE)</f>
        <v>4</v>
      </c>
      <c r="N1527" s="37" t="str">
        <f>VLOOKUP(D1527, County_Data_CZones!$B$2:$F$3236, 5, FALSE)</f>
        <v>Mixed-Humid</v>
      </c>
    </row>
    <row r="1528" ht="15.75" customHeight="1">
      <c r="A1528" s="32" t="s">
        <v>1136</v>
      </c>
      <c r="B1528" s="32" t="s">
        <v>1121</v>
      </c>
      <c r="C1528" s="32" t="str">
        <f>vlookup(B1528,State_EMM_RowSums!$A$2:$B$52,2,FALSE)</f>
        <v>MO</v>
      </c>
      <c r="D1528" s="32">
        <v>29087.0</v>
      </c>
      <c r="E1528" s="33">
        <f>IF(NOT(ISBLANK(vlookup($D1528,Pop_Census_2023!$A$2:$E$3220,4,FALSE))),vlookup($D1528,Pop_Census_2023!$A$2:$E$3220,4,FALSE), vlookup($D1528,Pop_Census_2023!$A$2:$E$3220,5,FALSE))</f>
        <v>4248</v>
      </c>
      <c r="F1528" s="32">
        <v>758498.0</v>
      </c>
      <c r="G1528" s="32">
        <v>54.0</v>
      </c>
      <c r="H1528" s="32" t="str">
        <f>VLOOKUP(D1528, Grid_Region_Mapping!$D$2:$F$5286, 3, FALSE)</f>
        <v>SPPC</v>
      </c>
      <c r="I1528" s="32">
        <v>4.0</v>
      </c>
      <c r="J1528" s="34" t="str">
        <f t="shared" si="1"/>
        <v>Midwest</v>
      </c>
      <c r="K1528" s="35">
        <v>2.0</v>
      </c>
      <c r="L1528" s="35" t="s">
        <v>396</v>
      </c>
      <c r="M1528" s="36">
        <f>VLOOKUP(D1528, County_Data_CZones!$B$2:$F$3236, 2, FALSE)</f>
        <v>5</v>
      </c>
      <c r="N1528" s="37" t="str">
        <f>VLOOKUP(D1528, County_Data_CZones!$B$2:$F$3236, 5, FALSE)</f>
        <v>Cold</v>
      </c>
    </row>
    <row r="1529" ht="15.75" customHeight="1">
      <c r="A1529" s="32" t="s">
        <v>245</v>
      </c>
      <c r="B1529" s="32" t="s">
        <v>1121</v>
      </c>
      <c r="C1529" s="32" t="str">
        <f>vlookup(B1529,State_EMM_RowSums!$A$2:$B$52,2,FALSE)</f>
        <v>MO</v>
      </c>
      <c r="D1529" s="32">
        <v>29089.0</v>
      </c>
      <c r="E1529" s="33">
        <f>IF(NOT(ISBLANK(vlookup($D1529,Pop_Census_2023!$A$2:$E$3220,4,FALSE))),vlookup($D1529,Pop_Census_2023!$A$2:$E$3220,4,FALSE), vlookup($D1529,Pop_Census_2023!$A$2:$E$3220,5,FALSE))</f>
        <v>10101</v>
      </c>
      <c r="F1529" s="32">
        <v>758499.0</v>
      </c>
      <c r="G1529" s="32">
        <v>72.0</v>
      </c>
      <c r="H1529" s="32" t="str">
        <f>VLOOKUP(D1529, Grid_Region_Mapping!$D$2:$F$5286, 3, FALSE)</f>
        <v>MISC</v>
      </c>
      <c r="I1529" s="32">
        <v>4.0</v>
      </c>
      <c r="J1529" s="34" t="str">
        <f t="shared" si="1"/>
        <v>Midwest</v>
      </c>
      <c r="K1529" s="35">
        <v>3.0</v>
      </c>
      <c r="L1529" s="35" t="s">
        <v>223</v>
      </c>
      <c r="M1529" s="36">
        <f>VLOOKUP(D1529, County_Data_CZones!$B$2:$F$3236, 2, FALSE)</f>
        <v>4</v>
      </c>
      <c r="N1529" s="37" t="str">
        <f>VLOOKUP(D1529, County_Data_CZones!$B$2:$F$3236, 5, FALSE)</f>
        <v>Mixed-Humid</v>
      </c>
    </row>
    <row r="1530" ht="15.75" customHeight="1">
      <c r="A1530" s="32" t="s">
        <v>1137</v>
      </c>
      <c r="B1530" s="32" t="s">
        <v>1121</v>
      </c>
      <c r="C1530" s="32" t="str">
        <f>vlookup(B1530,State_EMM_RowSums!$A$2:$B$52,2,FALSE)</f>
        <v>MO</v>
      </c>
      <c r="D1530" s="32">
        <v>29091.0</v>
      </c>
      <c r="E1530" s="33">
        <f>IF(NOT(ISBLANK(vlookup($D1530,Pop_Census_2023!$A$2:$E$3220,4,FALSE))),vlookup($D1530,Pop_Census_2023!$A$2:$E$3220,4,FALSE), vlookup($D1530,Pop_Census_2023!$A$2:$E$3220,5,FALSE))</f>
        <v>40735</v>
      </c>
      <c r="F1530" s="32">
        <v>758500.0</v>
      </c>
      <c r="G1530" s="32">
        <v>84.0</v>
      </c>
      <c r="H1530" s="32" t="str">
        <f>VLOOKUP(D1530, Grid_Region_Mapping!$D$2:$F$5286, 3, FALSE)</f>
        <v>MISC</v>
      </c>
      <c r="I1530" s="32">
        <v>4.0</v>
      </c>
      <c r="J1530" s="34" t="str">
        <f t="shared" si="1"/>
        <v>Midwest</v>
      </c>
      <c r="K1530" s="35">
        <v>3.0</v>
      </c>
      <c r="L1530" s="35" t="s">
        <v>223</v>
      </c>
      <c r="M1530" s="36">
        <f>VLOOKUP(D1530, County_Data_CZones!$B$2:$F$3236, 2, FALSE)</f>
        <v>4</v>
      </c>
      <c r="N1530" s="37" t="str">
        <f>VLOOKUP(D1530, County_Data_CZones!$B$2:$F$3236, 5, FALSE)</f>
        <v>Mixed-Humid</v>
      </c>
    </row>
    <row r="1531" ht="15.75" customHeight="1">
      <c r="A1531" s="32" t="s">
        <v>989</v>
      </c>
      <c r="B1531" s="32" t="s">
        <v>1121</v>
      </c>
      <c r="C1531" s="32" t="str">
        <f>vlookup(B1531,State_EMM_RowSums!$A$2:$B$52,2,FALSE)</f>
        <v>MO</v>
      </c>
      <c r="D1531" s="32">
        <v>29093.0</v>
      </c>
      <c r="E1531" s="33">
        <f>IF(NOT(ISBLANK(vlookup($D1531,Pop_Census_2023!$A$2:$E$3220,4,FALSE))),vlookup($D1531,Pop_Census_2023!$A$2:$E$3220,4,FALSE), vlookup($D1531,Pop_Census_2023!$A$2:$E$3220,5,FALSE))</f>
        <v>9440</v>
      </c>
      <c r="F1531" s="32">
        <v>758501.0</v>
      </c>
      <c r="G1531" s="32">
        <v>73.0</v>
      </c>
      <c r="H1531" s="32" t="str">
        <f>VLOOKUP(D1531, Grid_Region_Mapping!$D$2:$F$5286, 3, FALSE)</f>
        <v>MISC</v>
      </c>
      <c r="I1531" s="32">
        <v>4.0</v>
      </c>
      <c r="J1531" s="34" t="str">
        <f t="shared" si="1"/>
        <v>Midwest</v>
      </c>
      <c r="K1531" s="35">
        <v>3.0</v>
      </c>
      <c r="L1531" s="35" t="s">
        <v>223</v>
      </c>
      <c r="M1531" s="36">
        <f>VLOOKUP(D1531, County_Data_CZones!$B$2:$F$3236, 2, FALSE)</f>
        <v>4</v>
      </c>
      <c r="N1531" s="37" t="str">
        <f>VLOOKUP(D1531, County_Data_CZones!$B$2:$F$3236, 5, FALSE)</f>
        <v>Mixed-Humid</v>
      </c>
    </row>
    <row r="1532" ht="15.75" customHeight="1">
      <c r="A1532" s="32" t="s">
        <v>138</v>
      </c>
      <c r="B1532" s="32" t="s">
        <v>1121</v>
      </c>
      <c r="C1532" s="32" t="str">
        <f>vlookup(B1532,State_EMM_RowSums!$A$2:$B$52,2,FALSE)</f>
        <v>MO</v>
      </c>
      <c r="D1532" s="32">
        <v>29095.0</v>
      </c>
      <c r="E1532" s="33">
        <f>IF(NOT(ISBLANK(vlookup($D1532,Pop_Census_2023!$A$2:$E$3220,4,FALSE))),vlookup($D1532,Pop_Census_2023!$A$2:$E$3220,4,FALSE), vlookup($D1532,Pop_Census_2023!$A$2:$E$3220,5,FALSE))</f>
        <v>718560</v>
      </c>
      <c r="F1532" s="32">
        <v>758502.0</v>
      </c>
      <c r="G1532" s="32">
        <v>54.0</v>
      </c>
      <c r="H1532" s="32" t="str">
        <f>VLOOKUP(D1532, Grid_Region_Mapping!$D$2:$F$5286, 3, FALSE)</f>
        <v>SPPC</v>
      </c>
      <c r="I1532" s="32">
        <v>4.0</v>
      </c>
      <c r="J1532" s="34" t="str">
        <f t="shared" si="1"/>
        <v>Midwest</v>
      </c>
      <c r="K1532" s="35">
        <v>3.0</v>
      </c>
      <c r="L1532" s="35" t="s">
        <v>223</v>
      </c>
      <c r="M1532" s="36">
        <f>VLOOKUP(D1532, County_Data_CZones!$B$2:$F$3236, 2, FALSE)</f>
        <v>4</v>
      </c>
      <c r="N1532" s="37" t="str">
        <f>VLOOKUP(D1532, County_Data_CZones!$B$2:$F$3236, 5, FALSE)</f>
        <v>Mixed-Humid</v>
      </c>
    </row>
    <row r="1533" ht="15.75" customHeight="1">
      <c r="A1533" s="32" t="s">
        <v>518</v>
      </c>
      <c r="B1533" s="32" t="s">
        <v>1121</v>
      </c>
      <c r="C1533" s="32" t="str">
        <f>vlookup(B1533,State_EMM_RowSums!$A$2:$B$52,2,FALSE)</f>
        <v>MO</v>
      </c>
      <c r="D1533" s="32">
        <v>29097.0</v>
      </c>
      <c r="E1533" s="33">
        <f>IF(NOT(ISBLANK(vlookup($D1533,Pop_Census_2023!$A$2:$E$3220,4,FALSE))),vlookup($D1533,Pop_Census_2023!$A$2:$E$3220,4,FALSE), vlookup($D1533,Pop_Census_2023!$A$2:$E$3220,5,FALSE))</f>
        <v>125056</v>
      </c>
      <c r="F1533" s="32">
        <v>758503.0</v>
      </c>
      <c r="G1533" s="32">
        <v>55.0</v>
      </c>
      <c r="H1533" s="32" t="str">
        <f>VLOOKUP(D1533, Grid_Region_Mapping!$D$2:$F$5286, 3, FALSE)</f>
        <v>SPPC</v>
      </c>
      <c r="I1533" s="32">
        <v>4.0</v>
      </c>
      <c r="J1533" s="34" t="str">
        <f t="shared" si="1"/>
        <v>Midwest</v>
      </c>
      <c r="K1533" s="35">
        <v>3.0</v>
      </c>
      <c r="L1533" s="35" t="s">
        <v>223</v>
      </c>
      <c r="M1533" s="36">
        <f>VLOOKUP(D1533, County_Data_CZones!$B$2:$F$3236, 2, FALSE)</f>
        <v>4</v>
      </c>
      <c r="N1533" s="37" t="str">
        <f>VLOOKUP(D1533, County_Data_CZones!$B$2:$F$3236, 5, FALSE)</f>
        <v>Mixed-Humid</v>
      </c>
    </row>
    <row r="1534" ht="15.75" customHeight="1">
      <c r="A1534" s="32" t="s">
        <v>139</v>
      </c>
      <c r="B1534" s="32" t="s">
        <v>1121</v>
      </c>
      <c r="C1534" s="32" t="str">
        <f>vlookup(B1534,State_EMM_RowSums!$A$2:$B$52,2,FALSE)</f>
        <v>MO</v>
      </c>
      <c r="D1534" s="32">
        <v>29099.0</v>
      </c>
      <c r="E1534" s="33">
        <f>IF(NOT(ISBLANK(vlookup($D1534,Pop_Census_2023!$A$2:$E$3220,4,FALSE))),vlookup($D1534,Pop_Census_2023!$A$2:$E$3220,4,FALSE), vlookup($D1534,Pop_Census_2023!$A$2:$E$3220,5,FALSE))</f>
        <v>231230</v>
      </c>
      <c r="F1534" s="32">
        <v>758504.0</v>
      </c>
      <c r="G1534" s="32">
        <v>72.0</v>
      </c>
      <c r="H1534" s="32" t="str">
        <f>VLOOKUP(D1534, Grid_Region_Mapping!$D$2:$F$5286, 3, FALSE)</f>
        <v>MISC</v>
      </c>
      <c r="I1534" s="32">
        <v>4.0</v>
      </c>
      <c r="J1534" s="34" t="str">
        <f t="shared" si="1"/>
        <v>Midwest</v>
      </c>
      <c r="K1534" s="35">
        <v>3.0</v>
      </c>
      <c r="L1534" s="35" t="s">
        <v>223</v>
      </c>
      <c r="M1534" s="36">
        <f>VLOOKUP(D1534, County_Data_CZones!$B$2:$F$3236, 2, FALSE)</f>
        <v>4</v>
      </c>
      <c r="N1534" s="37" t="str">
        <f>VLOOKUP(D1534, County_Data_CZones!$B$2:$F$3236, 5, FALSE)</f>
        <v>Mixed-Humid</v>
      </c>
    </row>
    <row r="1535" ht="15.75" customHeight="1">
      <c r="A1535" s="32" t="s">
        <v>248</v>
      </c>
      <c r="B1535" s="32" t="s">
        <v>1121</v>
      </c>
      <c r="C1535" s="32" t="str">
        <f>vlookup(B1535,State_EMM_RowSums!$A$2:$B$52,2,FALSE)</f>
        <v>MO</v>
      </c>
      <c r="D1535" s="32">
        <v>29101.0</v>
      </c>
      <c r="E1535" s="33">
        <f>IF(NOT(ISBLANK(vlookup($D1535,Pop_Census_2023!$A$2:$E$3220,4,FALSE))),vlookup($D1535,Pop_Census_2023!$A$2:$E$3220,4,FALSE), vlookup($D1535,Pop_Census_2023!$A$2:$E$3220,5,FALSE))</f>
        <v>54962</v>
      </c>
      <c r="F1535" s="32">
        <v>758505.0</v>
      </c>
      <c r="G1535" s="32">
        <v>54.0</v>
      </c>
      <c r="H1535" s="32" t="str">
        <f>VLOOKUP(D1535, Grid_Region_Mapping!$D$2:$F$5286, 3, FALSE)</f>
        <v>SPPC</v>
      </c>
      <c r="I1535" s="32">
        <v>4.0</v>
      </c>
      <c r="J1535" s="34" t="str">
        <f t="shared" si="1"/>
        <v>Midwest</v>
      </c>
      <c r="K1535" s="35">
        <v>3.0</v>
      </c>
      <c r="L1535" s="35" t="s">
        <v>223</v>
      </c>
      <c r="M1535" s="36">
        <f>VLOOKUP(D1535, County_Data_CZones!$B$2:$F$3236, 2, FALSE)</f>
        <v>4</v>
      </c>
      <c r="N1535" s="37" t="str">
        <f>VLOOKUP(D1535, County_Data_CZones!$B$2:$F$3236, 5, FALSE)</f>
        <v>Mixed-Humid</v>
      </c>
    </row>
    <row r="1536" ht="15.75" customHeight="1">
      <c r="A1536" s="32" t="s">
        <v>634</v>
      </c>
      <c r="B1536" s="32" t="s">
        <v>1121</v>
      </c>
      <c r="C1536" s="32" t="str">
        <f>vlookup(B1536,State_EMM_RowSums!$A$2:$B$52,2,FALSE)</f>
        <v>MO</v>
      </c>
      <c r="D1536" s="32">
        <v>29103.0</v>
      </c>
      <c r="E1536" s="33">
        <f>IF(NOT(ISBLANK(vlookup($D1536,Pop_Census_2023!$A$2:$E$3220,4,FALSE))),vlookup($D1536,Pop_Census_2023!$A$2:$E$3220,4,FALSE), vlookup($D1536,Pop_Census_2023!$A$2:$E$3220,5,FALSE))</f>
        <v>3723</v>
      </c>
      <c r="F1536" s="32">
        <v>758506.0</v>
      </c>
      <c r="G1536" s="32">
        <v>71.0</v>
      </c>
      <c r="H1536" s="32" t="str">
        <f>VLOOKUP(D1536, Grid_Region_Mapping!$D$2:$F$5286, 3, FALSE)</f>
        <v>MISC</v>
      </c>
      <c r="I1536" s="32">
        <v>4.0</v>
      </c>
      <c r="J1536" s="34" t="str">
        <f t="shared" si="1"/>
        <v>Midwest</v>
      </c>
      <c r="K1536" s="35">
        <v>2.0</v>
      </c>
      <c r="L1536" s="35" t="s">
        <v>396</v>
      </c>
      <c r="M1536" s="36">
        <f>VLOOKUP(D1536, County_Data_CZones!$B$2:$F$3236, 2, FALSE)</f>
        <v>5</v>
      </c>
      <c r="N1536" s="37" t="str">
        <f>VLOOKUP(D1536, County_Data_CZones!$B$2:$F$3236, 5, FALSE)</f>
        <v>Cold</v>
      </c>
    </row>
    <row r="1537" ht="15.75" customHeight="1">
      <c r="A1537" s="32" t="s">
        <v>1138</v>
      </c>
      <c r="B1537" s="32" t="s">
        <v>1121</v>
      </c>
      <c r="C1537" s="32" t="str">
        <f>vlookup(B1537,State_EMM_RowSums!$A$2:$B$52,2,FALSE)</f>
        <v>MO</v>
      </c>
      <c r="D1537" s="32">
        <v>29105.0</v>
      </c>
      <c r="E1537" s="33">
        <f>IF(NOT(ISBLANK(vlookup($D1537,Pop_Census_2023!$A$2:$E$3220,4,FALSE))),vlookup($D1537,Pop_Census_2023!$A$2:$E$3220,4,FALSE), vlookup($D1537,Pop_Census_2023!$A$2:$E$3220,5,FALSE))</f>
        <v>36680</v>
      </c>
      <c r="F1537" s="32">
        <v>758507.0</v>
      </c>
      <c r="G1537" s="32">
        <v>84.0</v>
      </c>
      <c r="H1537" s="32" t="str">
        <f>VLOOKUP(D1537, Grid_Region_Mapping!$D$2:$F$5286, 3, FALSE)</f>
        <v>MISC</v>
      </c>
      <c r="I1537" s="32">
        <v>4.0</v>
      </c>
      <c r="J1537" s="34" t="str">
        <f t="shared" si="1"/>
        <v>Midwest</v>
      </c>
      <c r="K1537" s="35">
        <v>3.0</v>
      </c>
      <c r="L1537" s="35" t="s">
        <v>223</v>
      </c>
      <c r="M1537" s="36">
        <f>VLOOKUP(D1537, County_Data_CZones!$B$2:$F$3236, 2, FALSE)</f>
        <v>4</v>
      </c>
      <c r="N1537" s="37" t="str">
        <f>VLOOKUP(D1537, County_Data_CZones!$B$2:$F$3236, 5, FALSE)</f>
        <v>Mixed-Humid</v>
      </c>
    </row>
    <row r="1538" ht="15.75" customHeight="1">
      <c r="A1538" s="32" t="s">
        <v>249</v>
      </c>
      <c r="B1538" s="32" t="s">
        <v>1121</v>
      </c>
      <c r="C1538" s="32" t="str">
        <f>vlookup(B1538,State_EMM_RowSums!$A$2:$B$52,2,FALSE)</f>
        <v>MO</v>
      </c>
      <c r="D1538" s="32">
        <v>29107.0</v>
      </c>
      <c r="E1538" s="33">
        <f>IF(NOT(ISBLANK(vlookup($D1538,Pop_Census_2023!$A$2:$E$3220,4,FALSE))),vlookup($D1538,Pop_Census_2023!$A$2:$E$3220,4,FALSE), vlookup($D1538,Pop_Census_2023!$A$2:$E$3220,5,FALSE))</f>
        <v>33196</v>
      </c>
      <c r="F1538" s="32">
        <v>758508.0</v>
      </c>
      <c r="G1538" s="32">
        <v>54.0</v>
      </c>
      <c r="H1538" s="32" t="str">
        <f>VLOOKUP(D1538, Grid_Region_Mapping!$D$2:$F$5286, 3, FALSE)</f>
        <v>SPPC</v>
      </c>
      <c r="I1538" s="32">
        <v>4.0</v>
      </c>
      <c r="J1538" s="34" t="str">
        <f t="shared" si="1"/>
        <v>Midwest</v>
      </c>
      <c r="K1538" s="35">
        <v>3.0</v>
      </c>
      <c r="L1538" s="35" t="s">
        <v>223</v>
      </c>
      <c r="M1538" s="36">
        <f>VLOOKUP(D1538, County_Data_CZones!$B$2:$F$3236, 2, FALSE)</f>
        <v>4</v>
      </c>
      <c r="N1538" s="37" t="str">
        <f>VLOOKUP(D1538, County_Data_CZones!$B$2:$F$3236, 5, FALSE)</f>
        <v>Mixed-Humid</v>
      </c>
    </row>
    <row r="1539" ht="15.75" customHeight="1">
      <c r="A1539" s="32" t="s">
        <v>142</v>
      </c>
      <c r="B1539" s="32" t="s">
        <v>1121</v>
      </c>
      <c r="C1539" s="32" t="str">
        <f>vlookup(B1539,State_EMM_RowSums!$A$2:$B$52,2,FALSE)</f>
        <v>MO</v>
      </c>
      <c r="D1539" s="32">
        <v>29109.0</v>
      </c>
      <c r="E1539" s="33">
        <f>IF(NOT(ISBLANK(vlookup($D1539,Pop_Census_2023!$A$2:$E$3220,4,FALSE))),vlookup($D1539,Pop_Census_2023!$A$2:$E$3220,4,FALSE), vlookup($D1539,Pop_Census_2023!$A$2:$E$3220,5,FALSE))</f>
        <v>38872</v>
      </c>
      <c r="F1539" s="32">
        <v>758509.0</v>
      </c>
      <c r="G1539" s="32">
        <v>55.0</v>
      </c>
      <c r="H1539" s="32" t="str">
        <f>VLOOKUP(D1539, Grid_Region_Mapping!$D$2:$F$5286, 3, FALSE)</f>
        <v>SPPC</v>
      </c>
      <c r="I1539" s="32">
        <v>4.0</v>
      </c>
      <c r="J1539" s="34" t="str">
        <f t="shared" si="1"/>
        <v>Midwest</v>
      </c>
      <c r="K1539" s="35">
        <v>3.0</v>
      </c>
      <c r="L1539" s="35" t="s">
        <v>223</v>
      </c>
      <c r="M1539" s="36">
        <f>VLOOKUP(D1539, County_Data_CZones!$B$2:$F$3236, 2, FALSE)</f>
        <v>4</v>
      </c>
      <c r="N1539" s="37" t="str">
        <f>VLOOKUP(D1539, County_Data_CZones!$B$2:$F$3236, 5, FALSE)</f>
        <v>Mixed-Humid</v>
      </c>
    </row>
    <row r="1540" ht="15.75" customHeight="1">
      <c r="A1540" s="32" t="s">
        <v>597</v>
      </c>
      <c r="B1540" s="32" t="s">
        <v>1121</v>
      </c>
      <c r="C1540" s="32" t="str">
        <f>vlookup(B1540,State_EMM_RowSums!$A$2:$B$52,2,FALSE)</f>
        <v>MO</v>
      </c>
      <c r="D1540" s="32">
        <v>29111.0</v>
      </c>
      <c r="E1540" s="33">
        <f>IF(NOT(ISBLANK(vlookup($D1540,Pop_Census_2023!$A$2:$E$3220,4,FALSE))),vlookup($D1540,Pop_Census_2023!$A$2:$E$3220,4,FALSE), vlookup($D1540,Pop_Census_2023!$A$2:$E$3220,5,FALSE))</f>
        <v>9818</v>
      </c>
      <c r="F1540" s="32">
        <v>758510.0</v>
      </c>
      <c r="G1540" s="32">
        <v>71.0</v>
      </c>
      <c r="H1540" s="32" t="str">
        <f>VLOOKUP(D1540, Grid_Region_Mapping!$D$2:$F$5286, 3, FALSE)</f>
        <v>MISC</v>
      </c>
      <c r="I1540" s="32">
        <v>4.0</v>
      </c>
      <c r="J1540" s="34" t="str">
        <f t="shared" si="1"/>
        <v>Midwest</v>
      </c>
      <c r="K1540" s="35">
        <v>2.0</v>
      </c>
      <c r="L1540" s="35" t="s">
        <v>396</v>
      </c>
      <c r="M1540" s="36">
        <f>VLOOKUP(D1540, County_Data_CZones!$B$2:$F$3236, 2, FALSE)</f>
        <v>5</v>
      </c>
      <c r="N1540" s="37" t="str">
        <f>VLOOKUP(D1540, County_Data_CZones!$B$2:$F$3236, 5, FALSE)</f>
        <v>Cold</v>
      </c>
    </row>
    <row r="1541" ht="15.75" customHeight="1">
      <c r="A1541" s="32" t="s">
        <v>250</v>
      </c>
      <c r="B1541" s="32" t="s">
        <v>1121</v>
      </c>
      <c r="C1541" s="32" t="str">
        <f>vlookup(B1541,State_EMM_RowSums!$A$2:$B$52,2,FALSE)</f>
        <v>MO</v>
      </c>
      <c r="D1541" s="32">
        <v>29113.0</v>
      </c>
      <c r="E1541" s="33">
        <f>IF(NOT(ISBLANK(vlookup($D1541,Pop_Census_2023!$A$2:$E$3220,4,FALSE))),vlookup($D1541,Pop_Census_2023!$A$2:$E$3220,4,FALSE), vlookup($D1541,Pop_Census_2023!$A$2:$E$3220,5,FALSE))</f>
        <v>64699</v>
      </c>
      <c r="F1541" s="32">
        <v>758511.0</v>
      </c>
      <c r="G1541" s="32">
        <v>72.0</v>
      </c>
      <c r="H1541" s="32" t="str">
        <f>VLOOKUP(D1541, Grid_Region_Mapping!$D$2:$F$5286, 3, FALSE)</f>
        <v>MISC</v>
      </c>
      <c r="I1541" s="32">
        <v>4.0</v>
      </c>
      <c r="J1541" s="34" t="str">
        <f t="shared" si="1"/>
        <v>Midwest</v>
      </c>
      <c r="K1541" s="35">
        <v>3.0</v>
      </c>
      <c r="L1541" s="35" t="s">
        <v>223</v>
      </c>
      <c r="M1541" s="36">
        <f>VLOOKUP(D1541, County_Data_CZones!$B$2:$F$3236, 2, FALSE)</f>
        <v>4</v>
      </c>
      <c r="N1541" s="37" t="str">
        <f>VLOOKUP(D1541, County_Data_CZones!$B$2:$F$3236, 5, FALSE)</f>
        <v>Mixed-Humid</v>
      </c>
    </row>
    <row r="1542" ht="15.75" customHeight="1">
      <c r="A1542" s="32" t="s">
        <v>726</v>
      </c>
      <c r="B1542" s="32" t="s">
        <v>1121</v>
      </c>
      <c r="C1542" s="32" t="str">
        <f>vlookup(B1542,State_EMM_RowSums!$A$2:$B$52,2,FALSE)</f>
        <v>MO</v>
      </c>
      <c r="D1542" s="32">
        <v>29115.0</v>
      </c>
      <c r="E1542" s="33">
        <f>IF(NOT(ISBLANK(vlookup($D1542,Pop_Census_2023!$A$2:$E$3220,4,FALSE))),vlookup($D1542,Pop_Census_2023!$A$2:$E$3220,4,FALSE), vlookup($D1542,Pop_Census_2023!$A$2:$E$3220,5,FALSE))</f>
        <v>11791</v>
      </c>
      <c r="F1542" s="32">
        <v>758512.0</v>
      </c>
      <c r="G1542" s="32">
        <v>54.0</v>
      </c>
      <c r="H1542" s="32" t="str">
        <f>VLOOKUP(D1542, Grid_Region_Mapping!$D$2:$F$5286, 3, FALSE)</f>
        <v>MISC</v>
      </c>
      <c r="I1542" s="32">
        <v>4.0</v>
      </c>
      <c r="J1542" s="34" t="str">
        <f t="shared" si="1"/>
        <v>Midwest</v>
      </c>
      <c r="K1542" s="35">
        <v>2.0</v>
      </c>
      <c r="L1542" s="35" t="s">
        <v>396</v>
      </c>
      <c r="M1542" s="36">
        <f>VLOOKUP(D1542, County_Data_CZones!$B$2:$F$3236, 2, FALSE)</f>
        <v>5</v>
      </c>
      <c r="N1542" s="37" t="str">
        <f>VLOOKUP(D1542, County_Data_CZones!$B$2:$F$3236, 5, FALSE)</f>
        <v>Cold</v>
      </c>
    </row>
    <row r="1543" ht="15.75" customHeight="1">
      <c r="A1543" s="32" t="s">
        <v>636</v>
      </c>
      <c r="B1543" s="32" t="s">
        <v>1121</v>
      </c>
      <c r="C1543" s="32" t="str">
        <f>vlookup(B1543,State_EMM_RowSums!$A$2:$B$52,2,FALSE)</f>
        <v>MO</v>
      </c>
      <c r="D1543" s="32">
        <v>29117.0</v>
      </c>
      <c r="E1543" s="33">
        <f>IF(NOT(ISBLANK(vlookup($D1543,Pop_Census_2023!$A$2:$E$3220,4,FALSE))),vlookup($D1543,Pop_Census_2023!$A$2:$E$3220,4,FALSE), vlookup($D1543,Pop_Census_2023!$A$2:$E$3220,5,FALSE))</f>
        <v>14557</v>
      </c>
      <c r="F1543" s="32">
        <v>758513.0</v>
      </c>
      <c r="G1543" s="32">
        <v>54.0</v>
      </c>
      <c r="H1543" s="32" t="str">
        <f>VLOOKUP(D1543, Grid_Region_Mapping!$D$2:$F$5286, 3, FALSE)</f>
        <v>SPPC</v>
      </c>
      <c r="I1543" s="32">
        <v>4.0</v>
      </c>
      <c r="J1543" s="34" t="str">
        <f t="shared" si="1"/>
        <v>Midwest</v>
      </c>
      <c r="K1543" s="35">
        <v>2.0</v>
      </c>
      <c r="L1543" s="35" t="s">
        <v>396</v>
      </c>
      <c r="M1543" s="36">
        <f>VLOOKUP(D1543, County_Data_CZones!$B$2:$F$3236, 2, FALSE)</f>
        <v>5</v>
      </c>
      <c r="N1543" s="37" t="str">
        <f>VLOOKUP(D1543, County_Data_CZones!$B$2:$F$3236, 5, FALSE)</f>
        <v>Cold</v>
      </c>
    </row>
    <row r="1544" ht="15.75" customHeight="1">
      <c r="A1544" s="32" t="s">
        <v>1139</v>
      </c>
      <c r="B1544" s="32" t="s">
        <v>1121</v>
      </c>
      <c r="C1544" s="32" t="str">
        <f>vlookup(B1544,State_EMM_RowSums!$A$2:$B$52,2,FALSE)</f>
        <v>MO</v>
      </c>
      <c r="D1544" s="32">
        <v>29119.0</v>
      </c>
      <c r="E1544" s="33">
        <f>IF(NOT(ISBLANK(vlookup($D1544,Pop_Census_2023!$A$2:$E$3220,4,FALSE))),vlookup($D1544,Pop_Census_2023!$A$2:$E$3220,4,FALSE), vlookup($D1544,Pop_Census_2023!$A$2:$E$3220,5,FALSE))</f>
        <v>23903</v>
      </c>
      <c r="F1544" s="32">
        <v>758518.0</v>
      </c>
      <c r="G1544" s="32">
        <v>55.0</v>
      </c>
      <c r="H1544" s="32" t="str">
        <f>VLOOKUP(D1544, Grid_Region_Mapping!$D$2:$F$5286, 3, FALSE)</f>
        <v>SPPC</v>
      </c>
      <c r="I1544" s="32">
        <v>4.0</v>
      </c>
      <c r="J1544" s="34" t="str">
        <f t="shared" si="1"/>
        <v>Midwest</v>
      </c>
      <c r="K1544" s="35">
        <v>3.0</v>
      </c>
      <c r="L1544" s="35" t="s">
        <v>223</v>
      </c>
      <c r="M1544" s="36">
        <f>VLOOKUP(D1544, County_Data_CZones!$B$2:$F$3236, 2, FALSE)</f>
        <v>4</v>
      </c>
      <c r="N1544" s="37" t="str">
        <f>VLOOKUP(D1544, County_Data_CZones!$B$2:$F$3236, 5, FALSE)</f>
        <v>Mixed-Humid</v>
      </c>
    </row>
    <row r="1545" ht="15.75" customHeight="1">
      <c r="A1545" s="32" t="s">
        <v>146</v>
      </c>
      <c r="B1545" s="32" t="s">
        <v>1121</v>
      </c>
      <c r="C1545" s="32" t="str">
        <f>vlookup(B1545,State_EMM_RowSums!$A$2:$B$52,2,FALSE)</f>
        <v>MO</v>
      </c>
      <c r="D1545" s="32">
        <v>29121.0</v>
      </c>
      <c r="E1545" s="33">
        <f>IF(NOT(ISBLANK(vlookup($D1545,Pop_Census_2023!$A$2:$E$3220,4,FALSE))),vlookup($D1545,Pop_Census_2023!$A$2:$E$3220,4,FALSE), vlookup($D1545,Pop_Census_2023!$A$2:$E$3220,5,FALSE))</f>
        <v>15161</v>
      </c>
      <c r="F1545" s="32">
        <v>758514.0</v>
      </c>
      <c r="G1545" s="32">
        <v>71.0</v>
      </c>
      <c r="H1545" s="32" t="str">
        <f>VLOOKUP(D1545, Grid_Region_Mapping!$D$2:$F$5286, 3, FALSE)</f>
        <v>MISC</v>
      </c>
      <c r="I1545" s="32">
        <v>4.0</v>
      </c>
      <c r="J1545" s="34" t="str">
        <f t="shared" si="1"/>
        <v>Midwest</v>
      </c>
      <c r="K1545" s="35">
        <v>2.0</v>
      </c>
      <c r="L1545" s="35" t="s">
        <v>396</v>
      </c>
      <c r="M1545" s="36">
        <f>VLOOKUP(D1545, County_Data_CZones!$B$2:$F$3236, 2, FALSE)</f>
        <v>5</v>
      </c>
      <c r="N1545" s="37" t="str">
        <f>VLOOKUP(D1545, County_Data_CZones!$B$2:$F$3236, 5, FALSE)</f>
        <v>Cold</v>
      </c>
    </row>
    <row r="1546" ht="15.75" customHeight="1">
      <c r="A1546" s="32" t="s">
        <v>147</v>
      </c>
      <c r="B1546" s="32" t="s">
        <v>1121</v>
      </c>
      <c r="C1546" s="32" t="str">
        <f>vlookup(B1546,State_EMM_RowSums!$A$2:$B$52,2,FALSE)</f>
        <v>MO</v>
      </c>
      <c r="D1546" s="32">
        <v>29123.0</v>
      </c>
      <c r="E1546" s="33">
        <f>IF(NOT(ISBLANK(vlookup($D1546,Pop_Census_2023!$A$2:$E$3220,4,FALSE))),vlookup($D1546,Pop_Census_2023!$A$2:$E$3220,4,FALSE), vlookup($D1546,Pop_Census_2023!$A$2:$E$3220,5,FALSE))</f>
        <v>12698</v>
      </c>
      <c r="F1546" s="32">
        <v>758515.0</v>
      </c>
      <c r="G1546" s="32">
        <v>73.0</v>
      </c>
      <c r="H1546" s="32" t="str">
        <f>VLOOKUP(D1546, Grid_Region_Mapping!$D$2:$F$5286, 3, FALSE)</f>
        <v>MISC</v>
      </c>
      <c r="I1546" s="32">
        <v>4.0</v>
      </c>
      <c r="J1546" s="34" t="str">
        <f t="shared" si="1"/>
        <v>Midwest</v>
      </c>
      <c r="K1546" s="35">
        <v>3.0</v>
      </c>
      <c r="L1546" s="35" t="s">
        <v>223</v>
      </c>
      <c r="M1546" s="36">
        <f>VLOOKUP(D1546, County_Data_CZones!$B$2:$F$3236, 2, FALSE)</f>
        <v>4</v>
      </c>
      <c r="N1546" s="37" t="str">
        <f>VLOOKUP(D1546, County_Data_CZones!$B$2:$F$3236, 5, FALSE)</f>
        <v>Mixed-Humid</v>
      </c>
    </row>
    <row r="1547" ht="15.75" customHeight="1">
      <c r="A1547" s="32" t="s">
        <v>1140</v>
      </c>
      <c r="B1547" s="32" t="s">
        <v>1121</v>
      </c>
      <c r="C1547" s="32" t="str">
        <f>vlookup(B1547,State_EMM_RowSums!$A$2:$B$52,2,FALSE)</f>
        <v>MO</v>
      </c>
      <c r="D1547" s="32">
        <v>29125.0</v>
      </c>
      <c r="E1547" s="33">
        <f>IF(NOT(ISBLANK(vlookup($D1547,Pop_Census_2023!$A$2:$E$3220,4,FALSE))),vlookup($D1547,Pop_Census_2023!$A$2:$E$3220,4,FALSE), vlookup($D1547,Pop_Census_2023!$A$2:$E$3220,5,FALSE))</f>
        <v>8430</v>
      </c>
      <c r="F1547" s="32">
        <v>758516.0</v>
      </c>
      <c r="G1547" s="32">
        <v>72.0</v>
      </c>
      <c r="H1547" s="32" t="str">
        <f>VLOOKUP(D1547, Grid_Region_Mapping!$D$2:$F$5286, 3, FALSE)</f>
        <v>MISC</v>
      </c>
      <c r="I1547" s="32">
        <v>4.0</v>
      </c>
      <c r="J1547" s="34" t="str">
        <f t="shared" si="1"/>
        <v>Midwest</v>
      </c>
      <c r="K1547" s="35">
        <v>3.0</v>
      </c>
      <c r="L1547" s="35" t="s">
        <v>223</v>
      </c>
      <c r="M1547" s="36">
        <f>VLOOKUP(D1547, County_Data_CZones!$B$2:$F$3236, 2, FALSE)</f>
        <v>4</v>
      </c>
      <c r="N1547" s="37" t="str">
        <f>VLOOKUP(D1547, County_Data_CZones!$B$2:$F$3236, 5, FALSE)</f>
        <v>Mixed-Humid</v>
      </c>
    </row>
    <row r="1548" ht="15.75" customHeight="1">
      <c r="A1548" s="32" t="s">
        <v>149</v>
      </c>
      <c r="B1548" s="32" t="s">
        <v>1121</v>
      </c>
      <c r="C1548" s="32" t="str">
        <f>vlookup(B1548,State_EMM_RowSums!$A$2:$B$52,2,FALSE)</f>
        <v>MO</v>
      </c>
      <c r="D1548" s="32">
        <v>29127.0</v>
      </c>
      <c r="E1548" s="33">
        <f>IF(NOT(ISBLANK(vlookup($D1548,Pop_Census_2023!$A$2:$E$3220,4,FALSE))),vlookup($D1548,Pop_Census_2023!$A$2:$E$3220,4,FALSE), vlookup($D1548,Pop_Census_2023!$A$2:$E$3220,5,FALSE))</f>
        <v>28336</v>
      </c>
      <c r="F1548" s="32">
        <v>758517.0</v>
      </c>
      <c r="G1548" s="32">
        <v>71.0</v>
      </c>
      <c r="H1548" s="32" t="str">
        <f>VLOOKUP(D1548, Grid_Region_Mapping!$D$2:$F$5286, 3, FALSE)</f>
        <v>MISC</v>
      </c>
      <c r="I1548" s="32">
        <v>4.0</v>
      </c>
      <c r="J1548" s="34" t="str">
        <f t="shared" si="1"/>
        <v>Midwest</v>
      </c>
      <c r="K1548" s="35">
        <v>2.0</v>
      </c>
      <c r="L1548" s="35" t="s">
        <v>396</v>
      </c>
      <c r="M1548" s="36">
        <f>VLOOKUP(D1548, County_Data_CZones!$B$2:$F$3236, 2, FALSE)</f>
        <v>5</v>
      </c>
      <c r="N1548" s="37" t="str">
        <f>VLOOKUP(D1548, County_Data_CZones!$B$2:$F$3236, 5, FALSE)</f>
        <v>Cold</v>
      </c>
    </row>
    <row r="1549" ht="15.75" customHeight="1">
      <c r="A1549" s="32" t="s">
        <v>644</v>
      </c>
      <c r="B1549" s="32" t="s">
        <v>1121</v>
      </c>
      <c r="C1549" s="32" t="str">
        <f>vlookup(B1549,State_EMM_RowSums!$A$2:$B$52,2,FALSE)</f>
        <v>MO</v>
      </c>
      <c r="D1549" s="32">
        <v>29129.0</v>
      </c>
      <c r="E1549" s="33">
        <f>IF(NOT(ISBLANK(vlookup($D1549,Pop_Census_2023!$A$2:$E$3220,4,FALSE))),vlookup($D1549,Pop_Census_2023!$A$2:$E$3220,4,FALSE), vlookup($D1549,Pop_Census_2023!$A$2:$E$3220,5,FALSE))</f>
        <v>3469</v>
      </c>
      <c r="F1549" s="32">
        <v>758519.0</v>
      </c>
      <c r="G1549" s="32">
        <v>54.0</v>
      </c>
      <c r="H1549" s="32" t="str">
        <f>VLOOKUP(D1549, Grid_Region_Mapping!$D$2:$F$5286, 3, FALSE)</f>
        <v>SPPC</v>
      </c>
      <c r="I1549" s="32">
        <v>4.0</v>
      </c>
      <c r="J1549" s="34" t="str">
        <f t="shared" si="1"/>
        <v>Midwest</v>
      </c>
      <c r="K1549" s="35">
        <v>2.0</v>
      </c>
      <c r="L1549" s="35" t="s">
        <v>396</v>
      </c>
      <c r="M1549" s="36">
        <f>VLOOKUP(D1549, County_Data_CZones!$B$2:$F$3236, 2, FALSE)</f>
        <v>5</v>
      </c>
      <c r="N1549" s="37" t="str">
        <f>VLOOKUP(D1549, County_Data_CZones!$B$2:$F$3236, 5, FALSE)</f>
        <v>Cold</v>
      </c>
    </row>
    <row r="1550" ht="15.75" customHeight="1">
      <c r="A1550" s="32" t="s">
        <v>254</v>
      </c>
      <c r="B1550" s="32" t="s">
        <v>1121</v>
      </c>
      <c r="C1550" s="32" t="str">
        <f>vlookup(B1550,State_EMM_RowSums!$A$2:$B$52,2,FALSE)</f>
        <v>MO</v>
      </c>
      <c r="D1550" s="32">
        <v>29131.0</v>
      </c>
      <c r="E1550" s="33">
        <f>IF(NOT(ISBLANK(vlookup($D1550,Pop_Census_2023!$A$2:$E$3220,4,FALSE))),vlookup($D1550,Pop_Census_2023!$A$2:$E$3220,4,FALSE), vlookup($D1550,Pop_Census_2023!$A$2:$E$3220,5,FALSE))</f>
        <v>25590</v>
      </c>
      <c r="F1550" s="32">
        <v>758520.0</v>
      </c>
      <c r="G1550" s="32">
        <v>72.0</v>
      </c>
      <c r="H1550" s="32" t="str">
        <f>VLOOKUP(D1550, Grid_Region_Mapping!$D$2:$F$5286, 3, FALSE)</f>
        <v>MISC</v>
      </c>
      <c r="I1550" s="32">
        <v>4.0</v>
      </c>
      <c r="J1550" s="34" t="str">
        <f t="shared" si="1"/>
        <v>Midwest</v>
      </c>
      <c r="K1550" s="35">
        <v>3.0</v>
      </c>
      <c r="L1550" s="35" t="s">
        <v>223</v>
      </c>
      <c r="M1550" s="36">
        <f>VLOOKUP(D1550, County_Data_CZones!$B$2:$F$3236, 2, FALSE)</f>
        <v>4</v>
      </c>
      <c r="N1550" s="37" t="str">
        <f>VLOOKUP(D1550, County_Data_CZones!$B$2:$F$3236, 5, FALSE)</f>
        <v>Mixed-Humid</v>
      </c>
    </row>
    <row r="1551" ht="15.75" customHeight="1">
      <c r="A1551" s="32" t="s">
        <v>255</v>
      </c>
      <c r="B1551" s="32" t="s">
        <v>1121</v>
      </c>
      <c r="C1551" s="32" t="str">
        <f>vlookup(B1551,State_EMM_RowSums!$A$2:$B$52,2,FALSE)</f>
        <v>MO</v>
      </c>
      <c r="D1551" s="32">
        <v>29133.0</v>
      </c>
      <c r="E1551" s="33">
        <f>IF(NOT(ISBLANK(vlookup($D1551,Pop_Census_2023!$A$2:$E$3220,4,FALSE))),vlookup($D1551,Pop_Census_2023!$A$2:$E$3220,4,FALSE), vlookup($D1551,Pop_Census_2023!$A$2:$E$3220,5,FALSE))</f>
        <v>11822</v>
      </c>
      <c r="F1551" s="32">
        <v>758521.0</v>
      </c>
      <c r="G1551" s="32">
        <v>72.0</v>
      </c>
      <c r="H1551" s="32" t="str">
        <f>VLOOKUP(D1551, Grid_Region_Mapping!$D$2:$F$5286, 3, FALSE)</f>
        <v>MISC</v>
      </c>
      <c r="I1551" s="32">
        <v>4.0</v>
      </c>
      <c r="J1551" s="34" t="str">
        <f t="shared" si="1"/>
        <v>Midwest</v>
      </c>
      <c r="K1551" s="35">
        <v>3.0</v>
      </c>
      <c r="L1551" s="35" t="s">
        <v>223</v>
      </c>
      <c r="M1551" s="36">
        <f>VLOOKUP(D1551, County_Data_CZones!$B$2:$F$3236, 2, FALSE)</f>
        <v>4</v>
      </c>
      <c r="N1551" s="37" t="str">
        <f>VLOOKUP(D1551, County_Data_CZones!$B$2:$F$3236, 5, FALSE)</f>
        <v>Mixed-Humid</v>
      </c>
    </row>
    <row r="1552" ht="15.75" customHeight="1">
      <c r="A1552" s="32" t="s">
        <v>1141</v>
      </c>
      <c r="B1552" s="32" t="s">
        <v>1121</v>
      </c>
      <c r="C1552" s="32" t="str">
        <f>vlookup(B1552,State_EMM_RowSums!$A$2:$B$52,2,FALSE)</f>
        <v>MO</v>
      </c>
      <c r="D1552" s="32">
        <v>29135.0</v>
      </c>
      <c r="E1552" s="33">
        <f>IF(NOT(ISBLANK(vlookup($D1552,Pop_Census_2023!$A$2:$E$3220,4,FALSE))),vlookup($D1552,Pop_Census_2023!$A$2:$E$3220,4,FALSE), vlookup($D1552,Pop_Census_2023!$A$2:$E$3220,5,FALSE))</f>
        <v>15256</v>
      </c>
      <c r="F1552" s="32">
        <v>758522.0</v>
      </c>
      <c r="G1552" s="32">
        <v>72.0</v>
      </c>
      <c r="H1552" s="32" t="str">
        <f>VLOOKUP(D1552, Grid_Region_Mapping!$D$2:$F$5286, 3, FALSE)</f>
        <v>MISC</v>
      </c>
      <c r="I1552" s="32">
        <v>4.0</v>
      </c>
      <c r="J1552" s="34" t="str">
        <f t="shared" si="1"/>
        <v>Midwest</v>
      </c>
      <c r="K1552" s="35">
        <v>3.0</v>
      </c>
      <c r="L1552" s="35" t="s">
        <v>223</v>
      </c>
      <c r="M1552" s="36">
        <f>VLOOKUP(D1552, County_Data_CZones!$B$2:$F$3236, 2, FALSE)</f>
        <v>4</v>
      </c>
      <c r="N1552" s="37" t="str">
        <f>VLOOKUP(D1552, County_Data_CZones!$B$2:$F$3236, 5, FALSE)</f>
        <v>Mixed-Humid</v>
      </c>
    </row>
    <row r="1553" ht="15.75" customHeight="1">
      <c r="A1553" s="32" t="s">
        <v>152</v>
      </c>
      <c r="B1553" s="32" t="s">
        <v>1121</v>
      </c>
      <c r="C1553" s="32" t="str">
        <f>vlookup(B1553,State_EMM_RowSums!$A$2:$B$52,2,FALSE)</f>
        <v>MO</v>
      </c>
      <c r="D1553" s="32">
        <v>29137.0</v>
      </c>
      <c r="E1553" s="33">
        <f>IF(NOT(ISBLANK(vlookup($D1553,Pop_Census_2023!$A$2:$E$3220,4,FALSE))),vlookup($D1553,Pop_Census_2023!$A$2:$E$3220,4,FALSE), vlookup($D1553,Pop_Census_2023!$A$2:$E$3220,5,FALSE))</f>
        <v>8698</v>
      </c>
      <c r="F1553" s="32">
        <v>758523.0</v>
      </c>
      <c r="G1553" s="32">
        <v>71.0</v>
      </c>
      <c r="H1553" s="32" t="str">
        <f>VLOOKUP(D1553, Grid_Region_Mapping!$D$2:$F$5286, 3, FALSE)</f>
        <v>MISC</v>
      </c>
      <c r="I1553" s="32">
        <v>4.0</v>
      </c>
      <c r="J1553" s="34" t="str">
        <f t="shared" si="1"/>
        <v>Midwest</v>
      </c>
      <c r="K1553" s="35">
        <v>2.0</v>
      </c>
      <c r="L1553" s="35" t="s">
        <v>223</v>
      </c>
      <c r="M1553" s="36">
        <f>VLOOKUP(D1553, County_Data_CZones!$B$2:$F$3236, 2, FALSE)</f>
        <v>4</v>
      </c>
      <c r="N1553" s="37" t="str">
        <f>VLOOKUP(D1553, County_Data_CZones!$B$2:$F$3236, 5, FALSE)</f>
        <v>Mixed-Humid</v>
      </c>
    </row>
    <row r="1554" ht="15.75" customHeight="1">
      <c r="A1554" s="32" t="s">
        <v>153</v>
      </c>
      <c r="B1554" s="32" t="s">
        <v>1121</v>
      </c>
      <c r="C1554" s="32" t="str">
        <f>vlookup(B1554,State_EMM_RowSums!$A$2:$B$52,2,FALSE)</f>
        <v>MO</v>
      </c>
      <c r="D1554" s="32">
        <v>29139.0</v>
      </c>
      <c r="E1554" s="33">
        <f>IF(NOT(ISBLANK(vlookup($D1554,Pop_Census_2023!$A$2:$E$3220,4,FALSE))),vlookup($D1554,Pop_Census_2023!$A$2:$E$3220,4,FALSE), vlookup($D1554,Pop_Census_2023!$A$2:$E$3220,5,FALSE))</f>
        <v>11459</v>
      </c>
      <c r="F1554" s="32">
        <v>758524.0</v>
      </c>
      <c r="G1554" s="32">
        <v>72.0</v>
      </c>
      <c r="H1554" s="32" t="str">
        <f>VLOOKUP(D1554, Grid_Region_Mapping!$D$2:$F$5286, 3, FALSE)</f>
        <v>MISC</v>
      </c>
      <c r="I1554" s="32">
        <v>4.0</v>
      </c>
      <c r="J1554" s="34" t="str">
        <f t="shared" si="1"/>
        <v>Midwest</v>
      </c>
      <c r="K1554" s="35">
        <v>3.0</v>
      </c>
      <c r="L1554" s="35" t="s">
        <v>223</v>
      </c>
      <c r="M1554" s="36">
        <f>VLOOKUP(D1554, County_Data_CZones!$B$2:$F$3236, 2, FALSE)</f>
        <v>4</v>
      </c>
      <c r="N1554" s="37" t="str">
        <f>VLOOKUP(D1554, County_Data_CZones!$B$2:$F$3236, 5, FALSE)</f>
        <v>Mixed-Humid</v>
      </c>
    </row>
    <row r="1555" ht="15.75" customHeight="1">
      <c r="A1555" s="32" t="s">
        <v>154</v>
      </c>
      <c r="B1555" s="32" t="s">
        <v>1121</v>
      </c>
      <c r="C1555" s="32" t="str">
        <f>vlookup(B1555,State_EMM_RowSums!$A$2:$B$52,2,FALSE)</f>
        <v>MO</v>
      </c>
      <c r="D1555" s="32">
        <v>29141.0</v>
      </c>
      <c r="E1555" s="33">
        <f>IF(NOT(ISBLANK(vlookup($D1555,Pop_Census_2023!$A$2:$E$3220,4,FALSE))),vlookup($D1555,Pop_Census_2023!$A$2:$E$3220,4,FALSE), vlookup($D1555,Pop_Census_2023!$A$2:$E$3220,5,FALSE))</f>
        <v>21970</v>
      </c>
      <c r="F1555" s="32">
        <v>758525.0</v>
      </c>
      <c r="G1555" s="32">
        <v>72.0</v>
      </c>
      <c r="H1555" s="32" t="str">
        <f>VLOOKUP(D1555, Grid_Region_Mapping!$D$2:$F$5286, 3, FALSE)</f>
        <v>MISC</v>
      </c>
      <c r="I1555" s="32">
        <v>4.0</v>
      </c>
      <c r="J1555" s="34" t="str">
        <f t="shared" si="1"/>
        <v>Midwest</v>
      </c>
      <c r="K1555" s="35">
        <v>3.0</v>
      </c>
      <c r="L1555" s="35" t="s">
        <v>223</v>
      </c>
      <c r="M1555" s="36">
        <f>VLOOKUP(D1555, County_Data_CZones!$B$2:$F$3236, 2, FALSE)</f>
        <v>4</v>
      </c>
      <c r="N1555" s="37" t="str">
        <f>VLOOKUP(D1555, County_Data_CZones!$B$2:$F$3236, 5, FALSE)</f>
        <v>Mixed-Humid</v>
      </c>
    </row>
    <row r="1556" ht="15.75" customHeight="1">
      <c r="A1556" s="32" t="s">
        <v>1142</v>
      </c>
      <c r="B1556" s="32" t="s">
        <v>1121</v>
      </c>
      <c r="C1556" s="32" t="str">
        <f>vlookup(B1556,State_EMM_RowSums!$A$2:$B$52,2,FALSE)</f>
        <v>MO</v>
      </c>
      <c r="D1556" s="32">
        <v>29143.0</v>
      </c>
      <c r="E1556" s="33">
        <f>IF(NOT(ISBLANK(vlookup($D1556,Pop_Census_2023!$A$2:$E$3220,4,FALSE))),vlookup($D1556,Pop_Census_2023!$A$2:$E$3220,4,FALSE), vlookup($D1556,Pop_Census_2023!$A$2:$E$3220,5,FALSE))</f>
        <v>15424</v>
      </c>
      <c r="F1556" s="32">
        <v>758526.0</v>
      </c>
      <c r="G1556" s="32">
        <v>84.0</v>
      </c>
      <c r="H1556" s="32" t="str">
        <f>VLOOKUP(D1556, Grid_Region_Mapping!$D$2:$F$5286, 3, FALSE)</f>
        <v>MISC</v>
      </c>
      <c r="I1556" s="32">
        <v>4.0</v>
      </c>
      <c r="J1556" s="34" t="str">
        <f t="shared" si="1"/>
        <v>Midwest</v>
      </c>
      <c r="K1556" s="35">
        <v>3.0</v>
      </c>
      <c r="L1556" s="35" t="s">
        <v>223</v>
      </c>
      <c r="M1556" s="36">
        <f>VLOOKUP(D1556, County_Data_CZones!$B$2:$F$3236, 2, FALSE)</f>
        <v>4</v>
      </c>
      <c r="N1556" s="37" t="str">
        <f>VLOOKUP(D1556, County_Data_CZones!$B$2:$F$3236, 5, FALSE)</f>
        <v>Mixed-Humid</v>
      </c>
    </row>
    <row r="1557" ht="15.75" customHeight="1">
      <c r="A1557" s="32" t="s">
        <v>257</v>
      </c>
      <c r="B1557" s="32" t="s">
        <v>1121</v>
      </c>
      <c r="C1557" s="32" t="str">
        <f>vlookup(B1557,State_EMM_RowSums!$A$2:$B$52,2,FALSE)</f>
        <v>MO</v>
      </c>
      <c r="D1557" s="32">
        <v>29145.0</v>
      </c>
      <c r="E1557" s="33">
        <f>IF(NOT(ISBLANK(vlookup($D1557,Pop_Census_2023!$A$2:$E$3220,4,FALSE))),vlookup($D1557,Pop_Census_2023!$A$2:$E$3220,4,FALSE), vlookup($D1557,Pop_Census_2023!$A$2:$E$3220,5,FALSE))</f>
        <v>60677</v>
      </c>
      <c r="F1557" s="32">
        <v>758527.0</v>
      </c>
      <c r="G1557" s="32">
        <v>55.0</v>
      </c>
      <c r="H1557" s="32" t="str">
        <f>VLOOKUP(D1557, Grid_Region_Mapping!$D$2:$F$5286, 3, FALSE)</f>
        <v>SPPC</v>
      </c>
      <c r="I1557" s="32">
        <v>4.0</v>
      </c>
      <c r="J1557" s="34" t="str">
        <f t="shared" si="1"/>
        <v>Midwest</v>
      </c>
      <c r="K1557" s="35">
        <v>3.0</v>
      </c>
      <c r="L1557" s="35" t="s">
        <v>223</v>
      </c>
      <c r="M1557" s="36">
        <f>VLOOKUP(D1557, County_Data_CZones!$B$2:$F$3236, 2, FALSE)</f>
        <v>4</v>
      </c>
      <c r="N1557" s="37" t="str">
        <f>VLOOKUP(D1557, County_Data_CZones!$B$2:$F$3236, 5, FALSE)</f>
        <v>Mixed-Humid</v>
      </c>
    </row>
    <row r="1558" ht="15.75" customHeight="1">
      <c r="A1558" s="32" t="s">
        <v>1143</v>
      </c>
      <c r="B1558" s="32" t="s">
        <v>1121</v>
      </c>
      <c r="C1558" s="32" t="str">
        <f>vlookup(B1558,State_EMM_RowSums!$A$2:$B$52,2,FALSE)</f>
        <v>MO</v>
      </c>
      <c r="D1558" s="32">
        <v>29147.0</v>
      </c>
      <c r="E1558" s="33">
        <f>IF(NOT(ISBLANK(vlookup($D1558,Pop_Census_2023!$A$2:$E$3220,4,FALSE))),vlookup($D1558,Pop_Census_2023!$A$2:$E$3220,4,FALSE), vlookup($D1558,Pop_Census_2023!$A$2:$E$3220,5,FALSE))</f>
        <v>20695</v>
      </c>
      <c r="F1558" s="32">
        <v>758528.0</v>
      </c>
      <c r="G1558" s="32">
        <v>54.0</v>
      </c>
      <c r="H1558" s="32" t="str">
        <f>VLOOKUP(D1558, Grid_Region_Mapping!$D$2:$F$5286, 3, FALSE)</f>
        <v>SPPC</v>
      </c>
      <c r="I1558" s="32">
        <v>4.0</v>
      </c>
      <c r="J1558" s="34" t="str">
        <f t="shared" si="1"/>
        <v>Midwest</v>
      </c>
      <c r="K1558" s="35">
        <v>2.0</v>
      </c>
      <c r="L1558" s="35" t="s">
        <v>396</v>
      </c>
      <c r="M1558" s="36">
        <f>VLOOKUP(D1558, County_Data_CZones!$B$2:$F$3236, 2, FALSE)</f>
        <v>5</v>
      </c>
      <c r="N1558" s="37" t="str">
        <f>VLOOKUP(D1558, County_Data_CZones!$B$2:$F$3236, 5, FALSE)</f>
        <v>Cold</v>
      </c>
    </row>
    <row r="1559" ht="15.75" customHeight="1">
      <c r="A1559" s="32" t="s">
        <v>1144</v>
      </c>
      <c r="B1559" s="32" t="s">
        <v>1121</v>
      </c>
      <c r="C1559" s="32" t="str">
        <f>vlookup(B1559,State_EMM_RowSums!$A$2:$B$52,2,FALSE)</f>
        <v>MO</v>
      </c>
      <c r="D1559" s="32">
        <v>29149.0</v>
      </c>
      <c r="E1559" s="33">
        <f>IF(NOT(ISBLANK(vlookup($D1559,Pop_Census_2023!$A$2:$E$3220,4,FALSE))),vlookup($D1559,Pop_Census_2023!$A$2:$E$3220,4,FALSE), vlookup($D1559,Pop_Census_2023!$A$2:$E$3220,5,FALSE))</f>
        <v>8720</v>
      </c>
      <c r="F1559" s="32">
        <v>758529.0</v>
      </c>
      <c r="G1559" s="32">
        <v>84.0</v>
      </c>
      <c r="H1559" s="32" t="str">
        <f>VLOOKUP(D1559, Grid_Region_Mapping!$D$2:$F$5286, 3, FALSE)</f>
        <v>MISC</v>
      </c>
      <c r="I1559" s="32">
        <v>4.0</v>
      </c>
      <c r="J1559" s="34" t="str">
        <f t="shared" si="1"/>
        <v>Midwest</v>
      </c>
      <c r="K1559" s="35">
        <v>3.0</v>
      </c>
      <c r="L1559" s="35" t="s">
        <v>223</v>
      </c>
      <c r="M1559" s="36">
        <f>VLOOKUP(D1559, County_Data_CZones!$B$2:$F$3236, 2, FALSE)</f>
        <v>4</v>
      </c>
      <c r="N1559" s="37" t="str">
        <f>VLOOKUP(D1559, County_Data_CZones!$B$2:$F$3236, 5, FALSE)</f>
        <v>Mixed-Humid</v>
      </c>
    </row>
    <row r="1560" ht="15.75" customHeight="1">
      <c r="A1560" s="32" t="s">
        <v>790</v>
      </c>
      <c r="B1560" s="32" t="s">
        <v>1121</v>
      </c>
      <c r="C1560" s="32" t="str">
        <f>vlookup(B1560,State_EMM_RowSums!$A$2:$B$52,2,FALSE)</f>
        <v>MO</v>
      </c>
      <c r="D1560" s="32">
        <v>29151.0</v>
      </c>
      <c r="E1560" s="33">
        <f>IF(NOT(ISBLANK(vlookup($D1560,Pop_Census_2023!$A$2:$E$3220,4,FALSE))),vlookup($D1560,Pop_Census_2023!$A$2:$E$3220,4,FALSE), vlookup($D1560,Pop_Census_2023!$A$2:$E$3220,5,FALSE))</f>
        <v>13468</v>
      </c>
      <c r="F1560" s="32">
        <v>758530.0</v>
      </c>
      <c r="G1560" s="32">
        <v>72.0</v>
      </c>
      <c r="H1560" s="32" t="str">
        <f>VLOOKUP(D1560, Grid_Region_Mapping!$D$2:$F$5286, 3, FALSE)</f>
        <v>MISC</v>
      </c>
      <c r="I1560" s="32">
        <v>4.0</v>
      </c>
      <c r="J1560" s="34" t="str">
        <f t="shared" si="1"/>
        <v>Midwest</v>
      </c>
      <c r="K1560" s="35">
        <v>3.0</v>
      </c>
      <c r="L1560" s="35" t="s">
        <v>223</v>
      </c>
      <c r="M1560" s="36">
        <f>VLOOKUP(D1560, County_Data_CZones!$B$2:$F$3236, 2, FALSE)</f>
        <v>4</v>
      </c>
      <c r="N1560" s="37" t="str">
        <f>VLOOKUP(D1560, County_Data_CZones!$B$2:$F$3236, 5, FALSE)</f>
        <v>Mixed-Humid</v>
      </c>
    </row>
    <row r="1561" ht="15.75" customHeight="1">
      <c r="A1561" s="32" t="s">
        <v>1145</v>
      </c>
      <c r="B1561" s="32" t="s">
        <v>1121</v>
      </c>
      <c r="C1561" s="32" t="str">
        <f>vlookup(B1561,State_EMM_RowSums!$A$2:$B$52,2,FALSE)</f>
        <v>MO</v>
      </c>
      <c r="D1561" s="32">
        <v>29153.0</v>
      </c>
      <c r="E1561" s="33">
        <f>IF(NOT(ISBLANK(vlookup($D1561,Pop_Census_2023!$A$2:$E$3220,4,FALSE))),vlookup($D1561,Pop_Census_2023!$A$2:$E$3220,4,FALSE), vlookup($D1561,Pop_Census_2023!$A$2:$E$3220,5,FALSE))</f>
        <v>8970</v>
      </c>
      <c r="F1561" s="32">
        <v>758531.0</v>
      </c>
      <c r="G1561" s="32">
        <v>55.0</v>
      </c>
      <c r="H1561" s="32" t="str">
        <f>VLOOKUP(D1561, Grid_Region_Mapping!$D$2:$F$5286, 3, FALSE)</f>
        <v>SPPC</v>
      </c>
      <c r="I1561" s="32">
        <v>4.0</v>
      </c>
      <c r="J1561" s="34" t="str">
        <f t="shared" si="1"/>
        <v>Midwest</v>
      </c>
      <c r="K1561" s="35">
        <v>3.0</v>
      </c>
      <c r="L1561" s="35" t="s">
        <v>223</v>
      </c>
      <c r="M1561" s="36">
        <f>VLOOKUP(D1561, County_Data_CZones!$B$2:$F$3236, 2, FALSE)</f>
        <v>4</v>
      </c>
      <c r="N1561" s="37" t="str">
        <f>VLOOKUP(D1561, County_Data_CZones!$B$2:$F$3236, 5, FALSE)</f>
        <v>Mixed-Humid</v>
      </c>
    </row>
    <row r="1562" ht="15.75" customHeight="1">
      <c r="A1562" s="32" t="s">
        <v>1146</v>
      </c>
      <c r="B1562" s="32" t="s">
        <v>1121</v>
      </c>
      <c r="C1562" s="32" t="str">
        <f>vlookup(B1562,State_EMM_RowSums!$A$2:$B$52,2,FALSE)</f>
        <v>MO</v>
      </c>
      <c r="D1562" s="32">
        <v>29155.0</v>
      </c>
      <c r="E1562" s="33">
        <f>IF(NOT(ISBLANK(vlookup($D1562,Pop_Census_2023!$A$2:$E$3220,4,FALSE))),vlookup($D1562,Pop_Census_2023!$A$2:$E$3220,4,FALSE), vlookup($D1562,Pop_Census_2023!$A$2:$E$3220,5,FALSE))</f>
        <v>14613</v>
      </c>
      <c r="F1562" s="32">
        <v>758532.0</v>
      </c>
      <c r="G1562" s="32">
        <v>84.0</v>
      </c>
      <c r="H1562" s="32" t="str">
        <f>VLOOKUP(D1562, Grid_Region_Mapping!$D$2:$F$5286, 3, FALSE)</f>
        <v>MISC</v>
      </c>
      <c r="I1562" s="32">
        <v>4.0</v>
      </c>
      <c r="J1562" s="34" t="str">
        <f t="shared" si="1"/>
        <v>Midwest</v>
      </c>
      <c r="K1562" s="35">
        <v>3.0</v>
      </c>
      <c r="L1562" s="35" t="s">
        <v>223</v>
      </c>
      <c r="M1562" s="36">
        <f>VLOOKUP(D1562, County_Data_CZones!$B$2:$F$3236, 2, FALSE)</f>
        <v>4</v>
      </c>
      <c r="N1562" s="37" t="str">
        <f>VLOOKUP(D1562, County_Data_CZones!$B$2:$F$3236, 5, FALSE)</f>
        <v>Mixed-Humid</v>
      </c>
    </row>
    <row r="1563" ht="15.75" customHeight="1">
      <c r="A1563" s="32" t="s">
        <v>155</v>
      </c>
      <c r="B1563" s="32" t="s">
        <v>1121</v>
      </c>
      <c r="C1563" s="32" t="str">
        <f>vlookup(B1563,State_EMM_RowSums!$A$2:$B$52,2,FALSE)</f>
        <v>MO</v>
      </c>
      <c r="D1563" s="32">
        <v>29157.0</v>
      </c>
      <c r="E1563" s="33">
        <f>IF(NOT(ISBLANK(vlookup($D1563,Pop_Census_2023!$A$2:$E$3220,4,FALSE))),vlookup($D1563,Pop_Census_2023!$A$2:$E$3220,4,FALSE), vlookup($D1563,Pop_Census_2023!$A$2:$E$3220,5,FALSE))</f>
        <v>18950</v>
      </c>
      <c r="F1563" s="32">
        <v>758533.0</v>
      </c>
      <c r="G1563" s="32">
        <v>72.0</v>
      </c>
      <c r="H1563" s="32" t="str">
        <f>VLOOKUP(D1563, Grid_Region_Mapping!$D$2:$F$5286, 3, FALSE)</f>
        <v>MISC</v>
      </c>
      <c r="I1563" s="32">
        <v>4.0</v>
      </c>
      <c r="J1563" s="34" t="str">
        <f t="shared" si="1"/>
        <v>Midwest</v>
      </c>
      <c r="K1563" s="35">
        <v>3.0</v>
      </c>
      <c r="L1563" s="35" t="s">
        <v>223</v>
      </c>
      <c r="M1563" s="36">
        <f>VLOOKUP(D1563, County_Data_CZones!$B$2:$F$3236, 2, FALSE)</f>
        <v>4</v>
      </c>
      <c r="N1563" s="37" t="str">
        <f>VLOOKUP(D1563, County_Data_CZones!$B$2:$F$3236, 5, FALSE)</f>
        <v>Mixed-Humid</v>
      </c>
    </row>
    <row r="1564" ht="15.75" customHeight="1">
      <c r="A1564" s="32" t="s">
        <v>1147</v>
      </c>
      <c r="B1564" s="32" t="s">
        <v>1121</v>
      </c>
      <c r="C1564" s="32" t="str">
        <f>vlookup(B1564,State_EMM_RowSums!$A$2:$B$52,2,FALSE)</f>
        <v>MO</v>
      </c>
      <c r="D1564" s="32">
        <v>29159.0</v>
      </c>
      <c r="E1564" s="33">
        <f>IF(NOT(ISBLANK(vlookup($D1564,Pop_Census_2023!$A$2:$E$3220,4,FALSE))),vlookup($D1564,Pop_Census_2023!$A$2:$E$3220,4,FALSE), vlookup($D1564,Pop_Census_2023!$A$2:$E$3220,5,FALSE))</f>
        <v>43530</v>
      </c>
      <c r="F1564" s="32">
        <v>758534.0</v>
      </c>
      <c r="G1564" s="32">
        <v>54.0</v>
      </c>
      <c r="H1564" s="32" t="str">
        <f>VLOOKUP(D1564, Grid_Region_Mapping!$D$2:$F$5286, 3, FALSE)</f>
        <v>SPPC</v>
      </c>
      <c r="I1564" s="32">
        <v>4.0</v>
      </c>
      <c r="J1564" s="34" t="str">
        <f t="shared" si="1"/>
        <v>Midwest</v>
      </c>
      <c r="K1564" s="35">
        <v>3.0</v>
      </c>
      <c r="L1564" s="35" t="s">
        <v>223</v>
      </c>
      <c r="M1564" s="36">
        <f>VLOOKUP(D1564, County_Data_CZones!$B$2:$F$3236, 2, FALSE)</f>
        <v>4</v>
      </c>
      <c r="N1564" s="37" t="str">
        <f>VLOOKUP(D1564, County_Data_CZones!$B$2:$F$3236, 5, FALSE)</f>
        <v>Mixed-Humid</v>
      </c>
    </row>
    <row r="1565" ht="15.75" customHeight="1">
      <c r="A1565" s="32" t="s">
        <v>1148</v>
      </c>
      <c r="B1565" s="32" t="s">
        <v>1121</v>
      </c>
      <c r="C1565" s="32" t="str">
        <f>vlookup(B1565,State_EMM_RowSums!$A$2:$B$52,2,FALSE)</f>
        <v>MO</v>
      </c>
      <c r="D1565" s="32">
        <v>29161.0</v>
      </c>
      <c r="E1565" s="33">
        <f>IF(NOT(ISBLANK(vlookup($D1565,Pop_Census_2023!$A$2:$E$3220,4,FALSE))),vlookup($D1565,Pop_Census_2023!$A$2:$E$3220,4,FALSE), vlookup($D1565,Pop_Census_2023!$A$2:$E$3220,5,FALSE))</f>
        <v>45284</v>
      </c>
      <c r="F1565" s="32">
        <v>758535.0</v>
      </c>
      <c r="G1565" s="32">
        <v>73.0</v>
      </c>
      <c r="H1565" s="32" t="str">
        <f>VLOOKUP(D1565, Grid_Region_Mapping!$D$2:$F$5286, 3, FALSE)</f>
        <v>MISC</v>
      </c>
      <c r="I1565" s="32">
        <v>4.0</v>
      </c>
      <c r="J1565" s="34" t="str">
        <f t="shared" si="1"/>
        <v>Midwest</v>
      </c>
      <c r="K1565" s="35">
        <v>3.0</v>
      </c>
      <c r="L1565" s="35" t="s">
        <v>223</v>
      </c>
      <c r="M1565" s="36">
        <f>VLOOKUP(D1565, County_Data_CZones!$B$2:$F$3236, 2, FALSE)</f>
        <v>4</v>
      </c>
      <c r="N1565" s="37" t="str">
        <f>VLOOKUP(D1565, County_Data_CZones!$B$2:$F$3236, 5, FALSE)</f>
        <v>Mixed-Humid</v>
      </c>
    </row>
    <row r="1566" ht="15.75" customHeight="1">
      <c r="A1566" s="32" t="s">
        <v>157</v>
      </c>
      <c r="B1566" s="32" t="s">
        <v>1121</v>
      </c>
      <c r="C1566" s="32" t="str">
        <f>vlookup(B1566,State_EMM_RowSums!$A$2:$B$52,2,FALSE)</f>
        <v>MO</v>
      </c>
      <c r="D1566" s="32">
        <v>29163.0</v>
      </c>
      <c r="E1566" s="33">
        <f>IF(NOT(ISBLANK(vlookup($D1566,Pop_Census_2023!$A$2:$E$3220,4,FALSE))),vlookup($D1566,Pop_Census_2023!$A$2:$E$3220,4,FALSE), vlookup($D1566,Pop_Census_2023!$A$2:$E$3220,5,FALSE))</f>
        <v>17935</v>
      </c>
      <c r="F1566" s="32">
        <v>758536.0</v>
      </c>
      <c r="G1566" s="32">
        <v>72.0</v>
      </c>
      <c r="H1566" s="32" t="str">
        <f>VLOOKUP(D1566, Grid_Region_Mapping!$D$2:$F$5286, 3, FALSE)</f>
        <v>MISC</v>
      </c>
      <c r="I1566" s="32">
        <v>4.0</v>
      </c>
      <c r="J1566" s="34" t="str">
        <f t="shared" si="1"/>
        <v>Midwest</v>
      </c>
      <c r="K1566" s="35">
        <v>2.0</v>
      </c>
      <c r="L1566" s="35" t="s">
        <v>396</v>
      </c>
      <c r="M1566" s="36">
        <f>VLOOKUP(D1566, County_Data_CZones!$B$2:$F$3236, 2, FALSE)</f>
        <v>5</v>
      </c>
      <c r="N1566" s="37" t="str">
        <f>VLOOKUP(D1566, County_Data_CZones!$B$2:$F$3236, 5, FALSE)</f>
        <v>Cold</v>
      </c>
    </row>
    <row r="1567" ht="15.75" customHeight="1">
      <c r="A1567" s="32" t="s">
        <v>1149</v>
      </c>
      <c r="B1567" s="32" t="s">
        <v>1121</v>
      </c>
      <c r="C1567" s="32" t="str">
        <f>vlookup(B1567,State_EMM_RowSums!$A$2:$B$52,2,FALSE)</f>
        <v>MO</v>
      </c>
      <c r="D1567" s="32">
        <v>29165.0</v>
      </c>
      <c r="E1567" s="33">
        <f>IF(NOT(ISBLANK(vlookup($D1567,Pop_Census_2023!$A$2:$E$3220,4,FALSE))),vlookup($D1567,Pop_Census_2023!$A$2:$E$3220,4,FALSE), vlookup($D1567,Pop_Census_2023!$A$2:$E$3220,5,FALSE))</f>
        <v>111940</v>
      </c>
      <c r="F1567" s="32">
        <v>758537.0</v>
      </c>
      <c r="G1567" s="32">
        <v>54.0</v>
      </c>
      <c r="H1567" s="32" t="str">
        <f>VLOOKUP(D1567, Grid_Region_Mapping!$D$2:$F$5286, 3, FALSE)</f>
        <v>SPPC</v>
      </c>
      <c r="I1567" s="32">
        <v>4.0</v>
      </c>
      <c r="J1567" s="34" t="str">
        <f t="shared" si="1"/>
        <v>Midwest</v>
      </c>
      <c r="K1567" s="35">
        <v>3.0</v>
      </c>
      <c r="L1567" s="35" t="s">
        <v>223</v>
      </c>
      <c r="M1567" s="36">
        <f>VLOOKUP(D1567, County_Data_CZones!$B$2:$F$3236, 2, FALSE)</f>
        <v>4</v>
      </c>
      <c r="N1567" s="37" t="str">
        <f>VLOOKUP(D1567, County_Data_CZones!$B$2:$F$3236, 5, FALSE)</f>
        <v>Mixed-Humid</v>
      </c>
    </row>
    <row r="1568" ht="15.75" customHeight="1">
      <c r="A1568" s="32" t="s">
        <v>261</v>
      </c>
      <c r="B1568" s="32" t="s">
        <v>1121</v>
      </c>
      <c r="C1568" s="32" t="str">
        <f>vlookup(B1568,State_EMM_RowSums!$A$2:$B$52,2,FALSE)</f>
        <v>MO</v>
      </c>
      <c r="D1568" s="32">
        <v>29167.0</v>
      </c>
      <c r="E1568" s="33">
        <f>IF(NOT(ISBLANK(vlookup($D1568,Pop_Census_2023!$A$2:$E$3220,4,FALSE))),vlookup($D1568,Pop_Census_2023!$A$2:$E$3220,4,FALSE), vlookup($D1568,Pop_Census_2023!$A$2:$E$3220,5,FALSE))</f>
        <v>32780</v>
      </c>
      <c r="F1568" s="32">
        <v>758538.0</v>
      </c>
      <c r="G1568" s="32">
        <v>55.0</v>
      </c>
      <c r="H1568" s="32" t="str">
        <f>VLOOKUP(D1568, Grid_Region_Mapping!$D$2:$F$5286, 3, FALSE)</f>
        <v>SPPC</v>
      </c>
      <c r="I1568" s="32">
        <v>4.0</v>
      </c>
      <c r="J1568" s="34" t="str">
        <f t="shared" si="1"/>
        <v>Midwest</v>
      </c>
      <c r="K1568" s="35">
        <v>3.0</v>
      </c>
      <c r="L1568" s="35" t="s">
        <v>223</v>
      </c>
      <c r="M1568" s="36">
        <f>VLOOKUP(D1568, County_Data_CZones!$B$2:$F$3236, 2, FALSE)</f>
        <v>4</v>
      </c>
      <c r="N1568" s="37" t="str">
        <f>VLOOKUP(D1568, County_Data_CZones!$B$2:$F$3236, 5, FALSE)</f>
        <v>Mixed-Humid</v>
      </c>
    </row>
    <row r="1569" ht="15.75" customHeight="1">
      <c r="A1569" s="32" t="s">
        <v>264</v>
      </c>
      <c r="B1569" s="32" t="s">
        <v>1121</v>
      </c>
      <c r="C1569" s="32" t="str">
        <f>vlookup(B1569,State_EMM_RowSums!$A$2:$B$52,2,FALSE)</f>
        <v>MO</v>
      </c>
      <c r="D1569" s="32">
        <v>29169.0</v>
      </c>
      <c r="E1569" s="33">
        <f>IF(NOT(ISBLANK(vlookup($D1569,Pop_Census_2023!$A$2:$E$3220,4,FALSE))),vlookup($D1569,Pop_Census_2023!$A$2:$E$3220,4,FALSE), vlookup($D1569,Pop_Census_2023!$A$2:$E$3220,5,FALSE))</f>
        <v>53812</v>
      </c>
      <c r="F1569" s="32">
        <v>758539.0</v>
      </c>
      <c r="G1569" s="32">
        <v>73.0</v>
      </c>
      <c r="H1569" s="32" t="str">
        <f>VLOOKUP(D1569, Grid_Region_Mapping!$D$2:$F$5286, 3, FALSE)</f>
        <v>MISC</v>
      </c>
      <c r="I1569" s="32">
        <v>4.0</v>
      </c>
      <c r="J1569" s="34" t="str">
        <f t="shared" si="1"/>
        <v>Midwest</v>
      </c>
      <c r="K1569" s="35">
        <v>3.0</v>
      </c>
      <c r="L1569" s="35" t="s">
        <v>223</v>
      </c>
      <c r="M1569" s="36">
        <f>VLOOKUP(D1569, County_Data_CZones!$B$2:$F$3236, 2, FALSE)</f>
        <v>4</v>
      </c>
      <c r="N1569" s="37" t="str">
        <f>VLOOKUP(D1569, County_Data_CZones!$B$2:$F$3236, 5, FALSE)</f>
        <v>Mixed-Humid</v>
      </c>
    </row>
    <row r="1570" ht="15.75" customHeight="1">
      <c r="A1570" s="32" t="s">
        <v>449</v>
      </c>
      <c r="B1570" s="32" t="s">
        <v>1121</v>
      </c>
      <c r="C1570" s="32" t="str">
        <f>vlookup(B1570,State_EMM_RowSums!$A$2:$B$52,2,FALSE)</f>
        <v>MO</v>
      </c>
      <c r="D1570" s="32">
        <v>29171.0</v>
      </c>
      <c r="E1570" s="33">
        <f>IF(NOT(ISBLANK(vlookup($D1570,Pop_Census_2023!$A$2:$E$3220,4,FALSE))),vlookup($D1570,Pop_Census_2023!$A$2:$E$3220,4,FALSE), vlookup($D1570,Pop_Census_2023!$A$2:$E$3220,5,FALSE))</f>
        <v>4638</v>
      </c>
      <c r="F1570" s="32">
        <v>758540.0</v>
      </c>
      <c r="G1570" s="32">
        <v>54.0</v>
      </c>
      <c r="H1570" s="32" t="str">
        <f>VLOOKUP(D1570, Grid_Region_Mapping!$D$2:$F$5286, 3, FALSE)</f>
        <v>MISC</v>
      </c>
      <c r="I1570" s="32">
        <v>4.0</v>
      </c>
      <c r="J1570" s="34" t="str">
        <f t="shared" si="1"/>
        <v>Midwest</v>
      </c>
      <c r="K1570" s="35">
        <v>2.0</v>
      </c>
      <c r="L1570" s="35" t="s">
        <v>396</v>
      </c>
      <c r="M1570" s="36">
        <f>VLOOKUP(D1570, County_Data_CZones!$B$2:$F$3236, 2, FALSE)</f>
        <v>5</v>
      </c>
      <c r="N1570" s="37" t="str">
        <f>VLOOKUP(D1570, County_Data_CZones!$B$2:$F$3236, 5, FALSE)</f>
        <v>Cold</v>
      </c>
    </row>
    <row r="1571" ht="15.75" customHeight="1">
      <c r="A1571" s="32" t="s">
        <v>1150</v>
      </c>
      <c r="B1571" s="32" t="s">
        <v>1121</v>
      </c>
      <c r="C1571" s="32" t="str">
        <f>vlookup(B1571,State_EMM_RowSums!$A$2:$B$52,2,FALSE)</f>
        <v>MO</v>
      </c>
      <c r="D1571" s="32">
        <v>29173.0</v>
      </c>
      <c r="E1571" s="33">
        <f>IF(NOT(ISBLANK(vlookup($D1571,Pop_Census_2023!$A$2:$E$3220,4,FALSE))),vlookup($D1571,Pop_Census_2023!$A$2:$E$3220,4,FALSE), vlookup($D1571,Pop_Census_2023!$A$2:$E$3220,5,FALSE))</f>
        <v>10489</v>
      </c>
      <c r="F1571" s="32">
        <v>758541.0</v>
      </c>
      <c r="G1571" s="32">
        <v>71.0</v>
      </c>
      <c r="H1571" s="32" t="str">
        <f>VLOOKUP(D1571, Grid_Region_Mapping!$D$2:$F$5286, 3, FALSE)</f>
        <v>MISC</v>
      </c>
      <c r="I1571" s="32">
        <v>4.0</v>
      </c>
      <c r="J1571" s="34" t="str">
        <f t="shared" si="1"/>
        <v>Midwest</v>
      </c>
      <c r="K1571" s="35">
        <v>2.0</v>
      </c>
      <c r="L1571" s="35" t="s">
        <v>396</v>
      </c>
      <c r="M1571" s="36">
        <f>VLOOKUP(D1571, County_Data_CZones!$B$2:$F$3236, 2, FALSE)</f>
        <v>5</v>
      </c>
      <c r="N1571" s="37" t="str">
        <f>VLOOKUP(D1571, County_Data_CZones!$B$2:$F$3236, 5, FALSE)</f>
        <v>Cold</v>
      </c>
    </row>
    <row r="1572" ht="15.75" customHeight="1">
      <c r="A1572" s="32" t="s">
        <v>158</v>
      </c>
      <c r="B1572" s="32" t="s">
        <v>1121</v>
      </c>
      <c r="C1572" s="32" t="str">
        <f>vlookup(B1572,State_EMM_RowSums!$A$2:$B$52,2,FALSE)</f>
        <v>MO</v>
      </c>
      <c r="D1572" s="32">
        <v>29175.0</v>
      </c>
      <c r="E1572" s="33">
        <f>IF(NOT(ISBLANK(vlookup($D1572,Pop_Census_2023!$A$2:$E$3220,4,FALSE))),vlookup($D1572,Pop_Census_2023!$A$2:$E$3220,4,FALSE), vlookup($D1572,Pop_Census_2023!$A$2:$E$3220,5,FALSE))</f>
        <v>24109</v>
      </c>
      <c r="F1572" s="32">
        <v>758542.0</v>
      </c>
      <c r="G1572" s="32">
        <v>72.0</v>
      </c>
      <c r="H1572" s="32" t="str">
        <f>VLOOKUP(D1572, Grid_Region_Mapping!$D$2:$F$5286, 3, FALSE)</f>
        <v>MISC</v>
      </c>
      <c r="I1572" s="32">
        <v>4.0</v>
      </c>
      <c r="J1572" s="34" t="str">
        <f t="shared" si="1"/>
        <v>Midwest</v>
      </c>
      <c r="K1572" s="35">
        <v>2.0</v>
      </c>
      <c r="L1572" s="35" t="s">
        <v>223</v>
      </c>
      <c r="M1572" s="36">
        <f>VLOOKUP(D1572, County_Data_CZones!$B$2:$F$3236, 2, FALSE)</f>
        <v>4</v>
      </c>
      <c r="N1572" s="37" t="str">
        <f>VLOOKUP(D1572, County_Data_CZones!$B$2:$F$3236, 5, FALSE)</f>
        <v>Mixed-Humid</v>
      </c>
    </row>
    <row r="1573" ht="15.75" customHeight="1">
      <c r="A1573" s="32" t="s">
        <v>1151</v>
      </c>
      <c r="B1573" s="32" t="s">
        <v>1121</v>
      </c>
      <c r="C1573" s="32" t="str">
        <f>vlookup(B1573,State_EMM_RowSums!$A$2:$B$52,2,FALSE)</f>
        <v>MO</v>
      </c>
      <c r="D1573" s="32">
        <v>29177.0</v>
      </c>
      <c r="E1573" s="33">
        <f>IF(NOT(ISBLANK(vlookup($D1573,Pop_Census_2023!$A$2:$E$3220,4,FALSE))),vlookup($D1573,Pop_Census_2023!$A$2:$E$3220,4,FALSE), vlookup($D1573,Pop_Census_2023!$A$2:$E$3220,5,FALSE))</f>
        <v>23182</v>
      </c>
      <c r="F1573" s="32">
        <v>758543.0</v>
      </c>
      <c r="G1573" s="32">
        <v>54.0</v>
      </c>
      <c r="H1573" s="32" t="str">
        <f>VLOOKUP(D1573, Grid_Region_Mapping!$D$2:$F$5286, 3, FALSE)</f>
        <v>SPPC</v>
      </c>
      <c r="I1573" s="32">
        <v>4.0</v>
      </c>
      <c r="J1573" s="34" t="str">
        <f t="shared" si="1"/>
        <v>Midwest</v>
      </c>
      <c r="K1573" s="35">
        <v>3.0</v>
      </c>
      <c r="L1573" s="35" t="s">
        <v>223</v>
      </c>
      <c r="M1573" s="36">
        <f>VLOOKUP(D1573, County_Data_CZones!$B$2:$F$3236, 2, FALSE)</f>
        <v>4</v>
      </c>
      <c r="N1573" s="37" t="str">
        <f>VLOOKUP(D1573, County_Data_CZones!$B$2:$F$3236, 5, FALSE)</f>
        <v>Mixed-Humid</v>
      </c>
    </row>
    <row r="1574" ht="15.75" customHeight="1">
      <c r="A1574" s="32" t="s">
        <v>1152</v>
      </c>
      <c r="B1574" s="32" t="s">
        <v>1121</v>
      </c>
      <c r="C1574" s="32" t="str">
        <f>vlookup(B1574,State_EMM_RowSums!$A$2:$B$52,2,FALSE)</f>
        <v>MO</v>
      </c>
      <c r="D1574" s="32">
        <v>29179.0</v>
      </c>
      <c r="E1574" s="33">
        <f>IF(NOT(ISBLANK(vlookup($D1574,Pop_Census_2023!$A$2:$E$3220,4,FALSE))),vlookup($D1574,Pop_Census_2023!$A$2:$E$3220,4,FALSE), vlookup($D1574,Pop_Census_2023!$A$2:$E$3220,5,FALSE))</f>
        <v>5950</v>
      </c>
      <c r="F1574" s="32">
        <v>758544.0</v>
      </c>
      <c r="G1574" s="32">
        <v>73.0</v>
      </c>
      <c r="H1574" s="32" t="str">
        <f>VLOOKUP(D1574, Grid_Region_Mapping!$D$2:$F$5286, 3, FALSE)</f>
        <v>MISC</v>
      </c>
      <c r="I1574" s="32">
        <v>4.0</v>
      </c>
      <c r="J1574" s="34" t="str">
        <f t="shared" si="1"/>
        <v>Midwest</v>
      </c>
      <c r="K1574" s="35">
        <v>3.0</v>
      </c>
      <c r="L1574" s="35" t="s">
        <v>223</v>
      </c>
      <c r="M1574" s="36">
        <f>VLOOKUP(D1574, County_Data_CZones!$B$2:$F$3236, 2, FALSE)</f>
        <v>4</v>
      </c>
      <c r="N1574" s="37" t="str">
        <f>VLOOKUP(D1574, County_Data_CZones!$B$2:$F$3236, 5, FALSE)</f>
        <v>Mixed-Humid</v>
      </c>
    </row>
    <row r="1575" ht="15.75" customHeight="1">
      <c r="A1575" s="32" t="s">
        <v>688</v>
      </c>
      <c r="B1575" s="32" t="s">
        <v>1121</v>
      </c>
      <c r="C1575" s="32" t="str">
        <f>vlookup(B1575,State_EMM_RowSums!$A$2:$B$52,2,FALSE)</f>
        <v>MO</v>
      </c>
      <c r="D1575" s="32">
        <v>29181.0</v>
      </c>
      <c r="E1575" s="33">
        <f>IF(NOT(ISBLANK(vlookup($D1575,Pop_Census_2023!$A$2:$E$3220,4,FALSE))),vlookup($D1575,Pop_Census_2023!$A$2:$E$3220,4,FALSE), vlookup($D1575,Pop_Census_2023!$A$2:$E$3220,5,FALSE))</f>
        <v>10806</v>
      </c>
      <c r="F1575" s="32">
        <v>758545.0</v>
      </c>
      <c r="G1575" s="32">
        <v>84.0</v>
      </c>
      <c r="H1575" s="32" t="str">
        <f>VLOOKUP(D1575, Grid_Region_Mapping!$D$2:$F$5286, 3, FALSE)</f>
        <v>MISC</v>
      </c>
      <c r="I1575" s="32">
        <v>4.0</v>
      </c>
      <c r="J1575" s="34" t="str">
        <f t="shared" si="1"/>
        <v>Midwest</v>
      </c>
      <c r="K1575" s="35">
        <v>3.0</v>
      </c>
      <c r="L1575" s="35" t="s">
        <v>223</v>
      </c>
      <c r="M1575" s="36">
        <f>VLOOKUP(D1575, County_Data_CZones!$B$2:$F$3236, 2, FALSE)</f>
        <v>4</v>
      </c>
      <c r="N1575" s="37" t="str">
        <f>VLOOKUP(D1575, County_Data_CZones!$B$2:$F$3236, 5, FALSE)</f>
        <v>Mixed-Humid</v>
      </c>
    </row>
    <row r="1576" ht="15.75" customHeight="1">
      <c r="A1576" s="32" t="s">
        <v>906</v>
      </c>
      <c r="B1576" s="32" t="s">
        <v>1121</v>
      </c>
      <c r="C1576" s="32" t="str">
        <f>vlookup(B1576,State_EMM_RowSums!$A$2:$B$52,2,FALSE)</f>
        <v>MO</v>
      </c>
      <c r="D1576" s="32">
        <v>29183.0</v>
      </c>
      <c r="E1576" s="33">
        <f>IF(NOT(ISBLANK(vlookup($D1576,Pop_Census_2023!$A$2:$E$3220,4,FALSE))),vlookup($D1576,Pop_Census_2023!$A$2:$E$3220,4,FALSE), vlookup($D1576,Pop_Census_2023!$A$2:$E$3220,5,FALSE))</f>
        <v>416659</v>
      </c>
      <c r="F1576" s="32">
        <v>758546.0</v>
      </c>
      <c r="G1576" s="32">
        <v>72.0</v>
      </c>
      <c r="H1576" s="32" t="str">
        <f>VLOOKUP(D1576, Grid_Region_Mapping!$D$2:$F$5286, 3, FALSE)</f>
        <v>MISC</v>
      </c>
      <c r="I1576" s="32">
        <v>4.0</v>
      </c>
      <c r="J1576" s="34" t="str">
        <f t="shared" si="1"/>
        <v>Midwest</v>
      </c>
      <c r="K1576" s="35">
        <v>3.0</v>
      </c>
      <c r="L1576" s="35" t="s">
        <v>223</v>
      </c>
      <c r="M1576" s="36">
        <f>VLOOKUP(D1576, County_Data_CZones!$B$2:$F$3236, 2, FALSE)</f>
        <v>4</v>
      </c>
      <c r="N1576" s="37" t="str">
        <f>VLOOKUP(D1576, County_Data_CZones!$B$2:$F$3236, 5, FALSE)</f>
        <v>Mixed-Humid</v>
      </c>
    </row>
    <row r="1577" ht="15.75" customHeight="1">
      <c r="A1577" s="32" t="s">
        <v>160</v>
      </c>
      <c r="B1577" s="32" t="s">
        <v>1121</v>
      </c>
      <c r="C1577" s="32" t="str">
        <f>vlookup(B1577,State_EMM_RowSums!$A$2:$B$52,2,FALSE)</f>
        <v>MO</v>
      </c>
      <c r="D1577" s="32">
        <v>29185.0</v>
      </c>
      <c r="E1577" s="33">
        <f>IF(NOT(ISBLANK(vlookup($D1577,Pop_Census_2023!$A$2:$E$3220,4,FALSE))),vlookup($D1577,Pop_Census_2023!$A$2:$E$3220,4,FALSE), vlookup($D1577,Pop_Census_2023!$A$2:$E$3220,5,FALSE))</f>
        <v>9752</v>
      </c>
      <c r="F1577" s="32">
        <v>758547.0</v>
      </c>
      <c r="G1577" s="32">
        <v>55.0</v>
      </c>
      <c r="H1577" s="32" t="str">
        <f>VLOOKUP(D1577, Grid_Region_Mapping!$D$2:$F$5286, 3, FALSE)</f>
        <v>SPPC</v>
      </c>
      <c r="I1577" s="32">
        <v>4.0</v>
      </c>
      <c r="J1577" s="34" t="str">
        <f t="shared" si="1"/>
        <v>Midwest</v>
      </c>
      <c r="K1577" s="35">
        <v>3.0</v>
      </c>
      <c r="L1577" s="35" t="s">
        <v>223</v>
      </c>
      <c r="M1577" s="36">
        <f>VLOOKUP(D1577, County_Data_CZones!$B$2:$F$3236, 2, FALSE)</f>
        <v>4</v>
      </c>
      <c r="N1577" s="37" t="str">
        <f>VLOOKUP(D1577, County_Data_CZones!$B$2:$F$3236, 5, FALSE)</f>
        <v>Mixed-Humid</v>
      </c>
    </row>
    <row r="1578" ht="15.75" customHeight="1">
      <c r="A1578" s="32" t="s">
        <v>1153</v>
      </c>
      <c r="B1578" s="32" t="s">
        <v>1121</v>
      </c>
      <c r="C1578" s="32" t="str">
        <f>vlookup(B1578,State_EMM_RowSums!$A$2:$B$52,2,FALSE)</f>
        <v>MO</v>
      </c>
      <c r="D1578" s="32">
        <v>29186.0</v>
      </c>
      <c r="E1578" s="33">
        <f>IF(NOT(ISBLANK(vlookup($D1578,Pop_Census_2023!$A$2:$E$3220,4,FALSE))),vlookup($D1578,Pop_Census_2023!$A$2:$E$3220,4,FALSE), vlookup($D1578,Pop_Census_2023!$A$2:$E$3220,5,FALSE))</f>
        <v>18642</v>
      </c>
      <c r="F1578" s="32">
        <v>765806.0</v>
      </c>
      <c r="G1578" s="32">
        <v>72.0</v>
      </c>
      <c r="H1578" s="32" t="str">
        <f>VLOOKUP(D1578, Grid_Region_Mapping!$D$2:$F$5286, 3, FALSE)</f>
        <v>MISC</v>
      </c>
      <c r="I1578" s="32">
        <v>4.0</v>
      </c>
      <c r="J1578" s="34" t="str">
        <f t="shared" si="1"/>
        <v>Midwest</v>
      </c>
      <c r="K1578" s="35">
        <v>3.0</v>
      </c>
      <c r="L1578" s="35" t="s">
        <v>223</v>
      </c>
      <c r="M1578" s="36">
        <f>VLOOKUP(D1578, County_Data_CZones!$B$2:$F$3236, 2, FALSE)</f>
        <v>4</v>
      </c>
      <c r="N1578" s="37" t="str">
        <f>VLOOKUP(D1578, County_Data_CZones!$B$2:$F$3236, 5, FALSE)</f>
        <v>Mixed-Humid</v>
      </c>
    </row>
    <row r="1579" ht="15.75" customHeight="1">
      <c r="A1579" s="32" t="s">
        <v>1154</v>
      </c>
      <c r="B1579" s="32" t="s">
        <v>1121</v>
      </c>
      <c r="C1579" s="32" t="str">
        <f>vlookup(B1579,State_EMM_RowSums!$A$2:$B$52,2,FALSE)</f>
        <v>MO</v>
      </c>
      <c r="D1579" s="32">
        <v>29187.0</v>
      </c>
      <c r="E1579" s="33">
        <f>IF(NOT(ISBLANK(vlookup($D1579,Pop_Census_2023!$A$2:$E$3220,4,FALSE))),vlookup($D1579,Pop_Census_2023!$A$2:$E$3220,4,FALSE), vlookup($D1579,Pop_Census_2023!$A$2:$E$3220,5,FALSE))</f>
        <v>67058</v>
      </c>
      <c r="F1579" s="32">
        <v>758548.0</v>
      </c>
      <c r="G1579" s="32">
        <v>72.0</v>
      </c>
      <c r="H1579" s="32" t="str">
        <f>VLOOKUP(D1579, Grid_Region_Mapping!$D$2:$F$5286, 3, FALSE)</f>
        <v>MISC</v>
      </c>
      <c r="I1579" s="32">
        <v>4.0</v>
      </c>
      <c r="J1579" s="34" t="str">
        <f t="shared" si="1"/>
        <v>Midwest</v>
      </c>
      <c r="K1579" s="35">
        <v>3.0</v>
      </c>
      <c r="L1579" s="35" t="s">
        <v>223</v>
      </c>
      <c r="M1579" s="36">
        <f>VLOOKUP(D1579, County_Data_CZones!$B$2:$F$3236, 2, FALSE)</f>
        <v>4</v>
      </c>
      <c r="N1579" s="37" t="str">
        <f>VLOOKUP(D1579, County_Data_CZones!$B$2:$F$3236, 5, FALSE)</f>
        <v>Mixed-Humid</v>
      </c>
    </row>
    <row r="1580" ht="15.75" customHeight="1">
      <c r="A1580" s="32" t="s">
        <v>1073</v>
      </c>
      <c r="B1580" s="32" t="s">
        <v>1121</v>
      </c>
      <c r="C1580" s="32" t="str">
        <f>vlookup(B1580,State_EMM_RowSums!$A$2:$B$52,2,FALSE)</f>
        <v>MO</v>
      </c>
      <c r="D1580" s="32">
        <v>29189.0</v>
      </c>
      <c r="E1580" s="33">
        <f>IF(NOT(ISBLANK(vlookup($D1580,Pop_Census_2023!$A$2:$E$3220,4,FALSE))),vlookup($D1580,Pop_Census_2023!$A$2:$E$3220,4,FALSE), vlookup($D1580,Pop_Census_2023!$A$2:$E$3220,5,FALSE))</f>
        <v>987059</v>
      </c>
      <c r="F1580" s="32">
        <v>758549.0</v>
      </c>
      <c r="G1580" s="32">
        <v>72.0</v>
      </c>
      <c r="H1580" s="32" t="str">
        <f>VLOOKUP(D1580, Grid_Region_Mapping!$D$2:$F$5286, 3, FALSE)</f>
        <v>MISC</v>
      </c>
      <c r="I1580" s="32">
        <v>4.0</v>
      </c>
      <c r="J1580" s="34" t="str">
        <f t="shared" si="1"/>
        <v>Midwest</v>
      </c>
      <c r="K1580" s="35">
        <v>3.0</v>
      </c>
      <c r="L1580" s="35" t="s">
        <v>223</v>
      </c>
      <c r="M1580" s="36">
        <f>VLOOKUP(D1580, County_Data_CZones!$B$2:$F$3236, 2, FALSE)</f>
        <v>4</v>
      </c>
      <c r="N1580" s="37" t="str">
        <f>VLOOKUP(D1580, County_Data_CZones!$B$2:$F$3236, 5, FALSE)</f>
        <v>Mixed-Humid</v>
      </c>
    </row>
    <row r="1581" ht="15.75" customHeight="1">
      <c r="A1581" s="32" t="s">
        <v>266</v>
      </c>
      <c r="B1581" s="32" t="s">
        <v>1121</v>
      </c>
      <c r="C1581" s="32" t="str">
        <f>vlookup(B1581,State_EMM_RowSums!$A$2:$B$52,2,FALSE)</f>
        <v>MO</v>
      </c>
      <c r="D1581" s="32">
        <v>29195.0</v>
      </c>
      <c r="E1581" s="33">
        <f>IF(NOT(ISBLANK(vlookup($D1581,Pop_Census_2023!$A$2:$E$3220,4,FALSE))),vlookup($D1581,Pop_Census_2023!$A$2:$E$3220,4,FALSE), vlookup($D1581,Pop_Census_2023!$A$2:$E$3220,5,FALSE))</f>
        <v>23049</v>
      </c>
      <c r="F1581" s="32">
        <v>758550.0</v>
      </c>
      <c r="G1581" s="32">
        <v>54.0</v>
      </c>
      <c r="H1581" s="32" t="str">
        <f>VLOOKUP(D1581, Grid_Region_Mapping!$D$2:$F$5286, 3, FALSE)</f>
        <v>SPPC</v>
      </c>
      <c r="I1581" s="32">
        <v>4.0</v>
      </c>
      <c r="J1581" s="34" t="str">
        <f t="shared" si="1"/>
        <v>Midwest</v>
      </c>
      <c r="K1581" s="35">
        <v>3.0</v>
      </c>
      <c r="L1581" s="35" t="s">
        <v>223</v>
      </c>
      <c r="M1581" s="36">
        <f>VLOOKUP(D1581, County_Data_CZones!$B$2:$F$3236, 2, FALSE)</f>
        <v>4</v>
      </c>
      <c r="N1581" s="37" t="str">
        <f>VLOOKUP(D1581, County_Data_CZones!$B$2:$F$3236, 5, FALSE)</f>
        <v>Mixed-Humid</v>
      </c>
    </row>
    <row r="1582" ht="15.75" customHeight="1">
      <c r="A1582" s="32" t="s">
        <v>652</v>
      </c>
      <c r="B1582" s="32" t="s">
        <v>1121</v>
      </c>
      <c r="C1582" s="32" t="str">
        <f>vlookup(B1582,State_EMM_RowSums!$A$2:$B$52,2,FALSE)</f>
        <v>MO</v>
      </c>
      <c r="D1582" s="32">
        <v>29197.0</v>
      </c>
      <c r="E1582" s="33">
        <f>IF(NOT(ISBLANK(vlookup($D1582,Pop_Census_2023!$A$2:$E$3220,4,FALSE))),vlookup($D1582,Pop_Census_2023!$A$2:$E$3220,4,FALSE), vlookup($D1582,Pop_Census_2023!$A$2:$E$3220,5,FALSE))</f>
        <v>4053</v>
      </c>
      <c r="F1582" s="32">
        <v>758551.0</v>
      </c>
      <c r="G1582" s="32">
        <v>71.0</v>
      </c>
      <c r="H1582" s="32" t="str">
        <f>VLOOKUP(D1582, Grid_Region_Mapping!$D$2:$F$5286, 3, FALSE)</f>
        <v>MISC</v>
      </c>
      <c r="I1582" s="32">
        <v>4.0</v>
      </c>
      <c r="J1582" s="34" t="str">
        <f t="shared" si="1"/>
        <v>Midwest</v>
      </c>
      <c r="K1582" s="35">
        <v>2.0</v>
      </c>
      <c r="L1582" s="35" t="s">
        <v>396</v>
      </c>
      <c r="M1582" s="36">
        <f>VLOOKUP(D1582, County_Data_CZones!$B$2:$F$3236, 2, FALSE)</f>
        <v>5</v>
      </c>
      <c r="N1582" s="37" t="str">
        <f>VLOOKUP(D1582, County_Data_CZones!$B$2:$F$3236, 5, FALSE)</f>
        <v>Cold</v>
      </c>
    </row>
    <row r="1583" ht="15.75" customHeight="1">
      <c r="A1583" s="32" t="s">
        <v>1155</v>
      </c>
      <c r="B1583" s="32" t="s">
        <v>1121</v>
      </c>
      <c r="C1583" s="32" t="str">
        <f>vlookup(B1583,State_EMM_RowSums!$A$2:$B$52,2,FALSE)</f>
        <v>MO</v>
      </c>
      <c r="D1583" s="32">
        <v>29199.0</v>
      </c>
      <c r="E1583" s="33">
        <f>IF(NOT(ISBLANK(vlookup($D1583,Pop_Census_2023!$A$2:$E$3220,4,FALSE))),vlookup($D1583,Pop_Census_2023!$A$2:$E$3220,4,FALSE), vlookup($D1583,Pop_Census_2023!$A$2:$E$3220,5,FALSE))</f>
        <v>4676</v>
      </c>
      <c r="F1583" s="32">
        <v>758552.0</v>
      </c>
      <c r="G1583" s="32">
        <v>71.0</v>
      </c>
      <c r="H1583" s="32" t="str">
        <f>VLOOKUP(D1583, Grid_Region_Mapping!$D$2:$F$5286, 3, FALSE)</f>
        <v>MISC</v>
      </c>
      <c r="I1583" s="32">
        <v>4.0</v>
      </c>
      <c r="J1583" s="34" t="str">
        <f t="shared" si="1"/>
        <v>Midwest</v>
      </c>
      <c r="K1583" s="35">
        <v>2.0</v>
      </c>
      <c r="L1583" s="35" t="s">
        <v>396</v>
      </c>
      <c r="M1583" s="36">
        <f>VLOOKUP(D1583, County_Data_CZones!$B$2:$F$3236, 2, FALSE)</f>
        <v>5</v>
      </c>
      <c r="N1583" s="37" t="str">
        <f>VLOOKUP(D1583, County_Data_CZones!$B$2:$F$3236, 5, FALSE)</f>
        <v>Cold</v>
      </c>
    </row>
    <row r="1584" ht="15.75" customHeight="1">
      <c r="A1584" s="32" t="s">
        <v>267</v>
      </c>
      <c r="B1584" s="32" t="s">
        <v>1121</v>
      </c>
      <c r="C1584" s="32" t="str">
        <f>vlookup(B1584,State_EMM_RowSums!$A$2:$B$52,2,FALSE)</f>
        <v>MO</v>
      </c>
      <c r="D1584" s="32">
        <v>29201.0</v>
      </c>
      <c r="E1584" s="33">
        <f>IF(NOT(ISBLANK(vlookup($D1584,Pop_Census_2023!$A$2:$E$3220,4,FALSE))),vlookup($D1584,Pop_Census_2023!$A$2:$E$3220,4,FALSE), vlookup($D1584,Pop_Census_2023!$A$2:$E$3220,5,FALSE))</f>
        <v>37889</v>
      </c>
      <c r="F1584" s="32">
        <v>758553.0</v>
      </c>
      <c r="G1584" s="32">
        <v>72.0</v>
      </c>
      <c r="H1584" s="32" t="str">
        <f>VLOOKUP(D1584, Grid_Region_Mapping!$D$2:$F$5286, 3, FALSE)</f>
        <v>MISC</v>
      </c>
      <c r="I1584" s="32">
        <v>4.0</v>
      </c>
      <c r="J1584" s="34" t="str">
        <f t="shared" si="1"/>
        <v>Midwest</v>
      </c>
      <c r="K1584" s="35">
        <v>3.0</v>
      </c>
      <c r="L1584" s="35" t="s">
        <v>223</v>
      </c>
      <c r="M1584" s="36">
        <f>VLOOKUP(D1584, County_Data_CZones!$B$2:$F$3236, 2, FALSE)</f>
        <v>4</v>
      </c>
      <c r="N1584" s="37" t="str">
        <f>VLOOKUP(D1584, County_Data_CZones!$B$2:$F$3236, 5, FALSE)</f>
        <v>Mixed-Humid</v>
      </c>
    </row>
    <row r="1585" ht="15.75" customHeight="1">
      <c r="A1585" s="32" t="s">
        <v>1156</v>
      </c>
      <c r="B1585" s="32" t="s">
        <v>1121</v>
      </c>
      <c r="C1585" s="32" t="str">
        <f>vlookup(B1585,State_EMM_RowSums!$A$2:$B$52,2,FALSE)</f>
        <v>MO</v>
      </c>
      <c r="D1585" s="32">
        <v>29203.0</v>
      </c>
      <c r="E1585" s="33">
        <f>IF(NOT(ISBLANK(vlookup($D1585,Pop_Census_2023!$A$2:$E$3220,4,FALSE))),vlookup($D1585,Pop_Census_2023!$A$2:$E$3220,4,FALSE), vlookup($D1585,Pop_Census_2023!$A$2:$E$3220,5,FALSE))</f>
        <v>7238</v>
      </c>
      <c r="F1585" s="32">
        <v>758554.0</v>
      </c>
      <c r="G1585" s="32">
        <v>84.0</v>
      </c>
      <c r="H1585" s="32" t="str">
        <f>VLOOKUP(D1585, Grid_Region_Mapping!$D$2:$F$5286, 3, FALSE)</f>
        <v>MISC</v>
      </c>
      <c r="I1585" s="32">
        <v>4.0</v>
      </c>
      <c r="J1585" s="34" t="str">
        <f t="shared" si="1"/>
        <v>Midwest</v>
      </c>
      <c r="K1585" s="35">
        <v>3.0</v>
      </c>
      <c r="L1585" s="35" t="s">
        <v>223</v>
      </c>
      <c r="M1585" s="36">
        <f>VLOOKUP(D1585, County_Data_CZones!$B$2:$F$3236, 2, FALSE)</f>
        <v>4</v>
      </c>
      <c r="N1585" s="37" t="str">
        <f>VLOOKUP(D1585, County_Data_CZones!$B$2:$F$3236, 5, FALSE)</f>
        <v>Mixed-Humid</v>
      </c>
    </row>
    <row r="1586" ht="15.75" customHeight="1">
      <c r="A1586" s="32" t="s">
        <v>161</v>
      </c>
      <c r="B1586" s="32" t="s">
        <v>1121</v>
      </c>
      <c r="C1586" s="32" t="str">
        <f>vlookup(B1586,State_EMM_RowSums!$A$2:$B$52,2,FALSE)</f>
        <v>MO</v>
      </c>
      <c r="D1586" s="32">
        <v>29205.0</v>
      </c>
      <c r="E1586" s="33">
        <f>IF(NOT(ISBLANK(vlookup($D1586,Pop_Census_2023!$A$2:$E$3220,4,FALSE))),vlookup($D1586,Pop_Census_2023!$A$2:$E$3220,4,FALSE), vlookup($D1586,Pop_Census_2023!$A$2:$E$3220,5,FALSE))</f>
        <v>5931</v>
      </c>
      <c r="F1586" s="32">
        <v>758555.0</v>
      </c>
      <c r="G1586" s="32">
        <v>71.0</v>
      </c>
      <c r="H1586" s="32" t="str">
        <f>VLOOKUP(D1586, Grid_Region_Mapping!$D$2:$F$5286, 3, FALSE)</f>
        <v>MISC</v>
      </c>
      <c r="I1586" s="32">
        <v>4.0</v>
      </c>
      <c r="J1586" s="34" t="str">
        <f t="shared" si="1"/>
        <v>Midwest</v>
      </c>
      <c r="K1586" s="35">
        <v>2.0</v>
      </c>
      <c r="L1586" s="35" t="s">
        <v>396</v>
      </c>
      <c r="M1586" s="36">
        <f>VLOOKUP(D1586, County_Data_CZones!$B$2:$F$3236, 2, FALSE)</f>
        <v>5</v>
      </c>
      <c r="N1586" s="37" t="str">
        <f>VLOOKUP(D1586, County_Data_CZones!$B$2:$F$3236, 5, FALSE)</f>
        <v>Cold</v>
      </c>
    </row>
    <row r="1587" ht="15.75" customHeight="1">
      <c r="A1587" s="32" t="s">
        <v>1157</v>
      </c>
      <c r="B1587" s="32" t="s">
        <v>1121</v>
      </c>
      <c r="C1587" s="32" t="str">
        <f>vlookup(B1587,State_EMM_RowSums!$A$2:$B$52,2,FALSE)</f>
        <v>MO</v>
      </c>
      <c r="D1587" s="32">
        <v>29207.0</v>
      </c>
      <c r="E1587" s="33">
        <f>IF(NOT(ISBLANK(vlookup($D1587,Pop_Census_2023!$A$2:$E$3220,4,FALSE))),vlookup($D1587,Pop_Census_2023!$A$2:$E$3220,4,FALSE), vlookup($D1587,Pop_Census_2023!$A$2:$E$3220,5,FALSE))</f>
        <v>28397</v>
      </c>
      <c r="F1587" s="32">
        <v>758556.0</v>
      </c>
      <c r="G1587" s="32">
        <v>84.0</v>
      </c>
      <c r="H1587" s="32" t="str">
        <f>VLOOKUP(D1587, Grid_Region_Mapping!$D$2:$F$5286, 3, FALSE)</f>
        <v>MISC</v>
      </c>
      <c r="I1587" s="32">
        <v>4.0</v>
      </c>
      <c r="J1587" s="34" t="str">
        <f t="shared" si="1"/>
        <v>Midwest</v>
      </c>
      <c r="K1587" s="35">
        <v>3.0</v>
      </c>
      <c r="L1587" s="35" t="s">
        <v>223</v>
      </c>
      <c r="M1587" s="36">
        <f>VLOOKUP(D1587, County_Data_CZones!$B$2:$F$3236, 2, FALSE)</f>
        <v>4</v>
      </c>
      <c r="N1587" s="37" t="str">
        <f>VLOOKUP(D1587, County_Data_CZones!$B$2:$F$3236, 5, FALSE)</f>
        <v>Mixed-Humid</v>
      </c>
    </row>
    <row r="1588" ht="15.75" customHeight="1">
      <c r="A1588" s="32" t="s">
        <v>272</v>
      </c>
      <c r="B1588" s="32" t="s">
        <v>1121</v>
      </c>
      <c r="C1588" s="32" t="str">
        <f>vlookup(B1588,State_EMM_RowSums!$A$2:$B$52,2,FALSE)</f>
        <v>MO</v>
      </c>
      <c r="D1588" s="32">
        <v>29209.0</v>
      </c>
      <c r="E1588" s="33">
        <f>IF(NOT(ISBLANK(vlookup($D1588,Pop_Census_2023!$A$2:$E$3220,4,FALSE))),vlookup($D1588,Pop_Census_2023!$A$2:$E$3220,4,FALSE), vlookup($D1588,Pop_Census_2023!$A$2:$E$3220,5,FALSE))</f>
        <v>32658</v>
      </c>
      <c r="F1588" s="32">
        <v>758557.0</v>
      </c>
      <c r="G1588" s="32">
        <v>55.0</v>
      </c>
      <c r="H1588" s="32" t="str">
        <f>VLOOKUP(D1588, Grid_Region_Mapping!$D$2:$F$5286, 3, FALSE)</f>
        <v>SPPC</v>
      </c>
      <c r="I1588" s="32">
        <v>4.0</v>
      </c>
      <c r="J1588" s="34" t="str">
        <f t="shared" si="1"/>
        <v>Midwest</v>
      </c>
      <c r="K1588" s="35">
        <v>3.0</v>
      </c>
      <c r="L1588" s="35" t="s">
        <v>223</v>
      </c>
      <c r="M1588" s="36">
        <f>VLOOKUP(D1588, County_Data_CZones!$B$2:$F$3236, 2, FALSE)</f>
        <v>4</v>
      </c>
      <c r="N1588" s="37" t="str">
        <f>VLOOKUP(D1588, County_Data_CZones!$B$2:$F$3236, 5, FALSE)</f>
        <v>Mixed-Humid</v>
      </c>
    </row>
    <row r="1589" ht="15.75" customHeight="1">
      <c r="A1589" s="32" t="s">
        <v>694</v>
      </c>
      <c r="B1589" s="32" t="s">
        <v>1121</v>
      </c>
      <c r="C1589" s="32" t="str">
        <f>vlookup(B1589,State_EMM_RowSums!$A$2:$B$52,2,FALSE)</f>
        <v>MO</v>
      </c>
      <c r="D1589" s="32">
        <v>29211.0</v>
      </c>
      <c r="E1589" s="33">
        <f>IF(NOT(ISBLANK(vlookup($D1589,Pop_Census_2023!$A$2:$E$3220,4,FALSE))),vlookup($D1589,Pop_Census_2023!$A$2:$E$3220,4,FALSE), vlookup($D1589,Pop_Census_2023!$A$2:$E$3220,5,FALSE))</f>
        <v>5797</v>
      </c>
      <c r="F1589" s="32">
        <v>758558.0</v>
      </c>
      <c r="G1589" s="32">
        <v>54.0</v>
      </c>
      <c r="H1589" s="32" t="str">
        <f>VLOOKUP(D1589, Grid_Region_Mapping!$D$2:$F$5286, 3, FALSE)</f>
        <v>MISC</v>
      </c>
      <c r="I1589" s="32">
        <v>4.0</v>
      </c>
      <c r="J1589" s="34" t="str">
        <f t="shared" si="1"/>
        <v>Midwest</v>
      </c>
      <c r="K1589" s="35">
        <v>2.0</v>
      </c>
      <c r="L1589" s="35" t="s">
        <v>396</v>
      </c>
      <c r="M1589" s="36">
        <f>VLOOKUP(D1589, County_Data_CZones!$B$2:$F$3236, 2, FALSE)</f>
        <v>5</v>
      </c>
      <c r="N1589" s="37" t="str">
        <f>VLOOKUP(D1589, County_Data_CZones!$B$2:$F$3236, 5, FALSE)</f>
        <v>Cold</v>
      </c>
    </row>
    <row r="1590" ht="15.75" customHeight="1">
      <c r="A1590" s="32" t="s">
        <v>1158</v>
      </c>
      <c r="B1590" s="32" t="s">
        <v>1121</v>
      </c>
      <c r="C1590" s="32" t="str">
        <f>vlookup(B1590,State_EMM_RowSums!$A$2:$B$52,2,FALSE)</f>
        <v>MO</v>
      </c>
      <c r="D1590" s="32">
        <v>29213.0</v>
      </c>
      <c r="E1590" s="33">
        <f>IF(NOT(ISBLANK(vlookup($D1590,Pop_Census_2023!$A$2:$E$3220,4,FALSE))),vlookup($D1590,Pop_Census_2023!$A$2:$E$3220,4,FALSE), vlookup($D1590,Pop_Census_2023!$A$2:$E$3220,5,FALSE))</f>
        <v>56775</v>
      </c>
      <c r="F1590" s="32">
        <v>758559.0</v>
      </c>
      <c r="G1590" s="32">
        <v>55.0</v>
      </c>
      <c r="H1590" s="32" t="str">
        <f>VLOOKUP(D1590, Grid_Region_Mapping!$D$2:$F$5286, 3, FALSE)</f>
        <v>SPPC</v>
      </c>
      <c r="I1590" s="32">
        <v>4.0</v>
      </c>
      <c r="J1590" s="34" t="str">
        <f t="shared" si="1"/>
        <v>Midwest</v>
      </c>
      <c r="K1590" s="35">
        <v>3.0</v>
      </c>
      <c r="L1590" s="35" t="s">
        <v>223</v>
      </c>
      <c r="M1590" s="36">
        <f>VLOOKUP(D1590, County_Data_CZones!$B$2:$F$3236, 2, FALSE)</f>
        <v>4</v>
      </c>
      <c r="N1590" s="37" t="str">
        <f>VLOOKUP(D1590, County_Data_CZones!$B$2:$F$3236, 5, FALSE)</f>
        <v>Mixed-Humid</v>
      </c>
    </row>
    <row r="1591" ht="15.75" customHeight="1">
      <c r="A1591" s="32" t="s">
        <v>1159</v>
      </c>
      <c r="B1591" s="32" t="s">
        <v>1121</v>
      </c>
      <c r="C1591" s="32" t="str">
        <f>vlookup(B1591,State_EMM_RowSums!$A$2:$B$52,2,FALSE)</f>
        <v>MO</v>
      </c>
      <c r="D1591" s="32">
        <v>29215.0</v>
      </c>
      <c r="E1591" s="33">
        <f>IF(NOT(ISBLANK(vlookup($D1591,Pop_Census_2023!$A$2:$E$3220,4,FALSE))),vlookup($D1591,Pop_Census_2023!$A$2:$E$3220,4,FALSE), vlookup($D1591,Pop_Census_2023!$A$2:$E$3220,5,FALSE))</f>
        <v>25619</v>
      </c>
      <c r="F1591" s="32">
        <v>758560.0</v>
      </c>
      <c r="G1591" s="32">
        <v>84.0</v>
      </c>
      <c r="H1591" s="32" t="str">
        <f>VLOOKUP(D1591, Grid_Region_Mapping!$D$2:$F$5286, 3, FALSE)</f>
        <v>MISC</v>
      </c>
      <c r="I1591" s="32">
        <v>4.0</v>
      </c>
      <c r="J1591" s="34" t="str">
        <f t="shared" si="1"/>
        <v>Midwest</v>
      </c>
      <c r="K1591" s="35">
        <v>3.0</v>
      </c>
      <c r="L1591" s="35" t="s">
        <v>223</v>
      </c>
      <c r="M1591" s="36">
        <f>VLOOKUP(D1591, County_Data_CZones!$B$2:$F$3236, 2, FALSE)</f>
        <v>4</v>
      </c>
      <c r="N1591" s="37" t="str">
        <f>VLOOKUP(D1591, County_Data_CZones!$B$2:$F$3236, 5, FALSE)</f>
        <v>Mixed-Humid</v>
      </c>
    </row>
    <row r="1592" ht="15.75" customHeight="1">
      <c r="A1592" s="32" t="s">
        <v>917</v>
      </c>
      <c r="B1592" s="32" t="s">
        <v>1121</v>
      </c>
      <c r="C1592" s="32" t="str">
        <f>vlookup(B1592,State_EMM_RowSums!$A$2:$B$52,2,FALSE)</f>
        <v>MO</v>
      </c>
      <c r="D1592" s="32">
        <v>29217.0</v>
      </c>
      <c r="E1592" s="33">
        <f>IF(NOT(ISBLANK(vlookup($D1592,Pop_Census_2023!$A$2:$E$3220,4,FALSE))),vlookup($D1592,Pop_Census_2023!$A$2:$E$3220,4,FALSE), vlookup($D1592,Pop_Census_2023!$A$2:$E$3220,5,FALSE))</f>
        <v>19710</v>
      </c>
      <c r="F1592" s="32">
        <v>758561.0</v>
      </c>
      <c r="G1592" s="32">
        <v>55.0</v>
      </c>
      <c r="H1592" s="32" t="str">
        <f>VLOOKUP(D1592, Grid_Region_Mapping!$D$2:$F$5286, 3, FALSE)</f>
        <v>SPPC</v>
      </c>
      <c r="I1592" s="32">
        <v>4.0</v>
      </c>
      <c r="J1592" s="34" t="str">
        <f t="shared" si="1"/>
        <v>Midwest</v>
      </c>
      <c r="K1592" s="35">
        <v>3.0</v>
      </c>
      <c r="L1592" s="35" t="s">
        <v>223</v>
      </c>
      <c r="M1592" s="36">
        <f>VLOOKUP(D1592, County_Data_CZones!$B$2:$F$3236, 2, FALSE)</f>
        <v>4</v>
      </c>
      <c r="N1592" s="37" t="str">
        <f>VLOOKUP(D1592, County_Data_CZones!$B$2:$F$3236, 5, FALSE)</f>
        <v>Mixed-Humid</v>
      </c>
    </row>
    <row r="1593" ht="15.75" customHeight="1">
      <c r="A1593" s="32" t="s">
        <v>561</v>
      </c>
      <c r="B1593" s="32" t="s">
        <v>1121</v>
      </c>
      <c r="C1593" s="32" t="str">
        <f>vlookup(B1593,State_EMM_RowSums!$A$2:$B$52,2,FALSE)</f>
        <v>MO</v>
      </c>
      <c r="D1593" s="32">
        <v>29219.0</v>
      </c>
      <c r="E1593" s="33">
        <f>IF(NOT(ISBLANK(vlookup($D1593,Pop_Census_2023!$A$2:$E$3220,4,FALSE))),vlookup($D1593,Pop_Census_2023!$A$2:$E$3220,4,FALSE), vlookup($D1593,Pop_Census_2023!$A$2:$E$3220,5,FALSE))</f>
        <v>37806</v>
      </c>
      <c r="F1593" s="32">
        <v>758562.0</v>
      </c>
      <c r="G1593" s="32">
        <v>72.0</v>
      </c>
      <c r="H1593" s="32" t="str">
        <f>VLOOKUP(D1593, Grid_Region_Mapping!$D$2:$F$5286, 3, FALSE)</f>
        <v>MISC</v>
      </c>
      <c r="I1593" s="32">
        <v>4.0</v>
      </c>
      <c r="J1593" s="34" t="str">
        <f t="shared" si="1"/>
        <v>Midwest</v>
      </c>
      <c r="K1593" s="35">
        <v>3.0</v>
      </c>
      <c r="L1593" s="35" t="s">
        <v>223</v>
      </c>
      <c r="M1593" s="36">
        <f>VLOOKUP(D1593, County_Data_CZones!$B$2:$F$3236, 2, FALSE)</f>
        <v>4</v>
      </c>
      <c r="N1593" s="37" t="str">
        <f>VLOOKUP(D1593, County_Data_CZones!$B$2:$F$3236, 5, FALSE)</f>
        <v>Mixed-Humid</v>
      </c>
    </row>
    <row r="1594" ht="15.75" customHeight="1">
      <c r="A1594" s="32" t="s">
        <v>167</v>
      </c>
      <c r="B1594" s="32" t="s">
        <v>1121</v>
      </c>
      <c r="C1594" s="32" t="str">
        <f>vlookup(B1594,State_EMM_RowSums!$A$2:$B$52,2,FALSE)</f>
        <v>MO</v>
      </c>
      <c r="D1594" s="32">
        <v>29221.0</v>
      </c>
      <c r="E1594" s="33">
        <f>IF(NOT(ISBLANK(vlookup($D1594,Pop_Census_2023!$A$2:$E$3220,4,FALSE))),vlookup($D1594,Pop_Census_2023!$A$2:$E$3220,4,FALSE), vlookup($D1594,Pop_Census_2023!$A$2:$E$3220,5,FALSE))</f>
        <v>23534</v>
      </c>
      <c r="F1594" s="32">
        <v>758563.0</v>
      </c>
      <c r="G1594" s="32">
        <v>73.0</v>
      </c>
      <c r="H1594" s="32" t="str">
        <f>VLOOKUP(D1594, Grid_Region_Mapping!$D$2:$F$5286, 3, FALSE)</f>
        <v>MISC</v>
      </c>
      <c r="I1594" s="32">
        <v>4.0</v>
      </c>
      <c r="J1594" s="34" t="str">
        <f t="shared" si="1"/>
        <v>Midwest</v>
      </c>
      <c r="K1594" s="35">
        <v>3.0</v>
      </c>
      <c r="L1594" s="35" t="s">
        <v>223</v>
      </c>
      <c r="M1594" s="36">
        <f>VLOOKUP(D1594, County_Data_CZones!$B$2:$F$3236, 2, FALSE)</f>
        <v>4</v>
      </c>
      <c r="N1594" s="37" t="str">
        <f>VLOOKUP(D1594, County_Data_CZones!$B$2:$F$3236, 5, FALSE)</f>
        <v>Mixed-Humid</v>
      </c>
    </row>
    <row r="1595" ht="15.75" customHeight="1">
      <c r="A1595" s="32" t="s">
        <v>562</v>
      </c>
      <c r="B1595" s="32" t="s">
        <v>1121</v>
      </c>
      <c r="C1595" s="32" t="str">
        <f>vlookup(B1595,State_EMM_RowSums!$A$2:$B$52,2,FALSE)</f>
        <v>MO</v>
      </c>
      <c r="D1595" s="32">
        <v>29223.0</v>
      </c>
      <c r="E1595" s="33">
        <f>IF(NOT(ISBLANK(vlookup($D1595,Pop_Census_2023!$A$2:$E$3220,4,FALSE))),vlookup($D1595,Pop_Census_2023!$A$2:$E$3220,4,FALSE), vlookup($D1595,Pop_Census_2023!$A$2:$E$3220,5,FALSE))</f>
        <v>10811</v>
      </c>
      <c r="F1595" s="32">
        <v>758564.0</v>
      </c>
      <c r="G1595" s="32">
        <v>84.0</v>
      </c>
      <c r="H1595" s="32" t="str">
        <f>VLOOKUP(D1595, Grid_Region_Mapping!$D$2:$F$5286, 3, FALSE)</f>
        <v>MISC</v>
      </c>
      <c r="I1595" s="32">
        <v>4.0</v>
      </c>
      <c r="J1595" s="34" t="str">
        <f t="shared" si="1"/>
        <v>Midwest</v>
      </c>
      <c r="K1595" s="35">
        <v>3.0</v>
      </c>
      <c r="L1595" s="35" t="s">
        <v>223</v>
      </c>
      <c r="M1595" s="36">
        <f>VLOOKUP(D1595, County_Data_CZones!$B$2:$F$3236, 2, FALSE)</f>
        <v>4</v>
      </c>
      <c r="N1595" s="37" t="str">
        <f>VLOOKUP(D1595, County_Data_CZones!$B$2:$F$3236, 5, FALSE)</f>
        <v>Mixed-Humid</v>
      </c>
    </row>
    <row r="1596" ht="15.75" customHeight="1">
      <c r="A1596" s="32" t="s">
        <v>563</v>
      </c>
      <c r="B1596" s="32" t="s">
        <v>1121</v>
      </c>
      <c r="C1596" s="32" t="str">
        <f>vlookup(B1596,State_EMM_RowSums!$A$2:$B$52,2,FALSE)</f>
        <v>MO</v>
      </c>
      <c r="D1596" s="32">
        <v>29225.0</v>
      </c>
      <c r="E1596" s="33">
        <f>IF(NOT(ISBLANK(vlookup($D1596,Pop_Census_2023!$A$2:$E$3220,4,FALSE))),vlookup($D1596,Pop_Census_2023!$A$2:$E$3220,4,FALSE), vlookup($D1596,Pop_Census_2023!$A$2:$E$3220,5,FALSE))</f>
        <v>41472</v>
      </c>
      <c r="F1596" s="32">
        <v>758565.0</v>
      </c>
      <c r="G1596" s="32">
        <v>55.0</v>
      </c>
      <c r="H1596" s="32" t="str">
        <f>VLOOKUP(D1596, Grid_Region_Mapping!$D$2:$F$5286, 3, FALSE)</f>
        <v>SPPC</v>
      </c>
      <c r="I1596" s="32">
        <v>4.0</v>
      </c>
      <c r="J1596" s="34" t="str">
        <f t="shared" si="1"/>
        <v>Midwest</v>
      </c>
      <c r="K1596" s="35">
        <v>3.0</v>
      </c>
      <c r="L1596" s="35" t="s">
        <v>223</v>
      </c>
      <c r="M1596" s="36">
        <f>VLOOKUP(D1596, County_Data_CZones!$B$2:$F$3236, 2, FALSE)</f>
        <v>4</v>
      </c>
      <c r="N1596" s="37" t="str">
        <f>VLOOKUP(D1596, County_Data_CZones!$B$2:$F$3236, 5, FALSE)</f>
        <v>Mixed-Humid</v>
      </c>
    </row>
    <row r="1597" ht="15.75" customHeight="1">
      <c r="A1597" s="32" t="s">
        <v>568</v>
      </c>
      <c r="B1597" s="32" t="s">
        <v>1121</v>
      </c>
      <c r="C1597" s="32" t="str">
        <f>vlookup(B1597,State_EMM_RowSums!$A$2:$B$52,2,FALSE)</f>
        <v>MO</v>
      </c>
      <c r="D1597" s="32">
        <v>29227.0</v>
      </c>
      <c r="E1597" s="33">
        <f>IF(NOT(ISBLANK(vlookup($D1597,Pop_Census_2023!$A$2:$E$3220,4,FALSE))),vlookup($D1597,Pop_Census_2023!$A$2:$E$3220,4,FALSE), vlookup($D1597,Pop_Census_2023!$A$2:$E$3220,5,FALSE))</f>
        <v>1907</v>
      </c>
      <c r="F1597" s="32">
        <v>758566.0</v>
      </c>
      <c r="G1597" s="32">
        <v>54.0</v>
      </c>
      <c r="H1597" s="32" t="str">
        <f>VLOOKUP(D1597, Grid_Region_Mapping!$D$2:$F$5286, 3, FALSE)</f>
        <v>SPPC</v>
      </c>
      <c r="I1597" s="32">
        <v>4.0</v>
      </c>
      <c r="J1597" s="34" t="str">
        <f t="shared" si="1"/>
        <v>Midwest</v>
      </c>
      <c r="K1597" s="35">
        <v>2.0</v>
      </c>
      <c r="L1597" s="35" t="s">
        <v>396</v>
      </c>
      <c r="M1597" s="36">
        <f>VLOOKUP(D1597, County_Data_CZones!$B$2:$F$3236, 2, FALSE)</f>
        <v>5</v>
      </c>
      <c r="N1597" s="37" t="str">
        <f>VLOOKUP(D1597, County_Data_CZones!$B$2:$F$3236, 5, FALSE)</f>
        <v>Cold</v>
      </c>
    </row>
    <row r="1598" ht="15.75" customHeight="1">
      <c r="A1598" s="32" t="s">
        <v>749</v>
      </c>
      <c r="B1598" s="32" t="s">
        <v>1121</v>
      </c>
      <c r="C1598" s="32" t="str">
        <f>vlookup(B1598,State_EMM_RowSums!$A$2:$B$52,2,FALSE)</f>
        <v>MO</v>
      </c>
      <c r="D1598" s="32">
        <v>29229.0</v>
      </c>
      <c r="E1598" s="33">
        <f>IF(NOT(ISBLANK(vlookup($D1598,Pop_Census_2023!$A$2:$E$3220,4,FALSE))),vlookup($D1598,Pop_Census_2023!$A$2:$E$3220,4,FALSE), vlookup($D1598,Pop_Census_2023!$A$2:$E$3220,5,FALSE))</f>
        <v>19403</v>
      </c>
      <c r="F1598" s="32">
        <v>758567.0</v>
      </c>
      <c r="G1598" s="32">
        <v>84.0</v>
      </c>
      <c r="H1598" s="32" t="str">
        <f>VLOOKUP(D1598, Grid_Region_Mapping!$D$2:$F$5286, 3, FALSE)</f>
        <v>MISC</v>
      </c>
      <c r="I1598" s="32">
        <v>4.0</v>
      </c>
      <c r="J1598" s="34" t="str">
        <f t="shared" si="1"/>
        <v>Midwest</v>
      </c>
      <c r="K1598" s="35">
        <v>3.0</v>
      </c>
      <c r="L1598" s="35" t="s">
        <v>223</v>
      </c>
      <c r="M1598" s="36">
        <f>VLOOKUP(D1598, County_Data_CZones!$B$2:$F$3236, 2, FALSE)</f>
        <v>4</v>
      </c>
      <c r="N1598" s="37" t="str">
        <f>VLOOKUP(D1598, County_Data_CZones!$B$2:$F$3236, 5, FALSE)</f>
        <v>Mixed-Humid</v>
      </c>
    </row>
    <row r="1599" ht="15.75" customHeight="1">
      <c r="A1599" s="32" t="s">
        <v>1160</v>
      </c>
      <c r="B1599" s="32" t="s">
        <v>1121</v>
      </c>
      <c r="C1599" s="32" t="str">
        <f>vlookup(B1599,State_EMM_RowSums!$A$2:$B$52,2,FALSE)</f>
        <v>MO</v>
      </c>
      <c r="D1599" s="32">
        <v>29510.0</v>
      </c>
      <c r="E1599" s="33">
        <f>IF(NOT(ISBLANK(vlookup($D1599,Pop_Census_2023!$A$2:$E$3220,4,FALSE))),vlookup($D1599,Pop_Census_2023!$A$2:$E$3220,4,FALSE), vlookup($D1599,Pop_Census_2023!$A$2:$E$3220,5,FALSE))</f>
        <v>281754</v>
      </c>
      <c r="F1599" s="32">
        <v>767557.0</v>
      </c>
      <c r="G1599" s="32">
        <v>72.0</v>
      </c>
      <c r="H1599" s="32" t="str">
        <f>VLOOKUP(D1599, Grid_Region_Mapping!$D$2:$F$5286, 3, FALSE)</f>
        <v>MISC</v>
      </c>
      <c r="I1599" s="32">
        <v>4.0</v>
      </c>
      <c r="J1599" s="34" t="str">
        <f t="shared" si="1"/>
        <v>Midwest</v>
      </c>
      <c r="K1599" s="35">
        <v>3.0</v>
      </c>
      <c r="L1599" s="35" t="s">
        <v>223</v>
      </c>
      <c r="M1599" s="36">
        <f>VLOOKUP(D1599, County_Data_CZones!$B$2:$F$3236, 2, FALSE)</f>
        <v>4</v>
      </c>
      <c r="N1599" s="37" t="str">
        <f>VLOOKUP(D1599, County_Data_CZones!$B$2:$F$3236, 5, FALSE)</f>
        <v>Mixed-Humid</v>
      </c>
    </row>
    <row r="1600" ht="15.75" customHeight="1">
      <c r="A1600" s="32" t="s">
        <v>1161</v>
      </c>
      <c r="B1600" s="32" t="s">
        <v>1162</v>
      </c>
      <c r="C1600" s="32" t="str">
        <f>vlookup(B1600,State_EMM_RowSums!$A$2:$B$52,2,FALSE)</f>
        <v>MT</v>
      </c>
      <c r="D1600" s="32">
        <v>30001.0</v>
      </c>
      <c r="E1600" s="33">
        <f>IF(NOT(ISBLANK(vlookup($D1600,Pop_Census_2023!$A$2:$E$3220,4,FALSE))),vlookup($D1600,Pop_Census_2023!$A$2:$E$3220,4,FALSE), vlookup($D1600,Pop_Census_2023!$A$2:$E$3220,5,FALSE))</f>
        <v>9885</v>
      </c>
      <c r="F1600" s="32">
        <v>1719627.0</v>
      </c>
      <c r="G1600" s="32">
        <v>17.0</v>
      </c>
      <c r="H1600" s="32" t="str">
        <f>VLOOKUP(D1600, Grid_Region_Mapping!$D$2:$F$5286, 3, FALSE)</f>
        <v>NWPP</v>
      </c>
      <c r="I1600" s="32">
        <v>8.0</v>
      </c>
      <c r="J1600" s="34" t="str">
        <f t="shared" si="1"/>
        <v>West</v>
      </c>
      <c r="K1600" s="35">
        <v>1.0</v>
      </c>
      <c r="L1600" s="35" t="s">
        <v>282</v>
      </c>
      <c r="M1600" s="36">
        <f>VLOOKUP(D1600, County_Data_CZones!$B$2:$F$3236, 2, FALSE)</f>
        <v>6</v>
      </c>
      <c r="N1600" s="37" t="str">
        <f>VLOOKUP(D1600, County_Data_CZones!$B$2:$F$3236, 5, FALSE)</f>
        <v>Cold</v>
      </c>
    </row>
    <row r="1601" ht="15.75" customHeight="1">
      <c r="A1601" s="32" t="s">
        <v>1163</v>
      </c>
      <c r="B1601" s="32" t="s">
        <v>1162</v>
      </c>
      <c r="C1601" s="32" t="str">
        <f>vlookup(B1601,State_EMM_RowSums!$A$2:$B$52,2,FALSE)</f>
        <v>MT</v>
      </c>
      <c r="D1601" s="32">
        <v>30003.0</v>
      </c>
      <c r="E1601" s="33">
        <f>IF(NOT(ISBLANK(vlookup($D1601,Pop_Census_2023!$A$2:$E$3220,4,FALSE))),vlookup($D1601,Pop_Census_2023!$A$2:$E$3220,4,FALSE), vlookup($D1601,Pop_Census_2023!$A$2:$E$3220,5,FALSE))</f>
        <v>12751</v>
      </c>
      <c r="F1601" s="32">
        <v>1716521.0</v>
      </c>
      <c r="G1601" s="32">
        <v>18.0</v>
      </c>
      <c r="H1601" s="32" t="str">
        <f>VLOOKUP(D1601, Grid_Region_Mapping!$D$2:$F$5286, 3, FALSE)</f>
        <v>NWPP</v>
      </c>
      <c r="I1601" s="32">
        <v>8.0</v>
      </c>
      <c r="J1601" s="34" t="str">
        <f t="shared" si="1"/>
        <v>West</v>
      </c>
      <c r="K1601" s="35">
        <v>1.0</v>
      </c>
      <c r="L1601" s="35" t="s">
        <v>282</v>
      </c>
      <c r="M1601" s="36">
        <f>VLOOKUP(D1601, County_Data_CZones!$B$2:$F$3236, 2, FALSE)</f>
        <v>6</v>
      </c>
      <c r="N1601" s="37" t="str">
        <f>VLOOKUP(D1601, County_Data_CZones!$B$2:$F$3236, 5, FALSE)</f>
        <v>Cold</v>
      </c>
    </row>
    <row r="1602" ht="15.75" customHeight="1">
      <c r="A1602" s="32" t="s">
        <v>581</v>
      </c>
      <c r="B1602" s="32" t="s">
        <v>1162</v>
      </c>
      <c r="C1602" s="32" t="str">
        <f>vlookup(B1602,State_EMM_RowSums!$A$2:$B$52,2,FALSE)</f>
        <v>MT</v>
      </c>
      <c r="D1602" s="32">
        <v>30005.0</v>
      </c>
      <c r="E1602" s="33">
        <f>IF(NOT(ISBLANK(vlookup($D1602,Pop_Census_2023!$A$2:$E$3220,4,FALSE))),vlookup($D1602,Pop_Census_2023!$A$2:$E$3220,4,FALSE), vlookup($D1602,Pop_Census_2023!$A$2:$E$3220,5,FALSE))</f>
        <v>6899</v>
      </c>
      <c r="F1602" s="32">
        <v>1722470.0</v>
      </c>
      <c r="G1602" s="32">
        <v>18.0</v>
      </c>
      <c r="H1602" s="32" t="str">
        <f>VLOOKUP(D1602, Grid_Region_Mapping!$D$2:$F$5286, 3, FALSE)</f>
        <v>NWPP</v>
      </c>
      <c r="I1602" s="32">
        <v>8.0</v>
      </c>
      <c r="J1602" s="34" t="str">
        <f t="shared" si="1"/>
        <v>West</v>
      </c>
      <c r="K1602" s="35">
        <v>1.0</v>
      </c>
      <c r="L1602" s="35" t="s">
        <v>282</v>
      </c>
      <c r="M1602" s="36">
        <f>VLOOKUP(D1602, County_Data_CZones!$B$2:$F$3236, 2, FALSE)</f>
        <v>6</v>
      </c>
      <c r="N1602" s="37" t="str">
        <f>VLOOKUP(D1602, County_Data_CZones!$B$2:$F$3236, 5, FALSE)</f>
        <v>Cold</v>
      </c>
    </row>
    <row r="1603" ht="15.75" customHeight="1">
      <c r="A1603" s="32" t="s">
        <v>1164</v>
      </c>
      <c r="B1603" s="32" t="s">
        <v>1162</v>
      </c>
      <c r="C1603" s="32" t="str">
        <f>vlookup(B1603,State_EMM_RowSums!$A$2:$B$52,2,FALSE)</f>
        <v>MT</v>
      </c>
      <c r="D1603" s="32">
        <v>30007.0</v>
      </c>
      <c r="E1603" s="33">
        <f>IF(NOT(ISBLANK(vlookup($D1603,Pop_Census_2023!$A$2:$E$3220,4,FALSE))),vlookup($D1603,Pop_Census_2023!$A$2:$E$3220,4,FALSE), vlookup($D1603,Pop_Census_2023!$A$2:$E$3220,5,FALSE))</f>
        <v>8032</v>
      </c>
      <c r="F1603" s="32">
        <v>1719625.0</v>
      </c>
      <c r="G1603" s="32">
        <v>17.0</v>
      </c>
      <c r="H1603" s="32" t="str">
        <f>VLOOKUP(D1603, Grid_Region_Mapping!$D$2:$F$5286, 3, FALSE)</f>
        <v>NWPP</v>
      </c>
      <c r="I1603" s="32">
        <v>8.0</v>
      </c>
      <c r="J1603" s="34" t="str">
        <f t="shared" si="1"/>
        <v>West</v>
      </c>
      <c r="K1603" s="35">
        <v>1.0</v>
      </c>
      <c r="L1603" s="35" t="s">
        <v>282</v>
      </c>
      <c r="M1603" s="36">
        <f>VLOOKUP(D1603, County_Data_CZones!$B$2:$F$3236, 2, FALSE)</f>
        <v>6</v>
      </c>
      <c r="N1603" s="37" t="str">
        <f>VLOOKUP(D1603, County_Data_CZones!$B$2:$F$3236, 5, FALSE)</f>
        <v>Cold</v>
      </c>
    </row>
    <row r="1604" ht="15.75" customHeight="1">
      <c r="A1604" s="32" t="s">
        <v>1165</v>
      </c>
      <c r="B1604" s="32" t="s">
        <v>1162</v>
      </c>
      <c r="C1604" s="32" t="str">
        <f>vlookup(B1604,State_EMM_RowSums!$A$2:$B$52,2,FALSE)</f>
        <v>MT</v>
      </c>
      <c r="D1604" s="32">
        <v>30009.0</v>
      </c>
      <c r="E1604" s="33">
        <f>IF(NOT(ISBLANK(vlookup($D1604,Pop_Census_2023!$A$2:$E$3220,4,FALSE))),vlookup($D1604,Pop_Census_2023!$A$2:$E$3220,4,FALSE), vlookup($D1604,Pop_Census_2023!$A$2:$E$3220,5,FALSE))</f>
        <v>11419</v>
      </c>
      <c r="F1604" s="32">
        <v>1720111.0</v>
      </c>
      <c r="G1604" s="32">
        <v>18.0</v>
      </c>
      <c r="H1604" s="32" t="str">
        <f>VLOOKUP(D1604, Grid_Region_Mapping!$D$2:$F$5286, 3, FALSE)</f>
        <v>NWPP</v>
      </c>
      <c r="I1604" s="32">
        <v>8.0</v>
      </c>
      <c r="J1604" s="34" t="str">
        <f t="shared" si="1"/>
        <v>West</v>
      </c>
      <c r="K1604" s="35">
        <v>1.0</v>
      </c>
      <c r="L1604" s="35" t="s">
        <v>282</v>
      </c>
      <c r="M1604" s="36">
        <f>VLOOKUP(D1604, County_Data_CZones!$B$2:$F$3236, 2, FALSE)</f>
        <v>6</v>
      </c>
      <c r="N1604" s="37" t="str">
        <f>VLOOKUP(D1604, County_Data_CZones!$B$2:$F$3236, 5, FALSE)</f>
        <v>Cold</v>
      </c>
    </row>
    <row r="1605" ht="15.75" customHeight="1">
      <c r="A1605" s="32" t="s">
        <v>833</v>
      </c>
      <c r="B1605" s="32" t="s">
        <v>1162</v>
      </c>
      <c r="C1605" s="32" t="str">
        <f>vlookup(B1605,State_EMM_RowSums!$A$2:$B$52,2,FALSE)</f>
        <v>MT</v>
      </c>
      <c r="D1605" s="32">
        <v>30011.0</v>
      </c>
      <c r="E1605" s="33">
        <f>IF(NOT(ISBLANK(vlookup($D1605,Pop_Census_2023!$A$2:$E$3220,4,FALSE))),vlookup($D1605,Pop_Census_2023!$A$2:$E$3220,4,FALSE), vlookup($D1605,Pop_Census_2023!$A$2:$E$3220,5,FALSE))</f>
        <v>1418</v>
      </c>
      <c r="F1605" s="32">
        <v>1688746.0</v>
      </c>
      <c r="G1605" s="32">
        <v>35.0</v>
      </c>
      <c r="H1605" s="32" t="str">
        <f>VLOOKUP(D1605, Grid_Region_Mapping!$D$2:$F$5286, 3, FALSE)</f>
        <v>NWPP</v>
      </c>
      <c r="I1605" s="32">
        <v>8.0</v>
      </c>
      <c r="J1605" s="34" t="str">
        <f t="shared" si="1"/>
        <v>West</v>
      </c>
      <c r="K1605" s="35">
        <v>1.0</v>
      </c>
      <c r="L1605" s="35" t="s">
        <v>282</v>
      </c>
      <c r="M1605" s="36">
        <f>VLOOKUP(D1605, County_Data_CZones!$B$2:$F$3236, 2, FALSE)</f>
        <v>6</v>
      </c>
      <c r="N1605" s="37" t="str">
        <f>VLOOKUP(D1605, County_Data_CZones!$B$2:$F$3236, 5, FALSE)</f>
        <v>Cold</v>
      </c>
    </row>
    <row r="1606" ht="15.75" customHeight="1">
      <c r="A1606" s="32" t="s">
        <v>1166</v>
      </c>
      <c r="B1606" s="32" t="s">
        <v>1162</v>
      </c>
      <c r="C1606" s="32" t="str">
        <f>vlookup(B1606,State_EMM_RowSums!$A$2:$B$52,2,FALSE)</f>
        <v>MT</v>
      </c>
      <c r="D1606" s="32">
        <v>30013.0</v>
      </c>
      <c r="E1606" s="33">
        <f>IF(NOT(ISBLANK(vlookup($D1606,Pop_Census_2023!$A$2:$E$3220,4,FALSE))),vlookup($D1606,Pop_Census_2023!$A$2:$E$3220,4,FALSE), vlookup($D1606,Pop_Census_2023!$A$2:$E$3220,5,FALSE))</f>
        <v>84900</v>
      </c>
      <c r="F1606" s="32">
        <v>1719622.0</v>
      </c>
      <c r="G1606" s="32">
        <v>18.0</v>
      </c>
      <c r="H1606" s="32" t="str">
        <f>VLOOKUP(D1606, Grid_Region_Mapping!$D$2:$F$5286, 3, FALSE)</f>
        <v>NWPP</v>
      </c>
      <c r="I1606" s="32">
        <v>8.0</v>
      </c>
      <c r="J1606" s="34" t="str">
        <f t="shared" si="1"/>
        <v>West</v>
      </c>
      <c r="K1606" s="35">
        <v>1.0</v>
      </c>
      <c r="L1606" s="35" t="s">
        <v>282</v>
      </c>
      <c r="M1606" s="36">
        <f>VLOOKUP(D1606, County_Data_CZones!$B$2:$F$3236, 2, FALSE)</f>
        <v>6</v>
      </c>
      <c r="N1606" s="37" t="str">
        <f>VLOOKUP(D1606, County_Data_CZones!$B$2:$F$3236, 5, FALSE)</f>
        <v>Cold</v>
      </c>
    </row>
    <row r="1607" ht="15.75" customHeight="1">
      <c r="A1607" s="32" t="s">
        <v>1167</v>
      </c>
      <c r="B1607" s="32" t="s">
        <v>1162</v>
      </c>
      <c r="C1607" s="32" t="str">
        <f>vlookup(B1607,State_EMM_RowSums!$A$2:$B$52,2,FALSE)</f>
        <v>MT</v>
      </c>
      <c r="D1607" s="32">
        <v>30015.0</v>
      </c>
      <c r="E1607" s="33">
        <f>IF(NOT(ISBLANK(vlookup($D1607,Pop_Census_2023!$A$2:$E$3220,4,FALSE))),vlookup($D1607,Pop_Census_2023!$A$2:$E$3220,4,FALSE), vlookup($D1607,Pop_Census_2023!$A$2:$E$3220,5,FALSE))</f>
        <v>5847</v>
      </c>
      <c r="F1607" s="32">
        <v>1719619.0</v>
      </c>
      <c r="G1607" s="32">
        <v>18.0</v>
      </c>
      <c r="H1607" s="32" t="str">
        <f>VLOOKUP(D1607, Grid_Region_Mapping!$D$2:$F$5286, 3, FALSE)</f>
        <v>NWPP</v>
      </c>
      <c r="I1607" s="32">
        <v>8.0</v>
      </c>
      <c r="J1607" s="34" t="str">
        <f t="shared" si="1"/>
        <v>West</v>
      </c>
      <c r="K1607" s="35">
        <v>1.0</v>
      </c>
      <c r="L1607" s="35" t="s">
        <v>282</v>
      </c>
      <c r="M1607" s="36">
        <f>VLOOKUP(D1607, County_Data_CZones!$B$2:$F$3236, 2, FALSE)</f>
        <v>6</v>
      </c>
      <c r="N1607" s="37" t="str">
        <f>VLOOKUP(D1607, County_Data_CZones!$B$2:$F$3236, 5, FALSE)</f>
        <v>Cold</v>
      </c>
    </row>
    <row r="1608" ht="15.75" customHeight="1">
      <c r="A1608" s="32" t="s">
        <v>353</v>
      </c>
      <c r="B1608" s="32" t="s">
        <v>1162</v>
      </c>
      <c r="C1608" s="32" t="str">
        <f>vlookup(B1608,State_EMM_RowSums!$A$2:$B$52,2,FALSE)</f>
        <v>MT</v>
      </c>
      <c r="D1608" s="32">
        <v>30017.0</v>
      </c>
      <c r="E1608" s="33">
        <f>IF(NOT(ISBLANK(vlookup($D1608,Pop_Census_2023!$A$2:$E$3220,4,FALSE))),vlookup($D1608,Pop_Census_2023!$A$2:$E$3220,4,FALSE), vlookup($D1608,Pop_Census_2023!$A$2:$E$3220,5,FALSE))</f>
        <v>11985</v>
      </c>
      <c r="F1608" s="32">
        <v>1720109.0</v>
      </c>
      <c r="G1608" s="32">
        <v>35.0</v>
      </c>
      <c r="H1608" s="32" t="str">
        <f>VLOOKUP(D1608, Grid_Region_Mapping!$D$2:$F$5286, 3, FALSE)</f>
        <v>NWPP</v>
      </c>
      <c r="I1608" s="32">
        <v>8.0</v>
      </c>
      <c r="J1608" s="34" t="str">
        <f t="shared" si="1"/>
        <v>West</v>
      </c>
      <c r="K1608" s="35">
        <v>1.0</v>
      </c>
      <c r="L1608" s="35" t="s">
        <v>282</v>
      </c>
      <c r="M1608" s="36">
        <f>VLOOKUP(D1608, County_Data_CZones!$B$2:$F$3236, 2, FALSE)</f>
        <v>6</v>
      </c>
      <c r="N1608" s="37" t="str">
        <f>VLOOKUP(D1608, County_Data_CZones!$B$2:$F$3236, 5, FALSE)</f>
        <v>Cold</v>
      </c>
    </row>
    <row r="1609" ht="15.75" customHeight="1">
      <c r="A1609" s="32" t="s">
        <v>1168</v>
      </c>
      <c r="B1609" s="32" t="s">
        <v>1162</v>
      </c>
      <c r="C1609" s="32" t="str">
        <f>vlookup(B1609,State_EMM_RowSums!$A$2:$B$52,2,FALSE)</f>
        <v>MT</v>
      </c>
      <c r="D1609" s="32">
        <v>30019.0</v>
      </c>
      <c r="E1609" s="33">
        <f>IF(NOT(ISBLANK(vlookup($D1609,Pop_Census_2023!$A$2:$E$3220,4,FALSE))),vlookup($D1609,Pop_Census_2023!$A$2:$E$3220,4,FALSE), vlookup($D1609,Pop_Census_2023!$A$2:$E$3220,5,FALSE))</f>
        <v>1633</v>
      </c>
      <c r="F1609" s="32">
        <v>1637566.0</v>
      </c>
      <c r="G1609" s="32">
        <v>35.0</v>
      </c>
      <c r="H1609" s="32" t="str">
        <f>VLOOKUP(D1609, Grid_Region_Mapping!$D$2:$F$5286, 3, FALSE)</f>
        <v>MISW</v>
      </c>
      <c r="I1609" s="32">
        <v>8.0</v>
      </c>
      <c r="J1609" s="34" t="str">
        <f t="shared" si="1"/>
        <v>West</v>
      </c>
      <c r="K1609" s="35">
        <v>1.0</v>
      </c>
      <c r="L1609" s="35" t="s">
        <v>282</v>
      </c>
      <c r="M1609" s="36">
        <f>VLOOKUP(D1609, County_Data_CZones!$B$2:$F$3236, 2, FALSE)</f>
        <v>6</v>
      </c>
      <c r="N1609" s="37" t="str">
        <f>VLOOKUP(D1609, County_Data_CZones!$B$2:$F$3236, 5, FALSE)</f>
        <v>Cold</v>
      </c>
    </row>
    <row r="1610" ht="15.75" customHeight="1">
      <c r="A1610" s="32" t="s">
        <v>491</v>
      </c>
      <c r="B1610" s="32" t="s">
        <v>1162</v>
      </c>
      <c r="C1610" s="32" t="str">
        <f>vlookup(B1610,State_EMM_RowSums!$A$2:$B$52,2,FALSE)</f>
        <v>MT</v>
      </c>
      <c r="D1610" s="32">
        <v>30021.0</v>
      </c>
      <c r="E1610" s="33">
        <f>IF(NOT(ISBLANK(vlookup($D1610,Pop_Census_2023!$A$2:$E$3220,4,FALSE))),vlookup($D1610,Pop_Census_2023!$A$2:$E$3220,4,FALSE), vlookup($D1610,Pop_Census_2023!$A$2:$E$3220,5,FALSE))</f>
        <v>8810</v>
      </c>
      <c r="F1610" s="32">
        <v>1715632.0</v>
      </c>
      <c r="G1610" s="32">
        <v>35.0</v>
      </c>
      <c r="H1610" s="32" t="str">
        <f>VLOOKUP(D1610, Grid_Region_Mapping!$D$2:$F$5286, 3, FALSE)</f>
        <v>SPPN</v>
      </c>
      <c r="I1610" s="32">
        <v>8.0</v>
      </c>
      <c r="J1610" s="34" t="str">
        <f t="shared" si="1"/>
        <v>West</v>
      </c>
      <c r="K1610" s="35">
        <v>1.0</v>
      </c>
      <c r="L1610" s="35" t="s">
        <v>282</v>
      </c>
      <c r="M1610" s="36">
        <f>VLOOKUP(D1610, County_Data_CZones!$B$2:$F$3236, 2, FALSE)</f>
        <v>6</v>
      </c>
      <c r="N1610" s="37" t="str">
        <f>VLOOKUP(D1610, County_Data_CZones!$B$2:$F$3236, 5, FALSE)</f>
        <v>Cold</v>
      </c>
    </row>
    <row r="1611" ht="15.75" customHeight="1">
      <c r="A1611" s="32" t="s">
        <v>1169</v>
      </c>
      <c r="B1611" s="32" t="s">
        <v>1162</v>
      </c>
      <c r="C1611" s="32" t="str">
        <f>vlookup(B1611,State_EMM_RowSums!$A$2:$B$52,2,FALSE)</f>
        <v>MT</v>
      </c>
      <c r="D1611" s="32">
        <v>30023.0</v>
      </c>
      <c r="E1611" s="33">
        <f>IF(NOT(ISBLANK(vlookup($D1611,Pop_Census_2023!$A$2:$E$3220,4,FALSE))),vlookup($D1611,Pop_Census_2023!$A$2:$E$3220,4,FALSE), vlookup($D1611,Pop_Census_2023!$A$2:$E$3220,5,FALSE))</f>
        <v>9673</v>
      </c>
      <c r="F1611" s="32">
        <v>1719617.0</v>
      </c>
      <c r="G1611" s="32">
        <v>17.0</v>
      </c>
      <c r="H1611" s="32" t="str">
        <f>VLOOKUP(D1611, Grid_Region_Mapping!$D$2:$F$5286, 3, FALSE)</f>
        <v>NWPP</v>
      </c>
      <c r="I1611" s="32">
        <v>8.0</v>
      </c>
      <c r="J1611" s="34" t="str">
        <f t="shared" si="1"/>
        <v>West</v>
      </c>
      <c r="K1611" s="35">
        <v>1.0</v>
      </c>
      <c r="L1611" s="35" t="s">
        <v>282</v>
      </c>
      <c r="M1611" s="36">
        <f>VLOOKUP(D1611, County_Data_CZones!$B$2:$F$3236, 2, FALSE)</f>
        <v>6</v>
      </c>
      <c r="N1611" s="37" t="str">
        <f>VLOOKUP(D1611, County_Data_CZones!$B$2:$F$3236, 5, FALSE)</f>
        <v>Cold</v>
      </c>
    </row>
    <row r="1612" ht="15.75" customHeight="1">
      <c r="A1612" s="32" t="s">
        <v>1170</v>
      </c>
      <c r="B1612" s="32" t="s">
        <v>1162</v>
      </c>
      <c r="C1612" s="32" t="str">
        <f>vlookup(B1612,State_EMM_RowSums!$A$2:$B$52,2,FALSE)</f>
        <v>MT</v>
      </c>
      <c r="D1612" s="32">
        <v>30025.0</v>
      </c>
      <c r="E1612" s="33">
        <f>IF(NOT(ISBLANK(vlookup($D1612,Pop_Census_2023!$A$2:$E$3220,4,FALSE))),vlookup($D1612,Pop_Census_2023!$A$2:$E$3220,4,FALSE), vlookup($D1612,Pop_Census_2023!$A$2:$E$3220,5,FALSE))</f>
        <v>2994</v>
      </c>
      <c r="F1612" s="32">
        <v>1688745.0</v>
      </c>
      <c r="G1612" s="32">
        <v>35.0</v>
      </c>
      <c r="H1612" s="32" t="str">
        <f>VLOOKUP(D1612, Grid_Region_Mapping!$D$2:$F$5286, 3, FALSE)</f>
        <v>SPPN</v>
      </c>
      <c r="I1612" s="32">
        <v>8.0</v>
      </c>
      <c r="J1612" s="34" t="str">
        <f t="shared" si="1"/>
        <v>West</v>
      </c>
      <c r="K1612" s="35">
        <v>1.0</v>
      </c>
      <c r="L1612" s="35" t="s">
        <v>282</v>
      </c>
      <c r="M1612" s="36">
        <f>VLOOKUP(D1612, County_Data_CZones!$B$2:$F$3236, 2, FALSE)</f>
        <v>6</v>
      </c>
      <c r="N1612" s="37" t="str">
        <f>VLOOKUP(D1612, County_Data_CZones!$B$2:$F$3236, 5, FALSE)</f>
        <v>Cold</v>
      </c>
    </row>
    <row r="1613" ht="15.75" customHeight="1">
      <c r="A1613" s="32" t="s">
        <v>1171</v>
      </c>
      <c r="B1613" s="32" t="s">
        <v>1162</v>
      </c>
      <c r="C1613" s="32" t="str">
        <f>vlookup(B1613,State_EMM_RowSums!$A$2:$B$52,2,FALSE)</f>
        <v>MT</v>
      </c>
      <c r="D1613" s="32">
        <v>30027.0</v>
      </c>
      <c r="E1613" s="33">
        <f>IF(NOT(ISBLANK(vlookup($D1613,Pop_Census_2023!$A$2:$E$3220,4,FALSE))),vlookup($D1613,Pop_Census_2023!$A$2:$E$3220,4,FALSE), vlookup($D1613,Pop_Census_2023!$A$2:$E$3220,5,FALSE))</f>
        <v>11772</v>
      </c>
      <c r="F1613" s="32">
        <v>1719614.0</v>
      </c>
      <c r="G1613" s="32">
        <v>20.0</v>
      </c>
      <c r="H1613" s="32" t="str">
        <f>VLOOKUP(D1613, Grid_Region_Mapping!$D$2:$F$5286, 3, FALSE)</f>
        <v>NWPP</v>
      </c>
      <c r="I1613" s="32">
        <v>8.0</v>
      </c>
      <c r="J1613" s="34" t="str">
        <f t="shared" si="1"/>
        <v>West</v>
      </c>
      <c r="K1613" s="35">
        <v>1.0</v>
      </c>
      <c r="L1613" s="35" t="s">
        <v>282</v>
      </c>
      <c r="M1613" s="36">
        <f>VLOOKUP(D1613, County_Data_CZones!$B$2:$F$3236, 2, FALSE)</f>
        <v>6</v>
      </c>
      <c r="N1613" s="37" t="str">
        <f>VLOOKUP(D1613, County_Data_CZones!$B$2:$F$3236, 5, FALSE)</f>
        <v>Cold</v>
      </c>
    </row>
    <row r="1614" ht="15.75" customHeight="1">
      <c r="A1614" s="32" t="s">
        <v>1172</v>
      </c>
      <c r="B1614" s="32" t="s">
        <v>1162</v>
      </c>
      <c r="C1614" s="32" t="str">
        <f>vlookup(B1614,State_EMM_RowSums!$A$2:$B$52,2,FALSE)</f>
        <v>MT</v>
      </c>
      <c r="D1614" s="32">
        <v>30029.0</v>
      </c>
      <c r="E1614" s="33">
        <f>IF(NOT(ISBLANK(vlookup($D1614,Pop_Census_2023!$A$2:$E$3220,4,FALSE))),vlookup($D1614,Pop_Census_2023!$A$2:$E$3220,4,FALSE), vlookup($D1614,Pop_Census_2023!$A$2:$E$3220,5,FALSE))</f>
        <v>113679</v>
      </c>
      <c r="F1614" s="32">
        <v>1719611.0</v>
      </c>
      <c r="G1614" s="32">
        <v>17.0</v>
      </c>
      <c r="H1614" s="32" t="str">
        <f>VLOOKUP(D1614, Grid_Region_Mapping!$D$2:$F$5286, 3, FALSE)</f>
        <v>NWPP</v>
      </c>
      <c r="I1614" s="32">
        <v>8.0</v>
      </c>
      <c r="J1614" s="34" t="str">
        <f t="shared" si="1"/>
        <v>West</v>
      </c>
      <c r="K1614" s="35">
        <v>1.0</v>
      </c>
      <c r="L1614" s="35" t="s">
        <v>282</v>
      </c>
      <c r="M1614" s="36">
        <f>VLOOKUP(D1614, County_Data_CZones!$B$2:$F$3236, 2, FALSE)</f>
        <v>6</v>
      </c>
      <c r="N1614" s="37" t="str">
        <f>VLOOKUP(D1614, County_Data_CZones!$B$2:$F$3236, 5, FALSE)</f>
        <v>Cold</v>
      </c>
    </row>
    <row r="1615" ht="15.75" customHeight="1">
      <c r="A1615" s="32" t="s">
        <v>624</v>
      </c>
      <c r="B1615" s="32" t="s">
        <v>1162</v>
      </c>
      <c r="C1615" s="32" t="str">
        <f>vlookup(B1615,State_EMM_RowSums!$A$2:$B$52,2,FALSE)</f>
        <v>MT</v>
      </c>
      <c r="D1615" s="32">
        <v>30031.0</v>
      </c>
      <c r="E1615" s="33">
        <f>IF(NOT(ISBLANK(vlookup($D1615,Pop_Census_2023!$A$2:$E$3220,4,FALSE))),vlookup($D1615,Pop_Census_2023!$A$2:$E$3220,4,FALSE), vlookup($D1615,Pop_Census_2023!$A$2:$E$3220,5,FALSE))</f>
        <v>126409</v>
      </c>
      <c r="F1615" s="32">
        <v>1720053.0</v>
      </c>
      <c r="G1615" s="32">
        <v>18.0</v>
      </c>
      <c r="H1615" s="32" t="str">
        <f>VLOOKUP(D1615, Grid_Region_Mapping!$D$2:$F$5286, 3, FALSE)</f>
        <v>NWPP</v>
      </c>
      <c r="I1615" s="32">
        <v>8.0</v>
      </c>
      <c r="J1615" s="34" t="str">
        <f t="shared" si="1"/>
        <v>West</v>
      </c>
      <c r="K1615" s="35">
        <v>1.0</v>
      </c>
      <c r="L1615" s="35" t="s">
        <v>282</v>
      </c>
      <c r="M1615" s="36">
        <f>VLOOKUP(D1615, County_Data_CZones!$B$2:$F$3236, 2, FALSE)</f>
        <v>6</v>
      </c>
      <c r="N1615" s="37" t="str">
        <f>VLOOKUP(D1615, County_Data_CZones!$B$2:$F$3236, 5, FALSE)</f>
        <v>Cold</v>
      </c>
    </row>
    <row r="1616" ht="15.75" customHeight="1">
      <c r="A1616" s="32" t="s">
        <v>362</v>
      </c>
      <c r="B1616" s="32" t="s">
        <v>1162</v>
      </c>
      <c r="C1616" s="32" t="str">
        <f>vlookup(B1616,State_EMM_RowSums!$A$2:$B$52,2,FALSE)</f>
        <v>MT</v>
      </c>
      <c r="D1616" s="32">
        <v>30033.0</v>
      </c>
      <c r="E1616" s="33">
        <f>IF(NOT(ISBLANK(vlookup($D1616,Pop_Census_2023!$A$2:$E$3220,4,FALSE))),vlookup($D1616,Pop_Census_2023!$A$2:$E$3220,4,FALSE), vlookup($D1616,Pop_Census_2023!$A$2:$E$3220,5,FALSE))</f>
        <v>1211</v>
      </c>
      <c r="F1616" s="32">
        <v>1716058.0</v>
      </c>
      <c r="G1616" s="32">
        <v>19.0</v>
      </c>
      <c r="H1616" s="32" t="str">
        <f>VLOOKUP(D1616, Grid_Region_Mapping!$D$2:$F$5286, 3, FALSE)</f>
        <v>NWPP</v>
      </c>
      <c r="I1616" s="32">
        <v>8.0</v>
      </c>
      <c r="J1616" s="34" t="str">
        <f t="shared" si="1"/>
        <v>West</v>
      </c>
      <c r="K1616" s="35">
        <v>1.0</v>
      </c>
      <c r="L1616" s="35" t="s">
        <v>282</v>
      </c>
      <c r="M1616" s="36">
        <f>VLOOKUP(D1616, County_Data_CZones!$B$2:$F$3236, 2, FALSE)</f>
        <v>6</v>
      </c>
      <c r="N1616" s="37" t="str">
        <f>VLOOKUP(D1616, County_Data_CZones!$B$2:$F$3236, 5, FALSE)</f>
        <v>Cold</v>
      </c>
    </row>
    <row r="1617" ht="15.75" customHeight="1">
      <c r="A1617" s="32" t="s">
        <v>1173</v>
      </c>
      <c r="B1617" s="32" t="s">
        <v>1162</v>
      </c>
      <c r="C1617" s="32" t="str">
        <f>vlookup(B1617,State_EMM_RowSums!$A$2:$B$52,2,FALSE)</f>
        <v>MT</v>
      </c>
      <c r="D1617" s="32">
        <v>30035.0</v>
      </c>
      <c r="E1617" s="33">
        <f>IF(NOT(ISBLANK(vlookup($D1617,Pop_Census_2023!$A$2:$E$3220,4,FALSE))),vlookup($D1617,Pop_Census_2023!$A$2:$E$3220,4,FALSE), vlookup($D1617,Pop_Census_2023!$A$2:$E$3220,5,FALSE))</f>
        <v>13609</v>
      </c>
      <c r="F1617" s="32">
        <v>1719607.0</v>
      </c>
      <c r="G1617" s="32">
        <v>18.0</v>
      </c>
      <c r="H1617" s="32" t="str">
        <f>VLOOKUP(D1617, Grid_Region_Mapping!$D$2:$F$5286, 3, FALSE)</f>
        <v>NWPP</v>
      </c>
      <c r="I1617" s="32">
        <v>8.0</v>
      </c>
      <c r="J1617" s="34" t="str">
        <f t="shared" si="1"/>
        <v>West</v>
      </c>
      <c r="K1617" s="35">
        <v>1.0</v>
      </c>
      <c r="L1617" s="35" t="s">
        <v>282</v>
      </c>
      <c r="M1617" s="36">
        <f>VLOOKUP(D1617, County_Data_CZones!$B$2:$F$3236, 2, FALSE)</f>
        <v>6</v>
      </c>
      <c r="N1617" s="37" t="str">
        <f>VLOOKUP(D1617, County_Data_CZones!$B$2:$F$3236, 5, FALSE)</f>
        <v>Cold</v>
      </c>
    </row>
    <row r="1618" ht="15.75" customHeight="1">
      <c r="A1618" s="32" t="s">
        <v>1174</v>
      </c>
      <c r="B1618" s="32" t="s">
        <v>1162</v>
      </c>
      <c r="C1618" s="32" t="str">
        <f>vlookup(B1618,State_EMM_RowSums!$A$2:$B$52,2,FALSE)</f>
        <v>MT</v>
      </c>
      <c r="D1618" s="32">
        <v>30037.0</v>
      </c>
      <c r="E1618" s="33">
        <f>IF(NOT(ISBLANK(vlookup($D1618,Pop_Census_2023!$A$2:$E$3220,4,FALSE))),vlookup($D1618,Pop_Census_2023!$A$2:$E$3220,4,FALSE), vlookup($D1618,Pop_Census_2023!$A$2:$E$3220,5,FALSE))</f>
        <v>835</v>
      </c>
      <c r="F1618" s="32">
        <v>1723078.0</v>
      </c>
      <c r="G1618" s="32">
        <v>20.0</v>
      </c>
      <c r="H1618" s="32" t="str">
        <f>VLOOKUP(D1618, Grid_Region_Mapping!$D$2:$F$5286, 3, FALSE)</f>
        <v>NWPP</v>
      </c>
      <c r="I1618" s="32">
        <v>8.0</v>
      </c>
      <c r="J1618" s="34" t="str">
        <f t="shared" si="1"/>
        <v>West</v>
      </c>
      <c r="K1618" s="35">
        <v>1.0</v>
      </c>
      <c r="L1618" s="35" t="s">
        <v>282</v>
      </c>
      <c r="M1618" s="36">
        <f>VLOOKUP(D1618, County_Data_CZones!$B$2:$F$3236, 2, FALSE)</f>
        <v>6</v>
      </c>
      <c r="N1618" s="37" t="str">
        <f>VLOOKUP(D1618, County_Data_CZones!$B$2:$F$3236, 5, FALSE)</f>
        <v>Cold</v>
      </c>
    </row>
    <row r="1619" ht="15.75" customHeight="1">
      <c r="A1619" s="32" t="s">
        <v>1175</v>
      </c>
      <c r="B1619" s="32" t="s">
        <v>1162</v>
      </c>
      <c r="C1619" s="32" t="str">
        <f>vlookup(B1619,State_EMM_RowSums!$A$2:$B$52,2,FALSE)</f>
        <v>MT</v>
      </c>
      <c r="D1619" s="32">
        <v>30039.0</v>
      </c>
      <c r="E1619" s="33">
        <f>IF(NOT(ISBLANK(vlookup($D1619,Pop_Census_2023!$A$2:$E$3220,4,FALSE))),vlookup($D1619,Pop_Census_2023!$A$2:$E$3220,4,FALSE), vlookup($D1619,Pop_Census_2023!$A$2:$E$3220,5,FALSE))</f>
        <v>3595</v>
      </c>
      <c r="F1619" s="32">
        <v>1719605.0</v>
      </c>
      <c r="G1619" s="32">
        <v>17.0</v>
      </c>
      <c r="H1619" s="32" t="str">
        <f>VLOOKUP(D1619, Grid_Region_Mapping!$D$2:$F$5286, 3, FALSE)</f>
        <v>NWPP</v>
      </c>
      <c r="I1619" s="32">
        <v>8.0</v>
      </c>
      <c r="J1619" s="34" t="str">
        <f t="shared" si="1"/>
        <v>West</v>
      </c>
      <c r="K1619" s="35">
        <v>1.0</v>
      </c>
      <c r="L1619" s="35" t="s">
        <v>282</v>
      </c>
      <c r="M1619" s="36">
        <f>VLOOKUP(D1619, County_Data_CZones!$B$2:$F$3236, 2, FALSE)</f>
        <v>6</v>
      </c>
      <c r="N1619" s="37" t="str">
        <f>VLOOKUP(D1619, County_Data_CZones!$B$2:$F$3236, 5, FALSE)</f>
        <v>Cold</v>
      </c>
    </row>
    <row r="1620" ht="15.75" customHeight="1">
      <c r="A1620" s="32" t="s">
        <v>1176</v>
      </c>
      <c r="B1620" s="32" t="s">
        <v>1162</v>
      </c>
      <c r="C1620" s="32" t="str">
        <f>vlookup(B1620,State_EMM_RowSums!$A$2:$B$52,2,FALSE)</f>
        <v>MT</v>
      </c>
      <c r="D1620" s="32">
        <v>30041.0</v>
      </c>
      <c r="E1620" s="33">
        <f>IF(NOT(ISBLANK(vlookup($D1620,Pop_Census_2023!$A$2:$E$3220,4,FALSE))),vlookup($D1620,Pop_Census_2023!$A$2:$E$3220,4,FALSE), vlookup($D1620,Pop_Census_2023!$A$2:$E$3220,5,FALSE))</f>
        <v>16276</v>
      </c>
      <c r="F1620" s="32">
        <v>1720048.0</v>
      </c>
      <c r="G1620" s="32">
        <v>18.0</v>
      </c>
      <c r="H1620" s="32" t="str">
        <f>VLOOKUP(D1620, Grid_Region_Mapping!$D$2:$F$5286, 3, FALSE)</f>
        <v>NWPP</v>
      </c>
      <c r="I1620" s="32">
        <v>8.0</v>
      </c>
      <c r="J1620" s="34" t="str">
        <f t="shared" si="1"/>
        <v>West</v>
      </c>
      <c r="K1620" s="35">
        <v>1.0</v>
      </c>
      <c r="L1620" s="35" t="s">
        <v>282</v>
      </c>
      <c r="M1620" s="36">
        <f>VLOOKUP(D1620, County_Data_CZones!$B$2:$F$3236, 2, FALSE)</f>
        <v>6</v>
      </c>
      <c r="N1620" s="37" t="str">
        <f>VLOOKUP(D1620, County_Data_CZones!$B$2:$F$3236, 5, FALSE)</f>
        <v>Cold</v>
      </c>
    </row>
    <row r="1621" ht="15.75" customHeight="1">
      <c r="A1621" s="32" t="s">
        <v>139</v>
      </c>
      <c r="B1621" s="32" t="s">
        <v>1162</v>
      </c>
      <c r="C1621" s="32" t="str">
        <f>vlookup(B1621,State_EMM_RowSums!$A$2:$B$52,2,FALSE)</f>
        <v>MT</v>
      </c>
      <c r="D1621" s="32">
        <v>30043.0</v>
      </c>
      <c r="E1621" s="33">
        <f>IF(NOT(ISBLANK(vlookup($D1621,Pop_Census_2023!$A$2:$E$3220,4,FALSE))),vlookup($D1621,Pop_Census_2023!$A$2:$E$3220,4,FALSE), vlookup($D1621,Pop_Census_2023!$A$2:$E$3220,5,FALSE))</f>
        <v>13048</v>
      </c>
      <c r="F1621" s="32">
        <v>1720045.0</v>
      </c>
      <c r="G1621" s="32">
        <v>17.0</v>
      </c>
      <c r="H1621" s="32" t="str">
        <f>VLOOKUP(D1621, Grid_Region_Mapping!$D$2:$F$5286, 3, FALSE)</f>
        <v>NWPP</v>
      </c>
      <c r="I1621" s="32">
        <v>8.0</v>
      </c>
      <c r="J1621" s="34" t="str">
        <f t="shared" si="1"/>
        <v>West</v>
      </c>
      <c r="K1621" s="35">
        <v>1.0</v>
      </c>
      <c r="L1621" s="35" t="s">
        <v>282</v>
      </c>
      <c r="M1621" s="36">
        <f>VLOOKUP(D1621, County_Data_CZones!$B$2:$F$3236, 2, FALSE)</f>
        <v>6</v>
      </c>
      <c r="N1621" s="37" t="str">
        <f>VLOOKUP(D1621, County_Data_CZones!$B$2:$F$3236, 5, FALSE)</f>
        <v>Cold</v>
      </c>
    </row>
    <row r="1622" ht="15.75" customHeight="1">
      <c r="A1622" s="32" t="s">
        <v>1177</v>
      </c>
      <c r="B1622" s="32" t="s">
        <v>1162</v>
      </c>
      <c r="C1622" s="32" t="str">
        <f>vlookup(B1622,State_EMM_RowSums!$A$2:$B$52,2,FALSE)</f>
        <v>MT</v>
      </c>
      <c r="D1622" s="32">
        <v>30045.0</v>
      </c>
      <c r="E1622" s="33">
        <f>IF(NOT(ISBLANK(vlookup($D1622,Pop_Census_2023!$A$2:$E$3220,4,FALSE))),vlookup($D1622,Pop_Census_2023!$A$2:$E$3220,4,FALSE), vlookup($D1622,Pop_Census_2023!$A$2:$E$3220,5,FALSE))</f>
        <v>2093</v>
      </c>
      <c r="F1622" s="32">
        <v>1719602.0</v>
      </c>
      <c r="G1622" s="32">
        <v>20.0</v>
      </c>
      <c r="H1622" s="32" t="str">
        <f>VLOOKUP(D1622, Grid_Region_Mapping!$D$2:$F$5286, 3, FALSE)</f>
        <v>NWPP</v>
      </c>
      <c r="I1622" s="32">
        <v>8.0</v>
      </c>
      <c r="J1622" s="34" t="str">
        <f t="shared" si="1"/>
        <v>West</v>
      </c>
      <c r="K1622" s="35">
        <v>1.0</v>
      </c>
      <c r="L1622" s="35" t="s">
        <v>282</v>
      </c>
      <c r="M1622" s="36">
        <f>VLOOKUP(D1622, County_Data_CZones!$B$2:$F$3236, 2, FALSE)</f>
        <v>6</v>
      </c>
      <c r="N1622" s="37" t="str">
        <f>VLOOKUP(D1622, County_Data_CZones!$B$2:$F$3236, 5, FALSE)</f>
        <v>Cold</v>
      </c>
    </row>
    <row r="1623" ht="15.75" customHeight="1">
      <c r="A1623" s="32" t="s">
        <v>298</v>
      </c>
      <c r="B1623" s="32" t="s">
        <v>1162</v>
      </c>
      <c r="C1623" s="32" t="str">
        <f>vlookup(B1623,State_EMM_RowSums!$A$2:$B$52,2,FALSE)</f>
        <v>MT</v>
      </c>
      <c r="D1623" s="32">
        <v>30047.0</v>
      </c>
      <c r="E1623" s="33">
        <f>IF(NOT(ISBLANK(vlookup($D1623,Pop_Census_2023!$A$2:$E$3220,4,FALSE))),vlookup($D1623,Pop_Census_2023!$A$2:$E$3220,4,FALSE), vlookup($D1623,Pop_Census_2023!$A$2:$E$3220,5,FALSE))</f>
        <v>33338</v>
      </c>
      <c r="F1623" s="32">
        <v>1796943.0</v>
      </c>
      <c r="G1623" s="32">
        <v>17.0</v>
      </c>
      <c r="H1623" s="32" t="str">
        <f>VLOOKUP(D1623, Grid_Region_Mapping!$D$2:$F$5286, 3, FALSE)</f>
        <v>NWPP</v>
      </c>
      <c r="I1623" s="32">
        <v>8.0</v>
      </c>
      <c r="J1623" s="34" t="str">
        <f t="shared" si="1"/>
        <v>West</v>
      </c>
      <c r="K1623" s="35">
        <v>1.0</v>
      </c>
      <c r="L1623" s="35" t="s">
        <v>282</v>
      </c>
      <c r="M1623" s="36">
        <f>VLOOKUP(D1623, County_Data_CZones!$B$2:$F$3236, 2, FALSE)</f>
        <v>6</v>
      </c>
      <c r="N1623" s="37" t="str">
        <f>VLOOKUP(D1623, County_Data_CZones!$B$2:$F$3236, 5, FALSE)</f>
        <v>Cold</v>
      </c>
    </row>
    <row r="1624" ht="15.75" customHeight="1">
      <c r="A1624" s="32" t="s">
        <v>1178</v>
      </c>
      <c r="B1624" s="32" t="s">
        <v>1162</v>
      </c>
      <c r="C1624" s="32" t="str">
        <f>vlookup(B1624,State_EMM_RowSums!$A$2:$B$52,2,FALSE)</f>
        <v>MT</v>
      </c>
      <c r="D1624" s="32">
        <v>30049.0</v>
      </c>
      <c r="E1624" s="33">
        <f>IF(NOT(ISBLANK(vlookup($D1624,Pop_Census_2023!$A$2:$E$3220,4,FALSE))),vlookup($D1624,Pop_Census_2023!$A$2:$E$3220,4,FALSE), vlookup($D1624,Pop_Census_2023!$A$2:$E$3220,5,FALSE))</f>
        <v>75011</v>
      </c>
      <c r="F1624" s="32">
        <v>793926.0</v>
      </c>
      <c r="G1624" s="32">
        <v>18.0</v>
      </c>
      <c r="H1624" s="32" t="str">
        <f>VLOOKUP(D1624, Grid_Region_Mapping!$D$2:$F$5286, 3, FALSE)</f>
        <v>NWPP</v>
      </c>
      <c r="I1624" s="32">
        <v>8.0</v>
      </c>
      <c r="J1624" s="34" t="str">
        <f t="shared" si="1"/>
        <v>West</v>
      </c>
      <c r="K1624" s="35">
        <v>1.0</v>
      </c>
      <c r="L1624" s="35" t="s">
        <v>282</v>
      </c>
      <c r="M1624" s="36">
        <f>VLOOKUP(D1624, County_Data_CZones!$B$2:$F$3236, 2, FALSE)</f>
        <v>6</v>
      </c>
      <c r="N1624" s="37" t="str">
        <f>VLOOKUP(D1624, County_Data_CZones!$B$2:$F$3236, 5, FALSE)</f>
        <v>Cold</v>
      </c>
    </row>
    <row r="1625" ht="15.75" customHeight="1">
      <c r="A1625" s="32" t="s">
        <v>438</v>
      </c>
      <c r="B1625" s="32" t="s">
        <v>1162</v>
      </c>
      <c r="C1625" s="32" t="str">
        <f>vlookup(B1625,State_EMM_RowSums!$A$2:$B$52,2,FALSE)</f>
        <v>MT</v>
      </c>
      <c r="D1625" s="32">
        <v>30051.0</v>
      </c>
      <c r="E1625" s="33">
        <f>IF(NOT(ISBLANK(vlookup($D1625,Pop_Census_2023!$A$2:$E$3220,4,FALSE))),vlookup($D1625,Pop_Census_2023!$A$2:$E$3220,4,FALSE), vlookup($D1625,Pop_Census_2023!$A$2:$E$3220,5,FALSE))</f>
        <v>1974</v>
      </c>
      <c r="F1625" s="32">
        <v>1720036.0</v>
      </c>
      <c r="G1625" s="32">
        <v>18.0</v>
      </c>
      <c r="H1625" s="32" t="str">
        <f>VLOOKUP(D1625, Grid_Region_Mapping!$D$2:$F$5286, 3, FALSE)</f>
        <v>NWPP</v>
      </c>
      <c r="I1625" s="32">
        <v>8.0</v>
      </c>
      <c r="J1625" s="34" t="str">
        <f t="shared" si="1"/>
        <v>West</v>
      </c>
      <c r="K1625" s="35">
        <v>1.0</v>
      </c>
      <c r="L1625" s="35" t="s">
        <v>282</v>
      </c>
      <c r="M1625" s="36">
        <f>VLOOKUP(D1625, County_Data_CZones!$B$2:$F$3236, 2, FALSE)</f>
        <v>6</v>
      </c>
      <c r="N1625" s="37" t="str">
        <f>VLOOKUP(D1625, County_Data_CZones!$B$2:$F$3236, 5, FALSE)</f>
        <v>Cold</v>
      </c>
    </row>
    <row r="1626" ht="15.75" customHeight="1">
      <c r="A1626" s="32" t="s">
        <v>250</v>
      </c>
      <c r="B1626" s="32" t="s">
        <v>1162</v>
      </c>
      <c r="C1626" s="32" t="str">
        <f>vlookup(B1626,State_EMM_RowSums!$A$2:$B$52,2,FALSE)</f>
        <v>MT</v>
      </c>
      <c r="D1626" s="32">
        <v>30053.0</v>
      </c>
      <c r="E1626" s="33">
        <f>IF(NOT(ISBLANK(vlookup($D1626,Pop_Census_2023!$A$2:$E$3220,4,FALSE))),vlookup($D1626,Pop_Census_2023!$A$2:$E$3220,4,FALSE), vlookup($D1626,Pop_Census_2023!$A$2:$E$3220,5,FALSE))</f>
        <v>21895</v>
      </c>
      <c r="F1626" s="32">
        <v>1720038.0</v>
      </c>
      <c r="G1626" s="32">
        <v>17.0</v>
      </c>
      <c r="H1626" s="32" t="str">
        <f>VLOOKUP(D1626, Grid_Region_Mapping!$D$2:$F$5286, 3, FALSE)</f>
        <v>NWPP</v>
      </c>
      <c r="I1626" s="32">
        <v>8.0</v>
      </c>
      <c r="J1626" s="34" t="str">
        <f t="shared" si="1"/>
        <v>West</v>
      </c>
      <c r="K1626" s="35">
        <v>1.0</v>
      </c>
      <c r="L1626" s="35" t="s">
        <v>282</v>
      </c>
      <c r="M1626" s="36">
        <f>VLOOKUP(D1626, County_Data_CZones!$B$2:$F$3236, 2, FALSE)</f>
        <v>6</v>
      </c>
      <c r="N1626" s="37" t="str">
        <f>VLOOKUP(D1626, County_Data_CZones!$B$2:$F$3236, 5, FALSE)</f>
        <v>Cold</v>
      </c>
    </row>
    <row r="1627" ht="15.75" customHeight="1">
      <c r="A1627" s="32" t="s">
        <v>1179</v>
      </c>
      <c r="B1627" s="32" t="s">
        <v>1162</v>
      </c>
      <c r="C1627" s="32" t="str">
        <f>vlookup(B1627,State_EMM_RowSums!$A$2:$B$52,2,FALSE)</f>
        <v>MT</v>
      </c>
      <c r="D1627" s="32">
        <v>30055.0</v>
      </c>
      <c r="E1627" s="33">
        <f>IF(NOT(ISBLANK(vlookup($D1627,Pop_Census_2023!$A$2:$E$3220,4,FALSE))),vlookup($D1627,Pop_Census_2023!$A$2:$E$3220,4,FALSE), vlookup($D1627,Pop_Census_2023!$A$2:$E$3220,5,FALSE))</f>
        <v>1676</v>
      </c>
      <c r="F1627" s="32">
        <v>1716270.0</v>
      </c>
      <c r="G1627" s="32">
        <v>35.0</v>
      </c>
      <c r="H1627" s="32" t="str">
        <f>VLOOKUP(D1627, Grid_Region_Mapping!$D$2:$F$5286, 3, FALSE)</f>
        <v>MISW</v>
      </c>
      <c r="I1627" s="32">
        <v>8.0</v>
      </c>
      <c r="J1627" s="34" t="str">
        <f t="shared" si="1"/>
        <v>West</v>
      </c>
      <c r="K1627" s="35">
        <v>1.0</v>
      </c>
      <c r="L1627" s="35" t="s">
        <v>282</v>
      </c>
      <c r="M1627" s="36">
        <f>VLOOKUP(D1627, County_Data_CZones!$B$2:$F$3236, 2, FALSE)</f>
        <v>6</v>
      </c>
      <c r="N1627" s="37" t="str">
        <f>VLOOKUP(D1627, County_Data_CZones!$B$2:$F$3236, 5, FALSE)</f>
        <v>Cold</v>
      </c>
    </row>
    <row r="1628" ht="15.75" customHeight="1">
      <c r="A1628" s="32" t="s">
        <v>147</v>
      </c>
      <c r="B1628" s="32" t="s">
        <v>1162</v>
      </c>
      <c r="C1628" s="32" t="str">
        <f>vlookup(B1628,State_EMM_RowSums!$A$2:$B$52,2,FALSE)</f>
        <v>MT</v>
      </c>
      <c r="D1628" s="32">
        <v>30057.0</v>
      </c>
      <c r="E1628" s="33">
        <f>IF(NOT(ISBLANK(vlookup($D1628,Pop_Census_2023!$A$2:$E$3220,4,FALSE))),vlookup($D1628,Pop_Census_2023!$A$2:$E$3220,4,FALSE), vlookup($D1628,Pop_Census_2023!$A$2:$E$3220,5,FALSE))</f>
        <v>9521</v>
      </c>
      <c r="F1628" s="32">
        <v>1720033.0</v>
      </c>
      <c r="G1628" s="32">
        <v>17.0</v>
      </c>
      <c r="H1628" s="32" t="str">
        <f>VLOOKUP(D1628, Grid_Region_Mapping!$D$2:$F$5286, 3, FALSE)</f>
        <v>NWPP</v>
      </c>
      <c r="I1628" s="32">
        <v>8.0</v>
      </c>
      <c r="J1628" s="34" t="str">
        <f t="shared" si="1"/>
        <v>West</v>
      </c>
      <c r="K1628" s="35">
        <v>1.0</v>
      </c>
      <c r="L1628" s="35" t="s">
        <v>282</v>
      </c>
      <c r="M1628" s="36">
        <f>VLOOKUP(D1628, County_Data_CZones!$B$2:$F$3236, 2, FALSE)</f>
        <v>6</v>
      </c>
      <c r="N1628" s="37" t="str">
        <f>VLOOKUP(D1628, County_Data_CZones!$B$2:$F$3236, 5, FALSE)</f>
        <v>Cold</v>
      </c>
    </row>
    <row r="1629" ht="15.75" customHeight="1">
      <c r="A1629" s="32" t="s">
        <v>1180</v>
      </c>
      <c r="B1629" s="32" t="s">
        <v>1162</v>
      </c>
      <c r="C1629" s="32" t="str">
        <f>vlookup(B1629,State_EMM_RowSums!$A$2:$B$52,2,FALSE)</f>
        <v>MT</v>
      </c>
      <c r="D1629" s="32">
        <v>30059.0</v>
      </c>
      <c r="E1629" s="33">
        <f>IF(NOT(ISBLANK(vlookup($D1629,Pop_Census_2023!$A$2:$E$3220,4,FALSE))),vlookup($D1629,Pop_Census_2023!$A$2:$E$3220,4,FALSE), vlookup($D1629,Pop_Census_2023!$A$2:$E$3220,5,FALSE))</f>
        <v>2071</v>
      </c>
      <c r="F1629" s="32">
        <v>1719600.0</v>
      </c>
      <c r="G1629" s="32">
        <v>18.0</v>
      </c>
      <c r="H1629" s="32" t="str">
        <f>VLOOKUP(D1629, Grid_Region_Mapping!$D$2:$F$5286, 3, FALSE)</f>
        <v>NWPP</v>
      </c>
      <c r="I1629" s="32">
        <v>8.0</v>
      </c>
      <c r="J1629" s="34" t="str">
        <f t="shared" si="1"/>
        <v>West</v>
      </c>
      <c r="K1629" s="35">
        <v>1.0</v>
      </c>
      <c r="L1629" s="35" t="s">
        <v>282</v>
      </c>
      <c r="M1629" s="36">
        <f>VLOOKUP(D1629, County_Data_CZones!$B$2:$F$3236, 2, FALSE)</f>
        <v>6</v>
      </c>
      <c r="N1629" s="37" t="str">
        <f>VLOOKUP(D1629, County_Data_CZones!$B$2:$F$3236, 5, FALSE)</f>
        <v>Cold</v>
      </c>
    </row>
    <row r="1630" ht="15.75" customHeight="1">
      <c r="A1630" s="32" t="s">
        <v>374</v>
      </c>
      <c r="B1630" s="32" t="s">
        <v>1162</v>
      </c>
      <c r="C1630" s="32" t="str">
        <f>vlookup(B1630,State_EMM_RowSums!$A$2:$B$52,2,FALSE)</f>
        <v>MT</v>
      </c>
      <c r="D1630" s="32">
        <v>30061.0</v>
      </c>
      <c r="E1630" s="33">
        <f>IF(NOT(ISBLANK(vlookup($D1630,Pop_Census_2023!$A$2:$E$3220,4,FALSE))),vlookup($D1630,Pop_Census_2023!$A$2:$E$3220,4,FALSE), vlookup($D1630,Pop_Census_2023!$A$2:$E$3220,5,FALSE))</f>
        <v>5090</v>
      </c>
      <c r="F1630" s="32">
        <v>1720030.0</v>
      </c>
      <c r="G1630" s="32">
        <v>17.0</v>
      </c>
      <c r="H1630" s="32" t="str">
        <f>VLOOKUP(D1630, Grid_Region_Mapping!$D$2:$F$5286, 3, FALSE)</f>
        <v>NWPP</v>
      </c>
      <c r="I1630" s="32">
        <v>8.0</v>
      </c>
      <c r="J1630" s="34" t="str">
        <f t="shared" si="1"/>
        <v>West</v>
      </c>
      <c r="K1630" s="35">
        <v>1.0</v>
      </c>
      <c r="L1630" s="35" t="s">
        <v>282</v>
      </c>
      <c r="M1630" s="36">
        <f>VLOOKUP(D1630, County_Data_CZones!$B$2:$F$3236, 2, FALSE)</f>
        <v>6</v>
      </c>
      <c r="N1630" s="37" t="str">
        <f>VLOOKUP(D1630, County_Data_CZones!$B$2:$F$3236, 5, FALSE)</f>
        <v>Cold</v>
      </c>
    </row>
    <row r="1631" ht="15.75" customHeight="1">
      <c r="A1631" s="32" t="s">
        <v>1181</v>
      </c>
      <c r="B1631" s="32" t="s">
        <v>1162</v>
      </c>
      <c r="C1631" s="32" t="str">
        <f>vlookup(B1631,State_EMM_RowSums!$A$2:$B$52,2,FALSE)</f>
        <v>MT</v>
      </c>
      <c r="D1631" s="32">
        <v>30063.0</v>
      </c>
      <c r="E1631" s="33">
        <f>IF(NOT(ISBLANK(vlookup($D1631,Pop_Census_2023!$A$2:$E$3220,4,FALSE))),vlookup($D1631,Pop_Census_2023!$A$2:$E$3220,4,FALSE), vlookup($D1631,Pop_Census_2023!$A$2:$E$3220,5,FALSE))</f>
        <v>121849</v>
      </c>
      <c r="F1631" s="32">
        <v>1719596.0</v>
      </c>
      <c r="G1631" s="32">
        <v>17.0</v>
      </c>
      <c r="H1631" s="32" t="str">
        <f>VLOOKUP(D1631, Grid_Region_Mapping!$D$2:$F$5286, 3, FALSE)</f>
        <v>NWPP</v>
      </c>
      <c r="I1631" s="32">
        <v>8.0</v>
      </c>
      <c r="J1631" s="34" t="str">
        <f t="shared" si="1"/>
        <v>West</v>
      </c>
      <c r="K1631" s="35">
        <v>1.0</v>
      </c>
      <c r="L1631" s="35" t="s">
        <v>282</v>
      </c>
      <c r="M1631" s="36">
        <f>VLOOKUP(D1631, County_Data_CZones!$B$2:$F$3236, 2, FALSE)</f>
        <v>6</v>
      </c>
      <c r="N1631" s="37" t="str">
        <f>VLOOKUP(D1631, County_Data_CZones!$B$2:$F$3236, 5, FALSE)</f>
        <v>Cold</v>
      </c>
    </row>
    <row r="1632" ht="15.75" customHeight="1">
      <c r="A1632" s="32" t="s">
        <v>1182</v>
      </c>
      <c r="B1632" s="32" t="s">
        <v>1162</v>
      </c>
      <c r="C1632" s="32" t="str">
        <f>vlookup(B1632,State_EMM_RowSums!$A$2:$B$52,2,FALSE)</f>
        <v>MT</v>
      </c>
      <c r="D1632" s="32">
        <v>30065.0</v>
      </c>
      <c r="E1632" s="33">
        <f>IF(NOT(ISBLANK(vlookup($D1632,Pop_Census_2023!$A$2:$E$3220,4,FALSE))),vlookup($D1632,Pop_Census_2023!$A$2:$E$3220,4,FALSE), vlookup($D1632,Pop_Census_2023!$A$2:$E$3220,5,FALSE))</f>
        <v>5308</v>
      </c>
      <c r="F1632" s="32">
        <v>1719593.0</v>
      </c>
      <c r="G1632" s="32">
        <v>20.0</v>
      </c>
      <c r="H1632" s="32" t="str">
        <f>VLOOKUP(D1632, Grid_Region_Mapping!$D$2:$F$5286, 3, FALSE)</f>
        <v>NWPP</v>
      </c>
      <c r="I1632" s="32">
        <v>8.0</v>
      </c>
      <c r="J1632" s="34" t="str">
        <f t="shared" si="1"/>
        <v>West</v>
      </c>
      <c r="K1632" s="35">
        <v>1.0</v>
      </c>
      <c r="L1632" s="35" t="s">
        <v>282</v>
      </c>
      <c r="M1632" s="36">
        <f>VLOOKUP(D1632, County_Data_CZones!$B$2:$F$3236, 2, FALSE)</f>
        <v>6</v>
      </c>
      <c r="N1632" s="37" t="str">
        <f>VLOOKUP(D1632, County_Data_CZones!$B$2:$F$3236, 5, FALSE)</f>
        <v>Cold</v>
      </c>
    </row>
    <row r="1633" ht="15.75" customHeight="1">
      <c r="A1633" s="32" t="s">
        <v>380</v>
      </c>
      <c r="B1633" s="32" t="s">
        <v>1162</v>
      </c>
      <c r="C1633" s="32" t="str">
        <f>vlookup(B1633,State_EMM_RowSums!$A$2:$B$52,2,FALSE)</f>
        <v>MT</v>
      </c>
      <c r="D1633" s="32">
        <v>30067.0</v>
      </c>
      <c r="E1633" s="33">
        <f>IF(NOT(ISBLANK(vlookup($D1633,Pop_Census_2023!$A$2:$E$3220,4,FALSE))),vlookup($D1633,Pop_Census_2023!$A$2:$E$3220,4,FALSE), vlookup($D1633,Pop_Census_2023!$A$2:$E$3220,5,FALSE))</f>
        <v>17903</v>
      </c>
      <c r="F1633" s="32">
        <v>1720027.0</v>
      </c>
      <c r="G1633" s="32">
        <v>18.0</v>
      </c>
      <c r="H1633" s="32" t="str">
        <f>VLOOKUP(D1633, Grid_Region_Mapping!$D$2:$F$5286, 3, FALSE)</f>
        <v>NWPP</v>
      </c>
      <c r="I1633" s="32">
        <v>8.0</v>
      </c>
      <c r="J1633" s="34" t="str">
        <f t="shared" si="1"/>
        <v>West</v>
      </c>
      <c r="K1633" s="35">
        <v>1.0</v>
      </c>
      <c r="L1633" s="35" t="s">
        <v>282</v>
      </c>
      <c r="M1633" s="36">
        <f>VLOOKUP(D1633, County_Data_CZones!$B$2:$F$3236, 2, FALSE)</f>
        <v>6</v>
      </c>
      <c r="N1633" s="37" t="str">
        <f>VLOOKUP(D1633, County_Data_CZones!$B$2:$F$3236, 5, FALSE)</f>
        <v>Cold</v>
      </c>
    </row>
    <row r="1634" ht="15.75" customHeight="1">
      <c r="A1634" s="32" t="s">
        <v>1183</v>
      </c>
      <c r="B1634" s="32" t="s">
        <v>1162</v>
      </c>
      <c r="C1634" s="32" t="str">
        <f>vlookup(B1634,State_EMM_RowSums!$A$2:$B$52,2,FALSE)</f>
        <v>MT</v>
      </c>
      <c r="D1634" s="32">
        <v>30069.0</v>
      </c>
      <c r="E1634" s="33">
        <f>IF(NOT(ISBLANK(vlookup($D1634,Pop_Census_2023!$A$2:$E$3220,4,FALSE))),vlookup($D1634,Pop_Census_2023!$A$2:$E$3220,4,FALSE), vlookup($D1634,Pop_Census_2023!$A$2:$E$3220,5,FALSE))</f>
        <v>554</v>
      </c>
      <c r="F1634" s="32">
        <v>1719590.0</v>
      </c>
      <c r="G1634" s="32">
        <v>20.0</v>
      </c>
      <c r="H1634" s="32" t="str">
        <f>VLOOKUP(D1634, Grid_Region_Mapping!$D$2:$F$5286, 3, FALSE)</f>
        <v>NWPP</v>
      </c>
      <c r="I1634" s="32">
        <v>8.0</v>
      </c>
      <c r="J1634" s="34" t="str">
        <f t="shared" si="1"/>
        <v>West</v>
      </c>
      <c r="K1634" s="35">
        <v>1.0</v>
      </c>
      <c r="L1634" s="35" t="s">
        <v>282</v>
      </c>
      <c r="M1634" s="36">
        <f>VLOOKUP(D1634, County_Data_CZones!$B$2:$F$3236, 2, FALSE)</f>
        <v>6</v>
      </c>
      <c r="N1634" s="37" t="str">
        <f>VLOOKUP(D1634, County_Data_CZones!$B$2:$F$3236, 5, FALSE)</f>
        <v>Cold</v>
      </c>
    </row>
    <row r="1635" ht="15.75" customHeight="1">
      <c r="A1635" s="32" t="s">
        <v>259</v>
      </c>
      <c r="B1635" s="32" t="s">
        <v>1162</v>
      </c>
      <c r="C1635" s="32" t="str">
        <f>vlookup(B1635,State_EMM_RowSums!$A$2:$B$52,2,FALSE)</f>
        <v>MT</v>
      </c>
      <c r="D1635" s="32">
        <v>30071.0</v>
      </c>
      <c r="E1635" s="33">
        <f>IF(NOT(ISBLANK(vlookup($D1635,Pop_Census_2023!$A$2:$E$3220,4,FALSE))),vlookup($D1635,Pop_Census_2023!$A$2:$E$3220,4,FALSE), vlookup($D1635,Pop_Census_2023!$A$2:$E$3220,5,FALSE))</f>
        <v>4249</v>
      </c>
      <c r="F1635" s="32">
        <v>1720023.0</v>
      </c>
      <c r="G1635" s="32">
        <v>18.0</v>
      </c>
      <c r="H1635" s="32" t="str">
        <f>VLOOKUP(D1635, Grid_Region_Mapping!$D$2:$F$5286, 3, FALSE)</f>
        <v>NWPP</v>
      </c>
      <c r="I1635" s="32">
        <v>8.0</v>
      </c>
      <c r="J1635" s="34" t="str">
        <f t="shared" si="1"/>
        <v>West</v>
      </c>
      <c r="K1635" s="35">
        <v>1.0</v>
      </c>
      <c r="L1635" s="35" t="s">
        <v>282</v>
      </c>
      <c r="M1635" s="36">
        <f>VLOOKUP(D1635, County_Data_CZones!$B$2:$F$3236, 2, FALSE)</f>
        <v>6</v>
      </c>
      <c r="N1635" s="37" t="str">
        <f>VLOOKUP(D1635, County_Data_CZones!$B$2:$F$3236, 5, FALSE)</f>
        <v>Cold</v>
      </c>
    </row>
    <row r="1636" ht="15.75" customHeight="1">
      <c r="A1636" s="32" t="s">
        <v>1184</v>
      </c>
      <c r="B1636" s="32" t="s">
        <v>1162</v>
      </c>
      <c r="C1636" s="32" t="str">
        <f>vlookup(B1636,State_EMM_RowSums!$A$2:$B$52,2,FALSE)</f>
        <v>MT</v>
      </c>
      <c r="D1636" s="32">
        <v>30073.0</v>
      </c>
      <c r="E1636" s="33">
        <f>IF(NOT(ISBLANK(vlookup($D1636,Pop_Census_2023!$A$2:$E$3220,4,FALSE))),vlookup($D1636,Pop_Census_2023!$A$2:$E$3220,4,FALSE), vlookup($D1636,Pop_Census_2023!$A$2:$E$3220,5,FALSE))</f>
        <v>6125</v>
      </c>
      <c r="F1636" s="32">
        <v>1719587.0</v>
      </c>
      <c r="G1636" s="32">
        <v>18.0</v>
      </c>
      <c r="H1636" s="32" t="str">
        <f>VLOOKUP(D1636, Grid_Region_Mapping!$D$2:$F$5286, 3, FALSE)</f>
        <v>NWPP</v>
      </c>
      <c r="I1636" s="32">
        <v>8.0</v>
      </c>
      <c r="J1636" s="34" t="str">
        <f t="shared" si="1"/>
        <v>West</v>
      </c>
      <c r="K1636" s="35">
        <v>1.0</v>
      </c>
      <c r="L1636" s="35" t="s">
        <v>282</v>
      </c>
      <c r="M1636" s="36">
        <f>VLOOKUP(D1636, County_Data_CZones!$B$2:$F$3236, 2, FALSE)</f>
        <v>6</v>
      </c>
      <c r="N1636" s="37" t="str">
        <f>VLOOKUP(D1636, County_Data_CZones!$B$2:$F$3236, 5, FALSE)</f>
        <v>Cold</v>
      </c>
    </row>
    <row r="1637" ht="15.75" customHeight="1">
      <c r="A1637" s="32" t="s">
        <v>1185</v>
      </c>
      <c r="B1637" s="32" t="s">
        <v>1162</v>
      </c>
      <c r="C1637" s="32" t="str">
        <f>vlookup(B1637,State_EMM_RowSums!$A$2:$B$52,2,FALSE)</f>
        <v>MT</v>
      </c>
      <c r="D1637" s="32">
        <v>30075.0</v>
      </c>
      <c r="E1637" s="33">
        <f>IF(NOT(ISBLANK(vlookup($D1637,Pop_Census_2023!$A$2:$E$3220,4,FALSE))),vlookup($D1637,Pop_Census_2023!$A$2:$E$3220,4,FALSE), vlookup($D1637,Pop_Census_2023!$A$2:$E$3220,5,FALSE))</f>
        <v>1743</v>
      </c>
      <c r="F1637" s="32">
        <v>1719584.0</v>
      </c>
      <c r="G1637" s="32">
        <v>20.0</v>
      </c>
      <c r="H1637" s="32" t="str">
        <f>VLOOKUP(D1637, Grid_Region_Mapping!$D$2:$F$5286, 3, FALSE)</f>
        <v>NWPP</v>
      </c>
      <c r="I1637" s="32">
        <v>8.0</v>
      </c>
      <c r="J1637" s="34" t="str">
        <f t="shared" si="1"/>
        <v>West</v>
      </c>
      <c r="K1637" s="35">
        <v>1.0</v>
      </c>
      <c r="L1637" s="35" t="s">
        <v>282</v>
      </c>
      <c r="M1637" s="36">
        <f>VLOOKUP(D1637, County_Data_CZones!$B$2:$F$3236, 2, FALSE)</f>
        <v>6</v>
      </c>
      <c r="N1637" s="37" t="str">
        <f>VLOOKUP(D1637, County_Data_CZones!$B$2:$F$3236, 5, FALSE)</f>
        <v>Cold</v>
      </c>
    </row>
    <row r="1638" ht="15.75" customHeight="1">
      <c r="A1638" s="32" t="s">
        <v>865</v>
      </c>
      <c r="B1638" s="32" t="s">
        <v>1162</v>
      </c>
      <c r="C1638" s="32" t="str">
        <f>vlookup(B1638,State_EMM_RowSums!$A$2:$B$52,2,FALSE)</f>
        <v>MT</v>
      </c>
      <c r="D1638" s="32">
        <v>30077.0</v>
      </c>
      <c r="E1638" s="33">
        <f>IF(NOT(ISBLANK(vlookup($D1638,Pop_Census_2023!$A$2:$E$3220,4,FALSE))),vlookup($D1638,Pop_Census_2023!$A$2:$E$3220,4,FALSE), vlookup($D1638,Pop_Census_2023!$A$2:$E$3220,5,FALSE))</f>
        <v>7133</v>
      </c>
      <c r="F1638" s="32">
        <v>1720021.0</v>
      </c>
      <c r="G1638" s="32">
        <v>17.0</v>
      </c>
      <c r="H1638" s="32" t="str">
        <f>VLOOKUP(D1638, Grid_Region_Mapping!$D$2:$F$5286, 3, FALSE)</f>
        <v>NWPP</v>
      </c>
      <c r="I1638" s="32">
        <v>8.0</v>
      </c>
      <c r="J1638" s="34" t="str">
        <f t="shared" si="1"/>
        <v>West</v>
      </c>
      <c r="K1638" s="35">
        <v>1.0</v>
      </c>
      <c r="L1638" s="35" t="s">
        <v>282</v>
      </c>
      <c r="M1638" s="36">
        <f>VLOOKUP(D1638, County_Data_CZones!$B$2:$F$3236, 2, FALSE)</f>
        <v>6</v>
      </c>
      <c r="N1638" s="37" t="str">
        <f>VLOOKUP(D1638, County_Data_CZones!$B$2:$F$3236, 5, FALSE)</f>
        <v>Cold</v>
      </c>
    </row>
    <row r="1639" ht="15.75" customHeight="1">
      <c r="A1639" s="32" t="s">
        <v>263</v>
      </c>
      <c r="B1639" s="32" t="s">
        <v>1162</v>
      </c>
      <c r="C1639" s="32" t="str">
        <f>vlookup(B1639,State_EMM_RowSums!$A$2:$B$52,2,FALSE)</f>
        <v>MT</v>
      </c>
      <c r="D1639" s="32">
        <v>30079.0</v>
      </c>
      <c r="E1639" s="33">
        <f>IF(NOT(ISBLANK(vlookup($D1639,Pop_Census_2023!$A$2:$E$3220,4,FALSE))),vlookup($D1639,Pop_Census_2023!$A$2:$E$3220,4,FALSE), vlookup($D1639,Pop_Census_2023!$A$2:$E$3220,5,FALSE))</f>
        <v>1112</v>
      </c>
      <c r="F1639" s="32">
        <v>1715847.0</v>
      </c>
      <c r="G1639" s="32">
        <v>35.0</v>
      </c>
      <c r="H1639" s="32" t="str">
        <f>VLOOKUP(D1639, Grid_Region_Mapping!$D$2:$F$5286, 3, FALSE)</f>
        <v>SPPN</v>
      </c>
      <c r="I1639" s="32">
        <v>8.0</v>
      </c>
      <c r="J1639" s="34" t="str">
        <f t="shared" si="1"/>
        <v>West</v>
      </c>
      <c r="K1639" s="35">
        <v>1.0</v>
      </c>
      <c r="L1639" s="35" t="s">
        <v>282</v>
      </c>
      <c r="M1639" s="36">
        <f>VLOOKUP(D1639, County_Data_CZones!$B$2:$F$3236, 2, FALSE)</f>
        <v>6</v>
      </c>
      <c r="N1639" s="37" t="str">
        <f>VLOOKUP(D1639, County_Data_CZones!$B$2:$F$3236, 5, FALSE)</f>
        <v>Cold</v>
      </c>
    </row>
    <row r="1640" ht="15.75" customHeight="1">
      <c r="A1640" s="32" t="s">
        <v>1186</v>
      </c>
      <c r="B1640" s="32" t="s">
        <v>1162</v>
      </c>
      <c r="C1640" s="32" t="str">
        <f>vlookup(B1640,State_EMM_RowSums!$A$2:$B$52,2,FALSE)</f>
        <v>MT</v>
      </c>
      <c r="D1640" s="32">
        <v>30081.0</v>
      </c>
      <c r="E1640" s="33">
        <f>IF(NOT(ISBLANK(vlookup($D1640,Pop_Census_2023!$A$2:$E$3220,4,FALSE))),vlookup($D1640,Pop_Census_2023!$A$2:$E$3220,4,FALSE), vlookup($D1640,Pop_Census_2023!$A$2:$E$3220,5,FALSE))</f>
        <v>47738</v>
      </c>
      <c r="F1640" s="32">
        <v>1719582.0</v>
      </c>
      <c r="G1640" s="32">
        <v>17.0</v>
      </c>
      <c r="H1640" s="32" t="str">
        <f>VLOOKUP(D1640, Grid_Region_Mapping!$D$2:$F$5286, 3, FALSE)</f>
        <v>NWPP</v>
      </c>
      <c r="I1640" s="32">
        <v>8.0</v>
      </c>
      <c r="J1640" s="34" t="str">
        <f t="shared" si="1"/>
        <v>West</v>
      </c>
      <c r="K1640" s="35">
        <v>1.0</v>
      </c>
      <c r="L1640" s="35" t="s">
        <v>282</v>
      </c>
      <c r="M1640" s="36">
        <f>VLOOKUP(D1640, County_Data_CZones!$B$2:$F$3236, 2, FALSE)</f>
        <v>6</v>
      </c>
      <c r="N1640" s="37" t="str">
        <f>VLOOKUP(D1640, County_Data_CZones!$B$2:$F$3236, 5, FALSE)</f>
        <v>Cold</v>
      </c>
    </row>
    <row r="1641" ht="15.75" customHeight="1">
      <c r="A1641" s="32" t="s">
        <v>649</v>
      </c>
      <c r="B1641" s="32" t="s">
        <v>1162</v>
      </c>
      <c r="C1641" s="32" t="str">
        <f>vlookup(B1641,State_EMM_RowSums!$A$2:$B$52,2,FALSE)</f>
        <v>MT</v>
      </c>
      <c r="D1641" s="32">
        <v>30083.0</v>
      </c>
      <c r="E1641" s="33">
        <f>IF(NOT(ISBLANK(vlookup($D1641,Pop_Census_2023!$A$2:$E$3220,4,FALSE))),vlookup($D1641,Pop_Census_2023!$A$2:$E$3220,4,FALSE), vlookup($D1641,Pop_Census_2023!$A$2:$E$3220,5,FALSE))</f>
        <v>11173</v>
      </c>
      <c r="F1641" s="32">
        <v>1715338.0</v>
      </c>
      <c r="G1641" s="32">
        <v>35.0</v>
      </c>
      <c r="H1641" s="32" t="str">
        <f>VLOOKUP(D1641, Grid_Region_Mapping!$D$2:$F$5286, 3, FALSE)</f>
        <v>SPPN</v>
      </c>
      <c r="I1641" s="32">
        <v>8.0</v>
      </c>
      <c r="J1641" s="34" t="str">
        <f t="shared" si="1"/>
        <v>West</v>
      </c>
      <c r="K1641" s="35">
        <v>1.0</v>
      </c>
      <c r="L1641" s="35" t="s">
        <v>282</v>
      </c>
      <c r="M1641" s="36">
        <f>VLOOKUP(D1641, County_Data_CZones!$B$2:$F$3236, 2, FALSE)</f>
        <v>6</v>
      </c>
      <c r="N1641" s="37" t="str">
        <f>VLOOKUP(D1641, County_Data_CZones!$B$2:$F$3236, 5, FALSE)</f>
        <v>Cold</v>
      </c>
    </row>
    <row r="1642" ht="15.75" customHeight="1">
      <c r="A1642" s="32" t="s">
        <v>1187</v>
      </c>
      <c r="B1642" s="32" t="s">
        <v>1162</v>
      </c>
      <c r="C1642" s="32" t="str">
        <f>vlookup(B1642,State_EMM_RowSums!$A$2:$B$52,2,FALSE)</f>
        <v>MT</v>
      </c>
      <c r="D1642" s="32">
        <v>30085.0</v>
      </c>
      <c r="E1642" s="33">
        <f>IF(NOT(ISBLANK(vlookup($D1642,Pop_Census_2023!$A$2:$E$3220,4,FALSE))),vlookup($D1642,Pop_Census_2023!$A$2:$E$3220,4,FALSE), vlookup($D1642,Pop_Census_2023!$A$2:$E$3220,5,FALSE))</f>
        <v>10319</v>
      </c>
      <c r="F1642" s="32">
        <v>1669428.0</v>
      </c>
      <c r="G1642" s="32">
        <v>35.0</v>
      </c>
      <c r="H1642" s="32" t="str">
        <f>VLOOKUP(D1642, Grid_Region_Mapping!$D$2:$F$5286, 3, FALSE)</f>
        <v>SPPN</v>
      </c>
      <c r="I1642" s="32">
        <v>8.0</v>
      </c>
      <c r="J1642" s="34" t="str">
        <f t="shared" si="1"/>
        <v>West</v>
      </c>
      <c r="K1642" s="35">
        <v>1.0</v>
      </c>
      <c r="L1642" s="35" t="s">
        <v>282</v>
      </c>
      <c r="M1642" s="36">
        <f>VLOOKUP(D1642, County_Data_CZones!$B$2:$F$3236, 2, FALSE)</f>
        <v>6</v>
      </c>
      <c r="N1642" s="37" t="str">
        <f>VLOOKUP(D1642, County_Data_CZones!$B$2:$F$3236, 5, FALSE)</f>
        <v>Cold</v>
      </c>
    </row>
    <row r="1643" ht="15.75" customHeight="1">
      <c r="A1643" s="32" t="s">
        <v>1188</v>
      </c>
      <c r="B1643" s="32" t="s">
        <v>1162</v>
      </c>
      <c r="C1643" s="32" t="str">
        <f>vlookup(B1643,State_EMM_RowSums!$A$2:$B$52,2,FALSE)</f>
        <v>MT</v>
      </c>
      <c r="D1643" s="32">
        <v>30087.0</v>
      </c>
      <c r="E1643" s="33">
        <f>IF(NOT(ISBLANK(vlookup($D1643,Pop_Census_2023!$A$2:$E$3220,4,FALSE))),vlookup($D1643,Pop_Census_2023!$A$2:$E$3220,4,FALSE), vlookup($D1643,Pop_Census_2023!$A$2:$E$3220,5,FALSE))</f>
        <v>8160</v>
      </c>
      <c r="F1643" s="32">
        <v>1716795.0</v>
      </c>
      <c r="G1643" s="32">
        <v>20.0</v>
      </c>
      <c r="H1643" s="32" t="str">
        <f>VLOOKUP(D1643, Grid_Region_Mapping!$D$2:$F$5286, 3, FALSE)</f>
        <v>NWPP</v>
      </c>
      <c r="I1643" s="32">
        <v>8.0</v>
      </c>
      <c r="J1643" s="34" t="str">
        <f t="shared" si="1"/>
        <v>West</v>
      </c>
      <c r="K1643" s="35">
        <v>1.0</v>
      </c>
      <c r="L1643" s="35" t="s">
        <v>282</v>
      </c>
      <c r="M1643" s="36">
        <f>VLOOKUP(D1643, County_Data_CZones!$B$2:$F$3236, 2, FALSE)</f>
        <v>6</v>
      </c>
      <c r="N1643" s="37" t="str">
        <f>VLOOKUP(D1643, County_Data_CZones!$B$2:$F$3236, 5, FALSE)</f>
        <v>Cold</v>
      </c>
    </row>
    <row r="1644" ht="15.75" customHeight="1">
      <c r="A1644" s="32" t="s">
        <v>1189</v>
      </c>
      <c r="B1644" s="32" t="s">
        <v>1162</v>
      </c>
      <c r="C1644" s="32" t="str">
        <f>vlookup(B1644,State_EMM_RowSums!$A$2:$B$52,2,FALSE)</f>
        <v>MT</v>
      </c>
      <c r="D1644" s="32">
        <v>30089.0</v>
      </c>
      <c r="E1644" s="33">
        <f>IF(NOT(ISBLANK(vlookup($D1644,Pop_Census_2023!$A$2:$E$3220,4,FALSE))),vlookup($D1644,Pop_Census_2023!$A$2:$E$3220,4,FALSE), vlookup($D1644,Pop_Census_2023!$A$2:$E$3220,5,FALSE))</f>
        <v>13684</v>
      </c>
      <c r="F1644" s="32">
        <v>1719578.0</v>
      </c>
      <c r="G1644" s="32">
        <v>17.0</v>
      </c>
      <c r="H1644" s="32" t="str">
        <f>VLOOKUP(D1644, Grid_Region_Mapping!$D$2:$F$5286, 3, FALSE)</f>
        <v>NWPP</v>
      </c>
      <c r="I1644" s="32">
        <v>8.0</v>
      </c>
      <c r="J1644" s="34" t="str">
        <f t="shared" si="1"/>
        <v>West</v>
      </c>
      <c r="K1644" s="35">
        <v>1.0</v>
      </c>
      <c r="L1644" s="35" t="s">
        <v>282</v>
      </c>
      <c r="M1644" s="36">
        <f>VLOOKUP(D1644, County_Data_CZones!$B$2:$F$3236, 2, FALSE)</f>
        <v>6</v>
      </c>
      <c r="N1644" s="37" t="str">
        <f>VLOOKUP(D1644, County_Data_CZones!$B$2:$F$3236, 5, FALSE)</f>
        <v>Cold</v>
      </c>
    </row>
    <row r="1645" ht="15.75" customHeight="1">
      <c r="A1645" s="32" t="s">
        <v>804</v>
      </c>
      <c r="B1645" s="32" t="s">
        <v>1162</v>
      </c>
      <c r="C1645" s="32" t="str">
        <f>vlookup(B1645,State_EMM_RowSums!$A$2:$B$52,2,FALSE)</f>
        <v>MT</v>
      </c>
      <c r="D1645" s="32">
        <v>30091.0</v>
      </c>
      <c r="E1645" s="33">
        <f>IF(NOT(ISBLANK(vlookup($D1645,Pop_Census_2023!$A$2:$E$3220,4,FALSE))),vlookup($D1645,Pop_Census_2023!$A$2:$E$3220,4,FALSE), vlookup($D1645,Pop_Census_2023!$A$2:$E$3220,5,FALSE))</f>
        <v>3498</v>
      </c>
      <c r="F1645" s="32">
        <v>1677577.0</v>
      </c>
      <c r="G1645" s="32">
        <v>35.0</v>
      </c>
      <c r="H1645" s="32" t="str">
        <f>VLOOKUP(D1645, Grid_Region_Mapping!$D$2:$F$5286, 3, FALSE)</f>
        <v>MISW</v>
      </c>
      <c r="I1645" s="32">
        <v>8.0</v>
      </c>
      <c r="J1645" s="34" t="str">
        <f t="shared" si="1"/>
        <v>West</v>
      </c>
      <c r="K1645" s="35">
        <v>1.0</v>
      </c>
      <c r="L1645" s="35" t="s">
        <v>282</v>
      </c>
      <c r="M1645" s="36">
        <f>VLOOKUP(D1645, County_Data_CZones!$B$2:$F$3236, 2, FALSE)</f>
        <v>6</v>
      </c>
      <c r="N1645" s="37" t="str">
        <f>VLOOKUP(D1645, County_Data_CZones!$B$2:$F$3236, 5, FALSE)</f>
        <v>Cold</v>
      </c>
    </row>
    <row r="1646" ht="15.75" customHeight="1">
      <c r="A1646" s="32" t="s">
        <v>1190</v>
      </c>
      <c r="B1646" s="32" t="s">
        <v>1162</v>
      </c>
      <c r="C1646" s="32" t="str">
        <f>vlookup(B1646,State_EMM_RowSums!$A$2:$B$52,2,FALSE)</f>
        <v>MT</v>
      </c>
      <c r="D1646" s="32">
        <v>30093.0</v>
      </c>
      <c r="E1646" s="33">
        <f>IF(NOT(ISBLANK(vlookup($D1646,Pop_Census_2023!$A$2:$E$3220,4,FALSE))),vlookup($D1646,Pop_Census_2023!$A$2:$E$3220,4,FALSE), vlookup($D1646,Pop_Census_2023!$A$2:$E$3220,5,FALSE))</f>
        <v>36360</v>
      </c>
      <c r="F1646" s="32">
        <v>1719575.0</v>
      </c>
      <c r="G1646" s="32">
        <v>17.0</v>
      </c>
      <c r="H1646" s="32" t="str">
        <f>VLOOKUP(D1646, Grid_Region_Mapping!$D$2:$F$5286, 3, FALSE)</f>
        <v>NWPP</v>
      </c>
      <c r="I1646" s="32">
        <v>8.0</v>
      </c>
      <c r="J1646" s="34" t="str">
        <f t="shared" si="1"/>
        <v>West</v>
      </c>
      <c r="K1646" s="35">
        <v>1.0</v>
      </c>
      <c r="L1646" s="35" t="s">
        <v>282</v>
      </c>
      <c r="M1646" s="36">
        <f>VLOOKUP(D1646, County_Data_CZones!$B$2:$F$3236, 2, FALSE)</f>
        <v>6</v>
      </c>
      <c r="N1646" s="37" t="str">
        <f>VLOOKUP(D1646, County_Data_CZones!$B$2:$F$3236, 5, FALSE)</f>
        <v>Cold</v>
      </c>
    </row>
    <row r="1647" ht="15.75" customHeight="1">
      <c r="A1647" s="32" t="s">
        <v>1191</v>
      </c>
      <c r="B1647" s="32" t="s">
        <v>1162</v>
      </c>
      <c r="C1647" s="32" t="str">
        <f>vlookup(B1647,State_EMM_RowSums!$A$2:$B$52,2,FALSE)</f>
        <v>MT</v>
      </c>
      <c r="D1647" s="32">
        <v>30095.0</v>
      </c>
      <c r="E1647" s="33">
        <f>IF(NOT(ISBLANK(vlookup($D1647,Pop_Census_2023!$A$2:$E$3220,4,FALSE))),vlookup($D1647,Pop_Census_2023!$A$2:$E$3220,4,FALSE), vlookup($D1647,Pop_Census_2023!$A$2:$E$3220,5,FALSE))</f>
        <v>9173</v>
      </c>
      <c r="F1647" s="32">
        <v>1719572.0</v>
      </c>
      <c r="G1647" s="32">
        <v>18.0</v>
      </c>
      <c r="H1647" s="32" t="str">
        <f>VLOOKUP(D1647, Grid_Region_Mapping!$D$2:$F$5286, 3, FALSE)</f>
        <v>NWPP</v>
      </c>
      <c r="I1647" s="32">
        <v>8.0</v>
      </c>
      <c r="J1647" s="34" t="str">
        <f t="shared" si="1"/>
        <v>West</v>
      </c>
      <c r="K1647" s="35">
        <v>1.0</v>
      </c>
      <c r="L1647" s="35" t="s">
        <v>282</v>
      </c>
      <c r="M1647" s="36">
        <f>VLOOKUP(D1647, County_Data_CZones!$B$2:$F$3236, 2, FALSE)</f>
        <v>6</v>
      </c>
      <c r="N1647" s="37" t="str">
        <f>VLOOKUP(D1647, County_Data_CZones!$B$2:$F$3236, 5, FALSE)</f>
        <v>Cold</v>
      </c>
    </row>
    <row r="1648" ht="15.75" customHeight="1">
      <c r="A1648" s="32" t="s">
        <v>1192</v>
      </c>
      <c r="B1648" s="32" t="s">
        <v>1162</v>
      </c>
      <c r="C1648" s="32" t="str">
        <f>vlookup(B1648,State_EMM_RowSums!$A$2:$B$52,2,FALSE)</f>
        <v>MT</v>
      </c>
      <c r="D1648" s="32">
        <v>30097.0</v>
      </c>
      <c r="E1648" s="33">
        <f>IF(NOT(ISBLANK(vlookup($D1648,Pop_Census_2023!$A$2:$E$3220,4,FALSE))),vlookup($D1648,Pop_Census_2023!$A$2:$E$3220,4,FALSE), vlookup($D1648,Pop_Census_2023!$A$2:$E$3220,5,FALSE))</f>
        <v>3763</v>
      </c>
      <c r="F1648" s="32">
        <v>1719569.0</v>
      </c>
      <c r="G1648" s="32">
        <v>18.0</v>
      </c>
      <c r="H1648" s="32" t="str">
        <f>VLOOKUP(D1648, Grid_Region_Mapping!$D$2:$F$5286, 3, FALSE)</f>
        <v>NWPP</v>
      </c>
      <c r="I1648" s="32">
        <v>8.0</v>
      </c>
      <c r="J1648" s="34" t="str">
        <f t="shared" si="1"/>
        <v>West</v>
      </c>
      <c r="K1648" s="35">
        <v>1.0</v>
      </c>
      <c r="L1648" s="35" t="s">
        <v>282</v>
      </c>
      <c r="M1648" s="36">
        <f>VLOOKUP(D1648, County_Data_CZones!$B$2:$F$3236, 2, FALSE)</f>
        <v>6</v>
      </c>
      <c r="N1648" s="37" t="str">
        <f>VLOOKUP(D1648, County_Data_CZones!$B$2:$F$3236, 5, FALSE)</f>
        <v>Cold</v>
      </c>
    </row>
    <row r="1649" ht="15.75" customHeight="1">
      <c r="A1649" s="32" t="s">
        <v>605</v>
      </c>
      <c r="B1649" s="32" t="s">
        <v>1162</v>
      </c>
      <c r="C1649" s="32" t="str">
        <f>vlookup(B1649,State_EMM_RowSums!$A$2:$B$52,2,FALSE)</f>
        <v>MT</v>
      </c>
      <c r="D1649" s="32">
        <v>30099.0</v>
      </c>
      <c r="E1649" s="33">
        <f>IF(NOT(ISBLANK(vlookup($D1649,Pop_Census_2023!$A$2:$E$3220,4,FALSE))),vlookup($D1649,Pop_Census_2023!$A$2:$E$3220,4,FALSE), vlookup($D1649,Pop_Census_2023!$A$2:$E$3220,5,FALSE))</f>
        <v>6430</v>
      </c>
      <c r="F1649" s="32">
        <v>1720018.0</v>
      </c>
      <c r="G1649" s="32">
        <v>18.0</v>
      </c>
      <c r="H1649" s="32" t="str">
        <f>VLOOKUP(D1649, Grid_Region_Mapping!$D$2:$F$5286, 3, FALSE)</f>
        <v>NWPP</v>
      </c>
      <c r="I1649" s="32">
        <v>8.0</v>
      </c>
      <c r="J1649" s="34" t="str">
        <f t="shared" si="1"/>
        <v>West</v>
      </c>
      <c r="K1649" s="35">
        <v>1.0</v>
      </c>
      <c r="L1649" s="35" t="s">
        <v>282</v>
      </c>
      <c r="M1649" s="36">
        <f>VLOOKUP(D1649, County_Data_CZones!$B$2:$F$3236, 2, FALSE)</f>
        <v>6</v>
      </c>
      <c r="N1649" s="37" t="str">
        <f>VLOOKUP(D1649, County_Data_CZones!$B$2:$F$3236, 5, FALSE)</f>
        <v>Cold</v>
      </c>
    </row>
    <row r="1650" ht="15.75" customHeight="1">
      <c r="A1650" s="32" t="s">
        <v>1193</v>
      </c>
      <c r="B1650" s="32" t="s">
        <v>1162</v>
      </c>
      <c r="C1650" s="32" t="str">
        <f>vlookup(B1650,State_EMM_RowSums!$A$2:$B$52,2,FALSE)</f>
        <v>MT</v>
      </c>
      <c r="D1650" s="32">
        <v>30101.0</v>
      </c>
      <c r="E1650" s="33">
        <f>IF(NOT(ISBLANK(vlookup($D1650,Pop_Census_2023!$A$2:$E$3220,4,FALSE))),vlookup($D1650,Pop_Census_2023!$A$2:$E$3220,4,FALSE), vlookup($D1650,Pop_Census_2023!$A$2:$E$3220,5,FALSE))</f>
        <v>5133</v>
      </c>
      <c r="F1650" s="32">
        <v>1719566.0</v>
      </c>
      <c r="G1650" s="32">
        <v>18.0</v>
      </c>
      <c r="H1650" s="32" t="str">
        <f>VLOOKUP(D1650, Grid_Region_Mapping!$D$2:$F$5286, 3, FALSE)</f>
        <v>NWPP</v>
      </c>
      <c r="I1650" s="32">
        <v>8.0</v>
      </c>
      <c r="J1650" s="34" t="str">
        <f t="shared" si="1"/>
        <v>West</v>
      </c>
      <c r="K1650" s="35">
        <v>1.0</v>
      </c>
      <c r="L1650" s="35" t="s">
        <v>282</v>
      </c>
      <c r="M1650" s="36">
        <f>VLOOKUP(D1650, County_Data_CZones!$B$2:$F$3236, 2, FALSE)</f>
        <v>6</v>
      </c>
      <c r="N1650" s="37" t="str">
        <f>VLOOKUP(D1650, County_Data_CZones!$B$2:$F$3236, 5, FALSE)</f>
        <v>Cold</v>
      </c>
    </row>
    <row r="1651" ht="15.75" customHeight="1">
      <c r="A1651" s="32" t="s">
        <v>1194</v>
      </c>
      <c r="B1651" s="32" t="s">
        <v>1162</v>
      </c>
      <c r="C1651" s="32" t="str">
        <f>vlookup(B1651,State_EMM_RowSums!$A$2:$B$52,2,FALSE)</f>
        <v>MT</v>
      </c>
      <c r="D1651" s="32">
        <v>30103.0</v>
      </c>
      <c r="E1651" s="33">
        <f>IF(NOT(ISBLANK(vlookup($D1651,Pop_Census_2023!$A$2:$E$3220,4,FALSE))),vlookup($D1651,Pop_Census_2023!$A$2:$E$3220,4,FALSE), vlookup($D1651,Pop_Census_2023!$A$2:$E$3220,5,FALSE))</f>
        <v>772</v>
      </c>
      <c r="F1651" s="32">
        <v>1719563.0</v>
      </c>
      <c r="G1651" s="32">
        <v>20.0</v>
      </c>
      <c r="H1651" s="32" t="str">
        <f>VLOOKUP(D1651, Grid_Region_Mapping!$D$2:$F$5286, 3, FALSE)</f>
        <v>NWPP</v>
      </c>
      <c r="I1651" s="32">
        <v>8.0</v>
      </c>
      <c r="J1651" s="34" t="str">
        <f t="shared" si="1"/>
        <v>West</v>
      </c>
      <c r="K1651" s="35">
        <v>1.0</v>
      </c>
      <c r="L1651" s="35" t="s">
        <v>282</v>
      </c>
      <c r="M1651" s="36">
        <f>VLOOKUP(D1651, County_Data_CZones!$B$2:$F$3236, 2, FALSE)</f>
        <v>6</v>
      </c>
      <c r="N1651" s="37" t="str">
        <f>VLOOKUP(D1651, County_Data_CZones!$B$2:$F$3236, 5, FALSE)</f>
        <v>Cold</v>
      </c>
    </row>
    <row r="1652" ht="15.75" customHeight="1">
      <c r="A1652" s="32" t="s">
        <v>607</v>
      </c>
      <c r="B1652" s="32" t="s">
        <v>1162</v>
      </c>
      <c r="C1652" s="32" t="str">
        <f>vlookup(B1652,State_EMM_RowSums!$A$2:$B$52,2,FALSE)</f>
        <v>MT</v>
      </c>
      <c r="D1652" s="32">
        <v>30105.0</v>
      </c>
      <c r="E1652" s="33">
        <f>IF(NOT(ISBLANK(vlookup($D1652,Pop_Census_2023!$A$2:$E$3220,4,FALSE))),vlookup($D1652,Pop_Census_2023!$A$2:$E$3220,4,FALSE), vlookup($D1652,Pop_Census_2023!$A$2:$E$3220,5,FALSE))</f>
        <v>7474</v>
      </c>
      <c r="F1652" s="32">
        <v>1678923.0</v>
      </c>
      <c r="G1652" s="32">
        <v>19.0</v>
      </c>
      <c r="H1652" s="32" t="str">
        <f>VLOOKUP(D1652, Grid_Region_Mapping!$D$2:$F$5286, 3, FALSE)</f>
        <v>NWPP</v>
      </c>
      <c r="I1652" s="32">
        <v>8.0</v>
      </c>
      <c r="J1652" s="34" t="str">
        <f t="shared" si="1"/>
        <v>West</v>
      </c>
      <c r="K1652" s="35">
        <v>1.0</v>
      </c>
      <c r="L1652" s="35" t="s">
        <v>282</v>
      </c>
      <c r="M1652" s="36">
        <f>VLOOKUP(D1652, County_Data_CZones!$B$2:$F$3236, 2, FALSE)</f>
        <v>6</v>
      </c>
      <c r="N1652" s="37" t="str">
        <f>VLOOKUP(D1652, County_Data_CZones!$B$2:$F$3236, 5, FALSE)</f>
        <v>Cold</v>
      </c>
    </row>
    <row r="1653" ht="15.75" customHeight="1">
      <c r="A1653" s="32" t="s">
        <v>1195</v>
      </c>
      <c r="B1653" s="32" t="s">
        <v>1162</v>
      </c>
      <c r="C1653" s="32" t="str">
        <f>vlookup(B1653,State_EMM_RowSums!$A$2:$B$52,2,FALSE)</f>
        <v>MT</v>
      </c>
      <c r="D1653" s="32">
        <v>30107.0</v>
      </c>
      <c r="E1653" s="33">
        <f>IF(NOT(ISBLANK(vlookup($D1653,Pop_Census_2023!$A$2:$E$3220,4,FALSE))),vlookup($D1653,Pop_Census_2023!$A$2:$E$3220,4,FALSE), vlookup($D1653,Pop_Census_2023!$A$2:$E$3220,5,FALSE))</f>
        <v>2057</v>
      </c>
      <c r="F1653" s="32">
        <v>1719560.0</v>
      </c>
      <c r="G1653" s="32">
        <v>20.0</v>
      </c>
      <c r="H1653" s="32" t="str">
        <f>VLOOKUP(D1653, Grid_Region_Mapping!$D$2:$F$5286, 3, FALSE)</f>
        <v>NWPP</v>
      </c>
      <c r="I1653" s="32">
        <v>8.0</v>
      </c>
      <c r="J1653" s="34" t="str">
        <f t="shared" si="1"/>
        <v>West</v>
      </c>
      <c r="K1653" s="35">
        <v>1.0</v>
      </c>
      <c r="L1653" s="35" t="s">
        <v>282</v>
      </c>
      <c r="M1653" s="36">
        <f>VLOOKUP(D1653, County_Data_CZones!$B$2:$F$3236, 2, FALSE)</f>
        <v>6</v>
      </c>
      <c r="N1653" s="37" t="str">
        <f>VLOOKUP(D1653, County_Data_CZones!$B$2:$F$3236, 5, FALSE)</f>
        <v>Cold</v>
      </c>
    </row>
    <row r="1654" ht="15.75" customHeight="1">
      <c r="A1654" s="32" t="s">
        <v>1196</v>
      </c>
      <c r="B1654" s="32" t="s">
        <v>1162</v>
      </c>
      <c r="C1654" s="32" t="str">
        <f>vlookup(B1654,State_EMM_RowSums!$A$2:$B$52,2,FALSE)</f>
        <v>MT</v>
      </c>
      <c r="D1654" s="32">
        <v>30109.0</v>
      </c>
      <c r="E1654" s="33">
        <f>IF(NOT(ISBLANK(vlookup($D1654,Pop_Census_2023!$A$2:$E$3220,4,FALSE))),vlookup($D1654,Pop_Census_2023!$A$2:$E$3220,4,FALSE), vlookup($D1654,Pop_Census_2023!$A$2:$E$3220,5,FALSE))</f>
        <v>910</v>
      </c>
      <c r="F1654" s="32">
        <v>1696629.0</v>
      </c>
      <c r="G1654" s="32">
        <v>35.0</v>
      </c>
      <c r="H1654" s="32" t="str">
        <f>VLOOKUP(D1654, Grid_Region_Mapping!$D$2:$F$5286, 3, FALSE)</f>
        <v>SPPN</v>
      </c>
      <c r="I1654" s="32">
        <v>8.0</v>
      </c>
      <c r="J1654" s="34" t="str">
        <f t="shared" si="1"/>
        <v>West</v>
      </c>
      <c r="K1654" s="35">
        <v>1.0</v>
      </c>
      <c r="L1654" s="35" t="s">
        <v>282</v>
      </c>
      <c r="M1654" s="36">
        <f>VLOOKUP(D1654, County_Data_CZones!$B$2:$F$3236, 2, FALSE)</f>
        <v>6</v>
      </c>
      <c r="N1654" s="37" t="str">
        <f>VLOOKUP(D1654, County_Data_CZones!$B$2:$F$3236, 5, FALSE)</f>
        <v>Cold</v>
      </c>
    </row>
    <row r="1655" ht="15.75" customHeight="1">
      <c r="A1655" s="32" t="s">
        <v>1197</v>
      </c>
      <c r="B1655" s="32" t="s">
        <v>1162</v>
      </c>
      <c r="C1655" s="32" t="str">
        <f>vlookup(B1655,State_EMM_RowSums!$A$2:$B$52,2,FALSE)</f>
        <v>MT</v>
      </c>
      <c r="D1655" s="32">
        <v>30111.0</v>
      </c>
      <c r="E1655" s="33">
        <f>IF(NOT(ISBLANK(vlookup($D1655,Pop_Census_2023!$A$2:$E$3220,4,FALSE))),vlookup($D1655,Pop_Census_2023!$A$2:$E$3220,4,FALSE), vlookup($D1655,Pop_Census_2023!$A$2:$E$3220,5,FALSE))</f>
        <v>170843</v>
      </c>
      <c r="F1655" s="32">
        <v>1719558.0</v>
      </c>
      <c r="G1655" s="32">
        <v>20.0</v>
      </c>
      <c r="H1655" s="32" t="str">
        <f>VLOOKUP(D1655, Grid_Region_Mapping!$D$2:$F$5286, 3, FALSE)</f>
        <v>NWPP</v>
      </c>
      <c r="I1655" s="32">
        <v>8.0</v>
      </c>
      <c r="J1655" s="34" t="str">
        <f t="shared" si="1"/>
        <v>West</v>
      </c>
      <c r="K1655" s="35">
        <v>1.0</v>
      </c>
      <c r="L1655" s="35" t="s">
        <v>282</v>
      </c>
      <c r="M1655" s="36">
        <f>VLOOKUP(D1655, County_Data_CZones!$B$2:$F$3236, 2, FALSE)</f>
        <v>6</v>
      </c>
      <c r="N1655" s="37" t="str">
        <f>VLOOKUP(D1655, County_Data_CZones!$B$2:$F$3236, 5, FALSE)</f>
        <v>Cold</v>
      </c>
    </row>
    <row r="1656" ht="15.75" customHeight="1">
      <c r="A1656" s="32" t="s">
        <v>338</v>
      </c>
      <c r="B1656" s="32" t="s">
        <v>1198</v>
      </c>
      <c r="C1656" s="32" t="str">
        <f>vlookup(B1656,State_EMM_RowSums!$A$2:$B$52,2,FALSE)</f>
        <v>NE</v>
      </c>
      <c r="D1656" s="32">
        <v>31001.0</v>
      </c>
      <c r="E1656" s="33">
        <f>IF(NOT(ISBLANK(vlookup($D1656,Pop_Census_2023!$A$2:$E$3220,4,FALSE))),vlookup($D1656,Pop_Census_2023!$A$2:$E$3220,4,FALSE), vlookup($D1656,Pop_Census_2023!$A$2:$E$3220,5,FALSE))</f>
        <v>30899</v>
      </c>
      <c r="F1656" s="32">
        <v>835823.0</v>
      </c>
      <c r="G1656" s="32">
        <v>40.0</v>
      </c>
      <c r="H1656" s="32" t="str">
        <f>VLOOKUP(D1656, Grid_Region_Mapping!$D$2:$F$5286, 3, FALSE)</f>
        <v>SPPN</v>
      </c>
      <c r="I1656" s="32">
        <v>4.0</v>
      </c>
      <c r="J1656" s="34" t="str">
        <f t="shared" si="1"/>
        <v>Midwest</v>
      </c>
      <c r="K1656" s="35">
        <v>2.0</v>
      </c>
      <c r="L1656" s="35" t="s">
        <v>396</v>
      </c>
      <c r="M1656" s="36">
        <f>VLOOKUP(D1656, County_Data_CZones!$B$2:$F$3236, 2, FALSE)</f>
        <v>5</v>
      </c>
      <c r="N1656" s="37" t="str">
        <f>VLOOKUP(D1656, County_Data_CZones!$B$2:$F$3236, 5, FALSE)</f>
        <v>Cold</v>
      </c>
    </row>
    <row r="1657" ht="15.75" customHeight="1">
      <c r="A1657" s="32" t="s">
        <v>1199</v>
      </c>
      <c r="B1657" s="32" t="s">
        <v>1198</v>
      </c>
      <c r="C1657" s="32" t="str">
        <f>vlookup(B1657,State_EMM_RowSums!$A$2:$B$52,2,FALSE)</f>
        <v>NE</v>
      </c>
      <c r="D1657" s="32">
        <v>31003.0</v>
      </c>
      <c r="E1657" s="33">
        <f>IF(NOT(ISBLANK(vlookup($D1657,Pop_Census_2023!$A$2:$E$3220,4,FALSE))),vlookup($D1657,Pop_Census_2023!$A$2:$E$3220,4,FALSE), vlookup($D1657,Pop_Census_2023!$A$2:$E$3220,5,FALSE))</f>
        <v>6302</v>
      </c>
      <c r="F1657" s="32">
        <v>835824.0</v>
      </c>
      <c r="G1657" s="32">
        <v>40.0</v>
      </c>
      <c r="H1657" s="32" t="str">
        <f>VLOOKUP(D1657, Grid_Region_Mapping!$D$2:$F$5286, 3, FALSE)</f>
        <v>SPPN</v>
      </c>
      <c r="I1657" s="32">
        <v>4.0</v>
      </c>
      <c r="J1657" s="34" t="str">
        <f t="shared" si="1"/>
        <v>Midwest</v>
      </c>
      <c r="K1657" s="35">
        <v>2.0</v>
      </c>
      <c r="L1657" s="35" t="s">
        <v>396</v>
      </c>
      <c r="M1657" s="36">
        <f>VLOOKUP(D1657, County_Data_CZones!$B$2:$F$3236, 2, FALSE)</f>
        <v>5</v>
      </c>
      <c r="N1657" s="37" t="str">
        <f>VLOOKUP(D1657, County_Data_CZones!$B$2:$F$3236, 5, FALSE)</f>
        <v>Cold</v>
      </c>
    </row>
    <row r="1658" ht="15.75" customHeight="1">
      <c r="A1658" s="32" t="s">
        <v>1200</v>
      </c>
      <c r="B1658" s="32" t="s">
        <v>1198</v>
      </c>
      <c r="C1658" s="32" t="str">
        <f>vlookup(B1658,State_EMM_RowSums!$A$2:$B$52,2,FALSE)</f>
        <v>NE</v>
      </c>
      <c r="D1658" s="32">
        <v>31005.0</v>
      </c>
      <c r="E1658" s="33">
        <f>IF(NOT(ISBLANK(vlookup($D1658,Pop_Census_2023!$A$2:$E$3220,4,FALSE))),vlookup($D1658,Pop_Census_2023!$A$2:$E$3220,4,FALSE), vlookup($D1658,Pop_Census_2023!$A$2:$E$3220,5,FALSE))</f>
        <v>412</v>
      </c>
      <c r="F1658" s="32">
        <v>835825.0</v>
      </c>
      <c r="G1658" s="32">
        <v>39.0</v>
      </c>
      <c r="H1658" s="32" t="str">
        <f>VLOOKUP(D1658, Grid_Region_Mapping!$D$2:$F$5286, 3, FALSE)</f>
        <v>SPPN</v>
      </c>
      <c r="I1658" s="32">
        <v>4.0</v>
      </c>
      <c r="J1658" s="34" t="str">
        <f t="shared" si="1"/>
        <v>Midwest</v>
      </c>
      <c r="K1658" s="35">
        <v>2.0</v>
      </c>
      <c r="L1658" s="35" t="s">
        <v>396</v>
      </c>
      <c r="M1658" s="36">
        <f>VLOOKUP(D1658, County_Data_CZones!$B$2:$F$3236, 2, FALSE)</f>
        <v>5</v>
      </c>
      <c r="N1658" s="37" t="str">
        <f>VLOOKUP(D1658, County_Data_CZones!$B$2:$F$3236, 5, FALSE)</f>
        <v>Cold</v>
      </c>
    </row>
    <row r="1659" ht="15.75" customHeight="1">
      <c r="A1659" s="32" t="s">
        <v>1201</v>
      </c>
      <c r="B1659" s="32" t="s">
        <v>1198</v>
      </c>
      <c r="C1659" s="32" t="str">
        <f>vlookup(B1659,State_EMM_RowSums!$A$2:$B$52,2,FALSE)</f>
        <v>NE</v>
      </c>
      <c r="D1659" s="32">
        <v>31007.0</v>
      </c>
      <c r="E1659" s="33">
        <f>IF(NOT(ISBLANK(vlookup($D1659,Pop_Census_2023!$A$2:$E$3220,4,FALSE))),vlookup($D1659,Pop_Census_2023!$A$2:$E$3220,4,FALSE), vlookup($D1659,Pop_Census_2023!$A$2:$E$3220,5,FALSE))</f>
        <v>674</v>
      </c>
      <c r="F1659" s="32">
        <v>835826.0</v>
      </c>
      <c r="G1659" s="32">
        <v>39.0</v>
      </c>
      <c r="H1659" s="32" t="str">
        <f>VLOOKUP(D1659, Grid_Region_Mapping!$D$2:$F$5286, 3, FALSE)</f>
        <v>RMRG</v>
      </c>
      <c r="I1659" s="32">
        <v>4.0</v>
      </c>
      <c r="J1659" s="34" t="str">
        <f t="shared" si="1"/>
        <v>Midwest</v>
      </c>
      <c r="K1659" s="35">
        <v>2.0</v>
      </c>
      <c r="L1659" s="35" t="s">
        <v>396</v>
      </c>
      <c r="M1659" s="36">
        <f>VLOOKUP(D1659, County_Data_CZones!$B$2:$F$3236, 2, FALSE)</f>
        <v>5</v>
      </c>
      <c r="N1659" s="37" t="str">
        <f>VLOOKUP(D1659, County_Data_CZones!$B$2:$F$3236, 5, FALSE)</f>
        <v>Cold</v>
      </c>
    </row>
    <row r="1660" ht="15.75" customHeight="1">
      <c r="A1660" s="32" t="s">
        <v>581</v>
      </c>
      <c r="B1660" s="32" t="s">
        <v>1198</v>
      </c>
      <c r="C1660" s="32" t="str">
        <f>vlookup(B1660,State_EMM_RowSums!$A$2:$B$52,2,FALSE)</f>
        <v>NE</v>
      </c>
      <c r="D1660" s="32">
        <v>31009.0</v>
      </c>
      <c r="E1660" s="33">
        <f>IF(NOT(ISBLANK(vlookup($D1660,Pop_Census_2023!$A$2:$E$3220,4,FALSE))),vlookup($D1660,Pop_Census_2023!$A$2:$E$3220,4,FALSE), vlookup($D1660,Pop_Census_2023!$A$2:$E$3220,5,FALSE))</f>
        <v>436</v>
      </c>
      <c r="F1660" s="32">
        <v>835827.0</v>
      </c>
      <c r="G1660" s="32">
        <v>40.0</v>
      </c>
      <c r="H1660" s="32" t="str">
        <f>VLOOKUP(D1660, Grid_Region_Mapping!$D$2:$F$5286, 3, FALSE)</f>
        <v>SPPN</v>
      </c>
      <c r="I1660" s="32">
        <v>4.0</v>
      </c>
      <c r="J1660" s="34" t="str">
        <f t="shared" si="1"/>
        <v>Midwest</v>
      </c>
      <c r="K1660" s="35">
        <v>2.0</v>
      </c>
      <c r="L1660" s="35" t="s">
        <v>396</v>
      </c>
      <c r="M1660" s="36">
        <f>VLOOKUP(D1660, County_Data_CZones!$B$2:$F$3236, 2, FALSE)</f>
        <v>5</v>
      </c>
      <c r="N1660" s="37" t="str">
        <f>VLOOKUP(D1660, County_Data_CZones!$B$2:$F$3236, 5, FALSE)</f>
        <v>Cold</v>
      </c>
    </row>
    <row r="1661" ht="15.75" customHeight="1">
      <c r="A1661" s="32" t="s">
        <v>225</v>
      </c>
      <c r="B1661" s="32" t="s">
        <v>1198</v>
      </c>
      <c r="C1661" s="32" t="str">
        <f>vlookup(B1661,State_EMM_RowSums!$A$2:$B$52,2,FALSE)</f>
        <v>NE</v>
      </c>
      <c r="D1661" s="32">
        <v>31011.0</v>
      </c>
      <c r="E1661" s="33">
        <f>IF(NOT(ISBLANK(vlookup($D1661,Pop_Census_2023!$A$2:$E$3220,4,FALSE))),vlookup($D1661,Pop_Census_2023!$A$2:$E$3220,4,FALSE), vlookup($D1661,Pop_Census_2023!$A$2:$E$3220,5,FALSE))</f>
        <v>5310</v>
      </c>
      <c r="F1661" s="32">
        <v>835828.0</v>
      </c>
      <c r="G1661" s="32">
        <v>40.0</v>
      </c>
      <c r="H1661" s="32" t="str">
        <f>VLOOKUP(D1661, Grid_Region_Mapping!$D$2:$F$5286, 3, FALSE)</f>
        <v>SPPN</v>
      </c>
      <c r="I1661" s="32">
        <v>4.0</v>
      </c>
      <c r="J1661" s="34" t="str">
        <f t="shared" si="1"/>
        <v>Midwest</v>
      </c>
      <c r="K1661" s="35">
        <v>2.0</v>
      </c>
      <c r="L1661" s="35" t="s">
        <v>396</v>
      </c>
      <c r="M1661" s="36">
        <f>VLOOKUP(D1661, County_Data_CZones!$B$2:$F$3236, 2, FALSE)</f>
        <v>5</v>
      </c>
      <c r="N1661" s="37" t="str">
        <f>VLOOKUP(D1661, County_Data_CZones!$B$2:$F$3236, 5, FALSE)</f>
        <v>Cold</v>
      </c>
    </row>
    <row r="1662" ht="15.75" customHeight="1">
      <c r="A1662" s="32" t="s">
        <v>1202</v>
      </c>
      <c r="B1662" s="32" t="s">
        <v>1198</v>
      </c>
      <c r="C1662" s="32" t="str">
        <f>vlookup(B1662,State_EMM_RowSums!$A$2:$B$52,2,FALSE)</f>
        <v>NE</v>
      </c>
      <c r="D1662" s="32">
        <v>31013.0</v>
      </c>
      <c r="E1662" s="33">
        <f>IF(NOT(ISBLANK(vlookup($D1662,Pop_Census_2023!$A$2:$E$3220,4,FALSE))),vlookup($D1662,Pop_Census_2023!$A$2:$E$3220,4,FALSE), vlookup($D1662,Pop_Census_2023!$A$2:$E$3220,5,FALSE))</f>
        <v>10692</v>
      </c>
      <c r="F1662" s="32">
        <v>835991.0</v>
      </c>
      <c r="G1662" s="32">
        <v>39.0</v>
      </c>
      <c r="H1662" s="32" t="str">
        <f>VLOOKUP(D1662, Grid_Region_Mapping!$D$2:$F$5286, 3, FALSE)</f>
        <v>SPPN</v>
      </c>
      <c r="I1662" s="32">
        <v>4.0</v>
      </c>
      <c r="J1662" s="34" t="str">
        <f t="shared" si="1"/>
        <v>Midwest</v>
      </c>
      <c r="K1662" s="35">
        <v>1.0</v>
      </c>
      <c r="L1662" s="35" t="s">
        <v>396</v>
      </c>
      <c r="M1662" s="36">
        <f>VLOOKUP(D1662, County_Data_CZones!$B$2:$F$3236, 2, FALSE)</f>
        <v>5</v>
      </c>
      <c r="N1662" s="37" t="str">
        <f>VLOOKUP(D1662, County_Data_CZones!$B$2:$F$3236, 5, FALSE)</f>
        <v>Cold</v>
      </c>
    </row>
    <row r="1663" ht="15.75" customHeight="1">
      <c r="A1663" s="32" t="s">
        <v>823</v>
      </c>
      <c r="B1663" s="32" t="s">
        <v>1198</v>
      </c>
      <c r="C1663" s="32" t="str">
        <f>vlookup(B1663,State_EMM_RowSums!$A$2:$B$52,2,FALSE)</f>
        <v>NE</v>
      </c>
      <c r="D1663" s="32">
        <v>31015.0</v>
      </c>
      <c r="E1663" s="33">
        <f>IF(NOT(ISBLANK(vlookup($D1663,Pop_Census_2023!$A$2:$E$3220,4,FALSE))),vlookup($D1663,Pop_Census_2023!$A$2:$E$3220,4,FALSE), vlookup($D1663,Pop_Census_2023!$A$2:$E$3220,5,FALSE))</f>
        <v>1725</v>
      </c>
      <c r="F1663" s="32">
        <v>835829.0</v>
      </c>
      <c r="G1663" s="32">
        <v>40.0</v>
      </c>
      <c r="H1663" s="32" t="str">
        <f>VLOOKUP(D1663, Grid_Region_Mapping!$D$2:$F$5286, 3, FALSE)</f>
        <v>SPPN</v>
      </c>
      <c r="I1663" s="32">
        <v>4.0</v>
      </c>
      <c r="J1663" s="34" t="str">
        <f t="shared" si="1"/>
        <v>Midwest</v>
      </c>
      <c r="K1663" s="35">
        <v>2.0</v>
      </c>
      <c r="L1663" s="35" t="s">
        <v>396</v>
      </c>
      <c r="M1663" s="36">
        <f>VLOOKUP(D1663, County_Data_CZones!$B$2:$F$3236, 2, FALSE)</f>
        <v>5</v>
      </c>
      <c r="N1663" s="37" t="str">
        <f>VLOOKUP(D1663, County_Data_CZones!$B$2:$F$3236, 5, FALSE)</f>
        <v>Cold</v>
      </c>
    </row>
    <row r="1664" ht="15.75" customHeight="1">
      <c r="A1664" s="32" t="s">
        <v>611</v>
      </c>
      <c r="B1664" s="32" t="s">
        <v>1198</v>
      </c>
      <c r="C1664" s="32" t="str">
        <f>vlookup(B1664,State_EMM_RowSums!$A$2:$B$52,2,FALSE)</f>
        <v>NE</v>
      </c>
      <c r="D1664" s="32">
        <v>31017.0</v>
      </c>
      <c r="E1664" s="33">
        <f>IF(NOT(ISBLANK(vlookup($D1664,Pop_Census_2023!$A$2:$E$3220,4,FALSE))),vlookup($D1664,Pop_Census_2023!$A$2:$E$3220,4,FALSE), vlookup($D1664,Pop_Census_2023!$A$2:$E$3220,5,FALSE))</f>
        <v>2853</v>
      </c>
      <c r="F1664" s="32">
        <v>835830.0</v>
      </c>
      <c r="G1664" s="32">
        <v>40.0</v>
      </c>
      <c r="H1664" s="32" t="str">
        <f>VLOOKUP(D1664, Grid_Region_Mapping!$D$2:$F$5286, 3, FALSE)</f>
        <v>SPPN</v>
      </c>
      <c r="I1664" s="32">
        <v>4.0</v>
      </c>
      <c r="J1664" s="34" t="str">
        <f t="shared" si="1"/>
        <v>Midwest</v>
      </c>
      <c r="K1664" s="35">
        <v>2.0</v>
      </c>
      <c r="L1664" s="35" t="s">
        <v>396</v>
      </c>
      <c r="M1664" s="36">
        <f>VLOOKUP(D1664, County_Data_CZones!$B$2:$F$3236, 2, FALSE)</f>
        <v>5</v>
      </c>
      <c r="N1664" s="37" t="str">
        <f>VLOOKUP(D1664, County_Data_CZones!$B$2:$F$3236, 5, FALSE)</f>
        <v>Cold</v>
      </c>
    </row>
    <row r="1665" ht="15.75" customHeight="1">
      <c r="A1665" s="32" t="s">
        <v>1203</v>
      </c>
      <c r="B1665" s="32" t="s">
        <v>1198</v>
      </c>
      <c r="C1665" s="32" t="str">
        <f>vlookup(B1665,State_EMM_RowSums!$A$2:$B$52,2,FALSE)</f>
        <v>NE</v>
      </c>
      <c r="D1665" s="32">
        <v>31019.0</v>
      </c>
      <c r="E1665" s="33">
        <f>IF(NOT(ISBLANK(vlookup($D1665,Pop_Census_2023!$A$2:$E$3220,4,FALSE))),vlookup($D1665,Pop_Census_2023!$A$2:$E$3220,4,FALSE), vlookup($D1665,Pop_Census_2023!$A$2:$E$3220,5,FALSE))</f>
        <v>50697</v>
      </c>
      <c r="F1665" s="32">
        <v>835831.0</v>
      </c>
      <c r="G1665" s="32">
        <v>40.0</v>
      </c>
      <c r="H1665" s="32" t="str">
        <f>VLOOKUP(D1665, Grid_Region_Mapping!$D$2:$F$5286, 3, FALSE)</f>
        <v>SPPN</v>
      </c>
      <c r="I1665" s="32">
        <v>4.0</v>
      </c>
      <c r="J1665" s="34" t="str">
        <f t="shared" si="1"/>
        <v>Midwest</v>
      </c>
      <c r="K1665" s="35">
        <v>2.0</v>
      </c>
      <c r="L1665" s="35" t="s">
        <v>396</v>
      </c>
      <c r="M1665" s="36">
        <f>VLOOKUP(D1665, County_Data_CZones!$B$2:$F$3236, 2, FALSE)</f>
        <v>5</v>
      </c>
      <c r="N1665" s="37" t="str">
        <f>VLOOKUP(D1665, County_Data_CZones!$B$2:$F$3236, 5, FALSE)</f>
        <v>Cold</v>
      </c>
    </row>
    <row r="1666" ht="15.75" customHeight="1">
      <c r="A1666" s="32" t="s">
        <v>1204</v>
      </c>
      <c r="B1666" s="32" t="s">
        <v>1198</v>
      </c>
      <c r="C1666" s="32" t="str">
        <f>vlookup(B1666,State_EMM_RowSums!$A$2:$B$52,2,FALSE)</f>
        <v>NE</v>
      </c>
      <c r="D1666" s="32">
        <v>31021.0</v>
      </c>
      <c r="E1666" s="33">
        <f>IF(NOT(ISBLANK(vlookup($D1666,Pop_Census_2023!$A$2:$E$3220,4,FALSE))),vlookup($D1666,Pop_Census_2023!$A$2:$E$3220,4,FALSE), vlookup($D1666,Pop_Census_2023!$A$2:$E$3220,5,FALSE))</f>
        <v>6727</v>
      </c>
      <c r="F1666" s="32">
        <v>835832.0</v>
      </c>
      <c r="G1666" s="32">
        <v>41.0</v>
      </c>
      <c r="H1666" s="32" t="str">
        <f>VLOOKUP(D1666, Grid_Region_Mapping!$D$2:$F$5286, 3, FALSE)</f>
        <v>SPPN</v>
      </c>
      <c r="I1666" s="32">
        <v>4.0</v>
      </c>
      <c r="J1666" s="34" t="str">
        <f t="shared" si="1"/>
        <v>Midwest</v>
      </c>
      <c r="K1666" s="35">
        <v>2.0</v>
      </c>
      <c r="L1666" s="35" t="s">
        <v>396</v>
      </c>
      <c r="M1666" s="36">
        <f>VLOOKUP(D1666, County_Data_CZones!$B$2:$F$3236, 2, FALSE)</f>
        <v>5</v>
      </c>
      <c r="N1666" s="37" t="str">
        <f>VLOOKUP(D1666, County_Data_CZones!$B$2:$F$3236, 5, FALSE)</f>
        <v>Cold</v>
      </c>
    </row>
    <row r="1667" ht="15.75" customHeight="1">
      <c r="A1667" s="32" t="s">
        <v>109</v>
      </c>
      <c r="B1667" s="32" t="s">
        <v>1198</v>
      </c>
      <c r="C1667" s="32" t="str">
        <f>vlookup(B1667,State_EMM_RowSums!$A$2:$B$52,2,FALSE)</f>
        <v>NE</v>
      </c>
      <c r="D1667" s="32">
        <v>31023.0</v>
      </c>
      <c r="E1667" s="33">
        <f>IF(NOT(ISBLANK(vlookup($D1667,Pop_Census_2023!$A$2:$E$3220,4,FALSE))),vlookup($D1667,Pop_Census_2023!$A$2:$E$3220,4,FALSE), vlookup($D1667,Pop_Census_2023!$A$2:$E$3220,5,FALSE))</f>
        <v>8459</v>
      </c>
      <c r="F1667" s="32">
        <v>835833.0</v>
      </c>
      <c r="G1667" s="32">
        <v>40.0</v>
      </c>
      <c r="H1667" s="32" t="str">
        <f>VLOOKUP(D1667, Grid_Region_Mapping!$D$2:$F$5286, 3, FALSE)</f>
        <v>SPPN</v>
      </c>
      <c r="I1667" s="32">
        <v>4.0</v>
      </c>
      <c r="J1667" s="34" t="str">
        <f t="shared" si="1"/>
        <v>Midwest</v>
      </c>
      <c r="K1667" s="35">
        <v>2.0</v>
      </c>
      <c r="L1667" s="35" t="s">
        <v>396</v>
      </c>
      <c r="M1667" s="36">
        <f>VLOOKUP(D1667, County_Data_CZones!$B$2:$F$3236, 2, FALSE)</f>
        <v>5</v>
      </c>
      <c r="N1667" s="37" t="str">
        <f>VLOOKUP(D1667, County_Data_CZones!$B$2:$F$3236, 5, FALSE)</f>
        <v>Cold</v>
      </c>
    </row>
    <row r="1668" ht="15.75" customHeight="1">
      <c r="A1668" s="32" t="s">
        <v>613</v>
      </c>
      <c r="B1668" s="32" t="s">
        <v>1198</v>
      </c>
      <c r="C1668" s="32" t="str">
        <f>vlookup(B1668,State_EMM_RowSums!$A$2:$B$52,2,FALSE)</f>
        <v>NE</v>
      </c>
      <c r="D1668" s="32">
        <v>31025.0</v>
      </c>
      <c r="E1668" s="33">
        <f>IF(NOT(ISBLANK(vlookup($D1668,Pop_Census_2023!$A$2:$E$3220,4,FALSE))),vlookup($D1668,Pop_Census_2023!$A$2:$E$3220,4,FALSE), vlookup($D1668,Pop_Census_2023!$A$2:$E$3220,5,FALSE))</f>
        <v>27446</v>
      </c>
      <c r="F1668" s="32">
        <v>835834.0</v>
      </c>
      <c r="G1668" s="32">
        <v>41.0</v>
      </c>
      <c r="H1668" s="32" t="str">
        <f>VLOOKUP(D1668, Grid_Region_Mapping!$D$2:$F$5286, 3, FALSE)</f>
        <v>SPPN</v>
      </c>
      <c r="I1668" s="32">
        <v>4.0</v>
      </c>
      <c r="J1668" s="34" t="str">
        <f t="shared" si="1"/>
        <v>Midwest</v>
      </c>
      <c r="K1668" s="35">
        <v>2.0</v>
      </c>
      <c r="L1668" s="35" t="s">
        <v>396</v>
      </c>
      <c r="M1668" s="36">
        <f>VLOOKUP(D1668, County_Data_CZones!$B$2:$F$3236, 2, FALSE)</f>
        <v>5</v>
      </c>
      <c r="N1668" s="37" t="str">
        <f>VLOOKUP(D1668, County_Data_CZones!$B$2:$F$3236, 5, FALSE)</f>
        <v>Cold</v>
      </c>
    </row>
    <row r="1669" ht="15.75" customHeight="1">
      <c r="A1669" s="32" t="s">
        <v>714</v>
      </c>
      <c r="B1669" s="32" t="s">
        <v>1198</v>
      </c>
      <c r="C1669" s="32" t="str">
        <f>vlookup(B1669,State_EMM_RowSums!$A$2:$B$52,2,FALSE)</f>
        <v>NE</v>
      </c>
      <c r="D1669" s="32">
        <v>31027.0</v>
      </c>
      <c r="E1669" s="33">
        <f>IF(NOT(ISBLANK(vlookup($D1669,Pop_Census_2023!$A$2:$E$3220,4,FALSE))),vlookup($D1669,Pop_Census_2023!$A$2:$E$3220,4,FALSE), vlookup($D1669,Pop_Census_2023!$A$2:$E$3220,5,FALSE))</f>
        <v>8262</v>
      </c>
      <c r="F1669" s="32">
        <v>835835.0</v>
      </c>
      <c r="G1669" s="32">
        <v>40.0</v>
      </c>
      <c r="H1669" s="32" t="str">
        <f>VLOOKUP(D1669, Grid_Region_Mapping!$D$2:$F$5286, 3, FALSE)</f>
        <v>SPPN</v>
      </c>
      <c r="I1669" s="32">
        <v>4.0</v>
      </c>
      <c r="J1669" s="34" t="str">
        <f t="shared" si="1"/>
        <v>Midwest</v>
      </c>
      <c r="K1669" s="35">
        <v>2.0</v>
      </c>
      <c r="L1669" s="35" t="s">
        <v>396</v>
      </c>
      <c r="M1669" s="36">
        <f>VLOOKUP(D1669, County_Data_CZones!$B$2:$F$3236, 2, FALSE)</f>
        <v>5</v>
      </c>
      <c r="N1669" s="37" t="str">
        <f>VLOOKUP(D1669, County_Data_CZones!$B$2:$F$3236, 5, FALSE)</f>
        <v>Cold</v>
      </c>
    </row>
    <row r="1670" ht="15.75" customHeight="1">
      <c r="A1670" s="32" t="s">
        <v>756</v>
      </c>
      <c r="B1670" s="32" t="s">
        <v>1198</v>
      </c>
      <c r="C1670" s="32" t="str">
        <f>vlookup(B1670,State_EMM_RowSums!$A$2:$B$52,2,FALSE)</f>
        <v>NE</v>
      </c>
      <c r="D1670" s="32">
        <v>31029.0</v>
      </c>
      <c r="E1670" s="33">
        <f>IF(NOT(ISBLANK(vlookup($D1670,Pop_Census_2023!$A$2:$E$3220,4,FALSE))),vlookup($D1670,Pop_Census_2023!$A$2:$E$3220,4,FALSE), vlookup($D1670,Pop_Census_2023!$A$2:$E$3220,5,FALSE))</f>
        <v>3724</v>
      </c>
      <c r="F1670" s="32">
        <v>835836.0</v>
      </c>
      <c r="G1670" s="32">
        <v>39.0</v>
      </c>
      <c r="H1670" s="32" t="str">
        <f>VLOOKUP(D1670, Grid_Region_Mapping!$D$2:$F$5286, 3, FALSE)</f>
        <v>SPPN</v>
      </c>
      <c r="I1670" s="32">
        <v>4.0</v>
      </c>
      <c r="J1670" s="34" t="str">
        <f t="shared" si="1"/>
        <v>Midwest</v>
      </c>
      <c r="K1670" s="35">
        <v>2.0</v>
      </c>
      <c r="L1670" s="35" t="s">
        <v>396</v>
      </c>
      <c r="M1670" s="36">
        <f>VLOOKUP(D1670, County_Data_CZones!$B$2:$F$3236, 2, FALSE)</f>
        <v>5</v>
      </c>
      <c r="N1670" s="37" t="str">
        <f>VLOOKUP(D1670, County_Data_CZones!$B$2:$F$3236, 5, FALSE)</f>
        <v>Cold</v>
      </c>
    </row>
    <row r="1671" ht="15.75" customHeight="1">
      <c r="A1671" s="32" t="s">
        <v>1205</v>
      </c>
      <c r="B1671" s="32" t="s">
        <v>1198</v>
      </c>
      <c r="C1671" s="32" t="str">
        <f>vlookup(B1671,State_EMM_RowSums!$A$2:$B$52,2,FALSE)</f>
        <v>NE</v>
      </c>
      <c r="D1671" s="32">
        <v>31031.0</v>
      </c>
      <c r="E1671" s="33">
        <f>IF(NOT(ISBLANK(vlookup($D1671,Pop_Census_2023!$A$2:$E$3220,4,FALSE))),vlookup($D1671,Pop_Census_2023!$A$2:$E$3220,4,FALSE), vlookup($D1671,Pop_Census_2023!$A$2:$E$3220,5,FALSE))</f>
        <v>5492</v>
      </c>
      <c r="F1671" s="32">
        <v>835837.0</v>
      </c>
      <c r="G1671" s="32">
        <v>40.0</v>
      </c>
      <c r="H1671" s="32" t="str">
        <f>VLOOKUP(D1671, Grid_Region_Mapping!$D$2:$F$5286, 3, FALSE)</f>
        <v>SPPN</v>
      </c>
      <c r="I1671" s="32">
        <v>4.0</v>
      </c>
      <c r="J1671" s="34" t="str">
        <f t="shared" si="1"/>
        <v>Midwest</v>
      </c>
      <c r="K1671" s="35">
        <v>2.0</v>
      </c>
      <c r="L1671" s="35" t="s">
        <v>396</v>
      </c>
      <c r="M1671" s="36">
        <f>VLOOKUP(D1671, County_Data_CZones!$B$2:$F$3236, 2, FALSE)</f>
        <v>5</v>
      </c>
      <c r="N1671" s="37" t="str">
        <f>VLOOKUP(D1671, County_Data_CZones!$B$2:$F$3236, 5, FALSE)</f>
        <v>Cold</v>
      </c>
    </row>
    <row r="1672" ht="15.75" customHeight="1">
      <c r="A1672" s="32" t="s">
        <v>348</v>
      </c>
      <c r="B1672" s="32" t="s">
        <v>1198</v>
      </c>
      <c r="C1672" s="32" t="str">
        <f>vlookup(B1672,State_EMM_RowSums!$A$2:$B$52,2,FALSE)</f>
        <v>NE</v>
      </c>
      <c r="D1672" s="32">
        <v>31033.0</v>
      </c>
      <c r="E1672" s="33">
        <f>IF(NOT(ISBLANK(vlookup($D1672,Pop_Census_2023!$A$2:$E$3220,4,FALSE))),vlookup($D1672,Pop_Census_2023!$A$2:$E$3220,4,FALSE), vlookup($D1672,Pop_Census_2023!$A$2:$E$3220,5,FALSE))</f>
        <v>9541</v>
      </c>
      <c r="F1672" s="32">
        <v>835838.0</v>
      </c>
      <c r="G1672" s="32">
        <v>39.0</v>
      </c>
      <c r="H1672" s="32" t="str">
        <f>VLOOKUP(D1672, Grid_Region_Mapping!$D$2:$F$5286, 3, FALSE)</f>
        <v>RMRG</v>
      </c>
      <c r="I1672" s="32">
        <v>4.0</v>
      </c>
      <c r="J1672" s="34" t="str">
        <f t="shared" si="1"/>
        <v>Midwest</v>
      </c>
      <c r="K1672" s="35">
        <v>2.0</v>
      </c>
      <c r="L1672" s="35" t="s">
        <v>396</v>
      </c>
      <c r="M1672" s="36">
        <f>VLOOKUP(D1672, County_Data_CZones!$B$2:$F$3236, 2, FALSE)</f>
        <v>5</v>
      </c>
      <c r="N1672" s="37" t="str">
        <f>VLOOKUP(D1672, County_Data_CZones!$B$2:$F$3236, 5, FALSE)</f>
        <v>Cold</v>
      </c>
    </row>
    <row r="1673" ht="15.75" customHeight="1">
      <c r="A1673" s="32" t="s">
        <v>116</v>
      </c>
      <c r="B1673" s="32" t="s">
        <v>1198</v>
      </c>
      <c r="C1673" s="32" t="str">
        <f>vlookup(B1673,State_EMM_RowSums!$A$2:$B$52,2,FALSE)</f>
        <v>NE</v>
      </c>
      <c r="D1673" s="32">
        <v>31035.0</v>
      </c>
      <c r="E1673" s="33">
        <f>IF(NOT(ISBLANK(vlookup($D1673,Pop_Census_2023!$A$2:$E$3220,4,FALSE))),vlookup($D1673,Pop_Census_2023!$A$2:$E$3220,4,FALSE), vlookup($D1673,Pop_Census_2023!$A$2:$E$3220,5,FALSE))</f>
        <v>6116</v>
      </c>
      <c r="F1673" s="32">
        <v>835839.0</v>
      </c>
      <c r="G1673" s="32">
        <v>40.0</v>
      </c>
      <c r="H1673" s="32" t="str">
        <f>VLOOKUP(D1673, Grid_Region_Mapping!$D$2:$F$5286, 3, FALSE)</f>
        <v>SPPN</v>
      </c>
      <c r="I1673" s="32">
        <v>4.0</v>
      </c>
      <c r="J1673" s="34" t="str">
        <f t="shared" si="1"/>
        <v>Midwest</v>
      </c>
      <c r="K1673" s="35">
        <v>2.0</v>
      </c>
      <c r="L1673" s="35" t="s">
        <v>396</v>
      </c>
      <c r="M1673" s="36">
        <f>VLOOKUP(D1673, County_Data_CZones!$B$2:$F$3236, 2, FALSE)</f>
        <v>5</v>
      </c>
      <c r="N1673" s="37" t="str">
        <f>VLOOKUP(D1673, County_Data_CZones!$B$2:$F$3236, 5, FALSE)</f>
        <v>Cold</v>
      </c>
    </row>
    <row r="1674" ht="15.75" customHeight="1">
      <c r="A1674" s="32" t="s">
        <v>1206</v>
      </c>
      <c r="B1674" s="32" t="s">
        <v>1198</v>
      </c>
      <c r="C1674" s="32" t="str">
        <f>vlookup(B1674,State_EMM_RowSums!$A$2:$B$52,2,FALSE)</f>
        <v>NE</v>
      </c>
      <c r="D1674" s="32">
        <v>31037.0</v>
      </c>
      <c r="E1674" s="33">
        <f>IF(NOT(ISBLANK(vlookup($D1674,Pop_Census_2023!$A$2:$E$3220,4,FALSE))),vlookup($D1674,Pop_Census_2023!$A$2:$E$3220,4,FALSE), vlookup($D1674,Pop_Census_2023!$A$2:$E$3220,5,FALSE))</f>
        <v>10566</v>
      </c>
      <c r="F1674" s="32">
        <v>835840.0</v>
      </c>
      <c r="G1674" s="32">
        <v>41.0</v>
      </c>
      <c r="H1674" s="32" t="str">
        <f>VLOOKUP(D1674, Grid_Region_Mapping!$D$2:$F$5286, 3, FALSE)</f>
        <v>SPPN</v>
      </c>
      <c r="I1674" s="32">
        <v>4.0</v>
      </c>
      <c r="J1674" s="34" t="str">
        <f t="shared" si="1"/>
        <v>Midwest</v>
      </c>
      <c r="K1674" s="35">
        <v>2.0</v>
      </c>
      <c r="L1674" s="35" t="s">
        <v>396</v>
      </c>
      <c r="M1674" s="36">
        <f>VLOOKUP(D1674, County_Data_CZones!$B$2:$F$3236, 2, FALSE)</f>
        <v>5</v>
      </c>
      <c r="N1674" s="37" t="str">
        <f>VLOOKUP(D1674, County_Data_CZones!$B$2:$F$3236, 5, FALSE)</f>
        <v>Cold</v>
      </c>
    </row>
    <row r="1675" ht="15.75" customHeight="1">
      <c r="A1675" s="32" t="s">
        <v>1207</v>
      </c>
      <c r="B1675" s="32" t="s">
        <v>1198</v>
      </c>
      <c r="C1675" s="32" t="str">
        <f>vlookup(B1675,State_EMM_RowSums!$A$2:$B$52,2,FALSE)</f>
        <v>NE</v>
      </c>
      <c r="D1675" s="32">
        <v>31039.0</v>
      </c>
      <c r="E1675" s="33">
        <f>IF(NOT(ISBLANK(vlookup($D1675,Pop_Census_2023!$A$2:$E$3220,4,FALSE))),vlookup($D1675,Pop_Census_2023!$A$2:$E$3220,4,FALSE), vlookup($D1675,Pop_Census_2023!$A$2:$E$3220,5,FALSE))</f>
        <v>8918</v>
      </c>
      <c r="F1675" s="32">
        <v>835841.0</v>
      </c>
      <c r="G1675" s="32">
        <v>40.0</v>
      </c>
      <c r="H1675" s="32" t="str">
        <f>VLOOKUP(D1675, Grid_Region_Mapping!$D$2:$F$5286, 3, FALSE)</f>
        <v>SPPN</v>
      </c>
      <c r="I1675" s="32">
        <v>4.0</v>
      </c>
      <c r="J1675" s="34" t="str">
        <f t="shared" si="1"/>
        <v>Midwest</v>
      </c>
      <c r="K1675" s="35">
        <v>2.0</v>
      </c>
      <c r="L1675" s="35" t="s">
        <v>396</v>
      </c>
      <c r="M1675" s="36">
        <f>VLOOKUP(D1675, County_Data_CZones!$B$2:$F$3236, 2, FALSE)</f>
        <v>5</v>
      </c>
      <c r="N1675" s="37" t="str">
        <f>VLOOKUP(D1675, County_Data_CZones!$B$2:$F$3236, 5, FALSE)</f>
        <v>Cold</v>
      </c>
    </row>
    <row r="1676" ht="15.75" customHeight="1">
      <c r="A1676" s="32" t="s">
        <v>353</v>
      </c>
      <c r="B1676" s="32" t="s">
        <v>1198</v>
      </c>
      <c r="C1676" s="32" t="str">
        <f>vlookup(B1676,State_EMM_RowSums!$A$2:$B$52,2,FALSE)</f>
        <v>NE</v>
      </c>
      <c r="D1676" s="32">
        <v>31041.0</v>
      </c>
      <c r="E1676" s="33">
        <f>IF(NOT(ISBLANK(vlookup($D1676,Pop_Census_2023!$A$2:$E$3220,4,FALSE))),vlookup($D1676,Pop_Census_2023!$A$2:$E$3220,4,FALSE), vlookup($D1676,Pop_Census_2023!$A$2:$E$3220,5,FALSE))</f>
        <v>10581</v>
      </c>
      <c r="F1676" s="32">
        <v>835842.0</v>
      </c>
      <c r="G1676" s="32">
        <v>40.0</v>
      </c>
      <c r="H1676" s="32" t="str">
        <f>VLOOKUP(D1676, Grid_Region_Mapping!$D$2:$F$5286, 3, FALSE)</f>
        <v>SPPN</v>
      </c>
      <c r="I1676" s="32">
        <v>4.0</v>
      </c>
      <c r="J1676" s="34" t="str">
        <f t="shared" si="1"/>
        <v>Midwest</v>
      </c>
      <c r="K1676" s="35">
        <v>2.0</v>
      </c>
      <c r="L1676" s="35" t="s">
        <v>396</v>
      </c>
      <c r="M1676" s="36">
        <f>VLOOKUP(D1676, County_Data_CZones!$B$2:$F$3236, 2, FALSE)</f>
        <v>5</v>
      </c>
      <c r="N1676" s="37" t="str">
        <f>VLOOKUP(D1676, County_Data_CZones!$B$2:$F$3236, 5, FALSE)</f>
        <v>Cold</v>
      </c>
    </row>
    <row r="1677" ht="15.75" customHeight="1">
      <c r="A1677" s="32" t="s">
        <v>1037</v>
      </c>
      <c r="B1677" s="32" t="s">
        <v>1198</v>
      </c>
      <c r="C1677" s="32" t="str">
        <f>vlookup(B1677,State_EMM_RowSums!$A$2:$B$52,2,FALSE)</f>
        <v>NE</v>
      </c>
      <c r="D1677" s="32">
        <v>31043.0</v>
      </c>
      <c r="E1677" s="33">
        <f>IF(NOT(ISBLANK(vlookup($D1677,Pop_Census_2023!$A$2:$E$3220,4,FALSE))),vlookup($D1677,Pop_Census_2023!$A$2:$E$3220,4,FALSE), vlookup($D1677,Pop_Census_2023!$A$2:$E$3220,5,FALSE))</f>
        <v>21268</v>
      </c>
      <c r="F1677" s="32">
        <v>835843.0</v>
      </c>
      <c r="G1677" s="32">
        <v>40.0</v>
      </c>
      <c r="H1677" s="32" t="str">
        <f>VLOOKUP(D1677, Grid_Region_Mapping!$D$2:$F$5286, 3, FALSE)</f>
        <v>SPPN</v>
      </c>
      <c r="I1677" s="32">
        <v>4.0</v>
      </c>
      <c r="J1677" s="34" t="str">
        <f t="shared" si="1"/>
        <v>Midwest</v>
      </c>
      <c r="K1677" s="35">
        <v>2.0</v>
      </c>
      <c r="L1677" s="35" t="s">
        <v>396</v>
      </c>
      <c r="M1677" s="36">
        <f>VLOOKUP(D1677, County_Data_CZones!$B$2:$F$3236, 2, FALSE)</f>
        <v>5</v>
      </c>
      <c r="N1677" s="37" t="str">
        <f>VLOOKUP(D1677, County_Data_CZones!$B$2:$F$3236, 5, FALSE)</f>
        <v>Cold</v>
      </c>
    </row>
    <row r="1678" ht="15.75" customHeight="1">
      <c r="A1678" s="32" t="s">
        <v>1208</v>
      </c>
      <c r="B1678" s="32" t="s">
        <v>1198</v>
      </c>
      <c r="C1678" s="32" t="str">
        <f>vlookup(B1678,State_EMM_RowSums!$A$2:$B$52,2,FALSE)</f>
        <v>NE</v>
      </c>
      <c r="D1678" s="32">
        <v>31045.0</v>
      </c>
      <c r="E1678" s="33">
        <f>IF(NOT(ISBLANK(vlookup($D1678,Pop_Census_2023!$A$2:$E$3220,4,FALSE))),vlookup($D1678,Pop_Census_2023!$A$2:$E$3220,4,FALSE), vlookup($D1678,Pop_Census_2023!$A$2:$E$3220,5,FALSE))</f>
        <v>8133</v>
      </c>
      <c r="F1678" s="32">
        <v>835844.0</v>
      </c>
      <c r="G1678" s="32">
        <v>39.0</v>
      </c>
      <c r="H1678" s="32" t="str">
        <f>VLOOKUP(D1678, Grid_Region_Mapping!$D$2:$F$5286, 3, FALSE)</f>
        <v>RMRG</v>
      </c>
      <c r="I1678" s="32">
        <v>4.0</v>
      </c>
      <c r="J1678" s="34" t="str">
        <f t="shared" si="1"/>
        <v>Midwest</v>
      </c>
      <c r="K1678" s="35">
        <v>1.0</v>
      </c>
      <c r="L1678" s="35" t="s">
        <v>396</v>
      </c>
      <c r="M1678" s="36">
        <f>VLOOKUP(D1678, County_Data_CZones!$B$2:$F$3236, 2, FALSE)</f>
        <v>5</v>
      </c>
      <c r="N1678" s="37" t="str">
        <f>VLOOKUP(D1678, County_Data_CZones!$B$2:$F$3236, 5, FALSE)</f>
        <v>Cold</v>
      </c>
    </row>
    <row r="1679" ht="15.75" customHeight="1">
      <c r="A1679" s="32" t="s">
        <v>491</v>
      </c>
      <c r="B1679" s="32" t="s">
        <v>1198</v>
      </c>
      <c r="C1679" s="32" t="str">
        <f>vlookup(B1679,State_EMM_RowSums!$A$2:$B$52,2,FALSE)</f>
        <v>NE</v>
      </c>
      <c r="D1679" s="32">
        <v>31047.0</v>
      </c>
      <c r="E1679" s="33">
        <f>IF(NOT(ISBLANK(vlookup($D1679,Pop_Census_2023!$A$2:$E$3220,4,FALSE))),vlookup($D1679,Pop_Census_2023!$A$2:$E$3220,4,FALSE), vlookup($D1679,Pop_Census_2023!$A$2:$E$3220,5,FALSE))</f>
        <v>24085</v>
      </c>
      <c r="F1679" s="32">
        <v>835845.0</v>
      </c>
      <c r="G1679" s="32">
        <v>40.0</v>
      </c>
      <c r="H1679" s="32" t="str">
        <f>VLOOKUP(D1679, Grid_Region_Mapping!$D$2:$F$5286, 3, FALSE)</f>
        <v>SPPN</v>
      </c>
      <c r="I1679" s="32">
        <v>4.0</v>
      </c>
      <c r="J1679" s="34" t="str">
        <f t="shared" si="1"/>
        <v>Midwest</v>
      </c>
      <c r="K1679" s="35">
        <v>2.0</v>
      </c>
      <c r="L1679" s="35" t="s">
        <v>396</v>
      </c>
      <c r="M1679" s="36">
        <f>VLOOKUP(D1679, County_Data_CZones!$B$2:$F$3236, 2, FALSE)</f>
        <v>5</v>
      </c>
      <c r="N1679" s="37" t="str">
        <f>VLOOKUP(D1679, County_Data_CZones!$B$2:$F$3236, 5, FALSE)</f>
        <v>Cold</v>
      </c>
    </row>
    <row r="1680" ht="15.75" customHeight="1">
      <c r="A1680" s="32" t="s">
        <v>1209</v>
      </c>
      <c r="B1680" s="32" t="s">
        <v>1198</v>
      </c>
      <c r="C1680" s="32" t="str">
        <f>vlookup(B1680,State_EMM_RowSums!$A$2:$B$52,2,FALSE)</f>
        <v>NE</v>
      </c>
      <c r="D1680" s="32">
        <v>31049.0</v>
      </c>
      <c r="E1680" s="33">
        <f>IF(NOT(ISBLANK(vlookup($D1680,Pop_Census_2023!$A$2:$E$3220,4,FALSE))),vlookup($D1680,Pop_Census_2023!$A$2:$E$3220,4,FALSE), vlookup($D1680,Pop_Census_2023!$A$2:$E$3220,5,FALSE))</f>
        <v>1871</v>
      </c>
      <c r="F1680" s="32">
        <v>835846.0</v>
      </c>
      <c r="G1680" s="32">
        <v>39.0</v>
      </c>
      <c r="H1680" s="32" t="str">
        <f>VLOOKUP(D1680, Grid_Region_Mapping!$D$2:$F$5286, 3, FALSE)</f>
        <v>SPPN</v>
      </c>
      <c r="I1680" s="32">
        <v>4.0</v>
      </c>
      <c r="J1680" s="34" t="str">
        <f t="shared" si="1"/>
        <v>Midwest</v>
      </c>
      <c r="K1680" s="35">
        <v>2.0</v>
      </c>
      <c r="L1680" s="35" t="s">
        <v>396</v>
      </c>
      <c r="M1680" s="36">
        <f>VLOOKUP(D1680, County_Data_CZones!$B$2:$F$3236, 2, FALSE)</f>
        <v>5</v>
      </c>
      <c r="N1680" s="37" t="str">
        <f>VLOOKUP(D1680, County_Data_CZones!$B$2:$F$3236, 5, FALSE)</f>
        <v>Cold</v>
      </c>
    </row>
    <row r="1681" ht="15.75" customHeight="1">
      <c r="A1681" s="32" t="s">
        <v>1210</v>
      </c>
      <c r="B1681" s="32" t="s">
        <v>1198</v>
      </c>
      <c r="C1681" s="32" t="str">
        <f>vlookup(B1681,State_EMM_RowSums!$A$2:$B$52,2,FALSE)</f>
        <v>NE</v>
      </c>
      <c r="D1681" s="32">
        <v>31051.0</v>
      </c>
      <c r="E1681" s="33">
        <f>IF(NOT(ISBLANK(vlookup($D1681,Pop_Census_2023!$A$2:$E$3220,4,FALSE))),vlookup($D1681,Pop_Census_2023!$A$2:$E$3220,4,FALSE), vlookup($D1681,Pop_Census_2023!$A$2:$E$3220,5,FALSE))</f>
        <v>5491</v>
      </c>
      <c r="F1681" s="32">
        <v>835847.0</v>
      </c>
      <c r="G1681" s="32">
        <v>40.0</v>
      </c>
      <c r="H1681" s="32" t="str">
        <f>VLOOKUP(D1681, Grid_Region_Mapping!$D$2:$F$5286, 3, FALSE)</f>
        <v>SPPN</v>
      </c>
      <c r="I1681" s="32">
        <v>4.0</v>
      </c>
      <c r="J1681" s="34" t="str">
        <f t="shared" si="1"/>
        <v>Midwest</v>
      </c>
      <c r="K1681" s="35">
        <v>2.0</v>
      </c>
      <c r="L1681" s="35" t="s">
        <v>396</v>
      </c>
      <c r="M1681" s="36">
        <f>VLOOKUP(D1681, County_Data_CZones!$B$2:$F$3236, 2, FALSE)</f>
        <v>5</v>
      </c>
      <c r="N1681" s="37" t="str">
        <f>VLOOKUP(D1681, County_Data_CZones!$B$2:$F$3236, 5, FALSE)</f>
        <v>Cold</v>
      </c>
    </row>
    <row r="1682" ht="15.75" customHeight="1">
      <c r="A1682" s="32" t="s">
        <v>493</v>
      </c>
      <c r="B1682" s="32" t="s">
        <v>1198</v>
      </c>
      <c r="C1682" s="32" t="str">
        <f>vlookup(B1682,State_EMM_RowSums!$A$2:$B$52,2,FALSE)</f>
        <v>NE</v>
      </c>
      <c r="D1682" s="32">
        <v>31053.0</v>
      </c>
      <c r="E1682" s="33">
        <f>IF(NOT(ISBLANK(vlookup($D1682,Pop_Census_2023!$A$2:$E$3220,4,FALSE))),vlookup($D1682,Pop_Census_2023!$A$2:$E$3220,4,FALSE), vlookup($D1682,Pop_Census_2023!$A$2:$E$3220,5,FALSE))</f>
        <v>37187</v>
      </c>
      <c r="F1682" s="32">
        <v>835848.0</v>
      </c>
      <c r="G1682" s="32">
        <v>41.0</v>
      </c>
      <c r="H1682" s="32" t="str">
        <f>VLOOKUP(D1682, Grid_Region_Mapping!$D$2:$F$5286, 3, FALSE)</f>
        <v>SPPN</v>
      </c>
      <c r="I1682" s="32">
        <v>4.0</v>
      </c>
      <c r="J1682" s="34" t="str">
        <f t="shared" si="1"/>
        <v>Midwest</v>
      </c>
      <c r="K1682" s="35">
        <v>2.0</v>
      </c>
      <c r="L1682" s="35" t="s">
        <v>396</v>
      </c>
      <c r="M1682" s="36">
        <f>VLOOKUP(D1682, County_Data_CZones!$B$2:$F$3236, 2, FALSE)</f>
        <v>5</v>
      </c>
      <c r="N1682" s="37" t="str">
        <f>VLOOKUP(D1682, County_Data_CZones!$B$2:$F$3236, 5, FALSE)</f>
        <v>Cold</v>
      </c>
    </row>
    <row r="1683" ht="15.75" customHeight="1">
      <c r="A1683" s="32" t="s">
        <v>357</v>
      </c>
      <c r="B1683" s="32" t="s">
        <v>1198</v>
      </c>
      <c r="C1683" s="32" t="str">
        <f>vlookup(B1683,State_EMM_RowSums!$A$2:$B$52,2,FALSE)</f>
        <v>NE</v>
      </c>
      <c r="D1683" s="32">
        <v>31055.0</v>
      </c>
      <c r="E1683" s="33">
        <f>IF(NOT(ISBLANK(vlookup($D1683,Pop_Census_2023!$A$2:$E$3220,4,FALSE))),vlookup($D1683,Pop_Census_2023!$A$2:$E$3220,4,FALSE), vlookup($D1683,Pop_Census_2023!$A$2:$E$3220,5,FALSE))</f>
        <v>589540</v>
      </c>
      <c r="F1683" s="32">
        <v>835849.0</v>
      </c>
      <c r="G1683" s="32">
        <v>41.0</v>
      </c>
      <c r="H1683" s="32" t="str">
        <f>VLOOKUP(D1683, Grid_Region_Mapping!$D$2:$F$5286, 3, FALSE)</f>
        <v>SPPN</v>
      </c>
      <c r="I1683" s="32">
        <v>4.0</v>
      </c>
      <c r="J1683" s="34" t="str">
        <f t="shared" si="1"/>
        <v>Midwest</v>
      </c>
      <c r="K1683" s="35">
        <v>2.0</v>
      </c>
      <c r="L1683" s="35" t="s">
        <v>396</v>
      </c>
      <c r="M1683" s="36">
        <f>VLOOKUP(D1683, County_Data_CZones!$B$2:$F$3236, 2, FALSE)</f>
        <v>5</v>
      </c>
      <c r="N1683" s="37" t="str">
        <f>VLOOKUP(D1683, County_Data_CZones!$B$2:$F$3236, 5, FALSE)</f>
        <v>Cold</v>
      </c>
    </row>
    <row r="1684" ht="15.75" customHeight="1">
      <c r="A1684" s="32" t="s">
        <v>1211</v>
      </c>
      <c r="B1684" s="32" t="s">
        <v>1198</v>
      </c>
      <c r="C1684" s="32" t="str">
        <f>vlookup(B1684,State_EMM_RowSums!$A$2:$B$52,2,FALSE)</f>
        <v>NE</v>
      </c>
      <c r="D1684" s="32">
        <v>31057.0</v>
      </c>
      <c r="E1684" s="33">
        <f>IF(NOT(ISBLANK(vlookup($D1684,Pop_Census_2023!$A$2:$E$3220,4,FALSE))),vlookup($D1684,Pop_Census_2023!$A$2:$E$3220,4,FALSE), vlookup($D1684,Pop_Census_2023!$A$2:$E$3220,5,FALSE))</f>
        <v>1561</v>
      </c>
      <c r="F1684" s="32">
        <v>835850.0</v>
      </c>
      <c r="G1684" s="32">
        <v>39.0</v>
      </c>
      <c r="H1684" s="32" t="str">
        <f>VLOOKUP(D1684, Grid_Region_Mapping!$D$2:$F$5286, 3, FALSE)</f>
        <v>SPPN</v>
      </c>
      <c r="I1684" s="32">
        <v>4.0</v>
      </c>
      <c r="J1684" s="34" t="str">
        <f t="shared" si="1"/>
        <v>Midwest</v>
      </c>
      <c r="K1684" s="35">
        <v>2.0</v>
      </c>
      <c r="L1684" s="35" t="s">
        <v>396</v>
      </c>
      <c r="M1684" s="36">
        <f>VLOOKUP(D1684, County_Data_CZones!$B$2:$F$3236, 2, FALSE)</f>
        <v>5</v>
      </c>
      <c r="N1684" s="37" t="str">
        <f>VLOOKUP(D1684, County_Data_CZones!$B$2:$F$3236, 5, FALSE)</f>
        <v>Cold</v>
      </c>
    </row>
    <row r="1685" ht="15.75" customHeight="1">
      <c r="A1685" s="32" t="s">
        <v>1039</v>
      </c>
      <c r="B1685" s="32" t="s">
        <v>1198</v>
      </c>
      <c r="C1685" s="32" t="str">
        <f>vlookup(B1685,State_EMM_RowSums!$A$2:$B$52,2,FALSE)</f>
        <v>NE</v>
      </c>
      <c r="D1685" s="32">
        <v>31059.0</v>
      </c>
      <c r="E1685" s="33">
        <f>IF(NOT(ISBLANK(vlookup($D1685,Pop_Census_2023!$A$2:$E$3220,4,FALSE))),vlookup($D1685,Pop_Census_2023!$A$2:$E$3220,4,FALSE), vlookup($D1685,Pop_Census_2023!$A$2:$E$3220,5,FALSE))</f>
        <v>5548</v>
      </c>
      <c r="F1685" s="32">
        <v>835851.0</v>
      </c>
      <c r="G1685" s="32">
        <v>40.0</v>
      </c>
      <c r="H1685" s="32" t="str">
        <f>VLOOKUP(D1685, Grid_Region_Mapping!$D$2:$F$5286, 3, FALSE)</f>
        <v>SPPN</v>
      </c>
      <c r="I1685" s="32">
        <v>4.0</v>
      </c>
      <c r="J1685" s="34" t="str">
        <f t="shared" si="1"/>
        <v>Midwest</v>
      </c>
      <c r="K1685" s="35">
        <v>2.0</v>
      </c>
      <c r="L1685" s="35" t="s">
        <v>396</v>
      </c>
      <c r="M1685" s="36">
        <f>VLOOKUP(D1685, County_Data_CZones!$B$2:$F$3236, 2, FALSE)</f>
        <v>5</v>
      </c>
      <c r="N1685" s="37" t="str">
        <f>VLOOKUP(D1685, County_Data_CZones!$B$2:$F$3236, 5, FALSE)</f>
        <v>Cold</v>
      </c>
    </row>
    <row r="1686" ht="15.75" customHeight="1">
      <c r="A1686" s="32" t="s">
        <v>132</v>
      </c>
      <c r="B1686" s="32" t="s">
        <v>1198</v>
      </c>
      <c r="C1686" s="32" t="str">
        <f>vlookup(B1686,State_EMM_RowSums!$A$2:$B$52,2,FALSE)</f>
        <v>NE</v>
      </c>
      <c r="D1686" s="32">
        <v>31061.0</v>
      </c>
      <c r="E1686" s="33">
        <f>IF(NOT(ISBLANK(vlookup($D1686,Pop_Census_2023!$A$2:$E$3220,4,FALSE))),vlookup($D1686,Pop_Census_2023!$A$2:$E$3220,4,FALSE), vlookup($D1686,Pop_Census_2023!$A$2:$E$3220,5,FALSE))</f>
        <v>2825</v>
      </c>
      <c r="F1686" s="32">
        <v>835852.0</v>
      </c>
      <c r="G1686" s="32">
        <v>40.0</v>
      </c>
      <c r="H1686" s="32" t="str">
        <f>VLOOKUP(D1686, Grid_Region_Mapping!$D$2:$F$5286, 3, FALSE)</f>
        <v>SPPN</v>
      </c>
      <c r="I1686" s="32">
        <v>4.0</v>
      </c>
      <c r="J1686" s="34" t="str">
        <f t="shared" si="1"/>
        <v>Midwest</v>
      </c>
      <c r="K1686" s="35">
        <v>2.0</v>
      </c>
      <c r="L1686" s="35" t="s">
        <v>396</v>
      </c>
      <c r="M1686" s="36">
        <f>VLOOKUP(D1686, County_Data_CZones!$B$2:$F$3236, 2, FALSE)</f>
        <v>5</v>
      </c>
      <c r="N1686" s="37" t="str">
        <f>VLOOKUP(D1686, County_Data_CZones!$B$2:$F$3236, 5, FALSE)</f>
        <v>Cold</v>
      </c>
    </row>
    <row r="1687" ht="15.75" customHeight="1">
      <c r="A1687" s="32" t="s">
        <v>1212</v>
      </c>
      <c r="B1687" s="32" t="s">
        <v>1198</v>
      </c>
      <c r="C1687" s="32" t="str">
        <f>vlookup(B1687,State_EMM_RowSums!$A$2:$B$52,2,FALSE)</f>
        <v>NE</v>
      </c>
      <c r="D1687" s="32">
        <v>31063.0</v>
      </c>
      <c r="E1687" s="33">
        <f>IF(NOT(ISBLANK(vlookup($D1687,Pop_Census_2023!$A$2:$E$3220,4,FALSE))),vlookup($D1687,Pop_Census_2023!$A$2:$E$3220,4,FALSE), vlookup($D1687,Pop_Census_2023!$A$2:$E$3220,5,FALSE))</f>
        <v>2585</v>
      </c>
      <c r="F1687" s="32">
        <v>835853.0</v>
      </c>
      <c r="G1687" s="32">
        <v>40.0</v>
      </c>
      <c r="H1687" s="32" t="str">
        <f>VLOOKUP(D1687, Grid_Region_Mapping!$D$2:$F$5286, 3, FALSE)</f>
        <v>SPPN</v>
      </c>
      <c r="I1687" s="32">
        <v>4.0</v>
      </c>
      <c r="J1687" s="34" t="str">
        <f t="shared" si="1"/>
        <v>Midwest</v>
      </c>
      <c r="K1687" s="35">
        <v>2.0</v>
      </c>
      <c r="L1687" s="35" t="s">
        <v>396</v>
      </c>
      <c r="M1687" s="36">
        <f>VLOOKUP(D1687, County_Data_CZones!$B$2:$F$3236, 2, FALSE)</f>
        <v>5</v>
      </c>
      <c r="N1687" s="37" t="str">
        <f>VLOOKUP(D1687, County_Data_CZones!$B$2:$F$3236, 5, FALSE)</f>
        <v>Cold</v>
      </c>
    </row>
    <row r="1688" ht="15.75" customHeight="1">
      <c r="A1688" s="32" t="s">
        <v>1213</v>
      </c>
      <c r="B1688" s="32" t="s">
        <v>1198</v>
      </c>
      <c r="C1688" s="32" t="str">
        <f>vlookup(B1688,State_EMM_RowSums!$A$2:$B$52,2,FALSE)</f>
        <v>NE</v>
      </c>
      <c r="D1688" s="32">
        <v>31065.0</v>
      </c>
      <c r="E1688" s="33">
        <f>IF(NOT(ISBLANK(vlookup($D1688,Pop_Census_2023!$A$2:$E$3220,4,FALSE))),vlookup($D1688,Pop_Census_2023!$A$2:$E$3220,4,FALSE), vlookup($D1688,Pop_Census_2023!$A$2:$E$3220,5,FALSE))</f>
        <v>4556</v>
      </c>
      <c r="F1688" s="32">
        <v>835854.0</v>
      </c>
      <c r="G1688" s="32">
        <v>40.0</v>
      </c>
      <c r="H1688" s="32" t="str">
        <f>VLOOKUP(D1688, Grid_Region_Mapping!$D$2:$F$5286, 3, FALSE)</f>
        <v>SPPN</v>
      </c>
      <c r="I1688" s="32">
        <v>4.0</v>
      </c>
      <c r="J1688" s="34" t="str">
        <f t="shared" si="1"/>
        <v>Midwest</v>
      </c>
      <c r="K1688" s="35">
        <v>2.0</v>
      </c>
      <c r="L1688" s="35" t="s">
        <v>396</v>
      </c>
      <c r="M1688" s="36">
        <f>VLOOKUP(D1688, County_Data_CZones!$B$2:$F$3236, 2, FALSE)</f>
        <v>5</v>
      </c>
      <c r="N1688" s="37" t="str">
        <f>VLOOKUP(D1688, County_Data_CZones!$B$2:$F$3236, 5, FALSE)</f>
        <v>Cold</v>
      </c>
    </row>
    <row r="1689" ht="15.75" customHeight="1">
      <c r="A1689" s="32" t="s">
        <v>1214</v>
      </c>
      <c r="B1689" s="32" t="s">
        <v>1198</v>
      </c>
      <c r="C1689" s="32" t="str">
        <f>vlookup(B1689,State_EMM_RowSums!$A$2:$B$52,2,FALSE)</f>
        <v>NE</v>
      </c>
      <c r="D1689" s="32">
        <v>31067.0</v>
      </c>
      <c r="E1689" s="33">
        <f>IF(NOT(ISBLANK(vlookup($D1689,Pop_Census_2023!$A$2:$E$3220,4,FALSE))),vlookup($D1689,Pop_Census_2023!$A$2:$E$3220,4,FALSE), vlookup($D1689,Pop_Census_2023!$A$2:$E$3220,5,FALSE))</f>
        <v>21634</v>
      </c>
      <c r="F1689" s="32">
        <v>835855.0</v>
      </c>
      <c r="G1689" s="32">
        <v>40.0</v>
      </c>
      <c r="H1689" s="32" t="str">
        <f>VLOOKUP(D1689, Grid_Region_Mapping!$D$2:$F$5286, 3, FALSE)</f>
        <v>SPPN</v>
      </c>
      <c r="I1689" s="32">
        <v>4.0</v>
      </c>
      <c r="J1689" s="34" t="str">
        <f t="shared" si="1"/>
        <v>Midwest</v>
      </c>
      <c r="K1689" s="35">
        <v>2.0</v>
      </c>
      <c r="L1689" s="35" t="s">
        <v>396</v>
      </c>
      <c r="M1689" s="36">
        <f>VLOOKUP(D1689, County_Data_CZones!$B$2:$F$3236, 2, FALSE)</f>
        <v>5</v>
      </c>
      <c r="N1689" s="37" t="str">
        <f>VLOOKUP(D1689, County_Data_CZones!$B$2:$F$3236, 5, FALSE)</f>
        <v>Cold</v>
      </c>
    </row>
    <row r="1690" ht="15.75" customHeight="1">
      <c r="A1690" s="32" t="s">
        <v>1215</v>
      </c>
      <c r="B1690" s="32" t="s">
        <v>1198</v>
      </c>
      <c r="C1690" s="32" t="str">
        <f>vlookup(B1690,State_EMM_RowSums!$A$2:$B$52,2,FALSE)</f>
        <v>NE</v>
      </c>
      <c r="D1690" s="32">
        <v>31069.0</v>
      </c>
      <c r="E1690" s="33">
        <f>IF(NOT(ISBLANK(vlookup($D1690,Pop_Census_2023!$A$2:$E$3220,4,FALSE))),vlookup($D1690,Pop_Census_2023!$A$2:$E$3220,4,FALSE), vlookup($D1690,Pop_Census_2023!$A$2:$E$3220,5,FALSE))</f>
        <v>1794</v>
      </c>
      <c r="F1690" s="32">
        <v>835856.0</v>
      </c>
      <c r="G1690" s="32">
        <v>39.0</v>
      </c>
      <c r="H1690" s="32" t="str">
        <f>VLOOKUP(D1690, Grid_Region_Mapping!$D$2:$F$5286, 3, FALSE)</f>
        <v>SPPN</v>
      </c>
      <c r="I1690" s="32">
        <v>4.0</v>
      </c>
      <c r="J1690" s="34" t="str">
        <f t="shared" si="1"/>
        <v>Midwest</v>
      </c>
      <c r="K1690" s="35">
        <v>2.0</v>
      </c>
      <c r="L1690" s="35" t="s">
        <v>396</v>
      </c>
      <c r="M1690" s="36">
        <f>VLOOKUP(D1690, County_Data_CZones!$B$2:$F$3236, 2, FALSE)</f>
        <v>5</v>
      </c>
      <c r="N1690" s="37" t="str">
        <f>VLOOKUP(D1690, County_Data_CZones!$B$2:$F$3236, 5, FALSE)</f>
        <v>Cold</v>
      </c>
    </row>
    <row r="1691" ht="15.75" customHeight="1">
      <c r="A1691" s="32" t="s">
        <v>362</v>
      </c>
      <c r="B1691" s="32" t="s">
        <v>1198</v>
      </c>
      <c r="C1691" s="32" t="str">
        <f>vlookup(B1691,State_EMM_RowSums!$A$2:$B$52,2,FALSE)</f>
        <v>NE</v>
      </c>
      <c r="D1691" s="32">
        <v>31071.0</v>
      </c>
      <c r="E1691" s="33">
        <f>IF(NOT(ISBLANK(vlookup($D1691,Pop_Census_2023!$A$2:$E$3220,4,FALSE))),vlookup($D1691,Pop_Census_2023!$A$2:$E$3220,4,FALSE), vlookup($D1691,Pop_Census_2023!$A$2:$E$3220,5,FALSE))</f>
        <v>1763</v>
      </c>
      <c r="F1691" s="32">
        <v>835857.0</v>
      </c>
      <c r="G1691" s="32">
        <v>40.0</v>
      </c>
      <c r="H1691" s="32" t="str">
        <f>VLOOKUP(D1691, Grid_Region_Mapping!$D$2:$F$5286, 3, FALSE)</f>
        <v>SPPN</v>
      </c>
      <c r="I1691" s="32">
        <v>4.0</v>
      </c>
      <c r="J1691" s="34" t="str">
        <f t="shared" si="1"/>
        <v>Midwest</v>
      </c>
      <c r="K1691" s="35">
        <v>2.0</v>
      </c>
      <c r="L1691" s="35" t="s">
        <v>396</v>
      </c>
      <c r="M1691" s="36">
        <f>VLOOKUP(D1691, County_Data_CZones!$B$2:$F$3236, 2, FALSE)</f>
        <v>5</v>
      </c>
      <c r="N1691" s="37" t="str">
        <f>VLOOKUP(D1691, County_Data_CZones!$B$2:$F$3236, 5, FALSE)</f>
        <v>Cold</v>
      </c>
    </row>
    <row r="1692" ht="15.75" customHeight="1">
      <c r="A1692" s="32" t="s">
        <v>1216</v>
      </c>
      <c r="B1692" s="32" t="s">
        <v>1198</v>
      </c>
      <c r="C1692" s="32" t="str">
        <f>vlookup(B1692,State_EMM_RowSums!$A$2:$B$52,2,FALSE)</f>
        <v>NE</v>
      </c>
      <c r="D1692" s="32">
        <v>31073.0</v>
      </c>
      <c r="E1692" s="33">
        <f>IF(NOT(ISBLANK(vlookup($D1692,Pop_Census_2023!$A$2:$E$3220,4,FALSE))),vlookup($D1692,Pop_Census_2023!$A$2:$E$3220,4,FALSE), vlookup($D1692,Pop_Census_2023!$A$2:$E$3220,5,FALSE))</f>
        <v>1847</v>
      </c>
      <c r="F1692" s="32">
        <v>835858.0</v>
      </c>
      <c r="G1692" s="32">
        <v>40.0</v>
      </c>
      <c r="H1692" s="32" t="str">
        <f>VLOOKUP(D1692, Grid_Region_Mapping!$D$2:$F$5286, 3, FALSE)</f>
        <v>SPPN</v>
      </c>
      <c r="I1692" s="32">
        <v>4.0</v>
      </c>
      <c r="J1692" s="34" t="str">
        <f t="shared" si="1"/>
        <v>Midwest</v>
      </c>
      <c r="K1692" s="35">
        <v>2.0</v>
      </c>
      <c r="L1692" s="35" t="s">
        <v>396</v>
      </c>
      <c r="M1692" s="36">
        <f>VLOOKUP(D1692, County_Data_CZones!$B$2:$F$3236, 2, FALSE)</f>
        <v>5</v>
      </c>
      <c r="N1692" s="37" t="str">
        <f>VLOOKUP(D1692, County_Data_CZones!$B$2:$F$3236, 5, FALSE)</f>
        <v>Cold</v>
      </c>
    </row>
    <row r="1693" ht="15.75" customHeight="1">
      <c r="A1693" s="32" t="s">
        <v>242</v>
      </c>
      <c r="B1693" s="32" t="s">
        <v>1198</v>
      </c>
      <c r="C1693" s="32" t="str">
        <f>vlookup(B1693,State_EMM_RowSums!$A$2:$B$52,2,FALSE)</f>
        <v>NE</v>
      </c>
      <c r="D1693" s="32">
        <v>31075.0</v>
      </c>
      <c r="E1693" s="33">
        <f>IF(NOT(ISBLANK(vlookup($D1693,Pop_Census_2023!$A$2:$E$3220,4,FALSE))),vlookup($D1693,Pop_Census_2023!$A$2:$E$3220,4,FALSE), vlookup($D1693,Pop_Census_2023!$A$2:$E$3220,5,FALSE))</f>
        <v>565</v>
      </c>
      <c r="F1693" s="32">
        <v>835859.0</v>
      </c>
      <c r="G1693" s="32">
        <v>39.0</v>
      </c>
      <c r="H1693" s="32" t="str">
        <f>VLOOKUP(D1693, Grid_Region_Mapping!$D$2:$F$5286, 3, FALSE)</f>
        <v>SPPN</v>
      </c>
      <c r="I1693" s="32">
        <v>4.0</v>
      </c>
      <c r="J1693" s="34" t="str">
        <f t="shared" si="1"/>
        <v>Midwest</v>
      </c>
      <c r="K1693" s="35">
        <v>2.0</v>
      </c>
      <c r="L1693" s="35" t="s">
        <v>396</v>
      </c>
      <c r="M1693" s="36">
        <f>VLOOKUP(D1693, County_Data_CZones!$B$2:$F$3236, 2, FALSE)</f>
        <v>5</v>
      </c>
      <c r="N1693" s="37" t="str">
        <f>VLOOKUP(D1693, County_Data_CZones!$B$2:$F$3236, 5, FALSE)</f>
        <v>Cold</v>
      </c>
    </row>
    <row r="1694" ht="15.75" customHeight="1">
      <c r="A1694" s="32" t="s">
        <v>770</v>
      </c>
      <c r="B1694" s="32" t="s">
        <v>1198</v>
      </c>
      <c r="C1694" s="32" t="str">
        <f>vlookup(B1694,State_EMM_RowSums!$A$2:$B$52,2,FALSE)</f>
        <v>NE</v>
      </c>
      <c r="D1694" s="32">
        <v>31077.0</v>
      </c>
      <c r="E1694" s="33">
        <f>IF(NOT(ISBLANK(vlookup($D1694,Pop_Census_2023!$A$2:$E$3220,4,FALSE))),vlookup($D1694,Pop_Census_2023!$A$2:$E$3220,4,FALSE), vlookup($D1694,Pop_Census_2023!$A$2:$E$3220,5,FALSE))</f>
        <v>2219</v>
      </c>
      <c r="F1694" s="32">
        <v>835860.0</v>
      </c>
      <c r="G1694" s="32">
        <v>40.0</v>
      </c>
      <c r="H1694" s="32" t="str">
        <f>VLOOKUP(D1694, Grid_Region_Mapping!$D$2:$F$5286, 3, FALSE)</f>
        <v>SPPN</v>
      </c>
      <c r="I1694" s="32">
        <v>4.0</v>
      </c>
      <c r="J1694" s="34" t="str">
        <f t="shared" si="1"/>
        <v>Midwest</v>
      </c>
      <c r="K1694" s="35">
        <v>2.0</v>
      </c>
      <c r="L1694" s="35" t="s">
        <v>396</v>
      </c>
      <c r="M1694" s="36">
        <f>VLOOKUP(D1694, County_Data_CZones!$B$2:$F$3236, 2, FALSE)</f>
        <v>5</v>
      </c>
      <c r="N1694" s="37" t="str">
        <f>VLOOKUP(D1694, County_Data_CZones!$B$2:$F$3236, 5, FALSE)</f>
        <v>Cold</v>
      </c>
    </row>
    <row r="1695" ht="15.75" customHeight="1">
      <c r="A1695" s="32" t="s">
        <v>511</v>
      </c>
      <c r="B1695" s="32" t="s">
        <v>1198</v>
      </c>
      <c r="C1695" s="32" t="str">
        <f>vlookup(B1695,State_EMM_RowSums!$A$2:$B$52,2,FALSE)</f>
        <v>NE</v>
      </c>
      <c r="D1695" s="32">
        <v>31079.0</v>
      </c>
      <c r="E1695" s="33">
        <f>IF(NOT(ISBLANK(vlookup($D1695,Pop_Census_2023!$A$2:$E$3220,4,FALSE))),vlookup($D1695,Pop_Census_2023!$A$2:$E$3220,4,FALSE), vlookup($D1695,Pop_Census_2023!$A$2:$E$3220,5,FALSE))</f>
        <v>62197</v>
      </c>
      <c r="F1695" s="32">
        <v>835861.0</v>
      </c>
      <c r="G1695" s="32">
        <v>40.0</v>
      </c>
      <c r="H1695" s="32" t="str">
        <f>VLOOKUP(D1695, Grid_Region_Mapping!$D$2:$F$5286, 3, FALSE)</f>
        <v>SPPN</v>
      </c>
      <c r="I1695" s="32">
        <v>4.0</v>
      </c>
      <c r="J1695" s="34" t="str">
        <f t="shared" si="1"/>
        <v>Midwest</v>
      </c>
      <c r="K1695" s="35">
        <v>2.0</v>
      </c>
      <c r="L1695" s="35" t="s">
        <v>396</v>
      </c>
      <c r="M1695" s="36">
        <f>VLOOKUP(D1695, County_Data_CZones!$B$2:$F$3236, 2, FALSE)</f>
        <v>5</v>
      </c>
      <c r="N1695" s="37" t="str">
        <f>VLOOKUP(D1695, County_Data_CZones!$B$2:$F$3236, 5, FALSE)</f>
        <v>Cold</v>
      </c>
    </row>
    <row r="1696" ht="15.75" customHeight="1">
      <c r="A1696" s="32" t="s">
        <v>428</v>
      </c>
      <c r="B1696" s="32" t="s">
        <v>1198</v>
      </c>
      <c r="C1696" s="32" t="str">
        <f>vlookup(B1696,State_EMM_RowSums!$A$2:$B$52,2,FALSE)</f>
        <v>NE</v>
      </c>
      <c r="D1696" s="32">
        <v>31081.0</v>
      </c>
      <c r="E1696" s="33">
        <f>IF(NOT(ISBLANK(vlookup($D1696,Pop_Census_2023!$A$2:$E$3220,4,FALSE))),vlookup($D1696,Pop_Census_2023!$A$2:$E$3220,4,FALSE), vlookup($D1696,Pop_Census_2023!$A$2:$E$3220,5,FALSE))</f>
        <v>9537</v>
      </c>
      <c r="F1696" s="32">
        <v>835862.0</v>
      </c>
      <c r="G1696" s="32">
        <v>40.0</v>
      </c>
      <c r="H1696" s="32" t="str">
        <f>VLOOKUP(D1696, Grid_Region_Mapping!$D$2:$F$5286, 3, FALSE)</f>
        <v>SPPN</v>
      </c>
      <c r="I1696" s="32">
        <v>4.0</v>
      </c>
      <c r="J1696" s="34" t="str">
        <f t="shared" si="1"/>
        <v>Midwest</v>
      </c>
      <c r="K1696" s="35">
        <v>2.0</v>
      </c>
      <c r="L1696" s="35" t="s">
        <v>396</v>
      </c>
      <c r="M1696" s="36">
        <f>VLOOKUP(D1696, County_Data_CZones!$B$2:$F$3236, 2, FALSE)</f>
        <v>5</v>
      </c>
      <c r="N1696" s="37" t="str">
        <f>VLOOKUP(D1696, County_Data_CZones!$B$2:$F$3236, 5, FALSE)</f>
        <v>Cold</v>
      </c>
    </row>
    <row r="1697" ht="15.75" customHeight="1">
      <c r="A1697" s="32" t="s">
        <v>844</v>
      </c>
      <c r="B1697" s="32" t="s">
        <v>1198</v>
      </c>
      <c r="C1697" s="32" t="str">
        <f>vlookup(B1697,State_EMM_RowSums!$A$2:$B$52,2,FALSE)</f>
        <v>NE</v>
      </c>
      <c r="D1697" s="32">
        <v>31083.0</v>
      </c>
      <c r="E1697" s="33">
        <f>IF(NOT(ISBLANK(vlookup($D1697,Pop_Census_2023!$A$2:$E$3220,4,FALSE))),vlookup($D1697,Pop_Census_2023!$A$2:$E$3220,4,FALSE), vlookup($D1697,Pop_Census_2023!$A$2:$E$3220,5,FALSE))</f>
        <v>3045</v>
      </c>
      <c r="F1697" s="32">
        <v>835863.0</v>
      </c>
      <c r="G1697" s="32">
        <v>40.0</v>
      </c>
      <c r="H1697" s="32" t="str">
        <f>VLOOKUP(D1697, Grid_Region_Mapping!$D$2:$F$5286, 3, FALSE)</f>
        <v>SPPN</v>
      </c>
      <c r="I1697" s="32">
        <v>4.0</v>
      </c>
      <c r="J1697" s="34" t="str">
        <f t="shared" si="1"/>
        <v>Midwest</v>
      </c>
      <c r="K1697" s="35">
        <v>2.0</v>
      </c>
      <c r="L1697" s="35" t="s">
        <v>396</v>
      </c>
      <c r="M1697" s="36">
        <f>VLOOKUP(D1697, County_Data_CZones!$B$2:$F$3236, 2, FALSE)</f>
        <v>5</v>
      </c>
      <c r="N1697" s="37" t="str">
        <f>VLOOKUP(D1697, County_Data_CZones!$B$2:$F$3236, 5, FALSE)</f>
        <v>Cold</v>
      </c>
    </row>
    <row r="1698" ht="15.75" customHeight="1">
      <c r="A1698" s="32" t="s">
        <v>1217</v>
      </c>
      <c r="B1698" s="32" t="s">
        <v>1198</v>
      </c>
      <c r="C1698" s="32" t="str">
        <f>vlookup(B1698,State_EMM_RowSums!$A$2:$B$52,2,FALSE)</f>
        <v>NE</v>
      </c>
      <c r="D1698" s="32">
        <v>31085.0</v>
      </c>
      <c r="E1698" s="33">
        <f>IF(NOT(ISBLANK(vlookup($D1698,Pop_Census_2023!$A$2:$E$3220,4,FALSE))),vlookup($D1698,Pop_Census_2023!$A$2:$E$3220,4,FALSE), vlookup($D1698,Pop_Census_2023!$A$2:$E$3220,5,FALSE))</f>
        <v>846</v>
      </c>
      <c r="F1698" s="32">
        <v>835864.0</v>
      </c>
      <c r="G1698" s="32">
        <v>40.0</v>
      </c>
      <c r="H1698" s="32" t="str">
        <f>VLOOKUP(D1698, Grid_Region_Mapping!$D$2:$F$5286, 3, FALSE)</f>
        <v>SPPN</v>
      </c>
      <c r="I1698" s="32">
        <v>4.0</v>
      </c>
      <c r="J1698" s="34" t="str">
        <f t="shared" si="1"/>
        <v>Midwest</v>
      </c>
      <c r="K1698" s="35">
        <v>2.0</v>
      </c>
      <c r="L1698" s="35" t="s">
        <v>396</v>
      </c>
      <c r="M1698" s="36">
        <f>VLOOKUP(D1698, County_Data_CZones!$B$2:$F$3236, 2, FALSE)</f>
        <v>5</v>
      </c>
      <c r="N1698" s="37" t="str">
        <f>VLOOKUP(D1698, County_Data_CZones!$B$2:$F$3236, 5, FALSE)</f>
        <v>Cold</v>
      </c>
    </row>
    <row r="1699" ht="15.75" customHeight="1">
      <c r="A1699" s="32" t="s">
        <v>1218</v>
      </c>
      <c r="B1699" s="32" t="s">
        <v>1198</v>
      </c>
      <c r="C1699" s="32" t="str">
        <f>vlookup(B1699,State_EMM_RowSums!$A$2:$B$52,2,FALSE)</f>
        <v>NE</v>
      </c>
      <c r="D1699" s="32">
        <v>31087.0</v>
      </c>
      <c r="E1699" s="33">
        <f>IF(NOT(ISBLANK(vlookup($D1699,Pop_Census_2023!$A$2:$E$3220,4,FALSE))),vlookup($D1699,Pop_Census_2023!$A$2:$E$3220,4,FALSE), vlookup($D1699,Pop_Census_2023!$A$2:$E$3220,5,FALSE))</f>
        <v>2552</v>
      </c>
      <c r="F1699" s="32">
        <v>835865.0</v>
      </c>
      <c r="G1699" s="32">
        <v>40.0</v>
      </c>
      <c r="H1699" s="32" t="str">
        <f>VLOOKUP(D1699, Grid_Region_Mapping!$D$2:$F$5286, 3, FALSE)</f>
        <v>SPPN</v>
      </c>
      <c r="I1699" s="32">
        <v>4.0</v>
      </c>
      <c r="J1699" s="34" t="str">
        <f t="shared" si="1"/>
        <v>Midwest</v>
      </c>
      <c r="K1699" s="35">
        <v>2.0</v>
      </c>
      <c r="L1699" s="35" t="s">
        <v>396</v>
      </c>
      <c r="M1699" s="36">
        <f>VLOOKUP(D1699, County_Data_CZones!$B$2:$F$3236, 2, FALSE)</f>
        <v>5</v>
      </c>
      <c r="N1699" s="37" t="str">
        <f>VLOOKUP(D1699, County_Data_CZones!$B$2:$F$3236, 5, FALSE)</f>
        <v>Cold</v>
      </c>
    </row>
    <row r="1700" ht="15.75" customHeight="1">
      <c r="A1700" s="32" t="s">
        <v>1136</v>
      </c>
      <c r="B1700" s="32" t="s">
        <v>1198</v>
      </c>
      <c r="C1700" s="32" t="str">
        <f>vlookup(B1700,State_EMM_RowSums!$A$2:$B$52,2,FALSE)</f>
        <v>NE</v>
      </c>
      <c r="D1700" s="32">
        <v>31089.0</v>
      </c>
      <c r="E1700" s="33">
        <f>IF(NOT(ISBLANK(vlookup($D1700,Pop_Census_2023!$A$2:$E$3220,4,FALSE))),vlookup($D1700,Pop_Census_2023!$A$2:$E$3220,4,FALSE), vlookup($D1700,Pop_Census_2023!$A$2:$E$3220,5,FALSE))</f>
        <v>10093</v>
      </c>
      <c r="F1700" s="32">
        <v>835866.0</v>
      </c>
      <c r="G1700" s="32">
        <v>40.0</v>
      </c>
      <c r="H1700" s="32" t="str">
        <f>VLOOKUP(D1700, Grid_Region_Mapping!$D$2:$F$5286, 3, FALSE)</f>
        <v>SPPN</v>
      </c>
      <c r="I1700" s="32">
        <v>4.0</v>
      </c>
      <c r="J1700" s="34" t="str">
        <f t="shared" si="1"/>
        <v>Midwest</v>
      </c>
      <c r="K1700" s="35">
        <v>2.0</v>
      </c>
      <c r="L1700" s="35" t="s">
        <v>396</v>
      </c>
      <c r="M1700" s="36">
        <f>VLOOKUP(D1700, County_Data_CZones!$B$2:$F$3236, 2, FALSE)</f>
        <v>5</v>
      </c>
      <c r="N1700" s="37" t="str">
        <f>VLOOKUP(D1700, County_Data_CZones!$B$2:$F$3236, 5, FALSE)</f>
        <v>Cold</v>
      </c>
    </row>
    <row r="1701" ht="15.75" customHeight="1">
      <c r="A1701" s="32" t="s">
        <v>1219</v>
      </c>
      <c r="B1701" s="32" t="s">
        <v>1198</v>
      </c>
      <c r="C1701" s="32" t="str">
        <f>vlookup(B1701,State_EMM_RowSums!$A$2:$B$52,2,FALSE)</f>
        <v>NE</v>
      </c>
      <c r="D1701" s="32">
        <v>31091.0</v>
      </c>
      <c r="E1701" s="33">
        <f>IF(NOT(ISBLANK(vlookup($D1701,Pop_Census_2023!$A$2:$E$3220,4,FALSE))),vlookup($D1701,Pop_Census_2023!$A$2:$E$3220,4,FALSE), vlookup($D1701,Pop_Census_2023!$A$2:$E$3220,5,FALSE))</f>
        <v>679</v>
      </c>
      <c r="F1701" s="32">
        <v>835867.0</v>
      </c>
      <c r="G1701" s="32">
        <v>40.0</v>
      </c>
      <c r="H1701" s="32" t="str">
        <f>VLOOKUP(D1701, Grid_Region_Mapping!$D$2:$F$5286, 3, FALSE)</f>
        <v>SPPN</v>
      </c>
      <c r="I1701" s="32">
        <v>4.0</v>
      </c>
      <c r="J1701" s="34" t="str">
        <f t="shared" si="1"/>
        <v>Midwest</v>
      </c>
      <c r="K1701" s="35">
        <v>2.0</v>
      </c>
      <c r="L1701" s="35" t="s">
        <v>396</v>
      </c>
      <c r="M1701" s="36">
        <f>VLOOKUP(D1701, County_Data_CZones!$B$2:$F$3236, 2, FALSE)</f>
        <v>5</v>
      </c>
      <c r="N1701" s="37" t="str">
        <f>VLOOKUP(D1701, County_Data_CZones!$B$2:$F$3236, 5, FALSE)</f>
        <v>Cold</v>
      </c>
    </row>
    <row r="1702" ht="15.75" customHeight="1">
      <c r="A1702" s="32" t="s">
        <v>245</v>
      </c>
      <c r="B1702" s="32" t="s">
        <v>1198</v>
      </c>
      <c r="C1702" s="32" t="str">
        <f>vlookup(B1702,State_EMM_RowSums!$A$2:$B$52,2,FALSE)</f>
        <v>NE</v>
      </c>
      <c r="D1702" s="32">
        <v>31093.0</v>
      </c>
      <c r="E1702" s="33">
        <f>IF(NOT(ISBLANK(vlookup($D1702,Pop_Census_2023!$A$2:$E$3220,4,FALSE))),vlookup($D1702,Pop_Census_2023!$A$2:$E$3220,4,FALSE), vlookup($D1702,Pop_Census_2023!$A$2:$E$3220,5,FALSE))</f>
        <v>6527</v>
      </c>
      <c r="F1702" s="32">
        <v>835868.0</v>
      </c>
      <c r="G1702" s="32">
        <v>40.0</v>
      </c>
      <c r="H1702" s="32" t="str">
        <f>VLOOKUP(D1702, Grid_Region_Mapping!$D$2:$F$5286, 3, FALSE)</f>
        <v>SPPN</v>
      </c>
      <c r="I1702" s="32">
        <v>4.0</v>
      </c>
      <c r="J1702" s="34" t="str">
        <f t="shared" si="1"/>
        <v>Midwest</v>
      </c>
      <c r="K1702" s="35">
        <v>2.0</v>
      </c>
      <c r="L1702" s="35" t="s">
        <v>396</v>
      </c>
      <c r="M1702" s="36">
        <f>VLOOKUP(D1702, County_Data_CZones!$B$2:$F$3236, 2, FALSE)</f>
        <v>5</v>
      </c>
      <c r="N1702" s="37" t="str">
        <f>VLOOKUP(D1702, County_Data_CZones!$B$2:$F$3236, 5, FALSE)</f>
        <v>Cold</v>
      </c>
    </row>
    <row r="1703" ht="15.75" customHeight="1">
      <c r="A1703" s="32" t="s">
        <v>139</v>
      </c>
      <c r="B1703" s="32" t="s">
        <v>1198</v>
      </c>
      <c r="C1703" s="32" t="str">
        <f>vlookup(B1703,State_EMM_RowSums!$A$2:$B$52,2,FALSE)</f>
        <v>NE</v>
      </c>
      <c r="D1703" s="32">
        <v>31095.0</v>
      </c>
      <c r="E1703" s="33">
        <f>IF(NOT(ISBLANK(vlookup($D1703,Pop_Census_2023!$A$2:$E$3220,4,FALSE))),vlookup($D1703,Pop_Census_2023!$A$2:$E$3220,4,FALSE), vlookup($D1703,Pop_Census_2023!$A$2:$E$3220,5,FALSE))</f>
        <v>7054</v>
      </c>
      <c r="F1703" s="32">
        <v>835869.0</v>
      </c>
      <c r="G1703" s="32">
        <v>40.0</v>
      </c>
      <c r="H1703" s="32" t="str">
        <f>VLOOKUP(D1703, Grid_Region_Mapping!$D$2:$F$5286, 3, FALSE)</f>
        <v>SPPN</v>
      </c>
      <c r="I1703" s="32">
        <v>4.0</v>
      </c>
      <c r="J1703" s="34" t="str">
        <f t="shared" si="1"/>
        <v>Midwest</v>
      </c>
      <c r="K1703" s="35">
        <v>2.0</v>
      </c>
      <c r="L1703" s="35" t="s">
        <v>396</v>
      </c>
      <c r="M1703" s="36">
        <f>VLOOKUP(D1703, County_Data_CZones!$B$2:$F$3236, 2, FALSE)</f>
        <v>5</v>
      </c>
      <c r="N1703" s="37" t="str">
        <f>VLOOKUP(D1703, County_Data_CZones!$B$2:$F$3236, 5, FALSE)</f>
        <v>Cold</v>
      </c>
    </row>
    <row r="1704" ht="15.75" customHeight="1">
      <c r="A1704" s="32" t="s">
        <v>248</v>
      </c>
      <c r="B1704" s="32" t="s">
        <v>1198</v>
      </c>
      <c r="C1704" s="32" t="str">
        <f>vlookup(B1704,State_EMM_RowSums!$A$2:$B$52,2,FALSE)</f>
        <v>NE</v>
      </c>
      <c r="D1704" s="32">
        <v>31097.0</v>
      </c>
      <c r="E1704" s="33">
        <f>IF(NOT(ISBLANK(vlookup($D1704,Pop_Census_2023!$A$2:$E$3220,4,FALSE))),vlookup($D1704,Pop_Census_2023!$A$2:$E$3220,4,FALSE), vlookup($D1704,Pop_Census_2023!$A$2:$E$3220,5,FALSE))</f>
        <v>5198</v>
      </c>
      <c r="F1704" s="32">
        <v>835870.0</v>
      </c>
      <c r="G1704" s="32">
        <v>41.0</v>
      </c>
      <c r="H1704" s="32" t="str">
        <f>VLOOKUP(D1704, Grid_Region_Mapping!$D$2:$F$5286, 3, FALSE)</f>
        <v>SPPN</v>
      </c>
      <c r="I1704" s="32">
        <v>4.0</v>
      </c>
      <c r="J1704" s="34" t="str">
        <f t="shared" si="1"/>
        <v>Midwest</v>
      </c>
      <c r="K1704" s="35">
        <v>2.0</v>
      </c>
      <c r="L1704" s="35" t="s">
        <v>396</v>
      </c>
      <c r="M1704" s="36">
        <f>VLOOKUP(D1704, County_Data_CZones!$B$2:$F$3236, 2, FALSE)</f>
        <v>5</v>
      </c>
      <c r="N1704" s="37" t="str">
        <f>VLOOKUP(D1704, County_Data_CZones!$B$2:$F$3236, 5, FALSE)</f>
        <v>Cold</v>
      </c>
    </row>
    <row r="1705" ht="15.75" customHeight="1">
      <c r="A1705" s="32" t="s">
        <v>1220</v>
      </c>
      <c r="B1705" s="32" t="s">
        <v>1198</v>
      </c>
      <c r="C1705" s="32" t="str">
        <f>vlookup(B1705,State_EMM_RowSums!$A$2:$B$52,2,FALSE)</f>
        <v>NE</v>
      </c>
      <c r="D1705" s="32">
        <v>31099.0</v>
      </c>
      <c r="E1705" s="33">
        <f>IF(NOT(ISBLANK(vlookup($D1705,Pop_Census_2023!$A$2:$E$3220,4,FALSE))),vlookup($D1705,Pop_Census_2023!$A$2:$E$3220,4,FALSE), vlookup($D1705,Pop_Census_2023!$A$2:$E$3220,5,FALSE))</f>
        <v>6770</v>
      </c>
      <c r="F1705" s="32">
        <v>835871.0</v>
      </c>
      <c r="G1705" s="32">
        <v>40.0</v>
      </c>
      <c r="H1705" s="32" t="str">
        <f>VLOOKUP(D1705, Grid_Region_Mapping!$D$2:$F$5286, 3, FALSE)</f>
        <v>SPPN</v>
      </c>
      <c r="I1705" s="32">
        <v>4.0</v>
      </c>
      <c r="J1705" s="34" t="str">
        <f t="shared" si="1"/>
        <v>Midwest</v>
      </c>
      <c r="K1705" s="35">
        <v>2.0</v>
      </c>
      <c r="L1705" s="35" t="s">
        <v>396</v>
      </c>
      <c r="M1705" s="36">
        <f>VLOOKUP(D1705, County_Data_CZones!$B$2:$F$3236, 2, FALSE)</f>
        <v>5</v>
      </c>
      <c r="N1705" s="37" t="str">
        <f>VLOOKUP(D1705, County_Data_CZones!$B$2:$F$3236, 5, FALSE)</f>
        <v>Cold</v>
      </c>
    </row>
    <row r="1706" ht="15.75" customHeight="1">
      <c r="A1706" s="32" t="s">
        <v>1221</v>
      </c>
      <c r="B1706" s="32" t="s">
        <v>1198</v>
      </c>
      <c r="C1706" s="32" t="str">
        <f>vlookup(B1706,State_EMM_RowSums!$A$2:$B$52,2,FALSE)</f>
        <v>NE</v>
      </c>
      <c r="D1706" s="32">
        <v>31101.0</v>
      </c>
      <c r="E1706" s="33">
        <f>IF(NOT(ISBLANK(vlookup($D1706,Pop_Census_2023!$A$2:$E$3220,4,FALSE))),vlookup($D1706,Pop_Census_2023!$A$2:$E$3220,4,FALSE), vlookup($D1706,Pop_Census_2023!$A$2:$E$3220,5,FALSE))</f>
        <v>8113</v>
      </c>
      <c r="F1706" s="32">
        <v>835872.0</v>
      </c>
      <c r="G1706" s="32">
        <v>39.0</v>
      </c>
      <c r="H1706" s="32" t="str">
        <f>VLOOKUP(D1706, Grid_Region_Mapping!$D$2:$F$5286, 3, FALSE)</f>
        <v>SPPN</v>
      </c>
      <c r="I1706" s="32">
        <v>4.0</v>
      </c>
      <c r="J1706" s="34" t="str">
        <f t="shared" si="1"/>
        <v>Midwest</v>
      </c>
      <c r="K1706" s="35">
        <v>2.0</v>
      </c>
      <c r="L1706" s="35" t="s">
        <v>396</v>
      </c>
      <c r="M1706" s="36">
        <f>VLOOKUP(D1706, County_Data_CZones!$B$2:$F$3236, 2, FALSE)</f>
        <v>5</v>
      </c>
      <c r="N1706" s="37" t="str">
        <f>VLOOKUP(D1706, County_Data_CZones!$B$2:$F$3236, 5, FALSE)</f>
        <v>Cold</v>
      </c>
    </row>
    <row r="1707" ht="15.75" customHeight="1">
      <c r="A1707" s="32" t="s">
        <v>1222</v>
      </c>
      <c r="B1707" s="32" t="s">
        <v>1198</v>
      </c>
      <c r="C1707" s="32" t="str">
        <f>vlookup(B1707,State_EMM_RowSums!$A$2:$B$52,2,FALSE)</f>
        <v>NE</v>
      </c>
      <c r="D1707" s="32">
        <v>31103.0</v>
      </c>
      <c r="E1707" s="33">
        <f>IF(NOT(ISBLANK(vlookup($D1707,Pop_Census_2023!$A$2:$E$3220,4,FALSE))),vlookup($D1707,Pop_Census_2023!$A$2:$E$3220,4,FALSE), vlookup($D1707,Pop_Census_2023!$A$2:$E$3220,5,FALSE))</f>
        <v>805</v>
      </c>
      <c r="F1707" s="32">
        <v>835873.0</v>
      </c>
      <c r="G1707" s="32">
        <v>40.0</v>
      </c>
      <c r="H1707" s="32" t="str">
        <f>VLOOKUP(D1707, Grid_Region_Mapping!$D$2:$F$5286, 3, FALSE)</f>
        <v>SPPN</v>
      </c>
      <c r="I1707" s="32">
        <v>4.0</v>
      </c>
      <c r="J1707" s="34" t="str">
        <f t="shared" si="1"/>
        <v>Midwest</v>
      </c>
      <c r="K1707" s="35">
        <v>2.0</v>
      </c>
      <c r="L1707" s="35" t="s">
        <v>396</v>
      </c>
      <c r="M1707" s="36">
        <f>VLOOKUP(D1707, County_Data_CZones!$B$2:$F$3236, 2, FALSE)</f>
        <v>5</v>
      </c>
      <c r="N1707" s="37" t="str">
        <f>VLOOKUP(D1707, County_Data_CZones!$B$2:$F$3236, 5, FALSE)</f>
        <v>Cold</v>
      </c>
    </row>
    <row r="1708" ht="15.75" customHeight="1">
      <c r="A1708" s="32" t="s">
        <v>1223</v>
      </c>
      <c r="B1708" s="32" t="s">
        <v>1198</v>
      </c>
      <c r="C1708" s="32" t="str">
        <f>vlookup(B1708,State_EMM_RowSums!$A$2:$B$52,2,FALSE)</f>
        <v>NE</v>
      </c>
      <c r="D1708" s="32">
        <v>31105.0</v>
      </c>
      <c r="E1708" s="33">
        <f>IF(NOT(ISBLANK(vlookup($D1708,Pop_Census_2023!$A$2:$E$3220,4,FALSE))),vlookup($D1708,Pop_Census_2023!$A$2:$E$3220,4,FALSE), vlookup($D1708,Pop_Census_2023!$A$2:$E$3220,5,FALSE))</f>
        <v>3289</v>
      </c>
      <c r="F1708" s="32">
        <v>835874.0</v>
      </c>
      <c r="G1708" s="32">
        <v>39.0</v>
      </c>
      <c r="H1708" s="32" t="str">
        <f>VLOOKUP(D1708, Grid_Region_Mapping!$D$2:$F$5286, 3, FALSE)</f>
        <v>RMRG</v>
      </c>
      <c r="I1708" s="32">
        <v>4.0</v>
      </c>
      <c r="J1708" s="34" t="str">
        <f t="shared" si="1"/>
        <v>Midwest</v>
      </c>
      <c r="K1708" s="35">
        <v>2.0</v>
      </c>
      <c r="L1708" s="35" t="s">
        <v>396</v>
      </c>
      <c r="M1708" s="36">
        <f>VLOOKUP(D1708, County_Data_CZones!$B$2:$F$3236, 2, FALSE)</f>
        <v>5</v>
      </c>
      <c r="N1708" s="37" t="str">
        <f>VLOOKUP(D1708, County_Data_CZones!$B$2:$F$3236, 5, FALSE)</f>
        <v>Cold</v>
      </c>
    </row>
    <row r="1709" ht="15.75" customHeight="1">
      <c r="A1709" s="32" t="s">
        <v>634</v>
      </c>
      <c r="B1709" s="32" t="s">
        <v>1198</v>
      </c>
      <c r="C1709" s="32" t="str">
        <f>vlookup(B1709,State_EMM_RowSums!$A$2:$B$52,2,FALSE)</f>
        <v>NE</v>
      </c>
      <c r="D1709" s="32">
        <v>31107.0</v>
      </c>
      <c r="E1709" s="33">
        <f>IF(NOT(ISBLANK(vlookup($D1709,Pop_Census_2023!$A$2:$E$3220,4,FALSE))),vlookup($D1709,Pop_Census_2023!$A$2:$E$3220,4,FALSE), vlookup($D1709,Pop_Census_2023!$A$2:$E$3220,5,FALSE))</f>
        <v>8298</v>
      </c>
      <c r="F1709" s="32">
        <v>835875.0</v>
      </c>
      <c r="G1709" s="32">
        <v>40.0</v>
      </c>
      <c r="H1709" s="32" t="str">
        <f>VLOOKUP(D1709, Grid_Region_Mapping!$D$2:$F$5286, 3, FALSE)</f>
        <v>SPPN</v>
      </c>
      <c r="I1709" s="32">
        <v>4.0</v>
      </c>
      <c r="J1709" s="34" t="str">
        <f t="shared" si="1"/>
        <v>Midwest</v>
      </c>
      <c r="K1709" s="35">
        <v>2.0</v>
      </c>
      <c r="L1709" s="35" t="s">
        <v>396</v>
      </c>
      <c r="M1709" s="36">
        <f>VLOOKUP(D1709, County_Data_CZones!$B$2:$F$3236, 2, FALSE)</f>
        <v>5</v>
      </c>
      <c r="N1709" s="37" t="str">
        <f>VLOOKUP(D1709, County_Data_CZones!$B$2:$F$3236, 5, FALSE)</f>
        <v>Cold</v>
      </c>
    </row>
    <row r="1710" ht="15.75" customHeight="1">
      <c r="A1710" s="32" t="s">
        <v>1224</v>
      </c>
      <c r="B1710" s="32" t="s">
        <v>1198</v>
      </c>
      <c r="C1710" s="32" t="str">
        <f>vlookup(B1710,State_EMM_RowSums!$A$2:$B$52,2,FALSE)</f>
        <v>NE</v>
      </c>
      <c r="D1710" s="32">
        <v>31109.0</v>
      </c>
      <c r="E1710" s="33">
        <f>IF(NOT(ISBLANK(vlookup($D1710,Pop_Census_2023!$A$2:$E$3220,4,FALSE))),vlookup($D1710,Pop_Census_2023!$A$2:$E$3220,4,FALSE), vlookup($D1710,Pop_Census_2023!$A$2:$E$3220,5,FALSE))</f>
        <v>326716</v>
      </c>
      <c r="F1710" s="32">
        <v>835876.0</v>
      </c>
      <c r="G1710" s="32">
        <v>41.0</v>
      </c>
      <c r="H1710" s="32" t="str">
        <f>VLOOKUP(D1710, Grid_Region_Mapping!$D$2:$F$5286, 3, FALSE)</f>
        <v>SPPN</v>
      </c>
      <c r="I1710" s="32">
        <v>4.0</v>
      </c>
      <c r="J1710" s="34" t="str">
        <f t="shared" si="1"/>
        <v>Midwest</v>
      </c>
      <c r="K1710" s="35">
        <v>2.0</v>
      </c>
      <c r="L1710" s="35" t="s">
        <v>396</v>
      </c>
      <c r="M1710" s="36">
        <f>VLOOKUP(D1710, County_Data_CZones!$B$2:$F$3236, 2, FALSE)</f>
        <v>5</v>
      </c>
      <c r="N1710" s="37" t="str">
        <f>VLOOKUP(D1710, County_Data_CZones!$B$2:$F$3236, 5, FALSE)</f>
        <v>Cold</v>
      </c>
    </row>
    <row r="1711" ht="15.75" customHeight="1">
      <c r="A1711" s="32" t="s">
        <v>250</v>
      </c>
      <c r="B1711" s="32" t="s">
        <v>1198</v>
      </c>
      <c r="C1711" s="32" t="str">
        <f>vlookup(B1711,State_EMM_RowSums!$A$2:$B$52,2,FALSE)</f>
        <v>NE</v>
      </c>
      <c r="D1711" s="32">
        <v>31111.0</v>
      </c>
      <c r="E1711" s="33">
        <f>IF(NOT(ISBLANK(vlookup($D1711,Pop_Census_2023!$A$2:$E$3220,4,FALSE))),vlookup($D1711,Pop_Census_2023!$A$2:$E$3220,4,FALSE), vlookup($D1711,Pop_Census_2023!$A$2:$E$3220,5,FALSE))</f>
        <v>33365</v>
      </c>
      <c r="F1711" s="32">
        <v>835877.0</v>
      </c>
      <c r="G1711" s="32">
        <v>40.0</v>
      </c>
      <c r="H1711" s="32" t="str">
        <f>VLOOKUP(D1711, Grid_Region_Mapping!$D$2:$F$5286, 3, FALSE)</f>
        <v>SPPN</v>
      </c>
      <c r="I1711" s="32">
        <v>4.0</v>
      </c>
      <c r="J1711" s="34" t="str">
        <f t="shared" si="1"/>
        <v>Midwest</v>
      </c>
      <c r="K1711" s="35">
        <v>2.0</v>
      </c>
      <c r="L1711" s="35" t="s">
        <v>396</v>
      </c>
      <c r="M1711" s="36">
        <f>VLOOKUP(D1711, County_Data_CZones!$B$2:$F$3236, 2, FALSE)</f>
        <v>5</v>
      </c>
      <c r="N1711" s="37" t="str">
        <f>VLOOKUP(D1711, County_Data_CZones!$B$2:$F$3236, 5, FALSE)</f>
        <v>Cold</v>
      </c>
    </row>
    <row r="1712" ht="15.75" customHeight="1">
      <c r="A1712" s="32" t="s">
        <v>252</v>
      </c>
      <c r="B1712" s="32" t="s">
        <v>1198</v>
      </c>
      <c r="C1712" s="32" t="str">
        <f>vlookup(B1712,State_EMM_RowSums!$A$2:$B$52,2,FALSE)</f>
        <v>NE</v>
      </c>
      <c r="D1712" s="32">
        <v>31113.0</v>
      </c>
      <c r="E1712" s="33">
        <f>IF(NOT(ISBLANK(vlookup($D1712,Pop_Census_2023!$A$2:$E$3220,4,FALSE))),vlookup($D1712,Pop_Census_2023!$A$2:$E$3220,4,FALSE), vlookup($D1712,Pop_Census_2023!$A$2:$E$3220,5,FALSE))</f>
        <v>655</v>
      </c>
      <c r="F1712" s="32">
        <v>835878.0</v>
      </c>
      <c r="G1712" s="32">
        <v>40.0</v>
      </c>
      <c r="H1712" s="32" t="str">
        <f>VLOOKUP(D1712, Grid_Region_Mapping!$D$2:$F$5286, 3, FALSE)</f>
        <v>SPPN</v>
      </c>
      <c r="I1712" s="32">
        <v>4.0</v>
      </c>
      <c r="J1712" s="34" t="str">
        <f t="shared" si="1"/>
        <v>Midwest</v>
      </c>
      <c r="K1712" s="35">
        <v>2.0</v>
      </c>
      <c r="L1712" s="35" t="s">
        <v>396</v>
      </c>
      <c r="M1712" s="36">
        <f>VLOOKUP(D1712, County_Data_CZones!$B$2:$F$3236, 2, FALSE)</f>
        <v>5</v>
      </c>
      <c r="N1712" s="37" t="str">
        <f>VLOOKUP(D1712, County_Data_CZones!$B$2:$F$3236, 5, FALSE)</f>
        <v>Cold</v>
      </c>
    </row>
    <row r="1713" ht="15.75" customHeight="1">
      <c r="A1713" s="32" t="s">
        <v>1225</v>
      </c>
      <c r="B1713" s="32" t="s">
        <v>1198</v>
      </c>
      <c r="C1713" s="32" t="str">
        <f>vlookup(B1713,State_EMM_RowSums!$A$2:$B$52,2,FALSE)</f>
        <v>NE</v>
      </c>
      <c r="D1713" s="32">
        <v>31115.0</v>
      </c>
      <c r="E1713" s="33">
        <f>IF(NOT(ISBLANK(vlookup($D1713,Pop_Census_2023!$A$2:$E$3220,4,FALSE))),vlookup($D1713,Pop_Census_2023!$A$2:$E$3220,4,FALSE), vlookup($D1713,Pop_Census_2023!$A$2:$E$3220,5,FALSE))</f>
        <v>592</v>
      </c>
      <c r="F1713" s="32">
        <v>835879.0</v>
      </c>
      <c r="G1713" s="32">
        <v>40.0</v>
      </c>
      <c r="H1713" s="32" t="str">
        <f>VLOOKUP(D1713, Grid_Region_Mapping!$D$2:$F$5286, 3, FALSE)</f>
        <v>SPPN</v>
      </c>
      <c r="I1713" s="32">
        <v>4.0</v>
      </c>
      <c r="J1713" s="34" t="str">
        <f t="shared" si="1"/>
        <v>Midwest</v>
      </c>
      <c r="K1713" s="35">
        <v>2.0</v>
      </c>
      <c r="L1713" s="35" t="s">
        <v>396</v>
      </c>
      <c r="M1713" s="36">
        <f>VLOOKUP(D1713, County_Data_CZones!$B$2:$F$3236, 2, FALSE)</f>
        <v>5</v>
      </c>
      <c r="N1713" s="37" t="str">
        <f>VLOOKUP(D1713, County_Data_CZones!$B$2:$F$3236, 5, FALSE)</f>
        <v>Cold</v>
      </c>
    </row>
    <row r="1714" ht="15.75" customHeight="1">
      <c r="A1714" s="32" t="s">
        <v>782</v>
      </c>
      <c r="B1714" s="32" t="s">
        <v>1198</v>
      </c>
      <c r="C1714" s="32" t="str">
        <f>vlookup(B1714,State_EMM_RowSums!$A$2:$B$52,2,FALSE)</f>
        <v>NE</v>
      </c>
      <c r="D1714" s="32">
        <v>31117.0</v>
      </c>
      <c r="E1714" s="33">
        <f>IF(NOT(ISBLANK(vlookup($D1714,Pop_Census_2023!$A$2:$E$3220,4,FALSE))),vlookup($D1714,Pop_Census_2023!$A$2:$E$3220,4,FALSE), vlookup($D1714,Pop_Census_2023!$A$2:$E$3220,5,FALSE))</f>
        <v>383</v>
      </c>
      <c r="F1714" s="32">
        <v>835881.0</v>
      </c>
      <c r="G1714" s="32">
        <v>40.0</v>
      </c>
      <c r="H1714" s="32" t="str">
        <f>VLOOKUP(D1714, Grid_Region_Mapping!$D$2:$F$5286, 3, FALSE)</f>
        <v>SPPN</v>
      </c>
      <c r="I1714" s="32">
        <v>4.0</v>
      </c>
      <c r="J1714" s="34" t="str">
        <f t="shared" si="1"/>
        <v>Midwest</v>
      </c>
      <c r="K1714" s="35">
        <v>2.0</v>
      </c>
      <c r="L1714" s="35" t="s">
        <v>396</v>
      </c>
      <c r="M1714" s="36">
        <f>VLOOKUP(D1714, County_Data_CZones!$B$2:$F$3236, 2, FALSE)</f>
        <v>5</v>
      </c>
      <c r="N1714" s="37" t="str">
        <f>VLOOKUP(D1714, County_Data_CZones!$B$2:$F$3236, 5, FALSE)</f>
        <v>Cold</v>
      </c>
    </row>
    <row r="1715" ht="15.75" customHeight="1">
      <c r="A1715" s="32" t="s">
        <v>147</v>
      </c>
      <c r="B1715" s="32" t="s">
        <v>1198</v>
      </c>
      <c r="C1715" s="32" t="str">
        <f>vlookup(B1715,State_EMM_RowSums!$A$2:$B$52,2,FALSE)</f>
        <v>NE</v>
      </c>
      <c r="D1715" s="32">
        <v>31119.0</v>
      </c>
      <c r="E1715" s="33">
        <f>IF(NOT(ISBLANK(vlookup($D1715,Pop_Census_2023!$A$2:$E$3220,4,FALSE))),vlookup($D1715,Pop_Census_2023!$A$2:$E$3220,4,FALSE), vlookup($D1715,Pop_Census_2023!$A$2:$E$3220,5,FALSE))</f>
        <v>35627</v>
      </c>
      <c r="F1715" s="32">
        <v>835880.0</v>
      </c>
      <c r="G1715" s="32">
        <v>40.0</v>
      </c>
      <c r="H1715" s="32" t="str">
        <f>VLOOKUP(D1715, Grid_Region_Mapping!$D$2:$F$5286, 3, FALSE)</f>
        <v>SPPN</v>
      </c>
      <c r="I1715" s="32">
        <v>4.0</v>
      </c>
      <c r="J1715" s="34" t="str">
        <f t="shared" si="1"/>
        <v>Midwest</v>
      </c>
      <c r="K1715" s="35">
        <v>2.0</v>
      </c>
      <c r="L1715" s="35" t="s">
        <v>396</v>
      </c>
      <c r="M1715" s="36">
        <f>VLOOKUP(D1715, County_Data_CZones!$B$2:$F$3236, 2, FALSE)</f>
        <v>5</v>
      </c>
      <c r="N1715" s="37" t="str">
        <f>VLOOKUP(D1715, County_Data_CZones!$B$2:$F$3236, 5, FALSE)</f>
        <v>Cold</v>
      </c>
    </row>
    <row r="1716" ht="15.75" customHeight="1">
      <c r="A1716" s="32" t="s">
        <v>1226</v>
      </c>
      <c r="B1716" s="32" t="s">
        <v>1198</v>
      </c>
      <c r="C1716" s="32" t="str">
        <f>vlookup(B1716,State_EMM_RowSums!$A$2:$B$52,2,FALSE)</f>
        <v>NE</v>
      </c>
      <c r="D1716" s="32">
        <v>31121.0</v>
      </c>
      <c r="E1716" s="33">
        <f>IF(NOT(ISBLANK(vlookup($D1716,Pop_Census_2023!$A$2:$E$3220,4,FALSE))),vlookup($D1716,Pop_Census_2023!$A$2:$E$3220,4,FALSE), vlookup($D1716,Pop_Census_2023!$A$2:$E$3220,5,FALSE))</f>
        <v>7755</v>
      </c>
      <c r="F1716" s="32">
        <v>835882.0</v>
      </c>
      <c r="G1716" s="32">
        <v>40.0</v>
      </c>
      <c r="H1716" s="32" t="str">
        <f>VLOOKUP(D1716, Grid_Region_Mapping!$D$2:$F$5286, 3, FALSE)</f>
        <v>SPPN</v>
      </c>
      <c r="I1716" s="32">
        <v>4.0</v>
      </c>
      <c r="J1716" s="34" t="str">
        <f t="shared" si="1"/>
        <v>Midwest</v>
      </c>
      <c r="K1716" s="35">
        <v>2.0</v>
      </c>
      <c r="L1716" s="35" t="s">
        <v>396</v>
      </c>
      <c r="M1716" s="36">
        <f>VLOOKUP(D1716, County_Data_CZones!$B$2:$F$3236, 2, FALSE)</f>
        <v>5</v>
      </c>
      <c r="N1716" s="37" t="str">
        <f>VLOOKUP(D1716, County_Data_CZones!$B$2:$F$3236, 5, FALSE)</f>
        <v>Cold</v>
      </c>
    </row>
    <row r="1717" ht="15.75" customHeight="1">
      <c r="A1717" s="32" t="s">
        <v>1227</v>
      </c>
      <c r="B1717" s="32" t="s">
        <v>1198</v>
      </c>
      <c r="C1717" s="32" t="str">
        <f>vlookup(B1717,State_EMM_RowSums!$A$2:$B$52,2,FALSE)</f>
        <v>NE</v>
      </c>
      <c r="D1717" s="32">
        <v>31123.0</v>
      </c>
      <c r="E1717" s="33">
        <f>IF(NOT(ISBLANK(vlookup($D1717,Pop_Census_2023!$A$2:$E$3220,4,FALSE))),vlookup($D1717,Pop_Census_2023!$A$2:$E$3220,4,FALSE), vlookup($D1717,Pop_Census_2023!$A$2:$E$3220,5,FALSE))</f>
        <v>4504</v>
      </c>
      <c r="F1717" s="32">
        <v>835883.0</v>
      </c>
      <c r="G1717" s="32">
        <v>39.0</v>
      </c>
      <c r="H1717" s="32" t="str">
        <f>VLOOKUP(D1717, Grid_Region_Mapping!$D$2:$F$5286, 3, FALSE)</f>
        <v>SPPN</v>
      </c>
      <c r="I1717" s="32">
        <v>4.0</v>
      </c>
      <c r="J1717" s="34" t="str">
        <f t="shared" si="1"/>
        <v>Midwest</v>
      </c>
      <c r="K1717" s="35">
        <v>2.0</v>
      </c>
      <c r="L1717" s="35" t="s">
        <v>396</v>
      </c>
      <c r="M1717" s="36">
        <f>VLOOKUP(D1717, County_Data_CZones!$B$2:$F$3236, 2, FALSE)</f>
        <v>5</v>
      </c>
      <c r="N1717" s="37" t="str">
        <f>VLOOKUP(D1717, County_Data_CZones!$B$2:$F$3236, 5, FALSE)</f>
        <v>Cold</v>
      </c>
    </row>
    <row r="1718" ht="15.75" customHeight="1">
      <c r="A1718" s="32" t="s">
        <v>1228</v>
      </c>
      <c r="B1718" s="32" t="s">
        <v>1198</v>
      </c>
      <c r="C1718" s="32" t="str">
        <f>vlookup(B1718,State_EMM_RowSums!$A$2:$B$52,2,FALSE)</f>
        <v>NE</v>
      </c>
      <c r="D1718" s="32">
        <v>31125.0</v>
      </c>
      <c r="E1718" s="33">
        <f>IF(NOT(ISBLANK(vlookup($D1718,Pop_Census_2023!$A$2:$E$3220,4,FALSE))),vlookup($D1718,Pop_Census_2023!$A$2:$E$3220,4,FALSE), vlookup($D1718,Pop_Census_2023!$A$2:$E$3220,5,FALSE))</f>
        <v>3274</v>
      </c>
      <c r="F1718" s="32">
        <v>835884.0</v>
      </c>
      <c r="G1718" s="32">
        <v>40.0</v>
      </c>
      <c r="H1718" s="32" t="str">
        <f>VLOOKUP(D1718, Grid_Region_Mapping!$D$2:$F$5286, 3, FALSE)</f>
        <v>SPPN</v>
      </c>
      <c r="I1718" s="32">
        <v>4.0</v>
      </c>
      <c r="J1718" s="34" t="str">
        <f t="shared" si="1"/>
        <v>Midwest</v>
      </c>
      <c r="K1718" s="35">
        <v>2.0</v>
      </c>
      <c r="L1718" s="35" t="s">
        <v>396</v>
      </c>
      <c r="M1718" s="36">
        <f>VLOOKUP(D1718, County_Data_CZones!$B$2:$F$3236, 2, FALSE)</f>
        <v>5</v>
      </c>
      <c r="N1718" s="37" t="str">
        <f>VLOOKUP(D1718, County_Data_CZones!$B$2:$F$3236, 5, FALSE)</f>
        <v>Cold</v>
      </c>
    </row>
    <row r="1719" ht="15.75" customHeight="1">
      <c r="A1719" s="32" t="s">
        <v>786</v>
      </c>
      <c r="B1719" s="32" t="s">
        <v>1198</v>
      </c>
      <c r="C1719" s="32" t="str">
        <f>vlookup(B1719,State_EMM_RowSums!$A$2:$B$52,2,FALSE)</f>
        <v>NE</v>
      </c>
      <c r="D1719" s="32">
        <v>31127.0</v>
      </c>
      <c r="E1719" s="33">
        <f>IF(NOT(ISBLANK(vlookup($D1719,Pop_Census_2023!$A$2:$E$3220,4,FALSE))),vlookup($D1719,Pop_Census_2023!$A$2:$E$3220,4,FALSE), vlookup($D1719,Pop_Census_2023!$A$2:$E$3220,5,FALSE))</f>
        <v>7076</v>
      </c>
      <c r="F1719" s="32">
        <v>835885.0</v>
      </c>
      <c r="G1719" s="32">
        <v>41.0</v>
      </c>
      <c r="H1719" s="32" t="str">
        <f>VLOOKUP(D1719, Grid_Region_Mapping!$D$2:$F$5286, 3, FALSE)</f>
        <v>SPPN</v>
      </c>
      <c r="I1719" s="32">
        <v>4.0</v>
      </c>
      <c r="J1719" s="34" t="str">
        <f t="shared" si="1"/>
        <v>Midwest</v>
      </c>
      <c r="K1719" s="35">
        <v>2.0</v>
      </c>
      <c r="L1719" s="35" t="s">
        <v>396</v>
      </c>
      <c r="M1719" s="36">
        <f>VLOOKUP(D1719, County_Data_CZones!$B$2:$F$3236, 2, FALSE)</f>
        <v>5</v>
      </c>
      <c r="N1719" s="37" t="str">
        <f>VLOOKUP(D1719, County_Data_CZones!$B$2:$F$3236, 5, FALSE)</f>
        <v>Cold</v>
      </c>
    </row>
    <row r="1720" ht="15.75" customHeight="1">
      <c r="A1720" s="32" t="s">
        <v>1229</v>
      </c>
      <c r="B1720" s="32" t="s">
        <v>1198</v>
      </c>
      <c r="C1720" s="32" t="str">
        <f>vlookup(B1720,State_EMM_RowSums!$A$2:$B$52,2,FALSE)</f>
        <v>NE</v>
      </c>
      <c r="D1720" s="32">
        <v>31129.0</v>
      </c>
      <c r="E1720" s="33">
        <f>IF(NOT(ISBLANK(vlookup($D1720,Pop_Census_2023!$A$2:$E$3220,4,FALSE))),vlookup($D1720,Pop_Census_2023!$A$2:$E$3220,4,FALSE), vlookup($D1720,Pop_Census_2023!$A$2:$E$3220,5,FALSE))</f>
        <v>4095</v>
      </c>
      <c r="F1720" s="32">
        <v>835886.0</v>
      </c>
      <c r="G1720" s="32">
        <v>40.0</v>
      </c>
      <c r="H1720" s="32" t="str">
        <f>VLOOKUP(D1720, Grid_Region_Mapping!$D$2:$F$5286, 3, FALSE)</f>
        <v>SPPN</v>
      </c>
      <c r="I1720" s="32">
        <v>4.0</v>
      </c>
      <c r="J1720" s="34" t="str">
        <f t="shared" si="1"/>
        <v>Midwest</v>
      </c>
      <c r="K1720" s="35">
        <v>2.0</v>
      </c>
      <c r="L1720" s="35" t="s">
        <v>396</v>
      </c>
      <c r="M1720" s="36">
        <f>VLOOKUP(D1720, County_Data_CZones!$B$2:$F$3236, 2, FALSE)</f>
        <v>5</v>
      </c>
      <c r="N1720" s="37" t="str">
        <f>VLOOKUP(D1720, County_Data_CZones!$B$2:$F$3236, 5, FALSE)</f>
        <v>Cold</v>
      </c>
    </row>
    <row r="1721" ht="15.75" customHeight="1">
      <c r="A1721" s="32" t="s">
        <v>1230</v>
      </c>
      <c r="B1721" s="32" t="s">
        <v>1198</v>
      </c>
      <c r="C1721" s="32" t="str">
        <f>vlookup(B1721,State_EMM_RowSums!$A$2:$B$52,2,FALSE)</f>
        <v>NE</v>
      </c>
      <c r="D1721" s="32">
        <v>31131.0</v>
      </c>
      <c r="E1721" s="33">
        <f>IF(NOT(ISBLANK(vlookup($D1721,Pop_Census_2023!$A$2:$E$3220,4,FALSE))),vlookup($D1721,Pop_Census_2023!$A$2:$E$3220,4,FALSE), vlookup($D1721,Pop_Census_2023!$A$2:$E$3220,5,FALSE))</f>
        <v>16335</v>
      </c>
      <c r="F1721" s="32">
        <v>835887.0</v>
      </c>
      <c r="G1721" s="32">
        <v>41.0</v>
      </c>
      <c r="H1721" s="32" t="str">
        <f>VLOOKUP(D1721, Grid_Region_Mapping!$D$2:$F$5286, 3, FALSE)</f>
        <v>SPPN</v>
      </c>
      <c r="I1721" s="32">
        <v>4.0</v>
      </c>
      <c r="J1721" s="34" t="str">
        <f t="shared" si="1"/>
        <v>Midwest</v>
      </c>
      <c r="K1721" s="35">
        <v>2.0</v>
      </c>
      <c r="L1721" s="35" t="s">
        <v>396</v>
      </c>
      <c r="M1721" s="36">
        <f>VLOOKUP(D1721, County_Data_CZones!$B$2:$F$3236, 2, FALSE)</f>
        <v>5</v>
      </c>
      <c r="N1721" s="37" t="str">
        <f>VLOOKUP(D1721, County_Data_CZones!$B$2:$F$3236, 5, FALSE)</f>
        <v>Cold</v>
      </c>
    </row>
    <row r="1722" ht="15.75" customHeight="1">
      <c r="A1722" s="32" t="s">
        <v>793</v>
      </c>
      <c r="B1722" s="32" t="s">
        <v>1198</v>
      </c>
      <c r="C1722" s="32" t="str">
        <f>vlookup(B1722,State_EMM_RowSums!$A$2:$B$52,2,FALSE)</f>
        <v>NE</v>
      </c>
      <c r="D1722" s="32">
        <v>31133.0</v>
      </c>
      <c r="E1722" s="33">
        <f>IF(NOT(ISBLANK(vlookup($D1722,Pop_Census_2023!$A$2:$E$3220,4,FALSE))),vlookup($D1722,Pop_Census_2023!$A$2:$E$3220,4,FALSE), vlookup($D1722,Pop_Census_2023!$A$2:$E$3220,5,FALSE))</f>
        <v>2512</v>
      </c>
      <c r="F1722" s="32">
        <v>835888.0</v>
      </c>
      <c r="G1722" s="32">
        <v>41.0</v>
      </c>
      <c r="H1722" s="32" t="str">
        <f>VLOOKUP(D1722, Grid_Region_Mapping!$D$2:$F$5286, 3, FALSE)</f>
        <v>SPPN</v>
      </c>
      <c r="I1722" s="32">
        <v>4.0</v>
      </c>
      <c r="J1722" s="34" t="str">
        <f t="shared" si="1"/>
        <v>Midwest</v>
      </c>
      <c r="K1722" s="35">
        <v>2.0</v>
      </c>
      <c r="L1722" s="35" t="s">
        <v>396</v>
      </c>
      <c r="M1722" s="36">
        <f>VLOOKUP(D1722, County_Data_CZones!$B$2:$F$3236, 2, FALSE)</f>
        <v>5</v>
      </c>
      <c r="N1722" s="37" t="str">
        <f>VLOOKUP(D1722, County_Data_CZones!$B$2:$F$3236, 5, FALSE)</f>
        <v>Cold</v>
      </c>
    </row>
    <row r="1723" ht="15.75" customHeight="1">
      <c r="A1723" s="32" t="s">
        <v>1231</v>
      </c>
      <c r="B1723" s="32" t="s">
        <v>1198</v>
      </c>
      <c r="C1723" s="32" t="str">
        <f>vlookup(B1723,State_EMM_RowSums!$A$2:$B$52,2,FALSE)</f>
        <v>NE</v>
      </c>
      <c r="D1723" s="32">
        <v>31135.0</v>
      </c>
      <c r="E1723" s="33">
        <f>IF(NOT(ISBLANK(vlookup($D1723,Pop_Census_2023!$A$2:$E$3220,4,FALSE))),vlookup($D1723,Pop_Census_2023!$A$2:$E$3220,4,FALSE), vlookup($D1723,Pop_Census_2023!$A$2:$E$3220,5,FALSE))</f>
        <v>2795</v>
      </c>
      <c r="F1723" s="32">
        <v>835889.0</v>
      </c>
      <c r="G1723" s="32">
        <v>39.0</v>
      </c>
      <c r="H1723" s="32" t="str">
        <f>VLOOKUP(D1723, Grid_Region_Mapping!$D$2:$F$5286, 3, FALSE)</f>
        <v>SPPN</v>
      </c>
      <c r="I1723" s="32">
        <v>4.0</v>
      </c>
      <c r="J1723" s="34" t="str">
        <f t="shared" si="1"/>
        <v>Midwest</v>
      </c>
      <c r="K1723" s="35">
        <v>2.0</v>
      </c>
      <c r="L1723" s="35" t="s">
        <v>396</v>
      </c>
      <c r="M1723" s="36">
        <f>VLOOKUP(D1723, County_Data_CZones!$B$2:$F$3236, 2, FALSE)</f>
        <v>5</v>
      </c>
      <c r="N1723" s="37" t="str">
        <f>VLOOKUP(D1723, County_Data_CZones!$B$2:$F$3236, 5, FALSE)</f>
        <v>Cold</v>
      </c>
    </row>
    <row r="1724" ht="15.75" customHeight="1">
      <c r="A1724" s="32" t="s">
        <v>1148</v>
      </c>
      <c r="B1724" s="32" t="s">
        <v>1198</v>
      </c>
      <c r="C1724" s="32" t="str">
        <f>vlookup(B1724,State_EMM_RowSums!$A$2:$B$52,2,FALSE)</f>
        <v>NE</v>
      </c>
      <c r="D1724" s="32">
        <v>31137.0</v>
      </c>
      <c r="E1724" s="33">
        <f>IF(NOT(ISBLANK(vlookup($D1724,Pop_Census_2023!$A$2:$E$3220,4,FALSE))),vlookup($D1724,Pop_Census_2023!$A$2:$E$3220,4,FALSE), vlookup($D1724,Pop_Census_2023!$A$2:$E$3220,5,FALSE))</f>
        <v>9057</v>
      </c>
      <c r="F1724" s="32">
        <v>835890.0</v>
      </c>
      <c r="G1724" s="32">
        <v>40.0</v>
      </c>
      <c r="H1724" s="32" t="str">
        <f>VLOOKUP(D1724, Grid_Region_Mapping!$D$2:$F$5286, 3, FALSE)</f>
        <v>SPPN</v>
      </c>
      <c r="I1724" s="32">
        <v>4.0</v>
      </c>
      <c r="J1724" s="34" t="str">
        <f t="shared" si="1"/>
        <v>Midwest</v>
      </c>
      <c r="K1724" s="35">
        <v>2.0</v>
      </c>
      <c r="L1724" s="35" t="s">
        <v>396</v>
      </c>
      <c r="M1724" s="36">
        <f>VLOOKUP(D1724, County_Data_CZones!$B$2:$F$3236, 2, FALSE)</f>
        <v>5</v>
      </c>
      <c r="N1724" s="37" t="str">
        <f>VLOOKUP(D1724, County_Data_CZones!$B$2:$F$3236, 5, FALSE)</f>
        <v>Cold</v>
      </c>
    </row>
    <row r="1725" ht="15.75" customHeight="1">
      <c r="A1725" s="32" t="s">
        <v>536</v>
      </c>
      <c r="B1725" s="32" t="s">
        <v>1198</v>
      </c>
      <c r="C1725" s="32" t="str">
        <f>vlookup(B1725,State_EMM_RowSums!$A$2:$B$52,2,FALSE)</f>
        <v>NE</v>
      </c>
      <c r="D1725" s="32">
        <v>31139.0</v>
      </c>
      <c r="E1725" s="33">
        <f>IF(NOT(ISBLANK(vlookup($D1725,Pop_Census_2023!$A$2:$E$3220,4,FALSE))),vlookup($D1725,Pop_Census_2023!$A$2:$E$3220,4,FALSE), vlookup($D1725,Pop_Census_2023!$A$2:$E$3220,5,FALSE))</f>
        <v>7299</v>
      </c>
      <c r="F1725" s="32">
        <v>835891.0</v>
      </c>
      <c r="G1725" s="32">
        <v>40.0</v>
      </c>
      <c r="H1725" s="32" t="str">
        <f>VLOOKUP(D1725, Grid_Region_Mapping!$D$2:$F$5286, 3, FALSE)</f>
        <v>SPPN</v>
      </c>
      <c r="I1725" s="32">
        <v>4.0</v>
      </c>
      <c r="J1725" s="34" t="str">
        <f t="shared" si="1"/>
        <v>Midwest</v>
      </c>
      <c r="K1725" s="35">
        <v>2.0</v>
      </c>
      <c r="L1725" s="35" t="s">
        <v>396</v>
      </c>
      <c r="M1725" s="36">
        <f>VLOOKUP(D1725, County_Data_CZones!$B$2:$F$3236, 2, FALSE)</f>
        <v>5</v>
      </c>
      <c r="N1725" s="37" t="str">
        <f>VLOOKUP(D1725, County_Data_CZones!$B$2:$F$3236, 5, FALSE)</f>
        <v>Cold</v>
      </c>
    </row>
    <row r="1726" ht="15.75" customHeight="1">
      <c r="A1726" s="32" t="s">
        <v>1149</v>
      </c>
      <c r="B1726" s="32" t="s">
        <v>1198</v>
      </c>
      <c r="C1726" s="32" t="str">
        <f>vlookup(B1726,State_EMM_RowSums!$A$2:$B$52,2,FALSE)</f>
        <v>NE</v>
      </c>
      <c r="D1726" s="32">
        <v>31141.0</v>
      </c>
      <c r="E1726" s="33">
        <f>IF(NOT(ISBLANK(vlookup($D1726,Pop_Census_2023!$A$2:$E$3220,4,FALSE))),vlookup($D1726,Pop_Census_2023!$A$2:$E$3220,4,FALSE), vlookup($D1726,Pop_Census_2023!$A$2:$E$3220,5,FALSE))</f>
        <v>34609</v>
      </c>
      <c r="F1726" s="32">
        <v>835892.0</v>
      </c>
      <c r="G1726" s="32">
        <v>40.0</v>
      </c>
      <c r="H1726" s="32" t="str">
        <f>VLOOKUP(D1726, Grid_Region_Mapping!$D$2:$F$5286, 3, FALSE)</f>
        <v>SPPN</v>
      </c>
      <c r="I1726" s="32">
        <v>4.0</v>
      </c>
      <c r="J1726" s="34" t="str">
        <f t="shared" si="1"/>
        <v>Midwest</v>
      </c>
      <c r="K1726" s="35">
        <v>2.0</v>
      </c>
      <c r="L1726" s="35" t="s">
        <v>396</v>
      </c>
      <c r="M1726" s="36">
        <f>VLOOKUP(D1726, County_Data_CZones!$B$2:$F$3236, 2, FALSE)</f>
        <v>5</v>
      </c>
      <c r="N1726" s="37" t="str">
        <f>VLOOKUP(D1726, County_Data_CZones!$B$2:$F$3236, 5, FALSE)</f>
        <v>Cold</v>
      </c>
    </row>
    <row r="1727" ht="15.75" customHeight="1">
      <c r="A1727" s="32" t="s">
        <v>261</v>
      </c>
      <c r="B1727" s="32" t="s">
        <v>1198</v>
      </c>
      <c r="C1727" s="32" t="str">
        <f>vlookup(B1727,State_EMM_RowSums!$A$2:$B$52,2,FALSE)</f>
        <v>NE</v>
      </c>
      <c r="D1727" s="32">
        <v>31143.0</v>
      </c>
      <c r="E1727" s="33">
        <f>IF(NOT(ISBLANK(vlookup($D1727,Pop_Census_2023!$A$2:$E$3220,4,FALSE))),vlookup($D1727,Pop_Census_2023!$A$2:$E$3220,4,FALSE), vlookup($D1727,Pop_Census_2023!$A$2:$E$3220,5,FALSE))</f>
        <v>5228</v>
      </c>
      <c r="F1727" s="32">
        <v>835893.0</v>
      </c>
      <c r="G1727" s="32">
        <v>40.0</v>
      </c>
      <c r="H1727" s="32" t="str">
        <f>VLOOKUP(D1727, Grid_Region_Mapping!$D$2:$F$5286, 3, FALSE)</f>
        <v>SPPN</v>
      </c>
      <c r="I1727" s="32">
        <v>4.0</v>
      </c>
      <c r="J1727" s="34" t="str">
        <f t="shared" si="1"/>
        <v>Midwest</v>
      </c>
      <c r="K1727" s="35">
        <v>2.0</v>
      </c>
      <c r="L1727" s="35" t="s">
        <v>396</v>
      </c>
      <c r="M1727" s="36">
        <f>VLOOKUP(D1727, County_Data_CZones!$B$2:$F$3236, 2, FALSE)</f>
        <v>5</v>
      </c>
      <c r="N1727" s="37" t="str">
        <f>VLOOKUP(D1727, County_Data_CZones!$B$2:$F$3236, 5, FALSE)</f>
        <v>Cold</v>
      </c>
    </row>
    <row r="1728" ht="15.75" customHeight="1">
      <c r="A1728" s="32" t="s">
        <v>1232</v>
      </c>
      <c r="B1728" s="32" t="s">
        <v>1198</v>
      </c>
      <c r="C1728" s="32" t="str">
        <f>vlookup(B1728,State_EMM_RowSums!$A$2:$B$52,2,FALSE)</f>
        <v>NE</v>
      </c>
      <c r="D1728" s="32">
        <v>31145.0</v>
      </c>
      <c r="E1728" s="33">
        <f>IF(NOT(ISBLANK(vlookup($D1728,Pop_Census_2023!$A$2:$E$3220,4,FALSE))),vlookup($D1728,Pop_Census_2023!$A$2:$E$3220,4,FALSE), vlookup($D1728,Pop_Census_2023!$A$2:$E$3220,5,FALSE))</f>
        <v>10457</v>
      </c>
      <c r="F1728" s="32">
        <v>835894.0</v>
      </c>
      <c r="G1728" s="32">
        <v>40.0</v>
      </c>
      <c r="H1728" s="32" t="str">
        <f>VLOOKUP(D1728, Grid_Region_Mapping!$D$2:$F$5286, 3, FALSE)</f>
        <v>SPPN</v>
      </c>
      <c r="I1728" s="32">
        <v>4.0</v>
      </c>
      <c r="J1728" s="34" t="str">
        <f t="shared" si="1"/>
        <v>Midwest</v>
      </c>
      <c r="K1728" s="35">
        <v>2.0</v>
      </c>
      <c r="L1728" s="35" t="s">
        <v>396</v>
      </c>
      <c r="M1728" s="36">
        <f>VLOOKUP(D1728, County_Data_CZones!$B$2:$F$3236, 2, FALSE)</f>
        <v>5</v>
      </c>
      <c r="N1728" s="37" t="str">
        <f>VLOOKUP(D1728, County_Data_CZones!$B$2:$F$3236, 5, FALSE)</f>
        <v>Cold</v>
      </c>
    </row>
    <row r="1729" ht="15.75" customHeight="1">
      <c r="A1729" s="32" t="s">
        <v>1233</v>
      </c>
      <c r="B1729" s="32" t="s">
        <v>1198</v>
      </c>
      <c r="C1729" s="32" t="str">
        <f>vlookup(B1729,State_EMM_RowSums!$A$2:$B$52,2,FALSE)</f>
        <v>NE</v>
      </c>
      <c r="D1729" s="32">
        <v>31147.0</v>
      </c>
      <c r="E1729" s="33">
        <f>IF(NOT(ISBLANK(vlookup($D1729,Pop_Census_2023!$A$2:$E$3220,4,FALSE))),vlookup($D1729,Pop_Census_2023!$A$2:$E$3220,4,FALSE), vlookup($D1729,Pop_Census_2023!$A$2:$E$3220,5,FALSE))</f>
        <v>7689</v>
      </c>
      <c r="F1729" s="32">
        <v>835895.0</v>
      </c>
      <c r="G1729" s="32">
        <v>41.0</v>
      </c>
      <c r="H1729" s="32" t="str">
        <f>VLOOKUP(D1729, Grid_Region_Mapping!$D$2:$F$5286, 3, FALSE)</f>
        <v>SPPN</v>
      </c>
      <c r="I1729" s="32">
        <v>4.0</v>
      </c>
      <c r="J1729" s="34" t="str">
        <f t="shared" si="1"/>
        <v>Midwest</v>
      </c>
      <c r="K1729" s="35">
        <v>2.0</v>
      </c>
      <c r="L1729" s="35" t="s">
        <v>396</v>
      </c>
      <c r="M1729" s="36">
        <f>VLOOKUP(D1729, County_Data_CZones!$B$2:$F$3236, 2, FALSE)</f>
        <v>5</v>
      </c>
      <c r="N1729" s="37" t="str">
        <f>VLOOKUP(D1729, County_Data_CZones!$B$2:$F$3236, 5, FALSE)</f>
        <v>Cold</v>
      </c>
    </row>
    <row r="1730" ht="15.75" customHeight="1">
      <c r="A1730" s="32" t="s">
        <v>1071</v>
      </c>
      <c r="B1730" s="32" t="s">
        <v>1198</v>
      </c>
      <c r="C1730" s="32" t="str">
        <f>vlookup(B1730,State_EMM_RowSums!$A$2:$B$52,2,FALSE)</f>
        <v>NE</v>
      </c>
      <c r="D1730" s="32">
        <v>31149.0</v>
      </c>
      <c r="E1730" s="33">
        <f>IF(NOT(ISBLANK(vlookup($D1730,Pop_Census_2023!$A$2:$E$3220,4,FALSE))),vlookup($D1730,Pop_Census_2023!$A$2:$E$3220,4,FALSE), vlookup($D1730,Pop_Census_2023!$A$2:$E$3220,5,FALSE))</f>
        <v>1271</v>
      </c>
      <c r="F1730" s="32">
        <v>835896.0</v>
      </c>
      <c r="G1730" s="32">
        <v>40.0</v>
      </c>
      <c r="H1730" s="32" t="str">
        <f>VLOOKUP(D1730, Grid_Region_Mapping!$D$2:$F$5286, 3, FALSE)</f>
        <v>SPPN</v>
      </c>
      <c r="I1730" s="32">
        <v>4.0</v>
      </c>
      <c r="J1730" s="34" t="str">
        <f t="shared" si="1"/>
        <v>Midwest</v>
      </c>
      <c r="K1730" s="35">
        <v>2.0</v>
      </c>
      <c r="L1730" s="35" t="s">
        <v>396</v>
      </c>
      <c r="M1730" s="36">
        <f>VLOOKUP(D1730, County_Data_CZones!$B$2:$F$3236, 2, FALSE)</f>
        <v>5</v>
      </c>
      <c r="N1730" s="37" t="str">
        <f>VLOOKUP(D1730, County_Data_CZones!$B$2:$F$3236, 5, FALSE)</f>
        <v>Cold</v>
      </c>
    </row>
    <row r="1731" ht="15.75" customHeight="1">
      <c r="A1731" s="32" t="s">
        <v>266</v>
      </c>
      <c r="B1731" s="32" t="s">
        <v>1198</v>
      </c>
      <c r="C1731" s="32" t="str">
        <f>vlookup(B1731,State_EMM_RowSums!$A$2:$B$52,2,FALSE)</f>
        <v>NE</v>
      </c>
      <c r="D1731" s="32">
        <v>31151.0</v>
      </c>
      <c r="E1731" s="33">
        <f>IF(NOT(ISBLANK(vlookup($D1731,Pop_Census_2023!$A$2:$E$3220,4,FALSE))),vlookup($D1731,Pop_Census_2023!$A$2:$E$3220,4,FALSE), vlookup($D1731,Pop_Census_2023!$A$2:$E$3220,5,FALSE))</f>
        <v>14555</v>
      </c>
      <c r="F1731" s="32">
        <v>835897.0</v>
      </c>
      <c r="G1731" s="32">
        <v>40.0</v>
      </c>
      <c r="H1731" s="32" t="str">
        <f>VLOOKUP(D1731, Grid_Region_Mapping!$D$2:$F$5286, 3, FALSE)</f>
        <v>SPPN</v>
      </c>
      <c r="I1731" s="32">
        <v>4.0</v>
      </c>
      <c r="J1731" s="34" t="str">
        <f t="shared" si="1"/>
        <v>Midwest</v>
      </c>
      <c r="K1731" s="35">
        <v>2.0</v>
      </c>
      <c r="L1731" s="35" t="s">
        <v>396</v>
      </c>
      <c r="M1731" s="36">
        <f>VLOOKUP(D1731, County_Data_CZones!$B$2:$F$3236, 2, FALSE)</f>
        <v>5</v>
      </c>
      <c r="N1731" s="37" t="str">
        <f>VLOOKUP(D1731, County_Data_CZones!$B$2:$F$3236, 5, FALSE)</f>
        <v>Cold</v>
      </c>
    </row>
    <row r="1732" ht="15.75" customHeight="1">
      <c r="A1732" s="32" t="s">
        <v>1234</v>
      </c>
      <c r="B1732" s="32" t="s">
        <v>1198</v>
      </c>
      <c r="C1732" s="32" t="str">
        <f>vlookup(B1732,State_EMM_RowSums!$A$2:$B$52,2,FALSE)</f>
        <v>NE</v>
      </c>
      <c r="D1732" s="32">
        <v>31153.0</v>
      </c>
      <c r="E1732" s="33">
        <f>IF(NOT(ISBLANK(vlookup($D1732,Pop_Census_2023!$A$2:$E$3220,4,FALSE))),vlookup($D1732,Pop_Census_2023!$A$2:$E$3220,4,FALSE), vlookup($D1732,Pop_Census_2023!$A$2:$E$3220,5,FALSE))</f>
        <v>199886</v>
      </c>
      <c r="F1732" s="32">
        <v>835898.0</v>
      </c>
      <c r="G1732" s="32">
        <v>41.0</v>
      </c>
      <c r="H1732" s="32" t="str">
        <f>VLOOKUP(D1732, Grid_Region_Mapping!$D$2:$F$5286, 3, FALSE)</f>
        <v>SPPN</v>
      </c>
      <c r="I1732" s="32">
        <v>4.0</v>
      </c>
      <c r="J1732" s="34" t="str">
        <f t="shared" si="1"/>
        <v>Midwest</v>
      </c>
      <c r="K1732" s="35">
        <v>2.0</v>
      </c>
      <c r="L1732" s="35" t="s">
        <v>396</v>
      </c>
      <c r="M1732" s="36">
        <f>VLOOKUP(D1732, County_Data_CZones!$B$2:$F$3236, 2, FALSE)</f>
        <v>5</v>
      </c>
      <c r="N1732" s="37" t="str">
        <f>VLOOKUP(D1732, County_Data_CZones!$B$2:$F$3236, 5, FALSE)</f>
        <v>Cold</v>
      </c>
    </row>
    <row r="1733" ht="15.75" customHeight="1">
      <c r="A1733" s="32" t="s">
        <v>1235</v>
      </c>
      <c r="B1733" s="32" t="s">
        <v>1198</v>
      </c>
      <c r="C1733" s="32" t="str">
        <f>vlookup(B1733,State_EMM_RowSums!$A$2:$B$52,2,FALSE)</f>
        <v>NE</v>
      </c>
      <c r="D1733" s="32">
        <v>31155.0</v>
      </c>
      <c r="E1733" s="33">
        <f>IF(NOT(ISBLANK(vlookup($D1733,Pop_Census_2023!$A$2:$E$3220,4,FALSE))),vlookup($D1733,Pop_Census_2023!$A$2:$E$3220,4,FALSE), vlookup($D1733,Pop_Census_2023!$A$2:$E$3220,5,FALSE))</f>
        <v>23463</v>
      </c>
      <c r="F1733" s="32">
        <v>835899.0</v>
      </c>
      <c r="G1733" s="32">
        <v>41.0</v>
      </c>
      <c r="H1733" s="32" t="str">
        <f>VLOOKUP(D1733, Grid_Region_Mapping!$D$2:$F$5286, 3, FALSE)</f>
        <v>SPPN</v>
      </c>
      <c r="I1733" s="32">
        <v>4.0</v>
      </c>
      <c r="J1733" s="34" t="str">
        <f t="shared" si="1"/>
        <v>Midwest</v>
      </c>
      <c r="K1733" s="35">
        <v>2.0</v>
      </c>
      <c r="L1733" s="35" t="s">
        <v>396</v>
      </c>
      <c r="M1733" s="36">
        <f>VLOOKUP(D1733, County_Data_CZones!$B$2:$F$3236, 2, FALSE)</f>
        <v>5</v>
      </c>
      <c r="N1733" s="37" t="str">
        <f>VLOOKUP(D1733, County_Data_CZones!$B$2:$F$3236, 5, FALSE)</f>
        <v>Cold</v>
      </c>
    </row>
    <row r="1734" ht="15.75" customHeight="1">
      <c r="A1734" s="32" t="s">
        <v>1236</v>
      </c>
      <c r="B1734" s="32" t="s">
        <v>1198</v>
      </c>
      <c r="C1734" s="32" t="str">
        <f>vlookup(B1734,State_EMM_RowSums!$A$2:$B$52,2,FALSE)</f>
        <v>NE</v>
      </c>
      <c r="D1734" s="32">
        <v>31157.0</v>
      </c>
      <c r="E1734" s="33">
        <f>IF(NOT(ISBLANK(vlookup($D1734,Pop_Census_2023!$A$2:$E$3220,4,FALSE))),vlookup($D1734,Pop_Census_2023!$A$2:$E$3220,4,FALSE), vlookup($D1734,Pop_Census_2023!$A$2:$E$3220,5,FALSE))</f>
        <v>35699</v>
      </c>
      <c r="F1734" s="32">
        <v>835900.0</v>
      </c>
      <c r="G1734" s="32">
        <v>39.0</v>
      </c>
      <c r="H1734" s="32" t="str">
        <f>VLOOKUP(D1734, Grid_Region_Mapping!$D$2:$F$5286, 3, FALSE)</f>
        <v>SPPN</v>
      </c>
      <c r="I1734" s="32">
        <v>4.0</v>
      </c>
      <c r="J1734" s="34" t="str">
        <f t="shared" si="1"/>
        <v>Midwest</v>
      </c>
      <c r="K1734" s="35">
        <v>2.0</v>
      </c>
      <c r="L1734" s="35" t="s">
        <v>396</v>
      </c>
      <c r="M1734" s="36">
        <f>VLOOKUP(D1734, County_Data_CZones!$B$2:$F$3236, 2, FALSE)</f>
        <v>5</v>
      </c>
      <c r="N1734" s="37" t="str">
        <f>VLOOKUP(D1734, County_Data_CZones!$B$2:$F$3236, 5, FALSE)</f>
        <v>Cold</v>
      </c>
    </row>
    <row r="1735" ht="15.75" customHeight="1">
      <c r="A1735" s="32" t="s">
        <v>802</v>
      </c>
      <c r="B1735" s="32" t="s">
        <v>1198</v>
      </c>
      <c r="C1735" s="32" t="str">
        <f>vlookup(B1735,State_EMM_RowSums!$A$2:$B$52,2,FALSE)</f>
        <v>NE</v>
      </c>
      <c r="D1735" s="32">
        <v>31159.0</v>
      </c>
      <c r="E1735" s="33">
        <f>IF(NOT(ISBLANK(vlookup($D1735,Pop_Census_2023!$A$2:$E$3220,4,FALSE))),vlookup($D1735,Pop_Census_2023!$A$2:$E$3220,4,FALSE), vlookup($D1735,Pop_Census_2023!$A$2:$E$3220,5,FALSE))</f>
        <v>17671</v>
      </c>
      <c r="F1735" s="32">
        <v>835901.0</v>
      </c>
      <c r="G1735" s="32">
        <v>40.0</v>
      </c>
      <c r="H1735" s="32" t="str">
        <f>VLOOKUP(D1735, Grid_Region_Mapping!$D$2:$F$5286, 3, FALSE)</f>
        <v>SPPN</v>
      </c>
      <c r="I1735" s="32">
        <v>4.0</v>
      </c>
      <c r="J1735" s="34" t="str">
        <f t="shared" si="1"/>
        <v>Midwest</v>
      </c>
      <c r="K1735" s="35">
        <v>2.0</v>
      </c>
      <c r="L1735" s="35" t="s">
        <v>396</v>
      </c>
      <c r="M1735" s="36">
        <f>VLOOKUP(D1735, County_Data_CZones!$B$2:$F$3236, 2, FALSE)</f>
        <v>5</v>
      </c>
      <c r="N1735" s="37" t="str">
        <f>VLOOKUP(D1735, County_Data_CZones!$B$2:$F$3236, 5, FALSE)</f>
        <v>Cold</v>
      </c>
    </row>
    <row r="1736" ht="15.75" customHeight="1">
      <c r="A1736" s="32" t="s">
        <v>804</v>
      </c>
      <c r="B1736" s="32" t="s">
        <v>1198</v>
      </c>
      <c r="C1736" s="32" t="str">
        <f>vlookup(B1736,State_EMM_RowSums!$A$2:$B$52,2,FALSE)</f>
        <v>NE</v>
      </c>
      <c r="D1736" s="32">
        <v>31161.0</v>
      </c>
      <c r="E1736" s="33">
        <f>IF(NOT(ISBLANK(vlookup($D1736,Pop_Census_2023!$A$2:$E$3220,4,FALSE))),vlookup($D1736,Pop_Census_2023!$A$2:$E$3220,4,FALSE), vlookup($D1736,Pop_Census_2023!$A$2:$E$3220,5,FALSE))</f>
        <v>4928</v>
      </c>
      <c r="F1736" s="32">
        <v>835902.0</v>
      </c>
      <c r="G1736" s="32">
        <v>39.0</v>
      </c>
      <c r="H1736" s="32" t="str">
        <f>VLOOKUP(D1736, Grid_Region_Mapping!$D$2:$F$5286, 3, FALSE)</f>
        <v>SPPN</v>
      </c>
      <c r="I1736" s="32">
        <v>4.0</v>
      </c>
      <c r="J1736" s="34" t="str">
        <f t="shared" si="1"/>
        <v>Midwest</v>
      </c>
      <c r="K1736" s="35">
        <v>1.0</v>
      </c>
      <c r="L1736" s="35" t="s">
        <v>396</v>
      </c>
      <c r="M1736" s="36">
        <f>VLOOKUP(D1736, County_Data_CZones!$B$2:$F$3236, 2, FALSE)</f>
        <v>5</v>
      </c>
      <c r="N1736" s="37" t="str">
        <f>VLOOKUP(D1736, County_Data_CZones!$B$2:$F$3236, 5, FALSE)</f>
        <v>Cold</v>
      </c>
    </row>
    <row r="1737" ht="15.75" customHeight="1">
      <c r="A1737" s="32" t="s">
        <v>805</v>
      </c>
      <c r="B1737" s="32" t="s">
        <v>1198</v>
      </c>
      <c r="C1737" s="32" t="str">
        <f>vlookup(B1737,State_EMM_RowSums!$A$2:$B$52,2,FALSE)</f>
        <v>NE</v>
      </c>
      <c r="D1737" s="32">
        <v>31163.0</v>
      </c>
      <c r="E1737" s="33">
        <f>IF(NOT(ISBLANK(vlookup($D1737,Pop_Census_2023!$A$2:$E$3220,4,FALSE))),vlookup($D1737,Pop_Census_2023!$A$2:$E$3220,4,FALSE), vlookup($D1737,Pop_Census_2023!$A$2:$E$3220,5,FALSE))</f>
        <v>2983</v>
      </c>
      <c r="F1737" s="32">
        <v>835903.0</v>
      </c>
      <c r="G1737" s="32">
        <v>40.0</v>
      </c>
      <c r="H1737" s="32" t="str">
        <f>VLOOKUP(D1737, Grid_Region_Mapping!$D$2:$F$5286, 3, FALSE)</f>
        <v>SPPN</v>
      </c>
      <c r="I1737" s="32">
        <v>4.0</v>
      </c>
      <c r="J1737" s="34" t="str">
        <f t="shared" si="1"/>
        <v>Midwest</v>
      </c>
      <c r="K1737" s="35">
        <v>2.0</v>
      </c>
      <c r="L1737" s="35" t="s">
        <v>396</v>
      </c>
      <c r="M1737" s="36">
        <f>VLOOKUP(D1737, County_Data_CZones!$B$2:$F$3236, 2, FALSE)</f>
        <v>5</v>
      </c>
      <c r="N1737" s="37" t="str">
        <f>VLOOKUP(D1737, County_Data_CZones!$B$2:$F$3236, 5, FALSE)</f>
        <v>Cold</v>
      </c>
    </row>
    <row r="1738" ht="15.75" customHeight="1">
      <c r="A1738" s="32" t="s">
        <v>743</v>
      </c>
      <c r="B1738" s="32" t="s">
        <v>1198</v>
      </c>
      <c r="C1738" s="32" t="str">
        <f>vlookup(B1738,State_EMM_RowSums!$A$2:$B$52,2,FALSE)</f>
        <v>NE</v>
      </c>
      <c r="D1738" s="32">
        <v>31165.0</v>
      </c>
      <c r="E1738" s="33">
        <f>IF(NOT(ISBLANK(vlookup($D1738,Pop_Census_2023!$A$2:$E$3220,4,FALSE))),vlookup($D1738,Pop_Census_2023!$A$2:$E$3220,4,FALSE), vlookup($D1738,Pop_Census_2023!$A$2:$E$3220,5,FALSE))</f>
        <v>1154</v>
      </c>
      <c r="F1738" s="32">
        <v>835904.0</v>
      </c>
      <c r="G1738" s="32">
        <v>39.0</v>
      </c>
      <c r="H1738" s="32" t="str">
        <f>VLOOKUP(D1738, Grid_Region_Mapping!$D$2:$F$5286, 3, FALSE)</f>
        <v>RMRG</v>
      </c>
      <c r="I1738" s="32">
        <v>4.0</v>
      </c>
      <c r="J1738" s="34" t="str">
        <f t="shared" si="1"/>
        <v>Midwest</v>
      </c>
      <c r="K1738" s="35">
        <v>1.0</v>
      </c>
      <c r="L1738" s="35" t="s">
        <v>396</v>
      </c>
      <c r="M1738" s="36">
        <f>VLOOKUP(D1738, County_Data_CZones!$B$2:$F$3236, 2, FALSE)</f>
        <v>5</v>
      </c>
      <c r="N1738" s="37" t="str">
        <f>VLOOKUP(D1738, County_Data_CZones!$B$2:$F$3236, 5, FALSE)</f>
        <v>Cold</v>
      </c>
    </row>
    <row r="1739" ht="15.75" customHeight="1">
      <c r="A1739" s="32" t="s">
        <v>808</v>
      </c>
      <c r="B1739" s="32" t="s">
        <v>1198</v>
      </c>
      <c r="C1739" s="32" t="str">
        <f>vlookup(B1739,State_EMM_RowSums!$A$2:$B$52,2,FALSE)</f>
        <v>NE</v>
      </c>
      <c r="D1739" s="32">
        <v>31167.0</v>
      </c>
      <c r="E1739" s="33">
        <f>IF(NOT(ISBLANK(vlookup($D1739,Pop_Census_2023!$A$2:$E$3220,4,FALSE))),vlookup($D1739,Pop_Census_2023!$A$2:$E$3220,4,FALSE), vlookup($D1739,Pop_Census_2023!$A$2:$E$3220,5,FALSE))</f>
        <v>5856</v>
      </c>
      <c r="F1739" s="32">
        <v>835905.0</v>
      </c>
      <c r="G1739" s="32">
        <v>40.0</v>
      </c>
      <c r="H1739" s="32" t="str">
        <f>VLOOKUP(D1739, Grid_Region_Mapping!$D$2:$F$5286, 3, FALSE)</f>
        <v>SPPN</v>
      </c>
      <c r="I1739" s="32">
        <v>4.0</v>
      </c>
      <c r="J1739" s="34" t="str">
        <f t="shared" si="1"/>
        <v>Midwest</v>
      </c>
      <c r="K1739" s="35">
        <v>2.0</v>
      </c>
      <c r="L1739" s="35" t="s">
        <v>396</v>
      </c>
      <c r="M1739" s="36">
        <f>VLOOKUP(D1739, County_Data_CZones!$B$2:$F$3236, 2, FALSE)</f>
        <v>5</v>
      </c>
      <c r="N1739" s="37" t="str">
        <f>VLOOKUP(D1739, County_Data_CZones!$B$2:$F$3236, 5, FALSE)</f>
        <v>Cold</v>
      </c>
    </row>
    <row r="1740" ht="15.75" customHeight="1">
      <c r="A1740" s="32" t="s">
        <v>1237</v>
      </c>
      <c r="B1740" s="32" t="s">
        <v>1198</v>
      </c>
      <c r="C1740" s="32" t="str">
        <f>vlookup(B1740,State_EMM_RowSums!$A$2:$B$52,2,FALSE)</f>
        <v>NE</v>
      </c>
      <c r="D1740" s="32">
        <v>31169.0</v>
      </c>
      <c r="E1740" s="33">
        <f>IF(NOT(ISBLANK(vlookup($D1740,Pop_Census_2023!$A$2:$E$3220,4,FALSE))),vlookup($D1740,Pop_Census_2023!$A$2:$E$3220,4,FALSE), vlookup($D1740,Pop_Census_2023!$A$2:$E$3220,5,FALSE))</f>
        <v>4829</v>
      </c>
      <c r="F1740" s="32">
        <v>835906.0</v>
      </c>
      <c r="G1740" s="32">
        <v>40.0</v>
      </c>
      <c r="H1740" s="32" t="str">
        <f>VLOOKUP(D1740, Grid_Region_Mapping!$D$2:$F$5286, 3, FALSE)</f>
        <v>SPPN</v>
      </c>
      <c r="I1740" s="32">
        <v>4.0</v>
      </c>
      <c r="J1740" s="34" t="str">
        <f t="shared" si="1"/>
        <v>Midwest</v>
      </c>
      <c r="K1740" s="35">
        <v>2.0</v>
      </c>
      <c r="L1740" s="35" t="s">
        <v>396</v>
      </c>
      <c r="M1740" s="36">
        <f>VLOOKUP(D1740, County_Data_CZones!$B$2:$F$3236, 2, FALSE)</f>
        <v>5</v>
      </c>
      <c r="N1740" s="37" t="str">
        <f>VLOOKUP(D1740, County_Data_CZones!$B$2:$F$3236, 5, FALSE)</f>
        <v>Cold</v>
      </c>
    </row>
    <row r="1741" ht="15.75" customHeight="1">
      <c r="A1741" s="32" t="s">
        <v>551</v>
      </c>
      <c r="B1741" s="32" t="s">
        <v>1198</v>
      </c>
      <c r="C1741" s="32" t="str">
        <f>vlookup(B1741,State_EMM_RowSums!$A$2:$B$52,2,FALSE)</f>
        <v>NE</v>
      </c>
      <c r="D1741" s="32">
        <v>31171.0</v>
      </c>
      <c r="E1741" s="33">
        <f>IF(NOT(ISBLANK(vlookup($D1741,Pop_Census_2023!$A$2:$E$3220,4,FALSE))),vlookup($D1741,Pop_Census_2023!$A$2:$E$3220,4,FALSE), vlookup($D1741,Pop_Census_2023!$A$2:$E$3220,5,FALSE))</f>
        <v>677</v>
      </c>
      <c r="F1741" s="32">
        <v>835907.0</v>
      </c>
      <c r="G1741" s="32">
        <v>40.0</v>
      </c>
      <c r="H1741" s="32" t="str">
        <f>VLOOKUP(D1741, Grid_Region_Mapping!$D$2:$F$5286, 3, FALSE)</f>
        <v>SPPN</v>
      </c>
      <c r="I1741" s="32">
        <v>4.0</v>
      </c>
      <c r="J1741" s="34" t="str">
        <f t="shared" si="1"/>
        <v>Midwest</v>
      </c>
      <c r="K1741" s="35">
        <v>2.0</v>
      </c>
      <c r="L1741" s="35" t="s">
        <v>396</v>
      </c>
      <c r="M1741" s="36">
        <f>VLOOKUP(D1741, County_Data_CZones!$B$2:$F$3236, 2, FALSE)</f>
        <v>5</v>
      </c>
      <c r="N1741" s="37" t="str">
        <f>VLOOKUP(D1741, County_Data_CZones!$B$2:$F$3236, 5, FALSE)</f>
        <v>Cold</v>
      </c>
    </row>
    <row r="1742" ht="15.75" customHeight="1">
      <c r="A1742" s="32" t="s">
        <v>1238</v>
      </c>
      <c r="B1742" s="32" t="s">
        <v>1198</v>
      </c>
      <c r="C1742" s="32" t="str">
        <f>vlookup(B1742,State_EMM_RowSums!$A$2:$B$52,2,FALSE)</f>
        <v>NE</v>
      </c>
      <c r="D1742" s="32">
        <v>31173.0</v>
      </c>
      <c r="E1742" s="33">
        <f>IF(NOT(ISBLANK(vlookup($D1742,Pop_Census_2023!$A$2:$E$3220,4,FALSE))),vlookup($D1742,Pop_Census_2023!$A$2:$E$3220,4,FALSE), vlookup($D1742,Pop_Census_2023!$A$2:$E$3220,5,FALSE))</f>
        <v>6557</v>
      </c>
      <c r="F1742" s="32">
        <v>835908.0</v>
      </c>
      <c r="G1742" s="32">
        <v>40.0</v>
      </c>
      <c r="H1742" s="32" t="str">
        <f>VLOOKUP(D1742, Grid_Region_Mapping!$D$2:$F$5286, 3, FALSE)</f>
        <v>SPPN</v>
      </c>
      <c r="I1742" s="32">
        <v>4.0</v>
      </c>
      <c r="J1742" s="34" t="str">
        <f t="shared" si="1"/>
        <v>Midwest</v>
      </c>
      <c r="K1742" s="35">
        <v>2.0</v>
      </c>
      <c r="L1742" s="35" t="s">
        <v>396</v>
      </c>
      <c r="M1742" s="36">
        <f>VLOOKUP(D1742, County_Data_CZones!$B$2:$F$3236, 2, FALSE)</f>
        <v>5</v>
      </c>
      <c r="N1742" s="37" t="str">
        <f>VLOOKUP(D1742, County_Data_CZones!$B$2:$F$3236, 5, FALSE)</f>
        <v>Cold</v>
      </c>
    </row>
    <row r="1743" ht="15.75" customHeight="1">
      <c r="A1743" s="32" t="s">
        <v>607</v>
      </c>
      <c r="B1743" s="32" t="s">
        <v>1198</v>
      </c>
      <c r="C1743" s="32" t="str">
        <f>vlookup(B1743,State_EMM_RowSums!$A$2:$B$52,2,FALSE)</f>
        <v>NE</v>
      </c>
      <c r="D1743" s="32">
        <v>31175.0</v>
      </c>
      <c r="E1743" s="33">
        <f>IF(NOT(ISBLANK(vlookup($D1743,Pop_Census_2023!$A$2:$E$3220,4,FALSE))),vlookup($D1743,Pop_Census_2023!$A$2:$E$3220,4,FALSE), vlookup($D1743,Pop_Census_2023!$A$2:$E$3220,5,FALSE))</f>
        <v>4012</v>
      </c>
      <c r="F1743" s="32">
        <v>835909.0</v>
      </c>
      <c r="G1743" s="32">
        <v>40.0</v>
      </c>
      <c r="H1743" s="32" t="str">
        <f>VLOOKUP(D1743, Grid_Region_Mapping!$D$2:$F$5286, 3, FALSE)</f>
        <v>SPPN</v>
      </c>
      <c r="I1743" s="32">
        <v>4.0</v>
      </c>
      <c r="J1743" s="34" t="str">
        <f t="shared" si="1"/>
        <v>Midwest</v>
      </c>
      <c r="K1743" s="35">
        <v>2.0</v>
      </c>
      <c r="L1743" s="35" t="s">
        <v>396</v>
      </c>
      <c r="M1743" s="36">
        <f>VLOOKUP(D1743, County_Data_CZones!$B$2:$F$3236, 2, FALSE)</f>
        <v>5</v>
      </c>
      <c r="N1743" s="37" t="str">
        <f>VLOOKUP(D1743, County_Data_CZones!$B$2:$F$3236, 5, FALSE)</f>
        <v>Cold</v>
      </c>
    </row>
    <row r="1744" ht="15.75" customHeight="1">
      <c r="A1744" s="32" t="s">
        <v>167</v>
      </c>
      <c r="B1744" s="32" t="s">
        <v>1198</v>
      </c>
      <c r="C1744" s="32" t="str">
        <f>vlookup(B1744,State_EMM_RowSums!$A$2:$B$52,2,FALSE)</f>
        <v>NE</v>
      </c>
      <c r="D1744" s="32">
        <v>31177.0</v>
      </c>
      <c r="E1744" s="33">
        <f>IF(NOT(ISBLANK(vlookup($D1744,Pop_Census_2023!$A$2:$E$3220,4,FALSE))),vlookup($D1744,Pop_Census_2023!$A$2:$E$3220,4,FALSE), vlookup($D1744,Pop_Census_2023!$A$2:$E$3220,5,FALSE))</f>
        <v>21152</v>
      </c>
      <c r="F1744" s="32">
        <v>835910.0</v>
      </c>
      <c r="G1744" s="32">
        <v>41.0</v>
      </c>
      <c r="H1744" s="32" t="str">
        <f>VLOOKUP(D1744, Grid_Region_Mapping!$D$2:$F$5286, 3, FALSE)</f>
        <v>SPPN</v>
      </c>
      <c r="I1744" s="32">
        <v>4.0</v>
      </c>
      <c r="J1744" s="34" t="str">
        <f t="shared" si="1"/>
        <v>Midwest</v>
      </c>
      <c r="K1744" s="35">
        <v>2.0</v>
      </c>
      <c r="L1744" s="35" t="s">
        <v>396</v>
      </c>
      <c r="M1744" s="36">
        <f>VLOOKUP(D1744, County_Data_CZones!$B$2:$F$3236, 2, FALSE)</f>
        <v>5</v>
      </c>
      <c r="N1744" s="37" t="str">
        <f>VLOOKUP(D1744, County_Data_CZones!$B$2:$F$3236, 5, FALSE)</f>
        <v>Cold</v>
      </c>
    </row>
    <row r="1745" ht="15.75" customHeight="1">
      <c r="A1745" s="32" t="s">
        <v>562</v>
      </c>
      <c r="B1745" s="32" t="s">
        <v>1198</v>
      </c>
      <c r="C1745" s="32" t="str">
        <f>vlookup(B1745,State_EMM_RowSums!$A$2:$B$52,2,FALSE)</f>
        <v>NE</v>
      </c>
      <c r="D1745" s="32">
        <v>31179.0</v>
      </c>
      <c r="E1745" s="33">
        <f>IF(NOT(ISBLANK(vlookup($D1745,Pop_Census_2023!$A$2:$E$3220,4,FALSE))),vlookup($D1745,Pop_Census_2023!$A$2:$E$3220,4,FALSE), vlookup($D1745,Pop_Census_2023!$A$2:$E$3220,5,FALSE))</f>
        <v>9874</v>
      </c>
      <c r="F1745" s="32">
        <v>835911.0</v>
      </c>
      <c r="G1745" s="32">
        <v>40.0</v>
      </c>
      <c r="H1745" s="32" t="str">
        <f>VLOOKUP(D1745, Grid_Region_Mapping!$D$2:$F$5286, 3, FALSE)</f>
        <v>SPPN</v>
      </c>
      <c r="I1745" s="32">
        <v>4.0</v>
      </c>
      <c r="J1745" s="34" t="str">
        <f t="shared" si="1"/>
        <v>Midwest</v>
      </c>
      <c r="K1745" s="35">
        <v>2.0</v>
      </c>
      <c r="L1745" s="35" t="s">
        <v>396</v>
      </c>
      <c r="M1745" s="36">
        <f>VLOOKUP(D1745, County_Data_CZones!$B$2:$F$3236, 2, FALSE)</f>
        <v>5</v>
      </c>
      <c r="N1745" s="37" t="str">
        <f>VLOOKUP(D1745, County_Data_CZones!$B$2:$F$3236, 5, FALSE)</f>
        <v>Cold</v>
      </c>
    </row>
    <row r="1746" ht="15.75" customHeight="1">
      <c r="A1746" s="32" t="s">
        <v>563</v>
      </c>
      <c r="B1746" s="32" t="s">
        <v>1198</v>
      </c>
      <c r="C1746" s="32" t="str">
        <f>vlookup(B1746,State_EMM_RowSums!$A$2:$B$52,2,FALSE)</f>
        <v>NE</v>
      </c>
      <c r="D1746" s="32">
        <v>31181.0</v>
      </c>
      <c r="E1746" s="33">
        <f>IF(NOT(ISBLANK(vlookup($D1746,Pop_Census_2023!$A$2:$E$3220,4,FALSE))),vlookup($D1746,Pop_Census_2023!$A$2:$E$3220,4,FALSE), vlookup($D1746,Pop_Census_2023!$A$2:$E$3220,5,FALSE))</f>
        <v>3351</v>
      </c>
      <c r="F1746" s="32">
        <v>835912.0</v>
      </c>
      <c r="G1746" s="32">
        <v>40.0</v>
      </c>
      <c r="H1746" s="32" t="str">
        <f>VLOOKUP(D1746, Grid_Region_Mapping!$D$2:$F$5286, 3, FALSE)</f>
        <v>SPPN</v>
      </c>
      <c r="I1746" s="32">
        <v>4.0</v>
      </c>
      <c r="J1746" s="34" t="str">
        <f t="shared" si="1"/>
        <v>Midwest</v>
      </c>
      <c r="K1746" s="35">
        <v>2.0</v>
      </c>
      <c r="L1746" s="35" t="s">
        <v>396</v>
      </c>
      <c r="M1746" s="36">
        <f>VLOOKUP(D1746, County_Data_CZones!$B$2:$F$3236, 2, FALSE)</f>
        <v>5</v>
      </c>
      <c r="N1746" s="37" t="str">
        <f>VLOOKUP(D1746, County_Data_CZones!$B$2:$F$3236, 5, FALSE)</f>
        <v>Cold</v>
      </c>
    </row>
    <row r="1747" ht="15.75" customHeight="1">
      <c r="A1747" s="32" t="s">
        <v>564</v>
      </c>
      <c r="B1747" s="32" t="s">
        <v>1198</v>
      </c>
      <c r="C1747" s="32" t="str">
        <f>vlookup(B1747,State_EMM_RowSums!$A$2:$B$52,2,FALSE)</f>
        <v>NE</v>
      </c>
      <c r="D1747" s="32">
        <v>31183.0</v>
      </c>
      <c r="E1747" s="33">
        <f>IF(NOT(ISBLANK(vlookup($D1747,Pop_Census_2023!$A$2:$E$3220,4,FALSE))),vlookup($D1747,Pop_Census_2023!$A$2:$E$3220,4,FALSE), vlookup($D1747,Pop_Census_2023!$A$2:$E$3220,5,FALSE))</f>
        <v>775</v>
      </c>
      <c r="F1747" s="32">
        <v>835913.0</v>
      </c>
      <c r="G1747" s="32">
        <v>40.0</v>
      </c>
      <c r="H1747" s="32" t="str">
        <f>VLOOKUP(D1747, Grid_Region_Mapping!$D$2:$F$5286, 3, FALSE)</f>
        <v>SPPN</v>
      </c>
      <c r="I1747" s="32">
        <v>4.0</v>
      </c>
      <c r="J1747" s="34" t="str">
        <f t="shared" si="1"/>
        <v>Midwest</v>
      </c>
      <c r="K1747" s="35">
        <v>2.0</v>
      </c>
      <c r="L1747" s="35" t="s">
        <v>396</v>
      </c>
      <c r="M1747" s="36">
        <f>VLOOKUP(D1747, County_Data_CZones!$B$2:$F$3236, 2, FALSE)</f>
        <v>5</v>
      </c>
      <c r="N1747" s="37" t="str">
        <f>VLOOKUP(D1747, County_Data_CZones!$B$2:$F$3236, 5, FALSE)</f>
        <v>Cold</v>
      </c>
    </row>
    <row r="1748" ht="15.75" customHeight="1">
      <c r="A1748" s="32" t="s">
        <v>932</v>
      </c>
      <c r="B1748" s="32" t="s">
        <v>1198</v>
      </c>
      <c r="C1748" s="32" t="str">
        <f>vlookup(B1748,State_EMM_RowSums!$A$2:$B$52,2,FALSE)</f>
        <v>NE</v>
      </c>
      <c r="D1748" s="32">
        <v>31185.0</v>
      </c>
      <c r="E1748" s="33">
        <f>IF(NOT(ISBLANK(vlookup($D1748,Pop_Census_2023!$A$2:$E$3220,4,FALSE))),vlookup($D1748,Pop_Census_2023!$A$2:$E$3220,4,FALSE), vlookup($D1748,Pop_Census_2023!$A$2:$E$3220,5,FALSE))</f>
        <v>14356</v>
      </c>
      <c r="F1748" s="32">
        <v>835914.0</v>
      </c>
      <c r="G1748" s="32">
        <v>40.0</v>
      </c>
      <c r="H1748" s="32" t="str">
        <f>VLOOKUP(D1748, Grid_Region_Mapping!$D$2:$F$5286, 3, FALSE)</f>
        <v>SPPN</v>
      </c>
      <c r="I1748" s="32">
        <v>4.0</v>
      </c>
      <c r="J1748" s="34" t="str">
        <f t="shared" si="1"/>
        <v>Midwest</v>
      </c>
      <c r="K1748" s="35">
        <v>2.0</v>
      </c>
      <c r="L1748" s="35" t="s">
        <v>396</v>
      </c>
      <c r="M1748" s="36">
        <f>VLOOKUP(D1748, County_Data_CZones!$B$2:$F$3236, 2, FALSE)</f>
        <v>5</v>
      </c>
      <c r="N1748" s="37" t="str">
        <f>VLOOKUP(D1748, County_Data_CZones!$B$2:$F$3236, 5, FALSE)</f>
        <v>Cold</v>
      </c>
    </row>
    <row r="1749" ht="15.75" customHeight="1">
      <c r="A1749" s="32" t="s">
        <v>1239</v>
      </c>
      <c r="B1749" s="32" t="s">
        <v>256</v>
      </c>
      <c r="C1749" s="32" t="str">
        <f>vlookup(B1749,State_EMM_RowSums!$A$2:$B$52,2,FALSE)</f>
        <v>NV</v>
      </c>
      <c r="D1749" s="32">
        <v>32001.0</v>
      </c>
      <c r="E1749" s="33">
        <f>IF(NOT(ISBLANK(vlookup($D1749,Pop_Census_2023!$A$2:$E$3220,4,FALSE))),vlookup($D1749,Pop_Census_2023!$A$2:$E$3220,4,FALSE), vlookup($D1749,Pop_Census_2023!$A$2:$E$3220,5,FALSE))</f>
        <v>25803</v>
      </c>
      <c r="F1749" s="32">
        <v>858638.0</v>
      </c>
      <c r="G1749" s="32">
        <v>12.0</v>
      </c>
      <c r="H1749" s="32" t="str">
        <f>VLOOKUP(D1749, Grid_Region_Mapping!$D$2:$F$5286, 3, FALSE)</f>
        <v>BASN</v>
      </c>
      <c r="I1749" s="32">
        <v>8.0</v>
      </c>
      <c r="J1749" s="34" t="str">
        <f t="shared" si="1"/>
        <v>West</v>
      </c>
      <c r="K1749" s="35">
        <v>2.0</v>
      </c>
      <c r="L1749" s="35" t="s">
        <v>202</v>
      </c>
      <c r="M1749" s="36">
        <f>VLOOKUP(D1749, County_Data_CZones!$B$2:$F$3236, 2, FALSE)</f>
        <v>5</v>
      </c>
      <c r="N1749" s="37" t="str">
        <f>VLOOKUP(D1749, County_Data_CZones!$B$2:$F$3236, 5, FALSE)</f>
        <v>Cold</v>
      </c>
    </row>
    <row r="1750" ht="15.75" customHeight="1">
      <c r="A1750" s="32" t="s">
        <v>229</v>
      </c>
      <c r="B1750" s="32" t="s">
        <v>256</v>
      </c>
      <c r="C1750" s="32" t="str">
        <f>vlookup(B1750,State_EMM_RowSums!$A$2:$B$52,2,FALSE)</f>
        <v>NV</v>
      </c>
      <c r="D1750" s="32">
        <v>32003.0</v>
      </c>
      <c r="E1750" s="33">
        <f>IF(NOT(ISBLANK(vlookup($D1750,Pop_Census_2023!$A$2:$E$3220,4,FALSE))),vlookup($D1750,Pop_Census_2023!$A$2:$E$3220,4,FALSE), vlookup($D1750,Pop_Census_2023!$A$2:$E$3220,5,FALSE))</f>
        <v>2336573</v>
      </c>
      <c r="F1750" s="32">
        <v>863600.0</v>
      </c>
      <c r="G1750" s="32">
        <v>13.0</v>
      </c>
      <c r="H1750" s="32" t="str">
        <f>VLOOKUP(D1750, Grid_Region_Mapping!$D$2:$F$5286, 3, FALSE)</f>
        <v>BASN</v>
      </c>
      <c r="I1750" s="32">
        <v>8.0</v>
      </c>
      <c r="J1750" s="34" t="str">
        <f t="shared" si="1"/>
        <v>West</v>
      </c>
      <c r="K1750" s="35">
        <v>5.0</v>
      </c>
      <c r="L1750" s="35" t="s">
        <v>204</v>
      </c>
      <c r="M1750" s="36">
        <f>VLOOKUP(D1750, County_Data_CZones!$B$2:$F$3236, 2, FALSE)</f>
        <v>3</v>
      </c>
      <c r="N1750" s="37" t="str">
        <f>VLOOKUP(D1750, County_Data_CZones!$B$2:$F$3236, 5, FALSE)</f>
        <v>Hot-Dry</v>
      </c>
    </row>
    <row r="1751" ht="15.75" customHeight="1">
      <c r="A1751" s="32" t="s">
        <v>357</v>
      </c>
      <c r="B1751" s="32" t="s">
        <v>256</v>
      </c>
      <c r="C1751" s="32" t="str">
        <f>vlookup(B1751,State_EMM_RowSums!$A$2:$B$52,2,FALSE)</f>
        <v>NV</v>
      </c>
      <c r="D1751" s="32">
        <v>32005.0</v>
      </c>
      <c r="E1751" s="33">
        <f>IF(NOT(ISBLANK(vlookup($D1751,Pop_Census_2023!$A$2:$E$3220,4,FALSE))),vlookup($D1751,Pop_Census_2023!$A$2:$E$3220,4,FALSE), vlookup($D1751,Pop_Census_2023!$A$2:$E$3220,5,FALSE))</f>
        <v>49545</v>
      </c>
      <c r="F1751" s="32">
        <v>858643.0</v>
      </c>
      <c r="G1751" s="32">
        <v>12.0</v>
      </c>
      <c r="H1751" s="32" t="str">
        <f>VLOOKUP(D1751, Grid_Region_Mapping!$D$2:$F$5286, 3, FALSE)</f>
        <v>BASN</v>
      </c>
      <c r="I1751" s="32">
        <v>8.0</v>
      </c>
      <c r="J1751" s="34" t="str">
        <f t="shared" si="1"/>
        <v>West</v>
      </c>
      <c r="K1751" s="35">
        <v>2.0</v>
      </c>
      <c r="L1751" s="35" t="s">
        <v>202</v>
      </c>
      <c r="M1751" s="36">
        <f>VLOOKUP(D1751, County_Data_CZones!$B$2:$F$3236, 2, FALSE)</f>
        <v>5</v>
      </c>
      <c r="N1751" s="37" t="str">
        <f>VLOOKUP(D1751, County_Data_CZones!$B$2:$F$3236, 5, FALSE)</f>
        <v>Cold</v>
      </c>
    </row>
    <row r="1752" ht="15.75" customHeight="1">
      <c r="A1752" s="32" t="s">
        <v>1240</v>
      </c>
      <c r="B1752" s="32" t="s">
        <v>256</v>
      </c>
      <c r="C1752" s="32" t="str">
        <f>vlookup(B1752,State_EMM_RowSums!$A$2:$B$52,2,FALSE)</f>
        <v>NV</v>
      </c>
      <c r="D1752" s="32">
        <v>32007.0</v>
      </c>
      <c r="E1752" s="33">
        <f>IF(NOT(ISBLANK(vlookup($D1752,Pop_Census_2023!$A$2:$E$3220,4,FALSE))),vlookup($D1752,Pop_Census_2023!$A$2:$E$3220,4,FALSE), vlookup($D1752,Pop_Census_2023!$A$2:$E$3220,5,FALSE))</f>
        <v>54293</v>
      </c>
      <c r="F1752" s="32">
        <v>857664.0</v>
      </c>
      <c r="G1752" s="32">
        <v>12.0</v>
      </c>
      <c r="H1752" s="32" t="str">
        <f>VLOOKUP(D1752, Grid_Region_Mapping!$D$2:$F$5286, 3, FALSE)</f>
        <v>BASN</v>
      </c>
      <c r="I1752" s="32">
        <v>8.0</v>
      </c>
      <c r="J1752" s="34" t="str">
        <f t="shared" si="1"/>
        <v>West</v>
      </c>
      <c r="K1752" s="35">
        <v>1.0</v>
      </c>
      <c r="L1752" s="35" t="s">
        <v>202</v>
      </c>
      <c r="M1752" s="36">
        <f>VLOOKUP(D1752, County_Data_CZones!$B$2:$F$3236, 2, FALSE)</f>
        <v>5</v>
      </c>
      <c r="N1752" s="37" t="str">
        <f>VLOOKUP(D1752, County_Data_CZones!$B$2:$F$3236, 5, FALSE)</f>
        <v>Cold</v>
      </c>
    </row>
    <row r="1753" ht="15.75" customHeight="1">
      <c r="A1753" s="32" t="s">
        <v>1241</v>
      </c>
      <c r="B1753" s="32" t="s">
        <v>256</v>
      </c>
      <c r="C1753" s="32" t="str">
        <f>vlookup(B1753,State_EMM_RowSums!$A$2:$B$52,2,FALSE)</f>
        <v>NV</v>
      </c>
      <c r="D1753" s="32">
        <v>32009.0</v>
      </c>
      <c r="E1753" s="33">
        <f>IF(NOT(ISBLANK(vlookup($D1753,Pop_Census_2023!$A$2:$E$3220,4,FALSE))),vlookup($D1753,Pop_Census_2023!$A$2:$E$3220,4,FALSE), vlookup($D1753,Pop_Census_2023!$A$2:$E$3220,5,FALSE))</f>
        <v>736</v>
      </c>
      <c r="F1753" s="32">
        <v>858641.0</v>
      </c>
      <c r="G1753" s="32">
        <v>12.0</v>
      </c>
      <c r="H1753" s="32" t="str">
        <f>VLOOKUP(D1753, Grid_Region_Mapping!$D$2:$F$5286, 3, FALSE)</f>
        <v>BASN</v>
      </c>
      <c r="I1753" s="32">
        <v>8.0</v>
      </c>
      <c r="J1753" s="34" t="str">
        <f t="shared" si="1"/>
        <v>West</v>
      </c>
      <c r="K1753" s="35">
        <v>2.0</v>
      </c>
      <c r="L1753" s="35" t="s">
        <v>202</v>
      </c>
      <c r="M1753" s="36">
        <f>VLOOKUP(D1753, County_Data_CZones!$B$2:$F$3236, 2, FALSE)</f>
        <v>5</v>
      </c>
      <c r="N1753" s="37" t="str">
        <f>VLOOKUP(D1753, County_Data_CZones!$B$2:$F$3236, 5, FALSE)</f>
        <v>Cold</v>
      </c>
    </row>
    <row r="1754" ht="15.75" customHeight="1">
      <c r="A1754" s="32" t="s">
        <v>1242</v>
      </c>
      <c r="B1754" s="32" t="s">
        <v>256</v>
      </c>
      <c r="C1754" s="32" t="str">
        <f>vlookup(B1754,State_EMM_RowSums!$A$2:$B$52,2,FALSE)</f>
        <v>NV</v>
      </c>
      <c r="D1754" s="32">
        <v>32011.0</v>
      </c>
      <c r="E1754" s="33">
        <f>IF(NOT(ISBLANK(vlookup($D1754,Pop_Census_2023!$A$2:$E$3220,4,FALSE))),vlookup($D1754,Pop_Census_2023!$A$2:$E$3220,4,FALSE), vlookup($D1754,Pop_Census_2023!$A$2:$E$3220,5,FALSE))</f>
        <v>1917</v>
      </c>
      <c r="F1754" s="32">
        <v>858640.0</v>
      </c>
      <c r="G1754" s="32">
        <v>12.0</v>
      </c>
      <c r="H1754" s="32" t="str">
        <f>VLOOKUP(D1754, Grid_Region_Mapping!$D$2:$F$5286, 3, FALSE)</f>
        <v>BASN</v>
      </c>
      <c r="I1754" s="32">
        <v>8.0</v>
      </c>
      <c r="J1754" s="34" t="str">
        <f t="shared" si="1"/>
        <v>West</v>
      </c>
      <c r="K1754" s="35">
        <v>1.0</v>
      </c>
      <c r="L1754" s="35" t="s">
        <v>202</v>
      </c>
      <c r="M1754" s="36">
        <f>VLOOKUP(D1754, County_Data_CZones!$B$2:$F$3236, 2, FALSE)</f>
        <v>5</v>
      </c>
      <c r="N1754" s="37" t="str">
        <f>VLOOKUP(D1754, County_Data_CZones!$B$2:$F$3236, 5, FALSE)</f>
        <v>Cold</v>
      </c>
    </row>
    <row r="1755" ht="15.75" customHeight="1">
      <c r="A1755" s="32" t="s">
        <v>293</v>
      </c>
      <c r="B1755" s="32" t="s">
        <v>256</v>
      </c>
      <c r="C1755" s="32" t="str">
        <f>vlookup(B1755,State_EMM_RowSums!$A$2:$B$52,2,FALSE)</f>
        <v>NV</v>
      </c>
      <c r="D1755" s="32">
        <v>32013.0</v>
      </c>
      <c r="E1755" s="33">
        <f>IF(NOT(ISBLANK(vlookup($D1755,Pop_Census_2023!$A$2:$E$3220,4,FALSE))),vlookup($D1755,Pop_Census_2023!$A$2:$E$3220,4,FALSE), vlookup($D1755,Pop_Census_2023!$A$2:$E$3220,5,FALSE))</f>
        <v>17136</v>
      </c>
      <c r="F1755" s="32">
        <v>863310.0</v>
      </c>
      <c r="G1755" s="32">
        <v>12.0</v>
      </c>
      <c r="H1755" s="32" t="str">
        <f>VLOOKUP(D1755, Grid_Region_Mapping!$D$2:$F$5286, 3, FALSE)</f>
        <v>BASN</v>
      </c>
      <c r="I1755" s="32">
        <v>8.0</v>
      </c>
      <c r="J1755" s="34" t="str">
        <f t="shared" si="1"/>
        <v>West</v>
      </c>
      <c r="K1755" s="35">
        <v>2.0</v>
      </c>
      <c r="L1755" s="35" t="s">
        <v>202</v>
      </c>
      <c r="M1755" s="36">
        <f>VLOOKUP(D1755, County_Data_CZones!$B$2:$F$3236, 2, FALSE)</f>
        <v>5</v>
      </c>
      <c r="N1755" s="37" t="str">
        <f>VLOOKUP(D1755, County_Data_CZones!$B$2:$F$3236, 5, FALSE)</f>
        <v>Cold</v>
      </c>
    </row>
    <row r="1756" ht="15.75" customHeight="1">
      <c r="A1756" s="32" t="s">
        <v>1243</v>
      </c>
      <c r="B1756" s="32" t="s">
        <v>256</v>
      </c>
      <c r="C1756" s="32" t="str">
        <f>vlookup(B1756,State_EMM_RowSums!$A$2:$B$52,2,FALSE)</f>
        <v>NV</v>
      </c>
      <c r="D1756" s="32">
        <v>32015.0</v>
      </c>
      <c r="E1756" s="33">
        <f>IF(NOT(ISBLANK(vlookup($D1756,Pop_Census_2023!$A$2:$E$3220,4,FALSE))),vlookup($D1756,Pop_Census_2023!$A$2:$E$3220,4,FALSE), vlookup($D1756,Pop_Census_2023!$A$2:$E$3220,5,FALSE))</f>
        <v>5769</v>
      </c>
      <c r="F1756" s="32">
        <v>863368.0</v>
      </c>
      <c r="G1756" s="32">
        <v>12.0</v>
      </c>
      <c r="H1756" s="32" t="str">
        <f>VLOOKUP(D1756, Grid_Region_Mapping!$D$2:$F$5286, 3, FALSE)</f>
        <v>BASN</v>
      </c>
      <c r="I1756" s="32">
        <v>8.0</v>
      </c>
      <c r="J1756" s="34" t="str">
        <f t="shared" si="1"/>
        <v>West</v>
      </c>
      <c r="K1756" s="35">
        <v>2.0</v>
      </c>
      <c r="L1756" s="35" t="s">
        <v>202</v>
      </c>
      <c r="M1756" s="36">
        <f>VLOOKUP(D1756, County_Data_CZones!$B$2:$F$3236, 2, FALSE)</f>
        <v>5</v>
      </c>
      <c r="N1756" s="37" t="str">
        <f>VLOOKUP(D1756, County_Data_CZones!$B$2:$F$3236, 5, FALSE)</f>
        <v>Cold</v>
      </c>
    </row>
    <row r="1757" ht="15.75" customHeight="1">
      <c r="A1757" s="32" t="s">
        <v>250</v>
      </c>
      <c r="B1757" s="32" t="s">
        <v>256</v>
      </c>
      <c r="C1757" s="32" t="str">
        <f>vlookup(B1757,State_EMM_RowSums!$A$2:$B$52,2,FALSE)</f>
        <v>NV</v>
      </c>
      <c r="D1757" s="32">
        <v>32017.0</v>
      </c>
      <c r="E1757" s="33">
        <f>IF(NOT(ISBLANK(vlookup($D1757,Pop_Census_2023!$A$2:$E$3220,4,FALSE))),vlookup($D1757,Pop_Census_2023!$A$2:$E$3220,4,FALSE), vlookup($D1757,Pop_Census_2023!$A$2:$E$3220,5,FALSE))</f>
        <v>4452</v>
      </c>
      <c r="F1757" s="32">
        <v>863992.0</v>
      </c>
      <c r="G1757" s="32">
        <v>12.0</v>
      </c>
      <c r="H1757" s="32" t="str">
        <f>VLOOKUP(D1757, Grid_Region_Mapping!$D$2:$F$5286, 3, FALSE)</f>
        <v>BASN</v>
      </c>
      <c r="I1757" s="32">
        <v>8.0</v>
      </c>
      <c r="J1757" s="34" t="str">
        <f t="shared" si="1"/>
        <v>West</v>
      </c>
      <c r="K1757" s="35">
        <v>2.0</v>
      </c>
      <c r="L1757" s="35" t="s">
        <v>202</v>
      </c>
      <c r="M1757" s="36">
        <f>VLOOKUP(D1757, County_Data_CZones!$B$2:$F$3236, 2, FALSE)</f>
        <v>5</v>
      </c>
      <c r="N1757" s="37" t="str">
        <f>VLOOKUP(D1757, County_Data_CZones!$B$2:$F$3236, 5, FALSE)</f>
        <v>Cold</v>
      </c>
    </row>
    <row r="1758" ht="15.75" customHeight="1">
      <c r="A1758" s="32" t="s">
        <v>729</v>
      </c>
      <c r="B1758" s="32" t="s">
        <v>256</v>
      </c>
      <c r="C1758" s="32" t="str">
        <f>vlookup(B1758,State_EMM_RowSums!$A$2:$B$52,2,FALSE)</f>
        <v>NV</v>
      </c>
      <c r="D1758" s="32">
        <v>32019.0</v>
      </c>
      <c r="E1758" s="33">
        <f>IF(NOT(ISBLANK(vlookup($D1758,Pop_Census_2023!$A$2:$E$3220,4,FALSE))),vlookup($D1758,Pop_Census_2023!$A$2:$E$3220,4,FALSE), vlookup($D1758,Pop_Census_2023!$A$2:$E$3220,5,FALSE))</f>
        <v>62583</v>
      </c>
      <c r="F1758" s="32">
        <v>858645.0</v>
      </c>
      <c r="G1758" s="32">
        <v>12.0</v>
      </c>
      <c r="H1758" s="32" t="str">
        <f>VLOOKUP(D1758, Grid_Region_Mapping!$D$2:$F$5286, 3, FALSE)</f>
        <v>BASN</v>
      </c>
      <c r="I1758" s="32">
        <v>8.0</v>
      </c>
      <c r="J1758" s="34" t="str">
        <f t="shared" si="1"/>
        <v>West</v>
      </c>
      <c r="K1758" s="35">
        <v>2.0</v>
      </c>
      <c r="L1758" s="35" t="s">
        <v>202</v>
      </c>
      <c r="M1758" s="36">
        <f>VLOOKUP(D1758, County_Data_CZones!$B$2:$F$3236, 2, FALSE)</f>
        <v>5</v>
      </c>
      <c r="N1758" s="37" t="str">
        <f>VLOOKUP(D1758, County_Data_CZones!$B$2:$F$3236, 5, FALSE)</f>
        <v>Cold</v>
      </c>
    </row>
    <row r="1759" ht="15.75" customHeight="1">
      <c r="A1759" s="32" t="s">
        <v>374</v>
      </c>
      <c r="B1759" s="32" t="s">
        <v>256</v>
      </c>
      <c r="C1759" s="32" t="str">
        <f>vlookup(B1759,State_EMM_RowSums!$A$2:$B$52,2,FALSE)</f>
        <v>NV</v>
      </c>
      <c r="D1759" s="32">
        <v>32021.0</v>
      </c>
      <c r="E1759" s="33">
        <f>IF(NOT(ISBLANK(vlookup($D1759,Pop_Census_2023!$A$2:$E$3220,4,FALSE))),vlookup($D1759,Pop_Census_2023!$A$2:$E$3220,4,FALSE), vlookup($D1759,Pop_Census_2023!$A$2:$E$3220,5,FALSE))</f>
        <v>4528</v>
      </c>
      <c r="F1759" s="32">
        <v>858644.0</v>
      </c>
      <c r="G1759" s="32">
        <v>12.0</v>
      </c>
      <c r="H1759" s="32" t="str">
        <f>VLOOKUP(D1759, Grid_Region_Mapping!$D$2:$F$5286, 3, FALSE)</f>
        <v>BASN</v>
      </c>
      <c r="I1759" s="32">
        <v>8.0</v>
      </c>
      <c r="J1759" s="34" t="str">
        <f t="shared" si="1"/>
        <v>West</v>
      </c>
      <c r="K1759" s="35">
        <v>2.0</v>
      </c>
      <c r="L1759" s="35" t="s">
        <v>202</v>
      </c>
      <c r="M1759" s="36">
        <f>VLOOKUP(D1759, County_Data_CZones!$B$2:$F$3236, 2, FALSE)</f>
        <v>5</v>
      </c>
      <c r="N1759" s="37" t="str">
        <f>VLOOKUP(D1759, County_Data_CZones!$B$2:$F$3236, 5, FALSE)</f>
        <v>Cold</v>
      </c>
    </row>
    <row r="1760" ht="15.75" customHeight="1">
      <c r="A1760" s="32" t="s">
        <v>1244</v>
      </c>
      <c r="B1760" s="32" t="s">
        <v>256</v>
      </c>
      <c r="C1760" s="32" t="str">
        <f>vlookup(B1760,State_EMM_RowSums!$A$2:$B$52,2,FALSE)</f>
        <v>NV</v>
      </c>
      <c r="D1760" s="32">
        <v>32023.0</v>
      </c>
      <c r="E1760" s="33">
        <f>IF(NOT(ISBLANK(vlookup($D1760,Pop_Census_2023!$A$2:$E$3220,4,FALSE))),vlookup($D1760,Pop_Census_2023!$A$2:$E$3220,4,FALSE), vlookup($D1760,Pop_Census_2023!$A$2:$E$3220,5,FALSE))</f>
        <v>55720</v>
      </c>
      <c r="F1760" s="32">
        <v>863599.0</v>
      </c>
      <c r="G1760" s="32">
        <v>12.0</v>
      </c>
      <c r="H1760" s="32" t="str">
        <f>VLOOKUP(D1760, Grid_Region_Mapping!$D$2:$F$5286, 3, FALSE)</f>
        <v>BASN</v>
      </c>
      <c r="I1760" s="32">
        <v>8.0</v>
      </c>
      <c r="J1760" s="34" t="str">
        <f t="shared" si="1"/>
        <v>West</v>
      </c>
      <c r="K1760" s="35">
        <v>5.0</v>
      </c>
      <c r="L1760" s="35" t="s">
        <v>202</v>
      </c>
      <c r="M1760" s="36">
        <f>VLOOKUP(D1760, County_Data_CZones!$B$2:$F$3236, 2, FALSE)</f>
        <v>5</v>
      </c>
      <c r="N1760" s="37" t="str">
        <f>VLOOKUP(D1760, County_Data_CZones!$B$2:$F$3236, 5, FALSE)</f>
        <v>Cold</v>
      </c>
    </row>
    <row r="1761" ht="15.75" customHeight="1">
      <c r="A1761" s="32" t="s">
        <v>1245</v>
      </c>
      <c r="B1761" s="32" t="s">
        <v>256</v>
      </c>
      <c r="C1761" s="32" t="str">
        <f>vlookup(B1761,State_EMM_RowSums!$A$2:$B$52,2,FALSE)</f>
        <v>NV</v>
      </c>
      <c r="D1761" s="32">
        <v>32027.0</v>
      </c>
      <c r="E1761" s="33">
        <f>IF(NOT(ISBLANK(vlookup($D1761,Pop_Census_2023!$A$2:$E$3220,4,FALSE))),vlookup($D1761,Pop_Census_2023!$A$2:$E$3220,4,FALSE), vlookup($D1761,Pop_Census_2023!$A$2:$E$3220,5,FALSE))</f>
        <v>6364</v>
      </c>
      <c r="F1761" s="32">
        <v>858646.0</v>
      </c>
      <c r="G1761" s="32">
        <v>12.0</v>
      </c>
      <c r="H1761" s="32" t="str">
        <f>VLOOKUP(D1761, Grid_Region_Mapping!$D$2:$F$5286, 3, FALSE)</f>
        <v>BASN</v>
      </c>
      <c r="I1761" s="32">
        <v>8.0</v>
      </c>
      <c r="J1761" s="34" t="str">
        <f t="shared" si="1"/>
        <v>West</v>
      </c>
      <c r="K1761" s="35">
        <v>2.0</v>
      </c>
      <c r="L1761" s="35" t="s">
        <v>202</v>
      </c>
      <c r="M1761" s="36">
        <f>VLOOKUP(D1761, County_Data_CZones!$B$2:$F$3236, 2, FALSE)</f>
        <v>5</v>
      </c>
      <c r="N1761" s="37" t="str">
        <f>VLOOKUP(D1761, County_Data_CZones!$B$2:$F$3236, 5, FALSE)</f>
        <v>Cold</v>
      </c>
    </row>
    <row r="1762" ht="15.75" customHeight="1">
      <c r="A1762" s="32" t="s">
        <v>1246</v>
      </c>
      <c r="B1762" s="32" t="s">
        <v>256</v>
      </c>
      <c r="C1762" s="32" t="str">
        <f>vlookup(B1762,State_EMM_RowSums!$A$2:$B$52,2,FALSE)</f>
        <v>NV</v>
      </c>
      <c r="D1762" s="32">
        <v>32029.0</v>
      </c>
      <c r="E1762" s="33">
        <f>IF(NOT(ISBLANK(vlookup($D1762,Pop_Census_2023!$A$2:$E$3220,4,FALSE))),vlookup($D1762,Pop_Census_2023!$A$2:$E$3220,4,FALSE), vlookup($D1762,Pop_Census_2023!$A$2:$E$3220,5,FALSE))</f>
        <v>4177</v>
      </c>
      <c r="F1762" s="32">
        <v>858642.0</v>
      </c>
      <c r="G1762" s="32">
        <v>12.0</v>
      </c>
      <c r="H1762" s="32" t="str">
        <f>VLOOKUP(D1762, Grid_Region_Mapping!$D$2:$F$5286, 3, FALSE)</f>
        <v>BASN</v>
      </c>
      <c r="I1762" s="32">
        <v>8.0</v>
      </c>
      <c r="J1762" s="34" t="str">
        <f t="shared" si="1"/>
        <v>West</v>
      </c>
      <c r="K1762" s="35">
        <v>2.0</v>
      </c>
      <c r="L1762" s="35" t="s">
        <v>202</v>
      </c>
      <c r="M1762" s="36">
        <f>VLOOKUP(D1762, County_Data_CZones!$B$2:$F$3236, 2, FALSE)</f>
        <v>5</v>
      </c>
      <c r="N1762" s="37" t="str">
        <f>VLOOKUP(D1762, County_Data_CZones!$B$2:$F$3236, 5, FALSE)</f>
        <v>Cold</v>
      </c>
    </row>
    <row r="1763" ht="15.75" customHeight="1">
      <c r="A1763" s="32" t="s">
        <v>1247</v>
      </c>
      <c r="B1763" s="32" t="s">
        <v>256</v>
      </c>
      <c r="C1763" s="32" t="str">
        <f>vlookup(B1763,State_EMM_RowSums!$A$2:$B$52,2,FALSE)</f>
        <v>NV</v>
      </c>
      <c r="D1763" s="32">
        <v>32031.0</v>
      </c>
      <c r="E1763" s="33">
        <f>IF(NOT(ISBLANK(vlookup($D1763,Pop_Census_2023!$A$2:$E$3220,4,FALSE))),vlookup($D1763,Pop_Census_2023!$A$2:$E$3220,4,FALSE), vlookup($D1763,Pop_Census_2023!$A$2:$E$3220,5,FALSE))</f>
        <v>498022</v>
      </c>
      <c r="F1763" s="32">
        <v>858608.0</v>
      </c>
      <c r="G1763" s="32">
        <v>12.0</v>
      </c>
      <c r="H1763" s="32" t="str">
        <f>VLOOKUP(D1763, Grid_Region_Mapping!$D$2:$F$5286, 3, FALSE)</f>
        <v>BASN</v>
      </c>
      <c r="I1763" s="32">
        <v>8.0</v>
      </c>
      <c r="J1763" s="34" t="str">
        <f t="shared" si="1"/>
        <v>West</v>
      </c>
      <c r="K1763" s="35">
        <v>2.0</v>
      </c>
      <c r="L1763" s="35" t="s">
        <v>202</v>
      </c>
      <c r="M1763" s="36">
        <f>VLOOKUP(D1763, County_Data_CZones!$B$2:$F$3236, 2, FALSE)</f>
        <v>5</v>
      </c>
      <c r="N1763" s="37" t="str">
        <f>VLOOKUP(D1763, County_Data_CZones!$B$2:$F$3236, 5, FALSE)</f>
        <v>Cold</v>
      </c>
    </row>
    <row r="1764" ht="15.75" customHeight="1">
      <c r="A1764" s="32" t="s">
        <v>1248</v>
      </c>
      <c r="B1764" s="32" t="s">
        <v>256</v>
      </c>
      <c r="C1764" s="32" t="str">
        <f>vlookup(B1764,State_EMM_RowSums!$A$2:$B$52,2,FALSE)</f>
        <v>NV</v>
      </c>
      <c r="D1764" s="32">
        <v>32033.0</v>
      </c>
      <c r="E1764" s="33">
        <f>IF(NOT(ISBLANK(vlookup($D1764,Pop_Census_2023!$A$2:$E$3220,4,FALSE))),vlookup($D1764,Pop_Census_2023!$A$2:$E$3220,4,FALSE), vlookup($D1764,Pop_Census_2023!$A$2:$E$3220,5,FALSE))</f>
        <v>8522</v>
      </c>
      <c r="F1764" s="32">
        <v>858615.0</v>
      </c>
      <c r="G1764" s="32">
        <v>12.0</v>
      </c>
      <c r="H1764" s="32" t="str">
        <f>VLOOKUP(D1764, Grid_Region_Mapping!$D$2:$F$5286, 3, FALSE)</f>
        <v>BASN</v>
      </c>
      <c r="I1764" s="32">
        <v>8.0</v>
      </c>
      <c r="J1764" s="34" t="str">
        <f t="shared" si="1"/>
        <v>West</v>
      </c>
      <c r="K1764" s="35">
        <v>1.0</v>
      </c>
      <c r="L1764" s="35" t="s">
        <v>202</v>
      </c>
      <c r="M1764" s="36">
        <f>VLOOKUP(D1764, County_Data_CZones!$B$2:$F$3236, 2, FALSE)</f>
        <v>5</v>
      </c>
      <c r="N1764" s="37" t="str">
        <f>VLOOKUP(D1764, County_Data_CZones!$B$2:$F$3236, 5, FALSE)</f>
        <v>Cold</v>
      </c>
    </row>
    <row r="1765" ht="15.75" customHeight="1">
      <c r="A1765" s="32" t="s">
        <v>1249</v>
      </c>
      <c r="B1765" s="32" t="s">
        <v>256</v>
      </c>
      <c r="C1765" s="32" t="str">
        <f>vlookup(B1765,State_EMM_RowSums!$A$2:$B$52,2,FALSE)</f>
        <v>NV</v>
      </c>
      <c r="D1765" s="32">
        <v>32510.0</v>
      </c>
      <c r="E1765" s="33">
        <f>IF(NOT(ISBLANK(vlookup($D1765,Pop_Census_2023!$A$2:$E$3220,4,FALSE))),vlookup($D1765,Pop_Census_2023!$A$2:$E$3220,4,FALSE), vlookup($D1765,Pop_Census_2023!$A$2:$E$3220,5,FALSE))</f>
        <v>58036</v>
      </c>
      <c r="F1765" s="32">
        <v>863219.0</v>
      </c>
      <c r="G1765" s="32">
        <v>12.0</v>
      </c>
      <c r="H1765" s="32" t="str">
        <f>VLOOKUP(D1765, Grid_Region_Mapping!$D$2:$F$5286, 3, FALSE)</f>
        <v>BASN</v>
      </c>
      <c r="I1765" s="32">
        <v>8.0</v>
      </c>
      <c r="J1765" s="34" t="str">
        <f t="shared" si="1"/>
        <v>West</v>
      </c>
      <c r="K1765" s="35">
        <v>2.0</v>
      </c>
      <c r="L1765" s="35" t="s">
        <v>202</v>
      </c>
      <c r="M1765" s="36">
        <f>VLOOKUP(D1765, County_Data_CZones!$B$2:$F$3236, 2, FALSE)</f>
        <v>5</v>
      </c>
      <c r="N1765" s="37" t="str">
        <f>VLOOKUP(D1765, County_Data_CZones!$B$2:$F$3236, 5, FALSE)</f>
        <v>Cold</v>
      </c>
    </row>
    <row r="1766" ht="15.75" customHeight="1">
      <c r="A1766" s="32" t="s">
        <v>1250</v>
      </c>
      <c r="B1766" s="32" t="s">
        <v>1251</v>
      </c>
      <c r="C1766" s="32" t="str">
        <f>vlookup(B1766,State_EMM_RowSums!$A$2:$B$52,2,FALSE)</f>
        <v>NH</v>
      </c>
      <c r="D1766" s="32">
        <v>33001.0</v>
      </c>
      <c r="E1766" s="33">
        <f>IF(NOT(ISBLANK(vlookup($D1766,Pop_Census_2023!$A$2:$E$3220,4,FALSE))),vlookup($D1766,Pop_Census_2023!$A$2:$E$3220,4,FALSE), vlookup($D1766,Pop_Census_2023!$A$2:$E$3220,5,FALSE))</f>
        <v>65027</v>
      </c>
      <c r="F1766" s="32">
        <v>873174.0</v>
      </c>
      <c r="G1766" s="32">
        <v>130.0</v>
      </c>
      <c r="H1766" s="32" t="str">
        <f>VLOOKUP(D1766, Grid_Region_Mapping!$D$2:$F$5286, 3, FALSE)</f>
        <v>ISNE</v>
      </c>
      <c r="I1766" s="32">
        <v>1.0</v>
      </c>
      <c r="J1766" s="34" t="str">
        <f t="shared" si="1"/>
        <v>Northeast</v>
      </c>
      <c r="K1766" s="35">
        <v>1.0</v>
      </c>
      <c r="L1766" s="35" t="s">
        <v>707</v>
      </c>
      <c r="M1766" s="36">
        <f>VLOOKUP(D1766, County_Data_CZones!$B$2:$F$3236, 2, FALSE)</f>
        <v>6</v>
      </c>
      <c r="N1766" s="37" t="str">
        <f>VLOOKUP(D1766, County_Data_CZones!$B$2:$F$3236, 5, FALSE)</f>
        <v>Cold</v>
      </c>
    </row>
    <row r="1767" ht="15.75" customHeight="1">
      <c r="A1767" s="32" t="s">
        <v>227</v>
      </c>
      <c r="B1767" s="32" t="s">
        <v>1251</v>
      </c>
      <c r="C1767" s="32" t="str">
        <f>vlookup(B1767,State_EMM_RowSums!$A$2:$B$52,2,FALSE)</f>
        <v>NH</v>
      </c>
      <c r="D1767" s="32">
        <v>33003.0</v>
      </c>
      <c r="E1767" s="33">
        <f>IF(NOT(ISBLANK(vlookup($D1767,Pop_Census_2023!$A$2:$E$3220,4,FALSE))),vlookup($D1767,Pop_Census_2023!$A$2:$E$3220,4,FALSE), vlookup($D1767,Pop_Census_2023!$A$2:$E$3220,5,FALSE))</f>
        <v>52448</v>
      </c>
      <c r="F1767" s="32">
        <v>873175.0</v>
      </c>
      <c r="G1767" s="32">
        <v>130.0</v>
      </c>
      <c r="H1767" s="32" t="str">
        <f>VLOOKUP(D1767, Grid_Region_Mapping!$D$2:$F$5286, 3, FALSE)</f>
        <v>ISNE</v>
      </c>
      <c r="I1767" s="32">
        <v>1.0</v>
      </c>
      <c r="J1767" s="34" t="str">
        <f t="shared" si="1"/>
        <v>Northeast</v>
      </c>
      <c r="K1767" s="35">
        <v>1.0</v>
      </c>
      <c r="L1767" s="35" t="s">
        <v>707</v>
      </c>
      <c r="M1767" s="36">
        <f>VLOOKUP(D1767, County_Data_CZones!$B$2:$F$3236, 2, FALSE)</f>
        <v>6</v>
      </c>
      <c r="N1767" s="37" t="str">
        <f>VLOOKUP(D1767, County_Data_CZones!$B$2:$F$3236, 5, FALSE)</f>
        <v>Cold</v>
      </c>
    </row>
    <row r="1768" ht="15.75" customHeight="1">
      <c r="A1768" s="32" t="s">
        <v>1252</v>
      </c>
      <c r="B1768" s="32" t="s">
        <v>1251</v>
      </c>
      <c r="C1768" s="32" t="str">
        <f>vlookup(B1768,State_EMM_RowSums!$A$2:$B$52,2,FALSE)</f>
        <v>NH</v>
      </c>
      <c r="D1768" s="32">
        <v>33005.0</v>
      </c>
      <c r="E1768" s="33">
        <f>IF(NOT(ISBLANK(vlookup($D1768,Pop_Census_2023!$A$2:$E$3220,4,FALSE))),vlookup($D1768,Pop_Census_2023!$A$2:$E$3220,4,FALSE), vlookup($D1768,Pop_Census_2023!$A$2:$E$3220,5,FALSE))</f>
        <v>77703</v>
      </c>
      <c r="F1768" s="32">
        <v>873176.0</v>
      </c>
      <c r="G1768" s="32">
        <v>130.0</v>
      </c>
      <c r="H1768" s="32" t="str">
        <f>VLOOKUP(D1768, Grid_Region_Mapping!$D$2:$F$5286, 3, FALSE)</f>
        <v>ISNE</v>
      </c>
      <c r="I1768" s="32">
        <v>1.0</v>
      </c>
      <c r="J1768" s="34" t="str">
        <f t="shared" si="1"/>
        <v>Northeast</v>
      </c>
      <c r="K1768" s="35">
        <v>1.0</v>
      </c>
      <c r="L1768" s="35" t="s">
        <v>396</v>
      </c>
      <c r="M1768" s="36">
        <f>VLOOKUP(D1768, County_Data_CZones!$B$2:$F$3236, 2, FALSE)</f>
        <v>5</v>
      </c>
      <c r="N1768" s="37" t="str">
        <f>VLOOKUP(D1768, County_Data_CZones!$B$2:$F$3236, 5, FALSE)</f>
        <v>Cold</v>
      </c>
    </row>
    <row r="1769" ht="15.75" customHeight="1">
      <c r="A1769" s="32" t="s">
        <v>1253</v>
      </c>
      <c r="B1769" s="32" t="s">
        <v>1251</v>
      </c>
      <c r="C1769" s="32" t="str">
        <f>vlookup(B1769,State_EMM_RowSums!$A$2:$B$52,2,FALSE)</f>
        <v>NH</v>
      </c>
      <c r="D1769" s="32">
        <v>33007.0</v>
      </c>
      <c r="E1769" s="33">
        <f>IF(NOT(ISBLANK(vlookup($D1769,Pop_Census_2023!$A$2:$E$3220,4,FALSE))),vlookup($D1769,Pop_Census_2023!$A$2:$E$3220,4,FALSE), vlookup($D1769,Pop_Census_2023!$A$2:$E$3220,5,FALSE))</f>
        <v>31372</v>
      </c>
      <c r="F1769" s="32">
        <v>873177.0</v>
      </c>
      <c r="G1769" s="32">
        <v>130.0</v>
      </c>
      <c r="H1769" s="32" t="str">
        <f>VLOOKUP(D1769, Grid_Region_Mapping!$D$2:$F$5286, 3, FALSE)</f>
        <v>ISNE</v>
      </c>
      <c r="I1769" s="32">
        <v>1.0</v>
      </c>
      <c r="J1769" s="34" t="str">
        <f t="shared" si="1"/>
        <v>Northeast</v>
      </c>
      <c r="K1769" s="35">
        <v>1.0</v>
      </c>
      <c r="L1769" s="35" t="s">
        <v>707</v>
      </c>
      <c r="M1769" s="36">
        <f>VLOOKUP(D1769, County_Data_CZones!$B$2:$F$3236, 2, FALSE)</f>
        <v>6</v>
      </c>
      <c r="N1769" s="37" t="str">
        <f>VLOOKUP(D1769, County_Data_CZones!$B$2:$F$3236, 5, FALSE)</f>
        <v>Cold</v>
      </c>
    </row>
    <row r="1770" ht="15.75" customHeight="1">
      <c r="A1770" s="32" t="s">
        <v>1254</v>
      </c>
      <c r="B1770" s="32" t="s">
        <v>1251</v>
      </c>
      <c r="C1770" s="32" t="str">
        <f>vlookup(B1770,State_EMM_RowSums!$A$2:$B$52,2,FALSE)</f>
        <v>NH</v>
      </c>
      <c r="D1770" s="32">
        <v>33009.0</v>
      </c>
      <c r="E1770" s="33">
        <f>IF(NOT(ISBLANK(vlookup($D1770,Pop_Census_2023!$A$2:$E$3220,4,FALSE))),vlookup($D1770,Pop_Census_2023!$A$2:$E$3220,4,FALSE), vlookup($D1770,Pop_Census_2023!$A$2:$E$3220,5,FALSE))</f>
        <v>93146</v>
      </c>
      <c r="F1770" s="32">
        <v>873178.0</v>
      </c>
      <c r="G1770" s="32">
        <v>130.0</v>
      </c>
      <c r="H1770" s="32" t="str">
        <f>VLOOKUP(D1770, Grid_Region_Mapping!$D$2:$F$5286, 3, FALSE)</f>
        <v>ISNE</v>
      </c>
      <c r="I1770" s="32">
        <v>1.0</v>
      </c>
      <c r="J1770" s="34" t="str">
        <f t="shared" si="1"/>
        <v>Northeast</v>
      </c>
      <c r="K1770" s="35">
        <v>1.0</v>
      </c>
      <c r="L1770" s="35" t="s">
        <v>707</v>
      </c>
      <c r="M1770" s="36">
        <f>VLOOKUP(D1770, County_Data_CZones!$B$2:$F$3236, 2, FALSE)</f>
        <v>6</v>
      </c>
      <c r="N1770" s="37" t="str">
        <f>VLOOKUP(D1770, County_Data_CZones!$B$2:$F$3236, 5, FALSE)</f>
        <v>Cold</v>
      </c>
    </row>
    <row r="1771" ht="15.75" customHeight="1">
      <c r="A1771" s="32" t="s">
        <v>433</v>
      </c>
      <c r="B1771" s="32" t="s">
        <v>1251</v>
      </c>
      <c r="C1771" s="32" t="str">
        <f>vlookup(B1771,State_EMM_RowSums!$A$2:$B$52,2,FALSE)</f>
        <v>NH</v>
      </c>
      <c r="D1771" s="32">
        <v>33011.0</v>
      </c>
      <c r="E1771" s="33">
        <f>IF(NOT(ISBLANK(vlookup($D1771,Pop_Census_2023!$A$2:$E$3220,4,FALSE))),vlookup($D1771,Pop_Census_2023!$A$2:$E$3220,4,FALSE), vlookup($D1771,Pop_Census_2023!$A$2:$E$3220,5,FALSE))</f>
        <v>427354</v>
      </c>
      <c r="F1771" s="32">
        <v>873179.0</v>
      </c>
      <c r="G1771" s="32">
        <v>130.0</v>
      </c>
      <c r="H1771" s="32" t="str">
        <f>VLOOKUP(D1771, Grid_Region_Mapping!$D$2:$F$5286, 3, FALSE)</f>
        <v>ISNE</v>
      </c>
      <c r="I1771" s="32">
        <v>1.0</v>
      </c>
      <c r="J1771" s="34" t="str">
        <f t="shared" si="1"/>
        <v>Northeast</v>
      </c>
      <c r="K1771" s="35">
        <v>1.0</v>
      </c>
      <c r="L1771" s="35" t="s">
        <v>396</v>
      </c>
      <c r="M1771" s="36">
        <f>VLOOKUP(D1771, County_Data_CZones!$B$2:$F$3236, 2, FALSE)</f>
        <v>5</v>
      </c>
      <c r="N1771" s="37" t="str">
        <f>VLOOKUP(D1771, County_Data_CZones!$B$2:$F$3236, 5, FALSE)</f>
        <v>Cold</v>
      </c>
    </row>
    <row r="1772" ht="15.75" customHeight="1">
      <c r="A1772" s="32" t="s">
        <v>1255</v>
      </c>
      <c r="B1772" s="32" t="s">
        <v>1251</v>
      </c>
      <c r="C1772" s="32" t="str">
        <f>vlookup(B1772,State_EMM_RowSums!$A$2:$B$52,2,FALSE)</f>
        <v>NH</v>
      </c>
      <c r="D1772" s="32">
        <v>33013.0</v>
      </c>
      <c r="E1772" s="33">
        <f>IF(NOT(ISBLANK(vlookup($D1772,Pop_Census_2023!$A$2:$E$3220,4,FALSE))),vlookup($D1772,Pop_Census_2023!$A$2:$E$3220,4,FALSE), vlookup($D1772,Pop_Census_2023!$A$2:$E$3220,5,FALSE))</f>
        <v>157103</v>
      </c>
      <c r="F1772" s="32">
        <v>873180.0</v>
      </c>
      <c r="G1772" s="32">
        <v>130.0</v>
      </c>
      <c r="H1772" s="32" t="str">
        <f>VLOOKUP(D1772, Grid_Region_Mapping!$D$2:$F$5286, 3, FALSE)</f>
        <v>ISNE</v>
      </c>
      <c r="I1772" s="32">
        <v>1.0</v>
      </c>
      <c r="J1772" s="34" t="str">
        <f t="shared" si="1"/>
        <v>Northeast</v>
      </c>
      <c r="K1772" s="35">
        <v>1.0</v>
      </c>
      <c r="L1772" s="35" t="s">
        <v>707</v>
      </c>
      <c r="M1772" s="36">
        <f>VLOOKUP(D1772, County_Data_CZones!$B$2:$F$3236, 2, FALSE)</f>
        <v>6</v>
      </c>
      <c r="N1772" s="37" t="str">
        <f>VLOOKUP(D1772, County_Data_CZones!$B$2:$F$3236, 5, FALSE)</f>
        <v>Cold</v>
      </c>
    </row>
    <row r="1773" ht="15.75" customHeight="1">
      <c r="A1773" s="32" t="s">
        <v>1256</v>
      </c>
      <c r="B1773" s="32" t="s">
        <v>1251</v>
      </c>
      <c r="C1773" s="32" t="str">
        <f>vlookup(B1773,State_EMM_RowSums!$A$2:$B$52,2,FALSE)</f>
        <v>NH</v>
      </c>
      <c r="D1773" s="32">
        <v>33015.0</v>
      </c>
      <c r="E1773" s="33">
        <f>IF(NOT(ISBLANK(vlookup($D1773,Pop_Census_2023!$A$2:$E$3220,4,FALSE))),vlookup($D1773,Pop_Census_2023!$A$2:$E$3220,4,FALSE), vlookup($D1773,Pop_Census_2023!$A$2:$E$3220,5,FALSE))</f>
        <v>320689</v>
      </c>
      <c r="F1773" s="32">
        <v>873181.0</v>
      </c>
      <c r="G1773" s="32">
        <v>130.0</v>
      </c>
      <c r="H1773" s="32" t="str">
        <f>VLOOKUP(D1773, Grid_Region_Mapping!$D$2:$F$5286, 3, FALSE)</f>
        <v>ISNE</v>
      </c>
      <c r="I1773" s="32">
        <v>1.0</v>
      </c>
      <c r="J1773" s="34" t="str">
        <f t="shared" si="1"/>
        <v>Northeast</v>
      </c>
      <c r="K1773" s="35">
        <v>1.0</v>
      </c>
      <c r="L1773" s="35" t="s">
        <v>396</v>
      </c>
      <c r="M1773" s="36">
        <f>VLOOKUP(D1773, County_Data_CZones!$B$2:$F$3236, 2, FALSE)</f>
        <v>5</v>
      </c>
      <c r="N1773" s="37" t="str">
        <f>VLOOKUP(D1773, County_Data_CZones!$B$2:$F$3236, 5, FALSE)</f>
        <v>Cold</v>
      </c>
    </row>
    <row r="1774" ht="15.75" customHeight="1">
      <c r="A1774" s="32" t="s">
        <v>1257</v>
      </c>
      <c r="B1774" s="32" t="s">
        <v>1251</v>
      </c>
      <c r="C1774" s="32" t="str">
        <f>vlookup(B1774,State_EMM_RowSums!$A$2:$B$52,2,FALSE)</f>
        <v>NH</v>
      </c>
      <c r="D1774" s="32">
        <v>33017.0</v>
      </c>
      <c r="E1774" s="33">
        <f>IF(NOT(ISBLANK(vlookup($D1774,Pop_Census_2023!$A$2:$E$3220,4,FALSE))),vlookup($D1774,Pop_Census_2023!$A$2:$E$3220,4,FALSE), vlookup($D1774,Pop_Census_2023!$A$2:$E$3220,5,FALSE))</f>
        <v>133243</v>
      </c>
      <c r="F1774" s="32">
        <v>873182.0</v>
      </c>
      <c r="G1774" s="32">
        <v>130.0</v>
      </c>
      <c r="H1774" s="32" t="str">
        <f>VLOOKUP(D1774, Grid_Region_Mapping!$D$2:$F$5286, 3, FALSE)</f>
        <v>ISNE</v>
      </c>
      <c r="I1774" s="32">
        <v>1.0</v>
      </c>
      <c r="J1774" s="34" t="str">
        <f t="shared" si="1"/>
        <v>Northeast</v>
      </c>
      <c r="K1774" s="35">
        <v>1.0</v>
      </c>
      <c r="L1774" s="35" t="s">
        <v>396</v>
      </c>
      <c r="M1774" s="36">
        <f>VLOOKUP(D1774, County_Data_CZones!$B$2:$F$3236, 2, FALSE)</f>
        <v>5</v>
      </c>
      <c r="N1774" s="37" t="str">
        <f>VLOOKUP(D1774, County_Data_CZones!$B$2:$F$3236, 5, FALSE)</f>
        <v>Cold</v>
      </c>
    </row>
    <row r="1775" ht="15.75" customHeight="1">
      <c r="A1775" s="32" t="s">
        <v>694</v>
      </c>
      <c r="B1775" s="32" t="s">
        <v>1251</v>
      </c>
      <c r="C1775" s="32" t="str">
        <f>vlookup(B1775,State_EMM_RowSums!$A$2:$B$52,2,FALSE)</f>
        <v>NH</v>
      </c>
      <c r="D1775" s="32">
        <v>33019.0</v>
      </c>
      <c r="E1775" s="33">
        <f>IF(NOT(ISBLANK(vlookup($D1775,Pop_Census_2023!$A$2:$E$3220,4,FALSE))),vlookup($D1775,Pop_Census_2023!$A$2:$E$3220,4,FALSE), vlookup($D1775,Pop_Census_2023!$A$2:$E$3220,5,FALSE))</f>
        <v>43969</v>
      </c>
      <c r="F1775" s="32">
        <v>873183.0</v>
      </c>
      <c r="G1775" s="32">
        <v>130.0</v>
      </c>
      <c r="H1775" s="32" t="str">
        <f>VLOOKUP(D1775, Grid_Region_Mapping!$D$2:$F$5286, 3, FALSE)</f>
        <v>ISNE</v>
      </c>
      <c r="I1775" s="32">
        <v>1.0</v>
      </c>
      <c r="J1775" s="34" t="str">
        <f t="shared" si="1"/>
        <v>Northeast</v>
      </c>
      <c r="K1775" s="35">
        <v>1.0</v>
      </c>
      <c r="L1775" s="35" t="s">
        <v>707</v>
      </c>
      <c r="M1775" s="36">
        <f>VLOOKUP(D1775, County_Data_CZones!$B$2:$F$3236, 2, FALSE)</f>
        <v>6</v>
      </c>
      <c r="N1775" s="37" t="str">
        <f>VLOOKUP(D1775, County_Data_CZones!$B$2:$F$3236, 5, FALSE)</f>
        <v>Cold</v>
      </c>
    </row>
    <row r="1776" ht="15.75" customHeight="1">
      <c r="A1776" s="32" t="s">
        <v>1258</v>
      </c>
      <c r="B1776" s="32" t="s">
        <v>1259</v>
      </c>
      <c r="C1776" s="32" t="str">
        <f>vlookup(B1776,State_EMM_RowSums!$A$2:$B$52,2,FALSE)</f>
        <v>NJ</v>
      </c>
      <c r="D1776" s="32">
        <v>34001.0</v>
      </c>
      <c r="E1776" s="33">
        <f>IF(NOT(ISBLANK(vlookup($D1776,Pop_Census_2023!$A$2:$E$3220,4,FALSE))),vlookup($D1776,Pop_Census_2023!$A$2:$E$3220,4,FALSE), vlookup($D1776,Pop_Census_2023!$A$2:$E$3220,5,FALSE))</f>
        <v>275213</v>
      </c>
      <c r="F1776" s="32">
        <v>882270.0</v>
      </c>
      <c r="G1776" s="32">
        <v>126.0</v>
      </c>
      <c r="H1776" s="32" t="str">
        <f>VLOOKUP(D1776, Grid_Region_Mapping!$D$2:$F$5286, 3, FALSE)</f>
        <v>PJME</v>
      </c>
      <c r="I1776" s="32">
        <v>2.0</v>
      </c>
      <c r="J1776" s="34" t="str">
        <f t="shared" si="1"/>
        <v>Northeast</v>
      </c>
      <c r="K1776" s="35">
        <v>3.0</v>
      </c>
      <c r="L1776" s="35" t="s">
        <v>223</v>
      </c>
      <c r="M1776" s="36">
        <f>VLOOKUP(D1776, County_Data_CZones!$B$2:$F$3236, 2, FALSE)</f>
        <v>4</v>
      </c>
      <c r="N1776" s="37" t="str">
        <f>VLOOKUP(D1776, County_Data_CZones!$B$2:$F$3236, 5, FALSE)</f>
        <v>Mixed-Humid</v>
      </c>
    </row>
    <row r="1777" ht="15.75" customHeight="1">
      <c r="A1777" s="32" t="s">
        <v>1260</v>
      </c>
      <c r="B1777" s="32" t="s">
        <v>1259</v>
      </c>
      <c r="C1777" s="32" t="str">
        <f>vlookup(B1777,State_EMM_RowSums!$A$2:$B$52,2,FALSE)</f>
        <v>NJ</v>
      </c>
      <c r="D1777" s="32">
        <v>34003.0</v>
      </c>
      <c r="E1777" s="33">
        <f>IF(NOT(ISBLANK(vlookup($D1777,Pop_Census_2023!$A$2:$E$3220,4,FALSE))),vlookup($D1777,Pop_Census_2023!$A$2:$E$3220,4,FALSE), vlookup($D1777,Pop_Census_2023!$A$2:$E$3220,5,FALSE))</f>
        <v>957736</v>
      </c>
      <c r="F1777" s="32">
        <v>882271.0</v>
      </c>
      <c r="G1777" s="32">
        <v>126.0</v>
      </c>
      <c r="H1777" s="32" t="str">
        <f>VLOOKUP(D1777, Grid_Region_Mapping!$D$2:$F$5286, 3, FALSE)</f>
        <v>PJME</v>
      </c>
      <c r="I1777" s="32">
        <v>2.0</v>
      </c>
      <c r="J1777" s="34" t="str">
        <f t="shared" si="1"/>
        <v>Northeast</v>
      </c>
      <c r="K1777" s="35">
        <v>2.0</v>
      </c>
      <c r="L1777" s="35" t="s">
        <v>396</v>
      </c>
      <c r="M1777" s="36">
        <f>VLOOKUP(D1777, County_Data_CZones!$B$2:$F$3236, 2, FALSE)</f>
        <v>5</v>
      </c>
      <c r="N1777" s="37" t="str">
        <f>VLOOKUP(D1777, County_Data_CZones!$B$2:$F$3236, 5, FALSE)</f>
        <v>Cold</v>
      </c>
    </row>
    <row r="1778" ht="15.75" customHeight="1">
      <c r="A1778" s="32" t="s">
        <v>1261</v>
      </c>
      <c r="B1778" s="32" t="s">
        <v>1259</v>
      </c>
      <c r="C1778" s="32" t="str">
        <f>vlookup(B1778,State_EMM_RowSums!$A$2:$B$52,2,FALSE)</f>
        <v>NJ</v>
      </c>
      <c r="D1778" s="32">
        <v>34005.0</v>
      </c>
      <c r="E1778" s="33">
        <f>IF(NOT(ISBLANK(vlookup($D1778,Pop_Census_2023!$A$2:$E$3220,4,FALSE))),vlookup($D1778,Pop_Census_2023!$A$2:$E$3220,4,FALSE), vlookup($D1778,Pop_Census_2023!$A$2:$E$3220,5,FALSE))</f>
        <v>469167</v>
      </c>
      <c r="F1778" s="32">
        <v>882272.0</v>
      </c>
      <c r="G1778" s="32">
        <v>126.0</v>
      </c>
      <c r="H1778" s="32" t="str">
        <f>VLOOKUP(D1778, Grid_Region_Mapping!$D$2:$F$5286, 3, FALSE)</f>
        <v>PJME</v>
      </c>
      <c r="I1778" s="32">
        <v>2.0</v>
      </c>
      <c r="J1778" s="34" t="str">
        <f t="shared" si="1"/>
        <v>Northeast</v>
      </c>
      <c r="K1778" s="35">
        <v>3.0</v>
      </c>
      <c r="L1778" s="35" t="s">
        <v>223</v>
      </c>
      <c r="M1778" s="36">
        <f>VLOOKUP(D1778, County_Data_CZones!$B$2:$F$3236, 2, FALSE)</f>
        <v>4</v>
      </c>
      <c r="N1778" s="37" t="str">
        <f>VLOOKUP(D1778, County_Data_CZones!$B$2:$F$3236, 5, FALSE)</f>
        <v>Mixed-Humid</v>
      </c>
    </row>
    <row r="1779" ht="15.75" customHeight="1">
      <c r="A1779" s="32" t="s">
        <v>476</v>
      </c>
      <c r="B1779" s="32" t="s">
        <v>1259</v>
      </c>
      <c r="C1779" s="32" t="str">
        <f>vlookup(B1779,State_EMM_RowSums!$A$2:$B$52,2,FALSE)</f>
        <v>NJ</v>
      </c>
      <c r="D1779" s="32">
        <v>34007.0</v>
      </c>
      <c r="E1779" s="33">
        <f>IF(NOT(ISBLANK(vlookup($D1779,Pop_Census_2023!$A$2:$E$3220,4,FALSE))),vlookup($D1779,Pop_Census_2023!$A$2:$E$3220,4,FALSE), vlookup($D1779,Pop_Census_2023!$A$2:$E$3220,5,FALSE))</f>
        <v>527196</v>
      </c>
      <c r="F1779" s="32">
        <v>882273.0</v>
      </c>
      <c r="G1779" s="32">
        <v>126.0</v>
      </c>
      <c r="H1779" s="32" t="str">
        <f>VLOOKUP(D1779, Grid_Region_Mapping!$D$2:$F$5286, 3, FALSE)</f>
        <v>PJME</v>
      </c>
      <c r="I1779" s="32">
        <v>2.0</v>
      </c>
      <c r="J1779" s="34" t="str">
        <f t="shared" si="1"/>
        <v>Northeast</v>
      </c>
      <c r="K1779" s="35">
        <v>3.0</v>
      </c>
      <c r="L1779" s="35" t="s">
        <v>223</v>
      </c>
      <c r="M1779" s="36">
        <f>VLOOKUP(D1779, County_Data_CZones!$B$2:$F$3236, 2, FALSE)</f>
        <v>4</v>
      </c>
      <c r="N1779" s="37" t="str">
        <f>VLOOKUP(D1779, County_Data_CZones!$B$2:$F$3236, 5, FALSE)</f>
        <v>Mixed-Humid</v>
      </c>
    </row>
    <row r="1780" ht="15.75" customHeight="1">
      <c r="A1780" s="32" t="s">
        <v>1262</v>
      </c>
      <c r="B1780" s="32" t="s">
        <v>1259</v>
      </c>
      <c r="C1780" s="32" t="str">
        <f>vlookup(B1780,State_EMM_RowSums!$A$2:$B$52,2,FALSE)</f>
        <v>NJ</v>
      </c>
      <c r="D1780" s="32">
        <v>34009.0</v>
      </c>
      <c r="E1780" s="33">
        <f>IF(NOT(ISBLANK(vlookup($D1780,Pop_Census_2023!$A$2:$E$3220,4,FALSE))),vlookup($D1780,Pop_Census_2023!$A$2:$E$3220,4,FALSE), vlookup($D1780,Pop_Census_2023!$A$2:$E$3220,5,FALSE))</f>
        <v>94610</v>
      </c>
      <c r="F1780" s="32">
        <v>882274.0</v>
      </c>
      <c r="G1780" s="32">
        <v>126.0</v>
      </c>
      <c r="H1780" s="32" t="str">
        <f>VLOOKUP(D1780, Grid_Region_Mapping!$D$2:$F$5286, 3, FALSE)</f>
        <v>PJME</v>
      </c>
      <c r="I1780" s="32">
        <v>2.0</v>
      </c>
      <c r="J1780" s="34" t="str">
        <f t="shared" si="1"/>
        <v>Northeast</v>
      </c>
      <c r="K1780" s="35">
        <v>3.0</v>
      </c>
      <c r="L1780" s="35" t="s">
        <v>223</v>
      </c>
      <c r="M1780" s="36">
        <f>VLOOKUP(D1780, County_Data_CZones!$B$2:$F$3236, 2, FALSE)</f>
        <v>4</v>
      </c>
      <c r="N1780" s="37" t="str">
        <f>VLOOKUP(D1780, County_Data_CZones!$B$2:$F$3236, 5, FALSE)</f>
        <v>Mixed-Humid</v>
      </c>
    </row>
    <row r="1781" ht="15.75" customHeight="1">
      <c r="A1781" s="32" t="s">
        <v>618</v>
      </c>
      <c r="B1781" s="32" t="s">
        <v>1259</v>
      </c>
      <c r="C1781" s="32" t="str">
        <f>vlookup(B1781,State_EMM_RowSums!$A$2:$B$52,2,FALSE)</f>
        <v>NJ</v>
      </c>
      <c r="D1781" s="32">
        <v>34011.0</v>
      </c>
      <c r="E1781" s="33">
        <f>IF(NOT(ISBLANK(vlookup($D1781,Pop_Census_2023!$A$2:$E$3220,4,FALSE))),vlookup($D1781,Pop_Census_2023!$A$2:$E$3220,4,FALSE), vlookup($D1781,Pop_Census_2023!$A$2:$E$3220,5,FALSE))</f>
        <v>152326</v>
      </c>
      <c r="F1781" s="32">
        <v>882275.0</v>
      </c>
      <c r="G1781" s="32">
        <v>126.0</v>
      </c>
      <c r="H1781" s="32" t="str">
        <f>VLOOKUP(D1781, Grid_Region_Mapping!$D$2:$F$5286, 3, FALSE)</f>
        <v>PJME</v>
      </c>
      <c r="I1781" s="32">
        <v>2.0</v>
      </c>
      <c r="J1781" s="34" t="str">
        <f t="shared" si="1"/>
        <v>Northeast</v>
      </c>
      <c r="K1781" s="35">
        <v>3.0</v>
      </c>
      <c r="L1781" s="35" t="s">
        <v>223</v>
      </c>
      <c r="M1781" s="36">
        <f>VLOOKUP(D1781, County_Data_CZones!$B$2:$F$3236, 2, FALSE)</f>
        <v>4</v>
      </c>
      <c r="N1781" s="37" t="str">
        <f>VLOOKUP(D1781, County_Data_CZones!$B$2:$F$3236, 5, FALSE)</f>
        <v>Mixed-Humid</v>
      </c>
    </row>
    <row r="1782" ht="15.75" customHeight="1">
      <c r="A1782" s="32" t="s">
        <v>956</v>
      </c>
      <c r="B1782" s="32" t="s">
        <v>1259</v>
      </c>
      <c r="C1782" s="32" t="str">
        <f>vlookup(B1782,State_EMM_RowSums!$A$2:$B$52,2,FALSE)</f>
        <v>NJ</v>
      </c>
      <c r="D1782" s="32">
        <v>34013.0</v>
      </c>
      <c r="E1782" s="33">
        <f>IF(NOT(ISBLANK(vlookup($D1782,Pop_Census_2023!$A$2:$E$3220,4,FALSE))),vlookup($D1782,Pop_Census_2023!$A$2:$E$3220,4,FALSE), vlookup($D1782,Pop_Census_2023!$A$2:$E$3220,5,FALSE))</f>
        <v>851117</v>
      </c>
      <c r="F1782" s="32">
        <v>882276.0</v>
      </c>
      <c r="G1782" s="32">
        <v>126.0</v>
      </c>
      <c r="H1782" s="32" t="str">
        <f>VLOOKUP(D1782, Grid_Region_Mapping!$D$2:$F$5286, 3, FALSE)</f>
        <v>PJME</v>
      </c>
      <c r="I1782" s="32">
        <v>2.0</v>
      </c>
      <c r="J1782" s="34" t="str">
        <f t="shared" si="1"/>
        <v>Northeast</v>
      </c>
      <c r="K1782" s="35">
        <v>3.0</v>
      </c>
      <c r="L1782" s="35" t="s">
        <v>223</v>
      </c>
      <c r="M1782" s="36">
        <f>VLOOKUP(D1782, County_Data_CZones!$B$2:$F$3236, 2, FALSE)</f>
        <v>4</v>
      </c>
      <c r="N1782" s="37" t="str">
        <f>VLOOKUP(D1782, County_Data_CZones!$B$2:$F$3236, 5, FALSE)</f>
        <v>Mixed-Humid</v>
      </c>
    </row>
    <row r="1783" ht="15.75" customHeight="1">
      <c r="A1783" s="32" t="s">
        <v>1263</v>
      </c>
      <c r="B1783" s="32" t="s">
        <v>1259</v>
      </c>
      <c r="C1783" s="32" t="str">
        <f>vlookup(B1783,State_EMM_RowSums!$A$2:$B$52,2,FALSE)</f>
        <v>NJ</v>
      </c>
      <c r="D1783" s="32">
        <v>34015.0</v>
      </c>
      <c r="E1783" s="33">
        <f>IF(NOT(ISBLANK(vlookup($D1783,Pop_Census_2023!$A$2:$E$3220,4,FALSE))),vlookup($D1783,Pop_Census_2023!$A$2:$E$3220,4,FALSE), vlookup($D1783,Pop_Census_2023!$A$2:$E$3220,5,FALSE))</f>
        <v>308423</v>
      </c>
      <c r="F1783" s="32">
        <v>882277.0</v>
      </c>
      <c r="G1783" s="32">
        <v>126.0</v>
      </c>
      <c r="H1783" s="32" t="str">
        <f>VLOOKUP(D1783, Grid_Region_Mapping!$D$2:$F$5286, 3, FALSE)</f>
        <v>PJME</v>
      </c>
      <c r="I1783" s="32">
        <v>2.0</v>
      </c>
      <c r="J1783" s="34" t="str">
        <f t="shared" si="1"/>
        <v>Northeast</v>
      </c>
      <c r="K1783" s="35">
        <v>3.0</v>
      </c>
      <c r="L1783" s="35" t="s">
        <v>223</v>
      </c>
      <c r="M1783" s="36">
        <f>VLOOKUP(D1783, County_Data_CZones!$B$2:$F$3236, 2, FALSE)</f>
        <v>4</v>
      </c>
      <c r="N1783" s="37" t="str">
        <f>VLOOKUP(D1783, County_Data_CZones!$B$2:$F$3236, 5, FALSE)</f>
        <v>Mixed-Humid</v>
      </c>
    </row>
    <row r="1784" ht="15.75" customHeight="1">
      <c r="A1784" s="32" t="s">
        <v>1264</v>
      </c>
      <c r="B1784" s="32" t="s">
        <v>1259</v>
      </c>
      <c r="C1784" s="32" t="str">
        <f>vlookup(B1784,State_EMM_RowSums!$A$2:$B$52,2,FALSE)</f>
        <v>NJ</v>
      </c>
      <c r="D1784" s="32">
        <v>34017.0</v>
      </c>
      <c r="E1784" s="33">
        <f>IF(NOT(ISBLANK(vlookup($D1784,Pop_Census_2023!$A$2:$E$3220,4,FALSE))),vlookup($D1784,Pop_Census_2023!$A$2:$E$3220,4,FALSE), vlookup($D1784,Pop_Census_2023!$A$2:$E$3220,5,FALSE))</f>
        <v>705472</v>
      </c>
      <c r="F1784" s="32">
        <v>882278.0</v>
      </c>
      <c r="G1784" s="32">
        <v>126.0</v>
      </c>
      <c r="H1784" s="32" t="str">
        <f>VLOOKUP(D1784, Grid_Region_Mapping!$D$2:$F$5286, 3, FALSE)</f>
        <v>PJME</v>
      </c>
      <c r="I1784" s="32">
        <v>2.0</v>
      </c>
      <c r="J1784" s="34" t="str">
        <f t="shared" si="1"/>
        <v>Northeast</v>
      </c>
      <c r="K1784" s="35">
        <v>3.0</v>
      </c>
      <c r="L1784" s="35" t="s">
        <v>223</v>
      </c>
      <c r="M1784" s="36">
        <f>VLOOKUP(D1784, County_Data_CZones!$B$2:$F$3236, 2, FALSE)</f>
        <v>4</v>
      </c>
      <c r="N1784" s="37" t="str">
        <f>VLOOKUP(D1784, County_Data_CZones!$B$2:$F$3236, 5, FALSE)</f>
        <v>Mixed-Humid</v>
      </c>
    </row>
    <row r="1785" ht="15.75" customHeight="1">
      <c r="A1785" s="32" t="s">
        <v>1265</v>
      </c>
      <c r="B1785" s="32" t="s">
        <v>1259</v>
      </c>
      <c r="C1785" s="32" t="str">
        <f>vlookup(B1785,State_EMM_RowSums!$A$2:$B$52,2,FALSE)</f>
        <v>NJ</v>
      </c>
      <c r="D1785" s="32">
        <v>34019.0</v>
      </c>
      <c r="E1785" s="33">
        <f>IF(NOT(ISBLANK(vlookup($D1785,Pop_Census_2023!$A$2:$E$3220,4,FALSE))),vlookup($D1785,Pop_Census_2023!$A$2:$E$3220,4,FALSE), vlookup($D1785,Pop_Census_2023!$A$2:$E$3220,5,FALSE))</f>
        <v>130183</v>
      </c>
      <c r="F1785" s="32">
        <v>882228.0</v>
      </c>
      <c r="G1785" s="32">
        <v>126.0</v>
      </c>
      <c r="H1785" s="32" t="str">
        <f>VLOOKUP(D1785, Grid_Region_Mapping!$D$2:$F$5286, 3, FALSE)</f>
        <v>PJME</v>
      </c>
      <c r="I1785" s="32">
        <v>2.0</v>
      </c>
      <c r="J1785" s="34" t="str">
        <f t="shared" si="1"/>
        <v>Northeast</v>
      </c>
      <c r="K1785" s="35">
        <v>2.0</v>
      </c>
      <c r="L1785" s="35" t="s">
        <v>396</v>
      </c>
      <c r="M1785" s="36">
        <f>VLOOKUP(D1785, County_Data_CZones!$B$2:$F$3236, 2, FALSE)</f>
        <v>5</v>
      </c>
      <c r="N1785" s="37" t="str">
        <f>VLOOKUP(D1785, County_Data_CZones!$B$2:$F$3236, 5, FALSE)</f>
        <v>Cold</v>
      </c>
    </row>
    <row r="1786" ht="15.75" customHeight="1">
      <c r="A1786" s="32" t="s">
        <v>644</v>
      </c>
      <c r="B1786" s="32" t="s">
        <v>1259</v>
      </c>
      <c r="C1786" s="32" t="str">
        <f>vlookup(B1786,State_EMM_RowSums!$A$2:$B$52,2,FALSE)</f>
        <v>NJ</v>
      </c>
      <c r="D1786" s="32">
        <v>34021.0</v>
      </c>
      <c r="E1786" s="33">
        <f>IF(NOT(ISBLANK(vlookup($D1786,Pop_Census_2023!$A$2:$E$3220,4,FALSE))),vlookup($D1786,Pop_Census_2023!$A$2:$E$3220,4,FALSE), vlookup($D1786,Pop_Census_2023!$A$2:$E$3220,5,FALSE))</f>
        <v>381671</v>
      </c>
      <c r="F1786" s="32">
        <v>882229.0</v>
      </c>
      <c r="G1786" s="32">
        <v>126.0</v>
      </c>
      <c r="H1786" s="32" t="str">
        <f>VLOOKUP(D1786, Grid_Region_Mapping!$D$2:$F$5286, 3, FALSE)</f>
        <v>PJME</v>
      </c>
      <c r="I1786" s="32">
        <v>2.0</v>
      </c>
      <c r="J1786" s="34" t="str">
        <f t="shared" si="1"/>
        <v>Northeast</v>
      </c>
      <c r="K1786" s="35">
        <v>3.0</v>
      </c>
      <c r="L1786" s="35" t="s">
        <v>396</v>
      </c>
      <c r="M1786" s="36">
        <f>VLOOKUP(D1786, County_Data_CZones!$B$2:$F$3236, 2, FALSE)</f>
        <v>5</v>
      </c>
      <c r="N1786" s="37" t="str">
        <f>VLOOKUP(D1786, County_Data_CZones!$B$2:$F$3236, 5, FALSE)</f>
        <v>Cold</v>
      </c>
    </row>
    <row r="1787" ht="15.75" customHeight="1">
      <c r="A1787" s="32" t="s">
        <v>399</v>
      </c>
      <c r="B1787" s="32" t="s">
        <v>1259</v>
      </c>
      <c r="C1787" s="32" t="str">
        <f>vlookup(B1787,State_EMM_RowSums!$A$2:$B$52,2,FALSE)</f>
        <v>NJ</v>
      </c>
      <c r="D1787" s="32">
        <v>34023.0</v>
      </c>
      <c r="E1787" s="33">
        <f>IF(NOT(ISBLANK(vlookup($D1787,Pop_Census_2023!$A$2:$E$3220,4,FALSE))),vlookup($D1787,Pop_Census_2023!$A$2:$E$3220,4,FALSE), vlookup($D1787,Pop_Census_2023!$A$2:$E$3220,5,FALSE))</f>
        <v>863623</v>
      </c>
      <c r="F1787" s="32">
        <v>882230.0</v>
      </c>
      <c r="G1787" s="32">
        <v>126.0</v>
      </c>
      <c r="H1787" s="32" t="str">
        <f>VLOOKUP(D1787, Grid_Region_Mapping!$D$2:$F$5286, 3, FALSE)</f>
        <v>PJME</v>
      </c>
      <c r="I1787" s="32">
        <v>2.0</v>
      </c>
      <c r="J1787" s="34" t="str">
        <f t="shared" si="1"/>
        <v>Northeast</v>
      </c>
      <c r="K1787" s="35">
        <v>3.0</v>
      </c>
      <c r="L1787" s="35" t="s">
        <v>223</v>
      </c>
      <c r="M1787" s="36">
        <f>VLOOKUP(D1787, County_Data_CZones!$B$2:$F$3236, 2, FALSE)</f>
        <v>4</v>
      </c>
      <c r="N1787" s="37" t="str">
        <f>VLOOKUP(D1787, County_Data_CZones!$B$2:$F$3236, 5, FALSE)</f>
        <v>Mixed-Humid</v>
      </c>
    </row>
    <row r="1788" ht="15.75" customHeight="1">
      <c r="A1788" s="32" t="s">
        <v>1266</v>
      </c>
      <c r="B1788" s="32" t="s">
        <v>1259</v>
      </c>
      <c r="C1788" s="32" t="str">
        <f>vlookup(B1788,State_EMM_RowSums!$A$2:$B$52,2,FALSE)</f>
        <v>NJ</v>
      </c>
      <c r="D1788" s="32">
        <v>34025.0</v>
      </c>
      <c r="E1788" s="33">
        <f>IF(NOT(ISBLANK(vlookup($D1788,Pop_Census_2023!$A$2:$E$3220,4,FALSE))),vlookup($D1788,Pop_Census_2023!$A$2:$E$3220,4,FALSE), vlookup($D1788,Pop_Census_2023!$A$2:$E$3220,5,FALSE))</f>
        <v>642799</v>
      </c>
      <c r="F1788" s="32">
        <v>882910.0</v>
      </c>
      <c r="G1788" s="32">
        <v>126.0</v>
      </c>
      <c r="H1788" s="32" t="str">
        <f>VLOOKUP(D1788, Grid_Region_Mapping!$D$2:$F$5286, 3, FALSE)</f>
        <v>PJME</v>
      </c>
      <c r="I1788" s="32">
        <v>2.0</v>
      </c>
      <c r="J1788" s="34" t="str">
        <f t="shared" si="1"/>
        <v>Northeast</v>
      </c>
      <c r="K1788" s="35">
        <v>3.0</v>
      </c>
      <c r="L1788" s="35" t="s">
        <v>223</v>
      </c>
      <c r="M1788" s="36">
        <f>VLOOKUP(D1788, County_Data_CZones!$B$2:$F$3236, 2, FALSE)</f>
        <v>4</v>
      </c>
      <c r="N1788" s="37" t="str">
        <f>VLOOKUP(D1788, County_Data_CZones!$B$2:$F$3236, 5, FALSE)</f>
        <v>Mixed-Humid</v>
      </c>
    </row>
    <row r="1789" ht="15.75" customHeight="1">
      <c r="A1789" s="32" t="s">
        <v>784</v>
      </c>
      <c r="B1789" s="32" t="s">
        <v>1259</v>
      </c>
      <c r="C1789" s="32" t="str">
        <f>vlookup(B1789,State_EMM_RowSums!$A$2:$B$52,2,FALSE)</f>
        <v>NJ</v>
      </c>
      <c r="D1789" s="32">
        <v>34027.0</v>
      </c>
      <c r="E1789" s="33">
        <f>IF(NOT(ISBLANK(vlookup($D1789,Pop_Census_2023!$A$2:$E$3220,4,FALSE))),vlookup($D1789,Pop_Census_2023!$A$2:$E$3220,4,FALSE), vlookup($D1789,Pop_Census_2023!$A$2:$E$3220,5,FALSE))</f>
        <v>514423</v>
      </c>
      <c r="F1789" s="32">
        <v>882231.0</v>
      </c>
      <c r="G1789" s="32">
        <v>126.0</v>
      </c>
      <c r="H1789" s="32" t="str">
        <f>VLOOKUP(D1789, Grid_Region_Mapping!$D$2:$F$5286, 3, FALSE)</f>
        <v>PJME</v>
      </c>
      <c r="I1789" s="32">
        <v>2.0</v>
      </c>
      <c r="J1789" s="34" t="str">
        <f t="shared" si="1"/>
        <v>Northeast</v>
      </c>
      <c r="K1789" s="35">
        <v>2.0</v>
      </c>
      <c r="L1789" s="35" t="s">
        <v>396</v>
      </c>
      <c r="M1789" s="36">
        <f>VLOOKUP(D1789, County_Data_CZones!$B$2:$F$3236, 2, FALSE)</f>
        <v>5</v>
      </c>
      <c r="N1789" s="37" t="str">
        <f>VLOOKUP(D1789, County_Data_CZones!$B$2:$F$3236, 5, FALSE)</f>
        <v>Cold</v>
      </c>
    </row>
    <row r="1790" ht="15.75" customHeight="1">
      <c r="A1790" s="32" t="s">
        <v>1267</v>
      </c>
      <c r="B1790" s="32" t="s">
        <v>1259</v>
      </c>
      <c r="C1790" s="32" t="str">
        <f>vlookup(B1790,State_EMM_RowSums!$A$2:$B$52,2,FALSE)</f>
        <v>NJ</v>
      </c>
      <c r="D1790" s="32">
        <v>34029.0</v>
      </c>
      <c r="E1790" s="33">
        <f>IF(NOT(ISBLANK(vlookup($D1790,Pop_Census_2023!$A$2:$E$3220,4,FALSE))),vlookup($D1790,Pop_Census_2023!$A$2:$E$3220,4,FALSE), vlookup($D1790,Pop_Census_2023!$A$2:$E$3220,5,FALSE))</f>
        <v>659197</v>
      </c>
      <c r="F1790" s="32">
        <v>882279.0</v>
      </c>
      <c r="G1790" s="32">
        <v>126.0</v>
      </c>
      <c r="H1790" s="32" t="str">
        <f>VLOOKUP(D1790, Grid_Region_Mapping!$D$2:$F$5286, 3, FALSE)</f>
        <v>PJME</v>
      </c>
      <c r="I1790" s="32">
        <v>2.0</v>
      </c>
      <c r="J1790" s="34" t="str">
        <f t="shared" si="1"/>
        <v>Northeast</v>
      </c>
      <c r="K1790" s="35">
        <v>3.0</v>
      </c>
      <c r="L1790" s="35" t="s">
        <v>223</v>
      </c>
      <c r="M1790" s="36">
        <f>VLOOKUP(D1790, County_Data_CZones!$B$2:$F$3236, 2, FALSE)</f>
        <v>4</v>
      </c>
      <c r="N1790" s="37" t="str">
        <f>VLOOKUP(D1790, County_Data_CZones!$B$2:$F$3236, 5, FALSE)</f>
        <v>Mixed-Humid</v>
      </c>
    </row>
    <row r="1791" ht="15.75" customHeight="1">
      <c r="A1791" s="32" t="s">
        <v>1268</v>
      </c>
      <c r="B1791" s="32" t="s">
        <v>1259</v>
      </c>
      <c r="C1791" s="32" t="str">
        <f>vlookup(B1791,State_EMM_RowSums!$A$2:$B$52,2,FALSE)</f>
        <v>NJ</v>
      </c>
      <c r="D1791" s="32">
        <v>34031.0</v>
      </c>
      <c r="E1791" s="33">
        <f>IF(NOT(ISBLANK(vlookup($D1791,Pop_Census_2023!$A$2:$E$3220,4,FALSE))),vlookup($D1791,Pop_Census_2023!$A$2:$E$3220,4,FALSE), vlookup($D1791,Pop_Census_2023!$A$2:$E$3220,5,FALSE))</f>
        <v>513395</v>
      </c>
      <c r="F1791" s="32">
        <v>882232.0</v>
      </c>
      <c r="G1791" s="32">
        <v>126.0</v>
      </c>
      <c r="H1791" s="32" t="str">
        <f>VLOOKUP(D1791, Grid_Region_Mapping!$D$2:$F$5286, 3, FALSE)</f>
        <v>PJME</v>
      </c>
      <c r="I1791" s="32">
        <v>2.0</v>
      </c>
      <c r="J1791" s="34" t="str">
        <f t="shared" si="1"/>
        <v>Northeast</v>
      </c>
      <c r="K1791" s="35">
        <v>2.0</v>
      </c>
      <c r="L1791" s="35" t="s">
        <v>396</v>
      </c>
      <c r="M1791" s="36">
        <f>VLOOKUP(D1791, County_Data_CZones!$B$2:$F$3236, 2, FALSE)</f>
        <v>5</v>
      </c>
      <c r="N1791" s="37" t="str">
        <f>VLOOKUP(D1791, County_Data_CZones!$B$2:$F$3236, 5, FALSE)</f>
        <v>Cold</v>
      </c>
    </row>
    <row r="1792" ht="15.75" customHeight="1">
      <c r="A1792" s="32" t="s">
        <v>1269</v>
      </c>
      <c r="B1792" s="32" t="s">
        <v>1259</v>
      </c>
      <c r="C1792" s="32" t="str">
        <f>vlookup(B1792,State_EMM_RowSums!$A$2:$B$52,2,FALSE)</f>
        <v>NJ</v>
      </c>
      <c r="D1792" s="32">
        <v>34033.0</v>
      </c>
      <c r="E1792" s="33">
        <f>IF(NOT(ISBLANK(vlookup($D1792,Pop_Census_2023!$A$2:$E$3220,4,FALSE))),vlookup($D1792,Pop_Census_2023!$A$2:$E$3220,4,FALSE), vlookup($D1792,Pop_Census_2023!$A$2:$E$3220,5,FALSE))</f>
        <v>65338</v>
      </c>
      <c r="F1792" s="32">
        <v>882233.0</v>
      </c>
      <c r="G1792" s="32">
        <v>126.0</v>
      </c>
      <c r="H1792" s="32" t="str">
        <f>VLOOKUP(D1792, Grid_Region_Mapping!$D$2:$F$5286, 3, FALSE)</f>
        <v>PJME</v>
      </c>
      <c r="I1792" s="32">
        <v>2.0</v>
      </c>
      <c r="J1792" s="34" t="str">
        <f t="shared" si="1"/>
        <v>Northeast</v>
      </c>
      <c r="K1792" s="35">
        <v>3.0</v>
      </c>
      <c r="L1792" s="35" t="s">
        <v>223</v>
      </c>
      <c r="M1792" s="36">
        <f>VLOOKUP(D1792, County_Data_CZones!$B$2:$F$3236, 2, FALSE)</f>
        <v>4</v>
      </c>
      <c r="N1792" s="37" t="str">
        <f>VLOOKUP(D1792, County_Data_CZones!$B$2:$F$3236, 5, FALSE)</f>
        <v>Mixed-Humid</v>
      </c>
    </row>
    <row r="1793" ht="15.75" customHeight="1">
      <c r="A1793" s="32" t="s">
        <v>930</v>
      </c>
      <c r="B1793" s="32" t="s">
        <v>1259</v>
      </c>
      <c r="C1793" s="32" t="str">
        <f>vlookup(B1793,State_EMM_RowSums!$A$2:$B$52,2,FALSE)</f>
        <v>NJ</v>
      </c>
      <c r="D1793" s="32">
        <v>34035.0</v>
      </c>
      <c r="E1793" s="33">
        <f>IF(NOT(ISBLANK(vlookup($D1793,Pop_Census_2023!$A$2:$E$3220,4,FALSE))),vlookup($D1793,Pop_Census_2023!$A$2:$E$3220,4,FALSE), vlookup($D1793,Pop_Census_2023!$A$2:$E$3220,5,FALSE))</f>
        <v>348842</v>
      </c>
      <c r="F1793" s="32">
        <v>882234.0</v>
      </c>
      <c r="G1793" s="32">
        <v>126.0</v>
      </c>
      <c r="H1793" s="32" t="str">
        <f>VLOOKUP(D1793, Grid_Region_Mapping!$D$2:$F$5286, 3, FALSE)</f>
        <v>PJME</v>
      </c>
      <c r="I1793" s="32">
        <v>2.0</v>
      </c>
      <c r="J1793" s="34" t="str">
        <f t="shared" si="1"/>
        <v>Northeast</v>
      </c>
      <c r="K1793" s="35">
        <v>2.0</v>
      </c>
      <c r="L1793" s="35" t="s">
        <v>396</v>
      </c>
      <c r="M1793" s="36">
        <f>VLOOKUP(D1793, County_Data_CZones!$B$2:$F$3236, 2, FALSE)</f>
        <v>5</v>
      </c>
      <c r="N1793" s="37" t="str">
        <f>VLOOKUP(D1793, County_Data_CZones!$B$2:$F$3236, 5, FALSE)</f>
        <v>Cold</v>
      </c>
    </row>
    <row r="1794" ht="15.75" customHeight="1">
      <c r="A1794" s="32" t="s">
        <v>407</v>
      </c>
      <c r="B1794" s="32" t="s">
        <v>1259</v>
      </c>
      <c r="C1794" s="32" t="str">
        <f>vlookup(B1794,State_EMM_RowSums!$A$2:$B$52,2,FALSE)</f>
        <v>NJ</v>
      </c>
      <c r="D1794" s="32">
        <v>34037.0</v>
      </c>
      <c r="E1794" s="33">
        <f>IF(NOT(ISBLANK(vlookup($D1794,Pop_Census_2023!$A$2:$E$3220,4,FALSE))),vlookup($D1794,Pop_Census_2023!$A$2:$E$3220,4,FALSE), vlookup($D1794,Pop_Census_2023!$A$2:$E$3220,5,FALSE))</f>
        <v>146132</v>
      </c>
      <c r="F1794" s="32">
        <v>882236.0</v>
      </c>
      <c r="G1794" s="32">
        <v>126.0</v>
      </c>
      <c r="H1794" s="32" t="str">
        <f>VLOOKUP(D1794, Grid_Region_Mapping!$D$2:$F$5286, 3, FALSE)</f>
        <v>PJME</v>
      </c>
      <c r="I1794" s="32">
        <v>2.0</v>
      </c>
      <c r="J1794" s="34" t="str">
        <f t="shared" si="1"/>
        <v>Northeast</v>
      </c>
      <c r="K1794" s="35">
        <v>2.0</v>
      </c>
      <c r="L1794" s="35" t="s">
        <v>396</v>
      </c>
      <c r="M1794" s="36">
        <f>VLOOKUP(D1794, County_Data_CZones!$B$2:$F$3236, 2, FALSE)</f>
        <v>5</v>
      </c>
      <c r="N1794" s="37" t="str">
        <f>VLOOKUP(D1794, County_Data_CZones!$B$2:$F$3236, 5, FALSE)</f>
        <v>Cold</v>
      </c>
    </row>
    <row r="1795" ht="15.75" customHeight="1">
      <c r="A1795" s="32" t="s">
        <v>273</v>
      </c>
      <c r="B1795" s="32" t="s">
        <v>1259</v>
      </c>
      <c r="C1795" s="32" t="str">
        <f>vlookup(B1795,State_EMM_RowSums!$A$2:$B$52,2,FALSE)</f>
        <v>NJ</v>
      </c>
      <c r="D1795" s="32">
        <v>34039.0</v>
      </c>
      <c r="E1795" s="33">
        <f>IF(NOT(ISBLANK(vlookup($D1795,Pop_Census_2023!$A$2:$E$3220,4,FALSE))),vlookup($D1795,Pop_Census_2023!$A$2:$E$3220,4,FALSE), vlookup($D1795,Pop_Census_2023!$A$2:$E$3220,5,FALSE))</f>
        <v>572726</v>
      </c>
      <c r="F1795" s="32">
        <v>882235.0</v>
      </c>
      <c r="G1795" s="32">
        <v>126.0</v>
      </c>
      <c r="H1795" s="32" t="str">
        <f>VLOOKUP(D1795, Grid_Region_Mapping!$D$2:$F$5286, 3, FALSE)</f>
        <v>PJME</v>
      </c>
      <c r="I1795" s="32">
        <v>2.0</v>
      </c>
      <c r="J1795" s="34" t="str">
        <f t="shared" si="1"/>
        <v>Northeast</v>
      </c>
      <c r="K1795" s="35">
        <v>3.0</v>
      </c>
      <c r="L1795" s="35" t="s">
        <v>223</v>
      </c>
      <c r="M1795" s="36">
        <f>VLOOKUP(D1795, County_Data_CZones!$B$2:$F$3236, 2, FALSE)</f>
        <v>4</v>
      </c>
      <c r="N1795" s="37" t="str">
        <f>VLOOKUP(D1795, County_Data_CZones!$B$2:$F$3236, 5, FALSE)</f>
        <v>Mixed-Humid</v>
      </c>
    </row>
    <row r="1796" ht="15.75" customHeight="1">
      <c r="A1796" s="32" t="s">
        <v>561</v>
      </c>
      <c r="B1796" s="32" t="s">
        <v>1259</v>
      </c>
      <c r="C1796" s="32" t="str">
        <f>vlookup(B1796,State_EMM_RowSums!$A$2:$B$52,2,FALSE)</f>
        <v>NJ</v>
      </c>
      <c r="D1796" s="32">
        <v>34041.0</v>
      </c>
      <c r="E1796" s="33">
        <f>IF(NOT(ISBLANK(vlookup($D1796,Pop_Census_2023!$A$2:$E$3220,4,FALSE))),vlookup($D1796,Pop_Census_2023!$A$2:$E$3220,4,FALSE), vlookup($D1796,Pop_Census_2023!$A$2:$E$3220,5,FALSE))</f>
        <v>111252</v>
      </c>
      <c r="F1796" s="32">
        <v>882237.0</v>
      </c>
      <c r="G1796" s="32">
        <v>126.0</v>
      </c>
      <c r="H1796" s="32" t="str">
        <f>VLOOKUP(D1796, Grid_Region_Mapping!$D$2:$F$5286, 3, FALSE)</f>
        <v>PJME</v>
      </c>
      <c r="I1796" s="32">
        <v>2.0</v>
      </c>
      <c r="J1796" s="34" t="str">
        <f t="shared" si="1"/>
        <v>Northeast</v>
      </c>
      <c r="K1796" s="35">
        <v>2.0</v>
      </c>
      <c r="L1796" s="35" t="s">
        <v>396</v>
      </c>
      <c r="M1796" s="36">
        <f>VLOOKUP(D1796, County_Data_CZones!$B$2:$F$3236, 2, FALSE)</f>
        <v>5</v>
      </c>
      <c r="N1796" s="37" t="str">
        <f>VLOOKUP(D1796, County_Data_CZones!$B$2:$F$3236, 5, FALSE)</f>
        <v>Cold</v>
      </c>
    </row>
    <row r="1797" ht="15.75" customHeight="1">
      <c r="A1797" s="32" t="s">
        <v>1270</v>
      </c>
      <c r="B1797" s="32" t="s">
        <v>1271</v>
      </c>
      <c r="C1797" s="32" t="str">
        <f>vlookup(B1797,State_EMM_RowSums!$A$2:$B$52,2,FALSE)</f>
        <v>NM</v>
      </c>
      <c r="D1797" s="32">
        <v>35001.0</v>
      </c>
      <c r="E1797" s="33">
        <f>IF(NOT(ISBLANK(vlookup($D1797,Pop_Census_2023!$A$2:$E$3220,4,FALSE))),vlookup($D1797,Pop_Census_2023!$A$2:$E$3220,4,FALSE), vlookup($D1797,Pop_Census_2023!$A$2:$E$3220,5,FALSE))</f>
        <v>671586</v>
      </c>
      <c r="F1797" s="32">
        <v>1702363.0</v>
      </c>
      <c r="G1797" s="32">
        <v>31.0</v>
      </c>
      <c r="H1797" s="32" t="str">
        <f>VLOOKUP(D1797, Grid_Region_Mapping!$D$2:$F$5286, 3, FALSE)</f>
        <v>SRSG</v>
      </c>
      <c r="I1797" s="32">
        <v>8.0</v>
      </c>
      <c r="J1797" s="34" t="str">
        <f t="shared" si="1"/>
        <v>West</v>
      </c>
      <c r="K1797" s="35">
        <v>3.0</v>
      </c>
      <c r="L1797" s="35" t="s">
        <v>207</v>
      </c>
      <c r="M1797" s="36">
        <f>VLOOKUP(D1797, County_Data_CZones!$B$2:$F$3236, 2, FALSE)</f>
        <v>4</v>
      </c>
      <c r="N1797" s="37" t="str">
        <f>VLOOKUP(D1797, County_Data_CZones!$B$2:$F$3236, 5, FALSE)</f>
        <v>Mixed-Dry</v>
      </c>
    </row>
    <row r="1798" ht="15.75" customHeight="1">
      <c r="A1798" s="32" t="s">
        <v>1272</v>
      </c>
      <c r="B1798" s="32" t="s">
        <v>1271</v>
      </c>
      <c r="C1798" s="32" t="str">
        <f>vlookup(B1798,State_EMM_RowSums!$A$2:$B$52,2,FALSE)</f>
        <v>NM</v>
      </c>
      <c r="D1798" s="32">
        <v>35003.0</v>
      </c>
      <c r="E1798" s="33">
        <f>IF(NOT(ISBLANK(vlookup($D1798,Pop_Census_2023!$A$2:$E$3220,4,FALSE))),vlookup($D1798,Pop_Census_2023!$A$2:$E$3220,4,FALSE), vlookup($D1798,Pop_Census_2023!$A$2:$E$3220,5,FALSE))</f>
        <v>3825</v>
      </c>
      <c r="F1798" s="32">
        <v>929108.0</v>
      </c>
      <c r="G1798" s="32">
        <v>31.0</v>
      </c>
      <c r="H1798" s="32" t="str">
        <f>VLOOKUP(D1798, Grid_Region_Mapping!$D$2:$F$5286, 3, FALSE)</f>
        <v>SRSG</v>
      </c>
      <c r="I1798" s="32">
        <v>8.0</v>
      </c>
      <c r="J1798" s="34" t="str">
        <f t="shared" si="1"/>
        <v>West</v>
      </c>
      <c r="K1798" s="35">
        <v>3.0</v>
      </c>
      <c r="L1798" s="35" t="s">
        <v>202</v>
      </c>
      <c r="M1798" s="36">
        <f>VLOOKUP(D1798, County_Data_CZones!$B$2:$F$3236, 2, FALSE)</f>
        <v>5</v>
      </c>
      <c r="N1798" s="37" t="str">
        <f>VLOOKUP(D1798, County_Data_CZones!$B$2:$F$3236, 5, FALSE)</f>
        <v>Cold</v>
      </c>
    </row>
    <row r="1799" ht="15.75" customHeight="1">
      <c r="A1799" s="32" t="s">
        <v>1273</v>
      </c>
      <c r="B1799" s="32" t="s">
        <v>1271</v>
      </c>
      <c r="C1799" s="32" t="str">
        <f>vlookup(B1799,State_EMM_RowSums!$A$2:$B$52,2,FALSE)</f>
        <v>NM</v>
      </c>
      <c r="D1799" s="32">
        <v>35005.0</v>
      </c>
      <c r="E1799" s="33">
        <f>IF(NOT(ISBLANK(vlookup($D1799,Pop_Census_2023!$A$2:$E$3220,4,FALSE))),vlookup($D1799,Pop_Census_2023!$A$2:$E$3220,4,FALSE), vlookup($D1799,Pop_Census_2023!$A$2:$E$3220,5,FALSE))</f>
        <v>63561</v>
      </c>
      <c r="F1799" s="32">
        <v>1702364.0</v>
      </c>
      <c r="G1799" s="32">
        <v>47.0</v>
      </c>
      <c r="H1799" s="32" t="str">
        <f>VLOOKUP(D1799, Grid_Region_Mapping!$D$2:$F$5286, 3, FALSE)</f>
        <v>SPPS</v>
      </c>
      <c r="I1799" s="32">
        <v>8.0</v>
      </c>
      <c r="J1799" s="34" t="str">
        <f t="shared" si="1"/>
        <v>West</v>
      </c>
      <c r="K1799" s="35">
        <v>4.0</v>
      </c>
      <c r="L1799" s="35" t="s">
        <v>204</v>
      </c>
      <c r="M1799" s="36">
        <f>VLOOKUP(D1799, County_Data_CZones!$B$2:$F$3236, 2, FALSE)</f>
        <v>3</v>
      </c>
      <c r="N1799" s="37" t="str">
        <f>VLOOKUP(D1799, County_Data_CZones!$B$2:$F$3236, 5, FALSE)</f>
        <v>Hot-Dry</v>
      </c>
    </row>
    <row r="1800" ht="15.75" customHeight="1">
      <c r="A1800" s="32" t="s">
        <v>1274</v>
      </c>
      <c r="B1800" s="32" t="s">
        <v>1271</v>
      </c>
      <c r="C1800" s="32" t="str">
        <f>vlookup(B1800,State_EMM_RowSums!$A$2:$B$52,2,FALSE)</f>
        <v>NM</v>
      </c>
      <c r="D1800" s="32">
        <v>35006.0</v>
      </c>
      <c r="E1800" s="33">
        <f>IF(NOT(ISBLANK(vlookup($D1800,Pop_Census_2023!$A$2:$E$3220,4,FALSE))),vlookup($D1800,Pop_Census_2023!$A$2:$E$3220,4,FALSE), vlookup($D1800,Pop_Census_2023!$A$2:$E$3220,5,FALSE))</f>
        <v>26780</v>
      </c>
      <c r="F1800" s="32">
        <v>933051.0</v>
      </c>
      <c r="G1800" s="32">
        <v>31.0</v>
      </c>
      <c r="H1800" s="32" t="str">
        <f>VLOOKUP(D1800, Grid_Region_Mapping!$D$2:$F$5286, 3, FALSE)</f>
        <v>SRSG</v>
      </c>
      <c r="I1800" s="32">
        <v>8.0</v>
      </c>
      <c r="J1800" s="34" t="str">
        <f t="shared" si="1"/>
        <v>West</v>
      </c>
      <c r="K1800" s="35">
        <v>2.0</v>
      </c>
      <c r="L1800" s="35" t="s">
        <v>207</v>
      </c>
      <c r="M1800" s="36">
        <f>VLOOKUP(D1800, County_Data_CZones!$B$2:$F$3236, 2, FALSE)</f>
        <v>4</v>
      </c>
      <c r="N1800" s="37" t="str">
        <f>VLOOKUP(D1800, County_Data_CZones!$B$2:$F$3236, 5, FALSE)</f>
        <v>Cold</v>
      </c>
    </row>
    <row r="1801" ht="15.75" customHeight="1">
      <c r="A1801" s="32" t="s">
        <v>1206</v>
      </c>
      <c r="B1801" s="32" t="s">
        <v>1271</v>
      </c>
      <c r="C1801" s="32" t="str">
        <f>vlookup(B1801,State_EMM_RowSums!$A$2:$B$52,2,FALSE)</f>
        <v>NM</v>
      </c>
      <c r="D1801" s="32">
        <v>35007.0</v>
      </c>
      <c r="E1801" s="33">
        <f>IF(NOT(ISBLANK(vlookup($D1801,Pop_Census_2023!$A$2:$E$3220,4,FALSE))),vlookup($D1801,Pop_Census_2023!$A$2:$E$3220,4,FALSE), vlookup($D1801,Pop_Census_2023!$A$2:$E$3220,5,FALSE))</f>
        <v>12255</v>
      </c>
      <c r="F1801" s="32">
        <v>929117.0</v>
      </c>
      <c r="G1801" s="32">
        <v>31.0</v>
      </c>
      <c r="H1801" s="32" t="str">
        <f>VLOOKUP(D1801, Grid_Region_Mapping!$D$2:$F$5286, 3, FALSE)</f>
        <v>SRSG</v>
      </c>
      <c r="I1801" s="32">
        <v>8.0</v>
      </c>
      <c r="J1801" s="34" t="str">
        <f t="shared" si="1"/>
        <v>West</v>
      </c>
      <c r="K1801" s="35">
        <v>2.0</v>
      </c>
      <c r="L1801" s="35" t="s">
        <v>202</v>
      </c>
      <c r="M1801" s="36">
        <f>VLOOKUP(D1801, County_Data_CZones!$B$2:$F$3236, 2, FALSE)</f>
        <v>5</v>
      </c>
      <c r="N1801" s="37" t="str">
        <f>VLOOKUP(D1801, County_Data_CZones!$B$2:$F$3236, 5, FALSE)</f>
        <v>Cold</v>
      </c>
    </row>
    <row r="1802" ht="15.75" customHeight="1">
      <c r="A1802" s="32" t="s">
        <v>1275</v>
      </c>
      <c r="B1802" s="32" t="s">
        <v>1271</v>
      </c>
      <c r="C1802" s="32" t="str">
        <f>vlookup(B1802,State_EMM_RowSums!$A$2:$B$52,2,FALSE)</f>
        <v>NM</v>
      </c>
      <c r="D1802" s="32">
        <v>35009.0</v>
      </c>
      <c r="E1802" s="33">
        <f>IF(NOT(ISBLANK(vlookup($D1802,Pop_Census_2023!$A$2:$E$3220,4,FALSE))),vlookup($D1802,Pop_Census_2023!$A$2:$E$3220,4,FALSE), vlookup($D1802,Pop_Census_2023!$A$2:$E$3220,5,FALSE))</f>
        <v>47222</v>
      </c>
      <c r="F1802" s="32">
        <v>933053.0</v>
      </c>
      <c r="G1802" s="32">
        <v>47.0</v>
      </c>
      <c r="H1802" s="32" t="str">
        <f>VLOOKUP(D1802, Grid_Region_Mapping!$D$2:$F$5286, 3, FALSE)</f>
        <v>SPPS</v>
      </c>
      <c r="I1802" s="32">
        <v>8.0</v>
      </c>
      <c r="J1802" s="34" t="str">
        <f t="shared" si="1"/>
        <v>West</v>
      </c>
      <c r="K1802" s="35">
        <v>3.0</v>
      </c>
      <c r="L1802" s="35" t="s">
        <v>207</v>
      </c>
      <c r="M1802" s="36">
        <f>VLOOKUP(D1802, County_Data_CZones!$B$2:$F$3236, 2, FALSE)</f>
        <v>4</v>
      </c>
      <c r="N1802" s="37" t="str">
        <f>VLOOKUP(D1802, County_Data_CZones!$B$2:$F$3236, 5, FALSE)</f>
        <v>Mixed-Dry</v>
      </c>
    </row>
    <row r="1803" ht="15.75" customHeight="1">
      <c r="A1803" s="32" t="s">
        <v>1276</v>
      </c>
      <c r="B1803" s="32" t="s">
        <v>1271</v>
      </c>
      <c r="C1803" s="32" t="str">
        <f>vlookup(B1803,State_EMM_RowSums!$A$2:$B$52,2,FALSE)</f>
        <v>NM</v>
      </c>
      <c r="D1803" s="32">
        <v>35011.0</v>
      </c>
      <c r="E1803" s="33">
        <f>IF(NOT(ISBLANK(vlookup($D1803,Pop_Census_2023!$A$2:$E$3220,4,FALSE))),vlookup($D1803,Pop_Census_2023!$A$2:$E$3220,4,FALSE), vlookup($D1803,Pop_Census_2023!$A$2:$E$3220,5,FALSE))</f>
        <v>1657</v>
      </c>
      <c r="F1803" s="32">
        <v>933054.0</v>
      </c>
      <c r="G1803" s="32">
        <v>31.0</v>
      </c>
      <c r="H1803" s="32" t="str">
        <f>VLOOKUP(D1803, Grid_Region_Mapping!$D$2:$F$5286, 3, FALSE)</f>
        <v>SRSG</v>
      </c>
      <c r="I1803" s="32">
        <v>8.0</v>
      </c>
      <c r="J1803" s="34" t="str">
        <f t="shared" si="1"/>
        <v>West</v>
      </c>
      <c r="K1803" s="35">
        <v>3.0</v>
      </c>
      <c r="L1803" s="35" t="s">
        <v>207</v>
      </c>
      <c r="M1803" s="36">
        <f>VLOOKUP(D1803, County_Data_CZones!$B$2:$F$3236, 2, FALSE)</f>
        <v>4</v>
      </c>
      <c r="N1803" s="37" t="str">
        <f>VLOOKUP(D1803, County_Data_CZones!$B$2:$F$3236, 5, FALSE)</f>
        <v>Mixed-Dry</v>
      </c>
    </row>
    <row r="1804" ht="15.75" customHeight="1">
      <c r="A1804" s="32" t="s">
        <v>1277</v>
      </c>
      <c r="B1804" s="32" t="s">
        <v>1271</v>
      </c>
      <c r="C1804" s="32" t="str">
        <f>vlookup(B1804,State_EMM_RowSums!$A$2:$B$52,2,FALSE)</f>
        <v>NM</v>
      </c>
      <c r="D1804" s="32">
        <v>35013.0</v>
      </c>
      <c r="E1804" s="33">
        <f>IF(NOT(ISBLANK(vlookup($D1804,Pop_Census_2023!$A$2:$E$3220,4,FALSE))),vlookup($D1804,Pop_Census_2023!$A$2:$E$3220,4,FALSE), vlookup($D1804,Pop_Census_2023!$A$2:$E$3220,5,FALSE))</f>
        <v>225210</v>
      </c>
      <c r="F1804" s="32">
        <v>929109.0</v>
      </c>
      <c r="G1804" s="32">
        <v>31.0</v>
      </c>
      <c r="H1804" s="32" t="str">
        <f>VLOOKUP(D1804, Grid_Region_Mapping!$D$2:$F$5286, 3, FALSE)</f>
        <v>SRSG</v>
      </c>
      <c r="I1804" s="32">
        <v>8.0</v>
      </c>
      <c r="J1804" s="34" t="str">
        <f t="shared" si="1"/>
        <v>West</v>
      </c>
      <c r="K1804" s="35">
        <v>4.0</v>
      </c>
      <c r="L1804" s="35" t="s">
        <v>204</v>
      </c>
      <c r="M1804" s="36">
        <f>VLOOKUP(D1804, County_Data_CZones!$B$2:$F$3236, 2, FALSE)</f>
        <v>3</v>
      </c>
      <c r="N1804" s="37" t="str">
        <f>VLOOKUP(D1804, County_Data_CZones!$B$2:$F$3236, 5, FALSE)</f>
        <v>Hot-Dry</v>
      </c>
    </row>
    <row r="1805" ht="15.75" customHeight="1">
      <c r="A1805" s="32" t="s">
        <v>1278</v>
      </c>
      <c r="B1805" s="32" t="s">
        <v>1271</v>
      </c>
      <c r="C1805" s="32" t="str">
        <f>vlookup(B1805,State_EMM_RowSums!$A$2:$B$52,2,FALSE)</f>
        <v>NM</v>
      </c>
      <c r="D1805" s="32">
        <v>35015.0</v>
      </c>
      <c r="E1805" s="33">
        <f>IF(NOT(ISBLANK(vlookup($D1805,Pop_Census_2023!$A$2:$E$3220,4,FALSE))),vlookup($D1805,Pop_Census_2023!$A$2:$E$3220,4,FALSE), vlookup($D1805,Pop_Census_2023!$A$2:$E$3220,5,FALSE))</f>
        <v>60275</v>
      </c>
      <c r="F1805" s="32">
        <v>936829.0</v>
      </c>
      <c r="G1805" s="32">
        <v>47.0</v>
      </c>
      <c r="H1805" s="32" t="str">
        <f>VLOOKUP(D1805, Grid_Region_Mapping!$D$2:$F$5286, 3, FALSE)</f>
        <v>SPPS</v>
      </c>
      <c r="I1805" s="32">
        <v>8.0</v>
      </c>
      <c r="J1805" s="34" t="str">
        <f t="shared" si="1"/>
        <v>West</v>
      </c>
      <c r="K1805" s="35">
        <v>4.0</v>
      </c>
      <c r="L1805" s="35" t="s">
        <v>204</v>
      </c>
      <c r="M1805" s="36">
        <f>VLOOKUP(D1805, County_Data_CZones!$B$2:$F$3236, 2, FALSE)</f>
        <v>3</v>
      </c>
      <c r="N1805" s="37" t="str">
        <f>VLOOKUP(D1805, County_Data_CZones!$B$2:$F$3236, 5, FALSE)</f>
        <v>Hot-Dry</v>
      </c>
    </row>
    <row r="1806" ht="15.75" customHeight="1">
      <c r="A1806" s="32" t="s">
        <v>242</v>
      </c>
      <c r="B1806" s="32" t="s">
        <v>1271</v>
      </c>
      <c r="C1806" s="32" t="str">
        <f>vlookup(B1806,State_EMM_RowSums!$A$2:$B$52,2,FALSE)</f>
        <v>NM</v>
      </c>
      <c r="D1806" s="32">
        <v>35017.0</v>
      </c>
      <c r="E1806" s="33">
        <f>IF(NOT(ISBLANK(vlookup($D1806,Pop_Census_2023!$A$2:$E$3220,4,FALSE))),vlookup($D1806,Pop_Census_2023!$A$2:$E$3220,4,FALSE), vlookup($D1806,Pop_Census_2023!$A$2:$E$3220,5,FALSE))</f>
        <v>27472</v>
      </c>
      <c r="F1806" s="32">
        <v>915980.0</v>
      </c>
      <c r="G1806" s="32">
        <v>31.0</v>
      </c>
      <c r="H1806" s="32" t="str">
        <f>VLOOKUP(D1806, Grid_Region_Mapping!$D$2:$F$5286, 3, FALSE)</f>
        <v>SRSG</v>
      </c>
      <c r="I1806" s="32">
        <v>8.0</v>
      </c>
      <c r="J1806" s="34" t="str">
        <f t="shared" si="1"/>
        <v>West</v>
      </c>
      <c r="K1806" s="35">
        <v>3.0</v>
      </c>
      <c r="L1806" s="35" t="s">
        <v>207</v>
      </c>
      <c r="M1806" s="36">
        <f>VLOOKUP(D1806, County_Data_CZones!$B$2:$F$3236, 2, FALSE)</f>
        <v>4</v>
      </c>
      <c r="N1806" s="37" t="str">
        <f>VLOOKUP(D1806, County_Data_CZones!$B$2:$F$3236, 5, FALSE)</f>
        <v>Mixed-Dry</v>
      </c>
    </row>
    <row r="1807" ht="15.75" customHeight="1">
      <c r="A1807" s="32" t="s">
        <v>1279</v>
      </c>
      <c r="B1807" s="32" t="s">
        <v>1271</v>
      </c>
      <c r="C1807" s="32" t="str">
        <f>vlookup(B1807,State_EMM_RowSums!$A$2:$B$52,2,FALSE)</f>
        <v>NM</v>
      </c>
      <c r="D1807" s="32">
        <v>35019.0</v>
      </c>
      <c r="E1807" s="33">
        <f>IF(NOT(ISBLANK(vlookup($D1807,Pop_Census_2023!$A$2:$E$3220,4,FALSE))),vlookup($D1807,Pop_Census_2023!$A$2:$E$3220,4,FALSE), vlookup($D1807,Pop_Census_2023!$A$2:$E$3220,5,FALSE))</f>
        <v>4292</v>
      </c>
      <c r="F1807" s="32">
        <v>929111.0</v>
      </c>
      <c r="G1807" s="32">
        <v>31.0</v>
      </c>
      <c r="H1807" s="32" t="str">
        <f>VLOOKUP(D1807, Grid_Region_Mapping!$D$2:$F$5286, 3, FALSE)</f>
        <v>SRSG</v>
      </c>
      <c r="I1807" s="32">
        <v>8.0</v>
      </c>
      <c r="J1807" s="34" t="str">
        <f t="shared" si="1"/>
        <v>West</v>
      </c>
      <c r="K1807" s="35">
        <v>3.0</v>
      </c>
      <c r="L1807" s="35" t="s">
        <v>207</v>
      </c>
      <c r="M1807" s="36">
        <f>VLOOKUP(D1807, County_Data_CZones!$B$2:$F$3236, 2, FALSE)</f>
        <v>4</v>
      </c>
      <c r="N1807" s="37" t="str">
        <f>VLOOKUP(D1807, County_Data_CZones!$B$2:$F$3236, 5, FALSE)</f>
        <v>Mixed-Dry</v>
      </c>
    </row>
    <row r="1808" ht="15.75" customHeight="1">
      <c r="A1808" s="32" t="s">
        <v>1280</v>
      </c>
      <c r="B1808" s="32" t="s">
        <v>1271</v>
      </c>
      <c r="C1808" s="32" t="str">
        <f>vlookup(B1808,State_EMM_RowSums!$A$2:$B$52,2,FALSE)</f>
        <v>NM</v>
      </c>
      <c r="D1808" s="32">
        <v>35021.0</v>
      </c>
      <c r="E1808" s="33">
        <f>IF(NOT(ISBLANK(vlookup($D1808,Pop_Census_2023!$A$2:$E$3220,4,FALSE))),vlookup($D1808,Pop_Census_2023!$A$2:$E$3220,4,FALSE), vlookup($D1808,Pop_Census_2023!$A$2:$E$3220,5,FALSE))</f>
        <v>624</v>
      </c>
      <c r="F1808" s="32">
        <v>933055.0</v>
      </c>
      <c r="G1808" s="32">
        <v>31.0</v>
      </c>
      <c r="H1808" s="32" t="str">
        <f>VLOOKUP(D1808, Grid_Region_Mapping!$D$2:$F$5286, 3, FALSE)</f>
        <v>SRSG</v>
      </c>
      <c r="I1808" s="32">
        <v>8.0</v>
      </c>
      <c r="J1808" s="34" t="str">
        <f t="shared" si="1"/>
        <v>West</v>
      </c>
      <c r="K1808" s="35">
        <v>3.0</v>
      </c>
      <c r="L1808" s="35" t="s">
        <v>202</v>
      </c>
      <c r="M1808" s="36">
        <f>VLOOKUP(D1808, County_Data_CZones!$B$2:$F$3236, 2, FALSE)</f>
        <v>5</v>
      </c>
      <c r="N1808" s="37" t="str">
        <f>VLOOKUP(D1808, County_Data_CZones!$B$2:$F$3236, 5, FALSE)</f>
        <v>Cold</v>
      </c>
    </row>
    <row r="1809" ht="15.75" customHeight="1">
      <c r="A1809" s="32" t="s">
        <v>1281</v>
      </c>
      <c r="B1809" s="32" t="s">
        <v>1271</v>
      </c>
      <c r="C1809" s="32" t="str">
        <f>vlookup(B1809,State_EMM_RowSums!$A$2:$B$52,2,FALSE)</f>
        <v>NM</v>
      </c>
      <c r="D1809" s="32">
        <v>35023.0</v>
      </c>
      <c r="E1809" s="33">
        <f>IF(NOT(ISBLANK(vlookup($D1809,Pop_Census_2023!$A$2:$E$3220,4,FALSE))),vlookup($D1809,Pop_Census_2023!$A$2:$E$3220,4,FALSE), vlookup($D1809,Pop_Census_2023!$A$2:$E$3220,5,FALSE))</f>
        <v>3965</v>
      </c>
      <c r="F1809" s="32">
        <v>929106.0</v>
      </c>
      <c r="G1809" s="32">
        <v>31.0</v>
      </c>
      <c r="H1809" s="32" t="str">
        <f>VLOOKUP(D1809, Grid_Region_Mapping!$D$2:$F$5286, 3, FALSE)</f>
        <v>SRSG</v>
      </c>
      <c r="I1809" s="32">
        <v>8.0</v>
      </c>
      <c r="J1809" s="34" t="str">
        <f t="shared" si="1"/>
        <v>West</v>
      </c>
      <c r="K1809" s="35">
        <v>4.0</v>
      </c>
      <c r="L1809" s="35" t="s">
        <v>204</v>
      </c>
      <c r="M1809" s="36">
        <f>VLOOKUP(D1809, County_Data_CZones!$B$2:$F$3236, 2, FALSE)</f>
        <v>3</v>
      </c>
      <c r="N1809" s="37" t="str">
        <f>VLOOKUP(D1809, County_Data_CZones!$B$2:$F$3236, 5, FALSE)</f>
        <v>Hot-Dry</v>
      </c>
    </row>
    <row r="1810" ht="15.75" customHeight="1">
      <c r="A1810" s="32" t="s">
        <v>1282</v>
      </c>
      <c r="B1810" s="32" t="s">
        <v>1271</v>
      </c>
      <c r="C1810" s="32" t="str">
        <f>vlookup(B1810,State_EMM_RowSums!$A$2:$B$52,2,FALSE)</f>
        <v>NM</v>
      </c>
      <c r="D1810" s="32">
        <v>35025.0</v>
      </c>
      <c r="E1810" s="33">
        <f>IF(NOT(ISBLANK(vlookup($D1810,Pop_Census_2023!$A$2:$E$3220,4,FALSE))),vlookup($D1810,Pop_Census_2023!$A$2:$E$3220,4,FALSE), vlookup($D1810,Pop_Census_2023!$A$2:$E$3220,5,FALSE))</f>
        <v>72101</v>
      </c>
      <c r="F1810" s="32">
        <v>1702365.0</v>
      </c>
      <c r="G1810" s="32">
        <v>47.0</v>
      </c>
      <c r="H1810" s="32" t="str">
        <f>VLOOKUP(D1810, Grid_Region_Mapping!$D$2:$F$5286, 3, FALSE)</f>
        <v>SPPS</v>
      </c>
      <c r="I1810" s="32">
        <v>8.0</v>
      </c>
      <c r="J1810" s="34" t="str">
        <f t="shared" si="1"/>
        <v>West</v>
      </c>
      <c r="K1810" s="35">
        <v>4.0</v>
      </c>
      <c r="L1810" s="35" t="s">
        <v>204</v>
      </c>
      <c r="M1810" s="36">
        <f>VLOOKUP(D1810, County_Data_CZones!$B$2:$F$3236, 2, FALSE)</f>
        <v>3</v>
      </c>
      <c r="N1810" s="37" t="str">
        <f>VLOOKUP(D1810, County_Data_CZones!$B$2:$F$3236, 5, FALSE)</f>
        <v>Hot-Dry</v>
      </c>
    </row>
    <row r="1811" ht="15.75" customHeight="1">
      <c r="A1811" s="32" t="s">
        <v>250</v>
      </c>
      <c r="B1811" s="32" t="s">
        <v>1271</v>
      </c>
      <c r="C1811" s="32" t="str">
        <f>vlookup(B1811,State_EMM_RowSums!$A$2:$B$52,2,FALSE)</f>
        <v>NM</v>
      </c>
      <c r="D1811" s="32">
        <v>35027.0</v>
      </c>
      <c r="E1811" s="33">
        <f>IF(NOT(ISBLANK(vlookup($D1811,Pop_Census_2023!$A$2:$E$3220,4,FALSE))),vlookup($D1811,Pop_Census_2023!$A$2:$E$3220,4,FALSE), vlookup($D1811,Pop_Census_2023!$A$2:$E$3220,5,FALSE))</f>
        <v>20029</v>
      </c>
      <c r="F1811" s="32">
        <v>929116.0</v>
      </c>
      <c r="G1811" s="32">
        <v>31.0</v>
      </c>
      <c r="H1811" s="32" t="str">
        <f>VLOOKUP(D1811, Grid_Region_Mapping!$D$2:$F$5286, 3, FALSE)</f>
        <v>SRSG</v>
      </c>
      <c r="I1811" s="32">
        <v>8.0</v>
      </c>
      <c r="J1811" s="34" t="str">
        <f t="shared" si="1"/>
        <v>West</v>
      </c>
      <c r="K1811" s="35">
        <v>3.0</v>
      </c>
      <c r="L1811" s="35" t="s">
        <v>207</v>
      </c>
      <c r="M1811" s="36">
        <f>VLOOKUP(D1811, County_Data_CZones!$B$2:$F$3236, 2, FALSE)</f>
        <v>4</v>
      </c>
      <c r="N1811" s="37" t="str">
        <f>VLOOKUP(D1811, County_Data_CZones!$B$2:$F$3236, 5, FALSE)</f>
        <v>Mixed-Dry</v>
      </c>
    </row>
    <row r="1812" ht="15.75" customHeight="1">
      <c r="A1812" s="32" t="s">
        <v>1283</v>
      </c>
      <c r="B1812" s="32" t="s">
        <v>1271</v>
      </c>
      <c r="C1812" s="32" t="str">
        <f>vlookup(B1812,State_EMM_RowSums!$A$2:$B$52,2,FALSE)</f>
        <v>NM</v>
      </c>
      <c r="D1812" s="32">
        <v>35028.0</v>
      </c>
      <c r="E1812" s="33">
        <f>IF(NOT(ISBLANK(vlookup($D1812,Pop_Census_2023!$A$2:$E$3220,4,FALSE))),vlookup($D1812,Pop_Census_2023!$A$2:$E$3220,4,FALSE), vlookup($D1812,Pop_Census_2023!$A$2:$E$3220,5,FALSE))</f>
        <v>19444</v>
      </c>
      <c r="F1812" s="32">
        <v>1702366.0</v>
      </c>
      <c r="G1812" s="32">
        <v>31.0</v>
      </c>
      <c r="H1812" s="32" t="str">
        <f>VLOOKUP(D1812, Grid_Region_Mapping!$D$2:$F$5286, 3, FALSE)</f>
        <v>SRSG</v>
      </c>
      <c r="I1812" s="32">
        <v>8.0</v>
      </c>
      <c r="J1812" s="34" t="str">
        <f t="shared" si="1"/>
        <v>West</v>
      </c>
      <c r="K1812" s="35">
        <v>2.0</v>
      </c>
      <c r="L1812" s="35" t="s">
        <v>202</v>
      </c>
      <c r="M1812" s="36">
        <f>VLOOKUP(D1812, County_Data_CZones!$B$2:$F$3236, 2, FALSE)</f>
        <v>5</v>
      </c>
      <c r="N1812" s="37" t="str">
        <f>VLOOKUP(D1812, County_Data_CZones!$B$2:$F$3236, 5, FALSE)</f>
        <v>Cold</v>
      </c>
    </row>
    <row r="1813" ht="15.75" customHeight="1">
      <c r="A1813" s="32" t="s">
        <v>1284</v>
      </c>
      <c r="B1813" s="32" t="s">
        <v>1271</v>
      </c>
      <c r="C1813" s="32" t="str">
        <f>vlookup(B1813,State_EMM_RowSums!$A$2:$B$52,2,FALSE)</f>
        <v>NM</v>
      </c>
      <c r="D1813" s="32">
        <v>35029.0</v>
      </c>
      <c r="E1813" s="33">
        <f>IF(NOT(ISBLANK(vlookup($D1813,Pop_Census_2023!$A$2:$E$3220,4,FALSE))),vlookup($D1813,Pop_Census_2023!$A$2:$E$3220,4,FALSE), vlookup($D1813,Pop_Census_2023!$A$2:$E$3220,5,FALSE))</f>
        <v>25316</v>
      </c>
      <c r="F1813" s="32">
        <v>933057.0</v>
      </c>
      <c r="G1813" s="32">
        <v>31.0</v>
      </c>
      <c r="H1813" s="32" t="str">
        <f>VLOOKUP(D1813, Grid_Region_Mapping!$D$2:$F$5286, 3, FALSE)</f>
        <v>SRSG</v>
      </c>
      <c r="I1813" s="32">
        <v>8.0</v>
      </c>
      <c r="J1813" s="34" t="str">
        <f t="shared" si="1"/>
        <v>West</v>
      </c>
      <c r="K1813" s="35">
        <v>4.0</v>
      </c>
      <c r="L1813" s="35" t="s">
        <v>204</v>
      </c>
      <c r="M1813" s="36">
        <f>VLOOKUP(D1813, County_Data_CZones!$B$2:$F$3236, 2, FALSE)</f>
        <v>3</v>
      </c>
      <c r="N1813" s="37" t="str">
        <f>VLOOKUP(D1813, County_Data_CZones!$B$2:$F$3236, 5, FALSE)</f>
        <v>Hot-Dry</v>
      </c>
    </row>
    <row r="1814" ht="15.75" customHeight="1">
      <c r="A1814" s="32" t="s">
        <v>1285</v>
      </c>
      <c r="B1814" s="32" t="s">
        <v>1271</v>
      </c>
      <c r="C1814" s="32" t="str">
        <f>vlookup(B1814,State_EMM_RowSums!$A$2:$B$52,2,FALSE)</f>
        <v>NM</v>
      </c>
      <c r="D1814" s="32">
        <v>35031.0</v>
      </c>
      <c r="E1814" s="33">
        <f>IF(NOT(ISBLANK(vlookup($D1814,Pop_Census_2023!$A$2:$E$3220,4,FALSE))),vlookup($D1814,Pop_Census_2023!$A$2:$E$3220,4,FALSE), vlookup($D1814,Pop_Census_2023!$A$2:$E$3220,5,FALSE))</f>
        <v>68797</v>
      </c>
      <c r="F1814" s="32">
        <v>929107.0</v>
      </c>
      <c r="G1814" s="32">
        <v>31.0</v>
      </c>
      <c r="H1814" s="32" t="str">
        <f>VLOOKUP(D1814, Grid_Region_Mapping!$D$2:$F$5286, 3, FALSE)</f>
        <v>SRSG</v>
      </c>
      <c r="I1814" s="32">
        <v>8.0</v>
      </c>
      <c r="J1814" s="34" t="str">
        <f t="shared" si="1"/>
        <v>West</v>
      </c>
      <c r="K1814" s="35">
        <v>2.0</v>
      </c>
      <c r="L1814" s="35" t="s">
        <v>202</v>
      </c>
      <c r="M1814" s="36">
        <f>VLOOKUP(D1814, County_Data_CZones!$B$2:$F$3236, 2, FALSE)</f>
        <v>5</v>
      </c>
      <c r="N1814" s="37" t="str">
        <f>VLOOKUP(D1814, County_Data_CZones!$B$2:$F$3236, 5, FALSE)</f>
        <v>Cold</v>
      </c>
    </row>
    <row r="1815" ht="15.75" customHeight="1">
      <c r="A1815" s="32" t="s">
        <v>1286</v>
      </c>
      <c r="B1815" s="32" t="s">
        <v>1271</v>
      </c>
      <c r="C1815" s="32" t="str">
        <f>vlookup(B1815,State_EMM_RowSums!$A$2:$B$52,2,FALSE)</f>
        <v>NM</v>
      </c>
      <c r="D1815" s="32">
        <v>35033.0</v>
      </c>
      <c r="E1815" s="33">
        <f>IF(NOT(ISBLANK(vlookup($D1815,Pop_Census_2023!$A$2:$E$3220,4,FALSE))),vlookup($D1815,Pop_Census_2023!$A$2:$E$3220,4,FALSE), vlookup($D1815,Pop_Census_2023!$A$2:$E$3220,5,FALSE))</f>
        <v>4123</v>
      </c>
      <c r="F1815" s="32">
        <v>1702367.0</v>
      </c>
      <c r="G1815" s="32">
        <v>31.0</v>
      </c>
      <c r="H1815" s="32" t="str">
        <f>VLOOKUP(D1815, Grid_Region_Mapping!$D$2:$F$5286, 3, FALSE)</f>
        <v>SRSG</v>
      </c>
      <c r="I1815" s="32">
        <v>8.0</v>
      </c>
      <c r="J1815" s="34" t="str">
        <f t="shared" si="1"/>
        <v>West</v>
      </c>
      <c r="K1815" s="35">
        <v>1.0</v>
      </c>
      <c r="L1815" s="35" t="s">
        <v>202</v>
      </c>
      <c r="M1815" s="36">
        <f>VLOOKUP(D1815, County_Data_CZones!$B$2:$F$3236, 2, FALSE)</f>
        <v>5</v>
      </c>
      <c r="N1815" s="37" t="str">
        <f>VLOOKUP(D1815, County_Data_CZones!$B$2:$F$3236, 5, FALSE)</f>
        <v>Cold</v>
      </c>
    </row>
    <row r="1816" ht="15.75" customHeight="1">
      <c r="A1816" s="32" t="s">
        <v>378</v>
      </c>
      <c r="B1816" s="32" t="s">
        <v>1271</v>
      </c>
      <c r="C1816" s="32" t="str">
        <f>vlookup(B1816,State_EMM_RowSums!$A$2:$B$52,2,FALSE)</f>
        <v>NM</v>
      </c>
      <c r="D1816" s="32">
        <v>35035.0</v>
      </c>
      <c r="E1816" s="33">
        <f>IF(NOT(ISBLANK(vlookup($D1816,Pop_Census_2023!$A$2:$E$3220,4,FALSE))),vlookup($D1816,Pop_Census_2023!$A$2:$E$3220,4,FALSE), vlookup($D1816,Pop_Census_2023!$A$2:$E$3220,5,FALSE))</f>
        <v>68835</v>
      </c>
      <c r="F1816" s="32">
        <v>929104.0</v>
      </c>
      <c r="G1816" s="32">
        <v>31.0</v>
      </c>
      <c r="H1816" s="32" t="str">
        <f>VLOOKUP(D1816, Grid_Region_Mapping!$D$2:$F$5286, 3, FALSE)</f>
        <v>SRSG</v>
      </c>
      <c r="I1816" s="32">
        <v>8.0</v>
      </c>
      <c r="J1816" s="34" t="str">
        <f t="shared" si="1"/>
        <v>West</v>
      </c>
      <c r="K1816" s="35">
        <v>4.0</v>
      </c>
      <c r="L1816" s="35" t="s">
        <v>204</v>
      </c>
      <c r="M1816" s="36">
        <f>VLOOKUP(D1816, County_Data_CZones!$B$2:$F$3236, 2, FALSE)</f>
        <v>3</v>
      </c>
      <c r="N1816" s="37" t="str">
        <f>VLOOKUP(D1816, County_Data_CZones!$B$2:$F$3236, 5, FALSE)</f>
        <v>Hot-Dry</v>
      </c>
    </row>
    <row r="1817" ht="15.75" customHeight="1">
      <c r="A1817" s="32" t="s">
        <v>1287</v>
      </c>
      <c r="B1817" s="32" t="s">
        <v>1271</v>
      </c>
      <c r="C1817" s="32" t="str">
        <f>vlookup(B1817,State_EMM_RowSums!$A$2:$B$52,2,FALSE)</f>
        <v>NM</v>
      </c>
      <c r="D1817" s="32">
        <v>35037.0</v>
      </c>
      <c r="E1817" s="33">
        <f>IF(NOT(ISBLANK(vlookup($D1817,Pop_Census_2023!$A$2:$E$3220,4,FALSE))),vlookup($D1817,Pop_Census_2023!$A$2:$E$3220,4,FALSE), vlookup($D1817,Pop_Census_2023!$A$2:$E$3220,5,FALSE))</f>
        <v>8510</v>
      </c>
      <c r="F1817" s="32">
        <v>929110.0</v>
      </c>
      <c r="G1817" s="32">
        <v>47.0</v>
      </c>
      <c r="H1817" s="32" t="str">
        <f>VLOOKUP(D1817, Grid_Region_Mapping!$D$2:$F$5286, 3, FALSE)</f>
        <v>SPPS</v>
      </c>
      <c r="I1817" s="32">
        <v>8.0</v>
      </c>
      <c r="J1817" s="34" t="str">
        <f t="shared" si="1"/>
        <v>West</v>
      </c>
      <c r="K1817" s="35">
        <v>4.0</v>
      </c>
      <c r="L1817" s="35" t="s">
        <v>207</v>
      </c>
      <c r="M1817" s="36">
        <f>VLOOKUP(D1817, County_Data_CZones!$B$2:$F$3236, 2, FALSE)</f>
        <v>4</v>
      </c>
      <c r="N1817" s="37" t="str">
        <f>VLOOKUP(D1817, County_Data_CZones!$B$2:$F$3236, 5, FALSE)</f>
        <v>Mixed-Dry</v>
      </c>
    </row>
    <row r="1818" ht="15.75" customHeight="1">
      <c r="A1818" s="32" t="s">
        <v>1288</v>
      </c>
      <c r="B1818" s="32" t="s">
        <v>1271</v>
      </c>
      <c r="C1818" s="32" t="str">
        <f>vlookup(B1818,State_EMM_RowSums!$A$2:$B$52,2,FALSE)</f>
        <v>NM</v>
      </c>
      <c r="D1818" s="32">
        <v>35039.0</v>
      </c>
      <c r="E1818" s="33">
        <f>IF(NOT(ISBLANK(vlookup($D1818,Pop_Census_2023!$A$2:$E$3220,4,FALSE))),vlookup($D1818,Pop_Census_2023!$A$2:$E$3220,4,FALSE), vlookup($D1818,Pop_Census_2023!$A$2:$E$3220,5,FALSE))</f>
        <v>39876</v>
      </c>
      <c r="F1818" s="32">
        <v>1702368.0</v>
      </c>
      <c r="G1818" s="32">
        <v>31.0</v>
      </c>
      <c r="H1818" s="32" t="str">
        <f>VLOOKUP(D1818, Grid_Region_Mapping!$D$2:$F$5286, 3, FALSE)</f>
        <v>SRSG</v>
      </c>
      <c r="I1818" s="32">
        <v>8.0</v>
      </c>
      <c r="J1818" s="34" t="str">
        <f t="shared" si="1"/>
        <v>West</v>
      </c>
      <c r="K1818" s="35">
        <v>2.0</v>
      </c>
      <c r="L1818" s="35" t="s">
        <v>202</v>
      </c>
      <c r="M1818" s="36">
        <f>VLOOKUP(D1818, County_Data_CZones!$B$2:$F$3236, 2, FALSE)</f>
        <v>5</v>
      </c>
      <c r="N1818" s="37" t="str">
        <f>VLOOKUP(D1818, County_Data_CZones!$B$2:$F$3236, 5, FALSE)</f>
        <v>Cold</v>
      </c>
    </row>
    <row r="1819" ht="15.75" customHeight="1">
      <c r="A1819" s="32" t="s">
        <v>1187</v>
      </c>
      <c r="B1819" s="32" t="s">
        <v>1271</v>
      </c>
      <c r="C1819" s="32" t="str">
        <f>vlookup(B1819,State_EMM_RowSums!$A$2:$B$52,2,FALSE)</f>
        <v>NM</v>
      </c>
      <c r="D1819" s="32">
        <v>35041.0</v>
      </c>
      <c r="E1819" s="33">
        <f>IF(NOT(ISBLANK(vlookup($D1819,Pop_Census_2023!$A$2:$E$3220,4,FALSE))),vlookup($D1819,Pop_Census_2023!$A$2:$E$3220,4,FALSE), vlookup($D1819,Pop_Census_2023!$A$2:$E$3220,5,FALSE))</f>
        <v>18787</v>
      </c>
      <c r="F1819" s="32">
        <v>1702369.0</v>
      </c>
      <c r="G1819" s="32">
        <v>47.0</v>
      </c>
      <c r="H1819" s="32" t="str">
        <f>VLOOKUP(D1819, Grid_Region_Mapping!$D$2:$F$5286, 3, FALSE)</f>
        <v>SPPS</v>
      </c>
      <c r="I1819" s="32">
        <v>8.0</v>
      </c>
      <c r="J1819" s="34" t="str">
        <f t="shared" si="1"/>
        <v>West</v>
      </c>
      <c r="K1819" s="35">
        <v>4.0</v>
      </c>
      <c r="L1819" s="35" t="s">
        <v>207</v>
      </c>
      <c r="M1819" s="36">
        <f>VLOOKUP(D1819, County_Data_CZones!$B$2:$F$3236, 2, FALSE)</f>
        <v>4</v>
      </c>
      <c r="N1819" s="37" t="str">
        <f>VLOOKUP(D1819, County_Data_CZones!$B$2:$F$3236, 5, FALSE)</f>
        <v>Mixed-Dry</v>
      </c>
    </row>
    <row r="1820" ht="15.75" customHeight="1">
      <c r="A1820" s="32" t="s">
        <v>1289</v>
      </c>
      <c r="B1820" s="32" t="s">
        <v>1271</v>
      </c>
      <c r="C1820" s="32" t="str">
        <f>vlookup(B1820,State_EMM_RowSums!$A$2:$B$52,2,FALSE)</f>
        <v>NM</v>
      </c>
      <c r="D1820" s="32">
        <v>35043.0</v>
      </c>
      <c r="E1820" s="33">
        <f>IF(NOT(ISBLANK(vlookup($D1820,Pop_Census_2023!$A$2:$E$3220,4,FALSE))),vlookup($D1820,Pop_Census_2023!$A$2:$E$3220,4,FALSE), vlookup($D1820,Pop_Census_2023!$A$2:$E$3220,5,FALSE))</f>
        <v>155936</v>
      </c>
      <c r="F1820" s="32">
        <v>929113.0</v>
      </c>
      <c r="G1820" s="32">
        <v>31.0</v>
      </c>
      <c r="H1820" s="32" t="str">
        <f>VLOOKUP(D1820, Grid_Region_Mapping!$D$2:$F$5286, 3, FALSE)</f>
        <v>SRSG</v>
      </c>
      <c r="I1820" s="32">
        <v>8.0</v>
      </c>
      <c r="J1820" s="34" t="str">
        <f t="shared" si="1"/>
        <v>West</v>
      </c>
      <c r="K1820" s="35">
        <v>2.0</v>
      </c>
      <c r="L1820" s="35" t="s">
        <v>202</v>
      </c>
      <c r="M1820" s="36">
        <f>VLOOKUP(D1820, County_Data_CZones!$B$2:$F$3236, 2, FALSE)</f>
        <v>5</v>
      </c>
      <c r="N1820" s="37" t="str">
        <f>VLOOKUP(D1820, County_Data_CZones!$B$2:$F$3236, 5, FALSE)</f>
        <v>Cold</v>
      </c>
    </row>
    <row r="1821" ht="15.75" customHeight="1">
      <c r="A1821" s="32" t="s">
        <v>388</v>
      </c>
      <c r="B1821" s="32" t="s">
        <v>1271</v>
      </c>
      <c r="C1821" s="32" t="str">
        <f>vlookup(B1821,State_EMM_RowSums!$A$2:$B$52,2,FALSE)</f>
        <v>NM</v>
      </c>
      <c r="D1821" s="32">
        <v>35045.0</v>
      </c>
      <c r="E1821" s="33">
        <f>IF(NOT(ISBLANK(vlookup($D1821,Pop_Census_2023!$A$2:$E$3220,4,FALSE))),vlookup($D1821,Pop_Census_2023!$A$2:$E$3220,4,FALSE), vlookup($D1821,Pop_Census_2023!$A$2:$E$3220,5,FALSE))</f>
        <v>120675</v>
      </c>
      <c r="F1821" s="32">
        <v>936844.0</v>
      </c>
      <c r="G1821" s="32">
        <v>31.0</v>
      </c>
      <c r="H1821" s="32" t="str">
        <f>VLOOKUP(D1821, Grid_Region_Mapping!$D$2:$F$5286, 3, FALSE)</f>
        <v>RMRG</v>
      </c>
      <c r="I1821" s="32">
        <v>8.0</v>
      </c>
      <c r="J1821" s="34" t="str">
        <f t="shared" si="1"/>
        <v>West</v>
      </c>
      <c r="K1821" s="35">
        <v>2.0</v>
      </c>
      <c r="L1821" s="35" t="s">
        <v>202</v>
      </c>
      <c r="M1821" s="36">
        <f>VLOOKUP(D1821, County_Data_CZones!$B$2:$F$3236, 2, FALSE)</f>
        <v>5</v>
      </c>
      <c r="N1821" s="37" t="str">
        <f>VLOOKUP(D1821, County_Data_CZones!$B$2:$F$3236, 5, FALSE)</f>
        <v>Cold</v>
      </c>
    </row>
    <row r="1822" ht="15.75" customHeight="1">
      <c r="A1822" s="32" t="s">
        <v>389</v>
      </c>
      <c r="B1822" s="32" t="s">
        <v>1271</v>
      </c>
      <c r="C1822" s="32" t="str">
        <f>vlookup(B1822,State_EMM_RowSums!$A$2:$B$52,2,FALSE)</f>
        <v>NM</v>
      </c>
      <c r="D1822" s="32">
        <v>35047.0</v>
      </c>
      <c r="E1822" s="33">
        <f>IF(NOT(ISBLANK(vlookup($D1822,Pop_Census_2023!$A$2:$E$3220,4,FALSE))),vlookup($D1822,Pop_Census_2023!$A$2:$E$3220,4,FALSE), vlookup($D1822,Pop_Census_2023!$A$2:$E$3220,5,FALSE))</f>
        <v>26668</v>
      </c>
      <c r="F1822" s="32">
        <v>929114.0</v>
      </c>
      <c r="G1822" s="32">
        <v>31.0</v>
      </c>
      <c r="H1822" s="32" t="str">
        <f>VLOOKUP(D1822, Grid_Region_Mapping!$D$2:$F$5286, 3, FALSE)</f>
        <v>SRSG</v>
      </c>
      <c r="I1822" s="32">
        <v>8.0</v>
      </c>
      <c r="J1822" s="34" t="str">
        <f t="shared" si="1"/>
        <v>West</v>
      </c>
      <c r="K1822" s="35">
        <v>2.0</v>
      </c>
      <c r="L1822" s="35" t="s">
        <v>202</v>
      </c>
      <c r="M1822" s="36">
        <f>VLOOKUP(D1822, County_Data_CZones!$B$2:$F$3236, 2, FALSE)</f>
        <v>5</v>
      </c>
      <c r="N1822" s="37" t="str">
        <f>VLOOKUP(D1822, County_Data_CZones!$B$2:$F$3236, 5, FALSE)</f>
        <v>Cold</v>
      </c>
    </row>
    <row r="1823" ht="15.75" customHeight="1">
      <c r="A1823" s="32" t="s">
        <v>1290</v>
      </c>
      <c r="B1823" s="32" t="s">
        <v>1271</v>
      </c>
      <c r="C1823" s="32" t="str">
        <f>vlookup(B1823,State_EMM_RowSums!$A$2:$B$52,2,FALSE)</f>
        <v>NM</v>
      </c>
      <c r="D1823" s="32">
        <v>35049.0</v>
      </c>
      <c r="E1823" s="33">
        <f>IF(NOT(ISBLANK(vlookup($D1823,Pop_Census_2023!$A$2:$E$3220,4,FALSE))),vlookup($D1823,Pop_Census_2023!$A$2:$E$3220,4,FALSE), vlookup($D1823,Pop_Census_2023!$A$2:$E$3220,5,FALSE))</f>
        <v>155956</v>
      </c>
      <c r="F1823" s="32">
        <v>933322.0</v>
      </c>
      <c r="G1823" s="32">
        <v>31.0</v>
      </c>
      <c r="H1823" s="32" t="str">
        <f>VLOOKUP(D1823, Grid_Region_Mapping!$D$2:$F$5286, 3, FALSE)</f>
        <v>SRSG</v>
      </c>
      <c r="I1823" s="32">
        <v>8.0</v>
      </c>
      <c r="J1823" s="34" t="str">
        <f t="shared" si="1"/>
        <v>West</v>
      </c>
      <c r="K1823" s="35">
        <v>2.0</v>
      </c>
      <c r="L1823" s="35" t="s">
        <v>202</v>
      </c>
      <c r="M1823" s="36">
        <f>VLOOKUP(D1823, County_Data_CZones!$B$2:$F$3236, 2, FALSE)</f>
        <v>5</v>
      </c>
      <c r="N1823" s="37" t="str">
        <f>VLOOKUP(D1823, County_Data_CZones!$B$2:$F$3236, 5, FALSE)</f>
        <v>Cold</v>
      </c>
    </row>
    <row r="1824" ht="15.75" customHeight="1">
      <c r="A1824" s="32" t="s">
        <v>325</v>
      </c>
      <c r="B1824" s="32" t="s">
        <v>1271</v>
      </c>
      <c r="C1824" s="32" t="str">
        <f>vlookup(B1824,State_EMM_RowSums!$A$2:$B$52,2,FALSE)</f>
        <v>NM</v>
      </c>
      <c r="D1824" s="32">
        <v>35051.0</v>
      </c>
      <c r="E1824" s="33">
        <f>IF(NOT(ISBLANK(vlookup($D1824,Pop_Census_2023!$A$2:$E$3220,4,FALSE))),vlookup($D1824,Pop_Census_2023!$A$2:$E$3220,4,FALSE), vlookup($D1824,Pop_Census_2023!$A$2:$E$3220,5,FALSE))</f>
        <v>11488</v>
      </c>
      <c r="F1824" s="32">
        <v>1702370.0</v>
      </c>
      <c r="G1824" s="32">
        <v>31.0</v>
      </c>
      <c r="H1824" s="32" t="str">
        <f>VLOOKUP(D1824, Grid_Region_Mapping!$D$2:$F$5286, 3, FALSE)</f>
        <v>SRSG</v>
      </c>
      <c r="I1824" s="32">
        <v>8.0</v>
      </c>
      <c r="J1824" s="34" t="str">
        <f t="shared" si="1"/>
        <v>West</v>
      </c>
      <c r="K1824" s="35">
        <v>4.0</v>
      </c>
      <c r="L1824" s="35" t="s">
        <v>207</v>
      </c>
      <c r="M1824" s="36">
        <f>VLOOKUP(D1824, County_Data_CZones!$B$2:$F$3236, 2, FALSE)</f>
        <v>4</v>
      </c>
      <c r="N1824" s="37" t="str">
        <f>VLOOKUP(D1824, County_Data_CZones!$B$2:$F$3236, 5, FALSE)</f>
        <v>Mixed-Dry</v>
      </c>
    </row>
    <row r="1825" ht="15.75" customHeight="1">
      <c r="A1825" s="32" t="s">
        <v>1291</v>
      </c>
      <c r="B1825" s="32" t="s">
        <v>1271</v>
      </c>
      <c r="C1825" s="32" t="str">
        <f>vlookup(B1825,State_EMM_RowSums!$A$2:$B$52,2,FALSE)</f>
        <v>NM</v>
      </c>
      <c r="D1825" s="32">
        <v>35053.0</v>
      </c>
      <c r="E1825" s="33">
        <f>IF(NOT(ISBLANK(vlookup($D1825,Pop_Census_2023!$A$2:$E$3220,4,FALSE))),vlookup($D1825,Pop_Census_2023!$A$2:$E$3220,4,FALSE), vlookup($D1825,Pop_Census_2023!$A$2:$E$3220,5,FALSE))</f>
        <v>15963</v>
      </c>
      <c r="F1825" s="32">
        <v>1702371.0</v>
      </c>
      <c r="G1825" s="32">
        <v>31.0</v>
      </c>
      <c r="H1825" s="32" t="str">
        <f>VLOOKUP(D1825, Grid_Region_Mapping!$D$2:$F$5286, 3, FALSE)</f>
        <v>SRSG</v>
      </c>
      <c r="I1825" s="32">
        <v>8.0</v>
      </c>
      <c r="J1825" s="34" t="str">
        <f t="shared" si="1"/>
        <v>West</v>
      </c>
      <c r="K1825" s="35">
        <v>3.0</v>
      </c>
      <c r="L1825" s="35" t="s">
        <v>207</v>
      </c>
      <c r="M1825" s="36">
        <f>VLOOKUP(D1825, County_Data_CZones!$B$2:$F$3236, 2, FALSE)</f>
        <v>4</v>
      </c>
      <c r="N1825" s="37" t="str">
        <f>VLOOKUP(D1825, County_Data_CZones!$B$2:$F$3236, 5, FALSE)</f>
        <v>Mixed-Dry</v>
      </c>
    </row>
    <row r="1826" ht="15.75" customHeight="1">
      <c r="A1826" s="32" t="s">
        <v>1292</v>
      </c>
      <c r="B1826" s="32" t="s">
        <v>1271</v>
      </c>
      <c r="C1826" s="32" t="str">
        <f>vlookup(B1826,State_EMM_RowSums!$A$2:$B$52,2,FALSE)</f>
        <v>NM</v>
      </c>
      <c r="D1826" s="32">
        <v>35055.0</v>
      </c>
      <c r="E1826" s="33">
        <f>IF(NOT(ISBLANK(vlookup($D1826,Pop_Census_2023!$A$2:$E$3220,4,FALSE))),vlookup($D1826,Pop_Census_2023!$A$2:$E$3220,4,FALSE), vlookup($D1826,Pop_Census_2023!$A$2:$E$3220,5,FALSE))</f>
        <v>34405</v>
      </c>
      <c r="F1826" s="32">
        <v>933056.0</v>
      </c>
      <c r="G1826" s="32">
        <v>31.0</v>
      </c>
      <c r="H1826" s="32" t="str">
        <f>VLOOKUP(D1826, Grid_Region_Mapping!$D$2:$F$5286, 3, FALSE)</f>
        <v>SRSG</v>
      </c>
      <c r="I1826" s="32">
        <v>8.0</v>
      </c>
      <c r="J1826" s="34" t="str">
        <f t="shared" si="1"/>
        <v>West</v>
      </c>
      <c r="K1826" s="35">
        <v>1.0</v>
      </c>
      <c r="L1826" s="35" t="s">
        <v>202</v>
      </c>
      <c r="M1826" s="36">
        <f>VLOOKUP(D1826, County_Data_CZones!$B$2:$F$3236, 2, FALSE)</f>
        <v>5</v>
      </c>
      <c r="N1826" s="37" t="str">
        <f>VLOOKUP(D1826, County_Data_CZones!$B$2:$F$3236, 5, FALSE)</f>
        <v>Cold</v>
      </c>
    </row>
    <row r="1827" ht="15.75" customHeight="1">
      <c r="A1827" s="32" t="s">
        <v>1293</v>
      </c>
      <c r="B1827" s="32" t="s">
        <v>1271</v>
      </c>
      <c r="C1827" s="32" t="str">
        <f>vlookup(B1827,State_EMM_RowSums!$A$2:$B$52,2,FALSE)</f>
        <v>NM</v>
      </c>
      <c r="D1827" s="32">
        <v>35057.0</v>
      </c>
      <c r="E1827" s="33">
        <f>IF(NOT(ISBLANK(vlookup($D1827,Pop_Census_2023!$A$2:$E$3220,4,FALSE))),vlookup($D1827,Pop_Census_2023!$A$2:$E$3220,4,FALSE), vlookup($D1827,Pop_Census_2023!$A$2:$E$3220,5,FALSE))</f>
        <v>15633</v>
      </c>
      <c r="F1827" s="32">
        <v>929112.0</v>
      </c>
      <c r="G1827" s="32">
        <v>31.0</v>
      </c>
      <c r="H1827" s="32" t="str">
        <f>VLOOKUP(D1827, Grid_Region_Mapping!$D$2:$F$5286, 3, FALSE)</f>
        <v>SRSG</v>
      </c>
      <c r="I1827" s="32">
        <v>8.0</v>
      </c>
      <c r="J1827" s="34" t="str">
        <f t="shared" si="1"/>
        <v>West</v>
      </c>
      <c r="K1827" s="35">
        <v>3.0</v>
      </c>
      <c r="L1827" s="35" t="s">
        <v>202</v>
      </c>
      <c r="M1827" s="36">
        <f>VLOOKUP(D1827, County_Data_CZones!$B$2:$F$3236, 2, FALSE)</f>
        <v>5</v>
      </c>
      <c r="N1827" s="37" t="str">
        <f>VLOOKUP(D1827, County_Data_CZones!$B$2:$F$3236, 5, FALSE)</f>
        <v>Cold</v>
      </c>
    </row>
    <row r="1828" ht="15.75" customHeight="1">
      <c r="A1828" s="32" t="s">
        <v>273</v>
      </c>
      <c r="B1828" s="32" t="s">
        <v>1271</v>
      </c>
      <c r="C1828" s="32" t="str">
        <f>vlookup(B1828,State_EMM_RowSums!$A$2:$B$52,2,FALSE)</f>
        <v>NM</v>
      </c>
      <c r="D1828" s="32">
        <v>35059.0</v>
      </c>
      <c r="E1828" s="33">
        <f>IF(NOT(ISBLANK(vlookup($D1828,Pop_Census_2023!$A$2:$E$3220,4,FALSE))),vlookup($D1828,Pop_Census_2023!$A$2:$E$3220,4,FALSE), vlookup($D1828,Pop_Census_2023!$A$2:$E$3220,5,FALSE))</f>
        <v>3964</v>
      </c>
      <c r="F1828" s="32">
        <v>929115.0</v>
      </c>
      <c r="G1828" s="32">
        <v>31.0</v>
      </c>
      <c r="H1828" s="32" t="str">
        <f>VLOOKUP(D1828, Grid_Region_Mapping!$D$2:$F$5286, 3, FALSE)</f>
        <v>SRSG</v>
      </c>
      <c r="I1828" s="32">
        <v>8.0</v>
      </c>
      <c r="J1828" s="34" t="str">
        <f t="shared" si="1"/>
        <v>West</v>
      </c>
      <c r="K1828" s="35">
        <v>3.0</v>
      </c>
      <c r="L1828" s="35" t="s">
        <v>207</v>
      </c>
      <c r="M1828" s="36">
        <f>VLOOKUP(D1828, County_Data_CZones!$B$2:$F$3236, 2, FALSE)</f>
        <v>4</v>
      </c>
      <c r="N1828" s="37" t="str">
        <f>VLOOKUP(D1828, County_Data_CZones!$B$2:$F$3236, 5, FALSE)</f>
        <v>Mixed-Dry</v>
      </c>
    </row>
    <row r="1829" ht="15.75" customHeight="1">
      <c r="A1829" s="32" t="s">
        <v>1294</v>
      </c>
      <c r="B1829" s="32" t="s">
        <v>1271</v>
      </c>
      <c r="C1829" s="32" t="str">
        <f>vlookup(B1829,State_EMM_RowSums!$A$2:$B$52,2,FALSE)</f>
        <v>NM</v>
      </c>
      <c r="D1829" s="32">
        <v>35061.0</v>
      </c>
      <c r="E1829" s="33">
        <f>IF(NOT(ISBLANK(vlookup($D1829,Pop_Census_2023!$A$2:$E$3220,4,FALSE))),vlookup($D1829,Pop_Census_2023!$A$2:$E$3220,4,FALSE), vlookup($D1829,Pop_Census_2023!$A$2:$E$3220,5,FALSE))</f>
        <v>79141</v>
      </c>
      <c r="F1829" s="32">
        <v>933052.0</v>
      </c>
      <c r="G1829" s="32">
        <v>31.0</v>
      </c>
      <c r="H1829" s="32" t="str">
        <f>VLOOKUP(D1829, Grid_Region_Mapping!$D$2:$F$5286, 3, FALSE)</f>
        <v>SRSG</v>
      </c>
      <c r="I1829" s="32">
        <v>8.0</v>
      </c>
      <c r="J1829" s="34" t="str">
        <f t="shared" si="1"/>
        <v>West</v>
      </c>
      <c r="K1829" s="35">
        <v>3.0</v>
      </c>
      <c r="L1829" s="35" t="s">
        <v>207</v>
      </c>
      <c r="M1829" s="36">
        <f>VLOOKUP(D1829, County_Data_CZones!$B$2:$F$3236, 2, FALSE)</f>
        <v>4</v>
      </c>
      <c r="N1829" s="37" t="str">
        <f>VLOOKUP(D1829, County_Data_CZones!$B$2:$F$3236, 5, FALSE)</f>
        <v>Mixed-Dry</v>
      </c>
    </row>
    <row r="1830" ht="15.75" customHeight="1">
      <c r="A1830" s="32" t="s">
        <v>1295</v>
      </c>
      <c r="B1830" s="32" t="s">
        <v>1296</v>
      </c>
      <c r="C1830" s="32" t="str">
        <f>vlookup(B1830,State_EMM_RowSums!$A$2:$B$52,2,FALSE)</f>
        <v>NY</v>
      </c>
      <c r="D1830" s="32">
        <v>36001.0</v>
      </c>
      <c r="E1830" s="33">
        <f>IF(NOT(ISBLANK(vlookup($D1830,Pop_Census_2023!$A$2:$E$3220,4,FALSE))),vlookup($D1830,Pop_Census_2023!$A$2:$E$3220,4,FALSE), vlookup($D1830,Pop_Census_2023!$A$2:$E$3220,5,FALSE))</f>
        <v>316659</v>
      </c>
      <c r="F1830" s="32">
        <v>974099.0</v>
      </c>
      <c r="G1830" s="32">
        <v>127.0</v>
      </c>
      <c r="H1830" s="32" t="str">
        <f>VLOOKUP(D1830, Grid_Region_Mapping!$D$2:$F$5286, 3, FALSE)</f>
        <v>NYUP</v>
      </c>
      <c r="I1830" s="32">
        <v>2.0</v>
      </c>
      <c r="J1830" s="34" t="str">
        <f t="shared" si="1"/>
        <v>Northeast</v>
      </c>
      <c r="K1830" s="35">
        <v>2.0</v>
      </c>
      <c r="L1830" s="35" t="s">
        <v>396</v>
      </c>
      <c r="M1830" s="36">
        <f>VLOOKUP(D1830, County_Data_CZones!$B$2:$F$3236, 2, FALSE)</f>
        <v>5</v>
      </c>
      <c r="N1830" s="37" t="str">
        <f>VLOOKUP(D1830, County_Data_CZones!$B$2:$F$3236, 5, FALSE)</f>
        <v>Cold</v>
      </c>
    </row>
    <row r="1831" ht="15.75" customHeight="1">
      <c r="A1831" s="32" t="s">
        <v>933</v>
      </c>
      <c r="B1831" s="32" t="s">
        <v>1296</v>
      </c>
      <c r="C1831" s="32" t="str">
        <f>vlookup(B1831,State_EMM_RowSums!$A$2:$B$52,2,FALSE)</f>
        <v>NY</v>
      </c>
      <c r="D1831" s="32">
        <v>36003.0</v>
      </c>
      <c r="E1831" s="33">
        <f>IF(NOT(ISBLANK(vlookup($D1831,Pop_Census_2023!$A$2:$E$3220,4,FALSE))),vlookup($D1831,Pop_Census_2023!$A$2:$E$3220,4,FALSE), vlookup($D1831,Pop_Census_2023!$A$2:$E$3220,5,FALSE))</f>
        <v>46651</v>
      </c>
      <c r="F1831" s="32">
        <v>974100.0</v>
      </c>
      <c r="G1831" s="32">
        <v>127.0</v>
      </c>
      <c r="H1831" s="32" t="str">
        <f>VLOOKUP(D1831, Grid_Region_Mapping!$D$2:$F$5286, 3, FALSE)</f>
        <v>NYUP</v>
      </c>
      <c r="I1831" s="32">
        <v>2.0</v>
      </c>
      <c r="J1831" s="34" t="str">
        <f t="shared" si="1"/>
        <v>Northeast</v>
      </c>
      <c r="K1831" s="35">
        <v>1.0</v>
      </c>
      <c r="L1831" s="35" t="s">
        <v>707</v>
      </c>
      <c r="M1831" s="36">
        <f>VLOOKUP(D1831, County_Data_CZones!$B$2:$F$3236, 2, FALSE)</f>
        <v>6</v>
      </c>
      <c r="N1831" s="37" t="str">
        <f>VLOOKUP(D1831, County_Data_CZones!$B$2:$F$3236, 5, FALSE)</f>
        <v>Cold</v>
      </c>
    </row>
    <row r="1832" ht="15.75" customHeight="1">
      <c r="A1832" s="32" t="s">
        <v>1297</v>
      </c>
      <c r="B1832" s="32" t="s">
        <v>1296</v>
      </c>
      <c r="C1832" s="32" t="str">
        <f>vlookup(B1832,State_EMM_RowSums!$A$2:$B$52,2,FALSE)</f>
        <v>NY</v>
      </c>
      <c r="D1832" s="32">
        <v>36005.0</v>
      </c>
      <c r="E1832" s="33">
        <f>IF(NOT(ISBLANK(vlookup($D1832,Pop_Census_2023!$A$2:$E$3220,4,FALSE))),vlookup($D1832,Pop_Census_2023!$A$2:$E$3220,4,FALSE), vlookup($D1832,Pop_Census_2023!$A$2:$E$3220,5,FALSE))</f>
        <v>1356476</v>
      </c>
      <c r="F1832" s="32">
        <v>974101.0</v>
      </c>
      <c r="G1832" s="32">
        <v>127.0</v>
      </c>
      <c r="H1832" s="32" t="str">
        <f>VLOOKUP(D1832, Grid_Region_Mapping!$D$2:$F$5286, 3, FALSE)</f>
        <v>NYCW</v>
      </c>
      <c r="I1832" s="32">
        <v>2.0</v>
      </c>
      <c r="J1832" s="34" t="str">
        <f t="shared" si="1"/>
        <v>Northeast</v>
      </c>
      <c r="K1832" s="35">
        <v>3.0</v>
      </c>
      <c r="L1832" s="35" t="s">
        <v>223</v>
      </c>
      <c r="M1832" s="36">
        <f>VLOOKUP(D1832, County_Data_CZones!$B$2:$F$3236, 2, FALSE)</f>
        <v>4</v>
      </c>
      <c r="N1832" s="37" t="str">
        <f>VLOOKUP(D1832, County_Data_CZones!$B$2:$F$3236, 5, FALSE)</f>
        <v>Mixed-Humid</v>
      </c>
    </row>
    <row r="1833" ht="15.75" customHeight="1">
      <c r="A1833" s="32" t="s">
        <v>1298</v>
      </c>
      <c r="B1833" s="32" t="s">
        <v>1296</v>
      </c>
      <c r="C1833" s="32" t="str">
        <f>vlookup(B1833,State_EMM_RowSums!$A$2:$B$52,2,FALSE)</f>
        <v>NY</v>
      </c>
      <c r="D1833" s="32">
        <v>36007.0</v>
      </c>
      <c r="E1833" s="33">
        <f>IF(NOT(ISBLANK(vlookup($D1833,Pop_Census_2023!$A$2:$E$3220,4,FALSE))),vlookup($D1833,Pop_Census_2023!$A$2:$E$3220,4,FALSE), vlookup($D1833,Pop_Census_2023!$A$2:$E$3220,5,FALSE))</f>
        <v>196077</v>
      </c>
      <c r="F1833" s="32">
        <v>974102.0</v>
      </c>
      <c r="G1833" s="32">
        <v>127.0</v>
      </c>
      <c r="H1833" s="32" t="str">
        <f>VLOOKUP(D1833, Grid_Region_Mapping!$D$2:$F$5286, 3, FALSE)</f>
        <v>NYUP</v>
      </c>
      <c r="I1833" s="32">
        <v>2.0</v>
      </c>
      <c r="J1833" s="34" t="str">
        <f t="shared" si="1"/>
        <v>Northeast</v>
      </c>
      <c r="K1833" s="35">
        <v>1.0</v>
      </c>
      <c r="L1833" s="35" t="s">
        <v>707</v>
      </c>
      <c r="M1833" s="36">
        <f>VLOOKUP(D1833, County_Data_CZones!$B$2:$F$3236, 2, FALSE)</f>
        <v>6</v>
      </c>
      <c r="N1833" s="37" t="str">
        <f>VLOOKUP(D1833, County_Data_CZones!$B$2:$F$3236, 5, FALSE)</f>
        <v>Cold</v>
      </c>
    </row>
    <row r="1834" ht="15.75" customHeight="1">
      <c r="A1834" s="32" t="s">
        <v>1299</v>
      </c>
      <c r="B1834" s="32" t="s">
        <v>1296</v>
      </c>
      <c r="C1834" s="32" t="str">
        <f>vlookup(B1834,State_EMM_RowSums!$A$2:$B$52,2,FALSE)</f>
        <v>NY</v>
      </c>
      <c r="D1834" s="32">
        <v>36009.0</v>
      </c>
      <c r="E1834" s="33">
        <f>IF(NOT(ISBLANK(vlookup($D1834,Pop_Census_2023!$A$2:$E$3220,4,FALSE))),vlookup($D1834,Pop_Census_2023!$A$2:$E$3220,4,FALSE), vlookup($D1834,Pop_Census_2023!$A$2:$E$3220,5,FALSE))</f>
        <v>75600</v>
      </c>
      <c r="F1834" s="32">
        <v>974103.0</v>
      </c>
      <c r="G1834" s="32">
        <v>127.0</v>
      </c>
      <c r="H1834" s="32" t="str">
        <f>VLOOKUP(D1834, Grid_Region_Mapping!$D$2:$F$5286, 3, FALSE)</f>
        <v>NYUP</v>
      </c>
      <c r="I1834" s="32">
        <v>2.0</v>
      </c>
      <c r="J1834" s="34" t="str">
        <f t="shared" si="1"/>
        <v>Northeast</v>
      </c>
      <c r="K1834" s="35">
        <v>1.0</v>
      </c>
      <c r="L1834" s="35" t="s">
        <v>707</v>
      </c>
      <c r="M1834" s="36">
        <f>VLOOKUP(D1834, County_Data_CZones!$B$2:$F$3236, 2, FALSE)</f>
        <v>6</v>
      </c>
      <c r="N1834" s="37" t="str">
        <f>VLOOKUP(D1834, County_Data_CZones!$B$2:$F$3236, 5, FALSE)</f>
        <v>Cold</v>
      </c>
    </row>
    <row r="1835" ht="15.75" customHeight="1">
      <c r="A1835" s="32" t="s">
        <v>1300</v>
      </c>
      <c r="B1835" s="32" t="s">
        <v>1296</v>
      </c>
      <c r="C1835" s="32" t="str">
        <f>vlookup(B1835,State_EMM_RowSums!$A$2:$B$52,2,FALSE)</f>
        <v>NY</v>
      </c>
      <c r="D1835" s="32">
        <v>36011.0</v>
      </c>
      <c r="E1835" s="33">
        <f>IF(NOT(ISBLANK(vlookup($D1835,Pop_Census_2023!$A$2:$E$3220,4,FALSE))),vlookup($D1835,Pop_Census_2023!$A$2:$E$3220,4,FALSE), vlookup($D1835,Pop_Census_2023!$A$2:$E$3220,5,FALSE))</f>
        <v>74485</v>
      </c>
      <c r="F1835" s="32">
        <v>974104.0</v>
      </c>
      <c r="G1835" s="32">
        <v>127.0</v>
      </c>
      <c r="H1835" s="32" t="str">
        <f>VLOOKUP(D1835, Grid_Region_Mapping!$D$2:$F$5286, 3, FALSE)</f>
        <v>NYUP</v>
      </c>
      <c r="I1835" s="32">
        <v>2.0</v>
      </c>
      <c r="J1835" s="34" t="str">
        <f t="shared" si="1"/>
        <v>Northeast</v>
      </c>
      <c r="K1835" s="35">
        <v>2.0</v>
      </c>
      <c r="L1835" s="35" t="s">
        <v>396</v>
      </c>
      <c r="M1835" s="36">
        <f>VLOOKUP(D1835, County_Data_CZones!$B$2:$F$3236, 2, FALSE)</f>
        <v>5</v>
      </c>
      <c r="N1835" s="37" t="str">
        <f>VLOOKUP(D1835, County_Data_CZones!$B$2:$F$3236, 5, FALSE)</f>
        <v>Cold</v>
      </c>
    </row>
    <row r="1836" ht="15.75" customHeight="1">
      <c r="A1836" s="32" t="s">
        <v>757</v>
      </c>
      <c r="B1836" s="32" t="s">
        <v>1296</v>
      </c>
      <c r="C1836" s="32" t="str">
        <f>vlookup(B1836,State_EMM_RowSums!$A$2:$B$52,2,FALSE)</f>
        <v>NY</v>
      </c>
      <c r="D1836" s="32">
        <v>36013.0</v>
      </c>
      <c r="E1836" s="33">
        <f>IF(NOT(ISBLANK(vlookup($D1836,Pop_Census_2023!$A$2:$E$3220,4,FALSE))),vlookup($D1836,Pop_Census_2023!$A$2:$E$3220,4,FALSE), vlookup($D1836,Pop_Census_2023!$A$2:$E$3220,5,FALSE))</f>
        <v>124891</v>
      </c>
      <c r="F1836" s="32">
        <v>974105.0</v>
      </c>
      <c r="G1836" s="32">
        <v>127.0</v>
      </c>
      <c r="H1836" s="32" t="str">
        <f>VLOOKUP(D1836, Grid_Region_Mapping!$D$2:$F$5286, 3, FALSE)</f>
        <v>NYUP</v>
      </c>
      <c r="I1836" s="32">
        <v>2.0</v>
      </c>
      <c r="J1836" s="34" t="str">
        <f t="shared" si="1"/>
        <v>Northeast</v>
      </c>
      <c r="K1836" s="35">
        <v>2.0</v>
      </c>
      <c r="L1836" s="35" t="s">
        <v>396</v>
      </c>
      <c r="M1836" s="36">
        <f>VLOOKUP(D1836, County_Data_CZones!$B$2:$F$3236, 2, FALSE)</f>
        <v>5</v>
      </c>
      <c r="N1836" s="37" t="str">
        <f>VLOOKUP(D1836, County_Data_CZones!$B$2:$F$3236, 5, FALSE)</f>
        <v>Cold</v>
      </c>
    </row>
    <row r="1837" ht="15.75" customHeight="1">
      <c r="A1837" s="32" t="s">
        <v>1301</v>
      </c>
      <c r="B1837" s="32" t="s">
        <v>1296</v>
      </c>
      <c r="C1837" s="32" t="str">
        <f>vlookup(B1837,State_EMM_RowSums!$A$2:$B$52,2,FALSE)</f>
        <v>NY</v>
      </c>
      <c r="D1837" s="32">
        <v>36015.0</v>
      </c>
      <c r="E1837" s="33">
        <f>IF(NOT(ISBLANK(vlookup($D1837,Pop_Census_2023!$A$2:$E$3220,4,FALSE))),vlookup($D1837,Pop_Census_2023!$A$2:$E$3220,4,FALSE), vlookup($D1837,Pop_Census_2023!$A$2:$E$3220,5,FALSE))</f>
        <v>81325</v>
      </c>
      <c r="F1837" s="32">
        <v>974106.0</v>
      </c>
      <c r="G1837" s="32">
        <v>127.0</v>
      </c>
      <c r="H1837" s="32" t="str">
        <f>VLOOKUP(D1837, Grid_Region_Mapping!$D$2:$F$5286, 3, FALSE)</f>
        <v>NYUP</v>
      </c>
      <c r="I1837" s="32">
        <v>2.0</v>
      </c>
      <c r="J1837" s="34" t="str">
        <f t="shared" si="1"/>
        <v>Northeast</v>
      </c>
      <c r="K1837" s="35">
        <v>2.0</v>
      </c>
      <c r="L1837" s="35" t="s">
        <v>396</v>
      </c>
      <c r="M1837" s="36">
        <f>VLOOKUP(D1837, County_Data_CZones!$B$2:$F$3236, 2, FALSE)</f>
        <v>5</v>
      </c>
      <c r="N1837" s="37" t="str">
        <f>VLOOKUP(D1837, County_Data_CZones!$B$2:$F$3236, 5, FALSE)</f>
        <v>Cold</v>
      </c>
    </row>
    <row r="1838" ht="15.75" customHeight="1">
      <c r="A1838" s="32" t="s">
        <v>1302</v>
      </c>
      <c r="B1838" s="32" t="s">
        <v>1296</v>
      </c>
      <c r="C1838" s="32" t="str">
        <f>vlookup(B1838,State_EMM_RowSums!$A$2:$B$52,2,FALSE)</f>
        <v>NY</v>
      </c>
      <c r="D1838" s="32">
        <v>36017.0</v>
      </c>
      <c r="E1838" s="33">
        <f>IF(NOT(ISBLANK(vlookup($D1838,Pop_Census_2023!$A$2:$E$3220,4,FALSE))),vlookup($D1838,Pop_Census_2023!$A$2:$E$3220,4,FALSE), vlookup($D1838,Pop_Census_2023!$A$2:$E$3220,5,FALSE))</f>
        <v>45920</v>
      </c>
      <c r="F1838" s="32">
        <v>974107.0</v>
      </c>
      <c r="G1838" s="32">
        <v>127.0</v>
      </c>
      <c r="H1838" s="32" t="str">
        <f>VLOOKUP(D1838, Grid_Region_Mapping!$D$2:$F$5286, 3, FALSE)</f>
        <v>NYUP</v>
      </c>
      <c r="I1838" s="32">
        <v>2.0</v>
      </c>
      <c r="J1838" s="34" t="str">
        <f t="shared" si="1"/>
        <v>Northeast</v>
      </c>
      <c r="K1838" s="35">
        <v>1.0</v>
      </c>
      <c r="L1838" s="35" t="s">
        <v>707</v>
      </c>
      <c r="M1838" s="36">
        <f>VLOOKUP(D1838, County_Data_CZones!$B$2:$F$3236, 2, FALSE)</f>
        <v>6</v>
      </c>
      <c r="N1838" s="37" t="str">
        <f>VLOOKUP(D1838, County_Data_CZones!$B$2:$F$3236, 5, FALSE)</f>
        <v>Cold</v>
      </c>
    </row>
    <row r="1839" ht="15.75" customHeight="1">
      <c r="A1839" s="32" t="s">
        <v>616</v>
      </c>
      <c r="B1839" s="32" t="s">
        <v>1296</v>
      </c>
      <c r="C1839" s="32" t="str">
        <f>vlookup(B1839,State_EMM_RowSums!$A$2:$B$52,2,FALSE)</f>
        <v>NY</v>
      </c>
      <c r="D1839" s="32">
        <v>36019.0</v>
      </c>
      <c r="E1839" s="33">
        <f>IF(NOT(ISBLANK(vlookup($D1839,Pop_Census_2023!$A$2:$E$3220,4,FALSE))),vlookup($D1839,Pop_Census_2023!$A$2:$E$3220,4,FALSE), vlookup($D1839,Pop_Census_2023!$A$2:$E$3220,5,FALSE))</f>
        <v>78115</v>
      </c>
      <c r="F1839" s="32">
        <v>974108.0</v>
      </c>
      <c r="G1839" s="32">
        <v>127.0</v>
      </c>
      <c r="H1839" s="32" t="str">
        <f>VLOOKUP(D1839, Grid_Region_Mapping!$D$2:$F$5286, 3, FALSE)</f>
        <v>NYUP</v>
      </c>
      <c r="I1839" s="32">
        <v>2.0</v>
      </c>
      <c r="J1839" s="34" t="str">
        <f t="shared" si="1"/>
        <v>Northeast</v>
      </c>
      <c r="K1839" s="35">
        <v>1.0</v>
      </c>
      <c r="L1839" s="35" t="s">
        <v>707</v>
      </c>
      <c r="M1839" s="36">
        <f>VLOOKUP(D1839, County_Data_CZones!$B$2:$F$3236, 2, FALSE)</f>
        <v>6</v>
      </c>
      <c r="N1839" s="37" t="str">
        <f>VLOOKUP(D1839, County_Data_CZones!$B$2:$F$3236, 5, FALSE)</f>
        <v>Cold</v>
      </c>
    </row>
    <row r="1840" ht="15.75" customHeight="1">
      <c r="A1840" s="32" t="s">
        <v>231</v>
      </c>
      <c r="B1840" s="32" t="s">
        <v>1296</v>
      </c>
      <c r="C1840" s="32" t="str">
        <f>vlookup(B1840,State_EMM_RowSums!$A$2:$B$52,2,FALSE)</f>
        <v>NY</v>
      </c>
      <c r="D1840" s="32">
        <v>36021.0</v>
      </c>
      <c r="E1840" s="33">
        <f>IF(NOT(ISBLANK(vlookup($D1840,Pop_Census_2023!$A$2:$E$3220,4,FALSE))),vlookup($D1840,Pop_Census_2023!$A$2:$E$3220,4,FALSE), vlookup($D1840,Pop_Census_2023!$A$2:$E$3220,5,FALSE))</f>
        <v>60470</v>
      </c>
      <c r="F1840" s="32">
        <v>974109.0</v>
      </c>
      <c r="G1840" s="32">
        <v>127.0</v>
      </c>
      <c r="H1840" s="32" t="str">
        <f>VLOOKUP(D1840, Grid_Region_Mapping!$D$2:$F$5286, 3, FALSE)</f>
        <v>NYUP</v>
      </c>
      <c r="I1840" s="32">
        <v>2.0</v>
      </c>
      <c r="J1840" s="34" t="str">
        <f t="shared" si="1"/>
        <v>Northeast</v>
      </c>
      <c r="K1840" s="35">
        <v>2.0</v>
      </c>
      <c r="L1840" s="35" t="s">
        <v>396</v>
      </c>
      <c r="M1840" s="36">
        <f>VLOOKUP(D1840, County_Data_CZones!$B$2:$F$3236, 2, FALSE)</f>
        <v>5</v>
      </c>
      <c r="N1840" s="37" t="str">
        <f>VLOOKUP(D1840, County_Data_CZones!$B$2:$F$3236, 5, FALSE)</f>
        <v>Cold</v>
      </c>
    </row>
    <row r="1841" ht="15.75" customHeight="1">
      <c r="A1841" s="32" t="s">
        <v>1303</v>
      </c>
      <c r="B1841" s="32" t="s">
        <v>1296</v>
      </c>
      <c r="C1841" s="32" t="str">
        <f>vlookup(B1841,State_EMM_RowSums!$A$2:$B$52,2,FALSE)</f>
        <v>NY</v>
      </c>
      <c r="D1841" s="32">
        <v>36023.0</v>
      </c>
      <c r="E1841" s="33">
        <f>IF(NOT(ISBLANK(vlookup($D1841,Pop_Census_2023!$A$2:$E$3220,4,FALSE))),vlookup($D1841,Pop_Census_2023!$A$2:$E$3220,4,FALSE), vlookup($D1841,Pop_Census_2023!$A$2:$E$3220,5,FALSE))</f>
        <v>45752</v>
      </c>
      <c r="F1841" s="32">
        <v>974110.0</v>
      </c>
      <c r="G1841" s="32">
        <v>127.0</v>
      </c>
      <c r="H1841" s="32" t="str">
        <f>VLOOKUP(D1841, Grid_Region_Mapping!$D$2:$F$5286, 3, FALSE)</f>
        <v>NYUP</v>
      </c>
      <c r="I1841" s="32">
        <v>2.0</v>
      </c>
      <c r="J1841" s="34" t="str">
        <f t="shared" si="1"/>
        <v>Northeast</v>
      </c>
      <c r="K1841" s="35">
        <v>1.0</v>
      </c>
      <c r="L1841" s="35" t="s">
        <v>396</v>
      </c>
      <c r="M1841" s="36">
        <f>VLOOKUP(D1841, County_Data_CZones!$B$2:$F$3236, 2, FALSE)</f>
        <v>5</v>
      </c>
      <c r="N1841" s="37" t="str">
        <f>VLOOKUP(D1841, County_Data_CZones!$B$2:$F$3236, 5, FALSE)</f>
        <v>Cold</v>
      </c>
    </row>
    <row r="1842" ht="15.75" customHeight="1">
      <c r="A1842" s="32" t="s">
        <v>405</v>
      </c>
      <c r="B1842" s="32" t="s">
        <v>1296</v>
      </c>
      <c r="C1842" s="32" t="str">
        <f>vlookup(B1842,State_EMM_RowSums!$A$2:$B$52,2,FALSE)</f>
        <v>NY</v>
      </c>
      <c r="D1842" s="32">
        <v>36025.0</v>
      </c>
      <c r="E1842" s="33">
        <f>IF(NOT(ISBLANK(vlookup($D1842,Pop_Census_2023!$A$2:$E$3220,4,FALSE))),vlookup($D1842,Pop_Census_2023!$A$2:$E$3220,4,FALSE), vlookup($D1842,Pop_Census_2023!$A$2:$E$3220,5,FALSE))</f>
        <v>44410</v>
      </c>
      <c r="F1842" s="32">
        <v>974111.0</v>
      </c>
      <c r="G1842" s="32">
        <v>127.0</v>
      </c>
      <c r="H1842" s="32" t="str">
        <f>VLOOKUP(D1842, Grid_Region_Mapping!$D$2:$F$5286, 3, FALSE)</f>
        <v>NYUP</v>
      </c>
      <c r="I1842" s="32">
        <v>2.0</v>
      </c>
      <c r="J1842" s="34" t="str">
        <f t="shared" si="1"/>
        <v>Northeast</v>
      </c>
      <c r="K1842" s="35">
        <v>1.0</v>
      </c>
      <c r="L1842" s="35" t="s">
        <v>707</v>
      </c>
      <c r="M1842" s="36">
        <f>VLOOKUP(D1842, County_Data_CZones!$B$2:$F$3236, 2, FALSE)</f>
        <v>6</v>
      </c>
      <c r="N1842" s="37" t="str">
        <f>VLOOKUP(D1842, County_Data_CZones!$B$2:$F$3236, 5, FALSE)</f>
        <v>Cold</v>
      </c>
    </row>
    <row r="1843" ht="15.75" customHeight="1">
      <c r="A1843" s="32" t="s">
        <v>1304</v>
      </c>
      <c r="B1843" s="32" t="s">
        <v>1296</v>
      </c>
      <c r="C1843" s="32" t="str">
        <f>vlookup(B1843,State_EMM_RowSums!$A$2:$B$52,2,FALSE)</f>
        <v>NY</v>
      </c>
      <c r="D1843" s="32">
        <v>36027.0</v>
      </c>
      <c r="E1843" s="33">
        <f>IF(NOT(ISBLANK(vlookup($D1843,Pop_Census_2023!$A$2:$E$3220,4,FALSE))),vlookup($D1843,Pop_Census_2023!$A$2:$E$3220,4,FALSE), vlookup($D1843,Pop_Census_2023!$A$2:$E$3220,5,FALSE))</f>
        <v>297150</v>
      </c>
      <c r="F1843" s="32">
        <v>974112.0</v>
      </c>
      <c r="G1843" s="32">
        <v>127.0</v>
      </c>
      <c r="H1843" s="32" t="str">
        <f>VLOOKUP(D1843, Grid_Region_Mapping!$D$2:$F$5286, 3, FALSE)</f>
        <v>NYUP</v>
      </c>
      <c r="I1843" s="32">
        <v>2.0</v>
      </c>
      <c r="J1843" s="34" t="str">
        <f t="shared" si="1"/>
        <v>Northeast</v>
      </c>
      <c r="K1843" s="35">
        <v>2.0</v>
      </c>
      <c r="L1843" s="35" t="s">
        <v>396</v>
      </c>
      <c r="M1843" s="36">
        <f>VLOOKUP(D1843, County_Data_CZones!$B$2:$F$3236, 2, FALSE)</f>
        <v>5</v>
      </c>
      <c r="N1843" s="37" t="str">
        <f>VLOOKUP(D1843, County_Data_CZones!$B$2:$F$3236, 5, FALSE)</f>
        <v>Cold</v>
      </c>
    </row>
    <row r="1844" ht="15.75" customHeight="1">
      <c r="A1844" s="32" t="s">
        <v>1305</v>
      </c>
      <c r="B1844" s="32" t="s">
        <v>1296</v>
      </c>
      <c r="C1844" s="32" t="str">
        <f>vlookup(B1844,State_EMM_RowSums!$A$2:$B$52,2,FALSE)</f>
        <v>NY</v>
      </c>
      <c r="D1844" s="32">
        <v>36029.0</v>
      </c>
      <c r="E1844" s="33">
        <f>IF(NOT(ISBLANK(vlookup($D1844,Pop_Census_2023!$A$2:$E$3220,4,FALSE))),vlookup($D1844,Pop_Census_2023!$A$2:$E$3220,4,FALSE), vlookup($D1844,Pop_Census_2023!$A$2:$E$3220,5,FALSE))</f>
        <v>946147</v>
      </c>
      <c r="F1844" s="32">
        <v>974113.0</v>
      </c>
      <c r="G1844" s="32">
        <v>127.0</v>
      </c>
      <c r="H1844" s="32" t="str">
        <f>VLOOKUP(D1844, Grid_Region_Mapping!$D$2:$F$5286, 3, FALSE)</f>
        <v>NYUP</v>
      </c>
      <c r="I1844" s="32">
        <v>2.0</v>
      </c>
      <c r="J1844" s="34" t="str">
        <f t="shared" si="1"/>
        <v>Northeast</v>
      </c>
      <c r="K1844" s="35">
        <v>2.0</v>
      </c>
      <c r="L1844" s="35" t="s">
        <v>396</v>
      </c>
      <c r="M1844" s="36">
        <f>VLOOKUP(D1844, County_Data_CZones!$B$2:$F$3236, 2, FALSE)</f>
        <v>5</v>
      </c>
      <c r="N1844" s="37" t="str">
        <f>VLOOKUP(D1844, County_Data_CZones!$B$2:$F$3236, 5, FALSE)</f>
        <v>Cold</v>
      </c>
    </row>
    <row r="1845" ht="15.75" customHeight="1">
      <c r="A1845" s="32" t="s">
        <v>956</v>
      </c>
      <c r="B1845" s="32" t="s">
        <v>1296</v>
      </c>
      <c r="C1845" s="32" t="str">
        <f>vlookup(B1845,State_EMM_RowSums!$A$2:$B$52,2,FALSE)</f>
        <v>NY</v>
      </c>
      <c r="D1845" s="32">
        <v>36031.0</v>
      </c>
      <c r="E1845" s="33">
        <f>IF(NOT(ISBLANK(vlookup($D1845,Pop_Census_2023!$A$2:$E$3220,4,FALSE))),vlookup($D1845,Pop_Census_2023!$A$2:$E$3220,4,FALSE), vlookup($D1845,Pop_Census_2023!$A$2:$E$3220,5,FALSE))</f>
        <v>36775</v>
      </c>
      <c r="F1845" s="32">
        <v>974114.0</v>
      </c>
      <c r="G1845" s="32">
        <v>127.0</v>
      </c>
      <c r="H1845" s="32" t="str">
        <f>VLOOKUP(D1845, Grid_Region_Mapping!$D$2:$F$5286, 3, FALSE)</f>
        <v>NYUP</v>
      </c>
      <c r="I1845" s="32">
        <v>2.0</v>
      </c>
      <c r="J1845" s="34" t="str">
        <f t="shared" si="1"/>
        <v>Northeast</v>
      </c>
      <c r="K1845" s="35">
        <v>1.0</v>
      </c>
      <c r="L1845" s="35" t="s">
        <v>707</v>
      </c>
      <c r="M1845" s="36">
        <f>VLOOKUP(D1845, County_Data_CZones!$B$2:$F$3236, 2, FALSE)</f>
        <v>6</v>
      </c>
      <c r="N1845" s="37" t="str">
        <f>VLOOKUP(D1845, County_Data_CZones!$B$2:$F$3236, 5, FALSE)</f>
        <v>Cold</v>
      </c>
    </row>
    <row r="1846" ht="15.75" customHeight="1">
      <c r="A1846" s="32" t="s">
        <v>132</v>
      </c>
      <c r="B1846" s="32" t="s">
        <v>1296</v>
      </c>
      <c r="C1846" s="32" t="str">
        <f>vlookup(B1846,State_EMM_RowSums!$A$2:$B$52,2,FALSE)</f>
        <v>NY</v>
      </c>
      <c r="D1846" s="32">
        <v>36033.0</v>
      </c>
      <c r="E1846" s="33">
        <f>IF(NOT(ISBLANK(vlookup($D1846,Pop_Census_2023!$A$2:$E$3220,4,FALSE))),vlookup($D1846,Pop_Census_2023!$A$2:$E$3220,4,FALSE), vlookup($D1846,Pop_Census_2023!$A$2:$E$3220,5,FALSE))</f>
        <v>46502</v>
      </c>
      <c r="F1846" s="32">
        <v>974115.0</v>
      </c>
      <c r="G1846" s="32">
        <v>127.0</v>
      </c>
      <c r="H1846" s="32" t="str">
        <f>VLOOKUP(D1846, Grid_Region_Mapping!$D$2:$F$5286, 3, FALSE)</f>
        <v>NYUP</v>
      </c>
      <c r="I1846" s="32">
        <v>2.0</v>
      </c>
      <c r="J1846" s="34" t="str">
        <f t="shared" si="1"/>
        <v>Northeast</v>
      </c>
      <c r="K1846" s="35">
        <v>1.0</v>
      </c>
      <c r="L1846" s="35" t="s">
        <v>707</v>
      </c>
      <c r="M1846" s="36">
        <f>VLOOKUP(D1846, County_Data_CZones!$B$2:$F$3236, 2, FALSE)</f>
        <v>6</v>
      </c>
      <c r="N1846" s="37" t="str">
        <f>VLOOKUP(D1846, County_Data_CZones!$B$2:$F$3236, 5, FALSE)</f>
        <v>Cold</v>
      </c>
    </row>
    <row r="1847" ht="15.75" customHeight="1">
      <c r="A1847" s="32" t="s">
        <v>240</v>
      </c>
      <c r="B1847" s="32" t="s">
        <v>1296</v>
      </c>
      <c r="C1847" s="32" t="str">
        <f>vlookup(B1847,State_EMM_RowSums!$A$2:$B$52,2,FALSE)</f>
        <v>NY</v>
      </c>
      <c r="D1847" s="32">
        <v>36035.0</v>
      </c>
      <c r="E1847" s="33">
        <f>IF(NOT(ISBLANK(vlookup($D1847,Pop_Census_2023!$A$2:$E$3220,4,FALSE))),vlookup($D1847,Pop_Census_2023!$A$2:$E$3220,4,FALSE), vlookup($D1847,Pop_Census_2023!$A$2:$E$3220,5,FALSE))</f>
        <v>52234</v>
      </c>
      <c r="F1847" s="32">
        <v>974116.0</v>
      </c>
      <c r="G1847" s="32">
        <v>127.0</v>
      </c>
      <c r="H1847" s="32" t="str">
        <f>VLOOKUP(D1847, Grid_Region_Mapping!$D$2:$F$5286, 3, FALSE)</f>
        <v>NYUP</v>
      </c>
      <c r="I1847" s="32">
        <v>2.0</v>
      </c>
      <c r="J1847" s="34" t="str">
        <f t="shared" si="1"/>
        <v>Northeast</v>
      </c>
      <c r="K1847" s="35">
        <v>1.0</v>
      </c>
      <c r="L1847" s="35" t="s">
        <v>707</v>
      </c>
      <c r="M1847" s="36">
        <f>VLOOKUP(D1847, County_Data_CZones!$B$2:$F$3236, 2, FALSE)</f>
        <v>6</v>
      </c>
      <c r="N1847" s="37" t="str">
        <f>VLOOKUP(D1847, County_Data_CZones!$B$2:$F$3236, 5, FALSE)</f>
        <v>Cold</v>
      </c>
    </row>
    <row r="1848" ht="15.75" customHeight="1">
      <c r="A1848" s="32" t="s">
        <v>978</v>
      </c>
      <c r="B1848" s="32" t="s">
        <v>1296</v>
      </c>
      <c r="C1848" s="32" t="str">
        <f>vlookup(B1848,State_EMM_RowSums!$A$2:$B$52,2,FALSE)</f>
        <v>NY</v>
      </c>
      <c r="D1848" s="32">
        <v>36037.0</v>
      </c>
      <c r="E1848" s="33">
        <f>IF(NOT(ISBLANK(vlookup($D1848,Pop_Census_2023!$A$2:$E$3220,4,FALSE))),vlookup($D1848,Pop_Census_2023!$A$2:$E$3220,4,FALSE), vlookup($D1848,Pop_Census_2023!$A$2:$E$3220,5,FALSE))</f>
        <v>57529</v>
      </c>
      <c r="F1848" s="32">
        <v>974117.0</v>
      </c>
      <c r="G1848" s="32">
        <v>127.0</v>
      </c>
      <c r="H1848" s="32" t="str">
        <f>VLOOKUP(D1848, Grid_Region_Mapping!$D$2:$F$5286, 3, FALSE)</f>
        <v>NYUP</v>
      </c>
      <c r="I1848" s="32">
        <v>2.0</v>
      </c>
      <c r="J1848" s="34" t="str">
        <f t="shared" si="1"/>
        <v>Northeast</v>
      </c>
      <c r="K1848" s="35">
        <v>2.0</v>
      </c>
      <c r="L1848" s="35" t="s">
        <v>396</v>
      </c>
      <c r="M1848" s="36">
        <f>VLOOKUP(D1848, County_Data_CZones!$B$2:$F$3236, 2, FALSE)</f>
        <v>5</v>
      </c>
      <c r="N1848" s="37" t="str">
        <f>VLOOKUP(D1848, County_Data_CZones!$B$2:$F$3236, 5, FALSE)</f>
        <v>Cold</v>
      </c>
    </row>
    <row r="1849" ht="15.75" customHeight="1">
      <c r="A1849" s="32" t="s">
        <v>134</v>
      </c>
      <c r="B1849" s="32" t="s">
        <v>1296</v>
      </c>
      <c r="C1849" s="32" t="str">
        <f>vlookup(B1849,State_EMM_RowSums!$A$2:$B$52,2,FALSE)</f>
        <v>NY</v>
      </c>
      <c r="D1849" s="32">
        <v>36039.0</v>
      </c>
      <c r="E1849" s="33">
        <f>IF(NOT(ISBLANK(vlookup($D1849,Pop_Census_2023!$A$2:$E$3220,4,FALSE))),vlookup($D1849,Pop_Census_2023!$A$2:$E$3220,4,FALSE), vlookup($D1849,Pop_Census_2023!$A$2:$E$3220,5,FALSE))</f>
        <v>47062</v>
      </c>
      <c r="F1849" s="32">
        <v>974118.0</v>
      </c>
      <c r="G1849" s="32">
        <v>127.0</v>
      </c>
      <c r="H1849" s="32" t="str">
        <f>VLOOKUP(D1849, Grid_Region_Mapping!$D$2:$F$5286, 3, FALSE)</f>
        <v>NYUP</v>
      </c>
      <c r="I1849" s="32">
        <v>2.0</v>
      </c>
      <c r="J1849" s="34" t="str">
        <f t="shared" si="1"/>
        <v>Northeast</v>
      </c>
      <c r="K1849" s="35">
        <v>2.0</v>
      </c>
      <c r="L1849" s="35" t="s">
        <v>396</v>
      </c>
      <c r="M1849" s="36">
        <f>VLOOKUP(D1849, County_Data_CZones!$B$2:$F$3236, 2, FALSE)</f>
        <v>5</v>
      </c>
      <c r="N1849" s="37" t="str">
        <f>VLOOKUP(D1849, County_Data_CZones!$B$2:$F$3236, 5, FALSE)</f>
        <v>Cold</v>
      </c>
    </row>
    <row r="1850" ht="15.75" customHeight="1">
      <c r="A1850" s="32" t="s">
        <v>428</v>
      </c>
      <c r="B1850" s="32" t="s">
        <v>1296</v>
      </c>
      <c r="C1850" s="32" t="str">
        <f>vlookup(B1850,State_EMM_RowSums!$A$2:$B$52,2,FALSE)</f>
        <v>NY</v>
      </c>
      <c r="D1850" s="32">
        <v>36041.0</v>
      </c>
      <c r="E1850" s="33">
        <f>IF(NOT(ISBLANK(vlookup($D1850,Pop_Census_2023!$A$2:$E$3220,4,FALSE))),vlookup($D1850,Pop_Census_2023!$A$2:$E$3220,4,FALSE), vlookup($D1850,Pop_Census_2023!$A$2:$E$3220,5,FALSE))</f>
        <v>5082</v>
      </c>
      <c r="F1850" s="32">
        <v>974119.0</v>
      </c>
      <c r="G1850" s="32">
        <v>127.0</v>
      </c>
      <c r="H1850" s="32" t="str">
        <f>VLOOKUP(D1850, Grid_Region_Mapping!$D$2:$F$5286, 3, FALSE)</f>
        <v>NYUP</v>
      </c>
      <c r="I1850" s="32">
        <v>2.0</v>
      </c>
      <c r="J1850" s="34" t="str">
        <f t="shared" si="1"/>
        <v>Northeast</v>
      </c>
      <c r="K1850" s="35">
        <v>1.0</v>
      </c>
      <c r="L1850" s="35" t="s">
        <v>707</v>
      </c>
      <c r="M1850" s="36">
        <f>VLOOKUP(D1850, County_Data_CZones!$B$2:$F$3236, 2, FALSE)</f>
        <v>6</v>
      </c>
      <c r="N1850" s="37" t="str">
        <f>VLOOKUP(D1850, County_Data_CZones!$B$2:$F$3236, 5, FALSE)</f>
        <v>Cold</v>
      </c>
    </row>
    <row r="1851" ht="15.75" customHeight="1">
      <c r="A1851" s="32" t="s">
        <v>1306</v>
      </c>
      <c r="B1851" s="32" t="s">
        <v>1296</v>
      </c>
      <c r="C1851" s="32" t="str">
        <f>vlookup(B1851,State_EMM_RowSums!$A$2:$B$52,2,FALSE)</f>
        <v>NY</v>
      </c>
      <c r="D1851" s="32">
        <v>36043.0</v>
      </c>
      <c r="E1851" s="33">
        <f>IF(NOT(ISBLANK(vlookup($D1851,Pop_Census_2023!$A$2:$E$3220,4,FALSE))),vlookup($D1851,Pop_Census_2023!$A$2:$E$3220,4,FALSE), vlookup($D1851,Pop_Census_2023!$A$2:$E$3220,5,FALSE))</f>
        <v>59484</v>
      </c>
      <c r="F1851" s="32">
        <v>974120.0</v>
      </c>
      <c r="G1851" s="32">
        <v>127.0</v>
      </c>
      <c r="H1851" s="32" t="str">
        <f>VLOOKUP(D1851, Grid_Region_Mapping!$D$2:$F$5286, 3, FALSE)</f>
        <v>NYUP</v>
      </c>
      <c r="I1851" s="32">
        <v>2.0</v>
      </c>
      <c r="J1851" s="34" t="str">
        <f t="shared" si="1"/>
        <v>Northeast</v>
      </c>
      <c r="K1851" s="35">
        <v>2.0</v>
      </c>
      <c r="L1851" s="35" t="s">
        <v>707</v>
      </c>
      <c r="M1851" s="36">
        <f>VLOOKUP(D1851, County_Data_CZones!$B$2:$F$3236, 2, FALSE)</f>
        <v>6</v>
      </c>
      <c r="N1851" s="37" t="str">
        <f>VLOOKUP(D1851, County_Data_CZones!$B$2:$F$3236, 5, FALSE)</f>
        <v>Cold</v>
      </c>
    </row>
    <row r="1852" ht="15.75" customHeight="1">
      <c r="A1852" s="32" t="s">
        <v>139</v>
      </c>
      <c r="B1852" s="32" t="s">
        <v>1296</v>
      </c>
      <c r="C1852" s="32" t="str">
        <f>vlookup(B1852,State_EMM_RowSums!$A$2:$B$52,2,FALSE)</f>
        <v>NY</v>
      </c>
      <c r="D1852" s="32">
        <v>36045.0</v>
      </c>
      <c r="E1852" s="33">
        <f>IF(NOT(ISBLANK(vlookup($D1852,Pop_Census_2023!$A$2:$E$3220,4,FALSE))),vlookup($D1852,Pop_Census_2023!$A$2:$E$3220,4,FALSE), vlookup($D1852,Pop_Census_2023!$A$2:$E$3220,5,FALSE))</f>
        <v>114787</v>
      </c>
      <c r="F1852" s="32">
        <v>974121.0</v>
      </c>
      <c r="G1852" s="32">
        <v>127.0</v>
      </c>
      <c r="H1852" s="32" t="str">
        <f>VLOOKUP(D1852, Grid_Region_Mapping!$D$2:$F$5286, 3, FALSE)</f>
        <v>NYUP</v>
      </c>
      <c r="I1852" s="32">
        <v>2.0</v>
      </c>
      <c r="J1852" s="34" t="str">
        <f t="shared" si="1"/>
        <v>Northeast</v>
      </c>
      <c r="K1852" s="35">
        <v>1.0</v>
      </c>
      <c r="L1852" s="35" t="s">
        <v>707</v>
      </c>
      <c r="M1852" s="36">
        <f>VLOOKUP(D1852, County_Data_CZones!$B$2:$F$3236, 2, FALSE)</f>
        <v>6</v>
      </c>
      <c r="N1852" s="37" t="str">
        <f>VLOOKUP(D1852, County_Data_CZones!$B$2:$F$3236, 5, FALSE)</f>
        <v>Cold</v>
      </c>
    </row>
    <row r="1853" ht="15.75" customHeight="1">
      <c r="A1853" s="32" t="s">
        <v>297</v>
      </c>
      <c r="B1853" s="32" t="s">
        <v>1296</v>
      </c>
      <c r="C1853" s="32" t="str">
        <f>vlookup(B1853,State_EMM_RowSums!$A$2:$B$52,2,FALSE)</f>
        <v>NY</v>
      </c>
      <c r="D1853" s="32">
        <v>36047.0</v>
      </c>
      <c r="E1853" s="33">
        <f>IF(NOT(ISBLANK(vlookup($D1853,Pop_Census_2023!$A$2:$E$3220,4,FALSE))),vlookup($D1853,Pop_Census_2023!$A$2:$E$3220,4,FALSE), vlookup($D1853,Pop_Census_2023!$A$2:$E$3220,5,FALSE))</f>
        <v>2561225</v>
      </c>
      <c r="F1853" s="32">
        <v>974122.0</v>
      </c>
      <c r="G1853" s="32">
        <v>127.0</v>
      </c>
      <c r="H1853" s="32" t="str">
        <f>VLOOKUP(D1853, Grid_Region_Mapping!$D$2:$F$5286, 3, FALSE)</f>
        <v>NYCW</v>
      </c>
      <c r="I1853" s="32">
        <v>2.0</v>
      </c>
      <c r="J1853" s="34" t="str">
        <f t="shared" si="1"/>
        <v>Northeast</v>
      </c>
      <c r="K1853" s="35">
        <v>3.0</v>
      </c>
      <c r="L1853" s="35" t="s">
        <v>223</v>
      </c>
      <c r="M1853" s="36">
        <f>VLOOKUP(D1853, County_Data_CZones!$B$2:$F$3236, 2, FALSE)</f>
        <v>4</v>
      </c>
      <c r="N1853" s="37" t="str">
        <f>VLOOKUP(D1853, County_Data_CZones!$B$2:$F$3236, 5, FALSE)</f>
        <v>Mixed-Humid</v>
      </c>
    </row>
    <row r="1854" ht="15.75" customHeight="1">
      <c r="A1854" s="32" t="s">
        <v>597</v>
      </c>
      <c r="B1854" s="32" t="s">
        <v>1296</v>
      </c>
      <c r="C1854" s="32" t="str">
        <f>vlookup(B1854,State_EMM_RowSums!$A$2:$B$52,2,FALSE)</f>
        <v>NY</v>
      </c>
      <c r="D1854" s="32">
        <v>36049.0</v>
      </c>
      <c r="E1854" s="33">
        <f>IF(NOT(ISBLANK(vlookup($D1854,Pop_Census_2023!$A$2:$E$3220,4,FALSE))),vlookup($D1854,Pop_Census_2023!$A$2:$E$3220,4,FALSE), vlookup($D1854,Pop_Census_2023!$A$2:$E$3220,5,FALSE))</f>
        <v>26548</v>
      </c>
      <c r="F1854" s="32">
        <v>974123.0</v>
      </c>
      <c r="G1854" s="32">
        <v>127.0</v>
      </c>
      <c r="H1854" s="32" t="str">
        <f>VLOOKUP(D1854, Grid_Region_Mapping!$D$2:$F$5286, 3, FALSE)</f>
        <v>NYUP</v>
      </c>
      <c r="I1854" s="32">
        <v>2.0</v>
      </c>
      <c r="J1854" s="34" t="str">
        <f t="shared" si="1"/>
        <v>Northeast</v>
      </c>
      <c r="K1854" s="35">
        <v>1.0</v>
      </c>
      <c r="L1854" s="35" t="s">
        <v>707</v>
      </c>
      <c r="M1854" s="36">
        <f>VLOOKUP(D1854, County_Data_CZones!$B$2:$F$3236, 2, FALSE)</f>
        <v>6</v>
      </c>
      <c r="N1854" s="37" t="str">
        <f>VLOOKUP(D1854, County_Data_CZones!$B$2:$F$3236, 5, FALSE)</f>
        <v>Cold</v>
      </c>
    </row>
    <row r="1855" ht="15.75" customHeight="1">
      <c r="A1855" s="32" t="s">
        <v>636</v>
      </c>
      <c r="B1855" s="32" t="s">
        <v>1296</v>
      </c>
      <c r="C1855" s="32" t="str">
        <f>vlookup(B1855,State_EMM_RowSums!$A$2:$B$52,2,FALSE)</f>
        <v>NY</v>
      </c>
      <c r="D1855" s="32">
        <v>36051.0</v>
      </c>
      <c r="E1855" s="33">
        <f>IF(NOT(ISBLANK(vlookup($D1855,Pop_Census_2023!$A$2:$E$3220,4,FALSE))),vlookup($D1855,Pop_Census_2023!$A$2:$E$3220,4,FALSE), vlookup($D1855,Pop_Census_2023!$A$2:$E$3220,5,FALSE))</f>
        <v>61158</v>
      </c>
      <c r="F1855" s="32">
        <v>974124.0</v>
      </c>
      <c r="G1855" s="32">
        <v>127.0</v>
      </c>
      <c r="H1855" s="32" t="str">
        <f>VLOOKUP(D1855, Grid_Region_Mapping!$D$2:$F$5286, 3, FALSE)</f>
        <v>NYUP</v>
      </c>
      <c r="I1855" s="32">
        <v>2.0</v>
      </c>
      <c r="J1855" s="34" t="str">
        <f t="shared" si="1"/>
        <v>Northeast</v>
      </c>
      <c r="K1855" s="35">
        <v>2.0</v>
      </c>
      <c r="L1855" s="35" t="s">
        <v>396</v>
      </c>
      <c r="M1855" s="36">
        <f>VLOOKUP(D1855, County_Data_CZones!$B$2:$F$3236, 2, FALSE)</f>
        <v>5</v>
      </c>
      <c r="N1855" s="37" t="str">
        <f>VLOOKUP(D1855, County_Data_CZones!$B$2:$F$3236, 5, FALSE)</f>
        <v>Cold</v>
      </c>
    </row>
    <row r="1856" ht="15.75" customHeight="1">
      <c r="A1856" s="32" t="s">
        <v>147</v>
      </c>
      <c r="B1856" s="32" t="s">
        <v>1296</v>
      </c>
      <c r="C1856" s="32" t="str">
        <f>vlookup(B1856,State_EMM_RowSums!$A$2:$B$52,2,FALSE)</f>
        <v>NY</v>
      </c>
      <c r="D1856" s="32">
        <v>36053.0</v>
      </c>
      <c r="E1856" s="33">
        <f>IF(NOT(ISBLANK(vlookup($D1856,Pop_Census_2023!$A$2:$E$3220,4,FALSE))),vlookup($D1856,Pop_Census_2023!$A$2:$E$3220,4,FALSE), vlookup($D1856,Pop_Census_2023!$A$2:$E$3220,5,FALSE))</f>
        <v>66921</v>
      </c>
      <c r="F1856" s="32">
        <v>974125.0</v>
      </c>
      <c r="G1856" s="32">
        <v>127.0</v>
      </c>
      <c r="H1856" s="32" t="str">
        <f>VLOOKUP(D1856, Grid_Region_Mapping!$D$2:$F$5286, 3, FALSE)</f>
        <v>NYUP</v>
      </c>
      <c r="I1856" s="32">
        <v>2.0</v>
      </c>
      <c r="J1856" s="34" t="str">
        <f t="shared" si="1"/>
        <v>Northeast</v>
      </c>
      <c r="K1856" s="35">
        <v>1.0</v>
      </c>
      <c r="L1856" s="35" t="s">
        <v>707</v>
      </c>
      <c r="M1856" s="36">
        <f>VLOOKUP(D1856, County_Data_CZones!$B$2:$F$3236, 2, FALSE)</f>
        <v>6</v>
      </c>
      <c r="N1856" s="37" t="str">
        <f>VLOOKUP(D1856, County_Data_CZones!$B$2:$F$3236, 5, FALSE)</f>
        <v>Cold</v>
      </c>
    </row>
    <row r="1857" ht="15.75" customHeight="1">
      <c r="A1857" s="32" t="s">
        <v>152</v>
      </c>
      <c r="B1857" s="32" t="s">
        <v>1296</v>
      </c>
      <c r="C1857" s="32" t="str">
        <f>vlookup(B1857,State_EMM_RowSums!$A$2:$B$52,2,FALSE)</f>
        <v>NY</v>
      </c>
      <c r="D1857" s="32">
        <v>36055.0</v>
      </c>
      <c r="E1857" s="33">
        <f>IF(NOT(ISBLANK(vlookup($D1857,Pop_Census_2023!$A$2:$E$3220,4,FALSE))),vlookup($D1857,Pop_Census_2023!$A$2:$E$3220,4,FALSE), vlookup($D1857,Pop_Census_2023!$A$2:$E$3220,5,FALSE))</f>
        <v>748482</v>
      </c>
      <c r="F1857" s="32">
        <v>974126.0</v>
      </c>
      <c r="G1857" s="32">
        <v>127.0</v>
      </c>
      <c r="H1857" s="32" t="str">
        <f>VLOOKUP(D1857, Grid_Region_Mapping!$D$2:$F$5286, 3, FALSE)</f>
        <v>NYUP</v>
      </c>
      <c r="I1857" s="32">
        <v>2.0</v>
      </c>
      <c r="J1857" s="34" t="str">
        <f t="shared" si="1"/>
        <v>Northeast</v>
      </c>
      <c r="K1857" s="35">
        <v>2.0</v>
      </c>
      <c r="L1857" s="35" t="s">
        <v>396</v>
      </c>
      <c r="M1857" s="36">
        <f>VLOOKUP(D1857, County_Data_CZones!$B$2:$F$3236, 2, FALSE)</f>
        <v>5</v>
      </c>
      <c r="N1857" s="37" t="str">
        <f>VLOOKUP(D1857, County_Data_CZones!$B$2:$F$3236, 5, FALSE)</f>
        <v>Cold</v>
      </c>
    </row>
    <row r="1858" ht="15.75" customHeight="1">
      <c r="A1858" s="32" t="s">
        <v>153</v>
      </c>
      <c r="B1858" s="32" t="s">
        <v>1296</v>
      </c>
      <c r="C1858" s="32" t="str">
        <f>vlookup(B1858,State_EMM_RowSums!$A$2:$B$52,2,FALSE)</f>
        <v>NY</v>
      </c>
      <c r="D1858" s="32">
        <v>36057.0</v>
      </c>
      <c r="E1858" s="33">
        <f>IF(NOT(ISBLANK(vlookup($D1858,Pop_Census_2023!$A$2:$E$3220,4,FALSE))),vlookup($D1858,Pop_Census_2023!$A$2:$E$3220,4,FALSE), vlookup($D1858,Pop_Census_2023!$A$2:$E$3220,5,FALSE))</f>
        <v>49368</v>
      </c>
      <c r="F1858" s="32">
        <v>974127.0</v>
      </c>
      <c r="G1858" s="32">
        <v>127.0</v>
      </c>
      <c r="H1858" s="32" t="str">
        <f>VLOOKUP(D1858, Grid_Region_Mapping!$D$2:$F$5286, 3, FALSE)</f>
        <v>NYUP</v>
      </c>
      <c r="I1858" s="32">
        <v>2.0</v>
      </c>
      <c r="J1858" s="34" t="str">
        <f t="shared" si="1"/>
        <v>Northeast</v>
      </c>
      <c r="K1858" s="35">
        <v>1.0</v>
      </c>
      <c r="L1858" s="35" t="s">
        <v>707</v>
      </c>
      <c r="M1858" s="36">
        <f>VLOOKUP(D1858, County_Data_CZones!$B$2:$F$3236, 2, FALSE)</f>
        <v>6</v>
      </c>
      <c r="N1858" s="37" t="str">
        <f>VLOOKUP(D1858, County_Data_CZones!$B$2:$F$3236, 5, FALSE)</f>
        <v>Cold</v>
      </c>
    </row>
    <row r="1859" ht="15.75" customHeight="1">
      <c r="A1859" s="32" t="s">
        <v>442</v>
      </c>
      <c r="B1859" s="32" t="s">
        <v>1296</v>
      </c>
      <c r="C1859" s="32" t="str">
        <f>vlookup(B1859,State_EMM_RowSums!$A$2:$B$52,2,FALSE)</f>
        <v>NY</v>
      </c>
      <c r="D1859" s="32">
        <v>36059.0</v>
      </c>
      <c r="E1859" s="33">
        <f>IF(NOT(ISBLANK(vlookup($D1859,Pop_Census_2023!$A$2:$E$3220,4,FALSE))),vlookup($D1859,Pop_Census_2023!$A$2:$E$3220,4,FALSE), vlookup($D1859,Pop_Census_2023!$A$2:$E$3220,5,FALSE))</f>
        <v>1381715</v>
      </c>
      <c r="F1859" s="32">
        <v>974128.0</v>
      </c>
      <c r="G1859" s="32">
        <v>128.0</v>
      </c>
      <c r="H1859" s="32" t="str">
        <f>VLOOKUP(D1859, Grid_Region_Mapping!$D$2:$F$5286, 3, FALSE)</f>
        <v>NYCW</v>
      </c>
      <c r="I1859" s="32">
        <v>2.0</v>
      </c>
      <c r="J1859" s="34" t="str">
        <f t="shared" si="1"/>
        <v>Northeast</v>
      </c>
      <c r="K1859" s="35">
        <v>3.0</v>
      </c>
      <c r="L1859" s="35" t="s">
        <v>223</v>
      </c>
      <c r="M1859" s="36">
        <f>VLOOKUP(D1859, County_Data_CZones!$B$2:$F$3236, 2, FALSE)</f>
        <v>4</v>
      </c>
      <c r="N1859" s="37" t="str">
        <f>VLOOKUP(D1859, County_Data_CZones!$B$2:$F$3236, 5, FALSE)</f>
        <v>Mixed-Humid</v>
      </c>
    </row>
    <row r="1860" ht="15.75" customHeight="1">
      <c r="A1860" s="32" t="s">
        <v>1296</v>
      </c>
      <c r="B1860" s="32" t="s">
        <v>1296</v>
      </c>
      <c r="C1860" s="32" t="str">
        <f>vlookup(B1860,State_EMM_RowSums!$A$2:$B$52,2,FALSE)</f>
        <v>NY</v>
      </c>
      <c r="D1860" s="32">
        <v>36061.0</v>
      </c>
      <c r="E1860" s="33">
        <f>IF(NOT(ISBLANK(vlookup($D1860,Pop_Census_2023!$A$2:$E$3220,4,FALSE))),vlookup($D1860,Pop_Census_2023!$A$2:$E$3220,4,FALSE), vlookup($D1860,Pop_Census_2023!$A$2:$E$3220,5,FALSE))</f>
        <v>1597451</v>
      </c>
      <c r="F1860" s="32">
        <v>974129.0</v>
      </c>
      <c r="G1860" s="32">
        <v>127.0</v>
      </c>
      <c r="H1860" s="32" t="str">
        <f>VLOOKUP(D1860, Grid_Region_Mapping!$D$2:$F$5286, 3, FALSE)</f>
        <v>NYCW</v>
      </c>
      <c r="I1860" s="32">
        <v>2.0</v>
      </c>
      <c r="J1860" s="34" t="str">
        <f t="shared" si="1"/>
        <v>Northeast</v>
      </c>
      <c r="K1860" s="35">
        <v>3.0</v>
      </c>
      <c r="L1860" s="35" t="s">
        <v>223</v>
      </c>
      <c r="M1860" s="36">
        <f>VLOOKUP(D1860, County_Data_CZones!$B$2:$F$3236, 2, FALSE)</f>
        <v>4</v>
      </c>
      <c r="N1860" s="37" t="str">
        <f>VLOOKUP(D1860, County_Data_CZones!$B$2:$F$3236, 5, FALSE)</f>
        <v>Mixed-Humid</v>
      </c>
    </row>
    <row r="1861" ht="15.75" customHeight="1">
      <c r="A1861" s="32" t="s">
        <v>1307</v>
      </c>
      <c r="B1861" s="32" t="s">
        <v>1296</v>
      </c>
      <c r="C1861" s="32" t="str">
        <f>vlookup(B1861,State_EMM_RowSums!$A$2:$B$52,2,FALSE)</f>
        <v>NY</v>
      </c>
      <c r="D1861" s="32">
        <v>36063.0</v>
      </c>
      <c r="E1861" s="33">
        <f>IF(NOT(ISBLANK(vlookup($D1861,Pop_Census_2023!$A$2:$E$3220,4,FALSE))),vlookup($D1861,Pop_Census_2023!$A$2:$E$3220,4,FALSE), vlookup($D1861,Pop_Census_2023!$A$2:$E$3220,5,FALSE))</f>
        <v>209457</v>
      </c>
      <c r="F1861" s="32">
        <v>974130.0</v>
      </c>
      <c r="G1861" s="32">
        <v>127.0</v>
      </c>
      <c r="H1861" s="32" t="str">
        <f>VLOOKUP(D1861, Grid_Region_Mapping!$D$2:$F$5286, 3, FALSE)</f>
        <v>NYUP</v>
      </c>
      <c r="I1861" s="32">
        <v>2.0</v>
      </c>
      <c r="J1861" s="34" t="str">
        <f t="shared" si="1"/>
        <v>Northeast</v>
      </c>
      <c r="K1861" s="35">
        <v>2.0</v>
      </c>
      <c r="L1861" s="35" t="s">
        <v>396</v>
      </c>
      <c r="M1861" s="36">
        <f>VLOOKUP(D1861, County_Data_CZones!$B$2:$F$3236, 2, FALSE)</f>
        <v>5</v>
      </c>
      <c r="N1861" s="37" t="str">
        <f>VLOOKUP(D1861, County_Data_CZones!$B$2:$F$3236, 5, FALSE)</f>
        <v>Cold</v>
      </c>
    </row>
    <row r="1862" ht="15.75" customHeight="1">
      <c r="A1862" s="32" t="s">
        <v>600</v>
      </c>
      <c r="B1862" s="32" t="s">
        <v>1296</v>
      </c>
      <c r="C1862" s="32" t="str">
        <f>vlookup(B1862,State_EMM_RowSums!$A$2:$B$52,2,FALSE)</f>
        <v>NY</v>
      </c>
      <c r="D1862" s="32">
        <v>36065.0</v>
      </c>
      <c r="E1862" s="33">
        <f>IF(NOT(ISBLANK(vlookup($D1862,Pop_Census_2023!$A$2:$E$3220,4,FALSE))),vlookup($D1862,Pop_Census_2023!$A$2:$E$3220,4,FALSE), vlookup($D1862,Pop_Census_2023!$A$2:$E$3220,5,FALSE))</f>
        <v>227555</v>
      </c>
      <c r="F1862" s="32">
        <v>974131.0</v>
      </c>
      <c r="G1862" s="32">
        <v>127.0</v>
      </c>
      <c r="H1862" s="32" t="str">
        <f>VLOOKUP(D1862, Grid_Region_Mapping!$D$2:$F$5286, 3, FALSE)</f>
        <v>NYUP</v>
      </c>
      <c r="I1862" s="32">
        <v>2.0</v>
      </c>
      <c r="J1862" s="34" t="str">
        <f t="shared" si="1"/>
        <v>Northeast</v>
      </c>
      <c r="K1862" s="35">
        <v>1.0</v>
      </c>
      <c r="L1862" s="35" t="s">
        <v>707</v>
      </c>
      <c r="M1862" s="36">
        <f>VLOOKUP(D1862, County_Data_CZones!$B$2:$F$3236, 2, FALSE)</f>
        <v>6</v>
      </c>
      <c r="N1862" s="37" t="str">
        <f>VLOOKUP(D1862, County_Data_CZones!$B$2:$F$3236, 5, FALSE)</f>
        <v>Cold</v>
      </c>
    </row>
    <row r="1863" ht="15.75" customHeight="1">
      <c r="A1863" s="32" t="s">
        <v>1308</v>
      </c>
      <c r="B1863" s="32" t="s">
        <v>1296</v>
      </c>
      <c r="C1863" s="32" t="str">
        <f>vlookup(B1863,State_EMM_RowSums!$A$2:$B$52,2,FALSE)</f>
        <v>NY</v>
      </c>
      <c r="D1863" s="32">
        <v>36067.0</v>
      </c>
      <c r="E1863" s="33">
        <f>IF(NOT(ISBLANK(vlookup($D1863,Pop_Census_2023!$A$2:$E$3220,4,FALSE))),vlookup($D1863,Pop_Census_2023!$A$2:$E$3220,4,FALSE), vlookup($D1863,Pop_Census_2023!$A$2:$E$3220,5,FALSE))</f>
        <v>467873</v>
      </c>
      <c r="F1863" s="32">
        <v>974132.0</v>
      </c>
      <c r="G1863" s="32">
        <v>127.0</v>
      </c>
      <c r="H1863" s="32" t="str">
        <f>VLOOKUP(D1863, Grid_Region_Mapping!$D$2:$F$5286, 3, FALSE)</f>
        <v>NYUP</v>
      </c>
      <c r="I1863" s="32">
        <v>2.0</v>
      </c>
      <c r="J1863" s="34" t="str">
        <f t="shared" si="1"/>
        <v>Northeast</v>
      </c>
      <c r="K1863" s="35">
        <v>2.0</v>
      </c>
      <c r="L1863" s="35" t="s">
        <v>396</v>
      </c>
      <c r="M1863" s="36">
        <f>VLOOKUP(D1863, County_Data_CZones!$B$2:$F$3236, 2, FALSE)</f>
        <v>5</v>
      </c>
      <c r="N1863" s="37" t="str">
        <f>VLOOKUP(D1863, County_Data_CZones!$B$2:$F$3236, 5, FALSE)</f>
        <v>Cold</v>
      </c>
    </row>
    <row r="1864" ht="15.75" customHeight="1">
      <c r="A1864" s="32" t="s">
        <v>1309</v>
      </c>
      <c r="B1864" s="32" t="s">
        <v>1296</v>
      </c>
      <c r="C1864" s="32" t="str">
        <f>vlookup(B1864,State_EMM_RowSums!$A$2:$B$52,2,FALSE)</f>
        <v>NY</v>
      </c>
      <c r="D1864" s="32">
        <v>36069.0</v>
      </c>
      <c r="E1864" s="33">
        <f>IF(NOT(ISBLANK(vlookup($D1864,Pop_Census_2023!$A$2:$E$3220,4,FALSE))),vlookup($D1864,Pop_Census_2023!$A$2:$E$3220,4,FALSE), vlookup($D1864,Pop_Census_2023!$A$2:$E$3220,5,FALSE))</f>
        <v>112494</v>
      </c>
      <c r="F1864" s="32">
        <v>974133.0</v>
      </c>
      <c r="G1864" s="32">
        <v>127.0</v>
      </c>
      <c r="H1864" s="32" t="str">
        <f>VLOOKUP(D1864, Grid_Region_Mapping!$D$2:$F$5286, 3, FALSE)</f>
        <v>NYUP</v>
      </c>
      <c r="I1864" s="32">
        <v>2.0</v>
      </c>
      <c r="J1864" s="34" t="str">
        <f t="shared" si="1"/>
        <v>Northeast</v>
      </c>
      <c r="K1864" s="35">
        <v>2.0</v>
      </c>
      <c r="L1864" s="35" t="s">
        <v>396</v>
      </c>
      <c r="M1864" s="36">
        <f>VLOOKUP(D1864, County_Data_CZones!$B$2:$F$3236, 2, FALSE)</f>
        <v>5</v>
      </c>
      <c r="N1864" s="37" t="str">
        <f>VLOOKUP(D1864, County_Data_CZones!$B$2:$F$3236, 5, FALSE)</f>
        <v>Cold</v>
      </c>
    </row>
    <row r="1865" ht="15.75" customHeight="1">
      <c r="A1865" s="32" t="s">
        <v>310</v>
      </c>
      <c r="B1865" s="32" t="s">
        <v>1296</v>
      </c>
      <c r="C1865" s="32" t="str">
        <f>vlookup(B1865,State_EMM_RowSums!$A$2:$B$52,2,FALSE)</f>
        <v>NY</v>
      </c>
      <c r="D1865" s="32">
        <v>36071.0</v>
      </c>
      <c r="E1865" s="33">
        <f>IF(NOT(ISBLANK(vlookup($D1865,Pop_Census_2023!$A$2:$E$3220,4,FALSE))),vlookup($D1865,Pop_Census_2023!$A$2:$E$3220,4,FALSE), vlookup($D1865,Pop_Census_2023!$A$2:$E$3220,5,FALSE))</f>
        <v>407470</v>
      </c>
      <c r="F1865" s="32">
        <v>974134.0</v>
      </c>
      <c r="G1865" s="32">
        <v>127.0</v>
      </c>
      <c r="H1865" s="32" t="str">
        <f>VLOOKUP(D1865, Grid_Region_Mapping!$D$2:$F$5286, 3, FALSE)</f>
        <v>NYUP</v>
      </c>
      <c r="I1865" s="32">
        <v>2.0</v>
      </c>
      <c r="J1865" s="34" t="str">
        <f t="shared" si="1"/>
        <v>Northeast</v>
      </c>
      <c r="K1865" s="35">
        <v>2.0</v>
      </c>
      <c r="L1865" s="35" t="s">
        <v>396</v>
      </c>
      <c r="M1865" s="36">
        <f>VLOOKUP(D1865, County_Data_CZones!$B$2:$F$3236, 2, FALSE)</f>
        <v>5</v>
      </c>
      <c r="N1865" s="37" t="str">
        <f>VLOOKUP(D1865, County_Data_CZones!$B$2:$F$3236, 5, FALSE)</f>
        <v>Cold</v>
      </c>
    </row>
    <row r="1866" ht="15.75" customHeight="1">
      <c r="A1866" s="32" t="s">
        <v>899</v>
      </c>
      <c r="B1866" s="32" t="s">
        <v>1296</v>
      </c>
      <c r="C1866" s="32" t="str">
        <f>vlookup(B1866,State_EMM_RowSums!$A$2:$B$52,2,FALSE)</f>
        <v>NY</v>
      </c>
      <c r="D1866" s="32">
        <v>36073.0</v>
      </c>
      <c r="E1866" s="33">
        <f>IF(NOT(ISBLANK(vlookup($D1866,Pop_Census_2023!$A$2:$E$3220,4,FALSE))),vlookup($D1866,Pop_Census_2023!$A$2:$E$3220,4,FALSE), vlookup($D1866,Pop_Census_2023!$A$2:$E$3220,5,FALSE))</f>
        <v>39124</v>
      </c>
      <c r="F1866" s="32">
        <v>974135.0</v>
      </c>
      <c r="G1866" s="32">
        <v>127.0</v>
      </c>
      <c r="H1866" s="32" t="str">
        <f>VLOOKUP(D1866, Grid_Region_Mapping!$D$2:$F$5286, 3, FALSE)</f>
        <v>NYUP</v>
      </c>
      <c r="I1866" s="32">
        <v>2.0</v>
      </c>
      <c r="J1866" s="34" t="str">
        <f t="shared" si="1"/>
        <v>Northeast</v>
      </c>
      <c r="K1866" s="35">
        <v>2.0</v>
      </c>
      <c r="L1866" s="35" t="s">
        <v>396</v>
      </c>
      <c r="M1866" s="36">
        <f>VLOOKUP(D1866, County_Data_CZones!$B$2:$F$3236, 2, FALSE)</f>
        <v>5</v>
      </c>
      <c r="N1866" s="37" t="str">
        <f>VLOOKUP(D1866, County_Data_CZones!$B$2:$F$3236, 5, FALSE)</f>
        <v>Cold</v>
      </c>
    </row>
    <row r="1867" ht="15.75" customHeight="1">
      <c r="A1867" s="32" t="s">
        <v>1310</v>
      </c>
      <c r="B1867" s="32" t="s">
        <v>1296</v>
      </c>
      <c r="C1867" s="32" t="str">
        <f>vlookup(B1867,State_EMM_RowSums!$A$2:$B$52,2,FALSE)</f>
        <v>NY</v>
      </c>
      <c r="D1867" s="32">
        <v>36075.0</v>
      </c>
      <c r="E1867" s="33">
        <f>IF(NOT(ISBLANK(vlookup($D1867,Pop_Census_2023!$A$2:$E$3220,4,FALSE))),vlookup($D1867,Pop_Census_2023!$A$2:$E$3220,4,FALSE), vlookup($D1867,Pop_Census_2023!$A$2:$E$3220,5,FALSE))</f>
        <v>118162</v>
      </c>
      <c r="F1867" s="32">
        <v>974136.0</v>
      </c>
      <c r="G1867" s="32">
        <v>127.0</v>
      </c>
      <c r="H1867" s="32" t="str">
        <f>VLOOKUP(D1867, Grid_Region_Mapping!$D$2:$F$5286, 3, FALSE)</f>
        <v>NYUP</v>
      </c>
      <c r="I1867" s="32">
        <v>2.0</v>
      </c>
      <c r="J1867" s="34" t="str">
        <f t="shared" si="1"/>
        <v>Northeast</v>
      </c>
      <c r="K1867" s="35">
        <v>2.0</v>
      </c>
      <c r="L1867" s="35" t="s">
        <v>396</v>
      </c>
      <c r="M1867" s="36">
        <f>VLOOKUP(D1867, County_Data_CZones!$B$2:$F$3236, 2, FALSE)</f>
        <v>5</v>
      </c>
      <c r="N1867" s="37" t="str">
        <f>VLOOKUP(D1867, County_Data_CZones!$B$2:$F$3236, 5, FALSE)</f>
        <v>Cold</v>
      </c>
    </row>
    <row r="1868" ht="15.75" customHeight="1">
      <c r="A1868" s="32" t="s">
        <v>1015</v>
      </c>
      <c r="B1868" s="32" t="s">
        <v>1296</v>
      </c>
      <c r="C1868" s="32" t="str">
        <f>vlookup(B1868,State_EMM_RowSums!$A$2:$B$52,2,FALSE)</f>
        <v>NY</v>
      </c>
      <c r="D1868" s="32">
        <v>36077.0</v>
      </c>
      <c r="E1868" s="33">
        <f>IF(NOT(ISBLANK(vlookup($D1868,Pop_Census_2023!$A$2:$E$3220,4,FALSE))),vlookup($D1868,Pop_Census_2023!$A$2:$E$3220,4,FALSE), vlookup($D1868,Pop_Census_2023!$A$2:$E$3220,5,FALSE))</f>
        <v>60126</v>
      </c>
      <c r="F1868" s="32">
        <v>974137.0</v>
      </c>
      <c r="G1868" s="32">
        <v>127.0</v>
      </c>
      <c r="H1868" s="32" t="str">
        <f>VLOOKUP(D1868, Grid_Region_Mapping!$D$2:$F$5286, 3, FALSE)</f>
        <v>NYUP</v>
      </c>
      <c r="I1868" s="32">
        <v>2.0</v>
      </c>
      <c r="J1868" s="34" t="str">
        <f t="shared" si="1"/>
        <v>Northeast</v>
      </c>
      <c r="K1868" s="35">
        <v>1.0</v>
      </c>
      <c r="L1868" s="35" t="s">
        <v>707</v>
      </c>
      <c r="M1868" s="36">
        <f>VLOOKUP(D1868, County_Data_CZones!$B$2:$F$3236, 2, FALSE)</f>
        <v>6</v>
      </c>
      <c r="N1868" s="37" t="str">
        <f>VLOOKUP(D1868, County_Data_CZones!$B$2:$F$3236, 5, FALSE)</f>
        <v>Cold</v>
      </c>
    </row>
    <row r="1869" ht="15.75" customHeight="1">
      <c r="A1869" s="32" t="s">
        <v>449</v>
      </c>
      <c r="B1869" s="32" t="s">
        <v>1296</v>
      </c>
      <c r="C1869" s="32" t="str">
        <f>vlookup(B1869,State_EMM_RowSums!$A$2:$B$52,2,FALSE)</f>
        <v>NY</v>
      </c>
      <c r="D1869" s="32">
        <v>36079.0</v>
      </c>
      <c r="E1869" s="33">
        <f>IF(NOT(ISBLANK(vlookup($D1869,Pop_Census_2023!$A$2:$E$3220,4,FALSE))),vlookup($D1869,Pop_Census_2023!$A$2:$E$3220,4,FALSE), vlookup($D1869,Pop_Census_2023!$A$2:$E$3220,5,FALSE))</f>
        <v>98060</v>
      </c>
      <c r="F1869" s="32">
        <v>974138.0</v>
      </c>
      <c r="G1869" s="32">
        <v>127.0</v>
      </c>
      <c r="H1869" s="32" t="str">
        <f>VLOOKUP(D1869, Grid_Region_Mapping!$D$2:$F$5286, 3, FALSE)</f>
        <v>NYUP</v>
      </c>
      <c r="I1869" s="32">
        <v>2.0</v>
      </c>
      <c r="J1869" s="34" t="str">
        <f t="shared" si="1"/>
        <v>Northeast</v>
      </c>
      <c r="K1869" s="35">
        <v>2.0</v>
      </c>
      <c r="L1869" s="35" t="s">
        <v>396</v>
      </c>
      <c r="M1869" s="36">
        <f>VLOOKUP(D1869, County_Data_CZones!$B$2:$F$3236, 2, FALSE)</f>
        <v>5</v>
      </c>
      <c r="N1869" s="37" t="str">
        <f>VLOOKUP(D1869, County_Data_CZones!$B$2:$F$3236, 5, FALSE)</f>
        <v>Cold</v>
      </c>
    </row>
    <row r="1870" ht="15.75" customHeight="1">
      <c r="A1870" s="32" t="s">
        <v>1311</v>
      </c>
      <c r="B1870" s="32" t="s">
        <v>1296</v>
      </c>
      <c r="C1870" s="32" t="str">
        <f>vlookup(B1870,State_EMM_RowSums!$A$2:$B$52,2,FALSE)</f>
        <v>NY</v>
      </c>
      <c r="D1870" s="32">
        <v>36081.0</v>
      </c>
      <c r="E1870" s="33">
        <f>IF(NOT(ISBLANK(vlookup($D1870,Pop_Census_2023!$A$2:$E$3220,4,FALSE))),vlookup($D1870,Pop_Census_2023!$A$2:$E$3220,4,FALSE), vlookup($D1870,Pop_Census_2023!$A$2:$E$3220,5,FALSE))</f>
        <v>2252196</v>
      </c>
      <c r="F1870" s="32">
        <v>974139.0</v>
      </c>
      <c r="G1870" s="32">
        <v>127.0</v>
      </c>
      <c r="H1870" s="32" t="str">
        <f>VLOOKUP(D1870, Grid_Region_Mapping!$D$2:$F$5286, 3, FALSE)</f>
        <v>NYCW</v>
      </c>
      <c r="I1870" s="32">
        <v>2.0</v>
      </c>
      <c r="J1870" s="34" t="str">
        <f t="shared" si="1"/>
        <v>Northeast</v>
      </c>
      <c r="K1870" s="35">
        <v>3.0</v>
      </c>
      <c r="L1870" s="35" t="s">
        <v>223</v>
      </c>
      <c r="M1870" s="36">
        <f>VLOOKUP(D1870, County_Data_CZones!$B$2:$F$3236, 2, FALSE)</f>
        <v>4</v>
      </c>
      <c r="N1870" s="37" t="str">
        <f>VLOOKUP(D1870, County_Data_CZones!$B$2:$F$3236, 5, FALSE)</f>
        <v>Mixed-Humid</v>
      </c>
    </row>
    <row r="1871" ht="15.75" customHeight="1">
      <c r="A1871" s="32" t="s">
        <v>1312</v>
      </c>
      <c r="B1871" s="32" t="s">
        <v>1296</v>
      </c>
      <c r="C1871" s="32" t="str">
        <f>vlookup(B1871,State_EMM_RowSums!$A$2:$B$52,2,FALSE)</f>
        <v>NY</v>
      </c>
      <c r="D1871" s="32">
        <v>36083.0</v>
      </c>
      <c r="E1871" s="33">
        <f>IF(NOT(ISBLANK(vlookup($D1871,Pop_Census_2023!$A$2:$E$3220,4,FALSE))),vlookup($D1871,Pop_Census_2023!$A$2:$E$3220,4,FALSE), vlookup($D1871,Pop_Census_2023!$A$2:$E$3220,5,FALSE))</f>
        <v>159305</v>
      </c>
      <c r="F1871" s="32">
        <v>974140.0</v>
      </c>
      <c r="G1871" s="32">
        <v>127.0</v>
      </c>
      <c r="H1871" s="32" t="str">
        <f>VLOOKUP(D1871, Grid_Region_Mapping!$D$2:$F$5286, 3, FALSE)</f>
        <v>NYUP</v>
      </c>
      <c r="I1871" s="32">
        <v>2.0</v>
      </c>
      <c r="J1871" s="34" t="str">
        <f t="shared" si="1"/>
        <v>Northeast</v>
      </c>
      <c r="K1871" s="35">
        <v>2.0</v>
      </c>
      <c r="L1871" s="35" t="s">
        <v>396</v>
      </c>
      <c r="M1871" s="36">
        <f>VLOOKUP(D1871, County_Data_CZones!$B$2:$F$3236, 2, FALSE)</f>
        <v>5</v>
      </c>
      <c r="N1871" s="37" t="str">
        <f>VLOOKUP(D1871, County_Data_CZones!$B$2:$F$3236, 5, FALSE)</f>
        <v>Cold</v>
      </c>
    </row>
    <row r="1872" ht="15.75" customHeight="1">
      <c r="A1872" s="32" t="s">
        <v>539</v>
      </c>
      <c r="B1872" s="32" t="s">
        <v>1296</v>
      </c>
      <c r="C1872" s="32" t="str">
        <f>vlookup(B1872,State_EMM_RowSums!$A$2:$B$52,2,FALSE)</f>
        <v>NY</v>
      </c>
      <c r="D1872" s="32">
        <v>36085.0</v>
      </c>
      <c r="E1872" s="33">
        <f>IF(NOT(ISBLANK(vlookup($D1872,Pop_Census_2023!$A$2:$E$3220,4,FALSE))),vlookup($D1872,Pop_Census_2023!$A$2:$E$3220,4,FALSE), vlookup($D1872,Pop_Census_2023!$A$2:$E$3220,5,FALSE))</f>
        <v>490687</v>
      </c>
      <c r="F1872" s="32">
        <v>974141.0</v>
      </c>
      <c r="G1872" s="32">
        <v>127.0</v>
      </c>
      <c r="H1872" s="32" t="str">
        <f>VLOOKUP(D1872, Grid_Region_Mapping!$D$2:$F$5286, 3, FALSE)</f>
        <v>PJME</v>
      </c>
      <c r="I1872" s="32">
        <v>2.0</v>
      </c>
      <c r="J1872" s="34" t="str">
        <f t="shared" si="1"/>
        <v>Northeast</v>
      </c>
      <c r="K1872" s="35">
        <v>3.0</v>
      </c>
      <c r="L1872" s="35" t="s">
        <v>223</v>
      </c>
      <c r="M1872" s="36">
        <f>VLOOKUP(D1872, County_Data_CZones!$B$2:$F$3236, 2, FALSE)</f>
        <v>4</v>
      </c>
      <c r="N1872" s="37" t="str">
        <f>VLOOKUP(D1872, County_Data_CZones!$B$2:$F$3236, 5, FALSE)</f>
        <v>Mixed-Humid</v>
      </c>
    </row>
    <row r="1873" ht="15.75" customHeight="1">
      <c r="A1873" s="32" t="s">
        <v>1313</v>
      </c>
      <c r="B1873" s="32" t="s">
        <v>1296</v>
      </c>
      <c r="C1873" s="32" t="str">
        <f>vlookup(B1873,State_EMM_RowSums!$A$2:$B$52,2,FALSE)</f>
        <v>NY</v>
      </c>
      <c r="D1873" s="32">
        <v>36087.0</v>
      </c>
      <c r="E1873" s="33">
        <f>IF(NOT(ISBLANK(vlookup($D1873,Pop_Census_2023!$A$2:$E$3220,4,FALSE))),vlookup($D1873,Pop_Census_2023!$A$2:$E$3220,4,FALSE), vlookup($D1873,Pop_Census_2023!$A$2:$E$3220,5,FALSE))</f>
        <v>340807</v>
      </c>
      <c r="F1873" s="32">
        <v>974142.0</v>
      </c>
      <c r="G1873" s="32">
        <v>127.0</v>
      </c>
      <c r="H1873" s="32" t="str">
        <f>VLOOKUP(D1873, Grid_Region_Mapping!$D$2:$F$5286, 3, FALSE)</f>
        <v>NYUP</v>
      </c>
      <c r="I1873" s="32">
        <v>2.0</v>
      </c>
      <c r="J1873" s="34" t="str">
        <f t="shared" si="1"/>
        <v>Northeast</v>
      </c>
      <c r="K1873" s="35">
        <v>2.0</v>
      </c>
      <c r="L1873" s="35" t="s">
        <v>396</v>
      </c>
      <c r="M1873" s="36">
        <f>VLOOKUP(D1873, County_Data_CZones!$B$2:$F$3236, 2, FALSE)</f>
        <v>5</v>
      </c>
      <c r="N1873" s="37" t="str">
        <f>VLOOKUP(D1873, County_Data_CZones!$B$2:$F$3236, 5, FALSE)</f>
        <v>Cold</v>
      </c>
    </row>
    <row r="1874" ht="15.75" customHeight="1">
      <c r="A1874" s="32" t="s">
        <v>1314</v>
      </c>
      <c r="B1874" s="32" t="s">
        <v>1296</v>
      </c>
      <c r="C1874" s="32" t="str">
        <f>vlookup(B1874,State_EMM_RowSums!$A$2:$B$52,2,FALSE)</f>
        <v>NY</v>
      </c>
      <c r="D1874" s="32">
        <v>36089.0</v>
      </c>
      <c r="E1874" s="33">
        <f>IF(NOT(ISBLANK(vlookup($D1874,Pop_Census_2023!$A$2:$E$3220,4,FALSE))),vlookup($D1874,Pop_Census_2023!$A$2:$E$3220,4,FALSE), vlookup($D1874,Pop_Census_2023!$A$2:$E$3220,5,FALSE))</f>
        <v>106940</v>
      </c>
      <c r="F1874" s="32">
        <v>977309.0</v>
      </c>
      <c r="G1874" s="32">
        <v>127.0</v>
      </c>
      <c r="H1874" s="32" t="str">
        <f>VLOOKUP(D1874, Grid_Region_Mapping!$D$2:$F$5286, 3, FALSE)</f>
        <v>NYUP</v>
      </c>
      <c r="I1874" s="32">
        <v>2.0</v>
      </c>
      <c r="J1874" s="34" t="str">
        <f t="shared" si="1"/>
        <v>Northeast</v>
      </c>
      <c r="K1874" s="35">
        <v>1.0</v>
      </c>
      <c r="L1874" s="35" t="s">
        <v>707</v>
      </c>
      <c r="M1874" s="36">
        <f>VLOOKUP(D1874, County_Data_CZones!$B$2:$F$3236, 2, FALSE)</f>
        <v>6</v>
      </c>
      <c r="N1874" s="37" t="str">
        <f>VLOOKUP(D1874, County_Data_CZones!$B$2:$F$3236, 5, FALSE)</f>
        <v>Cold</v>
      </c>
    </row>
    <row r="1875" ht="15.75" customHeight="1">
      <c r="A1875" s="32" t="s">
        <v>1315</v>
      </c>
      <c r="B1875" s="32" t="s">
        <v>1296</v>
      </c>
      <c r="C1875" s="32" t="str">
        <f>vlookup(B1875,State_EMM_RowSums!$A$2:$B$52,2,FALSE)</f>
        <v>NY</v>
      </c>
      <c r="D1875" s="32">
        <v>36091.0</v>
      </c>
      <c r="E1875" s="33">
        <f>IF(NOT(ISBLANK(vlookup($D1875,Pop_Census_2023!$A$2:$E$3220,4,FALSE))),vlookup($D1875,Pop_Census_2023!$A$2:$E$3220,4,FALSE), vlookup($D1875,Pop_Census_2023!$A$2:$E$3220,5,FALSE))</f>
        <v>238711</v>
      </c>
      <c r="F1875" s="32">
        <v>974143.0</v>
      </c>
      <c r="G1875" s="32">
        <v>127.0</v>
      </c>
      <c r="H1875" s="32" t="str">
        <f>VLOOKUP(D1875, Grid_Region_Mapping!$D$2:$F$5286, 3, FALSE)</f>
        <v>NYUP</v>
      </c>
      <c r="I1875" s="32">
        <v>2.0</v>
      </c>
      <c r="J1875" s="34" t="str">
        <f t="shared" si="1"/>
        <v>Northeast</v>
      </c>
      <c r="K1875" s="35">
        <v>1.0</v>
      </c>
      <c r="L1875" s="35" t="s">
        <v>396</v>
      </c>
      <c r="M1875" s="36">
        <f>VLOOKUP(D1875, County_Data_CZones!$B$2:$F$3236, 2, FALSE)</f>
        <v>5</v>
      </c>
      <c r="N1875" s="37" t="str">
        <f>VLOOKUP(D1875, County_Data_CZones!$B$2:$F$3236, 5, FALSE)</f>
        <v>Cold</v>
      </c>
    </row>
    <row r="1876" ht="15.75" customHeight="1">
      <c r="A1876" s="32" t="s">
        <v>1316</v>
      </c>
      <c r="B1876" s="32" t="s">
        <v>1296</v>
      </c>
      <c r="C1876" s="32" t="str">
        <f>vlookup(B1876,State_EMM_RowSums!$A$2:$B$52,2,FALSE)</f>
        <v>NY</v>
      </c>
      <c r="D1876" s="32">
        <v>36093.0</v>
      </c>
      <c r="E1876" s="33">
        <f>IF(NOT(ISBLANK(vlookup($D1876,Pop_Census_2023!$A$2:$E$3220,4,FALSE))),vlookup($D1876,Pop_Census_2023!$A$2:$E$3220,4,FALSE), vlookup($D1876,Pop_Census_2023!$A$2:$E$3220,5,FALSE))</f>
        <v>159902</v>
      </c>
      <c r="F1876" s="32">
        <v>974144.0</v>
      </c>
      <c r="G1876" s="32">
        <v>127.0</v>
      </c>
      <c r="H1876" s="32" t="str">
        <f>VLOOKUP(D1876, Grid_Region_Mapping!$D$2:$F$5286, 3, FALSE)</f>
        <v>NYUP</v>
      </c>
      <c r="I1876" s="32">
        <v>2.0</v>
      </c>
      <c r="J1876" s="34" t="str">
        <f t="shared" si="1"/>
        <v>Northeast</v>
      </c>
      <c r="K1876" s="35">
        <v>2.0</v>
      </c>
      <c r="L1876" s="35" t="s">
        <v>396</v>
      </c>
      <c r="M1876" s="36">
        <f>VLOOKUP(D1876, County_Data_CZones!$B$2:$F$3236, 2, FALSE)</f>
        <v>5</v>
      </c>
      <c r="N1876" s="37" t="str">
        <f>VLOOKUP(D1876, County_Data_CZones!$B$2:$F$3236, 5, FALSE)</f>
        <v>Cold</v>
      </c>
    </row>
    <row r="1877" ht="15.75" customHeight="1">
      <c r="A1877" s="32" t="s">
        <v>1317</v>
      </c>
      <c r="B1877" s="32" t="s">
        <v>1296</v>
      </c>
      <c r="C1877" s="32" t="str">
        <f>vlookup(B1877,State_EMM_RowSums!$A$2:$B$52,2,FALSE)</f>
        <v>NY</v>
      </c>
      <c r="D1877" s="32">
        <v>36095.0</v>
      </c>
      <c r="E1877" s="33">
        <f>IF(NOT(ISBLANK(vlookup($D1877,Pop_Census_2023!$A$2:$E$3220,4,FALSE))),vlookup($D1877,Pop_Census_2023!$A$2:$E$3220,4,FALSE), vlookup($D1877,Pop_Census_2023!$A$2:$E$3220,5,FALSE))</f>
        <v>30105</v>
      </c>
      <c r="F1877" s="32">
        <v>974145.0</v>
      </c>
      <c r="G1877" s="32">
        <v>127.0</v>
      </c>
      <c r="H1877" s="32" t="str">
        <f>VLOOKUP(D1877, Grid_Region_Mapping!$D$2:$F$5286, 3, FALSE)</f>
        <v>NYUP</v>
      </c>
      <c r="I1877" s="32">
        <v>2.0</v>
      </c>
      <c r="J1877" s="34" t="str">
        <f t="shared" si="1"/>
        <v>Northeast</v>
      </c>
      <c r="K1877" s="35">
        <v>1.0</v>
      </c>
      <c r="L1877" s="35" t="s">
        <v>707</v>
      </c>
      <c r="M1877" s="36">
        <f>VLOOKUP(D1877, County_Data_CZones!$B$2:$F$3236, 2, FALSE)</f>
        <v>6</v>
      </c>
      <c r="N1877" s="37" t="str">
        <f>VLOOKUP(D1877, County_Data_CZones!$B$2:$F$3236, 5, FALSE)</f>
        <v>Cold</v>
      </c>
    </row>
    <row r="1878" ht="15.75" customHeight="1">
      <c r="A1878" s="32" t="s">
        <v>652</v>
      </c>
      <c r="B1878" s="32" t="s">
        <v>1296</v>
      </c>
      <c r="C1878" s="32" t="str">
        <f>vlookup(B1878,State_EMM_RowSums!$A$2:$B$52,2,FALSE)</f>
        <v>NY</v>
      </c>
      <c r="D1878" s="32">
        <v>36097.0</v>
      </c>
      <c r="E1878" s="33">
        <f>IF(NOT(ISBLANK(vlookup($D1878,Pop_Census_2023!$A$2:$E$3220,4,FALSE))),vlookup($D1878,Pop_Census_2023!$A$2:$E$3220,4,FALSE), vlookup($D1878,Pop_Census_2023!$A$2:$E$3220,5,FALSE))</f>
        <v>17507</v>
      </c>
      <c r="F1878" s="32">
        <v>974146.0</v>
      </c>
      <c r="G1878" s="32">
        <v>127.0</v>
      </c>
      <c r="H1878" s="32" t="str">
        <f>VLOOKUP(D1878, Grid_Region_Mapping!$D$2:$F$5286, 3, FALSE)</f>
        <v>NYUP</v>
      </c>
      <c r="I1878" s="32">
        <v>2.0</v>
      </c>
      <c r="J1878" s="34" t="str">
        <f t="shared" si="1"/>
        <v>Northeast</v>
      </c>
      <c r="K1878" s="35">
        <v>1.0</v>
      </c>
      <c r="L1878" s="35" t="s">
        <v>707</v>
      </c>
      <c r="M1878" s="36">
        <f>VLOOKUP(D1878, County_Data_CZones!$B$2:$F$3236, 2, FALSE)</f>
        <v>6</v>
      </c>
      <c r="N1878" s="37" t="str">
        <f>VLOOKUP(D1878, County_Data_CZones!$B$2:$F$3236, 5, FALSE)</f>
        <v>Cold</v>
      </c>
    </row>
    <row r="1879" ht="15.75" customHeight="1">
      <c r="A1879" s="32" t="s">
        <v>1318</v>
      </c>
      <c r="B1879" s="32" t="s">
        <v>1296</v>
      </c>
      <c r="C1879" s="32" t="str">
        <f>vlookup(B1879,State_EMM_RowSums!$A$2:$B$52,2,FALSE)</f>
        <v>NY</v>
      </c>
      <c r="D1879" s="32">
        <v>36099.0</v>
      </c>
      <c r="E1879" s="33">
        <f>IF(NOT(ISBLANK(vlookup($D1879,Pop_Census_2023!$A$2:$E$3220,4,FALSE))),vlookup($D1879,Pop_Census_2023!$A$2:$E$3220,4,FALSE), vlookup($D1879,Pop_Census_2023!$A$2:$E$3220,5,FALSE))</f>
        <v>32349</v>
      </c>
      <c r="F1879" s="32">
        <v>974147.0</v>
      </c>
      <c r="G1879" s="32">
        <v>127.0</v>
      </c>
      <c r="H1879" s="32" t="str">
        <f>VLOOKUP(D1879, Grid_Region_Mapping!$D$2:$F$5286, 3, FALSE)</f>
        <v>NYUP</v>
      </c>
      <c r="I1879" s="32">
        <v>2.0</v>
      </c>
      <c r="J1879" s="34" t="str">
        <f t="shared" si="1"/>
        <v>Northeast</v>
      </c>
      <c r="K1879" s="35">
        <v>2.0</v>
      </c>
      <c r="L1879" s="35" t="s">
        <v>396</v>
      </c>
      <c r="M1879" s="36">
        <f>VLOOKUP(D1879, County_Data_CZones!$B$2:$F$3236, 2, FALSE)</f>
        <v>5</v>
      </c>
      <c r="N1879" s="37" t="str">
        <f>VLOOKUP(D1879, County_Data_CZones!$B$2:$F$3236, 5, FALSE)</f>
        <v>Cold</v>
      </c>
    </row>
    <row r="1880" ht="15.75" customHeight="1">
      <c r="A1880" s="32" t="s">
        <v>693</v>
      </c>
      <c r="B1880" s="32" t="s">
        <v>1296</v>
      </c>
      <c r="C1880" s="32" t="str">
        <f>vlookup(B1880,State_EMM_RowSums!$A$2:$B$52,2,FALSE)</f>
        <v>NY</v>
      </c>
      <c r="D1880" s="32">
        <v>36101.0</v>
      </c>
      <c r="E1880" s="33">
        <f>IF(NOT(ISBLANK(vlookup($D1880,Pop_Census_2023!$A$2:$E$3220,4,FALSE))),vlookup($D1880,Pop_Census_2023!$A$2:$E$3220,4,FALSE), vlookup($D1880,Pop_Census_2023!$A$2:$E$3220,5,FALSE))</f>
        <v>92162</v>
      </c>
      <c r="F1880" s="32">
        <v>974148.0</v>
      </c>
      <c r="G1880" s="32">
        <v>127.0</v>
      </c>
      <c r="H1880" s="32" t="str">
        <f>VLOOKUP(D1880, Grid_Region_Mapping!$D$2:$F$5286, 3, FALSE)</f>
        <v>NYUP</v>
      </c>
      <c r="I1880" s="32">
        <v>2.0</v>
      </c>
      <c r="J1880" s="34" t="str">
        <f t="shared" si="1"/>
        <v>Northeast</v>
      </c>
      <c r="K1880" s="35">
        <v>1.0</v>
      </c>
      <c r="L1880" s="35" t="s">
        <v>707</v>
      </c>
      <c r="M1880" s="36">
        <f>VLOOKUP(D1880, County_Data_CZones!$B$2:$F$3236, 2, FALSE)</f>
        <v>6</v>
      </c>
      <c r="N1880" s="37" t="str">
        <f>VLOOKUP(D1880, County_Data_CZones!$B$2:$F$3236, 5, FALSE)</f>
        <v>Cold</v>
      </c>
    </row>
    <row r="1881" ht="15.75" customHeight="1">
      <c r="A1881" s="32" t="s">
        <v>961</v>
      </c>
      <c r="B1881" s="32" t="s">
        <v>1296</v>
      </c>
      <c r="C1881" s="32" t="str">
        <f>vlookup(B1881,State_EMM_RowSums!$A$2:$B$52,2,FALSE)</f>
        <v>NY</v>
      </c>
      <c r="D1881" s="32">
        <v>36103.0</v>
      </c>
      <c r="E1881" s="33">
        <f>IF(NOT(ISBLANK(vlookup($D1881,Pop_Census_2023!$A$2:$E$3220,4,FALSE))),vlookup($D1881,Pop_Census_2023!$A$2:$E$3220,4,FALSE), vlookup($D1881,Pop_Census_2023!$A$2:$E$3220,5,FALSE))</f>
        <v>1523170</v>
      </c>
      <c r="F1881" s="32">
        <v>974149.0</v>
      </c>
      <c r="G1881" s="32">
        <v>128.0</v>
      </c>
      <c r="H1881" s="32" t="str">
        <f>VLOOKUP(D1881, Grid_Region_Mapping!$D$2:$F$5286, 3, FALSE)</f>
        <v>NYCW</v>
      </c>
      <c r="I1881" s="32">
        <v>2.0</v>
      </c>
      <c r="J1881" s="34" t="str">
        <f t="shared" si="1"/>
        <v>Northeast</v>
      </c>
      <c r="K1881" s="35">
        <v>2.0</v>
      </c>
      <c r="L1881" s="35" t="s">
        <v>223</v>
      </c>
      <c r="M1881" s="36">
        <f>VLOOKUP(D1881, County_Data_CZones!$B$2:$F$3236, 2, FALSE)</f>
        <v>4</v>
      </c>
      <c r="N1881" s="37" t="str">
        <f>VLOOKUP(D1881, County_Data_CZones!$B$2:$F$3236, 5, FALSE)</f>
        <v>Mixed-Humid</v>
      </c>
    </row>
    <row r="1882" ht="15.75" customHeight="1">
      <c r="A1882" s="32" t="s">
        <v>694</v>
      </c>
      <c r="B1882" s="32" t="s">
        <v>1296</v>
      </c>
      <c r="C1882" s="32" t="str">
        <f>vlookup(B1882,State_EMM_RowSums!$A$2:$B$52,2,FALSE)</f>
        <v>NY</v>
      </c>
      <c r="D1882" s="32">
        <v>36105.0</v>
      </c>
      <c r="E1882" s="33">
        <f>IF(NOT(ISBLANK(vlookup($D1882,Pop_Census_2023!$A$2:$E$3220,4,FALSE))),vlookup($D1882,Pop_Census_2023!$A$2:$E$3220,4,FALSE), vlookup($D1882,Pop_Census_2023!$A$2:$E$3220,5,FALSE))</f>
        <v>79920</v>
      </c>
      <c r="F1882" s="32">
        <v>974150.0</v>
      </c>
      <c r="G1882" s="32">
        <v>127.0</v>
      </c>
      <c r="H1882" s="32" t="str">
        <f>VLOOKUP(D1882, Grid_Region_Mapping!$D$2:$F$5286, 3, FALSE)</f>
        <v>NYUP</v>
      </c>
      <c r="I1882" s="32">
        <v>2.0</v>
      </c>
      <c r="J1882" s="34" t="str">
        <f t="shared" si="1"/>
        <v>Northeast</v>
      </c>
      <c r="K1882" s="35">
        <v>1.0</v>
      </c>
      <c r="L1882" s="35" t="s">
        <v>707</v>
      </c>
      <c r="M1882" s="36">
        <f>VLOOKUP(D1882, County_Data_CZones!$B$2:$F$3236, 2, FALSE)</f>
        <v>6</v>
      </c>
      <c r="N1882" s="37" t="str">
        <f>VLOOKUP(D1882, County_Data_CZones!$B$2:$F$3236, 5, FALSE)</f>
        <v>Cold</v>
      </c>
    </row>
    <row r="1883" ht="15.75" customHeight="1">
      <c r="A1883" s="32" t="s">
        <v>1319</v>
      </c>
      <c r="B1883" s="32" t="s">
        <v>1296</v>
      </c>
      <c r="C1883" s="32" t="str">
        <f>vlookup(B1883,State_EMM_RowSums!$A$2:$B$52,2,FALSE)</f>
        <v>NY</v>
      </c>
      <c r="D1883" s="32">
        <v>36107.0</v>
      </c>
      <c r="E1883" s="33">
        <f>IF(NOT(ISBLANK(vlookup($D1883,Pop_Census_2023!$A$2:$E$3220,4,FALSE))),vlookup($D1883,Pop_Census_2023!$A$2:$E$3220,4,FALSE), vlookup($D1883,Pop_Census_2023!$A$2:$E$3220,5,FALSE))</f>
        <v>47715</v>
      </c>
      <c r="F1883" s="32">
        <v>974151.0</v>
      </c>
      <c r="G1883" s="32">
        <v>127.0</v>
      </c>
      <c r="H1883" s="32" t="str">
        <f>VLOOKUP(D1883, Grid_Region_Mapping!$D$2:$F$5286, 3, FALSE)</f>
        <v>NYUP</v>
      </c>
      <c r="I1883" s="32">
        <v>2.0</v>
      </c>
      <c r="J1883" s="34" t="str">
        <f t="shared" si="1"/>
        <v>Northeast</v>
      </c>
      <c r="K1883" s="35">
        <v>1.0</v>
      </c>
      <c r="L1883" s="35" t="s">
        <v>396</v>
      </c>
      <c r="M1883" s="36">
        <f>VLOOKUP(D1883, County_Data_CZones!$B$2:$F$3236, 2, FALSE)</f>
        <v>5</v>
      </c>
      <c r="N1883" s="37" t="str">
        <f>VLOOKUP(D1883, County_Data_CZones!$B$2:$F$3236, 5, FALSE)</f>
        <v>Cold</v>
      </c>
    </row>
    <row r="1884" ht="15.75" customHeight="1">
      <c r="A1884" s="32" t="s">
        <v>1320</v>
      </c>
      <c r="B1884" s="32" t="s">
        <v>1296</v>
      </c>
      <c r="C1884" s="32" t="str">
        <f>vlookup(B1884,State_EMM_RowSums!$A$2:$B$52,2,FALSE)</f>
        <v>NY</v>
      </c>
      <c r="D1884" s="32">
        <v>36109.0</v>
      </c>
      <c r="E1884" s="33">
        <f>IF(NOT(ISBLANK(vlookup($D1884,Pop_Census_2023!$A$2:$E$3220,4,FALSE))),vlookup($D1884,Pop_Census_2023!$A$2:$E$3220,4,FALSE), vlookup($D1884,Pop_Census_2023!$A$2:$E$3220,5,FALSE))</f>
        <v>103558</v>
      </c>
      <c r="F1884" s="32">
        <v>974152.0</v>
      </c>
      <c r="G1884" s="32">
        <v>127.0</v>
      </c>
      <c r="H1884" s="32" t="str">
        <f>VLOOKUP(D1884, Grid_Region_Mapping!$D$2:$F$5286, 3, FALSE)</f>
        <v>NYUP</v>
      </c>
      <c r="I1884" s="32">
        <v>2.0</v>
      </c>
      <c r="J1884" s="34" t="str">
        <f t="shared" si="1"/>
        <v>Northeast</v>
      </c>
      <c r="K1884" s="35">
        <v>1.0</v>
      </c>
      <c r="L1884" s="35" t="s">
        <v>707</v>
      </c>
      <c r="M1884" s="36">
        <f>VLOOKUP(D1884, County_Data_CZones!$B$2:$F$3236, 2, FALSE)</f>
        <v>6</v>
      </c>
      <c r="N1884" s="37" t="str">
        <f>VLOOKUP(D1884, County_Data_CZones!$B$2:$F$3236, 5, FALSE)</f>
        <v>Cold</v>
      </c>
    </row>
    <row r="1885" ht="15.75" customHeight="1">
      <c r="A1885" s="32" t="s">
        <v>1321</v>
      </c>
      <c r="B1885" s="32" t="s">
        <v>1296</v>
      </c>
      <c r="C1885" s="32" t="str">
        <f>vlookup(B1885,State_EMM_RowSums!$A$2:$B$52,2,FALSE)</f>
        <v>NY</v>
      </c>
      <c r="D1885" s="32">
        <v>36111.0</v>
      </c>
      <c r="E1885" s="33">
        <f>IF(NOT(ISBLANK(vlookup($D1885,Pop_Census_2023!$A$2:$E$3220,4,FALSE))),vlookup($D1885,Pop_Census_2023!$A$2:$E$3220,4,FALSE), vlookup($D1885,Pop_Census_2023!$A$2:$E$3220,5,FALSE))</f>
        <v>182333</v>
      </c>
      <c r="F1885" s="32">
        <v>974153.0</v>
      </c>
      <c r="G1885" s="32">
        <v>127.0</v>
      </c>
      <c r="H1885" s="32" t="str">
        <f>VLOOKUP(D1885, Grid_Region_Mapping!$D$2:$F$5286, 3, FALSE)</f>
        <v>NYUP</v>
      </c>
      <c r="I1885" s="32">
        <v>2.0</v>
      </c>
      <c r="J1885" s="34" t="str">
        <f t="shared" si="1"/>
        <v>Northeast</v>
      </c>
      <c r="K1885" s="35">
        <v>2.0</v>
      </c>
      <c r="L1885" s="35" t="s">
        <v>707</v>
      </c>
      <c r="M1885" s="36">
        <f>VLOOKUP(D1885, County_Data_CZones!$B$2:$F$3236, 2, FALSE)</f>
        <v>6</v>
      </c>
      <c r="N1885" s="37" t="str">
        <f>VLOOKUP(D1885, County_Data_CZones!$B$2:$F$3236, 5, FALSE)</f>
        <v>Cold</v>
      </c>
    </row>
    <row r="1886" ht="15.75" customHeight="1">
      <c r="A1886" s="32" t="s">
        <v>561</v>
      </c>
      <c r="B1886" s="32" t="s">
        <v>1296</v>
      </c>
      <c r="C1886" s="32" t="str">
        <f>vlookup(B1886,State_EMM_RowSums!$A$2:$B$52,2,FALSE)</f>
        <v>NY</v>
      </c>
      <c r="D1886" s="32">
        <v>36113.0</v>
      </c>
      <c r="E1886" s="33">
        <f>IF(NOT(ISBLANK(vlookup($D1886,Pop_Census_2023!$A$2:$E$3220,4,FALSE))),vlookup($D1886,Pop_Census_2023!$A$2:$E$3220,4,FALSE), vlookup($D1886,Pop_Census_2023!$A$2:$E$3220,5,FALSE))</f>
        <v>65380</v>
      </c>
      <c r="F1886" s="32">
        <v>974154.0</v>
      </c>
      <c r="G1886" s="32">
        <v>127.0</v>
      </c>
      <c r="H1886" s="32" t="str">
        <f>VLOOKUP(D1886, Grid_Region_Mapping!$D$2:$F$5286, 3, FALSE)</f>
        <v>NYUP</v>
      </c>
      <c r="I1886" s="32">
        <v>2.0</v>
      </c>
      <c r="J1886" s="34" t="str">
        <f t="shared" si="1"/>
        <v>Northeast</v>
      </c>
      <c r="K1886" s="35">
        <v>1.0</v>
      </c>
      <c r="L1886" s="35" t="s">
        <v>707</v>
      </c>
      <c r="M1886" s="36">
        <f>VLOOKUP(D1886, County_Data_CZones!$B$2:$F$3236, 2, FALSE)</f>
        <v>6</v>
      </c>
      <c r="N1886" s="37" t="str">
        <f>VLOOKUP(D1886, County_Data_CZones!$B$2:$F$3236, 5, FALSE)</f>
        <v>Cold</v>
      </c>
    </row>
    <row r="1887" ht="15.75" customHeight="1">
      <c r="A1887" s="32" t="s">
        <v>167</v>
      </c>
      <c r="B1887" s="32" t="s">
        <v>1296</v>
      </c>
      <c r="C1887" s="32" t="str">
        <f>vlookup(B1887,State_EMM_RowSums!$A$2:$B$52,2,FALSE)</f>
        <v>NY</v>
      </c>
      <c r="D1887" s="32">
        <v>36115.0</v>
      </c>
      <c r="E1887" s="33">
        <f>IF(NOT(ISBLANK(vlookup($D1887,Pop_Census_2023!$A$2:$E$3220,4,FALSE))),vlookup($D1887,Pop_Census_2023!$A$2:$E$3220,4,FALSE), vlookup($D1887,Pop_Census_2023!$A$2:$E$3220,5,FALSE))</f>
        <v>60047</v>
      </c>
      <c r="F1887" s="32">
        <v>974155.0</v>
      </c>
      <c r="G1887" s="32">
        <v>127.0</v>
      </c>
      <c r="H1887" s="32" t="str">
        <f>VLOOKUP(D1887, Grid_Region_Mapping!$D$2:$F$5286, 3, FALSE)</f>
        <v>NYUP</v>
      </c>
      <c r="I1887" s="32">
        <v>2.0</v>
      </c>
      <c r="J1887" s="34" t="str">
        <f t="shared" si="1"/>
        <v>Northeast</v>
      </c>
      <c r="K1887" s="35">
        <v>1.0</v>
      </c>
      <c r="L1887" s="35" t="s">
        <v>396</v>
      </c>
      <c r="M1887" s="36">
        <f>VLOOKUP(D1887, County_Data_CZones!$B$2:$F$3236, 2, FALSE)</f>
        <v>5</v>
      </c>
      <c r="N1887" s="37" t="str">
        <f>VLOOKUP(D1887, County_Data_CZones!$B$2:$F$3236, 5, FALSE)</f>
        <v>Cold</v>
      </c>
    </row>
    <row r="1888" ht="15.75" customHeight="1">
      <c r="A1888" s="32" t="s">
        <v>562</v>
      </c>
      <c r="B1888" s="32" t="s">
        <v>1296</v>
      </c>
      <c r="C1888" s="32" t="str">
        <f>vlookup(B1888,State_EMM_RowSums!$A$2:$B$52,2,FALSE)</f>
        <v>NY</v>
      </c>
      <c r="D1888" s="32">
        <v>36117.0</v>
      </c>
      <c r="E1888" s="33">
        <f>IF(NOT(ISBLANK(vlookup($D1888,Pop_Census_2023!$A$2:$E$3220,4,FALSE))),vlookup($D1888,Pop_Census_2023!$A$2:$E$3220,4,FALSE), vlookup($D1888,Pop_Census_2023!$A$2:$E$3220,5,FALSE))</f>
        <v>90829</v>
      </c>
      <c r="F1888" s="32">
        <v>974156.0</v>
      </c>
      <c r="G1888" s="32">
        <v>127.0</v>
      </c>
      <c r="H1888" s="32" t="str">
        <f>VLOOKUP(D1888, Grid_Region_Mapping!$D$2:$F$5286, 3, FALSE)</f>
        <v>NYUP</v>
      </c>
      <c r="I1888" s="32">
        <v>2.0</v>
      </c>
      <c r="J1888" s="34" t="str">
        <f t="shared" si="1"/>
        <v>Northeast</v>
      </c>
      <c r="K1888" s="35">
        <v>2.0</v>
      </c>
      <c r="L1888" s="35" t="s">
        <v>396</v>
      </c>
      <c r="M1888" s="36">
        <f>VLOOKUP(D1888, County_Data_CZones!$B$2:$F$3236, 2, FALSE)</f>
        <v>5</v>
      </c>
      <c r="N1888" s="37" t="str">
        <f>VLOOKUP(D1888, County_Data_CZones!$B$2:$F$3236, 5, FALSE)</f>
        <v>Cold</v>
      </c>
    </row>
    <row r="1889" ht="15.75" customHeight="1">
      <c r="A1889" s="32" t="s">
        <v>1322</v>
      </c>
      <c r="B1889" s="32" t="s">
        <v>1296</v>
      </c>
      <c r="C1889" s="32" t="str">
        <f>vlookup(B1889,State_EMM_RowSums!$A$2:$B$52,2,FALSE)</f>
        <v>NY</v>
      </c>
      <c r="D1889" s="32">
        <v>36119.0</v>
      </c>
      <c r="E1889" s="33">
        <f>IF(NOT(ISBLANK(vlookup($D1889,Pop_Census_2023!$A$2:$E$3220,4,FALSE))),vlookup($D1889,Pop_Census_2023!$A$2:$E$3220,4,FALSE), vlookup($D1889,Pop_Census_2023!$A$2:$E$3220,5,FALSE))</f>
        <v>990817</v>
      </c>
      <c r="F1889" s="32">
        <v>974157.0</v>
      </c>
      <c r="G1889" s="32">
        <v>127.0</v>
      </c>
      <c r="H1889" s="32" t="str">
        <f>VLOOKUP(D1889, Grid_Region_Mapping!$D$2:$F$5286, 3, FALSE)</f>
        <v>NYCW</v>
      </c>
      <c r="I1889" s="32">
        <v>2.0</v>
      </c>
      <c r="J1889" s="34" t="str">
        <f t="shared" si="1"/>
        <v>Northeast</v>
      </c>
      <c r="K1889" s="35">
        <v>3.0</v>
      </c>
      <c r="L1889" s="35" t="s">
        <v>223</v>
      </c>
      <c r="M1889" s="36">
        <f>VLOOKUP(D1889, County_Data_CZones!$B$2:$F$3236, 2, FALSE)</f>
        <v>4</v>
      </c>
      <c r="N1889" s="37" t="str">
        <f>VLOOKUP(D1889, County_Data_CZones!$B$2:$F$3236, 5, FALSE)</f>
        <v>Mixed-Humid</v>
      </c>
    </row>
    <row r="1890" ht="15.75" customHeight="1">
      <c r="A1890" s="32" t="s">
        <v>1323</v>
      </c>
      <c r="B1890" s="32" t="s">
        <v>1296</v>
      </c>
      <c r="C1890" s="32" t="str">
        <f>vlookup(B1890,State_EMM_RowSums!$A$2:$B$52,2,FALSE)</f>
        <v>NY</v>
      </c>
      <c r="D1890" s="32">
        <v>36121.0</v>
      </c>
      <c r="E1890" s="33">
        <f>IF(NOT(ISBLANK(vlookup($D1890,Pop_Census_2023!$A$2:$E$3220,4,FALSE))),vlookup($D1890,Pop_Census_2023!$A$2:$E$3220,4,FALSE), vlookup($D1890,Pop_Census_2023!$A$2:$E$3220,5,FALSE))</f>
        <v>39532</v>
      </c>
      <c r="F1890" s="32">
        <v>974158.0</v>
      </c>
      <c r="G1890" s="32">
        <v>127.0</v>
      </c>
      <c r="H1890" s="32" t="str">
        <f>VLOOKUP(D1890, Grid_Region_Mapping!$D$2:$F$5286, 3, FALSE)</f>
        <v>NYUP</v>
      </c>
      <c r="I1890" s="32">
        <v>2.0</v>
      </c>
      <c r="J1890" s="34" t="str">
        <f t="shared" si="1"/>
        <v>Northeast</v>
      </c>
      <c r="K1890" s="35">
        <v>1.0</v>
      </c>
      <c r="L1890" s="35" t="s">
        <v>707</v>
      </c>
      <c r="M1890" s="36">
        <f>VLOOKUP(D1890, County_Data_CZones!$B$2:$F$3236, 2, FALSE)</f>
        <v>6</v>
      </c>
      <c r="N1890" s="37" t="str">
        <f>VLOOKUP(D1890, County_Data_CZones!$B$2:$F$3236, 5, FALSE)</f>
        <v>Cold</v>
      </c>
    </row>
    <row r="1891" ht="15.75" customHeight="1">
      <c r="A1891" s="32" t="s">
        <v>1324</v>
      </c>
      <c r="B1891" s="32" t="s">
        <v>1296</v>
      </c>
      <c r="C1891" s="32" t="str">
        <f>vlookup(B1891,State_EMM_RowSums!$A$2:$B$52,2,FALSE)</f>
        <v>NY</v>
      </c>
      <c r="D1891" s="32">
        <v>36123.0</v>
      </c>
      <c r="E1891" s="33">
        <f>IF(NOT(ISBLANK(vlookup($D1891,Pop_Census_2023!$A$2:$E$3220,4,FALSE))),vlookup($D1891,Pop_Census_2023!$A$2:$E$3220,4,FALSE), vlookup($D1891,Pop_Census_2023!$A$2:$E$3220,5,FALSE))</f>
        <v>24472</v>
      </c>
      <c r="F1891" s="32">
        <v>974159.0</v>
      </c>
      <c r="G1891" s="32">
        <v>127.0</v>
      </c>
      <c r="H1891" s="32" t="str">
        <f>VLOOKUP(D1891, Grid_Region_Mapping!$D$2:$F$5286, 3, FALSE)</f>
        <v>NYUP</v>
      </c>
      <c r="I1891" s="32">
        <v>2.0</v>
      </c>
      <c r="J1891" s="34" t="str">
        <f t="shared" si="1"/>
        <v>Northeast</v>
      </c>
      <c r="K1891" s="35">
        <v>2.0</v>
      </c>
      <c r="L1891" s="35" t="s">
        <v>396</v>
      </c>
      <c r="M1891" s="36">
        <f>VLOOKUP(D1891, County_Data_CZones!$B$2:$F$3236, 2, FALSE)</f>
        <v>5</v>
      </c>
      <c r="N1891" s="37" t="str">
        <f>VLOOKUP(D1891, County_Data_CZones!$B$2:$F$3236, 5, FALSE)</f>
        <v>Cold</v>
      </c>
    </row>
    <row r="1892" ht="15.75" customHeight="1">
      <c r="A1892" s="32" t="s">
        <v>1325</v>
      </c>
      <c r="B1892" s="32" t="s">
        <v>1326</v>
      </c>
      <c r="C1892" s="32" t="str">
        <f>vlookup(B1892,State_EMM_RowSums!$A$2:$B$52,2,FALSE)</f>
        <v>NC</v>
      </c>
      <c r="D1892" s="32">
        <v>37001.0</v>
      </c>
      <c r="E1892" s="33">
        <f>IF(NOT(ISBLANK(vlookup($D1892,Pop_Census_2023!$A$2:$E$3220,4,FALSE))),vlookup($D1892,Pop_Census_2023!$A$2:$E$3220,4,FALSE), vlookup($D1892,Pop_Census_2023!$A$2:$E$3220,5,FALSE))</f>
        <v>179165</v>
      </c>
      <c r="F1892" s="32">
        <v>1008531.0</v>
      </c>
      <c r="G1892" s="32">
        <v>98.0</v>
      </c>
      <c r="H1892" s="32" t="str">
        <f>VLOOKUP(D1892, Grid_Region_Mapping!$D$2:$F$5286, 3, FALSE)</f>
        <v>SRCA</v>
      </c>
      <c r="I1892" s="32">
        <v>5.0</v>
      </c>
      <c r="J1892" s="34" t="str">
        <f t="shared" si="1"/>
        <v>South</v>
      </c>
      <c r="K1892" s="35">
        <v>4.0</v>
      </c>
      <c r="L1892" s="35" t="s">
        <v>223</v>
      </c>
      <c r="M1892" s="36">
        <f>VLOOKUP(D1892, County_Data_CZones!$B$2:$F$3236, 2, FALSE)</f>
        <v>4</v>
      </c>
      <c r="N1892" s="37" t="str">
        <f>VLOOKUP(D1892, County_Data_CZones!$B$2:$F$3236, 5, FALSE)</f>
        <v>Mixed-Humid</v>
      </c>
    </row>
    <row r="1893" ht="15.75" customHeight="1">
      <c r="A1893" s="32" t="s">
        <v>609</v>
      </c>
      <c r="B1893" s="32" t="s">
        <v>1326</v>
      </c>
      <c r="C1893" s="32" t="str">
        <f>vlookup(B1893,State_EMM_RowSums!$A$2:$B$52,2,FALSE)</f>
        <v>NC</v>
      </c>
      <c r="D1893" s="32">
        <v>37003.0</v>
      </c>
      <c r="E1893" s="33">
        <f>IF(NOT(ISBLANK(vlookup($D1893,Pop_Census_2023!$A$2:$E$3220,4,FALSE))),vlookup($D1893,Pop_Census_2023!$A$2:$E$3220,4,FALSE), vlookup($D1893,Pop_Census_2023!$A$2:$E$3220,5,FALSE))</f>
        <v>36473</v>
      </c>
      <c r="F1893" s="32">
        <v>1008532.0</v>
      </c>
      <c r="G1893" s="32">
        <v>97.0</v>
      </c>
      <c r="H1893" s="32" t="str">
        <f>VLOOKUP(D1893, Grid_Region_Mapping!$D$2:$F$5286, 3, FALSE)</f>
        <v>SRCA</v>
      </c>
      <c r="I1893" s="32">
        <v>5.0</v>
      </c>
      <c r="J1893" s="34" t="str">
        <f t="shared" si="1"/>
        <v>South</v>
      </c>
      <c r="K1893" s="35">
        <v>4.0</v>
      </c>
      <c r="L1893" s="35" t="s">
        <v>223</v>
      </c>
      <c r="M1893" s="36">
        <f>VLOOKUP(D1893, County_Data_CZones!$B$2:$F$3236, 2, FALSE)</f>
        <v>4</v>
      </c>
      <c r="N1893" s="37" t="str">
        <f>VLOOKUP(D1893, County_Data_CZones!$B$2:$F$3236, 5, FALSE)</f>
        <v>Mixed-Humid</v>
      </c>
    </row>
    <row r="1894" ht="15.75" customHeight="1">
      <c r="A1894" s="32" t="s">
        <v>1327</v>
      </c>
      <c r="B1894" s="32" t="s">
        <v>1326</v>
      </c>
      <c r="C1894" s="32" t="str">
        <f>vlookup(B1894,State_EMM_RowSums!$A$2:$B$52,2,FALSE)</f>
        <v>NC</v>
      </c>
      <c r="D1894" s="32">
        <v>37005.0</v>
      </c>
      <c r="E1894" s="33">
        <f>IF(NOT(ISBLANK(vlookup($D1894,Pop_Census_2023!$A$2:$E$3220,4,FALSE))),vlookup($D1894,Pop_Census_2023!$A$2:$E$3220,4,FALSE), vlookup($D1894,Pop_Census_2023!$A$2:$E$3220,5,FALSE))</f>
        <v>11342</v>
      </c>
      <c r="F1894" s="32">
        <v>1008533.0</v>
      </c>
      <c r="G1894" s="32">
        <v>97.0</v>
      </c>
      <c r="H1894" s="32" t="str">
        <f>VLOOKUP(D1894, Grid_Region_Mapping!$D$2:$F$5286, 3, FALSE)</f>
        <v>SRCA</v>
      </c>
      <c r="I1894" s="32">
        <v>5.0</v>
      </c>
      <c r="J1894" s="34" t="str">
        <f t="shared" si="1"/>
        <v>South</v>
      </c>
      <c r="K1894" s="35">
        <v>3.0</v>
      </c>
      <c r="L1894" s="35" t="s">
        <v>396</v>
      </c>
      <c r="M1894" s="36">
        <f>VLOOKUP(D1894, County_Data_CZones!$B$2:$F$3236, 2, FALSE)</f>
        <v>5</v>
      </c>
      <c r="N1894" s="37" t="str">
        <f>VLOOKUP(D1894, County_Data_CZones!$B$2:$F$3236, 5, FALSE)</f>
        <v>Cold</v>
      </c>
    </row>
    <row r="1895" ht="15.75" customHeight="1">
      <c r="A1895" s="32" t="s">
        <v>1328</v>
      </c>
      <c r="B1895" s="32" t="s">
        <v>1326</v>
      </c>
      <c r="C1895" s="32" t="str">
        <f>vlookup(B1895,State_EMM_RowSums!$A$2:$B$52,2,FALSE)</f>
        <v>NC</v>
      </c>
      <c r="D1895" s="32">
        <v>37007.0</v>
      </c>
      <c r="E1895" s="33">
        <f>IF(NOT(ISBLANK(vlookup($D1895,Pop_Census_2023!$A$2:$E$3220,4,FALSE))),vlookup($D1895,Pop_Census_2023!$A$2:$E$3220,4,FALSE), vlookup($D1895,Pop_Census_2023!$A$2:$E$3220,5,FALSE))</f>
        <v>21897</v>
      </c>
      <c r="F1895" s="32">
        <v>1008534.0</v>
      </c>
      <c r="G1895" s="32">
        <v>97.0</v>
      </c>
      <c r="H1895" s="32" t="str">
        <f>VLOOKUP(D1895, Grid_Region_Mapping!$D$2:$F$5286, 3, FALSE)</f>
        <v>SRCA</v>
      </c>
      <c r="I1895" s="32">
        <v>5.0</v>
      </c>
      <c r="J1895" s="34" t="str">
        <f t="shared" si="1"/>
        <v>South</v>
      </c>
      <c r="K1895" s="35">
        <v>4.0</v>
      </c>
      <c r="L1895" s="35" t="s">
        <v>102</v>
      </c>
      <c r="M1895" s="36">
        <f>VLOOKUP(D1895, County_Data_CZones!$B$2:$F$3236, 2, FALSE)</f>
        <v>3</v>
      </c>
      <c r="N1895" s="37" t="str">
        <f>VLOOKUP(D1895, County_Data_CZones!$B$2:$F$3236, 5, FALSE)</f>
        <v>Mixed-Humid</v>
      </c>
    </row>
    <row r="1896" ht="15.75" customHeight="1">
      <c r="A1896" s="32" t="s">
        <v>1329</v>
      </c>
      <c r="B1896" s="32" t="s">
        <v>1326</v>
      </c>
      <c r="C1896" s="32" t="str">
        <f>vlookup(B1896,State_EMM_RowSums!$A$2:$B$52,2,FALSE)</f>
        <v>NC</v>
      </c>
      <c r="D1896" s="32">
        <v>37009.0</v>
      </c>
      <c r="E1896" s="33">
        <f>IF(NOT(ISBLANK(vlookup($D1896,Pop_Census_2023!$A$2:$E$3220,4,FALSE))),vlookup($D1896,Pop_Census_2023!$A$2:$E$3220,4,FALSE), vlookup($D1896,Pop_Census_2023!$A$2:$E$3220,5,FALSE))</f>
        <v>27063</v>
      </c>
      <c r="F1896" s="32">
        <v>1008535.0</v>
      </c>
      <c r="G1896" s="32">
        <v>97.0</v>
      </c>
      <c r="H1896" s="32" t="str">
        <f>VLOOKUP(D1896, Grid_Region_Mapping!$D$2:$F$5286, 3, FALSE)</f>
        <v>SRCA</v>
      </c>
      <c r="I1896" s="32">
        <v>5.0</v>
      </c>
      <c r="J1896" s="34" t="str">
        <f t="shared" si="1"/>
        <v>South</v>
      </c>
      <c r="K1896" s="35">
        <v>3.0</v>
      </c>
      <c r="L1896" s="35" t="s">
        <v>396</v>
      </c>
      <c r="M1896" s="36">
        <f>VLOOKUP(D1896, County_Data_CZones!$B$2:$F$3236, 2, FALSE)</f>
        <v>5</v>
      </c>
      <c r="N1896" s="37" t="str">
        <f>VLOOKUP(D1896, County_Data_CZones!$B$2:$F$3236, 5, FALSE)</f>
        <v>Cold</v>
      </c>
    </row>
    <row r="1897" ht="15.75" customHeight="1">
      <c r="A1897" s="32" t="s">
        <v>1330</v>
      </c>
      <c r="B1897" s="32" t="s">
        <v>1326</v>
      </c>
      <c r="C1897" s="32" t="str">
        <f>vlookup(B1897,State_EMM_RowSums!$A$2:$B$52,2,FALSE)</f>
        <v>NC</v>
      </c>
      <c r="D1897" s="32">
        <v>37011.0</v>
      </c>
      <c r="E1897" s="33">
        <f>IF(NOT(ISBLANK(vlookup($D1897,Pop_Census_2023!$A$2:$E$3220,4,FALSE))),vlookup($D1897,Pop_Census_2023!$A$2:$E$3220,4,FALSE), vlookup($D1897,Pop_Census_2023!$A$2:$E$3220,5,FALSE))</f>
        <v>17561</v>
      </c>
      <c r="F1897" s="32">
        <v>1008536.0</v>
      </c>
      <c r="G1897" s="32">
        <v>97.0</v>
      </c>
      <c r="H1897" s="32" t="str">
        <f>VLOOKUP(D1897, Grid_Region_Mapping!$D$2:$F$5286, 3, FALSE)</f>
        <v>SRCA</v>
      </c>
      <c r="I1897" s="32">
        <v>5.0</v>
      </c>
      <c r="J1897" s="34" t="str">
        <f t="shared" si="1"/>
        <v>South</v>
      </c>
      <c r="K1897" s="35">
        <v>3.0</v>
      </c>
      <c r="L1897" s="35" t="s">
        <v>396</v>
      </c>
      <c r="M1897" s="36">
        <f>VLOOKUP(D1897, County_Data_CZones!$B$2:$F$3236, 2, FALSE)</f>
        <v>5</v>
      </c>
      <c r="N1897" s="37" t="str">
        <f>VLOOKUP(D1897, County_Data_CZones!$B$2:$F$3236, 5, FALSE)</f>
        <v>Cold</v>
      </c>
    </row>
    <row r="1898" ht="15.75" customHeight="1">
      <c r="A1898" s="32" t="s">
        <v>1331</v>
      </c>
      <c r="B1898" s="32" t="s">
        <v>1326</v>
      </c>
      <c r="C1898" s="32" t="str">
        <f>vlookup(B1898,State_EMM_RowSums!$A$2:$B$52,2,FALSE)</f>
        <v>NC</v>
      </c>
      <c r="D1898" s="32">
        <v>37013.0</v>
      </c>
      <c r="E1898" s="33">
        <f>IF(NOT(ISBLANK(vlookup($D1898,Pop_Census_2023!$A$2:$E$3220,4,FALSE))),vlookup($D1898,Pop_Census_2023!$A$2:$E$3220,4,FALSE), vlookup($D1898,Pop_Census_2023!$A$2:$E$3220,5,FALSE))</f>
        <v>44481</v>
      </c>
      <c r="F1898" s="32">
        <v>1026333.0</v>
      </c>
      <c r="G1898" s="32">
        <v>98.0</v>
      </c>
      <c r="H1898" s="32" t="str">
        <f>VLOOKUP(D1898, Grid_Region_Mapping!$D$2:$F$5286, 3, FALSE)</f>
        <v>PJMD</v>
      </c>
      <c r="I1898" s="32">
        <v>5.0</v>
      </c>
      <c r="J1898" s="34" t="str">
        <f t="shared" si="1"/>
        <v>South</v>
      </c>
      <c r="K1898" s="35">
        <v>4.0</v>
      </c>
      <c r="L1898" s="35" t="s">
        <v>102</v>
      </c>
      <c r="M1898" s="36">
        <f>VLOOKUP(D1898, County_Data_CZones!$B$2:$F$3236, 2, FALSE)</f>
        <v>3</v>
      </c>
      <c r="N1898" s="37" t="str">
        <f>VLOOKUP(D1898, County_Data_CZones!$B$2:$F$3236, 5, FALSE)</f>
        <v>Mixed-Humid</v>
      </c>
    </row>
    <row r="1899" ht="15.75" customHeight="1">
      <c r="A1899" s="32" t="s">
        <v>1332</v>
      </c>
      <c r="B1899" s="32" t="s">
        <v>1326</v>
      </c>
      <c r="C1899" s="32" t="str">
        <f>vlookup(B1899,State_EMM_RowSums!$A$2:$B$52,2,FALSE)</f>
        <v>NC</v>
      </c>
      <c r="D1899" s="32">
        <v>37015.0</v>
      </c>
      <c r="E1899" s="33">
        <f>IF(NOT(ISBLANK(vlookup($D1899,Pop_Census_2023!$A$2:$E$3220,4,FALSE))),vlookup($D1899,Pop_Census_2023!$A$2:$E$3220,4,FALSE), vlookup($D1899,Pop_Census_2023!$A$2:$E$3220,5,FALSE))</f>
        <v>16922</v>
      </c>
      <c r="F1899" s="32">
        <v>1026334.0</v>
      </c>
      <c r="G1899" s="32">
        <v>98.0</v>
      </c>
      <c r="H1899" s="32" t="str">
        <f>VLOOKUP(D1899, Grid_Region_Mapping!$D$2:$F$5286, 3, FALSE)</f>
        <v>PJMD</v>
      </c>
      <c r="I1899" s="32">
        <v>5.0</v>
      </c>
      <c r="J1899" s="34" t="str">
        <f t="shared" si="1"/>
        <v>South</v>
      </c>
      <c r="K1899" s="35">
        <v>4.0</v>
      </c>
      <c r="L1899" s="35" t="s">
        <v>223</v>
      </c>
      <c r="M1899" s="36">
        <f>VLOOKUP(D1899, County_Data_CZones!$B$2:$F$3236, 2, FALSE)</f>
        <v>4</v>
      </c>
      <c r="N1899" s="37" t="str">
        <f>VLOOKUP(D1899, County_Data_CZones!$B$2:$F$3236, 5, FALSE)</f>
        <v>Mixed-Humid</v>
      </c>
    </row>
    <row r="1900" ht="15.75" customHeight="1">
      <c r="A1900" s="32" t="s">
        <v>1333</v>
      </c>
      <c r="B1900" s="32" t="s">
        <v>1326</v>
      </c>
      <c r="C1900" s="32" t="str">
        <f>vlookup(B1900,State_EMM_RowSums!$A$2:$B$52,2,FALSE)</f>
        <v>NC</v>
      </c>
      <c r="D1900" s="32">
        <v>37017.0</v>
      </c>
      <c r="E1900" s="33">
        <f>IF(NOT(ISBLANK(vlookup($D1900,Pop_Census_2023!$A$2:$E$3220,4,FALSE))),vlookup($D1900,Pop_Census_2023!$A$2:$E$3220,4,FALSE), vlookup($D1900,Pop_Census_2023!$A$2:$E$3220,5,FALSE))</f>
        <v>29484</v>
      </c>
      <c r="F1900" s="32">
        <v>1026336.0</v>
      </c>
      <c r="G1900" s="32">
        <v>98.0</v>
      </c>
      <c r="H1900" s="32" t="str">
        <f>VLOOKUP(D1900, Grid_Region_Mapping!$D$2:$F$5286, 3, FALSE)</f>
        <v>SRCA</v>
      </c>
      <c r="I1900" s="32">
        <v>5.0</v>
      </c>
      <c r="J1900" s="34" t="str">
        <f t="shared" si="1"/>
        <v>South</v>
      </c>
      <c r="K1900" s="35">
        <v>4.0</v>
      </c>
      <c r="L1900" s="35" t="s">
        <v>102</v>
      </c>
      <c r="M1900" s="36">
        <f>VLOOKUP(D1900, County_Data_CZones!$B$2:$F$3236, 2, FALSE)</f>
        <v>3</v>
      </c>
      <c r="N1900" s="37" t="str">
        <f>VLOOKUP(D1900, County_Data_CZones!$B$2:$F$3236, 5, FALSE)</f>
        <v>Mixed-Humid</v>
      </c>
    </row>
    <row r="1901" ht="15.75" customHeight="1">
      <c r="A1901" s="32" t="s">
        <v>1334</v>
      </c>
      <c r="B1901" s="32" t="s">
        <v>1326</v>
      </c>
      <c r="C1901" s="32" t="str">
        <f>vlookup(B1901,State_EMM_RowSums!$A$2:$B$52,2,FALSE)</f>
        <v>NC</v>
      </c>
      <c r="D1901" s="32">
        <v>37019.0</v>
      </c>
      <c r="E1901" s="33">
        <f>IF(NOT(ISBLANK(vlookup($D1901,Pop_Census_2023!$A$2:$E$3220,4,FALSE))),vlookup($D1901,Pop_Census_2023!$A$2:$E$3220,4,FALSE), vlookup($D1901,Pop_Census_2023!$A$2:$E$3220,5,FALSE))</f>
        <v>159964</v>
      </c>
      <c r="F1901" s="32">
        <v>1026340.0</v>
      </c>
      <c r="G1901" s="32">
        <v>98.0</v>
      </c>
      <c r="H1901" s="32" t="str">
        <f>VLOOKUP(D1901, Grid_Region_Mapping!$D$2:$F$5286, 3, FALSE)</f>
        <v>SRCA</v>
      </c>
      <c r="I1901" s="32">
        <v>5.0</v>
      </c>
      <c r="J1901" s="34" t="str">
        <f t="shared" si="1"/>
        <v>South</v>
      </c>
      <c r="K1901" s="35">
        <v>4.0</v>
      </c>
      <c r="L1901" s="35" t="s">
        <v>102</v>
      </c>
      <c r="M1901" s="36">
        <f>VLOOKUP(D1901, County_Data_CZones!$B$2:$F$3236, 2, FALSE)</f>
        <v>3</v>
      </c>
      <c r="N1901" s="37" t="str">
        <f>VLOOKUP(D1901, County_Data_CZones!$B$2:$F$3236, 5, FALSE)</f>
        <v>Hot-Humid</v>
      </c>
    </row>
    <row r="1902" ht="15.75" customHeight="1">
      <c r="A1902" s="32" t="s">
        <v>1335</v>
      </c>
      <c r="B1902" s="32" t="s">
        <v>1326</v>
      </c>
      <c r="C1902" s="32" t="str">
        <f>vlookup(B1902,State_EMM_RowSums!$A$2:$B$52,2,FALSE)</f>
        <v>NC</v>
      </c>
      <c r="D1902" s="32">
        <v>37021.0</v>
      </c>
      <c r="E1902" s="33">
        <f>IF(NOT(ISBLANK(vlookup($D1902,Pop_Census_2023!$A$2:$E$3220,4,FALSE))),vlookup($D1902,Pop_Census_2023!$A$2:$E$3220,4,FALSE), vlookup($D1902,Pop_Census_2023!$A$2:$E$3220,5,FALSE))</f>
        <v>275901</v>
      </c>
      <c r="F1902" s="32">
        <v>1008538.0</v>
      </c>
      <c r="G1902" s="32">
        <v>97.0</v>
      </c>
      <c r="H1902" s="32" t="str">
        <f>VLOOKUP(D1902, Grid_Region_Mapping!$D$2:$F$5286, 3, FALSE)</f>
        <v>SRCA</v>
      </c>
      <c r="I1902" s="32">
        <v>5.0</v>
      </c>
      <c r="J1902" s="34" t="str">
        <f t="shared" si="1"/>
        <v>South</v>
      </c>
      <c r="K1902" s="35">
        <v>3.0</v>
      </c>
      <c r="L1902" s="35" t="s">
        <v>223</v>
      </c>
      <c r="M1902" s="36">
        <f>VLOOKUP(D1902, County_Data_CZones!$B$2:$F$3236, 2, FALSE)</f>
        <v>4</v>
      </c>
      <c r="N1902" s="37" t="str">
        <f>VLOOKUP(D1902, County_Data_CZones!$B$2:$F$3236, 5, FALSE)</f>
        <v>Mixed-Humid</v>
      </c>
    </row>
    <row r="1903" ht="15.75" customHeight="1">
      <c r="A1903" s="32" t="s">
        <v>474</v>
      </c>
      <c r="B1903" s="32" t="s">
        <v>1326</v>
      </c>
      <c r="C1903" s="32" t="str">
        <f>vlookup(B1903,State_EMM_RowSums!$A$2:$B$52,2,FALSE)</f>
        <v>NC</v>
      </c>
      <c r="D1903" s="32">
        <v>37023.0</v>
      </c>
      <c r="E1903" s="33">
        <f>IF(NOT(ISBLANK(vlookup($D1903,Pop_Census_2023!$A$2:$E$3220,4,FALSE))),vlookup($D1903,Pop_Census_2023!$A$2:$E$3220,4,FALSE), vlookup($D1903,Pop_Census_2023!$A$2:$E$3220,5,FALSE))</f>
        <v>88338</v>
      </c>
      <c r="F1903" s="32">
        <v>1008539.0</v>
      </c>
      <c r="G1903" s="32">
        <v>97.0</v>
      </c>
      <c r="H1903" s="32" t="str">
        <f>VLOOKUP(D1903, Grid_Region_Mapping!$D$2:$F$5286, 3, FALSE)</f>
        <v>SRCA</v>
      </c>
      <c r="I1903" s="32">
        <v>5.0</v>
      </c>
      <c r="J1903" s="34" t="str">
        <f t="shared" si="1"/>
        <v>South</v>
      </c>
      <c r="K1903" s="35">
        <v>4.0</v>
      </c>
      <c r="L1903" s="35" t="s">
        <v>223</v>
      </c>
      <c r="M1903" s="36">
        <f>VLOOKUP(D1903, County_Data_CZones!$B$2:$F$3236, 2, FALSE)</f>
        <v>4</v>
      </c>
      <c r="N1903" s="37" t="str">
        <f>VLOOKUP(D1903, County_Data_CZones!$B$2:$F$3236, 5, FALSE)</f>
        <v>Mixed-Humid</v>
      </c>
    </row>
    <row r="1904" ht="15.75" customHeight="1">
      <c r="A1904" s="32" t="s">
        <v>1336</v>
      </c>
      <c r="B1904" s="32" t="s">
        <v>1326</v>
      </c>
      <c r="C1904" s="32" t="str">
        <f>vlookup(B1904,State_EMM_RowSums!$A$2:$B$52,2,FALSE)</f>
        <v>NC</v>
      </c>
      <c r="D1904" s="32">
        <v>37025.0</v>
      </c>
      <c r="E1904" s="33">
        <f>IF(NOT(ISBLANK(vlookup($D1904,Pop_Census_2023!$A$2:$E$3220,4,FALSE))),vlookup($D1904,Pop_Census_2023!$A$2:$E$3220,4,FALSE), vlookup($D1904,Pop_Census_2023!$A$2:$E$3220,5,FALSE))</f>
        <v>240016</v>
      </c>
      <c r="F1904" s="32">
        <v>1008540.0</v>
      </c>
      <c r="G1904" s="32">
        <v>97.0</v>
      </c>
      <c r="H1904" s="32" t="str">
        <f>VLOOKUP(D1904, Grid_Region_Mapping!$D$2:$F$5286, 3, FALSE)</f>
        <v>SRCA</v>
      </c>
      <c r="I1904" s="32">
        <v>5.0</v>
      </c>
      <c r="J1904" s="34" t="str">
        <f t="shared" si="1"/>
        <v>South</v>
      </c>
      <c r="K1904" s="35">
        <v>4.0</v>
      </c>
      <c r="L1904" s="35" t="s">
        <v>102</v>
      </c>
      <c r="M1904" s="36">
        <f>VLOOKUP(D1904, County_Data_CZones!$B$2:$F$3236, 2, FALSE)</f>
        <v>3</v>
      </c>
      <c r="N1904" s="37" t="str">
        <f>VLOOKUP(D1904, County_Data_CZones!$B$2:$F$3236, 5, FALSE)</f>
        <v>Mixed-Humid</v>
      </c>
    </row>
    <row r="1905" ht="15.75" customHeight="1">
      <c r="A1905" s="32" t="s">
        <v>829</v>
      </c>
      <c r="B1905" s="32" t="s">
        <v>1326</v>
      </c>
      <c r="C1905" s="32" t="str">
        <f>vlookup(B1905,State_EMM_RowSums!$A$2:$B$52,2,FALSE)</f>
        <v>NC</v>
      </c>
      <c r="D1905" s="32">
        <v>37027.0</v>
      </c>
      <c r="E1905" s="33">
        <f>IF(NOT(ISBLANK(vlookup($D1905,Pop_Census_2023!$A$2:$E$3220,4,FALSE))),vlookup($D1905,Pop_Census_2023!$A$2:$E$3220,4,FALSE), vlookup($D1905,Pop_Census_2023!$A$2:$E$3220,5,FALSE))</f>
        <v>80574</v>
      </c>
      <c r="F1905" s="32">
        <v>1008541.0</v>
      </c>
      <c r="G1905" s="32">
        <v>97.0</v>
      </c>
      <c r="H1905" s="32" t="str">
        <f>VLOOKUP(D1905, Grid_Region_Mapping!$D$2:$F$5286, 3, FALSE)</f>
        <v>SRCA</v>
      </c>
      <c r="I1905" s="32">
        <v>5.0</v>
      </c>
      <c r="J1905" s="34" t="str">
        <f t="shared" si="1"/>
        <v>South</v>
      </c>
      <c r="K1905" s="35">
        <v>4.0</v>
      </c>
      <c r="L1905" s="35" t="s">
        <v>223</v>
      </c>
      <c r="M1905" s="36">
        <f>VLOOKUP(D1905, County_Data_CZones!$B$2:$F$3236, 2, FALSE)</f>
        <v>4</v>
      </c>
      <c r="N1905" s="37" t="str">
        <f>VLOOKUP(D1905, County_Data_CZones!$B$2:$F$3236, 5, FALSE)</f>
        <v>Mixed-Humid</v>
      </c>
    </row>
    <row r="1906" ht="15.75" customHeight="1">
      <c r="A1906" s="32" t="s">
        <v>476</v>
      </c>
      <c r="B1906" s="32" t="s">
        <v>1326</v>
      </c>
      <c r="C1906" s="32" t="str">
        <f>vlookup(B1906,State_EMM_RowSums!$A$2:$B$52,2,FALSE)</f>
        <v>NC</v>
      </c>
      <c r="D1906" s="32">
        <v>37029.0</v>
      </c>
      <c r="E1906" s="33">
        <f>IF(NOT(ISBLANK(vlookup($D1906,Pop_Census_2023!$A$2:$E$3220,4,FALSE))),vlookup($D1906,Pop_Census_2023!$A$2:$E$3220,4,FALSE), vlookup($D1906,Pop_Census_2023!$A$2:$E$3220,5,FALSE))</f>
        <v>11137</v>
      </c>
      <c r="F1906" s="32">
        <v>1026335.0</v>
      </c>
      <c r="G1906" s="32">
        <v>98.0</v>
      </c>
      <c r="H1906" s="32" t="str">
        <f>VLOOKUP(D1906, Grid_Region_Mapping!$D$2:$F$5286, 3, FALSE)</f>
        <v>PJMD</v>
      </c>
      <c r="I1906" s="32">
        <v>5.0</v>
      </c>
      <c r="J1906" s="34" t="str">
        <f t="shared" si="1"/>
        <v>South</v>
      </c>
      <c r="K1906" s="35">
        <v>4.0</v>
      </c>
      <c r="L1906" s="35" t="s">
        <v>102</v>
      </c>
      <c r="M1906" s="36">
        <f>VLOOKUP(D1906, County_Data_CZones!$B$2:$F$3236, 2, FALSE)</f>
        <v>3</v>
      </c>
      <c r="N1906" s="37" t="str">
        <f>VLOOKUP(D1906, County_Data_CZones!$B$2:$F$3236, 5, FALSE)</f>
        <v>Mixed-Humid</v>
      </c>
    </row>
    <row r="1907" ht="15.75" customHeight="1">
      <c r="A1907" s="32" t="s">
        <v>1337</v>
      </c>
      <c r="B1907" s="32" t="s">
        <v>1326</v>
      </c>
      <c r="C1907" s="32" t="str">
        <f>vlookup(B1907,State_EMM_RowSums!$A$2:$B$52,2,FALSE)</f>
        <v>NC</v>
      </c>
      <c r="D1907" s="32">
        <v>37031.0</v>
      </c>
      <c r="E1907" s="33">
        <f>IF(NOT(ISBLANK(vlookup($D1907,Pop_Census_2023!$A$2:$E$3220,4,FALSE))),vlookup($D1907,Pop_Census_2023!$A$2:$E$3220,4,FALSE), vlookup($D1907,Pop_Census_2023!$A$2:$E$3220,5,FALSE))</f>
        <v>69615</v>
      </c>
      <c r="F1907" s="32">
        <v>1026337.0</v>
      </c>
      <c r="G1907" s="32">
        <v>98.0</v>
      </c>
      <c r="H1907" s="32" t="str">
        <f>VLOOKUP(D1907, Grid_Region_Mapping!$D$2:$F$5286, 3, FALSE)</f>
        <v>SRCA</v>
      </c>
      <c r="I1907" s="32">
        <v>5.0</v>
      </c>
      <c r="J1907" s="34" t="str">
        <f t="shared" si="1"/>
        <v>South</v>
      </c>
      <c r="K1907" s="35">
        <v>4.0</v>
      </c>
      <c r="L1907" s="35" t="s">
        <v>102</v>
      </c>
      <c r="M1907" s="36">
        <f>VLOOKUP(D1907, County_Data_CZones!$B$2:$F$3236, 2, FALSE)</f>
        <v>3</v>
      </c>
      <c r="N1907" s="37" t="str">
        <f>VLOOKUP(D1907, County_Data_CZones!$B$2:$F$3236, 5, FALSE)</f>
        <v>Hot-Humid</v>
      </c>
    </row>
    <row r="1908" ht="15.75" customHeight="1">
      <c r="A1908" s="32" t="s">
        <v>1338</v>
      </c>
      <c r="B1908" s="32" t="s">
        <v>1326</v>
      </c>
      <c r="C1908" s="32" t="str">
        <f>vlookup(B1908,State_EMM_RowSums!$A$2:$B$52,2,FALSE)</f>
        <v>NC</v>
      </c>
      <c r="D1908" s="32">
        <v>37033.0</v>
      </c>
      <c r="E1908" s="33">
        <f>IF(NOT(ISBLANK(vlookup($D1908,Pop_Census_2023!$A$2:$E$3220,4,FALSE))),vlookup($D1908,Pop_Census_2023!$A$2:$E$3220,4,FALSE), vlookup($D1908,Pop_Census_2023!$A$2:$E$3220,5,FALSE))</f>
        <v>22807</v>
      </c>
      <c r="F1908" s="32">
        <v>1008542.0</v>
      </c>
      <c r="G1908" s="32">
        <v>98.0</v>
      </c>
      <c r="H1908" s="32" t="str">
        <f>VLOOKUP(D1908, Grid_Region_Mapping!$D$2:$F$5286, 3, FALSE)</f>
        <v>SRCA</v>
      </c>
      <c r="I1908" s="32">
        <v>5.0</v>
      </c>
      <c r="J1908" s="34" t="str">
        <f t="shared" si="1"/>
        <v>South</v>
      </c>
      <c r="K1908" s="35">
        <v>4.0</v>
      </c>
      <c r="L1908" s="35" t="s">
        <v>223</v>
      </c>
      <c r="M1908" s="36">
        <f>VLOOKUP(D1908, County_Data_CZones!$B$2:$F$3236, 2, FALSE)</f>
        <v>4</v>
      </c>
      <c r="N1908" s="37" t="str">
        <f>VLOOKUP(D1908, County_Data_CZones!$B$2:$F$3236, 5, FALSE)</f>
        <v>Mixed-Humid</v>
      </c>
    </row>
    <row r="1909" ht="15.75" customHeight="1">
      <c r="A1909" s="32" t="s">
        <v>1339</v>
      </c>
      <c r="B1909" s="32" t="s">
        <v>1326</v>
      </c>
      <c r="C1909" s="32" t="str">
        <f>vlookup(B1909,State_EMM_RowSums!$A$2:$B$52,2,FALSE)</f>
        <v>NC</v>
      </c>
      <c r="D1909" s="32">
        <v>37035.0</v>
      </c>
      <c r="E1909" s="33">
        <f>IF(NOT(ISBLANK(vlookup($D1909,Pop_Census_2023!$A$2:$E$3220,4,FALSE))),vlookup($D1909,Pop_Census_2023!$A$2:$E$3220,4,FALSE), vlookup($D1909,Pop_Census_2023!$A$2:$E$3220,5,FALSE))</f>
        <v>164645</v>
      </c>
      <c r="F1909" s="32">
        <v>1008543.0</v>
      </c>
      <c r="G1909" s="32">
        <v>97.0</v>
      </c>
      <c r="H1909" s="32" t="str">
        <f>VLOOKUP(D1909, Grid_Region_Mapping!$D$2:$F$5286, 3, FALSE)</f>
        <v>SRCA</v>
      </c>
      <c r="I1909" s="32">
        <v>5.0</v>
      </c>
      <c r="J1909" s="34" t="str">
        <f t="shared" si="1"/>
        <v>South</v>
      </c>
      <c r="K1909" s="35">
        <v>4.0</v>
      </c>
      <c r="L1909" s="35" t="s">
        <v>223</v>
      </c>
      <c r="M1909" s="36">
        <f>VLOOKUP(D1909, County_Data_CZones!$B$2:$F$3236, 2, FALSE)</f>
        <v>4</v>
      </c>
      <c r="N1909" s="37" t="str">
        <f>VLOOKUP(D1909, County_Data_CZones!$B$2:$F$3236, 5, FALSE)</f>
        <v>Mixed-Humid</v>
      </c>
    </row>
    <row r="1910" ht="15.75" customHeight="1">
      <c r="A1910" s="32" t="s">
        <v>480</v>
      </c>
      <c r="B1910" s="32" t="s">
        <v>1326</v>
      </c>
      <c r="C1910" s="32" t="str">
        <f>vlookup(B1910,State_EMM_RowSums!$A$2:$B$52,2,FALSE)</f>
        <v>NC</v>
      </c>
      <c r="D1910" s="32">
        <v>37037.0</v>
      </c>
      <c r="E1910" s="33">
        <f>IF(NOT(ISBLANK(vlookup($D1910,Pop_Census_2023!$A$2:$E$3220,4,FALSE))),vlookup($D1910,Pop_Census_2023!$A$2:$E$3220,4,FALSE), vlookup($D1910,Pop_Census_2023!$A$2:$E$3220,5,FALSE))</f>
        <v>81624</v>
      </c>
      <c r="F1910" s="32">
        <v>1008544.0</v>
      </c>
      <c r="G1910" s="32">
        <v>98.0</v>
      </c>
      <c r="H1910" s="32" t="str">
        <f>VLOOKUP(D1910, Grid_Region_Mapping!$D$2:$F$5286, 3, FALSE)</f>
        <v>SRCA</v>
      </c>
      <c r="I1910" s="32">
        <v>5.0</v>
      </c>
      <c r="J1910" s="34" t="str">
        <f t="shared" si="1"/>
        <v>South</v>
      </c>
      <c r="K1910" s="35">
        <v>4.0</v>
      </c>
      <c r="L1910" s="35" t="s">
        <v>223</v>
      </c>
      <c r="M1910" s="36">
        <f>VLOOKUP(D1910, County_Data_CZones!$B$2:$F$3236, 2, FALSE)</f>
        <v>4</v>
      </c>
      <c r="N1910" s="37" t="str">
        <f>VLOOKUP(D1910, County_Data_CZones!$B$2:$F$3236, 5, FALSE)</f>
        <v>Mixed-Humid</v>
      </c>
    </row>
    <row r="1911" ht="15.75" customHeight="1">
      <c r="A1911" s="32" t="s">
        <v>112</v>
      </c>
      <c r="B1911" s="32" t="s">
        <v>1326</v>
      </c>
      <c r="C1911" s="32" t="str">
        <f>vlookup(B1911,State_EMM_RowSums!$A$2:$B$52,2,FALSE)</f>
        <v>NC</v>
      </c>
      <c r="D1911" s="32">
        <v>37039.0</v>
      </c>
      <c r="E1911" s="33">
        <f>IF(NOT(ISBLANK(vlookup($D1911,Pop_Census_2023!$A$2:$E$3220,4,FALSE))),vlookup($D1911,Pop_Census_2023!$A$2:$E$3220,4,FALSE), vlookup($D1911,Pop_Census_2023!$A$2:$E$3220,5,FALSE))</f>
        <v>29959</v>
      </c>
      <c r="F1911" s="32">
        <v>1008545.0</v>
      </c>
      <c r="G1911" s="32">
        <v>97.0</v>
      </c>
      <c r="H1911" s="32" t="str">
        <f>VLOOKUP(D1911, Grid_Region_Mapping!$D$2:$F$5286, 3, FALSE)</f>
        <v>SRCA</v>
      </c>
      <c r="I1911" s="32">
        <v>5.0</v>
      </c>
      <c r="J1911" s="34" t="str">
        <f t="shared" si="1"/>
        <v>South</v>
      </c>
      <c r="K1911" s="35">
        <v>3.0</v>
      </c>
      <c r="L1911" s="35" t="s">
        <v>223</v>
      </c>
      <c r="M1911" s="36">
        <f>VLOOKUP(D1911, County_Data_CZones!$B$2:$F$3236, 2, FALSE)</f>
        <v>4</v>
      </c>
      <c r="N1911" s="37" t="str">
        <f>VLOOKUP(D1911, County_Data_CZones!$B$2:$F$3236, 5, FALSE)</f>
        <v>Mixed-Humid</v>
      </c>
    </row>
    <row r="1912" ht="15.75" customHeight="1">
      <c r="A1912" s="32" t="s">
        <v>1340</v>
      </c>
      <c r="B1912" s="32" t="s">
        <v>1326</v>
      </c>
      <c r="C1912" s="32" t="str">
        <f>vlookup(B1912,State_EMM_RowSums!$A$2:$B$52,2,FALSE)</f>
        <v>NC</v>
      </c>
      <c r="D1912" s="32">
        <v>37041.0</v>
      </c>
      <c r="E1912" s="33">
        <f>IF(NOT(ISBLANK(vlookup($D1912,Pop_Census_2023!$A$2:$E$3220,4,FALSE))),vlookup($D1912,Pop_Census_2023!$A$2:$E$3220,4,FALSE), vlookup($D1912,Pop_Census_2023!$A$2:$E$3220,5,FALSE))</f>
        <v>13891</v>
      </c>
      <c r="F1912" s="32">
        <v>1025822.0</v>
      </c>
      <c r="G1912" s="32">
        <v>98.0</v>
      </c>
      <c r="H1912" s="32" t="str">
        <f>VLOOKUP(D1912, Grid_Region_Mapping!$D$2:$F$5286, 3, FALSE)</f>
        <v>PJMD</v>
      </c>
      <c r="I1912" s="32">
        <v>5.0</v>
      </c>
      <c r="J1912" s="34" t="str">
        <f t="shared" si="1"/>
        <v>South</v>
      </c>
      <c r="K1912" s="35">
        <v>4.0</v>
      </c>
      <c r="L1912" s="35" t="s">
        <v>102</v>
      </c>
      <c r="M1912" s="36">
        <f>VLOOKUP(D1912, County_Data_CZones!$B$2:$F$3236, 2, FALSE)</f>
        <v>3</v>
      </c>
      <c r="N1912" s="37" t="str">
        <f>VLOOKUP(D1912, County_Data_CZones!$B$2:$F$3236, 5, FALSE)</f>
        <v>Mixed-Humid</v>
      </c>
    </row>
    <row r="1913" ht="15.75" customHeight="1">
      <c r="A1913" s="32" t="s">
        <v>116</v>
      </c>
      <c r="B1913" s="32" t="s">
        <v>1326</v>
      </c>
      <c r="C1913" s="32" t="str">
        <f>vlookup(B1913,State_EMM_RowSums!$A$2:$B$52,2,FALSE)</f>
        <v>NC</v>
      </c>
      <c r="D1913" s="32">
        <v>37043.0</v>
      </c>
      <c r="E1913" s="33">
        <f>IF(NOT(ISBLANK(vlookup($D1913,Pop_Census_2023!$A$2:$E$3220,4,FALSE))),vlookup($D1913,Pop_Census_2023!$A$2:$E$3220,4,FALSE), vlookup($D1913,Pop_Census_2023!$A$2:$E$3220,5,FALSE))</f>
        <v>11864</v>
      </c>
      <c r="F1913" s="32">
        <v>1008546.0</v>
      </c>
      <c r="G1913" s="32">
        <v>97.0</v>
      </c>
      <c r="H1913" s="32" t="str">
        <f>VLOOKUP(D1913, Grid_Region_Mapping!$D$2:$F$5286, 3, FALSE)</f>
        <v>SRCA</v>
      </c>
      <c r="I1913" s="32">
        <v>5.0</v>
      </c>
      <c r="J1913" s="34" t="str">
        <f t="shared" si="1"/>
        <v>South</v>
      </c>
      <c r="K1913" s="35">
        <v>3.0</v>
      </c>
      <c r="L1913" s="35" t="s">
        <v>223</v>
      </c>
      <c r="M1913" s="36">
        <f>VLOOKUP(D1913, County_Data_CZones!$B$2:$F$3236, 2, FALSE)</f>
        <v>4</v>
      </c>
      <c r="N1913" s="37" t="str">
        <f>VLOOKUP(D1913, County_Data_CZones!$B$2:$F$3236, 5, FALSE)</f>
        <v>Mixed-Humid</v>
      </c>
    </row>
    <row r="1914" ht="15.75" customHeight="1">
      <c r="A1914" s="32" t="s">
        <v>230</v>
      </c>
      <c r="B1914" s="32" t="s">
        <v>1326</v>
      </c>
      <c r="C1914" s="32" t="str">
        <f>vlookup(B1914,State_EMM_RowSums!$A$2:$B$52,2,FALSE)</f>
        <v>NC</v>
      </c>
      <c r="D1914" s="32">
        <v>37045.0</v>
      </c>
      <c r="E1914" s="33">
        <f>IF(NOT(ISBLANK(vlookup($D1914,Pop_Census_2023!$A$2:$E$3220,4,FALSE))),vlookup($D1914,Pop_Census_2023!$A$2:$E$3220,4,FALSE), vlookup($D1914,Pop_Census_2023!$A$2:$E$3220,5,FALSE))</f>
        <v>101378</v>
      </c>
      <c r="F1914" s="32">
        <v>1008547.0</v>
      </c>
      <c r="G1914" s="32">
        <v>97.0</v>
      </c>
      <c r="H1914" s="32" t="str">
        <f>VLOOKUP(D1914, Grid_Region_Mapping!$D$2:$F$5286, 3, FALSE)</f>
        <v>SRCA</v>
      </c>
      <c r="I1914" s="32">
        <v>5.0</v>
      </c>
      <c r="J1914" s="34" t="str">
        <f t="shared" si="1"/>
        <v>South</v>
      </c>
      <c r="K1914" s="35">
        <v>4.0</v>
      </c>
      <c r="L1914" s="35" t="s">
        <v>223</v>
      </c>
      <c r="M1914" s="36">
        <f>VLOOKUP(D1914, County_Data_CZones!$B$2:$F$3236, 2, FALSE)</f>
        <v>4</v>
      </c>
      <c r="N1914" s="37" t="str">
        <f>VLOOKUP(D1914, County_Data_CZones!$B$2:$F$3236, 5, FALSE)</f>
        <v>Mixed-Humid</v>
      </c>
    </row>
    <row r="1915" ht="15.75" customHeight="1">
      <c r="A1915" s="32" t="s">
        <v>1341</v>
      </c>
      <c r="B1915" s="32" t="s">
        <v>1326</v>
      </c>
      <c r="C1915" s="32" t="str">
        <f>vlookup(B1915,State_EMM_RowSums!$A$2:$B$52,2,FALSE)</f>
        <v>NC</v>
      </c>
      <c r="D1915" s="32">
        <v>37047.0</v>
      </c>
      <c r="E1915" s="33">
        <f>IF(NOT(ISBLANK(vlookup($D1915,Pop_Census_2023!$A$2:$E$3220,4,FALSE))),vlookup($D1915,Pop_Census_2023!$A$2:$E$3220,4,FALSE), vlookup($D1915,Pop_Census_2023!$A$2:$E$3220,5,FALSE))</f>
        <v>50121</v>
      </c>
      <c r="F1915" s="32">
        <v>1026339.0</v>
      </c>
      <c r="G1915" s="32">
        <v>98.0</v>
      </c>
      <c r="H1915" s="32" t="str">
        <f>VLOOKUP(D1915, Grid_Region_Mapping!$D$2:$F$5286, 3, FALSE)</f>
        <v>SRCA</v>
      </c>
      <c r="I1915" s="32">
        <v>5.0</v>
      </c>
      <c r="J1915" s="34" t="str">
        <f t="shared" si="1"/>
        <v>South</v>
      </c>
      <c r="K1915" s="35">
        <v>4.0</v>
      </c>
      <c r="L1915" s="35" t="s">
        <v>102</v>
      </c>
      <c r="M1915" s="36">
        <f>VLOOKUP(D1915, County_Data_CZones!$B$2:$F$3236, 2, FALSE)</f>
        <v>3</v>
      </c>
      <c r="N1915" s="37" t="str">
        <f>VLOOKUP(D1915, County_Data_CZones!$B$2:$F$3236, 5, FALSE)</f>
        <v>Hot-Humid</v>
      </c>
    </row>
    <row r="1916" ht="15.75" customHeight="1">
      <c r="A1916" s="32" t="s">
        <v>1342</v>
      </c>
      <c r="B1916" s="32" t="s">
        <v>1326</v>
      </c>
      <c r="C1916" s="32" t="str">
        <f>vlookup(B1916,State_EMM_RowSums!$A$2:$B$52,2,FALSE)</f>
        <v>NC</v>
      </c>
      <c r="D1916" s="32">
        <v>37049.0</v>
      </c>
      <c r="E1916" s="33">
        <f>IF(NOT(ISBLANK(vlookup($D1916,Pop_Census_2023!$A$2:$E$3220,4,FALSE))),vlookup($D1916,Pop_Census_2023!$A$2:$E$3220,4,FALSE), vlookup($D1916,Pop_Census_2023!$A$2:$E$3220,5,FALSE))</f>
        <v>102391</v>
      </c>
      <c r="F1916" s="32">
        <v>1026123.0</v>
      </c>
      <c r="G1916" s="32">
        <v>98.0</v>
      </c>
      <c r="H1916" s="32" t="str">
        <f>VLOOKUP(D1916, Grid_Region_Mapping!$D$2:$F$5286, 3, FALSE)</f>
        <v>SRCA</v>
      </c>
      <c r="I1916" s="32">
        <v>5.0</v>
      </c>
      <c r="J1916" s="34" t="str">
        <f t="shared" si="1"/>
        <v>South</v>
      </c>
      <c r="K1916" s="35">
        <v>4.0</v>
      </c>
      <c r="L1916" s="35" t="s">
        <v>102</v>
      </c>
      <c r="M1916" s="36">
        <f>VLOOKUP(D1916, County_Data_CZones!$B$2:$F$3236, 2, FALSE)</f>
        <v>3</v>
      </c>
      <c r="N1916" s="37" t="str">
        <f>VLOOKUP(D1916, County_Data_CZones!$B$2:$F$3236, 5, FALSE)</f>
        <v>Mixed-Humid</v>
      </c>
    </row>
    <row r="1917" ht="15.75" customHeight="1">
      <c r="A1917" s="32" t="s">
        <v>618</v>
      </c>
      <c r="B1917" s="32" t="s">
        <v>1326</v>
      </c>
      <c r="C1917" s="32" t="str">
        <f>vlookup(B1917,State_EMM_RowSums!$A$2:$B$52,2,FALSE)</f>
        <v>NC</v>
      </c>
      <c r="D1917" s="32">
        <v>37051.0</v>
      </c>
      <c r="E1917" s="33">
        <f>IF(NOT(ISBLANK(vlookup($D1917,Pop_Census_2023!$A$2:$E$3220,4,FALSE))),vlookup($D1917,Pop_Census_2023!$A$2:$E$3220,4,FALSE), vlookup($D1917,Pop_Census_2023!$A$2:$E$3220,5,FALSE))</f>
        <v>337890</v>
      </c>
      <c r="F1917" s="32">
        <v>1026124.0</v>
      </c>
      <c r="G1917" s="32">
        <v>98.0</v>
      </c>
      <c r="H1917" s="32" t="str">
        <f>VLOOKUP(D1917, Grid_Region_Mapping!$D$2:$F$5286, 3, FALSE)</f>
        <v>SRCA</v>
      </c>
      <c r="I1917" s="32">
        <v>5.0</v>
      </c>
      <c r="J1917" s="34" t="str">
        <f t="shared" si="1"/>
        <v>South</v>
      </c>
      <c r="K1917" s="35">
        <v>4.0</v>
      </c>
      <c r="L1917" s="35" t="s">
        <v>102</v>
      </c>
      <c r="M1917" s="36">
        <f>VLOOKUP(D1917, County_Data_CZones!$B$2:$F$3236, 2, FALSE)</f>
        <v>3</v>
      </c>
      <c r="N1917" s="37" t="str">
        <f>VLOOKUP(D1917, County_Data_CZones!$B$2:$F$3236, 5, FALSE)</f>
        <v>Mixed-Humid</v>
      </c>
    </row>
    <row r="1918" ht="15.75" customHeight="1">
      <c r="A1918" s="32" t="s">
        <v>1343</v>
      </c>
      <c r="B1918" s="32" t="s">
        <v>1326</v>
      </c>
      <c r="C1918" s="32" t="str">
        <f>vlookup(B1918,State_EMM_RowSums!$A$2:$B$52,2,FALSE)</f>
        <v>NC</v>
      </c>
      <c r="D1918" s="32">
        <v>37053.0</v>
      </c>
      <c r="E1918" s="33">
        <f>IF(NOT(ISBLANK(vlookup($D1918,Pop_Census_2023!$A$2:$E$3220,4,FALSE))),vlookup($D1918,Pop_Census_2023!$A$2:$E$3220,4,FALSE), vlookup($D1918,Pop_Census_2023!$A$2:$E$3220,5,FALSE))</f>
        <v>31593</v>
      </c>
      <c r="F1918" s="32">
        <v>1026125.0</v>
      </c>
      <c r="G1918" s="32">
        <v>98.0</v>
      </c>
      <c r="H1918" s="32" t="str">
        <f>VLOOKUP(D1918, Grid_Region_Mapping!$D$2:$F$5286, 3, FALSE)</f>
        <v>PJMD</v>
      </c>
      <c r="I1918" s="32">
        <v>5.0</v>
      </c>
      <c r="J1918" s="34" t="str">
        <f t="shared" si="1"/>
        <v>South</v>
      </c>
      <c r="K1918" s="35">
        <v>4.0</v>
      </c>
      <c r="L1918" s="35" t="s">
        <v>102</v>
      </c>
      <c r="M1918" s="36">
        <f>VLOOKUP(D1918, County_Data_CZones!$B$2:$F$3236, 2, FALSE)</f>
        <v>3</v>
      </c>
      <c r="N1918" s="37" t="str">
        <f>VLOOKUP(D1918, County_Data_CZones!$B$2:$F$3236, 5, FALSE)</f>
        <v>Mixed-Humid</v>
      </c>
    </row>
    <row r="1919" ht="15.75" customHeight="1">
      <c r="A1919" s="32" t="s">
        <v>1344</v>
      </c>
      <c r="B1919" s="32" t="s">
        <v>1326</v>
      </c>
      <c r="C1919" s="32" t="str">
        <f>vlookup(B1919,State_EMM_RowSums!$A$2:$B$52,2,FALSE)</f>
        <v>NC</v>
      </c>
      <c r="D1919" s="32">
        <v>37055.0</v>
      </c>
      <c r="E1919" s="33">
        <f>IF(NOT(ISBLANK(vlookup($D1919,Pop_Census_2023!$A$2:$E$3220,4,FALSE))),vlookup($D1919,Pop_Census_2023!$A$2:$E$3220,4,FALSE), vlookup($D1919,Pop_Census_2023!$A$2:$E$3220,5,FALSE))</f>
        <v>38110</v>
      </c>
      <c r="F1919" s="32">
        <v>1026133.0</v>
      </c>
      <c r="G1919" s="32">
        <v>98.0</v>
      </c>
      <c r="H1919" s="32" t="str">
        <f>VLOOKUP(D1919, Grid_Region_Mapping!$D$2:$F$5286, 3, FALSE)</f>
        <v>PJMD</v>
      </c>
      <c r="I1919" s="32">
        <v>5.0</v>
      </c>
      <c r="J1919" s="34" t="str">
        <f t="shared" si="1"/>
        <v>South</v>
      </c>
      <c r="K1919" s="35">
        <v>4.0</v>
      </c>
      <c r="L1919" s="35" t="s">
        <v>102</v>
      </c>
      <c r="M1919" s="36">
        <f>VLOOKUP(D1919, County_Data_CZones!$B$2:$F$3236, 2, FALSE)</f>
        <v>3</v>
      </c>
      <c r="N1919" s="37" t="str">
        <f>VLOOKUP(D1919, County_Data_CZones!$B$2:$F$3236, 5, FALSE)</f>
        <v>Mixed-Humid</v>
      </c>
    </row>
    <row r="1920" ht="15.75" customHeight="1">
      <c r="A1920" s="32" t="s">
        <v>1345</v>
      </c>
      <c r="B1920" s="32" t="s">
        <v>1326</v>
      </c>
      <c r="C1920" s="32" t="str">
        <f>vlookup(B1920,State_EMM_RowSums!$A$2:$B$52,2,FALSE)</f>
        <v>NC</v>
      </c>
      <c r="D1920" s="32">
        <v>37057.0</v>
      </c>
      <c r="E1920" s="33">
        <f>IF(NOT(ISBLANK(vlookup($D1920,Pop_Census_2023!$A$2:$E$3220,4,FALSE))),vlookup($D1920,Pop_Census_2023!$A$2:$E$3220,4,FALSE), vlookup($D1920,Pop_Census_2023!$A$2:$E$3220,5,FALSE))</f>
        <v>174804</v>
      </c>
      <c r="F1920" s="32">
        <v>1008548.0</v>
      </c>
      <c r="G1920" s="32">
        <v>97.0</v>
      </c>
      <c r="H1920" s="32" t="str">
        <f>VLOOKUP(D1920, Grid_Region_Mapping!$D$2:$F$5286, 3, FALSE)</f>
        <v>SRCA</v>
      </c>
      <c r="I1920" s="32">
        <v>5.0</v>
      </c>
      <c r="J1920" s="34" t="str">
        <f t="shared" si="1"/>
        <v>South</v>
      </c>
      <c r="K1920" s="35">
        <v>4.0</v>
      </c>
      <c r="L1920" s="35" t="s">
        <v>102</v>
      </c>
      <c r="M1920" s="36">
        <f>VLOOKUP(D1920, County_Data_CZones!$B$2:$F$3236, 2, FALSE)</f>
        <v>3</v>
      </c>
      <c r="N1920" s="37" t="str">
        <f>VLOOKUP(D1920, County_Data_CZones!$B$2:$F$3236, 5, FALSE)</f>
        <v>Mixed-Humid</v>
      </c>
    </row>
    <row r="1921" ht="15.75" customHeight="1">
      <c r="A1921" s="32" t="s">
        <v>1346</v>
      </c>
      <c r="B1921" s="32" t="s">
        <v>1326</v>
      </c>
      <c r="C1921" s="32" t="str">
        <f>vlookup(B1921,State_EMM_RowSums!$A$2:$B$52,2,FALSE)</f>
        <v>NC</v>
      </c>
      <c r="D1921" s="32">
        <v>37059.0</v>
      </c>
      <c r="E1921" s="33">
        <f>IF(NOT(ISBLANK(vlookup($D1921,Pop_Census_2023!$A$2:$E$3220,4,FALSE))),vlookup($D1921,Pop_Census_2023!$A$2:$E$3220,4,FALSE), vlookup($D1921,Pop_Census_2023!$A$2:$E$3220,5,FALSE))</f>
        <v>44599</v>
      </c>
      <c r="F1921" s="32">
        <v>1008549.0</v>
      </c>
      <c r="G1921" s="32">
        <v>97.0</v>
      </c>
      <c r="H1921" s="32" t="str">
        <f>VLOOKUP(D1921, Grid_Region_Mapping!$D$2:$F$5286, 3, FALSE)</f>
        <v>SRCA</v>
      </c>
      <c r="I1921" s="32">
        <v>5.0</v>
      </c>
      <c r="J1921" s="34" t="str">
        <f t="shared" si="1"/>
        <v>South</v>
      </c>
      <c r="K1921" s="35">
        <v>4.0</v>
      </c>
      <c r="L1921" s="35" t="s">
        <v>223</v>
      </c>
      <c r="M1921" s="36">
        <f>VLOOKUP(D1921, County_Data_CZones!$B$2:$F$3236, 2, FALSE)</f>
        <v>4</v>
      </c>
      <c r="N1921" s="37" t="str">
        <f>VLOOKUP(D1921, County_Data_CZones!$B$2:$F$3236, 5, FALSE)</f>
        <v>Mixed-Humid</v>
      </c>
    </row>
    <row r="1922" ht="15.75" customHeight="1">
      <c r="A1922" s="32" t="s">
        <v>1347</v>
      </c>
      <c r="B1922" s="32" t="s">
        <v>1326</v>
      </c>
      <c r="C1922" s="32" t="str">
        <f>vlookup(B1922,State_EMM_RowSums!$A$2:$B$52,2,FALSE)</f>
        <v>NC</v>
      </c>
      <c r="D1922" s="32">
        <v>37061.0</v>
      </c>
      <c r="E1922" s="33">
        <f>IF(NOT(ISBLANK(vlookup($D1922,Pop_Census_2023!$A$2:$E$3220,4,FALSE))),vlookup($D1922,Pop_Census_2023!$A$2:$E$3220,4,FALSE), vlookup($D1922,Pop_Census_2023!$A$2:$E$3220,5,FALSE))</f>
        <v>49520</v>
      </c>
      <c r="F1922" s="32">
        <v>1026132.0</v>
      </c>
      <c r="G1922" s="32">
        <v>98.0</v>
      </c>
      <c r="H1922" s="32" t="str">
        <f>VLOOKUP(D1922, Grid_Region_Mapping!$D$2:$F$5286, 3, FALSE)</f>
        <v>SRCA</v>
      </c>
      <c r="I1922" s="32">
        <v>5.0</v>
      </c>
      <c r="J1922" s="34" t="str">
        <f t="shared" si="1"/>
        <v>South</v>
      </c>
      <c r="K1922" s="35">
        <v>4.0</v>
      </c>
      <c r="L1922" s="35" t="s">
        <v>102</v>
      </c>
      <c r="M1922" s="36">
        <f>VLOOKUP(D1922, County_Data_CZones!$B$2:$F$3236, 2, FALSE)</f>
        <v>3</v>
      </c>
      <c r="N1922" s="37" t="str">
        <f>VLOOKUP(D1922, County_Data_CZones!$B$2:$F$3236, 5, FALSE)</f>
        <v>Mixed-Humid</v>
      </c>
    </row>
    <row r="1923" ht="15.75" customHeight="1">
      <c r="A1923" s="32" t="s">
        <v>1348</v>
      </c>
      <c r="B1923" s="32" t="s">
        <v>1326</v>
      </c>
      <c r="C1923" s="32" t="str">
        <f>vlookup(B1923,State_EMM_RowSums!$A$2:$B$52,2,FALSE)</f>
        <v>NC</v>
      </c>
      <c r="D1923" s="32">
        <v>37063.0</v>
      </c>
      <c r="E1923" s="33">
        <f>IF(NOT(ISBLANK(vlookup($D1923,Pop_Census_2023!$A$2:$E$3220,4,FALSE))),vlookup($D1923,Pop_Census_2023!$A$2:$E$3220,4,FALSE), vlookup($D1923,Pop_Census_2023!$A$2:$E$3220,5,FALSE))</f>
        <v>336892</v>
      </c>
      <c r="F1923" s="32">
        <v>1008550.0</v>
      </c>
      <c r="G1923" s="32">
        <v>98.0</v>
      </c>
      <c r="H1923" s="32" t="str">
        <f>VLOOKUP(D1923, Grid_Region_Mapping!$D$2:$F$5286, 3, FALSE)</f>
        <v>SRCA</v>
      </c>
      <c r="I1923" s="32">
        <v>5.0</v>
      </c>
      <c r="J1923" s="34" t="str">
        <f t="shared" si="1"/>
        <v>South</v>
      </c>
      <c r="K1923" s="35">
        <v>4.0</v>
      </c>
      <c r="L1923" s="35" t="s">
        <v>223</v>
      </c>
      <c r="M1923" s="36">
        <f>VLOOKUP(D1923, County_Data_CZones!$B$2:$F$3236, 2, FALSE)</f>
        <v>4</v>
      </c>
      <c r="N1923" s="37" t="str">
        <f>VLOOKUP(D1923, County_Data_CZones!$B$2:$F$3236, 5, FALSE)</f>
        <v>Mixed-Humid</v>
      </c>
    </row>
    <row r="1924" ht="15.75" customHeight="1">
      <c r="A1924" s="32" t="s">
        <v>1349</v>
      </c>
      <c r="B1924" s="32" t="s">
        <v>1326</v>
      </c>
      <c r="C1924" s="32" t="str">
        <f>vlookup(B1924,State_EMM_RowSums!$A$2:$B$52,2,FALSE)</f>
        <v>NC</v>
      </c>
      <c r="D1924" s="32">
        <v>37065.0</v>
      </c>
      <c r="E1924" s="33">
        <f>IF(NOT(ISBLANK(vlookup($D1924,Pop_Census_2023!$A$2:$E$3220,4,FALSE))),vlookup($D1924,Pop_Census_2023!$A$2:$E$3220,4,FALSE), vlookup($D1924,Pop_Census_2023!$A$2:$E$3220,5,FALSE))</f>
        <v>48832</v>
      </c>
      <c r="F1924" s="32">
        <v>1008551.0</v>
      </c>
      <c r="G1924" s="32">
        <v>98.0</v>
      </c>
      <c r="H1924" s="32" t="str">
        <f>VLOOKUP(D1924, Grid_Region_Mapping!$D$2:$F$5286, 3, FALSE)</f>
        <v>PJMD</v>
      </c>
      <c r="I1924" s="32">
        <v>5.0</v>
      </c>
      <c r="J1924" s="34" t="str">
        <f t="shared" si="1"/>
        <v>South</v>
      </c>
      <c r="K1924" s="35">
        <v>4.0</v>
      </c>
      <c r="L1924" s="35" t="s">
        <v>102</v>
      </c>
      <c r="M1924" s="36">
        <f>VLOOKUP(D1924, County_Data_CZones!$B$2:$F$3236, 2, FALSE)</f>
        <v>3</v>
      </c>
      <c r="N1924" s="37" t="str">
        <f>VLOOKUP(D1924, County_Data_CZones!$B$2:$F$3236, 5, FALSE)</f>
        <v>Mixed-Humid</v>
      </c>
    </row>
    <row r="1925" ht="15.75" customHeight="1">
      <c r="A1925" s="32" t="s">
        <v>503</v>
      </c>
      <c r="B1925" s="32" t="s">
        <v>1326</v>
      </c>
      <c r="C1925" s="32" t="str">
        <f>vlookup(B1925,State_EMM_RowSums!$A$2:$B$52,2,FALSE)</f>
        <v>NC</v>
      </c>
      <c r="D1925" s="32">
        <v>37067.0</v>
      </c>
      <c r="E1925" s="33">
        <f>IF(NOT(ISBLANK(vlookup($D1925,Pop_Census_2023!$A$2:$E$3220,4,FALSE))),vlookup($D1925,Pop_Census_2023!$A$2:$E$3220,4,FALSE), vlookup($D1925,Pop_Census_2023!$A$2:$E$3220,5,FALSE))</f>
        <v>392921</v>
      </c>
      <c r="F1925" s="32">
        <v>1008552.0</v>
      </c>
      <c r="G1925" s="32">
        <v>97.0</v>
      </c>
      <c r="H1925" s="32" t="str">
        <f>VLOOKUP(D1925, Grid_Region_Mapping!$D$2:$F$5286, 3, FALSE)</f>
        <v>SRCA</v>
      </c>
      <c r="I1925" s="32">
        <v>5.0</v>
      </c>
      <c r="J1925" s="34" t="str">
        <f t="shared" si="1"/>
        <v>South</v>
      </c>
      <c r="K1925" s="35">
        <v>4.0</v>
      </c>
      <c r="L1925" s="35" t="s">
        <v>223</v>
      </c>
      <c r="M1925" s="36">
        <f>VLOOKUP(D1925, County_Data_CZones!$B$2:$F$3236, 2, FALSE)</f>
        <v>4</v>
      </c>
      <c r="N1925" s="37" t="str">
        <f>VLOOKUP(D1925, County_Data_CZones!$B$2:$F$3236, 5, FALSE)</f>
        <v>Mixed-Humid</v>
      </c>
    </row>
    <row r="1926" ht="15.75" customHeight="1">
      <c r="A1926" s="32" t="s">
        <v>132</v>
      </c>
      <c r="B1926" s="32" t="s">
        <v>1326</v>
      </c>
      <c r="C1926" s="32" t="str">
        <f>vlookup(B1926,State_EMM_RowSums!$A$2:$B$52,2,FALSE)</f>
        <v>NC</v>
      </c>
      <c r="D1926" s="32">
        <v>37069.0</v>
      </c>
      <c r="E1926" s="33">
        <f>IF(NOT(ISBLANK(vlookup($D1926,Pop_Census_2023!$A$2:$E$3220,4,FALSE))),vlookup($D1926,Pop_Census_2023!$A$2:$E$3220,4,FALSE), vlookup($D1926,Pop_Census_2023!$A$2:$E$3220,5,FALSE))</f>
        <v>77001</v>
      </c>
      <c r="F1926" s="32">
        <v>1008553.0</v>
      </c>
      <c r="G1926" s="32">
        <v>98.0</v>
      </c>
      <c r="H1926" s="32" t="str">
        <f>VLOOKUP(D1926, Grid_Region_Mapping!$D$2:$F$5286, 3, FALSE)</f>
        <v>SRCA</v>
      </c>
      <c r="I1926" s="32">
        <v>5.0</v>
      </c>
      <c r="J1926" s="34" t="str">
        <f t="shared" si="1"/>
        <v>South</v>
      </c>
      <c r="K1926" s="35">
        <v>4.0</v>
      </c>
      <c r="L1926" s="35" t="s">
        <v>223</v>
      </c>
      <c r="M1926" s="36">
        <f>VLOOKUP(D1926, County_Data_CZones!$B$2:$F$3236, 2, FALSE)</f>
        <v>4</v>
      </c>
      <c r="N1926" s="37" t="str">
        <f>VLOOKUP(D1926, County_Data_CZones!$B$2:$F$3236, 5, FALSE)</f>
        <v>Mixed-Humid</v>
      </c>
    </row>
    <row r="1927" ht="15.75" customHeight="1">
      <c r="A1927" s="32" t="s">
        <v>1350</v>
      </c>
      <c r="B1927" s="32" t="s">
        <v>1326</v>
      </c>
      <c r="C1927" s="32" t="str">
        <f>vlookup(B1927,State_EMM_RowSums!$A$2:$B$52,2,FALSE)</f>
        <v>NC</v>
      </c>
      <c r="D1927" s="32">
        <v>37071.0</v>
      </c>
      <c r="E1927" s="33">
        <f>IF(NOT(ISBLANK(vlookup($D1927,Pop_Census_2023!$A$2:$E$3220,4,FALSE))),vlookup($D1927,Pop_Census_2023!$A$2:$E$3220,4,FALSE), vlookup($D1927,Pop_Census_2023!$A$2:$E$3220,5,FALSE))</f>
        <v>237242</v>
      </c>
      <c r="F1927" s="32">
        <v>1008554.0</v>
      </c>
      <c r="G1927" s="32">
        <v>97.0</v>
      </c>
      <c r="H1927" s="32" t="str">
        <f>VLOOKUP(D1927, Grid_Region_Mapping!$D$2:$F$5286, 3, FALSE)</f>
        <v>SRCA</v>
      </c>
      <c r="I1927" s="32">
        <v>5.0</v>
      </c>
      <c r="J1927" s="34" t="str">
        <f t="shared" si="1"/>
        <v>South</v>
      </c>
      <c r="K1927" s="35">
        <v>4.0</v>
      </c>
      <c r="L1927" s="35" t="s">
        <v>102</v>
      </c>
      <c r="M1927" s="36">
        <f>VLOOKUP(D1927, County_Data_CZones!$B$2:$F$3236, 2, FALSE)</f>
        <v>3</v>
      </c>
      <c r="N1927" s="37" t="str">
        <f>VLOOKUP(D1927, County_Data_CZones!$B$2:$F$3236, 5, FALSE)</f>
        <v>Mixed-Humid</v>
      </c>
    </row>
    <row r="1928" ht="15.75" customHeight="1">
      <c r="A1928" s="32" t="s">
        <v>1351</v>
      </c>
      <c r="B1928" s="32" t="s">
        <v>1326</v>
      </c>
      <c r="C1928" s="32" t="str">
        <f>vlookup(B1928,State_EMM_RowSums!$A$2:$B$52,2,FALSE)</f>
        <v>NC</v>
      </c>
      <c r="D1928" s="32">
        <v>37073.0</v>
      </c>
      <c r="E1928" s="33">
        <f>IF(NOT(ISBLANK(vlookup($D1928,Pop_Census_2023!$A$2:$E$3220,4,FALSE))),vlookup($D1928,Pop_Census_2023!$A$2:$E$3220,4,FALSE), vlookup($D1928,Pop_Census_2023!$A$2:$E$3220,5,FALSE))</f>
        <v>10343</v>
      </c>
      <c r="F1928" s="32">
        <v>1026126.0</v>
      </c>
      <c r="G1928" s="32">
        <v>98.0</v>
      </c>
      <c r="H1928" s="32" t="str">
        <f>VLOOKUP(D1928, Grid_Region_Mapping!$D$2:$F$5286, 3, FALSE)</f>
        <v>PJMD</v>
      </c>
      <c r="I1928" s="32">
        <v>5.0</v>
      </c>
      <c r="J1928" s="34" t="str">
        <f t="shared" si="1"/>
        <v>South</v>
      </c>
      <c r="K1928" s="35">
        <v>4.0</v>
      </c>
      <c r="L1928" s="35" t="s">
        <v>223</v>
      </c>
      <c r="M1928" s="36">
        <f>VLOOKUP(D1928, County_Data_CZones!$B$2:$F$3236, 2, FALSE)</f>
        <v>4</v>
      </c>
      <c r="N1928" s="37" t="str">
        <f>VLOOKUP(D1928, County_Data_CZones!$B$2:$F$3236, 5, FALSE)</f>
        <v>Mixed-Humid</v>
      </c>
    </row>
    <row r="1929" ht="15.75" customHeight="1">
      <c r="A1929" s="32" t="s">
        <v>208</v>
      </c>
      <c r="B1929" s="32" t="s">
        <v>1326</v>
      </c>
      <c r="C1929" s="32" t="str">
        <f>vlookup(B1929,State_EMM_RowSums!$A$2:$B$52,2,FALSE)</f>
        <v>NC</v>
      </c>
      <c r="D1929" s="32">
        <v>37075.0</v>
      </c>
      <c r="E1929" s="33">
        <f>IF(NOT(ISBLANK(vlookup($D1929,Pop_Census_2023!$A$2:$E$3220,4,FALSE))),vlookup($D1929,Pop_Census_2023!$A$2:$E$3220,4,FALSE), vlookup($D1929,Pop_Census_2023!$A$2:$E$3220,5,FALSE))</f>
        <v>8052</v>
      </c>
      <c r="F1929" s="32">
        <v>1008555.0</v>
      </c>
      <c r="G1929" s="32">
        <v>97.0</v>
      </c>
      <c r="H1929" s="32" t="str">
        <f>VLOOKUP(D1929, Grid_Region_Mapping!$D$2:$F$5286, 3, FALSE)</f>
        <v>SRCA</v>
      </c>
      <c r="I1929" s="32">
        <v>5.0</v>
      </c>
      <c r="J1929" s="34" t="str">
        <f t="shared" si="1"/>
        <v>South</v>
      </c>
      <c r="K1929" s="35">
        <v>3.0</v>
      </c>
      <c r="L1929" s="35" t="s">
        <v>223</v>
      </c>
      <c r="M1929" s="36">
        <f>VLOOKUP(D1929, County_Data_CZones!$B$2:$F$3236, 2, FALSE)</f>
        <v>4</v>
      </c>
      <c r="N1929" s="37" t="str">
        <f>VLOOKUP(D1929, County_Data_CZones!$B$2:$F$3236, 5, FALSE)</f>
        <v>Mixed-Humid</v>
      </c>
    </row>
    <row r="1930" ht="15.75" customHeight="1">
      <c r="A1930" s="32" t="s">
        <v>1352</v>
      </c>
      <c r="B1930" s="32" t="s">
        <v>1326</v>
      </c>
      <c r="C1930" s="32" t="str">
        <f>vlookup(B1930,State_EMM_RowSums!$A$2:$B$52,2,FALSE)</f>
        <v>NC</v>
      </c>
      <c r="D1930" s="32">
        <v>37077.0</v>
      </c>
      <c r="E1930" s="33">
        <f>IF(NOT(ISBLANK(vlookup($D1930,Pop_Census_2023!$A$2:$E$3220,4,FALSE))),vlookup($D1930,Pop_Census_2023!$A$2:$E$3220,4,FALSE), vlookup($D1930,Pop_Census_2023!$A$2:$E$3220,5,FALSE))</f>
        <v>62192</v>
      </c>
      <c r="F1930" s="32">
        <v>1008556.0</v>
      </c>
      <c r="G1930" s="32">
        <v>98.0</v>
      </c>
      <c r="H1930" s="32" t="str">
        <f>VLOOKUP(D1930, Grid_Region_Mapping!$D$2:$F$5286, 3, FALSE)</f>
        <v>PJMD</v>
      </c>
      <c r="I1930" s="32">
        <v>5.0</v>
      </c>
      <c r="J1930" s="34" t="str">
        <f t="shared" si="1"/>
        <v>South</v>
      </c>
      <c r="K1930" s="35">
        <v>4.0</v>
      </c>
      <c r="L1930" s="35" t="s">
        <v>223</v>
      </c>
      <c r="M1930" s="36">
        <f>VLOOKUP(D1930, County_Data_CZones!$B$2:$F$3236, 2, FALSE)</f>
        <v>4</v>
      </c>
      <c r="N1930" s="37" t="str">
        <f>VLOOKUP(D1930, County_Data_CZones!$B$2:$F$3236, 5, FALSE)</f>
        <v>Mixed-Humid</v>
      </c>
    </row>
    <row r="1931" ht="15.75" customHeight="1">
      <c r="A1931" s="32" t="s">
        <v>134</v>
      </c>
      <c r="B1931" s="32" t="s">
        <v>1326</v>
      </c>
      <c r="C1931" s="32" t="str">
        <f>vlookup(B1931,State_EMM_RowSums!$A$2:$B$52,2,FALSE)</f>
        <v>NC</v>
      </c>
      <c r="D1931" s="32">
        <v>37079.0</v>
      </c>
      <c r="E1931" s="33">
        <f>IF(NOT(ISBLANK(vlookup($D1931,Pop_Census_2023!$A$2:$E$3220,4,FALSE))),vlookup($D1931,Pop_Census_2023!$A$2:$E$3220,4,FALSE), vlookup($D1931,Pop_Census_2023!$A$2:$E$3220,5,FALSE))</f>
        <v>20530</v>
      </c>
      <c r="F1931" s="32">
        <v>1008557.0</v>
      </c>
      <c r="G1931" s="32">
        <v>98.0</v>
      </c>
      <c r="H1931" s="32" t="str">
        <f>VLOOKUP(D1931, Grid_Region_Mapping!$D$2:$F$5286, 3, FALSE)</f>
        <v>SRCA</v>
      </c>
      <c r="I1931" s="32">
        <v>5.0</v>
      </c>
      <c r="J1931" s="34" t="str">
        <f t="shared" si="1"/>
        <v>South</v>
      </c>
      <c r="K1931" s="35">
        <v>4.0</v>
      </c>
      <c r="L1931" s="35" t="s">
        <v>102</v>
      </c>
      <c r="M1931" s="36">
        <f>VLOOKUP(D1931, County_Data_CZones!$B$2:$F$3236, 2, FALSE)</f>
        <v>3</v>
      </c>
      <c r="N1931" s="37" t="str">
        <f>VLOOKUP(D1931, County_Data_CZones!$B$2:$F$3236, 5, FALSE)</f>
        <v>Mixed-Humid</v>
      </c>
    </row>
    <row r="1932" ht="15.75" customHeight="1">
      <c r="A1932" s="32" t="s">
        <v>1353</v>
      </c>
      <c r="B1932" s="32" t="s">
        <v>1326</v>
      </c>
      <c r="C1932" s="32" t="str">
        <f>vlookup(B1932,State_EMM_RowSums!$A$2:$B$52,2,FALSE)</f>
        <v>NC</v>
      </c>
      <c r="D1932" s="32">
        <v>37081.0</v>
      </c>
      <c r="E1932" s="33">
        <f>IF(NOT(ISBLANK(vlookup($D1932,Pop_Census_2023!$A$2:$E$3220,4,FALSE))),vlookup($D1932,Pop_Census_2023!$A$2:$E$3220,4,FALSE), vlookup($D1932,Pop_Census_2023!$A$2:$E$3220,5,FALSE))</f>
        <v>549866</v>
      </c>
      <c r="F1932" s="32">
        <v>1008558.0</v>
      </c>
      <c r="G1932" s="32">
        <v>97.0</v>
      </c>
      <c r="H1932" s="32" t="str">
        <f>VLOOKUP(D1932, Grid_Region_Mapping!$D$2:$F$5286, 3, FALSE)</f>
        <v>SRCA</v>
      </c>
      <c r="I1932" s="32">
        <v>5.0</v>
      </c>
      <c r="J1932" s="34" t="str">
        <f t="shared" si="1"/>
        <v>South</v>
      </c>
      <c r="K1932" s="35">
        <v>4.0</v>
      </c>
      <c r="L1932" s="35" t="s">
        <v>223</v>
      </c>
      <c r="M1932" s="36">
        <f>VLOOKUP(D1932, County_Data_CZones!$B$2:$F$3236, 2, FALSE)</f>
        <v>4</v>
      </c>
      <c r="N1932" s="37" t="str">
        <f>VLOOKUP(D1932, County_Data_CZones!$B$2:$F$3236, 5, FALSE)</f>
        <v>Mixed-Humid</v>
      </c>
    </row>
    <row r="1933" ht="15.75" customHeight="1">
      <c r="A1933" s="32" t="s">
        <v>1354</v>
      </c>
      <c r="B1933" s="32" t="s">
        <v>1326</v>
      </c>
      <c r="C1933" s="32" t="str">
        <f>vlookup(B1933,State_EMM_RowSums!$A$2:$B$52,2,FALSE)</f>
        <v>NC</v>
      </c>
      <c r="D1933" s="32">
        <v>37083.0</v>
      </c>
      <c r="E1933" s="33">
        <f>IF(NOT(ISBLANK(vlookup($D1933,Pop_Census_2023!$A$2:$E$3220,4,FALSE))),vlookup($D1933,Pop_Census_2023!$A$2:$E$3220,4,FALSE), vlookup($D1933,Pop_Census_2023!$A$2:$E$3220,5,FALSE))</f>
        <v>47298</v>
      </c>
      <c r="F1933" s="32">
        <v>1008559.0</v>
      </c>
      <c r="G1933" s="32">
        <v>98.0</v>
      </c>
      <c r="H1933" s="32" t="str">
        <f>VLOOKUP(D1933, Grid_Region_Mapping!$D$2:$F$5286, 3, FALSE)</f>
        <v>PJMD</v>
      </c>
      <c r="I1933" s="32">
        <v>5.0</v>
      </c>
      <c r="J1933" s="34" t="str">
        <f t="shared" si="1"/>
        <v>South</v>
      </c>
      <c r="K1933" s="35">
        <v>4.0</v>
      </c>
      <c r="L1933" s="35" t="s">
        <v>223</v>
      </c>
      <c r="M1933" s="36">
        <f>VLOOKUP(D1933, County_Data_CZones!$B$2:$F$3236, 2, FALSE)</f>
        <v>4</v>
      </c>
      <c r="N1933" s="37" t="str">
        <f>VLOOKUP(D1933, County_Data_CZones!$B$2:$F$3236, 5, FALSE)</f>
        <v>Mixed-Humid</v>
      </c>
    </row>
    <row r="1934" ht="15.75" customHeight="1">
      <c r="A1934" s="32" t="s">
        <v>1355</v>
      </c>
      <c r="B1934" s="32" t="s">
        <v>1326</v>
      </c>
      <c r="C1934" s="32" t="str">
        <f>vlookup(B1934,State_EMM_RowSums!$A$2:$B$52,2,FALSE)</f>
        <v>NC</v>
      </c>
      <c r="D1934" s="32">
        <v>37085.0</v>
      </c>
      <c r="E1934" s="33">
        <f>IF(NOT(ISBLANK(vlookup($D1934,Pop_Census_2023!$A$2:$E$3220,4,FALSE))),vlookup($D1934,Pop_Census_2023!$A$2:$E$3220,4,FALSE), vlookup($D1934,Pop_Census_2023!$A$2:$E$3220,5,FALSE))</f>
        <v>141477</v>
      </c>
      <c r="F1934" s="32">
        <v>1008560.0</v>
      </c>
      <c r="G1934" s="32">
        <v>98.0</v>
      </c>
      <c r="H1934" s="32" t="str">
        <f>VLOOKUP(D1934, Grid_Region_Mapping!$D$2:$F$5286, 3, FALSE)</f>
        <v>SRCA</v>
      </c>
      <c r="I1934" s="32">
        <v>5.0</v>
      </c>
      <c r="J1934" s="34" t="str">
        <f t="shared" si="1"/>
        <v>South</v>
      </c>
      <c r="K1934" s="35">
        <v>4.0</v>
      </c>
      <c r="L1934" s="35" t="s">
        <v>223</v>
      </c>
      <c r="M1934" s="36">
        <f>VLOOKUP(D1934, County_Data_CZones!$B$2:$F$3236, 2, FALSE)</f>
        <v>4</v>
      </c>
      <c r="N1934" s="37" t="str">
        <f>VLOOKUP(D1934, County_Data_CZones!$B$2:$F$3236, 5, FALSE)</f>
        <v>Mixed-Humid</v>
      </c>
    </row>
    <row r="1935" ht="15.75" customHeight="1">
      <c r="A1935" s="32" t="s">
        <v>1356</v>
      </c>
      <c r="B1935" s="32" t="s">
        <v>1326</v>
      </c>
      <c r="C1935" s="32" t="str">
        <f>vlookup(B1935,State_EMM_RowSums!$A$2:$B$52,2,FALSE)</f>
        <v>NC</v>
      </c>
      <c r="D1935" s="32">
        <v>37087.0</v>
      </c>
      <c r="E1935" s="33">
        <f>IF(NOT(ISBLANK(vlookup($D1935,Pop_Census_2023!$A$2:$E$3220,4,FALSE))),vlookup($D1935,Pop_Census_2023!$A$2:$E$3220,4,FALSE), vlookup($D1935,Pop_Census_2023!$A$2:$E$3220,5,FALSE))</f>
        <v>62969</v>
      </c>
      <c r="F1935" s="32">
        <v>1008561.0</v>
      </c>
      <c r="G1935" s="32">
        <v>97.0</v>
      </c>
      <c r="H1935" s="32" t="str">
        <f>VLOOKUP(D1935, Grid_Region_Mapping!$D$2:$F$5286, 3, FALSE)</f>
        <v>SRCA</v>
      </c>
      <c r="I1935" s="32">
        <v>5.0</v>
      </c>
      <c r="J1935" s="34" t="str">
        <f t="shared" si="1"/>
        <v>South</v>
      </c>
      <c r="K1935" s="35">
        <v>3.0</v>
      </c>
      <c r="L1935" s="35" t="s">
        <v>223</v>
      </c>
      <c r="M1935" s="36">
        <f>VLOOKUP(D1935, County_Data_CZones!$B$2:$F$3236, 2, FALSE)</f>
        <v>4</v>
      </c>
      <c r="N1935" s="37" t="str">
        <f>VLOOKUP(D1935, County_Data_CZones!$B$2:$F$3236, 5, FALSE)</f>
        <v>Mixed-Humid</v>
      </c>
    </row>
    <row r="1936" ht="15.75" customHeight="1">
      <c r="A1936" s="32" t="s">
        <v>627</v>
      </c>
      <c r="B1936" s="32" t="s">
        <v>1326</v>
      </c>
      <c r="C1936" s="32" t="str">
        <f>vlookup(B1936,State_EMM_RowSums!$A$2:$B$52,2,FALSE)</f>
        <v>NC</v>
      </c>
      <c r="D1936" s="32">
        <v>37089.0</v>
      </c>
      <c r="E1936" s="33">
        <f>IF(NOT(ISBLANK(vlookup($D1936,Pop_Census_2023!$A$2:$E$3220,4,FALSE))),vlookup($D1936,Pop_Census_2023!$A$2:$E$3220,4,FALSE), vlookup($D1936,Pop_Census_2023!$A$2:$E$3220,5,FALSE))</f>
        <v>119230</v>
      </c>
      <c r="F1936" s="32">
        <v>1008562.0</v>
      </c>
      <c r="G1936" s="32">
        <v>97.0</v>
      </c>
      <c r="H1936" s="32" t="str">
        <f>VLOOKUP(D1936, Grid_Region_Mapping!$D$2:$F$5286, 3, FALSE)</f>
        <v>SRCA</v>
      </c>
      <c r="I1936" s="32">
        <v>5.0</v>
      </c>
      <c r="J1936" s="34" t="str">
        <f t="shared" si="1"/>
        <v>South</v>
      </c>
      <c r="K1936" s="35">
        <v>3.0</v>
      </c>
      <c r="L1936" s="35" t="s">
        <v>223</v>
      </c>
      <c r="M1936" s="36">
        <f>VLOOKUP(D1936, County_Data_CZones!$B$2:$F$3236, 2, FALSE)</f>
        <v>4</v>
      </c>
      <c r="N1936" s="37" t="str">
        <f>VLOOKUP(D1936, County_Data_CZones!$B$2:$F$3236, 5, FALSE)</f>
        <v>Mixed-Humid</v>
      </c>
    </row>
    <row r="1937" ht="15.75" customHeight="1">
      <c r="A1937" s="32" t="s">
        <v>1357</v>
      </c>
      <c r="B1937" s="32" t="s">
        <v>1326</v>
      </c>
      <c r="C1937" s="32" t="str">
        <f>vlookup(B1937,State_EMM_RowSums!$A$2:$B$52,2,FALSE)</f>
        <v>NC</v>
      </c>
      <c r="D1937" s="32">
        <v>37091.0</v>
      </c>
      <c r="E1937" s="33">
        <f>IF(NOT(ISBLANK(vlookup($D1937,Pop_Census_2023!$A$2:$E$3220,4,FALSE))),vlookup($D1937,Pop_Census_2023!$A$2:$E$3220,4,FALSE), vlookup($D1937,Pop_Census_2023!$A$2:$E$3220,5,FALSE))</f>
        <v>19453</v>
      </c>
      <c r="F1937" s="32">
        <v>1026127.0</v>
      </c>
      <c r="G1937" s="32">
        <v>98.0</v>
      </c>
      <c r="H1937" s="32" t="str">
        <f>VLOOKUP(D1937, Grid_Region_Mapping!$D$2:$F$5286, 3, FALSE)</f>
        <v>PJMD</v>
      </c>
      <c r="I1937" s="32">
        <v>5.0</v>
      </c>
      <c r="J1937" s="34" t="str">
        <f t="shared" si="1"/>
        <v>South</v>
      </c>
      <c r="K1937" s="35">
        <v>4.0</v>
      </c>
      <c r="L1937" s="35" t="s">
        <v>223</v>
      </c>
      <c r="M1937" s="36">
        <f>VLOOKUP(D1937, County_Data_CZones!$B$2:$F$3236, 2, FALSE)</f>
        <v>4</v>
      </c>
      <c r="N1937" s="37" t="str">
        <f>VLOOKUP(D1937, County_Data_CZones!$B$2:$F$3236, 5, FALSE)</f>
        <v>Mixed-Humid</v>
      </c>
    </row>
    <row r="1938" ht="15.75" customHeight="1">
      <c r="A1938" s="32" t="s">
        <v>1358</v>
      </c>
      <c r="B1938" s="32" t="s">
        <v>1326</v>
      </c>
      <c r="C1938" s="32" t="str">
        <f>vlookup(B1938,State_EMM_RowSums!$A$2:$B$52,2,FALSE)</f>
        <v>NC</v>
      </c>
      <c r="D1938" s="32">
        <v>37093.0</v>
      </c>
      <c r="E1938" s="33">
        <f>IF(NOT(ISBLANK(vlookup($D1938,Pop_Census_2023!$A$2:$E$3220,4,FALSE))),vlookup($D1938,Pop_Census_2023!$A$2:$E$3220,4,FALSE), vlookup($D1938,Pop_Census_2023!$A$2:$E$3220,5,FALSE))</f>
        <v>54446</v>
      </c>
      <c r="F1938" s="32">
        <v>1008563.0</v>
      </c>
      <c r="G1938" s="32">
        <v>98.0</v>
      </c>
      <c r="H1938" s="32" t="str">
        <f>VLOOKUP(D1938, Grid_Region_Mapping!$D$2:$F$5286, 3, FALSE)</f>
        <v>SRCA</v>
      </c>
      <c r="I1938" s="32">
        <v>5.0</v>
      </c>
      <c r="J1938" s="34" t="str">
        <f t="shared" si="1"/>
        <v>South</v>
      </c>
      <c r="K1938" s="35">
        <v>4.0</v>
      </c>
      <c r="L1938" s="35" t="s">
        <v>102</v>
      </c>
      <c r="M1938" s="36">
        <f>VLOOKUP(D1938, County_Data_CZones!$B$2:$F$3236, 2, FALSE)</f>
        <v>3</v>
      </c>
      <c r="N1938" s="37" t="str">
        <f>VLOOKUP(D1938, County_Data_CZones!$B$2:$F$3236, 5, FALSE)</f>
        <v>Mixed-Humid</v>
      </c>
    </row>
    <row r="1939" ht="15.75" customHeight="1">
      <c r="A1939" s="32" t="s">
        <v>1359</v>
      </c>
      <c r="B1939" s="32" t="s">
        <v>1326</v>
      </c>
      <c r="C1939" s="32" t="str">
        <f>vlookup(B1939,State_EMM_RowSums!$A$2:$B$52,2,FALSE)</f>
        <v>NC</v>
      </c>
      <c r="D1939" s="32">
        <v>37095.0</v>
      </c>
      <c r="E1939" s="33">
        <f>IF(NOT(ISBLANK(vlookup($D1939,Pop_Census_2023!$A$2:$E$3220,4,FALSE))),vlookup($D1939,Pop_Census_2023!$A$2:$E$3220,4,FALSE), vlookup($D1939,Pop_Census_2023!$A$2:$E$3220,5,FALSE))</f>
        <v>4607</v>
      </c>
      <c r="F1939" s="32">
        <v>1008564.0</v>
      </c>
      <c r="G1939" s="32">
        <v>98.0</v>
      </c>
      <c r="H1939" s="32" t="str">
        <f>VLOOKUP(D1939, Grid_Region_Mapping!$D$2:$F$5286, 3, FALSE)</f>
        <v>PJMD</v>
      </c>
      <c r="I1939" s="32">
        <v>5.0</v>
      </c>
      <c r="J1939" s="34" t="str">
        <f t="shared" si="1"/>
        <v>South</v>
      </c>
      <c r="K1939" s="35">
        <v>4.0</v>
      </c>
      <c r="L1939" s="35" t="s">
        <v>102</v>
      </c>
      <c r="M1939" s="36">
        <f>VLOOKUP(D1939, County_Data_CZones!$B$2:$F$3236, 2, FALSE)</f>
        <v>3</v>
      </c>
      <c r="N1939" s="37" t="str">
        <f>VLOOKUP(D1939, County_Data_CZones!$B$2:$F$3236, 5, FALSE)</f>
        <v>Mixed-Humid</v>
      </c>
    </row>
    <row r="1940" ht="15.75" customHeight="1">
      <c r="A1940" s="32" t="s">
        <v>1360</v>
      </c>
      <c r="B1940" s="32" t="s">
        <v>1326</v>
      </c>
      <c r="C1940" s="32" t="str">
        <f>vlookup(B1940,State_EMM_RowSums!$A$2:$B$52,2,FALSE)</f>
        <v>NC</v>
      </c>
      <c r="D1940" s="32">
        <v>37097.0</v>
      </c>
      <c r="E1940" s="33">
        <f>IF(NOT(ISBLANK(vlookup($D1940,Pop_Census_2023!$A$2:$E$3220,4,FALSE))),vlookup($D1940,Pop_Census_2023!$A$2:$E$3220,4,FALSE), vlookup($D1940,Pop_Census_2023!$A$2:$E$3220,5,FALSE))</f>
        <v>199710</v>
      </c>
      <c r="F1940" s="32">
        <v>1008565.0</v>
      </c>
      <c r="G1940" s="32">
        <v>97.0</v>
      </c>
      <c r="H1940" s="32" t="str">
        <f>VLOOKUP(D1940, Grid_Region_Mapping!$D$2:$F$5286, 3, FALSE)</f>
        <v>SRCA</v>
      </c>
      <c r="I1940" s="32">
        <v>5.0</v>
      </c>
      <c r="J1940" s="34" t="str">
        <f t="shared" si="1"/>
        <v>South</v>
      </c>
      <c r="K1940" s="35">
        <v>4.0</v>
      </c>
      <c r="L1940" s="35" t="s">
        <v>223</v>
      </c>
      <c r="M1940" s="36">
        <f>VLOOKUP(D1940, County_Data_CZones!$B$2:$F$3236, 2, FALSE)</f>
        <v>4</v>
      </c>
      <c r="N1940" s="37" t="str">
        <f>VLOOKUP(D1940, County_Data_CZones!$B$2:$F$3236, 5, FALSE)</f>
        <v>Mixed-Humid</v>
      </c>
    </row>
    <row r="1941" ht="15.75" customHeight="1">
      <c r="A1941" s="32" t="s">
        <v>138</v>
      </c>
      <c r="B1941" s="32" t="s">
        <v>1326</v>
      </c>
      <c r="C1941" s="32" t="str">
        <f>vlookup(B1941,State_EMM_RowSums!$A$2:$B$52,2,FALSE)</f>
        <v>NC</v>
      </c>
      <c r="D1941" s="32">
        <v>37099.0</v>
      </c>
      <c r="E1941" s="33">
        <f>IF(NOT(ISBLANK(vlookup($D1941,Pop_Census_2023!$A$2:$E$3220,4,FALSE))),vlookup($D1941,Pop_Census_2023!$A$2:$E$3220,4,FALSE), vlookup($D1941,Pop_Census_2023!$A$2:$E$3220,5,FALSE))</f>
        <v>44574</v>
      </c>
      <c r="F1941" s="32">
        <v>1008566.0</v>
      </c>
      <c r="G1941" s="32">
        <v>97.0</v>
      </c>
      <c r="H1941" s="32" t="str">
        <f>VLOOKUP(D1941, Grid_Region_Mapping!$D$2:$F$5286, 3, FALSE)</f>
        <v>SRCA</v>
      </c>
      <c r="I1941" s="32">
        <v>5.0</v>
      </c>
      <c r="J1941" s="34" t="str">
        <f t="shared" si="1"/>
        <v>South</v>
      </c>
      <c r="K1941" s="35">
        <v>3.0</v>
      </c>
      <c r="L1941" s="35" t="s">
        <v>223</v>
      </c>
      <c r="M1941" s="36">
        <f>VLOOKUP(D1941, County_Data_CZones!$B$2:$F$3236, 2, FALSE)</f>
        <v>4</v>
      </c>
      <c r="N1941" s="37" t="str">
        <f>VLOOKUP(D1941, County_Data_CZones!$B$2:$F$3236, 5, FALSE)</f>
        <v>Mixed-Humid</v>
      </c>
    </row>
    <row r="1942" ht="15.75" customHeight="1">
      <c r="A1942" s="32" t="s">
        <v>1361</v>
      </c>
      <c r="B1942" s="32" t="s">
        <v>1326</v>
      </c>
      <c r="C1942" s="32" t="str">
        <f>vlookup(B1942,State_EMM_RowSums!$A$2:$B$52,2,FALSE)</f>
        <v>NC</v>
      </c>
      <c r="D1942" s="32">
        <v>37101.0</v>
      </c>
      <c r="E1942" s="33">
        <f>IF(NOT(ISBLANK(vlookup($D1942,Pop_Census_2023!$A$2:$E$3220,4,FALSE))),vlookup($D1942,Pop_Census_2023!$A$2:$E$3220,4,FALSE), vlookup($D1942,Pop_Census_2023!$A$2:$E$3220,5,FALSE))</f>
        <v>241955</v>
      </c>
      <c r="F1942" s="32">
        <v>1026327.0</v>
      </c>
      <c r="G1942" s="32">
        <v>98.0</v>
      </c>
      <c r="H1942" s="32" t="str">
        <f>VLOOKUP(D1942, Grid_Region_Mapping!$D$2:$F$5286, 3, FALSE)</f>
        <v>SRCA</v>
      </c>
      <c r="I1942" s="32">
        <v>5.0</v>
      </c>
      <c r="J1942" s="34" t="str">
        <f t="shared" si="1"/>
        <v>South</v>
      </c>
      <c r="K1942" s="35">
        <v>4.0</v>
      </c>
      <c r="L1942" s="35" t="s">
        <v>102</v>
      </c>
      <c r="M1942" s="36">
        <f>VLOOKUP(D1942, County_Data_CZones!$B$2:$F$3236, 2, FALSE)</f>
        <v>3</v>
      </c>
      <c r="N1942" s="37" t="str">
        <f>VLOOKUP(D1942, County_Data_CZones!$B$2:$F$3236, 5, FALSE)</f>
        <v>Mixed-Humid</v>
      </c>
    </row>
    <row r="1943" ht="15.75" customHeight="1">
      <c r="A1943" s="32" t="s">
        <v>521</v>
      </c>
      <c r="B1943" s="32" t="s">
        <v>1326</v>
      </c>
      <c r="C1943" s="32" t="str">
        <f>vlookup(B1943,State_EMM_RowSums!$A$2:$B$52,2,FALSE)</f>
        <v>NC</v>
      </c>
      <c r="D1943" s="32">
        <v>37103.0</v>
      </c>
      <c r="E1943" s="33">
        <f>IF(NOT(ISBLANK(vlookup($D1943,Pop_Census_2023!$A$2:$E$3220,4,FALSE))),vlookup($D1943,Pop_Census_2023!$A$2:$E$3220,4,FALSE), vlookup($D1943,Pop_Census_2023!$A$2:$E$3220,5,FALSE))</f>
        <v>9401</v>
      </c>
      <c r="F1943" s="32">
        <v>1026338.0</v>
      </c>
      <c r="G1943" s="32">
        <v>98.0</v>
      </c>
      <c r="H1943" s="32" t="str">
        <f>VLOOKUP(D1943, Grid_Region_Mapping!$D$2:$F$5286, 3, FALSE)</f>
        <v>SRCA</v>
      </c>
      <c r="I1943" s="32">
        <v>5.0</v>
      </c>
      <c r="J1943" s="34" t="str">
        <f t="shared" si="1"/>
        <v>South</v>
      </c>
      <c r="K1943" s="35">
        <v>4.0</v>
      </c>
      <c r="L1943" s="35" t="s">
        <v>102</v>
      </c>
      <c r="M1943" s="36">
        <f>VLOOKUP(D1943, County_Data_CZones!$B$2:$F$3236, 2, FALSE)</f>
        <v>3</v>
      </c>
      <c r="N1943" s="37" t="str">
        <f>VLOOKUP(D1943, County_Data_CZones!$B$2:$F$3236, 5, FALSE)</f>
        <v>Mixed-Humid</v>
      </c>
    </row>
    <row r="1944" ht="15.75" customHeight="1">
      <c r="A1944" s="32" t="s">
        <v>143</v>
      </c>
      <c r="B1944" s="32" t="s">
        <v>1326</v>
      </c>
      <c r="C1944" s="32" t="str">
        <f>vlookup(B1944,State_EMM_RowSums!$A$2:$B$52,2,FALSE)</f>
        <v>NC</v>
      </c>
      <c r="D1944" s="32">
        <v>37105.0</v>
      </c>
      <c r="E1944" s="33">
        <f>IF(NOT(ISBLANK(vlookup($D1944,Pop_Census_2023!$A$2:$E$3220,4,FALSE))),vlookup($D1944,Pop_Census_2023!$A$2:$E$3220,4,FALSE), vlookup($D1944,Pop_Census_2023!$A$2:$E$3220,5,FALSE))</f>
        <v>67059</v>
      </c>
      <c r="F1944" s="32">
        <v>1008567.0</v>
      </c>
      <c r="G1944" s="32">
        <v>98.0</v>
      </c>
      <c r="H1944" s="32" t="str">
        <f>VLOOKUP(D1944, Grid_Region_Mapping!$D$2:$F$5286, 3, FALSE)</f>
        <v>SRCA</v>
      </c>
      <c r="I1944" s="32">
        <v>5.0</v>
      </c>
      <c r="J1944" s="34" t="str">
        <f t="shared" si="1"/>
        <v>South</v>
      </c>
      <c r="K1944" s="35">
        <v>4.0</v>
      </c>
      <c r="L1944" s="35" t="s">
        <v>223</v>
      </c>
      <c r="M1944" s="36">
        <f>VLOOKUP(D1944, County_Data_CZones!$B$2:$F$3236, 2, FALSE)</f>
        <v>4</v>
      </c>
      <c r="N1944" s="37" t="str">
        <f>VLOOKUP(D1944, County_Data_CZones!$B$2:$F$3236, 5, FALSE)</f>
        <v>Mixed-Humid</v>
      </c>
    </row>
    <row r="1945" ht="15.75" customHeight="1">
      <c r="A1945" s="32" t="s">
        <v>1362</v>
      </c>
      <c r="B1945" s="32" t="s">
        <v>1326</v>
      </c>
      <c r="C1945" s="32" t="str">
        <f>vlookup(B1945,State_EMM_RowSums!$A$2:$B$52,2,FALSE)</f>
        <v>NC</v>
      </c>
      <c r="D1945" s="32">
        <v>37107.0</v>
      </c>
      <c r="E1945" s="33">
        <f>IF(NOT(ISBLANK(vlookup($D1945,Pop_Census_2023!$A$2:$E$3220,4,FALSE))),vlookup($D1945,Pop_Census_2023!$A$2:$E$3220,4,FALSE), vlookup($D1945,Pop_Census_2023!$A$2:$E$3220,5,FALSE))</f>
        <v>54895</v>
      </c>
      <c r="F1945" s="32">
        <v>1008568.0</v>
      </c>
      <c r="G1945" s="32">
        <v>98.0</v>
      </c>
      <c r="H1945" s="32" t="str">
        <f>VLOOKUP(D1945, Grid_Region_Mapping!$D$2:$F$5286, 3, FALSE)</f>
        <v>SRCA</v>
      </c>
      <c r="I1945" s="32">
        <v>5.0</v>
      </c>
      <c r="J1945" s="34" t="str">
        <f t="shared" si="1"/>
        <v>South</v>
      </c>
      <c r="K1945" s="35">
        <v>4.0</v>
      </c>
      <c r="L1945" s="35" t="s">
        <v>102</v>
      </c>
      <c r="M1945" s="36">
        <f>VLOOKUP(D1945, County_Data_CZones!$B$2:$F$3236, 2, FALSE)</f>
        <v>3</v>
      </c>
      <c r="N1945" s="37" t="str">
        <f>VLOOKUP(D1945, County_Data_CZones!$B$2:$F$3236, 5, FALSE)</f>
        <v>Mixed-Humid</v>
      </c>
    </row>
    <row r="1946" ht="15.75" customHeight="1">
      <c r="A1946" s="32" t="s">
        <v>250</v>
      </c>
      <c r="B1946" s="32" t="s">
        <v>1326</v>
      </c>
      <c r="C1946" s="32" t="str">
        <f>vlookup(B1946,State_EMM_RowSums!$A$2:$B$52,2,FALSE)</f>
        <v>NC</v>
      </c>
      <c r="D1946" s="32">
        <v>37109.0</v>
      </c>
      <c r="E1946" s="33">
        <f>IF(NOT(ISBLANK(vlookup($D1946,Pop_Census_2023!$A$2:$E$3220,4,FALSE))),vlookup($D1946,Pop_Census_2023!$A$2:$E$3220,4,FALSE), vlookup($D1946,Pop_Census_2023!$A$2:$E$3220,5,FALSE))</f>
        <v>95675</v>
      </c>
      <c r="F1946" s="32">
        <v>1008569.0</v>
      </c>
      <c r="G1946" s="32">
        <v>97.0</v>
      </c>
      <c r="H1946" s="32" t="str">
        <f>VLOOKUP(D1946, Grid_Region_Mapping!$D$2:$F$5286, 3, FALSE)</f>
        <v>SRCA</v>
      </c>
      <c r="I1946" s="32">
        <v>5.0</v>
      </c>
      <c r="J1946" s="34" t="str">
        <f t="shared" si="1"/>
        <v>South</v>
      </c>
      <c r="K1946" s="35">
        <v>4.0</v>
      </c>
      <c r="L1946" s="35" t="s">
        <v>223</v>
      </c>
      <c r="M1946" s="36">
        <f>VLOOKUP(D1946, County_Data_CZones!$B$2:$F$3236, 2, FALSE)</f>
        <v>4</v>
      </c>
      <c r="N1946" s="37" t="str">
        <f>VLOOKUP(D1946, County_Data_CZones!$B$2:$F$3236, 5, FALSE)</f>
        <v>Mixed-Humid</v>
      </c>
    </row>
    <row r="1947" ht="15.75" customHeight="1">
      <c r="A1947" s="32" t="s">
        <v>1363</v>
      </c>
      <c r="B1947" s="32" t="s">
        <v>1326</v>
      </c>
      <c r="C1947" s="32" t="str">
        <f>vlookup(B1947,State_EMM_RowSums!$A$2:$B$52,2,FALSE)</f>
        <v>NC</v>
      </c>
      <c r="D1947" s="32">
        <v>37111.0</v>
      </c>
      <c r="E1947" s="33">
        <f>IF(NOT(ISBLANK(vlookup($D1947,Pop_Census_2023!$A$2:$E$3220,4,FALSE))),vlookup($D1947,Pop_Census_2023!$A$2:$E$3220,4,FALSE), vlookup($D1947,Pop_Census_2023!$A$2:$E$3220,5,FALSE))</f>
        <v>44893</v>
      </c>
      <c r="F1947" s="32">
        <v>1025836.0</v>
      </c>
      <c r="G1947" s="32">
        <v>97.0</v>
      </c>
      <c r="H1947" s="32" t="str">
        <f>VLOOKUP(D1947, Grid_Region_Mapping!$D$2:$F$5286, 3, FALSE)</f>
        <v>SRCA</v>
      </c>
      <c r="I1947" s="32">
        <v>5.0</v>
      </c>
      <c r="J1947" s="34" t="str">
        <f t="shared" si="1"/>
        <v>South</v>
      </c>
      <c r="K1947" s="35">
        <v>4.0</v>
      </c>
      <c r="L1947" s="35" t="s">
        <v>223</v>
      </c>
      <c r="M1947" s="36">
        <f>VLOOKUP(D1947, County_Data_CZones!$B$2:$F$3236, 2, FALSE)</f>
        <v>4</v>
      </c>
      <c r="N1947" s="37" t="str">
        <f>VLOOKUP(D1947, County_Data_CZones!$B$2:$F$3236, 5, FALSE)</f>
        <v>Mixed-Humid</v>
      </c>
    </row>
    <row r="1948" ht="15.75" customHeight="1">
      <c r="A1948" s="32" t="s">
        <v>146</v>
      </c>
      <c r="B1948" s="32" t="s">
        <v>1326</v>
      </c>
      <c r="C1948" s="32" t="str">
        <f>vlookup(B1948,State_EMM_RowSums!$A$2:$B$52,2,FALSE)</f>
        <v>NC</v>
      </c>
      <c r="D1948" s="32">
        <v>37113.0</v>
      </c>
      <c r="E1948" s="33">
        <f>IF(NOT(ISBLANK(vlookup($D1948,Pop_Census_2023!$A$2:$E$3220,4,FALSE))),vlookup($D1948,Pop_Census_2023!$A$2:$E$3220,4,FALSE), vlookup($D1948,Pop_Census_2023!$A$2:$E$3220,5,FALSE))</f>
        <v>38412</v>
      </c>
      <c r="F1948" s="32">
        <v>1025833.0</v>
      </c>
      <c r="G1948" s="32">
        <v>97.0</v>
      </c>
      <c r="H1948" s="32" t="str">
        <f>VLOOKUP(D1948, Grid_Region_Mapping!$D$2:$F$5286, 3, FALSE)</f>
        <v>SRCA</v>
      </c>
      <c r="I1948" s="32">
        <v>5.0</v>
      </c>
      <c r="J1948" s="34" t="str">
        <f t="shared" si="1"/>
        <v>South</v>
      </c>
      <c r="K1948" s="35">
        <v>3.0</v>
      </c>
      <c r="L1948" s="35" t="s">
        <v>223</v>
      </c>
      <c r="M1948" s="36">
        <f>VLOOKUP(D1948, County_Data_CZones!$B$2:$F$3236, 2, FALSE)</f>
        <v>4</v>
      </c>
      <c r="N1948" s="37" t="str">
        <f>VLOOKUP(D1948, County_Data_CZones!$B$2:$F$3236, 5, FALSE)</f>
        <v>Mixed-Humid</v>
      </c>
    </row>
    <row r="1949" ht="15.75" customHeight="1">
      <c r="A1949" s="32" t="s">
        <v>147</v>
      </c>
      <c r="B1949" s="32" t="s">
        <v>1326</v>
      </c>
      <c r="C1949" s="32" t="str">
        <f>vlookup(B1949,State_EMM_RowSums!$A$2:$B$52,2,FALSE)</f>
        <v>NC</v>
      </c>
      <c r="D1949" s="32">
        <v>37115.0</v>
      </c>
      <c r="E1949" s="33">
        <f>IF(NOT(ISBLANK(vlookup($D1949,Pop_Census_2023!$A$2:$E$3220,4,FALSE))),vlookup($D1949,Pop_Census_2023!$A$2:$E$3220,4,FALSE), vlookup($D1949,Pop_Census_2023!$A$2:$E$3220,5,FALSE))</f>
        <v>22071</v>
      </c>
      <c r="F1949" s="32">
        <v>1025834.0</v>
      </c>
      <c r="G1949" s="32">
        <v>97.0</v>
      </c>
      <c r="H1949" s="32" t="str">
        <f>VLOOKUP(D1949, Grid_Region_Mapping!$D$2:$F$5286, 3, FALSE)</f>
        <v>SRCA</v>
      </c>
      <c r="I1949" s="32">
        <v>5.0</v>
      </c>
      <c r="J1949" s="34" t="str">
        <f t="shared" si="1"/>
        <v>South</v>
      </c>
      <c r="K1949" s="35">
        <v>3.0</v>
      </c>
      <c r="L1949" s="35" t="s">
        <v>223</v>
      </c>
      <c r="M1949" s="36">
        <f>VLOOKUP(D1949, County_Data_CZones!$B$2:$F$3236, 2, FALSE)</f>
        <v>4</v>
      </c>
      <c r="N1949" s="37" t="str">
        <f>VLOOKUP(D1949, County_Data_CZones!$B$2:$F$3236, 5, FALSE)</f>
        <v>Mixed-Humid</v>
      </c>
    </row>
    <row r="1950" ht="15.75" customHeight="1">
      <c r="A1950" s="32" t="s">
        <v>440</v>
      </c>
      <c r="B1950" s="32" t="s">
        <v>1326</v>
      </c>
      <c r="C1950" s="32" t="str">
        <f>vlookup(B1950,State_EMM_RowSums!$A$2:$B$52,2,FALSE)</f>
        <v>NC</v>
      </c>
      <c r="D1950" s="32">
        <v>37117.0</v>
      </c>
      <c r="E1950" s="33">
        <f>IF(NOT(ISBLANK(vlookup($D1950,Pop_Census_2023!$A$2:$E$3220,4,FALSE))),vlookup($D1950,Pop_Census_2023!$A$2:$E$3220,4,FALSE), vlookup($D1950,Pop_Census_2023!$A$2:$E$3220,5,FALSE))</f>
        <v>21447</v>
      </c>
      <c r="F1950" s="32">
        <v>1026328.0</v>
      </c>
      <c r="G1950" s="32">
        <v>98.0</v>
      </c>
      <c r="H1950" s="32" t="str">
        <f>VLOOKUP(D1950, Grid_Region_Mapping!$D$2:$F$5286, 3, FALSE)</f>
        <v>PJMD</v>
      </c>
      <c r="I1950" s="32">
        <v>5.0</v>
      </c>
      <c r="J1950" s="34" t="str">
        <f t="shared" si="1"/>
        <v>South</v>
      </c>
      <c r="K1950" s="35">
        <v>4.0</v>
      </c>
      <c r="L1950" s="35" t="s">
        <v>102</v>
      </c>
      <c r="M1950" s="36">
        <f>VLOOKUP(D1950, County_Data_CZones!$B$2:$F$3236, 2, FALSE)</f>
        <v>3</v>
      </c>
      <c r="N1950" s="37" t="str">
        <f>VLOOKUP(D1950, County_Data_CZones!$B$2:$F$3236, 5, FALSE)</f>
        <v>Mixed-Humid</v>
      </c>
    </row>
    <row r="1951" ht="15.75" customHeight="1">
      <c r="A1951" s="32" t="s">
        <v>1364</v>
      </c>
      <c r="B1951" s="32" t="s">
        <v>1326</v>
      </c>
      <c r="C1951" s="32" t="str">
        <f>vlookup(B1951,State_EMM_RowSums!$A$2:$B$52,2,FALSE)</f>
        <v>NC</v>
      </c>
      <c r="D1951" s="32">
        <v>37119.0</v>
      </c>
      <c r="E1951" s="33">
        <f>IF(NOT(ISBLANK(vlookup($D1951,Pop_Census_2023!$A$2:$E$3220,4,FALSE))),vlookup($D1951,Pop_Census_2023!$A$2:$E$3220,4,FALSE), vlookup($D1951,Pop_Census_2023!$A$2:$E$3220,5,FALSE))</f>
        <v>1163701</v>
      </c>
      <c r="F1951" s="32">
        <v>1008570.0</v>
      </c>
      <c r="G1951" s="32">
        <v>97.0</v>
      </c>
      <c r="H1951" s="32" t="str">
        <f>VLOOKUP(D1951, Grid_Region_Mapping!$D$2:$F$5286, 3, FALSE)</f>
        <v>SRCA</v>
      </c>
      <c r="I1951" s="32">
        <v>5.0</v>
      </c>
      <c r="J1951" s="34" t="str">
        <f t="shared" si="1"/>
        <v>South</v>
      </c>
      <c r="K1951" s="35">
        <v>4.0</v>
      </c>
      <c r="L1951" s="35" t="s">
        <v>102</v>
      </c>
      <c r="M1951" s="36">
        <f>VLOOKUP(D1951, County_Data_CZones!$B$2:$F$3236, 2, FALSE)</f>
        <v>3</v>
      </c>
      <c r="N1951" s="37" t="str">
        <f>VLOOKUP(D1951, County_Data_CZones!$B$2:$F$3236, 5, FALSE)</f>
        <v>Mixed-Humid</v>
      </c>
    </row>
    <row r="1952" ht="15.75" customHeight="1">
      <c r="A1952" s="32" t="s">
        <v>529</v>
      </c>
      <c r="B1952" s="32" t="s">
        <v>1326</v>
      </c>
      <c r="C1952" s="32" t="str">
        <f>vlookup(B1952,State_EMM_RowSums!$A$2:$B$52,2,FALSE)</f>
        <v>NC</v>
      </c>
      <c r="D1952" s="32">
        <v>37121.0</v>
      </c>
      <c r="E1952" s="33">
        <f>IF(NOT(ISBLANK(vlookup($D1952,Pop_Census_2023!$A$2:$E$3220,4,FALSE))),vlookup($D1952,Pop_Census_2023!$A$2:$E$3220,4,FALSE), vlookup($D1952,Pop_Census_2023!$A$2:$E$3220,5,FALSE))</f>
        <v>14999</v>
      </c>
      <c r="F1952" s="32">
        <v>1008571.0</v>
      </c>
      <c r="G1952" s="32">
        <v>97.0</v>
      </c>
      <c r="H1952" s="32" t="str">
        <f>VLOOKUP(D1952, Grid_Region_Mapping!$D$2:$F$5286, 3, FALSE)</f>
        <v>SRCA</v>
      </c>
      <c r="I1952" s="32">
        <v>5.0</v>
      </c>
      <c r="J1952" s="34" t="str">
        <f t="shared" si="1"/>
        <v>South</v>
      </c>
      <c r="K1952" s="35">
        <v>3.0</v>
      </c>
      <c r="L1952" s="35" t="s">
        <v>396</v>
      </c>
      <c r="M1952" s="36">
        <f>VLOOKUP(D1952, County_Data_CZones!$B$2:$F$3236, 2, FALSE)</f>
        <v>5</v>
      </c>
      <c r="N1952" s="37" t="str">
        <f>VLOOKUP(D1952, County_Data_CZones!$B$2:$F$3236, 5, FALSE)</f>
        <v>Cold</v>
      </c>
    </row>
    <row r="1953" ht="15.75" customHeight="1">
      <c r="A1953" s="32" t="s">
        <v>153</v>
      </c>
      <c r="B1953" s="32" t="s">
        <v>1326</v>
      </c>
      <c r="C1953" s="32" t="str">
        <f>vlookup(B1953,State_EMM_RowSums!$A$2:$B$52,2,FALSE)</f>
        <v>NC</v>
      </c>
      <c r="D1953" s="32">
        <v>37123.0</v>
      </c>
      <c r="E1953" s="33">
        <f>IF(NOT(ISBLANK(vlookup($D1953,Pop_Census_2023!$A$2:$E$3220,4,FALSE))),vlookup($D1953,Pop_Census_2023!$A$2:$E$3220,4,FALSE), vlookup($D1953,Pop_Census_2023!$A$2:$E$3220,5,FALSE))</f>
        <v>26085</v>
      </c>
      <c r="F1953" s="32">
        <v>1008572.0</v>
      </c>
      <c r="G1953" s="32">
        <v>98.0</v>
      </c>
      <c r="H1953" s="32" t="str">
        <f>VLOOKUP(D1953, Grid_Region_Mapping!$D$2:$F$5286, 3, FALSE)</f>
        <v>SRCA</v>
      </c>
      <c r="I1953" s="32">
        <v>5.0</v>
      </c>
      <c r="J1953" s="34" t="str">
        <f t="shared" si="1"/>
        <v>South</v>
      </c>
      <c r="K1953" s="35">
        <v>4.0</v>
      </c>
      <c r="L1953" s="35" t="s">
        <v>102</v>
      </c>
      <c r="M1953" s="36">
        <f>VLOOKUP(D1953, County_Data_CZones!$B$2:$F$3236, 2, FALSE)</f>
        <v>3</v>
      </c>
      <c r="N1953" s="37" t="str">
        <f>VLOOKUP(D1953, County_Data_CZones!$B$2:$F$3236, 5, FALSE)</f>
        <v>Mixed-Humid</v>
      </c>
    </row>
    <row r="1954" ht="15.75" customHeight="1">
      <c r="A1954" s="32" t="s">
        <v>1365</v>
      </c>
      <c r="B1954" s="32" t="s">
        <v>1326</v>
      </c>
      <c r="C1954" s="32" t="str">
        <f>vlookup(B1954,State_EMM_RowSums!$A$2:$B$52,2,FALSE)</f>
        <v>NC</v>
      </c>
      <c r="D1954" s="32">
        <v>37125.0</v>
      </c>
      <c r="E1954" s="33">
        <f>IF(NOT(ISBLANK(vlookup($D1954,Pop_Census_2023!$A$2:$E$3220,4,FALSE))),vlookup($D1954,Pop_Census_2023!$A$2:$E$3220,4,FALSE), vlookup($D1954,Pop_Census_2023!$A$2:$E$3220,5,FALSE))</f>
        <v>106898</v>
      </c>
      <c r="F1954" s="32">
        <v>1008573.0</v>
      </c>
      <c r="G1954" s="32">
        <v>98.0</v>
      </c>
      <c r="H1954" s="32" t="str">
        <f>VLOOKUP(D1954, Grid_Region_Mapping!$D$2:$F$5286, 3, FALSE)</f>
        <v>SRCA</v>
      </c>
      <c r="I1954" s="32">
        <v>5.0</v>
      </c>
      <c r="J1954" s="34" t="str">
        <f t="shared" si="1"/>
        <v>South</v>
      </c>
      <c r="K1954" s="35">
        <v>4.0</v>
      </c>
      <c r="L1954" s="35" t="s">
        <v>102</v>
      </c>
      <c r="M1954" s="36">
        <f>VLOOKUP(D1954, County_Data_CZones!$B$2:$F$3236, 2, FALSE)</f>
        <v>3</v>
      </c>
      <c r="N1954" s="37" t="str">
        <f>VLOOKUP(D1954, County_Data_CZones!$B$2:$F$3236, 5, FALSE)</f>
        <v>Mixed-Humid</v>
      </c>
    </row>
    <row r="1955" ht="15.75" customHeight="1">
      <c r="A1955" s="32" t="s">
        <v>1366</v>
      </c>
      <c r="B1955" s="32" t="s">
        <v>1326</v>
      </c>
      <c r="C1955" s="32" t="str">
        <f>vlookup(B1955,State_EMM_RowSums!$A$2:$B$52,2,FALSE)</f>
        <v>NC</v>
      </c>
      <c r="D1955" s="32">
        <v>37127.0</v>
      </c>
      <c r="E1955" s="33">
        <f>IF(NOT(ISBLANK(vlookup($D1955,Pop_Census_2023!$A$2:$E$3220,4,FALSE))),vlookup($D1955,Pop_Census_2023!$A$2:$E$3220,4,FALSE), vlookup($D1955,Pop_Census_2023!$A$2:$E$3220,5,FALSE))</f>
        <v>96551</v>
      </c>
      <c r="F1955" s="32">
        <v>1008574.0</v>
      </c>
      <c r="G1955" s="32">
        <v>98.0</v>
      </c>
      <c r="H1955" s="32" t="str">
        <f>VLOOKUP(D1955, Grid_Region_Mapping!$D$2:$F$5286, 3, FALSE)</f>
        <v>PJMD</v>
      </c>
      <c r="I1955" s="32">
        <v>5.0</v>
      </c>
      <c r="J1955" s="34" t="str">
        <f t="shared" si="1"/>
        <v>South</v>
      </c>
      <c r="K1955" s="35">
        <v>4.0</v>
      </c>
      <c r="L1955" s="35" t="s">
        <v>223</v>
      </c>
      <c r="M1955" s="36">
        <f>VLOOKUP(D1955, County_Data_CZones!$B$2:$F$3236, 2, FALSE)</f>
        <v>4</v>
      </c>
      <c r="N1955" s="37" t="str">
        <f>VLOOKUP(D1955, County_Data_CZones!$B$2:$F$3236, 5, FALSE)</f>
        <v>Mixed-Humid</v>
      </c>
    </row>
    <row r="1956" ht="15.75" customHeight="1">
      <c r="A1956" s="32" t="s">
        <v>1367</v>
      </c>
      <c r="B1956" s="32" t="s">
        <v>1326</v>
      </c>
      <c r="C1956" s="32" t="str">
        <f>vlookup(B1956,State_EMM_RowSums!$A$2:$B$52,2,FALSE)</f>
        <v>NC</v>
      </c>
      <c r="D1956" s="32">
        <v>37129.0</v>
      </c>
      <c r="E1956" s="33">
        <f>IF(NOT(ISBLANK(vlookup($D1956,Pop_Census_2023!$A$2:$E$3220,4,FALSE))),vlookup($D1956,Pop_Census_2023!$A$2:$E$3220,4,FALSE), vlookup($D1956,Pop_Census_2023!$A$2:$E$3220,5,FALSE))</f>
        <v>238852</v>
      </c>
      <c r="F1956" s="32">
        <v>1026329.0</v>
      </c>
      <c r="G1956" s="32">
        <v>98.0</v>
      </c>
      <c r="H1956" s="32" t="str">
        <f>VLOOKUP(D1956, Grid_Region_Mapping!$D$2:$F$5286, 3, FALSE)</f>
        <v>SRCA</v>
      </c>
      <c r="I1956" s="32">
        <v>5.0</v>
      </c>
      <c r="J1956" s="34" t="str">
        <f t="shared" si="1"/>
        <v>South</v>
      </c>
      <c r="K1956" s="35">
        <v>4.0</v>
      </c>
      <c r="L1956" s="35" t="s">
        <v>102</v>
      </c>
      <c r="M1956" s="36">
        <f>VLOOKUP(D1956, County_Data_CZones!$B$2:$F$3236, 2, FALSE)</f>
        <v>3</v>
      </c>
      <c r="N1956" s="37" t="str">
        <f>VLOOKUP(D1956, County_Data_CZones!$B$2:$F$3236, 5, FALSE)</f>
        <v>Hot-Humid</v>
      </c>
    </row>
    <row r="1957" ht="15.75" customHeight="1">
      <c r="A1957" s="32" t="s">
        <v>1368</v>
      </c>
      <c r="B1957" s="32" t="s">
        <v>1326</v>
      </c>
      <c r="C1957" s="32" t="str">
        <f>vlookup(B1957,State_EMM_RowSums!$A$2:$B$52,2,FALSE)</f>
        <v>NC</v>
      </c>
      <c r="D1957" s="32">
        <v>37131.0</v>
      </c>
      <c r="E1957" s="33">
        <f>IF(NOT(ISBLANK(vlookup($D1957,Pop_Census_2023!$A$2:$E$3220,4,FALSE))),vlookup($D1957,Pop_Census_2023!$A$2:$E$3220,4,FALSE), vlookup($D1957,Pop_Census_2023!$A$2:$E$3220,5,FALSE))</f>
        <v>16715</v>
      </c>
      <c r="F1957" s="32">
        <v>1008575.0</v>
      </c>
      <c r="G1957" s="32">
        <v>98.0</v>
      </c>
      <c r="H1957" s="32" t="str">
        <f>VLOOKUP(D1957, Grid_Region_Mapping!$D$2:$F$5286, 3, FALSE)</f>
        <v>PJMD</v>
      </c>
      <c r="I1957" s="32">
        <v>5.0</v>
      </c>
      <c r="J1957" s="34" t="str">
        <f t="shared" si="1"/>
        <v>South</v>
      </c>
      <c r="K1957" s="35">
        <v>4.0</v>
      </c>
      <c r="L1957" s="35" t="s">
        <v>223</v>
      </c>
      <c r="M1957" s="36">
        <f>VLOOKUP(D1957, County_Data_CZones!$B$2:$F$3236, 2, FALSE)</f>
        <v>4</v>
      </c>
      <c r="N1957" s="37" t="str">
        <f>VLOOKUP(D1957, County_Data_CZones!$B$2:$F$3236, 5, FALSE)</f>
        <v>Mixed-Humid</v>
      </c>
    </row>
    <row r="1958" ht="15.75" customHeight="1">
      <c r="A1958" s="32" t="s">
        <v>1369</v>
      </c>
      <c r="B1958" s="32" t="s">
        <v>1326</v>
      </c>
      <c r="C1958" s="32" t="str">
        <f>vlookup(B1958,State_EMM_RowSums!$A$2:$B$52,2,FALSE)</f>
        <v>NC</v>
      </c>
      <c r="D1958" s="32">
        <v>37133.0</v>
      </c>
      <c r="E1958" s="33">
        <f>IF(NOT(ISBLANK(vlookup($D1958,Pop_Census_2023!$A$2:$E$3220,4,FALSE))),vlookup($D1958,Pop_Census_2023!$A$2:$E$3220,4,FALSE), vlookup($D1958,Pop_Census_2023!$A$2:$E$3220,5,FALSE))</f>
        <v>213676</v>
      </c>
      <c r="F1958" s="32">
        <v>1026341.0</v>
      </c>
      <c r="G1958" s="32">
        <v>98.0</v>
      </c>
      <c r="H1958" s="32" t="str">
        <f>VLOOKUP(D1958, Grid_Region_Mapping!$D$2:$F$5286, 3, FALSE)</f>
        <v>SRCA</v>
      </c>
      <c r="I1958" s="32">
        <v>5.0</v>
      </c>
      <c r="J1958" s="34" t="str">
        <f t="shared" si="1"/>
        <v>South</v>
      </c>
      <c r="K1958" s="35">
        <v>4.0</v>
      </c>
      <c r="L1958" s="35" t="s">
        <v>102</v>
      </c>
      <c r="M1958" s="36">
        <f>VLOOKUP(D1958, County_Data_CZones!$B$2:$F$3236, 2, FALSE)</f>
        <v>3</v>
      </c>
      <c r="N1958" s="37" t="str">
        <f>VLOOKUP(D1958, County_Data_CZones!$B$2:$F$3236, 5, FALSE)</f>
        <v>Hot-Humid</v>
      </c>
    </row>
    <row r="1959" ht="15.75" customHeight="1">
      <c r="A1959" s="32" t="s">
        <v>310</v>
      </c>
      <c r="B1959" s="32" t="s">
        <v>1326</v>
      </c>
      <c r="C1959" s="32" t="str">
        <f>vlookup(B1959,State_EMM_RowSums!$A$2:$B$52,2,FALSE)</f>
        <v>NC</v>
      </c>
      <c r="D1959" s="32">
        <v>37135.0</v>
      </c>
      <c r="E1959" s="33">
        <f>IF(NOT(ISBLANK(vlookup($D1959,Pop_Census_2023!$A$2:$E$3220,4,FALSE))),vlookup($D1959,Pop_Census_2023!$A$2:$E$3220,4,FALSE), vlookup($D1959,Pop_Census_2023!$A$2:$E$3220,5,FALSE))</f>
        <v>150626</v>
      </c>
      <c r="F1959" s="32">
        <v>1008576.0</v>
      </c>
      <c r="G1959" s="32">
        <v>98.0</v>
      </c>
      <c r="H1959" s="32" t="str">
        <f>VLOOKUP(D1959, Grid_Region_Mapping!$D$2:$F$5286, 3, FALSE)</f>
        <v>SRCA</v>
      </c>
      <c r="I1959" s="32">
        <v>5.0</v>
      </c>
      <c r="J1959" s="34" t="str">
        <f t="shared" si="1"/>
        <v>South</v>
      </c>
      <c r="K1959" s="35">
        <v>4.0</v>
      </c>
      <c r="L1959" s="35" t="s">
        <v>223</v>
      </c>
      <c r="M1959" s="36">
        <f>VLOOKUP(D1959, County_Data_CZones!$B$2:$F$3236, 2, FALSE)</f>
        <v>4</v>
      </c>
      <c r="N1959" s="37" t="str">
        <f>VLOOKUP(D1959, County_Data_CZones!$B$2:$F$3236, 5, FALSE)</f>
        <v>Mixed-Humid</v>
      </c>
    </row>
    <row r="1960" ht="15.75" customHeight="1">
      <c r="A1960" s="32" t="s">
        <v>1370</v>
      </c>
      <c r="B1960" s="32" t="s">
        <v>1326</v>
      </c>
      <c r="C1960" s="32" t="str">
        <f>vlookup(B1960,State_EMM_RowSums!$A$2:$B$52,2,FALSE)</f>
        <v>NC</v>
      </c>
      <c r="D1960" s="32">
        <v>37137.0</v>
      </c>
      <c r="E1960" s="33">
        <f>IF(NOT(ISBLANK(vlookup($D1960,Pop_Census_2023!$A$2:$E$3220,4,FALSE))),vlookup($D1960,Pop_Census_2023!$A$2:$E$3220,4,FALSE), vlookup($D1960,Pop_Census_2023!$A$2:$E$3220,5,FALSE))</f>
        <v>12423</v>
      </c>
      <c r="F1960" s="32">
        <v>1023355.0</v>
      </c>
      <c r="G1960" s="32">
        <v>98.0</v>
      </c>
      <c r="H1960" s="32" t="str">
        <f>VLOOKUP(D1960, Grid_Region_Mapping!$D$2:$F$5286, 3, FALSE)</f>
        <v>SRCA</v>
      </c>
      <c r="I1960" s="32">
        <v>5.0</v>
      </c>
      <c r="J1960" s="34" t="str">
        <f t="shared" si="1"/>
        <v>South</v>
      </c>
      <c r="K1960" s="35">
        <v>4.0</v>
      </c>
      <c r="L1960" s="35" t="s">
        <v>102</v>
      </c>
      <c r="M1960" s="36">
        <f>VLOOKUP(D1960, County_Data_CZones!$B$2:$F$3236, 2, FALSE)</f>
        <v>3</v>
      </c>
      <c r="N1960" s="37" t="str">
        <f>VLOOKUP(D1960, County_Data_CZones!$B$2:$F$3236, 5, FALSE)</f>
        <v>Mixed-Humid</v>
      </c>
    </row>
    <row r="1961" ht="15.75" customHeight="1">
      <c r="A1961" s="32" t="s">
        <v>1371</v>
      </c>
      <c r="B1961" s="32" t="s">
        <v>1326</v>
      </c>
      <c r="C1961" s="32" t="str">
        <f>vlookup(B1961,State_EMM_RowSums!$A$2:$B$52,2,FALSE)</f>
        <v>NC</v>
      </c>
      <c r="D1961" s="32">
        <v>37139.0</v>
      </c>
      <c r="E1961" s="33">
        <f>IF(NOT(ISBLANK(vlookup($D1961,Pop_Census_2023!$A$2:$E$3220,4,FALSE))),vlookup($D1961,Pop_Census_2023!$A$2:$E$3220,4,FALSE), vlookup($D1961,Pop_Census_2023!$A$2:$E$3220,5,FALSE))</f>
        <v>41444</v>
      </c>
      <c r="F1961" s="32">
        <v>1026330.0</v>
      </c>
      <c r="G1961" s="32">
        <v>98.0</v>
      </c>
      <c r="H1961" s="32" t="str">
        <f>VLOOKUP(D1961, Grid_Region_Mapping!$D$2:$F$5286, 3, FALSE)</f>
        <v>PJMD</v>
      </c>
      <c r="I1961" s="32">
        <v>5.0</v>
      </c>
      <c r="J1961" s="34" t="str">
        <f t="shared" si="1"/>
        <v>South</v>
      </c>
      <c r="K1961" s="35">
        <v>4.0</v>
      </c>
      <c r="L1961" s="35" t="s">
        <v>102</v>
      </c>
      <c r="M1961" s="36">
        <f>VLOOKUP(D1961, County_Data_CZones!$B$2:$F$3236, 2, FALSE)</f>
        <v>3</v>
      </c>
      <c r="N1961" s="37" t="str">
        <f>VLOOKUP(D1961, County_Data_CZones!$B$2:$F$3236, 5, FALSE)</f>
        <v>Mixed-Humid</v>
      </c>
    </row>
    <row r="1962" ht="15.75" customHeight="1">
      <c r="A1962" s="32" t="s">
        <v>1372</v>
      </c>
      <c r="B1962" s="32" t="s">
        <v>1326</v>
      </c>
      <c r="C1962" s="32" t="str">
        <f>vlookup(B1962,State_EMM_RowSums!$A$2:$B$52,2,FALSE)</f>
        <v>NC</v>
      </c>
      <c r="D1962" s="32">
        <v>37141.0</v>
      </c>
      <c r="E1962" s="33">
        <f>IF(NOT(ISBLANK(vlookup($D1962,Pop_Census_2023!$A$2:$E$3220,4,FALSE))),vlookup($D1962,Pop_Census_2023!$A$2:$E$3220,4,FALSE), vlookup($D1962,Pop_Census_2023!$A$2:$E$3220,5,FALSE))</f>
        <v>68521</v>
      </c>
      <c r="F1962" s="32">
        <v>1026129.0</v>
      </c>
      <c r="G1962" s="32">
        <v>98.0</v>
      </c>
      <c r="H1962" s="32" t="str">
        <f>VLOOKUP(D1962, Grid_Region_Mapping!$D$2:$F$5286, 3, FALSE)</f>
        <v>SRCA</v>
      </c>
      <c r="I1962" s="32">
        <v>5.0</v>
      </c>
      <c r="J1962" s="34" t="str">
        <f t="shared" si="1"/>
        <v>South</v>
      </c>
      <c r="K1962" s="35">
        <v>4.0</v>
      </c>
      <c r="L1962" s="35" t="s">
        <v>102</v>
      </c>
      <c r="M1962" s="36">
        <f>VLOOKUP(D1962, County_Data_CZones!$B$2:$F$3236, 2, FALSE)</f>
        <v>3</v>
      </c>
      <c r="N1962" s="37" t="str">
        <f>VLOOKUP(D1962, County_Data_CZones!$B$2:$F$3236, 5, FALSE)</f>
        <v>Hot-Humid</v>
      </c>
    </row>
    <row r="1963" ht="15.75" customHeight="1">
      <c r="A1963" s="32" t="s">
        <v>1373</v>
      </c>
      <c r="B1963" s="32" t="s">
        <v>1326</v>
      </c>
      <c r="C1963" s="32" t="str">
        <f>vlookup(B1963,State_EMM_RowSums!$A$2:$B$52,2,FALSE)</f>
        <v>NC</v>
      </c>
      <c r="D1963" s="32">
        <v>37143.0</v>
      </c>
      <c r="E1963" s="33">
        <f>IF(NOT(ISBLANK(vlookup($D1963,Pop_Census_2023!$A$2:$E$3220,4,FALSE))),vlookup($D1963,Pop_Census_2023!$A$2:$E$3220,4,FALSE), vlookup($D1963,Pop_Census_2023!$A$2:$E$3220,5,FALSE))</f>
        <v>13377</v>
      </c>
      <c r="F1963" s="32">
        <v>1025841.0</v>
      </c>
      <c r="G1963" s="32">
        <v>98.0</v>
      </c>
      <c r="H1963" s="32" t="str">
        <f>VLOOKUP(D1963, Grid_Region_Mapping!$D$2:$F$5286, 3, FALSE)</f>
        <v>PJMD</v>
      </c>
      <c r="I1963" s="32">
        <v>5.0</v>
      </c>
      <c r="J1963" s="34" t="str">
        <f t="shared" si="1"/>
        <v>South</v>
      </c>
      <c r="K1963" s="35">
        <v>4.0</v>
      </c>
      <c r="L1963" s="35" t="s">
        <v>102</v>
      </c>
      <c r="M1963" s="36">
        <f>VLOOKUP(D1963, County_Data_CZones!$B$2:$F$3236, 2, FALSE)</f>
        <v>3</v>
      </c>
      <c r="N1963" s="37" t="str">
        <f>VLOOKUP(D1963, County_Data_CZones!$B$2:$F$3236, 5, FALSE)</f>
        <v>Mixed-Humid</v>
      </c>
    </row>
    <row r="1964" ht="15.75" customHeight="1">
      <c r="A1964" s="32" t="s">
        <v>1374</v>
      </c>
      <c r="B1964" s="32" t="s">
        <v>1326</v>
      </c>
      <c r="C1964" s="32" t="str">
        <f>vlookup(B1964,State_EMM_RowSums!$A$2:$B$52,2,FALSE)</f>
        <v>NC</v>
      </c>
      <c r="D1964" s="32">
        <v>37145.0</v>
      </c>
      <c r="E1964" s="33">
        <f>IF(NOT(ISBLANK(vlookup($D1964,Pop_Census_2023!$A$2:$E$3220,4,FALSE))),vlookup($D1964,Pop_Census_2023!$A$2:$E$3220,4,FALSE), vlookup($D1964,Pop_Census_2023!$A$2:$E$3220,5,FALSE))</f>
        <v>39737</v>
      </c>
      <c r="F1964" s="32">
        <v>1008577.0</v>
      </c>
      <c r="G1964" s="32">
        <v>98.0</v>
      </c>
      <c r="H1964" s="32" t="str">
        <f>VLOOKUP(D1964, Grid_Region_Mapping!$D$2:$F$5286, 3, FALSE)</f>
        <v>PJMD</v>
      </c>
      <c r="I1964" s="32">
        <v>5.0</v>
      </c>
      <c r="J1964" s="34" t="str">
        <f t="shared" si="1"/>
        <v>South</v>
      </c>
      <c r="K1964" s="35">
        <v>4.0</v>
      </c>
      <c r="L1964" s="35" t="s">
        <v>223</v>
      </c>
      <c r="M1964" s="36">
        <f>VLOOKUP(D1964, County_Data_CZones!$B$2:$F$3236, 2, FALSE)</f>
        <v>4</v>
      </c>
      <c r="N1964" s="37" t="str">
        <f>VLOOKUP(D1964, County_Data_CZones!$B$2:$F$3236, 5, FALSE)</f>
        <v>Mixed-Humid</v>
      </c>
    </row>
    <row r="1965" ht="15.75" customHeight="1">
      <c r="A1965" s="32" t="s">
        <v>1375</v>
      </c>
      <c r="B1965" s="32" t="s">
        <v>1326</v>
      </c>
      <c r="C1965" s="32" t="str">
        <f>vlookup(B1965,State_EMM_RowSums!$A$2:$B$52,2,FALSE)</f>
        <v>NC</v>
      </c>
      <c r="D1965" s="32">
        <v>37147.0</v>
      </c>
      <c r="E1965" s="33">
        <f>IF(NOT(ISBLANK(vlookup($D1965,Pop_Census_2023!$A$2:$E$3220,4,FALSE))),vlookup($D1965,Pop_Census_2023!$A$2:$E$3220,4,FALSE), vlookup($D1965,Pop_Census_2023!$A$2:$E$3220,5,FALSE))</f>
        <v>175119</v>
      </c>
      <c r="F1965" s="32">
        <v>1008578.0</v>
      </c>
      <c r="G1965" s="32">
        <v>98.0</v>
      </c>
      <c r="H1965" s="32" t="str">
        <f>VLOOKUP(D1965, Grid_Region_Mapping!$D$2:$F$5286, 3, FALSE)</f>
        <v>PJMD</v>
      </c>
      <c r="I1965" s="32">
        <v>5.0</v>
      </c>
      <c r="J1965" s="34" t="str">
        <f t="shared" si="1"/>
        <v>South</v>
      </c>
      <c r="K1965" s="35">
        <v>4.0</v>
      </c>
      <c r="L1965" s="35" t="s">
        <v>102</v>
      </c>
      <c r="M1965" s="36">
        <f>VLOOKUP(D1965, County_Data_CZones!$B$2:$F$3236, 2, FALSE)</f>
        <v>3</v>
      </c>
      <c r="N1965" s="37" t="str">
        <f>VLOOKUP(D1965, County_Data_CZones!$B$2:$F$3236, 5, FALSE)</f>
        <v>Mixed-Humid</v>
      </c>
    </row>
    <row r="1966" ht="15.75" customHeight="1">
      <c r="A1966" s="32" t="s">
        <v>261</v>
      </c>
      <c r="B1966" s="32" t="s">
        <v>1326</v>
      </c>
      <c r="C1966" s="32" t="str">
        <f>vlookup(B1966,State_EMM_RowSums!$A$2:$B$52,2,FALSE)</f>
        <v>NC</v>
      </c>
      <c r="D1966" s="32">
        <v>37149.0</v>
      </c>
      <c r="E1966" s="33">
        <f>IF(NOT(ISBLANK(vlookup($D1966,Pop_Census_2023!$A$2:$E$3220,4,FALSE))),vlookup($D1966,Pop_Census_2023!$A$2:$E$3220,4,FALSE), vlookup($D1966,Pop_Census_2023!$A$2:$E$3220,5,FALSE))</f>
        <v>20060</v>
      </c>
      <c r="F1966" s="32">
        <v>1008579.0</v>
      </c>
      <c r="G1966" s="32">
        <v>97.0</v>
      </c>
      <c r="H1966" s="32" t="str">
        <f>VLOOKUP(D1966, Grid_Region_Mapping!$D$2:$F$5286, 3, FALSE)</f>
        <v>SRCA</v>
      </c>
      <c r="I1966" s="32">
        <v>5.0</v>
      </c>
      <c r="J1966" s="34" t="str">
        <f t="shared" si="1"/>
        <v>South</v>
      </c>
      <c r="K1966" s="35">
        <v>4.0</v>
      </c>
      <c r="L1966" s="35" t="s">
        <v>223</v>
      </c>
      <c r="M1966" s="36">
        <f>VLOOKUP(D1966, County_Data_CZones!$B$2:$F$3236, 2, FALSE)</f>
        <v>4</v>
      </c>
      <c r="N1966" s="37" t="str">
        <f>VLOOKUP(D1966, County_Data_CZones!$B$2:$F$3236, 5, FALSE)</f>
        <v>Mixed-Humid</v>
      </c>
    </row>
    <row r="1967" ht="15.75" customHeight="1">
      <c r="A1967" s="32" t="s">
        <v>158</v>
      </c>
      <c r="B1967" s="32" t="s">
        <v>1326</v>
      </c>
      <c r="C1967" s="32" t="str">
        <f>vlookup(B1967,State_EMM_RowSums!$A$2:$B$52,2,FALSE)</f>
        <v>NC</v>
      </c>
      <c r="D1967" s="32">
        <v>37151.0</v>
      </c>
      <c r="E1967" s="33">
        <f>IF(NOT(ISBLANK(vlookup($D1967,Pop_Census_2023!$A$2:$E$3220,4,FALSE))),vlookup($D1967,Pop_Census_2023!$A$2:$E$3220,4,FALSE), vlookup($D1967,Pop_Census_2023!$A$2:$E$3220,5,FALSE))</f>
        <v>147458</v>
      </c>
      <c r="F1967" s="32">
        <v>1008580.0</v>
      </c>
      <c r="G1967" s="32">
        <v>97.0</v>
      </c>
      <c r="H1967" s="32" t="str">
        <f>VLOOKUP(D1967, Grid_Region_Mapping!$D$2:$F$5286, 3, FALSE)</f>
        <v>SRCA</v>
      </c>
      <c r="I1967" s="32">
        <v>5.0</v>
      </c>
      <c r="J1967" s="34" t="str">
        <f t="shared" si="1"/>
        <v>South</v>
      </c>
      <c r="K1967" s="35">
        <v>4.0</v>
      </c>
      <c r="L1967" s="35" t="s">
        <v>102</v>
      </c>
      <c r="M1967" s="36">
        <f>VLOOKUP(D1967, County_Data_CZones!$B$2:$F$3236, 2, FALSE)</f>
        <v>3</v>
      </c>
      <c r="N1967" s="37" t="str">
        <f>VLOOKUP(D1967, County_Data_CZones!$B$2:$F$3236, 5, FALSE)</f>
        <v>Mixed-Humid</v>
      </c>
    </row>
    <row r="1968" ht="15.75" customHeight="1">
      <c r="A1968" s="32" t="s">
        <v>539</v>
      </c>
      <c r="B1968" s="32" t="s">
        <v>1326</v>
      </c>
      <c r="C1968" s="32" t="str">
        <f>vlookup(B1968,State_EMM_RowSums!$A$2:$B$52,2,FALSE)</f>
        <v>NC</v>
      </c>
      <c r="D1968" s="32">
        <v>37153.0</v>
      </c>
      <c r="E1968" s="33">
        <f>IF(NOT(ISBLANK(vlookup($D1968,Pop_Census_2023!$A$2:$E$3220,4,FALSE))),vlookup($D1968,Pop_Census_2023!$A$2:$E$3220,4,FALSE), vlookup($D1968,Pop_Census_2023!$A$2:$E$3220,5,FALSE))</f>
        <v>42324</v>
      </c>
      <c r="F1968" s="32">
        <v>1008581.0</v>
      </c>
      <c r="G1968" s="32">
        <v>98.0</v>
      </c>
      <c r="H1968" s="32" t="str">
        <f>VLOOKUP(D1968, Grid_Region_Mapping!$D$2:$F$5286, 3, FALSE)</f>
        <v>SRCA</v>
      </c>
      <c r="I1968" s="32">
        <v>5.0</v>
      </c>
      <c r="J1968" s="34" t="str">
        <f t="shared" si="1"/>
        <v>South</v>
      </c>
      <c r="K1968" s="35">
        <v>4.0</v>
      </c>
      <c r="L1968" s="35" t="s">
        <v>102</v>
      </c>
      <c r="M1968" s="36">
        <f>VLOOKUP(D1968, County_Data_CZones!$B$2:$F$3236, 2, FALSE)</f>
        <v>3</v>
      </c>
      <c r="N1968" s="37" t="str">
        <f>VLOOKUP(D1968, County_Data_CZones!$B$2:$F$3236, 5, FALSE)</f>
        <v>Mixed-Humid</v>
      </c>
    </row>
    <row r="1969" ht="15.75" customHeight="1">
      <c r="A1969" s="32" t="s">
        <v>1376</v>
      </c>
      <c r="B1969" s="32" t="s">
        <v>1326</v>
      </c>
      <c r="C1969" s="32" t="str">
        <f>vlookup(B1969,State_EMM_RowSums!$A$2:$B$52,2,FALSE)</f>
        <v>NC</v>
      </c>
      <c r="D1969" s="32">
        <v>37155.0</v>
      </c>
      <c r="E1969" s="33">
        <f>IF(NOT(ISBLANK(vlookup($D1969,Pop_Census_2023!$A$2:$E$3220,4,FALSE))),vlookup($D1969,Pop_Census_2023!$A$2:$E$3220,4,FALSE), vlookup($D1969,Pop_Census_2023!$A$2:$E$3220,5,FALSE))</f>
        <v>117365</v>
      </c>
      <c r="F1969" s="32">
        <v>1026130.0</v>
      </c>
      <c r="G1969" s="32">
        <v>98.0</v>
      </c>
      <c r="H1969" s="32" t="str">
        <f>VLOOKUP(D1969, Grid_Region_Mapping!$D$2:$F$5286, 3, FALSE)</f>
        <v>SRCA</v>
      </c>
      <c r="I1969" s="32">
        <v>5.0</v>
      </c>
      <c r="J1969" s="34" t="str">
        <f t="shared" si="1"/>
        <v>South</v>
      </c>
      <c r="K1969" s="35">
        <v>4.0</v>
      </c>
      <c r="L1969" s="35" t="s">
        <v>102</v>
      </c>
      <c r="M1969" s="36">
        <f>VLOOKUP(D1969, County_Data_CZones!$B$2:$F$3236, 2, FALSE)</f>
        <v>3</v>
      </c>
      <c r="N1969" s="37" t="str">
        <f>VLOOKUP(D1969, County_Data_CZones!$B$2:$F$3236, 5, FALSE)</f>
        <v>Mixed-Humid</v>
      </c>
    </row>
    <row r="1970" ht="15.75" customHeight="1">
      <c r="A1970" s="32" t="s">
        <v>1256</v>
      </c>
      <c r="B1970" s="32" t="s">
        <v>1326</v>
      </c>
      <c r="C1970" s="32" t="str">
        <f>vlookup(B1970,State_EMM_RowSums!$A$2:$B$52,2,FALSE)</f>
        <v>NC</v>
      </c>
      <c r="D1970" s="32">
        <v>37157.0</v>
      </c>
      <c r="E1970" s="33">
        <f>IF(NOT(ISBLANK(vlookup($D1970,Pop_Census_2023!$A$2:$E$3220,4,FALSE))),vlookup($D1970,Pop_Census_2023!$A$2:$E$3220,4,FALSE), vlookup($D1970,Pop_Census_2023!$A$2:$E$3220,5,FALSE))</f>
        <v>92518</v>
      </c>
      <c r="F1970" s="32">
        <v>1008582.0</v>
      </c>
      <c r="G1970" s="32">
        <v>97.0</v>
      </c>
      <c r="H1970" s="32" t="str">
        <f>VLOOKUP(D1970, Grid_Region_Mapping!$D$2:$F$5286, 3, FALSE)</f>
        <v>SRCA</v>
      </c>
      <c r="I1970" s="32">
        <v>5.0</v>
      </c>
      <c r="J1970" s="34" t="str">
        <f t="shared" si="1"/>
        <v>South</v>
      </c>
      <c r="K1970" s="35">
        <v>4.0</v>
      </c>
      <c r="L1970" s="35" t="s">
        <v>223</v>
      </c>
      <c r="M1970" s="36">
        <f>VLOOKUP(D1970, County_Data_CZones!$B$2:$F$3236, 2, FALSE)</f>
        <v>4</v>
      </c>
      <c r="N1970" s="37" t="str">
        <f>VLOOKUP(D1970, County_Data_CZones!$B$2:$F$3236, 5, FALSE)</f>
        <v>Mixed-Humid</v>
      </c>
    </row>
    <row r="1971" ht="15.75" customHeight="1">
      <c r="A1971" s="32" t="s">
        <v>868</v>
      </c>
      <c r="B1971" s="32" t="s">
        <v>1326</v>
      </c>
      <c r="C1971" s="32" t="str">
        <f>vlookup(B1971,State_EMM_RowSums!$A$2:$B$52,2,FALSE)</f>
        <v>NC</v>
      </c>
      <c r="D1971" s="32">
        <v>37159.0</v>
      </c>
      <c r="E1971" s="33">
        <f>IF(NOT(ISBLANK(vlookup($D1971,Pop_Census_2023!$A$2:$E$3220,4,FALSE))),vlookup($D1971,Pop_Census_2023!$A$2:$E$3220,4,FALSE), vlookup($D1971,Pop_Census_2023!$A$2:$E$3220,5,FALSE))</f>
        <v>151661</v>
      </c>
      <c r="F1971" s="32">
        <v>1008583.0</v>
      </c>
      <c r="G1971" s="32">
        <v>97.0</v>
      </c>
      <c r="H1971" s="32" t="str">
        <f>VLOOKUP(D1971, Grid_Region_Mapping!$D$2:$F$5286, 3, FALSE)</f>
        <v>SRCA</v>
      </c>
      <c r="I1971" s="32">
        <v>5.0</v>
      </c>
      <c r="J1971" s="34" t="str">
        <f t="shared" si="1"/>
        <v>South</v>
      </c>
      <c r="K1971" s="35">
        <v>4.0</v>
      </c>
      <c r="L1971" s="35" t="s">
        <v>102</v>
      </c>
      <c r="M1971" s="36">
        <f>VLOOKUP(D1971, County_Data_CZones!$B$2:$F$3236, 2, FALSE)</f>
        <v>3</v>
      </c>
      <c r="N1971" s="37" t="str">
        <f>VLOOKUP(D1971, County_Data_CZones!$B$2:$F$3236, 5, FALSE)</f>
        <v>Mixed-Humid</v>
      </c>
    </row>
    <row r="1972" ht="15.75" customHeight="1">
      <c r="A1972" s="32" t="s">
        <v>1377</v>
      </c>
      <c r="B1972" s="32" t="s">
        <v>1326</v>
      </c>
      <c r="C1972" s="32" t="str">
        <f>vlookup(B1972,State_EMM_RowSums!$A$2:$B$52,2,FALSE)</f>
        <v>NC</v>
      </c>
      <c r="D1972" s="32">
        <v>37161.0</v>
      </c>
      <c r="E1972" s="33">
        <f>IF(NOT(ISBLANK(vlookup($D1972,Pop_Census_2023!$A$2:$E$3220,4,FALSE))),vlookup($D1972,Pop_Census_2023!$A$2:$E$3220,4,FALSE), vlookup($D1972,Pop_Census_2023!$A$2:$E$3220,5,FALSE))</f>
        <v>65507</v>
      </c>
      <c r="F1972" s="32">
        <v>1008584.0</v>
      </c>
      <c r="G1972" s="32">
        <v>97.0</v>
      </c>
      <c r="H1972" s="32" t="str">
        <f>VLOOKUP(D1972, Grid_Region_Mapping!$D$2:$F$5286, 3, FALSE)</f>
        <v>SRCA</v>
      </c>
      <c r="I1972" s="32">
        <v>5.0</v>
      </c>
      <c r="J1972" s="34" t="str">
        <f t="shared" si="1"/>
        <v>South</v>
      </c>
      <c r="K1972" s="35">
        <v>4.0</v>
      </c>
      <c r="L1972" s="35" t="s">
        <v>223</v>
      </c>
      <c r="M1972" s="36">
        <f>VLOOKUP(D1972, County_Data_CZones!$B$2:$F$3236, 2, FALSE)</f>
        <v>4</v>
      </c>
      <c r="N1972" s="37" t="str">
        <f>VLOOKUP(D1972, County_Data_CZones!$B$2:$F$3236, 5, FALSE)</f>
        <v>Mixed-Humid</v>
      </c>
    </row>
    <row r="1973" ht="15.75" customHeight="1">
      <c r="A1973" s="32" t="s">
        <v>1378</v>
      </c>
      <c r="B1973" s="32" t="s">
        <v>1326</v>
      </c>
      <c r="C1973" s="32" t="str">
        <f>vlookup(B1973,State_EMM_RowSums!$A$2:$B$52,2,FALSE)</f>
        <v>NC</v>
      </c>
      <c r="D1973" s="32">
        <v>37163.0</v>
      </c>
      <c r="E1973" s="33">
        <f>IF(NOT(ISBLANK(vlookup($D1973,Pop_Census_2023!$A$2:$E$3220,4,FALSE))),vlookup($D1973,Pop_Census_2023!$A$2:$E$3220,4,FALSE), vlookup($D1973,Pop_Census_2023!$A$2:$E$3220,5,FALSE))</f>
        <v>59601</v>
      </c>
      <c r="F1973" s="32">
        <v>1026131.0</v>
      </c>
      <c r="G1973" s="32">
        <v>98.0</v>
      </c>
      <c r="H1973" s="32" t="str">
        <f>VLOOKUP(D1973, Grid_Region_Mapping!$D$2:$F$5286, 3, FALSE)</f>
        <v>SRCA</v>
      </c>
      <c r="I1973" s="32">
        <v>5.0</v>
      </c>
      <c r="J1973" s="34" t="str">
        <f t="shared" si="1"/>
        <v>South</v>
      </c>
      <c r="K1973" s="35">
        <v>4.0</v>
      </c>
      <c r="L1973" s="35" t="s">
        <v>102</v>
      </c>
      <c r="M1973" s="36">
        <f>VLOOKUP(D1973, County_Data_CZones!$B$2:$F$3236, 2, FALSE)</f>
        <v>3</v>
      </c>
      <c r="N1973" s="37" t="str">
        <f>VLOOKUP(D1973, County_Data_CZones!$B$2:$F$3236, 5, FALSE)</f>
        <v>Mixed-Humid</v>
      </c>
    </row>
    <row r="1974" ht="15.75" customHeight="1">
      <c r="A1974" s="32" t="s">
        <v>1155</v>
      </c>
      <c r="B1974" s="32" t="s">
        <v>1326</v>
      </c>
      <c r="C1974" s="32" t="str">
        <f>vlookup(B1974,State_EMM_RowSums!$A$2:$B$52,2,FALSE)</f>
        <v>NC</v>
      </c>
      <c r="D1974" s="32">
        <v>37165.0</v>
      </c>
      <c r="E1974" s="33">
        <f>IF(NOT(ISBLANK(vlookup($D1974,Pop_Census_2023!$A$2:$E$3220,4,FALSE))),vlookup($D1974,Pop_Census_2023!$A$2:$E$3220,4,FALSE), vlookup($D1974,Pop_Census_2023!$A$2:$E$3220,5,FALSE))</f>
        <v>34376</v>
      </c>
      <c r="F1974" s="32">
        <v>1008585.0</v>
      </c>
      <c r="G1974" s="32">
        <v>98.0</v>
      </c>
      <c r="H1974" s="32" t="str">
        <f>VLOOKUP(D1974, Grid_Region_Mapping!$D$2:$F$5286, 3, FALSE)</f>
        <v>SRCA</v>
      </c>
      <c r="I1974" s="32">
        <v>5.0</v>
      </c>
      <c r="J1974" s="34" t="str">
        <f t="shared" si="1"/>
        <v>South</v>
      </c>
      <c r="K1974" s="35">
        <v>4.0</v>
      </c>
      <c r="L1974" s="35" t="s">
        <v>102</v>
      </c>
      <c r="M1974" s="36">
        <f>VLOOKUP(D1974, County_Data_CZones!$B$2:$F$3236, 2, FALSE)</f>
        <v>3</v>
      </c>
      <c r="N1974" s="37" t="str">
        <f>VLOOKUP(D1974, County_Data_CZones!$B$2:$F$3236, 5, FALSE)</f>
        <v>Mixed-Humid</v>
      </c>
    </row>
    <row r="1975" ht="15.75" customHeight="1">
      <c r="A1975" s="32" t="s">
        <v>1379</v>
      </c>
      <c r="B1975" s="32" t="s">
        <v>1326</v>
      </c>
      <c r="C1975" s="32" t="str">
        <f>vlookup(B1975,State_EMM_RowSums!$A$2:$B$52,2,FALSE)</f>
        <v>NC</v>
      </c>
      <c r="D1975" s="32">
        <v>37167.0</v>
      </c>
      <c r="E1975" s="33">
        <f>IF(NOT(ISBLANK(vlookup($D1975,Pop_Census_2023!$A$2:$E$3220,4,FALSE))),vlookup($D1975,Pop_Census_2023!$A$2:$E$3220,4,FALSE), vlookup($D1975,Pop_Census_2023!$A$2:$E$3220,5,FALSE))</f>
        <v>65699</v>
      </c>
      <c r="F1975" s="32">
        <v>1025844.0</v>
      </c>
      <c r="G1975" s="32">
        <v>97.0</v>
      </c>
      <c r="H1975" s="32" t="str">
        <f>VLOOKUP(D1975, Grid_Region_Mapping!$D$2:$F$5286, 3, FALSE)</f>
        <v>SRCA</v>
      </c>
      <c r="I1975" s="32">
        <v>5.0</v>
      </c>
      <c r="J1975" s="34" t="str">
        <f t="shared" si="1"/>
        <v>South</v>
      </c>
      <c r="K1975" s="35">
        <v>4.0</v>
      </c>
      <c r="L1975" s="35" t="s">
        <v>102</v>
      </c>
      <c r="M1975" s="36">
        <f>VLOOKUP(D1975, County_Data_CZones!$B$2:$F$3236, 2, FALSE)</f>
        <v>3</v>
      </c>
      <c r="N1975" s="37" t="str">
        <f>VLOOKUP(D1975, County_Data_CZones!$B$2:$F$3236, 5, FALSE)</f>
        <v>Mixed-Humid</v>
      </c>
    </row>
    <row r="1976" ht="15.75" customHeight="1">
      <c r="A1976" s="32" t="s">
        <v>1380</v>
      </c>
      <c r="B1976" s="32" t="s">
        <v>1326</v>
      </c>
      <c r="C1976" s="32" t="str">
        <f>vlookup(B1976,State_EMM_RowSums!$A$2:$B$52,2,FALSE)</f>
        <v>NC</v>
      </c>
      <c r="D1976" s="32">
        <v>37169.0</v>
      </c>
      <c r="E1976" s="33">
        <f>IF(NOT(ISBLANK(vlookup($D1976,Pop_Census_2023!$A$2:$E$3220,4,FALSE))),vlookup($D1976,Pop_Census_2023!$A$2:$E$3220,4,FALSE), vlookup($D1976,Pop_Census_2023!$A$2:$E$3220,5,FALSE))</f>
        <v>45532</v>
      </c>
      <c r="F1976" s="32">
        <v>1008586.0</v>
      </c>
      <c r="G1976" s="32">
        <v>97.0</v>
      </c>
      <c r="H1976" s="32" t="str">
        <f>VLOOKUP(D1976, Grid_Region_Mapping!$D$2:$F$5286, 3, FALSE)</f>
        <v>SRCA</v>
      </c>
      <c r="I1976" s="32">
        <v>5.0</v>
      </c>
      <c r="J1976" s="34" t="str">
        <f t="shared" si="1"/>
        <v>South</v>
      </c>
      <c r="K1976" s="35">
        <v>3.0</v>
      </c>
      <c r="L1976" s="35" t="s">
        <v>223</v>
      </c>
      <c r="M1976" s="36">
        <f>VLOOKUP(D1976, County_Data_CZones!$B$2:$F$3236, 2, FALSE)</f>
        <v>4</v>
      </c>
      <c r="N1976" s="37" t="str">
        <f>VLOOKUP(D1976, County_Data_CZones!$B$2:$F$3236, 5, FALSE)</f>
        <v>Mixed-Humid</v>
      </c>
    </row>
    <row r="1977" ht="15.75" customHeight="1">
      <c r="A1977" s="32" t="s">
        <v>1381</v>
      </c>
      <c r="B1977" s="32" t="s">
        <v>1326</v>
      </c>
      <c r="C1977" s="32" t="str">
        <f>vlookup(B1977,State_EMM_RowSums!$A$2:$B$52,2,FALSE)</f>
        <v>NC</v>
      </c>
      <c r="D1977" s="32">
        <v>37171.0</v>
      </c>
      <c r="E1977" s="33">
        <f>IF(NOT(ISBLANK(vlookup($D1977,Pop_Census_2023!$A$2:$E$3220,4,FALSE))),vlookup($D1977,Pop_Census_2023!$A$2:$E$3220,4,FALSE), vlookup($D1977,Pop_Census_2023!$A$2:$E$3220,5,FALSE))</f>
        <v>71462</v>
      </c>
      <c r="F1977" s="32">
        <v>1008587.0</v>
      </c>
      <c r="G1977" s="32">
        <v>97.0</v>
      </c>
      <c r="H1977" s="32" t="str">
        <f>VLOOKUP(D1977, Grid_Region_Mapping!$D$2:$F$5286, 3, FALSE)</f>
        <v>SRCA</v>
      </c>
      <c r="I1977" s="32">
        <v>5.0</v>
      </c>
      <c r="J1977" s="34" t="str">
        <f t="shared" si="1"/>
        <v>South</v>
      </c>
      <c r="K1977" s="35">
        <v>3.0</v>
      </c>
      <c r="L1977" s="35" t="s">
        <v>223</v>
      </c>
      <c r="M1977" s="36">
        <f>VLOOKUP(D1977, County_Data_CZones!$B$2:$F$3236, 2, FALSE)</f>
        <v>4</v>
      </c>
      <c r="N1977" s="37" t="str">
        <f>VLOOKUP(D1977, County_Data_CZones!$B$2:$F$3236, 5, FALSE)</f>
        <v>Mixed-Humid</v>
      </c>
    </row>
    <row r="1978" ht="15.75" customHeight="1">
      <c r="A1978" s="32" t="s">
        <v>1382</v>
      </c>
      <c r="B1978" s="32" t="s">
        <v>1326</v>
      </c>
      <c r="C1978" s="32" t="str">
        <f>vlookup(B1978,State_EMM_RowSums!$A$2:$B$52,2,FALSE)</f>
        <v>NC</v>
      </c>
      <c r="D1978" s="32">
        <v>37173.0</v>
      </c>
      <c r="E1978" s="33">
        <f>IF(NOT(ISBLANK(vlookup($D1978,Pop_Census_2023!$A$2:$E$3220,4,FALSE))),vlookup($D1978,Pop_Census_2023!$A$2:$E$3220,4,FALSE), vlookup($D1978,Pop_Census_2023!$A$2:$E$3220,5,FALSE))</f>
        <v>13916</v>
      </c>
      <c r="F1978" s="32">
        <v>1008588.0</v>
      </c>
      <c r="G1978" s="32">
        <v>97.0</v>
      </c>
      <c r="H1978" s="32" t="str">
        <f>VLOOKUP(D1978, Grid_Region_Mapping!$D$2:$F$5286, 3, FALSE)</f>
        <v>SRCA</v>
      </c>
      <c r="I1978" s="32">
        <v>5.0</v>
      </c>
      <c r="J1978" s="34" t="str">
        <f t="shared" si="1"/>
        <v>South</v>
      </c>
      <c r="K1978" s="35">
        <v>3.0</v>
      </c>
      <c r="L1978" s="35" t="s">
        <v>223</v>
      </c>
      <c r="M1978" s="36">
        <f>VLOOKUP(D1978, County_Data_CZones!$B$2:$F$3236, 2, FALSE)</f>
        <v>4</v>
      </c>
      <c r="N1978" s="37" t="str">
        <f>VLOOKUP(D1978, County_Data_CZones!$B$2:$F$3236, 5, FALSE)</f>
        <v>Mixed-Humid</v>
      </c>
    </row>
    <row r="1979" ht="15.75" customHeight="1">
      <c r="A1979" s="32" t="s">
        <v>1383</v>
      </c>
      <c r="B1979" s="32" t="s">
        <v>1326</v>
      </c>
      <c r="C1979" s="32" t="str">
        <f>vlookup(B1979,State_EMM_RowSums!$A$2:$B$52,2,FALSE)</f>
        <v>NC</v>
      </c>
      <c r="D1979" s="32">
        <v>37175.0</v>
      </c>
      <c r="E1979" s="33">
        <f>IF(NOT(ISBLANK(vlookup($D1979,Pop_Census_2023!$A$2:$E$3220,4,FALSE))),vlookup($D1979,Pop_Census_2023!$A$2:$E$3220,4,FALSE), vlookup($D1979,Pop_Census_2023!$A$2:$E$3220,5,FALSE))</f>
        <v>33549</v>
      </c>
      <c r="F1979" s="32">
        <v>1008589.0</v>
      </c>
      <c r="G1979" s="32">
        <v>97.0</v>
      </c>
      <c r="H1979" s="32" t="str">
        <f>VLOOKUP(D1979, Grid_Region_Mapping!$D$2:$F$5286, 3, FALSE)</f>
        <v>SRCA</v>
      </c>
      <c r="I1979" s="32">
        <v>5.0</v>
      </c>
      <c r="J1979" s="34" t="str">
        <f t="shared" si="1"/>
        <v>South</v>
      </c>
      <c r="K1979" s="35">
        <v>3.0</v>
      </c>
      <c r="L1979" s="35" t="s">
        <v>223</v>
      </c>
      <c r="M1979" s="36">
        <f>VLOOKUP(D1979, County_Data_CZones!$B$2:$F$3236, 2, FALSE)</f>
        <v>4</v>
      </c>
      <c r="N1979" s="37" t="str">
        <f>VLOOKUP(D1979, County_Data_CZones!$B$2:$F$3236, 5, FALSE)</f>
        <v>Mixed-Humid</v>
      </c>
    </row>
    <row r="1980" ht="15.75" customHeight="1">
      <c r="A1980" s="32" t="s">
        <v>1384</v>
      </c>
      <c r="B1980" s="32" t="s">
        <v>1326</v>
      </c>
      <c r="C1980" s="32" t="str">
        <f>vlookup(B1980,State_EMM_RowSums!$A$2:$B$52,2,FALSE)</f>
        <v>NC</v>
      </c>
      <c r="D1980" s="32">
        <v>37177.0</v>
      </c>
      <c r="E1980" s="33">
        <f>IF(NOT(ISBLANK(vlookup($D1980,Pop_Census_2023!$A$2:$E$3220,4,FALSE))),vlookup($D1980,Pop_Census_2023!$A$2:$E$3220,4,FALSE), vlookup($D1980,Pop_Census_2023!$A$2:$E$3220,5,FALSE))</f>
        <v>3461</v>
      </c>
      <c r="F1980" s="32">
        <v>1026332.0</v>
      </c>
      <c r="G1980" s="32">
        <v>98.0</v>
      </c>
      <c r="H1980" s="32" t="str">
        <f>VLOOKUP(D1980, Grid_Region_Mapping!$D$2:$F$5286, 3, FALSE)</f>
        <v>PJMD</v>
      </c>
      <c r="I1980" s="32">
        <v>5.0</v>
      </c>
      <c r="J1980" s="34" t="str">
        <f t="shared" si="1"/>
        <v>South</v>
      </c>
      <c r="K1980" s="35">
        <v>4.0</v>
      </c>
      <c r="L1980" s="35" t="s">
        <v>102</v>
      </c>
      <c r="M1980" s="36">
        <f>VLOOKUP(D1980, County_Data_CZones!$B$2:$F$3236, 2, FALSE)</f>
        <v>3</v>
      </c>
      <c r="N1980" s="37" t="str">
        <f>VLOOKUP(D1980, County_Data_CZones!$B$2:$F$3236, 5, FALSE)</f>
        <v>Mixed-Humid</v>
      </c>
    </row>
    <row r="1981" ht="15.75" customHeight="1">
      <c r="A1981" s="32" t="s">
        <v>273</v>
      </c>
      <c r="B1981" s="32" t="s">
        <v>1326</v>
      </c>
      <c r="C1981" s="32" t="str">
        <f>vlookup(B1981,State_EMM_RowSums!$A$2:$B$52,2,FALSE)</f>
        <v>NC</v>
      </c>
      <c r="D1981" s="32">
        <v>37179.0</v>
      </c>
      <c r="E1981" s="33">
        <f>IF(NOT(ISBLANK(vlookup($D1981,Pop_Census_2023!$A$2:$E$3220,4,FALSE))),vlookup($D1981,Pop_Census_2023!$A$2:$E$3220,4,FALSE), vlookup($D1981,Pop_Census_2023!$A$2:$E$3220,5,FALSE))</f>
        <v>256452</v>
      </c>
      <c r="F1981" s="32">
        <v>1008590.0</v>
      </c>
      <c r="G1981" s="32">
        <v>97.0</v>
      </c>
      <c r="H1981" s="32" t="str">
        <f>VLOOKUP(D1981, Grid_Region_Mapping!$D$2:$F$5286, 3, FALSE)</f>
        <v>SRCA</v>
      </c>
      <c r="I1981" s="32">
        <v>5.0</v>
      </c>
      <c r="J1981" s="34" t="str">
        <f t="shared" si="1"/>
        <v>South</v>
      </c>
      <c r="K1981" s="35">
        <v>4.0</v>
      </c>
      <c r="L1981" s="35" t="s">
        <v>102</v>
      </c>
      <c r="M1981" s="36">
        <f>VLOOKUP(D1981, County_Data_CZones!$B$2:$F$3236, 2, FALSE)</f>
        <v>3</v>
      </c>
      <c r="N1981" s="37" t="str">
        <f>VLOOKUP(D1981, County_Data_CZones!$B$2:$F$3236, 5, FALSE)</f>
        <v>Mixed-Humid</v>
      </c>
    </row>
    <row r="1982" ht="15.75" customHeight="1">
      <c r="A1982" s="32" t="s">
        <v>1385</v>
      </c>
      <c r="B1982" s="32" t="s">
        <v>1326</v>
      </c>
      <c r="C1982" s="32" t="str">
        <f>vlookup(B1982,State_EMM_RowSums!$A$2:$B$52,2,FALSE)</f>
        <v>NC</v>
      </c>
      <c r="D1982" s="32">
        <v>37181.0</v>
      </c>
      <c r="E1982" s="33">
        <f>IF(NOT(ISBLANK(vlookup($D1982,Pop_Census_2023!$A$2:$E$3220,4,FALSE))),vlookup($D1982,Pop_Census_2023!$A$2:$E$3220,4,FALSE), vlookup($D1982,Pop_Census_2023!$A$2:$E$3220,5,FALSE))</f>
        <v>42301</v>
      </c>
      <c r="F1982" s="32">
        <v>1008591.0</v>
      </c>
      <c r="G1982" s="32">
        <v>98.0</v>
      </c>
      <c r="H1982" s="32" t="str">
        <f>VLOOKUP(D1982, Grid_Region_Mapping!$D$2:$F$5286, 3, FALSE)</f>
        <v>SRCA</v>
      </c>
      <c r="I1982" s="32">
        <v>5.0</v>
      </c>
      <c r="J1982" s="34" t="str">
        <f t="shared" si="1"/>
        <v>South</v>
      </c>
      <c r="K1982" s="35">
        <v>4.0</v>
      </c>
      <c r="L1982" s="35" t="s">
        <v>223</v>
      </c>
      <c r="M1982" s="36">
        <f>VLOOKUP(D1982, County_Data_CZones!$B$2:$F$3236, 2, FALSE)</f>
        <v>4</v>
      </c>
      <c r="N1982" s="37" t="str">
        <f>VLOOKUP(D1982, County_Data_CZones!$B$2:$F$3236, 5, FALSE)</f>
        <v>Mixed-Humid</v>
      </c>
    </row>
    <row r="1983" ht="15.75" customHeight="1">
      <c r="A1983" s="32" t="s">
        <v>1386</v>
      </c>
      <c r="B1983" s="32" t="s">
        <v>1326</v>
      </c>
      <c r="C1983" s="32" t="str">
        <f>vlookup(B1983,State_EMM_RowSums!$A$2:$B$52,2,FALSE)</f>
        <v>NC</v>
      </c>
      <c r="D1983" s="32">
        <v>37183.0</v>
      </c>
      <c r="E1983" s="33">
        <f>IF(NOT(ISBLANK(vlookup($D1983,Pop_Census_2023!$A$2:$E$3220,4,FALSE))),vlookup($D1983,Pop_Census_2023!$A$2:$E$3220,4,FALSE), vlookup($D1983,Pop_Census_2023!$A$2:$E$3220,5,FALSE))</f>
        <v>1190275</v>
      </c>
      <c r="F1983" s="32">
        <v>1008592.0</v>
      </c>
      <c r="G1983" s="32">
        <v>98.0</v>
      </c>
      <c r="H1983" s="32" t="str">
        <f>VLOOKUP(D1983, Grid_Region_Mapping!$D$2:$F$5286, 3, FALSE)</f>
        <v>SRCA</v>
      </c>
      <c r="I1983" s="32">
        <v>5.0</v>
      </c>
      <c r="J1983" s="34" t="str">
        <f t="shared" si="1"/>
        <v>South</v>
      </c>
      <c r="K1983" s="35">
        <v>4.0</v>
      </c>
      <c r="L1983" s="35" t="s">
        <v>223</v>
      </c>
      <c r="M1983" s="36">
        <f>VLOOKUP(D1983, County_Data_CZones!$B$2:$F$3236, 2, FALSE)</f>
        <v>4</v>
      </c>
      <c r="N1983" s="37" t="str">
        <f>VLOOKUP(D1983, County_Data_CZones!$B$2:$F$3236, 5, FALSE)</f>
        <v>Mixed-Humid</v>
      </c>
    </row>
    <row r="1984" ht="15.75" customHeight="1">
      <c r="A1984" s="32" t="s">
        <v>561</v>
      </c>
      <c r="B1984" s="32" t="s">
        <v>1326</v>
      </c>
      <c r="C1984" s="32" t="str">
        <f>vlookup(B1984,State_EMM_RowSums!$A$2:$B$52,2,FALSE)</f>
        <v>NC</v>
      </c>
      <c r="D1984" s="32">
        <v>37185.0</v>
      </c>
      <c r="E1984" s="33">
        <f>IF(NOT(ISBLANK(vlookup($D1984,Pop_Census_2023!$A$2:$E$3220,4,FALSE))),vlookup($D1984,Pop_Census_2023!$A$2:$E$3220,4,FALSE), vlookup($D1984,Pop_Census_2023!$A$2:$E$3220,5,FALSE))</f>
        <v>18836</v>
      </c>
      <c r="F1984" s="32">
        <v>1008593.0</v>
      </c>
      <c r="G1984" s="32">
        <v>98.0</v>
      </c>
      <c r="H1984" s="32" t="str">
        <f>VLOOKUP(D1984, Grid_Region_Mapping!$D$2:$F$5286, 3, FALSE)</f>
        <v>PJMD</v>
      </c>
      <c r="I1984" s="32">
        <v>5.0</v>
      </c>
      <c r="J1984" s="34" t="str">
        <f t="shared" si="1"/>
        <v>South</v>
      </c>
      <c r="K1984" s="35">
        <v>4.0</v>
      </c>
      <c r="L1984" s="35" t="s">
        <v>223</v>
      </c>
      <c r="M1984" s="36">
        <f>VLOOKUP(D1984, County_Data_CZones!$B$2:$F$3236, 2, FALSE)</f>
        <v>4</v>
      </c>
      <c r="N1984" s="37" t="str">
        <f>VLOOKUP(D1984, County_Data_CZones!$B$2:$F$3236, 5, FALSE)</f>
        <v>Mixed-Humid</v>
      </c>
    </row>
    <row r="1985" ht="15.75" customHeight="1">
      <c r="A1985" s="32" t="s">
        <v>167</v>
      </c>
      <c r="B1985" s="32" t="s">
        <v>1326</v>
      </c>
      <c r="C1985" s="32" t="str">
        <f>vlookup(B1985,State_EMM_RowSums!$A$2:$B$52,2,FALSE)</f>
        <v>NC</v>
      </c>
      <c r="D1985" s="32">
        <v>37187.0</v>
      </c>
      <c r="E1985" s="33">
        <f>IF(NOT(ISBLANK(vlookup($D1985,Pop_Census_2023!$A$2:$E$3220,4,FALSE))),vlookup($D1985,Pop_Census_2023!$A$2:$E$3220,4,FALSE), vlookup($D1985,Pop_Census_2023!$A$2:$E$3220,5,FALSE))</f>
        <v>10713</v>
      </c>
      <c r="F1985" s="32">
        <v>1026331.0</v>
      </c>
      <c r="G1985" s="32">
        <v>98.0</v>
      </c>
      <c r="H1985" s="32" t="str">
        <f>VLOOKUP(D1985, Grid_Region_Mapping!$D$2:$F$5286, 3, FALSE)</f>
        <v>PJMD</v>
      </c>
      <c r="I1985" s="32">
        <v>5.0</v>
      </c>
      <c r="J1985" s="34" t="str">
        <f t="shared" si="1"/>
        <v>South</v>
      </c>
      <c r="K1985" s="35">
        <v>4.0</v>
      </c>
      <c r="L1985" s="35" t="s">
        <v>102</v>
      </c>
      <c r="M1985" s="36">
        <f>VLOOKUP(D1985, County_Data_CZones!$B$2:$F$3236, 2, FALSE)</f>
        <v>3</v>
      </c>
      <c r="N1985" s="37" t="str">
        <f>VLOOKUP(D1985, County_Data_CZones!$B$2:$F$3236, 5, FALSE)</f>
        <v>Mixed-Humid</v>
      </c>
    </row>
    <row r="1986" ht="15.75" customHeight="1">
      <c r="A1986" s="32" t="s">
        <v>1387</v>
      </c>
      <c r="B1986" s="32" t="s">
        <v>1326</v>
      </c>
      <c r="C1986" s="32" t="str">
        <f>vlookup(B1986,State_EMM_RowSums!$A$2:$B$52,2,FALSE)</f>
        <v>NC</v>
      </c>
      <c r="D1986" s="32">
        <v>37189.0</v>
      </c>
      <c r="E1986" s="33">
        <f>IF(NOT(ISBLANK(vlookup($D1986,Pop_Census_2023!$A$2:$E$3220,4,FALSE))),vlookup($D1986,Pop_Census_2023!$A$2:$E$3220,4,FALSE), vlookup($D1986,Pop_Census_2023!$A$2:$E$3220,5,FALSE))</f>
        <v>54748</v>
      </c>
      <c r="F1986" s="32">
        <v>1008594.0</v>
      </c>
      <c r="G1986" s="32">
        <v>97.0</v>
      </c>
      <c r="H1986" s="32" t="str">
        <f>VLOOKUP(D1986, Grid_Region_Mapping!$D$2:$F$5286, 3, FALSE)</f>
        <v>SRCA</v>
      </c>
      <c r="I1986" s="32">
        <v>5.0</v>
      </c>
      <c r="J1986" s="34" t="str">
        <f t="shared" si="1"/>
        <v>South</v>
      </c>
      <c r="K1986" s="35">
        <v>3.0</v>
      </c>
      <c r="L1986" s="35" t="s">
        <v>396</v>
      </c>
      <c r="M1986" s="36">
        <f>VLOOKUP(D1986, County_Data_CZones!$B$2:$F$3236, 2, FALSE)</f>
        <v>5</v>
      </c>
      <c r="N1986" s="37" t="str">
        <f>VLOOKUP(D1986, County_Data_CZones!$B$2:$F$3236, 5, FALSE)</f>
        <v>Cold</v>
      </c>
    </row>
    <row r="1987" ht="15.75" customHeight="1">
      <c r="A1987" s="32" t="s">
        <v>562</v>
      </c>
      <c r="B1987" s="32" t="s">
        <v>1326</v>
      </c>
      <c r="C1987" s="32" t="str">
        <f>vlookup(B1987,State_EMM_RowSums!$A$2:$B$52,2,FALSE)</f>
        <v>NC</v>
      </c>
      <c r="D1987" s="32">
        <v>37191.0</v>
      </c>
      <c r="E1987" s="33">
        <f>IF(NOT(ISBLANK(vlookup($D1987,Pop_Census_2023!$A$2:$E$3220,4,FALSE))),vlookup($D1987,Pop_Census_2023!$A$2:$E$3220,4,FALSE), vlookup($D1987,Pop_Census_2023!$A$2:$E$3220,5,FALSE))</f>
        <v>118686</v>
      </c>
      <c r="F1987" s="32">
        <v>1026128.0</v>
      </c>
      <c r="G1987" s="32">
        <v>98.0</v>
      </c>
      <c r="H1987" s="32" t="str">
        <f>VLOOKUP(D1987, Grid_Region_Mapping!$D$2:$F$5286, 3, FALSE)</f>
        <v>SRCA</v>
      </c>
      <c r="I1987" s="32">
        <v>5.0</v>
      </c>
      <c r="J1987" s="34" t="str">
        <f t="shared" si="1"/>
        <v>South</v>
      </c>
      <c r="K1987" s="35">
        <v>4.0</v>
      </c>
      <c r="L1987" s="35" t="s">
        <v>102</v>
      </c>
      <c r="M1987" s="36">
        <f>VLOOKUP(D1987, County_Data_CZones!$B$2:$F$3236, 2, FALSE)</f>
        <v>3</v>
      </c>
      <c r="N1987" s="37" t="str">
        <f>VLOOKUP(D1987, County_Data_CZones!$B$2:$F$3236, 5, FALSE)</f>
        <v>Mixed-Humid</v>
      </c>
    </row>
    <row r="1988" ht="15.75" customHeight="1">
      <c r="A1988" s="32" t="s">
        <v>566</v>
      </c>
      <c r="B1988" s="32" t="s">
        <v>1326</v>
      </c>
      <c r="C1988" s="32" t="str">
        <f>vlookup(B1988,State_EMM_RowSums!$A$2:$B$52,2,FALSE)</f>
        <v>NC</v>
      </c>
      <c r="D1988" s="32">
        <v>37193.0</v>
      </c>
      <c r="E1988" s="33">
        <f>IF(NOT(ISBLANK(vlookup($D1988,Pop_Census_2023!$A$2:$E$3220,4,FALSE))),vlookup($D1988,Pop_Census_2023!$A$2:$E$3220,4,FALSE), vlookup($D1988,Pop_Census_2023!$A$2:$E$3220,5,FALSE))</f>
        <v>66013</v>
      </c>
      <c r="F1988" s="32">
        <v>1008595.0</v>
      </c>
      <c r="G1988" s="32">
        <v>97.0</v>
      </c>
      <c r="H1988" s="32" t="str">
        <f>VLOOKUP(D1988, Grid_Region_Mapping!$D$2:$F$5286, 3, FALSE)</f>
        <v>SRCA</v>
      </c>
      <c r="I1988" s="32">
        <v>5.0</v>
      </c>
      <c r="J1988" s="34" t="str">
        <f t="shared" si="1"/>
        <v>South</v>
      </c>
      <c r="K1988" s="35">
        <v>3.0</v>
      </c>
      <c r="L1988" s="35" t="s">
        <v>223</v>
      </c>
      <c r="M1988" s="36">
        <f>VLOOKUP(D1988, County_Data_CZones!$B$2:$F$3236, 2, FALSE)</f>
        <v>4</v>
      </c>
      <c r="N1988" s="37" t="str">
        <f>VLOOKUP(D1988, County_Data_CZones!$B$2:$F$3236, 5, FALSE)</f>
        <v>Mixed-Humid</v>
      </c>
    </row>
    <row r="1989" ht="15.75" customHeight="1">
      <c r="A1989" s="32" t="s">
        <v>815</v>
      </c>
      <c r="B1989" s="32" t="s">
        <v>1326</v>
      </c>
      <c r="C1989" s="32" t="str">
        <f>vlookup(B1989,State_EMM_RowSums!$A$2:$B$52,2,FALSE)</f>
        <v>NC</v>
      </c>
      <c r="D1989" s="32">
        <v>37195.0</v>
      </c>
      <c r="E1989" s="33">
        <f>IF(NOT(ISBLANK(vlookup($D1989,Pop_Census_2023!$A$2:$E$3220,4,FALSE))),vlookup($D1989,Pop_Census_2023!$A$2:$E$3220,4,FALSE), vlookup($D1989,Pop_Census_2023!$A$2:$E$3220,5,FALSE))</f>
        <v>78970</v>
      </c>
      <c r="F1989" s="32">
        <v>1008596.0</v>
      </c>
      <c r="G1989" s="32">
        <v>98.0</v>
      </c>
      <c r="H1989" s="32" t="str">
        <f>VLOOKUP(D1989, Grid_Region_Mapping!$D$2:$F$5286, 3, FALSE)</f>
        <v>SRCA</v>
      </c>
      <c r="I1989" s="32">
        <v>5.0</v>
      </c>
      <c r="J1989" s="34" t="str">
        <f t="shared" si="1"/>
        <v>South</v>
      </c>
      <c r="K1989" s="35">
        <v>4.0</v>
      </c>
      <c r="L1989" s="35" t="s">
        <v>102</v>
      </c>
      <c r="M1989" s="36">
        <f>VLOOKUP(D1989, County_Data_CZones!$B$2:$F$3236, 2, FALSE)</f>
        <v>3</v>
      </c>
      <c r="N1989" s="37" t="str">
        <f>VLOOKUP(D1989, County_Data_CZones!$B$2:$F$3236, 5, FALSE)</f>
        <v>Mixed-Humid</v>
      </c>
    </row>
    <row r="1990" ht="15.75" customHeight="1">
      <c r="A1990" s="32" t="s">
        <v>1388</v>
      </c>
      <c r="B1990" s="32" t="s">
        <v>1326</v>
      </c>
      <c r="C1990" s="32" t="str">
        <f>vlookup(B1990,State_EMM_RowSums!$A$2:$B$52,2,FALSE)</f>
        <v>NC</v>
      </c>
      <c r="D1990" s="32">
        <v>37197.0</v>
      </c>
      <c r="E1990" s="33">
        <f>IF(NOT(ISBLANK(vlookup($D1990,Pop_Census_2023!$A$2:$E$3220,4,FALSE))),vlookup($D1990,Pop_Census_2023!$A$2:$E$3220,4,FALSE), vlookup($D1990,Pop_Census_2023!$A$2:$E$3220,5,FALSE))</f>
        <v>37774</v>
      </c>
      <c r="F1990" s="32">
        <v>1008597.0</v>
      </c>
      <c r="G1990" s="32">
        <v>97.0</v>
      </c>
      <c r="H1990" s="32" t="str">
        <f>VLOOKUP(D1990, Grid_Region_Mapping!$D$2:$F$5286, 3, FALSE)</f>
        <v>SRCA</v>
      </c>
      <c r="I1990" s="32">
        <v>5.0</v>
      </c>
      <c r="J1990" s="34" t="str">
        <f t="shared" si="1"/>
        <v>South</v>
      </c>
      <c r="K1990" s="35">
        <v>4.0</v>
      </c>
      <c r="L1990" s="35" t="s">
        <v>223</v>
      </c>
      <c r="M1990" s="36">
        <f>VLOOKUP(D1990, County_Data_CZones!$B$2:$F$3236, 2, FALSE)</f>
        <v>4</v>
      </c>
      <c r="N1990" s="37" t="str">
        <f>VLOOKUP(D1990, County_Data_CZones!$B$2:$F$3236, 5, FALSE)</f>
        <v>Mixed-Humid</v>
      </c>
    </row>
    <row r="1991" ht="15.75" customHeight="1">
      <c r="A1991" s="32" t="s">
        <v>1389</v>
      </c>
      <c r="B1991" s="32" t="s">
        <v>1326</v>
      </c>
      <c r="C1991" s="32" t="str">
        <f>vlookup(B1991,State_EMM_RowSums!$A$2:$B$52,2,FALSE)</f>
        <v>NC</v>
      </c>
      <c r="D1991" s="32">
        <v>37199.0</v>
      </c>
      <c r="E1991" s="33">
        <f>IF(NOT(ISBLANK(vlookup($D1991,Pop_Census_2023!$A$2:$E$3220,4,FALSE))),vlookup($D1991,Pop_Census_2023!$A$2:$E$3220,4,FALSE), vlookup($D1991,Pop_Census_2023!$A$2:$E$3220,5,FALSE))</f>
        <v>18938</v>
      </c>
      <c r="F1991" s="32">
        <v>1008598.0</v>
      </c>
      <c r="G1991" s="32">
        <v>97.0</v>
      </c>
      <c r="H1991" s="32" t="str">
        <f>VLOOKUP(D1991, Grid_Region_Mapping!$D$2:$F$5286, 3, FALSE)</f>
        <v>SRCA</v>
      </c>
      <c r="I1991" s="32">
        <v>5.0</v>
      </c>
      <c r="J1991" s="34" t="str">
        <f t="shared" si="1"/>
        <v>South</v>
      </c>
      <c r="K1991" s="35">
        <v>3.0</v>
      </c>
      <c r="L1991" s="35" t="s">
        <v>396</v>
      </c>
      <c r="M1991" s="36">
        <f>VLOOKUP(D1991, County_Data_CZones!$B$2:$F$3236, 2, FALSE)</f>
        <v>5</v>
      </c>
      <c r="N1991" s="37" t="str">
        <f>VLOOKUP(D1991, County_Data_CZones!$B$2:$F$3236, 5, FALSE)</f>
        <v>Cold</v>
      </c>
    </row>
    <row r="1992" ht="15.75" customHeight="1">
      <c r="A1992" s="32" t="s">
        <v>338</v>
      </c>
      <c r="B1992" s="32" t="s">
        <v>1390</v>
      </c>
      <c r="C1992" s="32" t="str">
        <f>vlookup(B1992,State_EMM_RowSums!$A$2:$B$52,2,FALSE)</f>
        <v>ND</v>
      </c>
      <c r="D1992" s="32">
        <v>38001.0</v>
      </c>
      <c r="E1992" s="33">
        <f>IF(NOT(ISBLANK(vlookup($D1992,Pop_Census_2023!$A$2:$E$3220,4,FALSE))),vlookup($D1992,Pop_Census_2023!$A$2:$E$3220,4,FALSE), vlookup($D1992,Pop_Census_2023!$A$2:$E$3220,5,FALSE))</f>
        <v>2163</v>
      </c>
      <c r="F1992" s="32">
        <v>1034210.0</v>
      </c>
      <c r="G1992" s="32">
        <v>36.0</v>
      </c>
      <c r="H1992" s="32" t="str">
        <f>VLOOKUP(D1992, Grid_Region_Mapping!$D$2:$F$5286, 3, FALSE)</f>
        <v>SPPN</v>
      </c>
      <c r="I1992" s="32">
        <v>4.0</v>
      </c>
      <c r="J1992" s="34" t="str">
        <f t="shared" si="1"/>
        <v>Midwest</v>
      </c>
      <c r="K1992" s="35">
        <v>1.0</v>
      </c>
      <c r="L1992" s="35" t="s">
        <v>707</v>
      </c>
      <c r="M1992" s="36">
        <f>VLOOKUP(D1992, County_Data_CZones!$B$2:$F$3236, 2, FALSE)</f>
        <v>6</v>
      </c>
      <c r="N1992" s="37" t="str">
        <f>VLOOKUP(D1992, County_Data_CZones!$B$2:$F$3236, 5, FALSE)</f>
        <v>Cold</v>
      </c>
    </row>
    <row r="1993" ht="15.75" customHeight="1">
      <c r="A1993" s="32" t="s">
        <v>1391</v>
      </c>
      <c r="B1993" s="32" t="s">
        <v>1390</v>
      </c>
      <c r="C1993" s="32" t="str">
        <f>vlookup(B1993,State_EMM_RowSums!$A$2:$B$52,2,FALSE)</f>
        <v>ND</v>
      </c>
      <c r="D1993" s="32">
        <v>38003.0</v>
      </c>
      <c r="E1993" s="33">
        <f>IF(NOT(ISBLANK(vlookup($D1993,Pop_Census_2023!$A$2:$E$3220,4,FALSE))),vlookup($D1993,Pop_Census_2023!$A$2:$E$3220,4,FALSE), vlookup($D1993,Pop_Census_2023!$A$2:$E$3220,5,FALSE))</f>
        <v>10726</v>
      </c>
      <c r="F1993" s="32">
        <v>1034225.0</v>
      </c>
      <c r="G1993" s="32">
        <v>37.0</v>
      </c>
      <c r="H1993" s="32" t="str">
        <f>VLOOKUP(D1993, Grid_Region_Mapping!$D$2:$F$5286, 3, FALSE)</f>
        <v>SPPN</v>
      </c>
      <c r="I1993" s="32">
        <v>4.0</v>
      </c>
      <c r="J1993" s="34" t="str">
        <f t="shared" si="1"/>
        <v>Midwest</v>
      </c>
      <c r="K1993" s="35">
        <v>1.0</v>
      </c>
      <c r="L1993" s="35">
        <v>7.0</v>
      </c>
      <c r="M1993" s="36">
        <f>VLOOKUP(D1993, County_Data_CZones!$B$2:$F$3236, 2, FALSE)</f>
        <v>7</v>
      </c>
      <c r="N1993" s="37" t="str">
        <f>VLOOKUP(D1993, County_Data_CZones!$B$2:$F$3236, 5, FALSE)</f>
        <v>Very Cold</v>
      </c>
    </row>
    <row r="1994" ht="15.75" customHeight="1">
      <c r="A1994" s="32" t="s">
        <v>1392</v>
      </c>
      <c r="B1994" s="32" t="s">
        <v>1390</v>
      </c>
      <c r="C1994" s="32" t="str">
        <f>vlookup(B1994,State_EMM_RowSums!$A$2:$B$52,2,FALSE)</f>
        <v>ND</v>
      </c>
      <c r="D1994" s="32">
        <v>38005.0</v>
      </c>
      <c r="E1994" s="33">
        <f>IF(NOT(ISBLANK(vlookup($D1994,Pop_Census_2023!$A$2:$E$3220,4,FALSE))),vlookup($D1994,Pop_Census_2023!$A$2:$E$3220,4,FALSE), vlookup($D1994,Pop_Census_2023!$A$2:$E$3220,5,FALSE))</f>
        <v>5745</v>
      </c>
      <c r="F1994" s="32">
        <v>1034216.0</v>
      </c>
      <c r="G1994" s="32">
        <v>37.0</v>
      </c>
      <c r="H1994" s="32" t="str">
        <f>VLOOKUP(D1994, Grid_Region_Mapping!$D$2:$F$5286, 3, FALSE)</f>
        <v>SPPN</v>
      </c>
      <c r="I1994" s="32">
        <v>4.0</v>
      </c>
      <c r="J1994" s="34" t="str">
        <f t="shared" si="1"/>
        <v>Midwest</v>
      </c>
      <c r="K1994" s="35">
        <v>1.0</v>
      </c>
      <c r="L1994" s="35">
        <v>7.0</v>
      </c>
      <c r="M1994" s="36">
        <f>VLOOKUP(D1994, County_Data_CZones!$B$2:$F$3236, 2, FALSE)</f>
        <v>7</v>
      </c>
      <c r="N1994" s="37" t="str">
        <f>VLOOKUP(D1994, County_Data_CZones!$B$2:$F$3236, 5, FALSE)</f>
        <v>Very Cold</v>
      </c>
    </row>
    <row r="1995" ht="15.75" customHeight="1">
      <c r="A1995" s="32" t="s">
        <v>1393</v>
      </c>
      <c r="B1995" s="32" t="s">
        <v>1390</v>
      </c>
      <c r="C1995" s="32" t="str">
        <f>vlookup(B1995,State_EMM_RowSums!$A$2:$B$52,2,FALSE)</f>
        <v>ND</v>
      </c>
      <c r="D1995" s="32">
        <v>38007.0</v>
      </c>
      <c r="E1995" s="33">
        <f>IF(NOT(ISBLANK(vlookup($D1995,Pop_Census_2023!$A$2:$E$3220,4,FALSE))),vlookup($D1995,Pop_Census_2023!$A$2:$E$3220,4,FALSE), vlookup($D1995,Pop_Census_2023!$A$2:$E$3220,5,FALSE))</f>
        <v>1034</v>
      </c>
      <c r="F1995" s="32">
        <v>1035616.0</v>
      </c>
      <c r="G1995" s="32">
        <v>36.0</v>
      </c>
      <c r="H1995" s="32" t="str">
        <f>VLOOKUP(D1995, Grid_Region_Mapping!$D$2:$F$5286, 3, FALSE)</f>
        <v>SPPN</v>
      </c>
      <c r="I1995" s="32">
        <v>4.0</v>
      </c>
      <c r="J1995" s="34" t="str">
        <f t="shared" si="1"/>
        <v>Midwest</v>
      </c>
      <c r="K1995" s="35">
        <v>1.0</v>
      </c>
      <c r="L1995" s="35" t="s">
        <v>707</v>
      </c>
      <c r="M1995" s="36">
        <f>VLOOKUP(D1995, County_Data_CZones!$B$2:$F$3236, 2, FALSE)</f>
        <v>6</v>
      </c>
      <c r="N1995" s="37" t="str">
        <f>VLOOKUP(D1995, County_Data_CZones!$B$2:$F$3236, 5, FALSE)</f>
        <v>Cold</v>
      </c>
    </row>
    <row r="1996" ht="15.75" customHeight="1">
      <c r="A1996" s="32" t="s">
        <v>1394</v>
      </c>
      <c r="B1996" s="32" t="s">
        <v>1390</v>
      </c>
      <c r="C1996" s="32" t="str">
        <f>vlookup(B1996,State_EMM_RowSums!$A$2:$B$52,2,FALSE)</f>
        <v>ND</v>
      </c>
      <c r="D1996" s="32">
        <v>38009.0</v>
      </c>
      <c r="E1996" s="33">
        <f>IF(NOT(ISBLANK(vlookup($D1996,Pop_Census_2023!$A$2:$E$3220,4,FALSE))),vlookup($D1996,Pop_Census_2023!$A$2:$E$3220,4,FALSE), vlookup($D1996,Pop_Census_2023!$A$2:$E$3220,5,FALSE))</f>
        <v>6349</v>
      </c>
      <c r="F1996" s="32">
        <v>1034227.0</v>
      </c>
      <c r="G1996" s="32">
        <v>37.0</v>
      </c>
      <c r="H1996" s="32" t="str">
        <f>VLOOKUP(D1996, Grid_Region_Mapping!$D$2:$F$5286, 3, FALSE)</f>
        <v>SPPN</v>
      </c>
      <c r="I1996" s="32">
        <v>4.0</v>
      </c>
      <c r="J1996" s="34" t="str">
        <f t="shared" si="1"/>
        <v>Midwest</v>
      </c>
      <c r="K1996" s="35">
        <v>1.0</v>
      </c>
      <c r="L1996" s="35">
        <v>7.0</v>
      </c>
      <c r="M1996" s="36">
        <f>VLOOKUP(D1996, County_Data_CZones!$B$2:$F$3236, 2, FALSE)</f>
        <v>7</v>
      </c>
      <c r="N1996" s="37" t="str">
        <f>VLOOKUP(D1996, County_Data_CZones!$B$2:$F$3236, 5, FALSE)</f>
        <v>Very Cold</v>
      </c>
    </row>
    <row r="1997" ht="15.75" customHeight="1">
      <c r="A1997" s="32" t="s">
        <v>1395</v>
      </c>
      <c r="B1997" s="32" t="s">
        <v>1390</v>
      </c>
      <c r="C1997" s="32" t="str">
        <f>vlookup(B1997,State_EMM_RowSums!$A$2:$B$52,2,FALSE)</f>
        <v>ND</v>
      </c>
      <c r="D1997" s="32">
        <v>38011.0</v>
      </c>
      <c r="E1997" s="33">
        <f>IF(NOT(ISBLANK(vlookup($D1997,Pop_Census_2023!$A$2:$E$3220,4,FALSE))),vlookup($D1997,Pop_Census_2023!$A$2:$E$3220,4,FALSE), vlookup($D1997,Pop_Census_2023!$A$2:$E$3220,5,FALSE))</f>
        <v>2867</v>
      </c>
      <c r="F1997" s="32">
        <v>1035619.0</v>
      </c>
      <c r="G1997" s="32">
        <v>36.0</v>
      </c>
      <c r="H1997" s="32" t="str">
        <f>VLOOKUP(D1997, Grid_Region_Mapping!$D$2:$F$5286, 3, FALSE)</f>
        <v>SPPN</v>
      </c>
      <c r="I1997" s="32">
        <v>4.0</v>
      </c>
      <c r="J1997" s="34" t="str">
        <f t="shared" si="1"/>
        <v>Midwest</v>
      </c>
      <c r="K1997" s="35">
        <v>1.0</v>
      </c>
      <c r="L1997" s="35" t="s">
        <v>707</v>
      </c>
      <c r="M1997" s="36">
        <f>VLOOKUP(D1997, County_Data_CZones!$B$2:$F$3236, 2, FALSE)</f>
        <v>6</v>
      </c>
      <c r="N1997" s="37" t="str">
        <f>VLOOKUP(D1997, County_Data_CZones!$B$2:$F$3236, 5, FALSE)</f>
        <v>Cold</v>
      </c>
    </row>
    <row r="1998" ht="15.75" customHeight="1">
      <c r="A1998" s="32" t="s">
        <v>474</v>
      </c>
      <c r="B1998" s="32" t="s">
        <v>1390</v>
      </c>
      <c r="C1998" s="32" t="str">
        <f>vlookup(B1998,State_EMM_RowSums!$A$2:$B$52,2,FALSE)</f>
        <v>ND</v>
      </c>
      <c r="D1998" s="32">
        <v>38013.0</v>
      </c>
      <c r="E1998" s="33">
        <f>IF(NOT(ISBLANK(vlookup($D1998,Pop_Census_2023!$A$2:$E$3220,4,FALSE))),vlookup($D1998,Pop_Census_2023!$A$2:$E$3220,4,FALSE), vlookup($D1998,Pop_Census_2023!$A$2:$E$3220,5,FALSE))</f>
        <v>2134</v>
      </c>
      <c r="F1998" s="32">
        <v>1034235.0</v>
      </c>
      <c r="G1998" s="32">
        <v>36.0</v>
      </c>
      <c r="H1998" s="32" t="str">
        <f>VLOOKUP(D1998, Grid_Region_Mapping!$D$2:$F$5286, 3, FALSE)</f>
        <v>SPPN</v>
      </c>
      <c r="I1998" s="32">
        <v>4.0</v>
      </c>
      <c r="J1998" s="34" t="str">
        <f t="shared" si="1"/>
        <v>Midwest</v>
      </c>
      <c r="K1998" s="35">
        <v>1.0</v>
      </c>
      <c r="L1998" s="35">
        <v>7.0</v>
      </c>
      <c r="M1998" s="36">
        <f>VLOOKUP(D1998, County_Data_CZones!$B$2:$F$3236, 2, FALSE)</f>
        <v>7</v>
      </c>
      <c r="N1998" s="37" t="str">
        <f>VLOOKUP(D1998, County_Data_CZones!$B$2:$F$3236, 5, FALSE)</f>
        <v>Very Cold</v>
      </c>
    </row>
    <row r="1999" ht="15.75" customHeight="1">
      <c r="A1999" s="32" t="s">
        <v>1396</v>
      </c>
      <c r="B1999" s="32" t="s">
        <v>1390</v>
      </c>
      <c r="C1999" s="32" t="str">
        <f>vlookup(B1999,State_EMM_RowSums!$A$2:$B$52,2,FALSE)</f>
        <v>ND</v>
      </c>
      <c r="D1999" s="32">
        <v>38015.0</v>
      </c>
      <c r="E1999" s="33">
        <f>IF(NOT(ISBLANK(vlookup($D1999,Pop_Census_2023!$A$2:$E$3220,4,FALSE))),vlookup($D1999,Pop_Census_2023!$A$2:$E$3220,4,FALSE), vlookup($D1999,Pop_Census_2023!$A$2:$E$3220,5,FALSE))</f>
        <v>100012</v>
      </c>
      <c r="F1999" s="32">
        <v>1035614.0</v>
      </c>
      <c r="G1999" s="32">
        <v>36.0</v>
      </c>
      <c r="H1999" s="32" t="str">
        <f>VLOOKUP(D1999, Grid_Region_Mapping!$D$2:$F$5286, 3, FALSE)</f>
        <v>SPPN</v>
      </c>
      <c r="I1999" s="32">
        <v>4.0</v>
      </c>
      <c r="J1999" s="34" t="str">
        <f t="shared" si="1"/>
        <v>Midwest</v>
      </c>
      <c r="K1999" s="35">
        <v>1.0</v>
      </c>
      <c r="L1999" s="35" t="s">
        <v>707</v>
      </c>
      <c r="M1999" s="36">
        <f>VLOOKUP(D1999, County_Data_CZones!$B$2:$F$3236, 2, FALSE)</f>
        <v>6</v>
      </c>
      <c r="N1999" s="37" t="str">
        <f>VLOOKUP(D1999, County_Data_CZones!$B$2:$F$3236, 5, FALSE)</f>
        <v>Cold</v>
      </c>
    </row>
    <row r="2000" ht="15.75" customHeight="1">
      <c r="A2000" s="32" t="s">
        <v>613</v>
      </c>
      <c r="B2000" s="32" t="s">
        <v>1390</v>
      </c>
      <c r="C2000" s="32" t="str">
        <f>vlookup(B2000,State_EMM_RowSums!$A$2:$B$52,2,FALSE)</f>
        <v>ND</v>
      </c>
      <c r="D2000" s="32">
        <v>38017.0</v>
      </c>
      <c r="E2000" s="33">
        <f>IF(NOT(ISBLANK(vlookup($D2000,Pop_Census_2023!$A$2:$E$3220,4,FALSE))),vlookup($D2000,Pop_Census_2023!$A$2:$E$3220,4,FALSE), vlookup($D2000,Pop_Census_2023!$A$2:$E$3220,5,FALSE))</f>
        <v>196362</v>
      </c>
      <c r="F2000" s="32">
        <v>1034226.0</v>
      </c>
      <c r="G2000" s="32">
        <v>37.0</v>
      </c>
      <c r="H2000" s="32" t="str">
        <f>VLOOKUP(D2000, Grid_Region_Mapping!$D$2:$F$5286, 3, FALSE)</f>
        <v>SPPN</v>
      </c>
      <c r="I2000" s="32">
        <v>4.0</v>
      </c>
      <c r="J2000" s="34" t="str">
        <f t="shared" si="1"/>
        <v>Midwest</v>
      </c>
      <c r="K2000" s="35">
        <v>1.0</v>
      </c>
      <c r="L2000" s="35">
        <v>7.0</v>
      </c>
      <c r="M2000" s="36">
        <f>VLOOKUP(D2000, County_Data_CZones!$B$2:$F$3236, 2, FALSE)</f>
        <v>7</v>
      </c>
      <c r="N2000" s="37" t="str">
        <f>VLOOKUP(D2000, County_Data_CZones!$B$2:$F$3236, 5, FALSE)</f>
        <v>Very Cold</v>
      </c>
    </row>
    <row r="2001" ht="15.75" customHeight="1">
      <c r="A2001" s="32" t="s">
        <v>1397</v>
      </c>
      <c r="B2001" s="32" t="s">
        <v>1390</v>
      </c>
      <c r="C2001" s="32" t="str">
        <f>vlookup(B2001,State_EMM_RowSums!$A$2:$B$52,2,FALSE)</f>
        <v>ND</v>
      </c>
      <c r="D2001" s="32">
        <v>38019.0</v>
      </c>
      <c r="E2001" s="33">
        <f>IF(NOT(ISBLANK(vlookup($D2001,Pop_Census_2023!$A$2:$E$3220,4,FALSE))),vlookup($D2001,Pop_Census_2023!$A$2:$E$3220,4,FALSE), vlookup($D2001,Pop_Census_2023!$A$2:$E$3220,5,FALSE))</f>
        <v>3596</v>
      </c>
      <c r="F2001" s="32">
        <v>1035304.0</v>
      </c>
      <c r="G2001" s="32">
        <v>37.0</v>
      </c>
      <c r="H2001" s="32" t="str">
        <f>VLOOKUP(D2001, Grid_Region_Mapping!$D$2:$F$5286, 3, FALSE)</f>
        <v>MISW</v>
      </c>
      <c r="I2001" s="32">
        <v>4.0</v>
      </c>
      <c r="J2001" s="34" t="str">
        <f t="shared" si="1"/>
        <v>Midwest</v>
      </c>
      <c r="K2001" s="35">
        <v>1.0</v>
      </c>
      <c r="L2001" s="35">
        <v>7.0</v>
      </c>
      <c r="M2001" s="36">
        <f>VLOOKUP(D2001, County_Data_CZones!$B$2:$F$3236, 2, FALSE)</f>
        <v>7</v>
      </c>
      <c r="N2001" s="37" t="str">
        <f>VLOOKUP(D2001, County_Data_CZones!$B$2:$F$3236, 5, FALSE)</f>
        <v>Very Cold</v>
      </c>
    </row>
    <row r="2002" ht="15.75" customHeight="1">
      <c r="A2002" s="32" t="s">
        <v>1398</v>
      </c>
      <c r="B2002" s="32" t="s">
        <v>1390</v>
      </c>
      <c r="C2002" s="32" t="str">
        <f>vlookup(B2002,State_EMM_RowSums!$A$2:$B$52,2,FALSE)</f>
        <v>ND</v>
      </c>
      <c r="D2002" s="32">
        <v>38021.0</v>
      </c>
      <c r="E2002" s="33">
        <f>IF(NOT(ISBLANK(vlookup($D2002,Pop_Census_2023!$A$2:$E$3220,4,FALSE))),vlookup($D2002,Pop_Census_2023!$A$2:$E$3220,4,FALSE), vlookup($D2002,Pop_Census_2023!$A$2:$E$3220,5,FALSE))</f>
        <v>4900</v>
      </c>
      <c r="F2002" s="32">
        <v>1035622.0</v>
      </c>
      <c r="G2002" s="32">
        <v>36.0</v>
      </c>
      <c r="H2002" s="32" t="str">
        <f>VLOOKUP(D2002, Grid_Region_Mapping!$D$2:$F$5286, 3, FALSE)</f>
        <v>SPPN</v>
      </c>
      <c r="I2002" s="32">
        <v>4.0</v>
      </c>
      <c r="J2002" s="34" t="str">
        <f t="shared" si="1"/>
        <v>Midwest</v>
      </c>
      <c r="K2002" s="35">
        <v>1.0</v>
      </c>
      <c r="L2002" s="35" t="s">
        <v>707</v>
      </c>
      <c r="M2002" s="36">
        <f>VLOOKUP(D2002, County_Data_CZones!$B$2:$F$3236, 2, FALSE)</f>
        <v>6</v>
      </c>
      <c r="N2002" s="37" t="str">
        <f>VLOOKUP(D2002, County_Data_CZones!$B$2:$F$3236, 5, FALSE)</f>
        <v>Cold</v>
      </c>
    </row>
    <row r="2003" ht="15.75" customHeight="1">
      <c r="A2003" s="32" t="s">
        <v>1399</v>
      </c>
      <c r="B2003" s="32" t="s">
        <v>1390</v>
      </c>
      <c r="C2003" s="32" t="str">
        <f>vlookup(B2003,State_EMM_RowSums!$A$2:$B$52,2,FALSE)</f>
        <v>ND</v>
      </c>
      <c r="D2003" s="32">
        <v>38023.0</v>
      </c>
      <c r="E2003" s="33">
        <f>IF(NOT(ISBLANK(vlookup($D2003,Pop_Census_2023!$A$2:$E$3220,4,FALSE))),vlookup($D2003,Pop_Census_2023!$A$2:$E$3220,4,FALSE), vlookup($D2003,Pop_Census_2023!$A$2:$E$3220,5,FALSE))</f>
        <v>2135</v>
      </c>
      <c r="F2003" s="32">
        <v>1034234.0</v>
      </c>
      <c r="G2003" s="32">
        <v>36.0</v>
      </c>
      <c r="H2003" s="32" t="str">
        <f>VLOOKUP(D2003, Grid_Region_Mapping!$D$2:$F$5286, 3, FALSE)</f>
        <v>SPPN</v>
      </c>
      <c r="I2003" s="32">
        <v>4.0</v>
      </c>
      <c r="J2003" s="34" t="str">
        <f t="shared" si="1"/>
        <v>Midwest</v>
      </c>
      <c r="K2003" s="35">
        <v>1.0</v>
      </c>
      <c r="L2003" s="35">
        <v>7.0</v>
      </c>
      <c r="M2003" s="36">
        <f>VLOOKUP(D2003, County_Data_CZones!$B$2:$F$3236, 2, FALSE)</f>
        <v>7</v>
      </c>
      <c r="N2003" s="37" t="str">
        <f>VLOOKUP(D2003, County_Data_CZones!$B$2:$F$3236, 5, FALSE)</f>
        <v>Very Cold</v>
      </c>
    </row>
    <row r="2004" ht="15.75" customHeight="1">
      <c r="A2004" s="32" t="s">
        <v>1400</v>
      </c>
      <c r="B2004" s="32" t="s">
        <v>1390</v>
      </c>
      <c r="C2004" s="32" t="str">
        <f>vlookup(B2004,State_EMM_RowSums!$A$2:$B$52,2,FALSE)</f>
        <v>ND</v>
      </c>
      <c r="D2004" s="32">
        <v>38025.0</v>
      </c>
      <c r="E2004" s="33">
        <f>IF(NOT(ISBLANK(vlookup($D2004,Pop_Census_2023!$A$2:$E$3220,4,FALSE))),vlookup($D2004,Pop_Census_2023!$A$2:$E$3220,4,FALSE), vlookup($D2004,Pop_Census_2023!$A$2:$E$3220,5,FALSE))</f>
        <v>4019</v>
      </c>
      <c r="F2004" s="32">
        <v>1035623.0</v>
      </c>
      <c r="G2004" s="32">
        <v>36.0</v>
      </c>
      <c r="H2004" s="32" t="str">
        <f>VLOOKUP(D2004, Grid_Region_Mapping!$D$2:$F$5286, 3, FALSE)</f>
        <v>SPPN</v>
      </c>
      <c r="I2004" s="32">
        <v>4.0</v>
      </c>
      <c r="J2004" s="34" t="str">
        <f t="shared" si="1"/>
        <v>Midwest</v>
      </c>
      <c r="K2004" s="35">
        <v>1.0</v>
      </c>
      <c r="L2004" s="35" t="s">
        <v>707</v>
      </c>
      <c r="M2004" s="36">
        <f>VLOOKUP(D2004, County_Data_CZones!$B$2:$F$3236, 2, FALSE)</f>
        <v>6</v>
      </c>
      <c r="N2004" s="37" t="str">
        <f>VLOOKUP(D2004, County_Data_CZones!$B$2:$F$3236, 5, FALSE)</f>
        <v>Cold</v>
      </c>
    </row>
    <row r="2005" ht="15.75" customHeight="1">
      <c r="A2005" s="32" t="s">
        <v>1278</v>
      </c>
      <c r="B2005" s="32" t="s">
        <v>1390</v>
      </c>
      <c r="C2005" s="32" t="str">
        <f>vlookup(B2005,State_EMM_RowSums!$A$2:$B$52,2,FALSE)</f>
        <v>ND</v>
      </c>
      <c r="D2005" s="32">
        <v>38027.0</v>
      </c>
      <c r="E2005" s="33">
        <f>IF(NOT(ISBLANK(vlookup($D2005,Pop_Census_2023!$A$2:$E$3220,4,FALSE))),vlookup($D2005,Pop_Census_2023!$A$2:$E$3220,4,FALSE), vlookup($D2005,Pop_Census_2023!$A$2:$E$3220,5,FALSE))</f>
        <v>2263</v>
      </c>
      <c r="F2005" s="32">
        <v>1034222.0</v>
      </c>
      <c r="G2005" s="32">
        <v>37.0</v>
      </c>
      <c r="H2005" s="32" t="str">
        <f>VLOOKUP(D2005, Grid_Region_Mapping!$D$2:$F$5286, 3, FALSE)</f>
        <v>SPPN</v>
      </c>
      <c r="I2005" s="32">
        <v>4.0</v>
      </c>
      <c r="J2005" s="34" t="str">
        <f t="shared" si="1"/>
        <v>Midwest</v>
      </c>
      <c r="K2005" s="35">
        <v>1.0</v>
      </c>
      <c r="L2005" s="35">
        <v>7.0</v>
      </c>
      <c r="M2005" s="36">
        <f>VLOOKUP(D2005, County_Data_CZones!$B$2:$F$3236, 2, FALSE)</f>
        <v>7</v>
      </c>
      <c r="N2005" s="37" t="str">
        <f>VLOOKUP(D2005, County_Data_CZones!$B$2:$F$3236, 5, FALSE)</f>
        <v>Very Cold</v>
      </c>
    </row>
    <row r="2006" ht="15.75" customHeight="1">
      <c r="A2006" s="32" t="s">
        <v>1401</v>
      </c>
      <c r="B2006" s="32" t="s">
        <v>1390</v>
      </c>
      <c r="C2006" s="32" t="str">
        <f>vlookup(B2006,State_EMM_RowSums!$A$2:$B$52,2,FALSE)</f>
        <v>ND</v>
      </c>
      <c r="D2006" s="32">
        <v>38029.0</v>
      </c>
      <c r="E2006" s="33">
        <f>IF(NOT(ISBLANK(vlookup($D2006,Pop_Census_2023!$A$2:$E$3220,4,FALSE))),vlookup($D2006,Pop_Census_2023!$A$2:$E$3220,4,FALSE), vlookup($D2006,Pop_Census_2023!$A$2:$E$3220,5,FALSE))</f>
        <v>3224</v>
      </c>
      <c r="F2006" s="32">
        <v>1035615.0</v>
      </c>
      <c r="G2006" s="32">
        <v>36.0</v>
      </c>
      <c r="H2006" s="32" t="str">
        <f>VLOOKUP(D2006, Grid_Region_Mapping!$D$2:$F$5286, 3, FALSE)</f>
        <v>SPPN</v>
      </c>
      <c r="I2006" s="32">
        <v>4.0</v>
      </c>
      <c r="J2006" s="34" t="str">
        <f t="shared" si="1"/>
        <v>Midwest</v>
      </c>
      <c r="K2006" s="35">
        <v>1.0</v>
      </c>
      <c r="L2006" s="35" t="s">
        <v>707</v>
      </c>
      <c r="M2006" s="36">
        <f>VLOOKUP(D2006, County_Data_CZones!$B$2:$F$3236, 2, FALSE)</f>
        <v>6</v>
      </c>
      <c r="N2006" s="37" t="str">
        <f>VLOOKUP(D2006, County_Data_CZones!$B$2:$F$3236, 5, FALSE)</f>
        <v>Cold</v>
      </c>
    </row>
    <row r="2007" ht="15.75" customHeight="1">
      <c r="A2007" s="32" t="s">
        <v>1402</v>
      </c>
      <c r="B2007" s="32" t="s">
        <v>1390</v>
      </c>
      <c r="C2007" s="32" t="str">
        <f>vlookup(B2007,State_EMM_RowSums!$A$2:$B$52,2,FALSE)</f>
        <v>ND</v>
      </c>
      <c r="D2007" s="32">
        <v>38031.0</v>
      </c>
      <c r="E2007" s="33">
        <f>IF(NOT(ISBLANK(vlookup($D2007,Pop_Census_2023!$A$2:$E$3220,4,FALSE))),vlookup($D2007,Pop_Census_2023!$A$2:$E$3220,4,FALSE), vlookup($D2007,Pop_Census_2023!$A$2:$E$3220,5,FALSE))</f>
        <v>3309</v>
      </c>
      <c r="F2007" s="32">
        <v>1034223.0</v>
      </c>
      <c r="G2007" s="32">
        <v>37.0</v>
      </c>
      <c r="H2007" s="32" t="str">
        <f>VLOOKUP(D2007, Grid_Region_Mapping!$D$2:$F$5286, 3, FALSE)</f>
        <v>SPPN</v>
      </c>
      <c r="I2007" s="32">
        <v>4.0</v>
      </c>
      <c r="J2007" s="34" t="str">
        <f t="shared" si="1"/>
        <v>Midwest</v>
      </c>
      <c r="K2007" s="35">
        <v>1.0</v>
      </c>
      <c r="L2007" s="35">
        <v>7.0</v>
      </c>
      <c r="M2007" s="36">
        <f>VLOOKUP(D2007, County_Data_CZones!$B$2:$F$3236, 2, FALSE)</f>
        <v>7</v>
      </c>
      <c r="N2007" s="37" t="str">
        <f>VLOOKUP(D2007, County_Data_CZones!$B$2:$F$3236, 5, FALSE)</f>
        <v>Very Cold</v>
      </c>
    </row>
    <row r="2008" ht="15.75" customHeight="1">
      <c r="A2008" s="32" t="s">
        <v>1174</v>
      </c>
      <c r="B2008" s="32" t="s">
        <v>1390</v>
      </c>
      <c r="C2008" s="32" t="str">
        <f>vlookup(B2008,State_EMM_RowSums!$A$2:$B$52,2,FALSE)</f>
        <v>ND</v>
      </c>
      <c r="D2008" s="32">
        <v>38033.0</v>
      </c>
      <c r="E2008" s="33">
        <f>IF(NOT(ISBLANK(vlookup($D2008,Pop_Census_2023!$A$2:$E$3220,4,FALSE))),vlookup($D2008,Pop_Census_2023!$A$2:$E$3220,4,FALSE), vlookup($D2008,Pop_Census_2023!$A$2:$E$3220,5,FALSE))</f>
        <v>1743</v>
      </c>
      <c r="F2008" s="32">
        <v>1035617.0</v>
      </c>
      <c r="G2008" s="32">
        <v>36.0</v>
      </c>
      <c r="H2008" s="32" t="str">
        <f>VLOOKUP(D2008, Grid_Region_Mapping!$D$2:$F$5286, 3, FALSE)</f>
        <v>SPPN</v>
      </c>
      <c r="I2008" s="32">
        <v>4.0</v>
      </c>
      <c r="J2008" s="34" t="str">
        <f t="shared" si="1"/>
        <v>Midwest</v>
      </c>
      <c r="K2008" s="35">
        <v>1.0</v>
      </c>
      <c r="L2008" s="35" t="s">
        <v>707</v>
      </c>
      <c r="M2008" s="36">
        <f>VLOOKUP(D2008, County_Data_CZones!$B$2:$F$3236, 2, FALSE)</f>
        <v>6</v>
      </c>
      <c r="N2008" s="37" t="str">
        <f>VLOOKUP(D2008, County_Data_CZones!$B$2:$F$3236, 5, FALSE)</f>
        <v>Cold</v>
      </c>
    </row>
    <row r="2009" ht="15.75" customHeight="1">
      <c r="A2009" s="32" t="s">
        <v>1403</v>
      </c>
      <c r="B2009" s="32" t="s">
        <v>1390</v>
      </c>
      <c r="C2009" s="32" t="str">
        <f>vlookup(B2009,State_EMM_RowSums!$A$2:$B$52,2,FALSE)</f>
        <v>ND</v>
      </c>
      <c r="D2009" s="32">
        <v>38035.0</v>
      </c>
      <c r="E2009" s="33">
        <f>IF(NOT(ISBLANK(vlookup($D2009,Pop_Census_2023!$A$2:$E$3220,4,FALSE))),vlookup($D2009,Pop_Census_2023!$A$2:$E$3220,4,FALSE), vlookup($D2009,Pop_Census_2023!$A$2:$E$3220,5,FALSE))</f>
        <v>72708</v>
      </c>
      <c r="F2009" s="32">
        <v>1034218.0</v>
      </c>
      <c r="G2009" s="32">
        <v>37.0</v>
      </c>
      <c r="H2009" s="32" t="str">
        <f>VLOOKUP(D2009, Grid_Region_Mapping!$D$2:$F$5286, 3, FALSE)</f>
        <v>SPPN</v>
      </c>
      <c r="I2009" s="32">
        <v>4.0</v>
      </c>
      <c r="J2009" s="34" t="str">
        <f t="shared" si="1"/>
        <v>Midwest</v>
      </c>
      <c r="K2009" s="35">
        <v>1.0</v>
      </c>
      <c r="L2009" s="35">
        <v>7.0</v>
      </c>
      <c r="M2009" s="36">
        <f>VLOOKUP(D2009, County_Data_CZones!$B$2:$F$3236, 2, FALSE)</f>
        <v>7</v>
      </c>
      <c r="N2009" s="37" t="str">
        <f>VLOOKUP(D2009, County_Data_CZones!$B$2:$F$3236, 5, FALSE)</f>
        <v>Very Cold</v>
      </c>
    </row>
    <row r="2010" ht="15.75" customHeight="1">
      <c r="A2010" s="32" t="s">
        <v>242</v>
      </c>
      <c r="B2010" s="32" t="s">
        <v>1390</v>
      </c>
      <c r="C2010" s="32" t="str">
        <f>vlookup(B2010,State_EMM_RowSums!$A$2:$B$52,2,FALSE)</f>
        <v>ND</v>
      </c>
      <c r="D2010" s="32">
        <v>38037.0</v>
      </c>
      <c r="E2010" s="33">
        <f>IF(NOT(ISBLANK(vlookup($D2010,Pop_Census_2023!$A$2:$E$3220,4,FALSE))),vlookup($D2010,Pop_Census_2023!$A$2:$E$3220,4,FALSE), vlookup($D2010,Pop_Census_2023!$A$2:$E$3220,5,FALSE))</f>
        <v>2215</v>
      </c>
      <c r="F2010" s="32">
        <v>1035300.0</v>
      </c>
      <c r="G2010" s="32">
        <v>36.0</v>
      </c>
      <c r="H2010" s="32" t="str">
        <f>VLOOKUP(D2010, Grid_Region_Mapping!$D$2:$F$5286, 3, FALSE)</f>
        <v>SPPN</v>
      </c>
      <c r="I2010" s="32">
        <v>4.0</v>
      </c>
      <c r="J2010" s="34" t="str">
        <f t="shared" si="1"/>
        <v>Midwest</v>
      </c>
      <c r="K2010" s="35">
        <v>1.0</v>
      </c>
      <c r="L2010" s="35" t="s">
        <v>707</v>
      </c>
      <c r="M2010" s="36">
        <f>VLOOKUP(D2010, County_Data_CZones!$B$2:$F$3236, 2, FALSE)</f>
        <v>6</v>
      </c>
      <c r="N2010" s="37" t="str">
        <f>VLOOKUP(D2010, County_Data_CZones!$B$2:$F$3236, 5, FALSE)</f>
        <v>Cold</v>
      </c>
    </row>
    <row r="2011" ht="15.75" customHeight="1">
      <c r="A2011" s="32" t="s">
        <v>1404</v>
      </c>
      <c r="B2011" s="32" t="s">
        <v>1390</v>
      </c>
      <c r="C2011" s="32" t="str">
        <f>vlookup(B2011,State_EMM_RowSums!$A$2:$B$52,2,FALSE)</f>
        <v>ND</v>
      </c>
      <c r="D2011" s="32">
        <v>38039.0</v>
      </c>
      <c r="E2011" s="33">
        <f>IF(NOT(ISBLANK(vlookup($D2011,Pop_Census_2023!$A$2:$E$3220,4,FALSE))),vlookup($D2011,Pop_Census_2023!$A$2:$E$3220,4,FALSE), vlookup($D2011,Pop_Census_2023!$A$2:$E$3220,5,FALSE))</f>
        <v>2248</v>
      </c>
      <c r="F2011" s="32">
        <v>1034219.0</v>
      </c>
      <c r="G2011" s="32">
        <v>37.0</v>
      </c>
      <c r="H2011" s="32" t="str">
        <f>VLOOKUP(D2011, Grid_Region_Mapping!$D$2:$F$5286, 3, FALSE)</f>
        <v>SPPN</v>
      </c>
      <c r="I2011" s="32">
        <v>4.0</v>
      </c>
      <c r="J2011" s="34" t="str">
        <f t="shared" si="1"/>
        <v>Midwest</v>
      </c>
      <c r="K2011" s="35">
        <v>1.0</v>
      </c>
      <c r="L2011" s="35">
        <v>7.0</v>
      </c>
      <c r="M2011" s="36">
        <f>VLOOKUP(D2011, County_Data_CZones!$B$2:$F$3236, 2, FALSE)</f>
        <v>7</v>
      </c>
      <c r="N2011" s="37" t="str">
        <f>VLOOKUP(D2011, County_Data_CZones!$B$2:$F$3236, 5, FALSE)</f>
        <v>Very Cold</v>
      </c>
    </row>
    <row r="2012" ht="15.75" customHeight="1">
      <c r="A2012" s="32" t="s">
        <v>1405</v>
      </c>
      <c r="B2012" s="32" t="s">
        <v>1390</v>
      </c>
      <c r="C2012" s="32" t="str">
        <f>vlookup(B2012,State_EMM_RowSums!$A$2:$B$52,2,FALSE)</f>
        <v>ND</v>
      </c>
      <c r="D2012" s="32">
        <v>38041.0</v>
      </c>
      <c r="E2012" s="33">
        <f>IF(NOT(ISBLANK(vlookup($D2012,Pop_Census_2023!$A$2:$E$3220,4,FALSE))),vlookup($D2012,Pop_Census_2023!$A$2:$E$3220,4,FALSE), vlookup($D2012,Pop_Census_2023!$A$2:$E$3220,5,FALSE))</f>
        <v>2415</v>
      </c>
      <c r="F2012" s="32">
        <v>1034209.0</v>
      </c>
      <c r="G2012" s="32">
        <v>36.0</v>
      </c>
      <c r="H2012" s="32" t="str">
        <f>VLOOKUP(D2012, Grid_Region_Mapping!$D$2:$F$5286, 3, FALSE)</f>
        <v>SPPN</v>
      </c>
      <c r="I2012" s="32">
        <v>4.0</v>
      </c>
      <c r="J2012" s="34" t="str">
        <f t="shared" si="1"/>
        <v>Midwest</v>
      </c>
      <c r="K2012" s="35">
        <v>1.0</v>
      </c>
      <c r="L2012" s="35" t="s">
        <v>707</v>
      </c>
      <c r="M2012" s="36">
        <f>VLOOKUP(D2012, County_Data_CZones!$B$2:$F$3236, 2, FALSE)</f>
        <v>6</v>
      </c>
      <c r="N2012" s="37" t="str">
        <f>VLOOKUP(D2012, County_Data_CZones!$B$2:$F$3236, 5, FALSE)</f>
        <v>Cold</v>
      </c>
    </row>
    <row r="2013" ht="15.75" customHeight="1">
      <c r="A2013" s="32" t="s">
        <v>1406</v>
      </c>
      <c r="B2013" s="32" t="s">
        <v>1390</v>
      </c>
      <c r="C2013" s="32" t="str">
        <f>vlookup(B2013,State_EMM_RowSums!$A$2:$B$52,2,FALSE)</f>
        <v>ND</v>
      </c>
      <c r="D2013" s="32">
        <v>38043.0</v>
      </c>
      <c r="E2013" s="33">
        <f>IF(NOT(ISBLANK(vlookup($D2013,Pop_Census_2023!$A$2:$E$3220,4,FALSE))),vlookup($D2013,Pop_Census_2023!$A$2:$E$3220,4,FALSE), vlookup($D2013,Pop_Census_2023!$A$2:$E$3220,5,FALSE))</f>
        <v>2342</v>
      </c>
      <c r="F2013" s="32">
        <v>1034206.0</v>
      </c>
      <c r="G2013" s="32">
        <v>37.0</v>
      </c>
      <c r="H2013" s="32" t="str">
        <f>VLOOKUP(D2013, Grid_Region_Mapping!$D$2:$F$5286, 3, FALSE)</f>
        <v>SPPN</v>
      </c>
      <c r="I2013" s="32">
        <v>4.0</v>
      </c>
      <c r="J2013" s="34" t="str">
        <f t="shared" si="1"/>
        <v>Midwest</v>
      </c>
      <c r="K2013" s="35">
        <v>1.0</v>
      </c>
      <c r="L2013" s="35">
        <v>7.0</v>
      </c>
      <c r="M2013" s="36">
        <f>VLOOKUP(D2013, County_Data_CZones!$B$2:$F$3236, 2, FALSE)</f>
        <v>7</v>
      </c>
      <c r="N2013" s="37" t="str">
        <f>VLOOKUP(D2013, County_Data_CZones!$B$2:$F$3236, 5, FALSE)</f>
        <v>Very Cold</v>
      </c>
    </row>
    <row r="2014" ht="15.75" customHeight="1">
      <c r="A2014" s="32" t="s">
        <v>1407</v>
      </c>
      <c r="B2014" s="32" t="s">
        <v>1390</v>
      </c>
      <c r="C2014" s="32" t="str">
        <f>vlookup(B2014,State_EMM_RowSums!$A$2:$B$52,2,FALSE)</f>
        <v>ND</v>
      </c>
      <c r="D2014" s="32">
        <v>38045.0</v>
      </c>
      <c r="E2014" s="33">
        <f>IF(NOT(ISBLANK(vlookup($D2014,Pop_Census_2023!$A$2:$E$3220,4,FALSE))),vlookup($D2014,Pop_Census_2023!$A$2:$E$3220,4,FALSE), vlookup($D2014,Pop_Census_2023!$A$2:$E$3220,5,FALSE))</f>
        <v>4096</v>
      </c>
      <c r="F2014" s="32">
        <v>1035621.0</v>
      </c>
      <c r="G2014" s="32">
        <v>37.0</v>
      </c>
      <c r="H2014" s="32" t="str">
        <f>VLOOKUP(D2014, Grid_Region_Mapping!$D$2:$F$5286, 3, FALSE)</f>
        <v>SPPN</v>
      </c>
      <c r="I2014" s="32">
        <v>4.0</v>
      </c>
      <c r="J2014" s="34" t="str">
        <f t="shared" si="1"/>
        <v>Midwest</v>
      </c>
      <c r="K2014" s="35">
        <v>1.0</v>
      </c>
      <c r="L2014" s="35" t="s">
        <v>707</v>
      </c>
      <c r="M2014" s="36">
        <f>VLOOKUP(D2014, County_Data_CZones!$B$2:$F$3236, 2, FALSE)</f>
        <v>6</v>
      </c>
      <c r="N2014" s="37" t="str">
        <f>VLOOKUP(D2014, County_Data_CZones!$B$2:$F$3236, 5, FALSE)</f>
        <v>Cold</v>
      </c>
    </row>
    <row r="2015" ht="15.75" customHeight="1">
      <c r="A2015" s="32" t="s">
        <v>252</v>
      </c>
      <c r="B2015" s="32" t="s">
        <v>1390</v>
      </c>
      <c r="C2015" s="32" t="str">
        <f>vlookup(B2015,State_EMM_RowSums!$A$2:$B$52,2,FALSE)</f>
        <v>ND</v>
      </c>
      <c r="D2015" s="32">
        <v>38047.0</v>
      </c>
      <c r="E2015" s="33">
        <f>IF(NOT(ISBLANK(vlookup($D2015,Pop_Census_2023!$A$2:$E$3220,4,FALSE))),vlookup($D2015,Pop_Census_2023!$A$2:$E$3220,4,FALSE), vlookup($D2015,Pop_Census_2023!$A$2:$E$3220,5,FALSE))</f>
        <v>1869</v>
      </c>
      <c r="F2015" s="32">
        <v>1035620.0</v>
      </c>
      <c r="G2015" s="32">
        <v>36.0</v>
      </c>
      <c r="H2015" s="32" t="str">
        <f>VLOOKUP(D2015, Grid_Region_Mapping!$D$2:$F$5286, 3, FALSE)</f>
        <v>SPPN</v>
      </c>
      <c r="I2015" s="32">
        <v>4.0</v>
      </c>
      <c r="J2015" s="34" t="str">
        <f t="shared" si="1"/>
        <v>Midwest</v>
      </c>
      <c r="K2015" s="35">
        <v>1.0</v>
      </c>
      <c r="L2015" s="35" t="s">
        <v>707</v>
      </c>
      <c r="M2015" s="36">
        <f>VLOOKUP(D2015, County_Data_CZones!$B$2:$F$3236, 2, FALSE)</f>
        <v>6</v>
      </c>
      <c r="N2015" s="37" t="str">
        <f>VLOOKUP(D2015, County_Data_CZones!$B$2:$F$3236, 5, FALSE)</f>
        <v>Cold</v>
      </c>
    </row>
    <row r="2016" ht="15.75" customHeight="1">
      <c r="A2016" s="32" t="s">
        <v>638</v>
      </c>
      <c r="B2016" s="32" t="s">
        <v>1390</v>
      </c>
      <c r="C2016" s="32" t="str">
        <f>vlookup(B2016,State_EMM_RowSums!$A$2:$B$52,2,FALSE)</f>
        <v>ND</v>
      </c>
      <c r="D2016" s="32">
        <v>38049.0</v>
      </c>
      <c r="E2016" s="33">
        <f>IF(NOT(ISBLANK(vlookup($D2016,Pop_Census_2023!$A$2:$E$3220,4,FALSE))),vlookup($D2016,Pop_Census_2023!$A$2:$E$3220,4,FALSE), vlookup($D2016,Pop_Census_2023!$A$2:$E$3220,5,FALSE))</f>
        <v>5131</v>
      </c>
      <c r="F2016" s="32">
        <v>1035305.0</v>
      </c>
      <c r="G2016" s="32">
        <v>37.0</v>
      </c>
      <c r="H2016" s="32" t="str">
        <f>VLOOKUP(D2016, Grid_Region_Mapping!$D$2:$F$5286, 3, FALSE)</f>
        <v>SPPN</v>
      </c>
      <c r="I2016" s="32">
        <v>4.0</v>
      </c>
      <c r="J2016" s="34" t="str">
        <f t="shared" si="1"/>
        <v>Midwest</v>
      </c>
      <c r="K2016" s="35">
        <v>1.0</v>
      </c>
      <c r="L2016" s="35">
        <v>7.0</v>
      </c>
      <c r="M2016" s="36">
        <f>VLOOKUP(D2016, County_Data_CZones!$B$2:$F$3236, 2, FALSE)</f>
        <v>7</v>
      </c>
      <c r="N2016" s="37" t="str">
        <f>VLOOKUP(D2016, County_Data_CZones!$B$2:$F$3236, 5, FALSE)</f>
        <v>Very Cold</v>
      </c>
    </row>
    <row r="2017" ht="15.75" customHeight="1">
      <c r="A2017" s="32" t="s">
        <v>527</v>
      </c>
      <c r="B2017" s="32" t="s">
        <v>1390</v>
      </c>
      <c r="C2017" s="32" t="str">
        <f>vlookup(B2017,State_EMM_RowSums!$A$2:$B$52,2,FALSE)</f>
        <v>ND</v>
      </c>
      <c r="D2017" s="32">
        <v>38051.0</v>
      </c>
      <c r="E2017" s="33">
        <f>IF(NOT(ISBLANK(vlookup($D2017,Pop_Census_2023!$A$2:$E$3220,4,FALSE))),vlookup($D2017,Pop_Census_2023!$A$2:$E$3220,4,FALSE), vlookup($D2017,Pop_Census_2023!$A$2:$E$3220,5,FALSE))</f>
        <v>2488</v>
      </c>
      <c r="F2017" s="32">
        <v>1034211.0</v>
      </c>
      <c r="G2017" s="32">
        <v>36.0</v>
      </c>
      <c r="H2017" s="32" t="str">
        <f>VLOOKUP(D2017, Grid_Region_Mapping!$D$2:$F$5286, 3, FALSE)</f>
        <v>SPPN</v>
      </c>
      <c r="I2017" s="32">
        <v>4.0</v>
      </c>
      <c r="J2017" s="34" t="str">
        <f t="shared" si="1"/>
        <v>Midwest</v>
      </c>
      <c r="K2017" s="35">
        <v>1.0</v>
      </c>
      <c r="L2017" s="35" t="s">
        <v>707</v>
      </c>
      <c r="M2017" s="36">
        <f>VLOOKUP(D2017, County_Data_CZones!$B$2:$F$3236, 2, FALSE)</f>
        <v>6</v>
      </c>
      <c r="N2017" s="37" t="str">
        <f>VLOOKUP(D2017, County_Data_CZones!$B$2:$F$3236, 5, FALSE)</f>
        <v>Cold</v>
      </c>
    </row>
    <row r="2018" ht="15.75" customHeight="1">
      <c r="A2018" s="32" t="s">
        <v>1408</v>
      </c>
      <c r="B2018" s="32" t="s">
        <v>1390</v>
      </c>
      <c r="C2018" s="32" t="str">
        <f>vlookup(B2018,State_EMM_RowSums!$A$2:$B$52,2,FALSE)</f>
        <v>ND</v>
      </c>
      <c r="D2018" s="32">
        <v>38053.0</v>
      </c>
      <c r="E2018" s="33">
        <f>IF(NOT(ISBLANK(vlookup($D2018,Pop_Census_2023!$A$2:$E$3220,4,FALSE))),vlookup($D2018,Pop_Census_2023!$A$2:$E$3220,4,FALSE), vlookup($D2018,Pop_Census_2023!$A$2:$E$3220,5,FALSE))</f>
        <v>14252</v>
      </c>
      <c r="F2018" s="32">
        <v>1035299.0</v>
      </c>
      <c r="G2018" s="32">
        <v>36.0</v>
      </c>
      <c r="H2018" s="32" t="str">
        <f>VLOOKUP(D2018, Grid_Region_Mapping!$D$2:$F$5286, 3, FALSE)</f>
        <v>SPPN</v>
      </c>
      <c r="I2018" s="32">
        <v>4.0</v>
      </c>
      <c r="J2018" s="34" t="str">
        <f t="shared" si="1"/>
        <v>Midwest</v>
      </c>
      <c r="K2018" s="35">
        <v>1.0</v>
      </c>
      <c r="L2018" s="35" t="s">
        <v>707</v>
      </c>
      <c r="M2018" s="36">
        <f>VLOOKUP(D2018, County_Data_CZones!$B$2:$F$3236, 2, FALSE)</f>
        <v>6</v>
      </c>
      <c r="N2018" s="37" t="str">
        <f>VLOOKUP(D2018, County_Data_CZones!$B$2:$F$3236, 5, FALSE)</f>
        <v>Cold</v>
      </c>
    </row>
    <row r="2019" ht="15.75" customHeight="1">
      <c r="A2019" s="32" t="s">
        <v>639</v>
      </c>
      <c r="B2019" s="32" t="s">
        <v>1390</v>
      </c>
      <c r="C2019" s="32" t="str">
        <f>vlookup(B2019,State_EMM_RowSums!$A$2:$B$52,2,FALSE)</f>
        <v>ND</v>
      </c>
      <c r="D2019" s="32">
        <v>38055.0</v>
      </c>
      <c r="E2019" s="33">
        <f>IF(NOT(ISBLANK(vlookup($D2019,Pop_Census_2023!$A$2:$E$3220,4,FALSE))),vlookup($D2019,Pop_Census_2023!$A$2:$E$3220,4,FALSE), vlookup($D2019,Pop_Census_2023!$A$2:$E$3220,5,FALSE))</f>
        <v>9832</v>
      </c>
      <c r="F2019" s="32">
        <v>1034232.0</v>
      </c>
      <c r="G2019" s="32">
        <v>37.0</v>
      </c>
      <c r="H2019" s="32" t="str">
        <f>VLOOKUP(D2019, Grid_Region_Mapping!$D$2:$F$5286, 3, FALSE)</f>
        <v>SPPN</v>
      </c>
      <c r="I2019" s="32">
        <v>4.0</v>
      </c>
      <c r="J2019" s="34" t="str">
        <f t="shared" si="1"/>
        <v>Midwest</v>
      </c>
      <c r="K2019" s="35">
        <v>1.0</v>
      </c>
      <c r="L2019" s="35">
        <v>7.0</v>
      </c>
      <c r="M2019" s="36">
        <f>VLOOKUP(D2019, County_Data_CZones!$B$2:$F$3236, 2, FALSE)</f>
        <v>7</v>
      </c>
      <c r="N2019" s="37" t="str">
        <f>VLOOKUP(D2019, County_Data_CZones!$B$2:$F$3236, 5, FALSE)</f>
        <v>Very Cold</v>
      </c>
    </row>
    <row r="2020" ht="15.75" customHeight="1">
      <c r="A2020" s="32" t="s">
        <v>644</v>
      </c>
      <c r="B2020" s="32" t="s">
        <v>1390</v>
      </c>
      <c r="C2020" s="32" t="str">
        <f>vlookup(B2020,State_EMM_RowSums!$A$2:$B$52,2,FALSE)</f>
        <v>ND</v>
      </c>
      <c r="D2020" s="32">
        <v>38057.0</v>
      </c>
      <c r="E2020" s="33">
        <f>IF(NOT(ISBLANK(vlookup($D2020,Pop_Census_2023!$A$2:$E$3220,4,FALSE))),vlookup($D2020,Pop_Census_2023!$A$2:$E$3220,4,FALSE), vlookup($D2020,Pop_Census_2023!$A$2:$E$3220,5,FALSE))</f>
        <v>8309</v>
      </c>
      <c r="F2020" s="32">
        <v>1034233.0</v>
      </c>
      <c r="G2020" s="32">
        <v>36.0</v>
      </c>
      <c r="H2020" s="32" t="str">
        <f>VLOOKUP(D2020, Grid_Region_Mapping!$D$2:$F$5286, 3, FALSE)</f>
        <v>SPPN</v>
      </c>
      <c r="I2020" s="32">
        <v>4.0</v>
      </c>
      <c r="J2020" s="34" t="str">
        <f t="shared" si="1"/>
        <v>Midwest</v>
      </c>
      <c r="K2020" s="35">
        <v>1.0</v>
      </c>
      <c r="L2020" s="35" t="s">
        <v>707</v>
      </c>
      <c r="M2020" s="36">
        <f>VLOOKUP(D2020, County_Data_CZones!$B$2:$F$3236, 2, FALSE)</f>
        <v>6</v>
      </c>
      <c r="N2020" s="37" t="str">
        <f>VLOOKUP(D2020, County_Data_CZones!$B$2:$F$3236, 5, FALSE)</f>
        <v>Cold</v>
      </c>
    </row>
    <row r="2021" ht="15.75" customHeight="1">
      <c r="A2021" s="32" t="s">
        <v>785</v>
      </c>
      <c r="B2021" s="32" t="s">
        <v>1390</v>
      </c>
      <c r="C2021" s="32" t="str">
        <f>vlookup(B2021,State_EMM_RowSums!$A$2:$B$52,2,FALSE)</f>
        <v>ND</v>
      </c>
      <c r="D2021" s="32">
        <v>38059.0</v>
      </c>
      <c r="E2021" s="33">
        <f>IF(NOT(ISBLANK(vlookup($D2021,Pop_Census_2023!$A$2:$E$3220,4,FALSE))),vlookup($D2021,Pop_Census_2023!$A$2:$E$3220,4,FALSE), vlookup($D2021,Pop_Census_2023!$A$2:$E$3220,5,FALSE))</f>
        <v>33895</v>
      </c>
      <c r="F2021" s="32">
        <v>1034207.0</v>
      </c>
      <c r="G2021" s="32">
        <v>36.0</v>
      </c>
      <c r="H2021" s="32" t="str">
        <f>VLOOKUP(D2021, Grid_Region_Mapping!$D$2:$F$5286, 3, FALSE)</f>
        <v>SPPN</v>
      </c>
      <c r="I2021" s="32">
        <v>4.0</v>
      </c>
      <c r="J2021" s="34" t="str">
        <f t="shared" si="1"/>
        <v>Midwest</v>
      </c>
      <c r="K2021" s="35">
        <v>1.0</v>
      </c>
      <c r="L2021" s="35" t="s">
        <v>707</v>
      </c>
      <c r="M2021" s="36">
        <f>VLOOKUP(D2021, County_Data_CZones!$B$2:$F$3236, 2, FALSE)</f>
        <v>6</v>
      </c>
      <c r="N2021" s="37" t="str">
        <f>VLOOKUP(D2021, County_Data_CZones!$B$2:$F$3236, 5, FALSE)</f>
        <v>Cold</v>
      </c>
    </row>
    <row r="2022" ht="15.75" customHeight="1">
      <c r="A2022" s="32" t="s">
        <v>1409</v>
      </c>
      <c r="B2022" s="32" t="s">
        <v>1390</v>
      </c>
      <c r="C2022" s="32" t="str">
        <f>vlookup(B2022,State_EMM_RowSums!$A$2:$B$52,2,FALSE)</f>
        <v>ND</v>
      </c>
      <c r="D2022" s="32">
        <v>38061.0</v>
      </c>
      <c r="E2022" s="33">
        <f>IF(NOT(ISBLANK(vlookup($D2022,Pop_Census_2023!$A$2:$E$3220,4,FALSE))),vlookup($D2022,Pop_Census_2023!$A$2:$E$3220,4,FALSE), vlookup($D2022,Pop_Census_2023!$A$2:$E$3220,5,FALSE))</f>
        <v>9383</v>
      </c>
      <c r="F2022" s="32">
        <v>1035307.0</v>
      </c>
      <c r="G2022" s="32">
        <v>36.0</v>
      </c>
      <c r="H2022" s="32" t="str">
        <f>VLOOKUP(D2022, Grid_Region_Mapping!$D$2:$F$5286, 3, FALSE)</f>
        <v>SPPN</v>
      </c>
      <c r="I2022" s="32">
        <v>4.0</v>
      </c>
      <c r="J2022" s="34" t="str">
        <f t="shared" si="1"/>
        <v>Midwest</v>
      </c>
      <c r="K2022" s="35">
        <v>1.0</v>
      </c>
      <c r="L2022" s="35">
        <v>7.0</v>
      </c>
      <c r="M2022" s="36">
        <f>VLOOKUP(D2022, County_Data_CZones!$B$2:$F$3236, 2, FALSE)</f>
        <v>7</v>
      </c>
      <c r="N2022" s="37" t="str">
        <f>VLOOKUP(D2022, County_Data_CZones!$B$2:$F$3236, 5, FALSE)</f>
        <v>Very Cold</v>
      </c>
    </row>
    <row r="2023" ht="15.75" customHeight="1">
      <c r="A2023" s="32" t="s">
        <v>860</v>
      </c>
      <c r="B2023" s="32" t="s">
        <v>1390</v>
      </c>
      <c r="C2023" s="32" t="str">
        <f>vlookup(B2023,State_EMM_RowSums!$A$2:$B$52,2,FALSE)</f>
        <v>ND</v>
      </c>
      <c r="D2023" s="32">
        <v>38063.0</v>
      </c>
      <c r="E2023" s="33">
        <f>IF(NOT(ISBLANK(vlookup($D2023,Pop_Census_2023!$A$2:$E$3220,4,FALSE))),vlookup($D2023,Pop_Census_2023!$A$2:$E$3220,4,FALSE), vlookup($D2023,Pop_Census_2023!$A$2:$E$3220,5,FALSE))</f>
        <v>2991</v>
      </c>
      <c r="F2023" s="32">
        <v>1034217.0</v>
      </c>
      <c r="G2023" s="32">
        <v>37.0</v>
      </c>
      <c r="H2023" s="32" t="str">
        <f>VLOOKUP(D2023, Grid_Region_Mapping!$D$2:$F$5286, 3, FALSE)</f>
        <v>SPPN</v>
      </c>
      <c r="I2023" s="32">
        <v>4.0</v>
      </c>
      <c r="J2023" s="34" t="str">
        <f t="shared" si="1"/>
        <v>Midwest</v>
      </c>
      <c r="K2023" s="35">
        <v>1.0</v>
      </c>
      <c r="L2023" s="35">
        <v>7.0</v>
      </c>
      <c r="M2023" s="36">
        <f>VLOOKUP(D2023, County_Data_CZones!$B$2:$F$3236, 2, FALSE)</f>
        <v>7</v>
      </c>
      <c r="N2023" s="37" t="str">
        <f>VLOOKUP(D2023, County_Data_CZones!$B$2:$F$3236, 5, FALSE)</f>
        <v>Very Cold</v>
      </c>
    </row>
    <row r="2024" ht="15.75" customHeight="1">
      <c r="A2024" s="32" t="s">
        <v>1410</v>
      </c>
      <c r="B2024" s="32" t="s">
        <v>1390</v>
      </c>
      <c r="C2024" s="32" t="str">
        <f>vlookup(B2024,State_EMM_RowSums!$A$2:$B$52,2,FALSE)</f>
        <v>ND</v>
      </c>
      <c r="D2024" s="32">
        <v>38065.0</v>
      </c>
      <c r="E2024" s="33">
        <f>IF(NOT(ISBLANK(vlookup($D2024,Pop_Census_2023!$A$2:$E$3220,4,FALSE))),vlookup($D2024,Pop_Census_2023!$A$2:$E$3220,4,FALSE), vlookup($D2024,Pop_Census_2023!$A$2:$E$3220,5,FALSE))</f>
        <v>1879</v>
      </c>
      <c r="F2024" s="32">
        <v>1034205.0</v>
      </c>
      <c r="G2024" s="32">
        <v>36.0</v>
      </c>
      <c r="H2024" s="32" t="str">
        <f>VLOOKUP(D2024, Grid_Region_Mapping!$D$2:$F$5286, 3, FALSE)</f>
        <v>SPPN</v>
      </c>
      <c r="I2024" s="32">
        <v>4.0</v>
      </c>
      <c r="J2024" s="34" t="str">
        <f t="shared" si="1"/>
        <v>Midwest</v>
      </c>
      <c r="K2024" s="35">
        <v>1.0</v>
      </c>
      <c r="L2024" s="35" t="s">
        <v>707</v>
      </c>
      <c r="M2024" s="36">
        <f>VLOOKUP(D2024, County_Data_CZones!$B$2:$F$3236, 2, FALSE)</f>
        <v>6</v>
      </c>
      <c r="N2024" s="37" t="str">
        <f>VLOOKUP(D2024, County_Data_CZones!$B$2:$F$3236, 5, FALSE)</f>
        <v>Cold</v>
      </c>
    </row>
    <row r="2025" ht="15.75" customHeight="1">
      <c r="A2025" s="32" t="s">
        <v>1411</v>
      </c>
      <c r="B2025" s="32" t="s">
        <v>1390</v>
      </c>
      <c r="C2025" s="32" t="str">
        <f>vlookup(B2025,State_EMM_RowSums!$A$2:$B$52,2,FALSE)</f>
        <v>ND</v>
      </c>
      <c r="D2025" s="32">
        <v>38067.0</v>
      </c>
      <c r="E2025" s="33">
        <f>IF(NOT(ISBLANK(vlookup($D2025,Pop_Census_2023!$A$2:$E$3220,4,FALSE))),vlookup($D2025,Pop_Census_2023!$A$2:$E$3220,4,FALSE), vlookup($D2025,Pop_Census_2023!$A$2:$E$3220,5,FALSE))</f>
        <v>6661</v>
      </c>
      <c r="F2025" s="32">
        <v>1034212.0</v>
      </c>
      <c r="G2025" s="32">
        <v>37.0</v>
      </c>
      <c r="H2025" s="32" t="str">
        <f>VLOOKUP(D2025, Grid_Region_Mapping!$D$2:$F$5286, 3, FALSE)</f>
        <v>MISW</v>
      </c>
      <c r="I2025" s="32">
        <v>4.0</v>
      </c>
      <c r="J2025" s="34" t="str">
        <f t="shared" si="1"/>
        <v>Midwest</v>
      </c>
      <c r="K2025" s="35">
        <v>1.0</v>
      </c>
      <c r="L2025" s="35">
        <v>7.0</v>
      </c>
      <c r="M2025" s="36">
        <f>VLOOKUP(D2025, County_Data_CZones!$B$2:$F$3236, 2, FALSE)</f>
        <v>7</v>
      </c>
      <c r="N2025" s="37" t="str">
        <f>VLOOKUP(D2025, County_Data_CZones!$B$2:$F$3236, 5, FALSE)</f>
        <v>Very Cold</v>
      </c>
    </row>
    <row r="2026" ht="15.75" customHeight="1">
      <c r="A2026" s="32" t="s">
        <v>536</v>
      </c>
      <c r="B2026" s="32" t="s">
        <v>1390</v>
      </c>
      <c r="C2026" s="32" t="str">
        <f>vlookup(B2026,State_EMM_RowSums!$A$2:$B$52,2,FALSE)</f>
        <v>ND</v>
      </c>
      <c r="D2026" s="32">
        <v>38069.0</v>
      </c>
      <c r="E2026" s="33">
        <f>IF(NOT(ISBLANK(vlookup($D2026,Pop_Census_2023!$A$2:$E$3220,4,FALSE))),vlookup($D2026,Pop_Census_2023!$A$2:$E$3220,4,FALSE), vlookup($D2026,Pop_Census_2023!$A$2:$E$3220,5,FALSE))</f>
        <v>3902</v>
      </c>
      <c r="F2026" s="32">
        <v>1034230.0</v>
      </c>
      <c r="G2026" s="32">
        <v>37.0</v>
      </c>
      <c r="H2026" s="32" t="str">
        <f>VLOOKUP(D2026, Grid_Region_Mapping!$D$2:$F$5286, 3, FALSE)</f>
        <v>SPPN</v>
      </c>
      <c r="I2026" s="32">
        <v>4.0</v>
      </c>
      <c r="J2026" s="34" t="str">
        <f t="shared" si="1"/>
        <v>Midwest</v>
      </c>
      <c r="K2026" s="35">
        <v>1.0</v>
      </c>
      <c r="L2026" s="35">
        <v>7.0</v>
      </c>
      <c r="M2026" s="36">
        <f>VLOOKUP(D2026, County_Data_CZones!$B$2:$F$3236, 2, FALSE)</f>
        <v>7</v>
      </c>
      <c r="N2026" s="37" t="str">
        <f>VLOOKUP(D2026, County_Data_CZones!$B$2:$F$3236, 5, FALSE)</f>
        <v>Very Cold</v>
      </c>
    </row>
    <row r="2027" ht="15.75" customHeight="1">
      <c r="A2027" s="32" t="s">
        <v>1067</v>
      </c>
      <c r="B2027" s="32" t="s">
        <v>1390</v>
      </c>
      <c r="C2027" s="32" t="str">
        <f>vlookup(B2027,State_EMM_RowSums!$A$2:$B$52,2,FALSE)</f>
        <v>ND</v>
      </c>
      <c r="D2027" s="32">
        <v>38071.0</v>
      </c>
      <c r="E2027" s="33">
        <f>IF(NOT(ISBLANK(vlookup($D2027,Pop_Census_2023!$A$2:$E$3220,4,FALSE))),vlookup($D2027,Pop_Census_2023!$A$2:$E$3220,4,FALSE), vlookup($D2027,Pop_Census_2023!$A$2:$E$3220,5,FALSE))</f>
        <v>11463</v>
      </c>
      <c r="F2027" s="32">
        <v>1034215.0</v>
      </c>
      <c r="G2027" s="32">
        <v>37.0</v>
      </c>
      <c r="H2027" s="32" t="str">
        <f>VLOOKUP(D2027, Grid_Region_Mapping!$D$2:$F$5286, 3, FALSE)</f>
        <v>SPPN</v>
      </c>
      <c r="I2027" s="32">
        <v>4.0</v>
      </c>
      <c r="J2027" s="34" t="str">
        <f t="shared" si="1"/>
        <v>Midwest</v>
      </c>
      <c r="K2027" s="35">
        <v>1.0</v>
      </c>
      <c r="L2027" s="35">
        <v>7.0</v>
      </c>
      <c r="M2027" s="36">
        <f>VLOOKUP(D2027, County_Data_CZones!$B$2:$F$3236, 2, FALSE)</f>
        <v>7</v>
      </c>
      <c r="N2027" s="37" t="str">
        <f>VLOOKUP(D2027, County_Data_CZones!$B$2:$F$3236, 5, FALSE)</f>
        <v>Very Cold</v>
      </c>
    </row>
    <row r="2028" ht="15.75" customHeight="1">
      <c r="A2028" s="32" t="s">
        <v>1412</v>
      </c>
      <c r="B2028" s="32" t="s">
        <v>1390</v>
      </c>
      <c r="C2028" s="32" t="str">
        <f>vlookup(B2028,State_EMM_RowSums!$A$2:$B$52,2,FALSE)</f>
        <v>ND</v>
      </c>
      <c r="D2028" s="32">
        <v>38073.0</v>
      </c>
      <c r="E2028" s="33">
        <f>IF(NOT(ISBLANK(vlookup($D2028,Pop_Census_2023!$A$2:$E$3220,4,FALSE))),vlookup($D2028,Pop_Census_2023!$A$2:$E$3220,4,FALSE), vlookup($D2028,Pop_Census_2023!$A$2:$E$3220,5,FALSE))</f>
        <v>5603</v>
      </c>
      <c r="F2028" s="32">
        <v>1035301.0</v>
      </c>
      <c r="G2028" s="32">
        <v>37.0</v>
      </c>
      <c r="H2028" s="32" t="str">
        <f>VLOOKUP(D2028, Grid_Region_Mapping!$D$2:$F$5286, 3, FALSE)</f>
        <v>SPPN</v>
      </c>
      <c r="I2028" s="32">
        <v>4.0</v>
      </c>
      <c r="J2028" s="34" t="str">
        <f t="shared" si="1"/>
        <v>Midwest</v>
      </c>
      <c r="K2028" s="35">
        <v>1.0</v>
      </c>
      <c r="L2028" s="35" t="s">
        <v>707</v>
      </c>
      <c r="M2028" s="36">
        <f>VLOOKUP(D2028, County_Data_CZones!$B$2:$F$3236, 2, FALSE)</f>
        <v>6</v>
      </c>
      <c r="N2028" s="37" t="str">
        <f>VLOOKUP(D2028, County_Data_CZones!$B$2:$F$3236, 5, FALSE)</f>
        <v>Cold</v>
      </c>
    </row>
    <row r="2029" ht="15.75" customHeight="1">
      <c r="A2029" s="32" t="s">
        <v>1070</v>
      </c>
      <c r="B2029" s="32" t="s">
        <v>1390</v>
      </c>
      <c r="C2029" s="32" t="str">
        <f>vlookup(B2029,State_EMM_RowSums!$A$2:$B$52,2,FALSE)</f>
        <v>ND</v>
      </c>
      <c r="D2029" s="32">
        <v>38075.0</v>
      </c>
      <c r="E2029" s="33">
        <f>IF(NOT(ISBLANK(vlookup($D2029,Pop_Census_2023!$A$2:$E$3220,4,FALSE))),vlookup($D2029,Pop_Census_2023!$A$2:$E$3220,4,FALSE), vlookup($D2029,Pop_Census_2023!$A$2:$E$3220,5,FALSE))</f>
        <v>2279</v>
      </c>
      <c r="F2029" s="32">
        <v>1034229.0</v>
      </c>
      <c r="G2029" s="32">
        <v>36.0</v>
      </c>
      <c r="H2029" s="32" t="str">
        <f>VLOOKUP(D2029, Grid_Region_Mapping!$D$2:$F$5286, 3, FALSE)</f>
        <v>SPPN</v>
      </c>
      <c r="I2029" s="32">
        <v>4.0</v>
      </c>
      <c r="J2029" s="34" t="str">
        <f t="shared" si="1"/>
        <v>Midwest</v>
      </c>
      <c r="K2029" s="35">
        <v>1.0</v>
      </c>
      <c r="L2029" s="35">
        <v>7.0</v>
      </c>
      <c r="M2029" s="36">
        <f>VLOOKUP(D2029, County_Data_CZones!$B$2:$F$3236, 2, FALSE)</f>
        <v>7</v>
      </c>
      <c r="N2029" s="37" t="str">
        <f>VLOOKUP(D2029, County_Data_CZones!$B$2:$F$3236, 5, FALSE)</f>
        <v>Very Cold</v>
      </c>
    </row>
    <row r="2030" ht="15.75" customHeight="1">
      <c r="A2030" s="32" t="s">
        <v>649</v>
      </c>
      <c r="B2030" s="32" t="s">
        <v>1390</v>
      </c>
      <c r="C2030" s="32" t="str">
        <f>vlookup(B2030,State_EMM_RowSums!$A$2:$B$52,2,FALSE)</f>
        <v>ND</v>
      </c>
      <c r="D2030" s="32">
        <v>38077.0</v>
      </c>
      <c r="E2030" s="33">
        <f>IF(NOT(ISBLANK(vlookup($D2030,Pop_Census_2023!$A$2:$E$3220,4,FALSE))),vlookup($D2030,Pop_Census_2023!$A$2:$E$3220,4,FALSE), vlookup($D2030,Pop_Census_2023!$A$2:$E$3220,5,FALSE))</f>
        <v>16558</v>
      </c>
      <c r="F2030" s="32">
        <v>1035302.0</v>
      </c>
      <c r="G2030" s="32">
        <v>37.0</v>
      </c>
      <c r="H2030" s="32" t="str">
        <f>VLOOKUP(D2030, Grid_Region_Mapping!$D$2:$F$5286, 3, FALSE)</f>
        <v>SPPN</v>
      </c>
      <c r="I2030" s="32">
        <v>4.0</v>
      </c>
      <c r="J2030" s="34" t="str">
        <f t="shared" si="1"/>
        <v>Midwest</v>
      </c>
      <c r="K2030" s="35">
        <v>1.0</v>
      </c>
      <c r="L2030" s="35" t="s">
        <v>707</v>
      </c>
      <c r="M2030" s="36">
        <f>VLOOKUP(D2030, County_Data_CZones!$B$2:$F$3236, 2, FALSE)</f>
        <v>6</v>
      </c>
      <c r="N2030" s="37" t="str">
        <f>VLOOKUP(D2030, County_Data_CZones!$B$2:$F$3236, 5, FALSE)</f>
        <v>Cold</v>
      </c>
    </row>
    <row r="2031" ht="15.75" customHeight="1">
      <c r="A2031" s="32" t="s">
        <v>1413</v>
      </c>
      <c r="B2031" s="32" t="s">
        <v>1390</v>
      </c>
      <c r="C2031" s="32" t="str">
        <f>vlookup(B2031,State_EMM_RowSums!$A$2:$B$52,2,FALSE)</f>
        <v>ND</v>
      </c>
      <c r="D2031" s="32">
        <v>38079.0</v>
      </c>
      <c r="E2031" s="33">
        <f>IF(NOT(ISBLANK(vlookup($D2031,Pop_Census_2023!$A$2:$E$3220,4,FALSE))),vlookup($D2031,Pop_Census_2023!$A$2:$E$3220,4,FALSE), vlookup($D2031,Pop_Census_2023!$A$2:$E$3220,5,FALSE))</f>
        <v>11728</v>
      </c>
      <c r="F2031" s="32">
        <v>1034228.0</v>
      </c>
      <c r="G2031" s="32">
        <v>37.0</v>
      </c>
      <c r="H2031" s="32" t="str">
        <f>VLOOKUP(D2031, Grid_Region_Mapping!$D$2:$F$5286, 3, FALSE)</f>
        <v>MISW</v>
      </c>
      <c r="I2031" s="32">
        <v>4.0</v>
      </c>
      <c r="J2031" s="34" t="str">
        <f t="shared" si="1"/>
        <v>Midwest</v>
      </c>
      <c r="K2031" s="35">
        <v>1.0</v>
      </c>
      <c r="L2031" s="35">
        <v>7.0</v>
      </c>
      <c r="M2031" s="36">
        <f>VLOOKUP(D2031, County_Data_CZones!$B$2:$F$3236, 2, FALSE)</f>
        <v>7</v>
      </c>
      <c r="N2031" s="37" t="str">
        <f>VLOOKUP(D2031, County_Data_CZones!$B$2:$F$3236, 5, FALSE)</f>
        <v>Very Cold</v>
      </c>
    </row>
    <row r="2032" ht="15.75" customHeight="1">
      <c r="A2032" s="32" t="s">
        <v>1414</v>
      </c>
      <c r="B2032" s="32" t="s">
        <v>1390</v>
      </c>
      <c r="C2032" s="32" t="str">
        <f>vlookup(B2032,State_EMM_RowSums!$A$2:$B$52,2,FALSE)</f>
        <v>ND</v>
      </c>
      <c r="D2032" s="32">
        <v>38081.0</v>
      </c>
      <c r="E2032" s="33">
        <f>IF(NOT(ISBLANK(vlookup($D2032,Pop_Census_2023!$A$2:$E$3220,4,FALSE))),vlookup($D2032,Pop_Census_2023!$A$2:$E$3220,4,FALSE), vlookup($D2032,Pop_Census_2023!$A$2:$E$3220,5,FALSE))</f>
        <v>3776</v>
      </c>
      <c r="F2032" s="32">
        <v>1035303.0</v>
      </c>
      <c r="G2032" s="32">
        <v>37.0</v>
      </c>
      <c r="H2032" s="32" t="str">
        <f>VLOOKUP(D2032, Grid_Region_Mapping!$D$2:$F$5286, 3, FALSE)</f>
        <v>SPPN</v>
      </c>
      <c r="I2032" s="32">
        <v>4.0</v>
      </c>
      <c r="J2032" s="34" t="str">
        <f t="shared" si="1"/>
        <v>Midwest</v>
      </c>
      <c r="K2032" s="35">
        <v>1.0</v>
      </c>
      <c r="L2032" s="35" t="s">
        <v>707</v>
      </c>
      <c r="M2032" s="36">
        <f>VLOOKUP(D2032, County_Data_CZones!$B$2:$F$3236, 2, FALSE)</f>
        <v>6</v>
      </c>
      <c r="N2032" s="37" t="str">
        <f>VLOOKUP(D2032, County_Data_CZones!$B$2:$F$3236, 5, FALSE)</f>
        <v>Cold</v>
      </c>
    </row>
    <row r="2033" ht="15.75" customHeight="1">
      <c r="A2033" s="32" t="s">
        <v>804</v>
      </c>
      <c r="B2033" s="32" t="s">
        <v>1390</v>
      </c>
      <c r="C2033" s="32" t="str">
        <f>vlookup(B2033,State_EMM_RowSums!$A$2:$B$52,2,FALSE)</f>
        <v>ND</v>
      </c>
      <c r="D2033" s="32">
        <v>38083.0</v>
      </c>
      <c r="E2033" s="33">
        <f>IF(NOT(ISBLANK(vlookup($D2033,Pop_Census_2023!$A$2:$E$3220,4,FALSE))),vlookup($D2033,Pop_Census_2023!$A$2:$E$3220,4,FALSE), vlookup($D2033,Pop_Census_2023!$A$2:$E$3220,5,FALSE))</f>
        <v>1266</v>
      </c>
      <c r="F2033" s="32">
        <v>1034203.0</v>
      </c>
      <c r="G2033" s="32">
        <v>37.0</v>
      </c>
      <c r="H2033" s="32" t="str">
        <f>VLOOKUP(D2033, Grid_Region_Mapping!$D$2:$F$5286, 3, FALSE)</f>
        <v>SPPN</v>
      </c>
      <c r="I2033" s="32">
        <v>4.0</v>
      </c>
      <c r="J2033" s="34" t="str">
        <f t="shared" si="1"/>
        <v>Midwest</v>
      </c>
      <c r="K2033" s="35">
        <v>1.0</v>
      </c>
      <c r="L2033" s="35">
        <v>7.0</v>
      </c>
      <c r="M2033" s="36">
        <f>VLOOKUP(D2033, County_Data_CZones!$B$2:$F$3236, 2, FALSE)</f>
        <v>7</v>
      </c>
      <c r="N2033" s="37" t="str">
        <f>VLOOKUP(D2033, County_Data_CZones!$B$2:$F$3236, 5, FALSE)</f>
        <v>Very Cold</v>
      </c>
    </row>
    <row r="2034" ht="15.75" customHeight="1">
      <c r="A2034" s="32" t="s">
        <v>743</v>
      </c>
      <c r="B2034" s="32" t="s">
        <v>1390</v>
      </c>
      <c r="C2034" s="32" t="str">
        <f>vlookup(B2034,State_EMM_RowSums!$A$2:$B$52,2,FALSE)</f>
        <v>ND</v>
      </c>
      <c r="D2034" s="32">
        <v>38085.0</v>
      </c>
      <c r="E2034" s="33">
        <f>IF(NOT(ISBLANK(vlookup($D2034,Pop_Census_2023!$A$2:$E$3220,4,FALSE))),vlookup($D2034,Pop_Census_2023!$A$2:$E$3220,4,FALSE), vlookup($D2034,Pop_Census_2023!$A$2:$E$3220,5,FALSE))</f>
        <v>3643</v>
      </c>
      <c r="F2034" s="32">
        <v>1034208.0</v>
      </c>
      <c r="G2034" s="32">
        <v>36.0</v>
      </c>
      <c r="H2034" s="32" t="str">
        <f>VLOOKUP(D2034, Grid_Region_Mapping!$D$2:$F$5286, 3, FALSE)</f>
        <v>SPPN</v>
      </c>
      <c r="I2034" s="32">
        <v>4.0</v>
      </c>
      <c r="J2034" s="34" t="str">
        <f t="shared" si="1"/>
        <v>Midwest</v>
      </c>
      <c r="K2034" s="35">
        <v>1.0</v>
      </c>
      <c r="L2034" s="35" t="s">
        <v>707</v>
      </c>
      <c r="M2034" s="36">
        <f>VLOOKUP(D2034, County_Data_CZones!$B$2:$F$3236, 2, FALSE)</f>
        <v>6</v>
      </c>
      <c r="N2034" s="37" t="str">
        <f>VLOOKUP(D2034, County_Data_CZones!$B$2:$F$3236, 5, FALSE)</f>
        <v>Cold</v>
      </c>
    </row>
    <row r="2035" ht="15.75" customHeight="1">
      <c r="A2035" s="32" t="s">
        <v>1415</v>
      </c>
      <c r="B2035" s="32" t="s">
        <v>1390</v>
      </c>
      <c r="C2035" s="32" t="str">
        <f>vlookup(B2035,State_EMM_RowSums!$A$2:$B$52,2,FALSE)</f>
        <v>ND</v>
      </c>
      <c r="D2035" s="32">
        <v>38087.0</v>
      </c>
      <c r="E2035" s="33">
        <f>IF(NOT(ISBLANK(vlookup($D2035,Pop_Census_2023!$A$2:$E$3220,4,FALSE))),vlookup($D2035,Pop_Census_2023!$A$2:$E$3220,4,FALSE), vlookup($D2035,Pop_Census_2023!$A$2:$E$3220,5,FALSE))</f>
        <v>674</v>
      </c>
      <c r="F2035" s="32">
        <v>1035896.0</v>
      </c>
      <c r="G2035" s="32">
        <v>36.0</v>
      </c>
      <c r="H2035" s="32" t="str">
        <f>VLOOKUP(D2035, Grid_Region_Mapping!$D$2:$F$5286, 3, FALSE)</f>
        <v>SPPN</v>
      </c>
      <c r="I2035" s="32">
        <v>4.0</v>
      </c>
      <c r="J2035" s="34" t="str">
        <f t="shared" si="1"/>
        <v>Midwest</v>
      </c>
      <c r="K2035" s="35">
        <v>1.0</v>
      </c>
      <c r="L2035" s="35" t="s">
        <v>707</v>
      </c>
      <c r="M2035" s="36">
        <f>VLOOKUP(D2035, County_Data_CZones!$B$2:$F$3236, 2, FALSE)</f>
        <v>6</v>
      </c>
      <c r="N2035" s="37" t="str">
        <f>VLOOKUP(D2035, County_Data_CZones!$B$2:$F$3236, 5, FALSE)</f>
        <v>Cold</v>
      </c>
    </row>
    <row r="2036" ht="15.75" customHeight="1">
      <c r="A2036" s="32" t="s">
        <v>653</v>
      </c>
      <c r="B2036" s="32" t="s">
        <v>1390</v>
      </c>
      <c r="C2036" s="32" t="str">
        <f>vlookup(B2036,State_EMM_RowSums!$A$2:$B$52,2,FALSE)</f>
        <v>ND</v>
      </c>
      <c r="D2036" s="32">
        <v>38089.0</v>
      </c>
      <c r="E2036" s="33">
        <f>IF(NOT(ISBLANK(vlookup($D2036,Pop_Census_2023!$A$2:$E$3220,4,FALSE))),vlookup($D2036,Pop_Census_2023!$A$2:$E$3220,4,FALSE), vlookup($D2036,Pop_Census_2023!$A$2:$E$3220,5,FALSE))</f>
        <v>33001</v>
      </c>
      <c r="F2036" s="32">
        <v>1035618.0</v>
      </c>
      <c r="G2036" s="32">
        <v>36.0</v>
      </c>
      <c r="H2036" s="32" t="str">
        <f>VLOOKUP(D2036, Grid_Region_Mapping!$D$2:$F$5286, 3, FALSE)</f>
        <v>SPPN</v>
      </c>
      <c r="I2036" s="32">
        <v>4.0</v>
      </c>
      <c r="J2036" s="34" t="str">
        <f t="shared" si="1"/>
        <v>Midwest</v>
      </c>
      <c r="K2036" s="35">
        <v>1.0</v>
      </c>
      <c r="L2036" s="35" t="s">
        <v>707</v>
      </c>
      <c r="M2036" s="36">
        <f>VLOOKUP(D2036, County_Data_CZones!$B$2:$F$3236, 2, FALSE)</f>
        <v>6</v>
      </c>
      <c r="N2036" s="37" t="str">
        <f>VLOOKUP(D2036, County_Data_CZones!$B$2:$F$3236, 5, FALSE)</f>
        <v>Cold</v>
      </c>
    </row>
    <row r="2037" ht="15.75" customHeight="1">
      <c r="A2037" s="32" t="s">
        <v>1077</v>
      </c>
      <c r="B2037" s="32" t="s">
        <v>1390</v>
      </c>
      <c r="C2037" s="32" t="str">
        <f>vlookup(B2037,State_EMM_RowSums!$A$2:$B$52,2,FALSE)</f>
        <v>ND</v>
      </c>
      <c r="D2037" s="32">
        <v>38091.0</v>
      </c>
      <c r="E2037" s="33">
        <f>IF(NOT(ISBLANK(vlookup($D2037,Pop_Census_2023!$A$2:$E$3220,4,FALSE))),vlookup($D2037,Pop_Census_2023!$A$2:$E$3220,4,FALSE), vlookup($D2037,Pop_Census_2023!$A$2:$E$3220,5,FALSE))</f>
        <v>1782</v>
      </c>
      <c r="F2037" s="32">
        <v>1034220.0</v>
      </c>
      <c r="G2037" s="32">
        <v>37.0</v>
      </c>
      <c r="H2037" s="32" t="str">
        <f>VLOOKUP(D2037, Grid_Region_Mapping!$D$2:$F$5286, 3, FALSE)</f>
        <v>SPPN</v>
      </c>
      <c r="I2037" s="32">
        <v>4.0</v>
      </c>
      <c r="J2037" s="34" t="str">
        <f t="shared" si="1"/>
        <v>Midwest</v>
      </c>
      <c r="K2037" s="35">
        <v>1.0</v>
      </c>
      <c r="L2037" s="35">
        <v>7.0</v>
      </c>
      <c r="M2037" s="36">
        <f>VLOOKUP(D2037, County_Data_CZones!$B$2:$F$3236, 2, FALSE)</f>
        <v>7</v>
      </c>
      <c r="N2037" s="37" t="str">
        <f>VLOOKUP(D2037, County_Data_CZones!$B$2:$F$3236, 5, FALSE)</f>
        <v>Very Cold</v>
      </c>
    </row>
    <row r="2038" ht="15.75" customHeight="1">
      <c r="A2038" s="32" t="s">
        <v>1416</v>
      </c>
      <c r="B2038" s="32" t="s">
        <v>1390</v>
      </c>
      <c r="C2038" s="32" t="str">
        <f>vlookup(B2038,State_EMM_RowSums!$A$2:$B$52,2,FALSE)</f>
        <v>ND</v>
      </c>
      <c r="D2038" s="32">
        <v>38093.0</v>
      </c>
      <c r="E2038" s="33">
        <f>IF(NOT(ISBLANK(vlookup($D2038,Pop_Census_2023!$A$2:$E$3220,4,FALSE))),vlookup($D2038,Pop_Census_2023!$A$2:$E$3220,4,FALSE), vlookup($D2038,Pop_Census_2023!$A$2:$E$3220,5,FALSE))</f>
        <v>21392</v>
      </c>
      <c r="F2038" s="32">
        <v>1034224.0</v>
      </c>
      <c r="G2038" s="32">
        <v>37.0</v>
      </c>
      <c r="H2038" s="32" t="str">
        <f>VLOOKUP(D2038, Grid_Region_Mapping!$D$2:$F$5286, 3, FALSE)</f>
        <v>SPPN</v>
      </c>
      <c r="I2038" s="32">
        <v>4.0</v>
      </c>
      <c r="J2038" s="34" t="str">
        <f t="shared" si="1"/>
        <v>Midwest</v>
      </c>
      <c r="K2038" s="35">
        <v>1.0</v>
      </c>
      <c r="L2038" s="35">
        <v>7.0</v>
      </c>
      <c r="M2038" s="36">
        <f>VLOOKUP(D2038, County_Data_CZones!$B$2:$F$3236, 2, FALSE)</f>
        <v>7</v>
      </c>
      <c r="N2038" s="37" t="str">
        <f>VLOOKUP(D2038, County_Data_CZones!$B$2:$F$3236, 5, FALSE)</f>
        <v>Very Cold</v>
      </c>
    </row>
    <row r="2039" ht="15.75" customHeight="1">
      <c r="A2039" s="32" t="s">
        <v>1417</v>
      </c>
      <c r="B2039" s="32" t="s">
        <v>1390</v>
      </c>
      <c r="C2039" s="32" t="str">
        <f>vlookup(B2039,State_EMM_RowSums!$A$2:$B$52,2,FALSE)</f>
        <v>ND</v>
      </c>
      <c r="D2039" s="32">
        <v>38095.0</v>
      </c>
      <c r="E2039" s="33">
        <f>IF(NOT(ISBLANK(vlookup($D2039,Pop_Census_2023!$A$2:$E$3220,4,FALSE))),vlookup($D2039,Pop_Census_2023!$A$2:$E$3220,4,FALSE), vlookup($D2039,Pop_Census_2023!$A$2:$E$3220,5,FALSE))</f>
        <v>2030</v>
      </c>
      <c r="F2039" s="32">
        <v>1034213.0</v>
      </c>
      <c r="G2039" s="32">
        <v>37.0</v>
      </c>
      <c r="H2039" s="32" t="str">
        <f>VLOOKUP(D2039, Grid_Region_Mapping!$D$2:$F$5286, 3, FALSE)</f>
        <v>SPPN</v>
      </c>
      <c r="I2039" s="32">
        <v>4.0</v>
      </c>
      <c r="J2039" s="34" t="str">
        <f t="shared" si="1"/>
        <v>Midwest</v>
      </c>
      <c r="K2039" s="35">
        <v>1.0</v>
      </c>
      <c r="L2039" s="35">
        <v>7.0</v>
      </c>
      <c r="M2039" s="36">
        <f>VLOOKUP(D2039, County_Data_CZones!$B$2:$F$3236, 2, FALSE)</f>
        <v>7</v>
      </c>
      <c r="N2039" s="37" t="str">
        <f>VLOOKUP(D2039, County_Data_CZones!$B$2:$F$3236, 5, FALSE)</f>
        <v>Very Cold</v>
      </c>
    </row>
    <row r="2040" ht="15.75" customHeight="1">
      <c r="A2040" s="32" t="s">
        <v>1418</v>
      </c>
      <c r="B2040" s="32" t="s">
        <v>1390</v>
      </c>
      <c r="C2040" s="32" t="str">
        <f>vlookup(B2040,State_EMM_RowSums!$A$2:$B$52,2,FALSE)</f>
        <v>ND</v>
      </c>
      <c r="D2040" s="32">
        <v>38097.0</v>
      </c>
      <c r="E2040" s="33">
        <f>IF(NOT(ISBLANK(vlookup($D2040,Pop_Census_2023!$A$2:$E$3220,4,FALSE))),vlookup($D2040,Pop_Census_2023!$A$2:$E$3220,4,FALSE), vlookup($D2040,Pop_Census_2023!$A$2:$E$3220,5,FALSE))</f>
        <v>7908</v>
      </c>
      <c r="F2040" s="32">
        <v>1034221.0</v>
      </c>
      <c r="G2040" s="32">
        <v>37.0</v>
      </c>
      <c r="H2040" s="32" t="str">
        <f>VLOOKUP(D2040, Grid_Region_Mapping!$D$2:$F$5286, 3, FALSE)</f>
        <v>SPPN</v>
      </c>
      <c r="I2040" s="32">
        <v>4.0</v>
      </c>
      <c r="J2040" s="34" t="str">
        <f t="shared" si="1"/>
        <v>Midwest</v>
      </c>
      <c r="K2040" s="35">
        <v>1.0</v>
      </c>
      <c r="L2040" s="35">
        <v>7.0</v>
      </c>
      <c r="M2040" s="36">
        <f>VLOOKUP(D2040, County_Data_CZones!$B$2:$F$3236, 2, FALSE)</f>
        <v>7</v>
      </c>
      <c r="N2040" s="37" t="str">
        <f>VLOOKUP(D2040, County_Data_CZones!$B$2:$F$3236, 5, FALSE)</f>
        <v>Very Cold</v>
      </c>
    </row>
    <row r="2041" ht="15.75" customHeight="1">
      <c r="A2041" s="32" t="s">
        <v>1419</v>
      </c>
      <c r="B2041" s="32" t="s">
        <v>1390</v>
      </c>
      <c r="C2041" s="32" t="str">
        <f>vlookup(B2041,State_EMM_RowSums!$A$2:$B$52,2,FALSE)</f>
        <v>ND</v>
      </c>
      <c r="D2041" s="32">
        <v>38099.0</v>
      </c>
      <c r="E2041" s="33">
        <f>IF(NOT(ISBLANK(vlookup($D2041,Pop_Census_2023!$A$2:$E$3220,4,FALSE))),vlookup($D2041,Pop_Census_2023!$A$2:$E$3220,4,FALSE), vlookup($D2041,Pop_Census_2023!$A$2:$E$3220,5,FALSE))</f>
        <v>10305</v>
      </c>
      <c r="F2041" s="32">
        <v>1034214.0</v>
      </c>
      <c r="G2041" s="32">
        <v>37.0</v>
      </c>
      <c r="H2041" s="32" t="str">
        <f>VLOOKUP(D2041, Grid_Region_Mapping!$D$2:$F$5286, 3, FALSE)</f>
        <v>MISW</v>
      </c>
      <c r="I2041" s="32">
        <v>4.0</v>
      </c>
      <c r="J2041" s="34" t="str">
        <f t="shared" si="1"/>
        <v>Midwest</v>
      </c>
      <c r="K2041" s="35">
        <v>1.0</v>
      </c>
      <c r="L2041" s="35">
        <v>7.0</v>
      </c>
      <c r="M2041" s="36">
        <f>VLOOKUP(D2041, County_Data_CZones!$B$2:$F$3236, 2, FALSE)</f>
        <v>7</v>
      </c>
      <c r="N2041" s="37" t="str">
        <f>VLOOKUP(D2041, County_Data_CZones!$B$2:$F$3236, 5, FALSE)</f>
        <v>Very Cold</v>
      </c>
    </row>
    <row r="2042" ht="15.75" customHeight="1">
      <c r="A2042" s="32" t="s">
        <v>1420</v>
      </c>
      <c r="B2042" s="32" t="s">
        <v>1390</v>
      </c>
      <c r="C2042" s="32" t="str">
        <f>vlookup(B2042,State_EMM_RowSums!$A$2:$B$52,2,FALSE)</f>
        <v>ND</v>
      </c>
      <c r="D2042" s="32">
        <v>38101.0</v>
      </c>
      <c r="E2042" s="33">
        <f>IF(NOT(ISBLANK(vlookup($D2042,Pop_Census_2023!$A$2:$E$3220,4,FALSE))),vlookup($D2042,Pop_Census_2023!$A$2:$E$3220,4,FALSE), vlookup($D2042,Pop_Census_2023!$A$2:$E$3220,5,FALSE))</f>
        <v>68332</v>
      </c>
      <c r="F2042" s="32">
        <v>1034231.0</v>
      </c>
      <c r="G2042" s="32">
        <v>37.0</v>
      </c>
      <c r="H2042" s="32" t="str">
        <f>VLOOKUP(D2042, Grid_Region_Mapping!$D$2:$F$5286, 3, FALSE)</f>
        <v>SPPN</v>
      </c>
      <c r="I2042" s="32">
        <v>4.0</v>
      </c>
      <c r="J2042" s="34" t="str">
        <f t="shared" si="1"/>
        <v>Midwest</v>
      </c>
      <c r="K2042" s="35">
        <v>1.0</v>
      </c>
      <c r="L2042" s="35">
        <v>7.0</v>
      </c>
      <c r="M2042" s="36">
        <f>VLOOKUP(D2042, County_Data_CZones!$B$2:$F$3236, 2, FALSE)</f>
        <v>7</v>
      </c>
      <c r="N2042" s="37" t="str">
        <f>VLOOKUP(D2042, County_Data_CZones!$B$2:$F$3236, 5, FALSE)</f>
        <v>Very Cold</v>
      </c>
    </row>
    <row r="2043" ht="15.75" customHeight="1">
      <c r="A2043" s="32" t="s">
        <v>702</v>
      </c>
      <c r="B2043" s="32" t="s">
        <v>1390</v>
      </c>
      <c r="C2043" s="32" t="str">
        <f>vlookup(B2043,State_EMM_RowSums!$A$2:$B$52,2,FALSE)</f>
        <v>ND</v>
      </c>
      <c r="D2043" s="32">
        <v>38103.0</v>
      </c>
      <c r="E2043" s="33">
        <f>IF(NOT(ISBLANK(vlookup($D2043,Pop_Census_2023!$A$2:$E$3220,4,FALSE))),vlookup($D2043,Pop_Census_2023!$A$2:$E$3220,4,FALSE), vlookup($D2043,Pop_Census_2023!$A$2:$E$3220,5,FALSE))</f>
        <v>3876</v>
      </c>
      <c r="F2043" s="32">
        <v>1034204.0</v>
      </c>
      <c r="G2043" s="32">
        <v>37.0</v>
      </c>
      <c r="H2043" s="32" t="str">
        <f>VLOOKUP(D2043, Grid_Region_Mapping!$D$2:$F$5286, 3, FALSE)</f>
        <v>SPPN</v>
      </c>
      <c r="I2043" s="32">
        <v>4.0</v>
      </c>
      <c r="J2043" s="34" t="str">
        <f t="shared" si="1"/>
        <v>Midwest</v>
      </c>
      <c r="K2043" s="35">
        <v>1.0</v>
      </c>
      <c r="L2043" s="35">
        <v>7.0</v>
      </c>
      <c r="M2043" s="36">
        <f>VLOOKUP(D2043, County_Data_CZones!$B$2:$F$3236, 2, FALSE)</f>
        <v>7</v>
      </c>
      <c r="N2043" s="37" t="str">
        <f>VLOOKUP(D2043, County_Data_CZones!$B$2:$F$3236, 5, FALSE)</f>
        <v>Very Cold</v>
      </c>
    </row>
    <row r="2044" ht="15.75" customHeight="1">
      <c r="A2044" s="32" t="s">
        <v>1421</v>
      </c>
      <c r="B2044" s="32" t="s">
        <v>1390</v>
      </c>
      <c r="C2044" s="32" t="str">
        <f>vlookup(B2044,State_EMM_RowSums!$A$2:$B$52,2,FALSE)</f>
        <v>ND</v>
      </c>
      <c r="D2044" s="32">
        <v>38105.0</v>
      </c>
      <c r="E2044" s="33">
        <f>IF(NOT(ISBLANK(vlookup($D2044,Pop_Census_2023!$A$2:$E$3220,4,FALSE))),vlookup($D2044,Pop_Census_2023!$A$2:$E$3220,4,FALSE), vlookup($D2044,Pop_Census_2023!$A$2:$E$3220,5,FALSE))</f>
        <v>39113</v>
      </c>
      <c r="F2044" s="32">
        <v>1035306.0</v>
      </c>
      <c r="G2044" s="32">
        <v>36.0</v>
      </c>
      <c r="H2044" s="32" t="str">
        <f>VLOOKUP(D2044, Grid_Region_Mapping!$D$2:$F$5286, 3, FALSE)</f>
        <v>MISW</v>
      </c>
      <c r="I2044" s="32">
        <v>4.0</v>
      </c>
      <c r="J2044" s="34" t="str">
        <f t="shared" si="1"/>
        <v>Midwest</v>
      </c>
      <c r="K2044" s="35">
        <v>1.0</v>
      </c>
      <c r="L2044" s="35">
        <v>7.0</v>
      </c>
      <c r="M2044" s="36">
        <f>VLOOKUP(D2044, County_Data_CZones!$B$2:$F$3236, 2, FALSE)</f>
        <v>7</v>
      </c>
      <c r="N2044" s="37" t="str">
        <f>VLOOKUP(D2044, County_Data_CZones!$B$2:$F$3236, 5, FALSE)</f>
        <v>Very Cold</v>
      </c>
    </row>
    <row r="2045" ht="15.75" customHeight="1">
      <c r="A2045" s="32" t="s">
        <v>338</v>
      </c>
      <c r="B2045" s="32" t="s">
        <v>683</v>
      </c>
      <c r="C2045" s="32" t="str">
        <f>vlookup(B2045,State_EMM_RowSums!$A$2:$B$52,2,FALSE)</f>
        <v>OH</v>
      </c>
      <c r="D2045" s="32">
        <v>39001.0</v>
      </c>
      <c r="E2045" s="33">
        <f>IF(NOT(ISBLANK(vlookup($D2045,Pop_Census_2023!$A$2:$E$3220,4,FALSE))),vlookup($D2045,Pop_Census_2023!$A$2:$E$3220,4,FALSE), vlookup($D2045,Pop_Census_2023!$A$2:$E$3220,5,FALSE))</f>
        <v>27521</v>
      </c>
      <c r="F2045" s="32">
        <v>1074014.0</v>
      </c>
      <c r="G2045" s="32">
        <v>112.0</v>
      </c>
      <c r="H2045" s="32" t="str">
        <f>VLOOKUP(D2045, Grid_Region_Mapping!$D$2:$F$5286, 3, FALSE)</f>
        <v>PJMW</v>
      </c>
      <c r="I2045" s="32">
        <v>3.0</v>
      </c>
      <c r="J2045" s="34" t="str">
        <f t="shared" si="1"/>
        <v>Midwest</v>
      </c>
      <c r="K2045" s="35">
        <v>3.0</v>
      </c>
      <c r="L2045" s="35" t="s">
        <v>223</v>
      </c>
      <c r="M2045" s="36">
        <f>VLOOKUP(D2045, County_Data_CZones!$B$2:$F$3236, 2, FALSE)</f>
        <v>4</v>
      </c>
      <c r="N2045" s="37" t="str">
        <f>VLOOKUP(D2045, County_Data_CZones!$B$2:$F$3236, 5, FALSE)</f>
        <v>Mixed-Humid</v>
      </c>
    </row>
    <row r="2046" ht="15.75" customHeight="1">
      <c r="A2046" s="32" t="s">
        <v>664</v>
      </c>
      <c r="B2046" s="32" t="s">
        <v>683</v>
      </c>
      <c r="C2046" s="32" t="str">
        <f>vlookup(B2046,State_EMM_RowSums!$A$2:$B$52,2,FALSE)</f>
        <v>OH</v>
      </c>
      <c r="D2046" s="32">
        <v>39003.0</v>
      </c>
      <c r="E2046" s="33">
        <f>IF(NOT(ISBLANK(vlookup($D2046,Pop_Census_2023!$A$2:$E$3220,4,FALSE))),vlookup($D2046,Pop_Census_2023!$A$2:$E$3220,4,FALSE), vlookup($D2046,Pop_Census_2023!$A$2:$E$3220,5,FALSE))</f>
        <v>100838</v>
      </c>
      <c r="F2046" s="32">
        <v>1074015.0</v>
      </c>
      <c r="G2046" s="32">
        <v>112.0</v>
      </c>
      <c r="H2046" s="32" t="str">
        <f>VLOOKUP(D2046, Grid_Region_Mapping!$D$2:$F$5286, 3, FALSE)</f>
        <v>PJMW</v>
      </c>
      <c r="I2046" s="32">
        <v>3.0</v>
      </c>
      <c r="J2046" s="34" t="str">
        <f t="shared" si="1"/>
        <v>Midwest</v>
      </c>
      <c r="K2046" s="35">
        <v>2.0</v>
      </c>
      <c r="L2046" s="35" t="s">
        <v>396</v>
      </c>
      <c r="M2046" s="36">
        <f>VLOOKUP(D2046, County_Data_CZones!$B$2:$F$3236, 2, FALSE)</f>
        <v>5</v>
      </c>
      <c r="N2046" s="37" t="str">
        <f>VLOOKUP(D2046, County_Data_CZones!$B$2:$F$3236, 5, FALSE)</f>
        <v>Cold</v>
      </c>
    </row>
    <row r="2047" ht="15.75" customHeight="1">
      <c r="A2047" s="32" t="s">
        <v>1422</v>
      </c>
      <c r="B2047" s="32" t="s">
        <v>683</v>
      </c>
      <c r="C2047" s="32" t="str">
        <f>vlookup(B2047,State_EMM_RowSums!$A$2:$B$52,2,FALSE)</f>
        <v>OH</v>
      </c>
      <c r="D2047" s="32">
        <v>39005.0</v>
      </c>
      <c r="E2047" s="33">
        <f>IF(NOT(ISBLANK(vlookup($D2047,Pop_Census_2023!$A$2:$E$3220,4,FALSE))),vlookup($D2047,Pop_Census_2023!$A$2:$E$3220,4,FALSE), vlookup($D2047,Pop_Census_2023!$A$2:$E$3220,5,FALSE))</f>
        <v>52190</v>
      </c>
      <c r="F2047" s="32">
        <v>1074016.0</v>
      </c>
      <c r="G2047" s="32">
        <v>112.0</v>
      </c>
      <c r="H2047" s="32" t="str">
        <f>VLOOKUP(D2047, Grid_Region_Mapping!$D$2:$F$5286, 3, FALSE)</f>
        <v>PJMW</v>
      </c>
      <c r="I2047" s="32">
        <v>3.0</v>
      </c>
      <c r="J2047" s="34" t="str">
        <f t="shared" si="1"/>
        <v>Midwest</v>
      </c>
      <c r="K2047" s="35">
        <v>2.0</v>
      </c>
      <c r="L2047" s="35" t="s">
        <v>396</v>
      </c>
      <c r="M2047" s="36">
        <f>VLOOKUP(D2047, County_Data_CZones!$B$2:$F$3236, 2, FALSE)</f>
        <v>5</v>
      </c>
      <c r="N2047" s="37" t="str">
        <f>VLOOKUP(D2047, County_Data_CZones!$B$2:$F$3236, 5, FALSE)</f>
        <v>Cold</v>
      </c>
    </row>
    <row r="2048" ht="15.75" customHeight="1">
      <c r="A2048" s="32" t="s">
        <v>1423</v>
      </c>
      <c r="B2048" s="32" t="s">
        <v>683</v>
      </c>
      <c r="C2048" s="32" t="str">
        <f>vlookup(B2048,State_EMM_RowSums!$A$2:$B$52,2,FALSE)</f>
        <v>OH</v>
      </c>
      <c r="D2048" s="32">
        <v>39007.0</v>
      </c>
      <c r="E2048" s="33">
        <f>IF(NOT(ISBLANK(vlookup($D2048,Pop_Census_2023!$A$2:$E$3220,4,FALSE))),vlookup($D2048,Pop_Census_2023!$A$2:$E$3220,4,FALSE), vlookup($D2048,Pop_Census_2023!$A$2:$E$3220,5,FALSE))</f>
        <v>96845</v>
      </c>
      <c r="F2048" s="32">
        <v>1074017.0</v>
      </c>
      <c r="G2048" s="32">
        <v>111.0</v>
      </c>
      <c r="H2048" s="32" t="str">
        <f>VLOOKUP(D2048, Grid_Region_Mapping!$D$2:$F$5286, 3, FALSE)</f>
        <v>PJMW</v>
      </c>
      <c r="I2048" s="32">
        <v>3.0</v>
      </c>
      <c r="J2048" s="34" t="str">
        <f t="shared" si="1"/>
        <v>Midwest</v>
      </c>
      <c r="K2048" s="35">
        <v>2.0</v>
      </c>
      <c r="L2048" s="35" t="s">
        <v>396</v>
      </c>
      <c r="M2048" s="36">
        <f>VLOOKUP(D2048, County_Data_CZones!$B$2:$F$3236, 2, FALSE)</f>
        <v>5</v>
      </c>
      <c r="N2048" s="37" t="str">
        <f>VLOOKUP(D2048, County_Data_CZones!$B$2:$F$3236, 5, FALSE)</f>
        <v>Cold</v>
      </c>
    </row>
    <row r="2049" ht="15.75" customHeight="1">
      <c r="A2049" s="32" t="s">
        <v>1424</v>
      </c>
      <c r="B2049" s="32" t="s">
        <v>683</v>
      </c>
      <c r="C2049" s="32" t="str">
        <f>vlookup(B2049,State_EMM_RowSums!$A$2:$B$52,2,FALSE)</f>
        <v>OH</v>
      </c>
      <c r="D2049" s="32">
        <v>39009.0</v>
      </c>
      <c r="E2049" s="33">
        <f>IF(NOT(ISBLANK(vlookup($D2049,Pop_Census_2023!$A$2:$E$3220,4,FALSE))),vlookup($D2049,Pop_Census_2023!$A$2:$E$3220,4,FALSE), vlookup($D2049,Pop_Census_2023!$A$2:$E$3220,5,FALSE))</f>
        <v>62706</v>
      </c>
      <c r="F2049" s="32">
        <v>1074018.0</v>
      </c>
      <c r="G2049" s="32">
        <v>112.0</v>
      </c>
      <c r="H2049" s="32" t="str">
        <f>VLOOKUP(D2049, Grid_Region_Mapping!$D$2:$F$5286, 3, FALSE)</f>
        <v>PJMW</v>
      </c>
      <c r="I2049" s="32">
        <v>3.0</v>
      </c>
      <c r="J2049" s="34" t="str">
        <f t="shared" si="1"/>
        <v>Midwest</v>
      </c>
      <c r="K2049" s="35">
        <v>3.0</v>
      </c>
      <c r="L2049" s="35" t="s">
        <v>396</v>
      </c>
      <c r="M2049" s="36">
        <f>VLOOKUP(D2049, County_Data_CZones!$B$2:$F$3236, 2, FALSE)</f>
        <v>5</v>
      </c>
      <c r="N2049" s="37" t="str">
        <f>VLOOKUP(D2049, County_Data_CZones!$B$2:$F$3236, 5, FALSE)</f>
        <v>Cold</v>
      </c>
    </row>
    <row r="2050" ht="15.75" customHeight="1">
      <c r="A2050" s="32" t="s">
        <v>1425</v>
      </c>
      <c r="B2050" s="32" t="s">
        <v>683</v>
      </c>
      <c r="C2050" s="32" t="str">
        <f>vlookup(B2050,State_EMM_RowSums!$A$2:$B$52,2,FALSE)</f>
        <v>OH</v>
      </c>
      <c r="D2050" s="32">
        <v>39011.0</v>
      </c>
      <c r="E2050" s="33">
        <f>IF(NOT(ISBLANK(vlookup($D2050,Pop_Census_2023!$A$2:$E$3220,4,FALSE))),vlookup($D2050,Pop_Census_2023!$A$2:$E$3220,4,FALSE), vlookup($D2050,Pop_Census_2023!$A$2:$E$3220,5,FALSE))</f>
        <v>46050</v>
      </c>
      <c r="F2050" s="32">
        <v>1074019.0</v>
      </c>
      <c r="G2050" s="32">
        <v>112.0</v>
      </c>
      <c r="H2050" s="32" t="str">
        <f>VLOOKUP(D2050, Grid_Region_Mapping!$D$2:$F$5286, 3, FALSE)</f>
        <v>PJMW</v>
      </c>
      <c r="I2050" s="32">
        <v>3.0</v>
      </c>
      <c r="J2050" s="34" t="str">
        <f t="shared" si="1"/>
        <v>Midwest</v>
      </c>
      <c r="K2050" s="35">
        <v>2.0</v>
      </c>
      <c r="L2050" s="35" t="s">
        <v>396</v>
      </c>
      <c r="M2050" s="36">
        <f>VLOOKUP(D2050, County_Data_CZones!$B$2:$F$3236, 2, FALSE)</f>
        <v>5</v>
      </c>
      <c r="N2050" s="37" t="str">
        <f>VLOOKUP(D2050, County_Data_CZones!$B$2:$F$3236, 5, FALSE)</f>
        <v>Cold</v>
      </c>
    </row>
    <row r="2051" ht="15.75" customHeight="1">
      <c r="A2051" s="32" t="s">
        <v>1426</v>
      </c>
      <c r="B2051" s="32" t="s">
        <v>683</v>
      </c>
      <c r="C2051" s="32" t="str">
        <f>vlookup(B2051,State_EMM_RowSums!$A$2:$B$52,2,FALSE)</f>
        <v>OH</v>
      </c>
      <c r="D2051" s="32">
        <v>39013.0</v>
      </c>
      <c r="E2051" s="33">
        <f>IF(NOT(ISBLANK(vlookup($D2051,Pop_Census_2023!$A$2:$E$3220,4,FALSE))),vlookup($D2051,Pop_Census_2023!$A$2:$E$3220,4,FALSE), vlookup($D2051,Pop_Census_2023!$A$2:$E$3220,5,FALSE))</f>
        <v>64918</v>
      </c>
      <c r="F2051" s="32">
        <v>1065575.0</v>
      </c>
      <c r="G2051" s="32">
        <v>112.0</v>
      </c>
      <c r="H2051" s="32" t="str">
        <f>VLOOKUP(D2051, Grid_Region_Mapping!$D$2:$F$5286, 3, FALSE)</f>
        <v>PJMW</v>
      </c>
      <c r="I2051" s="32">
        <v>3.0</v>
      </c>
      <c r="J2051" s="34" t="str">
        <f t="shared" si="1"/>
        <v>Midwest</v>
      </c>
      <c r="K2051" s="35">
        <v>2.0</v>
      </c>
      <c r="L2051" s="35" t="s">
        <v>396</v>
      </c>
      <c r="M2051" s="36">
        <f>VLOOKUP(D2051, County_Data_CZones!$B$2:$F$3236, 2, FALSE)</f>
        <v>5</v>
      </c>
      <c r="N2051" s="37" t="str">
        <f>VLOOKUP(D2051, County_Data_CZones!$B$2:$F$3236, 5, FALSE)</f>
        <v>Cold</v>
      </c>
    </row>
    <row r="2052" ht="15.75" customHeight="1">
      <c r="A2052" s="32" t="s">
        <v>611</v>
      </c>
      <c r="B2052" s="32" t="s">
        <v>683</v>
      </c>
      <c r="C2052" s="32" t="str">
        <f>vlookup(B2052,State_EMM_RowSums!$A$2:$B$52,2,FALSE)</f>
        <v>OH</v>
      </c>
      <c r="D2052" s="32">
        <v>39015.0</v>
      </c>
      <c r="E2052" s="33">
        <f>IF(NOT(ISBLANK(vlookup($D2052,Pop_Census_2023!$A$2:$E$3220,4,FALSE))),vlookup($D2052,Pop_Census_2023!$A$2:$E$3220,4,FALSE), vlookup($D2052,Pop_Census_2023!$A$2:$E$3220,5,FALSE))</f>
        <v>43777</v>
      </c>
      <c r="F2052" s="32">
        <v>1074020.0</v>
      </c>
      <c r="G2052" s="32">
        <v>114.0</v>
      </c>
      <c r="H2052" s="32" t="str">
        <f>VLOOKUP(D2052, Grid_Region_Mapping!$D$2:$F$5286, 3, FALSE)</f>
        <v>PJMW</v>
      </c>
      <c r="I2052" s="32">
        <v>3.0</v>
      </c>
      <c r="J2052" s="34" t="str">
        <f t="shared" si="1"/>
        <v>Midwest</v>
      </c>
      <c r="K2052" s="35">
        <v>3.0</v>
      </c>
      <c r="L2052" s="35" t="s">
        <v>223</v>
      </c>
      <c r="M2052" s="36">
        <f>VLOOKUP(D2052, County_Data_CZones!$B$2:$F$3236, 2, FALSE)</f>
        <v>4</v>
      </c>
      <c r="N2052" s="37" t="str">
        <f>VLOOKUP(D2052, County_Data_CZones!$B$2:$F$3236, 5, FALSE)</f>
        <v>Mixed-Humid</v>
      </c>
    </row>
    <row r="2053" ht="15.75" customHeight="1">
      <c r="A2053" s="32" t="s">
        <v>109</v>
      </c>
      <c r="B2053" s="32" t="s">
        <v>683</v>
      </c>
      <c r="C2053" s="32" t="str">
        <f>vlookup(B2053,State_EMM_RowSums!$A$2:$B$52,2,FALSE)</f>
        <v>OH</v>
      </c>
      <c r="D2053" s="32">
        <v>39017.0</v>
      </c>
      <c r="E2053" s="33">
        <f>IF(NOT(ISBLANK(vlookup($D2053,Pop_Census_2023!$A$2:$E$3220,4,FALSE))),vlookup($D2053,Pop_Census_2023!$A$2:$E$3220,4,FALSE), vlookup($D2053,Pop_Census_2023!$A$2:$E$3220,5,FALSE))</f>
        <v>393043</v>
      </c>
      <c r="F2053" s="32">
        <v>1074021.0</v>
      </c>
      <c r="G2053" s="32">
        <v>114.0</v>
      </c>
      <c r="H2053" s="32" t="str">
        <f>VLOOKUP(D2053, Grid_Region_Mapping!$D$2:$F$5286, 3, FALSE)</f>
        <v>PJMW</v>
      </c>
      <c r="I2053" s="32">
        <v>3.0</v>
      </c>
      <c r="J2053" s="34" t="str">
        <f t="shared" si="1"/>
        <v>Midwest</v>
      </c>
      <c r="K2053" s="35">
        <v>2.0</v>
      </c>
      <c r="L2053" s="35" t="s">
        <v>396</v>
      </c>
      <c r="M2053" s="36">
        <f>VLOOKUP(D2053, County_Data_CZones!$B$2:$F$3236, 2, FALSE)</f>
        <v>5</v>
      </c>
      <c r="N2053" s="37" t="str">
        <f>VLOOKUP(D2053, County_Data_CZones!$B$2:$F$3236, 5, FALSE)</f>
        <v>Cold</v>
      </c>
    </row>
    <row r="2054" ht="15.75" customHeight="1">
      <c r="A2054" s="32" t="s">
        <v>227</v>
      </c>
      <c r="B2054" s="32" t="s">
        <v>683</v>
      </c>
      <c r="C2054" s="32" t="str">
        <f>vlookup(B2054,State_EMM_RowSums!$A$2:$B$52,2,FALSE)</f>
        <v>OH</v>
      </c>
      <c r="D2054" s="32">
        <v>39019.0</v>
      </c>
      <c r="E2054" s="33">
        <f>IF(NOT(ISBLANK(vlookup($D2054,Pop_Census_2023!$A$2:$E$3220,4,FALSE))),vlookup($D2054,Pop_Census_2023!$A$2:$E$3220,4,FALSE), vlookup($D2054,Pop_Census_2023!$A$2:$E$3220,5,FALSE))</f>
        <v>26758</v>
      </c>
      <c r="F2054" s="32">
        <v>1074022.0</v>
      </c>
      <c r="G2054" s="32">
        <v>112.0</v>
      </c>
      <c r="H2054" s="32" t="str">
        <f>VLOOKUP(D2054, Grid_Region_Mapping!$D$2:$F$5286, 3, FALSE)</f>
        <v>PJMW</v>
      </c>
      <c r="I2054" s="32">
        <v>3.0</v>
      </c>
      <c r="J2054" s="34" t="str">
        <f t="shared" si="1"/>
        <v>Midwest</v>
      </c>
      <c r="K2054" s="35">
        <v>2.0</v>
      </c>
      <c r="L2054" s="35" t="s">
        <v>396</v>
      </c>
      <c r="M2054" s="36">
        <f>VLOOKUP(D2054, County_Data_CZones!$B$2:$F$3236, 2, FALSE)</f>
        <v>5</v>
      </c>
      <c r="N2054" s="37" t="str">
        <f>VLOOKUP(D2054, County_Data_CZones!$B$2:$F$3236, 5, FALSE)</f>
        <v>Cold</v>
      </c>
    </row>
    <row r="2055" ht="15.75" customHeight="1">
      <c r="A2055" s="32" t="s">
        <v>614</v>
      </c>
      <c r="B2055" s="32" t="s">
        <v>683</v>
      </c>
      <c r="C2055" s="32" t="str">
        <f>vlookup(B2055,State_EMM_RowSums!$A$2:$B$52,2,FALSE)</f>
        <v>OH</v>
      </c>
      <c r="D2055" s="32">
        <v>39021.0</v>
      </c>
      <c r="E2055" s="33">
        <f>IF(NOT(ISBLANK(vlookup($D2055,Pop_Census_2023!$A$2:$E$3220,4,FALSE))),vlookup($D2055,Pop_Census_2023!$A$2:$E$3220,4,FALSE), vlookup($D2055,Pop_Census_2023!$A$2:$E$3220,5,FALSE))</f>
        <v>38845</v>
      </c>
      <c r="F2055" s="32">
        <v>1074023.0</v>
      </c>
      <c r="G2055" s="32">
        <v>112.0</v>
      </c>
      <c r="H2055" s="32" t="str">
        <f>VLOOKUP(D2055, Grid_Region_Mapping!$D$2:$F$5286, 3, FALSE)</f>
        <v>PJMW</v>
      </c>
      <c r="I2055" s="32">
        <v>3.0</v>
      </c>
      <c r="J2055" s="34" t="str">
        <f t="shared" si="1"/>
        <v>Midwest</v>
      </c>
      <c r="K2055" s="35">
        <v>2.0</v>
      </c>
      <c r="L2055" s="35" t="s">
        <v>396</v>
      </c>
      <c r="M2055" s="36">
        <f>VLOOKUP(D2055, County_Data_CZones!$B$2:$F$3236, 2, FALSE)</f>
        <v>5</v>
      </c>
      <c r="N2055" s="37" t="str">
        <f>VLOOKUP(D2055, County_Data_CZones!$B$2:$F$3236, 5, FALSE)</f>
        <v>Cold</v>
      </c>
    </row>
    <row r="2056" ht="15.75" customHeight="1">
      <c r="A2056" s="32" t="s">
        <v>229</v>
      </c>
      <c r="B2056" s="32" t="s">
        <v>683</v>
      </c>
      <c r="C2056" s="32" t="str">
        <f>vlookup(B2056,State_EMM_RowSums!$A$2:$B$52,2,FALSE)</f>
        <v>OH</v>
      </c>
      <c r="D2056" s="32">
        <v>39023.0</v>
      </c>
      <c r="E2056" s="33">
        <f>IF(NOT(ISBLANK(vlookup($D2056,Pop_Census_2023!$A$2:$E$3220,4,FALSE))),vlookup($D2056,Pop_Census_2023!$A$2:$E$3220,4,FALSE), vlookup($D2056,Pop_Census_2023!$A$2:$E$3220,5,FALSE))</f>
        <v>134610</v>
      </c>
      <c r="F2056" s="32">
        <v>1074024.0</v>
      </c>
      <c r="G2056" s="32">
        <v>113.0</v>
      </c>
      <c r="H2056" s="32" t="str">
        <f>VLOOKUP(D2056, Grid_Region_Mapping!$D$2:$F$5286, 3, FALSE)</f>
        <v>PJMW</v>
      </c>
      <c r="I2056" s="32">
        <v>3.0</v>
      </c>
      <c r="J2056" s="34" t="str">
        <f t="shared" si="1"/>
        <v>Midwest</v>
      </c>
      <c r="K2056" s="35">
        <v>2.0</v>
      </c>
      <c r="L2056" s="35" t="s">
        <v>396</v>
      </c>
      <c r="M2056" s="36">
        <f>VLOOKUP(D2056, County_Data_CZones!$B$2:$F$3236, 2, FALSE)</f>
        <v>5</v>
      </c>
      <c r="N2056" s="37" t="str">
        <f>VLOOKUP(D2056, County_Data_CZones!$B$2:$F$3236, 5, FALSE)</f>
        <v>Cold</v>
      </c>
    </row>
    <row r="2057" ht="15.75" customHeight="1">
      <c r="A2057" s="32" t="s">
        <v>1427</v>
      </c>
      <c r="B2057" s="32" t="s">
        <v>683</v>
      </c>
      <c r="C2057" s="32" t="str">
        <f>vlookup(B2057,State_EMM_RowSums!$A$2:$B$52,2,FALSE)</f>
        <v>OH</v>
      </c>
      <c r="D2057" s="32">
        <v>39025.0</v>
      </c>
      <c r="E2057" s="33">
        <f>IF(NOT(ISBLANK(vlookup($D2057,Pop_Census_2023!$A$2:$E$3220,4,FALSE))),vlookup($D2057,Pop_Census_2023!$A$2:$E$3220,4,FALSE), vlookup($D2057,Pop_Census_2023!$A$2:$E$3220,5,FALSE))</f>
        <v>211972</v>
      </c>
      <c r="F2057" s="32">
        <v>1074025.0</v>
      </c>
      <c r="G2057" s="32">
        <v>114.0</v>
      </c>
      <c r="H2057" s="32" t="str">
        <f>VLOOKUP(D2057, Grid_Region_Mapping!$D$2:$F$5286, 3, FALSE)</f>
        <v>PJMW</v>
      </c>
      <c r="I2057" s="32">
        <v>3.0</v>
      </c>
      <c r="J2057" s="34" t="str">
        <f t="shared" si="1"/>
        <v>Midwest</v>
      </c>
      <c r="K2057" s="35">
        <v>3.0</v>
      </c>
      <c r="L2057" s="35" t="s">
        <v>223</v>
      </c>
      <c r="M2057" s="36">
        <f>VLOOKUP(D2057, County_Data_CZones!$B$2:$F$3236, 2, FALSE)</f>
        <v>4</v>
      </c>
      <c r="N2057" s="37" t="str">
        <f>VLOOKUP(D2057, County_Data_CZones!$B$2:$F$3236, 5, FALSE)</f>
        <v>Mixed-Humid</v>
      </c>
    </row>
    <row r="2058" ht="15.75" customHeight="1">
      <c r="A2058" s="32" t="s">
        <v>616</v>
      </c>
      <c r="B2058" s="32" t="s">
        <v>683</v>
      </c>
      <c r="C2058" s="32" t="str">
        <f>vlookup(B2058,State_EMM_RowSums!$A$2:$B$52,2,FALSE)</f>
        <v>OH</v>
      </c>
      <c r="D2058" s="32">
        <v>39027.0</v>
      </c>
      <c r="E2058" s="33">
        <f>IF(NOT(ISBLANK(vlookup($D2058,Pop_Census_2023!$A$2:$E$3220,4,FALSE))),vlookup($D2058,Pop_Census_2023!$A$2:$E$3220,4,FALSE), vlookup($D2058,Pop_Census_2023!$A$2:$E$3220,5,FALSE))</f>
        <v>41938</v>
      </c>
      <c r="F2058" s="32">
        <v>1074026.0</v>
      </c>
      <c r="G2058" s="32">
        <v>113.0</v>
      </c>
      <c r="H2058" s="32" t="str">
        <f>VLOOKUP(D2058, Grid_Region_Mapping!$D$2:$F$5286, 3, FALSE)</f>
        <v>PJMW</v>
      </c>
      <c r="I2058" s="32">
        <v>3.0</v>
      </c>
      <c r="J2058" s="34" t="str">
        <f t="shared" si="1"/>
        <v>Midwest</v>
      </c>
      <c r="K2058" s="35">
        <v>2.0</v>
      </c>
      <c r="L2058" s="35" t="s">
        <v>396</v>
      </c>
      <c r="M2058" s="36">
        <f>VLOOKUP(D2058, County_Data_CZones!$B$2:$F$3236, 2, FALSE)</f>
        <v>5</v>
      </c>
      <c r="N2058" s="37" t="str">
        <f>VLOOKUP(D2058, County_Data_CZones!$B$2:$F$3236, 5, FALSE)</f>
        <v>Cold</v>
      </c>
    </row>
    <row r="2059" ht="15.75" customHeight="1">
      <c r="A2059" s="32" t="s">
        <v>1428</v>
      </c>
      <c r="B2059" s="32" t="s">
        <v>683</v>
      </c>
      <c r="C2059" s="32" t="str">
        <f>vlookup(B2059,State_EMM_RowSums!$A$2:$B$52,2,FALSE)</f>
        <v>OH</v>
      </c>
      <c r="D2059" s="32">
        <v>39029.0</v>
      </c>
      <c r="E2059" s="33">
        <f>IF(NOT(ISBLANK(vlookup($D2059,Pop_Census_2023!$A$2:$E$3220,4,FALSE))),vlookup($D2059,Pop_Census_2023!$A$2:$E$3220,4,FALSE), vlookup($D2059,Pop_Census_2023!$A$2:$E$3220,5,FALSE))</f>
        <v>100182</v>
      </c>
      <c r="F2059" s="32">
        <v>1074027.0</v>
      </c>
      <c r="G2059" s="32">
        <v>111.0</v>
      </c>
      <c r="H2059" s="32" t="str">
        <f>VLOOKUP(D2059, Grid_Region_Mapping!$D$2:$F$5286, 3, FALSE)</f>
        <v>PJMW</v>
      </c>
      <c r="I2059" s="32">
        <v>3.0</v>
      </c>
      <c r="J2059" s="34" t="str">
        <f t="shared" si="1"/>
        <v>Midwest</v>
      </c>
      <c r="K2059" s="35">
        <v>2.0</v>
      </c>
      <c r="L2059" s="35" t="s">
        <v>396</v>
      </c>
      <c r="M2059" s="36">
        <f>VLOOKUP(D2059, County_Data_CZones!$B$2:$F$3236, 2, FALSE)</f>
        <v>5</v>
      </c>
      <c r="N2059" s="37" t="str">
        <f>VLOOKUP(D2059, County_Data_CZones!$B$2:$F$3236, 5, FALSE)</f>
        <v>Cold</v>
      </c>
    </row>
    <row r="2060" ht="15.75" customHeight="1">
      <c r="A2060" s="32" t="s">
        <v>1429</v>
      </c>
      <c r="B2060" s="32" t="s">
        <v>683</v>
      </c>
      <c r="C2060" s="32" t="str">
        <f>vlookup(B2060,State_EMM_RowSums!$A$2:$B$52,2,FALSE)</f>
        <v>OH</v>
      </c>
      <c r="D2060" s="32">
        <v>39031.0</v>
      </c>
      <c r="E2060" s="33">
        <f>IF(NOT(ISBLANK(vlookup($D2060,Pop_Census_2023!$A$2:$E$3220,4,FALSE))),vlookup($D2060,Pop_Census_2023!$A$2:$E$3220,4,FALSE), vlookup($D2060,Pop_Census_2023!$A$2:$E$3220,5,FALSE))</f>
        <v>36869</v>
      </c>
      <c r="F2060" s="32">
        <v>1074028.0</v>
      </c>
      <c r="G2060" s="32">
        <v>112.0</v>
      </c>
      <c r="H2060" s="32" t="str">
        <f>VLOOKUP(D2060, Grid_Region_Mapping!$D$2:$F$5286, 3, FALSE)</f>
        <v>PJMW</v>
      </c>
      <c r="I2060" s="32">
        <v>3.0</v>
      </c>
      <c r="J2060" s="34" t="str">
        <f t="shared" si="1"/>
        <v>Midwest</v>
      </c>
      <c r="K2060" s="35">
        <v>2.0</v>
      </c>
      <c r="L2060" s="35" t="s">
        <v>396</v>
      </c>
      <c r="M2060" s="36">
        <f>VLOOKUP(D2060, County_Data_CZones!$B$2:$F$3236, 2, FALSE)</f>
        <v>5</v>
      </c>
      <c r="N2060" s="37" t="str">
        <f>VLOOKUP(D2060, County_Data_CZones!$B$2:$F$3236, 5, FALSE)</f>
        <v>Cold</v>
      </c>
    </row>
    <row r="2061" ht="15.75" customHeight="1">
      <c r="A2061" s="32" t="s">
        <v>234</v>
      </c>
      <c r="B2061" s="32" t="s">
        <v>683</v>
      </c>
      <c r="C2061" s="32" t="str">
        <f>vlookup(B2061,State_EMM_RowSums!$A$2:$B$52,2,FALSE)</f>
        <v>OH</v>
      </c>
      <c r="D2061" s="32">
        <v>39033.0</v>
      </c>
      <c r="E2061" s="33">
        <f>IF(NOT(ISBLANK(vlookup($D2061,Pop_Census_2023!$A$2:$E$3220,4,FALSE))),vlookup($D2061,Pop_Census_2023!$A$2:$E$3220,4,FALSE), vlookup($D2061,Pop_Census_2023!$A$2:$E$3220,5,FALSE))</f>
        <v>41529</v>
      </c>
      <c r="F2061" s="32">
        <v>1074029.0</v>
      </c>
      <c r="G2061" s="32">
        <v>112.0</v>
      </c>
      <c r="H2061" s="32" t="str">
        <f>VLOOKUP(D2061, Grid_Region_Mapping!$D$2:$F$5286, 3, FALSE)</f>
        <v>PJMW</v>
      </c>
      <c r="I2061" s="32">
        <v>3.0</v>
      </c>
      <c r="J2061" s="34" t="str">
        <f t="shared" si="1"/>
        <v>Midwest</v>
      </c>
      <c r="K2061" s="35">
        <v>2.0</v>
      </c>
      <c r="L2061" s="35" t="s">
        <v>396</v>
      </c>
      <c r="M2061" s="36">
        <f>VLOOKUP(D2061, County_Data_CZones!$B$2:$F$3236, 2, FALSE)</f>
        <v>5</v>
      </c>
      <c r="N2061" s="37" t="str">
        <f>VLOOKUP(D2061, County_Data_CZones!$B$2:$F$3236, 5, FALSE)</f>
        <v>Cold</v>
      </c>
    </row>
    <row r="2062" ht="15.75" customHeight="1">
      <c r="A2062" s="32" t="s">
        <v>1430</v>
      </c>
      <c r="B2062" s="32" t="s">
        <v>683</v>
      </c>
      <c r="C2062" s="32" t="str">
        <f>vlookup(B2062,State_EMM_RowSums!$A$2:$B$52,2,FALSE)</f>
        <v>OH</v>
      </c>
      <c r="D2062" s="32">
        <v>39035.0</v>
      </c>
      <c r="E2062" s="33">
        <f>IF(NOT(ISBLANK(vlookup($D2062,Pop_Census_2023!$A$2:$E$3220,4,FALSE))),vlookup($D2062,Pop_Census_2023!$A$2:$E$3220,4,FALSE), vlookup($D2062,Pop_Census_2023!$A$2:$E$3220,5,FALSE))</f>
        <v>1233088</v>
      </c>
      <c r="F2062" s="32">
        <v>1074030.0</v>
      </c>
      <c r="G2062" s="32">
        <v>111.0</v>
      </c>
      <c r="H2062" s="32" t="str">
        <f>VLOOKUP(D2062, Grid_Region_Mapping!$D$2:$F$5286, 3, FALSE)</f>
        <v>PJMW</v>
      </c>
      <c r="I2062" s="32">
        <v>3.0</v>
      </c>
      <c r="J2062" s="34" t="str">
        <f t="shared" si="1"/>
        <v>Midwest</v>
      </c>
      <c r="K2062" s="35">
        <v>2.0</v>
      </c>
      <c r="L2062" s="35" t="s">
        <v>396</v>
      </c>
      <c r="M2062" s="36">
        <f>VLOOKUP(D2062, County_Data_CZones!$B$2:$F$3236, 2, FALSE)</f>
        <v>5</v>
      </c>
      <c r="N2062" s="37" t="str">
        <f>VLOOKUP(D2062, County_Data_CZones!$B$2:$F$3236, 5, FALSE)</f>
        <v>Cold</v>
      </c>
    </row>
    <row r="2063" ht="15.75" customHeight="1">
      <c r="A2063" s="32" t="s">
        <v>1431</v>
      </c>
      <c r="B2063" s="32" t="s">
        <v>683</v>
      </c>
      <c r="C2063" s="32" t="str">
        <f>vlookup(B2063,State_EMM_RowSums!$A$2:$B$52,2,FALSE)</f>
        <v>OH</v>
      </c>
      <c r="D2063" s="32">
        <v>39037.0</v>
      </c>
      <c r="E2063" s="33">
        <f>IF(NOT(ISBLANK(vlookup($D2063,Pop_Census_2023!$A$2:$E$3220,4,FALSE))),vlookup($D2063,Pop_Census_2023!$A$2:$E$3220,4,FALSE), vlookup($D2063,Pop_Census_2023!$A$2:$E$3220,5,FALSE))</f>
        <v>51415</v>
      </c>
      <c r="F2063" s="32">
        <v>1074031.0</v>
      </c>
      <c r="G2063" s="32">
        <v>112.0</v>
      </c>
      <c r="H2063" s="32" t="str">
        <f>VLOOKUP(D2063, Grid_Region_Mapping!$D$2:$F$5286, 3, FALSE)</f>
        <v>PJMW</v>
      </c>
      <c r="I2063" s="32">
        <v>3.0</v>
      </c>
      <c r="J2063" s="34" t="str">
        <f t="shared" si="1"/>
        <v>Midwest</v>
      </c>
      <c r="K2063" s="35">
        <v>2.0</v>
      </c>
      <c r="L2063" s="35" t="s">
        <v>396</v>
      </c>
      <c r="M2063" s="36">
        <f>VLOOKUP(D2063, County_Data_CZones!$B$2:$F$3236, 2, FALSE)</f>
        <v>5</v>
      </c>
      <c r="N2063" s="37" t="str">
        <f>VLOOKUP(D2063, County_Data_CZones!$B$2:$F$3236, 5, FALSE)</f>
        <v>Cold</v>
      </c>
    </row>
    <row r="2064" ht="15.75" customHeight="1">
      <c r="A2064" s="32" t="s">
        <v>1432</v>
      </c>
      <c r="B2064" s="32" t="s">
        <v>683</v>
      </c>
      <c r="C2064" s="32" t="str">
        <f>vlookup(B2064,State_EMM_RowSums!$A$2:$B$52,2,FALSE)</f>
        <v>OH</v>
      </c>
      <c r="D2064" s="32">
        <v>39039.0</v>
      </c>
      <c r="E2064" s="33">
        <f>IF(NOT(ISBLANK(vlookup($D2064,Pop_Census_2023!$A$2:$E$3220,4,FALSE))),vlookup($D2064,Pop_Census_2023!$A$2:$E$3220,4,FALSE), vlookup($D2064,Pop_Census_2023!$A$2:$E$3220,5,FALSE))</f>
        <v>38315</v>
      </c>
      <c r="F2064" s="32">
        <v>1074032.0</v>
      </c>
      <c r="G2064" s="32">
        <v>112.0</v>
      </c>
      <c r="H2064" s="32" t="str">
        <f>VLOOKUP(D2064, Grid_Region_Mapping!$D$2:$F$5286, 3, FALSE)</f>
        <v>PJMW</v>
      </c>
      <c r="I2064" s="32">
        <v>3.0</v>
      </c>
      <c r="J2064" s="34" t="str">
        <f t="shared" si="1"/>
        <v>Midwest</v>
      </c>
      <c r="K2064" s="35">
        <v>2.0</v>
      </c>
      <c r="L2064" s="35" t="s">
        <v>396</v>
      </c>
      <c r="M2064" s="36">
        <f>VLOOKUP(D2064, County_Data_CZones!$B$2:$F$3236, 2, FALSE)</f>
        <v>5</v>
      </c>
      <c r="N2064" s="37" t="str">
        <f>VLOOKUP(D2064, County_Data_CZones!$B$2:$F$3236, 5, FALSE)</f>
        <v>Cold</v>
      </c>
    </row>
    <row r="2065" ht="15.75" customHeight="1">
      <c r="A2065" s="32" t="s">
        <v>405</v>
      </c>
      <c r="B2065" s="32" t="s">
        <v>683</v>
      </c>
      <c r="C2065" s="32" t="str">
        <f>vlookup(B2065,State_EMM_RowSums!$A$2:$B$52,2,FALSE)</f>
        <v>OH</v>
      </c>
      <c r="D2065" s="32">
        <v>39041.0</v>
      </c>
      <c r="E2065" s="33">
        <f>IF(NOT(ISBLANK(vlookup($D2065,Pop_Census_2023!$A$2:$E$3220,4,FALSE))),vlookup($D2065,Pop_Census_2023!$A$2:$E$3220,4,FALSE), vlookup($D2065,Pop_Census_2023!$A$2:$E$3220,5,FALSE))</f>
        <v>231636</v>
      </c>
      <c r="F2065" s="32">
        <v>1074033.0</v>
      </c>
      <c r="G2065" s="32">
        <v>112.0</v>
      </c>
      <c r="H2065" s="32" t="str">
        <f>VLOOKUP(D2065, Grid_Region_Mapping!$D$2:$F$5286, 3, FALSE)</f>
        <v>PJMW</v>
      </c>
      <c r="I2065" s="32">
        <v>3.0</v>
      </c>
      <c r="J2065" s="34" t="str">
        <f t="shared" si="1"/>
        <v>Midwest</v>
      </c>
      <c r="K2065" s="35">
        <v>2.0</v>
      </c>
      <c r="L2065" s="35" t="s">
        <v>396</v>
      </c>
      <c r="M2065" s="36">
        <f>VLOOKUP(D2065, County_Data_CZones!$B$2:$F$3236, 2, FALSE)</f>
        <v>5</v>
      </c>
      <c r="N2065" s="37" t="str">
        <f>VLOOKUP(D2065, County_Data_CZones!$B$2:$F$3236, 5, FALSE)</f>
        <v>Cold</v>
      </c>
    </row>
    <row r="2066" ht="15.75" customHeight="1">
      <c r="A2066" s="32" t="s">
        <v>1305</v>
      </c>
      <c r="B2066" s="32" t="s">
        <v>683</v>
      </c>
      <c r="C2066" s="32" t="str">
        <f>vlookup(B2066,State_EMM_RowSums!$A$2:$B$52,2,FALSE)</f>
        <v>OH</v>
      </c>
      <c r="D2066" s="32">
        <v>39043.0</v>
      </c>
      <c r="E2066" s="33">
        <f>IF(NOT(ISBLANK(vlookup($D2066,Pop_Census_2023!$A$2:$E$3220,4,FALSE))),vlookup($D2066,Pop_Census_2023!$A$2:$E$3220,4,FALSE), vlookup($D2066,Pop_Census_2023!$A$2:$E$3220,5,FALSE))</f>
        <v>74035</v>
      </c>
      <c r="F2066" s="32">
        <v>1074034.0</v>
      </c>
      <c r="G2066" s="32">
        <v>111.0</v>
      </c>
      <c r="H2066" s="32" t="str">
        <f>VLOOKUP(D2066, Grid_Region_Mapping!$D$2:$F$5286, 3, FALSE)</f>
        <v>PJMW</v>
      </c>
      <c r="I2066" s="32">
        <v>3.0</v>
      </c>
      <c r="J2066" s="34" t="str">
        <f t="shared" si="1"/>
        <v>Midwest</v>
      </c>
      <c r="K2066" s="35">
        <v>2.0</v>
      </c>
      <c r="L2066" s="35" t="s">
        <v>396</v>
      </c>
      <c r="M2066" s="36">
        <f>VLOOKUP(D2066, County_Data_CZones!$B$2:$F$3236, 2, FALSE)</f>
        <v>5</v>
      </c>
      <c r="N2066" s="37" t="str">
        <f>VLOOKUP(D2066, County_Data_CZones!$B$2:$F$3236, 5, FALSE)</f>
        <v>Cold</v>
      </c>
    </row>
    <row r="2067" ht="15.75" customHeight="1">
      <c r="A2067" s="32" t="s">
        <v>394</v>
      </c>
      <c r="B2067" s="32" t="s">
        <v>683</v>
      </c>
      <c r="C2067" s="32" t="str">
        <f>vlookup(B2067,State_EMM_RowSums!$A$2:$B$52,2,FALSE)</f>
        <v>OH</v>
      </c>
      <c r="D2067" s="32">
        <v>39045.0</v>
      </c>
      <c r="E2067" s="33">
        <f>IF(NOT(ISBLANK(vlookup($D2067,Pop_Census_2023!$A$2:$E$3220,4,FALSE))),vlookup($D2067,Pop_Census_2023!$A$2:$E$3220,4,FALSE), vlookup($D2067,Pop_Census_2023!$A$2:$E$3220,5,FALSE))</f>
        <v>165360</v>
      </c>
      <c r="F2067" s="32">
        <v>1074035.0</v>
      </c>
      <c r="G2067" s="32">
        <v>112.0</v>
      </c>
      <c r="H2067" s="32" t="str">
        <f>VLOOKUP(D2067, Grid_Region_Mapping!$D$2:$F$5286, 3, FALSE)</f>
        <v>PJMW</v>
      </c>
      <c r="I2067" s="32">
        <v>3.0</v>
      </c>
      <c r="J2067" s="34" t="str">
        <f t="shared" si="1"/>
        <v>Midwest</v>
      </c>
      <c r="K2067" s="35">
        <v>2.0</v>
      </c>
      <c r="L2067" s="35" t="s">
        <v>396</v>
      </c>
      <c r="M2067" s="36">
        <f>VLOOKUP(D2067, County_Data_CZones!$B$2:$F$3236, 2, FALSE)</f>
        <v>5</v>
      </c>
      <c r="N2067" s="37" t="str">
        <f>VLOOKUP(D2067, County_Data_CZones!$B$2:$F$3236, 5, FALSE)</f>
        <v>Cold</v>
      </c>
    </row>
    <row r="2068" ht="15.75" customHeight="1">
      <c r="A2068" s="32" t="s">
        <v>131</v>
      </c>
      <c r="B2068" s="32" t="s">
        <v>683</v>
      </c>
      <c r="C2068" s="32" t="str">
        <f>vlookup(B2068,State_EMM_RowSums!$A$2:$B$52,2,FALSE)</f>
        <v>OH</v>
      </c>
      <c r="D2068" s="32">
        <v>39047.0</v>
      </c>
      <c r="E2068" s="33">
        <f>IF(NOT(ISBLANK(vlookup($D2068,Pop_Census_2023!$A$2:$E$3220,4,FALSE))),vlookup($D2068,Pop_Census_2023!$A$2:$E$3220,4,FALSE), vlookup($D2068,Pop_Census_2023!$A$2:$E$3220,5,FALSE))</f>
        <v>28817</v>
      </c>
      <c r="F2068" s="32">
        <v>1074036.0</v>
      </c>
      <c r="G2068" s="32">
        <v>113.0</v>
      </c>
      <c r="H2068" s="32" t="str">
        <f>VLOOKUP(D2068, Grid_Region_Mapping!$D$2:$F$5286, 3, FALSE)</f>
        <v>PJMW</v>
      </c>
      <c r="I2068" s="32">
        <v>3.0</v>
      </c>
      <c r="J2068" s="34" t="str">
        <f t="shared" si="1"/>
        <v>Midwest</v>
      </c>
      <c r="K2068" s="35">
        <v>2.0</v>
      </c>
      <c r="L2068" s="35" t="s">
        <v>396</v>
      </c>
      <c r="M2068" s="36">
        <f>VLOOKUP(D2068, County_Data_CZones!$B$2:$F$3236, 2, FALSE)</f>
        <v>5</v>
      </c>
      <c r="N2068" s="37" t="str">
        <f>VLOOKUP(D2068, County_Data_CZones!$B$2:$F$3236, 5, FALSE)</f>
        <v>Cold</v>
      </c>
    </row>
    <row r="2069" ht="15.75" customHeight="1">
      <c r="A2069" s="32" t="s">
        <v>132</v>
      </c>
      <c r="B2069" s="32" t="s">
        <v>683</v>
      </c>
      <c r="C2069" s="32" t="str">
        <f>vlookup(B2069,State_EMM_RowSums!$A$2:$B$52,2,FALSE)</f>
        <v>OH</v>
      </c>
      <c r="D2069" s="32">
        <v>39049.0</v>
      </c>
      <c r="E2069" s="33">
        <f>IF(NOT(ISBLANK(vlookup($D2069,Pop_Census_2023!$A$2:$E$3220,4,FALSE))),vlookup($D2069,Pop_Census_2023!$A$2:$E$3220,4,FALSE), vlookup($D2069,Pop_Census_2023!$A$2:$E$3220,5,FALSE))</f>
        <v>1326063</v>
      </c>
      <c r="F2069" s="32">
        <v>1074037.0</v>
      </c>
      <c r="G2069" s="32">
        <v>112.0</v>
      </c>
      <c r="H2069" s="32" t="str">
        <f>VLOOKUP(D2069, Grid_Region_Mapping!$D$2:$F$5286, 3, FALSE)</f>
        <v>PJMW</v>
      </c>
      <c r="I2069" s="32">
        <v>3.0</v>
      </c>
      <c r="J2069" s="34" t="str">
        <f t="shared" si="1"/>
        <v>Midwest</v>
      </c>
      <c r="K2069" s="35">
        <v>2.0</v>
      </c>
      <c r="L2069" s="35" t="s">
        <v>396</v>
      </c>
      <c r="M2069" s="36">
        <f>VLOOKUP(D2069, County_Data_CZones!$B$2:$F$3236, 2, FALSE)</f>
        <v>5</v>
      </c>
      <c r="N2069" s="37" t="str">
        <f>VLOOKUP(D2069, County_Data_CZones!$B$2:$F$3236, 5, FALSE)</f>
        <v>Cold</v>
      </c>
    </row>
    <row r="2070" ht="15.75" customHeight="1">
      <c r="A2070" s="32" t="s">
        <v>240</v>
      </c>
      <c r="B2070" s="32" t="s">
        <v>683</v>
      </c>
      <c r="C2070" s="32" t="str">
        <f>vlookup(B2070,State_EMM_RowSums!$A$2:$B$52,2,FALSE)</f>
        <v>OH</v>
      </c>
      <c r="D2070" s="32">
        <v>39051.0</v>
      </c>
      <c r="E2070" s="33">
        <f>IF(NOT(ISBLANK(vlookup($D2070,Pop_Census_2023!$A$2:$E$3220,4,FALSE))),vlookup($D2070,Pop_Census_2023!$A$2:$E$3220,4,FALSE), vlookup($D2070,Pop_Census_2023!$A$2:$E$3220,5,FALSE))</f>
        <v>42007</v>
      </c>
      <c r="F2070" s="32">
        <v>1074038.0</v>
      </c>
      <c r="G2070" s="32">
        <v>111.0</v>
      </c>
      <c r="H2070" s="32" t="str">
        <f>VLOOKUP(D2070, Grid_Region_Mapping!$D$2:$F$5286, 3, FALSE)</f>
        <v>PJMW</v>
      </c>
      <c r="I2070" s="32">
        <v>3.0</v>
      </c>
      <c r="J2070" s="34" t="str">
        <f t="shared" si="1"/>
        <v>Midwest</v>
      </c>
      <c r="K2070" s="35">
        <v>2.0</v>
      </c>
      <c r="L2070" s="35" t="s">
        <v>396</v>
      </c>
      <c r="M2070" s="36">
        <f>VLOOKUP(D2070, County_Data_CZones!$B$2:$F$3236, 2, FALSE)</f>
        <v>5</v>
      </c>
      <c r="N2070" s="37" t="str">
        <f>VLOOKUP(D2070, County_Data_CZones!$B$2:$F$3236, 5, FALSE)</f>
        <v>Cold</v>
      </c>
    </row>
    <row r="2071" ht="15.75" customHeight="1">
      <c r="A2071" s="32" t="s">
        <v>1433</v>
      </c>
      <c r="B2071" s="32" t="s">
        <v>683</v>
      </c>
      <c r="C2071" s="32" t="str">
        <f>vlookup(B2071,State_EMM_RowSums!$A$2:$B$52,2,FALSE)</f>
        <v>OH</v>
      </c>
      <c r="D2071" s="32">
        <v>39053.0</v>
      </c>
      <c r="E2071" s="33">
        <f>IF(NOT(ISBLANK(vlookup($D2071,Pop_Census_2023!$A$2:$E$3220,4,FALSE))),vlookup($D2071,Pop_Census_2023!$A$2:$E$3220,4,FALSE), vlookup($D2071,Pop_Census_2023!$A$2:$E$3220,5,FALSE))</f>
        <v>28986</v>
      </c>
      <c r="F2071" s="32">
        <v>1074039.0</v>
      </c>
      <c r="G2071" s="32">
        <v>112.0</v>
      </c>
      <c r="H2071" s="32" t="str">
        <f>VLOOKUP(D2071, Grid_Region_Mapping!$D$2:$F$5286, 3, FALSE)</f>
        <v>PJMW</v>
      </c>
      <c r="I2071" s="32">
        <v>3.0</v>
      </c>
      <c r="J2071" s="34" t="str">
        <f t="shared" si="1"/>
        <v>Midwest</v>
      </c>
      <c r="K2071" s="35">
        <v>3.0</v>
      </c>
      <c r="L2071" s="35" t="s">
        <v>223</v>
      </c>
      <c r="M2071" s="36">
        <f>VLOOKUP(D2071, County_Data_CZones!$B$2:$F$3236, 2, FALSE)</f>
        <v>4</v>
      </c>
      <c r="N2071" s="37" t="str">
        <f>VLOOKUP(D2071, County_Data_CZones!$B$2:$F$3236, 5, FALSE)</f>
        <v>Mixed-Humid</v>
      </c>
    </row>
    <row r="2072" ht="15.75" customHeight="1">
      <c r="A2072" s="32" t="s">
        <v>1434</v>
      </c>
      <c r="B2072" s="32" t="s">
        <v>683</v>
      </c>
      <c r="C2072" s="32" t="str">
        <f>vlookup(B2072,State_EMM_RowSums!$A$2:$B$52,2,FALSE)</f>
        <v>OH</v>
      </c>
      <c r="D2072" s="32">
        <v>39055.0</v>
      </c>
      <c r="E2072" s="33">
        <f>IF(NOT(ISBLANK(vlookup($D2072,Pop_Census_2023!$A$2:$E$3220,4,FALSE))),vlookup($D2072,Pop_Census_2023!$A$2:$E$3220,4,FALSE), vlookup($D2072,Pop_Census_2023!$A$2:$E$3220,5,FALSE))</f>
        <v>95407</v>
      </c>
      <c r="F2072" s="32">
        <v>1074040.0</v>
      </c>
      <c r="G2072" s="32">
        <v>111.0</v>
      </c>
      <c r="H2072" s="32" t="str">
        <f>VLOOKUP(D2072, Grid_Region_Mapping!$D$2:$F$5286, 3, FALSE)</f>
        <v>PJMW</v>
      </c>
      <c r="I2072" s="32">
        <v>3.0</v>
      </c>
      <c r="J2072" s="34" t="str">
        <f t="shared" si="1"/>
        <v>Midwest</v>
      </c>
      <c r="K2072" s="35">
        <v>2.0</v>
      </c>
      <c r="L2072" s="35" t="s">
        <v>396</v>
      </c>
      <c r="M2072" s="36">
        <f>VLOOKUP(D2072, County_Data_CZones!$B$2:$F$3236, 2, FALSE)</f>
        <v>5</v>
      </c>
      <c r="N2072" s="37" t="str">
        <f>VLOOKUP(D2072, County_Data_CZones!$B$2:$F$3236, 5, FALSE)</f>
        <v>Cold</v>
      </c>
    </row>
    <row r="2073" ht="15.75" customHeight="1">
      <c r="A2073" s="32" t="s">
        <v>134</v>
      </c>
      <c r="B2073" s="32" t="s">
        <v>683</v>
      </c>
      <c r="C2073" s="32" t="str">
        <f>vlookup(B2073,State_EMM_RowSums!$A$2:$B$52,2,FALSE)</f>
        <v>OH</v>
      </c>
      <c r="D2073" s="32">
        <v>39057.0</v>
      </c>
      <c r="E2073" s="33">
        <f>IF(NOT(ISBLANK(vlookup($D2073,Pop_Census_2023!$A$2:$E$3220,4,FALSE))),vlookup($D2073,Pop_Census_2023!$A$2:$E$3220,4,FALSE), vlookup($D2073,Pop_Census_2023!$A$2:$E$3220,5,FALSE))</f>
        <v>169691</v>
      </c>
      <c r="F2073" s="32">
        <v>1074041.0</v>
      </c>
      <c r="G2073" s="32">
        <v>113.0</v>
      </c>
      <c r="H2073" s="32" t="str">
        <f>VLOOKUP(D2073, Grid_Region_Mapping!$D$2:$F$5286, 3, FALSE)</f>
        <v>PJMW</v>
      </c>
      <c r="I2073" s="32">
        <v>3.0</v>
      </c>
      <c r="J2073" s="34" t="str">
        <f t="shared" si="1"/>
        <v>Midwest</v>
      </c>
      <c r="K2073" s="35">
        <v>2.0</v>
      </c>
      <c r="L2073" s="35" t="s">
        <v>396</v>
      </c>
      <c r="M2073" s="36">
        <f>VLOOKUP(D2073, County_Data_CZones!$B$2:$F$3236, 2, FALSE)</f>
        <v>5</v>
      </c>
      <c r="N2073" s="37" t="str">
        <f>VLOOKUP(D2073, County_Data_CZones!$B$2:$F$3236, 5, FALSE)</f>
        <v>Cold</v>
      </c>
    </row>
    <row r="2074" ht="15.75" customHeight="1">
      <c r="A2074" s="32" t="s">
        <v>1435</v>
      </c>
      <c r="B2074" s="32" t="s">
        <v>683</v>
      </c>
      <c r="C2074" s="32" t="str">
        <f>vlookup(B2074,State_EMM_RowSums!$A$2:$B$52,2,FALSE)</f>
        <v>OH</v>
      </c>
      <c r="D2074" s="32">
        <v>39059.0</v>
      </c>
      <c r="E2074" s="33">
        <f>IF(NOT(ISBLANK(vlookup($D2074,Pop_Census_2023!$A$2:$E$3220,4,FALSE))),vlookup($D2074,Pop_Census_2023!$A$2:$E$3220,4,FALSE), vlookup($D2074,Pop_Census_2023!$A$2:$E$3220,5,FALSE))</f>
        <v>38089</v>
      </c>
      <c r="F2074" s="32">
        <v>1074042.0</v>
      </c>
      <c r="G2074" s="32">
        <v>112.0</v>
      </c>
      <c r="H2074" s="32" t="str">
        <f>VLOOKUP(D2074, Grid_Region_Mapping!$D$2:$F$5286, 3, FALSE)</f>
        <v>PJMW</v>
      </c>
      <c r="I2074" s="32">
        <v>3.0</v>
      </c>
      <c r="J2074" s="34" t="str">
        <f t="shared" si="1"/>
        <v>Midwest</v>
      </c>
      <c r="K2074" s="35">
        <v>2.0</v>
      </c>
      <c r="L2074" s="35" t="s">
        <v>396</v>
      </c>
      <c r="M2074" s="36">
        <f>VLOOKUP(D2074, County_Data_CZones!$B$2:$F$3236, 2, FALSE)</f>
        <v>5</v>
      </c>
      <c r="N2074" s="37" t="str">
        <f>VLOOKUP(D2074, County_Data_CZones!$B$2:$F$3236, 5, FALSE)</f>
        <v>Cold</v>
      </c>
    </row>
    <row r="2075" ht="15.75" customHeight="1">
      <c r="A2075" s="32" t="s">
        <v>428</v>
      </c>
      <c r="B2075" s="32" t="s">
        <v>683</v>
      </c>
      <c r="C2075" s="32" t="str">
        <f>vlookup(B2075,State_EMM_RowSums!$A$2:$B$52,2,FALSE)</f>
        <v>OH</v>
      </c>
      <c r="D2075" s="32">
        <v>39061.0</v>
      </c>
      <c r="E2075" s="33">
        <f>IF(NOT(ISBLANK(vlookup($D2075,Pop_Census_2023!$A$2:$E$3220,4,FALSE))),vlookup($D2075,Pop_Census_2023!$A$2:$E$3220,4,FALSE), vlookup($D2075,Pop_Census_2023!$A$2:$E$3220,5,FALSE))</f>
        <v>827058</v>
      </c>
      <c r="F2075" s="32">
        <v>1074043.0</v>
      </c>
      <c r="G2075" s="32">
        <v>114.0</v>
      </c>
      <c r="H2075" s="32" t="str">
        <f>VLOOKUP(D2075, Grid_Region_Mapping!$D$2:$F$5286, 3, FALSE)</f>
        <v>PJMW</v>
      </c>
      <c r="I2075" s="32">
        <v>3.0</v>
      </c>
      <c r="J2075" s="34" t="str">
        <f t="shared" si="1"/>
        <v>Midwest</v>
      </c>
      <c r="K2075" s="35">
        <v>3.0</v>
      </c>
      <c r="L2075" s="35" t="s">
        <v>223</v>
      </c>
      <c r="M2075" s="36">
        <f>VLOOKUP(D2075, County_Data_CZones!$B$2:$F$3236, 2, FALSE)</f>
        <v>4</v>
      </c>
      <c r="N2075" s="37" t="str">
        <f>VLOOKUP(D2075, County_Data_CZones!$B$2:$F$3236, 5, FALSE)</f>
        <v>Mixed-Humid</v>
      </c>
    </row>
    <row r="2076" ht="15.75" customHeight="1">
      <c r="A2076" s="32" t="s">
        <v>512</v>
      </c>
      <c r="B2076" s="32" t="s">
        <v>683</v>
      </c>
      <c r="C2076" s="32" t="str">
        <f>vlookup(B2076,State_EMM_RowSums!$A$2:$B$52,2,FALSE)</f>
        <v>OH</v>
      </c>
      <c r="D2076" s="32">
        <v>39063.0</v>
      </c>
      <c r="E2076" s="33">
        <f>IF(NOT(ISBLANK(vlookup($D2076,Pop_Census_2023!$A$2:$E$3220,4,FALSE))),vlookup($D2076,Pop_Census_2023!$A$2:$E$3220,4,FALSE), vlookup($D2076,Pop_Census_2023!$A$2:$E$3220,5,FALSE))</f>
        <v>74704</v>
      </c>
      <c r="F2076" s="32">
        <v>1074044.0</v>
      </c>
      <c r="G2076" s="32">
        <v>112.0</v>
      </c>
      <c r="H2076" s="32" t="str">
        <f>VLOOKUP(D2076, Grid_Region_Mapping!$D$2:$F$5286, 3, FALSE)</f>
        <v>PJMW</v>
      </c>
      <c r="I2076" s="32">
        <v>3.0</v>
      </c>
      <c r="J2076" s="34" t="str">
        <f t="shared" si="1"/>
        <v>Midwest</v>
      </c>
      <c r="K2076" s="35">
        <v>2.0</v>
      </c>
      <c r="L2076" s="35" t="s">
        <v>396</v>
      </c>
      <c r="M2076" s="36">
        <f>VLOOKUP(D2076, County_Data_CZones!$B$2:$F$3236, 2, FALSE)</f>
        <v>5</v>
      </c>
      <c r="N2076" s="37" t="str">
        <f>VLOOKUP(D2076, County_Data_CZones!$B$2:$F$3236, 5, FALSE)</f>
        <v>Cold</v>
      </c>
    </row>
    <row r="2077" ht="15.75" customHeight="1">
      <c r="A2077" s="32" t="s">
        <v>626</v>
      </c>
      <c r="B2077" s="32" t="s">
        <v>683</v>
      </c>
      <c r="C2077" s="32" t="str">
        <f>vlookup(B2077,State_EMM_RowSums!$A$2:$B$52,2,FALSE)</f>
        <v>OH</v>
      </c>
      <c r="D2077" s="32">
        <v>39065.0</v>
      </c>
      <c r="E2077" s="33">
        <f>IF(NOT(ISBLANK(vlookup($D2077,Pop_Census_2023!$A$2:$E$3220,4,FALSE))),vlookup($D2077,Pop_Census_2023!$A$2:$E$3220,4,FALSE), vlookup($D2077,Pop_Census_2023!$A$2:$E$3220,5,FALSE))</f>
        <v>30368</v>
      </c>
      <c r="F2077" s="32">
        <v>1074045.0</v>
      </c>
      <c r="G2077" s="32">
        <v>112.0</v>
      </c>
      <c r="H2077" s="32" t="str">
        <f>VLOOKUP(D2077, Grid_Region_Mapping!$D$2:$F$5286, 3, FALSE)</f>
        <v>PJMW</v>
      </c>
      <c r="I2077" s="32">
        <v>3.0</v>
      </c>
      <c r="J2077" s="34" t="str">
        <f t="shared" si="1"/>
        <v>Midwest</v>
      </c>
      <c r="K2077" s="35">
        <v>2.0</v>
      </c>
      <c r="L2077" s="35" t="s">
        <v>396</v>
      </c>
      <c r="M2077" s="36">
        <f>VLOOKUP(D2077, County_Data_CZones!$B$2:$F$3236, 2, FALSE)</f>
        <v>5</v>
      </c>
      <c r="N2077" s="37" t="str">
        <f>VLOOKUP(D2077, County_Data_CZones!$B$2:$F$3236, 5, FALSE)</f>
        <v>Cold</v>
      </c>
    </row>
    <row r="2078" ht="15.75" customHeight="1">
      <c r="A2078" s="32" t="s">
        <v>673</v>
      </c>
      <c r="B2078" s="32" t="s">
        <v>683</v>
      </c>
      <c r="C2078" s="32" t="str">
        <f>vlookup(B2078,State_EMM_RowSums!$A$2:$B$52,2,FALSE)</f>
        <v>OH</v>
      </c>
      <c r="D2078" s="32">
        <v>39067.0</v>
      </c>
      <c r="E2078" s="33">
        <f>IF(NOT(ISBLANK(vlookup($D2078,Pop_Census_2023!$A$2:$E$3220,4,FALSE))),vlookup($D2078,Pop_Census_2023!$A$2:$E$3220,4,FALSE), vlookup($D2078,Pop_Census_2023!$A$2:$E$3220,5,FALSE))</f>
        <v>14159</v>
      </c>
      <c r="F2078" s="32">
        <v>1074046.0</v>
      </c>
      <c r="G2078" s="32">
        <v>112.0</v>
      </c>
      <c r="H2078" s="32" t="str">
        <f>VLOOKUP(D2078, Grid_Region_Mapping!$D$2:$F$5286, 3, FALSE)</f>
        <v>PJMW</v>
      </c>
      <c r="I2078" s="32">
        <v>3.0</v>
      </c>
      <c r="J2078" s="34" t="str">
        <f t="shared" si="1"/>
        <v>Midwest</v>
      </c>
      <c r="K2078" s="35">
        <v>2.0</v>
      </c>
      <c r="L2078" s="35" t="s">
        <v>396</v>
      </c>
      <c r="M2078" s="36">
        <f>VLOOKUP(D2078, County_Data_CZones!$B$2:$F$3236, 2, FALSE)</f>
        <v>5</v>
      </c>
      <c r="N2078" s="37" t="str">
        <f>VLOOKUP(D2078, County_Data_CZones!$B$2:$F$3236, 5, FALSE)</f>
        <v>Cold</v>
      </c>
    </row>
    <row r="2079" ht="15.75" customHeight="1">
      <c r="A2079" s="32" t="s">
        <v>136</v>
      </c>
      <c r="B2079" s="32" t="s">
        <v>683</v>
      </c>
      <c r="C2079" s="32" t="str">
        <f>vlookup(B2079,State_EMM_RowSums!$A$2:$B$52,2,FALSE)</f>
        <v>OH</v>
      </c>
      <c r="D2079" s="32">
        <v>39069.0</v>
      </c>
      <c r="E2079" s="33">
        <f>IF(NOT(ISBLANK(vlookup($D2079,Pop_Census_2023!$A$2:$E$3220,4,FALSE))),vlookup($D2079,Pop_Census_2023!$A$2:$E$3220,4,FALSE), vlookup($D2079,Pop_Census_2023!$A$2:$E$3220,5,FALSE))</f>
        <v>27520</v>
      </c>
      <c r="F2079" s="32">
        <v>1074047.0</v>
      </c>
      <c r="G2079" s="32">
        <v>112.0</v>
      </c>
      <c r="H2079" s="32" t="str">
        <f>VLOOKUP(D2079, Grid_Region_Mapping!$D$2:$F$5286, 3, FALSE)</f>
        <v>PJMW</v>
      </c>
      <c r="I2079" s="32">
        <v>3.0</v>
      </c>
      <c r="J2079" s="34" t="str">
        <f t="shared" si="1"/>
        <v>Midwest</v>
      </c>
      <c r="K2079" s="35">
        <v>2.0</v>
      </c>
      <c r="L2079" s="35" t="s">
        <v>396</v>
      </c>
      <c r="M2079" s="36">
        <f>VLOOKUP(D2079, County_Data_CZones!$B$2:$F$3236, 2, FALSE)</f>
        <v>5</v>
      </c>
      <c r="N2079" s="37" t="str">
        <f>VLOOKUP(D2079, County_Data_CZones!$B$2:$F$3236, 5, FALSE)</f>
        <v>Cold</v>
      </c>
    </row>
    <row r="2080" ht="15.75" customHeight="1">
      <c r="A2080" s="32" t="s">
        <v>1436</v>
      </c>
      <c r="B2080" s="32" t="s">
        <v>683</v>
      </c>
      <c r="C2080" s="32" t="str">
        <f>vlookup(B2080,State_EMM_RowSums!$A$2:$B$52,2,FALSE)</f>
        <v>OH</v>
      </c>
      <c r="D2080" s="32">
        <v>39071.0</v>
      </c>
      <c r="E2080" s="33">
        <f>IF(NOT(ISBLANK(vlookup($D2080,Pop_Census_2023!$A$2:$E$3220,4,FALSE))),vlookup($D2080,Pop_Census_2023!$A$2:$E$3220,4,FALSE), vlookup($D2080,Pop_Census_2023!$A$2:$E$3220,5,FALSE))</f>
        <v>43614</v>
      </c>
      <c r="F2080" s="32">
        <v>1074048.0</v>
      </c>
      <c r="G2080" s="32">
        <v>112.0</v>
      </c>
      <c r="H2080" s="32" t="str">
        <f>VLOOKUP(D2080, Grid_Region_Mapping!$D$2:$F$5286, 3, FALSE)</f>
        <v>PJMW</v>
      </c>
      <c r="I2080" s="32">
        <v>3.0</v>
      </c>
      <c r="J2080" s="34" t="str">
        <f t="shared" si="1"/>
        <v>Midwest</v>
      </c>
      <c r="K2080" s="35">
        <v>3.0</v>
      </c>
      <c r="L2080" s="35" t="s">
        <v>396</v>
      </c>
      <c r="M2080" s="36">
        <f>VLOOKUP(D2080, County_Data_CZones!$B$2:$F$3236, 2, FALSE)</f>
        <v>5</v>
      </c>
      <c r="N2080" s="37" t="str">
        <f>VLOOKUP(D2080, County_Data_CZones!$B$2:$F$3236, 5, FALSE)</f>
        <v>Cold</v>
      </c>
    </row>
    <row r="2081" ht="15.75" customHeight="1">
      <c r="A2081" s="32" t="s">
        <v>1437</v>
      </c>
      <c r="B2081" s="32" t="s">
        <v>683</v>
      </c>
      <c r="C2081" s="32" t="str">
        <f>vlookup(B2081,State_EMM_RowSums!$A$2:$B$52,2,FALSE)</f>
        <v>OH</v>
      </c>
      <c r="D2081" s="32">
        <v>39073.0</v>
      </c>
      <c r="E2081" s="33">
        <f>IF(NOT(ISBLANK(vlookup($D2081,Pop_Census_2023!$A$2:$E$3220,4,FALSE))),vlookup($D2081,Pop_Census_2023!$A$2:$E$3220,4,FALSE), vlookup($D2081,Pop_Census_2023!$A$2:$E$3220,5,FALSE))</f>
        <v>27540</v>
      </c>
      <c r="F2081" s="32">
        <v>1074049.0</v>
      </c>
      <c r="G2081" s="32">
        <v>112.0</v>
      </c>
      <c r="H2081" s="32" t="str">
        <f>VLOOKUP(D2081, Grid_Region_Mapping!$D$2:$F$5286, 3, FALSE)</f>
        <v>PJMW</v>
      </c>
      <c r="I2081" s="32">
        <v>3.0</v>
      </c>
      <c r="J2081" s="34" t="str">
        <f t="shared" si="1"/>
        <v>Midwest</v>
      </c>
      <c r="K2081" s="35">
        <v>2.0</v>
      </c>
      <c r="L2081" s="35" t="s">
        <v>396</v>
      </c>
      <c r="M2081" s="36">
        <f>VLOOKUP(D2081, County_Data_CZones!$B$2:$F$3236, 2, FALSE)</f>
        <v>5</v>
      </c>
      <c r="N2081" s="37" t="str">
        <f>VLOOKUP(D2081, County_Data_CZones!$B$2:$F$3236, 5, FALSE)</f>
        <v>Cold</v>
      </c>
    </row>
    <row r="2082" ht="15.75" customHeight="1">
      <c r="A2082" s="32" t="s">
        <v>434</v>
      </c>
      <c r="B2082" s="32" t="s">
        <v>683</v>
      </c>
      <c r="C2082" s="32" t="str">
        <f>vlookup(B2082,State_EMM_RowSums!$A$2:$B$52,2,FALSE)</f>
        <v>OH</v>
      </c>
      <c r="D2082" s="32">
        <v>39075.0</v>
      </c>
      <c r="E2082" s="33">
        <f>IF(NOT(ISBLANK(vlookup($D2082,Pop_Census_2023!$A$2:$E$3220,4,FALSE))),vlookup($D2082,Pop_Census_2023!$A$2:$E$3220,4,FALSE), vlookup($D2082,Pop_Census_2023!$A$2:$E$3220,5,FALSE))</f>
        <v>44386</v>
      </c>
      <c r="F2082" s="32">
        <v>1074050.0</v>
      </c>
      <c r="G2082" s="32">
        <v>112.0</v>
      </c>
      <c r="H2082" s="32" t="str">
        <f>VLOOKUP(D2082, Grid_Region_Mapping!$D$2:$F$5286, 3, FALSE)</f>
        <v>PJMW</v>
      </c>
      <c r="I2082" s="32">
        <v>3.0</v>
      </c>
      <c r="J2082" s="34" t="str">
        <f t="shared" si="1"/>
        <v>Midwest</v>
      </c>
      <c r="K2082" s="35">
        <v>2.0</v>
      </c>
      <c r="L2082" s="35" t="s">
        <v>396</v>
      </c>
      <c r="M2082" s="36">
        <f>VLOOKUP(D2082, County_Data_CZones!$B$2:$F$3236, 2, FALSE)</f>
        <v>5</v>
      </c>
      <c r="N2082" s="37" t="str">
        <f>VLOOKUP(D2082, County_Data_CZones!$B$2:$F$3236, 5, FALSE)</f>
        <v>Cold</v>
      </c>
    </row>
    <row r="2083" ht="15.75" customHeight="1">
      <c r="A2083" s="32" t="s">
        <v>985</v>
      </c>
      <c r="B2083" s="32" t="s">
        <v>683</v>
      </c>
      <c r="C2083" s="32" t="str">
        <f>vlookup(B2083,State_EMM_RowSums!$A$2:$B$52,2,FALSE)</f>
        <v>OH</v>
      </c>
      <c r="D2083" s="32">
        <v>39077.0</v>
      </c>
      <c r="E2083" s="33">
        <f>IF(NOT(ISBLANK(vlookup($D2083,Pop_Census_2023!$A$2:$E$3220,4,FALSE))),vlookup($D2083,Pop_Census_2023!$A$2:$E$3220,4,FALSE), vlookup($D2083,Pop_Census_2023!$A$2:$E$3220,5,FALSE))</f>
        <v>58199</v>
      </c>
      <c r="F2083" s="32">
        <v>1074051.0</v>
      </c>
      <c r="G2083" s="32">
        <v>112.0</v>
      </c>
      <c r="H2083" s="32" t="str">
        <f>VLOOKUP(D2083, Grid_Region_Mapping!$D$2:$F$5286, 3, FALSE)</f>
        <v>PJMW</v>
      </c>
      <c r="I2083" s="32">
        <v>3.0</v>
      </c>
      <c r="J2083" s="34" t="str">
        <f t="shared" si="1"/>
        <v>Midwest</v>
      </c>
      <c r="K2083" s="35">
        <v>2.0</v>
      </c>
      <c r="L2083" s="35" t="s">
        <v>396</v>
      </c>
      <c r="M2083" s="36">
        <f>VLOOKUP(D2083, County_Data_CZones!$B$2:$F$3236, 2, FALSE)</f>
        <v>5</v>
      </c>
      <c r="N2083" s="37" t="str">
        <f>VLOOKUP(D2083, County_Data_CZones!$B$2:$F$3236, 5, FALSE)</f>
        <v>Cold</v>
      </c>
    </row>
    <row r="2084" ht="15.75" customHeight="1">
      <c r="A2084" s="32" t="s">
        <v>138</v>
      </c>
      <c r="B2084" s="32" t="s">
        <v>683</v>
      </c>
      <c r="C2084" s="32" t="str">
        <f>vlookup(B2084,State_EMM_RowSums!$A$2:$B$52,2,FALSE)</f>
        <v>OH</v>
      </c>
      <c r="D2084" s="32">
        <v>39079.0</v>
      </c>
      <c r="E2084" s="33">
        <f>IF(NOT(ISBLANK(vlookup($D2084,Pop_Census_2023!$A$2:$E$3220,4,FALSE))),vlookup($D2084,Pop_Census_2023!$A$2:$E$3220,4,FALSE), vlookup($D2084,Pop_Census_2023!$A$2:$E$3220,5,FALSE))</f>
        <v>32606</v>
      </c>
      <c r="F2084" s="32">
        <v>1074052.0</v>
      </c>
      <c r="G2084" s="32">
        <v>112.0</v>
      </c>
      <c r="H2084" s="32" t="str">
        <f>VLOOKUP(D2084, Grid_Region_Mapping!$D$2:$F$5286, 3, FALSE)</f>
        <v>PJMW</v>
      </c>
      <c r="I2084" s="32">
        <v>3.0</v>
      </c>
      <c r="J2084" s="34" t="str">
        <f t="shared" si="1"/>
        <v>Midwest</v>
      </c>
      <c r="K2084" s="35">
        <v>3.0</v>
      </c>
      <c r="L2084" s="35" t="s">
        <v>396</v>
      </c>
      <c r="M2084" s="36">
        <f>VLOOKUP(D2084, County_Data_CZones!$B$2:$F$3236, 2, FALSE)</f>
        <v>5</v>
      </c>
      <c r="N2084" s="37" t="str">
        <f>VLOOKUP(D2084, County_Data_CZones!$B$2:$F$3236, 5, FALSE)</f>
        <v>Cold</v>
      </c>
    </row>
    <row r="2085" ht="15.75" customHeight="1">
      <c r="A2085" s="32" t="s">
        <v>139</v>
      </c>
      <c r="B2085" s="32" t="s">
        <v>683</v>
      </c>
      <c r="C2085" s="32" t="str">
        <f>vlookup(B2085,State_EMM_RowSums!$A$2:$B$52,2,FALSE)</f>
        <v>OH</v>
      </c>
      <c r="D2085" s="32">
        <v>39081.0</v>
      </c>
      <c r="E2085" s="33">
        <f>IF(NOT(ISBLANK(vlookup($D2085,Pop_Census_2023!$A$2:$E$3220,4,FALSE))),vlookup($D2085,Pop_Census_2023!$A$2:$E$3220,4,FALSE), vlookup($D2085,Pop_Census_2023!$A$2:$E$3220,5,FALSE))</f>
        <v>64026</v>
      </c>
      <c r="F2085" s="32">
        <v>1074053.0</v>
      </c>
      <c r="G2085" s="32">
        <v>112.0</v>
      </c>
      <c r="H2085" s="32" t="str">
        <f>VLOOKUP(D2085, Grid_Region_Mapping!$D$2:$F$5286, 3, FALSE)</f>
        <v>PJMW</v>
      </c>
      <c r="I2085" s="32">
        <v>3.0</v>
      </c>
      <c r="J2085" s="34" t="str">
        <f t="shared" si="1"/>
        <v>Midwest</v>
      </c>
      <c r="K2085" s="35">
        <v>2.0</v>
      </c>
      <c r="L2085" s="35" t="s">
        <v>396</v>
      </c>
      <c r="M2085" s="36">
        <f>VLOOKUP(D2085, County_Data_CZones!$B$2:$F$3236, 2, FALSE)</f>
        <v>5</v>
      </c>
      <c r="N2085" s="37" t="str">
        <f>VLOOKUP(D2085, County_Data_CZones!$B$2:$F$3236, 5, FALSE)</f>
        <v>Cold</v>
      </c>
    </row>
    <row r="2086" ht="15.75" customHeight="1">
      <c r="A2086" s="32" t="s">
        <v>634</v>
      </c>
      <c r="B2086" s="32" t="s">
        <v>683</v>
      </c>
      <c r="C2086" s="32" t="str">
        <f>vlookup(B2086,State_EMM_RowSums!$A$2:$B$52,2,FALSE)</f>
        <v>OH</v>
      </c>
      <c r="D2086" s="32">
        <v>39083.0</v>
      </c>
      <c r="E2086" s="33">
        <f>IF(NOT(ISBLANK(vlookup($D2086,Pop_Census_2023!$A$2:$E$3220,4,FALSE))),vlookup($D2086,Pop_Census_2023!$A$2:$E$3220,4,FALSE), vlookup($D2086,Pop_Census_2023!$A$2:$E$3220,5,FALSE))</f>
        <v>63320</v>
      </c>
      <c r="F2086" s="32">
        <v>1074054.0</v>
      </c>
      <c r="G2086" s="32">
        <v>112.0</v>
      </c>
      <c r="H2086" s="32" t="str">
        <f>VLOOKUP(D2086, Grid_Region_Mapping!$D$2:$F$5286, 3, FALSE)</f>
        <v>PJMW</v>
      </c>
      <c r="I2086" s="32">
        <v>3.0</v>
      </c>
      <c r="J2086" s="34" t="str">
        <f t="shared" si="1"/>
        <v>Midwest</v>
      </c>
      <c r="K2086" s="35">
        <v>2.0</v>
      </c>
      <c r="L2086" s="35" t="s">
        <v>396</v>
      </c>
      <c r="M2086" s="36">
        <f>VLOOKUP(D2086, County_Data_CZones!$B$2:$F$3236, 2, FALSE)</f>
        <v>5</v>
      </c>
      <c r="N2086" s="37" t="str">
        <f>VLOOKUP(D2086, County_Data_CZones!$B$2:$F$3236, 5, FALSE)</f>
        <v>Cold</v>
      </c>
    </row>
    <row r="2087" ht="15.75" customHeight="1">
      <c r="A2087" s="32" t="s">
        <v>298</v>
      </c>
      <c r="B2087" s="32" t="s">
        <v>683</v>
      </c>
      <c r="C2087" s="32" t="str">
        <f>vlookup(B2087,State_EMM_RowSums!$A$2:$B$52,2,FALSE)</f>
        <v>OH</v>
      </c>
      <c r="D2087" s="32">
        <v>39085.0</v>
      </c>
      <c r="E2087" s="33">
        <f>IF(NOT(ISBLANK(vlookup($D2087,Pop_Census_2023!$A$2:$E$3220,4,FALSE))),vlookup($D2087,Pop_Census_2023!$A$2:$E$3220,4,FALSE), vlookup($D2087,Pop_Census_2023!$A$2:$E$3220,5,FALSE))</f>
        <v>231640</v>
      </c>
      <c r="F2087" s="32">
        <v>1074055.0</v>
      </c>
      <c r="G2087" s="32">
        <v>111.0</v>
      </c>
      <c r="H2087" s="32" t="str">
        <f>VLOOKUP(D2087, Grid_Region_Mapping!$D$2:$F$5286, 3, FALSE)</f>
        <v>PJMW</v>
      </c>
      <c r="I2087" s="32">
        <v>3.0</v>
      </c>
      <c r="J2087" s="34" t="str">
        <f t="shared" si="1"/>
        <v>Midwest</v>
      </c>
      <c r="K2087" s="35">
        <v>2.0</v>
      </c>
      <c r="L2087" s="35" t="s">
        <v>396</v>
      </c>
      <c r="M2087" s="36">
        <f>VLOOKUP(D2087, County_Data_CZones!$B$2:$F$3236, 2, FALSE)</f>
        <v>5</v>
      </c>
      <c r="N2087" s="37" t="str">
        <f>VLOOKUP(D2087, County_Data_CZones!$B$2:$F$3236, 5, FALSE)</f>
        <v>Cold</v>
      </c>
    </row>
    <row r="2088" ht="15.75" customHeight="1">
      <c r="A2088" s="32" t="s">
        <v>142</v>
      </c>
      <c r="B2088" s="32" t="s">
        <v>683</v>
      </c>
      <c r="C2088" s="32" t="str">
        <f>vlookup(B2088,State_EMM_RowSums!$A$2:$B$52,2,FALSE)</f>
        <v>OH</v>
      </c>
      <c r="D2088" s="32">
        <v>39087.0</v>
      </c>
      <c r="E2088" s="33">
        <f>IF(NOT(ISBLANK(vlookup($D2088,Pop_Census_2023!$A$2:$E$3220,4,FALSE))),vlookup($D2088,Pop_Census_2023!$A$2:$E$3220,4,FALSE), vlookup($D2088,Pop_Census_2023!$A$2:$E$3220,5,FALSE))</f>
        <v>56118</v>
      </c>
      <c r="F2088" s="32">
        <v>1074056.0</v>
      </c>
      <c r="G2088" s="32">
        <v>112.0</v>
      </c>
      <c r="H2088" s="32" t="str">
        <f>VLOOKUP(D2088, Grid_Region_Mapping!$D$2:$F$5286, 3, FALSE)</f>
        <v>PJMW</v>
      </c>
      <c r="I2088" s="32">
        <v>3.0</v>
      </c>
      <c r="J2088" s="34" t="str">
        <f t="shared" si="1"/>
        <v>Midwest</v>
      </c>
      <c r="K2088" s="35">
        <v>3.0</v>
      </c>
      <c r="L2088" s="35" t="s">
        <v>223</v>
      </c>
      <c r="M2088" s="36">
        <f>VLOOKUP(D2088, County_Data_CZones!$B$2:$F$3236, 2, FALSE)</f>
        <v>4</v>
      </c>
      <c r="N2088" s="37" t="str">
        <f>VLOOKUP(D2088, County_Data_CZones!$B$2:$F$3236, 5, FALSE)</f>
        <v>Mixed-Humid</v>
      </c>
    </row>
    <row r="2089" ht="15.75" customHeight="1">
      <c r="A2089" s="32" t="s">
        <v>1438</v>
      </c>
      <c r="B2089" s="32" t="s">
        <v>683</v>
      </c>
      <c r="C2089" s="32" t="str">
        <f>vlookup(B2089,State_EMM_RowSums!$A$2:$B$52,2,FALSE)</f>
        <v>OH</v>
      </c>
      <c r="D2089" s="32">
        <v>39089.0</v>
      </c>
      <c r="E2089" s="33">
        <f>IF(NOT(ISBLANK(vlookup($D2089,Pop_Census_2023!$A$2:$E$3220,4,FALSE))),vlookup($D2089,Pop_Census_2023!$A$2:$E$3220,4,FALSE), vlookup($D2089,Pop_Census_2023!$A$2:$E$3220,5,FALSE))</f>
        <v>183201</v>
      </c>
      <c r="F2089" s="32">
        <v>1074057.0</v>
      </c>
      <c r="G2089" s="32">
        <v>112.0</v>
      </c>
      <c r="H2089" s="32" t="str">
        <f>VLOOKUP(D2089, Grid_Region_Mapping!$D$2:$F$5286, 3, FALSE)</f>
        <v>PJMW</v>
      </c>
      <c r="I2089" s="32">
        <v>3.0</v>
      </c>
      <c r="J2089" s="34" t="str">
        <f t="shared" si="1"/>
        <v>Midwest</v>
      </c>
      <c r="K2089" s="35">
        <v>2.0</v>
      </c>
      <c r="L2089" s="35" t="s">
        <v>396</v>
      </c>
      <c r="M2089" s="36">
        <f>VLOOKUP(D2089, County_Data_CZones!$B$2:$F$3236, 2, FALSE)</f>
        <v>5</v>
      </c>
      <c r="N2089" s="37" t="str">
        <f>VLOOKUP(D2089, County_Data_CZones!$B$2:$F$3236, 5, FALSE)</f>
        <v>Cold</v>
      </c>
    </row>
    <row r="2090" ht="15.75" customHeight="1">
      <c r="A2090" s="32" t="s">
        <v>252</v>
      </c>
      <c r="B2090" s="32" t="s">
        <v>683</v>
      </c>
      <c r="C2090" s="32" t="str">
        <f>vlookup(B2090,State_EMM_RowSums!$A$2:$B$52,2,FALSE)</f>
        <v>OH</v>
      </c>
      <c r="D2090" s="32">
        <v>39091.0</v>
      </c>
      <c r="E2090" s="33">
        <f>IF(NOT(ISBLANK(vlookup($D2090,Pop_Census_2023!$A$2:$E$3220,4,FALSE))),vlookup($D2090,Pop_Census_2023!$A$2:$E$3220,4,FALSE), vlookup($D2090,Pop_Census_2023!$A$2:$E$3220,5,FALSE))</f>
        <v>46057</v>
      </c>
      <c r="F2090" s="32">
        <v>1074058.0</v>
      </c>
      <c r="G2090" s="32">
        <v>112.0</v>
      </c>
      <c r="H2090" s="32" t="str">
        <f>VLOOKUP(D2090, Grid_Region_Mapping!$D$2:$F$5286, 3, FALSE)</f>
        <v>PJMW</v>
      </c>
      <c r="I2090" s="32">
        <v>3.0</v>
      </c>
      <c r="J2090" s="34" t="str">
        <f t="shared" si="1"/>
        <v>Midwest</v>
      </c>
      <c r="K2090" s="35">
        <v>2.0</v>
      </c>
      <c r="L2090" s="35" t="s">
        <v>396</v>
      </c>
      <c r="M2090" s="36">
        <f>VLOOKUP(D2090, County_Data_CZones!$B$2:$F$3236, 2, FALSE)</f>
        <v>5</v>
      </c>
      <c r="N2090" s="37" t="str">
        <f>VLOOKUP(D2090, County_Data_CZones!$B$2:$F$3236, 5, FALSE)</f>
        <v>Cold</v>
      </c>
    </row>
    <row r="2091" ht="15.75" customHeight="1">
      <c r="A2091" s="32" t="s">
        <v>1439</v>
      </c>
      <c r="B2091" s="32" t="s">
        <v>683</v>
      </c>
      <c r="C2091" s="32" t="str">
        <f>vlookup(B2091,State_EMM_RowSums!$A$2:$B$52,2,FALSE)</f>
        <v>OH</v>
      </c>
      <c r="D2091" s="32">
        <v>39093.0</v>
      </c>
      <c r="E2091" s="33">
        <f>IF(NOT(ISBLANK(vlookup($D2091,Pop_Census_2023!$A$2:$E$3220,4,FALSE))),vlookup($D2091,Pop_Census_2023!$A$2:$E$3220,4,FALSE), vlookup($D2091,Pop_Census_2023!$A$2:$E$3220,5,FALSE))</f>
        <v>317910</v>
      </c>
      <c r="F2091" s="32">
        <v>1074059.0</v>
      </c>
      <c r="G2091" s="32">
        <v>111.0</v>
      </c>
      <c r="H2091" s="32" t="str">
        <f>VLOOKUP(D2091, Grid_Region_Mapping!$D$2:$F$5286, 3, FALSE)</f>
        <v>PJMW</v>
      </c>
      <c r="I2091" s="32">
        <v>3.0</v>
      </c>
      <c r="J2091" s="34" t="str">
        <f t="shared" si="1"/>
        <v>Midwest</v>
      </c>
      <c r="K2091" s="35">
        <v>2.0</v>
      </c>
      <c r="L2091" s="35" t="s">
        <v>396</v>
      </c>
      <c r="M2091" s="36">
        <f>VLOOKUP(D2091, County_Data_CZones!$B$2:$F$3236, 2, FALSE)</f>
        <v>5</v>
      </c>
      <c r="N2091" s="37" t="str">
        <f>VLOOKUP(D2091, County_Data_CZones!$B$2:$F$3236, 5, FALSE)</f>
        <v>Cold</v>
      </c>
    </row>
    <row r="2092" ht="15.75" customHeight="1">
      <c r="A2092" s="32" t="s">
        <v>728</v>
      </c>
      <c r="B2092" s="32" t="s">
        <v>683</v>
      </c>
      <c r="C2092" s="32" t="str">
        <f>vlookup(B2092,State_EMM_RowSums!$A$2:$B$52,2,FALSE)</f>
        <v>OH</v>
      </c>
      <c r="D2092" s="32">
        <v>39095.0</v>
      </c>
      <c r="E2092" s="33">
        <f>IF(NOT(ISBLANK(vlookup($D2092,Pop_Census_2023!$A$2:$E$3220,4,FALSE))),vlookup($D2092,Pop_Census_2023!$A$2:$E$3220,4,FALSE), vlookup($D2092,Pop_Census_2023!$A$2:$E$3220,5,FALSE))</f>
        <v>425484</v>
      </c>
      <c r="F2092" s="32">
        <v>1074060.0</v>
      </c>
      <c r="G2092" s="32">
        <v>111.0</v>
      </c>
      <c r="H2092" s="32" t="str">
        <f>VLOOKUP(D2092, Grid_Region_Mapping!$D$2:$F$5286, 3, FALSE)</f>
        <v>PJMW</v>
      </c>
      <c r="I2092" s="32">
        <v>3.0</v>
      </c>
      <c r="J2092" s="34" t="str">
        <f t="shared" si="1"/>
        <v>Midwest</v>
      </c>
      <c r="K2092" s="35">
        <v>2.0</v>
      </c>
      <c r="L2092" s="35" t="s">
        <v>396</v>
      </c>
      <c r="M2092" s="36">
        <f>VLOOKUP(D2092, County_Data_CZones!$B$2:$F$3236, 2, FALSE)</f>
        <v>5</v>
      </c>
      <c r="N2092" s="37" t="str">
        <f>VLOOKUP(D2092, County_Data_CZones!$B$2:$F$3236, 5, FALSE)</f>
        <v>Cold</v>
      </c>
    </row>
    <row r="2093" ht="15.75" customHeight="1">
      <c r="A2093" s="32" t="s">
        <v>147</v>
      </c>
      <c r="B2093" s="32" t="s">
        <v>683</v>
      </c>
      <c r="C2093" s="32" t="str">
        <f>vlookup(B2093,State_EMM_RowSums!$A$2:$B$52,2,FALSE)</f>
        <v>OH</v>
      </c>
      <c r="D2093" s="32">
        <v>39097.0</v>
      </c>
      <c r="E2093" s="33">
        <f>IF(NOT(ISBLANK(vlookup($D2093,Pop_Census_2023!$A$2:$E$3220,4,FALSE))),vlookup($D2093,Pop_Census_2023!$A$2:$E$3220,4,FALSE), vlookup($D2093,Pop_Census_2023!$A$2:$E$3220,5,FALSE))</f>
        <v>44602</v>
      </c>
      <c r="F2093" s="32">
        <v>1074061.0</v>
      </c>
      <c r="G2093" s="32">
        <v>113.0</v>
      </c>
      <c r="H2093" s="32" t="str">
        <f>VLOOKUP(D2093, Grid_Region_Mapping!$D$2:$F$5286, 3, FALSE)</f>
        <v>PJMW</v>
      </c>
      <c r="I2093" s="32">
        <v>3.0</v>
      </c>
      <c r="J2093" s="34" t="str">
        <f t="shared" si="1"/>
        <v>Midwest</v>
      </c>
      <c r="K2093" s="35">
        <v>2.0</v>
      </c>
      <c r="L2093" s="35" t="s">
        <v>396</v>
      </c>
      <c r="M2093" s="36">
        <f>VLOOKUP(D2093, County_Data_CZones!$B$2:$F$3236, 2, FALSE)</f>
        <v>5</v>
      </c>
      <c r="N2093" s="37" t="str">
        <f>VLOOKUP(D2093, County_Data_CZones!$B$2:$F$3236, 5, FALSE)</f>
        <v>Cold</v>
      </c>
    </row>
    <row r="2094" ht="15.75" customHeight="1">
      <c r="A2094" s="32" t="s">
        <v>1440</v>
      </c>
      <c r="B2094" s="32" t="s">
        <v>683</v>
      </c>
      <c r="C2094" s="32" t="str">
        <f>vlookup(B2094,State_EMM_RowSums!$A$2:$B$52,2,FALSE)</f>
        <v>OH</v>
      </c>
      <c r="D2094" s="32">
        <v>39099.0</v>
      </c>
      <c r="E2094" s="33">
        <f>IF(NOT(ISBLANK(vlookup($D2094,Pop_Census_2023!$A$2:$E$3220,4,FALSE))),vlookup($D2094,Pop_Census_2023!$A$2:$E$3220,4,FALSE), vlookup($D2094,Pop_Census_2023!$A$2:$E$3220,5,FALSE))</f>
        <v>225596</v>
      </c>
      <c r="F2094" s="32">
        <v>1074062.0</v>
      </c>
      <c r="G2094" s="32">
        <v>111.0</v>
      </c>
      <c r="H2094" s="32" t="str">
        <f>VLOOKUP(D2094, Grid_Region_Mapping!$D$2:$F$5286, 3, FALSE)</f>
        <v>PJMW</v>
      </c>
      <c r="I2094" s="32">
        <v>3.0</v>
      </c>
      <c r="J2094" s="34" t="str">
        <f t="shared" si="1"/>
        <v>Midwest</v>
      </c>
      <c r="K2094" s="35">
        <v>2.0</v>
      </c>
      <c r="L2094" s="35" t="s">
        <v>396</v>
      </c>
      <c r="M2094" s="36">
        <f>VLOOKUP(D2094, County_Data_CZones!$B$2:$F$3236, 2, FALSE)</f>
        <v>5</v>
      </c>
      <c r="N2094" s="37" t="str">
        <f>VLOOKUP(D2094, County_Data_CZones!$B$2:$F$3236, 5, FALSE)</f>
        <v>Cold</v>
      </c>
    </row>
    <row r="2095" ht="15.75" customHeight="1">
      <c r="A2095" s="32" t="s">
        <v>149</v>
      </c>
      <c r="B2095" s="32" t="s">
        <v>683</v>
      </c>
      <c r="C2095" s="32" t="str">
        <f>vlookup(B2095,State_EMM_RowSums!$A$2:$B$52,2,FALSE)</f>
        <v>OH</v>
      </c>
      <c r="D2095" s="32">
        <v>39101.0</v>
      </c>
      <c r="E2095" s="33">
        <f>IF(NOT(ISBLANK(vlookup($D2095,Pop_Census_2023!$A$2:$E$3220,4,FALSE))),vlookup($D2095,Pop_Census_2023!$A$2:$E$3220,4,FALSE), vlookup($D2095,Pop_Census_2023!$A$2:$E$3220,5,FALSE))</f>
        <v>64851</v>
      </c>
      <c r="F2095" s="32">
        <v>1074063.0</v>
      </c>
      <c r="G2095" s="32">
        <v>112.0</v>
      </c>
      <c r="H2095" s="32" t="str">
        <f>VLOOKUP(D2095, Grid_Region_Mapping!$D$2:$F$5286, 3, FALSE)</f>
        <v>PJMW</v>
      </c>
      <c r="I2095" s="32">
        <v>3.0</v>
      </c>
      <c r="J2095" s="34" t="str">
        <f t="shared" si="1"/>
        <v>Midwest</v>
      </c>
      <c r="K2095" s="35">
        <v>2.0</v>
      </c>
      <c r="L2095" s="35" t="s">
        <v>396</v>
      </c>
      <c r="M2095" s="36">
        <f>VLOOKUP(D2095, County_Data_CZones!$B$2:$F$3236, 2, FALSE)</f>
        <v>5</v>
      </c>
      <c r="N2095" s="37" t="str">
        <f>VLOOKUP(D2095, County_Data_CZones!$B$2:$F$3236, 5, FALSE)</f>
        <v>Cold</v>
      </c>
    </row>
    <row r="2096" ht="15.75" customHeight="1">
      <c r="A2096" s="32" t="s">
        <v>1441</v>
      </c>
      <c r="B2096" s="32" t="s">
        <v>683</v>
      </c>
      <c r="C2096" s="32" t="str">
        <f>vlookup(B2096,State_EMM_RowSums!$A$2:$B$52,2,FALSE)</f>
        <v>OH</v>
      </c>
      <c r="D2096" s="32">
        <v>39103.0</v>
      </c>
      <c r="E2096" s="33">
        <f>IF(NOT(ISBLANK(vlookup($D2096,Pop_Census_2023!$A$2:$E$3220,4,FALSE))),vlookup($D2096,Pop_Census_2023!$A$2:$E$3220,4,FALSE), vlookup($D2096,Pop_Census_2023!$A$2:$E$3220,5,FALSE))</f>
        <v>184042</v>
      </c>
      <c r="F2096" s="32">
        <v>1074064.0</v>
      </c>
      <c r="G2096" s="32">
        <v>111.0</v>
      </c>
      <c r="H2096" s="32" t="str">
        <f>VLOOKUP(D2096, Grid_Region_Mapping!$D$2:$F$5286, 3, FALSE)</f>
        <v>PJMW</v>
      </c>
      <c r="I2096" s="32">
        <v>3.0</v>
      </c>
      <c r="J2096" s="34" t="str">
        <f t="shared" si="1"/>
        <v>Midwest</v>
      </c>
      <c r="K2096" s="35">
        <v>2.0</v>
      </c>
      <c r="L2096" s="35" t="s">
        <v>396</v>
      </c>
      <c r="M2096" s="36">
        <f>VLOOKUP(D2096, County_Data_CZones!$B$2:$F$3236, 2, FALSE)</f>
        <v>5</v>
      </c>
      <c r="N2096" s="37" t="str">
        <f>VLOOKUP(D2096, County_Data_CZones!$B$2:$F$3236, 5, FALSE)</f>
        <v>Cold</v>
      </c>
    </row>
    <row r="2097" ht="15.75" customHeight="1">
      <c r="A2097" s="32" t="s">
        <v>1442</v>
      </c>
      <c r="B2097" s="32" t="s">
        <v>683</v>
      </c>
      <c r="C2097" s="32" t="str">
        <f>vlookup(B2097,State_EMM_RowSums!$A$2:$B$52,2,FALSE)</f>
        <v>OH</v>
      </c>
      <c r="D2097" s="32">
        <v>39105.0</v>
      </c>
      <c r="E2097" s="33">
        <f>IF(NOT(ISBLANK(vlookup($D2097,Pop_Census_2023!$A$2:$E$3220,4,FALSE))),vlookup($D2097,Pop_Census_2023!$A$2:$E$3220,4,FALSE), vlookup($D2097,Pop_Census_2023!$A$2:$E$3220,5,FALSE))</f>
        <v>21767</v>
      </c>
      <c r="F2097" s="32">
        <v>1074065.0</v>
      </c>
      <c r="G2097" s="32">
        <v>112.0</v>
      </c>
      <c r="H2097" s="32" t="str">
        <f>VLOOKUP(D2097, Grid_Region_Mapping!$D$2:$F$5286, 3, FALSE)</f>
        <v>PJMW</v>
      </c>
      <c r="I2097" s="32">
        <v>3.0</v>
      </c>
      <c r="J2097" s="34" t="str">
        <f t="shared" si="1"/>
        <v>Midwest</v>
      </c>
      <c r="K2097" s="35">
        <v>3.0</v>
      </c>
      <c r="L2097" s="35" t="s">
        <v>396</v>
      </c>
      <c r="M2097" s="36">
        <f>VLOOKUP(D2097, County_Data_CZones!$B$2:$F$3236, 2, FALSE)</f>
        <v>5</v>
      </c>
      <c r="N2097" s="37" t="str">
        <f>VLOOKUP(D2097, County_Data_CZones!$B$2:$F$3236, 5, FALSE)</f>
        <v>Cold</v>
      </c>
    </row>
    <row r="2098" ht="15.75" customHeight="1">
      <c r="A2098" s="32" t="s">
        <v>644</v>
      </c>
      <c r="B2098" s="32" t="s">
        <v>683</v>
      </c>
      <c r="C2098" s="32" t="str">
        <f>vlookup(B2098,State_EMM_RowSums!$A$2:$B$52,2,FALSE)</f>
        <v>OH</v>
      </c>
      <c r="D2098" s="32">
        <v>39107.0</v>
      </c>
      <c r="E2098" s="33">
        <f>IF(NOT(ISBLANK(vlookup($D2098,Pop_Census_2023!$A$2:$E$3220,4,FALSE))),vlookup($D2098,Pop_Census_2023!$A$2:$E$3220,4,FALSE), vlookup($D2098,Pop_Census_2023!$A$2:$E$3220,5,FALSE))</f>
        <v>42439</v>
      </c>
      <c r="F2098" s="32">
        <v>1074066.0</v>
      </c>
      <c r="G2098" s="32">
        <v>112.0</v>
      </c>
      <c r="H2098" s="32" t="str">
        <f>VLOOKUP(D2098, Grid_Region_Mapping!$D$2:$F$5286, 3, FALSE)</f>
        <v>PJMW</v>
      </c>
      <c r="I2098" s="32">
        <v>3.0</v>
      </c>
      <c r="J2098" s="34" t="str">
        <f t="shared" si="1"/>
        <v>Midwest</v>
      </c>
      <c r="K2098" s="35">
        <v>2.0</v>
      </c>
      <c r="L2098" s="35" t="s">
        <v>396</v>
      </c>
      <c r="M2098" s="36">
        <f>VLOOKUP(D2098, County_Data_CZones!$B$2:$F$3236, 2, FALSE)</f>
        <v>5</v>
      </c>
      <c r="N2098" s="37" t="str">
        <f>VLOOKUP(D2098, County_Data_CZones!$B$2:$F$3236, 5, FALSE)</f>
        <v>Cold</v>
      </c>
    </row>
    <row r="2099" ht="15.75" customHeight="1">
      <c r="A2099" s="32" t="s">
        <v>681</v>
      </c>
      <c r="B2099" s="32" t="s">
        <v>683</v>
      </c>
      <c r="C2099" s="32" t="str">
        <f>vlookup(B2099,State_EMM_RowSums!$A$2:$B$52,2,FALSE)</f>
        <v>OH</v>
      </c>
      <c r="D2099" s="32">
        <v>39109.0</v>
      </c>
      <c r="E2099" s="33">
        <f>IF(NOT(ISBLANK(vlookup($D2099,Pop_Census_2023!$A$2:$E$3220,4,FALSE))),vlookup($D2099,Pop_Census_2023!$A$2:$E$3220,4,FALSE), vlookup($D2099,Pop_Census_2023!$A$2:$E$3220,5,FALSE))</f>
        <v>110876</v>
      </c>
      <c r="F2099" s="32">
        <v>1074067.0</v>
      </c>
      <c r="G2099" s="32">
        <v>113.0</v>
      </c>
      <c r="H2099" s="32" t="str">
        <f>VLOOKUP(D2099, Grid_Region_Mapping!$D$2:$F$5286, 3, FALSE)</f>
        <v>PJMW</v>
      </c>
      <c r="I2099" s="32">
        <v>3.0</v>
      </c>
      <c r="J2099" s="34" t="str">
        <f t="shared" si="1"/>
        <v>Midwest</v>
      </c>
      <c r="K2099" s="35">
        <v>2.0</v>
      </c>
      <c r="L2099" s="35" t="s">
        <v>396</v>
      </c>
      <c r="M2099" s="36">
        <f>VLOOKUP(D2099, County_Data_CZones!$B$2:$F$3236, 2, FALSE)</f>
        <v>5</v>
      </c>
      <c r="N2099" s="37" t="str">
        <f>VLOOKUP(D2099, County_Data_CZones!$B$2:$F$3236, 5, FALSE)</f>
        <v>Cold</v>
      </c>
    </row>
    <row r="2100" ht="15.75" customHeight="1">
      <c r="A2100" s="32" t="s">
        <v>152</v>
      </c>
      <c r="B2100" s="32" t="s">
        <v>683</v>
      </c>
      <c r="C2100" s="32" t="str">
        <f>vlookup(B2100,State_EMM_RowSums!$A$2:$B$52,2,FALSE)</f>
        <v>OH</v>
      </c>
      <c r="D2100" s="32">
        <v>39111.0</v>
      </c>
      <c r="E2100" s="33">
        <f>IF(NOT(ISBLANK(vlookup($D2100,Pop_Census_2023!$A$2:$E$3220,4,FALSE))),vlookup($D2100,Pop_Census_2023!$A$2:$E$3220,4,FALSE), vlookup($D2100,Pop_Census_2023!$A$2:$E$3220,5,FALSE))</f>
        <v>13153</v>
      </c>
      <c r="F2100" s="32">
        <v>1074068.0</v>
      </c>
      <c r="G2100" s="32">
        <v>112.0</v>
      </c>
      <c r="H2100" s="32" t="str">
        <f>VLOOKUP(D2100, Grid_Region_Mapping!$D$2:$F$5286, 3, FALSE)</f>
        <v>PJMW</v>
      </c>
      <c r="I2100" s="32">
        <v>3.0</v>
      </c>
      <c r="J2100" s="34" t="str">
        <f t="shared" si="1"/>
        <v>Midwest</v>
      </c>
      <c r="K2100" s="35">
        <v>2.0</v>
      </c>
      <c r="L2100" s="35" t="s">
        <v>396</v>
      </c>
      <c r="M2100" s="36">
        <f>VLOOKUP(D2100, County_Data_CZones!$B$2:$F$3236, 2, FALSE)</f>
        <v>5</v>
      </c>
      <c r="N2100" s="37" t="str">
        <f>VLOOKUP(D2100, County_Data_CZones!$B$2:$F$3236, 5, FALSE)</f>
        <v>Cold</v>
      </c>
    </row>
    <row r="2101" ht="15.75" customHeight="1">
      <c r="A2101" s="32" t="s">
        <v>153</v>
      </c>
      <c r="B2101" s="32" t="s">
        <v>683</v>
      </c>
      <c r="C2101" s="32" t="str">
        <f>vlookup(B2101,State_EMM_RowSums!$A$2:$B$52,2,FALSE)</f>
        <v>OH</v>
      </c>
      <c r="D2101" s="32">
        <v>39113.0</v>
      </c>
      <c r="E2101" s="33">
        <f>IF(NOT(ISBLANK(vlookup($D2101,Pop_Census_2023!$A$2:$E$3220,4,FALSE))),vlookup($D2101,Pop_Census_2023!$A$2:$E$3220,4,FALSE), vlookup($D2101,Pop_Census_2023!$A$2:$E$3220,5,FALSE))</f>
        <v>533796</v>
      </c>
      <c r="F2101" s="32">
        <v>1074069.0</v>
      </c>
      <c r="G2101" s="32">
        <v>113.0</v>
      </c>
      <c r="H2101" s="32" t="str">
        <f>VLOOKUP(D2101, Grid_Region_Mapping!$D$2:$F$5286, 3, FALSE)</f>
        <v>PJMW</v>
      </c>
      <c r="I2101" s="32">
        <v>3.0</v>
      </c>
      <c r="J2101" s="34" t="str">
        <f t="shared" si="1"/>
        <v>Midwest</v>
      </c>
      <c r="K2101" s="35">
        <v>2.0</v>
      </c>
      <c r="L2101" s="35" t="s">
        <v>396</v>
      </c>
      <c r="M2101" s="36">
        <f>VLOOKUP(D2101, County_Data_CZones!$B$2:$F$3236, 2, FALSE)</f>
        <v>5</v>
      </c>
      <c r="N2101" s="37" t="str">
        <f>VLOOKUP(D2101, County_Data_CZones!$B$2:$F$3236, 5, FALSE)</f>
        <v>Cold</v>
      </c>
    </row>
    <row r="2102" ht="15.75" customHeight="1">
      <c r="A2102" s="32" t="s">
        <v>154</v>
      </c>
      <c r="B2102" s="32" t="s">
        <v>683</v>
      </c>
      <c r="C2102" s="32" t="str">
        <f>vlookup(B2102,State_EMM_RowSums!$A$2:$B$52,2,FALSE)</f>
        <v>OH</v>
      </c>
      <c r="D2102" s="32">
        <v>39115.0</v>
      </c>
      <c r="E2102" s="33">
        <f>IF(NOT(ISBLANK(vlookup($D2102,Pop_Census_2023!$A$2:$E$3220,4,FALSE))),vlookup($D2102,Pop_Census_2023!$A$2:$E$3220,4,FALSE), vlookup($D2102,Pop_Census_2023!$A$2:$E$3220,5,FALSE))</f>
        <v>13646</v>
      </c>
      <c r="F2102" s="32">
        <v>1074070.0</v>
      </c>
      <c r="G2102" s="32">
        <v>112.0</v>
      </c>
      <c r="H2102" s="32" t="str">
        <f>VLOOKUP(D2102, Grid_Region_Mapping!$D$2:$F$5286, 3, FALSE)</f>
        <v>PJMW</v>
      </c>
      <c r="I2102" s="32">
        <v>3.0</v>
      </c>
      <c r="J2102" s="34" t="str">
        <f t="shared" si="1"/>
        <v>Midwest</v>
      </c>
      <c r="K2102" s="35">
        <v>2.0</v>
      </c>
      <c r="L2102" s="35" t="s">
        <v>396</v>
      </c>
      <c r="M2102" s="36">
        <f>VLOOKUP(D2102, County_Data_CZones!$B$2:$F$3236, 2, FALSE)</f>
        <v>5</v>
      </c>
      <c r="N2102" s="37" t="str">
        <f>VLOOKUP(D2102, County_Data_CZones!$B$2:$F$3236, 5, FALSE)</f>
        <v>Cold</v>
      </c>
    </row>
    <row r="2103" ht="15.75" customHeight="1">
      <c r="A2103" s="32" t="s">
        <v>1443</v>
      </c>
      <c r="B2103" s="32" t="s">
        <v>683</v>
      </c>
      <c r="C2103" s="32" t="str">
        <f>vlookup(B2103,State_EMM_RowSums!$A$2:$B$52,2,FALSE)</f>
        <v>OH</v>
      </c>
      <c r="D2103" s="32">
        <v>39117.0</v>
      </c>
      <c r="E2103" s="33">
        <f>IF(NOT(ISBLANK(vlookup($D2103,Pop_Census_2023!$A$2:$E$3220,4,FALSE))),vlookup($D2103,Pop_Census_2023!$A$2:$E$3220,4,FALSE), vlookup($D2103,Pop_Census_2023!$A$2:$E$3220,5,FALSE))</f>
        <v>35595</v>
      </c>
      <c r="F2103" s="32">
        <v>1074071.0</v>
      </c>
      <c r="G2103" s="32">
        <v>112.0</v>
      </c>
      <c r="H2103" s="32" t="str">
        <f>VLOOKUP(D2103, Grid_Region_Mapping!$D$2:$F$5286, 3, FALSE)</f>
        <v>PJMW</v>
      </c>
      <c r="I2103" s="32">
        <v>3.0</v>
      </c>
      <c r="J2103" s="34" t="str">
        <f t="shared" si="1"/>
        <v>Midwest</v>
      </c>
      <c r="K2103" s="35">
        <v>2.0</v>
      </c>
      <c r="L2103" s="35" t="s">
        <v>396</v>
      </c>
      <c r="M2103" s="36">
        <f>VLOOKUP(D2103, County_Data_CZones!$B$2:$F$3236, 2, FALSE)</f>
        <v>5</v>
      </c>
      <c r="N2103" s="37" t="str">
        <f>VLOOKUP(D2103, County_Data_CZones!$B$2:$F$3236, 5, FALSE)</f>
        <v>Cold</v>
      </c>
    </row>
    <row r="2104" ht="15.75" customHeight="1">
      <c r="A2104" s="32" t="s">
        <v>1444</v>
      </c>
      <c r="B2104" s="32" t="s">
        <v>683</v>
      </c>
      <c r="C2104" s="32" t="str">
        <f>vlookup(B2104,State_EMM_RowSums!$A$2:$B$52,2,FALSE)</f>
        <v>OH</v>
      </c>
      <c r="D2104" s="32">
        <v>39119.0</v>
      </c>
      <c r="E2104" s="33">
        <f>IF(NOT(ISBLANK(vlookup($D2104,Pop_Census_2023!$A$2:$E$3220,4,FALSE))),vlookup($D2104,Pop_Census_2023!$A$2:$E$3220,4,FALSE), vlookup($D2104,Pop_Census_2023!$A$2:$E$3220,5,FALSE))</f>
        <v>86305</v>
      </c>
      <c r="F2104" s="32">
        <v>1074072.0</v>
      </c>
      <c r="G2104" s="32">
        <v>112.0</v>
      </c>
      <c r="H2104" s="32" t="str">
        <f>VLOOKUP(D2104, Grid_Region_Mapping!$D$2:$F$5286, 3, FALSE)</f>
        <v>PJMW</v>
      </c>
      <c r="I2104" s="32">
        <v>3.0</v>
      </c>
      <c r="J2104" s="34" t="str">
        <f t="shared" si="1"/>
        <v>Midwest</v>
      </c>
      <c r="K2104" s="35">
        <v>2.0</v>
      </c>
      <c r="L2104" s="35" t="s">
        <v>396</v>
      </c>
      <c r="M2104" s="36">
        <f>VLOOKUP(D2104, County_Data_CZones!$B$2:$F$3236, 2, FALSE)</f>
        <v>5</v>
      </c>
      <c r="N2104" s="37" t="str">
        <f>VLOOKUP(D2104, County_Data_CZones!$B$2:$F$3236, 5, FALSE)</f>
        <v>Cold</v>
      </c>
    </row>
    <row r="2105" ht="15.75" customHeight="1">
      <c r="A2105" s="32" t="s">
        <v>682</v>
      </c>
      <c r="B2105" s="32" t="s">
        <v>683</v>
      </c>
      <c r="C2105" s="32" t="str">
        <f>vlookup(B2105,State_EMM_RowSums!$A$2:$B$52,2,FALSE)</f>
        <v>OH</v>
      </c>
      <c r="D2105" s="32">
        <v>39121.0</v>
      </c>
      <c r="E2105" s="33">
        <f>IF(NOT(ISBLANK(vlookup($D2105,Pop_Census_2023!$A$2:$E$3220,4,FALSE))),vlookup($D2105,Pop_Census_2023!$A$2:$E$3220,4,FALSE), vlookup($D2105,Pop_Census_2023!$A$2:$E$3220,5,FALSE))</f>
        <v>14311</v>
      </c>
      <c r="F2105" s="32">
        <v>1074073.0</v>
      </c>
      <c r="G2105" s="32">
        <v>112.0</v>
      </c>
      <c r="H2105" s="32" t="str">
        <f>VLOOKUP(D2105, Grid_Region_Mapping!$D$2:$F$5286, 3, FALSE)</f>
        <v>PJMW</v>
      </c>
      <c r="I2105" s="32">
        <v>3.0</v>
      </c>
      <c r="J2105" s="34" t="str">
        <f t="shared" si="1"/>
        <v>Midwest</v>
      </c>
      <c r="K2105" s="35">
        <v>2.0</v>
      </c>
      <c r="L2105" s="35" t="s">
        <v>396</v>
      </c>
      <c r="M2105" s="36">
        <f>VLOOKUP(D2105, County_Data_CZones!$B$2:$F$3236, 2, FALSE)</f>
        <v>5</v>
      </c>
      <c r="N2105" s="37" t="str">
        <f>VLOOKUP(D2105, County_Data_CZones!$B$2:$F$3236, 5, FALSE)</f>
        <v>Cold</v>
      </c>
    </row>
    <row r="2106" ht="15.75" customHeight="1">
      <c r="A2106" s="32" t="s">
        <v>792</v>
      </c>
      <c r="B2106" s="32" t="s">
        <v>683</v>
      </c>
      <c r="C2106" s="32" t="str">
        <f>vlookup(B2106,State_EMM_RowSums!$A$2:$B$52,2,FALSE)</f>
        <v>OH</v>
      </c>
      <c r="D2106" s="32">
        <v>39123.0</v>
      </c>
      <c r="E2106" s="33">
        <f>IF(NOT(ISBLANK(vlookup($D2106,Pop_Census_2023!$A$2:$E$3220,4,FALSE))),vlookup($D2106,Pop_Census_2023!$A$2:$E$3220,4,FALSE), vlookup($D2106,Pop_Census_2023!$A$2:$E$3220,5,FALSE))</f>
        <v>39803</v>
      </c>
      <c r="F2106" s="32">
        <v>1074074.0</v>
      </c>
      <c r="G2106" s="32">
        <v>111.0</v>
      </c>
      <c r="H2106" s="32" t="str">
        <f>VLOOKUP(D2106, Grid_Region_Mapping!$D$2:$F$5286, 3, FALSE)</f>
        <v>PJMW</v>
      </c>
      <c r="I2106" s="32">
        <v>3.0</v>
      </c>
      <c r="J2106" s="34" t="str">
        <f t="shared" si="1"/>
        <v>Midwest</v>
      </c>
      <c r="K2106" s="35">
        <v>2.0</v>
      </c>
      <c r="L2106" s="35" t="s">
        <v>396</v>
      </c>
      <c r="M2106" s="36">
        <f>VLOOKUP(D2106, County_Data_CZones!$B$2:$F$3236, 2, FALSE)</f>
        <v>5</v>
      </c>
      <c r="N2106" s="37" t="str">
        <f>VLOOKUP(D2106, County_Data_CZones!$B$2:$F$3236, 5, FALSE)</f>
        <v>Cold</v>
      </c>
    </row>
    <row r="2107" ht="15.75" customHeight="1">
      <c r="A2107" s="32" t="s">
        <v>534</v>
      </c>
      <c r="B2107" s="32" t="s">
        <v>683</v>
      </c>
      <c r="C2107" s="32" t="str">
        <f>vlookup(B2107,State_EMM_RowSums!$A$2:$B$52,2,FALSE)</f>
        <v>OH</v>
      </c>
      <c r="D2107" s="32">
        <v>39125.0</v>
      </c>
      <c r="E2107" s="33">
        <f>IF(NOT(ISBLANK(vlookup($D2107,Pop_Census_2023!$A$2:$E$3220,4,FALSE))),vlookup($D2107,Pop_Census_2023!$A$2:$E$3220,4,FALSE), vlookup($D2107,Pop_Census_2023!$A$2:$E$3220,5,FALSE))</f>
        <v>18706</v>
      </c>
      <c r="F2107" s="32">
        <v>1074075.0</v>
      </c>
      <c r="G2107" s="32">
        <v>112.0</v>
      </c>
      <c r="H2107" s="32" t="str">
        <f>VLOOKUP(D2107, Grid_Region_Mapping!$D$2:$F$5286, 3, FALSE)</f>
        <v>PJMW</v>
      </c>
      <c r="I2107" s="32">
        <v>3.0</v>
      </c>
      <c r="J2107" s="34" t="str">
        <f t="shared" si="1"/>
        <v>Midwest</v>
      </c>
      <c r="K2107" s="35">
        <v>2.0</v>
      </c>
      <c r="L2107" s="35" t="s">
        <v>396</v>
      </c>
      <c r="M2107" s="36">
        <f>VLOOKUP(D2107, County_Data_CZones!$B$2:$F$3236, 2, FALSE)</f>
        <v>5</v>
      </c>
      <c r="N2107" s="37" t="str">
        <f>VLOOKUP(D2107, County_Data_CZones!$B$2:$F$3236, 5, FALSE)</f>
        <v>Cold</v>
      </c>
    </row>
    <row r="2108" ht="15.75" customHeight="1">
      <c r="A2108" s="32" t="s">
        <v>155</v>
      </c>
      <c r="B2108" s="32" t="s">
        <v>683</v>
      </c>
      <c r="C2108" s="32" t="str">
        <f>vlookup(B2108,State_EMM_RowSums!$A$2:$B$52,2,FALSE)</f>
        <v>OH</v>
      </c>
      <c r="D2108" s="32">
        <v>39127.0</v>
      </c>
      <c r="E2108" s="33">
        <f>IF(NOT(ISBLANK(vlookup($D2108,Pop_Census_2023!$A$2:$E$3220,4,FALSE))),vlookup($D2108,Pop_Census_2023!$A$2:$E$3220,4,FALSE), vlookup($D2108,Pop_Census_2023!$A$2:$E$3220,5,FALSE))</f>
        <v>35551</v>
      </c>
      <c r="F2108" s="32">
        <v>1074076.0</v>
      </c>
      <c r="G2108" s="32">
        <v>112.0</v>
      </c>
      <c r="H2108" s="32" t="str">
        <f>VLOOKUP(D2108, Grid_Region_Mapping!$D$2:$F$5286, 3, FALSE)</f>
        <v>PJMW</v>
      </c>
      <c r="I2108" s="32">
        <v>3.0</v>
      </c>
      <c r="J2108" s="34" t="str">
        <f t="shared" si="1"/>
        <v>Midwest</v>
      </c>
      <c r="K2108" s="35">
        <v>2.0</v>
      </c>
      <c r="L2108" s="35" t="s">
        <v>396</v>
      </c>
      <c r="M2108" s="36">
        <f>VLOOKUP(D2108, County_Data_CZones!$B$2:$F$3236, 2, FALSE)</f>
        <v>5</v>
      </c>
      <c r="N2108" s="37" t="str">
        <f>VLOOKUP(D2108, County_Data_CZones!$B$2:$F$3236, 5, FALSE)</f>
        <v>Cold</v>
      </c>
    </row>
    <row r="2109" ht="15.75" customHeight="1">
      <c r="A2109" s="32" t="s">
        <v>1445</v>
      </c>
      <c r="B2109" s="32" t="s">
        <v>683</v>
      </c>
      <c r="C2109" s="32" t="str">
        <f>vlookup(B2109,State_EMM_RowSums!$A$2:$B$52,2,FALSE)</f>
        <v>OH</v>
      </c>
      <c r="D2109" s="32">
        <v>39129.0</v>
      </c>
      <c r="E2109" s="33">
        <f>IF(NOT(ISBLANK(vlookup($D2109,Pop_Census_2023!$A$2:$E$3220,4,FALSE))),vlookup($D2109,Pop_Census_2023!$A$2:$E$3220,4,FALSE), vlookup($D2109,Pop_Census_2023!$A$2:$E$3220,5,FALSE))</f>
        <v>61086</v>
      </c>
      <c r="F2109" s="32">
        <v>1074077.0</v>
      </c>
      <c r="G2109" s="32">
        <v>112.0</v>
      </c>
      <c r="H2109" s="32" t="str">
        <f>VLOOKUP(D2109, Grid_Region_Mapping!$D$2:$F$5286, 3, FALSE)</f>
        <v>PJMW</v>
      </c>
      <c r="I2109" s="32">
        <v>3.0</v>
      </c>
      <c r="J2109" s="34" t="str">
        <f t="shared" si="1"/>
        <v>Midwest</v>
      </c>
      <c r="K2109" s="35">
        <v>2.0</v>
      </c>
      <c r="L2109" s="35" t="s">
        <v>396</v>
      </c>
      <c r="M2109" s="36">
        <f>VLOOKUP(D2109, County_Data_CZones!$B$2:$F$3236, 2, FALSE)</f>
        <v>5</v>
      </c>
      <c r="N2109" s="37" t="str">
        <f>VLOOKUP(D2109, County_Data_CZones!$B$2:$F$3236, 5, FALSE)</f>
        <v>Cold</v>
      </c>
    </row>
    <row r="2110" ht="15.75" customHeight="1">
      <c r="A2110" s="32" t="s">
        <v>157</v>
      </c>
      <c r="B2110" s="32" t="s">
        <v>683</v>
      </c>
      <c r="C2110" s="32" t="str">
        <f>vlookup(B2110,State_EMM_RowSums!$A$2:$B$52,2,FALSE)</f>
        <v>OH</v>
      </c>
      <c r="D2110" s="32">
        <v>39131.0</v>
      </c>
      <c r="E2110" s="33">
        <f>IF(NOT(ISBLANK(vlookup($D2110,Pop_Census_2023!$A$2:$E$3220,4,FALSE))),vlookup($D2110,Pop_Census_2023!$A$2:$E$3220,4,FALSE), vlookup($D2110,Pop_Census_2023!$A$2:$E$3220,5,FALSE))</f>
        <v>27001</v>
      </c>
      <c r="F2110" s="32">
        <v>1074078.0</v>
      </c>
      <c r="G2110" s="32">
        <v>112.0</v>
      </c>
      <c r="H2110" s="32" t="str">
        <f>VLOOKUP(D2110, Grid_Region_Mapping!$D$2:$F$5286, 3, FALSE)</f>
        <v>PJMW</v>
      </c>
      <c r="I2110" s="32">
        <v>3.0</v>
      </c>
      <c r="J2110" s="34" t="str">
        <f t="shared" si="1"/>
        <v>Midwest</v>
      </c>
      <c r="K2110" s="35">
        <v>3.0</v>
      </c>
      <c r="L2110" s="35" t="s">
        <v>223</v>
      </c>
      <c r="M2110" s="36">
        <f>VLOOKUP(D2110, County_Data_CZones!$B$2:$F$3236, 2, FALSE)</f>
        <v>4</v>
      </c>
      <c r="N2110" s="37" t="str">
        <f>VLOOKUP(D2110, County_Data_CZones!$B$2:$F$3236, 5, FALSE)</f>
        <v>Mixed-Humid</v>
      </c>
    </row>
    <row r="2111" ht="15.75" customHeight="1">
      <c r="A2111" s="32" t="s">
        <v>1446</v>
      </c>
      <c r="B2111" s="32" t="s">
        <v>683</v>
      </c>
      <c r="C2111" s="32" t="str">
        <f>vlookup(B2111,State_EMM_RowSums!$A$2:$B$52,2,FALSE)</f>
        <v>OH</v>
      </c>
      <c r="D2111" s="32">
        <v>39133.0</v>
      </c>
      <c r="E2111" s="33">
        <f>IF(NOT(ISBLANK(vlookup($D2111,Pop_Census_2023!$A$2:$E$3220,4,FALSE))),vlookup($D2111,Pop_Census_2023!$A$2:$E$3220,4,FALSE), vlookup($D2111,Pop_Census_2023!$A$2:$E$3220,5,FALSE))</f>
        <v>162665</v>
      </c>
      <c r="F2111" s="32">
        <v>1074079.0</v>
      </c>
      <c r="G2111" s="32">
        <v>111.0</v>
      </c>
      <c r="H2111" s="32" t="str">
        <f>VLOOKUP(D2111, Grid_Region_Mapping!$D$2:$F$5286, 3, FALSE)</f>
        <v>PJMW</v>
      </c>
      <c r="I2111" s="32">
        <v>3.0</v>
      </c>
      <c r="J2111" s="34" t="str">
        <f t="shared" si="1"/>
        <v>Midwest</v>
      </c>
      <c r="K2111" s="35">
        <v>2.0</v>
      </c>
      <c r="L2111" s="35" t="s">
        <v>396</v>
      </c>
      <c r="M2111" s="36">
        <f>VLOOKUP(D2111, County_Data_CZones!$B$2:$F$3236, 2, FALSE)</f>
        <v>5</v>
      </c>
      <c r="N2111" s="37" t="str">
        <f>VLOOKUP(D2111, County_Data_CZones!$B$2:$F$3236, 5, FALSE)</f>
        <v>Cold</v>
      </c>
    </row>
    <row r="2112" ht="15.75" customHeight="1">
      <c r="A2112" s="32" t="s">
        <v>1447</v>
      </c>
      <c r="B2112" s="32" t="s">
        <v>683</v>
      </c>
      <c r="C2112" s="32" t="str">
        <f>vlookup(B2112,State_EMM_RowSums!$A$2:$B$52,2,FALSE)</f>
        <v>OH</v>
      </c>
      <c r="D2112" s="32">
        <v>39135.0</v>
      </c>
      <c r="E2112" s="33">
        <f>IF(NOT(ISBLANK(vlookup($D2112,Pop_Census_2023!$A$2:$E$3220,4,FALSE))),vlookup($D2112,Pop_Census_2023!$A$2:$E$3220,4,FALSE), vlookup($D2112,Pop_Census_2023!$A$2:$E$3220,5,FALSE))</f>
        <v>40556</v>
      </c>
      <c r="F2112" s="32">
        <v>1074080.0</v>
      </c>
      <c r="G2112" s="32">
        <v>113.0</v>
      </c>
      <c r="H2112" s="32" t="str">
        <f>VLOOKUP(D2112, Grid_Region_Mapping!$D$2:$F$5286, 3, FALSE)</f>
        <v>PJMW</v>
      </c>
      <c r="I2112" s="32">
        <v>3.0</v>
      </c>
      <c r="J2112" s="34" t="str">
        <f t="shared" si="1"/>
        <v>Midwest</v>
      </c>
      <c r="K2112" s="35">
        <v>2.0</v>
      </c>
      <c r="L2112" s="35" t="s">
        <v>396</v>
      </c>
      <c r="M2112" s="36">
        <f>VLOOKUP(D2112, County_Data_CZones!$B$2:$F$3236, 2, FALSE)</f>
        <v>5</v>
      </c>
      <c r="N2112" s="37" t="str">
        <f>VLOOKUP(D2112, County_Data_CZones!$B$2:$F$3236, 5, FALSE)</f>
        <v>Cold</v>
      </c>
    </row>
    <row r="2113" ht="15.75" customHeight="1">
      <c r="A2113" s="32" t="s">
        <v>449</v>
      </c>
      <c r="B2113" s="32" t="s">
        <v>683</v>
      </c>
      <c r="C2113" s="32" t="str">
        <f>vlookup(B2113,State_EMM_RowSums!$A$2:$B$52,2,FALSE)</f>
        <v>OH</v>
      </c>
      <c r="D2113" s="32">
        <v>39137.0</v>
      </c>
      <c r="E2113" s="33">
        <f>IF(NOT(ISBLANK(vlookup($D2113,Pop_Census_2023!$A$2:$E$3220,4,FALSE))),vlookup($D2113,Pop_Census_2023!$A$2:$E$3220,4,FALSE), vlookup($D2113,Pop_Census_2023!$A$2:$E$3220,5,FALSE))</f>
        <v>34199</v>
      </c>
      <c r="F2113" s="32">
        <v>1074081.0</v>
      </c>
      <c r="G2113" s="32">
        <v>112.0</v>
      </c>
      <c r="H2113" s="32" t="str">
        <f>VLOOKUP(D2113, Grid_Region_Mapping!$D$2:$F$5286, 3, FALSE)</f>
        <v>PJMW</v>
      </c>
      <c r="I2113" s="32">
        <v>3.0</v>
      </c>
      <c r="J2113" s="34" t="str">
        <f t="shared" si="1"/>
        <v>Midwest</v>
      </c>
      <c r="K2113" s="35">
        <v>2.0</v>
      </c>
      <c r="L2113" s="35" t="s">
        <v>396</v>
      </c>
      <c r="M2113" s="36">
        <f>VLOOKUP(D2113, County_Data_CZones!$B$2:$F$3236, 2, FALSE)</f>
        <v>5</v>
      </c>
      <c r="N2113" s="37" t="str">
        <f>VLOOKUP(D2113, County_Data_CZones!$B$2:$F$3236, 5, FALSE)</f>
        <v>Cold</v>
      </c>
    </row>
    <row r="2114" ht="15.75" customHeight="1">
      <c r="A2114" s="32" t="s">
        <v>649</v>
      </c>
      <c r="B2114" s="32" t="s">
        <v>683</v>
      </c>
      <c r="C2114" s="32" t="str">
        <f>vlookup(B2114,State_EMM_RowSums!$A$2:$B$52,2,FALSE)</f>
        <v>OH</v>
      </c>
      <c r="D2114" s="32">
        <v>39139.0</v>
      </c>
      <c r="E2114" s="33">
        <f>IF(NOT(ISBLANK(vlookup($D2114,Pop_Census_2023!$A$2:$E$3220,4,FALSE))),vlookup($D2114,Pop_Census_2023!$A$2:$E$3220,4,FALSE), vlookup($D2114,Pop_Census_2023!$A$2:$E$3220,5,FALSE))</f>
        <v>125064</v>
      </c>
      <c r="F2114" s="32">
        <v>1074082.0</v>
      </c>
      <c r="G2114" s="32">
        <v>112.0</v>
      </c>
      <c r="H2114" s="32" t="str">
        <f>VLOOKUP(D2114, Grid_Region_Mapping!$D$2:$F$5286, 3, FALSE)</f>
        <v>PJMW</v>
      </c>
      <c r="I2114" s="32">
        <v>3.0</v>
      </c>
      <c r="J2114" s="34" t="str">
        <f t="shared" si="1"/>
        <v>Midwest</v>
      </c>
      <c r="K2114" s="35">
        <v>2.0</v>
      </c>
      <c r="L2114" s="35" t="s">
        <v>396</v>
      </c>
      <c r="M2114" s="36">
        <f>VLOOKUP(D2114, County_Data_CZones!$B$2:$F$3236, 2, FALSE)</f>
        <v>5</v>
      </c>
      <c r="N2114" s="37" t="str">
        <f>VLOOKUP(D2114, County_Data_CZones!$B$2:$F$3236, 5, FALSE)</f>
        <v>Cold</v>
      </c>
    </row>
    <row r="2115" ht="15.75" customHeight="1">
      <c r="A2115" s="32" t="s">
        <v>1448</v>
      </c>
      <c r="B2115" s="32" t="s">
        <v>683</v>
      </c>
      <c r="C2115" s="32" t="str">
        <f>vlookup(B2115,State_EMM_RowSums!$A$2:$B$52,2,FALSE)</f>
        <v>OH</v>
      </c>
      <c r="D2115" s="32">
        <v>39141.0</v>
      </c>
      <c r="E2115" s="33">
        <f>IF(NOT(ISBLANK(vlookup($D2115,Pop_Census_2023!$A$2:$E$3220,4,FALSE))),vlookup($D2115,Pop_Census_2023!$A$2:$E$3220,4,FALSE), vlookup($D2115,Pop_Census_2023!$A$2:$E$3220,5,FALSE))</f>
        <v>76501</v>
      </c>
      <c r="F2115" s="32">
        <v>1074083.0</v>
      </c>
      <c r="G2115" s="32">
        <v>112.0</v>
      </c>
      <c r="H2115" s="32" t="str">
        <f>VLOOKUP(D2115, Grid_Region_Mapping!$D$2:$F$5286, 3, FALSE)</f>
        <v>PJMW</v>
      </c>
      <c r="I2115" s="32">
        <v>3.0</v>
      </c>
      <c r="J2115" s="34" t="str">
        <f t="shared" si="1"/>
        <v>Midwest</v>
      </c>
      <c r="K2115" s="35">
        <v>2.0</v>
      </c>
      <c r="L2115" s="35" t="s">
        <v>396</v>
      </c>
      <c r="M2115" s="36">
        <f>VLOOKUP(D2115, County_Data_CZones!$B$2:$F$3236, 2, FALSE)</f>
        <v>5</v>
      </c>
      <c r="N2115" s="37" t="str">
        <f>VLOOKUP(D2115, County_Data_CZones!$B$2:$F$3236, 5, FALSE)</f>
        <v>Cold</v>
      </c>
    </row>
    <row r="2116" ht="15.75" customHeight="1">
      <c r="A2116" s="32" t="s">
        <v>1449</v>
      </c>
      <c r="B2116" s="32" t="s">
        <v>683</v>
      </c>
      <c r="C2116" s="32" t="str">
        <f>vlookup(B2116,State_EMM_RowSums!$A$2:$B$52,2,FALSE)</f>
        <v>OH</v>
      </c>
      <c r="D2116" s="32">
        <v>39143.0</v>
      </c>
      <c r="E2116" s="33">
        <f>IF(NOT(ISBLANK(vlookup($D2116,Pop_Census_2023!$A$2:$E$3220,4,FALSE))),vlookup($D2116,Pop_Census_2023!$A$2:$E$3220,4,FALSE), vlookup($D2116,Pop_Census_2023!$A$2:$E$3220,5,FALSE))</f>
        <v>58709</v>
      </c>
      <c r="F2116" s="32">
        <v>1074084.0</v>
      </c>
      <c r="G2116" s="32">
        <v>111.0</v>
      </c>
      <c r="H2116" s="32" t="str">
        <f>VLOOKUP(D2116, Grid_Region_Mapping!$D$2:$F$5286, 3, FALSE)</f>
        <v>PJMW</v>
      </c>
      <c r="I2116" s="32">
        <v>3.0</v>
      </c>
      <c r="J2116" s="34" t="str">
        <f t="shared" si="1"/>
        <v>Midwest</v>
      </c>
      <c r="K2116" s="35">
        <v>2.0</v>
      </c>
      <c r="L2116" s="35" t="s">
        <v>396</v>
      </c>
      <c r="M2116" s="36">
        <f>VLOOKUP(D2116, County_Data_CZones!$B$2:$F$3236, 2, FALSE)</f>
        <v>5</v>
      </c>
      <c r="N2116" s="37" t="str">
        <f>VLOOKUP(D2116, County_Data_CZones!$B$2:$F$3236, 5, FALSE)</f>
        <v>Cold</v>
      </c>
    </row>
    <row r="2117" ht="15.75" customHeight="1">
      <c r="A2117" s="32" t="s">
        <v>1450</v>
      </c>
      <c r="B2117" s="32" t="s">
        <v>683</v>
      </c>
      <c r="C2117" s="32" t="str">
        <f>vlookup(B2117,State_EMM_RowSums!$A$2:$B$52,2,FALSE)</f>
        <v>OH</v>
      </c>
      <c r="D2117" s="32">
        <v>39145.0</v>
      </c>
      <c r="E2117" s="33">
        <f>IF(NOT(ISBLANK(vlookup($D2117,Pop_Census_2023!$A$2:$E$3220,4,FALSE))),vlookup($D2117,Pop_Census_2023!$A$2:$E$3220,4,FALSE), vlookup($D2117,Pop_Census_2023!$A$2:$E$3220,5,FALSE))</f>
        <v>71969</v>
      </c>
      <c r="F2117" s="32">
        <v>1074085.0</v>
      </c>
      <c r="G2117" s="32">
        <v>112.0</v>
      </c>
      <c r="H2117" s="32" t="str">
        <f>VLOOKUP(D2117, Grid_Region_Mapping!$D$2:$F$5286, 3, FALSE)</f>
        <v>PJMW</v>
      </c>
      <c r="I2117" s="32">
        <v>3.0</v>
      </c>
      <c r="J2117" s="34" t="str">
        <f t="shared" si="1"/>
        <v>Midwest</v>
      </c>
      <c r="K2117" s="35">
        <v>3.0</v>
      </c>
      <c r="L2117" s="35" t="s">
        <v>223</v>
      </c>
      <c r="M2117" s="36">
        <f>VLOOKUP(D2117, County_Data_CZones!$B$2:$F$3236, 2, FALSE)</f>
        <v>4</v>
      </c>
      <c r="N2117" s="37" t="str">
        <f>VLOOKUP(D2117, County_Data_CZones!$B$2:$F$3236, 5, FALSE)</f>
        <v>Mixed-Humid</v>
      </c>
    </row>
    <row r="2118" ht="15.75" customHeight="1">
      <c r="A2118" s="32" t="s">
        <v>1318</v>
      </c>
      <c r="B2118" s="32" t="s">
        <v>683</v>
      </c>
      <c r="C2118" s="32" t="str">
        <f>vlookup(B2118,State_EMM_RowSums!$A$2:$B$52,2,FALSE)</f>
        <v>OH</v>
      </c>
      <c r="D2118" s="32">
        <v>39147.0</v>
      </c>
      <c r="E2118" s="33">
        <f>IF(NOT(ISBLANK(vlookup($D2118,Pop_Census_2023!$A$2:$E$3220,4,FALSE))),vlookup($D2118,Pop_Census_2023!$A$2:$E$3220,4,FALSE), vlookup($D2118,Pop_Census_2023!$A$2:$E$3220,5,FALSE))</f>
        <v>54527</v>
      </c>
      <c r="F2118" s="32">
        <v>1074086.0</v>
      </c>
      <c r="G2118" s="32">
        <v>112.0</v>
      </c>
      <c r="H2118" s="32" t="str">
        <f>VLOOKUP(D2118, Grid_Region_Mapping!$D$2:$F$5286, 3, FALSE)</f>
        <v>PJMW</v>
      </c>
      <c r="I2118" s="32">
        <v>3.0</v>
      </c>
      <c r="J2118" s="34" t="str">
        <f t="shared" si="1"/>
        <v>Midwest</v>
      </c>
      <c r="K2118" s="35">
        <v>2.0</v>
      </c>
      <c r="L2118" s="35" t="s">
        <v>396</v>
      </c>
      <c r="M2118" s="36">
        <f>VLOOKUP(D2118, County_Data_CZones!$B$2:$F$3236, 2, FALSE)</f>
        <v>5</v>
      </c>
      <c r="N2118" s="37" t="str">
        <f>VLOOKUP(D2118, County_Data_CZones!$B$2:$F$3236, 5, FALSE)</f>
        <v>Cold</v>
      </c>
    </row>
    <row r="2119" ht="15.75" customHeight="1">
      <c r="A2119" s="32" t="s">
        <v>161</v>
      </c>
      <c r="B2119" s="32" t="s">
        <v>683</v>
      </c>
      <c r="C2119" s="32" t="str">
        <f>vlookup(B2119,State_EMM_RowSums!$A$2:$B$52,2,FALSE)</f>
        <v>OH</v>
      </c>
      <c r="D2119" s="32">
        <v>39149.0</v>
      </c>
      <c r="E2119" s="33">
        <f>IF(NOT(ISBLANK(vlookup($D2119,Pop_Census_2023!$A$2:$E$3220,4,FALSE))),vlookup($D2119,Pop_Census_2023!$A$2:$E$3220,4,FALSE), vlookup($D2119,Pop_Census_2023!$A$2:$E$3220,5,FALSE))</f>
        <v>47765</v>
      </c>
      <c r="F2119" s="32">
        <v>1074087.0</v>
      </c>
      <c r="G2119" s="32">
        <v>112.0</v>
      </c>
      <c r="H2119" s="32" t="str">
        <f>VLOOKUP(D2119, Grid_Region_Mapping!$D$2:$F$5286, 3, FALSE)</f>
        <v>PJMW</v>
      </c>
      <c r="I2119" s="32">
        <v>3.0</v>
      </c>
      <c r="J2119" s="34" t="str">
        <f t="shared" si="1"/>
        <v>Midwest</v>
      </c>
      <c r="K2119" s="35">
        <v>2.0</v>
      </c>
      <c r="L2119" s="35" t="s">
        <v>396</v>
      </c>
      <c r="M2119" s="36">
        <f>VLOOKUP(D2119, County_Data_CZones!$B$2:$F$3236, 2, FALSE)</f>
        <v>5</v>
      </c>
      <c r="N2119" s="37" t="str">
        <f>VLOOKUP(D2119, County_Data_CZones!$B$2:$F$3236, 5, FALSE)</f>
        <v>Cold</v>
      </c>
    </row>
    <row r="2120" ht="15.75" customHeight="1">
      <c r="A2120" s="32" t="s">
        <v>653</v>
      </c>
      <c r="B2120" s="32" t="s">
        <v>683</v>
      </c>
      <c r="C2120" s="32" t="str">
        <f>vlookup(B2120,State_EMM_RowSums!$A$2:$B$52,2,FALSE)</f>
        <v>OH</v>
      </c>
      <c r="D2120" s="32">
        <v>39151.0</v>
      </c>
      <c r="E2120" s="33">
        <f>IF(NOT(ISBLANK(vlookup($D2120,Pop_Census_2023!$A$2:$E$3220,4,FALSE))),vlookup($D2120,Pop_Census_2023!$A$2:$E$3220,4,FALSE), vlookup($D2120,Pop_Census_2023!$A$2:$E$3220,5,FALSE))</f>
        <v>372716</v>
      </c>
      <c r="F2120" s="32">
        <v>1065576.0</v>
      </c>
      <c r="G2120" s="32">
        <v>111.0</v>
      </c>
      <c r="H2120" s="32" t="str">
        <f>VLOOKUP(D2120, Grid_Region_Mapping!$D$2:$F$5286, 3, FALSE)</f>
        <v>PJMW</v>
      </c>
      <c r="I2120" s="32">
        <v>3.0</v>
      </c>
      <c r="J2120" s="34" t="str">
        <f t="shared" si="1"/>
        <v>Midwest</v>
      </c>
      <c r="K2120" s="35">
        <v>2.0</v>
      </c>
      <c r="L2120" s="35" t="s">
        <v>396</v>
      </c>
      <c r="M2120" s="36">
        <f>VLOOKUP(D2120, County_Data_CZones!$B$2:$F$3236, 2, FALSE)</f>
        <v>5</v>
      </c>
      <c r="N2120" s="37" t="str">
        <f>VLOOKUP(D2120, County_Data_CZones!$B$2:$F$3236, 5, FALSE)</f>
        <v>Cold</v>
      </c>
    </row>
    <row r="2121" ht="15.75" customHeight="1">
      <c r="A2121" s="32" t="s">
        <v>391</v>
      </c>
      <c r="B2121" s="32" t="s">
        <v>683</v>
      </c>
      <c r="C2121" s="32" t="str">
        <f>vlookup(B2121,State_EMM_RowSums!$A$2:$B$52,2,FALSE)</f>
        <v>OH</v>
      </c>
      <c r="D2121" s="32">
        <v>39153.0</v>
      </c>
      <c r="E2121" s="33">
        <f>IF(NOT(ISBLANK(vlookup($D2121,Pop_Census_2023!$A$2:$E$3220,4,FALSE))),vlookup($D2121,Pop_Census_2023!$A$2:$E$3220,4,FALSE), vlookup($D2121,Pop_Census_2023!$A$2:$E$3220,5,FALSE))</f>
        <v>535733</v>
      </c>
      <c r="F2121" s="32">
        <v>1074088.0</v>
      </c>
      <c r="G2121" s="32">
        <v>111.0</v>
      </c>
      <c r="H2121" s="32" t="str">
        <f>VLOOKUP(D2121, Grid_Region_Mapping!$D$2:$F$5286, 3, FALSE)</f>
        <v>PJMW</v>
      </c>
      <c r="I2121" s="32">
        <v>3.0</v>
      </c>
      <c r="J2121" s="34" t="str">
        <f t="shared" si="1"/>
        <v>Midwest</v>
      </c>
      <c r="K2121" s="35">
        <v>2.0</v>
      </c>
      <c r="L2121" s="35" t="s">
        <v>396</v>
      </c>
      <c r="M2121" s="36">
        <f>VLOOKUP(D2121, County_Data_CZones!$B$2:$F$3236, 2, FALSE)</f>
        <v>5</v>
      </c>
      <c r="N2121" s="37" t="str">
        <f>VLOOKUP(D2121, County_Data_CZones!$B$2:$F$3236, 5, FALSE)</f>
        <v>Cold</v>
      </c>
    </row>
    <row r="2122" ht="15.75" customHeight="1">
      <c r="A2122" s="32" t="s">
        <v>1451</v>
      </c>
      <c r="B2122" s="32" t="s">
        <v>683</v>
      </c>
      <c r="C2122" s="32" t="str">
        <f>vlookup(B2122,State_EMM_RowSums!$A$2:$B$52,2,FALSE)</f>
        <v>OH</v>
      </c>
      <c r="D2122" s="32">
        <v>39155.0</v>
      </c>
      <c r="E2122" s="33">
        <f>IF(NOT(ISBLANK(vlookup($D2122,Pop_Census_2023!$A$2:$E$3220,4,FALSE))),vlookup($D2122,Pop_Census_2023!$A$2:$E$3220,4,FALSE), vlookup($D2122,Pop_Census_2023!$A$2:$E$3220,5,FALSE))</f>
        <v>200373</v>
      </c>
      <c r="F2122" s="32">
        <v>1074089.0</v>
      </c>
      <c r="G2122" s="32">
        <v>111.0</v>
      </c>
      <c r="H2122" s="32" t="str">
        <f>VLOOKUP(D2122, Grid_Region_Mapping!$D$2:$F$5286, 3, FALSE)</f>
        <v>PJMW</v>
      </c>
      <c r="I2122" s="32">
        <v>3.0</v>
      </c>
      <c r="J2122" s="34" t="str">
        <f t="shared" si="1"/>
        <v>Midwest</v>
      </c>
      <c r="K2122" s="35">
        <v>2.0</v>
      </c>
      <c r="L2122" s="35" t="s">
        <v>396</v>
      </c>
      <c r="M2122" s="36">
        <f>VLOOKUP(D2122, County_Data_CZones!$B$2:$F$3236, 2, FALSE)</f>
        <v>5</v>
      </c>
      <c r="N2122" s="37" t="str">
        <f>VLOOKUP(D2122, County_Data_CZones!$B$2:$F$3236, 5, FALSE)</f>
        <v>Cold</v>
      </c>
    </row>
    <row r="2123" ht="15.75" customHeight="1">
      <c r="A2123" s="32" t="s">
        <v>1452</v>
      </c>
      <c r="B2123" s="32" t="s">
        <v>683</v>
      </c>
      <c r="C2123" s="32" t="str">
        <f>vlookup(B2123,State_EMM_RowSums!$A$2:$B$52,2,FALSE)</f>
        <v>OH</v>
      </c>
      <c r="D2123" s="32">
        <v>39157.0</v>
      </c>
      <c r="E2123" s="33">
        <f>IF(NOT(ISBLANK(vlookup($D2123,Pop_Census_2023!$A$2:$E$3220,4,FALSE))),vlookup($D2123,Pop_Census_2023!$A$2:$E$3220,4,FALSE), vlookup($D2123,Pop_Census_2023!$A$2:$E$3220,5,FALSE))</f>
        <v>91874</v>
      </c>
      <c r="F2123" s="32">
        <v>1074090.0</v>
      </c>
      <c r="G2123" s="32">
        <v>112.0</v>
      </c>
      <c r="H2123" s="32" t="str">
        <f>VLOOKUP(D2123, Grid_Region_Mapping!$D$2:$F$5286, 3, FALSE)</f>
        <v>PJMW</v>
      </c>
      <c r="I2123" s="32">
        <v>3.0</v>
      </c>
      <c r="J2123" s="34" t="str">
        <f t="shared" si="1"/>
        <v>Midwest</v>
      </c>
      <c r="K2123" s="35">
        <v>2.0</v>
      </c>
      <c r="L2123" s="35" t="s">
        <v>396</v>
      </c>
      <c r="M2123" s="36">
        <f>VLOOKUP(D2123, County_Data_CZones!$B$2:$F$3236, 2, FALSE)</f>
        <v>5</v>
      </c>
      <c r="N2123" s="37" t="str">
        <f>VLOOKUP(D2123, County_Data_CZones!$B$2:$F$3236, 5, FALSE)</f>
        <v>Cold</v>
      </c>
    </row>
    <row r="2124" ht="15.75" customHeight="1">
      <c r="A2124" s="32" t="s">
        <v>273</v>
      </c>
      <c r="B2124" s="32" t="s">
        <v>683</v>
      </c>
      <c r="C2124" s="32" t="str">
        <f>vlookup(B2124,State_EMM_RowSums!$A$2:$B$52,2,FALSE)</f>
        <v>OH</v>
      </c>
      <c r="D2124" s="32">
        <v>39159.0</v>
      </c>
      <c r="E2124" s="33">
        <f>IF(NOT(ISBLANK(vlookup($D2124,Pop_Census_2023!$A$2:$E$3220,4,FALSE))),vlookup($D2124,Pop_Census_2023!$A$2:$E$3220,4,FALSE), vlookup($D2124,Pop_Census_2023!$A$2:$E$3220,5,FALSE))</f>
        <v>69637</v>
      </c>
      <c r="F2124" s="32">
        <v>1074091.0</v>
      </c>
      <c r="G2124" s="32">
        <v>112.0</v>
      </c>
      <c r="H2124" s="32" t="str">
        <f>VLOOKUP(D2124, Grid_Region_Mapping!$D$2:$F$5286, 3, FALSE)</f>
        <v>PJMW</v>
      </c>
      <c r="I2124" s="32">
        <v>3.0</v>
      </c>
      <c r="J2124" s="34" t="str">
        <f t="shared" si="1"/>
        <v>Midwest</v>
      </c>
      <c r="K2124" s="35">
        <v>2.0</v>
      </c>
      <c r="L2124" s="35" t="s">
        <v>396</v>
      </c>
      <c r="M2124" s="36">
        <f>VLOOKUP(D2124, County_Data_CZones!$B$2:$F$3236, 2, FALSE)</f>
        <v>5</v>
      </c>
      <c r="N2124" s="37" t="str">
        <f>VLOOKUP(D2124, County_Data_CZones!$B$2:$F$3236, 5, FALSE)</f>
        <v>Cold</v>
      </c>
    </row>
    <row r="2125" ht="15.75" customHeight="1">
      <c r="A2125" s="32" t="s">
        <v>1453</v>
      </c>
      <c r="B2125" s="32" t="s">
        <v>683</v>
      </c>
      <c r="C2125" s="32" t="str">
        <f>vlookup(B2125,State_EMM_RowSums!$A$2:$B$52,2,FALSE)</f>
        <v>OH</v>
      </c>
      <c r="D2125" s="32">
        <v>39161.0</v>
      </c>
      <c r="E2125" s="33">
        <f>IF(NOT(ISBLANK(vlookup($D2125,Pop_Census_2023!$A$2:$E$3220,4,FALSE))),vlookup($D2125,Pop_Census_2023!$A$2:$E$3220,4,FALSE), vlookup($D2125,Pop_Census_2023!$A$2:$E$3220,5,FALSE))</f>
        <v>28704</v>
      </c>
      <c r="F2125" s="32">
        <v>1074092.0</v>
      </c>
      <c r="G2125" s="32">
        <v>112.0</v>
      </c>
      <c r="H2125" s="32" t="str">
        <f>VLOOKUP(D2125, Grid_Region_Mapping!$D$2:$F$5286, 3, FALSE)</f>
        <v>PJMW</v>
      </c>
      <c r="I2125" s="32">
        <v>3.0</v>
      </c>
      <c r="J2125" s="34" t="str">
        <f t="shared" si="1"/>
        <v>Midwest</v>
      </c>
      <c r="K2125" s="35">
        <v>2.0</v>
      </c>
      <c r="L2125" s="35" t="s">
        <v>396</v>
      </c>
      <c r="M2125" s="36">
        <f>VLOOKUP(D2125, County_Data_CZones!$B$2:$F$3236, 2, FALSE)</f>
        <v>5</v>
      </c>
      <c r="N2125" s="37" t="str">
        <f>VLOOKUP(D2125, County_Data_CZones!$B$2:$F$3236, 5, FALSE)</f>
        <v>Cold</v>
      </c>
    </row>
    <row r="2126" ht="15.75" customHeight="1">
      <c r="A2126" s="32" t="s">
        <v>1454</v>
      </c>
      <c r="B2126" s="32" t="s">
        <v>683</v>
      </c>
      <c r="C2126" s="32" t="str">
        <f>vlookup(B2126,State_EMM_RowSums!$A$2:$B$52,2,FALSE)</f>
        <v>OH</v>
      </c>
      <c r="D2126" s="32">
        <v>39163.0</v>
      </c>
      <c r="E2126" s="33">
        <f>IF(NOT(ISBLANK(vlookup($D2126,Pop_Census_2023!$A$2:$E$3220,4,FALSE))),vlookup($D2126,Pop_Census_2023!$A$2:$E$3220,4,FALSE), vlookup($D2126,Pop_Census_2023!$A$2:$E$3220,5,FALSE))</f>
        <v>12474</v>
      </c>
      <c r="F2126" s="32">
        <v>1074093.0</v>
      </c>
      <c r="G2126" s="32">
        <v>112.0</v>
      </c>
      <c r="H2126" s="32" t="str">
        <f>VLOOKUP(D2126, Grid_Region_Mapping!$D$2:$F$5286, 3, FALSE)</f>
        <v>PJMW</v>
      </c>
      <c r="I2126" s="32">
        <v>3.0</v>
      </c>
      <c r="J2126" s="34" t="str">
        <f t="shared" si="1"/>
        <v>Midwest</v>
      </c>
      <c r="K2126" s="35">
        <v>3.0</v>
      </c>
      <c r="L2126" s="35" t="s">
        <v>396</v>
      </c>
      <c r="M2126" s="36">
        <f>VLOOKUP(D2126, County_Data_CZones!$B$2:$F$3236, 2, FALSE)</f>
        <v>5</v>
      </c>
      <c r="N2126" s="37" t="str">
        <f>VLOOKUP(D2126, County_Data_CZones!$B$2:$F$3236, 5, FALSE)</f>
        <v>Cold</v>
      </c>
    </row>
    <row r="2127" ht="15.75" customHeight="1">
      <c r="A2127" s="32" t="s">
        <v>561</v>
      </c>
      <c r="B2127" s="32" t="s">
        <v>683</v>
      </c>
      <c r="C2127" s="32" t="str">
        <f>vlookup(B2127,State_EMM_RowSums!$A$2:$B$52,2,FALSE)</f>
        <v>OH</v>
      </c>
      <c r="D2127" s="32">
        <v>39165.0</v>
      </c>
      <c r="E2127" s="33">
        <f>IF(NOT(ISBLANK(vlookup($D2127,Pop_Census_2023!$A$2:$E$3220,4,FALSE))),vlookup($D2127,Pop_Census_2023!$A$2:$E$3220,4,FALSE), vlookup($D2127,Pop_Census_2023!$A$2:$E$3220,5,FALSE))</f>
        <v>252148</v>
      </c>
      <c r="F2127" s="32">
        <v>1074094.0</v>
      </c>
      <c r="G2127" s="32">
        <v>114.0</v>
      </c>
      <c r="H2127" s="32" t="str">
        <f>VLOOKUP(D2127, Grid_Region_Mapping!$D$2:$F$5286, 3, FALSE)</f>
        <v>PJMW</v>
      </c>
      <c r="I2127" s="32">
        <v>3.0</v>
      </c>
      <c r="J2127" s="34" t="str">
        <f t="shared" si="1"/>
        <v>Midwest</v>
      </c>
      <c r="K2127" s="35">
        <v>2.0</v>
      </c>
      <c r="L2127" s="35" t="s">
        <v>396</v>
      </c>
      <c r="M2127" s="36">
        <f>VLOOKUP(D2127, County_Data_CZones!$B$2:$F$3236, 2, FALSE)</f>
        <v>5</v>
      </c>
      <c r="N2127" s="37" t="str">
        <f>VLOOKUP(D2127, County_Data_CZones!$B$2:$F$3236, 5, FALSE)</f>
        <v>Cold</v>
      </c>
    </row>
    <row r="2128" ht="15.75" customHeight="1">
      <c r="A2128" s="32" t="s">
        <v>167</v>
      </c>
      <c r="B2128" s="32" t="s">
        <v>683</v>
      </c>
      <c r="C2128" s="32" t="str">
        <f>vlookup(B2128,State_EMM_RowSums!$A$2:$B$52,2,FALSE)</f>
        <v>OH</v>
      </c>
      <c r="D2128" s="32">
        <v>39167.0</v>
      </c>
      <c r="E2128" s="33">
        <f>IF(NOT(ISBLANK(vlookup($D2128,Pop_Census_2023!$A$2:$E$3220,4,FALSE))),vlookup($D2128,Pop_Census_2023!$A$2:$E$3220,4,FALSE), vlookup($D2128,Pop_Census_2023!$A$2:$E$3220,5,FALSE))</f>
        <v>58577</v>
      </c>
      <c r="F2128" s="32">
        <v>1074095.0</v>
      </c>
      <c r="G2128" s="32">
        <v>112.0</v>
      </c>
      <c r="H2128" s="32" t="str">
        <f>VLOOKUP(D2128, Grid_Region_Mapping!$D$2:$F$5286, 3, FALSE)</f>
        <v>PJMW</v>
      </c>
      <c r="I2128" s="32">
        <v>3.0</v>
      </c>
      <c r="J2128" s="34" t="str">
        <f t="shared" si="1"/>
        <v>Midwest</v>
      </c>
      <c r="K2128" s="35">
        <v>3.0</v>
      </c>
      <c r="L2128" s="35" t="s">
        <v>223</v>
      </c>
      <c r="M2128" s="36">
        <f>VLOOKUP(D2128, County_Data_CZones!$B$2:$F$3236, 2, FALSE)</f>
        <v>4</v>
      </c>
      <c r="N2128" s="37" t="str">
        <f>VLOOKUP(D2128, County_Data_CZones!$B$2:$F$3236, 5, FALSE)</f>
        <v>Mixed-Humid</v>
      </c>
    </row>
    <row r="2129" ht="15.75" customHeight="1">
      <c r="A2129" s="32" t="s">
        <v>562</v>
      </c>
      <c r="B2129" s="32" t="s">
        <v>683</v>
      </c>
      <c r="C2129" s="32" t="str">
        <f>vlookup(B2129,State_EMM_RowSums!$A$2:$B$52,2,FALSE)</f>
        <v>OH</v>
      </c>
      <c r="D2129" s="32">
        <v>39169.0</v>
      </c>
      <c r="E2129" s="33">
        <f>IF(NOT(ISBLANK(vlookup($D2129,Pop_Census_2023!$A$2:$E$3220,4,FALSE))),vlookup($D2129,Pop_Census_2023!$A$2:$E$3220,4,FALSE), vlookup($D2129,Pop_Census_2023!$A$2:$E$3220,5,FALSE))</f>
        <v>116510</v>
      </c>
      <c r="F2129" s="32">
        <v>1074096.0</v>
      </c>
      <c r="G2129" s="32">
        <v>112.0</v>
      </c>
      <c r="H2129" s="32" t="str">
        <f>VLOOKUP(D2129, Grid_Region_Mapping!$D$2:$F$5286, 3, FALSE)</f>
        <v>PJMW</v>
      </c>
      <c r="I2129" s="32">
        <v>3.0</v>
      </c>
      <c r="J2129" s="34" t="str">
        <f t="shared" si="1"/>
        <v>Midwest</v>
      </c>
      <c r="K2129" s="35">
        <v>2.0</v>
      </c>
      <c r="L2129" s="35" t="s">
        <v>396</v>
      </c>
      <c r="M2129" s="36">
        <f>VLOOKUP(D2129, County_Data_CZones!$B$2:$F$3236, 2, FALSE)</f>
        <v>5</v>
      </c>
      <c r="N2129" s="37" t="str">
        <f>VLOOKUP(D2129, County_Data_CZones!$B$2:$F$3236, 5, FALSE)</f>
        <v>Cold</v>
      </c>
    </row>
    <row r="2130" ht="15.75" customHeight="1">
      <c r="A2130" s="32" t="s">
        <v>1421</v>
      </c>
      <c r="B2130" s="32" t="s">
        <v>683</v>
      </c>
      <c r="C2130" s="32" t="str">
        <f>vlookup(B2130,State_EMM_RowSums!$A$2:$B$52,2,FALSE)</f>
        <v>OH</v>
      </c>
      <c r="D2130" s="32">
        <v>39171.0</v>
      </c>
      <c r="E2130" s="33">
        <f>IF(NOT(ISBLANK(vlookup($D2130,Pop_Census_2023!$A$2:$E$3220,4,FALSE))),vlookup($D2130,Pop_Census_2023!$A$2:$E$3220,4,FALSE), vlookup($D2130,Pop_Census_2023!$A$2:$E$3220,5,FALSE))</f>
        <v>36591</v>
      </c>
      <c r="F2130" s="32">
        <v>1074097.0</v>
      </c>
      <c r="G2130" s="32">
        <v>112.0</v>
      </c>
      <c r="H2130" s="32" t="str">
        <f>VLOOKUP(D2130, Grid_Region_Mapping!$D$2:$F$5286, 3, FALSE)</f>
        <v>PJMW</v>
      </c>
      <c r="I2130" s="32">
        <v>3.0</v>
      </c>
      <c r="J2130" s="34" t="str">
        <f t="shared" si="1"/>
        <v>Midwest</v>
      </c>
      <c r="K2130" s="35">
        <v>2.0</v>
      </c>
      <c r="L2130" s="35" t="s">
        <v>396</v>
      </c>
      <c r="M2130" s="36">
        <f>VLOOKUP(D2130, County_Data_CZones!$B$2:$F$3236, 2, FALSE)</f>
        <v>5</v>
      </c>
      <c r="N2130" s="37" t="str">
        <f>VLOOKUP(D2130, County_Data_CZones!$B$2:$F$3236, 5, FALSE)</f>
        <v>Cold</v>
      </c>
    </row>
    <row r="2131" ht="15.75" customHeight="1">
      <c r="A2131" s="32" t="s">
        <v>1455</v>
      </c>
      <c r="B2131" s="32" t="s">
        <v>683</v>
      </c>
      <c r="C2131" s="32" t="str">
        <f>vlookup(B2131,State_EMM_RowSums!$A$2:$B$52,2,FALSE)</f>
        <v>OH</v>
      </c>
      <c r="D2131" s="32">
        <v>39173.0</v>
      </c>
      <c r="E2131" s="33">
        <f>IF(NOT(ISBLANK(vlookup($D2131,Pop_Census_2023!$A$2:$E$3220,4,FALSE))),vlookup($D2131,Pop_Census_2023!$A$2:$E$3220,4,FALSE), vlookup($D2131,Pop_Census_2023!$A$2:$E$3220,5,FALSE))</f>
        <v>132650</v>
      </c>
      <c r="F2131" s="32">
        <v>1074098.0</v>
      </c>
      <c r="G2131" s="32">
        <v>111.0</v>
      </c>
      <c r="H2131" s="32" t="str">
        <f>VLOOKUP(D2131, Grid_Region_Mapping!$D$2:$F$5286, 3, FALSE)</f>
        <v>PJMW</v>
      </c>
      <c r="I2131" s="32">
        <v>3.0</v>
      </c>
      <c r="J2131" s="34" t="str">
        <f t="shared" si="1"/>
        <v>Midwest</v>
      </c>
      <c r="K2131" s="35">
        <v>2.0</v>
      </c>
      <c r="L2131" s="35" t="s">
        <v>396</v>
      </c>
      <c r="M2131" s="36">
        <f>VLOOKUP(D2131, County_Data_CZones!$B$2:$F$3236, 2, FALSE)</f>
        <v>5</v>
      </c>
      <c r="N2131" s="37" t="str">
        <f>VLOOKUP(D2131, County_Data_CZones!$B$2:$F$3236, 5, FALSE)</f>
        <v>Cold</v>
      </c>
    </row>
    <row r="2132" ht="15.75" customHeight="1">
      <c r="A2132" s="32" t="s">
        <v>1456</v>
      </c>
      <c r="B2132" s="32" t="s">
        <v>683</v>
      </c>
      <c r="C2132" s="32" t="str">
        <f>vlookup(B2132,State_EMM_RowSums!$A$2:$B$52,2,FALSE)</f>
        <v>OH</v>
      </c>
      <c r="D2132" s="32">
        <v>39175.0</v>
      </c>
      <c r="E2132" s="33">
        <f>IF(NOT(ISBLANK(vlookup($D2132,Pop_Census_2023!$A$2:$E$3220,4,FALSE))),vlookup($D2132,Pop_Census_2023!$A$2:$E$3220,4,FALSE), vlookup($D2132,Pop_Census_2023!$A$2:$E$3220,5,FALSE))</f>
        <v>21457</v>
      </c>
      <c r="F2132" s="32">
        <v>1074099.0</v>
      </c>
      <c r="G2132" s="32">
        <v>112.0</v>
      </c>
      <c r="H2132" s="32" t="str">
        <f>VLOOKUP(D2132, Grid_Region_Mapping!$D$2:$F$5286, 3, FALSE)</f>
        <v>PJMW</v>
      </c>
      <c r="I2132" s="32">
        <v>3.0</v>
      </c>
      <c r="J2132" s="34" t="str">
        <f t="shared" si="1"/>
        <v>Midwest</v>
      </c>
      <c r="K2132" s="35">
        <v>2.0</v>
      </c>
      <c r="L2132" s="35" t="s">
        <v>396</v>
      </c>
      <c r="M2132" s="36">
        <f>VLOOKUP(D2132, County_Data_CZones!$B$2:$F$3236, 2, FALSE)</f>
        <v>5</v>
      </c>
      <c r="N2132" s="37" t="str">
        <f>VLOOKUP(D2132, County_Data_CZones!$B$2:$F$3236, 5, FALSE)</f>
        <v>Cold</v>
      </c>
    </row>
    <row r="2133" ht="15.75" customHeight="1">
      <c r="A2133" s="32" t="s">
        <v>704</v>
      </c>
      <c r="B2133" s="32" t="s">
        <v>1457</v>
      </c>
      <c r="C2133" s="32" t="str">
        <f>vlookup(B2133,State_EMM_RowSums!$A$2:$B$52,2,FALSE)</f>
        <v>OK</v>
      </c>
      <c r="D2133" s="32">
        <v>40001.0</v>
      </c>
      <c r="E2133" s="33">
        <f>IF(NOT(ISBLANK(vlookup($D2133,Pop_Census_2023!$A$2:$E$3220,4,FALSE))),vlookup($D2133,Pop_Census_2023!$A$2:$E$3220,4,FALSE), vlookup($D2133,Pop_Census_2023!$A$2:$E$3220,5,FALSE))</f>
        <v>19627</v>
      </c>
      <c r="F2133" s="32">
        <v>1101788.0</v>
      </c>
      <c r="G2133" s="32">
        <v>51.0</v>
      </c>
      <c r="H2133" s="32" t="str">
        <f>VLOOKUP(D2133, Grid_Region_Mapping!$D$2:$F$5286, 3, FALSE)</f>
        <v>SPPS</v>
      </c>
      <c r="I2133" s="32">
        <v>7.0</v>
      </c>
      <c r="J2133" s="34" t="str">
        <f t="shared" si="1"/>
        <v>South</v>
      </c>
      <c r="K2133" s="35">
        <v>4.0</v>
      </c>
      <c r="L2133" s="35" t="s">
        <v>102</v>
      </c>
      <c r="M2133" s="36">
        <f>VLOOKUP(D2133, County_Data_CZones!$B$2:$F$3236, 2, FALSE)</f>
        <v>3</v>
      </c>
      <c r="N2133" s="37" t="str">
        <f>VLOOKUP(D2133, County_Data_CZones!$B$2:$F$3236, 5, FALSE)</f>
        <v>Mixed-Humid</v>
      </c>
    </row>
    <row r="2134" ht="15.75" customHeight="1">
      <c r="A2134" s="32" t="s">
        <v>1458</v>
      </c>
      <c r="B2134" s="32" t="s">
        <v>1457</v>
      </c>
      <c r="C2134" s="32" t="str">
        <f>vlookup(B2134,State_EMM_RowSums!$A$2:$B$52,2,FALSE)</f>
        <v>OK</v>
      </c>
      <c r="D2134" s="32">
        <v>40003.0</v>
      </c>
      <c r="E2134" s="33">
        <f>IF(NOT(ISBLANK(vlookup($D2134,Pop_Census_2023!$A$2:$E$3220,4,FALSE))),vlookup($D2134,Pop_Census_2023!$A$2:$E$3220,4,FALSE), vlookup($D2134,Pop_Census_2023!$A$2:$E$3220,5,FALSE))</f>
        <v>5673</v>
      </c>
      <c r="F2134" s="32">
        <v>1101789.0</v>
      </c>
      <c r="G2134" s="32">
        <v>50.0</v>
      </c>
      <c r="H2134" s="32" t="str">
        <f>VLOOKUP(D2134, Grid_Region_Mapping!$D$2:$F$5286, 3, FALSE)</f>
        <v>SPPS</v>
      </c>
      <c r="I2134" s="32">
        <v>7.0</v>
      </c>
      <c r="J2134" s="34" t="str">
        <f t="shared" si="1"/>
        <v>South</v>
      </c>
      <c r="K2134" s="35">
        <v>3.0</v>
      </c>
      <c r="L2134" s="35" t="s">
        <v>102</v>
      </c>
      <c r="M2134" s="36">
        <f>VLOOKUP(D2134, County_Data_CZones!$B$2:$F$3236, 2, FALSE)</f>
        <v>3</v>
      </c>
      <c r="N2134" s="37" t="str">
        <f>VLOOKUP(D2134, County_Data_CZones!$B$2:$F$3236, 5, FALSE)</f>
        <v>Mixed-Humid</v>
      </c>
    </row>
    <row r="2135" ht="15.75" customHeight="1">
      <c r="A2135" s="32" t="s">
        <v>1459</v>
      </c>
      <c r="B2135" s="32" t="s">
        <v>1457</v>
      </c>
      <c r="C2135" s="32" t="str">
        <f>vlookup(B2135,State_EMM_RowSums!$A$2:$B$52,2,FALSE)</f>
        <v>OK</v>
      </c>
      <c r="D2135" s="32">
        <v>40005.0</v>
      </c>
      <c r="E2135" s="33">
        <f>IF(NOT(ISBLANK(vlookup($D2135,Pop_Census_2023!$A$2:$E$3220,4,FALSE))),vlookup($D2135,Pop_Census_2023!$A$2:$E$3220,4,FALSE), vlookup($D2135,Pop_Census_2023!$A$2:$E$3220,5,FALSE))</f>
        <v>14525</v>
      </c>
      <c r="F2135" s="32">
        <v>1101790.0</v>
      </c>
      <c r="G2135" s="32">
        <v>50.0</v>
      </c>
      <c r="H2135" s="32" t="str">
        <f>VLOOKUP(D2135, Grid_Region_Mapping!$D$2:$F$5286, 3, FALSE)</f>
        <v>SPPS</v>
      </c>
      <c r="I2135" s="32">
        <v>7.0</v>
      </c>
      <c r="J2135" s="34" t="str">
        <f t="shared" si="1"/>
        <v>South</v>
      </c>
      <c r="K2135" s="35">
        <v>5.0</v>
      </c>
      <c r="L2135" s="35" t="s">
        <v>102</v>
      </c>
      <c r="M2135" s="36">
        <f>VLOOKUP(D2135, County_Data_CZones!$B$2:$F$3236, 2, FALSE)</f>
        <v>3</v>
      </c>
      <c r="N2135" s="37" t="str">
        <f>VLOOKUP(D2135, County_Data_CZones!$B$2:$F$3236, 5, FALSE)</f>
        <v>Mixed-Humid</v>
      </c>
    </row>
    <row r="2136" ht="15.75" customHeight="1">
      <c r="A2136" s="32" t="s">
        <v>1460</v>
      </c>
      <c r="B2136" s="32" t="s">
        <v>1457</v>
      </c>
      <c r="C2136" s="32" t="str">
        <f>vlookup(B2136,State_EMM_RowSums!$A$2:$B$52,2,FALSE)</f>
        <v>OK</v>
      </c>
      <c r="D2136" s="32">
        <v>40007.0</v>
      </c>
      <c r="E2136" s="33">
        <f>IF(NOT(ISBLANK(vlookup($D2136,Pop_Census_2023!$A$2:$E$3220,4,FALSE))),vlookup($D2136,Pop_Census_2023!$A$2:$E$3220,4,FALSE), vlookup($D2136,Pop_Census_2023!$A$2:$E$3220,5,FALSE))</f>
        <v>5018</v>
      </c>
      <c r="F2136" s="32">
        <v>1101791.0</v>
      </c>
      <c r="G2136" s="32">
        <v>49.0</v>
      </c>
      <c r="H2136" s="32" t="str">
        <f>VLOOKUP(D2136, Grid_Region_Mapping!$D$2:$F$5286, 3, FALSE)</f>
        <v>SPPS</v>
      </c>
      <c r="I2136" s="32">
        <v>7.0</v>
      </c>
      <c r="J2136" s="34" t="str">
        <f t="shared" si="1"/>
        <v>South</v>
      </c>
      <c r="K2136" s="35">
        <v>3.0</v>
      </c>
      <c r="L2136" s="35" t="s">
        <v>207</v>
      </c>
      <c r="M2136" s="36">
        <f>VLOOKUP(D2136, County_Data_CZones!$B$2:$F$3236, 2, FALSE)</f>
        <v>4</v>
      </c>
      <c r="N2136" s="37" t="str">
        <f>VLOOKUP(D2136, County_Data_CZones!$B$2:$F$3236, 5, FALSE)</f>
        <v>Mixed-Dry</v>
      </c>
    </row>
    <row r="2137" ht="15.75" customHeight="1">
      <c r="A2137" s="32" t="s">
        <v>1461</v>
      </c>
      <c r="B2137" s="32" t="s">
        <v>1457</v>
      </c>
      <c r="C2137" s="32" t="str">
        <f>vlookup(B2137,State_EMM_RowSums!$A$2:$B$52,2,FALSE)</f>
        <v>OK</v>
      </c>
      <c r="D2137" s="32">
        <v>40009.0</v>
      </c>
      <c r="E2137" s="33">
        <f>IF(NOT(ISBLANK(vlookup($D2137,Pop_Census_2023!$A$2:$E$3220,4,FALSE))),vlookup($D2137,Pop_Census_2023!$A$2:$E$3220,4,FALSE), vlookup($D2137,Pop_Census_2023!$A$2:$E$3220,5,FALSE))</f>
        <v>22042</v>
      </c>
      <c r="F2137" s="32">
        <v>1101792.0</v>
      </c>
      <c r="G2137" s="32">
        <v>50.0</v>
      </c>
      <c r="H2137" s="32" t="str">
        <f>VLOOKUP(D2137, Grid_Region_Mapping!$D$2:$F$5286, 3, FALSE)</f>
        <v>SPPS</v>
      </c>
      <c r="I2137" s="32">
        <v>7.0</v>
      </c>
      <c r="J2137" s="34" t="str">
        <f t="shared" si="1"/>
        <v>South</v>
      </c>
      <c r="K2137" s="35">
        <v>4.0</v>
      </c>
      <c r="L2137" s="35" t="s">
        <v>102</v>
      </c>
      <c r="M2137" s="36">
        <f>VLOOKUP(D2137, County_Data_CZones!$B$2:$F$3236, 2, FALSE)</f>
        <v>3</v>
      </c>
      <c r="N2137" s="37" t="str">
        <f>VLOOKUP(D2137, County_Data_CZones!$B$2:$F$3236, 5, FALSE)</f>
        <v>Mixed-Humid</v>
      </c>
    </row>
    <row r="2138" ht="15.75" customHeight="1">
      <c r="A2138" s="32" t="s">
        <v>581</v>
      </c>
      <c r="B2138" s="32" t="s">
        <v>1457</v>
      </c>
      <c r="C2138" s="32" t="str">
        <f>vlookup(B2138,State_EMM_RowSums!$A$2:$B$52,2,FALSE)</f>
        <v>OK</v>
      </c>
      <c r="D2138" s="32">
        <v>40011.0</v>
      </c>
      <c r="E2138" s="33">
        <f>IF(NOT(ISBLANK(vlookup($D2138,Pop_Census_2023!$A$2:$E$3220,4,FALSE))),vlookup($D2138,Pop_Census_2023!$A$2:$E$3220,4,FALSE), vlookup($D2138,Pop_Census_2023!$A$2:$E$3220,5,FALSE))</f>
        <v>8539</v>
      </c>
      <c r="F2138" s="32">
        <v>1101793.0</v>
      </c>
      <c r="G2138" s="32">
        <v>50.0</v>
      </c>
      <c r="H2138" s="32" t="str">
        <f>VLOOKUP(D2138, Grid_Region_Mapping!$D$2:$F$5286, 3, FALSE)</f>
        <v>SPPS</v>
      </c>
      <c r="I2138" s="32">
        <v>7.0</v>
      </c>
      <c r="J2138" s="34" t="str">
        <f t="shared" si="1"/>
        <v>South</v>
      </c>
      <c r="K2138" s="35">
        <v>4.0</v>
      </c>
      <c r="L2138" s="35" t="s">
        <v>102</v>
      </c>
      <c r="M2138" s="36">
        <f>VLOOKUP(D2138, County_Data_CZones!$B$2:$F$3236, 2, FALSE)</f>
        <v>3</v>
      </c>
      <c r="N2138" s="37" t="str">
        <f>VLOOKUP(D2138, County_Data_CZones!$B$2:$F$3236, 5, FALSE)</f>
        <v>Mixed-Humid</v>
      </c>
    </row>
    <row r="2139" ht="15.75" customHeight="1">
      <c r="A2139" s="32" t="s">
        <v>472</v>
      </c>
      <c r="B2139" s="32" t="s">
        <v>1457</v>
      </c>
      <c r="C2139" s="32" t="str">
        <f>vlookup(B2139,State_EMM_RowSums!$A$2:$B$52,2,FALSE)</f>
        <v>OK</v>
      </c>
      <c r="D2139" s="32">
        <v>40013.0</v>
      </c>
      <c r="E2139" s="33">
        <f>IF(NOT(ISBLANK(vlookup($D2139,Pop_Census_2023!$A$2:$E$3220,4,FALSE))),vlookup($D2139,Pop_Census_2023!$A$2:$E$3220,4,FALSE), vlookup($D2139,Pop_Census_2023!$A$2:$E$3220,5,FALSE))</f>
        <v>48967</v>
      </c>
      <c r="F2139" s="32">
        <v>1101794.0</v>
      </c>
      <c r="G2139" s="32">
        <v>50.0</v>
      </c>
      <c r="H2139" s="32" t="str">
        <f>VLOOKUP(D2139, Grid_Region_Mapping!$D$2:$F$5286, 3, FALSE)</f>
        <v>SPPS</v>
      </c>
      <c r="I2139" s="32">
        <v>7.0</v>
      </c>
      <c r="J2139" s="34" t="str">
        <f t="shared" si="1"/>
        <v>South</v>
      </c>
      <c r="K2139" s="35">
        <v>5.0</v>
      </c>
      <c r="L2139" s="35" t="s">
        <v>102</v>
      </c>
      <c r="M2139" s="36">
        <f>VLOOKUP(D2139, County_Data_CZones!$B$2:$F$3236, 2, FALSE)</f>
        <v>3</v>
      </c>
      <c r="N2139" s="37" t="str">
        <f>VLOOKUP(D2139, County_Data_CZones!$B$2:$F$3236, 5, FALSE)</f>
        <v>Mixed-Humid</v>
      </c>
    </row>
    <row r="2140" ht="15.75" customHeight="1">
      <c r="A2140" s="32" t="s">
        <v>882</v>
      </c>
      <c r="B2140" s="32" t="s">
        <v>1457</v>
      </c>
      <c r="C2140" s="32" t="str">
        <f>vlookup(B2140,State_EMM_RowSums!$A$2:$B$52,2,FALSE)</f>
        <v>OK</v>
      </c>
      <c r="D2140" s="32">
        <v>40015.0</v>
      </c>
      <c r="E2140" s="33">
        <f>IF(NOT(ISBLANK(vlookup($D2140,Pop_Census_2023!$A$2:$E$3220,4,FALSE))),vlookup($D2140,Pop_Census_2023!$A$2:$E$3220,4,FALSE), vlookup($D2140,Pop_Census_2023!$A$2:$E$3220,5,FALSE))</f>
        <v>26214</v>
      </c>
      <c r="F2140" s="32">
        <v>1101795.0</v>
      </c>
      <c r="G2140" s="32">
        <v>50.0</v>
      </c>
      <c r="H2140" s="32" t="str">
        <f>VLOOKUP(D2140, Grid_Region_Mapping!$D$2:$F$5286, 3, FALSE)</f>
        <v>SPPS</v>
      </c>
      <c r="I2140" s="32">
        <v>7.0</v>
      </c>
      <c r="J2140" s="34" t="str">
        <f t="shared" si="1"/>
        <v>South</v>
      </c>
      <c r="K2140" s="35">
        <v>4.0</v>
      </c>
      <c r="L2140" s="35" t="s">
        <v>102</v>
      </c>
      <c r="M2140" s="36">
        <f>VLOOKUP(D2140, County_Data_CZones!$B$2:$F$3236, 2, FALSE)</f>
        <v>3</v>
      </c>
      <c r="N2140" s="37" t="str">
        <f>VLOOKUP(D2140, County_Data_CZones!$B$2:$F$3236, 5, FALSE)</f>
        <v>Mixed-Humid</v>
      </c>
    </row>
    <row r="2141" ht="15.75" customHeight="1">
      <c r="A2141" s="32" t="s">
        <v>1462</v>
      </c>
      <c r="B2141" s="32" t="s">
        <v>1457</v>
      </c>
      <c r="C2141" s="32" t="str">
        <f>vlookup(B2141,State_EMM_RowSums!$A$2:$B$52,2,FALSE)</f>
        <v>OK</v>
      </c>
      <c r="D2141" s="32">
        <v>40017.0</v>
      </c>
      <c r="E2141" s="33">
        <f>IF(NOT(ISBLANK(vlookup($D2141,Pop_Census_2023!$A$2:$E$3220,4,FALSE))),vlookup($D2141,Pop_Census_2023!$A$2:$E$3220,4,FALSE), vlookup($D2141,Pop_Census_2023!$A$2:$E$3220,5,FALSE))</f>
        <v>175829</v>
      </c>
      <c r="F2141" s="32">
        <v>1101796.0</v>
      </c>
      <c r="G2141" s="32">
        <v>50.0</v>
      </c>
      <c r="H2141" s="32" t="str">
        <f>VLOOKUP(D2141, Grid_Region_Mapping!$D$2:$F$5286, 3, FALSE)</f>
        <v>SPPS</v>
      </c>
      <c r="I2141" s="32">
        <v>7.0</v>
      </c>
      <c r="J2141" s="34" t="str">
        <f t="shared" si="1"/>
        <v>South</v>
      </c>
      <c r="K2141" s="35">
        <v>4.0</v>
      </c>
      <c r="L2141" s="35" t="s">
        <v>102</v>
      </c>
      <c r="M2141" s="36">
        <f>VLOOKUP(D2141, County_Data_CZones!$B$2:$F$3236, 2, FALSE)</f>
        <v>3</v>
      </c>
      <c r="N2141" s="37" t="str">
        <f>VLOOKUP(D2141, County_Data_CZones!$B$2:$F$3236, 5, FALSE)</f>
        <v>Mixed-Humid</v>
      </c>
    </row>
    <row r="2142" ht="15.75" customHeight="1">
      <c r="A2142" s="32" t="s">
        <v>833</v>
      </c>
      <c r="B2142" s="32" t="s">
        <v>1457</v>
      </c>
      <c r="C2142" s="32" t="str">
        <f>vlookup(B2142,State_EMM_RowSums!$A$2:$B$52,2,FALSE)</f>
        <v>OK</v>
      </c>
      <c r="D2142" s="32">
        <v>40019.0</v>
      </c>
      <c r="E2142" s="33">
        <f>IF(NOT(ISBLANK(vlookup($D2142,Pop_Census_2023!$A$2:$E$3220,4,FALSE))),vlookup($D2142,Pop_Census_2023!$A$2:$E$3220,4,FALSE), vlookup($D2142,Pop_Census_2023!$A$2:$E$3220,5,FALSE))</f>
        <v>48596</v>
      </c>
      <c r="F2142" s="32">
        <v>1101797.0</v>
      </c>
      <c r="G2142" s="32">
        <v>50.0</v>
      </c>
      <c r="H2142" s="32" t="str">
        <f>VLOOKUP(D2142, Grid_Region_Mapping!$D$2:$F$5286, 3, FALSE)</f>
        <v>SPPS</v>
      </c>
      <c r="I2142" s="32">
        <v>7.0</v>
      </c>
      <c r="J2142" s="34" t="str">
        <f t="shared" si="1"/>
        <v>South</v>
      </c>
      <c r="K2142" s="35">
        <v>5.0</v>
      </c>
      <c r="L2142" s="35" t="s">
        <v>102</v>
      </c>
      <c r="M2142" s="36">
        <f>VLOOKUP(D2142, County_Data_CZones!$B$2:$F$3236, 2, FALSE)</f>
        <v>3</v>
      </c>
      <c r="N2142" s="37" t="str">
        <f>VLOOKUP(D2142, County_Data_CZones!$B$2:$F$3236, 5, FALSE)</f>
        <v>Mixed-Humid</v>
      </c>
    </row>
    <row r="2143" ht="15.75" customHeight="1">
      <c r="A2143" s="32" t="s">
        <v>112</v>
      </c>
      <c r="B2143" s="32" t="s">
        <v>1457</v>
      </c>
      <c r="C2143" s="32" t="str">
        <f>vlookup(B2143,State_EMM_RowSums!$A$2:$B$52,2,FALSE)</f>
        <v>OK</v>
      </c>
      <c r="D2143" s="32">
        <v>40021.0</v>
      </c>
      <c r="E2143" s="33">
        <f>IF(NOT(ISBLANK(vlookup($D2143,Pop_Census_2023!$A$2:$E$3220,4,FALSE))),vlookup($D2143,Pop_Census_2023!$A$2:$E$3220,4,FALSE), vlookup($D2143,Pop_Census_2023!$A$2:$E$3220,5,FALSE))</f>
        <v>48185</v>
      </c>
      <c r="F2143" s="32">
        <v>1101798.0</v>
      </c>
      <c r="G2143" s="32">
        <v>51.0</v>
      </c>
      <c r="H2143" s="32" t="str">
        <f>VLOOKUP(D2143, Grid_Region_Mapping!$D$2:$F$5286, 3, FALSE)</f>
        <v>SPPS</v>
      </c>
      <c r="I2143" s="32">
        <v>7.0</v>
      </c>
      <c r="J2143" s="34" t="str">
        <f t="shared" si="1"/>
        <v>South</v>
      </c>
      <c r="K2143" s="35">
        <v>4.0</v>
      </c>
      <c r="L2143" s="35" t="s">
        <v>102</v>
      </c>
      <c r="M2143" s="36">
        <f>VLOOKUP(D2143, County_Data_CZones!$B$2:$F$3236, 2, FALSE)</f>
        <v>3</v>
      </c>
      <c r="N2143" s="37" t="str">
        <f>VLOOKUP(D2143, County_Data_CZones!$B$2:$F$3236, 5, FALSE)</f>
        <v>Mixed-Humid</v>
      </c>
    </row>
    <row r="2144" ht="15.75" customHeight="1">
      <c r="A2144" s="32" t="s">
        <v>114</v>
      </c>
      <c r="B2144" s="32" t="s">
        <v>1457</v>
      </c>
      <c r="C2144" s="32" t="str">
        <f>vlookup(B2144,State_EMM_RowSums!$A$2:$B$52,2,FALSE)</f>
        <v>OK</v>
      </c>
      <c r="D2144" s="32">
        <v>40023.0</v>
      </c>
      <c r="E2144" s="33">
        <f>IF(NOT(ISBLANK(vlookup($D2144,Pop_Census_2023!$A$2:$E$3220,4,FALSE))),vlookup($D2144,Pop_Census_2023!$A$2:$E$3220,4,FALSE), vlookup($D2144,Pop_Census_2023!$A$2:$E$3220,5,FALSE))</f>
        <v>14276</v>
      </c>
      <c r="F2144" s="32">
        <v>1101799.0</v>
      </c>
      <c r="G2144" s="32">
        <v>50.0</v>
      </c>
      <c r="H2144" s="32" t="str">
        <f>VLOOKUP(D2144, Grid_Region_Mapping!$D$2:$F$5286, 3, FALSE)</f>
        <v>SPPS</v>
      </c>
      <c r="I2144" s="32">
        <v>7.0</v>
      </c>
      <c r="J2144" s="34" t="str">
        <f t="shared" si="1"/>
        <v>South</v>
      </c>
      <c r="K2144" s="35">
        <v>5.0</v>
      </c>
      <c r="L2144" s="35" t="s">
        <v>102</v>
      </c>
      <c r="M2144" s="36">
        <f>VLOOKUP(D2144, County_Data_CZones!$B$2:$F$3236, 2, FALSE)</f>
        <v>3</v>
      </c>
      <c r="N2144" s="37" t="str">
        <f>VLOOKUP(D2144, County_Data_CZones!$B$2:$F$3236, 5, FALSE)</f>
        <v>Mixed-Humid</v>
      </c>
    </row>
    <row r="2145" ht="15.75" customHeight="1">
      <c r="A2145" s="32" t="s">
        <v>1463</v>
      </c>
      <c r="B2145" s="32" t="s">
        <v>1457</v>
      </c>
      <c r="C2145" s="32" t="str">
        <f>vlookup(B2145,State_EMM_RowSums!$A$2:$B$52,2,FALSE)</f>
        <v>OK</v>
      </c>
      <c r="D2145" s="32">
        <v>40025.0</v>
      </c>
      <c r="E2145" s="33">
        <f>IF(NOT(ISBLANK(vlookup($D2145,Pop_Census_2023!$A$2:$E$3220,4,FALSE))),vlookup($D2145,Pop_Census_2023!$A$2:$E$3220,4,FALSE), vlookup($D2145,Pop_Census_2023!$A$2:$E$3220,5,FALSE))</f>
        <v>2191</v>
      </c>
      <c r="F2145" s="32">
        <v>1101800.0</v>
      </c>
      <c r="G2145" s="32">
        <v>49.0</v>
      </c>
      <c r="H2145" s="32" t="str">
        <f>VLOOKUP(D2145, Grid_Region_Mapping!$D$2:$F$5286, 3, FALSE)</f>
        <v>SPPS</v>
      </c>
      <c r="I2145" s="32">
        <v>7.0</v>
      </c>
      <c r="J2145" s="34" t="str">
        <f t="shared" si="1"/>
        <v>South</v>
      </c>
      <c r="K2145" s="35">
        <v>3.0</v>
      </c>
      <c r="L2145" s="35" t="s">
        <v>207</v>
      </c>
      <c r="M2145" s="36">
        <f>VLOOKUP(D2145, County_Data_CZones!$B$2:$F$3236, 2, FALSE)</f>
        <v>4</v>
      </c>
      <c r="N2145" s="37" t="str">
        <f>VLOOKUP(D2145, County_Data_CZones!$B$2:$F$3236, 5, FALSE)</f>
        <v>Mixed-Dry</v>
      </c>
    </row>
    <row r="2146" ht="15.75" customHeight="1">
      <c r="A2146" s="32" t="s">
        <v>230</v>
      </c>
      <c r="B2146" s="32" t="s">
        <v>1457</v>
      </c>
      <c r="C2146" s="32" t="str">
        <f>vlookup(B2146,State_EMM_RowSums!$A$2:$B$52,2,FALSE)</f>
        <v>OK</v>
      </c>
      <c r="D2146" s="32">
        <v>40027.0</v>
      </c>
      <c r="E2146" s="33">
        <f>IF(NOT(ISBLANK(vlookup($D2146,Pop_Census_2023!$A$2:$E$3220,4,FALSE))),vlookup($D2146,Pop_Census_2023!$A$2:$E$3220,4,FALSE), vlookup($D2146,Pop_Census_2023!$A$2:$E$3220,5,FALSE))</f>
        <v>301193</v>
      </c>
      <c r="F2146" s="32">
        <v>1101801.0</v>
      </c>
      <c r="G2146" s="32">
        <v>50.0</v>
      </c>
      <c r="H2146" s="32" t="str">
        <f>VLOOKUP(D2146, Grid_Region_Mapping!$D$2:$F$5286, 3, FALSE)</f>
        <v>SPPS</v>
      </c>
      <c r="I2146" s="32">
        <v>7.0</v>
      </c>
      <c r="J2146" s="34" t="str">
        <f t="shared" si="1"/>
        <v>South</v>
      </c>
      <c r="K2146" s="35">
        <v>4.0</v>
      </c>
      <c r="L2146" s="35" t="s">
        <v>102</v>
      </c>
      <c r="M2146" s="36">
        <f>VLOOKUP(D2146, County_Data_CZones!$B$2:$F$3236, 2, FALSE)</f>
        <v>3</v>
      </c>
      <c r="N2146" s="37" t="str">
        <f>VLOOKUP(D2146, County_Data_CZones!$B$2:$F$3236, 5, FALSE)</f>
        <v>Mixed-Humid</v>
      </c>
    </row>
    <row r="2147" ht="15.75" customHeight="1">
      <c r="A2147" s="32" t="s">
        <v>1464</v>
      </c>
      <c r="B2147" s="32" t="s">
        <v>1457</v>
      </c>
      <c r="C2147" s="32" t="str">
        <f>vlookup(B2147,State_EMM_RowSums!$A$2:$B$52,2,FALSE)</f>
        <v>OK</v>
      </c>
      <c r="D2147" s="32">
        <v>40029.0</v>
      </c>
      <c r="E2147" s="33">
        <f>IF(NOT(ISBLANK(vlookup($D2147,Pop_Census_2023!$A$2:$E$3220,4,FALSE))),vlookup($D2147,Pop_Census_2023!$A$2:$E$3220,4,FALSE), vlookup($D2147,Pop_Census_2023!$A$2:$E$3220,5,FALSE))</f>
        <v>5266</v>
      </c>
      <c r="F2147" s="32">
        <v>1101802.0</v>
      </c>
      <c r="G2147" s="32">
        <v>50.0</v>
      </c>
      <c r="H2147" s="32" t="str">
        <f>VLOOKUP(D2147, Grid_Region_Mapping!$D$2:$F$5286, 3, FALSE)</f>
        <v>SPPS</v>
      </c>
      <c r="I2147" s="32">
        <v>7.0</v>
      </c>
      <c r="J2147" s="34" t="str">
        <f t="shared" si="1"/>
        <v>South</v>
      </c>
      <c r="K2147" s="35">
        <v>4.0</v>
      </c>
      <c r="L2147" s="35" t="s">
        <v>102</v>
      </c>
      <c r="M2147" s="36">
        <f>VLOOKUP(D2147, County_Data_CZones!$B$2:$F$3236, 2, FALSE)</f>
        <v>3</v>
      </c>
      <c r="N2147" s="37" t="str">
        <f>VLOOKUP(D2147, County_Data_CZones!$B$2:$F$3236, 5, FALSE)</f>
        <v>Mixed-Humid</v>
      </c>
    </row>
    <row r="2148" ht="15.75" customHeight="1">
      <c r="A2148" s="32" t="s">
        <v>760</v>
      </c>
      <c r="B2148" s="32" t="s">
        <v>1457</v>
      </c>
      <c r="C2148" s="32" t="str">
        <f>vlookup(B2148,State_EMM_RowSums!$A$2:$B$52,2,FALSE)</f>
        <v>OK</v>
      </c>
      <c r="D2148" s="32">
        <v>40031.0</v>
      </c>
      <c r="E2148" s="33">
        <f>IF(NOT(ISBLANK(vlookup($D2148,Pop_Census_2023!$A$2:$E$3220,4,FALSE))),vlookup($D2148,Pop_Census_2023!$A$2:$E$3220,4,FALSE), vlookup($D2148,Pop_Census_2023!$A$2:$E$3220,5,FALSE))</f>
        <v>121574</v>
      </c>
      <c r="F2148" s="32">
        <v>1101803.0</v>
      </c>
      <c r="G2148" s="32">
        <v>50.0</v>
      </c>
      <c r="H2148" s="32" t="str">
        <f>VLOOKUP(D2148, Grid_Region_Mapping!$D$2:$F$5286, 3, FALSE)</f>
        <v>SPPS</v>
      </c>
      <c r="I2148" s="32">
        <v>7.0</v>
      </c>
      <c r="J2148" s="34" t="str">
        <f t="shared" si="1"/>
        <v>South</v>
      </c>
      <c r="K2148" s="35">
        <v>5.0</v>
      </c>
      <c r="L2148" s="35" t="s">
        <v>102</v>
      </c>
      <c r="M2148" s="36">
        <f>VLOOKUP(D2148, County_Data_CZones!$B$2:$F$3236, 2, FALSE)</f>
        <v>3</v>
      </c>
      <c r="N2148" s="37" t="str">
        <f>VLOOKUP(D2148, County_Data_CZones!$B$2:$F$3236, 5, FALSE)</f>
        <v>Mixed-Humid</v>
      </c>
    </row>
    <row r="2149" ht="15.75" customHeight="1">
      <c r="A2149" s="32" t="s">
        <v>1465</v>
      </c>
      <c r="B2149" s="32" t="s">
        <v>1457</v>
      </c>
      <c r="C2149" s="32" t="str">
        <f>vlookup(B2149,State_EMM_RowSums!$A$2:$B$52,2,FALSE)</f>
        <v>OK</v>
      </c>
      <c r="D2149" s="32">
        <v>40033.0</v>
      </c>
      <c r="E2149" s="33">
        <f>IF(NOT(ISBLANK(vlookup($D2149,Pop_Census_2023!$A$2:$E$3220,4,FALSE))),vlookup($D2149,Pop_Census_2023!$A$2:$E$3220,4,FALSE), vlookup($D2149,Pop_Census_2023!$A$2:$E$3220,5,FALSE))</f>
        <v>5427</v>
      </c>
      <c r="F2149" s="32">
        <v>1101804.0</v>
      </c>
      <c r="G2149" s="32">
        <v>50.0</v>
      </c>
      <c r="H2149" s="32" t="str">
        <f>VLOOKUP(D2149, Grid_Region_Mapping!$D$2:$F$5286, 3, FALSE)</f>
        <v>SPPS</v>
      </c>
      <c r="I2149" s="32">
        <v>7.0</v>
      </c>
      <c r="J2149" s="34" t="str">
        <f t="shared" si="1"/>
        <v>South</v>
      </c>
      <c r="K2149" s="35">
        <v>5.0</v>
      </c>
      <c r="L2149" s="35" t="s">
        <v>102</v>
      </c>
      <c r="M2149" s="36">
        <f>VLOOKUP(D2149, County_Data_CZones!$B$2:$F$3236, 2, FALSE)</f>
        <v>3</v>
      </c>
      <c r="N2149" s="37" t="str">
        <f>VLOOKUP(D2149, County_Data_CZones!$B$2:$F$3236, 5, FALSE)</f>
        <v>Mixed-Humid</v>
      </c>
    </row>
    <row r="2150" ht="15.75" customHeight="1">
      <c r="A2150" s="32" t="s">
        <v>1466</v>
      </c>
      <c r="B2150" s="32" t="s">
        <v>1457</v>
      </c>
      <c r="C2150" s="32" t="str">
        <f>vlookup(B2150,State_EMM_RowSums!$A$2:$B$52,2,FALSE)</f>
        <v>OK</v>
      </c>
      <c r="D2150" s="32">
        <v>40035.0</v>
      </c>
      <c r="E2150" s="33">
        <f>IF(NOT(ISBLANK(vlookup($D2150,Pop_Census_2023!$A$2:$E$3220,4,FALSE))),vlookup($D2150,Pop_Census_2023!$A$2:$E$3220,4,FALSE), vlookup($D2150,Pop_Census_2023!$A$2:$E$3220,5,FALSE))</f>
        <v>14494</v>
      </c>
      <c r="F2150" s="32">
        <v>1101805.0</v>
      </c>
      <c r="G2150" s="32">
        <v>51.0</v>
      </c>
      <c r="H2150" s="32" t="str">
        <f>VLOOKUP(D2150, Grid_Region_Mapping!$D$2:$F$5286, 3, FALSE)</f>
        <v>SPPS</v>
      </c>
      <c r="I2150" s="32">
        <v>7.0</v>
      </c>
      <c r="J2150" s="34" t="str">
        <f t="shared" si="1"/>
        <v>South</v>
      </c>
      <c r="K2150" s="35">
        <v>3.0</v>
      </c>
      <c r="L2150" s="35" t="s">
        <v>102</v>
      </c>
      <c r="M2150" s="36">
        <f>VLOOKUP(D2150, County_Data_CZones!$B$2:$F$3236, 2, FALSE)</f>
        <v>3</v>
      </c>
      <c r="N2150" s="37" t="str">
        <f>VLOOKUP(D2150, County_Data_CZones!$B$2:$F$3236, 5, FALSE)</f>
        <v>Mixed-Humid</v>
      </c>
    </row>
    <row r="2151" ht="15.75" customHeight="1">
      <c r="A2151" s="32" t="s">
        <v>1467</v>
      </c>
      <c r="B2151" s="32" t="s">
        <v>1457</v>
      </c>
      <c r="C2151" s="32" t="str">
        <f>vlookup(B2151,State_EMM_RowSums!$A$2:$B$52,2,FALSE)</f>
        <v>OK</v>
      </c>
      <c r="D2151" s="32">
        <v>40037.0</v>
      </c>
      <c r="E2151" s="33">
        <f>IF(NOT(ISBLANK(vlookup($D2151,Pop_Census_2023!$A$2:$E$3220,4,FALSE))),vlookup($D2151,Pop_Census_2023!$A$2:$E$3220,4,FALSE), vlookup($D2151,Pop_Census_2023!$A$2:$E$3220,5,FALSE))</f>
        <v>73332</v>
      </c>
      <c r="F2151" s="32">
        <v>1101806.0</v>
      </c>
      <c r="G2151" s="32">
        <v>51.0</v>
      </c>
      <c r="H2151" s="32" t="str">
        <f>VLOOKUP(D2151, Grid_Region_Mapping!$D$2:$F$5286, 3, FALSE)</f>
        <v>SPPS</v>
      </c>
      <c r="I2151" s="32">
        <v>7.0</v>
      </c>
      <c r="J2151" s="34" t="str">
        <f t="shared" si="1"/>
        <v>South</v>
      </c>
      <c r="K2151" s="35">
        <v>4.0</v>
      </c>
      <c r="L2151" s="35" t="s">
        <v>102</v>
      </c>
      <c r="M2151" s="36">
        <f>VLOOKUP(D2151, County_Data_CZones!$B$2:$F$3236, 2, FALSE)</f>
        <v>3</v>
      </c>
      <c r="N2151" s="37" t="str">
        <f>VLOOKUP(D2151, County_Data_CZones!$B$2:$F$3236, 5, FALSE)</f>
        <v>Mixed-Humid</v>
      </c>
    </row>
    <row r="2152" ht="15.75" customHeight="1">
      <c r="A2152" s="32" t="s">
        <v>353</v>
      </c>
      <c r="B2152" s="32" t="s">
        <v>1457</v>
      </c>
      <c r="C2152" s="32" t="str">
        <f>vlookup(B2152,State_EMM_RowSums!$A$2:$B$52,2,FALSE)</f>
        <v>OK</v>
      </c>
      <c r="D2152" s="32">
        <v>40039.0</v>
      </c>
      <c r="E2152" s="33">
        <f>IF(NOT(ISBLANK(vlookup($D2152,Pop_Census_2023!$A$2:$E$3220,4,FALSE))),vlookup($D2152,Pop_Census_2023!$A$2:$E$3220,4,FALSE), vlookup($D2152,Pop_Census_2023!$A$2:$E$3220,5,FALSE))</f>
        <v>28266</v>
      </c>
      <c r="F2152" s="32">
        <v>1101807.0</v>
      </c>
      <c r="G2152" s="32">
        <v>50.0</v>
      </c>
      <c r="H2152" s="32" t="str">
        <f>VLOOKUP(D2152, Grid_Region_Mapping!$D$2:$F$5286, 3, FALSE)</f>
        <v>SPPS</v>
      </c>
      <c r="I2152" s="32">
        <v>7.0</v>
      </c>
      <c r="J2152" s="34" t="str">
        <f t="shared" si="1"/>
        <v>South</v>
      </c>
      <c r="K2152" s="35">
        <v>4.0</v>
      </c>
      <c r="L2152" s="35" t="s">
        <v>102</v>
      </c>
      <c r="M2152" s="36">
        <f>VLOOKUP(D2152, County_Data_CZones!$B$2:$F$3236, 2, FALSE)</f>
        <v>3</v>
      </c>
      <c r="N2152" s="37" t="str">
        <f>VLOOKUP(D2152, County_Data_CZones!$B$2:$F$3236, 5, FALSE)</f>
        <v>Mixed-Humid</v>
      </c>
    </row>
    <row r="2153" ht="15.75" customHeight="1">
      <c r="A2153" s="32" t="s">
        <v>405</v>
      </c>
      <c r="B2153" s="32" t="s">
        <v>1457</v>
      </c>
      <c r="C2153" s="32" t="str">
        <f>vlookup(B2153,State_EMM_RowSums!$A$2:$B$52,2,FALSE)</f>
        <v>OK</v>
      </c>
      <c r="D2153" s="32">
        <v>40041.0</v>
      </c>
      <c r="E2153" s="33">
        <f>IF(NOT(ISBLANK(vlookup($D2153,Pop_Census_2023!$A$2:$E$3220,4,FALSE))),vlookup($D2153,Pop_Census_2023!$A$2:$E$3220,4,FALSE), vlookup($D2153,Pop_Census_2023!$A$2:$E$3220,5,FALSE))</f>
        <v>41703</v>
      </c>
      <c r="F2153" s="32">
        <v>1101808.0</v>
      </c>
      <c r="G2153" s="32">
        <v>51.0</v>
      </c>
      <c r="H2153" s="32" t="str">
        <f>VLOOKUP(D2153, Grid_Region_Mapping!$D$2:$F$5286, 3, FALSE)</f>
        <v>SPPS</v>
      </c>
      <c r="I2153" s="32">
        <v>7.0</v>
      </c>
      <c r="J2153" s="34" t="str">
        <f t="shared" si="1"/>
        <v>South</v>
      </c>
      <c r="K2153" s="35">
        <v>4.0</v>
      </c>
      <c r="L2153" s="35" t="s">
        <v>102</v>
      </c>
      <c r="M2153" s="36">
        <f>VLOOKUP(D2153, County_Data_CZones!$B$2:$F$3236, 2, FALSE)</f>
        <v>3</v>
      </c>
      <c r="N2153" s="37" t="str">
        <f>VLOOKUP(D2153, County_Data_CZones!$B$2:$F$3236, 5, FALSE)</f>
        <v>Mixed-Humid</v>
      </c>
    </row>
    <row r="2154" ht="15.75" customHeight="1">
      <c r="A2154" s="32" t="s">
        <v>1468</v>
      </c>
      <c r="B2154" s="32" t="s">
        <v>1457</v>
      </c>
      <c r="C2154" s="32" t="str">
        <f>vlookup(B2154,State_EMM_RowSums!$A$2:$B$52,2,FALSE)</f>
        <v>OK</v>
      </c>
      <c r="D2154" s="32">
        <v>40043.0</v>
      </c>
      <c r="E2154" s="33">
        <f>IF(NOT(ISBLANK(vlookup($D2154,Pop_Census_2023!$A$2:$E$3220,4,FALSE))),vlookup($D2154,Pop_Census_2023!$A$2:$E$3220,4,FALSE), vlookup($D2154,Pop_Census_2023!$A$2:$E$3220,5,FALSE))</f>
        <v>4286</v>
      </c>
      <c r="F2154" s="32">
        <v>1101809.0</v>
      </c>
      <c r="G2154" s="32">
        <v>50.0</v>
      </c>
      <c r="H2154" s="32" t="str">
        <f>VLOOKUP(D2154, Grid_Region_Mapping!$D$2:$F$5286, 3, FALSE)</f>
        <v>SPPS</v>
      </c>
      <c r="I2154" s="32">
        <v>7.0</v>
      </c>
      <c r="J2154" s="34" t="str">
        <f t="shared" si="1"/>
        <v>South</v>
      </c>
      <c r="K2154" s="35">
        <v>3.0</v>
      </c>
      <c r="L2154" s="35" t="s">
        <v>102</v>
      </c>
      <c r="M2154" s="36">
        <f>VLOOKUP(D2154, County_Data_CZones!$B$2:$F$3236, 2, FALSE)</f>
        <v>3</v>
      </c>
      <c r="N2154" s="37" t="str">
        <f>VLOOKUP(D2154, County_Data_CZones!$B$2:$F$3236, 5, FALSE)</f>
        <v>Mixed-Humid</v>
      </c>
    </row>
    <row r="2155" ht="15.75" customHeight="1">
      <c r="A2155" s="32" t="s">
        <v>764</v>
      </c>
      <c r="B2155" s="32" t="s">
        <v>1457</v>
      </c>
      <c r="C2155" s="32" t="str">
        <f>vlookup(B2155,State_EMM_RowSums!$A$2:$B$52,2,FALSE)</f>
        <v>OK</v>
      </c>
      <c r="D2155" s="32">
        <v>40045.0</v>
      </c>
      <c r="E2155" s="33">
        <f>IF(NOT(ISBLANK(vlookup($D2155,Pop_Census_2023!$A$2:$E$3220,4,FALSE))),vlookup($D2155,Pop_Census_2023!$A$2:$E$3220,4,FALSE), vlookup($D2155,Pop_Census_2023!$A$2:$E$3220,5,FALSE))</f>
        <v>3648</v>
      </c>
      <c r="F2155" s="32">
        <v>1101810.0</v>
      </c>
      <c r="G2155" s="32">
        <v>50.0</v>
      </c>
      <c r="H2155" s="32" t="str">
        <f>VLOOKUP(D2155, Grid_Region_Mapping!$D$2:$F$5286, 3, FALSE)</f>
        <v>SPPS</v>
      </c>
      <c r="I2155" s="32">
        <v>7.0</v>
      </c>
      <c r="J2155" s="34" t="str">
        <f t="shared" si="1"/>
        <v>South</v>
      </c>
      <c r="K2155" s="35">
        <v>3.0</v>
      </c>
      <c r="L2155" s="35" t="s">
        <v>102</v>
      </c>
      <c r="M2155" s="36">
        <f>VLOOKUP(D2155, County_Data_CZones!$B$2:$F$3236, 2, FALSE)</f>
        <v>3</v>
      </c>
      <c r="N2155" s="37" t="str">
        <f>VLOOKUP(D2155, County_Data_CZones!$B$2:$F$3236, 5, FALSE)</f>
        <v>Mixed-Humid</v>
      </c>
    </row>
    <row r="2156" ht="15.75" customHeight="1">
      <c r="A2156" s="32" t="s">
        <v>362</v>
      </c>
      <c r="B2156" s="32" t="s">
        <v>1457</v>
      </c>
      <c r="C2156" s="32" t="str">
        <f>vlookup(B2156,State_EMM_RowSums!$A$2:$B$52,2,FALSE)</f>
        <v>OK</v>
      </c>
      <c r="D2156" s="32">
        <v>40047.0</v>
      </c>
      <c r="E2156" s="33">
        <f>IF(NOT(ISBLANK(vlookup($D2156,Pop_Census_2023!$A$2:$E$3220,4,FALSE))),vlookup($D2156,Pop_Census_2023!$A$2:$E$3220,4,FALSE), vlookup($D2156,Pop_Census_2023!$A$2:$E$3220,5,FALSE))</f>
        <v>62023</v>
      </c>
      <c r="F2156" s="32">
        <v>1101811.0</v>
      </c>
      <c r="G2156" s="32">
        <v>50.0</v>
      </c>
      <c r="H2156" s="32" t="str">
        <f>VLOOKUP(D2156, Grid_Region_Mapping!$D$2:$F$5286, 3, FALSE)</f>
        <v>SPPS</v>
      </c>
      <c r="I2156" s="32">
        <v>7.0</v>
      </c>
      <c r="J2156" s="34" t="str">
        <f t="shared" si="1"/>
        <v>South</v>
      </c>
      <c r="K2156" s="35">
        <v>5.0</v>
      </c>
      <c r="L2156" s="35" t="s">
        <v>102</v>
      </c>
      <c r="M2156" s="36">
        <f>VLOOKUP(D2156, County_Data_CZones!$B$2:$F$3236, 2, FALSE)</f>
        <v>3</v>
      </c>
      <c r="N2156" s="37" t="str">
        <f>VLOOKUP(D2156, County_Data_CZones!$B$2:$F$3236, 5, FALSE)</f>
        <v>Mixed-Humid</v>
      </c>
    </row>
    <row r="2157" ht="15.75" customHeight="1">
      <c r="A2157" s="32" t="s">
        <v>1469</v>
      </c>
      <c r="B2157" s="32" t="s">
        <v>1457</v>
      </c>
      <c r="C2157" s="32" t="str">
        <f>vlookup(B2157,State_EMM_RowSums!$A$2:$B$52,2,FALSE)</f>
        <v>OK</v>
      </c>
      <c r="D2157" s="32">
        <v>40049.0</v>
      </c>
      <c r="E2157" s="33">
        <f>IF(NOT(ISBLANK(vlookup($D2157,Pop_Census_2023!$A$2:$E$3220,4,FALSE))),vlookup($D2157,Pop_Census_2023!$A$2:$E$3220,4,FALSE), vlookup($D2157,Pop_Census_2023!$A$2:$E$3220,5,FALSE))</f>
        <v>25865</v>
      </c>
      <c r="F2157" s="32">
        <v>1101812.0</v>
      </c>
      <c r="G2157" s="32">
        <v>50.0</v>
      </c>
      <c r="H2157" s="32" t="str">
        <f>VLOOKUP(D2157, Grid_Region_Mapping!$D$2:$F$5286, 3, FALSE)</f>
        <v>SPPS</v>
      </c>
      <c r="I2157" s="32">
        <v>7.0</v>
      </c>
      <c r="J2157" s="34" t="str">
        <f t="shared" si="1"/>
        <v>South</v>
      </c>
      <c r="K2157" s="35">
        <v>5.0</v>
      </c>
      <c r="L2157" s="35" t="s">
        <v>102</v>
      </c>
      <c r="M2157" s="36">
        <f>VLOOKUP(D2157, County_Data_CZones!$B$2:$F$3236, 2, FALSE)</f>
        <v>3</v>
      </c>
      <c r="N2157" s="37" t="str">
        <f>VLOOKUP(D2157, County_Data_CZones!$B$2:$F$3236, 5, FALSE)</f>
        <v>Mixed-Humid</v>
      </c>
    </row>
    <row r="2158" ht="15.75" customHeight="1">
      <c r="A2158" s="32" t="s">
        <v>508</v>
      </c>
      <c r="B2158" s="32" t="s">
        <v>1457</v>
      </c>
      <c r="C2158" s="32" t="str">
        <f>vlookup(B2158,State_EMM_RowSums!$A$2:$B$52,2,FALSE)</f>
        <v>OK</v>
      </c>
      <c r="D2158" s="32">
        <v>40051.0</v>
      </c>
      <c r="E2158" s="33">
        <f>IF(NOT(ISBLANK(vlookup($D2158,Pop_Census_2023!$A$2:$E$3220,4,FALSE))),vlookup($D2158,Pop_Census_2023!$A$2:$E$3220,4,FALSE), vlookup($D2158,Pop_Census_2023!$A$2:$E$3220,5,FALSE))</f>
        <v>57375</v>
      </c>
      <c r="F2158" s="32">
        <v>1101813.0</v>
      </c>
      <c r="G2158" s="32">
        <v>50.0</v>
      </c>
      <c r="H2158" s="32" t="str">
        <f>VLOOKUP(D2158, Grid_Region_Mapping!$D$2:$F$5286, 3, FALSE)</f>
        <v>SPPS</v>
      </c>
      <c r="I2158" s="32">
        <v>7.0</v>
      </c>
      <c r="J2158" s="34" t="str">
        <f t="shared" si="1"/>
        <v>South</v>
      </c>
      <c r="K2158" s="35">
        <v>5.0</v>
      </c>
      <c r="L2158" s="35" t="s">
        <v>102</v>
      </c>
      <c r="M2158" s="36">
        <f>VLOOKUP(D2158, County_Data_CZones!$B$2:$F$3236, 2, FALSE)</f>
        <v>3</v>
      </c>
      <c r="N2158" s="37" t="str">
        <f>VLOOKUP(D2158, County_Data_CZones!$B$2:$F$3236, 5, FALSE)</f>
        <v>Mixed-Humid</v>
      </c>
    </row>
    <row r="2159" ht="15.75" customHeight="1">
      <c r="A2159" s="32" t="s">
        <v>242</v>
      </c>
      <c r="B2159" s="32" t="s">
        <v>1457</v>
      </c>
      <c r="C2159" s="32" t="str">
        <f>vlookup(B2159,State_EMM_RowSums!$A$2:$B$52,2,FALSE)</f>
        <v>OK</v>
      </c>
      <c r="D2159" s="32">
        <v>40053.0</v>
      </c>
      <c r="E2159" s="33">
        <f>IF(NOT(ISBLANK(vlookup($D2159,Pop_Census_2023!$A$2:$E$3220,4,FALSE))),vlookup($D2159,Pop_Census_2023!$A$2:$E$3220,4,FALSE), vlookup($D2159,Pop_Census_2023!$A$2:$E$3220,5,FALSE))</f>
        <v>4083</v>
      </c>
      <c r="F2159" s="32">
        <v>1101814.0</v>
      </c>
      <c r="G2159" s="32">
        <v>50.0</v>
      </c>
      <c r="H2159" s="32" t="str">
        <f>VLOOKUP(D2159, Grid_Region_Mapping!$D$2:$F$5286, 3, FALSE)</f>
        <v>SPPS</v>
      </c>
      <c r="I2159" s="32">
        <v>7.0</v>
      </c>
      <c r="J2159" s="34" t="str">
        <f t="shared" si="1"/>
        <v>South</v>
      </c>
      <c r="K2159" s="35">
        <v>3.0</v>
      </c>
      <c r="L2159" s="35" t="s">
        <v>102</v>
      </c>
      <c r="M2159" s="36">
        <f>VLOOKUP(D2159, County_Data_CZones!$B$2:$F$3236, 2, FALSE)</f>
        <v>3</v>
      </c>
      <c r="N2159" s="37" t="str">
        <f>VLOOKUP(D2159, County_Data_CZones!$B$2:$F$3236, 5, FALSE)</f>
        <v>Mixed-Humid</v>
      </c>
    </row>
    <row r="2160" ht="15.75" customHeight="1">
      <c r="A2160" s="32" t="s">
        <v>1470</v>
      </c>
      <c r="B2160" s="32" t="s">
        <v>1457</v>
      </c>
      <c r="C2160" s="32" t="str">
        <f>vlookup(B2160,State_EMM_RowSums!$A$2:$B$52,2,FALSE)</f>
        <v>OK</v>
      </c>
      <c r="D2160" s="32">
        <v>40055.0</v>
      </c>
      <c r="E2160" s="33">
        <f>IF(NOT(ISBLANK(vlookup($D2160,Pop_Census_2023!$A$2:$E$3220,4,FALSE))),vlookup($D2160,Pop_Census_2023!$A$2:$E$3220,4,FALSE), vlookup($D2160,Pop_Census_2023!$A$2:$E$3220,5,FALSE))</f>
        <v>5466</v>
      </c>
      <c r="F2160" s="32">
        <v>1101815.0</v>
      </c>
      <c r="G2160" s="32">
        <v>50.0</v>
      </c>
      <c r="H2160" s="32" t="str">
        <f>VLOOKUP(D2160, Grid_Region_Mapping!$D$2:$F$5286, 3, FALSE)</f>
        <v>SPPS</v>
      </c>
      <c r="I2160" s="32">
        <v>7.0</v>
      </c>
      <c r="J2160" s="34" t="str">
        <f t="shared" si="1"/>
        <v>South</v>
      </c>
      <c r="K2160" s="35">
        <v>5.0</v>
      </c>
      <c r="L2160" s="35" t="s">
        <v>102</v>
      </c>
      <c r="M2160" s="36">
        <f>VLOOKUP(D2160, County_Data_CZones!$B$2:$F$3236, 2, FALSE)</f>
        <v>3</v>
      </c>
      <c r="N2160" s="37" t="str">
        <f>VLOOKUP(D2160, County_Data_CZones!$B$2:$F$3236, 5, FALSE)</f>
        <v>Mixed-Humid</v>
      </c>
    </row>
    <row r="2161" ht="15.75" customHeight="1">
      <c r="A2161" s="32" t="s">
        <v>1471</v>
      </c>
      <c r="B2161" s="32" t="s">
        <v>1457</v>
      </c>
      <c r="C2161" s="32" t="str">
        <f>vlookup(B2161,State_EMM_RowSums!$A$2:$B$52,2,FALSE)</f>
        <v>OK</v>
      </c>
      <c r="D2161" s="32">
        <v>40057.0</v>
      </c>
      <c r="E2161" s="33">
        <f>IF(NOT(ISBLANK(vlookup($D2161,Pop_Census_2023!$A$2:$E$3220,4,FALSE))),vlookup($D2161,Pop_Census_2023!$A$2:$E$3220,4,FALSE), vlookup($D2161,Pop_Census_2023!$A$2:$E$3220,5,FALSE))</f>
        <v>2392</v>
      </c>
      <c r="F2161" s="32">
        <v>1101816.0</v>
      </c>
      <c r="G2161" s="32">
        <v>50.0</v>
      </c>
      <c r="H2161" s="32" t="str">
        <f>VLOOKUP(D2161, Grid_Region_Mapping!$D$2:$F$5286, 3, FALSE)</f>
        <v>SPPS</v>
      </c>
      <c r="I2161" s="32">
        <v>7.0</v>
      </c>
      <c r="J2161" s="34" t="str">
        <f t="shared" si="1"/>
        <v>South</v>
      </c>
      <c r="K2161" s="35">
        <v>5.0</v>
      </c>
      <c r="L2161" s="35" t="s">
        <v>102</v>
      </c>
      <c r="M2161" s="36">
        <f>VLOOKUP(D2161, County_Data_CZones!$B$2:$F$3236, 2, FALSE)</f>
        <v>3</v>
      </c>
      <c r="N2161" s="37" t="str">
        <f>VLOOKUP(D2161, County_Data_CZones!$B$2:$F$3236, 5, FALSE)</f>
        <v>Mixed-Humid</v>
      </c>
    </row>
    <row r="2162" ht="15.75" customHeight="1">
      <c r="A2162" s="32" t="s">
        <v>772</v>
      </c>
      <c r="B2162" s="32" t="s">
        <v>1457</v>
      </c>
      <c r="C2162" s="32" t="str">
        <f>vlookup(B2162,State_EMM_RowSums!$A$2:$B$52,2,FALSE)</f>
        <v>OK</v>
      </c>
      <c r="D2162" s="32">
        <v>40059.0</v>
      </c>
      <c r="E2162" s="33">
        <f>IF(NOT(ISBLANK(vlookup($D2162,Pop_Census_2023!$A$2:$E$3220,4,FALSE))),vlookup($D2162,Pop_Census_2023!$A$2:$E$3220,4,FALSE), vlookup($D2162,Pop_Census_2023!$A$2:$E$3220,5,FALSE))</f>
        <v>3190</v>
      </c>
      <c r="F2162" s="32">
        <v>1101817.0</v>
      </c>
      <c r="G2162" s="32">
        <v>50.0</v>
      </c>
      <c r="H2162" s="32" t="str">
        <f>VLOOKUP(D2162, Grid_Region_Mapping!$D$2:$F$5286, 3, FALSE)</f>
        <v>SPPS</v>
      </c>
      <c r="I2162" s="32">
        <v>7.0</v>
      </c>
      <c r="J2162" s="34" t="str">
        <f t="shared" si="1"/>
        <v>South</v>
      </c>
      <c r="K2162" s="35">
        <v>3.0</v>
      </c>
      <c r="L2162" s="35" t="s">
        <v>102</v>
      </c>
      <c r="M2162" s="36">
        <f>VLOOKUP(D2162, County_Data_CZones!$B$2:$F$3236, 2, FALSE)</f>
        <v>3</v>
      </c>
      <c r="N2162" s="37" t="str">
        <f>VLOOKUP(D2162, County_Data_CZones!$B$2:$F$3236, 5, FALSE)</f>
        <v>Mixed-Humid</v>
      </c>
    </row>
    <row r="2163" ht="15.75" customHeight="1">
      <c r="A2163" s="32" t="s">
        <v>774</v>
      </c>
      <c r="B2163" s="32" t="s">
        <v>1457</v>
      </c>
      <c r="C2163" s="32" t="str">
        <f>vlookup(B2163,State_EMM_RowSums!$A$2:$B$52,2,FALSE)</f>
        <v>OK</v>
      </c>
      <c r="D2163" s="32">
        <v>40061.0</v>
      </c>
      <c r="E2163" s="33">
        <f>IF(NOT(ISBLANK(vlookup($D2163,Pop_Census_2023!$A$2:$E$3220,4,FALSE))),vlookup($D2163,Pop_Census_2023!$A$2:$E$3220,4,FALSE), vlookup($D2163,Pop_Census_2023!$A$2:$E$3220,5,FALSE))</f>
        <v>11832</v>
      </c>
      <c r="F2163" s="32">
        <v>1101818.0</v>
      </c>
      <c r="G2163" s="32">
        <v>50.0</v>
      </c>
      <c r="H2163" s="32" t="str">
        <f>VLOOKUP(D2163, Grid_Region_Mapping!$D$2:$F$5286, 3, FALSE)</f>
        <v>SPPS</v>
      </c>
      <c r="I2163" s="32">
        <v>7.0</v>
      </c>
      <c r="J2163" s="34" t="str">
        <f t="shared" si="1"/>
        <v>South</v>
      </c>
      <c r="K2163" s="35">
        <v>5.0</v>
      </c>
      <c r="L2163" s="35" t="s">
        <v>102</v>
      </c>
      <c r="M2163" s="36">
        <f>VLOOKUP(D2163, County_Data_CZones!$B$2:$F$3236, 2, FALSE)</f>
        <v>3</v>
      </c>
      <c r="N2163" s="37" t="str">
        <f>VLOOKUP(D2163, County_Data_CZones!$B$2:$F$3236, 5, FALSE)</f>
        <v>Mixed-Humid</v>
      </c>
    </row>
    <row r="2164" ht="15.75" customHeight="1">
      <c r="A2164" s="32" t="s">
        <v>1472</v>
      </c>
      <c r="B2164" s="32" t="s">
        <v>1457</v>
      </c>
      <c r="C2164" s="32" t="str">
        <f>vlookup(B2164,State_EMM_RowSums!$A$2:$B$52,2,FALSE)</f>
        <v>OK</v>
      </c>
      <c r="D2164" s="32">
        <v>40063.0</v>
      </c>
      <c r="E2164" s="33">
        <f>IF(NOT(ISBLANK(vlookup($D2164,Pop_Census_2023!$A$2:$E$3220,4,FALSE))),vlookup($D2164,Pop_Census_2023!$A$2:$E$3220,4,FALSE), vlookup($D2164,Pop_Census_2023!$A$2:$E$3220,5,FALSE))</f>
        <v>13436</v>
      </c>
      <c r="F2164" s="32">
        <v>1101819.0</v>
      </c>
      <c r="G2164" s="32">
        <v>50.0</v>
      </c>
      <c r="H2164" s="32" t="str">
        <f>VLOOKUP(D2164, Grid_Region_Mapping!$D$2:$F$5286, 3, FALSE)</f>
        <v>SPPS</v>
      </c>
      <c r="I2164" s="32">
        <v>7.0</v>
      </c>
      <c r="J2164" s="34" t="str">
        <f t="shared" si="1"/>
        <v>South</v>
      </c>
      <c r="K2164" s="35">
        <v>4.0</v>
      </c>
      <c r="L2164" s="35" t="s">
        <v>102</v>
      </c>
      <c r="M2164" s="36">
        <f>VLOOKUP(D2164, County_Data_CZones!$B$2:$F$3236, 2, FALSE)</f>
        <v>3</v>
      </c>
      <c r="N2164" s="37" t="str">
        <f>VLOOKUP(D2164, County_Data_CZones!$B$2:$F$3236, 5, FALSE)</f>
        <v>Mixed-Humid</v>
      </c>
    </row>
    <row r="2165" ht="15.75" customHeight="1">
      <c r="A2165" s="32" t="s">
        <v>138</v>
      </c>
      <c r="B2165" s="32" t="s">
        <v>1457</v>
      </c>
      <c r="C2165" s="32" t="str">
        <f>vlookup(B2165,State_EMM_RowSums!$A$2:$B$52,2,FALSE)</f>
        <v>OK</v>
      </c>
      <c r="D2165" s="32">
        <v>40065.0</v>
      </c>
      <c r="E2165" s="33">
        <f>IF(NOT(ISBLANK(vlookup($D2165,Pop_Census_2023!$A$2:$E$3220,4,FALSE))),vlookup($D2165,Pop_Census_2023!$A$2:$E$3220,4,FALSE), vlookup($D2165,Pop_Census_2023!$A$2:$E$3220,5,FALSE))</f>
        <v>24669</v>
      </c>
      <c r="F2165" s="32">
        <v>1101820.0</v>
      </c>
      <c r="G2165" s="32">
        <v>50.0</v>
      </c>
      <c r="H2165" s="32" t="str">
        <f>VLOOKUP(D2165, Grid_Region_Mapping!$D$2:$F$5286, 3, FALSE)</f>
        <v>SPPS</v>
      </c>
      <c r="I2165" s="32">
        <v>7.0</v>
      </c>
      <c r="J2165" s="34" t="str">
        <f t="shared" si="1"/>
        <v>South</v>
      </c>
      <c r="K2165" s="35">
        <v>5.0</v>
      </c>
      <c r="L2165" s="35" t="s">
        <v>102</v>
      </c>
      <c r="M2165" s="36">
        <f>VLOOKUP(D2165, County_Data_CZones!$B$2:$F$3236, 2, FALSE)</f>
        <v>3</v>
      </c>
      <c r="N2165" s="37" t="str">
        <f>VLOOKUP(D2165, County_Data_CZones!$B$2:$F$3236, 5, FALSE)</f>
        <v>Mixed-Humid</v>
      </c>
    </row>
    <row r="2166" ht="15.75" customHeight="1">
      <c r="A2166" s="32" t="s">
        <v>139</v>
      </c>
      <c r="B2166" s="32" t="s">
        <v>1457</v>
      </c>
      <c r="C2166" s="32" t="str">
        <f>vlookup(B2166,State_EMM_RowSums!$A$2:$B$52,2,FALSE)</f>
        <v>OK</v>
      </c>
      <c r="D2166" s="32">
        <v>40067.0</v>
      </c>
      <c r="E2166" s="33">
        <f>IF(NOT(ISBLANK(vlookup($D2166,Pop_Census_2023!$A$2:$E$3220,4,FALSE))),vlookup($D2166,Pop_Census_2023!$A$2:$E$3220,4,FALSE), vlookup($D2166,Pop_Census_2023!$A$2:$E$3220,5,FALSE))</f>
        <v>5347</v>
      </c>
      <c r="F2166" s="32">
        <v>1101821.0</v>
      </c>
      <c r="G2166" s="32">
        <v>50.0</v>
      </c>
      <c r="H2166" s="32" t="str">
        <f>VLOOKUP(D2166, Grid_Region_Mapping!$D$2:$F$5286, 3, FALSE)</f>
        <v>SPPS</v>
      </c>
      <c r="I2166" s="32">
        <v>7.0</v>
      </c>
      <c r="J2166" s="34" t="str">
        <f t="shared" si="1"/>
        <v>South</v>
      </c>
      <c r="K2166" s="35">
        <v>5.0</v>
      </c>
      <c r="L2166" s="35" t="s">
        <v>102</v>
      </c>
      <c r="M2166" s="36">
        <f>VLOOKUP(D2166, County_Data_CZones!$B$2:$F$3236, 2, FALSE)</f>
        <v>3</v>
      </c>
      <c r="N2166" s="37" t="str">
        <f>VLOOKUP(D2166, County_Data_CZones!$B$2:$F$3236, 5, FALSE)</f>
        <v>Mixed-Humid</v>
      </c>
    </row>
    <row r="2167" ht="15.75" customHeight="1">
      <c r="A2167" s="32" t="s">
        <v>1361</v>
      </c>
      <c r="B2167" s="32" t="s">
        <v>1457</v>
      </c>
      <c r="C2167" s="32" t="str">
        <f>vlookup(B2167,State_EMM_RowSums!$A$2:$B$52,2,FALSE)</f>
        <v>OK</v>
      </c>
      <c r="D2167" s="32">
        <v>40069.0</v>
      </c>
      <c r="E2167" s="33">
        <f>IF(NOT(ISBLANK(vlookup($D2167,Pop_Census_2023!$A$2:$E$3220,4,FALSE))),vlookup($D2167,Pop_Census_2023!$A$2:$E$3220,4,FALSE), vlookup($D2167,Pop_Census_2023!$A$2:$E$3220,5,FALSE))</f>
        <v>10216</v>
      </c>
      <c r="F2167" s="32">
        <v>1101822.0</v>
      </c>
      <c r="G2167" s="32">
        <v>50.0</v>
      </c>
      <c r="H2167" s="32" t="str">
        <f>VLOOKUP(D2167, Grid_Region_Mapping!$D$2:$F$5286, 3, FALSE)</f>
        <v>SPPS</v>
      </c>
      <c r="I2167" s="32">
        <v>7.0</v>
      </c>
      <c r="J2167" s="34" t="str">
        <f t="shared" si="1"/>
        <v>South</v>
      </c>
      <c r="K2167" s="35">
        <v>5.0</v>
      </c>
      <c r="L2167" s="35" t="s">
        <v>102</v>
      </c>
      <c r="M2167" s="36">
        <f>VLOOKUP(D2167, County_Data_CZones!$B$2:$F$3236, 2, FALSE)</f>
        <v>3</v>
      </c>
      <c r="N2167" s="37" t="str">
        <f>VLOOKUP(D2167, County_Data_CZones!$B$2:$F$3236, 5, FALSE)</f>
        <v>Mixed-Humid</v>
      </c>
    </row>
    <row r="2168" ht="15.75" customHeight="1">
      <c r="A2168" s="32" t="s">
        <v>1473</v>
      </c>
      <c r="B2168" s="32" t="s">
        <v>1457</v>
      </c>
      <c r="C2168" s="32" t="str">
        <f>vlookup(B2168,State_EMM_RowSums!$A$2:$B$52,2,FALSE)</f>
        <v>OK</v>
      </c>
      <c r="D2168" s="32">
        <v>40071.0</v>
      </c>
      <c r="E2168" s="33">
        <f>IF(NOT(ISBLANK(vlookup($D2168,Pop_Census_2023!$A$2:$E$3220,4,FALSE))),vlookup($D2168,Pop_Census_2023!$A$2:$E$3220,4,FALSE), vlookup($D2168,Pop_Census_2023!$A$2:$E$3220,5,FALSE))</f>
        <v>43641</v>
      </c>
      <c r="F2168" s="32">
        <v>1101823.0</v>
      </c>
      <c r="G2168" s="32">
        <v>50.0</v>
      </c>
      <c r="H2168" s="32" t="str">
        <f>VLOOKUP(D2168, Grid_Region_Mapping!$D$2:$F$5286, 3, FALSE)</f>
        <v>SPPS</v>
      </c>
      <c r="I2168" s="32">
        <v>7.0</v>
      </c>
      <c r="J2168" s="34" t="str">
        <f t="shared" si="1"/>
        <v>South</v>
      </c>
      <c r="K2168" s="35">
        <v>3.0</v>
      </c>
      <c r="L2168" s="35" t="s">
        <v>102</v>
      </c>
      <c r="M2168" s="36">
        <f>VLOOKUP(D2168, County_Data_CZones!$B$2:$F$3236, 2, FALSE)</f>
        <v>3</v>
      </c>
      <c r="N2168" s="37" t="str">
        <f>VLOOKUP(D2168, County_Data_CZones!$B$2:$F$3236, 5, FALSE)</f>
        <v>Mixed-Humid</v>
      </c>
    </row>
    <row r="2169" ht="15.75" customHeight="1">
      <c r="A2169" s="32" t="s">
        <v>1474</v>
      </c>
      <c r="B2169" s="32" t="s">
        <v>1457</v>
      </c>
      <c r="C2169" s="32" t="str">
        <f>vlookup(B2169,State_EMM_RowSums!$A$2:$B$52,2,FALSE)</f>
        <v>OK</v>
      </c>
      <c r="D2169" s="32">
        <v>40073.0</v>
      </c>
      <c r="E2169" s="33">
        <f>IF(NOT(ISBLANK(vlookup($D2169,Pop_Census_2023!$A$2:$E$3220,4,FALSE))),vlookup($D2169,Pop_Census_2023!$A$2:$E$3220,4,FALSE), vlookup($D2169,Pop_Census_2023!$A$2:$E$3220,5,FALSE))</f>
        <v>15481</v>
      </c>
      <c r="F2169" s="32">
        <v>1101824.0</v>
      </c>
      <c r="G2169" s="32">
        <v>50.0</v>
      </c>
      <c r="H2169" s="32" t="str">
        <f>VLOOKUP(D2169, Grid_Region_Mapping!$D$2:$F$5286, 3, FALSE)</f>
        <v>SPPS</v>
      </c>
      <c r="I2169" s="32">
        <v>7.0</v>
      </c>
      <c r="J2169" s="34" t="str">
        <f t="shared" si="1"/>
        <v>South</v>
      </c>
      <c r="K2169" s="35">
        <v>5.0</v>
      </c>
      <c r="L2169" s="35" t="s">
        <v>102</v>
      </c>
      <c r="M2169" s="36">
        <f>VLOOKUP(D2169, County_Data_CZones!$B$2:$F$3236, 2, FALSE)</f>
        <v>3</v>
      </c>
      <c r="N2169" s="37" t="str">
        <f>VLOOKUP(D2169, County_Data_CZones!$B$2:$F$3236, 5, FALSE)</f>
        <v>Mixed-Humid</v>
      </c>
    </row>
    <row r="2170" ht="15.75" customHeight="1">
      <c r="A2170" s="32" t="s">
        <v>368</v>
      </c>
      <c r="B2170" s="32" t="s">
        <v>1457</v>
      </c>
      <c r="C2170" s="32" t="str">
        <f>vlookup(B2170,State_EMM_RowSums!$A$2:$B$52,2,FALSE)</f>
        <v>OK</v>
      </c>
      <c r="D2170" s="32">
        <v>40075.0</v>
      </c>
      <c r="E2170" s="33">
        <f>IF(NOT(ISBLANK(vlookup($D2170,Pop_Census_2023!$A$2:$E$3220,4,FALSE))),vlookup($D2170,Pop_Census_2023!$A$2:$E$3220,4,FALSE), vlookup($D2170,Pop_Census_2023!$A$2:$E$3220,5,FALSE))</f>
        <v>8398</v>
      </c>
      <c r="F2170" s="32">
        <v>1101825.0</v>
      </c>
      <c r="G2170" s="32">
        <v>50.0</v>
      </c>
      <c r="H2170" s="32" t="str">
        <f>VLOOKUP(D2170, Grid_Region_Mapping!$D$2:$F$5286, 3, FALSE)</f>
        <v>SPPS</v>
      </c>
      <c r="I2170" s="32">
        <v>7.0</v>
      </c>
      <c r="J2170" s="34" t="str">
        <f t="shared" si="1"/>
        <v>South</v>
      </c>
      <c r="K2170" s="35">
        <v>5.0</v>
      </c>
      <c r="L2170" s="35" t="s">
        <v>102</v>
      </c>
      <c r="M2170" s="36">
        <f>VLOOKUP(D2170, County_Data_CZones!$B$2:$F$3236, 2, FALSE)</f>
        <v>3</v>
      </c>
      <c r="N2170" s="37" t="str">
        <f>VLOOKUP(D2170, County_Data_CZones!$B$2:$F$3236, 5, FALSE)</f>
        <v>Mixed-Humid</v>
      </c>
    </row>
    <row r="2171" ht="15.75" customHeight="1">
      <c r="A2171" s="32" t="s">
        <v>1475</v>
      </c>
      <c r="B2171" s="32" t="s">
        <v>1457</v>
      </c>
      <c r="C2171" s="32" t="str">
        <f>vlookup(B2171,State_EMM_RowSums!$A$2:$B$52,2,FALSE)</f>
        <v>OK</v>
      </c>
      <c r="D2171" s="32">
        <v>40077.0</v>
      </c>
      <c r="E2171" s="33">
        <f>IF(NOT(ISBLANK(vlookup($D2171,Pop_Census_2023!$A$2:$E$3220,4,FALSE))),vlookup($D2171,Pop_Census_2023!$A$2:$E$3220,4,FALSE), vlookup($D2171,Pop_Census_2023!$A$2:$E$3220,5,FALSE))</f>
        <v>9526</v>
      </c>
      <c r="F2171" s="32">
        <v>1101826.0</v>
      </c>
      <c r="G2171" s="32">
        <v>50.0</v>
      </c>
      <c r="H2171" s="32" t="str">
        <f>VLOOKUP(D2171, Grid_Region_Mapping!$D$2:$F$5286, 3, FALSE)</f>
        <v>SPPS</v>
      </c>
      <c r="I2171" s="32">
        <v>7.0</v>
      </c>
      <c r="J2171" s="34" t="str">
        <f t="shared" si="1"/>
        <v>South</v>
      </c>
      <c r="K2171" s="35">
        <v>4.0</v>
      </c>
      <c r="L2171" s="35" t="s">
        <v>102</v>
      </c>
      <c r="M2171" s="36">
        <f>VLOOKUP(D2171, County_Data_CZones!$B$2:$F$3236, 2, FALSE)</f>
        <v>3</v>
      </c>
      <c r="N2171" s="37" t="str">
        <f>VLOOKUP(D2171, County_Data_CZones!$B$2:$F$3236, 5, FALSE)</f>
        <v>Mixed-Humid</v>
      </c>
    </row>
    <row r="2172" ht="15.75" customHeight="1">
      <c r="A2172" s="32" t="s">
        <v>1476</v>
      </c>
      <c r="B2172" s="32" t="s">
        <v>1457</v>
      </c>
      <c r="C2172" s="32" t="str">
        <f>vlookup(B2172,State_EMM_RowSums!$A$2:$B$52,2,FALSE)</f>
        <v>OK</v>
      </c>
      <c r="D2172" s="32">
        <v>40079.0</v>
      </c>
      <c r="E2172" s="33">
        <f>IF(NOT(ISBLANK(vlookup($D2172,Pop_Census_2023!$A$2:$E$3220,4,FALSE))),vlookup($D2172,Pop_Census_2023!$A$2:$E$3220,4,FALSE), vlookup($D2172,Pop_Census_2023!$A$2:$E$3220,5,FALSE))</f>
        <v>49596</v>
      </c>
      <c r="F2172" s="32">
        <v>1101827.0</v>
      </c>
      <c r="G2172" s="32">
        <v>50.0</v>
      </c>
      <c r="H2172" s="32" t="str">
        <f>VLOOKUP(D2172, Grid_Region_Mapping!$D$2:$F$5286, 3, FALSE)</f>
        <v>SPPS</v>
      </c>
      <c r="I2172" s="32">
        <v>7.0</v>
      </c>
      <c r="J2172" s="34" t="str">
        <f t="shared" si="1"/>
        <v>South</v>
      </c>
      <c r="K2172" s="35">
        <v>4.0</v>
      </c>
      <c r="L2172" s="35" t="s">
        <v>102</v>
      </c>
      <c r="M2172" s="36">
        <f>VLOOKUP(D2172, County_Data_CZones!$B$2:$F$3236, 2, FALSE)</f>
        <v>3</v>
      </c>
      <c r="N2172" s="37" t="str">
        <f>VLOOKUP(D2172, County_Data_CZones!$B$2:$F$3236, 5, FALSE)</f>
        <v>Mixed-Humid</v>
      </c>
    </row>
    <row r="2173" ht="15.75" customHeight="1">
      <c r="A2173" s="32" t="s">
        <v>250</v>
      </c>
      <c r="B2173" s="32" t="s">
        <v>1457</v>
      </c>
      <c r="C2173" s="32" t="str">
        <f>vlookup(B2173,State_EMM_RowSums!$A$2:$B$52,2,FALSE)</f>
        <v>OK</v>
      </c>
      <c r="D2173" s="32">
        <v>40081.0</v>
      </c>
      <c r="E2173" s="33">
        <f>IF(NOT(ISBLANK(vlookup($D2173,Pop_Census_2023!$A$2:$E$3220,4,FALSE))),vlookup($D2173,Pop_Census_2023!$A$2:$E$3220,4,FALSE), vlookup($D2173,Pop_Census_2023!$A$2:$E$3220,5,FALSE))</f>
        <v>34562</v>
      </c>
      <c r="F2173" s="32">
        <v>1101828.0</v>
      </c>
      <c r="G2173" s="32">
        <v>50.0</v>
      </c>
      <c r="H2173" s="32" t="str">
        <f>VLOOKUP(D2173, Grid_Region_Mapping!$D$2:$F$5286, 3, FALSE)</f>
        <v>SPPS</v>
      </c>
      <c r="I2173" s="32">
        <v>7.0</v>
      </c>
      <c r="J2173" s="34" t="str">
        <f t="shared" si="1"/>
        <v>South</v>
      </c>
      <c r="K2173" s="35">
        <v>4.0</v>
      </c>
      <c r="L2173" s="35" t="s">
        <v>102</v>
      </c>
      <c r="M2173" s="36">
        <f>VLOOKUP(D2173, County_Data_CZones!$B$2:$F$3236, 2, FALSE)</f>
        <v>3</v>
      </c>
      <c r="N2173" s="37" t="str">
        <f>VLOOKUP(D2173, County_Data_CZones!$B$2:$F$3236, 5, FALSE)</f>
        <v>Mixed-Humid</v>
      </c>
    </row>
    <row r="2174" ht="15.75" customHeight="1">
      <c r="A2174" s="32" t="s">
        <v>252</v>
      </c>
      <c r="B2174" s="32" t="s">
        <v>1457</v>
      </c>
      <c r="C2174" s="32" t="str">
        <f>vlookup(B2174,State_EMM_RowSums!$A$2:$B$52,2,FALSE)</f>
        <v>OK</v>
      </c>
      <c r="D2174" s="32">
        <v>40083.0</v>
      </c>
      <c r="E2174" s="33">
        <f>IF(NOT(ISBLANK(vlookup($D2174,Pop_Census_2023!$A$2:$E$3220,4,FALSE))),vlookup($D2174,Pop_Census_2023!$A$2:$E$3220,4,FALSE), vlookup($D2174,Pop_Census_2023!$A$2:$E$3220,5,FALSE))</f>
        <v>53029</v>
      </c>
      <c r="F2174" s="32">
        <v>1101829.0</v>
      </c>
      <c r="G2174" s="32">
        <v>50.0</v>
      </c>
      <c r="H2174" s="32" t="str">
        <f>VLOOKUP(D2174, Grid_Region_Mapping!$D$2:$F$5286, 3, FALSE)</f>
        <v>SPPS</v>
      </c>
      <c r="I2174" s="32">
        <v>7.0</v>
      </c>
      <c r="J2174" s="34" t="str">
        <f t="shared" si="1"/>
        <v>South</v>
      </c>
      <c r="K2174" s="35">
        <v>5.0</v>
      </c>
      <c r="L2174" s="35" t="s">
        <v>102</v>
      </c>
      <c r="M2174" s="36">
        <f>VLOOKUP(D2174, County_Data_CZones!$B$2:$F$3236, 2, FALSE)</f>
        <v>3</v>
      </c>
      <c r="N2174" s="37" t="str">
        <f>VLOOKUP(D2174, County_Data_CZones!$B$2:$F$3236, 5, FALSE)</f>
        <v>Mixed-Humid</v>
      </c>
    </row>
    <row r="2175" ht="15.75" customHeight="1">
      <c r="A2175" s="32" t="s">
        <v>1477</v>
      </c>
      <c r="B2175" s="32" t="s">
        <v>1457</v>
      </c>
      <c r="C2175" s="32" t="str">
        <f>vlookup(B2175,State_EMM_RowSums!$A$2:$B$52,2,FALSE)</f>
        <v>OK</v>
      </c>
      <c r="D2175" s="32">
        <v>40085.0</v>
      </c>
      <c r="E2175" s="33">
        <f>IF(NOT(ISBLANK(vlookup($D2175,Pop_Census_2023!$A$2:$E$3220,4,FALSE))),vlookup($D2175,Pop_Census_2023!$A$2:$E$3220,4,FALSE), vlookup($D2175,Pop_Census_2023!$A$2:$E$3220,5,FALSE))</f>
        <v>10296</v>
      </c>
      <c r="F2175" s="32">
        <v>1101830.0</v>
      </c>
      <c r="G2175" s="32">
        <v>50.0</v>
      </c>
      <c r="H2175" s="32" t="str">
        <f>VLOOKUP(D2175, Grid_Region_Mapping!$D$2:$F$5286, 3, FALSE)</f>
        <v>SPPS</v>
      </c>
      <c r="I2175" s="32">
        <v>7.0</v>
      </c>
      <c r="J2175" s="34" t="str">
        <f t="shared" si="1"/>
        <v>South</v>
      </c>
      <c r="K2175" s="35">
        <v>5.0</v>
      </c>
      <c r="L2175" s="35" t="s">
        <v>102</v>
      </c>
      <c r="M2175" s="36">
        <f>VLOOKUP(D2175, County_Data_CZones!$B$2:$F$3236, 2, FALSE)</f>
        <v>3</v>
      </c>
      <c r="N2175" s="37" t="str">
        <f>VLOOKUP(D2175, County_Data_CZones!$B$2:$F$3236, 5, FALSE)</f>
        <v>Mixed-Humid</v>
      </c>
    </row>
    <row r="2176" ht="15.75" customHeight="1">
      <c r="A2176" s="32" t="s">
        <v>1478</v>
      </c>
      <c r="B2176" s="32" t="s">
        <v>1457</v>
      </c>
      <c r="C2176" s="32" t="str">
        <f>vlookup(B2176,State_EMM_RowSums!$A$2:$B$52,2,FALSE)</f>
        <v>OK</v>
      </c>
      <c r="D2176" s="32">
        <v>40087.0</v>
      </c>
      <c r="E2176" s="33">
        <f>IF(NOT(ISBLANK(vlookup($D2176,Pop_Census_2023!$A$2:$E$3220,4,FALSE))),vlookup($D2176,Pop_Census_2023!$A$2:$E$3220,4,FALSE), vlookup($D2176,Pop_Census_2023!$A$2:$E$3220,5,FALSE))</f>
        <v>47072</v>
      </c>
      <c r="F2176" s="32">
        <v>1101834.0</v>
      </c>
      <c r="G2176" s="32">
        <v>50.0</v>
      </c>
      <c r="H2176" s="32" t="str">
        <f>VLOOKUP(D2176, Grid_Region_Mapping!$D$2:$F$5286, 3, FALSE)</f>
        <v>SPPS</v>
      </c>
      <c r="I2176" s="32">
        <v>7.0</v>
      </c>
      <c r="J2176" s="34" t="str">
        <f t="shared" si="1"/>
        <v>South</v>
      </c>
      <c r="K2176" s="35">
        <v>5.0</v>
      </c>
      <c r="L2176" s="35" t="s">
        <v>102</v>
      </c>
      <c r="M2176" s="36">
        <f>VLOOKUP(D2176, County_Data_CZones!$B$2:$F$3236, 2, FALSE)</f>
        <v>3</v>
      </c>
      <c r="N2176" s="37" t="str">
        <f>VLOOKUP(D2176, County_Data_CZones!$B$2:$F$3236, 5, FALSE)</f>
        <v>Mixed-Humid</v>
      </c>
    </row>
    <row r="2177" ht="15.75" customHeight="1">
      <c r="A2177" s="32" t="s">
        <v>1479</v>
      </c>
      <c r="B2177" s="32" t="s">
        <v>1457</v>
      </c>
      <c r="C2177" s="32" t="str">
        <f>vlookup(B2177,State_EMM_RowSums!$A$2:$B$52,2,FALSE)</f>
        <v>OK</v>
      </c>
      <c r="D2177" s="32">
        <v>40089.0</v>
      </c>
      <c r="E2177" s="33">
        <f>IF(NOT(ISBLANK(vlookup($D2177,Pop_Census_2023!$A$2:$E$3220,4,FALSE))),vlookup($D2177,Pop_Census_2023!$A$2:$E$3220,4,FALSE), vlookup($D2177,Pop_Census_2023!$A$2:$E$3220,5,FALSE))</f>
        <v>30660</v>
      </c>
      <c r="F2177" s="32">
        <v>1101835.0</v>
      </c>
      <c r="G2177" s="32">
        <v>50.0</v>
      </c>
      <c r="H2177" s="32" t="str">
        <f>VLOOKUP(D2177, Grid_Region_Mapping!$D$2:$F$5286, 3, FALSE)</f>
        <v>SPPS</v>
      </c>
      <c r="I2177" s="32">
        <v>7.0</v>
      </c>
      <c r="J2177" s="34" t="str">
        <f t="shared" si="1"/>
        <v>South</v>
      </c>
      <c r="K2177" s="35">
        <v>4.0</v>
      </c>
      <c r="L2177" s="35" t="s">
        <v>102</v>
      </c>
      <c r="M2177" s="36">
        <f>VLOOKUP(D2177, County_Data_CZones!$B$2:$F$3236, 2, FALSE)</f>
        <v>3</v>
      </c>
      <c r="N2177" s="37" t="str">
        <f>VLOOKUP(D2177, County_Data_CZones!$B$2:$F$3236, 5, FALSE)</f>
        <v>Mixed-Humid</v>
      </c>
    </row>
    <row r="2178" ht="15.75" customHeight="1">
      <c r="A2178" s="32" t="s">
        <v>527</v>
      </c>
      <c r="B2178" s="32" t="s">
        <v>1457</v>
      </c>
      <c r="C2178" s="32" t="str">
        <f>vlookup(B2178,State_EMM_RowSums!$A$2:$B$52,2,FALSE)</f>
        <v>OK</v>
      </c>
      <c r="D2178" s="32">
        <v>40091.0</v>
      </c>
      <c r="E2178" s="33">
        <f>IF(NOT(ISBLANK(vlookup($D2178,Pop_Census_2023!$A$2:$E$3220,4,FALSE))),vlookup($D2178,Pop_Census_2023!$A$2:$E$3220,4,FALSE), vlookup($D2178,Pop_Census_2023!$A$2:$E$3220,5,FALSE))</f>
        <v>19603</v>
      </c>
      <c r="F2178" s="32">
        <v>1101836.0</v>
      </c>
      <c r="G2178" s="32">
        <v>50.0</v>
      </c>
      <c r="H2178" s="32" t="str">
        <f>VLOOKUP(D2178, Grid_Region_Mapping!$D$2:$F$5286, 3, FALSE)</f>
        <v>SPPS</v>
      </c>
      <c r="I2178" s="32">
        <v>7.0</v>
      </c>
      <c r="J2178" s="34" t="str">
        <f t="shared" si="1"/>
        <v>South</v>
      </c>
      <c r="K2178" s="35">
        <v>5.0</v>
      </c>
      <c r="L2178" s="35" t="s">
        <v>102</v>
      </c>
      <c r="M2178" s="36">
        <f>VLOOKUP(D2178, County_Data_CZones!$B$2:$F$3236, 2, FALSE)</f>
        <v>3</v>
      </c>
      <c r="N2178" s="37" t="str">
        <f>VLOOKUP(D2178, County_Data_CZones!$B$2:$F$3236, 5, FALSE)</f>
        <v>Mixed-Humid</v>
      </c>
    </row>
    <row r="2179" ht="15.75" customHeight="1">
      <c r="A2179" s="32" t="s">
        <v>1480</v>
      </c>
      <c r="B2179" s="32" t="s">
        <v>1457</v>
      </c>
      <c r="C2179" s="32" t="str">
        <f>vlookup(B2179,State_EMM_RowSums!$A$2:$B$52,2,FALSE)</f>
        <v>OK</v>
      </c>
      <c r="D2179" s="32">
        <v>40093.0</v>
      </c>
      <c r="E2179" s="33">
        <f>IF(NOT(ISBLANK(vlookup($D2179,Pop_Census_2023!$A$2:$E$3220,4,FALSE))),vlookup($D2179,Pop_Census_2023!$A$2:$E$3220,4,FALSE), vlookup($D2179,Pop_Census_2023!$A$2:$E$3220,5,FALSE))</f>
        <v>7581</v>
      </c>
      <c r="F2179" s="32">
        <v>1101831.0</v>
      </c>
      <c r="G2179" s="32">
        <v>50.0</v>
      </c>
      <c r="H2179" s="32" t="str">
        <f>VLOOKUP(D2179, Grid_Region_Mapping!$D$2:$F$5286, 3, FALSE)</f>
        <v>SPPS</v>
      </c>
      <c r="I2179" s="32">
        <v>7.0</v>
      </c>
      <c r="J2179" s="34" t="str">
        <f t="shared" si="1"/>
        <v>South</v>
      </c>
      <c r="K2179" s="35">
        <v>3.0</v>
      </c>
      <c r="L2179" s="35" t="s">
        <v>102</v>
      </c>
      <c r="M2179" s="36">
        <f>VLOOKUP(D2179, County_Data_CZones!$B$2:$F$3236, 2, FALSE)</f>
        <v>3</v>
      </c>
      <c r="N2179" s="37" t="str">
        <f>VLOOKUP(D2179, County_Data_CZones!$B$2:$F$3236, 5, FALSE)</f>
        <v>Mixed-Humid</v>
      </c>
    </row>
    <row r="2180" ht="15.75" customHeight="1">
      <c r="A2180" s="32" t="s">
        <v>150</v>
      </c>
      <c r="B2180" s="32" t="s">
        <v>1457</v>
      </c>
      <c r="C2180" s="32" t="str">
        <f>vlookup(B2180,State_EMM_RowSums!$A$2:$B$52,2,FALSE)</f>
        <v>OK</v>
      </c>
      <c r="D2180" s="32">
        <v>40095.0</v>
      </c>
      <c r="E2180" s="33">
        <f>IF(NOT(ISBLANK(vlookup($D2180,Pop_Census_2023!$A$2:$E$3220,4,FALSE))),vlookup($D2180,Pop_Census_2023!$A$2:$E$3220,4,FALSE), vlookup($D2180,Pop_Census_2023!$A$2:$E$3220,5,FALSE))</f>
        <v>15970</v>
      </c>
      <c r="F2180" s="32">
        <v>1101832.0</v>
      </c>
      <c r="G2180" s="32">
        <v>50.0</v>
      </c>
      <c r="H2180" s="32" t="str">
        <f>VLOOKUP(D2180, Grid_Region_Mapping!$D$2:$F$5286, 3, FALSE)</f>
        <v>SPPS</v>
      </c>
      <c r="I2180" s="32">
        <v>7.0</v>
      </c>
      <c r="J2180" s="34" t="str">
        <f t="shared" si="1"/>
        <v>South</v>
      </c>
      <c r="K2180" s="35">
        <v>5.0</v>
      </c>
      <c r="L2180" s="35" t="s">
        <v>102</v>
      </c>
      <c r="M2180" s="36">
        <f>VLOOKUP(D2180, County_Data_CZones!$B$2:$F$3236, 2, FALSE)</f>
        <v>3</v>
      </c>
      <c r="N2180" s="37" t="str">
        <f>VLOOKUP(D2180, County_Data_CZones!$B$2:$F$3236, 5, FALSE)</f>
        <v>Mixed-Humid</v>
      </c>
    </row>
    <row r="2181" ht="15.75" customHeight="1">
      <c r="A2181" s="32" t="s">
        <v>1481</v>
      </c>
      <c r="B2181" s="32" t="s">
        <v>1457</v>
      </c>
      <c r="C2181" s="32" t="str">
        <f>vlookup(B2181,State_EMM_RowSums!$A$2:$B$52,2,FALSE)</f>
        <v>OK</v>
      </c>
      <c r="D2181" s="32">
        <v>40097.0</v>
      </c>
      <c r="E2181" s="33">
        <f>IF(NOT(ISBLANK(vlookup($D2181,Pop_Census_2023!$A$2:$E$3220,4,FALSE))),vlookup($D2181,Pop_Census_2023!$A$2:$E$3220,4,FALSE), vlookup($D2181,Pop_Census_2023!$A$2:$E$3220,5,FALSE))</f>
        <v>39889</v>
      </c>
      <c r="F2181" s="32">
        <v>1101833.0</v>
      </c>
      <c r="G2181" s="32">
        <v>51.0</v>
      </c>
      <c r="H2181" s="32" t="str">
        <f>VLOOKUP(D2181, Grid_Region_Mapping!$D$2:$F$5286, 3, FALSE)</f>
        <v>SPPS</v>
      </c>
      <c r="I2181" s="32">
        <v>7.0</v>
      </c>
      <c r="J2181" s="34" t="str">
        <f t="shared" si="1"/>
        <v>South</v>
      </c>
      <c r="K2181" s="35">
        <v>4.0</v>
      </c>
      <c r="L2181" s="35" t="s">
        <v>102</v>
      </c>
      <c r="M2181" s="36">
        <f>VLOOKUP(D2181, County_Data_CZones!$B$2:$F$3236, 2, FALSE)</f>
        <v>3</v>
      </c>
      <c r="N2181" s="37" t="str">
        <f>VLOOKUP(D2181, County_Data_CZones!$B$2:$F$3236, 5, FALSE)</f>
        <v>Mixed-Humid</v>
      </c>
    </row>
    <row r="2182" ht="15.75" customHeight="1">
      <c r="A2182" s="32" t="s">
        <v>530</v>
      </c>
      <c r="B2182" s="32" t="s">
        <v>1457</v>
      </c>
      <c r="C2182" s="32" t="str">
        <f>vlookup(B2182,State_EMM_RowSums!$A$2:$B$52,2,FALSE)</f>
        <v>OK</v>
      </c>
      <c r="D2182" s="32">
        <v>40099.0</v>
      </c>
      <c r="E2182" s="33">
        <f>IF(NOT(ISBLANK(vlookup($D2182,Pop_Census_2023!$A$2:$E$3220,4,FALSE))),vlookup($D2182,Pop_Census_2023!$A$2:$E$3220,4,FALSE), vlookup($D2182,Pop_Census_2023!$A$2:$E$3220,5,FALSE))</f>
        <v>13754</v>
      </c>
      <c r="F2182" s="32">
        <v>1101837.0</v>
      </c>
      <c r="G2182" s="32">
        <v>50.0</v>
      </c>
      <c r="H2182" s="32" t="str">
        <f>VLOOKUP(D2182, Grid_Region_Mapping!$D$2:$F$5286, 3, FALSE)</f>
        <v>SPPS</v>
      </c>
      <c r="I2182" s="32">
        <v>7.0</v>
      </c>
      <c r="J2182" s="34" t="str">
        <f t="shared" si="1"/>
        <v>South</v>
      </c>
      <c r="K2182" s="35">
        <v>4.0</v>
      </c>
      <c r="L2182" s="35" t="s">
        <v>102</v>
      </c>
      <c r="M2182" s="36">
        <f>VLOOKUP(D2182, County_Data_CZones!$B$2:$F$3236, 2, FALSE)</f>
        <v>3</v>
      </c>
      <c r="N2182" s="37" t="str">
        <f>VLOOKUP(D2182, County_Data_CZones!$B$2:$F$3236, 5, FALSE)</f>
        <v>Mixed-Humid</v>
      </c>
    </row>
    <row r="2183" ht="15.75" customHeight="1">
      <c r="A2183" s="32" t="s">
        <v>1482</v>
      </c>
      <c r="B2183" s="32" t="s">
        <v>1457</v>
      </c>
      <c r="C2183" s="32" t="str">
        <f>vlookup(B2183,State_EMM_RowSums!$A$2:$B$52,2,FALSE)</f>
        <v>OK</v>
      </c>
      <c r="D2183" s="32">
        <v>40101.0</v>
      </c>
      <c r="E2183" s="33">
        <f>IF(NOT(ISBLANK(vlookup($D2183,Pop_Census_2023!$A$2:$E$3220,4,FALSE))),vlookup($D2183,Pop_Census_2023!$A$2:$E$3220,4,FALSE), vlookup($D2183,Pop_Census_2023!$A$2:$E$3220,5,FALSE))</f>
        <v>66677</v>
      </c>
      <c r="F2183" s="32">
        <v>1101838.0</v>
      </c>
      <c r="G2183" s="32">
        <v>51.0</v>
      </c>
      <c r="H2183" s="32" t="str">
        <f>VLOOKUP(D2183, Grid_Region_Mapping!$D$2:$F$5286, 3, FALSE)</f>
        <v>SPPS</v>
      </c>
      <c r="I2183" s="32">
        <v>7.0</v>
      </c>
      <c r="J2183" s="34" t="str">
        <f t="shared" si="1"/>
        <v>South</v>
      </c>
      <c r="K2183" s="35">
        <v>4.0</v>
      </c>
      <c r="L2183" s="35" t="s">
        <v>102</v>
      </c>
      <c r="M2183" s="36">
        <f>VLOOKUP(D2183, County_Data_CZones!$B$2:$F$3236, 2, FALSE)</f>
        <v>3</v>
      </c>
      <c r="N2183" s="37" t="str">
        <f>VLOOKUP(D2183, County_Data_CZones!$B$2:$F$3236, 5, FALSE)</f>
        <v>Mixed-Humid</v>
      </c>
    </row>
    <row r="2184" ht="15.75" customHeight="1">
      <c r="A2184" s="32" t="s">
        <v>682</v>
      </c>
      <c r="B2184" s="32" t="s">
        <v>1457</v>
      </c>
      <c r="C2184" s="32" t="str">
        <f>vlookup(B2184,State_EMM_RowSums!$A$2:$B$52,2,FALSE)</f>
        <v>OK</v>
      </c>
      <c r="D2184" s="32">
        <v>40103.0</v>
      </c>
      <c r="E2184" s="33">
        <f>IF(NOT(ISBLANK(vlookup($D2184,Pop_Census_2023!$A$2:$E$3220,4,FALSE))),vlookup($D2184,Pop_Census_2023!$A$2:$E$3220,4,FALSE), vlookup($D2184,Pop_Census_2023!$A$2:$E$3220,5,FALSE))</f>
        <v>10832</v>
      </c>
      <c r="F2184" s="32">
        <v>1101839.0</v>
      </c>
      <c r="G2184" s="32">
        <v>50.0</v>
      </c>
      <c r="H2184" s="32" t="str">
        <f>VLOOKUP(D2184, Grid_Region_Mapping!$D$2:$F$5286, 3, FALSE)</f>
        <v>SPPS</v>
      </c>
      <c r="I2184" s="32">
        <v>7.0</v>
      </c>
      <c r="J2184" s="34" t="str">
        <f t="shared" si="1"/>
        <v>South</v>
      </c>
      <c r="K2184" s="35">
        <v>4.0</v>
      </c>
      <c r="L2184" s="35" t="s">
        <v>102</v>
      </c>
      <c r="M2184" s="36">
        <f>VLOOKUP(D2184, County_Data_CZones!$B$2:$F$3236, 2, FALSE)</f>
        <v>3</v>
      </c>
      <c r="N2184" s="37" t="str">
        <f>VLOOKUP(D2184, County_Data_CZones!$B$2:$F$3236, 5, FALSE)</f>
        <v>Mixed-Humid</v>
      </c>
    </row>
    <row r="2185" ht="15.75" customHeight="1">
      <c r="A2185" s="32" t="s">
        <v>1483</v>
      </c>
      <c r="B2185" s="32" t="s">
        <v>1457</v>
      </c>
      <c r="C2185" s="32" t="str">
        <f>vlookup(B2185,State_EMM_RowSums!$A$2:$B$52,2,FALSE)</f>
        <v>OK</v>
      </c>
      <c r="D2185" s="32">
        <v>40105.0</v>
      </c>
      <c r="E2185" s="33">
        <f>IF(NOT(ISBLANK(vlookup($D2185,Pop_Census_2023!$A$2:$E$3220,4,FALSE))),vlookup($D2185,Pop_Census_2023!$A$2:$E$3220,4,FALSE), vlookup($D2185,Pop_Census_2023!$A$2:$E$3220,5,FALSE))</f>
        <v>9438</v>
      </c>
      <c r="F2185" s="32">
        <v>1101840.0</v>
      </c>
      <c r="G2185" s="32">
        <v>51.0</v>
      </c>
      <c r="H2185" s="32" t="str">
        <f>VLOOKUP(D2185, Grid_Region_Mapping!$D$2:$F$5286, 3, FALSE)</f>
        <v>SPPS</v>
      </c>
      <c r="I2185" s="32">
        <v>7.0</v>
      </c>
      <c r="J2185" s="34" t="str">
        <f t="shared" si="1"/>
        <v>South</v>
      </c>
      <c r="K2185" s="35">
        <v>3.0</v>
      </c>
      <c r="L2185" s="35" t="s">
        <v>102</v>
      </c>
      <c r="M2185" s="36">
        <f>VLOOKUP(D2185, County_Data_CZones!$B$2:$F$3236, 2, FALSE)</f>
        <v>3</v>
      </c>
      <c r="N2185" s="37" t="str">
        <f>VLOOKUP(D2185, County_Data_CZones!$B$2:$F$3236, 5, FALSE)</f>
        <v>Mixed-Humid</v>
      </c>
    </row>
    <row r="2186" ht="15.75" customHeight="1">
      <c r="A2186" s="32" t="s">
        <v>1484</v>
      </c>
      <c r="B2186" s="32" t="s">
        <v>1457</v>
      </c>
      <c r="C2186" s="32" t="str">
        <f>vlookup(B2186,State_EMM_RowSums!$A$2:$B$52,2,FALSE)</f>
        <v>OK</v>
      </c>
      <c r="D2186" s="32">
        <v>40107.0</v>
      </c>
      <c r="E2186" s="33">
        <f>IF(NOT(ISBLANK(vlookup($D2186,Pop_Census_2023!$A$2:$E$3220,4,FALSE))),vlookup($D2186,Pop_Census_2023!$A$2:$E$3220,4,FALSE), vlookup($D2186,Pop_Census_2023!$A$2:$E$3220,5,FALSE))</f>
        <v>11300</v>
      </c>
      <c r="F2186" s="32">
        <v>1101841.0</v>
      </c>
      <c r="G2186" s="32">
        <v>50.0</v>
      </c>
      <c r="H2186" s="32" t="str">
        <f>VLOOKUP(D2186, Grid_Region_Mapping!$D$2:$F$5286, 3, FALSE)</f>
        <v>SPPS</v>
      </c>
      <c r="I2186" s="32">
        <v>7.0</v>
      </c>
      <c r="J2186" s="34" t="str">
        <f t="shared" si="1"/>
        <v>South</v>
      </c>
      <c r="K2186" s="35">
        <v>4.0</v>
      </c>
      <c r="L2186" s="35" t="s">
        <v>102</v>
      </c>
      <c r="M2186" s="36">
        <f>VLOOKUP(D2186, County_Data_CZones!$B$2:$F$3236, 2, FALSE)</f>
        <v>3</v>
      </c>
      <c r="N2186" s="37" t="str">
        <f>VLOOKUP(D2186, County_Data_CZones!$B$2:$F$3236, 5, FALSE)</f>
        <v>Mixed-Humid</v>
      </c>
    </row>
    <row r="2187" ht="15.75" customHeight="1">
      <c r="A2187" s="32" t="s">
        <v>1457</v>
      </c>
      <c r="B2187" s="32" t="s">
        <v>1457</v>
      </c>
      <c r="C2187" s="32" t="str">
        <f>vlookup(B2187,State_EMM_RowSums!$A$2:$B$52,2,FALSE)</f>
        <v>OK</v>
      </c>
      <c r="D2187" s="32">
        <v>40109.0</v>
      </c>
      <c r="E2187" s="33">
        <f>IF(NOT(ISBLANK(vlookup($D2187,Pop_Census_2023!$A$2:$E$3220,4,FALSE))),vlookup($D2187,Pop_Census_2023!$A$2:$E$3220,4,FALSE), vlookup($D2187,Pop_Census_2023!$A$2:$E$3220,5,FALSE))</f>
        <v>808866</v>
      </c>
      <c r="F2187" s="32">
        <v>1101842.0</v>
      </c>
      <c r="G2187" s="32">
        <v>50.0</v>
      </c>
      <c r="H2187" s="32" t="str">
        <f>VLOOKUP(D2187, Grid_Region_Mapping!$D$2:$F$5286, 3, FALSE)</f>
        <v>SPPS</v>
      </c>
      <c r="I2187" s="32">
        <v>7.0</v>
      </c>
      <c r="J2187" s="34" t="str">
        <f t="shared" si="1"/>
        <v>South</v>
      </c>
      <c r="K2187" s="35">
        <v>4.0</v>
      </c>
      <c r="L2187" s="35" t="s">
        <v>102</v>
      </c>
      <c r="M2187" s="36">
        <f>VLOOKUP(D2187, County_Data_CZones!$B$2:$F$3236, 2, FALSE)</f>
        <v>3</v>
      </c>
      <c r="N2187" s="37" t="str">
        <f>VLOOKUP(D2187, County_Data_CZones!$B$2:$F$3236, 5, FALSE)</f>
        <v>Mixed-Humid</v>
      </c>
    </row>
    <row r="2188" ht="15.75" customHeight="1">
      <c r="A2188" s="32" t="s">
        <v>1485</v>
      </c>
      <c r="B2188" s="32" t="s">
        <v>1457</v>
      </c>
      <c r="C2188" s="32" t="str">
        <f>vlookup(B2188,State_EMM_RowSums!$A$2:$B$52,2,FALSE)</f>
        <v>OK</v>
      </c>
      <c r="D2188" s="32">
        <v>40111.0</v>
      </c>
      <c r="E2188" s="33">
        <f>IF(NOT(ISBLANK(vlookup($D2188,Pop_Census_2023!$A$2:$E$3220,4,FALSE))),vlookup($D2188,Pop_Census_2023!$A$2:$E$3220,4,FALSE), vlookup($D2188,Pop_Census_2023!$A$2:$E$3220,5,FALSE))</f>
        <v>37035</v>
      </c>
      <c r="F2188" s="32">
        <v>1101843.0</v>
      </c>
      <c r="G2188" s="32">
        <v>51.0</v>
      </c>
      <c r="H2188" s="32" t="str">
        <f>VLOOKUP(D2188, Grid_Region_Mapping!$D$2:$F$5286, 3, FALSE)</f>
        <v>SPPS</v>
      </c>
      <c r="I2188" s="32">
        <v>7.0</v>
      </c>
      <c r="J2188" s="34" t="str">
        <f t="shared" si="1"/>
        <v>South</v>
      </c>
      <c r="K2188" s="35">
        <v>4.0</v>
      </c>
      <c r="L2188" s="35" t="s">
        <v>102</v>
      </c>
      <c r="M2188" s="36">
        <f>VLOOKUP(D2188, County_Data_CZones!$B$2:$F$3236, 2, FALSE)</f>
        <v>3</v>
      </c>
      <c r="N2188" s="37" t="str">
        <f>VLOOKUP(D2188, County_Data_CZones!$B$2:$F$3236, 5, FALSE)</f>
        <v>Mixed-Humid</v>
      </c>
    </row>
    <row r="2189" ht="15.75" customHeight="1">
      <c r="A2189" s="32" t="s">
        <v>790</v>
      </c>
      <c r="B2189" s="32" t="s">
        <v>1457</v>
      </c>
      <c r="C2189" s="32" t="str">
        <f>vlookup(B2189,State_EMM_RowSums!$A$2:$B$52,2,FALSE)</f>
        <v>OK</v>
      </c>
      <c r="D2189" s="32">
        <v>40113.0</v>
      </c>
      <c r="E2189" s="33">
        <f>IF(NOT(ISBLANK(vlookup($D2189,Pop_Census_2023!$A$2:$E$3220,4,FALSE))),vlookup($D2189,Pop_Census_2023!$A$2:$E$3220,4,FALSE), vlookup($D2189,Pop_Census_2023!$A$2:$E$3220,5,FALSE))</f>
        <v>46130</v>
      </c>
      <c r="F2189" s="32">
        <v>1101844.0</v>
      </c>
      <c r="G2189" s="32">
        <v>51.0</v>
      </c>
      <c r="H2189" s="32" t="str">
        <f>VLOOKUP(D2189, Grid_Region_Mapping!$D$2:$F$5286, 3, FALSE)</f>
        <v>SPPS</v>
      </c>
      <c r="I2189" s="32">
        <v>7.0</v>
      </c>
      <c r="J2189" s="34" t="str">
        <f t="shared" si="1"/>
        <v>South</v>
      </c>
      <c r="K2189" s="35">
        <v>4.0</v>
      </c>
      <c r="L2189" s="35" t="s">
        <v>102</v>
      </c>
      <c r="M2189" s="36">
        <f>VLOOKUP(D2189, County_Data_CZones!$B$2:$F$3236, 2, FALSE)</f>
        <v>3</v>
      </c>
      <c r="N2189" s="37" t="str">
        <f>VLOOKUP(D2189, County_Data_CZones!$B$2:$F$3236, 5, FALSE)</f>
        <v>Mixed-Humid</v>
      </c>
    </row>
    <row r="2190" ht="15.75" customHeight="1">
      <c r="A2190" s="32" t="s">
        <v>792</v>
      </c>
      <c r="B2190" s="32" t="s">
        <v>1457</v>
      </c>
      <c r="C2190" s="32" t="str">
        <f>vlookup(B2190,State_EMM_RowSums!$A$2:$B$52,2,FALSE)</f>
        <v>OK</v>
      </c>
      <c r="D2190" s="32">
        <v>40115.0</v>
      </c>
      <c r="E2190" s="33">
        <f>IF(NOT(ISBLANK(vlookup($D2190,Pop_Census_2023!$A$2:$E$3220,4,FALSE))),vlookup($D2190,Pop_Census_2023!$A$2:$E$3220,4,FALSE), vlookup($D2190,Pop_Census_2023!$A$2:$E$3220,5,FALSE))</f>
        <v>30287</v>
      </c>
      <c r="F2190" s="32">
        <v>1101845.0</v>
      </c>
      <c r="G2190" s="32">
        <v>51.0</v>
      </c>
      <c r="H2190" s="32" t="str">
        <f>VLOOKUP(D2190, Grid_Region_Mapping!$D$2:$F$5286, 3, FALSE)</f>
        <v>SPPS</v>
      </c>
      <c r="I2190" s="32">
        <v>7.0</v>
      </c>
      <c r="J2190" s="34" t="str">
        <f t="shared" si="1"/>
        <v>South</v>
      </c>
      <c r="K2190" s="35">
        <v>3.0</v>
      </c>
      <c r="L2190" s="35" t="s">
        <v>102</v>
      </c>
      <c r="M2190" s="36">
        <f>VLOOKUP(D2190, County_Data_CZones!$B$2:$F$3236, 2, FALSE)</f>
        <v>3</v>
      </c>
      <c r="N2190" s="37" t="str">
        <f>VLOOKUP(D2190, County_Data_CZones!$B$2:$F$3236, 5, FALSE)</f>
        <v>Mixed-Humid</v>
      </c>
    </row>
    <row r="2191" ht="15.75" customHeight="1">
      <c r="A2191" s="32" t="s">
        <v>793</v>
      </c>
      <c r="B2191" s="32" t="s">
        <v>1457</v>
      </c>
      <c r="C2191" s="32" t="str">
        <f>vlookup(B2191,State_EMM_RowSums!$A$2:$B$52,2,FALSE)</f>
        <v>OK</v>
      </c>
      <c r="D2191" s="32">
        <v>40117.0</v>
      </c>
      <c r="E2191" s="33">
        <f>IF(NOT(ISBLANK(vlookup($D2191,Pop_Census_2023!$A$2:$E$3220,4,FALSE))),vlookup($D2191,Pop_Census_2023!$A$2:$E$3220,4,FALSE), vlookup($D2191,Pop_Census_2023!$A$2:$E$3220,5,FALSE))</f>
        <v>15864</v>
      </c>
      <c r="F2191" s="32">
        <v>1101846.0</v>
      </c>
      <c r="G2191" s="32">
        <v>50.0</v>
      </c>
      <c r="H2191" s="32" t="str">
        <f>VLOOKUP(D2191, Grid_Region_Mapping!$D$2:$F$5286, 3, FALSE)</f>
        <v>SPPS</v>
      </c>
      <c r="I2191" s="32">
        <v>7.0</v>
      </c>
      <c r="J2191" s="34" t="str">
        <f t="shared" si="1"/>
        <v>South</v>
      </c>
      <c r="K2191" s="35">
        <v>4.0</v>
      </c>
      <c r="L2191" s="35" t="s">
        <v>102</v>
      </c>
      <c r="M2191" s="36">
        <f>VLOOKUP(D2191, County_Data_CZones!$B$2:$F$3236, 2, FALSE)</f>
        <v>3</v>
      </c>
      <c r="N2191" s="37" t="str">
        <f>VLOOKUP(D2191, County_Data_CZones!$B$2:$F$3236, 5, FALSE)</f>
        <v>Mixed-Humid</v>
      </c>
    </row>
    <row r="2192" ht="15.75" customHeight="1">
      <c r="A2192" s="32" t="s">
        <v>1486</v>
      </c>
      <c r="B2192" s="32" t="s">
        <v>1457</v>
      </c>
      <c r="C2192" s="32" t="str">
        <f>vlookup(B2192,State_EMM_RowSums!$A$2:$B$52,2,FALSE)</f>
        <v>OK</v>
      </c>
      <c r="D2192" s="32">
        <v>40119.0</v>
      </c>
      <c r="E2192" s="33">
        <f>IF(NOT(ISBLANK(vlookup($D2192,Pop_Census_2023!$A$2:$E$3220,4,FALSE))),vlookup($D2192,Pop_Census_2023!$A$2:$E$3220,4,FALSE), vlookup($D2192,Pop_Census_2023!$A$2:$E$3220,5,FALSE))</f>
        <v>83352</v>
      </c>
      <c r="F2192" s="32">
        <v>1101847.0</v>
      </c>
      <c r="G2192" s="32">
        <v>50.0</v>
      </c>
      <c r="H2192" s="32" t="str">
        <f>VLOOKUP(D2192, Grid_Region_Mapping!$D$2:$F$5286, 3, FALSE)</f>
        <v>SPPS</v>
      </c>
      <c r="I2192" s="32">
        <v>7.0</v>
      </c>
      <c r="J2192" s="34" t="str">
        <f t="shared" si="1"/>
        <v>South</v>
      </c>
      <c r="K2192" s="35">
        <v>4.0</v>
      </c>
      <c r="L2192" s="35" t="s">
        <v>102</v>
      </c>
      <c r="M2192" s="36">
        <f>VLOOKUP(D2192, County_Data_CZones!$B$2:$F$3236, 2, FALSE)</f>
        <v>3</v>
      </c>
      <c r="N2192" s="37" t="str">
        <f>VLOOKUP(D2192, County_Data_CZones!$B$2:$F$3236, 5, FALSE)</f>
        <v>Mixed-Humid</v>
      </c>
    </row>
    <row r="2193" ht="15.75" customHeight="1">
      <c r="A2193" s="32" t="s">
        <v>1487</v>
      </c>
      <c r="B2193" s="32" t="s">
        <v>1457</v>
      </c>
      <c r="C2193" s="32" t="str">
        <f>vlookup(B2193,State_EMM_RowSums!$A$2:$B$52,2,FALSE)</f>
        <v>OK</v>
      </c>
      <c r="D2193" s="32">
        <v>40121.0</v>
      </c>
      <c r="E2193" s="33">
        <f>IF(NOT(ISBLANK(vlookup($D2193,Pop_Census_2023!$A$2:$E$3220,4,FALSE))),vlookup($D2193,Pop_Census_2023!$A$2:$E$3220,4,FALSE), vlookup($D2193,Pop_Census_2023!$A$2:$E$3220,5,FALSE))</f>
        <v>43479</v>
      </c>
      <c r="F2193" s="32">
        <v>1101848.0</v>
      </c>
      <c r="G2193" s="32">
        <v>50.0</v>
      </c>
      <c r="H2193" s="32" t="str">
        <f>VLOOKUP(D2193, Grid_Region_Mapping!$D$2:$F$5286, 3, FALSE)</f>
        <v>SPPS</v>
      </c>
      <c r="I2193" s="32">
        <v>7.0</v>
      </c>
      <c r="J2193" s="34" t="str">
        <f t="shared" si="1"/>
        <v>South</v>
      </c>
      <c r="K2193" s="35">
        <v>4.0</v>
      </c>
      <c r="L2193" s="35" t="s">
        <v>102</v>
      </c>
      <c r="M2193" s="36">
        <f>VLOOKUP(D2193, County_Data_CZones!$B$2:$F$3236, 2, FALSE)</f>
        <v>3</v>
      </c>
      <c r="N2193" s="37" t="str">
        <f>VLOOKUP(D2193, County_Data_CZones!$B$2:$F$3236, 5, FALSE)</f>
        <v>Mixed-Humid</v>
      </c>
    </row>
    <row r="2194" ht="15.75" customHeight="1">
      <c r="A2194" s="32" t="s">
        <v>1108</v>
      </c>
      <c r="B2194" s="32" t="s">
        <v>1457</v>
      </c>
      <c r="C2194" s="32" t="str">
        <f>vlookup(B2194,State_EMM_RowSums!$A$2:$B$52,2,FALSE)</f>
        <v>OK</v>
      </c>
      <c r="D2194" s="32">
        <v>40123.0</v>
      </c>
      <c r="E2194" s="33">
        <f>IF(NOT(ISBLANK(vlookup($D2194,Pop_Census_2023!$A$2:$E$3220,4,FALSE))),vlookup($D2194,Pop_Census_2023!$A$2:$E$3220,4,FALSE), vlookup($D2194,Pop_Census_2023!$A$2:$E$3220,5,FALSE))</f>
        <v>38396</v>
      </c>
      <c r="F2194" s="32">
        <v>1101849.0</v>
      </c>
      <c r="G2194" s="32">
        <v>50.0</v>
      </c>
      <c r="H2194" s="32" t="str">
        <f>VLOOKUP(D2194, Grid_Region_Mapping!$D$2:$F$5286, 3, FALSE)</f>
        <v>SPPS</v>
      </c>
      <c r="I2194" s="32">
        <v>7.0</v>
      </c>
      <c r="J2194" s="34" t="str">
        <f t="shared" si="1"/>
        <v>South</v>
      </c>
      <c r="K2194" s="35">
        <v>4.0</v>
      </c>
      <c r="L2194" s="35" t="s">
        <v>102</v>
      </c>
      <c r="M2194" s="36">
        <f>VLOOKUP(D2194, County_Data_CZones!$B$2:$F$3236, 2, FALSE)</f>
        <v>3</v>
      </c>
      <c r="N2194" s="37" t="str">
        <f>VLOOKUP(D2194, County_Data_CZones!$B$2:$F$3236, 5, FALSE)</f>
        <v>Mixed-Humid</v>
      </c>
    </row>
    <row r="2195" ht="15.75" customHeight="1">
      <c r="A2195" s="32" t="s">
        <v>794</v>
      </c>
      <c r="B2195" s="32" t="s">
        <v>1457</v>
      </c>
      <c r="C2195" s="32" t="str">
        <f>vlookup(B2195,State_EMM_RowSums!$A$2:$B$52,2,FALSE)</f>
        <v>OK</v>
      </c>
      <c r="D2195" s="32">
        <v>40125.0</v>
      </c>
      <c r="E2195" s="33">
        <f>IF(NOT(ISBLANK(vlookup($D2195,Pop_Census_2023!$A$2:$E$3220,4,FALSE))),vlookup($D2195,Pop_Census_2023!$A$2:$E$3220,4,FALSE), vlookup($D2195,Pop_Census_2023!$A$2:$E$3220,5,FALSE))</f>
        <v>73791</v>
      </c>
      <c r="F2195" s="32">
        <v>1101850.0</v>
      </c>
      <c r="G2195" s="32">
        <v>50.0</v>
      </c>
      <c r="H2195" s="32" t="str">
        <f>VLOOKUP(D2195, Grid_Region_Mapping!$D$2:$F$5286, 3, FALSE)</f>
        <v>SPPS</v>
      </c>
      <c r="I2195" s="32">
        <v>7.0</v>
      </c>
      <c r="J2195" s="34" t="str">
        <f t="shared" si="1"/>
        <v>South</v>
      </c>
      <c r="K2195" s="35">
        <v>4.0</v>
      </c>
      <c r="L2195" s="35" t="s">
        <v>102</v>
      </c>
      <c r="M2195" s="36">
        <f>VLOOKUP(D2195, County_Data_CZones!$B$2:$F$3236, 2, FALSE)</f>
        <v>3</v>
      </c>
      <c r="N2195" s="37" t="str">
        <f>VLOOKUP(D2195, County_Data_CZones!$B$2:$F$3236, 5, FALSE)</f>
        <v>Mixed-Humid</v>
      </c>
    </row>
    <row r="2196" ht="15.75" customHeight="1">
      <c r="A2196" s="32" t="s">
        <v>1488</v>
      </c>
      <c r="B2196" s="32" t="s">
        <v>1457</v>
      </c>
      <c r="C2196" s="32" t="str">
        <f>vlookup(B2196,State_EMM_RowSums!$A$2:$B$52,2,FALSE)</f>
        <v>OK</v>
      </c>
      <c r="D2196" s="32">
        <v>40127.0</v>
      </c>
      <c r="E2196" s="33">
        <f>IF(NOT(ISBLANK(vlookup($D2196,Pop_Census_2023!$A$2:$E$3220,4,FALSE))),vlookup($D2196,Pop_Census_2023!$A$2:$E$3220,4,FALSE), vlookup($D2196,Pop_Census_2023!$A$2:$E$3220,5,FALSE))</f>
        <v>10800</v>
      </c>
      <c r="F2196" s="32">
        <v>1101851.0</v>
      </c>
      <c r="G2196" s="32">
        <v>50.0</v>
      </c>
      <c r="H2196" s="32" t="str">
        <f>VLOOKUP(D2196, Grid_Region_Mapping!$D$2:$F$5286, 3, FALSE)</f>
        <v>SPPS</v>
      </c>
      <c r="I2196" s="32">
        <v>7.0</v>
      </c>
      <c r="J2196" s="34" t="str">
        <f t="shared" si="1"/>
        <v>South</v>
      </c>
      <c r="K2196" s="35">
        <v>4.0</v>
      </c>
      <c r="L2196" s="35" t="s">
        <v>102</v>
      </c>
      <c r="M2196" s="36">
        <f>VLOOKUP(D2196, County_Data_CZones!$B$2:$F$3236, 2, FALSE)</f>
        <v>3</v>
      </c>
      <c r="N2196" s="37" t="str">
        <f>VLOOKUP(D2196, County_Data_CZones!$B$2:$F$3236, 5, FALSE)</f>
        <v>Mixed-Humid</v>
      </c>
    </row>
    <row r="2197" ht="15.75" customHeight="1">
      <c r="A2197" s="32" t="s">
        <v>1489</v>
      </c>
      <c r="B2197" s="32" t="s">
        <v>1457</v>
      </c>
      <c r="C2197" s="32" t="str">
        <f>vlookup(B2197,State_EMM_RowSums!$A$2:$B$52,2,FALSE)</f>
        <v>OK</v>
      </c>
      <c r="D2197" s="32">
        <v>40129.0</v>
      </c>
      <c r="E2197" s="33">
        <f>IF(NOT(ISBLANK(vlookup($D2197,Pop_Census_2023!$A$2:$E$3220,4,FALSE))),vlookup($D2197,Pop_Census_2023!$A$2:$E$3220,4,FALSE), vlookup($D2197,Pop_Census_2023!$A$2:$E$3220,5,FALSE))</f>
        <v>3295</v>
      </c>
      <c r="F2197" s="32">
        <v>1101852.0</v>
      </c>
      <c r="G2197" s="32">
        <v>50.0</v>
      </c>
      <c r="H2197" s="32" t="str">
        <f>VLOOKUP(D2197, Grid_Region_Mapping!$D$2:$F$5286, 3, FALSE)</f>
        <v>SPPS</v>
      </c>
      <c r="I2197" s="32">
        <v>7.0</v>
      </c>
      <c r="J2197" s="34" t="str">
        <f t="shared" si="1"/>
        <v>South</v>
      </c>
      <c r="K2197" s="35">
        <v>3.0</v>
      </c>
      <c r="L2197" s="35" t="s">
        <v>102</v>
      </c>
      <c r="M2197" s="36">
        <f>VLOOKUP(D2197, County_Data_CZones!$B$2:$F$3236, 2, FALSE)</f>
        <v>3</v>
      </c>
      <c r="N2197" s="37" t="str">
        <f>VLOOKUP(D2197, County_Data_CZones!$B$2:$F$3236, 5, FALSE)</f>
        <v>Mixed-Humid</v>
      </c>
    </row>
    <row r="2198" ht="15.75" customHeight="1">
      <c r="A2198" s="32" t="s">
        <v>1490</v>
      </c>
      <c r="B2198" s="32" t="s">
        <v>1457</v>
      </c>
      <c r="C2198" s="32" t="str">
        <f>vlookup(B2198,State_EMM_RowSums!$A$2:$B$52,2,FALSE)</f>
        <v>OK</v>
      </c>
      <c r="D2198" s="32">
        <v>40131.0</v>
      </c>
      <c r="E2198" s="33">
        <f>IF(NOT(ISBLANK(vlookup($D2198,Pop_Census_2023!$A$2:$E$3220,4,FALSE))),vlookup($D2198,Pop_Census_2023!$A$2:$E$3220,4,FALSE), vlookup($D2198,Pop_Census_2023!$A$2:$E$3220,5,FALSE))</f>
        <v>100248</v>
      </c>
      <c r="F2198" s="32">
        <v>1101853.0</v>
      </c>
      <c r="G2198" s="32">
        <v>51.0</v>
      </c>
      <c r="H2198" s="32" t="str">
        <f>VLOOKUP(D2198, Grid_Region_Mapping!$D$2:$F$5286, 3, FALSE)</f>
        <v>SPPS</v>
      </c>
      <c r="I2198" s="32">
        <v>7.0</v>
      </c>
      <c r="J2198" s="34" t="str">
        <f t="shared" si="1"/>
        <v>South</v>
      </c>
      <c r="K2198" s="35">
        <v>3.0</v>
      </c>
      <c r="L2198" s="35" t="s">
        <v>102</v>
      </c>
      <c r="M2198" s="36">
        <f>VLOOKUP(D2198, County_Data_CZones!$B$2:$F$3236, 2, FALSE)</f>
        <v>3</v>
      </c>
      <c r="N2198" s="37" t="str">
        <f>VLOOKUP(D2198, County_Data_CZones!$B$2:$F$3236, 5, FALSE)</f>
        <v>Mixed-Humid</v>
      </c>
    </row>
    <row r="2199" ht="15.75" customHeight="1">
      <c r="A2199" s="32" t="s">
        <v>454</v>
      </c>
      <c r="B2199" s="32" t="s">
        <v>1457</v>
      </c>
      <c r="C2199" s="32" t="str">
        <f>vlookup(B2199,State_EMM_RowSums!$A$2:$B$52,2,FALSE)</f>
        <v>OK</v>
      </c>
      <c r="D2199" s="32">
        <v>40133.0</v>
      </c>
      <c r="E2199" s="33">
        <f>IF(NOT(ISBLANK(vlookup($D2199,Pop_Census_2023!$A$2:$E$3220,4,FALSE))),vlookup($D2199,Pop_Census_2023!$A$2:$E$3220,4,FALSE), vlookup($D2199,Pop_Census_2023!$A$2:$E$3220,5,FALSE))</f>
        <v>23565</v>
      </c>
      <c r="F2199" s="32">
        <v>1101854.0</v>
      </c>
      <c r="G2199" s="32">
        <v>50.0</v>
      </c>
      <c r="H2199" s="32" t="str">
        <f>VLOOKUP(D2199, Grid_Region_Mapping!$D$2:$F$5286, 3, FALSE)</f>
        <v>SPPS</v>
      </c>
      <c r="I2199" s="32">
        <v>7.0</v>
      </c>
      <c r="J2199" s="34" t="str">
        <f t="shared" si="1"/>
        <v>South</v>
      </c>
      <c r="K2199" s="35">
        <v>5.0</v>
      </c>
      <c r="L2199" s="35" t="s">
        <v>102</v>
      </c>
      <c r="M2199" s="36">
        <f>VLOOKUP(D2199, County_Data_CZones!$B$2:$F$3236, 2, FALSE)</f>
        <v>3</v>
      </c>
      <c r="N2199" s="37" t="str">
        <f>VLOOKUP(D2199, County_Data_CZones!$B$2:$F$3236, 5, FALSE)</f>
        <v>Mixed-Humid</v>
      </c>
    </row>
    <row r="2200" ht="15.75" customHeight="1">
      <c r="A2200" s="32" t="s">
        <v>1491</v>
      </c>
      <c r="B2200" s="32" t="s">
        <v>1457</v>
      </c>
      <c r="C2200" s="32" t="str">
        <f>vlookup(B2200,State_EMM_RowSums!$A$2:$B$52,2,FALSE)</f>
        <v>OK</v>
      </c>
      <c r="D2200" s="32">
        <v>40135.0</v>
      </c>
      <c r="E2200" s="33">
        <f>IF(NOT(ISBLANK(vlookup($D2200,Pop_Census_2023!$A$2:$E$3220,4,FALSE))),vlookup($D2200,Pop_Census_2023!$A$2:$E$3220,4,FALSE), vlookup($D2200,Pop_Census_2023!$A$2:$E$3220,5,FALSE))</f>
        <v>40291</v>
      </c>
      <c r="F2200" s="32">
        <v>1101855.0</v>
      </c>
      <c r="G2200" s="32">
        <v>50.0</v>
      </c>
      <c r="H2200" s="32" t="str">
        <f>VLOOKUP(D2200, Grid_Region_Mapping!$D$2:$F$5286, 3, FALSE)</f>
        <v>SPPS</v>
      </c>
      <c r="I2200" s="32">
        <v>7.0</v>
      </c>
      <c r="J2200" s="34" t="str">
        <f t="shared" si="1"/>
        <v>South</v>
      </c>
      <c r="K2200" s="35">
        <v>4.0</v>
      </c>
      <c r="L2200" s="35" t="s">
        <v>102</v>
      </c>
      <c r="M2200" s="36">
        <f>VLOOKUP(D2200, County_Data_CZones!$B$2:$F$3236, 2, FALSE)</f>
        <v>3</v>
      </c>
      <c r="N2200" s="37" t="str">
        <f>VLOOKUP(D2200, County_Data_CZones!$B$2:$F$3236, 5, FALSE)</f>
        <v>Mixed-Humid</v>
      </c>
    </row>
    <row r="2201" ht="15.75" customHeight="1">
      <c r="A2201" s="32" t="s">
        <v>544</v>
      </c>
      <c r="B2201" s="32" t="s">
        <v>1457</v>
      </c>
      <c r="C2201" s="32" t="str">
        <f>vlookup(B2201,State_EMM_RowSums!$A$2:$B$52,2,FALSE)</f>
        <v>OK</v>
      </c>
      <c r="D2201" s="32">
        <v>40137.0</v>
      </c>
      <c r="E2201" s="33">
        <f>IF(NOT(ISBLANK(vlookup($D2201,Pop_Census_2023!$A$2:$E$3220,4,FALSE))),vlookup($D2201,Pop_Census_2023!$A$2:$E$3220,4,FALSE), vlookup($D2201,Pop_Census_2023!$A$2:$E$3220,5,FALSE))</f>
        <v>44014</v>
      </c>
      <c r="F2201" s="32">
        <v>1101856.0</v>
      </c>
      <c r="G2201" s="32">
        <v>50.0</v>
      </c>
      <c r="H2201" s="32" t="str">
        <f>VLOOKUP(D2201, Grid_Region_Mapping!$D$2:$F$5286, 3, FALSE)</f>
        <v>SPPS</v>
      </c>
      <c r="I2201" s="32">
        <v>7.0</v>
      </c>
      <c r="J2201" s="34" t="str">
        <f t="shared" si="1"/>
        <v>South</v>
      </c>
      <c r="K2201" s="35">
        <v>5.0</v>
      </c>
      <c r="L2201" s="35" t="s">
        <v>102</v>
      </c>
      <c r="M2201" s="36">
        <f>VLOOKUP(D2201, County_Data_CZones!$B$2:$F$3236, 2, FALSE)</f>
        <v>3</v>
      </c>
      <c r="N2201" s="37" t="str">
        <f>VLOOKUP(D2201, County_Data_CZones!$B$2:$F$3236, 5, FALSE)</f>
        <v>Mixed-Humid</v>
      </c>
    </row>
    <row r="2202" ht="15.75" customHeight="1">
      <c r="A2202" s="32" t="s">
        <v>1159</v>
      </c>
      <c r="B2202" s="32" t="s">
        <v>1457</v>
      </c>
      <c r="C2202" s="32" t="str">
        <f>vlookup(B2202,State_EMM_RowSums!$A$2:$B$52,2,FALSE)</f>
        <v>OK</v>
      </c>
      <c r="D2202" s="32">
        <v>40139.0</v>
      </c>
      <c r="E2202" s="33">
        <f>IF(NOT(ISBLANK(vlookup($D2202,Pop_Census_2023!$A$2:$E$3220,4,FALSE))),vlookup($D2202,Pop_Census_2023!$A$2:$E$3220,4,FALSE), vlookup($D2202,Pop_Census_2023!$A$2:$E$3220,5,FALSE))</f>
        <v>20371</v>
      </c>
      <c r="F2202" s="32">
        <v>1101857.0</v>
      </c>
      <c r="G2202" s="32">
        <v>49.0</v>
      </c>
      <c r="H2202" s="32" t="str">
        <f>VLOOKUP(D2202, Grid_Region_Mapping!$D$2:$F$5286, 3, FALSE)</f>
        <v>SPPS</v>
      </c>
      <c r="I2202" s="32">
        <v>7.0</v>
      </c>
      <c r="J2202" s="34" t="str">
        <f t="shared" si="1"/>
        <v>South</v>
      </c>
      <c r="K2202" s="35">
        <v>3.0</v>
      </c>
      <c r="L2202" s="35" t="s">
        <v>207</v>
      </c>
      <c r="M2202" s="36">
        <f>VLOOKUP(D2202, County_Data_CZones!$B$2:$F$3236, 2, FALSE)</f>
        <v>4</v>
      </c>
      <c r="N2202" s="37" t="str">
        <f>VLOOKUP(D2202, County_Data_CZones!$B$2:$F$3236, 5, FALSE)</f>
        <v>Mixed-Dry</v>
      </c>
    </row>
    <row r="2203" ht="15.75" customHeight="1">
      <c r="A2203" s="32" t="s">
        <v>1492</v>
      </c>
      <c r="B2203" s="32" t="s">
        <v>1457</v>
      </c>
      <c r="C2203" s="32" t="str">
        <f>vlookup(B2203,State_EMM_RowSums!$A$2:$B$52,2,FALSE)</f>
        <v>OK</v>
      </c>
      <c r="D2203" s="32">
        <v>40141.0</v>
      </c>
      <c r="E2203" s="33">
        <f>IF(NOT(ISBLANK(vlookup($D2203,Pop_Census_2023!$A$2:$E$3220,4,FALSE))),vlookup($D2203,Pop_Census_2023!$A$2:$E$3220,4,FALSE), vlookup($D2203,Pop_Census_2023!$A$2:$E$3220,5,FALSE))</f>
        <v>6869</v>
      </c>
      <c r="F2203" s="32">
        <v>1101858.0</v>
      </c>
      <c r="G2203" s="32">
        <v>50.0</v>
      </c>
      <c r="H2203" s="32" t="str">
        <f>VLOOKUP(D2203, Grid_Region_Mapping!$D$2:$F$5286, 3, FALSE)</f>
        <v>SPPS</v>
      </c>
      <c r="I2203" s="32">
        <v>7.0</v>
      </c>
      <c r="J2203" s="34" t="str">
        <f t="shared" si="1"/>
        <v>South</v>
      </c>
      <c r="K2203" s="35">
        <v>5.0</v>
      </c>
      <c r="L2203" s="35" t="s">
        <v>102</v>
      </c>
      <c r="M2203" s="36">
        <f>VLOOKUP(D2203, County_Data_CZones!$B$2:$F$3236, 2, FALSE)</f>
        <v>3</v>
      </c>
      <c r="N2203" s="37" t="str">
        <f>VLOOKUP(D2203, County_Data_CZones!$B$2:$F$3236, 5, FALSE)</f>
        <v>Mixed-Humid</v>
      </c>
    </row>
    <row r="2204" ht="15.75" customHeight="1">
      <c r="A2204" s="32" t="s">
        <v>1493</v>
      </c>
      <c r="B2204" s="32" t="s">
        <v>1457</v>
      </c>
      <c r="C2204" s="32" t="str">
        <f>vlookup(B2204,State_EMM_RowSums!$A$2:$B$52,2,FALSE)</f>
        <v>OK</v>
      </c>
      <c r="D2204" s="32">
        <v>40143.0</v>
      </c>
      <c r="E2204" s="33">
        <f>IF(NOT(ISBLANK(vlookup($D2204,Pop_Census_2023!$A$2:$E$3220,4,FALSE))),vlookup($D2204,Pop_Census_2023!$A$2:$E$3220,4,FALSE), vlookup($D2204,Pop_Census_2023!$A$2:$E$3220,5,FALSE))</f>
        <v>682868</v>
      </c>
      <c r="F2204" s="32">
        <v>1101859.0</v>
      </c>
      <c r="G2204" s="32">
        <v>51.0</v>
      </c>
      <c r="H2204" s="32" t="str">
        <f>VLOOKUP(D2204, Grid_Region_Mapping!$D$2:$F$5286, 3, FALSE)</f>
        <v>SPPS</v>
      </c>
      <c r="I2204" s="32">
        <v>7.0</v>
      </c>
      <c r="J2204" s="34" t="str">
        <f t="shared" si="1"/>
        <v>South</v>
      </c>
      <c r="K2204" s="35">
        <v>4.0</v>
      </c>
      <c r="L2204" s="35" t="s">
        <v>102</v>
      </c>
      <c r="M2204" s="36">
        <f>VLOOKUP(D2204, County_Data_CZones!$B$2:$F$3236, 2, FALSE)</f>
        <v>3</v>
      </c>
      <c r="N2204" s="37" t="str">
        <f>VLOOKUP(D2204, County_Data_CZones!$B$2:$F$3236, 5, FALSE)</f>
        <v>Mixed-Humid</v>
      </c>
    </row>
    <row r="2205" ht="15.75" customHeight="1">
      <c r="A2205" s="32" t="s">
        <v>1494</v>
      </c>
      <c r="B2205" s="32" t="s">
        <v>1457</v>
      </c>
      <c r="C2205" s="32" t="str">
        <f>vlookup(B2205,State_EMM_RowSums!$A$2:$B$52,2,FALSE)</f>
        <v>OK</v>
      </c>
      <c r="D2205" s="32">
        <v>40145.0</v>
      </c>
      <c r="E2205" s="33">
        <f>IF(NOT(ISBLANK(vlookup($D2205,Pop_Census_2023!$A$2:$E$3220,4,FALSE))),vlookup($D2205,Pop_Census_2023!$A$2:$E$3220,4,FALSE), vlookup($D2205,Pop_Census_2023!$A$2:$E$3220,5,FALSE))</f>
        <v>89280</v>
      </c>
      <c r="F2205" s="32">
        <v>1101860.0</v>
      </c>
      <c r="G2205" s="32">
        <v>51.0</v>
      </c>
      <c r="H2205" s="32" t="str">
        <f>VLOOKUP(D2205, Grid_Region_Mapping!$D$2:$F$5286, 3, FALSE)</f>
        <v>SPPS</v>
      </c>
      <c r="I2205" s="32">
        <v>7.0</v>
      </c>
      <c r="J2205" s="34" t="str">
        <f t="shared" si="1"/>
        <v>South</v>
      </c>
      <c r="K2205" s="35">
        <v>4.0</v>
      </c>
      <c r="L2205" s="35" t="s">
        <v>102</v>
      </c>
      <c r="M2205" s="36">
        <f>VLOOKUP(D2205, County_Data_CZones!$B$2:$F$3236, 2, FALSE)</f>
        <v>3</v>
      </c>
      <c r="N2205" s="37" t="str">
        <f>VLOOKUP(D2205, County_Data_CZones!$B$2:$F$3236, 5, FALSE)</f>
        <v>Mixed-Humid</v>
      </c>
    </row>
    <row r="2206" ht="15.75" customHeight="1">
      <c r="A2206" s="32" t="s">
        <v>167</v>
      </c>
      <c r="B2206" s="32" t="s">
        <v>1457</v>
      </c>
      <c r="C2206" s="32" t="str">
        <f>vlookup(B2206,State_EMM_RowSums!$A$2:$B$52,2,FALSE)</f>
        <v>OK</v>
      </c>
      <c r="D2206" s="32">
        <v>40147.0</v>
      </c>
      <c r="E2206" s="33">
        <f>IF(NOT(ISBLANK(vlookup($D2206,Pop_Census_2023!$A$2:$E$3220,4,FALSE))),vlookup($D2206,Pop_Census_2023!$A$2:$E$3220,4,FALSE), vlookup($D2206,Pop_Census_2023!$A$2:$E$3220,5,FALSE))</f>
        <v>53706</v>
      </c>
      <c r="F2206" s="32">
        <v>1101861.0</v>
      </c>
      <c r="G2206" s="32">
        <v>51.0</v>
      </c>
      <c r="H2206" s="32" t="str">
        <f>VLOOKUP(D2206, Grid_Region_Mapping!$D$2:$F$5286, 3, FALSE)</f>
        <v>SPPS</v>
      </c>
      <c r="I2206" s="32">
        <v>7.0</v>
      </c>
      <c r="J2206" s="34" t="str">
        <f t="shared" si="1"/>
        <v>South</v>
      </c>
      <c r="K2206" s="35">
        <v>3.0</v>
      </c>
      <c r="L2206" s="35" t="s">
        <v>102</v>
      </c>
      <c r="M2206" s="36">
        <f>VLOOKUP(D2206, County_Data_CZones!$B$2:$F$3236, 2, FALSE)</f>
        <v>3</v>
      </c>
      <c r="N2206" s="37" t="str">
        <f>VLOOKUP(D2206, County_Data_CZones!$B$2:$F$3236, 5, FALSE)</f>
        <v>Mixed-Humid</v>
      </c>
    </row>
    <row r="2207" ht="15.75" customHeight="1">
      <c r="A2207" s="32" t="s">
        <v>1495</v>
      </c>
      <c r="B2207" s="32" t="s">
        <v>1457</v>
      </c>
      <c r="C2207" s="32" t="str">
        <f>vlookup(B2207,State_EMM_RowSums!$A$2:$B$52,2,FALSE)</f>
        <v>OK</v>
      </c>
      <c r="D2207" s="32">
        <v>40149.0</v>
      </c>
      <c r="E2207" s="33">
        <f>IF(NOT(ISBLANK(vlookup($D2207,Pop_Census_2023!$A$2:$E$3220,4,FALSE))),vlookup($D2207,Pop_Census_2023!$A$2:$E$3220,4,FALSE), vlookup($D2207,Pop_Census_2023!$A$2:$E$3220,5,FALSE))</f>
        <v>10736</v>
      </c>
      <c r="F2207" s="32">
        <v>1101862.0</v>
      </c>
      <c r="G2207" s="32">
        <v>50.0</v>
      </c>
      <c r="H2207" s="32" t="str">
        <f>VLOOKUP(D2207, Grid_Region_Mapping!$D$2:$F$5286, 3, FALSE)</f>
        <v>SPPS</v>
      </c>
      <c r="I2207" s="32">
        <v>7.0</v>
      </c>
      <c r="J2207" s="34" t="str">
        <f t="shared" si="1"/>
        <v>South</v>
      </c>
      <c r="K2207" s="35">
        <v>4.0</v>
      </c>
      <c r="L2207" s="35" t="s">
        <v>102</v>
      </c>
      <c r="M2207" s="36">
        <f>VLOOKUP(D2207, County_Data_CZones!$B$2:$F$3236, 2, FALSE)</f>
        <v>3</v>
      </c>
      <c r="N2207" s="37" t="str">
        <f>VLOOKUP(D2207, County_Data_CZones!$B$2:$F$3236, 5, FALSE)</f>
        <v>Mixed-Humid</v>
      </c>
    </row>
    <row r="2208" ht="15.75" customHeight="1">
      <c r="A2208" s="32" t="s">
        <v>1496</v>
      </c>
      <c r="B2208" s="32" t="s">
        <v>1457</v>
      </c>
      <c r="C2208" s="32" t="str">
        <f>vlookup(B2208,State_EMM_RowSums!$A$2:$B$52,2,FALSE)</f>
        <v>OK</v>
      </c>
      <c r="D2208" s="32">
        <v>40151.0</v>
      </c>
      <c r="E2208" s="33">
        <f>IF(NOT(ISBLANK(vlookup($D2208,Pop_Census_2023!$A$2:$E$3220,4,FALSE))),vlookup($D2208,Pop_Census_2023!$A$2:$E$3220,4,FALSE), vlookup($D2208,Pop_Census_2023!$A$2:$E$3220,5,FALSE))</f>
        <v>8564</v>
      </c>
      <c r="F2208" s="32">
        <v>1101863.0</v>
      </c>
      <c r="G2208" s="32">
        <v>50.0</v>
      </c>
      <c r="H2208" s="32" t="str">
        <f>VLOOKUP(D2208, Grid_Region_Mapping!$D$2:$F$5286, 3, FALSE)</f>
        <v>SPPS</v>
      </c>
      <c r="I2208" s="32">
        <v>7.0</v>
      </c>
      <c r="J2208" s="34" t="str">
        <f t="shared" si="1"/>
        <v>South</v>
      </c>
      <c r="K2208" s="35">
        <v>5.0</v>
      </c>
      <c r="L2208" s="35" t="s">
        <v>102</v>
      </c>
      <c r="M2208" s="36">
        <f>VLOOKUP(D2208, County_Data_CZones!$B$2:$F$3236, 2, FALSE)</f>
        <v>3</v>
      </c>
      <c r="N2208" s="37" t="str">
        <f>VLOOKUP(D2208, County_Data_CZones!$B$2:$F$3236, 5, FALSE)</f>
        <v>Mixed-Humid</v>
      </c>
    </row>
    <row r="2209" ht="15.75" customHeight="1">
      <c r="A2209" s="32" t="s">
        <v>1497</v>
      </c>
      <c r="B2209" s="32" t="s">
        <v>1457</v>
      </c>
      <c r="C2209" s="32" t="str">
        <f>vlookup(B2209,State_EMM_RowSums!$A$2:$B$52,2,FALSE)</f>
        <v>OK</v>
      </c>
      <c r="D2209" s="32">
        <v>40153.0</v>
      </c>
      <c r="E2209" s="33">
        <f>IF(NOT(ISBLANK(vlookup($D2209,Pop_Census_2023!$A$2:$E$3220,4,FALSE))),vlookup($D2209,Pop_Census_2023!$A$2:$E$3220,4,FALSE), vlookup($D2209,Pop_Census_2023!$A$2:$E$3220,5,FALSE))</f>
        <v>19947</v>
      </c>
      <c r="F2209" s="32">
        <v>1101864.0</v>
      </c>
      <c r="G2209" s="32">
        <v>50.0</v>
      </c>
      <c r="H2209" s="32" t="str">
        <f>VLOOKUP(D2209, Grid_Region_Mapping!$D$2:$F$5286, 3, FALSE)</f>
        <v>SPPS</v>
      </c>
      <c r="I2209" s="32">
        <v>7.0</v>
      </c>
      <c r="J2209" s="34" t="str">
        <f t="shared" si="1"/>
        <v>South</v>
      </c>
      <c r="K2209" s="35">
        <v>3.0</v>
      </c>
      <c r="L2209" s="35" t="s">
        <v>102</v>
      </c>
      <c r="M2209" s="36">
        <f>VLOOKUP(D2209, County_Data_CZones!$B$2:$F$3236, 2, FALSE)</f>
        <v>3</v>
      </c>
      <c r="N2209" s="37" t="str">
        <f>VLOOKUP(D2209, County_Data_CZones!$B$2:$F$3236, 5, FALSE)</f>
        <v>Mixed-Humid</v>
      </c>
    </row>
    <row r="2210" ht="15.75" customHeight="1">
      <c r="A2210" s="32" t="s">
        <v>411</v>
      </c>
      <c r="B2210" s="32" t="s">
        <v>1144</v>
      </c>
      <c r="C2210" s="32" t="str">
        <f>vlookup(B2210,State_EMM_RowSums!$A$2:$B$52,2,FALSE)</f>
        <v>OR</v>
      </c>
      <c r="D2210" s="32">
        <v>41001.0</v>
      </c>
      <c r="E2210" s="33">
        <f>IF(NOT(ISBLANK(vlookup($D2210,Pop_Census_2023!$A$2:$E$3220,4,FALSE))),vlookup($D2210,Pop_Census_2023!$A$2:$E$3220,4,FALSE), vlookup($D2210,Pop_Census_2023!$A$2:$E$3220,5,FALSE))</f>
        <v>16912</v>
      </c>
      <c r="F2210" s="32">
        <v>1135845.0</v>
      </c>
      <c r="G2210" s="32">
        <v>7.0</v>
      </c>
      <c r="H2210" s="32" t="str">
        <f>VLOOKUP(D2210, Grid_Region_Mapping!$D$2:$F$5286, 3, FALSE)</f>
        <v>NWPP</v>
      </c>
      <c r="I2210" s="32">
        <v>9.0</v>
      </c>
      <c r="J2210" s="34" t="str">
        <f t="shared" si="1"/>
        <v>West</v>
      </c>
      <c r="K2210" s="35">
        <v>1.0</v>
      </c>
      <c r="L2210" s="35" t="s">
        <v>202</v>
      </c>
      <c r="M2210" s="36">
        <f>VLOOKUP(D2210, County_Data_CZones!$B$2:$F$3236, 2, FALSE)</f>
        <v>5</v>
      </c>
      <c r="N2210" s="37" t="str">
        <f>VLOOKUP(D2210, County_Data_CZones!$B$2:$F$3236, 5, FALSE)</f>
        <v>Cold</v>
      </c>
    </row>
    <row r="2211" ht="15.75" customHeight="1">
      <c r="A2211" s="32" t="s">
        <v>224</v>
      </c>
      <c r="B2211" s="32" t="s">
        <v>1144</v>
      </c>
      <c r="C2211" s="32" t="str">
        <f>vlookup(B2211,State_EMM_RowSums!$A$2:$B$52,2,FALSE)</f>
        <v>OR</v>
      </c>
      <c r="D2211" s="32">
        <v>41003.0</v>
      </c>
      <c r="E2211" s="33">
        <f>IF(NOT(ISBLANK(vlookup($D2211,Pop_Census_2023!$A$2:$E$3220,4,FALSE))),vlookup($D2211,Pop_Census_2023!$A$2:$E$3220,4,FALSE), vlookup($D2211,Pop_Census_2023!$A$2:$E$3220,5,FALSE))</f>
        <v>97713</v>
      </c>
      <c r="F2211" s="32">
        <v>1155126.0</v>
      </c>
      <c r="G2211" s="32">
        <v>5.0</v>
      </c>
      <c r="H2211" s="32" t="str">
        <f>VLOOKUP(D2211, Grid_Region_Mapping!$D$2:$F$5286, 3, FALSE)</f>
        <v>NWPP</v>
      </c>
      <c r="I2211" s="32">
        <v>9.0</v>
      </c>
      <c r="J2211" s="34" t="str">
        <f t="shared" si="1"/>
        <v>West</v>
      </c>
      <c r="K2211" s="35">
        <v>3.0</v>
      </c>
      <c r="L2211" s="35" t="s">
        <v>289</v>
      </c>
      <c r="M2211" s="36">
        <f>VLOOKUP(D2211, County_Data_CZones!$B$2:$F$3236, 2, FALSE)</f>
        <v>4</v>
      </c>
      <c r="N2211" s="37" t="str">
        <f>VLOOKUP(D2211, County_Data_CZones!$B$2:$F$3236, 5, FALSE)</f>
        <v>Marine</v>
      </c>
    </row>
    <row r="2212" ht="15.75" customHeight="1">
      <c r="A2212" s="32" t="s">
        <v>1498</v>
      </c>
      <c r="B2212" s="32" t="s">
        <v>1144</v>
      </c>
      <c r="C2212" s="32" t="str">
        <f>vlookup(B2212,State_EMM_RowSums!$A$2:$B$52,2,FALSE)</f>
        <v>OR</v>
      </c>
      <c r="D2212" s="32">
        <v>41005.0</v>
      </c>
      <c r="E2212" s="33">
        <f>IF(NOT(ISBLANK(vlookup($D2212,Pop_Census_2023!$A$2:$E$3220,4,FALSE))),vlookup($D2212,Pop_Census_2023!$A$2:$E$3220,4,FALSE), vlookup($D2212,Pop_Census_2023!$A$2:$E$3220,5,FALSE))</f>
        <v>423173</v>
      </c>
      <c r="F2212" s="32">
        <v>1155127.0</v>
      </c>
      <c r="G2212" s="32">
        <v>5.0</v>
      </c>
      <c r="H2212" s="32" t="str">
        <f>VLOOKUP(D2212, Grid_Region_Mapping!$D$2:$F$5286, 3, FALSE)</f>
        <v>NWPP</v>
      </c>
      <c r="I2212" s="32">
        <v>9.0</v>
      </c>
      <c r="J2212" s="34" t="str">
        <f t="shared" si="1"/>
        <v>West</v>
      </c>
      <c r="K2212" s="35">
        <v>3.0</v>
      </c>
      <c r="L2212" s="35" t="s">
        <v>289</v>
      </c>
      <c r="M2212" s="36">
        <f>VLOOKUP(D2212, County_Data_CZones!$B$2:$F$3236, 2, FALSE)</f>
        <v>4</v>
      </c>
      <c r="N2212" s="37" t="str">
        <f>VLOOKUP(D2212, County_Data_CZones!$B$2:$F$3236, 5, FALSE)</f>
        <v>Marine</v>
      </c>
    </row>
    <row r="2213" ht="15.75" customHeight="1">
      <c r="A2213" s="32" t="s">
        <v>1499</v>
      </c>
      <c r="B2213" s="32" t="s">
        <v>1144</v>
      </c>
      <c r="C2213" s="32" t="str">
        <f>vlookup(B2213,State_EMM_RowSums!$A$2:$B$52,2,FALSE)</f>
        <v>OR</v>
      </c>
      <c r="D2213" s="32">
        <v>41007.0</v>
      </c>
      <c r="E2213" s="33">
        <f>IF(NOT(ISBLANK(vlookup($D2213,Pop_Census_2023!$A$2:$E$3220,4,FALSE))),vlookup($D2213,Pop_Census_2023!$A$2:$E$3220,4,FALSE), vlookup($D2213,Pop_Census_2023!$A$2:$E$3220,5,FALSE))</f>
        <v>41102</v>
      </c>
      <c r="F2213" s="32">
        <v>1135846.0</v>
      </c>
      <c r="G2213" s="32">
        <v>5.0</v>
      </c>
      <c r="H2213" s="32" t="str">
        <f>VLOOKUP(D2213, Grid_Region_Mapping!$D$2:$F$5286, 3, FALSE)</f>
        <v>NWPP</v>
      </c>
      <c r="I2213" s="32">
        <v>9.0</v>
      </c>
      <c r="J2213" s="34" t="str">
        <f t="shared" si="1"/>
        <v>West</v>
      </c>
      <c r="K2213" s="35">
        <v>3.0</v>
      </c>
      <c r="L2213" s="35" t="s">
        <v>289</v>
      </c>
      <c r="M2213" s="36">
        <f>VLOOKUP(D2213, County_Data_CZones!$B$2:$F$3236, 2, FALSE)</f>
        <v>4</v>
      </c>
      <c r="N2213" s="37" t="str">
        <f>VLOOKUP(D2213, County_Data_CZones!$B$2:$F$3236, 5, FALSE)</f>
        <v>Marine</v>
      </c>
    </row>
    <row r="2214" ht="15.75" customHeight="1">
      <c r="A2214" s="32" t="s">
        <v>231</v>
      </c>
      <c r="B2214" s="32" t="s">
        <v>1144</v>
      </c>
      <c r="C2214" s="32" t="str">
        <f>vlookup(B2214,State_EMM_RowSums!$A$2:$B$52,2,FALSE)</f>
        <v>OR</v>
      </c>
      <c r="D2214" s="32">
        <v>41009.0</v>
      </c>
      <c r="E2214" s="33">
        <f>IF(NOT(ISBLANK(vlookup($D2214,Pop_Census_2023!$A$2:$E$3220,4,FALSE))),vlookup($D2214,Pop_Census_2023!$A$2:$E$3220,4,FALSE), vlookup($D2214,Pop_Census_2023!$A$2:$E$3220,5,FALSE))</f>
        <v>53880</v>
      </c>
      <c r="F2214" s="32">
        <v>1135847.0</v>
      </c>
      <c r="G2214" s="32">
        <v>5.0</v>
      </c>
      <c r="H2214" s="32" t="str">
        <f>VLOOKUP(D2214, Grid_Region_Mapping!$D$2:$F$5286, 3, FALSE)</f>
        <v>NWPP</v>
      </c>
      <c r="I2214" s="32">
        <v>9.0</v>
      </c>
      <c r="J2214" s="34" t="str">
        <f t="shared" si="1"/>
        <v>West</v>
      </c>
      <c r="K2214" s="35">
        <v>3.0</v>
      </c>
      <c r="L2214" s="35" t="s">
        <v>289</v>
      </c>
      <c r="M2214" s="36">
        <f>VLOOKUP(D2214, County_Data_CZones!$B$2:$F$3236, 2, FALSE)</f>
        <v>4</v>
      </c>
      <c r="N2214" s="37" t="str">
        <f>VLOOKUP(D2214, County_Data_CZones!$B$2:$F$3236, 5, FALSE)</f>
        <v>Marine</v>
      </c>
    </row>
    <row r="2215" ht="15.75" customHeight="1">
      <c r="A2215" s="32" t="s">
        <v>1253</v>
      </c>
      <c r="B2215" s="32" t="s">
        <v>1144</v>
      </c>
      <c r="C2215" s="32" t="str">
        <f>vlookup(B2215,State_EMM_RowSums!$A$2:$B$52,2,FALSE)</f>
        <v>OR</v>
      </c>
      <c r="D2215" s="32">
        <v>41011.0</v>
      </c>
      <c r="E2215" s="33">
        <f>IF(NOT(ISBLANK(vlookup($D2215,Pop_Census_2023!$A$2:$E$3220,4,FALSE))),vlookup($D2215,Pop_Census_2023!$A$2:$E$3220,4,FALSE), vlookup($D2215,Pop_Census_2023!$A$2:$E$3220,5,FALSE))</f>
        <v>64212</v>
      </c>
      <c r="F2215" s="32">
        <v>1135848.0</v>
      </c>
      <c r="G2215" s="32">
        <v>6.0</v>
      </c>
      <c r="H2215" s="32" t="str">
        <f>VLOOKUP(D2215, Grid_Region_Mapping!$D$2:$F$5286, 3, FALSE)</f>
        <v>NWPP</v>
      </c>
      <c r="I2215" s="32">
        <v>9.0</v>
      </c>
      <c r="J2215" s="34" t="str">
        <f t="shared" si="1"/>
        <v>West</v>
      </c>
      <c r="K2215" s="35">
        <v>3.0</v>
      </c>
      <c r="L2215" s="35" t="s">
        <v>289</v>
      </c>
      <c r="M2215" s="36">
        <f>VLOOKUP(D2215, County_Data_CZones!$B$2:$F$3236, 2, FALSE)</f>
        <v>4</v>
      </c>
      <c r="N2215" s="37" t="str">
        <f>VLOOKUP(D2215, County_Data_CZones!$B$2:$F$3236, 5, FALSE)</f>
        <v>Marine</v>
      </c>
    </row>
    <row r="2216" ht="15.75" customHeight="1">
      <c r="A2216" s="32" t="s">
        <v>1500</v>
      </c>
      <c r="B2216" s="32" t="s">
        <v>1144</v>
      </c>
      <c r="C2216" s="32" t="str">
        <f>vlookup(B2216,State_EMM_RowSums!$A$2:$B$52,2,FALSE)</f>
        <v>OR</v>
      </c>
      <c r="D2216" s="32">
        <v>41013.0</v>
      </c>
      <c r="E2216" s="33">
        <f>IF(NOT(ISBLANK(vlookup($D2216,Pop_Census_2023!$A$2:$E$3220,4,FALSE))),vlookup($D2216,Pop_Census_2023!$A$2:$E$3220,4,FALSE), vlookup($D2216,Pop_Census_2023!$A$2:$E$3220,5,FALSE))</f>
        <v>26952</v>
      </c>
      <c r="F2216" s="32">
        <v>1155128.0</v>
      </c>
      <c r="G2216" s="32">
        <v>5.0</v>
      </c>
      <c r="H2216" s="32" t="str">
        <f>VLOOKUP(D2216, Grid_Region_Mapping!$D$2:$F$5286, 3, FALSE)</f>
        <v>NWPP</v>
      </c>
      <c r="I2216" s="32">
        <v>9.0</v>
      </c>
      <c r="J2216" s="34" t="str">
        <f t="shared" si="1"/>
        <v>West</v>
      </c>
      <c r="K2216" s="35">
        <v>2.0</v>
      </c>
      <c r="L2216" s="35" t="s">
        <v>202</v>
      </c>
      <c r="M2216" s="36">
        <f>VLOOKUP(D2216, County_Data_CZones!$B$2:$F$3236, 2, FALSE)</f>
        <v>5</v>
      </c>
      <c r="N2216" s="37" t="str">
        <f>VLOOKUP(D2216, County_Data_CZones!$B$2:$F$3236, 5, FALSE)</f>
        <v>Cold</v>
      </c>
    </row>
    <row r="2217" ht="15.75" customHeight="1">
      <c r="A2217" s="32" t="s">
        <v>1275</v>
      </c>
      <c r="B2217" s="32" t="s">
        <v>1144</v>
      </c>
      <c r="C2217" s="32" t="str">
        <f>vlookup(B2217,State_EMM_RowSums!$A$2:$B$52,2,FALSE)</f>
        <v>OR</v>
      </c>
      <c r="D2217" s="32">
        <v>41015.0</v>
      </c>
      <c r="E2217" s="33">
        <f>IF(NOT(ISBLANK(vlookup($D2217,Pop_Census_2023!$A$2:$E$3220,4,FALSE))),vlookup($D2217,Pop_Census_2023!$A$2:$E$3220,4,FALSE), vlookup($D2217,Pop_Census_2023!$A$2:$E$3220,5,FALSE))</f>
        <v>23296</v>
      </c>
      <c r="F2217" s="32">
        <v>1155129.0</v>
      </c>
      <c r="G2217" s="32">
        <v>6.0</v>
      </c>
      <c r="H2217" s="32" t="str">
        <f>VLOOKUP(D2217, Grid_Region_Mapping!$D$2:$F$5286, 3, FALSE)</f>
        <v>NWPP</v>
      </c>
      <c r="I2217" s="32">
        <v>9.0</v>
      </c>
      <c r="J2217" s="34" t="str">
        <f t="shared" si="1"/>
        <v>West</v>
      </c>
      <c r="K2217" s="35">
        <v>3.0</v>
      </c>
      <c r="L2217" s="35" t="s">
        <v>289</v>
      </c>
      <c r="M2217" s="36">
        <f>VLOOKUP(D2217, County_Data_CZones!$B$2:$F$3236, 2, FALSE)</f>
        <v>4</v>
      </c>
      <c r="N2217" s="37" t="str">
        <f>VLOOKUP(D2217, County_Data_CZones!$B$2:$F$3236, 5, FALSE)</f>
        <v>Marine</v>
      </c>
    </row>
    <row r="2218" ht="15.75" customHeight="1">
      <c r="A2218" s="32" t="s">
        <v>1501</v>
      </c>
      <c r="B2218" s="32" t="s">
        <v>1144</v>
      </c>
      <c r="C2218" s="32" t="str">
        <f>vlookup(B2218,State_EMM_RowSums!$A$2:$B$52,2,FALSE)</f>
        <v>OR</v>
      </c>
      <c r="D2218" s="32">
        <v>41017.0</v>
      </c>
      <c r="E2218" s="33">
        <f>IF(NOT(ISBLANK(vlookup($D2218,Pop_Census_2023!$A$2:$E$3220,4,FALSE))),vlookup($D2218,Pop_Census_2023!$A$2:$E$3220,4,FALSE), vlookup($D2218,Pop_Census_2023!$A$2:$E$3220,5,FALSE))</f>
        <v>208513</v>
      </c>
      <c r="F2218" s="32">
        <v>1155130.0</v>
      </c>
      <c r="G2218" s="32">
        <v>5.0</v>
      </c>
      <c r="H2218" s="32" t="str">
        <f>VLOOKUP(D2218, Grid_Region_Mapping!$D$2:$F$5286, 3, FALSE)</f>
        <v>NWPP</v>
      </c>
      <c r="I2218" s="32">
        <v>9.0</v>
      </c>
      <c r="J2218" s="34" t="str">
        <f t="shared" si="1"/>
        <v>West</v>
      </c>
      <c r="K2218" s="35">
        <v>2.0</v>
      </c>
      <c r="L2218" s="35" t="s">
        <v>202</v>
      </c>
      <c r="M2218" s="36">
        <f>VLOOKUP(D2218, County_Data_CZones!$B$2:$F$3236, 2, FALSE)</f>
        <v>5</v>
      </c>
      <c r="N2218" s="37" t="str">
        <f>VLOOKUP(D2218, County_Data_CZones!$B$2:$F$3236, 5, FALSE)</f>
        <v>Cold</v>
      </c>
    </row>
    <row r="2219" ht="15.75" customHeight="1">
      <c r="A2219" s="32" t="s">
        <v>357</v>
      </c>
      <c r="B2219" s="32" t="s">
        <v>1144</v>
      </c>
      <c r="C2219" s="32" t="str">
        <f>vlookup(B2219,State_EMM_RowSums!$A$2:$B$52,2,FALSE)</f>
        <v>OR</v>
      </c>
      <c r="D2219" s="32">
        <v>41019.0</v>
      </c>
      <c r="E2219" s="33">
        <f>IF(NOT(ISBLANK(vlookup($D2219,Pop_Census_2023!$A$2:$E$3220,4,FALSE))),vlookup($D2219,Pop_Census_2023!$A$2:$E$3220,4,FALSE), vlookup($D2219,Pop_Census_2023!$A$2:$E$3220,5,FALSE))</f>
        <v>112435</v>
      </c>
      <c r="F2219" s="32">
        <v>1135849.0</v>
      </c>
      <c r="G2219" s="32">
        <v>6.0</v>
      </c>
      <c r="H2219" s="32" t="str">
        <f>VLOOKUP(D2219, Grid_Region_Mapping!$D$2:$F$5286, 3, FALSE)</f>
        <v>NWPP</v>
      </c>
      <c r="I2219" s="32">
        <v>9.0</v>
      </c>
      <c r="J2219" s="34" t="str">
        <f t="shared" si="1"/>
        <v>West</v>
      </c>
      <c r="K2219" s="35">
        <v>3.0</v>
      </c>
      <c r="L2219" s="35" t="s">
        <v>289</v>
      </c>
      <c r="M2219" s="36">
        <f>VLOOKUP(D2219, County_Data_CZones!$B$2:$F$3236, 2, FALSE)</f>
        <v>4</v>
      </c>
      <c r="N2219" s="37" t="str">
        <f>VLOOKUP(D2219, County_Data_CZones!$B$2:$F$3236, 5, FALSE)</f>
        <v>Marine</v>
      </c>
    </row>
    <row r="2220" ht="15.75" customHeight="1">
      <c r="A2220" s="32" t="s">
        <v>1502</v>
      </c>
      <c r="B2220" s="32" t="s">
        <v>1144</v>
      </c>
      <c r="C2220" s="32" t="str">
        <f>vlookup(B2220,State_EMM_RowSums!$A$2:$B$52,2,FALSE)</f>
        <v>OR</v>
      </c>
      <c r="D2220" s="32">
        <v>41021.0</v>
      </c>
      <c r="E2220" s="33">
        <f>IF(NOT(ISBLANK(vlookup($D2220,Pop_Census_2023!$A$2:$E$3220,4,FALSE))),vlookup($D2220,Pop_Census_2023!$A$2:$E$3220,4,FALSE), vlookup($D2220,Pop_Census_2023!$A$2:$E$3220,5,FALSE))</f>
        <v>2026</v>
      </c>
      <c r="F2220" s="32">
        <v>1135850.0</v>
      </c>
      <c r="G2220" s="32">
        <v>5.0</v>
      </c>
      <c r="H2220" s="32" t="str">
        <f>VLOOKUP(D2220, Grid_Region_Mapping!$D$2:$F$5286, 3, FALSE)</f>
        <v>NWPP</v>
      </c>
      <c r="I2220" s="32">
        <v>9.0</v>
      </c>
      <c r="J2220" s="34" t="str">
        <f t="shared" si="1"/>
        <v>West</v>
      </c>
      <c r="K2220" s="35">
        <v>2.0</v>
      </c>
      <c r="L2220" s="35" t="s">
        <v>202</v>
      </c>
      <c r="M2220" s="36">
        <f>VLOOKUP(D2220, County_Data_CZones!$B$2:$F$3236, 2, FALSE)</f>
        <v>5</v>
      </c>
      <c r="N2220" s="37" t="str">
        <f>VLOOKUP(D2220, County_Data_CZones!$B$2:$F$3236, 5, FALSE)</f>
        <v>Cold</v>
      </c>
    </row>
    <row r="2221" ht="15.75" customHeight="1">
      <c r="A2221" s="32" t="s">
        <v>242</v>
      </c>
      <c r="B2221" s="32" t="s">
        <v>1144</v>
      </c>
      <c r="C2221" s="32" t="str">
        <f>vlookup(B2221,State_EMM_RowSums!$A$2:$B$52,2,FALSE)</f>
        <v>OR</v>
      </c>
      <c r="D2221" s="32">
        <v>41023.0</v>
      </c>
      <c r="E2221" s="33">
        <f>IF(NOT(ISBLANK(vlookup($D2221,Pop_Census_2023!$A$2:$E$3220,4,FALSE))),vlookup($D2221,Pop_Census_2023!$A$2:$E$3220,4,FALSE), vlookup($D2221,Pop_Census_2023!$A$2:$E$3220,5,FALSE))</f>
        <v>7215</v>
      </c>
      <c r="F2221" s="32">
        <v>1135851.0</v>
      </c>
      <c r="G2221" s="32">
        <v>5.0</v>
      </c>
      <c r="H2221" s="32" t="str">
        <f>VLOOKUP(D2221, Grid_Region_Mapping!$D$2:$F$5286, 3, FALSE)</f>
        <v>NWPP</v>
      </c>
      <c r="I2221" s="32">
        <v>9.0</v>
      </c>
      <c r="J2221" s="34" t="str">
        <f t="shared" si="1"/>
        <v>West</v>
      </c>
      <c r="K2221" s="35">
        <v>1.0</v>
      </c>
      <c r="L2221" s="35" t="s">
        <v>202</v>
      </c>
      <c r="M2221" s="36">
        <f>VLOOKUP(D2221, County_Data_CZones!$B$2:$F$3236, 2, FALSE)</f>
        <v>5</v>
      </c>
      <c r="N2221" s="37" t="str">
        <f>VLOOKUP(D2221, County_Data_CZones!$B$2:$F$3236, 5, FALSE)</f>
        <v>Cold</v>
      </c>
    </row>
    <row r="2222" ht="15.75" customHeight="1">
      <c r="A2222" s="32" t="s">
        <v>1503</v>
      </c>
      <c r="B2222" s="32" t="s">
        <v>1144</v>
      </c>
      <c r="C2222" s="32" t="str">
        <f>vlookup(B2222,State_EMM_RowSums!$A$2:$B$52,2,FALSE)</f>
        <v>OR</v>
      </c>
      <c r="D2222" s="32">
        <v>41025.0</v>
      </c>
      <c r="E2222" s="33">
        <f>IF(NOT(ISBLANK(vlookup($D2222,Pop_Census_2023!$A$2:$E$3220,4,FALSE))),vlookup($D2222,Pop_Census_2023!$A$2:$E$3220,4,FALSE), vlookup($D2222,Pop_Census_2023!$A$2:$E$3220,5,FALSE))</f>
        <v>7440</v>
      </c>
      <c r="F2222" s="32">
        <v>1135852.0</v>
      </c>
      <c r="G2222" s="32">
        <v>7.0</v>
      </c>
      <c r="H2222" s="32" t="str">
        <f>VLOOKUP(D2222, Grid_Region_Mapping!$D$2:$F$5286, 3, FALSE)</f>
        <v>NWPP</v>
      </c>
      <c r="I2222" s="32">
        <v>9.0</v>
      </c>
      <c r="J2222" s="34" t="str">
        <f t="shared" si="1"/>
        <v>West</v>
      </c>
      <c r="K2222" s="35">
        <v>1.0</v>
      </c>
      <c r="L2222" s="35" t="s">
        <v>202</v>
      </c>
      <c r="M2222" s="36">
        <f>VLOOKUP(D2222, County_Data_CZones!$B$2:$F$3236, 2, FALSE)</f>
        <v>5</v>
      </c>
      <c r="N2222" s="37" t="str">
        <f>VLOOKUP(D2222, County_Data_CZones!$B$2:$F$3236, 5, FALSE)</f>
        <v>Cold</v>
      </c>
    </row>
    <row r="2223" ht="15.75" customHeight="1">
      <c r="A2223" s="32" t="s">
        <v>1504</v>
      </c>
      <c r="B2223" s="32" t="s">
        <v>1144</v>
      </c>
      <c r="C2223" s="32" t="str">
        <f>vlookup(B2223,State_EMM_RowSums!$A$2:$B$52,2,FALSE)</f>
        <v>OR</v>
      </c>
      <c r="D2223" s="32">
        <v>41027.0</v>
      </c>
      <c r="E2223" s="33">
        <f>IF(NOT(ISBLANK(vlookup($D2223,Pop_Census_2023!$A$2:$E$3220,4,FALSE))),vlookup($D2223,Pop_Census_2023!$A$2:$E$3220,4,FALSE), vlookup($D2223,Pop_Census_2023!$A$2:$E$3220,5,FALSE))</f>
        <v>23745</v>
      </c>
      <c r="F2223" s="32">
        <v>1155131.0</v>
      </c>
      <c r="G2223" s="32">
        <v>5.0</v>
      </c>
      <c r="H2223" s="32" t="str">
        <f>VLOOKUP(D2223, Grid_Region_Mapping!$D$2:$F$5286, 3, FALSE)</f>
        <v>NWPP</v>
      </c>
      <c r="I2223" s="32">
        <v>9.0</v>
      </c>
      <c r="J2223" s="34" t="str">
        <f t="shared" si="1"/>
        <v>West</v>
      </c>
      <c r="K2223" s="35">
        <v>2.0</v>
      </c>
      <c r="L2223" s="35" t="s">
        <v>202</v>
      </c>
      <c r="M2223" s="36">
        <f>VLOOKUP(D2223, County_Data_CZones!$B$2:$F$3236, 2, FALSE)</f>
        <v>5</v>
      </c>
      <c r="N2223" s="37" t="str">
        <f>VLOOKUP(D2223, County_Data_CZones!$B$2:$F$3236, 5, FALSE)</f>
        <v>Cold</v>
      </c>
    </row>
    <row r="2224" ht="15.75" customHeight="1">
      <c r="A2224" s="32" t="s">
        <v>138</v>
      </c>
      <c r="B2224" s="32" t="s">
        <v>1144</v>
      </c>
      <c r="C2224" s="32" t="str">
        <f>vlookup(B2224,State_EMM_RowSums!$A$2:$B$52,2,FALSE)</f>
        <v>OR</v>
      </c>
      <c r="D2224" s="32">
        <v>41029.0</v>
      </c>
      <c r="E2224" s="33">
        <f>IF(NOT(ISBLANK(vlookup($D2224,Pop_Census_2023!$A$2:$E$3220,4,FALSE))),vlookup($D2224,Pop_Census_2023!$A$2:$E$3220,4,FALSE), vlookup($D2224,Pop_Census_2023!$A$2:$E$3220,5,FALSE))</f>
        <v>220768</v>
      </c>
      <c r="F2224" s="32">
        <v>1135853.0</v>
      </c>
      <c r="G2224" s="32">
        <v>6.0</v>
      </c>
      <c r="H2224" s="32" t="str">
        <f>VLOOKUP(D2224, Grid_Region_Mapping!$D$2:$F$5286, 3, FALSE)</f>
        <v>NWPP</v>
      </c>
      <c r="I2224" s="32">
        <v>9.0</v>
      </c>
      <c r="J2224" s="34" t="str">
        <f t="shared" si="1"/>
        <v>West</v>
      </c>
      <c r="K2224" s="35">
        <v>3.0</v>
      </c>
      <c r="L2224" s="35" t="s">
        <v>289</v>
      </c>
      <c r="M2224" s="36">
        <f>VLOOKUP(D2224, County_Data_CZones!$B$2:$F$3236, 2, FALSE)</f>
        <v>4</v>
      </c>
      <c r="N2224" s="37" t="str">
        <f>VLOOKUP(D2224, County_Data_CZones!$B$2:$F$3236, 5, FALSE)</f>
        <v>Marine</v>
      </c>
    </row>
    <row r="2225" ht="15.75" customHeight="1">
      <c r="A2225" s="32" t="s">
        <v>139</v>
      </c>
      <c r="B2225" s="32" t="s">
        <v>1144</v>
      </c>
      <c r="C2225" s="32" t="str">
        <f>vlookup(B2225,State_EMM_RowSums!$A$2:$B$52,2,FALSE)</f>
        <v>OR</v>
      </c>
      <c r="D2225" s="32">
        <v>41031.0</v>
      </c>
      <c r="E2225" s="33">
        <f>IF(NOT(ISBLANK(vlookup($D2225,Pop_Census_2023!$A$2:$E$3220,4,FALSE))),vlookup($D2225,Pop_Census_2023!$A$2:$E$3220,4,FALSE), vlookup($D2225,Pop_Census_2023!$A$2:$E$3220,5,FALSE))</f>
        <v>25454</v>
      </c>
      <c r="F2225" s="32">
        <v>1155132.0</v>
      </c>
      <c r="G2225" s="32">
        <v>5.0</v>
      </c>
      <c r="H2225" s="32" t="str">
        <f>VLOOKUP(D2225, Grid_Region_Mapping!$D$2:$F$5286, 3, FALSE)</f>
        <v>NWPP</v>
      </c>
      <c r="I2225" s="32">
        <v>9.0</v>
      </c>
      <c r="J2225" s="34" t="str">
        <f t="shared" si="1"/>
        <v>West</v>
      </c>
      <c r="K2225" s="35">
        <v>2.0</v>
      </c>
      <c r="L2225" s="35" t="s">
        <v>202</v>
      </c>
      <c r="M2225" s="36">
        <f>VLOOKUP(D2225, County_Data_CZones!$B$2:$F$3236, 2, FALSE)</f>
        <v>5</v>
      </c>
      <c r="N2225" s="37" t="str">
        <f>VLOOKUP(D2225, County_Data_CZones!$B$2:$F$3236, 5, FALSE)</f>
        <v>Cold</v>
      </c>
    </row>
    <row r="2226" ht="15.75" customHeight="1">
      <c r="A2226" s="32" t="s">
        <v>1505</v>
      </c>
      <c r="B2226" s="32" t="s">
        <v>1144</v>
      </c>
      <c r="C2226" s="32" t="str">
        <f>vlookup(B2226,State_EMM_RowSums!$A$2:$B$52,2,FALSE)</f>
        <v>OR</v>
      </c>
      <c r="D2226" s="32">
        <v>41033.0</v>
      </c>
      <c r="E2226" s="33">
        <f>IF(NOT(ISBLANK(vlookup($D2226,Pop_Census_2023!$A$2:$E$3220,4,FALSE))),vlookup($D2226,Pop_Census_2023!$A$2:$E$3220,4,FALSE), vlookup($D2226,Pop_Census_2023!$A$2:$E$3220,5,FALSE))</f>
        <v>87821</v>
      </c>
      <c r="F2226" s="32">
        <v>1155133.0</v>
      </c>
      <c r="G2226" s="32">
        <v>6.0</v>
      </c>
      <c r="H2226" s="32" t="str">
        <f>VLOOKUP(D2226, Grid_Region_Mapping!$D$2:$F$5286, 3, FALSE)</f>
        <v>NWPP</v>
      </c>
      <c r="I2226" s="32">
        <v>9.0</v>
      </c>
      <c r="J2226" s="34" t="str">
        <f t="shared" si="1"/>
        <v>West</v>
      </c>
      <c r="K2226" s="35">
        <v>3.0</v>
      </c>
      <c r="L2226" s="35" t="s">
        <v>289</v>
      </c>
      <c r="M2226" s="36">
        <f>VLOOKUP(D2226, County_Data_CZones!$B$2:$F$3236, 2, FALSE)</f>
        <v>4</v>
      </c>
      <c r="N2226" s="37" t="str">
        <f>VLOOKUP(D2226, County_Data_CZones!$B$2:$F$3236, 5, FALSE)</f>
        <v>Marine</v>
      </c>
    </row>
    <row r="2227" ht="15.75" customHeight="1">
      <c r="A2227" s="32" t="s">
        <v>1506</v>
      </c>
      <c r="B2227" s="32" t="s">
        <v>1144</v>
      </c>
      <c r="C2227" s="32" t="str">
        <f>vlookup(B2227,State_EMM_RowSums!$A$2:$B$52,2,FALSE)</f>
        <v>OR</v>
      </c>
      <c r="D2227" s="32">
        <v>41035.0</v>
      </c>
      <c r="E2227" s="33">
        <f>IF(NOT(ISBLANK(vlookup($D2227,Pop_Census_2023!$A$2:$E$3220,4,FALSE))),vlookup($D2227,Pop_Census_2023!$A$2:$E$3220,4,FALSE), vlookup($D2227,Pop_Census_2023!$A$2:$E$3220,5,FALSE))</f>
        <v>70003</v>
      </c>
      <c r="F2227" s="32">
        <v>1155134.0</v>
      </c>
      <c r="G2227" s="32">
        <v>6.0</v>
      </c>
      <c r="H2227" s="32" t="str">
        <f>VLOOKUP(D2227, Grid_Region_Mapping!$D$2:$F$5286, 3, FALSE)</f>
        <v>NWPP</v>
      </c>
      <c r="I2227" s="32">
        <v>9.0</v>
      </c>
      <c r="J2227" s="34" t="str">
        <f t="shared" si="1"/>
        <v>West</v>
      </c>
      <c r="K2227" s="35">
        <v>2.0</v>
      </c>
      <c r="L2227" s="35" t="s">
        <v>202</v>
      </c>
      <c r="M2227" s="36">
        <f>VLOOKUP(D2227, County_Data_CZones!$B$2:$F$3236, 2, FALSE)</f>
        <v>5</v>
      </c>
      <c r="N2227" s="37" t="str">
        <f>VLOOKUP(D2227, County_Data_CZones!$B$2:$F$3236, 5, FALSE)</f>
        <v>Cold</v>
      </c>
    </row>
    <row r="2228" ht="15.75" customHeight="1">
      <c r="A2228" s="32" t="s">
        <v>298</v>
      </c>
      <c r="B2228" s="32" t="s">
        <v>1144</v>
      </c>
      <c r="C2228" s="32" t="str">
        <f>vlookup(B2228,State_EMM_RowSums!$A$2:$B$52,2,FALSE)</f>
        <v>OR</v>
      </c>
      <c r="D2228" s="32">
        <v>41037.0</v>
      </c>
      <c r="E2228" s="33">
        <f>IF(NOT(ISBLANK(vlookup($D2228,Pop_Census_2023!$A$2:$E$3220,4,FALSE))),vlookup($D2228,Pop_Census_2023!$A$2:$E$3220,4,FALSE), vlookup($D2228,Pop_Census_2023!$A$2:$E$3220,5,FALSE))</f>
        <v>8293</v>
      </c>
      <c r="F2228" s="32">
        <v>1135854.0</v>
      </c>
      <c r="G2228" s="32">
        <v>7.0</v>
      </c>
      <c r="H2228" s="32" t="str">
        <f>VLOOKUP(D2228, Grid_Region_Mapping!$D$2:$F$5286, 3, FALSE)</f>
        <v>NWPP</v>
      </c>
      <c r="I2228" s="32">
        <v>9.0</v>
      </c>
      <c r="J2228" s="34" t="str">
        <f t="shared" si="1"/>
        <v>West</v>
      </c>
      <c r="K2228" s="35">
        <v>1.0</v>
      </c>
      <c r="L2228" s="35" t="s">
        <v>202</v>
      </c>
      <c r="M2228" s="36">
        <f>VLOOKUP(D2228, County_Data_CZones!$B$2:$F$3236, 2, FALSE)</f>
        <v>5</v>
      </c>
      <c r="N2228" s="37" t="str">
        <f>VLOOKUP(D2228, County_Data_CZones!$B$2:$F$3236, 5, FALSE)</f>
        <v>Cold</v>
      </c>
    </row>
    <row r="2229" ht="15.75" customHeight="1">
      <c r="A2229" s="32" t="s">
        <v>780</v>
      </c>
      <c r="B2229" s="32" t="s">
        <v>1144</v>
      </c>
      <c r="C2229" s="32" t="str">
        <f>vlookup(B2229,State_EMM_RowSums!$A$2:$B$52,2,FALSE)</f>
        <v>OR</v>
      </c>
      <c r="D2229" s="32">
        <v>41039.0</v>
      </c>
      <c r="E2229" s="33">
        <f>IF(NOT(ISBLANK(vlookup($D2229,Pop_Census_2023!$A$2:$E$3220,4,FALSE))),vlookup($D2229,Pop_Census_2023!$A$2:$E$3220,4,FALSE), vlookup($D2229,Pop_Census_2023!$A$2:$E$3220,5,FALSE))</f>
        <v>381181</v>
      </c>
      <c r="F2229" s="32">
        <v>1135855.0</v>
      </c>
      <c r="G2229" s="32">
        <v>5.0</v>
      </c>
      <c r="H2229" s="32" t="str">
        <f>VLOOKUP(D2229, Grid_Region_Mapping!$D$2:$F$5286, 3, FALSE)</f>
        <v>NWPP</v>
      </c>
      <c r="I2229" s="32">
        <v>9.0</v>
      </c>
      <c r="J2229" s="34" t="str">
        <f t="shared" si="1"/>
        <v>West</v>
      </c>
      <c r="K2229" s="35">
        <v>3.0</v>
      </c>
      <c r="L2229" s="35" t="s">
        <v>289</v>
      </c>
      <c r="M2229" s="36">
        <f>VLOOKUP(D2229, County_Data_CZones!$B$2:$F$3236, 2, FALSE)</f>
        <v>4</v>
      </c>
      <c r="N2229" s="37" t="str">
        <f>VLOOKUP(D2229, County_Data_CZones!$B$2:$F$3236, 5, FALSE)</f>
        <v>Marine</v>
      </c>
    </row>
    <row r="2230" ht="15.75" customHeight="1">
      <c r="A2230" s="32" t="s">
        <v>250</v>
      </c>
      <c r="B2230" s="32" t="s">
        <v>1144</v>
      </c>
      <c r="C2230" s="32" t="str">
        <f>vlookup(B2230,State_EMM_RowSums!$A$2:$B$52,2,FALSE)</f>
        <v>OR</v>
      </c>
      <c r="D2230" s="32">
        <v>41041.0</v>
      </c>
      <c r="E2230" s="33">
        <f>IF(NOT(ISBLANK(vlookup($D2230,Pop_Census_2023!$A$2:$E$3220,4,FALSE))),vlookup($D2230,Pop_Census_2023!$A$2:$E$3220,4,FALSE), vlookup($D2230,Pop_Census_2023!$A$2:$E$3220,5,FALSE))</f>
        <v>50821</v>
      </c>
      <c r="F2230" s="32">
        <v>1135856.0</v>
      </c>
      <c r="G2230" s="32">
        <v>5.0</v>
      </c>
      <c r="H2230" s="32" t="str">
        <f>VLOOKUP(D2230, Grid_Region_Mapping!$D$2:$F$5286, 3, FALSE)</f>
        <v>NWPP</v>
      </c>
      <c r="I2230" s="32">
        <v>9.0</v>
      </c>
      <c r="J2230" s="34" t="str">
        <f t="shared" si="1"/>
        <v>West</v>
      </c>
      <c r="K2230" s="35">
        <v>3.0</v>
      </c>
      <c r="L2230" s="35" t="s">
        <v>289</v>
      </c>
      <c r="M2230" s="36">
        <f>VLOOKUP(D2230, County_Data_CZones!$B$2:$F$3236, 2, FALSE)</f>
        <v>4</v>
      </c>
      <c r="N2230" s="37" t="str">
        <f>VLOOKUP(D2230, County_Data_CZones!$B$2:$F$3236, 5, FALSE)</f>
        <v>Marine</v>
      </c>
    </row>
    <row r="2231" ht="15.75" customHeight="1">
      <c r="A2231" s="32" t="s">
        <v>726</v>
      </c>
      <c r="B2231" s="32" t="s">
        <v>1144</v>
      </c>
      <c r="C2231" s="32" t="str">
        <f>vlookup(B2231,State_EMM_RowSums!$A$2:$B$52,2,FALSE)</f>
        <v>OR</v>
      </c>
      <c r="D2231" s="32">
        <v>41043.0</v>
      </c>
      <c r="E2231" s="33">
        <f>IF(NOT(ISBLANK(vlookup($D2231,Pop_Census_2023!$A$2:$E$3220,4,FALSE))),vlookup($D2231,Pop_Census_2023!$A$2:$E$3220,4,FALSE), vlookup($D2231,Pop_Census_2023!$A$2:$E$3220,5,FALSE))</f>
        <v>131496</v>
      </c>
      <c r="F2231" s="32">
        <v>1135857.0</v>
      </c>
      <c r="G2231" s="32">
        <v>5.0</v>
      </c>
      <c r="H2231" s="32" t="str">
        <f>VLOOKUP(D2231, Grid_Region_Mapping!$D$2:$F$5286, 3, FALSE)</f>
        <v>NWPP</v>
      </c>
      <c r="I2231" s="32">
        <v>9.0</v>
      </c>
      <c r="J2231" s="34" t="str">
        <f t="shared" si="1"/>
        <v>West</v>
      </c>
      <c r="K2231" s="35">
        <v>3.0</v>
      </c>
      <c r="L2231" s="35" t="s">
        <v>289</v>
      </c>
      <c r="M2231" s="36">
        <f>VLOOKUP(D2231, County_Data_CZones!$B$2:$F$3236, 2, FALSE)</f>
        <v>4</v>
      </c>
      <c r="N2231" s="37" t="str">
        <f>VLOOKUP(D2231, County_Data_CZones!$B$2:$F$3236, 5, FALSE)</f>
        <v>Marine</v>
      </c>
    </row>
    <row r="2232" ht="15.75" customHeight="1">
      <c r="A2232" s="32" t="s">
        <v>1507</v>
      </c>
      <c r="B2232" s="32" t="s">
        <v>1144</v>
      </c>
      <c r="C2232" s="32" t="str">
        <f>vlookup(B2232,State_EMM_RowSums!$A$2:$B$52,2,FALSE)</f>
        <v>OR</v>
      </c>
      <c r="D2232" s="32">
        <v>41045.0</v>
      </c>
      <c r="E2232" s="33">
        <f>IF(NOT(ISBLANK(vlookup($D2232,Pop_Census_2023!$A$2:$E$3220,4,FALSE))),vlookup($D2232,Pop_Census_2023!$A$2:$E$3220,4,FALSE), vlookup($D2232,Pop_Census_2023!$A$2:$E$3220,5,FALSE))</f>
        <v>32044</v>
      </c>
      <c r="F2232" s="32">
        <v>1135858.0</v>
      </c>
      <c r="G2232" s="32">
        <v>7.0</v>
      </c>
      <c r="H2232" s="32" t="str">
        <f>VLOOKUP(D2232, Grid_Region_Mapping!$D$2:$F$5286, 3, FALSE)</f>
        <v>NWPP</v>
      </c>
      <c r="I2232" s="32">
        <v>9.0</v>
      </c>
      <c r="J2232" s="34" t="str">
        <f t="shared" si="1"/>
        <v>West</v>
      </c>
      <c r="K2232" s="35">
        <v>2.0</v>
      </c>
      <c r="L2232" s="35" t="s">
        <v>202</v>
      </c>
      <c r="M2232" s="36">
        <f>VLOOKUP(D2232, County_Data_CZones!$B$2:$F$3236, 2, FALSE)</f>
        <v>5</v>
      </c>
      <c r="N2232" s="37" t="str">
        <f>VLOOKUP(D2232, County_Data_CZones!$B$2:$F$3236, 5, FALSE)</f>
        <v>Cold</v>
      </c>
    </row>
    <row r="2233" ht="15.75" customHeight="1">
      <c r="A2233" s="32" t="s">
        <v>149</v>
      </c>
      <c r="B2233" s="32" t="s">
        <v>1144</v>
      </c>
      <c r="C2233" s="32" t="str">
        <f>vlookup(B2233,State_EMM_RowSums!$A$2:$B$52,2,FALSE)</f>
        <v>OR</v>
      </c>
      <c r="D2233" s="32">
        <v>41047.0</v>
      </c>
      <c r="E2233" s="33">
        <f>IF(NOT(ISBLANK(vlookup($D2233,Pop_Census_2023!$A$2:$E$3220,4,FALSE))),vlookup($D2233,Pop_Census_2023!$A$2:$E$3220,4,FALSE), vlookup($D2233,Pop_Census_2023!$A$2:$E$3220,5,FALSE))</f>
        <v>346741</v>
      </c>
      <c r="F2233" s="32">
        <v>1135859.0</v>
      </c>
      <c r="G2233" s="32">
        <v>5.0</v>
      </c>
      <c r="H2233" s="32" t="str">
        <f>VLOOKUP(D2233, Grid_Region_Mapping!$D$2:$F$5286, 3, FALSE)</f>
        <v>NWPP</v>
      </c>
      <c r="I2233" s="32">
        <v>9.0</v>
      </c>
      <c r="J2233" s="34" t="str">
        <f t="shared" si="1"/>
        <v>West</v>
      </c>
      <c r="K2233" s="35">
        <v>3.0</v>
      </c>
      <c r="L2233" s="35" t="s">
        <v>289</v>
      </c>
      <c r="M2233" s="36">
        <f>VLOOKUP(D2233, County_Data_CZones!$B$2:$F$3236, 2, FALSE)</f>
        <v>4</v>
      </c>
      <c r="N2233" s="37" t="str">
        <f>VLOOKUP(D2233, County_Data_CZones!$B$2:$F$3236, 5, FALSE)</f>
        <v>Marine</v>
      </c>
    </row>
    <row r="2234" ht="15.75" customHeight="1">
      <c r="A2234" s="32" t="s">
        <v>1443</v>
      </c>
      <c r="B2234" s="32" t="s">
        <v>1144</v>
      </c>
      <c r="C2234" s="32" t="str">
        <f>vlookup(B2234,State_EMM_RowSums!$A$2:$B$52,2,FALSE)</f>
        <v>OR</v>
      </c>
      <c r="D2234" s="32">
        <v>41049.0</v>
      </c>
      <c r="E2234" s="33">
        <f>IF(NOT(ISBLANK(vlookup($D2234,Pop_Census_2023!$A$2:$E$3220,4,FALSE))),vlookup($D2234,Pop_Census_2023!$A$2:$E$3220,4,FALSE), vlookup($D2234,Pop_Census_2023!$A$2:$E$3220,5,FALSE))</f>
        <v>12302</v>
      </c>
      <c r="F2234" s="32">
        <v>1135860.0</v>
      </c>
      <c r="G2234" s="32">
        <v>5.0</v>
      </c>
      <c r="H2234" s="32" t="str">
        <f>VLOOKUP(D2234, Grid_Region_Mapping!$D$2:$F$5286, 3, FALSE)</f>
        <v>NWPP</v>
      </c>
      <c r="I2234" s="32">
        <v>9.0</v>
      </c>
      <c r="J2234" s="34" t="str">
        <f t="shared" si="1"/>
        <v>West</v>
      </c>
      <c r="K2234" s="35">
        <v>2.0</v>
      </c>
      <c r="L2234" s="35" t="s">
        <v>202</v>
      </c>
      <c r="M2234" s="36">
        <f>VLOOKUP(D2234, County_Data_CZones!$B$2:$F$3236, 2, FALSE)</f>
        <v>5</v>
      </c>
      <c r="N2234" s="37" t="str">
        <f>VLOOKUP(D2234, County_Data_CZones!$B$2:$F$3236, 5, FALSE)</f>
        <v>Cold</v>
      </c>
    </row>
    <row r="2235" ht="15.75" customHeight="1">
      <c r="A2235" s="32" t="s">
        <v>1508</v>
      </c>
      <c r="B2235" s="32" t="s">
        <v>1144</v>
      </c>
      <c r="C2235" s="32" t="str">
        <f>vlookup(B2235,State_EMM_RowSums!$A$2:$B$52,2,FALSE)</f>
        <v>OR</v>
      </c>
      <c r="D2235" s="32">
        <v>41051.0</v>
      </c>
      <c r="E2235" s="33">
        <f>IF(NOT(ISBLANK(vlookup($D2235,Pop_Census_2023!$A$2:$E$3220,4,FALSE))),vlookup($D2235,Pop_Census_2023!$A$2:$E$3220,4,FALSE), vlookup($D2235,Pop_Census_2023!$A$2:$E$3220,5,FALSE))</f>
        <v>789698</v>
      </c>
      <c r="F2235" s="32">
        <v>1135861.0</v>
      </c>
      <c r="G2235" s="32">
        <v>5.0</v>
      </c>
      <c r="H2235" s="32" t="str">
        <f>VLOOKUP(D2235, Grid_Region_Mapping!$D$2:$F$5286, 3, FALSE)</f>
        <v>NWPP</v>
      </c>
      <c r="I2235" s="32">
        <v>9.0</v>
      </c>
      <c r="J2235" s="34" t="str">
        <f t="shared" si="1"/>
        <v>West</v>
      </c>
      <c r="K2235" s="35">
        <v>3.0</v>
      </c>
      <c r="L2235" s="35" t="s">
        <v>289</v>
      </c>
      <c r="M2235" s="36">
        <f>VLOOKUP(D2235, County_Data_CZones!$B$2:$F$3236, 2, FALSE)</f>
        <v>4</v>
      </c>
      <c r="N2235" s="37" t="str">
        <f>VLOOKUP(D2235, County_Data_CZones!$B$2:$F$3236, 5, FALSE)</f>
        <v>Marine</v>
      </c>
    </row>
    <row r="2236" ht="15.75" customHeight="1">
      <c r="A2236" s="32" t="s">
        <v>261</v>
      </c>
      <c r="B2236" s="32" t="s">
        <v>1144</v>
      </c>
      <c r="C2236" s="32" t="str">
        <f>vlookup(B2236,State_EMM_RowSums!$A$2:$B$52,2,FALSE)</f>
        <v>OR</v>
      </c>
      <c r="D2236" s="32">
        <v>41053.0</v>
      </c>
      <c r="E2236" s="33">
        <f>IF(NOT(ISBLANK(vlookup($D2236,Pop_Census_2023!$A$2:$E$3220,4,FALSE))),vlookup($D2236,Pop_Census_2023!$A$2:$E$3220,4,FALSE), vlookup($D2236,Pop_Census_2023!$A$2:$E$3220,5,FALSE))</f>
        <v>89805</v>
      </c>
      <c r="F2236" s="32">
        <v>1135862.0</v>
      </c>
      <c r="G2236" s="32">
        <v>5.0</v>
      </c>
      <c r="H2236" s="32" t="str">
        <f>VLOOKUP(D2236, Grid_Region_Mapping!$D$2:$F$5286, 3, FALSE)</f>
        <v>NWPP</v>
      </c>
      <c r="I2236" s="32">
        <v>9.0</v>
      </c>
      <c r="J2236" s="34" t="str">
        <f t="shared" si="1"/>
        <v>West</v>
      </c>
      <c r="K2236" s="35">
        <v>3.0</v>
      </c>
      <c r="L2236" s="35" t="s">
        <v>289</v>
      </c>
      <c r="M2236" s="36">
        <f>VLOOKUP(D2236, County_Data_CZones!$B$2:$F$3236, 2, FALSE)</f>
        <v>4</v>
      </c>
      <c r="N2236" s="37" t="str">
        <f>VLOOKUP(D2236, County_Data_CZones!$B$2:$F$3236, 5, FALSE)</f>
        <v>Marine</v>
      </c>
    </row>
    <row r="2237" ht="15.75" customHeight="1">
      <c r="A2237" s="32" t="s">
        <v>805</v>
      </c>
      <c r="B2237" s="32" t="s">
        <v>1144</v>
      </c>
      <c r="C2237" s="32" t="str">
        <f>vlookup(B2237,State_EMM_RowSums!$A$2:$B$52,2,FALSE)</f>
        <v>OR</v>
      </c>
      <c r="D2237" s="32">
        <v>41055.0</v>
      </c>
      <c r="E2237" s="33">
        <f>IF(NOT(ISBLANK(vlookup($D2237,Pop_Census_2023!$A$2:$E$3220,4,FALSE))),vlookup($D2237,Pop_Census_2023!$A$2:$E$3220,4,FALSE), vlookup($D2237,Pop_Census_2023!$A$2:$E$3220,5,FALSE))</f>
        <v>1951</v>
      </c>
      <c r="F2237" s="32">
        <v>1135863.0</v>
      </c>
      <c r="G2237" s="32">
        <v>5.0</v>
      </c>
      <c r="H2237" s="32" t="str">
        <f>VLOOKUP(D2237, Grid_Region_Mapping!$D$2:$F$5286, 3, FALSE)</f>
        <v>NWPP</v>
      </c>
      <c r="I2237" s="32">
        <v>9.0</v>
      </c>
      <c r="J2237" s="34" t="str">
        <f t="shared" si="1"/>
        <v>West</v>
      </c>
      <c r="K2237" s="35">
        <v>2.0</v>
      </c>
      <c r="L2237" s="35" t="s">
        <v>202</v>
      </c>
      <c r="M2237" s="36">
        <f>VLOOKUP(D2237, County_Data_CZones!$B$2:$F$3236, 2, FALSE)</f>
        <v>5</v>
      </c>
      <c r="N2237" s="37" t="str">
        <f>VLOOKUP(D2237, County_Data_CZones!$B$2:$F$3236, 5, FALSE)</f>
        <v>Cold</v>
      </c>
    </row>
    <row r="2238" ht="15.75" customHeight="1">
      <c r="A2238" s="32" t="s">
        <v>1509</v>
      </c>
      <c r="B2238" s="32" t="s">
        <v>1144</v>
      </c>
      <c r="C2238" s="32" t="str">
        <f>vlookup(B2238,State_EMM_RowSums!$A$2:$B$52,2,FALSE)</f>
        <v>OR</v>
      </c>
      <c r="D2238" s="32">
        <v>41057.0</v>
      </c>
      <c r="E2238" s="33">
        <f>IF(NOT(ISBLANK(vlookup($D2238,Pop_Census_2023!$A$2:$E$3220,4,FALSE))),vlookup($D2238,Pop_Census_2023!$A$2:$E$3220,4,FALSE), vlookup($D2238,Pop_Census_2023!$A$2:$E$3220,5,FALSE))</f>
        <v>27417</v>
      </c>
      <c r="F2238" s="32">
        <v>1135864.0</v>
      </c>
      <c r="G2238" s="32">
        <v>5.0</v>
      </c>
      <c r="H2238" s="32" t="str">
        <f>VLOOKUP(D2238, Grid_Region_Mapping!$D$2:$F$5286, 3, FALSE)</f>
        <v>NWPP</v>
      </c>
      <c r="I2238" s="32">
        <v>9.0</v>
      </c>
      <c r="J2238" s="34" t="str">
        <f t="shared" si="1"/>
        <v>West</v>
      </c>
      <c r="K2238" s="35">
        <v>3.0</v>
      </c>
      <c r="L2238" s="35" t="s">
        <v>289</v>
      </c>
      <c r="M2238" s="36">
        <f>VLOOKUP(D2238, County_Data_CZones!$B$2:$F$3236, 2, FALSE)</f>
        <v>4</v>
      </c>
      <c r="N2238" s="37" t="str">
        <f>VLOOKUP(D2238, County_Data_CZones!$B$2:$F$3236, 5, FALSE)</f>
        <v>Marine</v>
      </c>
    </row>
    <row r="2239" ht="15.75" customHeight="1">
      <c r="A2239" s="32" t="s">
        <v>1510</v>
      </c>
      <c r="B2239" s="32" t="s">
        <v>1144</v>
      </c>
      <c r="C2239" s="32" t="str">
        <f>vlookup(B2239,State_EMM_RowSums!$A$2:$B$52,2,FALSE)</f>
        <v>OR</v>
      </c>
      <c r="D2239" s="32">
        <v>41059.0</v>
      </c>
      <c r="E2239" s="33">
        <f>IF(NOT(ISBLANK(vlookup($D2239,Pop_Census_2023!$A$2:$E$3220,4,FALSE))),vlookup($D2239,Pop_Census_2023!$A$2:$E$3220,4,FALSE), vlookup($D2239,Pop_Census_2023!$A$2:$E$3220,5,FALSE))</f>
        <v>80053</v>
      </c>
      <c r="F2239" s="32">
        <v>1156673.0</v>
      </c>
      <c r="G2239" s="32">
        <v>5.0</v>
      </c>
      <c r="H2239" s="32" t="str">
        <f>VLOOKUP(D2239, Grid_Region_Mapping!$D$2:$F$5286, 3, FALSE)</f>
        <v>NWPP</v>
      </c>
      <c r="I2239" s="32">
        <v>9.0</v>
      </c>
      <c r="J2239" s="34" t="str">
        <f t="shared" si="1"/>
        <v>West</v>
      </c>
      <c r="K2239" s="35">
        <v>2.0</v>
      </c>
      <c r="L2239" s="35" t="s">
        <v>202</v>
      </c>
      <c r="M2239" s="36">
        <f>VLOOKUP(D2239, County_Data_CZones!$B$2:$F$3236, 2, FALSE)</f>
        <v>5</v>
      </c>
      <c r="N2239" s="37" t="str">
        <f>VLOOKUP(D2239, County_Data_CZones!$B$2:$F$3236, 5, FALSE)</f>
        <v>Cold</v>
      </c>
    </row>
    <row r="2240" ht="15.75" customHeight="1">
      <c r="A2240" s="32" t="s">
        <v>273</v>
      </c>
      <c r="B2240" s="32" t="s">
        <v>1144</v>
      </c>
      <c r="C2240" s="32" t="str">
        <f>vlookup(B2240,State_EMM_RowSums!$A$2:$B$52,2,FALSE)</f>
        <v>OR</v>
      </c>
      <c r="D2240" s="32">
        <v>41061.0</v>
      </c>
      <c r="E2240" s="33">
        <f>IF(NOT(ISBLANK(vlookup($D2240,Pop_Census_2023!$A$2:$E$3220,4,FALSE))),vlookup($D2240,Pop_Census_2023!$A$2:$E$3220,4,FALSE), vlookup($D2240,Pop_Census_2023!$A$2:$E$3220,5,FALSE))</f>
        <v>25944</v>
      </c>
      <c r="F2240" s="32">
        <v>1164165.0</v>
      </c>
      <c r="G2240" s="32">
        <v>5.0</v>
      </c>
      <c r="H2240" s="32" t="str">
        <f>VLOOKUP(D2240, Grid_Region_Mapping!$D$2:$F$5286, 3, FALSE)</f>
        <v>NWPP</v>
      </c>
      <c r="I2240" s="32">
        <v>9.0</v>
      </c>
      <c r="J2240" s="34" t="str">
        <f t="shared" si="1"/>
        <v>West</v>
      </c>
      <c r="K2240" s="35">
        <v>2.0</v>
      </c>
      <c r="L2240" s="35" t="s">
        <v>202</v>
      </c>
      <c r="M2240" s="36">
        <f>VLOOKUP(D2240, County_Data_CZones!$B$2:$F$3236, 2, FALSE)</f>
        <v>5</v>
      </c>
      <c r="N2240" s="37" t="str">
        <f>VLOOKUP(D2240, County_Data_CZones!$B$2:$F$3236, 5, FALSE)</f>
        <v>Cold</v>
      </c>
    </row>
    <row r="2241" ht="15.75" customHeight="1">
      <c r="A2241" s="32" t="s">
        <v>1511</v>
      </c>
      <c r="B2241" s="32" t="s">
        <v>1144</v>
      </c>
      <c r="C2241" s="32" t="str">
        <f>vlookup(B2241,State_EMM_RowSums!$A$2:$B$52,2,FALSE)</f>
        <v>OR</v>
      </c>
      <c r="D2241" s="32">
        <v>41063.0</v>
      </c>
      <c r="E2241" s="33">
        <f>IF(NOT(ISBLANK(vlookup($D2241,Pop_Census_2023!$A$2:$E$3220,4,FALSE))),vlookup($D2241,Pop_Census_2023!$A$2:$E$3220,4,FALSE), vlookup($D2241,Pop_Census_2023!$A$2:$E$3220,5,FALSE))</f>
        <v>7674</v>
      </c>
      <c r="F2241" s="32">
        <v>1155135.0</v>
      </c>
      <c r="G2241" s="32">
        <v>5.0</v>
      </c>
      <c r="H2241" s="32" t="str">
        <f>VLOOKUP(D2241, Grid_Region_Mapping!$D$2:$F$5286, 3, FALSE)</f>
        <v>NWPP</v>
      </c>
      <c r="I2241" s="32">
        <v>9.0</v>
      </c>
      <c r="J2241" s="34" t="str">
        <f t="shared" si="1"/>
        <v>West</v>
      </c>
      <c r="K2241" s="35">
        <v>1.0</v>
      </c>
      <c r="L2241" s="35" t="s">
        <v>202</v>
      </c>
      <c r="M2241" s="36">
        <f>VLOOKUP(D2241, County_Data_CZones!$B$2:$F$3236, 2, FALSE)</f>
        <v>5</v>
      </c>
      <c r="N2241" s="37" t="str">
        <f>VLOOKUP(D2241, County_Data_CZones!$B$2:$F$3236, 5, FALSE)</f>
        <v>Cold</v>
      </c>
    </row>
    <row r="2242" ht="15.75" customHeight="1">
      <c r="A2242" s="32" t="s">
        <v>1512</v>
      </c>
      <c r="B2242" s="32" t="s">
        <v>1144</v>
      </c>
      <c r="C2242" s="32" t="str">
        <f>vlookup(B2242,State_EMM_RowSums!$A$2:$B$52,2,FALSE)</f>
        <v>OR</v>
      </c>
      <c r="D2242" s="32">
        <v>41065.0</v>
      </c>
      <c r="E2242" s="33">
        <f>IF(NOT(ISBLANK(vlookup($D2242,Pop_Census_2023!$A$2:$E$3220,4,FALSE))),vlookup($D2242,Pop_Census_2023!$A$2:$E$3220,4,FALSE), vlookup($D2242,Pop_Census_2023!$A$2:$E$3220,5,FALSE))</f>
        <v>26333</v>
      </c>
      <c r="F2242" s="32">
        <v>1155136.0</v>
      </c>
      <c r="G2242" s="32">
        <v>5.0</v>
      </c>
      <c r="H2242" s="32" t="str">
        <f>VLOOKUP(D2242, Grid_Region_Mapping!$D$2:$F$5286, 3, FALSE)</f>
        <v>NWPP</v>
      </c>
      <c r="I2242" s="32">
        <v>9.0</v>
      </c>
      <c r="J2242" s="34" t="str">
        <f t="shared" si="1"/>
        <v>West</v>
      </c>
      <c r="K2242" s="35">
        <v>2.0</v>
      </c>
      <c r="L2242" s="35" t="s">
        <v>202</v>
      </c>
      <c r="M2242" s="36">
        <f>VLOOKUP(D2242, County_Data_CZones!$B$2:$F$3236, 2, FALSE)</f>
        <v>5</v>
      </c>
      <c r="N2242" s="37" t="str">
        <f>VLOOKUP(D2242, County_Data_CZones!$B$2:$F$3236, 5, FALSE)</f>
        <v>Cold</v>
      </c>
    </row>
    <row r="2243" ht="15.75" customHeight="1">
      <c r="A2243" s="32" t="s">
        <v>167</v>
      </c>
      <c r="B2243" s="32" t="s">
        <v>1144</v>
      </c>
      <c r="C2243" s="32" t="str">
        <f>vlookup(B2243,State_EMM_RowSums!$A$2:$B$52,2,FALSE)</f>
        <v>OR</v>
      </c>
      <c r="D2243" s="32">
        <v>41067.0</v>
      </c>
      <c r="E2243" s="33">
        <f>IF(NOT(ISBLANK(vlookup($D2243,Pop_Census_2023!$A$2:$E$3220,4,FALSE))),vlookup($D2243,Pop_Census_2023!$A$2:$E$3220,4,FALSE), vlookup($D2243,Pop_Census_2023!$A$2:$E$3220,5,FALSE))</f>
        <v>598865</v>
      </c>
      <c r="F2243" s="32">
        <v>1155137.0</v>
      </c>
      <c r="G2243" s="32">
        <v>5.0</v>
      </c>
      <c r="H2243" s="32" t="str">
        <f>VLOOKUP(D2243, Grid_Region_Mapping!$D$2:$F$5286, 3, FALSE)</f>
        <v>NWPP</v>
      </c>
      <c r="I2243" s="32">
        <v>9.0</v>
      </c>
      <c r="J2243" s="34" t="str">
        <f t="shared" si="1"/>
        <v>West</v>
      </c>
      <c r="K2243" s="35">
        <v>3.0</v>
      </c>
      <c r="L2243" s="35" t="s">
        <v>289</v>
      </c>
      <c r="M2243" s="36">
        <f>VLOOKUP(D2243, County_Data_CZones!$B$2:$F$3236, 2, FALSE)</f>
        <v>4</v>
      </c>
      <c r="N2243" s="37" t="str">
        <f>VLOOKUP(D2243, County_Data_CZones!$B$2:$F$3236, 5, FALSE)</f>
        <v>Marine</v>
      </c>
    </row>
    <row r="2244" ht="15.75" customHeight="1">
      <c r="A2244" s="32" t="s">
        <v>564</v>
      </c>
      <c r="B2244" s="32" t="s">
        <v>1144</v>
      </c>
      <c r="C2244" s="32" t="str">
        <f>vlookup(B2244,State_EMM_RowSums!$A$2:$B$52,2,FALSE)</f>
        <v>OR</v>
      </c>
      <c r="D2244" s="32">
        <v>41069.0</v>
      </c>
      <c r="E2244" s="33">
        <f>IF(NOT(ISBLANK(vlookup($D2244,Pop_Census_2023!$A$2:$E$3220,4,FALSE))),vlookup($D2244,Pop_Census_2023!$A$2:$E$3220,4,FALSE), vlookup($D2244,Pop_Census_2023!$A$2:$E$3220,5,FALSE))</f>
        <v>1436</v>
      </c>
      <c r="F2244" s="32">
        <v>1135865.0</v>
      </c>
      <c r="G2244" s="32">
        <v>5.0</v>
      </c>
      <c r="H2244" s="32" t="str">
        <f>VLOOKUP(D2244, Grid_Region_Mapping!$D$2:$F$5286, 3, FALSE)</f>
        <v>NWPP</v>
      </c>
      <c r="I2244" s="32">
        <v>9.0</v>
      </c>
      <c r="J2244" s="34" t="str">
        <f t="shared" si="1"/>
        <v>West</v>
      </c>
      <c r="K2244" s="35">
        <v>2.0</v>
      </c>
      <c r="L2244" s="35" t="s">
        <v>202</v>
      </c>
      <c r="M2244" s="36">
        <f>VLOOKUP(D2244, County_Data_CZones!$B$2:$F$3236, 2, FALSE)</f>
        <v>5</v>
      </c>
      <c r="N2244" s="37" t="str">
        <f>VLOOKUP(D2244, County_Data_CZones!$B$2:$F$3236, 5, FALSE)</f>
        <v>Cold</v>
      </c>
    </row>
    <row r="2245" ht="15.75" customHeight="1">
      <c r="A2245" s="32" t="s">
        <v>1513</v>
      </c>
      <c r="B2245" s="32" t="s">
        <v>1144</v>
      </c>
      <c r="C2245" s="32" t="str">
        <f>vlookup(B2245,State_EMM_RowSums!$A$2:$B$52,2,FALSE)</f>
        <v>OR</v>
      </c>
      <c r="D2245" s="32">
        <v>41071.0</v>
      </c>
      <c r="E2245" s="33">
        <f>IF(NOT(ISBLANK(vlookup($D2245,Pop_Census_2023!$A$2:$E$3220,4,FALSE))),vlookup($D2245,Pop_Census_2023!$A$2:$E$3220,4,FALSE), vlookup($D2245,Pop_Census_2023!$A$2:$E$3220,5,FALSE))</f>
        <v>108644</v>
      </c>
      <c r="F2245" s="32">
        <v>1135866.0</v>
      </c>
      <c r="G2245" s="32">
        <v>5.0</v>
      </c>
      <c r="H2245" s="32" t="str">
        <f>VLOOKUP(D2245, Grid_Region_Mapping!$D$2:$F$5286, 3, FALSE)</f>
        <v>NWPP</v>
      </c>
      <c r="I2245" s="32">
        <v>9.0</v>
      </c>
      <c r="J2245" s="34" t="str">
        <f t="shared" si="1"/>
        <v>West</v>
      </c>
      <c r="K2245" s="35">
        <v>3.0</v>
      </c>
      <c r="L2245" s="35" t="s">
        <v>289</v>
      </c>
      <c r="M2245" s="36">
        <f>VLOOKUP(D2245, County_Data_CZones!$B$2:$F$3236, 2, FALSE)</f>
        <v>4</v>
      </c>
      <c r="N2245" s="37" t="str">
        <f>VLOOKUP(D2245, County_Data_CZones!$B$2:$F$3236, 5, FALSE)</f>
        <v>Marine</v>
      </c>
    </row>
    <row r="2246" ht="15.75" customHeight="1">
      <c r="A2246" s="32" t="s">
        <v>338</v>
      </c>
      <c r="B2246" s="32" t="s">
        <v>1514</v>
      </c>
      <c r="C2246" s="32" t="str">
        <f>vlookup(B2246,State_EMM_RowSums!$A$2:$B$52,2,FALSE)</f>
        <v>PA</v>
      </c>
      <c r="D2246" s="32">
        <v>42001.0</v>
      </c>
      <c r="E2246" s="33">
        <f>IF(NOT(ISBLANK(vlookup($D2246,Pop_Census_2023!$A$2:$E$3220,4,FALSE))),vlookup($D2246,Pop_Census_2023!$A$2:$E$3220,4,FALSE), vlookup($D2246,Pop_Census_2023!$A$2:$E$3220,5,FALSE))</f>
        <v>106748</v>
      </c>
      <c r="F2246" s="32">
        <v>1213656.0</v>
      </c>
      <c r="G2246" s="32">
        <v>122.0</v>
      </c>
      <c r="H2246" s="32" t="str">
        <f>VLOOKUP(D2246, Grid_Region_Mapping!$D$2:$F$5286, 3, FALSE)</f>
        <v>PJME</v>
      </c>
      <c r="I2246" s="32">
        <v>2.0</v>
      </c>
      <c r="J2246" s="34" t="str">
        <f t="shared" si="1"/>
        <v>Northeast</v>
      </c>
      <c r="K2246" s="35">
        <v>3.0</v>
      </c>
      <c r="L2246" s="35" t="s">
        <v>396</v>
      </c>
      <c r="M2246" s="36">
        <f>VLOOKUP(D2246, County_Data_CZones!$B$2:$F$3236, 2, FALSE)</f>
        <v>5</v>
      </c>
      <c r="N2246" s="37" t="str">
        <f>VLOOKUP(D2246, County_Data_CZones!$B$2:$F$3236, 5, FALSE)</f>
        <v>Cold</v>
      </c>
    </row>
    <row r="2247" ht="15.75" customHeight="1">
      <c r="A2247" s="32" t="s">
        <v>1515</v>
      </c>
      <c r="B2247" s="32" t="s">
        <v>1514</v>
      </c>
      <c r="C2247" s="32" t="str">
        <f>vlookup(B2247,State_EMM_RowSums!$A$2:$B$52,2,FALSE)</f>
        <v>PA</v>
      </c>
      <c r="D2247" s="32">
        <v>42003.0</v>
      </c>
      <c r="E2247" s="33">
        <f>IF(NOT(ISBLANK(vlookup($D2247,Pop_Census_2023!$A$2:$E$3220,4,FALSE))),vlookup($D2247,Pop_Census_2023!$A$2:$E$3220,4,FALSE), vlookup($D2247,Pop_Census_2023!$A$2:$E$3220,5,FALSE))</f>
        <v>1224825</v>
      </c>
      <c r="F2247" s="32">
        <v>1213657.0</v>
      </c>
      <c r="G2247" s="32">
        <v>115.0</v>
      </c>
      <c r="H2247" s="32" t="str">
        <f>VLOOKUP(D2247, Grid_Region_Mapping!$D$2:$F$5286, 3, FALSE)</f>
        <v>PJMW</v>
      </c>
      <c r="I2247" s="32">
        <v>2.0</v>
      </c>
      <c r="J2247" s="34" t="str">
        <f t="shared" si="1"/>
        <v>Northeast</v>
      </c>
      <c r="K2247" s="35">
        <v>2.0</v>
      </c>
      <c r="L2247" s="35" t="s">
        <v>396</v>
      </c>
      <c r="M2247" s="36">
        <f>VLOOKUP(D2247, County_Data_CZones!$B$2:$F$3236, 2, FALSE)</f>
        <v>5</v>
      </c>
      <c r="N2247" s="37" t="str">
        <f>VLOOKUP(D2247, County_Data_CZones!$B$2:$F$3236, 5, FALSE)</f>
        <v>Cold</v>
      </c>
    </row>
    <row r="2248" ht="15.75" customHeight="1">
      <c r="A2248" s="32" t="s">
        <v>1516</v>
      </c>
      <c r="B2248" s="32" t="s">
        <v>1514</v>
      </c>
      <c r="C2248" s="32" t="str">
        <f>vlookup(B2248,State_EMM_RowSums!$A$2:$B$52,2,FALSE)</f>
        <v>PA</v>
      </c>
      <c r="D2248" s="32">
        <v>42005.0</v>
      </c>
      <c r="E2248" s="33">
        <f>IF(NOT(ISBLANK(vlookup($D2248,Pop_Census_2023!$A$2:$E$3220,4,FALSE))),vlookup($D2248,Pop_Census_2023!$A$2:$E$3220,4,FALSE), vlookup($D2248,Pop_Census_2023!$A$2:$E$3220,5,FALSE))</f>
        <v>64074</v>
      </c>
      <c r="F2248" s="32">
        <v>1213658.0</v>
      </c>
      <c r="G2248" s="32">
        <v>115.0</v>
      </c>
      <c r="H2248" s="32" t="str">
        <f>VLOOKUP(D2248, Grid_Region_Mapping!$D$2:$F$5286, 3, FALSE)</f>
        <v>PJMW</v>
      </c>
      <c r="I2248" s="32">
        <v>2.0</v>
      </c>
      <c r="J2248" s="34" t="str">
        <f t="shared" si="1"/>
        <v>Northeast</v>
      </c>
      <c r="K2248" s="35">
        <v>2.0</v>
      </c>
      <c r="L2248" s="35" t="s">
        <v>396</v>
      </c>
      <c r="M2248" s="36">
        <f>VLOOKUP(D2248, County_Data_CZones!$B$2:$F$3236, 2, FALSE)</f>
        <v>5</v>
      </c>
      <c r="N2248" s="37" t="str">
        <f>VLOOKUP(D2248, County_Data_CZones!$B$2:$F$3236, 5, FALSE)</f>
        <v>Cold</v>
      </c>
    </row>
    <row r="2249" ht="15.75" customHeight="1">
      <c r="A2249" s="32" t="s">
        <v>1460</v>
      </c>
      <c r="B2249" s="32" t="s">
        <v>1514</v>
      </c>
      <c r="C2249" s="32" t="str">
        <f>vlookup(B2249,State_EMM_RowSums!$A$2:$B$52,2,FALSE)</f>
        <v>PA</v>
      </c>
      <c r="D2249" s="32">
        <v>42007.0</v>
      </c>
      <c r="E2249" s="33">
        <f>IF(NOT(ISBLANK(vlookup($D2249,Pop_Census_2023!$A$2:$E$3220,4,FALSE))),vlookup($D2249,Pop_Census_2023!$A$2:$E$3220,4,FALSE), vlookup($D2249,Pop_Census_2023!$A$2:$E$3220,5,FALSE))</f>
        <v>165631</v>
      </c>
      <c r="F2249" s="32">
        <v>1214112.0</v>
      </c>
      <c r="G2249" s="32">
        <v>115.0</v>
      </c>
      <c r="H2249" s="32" t="str">
        <f>VLOOKUP(D2249, Grid_Region_Mapping!$D$2:$F$5286, 3, FALSE)</f>
        <v>PJMW</v>
      </c>
      <c r="I2249" s="32">
        <v>2.0</v>
      </c>
      <c r="J2249" s="34" t="str">
        <f t="shared" si="1"/>
        <v>Northeast</v>
      </c>
      <c r="K2249" s="35">
        <v>2.0</v>
      </c>
      <c r="L2249" s="35" t="s">
        <v>396</v>
      </c>
      <c r="M2249" s="36">
        <f>VLOOKUP(D2249, County_Data_CZones!$B$2:$F$3236, 2, FALSE)</f>
        <v>5</v>
      </c>
      <c r="N2249" s="37" t="str">
        <f>VLOOKUP(D2249, County_Data_CZones!$B$2:$F$3236, 5, FALSE)</f>
        <v>Cold</v>
      </c>
    </row>
    <row r="2250" ht="15.75" customHeight="1">
      <c r="A2250" s="32" t="s">
        <v>1517</v>
      </c>
      <c r="B2250" s="32" t="s">
        <v>1514</v>
      </c>
      <c r="C2250" s="32" t="str">
        <f>vlookup(B2250,State_EMM_RowSums!$A$2:$B$52,2,FALSE)</f>
        <v>PA</v>
      </c>
      <c r="D2250" s="32">
        <v>42009.0</v>
      </c>
      <c r="E2250" s="33">
        <f>IF(NOT(ISBLANK(vlookup($D2250,Pop_Census_2023!$A$2:$E$3220,4,FALSE))),vlookup($D2250,Pop_Census_2023!$A$2:$E$3220,4,FALSE), vlookup($D2250,Pop_Census_2023!$A$2:$E$3220,5,FALSE))</f>
        <v>47350</v>
      </c>
      <c r="F2250" s="32">
        <v>1209171.0</v>
      </c>
      <c r="G2250" s="32">
        <v>122.0</v>
      </c>
      <c r="H2250" s="32" t="str">
        <f>VLOOKUP(D2250, Grid_Region_Mapping!$D$2:$F$5286, 3, FALSE)</f>
        <v>PJMW</v>
      </c>
      <c r="I2250" s="32">
        <v>2.0</v>
      </c>
      <c r="J2250" s="34" t="str">
        <f t="shared" si="1"/>
        <v>Northeast</v>
      </c>
      <c r="K2250" s="35">
        <v>2.0</v>
      </c>
      <c r="L2250" s="35" t="s">
        <v>396</v>
      </c>
      <c r="M2250" s="36">
        <f>VLOOKUP(D2250, County_Data_CZones!$B$2:$F$3236, 2, FALSE)</f>
        <v>5</v>
      </c>
      <c r="N2250" s="37" t="str">
        <f>VLOOKUP(D2250, County_Data_CZones!$B$2:$F$3236, 5, FALSE)</f>
        <v>Cold</v>
      </c>
    </row>
    <row r="2251" ht="15.75" customHeight="1">
      <c r="A2251" s="32" t="s">
        <v>1518</v>
      </c>
      <c r="B2251" s="32" t="s">
        <v>1514</v>
      </c>
      <c r="C2251" s="32" t="str">
        <f>vlookup(B2251,State_EMM_RowSums!$A$2:$B$52,2,FALSE)</f>
        <v>PA</v>
      </c>
      <c r="D2251" s="32">
        <v>42011.0</v>
      </c>
      <c r="E2251" s="33">
        <f>IF(NOT(ISBLANK(vlookup($D2251,Pop_Census_2023!$A$2:$E$3220,4,FALSE))),vlookup($D2251,Pop_Census_2023!$A$2:$E$3220,4,FALSE), vlookup($D2251,Pop_Census_2023!$A$2:$E$3220,5,FALSE))</f>
        <v>432821</v>
      </c>
      <c r="F2251" s="32">
        <v>1209172.0</v>
      </c>
      <c r="G2251" s="32">
        <v>122.0</v>
      </c>
      <c r="H2251" s="32" t="str">
        <f>VLOOKUP(D2251, Grid_Region_Mapping!$D$2:$F$5286, 3, FALSE)</f>
        <v>PJME</v>
      </c>
      <c r="I2251" s="32">
        <v>2.0</v>
      </c>
      <c r="J2251" s="34" t="str">
        <f t="shared" si="1"/>
        <v>Northeast</v>
      </c>
      <c r="K2251" s="35">
        <v>2.0</v>
      </c>
      <c r="L2251" s="35" t="s">
        <v>396</v>
      </c>
      <c r="M2251" s="36">
        <f>VLOOKUP(D2251, County_Data_CZones!$B$2:$F$3236, 2, FALSE)</f>
        <v>5</v>
      </c>
      <c r="N2251" s="37" t="str">
        <f>VLOOKUP(D2251, County_Data_CZones!$B$2:$F$3236, 5, FALSE)</f>
        <v>Cold</v>
      </c>
    </row>
    <row r="2252" ht="15.75" customHeight="1">
      <c r="A2252" s="32" t="s">
        <v>1519</v>
      </c>
      <c r="B2252" s="32" t="s">
        <v>1514</v>
      </c>
      <c r="C2252" s="32" t="str">
        <f>vlookup(B2252,State_EMM_RowSums!$A$2:$B$52,2,FALSE)</f>
        <v>PA</v>
      </c>
      <c r="D2252" s="32">
        <v>42013.0</v>
      </c>
      <c r="E2252" s="33">
        <f>IF(NOT(ISBLANK(vlookup($D2252,Pop_Census_2023!$A$2:$E$3220,4,FALSE))),vlookup($D2252,Pop_Census_2023!$A$2:$E$3220,4,FALSE), vlookup($D2252,Pop_Census_2023!$A$2:$E$3220,5,FALSE))</f>
        <v>120273</v>
      </c>
      <c r="F2252" s="32">
        <v>1213659.0</v>
      </c>
      <c r="G2252" s="32">
        <v>122.0</v>
      </c>
      <c r="H2252" s="32" t="str">
        <f>VLOOKUP(D2252, Grid_Region_Mapping!$D$2:$F$5286, 3, FALSE)</f>
        <v>PJME</v>
      </c>
      <c r="I2252" s="32">
        <v>2.0</v>
      </c>
      <c r="J2252" s="34" t="str">
        <f t="shared" si="1"/>
        <v>Northeast</v>
      </c>
      <c r="K2252" s="35">
        <v>2.0</v>
      </c>
      <c r="L2252" s="35" t="s">
        <v>396</v>
      </c>
      <c r="M2252" s="36">
        <f>VLOOKUP(D2252, County_Data_CZones!$B$2:$F$3236, 2, FALSE)</f>
        <v>5</v>
      </c>
      <c r="N2252" s="37" t="str">
        <f>VLOOKUP(D2252, County_Data_CZones!$B$2:$F$3236, 5, FALSE)</f>
        <v>Cold</v>
      </c>
    </row>
    <row r="2253" ht="15.75" customHeight="1">
      <c r="A2253" s="32" t="s">
        <v>413</v>
      </c>
      <c r="B2253" s="32" t="s">
        <v>1514</v>
      </c>
      <c r="C2253" s="32" t="str">
        <f>vlookup(B2253,State_EMM_RowSums!$A$2:$B$52,2,FALSE)</f>
        <v>PA</v>
      </c>
      <c r="D2253" s="32">
        <v>42015.0</v>
      </c>
      <c r="E2253" s="33">
        <f>IF(NOT(ISBLANK(vlookup($D2253,Pop_Census_2023!$A$2:$E$3220,4,FALSE))),vlookup($D2253,Pop_Census_2023!$A$2:$E$3220,4,FALSE), vlookup($D2253,Pop_Census_2023!$A$2:$E$3220,5,FALSE))</f>
        <v>59695</v>
      </c>
      <c r="F2253" s="32">
        <v>1213660.0</v>
      </c>
      <c r="G2253" s="32">
        <v>122.0</v>
      </c>
      <c r="H2253" s="32" t="str">
        <f>VLOOKUP(D2253, Grid_Region_Mapping!$D$2:$F$5286, 3, FALSE)</f>
        <v>PJME</v>
      </c>
      <c r="I2253" s="32">
        <v>2.0</v>
      </c>
      <c r="J2253" s="34" t="str">
        <f t="shared" si="1"/>
        <v>Northeast</v>
      </c>
      <c r="K2253" s="35">
        <v>1.0</v>
      </c>
      <c r="L2253" s="35" t="s">
        <v>396</v>
      </c>
      <c r="M2253" s="36">
        <f>VLOOKUP(D2253, County_Data_CZones!$B$2:$F$3236, 2, FALSE)</f>
        <v>5</v>
      </c>
      <c r="N2253" s="37" t="str">
        <f>VLOOKUP(D2253, County_Data_CZones!$B$2:$F$3236, 5, FALSE)</f>
        <v>Cold</v>
      </c>
    </row>
    <row r="2254" ht="15.75" customHeight="1">
      <c r="A2254" s="32" t="s">
        <v>1520</v>
      </c>
      <c r="B2254" s="32" t="s">
        <v>1514</v>
      </c>
      <c r="C2254" s="32" t="str">
        <f>vlookup(B2254,State_EMM_RowSums!$A$2:$B$52,2,FALSE)</f>
        <v>PA</v>
      </c>
      <c r="D2254" s="32">
        <v>42017.0</v>
      </c>
      <c r="E2254" s="33">
        <f>IF(NOT(ISBLANK(vlookup($D2254,Pop_Census_2023!$A$2:$E$3220,4,FALSE))),vlookup($D2254,Pop_Census_2023!$A$2:$E$3220,4,FALSE), vlookup($D2254,Pop_Census_2023!$A$2:$E$3220,5,FALSE))</f>
        <v>645984</v>
      </c>
      <c r="F2254" s="32">
        <v>1209173.0</v>
      </c>
      <c r="G2254" s="32">
        <v>122.0</v>
      </c>
      <c r="H2254" s="32" t="str">
        <f>VLOOKUP(D2254, Grid_Region_Mapping!$D$2:$F$5286, 3, FALSE)</f>
        <v>PJME</v>
      </c>
      <c r="I2254" s="32">
        <v>2.0</v>
      </c>
      <c r="J2254" s="34" t="str">
        <f t="shared" si="1"/>
        <v>Northeast</v>
      </c>
      <c r="K2254" s="35">
        <v>3.0</v>
      </c>
      <c r="L2254" s="35" t="s">
        <v>223</v>
      </c>
      <c r="M2254" s="36">
        <f>VLOOKUP(D2254, County_Data_CZones!$B$2:$F$3236, 2, FALSE)</f>
        <v>4</v>
      </c>
      <c r="N2254" s="37" t="str">
        <f>VLOOKUP(D2254, County_Data_CZones!$B$2:$F$3236, 5, FALSE)</f>
        <v>Mixed-Humid</v>
      </c>
    </row>
    <row r="2255" ht="15.75" customHeight="1">
      <c r="A2255" s="32" t="s">
        <v>109</v>
      </c>
      <c r="B2255" s="32" t="s">
        <v>1514</v>
      </c>
      <c r="C2255" s="32" t="str">
        <f>vlookup(B2255,State_EMM_RowSums!$A$2:$B$52,2,FALSE)</f>
        <v>PA</v>
      </c>
      <c r="D2255" s="32">
        <v>42019.0</v>
      </c>
      <c r="E2255" s="33">
        <f>IF(NOT(ISBLANK(vlookup($D2255,Pop_Census_2023!$A$2:$E$3220,4,FALSE))),vlookup($D2255,Pop_Census_2023!$A$2:$E$3220,4,FALSE), vlookup($D2255,Pop_Census_2023!$A$2:$E$3220,5,FALSE))</f>
        <v>198413</v>
      </c>
      <c r="F2255" s="32">
        <v>1213661.0</v>
      </c>
      <c r="G2255" s="32">
        <v>115.0</v>
      </c>
      <c r="H2255" s="32" t="str">
        <f>VLOOKUP(D2255, Grid_Region_Mapping!$D$2:$F$5286, 3, FALSE)</f>
        <v>PJMW</v>
      </c>
      <c r="I2255" s="32">
        <v>2.0</v>
      </c>
      <c r="J2255" s="34" t="str">
        <f t="shared" si="1"/>
        <v>Northeast</v>
      </c>
      <c r="K2255" s="35">
        <v>2.0</v>
      </c>
      <c r="L2255" s="35" t="s">
        <v>396</v>
      </c>
      <c r="M2255" s="36">
        <f>VLOOKUP(D2255, County_Data_CZones!$B$2:$F$3236, 2, FALSE)</f>
        <v>5</v>
      </c>
      <c r="N2255" s="37" t="str">
        <f>VLOOKUP(D2255, County_Data_CZones!$B$2:$F$3236, 5, FALSE)</f>
        <v>Cold</v>
      </c>
    </row>
    <row r="2256" ht="15.75" customHeight="1">
      <c r="A2256" s="32" t="s">
        <v>1521</v>
      </c>
      <c r="B2256" s="32" t="s">
        <v>1514</v>
      </c>
      <c r="C2256" s="32" t="str">
        <f>vlookup(B2256,State_EMM_RowSums!$A$2:$B$52,2,FALSE)</f>
        <v>PA</v>
      </c>
      <c r="D2256" s="32">
        <v>42021.0</v>
      </c>
      <c r="E2256" s="33">
        <f>IF(NOT(ISBLANK(vlookup($D2256,Pop_Census_2023!$A$2:$E$3220,4,FALSE))),vlookup($D2256,Pop_Census_2023!$A$2:$E$3220,4,FALSE), vlookup($D2256,Pop_Census_2023!$A$2:$E$3220,5,FALSE))</f>
        <v>130668</v>
      </c>
      <c r="F2256" s="32">
        <v>1213662.0</v>
      </c>
      <c r="G2256" s="32">
        <v>122.0</v>
      </c>
      <c r="H2256" s="32" t="str">
        <f>VLOOKUP(D2256, Grid_Region_Mapping!$D$2:$F$5286, 3, FALSE)</f>
        <v>PJME</v>
      </c>
      <c r="I2256" s="32">
        <v>2.0</v>
      </c>
      <c r="J2256" s="34" t="str">
        <f t="shared" si="1"/>
        <v>Northeast</v>
      </c>
      <c r="K2256" s="35">
        <v>2.0</v>
      </c>
      <c r="L2256" s="35" t="s">
        <v>396</v>
      </c>
      <c r="M2256" s="36">
        <f>VLOOKUP(D2256, County_Data_CZones!$B$2:$F$3236, 2, FALSE)</f>
        <v>5</v>
      </c>
      <c r="N2256" s="37" t="str">
        <f>VLOOKUP(D2256, County_Data_CZones!$B$2:$F$3236, 5, FALSE)</f>
        <v>Cold</v>
      </c>
    </row>
    <row r="2257" ht="15.75" customHeight="1">
      <c r="A2257" s="32" t="s">
        <v>884</v>
      </c>
      <c r="B2257" s="32" t="s">
        <v>1514</v>
      </c>
      <c r="C2257" s="32" t="str">
        <f>vlookup(B2257,State_EMM_RowSums!$A$2:$B$52,2,FALSE)</f>
        <v>PA</v>
      </c>
      <c r="D2257" s="32">
        <v>42023.0</v>
      </c>
      <c r="E2257" s="33">
        <f>IF(NOT(ISBLANK(vlookup($D2257,Pop_Census_2023!$A$2:$E$3220,4,FALSE))),vlookup($D2257,Pop_Census_2023!$A$2:$E$3220,4,FALSE), vlookup($D2257,Pop_Census_2023!$A$2:$E$3220,5,FALSE))</f>
        <v>4380</v>
      </c>
      <c r="F2257" s="32">
        <v>1213663.0</v>
      </c>
      <c r="G2257" s="32">
        <v>119.0</v>
      </c>
      <c r="H2257" s="32" t="str">
        <f>VLOOKUP(D2257, Grid_Region_Mapping!$D$2:$F$5286, 3, FALSE)</f>
        <v>PJME</v>
      </c>
      <c r="I2257" s="32">
        <v>2.0</v>
      </c>
      <c r="J2257" s="34" t="str">
        <f t="shared" si="1"/>
        <v>Northeast</v>
      </c>
      <c r="K2257" s="35">
        <v>1.0</v>
      </c>
      <c r="L2257" s="35" t="s">
        <v>707</v>
      </c>
      <c r="M2257" s="36">
        <f>VLOOKUP(D2257, County_Data_CZones!$B$2:$F$3236, 2, FALSE)</f>
        <v>6</v>
      </c>
      <c r="N2257" s="37" t="str">
        <f>VLOOKUP(D2257, County_Data_CZones!$B$2:$F$3236, 5, FALSE)</f>
        <v>Cold</v>
      </c>
    </row>
    <row r="2258" ht="15.75" customHeight="1">
      <c r="A2258" s="32" t="s">
        <v>1165</v>
      </c>
      <c r="B2258" s="32" t="s">
        <v>1514</v>
      </c>
      <c r="C2258" s="32" t="str">
        <f>vlookup(B2258,State_EMM_RowSums!$A$2:$B$52,2,FALSE)</f>
        <v>PA</v>
      </c>
      <c r="D2258" s="32">
        <v>42025.0</v>
      </c>
      <c r="E2258" s="33">
        <f>IF(NOT(ISBLANK(vlookup($D2258,Pop_Census_2023!$A$2:$E$3220,4,FALSE))),vlookup($D2258,Pop_Census_2023!$A$2:$E$3220,4,FALSE), vlookup($D2258,Pop_Census_2023!$A$2:$E$3220,5,FALSE))</f>
        <v>65458</v>
      </c>
      <c r="F2258" s="32">
        <v>1213664.0</v>
      </c>
      <c r="G2258" s="32">
        <v>122.0</v>
      </c>
      <c r="H2258" s="32" t="str">
        <f>VLOOKUP(D2258, Grid_Region_Mapping!$D$2:$F$5286, 3, FALSE)</f>
        <v>PJME</v>
      </c>
      <c r="I2258" s="32">
        <v>2.0</v>
      </c>
      <c r="J2258" s="34" t="str">
        <f t="shared" si="1"/>
        <v>Northeast</v>
      </c>
      <c r="K2258" s="35">
        <v>2.0</v>
      </c>
      <c r="L2258" s="35" t="s">
        <v>396</v>
      </c>
      <c r="M2258" s="36">
        <f>VLOOKUP(D2258, County_Data_CZones!$B$2:$F$3236, 2, FALSE)</f>
        <v>5</v>
      </c>
      <c r="N2258" s="37" t="str">
        <f>VLOOKUP(D2258, County_Data_CZones!$B$2:$F$3236, 5, FALSE)</f>
        <v>Cold</v>
      </c>
    </row>
    <row r="2259" ht="15.75" customHeight="1">
      <c r="A2259" s="32" t="s">
        <v>1522</v>
      </c>
      <c r="B2259" s="32" t="s">
        <v>1514</v>
      </c>
      <c r="C2259" s="32" t="str">
        <f>vlookup(B2259,State_EMM_RowSums!$A$2:$B$52,2,FALSE)</f>
        <v>PA</v>
      </c>
      <c r="D2259" s="32">
        <v>42027.0</v>
      </c>
      <c r="E2259" s="33">
        <f>IF(NOT(ISBLANK(vlookup($D2259,Pop_Census_2023!$A$2:$E$3220,4,FALSE))),vlookup($D2259,Pop_Census_2023!$A$2:$E$3220,4,FALSE), vlookup($D2259,Pop_Census_2023!$A$2:$E$3220,5,FALSE))</f>
        <v>157795</v>
      </c>
      <c r="F2259" s="32">
        <v>1214720.0</v>
      </c>
      <c r="G2259" s="32">
        <v>119.0</v>
      </c>
      <c r="H2259" s="32" t="str">
        <f>VLOOKUP(D2259, Grid_Region_Mapping!$D$2:$F$5286, 3, FALSE)</f>
        <v>PJME</v>
      </c>
      <c r="I2259" s="32">
        <v>2.0</v>
      </c>
      <c r="J2259" s="34" t="str">
        <f t="shared" si="1"/>
        <v>Northeast</v>
      </c>
      <c r="K2259" s="35">
        <v>2.0</v>
      </c>
      <c r="L2259" s="35" t="s">
        <v>396</v>
      </c>
      <c r="M2259" s="36">
        <f>VLOOKUP(D2259, County_Data_CZones!$B$2:$F$3236, 2, FALSE)</f>
        <v>5</v>
      </c>
      <c r="N2259" s="37" t="str">
        <f>VLOOKUP(D2259, County_Data_CZones!$B$2:$F$3236, 5, FALSE)</f>
        <v>Cold</v>
      </c>
    </row>
    <row r="2260" ht="15.75" customHeight="1">
      <c r="A2260" s="32" t="s">
        <v>1523</v>
      </c>
      <c r="B2260" s="32" t="s">
        <v>1514</v>
      </c>
      <c r="C2260" s="32" t="str">
        <f>vlookup(B2260,State_EMM_RowSums!$A$2:$B$52,2,FALSE)</f>
        <v>PA</v>
      </c>
      <c r="D2260" s="32">
        <v>42029.0</v>
      </c>
      <c r="E2260" s="33">
        <f>IF(NOT(ISBLANK(vlookup($D2260,Pop_Census_2023!$A$2:$E$3220,4,FALSE))),vlookup($D2260,Pop_Census_2023!$A$2:$E$3220,4,FALSE), vlookup($D2260,Pop_Census_2023!$A$2:$E$3220,5,FALSE))</f>
        <v>549784</v>
      </c>
      <c r="F2260" s="32">
        <v>1209174.0</v>
      </c>
      <c r="G2260" s="32">
        <v>122.0</v>
      </c>
      <c r="H2260" s="32" t="str">
        <f>VLOOKUP(D2260, Grid_Region_Mapping!$D$2:$F$5286, 3, FALSE)</f>
        <v>PJME</v>
      </c>
      <c r="I2260" s="32">
        <v>2.0</v>
      </c>
      <c r="J2260" s="34" t="str">
        <f t="shared" si="1"/>
        <v>Northeast</v>
      </c>
      <c r="K2260" s="35">
        <v>3.0</v>
      </c>
      <c r="L2260" s="35" t="s">
        <v>223</v>
      </c>
      <c r="M2260" s="36">
        <f>VLOOKUP(D2260, County_Data_CZones!$B$2:$F$3236, 2, FALSE)</f>
        <v>4</v>
      </c>
      <c r="N2260" s="37" t="str">
        <f>VLOOKUP(D2260, County_Data_CZones!$B$2:$F$3236, 5, FALSE)</f>
        <v>Mixed-Humid</v>
      </c>
    </row>
    <row r="2261" ht="15.75" customHeight="1">
      <c r="A2261" s="32" t="s">
        <v>1524</v>
      </c>
      <c r="B2261" s="32" t="s">
        <v>1514</v>
      </c>
      <c r="C2261" s="32" t="str">
        <f>vlookup(B2261,State_EMM_RowSums!$A$2:$B$52,2,FALSE)</f>
        <v>PA</v>
      </c>
      <c r="D2261" s="32">
        <v>42031.0</v>
      </c>
      <c r="E2261" s="33">
        <f>IF(NOT(ISBLANK(vlookup($D2261,Pop_Census_2023!$A$2:$E$3220,4,FALSE))),vlookup($D2261,Pop_Census_2023!$A$2:$E$3220,4,FALSE), vlookup($D2261,Pop_Census_2023!$A$2:$E$3220,5,FALSE))</f>
        <v>36970</v>
      </c>
      <c r="F2261" s="32">
        <v>1210234.0</v>
      </c>
      <c r="G2261" s="32">
        <v>122.0</v>
      </c>
      <c r="H2261" s="32" t="str">
        <f>VLOOKUP(D2261, Grid_Region_Mapping!$D$2:$F$5286, 3, FALSE)</f>
        <v>PJME</v>
      </c>
      <c r="I2261" s="32">
        <v>2.0</v>
      </c>
      <c r="J2261" s="34" t="str">
        <f t="shared" si="1"/>
        <v>Northeast</v>
      </c>
      <c r="K2261" s="35">
        <v>2.0</v>
      </c>
      <c r="L2261" s="35" t="s">
        <v>396</v>
      </c>
      <c r="M2261" s="36">
        <f>VLOOKUP(D2261, County_Data_CZones!$B$2:$F$3236, 2, FALSE)</f>
        <v>5</v>
      </c>
      <c r="N2261" s="37" t="str">
        <f>VLOOKUP(D2261, County_Data_CZones!$B$2:$F$3236, 5, FALSE)</f>
        <v>Cold</v>
      </c>
    </row>
    <row r="2262" ht="15.75" customHeight="1">
      <c r="A2262" s="32" t="s">
        <v>1525</v>
      </c>
      <c r="B2262" s="32" t="s">
        <v>1514</v>
      </c>
      <c r="C2262" s="32" t="str">
        <f>vlookup(B2262,State_EMM_RowSums!$A$2:$B$52,2,FALSE)</f>
        <v>PA</v>
      </c>
      <c r="D2262" s="32">
        <v>42033.0</v>
      </c>
      <c r="E2262" s="33">
        <f>IF(NOT(ISBLANK(vlookup($D2262,Pop_Census_2023!$A$2:$E$3220,4,FALSE))),vlookup($D2262,Pop_Census_2023!$A$2:$E$3220,4,FALSE), vlookup($D2262,Pop_Census_2023!$A$2:$E$3220,5,FALSE))</f>
        <v>77090</v>
      </c>
      <c r="F2262" s="32">
        <v>1209175.0</v>
      </c>
      <c r="G2262" s="32">
        <v>122.0</v>
      </c>
      <c r="H2262" s="32" t="str">
        <f>VLOOKUP(D2262, Grid_Region_Mapping!$D$2:$F$5286, 3, FALSE)</f>
        <v>PJME</v>
      </c>
      <c r="I2262" s="32">
        <v>2.0</v>
      </c>
      <c r="J2262" s="34" t="str">
        <f t="shared" si="1"/>
        <v>Northeast</v>
      </c>
      <c r="K2262" s="35">
        <v>1.0</v>
      </c>
      <c r="L2262" s="35" t="s">
        <v>707</v>
      </c>
      <c r="M2262" s="36">
        <f>VLOOKUP(D2262, County_Data_CZones!$B$2:$F$3236, 2, FALSE)</f>
        <v>6</v>
      </c>
      <c r="N2262" s="37" t="str">
        <f>VLOOKUP(D2262, County_Data_CZones!$B$2:$F$3236, 5, FALSE)</f>
        <v>Cold</v>
      </c>
    </row>
    <row r="2263" ht="15.75" customHeight="1">
      <c r="A2263" s="32" t="s">
        <v>616</v>
      </c>
      <c r="B2263" s="32" t="s">
        <v>1514</v>
      </c>
      <c r="C2263" s="32" t="str">
        <f>vlookup(B2263,State_EMM_RowSums!$A$2:$B$52,2,FALSE)</f>
        <v>PA</v>
      </c>
      <c r="D2263" s="32">
        <v>42035.0</v>
      </c>
      <c r="E2263" s="33">
        <f>IF(NOT(ISBLANK(vlookup($D2263,Pop_Census_2023!$A$2:$E$3220,4,FALSE))),vlookup($D2263,Pop_Census_2023!$A$2:$E$3220,4,FALSE), vlookup($D2263,Pop_Census_2023!$A$2:$E$3220,5,FALSE))</f>
        <v>37607</v>
      </c>
      <c r="F2263" s="32">
        <v>1214721.0</v>
      </c>
      <c r="G2263" s="32">
        <v>119.0</v>
      </c>
      <c r="H2263" s="32" t="str">
        <f>VLOOKUP(D2263, Grid_Region_Mapping!$D$2:$F$5286, 3, FALSE)</f>
        <v>PJME</v>
      </c>
      <c r="I2263" s="32">
        <v>2.0</v>
      </c>
      <c r="J2263" s="34" t="str">
        <f t="shared" si="1"/>
        <v>Northeast</v>
      </c>
      <c r="K2263" s="35">
        <v>2.0</v>
      </c>
      <c r="L2263" s="35" t="s">
        <v>396</v>
      </c>
      <c r="M2263" s="36">
        <f>VLOOKUP(D2263, County_Data_CZones!$B$2:$F$3236, 2, FALSE)</f>
        <v>5</v>
      </c>
      <c r="N2263" s="37" t="str">
        <f>VLOOKUP(D2263, County_Data_CZones!$B$2:$F$3236, 5, FALSE)</f>
        <v>Cold</v>
      </c>
    </row>
    <row r="2264" ht="15.75" customHeight="1">
      <c r="A2264" s="32" t="s">
        <v>231</v>
      </c>
      <c r="B2264" s="32" t="s">
        <v>1514</v>
      </c>
      <c r="C2264" s="32" t="str">
        <f>vlookup(B2264,State_EMM_RowSums!$A$2:$B$52,2,FALSE)</f>
        <v>PA</v>
      </c>
      <c r="D2264" s="32">
        <v>42037.0</v>
      </c>
      <c r="E2264" s="33">
        <f>IF(NOT(ISBLANK(vlookup($D2264,Pop_Census_2023!$A$2:$E$3220,4,FALSE))),vlookup($D2264,Pop_Census_2023!$A$2:$E$3220,4,FALSE), vlookup($D2264,Pop_Census_2023!$A$2:$E$3220,5,FALSE))</f>
        <v>65439</v>
      </c>
      <c r="F2264" s="32">
        <v>1213665.0</v>
      </c>
      <c r="G2264" s="32">
        <v>122.0</v>
      </c>
      <c r="H2264" s="32" t="str">
        <f>VLOOKUP(D2264, Grid_Region_Mapping!$D$2:$F$5286, 3, FALSE)</f>
        <v>PJME</v>
      </c>
      <c r="I2264" s="32">
        <v>2.0</v>
      </c>
      <c r="J2264" s="34" t="str">
        <f t="shared" si="1"/>
        <v>Northeast</v>
      </c>
      <c r="K2264" s="35">
        <v>2.0</v>
      </c>
      <c r="L2264" s="35" t="s">
        <v>396</v>
      </c>
      <c r="M2264" s="36">
        <f>VLOOKUP(D2264, County_Data_CZones!$B$2:$F$3236, 2, FALSE)</f>
        <v>5</v>
      </c>
      <c r="N2264" s="37" t="str">
        <f>VLOOKUP(D2264, County_Data_CZones!$B$2:$F$3236, 5, FALSE)</f>
        <v>Cold</v>
      </c>
    </row>
    <row r="2265" ht="15.75" customHeight="1">
      <c r="A2265" s="32" t="s">
        <v>234</v>
      </c>
      <c r="B2265" s="32" t="s">
        <v>1514</v>
      </c>
      <c r="C2265" s="32" t="str">
        <f>vlookup(B2265,State_EMM_RowSums!$A$2:$B$52,2,FALSE)</f>
        <v>PA</v>
      </c>
      <c r="D2265" s="32">
        <v>42039.0</v>
      </c>
      <c r="E2265" s="33">
        <f>IF(NOT(ISBLANK(vlookup($D2265,Pop_Census_2023!$A$2:$E$3220,4,FALSE))),vlookup($D2265,Pop_Census_2023!$A$2:$E$3220,4,FALSE), vlookup($D2265,Pop_Census_2023!$A$2:$E$3220,5,FALSE))</f>
        <v>82001</v>
      </c>
      <c r="F2265" s="32">
        <v>1213666.0</v>
      </c>
      <c r="G2265" s="32">
        <v>122.0</v>
      </c>
      <c r="H2265" s="32" t="str">
        <f>VLOOKUP(D2265, Grid_Region_Mapping!$D$2:$F$5286, 3, FALSE)</f>
        <v>PJME</v>
      </c>
      <c r="I2265" s="32">
        <v>2.0</v>
      </c>
      <c r="J2265" s="34" t="str">
        <f t="shared" si="1"/>
        <v>Northeast</v>
      </c>
      <c r="K2265" s="35">
        <v>2.0</v>
      </c>
      <c r="L2265" s="35" t="s">
        <v>396</v>
      </c>
      <c r="M2265" s="36">
        <f>VLOOKUP(D2265, County_Data_CZones!$B$2:$F$3236, 2, FALSE)</f>
        <v>5</v>
      </c>
      <c r="N2265" s="37" t="str">
        <f>VLOOKUP(D2265, County_Data_CZones!$B$2:$F$3236, 5, FALSE)</f>
        <v>Cold</v>
      </c>
    </row>
    <row r="2266" ht="15.75" customHeight="1">
      <c r="A2266" s="32" t="s">
        <v>618</v>
      </c>
      <c r="B2266" s="32" t="s">
        <v>1514</v>
      </c>
      <c r="C2266" s="32" t="str">
        <f>vlookup(B2266,State_EMM_RowSums!$A$2:$B$52,2,FALSE)</f>
        <v>PA</v>
      </c>
      <c r="D2266" s="32">
        <v>42041.0</v>
      </c>
      <c r="E2266" s="33">
        <f>IF(NOT(ISBLANK(vlookup($D2266,Pop_Census_2023!$A$2:$E$3220,4,FALSE))),vlookup($D2266,Pop_Census_2023!$A$2:$E$3220,4,FALSE), vlookup($D2266,Pop_Census_2023!$A$2:$E$3220,5,FALSE))</f>
        <v>270738</v>
      </c>
      <c r="F2266" s="32">
        <v>1209176.0</v>
      </c>
      <c r="G2266" s="32">
        <v>122.0</v>
      </c>
      <c r="H2266" s="32" t="str">
        <f>VLOOKUP(D2266, Grid_Region_Mapping!$D$2:$F$5286, 3, FALSE)</f>
        <v>PJME</v>
      </c>
      <c r="I2266" s="32">
        <v>2.0</v>
      </c>
      <c r="J2266" s="34" t="str">
        <f t="shared" si="1"/>
        <v>Northeast</v>
      </c>
      <c r="K2266" s="35">
        <v>2.0</v>
      </c>
      <c r="L2266" s="35" t="s">
        <v>396</v>
      </c>
      <c r="M2266" s="36">
        <f>VLOOKUP(D2266, County_Data_CZones!$B$2:$F$3236, 2, FALSE)</f>
        <v>5</v>
      </c>
      <c r="N2266" s="37" t="str">
        <f>VLOOKUP(D2266, County_Data_CZones!$B$2:$F$3236, 5, FALSE)</f>
        <v>Cold</v>
      </c>
    </row>
    <row r="2267" ht="15.75" customHeight="1">
      <c r="A2267" s="32" t="s">
        <v>1526</v>
      </c>
      <c r="B2267" s="32" t="s">
        <v>1514</v>
      </c>
      <c r="C2267" s="32" t="str">
        <f>vlookup(B2267,State_EMM_RowSums!$A$2:$B$52,2,FALSE)</f>
        <v>PA</v>
      </c>
      <c r="D2267" s="32">
        <v>42043.0</v>
      </c>
      <c r="E2267" s="33">
        <f>IF(NOT(ISBLANK(vlookup($D2267,Pop_Census_2023!$A$2:$E$3220,4,FALSE))),vlookup($D2267,Pop_Census_2023!$A$2:$E$3220,4,FALSE), vlookup($D2267,Pop_Census_2023!$A$2:$E$3220,5,FALSE))</f>
        <v>289234</v>
      </c>
      <c r="F2267" s="32">
        <v>1213667.0</v>
      </c>
      <c r="G2267" s="32">
        <v>122.0</v>
      </c>
      <c r="H2267" s="32" t="str">
        <f>VLOOKUP(D2267, Grid_Region_Mapping!$D$2:$F$5286, 3, FALSE)</f>
        <v>PJME</v>
      </c>
      <c r="I2267" s="32">
        <v>2.0</v>
      </c>
      <c r="J2267" s="34" t="str">
        <f t="shared" si="1"/>
        <v>Northeast</v>
      </c>
      <c r="K2267" s="35">
        <v>2.0</v>
      </c>
      <c r="L2267" s="35" t="s">
        <v>396</v>
      </c>
      <c r="M2267" s="36">
        <f>VLOOKUP(D2267, County_Data_CZones!$B$2:$F$3236, 2, FALSE)</f>
        <v>5</v>
      </c>
      <c r="N2267" s="37" t="str">
        <f>VLOOKUP(D2267, County_Data_CZones!$B$2:$F$3236, 5, FALSE)</f>
        <v>Cold</v>
      </c>
    </row>
    <row r="2268" ht="15.75" customHeight="1">
      <c r="A2268" s="32" t="s">
        <v>405</v>
      </c>
      <c r="B2268" s="32" t="s">
        <v>1514</v>
      </c>
      <c r="C2268" s="32" t="str">
        <f>vlookup(B2268,State_EMM_RowSums!$A$2:$B$52,2,FALSE)</f>
        <v>PA</v>
      </c>
      <c r="D2268" s="32">
        <v>42045.0</v>
      </c>
      <c r="E2268" s="33">
        <f>IF(NOT(ISBLANK(vlookup($D2268,Pop_Census_2023!$A$2:$E$3220,4,FALSE))),vlookup($D2268,Pop_Census_2023!$A$2:$E$3220,4,FALSE), vlookup($D2268,Pop_Census_2023!$A$2:$E$3220,5,FALSE))</f>
        <v>576720</v>
      </c>
      <c r="F2268" s="32">
        <v>1209177.0</v>
      </c>
      <c r="G2268" s="32">
        <v>122.0</v>
      </c>
      <c r="H2268" s="32" t="str">
        <f>VLOOKUP(D2268, Grid_Region_Mapping!$D$2:$F$5286, 3, FALSE)</f>
        <v>PJME</v>
      </c>
      <c r="I2268" s="32">
        <v>2.0</v>
      </c>
      <c r="J2268" s="34" t="str">
        <f t="shared" si="1"/>
        <v>Northeast</v>
      </c>
      <c r="K2268" s="35">
        <v>3.0</v>
      </c>
      <c r="L2268" s="35" t="s">
        <v>223</v>
      </c>
      <c r="M2268" s="36">
        <f>VLOOKUP(D2268, County_Data_CZones!$B$2:$F$3236, 2, FALSE)</f>
        <v>4</v>
      </c>
      <c r="N2268" s="37" t="str">
        <f>VLOOKUP(D2268, County_Data_CZones!$B$2:$F$3236, 5, FALSE)</f>
        <v>Mixed-Humid</v>
      </c>
    </row>
    <row r="2269" ht="15.75" customHeight="1">
      <c r="A2269" s="32" t="s">
        <v>763</v>
      </c>
      <c r="B2269" s="32" t="s">
        <v>1514</v>
      </c>
      <c r="C2269" s="32" t="str">
        <f>vlookup(B2269,State_EMM_RowSums!$A$2:$B$52,2,FALSE)</f>
        <v>PA</v>
      </c>
      <c r="D2269" s="32">
        <v>42047.0</v>
      </c>
      <c r="E2269" s="33">
        <f>IF(NOT(ISBLANK(vlookup($D2269,Pop_Census_2023!$A$2:$E$3220,4,FALSE))),vlookup($D2269,Pop_Census_2023!$A$2:$E$3220,4,FALSE), vlookup($D2269,Pop_Census_2023!$A$2:$E$3220,5,FALSE))</f>
        <v>30198</v>
      </c>
      <c r="F2269" s="32">
        <v>1213668.0</v>
      </c>
      <c r="G2269" s="32">
        <v>119.0</v>
      </c>
      <c r="H2269" s="32" t="str">
        <f>VLOOKUP(D2269, Grid_Region_Mapping!$D$2:$F$5286, 3, FALSE)</f>
        <v>PJME</v>
      </c>
      <c r="I2269" s="32">
        <v>2.0</v>
      </c>
      <c r="J2269" s="34" t="str">
        <f t="shared" si="1"/>
        <v>Northeast</v>
      </c>
      <c r="K2269" s="35">
        <v>1.0</v>
      </c>
      <c r="L2269" s="35" t="s">
        <v>707</v>
      </c>
      <c r="M2269" s="36">
        <f>VLOOKUP(D2269, County_Data_CZones!$B$2:$F$3236, 2, FALSE)</f>
        <v>6</v>
      </c>
      <c r="N2269" s="37" t="str">
        <f>VLOOKUP(D2269, County_Data_CZones!$B$2:$F$3236, 5, FALSE)</f>
        <v>Cold</v>
      </c>
    </row>
    <row r="2270" ht="15.75" customHeight="1">
      <c r="A2270" s="32" t="s">
        <v>1305</v>
      </c>
      <c r="B2270" s="32" t="s">
        <v>1514</v>
      </c>
      <c r="C2270" s="32" t="str">
        <f>vlookup(B2270,State_EMM_RowSums!$A$2:$B$52,2,FALSE)</f>
        <v>PA</v>
      </c>
      <c r="D2270" s="32">
        <v>42049.0</v>
      </c>
      <c r="E2270" s="33">
        <f>IF(NOT(ISBLANK(vlookup($D2270,Pop_Census_2023!$A$2:$E$3220,4,FALSE))),vlookup($D2270,Pop_Census_2023!$A$2:$E$3220,4,FALSE), vlookup($D2270,Pop_Census_2023!$A$2:$E$3220,5,FALSE))</f>
        <v>267571</v>
      </c>
      <c r="F2270" s="32">
        <v>1209178.0</v>
      </c>
      <c r="G2270" s="32">
        <v>122.0</v>
      </c>
      <c r="H2270" s="32" t="str">
        <f>VLOOKUP(D2270, Grid_Region_Mapping!$D$2:$F$5286, 3, FALSE)</f>
        <v>PJME</v>
      </c>
      <c r="I2270" s="32">
        <v>2.0</v>
      </c>
      <c r="J2270" s="34" t="str">
        <f t="shared" si="1"/>
        <v>Northeast</v>
      </c>
      <c r="K2270" s="35">
        <v>2.0</v>
      </c>
      <c r="L2270" s="35" t="s">
        <v>396</v>
      </c>
      <c r="M2270" s="36">
        <f>VLOOKUP(D2270, County_Data_CZones!$B$2:$F$3236, 2, FALSE)</f>
        <v>5</v>
      </c>
      <c r="N2270" s="37" t="str">
        <f>VLOOKUP(D2270, County_Data_CZones!$B$2:$F$3236, 5, FALSE)</f>
        <v>Cold</v>
      </c>
    </row>
    <row r="2271" ht="15.75" customHeight="1">
      <c r="A2271" s="32" t="s">
        <v>131</v>
      </c>
      <c r="B2271" s="32" t="s">
        <v>1514</v>
      </c>
      <c r="C2271" s="32" t="str">
        <f>vlookup(B2271,State_EMM_RowSums!$A$2:$B$52,2,FALSE)</f>
        <v>PA</v>
      </c>
      <c r="D2271" s="32">
        <v>42051.0</v>
      </c>
      <c r="E2271" s="33">
        <f>IF(NOT(ISBLANK(vlookup($D2271,Pop_Census_2023!$A$2:$E$3220,4,FALSE))),vlookup($D2271,Pop_Census_2023!$A$2:$E$3220,4,FALSE), vlookup($D2271,Pop_Census_2023!$A$2:$E$3220,5,FALSE))</f>
        <v>123915</v>
      </c>
      <c r="F2271" s="32">
        <v>1209179.0</v>
      </c>
      <c r="G2271" s="32">
        <v>115.0</v>
      </c>
      <c r="H2271" s="32" t="str">
        <f>VLOOKUP(D2271, Grid_Region_Mapping!$D$2:$F$5286, 3, FALSE)</f>
        <v>PJMW</v>
      </c>
      <c r="I2271" s="32">
        <v>2.0</v>
      </c>
      <c r="J2271" s="34" t="str">
        <f t="shared" si="1"/>
        <v>Northeast</v>
      </c>
      <c r="K2271" s="35">
        <v>2.0</v>
      </c>
      <c r="L2271" s="35" t="s">
        <v>396</v>
      </c>
      <c r="M2271" s="36">
        <f>VLOOKUP(D2271, County_Data_CZones!$B$2:$F$3236, 2, FALSE)</f>
        <v>5</v>
      </c>
      <c r="N2271" s="37" t="str">
        <f>VLOOKUP(D2271, County_Data_CZones!$B$2:$F$3236, 5, FALSE)</f>
        <v>Cold</v>
      </c>
    </row>
    <row r="2272" ht="15.75" customHeight="1">
      <c r="A2272" s="32" t="s">
        <v>1527</v>
      </c>
      <c r="B2272" s="32" t="s">
        <v>1514</v>
      </c>
      <c r="C2272" s="32" t="str">
        <f>vlookup(B2272,State_EMM_RowSums!$A$2:$B$52,2,FALSE)</f>
        <v>PA</v>
      </c>
      <c r="D2272" s="32">
        <v>42053.0</v>
      </c>
      <c r="E2272" s="33">
        <f>IF(NOT(ISBLANK(vlookup($D2272,Pop_Census_2023!$A$2:$E$3220,4,FALSE))),vlookup($D2272,Pop_Census_2023!$A$2:$E$3220,4,FALSE), vlookup($D2272,Pop_Census_2023!$A$2:$E$3220,5,FALSE))</f>
        <v>6449</v>
      </c>
      <c r="F2272" s="32">
        <v>1213669.0</v>
      </c>
      <c r="G2272" s="32">
        <v>122.0</v>
      </c>
      <c r="H2272" s="32" t="str">
        <f>VLOOKUP(D2272, Grid_Region_Mapping!$D$2:$F$5286, 3, FALSE)</f>
        <v>PJME</v>
      </c>
      <c r="I2272" s="32">
        <v>2.0</v>
      </c>
      <c r="J2272" s="34" t="str">
        <f t="shared" si="1"/>
        <v>Northeast</v>
      </c>
      <c r="K2272" s="35">
        <v>1.0</v>
      </c>
      <c r="L2272" s="35" t="s">
        <v>396</v>
      </c>
      <c r="M2272" s="36">
        <f>VLOOKUP(D2272, County_Data_CZones!$B$2:$F$3236, 2, FALSE)</f>
        <v>5</v>
      </c>
      <c r="N2272" s="37" t="str">
        <f>VLOOKUP(D2272, County_Data_CZones!$B$2:$F$3236, 5, FALSE)</f>
        <v>Cold</v>
      </c>
    </row>
    <row r="2273" ht="15.75" customHeight="1">
      <c r="A2273" s="32" t="s">
        <v>132</v>
      </c>
      <c r="B2273" s="32" t="s">
        <v>1514</v>
      </c>
      <c r="C2273" s="32" t="str">
        <f>vlookup(B2273,State_EMM_RowSums!$A$2:$B$52,2,FALSE)</f>
        <v>PA</v>
      </c>
      <c r="D2273" s="32">
        <v>42055.0</v>
      </c>
      <c r="E2273" s="33">
        <f>IF(NOT(ISBLANK(vlookup($D2273,Pop_Census_2023!$A$2:$E$3220,4,FALSE))),vlookup($D2273,Pop_Census_2023!$A$2:$E$3220,4,FALSE), vlookup($D2273,Pop_Census_2023!$A$2:$E$3220,5,FALSE))</f>
        <v>157854</v>
      </c>
      <c r="F2273" s="32">
        <v>1213670.0</v>
      </c>
      <c r="G2273" s="32">
        <v>120.0</v>
      </c>
      <c r="H2273" s="32" t="str">
        <f>VLOOKUP(D2273, Grid_Region_Mapping!$D$2:$F$5286, 3, FALSE)</f>
        <v>PJMW</v>
      </c>
      <c r="I2273" s="32">
        <v>2.0</v>
      </c>
      <c r="J2273" s="34" t="str">
        <f t="shared" si="1"/>
        <v>Northeast</v>
      </c>
      <c r="K2273" s="35">
        <v>3.0</v>
      </c>
      <c r="L2273" s="35" t="s">
        <v>396</v>
      </c>
      <c r="M2273" s="36">
        <f>VLOOKUP(D2273, County_Data_CZones!$B$2:$F$3236, 2, FALSE)</f>
        <v>5</v>
      </c>
      <c r="N2273" s="37" t="str">
        <f>VLOOKUP(D2273, County_Data_CZones!$B$2:$F$3236, 5, FALSE)</f>
        <v>Cold</v>
      </c>
    </row>
    <row r="2274" ht="15.75" customHeight="1">
      <c r="A2274" s="32" t="s">
        <v>240</v>
      </c>
      <c r="B2274" s="32" t="s">
        <v>1514</v>
      </c>
      <c r="C2274" s="32" t="str">
        <f>vlookup(B2274,State_EMM_RowSums!$A$2:$B$52,2,FALSE)</f>
        <v>PA</v>
      </c>
      <c r="D2274" s="32">
        <v>42057.0</v>
      </c>
      <c r="E2274" s="33">
        <f>IF(NOT(ISBLANK(vlookup($D2274,Pop_Census_2023!$A$2:$E$3220,4,FALSE))),vlookup($D2274,Pop_Census_2023!$A$2:$E$3220,4,FALSE), vlookup($D2274,Pop_Census_2023!$A$2:$E$3220,5,FALSE))</f>
        <v>14468</v>
      </c>
      <c r="F2274" s="32">
        <v>1213671.0</v>
      </c>
      <c r="G2274" s="32">
        <v>120.0</v>
      </c>
      <c r="H2274" s="32" t="str">
        <f>VLOOKUP(D2274, Grid_Region_Mapping!$D$2:$F$5286, 3, FALSE)</f>
        <v>PJMW</v>
      </c>
      <c r="I2274" s="32">
        <v>2.0</v>
      </c>
      <c r="J2274" s="34" t="str">
        <f t="shared" si="1"/>
        <v>Northeast</v>
      </c>
      <c r="K2274" s="35">
        <v>2.0</v>
      </c>
      <c r="L2274" s="35" t="s">
        <v>396</v>
      </c>
      <c r="M2274" s="36">
        <f>VLOOKUP(D2274, County_Data_CZones!$B$2:$F$3236, 2, FALSE)</f>
        <v>5</v>
      </c>
      <c r="N2274" s="37" t="str">
        <f>VLOOKUP(D2274, County_Data_CZones!$B$2:$F$3236, 5, FALSE)</f>
        <v>Cold</v>
      </c>
    </row>
    <row r="2275" ht="15.75" customHeight="1">
      <c r="A2275" s="32" t="s">
        <v>134</v>
      </c>
      <c r="B2275" s="32" t="s">
        <v>1514</v>
      </c>
      <c r="C2275" s="32" t="str">
        <f>vlookup(B2275,State_EMM_RowSums!$A$2:$B$52,2,FALSE)</f>
        <v>PA</v>
      </c>
      <c r="D2275" s="32">
        <v>42059.0</v>
      </c>
      <c r="E2275" s="33">
        <f>IF(NOT(ISBLANK(vlookup($D2275,Pop_Census_2023!$A$2:$E$3220,4,FALSE))),vlookup($D2275,Pop_Census_2023!$A$2:$E$3220,4,FALSE), vlookup($D2275,Pop_Census_2023!$A$2:$E$3220,5,FALSE))</f>
        <v>34357</v>
      </c>
      <c r="F2275" s="32">
        <v>1214033.0</v>
      </c>
      <c r="G2275" s="32">
        <v>115.0</v>
      </c>
      <c r="H2275" s="32" t="str">
        <f>VLOOKUP(D2275, Grid_Region_Mapping!$D$2:$F$5286, 3, FALSE)</f>
        <v>PJMW</v>
      </c>
      <c r="I2275" s="32">
        <v>2.0</v>
      </c>
      <c r="J2275" s="34" t="str">
        <f t="shared" si="1"/>
        <v>Northeast</v>
      </c>
      <c r="K2275" s="35">
        <v>2.0</v>
      </c>
      <c r="L2275" s="35" t="s">
        <v>396</v>
      </c>
      <c r="M2275" s="36">
        <f>VLOOKUP(D2275, County_Data_CZones!$B$2:$F$3236, 2, FALSE)</f>
        <v>5</v>
      </c>
      <c r="N2275" s="37" t="str">
        <f>VLOOKUP(D2275, County_Data_CZones!$B$2:$F$3236, 5, FALSE)</f>
        <v>Cold</v>
      </c>
    </row>
    <row r="2276" ht="15.75" customHeight="1">
      <c r="A2276" s="32" t="s">
        <v>1528</v>
      </c>
      <c r="B2276" s="32" t="s">
        <v>1514</v>
      </c>
      <c r="C2276" s="32" t="str">
        <f>vlookup(B2276,State_EMM_RowSums!$A$2:$B$52,2,FALSE)</f>
        <v>PA</v>
      </c>
      <c r="D2276" s="32">
        <v>42061.0</v>
      </c>
      <c r="E2276" s="33">
        <f>IF(NOT(ISBLANK(vlookup($D2276,Pop_Census_2023!$A$2:$E$3220,4,FALSE))),vlookup($D2276,Pop_Census_2023!$A$2:$E$3220,4,FALSE), vlookup($D2276,Pop_Census_2023!$A$2:$E$3220,5,FALSE))</f>
        <v>43514</v>
      </c>
      <c r="F2276" s="32">
        <v>1213672.0</v>
      </c>
      <c r="G2276" s="32">
        <v>122.0</v>
      </c>
      <c r="H2276" s="32" t="str">
        <f>VLOOKUP(D2276, Grid_Region_Mapping!$D$2:$F$5286, 3, FALSE)</f>
        <v>PJME</v>
      </c>
      <c r="I2276" s="32">
        <v>2.0</v>
      </c>
      <c r="J2276" s="34" t="str">
        <f t="shared" si="1"/>
        <v>Northeast</v>
      </c>
      <c r="K2276" s="35">
        <v>2.0</v>
      </c>
      <c r="L2276" s="35" t="s">
        <v>396</v>
      </c>
      <c r="M2276" s="36">
        <f>VLOOKUP(D2276, County_Data_CZones!$B$2:$F$3236, 2, FALSE)</f>
        <v>5</v>
      </c>
      <c r="N2276" s="37" t="str">
        <f>VLOOKUP(D2276, County_Data_CZones!$B$2:$F$3236, 5, FALSE)</f>
        <v>Cold</v>
      </c>
    </row>
    <row r="2277" ht="15.75" customHeight="1">
      <c r="A2277" s="32" t="s">
        <v>663</v>
      </c>
      <c r="B2277" s="32" t="s">
        <v>1514</v>
      </c>
      <c r="C2277" s="32" t="str">
        <f>vlookup(B2277,State_EMM_RowSums!$A$2:$B$52,2,FALSE)</f>
        <v>PA</v>
      </c>
      <c r="D2277" s="32">
        <v>42063.0</v>
      </c>
      <c r="E2277" s="33">
        <f>IF(NOT(ISBLANK(vlookup($D2277,Pop_Census_2023!$A$2:$E$3220,4,FALSE))),vlookup($D2277,Pop_Census_2023!$A$2:$E$3220,4,FALSE), vlookup($D2277,Pop_Census_2023!$A$2:$E$3220,5,FALSE))</f>
        <v>83094</v>
      </c>
      <c r="F2277" s="32">
        <v>1213673.0</v>
      </c>
      <c r="G2277" s="32">
        <v>122.0</v>
      </c>
      <c r="H2277" s="32" t="str">
        <f>VLOOKUP(D2277, Grid_Region_Mapping!$D$2:$F$5286, 3, FALSE)</f>
        <v>PJME</v>
      </c>
      <c r="I2277" s="32">
        <v>2.0</v>
      </c>
      <c r="J2277" s="34" t="str">
        <f t="shared" si="1"/>
        <v>Northeast</v>
      </c>
      <c r="K2277" s="35">
        <v>2.0</v>
      </c>
      <c r="L2277" s="35" t="s">
        <v>396</v>
      </c>
      <c r="M2277" s="36">
        <f>VLOOKUP(D2277, County_Data_CZones!$B$2:$F$3236, 2, FALSE)</f>
        <v>5</v>
      </c>
      <c r="N2277" s="37" t="str">
        <f>VLOOKUP(D2277, County_Data_CZones!$B$2:$F$3236, 5, FALSE)</f>
        <v>Cold</v>
      </c>
    </row>
    <row r="2278" ht="15.75" customHeight="1">
      <c r="A2278" s="32" t="s">
        <v>139</v>
      </c>
      <c r="B2278" s="32" t="s">
        <v>1514</v>
      </c>
      <c r="C2278" s="32" t="str">
        <f>vlookup(B2278,State_EMM_RowSums!$A$2:$B$52,2,FALSE)</f>
        <v>PA</v>
      </c>
      <c r="D2278" s="32">
        <v>42065.0</v>
      </c>
      <c r="E2278" s="33">
        <f>IF(NOT(ISBLANK(vlookup($D2278,Pop_Census_2023!$A$2:$E$3220,4,FALSE))),vlookup($D2278,Pop_Census_2023!$A$2:$E$3220,4,FALSE), vlookup($D2278,Pop_Census_2023!$A$2:$E$3220,5,FALSE))</f>
        <v>43612</v>
      </c>
      <c r="F2278" s="32">
        <v>1213674.0</v>
      </c>
      <c r="G2278" s="32">
        <v>122.0</v>
      </c>
      <c r="H2278" s="32" t="str">
        <f>VLOOKUP(D2278, Grid_Region_Mapping!$D$2:$F$5286, 3, FALSE)</f>
        <v>PJME</v>
      </c>
      <c r="I2278" s="32">
        <v>2.0</v>
      </c>
      <c r="J2278" s="34" t="str">
        <f t="shared" si="1"/>
        <v>Northeast</v>
      </c>
      <c r="K2278" s="35">
        <v>1.0</v>
      </c>
      <c r="L2278" s="35" t="s">
        <v>396</v>
      </c>
      <c r="M2278" s="36">
        <f>VLOOKUP(D2278, County_Data_CZones!$B$2:$F$3236, 2, FALSE)</f>
        <v>5</v>
      </c>
      <c r="N2278" s="37" t="str">
        <f>VLOOKUP(D2278, County_Data_CZones!$B$2:$F$3236, 5, FALSE)</f>
        <v>Cold</v>
      </c>
    </row>
    <row r="2279" ht="15.75" customHeight="1">
      <c r="A2279" s="32" t="s">
        <v>1529</v>
      </c>
      <c r="B2279" s="32" t="s">
        <v>1514</v>
      </c>
      <c r="C2279" s="32" t="str">
        <f>vlookup(B2279,State_EMM_RowSums!$A$2:$B$52,2,FALSE)</f>
        <v>PA</v>
      </c>
      <c r="D2279" s="32">
        <v>42067.0</v>
      </c>
      <c r="E2279" s="33">
        <f>IF(NOT(ISBLANK(vlookup($D2279,Pop_Census_2023!$A$2:$E$3220,4,FALSE))),vlookup($D2279,Pop_Census_2023!$A$2:$E$3220,4,FALSE), vlookup($D2279,Pop_Census_2023!$A$2:$E$3220,5,FALSE))</f>
        <v>23243</v>
      </c>
      <c r="F2279" s="32">
        <v>1209180.0</v>
      </c>
      <c r="G2279" s="32">
        <v>122.0</v>
      </c>
      <c r="H2279" s="32" t="str">
        <f>VLOOKUP(D2279, Grid_Region_Mapping!$D$2:$F$5286, 3, FALSE)</f>
        <v>PJME</v>
      </c>
      <c r="I2279" s="32">
        <v>2.0</v>
      </c>
      <c r="J2279" s="34" t="str">
        <f t="shared" si="1"/>
        <v>Northeast</v>
      </c>
      <c r="K2279" s="35">
        <v>2.0</v>
      </c>
      <c r="L2279" s="35" t="s">
        <v>396</v>
      </c>
      <c r="M2279" s="36">
        <f>VLOOKUP(D2279, County_Data_CZones!$B$2:$F$3236, 2, FALSE)</f>
        <v>5</v>
      </c>
      <c r="N2279" s="37" t="str">
        <f>VLOOKUP(D2279, County_Data_CZones!$B$2:$F$3236, 5, FALSE)</f>
        <v>Cold</v>
      </c>
    </row>
    <row r="2280" ht="15.75" customHeight="1">
      <c r="A2280" s="32" t="s">
        <v>1530</v>
      </c>
      <c r="B2280" s="32" t="s">
        <v>1514</v>
      </c>
      <c r="C2280" s="32" t="str">
        <f>vlookup(B2280,State_EMM_RowSums!$A$2:$B$52,2,FALSE)</f>
        <v>PA</v>
      </c>
      <c r="D2280" s="32">
        <v>42069.0</v>
      </c>
      <c r="E2280" s="33">
        <f>IF(NOT(ISBLANK(vlookup($D2280,Pop_Census_2023!$A$2:$E$3220,4,FALSE))),vlookup($D2280,Pop_Census_2023!$A$2:$E$3220,4,FALSE), vlookup($D2280,Pop_Census_2023!$A$2:$E$3220,5,FALSE))</f>
        <v>216123</v>
      </c>
      <c r="F2280" s="32">
        <v>1213675.0</v>
      </c>
      <c r="G2280" s="32">
        <v>122.0</v>
      </c>
      <c r="H2280" s="32" t="str">
        <f>VLOOKUP(D2280, Grid_Region_Mapping!$D$2:$F$5286, 3, FALSE)</f>
        <v>PJME</v>
      </c>
      <c r="I2280" s="32">
        <v>2.0</v>
      </c>
      <c r="J2280" s="34" t="str">
        <f t="shared" si="1"/>
        <v>Northeast</v>
      </c>
      <c r="K2280" s="35">
        <v>2.0</v>
      </c>
      <c r="L2280" s="35" t="s">
        <v>396</v>
      </c>
      <c r="M2280" s="36">
        <f>VLOOKUP(D2280, County_Data_CZones!$B$2:$F$3236, 2, FALSE)</f>
        <v>5</v>
      </c>
      <c r="N2280" s="37" t="str">
        <f>VLOOKUP(D2280, County_Data_CZones!$B$2:$F$3236, 5, FALSE)</f>
        <v>Cold</v>
      </c>
    </row>
    <row r="2281" ht="15.75" customHeight="1">
      <c r="A2281" s="32" t="s">
        <v>1224</v>
      </c>
      <c r="B2281" s="32" t="s">
        <v>1514</v>
      </c>
      <c r="C2281" s="32" t="str">
        <f>vlookup(B2281,State_EMM_RowSums!$A$2:$B$52,2,FALSE)</f>
        <v>PA</v>
      </c>
      <c r="D2281" s="32">
        <v>42071.0</v>
      </c>
      <c r="E2281" s="33">
        <f>IF(NOT(ISBLANK(vlookup($D2281,Pop_Census_2023!$A$2:$E$3220,4,FALSE))),vlookup($D2281,Pop_Census_2023!$A$2:$E$3220,4,FALSE), vlookup($D2281,Pop_Census_2023!$A$2:$E$3220,5,FALSE))</f>
        <v>558589</v>
      </c>
      <c r="F2281" s="32">
        <v>1209181.0</v>
      </c>
      <c r="G2281" s="32">
        <v>122.0</v>
      </c>
      <c r="H2281" s="32" t="str">
        <f>VLOOKUP(D2281, Grid_Region_Mapping!$D$2:$F$5286, 3, FALSE)</f>
        <v>PJME</v>
      </c>
      <c r="I2281" s="32">
        <v>2.0</v>
      </c>
      <c r="J2281" s="34" t="str">
        <f t="shared" si="1"/>
        <v>Northeast</v>
      </c>
      <c r="K2281" s="35">
        <v>3.0</v>
      </c>
      <c r="L2281" s="35" t="s">
        <v>396</v>
      </c>
      <c r="M2281" s="36">
        <f>VLOOKUP(D2281, County_Data_CZones!$B$2:$F$3236, 2, FALSE)</f>
        <v>5</v>
      </c>
      <c r="N2281" s="37" t="str">
        <f>VLOOKUP(D2281, County_Data_CZones!$B$2:$F$3236, 5, FALSE)</f>
        <v>Cold</v>
      </c>
    </row>
    <row r="2282" ht="15.75" customHeight="1">
      <c r="A2282" s="32" t="s">
        <v>142</v>
      </c>
      <c r="B2282" s="32" t="s">
        <v>1514</v>
      </c>
      <c r="C2282" s="32" t="str">
        <f>vlookup(B2282,State_EMM_RowSums!$A$2:$B$52,2,FALSE)</f>
        <v>PA</v>
      </c>
      <c r="D2282" s="32">
        <v>42073.0</v>
      </c>
      <c r="E2282" s="33">
        <f>IF(NOT(ISBLANK(vlookup($D2282,Pop_Census_2023!$A$2:$E$3220,4,FALSE))),vlookup($D2282,Pop_Census_2023!$A$2:$E$3220,4,FALSE), vlookup($D2282,Pop_Census_2023!$A$2:$E$3220,5,FALSE))</f>
        <v>84472</v>
      </c>
      <c r="F2282" s="32">
        <v>1213676.0</v>
      </c>
      <c r="G2282" s="32">
        <v>122.0</v>
      </c>
      <c r="H2282" s="32" t="str">
        <f>VLOOKUP(D2282, Grid_Region_Mapping!$D$2:$F$5286, 3, FALSE)</f>
        <v>PJMW</v>
      </c>
      <c r="I2282" s="32">
        <v>2.0</v>
      </c>
      <c r="J2282" s="34" t="str">
        <f t="shared" si="1"/>
        <v>Northeast</v>
      </c>
      <c r="K2282" s="35">
        <v>2.0</v>
      </c>
      <c r="L2282" s="35" t="s">
        <v>396</v>
      </c>
      <c r="M2282" s="36">
        <f>VLOOKUP(D2282, County_Data_CZones!$B$2:$F$3236, 2, FALSE)</f>
        <v>5</v>
      </c>
      <c r="N2282" s="37" t="str">
        <f>VLOOKUP(D2282, County_Data_CZones!$B$2:$F$3236, 5, FALSE)</f>
        <v>Cold</v>
      </c>
    </row>
    <row r="2283" ht="15.75" customHeight="1">
      <c r="A2283" s="32" t="s">
        <v>1531</v>
      </c>
      <c r="B2283" s="32" t="s">
        <v>1514</v>
      </c>
      <c r="C2283" s="32" t="str">
        <f>vlookup(B2283,State_EMM_RowSums!$A$2:$B$52,2,FALSE)</f>
        <v>PA</v>
      </c>
      <c r="D2283" s="32">
        <v>42075.0</v>
      </c>
      <c r="E2283" s="33">
        <f>IF(NOT(ISBLANK(vlookup($D2283,Pop_Census_2023!$A$2:$E$3220,4,FALSE))),vlookup($D2283,Pop_Census_2023!$A$2:$E$3220,4,FALSE), vlookup($D2283,Pop_Census_2023!$A$2:$E$3220,5,FALSE))</f>
        <v>144252</v>
      </c>
      <c r="F2283" s="32">
        <v>1214034.0</v>
      </c>
      <c r="G2283" s="32">
        <v>122.0</v>
      </c>
      <c r="H2283" s="32" t="str">
        <f>VLOOKUP(D2283, Grid_Region_Mapping!$D$2:$F$5286, 3, FALSE)</f>
        <v>PJME</v>
      </c>
      <c r="I2283" s="32">
        <v>2.0</v>
      </c>
      <c r="J2283" s="34" t="str">
        <f t="shared" si="1"/>
        <v>Northeast</v>
      </c>
      <c r="K2283" s="35">
        <v>2.0</v>
      </c>
      <c r="L2283" s="35" t="s">
        <v>396</v>
      </c>
      <c r="M2283" s="36">
        <f>VLOOKUP(D2283, County_Data_CZones!$B$2:$F$3236, 2, FALSE)</f>
        <v>5</v>
      </c>
      <c r="N2283" s="37" t="str">
        <f>VLOOKUP(D2283, County_Data_CZones!$B$2:$F$3236, 5, FALSE)</f>
        <v>Cold</v>
      </c>
    </row>
    <row r="2284" ht="15.75" customHeight="1">
      <c r="A2284" s="32" t="s">
        <v>1532</v>
      </c>
      <c r="B2284" s="32" t="s">
        <v>1514</v>
      </c>
      <c r="C2284" s="32" t="str">
        <f>vlookup(B2284,State_EMM_RowSums!$A$2:$B$52,2,FALSE)</f>
        <v>PA</v>
      </c>
      <c r="D2284" s="32">
        <v>42077.0</v>
      </c>
      <c r="E2284" s="33">
        <f>IF(NOT(ISBLANK(vlookup($D2284,Pop_Census_2023!$A$2:$E$3220,4,FALSE))),vlookup($D2284,Pop_Census_2023!$A$2:$E$3220,4,FALSE), vlookup($D2284,Pop_Census_2023!$A$2:$E$3220,5,FALSE))</f>
        <v>377754</v>
      </c>
      <c r="F2284" s="32">
        <v>1209182.0</v>
      </c>
      <c r="G2284" s="32">
        <v>122.0</v>
      </c>
      <c r="H2284" s="32" t="str">
        <f>VLOOKUP(D2284, Grid_Region_Mapping!$D$2:$F$5286, 3, FALSE)</f>
        <v>PJME</v>
      </c>
      <c r="I2284" s="32">
        <v>2.0</v>
      </c>
      <c r="J2284" s="34" t="str">
        <f t="shared" si="1"/>
        <v>Northeast</v>
      </c>
      <c r="K2284" s="35">
        <v>2.0</v>
      </c>
      <c r="L2284" s="35" t="s">
        <v>396</v>
      </c>
      <c r="M2284" s="36">
        <f>VLOOKUP(D2284, County_Data_CZones!$B$2:$F$3236, 2, FALSE)</f>
        <v>5</v>
      </c>
      <c r="N2284" s="37" t="str">
        <f>VLOOKUP(D2284, County_Data_CZones!$B$2:$F$3236, 5, FALSE)</f>
        <v>Cold</v>
      </c>
    </row>
    <row r="2285" ht="15.75" customHeight="1">
      <c r="A2285" s="32" t="s">
        <v>1533</v>
      </c>
      <c r="B2285" s="32" t="s">
        <v>1514</v>
      </c>
      <c r="C2285" s="32" t="str">
        <f>vlookup(B2285,State_EMM_RowSums!$A$2:$B$52,2,FALSE)</f>
        <v>PA</v>
      </c>
      <c r="D2285" s="32">
        <v>42079.0</v>
      </c>
      <c r="E2285" s="33">
        <f>IF(NOT(ISBLANK(vlookup($D2285,Pop_Census_2023!$A$2:$E$3220,4,FALSE))),vlookup($D2285,Pop_Census_2023!$A$2:$E$3220,4,FALSE), vlookup($D2285,Pop_Census_2023!$A$2:$E$3220,5,FALSE))</f>
        <v>327388</v>
      </c>
      <c r="F2285" s="32">
        <v>1209183.0</v>
      </c>
      <c r="G2285" s="32">
        <v>122.0</v>
      </c>
      <c r="H2285" s="32" t="str">
        <f>VLOOKUP(D2285, Grid_Region_Mapping!$D$2:$F$5286, 3, FALSE)</f>
        <v>PJME</v>
      </c>
      <c r="I2285" s="32">
        <v>2.0</v>
      </c>
      <c r="J2285" s="34" t="str">
        <f t="shared" si="1"/>
        <v>Northeast</v>
      </c>
      <c r="K2285" s="35">
        <v>2.0</v>
      </c>
      <c r="L2285" s="35" t="s">
        <v>396</v>
      </c>
      <c r="M2285" s="36">
        <f>VLOOKUP(D2285, County_Data_CZones!$B$2:$F$3236, 2, FALSE)</f>
        <v>5</v>
      </c>
      <c r="N2285" s="37" t="str">
        <f>VLOOKUP(D2285, County_Data_CZones!$B$2:$F$3236, 5, FALSE)</f>
        <v>Cold</v>
      </c>
    </row>
    <row r="2286" ht="15.75" customHeight="1">
      <c r="A2286" s="32" t="s">
        <v>1534</v>
      </c>
      <c r="B2286" s="32" t="s">
        <v>1514</v>
      </c>
      <c r="C2286" s="32" t="str">
        <f>vlookup(B2286,State_EMM_RowSums!$A$2:$B$52,2,FALSE)</f>
        <v>PA</v>
      </c>
      <c r="D2286" s="32">
        <v>42081.0</v>
      </c>
      <c r="E2286" s="33">
        <f>IF(NOT(ISBLANK(vlookup($D2286,Pop_Census_2023!$A$2:$E$3220,4,FALSE))),vlookup($D2286,Pop_Census_2023!$A$2:$E$3220,4,FALSE), vlookup($D2286,Pop_Census_2023!$A$2:$E$3220,5,FALSE))</f>
        <v>112724</v>
      </c>
      <c r="F2286" s="32">
        <v>1213677.0</v>
      </c>
      <c r="G2286" s="32">
        <v>122.0</v>
      </c>
      <c r="H2286" s="32" t="str">
        <f>VLOOKUP(D2286, Grid_Region_Mapping!$D$2:$F$5286, 3, FALSE)</f>
        <v>PJME</v>
      </c>
      <c r="I2286" s="32">
        <v>2.0</v>
      </c>
      <c r="J2286" s="34" t="str">
        <f t="shared" si="1"/>
        <v>Northeast</v>
      </c>
      <c r="K2286" s="35">
        <v>2.0</v>
      </c>
      <c r="L2286" s="35" t="s">
        <v>396</v>
      </c>
      <c r="M2286" s="36">
        <f>VLOOKUP(D2286, County_Data_CZones!$B$2:$F$3236, 2, FALSE)</f>
        <v>5</v>
      </c>
      <c r="N2286" s="37" t="str">
        <f>VLOOKUP(D2286, County_Data_CZones!$B$2:$F$3236, 5, FALSE)</f>
        <v>Cold</v>
      </c>
    </row>
    <row r="2287" ht="15.75" customHeight="1">
      <c r="A2287" s="32" t="s">
        <v>1535</v>
      </c>
      <c r="B2287" s="32" t="s">
        <v>1514</v>
      </c>
      <c r="C2287" s="32" t="str">
        <f>vlookup(B2287,State_EMM_RowSums!$A$2:$B$52,2,FALSE)</f>
        <v>PA</v>
      </c>
      <c r="D2287" s="32">
        <v>42083.0</v>
      </c>
      <c r="E2287" s="33">
        <f>IF(NOT(ISBLANK(vlookup($D2287,Pop_Census_2023!$A$2:$E$3220,4,FALSE))),vlookup($D2287,Pop_Census_2023!$A$2:$E$3220,4,FALSE), vlookup($D2287,Pop_Census_2023!$A$2:$E$3220,5,FALSE))</f>
        <v>39519</v>
      </c>
      <c r="F2287" s="32">
        <v>1210235.0</v>
      </c>
      <c r="G2287" s="32">
        <v>122.0</v>
      </c>
      <c r="H2287" s="32" t="str">
        <f>VLOOKUP(D2287, Grid_Region_Mapping!$D$2:$F$5286, 3, FALSE)</f>
        <v>PJME</v>
      </c>
      <c r="I2287" s="32">
        <v>2.0</v>
      </c>
      <c r="J2287" s="34" t="str">
        <f t="shared" si="1"/>
        <v>Northeast</v>
      </c>
      <c r="K2287" s="35">
        <v>1.0</v>
      </c>
      <c r="L2287" s="35" t="s">
        <v>707</v>
      </c>
      <c r="M2287" s="36">
        <f>VLOOKUP(D2287, County_Data_CZones!$B$2:$F$3236, 2, FALSE)</f>
        <v>6</v>
      </c>
      <c r="N2287" s="37" t="str">
        <f>VLOOKUP(D2287, County_Data_CZones!$B$2:$F$3236, 5, FALSE)</f>
        <v>Cold</v>
      </c>
    </row>
    <row r="2288" ht="15.75" customHeight="1">
      <c r="A2288" s="32" t="s">
        <v>644</v>
      </c>
      <c r="B2288" s="32" t="s">
        <v>1514</v>
      </c>
      <c r="C2288" s="32" t="str">
        <f>vlookup(B2288,State_EMM_RowSums!$A$2:$B$52,2,FALSE)</f>
        <v>PA</v>
      </c>
      <c r="D2288" s="32">
        <v>42085.0</v>
      </c>
      <c r="E2288" s="33">
        <f>IF(NOT(ISBLANK(vlookup($D2288,Pop_Census_2023!$A$2:$E$3220,4,FALSE))),vlookup($D2288,Pop_Census_2023!$A$2:$E$3220,4,FALSE), vlookup($D2288,Pop_Census_2023!$A$2:$E$3220,5,FALSE))</f>
        <v>108503</v>
      </c>
      <c r="F2288" s="32">
        <v>1213678.0</v>
      </c>
      <c r="G2288" s="32">
        <v>122.0</v>
      </c>
      <c r="H2288" s="32" t="str">
        <f>VLOOKUP(D2288, Grid_Region_Mapping!$D$2:$F$5286, 3, FALSE)</f>
        <v>PJMW</v>
      </c>
      <c r="I2288" s="32">
        <v>2.0</v>
      </c>
      <c r="J2288" s="34" t="str">
        <f t="shared" si="1"/>
        <v>Northeast</v>
      </c>
      <c r="K2288" s="35">
        <v>2.0</v>
      </c>
      <c r="L2288" s="35" t="s">
        <v>396</v>
      </c>
      <c r="M2288" s="36">
        <f>VLOOKUP(D2288, County_Data_CZones!$B$2:$F$3236, 2, FALSE)</f>
        <v>5</v>
      </c>
      <c r="N2288" s="37" t="str">
        <f>VLOOKUP(D2288, County_Data_CZones!$B$2:$F$3236, 5, FALSE)</f>
        <v>Cold</v>
      </c>
    </row>
    <row r="2289" ht="15.75" customHeight="1">
      <c r="A2289" s="32" t="s">
        <v>1536</v>
      </c>
      <c r="B2289" s="32" t="s">
        <v>1514</v>
      </c>
      <c r="C2289" s="32" t="str">
        <f>vlookup(B2289,State_EMM_RowSums!$A$2:$B$52,2,FALSE)</f>
        <v>PA</v>
      </c>
      <c r="D2289" s="32">
        <v>42087.0</v>
      </c>
      <c r="E2289" s="33">
        <f>IF(NOT(ISBLANK(vlookup($D2289,Pop_Census_2023!$A$2:$E$3220,4,FALSE))),vlookup($D2289,Pop_Census_2023!$A$2:$E$3220,4,FALSE), vlookup($D2289,Pop_Census_2023!$A$2:$E$3220,5,FALSE))</f>
        <v>45922</v>
      </c>
      <c r="F2289" s="32">
        <v>1213679.0</v>
      </c>
      <c r="G2289" s="32">
        <v>122.0</v>
      </c>
      <c r="H2289" s="32" t="str">
        <f>VLOOKUP(D2289, Grid_Region_Mapping!$D$2:$F$5286, 3, FALSE)</f>
        <v>PJME</v>
      </c>
      <c r="I2289" s="32">
        <v>2.0</v>
      </c>
      <c r="J2289" s="34" t="str">
        <f t="shared" si="1"/>
        <v>Northeast</v>
      </c>
      <c r="K2289" s="35">
        <v>2.0</v>
      </c>
      <c r="L2289" s="35" t="s">
        <v>396</v>
      </c>
      <c r="M2289" s="36">
        <f>VLOOKUP(D2289, County_Data_CZones!$B$2:$F$3236, 2, FALSE)</f>
        <v>5</v>
      </c>
      <c r="N2289" s="37" t="str">
        <f>VLOOKUP(D2289, County_Data_CZones!$B$2:$F$3236, 5, FALSE)</f>
        <v>Cold</v>
      </c>
    </row>
    <row r="2290" ht="15.75" customHeight="1">
      <c r="A2290" s="32" t="s">
        <v>152</v>
      </c>
      <c r="B2290" s="32" t="s">
        <v>1514</v>
      </c>
      <c r="C2290" s="32" t="str">
        <f>vlookup(B2290,State_EMM_RowSums!$A$2:$B$52,2,FALSE)</f>
        <v>PA</v>
      </c>
      <c r="D2290" s="32">
        <v>42089.0</v>
      </c>
      <c r="E2290" s="33">
        <f>IF(NOT(ISBLANK(vlookup($D2290,Pop_Census_2023!$A$2:$E$3220,4,FALSE))),vlookup($D2290,Pop_Census_2023!$A$2:$E$3220,4,FALSE), vlookup($D2290,Pop_Census_2023!$A$2:$E$3220,5,FALSE))</f>
        <v>166053</v>
      </c>
      <c r="F2290" s="32">
        <v>1209184.0</v>
      </c>
      <c r="G2290" s="32">
        <v>122.0</v>
      </c>
      <c r="H2290" s="32" t="str">
        <f>VLOOKUP(D2290, Grid_Region_Mapping!$D$2:$F$5286, 3, FALSE)</f>
        <v>PJME</v>
      </c>
      <c r="I2290" s="32">
        <v>2.0</v>
      </c>
      <c r="J2290" s="34" t="str">
        <f t="shared" si="1"/>
        <v>Northeast</v>
      </c>
      <c r="K2290" s="35">
        <v>2.0</v>
      </c>
      <c r="L2290" s="35" t="s">
        <v>396</v>
      </c>
      <c r="M2290" s="36">
        <f>VLOOKUP(D2290, County_Data_CZones!$B$2:$F$3236, 2, FALSE)</f>
        <v>5</v>
      </c>
      <c r="N2290" s="37" t="str">
        <f>VLOOKUP(D2290, County_Data_CZones!$B$2:$F$3236, 5, FALSE)</f>
        <v>Cold</v>
      </c>
    </row>
    <row r="2291" ht="15.75" customHeight="1">
      <c r="A2291" s="32" t="s">
        <v>153</v>
      </c>
      <c r="B2291" s="32" t="s">
        <v>1514</v>
      </c>
      <c r="C2291" s="32" t="str">
        <f>vlookup(B2291,State_EMM_RowSums!$A$2:$B$52,2,FALSE)</f>
        <v>PA</v>
      </c>
      <c r="D2291" s="32">
        <v>42091.0</v>
      </c>
      <c r="E2291" s="33">
        <f>IF(NOT(ISBLANK(vlookup($D2291,Pop_Census_2023!$A$2:$E$3220,4,FALSE))),vlookup($D2291,Pop_Census_2023!$A$2:$E$3220,4,FALSE), vlookup($D2291,Pop_Census_2023!$A$2:$E$3220,5,FALSE))</f>
        <v>868742</v>
      </c>
      <c r="F2291" s="32">
        <v>1213680.0</v>
      </c>
      <c r="G2291" s="32">
        <v>122.0</v>
      </c>
      <c r="H2291" s="32" t="str">
        <f>VLOOKUP(D2291, Grid_Region_Mapping!$D$2:$F$5286, 3, FALSE)</f>
        <v>PJME</v>
      </c>
      <c r="I2291" s="32">
        <v>2.0</v>
      </c>
      <c r="J2291" s="34" t="str">
        <f t="shared" si="1"/>
        <v>Northeast</v>
      </c>
      <c r="K2291" s="35">
        <v>3.0</v>
      </c>
      <c r="L2291" s="35" t="s">
        <v>223</v>
      </c>
      <c r="M2291" s="36">
        <f>VLOOKUP(D2291, County_Data_CZones!$B$2:$F$3236, 2, FALSE)</f>
        <v>4</v>
      </c>
      <c r="N2291" s="37" t="str">
        <f>VLOOKUP(D2291, County_Data_CZones!$B$2:$F$3236, 5, FALSE)</f>
        <v>Mixed-Humid</v>
      </c>
    </row>
    <row r="2292" ht="15.75" customHeight="1">
      <c r="A2292" s="32" t="s">
        <v>1537</v>
      </c>
      <c r="B2292" s="32" t="s">
        <v>1514</v>
      </c>
      <c r="C2292" s="32" t="str">
        <f>vlookup(B2292,State_EMM_RowSums!$A$2:$B$52,2,FALSE)</f>
        <v>PA</v>
      </c>
      <c r="D2292" s="32">
        <v>42093.0</v>
      </c>
      <c r="E2292" s="33">
        <f>IF(NOT(ISBLANK(vlookup($D2292,Pop_Census_2023!$A$2:$E$3220,4,FALSE))),vlookup($D2292,Pop_Census_2023!$A$2:$E$3220,4,FALSE), vlookup($D2292,Pop_Census_2023!$A$2:$E$3220,5,FALSE))</f>
        <v>17860</v>
      </c>
      <c r="F2292" s="32">
        <v>1213681.0</v>
      </c>
      <c r="G2292" s="32">
        <v>122.0</v>
      </c>
      <c r="H2292" s="32" t="str">
        <f>VLOOKUP(D2292, Grid_Region_Mapping!$D$2:$F$5286, 3, FALSE)</f>
        <v>PJME</v>
      </c>
      <c r="I2292" s="32">
        <v>2.0</v>
      </c>
      <c r="J2292" s="34" t="str">
        <f t="shared" si="1"/>
        <v>Northeast</v>
      </c>
      <c r="K2292" s="35">
        <v>2.0</v>
      </c>
      <c r="L2292" s="35" t="s">
        <v>396</v>
      </c>
      <c r="M2292" s="36">
        <f>VLOOKUP(D2292, County_Data_CZones!$B$2:$F$3236, 2, FALSE)</f>
        <v>5</v>
      </c>
      <c r="N2292" s="37" t="str">
        <f>VLOOKUP(D2292, County_Data_CZones!$B$2:$F$3236, 5, FALSE)</f>
        <v>Cold</v>
      </c>
    </row>
    <row r="2293" ht="15.75" customHeight="1">
      <c r="A2293" s="32" t="s">
        <v>1368</v>
      </c>
      <c r="B2293" s="32" t="s">
        <v>1514</v>
      </c>
      <c r="C2293" s="32" t="str">
        <f>vlookup(B2293,State_EMM_RowSums!$A$2:$B$52,2,FALSE)</f>
        <v>PA</v>
      </c>
      <c r="D2293" s="32">
        <v>42095.0</v>
      </c>
      <c r="E2293" s="33">
        <f>IF(NOT(ISBLANK(vlookup($D2293,Pop_Census_2023!$A$2:$E$3220,4,FALSE))),vlookup($D2293,Pop_Census_2023!$A$2:$E$3220,4,FALSE), vlookup($D2293,Pop_Census_2023!$A$2:$E$3220,5,FALSE))</f>
        <v>319091</v>
      </c>
      <c r="F2293" s="32">
        <v>1209185.0</v>
      </c>
      <c r="G2293" s="32">
        <v>122.0</v>
      </c>
      <c r="H2293" s="32" t="str">
        <f>VLOOKUP(D2293, Grid_Region_Mapping!$D$2:$F$5286, 3, FALSE)</f>
        <v>PJME</v>
      </c>
      <c r="I2293" s="32">
        <v>2.0</v>
      </c>
      <c r="J2293" s="34" t="str">
        <f t="shared" si="1"/>
        <v>Northeast</v>
      </c>
      <c r="K2293" s="35">
        <v>2.0</v>
      </c>
      <c r="L2293" s="35" t="s">
        <v>396</v>
      </c>
      <c r="M2293" s="36">
        <f>VLOOKUP(D2293, County_Data_CZones!$B$2:$F$3236, 2, FALSE)</f>
        <v>5</v>
      </c>
      <c r="N2293" s="37" t="str">
        <f>VLOOKUP(D2293, County_Data_CZones!$B$2:$F$3236, 5, FALSE)</f>
        <v>Cold</v>
      </c>
    </row>
    <row r="2294" ht="15.75" customHeight="1">
      <c r="A2294" s="32" t="s">
        <v>1538</v>
      </c>
      <c r="B2294" s="32" t="s">
        <v>1514</v>
      </c>
      <c r="C2294" s="32" t="str">
        <f>vlookup(B2294,State_EMM_RowSums!$A$2:$B$52,2,FALSE)</f>
        <v>PA</v>
      </c>
      <c r="D2294" s="32">
        <v>42097.0</v>
      </c>
      <c r="E2294" s="33">
        <f>IF(NOT(ISBLANK(vlookup($D2294,Pop_Census_2023!$A$2:$E$3220,4,FALSE))),vlookup($D2294,Pop_Census_2023!$A$2:$E$3220,4,FALSE), vlookup($D2294,Pop_Census_2023!$A$2:$E$3220,5,FALSE))</f>
        <v>90120</v>
      </c>
      <c r="F2294" s="32">
        <v>1209186.0</v>
      </c>
      <c r="G2294" s="32">
        <v>122.0</v>
      </c>
      <c r="H2294" s="32" t="str">
        <f>VLOOKUP(D2294, Grid_Region_Mapping!$D$2:$F$5286, 3, FALSE)</f>
        <v>PJME</v>
      </c>
      <c r="I2294" s="32">
        <v>2.0</v>
      </c>
      <c r="J2294" s="34" t="str">
        <f t="shared" si="1"/>
        <v>Northeast</v>
      </c>
      <c r="K2294" s="35">
        <v>2.0</v>
      </c>
      <c r="L2294" s="35" t="s">
        <v>396</v>
      </c>
      <c r="M2294" s="36">
        <f>VLOOKUP(D2294, County_Data_CZones!$B$2:$F$3236, 2, FALSE)</f>
        <v>5</v>
      </c>
      <c r="N2294" s="37" t="str">
        <f>VLOOKUP(D2294, County_Data_CZones!$B$2:$F$3236, 5, FALSE)</f>
        <v>Cold</v>
      </c>
    </row>
    <row r="2295" ht="15.75" customHeight="1">
      <c r="A2295" s="32" t="s">
        <v>155</v>
      </c>
      <c r="B2295" s="32" t="s">
        <v>1514</v>
      </c>
      <c r="C2295" s="32" t="str">
        <f>vlookup(B2295,State_EMM_RowSums!$A$2:$B$52,2,FALSE)</f>
        <v>PA</v>
      </c>
      <c r="D2295" s="32">
        <v>42099.0</v>
      </c>
      <c r="E2295" s="33">
        <f>IF(NOT(ISBLANK(vlookup($D2295,Pop_Census_2023!$A$2:$E$3220,4,FALSE))),vlookup($D2295,Pop_Census_2023!$A$2:$E$3220,4,FALSE), vlookup($D2295,Pop_Census_2023!$A$2:$E$3220,5,FALSE))</f>
        <v>46083</v>
      </c>
      <c r="F2295" s="32">
        <v>1213682.0</v>
      </c>
      <c r="G2295" s="32">
        <v>122.0</v>
      </c>
      <c r="H2295" s="32" t="str">
        <f>VLOOKUP(D2295, Grid_Region_Mapping!$D$2:$F$5286, 3, FALSE)</f>
        <v>PJME</v>
      </c>
      <c r="I2295" s="32">
        <v>2.0</v>
      </c>
      <c r="J2295" s="34" t="str">
        <f t="shared" si="1"/>
        <v>Northeast</v>
      </c>
      <c r="K2295" s="35">
        <v>2.0</v>
      </c>
      <c r="L2295" s="35" t="s">
        <v>396</v>
      </c>
      <c r="M2295" s="36">
        <f>VLOOKUP(D2295, County_Data_CZones!$B$2:$F$3236, 2, FALSE)</f>
        <v>5</v>
      </c>
      <c r="N2295" s="37" t="str">
        <f>VLOOKUP(D2295, County_Data_CZones!$B$2:$F$3236, 5, FALSE)</f>
        <v>Cold</v>
      </c>
    </row>
    <row r="2296" ht="15.75" customHeight="1">
      <c r="A2296" s="32" t="s">
        <v>1539</v>
      </c>
      <c r="B2296" s="32" t="s">
        <v>1514</v>
      </c>
      <c r="C2296" s="32" t="str">
        <f>vlookup(B2296,State_EMM_RowSums!$A$2:$B$52,2,FALSE)</f>
        <v>PA</v>
      </c>
      <c r="D2296" s="32">
        <v>42101.0</v>
      </c>
      <c r="E2296" s="33">
        <f>IF(NOT(ISBLANK(vlookup($D2296,Pop_Census_2023!$A$2:$E$3220,4,FALSE))),vlookup($D2296,Pop_Census_2023!$A$2:$E$3220,4,FALSE), vlookup($D2296,Pop_Census_2023!$A$2:$E$3220,5,FALSE))</f>
        <v>1550542</v>
      </c>
      <c r="F2296" s="32">
        <v>1209187.0</v>
      </c>
      <c r="G2296" s="32">
        <v>122.0</v>
      </c>
      <c r="H2296" s="32" t="str">
        <f>VLOOKUP(D2296, Grid_Region_Mapping!$D$2:$F$5286, 3, FALSE)</f>
        <v>PJME</v>
      </c>
      <c r="I2296" s="32">
        <v>2.0</v>
      </c>
      <c r="J2296" s="34" t="str">
        <f t="shared" si="1"/>
        <v>Northeast</v>
      </c>
      <c r="K2296" s="35">
        <v>3.0</v>
      </c>
      <c r="L2296" s="35" t="s">
        <v>223</v>
      </c>
      <c r="M2296" s="36">
        <f>VLOOKUP(D2296, County_Data_CZones!$B$2:$F$3236, 2, FALSE)</f>
        <v>4</v>
      </c>
      <c r="N2296" s="37" t="str">
        <f>VLOOKUP(D2296, County_Data_CZones!$B$2:$F$3236, 5, FALSE)</f>
        <v>Mixed-Humid</v>
      </c>
    </row>
    <row r="2297" ht="15.75" customHeight="1">
      <c r="A2297" s="32" t="s">
        <v>157</v>
      </c>
      <c r="B2297" s="32" t="s">
        <v>1514</v>
      </c>
      <c r="C2297" s="32" t="str">
        <f>vlookup(B2297,State_EMM_RowSums!$A$2:$B$52,2,FALSE)</f>
        <v>PA</v>
      </c>
      <c r="D2297" s="32">
        <v>42103.0</v>
      </c>
      <c r="E2297" s="33">
        <f>IF(NOT(ISBLANK(vlookup($D2297,Pop_Census_2023!$A$2:$E$3220,4,FALSE))),vlookup($D2297,Pop_Census_2023!$A$2:$E$3220,4,FALSE), vlookup($D2297,Pop_Census_2023!$A$2:$E$3220,5,FALSE))</f>
        <v>61247</v>
      </c>
      <c r="F2297" s="32">
        <v>1213683.0</v>
      </c>
      <c r="G2297" s="32">
        <v>122.0</v>
      </c>
      <c r="H2297" s="32" t="str">
        <f>VLOOKUP(D2297, Grid_Region_Mapping!$D$2:$F$5286, 3, FALSE)</f>
        <v>PJME</v>
      </c>
      <c r="I2297" s="32">
        <v>2.0</v>
      </c>
      <c r="J2297" s="34" t="str">
        <f t="shared" si="1"/>
        <v>Northeast</v>
      </c>
      <c r="K2297" s="35">
        <v>2.0</v>
      </c>
      <c r="L2297" s="35" t="s">
        <v>396</v>
      </c>
      <c r="M2297" s="36">
        <f>VLOOKUP(D2297, County_Data_CZones!$B$2:$F$3236, 2, FALSE)</f>
        <v>5</v>
      </c>
      <c r="N2297" s="37" t="str">
        <f>VLOOKUP(D2297, County_Data_CZones!$B$2:$F$3236, 5, FALSE)</f>
        <v>Cold</v>
      </c>
    </row>
    <row r="2298" ht="15.75" customHeight="1">
      <c r="A2298" s="32" t="s">
        <v>1540</v>
      </c>
      <c r="B2298" s="32" t="s">
        <v>1514</v>
      </c>
      <c r="C2298" s="32" t="str">
        <f>vlookup(B2298,State_EMM_RowSums!$A$2:$B$52,2,FALSE)</f>
        <v>PA</v>
      </c>
      <c r="D2298" s="32">
        <v>42105.0</v>
      </c>
      <c r="E2298" s="33">
        <f>IF(NOT(ISBLANK(vlookup($D2298,Pop_Census_2023!$A$2:$E$3220,4,FALSE))),vlookup($D2298,Pop_Census_2023!$A$2:$E$3220,4,FALSE), vlookup($D2298,Pop_Census_2023!$A$2:$E$3220,5,FALSE))</f>
        <v>15999</v>
      </c>
      <c r="F2298" s="32">
        <v>1213684.0</v>
      </c>
      <c r="G2298" s="32">
        <v>119.0</v>
      </c>
      <c r="H2298" s="32" t="str">
        <f>VLOOKUP(D2298, Grid_Region_Mapping!$D$2:$F$5286, 3, FALSE)</f>
        <v>PJME</v>
      </c>
      <c r="I2298" s="32">
        <v>2.0</v>
      </c>
      <c r="J2298" s="34" t="str">
        <f t="shared" si="1"/>
        <v>Northeast</v>
      </c>
      <c r="K2298" s="35">
        <v>1.0</v>
      </c>
      <c r="L2298" s="35" t="s">
        <v>707</v>
      </c>
      <c r="M2298" s="36">
        <f>VLOOKUP(D2298, County_Data_CZones!$B$2:$F$3236, 2, FALSE)</f>
        <v>6</v>
      </c>
      <c r="N2298" s="37" t="str">
        <f>VLOOKUP(D2298, County_Data_CZones!$B$2:$F$3236, 5, FALSE)</f>
        <v>Cold</v>
      </c>
    </row>
    <row r="2299" ht="15.75" customHeight="1">
      <c r="A2299" s="32" t="s">
        <v>1541</v>
      </c>
      <c r="B2299" s="32" t="s">
        <v>1514</v>
      </c>
      <c r="C2299" s="32" t="str">
        <f>vlookup(B2299,State_EMM_RowSums!$A$2:$B$52,2,FALSE)</f>
        <v>PA</v>
      </c>
      <c r="D2299" s="32">
        <v>42107.0</v>
      </c>
      <c r="E2299" s="33">
        <f>IF(NOT(ISBLANK(vlookup($D2299,Pop_Census_2023!$A$2:$E$3220,4,FALSE))),vlookup($D2299,Pop_Census_2023!$A$2:$E$3220,4,FALSE), vlookup($D2299,Pop_Census_2023!$A$2:$E$3220,5,FALSE))</f>
        <v>143786</v>
      </c>
      <c r="F2299" s="32">
        <v>1213685.0</v>
      </c>
      <c r="G2299" s="32">
        <v>122.0</v>
      </c>
      <c r="H2299" s="32" t="str">
        <f>VLOOKUP(D2299, Grid_Region_Mapping!$D$2:$F$5286, 3, FALSE)</f>
        <v>PJME</v>
      </c>
      <c r="I2299" s="32">
        <v>2.0</v>
      </c>
      <c r="J2299" s="34" t="str">
        <f t="shared" si="1"/>
        <v>Northeast</v>
      </c>
      <c r="K2299" s="35">
        <v>2.0</v>
      </c>
      <c r="L2299" s="35" t="s">
        <v>396</v>
      </c>
      <c r="M2299" s="36">
        <f>VLOOKUP(D2299, County_Data_CZones!$B$2:$F$3236, 2, FALSE)</f>
        <v>5</v>
      </c>
      <c r="N2299" s="37" t="str">
        <f>VLOOKUP(D2299, County_Data_CZones!$B$2:$F$3236, 5, FALSE)</f>
        <v>Cold</v>
      </c>
    </row>
    <row r="2300" ht="15.75" customHeight="1">
      <c r="A2300" s="32" t="s">
        <v>1542</v>
      </c>
      <c r="B2300" s="32" t="s">
        <v>1514</v>
      </c>
      <c r="C2300" s="32" t="str">
        <f>vlookup(B2300,State_EMM_RowSums!$A$2:$B$52,2,FALSE)</f>
        <v>PA</v>
      </c>
      <c r="D2300" s="32">
        <v>42109.0</v>
      </c>
      <c r="E2300" s="33">
        <f>IF(NOT(ISBLANK(vlookup($D2300,Pop_Census_2023!$A$2:$E$3220,4,FALSE))),vlookup($D2300,Pop_Census_2023!$A$2:$E$3220,4,FALSE), vlookup($D2300,Pop_Census_2023!$A$2:$E$3220,5,FALSE))</f>
        <v>39717</v>
      </c>
      <c r="F2300" s="32">
        <v>1213686.0</v>
      </c>
      <c r="G2300" s="32">
        <v>122.0</v>
      </c>
      <c r="H2300" s="32" t="str">
        <f>VLOOKUP(D2300, Grid_Region_Mapping!$D$2:$F$5286, 3, FALSE)</f>
        <v>PJME</v>
      </c>
      <c r="I2300" s="32">
        <v>2.0</v>
      </c>
      <c r="J2300" s="34" t="str">
        <f t="shared" si="1"/>
        <v>Northeast</v>
      </c>
      <c r="K2300" s="35">
        <v>2.0</v>
      </c>
      <c r="L2300" s="35" t="s">
        <v>396</v>
      </c>
      <c r="M2300" s="36">
        <f>VLOOKUP(D2300, County_Data_CZones!$B$2:$F$3236, 2, FALSE)</f>
        <v>5</v>
      </c>
      <c r="N2300" s="37" t="str">
        <f>VLOOKUP(D2300, County_Data_CZones!$B$2:$F$3236, 5, FALSE)</f>
        <v>Cold</v>
      </c>
    </row>
    <row r="2301" ht="15.75" customHeight="1">
      <c r="A2301" s="32" t="s">
        <v>930</v>
      </c>
      <c r="B2301" s="32" t="s">
        <v>1514</v>
      </c>
      <c r="C2301" s="32" t="str">
        <f>vlookup(B2301,State_EMM_RowSums!$A$2:$B$52,2,FALSE)</f>
        <v>PA</v>
      </c>
      <c r="D2301" s="32">
        <v>42111.0</v>
      </c>
      <c r="E2301" s="33">
        <f>IF(NOT(ISBLANK(vlookup($D2301,Pop_Census_2023!$A$2:$E$3220,4,FALSE))),vlookup($D2301,Pop_Census_2023!$A$2:$E$3220,4,FALSE), vlookup($D2301,Pop_Census_2023!$A$2:$E$3220,5,FALSE))</f>
        <v>72197</v>
      </c>
      <c r="F2301" s="32">
        <v>1209188.0</v>
      </c>
      <c r="G2301" s="32">
        <v>122.0</v>
      </c>
      <c r="H2301" s="32" t="str">
        <f>VLOOKUP(D2301, Grid_Region_Mapping!$D$2:$F$5286, 3, FALSE)</f>
        <v>PJME</v>
      </c>
      <c r="I2301" s="32">
        <v>2.0</v>
      </c>
      <c r="J2301" s="34" t="str">
        <f t="shared" si="1"/>
        <v>Northeast</v>
      </c>
      <c r="K2301" s="35">
        <v>2.0</v>
      </c>
      <c r="L2301" s="35" t="s">
        <v>396</v>
      </c>
      <c r="M2301" s="36">
        <f>VLOOKUP(D2301, County_Data_CZones!$B$2:$F$3236, 2, FALSE)</f>
        <v>5</v>
      </c>
      <c r="N2301" s="37" t="str">
        <f>VLOOKUP(D2301, County_Data_CZones!$B$2:$F$3236, 5, FALSE)</f>
        <v>Cold</v>
      </c>
    </row>
    <row r="2302" ht="15.75" customHeight="1">
      <c r="A2302" s="32" t="s">
        <v>694</v>
      </c>
      <c r="B2302" s="32" t="s">
        <v>1514</v>
      </c>
      <c r="C2302" s="32" t="str">
        <f>vlookup(B2302,State_EMM_RowSums!$A$2:$B$52,2,FALSE)</f>
        <v>PA</v>
      </c>
      <c r="D2302" s="32">
        <v>42113.0</v>
      </c>
      <c r="E2302" s="33">
        <f>IF(NOT(ISBLANK(vlookup($D2302,Pop_Census_2023!$A$2:$E$3220,4,FALSE))),vlookup($D2302,Pop_Census_2023!$A$2:$E$3220,4,FALSE), vlookup($D2302,Pop_Census_2023!$A$2:$E$3220,5,FALSE))</f>
        <v>5834</v>
      </c>
      <c r="F2302" s="32">
        <v>1213687.0</v>
      </c>
      <c r="G2302" s="32">
        <v>122.0</v>
      </c>
      <c r="H2302" s="32" t="str">
        <f>VLOOKUP(D2302, Grid_Region_Mapping!$D$2:$F$5286, 3, FALSE)</f>
        <v>PJME</v>
      </c>
      <c r="I2302" s="32">
        <v>2.0</v>
      </c>
      <c r="J2302" s="34" t="str">
        <f t="shared" si="1"/>
        <v>Northeast</v>
      </c>
      <c r="K2302" s="35">
        <v>2.0</v>
      </c>
      <c r="L2302" s="35" t="s">
        <v>396</v>
      </c>
      <c r="M2302" s="36">
        <f>VLOOKUP(D2302, County_Data_CZones!$B$2:$F$3236, 2, FALSE)</f>
        <v>5</v>
      </c>
      <c r="N2302" s="37" t="str">
        <f>VLOOKUP(D2302, County_Data_CZones!$B$2:$F$3236, 5, FALSE)</f>
        <v>Cold</v>
      </c>
    </row>
    <row r="2303" ht="15.75" customHeight="1">
      <c r="A2303" s="32" t="s">
        <v>1543</v>
      </c>
      <c r="B2303" s="32" t="s">
        <v>1514</v>
      </c>
      <c r="C2303" s="32" t="str">
        <f>vlookup(B2303,State_EMM_RowSums!$A$2:$B$52,2,FALSE)</f>
        <v>PA</v>
      </c>
      <c r="D2303" s="32">
        <v>42115.0</v>
      </c>
      <c r="E2303" s="33">
        <f>IF(NOT(ISBLANK(vlookup($D2303,Pop_Census_2023!$A$2:$E$3220,4,FALSE))),vlookup($D2303,Pop_Census_2023!$A$2:$E$3220,4,FALSE), vlookup($D2303,Pop_Census_2023!$A$2:$E$3220,5,FALSE))</f>
        <v>38109</v>
      </c>
      <c r="F2303" s="32">
        <v>1213688.0</v>
      </c>
      <c r="G2303" s="32">
        <v>122.0</v>
      </c>
      <c r="H2303" s="32" t="str">
        <f>VLOOKUP(D2303, Grid_Region_Mapping!$D$2:$F$5286, 3, FALSE)</f>
        <v>PJME</v>
      </c>
      <c r="I2303" s="32">
        <v>2.0</v>
      </c>
      <c r="J2303" s="34" t="str">
        <f t="shared" si="1"/>
        <v>Northeast</v>
      </c>
      <c r="K2303" s="35">
        <v>1.0</v>
      </c>
      <c r="L2303" s="35" t="s">
        <v>707</v>
      </c>
      <c r="M2303" s="36">
        <f>VLOOKUP(D2303, County_Data_CZones!$B$2:$F$3236, 2, FALSE)</f>
        <v>6</v>
      </c>
      <c r="N2303" s="37" t="str">
        <f>VLOOKUP(D2303, County_Data_CZones!$B$2:$F$3236, 5, FALSE)</f>
        <v>Cold</v>
      </c>
    </row>
    <row r="2304" ht="15.75" customHeight="1">
      <c r="A2304" s="32" t="s">
        <v>1319</v>
      </c>
      <c r="B2304" s="32" t="s">
        <v>1514</v>
      </c>
      <c r="C2304" s="32" t="str">
        <f>vlookup(B2304,State_EMM_RowSums!$A$2:$B$52,2,FALSE)</f>
        <v>PA</v>
      </c>
      <c r="D2304" s="32">
        <v>42117.0</v>
      </c>
      <c r="E2304" s="33">
        <f>IF(NOT(ISBLANK(vlookup($D2304,Pop_Census_2023!$A$2:$E$3220,4,FALSE))),vlookup($D2304,Pop_Census_2023!$A$2:$E$3220,4,FALSE), vlookup($D2304,Pop_Census_2023!$A$2:$E$3220,5,FALSE))</f>
        <v>40840</v>
      </c>
      <c r="F2304" s="32">
        <v>1209189.0</v>
      </c>
      <c r="G2304" s="32">
        <v>122.0</v>
      </c>
      <c r="H2304" s="32" t="str">
        <f>VLOOKUP(D2304, Grid_Region_Mapping!$D$2:$F$5286, 3, FALSE)</f>
        <v>PJME</v>
      </c>
      <c r="I2304" s="32">
        <v>2.0</v>
      </c>
      <c r="J2304" s="34" t="str">
        <f t="shared" si="1"/>
        <v>Northeast</v>
      </c>
      <c r="K2304" s="35">
        <v>1.0</v>
      </c>
      <c r="L2304" s="35" t="s">
        <v>707</v>
      </c>
      <c r="M2304" s="36">
        <f>VLOOKUP(D2304, County_Data_CZones!$B$2:$F$3236, 2, FALSE)</f>
        <v>6</v>
      </c>
      <c r="N2304" s="37" t="str">
        <f>VLOOKUP(D2304, County_Data_CZones!$B$2:$F$3236, 5, FALSE)</f>
        <v>Cold</v>
      </c>
    </row>
    <row r="2305" ht="15.75" customHeight="1">
      <c r="A2305" s="32" t="s">
        <v>273</v>
      </c>
      <c r="B2305" s="32" t="s">
        <v>1514</v>
      </c>
      <c r="C2305" s="32" t="str">
        <f>vlookup(B2305,State_EMM_RowSums!$A$2:$B$52,2,FALSE)</f>
        <v>PA</v>
      </c>
      <c r="D2305" s="32">
        <v>42119.0</v>
      </c>
      <c r="E2305" s="33">
        <f>IF(NOT(ISBLANK(vlookup($D2305,Pop_Census_2023!$A$2:$E$3220,4,FALSE))),vlookup($D2305,Pop_Census_2023!$A$2:$E$3220,4,FALSE), vlookup($D2305,Pop_Census_2023!$A$2:$E$3220,5,FALSE))</f>
        <v>42042</v>
      </c>
      <c r="F2305" s="32">
        <v>1213689.0</v>
      </c>
      <c r="G2305" s="32">
        <v>122.0</v>
      </c>
      <c r="H2305" s="32" t="str">
        <f>VLOOKUP(D2305, Grid_Region_Mapping!$D$2:$F$5286, 3, FALSE)</f>
        <v>PJME</v>
      </c>
      <c r="I2305" s="32">
        <v>2.0</v>
      </c>
      <c r="J2305" s="34" t="str">
        <f t="shared" si="1"/>
        <v>Northeast</v>
      </c>
      <c r="K2305" s="35">
        <v>2.0</v>
      </c>
      <c r="L2305" s="35" t="s">
        <v>396</v>
      </c>
      <c r="M2305" s="36">
        <f>VLOOKUP(D2305, County_Data_CZones!$B$2:$F$3236, 2, FALSE)</f>
        <v>5</v>
      </c>
      <c r="N2305" s="37" t="str">
        <f>VLOOKUP(D2305, County_Data_CZones!$B$2:$F$3236, 5, FALSE)</f>
        <v>Cold</v>
      </c>
    </row>
    <row r="2306" ht="15.75" customHeight="1">
      <c r="A2306" s="32" t="s">
        <v>1544</v>
      </c>
      <c r="B2306" s="32" t="s">
        <v>1514</v>
      </c>
      <c r="C2306" s="32" t="str">
        <f>vlookup(B2306,State_EMM_RowSums!$A$2:$B$52,2,FALSE)</f>
        <v>PA</v>
      </c>
      <c r="D2306" s="32">
        <v>42121.0</v>
      </c>
      <c r="E2306" s="33">
        <f>IF(NOT(ISBLANK(vlookup($D2306,Pop_Census_2023!$A$2:$E$3220,4,FALSE))),vlookup($D2306,Pop_Census_2023!$A$2:$E$3220,4,FALSE), vlookup($D2306,Pop_Census_2023!$A$2:$E$3220,5,FALSE))</f>
        <v>49431</v>
      </c>
      <c r="F2306" s="32">
        <v>1213690.0</v>
      </c>
      <c r="G2306" s="32">
        <v>122.0</v>
      </c>
      <c r="H2306" s="32" t="str">
        <f>VLOOKUP(D2306, Grid_Region_Mapping!$D$2:$F$5286, 3, FALSE)</f>
        <v>PJME</v>
      </c>
      <c r="I2306" s="32">
        <v>2.0</v>
      </c>
      <c r="J2306" s="34" t="str">
        <f t="shared" si="1"/>
        <v>Northeast</v>
      </c>
      <c r="K2306" s="35">
        <v>2.0</v>
      </c>
      <c r="L2306" s="35" t="s">
        <v>396</v>
      </c>
      <c r="M2306" s="36">
        <f>VLOOKUP(D2306, County_Data_CZones!$B$2:$F$3236, 2, FALSE)</f>
        <v>5</v>
      </c>
      <c r="N2306" s="37" t="str">
        <f>VLOOKUP(D2306, County_Data_CZones!$B$2:$F$3236, 5, FALSE)</f>
        <v>Cold</v>
      </c>
    </row>
    <row r="2307" ht="15.75" customHeight="1">
      <c r="A2307" s="32" t="s">
        <v>561</v>
      </c>
      <c r="B2307" s="32" t="s">
        <v>1514</v>
      </c>
      <c r="C2307" s="32" t="str">
        <f>vlookup(B2307,State_EMM_RowSums!$A$2:$B$52,2,FALSE)</f>
        <v>PA</v>
      </c>
      <c r="D2307" s="32">
        <v>42123.0</v>
      </c>
      <c r="E2307" s="33">
        <f>IF(NOT(ISBLANK(vlookup($D2307,Pop_Census_2023!$A$2:$E$3220,4,FALSE))),vlookup($D2307,Pop_Census_2023!$A$2:$E$3220,4,FALSE), vlookup($D2307,Pop_Census_2023!$A$2:$E$3220,5,FALSE))</f>
        <v>37572</v>
      </c>
      <c r="F2307" s="32">
        <v>1213691.0</v>
      </c>
      <c r="G2307" s="32">
        <v>122.0</v>
      </c>
      <c r="H2307" s="32" t="str">
        <f>VLOOKUP(D2307, Grid_Region_Mapping!$D$2:$F$5286, 3, FALSE)</f>
        <v>PJME</v>
      </c>
      <c r="I2307" s="32">
        <v>2.0</v>
      </c>
      <c r="J2307" s="34" t="str">
        <f t="shared" si="1"/>
        <v>Northeast</v>
      </c>
      <c r="K2307" s="35">
        <v>2.0</v>
      </c>
      <c r="L2307" s="35" t="s">
        <v>396</v>
      </c>
      <c r="M2307" s="36">
        <f>VLOOKUP(D2307, County_Data_CZones!$B$2:$F$3236, 2, FALSE)</f>
        <v>5</v>
      </c>
      <c r="N2307" s="37" t="str">
        <f>VLOOKUP(D2307, County_Data_CZones!$B$2:$F$3236, 5, FALSE)</f>
        <v>Cold</v>
      </c>
    </row>
    <row r="2308" ht="15.75" customHeight="1">
      <c r="A2308" s="32" t="s">
        <v>167</v>
      </c>
      <c r="B2308" s="32" t="s">
        <v>1514</v>
      </c>
      <c r="C2308" s="32" t="str">
        <f>vlookup(B2308,State_EMM_RowSums!$A$2:$B$52,2,FALSE)</f>
        <v>PA</v>
      </c>
      <c r="D2308" s="32">
        <v>42125.0</v>
      </c>
      <c r="E2308" s="33">
        <f>IF(NOT(ISBLANK(vlookup($D2308,Pop_Census_2023!$A$2:$E$3220,4,FALSE))),vlookup($D2308,Pop_Census_2023!$A$2:$E$3220,4,FALSE), vlookup($D2308,Pop_Census_2023!$A$2:$E$3220,5,FALSE))</f>
        <v>210232</v>
      </c>
      <c r="F2308" s="32">
        <v>1209190.0</v>
      </c>
      <c r="G2308" s="32">
        <v>115.0</v>
      </c>
      <c r="H2308" s="32" t="str">
        <f>VLOOKUP(D2308, Grid_Region_Mapping!$D$2:$F$5286, 3, FALSE)</f>
        <v>PJMW</v>
      </c>
      <c r="I2308" s="32">
        <v>2.0</v>
      </c>
      <c r="J2308" s="34" t="str">
        <f t="shared" si="1"/>
        <v>Northeast</v>
      </c>
      <c r="K2308" s="35">
        <v>2.0</v>
      </c>
      <c r="L2308" s="35" t="s">
        <v>396</v>
      </c>
      <c r="M2308" s="36">
        <f>VLOOKUP(D2308, County_Data_CZones!$B$2:$F$3236, 2, FALSE)</f>
        <v>5</v>
      </c>
      <c r="N2308" s="37" t="str">
        <f>VLOOKUP(D2308, County_Data_CZones!$B$2:$F$3236, 5, FALSE)</f>
        <v>Cold</v>
      </c>
    </row>
    <row r="2309" ht="15.75" customHeight="1">
      <c r="A2309" s="32" t="s">
        <v>562</v>
      </c>
      <c r="B2309" s="32" t="s">
        <v>1514</v>
      </c>
      <c r="C2309" s="32" t="str">
        <f>vlookup(B2309,State_EMM_RowSums!$A$2:$B$52,2,FALSE)</f>
        <v>PA</v>
      </c>
      <c r="D2309" s="32">
        <v>42127.0</v>
      </c>
      <c r="E2309" s="33">
        <f>IF(NOT(ISBLANK(vlookup($D2309,Pop_Census_2023!$A$2:$E$3220,4,FALSE))),vlookup($D2309,Pop_Census_2023!$A$2:$E$3220,4,FALSE), vlookup($D2309,Pop_Census_2023!$A$2:$E$3220,5,FALSE))</f>
        <v>51262</v>
      </c>
      <c r="F2309" s="32">
        <v>1213692.0</v>
      </c>
      <c r="G2309" s="32">
        <v>122.0</v>
      </c>
      <c r="H2309" s="32" t="str">
        <f>VLOOKUP(D2309, Grid_Region_Mapping!$D$2:$F$5286, 3, FALSE)</f>
        <v>PJME</v>
      </c>
      <c r="I2309" s="32">
        <v>2.0</v>
      </c>
      <c r="J2309" s="34" t="str">
        <f t="shared" si="1"/>
        <v>Northeast</v>
      </c>
      <c r="K2309" s="35">
        <v>1.0</v>
      </c>
      <c r="L2309" s="35" t="s">
        <v>707</v>
      </c>
      <c r="M2309" s="36">
        <f>VLOOKUP(D2309, County_Data_CZones!$B$2:$F$3236, 2, FALSE)</f>
        <v>6</v>
      </c>
      <c r="N2309" s="37" t="str">
        <f>VLOOKUP(D2309, County_Data_CZones!$B$2:$F$3236, 5, FALSE)</f>
        <v>Cold</v>
      </c>
    </row>
    <row r="2310" ht="15.75" customHeight="1">
      <c r="A2310" s="32" t="s">
        <v>1545</v>
      </c>
      <c r="B2310" s="32" t="s">
        <v>1514</v>
      </c>
      <c r="C2310" s="32" t="str">
        <f>vlookup(B2310,State_EMM_RowSums!$A$2:$B$52,2,FALSE)</f>
        <v>PA</v>
      </c>
      <c r="D2310" s="32">
        <v>42129.0</v>
      </c>
      <c r="E2310" s="33">
        <f>IF(NOT(ISBLANK(vlookup($D2310,Pop_Census_2023!$A$2:$E$3220,4,FALSE))),vlookup($D2310,Pop_Census_2023!$A$2:$E$3220,4,FALSE), vlookup($D2310,Pop_Census_2023!$A$2:$E$3220,5,FALSE))</f>
        <v>351163</v>
      </c>
      <c r="F2310" s="32">
        <v>1209191.0</v>
      </c>
      <c r="G2310" s="32">
        <v>115.0</v>
      </c>
      <c r="H2310" s="32" t="str">
        <f>VLOOKUP(D2310, Grid_Region_Mapping!$D$2:$F$5286, 3, FALSE)</f>
        <v>PJMW</v>
      </c>
      <c r="I2310" s="32">
        <v>2.0</v>
      </c>
      <c r="J2310" s="34" t="str">
        <f t="shared" si="1"/>
        <v>Northeast</v>
      </c>
      <c r="K2310" s="35">
        <v>2.0</v>
      </c>
      <c r="L2310" s="35" t="s">
        <v>396</v>
      </c>
      <c r="M2310" s="36">
        <f>VLOOKUP(D2310, County_Data_CZones!$B$2:$F$3236, 2, FALSE)</f>
        <v>5</v>
      </c>
      <c r="N2310" s="37" t="str">
        <f>VLOOKUP(D2310, County_Data_CZones!$B$2:$F$3236, 5, FALSE)</f>
        <v>Cold</v>
      </c>
    </row>
    <row r="2311" ht="15.75" customHeight="1">
      <c r="A2311" s="32" t="s">
        <v>1323</v>
      </c>
      <c r="B2311" s="32" t="s">
        <v>1514</v>
      </c>
      <c r="C2311" s="32" t="str">
        <f>vlookup(B2311,State_EMM_RowSums!$A$2:$B$52,2,FALSE)</f>
        <v>PA</v>
      </c>
      <c r="D2311" s="32">
        <v>42131.0</v>
      </c>
      <c r="E2311" s="33">
        <f>IF(NOT(ISBLANK(vlookup($D2311,Pop_Census_2023!$A$2:$E$3220,4,FALSE))),vlookup($D2311,Pop_Census_2023!$A$2:$E$3220,4,FALSE), vlookup($D2311,Pop_Census_2023!$A$2:$E$3220,5,FALSE))</f>
        <v>25902</v>
      </c>
      <c r="F2311" s="32">
        <v>1209192.0</v>
      </c>
      <c r="G2311" s="32">
        <v>122.0</v>
      </c>
      <c r="H2311" s="32" t="str">
        <f>VLOOKUP(D2311, Grid_Region_Mapping!$D$2:$F$5286, 3, FALSE)</f>
        <v>PJME</v>
      </c>
      <c r="I2311" s="32">
        <v>2.0</v>
      </c>
      <c r="J2311" s="34" t="str">
        <f t="shared" si="1"/>
        <v>Northeast</v>
      </c>
      <c r="K2311" s="35">
        <v>2.0</v>
      </c>
      <c r="L2311" s="35" t="s">
        <v>396</v>
      </c>
      <c r="M2311" s="36">
        <f>VLOOKUP(D2311, County_Data_CZones!$B$2:$F$3236, 2, FALSE)</f>
        <v>5</v>
      </c>
      <c r="N2311" s="37" t="str">
        <f>VLOOKUP(D2311, County_Data_CZones!$B$2:$F$3236, 5, FALSE)</f>
        <v>Cold</v>
      </c>
    </row>
    <row r="2312" ht="15.75" customHeight="1">
      <c r="A2312" s="32" t="s">
        <v>932</v>
      </c>
      <c r="B2312" s="32" t="s">
        <v>1514</v>
      </c>
      <c r="C2312" s="32" t="str">
        <f>vlookup(B2312,State_EMM_RowSums!$A$2:$B$52,2,FALSE)</f>
        <v>PA</v>
      </c>
      <c r="D2312" s="32">
        <v>42133.0</v>
      </c>
      <c r="E2312" s="33">
        <f>IF(NOT(ISBLANK(vlookup($D2312,Pop_Census_2023!$A$2:$E$3220,4,FALSE))),vlookup($D2312,Pop_Census_2023!$A$2:$E$3220,4,FALSE), vlookup($D2312,Pop_Census_2023!$A$2:$E$3220,5,FALSE))</f>
        <v>464640</v>
      </c>
      <c r="F2312" s="32">
        <v>1209193.0</v>
      </c>
      <c r="G2312" s="32">
        <v>122.0</v>
      </c>
      <c r="H2312" s="32" t="str">
        <f>VLOOKUP(D2312, Grid_Region_Mapping!$D$2:$F$5286, 3, FALSE)</f>
        <v>PJME</v>
      </c>
      <c r="I2312" s="32">
        <v>2.0</v>
      </c>
      <c r="J2312" s="34" t="str">
        <f t="shared" si="1"/>
        <v>Northeast</v>
      </c>
      <c r="K2312" s="35">
        <v>3.0</v>
      </c>
      <c r="L2312" s="35" t="s">
        <v>223</v>
      </c>
      <c r="M2312" s="36">
        <f>VLOOKUP(D2312, County_Data_CZones!$B$2:$F$3236, 2, FALSE)</f>
        <v>4</v>
      </c>
      <c r="N2312" s="37" t="str">
        <f>VLOOKUP(D2312, County_Data_CZones!$B$2:$F$3236, 5, FALSE)</f>
        <v>Mixed-Humid</v>
      </c>
    </row>
    <row r="2313" ht="15.75" customHeight="1">
      <c r="A2313" s="32" t="s">
        <v>954</v>
      </c>
      <c r="B2313" s="32" t="s">
        <v>1546</v>
      </c>
      <c r="C2313" s="32" t="str">
        <f>vlookup(B2313,State_EMM_RowSums!$A$2:$B$52,2,FALSE)</f>
        <v>RI</v>
      </c>
      <c r="D2313" s="32">
        <v>44001.0</v>
      </c>
      <c r="E2313" s="33">
        <f>IF(NOT(ISBLANK(vlookup($D2313,Pop_Census_2023!$A$2:$E$3220,4,FALSE))),vlookup($D2313,Pop_Census_2023!$A$2:$E$3220,4,FALSE), vlookup($D2313,Pop_Census_2023!$A$2:$E$3220,5,FALSE))</f>
        <v>50255</v>
      </c>
      <c r="F2313" s="32">
        <v>1219777.0</v>
      </c>
      <c r="G2313" s="32">
        <v>133.0</v>
      </c>
      <c r="H2313" s="32" t="str">
        <f>VLOOKUP(D2313, Grid_Region_Mapping!$D$2:$F$5286, 3, FALSE)</f>
        <v>ISNE</v>
      </c>
      <c r="I2313" s="32">
        <v>1.0</v>
      </c>
      <c r="J2313" s="34" t="str">
        <f t="shared" si="1"/>
        <v>Northeast</v>
      </c>
      <c r="K2313" s="35">
        <v>2.0</v>
      </c>
      <c r="L2313" s="35" t="s">
        <v>396</v>
      </c>
      <c r="M2313" s="36">
        <f>VLOOKUP(D2313, County_Data_CZones!$B$2:$F$3236, 2, FALSE)</f>
        <v>5</v>
      </c>
      <c r="N2313" s="37" t="str">
        <f>VLOOKUP(D2313, County_Data_CZones!$B$2:$F$3236, 5, FALSE)</f>
        <v>Cold</v>
      </c>
    </row>
    <row r="2314" ht="15.75" customHeight="1">
      <c r="A2314" s="32" t="s">
        <v>404</v>
      </c>
      <c r="B2314" s="32" t="s">
        <v>1546</v>
      </c>
      <c r="C2314" s="32" t="str">
        <f>vlookup(B2314,State_EMM_RowSums!$A$2:$B$52,2,FALSE)</f>
        <v>RI</v>
      </c>
      <c r="D2314" s="32">
        <v>44003.0</v>
      </c>
      <c r="E2314" s="33">
        <f>IF(NOT(ISBLANK(vlookup($D2314,Pop_Census_2023!$A$2:$E$3220,4,FALSE))),vlookup($D2314,Pop_Census_2023!$A$2:$E$3220,4,FALSE), vlookup($D2314,Pop_Census_2023!$A$2:$E$3220,5,FALSE))</f>
        <v>171278</v>
      </c>
      <c r="F2314" s="32">
        <v>1219778.0</v>
      </c>
      <c r="G2314" s="32">
        <v>133.0</v>
      </c>
      <c r="H2314" s="32" t="str">
        <f>VLOOKUP(D2314, Grid_Region_Mapping!$D$2:$F$5286, 3, FALSE)</f>
        <v>ISNE</v>
      </c>
      <c r="I2314" s="32">
        <v>1.0</v>
      </c>
      <c r="J2314" s="34" t="str">
        <f t="shared" si="1"/>
        <v>Northeast</v>
      </c>
      <c r="K2314" s="35">
        <v>2.0</v>
      </c>
      <c r="L2314" s="35" t="s">
        <v>396</v>
      </c>
      <c r="M2314" s="36">
        <f>VLOOKUP(D2314, County_Data_CZones!$B$2:$F$3236, 2, FALSE)</f>
        <v>5</v>
      </c>
      <c r="N2314" s="37" t="str">
        <f>VLOOKUP(D2314, County_Data_CZones!$B$2:$F$3236, 5, FALSE)</f>
        <v>Cold</v>
      </c>
    </row>
    <row r="2315" ht="15.75" customHeight="1">
      <c r="A2315" s="32" t="s">
        <v>1547</v>
      </c>
      <c r="B2315" s="32" t="s">
        <v>1546</v>
      </c>
      <c r="C2315" s="32" t="str">
        <f>vlookup(B2315,State_EMM_RowSums!$A$2:$B$52,2,FALSE)</f>
        <v>RI</v>
      </c>
      <c r="D2315" s="32">
        <v>44005.0</v>
      </c>
      <c r="E2315" s="33">
        <f>IF(NOT(ISBLANK(vlookup($D2315,Pop_Census_2023!$A$2:$E$3220,4,FALSE))),vlookup($D2315,Pop_Census_2023!$A$2:$E$3220,4,FALSE), vlookup($D2315,Pop_Census_2023!$A$2:$E$3220,5,FALSE))</f>
        <v>83832</v>
      </c>
      <c r="F2315" s="32">
        <v>1219779.0</v>
      </c>
      <c r="G2315" s="32">
        <v>133.0</v>
      </c>
      <c r="H2315" s="32" t="str">
        <f>VLOOKUP(D2315, Grid_Region_Mapping!$D$2:$F$5286, 3, FALSE)</f>
        <v>ISNE</v>
      </c>
      <c r="I2315" s="32">
        <v>1.0</v>
      </c>
      <c r="J2315" s="34" t="str">
        <f t="shared" si="1"/>
        <v>Northeast</v>
      </c>
      <c r="K2315" s="35">
        <v>2.0</v>
      </c>
      <c r="L2315" s="35" t="s">
        <v>396</v>
      </c>
      <c r="M2315" s="36">
        <f>VLOOKUP(D2315, County_Data_CZones!$B$2:$F$3236, 2, FALSE)</f>
        <v>5</v>
      </c>
      <c r="N2315" s="37" t="str">
        <f>VLOOKUP(D2315, County_Data_CZones!$B$2:$F$3236, 5, FALSE)</f>
        <v>Cold</v>
      </c>
    </row>
    <row r="2316" ht="15.75" customHeight="1">
      <c r="A2316" s="32" t="s">
        <v>1548</v>
      </c>
      <c r="B2316" s="32" t="s">
        <v>1546</v>
      </c>
      <c r="C2316" s="32" t="str">
        <f>vlookup(B2316,State_EMM_RowSums!$A$2:$B$52,2,FALSE)</f>
        <v>RI</v>
      </c>
      <c r="D2316" s="32">
        <v>44007.0</v>
      </c>
      <c r="E2316" s="33">
        <f>IF(NOT(ISBLANK(vlookup($D2316,Pop_Census_2023!$A$2:$E$3220,4,FALSE))),vlookup($D2316,Pop_Census_2023!$A$2:$E$3220,4,FALSE), vlookup($D2316,Pop_Census_2023!$A$2:$E$3220,5,FALSE))</f>
        <v>660615</v>
      </c>
      <c r="F2316" s="32">
        <v>1219781.0</v>
      </c>
      <c r="G2316" s="32">
        <v>133.0</v>
      </c>
      <c r="H2316" s="32" t="str">
        <f>VLOOKUP(D2316, Grid_Region_Mapping!$D$2:$F$5286, 3, FALSE)</f>
        <v>ISNE</v>
      </c>
      <c r="I2316" s="32">
        <v>1.0</v>
      </c>
      <c r="J2316" s="34" t="str">
        <f t="shared" si="1"/>
        <v>Northeast</v>
      </c>
      <c r="K2316" s="35">
        <v>2.0</v>
      </c>
      <c r="L2316" s="35" t="s">
        <v>396</v>
      </c>
      <c r="M2316" s="36">
        <f>VLOOKUP(D2316, County_Data_CZones!$B$2:$F$3236, 2, FALSE)</f>
        <v>5</v>
      </c>
      <c r="N2316" s="37" t="str">
        <f>VLOOKUP(D2316, County_Data_CZones!$B$2:$F$3236, 5, FALSE)</f>
        <v>Cold</v>
      </c>
    </row>
    <row r="2317" ht="15.75" customHeight="1">
      <c r="A2317" s="32" t="s">
        <v>167</v>
      </c>
      <c r="B2317" s="32" t="s">
        <v>1546</v>
      </c>
      <c r="C2317" s="32" t="str">
        <f>vlookup(B2317,State_EMM_RowSums!$A$2:$B$52,2,FALSE)</f>
        <v>RI</v>
      </c>
      <c r="D2317" s="32">
        <v>44009.0</v>
      </c>
      <c r="E2317" s="33">
        <f>IF(NOT(ISBLANK(vlookup($D2317,Pop_Census_2023!$A$2:$E$3220,4,FALSE))),vlookup($D2317,Pop_Census_2023!$A$2:$E$3220,4,FALSE), vlookup($D2317,Pop_Census_2023!$A$2:$E$3220,5,FALSE))</f>
        <v>129982</v>
      </c>
      <c r="F2317" s="32">
        <v>1219782.0</v>
      </c>
      <c r="G2317" s="32">
        <v>133.0</v>
      </c>
      <c r="H2317" s="32" t="str">
        <f>VLOOKUP(D2317, Grid_Region_Mapping!$D$2:$F$5286, 3, FALSE)</f>
        <v>ISNE</v>
      </c>
      <c r="I2317" s="32">
        <v>1.0</v>
      </c>
      <c r="J2317" s="34" t="str">
        <f t="shared" si="1"/>
        <v>Northeast</v>
      </c>
      <c r="K2317" s="35">
        <v>2.0</v>
      </c>
      <c r="L2317" s="35" t="s">
        <v>396</v>
      </c>
      <c r="M2317" s="36">
        <f>VLOOKUP(D2317, County_Data_CZones!$B$2:$F$3236, 2, FALSE)</f>
        <v>5</v>
      </c>
      <c r="N2317" s="37" t="str">
        <f>VLOOKUP(D2317, County_Data_CZones!$B$2:$F$3236, 5, FALSE)</f>
        <v>Cold</v>
      </c>
    </row>
    <row r="2318" ht="15.75" customHeight="1">
      <c r="A2318" s="32" t="s">
        <v>1549</v>
      </c>
      <c r="B2318" s="32" t="s">
        <v>1550</v>
      </c>
      <c r="C2318" s="32" t="str">
        <f>vlookup(B2318,State_EMM_RowSums!$A$2:$B$52,2,FALSE)</f>
        <v>SC</v>
      </c>
      <c r="D2318" s="32">
        <v>45001.0</v>
      </c>
      <c r="E2318" s="33">
        <f>IF(NOT(ISBLANK(vlookup($D2318,Pop_Census_2023!$A$2:$E$3220,4,FALSE))),vlookup($D2318,Pop_Census_2023!$A$2:$E$3220,4,FALSE), vlookup($D2318,Pop_Census_2023!$A$2:$E$3220,5,FALSE))</f>
        <v>24434</v>
      </c>
      <c r="F2318" s="32">
        <v>1245666.0</v>
      </c>
      <c r="G2318" s="32">
        <v>95.0</v>
      </c>
      <c r="H2318" s="32" t="str">
        <f>VLOOKUP(D2318, Grid_Region_Mapping!$D$2:$F$5286, 3, FALSE)</f>
        <v>SRCA</v>
      </c>
      <c r="I2318" s="32">
        <v>5.0</v>
      </c>
      <c r="J2318" s="34" t="str">
        <f t="shared" si="1"/>
        <v>South</v>
      </c>
      <c r="K2318" s="35">
        <v>4.0</v>
      </c>
      <c r="L2318" s="35" t="s">
        <v>102</v>
      </c>
      <c r="M2318" s="36">
        <f>VLOOKUP(D2318, County_Data_CZones!$B$2:$F$3236, 2, FALSE)</f>
        <v>3</v>
      </c>
      <c r="N2318" s="37" t="str">
        <f>VLOOKUP(D2318, County_Data_CZones!$B$2:$F$3236, 5, FALSE)</f>
        <v>Mixed-Humid</v>
      </c>
    </row>
    <row r="2319" ht="15.75" customHeight="1">
      <c r="A2319" s="32" t="s">
        <v>1551</v>
      </c>
      <c r="B2319" s="32" t="s">
        <v>1550</v>
      </c>
      <c r="C2319" s="32" t="str">
        <f>vlookup(B2319,State_EMM_RowSums!$A$2:$B$52,2,FALSE)</f>
        <v>SC</v>
      </c>
      <c r="D2319" s="32">
        <v>45003.0</v>
      </c>
      <c r="E2319" s="33">
        <f>IF(NOT(ISBLANK(vlookup($D2319,Pop_Census_2023!$A$2:$E$3220,4,FALSE))),vlookup($D2319,Pop_Census_2023!$A$2:$E$3220,4,FALSE), vlookup($D2319,Pop_Census_2023!$A$2:$E$3220,5,FALSE))</f>
        <v>177130</v>
      </c>
      <c r="F2319" s="32">
        <v>1247979.0</v>
      </c>
      <c r="G2319" s="32">
        <v>96.0</v>
      </c>
      <c r="H2319" s="32" t="str">
        <f>VLOOKUP(D2319, Grid_Region_Mapping!$D$2:$F$5286, 3, FALSE)</f>
        <v>SRCA</v>
      </c>
      <c r="I2319" s="32">
        <v>5.0</v>
      </c>
      <c r="J2319" s="34" t="str">
        <f t="shared" si="1"/>
        <v>South</v>
      </c>
      <c r="K2319" s="35">
        <v>4.0</v>
      </c>
      <c r="L2319" s="35" t="s">
        <v>102</v>
      </c>
      <c r="M2319" s="36">
        <f>VLOOKUP(D2319, County_Data_CZones!$B$2:$F$3236, 2, FALSE)</f>
        <v>3</v>
      </c>
      <c r="N2319" s="37" t="str">
        <f>VLOOKUP(D2319, County_Data_CZones!$B$2:$F$3236, 5, FALSE)</f>
        <v>Mixed-Humid</v>
      </c>
    </row>
    <row r="2320" ht="15.75" customHeight="1">
      <c r="A2320" s="32" t="s">
        <v>1552</v>
      </c>
      <c r="B2320" s="32" t="s">
        <v>1550</v>
      </c>
      <c r="C2320" s="32" t="str">
        <f>vlookup(B2320,State_EMM_RowSums!$A$2:$B$52,2,FALSE)</f>
        <v>SC</v>
      </c>
      <c r="D2320" s="32">
        <v>45005.0</v>
      </c>
      <c r="E2320" s="33">
        <f>IF(NOT(ISBLANK(vlookup($D2320,Pop_Census_2023!$A$2:$E$3220,4,FALSE))),vlookup($D2320,Pop_Census_2023!$A$2:$E$3220,4,FALSE), vlookup($D2320,Pop_Census_2023!$A$2:$E$3220,5,FALSE))</f>
        <v>7369</v>
      </c>
      <c r="F2320" s="32">
        <v>1247980.0</v>
      </c>
      <c r="G2320" s="32">
        <v>96.0</v>
      </c>
      <c r="H2320" s="32" t="str">
        <f>VLOOKUP(D2320, Grid_Region_Mapping!$D$2:$F$5286, 3, FALSE)</f>
        <v>SRCA</v>
      </c>
      <c r="I2320" s="32">
        <v>5.0</v>
      </c>
      <c r="J2320" s="34" t="str">
        <f t="shared" si="1"/>
        <v>South</v>
      </c>
      <c r="K2320" s="35">
        <v>5.0</v>
      </c>
      <c r="L2320" s="35" t="s">
        <v>102</v>
      </c>
      <c r="M2320" s="36">
        <f>VLOOKUP(D2320, County_Data_CZones!$B$2:$F$3236, 2, FALSE)</f>
        <v>3</v>
      </c>
      <c r="N2320" s="37" t="str">
        <f>VLOOKUP(D2320, County_Data_CZones!$B$2:$F$3236, 5, FALSE)</f>
        <v>Hot-Humid</v>
      </c>
    </row>
    <row r="2321" ht="15.75" customHeight="1">
      <c r="A2321" s="32" t="s">
        <v>751</v>
      </c>
      <c r="B2321" s="32" t="s">
        <v>1550</v>
      </c>
      <c r="C2321" s="32" t="str">
        <f>vlookup(B2321,State_EMM_RowSums!$A$2:$B$52,2,FALSE)</f>
        <v>SC</v>
      </c>
      <c r="D2321" s="32">
        <v>45007.0</v>
      </c>
      <c r="E2321" s="33">
        <f>IF(NOT(ISBLANK(vlookup($D2321,Pop_Census_2023!$A$2:$E$3220,4,FALSE))),vlookup($D2321,Pop_Census_2023!$A$2:$E$3220,4,FALSE), vlookup($D2321,Pop_Census_2023!$A$2:$E$3220,5,FALSE))</f>
        <v>213076</v>
      </c>
      <c r="F2321" s="32">
        <v>1247981.0</v>
      </c>
      <c r="G2321" s="32">
        <v>95.0</v>
      </c>
      <c r="H2321" s="32" t="str">
        <f>VLOOKUP(D2321, Grid_Region_Mapping!$D$2:$F$5286, 3, FALSE)</f>
        <v>SRCA</v>
      </c>
      <c r="I2321" s="32">
        <v>5.0</v>
      </c>
      <c r="J2321" s="34" t="str">
        <f t="shared" si="1"/>
        <v>South</v>
      </c>
      <c r="K2321" s="35">
        <v>4.0</v>
      </c>
      <c r="L2321" s="35" t="s">
        <v>102</v>
      </c>
      <c r="M2321" s="36">
        <f>VLOOKUP(D2321, County_Data_CZones!$B$2:$F$3236, 2, FALSE)</f>
        <v>3</v>
      </c>
      <c r="N2321" s="37" t="str">
        <f>VLOOKUP(D2321, County_Data_CZones!$B$2:$F$3236, 5, FALSE)</f>
        <v>Mixed-Humid</v>
      </c>
    </row>
    <row r="2322" ht="15.75" customHeight="1">
      <c r="A2322" s="32" t="s">
        <v>1553</v>
      </c>
      <c r="B2322" s="32" t="s">
        <v>1550</v>
      </c>
      <c r="C2322" s="32" t="str">
        <f>vlookup(B2322,State_EMM_RowSums!$A$2:$B$52,2,FALSE)</f>
        <v>SC</v>
      </c>
      <c r="D2322" s="32">
        <v>45009.0</v>
      </c>
      <c r="E2322" s="33">
        <f>IF(NOT(ISBLANK(vlookup($D2322,Pop_Census_2023!$A$2:$E$3220,4,FALSE))),vlookup($D2322,Pop_Census_2023!$A$2:$E$3220,4,FALSE), vlookup($D2322,Pop_Census_2023!$A$2:$E$3220,5,FALSE))</f>
        <v>12974</v>
      </c>
      <c r="F2322" s="32">
        <v>1247982.0</v>
      </c>
      <c r="G2322" s="32">
        <v>96.0</v>
      </c>
      <c r="H2322" s="32" t="str">
        <f>VLOOKUP(D2322, Grid_Region_Mapping!$D$2:$F$5286, 3, FALSE)</f>
        <v>SRCA</v>
      </c>
      <c r="I2322" s="32">
        <v>5.0</v>
      </c>
      <c r="J2322" s="34" t="str">
        <f t="shared" si="1"/>
        <v>South</v>
      </c>
      <c r="K2322" s="35">
        <v>5.0</v>
      </c>
      <c r="L2322" s="35" t="s">
        <v>102</v>
      </c>
      <c r="M2322" s="36">
        <f>VLOOKUP(D2322, County_Data_CZones!$B$2:$F$3236, 2, FALSE)</f>
        <v>3</v>
      </c>
      <c r="N2322" s="37" t="str">
        <f>VLOOKUP(D2322, County_Data_CZones!$B$2:$F$3236, 5, FALSE)</f>
        <v>Hot-Humid</v>
      </c>
    </row>
    <row r="2323" ht="15.75" customHeight="1">
      <c r="A2323" s="32" t="s">
        <v>1554</v>
      </c>
      <c r="B2323" s="32" t="s">
        <v>1550</v>
      </c>
      <c r="C2323" s="32" t="str">
        <f>vlookup(B2323,State_EMM_RowSums!$A$2:$B$52,2,FALSE)</f>
        <v>SC</v>
      </c>
      <c r="D2323" s="32">
        <v>45011.0</v>
      </c>
      <c r="E2323" s="33">
        <f>IF(NOT(ISBLANK(vlookup($D2323,Pop_Census_2023!$A$2:$E$3220,4,FALSE))),vlookup($D2323,Pop_Census_2023!$A$2:$E$3220,4,FALSE), vlookup($D2323,Pop_Census_2023!$A$2:$E$3220,5,FALSE))</f>
        <v>20447</v>
      </c>
      <c r="F2323" s="32">
        <v>1247983.0</v>
      </c>
      <c r="G2323" s="32">
        <v>96.0</v>
      </c>
      <c r="H2323" s="32" t="str">
        <f>VLOOKUP(D2323, Grid_Region_Mapping!$D$2:$F$5286, 3, FALSE)</f>
        <v>SRCA</v>
      </c>
      <c r="I2323" s="32">
        <v>5.0</v>
      </c>
      <c r="J2323" s="34" t="str">
        <f t="shared" si="1"/>
        <v>South</v>
      </c>
      <c r="K2323" s="35">
        <v>4.0</v>
      </c>
      <c r="L2323" s="35" t="s">
        <v>102</v>
      </c>
      <c r="M2323" s="36">
        <f>VLOOKUP(D2323, County_Data_CZones!$B$2:$F$3236, 2, FALSE)</f>
        <v>3</v>
      </c>
      <c r="N2323" s="37" t="str">
        <f>VLOOKUP(D2323, County_Data_CZones!$B$2:$F$3236, 5, FALSE)</f>
        <v>Hot-Humid</v>
      </c>
    </row>
    <row r="2324" ht="15.75" customHeight="1">
      <c r="A2324" s="32" t="s">
        <v>1331</v>
      </c>
      <c r="B2324" s="32" t="s">
        <v>1550</v>
      </c>
      <c r="C2324" s="32" t="str">
        <f>vlookup(B2324,State_EMM_RowSums!$A$2:$B$52,2,FALSE)</f>
        <v>SC</v>
      </c>
      <c r="D2324" s="32">
        <v>45013.0</v>
      </c>
      <c r="E2324" s="33">
        <f>IF(NOT(ISBLANK(vlookup($D2324,Pop_Census_2023!$A$2:$E$3220,4,FALSE))),vlookup($D2324,Pop_Census_2023!$A$2:$E$3220,4,FALSE), vlookup($D2324,Pop_Census_2023!$A$2:$E$3220,5,FALSE))</f>
        <v>198979</v>
      </c>
      <c r="F2324" s="32">
        <v>1247984.0</v>
      </c>
      <c r="G2324" s="32">
        <v>96.0</v>
      </c>
      <c r="H2324" s="32" t="str">
        <f>VLOOKUP(D2324, Grid_Region_Mapping!$D$2:$F$5286, 3, FALSE)</f>
        <v>SRCA</v>
      </c>
      <c r="I2324" s="32">
        <v>5.0</v>
      </c>
      <c r="J2324" s="34" t="str">
        <f t="shared" si="1"/>
        <v>South</v>
      </c>
      <c r="K2324" s="35">
        <v>5.0</v>
      </c>
      <c r="L2324" s="35" t="s">
        <v>102</v>
      </c>
      <c r="M2324" s="36">
        <f>VLOOKUP(D2324, County_Data_CZones!$B$2:$F$3236, 2, FALSE)</f>
        <v>3</v>
      </c>
      <c r="N2324" s="37" t="str">
        <f>VLOOKUP(D2324, County_Data_CZones!$B$2:$F$3236, 5, FALSE)</f>
        <v>Hot-Humid</v>
      </c>
    </row>
    <row r="2325" ht="15.75" customHeight="1">
      <c r="A2325" s="32" t="s">
        <v>1555</v>
      </c>
      <c r="B2325" s="32" t="s">
        <v>1550</v>
      </c>
      <c r="C2325" s="32" t="str">
        <f>vlookup(B2325,State_EMM_RowSums!$A$2:$B$52,2,FALSE)</f>
        <v>SC</v>
      </c>
      <c r="D2325" s="32">
        <v>45015.0</v>
      </c>
      <c r="E2325" s="33">
        <f>IF(NOT(ISBLANK(vlookup($D2325,Pop_Census_2023!$A$2:$E$3220,4,FALSE))),vlookup($D2325,Pop_Census_2023!$A$2:$E$3220,4,FALSE), vlookup($D2325,Pop_Census_2023!$A$2:$E$3220,5,FALSE))</f>
        <v>255217</v>
      </c>
      <c r="F2325" s="32">
        <v>1247985.0</v>
      </c>
      <c r="G2325" s="32">
        <v>96.0</v>
      </c>
      <c r="H2325" s="32" t="str">
        <f>VLOOKUP(D2325, Grid_Region_Mapping!$D$2:$F$5286, 3, FALSE)</f>
        <v>SRCA</v>
      </c>
      <c r="I2325" s="32">
        <v>5.0</v>
      </c>
      <c r="J2325" s="34" t="str">
        <f t="shared" si="1"/>
        <v>South</v>
      </c>
      <c r="K2325" s="35">
        <v>5.0</v>
      </c>
      <c r="L2325" s="35" t="s">
        <v>102</v>
      </c>
      <c r="M2325" s="36">
        <f>VLOOKUP(D2325, County_Data_CZones!$B$2:$F$3236, 2, FALSE)</f>
        <v>3</v>
      </c>
      <c r="N2325" s="37" t="str">
        <f>VLOOKUP(D2325, County_Data_CZones!$B$2:$F$3236, 5, FALSE)</f>
        <v>Hot-Humid</v>
      </c>
    </row>
    <row r="2326" ht="15.75" customHeight="1">
      <c r="A2326" s="32" t="s">
        <v>110</v>
      </c>
      <c r="B2326" s="32" t="s">
        <v>1550</v>
      </c>
      <c r="C2326" s="32" t="str">
        <f>vlookup(B2326,State_EMM_RowSums!$A$2:$B$52,2,FALSE)</f>
        <v>SC</v>
      </c>
      <c r="D2326" s="32">
        <v>45017.0</v>
      </c>
      <c r="E2326" s="33">
        <f>IF(NOT(ISBLANK(vlookup($D2326,Pop_Census_2023!$A$2:$E$3220,4,FALSE))),vlookup($D2326,Pop_Census_2023!$A$2:$E$3220,4,FALSE), vlookup($D2326,Pop_Census_2023!$A$2:$E$3220,5,FALSE))</f>
        <v>14186</v>
      </c>
      <c r="F2326" s="32">
        <v>1247986.0</v>
      </c>
      <c r="G2326" s="32">
        <v>96.0</v>
      </c>
      <c r="H2326" s="32" t="str">
        <f>VLOOKUP(D2326, Grid_Region_Mapping!$D$2:$F$5286, 3, FALSE)</f>
        <v>SRCA</v>
      </c>
      <c r="I2326" s="32">
        <v>5.0</v>
      </c>
      <c r="J2326" s="34" t="str">
        <f t="shared" si="1"/>
        <v>South</v>
      </c>
      <c r="K2326" s="35">
        <v>5.0</v>
      </c>
      <c r="L2326" s="35" t="s">
        <v>102</v>
      </c>
      <c r="M2326" s="36">
        <f>VLOOKUP(D2326, County_Data_CZones!$B$2:$F$3236, 2, FALSE)</f>
        <v>3</v>
      </c>
      <c r="N2326" s="37" t="str">
        <f>VLOOKUP(D2326, County_Data_CZones!$B$2:$F$3236, 5, FALSE)</f>
        <v>Mixed-Humid</v>
      </c>
    </row>
    <row r="2327" ht="15.75" customHeight="1">
      <c r="A2327" s="32" t="s">
        <v>1556</v>
      </c>
      <c r="B2327" s="32" t="s">
        <v>1550</v>
      </c>
      <c r="C2327" s="32" t="str">
        <f>vlookup(B2327,State_EMM_RowSums!$A$2:$B$52,2,FALSE)</f>
        <v>SC</v>
      </c>
      <c r="D2327" s="32">
        <v>45019.0</v>
      </c>
      <c r="E2327" s="33">
        <f>IF(NOT(ISBLANK(vlookup($D2327,Pop_Census_2023!$A$2:$E$3220,4,FALSE))),vlookup($D2327,Pop_Census_2023!$A$2:$E$3220,4,FALSE), vlookup($D2327,Pop_Census_2023!$A$2:$E$3220,5,FALSE))</f>
        <v>424367</v>
      </c>
      <c r="F2327" s="32">
        <v>1252740.0</v>
      </c>
      <c r="G2327" s="32">
        <v>96.0</v>
      </c>
      <c r="H2327" s="32" t="str">
        <f>VLOOKUP(D2327, Grid_Region_Mapping!$D$2:$F$5286, 3, FALSE)</f>
        <v>SRCA</v>
      </c>
      <c r="I2327" s="32">
        <v>5.0</v>
      </c>
      <c r="J2327" s="34" t="str">
        <f t="shared" si="1"/>
        <v>South</v>
      </c>
      <c r="K2327" s="35">
        <v>5.0</v>
      </c>
      <c r="L2327" s="35" t="s">
        <v>102</v>
      </c>
      <c r="M2327" s="36">
        <f>VLOOKUP(D2327, County_Data_CZones!$B$2:$F$3236, 2, FALSE)</f>
        <v>3</v>
      </c>
      <c r="N2327" s="37" t="str">
        <f>VLOOKUP(D2327, County_Data_CZones!$B$2:$F$3236, 5, FALSE)</f>
        <v>Hot-Humid</v>
      </c>
    </row>
    <row r="2328" ht="15.75" customHeight="1">
      <c r="A2328" s="32" t="s">
        <v>112</v>
      </c>
      <c r="B2328" s="32" t="s">
        <v>1550</v>
      </c>
      <c r="C2328" s="32" t="str">
        <f>vlookup(B2328,State_EMM_RowSums!$A$2:$B$52,2,FALSE)</f>
        <v>SC</v>
      </c>
      <c r="D2328" s="32">
        <v>45021.0</v>
      </c>
      <c r="E2328" s="33">
        <f>IF(NOT(ISBLANK(vlookup($D2328,Pop_Census_2023!$A$2:$E$3220,4,FALSE))),vlookup($D2328,Pop_Census_2023!$A$2:$E$3220,4,FALSE), vlookup($D2328,Pop_Census_2023!$A$2:$E$3220,5,FALSE))</f>
        <v>56714</v>
      </c>
      <c r="F2328" s="32">
        <v>1247987.0</v>
      </c>
      <c r="G2328" s="32">
        <v>95.0</v>
      </c>
      <c r="H2328" s="32" t="str">
        <f>VLOOKUP(D2328, Grid_Region_Mapping!$D$2:$F$5286, 3, FALSE)</f>
        <v>SRCA</v>
      </c>
      <c r="I2328" s="32">
        <v>5.0</v>
      </c>
      <c r="J2328" s="34" t="str">
        <f t="shared" si="1"/>
        <v>South</v>
      </c>
      <c r="K2328" s="35">
        <v>4.0</v>
      </c>
      <c r="L2328" s="35" t="s">
        <v>102</v>
      </c>
      <c r="M2328" s="36">
        <f>VLOOKUP(D2328, County_Data_CZones!$B$2:$F$3236, 2, FALSE)</f>
        <v>3</v>
      </c>
      <c r="N2328" s="37" t="str">
        <f>VLOOKUP(D2328, County_Data_CZones!$B$2:$F$3236, 5, FALSE)</f>
        <v>Mixed-Humid</v>
      </c>
    </row>
    <row r="2329" ht="15.75" customHeight="1">
      <c r="A2329" s="32" t="s">
        <v>1523</v>
      </c>
      <c r="B2329" s="32" t="s">
        <v>1550</v>
      </c>
      <c r="C2329" s="32" t="str">
        <f>vlookup(B2329,State_EMM_RowSums!$A$2:$B$52,2,FALSE)</f>
        <v>SC</v>
      </c>
      <c r="D2329" s="32">
        <v>45023.0</v>
      </c>
      <c r="E2329" s="33">
        <f>IF(NOT(ISBLANK(vlookup($D2329,Pop_Census_2023!$A$2:$E$3220,4,FALSE))),vlookup($D2329,Pop_Census_2023!$A$2:$E$3220,4,FALSE), vlookup($D2329,Pop_Census_2023!$A$2:$E$3220,5,FALSE))</f>
        <v>32226</v>
      </c>
      <c r="F2329" s="32">
        <v>1247988.0</v>
      </c>
      <c r="G2329" s="32">
        <v>95.0</v>
      </c>
      <c r="H2329" s="32" t="str">
        <f>VLOOKUP(D2329, Grid_Region_Mapping!$D$2:$F$5286, 3, FALSE)</f>
        <v>SRCA</v>
      </c>
      <c r="I2329" s="32">
        <v>5.0</v>
      </c>
      <c r="J2329" s="34" t="str">
        <f t="shared" si="1"/>
        <v>South</v>
      </c>
      <c r="K2329" s="35">
        <v>4.0</v>
      </c>
      <c r="L2329" s="35" t="s">
        <v>102</v>
      </c>
      <c r="M2329" s="36">
        <f>VLOOKUP(D2329, County_Data_CZones!$B$2:$F$3236, 2, FALSE)</f>
        <v>3</v>
      </c>
      <c r="N2329" s="37" t="str">
        <f>VLOOKUP(D2329, County_Data_CZones!$B$2:$F$3236, 5, FALSE)</f>
        <v>Mixed-Humid</v>
      </c>
    </row>
    <row r="2330" ht="15.75" customHeight="1">
      <c r="A2330" s="32" t="s">
        <v>1557</v>
      </c>
      <c r="B2330" s="32" t="s">
        <v>1550</v>
      </c>
      <c r="C2330" s="32" t="str">
        <f>vlookup(B2330,State_EMM_RowSums!$A$2:$B$52,2,FALSE)</f>
        <v>SC</v>
      </c>
      <c r="D2330" s="32">
        <v>45025.0</v>
      </c>
      <c r="E2330" s="33">
        <f>IF(NOT(ISBLANK(vlookup($D2330,Pop_Census_2023!$A$2:$E$3220,4,FALSE))),vlookup($D2330,Pop_Census_2023!$A$2:$E$3220,4,FALSE), vlookup($D2330,Pop_Census_2023!$A$2:$E$3220,5,FALSE))</f>
        <v>44031</v>
      </c>
      <c r="F2330" s="32">
        <v>1247989.0</v>
      </c>
      <c r="G2330" s="32">
        <v>96.0</v>
      </c>
      <c r="H2330" s="32" t="str">
        <f>VLOOKUP(D2330, Grid_Region_Mapping!$D$2:$F$5286, 3, FALSE)</f>
        <v>SRCA</v>
      </c>
      <c r="I2330" s="32">
        <v>5.0</v>
      </c>
      <c r="J2330" s="34" t="str">
        <f t="shared" si="1"/>
        <v>South</v>
      </c>
      <c r="K2330" s="35">
        <v>4.0</v>
      </c>
      <c r="L2330" s="35" t="s">
        <v>102</v>
      </c>
      <c r="M2330" s="36">
        <f>VLOOKUP(D2330, County_Data_CZones!$B$2:$F$3236, 2, FALSE)</f>
        <v>3</v>
      </c>
      <c r="N2330" s="37" t="str">
        <f>VLOOKUP(D2330, County_Data_CZones!$B$2:$F$3236, 5, FALSE)</f>
        <v>Mixed-Humid</v>
      </c>
    </row>
    <row r="2331" ht="15.75" customHeight="1">
      <c r="A2331" s="32" t="s">
        <v>1558</v>
      </c>
      <c r="B2331" s="32" t="s">
        <v>1550</v>
      </c>
      <c r="C2331" s="32" t="str">
        <f>vlookup(B2331,State_EMM_RowSums!$A$2:$B$52,2,FALSE)</f>
        <v>SC</v>
      </c>
      <c r="D2331" s="32">
        <v>45027.0</v>
      </c>
      <c r="E2331" s="33">
        <f>IF(NOT(ISBLANK(vlookup($D2331,Pop_Census_2023!$A$2:$E$3220,4,FALSE))),vlookup($D2331,Pop_Census_2023!$A$2:$E$3220,4,FALSE), vlookup($D2331,Pop_Census_2023!$A$2:$E$3220,5,FALSE))</f>
        <v>31004</v>
      </c>
      <c r="F2331" s="32">
        <v>1247990.0</v>
      </c>
      <c r="G2331" s="32">
        <v>96.0</v>
      </c>
      <c r="H2331" s="32" t="str">
        <f>VLOOKUP(D2331, Grid_Region_Mapping!$D$2:$F$5286, 3, FALSE)</f>
        <v>SRCA</v>
      </c>
      <c r="I2331" s="32">
        <v>5.0</v>
      </c>
      <c r="J2331" s="34" t="str">
        <f t="shared" si="1"/>
        <v>South</v>
      </c>
      <c r="K2331" s="35">
        <v>4.0</v>
      </c>
      <c r="L2331" s="35" t="s">
        <v>102</v>
      </c>
      <c r="M2331" s="36">
        <f>VLOOKUP(D2331, County_Data_CZones!$B$2:$F$3236, 2, FALSE)</f>
        <v>3</v>
      </c>
      <c r="N2331" s="37" t="str">
        <f>VLOOKUP(D2331, County_Data_CZones!$B$2:$F$3236, 5, FALSE)</f>
        <v>Mixed-Humid</v>
      </c>
    </row>
    <row r="2332" ht="15.75" customHeight="1">
      <c r="A2332" s="32" t="s">
        <v>1559</v>
      </c>
      <c r="B2332" s="32" t="s">
        <v>1550</v>
      </c>
      <c r="C2332" s="32" t="str">
        <f>vlookup(B2332,State_EMM_RowSums!$A$2:$B$52,2,FALSE)</f>
        <v>SC</v>
      </c>
      <c r="D2332" s="32">
        <v>45029.0</v>
      </c>
      <c r="E2332" s="33">
        <f>IF(NOT(ISBLANK(vlookup($D2332,Pop_Census_2023!$A$2:$E$3220,4,FALSE))),vlookup($D2332,Pop_Census_2023!$A$2:$E$3220,4,FALSE), vlookup($D2332,Pop_Census_2023!$A$2:$E$3220,5,FALSE))</f>
        <v>38874</v>
      </c>
      <c r="F2332" s="32">
        <v>1247991.0</v>
      </c>
      <c r="G2332" s="32">
        <v>96.0</v>
      </c>
      <c r="H2332" s="32" t="str">
        <f>VLOOKUP(D2332, Grid_Region_Mapping!$D$2:$F$5286, 3, FALSE)</f>
        <v>SRCA</v>
      </c>
      <c r="I2332" s="32">
        <v>5.0</v>
      </c>
      <c r="J2332" s="34" t="str">
        <f t="shared" si="1"/>
        <v>South</v>
      </c>
      <c r="K2332" s="35">
        <v>5.0</v>
      </c>
      <c r="L2332" s="35" t="s">
        <v>102</v>
      </c>
      <c r="M2332" s="36">
        <f>VLOOKUP(D2332, County_Data_CZones!$B$2:$F$3236, 2, FALSE)</f>
        <v>3</v>
      </c>
      <c r="N2332" s="37" t="str">
        <f>VLOOKUP(D2332, County_Data_CZones!$B$2:$F$3236, 5, FALSE)</f>
        <v>Hot-Humid</v>
      </c>
    </row>
    <row r="2333" ht="15.75" customHeight="1">
      <c r="A2333" s="32" t="s">
        <v>1560</v>
      </c>
      <c r="B2333" s="32" t="s">
        <v>1550</v>
      </c>
      <c r="C2333" s="32" t="str">
        <f>vlookup(B2333,State_EMM_RowSums!$A$2:$B$52,2,FALSE)</f>
        <v>SC</v>
      </c>
      <c r="D2333" s="32">
        <v>45031.0</v>
      </c>
      <c r="E2333" s="33">
        <f>IF(NOT(ISBLANK(vlookup($D2333,Pop_Census_2023!$A$2:$E$3220,4,FALSE))),vlookup($D2333,Pop_Census_2023!$A$2:$E$3220,4,FALSE), vlookup($D2333,Pop_Census_2023!$A$2:$E$3220,5,FALSE))</f>
        <v>62416</v>
      </c>
      <c r="F2333" s="32">
        <v>1247992.0</v>
      </c>
      <c r="G2333" s="32">
        <v>96.0</v>
      </c>
      <c r="H2333" s="32" t="str">
        <f>VLOOKUP(D2333, Grid_Region_Mapping!$D$2:$F$5286, 3, FALSE)</f>
        <v>SRCA</v>
      </c>
      <c r="I2333" s="32">
        <v>5.0</v>
      </c>
      <c r="J2333" s="34" t="str">
        <f t="shared" si="1"/>
        <v>South</v>
      </c>
      <c r="K2333" s="35">
        <v>4.0</v>
      </c>
      <c r="L2333" s="35" t="s">
        <v>102</v>
      </c>
      <c r="M2333" s="36">
        <f>VLOOKUP(D2333, County_Data_CZones!$B$2:$F$3236, 2, FALSE)</f>
        <v>3</v>
      </c>
      <c r="N2333" s="37" t="str">
        <f>VLOOKUP(D2333, County_Data_CZones!$B$2:$F$3236, 5, FALSE)</f>
        <v>Mixed-Humid</v>
      </c>
    </row>
    <row r="2334" ht="15.75" customHeight="1">
      <c r="A2334" s="32" t="s">
        <v>1561</v>
      </c>
      <c r="B2334" s="32" t="s">
        <v>1550</v>
      </c>
      <c r="C2334" s="32" t="str">
        <f>vlookup(B2334,State_EMM_RowSums!$A$2:$B$52,2,FALSE)</f>
        <v>SC</v>
      </c>
      <c r="D2334" s="32">
        <v>45033.0</v>
      </c>
      <c r="E2334" s="33">
        <f>IF(NOT(ISBLANK(vlookup($D2334,Pop_Census_2023!$A$2:$E$3220,4,FALSE))),vlookup($D2334,Pop_Census_2023!$A$2:$E$3220,4,FALSE), vlookup($D2334,Pop_Census_2023!$A$2:$E$3220,5,FALSE))</f>
        <v>27698</v>
      </c>
      <c r="F2334" s="32">
        <v>1247993.0</v>
      </c>
      <c r="G2334" s="32">
        <v>96.0</v>
      </c>
      <c r="H2334" s="32" t="str">
        <f>VLOOKUP(D2334, Grid_Region_Mapping!$D$2:$F$5286, 3, FALSE)</f>
        <v>SRCA</v>
      </c>
      <c r="I2334" s="32">
        <v>5.0</v>
      </c>
      <c r="J2334" s="34" t="str">
        <f t="shared" si="1"/>
        <v>South</v>
      </c>
      <c r="K2334" s="35">
        <v>4.0</v>
      </c>
      <c r="L2334" s="35" t="s">
        <v>102</v>
      </c>
      <c r="M2334" s="36">
        <f>VLOOKUP(D2334, County_Data_CZones!$B$2:$F$3236, 2, FALSE)</f>
        <v>3</v>
      </c>
      <c r="N2334" s="37" t="str">
        <f>VLOOKUP(D2334, County_Data_CZones!$B$2:$F$3236, 5, FALSE)</f>
        <v>Mixed-Humid</v>
      </c>
    </row>
    <row r="2335" ht="15.75" customHeight="1">
      <c r="A2335" s="32" t="s">
        <v>941</v>
      </c>
      <c r="B2335" s="32" t="s">
        <v>1550</v>
      </c>
      <c r="C2335" s="32" t="str">
        <f>vlookup(B2335,State_EMM_RowSums!$A$2:$B$52,2,FALSE)</f>
        <v>SC</v>
      </c>
      <c r="D2335" s="32">
        <v>45035.0</v>
      </c>
      <c r="E2335" s="33">
        <f>IF(NOT(ISBLANK(vlookup($D2335,Pop_Census_2023!$A$2:$E$3220,4,FALSE))),vlookup($D2335,Pop_Census_2023!$A$2:$E$3220,4,FALSE), vlookup($D2335,Pop_Census_2023!$A$2:$E$3220,5,FALSE))</f>
        <v>169833</v>
      </c>
      <c r="F2335" s="32">
        <v>1247998.0</v>
      </c>
      <c r="G2335" s="32">
        <v>96.0</v>
      </c>
      <c r="H2335" s="32" t="str">
        <f>VLOOKUP(D2335, Grid_Region_Mapping!$D$2:$F$5286, 3, FALSE)</f>
        <v>SRCA</v>
      </c>
      <c r="I2335" s="32">
        <v>5.0</v>
      </c>
      <c r="J2335" s="34" t="str">
        <f t="shared" si="1"/>
        <v>South</v>
      </c>
      <c r="K2335" s="35">
        <v>4.0</v>
      </c>
      <c r="L2335" s="35" t="s">
        <v>102</v>
      </c>
      <c r="M2335" s="36">
        <f>VLOOKUP(D2335, County_Data_CZones!$B$2:$F$3236, 2, FALSE)</f>
        <v>3</v>
      </c>
      <c r="N2335" s="37" t="str">
        <f>VLOOKUP(D2335, County_Data_CZones!$B$2:$F$3236, 5, FALSE)</f>
        <v>Hot-Humid</v>
      </c>
    </row>
    <row r="2336" ht="15.75" customHeight="1">
      <c r="A2336" s="32" t="s">
        <v>1562</v>
      </c>
      <c r="B2336" s="32" t="s">
        <v>1550</v>
      </c>
      <c r="C2336" s="32" t="str">
        <f>vlookup(B2336,State_EMM_RowSums!$A$2:$B$52,2,FALSE)</f>
        <v>SC</v>
      </c>
      <c r="D2336" s="32">
        <v>45037.0</v>
      </c>
      <c r="E2336" s="33">
        <f>IF(NOT(ISBLANK(vlookup($D2336,Pop_Census_2023!$A$2:$E$3220,4,FALSE))),vlookup($D2336,Pop_Census_2023!$A$2:$E$3220,4,FALSE), vlookup($D2336,Pop_Census_2023!$A$2:$E$3220,5,FALSE))</f>
        <v>27607</v>
      </c>
      <c r="F2336" s="32">
        <v>1247999.0</v>
      </c>
      <c r="G2336" s="32">
        <v>96.0</v>
      </c>
      <c r="H2336" s="32" t="str">
        <f>VLOOKUP(D2336, Grid_Region_Mapping!$D$2:$F$5286, 3, FALSE)</f>
        <v>SRCA</v>
      </c>
      <c r="I2336" s="32">
        <v>5.0</v>
      </c>
      <c r="J2336" s="34" t="str">
        <f t="shared" si="1"/>
        <v>South</v>
      </c>
      <c r="K2336" s="35">
        <v>4.0</v>
      </c>
      <c r="L2336" s="35" t="s">
        <v>102</v>
      </c>
      <c r="M2336" s="36">
        <f>VLOOKUP(D2336, County_Data_CZones!$B$2:$F$3236, 2, FALSE)</f>
        <v>3</v>
      </c>
      <c r="N2336" s="37" t="str">
        <f>VLOOKUP(D2336, County_Data_CZones!$B$2:$F$3236, 5, FALSE)</f>
        <v>Mixed-Humid</v>
      </c>
    </row>
    <row r="2337" ht="15.75" customHeight="1">
      <c r="A2337" s="32" t="s">
        <v>394</v>
      </c>
      <c r="B2337" s="32" t="s">
        <v>1550</v>
      </c>
      <c r="C2337" s="32" t="str">
        <f>vlookup(B2337,State_EMM_RowSums!$A$2:$B$52,2,FALSE)</f>
        <v>SC</v>
      </c>
      <c r="D2337" s="32">
        <v>45039.0</v>
      </c>
      <c r="E2337" s="33">
        <f>IF(NOT(ISBLANK(vlookup($D2337,Pop_Census_2023!$A$2:$E$3220,4,FALSE))),vlookup($D2337,Pop_Census_2023!$A$2:$E$3220,4,FALSE), vlookup($D2337,Pop_Census_2023!$A$2:$E$3220,5,FALSE))</f>
        <v>20422</v>
      </c>
      <c r="F2337" s="32">
        <v>1248000.0</v>
      </c>
      <c r="G2337" s="32">
        <v>96.0</v>
      </c>
      <c r="H2337" s="32" t="str">
        <f>VLOOKUP(D2337, Grid_Region_Mapping!$D$2:$F$5286, 3, FALSE)</f>
        <v>SRCA</v>
      </c>
      <c r="I2337" s="32">
        <v>5.0</v>
      </c>
      <c r="J2337" s="34" t="str">
        <f t="shared" si="1"/>
        <v>South</v>
      </c>
      <c r="K2337" s="35">
        <v>4.0</v>
      </c>
      <c r="L2337" s="35" t="s">
        <v>102</v>
      </c>
      <c r="M2337" s="36">
        <f>VLOOKUP(D2337, County_Data_CZones!$B$2:$F$3236, 2, FALSE)</f>
        <v>3</v>
      </c>
      <c r="N2337" s="37" t="str">
        <f>VLOOKUP(D2337, County_Data_CZones!$B$2:$F$3236, 5, FALSE)</f>
        <v>Mixed-Humid</v>
      </c>
    </row>
    <row r="2338" ht="15.75" customHeight="1">
      <c r="A2338" s="32" t="s">
        <v>1563</v>
      </c>
      <c r="B2338" s="32" t="s">
        <v>1550</v>
      </c>
      <c r="C2338" s="32" t="str">
        <f>vlookup(B2338,State_EMM_RowSums!$A$2:$B$52,2,FALSE)</f>
        <v>SC</v>
      </c>
      <c r="D2338" s="32">
        <v>45041.0</v>
      </c>
      <c r="E2338" s="33">
        <f>IF(NOT(ISBLANK(vlookup($D2338,Pop_Census_2023!$A$2:$E$3220,4,FALSE))),vlookup($D2338,Pop_Census_2023!$A$2:$E$3220,4,FALSE), vlookup($D2338,Pop_Census_2023!$A$2:$E$3220,5,FALSE))</f>
        <v>137214</v>
      </c>
      <c r="F2338" s="32">
        <v>1248001.0</v>
      </c>
      <c r="G2338" s="32">
        <v>96.0</v>
      </c>
      <c r="H2338" s="32" t="str">
        <f>VLOOKUP(D2338, Grid_Region_Mapping!$D$2:$F$5286, 3, FALSE)</f>
        <v>SRCA</v>
      </c>
      <c r="I2338" s="32">
        <v>5.0</v>
      </c>
      <c r="J2338" s="34" t="str">
        <f t="shared" si="1"/>
        <v>South</v>
      </c>
      <c r="K2338" s="35">
        <v>4.0</v>
      </c>
      <c r="L2338" s="35" t="s">
        <v>102</v>
      </c>
      <c r="M2338" s="36">
        <f>VLOOKUP(D2338, County_Data_CZones!$B$2:$F$3236, 2, FALSE)</f>
        <v>3</v>
      </c>
      <c r="N2338" s="37" t="str">
        <f>VLOOKUP(D2338, County_Data_CZones!$B$2:$F$3236, 5, FALSE)</f>
        <v>Mixed-Humid</v>
      </c>
    </row>
    <row r="2339" ht="15.75" customHeight="1">
      <c r="A2339" s="32" t="s">
        <v>1564</v>
      </c>
      <c r="B2339" s="32" t="s">
        <v>1550</v>
      </c>
      <c r="C2339" s="32" t="str">
        <f>vlookup(B2339,State_EMM_RowSums!$A$2:$B$52,2,FALSE)</f>
        <v>SC</v>
      </c>
      <c r="D2339" s="32">
        <v>45043.0</v>
      </c>
      <c r="E2339" s="33">
        <f>IF(NOT(ISBLANK(vlookup($D2339,Pop_Census_2023!$A$2:$E$3220,4,FALSE))),vlookup($D2339,Pop_Census_2023!$A$2:$E$3220,4,FALSE), vlookup($D2339,Pop_Census_2023!$A$2:$E$3220,5,FALSE))</f>
        <v>65731</v>
      </c>
      <c r="F2339" s="32">
        <v>1248002.0</v>
      </c>
      <c r="G2339" s="32">
        <v>96.0</v>
      </c>
      <c r="H2339" s="32" t="str">
        <f>VLOOKUP(D2339, Grid_Region_Mapping!$D$2:$F$5286, 3, FALSE)</f>
        <v>SRCA</v>
      </c>
      <c r="I2339" s="32">
        <v>5.0</v>
      </c>
      <c r="J2339" s="34" t="str">
        <f t="shared" si="1"/>
        <v>South</v>
      </c>
      <c r="K2339" s="35">
        <v>5.0</v>
      </c>
      <c r="L2339" s="35" t="s">
        <v>102</v>
      </c>
      <c r="M2339" s="36">
        <f>VLOOKUP(D2339, County_Data_CZones!$B$2:$F$3236, 2, FALSE)</f>
        <v>3</v>
      </c>
      <c r="N2339" s="37" t="str">
        <f>VLOOKUP(D2339, County_Data_CZones!$B$2:$F$3236, 5, FALSE)</f>
        <v>Hot-Humid</v>
      </c>
    </row>
    <row r="2340" ht="15.75" customHeight="1">
      <c r="A2340" s="32" t="s">
        <v>1565</v>
      </c>
      <c r="B2340" s="32" t="s">
        <v>1550</v>
      </c>
      <c r="C2340" s="32" t="str">
        <f>vlookup(B2340,State_EMM_RowSums!$A$2:$B$52,2,FALSE)</f>
        <v>SC</v>
      </c>
      <c r="D2340" s="32">
        <v>45045.0</v>
      </c>
      <c r="E2340" s="33">
        <f>IF(NOT(ISBLANK(vlookup($D2340,Pop_Census_2023!$A$2:$E$3220,4,FALSE))),vlookup($D2340,Pop_Census_2023!$A$2:$E$3220,4,FALSE), vlookup($D2340,Pop_Census_2023!$A$2:$E$3220,5,FALSE))</f>
        <v>558036</v>
      </c>
      <c r="F2340" s="32">
        <v>1245489.0</v>
      </c>
      <c r="G2340" s="32">
        <v>95.0</v>
      </c>
      <c r="H2340" s="32" t="str">
        <f>VLOOKUP(D2340, Grid_Region_Mapping!$D$2:$F$5286, 3, FALSE)</f>
        <v>SRCA</v>
      </c>
      <c r="I2340" s="32">
        <v>5.0</v>
      </c>
      <c r="J2340" s="34" t="str">
        <f t="shared" si="1"/>
        <v>South</v>
      </c>
      <c r="K2340" s="35">
        <v>4.0</v>
      </c>
      <c r="L2340" s="35" t="s">
        <v>102</v>
      </c>
      <c r="M2340" s="36">
        <f>VLOOKUP(D2340, County_Data_CZones!$B$2:$F$3236, 2, FALSE)</f>
        <v>3</v>
      </c>
      <c r="N2340" s="37" t="str">
        <f>VLOOKUP(D2340, County_Data_CZones!$B$2:$F$3236, 5, FALSE)</f>
        <v>Mixed-Humid</v>
      </c>
    </row>
    <row r="2341" ht="15.75" customHeight="1">
      <c r="A2341" s="32" t="s">
        <v>771</v>
      </c>
      <c r="B2341" s="32" t="s">
        <v>1550</v>
      </c>
      <c r="C2341" s="32" t="str">
        <f>vlookup(B2341,State_EMM_RowSums!$A$2:$B$52,2,FALSE)</f>
        <v>SC</v>
      </c>
      <c r="D2341" s="32">
        <v>45047.0</v>
      </c>
      <c r="E2341" s="33">
        <f>IF(NOT(ISBLANK(vlookup($D2341,Pop_Census_2023!$A$2:$E$3220,4,FALSE))),vlookup($D2341,Pop_Census_2023!$A$2:$E$3220,4,FALSE), vlookup($D2341,Pop_Census_2023!$A$2:$E$3220,5,FALSE))</f>
        <v>69460</v>
      </c>
      <c r="F2341" s="32">
        <v>1248003.0</v>
      </c>
      <c r="G2341" s="32">
        <v>95.0</v>
      </c>
      <c r="H2341" s="32" t="str">
        <f>VLOOKUP(D2341, Grid_Region_Mapping!$D$2:$F$5286, 3, FALSE)</f>
        <v>SRCA</v>
      </c>
      <c r="I2341" s="32">
        <v>5.0</v>
      </c>
      <c r="J2341" s="34" t="str">
        <f t="shared" si="1"/>
        <v>South</v>
      </c>
      <c r="K2341" s="35">
        <v>4.0</v>
      </c>
      <c r="L2341" s="35" t="s">
        <v>102</v>
      </c>
      <c r="M2341" s="36">
        <f>VLOOKUP(D2341, County_Data_CZones!$B$2:$F$3236, 2, FALSE)</f>
        <v>3</v>
      </c>
      <c r="N2341" s="37" t="str">
        <f>VLOOKUP(D2341, County_Data_CZones!$B$2:$F$3236, 5, FALSE)</f>
        <v>Mixed-Humid</v>
      </c>
    </row>
    <row r="2342" ht="15.75" customHeight="1">
      <c r="A2342" s="32" t="s">
        <v>1566</v>
      </c>
      <c r="B2342" s="32" t="s">
        <v>1550</v>
      </c>
      <c r="C2342" s="32" t="str">
        <f>vlookup(B2342,State_EMM_RowSums!$A$2:$B$52,2,FALSE)</f>
        <v>SC</v>
      </c>
      <c r="D2342" s="32">
        <v>45049.0</v>
      </c>
      <c r="E2342" s="33">
        <f>IF(NOT(ISBLANK(vlookup($D2342,Pop_Census_2023!$A$2:$E$3220,4,FALSE))),vlookup($D2342,Pop_Census_2023!$A$2:$E$3220,4,FALSE), vlookup($D2342,Pop_Census_2023!$A$2:$E$3220,5,FALSE))</f>
        <v>18122</v>
      </c>
      <c r="F2342" s="32">
        <v>1248004.0</v>
      </c>
      <c r="G2342" s="32">
        <v>96.0</v>
      </c>
      <c r="H2342" s="32" t="str">
        <f>VLOOKUP(D2342, Grid_Region_Mapping!$D$2:$F$5286, 3, FALSE)</f>
        <v>SRCA</v>
      </c>
      <c r="I2342" s="32">
        <v>5.0</v>
      </c>
      <c r="J2342" s="34" t="str">
        <f t="shared" si="1"/>
        <v>South</v>
      </c>
      <c r="K2342" s="35">
        <v>5.0</v>
      </c>
      <c r="L2342" s="35" t="s">
        <v>102</v>
      </c>
      <c r="M2342" s="36">
        <f>VLOOKUP(D2342, County_Data_CZones!$B$2:$F$3236, 2, FALSE)</f>
        <v>3</v>
      </c>
      <c r="N2342" s="37" t="str">
        <f>VLOOKUP(D2342, County_Data_CZones!$B$2:$F$3236, 5, FALSE)</f>
        <v>Hot-Humid</v>
      </c>
    </row>
    <row r="2343" ht="15.75" customHeight="1">
      <c r="A2343" s="32" t="s">
        <v>1567</v>
      </c>
      <c r="B2343" s="32" t="s">
        <v>1550</v>
      </c>
      <c r="C2343" s="32" t="str">
        <f>vlookup(B2343,State_EMM_RowSums!$A$2:$B$52,2,FALSE)</f>
        <v>SC</v>
      </c>
      <c r="D2343" s="32">
        <v>45051.0</v>
      </c>
      <c r="E2343" s="33">
        <f>IF(NOT(ISBLANK(vlookup($D2343,Pop_Census_2023!$A$2:$E$3220,4,FALSE))),vlookup($D2343,Pop_Census_2023!$A$2:$E$3220,4,FALSE), vlookup($D2343,Pop_Census_2023!$A$2:$E$3220,5,FALSE))</f>
        <v>397478</v>
      </c>
      <c r="F2343" s="32">
        <v>1248005.0</v>
      </c>
      <c r="G2343" s="32">
        <v>96.0</v>
      </c>
      <c r="H2343" s="32" t="str">
        <f>VLOOKUP(D2343, Grid_Region_Mapping!$D$2:$F$5286, 3, FALSE)</f>
        <v>SRCA</v>
      </c>
      <c r="I2343" s="32">
        <v>5.0</v>
      </c>
      <c r="J2343" s="34" t="str">
        <f t="shared" si="1"/>
        <v>South</v>
      </c>
      <c r="K2343" s="35">
        <v>4.0</v>
      </c>
      <c r="L2343" s="35" t="s">
        <v>102</v>
      </c>
      <c r="M2343" s="36">
        <f>VLOOKUP(D2343, County_Data_CZones!$B$2:$F$3236, 2, FALSE)</f>
        <v>3</v>
      </c>
      <c r="N2343" s="37" t="str">
        <f>VLOOKUP(D2343, County_Data_CZones!$B$2:$F$3236, 5, FALSE)</f>
        <v>Hot-Humid</v>
      </c>
    </row>
    <row r="2344" ht="15.75" customHeight="1">
      <c r="A2344" s="32" t="s">
        <v>518</v>
      </c>
      <c r="B2344" s="32" t="s">
        <v>1550</v>
      </c>
      <c r="C2344" s="32" t="str">
        <f>vlookup(B2344,State_EMM_RowSums!$A$2:$B$52,2,FALSE)</f>
        <v>SC</v>
      </c>
      <c r="D2344" s="32">
        <v>45053.0</v>
      </c>
      <c r="E2344" s="33">
        <f>IF(NOT(ISBLANK(vlookup($D2344,Pop_Census_2023!$A$2:$E$3220,4,FALSE))),vlookup($D2344,Pop_Census_2023!$A$2:$E$3220,4,FALSE), vlookup($D2344,Pop_Census_2023!$A$2:$E$3220,5,FALSE))</f>
        <v>33544</v>
      </c>
      <c r="F2344" s="32">
        <v>1248006.0</v>
      </c>
      <c r="G2344" s="32">
        <v>96.0</v>
      </c>
      <c r="H2344" s="32" t="str">
        <f>VLOOKUP(D2344, Grid_Region_Mapping!$D$2:$F$5286, 3, FALSE)</f>
        <v>SRCA</v>
      </c>
      <c r="I2344" s="32">
        <v>5.0</v>
      </c>
      <c r="J2344" s="34" t="str">
        <f t="shared" si="1"/>
        <v>South</v>
      </c>
      <c r="K2344" s="35">
        <v>5.0</v>
      </c>
      <c r="L2344" s="35" t="s">
        <v>102</v>
      </c>
      <c r="M2344" s="36">
        <f>VLOOKUP(D2344, County_Data_CZones!$B$2:$F$3236, 2, FALSE)</f>
        <v>3</v>
      </c>
      <c r="N2344" s="37" t="str">
        <f>VLOOKUP(D2344, County_Data_CZones!$B$2:$F$3236, 5, FALSE)</f>
        <v>Hot-Humid</v>
      </c>
    </row>
    <row r="2345" ht="15.75" customHeight="1">
      <c r="A2345" s="32" t="s">
        <v>1568</v>
      </c>
      <c r="B2345" s="32" t="s">
        <v>1550</v>
      </c>
      <c r="C2345" s="32" t="str">
        <f>vlookup(B2345,State_EMM_RowSums!$A$2:$B$52,2,FALSE)</f>
        <v>SC</v>
      </c>
      <c r="D2345" s="32">
        <v>45055.0</v>
      </c>
      <c r="E2345" s="33">
        <f>IF(NOT(ISBLANK(vlookup($D2345,Pop_Census_2023!$A$2:$E$3220,4,FALSE))),vlookup($D2345,Pop_Census_2023!$A$2:$E$3220,4,FALSE), vlookup($D2345,Pop_Census_2023!$A$2:$E$3220,5,FALSE))</f>
        <v>69905</v>
      </c>
      <c r="F2345" s="32">
        <v>1248007.0</v>
      </c>
      <c r="G2345" s="32">
        <v>96.0</v>
      </c>
      <c r="H2345" s="32" t="str">
        <f>VLOOKUP(D2345, Grid_Region_Mapping!$D$2:$F$5286, 3, FALSE)</f>
        <v>SRCA</v>
      </c>
      <c r="I2345" s="32">
        <v>5.0</v>
      </c>
      <c r="J2345" s="34" t="str">
        <f t="shared" si="1"/>
        <v>South</v>
      </c>
      <c r="K2345" s="35">
        <v>4.0</v>
      </c>
      <c r="L2345" s="35" t="s">
        <v>102</v>
      </c>
      <c r="M2345" s="36">
        <f>VLOOKUP(D2345, County_Data_CZones!$B$2:$F$3236, 2, FALSE)</f>
        <v>3</v>
      </c>
      <c r="N2345" s="37" t="str">
        <f>VLOOKUP(D2345, County_Data_CZones!$B$2:$F$3236, 5, FALSE)</f>
        <v>Mixed-Humid</v>
      </c>
    </row>
    <row r="2346" ht="15.75" customHeight="1">
      <c r="A2346" s="32" t="s">
        <v>1224</v>
      </c>
      <c r="B2346" s="32" t="s">
        <v>1550</v>
      </c>
      <c r="C2346" s="32" t="str">
        <f>vlookup(B2346,State_EMM_RowSums!$A$2:$B$52,2,FALSE)</f>
        <v>SC</v>
      </c>
      <c r="D2346" s="32">
        <v>45057.0</v>
      </c>
      <c r="E2346" s="33">
        <f>IF(NOT(ISBLANK(vlookup($D2346,Pop_Census_2023!$A$2:$E$3220,4,FALSE))),vlookup($D2346,Pop_Census_2023!$A$2:$E$3220,4,FALSE), vlookup($D2346,Pop_Census_2023!$A$2:$E$3220,5,FALSE))</f>
        <v>108215</v>
      </c>
      <c r="F2346" s="32">
        <v>1248008.0</v>
      </c>
      <c r="G2346" s="32">
        <v>95.0</v>
      </c>
      <c r="H2346" s="32" t="str">
        <f>VLOOKUP(D2346, Grid_Region_Mapping!$D$2:$F$5286, 3, FALSE)</f>
        <v>SRCA</v>
      </c>
      <c r="I2346" s="32">
        <v>5.0</v>
      </c>
      <c r="J2346" s="34" t="str">
        <f t="shared" si="1"/>
        <v>South</v>
      </c>
      <c r="K2346" s="35">
        <v>4.0</v>
      </c>
      <c r="L2346" s="35" t="s">
        <v>102</v>
      </c>
      <c r="M2346" s="36">
        <f>VLOOKUP(D2346, County_Data_CZones!$B$2:$F$3236, 2, FALSE)</f>
        <v>3</v>
      </c>
      <c r="N2346" s="37" t="str">
        <f>VLOOKUP(D2346, County_Data_CZones!$B$2:$F$3236, 5, FALSE)</f>
        <v>Mixed-Humid</v>
      </c>
    </row>
    <row r="2347" ht="15.75" customHeight="1">
      <c r="A2347" s="32" t="s">
        <v>523</v>
      </c>
      <c r="B2347" s="32" t="s">
        <v>1550</v>
      </c>
      <c r="C2347" s="32" t="str">
        <f>vlookup(B2347,State_EMM_RowSums!$A$2:$B$52,2,FALSE)</f>
        <v>SC</v>
      </c>
      <c r="D2347" s="32">
        <v>45059.0</v>
      </c>
      <c r="E2347" s="33">
        <f>IF(NOT(ISBLANK(vlookup($D2347,Pop_Census_2023!$A$2:$E$3220,4,FALSE))),vlookup($D2347,Pop_Census_2023!$A$2:$E$3220,4,FALSE), vlookup($D2347,Pop_Census_2023!$A$2:$E$3220,5,FALSE))</f>
        <v>68873</v>
      </c>
      <c r="F2347" s="32">
        <v>1248009.0</v>
      </c>
      <c r="G2347" s="32">
        <v>95.0</v>
      </c>
      <c r="H2347" s="32" t="str">
        <f>VLOOKUP(D2347, Grid_Region_Mapping!$D$2:$F$5286, 3, FALSE)</f>
        <v>SRCA</v>
      </c>
      <c r="I2347" s="32">
        <v>5.0</v>
      </c>
      <c r="J2347" s="34" t="str">
        <f t="shared" si="1"/>
        <v>South</v>
      </c>
      <c r="K2347" s="35">
        <v>4.0</v>
      </c>
      <c r="L2347" s="35" t="s">
        <v>102</v>
      </c>
      <c r="M2347" s="36">
        <f>VLOOKUP(D2347, County_Data_CZones!$B$2:$F$3236, 2, FALSE)</f>
        <v>3</v>
      </c>
      <c r="N2347" s="37" t="str">
        <f>VLOOKUP(D2347, County_Data_CZones!$B$2:$F$3236, 5, FALSE)</f>
        <v>Mixed-Humid</v>
      </c>
    </row>
    <row r="2348" ht="15.75" customHeight="1">
      <c r="A2348" s="32" t="s">
        <v>143</v>
      </c>
      <c r="B2348" s="32" t="s">
        <v>1550</v>
      </c>
      <c r="C2348" s="32" t="str">
        <f>vlookup(B2348,State_EMM_RowSums!$A$2:$B$52,2,FALSE)</f>
        <v>SC</v>
      </c>
      <c r="D2348" s="32">
        <v>45061.0</v>
      </c>
      <c r="E2348" s="33">
        <f>IF(NOT(ISBLANK(vlookup($D2348,Pop_Census_2023!$A$2:$E$3220,4,FALSE))),vlookup($D2348,Pop_Census_2023!$A$2:$E$3220,4,FALSE), vlookup($D2348,Pop_Census_2023!$A$2:$E$3220,5,FALSE))</f>
        <v>15967</v>
      </c>
      <c r="F2348" s="32">
        <v>1245652.0</v>
      </c>
      <c r="G2348" s="32">
        <v>96.0</v>
      </c>
      <c r="H2348" s="32" t="str">
        <f>VLOOKUP(D2348, Grid_Region_Mapping!$D$2:$F$5286, 3, FALSE)</f>
        <v>SRCA</v>
      </c>
      <c r="I2348" s="32">
        <v>5.0</v>
      </c>
      <c r="J2348" s="34" t="str">
        <f t="shared" si="1"/>
        <v>South</v>
      </c>
      <c r="K2348" s="35">
        <v>4.0</v>
      </c>
      <c r="L2348" s="35" t="s">
        <v>102</v>
      </c>
      <c r="M2348" s="36">
        <f>VLOOKUP(D2348, County_Data_CZones!$B$2:$F$3236, 2, FALSE)</f>
        <v>3</v>
      </c>
      <c r="N2348" s="37" t="str">
        <f>VLOOKUP(D2348, County_Data_CZones!$B$2:$F$3236, 5, FALSE)</f>
        <v>Mixed-Humid</v>
      </c>
    </row>
    <row r="2349" ht="15.75" customHeight="1">
      <c r="A2349" s="32" t="s">
        <v>1569</v>
      </c>
      <c r="B2349" s="32" t="s">
        <v>1550</v>
      </c>
      <c r="C2349" s="32" t="str">
        <f>vlookup(B2349,State_EMM_RowSums!$A$2:$B$52,2,FALSE)</f>
        <v>SC</v>
      </c>
      <c r="D2349" s="32">
        <v>45063.0</v>
      </c>
      <c r="E2349" s="33">
        <f>IF(NOT(ISBLANK(vlookup($D2349,Pop_Census_2023!$A$2:$E$3220,4,FALSE))),vlookup($D2349,Pop_Census_2023!$A$2:$E$3220,4,FALSE), vlookup($D2349,Pop_Census_2023!$A$2:$E$3220,5,FALSE))</f>
        <v>309528</v>
      </c>
      <c r="F2349" s="32">
        <v>1244251.0</v>
      </c>
      <c r="G2349" s="32">
        <v>96.0</v>
      </c>
      <c r="H2349" s="32" t="str">
        <f>VLOOKUP(D2349, Grid_Region_Mapping!$D$2:$F$5286, 3, FALSE)</f>
        <v>SRCA</v>
      </c>
      <c r="I2349" s="32">
        <v>5.0</v>
      </c>
      <c r="J2349" s="34" t="str">
        <f t="shared" si="1"/>
        <v>South</v>
      </c>
      <c r="K2349" s="35">
        <v>4.0</v>
      </c>
      <c r="L2349" s="35" t="s">
        <v>102</v>
      </c>
      <c r="M2349" s="36">
        <f>VLOOKUP(D2349, County_Data_CZones!$B$2:$F$3236, 2, FALSE)</f>
        <v>3</v>
      </c>
      <c r="N2349" s="37" t="str">
        <f>VLOOKUP(D2349, County_Data_CZones!$B$2:$F$3236, 5, FALSE)</f>
        <v>Mixed-Humid</v>
      </c>
    </row>
    <row r="2350" ht="15.75" customHeight="1">
      <c r="A2350" s="32" t="s">
        <v>1570</v>
      </c>
      <c r="B2350" s="32" t="s">
        <v>1550</v>
      </c>
      <c r="C2350" s="32" t="str">
        <f>vlookup(B2350,State_EMM_RowSums!$A$2:$B$52,2,FALSE)</f>
        <v>SC</v>
      </c>
      <c r="D2350" s="32">
        <v>45065.0</v>
      </c>
      <c r="E2350" s="33">
        <f>IF(NOT(ISBLANK(vlookup($D2350,Pop_Census_2023!$A$2:$E$3220,4,FALSE))),vlookup($D2350,Pop_Census_2023!$A$2:$E$3220,4,FALSE), vlookup($D2350,Pop_Census_2023!$A$2:$E$3220,5,FALSE))</f>
        <v>9941</v>
      </c>
      <c r="F2350" s="32">
        <v>1248012.0</v>
      </c>
      <c r="G2350" s="32">
        <v>96.0</v>
      </c>
      <c r="H2350" s="32" t="str">
        <f>VLOOKUP(D2350, Grid_Region_Mapping!$D$2:$F$5286, 3, FALSE)</f>
        <v>SRCA</v>
      </c>
      <c r="I2350" s="32">
        <v>5.0</v>
      </c>
      <c r="J2350" s="34" t="str">
        <f t="shared" si="1"/>
        <v>South</v>
      </c>
      <c r="K2350" s="35">
        <v>4.0</v>
      </c>
      <c r="L2350" s="35" t="s">
        <v>102</v>
      </c>
      <c r="M2350" s="36">
        <f>VLOOKUP(D2350, County_Data_CZones!$B$2:$F$3236, 2, FALSE)</f>
        <v>3</v>
      </c>
      <c r="N2350" s="37" t="str">
        <f>VLOOKUP(D2350, County_Data_CZones!$B$2:$F$3236, 5, FALSE)</f>
        <v>Mixed-Humid</v>
      </c>
    </row>
    <row r="2351" ht="15.75" customHeight="1">
      <c r="A2351" s="32" t="s">
        <v>149</v>
      </c>
      <c r="B2351" s="32" t="s">
        <v>1550</v>
      </c>
      <c r="C2351" s="32" t="str">
        <f>vlookup(B2351,State_EMM_RowSums!$A$2:$B$52,2,FALSE)</f>
        <v>SC</v>
      </c>
      <c r="D2351" s="32">
        <v>45067.0</v>
      </c>
      <c r="E2351" s="33">
        <f>IF(NOT(ISBLANK(vlookup($D2351,Pop_Census_2023!$A$2:$E$3220,4,FALSE))),vlookup($D2351,Pop_Census_2023!$A$2:$E$3220,4,FALSE), vlookup($D2351,Pop_Census_2023!$A$2:$E$3220,5,FALSE))</f>
        <v>28508</v>
      </c>
      <c r="F2351" s="32">
        <v>1248010.0</v>
      </c>
      <c r="G2351" s="32">
        <v>96.0</v>
      </c>
      <c r="H2351" s="32" t="str">
        <f>VLOOKUP(D2351, Grid_Region_Mapping!$D$2:$F$5286, 3, FALSE)</f>
        <v>SRCA</v>
      </c>
      <c r="I2351" s="32">
        <v>5.0</v>
      </c>
      <c r="J2351" s="34" t="str">
        <f t="shared" si="1"/>
        <v>South</v>
      </c>
      <c r="K2351" s="35">
        <v>4.0</v>
      </c>
      <c r="L2351" s="35" t="s">
        <v>102</v>
      </c>
      <c r="M2351" s="36">
        <f>VLOOKUP(D2351, County_Data_CZones!$B$2:$F$3236, 2, FALSE)</f>
        <v>3</v>
      </c>
      <c r="N2351" s="37" t="str">
        <f>VLOOKUP(D2351, County_Data_CZones!$B$2:$F$3236, 5, FALSE)</f>
        <v>Mixed-Humid</v>
      </c>
    </row>
    <row r="2352" ht="15.75" customHeight="1">
      <c r="A2352" s="32" t="s">
        <v>1571</v>
      </c>
      <c r="B2352" s="32" t="s">
        <v>1550</v>
      </c>
      <c r="C2352" s="32" t="str">
        <f>vlookup(B2352,State_EMM_RowSums!$A$2:$B$52,2,FALSE)</f>
        <v>SC</v>
      </c>
      <c r="D2352" s="32">
        <v>45069.0</v>
      </c>
      <c r="E2352" s="33">
        <f>IF(NOT(ISBLANK(vlookup($D2352,Pop_Census_2023!$A$2:$E$3220,4,FALSE))),vlookup($D2352,Pop_Census_2023!$A$2:$E$3220,4,FALSE), vlookup($D2352,Pop_Census_2023!$A$2:$E$3220,5,FALSE))</f>
        <v>25704</v>
      </c>
      <c r="F2352" s="32">
        <v>1248011.0</v>
      </c>
      <c r="G2352" s="32">
        <v>96.0</v>
      </c>
      <c r="H2352" s="32" t="str">
        <f>VLOOKUP(D2352, Grid_Region_Mapping!$D$2:$F$5286, 3, FALSE)</f>
        <v>SRCA</v>
      </c>
      <c r="I2352" s="32">
        <v>5.0</v>
      </c>
      <c r="J2352" s="34" t="str">
        <f t="shared" si="1"/>
        <v>South</v>
      </c>
      <c r="K2352" s="35">
        <v>4.0</v>
      </c>
      <c r="L2352" s="35" t="s">
        <v>102</v>
      </c>
      <c r="M2352" s="36">
        <f>VLOOKUP(D2352, County_Data_CZones!$B$2:$F$3236, 2, FALSE)</f>
        <v>3</v>
      </c>
      <c r="N2352" s="37" t="str">
        <f>VLOOKUP(D2352, County_Data_CZones!$B$2:$F$3236, 5, FALSE)</f>
        <v>Mixed-Humid</v>
      </c>
    </row>
    <row r="2353" ht="15.75" customHeight="1">
      <c r="A2353" s="32" t="s">
        <v>1572</v>
      </c>
      <c r="B2353" s="32" t="s">
        <v>1550</v>
      </c>
      <c r="C2353" s="32" t="str">
        <f>vlookup(B2353,State_EMM_RowSums!$A$2:$B$52,2,FALSE)</f>
        <v>SC</v>
      </c>
      <c r="D2353" s="32">
        <v>45071.0</v>
      </c>
      <c r="E2353" s="33">
        <f>IF(NOT(ISBLANK(vlookup($D2353,Pop_Census_2023!$A$2:$E$3220,4,FALSE))),vlookup($D2353,Pop_Census_2023!$A$2:$E$3220,4,FALSE), vlookup($D2353,Pop_Census_2023!$A$2:$E$3220,5,FALSE))</f>
        <v>38825</v>
      </c>
      <c r="F2353" s="32">
        <v>1248013.0</v>
      </c>
      <c r="G2353" s="32">
        <v>96.0</v>
      </c>
      <c r="H2353" s="32" t="str">
        <f>VLOOKUP(D2353, Grid_Region_Mapping!$D$2:$F$5286, 3, FALSE)</f>
        <v>SRCA</v>
      </c>
      <c r="I2353" s="32">
        <v>5.0</v>
      </c>
      <c r="J2353" s="34" t="str">
        <f t="shared" si="1"/>
        <v>South</v>
      </c>
      <c r="K2353" s="35">
        <v>4.0</v>
      </c>
      <c r="L2353" s="35" t="s">
        <v>102</v>
      </c>
      <c r="M2353" s="36">
        <f>VLOOKUP(D2353, County_Data_CZones!$B$2:$F$3236, 2, FALSE)</f>
        <v>3</v>
      </c>
      <c r="N2353" s="37" t="str">
        <f>VLOOKUP(D2353, County_Data_CZones!$B$2:$F$3236, 5, FALSE)</f>
        <v>Mixed-Humid</v>
      </c>
    </row>
    <row r="2354" ht="15.75" customHeight="1">
      <c r="A2354" s="32" t="s">
        <v>532</v>
      </c>
      <c r="B2354" s="32" t="s">
        <v>1550</v>
      </c>
      <c r="C2354" s="32" t="str">
        <f>vlookup(B2354,State_EMM_RowSums!$A$2:$B$52,2,FALSE)</f>
        <v>SC</v>
      </c>
      <c r="D2354" s="32">
        <v>45073.0</v>
      </c>
      <c r="E2354" s="33">
        <f>IF(NOT(ISBLANK(vlookup($D2354,Pop_Census_2023!$A$2:$E$3220,4,FALSE))),vlookup($D2354,Pop_Census_2023!$A$2:$E$3220,4,FALSE), vlookup($D2354,Pop_Census_2023!$A$2:$E$3220,5,FALSE))</f>
        <v>81221</v>
      </c>
      <c r="F2354" s="32">
        <v>1244832.0</v>
      </c>
      <c r="G2354" s="32">
        <v>95.0</v>
      </c>
      <c r="H2354" s="32" t="str">
        <f>VLOOKUP(D2354, Grid_Region_Mapping!$D$2:$F$5286, 3, FALSE)</f>
        <v>SRCA</v>
      </c>
      <c r="I2354" s="32">
        <v>5.0</v>
      </c>
      <c r="J2354" s="34" t="str">
        <f t="shared" si="1"/>
        <v>South</v>
      </c>
      <c r="K2354" s="35">
        <v>4.0</v>
      </c>
      <c r="L2354" s="35" t="s">
        <v>102</v>
      </c>
      <c r="M2354" s="36">
        <f>VLOOKUP(D2354, County_Data_CZones!$B$2:$F$3236, 2, FALSE)</f>
        <v>3</v>
      </c>
      <c r="N2354" s="37" t="str">
        <f>VLOOKUP(D2354, County_Data_CZones!$B$2:$F$3236, 5, FALSE)</f>
        <v>Mixed-Humid</v>
      </c>
    </row>
    <row r="2355" ht="15.75" customHeight="1">
      <c r="A2355" s="32" t="s">
        <v>1573</v>
      </c>
      <c r="B2355" s="32" t="s">
        <v>1550</v>
      </c>
      <c r="C2355" s="32" t="str">
        <f>vlookup(B2355,State_EMM_RowSums!$A$2:$B$52,2,FALSE)</f>
        <v>SC</v>
      </c>
      <c r="D2355" s="32">
        <v>45075.0</v>
      </c>
      <c r="E2355" s="33">
        <f>IF(NOT(ISBLANK(vlookup($D2355,Pop_Census_2023!$A$2:$E$3220,4,FALSE))),vlookup($D2355,Pop_Census_2023!$A$2:$E$3220,4,FALSE), vlookup($D2355,Pop_Census_2023!$A$2:$E$3220,5,FALSE))</f>
        <v>82820</v>
      </c>
      <c r="F2355" s="32">
        <v>1248014.0</v>
      </c>
      <c r="G2355" s="32">
        <v>96.0</v>
      </c>
      <c r="H2355" s="32" t="str">
        <f>VLOOKUP(D2355, Grid_Region_Mapping!$D$2:$F$5286, 3, FALSE)</f>
        <v>SRCA</v>
      </c>
      <c r="I2355" s="32">
        <v>5.0</v>
      </c>
      <c r="J2355" s="34" t="str">
        <f t="shared" si="1"/>
        <v>South</v>
      </c>
      <c r="K2355" s="35">
        <v>4.0</v>
      </c>
      <c r="L2355" s="35" t="s">
        <v>102</v>
      </c>
      <c r="M2355" s="36">
        <f>VLOOKUP(D2355, County_Data_CZones!$B$2:$F$3236, 2, FALSE)</f>
        <v>3</v>
      </c>
      <c r="N2355" s="37" t="str">
        <f>VLOOKUP(D2355, County_Data_CZones!$B$2:$F$3236, 5, FALSE)</f>
        <v>Mixed-Humid</v>
      </c>
    </row>
    <row r="2356" ht="15.75" customHeight="1">
      <c r="A2356" s="32" t="s">
        <v>156</v>
      </c>
      <c r="B2356" s="32" t="s">
        <v>1550</v>
      </c>
      <c r="C2356" s="32" t="str">
        <f>vlookup(B2356,State_EMM_RowSums!$A$2:$B$52,2,FALSE)</f>
        <v>SC</v>
      </c>
      <c r="D2356" s="32">
        <v>45077.0</v>
      </c>
      <c r="E2356" s="33">
        <f>IF(NOT(ISBLANK(vlookup($D2356,Pop_Census_2023!$A$2:$E$3220,4,FALSE))),vlookup($D2356,Pop_Census_2023!$A$2:$E$3220,4,FALSE), vlookup($D2356,Pop_Census_2023!$A$2:$E$3220,5,FALSE))</f>
        <v>135495</v>
      </c>
      <c r="F2356" s="32">
        <v>1248015.0</v>
      </c>
      <c r="G2356" s="32">
        <v>95.0</v>
      </c>
      <c r="H2356" s="32" t="str">
        <f>VLOOKUP(D2356, Grid_Region_Mapping!$D$2:$F$5286, 3, FALSE)</f>
        <v>SRCA</v>
      </c>
      <c r="I2356" s="32">
        <v>5.0</v>
      </c>
      <c r="J2356" s="34" t="str">
        <f t="shared" si="1"/>
        <v>South</v>
      </c>
      <c r="K2356" s="35">
        <v>4.0</v>
      </c>
      <c r="L2356" s="35" t="s">
        <v>102</v>
      </c>
      <c r="M2356" s="36">
        <f>VLOOKUP(D2356, County_Data_CZones!$B$2:$F$3236, 2, FALSE)</f>
        <v>3</v>
      </c>
      <c r="N2356" s="37" t="str">
        <f>VLOOKUP(D2356, County_Data_CZones!$B$2:$F$3236, 5, FALSE)</f>
        <v>Mixed-Humid</v>
      </c>
    </row>
    <row r="2357" ht="15.75" customHeight="1">
      <c r="A2357" s="32" t="s">
        <v>649</v>
      </c>
      <c r="B2357" s="32" t="s">
        <v>1550</v>
      </c>
      <c r="C2357" s="32" t="str">
        <f>vlookup(B2357,State_EMM_RowSums!$A$2:$B$52,2,FALSE)</f>
        <v>SC</v>
      </c>
      <c r="D2357" s="32">
        <v>45079.0</v>
      </c>
      <c r="E2357" s="33">
        <f>IF(NOT(ISBLANK(vlookup($D2357,Pop_Census_2023!$A$2:$E$3220,4,FALSE))),vlookup($D2357,Pop_Census_2023!$A$2:$E$3220,4,FALSE), vlookup($D2357,Pop_Census_2023!$A$2:$E$3220,5,FALSE))</f>
        <v>425138</v>
      </c>
      <c r="F2357" s="32">
        <v>1249299.0</v>
      </c>
      <c r="G2357" s="32">
        <v>96.0</v>
      </c>
      <c r="H2357" s="32" t="str">
        <f>VLOOKUP(D2357, Grid_Region_Mapping!$D$2:$F$5286, 3, FALSE)</f>
        <v>SRCA</v>
      </c>
      <c r="I2357" s="32">
        <v>5.0</v>
      </c>
      <c r="J2357" s="34" t="str">
        <f t="shared" si="1"/>
        <v>South</v>
      </c>
      <c r="K2357" s="35">
        <v>5.0</v>
      </c>
      <c r="L2357" s="35" t="s">
        <v>102</v>
      </c>
      <c r="M2357" s="36">
        <f>VLOOKUP(D2357, County_Data_CZones!$B$2:$F$3236, 2, FALSE)</f>
        <v>3</v>
      </c>
      <c r="N2357" s="37" t="str">
        <f>VLOOKUP(D2357, County_Data_CZones!$B$2:$F$3236, 5, FALSE)</f>
        <v>Mixed-Humid</v>
      </c>
    </row>
    <row r="2358" ht="15.75" customHeight="1">
      <c r="A2358" s="32" t="s">
        <v>1574</v>
      </c>
      <c r="B2358" s="32" t="s">
        <v>1550</v>
      </c>
      <c r="C2358" s="32" t="str">
        <f>vlookup(B2358,State_EMM_RowSums!$A$2:$B$52,2,FALSE)</f>
        <v>SC</v>
      </c>
      <c r="D2358" s="32">
        <v>45081.0</v>
      </c>
      <c r="E2358" s="33">
        <f>IF(NOT(ISBLANK(vlookup($D2358,Pop_Census_2023!$A$2:$E$3220,4,FALSE))),vlookup($D2358,Pop_Census_2023!$A$2:$E$3220,4,FALSE), vlookup($D2358,Pop_Census_2023!$A$2:$E$3220,5,FALSE))</f>
        <v>19123</v>
      </c>
      <c r="F2358" s="32">
        <v>1248016.0</v>
      </c>
      <c r="G2358" s="32">
        <v>96.0</v>
      </c>
      <c r="H2358" s="32" t="str">
        <f>VLOOKUP(D2358, Grid_Region_Mapping!$D$2:$F$5286, 3, FALSE)</f>
        <v>SRCA</v>
      </c>
      <c r="I2358" s="32">
        <v>5.0</v>
      </c>
      <c r="J2358" s="34" t="str">
        <f t="shared" si="1"/>
        <v>South</v>
      </c>
      <c r="K2358" s="35">
        <v>4.0</v>
      </c>
      <c r="L2358" s="35" t="s">
        <v>102</v>
      </c>
      <c r="M2358" s="36">
        <f>VLOOKUP(D2358, County_Data_CZones!$B$2:$F$3236, 2, FALSE)</f>
        <v>3</v>
      </c>
      <c r="N2358" s="37" t="str">
        <f>VLOOKUP(D2358, County_Data_CZones!$B$2:$F$3236, 5, FALSE)</f>
        <v>Mixed-Humid</v>
      </c>
    </row>
    <row r="2359" ht="15.75" customHeight="1">
      <c r="A2359" s="32" t="s">
        <v>1575</v>
      </c>
      <c r="B2359" s="32" t="s">
        <v>1550</v>
      </c>
      <c r="C2359" s="32" t="str">
        <f>vlookup(B2359,State_EMM_RowSums!$A$2:$B$52,2,FALSE)</f>
        <v>SC</v>
      </c>
      <c r="D2359" s="32">
        <v>45083.0</v>
      </c>
      <c r="E2359" s="33">
        <f>IF(NOT(ISBLANK(vlookup($D2359,Pop_Census_2023!$A$2:$E$3220,4,FALSE))),vlookup($D2359,Pop_Census_2023!$A$2:$E$3220,4,FALSE), vlookup($D2359,Pop_Census_2023!$A$2:$E$3220,5,FALSE))</f>
        <v>356698</v>
      </c>
      <c r="F2359" s="32">
        <v>1248592.0</v>
      </c>
      <c r="G2359" s="32">
        <v>95.0</v>
      </c>
      <c r="H2359" s="32" t="str">
        <f>VLOOKUP(D2359, Grid_Region_Mapping!$D$2:$F$5286, 3, FALSE)</f>
        <v>SRCA</v>
      </c>
      <c r="I2359" s="32">
        <v>5.0</v>
      </c>
      <c r="J2359" s="34" t="str">
        <f t="shared" si="1"/>
        <v>South</v>
      </c>
      <c r="K2359" s="35">
        <v>4.0</v>
      </c>
      <c r="L2359" s="35" t="s">
        <v>102</v>
      </c>
      <c r="M2359" s="36">
        <f>VLOOKUP(D2359, County_Data_CZones!$B$2:$F$3236, 2, FALSE)</f>
        <v>3</v>
      </c>
      <c r="N2359" s="37" t="str">
        <f>VLOOKUP(D2359, County_Data_CZones!$B$2:$F$3236, 5, FALSE)</f>
        <v>Mixed-Humid</v>
      </c>
    </row>
    <row r="2360" ht="15.75" customHeight="1">
      <c r="A2360" s="32" t="s">
        <v>162</v>
      </c>
      <c r="B2360" s="32" t="s">
        <v>1550</v>
      </c>
      <c r="C2360" s="32" t="str">
        <f>vlookup(B2360,State_EMM_RowSums!$A$2:$B$52,2,FALSE)</f>
        <v>SC</v>
      </c>
      <c r="D2360" s="32">
        <v>45085.0</v>
      </c>
      <c r="E2360" s="33">
        <f>IF(NOT(ISBLANK(vlookup($D2360,Pop_Census_2023!$A$2:$E$3220,4,FALSE))),vlookup($D2360,Pop_Census_2023!$A$2:$E$3220,4,FALSE), vlookup($D2360,Pop_Census_2023!$A$2:$E$3220,5,FALSE))</f>
        <v>104165</v>
      </c>
      <c r="F2360" s="32">
        <v>1244717.0</v>
      </c>
      <c r="G2360" s="32">
        <v>96.0</v>
      </c>
      <c r="H2360" s="32" t="str">
        <f>VLOOKUP(D2360, Grid_Region_Mapping!$D$2:$F$5286, 3, FALSE)</f>
        <v>SRCA</v>
      </c>
      <c r="I2360" s="32">
        <v>5.0</v>
      </c>
      <c r="J2360" s="34" t="str">
        <f t="shared" si="1"/>
        <v>South</v>
      </c>
      <c r="K2360" s="35">
        <v>4.0</v>
      </c>
      <c r="L2360" s="35" t="s">
        <v>102</v>
      </c>
      <c r="M2360" s="36">
        <f>VLOOKUP(D2360, County_Data_CZones!$B$2:$F$3236, 2, FALSE)</f>
        <v>3</v>
      </c>
      <c r="N2360" s="37" t="str">
        <f>VLOOKUP(D2360, County_Data_CZones!$B$2:$F$3236, 5, FALSE)</f>
        <v>Mixed-Humid</v>
      </c>
    </row>
    <row r="2361" ht="15.75" customHeight="1">
      <c r="A2361" s="32" t="s">
        <v>273</v>
      </c>
      <c r="B2361" s="32" t="s">
        <v>1550</v>
      </c>
      <c r="C2361" s="32" t="str">
        <f>vlookup(B2361,State_EMM_RowSums!$A$2:$B$52,2,FALSE)</f>
        <v>SC</v>
      </c>
      <c r="D2361" s="32">
        <v>45087.0</v>
      </c>
      <c r="E2361" s="33">
        <f>IF(NOT(ISBLANK(vlookup($D2361,Pop_Census_2023!$A$2:$E$3220,4,FALSE))),vlookup($D2361,Pop_Census_2023!$A$2:$E$3220,4,FALSE), vlookup($D2361,Pop_Census_2023!$A$2:$E$3220,5,FALSE))</f>
        <v>26629</v>
      </c>
      <c r="F2361" s="32">
        <v>1248017.0</v>
      </c>
      <c r="G2361" s="32">
        <v>95.0</v>
      </c>
      <c r="H2361" s="32" t="str">
        <f>VLOOKUP(D2361, Grid_Region_Mapping!$D$2:$F$5286, 3, FALSE)</f>
        <v>SRCA</v>
      </c>
      <c r="I2361" s="32">
        <v>5.0</v>
      </c>
      <c r="J2361" s="34" t="str">
        <f t="shared" si="1"/>
        <v>South</v>
      </c>
      <c r="K2361" s="35">
        <v>4.0</v>
      </c>
      <c r="L2361" s="35" t="s">
        <v>102</v>
      </c>
      <c r="M2361" s="36">
        <f>VLOOKUP(D2361, County_Data_CZones!$B$2:$F$3236, 2, FALSE)</f>
        <v>3</v>
      </c>
      <c r="N2361" s="37" t="str">
        <f>VLOOKUP(D2361, County_Data_CZones!$B$2:$F$3236, 5, FALSE)</f>
        <v>Mixed-Humid</v>
      </c>
    </row>
    <row r="2362" ht="15.75" customHeight="1">
      <c r="A2362" s="32" t="s">
        <v>1576</v>
      </c>
      <c r="B2362" s="32" t="s">
        <v>1550</v>
      </c>
      <c r="C2362" s="32" t="str">
        <f>vlookup(B2362,State_EMM_RowSums!$A$2:$B$52,2,FALSE)</f>
        <v>SC</v>
      </c>
      <c r="D2362" s="32">
        <v>45089.0</v>
      </c>
      <c r="E2362" s="33">
        <f>IF(NOT(ISBLANK(vlookup($D2362,Pop_Census_2023!$A$2:$E$3220,4,FALSE))),vlookup($D2362,Pop_Census_2023!$A$2:$E$3220,4,FALSE), vlookup($D2362,Pop_Census_2023!$A$2:$E$3220,5,FALSE))</f>
        <v>29891</v>
      </c>
      <c r="F2362" s="32">
        <v>1248018.0</v>
      </c>
      <c r="G2362" s="32">
        <v>96.0</v>
      </c>
      <c r="H2362" s="32" t="str">
        <f>VLOOKUP(D2362, Grid_Region_Mapping!$D$2:$F$5286, 3, FALSE)</f>
        <v>SRCA</v>
      </c>
      <c r="I2362" s="32">
        <v>5.0</v>
      </c>
      <c r="J2362" s="34" t="str">
        <f t="shared" si="1"/>
        <v>South</v>
      </c>
      <c r="K2362" s="35">
        <v>4.0</v>
      </c>
      <c r="L2362" s="35" t="s">
        <v>102</v>
      </c>
      <c r="M2362" s="36">
        <f>VLOOKUP(D2362, County_Data_CZones!$B$2:$F$3236, 2, FALSE)</f>
        <v>3</v>
      </c>
      <c r="N2362" s="37" t="str">
        <f>VLOOKUP(D2362, County_Data_CZones!$B$2:$F$3236, 5, FALSE)</f>
        <v>Mixed-Humid</v>
      </c>
    </row>
    <row r="2363" ht="15.75" customHeight="1">
      <c r="A2363" s="32" t="s">
        <v>932</v>
      </c>
      <c r="B2363" s="32" t="s">
        <v>1550</v>
      </c>
      <c r="C2363" s="32" t="str">
        <f>vlookup(B2363,State_EMM_RowSums!$A$2:$B$52,2,FALSE)</f>
        <v>SC</v>
      </c>
      <c r="D2363" s="32">
        <v>45091.0</v>
      </c>
      <c r="E2363" s="33">
        <f>IF(NOT(ISBLANK(vlookup($D2363,Pop_Census_2023!$A$2:$E$3220,4,FALSE))),vlookup($D2363,Pop_Census_2023!$A$2:$E$3220,4,FALSE), vlookup($D2363,Pop_Census_2023!$A$2:$E$3220,5,FALSE))</f>
        <v>298320</v>
      </c>
      <c r="F2363" s="32">
        <v>1248019.0</v>
      </c>
      <c r="G2363" s="32">
        <v>95.0</v>
      </c>
      <c r="H2363" s="32" t="str">
        <f>VLOOKUP(D2363, Grid_Region_Mapping!$D$2:$F$5286, 3, FALSE)</f>
        <v>SRCA</v>
      </c>
      <c r="I2363" s="32">
        <v>5.0</v>
      </c>
      <c r="J2363" s="34" t="str">
        <f t="shared" si="1"/>
        <v>South</v>
      </c>
      <c r="K2363" s="35">
        <v>4.0</v>
      </c>
      <c r="L2363" s="35" t="s">
        <v>102</v>
      </c>
      <c r="M2363" s="36">
        <f>VLOOKUP(D2363, County_Data_CZones!$B$2:$F$3236, 2, FALSE)</f>
        <v>3</v>
      </c>
      <c r="N2363" s="37" t="str">
        <f>VLOOKUP(D2363, County_Data_CZones!$B$2:$F$3236, 5, FALSE)</f>
        <v>Mixed-Humid</v>
      </c>
    </row>
    <row r="2364" ht="15.75" customHeight="1">
      <c r="A2364" s="32" t="s">
        <v>1577</v>
      </c>
      <c r="B2364" s="32" t="s">
        <v>1578</v>
      </c>
      <c r="C2364" s="32" t="str">
        <f>vlookup(B2364,State_EMM_RowSums!$A$2:$B$52,2,FALSE)</f>
        <v>SD</v>
      </c>
      <c r="D2364" s="32">
        <v>46003.0</v>
      </c>
      <c r="E2364" s="33">
        <f>IF(NOT(ISBLANK(vlookup($D2364,Pop_Census_2023!$A$2:$E$3220,4,FALSE))),vlookup($D2364,Pop_Census_2023!$A$2:$E$3220,4,FALSE), vlookup($D2364,Pop_Census_2023!$A$2:$E$3220,5,FALSE))</f>
        <v>2782</v>
      </c>
      <c r="F2364" s="32">
        <v>1266983.0</v>
      </c>
      <c r="G2364" s="32">
        <v>38.0</v>
      </c>
      <c r="H2364" s="32" t="str">
        <f>VLOOKUP(D2364, Grid_Region_Mapping!$D$2:$F$5286, 3, FALSE)</f>
        <v>SPPN</v>
      </c>
      <c r="I2364" s="32">
        <v>4.0</v>
      </c>
      <c r="J2364" s="34" t="str">
        <f t="shared" si="1"/>
        <v>Midwest</v>
      </c>
      <c r="K2364" s="35">
        <v>1.0</v>
      </c>
      <c r="L2364" s="35" t="s">
        <v>707</v>
      </c>
      <c r="M2364" s="36">
        <f>VLOOKUP(D2364, County_Data_CZones!$B$2:$F$3236, 2, FALSE)</f>
        <v>6</v>
      </c>
      <c r="N2364" s="37" t="str">
        <f>VLOOKUP(D2364, County_Data_CZones!$B$2:$F$3236, 5, FALSE)</f>
        <v>Cold</v>
      </c>
    </row>
    <row r="2365" ht="15.75" customHeight="1">
      <c r="A2365" s="32" t="s">
        <v>1579</v>
      </c>
      <c r="B2365" s="32" t="s">
        <v>1578</v>
      </c>
      <c r="C2365" s="32" t="str">
        <f>vlookup(B2365,State_EMM_RowSums!$A$2:$B$52,2,FALSE)</f>
        <v>SD</v>
      </c>
      <c r="D2365" s="32">
        <v>46005.0</v>
      </c>
      <c r="E2365" s="33">
        <f>IF(NOT(ISBLANK(vlookup($D2365,Pop_Census_2023!$A$2:$E$3220,4,FALSE))),vlookup($D2365,Pop_Census_2023!$A$2:$E$3220,4,FALSE), vlookup($D2365,Pop_Census_2023!$A$2:$E$3220,5,FALSE))</f>
        <v>19591</v>
      </c>
      <c r="F2365" s="32">
        <v>1266986.0</v>
      </c>
      <c r="G2365" s="32">
        <v>38.0</v>
      </c>
      <c r="H2365" s="32" t="str">
        <f>VLOOKUP(D2365, Grid_Region_Mapping!$D$2:$F$5286, 3, FALSE)</f>
        <v>SPPN</v>
      </c>
      <c r="I2365" s="32">
        <v>4.0</v>
      </c>
      <c r="J2365" s="34" t="str">
        <f t="shared" si="1"/>
        <v>Midwest</v>
      </c>
      <c r="K2365" s="35">
        <v>1.0</v>
      </c>
      <c r="L2365" s="35" t="s">
        <v>707</v>
      </c>
      <c r="M2365" s="36">
        <f>VLOOKUP(D2365, County_Data_CZones!$B$2:$F$3236, 2, FALSE)</f>
        <v>6</v>
      </c>
      <c r="N2365" s="37" t="str">
        <f>VLOOKUP(D2365, County_Data_CZones!$B$2:$F$3236, 5, FALSE)</f>
        <v>Cold</v>
      </c>
    </row>
    <row r="2366" ht="15.75" customHeight="1">
      <c r="A2366" s="32" t="s">
        <v>1580</v>
      </c>
      <c r="B2366" s="32" t="s">
        <v>1578</v>
      </c>
      <c r="C2366" s="32" t="str">
        <f>vlookup(B2366,State_EMM_RowSums!$A$2:$B$52,2,FALSE)</f>
        <v>SD</v>
      </c>
      <c r="D2366" s="32">
        <v>46007.0</v>
      </c>
      <c r="E2366" s="33">
        <f>IF(NOT(ISBLANK(vlookup($D2366,Pop_Census_2023!$A$2:$E$3220,4,FALSE))),vlookup($D2366,Pop_Census_2023!$A$2:$E$3220,4,FALSE), vlookup($D2366,Pop_Census_2023!$A$2:$E$3220,5,FALSE))</f>
        <v>3305</v>
      </c>
      <c r="F2366" s="32">
        <v>1265812.0</v>
      </c>
      <c r="G2366" s="32">
        <v>38.0</v>
      </c>
      <c r="H2366" s="32" t="str">
        <f>VLOOKUP(D2366, Grid_Region_Mapping!$D$2:$F$5286, 3, FALSE)</f>
        <v>SPPN</v>
      </c>
      <c r="I2366" s="32">
        <v>4.0</v>
      </c>
      <c r="J2366" s="34" t="str">
        <f t="shared" si="1"/>
        <v>Midwest</v>
      </c>
      <c r="K2366" s="35">
        <v>2.0</v>
      </c>
      <c r="L2366" s="35" t="s">
        <v>396</v>
      </c>
      <c r="M2366" s="36">
        <f>VLOOKUP(D2366, County_Data_CZones!$B$2:$F$3236, 2, FALSE)</f>
        <v>5</v>
      </c>
      <c r="N2366" s="37" t="str">
        <f>VLOOKUP(D2366, County_Data_CZones!$B$2:$F$3236, 5, FALSE)</f>
        <v>Cold</v>
      </c>
    </row>
    <row r="2367" ht="15.75" customHeight="1">
      <c r="A2367" s="32" t="s">
        <v>1581</v>
      </c>
      <c r="B2367" s="32" t="s">
        <v>1578</v>
      </c>
      <c r="C2367" s="32" t="str">
        <f>vlookup(B2367,State_EMM_RowSums!$A$2:$B$52,2,FALSE)</f>
        <v>SD</v>
      </c>
      <c r="D2367" s="32">
        <v>46009.0</v>
      </c>
      <c r="E2367" s="33">
        <f>IF(NOT(ISBLANK(vlookup($D2367,Pop_Census_2023!$A$2:$E$3220,4,FALSE))),vlookup($D2367,Pop_Census_2023!$A$2:$E$3220,4,FALSE), vlookup($D2367,Pop_Census_2023!$A$2:$E$3220,5,FALSE))</f>
        <v>7065</v>
      </c>
      <c r="F2367" s="32">
        <v>1266997.0</v>
      </c>
      <c r="G2367" s="32">
        <v>38.0</v>
      </c>
      <c r="H2367" s="32" t="str">
        <f>VLOOKUP(D2367, Grid_Region_Mapping!$D$2:$F$5286, 3, FALSE)</f>
        <v>SPPN</v>
      </c>
      <c r="I2367" s="32">
        <v>4.0</v>
      </c>
      <c r="J2367" s="34" t="str">
        <f t="shared" si="1"/>
        <v>Midwest</v>
      </c>
      <c r="K2367" s="35">
        <v>2.0</v>
      </c>
      <c r="L2367" s="35" t="s">
        <v>396</v>
      </c>
      <c r="M2367" s="36">
        <f>VLOOKUP(D2367, County_Data_CZones!$B$2:$F$3236, 2, FALSE)</f>
        <v>5</v>
      </c>
      <c r="N2367" s="37" t="str">
        <f>VLOOKUP(D2367, County_Data_CZones!$B$2:$F$3236, 5, FALSE)</f>
        <v>Cold</v>
      </c>
    </row>
    <row r="2368" ht="15.75" customHeight="1">
      <c r="A2368" s="32" t="s">
        <v>1582</v>
      </c>
      <c r="B2368" s="32" t="s">
        <v>1578</v>
      </c>
      <c r="C2368" s="32" t="str">
        <f>vlookup(B2368,State_EMM_RowSums!$A$2:$B$52,2,FALSE)</f>
        <v>SD</v>
      </c>
      <c r="D2368" s="32">
        <v>46011.0</v>
      </c>
      <c r="E2368" s="33">
        <f>IF(NOT(ISBLANK(vlookup($D2368,Pop_Census_2023!$A$2:$E$3220,4,FALSE))),vlookup($D2368,Pop_Census_2023!$A$2:$E$3220,4,FALSE), vlookup($D2368,Pop_Census_2023!$A$2:$E$3220,5,FALSE))</f>
        <v>35980</v>
      </c>
      <c r="F2368" s="32">
        <v>1265779.0</v>
      </c>
      <c r="G2368" s="32">
        <v>38.0</v>
      </c>
      <c r="H2368" s="32" t="str">
        <f>VLOOKUP(D2368, Grid_Region_Mapping!$D$2:$F$5286, 3, FALSE)</f>
        <v>SPPN</v>
      </c>
      <c r="I2368" s="32">
        <v>4.0</v>
      </c>
      <c r="J2368" s="34" t="str">
        <f t="shared" si="1"/>
        <v>Midwest</v>
      </c>
      <c r="K2368" s="35">
        <v>1.0</v>
      </c>
      <c r="L2368" s="35" t="s">
        <v>707</v>
      </c>
      <c r="M2368" s="36">
        <f>VLOOKUP(D2368, County_Data_CZones!$B$2:$F$3236, 2, FALSE)</f>
        <v>6</v>
      </c>
      <c r="N2368" s="37" t="str">
        <f>VLOOKUP(D2368, County_Data_CZones!$B$2:$F$3236, 5, FALSE)</f>
        <v>Cold</v>
      </c>
    </row>
    <row r="2369" ht="15.75" customHeight="1">
      <c r="A2369" s="32" t="s">
        <v>611</v>
      </c>
      <c r="B2369" s="32" t="s">
        <v>1578</v>
      </c>
      <c r="C2369" s="32" t="str">
        <f>vlookup(B2369,State_EMM_RowSums!$A$2:$B$52,2,FALSE)</f>
        <v>SD</v>
      </c>
      <c r="D2369" s="32">
        <v>46013.0</v>
      </c>
      <c r="E2369" s="33">
        <f>IF(NOT(ISBLANK(vlookup($D2369,Pop_Census_2023!$A$2:$E$3220,4,FALSE))),vlookup($D2369,Pop_Census_2023!$A$2:$E$3220,4,FALSE), vlookup($D2369,Pop_Census_2023!$A$2:$E$3220,5,FALSE))</f>
        <v>37733</v>
      </c>
      <c r="F2369" s="32">
        <v>1265785.0</v>
      </c>
      <c r="G2369" s="32">
        <v>38.0</v>
      </c>
      <c r="H2369" s="32" t="str">
        <f>VLOOKUP(D2369, Grid_Region_Mapping!$D$2:$F$5286, 3, FALSE)</f>
        <v>SPPN</v>
      </c>
      <c r="I2369" s="32">
        <v>4.0</v>
      </c>
      <c r="J2369" s="34" t="str">
        <f t="shared" si="1"/>
        <v>Midwest</v>
      </c>
      <c r="K2369" s="35">
        <v>1.0</v>
      </c>
      <c r="L2369" s="35" t="s">
        <v>707</v>
      </c>
      <c r="M2369" s="36">
        <f>VLOOKUP(D2369, County_Data_CZones!$B$2:$F$3236, 2, FALSE)</f>
        <v>6</v>
      </c>
      <c r="N2369" s="37" t="str">
        <f>VLOOKUP(D2369, County_Data_CZones!$B$2:$F$3236, 5, FALSE)</f>
        <v>Cold</v>
      </c>
    </row>
    <row r="2370" ht="15.75" customHeight="1">
      <c r="A2370" s="32" t="s">
        <v>1583</v>
      </c>
      <c r="B2370" s="32" t="s">
        <v>1578</v>
      </c>
      <c r="C2370" s="32" t="str">
        <f>vlookup(B2370,State_EMM_RowSums!$A$2:$B$52,2,FALSE)</f>
        <v>SD</v>
      </c>
      <c r="D2370" s="32">
        <v>46015.0</v>
      </c>
      <c r="E2370" s="33">
        <f>IF(NOT(ISBLANK(vlookup($D2370,Pop_Census_2023!$A$2:$E$3220,4,FALSE))),vlookup($D2370,Pop_Census_2023!$A$2:$E$3220,4,FALSE), vlookup($D2370,Pop_Census_2023!$A$2:$E$3220,5,FALSE))</f>
        <v>5311</v>
      </c>
      <c r="F2370" s="32">
        <v>1265768.0</v>
      </c>
      <c r="G2370" s="32">
        <v>38.0</v>
      </c>
      <c r="H2370" s="32" t="str">
        <f>VLOOKUP(D2370, Grid_Region_Mapping!$D$2:$F$5286, 3, FALSE)</f>
        <v>SPPN</v>
      </c>
      <c r="I2370" s="32">
        <v>4.0</v>
      </c>
      <c r="J2370" s="34" t="str">
        <f t="shared" si="1"/>
        <v>Midwest</v>
      </c>
      <c r="K2370" s="35">
        <v>1.0</v>
      </c>
      <c r="L2370" s="35" t="s">
        <v>707</v>
      </c>
      <c r="M2370" s="36">
        <f>VLOOKUP(D2370, County_Data_CZones!$B$2:$F$3236, 2, FALSE)</f>
        <v>6</v>
      </c>
      <c r="N2370" s="37" t="str">
        <f>VLOOKUP(D2370, County_Data_CZones!$B$2:$F$3236, 5, FALSE)</f>
        <v>Cold</v>
      </c>
    </row>
    <row r="2371" ht="15.75" customHeight="1">
      <c r="A2371" s="32" t="s">
        <v>1203</v>
      </c>
      <c r="B2371" s="32" t="s">
        <v>1578</v>
      </c>
      <c r="C2371" s="32" t="str">
        <f>vlookup(B2371,State_EMM_RowSums!$A$2:$B$52,2,FALSE)</f>
        <v>SD</v>
      </c>
      <c r="D2371" s="32">
        <v>46017.0</v>
      </c>
      <c r="E2371" s="33">
        <f>IF(NOT(ISBLANK(vlookup($D2371,Pop_Census_2023!$A$2:$E$3220,4,FALSE))),vlookup($D2371,Pop_Census_2023!$A$2:$E$3220,4,FALSE), vlookup($D2371,Pop_Census_2023!$A$2:$E$3220,5,FALSE))</f>
        <v>1884</v>
      </c>
      <c r="F2371" s="32">
        <v>1265767.0</v>
      </c>
      <c r="G2371" s="32">
        <v>38.0</v>
      </c>
      <c r="H2371" s="32" t="str">
        <f>VLOOKUP(D2371, Grid_Region_Mapping!$D$2:$F$5286, 3, FALSE)</f>
        <v>SPPN</v>
      </c>
      <c r="I2371" s="32">
        <v>4.0</v>
      </c>
      <c r="J2371" s="34" t="str">
        <f t="shared" si="1"/>
        <v>Midwest</v>
      </c>
      <c r="K2371" s="35">
        <v>1.0</v>
      </c>
      <c r="L2371" s="35" t="s">
        <v>707</v>
      </c>
      <c r="M2371" s="36">
        <f>VLOOKUP(D2371, County_Data_CZones!$B$2:$F$3236, 2, FALSE)</f>
        <v>6</v>
      </c>
      <c r="N2371" s="37" t="str">
        <f>VLOOKUP(D2371, County_Data_CZones!$B$2:$F$3236, 5, FALSE)</f>
        <v>Cold</v>
      </c>
    </row>
    <row r="2372" ht="15.75" customHeight="1">
      <c r="A2372" s="32" t="s">
        <v>284</v>
      </c>
      <c r="B2372" s="32" t="s">
        <v>1578</v>
      </c>
      <c r="C2372" s="32" t="str">
        <f>vlookup(B2372,State_EMM_RowSums!$A$2:$B$52,2,FALSE)</f>
        <v>SD</v>
      </c>
      <c r="D2372" s="32">
        <v>46019.0</v>
      </c>
      <c r="E2372" s="33">
        <f>IF(NOT(ISBLANK(vlookup($D2372,Pop_Census_2023!$A$2:$E$3220,4,FALSE))),vlookup($D2372,Pop_Census_2023!$A$2:$E$3220,4,FALSE), vlookup($D2372,Pop_Census_2023!$A$2:$E$3220,5,FALSE))</f>
        <v>10863</v>
      </c>
      <c r="F2372" s="32">
        <v>1265793.0</v>
      </c>
      <c r="G2372" s="32">
        <v>32.0</v>
      </c>
      <c r="H2372" s="32" t="str">
        <f>VLOOKUP(D2372, Grid_Region_Mapping!$D$2:$F$5286, 3, FALSE)</f>
        <v>RMRG</v>
      </c>
      <c r="I2372" s="32">
        <v>4.0</v>
      </c>
      <c r="J2372" s="34" t="str">
        <f t="shared" si="1"/>
        <v>Midwest</v>
      </c>
      <c r="K2372" s="35">
        <v>1.0</v>
      </c>
      <c r="L2372" s="35" t="s">
        <v>707</v>
      </c>
      <c r="M2372" s="36">
        <f>VLOOKUP(D2372, County_Data_CZones!$B$2:$F$3236, 2, FALSE)</f>
        <v>6</v>
      </c>
      <c r="N2372" s="37" t="str">
        <f>VLOOKUP(D2372, County_Data_CZones!$B$2:$F$3236, 5, FALSE)</f>
        <v>Cold</v>
      </c>
    </row>
    <row r="2373" ht="15.75" customHeight="1">
      <c r="A2373" s="32" t="s">
        <v>831</v>
      </c>
      <c r="B2373" s="32" t="s">
        <v>1578</v>
      </c>
      <c r="C2373" s="32" t="str">
        <f>vlookup(B2373,State_EMM_RowSums!$A$2:$B$52,2,FALSE)</f>
        <v>SD</v>
      </c>
      <c r="D2373" s="32">
        <v>46021.0</v>
      </c>
      <c r="E2373" s="33">
        <f>IF(NOT(ISBLANK(vlookup($D2373,Pop_Census_2023!$A$2:$E$3220,4,FALSE))),vlookup($D2373,Pop_Census_2023!$A$2:$E$3220,4,FALSE), vlookup($D2373,Pop_Census_2023!$A$2:$E$3220,5,FALSE))</f>
        <v>1340</v>
      </c>
      <c r="F2373" s="32">
        <v>1266974.0</v>
      </c>
      <c r="G2373" s="32">
        <v>38.0</v>
      </c>
      <c r="H2373" s="32" t="str">
        <f>VLOOKUP(D2373, Grid_Region_Mapping!$D$2:$F$5286, 3, FALSE)</f>
        <v>SPPN</v>
      </c>
      <c r="I2373" s="32">
        <v>4.0</v>
      </c>
      <c r="J2373" s="34" t="str">
        <f t="shared" si="1"/>
        <v>Midwest</v>
      </c>
      <c r="K2373" s="35">
        <v>1.0</v>
      </c>
      <c r="L2373" s="35" t="s">
        <v>707</v>
      </c>
      <c r="M2373" s="36">
        <f>VLOOKUP(D2373, County_Data_CZones!$B$2:$F$3236, 2, FALSE)</f>
        <v>6</v>
      </c>
      <c r="N2373" s="37" t="str">
        <f>VLOOKUP(D2373, County_Data_CZones!$B$2:$F$3236, 5, FALSE)</f>
        <v>Cold</v>
      </c>
    </row>
    <row r="2374" ht="15.75" customHeight="1">
      <c r="A2374" s="32" t="s">
        <v>1584</v>
      </c>
      <c r="B2374" s="32" t="s">
        <v>1578</v>
      </c>
      <c r="C2374" s="32" t="str">
        <f>vlookup(B2374,State_EMM_RowSums!$A$2:$B$52,2,FALSE)</f>
        <v>SD</v>
      </c>
      <c r="D2374" s="32">
        <v>46023.0</v>
      </c>
      <c r="E2374" s="33">
        <f>IF(NOT(ISBLANK(vlookup($D2374,Pop_Census_2023!$A$2:$E$3220,4,FALSE))),vlookup($D2374,Pop_Census_2023!$A$2:$E$3220,4,FALSE), vlookup($D2374,Pop_Census_2023!$A$2:$E$3220,5,FALSE))</f>
        <v>9240</v>
      </c>
      <c r="F2374" s="32">
        <v>1266976.0</v>
      </c>
      <c r="G2374" s="32">
        <v>38.0</v>
      </c>
      <c r="H2374" s="32" t="str">
        <f>VLOOKUP(D2374, Grid_Region_Mapping!$D$2:$F$5286, 3, FALSE)</f>
        <v>SPPN</v>
      </c>
      <c r="I2374" s="32">
        <v>4.0</v>
      </c>
      <c r="J2374" s="34" t="str">
        <f t="shared" si="1"/>
        <v>Midwest</v>
      </c>
      <c r="K2374" s="35">
        <v>2.0</v>
      </c>
      <c r="L2374" s="35" t="s">
        <v>396</v>
      </c>
      <c r="M2374" s="36">
        <f>VLOOKUP(D2374, County_Data_CZones!$B$2:$F$3236, 2, FALSE)</f>
        <v>5</v>
      </c>
      <c r="N2374" s="37" t="str">
        <f>VLOOKUP(D2374, County_Data_CZones!$B$2:$F$3236, 5, FALSE)</f>
        <v>Cold</v>
      </c>
    </row>
    <row r="2375" ht="15.75" customHeight="1">
      <c r="A2375" s="32" t="s">
        <v>229</v>
      </c>
      <c r="B2375" s="32" t="s">
        <v>1578</v>
      </c>
      <c r="C2375" s="32" t="str">
        <f>vlookup(B2375,State_EMM_RowSums!$A$2:$B$52,2,FALSE)</f>
        <v>SD</v>
      </c>
      <c r="D2375" s="32">
        <v>46025.0</v>
      </c>
      <c r="E2375" s="33">
        <f>IF(NOT(ISBLANK(vlookup($D2375,Pop_Census_2023!$A$2:$E$3220,4,FALSE))),vlookup($D2375,Pop_Census_2023!$A$2:$E$3220,4,FALSE), vlookup($D2375,Pop_Census_2023!$A$2:$E$3220,5,FALSE))</f>
        <v>3948</v>
      </c>
      <c r="F2375" s="32">
        <v>1266985.0</v>
      </c>
      <c r="G2375" s="32">
        <v>38.0</v>
      </c>
      <c r="H2375" s="32" t="str">
        <f>VLOOKUP(D2375, Grid_Region_Mapping!$D$2:$F$5286, 3, FALSE)</f>
        <v>SPPN</v>
      </c>
      <c r="I2375" s="32">
        <v>4.0</v>
      </c>
      <c r="J2375" s="34" t="str">
        <f t="shared" si="1"/>
        <v>Midwest</v>
      </c>
      <c r="K2375" s="35">
        <v>1.0</v>
      </c>
      <c r="L2375" s="35" t="s">
        <v>707</v>
      </c>
      <c r="M2375" s="36">
        <f>VLOOKUP(D2375, County_Data_CZones!$B$2:$F$3236, 2, FALSE)</f>
        <v>6</v>
      </c>
      <c r="N2375" s="37" t="str">
        <f>VLOOKUP(D2375, County_Data_CZones!$B$2:$F$3236, 5, FALSE)</f>
        <v>Cold</v>
      </c>
    </row>
    <row r="2376" ht="15.75" customHeight="1">
      <c r="A2376" s="32" t="s">
        <v>116</v>
      </c>
      <c r="B2376" s="32" t="s">
        <v>1578</v>
      </c>
      <c r="C2376" s="32" t="str">
        <f>vlookup(B2376,State_EMM_RowSums!$A$2:$B$52,2,FALSE)</f>
        <v>SD</v>
      </c>
      <c r="D2376" s="32">
        <v>46027.0</v>
      </c>
      <c r="E2376" s="33">
        <f>IF(NOT(ISBLANK(vlookup($D2376,Pop_Census_2023!$A$2:$E$3220,4,FALSE))),vlookup($D2376,Pop_Census_2023!$A$2:$E$3220,4,FALSE), vlookup($D2376,Pop_Census_2023!$A$2:$E$3220,5,FALSE))</f>
        <v>15431</v>
      </c>
      <c r="F2376" s="32">
        <v>1265764.0</v>
      </c>
      <c r="G2376" s="32">
        <v>38.0</v>
      </c>
      <c r="H2376" s="32" t="str">
        <f>VLOOKUP(D2376, Grid_Region_Mapping!$D$2:$F$5286, 3, FALSE)</f>
        <v>SPPN</v>
      </c>
      <c r="I2376" s="32">
        <v>4.0</v>
      </c>
      <c r="J2376" s="34" t="str">
        <f t="shared" si="1"/>
        <v>Midwest</v>
      </c>
      <c r="K2376" s="35">
        <v>2.0</v>
      </c>
      <c r="L2376" s="35" t="s">
        <v>396</v>
      </c>
      <c r="M2376" s="36">
        <f>VLOOKUP(D2376, County_Data_CZones!$B$2:$F$3236, 2, FALSE)</f>
        <v>5</v>
      </c>
      <c r="N2376" s="37" t="str">
        <f>VLOOKUP(D2376, County_Data_CZones!$B$2:$F$3236, 5, FALSE)</f>
        <v>Cold</v>
      </c>
    </row>
    <row r="2377" ht="15.75" customHeight="1">
      <c r="A2377" s="32" t="s">
        <v>1585</v>
      </c>
      <c r="B2377" s="32" t="s">
        <v>1578</v>
      </c>
      <c r="C2377" s="32" t="str">
        <f>vlookup(B2377,State_EMM_RowSums!$A$2:$B$52,2,FALSE)</f>
        <v>SD</v>
      </c>
      <c r="D2377" s="32">
        <v>46029.0</v>
      </c>
      <c r="E2377" s="33">
        <f>IF(NOT(ISBLANK(vlookup($D2377,Pop_Census_2023!$A$2:$E$3220,4,FALSE))),vlookup($D2377,Pop_Census_2023!$A$2:$E$3220,4,FALSE), vlookup($D2377,Pop_Census_2023!$A$2:$E$3220,5,FALSE))</f>
        <v>28971</v>
      </c>
      <c r="F2377" s="32">
        <v>1265791.0</v>
      </c>
      <c r="G2377" s="32">
        <v>38.0</v>
      </c>
      <c r="H2377" s="32" t="str">
        <f>VLOOKUP(D2377, Grid_Region_Mapping!$D$2:$F$5286, 3, FALSE)</f>
        <v>SPPN</v>
      </c>
      <c r="I2377" s="32">
        <v>4.0</v>
      </c>
      <c r="J2377" s="34" t="str">
        <f t="shared" si="1"/>
        <v>Midwest</v>
      </c>
      <c r="K2377" s="35">
        <v>1.0</v>
      </c>
      <c r="L2377" s="35" t="s">
        <v>707</v>
      </c>
      <c r="M2377" s="36">
        <f>VLOOKUP(D2377, County_Data_CZones!$B$2:$F$3236, 2, FALSE)</f>
        <v>6</v>
      </c>
      <c r="N2377" s="37" t="str">
        <f>VLOOKUP(D2377, County_Data_CZones!$B$2:$F$3236, 5, FALSE)</f>
        <v>Cold</v>
      </c>
    </row>
    <row r="2378" ht="15.75" customHeight="1">
      <c r="A2378" s="32" t="s">
        <v>1586</v>
      </c>
      <c r="B2378" s="32" t="s">
        <v>1578</v>
      </c>
      <c r="C2378" s="32" t="str">
        <f>vlookup(B2378,State_EMM_RowSums!$A$2:$B$52,2,FALSE)</f>
        <v>SD</v>
      </c>
      <c r="D2378" s="32">
        <v>46031.0</v>
      </c>
      <c r="E2378" s="33">
        <f>IF(NOT(ISBLANK(vlookup($D2378,Pop_Census_2023!$A$2:$E$3220,4,FALSE))),vlookup($D2378,Pop_Census_2023!$A$2:$E$3220,4,FALSE), vlookup($D2378,Pop_Census_2023!$A$2:$E$3220,5,FALSE))</f>
        <v>3782</v>
      </c>
      <c r="F2378" s="32">
        <v>1265811.0</v>
      </c>
      <c r="G2378" s="32">
        <v>38.0</v>
      </c>
      <c r="H2378" s="32" t="str">
        <f>VLOOKUP(D2378, Grid_Region_Mapping!$D$2:$F$5286, 3, FALSE)</f>
        <v>SPPN</v>
      </c>
      <c r="I2378" s="32">
        <v>4.0</v>
      </c>
      <c r="J2378" s="34" t="str">
        <f t="shared" si="1"/>
        <v>Midwest</v>
      </c>
      <c r="K2378" s="35">
        <v>1.0</v>
      </c>
      <c r="L2378" s="35" t="s">
        <v>707</v>
      </c>
      <c r="M2378" s="36">
        <f>VLOOKUP(D2378, County_Data_CZones!$B$2:$F$3236, 2, FALSE)</f>
        <v>6</v>
      </c>
      <c r="N2378" s="37" t="str">
        <f>VLOOKUP(D2378, County_Data_CZones!$B$2:$F$3236, 5, FALSE)</f>
        <v>Cold</v>
      </c>
    </row>
    <row r="2379" ht="15.75" customHeight="1">
      <c r="A2379" s="32" t="s">
        <v>353</v>
      </c>
      <c r="B2379" s="32" t="s">
        <v>1578</v>
      </c>
      <c r="C2379" s="32" t="str">
        <f>vlookup(B2379,State_EMM_RowSums!$A$2:$B$52,2,FALSE)</f>
        <v>SD</v>
      </c>
      <c r="D2379" s="32">
        <v>46033.0</v>
      </c>
      <c r="E2379" s="33">
        <f>IF(NOT(ISBLANK(vlookup($D2379,Pop_Census_2023!$A$2:$E$3220,4,FALSE))),vlookup($D2379,Pop_Census_2023!$A$2:$E$3220,4,FALSE), vlookup($D2379,Pop_Census_2023!$A$2:$E$3220,5,FALSE))</f>
        <v>9117</v>
      </c>
      <c r="F2379" s="32">
        <v>1265788.0</v>
      </c>
      <c r="G2379" s="32">
        <v>32.0</v>
      </c>
      <c r="H2379" s="32" t="str">
        <f>VLOOKUP(D2379, Grid_Region_Mapping!$D$2:$F$5286, 3, FALSE)</f>
        <v>RMRG</v>
      </c>
      <c r="I2379" s="32">
        <v>4.0</v>
      </c>
      <c r="J2379" s="34" t="str">
        <f t="shared" si="1"/>
        <v>Midwest</v>
      </c>
      <c r="K2379" s="35">
        <v>1.0</v>
      </c>
      <c r="L2379" s="35" t="s">
        <v>707</v>
      </c>
      <c r="M2379" s="36">
        <f>VLOOKUP(D2379, County_Data_CZones!$B$2:$F$3236, 2, FALSE)</f>
        <v>6</v>
      </c>
      <c r="N2379" s="37" t="str">
        <f>VLOOKUP(D2379, County_Data_CZones!$B$2:$F$3236, 5, FALSE)</f>
        <v>Cold</v>
      </c>
    </row>
    <row r="2380" ht="15.75" customHeight="1">
      <c r="A2380" s="32" t="s">
        <v>1587</v>
      </c>
      <c r="B2380" s="32" t="s">
        <v>1578</v>
      </c>
      <c r="C2380" s="32" t="str">
        <f>vlookup(B2380,State_EMM_RowSums!$A$2:$B$52,2,FALSE)</f>
        <v>SD</v>
      </c>
      <c r="D2380" s="32">
        <v>46035.0</v>
      </c>
      <c r="E2380" s="33">
        <f>IF(NOT(ISBLANK(vlookup($D2380,Pop_Census_2023!$A$2:$E$3220,4,FALSE))),vlookup($D2380,Pop_Census_2023!$A$2:$E$3220,4,FALSE), vlookup($D2380,Pop_Census_2023!$A$2:$E$3220,5,FALSE))</f>
        <v>19922</v>
      </c>
      <c r="F2380" s="32">
        <v>1266980.0</v>
      </c>
      <c r="G2380" s="32">
        <v>38.0</v>
      </c>
      <c r="H2380" s="32" t="str">
        <f>VLOOKUP(D2380, Grid_Region_Mapping!$D$2:$F$5286, 3, FALSE)</f>
        <v>SPPN</v>
      </c>
      <c r="I2380" s="32">
        <v>4.0</v>
      </c>
      <c r="J2380" s="34" t="str">
        <f t="shared" si="1"/>
        <v>Midwest</v>
      </c>
      <c r="K2380" s="35">
        <v>1.0</v>
      </c>
      <c r="L2380" s="35" t="s">
        <v>707</v>
      </c>
      <c r="M2380" s="36">
        <f>VLOOKUP(D2380, County_Data_CZones!$B$2:$F$3236, 2, FALSE)</f>
        <v>6</v>
      </c>
      <c r="N2380" s="37" t="str">
        <f>VLOOKUP(D2380, County_Data_CZones!$B$2:$F$3236, 5, FALSE)</f>
        <v>Cold</v>
      </c>
    </row>
    <row r="2381" ht="15.75" customHeight="1">
      <c r="A2381" s="32" t="s">
        <v>1588</v>
      </c>
      <c r="B2381" s="32" t="s">
        <v>1578</v>
      </c>
      <c r="C2381" s="32" t="str">
        <f>vlookup(B2381,State_EMM_RowSums!$A$2:$B$52,2,FALSE)</f>
        <v>SD</v>
      </c>
      <c r="D2381" s="32">
        <v>46037.0</v>
      </c>
      <c r="E2381" s="33">
        <f>IF(NOT(ISBLANK(vlookup($D2381,Pop_Census_2023!$A$2:$E$3220,4,FALSE))),vlookup($D2381,Pop_Census_2023!$A$2:$E$3220,4,FALSE), vlookup($D2381,Pop_Census_2023!$A$2:$E$3220,5,FALSE))</f>
        <v>5451</v>
      </c>
      <c r="F2381" s="32">
        <v>1265790.0</v>
      </c>
      <c r="G2381" s="32">
        <v>38.0</v>
      </c>
      <c r="H2381" s="32" t="str">
        <f>VLOOKUP(D2381, Grid_Region_Mapping!$D$2:$F$5286, 3, FALSE)</f>
        <v>SPPN</v>
      </c>
      <c r="I2381" s="32">
        <v>4.0</v>
      </c>
      <c r="J2381" s="34" t="str">
        <f t="shared" si="1"/>
        <v>Midwest</v>
      </c>
      <c r="K2381" s="35">
        <v>1.0</v>
      </c>
      <c r="L2381" s="35" t="s">
        <v>707</v>
      </c>
      <c r="M2381" s="36">
        <f>VLOOKUP(D2381, County_Data_CZones!$B$2:$F$3236, 2, FALSE)</f>
        <v>6</v>
      </c>
      <c r="N2381" s="37" t="str">
        <f>VLOOKUP(D2381, County_Data_CZones!$B$2:$F$3236, 5, FALSE)</f>
        <v>Cold</v>
      </c>
    </row>
    <row r="2382" ht="15.75" customHeight="1">
      <c r="A2382" s="32" t="s">
        <v>1209</v>
      </c>
      <c r="B2382" s="32" t="s">
        <v>1578</v>
      </c>
      <c r="C2382" s="32" t="str">
        <f>vlookup(B2382,State_EMM_RowSums!$A$2:$B$52,2,FALSE)</f>
        <v>SD</v>
      </c>
      <c r="D2382" s="32">
        <v>46039.0</v>
      </c>
      <c r="E2382" s="33">
        <f>IF(NOT(ISBLANK(vlookup($D2382,Pop_Census_2023!$A$2:$E$3220,4,FALSE))),vlookup($D2382,Pop_Census_2023!$A$2:$E$3220,4,FALSE), vlookup($D2382,Pop_Census_2023!$A$2:$E$3220,5,FALSE))</f>
        <v>4354</v>
      </c>
      <c r="F2382" s="32">
        <v>1265781.0</v>
      </c>
      <c r="G2382" s="32">
        <v>38.0</v>
      </c>
      <c r="H2382" s="32" t="str">
        <f>VLOOKUP(D2382, Grid_Region_Mapping!$D$2:$F$5286, 3, FALSE)</f>
        <v>SPPN</v>
      </c>
      <c r="I2382" s="32">
        <v>4.0</v>
      </c>
      <c r="J2382" s="34" t="str">
        <f t="shared" si="1"/>
        <v>Midwest</v>
      </c>
      <c r="K2382" s="35">
        <v>1.0</v>
      </c>
      <c r="L2382" s="35" t="s">
        <v>707</v>
      </c>
      <c r="M2382" s="36">
        <f>VLOOKUP(D2382, County_Data_CZones!$B$2:$F$3236, 2, FALSE)</f>
        <v>6</v>
      </c>
      <c r="N2382" s="37" t="str">
        <f>VLOOKUP(D2382, County_Data_CZones!$B$2:$F$3236, 5, FALSE)</f>
        <v>Cold</v>
      </c>
    </row>
    <row r="2383" ht="15.75" customHeight="1">
      <c r="A2383" s="32" t="s">
        <v>1468</v>
      </c>
      <c r="B2383" s="32" t="s">
        <v>1578</v>
      </c>
      <c r="C2383" s="32" t="str">
        <f>vlookup(B2383,State_EMM_RowSums!$A$2:$B$52,2,FALSE)</f>
        <v>SD</v>
      </c>
      <c r="D2383" s="32">
        <v>46041.0</v>
      </c>
      <c r="E2383" s="33">
        <f>IF(NOT(ISBLANK(vlookup($D2383,Pop_Census_2023!$A$2:$E$3220,4,FALSE))),vlookup($D2383,Pop_Census_2023!$A$2:$E$3220,4,FALSE), vlookup($D2383,Pop_Census_2023!$A$2:$E$3220,5,FALSE))</f>
        <v>5208</v>
      </c>
      <c r="F2383" s="32">
        <v>1266994.0</v>
      </c>
      <c r="G2383" s="32">
        <v>38.0</v>
      </c>
      <c r="H2383" s="32" t="str">
        <f>VLOOKUP(D2383, Grid_Region_Mapping!$D$2:$F$5286, 3, FALSE)</f>
        <v>SPPN</v>
      </c>
      <c r="I2383" s="32">
        <v>4.0</v>
      </c>
      <c r="J2383" s="34" t="str">
        <f t="shared" si="1"/>
        <v>Midwest</v>
      </c>
      <c r="K2383" s="35">
        <v>1.0</v>
      </c>
      <c r="L2383" s="35" t="s">
        <v>707</v>
      </c>
      <c r="M2383" s="36">
        <f>VLOOKUP(D2383, County_Data_CZones!$B$2:$F$3236, 2, FALSE)</f>
        <v>6</v>
      </c>
      <c r="N2383" s="37" t="str">
        <f>VLOOKUP(D2383, County_Data_CZones!$B$2:$F$3236, 5, FALSE)</f>
        <v>Cold</v>
      </c>
    </row>
    <row r="2384" ht="15.75" customHeight="1">
      <c r="A2384" s="32" t="s">
        <v>357</v>
      </c>
      <c r="B2384" s="32" t="s">
        <v>1578</v>
      </c>
      <c r="C2384" s="32" t="str">
        <f>vlookup(B2384,State_EMM_RowSums!$A$2:$B$52,2,FALSE)</f>
        <v>SD</v>
      </c>
      <c r="D2384" s="32">
        <v>46043.0</v>
      </c>
      <c r="E2384" s="33">
        <f>IF(NOT(ISBLANK(vlookup($D2384,Pop_Census_2023!$A$2:$E$3220,4,FALSE))),vlookup($D2384,Pop_Census_2023!$A$2:$E$3220,4,FALSE), vlookup($D2384,Pop_Census_2023!$A$2:$E$3220,5,FALSE))</f>
        <v>2838</v>
      </c>
      <c r="F2384" s="32">
        <v>1266978.0</v>
      </c>
      <c r="G2384" s="32">
        <v>38.0</v>
      </c>
      <c r="H2384" s="32" t="str">
        <f>VLOOKUP(D2384, Grid_Region_Mapping!$D$2:$F$5286, 3, FALSE)</f>
        <v>SPPN</v>
      </c>
      <c r="I2384" s="32">
        <v>4.0</v>
      </c>
      <c r="J2384" s="34" t="str">
        <f t="shared" si="1"/>
        <v>Midwest</v>
      </c>
      <c r="K2384" s="35">
        <v>2.0</v>
      </c>
      <c r="L2384" s="35" t="s">
        <v>396</v>
      </c>
      <c r="M2384" s="36">
        <f>VLOOKUP(D2384, County_Data_CZones!$B$2:$F$3236, 2, FALSE)</f>
        <v>5</v>
      </c>
      <c r="N2384" s="37" t="str">
        <f>VLOOKUP(D2384, County_Data_CZones!$B$2:$F$3236, 5, FALSE)</f>
        <v>Cold</v>
      </c>
    </row>
    <row r="2385" ht="15.75" customHeight="1">
      <c r="A2385" s="32" t="s">
        <v>1589</v>
      </c>
      <c r="B2385" s="32" t="s">
        <v>1578</v>
      </c>
      <c r="C2385" s="32" t="str">
        <f>vlookup(B2385,State_EMM_RowSums!$A$2:$B$52,2,FALSE)</f>
        <v>SD</v>
      </c>
      <c r="D2385" s="32">
        <v>46045.0</v>
      </c>
      <c r="E2385" s="33">
        <f>IF(NOT(ISBLANK(vlookup($D2385,Pop_Census_2023!$A$2:$E$3220,4,FALSE))),vlookup($D2385,Pop_Census_2023!$A$2:$E$3220,4,FALSE), vlookup($D2385,Pop_Census_2023!$A$2:$E$3220,5,FALSE))</f>
        <v>4057</v>
      </c>
      <c r="F2385" s="32">
        <v>1266972.0</v>
      </c>
      <c r="G2385" s="32">
        <v>38.0</v>
      </c>
      <c r="H2385" s="32" t="str">
        <f>VLOOKUP(D2385, Grid_Region_Mapping!$D$2:$F$5286, 3, FALSE)</f>
        <v>SPPN</v>
      </c>
      <c r="I2385" s="32">
        <v>4.0</v>
      </c>
      <c r="J2385" s="34" t="str">
        <f t="shared" si="1"/>
        <v>Midwest</v>
      </c>
      <c r="K2385" s="35">
        <v>1.0</v>
      </c>
      <c r="L2385" s="35" t="s">
        <v>707</v>
      </c>
      <c r="M2385" s="36">
        <f>VLOOKUP(D2385, County_Data_CZones!$B$2:$F$3236, 2, FALSE)</f>
        <v>6</v>
      </c>
      <c r="N2385" s="37" t="str">
        <f>VLOOKUP(D2385, County_Data_CZones!$B$2:$F$3236, 5, FALSE)</f>
        <v>Cold</v>
      </c>
    </row>
    <row r="2386" ht="15.75" customHeight="1">
      <c r="A2386" s="32" t="s">
        <v>1590</v>
      </c>
      <c r="B2386" s="32" t="s">
        <v>1578</v>
      </c>
      <c r="C2386" s="32" t="str">
        <f>vlookup(B2386,State_EMM_RowSums!$A$2:$B$52,2,FALSE)</f>
        <v>SD</v>
      </c>
      <c r="D2386" s="32">
        <v>46047.0</v>
      </c>
      <c r="E2386" s="33">
        <f>IF(NOT(ISBLANK(vlookup($D2386,Pop_Census_2023!$A$2:$E$3220,4,FALSE))),vlookup($D2386,Pop_Census_2023!$A$2:$E$3220,4,FALSE), vlookup($D2386,Pop_Census_2023!$A$2:$E$3220,5,FALSE))</f>
        <v>7393</v>
      </c>
      <c r="F2386" s="32">
        <v>1265787.0</v>
      </c>
      <c r="G2386" s="32">
        <v>32.0</v>
      </c>
      <c r="H2386" s="32" t="str">
        <f>VLOOKUP(D2386, Grid_Region_Mapping!$D$2:$F$5286, 3, FALSE)</f>
        <v>RMRG</v>
      </c>
      <c r="I2386" s="32">
        <v>4.0</v>
      </c>
      <c r="J2386" s="34" t="str">
        <f t="shared" si="1"/>
        <v>Midwest</v>
      </c>
      <c r="K2386" s="35">
        <v>1.0</v>
      </c>
      <c r="L2386" s="35" t="s">
        <v>707</v>
      </c>
      <c r="M2386" s="36">
        <f>VLOOKUP(D2386, County_Data_CZones!$B$2:$F$3236, 2, FALSE)</f>
        <v>6</v>
      </c>
      <c r="N2386" s="37" t="str">
        <f>VLOOKUP(D2386, County_Data_CZones!$B$2:$F$3236, 5, FALSE)</f>
        <v>Cold</v>
      </c>
    </row>
    <row r="2387" ht="15.75" customHeight="1">
      <c r="A2387" s="32" t="s">
        <v>1591</v>
      </c>
      <c r="B2387" s="32" t="s">
        <v>1578</v>
      </c>
      <c r="C2387" s="32" t="str">
        <f>vlookup(B2387,State_EMM_RowSums!$A$2:$B$52,2,FALSE)</f>
        <v>SD</v>
      </c>
      <c r="D2387" s="32">
        <v>46049.0</v>
      </c>
      <c r="E2387" s="33">
        <f>IF(NOT(ISBLANK(vlookup($D2387,Pop_Census_2023!$A$2:$E$3220,4,FALSE))),vlookup($D2387,Pop_Census_2023!$A$2:$E$3220,4,FALSE), vlookup($D2387,Pop_Census_2023!$A$2:$E$3220,5,FALSE))</f>
        <v>2151</v>
      </c>
      <c r="F2387" s="32">
        <v>1265760.0</v>
      </c>
      <c r="G2387" s="32">
        <v>38.0</v>
      </c>
      <c r="H2387" s="32" t="str">
        <f>VLOOKUP(D2387, Grid_Region_Mapping!$D$2:$F$5286, 3, FALSE)</f>
        <v>SPPN</v>
      </c>
      <c r="I2387" s="32">
        <v>4.0</v>
      </c>
      <c r="J2387" s="34" t="str">
        <f t="shared" si="1"/>
        <v>Midwest</v>
      </c>
      <c r="K2387" s="35">
        <v>1.0</v>
      </c>
      <c r="L2387" s="35" t="s">
        <v>707</v>
      </c>
      <c r="M2387" s="36">
        <f>VLOOKUP(D2387, County_Data_CZones!$B$2:$F$3236, 2, FALSE)</f>
        <v>6</v>
      </c>
      <c r="N2387" s="37" t="str">
        <f>VLOOKUP(D2387, County_Data_CZones!$B$2:$F$3236, 5, FALSE)</f>
        <v>Cold</v>
      </c>
    </row>
    <row r="2388" ht="15.75" customHeight="1">
      <c r="A2388" s="32" t="s">
        <v>242</v>
      </c>
      <c r="B2388" s="32" t="s">
        <v>1578</v>
      </c>
      <c r="C2388" s="32" t="str">
        <f>vlookup(B2388,State_EMM_RowSums!$A$2:$B$52,2,FALSE)</f>
        <v>SD</v>
      </c>
      <c r="D2388" s="32">
        <v>46051.0</v>
      </c>
      <c r="E2388" s="33">
        <f>IF(NOT(ISBLANK(vlookup($D2388,Pop_Census_2023!$A$2:$E$3220,4,FALSE))),vlookup($D2388,Pop_Census_2023!$A$2:$E$3220,4,FALSE), vlookup($D2388,Pop_Census_2023!$A$2:$E$3220,5,FALSE))</f>
        <v>7553</v>
      </c>
      <c r="F2388" s="32">
        <v>1265782.0</v>
      </c>
      <c r="G2388" s="32">
        <v>38.0</v>
      </c>
      <c r="H2388" s="32" t="str">
        <f>VLOOKUP(D2388, Grid_Region_Mapping!$D$2:$F$5286, 3, FALSE)</f>
        <v>SPPN</v>
      </c>
      <c r="I2388" s="32">
        <v>4.0</v>
      </c>
      <c r="J2388" s="34" t="str">
        <f t="shared" si="1"/>
        <v>Midwest</v>
      </c>
      <c r="K2388" s="35">
        <v>1.0</v>
      </c>
      <c r="L2388" s="35" t="s">
        <v>707</v>
      </c>
      <c r="M2388" s="36">
        <f>VLOOKUP(D2388, County_Data_CZones!$B$2:$F$3236, 2, FALSE)</f>
        <v>6</v>
      </c>
      <c r="N2388" s="37" t="str">
        <f>VLOOKUP(D2388, County_Data_CZones!$B$2:$F$3236, 5, FALSE)</f>
        <v>Cold</v>
      </c>
    </row>
    <row r="2389" ht="15.75" customHeight="1">
      <c r="A2389" s="32" t="s">
        <v>1592</v>
      </c>
      <c r="B2389" s="32" t="s">
        <v>1578</v>
      </c>
      <c r="C2389" s="32" t="str">
        <f>vlookup(B2389,State_EMM_RowSums!$A$2:$B$52,2,FALSE)</f>
        <v>SD</v>
      </c>
      <c r="D2389" s="32">
        <v>46053.0</v>
      </c>
      <c r="E2389" s="33">
        <f>IF(NOT(ISBLANK(vlookup($D2389,Pop_Census_2023!$A$2:$E$3220,4,FALSE))),vlookup($D2389,Pop_Census_2023!$A$2:$E$3220,4,FALSE), vlookup($D2389,Pop_Census_2023!$A$2:$E$3220,5,FALSE))</f>
        <v>4018</v>
      </c>
      <c r="F2389" s="32">
        <v>1265765.0</v>
      </c>
      <c r="G2389" s="32">
        <v>38.0</v>
      </c>
      <c r="H2389" s="32" t="str">
        <f>VLOOKUP(D2389, Grid_Region_Mapping!$D$2:$F$5286, 3, FALSE)</f>
        <v>SPPN</v>
      </c>
      <c r="I2389" s="32">
        <v>4.0</v>
      </c>
      <c r="J2389" s="34" t="str">
        <f t="shared" si="1"/>
        <v>Midwest</v>
      </c>
      <c r="K2389" s="35">
        <v>2.0</v>
      </c>
      <c r="L2389" s="35" t="s">
        <v>396</v>
      </c>
      <c r="M2389" s="36">
        <f>VLOOKUP(D2389, County_Data_CZones!$B$2:$F$3236, 2, FALSE)</f>
        <v>5</v>
      </c>
      <c r="N2389" s="37" t="str">
        <f>VLOOKUP(D2389, County_Data_CZones!$B$2:$F$3236, 5, FALSE)</f>
        <v>Cold</v>
      </c>
    </row>
    <row r="2390" ht="15.75" customHeight="1">
      <c r="A2390" s="32" t="s">
        <v>1593</v>
      </c>
      <c r="B2390" s="32" t="s">
        <v>1578</v>
      </c>
      <c r="C2390" s="32" t="str">
        <f>vlookup(B2390,State_EMM_RowSums!$A$2:$B$52,2,FALSE)</f>
        <v>SD</v>
      </c>
      <c r="D2390" s="32">
        <v>46055.0</v>
      </c>
      <c r="E2390" s="33">
        <f>IF(NOT(ISBLANK(vlookup($D2390,Pop_Census_2023!$A$2:$E$3220,4,FALSE))),vlookup($D2390,Pop_Census_2023!$A$2:$E$3220,4,FALSE), vlookup($D2390,Pop_Census_2023!$A$2:$E$3220,5,FALSE))</f>
        <v>1851</v>
      </c>
      <c r="F2390" s="32">
        <v>1266988.0</v>
      </c>
      <c r="G2390" s="32">
        <v>38.0</v>
      </c>
      <c r="H2390" s="32" t="str">
        <f>VLOOKUP(D2390, Grid_Region_Mapping!$D$2:$F$5286, 3, FALSE)</f>
        <v>SPPN</v>
      </c>
      <c r="I2390" s="32">
        <v>4.0</v>
      </c>
      <c r="J2390" s="34" t="str">
        <f t="shared" si="1"/>
        <v>Midwest</v>
      </c>
      <c r="K2390" s="35">
        <v>1.0</v>
      </c>
      <c r="L2390" s="35" t="s">
        <v>707</v>
      </c>
      <c r="M2390" s="36">
        <f>VLOOKUP(D2390, County_Data_CZones!$B$2:$F$3236, 2, FALSE)</f>
        <v>6</v>
      </c>
      <c r="N2390" s="37" t="str">
        <f>VLOOKUP(D2390, County_Data_CZones!$B$2:$F$3236, 5, FALSE)</f>
        <v>Cold</v>
      </c>
    </row>
    <row r="2391" ht="15.75" customHeight="1">
      <c r="A2391" s="32" t="s">
        <v>1594</v>
      </c>
      <c r="B2391" s="32" t="s">
        <v>1578</v>
      </c>
      <c r="C2391" s="32" t="str">
        <f>vlookup(B2391,State_EMM_RowSums!$A$2:$B$52,2,FALSE)</f>
        <v>SD</v>
      </c>
      <c r="D2391" s="32">
        <v>46057.0</v>
      </c>
      <c r="E2391" s="33">
        <f>IF(NOT(ISBLANK(vlookup($D2391,Pop_Census_2023!$A$2:$E$3220,4,FALSE))),vlookup($D2391,Pop_Census_2023!$A$2:$E$3220,4,FALSE), vlookup($D2391,Pop_Census_2023!$A$2:$E$3220,5,FALSE))</f>
        <v>6451</v>
      </c>
      <c r="F2391" s="32">
        <v>1265766.0</v>
      </c>
      <c r="G2391" s="32">
        <v>38.0</v>
      </c>
      <c r="H2391" s="32" t="str">
        <f>VLOOKUP(D2391, Grid_Region_Mapping!$D$2:$F$5286, 3, FALSE)</f>
        <v>SPPN</v>
      </c>
      <c r="I2391" s="32">
        <v>4.0</v>
      </c>
      <c r="J2391" s="34" t="str">
        <f t="shared" si="1"/>
        <v>Midwest</v>
      </c>
      <c r="K2391" s="35">
        <v>1.0</v>
      </c>
      <c r="L2391" s="35" t="s">
        <v>707</v>
      </c>
      <c r="M2391" s="36">
        <f>VLOOKUP(D2391, County_Data_CZones!$B$2:$F$3236, 2, FALSE)</f>
        <v>6</v>
      </c>
      <c r="N2391" s="37" t="str">
        <f>VLOOKUP(D2391, County_Data_CZones!$B$2:$F$3236, 5, FALSE)</f>
        <v>Cold</v>
      </c>
    </row>
    <row r="2392" ht="15.75" customHeight="1">
      <c r="A2392" s="32" t="s">
        <v>1595</v>
      </c>
      <c r="B2392" s="32" t="s">
        <v>1578</v>
      </c>
      <c r="C2392" s="32" t="str">
        <f>vlookup(B2392,State_EMM_RowSums!$A$2:$B$52,2,FALSE)</f>
        <v>SD</v>
      </c>
      <c r="D2392" s="32">
        <v>46059.0</v>
      </c>
      <c r="E2392" s="33">
        <f>IF(NOT(ISBLANK(vlookup($D2392,Pop_Census_2023!$A$2:$E$3220,4,FALSE))),vlookup($D2392,Pop_Census_2023!$A$2:$E$3220,4,FALSE), vlookup($D2392,Pop_Census_2023!$A$2:$E$3220,5,FALSE))</f>
        <v>3107</v>
      </c>
      <c r="F2392" s="32">
        <v>1265783.0</v>
      </c>
      <c r="G2392" s="32">
        <v>38.0</v>
      </c>
      <c r="H2392" s="32" t="str">
        <f>VLOOKUP(D2392, Grid_Region_Mapping!$D$2:$F$5286, 3, FALSE)</f>
        <v>SPPN</v>
      </c>
      <c r="I2392" s="32">
        <v>4.0</v>
      </c>
      <c r="J2392" s="34" t="str">
        <f t="shared" si="1"/>
        <v>Midwest</v>
      </c>
      <c r="K2392" s="35">
        <v>1.0</v>
      </c>
      <c r="L2392" s="35" t="s">
        <v>707</v>
      </c>
      <c r="M2392" s="36">
        <f>VLOOKUP(D2392, County_Data_CZones!$B$2:$F$3236, 2, FALSE)</f>
        <v>6</v>
      </c>
      <c r="N2392" s="37" t="str">
        <f>VLOOKUP(D2392, County_Data_CZones!$B$2:$F$3236, 5, FALSE)</f>
        <v>Cold</v>
      </c>
    </row>
    <row r="2393" ht="15.75" customHeight="1">
      <c r="A2393" s="32" t="s">
        <v>1596</v>
      </c>
      <c r="B2393" s="32" t="s">
        <v>1578</v>
      </c>
      <c r="C2393" s="32" t="str">
        <f>vlookup(B2393,State_EMM_RowSums!$A$2:$B$52,2,FALSE)</f>
        <v>SD</v>
      </c>
      <c r="D2393" s="32">
        <v>46061.0</v>
      </c>
      <c r="E2393" s="33">
        <f>IF(NOT(ISBLANK(vlookup($D2393,Pop_Census_2023!$A$2:$E$3220,4,FALSE))),vlookup($D2393,Pop_Census_2023!$A$2:$E$3220,4,FALSE), vlookup($D2393,Pop_Census_2023!$A$2:$E$3220,5,FALSE))</f>
        <v>3471</v>
      </c>
      <c r="F2393" s="32">
        <v>1266979.0</v>
      </c>
      <c r="G2393" s="32">
        <v>38.0</v>
      </c>
      <c r="H2393" s="32" t="str">
        <f>VLOOKUP(D2393, Grid_Region_Mapping!$D$2:$F$5286, 3, FALSE)</f>
        <v>SPPN</v>
      </c>
      <c r="I2393" s="32">
        <v>4.0</v>
      </c>
      <c r="J2393" s="34" t="str">
        <f t="shared" si="1"/>
        <v>Midwest</v>
      </c>
      <c r="K2393" s="35">
        <v>1.0</v>
      </c>
      <c r="L2393" s="35" t="s">
        <v>707</v>
      </c>
      <c r="M2393" s="36">
        <f>VLOOKUP(D2393, County_Data_CZones!$B$2:$F$3236, 2, FALSE)</f>
        <v>6</v>
      </c>
      <c r="N2393" s="37" t="str">
        <f>VLOOKUP(D2393, County_Data_CZones!$B$2:$F$3236, 5, FALSE)</f>
        <v>Cold</v>
      </c>
    </row>
    <row r="2394" ht="15.75" customHeight="1">
      <c r="A2394" s="32" t="s">
        <v>1280</v>
      </c>
      <c r="B2394" s="32" t="s">
        <v>1578</v>
      </c>
      <c r="C2394" s="32" t="str">
        <f>vlookup(B2394,State_EMM_RowSums!$A$2:$B$52,2,FALSE)</f>
        <v>SD</v>
      </c>
      <c r="D2394" s="32">
        <v>46063.0</v>
      </c>
      <c r="E2394" s="33">
        <f>IF(NOT(ISBLANK(vlookup($D2394,Pop_Census_2023!$A$2:$E$3220,4,FALSE))),vlookup($D2394,Pop_Census_2023!$A$2:$E$3220,4,FALSE), vlookup($D2394,Pop_Census_2023!$A$2:$E$3220,5,FALSE))</f>
        <v>1324</v>
      </c>
      <c r="F2394" s="32">
        <v>1265792.0</v>
      </c>
      <c r="G2394" s="32">
        <v>38.0</v>
      </c>
      <c r="H2394" s="32" t="str">
        <f>VLOOKUP(D2394, Grid_Region_Mapping!$D$2:$F$5286, 3, FALSE)</f>
        <v>SPPN</v>
      </c>
      <c r="I2394" s="32">
        <v>4.0</v>
      </c>
      <c r="J2394" s="34" t="str">
        <f t="shared" si="1"/>
        <v>Midwest</v>
      </c>
      <c r="K2394" s="35">
        <v>1.0</v>
      </c>
      <c r="L2394" s="35" t="s">
        <v>707</v>
      </c>
      <c r="M2394" s="36">
        <f>VLOOKUP(D2394, County_Data_CZones!$B$2:$F$3236, 2, FALSE)</f>
        <v>6</v>
      </c>
      <c r="N2394" s="37" t="str">
        <f>VLOOKUP(D2394, County_Data_CZones!$B$2:$F$3236, 5, FALSE)</f>
        <v>Cold</v>
      </c>
    </row>
    <row r="2395" ht="15.75" customHeight="1">
      <c r="A2395" s="32" t="s">
        <v>1472</v>
      </c>
      <c r="B2395" s="32" t="s">
        <v>1578</v>
      </c>
      <c r="C2395" s="32" t="str">
        <f>vlookup(B2395,State_EMM_RowSums!$A$2:$B$52,2,FALSE)</f>
        <v>SD</v>
      </c>
      <c r="D2395" s="32">
        <v>46065.0</v>
      </c>
      <c r="E2395" s="33">
        <f>IF(NOT(ISBLANK(vlookup($D2395,Pop_Census_2023!$A$2:$E$3220,4,FALSE))),vlookup($D2395,Pop_Census_2023!$A$2:$E$3220,4,FALSE), vlookup($D2395,Pop_Census_2023!$A$2:$E$3220,5,FALSE))</f>
        <v>17624</v>
      </c>
      <c r="F2395" s="32">
        <v>1265774.0</v>
      </c>
      <c r="G2395" s="32">
        <v>38.0</v>
      </c>
      <c r="H2395" s="32" t="str">
        <f>VLOOKUP(D2395, Grid_Region_Mapping!$D$2:$F$5286, 3, FALSE)</f>
        <v>SPPN</v>
      </c>
      <c r="I2395" s="32">
        <v>4.0</v>
      </c>
      <c r="J2395" s="34" t="str">
        <f t="shared" si="1"/>
        <v>Midwest</v>
      </c>
      <c r="K2395" s="35">
        <v>1.0</v>
      </c>
      <c r="L2395" s="35" t="s">
        <v>707</v>
      </c>
      <c r="M2395" s="36">
        <f>VLOOKUP(D2395, County_Data_CZones!$B$2:$F$3236, 2, FALSE)</f>
        <v>6</v>
      </c>
      <c r="N2395" s="37" t="str">
        <f>VLOOKUP(D2395, County_Data_CZones!$B$2:$F$3236, 5, FALSE)</f>
        <v>Cold</v>
      </c>
    </row>
    <row r="2396" ht="15.75" customHeight="1">
      <c r="A2396" s="32" t="s">
        <v>1597</v>
      </c>
      <c r="B2396" s="32" t="s">
        <v>1578</v>
      </c>
      <c r="C2396" s="32" t="str">
        <f>vlookup(B2396,State_EMM_RowSums!$A$2:$B$52,2,FALSE)</f>
        <v>SD</v>
      </c>
      <c r="D2396" s="32">
        <v>46067.0</v>
      </c>
      <c r="E2396" s="33">
        <f>IF(NOT(ISBLANK(vlookup($D2396,Pop_Census_2023!$A$2:$E$3220,4,FALSE))),vlookup($D2396,Pop_Census_2023!$A$2:$E$3220,4,FALSE), vlookup($D2396,Pop_Census_2023!$A$2:$E$3220,5,FALSE))</f>
        <v>7394</v>
      </c>
      <c r="F2396" s="32">
        <v>1265771.0</v>
      </c>
      <c r="G2396" s="32">
        <v>38.0</v>
      </c>
      <c r="H2396" s="32" t="str">
        <f>VLOOKUP(D2396, Grid_Region_Mapping!$D$2:$F$5286, 3, FALSE)</f>
        <v>SPPN</v>
      </c>
      <c r="I2396" s="32">
        <v>4.0</v>
      </c>
      <c r="J2396" s="34" t="str">
        <f t="shared" si="1"/>
        <v>Midwest</v>
      </c>
      <c r="K2396" s="35">
        <v>2.0</v>
      </c>
      <c r="L2396" s="35" t="s">
        <v>396</v>
      </c>
      <c r="M2396" s="36">
        <f>VLOOKUP(D2396, County_Data_CZones!$B$2:$F$3236, 2, FALSE)</f>
        <v>5</v>
      </c>
      <c r="N2396" s="37" t="str">
        <f>VLOOKUP(D2396, County_Data_CZones!$B$2:$F$3236, 5, FALSE)</f>
        <v>Cold</v>
      </c>
    </row>
    <row r="2397" ht="15.75" customHeight="1">
      <c r="A2397" s="32" t="s">
        <v>1359</v>
      </c>
      <c r="B2397" s="32" t="s">
        <v>1578</v>
      </c>
      <c r="C2397" s="32" t="str">
        <f>vlookup(B2397,State_EMM_RowSums!$A$2:$B$52,2,FALSE)</f>
        <v>SD</v>
      </c>
      <c r="D2397" s="32">
        <v>46069.0</v>
      </c>
      <c r="E2397" s="33">
        <f>IF(NOT(ISBLANK(vlookup($D2397,Pop_Census_2023!$A$2:$E$3220,4,FALSE))),vlookup($D2397,Pop_Census_2023!$A$2:$E$3220,4,FALSE), vlookup($D2397,Pop_Census_2023!$A$2:$E$3220,5,FALSE))</f>
        <v>1186</v>
      </c>
      <c r="F2397" s="32">
        <v>1266984.0</v>
      </c>
      <c r="G2397" s="32">
        <v>38.0</v>
      </c>
      <c r="H2397" s="32" t="str">
        <f>VLOOKUP(D2397, Grid_Region_Mapping!$D$2:$F$5286, 3, FALSE)</f>
        <v>SPPN</v>
      </c>
      <c r="I2397" s="32">
        <v>4.0</v>
      </c>
      <c r="J2397" s="34" t="str">
        <f t="shared" si="1"/>
        <v>Midwest</v>
      </c>
      <c r="K2397" s="35">
        <v>1.0</v>
      </c>
      <c r="L2397" s="35" t="s">
        <v>707</v>
      </c>
      <c r="M2397" s="36">
        <f>VLOOKUP(D2397, County_Data_CZones!$B$2:$F$3236, 2, FALSE)</f>
        <v>6</v>
      </c>
      <c r="N2397" s="37" t="str">
        <f>VLOOKUP(D2397, County_Data_CZones!$B$2:$F$3236, 5, FALSE)</f>
        <v>Cold</v>
      </c>
    </row>
    <row r="2398" ht="15.75" customHeight="1">
      <c r="A2398" s="32" t="s">
        <v>138</v>
      </c>
      <c r="B2398" s="32" t="s">
        <v>1578</v>
      </c>
      <c r="C2398" s="32" t="str">
        <f>vlookup(B2398,State_EMM_RowSums!$A$2:$B$52,2,FALSE)</f>
        <v>SD</v>
      </c>
      <c r="D2398" s="32">
        <v>46071.0</v>
      </c>
      <c r="E2398" s="33">
        <f>IF(NOT(ISBLANK(vlookup($D2398,Pop_Census_2023!$A$2:$E$3220,4,FALSE))),vlookup($D2398,Pop_Census_2023!$A$2:$E$3220,4,FALSE), vlookup($D2398,Pop_Census_2023!$A$2:$E$3220,5,FALSE))</f>
        <v>2776</v>
      </c>
      <c r="F2398" s="32">
        <v>1265794.0</v>
      </c>
      <c r="G2398" s="32">
        <v>38.0</v>
      </c>
      <c r="H2398" s="32" t="str">
        <f>VLOOKUP(D2398, Grid_Region_Mapping!$D$2:$F$5286, 3, FALSE)</f>
        <v>SPPN</v>
      </c>
      <c r="I2398" s="32">
        <v>4.0</v>
      </c>
      <c r="J2398" s="34" t="str">
        <f t="shared" si="1"/>
        <v>Midwest</v>
      </c>
      <c r="K2398" s="35">
        <v>2.0</v>
      </c>
      <c r="L2398" s="35" t="s">
        <v>396</v>
      </c>
      <c r="M2398" s="36">
        <f>VLOOKUP(D2398, County_Data_CZones!$B$2:$F$3236, 2, FALSE)</f>
        <v>5</v>
      </c>
      <c r="N2398" s="37" t="str">
        <f>VLOOKUP(D2398, County_Data_CZones!$B$2:$F$3236, 5, FALSE)</f>
        <v>Cold</v>
      </c>
    </row>
    <row r="2399" ht="15.75" customHeight="1">
      <c r="A2399" s="32" t="s">
        <v>1598</v>
      </c>
      <c r="B2399" s="32" t="s">
        <v>1578</v>
      </c>
      <c r="C2399" s="32" t="str">
        <f>vlookup(B2399,State_EMM_RowSums!$A$2:$B$52,2,FALSE)</f>
        <v>SD</v>
      </c>
      <c r="D2399" s="32">
        <v>46073.0</v>
      </c>
      <c r="E2399" s="33">
        <f>IF(NOT(ISBLANK(vlookup($D2399,Pop_Census_2023!$A$2:$E$3220,4,FALSE))),vlookup($D2399,Pop_Census_2023!$A$2:$E$3220,4,FALSE), vlookup($D2399,Pop_Census_2023!$A$2:$E$3220,5,FALSE))</f>
        <v>1660</v>
      </c>
      <c r="F2399" s="32">
        <v>1265778.0</v>
      </c>
      <c r="G2399" s="32">
        <v>38.0</v>
      </c>
      <c r="H2399" s="32" t="str">
        <f>VLOOKUP(D2399, Grid_Region_Mapping!$D$2:$F$5286, 3, FALSE)</f>
        <v>SPPN</v>
      </c>
      <c r="I2399" s="32">
        <v>4.0</v>
      </c>
      <c r="J2399" s="34" t="str">
        <f t="shared" si="1"/>
        <v>Midwest</v>
      </c>
      <c r="K2399" s="35">
        <v>1.0</v>
      </c>
      <c r="L2399" s="35" t="s">
        <v>707</v>
      </c>
      <c r="M2399" s="36">
        <f>VLOOKUP(D2399, County_Data_CZones!$B$2:$F$3236, 2, FALSE)</f>
        <v>6</v>
      </c>
      <c r="N2399" s="37" t="str">
        <f>VLOOKUP(D2399, County_Data_CZones!$B$2:$F$3236, 5, FALSE)</f>
        <v>Cold</v>
      </c>
    </row>
    <row r="2400" ht="15.75" customHeight="1">
      <c r="A2400" s="32" t="s">
        <v>521</v>
      </c>
      <c r="B2400" s="32" t="s">
        <v>1578</v>
      </c>
      <c r="C2400" s="32" t="str">
        <f>vlookup(B2400,State_EMM_RowSums!$A$2:$B$52,2,FALSE)</f>
        <v>SD</v>
      </c>
      <c r="D2400" s="32">
        <v>46075.0</v>
      </c>
      <c r="E2400" s="33">
        <f>IF(NOT(ISBLANK(vlookup($D2400,Pop_Census_2023!$A$2:$E$3220,4,FALSE))),vlookup($D2400,Pop_Census_2023!$A$2:$E$3220,4,FALSE), vlookup($D2400,Pop_Census_2023!$A$2:$E$3220,5,FALSE))</f>
        <v>855</v>
      </c>
      <c r="F2400" s="32">
        <v>1266981.0</v>
      </c>
      <c r="G2400" s="32">
        <v>38.0</v>
      </c>
      <c r="H2400" s="32" t="str">
        <f>VLOOKUP(D2400, Grid_Region_Mapping!$D$2:$F$5286, 3, FALSE)</f>
        <v>SPPN</v>
      </c>
      <c r="I2400" s="32">
        <v>4.0</v>
      </c>
      <c r="J2400" s="34" t="str">
        <f t="shared" si="1"/>
        <v>Midwest</v>
      </c>
      <c r="K2400" s="35">
        <v>1.0</v>
      </c>
      <c r="L2400" s="35" t="s">
        <v>707</v>
      </c>
      <c r="M2400" s="36">
        <f>VLOOKUP(D2400, County_Data_CZones!$B$2:$F$3236, 2, FALSE)</f>
        <v>6</v>
      </c>
      <c r="N2400" s="37" t="str">
        <f>VLOOKUP(D2400, County_Data_CZones!$B$2:$F$3236, 5, FALSE)</f>
        <v>Cold</v>
      </c>
    </row>
    <row r="2401" ht="15.75" customHeight="1">
      <c r="A2401" s="32" t="s">
        <v>1599</v>
      </c>
      <c r="B2401" s="32" t="s">
        <v>1578</v>
      </c>
      <c r="C2401" s="32" t="str">
        <f>vlookup(B2401,State_EMM_RowSums!$A$2:$B$52,2,FALSE)</f>
        <v>SD</v>
      </c>
      <c r="D2401" s="32">
        <v>46077.0</v>
      </c>
      <c r="E2401" s="33">
        <f>IF(NOT(ISBLANK(vlookup($D2401,Pop_Census_2023!$A$2:$E$3220,4,FALSE))),vlookup($D2401,Pop_Census_2023!$A$2:$E$3220,4,FALSE), vlookup($D2401,Pop_Census_2023!$A$2:$E$3220,5,FALSE))</f>
        <v>5276</v>
      </c>
      <c r="F2401" s="32">
        <v>1265780.0</v>
      </c>
      <c r="G2401" s="32">
        <v>38.0</v>
      </c>
      <c r="H2401" s="32" t="str">
        <f>VLOOKUP(D2401, Grid_Region_Mapping!$D$2:$F$5286, 3, FALSE)</f>
        <v>SPPN</v>
      </c>
      <c r="I2401" s="32">
        <v>4.0</v>
      </c>
      <c r="J2401" s="34" t="str">
        <f t="shared" si="1"/>
        <v>Midwest</v>
      </c>
      <c r="K2401" s="35">
        <v>1.0</v>
      </c>
      <c r="L2401" s="35" t="s">
        <v>707</v>
      </c>
      <c r="M2401" s="36">
        <f>VLOOKUP(D2401, County_Data_CZones!$B$2:$F$3236, 2, FALSE)</f>
        <v>6</v>
      </c>
      <c r="N2401" s="37" t="str">
        <f>VLOOKUP(D2401, County_Data_CZones!$B$2:$F$3236, 5, FALSE)</f>
        <v>Cold</v>
      </c>
    </row>
    <row r="2402" ht="15.75" customHeight="1">
      <c r="A2402" s="32" t="s">
        <v>298</v>
      </c>
      <c r="B2402" s="32" t="s">
        <v>1578</v>
      </c>
      <c r="C2402" s="32" t="str">
        <f>vlookup(B2402,State_EMM_RowSums!$A$2:$B$52,2,FALSE)</f>
        <v>SD</v>
      </c>
      <c r="D2402" s="32">
        <v>46079.0</v>
      </c>
      <c r="E2402" s="33">
        <f>IF(NOT(ISBLANK(vlookup($D2402,Pop_Census_2023!$A$2:$E$3220,4,FALSE))),vlookup($D2402,Pop_Census_2023!$A$2:$E$3220,4,FALSE), vlookup($D2402,Pop_Census_2023!$A$2:$E$3220,5,FALSE))</f>
        <v>11031</v>
      </c>
      <c r="F2402" s="32">
        <v>1265776.0</v>
      </c>
      <c r="G2402" s="32">
        <v>38.0</v>
      </c>
      <c r="H2402" s="32" t="str">
        <f>VLOOKUP(D2402, Grid_Region_Mapping!$D$2:$F$5286, 3, FALSE)</f>
        <v>SPPN</v>
      </c>
      <c r="I2402" s="32">
        <v>4.0</v>
      </c>
      <c r="J2402" s="34" t="str">
        <f t="shared" si="1"/>
        <v>Midwest</v>
      </c>
      <c r="K2402" s="35">
        <v>1.0</v>
      </c>
      <c r="L2402" s="35" t="s">
        <v>707</v>
      </c>
      <c r="M2402" s="36">
        <f>VLOOKUP(D2402, County_Data_CZones!$B$2:$F$3236, 2, FALSE)</f>
        <v>6</v>
      </c>
      <c r="N2402" s="37" t="str">
        <f>VLOOKUP(D2402, County_Data_CZones!$B$2:$F$3236, 5, FALSE)</f>
        <v>Cold</v>
      </c>
    </row>
    <row r="2403" ht="15.75" customHeight="1">
      <c r="A2403" s="32" t="s">
        <v>142</v>
      </c>
      <c r="B2403" s="32" t="s">
        <v>1578</v>
      </c>
      <c r="C2403" s="32" t="str">
        <f>vlookup(B2403,State_EMM_RowSums!$A$2:$B$52,2,FALSE)</f>
        <v>SD</v>
      </c>
      <c r="D2403" s="32">
        <v>46081.0</v>
      </c>
      <c r="E2403" s="33">
        <f>IF(NOT(ISBLANK(vlookup($D2403,Pop_Census_2023!$A$2:$E$3220,4,FALSE))),vlookup($D2403,Pop_Census_2023!$A$2:$E$3220,4,FALSE), vlookup($D2403,Pop_Census_2023!$A$2:$E$3220,5,FALSE))</f>
        <v>28053</v>
      </c>
      <c r="F2403" s="32">
        <v>1266996.0</v>
      </c>
      <c r="G2403" s="32">
        <v>32.0</v>
      </c>
      <c r="H2403" s="32" t="str">
        <f>VLOOKUP(D2403, Grid_Region_Mapping!$D$2:$F$5286, 3, FALSE)</f>
        <v>RMRG</v>
      </c>
      <c r="I2403" s="32">
        <v>4.0</v>
      </c>
      <c r="J2403" s="34" t="str">
        <f t="shared" si="1"/>
        <v>Midwest</v>
      </c>
      <c r="K2403" s="35">
        <v>1.0</v>
      </c>
      <c r="L2403" s="35" t="s">
        <v>707</v>
      </c>
      <c r="M2403" s="36">
        <f>VLOOKUP(D2403, County_Data_CZones!$B$2:$F$3236, 2, FALSE)</f>
        <v>6</v>
      </c>
      <c r="N2403" s="37" t="str">
        <f>VLOOKUP(D2403, County_Data_CZones!$B$2:$F$3236, 5, FALSE)</f>
        <v>Cold</v>
      </c>
    </row>
    <row r="2404" ht="15.75" customHeight="1">
      <c r="A2404" s="32" t="s">
        <v>250</v>
      </c>
      <c r="B2404" s="32" t="s">
        <v>1578</v>
      </c>
      <c r="C2404" s="32" t="str">
        <f>vlookup(B2404,State_EMM_RowSums!$A$2:$B$52,2,FALSE)</f>
        <v>SD</v>
      </c>
      <c r="D2404" s="32">
        <v>46083.0</v>
      </c>
      <c r="E2404" s="33">
        <f>IF(NOT(ISBLANK(vlookup($D2404,Pop_Census_2023!$A$2:$E$3220,4,FALSE))),vlookup($D2404,Pop_Census_2023!$A$2:$E$3220,4,FALSE), vlookup($D2404,Pop_Census_2023!$A$2:$E$3220,5,FALSE))</f>
        <v>73238</v>
      </c>
      <c r="F2404" s="32">
        <v>1265769.0</v>
      </c>
      <c r="G2404" s="32">
        <v>38.0</v>
      </c>
      <c r="H2404" s="32" t="str">
        <f>VLOOKUP(D2404, Grid_Region_Mapping!$D$2:$F$5286, 3, FALSE)</f>
        <v>SPPN</v>
      </c>
      <c r="I2404" s="32">
        <v>4.0</v>
      </c>
      <c r="J2404" s="34" t="str">
        <f t="shared" si="1"/>
        <v>Midwest</v>
      </c>
      <c r="K2404" s="35">
        <v>1.0</v>
      </c>
      <c r="L2404" s="35" t="s">
        <v>707</v>
      </c>
      <c r="M2404" s="36">
        <f>VLOOKUP(D2404, County_Data_CZones!$B$2:$F$3236, 2, FALSE)</f>
        <v>6</v>
      </c>
      <c r="N2404" s="37" t="str">
        <f>VLOOKUP(D2404, County_Data_CZones!$B$2:$F$3236, 5, FALSE)</f>
        <v>Cold</v>
      </c>
    </row>
    <row r="2405" ht="15.75" customHeight="1">
      <c r="A2405" s="32" t="s">
        <v>1600</v>
      </c>
      <c r="B2405" s="32" t="s">
        <v>1578</v>
      </c>
      <c r="C2405" s="32" t="str">
        <f>vlookup(B2405,State_EMM_RowSums!$A$2:$B$52,2,FALSE)</f>
        <v>SD</v>
      </c>
      <c r="D2405" s="32">
        <v>46085.0</v>
      </c>
      <c r="E2405" s="33">
        <f>IF(NOT(ISBLANK(vlookup($D2405,Pop_Census_2023!$A$2:$E$3220,4,FALSE))),vlookup($D2405,Pop_Census_2023!$A$2:$E$3220,4,FALSE), vlookup($D2405,Pop_Census_2023!$A$2:$E$3220,5,FALSE))</f>
        <v>3705</v>
      </c>
      <c r="F2405" s="32">
        <v>1265789.0</v>
      </c>
      <c r="G2405" s="32">
        <v>38.0</v>
      </c>
      <c r="H2405" s="32" t="str">
        <f>VLOOKUP(D2405, Grid_Region_Mapping!$D$2:$F$5286, 3, FALSE)</f>
        <v>SPPN</v>
      </c>
      <c r="I2405" s="32">
        <v>4.0</v>
      </c>
      <c r="J2405" s="34" t="str">
        <f t="shared" si="1"/>
        <v>Midwest</v>
      </c>
      <c r="K2405" s="35">
        <v>1.0</v>
      </c>
      <c r="L2405" s="35" t="s">
        <v>707</v>
      </c>
      <c r="M2405" s="36">
        <f>VLOOKUP(D2405, County_Data_CZones!$B$2:$F$3236, 2, FALSE)</f>
        <v>6</v>
      </c>
      <c r="N2405" s="37" t="str">
        <f>VLOOKUP(D2405, County_Data_CZones!$B$2:$F$3236, 5, FALSE)</f>
        <v>Cold</v>
      </c>
    </row>
    <row r="2406" ht="15.75" customHeight="1">
      <c r="A2406" s="32" t="s">
        <v>1601</v>
      </c>
      <c r="B2406" s="32" t="s">
        <v>1578</v>
      </c>
      <c r="C2406" s="32" t="str">
        <f>vlookup(B2406,State_EMM_RowSums!$A$2:$B$52,2,FALSE)</f>
        <v>SD</v>
      </c>
      <c r="D2406" s="32">
        <v>46087.0</v>
      </c>
      <c r="E2406" s="33">
        <f>IF(NOT(ISBLANK(vlookup($D2406,Pop_Census_2023!$A$2:$E$3220,4,FALSE))),vlookup($D2406,Pop_Census_2023!$A$2:$E$3220,4,FALSE), vlookup($D2406,Pop_Census_2023!$A$2:$E$3220,5,FALSE))</f>
        <v>5809</v>
      </c>
      <c r="F2406" s="32">
        <v>1265773.0</v>
      </c>
      <c r="G2406" s="32">
        <v>38.0</v>
      </c>
      <c r="H2406" s="32" t="str">
        <f>VLOOKUP(D2406, Grid_Region_Mapping!$D$2:$F$5286, 3, FALSE)</f>
        <v>SPPN</v>
      </c>
      <c r="I2406" s="32">
        <v>4.0</v>
      </c>
      <c r="J2406" s="34" t="str">
        <f t="shared" si="1"/>
        <v>Midwest</v>
      </c>
      <c r="K2406" s="35">
        <v>1.0</v>
      </c>
      <c r="L2406" s="35" t="s">
        <v>707</v>
      </c>
      <c r="M2406" s="36">
        <f>VLOOKUP(D2406, County_Data_CZones!$B$2:$F$3236, 2, FALSE)</f>
        <v>6</v>
      </c>
      <c r="N2406" s="37" t="str">
        <f>VLOOKUP(D2406, County_Data_CZones!$B$2:$F$3236, 5, FALSE)</f>
        <v>Cold</v>
      </c>
    </row>
    <row r="2407" ht="15.75" customHeight="1">
      <c r="A2407" s="32" t="s">
        <v>782</v>
      </c>
      <c r="B2407" s="32" t="s">
        <v>1578</v>
      </c>
      <c r="C2407" s="32" t="str">
        <f>vlookup(B2407,State_EMM_RowSums!$A$2:$B$52,2,FALSE)</f>
        <v>SD</v>
      </c>
      <c r="D2407" s="32">
        <v>46089.0</v>
      </c>
      <c r="E2407" s="33">
        <f>IF(NOT(ISBLANK(vlookup($D2407,Pop_Census_2023!$A$2:$E$3220,4,FALSE))),vlookup($D2407,Pop_Census_2023!$A$2:$E$3220,4,FALSE), vlookup($D2407,Pop_Census_2023!$A$2:$E$3220,5,FALSE))</f>
        <v>2334</v>
      </c>
      <c r="F2407" s="32">
        <v>1265762.0</v>
      </c>
      <c r="G2407" s="32">
        <v>38.0</v>
      </c>
      <c r="H2407" s="32" t="str">
        <f>VLOOKUP(D2407, Grid_Region_Mapping!$D$2:$F$5286, 3, FALSE)</f>
        <v>SPPN</v>
      </c>
      <c r="I2407" s="32">
        <v>4.0</v>
      </c>
      <c r="J2407" s="34" t="str">
        <f t="shared" si="1"/>
        <v>Midwest</v>
      </c>
      <c r="K2407" s="35">
        <v>1.0</v>
      </c>
      <c r="L2407" s="35" t="s">
        <v>707</v>
      </c>
      <c r="M2407" s="36">
        <f>VLOOKUP(D2407, County_Data_CZones!$B$2:$F$3236, 2, FALSE)</f>
        <v>6</v>
      </c>
      <c r="N2407" s="37" t="str">
        <f>VLOOKUP(D2407, County_Data_CZones!$B$2:$F$3236, 5, FALSE)</f>
        <v>Cold</v>
      </c>
    </row>
    <row r="2408" ht="15.75" customHeight="1">
      <c r="A2408" s="32" t="s">
        <v>150</v>
      </c>
      <c r="B2408" s="32" t="s">
        <v>1578</v>
      </c>
      <c r="C2408" s="32" t="str">
        <f>vlookup(B2408,State_EMM_RowSums!$A$2:$B$52,2,FALSE)</f>
        <v>SD</v>
      </c>
      <c r="D2408" s="32">
        <v>46091.0</v>
      </c>
      <c r="E2408" s="33">
        <f>IF(NOT(ISBLANK(vlookup($D2408,Pop_Census_2023!$A$2:$E$3220,4,FALSE))),vlookup($D2408,Pop_Census_2023!$A$2:$E$3220,4,FALSE), vlookup($D2408,Pop_Census_2023!$A$2:$E$3220,5,FALSE))</f>
        <v>4390</v>
      </c>
      <c r="F2408" s="32">
        <v>1265759.0</v>
      </c>
      <c r="G2408" s="32">
        <v>38.0</v>
      </c>
      <c r="H2408" s="32" t="str">
        <f>VLOOKUP(D2408, Grid_Region_Mapping!$D$2:$F$5286, 3, FALSE)</f>
        <v>SPPN</v>
      </c>
      <c r="I2408" s="32">
        <v>4.0</v>
      </c>
      <c r="J2408" s="34" t="str">
        <f t="shared" si="1"/>
        <v>Midwest</v>
      </c>
      <c r="K2408" s="35">
        <v>1.0</v>
      </c>
      <c r="L2408" s="35" t="s">
        <v>707</v>
      </c>
      <c r="M2408" s="36">
        <f>VLOOKUP(D2408, County_Data_CZones!$B$2:$F$3236, 2, FALSE)</f>
        <v>6</v>
      </c>
      <c r="N2408" s="37" t="str">
        <f>VLOOKUP(D2408, County_Data_CZones!$B$2:$F$3236, 5, FALSE)</f>
        <v>Cold</v>
      </c>
    </row>
    <row r="2409" ht="15.75" customHeight="1">
      <c r="A2409" s="32" t="s">
        <v>783</v>
      </c>
      <c r="B2409" s="32" t="s">
        <v>1578</v>
      </c>
      <c r="C2409" s="32" t="str">
        <f>vlookup(B2409,State_EMM_RowSums!$A$2:$B$52,2,FALSE)</f>
        <v>SD</v>
      </c>
      <c r="D2409" s="32">
        <v>46093.0</v>
      </c>
      <c r="E2409" s="33">
        <f>IF(NOT(ISBLANK(vlookup($D2409,Pop_Census_2023!$A$2:$E$3220,4,FALSE))),vlookup($D2409,Pop_Census_2023!$A$2:$E$3220,4,FALSE), vlookup($D2409,Pop_Census_2023!$A$2:$E$3220,5,FALSE))</f>
        <v>30954</v>
      </c>
      <c r="F2409" s="32">
        <v>1266991.0</v>
      </c>
      <c r="G2409" s="32">
        <v>38.0</v>
      </c>
      <c r="H2409" s="32" t="str">
        <f>VLOOKUP(D2409, Grid_Region_Mapping!$D$2:$F$5286, 3, FALSE)</f>
        <v>SPPN</v>
      </c>
      <c r="I2409" s="32">
        <v>4.0</v>
      </c>
      <c r="J2409" s="34" t="str">
        <f t="shared" si="1"/>
        <v>Midwest</v>
      </c>
      <c r="K2409" s="35">
        <v>1.0</v>
      </c>
      <c r="L2409" s="35" t="s">
        <v>707</v>
      </c>
      <c r="M2409" s="36">
        <f>VLOOKUP(D2409, County_Data_CZones!$B$2:$F$3236, 2, FALSE)</f>
        <v>6</v>
      </c>
      <c r="N2409" s="37" t="str">
        <f>VLOOKUP(D2409, County_Data_CZones!$B$2:$F$3236, 5, FALSE)</f>
        <v>Cold</v>
      </c>
    </row>
    <row r="2410" ht="15.75" customHeight="1">
      <c r="A2410" s="32" t="s">
        <v>1602</v>
      </c>
      <c r="B2410" s="32" t="s">
        <v>1578</v>
      </c>
      <c r="C2410" s="32" t="str">
        <f>vlookup(B2410,State_EMM_RowSums!$A$2:$B$52,2,FALSE)</f>
        <v>SD</v>
      </c>
      <c r="D2410" s="32">
        <v>46095.0</v>
      </c>
      <c r="E2410" s="33">
        <f>IF(NOT(ISBLANK(vlookup($D2410,Pop_Census_2023!$A$2:$E$3220,4,FALSE))),vlookup($D2410,Pop_Census_2023!$A$2:$E$3220,4,FALSE), vlookup($D2410,Pop_Census_2023!$A$2:$E$3220,5,FALSE))</f>
        <v>1851</v>
      </c>
      <c r="F2410" s="32">
        <v>1267177.0</v>
      </c>
      <c r="G2410" s="32">
        <v>38.0</v>
      </c>
      <c r="H2410" s="32" t="str">
        <f>VLOOKUP(D2410, Grid_Region_Mapping!$D$2:$F$5286, 3, FALSE)</f>
        <v>SPPN</v>
      </c>
      <c r="I2410" s="32">
        <v>4.0</v>
      </c>
      <c r="J2410" s="34" t="str">
        <f t="shared" si="1"/>
        <v>Midwest</v>
      </c>
      <c r="K2410" s="35">
        <v>2.0</v>
      </c>
      <c r="L2410" s="35" t="s">
        <v>396</v>
      </c>
      <c r="M2410" s="36">
        <f>VLOOKUP(D2410, County_Data_CZones!$B$2:$F$3236, 2, FALSE)</f>
        <v>5</v>
      </c>
      <c r="N2410" s="37" t="str">
        <f>VLOOKUP(D2410, County_Data_CZones!$B$2:$F$3236, 5, FALSE)</f>
        <v>Cold</v>
      </c>
    </row>
    <row r="2411" ht="15.75" customHeight="1">
      <c r="A2411" s="32" t="s">
        <v>1603</v>
      </c>
      <c r="B2411" s="32" t="s">
        <v>1578</v>
      </c>
      <c r="C2411" s="32" t="str">
        <f>vlookup(B2411,State_EMM_RowSums!$A$2:$B$52,2,FALSE)</f>
        <v>SD</v>
      </c>
      <c r="D2411" s="32">
        <v>46097.0</v>
      </c>
      <c r="E2411" s="33">
        <f>IF(NOT(ISBLANK(vlookup($D2411,Pop_Census_2023!$A$2:$E$3220,4,FALSE))),vlookup($D2411,Pop_Census_2023!$A$2:$E$3220,4,FALSE), vlookup($D2411,Pop_Census_2023!$A$2:$E$3220,5,FALSE))</f>
        <v>2280</v>
      </c>
      <c r="F2411" s="32">
        <v>1265777.0</v>
      </c>
      <c r="G2411" s="32">
        <v>38.0</v>
      </c>
      <c r="H2411" s="32" t="str">
        <f>VLOOKUP(D2411, Grid_Region_Mapping!$D$2:$F$5286, 3, FALSE)</f>
        <v>SPPN</v>
      </c>
      <c r="I2411" s="32">
        <v>4.0</v>
      </c>
      <c r="J2411" s="34" t="str">
        <f t="shared" si="1"/>
        <v>Midwest</v>
      </c>
      <c r="K2411" s="35">
        <v>1.0</v>
      </c>
      <c r="L2411" s="35" t="s">
        <v>707</v>
      </c>
      <c r="M2411" s="36">
        <f>VLOOKUP(D2411, County_Data_CZones!$B$2:$F$3236, 2, FALSE)</f>
        <v>6</v>
      </c>
      <c r="N2411" s="37" t="str">
        <f>VLOOKUP(D2411, County_Data_CZones!$B$2:$F$3236, 5, FALSE)</f>
        <v>Cold</v>
      </c>
    </row>
    <row r="2412" ht="15.75" customHeight="1">
      <c r="A2412" s="32" t="s">
        <v>1604</v>
      </c>
      <c r="B2412" s="32" t="s">
        <v>1578</v>
      </c>
      <c r="C2412" s="32" t="str">
        <f>vlookup(B2412,State_EMM_RowSums!$A$2:$B$52,2,FALSE)</f>
        <v>SD</v>
      </c>
      <c r="D2412" s="32">
        <v>46099.0</v>
      </c>
      <c r="E2412" s="33">
        <f>IF(NOT(ISBLANK(vlookup($D2412,Pop_Census_2023!$A$2:$E$3220,4,FALSE))),vlookup($D2412,Pop_Census_2023!$A$2:$E$3220,4,FALSE), vlookup($D2412,Pop_Census_2023!$A$2:$E$3220,5,FALSE))</f>
        <v>206930</v>
      </c>
      <c r="F2412" s="32">
        <v>1265772.0</v>
      </c>
      <c r="G2412" s="32">
        <v>38.0</v>
      </c>
      <c r="H2412" s="32" t="str">
        <f>VLOOKUP(D2412, Grid_Region_Mapping!$D$2:$F$5286, 3, FALSE)</f>
        <v>SPPN</v>
      </c>
      <c r="I2412" s="32">
        <v>4.0</v>
      </c>
      <c r="J2412" s="34" t="str">
        <f t="shared" si="1"/>
        <v>Midwest</v>
      </c>
      <c r="K2412" s="35">
        <v>1.0</v>
      </c>
      <c r="L2412" s="35" t="s">
        <v>707</v>
      </c>
      <c r="M2412" s="36">
        <f>VLOOKUP(D2412, County_Data_CZones!$B$2:$F$3236, 2, FALSE)</f>
        <v>6</v>
      </c>
      <c r="N2412" s="37" t="str">
        <f>VLOOKUP(D2412, County_Data_CZones!$B$2:$F$3236, 5, FALSE)</f>
        <v>Cold</v>
      </c>
    </row>
    <row r="2413" ht="15.75" customHeight="1">
      <c r="A2413" s="32" t="s">
        <v>1605</v>
      </c>
      <c r="B2413" s="32" t="s">
        <v>1578</v>
      </c>
      <c r="C2413" s="32" t="str">
        <f>vlookup(B2413,State_EMM_RowSums!$A$2:$B$52,2,FALSE)</f>
        <v>SD</v>
      </c>
      <c r="D2413" s="32">
        <v>46101.0</v>
      </c>
      <c r="E2413" s="33">
        <f>IF(NOT(ISBLANK(vlookup($D2413,Pop_Census_2023!$A$2:$E$3220,4,FALSE))),vlookup($D2413,Pop_Census_2023!$A$2:$E$3220,4,FALSE), vlookup($D2413,Pop_Census_2023!$A$2:$E$3220,5,FALSE))</f>
        <v>6450</v>
      </c>
      <c r="F2413" s="32">
        <v>1265775.0</v>
      </c>
      <c r="G2413" s="32">
        <v>38.0</v>
      </c>
      <c r="H2413" s="32" t="str">
        <f>VLOOKUP(D2413, Grid_Region_Mapping!$D$2:$F$5286, 3, FALSE)</f>
        <v>SPPN</v>
      </c>
      <c r="I2413" s="32">
        <v>4.0</v>
      </c>
      <c r="J2413" s="34" t="str">
        <f t="shared" si="1"/>
        <v>Midwest</v>
      </c>
      <c r="K2413" s="35">
        <v>1.0</v>
      </c>
      <c r="L2413" s="35" t="s">
        <v>707</v>
      </c>
      <c r="M2413" s="36">
        <f>VLOOKUP(D2413, County_Data_CZones!$B$2:$F$3236, 2, FALSE)</f>
        <v>6</v>
      </c>
      <c r="N2413" s="37" t="str">
        <f>VLOOKUP(D2413, County_Data_CZones!$B$2:$F$3236, 5, FALSE)</f>
        <v>Cold</v>
      </c>
    </row>
    <row r="2414" ht="15.75" customHeight="1">
      <c r="A2414" s="32" t="s">
        <v>1606</v>
      </c>
      <c r="B2414" s="32" t="s">
        <v>1578</v>
      </c>
      <c r="C2414" s="32" t="str">
        <f>vlookup(B2414,State_EMM_RowSums!$A$2:$B$52,2,FALSE)</f>
        <v>SD</v>
      </c>
      <c r="D2414" s="32">
        <v>46102.0</v>
      </c>
      <c r="E2414" s="33">
        <f>IF(NOT(ISBLANK(vlookup($D2414,Pop_Census_2023!$A$2:$E$3220,4,FALSE))),vlookup($D2414,Pop_Census_2023!$A$2:$E$3220,4,FALSE), vlookup($D2414,Pop_Census_2023!$A$2:$E$3220,5,FALSE))</f>
        <v>13434</v>
      </c>
      <c r="F2414" s="32">
        <v>1266992.0</v>
      </c>
      <c r="G2414" s="32">
        <v>38.0</v>
      </c>
      <c r="H2414" s="32" t="str">
        <f>VLOOKUP(D2414, Grid_Region_Mapping!$D$2:$F$5286, 3, FALSE)</f>
        <v>SPPN</v>
      </c>
      <c r="I2414" s="32">
        <v>4.0</v>
      </c>
      <c r="J2414" s="34" t="str">
        <f t="shared" si="1"/>
        <v>Midwest</v>
      </c>
      <c r="K2414" s="35">
        <v>1.0</v>
      </c>
      <c r="L2414" s="35" t="s">
        <v>707</v>
      </c>
      <c r="M2414" s="36">
        <f>VLOOKUP(D2414, County_Data_CZones!$B$2:$F$3236, 2, FALSE)</f>
        <v>6</v>
      </c>
      <c r="N2414" s="37" t="str">
        <f>VLOOKUP(D2414, County_Data_CZones!$B$2:$F$3236, 5, FALSE)</f>
        <v>Cold</v>
      </c>
    </row>
    <row r="2415" ht="15.75" customHeight="1">
      <c r="A2415" s="32" t="s">
        <v>1064</v>
      </c>
      <c r="B2415" s="32" t="s">
        <v>1578</v>
      </c>
      <c r="C2415" s="32" t="str">
        <f>vlookup(B2415,State_EMM_RowSums!$A$2:$B$52,2,FALSE)</f>
        <v>SD</v>
      </c>
      <c r="D2415" s="32">
        <v>46103.0</v>
      </c>
      <c r="E2415" s="33">
        <f>IF(NOT(ISBLANK(vlookup($D2415,Pop_Census_2023!$A$2:$E$3220,4,FALSE))),vlookup($D2415,Pop_Census_2023!$A$2:$E$3220,4,FALSE), vlookup($D2415,Pop_Census_2023!$A$2:$E$3220,5,FALSE))</f>
        <v>115903</v>
      </c>
      <c r="F2415" s="32">
        <v>1266995.0</v>
      </c>
      <c r="G2415" s="32">
        <v>32.0</v>
      </c>
      <c r="H2415" s="32" t="str">
        <f>VLOOKUP(D2415, Grid_Region_Mapping!$D$2:$F$5286, 3, FALSE)</f>
        <v>SPPN</v>
      </c>
      <c r="I2415" s="32">
        <v>4.0</v>
      </c>
      <c r="J2415" s="34" t="str">
        <f t="shared" si="1"/>
        <v>Midwest</v>
      </c>
      <c r="K2415" s="35">
        <v>1.0</v>
      </c>
      <c r="L2415" s="35" t="s">
        <v>707</v>
      </c>
      <c r="M2415" s="36">
        <f>VLOOKUP(D2415, County_Data_CZones!$B$2:$F$3236, 2, FALSE)</f>
        <v>6</v>
      </c>
      <c r="N2415" s="37" t="str">
        <f>VLOOKUP(D2415, County_Data_CZones!$B$2:$F$3236, 5, FALSE)</f>
        <v>Cold</v>
      </c>
    </row>
    <row r="2416" ht="15.75" customHeight="1">
      <c r="A2416" s="32" t="s">
        <v>1231</v>
      </c>
      <c r="B2416" s="32" t="s">
        <v>1578</v>
      </c>
      <c r="C2416" s="32" t="str">
        <f>vlookup(B2416,State_EMM_RowSums!$A$2:$B$52,2,FALSE)</f>
        <v>SD</v>
      </c>
      <c r="D2416" s="32">
        <v>46105.0</v>
      </c>
      <c r="E2416" s="33">
        <f>IF(NOT(ISBLANK(vlookup($D2416,Pop_Census_2023!$A$2:$E$3220,4,FALSE))),vlookup($D2416,Pop_Census_2023!$A$2:$E$3220,4,FALSE), vlookup($D2416,Pop_Census_2023!$A$2:$E$3220,5,FALSE))</f>
        <v>2834</v>
      </c>
      <c r="F2416" s="32">
        <v>1266990.0</v>
      </c>
      <c r="G2416" s="32">
        <v>38.0</v>
      </c>
      <c r="H2416" s="32" t="str">
        <f>VLOOKUP(D2416, Grid_Region_Mapping!$D$2:$F$5286, 3, FALSE)</f>
        <v>SPPN</v>
      </c>
      <c r="I2416" s="32">
        <v>4.0</v>
      </c>
      <c r="J2416" s="34" t="str">
        <f t="shared" si="1"/>
        <v>Midwest</v>
      </c>
      <c r="K2416" s="35">
        <v>1.0</v>
      </c>
      <c r="L2416" s="35" t="s">
        <v>707</v>
      </c>
      <c r="M2416" s="36">
        <f>VLOOKUP(D2416, County_Data_CZones!$B$2:$F$3236, 2, FALSE)</f>
        <v>6</v>
      </c>
      <c r="N2416" s="37" t="str">
        <f>VLOOKUP(D2416, County_Data_CZones!$B$2:$F$3236, 5, FALSE)</f>
        <v>Cold</v>
      </c>
    </row>
    <row r="2417" ht="15.75" customHeight="1">
      <c r="A2417" s="32" t="s">
        <v>1540</v>
      </c>
      <c r="B2417" s="32" t="s">
        <v>1578</v>
      </c>
      <c r="C2417" s="32" t="str">
        <f>vlookup(B2417,State_EMM_RowSums!$A$2:$B$52,2,FALSE)</f>
        <v>SD</v>
      </c>
      <c r="D2417" s="32">
        <v>46107.0</v>
      </c>
      <c r="E2417" s="33">
        <f>IF(NOT(ISBLANK(vlookup($D2417,Pop_Census_2023!$A$2:$E$3220,4,FALSE))),vlookup($D2417,Pop_Census_2023!$A$2:$E$3220,4,FALSE), vlookup($D2417,Pop_Census_2023!$A$2:$E$3220,5,FALSE))</f>
        <v>2413</v>
      </c>
      <c r="F2417" s="32">
        <v>1265761.0</v>
      </c>
      <c r="G2417" s="32">
        <v>38.0</v>
      </c>
      <c r="H2417" s="32" t="str">
        <f>VLOOKUP(D2417, Grid_Region_Mapping!$D$2:$F$5286, 3, FALSE)</f>
        <v>SPPN</v>
      </c>
      <c r="I2417" s="32">
        <v>4.0</v>
      </c>
      <c r="J2417" s="34" t="str">
        <f t="shared" si="1"/>
        <v>Midwest</v>
      </c>
      <c r="K2417" s="35">
        <v>1.0</v>
      </c>
      <c r="L2417" s="35" t="s">
        <v>707</v>
      </c>
      <c r="M2417" s="36">
        <f>VLOOKUP(D2417, County_Data_CZones!$B$2:$F$3236, 2, FALSE)</f>
        <v>6</v>
      </c>
      <c r="N2417" s="37" t="str">
        <f>VLOOKUP(D2417, County_Data_CZones!$B$2:$F$3236, 5, FALSE)</f>
        <v>Cold</v>
      </c>
    </row>
    <row r="2418" ht="15.75" customHeight="1">
      <c r="A2418" s="32" t="s">
        <v>1607</v>
      </c>
      <c r="B2418" s="32" t="s">
        <v>1578</v>
      </c>
      <c r="C2418" s="32" t="str">
        <f>vlookup(B2418,State_EMM_RowSums!$A$2:$B$52,2,FALSE)</f>
        <v>SD</v>
      </c>
      <c r="D2418" s="32">
        <v>46109.0</v>
      </c>
      <c r="E2418" s="33">
        <f>IF(NOT(ISBLANK(vlookup($D2418,Pop_Census_2023!$A$2:$E$3220,4,FALSE))),vlookup($D2418,Pop_Census_2023!$A$2:$E$3220,4,FALSE), vlookup($D2418,Pop_Census_2023!$A$2:$E$3220,5,FALSE))</f>
        <v>10206</v>
      </c>
      <c r="F2418" s="32">
        <v>1265786.0</v>
      </c>
      <c r="G2418" s="32">
        <v>38.0</v>
      </c>
      <c r="H2418" s="32" t="str">
        <f>VLOOKUP(D2418, Grid_Region_Mapping!$D$2:$F$5286, 3, FALSE)</f>
        <v>SPPN</v>
      </c>
      <c r="I2418" s="32">
        <v>4.0</v>
      </c>
      <c r="J2418" s="34" t="str">
        <f t="shared" si="1"/>
        <v>Midwest</v>
      </c>
      <c r="K2418" s="35">
        <v>1.0</v>
      </c>
      <c r="L2418" s="35" t="s">
        <v>707</v>
      </c>
      <c r="M2418" s="36">
        <f>VLOOKUP(D2418, County_Data_CZones!$B$2:$F$3236, 2, FALSE)</f>
        <v>6</v>
      </c>
      <c r="N2418" s="37" t="str">
        <f>VLOOKUP(D2418, County_Data_CZones!$B$2:$F$3236, 5, FALSE)</f>
        <v>Cold</v>
      </c>
    </row>
    <row r="2419" ht="15.75" customHeight="1">
      <c r="A2419" s="32" t="s">
        <v>1608</v>
      </c>
      <c r="B2419" s="32" t="s">
        <v>1578</v>
      </c>
      <c r="C2419" s="32" t="str">
        <f>vlookup(B2419,State_EMM_RowSums!$A$2:$B$52,2,FALSE)</f>
        <v>SD</v>
      </c>
      <c r="D2419" s="32">
        <v>46111.0</v>
      </c>
      <c r="E2419" s="33">
        <f>IF(NOT(ISBLANK(vlookup($D2419,Pop_Census_2023!$A$2:$E$3220,4,FALSE))),vlookup($D2419,Pop_Census_2023!$A$2:$E$3220,4,FALSE), vlookup($D2419,Pop_Census_2023!$A$2:$E$3220,5,FALSE))</f>
        <v>2399</v>
      </c>
      <c r="F2419" s="32">
        <v>1266977.0</v>
      </c>
      <c r="G2419" s="32">
        <v>38.0</v>
      </c>
      <c r="H2419" s="32" t="str">
        <f>VLOOKUP(D2419, Grid_Region_Mapping!$D$2:$F$5286, 3, FALSE)</f>
        <v>SPPN</v>
      </c>
      <c r="I2419" s="32">
        <v>4.0</v>
      </c>
      <c r="J2419" s="34" t="str">
        <f t="shared" si="1"/>
        <v>Midwest</v>
      </c>
      <c r="K2419" s="35">
        <v>1.0</v>
      </c>
      <c r="L2419" s="35" t="s">
        <v>707</v>
      </c>
      <c r="M2419" s="36">
        <f>VLOOKUP(D2419, County_Data_CZones!$B$2:$F$3236, 2, FALSE)</f>
        <v>6</v>
      </c>
      <c r="N2419" s="37" t="str">
        <f>VLOOKUP(D2419, County_Data_CZones!$B$2:$F$3236, 5, FALSE)</f>
        <v>Cold</v>
      </c>
    </row>
    <row r="2420" ht="15.75" customHeight="1">
      <c r="A2420" s="32" t="s">
        <v>1609</v>
      </c>
      <c r="B2420" s="32" t="s">
        <v>1578</v>
      </c>
      <c r="C2420" s="32" t="str">
        <f>vlookup(B2420,State_EMM_RowSums!$A$2:$B$52,2,FALSE)</f>
        <v>SD</v>
      </c>
      <c r="D2420" s="32">
        <v>46115.0</v>
      </c>
      <c r="E2420" s="33">
        <f>IF(NOT(ISBLANK(vlookup($D2420,Pop_Census_2023!$A$2:$E$3220,4,FALSE))),vlookup($D2420,Pop_Census_2023!$A$2:$E$3220,4,FALSE), vlookup($D2420,Pop_Census_2023!$A$2:$E$3220,5,FALSE))</f>
        <v>6166</v>
      </c>
      <c r="F2420" s="32">
        <v>1266987.0</v>
      </c>
      <c r="G2420" s="32">
        <v>38.0</v>
      </c>
      <c r="H2420" s="32" t="str">
        <f>VLOOKUP(D2420, Grid_Region_Mapping!$D$2:$F$5286, 3, FALSE)</f>
        <v>SPPN</v>
      </c>
      <c r="I2420" s="32">
        <v>4.0</v>
      </c>
      <c r="J2420" s="34" t="str">
        <f t="shared" si="1"/>
        <v>Midwest</v>
      </c>
      <c r="K2420" s="35">
        <v>1.0</v>
      </c>
      <c r="L2420" s="35" t="s">
        <v>707</v>
      </c>
      <c r="M2420" s="36">
        <f>VLOOKUP(D2420, County_Data_CZones!$B$2:$F$3236, 2, FALSE)</f>
        <v>6</v>
      </c>
      <c r="N2420" s="37" t="str">
        <f>VLOOKUP(D2420, County_Data_CZones!$B$2:$F$3236, 5, FALSE)</f>
        <v>Cold</v>
      </c>
    </row>
    <row r="2421" ht="15.75" customHeight="1">
      <c r="A2421" s="32" t="s">
        <v>1610</v>
      </c>
      <c r="B2421" s="32" t="s">
        <v>1578</v>
      </c>
      <c r="C2421" s="32" t="str">
        <f>vlookup(B2421,State_EMM_RowSums!$A$2:$B$52,2,FALSE)</f>
        <v>SD</v>
      </c>
      <c r="D2421" s="32">
        <v>46117.0</v>
      </c>
      <c r="E2421" s="33">
        <f>IF(NOT(ISBLANK(vlookup($D2421,Pop_Census_2023!$A$2:$E$3220,4,FALSE))),vlookup($D2421,Pop_Census_2023!$A$2:$E$3220,4,FALSE), vlookup($D2421,Pop_Census_2023!$A$2:$E$3220,5,FALSE))</f>
        <v>3043</v>
      </c>
      <c r="F2421" s="32">
        <v>1266998.0</v>
      </c>
      <c r="G2421" s="32">
        <v>38.0</v>
      </c>
      <c r="H2421" s="32" t="str">
        <f>VLOOKUP(D2421, Grid_Region_Mapping!$D$2:$F$5286, 3, FALSE)</f>
        <v>SPPN</v>
      </c>
      <c r="I2421" s="32">
        <v>4.0</v>
      </c>
      <c r="J2421" s="34" t="str">
        <f t="shared" si="1"/>
        <v>Midwest</v>
      </c>
      <c r="K2421" s="35">
        <v>1.0</v>
      </c>
      <c r="L2421" s="35" t="s">
        <v>707</v>
      </c>
      <c r="M2421" s="36">
        <f>VLOOKUP(D2421, County_Data_CZones!$B$2:$F$3236, 2, FALSE)</f>
        <v>6</v>
      </c>
      <c r="N2421" s="37" t="str">
        <f>VLOOKUP(D2421, County_Data_CZones!$B$2:$F$3236, 5, FALSE)</f>
        <v>Cold</v>
      </c>
    </row>
    <row r="2422" ht="15.75" customHeight="1">
      <c r="A2422" s="32" t="s">
        <v>1611</v>
      </c>
      <c r="B2422" s="32" t="s">
        <v>1578</v>
      </c>
      <c r="C2422" s="32" t="str">
        <f>vlookup(B2422,State_EMM_RowSums!$A$2:$B$52,2,FALSE)</f>
        <v>SD</v>
      </c>
      <c r="D2422" s="32">
        <v>46119.0</v>
      </c>
      <c r="E2422" s="33">
        <f>IF(NOT(ISBLANK(vlookup($D2422,Pop_Census_2023!$A$2:$E$3220,4,FALSE))),vlookup($D2422,Pop_Census_2023!$A$2:$E$3220,4,FALSE), vlookup($D2422,Pop_Census_2023!$A$2:$E$3220,5,FALSE))</f>
        <v>1494</v>
      </c>
      <c r="F2422" s="32">
        <v>1266982.0</v>
      </c>
      <c r="G2422" s="32">
        <v>38.0</v>
      </c>
      <c r="H2422" s="32" t="str">
        <f>VLOOKUP(D2422, Grid_Region_Mapping!$D$2:$F$5286, 3, FALSE)</f>
        <v>SPPN</v>
      </c>
      <c r="I2422" s="32">
        <v>4.0</v>
      </c>
      <c r="J2422" s="34" t="str">
        <f t="shared" si="1"/>
        <v>Midwest</v>
      </c>
      <c r="K2422" s="35">
        <v>1.0</v>
      </c>
      <c r="L2422" s="35" t="s">
        <v>707</v>
      </c>
      <c r="M2422" s="36">
        <f>VLOOKUP(D2422, County_Data_CZones!$B$2:$F$3236, 2, FALSE)</f>
        <v>6</v>
      </c>
      <c r="N2422" s="37" t="str">
        <f>VLOOKUP(D2422, County_Data_CZones!$B$2:$F$3236, 5, FALSE)</f>
        <v>Cold</v>
      </c>
    </row>
    <row r="2423" ht="15.75" customHeight="1">
      <c r="A2423" s="32" t="s">
        <v>870</v>
      </c>
      <c r="B2423" s="32" t="s">
        <v>1578</v>
      </c>
      <c r="C2423" s="32" t="str">
        <f>vlookup(B2423,State_EMM_RowSums!$A$2:$B$52,2,FALSE)</f>
        <v>SD</v>
      </c>
      <c r="D2423" s="32">
        <v>46121.0</v>
      </c>
      <c r="E2423" s="33">
        <f>IF(NOT(ISBLANK(vlookup($D2423,Pop_Census_2023!$A$2:$E$3220,4,FALSE))),vlookup($D2423,Pop_Census_2023!$A$2:$E$3220,4,FALSE), vlookup($D2423,Pop_Census_2023!$A$2:$E$3220,5,FALSE))</f>
        <v>9199</v>
      </c>
      <c r="F2423" s="32">
        <v>1266989.0</v>
      </c>
      <c r="G2423" s="32">
        <v>38.0</v>
      </c>
      <c r="H2423" s="32" t="str">
        <f>VLOOKUP(D2423, Grid_Region_Mapping!$D$2:$F$5286, 3, FALSE)</f>
        <v>SPPN</v>
      </c>
      <c r="I2423" s="32">
        <v>4.0</v>
      </c>
      <c r="J2423" s="34" t="str">
        <f t="shared" si="1"/>
        <v>Midwest</v>
      </c>
      <c r="K2423" s="35">
        <v>2.0</v>
      </c>
      <c r="L2423" s="35" t="s">
        <v>396</v>
      </c>
      <c r="M2423" s="36">
        <f>VLOOKUP(D2423, County_Data_CZones!$B$2:$F$3236, 2, FALSE)</f>
        <v>5</v>
      </c>
      <c r="N2423" s="37" t="str">
        <f>VLOOKUP(D2423, County_Data_CZones!$B$2:$F$3236, 5, FALSE)</f>
        <v>Cold</v>
      </c>
    </row>
    <row r="2424" ht="15.75" customHeight="1">
      <c r="A2424" s="32" t="s">
        <v>1612</v>
      </c>
      <c r="B2424" s="32" t="s">
        <v>1578</v>
      </c>
      <c r="C2424" s="32" t="str">
        <f>vlookup(B2424,State_EMM_RowSums!$A$2:$B$52,2,FALSE)</f>
        <v>SD</v>
      </c>
      <c r="D2424" s="32">
        <v>46123.0</v>
      </c>
      <c r="E2424" s="33">
        <f>IF(NOT(ISBLANK(vlookup($D2424,Pop_Census_2023!$A$2:$E$3220,4,FALSE))),vlookup($D2424,Pop_Census_2023!$A$2:$E$3220,4,FALSE), vlookup($D2424,Pop_Census_2023!$A$2:$E$3220,5,FALSE))</f>
        <v>5621</v>
      </c>
      <c r="F2424" s="32">
        <v>1265784.0</v>
      </c>
      <c r="G2424" s="32">
        <v>38.0</v>
      </c>
      <c r="H2424" s="32" t="str">
        <f>VLOOKUP(D2424, Grid_Region_Mapping!$D$2:$F$5286, 3, FALSE)</f>
        <v>SPPN</v>
      </c>
      <c r="I2424" s="32">
        <v>4.0</v>
      </c>
      <c r="J2424" s="34" t="str">
        <f t="shared" si="1"/>
        <v>Midwest</v>
      </c>
      <c r="K2424" s="35">
        <v>2.0</v>
      </c>
      <c r="L2424" s="35" t="s">
        <v>396</v>
      </c>
      <c r="M2424" s="36">
        <f>VLOOKUP(D2424, County_Data_CZones!$B$2:$F$3236, 2, FALSE)</f>
        <v>5</v>
      </c>
      <c r="N2424" s="37" t="str">
        <f>VLOOKUP(D2424, County_Data_CZones!$B$2:$F$3236, 5, FALSE)</f>
        <v>Cold</v>
      </c>
    </row>
    <row r="2425" ht="15.75" customHeight="1">
      <c r="A2425" s="32" t="s">
        <v>557</v>
      </c>
      <c r="B2425" s="32" t="s">
        <v>1578</v>
      </c>
      <c r="C2425" s="32" t="str">
        <f>vlookup(B2425,State_EMM_RowSums!$A$2:$B$52,2,FALSE)</f>
        <v>SD</v>
      </c>
      <c r="D2425" s="32">
        <v>46125.0</v>
      </c>
      <c r="E2425" s="33">
        <f>IF(NOT(ISBLANK(vlookup($D2425,Pop_Census_2023!$A$2:$E$3220,4,FALSE))),vlookup($D2425,Pop_Census_2023!$A$2:$E$3220,4,FALSE), vlookup($D2425,Pop_Census_2023!$A$2:$E$3220,5,FALSE))</f>
        <v>9027</v>
      </c>
      <c r="F2425" s="32">
        <v>1265770.0</v>
      </c>
      <c r="G2425" s="32">
        <v>38.0</v>
      </c>
      <c r="H2425" s="32" t="str">
        <f>VLOOKUP(D2425, Grid_Region_Mapping!$D$2:$F$5286, 3, FALSE)</f>
        <v>SPPN</v>
      </c>
      <c r="I2425" s="32">
        <v>4.0</v>
      </c>
      <c r="J2425" s="34" t="str">
        <f t="shared" si="1"/>
        <v>Midwest</v>
      </c>
      <c r="K2425" s="35">
        <v>1.0</v>
      </c>
      <c r="L2425" s="35" t="s">
        <v>707</v>
      </c>
      <c r="M2425" s="36">
        <f>VLOOKUP(D2425, County_Data_CZones!$B$2:$F$3236, 2, FALSE)</f>
        <v>6</v>
      </c>
      <c r="N2425" s="37" t="str">
        <f>VLOOKUP(D2425, County_Data_CZones!$B$2:$F$3236, 5, FALSE)</f>
        <v>Cold</v>
      </c>
    </row>
    <row r="2426" ht="15.75" customHeight="1">
      <c r="A2426" s="32" t="s">
        <v>273</v>
      </c>
      <c r="B2426" s="32" t="s">
        <v>1578</v>
      </c>
      <c r="C2426" s="32" t="str">
        <f>vlookup(B2426,State_EMM_RowSums!$A$2:$B$52,2,FALSE)</f>
        <v>SD</v>
      </c>
      <c r="D2426" s="32">
        <v>46127.0</v>
      </c>
      <c r="E2426" s="33">
        <f>IF(NOT(ISBLANK(vlookup($D2426,Pop_Census_2023!$A$2:$E$3220,4,FALSE))),vlookup($D2426,Pop_Census_2023!$A$2:$E$3220,4,FALSE), vlookup($D2426,Pop_Census_2023!$A$2:$E$3220,5,FALSE))</f>
        <v>17183</v>
      </c>
      <c r="F2426" s="32">
        <v>1265763.0</v>
      </c>
      <c r="G2426" s="32">
        <v>38.0</v>
      </c>
      <c r="H2426" s="32" t="str">
        <f>VLOOKUP(D2426, Grid_Region_Mapping!$D$2:$F$5286, 3, FALSE)</f>
        <v>SPPN</v>
      </c>
      <c r="I2426" s="32">
        <v>4.0</v>
      </c>
      <c r="J2426" s="34" t="str">
        <f t="shared" si="1"/>
        <v>Midwest</v>
      </c>
      <c r="K2426" s="35">
        <v>2.0</v>
      </c>
      <c r="L2426" s="35" t="s">
        <v>396</v>
      </c>
      <c r="M2426" s="36">
        <f>VLOOKUP(D2426, County_Data_CZones!$B$2:$F$3236, 2, FALSE)</f>
        <v>5</v>
      </c>
      <c r="N2426" s="37" t="str">
        <f>VLOOKUP(D2426, County_Data_CZones!$B$2:$F$3236, 5, FALSE)</f>
        <v>Cold</v>
      </c>
    </row>
    <row r="2427" ht="15.75" customHeight="1">
      <c r="A2427" s="32" t="s">
        <v>1613</v>
      </c>
      <c r="B2427" s="32" t="s">
        <v>1578</v>
      </c>
      <c r="C2427" s="32" t="str">
        <f>vlookup(B2427,State_EMM_RowSums!$A$2:$B$52,2,FALSE)</f>
        <v>SD</v>
      </c>
      <c r="D2427" s="32">
        <v>46129.0</v>
      </c>
      <c r="E2427" s="33">
        <f>IF(NOT(ISBLANK(vlookup($D2427,Pop_Census_2023!$A$2:$E$3220,4,FALSE))),vlookup($D2427,Pop_Census_2023!$A$2:$E$3220,4,FALSE), vlookup($D2427,Pop_Census_2023!$A$2:$E$3220,5,FALSE))</f>
        <v>5269</v>
      </c>
      <c r="F2427" s="32">
        <v>1266973.0</v>
      </c>
      <c r="G2427" s="32">
        <v>38.0</v>
      </c>
      <c r="H2427" s="32" t="str">
        <f>VLOOKUP(D2427, Grid_Region_Mapping!$D$2:$F$5286, 3, FALSE)</f>
        <v>SPPN</v>
      </c>
      <c r="I2427" s="32">
        <v>4.0</v>
      </c>
      <c r="J2427" s="34" t="str">
        <f t="shared" si="1"/>
        <v>Midwest</v>
      </c>
      <c r="K2427" s="35">
        <v>1.0</v>
      </c>
      <c r="L2427" s="35" t="s">
        <v>707</v>
      </c>
      <c r="M2427" s="36">
        <f>VLOOKUP(D2427, County_Data_CZones!$B$2:$F$3236, 2, FALSE)</f>
        <v>6</v>
      </c>
      <c r="N2427" s="37" t="str">
        <f>VLOOKUP(D2427, County_Data_CZones!$B$2:$F$3236, 5, FALSE)</f>
        <v>Cold</v>
      </c>
    </row>
    <row r="2428" ht="15.75" customHeight="1">
      <c r="A2428" s="32" t="s">
        <v>1614</v>
      </c>
      <c r="B2428" s="32" t="s">
        <v>1578</v>
      </c>
      <c r="C2428" s="32" t="str">
        <f>vlookup(B2428,State_EMM_RowSums!$A$2:$B$52,2,FALSE)</f>
        <v>SD</v>
      </c>
      <c r="D2428" s="32">
        <v>46135.0</v>
      </c>
      <c r="E2428" s="33">
        <f>IF(NOT(ISBLANK(vlookup($D2428,Pop_Census_2023!$A$2:$E$3220,4,FALSE))),vlookup($D2428,Pop_Census_2023!$A$2:$E$3220,4,FALSE), vlookup($D2428,Pop_Census_2023!$A$2:$E$3220,5,FALSE))</f>
        <v>23517</v>
      </c>
      <c r="F2428" s="32">
        <v>1266975.0</v>
      </c>
      <c r="G2428" s="32">
        <v>38.0</v>
      </c>
      <c r="H2428" s="32" t="str">
        <f>VLOOKUP(D2428, Grid_Region_Mapping!$D$2:$F$5286, 3, FALSE)</f>
        <v>SPPN</v>
      </c>
      <c r="I2428" s="32">
        <v>4.0</v>
      </c>
      <c r="J2428" s="34" t="str">
        <f t="shared" si="1"/>
        <v>Midwest</v>
      </c>
      <c r="K2428" s="35">
        <v>2.0</v>
      </c>
      <c r="L2428" s="35" t="s">
        <v>396</v>
      </c>
      <c r="M2428" s="36">
        <f>VLOOKUP(D2428, County_Data_CZones!$B$2:$F$3236, 2, FALSE)</f>
        <v>5</v>
      </c>
      <c r="N2428" s="37" t="str">
        <f>VLOOKUP(D2428, County_Data_CZones!$B$2:$F$3236, 5, FALSE)</f>
        <v>Cold</v>
      </c>
    </row>
    <row r="2429" ht="15.75" customHeight="1">
      <c r="A2429" s="32" t="s">
        <v>1615</v>
      </c>
      <c r="B2429" s="32" t="s">
        <v>1578</v>
      </c>
      <c r="C2429" s="32" t="str">
        <f>vlookup(B2429,State_EMM_RowSums!$A$2:$B$52,2,FALSE)</f>
        <v>SD</v>
      </c>
      <c r="D2429" s="32">
        <v>46137.0</v>
      </c>
      <c r="E2429" s="33">
        <f>IF(NOT(ISBLANK(vlookup($D2429,Pop_Census_2023!$A$2:$E$3220,4,FALSE))),vlookup($D2429,Pop_Census_2023!$A$2:$E$3220,4,FALSE), vlookup($D2429,Pop_Census_2023!$A$2:$E$3220,5,FALSE))</f>
        <v>2322</v>
      </c>
      <c r="F2429" s="32">
        <v>1266993.0</v>
      </c>
      <c r="G2429" s="32">
        <v>38.0</v>
      </c>
      <c r="H2429" s="32" t="str">
        <f>VLOOKUP(D2429, Grid_Region_Mapping!$D$2:$F$5286, 3, FALSE)</f>
        <v>SPPN</v>
      </c>
      <c r="I2429" s="32">
        <v>4.0</v>
      </c>
      <c r="J2429" s="34" t="str">
        <f t="shared" si="1"/>
        <v>Midwest</v>
      </c>
      <c r="K2429" s="35">
        <v>1.0</v>
      </c>
      <c r="L2429" s="35" t="s">
        <v>707</v>
      </c>
      <c r="M2429" s="36">
        <f>VLOOKUP(D2429, County_Data_CZones!$B$2:$F$3236, 2, FALSE)</f>
        <v>6</v>
      </c>
      <c r="N2429" s="37" t="str">
        <f>VLOOKUP(D2429, County_Data_CZones!$B$2:$F$3236, 5, FALSE)</f>
        <v>Cold</v>
      </c>
    </row>
    <row r="2430" ht="15.75" customHeight="1">
      <c r="A2430" s="32" t="s">
        <v>751</v>
      </c>
      <c r="B2430" s="32" t="s">
        <v>1616</v>
      </c>
      <c r="C2430" s="32" t="str">
        <f>vlookup(B2430,State_EMM_RowSums!$A$2:$B$52,2,FALSE)</f>
        <v>TN</v>
      </c>
      <c r="D2430" s="32">
        <v>47001.0</v>
      </c>
      <c r="E2430" s="33">
        <f>IF(NOT(ISBLANK(vlookup($D2430,Pop_Census_2023!$A$2:$E$3220,4,FALSE))),vlookup($D2430,Pop_Census_2023!$A$2:$E$3220,4,FALSE), vlookup($D2430,Pop_Census_2023!$A$2:$E$3220,5,FALSE))</f>
        <v>80234</v>
      </c>
      <c r="F2430" s="32">
        <v>1639722.0</v>
      </c>
      <c r="G2430" s="32">
        <v>92.0</v>
      </c>
      <c r="H2430" s="32" t="str">
        <f>VLOOKUP(D2430, Grid_Region_Mapping!$D$2:$F$5286, 3, FALSE)</f>
        <v>SRCE</v>
      </c>
      <c r="I2430" s="32">
        <v>6.0</v>
      </c>
      <c r="J2430" s="34" t="str">
        <f t="shared" si="1"/>
        <v>South</v>
      </c>
      <c r="K2430" s="35">
        <v>3.0</v>
      </c>
      <c r="L2430" s="35" t="s">
        <v>223</v>
      </c>
      <c r="M2430" s="36">
        <f>VLOOKUP(D2430, County_Data_CZones!$B$2:$F$3236, 2, FALSE)</f>
        <v>4</v>
      </c>
      <c r="N2430" s="37" t="str">
        <f>VLOOKUP(D2430, County_Data_CZones!$B$2:$F$3236, 5, FALSE)</f>
        <v>Mixed-Humid</v>
      </c>
    </row>
    <row r="2431" ht="15.75" customHeight="1">
      <c r="A2431" s="32" t="s">
        <v>1517</v>
      </c>
      <c r="B2431" s="32" t="s">
        <v>1616</v>
      </c>
      <c r="C2431" s="32" t="str">
        <f>vlookup(B2431,State_EMM_RowSums!$A$2:$B$52,2,FALSE)</f>
        <v>TN</v>
      </c>
      <c r="D2431" s="32">
        <v>47003.0</v>
      </c>
      <c r="E2431" s="33">
        <f>IF(NOT(ISBLANK(vlookup($D2431,Pop_Census_2023!$A$2:$E$3220,4,FALSE))),vlookup($D2431,Pop_Census_2023!$A$2:$E$3220,4,FALSE), vlookup($D2431,Pop_Census_2023!$A$2:$E$3220,5,FALSE))</f>
        <v>53055</v>
      </c>
      <c r="F2431" s="32">
        <v>1639723.0</v>
      </c>
      <c r="G2431" s="32">
        <v>92.0</v>
      </c>
      <c r="H2431" s="32" t="str">
        <f>VLOOKUP(D2431, Grid_Region_Mapping!$D$2:$F$5286, 3, FALSE)</f>
        <v>SRCE</v>
      </c>
      <c r="I2431" s="32">
        <v>6.0</v>
      </c>
      <c r="J2431" s="34" t="str">
        <f t="shared" si="1"/>
        <v>South</v>
      </c>
      <c r="K2431" s="35">
        <v>4.0</v>
      </c>
      <c r="L2431" s="35" t="s">
        <v>223</v>
      </c>
      <c r="M2431" s="36">
        <f>VLOOKUP(D2431, County_Data_CZones!$B$2:$F$3236, 2, FALSE)</f>
        <v>4</v>
      </c>
      <c r="N2431" s="37" t="str">
        <f>VLOOKUP(D2431, County_Data_CZones!$B$2:$F$3236, 5, FALSE)</f>
        <v>Mixed-Humid</v>
      </c>
    </row>
    <row r="2432" ht="15.75" customHeight="1">
      <c r="A2432" s="32" t="s">
        <v>224</v>
      </c>
      <c r="B2432" s="32" t="s">
        <v>1616</v>
      </c>
      <c r="C2432" s="32" t="str">
        <f>vlookup(B2432,State_EMM_RowSums!$A$2:$B$52,2,FALSE)</f>
        <v>TN</v>
      </c>
      <c r="D2432" s="32">
        <v>47005.0</v>
      </c>
      <c r="E2432" s="33">
        <f>IF(NOT(ISBLANK(vlookup($D2432,Pop_Census_2023!$A$2:$E$3220,4,FALSE))),vlookup($D2432,Pop_Census_2023!$A$2:$E$3220,4,FALSE), vlookup($D2432,Pop_Census_2023!$A$2:$E$3220,5,FALSE))</f>
        <v>16103</v>
      </c>
      <c r="F2432" s="32">
        <v>1639724.0</v>
      </c>
      <c r="G2432" s="32">
        <v>92.0</v>
      </c>
      <c r="H2432" s="32" t="str">
        <f>VLOOKUP(D2432, Grid_Region_Mapping!$D$2:$F$5286, 3, FALSE)</f>
        <v>SRCE</v>
      </c>
      <c r="I2432" s="32">
        <v>6.0</v>
      </c>
      <c r="J2432" s="34" t="str">
        <f t="shared" si="1"/>
        <v>South</v>
      </c>
      <c r="K2432" s="35">
        <v>3.0</v>
      </c>
      <c r="L2432" s="35" t="s">
        <v>223</v>
      </c>
      <c r="M2432" s="36">
        <f>VLOOKUP(D2432, County_Data_CZones!$B$2:$F$3236, 2, FALSE)</f>
        <v>4</v>
      </c>
      <c r="N2432" s="37" t="str">
        <f>VLOOKUP(D2432, County_Data_CZones!$B$2:$F$3236, 5, FALSE)</f>
        <v>Mixed-Humid</v>
      </c>
    </row>
    <row r="2433" ht="15.75" customHeight="1">
      <c r="A2433" s="32" t="s">
        <v>1617</v>
      </c>
      <c r="B2433" s="32" t="s">
        <v>1616</v>
      </c>
      <c r="C2433" s="32" t="str">
        <f>vlookup(B2433,State_EMM_RowSums!$A$2:$B$52,2,FALSE)</f>
        <v>TN</v>
      </c>
      <c r="D2433" s="32">
        <v>47007.0</v>
      </c>
      <c r="E2433" s="33">
        <f>IF(NOT(ISBLANK(vlookup($D2433,Pop_Census_2023!$A$2:$E$3220,4,FALSE))),vlookup($D2433,Pop_Census_2023!$A$2:$E$3220,4,FALSE), vlookup($D2433,Pop_Census_2023!$A$2:$E$3220,5,FALSE))</f>
        <v>15060</v>
      </c>
      <c r="F2433" s="32">
        <v>1639725.0</v>
      </c>
      <c r="G2433" s="32">
        <v>92.0</v>
      </c>
      <c r="H2433" s="32" t="str">
        <f>VLOOKUP(D2433, Grid_Region_Mapping!$D$2:$F$5286, 3, FALSE)</f>
        <v>SRCE</v>
      </c>
      <c r="I2433" s="32">
        <v>6.0</v>
      </c>
      <c r="J2433" s="34" t="str">
        <f t="shared" si="1"/>
        <v>South</v>
      </c>
      <c r="K2433" s="35">
        <v>4.0</v>
      </c>
      <c r="L2433" s="35" t="s">
        <v>223</v>
      </c>
      <c r="M2433" s="36">
        <f>VLOOKUP(D2433, County_Data_CZones!$B$2:$F$3236, 2, FALSE)</f>
        <v>4</v>
      </c>
      <c r="N2433" s="37" t="str">
        <f>VLOOKUP(D2433, County_Data_CZones!$B$2:$F$3236, 5, FALSE)</f>
        <v>Mixed-Humid</v>
      </c>
    </row>
    <row r="2434" ht="15.75" customHeight="1">
      <c r="A2434" s="32" t="s">
        <v>107</v>
      </c>
      <c r="B2434" s="32" t="s">
        <v>1616</v>
      </c>
      <c r="C2434" s="32" t="str">
        <f>vlookup(B2434,State_EMM_RowSums!$A$2:$B$52,2,FALSE)</f>
        <v>TN</v>
      </c>
      <c r="D2434" s="32">
        <v>47009.0</v>
      </c>
      <c r="E2434" s="33">
        <f>IF(NOT(ISBLANK(vlookup($D2434,Pop_Census_2023!$A$2:$E$3220,4,FALSE))),vlookup($D2434,Pop_Census_2023!$A$2:$E$3220,4,FALSE), vlookup($D2434,Pop_Census_2023!$A$2:$E$3220,5,FALSE))</f>
        <v>141456</v>
      </c>
      <c r="F2434" s="32">
        <v>1639726.0</v>
      </c>
      <c r="G2434" s="32">
        <v>92.0</v>
      </c>
      <c r="H2434" s="32" t="str">
        <f>VLOOKUP(D2434, Grid_Region_Mapping!$D$2:$F$5286, 3, FALSE)</f>
        <v>SRCE</v>
      </c>
      <c r="I2434" s="32">
        <v>6.0</v>
      </c>
      <c r="J2434" s="34" t="str">
        <f t="shared" si="1"/>
        <v>South</v>
      </c>
      <c r="K2434" s="35">
        <v>4.0</v>
      </c>
      <c r="L2434" s="35" t="s">
        <v>223</v>
      </c>
      <c r="M2434" s="36">
        <f>VLOOKUP(D2434, County_Data_CZones!$B$2:$F$3236, 2, FALSE)</f>
        <v>4</v>
      </c>
      <c r="N2434" s="37" t="str">
        <f>VLOOKUP(D2434, County_Data_CZones!$B$2:$F$3236, 5, FALSE)</f>
        <v>Mixed-Humid</v>
      </c>
    </row>
    <row r="2435" ht="15.75" customHeight="1">
      <c r="A2435" s="32" t="s">
        <v>226</v>
      </c>
      <c r="B2435" s="32" t="s">
        <v>1616</v>
      </c>
      <c r="C2435" s="32" t="str">
        <f>vlookup(B2435,State_EMM_RowSums!$A$2:$B$52,2,FALSE)</f>
        <v>TN</v>
      </c>
      <c r="D2435" s="32">
        <v>47011.0</v>
      </c>
      <c r="E2435" s="33">
        <f>IF(NOT(ISBLANK(vlookup($D2435,Pop_Census_2023!$A$2:$E$3220,4,FALSE))),vlookup($D2435,Pop_Census_2023!$A$2:$E$3220,4,FALSE), vlookup($D2435,Pop_Census_2023!$A$2:$E$3220,5,FALSE))</f>
        <v>111579</v>
      </c>
      <c r="F2435" s="32">
        <v>1639727.0</v>
      </c>
      <c r="G2435" s="32">
        <v>92.0</v>
      </c>
      <c r="H2435" s="32" t="str">
        <f>VLOOKUP(D2435, Grid_Region_Mapping!$D$2:$F$5286, 3, FALSE)</f>
        <v>SRCE</v>
      </c>
      <c r="I2435" s="32">
        <v>6.0</v>
      </c>
      <c r="J2435" s="34" t="str">
        <f t="shared" si="1"/>
        <v>South</v>
      </c>
      <c r="K2435" s="35">
        <v>4.0</v>
      </c>
      <c r="L2435" s="35" t="s">
        <v>223</v>
      </c>
      <c r="M2435" s="36">
        <f>VLOOKUP(D2435, County_Data_CZones!$B$2:$F$3236, 2, FALSE)</f>
        <v>4</v>
      </c>
      <c r="N2435" s="37" t="str">
        <f>VLOOKUP(D2435, County_Data_CZones!$B$2:$F$3236, 5, FALSE)</f>
        <v>Mixed-Humid</v>
      </c>
    </row>
    <row r="2436" ht="15.75" customHeight="1">
      <c r="A2436" s="32" t="s">
        <v>831</v>
      </c>
      <c r="B2436" s="32" t="s">
        <v>1616</v>
      </c>
      <c r="C2436" s="32" t="str">
        <f>vlookup(B2436,State_EMM_RowSums!$A$2:$B$52,2,FALSE)</f>
        <v>TN</v>
      </c>
      <c r="D2436" s="32">
        <v>47013.0</v>
      </c>
      <c r="E2436" s="33">
        <f>IF(NOT(ISBLANK(vlookup($D2436,Pop_Census_2023!$A$2:$E$3220,4,FALSE))),vlookup($D2436,Pop_Census_2023!$A$2:$E$3220,4,FALSE), vlookup($D2436,Pop_Census_2023!$A$2:$E$3220,5,FALSE))</f>
        <v>40223</v>
      </c>
      <c r="F2436" s="32">
        <v>1639728.0</v>
      </c>
      <c r="G2436" s="32">
        <v>92.0</v>
      </c>
      <c r="H2436" s="32" t="str">
        <f>VLOOKUP(D2436, Grid_Region_Mapping!$D$2:$F$5286, 3, FALSE)</f>
        <v>SRCE</v>
      </c>
      <c r="I2436" s="32">
        <v>6.0</v>
      </c>
      <c r="J2436" s="34" t="str">
        <f t="shared" si="1"/>
        <v>South</v>
      </c>
      <c r="K2436" s="35">
        <v>3.0</v>
      </c>
      <c r="L2436" s="35" t="s">
        <v>223</v>
      </c>
      <c r="M2436" s="36">
        <f>VLOOKUP(D2436, County_Data_CZones!$B$2:$F$3236, 2, FALSE)</f>
        <v>4</v>
      </c>
      <c r="N2436" s="37" t="str">
        <f>VLOOKUP(D2436, County_Data_CZones!$B$2:$F$3236, 5, FALSE)</f>
        <v>Mixed-Humid</v>
      </c>
    </row>
    <row r="2437" ht="15.75" customHeight="1">
      <c r="A2437" s="32" t="s">
        <v>1618</v>
      </c>
      <c r="B2437" s="32" t="s">
        <v>1616</v>
      </c>
      <c r="C2437" s="32" t="str">
        <f>vlookup(B2437,State_EMM_RowSums!$A$2:$B$52,2,FALSE)</f>
        <v>TN</v>
      </c>
      <c r="D2437" s="32">
        <v>47015.0</v>
      </c>
      <c r="E2437" s="33">
        <f>IF(NOT(ISBLANK(vlookup($D2437,Pop_Census_2023!$A$2:$E$3220,4,FALSE))),vlookup($D2437,Pop_Census_2023!$A$2:$E$3220,4,FALSE), vlookup($D2437,Pop_Census_2023!$A$2:$E$3220,5,FALSE))</f>
        <v>15063</v>
      </c>
      <c r="F2437" s="32">
        <v>1648572.0</v>
      </c>
      <c r="G2437" s="32">
        <v>92.0</v>
      </c>
      <c r="H2437" s="32" t="str">
        <f>VLOOKUP(D2437, Grid_Region_Mapping!$D$2:$F$5286, 3, FALSE)</f>
        <v>SRCE</v>
      </c>
      <c r="I2437" s="32">
        <v>6.0</v>
      </c>
      <c r="J2437" s="34" t="str">
        <f t="shared" si="1"/>
        <v>South</v>
      </c>
      <c r="K2437" s="35">
        <v>3.0</v>
      </c>
      <c r="L2437" s="35" t="s">
        <v>223</v>
      </c>
      <c r="M2437" s="36">
        <f>VLOOKUP(D2437, County_Data_CZones!$B$2:$F$3236, 2, FALSE)</f>
        <v>4</v>
      </c>
      <c r="N2437" s="37" t="str">
        <f>VLOOKUP(D2437, County_Data_CZones!$B$2:$F$3236, 5, FALSE)</f>
        <v>Mixed-Humid</v>
      </c>
    </row>
    <row r="2438" ht="15.75" customHeight="1">
      <c r="A2438" s="32" t="s">
        <v>227</v>
      </c>
      <c r="B2438" s="32" t="s">
        <v>1616</v>
      </c>
      <c r="C2438" s="32" t="str">
        <f>vlookup(B2438,State_EMM_RowSums!$A$2:$B$52,2,FALSE)</f>
        <v>TN</v>
      </c>
      <c r="D2438" s="32">
        <v>47017.0</v>
      </c>
      <c r="E2438" s="33">
        <f>IF(NOT(ISBLANK(vlookup($D2438,Pop_Census_2023!$A$2:$E$3220,4,FALSE))),vlookup($D2438,Pop_Census_2023!$A$2:$E$3220,4,FALSE), vlookup($D2438,Pop_Census_2023!$A$2:$E$3220,5,FALSE))</f>
        <v>28860</v>
      </c>
      <c r="F2438" s="32">
        <v>1639729.0</v>
      </c>
      <c r="G2438" s="32">
        <v>92.0</v>
      </c>
      <c r="H2438" s="32" t="str">
        <f>VLOOKUP(D2438, Grid_Region_Mapping!$D$2:$F$5286, 3, FALSE)</f>
        <v>SRCE</v>
      </c>
      <c r="I2438" s="32">
        <v>6.0</v>
      </c>
      <c r="J2438" s="34" t="str">
        <f t="shared" si="1"/>
        <v>South</v>
      </c>
      <c r="K2438" s="35">
        <v>3.0</v>
      </c>
      <c r="L2438" s="35" t="s">
        <v>223</v>
      </c>
      <c r="M2438" s="36">
        <f>VLOOKUP(D2438, County_Data_CZones!$B$2:$F$3236, 2, FALSE)</f>
        <v>4</v>
      </c>
      <c r="N2438" s="37" t="str">
        <f>VLOOKUP(D2438, County_Data_CZones!$B$2:$F$3236, 5, FALSE)</f>
        <v>Mixed-Humid</v>
      </c>
    </row>
    <row r="2439" ht="15.75" customHeight="1">
      <c r="A2439" s="32" t="s">
        <v>833</v>
      </c>
      <c r="B2439" s="32" t="s">
        <v>1616</v>
      </c>
      <c r="C2439" s="32" t="str">
        <f>vlookup(B2439,State_EMM_RowSums!$A$2:$B$52,2,FALSE)</f>
        <v>TN</v>
      </c>
      <c r="D2439" s="32">
        <v>47019.0</v>
      </c>
      <c r="E2439" s="33">
        <f>IF(NOT(ISBLANK(vlookup($D2439,Pop_Census_2023!$A$2:$E$3220,4,FALSE))),vlookup($D2439,Pop_Census_2023!$A$2:$E$3220,4,FALSE), vlookup($D2439,Pop_Census_2023!$A$2:$E$3220,5,FALSE))</f>
        <v>57022</v>
      </c>
      <c r="F2439" s="32">
        <v>1639730.0</v>
      </c>
      <c r="G2439" s="32">
        <v>92.0</v>
      </c>
      <c r="H2439" s="32" t="str">
        <f>VLOOKUP(D2439, Grid_Region_Mapping!$D$2:$F$5286, 3, FALSE)</f>
        <v>SRCE</v>
      </c>
      <c r="I2439" s="32">
        <v>6.0</v>
      </c>
      <c r="J2439" s="34" t="str">
        <f t="shared" si="1"/>
        <v>South</v>
      </c>
      <c r="K2439" s="35">
        <v>3.0</v>
      </c>
      <c r="L2439" s="35" t="s">
        <v>223</v>
      </c>
      <c r="M2439" s="36">
        <f>VLOOKUP(D2439, County_Data_CZones!$B$2:$F$3236, 2, FALSE)</f>
        <v>4</v>
      </c>
      <c r="N2439" s="37" t="str">
        <f>VLOOKUP(D2439, County_Data_CZones!$B$2:$F$3236, 5, FALSE)</f>
        <v>Mixed-Humid</v>
      </c>
    </row>
    <row r="2440" ht="15.75" customHeight="1">
      <c r="A2440" s="32" t="s">
        <v>1619</v>
      </c>
      <c r="B2440" s="32" t="s">
        <v>1616</v>
      </c>
      <c r="C2440" s="32" t="str">
        <f>vlookup(B2440,State_EMM_RowSums!$A$2:$B$52,2,FALSE)</f>
        <v>TN</v>
      </c>
      <c r="D2440" s="32">
        <v>47021.0</v>
      </c>
      <c r="E2440" s="33">
        <f>IF(NOT(ISBLANK(vlookup($D2440,Pop_Census_2023!$A$2:$E$3220,4,FALSE))),vlookup($D2440,Pop_Census_2023!$A$2:$E$3220,4,FALSE), vlookup($D2440,Pop_Census_2023!$A$2:$E$3220,5,FALSE))</f>
        <v>42254</v>
      </c>
      <c r="F2440" s="32">
        <v>1639731.0</v>
      </c>
      <c r="G2440" s="32">
        <v>92.0</v>
      </c>
      <c r="H2440" s="32" t="str">
        <f>VLOOKUP(D2440, Grid_Region_Mapping!$D$2:$F$5286, 3, FALSE)</f>
        <v>SRCE</v>
      </c>
      <c r="I2440" s="32">
        <v>6.0</v>
      </c>
      <c r="J2440" s="34" t="str">
        <f t="shared" si="1"/>
        <v>South</v>
      </c>
      <c r="K2440" s="35">
        <v>3.0</v>
      </c>
      <c r="L2440" s="35" t="s">
        <v>223</v>
      </c>
      <c r="M2440" s="36">
        <f>VLOOKUP(D2440, County_Data_CZones!$B$2:$F$3236, 2, FALSE)</f>
        <v>4</v>
      </c>
      <c r="N2440" s="37" t="str">
        <f>VLOOKUP(D2440, County_Data_CZones!$B$2:$F$3236, 5, FALSE)</f>
        <v>Mixed-Humid</v>
      </c>
    </row>
    <row r="2441" ht="15.75" customHeight="1">
      <c r="A2441" s="32" t="s">
        <v>1523</v>
      </c>
      <c r="B2441" s="32" t="s">
        <v>1616</v>
      </c>
      <c r="C2441" s="32" t="str">
        <f>vlookup(B2441,State_EMM_RowSums!$A$2:$B$52,2,FALSE)</f>
        <v>TN</v>
      </c>
      <c r="D2441" s="32">
        <v>47023.0</v>
      </c>
      <c r="E2441" s="33">
        <f>IF(NOT(ISBLANK(vlookup($D2441,Pop_Census_2023!$A$2:$E$3220,4,FALSE))),vlookup($D2441,Pop_Census_2023!$A$2:$E$3220,4,FALSE), vlookup($D2441,Pop_Census_2023!$A$2:$E$3220,5,FALSE))</f>
        <v>17606</v>
      </c>
      <c r="F2441" s="32">
        <v>1639732.0</v>
      </c>
      <c r="G2441" s="32">
        <v>92.0</v>
      </c>
      <c r="H2441" s="32" t="str">
        <f>VLOOKUP(D2441, Grid_Region_Mapping!$D$2:$F$5286, 3, FALSE)</f>
        <v>SRCE</v>
      </c>
      <c r="I2441" s="32">
        <v>6.0</v>
      </c>
      <c r="J2441" s="34" t="str">
        <f t="shared" si="1"/>
        <v>South</v>
      </c>
      <c r="K2441" s="35">
        <v>4.0</v>
      </c>
      <c r="L2441" s="35" t="s">
        <v>102</v>
      </c>
      <c r="M2441" s="36">
        <f>VLOOKUP(D2441, County_Data_CZones!$B$2:$F$3236, 2, FALSE)</f>
        <v>3</v>
      </c>
      <c r="N2441" s="37" t="str">
        <f>VLOOKUP(D2441, County_Data_CZones!$B$2:$F$3236, 5, FALSE)</f>
        <v>Mixed-Humid</v>
      </c>
    </row>
    <row r="2442" ht="15.75" customHeight="1">
      <c r="A2442" s="32" t="s">
        <v>886</v>
      </c>
      <c r="B2442" s="32" t="s">
        <v>1616</v>
      </c>
      <c r="C2442" s="32" t="str">
        <f>vlookup(B2442,State_EMM_RowSums!$A$2:$B$52,2,FALSE)</f>
        <v>TN</v>
      </c>
      <c r="D2442" s="32">
        <v>47025.0</v>
      </c>
      <c r="E2442" s="33">
        <f>IF(NOT(ISBLANK(vlookup($D2442,Pop_Census_2023!$A$2:$E$3220,4,FALSE))),vlookup($D2442,Pop_Census_2023!$A$2:$E$3220,4,FALSE), vlookup($D2442,Pop_Census_2023!$A$2:$E$3220,5,FALSE))</f>
        <v>32654</v>
      </c>
      <c r="F2442" s="32">
        <v>1639733.0</v>
      </c>
      <c r="G2442" s="32">
        <v>92.0</v>
      </c>
      <c r="H2442" s="32" t="str">
        <f>VLOOKUP(D2442, Grid_Region_Mapping!$D$2:$F$5286, 3, FALSE)</f>
        <v>SRCE</v>
      </c>
      <c r="I2442" s="32">
        <v>6.0</v>
      </c>
      <c r="J2442" s="34" t="str">
        <f t="shared" si="1"/>
        <v>South</v>
      </c>
      <c r="K2442" s="35">
        <v>3.0</v>
      </c>
      <c r="L2442" s="35" t="s">
        <v>223</v>
      </c>
      <c r="M2442" s="36">
        <f>VLOOKUP(D2442, County_Data_CZones!$B$2:$F$3236, 2, FALSE)</f>
        <v>4</v>
      </c>
      <c r="N2442" s="37" t="str">
        <f>VLOOKUP(D2442, County_Data_CZones!$B$2:$F$3236, 5, FALSE)</f>
        <v>Mixed-Humid</v>
      </c>
    </row>
    <row r="2443" ht="15.75" customHeight="1">
      <c r="A2443" s="32" t="s">
        <v>116</v>
      </c>
      <c r="B2443" s="32" t="s">
        <v>1616</v>
      </c>
      <c r="C2443" s="32" t="str">
        <f>vlookup(B2443,State_EMM_RowSums!$A$2:$B$52,2,FALSE)</f>
        <v>TN</v>
      </c>
      <c r="D2443" s="32">
        <v>47027.0</v>
      </c>
      <c r="E2443" s="33">
        <f>IF(NOT(ISBLANK(vlookup($D2443,Pop_Census_2023!$A$2:$E$3220,4,FALSE))),vlookup($D2443,Pop_Census_2023!$A$2:$E$3220,4,FALSE), vlookup($D2443,Pop_Census_2023!$A$2:$E$3220,5,FALSE))</f>
        <v>7714</v>
      </c>
      <c r="F2443" s="32">
        <v>1648573.0</v>
      </c>
      <c r="G2443" s="32">
        <v>92.0</v>
      </c>
      <c r="H2443" s="32" t="str">
        <f>VLOOKUP(D2443, Grid_Region_Mapping!$D$2:$F$5286, 3, FALSE)</f>
        <v>SRCE</v>
      </c>
      <c r="I2443" s="32">
        <v>6.0</v>
      </c>
      <c r="J2443" s="34" t="str">
        <f t="shared" si="1"/>
        <v>South</v>
      </c>
      <c r="K2443" s="35">
        <v>3.0</v>
      </c>
      <c r="L2443" s="35" t="s">
        <v>223</v>
      </c>
      <c r="M2443" s="36">
        <f>VLOOKUP(D2443, County_Data_CZones!$B$2:$F$3236, 2, FALSE)</f>
        <v>4</v>
      </c>
      <c r="N2443" s="37" t="str">
        <f>VLOOKUP(D2443, County_Data_CZones!$B$2:$F$3236, 5, FALSE)</f>
        <v>Mixed-Humid</v>
      </c>
    </row>
    <row r="2444" ht="15.75" customHeight="1">
      <c r="A2444" s="32" t="s">
        <v>1620</v>
      </c>
      <c r="B2444" s="32" t="s">
        <v>1616</v>
      </c>
      <c r="C2444" s="32" t="str">
        <f>vlookup(B2444,State_EMM_RowSums!$A$2:$B$52,2,FALSE)</f>
        <v>TN</v>
      </c>
      <c r="D2444" s="32">
        <v>47029.0</v>
      </c>
      <c r="E2444" s="33">
        <f>IF(NOT(ISBLANK(vlookup($D2444,Pop_Census_2023!$A$2:$E$3220,4,FALSE))),vlookup($D2444,Pop_Census_2023!$A$2:$E$3220,4,FALSE), vlookup($D2444,Pop_Census_2023!$A$2:$E$3220,5,FALSE))</f>
        <v>37404</v>
      </c>
      <c r="F2444" s="32">
        <v>1639734.0</v>
      </c>
      <c r="G2444" s="32">
        <v>92.0</v>
      </c>
      <c r="H2444" s="32" t="str">
        <f>VLOOKUP(D2444, Grid_Region_Mapping!$D$2:$F$5286, 3, FALSE)</f>
        <v>SRCE</v>
      </c>
      <c r="I2444" s="32">
        <v>6.0</v>
      </c>
      <c r="J2444" s="34" t="str">
        <f t="shared" si="1"/>
        <v>South</v>
      </c>
      <c r="K2444" s="35">
        <v>3.0</v>
      </c>
      <c r="L2444" s="35" t="s">
        <v>223</v>
      </c>
      <c r="M2444" s="36">
        <f>VLOOKUP(D2444, County_Data_CZones!$B$2:$F$3236, 2, FALSE)</f>
        <v>4</v>
      </c>
      <c r="N2444" s="37" t="str">
        <f>VLOOKUP(D2444, County_Data_CZones!$B$2:$F$3236, 5, FALSE)</f>
        <v>Mixed-Humid</v>
      </c>
    </row>
    <row r="2445" ht="15.75" customHeight="1">
      <c r="A2445" s="32" t="s">
        <v>118</v>
      </c>
      <c r="B2445" s="32" t="s">
        <v>1616</v>
      </c>
      <c r="C2445" s="32" t="str">
        <f>vlookup(B2445,State_EMM_RowSums!$A$2:$B$52,2,FALSE)</f>
        <v>TN</v>
      </c>
      <c r="D2445" s="32">
        <v>47031.0</v>
      </c>
      <c r="E2445" s="33">
        <f>IF(NOT(ISBLANK(vlookup($D2445,Pop_Census_2023!$A$2:$E$3220,4,FALSE))),vlookup($D2445,Pop_Census_2023!$A$2:$E$3220,4,FALSE), vlookup($D2445,Pop_Census_2023!$A$2:$E$3220,5,FALSE))</f>
        <v>60633</v>
      </c>
      <c r="F2445" s="32">
        <v>1639735.0</v>
      </c>
      <c r="G2445" s="32">
        <v>92.0</v>
      </c>
      <c r="H2445" s="32" t="str">
        <f>VLOOKUP(D2445, Grid_Region_Mapping!$D$2:$F$5286, 3, FALSE)</f>
        <v>SRCE</v>
      </c>
      <c r="I2445" s="32">
        <v>6.0</v>
      </c>
      <c r="J2445" s="34" t="str">
        <f t="shared" si="1"/>
        <v>South</v>
      </c>
      <c r="K2445" s="35">
        <v>4.0</v>
      </c>
      <c r="L2445" s="35" t="s">
        <v>223</v>
      </c>
      <c r="M2445" s="36">
        <f>VLOOKUP(D2445, County_Data_CZones!$B$2:$F$3236, 2, FALSE)</f>
        <v>4</v>
      </c>
      <c r="N2445" s="37" t="str">
        <f>VLOOKUP(D2445, County_Data_CZones!$B$2:$F$3236, 5, FALSE)</f>
        <v>Mixed-Humid</v>
      </c>
    </row>
    <row r="2446" ht="15.75" customHeight="1">
      <c r="A2446" s="32" t="s">
        <v>1621</v>
      </c>
      <c r="B2446" s="32" t="s">
        <v>1616</v>
      </c>
      <c r="C2446" s="32" t="str">
        <f>vlookup(B2446,State_EMM_RowSums!$A$2:$B$52,2,FALSE)</f>
        <v>TN</v>
      </c>
      <c r="D2446" s="32">
        <v>47033.0</v>
      </c>
      <c r="E2446" s="33">
        <f>IF(NOT(ISBLANK(vlookup($D2446,Pop_Census_2023!$A$2:$E$3220,4,FALSE))),vlookup($D2446,Pop_Census_2023!$A$2:$E$3220,4,FALSE), vlookup($D2446,Pop_Census_2023!$A$2:$E$3220,5,FALSE))</f>
        <v>13982</v>
      </c>
      <c r="F2446" s="32">
        <v>1648574.0</v>
      </c>
      <c r="G2446" s="32">
        <v>92.0</v>
      </c>
      <c r="H2446" s="32" t="str">
        <f>VLOOKUP(D2446, Grid_Region_Mapping!$D$2:$F$5286, 3, FALSE)</f>
        <v>SRCE</v>
      </c>
      <c r="I2446" s="32">
        <v>6.0</v>
      </c>
      <c r="J2446" s="34" t="str">
        <f t="shared" si="1"/>
        <v>South</v>
      </c>
      <c r="K2446" s="35">
        <v>4.0</v>
      </c>
      <c r="L2446" s="35" t="s">
        <v>102</v>
      </c>
      <c r="M2446" s="36">
        <f>VLOOKUP(D2446, County_Data_CZones!$B$2:$F$3236, 2, FALSE)</f>
        <v>3</v>
      </c>
      <c r="N2446" s="37" t="str">
        <f>VLOOKUP(D2446, County_Data_CZones!$B$2:$F$3236, 5, FALSE)</f>
        <v>Mixed-Humid</v>
      </c>
    </row>
    <row r="2447" ht="15.75" customHeight="1">
      <c r="A2447" s="32" t="s">
        <v>618</v>
      </c>
      <c r="B2447" s="32" t="s">
        <v>1616</v>
      </c>
      <c r="C2447" s="32" t="str">
        <f>vlookup(B2447,State_EMM_RowSums!$A$2:$B$52,2,FALSE)</f>
        <v>TN</v>
      </c>
      <c r="D2447" s="32">
        <v>47035.0</v>
      </c>
      <c r="E2447" s="33">
        <f>IF(NOT(ISBLANK(vlookup($D2447,Pop_Census_2023!$A$2:$E$3220,4,FALSE))),vlookup($D2447,Pop_Census_2023!$A$2:$E$3220,4,FALSE), vlookup($D2447,Pop_Census_2023!$A$2:$E$3220,5,FALSE))</f>
        <v>64760</v>
      </c>
      <c r="F2447" s="32">
        <v>1639736.0</v>
      </c>
      <c r="G2447" s="32">
        <v>92.0</v>
      </c>
      <c r="H2447" s="32" t="str">
        <f>VLOOKUP(D2447, Grid_Region_Mapping!$D$2:$F$5286, 3, FALSE)</f>
        <v>SRCE</v>
      </c>
      <c r="I2447" s="32">
        <v>6.0</v>
      </c>
      <c r="J2447" s="34" t="str">
        <f t="shared" si="1"/>
        <v>South</v>
      </c>
      <c r="K2447" s="35">
        <v>3.0</v>
      </c>
      <c r="L2447" s="35" t="s">
        <v>223</v>
      </c>
      <c r="M2447" s="36">
        <f>VLOOKUP(D2447, County_Data_CZones!$B$2:$F$3236, 2, FALSE)</f>
        <v>4</v>
      </c>
      <c r="N2447" s="37" t="str">
        <f>VLOOKUP(D2447, County_Data_CZones!$B$2:$F$3236, 5, FALSE)</f>
        <v>Mixed-Humid</v>
      </c>
    </row>
    <row r="2448" ht="15.75" customHeight="1">
      <c r="A2448" s="32" t="s">
        <v>1345</v>
      </c>
      <c r="B2448" s="32" t="s">
        <v>1616</v>
      </c>
      <c r="C2448" s="32" t="str">
        <f>vlookup(B2448,State_EMM_RowSums!$A$2:$B$52,2,FALSE)</f>
        <v>TN</v>
      </c>
      <c r="D2448" s="32">
        <v>47037.0</v>
      </c>
      <c r="E2448" s="33">
        <f>IF(NOT(ISBLANK(vlookup($D2448,Pop_Census_2023!$A$2:$E$3220,4,FALSE))),vlookup($D2448,Pop_Census_2023!$A$2:$E$3220,4,FALSE), vlookup($D2448,Pop_Census_2023!$A$2:$E$3220,5,FALSE))</f>
        <v>712334</v>
      </c>
      <c r="F2448" s="32">
        <v>1639737.0</v>
      </c>
      <c r="G2448" s="32">
        <v>92.0</v>
      </c>
      <c r="H2448" s="32" t="str">
        <f>VLOOKUP(D2448, Grid_Region_Mapping!$D$2:$F$5286, 3, FALSE)</f>
        <v>SRCE</v>
      </c>
      <c r="I2448" s="32">
        <v>6.0</v>
      </c>
      <c r="J2448" s="34" t="str">
        <f t="shared" si="1"/>
        <v>South</v>
      </c>
      <c r="K2448" s="35">
        <v>4.0</v>
      </c>
      <c r="L2448" s="35" t="s">
        <v>223</v>
      </c>
      <c r="M2448" s="36">
        <f>VLOOKUP(D2448, County_Data_CZones!$B$2:$F$3236, 2, FALSE)</f>
        <v>4</v>
      </c>
      <c r="N2448" s="37" t="str">
        <f>VLOOKUP(D2448, County_Data_CZones!$B$2:$F$3236, 5, FALSE)</f>
        <v>Mixed-Humid</v>
      </c>
    </row>
    <row r="2449" ht="15.75" customHeight="1">
      <c r="A2449" s="32" t="s">
        <v>492</v>
      </c>
      <c r="B2449" s="32" t="s">
        <v>1616</v>
      </c>
      <c r="C2449" s="32" t="str">
        <f>vlookup(B2449,State_EMM_RowSums!$A$2:$B$52,2,FALSE)</f>
        <v>TN</v>
      </c>
      <c r="D2449" s="32">
        <v>47039.0</v>
      </c>
      <c r="E2449" s="33">
        <f>IF(NOT(ISBLANK(vlookup($D2449,Pop_Census_2023!$A$2:$E$3220,4,FALSE))),vlookup($D2449,Pop_Census_2023!$A$2:$E$3220,4,FALSE), vlookup($D2449,Pop_Census_2023!$A$2:$E$3220,5,FALSE))</f>
        <v>11656</v>
      </c>
      <c r="F2449" s="32">
        <v>1639739.0</v>
      </c>
      <c r="G2449" s="32">
        <v>92.0</v>
      </c>
      <c r="H2449" s="32" t="str">
        <f>VLOOKUP(D2449, Grid_Region_Mapping!$D$2:$F$5286, 3, FALSE)</f>
        <v>SRCE</v>
      </c>
      <c r="I2449" s="32">
        <v>6.0</v>
      </c>
      <c r="J2449" s="34" t="str">
        <f t="shared" si="1"/>
        <v>South</v>
      </c>
      <c r="K2449" s="35">
        <v>4.0</v>
      </c>
      <c r="L2449" s="35" t="s">
        <v>223</v>
      </c>
      <c r="M2449" s="36">
        <f>VLOOKUP(D2449, County_Data_CZones!$B$2:$F$3236, 2, FALSE)</f>
        <v>4</v>
      </c>
      <c r="N2449" s="37" t="str">
        <f>VLOOKUP(D2449, County_Data_CZones!$B$2:$F$3236, 5, FALSE)</f>
        <v>Mixed-Humid</v>
      </c>
    </row>
    <row r="2450" ht="15.75" customHeight="1">
      <c r="A2450" s="32" t="s">
        <v>127</v>
      </c>
      <c r="B2450" s="32" t="s">
        <v>1616</v>
      </c>
      <c r="C2450" s="32" t="str">
        <f>vlookup(B2450,State_EMM_RowSums!$A$2:$B$52,2,FALSE)</f>
        <v>TN</v>
      </c>
      <c r="D2450" s="32">
        <v>47041.0</v>
      </c>
      <c r="E2450" s="33">
        <f>IF(NOT(ISBLANK(vlookup($D2450,Pop_Census_2023!$A$2:$E$3220,4,FALSE))),vlookup($D2450,Pop_Census_2023!$A$2:$E$3220,4,FALSE), vlookup($D2450,Pop_Census_2023!$A$2:$E$3220,5,FALSE))</f>
        <v>21225</v>
      </c>
      <c r="F2450" s="32">
        <v>1639738.0</v>
      </c>
      <c r="G2450" s="32">
        <v>92.0</v>
      </c>
      <c r="H2450" s="32" t="str">
        <f>VLOOKUP(D2450, Grid_Region_Mapping!$D$2:$F$5286, 3, FALSE)</f>
        <v>SRCE</v>
      </c>
      <c r="I2450" s="32">
        <v>6.0</v>
      </c>
      <c r="J2450" s="34" t="str">
        <f t="shared" si="1"/>
        <v>South</v>
      </c>
      <c r="K2450" s="35">
        <v>3.0</v>
      </c>
      <c r="L2450" s="35" t="s">
        <v>223</v>
      </c>
      <c r="M2450" s="36">
        <f>VLOOKUP(D2450, County_Data_CZones!$B$2:$F$3236, 2, FALSE)</f>
        <v>4</v>
      </c>
      <c r="N2450" s="37" t="str">
        <f>VLOOKUP(D2450, County_Data_CZones!$B$2:$F$3236, 5, FALSE)</f>
        <v>Mixed-Humid</v>
      </c>
    </row>
    <row r="2451" ht="15.75" customHeight="1">
      <c r="A2451" s="32" t="s">
        <v>1622</v>
      </c>
      <c r="B2451" s="32" t="s">
        <v>1616</v>
      </c>
      <c r="C2451" s="32" t="str">
        <f>vlookup(B2451,State_EMM_RowSums!$A$2:$B$52,2,FALSE)</f>
        <v>TN</v>
      </c>
      <c r="D2451" s="32">
        <v>47043.0</v>
      </c>
      <c r="E2451" s="33">
        <f>IF(NOT(ISBLANK(vlookup($D2451,Pop_Census_2023!$A$2:$E$3220,4,FALSE))),vlookup($D2451,Pop_Census_2023!$A$2:$E$3220,4,FALSE), vlookup($D2451,Pop_Census_2023!$A$2:$E$3220,5,FALSE))</f>
        <v>56729</v>
      </c>
      <c r="F2451" s="32">
        <v>1639740.0</v>
      </c>
      <c r="G2451" s="32">
        <v>92.0</v>
      </c>
      <c r="H2451" s="32" t="str">
        <f>VLOOKUP(D2451, Grid_Region_Mapping!$D$2:$F$5286, 3, FALSE)</f>
        <v>SRCE</v>
      </c>
      <c r="I2451" s="32">
        <v>6.0</v>
      </c>
      <c r="J2451" s="34" t="str">
        <f t="shared" si="1"/>
        <v>South</v>
      </c>
      <c r="K2451" s="35">
        <v>3.0</v>
      </c>
      <c r="L2451" s="35" t="s">
        <v>223</v>
      </c>
      <c r="M2451" s="36">
        <f>VLOOKUP(D2451, County_Data_CZones!$B$2:$F$3236, 2, FALSE)</f>
        <v>4</v>
      </c>
      <c r="N2451" s="37" t="str">
        <f>VLOOKUP(D2451, County_Data_CZones!$B$2:$F$3236, 5, FALSE)</f>
        <v>Mixed-Humid</v>
      </c>
    </row>
    <row r="2452" ht="15.75" customHeight="1">
      <c r="A2452" s="32" t="s">
        <v>1623</v>
      </c>
      <c r="B2452" s="32" t="s">
        <v>1616</v>
      </c>
      <c r="C2452" s="32" t="str">
        <f>vlookup(B2452,State_EMM_RowSums!$A$2:$B$52,2,FALSE)</f>
        <v>TN</v>
      </c>
      <c r="D2452" s="32">
        <v>47045.0</v>
      </c>
      <c r="E2452" s="33">
        <f>IF(NOT(ISBLANK(vlookup($D2452,Pop_Census_2023!$A$2:$E$3220,4,FALSE))),vlookup($D2452,Pop_Census_2023!$A$2:$E$3220,4,FALSE), vlookup($D2452,Pop_Census_2023!$A$2:$E$3220,5,FALSE))</f>
        <v>36498</v>
      </c>
      <c r="F2452" s="32">
        <v>1639741.0</v>
      </c>
      <c r="G2452" s="32">
        <v>92.0</v>
      </c>
      <c r="H2452" s="32" t="str">
        <f>VLOOKUP(D2452, Grid_Region_Mapping!$D$2:$F$5286, 3, FALSE)</f>
        <v>SRCE</v>
      </c>
      <c r="I2452" s="32">
        <v>6.0</v>
      </c>
      <c r="J2452" s="34" t="str">
        <f t="shared" si="1"/>
        <v>South</v>
      </c>
      <c r="K2452" s="35">
        <v>4.0</v>
      </c>
      <c r="L2452" s="35" t="s">
        <v>102</v>
      </c>
      <c r="M2452" s="36">
        <f>VLOOKUP(D2452, County_Data_CZones!$B$2:$F$3236, 2, FALSE)</f>
        <v>3</v>
      </c>
      <c r="N2452" s="37" t="str">
        <f>VLOOKUP(D2452, County_Data_CZones!$B$2:$F$3236, 5, FALSE)</f>
        <v>Mixed-Humid</v>
      </c>
    </row>
    <row r="2453" ht="15.75" customHeight="1">
      <c r="A2453" s="32" t="s">
        <v>131</v>
      </c>
      <c r="B2453" s="32" t="s">
        <v>1616</v>
      </c>
      <c r="C2453" s="32" t="str">
        <f>vlookup(B2453,State_EMM_RowSums!$A$2:$B$52,2,FALSE)</f>
        <v>TN</v>
      </c>
      <c r="D2453" s="32">
        <v>47047.0</v>
      </c>
      <c r="E2453" s="33">
        <f>IF(NOT(ISBLANK(vlookup($D2453,Pop_Census_2023!$A$2:$E$3220,4,FALSE))),vlookup($D2453,Pop_Census_2023!$A$2:$E$3220,4,FALSE), vlookup($D2453,Pop_Census_2023!$A$2:$E$3220,5,FALSE))</f>
        <v>44175</v>
      </c>
      <c r="F2453" s="32">
        <v>1639742.0</v>
      </c>
      <c r="G2453" s="32">
        <v>92.0</v>
      </c>
      <c r="H2453" s="32" t="str">
        <f>VLOOKUP(D2453, Grid_Region_Mapping!$D$2:$F$5286, 3, FALSE)</f>
        <v>SRCE</v>
      </c>
      <c r="I2453" s="32">
        <v>6.0</v>
      </c>
      <c r="J2453" s="34" t="str">
        <f t="shared" si="1"/>
        <v>South</v>
      </c>
      <c r="K2453" s="35">
        <v>4.0</v>
      </c>
      <c r="L2453" s="35" t="s">
        <v>102</v>
      </c>
      <c r="M2453" s="36">
        <f>VLOOKUP(D2453, County_Data_CZones!$B$2:$F$3236, 2, FALSE)</f>
        <v>3</v>
      </c>
      <c r="N2453" s="37" t="str">
        <f>VLOOKUP(D2453, County_Data_CZones!$B$2:$F$3236, 5, FALSE)</f>
        <v>Mixed-Humid</v>
      </c>
    </row>
    <row r="2454" ht="15.75" customHeight="1">
      <c r="A2454" s="32" t="s">
        <v>1624</v>
      </c>
      <c r="B2454" s="32" t="s">
        <v>1616</v>
      </c>
      <c r="C2454" s="32" t="str">
        <f>vlookup(B2454,State_EMM_RowSums!$A$2:$B$52,2,FALSE)</f>
        <v>TN</v>
      </c>
      <c r="D2454" s="32">
        <v>47049.0</v>
      </c>
      <c r="E2454" s="33">
        <f>IF(NOT(ISBLANK(vlookup($D2454,Pop_Census_2023!$A$2:$E$3220,4,FALSE))),vlookup($D2454,Pop_Census_2023!$A$2:$E$3220,4,FALSE), vlookup($D2454,Pop_Census_2023!$A$2:$E$3220,5,FALSE))</f>
        <v>19696</v>
      </c>
      <c r="F2454" s="32">
        <v>1639743.0</v>
      </c>
      <c r="G2454" s="32">
        <v>92.0</v>
      </c>
      <c r="H2454" s="32" t="str">
        <f>VLOOKUP(D2454, Grid_Region_Mapping!$D$2:$F$5286, 3, FALSE)</f>
        <v>SRCE</v>
      </c>
      <c r="I2454" s="32">
        <v>6.0</v>
      </c>
      <c r="J2454" s="34" t="str">
        <f t="shared" si="1"/>
        <v>South</v>
      </c>
      <c r="K2454" s="35">
        <v>3.0</v>
      </c>
      <c r="L2454" s="35" t="s">
        <v>223</v>
      </c>
      <c r="M2454" s="36">
        <f>VLOOKUP(D2454, County_Data_CZones!$B$2:$F$3236, 2, FALSE)</f>
        <v>4</v>
      </c>
      <c r="N2454" s="37" t="str">
        <f>VLOOKUP(D2454, County_Data_CZones!$B$2:$F$3236, 5, FALSE)</f>
        <v>Mixed-Humid</v>
      </c>
    </row>
    <row r="2455" ht="15.75" customHeight="1">
      <c r="A2455" s="32" t="s">
        <v>132</v>
      </c>
      <c r="B2455" s="32" t="s">
        <v>1616</v>
      </c>
      <c r="C2455" s="32" t="str">
        <f>vlookup(B2455,State_EMM_RowSums!$A$2:$B$52,2,FALSE)</f>
        <v>TN</v>
      </c>
      <c r="D2455" s="32">
        <v>47051.0</v>
      </c>
      <c r="E2455" s="33">
        <f>IF(NOT(ISBLANK(vlookup($D2455,Pop_Census_2023!$A$2:$E$3220,4,FALSE))),vlookup($D2455,Pop_Census_2023!$A$2:$E$3220,4,FALSE), vlookup($D2455,Pop_Census_2023!$A$2:$E$3220,5,FALSE))</f>
        <v>44654</v>
      </c>
      <c r="F2455" s="32">
        <v>1639744.0</v>
      </c>
      <c r="G2455" s="32">
        <v>92.0</v>
      </c>
      <c r="H2455" s="32" t="str">
        <f>VLOOKUP(D2455, Grid_Region_Mapping!$D$2:$F$5286, 3, FALSE)</f>
        <v>SRCE</v>
      </c>
      <c r="I2455" s="32">
        <v>6.0</v>
      </c>
      <c r="J2455" s="34" t="str">
        <f t="shared" si="1"/>
        <v>South</v>
      </c>
      <c r="K2455" s="35">
        <v>4.0</v>
      </c>
      <c r="L2455" s="35" t="s">
        <v>223</v>
      </c>
      <c r="M2455" s="36">
        <f>VLOOKUP(D2455, County_Data_CZones!$B$2:$F$3236, 2, FALSE)</f>
        <v>4</v>
      </c>
      <c r="N2455" s="37" t="str">
        <f>VLOOKUP(D2455, County_Data_CZones!$B$2:$F$3236, 5, FALSE)</f>
        <v>Mixed-Humid</v>
      </c>
    </row>
    <row r="2456" ht="15.75" customHeight="1">
      <c r="A2456" s="32" t="s">
        <v>672</v>
      </c>
      <c r="B2456" s="32" t="s">
        <v>1616</v>
      </c>
      <c r="C2456" s="32" t="str">
        <f>vlookup(B2456,State_EMM_RowSums!$A$2:$B$52,2,FALSE)</f>
        <v>TN</v>
      </c>
      <c r="D2456" s="32">
        <v>47053.0</v>
      </c>
      <c r="E2456" s="33">
        <f>IF(NOT(ISBLANK(vlookup($D2456,Pop_Census_2023!$A$2:$E$3220,4,FALSE))),vlookup($D2456,Pop_Census_2023!$A$2:$E$3220,4,FALSE), vlookup($D2456,Pop_Census_2023!$A$2:$E$3220,5,FALSE))</f>
        <v>51045</v>
      </c>
      <c r="F2456" s="32">
        <v>1639745.0</v>
      </c>
      <c r="G2456" s="32">
        <v>92.0</v>
      </c>
      <c r="H2456" s="32" t="str">
        <f>VLOOKUP(D2456, Grid_Region_Mapping!$D$2:$F$5286, 3, FALSE)</f>
        <v>SRCE</v>
      </c>
      <c r="I2456" s="32">
        <v>6.0</v>
      </c>
      <c r="J2456" s="34" t="str">
        <f t="shared" si="1"/>
        <v>South</v>
      </c>
      <c r="K2456" s="35">
        <v>3.0</v>
      </c>
      <c r="L2456" s="35" t="s">
        <v>223</v>
      </c>
      <c r="M2456" s="36">
        <f>VLOOKUP(D2456, County_Data_CZones!$B$2:$F$3236, 2, FALSE)</f>
        <v>4</v>
      </c>
      <c r="N2456" s="37" t="str">
        <f>VLOOKUP(D2456, County_Data_CZones!$B$2:$F$3236, 5, FALSE)</f>
        <v>Mixed-Humid</v>
      </c>
    </row>
    <row r="2457" ht="15.75" customHeight="1">
      <c r="A2457" s="32" t="s">
        <v>1625</v>
      </c>
      <c r="B2457" s="32" t="s">
        <v>1616</v>
      </c>
      <c r="C2457" s="32" t="str">
        <f>vlookup(B2457,State_EMM_RowSums!$A$2:$B$52,2,FALSE)</f>
        <v>TN</v>
      </c>
      <c r="D2457" s="32">
        <v>47055.0</v>
      </c>
      <c r="E2457" s="33">
        <f>IF(NOT(ISBLANK(vlookup($D2457,Pop_Census_2023!$A$2:$E$3220,4,FALSE))),vlookup($D2457,Pop_Census_2023!$A$2:$E$3220,4,FALSE), vlookup($D2457,Pop_Census_2023!$A$2:$E$3220,5,FALSE))</f>
        <v>30721</v>
      </c>
      <c r="F2457" s="32">
        <v>1639746.0</v>
      </c>
      <c r="G2457" s="32">
        <v>92.0</v>
      </c>
      <c r="H2457" s="32" t="str">
        <f>VLOOKUP(D2457, Grid_Region_Mapping!$D$2:$F$5286, 3, FALSE)</f>
        <v>SRCE</v>
      </c>
      <c r="I2457" s="32">
        <v>6.0</v>
      </c>
      <c r="J2457" s="34" t="str">
        <f t="shared" si="1"/>
        <v>South</v>
      </c>
      <c r="K2457" s="35">
        <v>4.0</v>
      </c>
      <c r="L2457" s="35" t="s">
        <v>223</v>
      </c>
      <c r="M2457" s="36">
        <f>VLOOKUP(D2457, County_Data_CZones!$B$2:$F$3236, 2, FALSE)</f>
        <v>4</v>
      </c>
      <c r="N2457" s="37" t="str">
        <f>VLOOKUP(D2457, County_Data_CZones!$B$2:$F$3236, 5, FALSE)</f>
        <v>Mixed-Humid</v>
      </c>
    </row>
    <row r="2458" ht="15.75" customHeight="1">
      <c r="A2458" s="32" t="s">
        <v>1626</v>
      </c>
      <c r="B2458" s="32" t="s">
        <v>1616</v>
      </c>
      <c r="C2458" s="32" t="str">
        <f>vlookup(B2458,State_EMM_RowSums!$A$2:$B$52,2,FALSE)</f>
        <v>TN</v>
      </c>
      <c r="D2458" s="32">
        <v>47057.0</v>
      </c>
      <c r="E2458" s="33">
        <f>IF(NOT(ISBLANK(vlookup($D2458,Pop_Census_2023!$A$2:$E$3220,4,FALSE))),vlookup($D2458,Pop_Census_2023!$A$2:$E$3220,4,FALSE), vlookup($D2458,Pop_Census_2023!$A$2:$E$3220,5,FALSE))</f>
        <v>24681</v>
      </c>
      <c r="F2458" s="32">
        <v>1648575.0</v>
      </c>
      <c r="G2458" s="32">
        <v>92.0</v>
      </c>
      <c r="H2458" s="32" t="str">
        <f>VLOOKUP(D2458, Grid_Region_Mapping!$D$2:$F$5286, 3, FALSE)</f>
        <v>SRCE</v>
      </c>
      <c r="I2458" s="32">
        <v>6.0</v>
      </c>
      <c r="J2458" s="34" t="str">
        <f t="shared" si="1"/>
        <v>South</v>
      </c>
      <c r="K2458" s="35">
        <v>3.0</v>
      </c>
      <c r="L2458" s="35" t="s">
        <v>223</v>
      </c>
      <c r="M2458" s="36">
        <f>VLOOKUP(D2458, County_Data_CZones!$B$2:$F$3236, 2, FALSE)</f>
        <v>4</v>
      </c>
      <c r="N2458" s="37" t="str">
        <f>VLOOKUP(D2458, County_Data_CZones!$B$2:$F$3236, 5, FALSE)</f>
        <v>Mixed-Humid</v>
      </c>
    </row>
    <row r="2459" ht="15.75" customHeight="1">
      <c r="A2459" s="32" t="s">
        <v>134</v>
      </c>
      <c r="B2459" s="32" t="s">
        <v>1616</v>
      </c>
      <c r="C2459" s="32" t="str">
        <f>vlookup(B2459,State_EMM_RowSums!$A$2:$B$52,2,FALSE)</f>
        <v>TN</v>
      </c>
      <c r="D2459" s="32">
        <v>47059.0</v>
      </c>
      <c r="E2459" s="33">
        <f>IF(NOT(ISBLANK(vlookup($D2459,Pop_Census_2023!$A$2:$E$3220,4,FALSE))),vlookup($D2459,Pop_Census_2023!$A$2:$E$3220,4,FALSE), vlookup($D2459,Pop_Census_2023!$A$2:$E$3220,5,FALSE))</f>
        <v>72577</v>
      </c>
      <c r="F2459" s="32">
        <v>1639747.0</v>
      </c>
      <c r="G2459" s="32">
        <v>92.0</v>
      </c>
      <c r="H2459" s="32" t="str">
        <f>VLOOKUP(D2459, Grid_Region_Mapping!$D$2:$F$5286, 3, FALSE)</f>
        <v>SRCE</v>
      </c>
      <c r="I2459" s="32">
        <v>6.0</v>
      </c>
      <c r="J2459" s="34" t="str">
        <f t="shared" si="1"/>
        <v>South</v>
      </c>
      <c r="K2459" s="35">
        <v>3.0</v>
      </c>
      <c r="L2459" s="35" t="s">
        <v>223</v>
      </c>
      <c r="M2459" s="36">
        <f>VLOOKUP(D2459, County_Data_CZones!$B$2:$F$3236, 2, FALSE)</f>
        <v>4</v>
      </c>
      <c r="N2459" s="37" t="str">
        <f>VLOOKUP(D2459, County_Data_CZones!$B$2:$F$3236, 5, FALSE)</f>
        <v>Mixed-Humid</v>
      </c>
    </row>
    <row r="2460" ht="15.75" customHeight="1">
      <c r="A2460" s="32" t="s">
        <v>625</v>
      </c>
      <c r="B2460" s="32" t="s">
        <v>1616</v>
      </c>
      <c r="C2460" s="32" t="str">
        <f>vlookup(B2460,State_EMM_RowSums!$A$2:$B$52,2,FALSE)</f>
        <v>TN</v>
      </c>
      <c r="D2460" s="32">
        <v>47061.0</v>
      </c>
      <c r="E2460" s="33">
        <f>IF(NOT(ISBLANK(vlookup($D2460,Pop_Census_2023!$A$2:$E$3220,4,FALSE))),vlookup($D2460,Pop_Census_2023!$A$2:$E$3220,4,FALSE), vlookup($D2460,Pop_Census_2023!$A$2:$E$3220,5,FALSE))</f>
        <v>13955</v>
      </c>
      <c r="F2460" s="32">
        <v>1639748.0</v>
      </c>
      <c r="G2460" s="32">
        <v>92.0</v>
      </c>
      <c r="H2460" s="32" t="str">
        <f>VLOOKUP(D2460, Grid_Region_Mapping!$D$2:$F$5286, 3, FALSE)</f>
        <v>SRCE</v>
      </c>
      <c r="I2460" s="32">
        <v>6.0</v>
      </c>
      <c r="J2460" s="34" t="str">
        <f t="shared" si="1"/>
        <v>South</v>
      </c>
      <c r="K2460" s="35">
        <v>3.0</v>
      </c>
      <c r="L2460" s="35" t="s">
        <v>223</v>
      </c>
      <c r="M2460" s="36">
        <f>VLOOKUP(D2460, County_Data_CZones!$B$2:$F$3236, 2, FALSE)</f>
        <v>4</v>
      </c>
      <c r="N2460" s="37" t="str">
        <f>VLOOKUP(D2460, County_Data_CZones!$B$2:$F$3236, 5, FALSE)</f>
        <v>Mixed-Humid</v>
      </c>
    </row>
    <row r="2461" ht="15.75" customHeight="1">
      <c r="A2461" s="32" t="s">
        <v>1627</v>
      </c>
      <c r="B2461" s="32" t="s">
        <v>1616</v>
      </c>
      <c r="C2461" s="32" t="str">
        <f>vlookup(B2461,State_EMM_RowSums!$A$2:$B$52,2,FALSE)</f>
        <v>TN</v>
      </c>
      <c r="D2461" s="32">
        <v>47063.0</v>
      </c>
      <c r="E2461" s="33">
        <f>IF(NOT(ISBLANK(vlookup($D2461,Pop_Census_2023!$A$2:$E$3220,4,FALSE))),vlookup($D2461,Pop_Census_2023!$A$2:$E$3220,4,FALSE), vlookup($D2461,Pop_Census_2023!$A$2:$E$3220,5,FALSE))</f>
        <v>66216</v>
      </c>
      <c r="F2461" s="32">
        <v>1648576.0</v>
      </c>
      <c r="G2461" s="32">
        <v>92.0</v>
      </c>
      <c r="H2461" s="32" t="str">
        <f>VLOOKUP(D2461, Grid_Region_Mapping!$D$2:$F$5286, 3, FALSE)</f>
        <v>SRCE</v>
      </c>
      <c r="I2461" s="32">
        <v>6.0</v>
      </c>
      <c r="J2461" s="34" t="str">
        <f t="shared" si="1"/>
        <v>South</v>
      </c>
      <c r="K2461" s="35">
        <v>3.0</v>
      </c>
      <c r="L2461" s="35" t="s">
        <v>223</v>
      </c>
      <c r="M2461" s="36">
        <f>VLOOKUP(D2461, County_Data_CZones!$B$2:$F$3236, 2, FALSE)</f>
        <v>4</v>
      </c>
      <c r="N2461" s="37" t="str">
        <f>VLOOKUP(D2461, County_Data_CZones!$B$2:$F$3236, 5, FALSE)</f>
        <v>Mixed-Humid</v>
      </c>
    </row>
    <row r="2462" ht="15.75" customHeight="1">
      <c r="A2462" s="32" t="s">
        <v>428</v>
      </c>
      <c r="B2462" s="32" t="s">
        <v>1616</v>
      </c>
      <c r="C2462" s="32" t="str">
        <f>vlookup(B2462,State_EMM_RowSums!$A$2:$B$52,2,FALSE)</f>
        <v>TN</v>
      </c>
      <c r="D2462" s="32">
        <v>47065.0</v>
      </c>
      <c r="E2462" s="33">
        <f>IF(NOT(ISBLANK(vlookup($D2462,Pop_Census_2023!$A$2:$E$3220,4,FALSE))),vlookup($D2462,Pop_Census_2023!$A$2:$E$3220,4,FALSE), vlookup($D2462,Pop_Census_2023!$A$2:$E$3220,5,FALSE))</f>
        <v>379864</v>
      </c>
      <c r="F2462" s="32">
        <v>1639749.0</v>
      </c>
      <c r="G2462" s="32">
        <v>92.0</v>
      </c>
      <c r="H2462" s="32" t="str">
        <f>VLOOKUP(D2462, Grid_Region_Mapping!$D$2:$F$5286, 3, FALSE)</f>
        <v>SRCE</v>
      </c>
      <c r="I2462" s="32">
        <v>6.0</v>
      </c>
      <c r="J2462" s="34" t="str">
        <f t="shared" si="1"/>
        <v>South</v>
      </c>
      <c r="K2462" s="35">
        <v>4.0</v>
      </c>
      <c r="L2462" s="35" t="s">
        <v>223</v>
      </c>
      <c r="M2462" s="36">
        <f>VLOOKUP(D2462, County_Data_CZones!$B$2:$F$3236, 2, FALSE)</f>
        <v>4</v>
      </c>
      <c r="N2462" s="37" t="str">
        <f>VLOOKUP(D2462, County_Data_CZones!$B$2:$F$3236, 5, FALSE)</f>
        <v>Mixed-Humid</v>
      </c>
    </row>
    <row r="2463" ht="15.75" customHeight="1">
      <c r="A2463" s="32" t="s">
        <v>512</v>
      </c>
      <c r="B2463" s="32" t="s">
        <v>1616</v>
      </c>
      <c r="C2463" s="32" t="str">
        <f>vlookup(B2463,State_EMM_RowSums!$A$2:$B$52,2,FALSE)</f>
        <v>TN</v>
      </c>
      <c r="D2463" s="32">
        <v>47067.0</v>
      </c>
      <c r="E2463" s="33">
        <f>IF(NOT(ISBLANK(vlookup($D2463,Pop_Census_2023!$A$2:$E$3220,4,FALSE))),vlookup($D2463,Pop_Census_2023!$A$2:$E$3220,4,FALSE), vlookup($D2463,Pop_Census_2023!$A$2:$E$3220,5,FALSE))</f>
        <v>6956</v>
      </c>
      <c r="F2463" s="32">
        <v>1648577.0</v>
      </c>
      <c r="G2463" s="32">
        <v>92.0</v>
      </c>
      <c r="H2463" s="32" t="str">
        <f>VLOOKUP(D2463, Grid_Region_Mapping!$D$2:$F$5286, 3, FALSE)</f>
        <v>SRCE</v>
      </c>
      <c r="I2463" s="32">
        <v>6.0</v>
      </c>
      <c r="J2463" s="34" t="str">
        <f t="shared" si="1"/>
        <v>South</v>
      </c>
      <c r="K2463" s="35">
        <v>3.0</v>
      </c>
      <c r="L2463" s="35" t="s">
        <v>223</v>
      </c>
      <c r="M2463" s="36">
        <f>VLOOKUP(D2463, County_Data_CZones!$B$2:$F$3236, 2, FALSE)</f>
        <v>4</v>
      </c>
      <c r="N2463" s="37" t="str">
        <f>VLOOKUP(D2463, County_Data_CZones!$B$2:$F$3236, 5, FALSE)</f>
        <v>Mixed-Humid</v>
      </c>
    </row>
    <row r="2464" ht="15.75" customHeight="1">
      <c r="A2464" s="32" t="s">
        <v>1628</v>
      </c>
      <c r="B2464" s="32" t="s">
        <v>1616</v>
      </c>
      <c r="C2464" s="32" t="str">
        <f>vlookup(B2464,State_EMM_RowSums!$A$2:$B$52,2,FALSE)</f>
        <v>TN</v>
      </c>
      <c r="D2464" s="32">
        <v>47069.0</v>
      </c>
      <c r="E2464" s="33">
        <f>IF(NOT(ISBLANK(vlookup($D2464,Pop_Census_2023!$A$2:$E$3220,4,FALSE))),vlookup($D2464,Pop_Census_2023!$A$2:$E$3220,4,FALSE), vlookup($D2464,Pop_Census_2023!$A$2:$E$3220,5,FALSE))</f>
        <v>25567</v>
      </c>
      <c r="F2464" s="32">
        <v>1639750.0</v>
      </c>
      <c r="G2464" s="32">
        <v>92.0</v>
      </c>
      <c r="H2464" s="32" t="str">
        <f>VLOOKUP(D2464, Grid_Region_Mapping!$D$2:$F$5286, 3, FALSE)</f>
        <v>SRCE</v>
      </c>
      <c r="I2464" s="32">
        <v>6.0</v>
      </c>
      <c r="J2464" s="34" t="str">
        <f t="shared" si="1"/>
        <v>South</v>
      </c>
      <c r="K2464" s="35">
        <v>4.0</v>
      </c>
      <c r="L2464" s="35" t="s">
        <v>102</v>
      </c>
      <c r="M2464" s="36">
        <f>VLOOKUP(D2464, County_Data_CZones!$B$2:$F$3236, 2, FALSE)</f>
        <v>3</v>
      </c>
      <c r="N2464" s="37" t="str">
        <f>VLOOKUP(D2464, County_Data_CZones!$B$2:$F$3236, 5, FALSE)</f>
        <v>Mixed-Humid</v>
      </c>
    </row>
    <row r="2465" ht="15.75" customHeight="1">
      <c r="A2465" s="32" t="s">
        <v>626</v>
      </c>
      <c r="B2465" s="32" t="s">
        <v>1616</v>
      </c>
      <c r="C2465" s="32" t="str">
        <f>vlookup(B2465,State_EMM_RowSums!$A$2:$B$52,2,FALSE)</f>
        <v>TN</v>
      </c>
      <c r="D2465" s="32">
        <v>47071.0</v>
      </c>
      <c r="E2465" s="33">
        <f>IF(NOT(ISBLANK(vlookup($D2465,Pop_Census_2023!$A$2:$E$3220,4,FALSE))),vlookup($D2465,Pop_Census_2023!$A$2:$E$3220,4,FALSE), vlookup($D2465,Pop_Census_2023!$A$2:$E$3220,5,FALSE))</f>
        <v>27229</v>
      </c>
      <c r="F2465" s="32">
        <v>1639751.0</v>
      </c>
      <c r="G2465" s="32">
        <v>92.0</v>
      </c>
      <c r="H2465" s="32" t="str">
        <f>VLOOKUP(D2465, Grid_Region_Mapping!$D$2:$F$5286, 3, FALSE)</f>
        <v>SRCE</v>
      </c>
      <c r="I2465" s="32">
        <v>6.0</v>
      </c>
      <c r="J2465" s="34" t="str">
        <f t="shared" si="1"/>
        <v>South</v>
      </c>
      <c r="K2465" s="35">
        <v>4.0</v>
      </c>
      <c r="L2465" s="35" t="s">
        <v>102</v>
      </c>
      <c r="M2465" s="36">
        <f>VLOOKUP(D2465, County_Data_CZones!$B$2:$F$3236, 2, FALSE)</f>
        <v>3</v>
      </c>
      <c r="N2465" s="37" t="str">
        <f>VLOOKUP(D2465, County_Data_CZones!$B$2:$F$3236, 5, FALSE)</f>
        <v>Mixed-Humid</v>
      </c>
    </row>
    <row r="2466" ht="15.75" customHeight="1">
      <c r="A2466" s="32" t="s">
        <v>1629</v>
      </c>
      <c r="B2466" s="32" t="s">
        <v>1616</v>
      </c>
      <c r="C2466" s="32" t="str">
        <f>vlookup(B2466,State_EMM_RowSums!$A$2:$B$52,2,FALSE)</f>
        <v>TN</v>
      </c>
      <c r="D2466" s="32">
        <v>47073.0</v>
      </c>
      <c r="E2466" s="33">
        <f>IF(NOT(ISBLANK(vlookup($D2466,Pop_Census_2023!$A$2:$E$3220,4,FALSE))),vlookup($D2466,Pop_Census_2023!$A$2:$E$3220,4,FALSE), vlookup($D2466,Pop_Census_2023!$A$2:$E$3220,5,FALSE))</f>
        <v>58600</v>
      </c>
      <c r="F2466" s="32">
        <v>1639752.0</v>
      </c>
      <c r="G2466" s="32">
        <v>92.0</v>
      </c>
      <c r="H2466" s="32" t="str">
        <f>VLOOKUP(D2466, Grid_Region_Mapping!$D$2:$F$5286, 3, FALSE)</f>
        <v>SRCE</v>
      </c>
      <c r="I2466" s="32">
        <v>6.0</v>
      </c>
      <c r="J2466" s="34" t="str">
        <f t="shared" si="1"/>
        <v>South</v>
      </c>
      <c r="K2466" s="35">
        <v>3.0</v>
      </c>
      <c r="L2466" s="35" t="s">
        <v>223</v>
      </c>
      <c r="M2466" s="36">
        <f>VLOOKUP(D2466, County_Data_CZones!$B$2:$F$3236, 2, FALSE)</f>
        <v>4</v>
      </c>
      <c r="N2466" s="37" t="str">
        <f>VLOOKUP(D2466, County_Data_CZones!$B$2:$F$3236, 5, FALSE)</f>
        <v>Mixed-Humid</v>
      </c>
    </row>
    <row r="2467" ht="15.75" customHeight="1">
      <c r="A2467" s="32" t="s">
        <v>1356</v>
      </c>
      <c r="B2467" s="32" t="s">
        <v>1616</v>
      </c>
      <c r="C2467" s="32" t="str">
        <f>vlookup(B2467,State_EMM_RowSums!$A$2:$B$52,2,FALSE)</f>
        <v>TN</v>
      </c>
      <c r="D2467" s="32">
        <v>47075.0</v>
      </c>
      <c r="E2467" s="33">
        <f>IF(NOT(ISBLANK(vlookup($D2467,Pop_Census_2023!$A$2:$E$3220,4,FALSE))),vlookup($D2467,Pop_Census_2023!$A$2:$E$3220,4,FALSE), vlookup($D2467,Pop_Census_2023!$A$2:$E$3220,5,FALSE))</f>
        <v>17328</v>
      </c>
      <c r="F2467" s="32">
        <v>1639753.0</v>
      </c>
      <c r="G2467" s="32">
        <v>92.0</v>
      </c>
      <c r="H2467" s="32" t="str">
        <f>VLOOKUP(D2467, Grid_Region_Mapping!$D$2:$F$5286, 3, FALSE)</f>
        <v>SRCE</v>
      </c>
      <c r="I2467" s="32">
        <v>6.0</v>
      </c>
      <c r="J2467" s="34" t="str">
        <f t="shared" si="1"/>
        <v>South</v>
      </c>
      <c r="K2467" s="35">
        <v>4.0</v>
      </c>
      <c r="L2467" s="35" t="s">
        <v>102</v>
      </c>
      <c r="M2467" s="36">
        <f>VLOOKUP(D2467, County_Data_CZones!$B$2:$F$3236, 2, FALSE)</f>
        <v>3</v>
      </c>
      <c r="N2467" s="37" t="str">
        <f>VLOOKUP(D2467, County_Data_CZones!$B$2:$F$3236, 5, FALSE)</f>
        <v>Mixed-Humid</v>
      </c>
    </row>
    <row r="2468" ht="15.75" customHeight="1">
      <c r="A2468" s="32" t="s">
        <v>627</v>
      </c>
      <c r="B2468" s="32" t="s">
        <v>1616</v>
      </c>
      <c r="C2468" s="32" t="str">
        <f>vlookup(B2468,State_EMM_RowSums!$A$2:$B$52,2,FALSE)</f>
        <v>TN</v>
      </c>
      <c r="D2468" s="32">
        <v>47077.0</v>
      </c>
      <c r="E2468" s="33">
        <f>IF(NOT(ISBLANK(vlookup($D2468,Pop_Census_2023!$A$2:$E$3220,4,FALSE))),vlookup($D2468,Pop_Census_2023!$A$2:$E$3220,4,FALSE), vlookup($D2468,Pop_Census_2023!$A$2:$E$3220,5,FALSE))</f>
        <v>28070</v>
      </c>
      <c r="F2468" s="32">
        <v>1639754.0</v>
      </c>
      <c r="G2468" s="32">
        <v>92.0</v>
      </c>
      <c r="H2468" s="32" t="str">
        <f>VLOOKUP(D2468, Grid_Region_Mapping!$D$2:$F$5286, 3, FALSE)</f>
        <v>SRCE</v>
      </c>
      <c r="I2468" s="32">
        <v>6.0</v>
      </c>
      <c r="J2468" s="34" t="str">
        <f t="shared" si="1"/>
        <v>South</v>
      </c>
      <c r="K2468" s="35">
        <v>4.0</v>
      </c>
      <c r="L2468" s="35" t="s">
        <v>102</v>
      </c>
      <c r="M2468" s="36">
        <f>VLOOKUP(D2468, County_Data_CZones!$B$2:$F$3236, 2, FALSE)</f>
        <v>3</v>
      </c>
      <c r="N2468" s="37" t="str">
        <f>VLOOKUP(D2468, County_Data_CZones!$B$2:$F$3236, 5, FALSE)</f>
        <v>Mixed-Humid</v>
      </c>
    </row>
    <row r="2469" ht="15.75" customHeight="1">
      <c r="A2469" s="32" t="s">
        <v>136</v>
      </c>
      <c r="B2469" s="32" t="s">
        <v>1616</v>
      </c>
      <c r="C2469" s="32" t="str">
        <f>vlookup(B2469,State_EMM_RowSums!$A$2:$B$52,2,FALSE)</f>
        <v>TN</v>
      </c>
      <c r="D2469" s="32">
        <v>47079.0</v>
      </c>
      <c r="E2469" s="33">
        <f>IF(NOT(ISBLANK(vlookup($D2469,Pop_Census_2023!$A$2:$E$3220,4,FALSE))),vlookup($D2469,Pop_Census_2023!$A$2:$E$3220,4,FALSE), vlookup($D2469,Pop_Census_2023!$A$2:$E$3220,5,FALSE))</f>
        <v>32554</v>
      </c>
      <c r="F2469" s="32">
        <v>1639755.0</v>
      </c>
      <c r="G2469" s="32">
        <v>92.0</v>
      </c>
      <c r="H2469" s="32" t="str">
        <f>VLOOKUP(D2469, Grid_Region_Mapping!$D$2:$F$5286, 3, FALSE)</f>
        <v>SRCE</v>
      </c>
      <c r="I2469" s="32">
        <v>6.0</v>
      </c>
      <c r="J2469" s="34" t="str">
        <f t="shared" si="1"/>
        <v>South</v>
      </c>
      <c r="K2469" s="35">
        <v>3.0</v>
      </c>
      <c r="L2469" s="35" t="s">
        <v>223</v>
      </c>
      <c r="M2469" s="36">
        <f>VLOOKUP(D2469, County_Data_CZones!$B$2:$F$3236, 2, FALSE)</f>
        <v>4</v>
      </c>
      <c r="N2469" s="37" t="str">
        <f>VLOOKUP(D2469, County_Data_CZones!$B$2:$F$3236, 5, FALSE)</f>
        <v>Mixed-Humid</v>
      </c>
    </row>
    <row r="2470" ht="15.75" customHeight="1">
      <c r="A2470" s="32" t="s">
        <v>845</v>
      </c>
      <c r="B2470" s="32" t="s">
        <v>1616</v>
      </c>
      <c r="C2470" s="32" t="str">
        <f>vlookup(B2470,State_EMM_RowSums!$A$2:$B$52,2,FALSE)</f>
        <v>TN</v>
      </c>
      <c r="D2470" s="32">
        <v>47081.0</v>
      </c>
      <c r="E2470" s="33">
        <f>IF(NOT(ISBLANK(vlookup($D2470,Pop_Census_2023!$A$2:$E$3220,4,FALSE))),vlookup($D2470,Pop_Census_2023!$A$2:$E$3220,4,FALSE), vlookup($D2470,Pop_Census_2023!$A$2:$E$3220,5,FALSE))</f>
        <v>25826</v>
      </c>
      <c r="F2470" s="32">
        <v>1639756.0</v>
      </c>
      <c r="G2470" s="32">
        <v>92.0</v>
      </c>
      <c r="H2470" s="32" t="str">
        <f>VLOOKUP(D2470, Grid_Region_Mapping!$D$2:$F$5286, 3, FALSE)</f>
        <v>SRCE</v>
      </c>
      <c r="I2470" s="32">
        <v>6.0</v>
      </c>
      <c r="J2470" s="34" t="str">
        <f t="shared" si="1"/>
        <v>South</v>
      </c>
      <c r="K2470" s="35">
        <v>3.0</v>
      </c>
      <c r="L2470" s="35" t="s">
        <v>223</v>
      </c>
      <c r="M2470" s="36">
        <f>VLOOKUP(D2470, County_Data_CZones!$B$2:$F$3236, 2, FALSE)</f>
        <v>4</v>
      </c>
      <c r="N2470" s="37" t="str">
        <f>VLOOKUP(D2470, County_Data_CZones!$B$2:$F$3236, 5, FALSE)</f>
        <v>Mixed-Humid</v>
      </c>
    </row>
    <row r="2471" ht="15.75" customHeight="1">
      <c r="A2471" s="32" t="s">
        <v>137</v>
      </c>
      <c r="B2471" s="32" t="s">
        <v>1616</v>
      </c>
      <c r="C2471" s="32" t="str">
        <f>vlookup(B2471,State_EMM_RowSums!$A$2:$B$52,2,FALSE)</f>
        <v>TN</v>
      </c>
      <c r="D2471" s="32">
        <v>47083.0</v>
      </c>
      <c r="E2471" s="33">
        <f>IF(NOT(ISBLANK(vlookup($D2471,Pop_Census_2023!$A$2:$E$3220,4,FALSE))),vlookup($D2471,Pop_Census_2023!$A$2:$E$3220,4,FALSE), vlookup($D2471,Pop_Census_2023!$A$2:$E$3220,5,FALSE))</f>
        <v>8393</v>
      </c>
      <c r="F2471" s="32">
        <v>1648578.0</v>
      </c>
      <c r="G2471" s="32">
        <v>92.0</v>
      </c>
      <c r="H2471" s="32" t="str">
        <f>VLOOKUP(D2471, Grid_Region_Mapping!$D$2:$F$5286, 3, FALSE)</f>
        <v>SRCE</v>
      </c>
      <c r="I2471" s="32">
        <v>6.0</v>
      </c>
      <c r="J2471" s="34" t="str">
        <f t="shared" si="1"/>
        <v>South</v>
      </c>
      <c r="K2471" s="35">
        <v>3.0</v>
      </c>
      <c r="L2471" s="35" t="s">
        <v>223</v>
      </c>
      <c r="M2471" s="36">
        <f>VLOOKUP(D2471, County_Data_CZones!$B$2:$F$3236, 2, FALSE)</f>
        <v>4</v>
      </c>
      <c r="N2471" s="37" t="str">
        <f>VLOOKUP(D2471, County_Data_CZones!$B$2:$F$3236, 5, FALSE)</f>
        <v>Mixed-Humid</v>
      </c>
    </row>
    <row r="2472" ht="15.75" customHeight="1">
      <c r="A2472" s="32" t="s">
        <v>1097</v>
      </c>
      <c r="B2472" s="32" t="s">
        <v>1616</v>
      </c>
      <c r="C2472" s="32" t="str">
        <f>vlookup(B2472,State_EMM_RowSums!$A$2:$B$52,2,FALSE)</f>
        <v>TN</v>
      </c>
      <c r="D2472" s="32">
        <v>47085.0</v>
      </c>
      <c r="E2472" s="33">
        <f>IF(NOT(ISBLANK(vlookup($D2472,Pop_Census_2023!$A$2:$E$3220,4,FALSE))),vlookup($D2472,Pop_Census_2023!$A$2:$E$3220,4,FALSE), vlookup($D2472,Pop_Census_2023!$A$2:$E$3220,5,FALSE))</f>
        <v>19209</v>
      </c>
      <c r="F2472" s="32">
        <v>1639757.0</v>
      </c>
      <c r="G2472" s="32">
        <v>92.0</v>
      </c>
      <c r="H2472" s="32" t="str">
        <f>VLOOKUP(D2472, Grid_Region_Mapping!$D$2:$F$5286, 3, FALSE)</f>
        <v>SRCE</v>
      </c>
      <c r="I2472" s="32">
        <v>6.0</v>
      </c>
      <c r="J2472" s="34" t="str">
        <f t="shared" si="1"/>
        <v>South</v>
      </c>
      <c r="K2472" s="35">
        <v>3.0</v>
      </c>
      <c r="L2472" s="35" t="s">
        <v>223</v>
      </c>
      <c r="M2472" s="36">
        <f>VLOOKUP(D2472, County_Data_CZones!$B$2:$F$3236, 2, FALSE)</f>
        <v>4</v>
      </c>
      <c r="N2472" s="37" t="str">
        <f>VLOOKUP(D2472, County_Data_CZones!$B$2:$F$3236, 5, FALSE)</f>
        <v>Mixed-Humid</v>
      </c>
    </row>
    <row r="2473" ht="15.75" customHeight="1">
      <c r="A2473" s="32" t="s">
        <v>138</v>
      </c>
      <c r="B2473" s="32" t="s">
        <v>1616</v>
      </c>
      <c r="C2473" s="32" t="str">
        <f>vlookup(B2473,State_EMM_RowSums!$A$2:$B$52,2,FALSE)</f>
        <v>TN</v>
      </c>
      <c r="D2473" s="32">
        <v>47087.0</v>
      </c>
      <c r="E2473" s="33">
        <f>IF(NOT(ISBLANK(vlookup($D2473,Pop_Census_2023!$A$2:$E$3220,4,FALSE))),vlookup($D2473,Pop_Census_2023!$A$2:$E$3220,4,FALSE), vlookup($D2473,Pop_Census_2023!$A$2:$E$3220,5,FALSE))</f>
        <v>12363</v>
      </c>
      <c r="F2473" s="32">
        <v>1639758.0</v>
      </c>
      <c r="G2473" s="32">
        <v>92.0</v>
      </c>
      <c r="H2473" s="32" t="str">
        <f>VLOOKUP(D2473, Grid_Region_Mapping!$D$2:$F$5286, 3, FALSE)</f>
        <v>SRCE</v>
      </c>
      <c r="I2473" s="32">
        <v>6.0</v>
      </c>
      <c r="J2473" s="34" t="str">
        <f t="shared" si="1"/>
        <v>South</v>
      </c>
      <c r="K2473" s="35">
        <v>3.0</v>
      </c>
      <c r="L2473" s="35" t="s">
        <v>223</v>
      </c>
      <c r="M2473" s="36">
        <f>VLOOKUP(D2473, County_Data_CZones!$B$2:$F$3236, 2, FALSE)</f>
        <v>4</v>
      </c>
      <c r="N2473" s="37" t="str">
        <f>VLOOKUP(D2473, County_Data_CZones!$B$2:$F$3236, 5, FALSE)</f>
        <v>Mixed-Humid</v>
      </c>
    </row>
    <row r="2474" ht="15.75" customHeight="1">
      <c r="A2474" s="32" t="s">
        <v>139</v>
      </c>
      <c r="B2474" s="32" t="s">
        <v>1616</v>
      </c>
      <c r="C2474" s="32" t="str">
        <f>vlookup(B2474,State_EMM_RowSums!$A$2:$B$52,2,FALSE)</f>
        <v>TN</v>
      </c>
      <c r="D2474" s="32">
        <v>47089.0</v>
      </c>
      <c r="E2474" s="33">
        <f>IF(NOT(ISBLANK(vlookup($D2474,Pop_Census_2023!$A$2:$E$3220,4,FALSE))),vlookup($D2474,Pop_Census_2023!$A$2:$E$3220,4,FALSE), vlookup($D2474,Pop_Census_2023!$A$2:$E$3220,5,FALSE))</f>
        <v>57838</v>
      </c>
      <c r="F2474" s="32">
        <v>1639759.0</v>
      </c>
      <c r="G2474" s="32">
        <v>92.0</v>
      </c>
      <c r="H2474" s="32" t="str">
        <f>VLOOKUP(D2474, Grid_Region_Mapping!$D$2:$F$5286, 3, FALSE)</f>
        <v>SRCE</v>
      </c>
      <c r="I2474" s="32">
        <v>6.0</v>
      </c>
      <c r="J2474" s="34" t="str">
        <f t="shared" si="1"/>
        <v>South</v>
      </c>
      <c r="K2474" s="35">
        <v>3.0</v>
      </c>
      <c r="L2474" s="35" t="s">
        <v>223</v>
      </c>
      <c r="M2474" s="36">
        <f>VLOOKUP(D2474, County_Data_CZones!$B$2:$F$3236, 2, FALSE)</f>
        <v>4</v>
      </c>
      <c r="N2474" s="37" t="str">
        <f>VLOOKUP(D2474, County_Data_CZones!$B$2:$F$3236, 5, FALSE)</f>
        <v>Mixed-Humid</v>
      </c>
    </row>
    <row r="2475" ht="15.75" customHeight="1">
      <c r="A2475" s="32" t="s">
        <v>248</v>
      </c>
      <c r="B2475" s="32" t="s">
        <v>1616</v>
      </c>
      <c r="C2475" s="32" t="str">
        <f>vlookup(B2475,State_EMM_RowSums!$A$2:$B$52,2,FALSE)</f>
        <v>TN</v>
      </c>
      <c r="D2475" s="32">
        <v>47091.0</v>
      </c>
      <c r="E2475" s="33">
        <f>IF(NOT(ISBLANK(vlookup($D2475,Pop_Census_2023!$A$2:$E$3220,4,FALSE))),vlookup($D2475,Pop_Census_2023!$A$2:$E$3220,4,FALSE), vlookup($D2475,Pop_Census_2023!$A$2:$E$3220,5,FALSE))</f>
        <v>18375</v>
      </c>
      <c r="F2475" s="32">
        <v>1639760.0</v>
      </c>
      <c r="G2475" s="32">
        <v>92.0</v>
      </c>
      <c r="H2475" s="32" t="str">
        <f>VLOOKUP(D2475, Grid_Region_Mapping!$D$2:$F$5286, 3, FALSE)</f>
        <v>SRCE</v>
      </c>
      <c r="I2475" s="32">
        <v>6.0</v>
      </c>
      <c r="J2475" s="34" t="str">
        <f t="shared" si="1"/>
        <v>South</v>
      </c>
      <c r="K2475" s="35">
        <v>3.0</v>
      </c>
      <c r="L2475" s="35" t="s">
        <v>223</v>
      </c>
      <c r="M2475" s="36">
        <f>VLOOKUP(D2475, County_Data_CZones!$B$2:$F$3236, 2, FALSE)</f>
        <v>4</v>
      </c>
      <c r="N2475" s="37" t="str">
        <f>VLOOKUP(D2475, County_Data_CZones!$B$2:$F$3236, 5, FALSE)</f>
        <v>Mixed-Humid</v>
      </c>
    </row>
    <row r="2476" ht="15.75" customHeight="1">
      <c r="A2476" s="32" t="s">
        <v>634</v>
      </c>
      <c r="B2476" s="32" t="s">
        <v>1616</v>
      </c>
      <c r="C2476" s="32" t="str">
        <f>vlookup(B2476,State_EMM_RowSums!$A$2:$B$52,2,FALSE)</f>
        <v>TN</v>
      </c>
      <c r="D2476" s="32">
        <v>47093.0</v>
      </c>
      <c r="E2476" s="33">
        <f>IF(NOT(ISBLANK(vlookup($D2476,Pop_Census_2023!$A$2:$E$3220,4,FALSE))),vlookup($D2476,Pop_Census_2023!$A$2:$E$3220,4,FALSE), vlookup($D2476,Pop_Census_2023!$A$2:$E$3220,5,FALSE))</f>
        <v>500669</v>
      </c>
      <c r="F2476" s="32">
        <v>1639761.0</v>
      </c>
      <c r="G2476" s="32">
        <v>92.0</v>
      </c>
      <c r="H2476" s="32" t="str">
        <f>VLOOKUP(D2476, Grid_Region_Mapping!$D$2:$F$5286, 3, FALSE)</f>
        <v>SRCE</v>
      </c>
      <c r="I2476" s="32">
        <v>6.0</v>
      </c>
      <c r="J2476" s="34" t="str">
        <f t="shared" si="1"/>
        <v>South</v>
      </c>
      <c r="K2476" s="35">
        <v>4.0</v>
      </c>
      <c r="L2476" s="35" t="s">
        <v>223</v>
      </c>
      <c r="M2476" s="36">
        <f>VLOOKUP(D2476, County_Data_CZones!$B$2:$F$3236, 2, FALSE)</f>
        <v>4</v>
      </c>
      <c r="N2476" s="37" t="str">
        <f>VLOOKUP(D2476, County_Data_CZones!$B$2:$F$3236, 5, FALSE)</f>
        <v>Mixed-Humid</v>
      </c>
    </row>
    <row r="2477" ht="15.75" customHeight="1">
      <c r="A2477" s="32" t="s">
        <v>298</v>
      </c>
      <c r="B2477" s="32" t="s">
        <v>1616</v>
      </c>
      <c r="C2477" s="32" t="str">
        <f>vlookup(B2477,State_EMM_RowSums!$A$2:$B$52,2,FALSE)</f>
        <v>TN</v>
      </c>
      <c r="D2477" s="32">
        <v>47095.0</v>
      </c>
      <c r="E2477" s="33">
        <f>IF(NOT(ISBLANK(vlookup($D2477,Pop_Census_2023!$A$2:$E$3220,4,FALSE))),vlookup($D2477,Pop_Census_2023!$A$2:$E$3220,4,FALSE), vlookup($D2477,Pop_Census_2023!$A$2:$E$3220,5,FALSE))</f>
        <v>6347</v>
      </c>
      <c r="F2477" s="32">
        <v>1639762.0</v>
      </c>
      <c r="G2477" s="32">
        <v>92.0</v>
      </c>
      <c r="H2477" s="32" t="str">
        <f>VLOOKUP(D2477, Grid_Region_Mapping!$D$2:$F$5286, 3, FALSE)</f>
        <v>SRCE</v>
      </c>
      <c r="I2477" s="32">
        <v>6.0</v>
      </c>
      <c r="J2477" s="34" t="str">
        <f t="shared" si="1"/>
        <v>South</v>
      </c>
      <c r="K2477" s="35">
        <v>3.0</v>
      </c>
      <c r="L2477" s="35" t="s">
        <v>102</v>
      </c>
      <c r="M2477" s="36">
        <f>VLOOKUP(D2477, County_Data_CZones!$B$2:$F$3236, 2, FALSE)</f>
        <v>3</v>
      </c>
      <c r="N2477" s="37" t="str">
        <f>VLOOKUP(D2477, County_Data_CZones!$B$2:$F$3236, 5, FALSE)</f>
        <v>Mixed-Humid</v>
      </c>
    </row>
    <row r="2478" ht="15.75" customHeight="1">
      <c r="A2478" s="32" t="s">
        <v>141</v>
      </c>
      <c r="B2478" s="32" t="s">
        <v>1616</v>
      </c>
      <c r="C2478" s="32" t="str">
        <f>vlookup(B2478,State_EMM_RowSums!$A$2:$B$52,2,FALSE)</f>
        <v>TN</v>
      </c>
      <c r="D2478" s="32">
        <v>47097.0</v>
      </c>
      <c r="E2478" s="33">
        <f>IF(NOT(ISBLANK(vlookup($D2478,Pop_Census_2023!$A$2:$E$3220,4,FALSE))),vlookup($D2478,Pop_Census_2023!$A$2:$E$3220,4,FALSE), vlookup($D2478,Pop_Census_2023!$A$2:$E$3220,5,FALSE))</f>
        <v>24610</v>
      </c>
      <c r="F2478" s="32">
        <v>1639763.0</v>
      </c>
      <c r="G2478" s="32">
        <v>92.0</v>
      </c>
      <c r="H2478" s="32" t="str">
        <f>VLOOKUP(D2478, Grid_Region_Mapping!$D$2:$F$5286, 3, FALSE)</f>
        <v>SRCE</v>
      </c>
      <c r="I2478" s="32">
        <v>6.0</v>
      </c>
      <c r="J2478" s="34" t="str">
        <f t="shared" si="1"/>
        <v>South</v>
      </c>
      <c r="K2478" s="35">
        <v>4.0</v>
      </c>
      <c r="L2478" s="35" t="s">
        <v>102</v>
      </c>
      <c r="M2478" s="36">
        <f>VLOOKUP(D2478, County_Data_CZones!$B$2:$F$3236, 2, FALSE)</f>
        <v>3</v>
      </c>
      <c r="N2478" s="37" t="str">
        <f>VLOOKUP(D2478, County_Data_CZones!$B$2:$F$3236, 5, FALSE)</f>
        <v>Mixed-Humid</v>
      </c>
    </row>
    <row r="2479" ht="15.75" customHeight="1">
      <c r="A2479" s="32" t="s">
        <v>142</v>
      </c>
      <c r="B2479" s="32" t="s">
        <v>1616</v>
      </c>
      <c r="C2479" s="32" t="str">
        <f>vlookup(B2479,State_EMM_RowSums!$A$2:$B$52,2,FALSE)</f>
        <v>TN</v>
      </c>
      <c r="D2479" s="32">
        <v>47099.0</v>
      </c>
      <c r="E2479" s="33">
        <f>IF(NOT(ISBLANK(vlookup($D2479,Pop_Census_2023!$A$2:$E$3220,4,FALSE))),vlookup($D2479,Pop_Census_2023!$A$2:$E$3220,4,FALSE), vlookup($D2479,Pop_Census_2023!$A$2:$E$3220,5,FALSE))</f>
        <v>46114</v>
      </c>
      <c r="F2479" s="32">
        <v>1639764.0</v>
      </c>
      <c r="G2479" s="32">
        <v>92.0</v>
      </c>
      <c r="H2479" s="32" t="str">
        <f>VLOOKUP(D2479, Grid_Region_Mapping!$D$2:$F$5286, 3, FALSE)</f>
        <v>SRCE</v>
      </c>
      <c r="I2479" s="32">
        <v>6.0</v>
      </c>
      <c r="J2479" s="34" t="str">
        <f t="shared" si="1"/>
        <v>South</v>
      </c>
      <c r="K2479" s="35">
        <v>4.0</v>
      </c>
      <c r="L2479" s="35" t="s">
        <v>223</v>
      </c>
      <c r="M2479" s="36">
        <f>VLOOKUP(D2479, County_Data_CZones!$B$2:$F$3236, 2, FALSE)</f>
        <v>4</v>
      </c>
      <c r="N2479" s="37" t="str">
        <f>VLOOKUP(D2479, County_Data_CZones!$B$2:$F$3236, 5, FALSE)</f>
        <v>Mixed-Humid</v>
      </c>
    </row>
    <row r="2480" ht="15.75" customHeight="1">
      <c r="A2480" s="32" t="s">
        <v>597</v>
      </c>
      <c r="B2480" s="32" t="s">
        <v>1616</v>
      </c>
      <c r="C2480" s="32" t="str">
        <f>vlookup(B2480,State_EMM_RowSums!$A$2:$B$52,2,FALSE)</f>
        <v>TN</v>
      </c>
      <c r="D2480" s="32">
        <v>47101.0</v>
      </c>
      <c r="E2480" s="33">
        <f>IF(NOT(ISBLANK(vlookup($D2480,Pop_Census_2023!$A$2:$E$3220,4,FALSE))),vlookup($D2480,Pop_Census_2023!$A$2:$E$3220,4,FALSE), vlookup($D2480,Pop_Census_2023!$A$2:$E$3220,5,FALSE))</f>
        <v>13066</v>
      </c>
      <c r="F2480" s="32">
        <v>1639765.0</v>
      </c>
      <c r="G2480" s="32">
        <v>92.0</v>
      </c>
      <c r="H2480" s="32" t="str">
        <f>VLOOKUP(D2480, Grid_Region_Mapping!$D$2:$F$5286, 3, FALSE)</f>
        <v>SRCE</v>
      </c>
      <c r="I2480" s="32">
        <v>6.0</v>
      </c>
      <c r="J2480" s="34" t="str">
        <f t="shared" si="1"/>
        <v>South</v>
      </c>
      <c r="K2480" s="35">
        <v>4.0</v>
      </c>
      <c r="L2480" s="35" t="s">
        <v>223</v>
      </c>
      <c r="M2480" s="36">
        <f>VLOOKUP(D2480, County_Data_CZones!$B$2:$F$3236, 2, FALSE)</f>
        <v>4</v>
      </c>
      <c r="N2480" s="37" t="str">
        <f>VLOOKUP(D2480, County_Data_CZones!$B$2:$F$3236, 5, FALSE)</f>
        <v>Mixed-Humid</v>
      </c>
    </row>
    <row r="2481" ht="15.75" customHeight="1">
      <c r="A2481" s="32" t="s">
        <v>250</v>
      </c>
      <c r="B2481" s="32" t="s">
        <v>1616</v>
      </c>
      <c r="C2481" s="32" t="str">
        <f>vlookup(B2481,State_EMM_RowSums!$A$2:$B$52,2,FALSE)</f>
        <v>TN</v>
      </c>
      <c r="D2481" s="32">
        <v>47103.0</v>
      </c>
      <c r="E2481" s="33">
        <f>IF(NOT(ISBLANK(vlookup($D2481,Pop_Census_2023!$A$2:$E$3220,4,FALSE))),vlookup($D2481,Pop_Census_2023!$A$2:$E$3220,4,FALSE), vlookup($D2481,Pop_Census_2023!$A$2:$E$3220,5,FALSE))</f>
        <v>36169</v>
      </c>
      <c r="F2481" s="32">
        <v>1639766.0</v>
      </c>
      <c r="G2481" s="32">
        <v>92.0</v>
      </c>
      <c r="H2481" s="32" t="str">
        <f>VLOOKUP(D2481, Grid_Region_Mapping!$D$2:$F$5286, 3, FALSE)</f>
        <v>SRCE</v>
      </c>
      <c r="I2481" s="32">
        <v>6.0</v>
      </c>
      <c r="J2481" s="34" t="str">
        <f t="shared" si="1"/>
        <v>South</v>
      </c>
      <c r="K2481" s="35">
        <v>4.0</v>
      </c>
      <c r="L2481" s="35" t="s">
        <v>223</v>
      </c>
      <c r="M2481" s="36">
        <f>VLOOKUP(D2481, County_Data_CZones!$B$2:$F$3236, 2, FALSE)</f>
        <v>4</v>
      </c>
      <c r="N2481" s="37" t="str">
        <f>VLOOKUP(D2481, County_Data_CZones!$B$2:$F$3236, 5, FALSE)</f>
        <v>Mixed-Humid</v>
      </c>
    </row>
    <row r="2482" ht="15.75" customHeight="1">
      <c r="A2482" s="32" t="s">
        <v>1630</v>
      </c>
      <c r="B2482" s="32" t="s">
        <v>1616</v>
      </c>
      <c r="C2482" s="32" t="str">
        <f>vlookup(B2482,State_EMM_RowSums!$A$2:$B$52,2,FALSE)</f>
        <v>TN</v>
      </c>
      <c r="D2482" s="32">
        <v>47105.0</v>
      </c>
      <c r="E2482" s="33">
        <f>IF(NOT(ISBLANK(vlookup($D2482,Pop_Census_2023!$A$2:$E$3220,4,FALSE))),vlookup($D2482,Pop_Census_2023!$A$2:$E$3220,4,FALSE), vlookup($D2482,Pop_Census_2023!$A$2:$E$3220,5,FALSE))</f>
        <v>60591</v>
      </c>
      <c r="F2482" s="32">
        <v>1639767.0</v>
      </c>
      <c r="G2482" s="32">
        <v>92.0</v>
      </c>
      <c r="H2482" s="32" t="str">
        <f>VLOOKUP(D2482, Grid_Region_Mapping!$D$2:$F$5286, 3, FALSE)</f>
        <v>SRCE</v>
      </c>
      <c r="I2482" s="32">
        <v>6.0</v>
      </c>
      <c r="J2482" s="34" t="str">
        <f t="shared" si="1"/>
        <v>South</v>
      </c>
      <c r="K2482" s="35">
        <v>4.0</v>
      </c>
      <c r="L2482" s="35" t="s">
        <v>223</v>
      </c>
      <c r="M2482" s="36">
        <f>VLOOKUP(D2482, County_Data_CZones!$B$2:$F$3236, 2, FALSE)</f>
        <v>4</v>
      </c>
      <c r="N2482" s="37" t="str">
        <f>VLOOKUP(D2482, County_Data_CZones!$B$2:$F$3236, 5, FALSE)</f>
        <v>Mixed-Humid</v>
      </c>
    </row>
    <row r="2483" ht="15.75" customHeight="1">
      <c r="A2483" s="32" t="s">
        <v>1631</v>
      </c>
      <c r="B2483" s="32" t="s">
        <v>1616</v>
      </c>
      <c r="C2483" s="32" t="str">
        <f>vlookup(B2483,State_EMM_RowSums!$A$2:$B$52,2,FALSE)</f>
        <v>TN</v>
      </c>
      <c r="D2483" s="32">
        <v>47107.0</v>
      </c>
      <c r="E2483" s="33">
        <f>IF(NOT(ISBLANK(vlookup($D2483,Pop_Census_2023!$A$2:$E$3220,4,FALSE))),vlookup($D2483,Pop_Census_2023!$A$2:$E$3220,4,FALSE), vlookup($D2483,Pop_Census_2023!$A$2:$E$3220,5,FALSE))</f>
        <v>55678</v>
      </c>
      <c r="F2483" s="32">
        <v>1639773.0</v>
      </c>
      <c r="G2483" s="32">
        <v>92.0</v>
      </c>
      <c r="H2483" s="32" t="str">
        <f>VLOOKUP(D2483, Grid_Region_Mapping!$D$2:$F$5286, 3, FALSE)</f>
        <v>SRCE</v>
      </c>
      <c r="I2483" s="32">
        <v>6.0</v>
      </c>
      <c r="J2483" s="34" t="str">
        <f t="shared" si="1"/>
        <v>South</v>
      </c>
      <c r="K2483" s="35">
        <v>4.0</v>
      </c>
      <c r="L2483" s="35" t="s">
        <v>223</v>
      </c>
      <c r="M2483" s="36">
        <f>VLOOKUP(D2483, County_Data_CZones!$B$2:$F$3236, 2, FALSE)</f>
        <v>4</v>
      </c>
      <c r="N2483" s="37" t="str">
        <f>VLOOKUP(D2483, County_Data_CZones!$B$2:$F$3236, 5, FALSE)</f>
        <v>Mixed-Humid</v>
      </c>
    </row>
    <row r="2484" ht="15.75" customHeight="1">
      <c r="A2484" s="32" t="s">
        <v>1632</v>
      </c>
      <c r="B2484" s="32" t="s">
        <v>1616</v>
      </c>
      <c r="C2484" s="32" t="str">
        <f>vlookup(B2484,State_EMM_RowSums!$A$2:$B$52,2,FALSE)</f>
        <v>TN</v>
      </c>
      <c r="D2484" s="32">
        <v>47109.0</v>
      </c>
      <c r="E2484" s="33">
        <f>IF(NOT(ISBLANK(vlookup($D2484,Pop_Census_2023!$A$2:$E$3220,4,FALSE))),vlookup($D2484,Pop_Census_2023!$A$2:$E$3220,4,FALSE), vlookup($D2484,Pop_Census_2023!$A$2:$E$3220,5,FALSE))</f>
        <v>26163</v>
      </c>
      <c r="F2484" s="32">
        <v>1639774.0</v>
      </c>
      <c r="G2484" s="32">
        <v>92.0</v>
      </c>
      <c r="H2484" s="32" t="str">
        <f>VLOOKUP(D2484, Grid_Region_Mapping!$D$2:$F$5286, 3, FALSE)</f>
        <v>SRCE</v>
      </c>
      <c r="I2484" s="32">
        <v>6.0</v>
      </c>
      <c r="J2484" s="34" t="str">
        <f t="shared" si="1"/>
        <v>South</v>
      </c>
      <c r="K2484" s="35">
        <v>4.0</v>
      </c>
      <c r="L2484" s="35" t="s">
        <v>102</v>
      </c>
      <c r="M2484" s="36">
        <f>VLOOKUP(D2484, County_Data_CZones!$B$2:$F$3236, 2, FALSE)</f>
        <v>3</v>
      </c>
      <c r="N2484" s="37" t="str">
        <f>VLOOKUP(D2484, County_Data_CZones!$B$2:$F$3236, 5, FALSE)</f>
        <v>Mixed-Humid</v>
      </c>
    </row>
    <row r="2485" ht="15.75" customHeight="1">
      <c r="A2485" s="32" t="s">
        <v>146</v>
      </c>
      <c r="B2485" s="32" t="s">
        <v>1616</v>
      </c>
      <c r="C2485" s="32" t="str">
        <f>vlookup(B2485,State_EMM_RowSums!$A$2:$B$52,2,FALSE)</f>
        <v>TN</v>
      </c>
      <c r="D2485" s="32">
        <v>47111.0</v>
      </c>
      <c r="E2485" s="33">
        <f>IF(NOT(ISBLANK(vlookup($D2485,Pop_Census_2023!$A$2:$E$3220,4,FALSE))),vlookup($D2485,Pop_Census_2023!$A$2:$E$3220,4,FALSE), vlookup($D2485,Pop_Census_2023!$A$2:$E$3220,5,FALSE))</f>
        <v>26793</v>
      </c>
      <c r="F2485" s="32">
        <v>1639768.0</v>
      </c>
      <c r="G2485" s="32">
        <v>92.0</v>
      </c>
      <c r="H2485" s="32" t="str">
        <f>VLOOKUP(D2485, Grid_Region_Mapping!$D$2:$F$5286, 3, FALSE)</f>
        <v>SRCE</v>
      </c>
      <c r="I2485" s="32">
        <v>6.0</v>
      </c>
      <c r="J2485" s="34" t="str">
        <f t="shared" si="1"/>
        <v>South</v>
      </c>
      <c r="K2485" s="35">
        <v>3.0</v>
      </c>
      <c r="L2485" s="35" t="s">
        <v>223</v>
      </c>
      <c r="M2485" s="36">
        <f>VLOOKUP(D2485, County_Data_CZones!$B$2:$F$3236, 2, FALSE)</f>
        <v>4</v>
      </c>
      <c r="N2485" s="37" t="str">
        <f>VLOOKUP(D2485, County_Data_CZones!$B$2:$F$3236, 5, FALSE)</f>
        <v>Mixed-Humid</v>
      </c>
    </row>
    <row r="2486" ht="15.75" customHeight="1">
      <c r="A2486" s="32" t="s">
        <v>147</v>
      </c>
      <c r="B2486" s="32" t="s">
        <v>1616</v>
      </c>
      <c r="C2486" s="32" t="str">
        <f>vlookup(B2486,State_EMM_RowSums!$A$2:$B$52,2,FALSE)</f>
        <v>TN</v>
      </c>
      <c r="D2486" s="32">
        <v>47113.0</v>
      </c>
      <c r="E2486" s="33">
        <f>IF(NOT(ISBLANK(vlookup($D2486,Pop_Census_2023!$A$2:$E$3220,4,FALSE))),vlookup($D2486,Pop_Census_2023!$A$2:$E$3220,4,FALSE), vlookup($D2486,Pop_Census_2023!$A$2:$E$3220,5,FALSE))</f>
        <v>99193</v>
      </c>
      <c r="F2486" s="32">
        <v>1639769.0</v>
      </c>
      <c r="G2486" s="32">
        <v>92.0</v>
      </c>
      <c r="H2486" s="32" t="str">
        <f>VLOOKUP(D2486, Grid_Region_Mapping!$D$2:$F$5286, 3, FALSE)</f>
        <v>SRCE</v>
      </c>
      <c r="I2486" s="32">
        <v>6.0</v>
      </c>
      <c r="J2486" s="34" t="str">
        <f t="shared" si="1"/>
        <v>South</v>
      </c>
      <c r="K2486" s="35">
        <v>4.0</v>
      </c>
      <c r="L2486" s="35" t="s">
        <v>102</v>
      </c>
      <c r="M2486" s="36">
        <f>VLOOKUP(D2486, County_Data_CZones!$B$2:$F$3236, 2, FALSE)</f>
        <v>3</v>
      </c>
      <c r="N2486" s="37" t="str">
        <f>VLOOKUP(D2486, County_Data_CZones!$B$2:$F$3236, 5, FALSE)</f>
        <v>Mixed-Humid</v>
      </c>
    </row>
    <row r="2487" ht="15.75" customHeight="1">
      <c r="A2487" s="32" t="s">
        <v>149</v>
      </c>
      <c r="B2487" s="32" t="s">
        <v>1616</v>
      </c>
      <c r="C2487" s="32" t="str">
        <f>vlookup(B2487,State_EMM_RowSums!$A$2:$B$52,2,FALSE)</f>
        <v>TN</v>
      </c>
      <c r="D2487" s="32">
        <v>47115.0</v>
      </c>
      <c r="E2487" s="33">
        <f>IF(NOT(ISBLANK(vlookup($D2487,Pop_Census_2023!$A$2:$E$3220,4,FALSE))),vlookup($D2487,Pop_Census_2023!$A$2:$E$3220,4,FALSE), vlookup($D2487,Pop_Census_2023!$A$2:$E$3220,5,FALSE))</f>
        <v>29382</v>
      </c>
      <c r="F2487" s="32">
        <v>1639770.0</v>
      </c>
      <c r="G2487" s="32">
        <v>92.0</v>
      </c>
      <c r="H2487" s="32" t="str">
        <f>VLOOKUP(D2487, Grid_Region_Mapping!$D$2:$F$5286, 3, FALSE)</f>
        <v>SRCE</v>
      </c>
      <c r="I2487" s="32">
        <v>6.0</v>
      </c>
      <c r="J2487" s="34" t="str">
        <f t="shared" si="1"/>
        <v>South</v>
      </c>
      <c r="K2487" s="35">
        <v>4.0</v>
      </c>
      <c r="L2487" s="35" t="s">
        <v>223</v>
      </c>
      <c r="M2487" s="36">
        <f>VLOOKUP(D2487, County_Data_CZones!$B$2:$F$3236, 2, FALSE)</f>
        <v>4</v>
      </c>
      <c r="N2487" s="37" t="str">
        <f>VLOOKUP(D2487, County_Data_CZones!$B$2:$F$3236, 5, FALSE)</f>
        <v>Mixed-Humid</v>
      </c>
    </row>
    <row r="2488" ht="15.75" customHeight="1">
      <c r="A2488" s="32" t="s">
        <v>150</v>
      </c>
      <c r="B2488" s="32" t="s">
        <v>1616</v>
      </c>
      <c r="C2488" s="32" t="str">
        <f>vlookup(B2488,State_EMM_RowSums!$A$2:$B$52,2,FALSE)</f>
        <v>TN</v>
      </c>
      <c r="D2488" s="32">
        <v>47117.0</v>
      </c>
      <c r="E2488" s="33">
        <f>IF(NOT(ISBLANK(vlookup($D2488,Pop_Census_2023!$A$2:$E$3220,4,FALSE))),vlookup($D2488,Pop_Census_2023!$A$2:$E$3220,4,FALSE), vlookup($D2488,Pop_Census_2023!$A$2:$E$3220,5,FALSE))</f>
        <v>36961</v>
      </c>
      <c r="F2488" s="32">
        <v>1639771.0</v>
      </c>
      <c r="G2488" s="32">
        <v>92.0</v>
      </c>
      <c r="H2488" s="32" t="str">
        <f>VLOOKUP(D2488, Grid_Region_Mapping!$D$2:$F$5286, 3, FALSE)</f>
        <v>SRCE</v>
      </c>
      <c r="I2488" s="32">
        <v>6.0</v>
      </c>
      <c r="J2488" s="34" t="str">
        <f t="shared" si="1"/>
        <v>South</v>
      </c>
      <c r="K2488" s="35">
        <v>4.0</v>
      </c>
      <c r="L2488" s="35" t="s">
        <v>223</v>
      </c>
      <c r="M2488" s="36">
        <f>VLOOKUP(D2488, County_Data_CZones!$B$2:$F$3236, 2, FALSE)</f>
        <v>4</v>
      </c>
      <c r="N2488" s="37" t="str">
        <f>VLOOKUP(D2488, County_Data_CZones!$B$2:$F$3236, 5, FALSE)</f>
        <v>Mixed-Humid</v>
      </c>
    </row>
    <row r="2489" ht="15.75" customHeight="1">
      <c r="A2489" s="32" t="s">
        <v>1633</v>
      </c>
      <c r="B2489" s="32" t="s">
        <v>1616</v>
      </c>
      <c r="C2489" s="32" t="str">
        <f>vlookup(B2489,State_EMM_RowSums!$A$2:$B$52,2,FALSE)</f>
        <v>TN</v>
      </c>
      <c r="D2489" s="32">
        <v>47119.0</v>
      </c>
      <c r="E2489" s="33">
        <f>IF(NOT(ISBLANK(vlookup($D2489,Pop_Census_2023!$A$2:$E$3220,4,FALSE))),vlookup($D2489,Pop_Census_2023!$A$2:$E$3220,4,FALSE), vlookup($D2489,Pop_Census_2023!$A$2:$E$3220,5,FALSE))</f>
        <v>110760</v>
      </c>
      <c r="F2489" s="32">
        <v>1639772.0</v>
      </c>
      <c r="G2489" s="32">
        <v>92.0</v>
      </c>
      <c r="H2489" s="32" t="str">
        <f>VLOOKUP(D2489, Grid_Region_Mapping!$D$2:$F$5286, 3, FALSE)</f>
        <v>SRCE</v>
      </c>
      <c r="I2489" s="32">
        <v>6.0</v>
      </c>
      <c r="J2489" s="34" t="str">
        <f t="shared" si="1"/>
        <v>South</v>
      </c>
      <c r="K2489" s="35">
        <v>3.0</v>
      </c>
      <c r="L2489" s="35" t="s">
        <v>223</v>
      </c>
      <c r="M2489" s="36">
        <f>VLOOKUP(D2489, County_Data_CZones!$B$2:$F$3236, 2, FALSE)</f>
        <v>4</v>
      </c>
      <c r="N2489" s="37" t="str">
        <f>VLOOKUP(D2489, County_Data_CZones!$B$2:$F$3236, 5, FALSE)</f>
        <v>Mixed-Humid</v>
      </c>
    </row>
    <row r="2490" ht="15.75" customHeight="1">
      <c r="A2490" s="32" t="s">
        <v>1442</v>
      </c>
      <c r="B2490" s="32" t="s">
        <v>1616</v>
      </c>
      <c r="C2490" s="32" t="str">
        <f>vlookup(B2490,State_EMM_RowSums!$A$2:$B$52,2,FALSE)</f>
        <v>TN</v>
      </c>
      <c r="D2490" s="32">
        <v>47121.0</v>
      </c>
      <c r="E2490" s="33">
        <f>IF(NOT(ISBLANK(vlookup($D2490,Pop_Census_2023!$A$2:$E$3220,4,FALSE))),vlookup($D2490,Pop_Census_2023!$A$2:$E$3220,4,FALSE), vlookup($D2490,Pop_Census_2023!$A$2:$E$3220,5,FALSE))</f>
        <v>13691</v>
      </c>
      <c r="F2490" s="32">
        <v>1639775.0</v>
      </c>
      <c r="G2490" s="32">
        <v>92.0</v>
      </c>
      <c r="H2490" s="32" t="str">
        <f>VLOOKUP(D2490, Grid_Region_Mapping!$D$2:$F$5286, 3, FALSE)</f>
        <v>SRCE</v>
      </c>
      <c r="I2490" s="32">
        <v>6.0</v>
      </c>
      <c r="J2490" s="34" t="str">
        <f t="shared" si="1"/>
        <v>South</v>
      </c>
      <c r="K2490" s="35">
        <v>4.0</v>
      </c>
      <c r="L2490" s="35" t="s">
        <v>223</v>
      </c>
      <c r="M2490" s="36">
        <f>VLOOKUP(D2490, County_Data_CZones!$B$2:$F$3236, 2, FALSE)</f>
        <v>4</v>
      </c>
      <c r="N2490" s="37" t="str">
        <f>VLOOKUP(D2490, County_Data_CZones!$B$2:$F$3236, 5, FALSE)</f>
        <v>Mixed-Humid</v>
      </c>
    </row>
    <row r="2491" ht="15.75" customHeight="1">
      <c r="A2491" s="32" t="s">
        <v>152</v>
      </c>
      <c r="B2491" s="32" t="s">
        <v>1616</v>
      </c>
      <c r="C2491" s="32" t="str">
        <f>vlookup(B2491,State_EMM_RowSums!$A$2:$B$52,2,FALSE)</f>
        <v>TN</v>
      </c>
      <c r="D2491" s="32">
        <v>47123.0</v>
      </c>
      <c r="E2491" s="33">
        <f>IF(NOT(ISBLANK(vlookup($D2491,Pop_Census_2023!$A$2:$E$3220,4,FALSE))),vlookup($D2491,Pop_Census_2023!$A$2:$E$3220,4,FALSE), vlookup($D2491,Pop_Census_2023!$A$2:$E$3220,5,FALSE))</f>
        <v>48594</v>
      </c>
      <c r="F2491" s="32">
        <v>1639776.0</v>
      </c>
      <c r="G2491" s="32">
        <v>92.0</v>
      </c>
      <c r="H2491" s="32" t="str">
        <f>VLOOKUP(D2491, Grid_Region_Mapping!$D$2:$F$5286, 3, FALSE)</f>
        <v>SRCE</v>
      </c>
      <c r="I2491" s="32">
        <v>6.0</v>
      </c>
      <c r="J2491" s="34" t="str">
        <f t="shared" si="1"/>
        <v>South</v>
      </c>
      <c r="K2491" s="35">
        <v>4.0</v>
      </c>
      <c r="L2491" s="35" t="s">
        <v>223</v>
      </c>
      <c r="M2491" s="36">
        <f>VLOOKUP(D2491, County_Data_CZones!$B$2:$F$3236, 2, FALSE)</f>
        <v>4</v>
      </c>
      <c r="N2491" s="37" t="str">
        <f>VLOOKUP(D2491, County_Data_CZones!$B$2:$F$3236, 5, FALSE)</f>
        <v>Mixed-Humid</v>
      </c>
    </row>
    <row r="2492" ht="15.75" customHeight="1">
      <c r="A2492" s="32" t="s">
        <v>153</v>
      </c>
      <c r="B2492" s="32" t="s">
        <v>1616</v>
      </c>
      <c r="C2492" s="32" t="str">
        <f>vlookup(B2492,State_EMM_RowSums!$A$2:$B$52,2,FALSE)</f>
        <v>TN</v>
      </c>
      <c r="D2492" s="32">
        <v>47125.0</v>
      </c>
      <c r="E2492" s="33">
        <f>IF(NOT(ISBLANK(vlookup($D2492,Pop_Census_2023!$A$2:$E$3220,4,FALSE))),vlookup($D2492,Pop_Census_2023!$A$2:$E$3220,4,FALSE), vlookup($D2492,Pop_Census_2023!$A$2:$E$3220,5,FALSE))</f>
        <v>239872</v>
      </c>
      <c r="F2492" s="32">
        <v>1639777.0</v>
      </c>
      <c r="G2492" s="32">
        <v>92.0</v>
      </c>
      <c r="H2492" s="32" t="str">
        <f>VLOOKUP(D2492, Grid_Region_Mapping!$D$2:$F$5286, 3, FALSE)</f>
        <v>SRCE</v>
      </c>
      <c r="I2492" s="32">
        <v>6.0</v>
      </c>
      <c r="J2492" s="34" t="str">
        <f t="shared" si="1"/>
        <v>South</v>
      </c>
      <c r="K2492" s="35">
        <v>3.0</v>
      </c>
      <c r="L2492" s="35" t="s">
        <v>223</v>
      </c>
      <c r="M2492" s="36">
        <f>VLOOKUP(D2492, County_Data_CZones!$B$2:$F$3236, 2, FALSE)</f>
        <v>4</v>
      </c>
      <c r="N2492" s="37" t="str">
        <f>VLOOKUP(D2492, County_Data_CZones!$B$2:$F$3236, 5, FALSE)</f>
        <v>Mixed-Humid</v>
      </c>
    </row>
    <row r="2493" ht="15.75" customHeight="1">
      <c r="A2493" s="32" t="s">
        <v>1365</v>
      </c>
      <c r="B2493" s="32" t="s">
        <v>1616</v>
      </c>
      <c r="C2493" s="32" t="str">
        <f>vlookup(B2493,State_EMM_RowSums!$A$2:$B$52,2,FALSE)</f>
        <v>TN</v>
      </c>
      <c r="D2493" s="32">
        <v>47127.0</v>
      </c>
      <c r="E2493" s="33">
        <f>IF(NOT(ISBLANK(vlookup($D2493,Pop_Census_2023!$A$2:$E$3220,4,FALSE))),vlookup($D2493,Pop_Census_2023!$A$2:$E$3220,4,FALSE), vlookup($D2493,Pop_Census_2023!$A$2:$E$3220,5,FALSE))</f>
        <v>6748</v>
      </c>
      <c r="F2493" s="32">
        <v>1648579.0</v>
      </c>
      <c r="G2493" s="32">
        <v>92.0</v>
      </c>
      <c r="H2493" s="32" t="str">
        <f>VLOOKUP(D2493, Grid_Region_Mapping!$D$2:$F$5286, 3, FALSE)</f>
        <v>SRCE</v>
      </c>
      <c r="I2493" s="32">
        <v>6.0</v>
      </c>
      <c r="J2493" s="34" t="str">
        <f t="shared" si="1"/>
        <v>South</v>
      </c>
      <c r="K2493" s="35">
        <v>4.0</v>
      </c>
      <c r="L2493" s="35" t="s">
        <v>223</v>
      </c>
      <c r="M2493" s="36">
        <f>VLOOKUP(D2493, County_Data_CZones!$B$2:$F$3236, 2, FALSE)</f>
        <v>4</v>
      </c>
      <c r="N2493" s="37" t="str">
        <f>VLOOKUP(D2493, County_Data_CZones!$B$2:$F$3236, 5, FALSE)</f>
        <v>Mixed-Humid</v>
      </c>
    </row>
    <row r="2494" ht="15.75" customHeight="1">
      <c r="A2494" s="32" t="s">
        <v>154</v>
      </c>
      <c r="B2494" s="32" t="s">
        <v>1616</v>
      </c>
      <c r="C2494" s="32" t="str">
        <f>vlookup(B2494,State_EMM_RowSums!$A$2:$B$52,2,FALSE)</f>
        <v>TN</v>
      </c>
      <c r="D2494" s="32">
        <v>47129.0</v>
      </c>
      <c r="E2494" s="33">
        <f>IF(NOT(ISBLANK(vlookup($D2494,Pop_Census_2023!$A$2:$E$3220,4,FALSE))),vlookup($D2494,Pop_Census_2023!$A$2:$E$3220,4,FALSE), vlookup($D2494,Pop_Census_2023!$A$2:$E$3220,5,FALSE))</f>
        <v>21573</v>
      </c>
      <c r="F2494" s="32">
        <v>1639778.0</v>
      </c>
      <c r="G2494" s="32">
        <v>92.0</v>
      </c>
      <c r="H2494" s="32" t="str">
        <f>VLOOKUP(D2494, Grid_Region_Mapping!$D$2:$F$5286, 3, FALSE)</f>
        <v>SRCE</v>
      </c>
      <c r="I2494" s="32">
        <v>6.0</v>
      </c>
      <c r="J2494" s="34" t="str">
        <f t="shared" si="1"/>
        <v>South</v>
      </c>
      <c r="K2494" s="35">
        <v>3.0</v>
      </c>
      <c r="L2494" s="35" t="s">
        <v>223</v>
      </c>
      <c r="M2494" s="36">
        <f>VLOOKUP(D2494, County_Data_CZones!$B$2:$F$3236, 2, FALSE)</f>
        <v>4</v>
      </c>
      <c r="N2494" s="37" t="str">
        <f>VLOOKUP(D2494, County_Data_CZones!$B$2:$F$3236, 5, FALSE)</f>
        <v>Mixed-Humid</v>
      </c>
    </row>
    <row r="2495" ht="15.75" customHeight="1">
      <c r="A2495" s="32" t="s">
        <v>1634</v>
      </c>
      <c r="B2495" s="32" t="s">
        <v>1616</v>
      </c>
      <c r="C2495" s="32" t="str">
        <f>vlookup(B2495,State_EMM_RowSums!$A$2:$B$52,2,FALSE)</f>
        <v>TN</v>
      </c>
      <c r="D2495" s="32">
        <v>47131.0</v>
      </c>
      <c r="E2495" s="33">
        <f>IF(NOT(ISBLANK(vlookup($D2495,Pop_Census_2023!$A$2:$E$3220,4,FALSE))),vlookup($D2495,Pop_Census_2023!$A$2:$E$3220,4,FALSE), vlookup($D2495,Pop_Census_2023!$A$2:$E$3220,5,FALSE))</f>
        <v>30411</v>
      </c>
      <c r="F2495" s="32">
        <v>1639779.0</v>
      </c>
      <c r="G2495" s="32">
        <v>92.0</v>
      </c>
      <c r="H2495" s="32" t="str">
        <f>VLOOKUP(D2495, Grid_Region_Mapping!$D$2:$F$5286, 3, FALSE)</f>
        <v>SRCE</v>
      </c>
      <c r="I2495" s="32">
        <v>6.0</v>
      </c>
      <c r="J2495" s="34" t="str">
        <f t="shared" si="1"/>
        <v>South</v>
      </c>
      <c r="K2495" s="35">
        <v>3.0</v>
      </c>
      <c r="L2495" s="35" t="s">
        <v>223</v>
      </c>
      <c r="M2495" s="36">
        <f>VLOOKUP(D2495, County_Data_CZones!$B$2:$F$3236, 2, FALSE)</f>
        <v>4</v>
      </c>
      <c r="N2495" s="37" t="str">
        <f>VLOOKUP(D2495, County_Data_CZones!$B$2:$F$3236, 5, FALSE)</f>
        <v>Mixed-Humid</v>
      </c>
    </row>
    <row r="2496" ht="15.75" customHeight="1">
      <c r="A2496" s="32" t="s">
        <v>1635</v>
      </c>
      <c r="B2496" s="32" t="s">
        <v>1616</v>
      </c>
      <c r="C2496" s="32" t="str">
        <f>vlookup(B2496,State_EMM_RowSums!$A$2:$B$52,2,FALSE)</f>
        <v>TN</v>
      </c>
      <c r="D2496" s="32">
        <v>47133.0</v>
      </c>
      <c r="E2496" s="33">
        <f>IF(NOT(ISBLANK(vlookup($D2496,Pop_Census_2023!$A$2:$E$3220,4,FALSE))),vlookup($D2496,Pop_Census_2023!$A$2:$E$3220,4,FALSE), vlookup($D2496,Pop_Census_2023!$A$2:$E$3220,5,FALSE))</f>
        <v>23327</v>
      </c>
      <c r="F2496" s="32">
        <v>1639780.0</v>
      </c>
      <c r="G2496" s="32">
        <v>92.0</v>
      </c>
      <c r="H2496" s="32" t="str">
        <f>VLOOKUP(D2496, Grid_Region_Mapping!$D$2:$F$5286, 3, FALSE)</f>
        <v>SRCE</v>
      </c>
      <c r="I2496" s="32">
        <v>6.0</v>
      </c>
      <c r="J2496" s="34" t="str">
        <f t="shared" si="1"/>
        <v>South</v>
      </c>
      <c r="K2496" s="35">
        <v>3.0</v>
      </c>
      <c r="L2496" s="35" t="s">
        <v>223</v>
      </c>
      <c r="M2496" s="36">
        <f>VLOOKUP(D2496, County_Data_CZones!$B$2:$F$3236, 2, FALSE)</f>
        <v>4</v>
      </c>
      <c r="N2496" s="37" t="str">
        <f>VLOOKUP(D2496, County_Data_CZones!$B$2:$F$3236, 5, FALSE)</f>
        <v>Mixed-Humid</v>
      </c>
    </row>
    <row r="2497" ht="15.75" customHeight="1">
      <c r="A2497" s="32" t="s">
        <v>155</v>
      </c>
      <c r="B2497" s="32" t="s">
        <v>1616</v>
      </c>
      <c r="C2497" s="32" t="str">
        <f>vlookup(B2497,State_EMM_RowSums!$A$2:$B$52,2,FALSE)</f>
        <v>TN</v>
      </c>
      <c r="D2497" s="32">
        <v>47135.0</v>
      </c>
      <c r="E2497" s="33">
        <f>IF(NOT(ISBLANK(vlookup($D2497,Pop_Census_2023!$A$2:$E$3220,4,FALSE))),vlookup($D2497,Pop_Census_2023!$A$2:$E$3220,4,FALSE), vlookup($D2497,Pop_Census_2023!$A$2:$E$3220,5,FALSE))</f>
        <v>8891</v>
      </c>
      <c r="F2497" s="32">
        <v>1639781.0</v>
      </c>
      <c r="G2497" s="32">
        <v>92.0</v>
      </c>
      <c r="H2497" s="32" t="str">
        <f>VLOOKUP(D2497, Grid_Region_Mapping!$D$2:$F$5286, 3, FALSE)</f>
        <v>SRCE</v>
      </c>
      <c r="I2497" s="32">
        <v>6.0</v>
      </c>
      <c r="J2497" s="34" t="str">
        <f t="shared" si="1"/>
        <v>South</v>
      </c>
      <c r="K2497" s="35">
        <v>4.0</v>
      </c>
      <c r="L2497" s="35" t="s">
        <v>223</v>
      </c>
      <c r="M2497" s="36">
        <f>VLOOKUP(D2497, County_Data_CZones!$B$2:$F$3236, 2, FALSE)</f>
        <v>4</v>
      </c>
      <c r="N2497" s="37" t="str">
        <f>VLOOKUP(D2497, County_Data_CZones!$B$2:$F$3236, 5, FALSE)</f>
        <v>Mixed-Humid</v>
      </c>
    </row>
    <row r="2498" ht="15.75" customHeight="1">
      <c r="A2498" s="32" t="s">
        <v>1636</v>
      </c>
      <c r="B2498" s="32" t="s">
        <v>1616</v>
      </c>
      <c r="C2498" s="32" t="str">
        <f>vlookup(B2498,State_EMM_RowSums!$A$2:$B$52,2,FALSE)</f>
        <v>TN</v>
      </c>
      <c r="D2498" s="32">
        <v>47137.0</v>
      </c>
      <c r="E2498" s="33">
        <f>IF(NOT(ISBLANK(vlookup($D2498,Pop_Census_2023!$A$2:$E$3220,4,FALSE))),vlookup($D2498,Pop_Census_2023!$A$2:$E$3220,4,FALSE), vlookup($D2498,Pop_Census_2023!$A$2:$E$3220,5,FALSE))</f>
        <v>5128</v>
      </c>
      <c r="F2498" s="32">
        <v>1648580.0</v>
      </c>
      <c r="G2498" s="32">
        <v>92.0</v>
      </c>
      <c r="H2498" s="32" t="str">
        <f>VLOOKUP(D2498, Grid_Region_Mapping!$D$2:$F$5286, 3, FALSE)</f>
        <v>SRCE</v>
      </c>
      <c r="I2498" s="32">
        <v>6.0</v>
      </c>
      <c r="J2498" s="34" t="str">
        <f t="shared" si="1"/>
        <v>South</v>
      </c>
      <c r="K2498" s="35">
        <v>3.0</v>
      </c>
      <c r="L2498" s="35" t="s">
        <v>223</v>
      </c>
      <c r="M2498" s="36">
        <f>VLOOKUP(D2498, County_Data_CZones!$B$2:$F$3236, 2, FALSE)</f>
        <v>4</v>
      </c>
      <c r="N2498" s="37" t="str">
        <f>VLOOKUP(D2498, County_Data_CZones!$B$2:$F$3236, 5, FALSE)</f>
        <v>Mixed-Humid</v>
      </c>
    </row>
    <row r="2499" ht="15.75" customHeight="1">
      <c r="A2499" s="32" t="s">
        <v>261</v>
      </c>
      <c r="B2499" s="32" t="s">
        <v>1616</v>
      </c>
      <c r="C2499" s="32" t="str">
        <f>vlookup(B2499,State_EMM_RowSums!$A$2:$B$52,2,FALSE)</f>
        <v>TN</v>
      </c>
      <c r="D2499" s="32">
        <v>47139.0</v>
      </c>
      <c r="E2499" s="33">
        <f>IF(NOT(ISBLANK(vlookup($D2499,Pop_Census_2023!$A$2:$E$3220,4,FALSE))),vlookup($D2499,Pop_Census_2023!$A$2:$E$3220,4,FALSE), vlookup($D2499,Pop_Census_2023!$A$2:$E$3220,5,FALSE))</f>
        <v>18033</v>
      </c>
      <c r="F2499" s="32">
        <v>1639782.0</v>
      </c>
      <c r="G2499" s="32">
        <v>92.0</v>
      </c>
      <c r="H2499" s="32" t="str">
        <f>VLOOKUP(D2499, Grid_Region_Mapping!$D$2:$F$5286, 3, FALSE)</f>
        <v>SRCE</v>
      </c>
      <c r="I2499" s="32">
        <v>6.0</v>
      </c>
      <c r="J2499" s="34" t="str">
        <f t="shared" si="1"/>
        <v>South</v>
      </c>
      <c r="K2499" s="35">
        <v>4.0</v>
      </c>
      <c r="L2499" s="35" t="s">
        <v>223</v>
      </c>
      <c r="M2499" s="36">
        <f>VLOOKUP(D2499, County_Data_CZones!$B$2:$F$3236, 2, FALSE)</f>
        <v>4</v>
      </c>
      <c r="N2499" s="37" t="str">
        <f>VLOOKUP(D2499, County_Data_CZones!$B$2:$F$3236, 5, FALSE)</f>
        <v>Mixed-Humid</v>
      </c>
    </row>
    <row r="2500" ht="15.75" customHeight="1">
      <c r="A2500" s="32" t="s">
        <v>449</v>
      </c>
      <c r="B2500" s="32" t="s">
        <v>1616</v>
      </c>
      <c r="C2500" s="32" t="str">
        <f>vlookup(B2500,State_EMM_RowSums!$A$2:$B$52,2,FALSE)</f>
        <v>TN</v>
      </c>
      <c r="D2500" s="32">
        <v>47141.0</v>
      </c>
      <c r="E2500" s="33">
        <f>IF(NOT(ISBLANK(vlookup($D2500,Pop_Census_2023!$A$2:$E$3220,4,FALSE))),vlookup($D2500,Pop_Census_2023!$A$2:$E$3220,4,FALSE), vlookup($D2500,Pop_Census_2023!$A$2:$E$3220,5,FALSE))</f>
        <v>83844</v>
      </c>
      <c r="F2500" s="32">
        <v>1639783.0</v>
      </c>
      <c r="G2500" s="32">
        <v>92.0</v>
      </c>
      <c r="H2500" s="32" t="str">
        <f>VLOOKUP(D2500, Grid_Region_Mapping!$D$2:$F$5286, 3, FALSE)</f>
        <v>SRCE</v>
      </c>
      <c r="I2500" s="32">
        <v>6.0</v>
      </c>
      <c r="J2500" s="34" t="str">
        <f t="shared" si="1"/>
        <v>South</v>
      </c>
      <c r="K2500" s="35">
        <v>3.0</v>
      </c>
      <c r="L2500" s="35" t="s">
        <v>223</v>
      </c>
      <c r="M2500" s="36">
        <f>VLOOKUP(D2500, County_Data_CZones!$B$2:$F$3236, 2, FALSE)</f>
        <v>4</v>
      </c>
      <c r="N2500" s="37" t="str">
        <f>VLOOKUP(D2500, County_Data_CZones!$B$2:$F$3236, 5, FALSE)</f>
        <v>Mixed-Humid</v>
      </c>
    </row>
    <row r="2501" ht="15.75" customHeight="1">
      <c r="A2501" s="32" t="s">
        <v>1637</v>
      </c>
      <c r="B2501" s="32" t="s">
        <v>1616</v>
      </c>
      <c r="C2501" s="32" t="str">
        <f>vlookup(B2501,State_EMM_RowSums!$A$2:$B$52,2,FALSE)</f>
        <v>TN</v>
      </c>
      <c r="D2501" s="32">
        <v>47143.0</v>
      </c>
      <c r="E2501" s="33">
        <f>IF(NOT(ISBLANK(vlookup($D2501,Pop_Census_2023!$A$2:$E$3220,4,FALSE))),vlookup($D2501,Pop_Census_2023!$A$2:$E$3220,4,FALSE), vlookup($D2501,Pop_Census_2023!$A$2:$E$3220,5,FALSE))</f>
        <v>33924</v>
      </c>
      <c r="F2501" s="32">
        <v>1639784.0</v>
      </c>
      <c r="G2501" s="32">
        <v>92.0</v>
      </c>
      <c r="H2501" s="32" t="str">
        <f>VLOOKUP(D2501, Grid_Region_Mapping!$D$2:$F$5286, 3, FALSE)</f>
        <v>SRCE</v>
      </c>
      <c r="I2501" s="32">
        <v>6.0</v>
      </c>
      <c r="J2501" s="34" t="str">
        <f t="shared" si="1"/>
        <v>South</v>
      </c>
      <c r="K2501" s="35">
        <v>4.0</v>
      </c>
      <c r="L2501" s="35" t="s">
        <v>223</v>
      </c>
      <c r="M2501" s="36">
        <f>VLOOKUP(D2501, County_Data_CZones!$B$2:$F$3236, 2, FALSE)</f>
        <v>4</v>
      </c>
      <c r="N2501" s="37" t="str">
        <f>VLOOKUP(D2501, County_Data_CZones!$B$2:$F$3236, 5, FALSE)</f>
        <v>Mixed-Humid</v>
      </c>
    </row>
    <row r="2502" ht="15.75" customHeight="1">
      <c r="A2502" s="32" t="s">
        <v>1638</v>
      </c>
      <c r="B2502" s="32" t="s">
        <v>1616</v>
      </c>
      <c r="C2502" s="32" t="str">
        <f>vlookup(B2502,State_EMM_RowSums!$A$2:$B$52,2,FALSE)</f>
        <v>TN</v>
      </c>
      <c r="D2502" s="32">
        <v>47145.0</v>
      </c>
      <c r="E2502" s="33">
        <f>IF(NOT(ISBLANK(vlookup($D2502,Pop_Census_2023!$A$2:$E$3220,4,FALSE))),vlookup($D2502,Pop_Census_2023!$A$2:$E$3220,4,FALSE), vlookup($D2502,Pop_Census_2023!$A$2:$E$3220,5,FALSE))</f>
        <v>56096</v>
      </c>
      <c r="F2502" s="32">
        <v>1639785.0</v>
      </c>
      <c r="G2502" s="32">
        <v>92.0</v>
      </c>
      <c r="H2502" s="32" t="str">
        <f>VLOOKUP(D2502, Grid_Region_Mapping!$D$2:$F$5286, 3, FALSE)</f>
        <v>SRCE</v>
      </c>
      <c r="I2502" s="32">
        <v>6.0</v>
      </c>
      <c r="J2502" s="34" t="str">
        <f t="shared" si="1"/>
        <v>South</v>
      </c>
      <c r="K2502" s="35">
        <v>3.0</v>
      </c>
      <c r="L2502" s="35" t="s">
        <v>223</v>
      </c>
      <c r="M2502" s="36">
        <f>VLOOKUP(D2502, County_Data_CZones!$B$2:$F$3236, 2, FALSE)</f>
        <v>4</v>
      </c>
      <c r="N2502" s="37" t="str">
        <f>VLOOKUP(D2502, County_Data_CZones!$B$2:$F$3236, 5, FALSE)</f>
        <v>Mixed-Humid</v>
      </c>
    </row>
    <row r="2503" ht="15.75" customHeight="1">
      <c r="A2503" s="32" t="s">
        <v>866</v>
      </c>
      <c r="B2503" s="32" t="s">
        <v>1616</v>
      </c>
      <c r="C2503" s="32" t="str">
        <f>vlookup(B2503,State_EMM_RowSums!$A$2:$B$52,2,FALSE)</f>
        <v>TN</v>
      </c>
      <c r="D2503" s="32">
        <v>47147.0</v>
      </c>
      <c r="E2503" s="33">
        <f>IF(NOT(ISBLANK(vlookup($D2503,Pop_Census_2023!$A$2:$E$3220,4,FALSE))),vlookup($D2503,Pop_Census_2023!$A$2:$E$3220,4,FALSE), vlookup($D2503,Pop_Census_2023!$A$2:$E$3220,5,FALSE))</f>
        <v>76776</v>
      </c>
      <c r="F2503" s="32">
        <v>1639786.0</v>
      </c>
      <c r="G2503" s="32">
        <v>92.0</v>
      </c>
      <c r="H2503" s="32" t="str">
        <f>VLOOKUP(D2503, Grid_Region_Mapping!$D$2:$F$5286, 3, FALSE)</f>
        <v>SRCE</v>
      </c>
      <c r="I2503" s="32">
        <v>6.0</v>
      </c>
      <c r="J2503" s="34" t="str">
        <f t="shared" si="1"/>
        <v>South</v>
      </c>
      <c r="K2503" s="35">
        <v>3.0</v>
      </c>
      <c r="L2503" s="35" t="s">
        <v>223</v>
      </c>
      <c r="M2503" s="36">
        <f>VLOOKUP(D2503, County_Data_CZones!$B$2:$F$3236, 2, FALSE)</f>
        <v>4</v>
      </c>
      <c r="N2503" s="37" t="str">
        <f>VLOOKUP(D2503, County_Data_CZones!$B$2:$F$3236, 5, FALSE)</f>
        <v>Mixed-Humid</v>
      </c>
    </row>
    <row r="2504" ht="15.75" customHeight="1">
      <c r="A2504" s="32" t="s">
        <v>1377</v>
      </c>
      <c r="B2504" s="32" t="s">
        <v>1616</v>
      </c>
      <c r="C2504" s="32" t="str">
        <f>vlookup(B2504,State_EMM_RowSums!$A$2:$B$52,2,FALSE)</f>
        <v>TN</v>
      </c>
      <c r="D2504" s="32">
        <v>47149.0</v>
      </c>
      <c r="E2504" s="33">
        <f>IF(NOT(ISBLANK(vlookup($D2504,Pop_Census_2023!$A$2:$E$3220,4,FALSE))),vlookup($D2504,Pop_Census_2023!$A$2:$E$3220,4,FALSE), vlookup($D2504,Pop_Census_2023!$A$2:$E$3220,5,FALSE))</f>
        <v>367101</v>
      </c>
      <c r="F2504" s="32">
        <v>1639787.0</v>
      </c>
      <c r="G2504" s="32">
        <v>92.0</v>
      </c>
      <c r="H2504" s="32" t="str">
        <f>VLOOKUP(D2504, Grid_Region_Mapping!$D$2:$F$5286, 3, FALSE)</f>
        <v>SRCE</v>
      </c>
      <c r="I2504" s="32">
        <v>6.0</v>
      </c>
      <c r="J2504" s="34" t="str">
        <f t="shared" si="1"/>
        <v>South</v>
      </c>
      <c r="K2504" s="35">
        <v>4.0</v>
      </c>
      <c r="L2504" s="35" t="s">
        <v>223</v>
      </c>
      <c r="M2504" s="36">
        <f>VLOOKUP(D2504, County_Data_CZones!$B$2:$F$3236, 2, FALSE)</f>
        <v>4</v>
      </c>
      <c r="N2504" s="37" t="str">
        <f>VLOOKUP(D2504, County_Data_CZones!$B$2:$F$3236, 5, FALSE)</f>
        <v>Mixed-Humid</v>
      </c>
    </row>
    <row r="2505" ht="15.75" customHeight="1">
      <c r="A2505" s="32" t="s">
        <v>267</v>
      </c>
      <c r="B2505" s="32" t="s">
        <v>1616</v>
      </c>
      <c r="C2505" s="32" t="str">
        <f>vlookup(B2505,State_EMM_RowSums!$A$2:$B$52,2,FALSE)</f>
        <v>TN</v>
      </c>
      <c r="D2505" s="32">
        <v>47151.0</v>
      </c>
      <c r="E2505" s="33">
        <f>IF(NOT(ISBLANK(vlookup($D2505,Pop_Census_2023!$A$2:$E$3220,4,FALSE))),vlookup($D2505,Pop_Census_2023!$A$2:$E$3220,4,FALSE), vlookup($D2505,Pop_Census_2023!$A$2:$E$3220,5,FALSE))</f>
        <v>22171</v>
      </c>
      <c r="F2505" s="32">
        <v>1639788.0</v>
      </c>
      <c r="G2505" s="32">
        <v>92.0</v>
      </c>
      <c r="H2505" s="32" t="str">
        <f>VLOOKUP(D2505, Grid_Region_Mapping!$D$2:$F$5286, 3, FALSE)</f>
        <v>SRCE</v>
      </c>
      <c r="I2505" s="32">
        <v>6.0</v>
      </c>
      <c r="J2505" s="34" t="str">
        <f t="shared" si="1"/>
        <v>South</v>
      </c>
      <c r="K2505" s="35">
        <v>3.0</v>
      </c>
      <c r="L2505" s="35" t="s">
        <v>223</v>
      </c>
      <c r="M2505" s="36">
        <f>VLOOKUP(D2505, County_Data_CZones!$B$2:$F$3236, 2, FALSE)</f>
        <v>4</v>
      </c>
      <c r="N2505" s="37" t="str">
        <f>VLOOKUP(D2505, County_Data_CZones!$B$2:$F$3236, 5, FALSE)</f>
        <v>Mixed-Humid</v>
      </c>
    </row>
    <row r="2506" ht="15.75" customHeight="1">
      <c r="A2506" s="32" t="s">
        <v>1639</v>
      </c>
      <c r="B2506" s="32" t="s">
        <v>1616</v>
      </c>
      <c r="C2506" s="32" t="str">
        <f>vlookup(B2506,State_EMM_RowSums!$A$2:$B$52,2,FALSE)</f>
        <v>TN</v>
      </c>
      <c r="D2506" s="32">
        <v>47153.0</v>
      </c>
      <c r="E2506" s="33">
        <f>IF(NOT(ISBLANK(vlookup($D2506,Pop_Census_2023!$A$2:$E$3220,4,FALSE))),vlookup($D2506,Pop_Census_2023!$A$2:$E$3220,4,FALSE), vlookup($D2506,Pop_Census_2023!$A$2:$E$3220,5,FALSE))</f>
        <v>17161</v>
      </c>
      <c r="F2506" s="32">
        <v>1652643.0</v>
      </c>
      <c r="G2506" s="32">
        <v>92.0</v>
      </c>
      <c r="H2506" s="32" t="str">
        <f>VLOOKUP(D2506, Grid_Region_Mapping!$D$2:$F$5286, 3, FALSE)</f>
        <v>SRCE</v>
      </c>
      <c r="I2506" s="32">
        <v>6.0</v>
      </c>
      <c r="J2506" s="34" t="str">
        <f t="shared" si="1"/>
        <v>South</v>
      </c>
      <c r="K2506" s="35">
        <v>4.0</v>
      </c>
      <c r="L2506" s="35" t="s">
        <v>223</v>
      </c>
      <c r="M2506" s="36">
        <f>VLOOKUP(D2506, County_Data_CZones!$B$2:$F$3236, 2, FALSE)</f>
        <v>4</v>
      </c>
      <c r="N2506" s="37" t="str">
        <f>VLOOKUP(D2506, County_Data_CZones!$B$2:$F$3236, 5, FALSE)</f>
        <v>Mixed-Humid</v>
      </c>
    </row>
    <row r="2507" ht="15.75" customHeight="1">
      <c r="A2507" s="32" t="s">
        <v>270</v>
      </c>
      <c r="B2507" s="32" t="s">
        <v>1616</v>
      </c>
      <c r="C2507" s="32" t="str">
        <f>vlookup(B2507,State_EMM_RowSums!$A$2:$B$52,2,FALSE)</f>
        <v>TN</v>
      </c>
      <c r="D2507" s="32">
        <v>47155.0</v>
      </c>
      <c r="E2507" s="33">
        <f>IF(NOT(ISBLANK(vlookup($D2507,Pop_Census_2023!$A$2:$E$3220,4,FALSE))),vlookup($D2507,Pop_Census_2023!$A$2:$E$3220,4,FALSE), vlookup($D2507,Pop_Census_2023!$A$2:$E$3220,5,FALSE))</f>
        <v>99415</v>
      </c>
      <c r="F2507" s="32">
        <v>1639789.0</v>
      </c>
      <c r="G2507" s="32">
        <v>92.0</v>
      </c>
      <c r="H2507" s="32" t="str">
        <f>VLOOKUP(D2507, Grid_Region_Mapping!$D$2:$F$5286, 3, FALSE)</f>
        <v>SRCE</v>
      </c>
      <c r="I2507" s="32">
        <v>6.0</v>
      </c>
      <c r="J2507" s="34" t="str">
        <f t="shared" si="1"/>
        <v>South</v>
      </c>
      <c r="K2507" s="35">
        <v>3.0</v>
      </c>
      <c r="L2507" s="35" t="s">
        <v>223</v>
      </c>
      <c r="M2507" s="36">
        <f>VLOOKUP(D2507, County_Data_CZones!$B$2:$F$3236, 2, FALSE)</f>
        <v>4</v>
      </c>
      <c r="N2507" s="37" t="str">
        <f>VLOOKUP(D2507, County_Data_CZones!$B$2:$F$3236, 5, FALSE)</f>
        <v>Mixed-Humid</v>
      </c>
    </row>
    <row r="2508" ht="15.75" customHeight="1">
      <c r="A2508" s="32" t="s">
        <v>161</v>
      </c>
      <c r="B2508" s="32" t="s">
        <v>1616</v>
      </c>
      <c r="C2508" s="32" t="str">
        <f>vlookup(B2508,State_EMM_RowSums!$A$2:$B$52,2,FALSE)</f>
        <v>TN</v>
      </c>
      <c r="D2508" s="32">
        <v>47157.0</v>
      </c>
      <c r="E2508" s="33">
        <f>IF(NOT(ISBLANK(vlookup($D2508,Pop_Census_2023!$A$2:$E$3220,4,FALSE))),vlookup($D2508,Pop_Census_2023!$A$2:$E$3220,4,FALSE), vlookup($D2508,Pop_Census_2023!$A$2:$E$3220,5,FALSE))</f>
        <v>910042</v>
      </c>
      <c r="F2508" s="32">
        <v>1639790.0</v>
      </c>
      <c r="G2508" s="32">
        <v>92.0</v>
      </c>
      <c r="H2508" s="32" t="str">
        <f>VLOOKUP(D2508, Grid_Region_Mapping!$D$2:$F$5286, 3, FALSE)</f>
        <v>SRCE</v>
      </c>
      <c r="I2508" s="32">
        <v>6.0</v>
      </c>
      <c r="J2508" s="34" t="str">
        <f t="shared" si="1"/>
        <v>South</v>
      </c>
      <c r="K2508" s="35">
        <v>5.0</v>
      </c>
      <c r="L2508" s="35" t="s">
        <v>102</v>
      </c>
      <c r="M2508" s="36">
        <f>VLOOKUP(D2508, County_Data_CZones!$B$2:$F$3236, 2, FALSE)</f>
        <v>3</v>
      </c>
      <c r="N2508" s="37" t="str">
        <f>VLOOKUP(D2508, County_Data_CZones!$B$2:$F$3236, 5, FALSE)</f>
        <v>Mixed-Humid</v>
      </c>
    </row>
    <row r="2509" ht="15.75" customHeight="1">
      <c r="A2509" s="32" t="s">
        <v>806</v>
      </c>
      <c r="B2509" s="32" t="s">
        <v>1616</v>
      </c>
      <c r="C2509" s="32" t="str">
        <f>vlookup(B2509,State_EMM_RowSums!$A$2:$B$52,2,FALSE)</f>
        <v>TN</v>
      </c>
      <c r="D2509" s="32">
        <v>47159.0</v>
      </c>
      <c r="E2509" s="33">
        <f>IF(NOT(ISBLANK(vlookup($D2509,Pop_Census_2023!$A$2:$E$3220,4,FALSE))),vlookup($D2509,Pop_Census_2023!$A$2:$E$3220,4,FALSE), vlookup($D2509,Pop_Census_2023!$A$2:$E$3220,5,FALSE))</f>
        <v>20538</v>
      </c>
      <c r="F2509" s="32">
        <v>1639791.0</v>
      </c>
      <c r="G2509" s="32">
        <v>92.0</v>
      </c>
      <c r="H2509" s="32" t="str">
        <f>VLOOKUP(D2509, Grid_Region_Mapping!$D$2:$F$5286, 3, FALSE)</f>
        <v>SRCE</v>
      </c>
      <c r="I2509" s="32">
        <v>6.0</v>
      </c>
      <c r="J2509" s="34" t="str">
        <f t="shared" si="1"/>
        <v>South</v>
      </c>
      <c r="K2509" s="35">
        <v>3.0</v>
      </c>
      <c r="L2509" s="35" t="s">
        <v>223</v>
      </c>
      <c r="M2509" s="36">
        <f>VLOOKUP(D2509, County_Data_CZones!$B$2:$F$3236, 2, FALSE)</f>
        <v>4</v>
      </c>
      <c r="N2509" s="37" t="str">
        <f>VLOOKUP(D2509, County_Data_CZones!$B$2:$F$3236, 5, FALSE)</f>
        <v>Mixed-Humid</v>
      </c>
    </row>
    <row r="2510" ht="15.75" customHeight="1">
      <c r="A2510" s="32" t="s">
        <v>545</v>
      </c>
      <c r="B2510" s="32" t="s">
        <v>1616</v>
      </c>
      <c r="C2510" s="32" t="str">
        <f>vlookup(B2510,State_EMM_RowSums!$A$2:$B$52,2,FALSE)</f>
        <v>TN</v>
      </c>
      <c r="D2510" s="32">
        <v>47161.0</v>
      </c>
      <c r="E2510" s="33">
        <f>IF(NOT(ISBLANK(vlookup($D2510,Pop_Census_2023!$A$2:$E$3220,4,FALSE))),vlookup($D2510,Pop_Census_2023!$A$2:$E$3220,4,FALSE), vlookup($D2510,Pop_Census_2023!$A$2:$E$3220,5,FALSE))</f>
        <v>14222</v>
      </c>
      <c r="F2510" s="32">
        <v>1639792.0</v>
      </c>
      <c r="G2510" s="32">
        <v>92.0</v>
      </c>
      <c r="H2510" s="32" t="str">
        <f>VLOOKUP(D2510, Grid_Region_Mapping!$D$2:$F$5286, 3, FALSE)</f>
        <v>SRCE</v>
      </c>
      <c r="I2510" s="32">
        <v>6.0</v>
      </c>
      <c r="J2510" s="34" t="str">
        <f t="shared" si="1"/>
        <v>South</v>
      </c>
      <c r="K2510" s="35">
        <v>3.0</v>
      </c>
      <c r="L2510" s="35" t="s">
        <v>223</v>
      </c>
      <c r="M2510" s="36">
        <f>VLOOKUP(D2510, County_Data_CZones!$B$2:$F$3236, 2, FALSE)</f>
        <v>4</v>
      </c>
      <c r="N2510" s="37" t="str">
        <f>VLOOKUP(D2510, County_Data_CZones!$B$2:$F$3236, 5, FALSE)</f>
        <v>Mixed-Humid</v>
      </c>
    </row>
    <row r="2511" ht="15.75" customHeight="1">
      <c r="A2511" s="32" t="s">
        <v>694</v>
      </c>
      <c r="B2511" s="32" t="s">
        <v>1616</v>
      </c>
      <c r="C2511" s="32" t="str">
        <f>vlookup(B2511,State_EMM_RowSums!$A$2:$B$52,2,FALSE)</f>
        <v>TN</v>
      </c>
      <c r="D2511" s="32">
        <v>47163.0</v>
      </c>
      <c r="E2511" s="33">
        <f>IF(NOT(ISBLANK(vlookup($D2511,Pop_Census_2023!$A$2:$E$3220,4,FALSE))),vlookup($D2511,Pop_Census_2023!$A$2:$E$3220,4,FALSE), vlookup($D2511,Pop_Census_2023!$A$2:$E$3220,5,FALSE))</f>
        <v>162135</v>
      </c>
      <c r="F2511" s="32">
        <v>1639793.0</v>
      </c>
      <c r="G2511" s="32">
        <v>92.0</v>
      </c>
      <c r="H2511" s="32" t="str">
        <f>VLOOKUP(D2511, Grid_Region_Mapping!$D$2:$F$5286, 3, FALSE)</f>
        <v>SRCE</v>
      </c>
      <c r="I2511" s="32">
        <v>6.0</v>
      </c>
      <c r="J2511" s="34" t="str">
        <f t="shared" si="1"/>
        <v>South</v>
      </c>
      <c r="K2511" s="35">
        <v>3.0</v>
      </c>
      <c r="L2511" s="35" t="s">
        <v>223</v>
      </c>
      <c r="M2511" s="36">
        <f>VLOOKUP(D2511, County_Data_CZones!$B$2:$F$3236, 2, FALSE)</f>
        <v>4</v>
      </c>
      <c r="N2511" s="37" t="str">
        <f>VLOOKUP(D2511, County_Data_CZones!$B$2:$F$3236, 5, FALSE)</f>
        <v>Mixed-Humid</v>
      </c>
    </row>
    <row r="2512" ht="15.75" customHeight="1">
      <c r="A2512" s="32" t="s">
        <v>810</v>
      </c>
      <c r="B2512" s="32" t="s">
        <v>1616</v>
      </c>
      <c r="C2512" s="32" t="str">
        <f>vlookup(B2512,State_EMM_RowSums!$A$2:$B$52,2,FALSE)</f>
        <v>TN</v>
      </c>
      <c r="D2512" s="32">
        <v>47165.0</v>
      </c>
      <c r="E2512" s="33">
        <f>IF(NOT(ISBLANK(vlookup($D2512,Pop_Census_2023!$A$2:$E$3220,4,FALSE))),vlookup($D2512,Pop_Census_2023!$A$2:$E$3220,4,FALSE), vlookup($D2512,Pop_Census_2023!$A$2:$E$3220,5,FALSE))</f>
        <v>207994</v>
      </c>
      <c r="F2512" s="32">
        <v>1639794.0</v>
      </c>
      <c r="G2512" s="32">
        <v>92.0</v>
      </c>
      <c r="H2512" s="32" t="str">
        <f>VLOOKUP(D2512, Grid_Region_Mapping!$D$2:$F$5286, 3, FALSE)</f>
        <v>SRCE</v>
      </c>
      <c r="I2512" s="32">
        <v>6.0</v>
      </c>
      <c r="J2512" s="34" t="str">
        <f t="shared" si="1"/>
        <v>South</v>
      </c>
      <c r="K2512" s="35">
        <v>3.0</v>
      </c>
      <c r="L2512" s="35" t="s">
        <v>223</v>
      </c>
      <c r="M2512" s="36">
        <f>VLOOKUP(D2512, County_Data_CZones!$B$2:$F$3236, 2, FALSE)</f>
        <v>4</v>
      </c>
      <c r="N2512" s="37" t="str">
        <f>VLOOKUP(D2512, County_Data_CZones!$B$2:$F$3236, 5, FALSE)</f>
        <v>Mixed-Humid</v>
      </c>
    </row>
    <row r="2513" ht="15.75" customHeight="1">
      <c r="A2513" s="32" t="s">
        <v>697</v>
      </c>
      <c r="B2513" s="32" t="s">
        <v>1616</v>
      </c>
      <c r="C2513" s="32" t="str">
        <f>vlookup(B2513,State_EMM_RowSums!$A$2:$B$52,2,FALSE)</f>
        <v>TN</v>
      </c>
      <c r="D2513" s="32">
        <v>47167.0</v>
      </c>
      <c r="E2513" s="33">
        <f>IF(NOT(ISBLANK(vlookup($D2513,Pop_Census_2023!$A$2:$E$3220,4,FALSE))),vlookup($D2513,Pop_Census_2023!$A$2:$E$3220,4,FALSE), vlookup($D2513,Pop_Census_2023!$A$2:$E$3220,5,FALSE))</f>
        <v>62015</v>
      </c>
      <c r="F2513" s="32">
        <v>1639795.0</v>
      </c>
      <c r="G2513" s="32">
        <v>92.0</v>
      </c>
      <c r="H2513" s="32" t="str">
        <f>VLOOKUP(D2513, Grid_Region_Mapping!$D$2:$F$5286, 3, FALSE)</f>
        <v>SRCE</v>
      </c>
      <c r="I2513" s="32">
        <v>6.0</v>
      </c>
      <c r="J2513" s="34" t="str">
        <f t="shared" si="1"/>
        <v>South</v>
      </c>
      <c r="K2513" s="35">
        <v>4.0</v>
      </c>
      <c r="L2513" s="35" t="s">
        <v>102</v>
      </c>
      <c r="M2513" s="36">
        <f>VLOOKUP(D2513, County_Data_CZones!$B$2:$F$3236, 2, FALSE)</f>
        <v>3</v>
      </c>
      <c r="N2513" s="37" t="str">
        <f>VLOOKUP(D2513, County_Data_CZones!$B$2:$F$3236, 5, FALSE)</f>
        <v>Mixed-Humid</v>
      </c>
    </row>
    <row r="2514" ht="15.75" customHeight="1">
      <c r="A2514" s="32" t="s">
        <v>1640</v>
      </c>
      <c r="B2514" s="32" t="s">
        <v>1616</v>
      </c>
      <c r="C2514" s="32" t="str">
        <f>vlookup(B2514,State_EMM_RowSums!$A$2:$B$52,2,FALSE)</f>
        <v>TN</v>
      </c>
      <c r="D2514" s="32">
        <v>47169.0</v>
      </c>
      <c r="E2514" s="33">
        <f>IF(NOT(ISBLANK(vlookup($D2514,Pop_Census_2023!$A$2:$E$3220,4,FALSE))),vlookup($D2514,Pop_Census_2023!$A$2:$E$3220,4,FALSE), vlookup($D2514,Pop_Census_2023!$A$2:$E$3220,5,FALSE))</f>
        <v>12271</v>
      </c>
      <c r="F2514" s="32">
        <v>1648581.0</v>
      </c>
      <c r="G2514" s="32">
        <v>92.0</v>
      </c>
      <c r="H2514" s="32" t="str">
        <f>VLOOKUP(D2514, Grid_Region_Mapping!$D$2:$F$5286, 3, FALSE)</f>
        <v>SRCE</v>
      </c>
      <c r="I2514" s="32">
        <v>6.0</v>
      </c>
      <c r="J2514" s="34" t="str">
        <f t="shared" si="1"/>
        <v>South</v>
      </c>
      <c r="K2514" s="35">
        <v>3.0</v>
      </c>
      <c r="L2514" s="35" t="s">
        <v>223</v>
      </c>
      <c r="M2514" s="36">
        <f>VLOOKUP(D2514, County_Data_CZones!$B$2:$F$3236, 2, FALSE)</f>
        <v>4</v>
      </c>
      <c r="N2514" s="37" t="str">
        <f>VLOOKUP(D2514, County_Data_CZones!$B$2:$F$3236, 5, FALSE)</f>
        <v>Mixed-Humid</v>
      </c>
    </row>
    <row r="2515" ht="15.75" customHeight="1">
      <c r="A2515" s="32" t="s">
        <v>1641</v>
      </c>
      <c r="B2515" s="32" t="s">
        <v>1616</v>
      </c>
      <c r="C2515" s="32" t="str">
        <f>vlookup(B2515,State_EMM_RowSums!$A$2:$B$52,2,FALSE)</f>
        <v>TN</v>
      </c>
      <c r="D2515" s="32">
        <v>47171.0</v>
      </c>
      <c r="E2515" s="33">
        <f>IF(NOT(ISBLANK(vlookup($D2515,Pop_Census_2023!$A$2:$E$3220,4,FALSE))),vlookup($D2515,Pop_Census_2023!$A$2:$E$3220,4,FALSE), vlookup($D2515,Pop_Census_2023!$A$2:$E$3220,5,FALSE))</f>
        <v>17756</v>
      </c>
      <c r="F2515" s="32">
        <v>1648582.0</v>
      </c>
      <c r="G2515" s="32">
        <v>92.0</v>
      </c>
      <c r="H2515" s="32" t="str">
        <f>VLOOKUP(D2515, Grid_Region_Mapping!$D$2:$F$5286, 3, FALSE)</f>
        <v>SRCE</v>
      </c>
      <c r="I2515" s="32">
        <v>6.0</v>
      </c>
      <c r="J2515" s="34" t="str">
        <f t="shared" si="1"/>
        <v>South</v>
      </c>
      <c r="K2515" s="35">
        <v>3.0</v>
      </c>
      <c r="L2515" s="35" t="s">
        <v>223</v>
      </c>
      <c r="M2515" s="36">
        <f>VLOOKUP(D2515, County_Data_CZones!$B$2:$F$3236, 2, FALSE)</f>
        <v>4</v>
      </c>
      <c r="N2515" s="37" t="str">
        <f>VLOOKUP(D2515, County_Data_CZones!$B$2:$F$3236, 5, FALSE)</f>
        <v>Mixed-Humid</v>
      </c>
    </row>
    <row r="2516" ht="15.75" customHeight="1">
      <c r="A2516" s="32" t="s">
        <v>273</v>
      </c>
      <c r="B2516" s="32" t="s">
        <v>1616</v>
      </c>
      <c r="C2516" s="32" t="str">
        <f>vlookup(B2516,State_EMM_RowSums!$A$2:$B$52,2,FALSE)</f>
        <v>TN</v>
      </c>
      <c r="D2516" s="32">
        <v>47173.0</v>
      </c>
      <c r="E2516" s="33">
        <f>IF(NOT(ISBLANK(vlookup($D2516,Pop_Census_2023!$A$2:$E$3220,4,FALSE))),vlookup($D2516,Pop_Census_2023!$A$2:$E$3220,4,FALSE), vlookup($D2516,Pop_Census_2023!$A$2:$E$3220,5,FALSE))</f>
        <v>20741</v>
      </c>
      <c r="F2516" s="32">
        <v>1648583.0</v>
      </c>
      <c r="G2516" s="32">
        <v>92.0</v>
      </c>
      <c r="H2516" s="32" t="str">
        <f>VLOOKUP(D2516, Grid_Region_Mapping!$D$2:$F$5286, 3, FALSE)</f>
        <v>SRCE</v>
      </c>
      <c r="I2516" s="32">
        <v>6.0</v>
      </c>
      <c r="J2516" s="34" t="str">
        <f t="shared" si="1"/>
        <v>South</v>
      </c>
      <c r="K2516" s="35">
        <v>3.0</v>
      </c>
      <c r="L2516" s="35" t="s">
        <v>223</v>
      </c>
      <c r="M2516" s="36">
        <f>VLOOKUP(D2516, County_Data_CZones!$B$2:$F$3236, 2, FALSE)</f>
        <v>4</v>
      </c>
      <c r="N2516" s="37" t="str">
        <f>VLOOKUP(D2516, County_Data_CZones!$B$2:$F$3236, 5, FALSE)</f>
        <v>Mixed-Humid</v>
      </c>
    </row>
    <row r="2517" ht="15.75" customHeight="1">
      <c r="A2517" s="32" t="s">
        <v>274</v>
      </c>
      <c r="B2517" s="32" t="s">
        <v>1616</v>
      </c>
      <c r="C2517" s="32" t="str">
        <f>vlookup(B2517,State_EMM_RowSums!$A$2:$B$52,2,FALSE)</f>
        <v>TN</v>
      </c>
      <c r="D2517" s="32">
        <v>47175.0</v>
      </c>
      <c r="E2517" s="33">
        <f>IF(NOT(ISBLANK(vlookup($D2517,Pop_Census_2023!$A$2:$E$3220,4,FALSE))),vlookup($D2517,Pop_Census_2023!$A$2:$E$3220,4,FALSE), vlookup($D2517,Pop_Census_2023!$A$2:$E$3220,5,FALSE))</f>
        <v>6493</v>
      </c>
      <c r="F2517" s="32">
        <v>1648584.0</v>
      </c>
      <c r="G2517" s="32">
        <v>92.0</v>
      </c>
      <c r="H2517" s="32" t="str">
        <f>VLOOKUP(D2517, Grid_Region_Mapping!$D$2:$F$5286, 3, FALSE)</f>
        <v>SRCE</v>
      </c>
      <c r="I2517" s="32">
        <v>6.0</v>
      </c>
      <c r="J2517" s="34" t="str">
        <f t="shared" si="1"/>
        <v>South</v>
      </c>
      <c r="K2517" s="35">
        <v>3.0</v>
      </c>
      <c r="L2517" s="35" t="s">
        <v>223</v>
      </c>
      <c r="M2517" s="36">
        <f>VLOOKUP(D2517, County_Data_CZones!$B$2:$F$3236, 2, FALSE)</f>
        <v>4</v>
      </c>
      <c r="N2517" s="37" t="str">
        <f>VLOOKUP(D2517, County_Data_CZones!$B$2:$F$3236, 5, FALSE)</f>
        <v>Mixed-Humid</v>
      </c>
    </row>
    <row r="2518" ht="15.75" customHeight="1">
      <c r="A2518" s="32" t="s">
        <v>561</v>
      </c>
      <c r="B2518" s="32" t="s">
        <v>1616</v>
      </c>
      <c r="C2518" s="32" t="str">
        <f>vlookup(B2518,State_EMM_RowSums!$A$2:$B$52,2,FALSE)</f>
        <v>TN</v>
      </c>
      <c r="D2518" s="32">
        <v>47177.0</v>
      </c>
      <c r="E2518" s="33">
        <f>IF(NOT(ISBLANK(vlookup($D2518,Pop_Census_2023!$A$2:$E$3220,4,FALSE))),vlookup($D2518,Pop_Census_2023!$A$2:$E$3220,4,FALSE), vlookup($D2518,Pop_Census_2023!$A$2:$E$3220,5,FALSE))</f>
        <v>42638</v>
      </c>
      <c r="F2518" s="32">
        <v>1639796.0</v>
      </c>
      <c r="G2518" s="32">
        <v>92.0</v>
      </c>
      <c r="H2518" s="32" t="str">
        <f>VLOOKUP(D2518, Grid_Region_Mapping!$D$2:$F$5286, 3, FALSE)</f>
        <v>SRCE</v>
      </c>
      <c r="I2518" s="32">
        <v>6.0</v>
      </c>
      <c r="J2518" s="34" t="str">
        <f t="shared" si="1"/>
        <v>South</v>
      </c>
      <c r="K2518" s="35">
        <v>3.0</v>
      </c>
      <c r="L2518" s="35" t="s">
        <v>223</v>
      </c>
      <c r="M2518" s="36">
        <f>VLOOKUP(D2518, County_Data_CZones!$B$2:$F$3236, 2, FALSE)</f>
        <v>4</v>
      </c>
      <c r="N2518" s="37" t="str">
        <f>VLOOKUP(D2518, County_Data_CZones!$B$2:$F$3236, 5, FALSE)</f>
        <v>Mixed-Humid</v>
      </c>
    </row>
    <row r="2519" ht="15.75" customHeight="1">
      <c r="A2519" s="32" t="s">
        <v>167</v>
      </c>
      <c r="B2519" s="32" t="s">
        <v>1616</v>
      </c>
      <c r="C2519" s="32" t="str">
        <f>vlookup(B2519,State_EMM_RowSums!$A$2:$B$52,2,FALSE)</f>
        <v>TN</v>
      </c>
      <c r="D2519" s="32">
        <v>47179.0</v>
      </c>
      <c r="E2519" s="33">
        <f>IF(NOT(ISBLANK(vlookup($D2519,Pop_Census_2023!$A$2:$E$3220,4,FALSE))),vlookup($D2519,Pop_Census_2023!$A$2:$E$3220,4,FALSE), vlookup($D2519,Pop_Census_2023!$A$2:$E$3220,5,FALSE))</f>
        <v>138420</v>
      </c>
      <c r="F2519" s="32">
        <v>1639797.0</v>
      </c>
      <c r="G2519" s="32">
        <v>92.0</v>
      </c>
      <c r="H2519" s="32" t="str">
        <f>VLOOKUP(D2519, Grid_Region_Mapping!$D$2:$F$5286, 3, FALSE)</f>
        <v>SRCE</v>
      </c>
      <c r="I2519" s="32">
        <v>6.0</v>
      </c>
      <c r="J2519" s="34" t="str">
        <f t="shared" si="1"/>
        <v>South</v>
      </c>
      <c r="K2519" s="35">
        <v>3.0</v>
      </c>
      <c r="L2519" s="35" t="s">
        <v>223</v>
      </c>
      <c r="M2519" s="36">
        <f>VLOOKUP(D2519, County_Data_CZones!$B$2:$F$3236, 2, FALSE)</f>
        <v>4</v>
      </c>
      <c r="N2519" s="37" t="str">
        <f>VLOOKUP(D2519, County_Data_CZones!$B$2:$F$3236, 5, FALSE)</f>
        <v>Mixed-Humid</v>
      </c>
    </row>
    <row r="2520" ht="15.75" customHeight="1">
      <c r="A2520" s="32" t="s">
        <v>562</v>
      </c>
      <c r="B2520" s="32" t="s">
        <v>1616</v>
      </c>
      <c r="C2520" s="32" t="str">
        <f>vlookup(B2520,State_EMM_RowSums!$A$2:$B$52,2,FALSE)</f>
        <v>TN</v>
      </c>
      <c r="D2520" s="32">
        <v>47181.0</v>
      </c>
      <c r="E2520" s="33">
        <f>IF(NOT(ISBLANK(vlookup($D2520,Pop_Census_2023!$A$2:$E$3220,4,FALSE))),vlookup($D2520,Pop_Census_2023!$A$2:$E$3220,4,FALSE), vlookup($D2520,Pop_Census_2023!$A$2:$E$3220,5,FALSE))</f>
        <v>16066</v>
      </c>
      <c r="F2520" s="32">
        <v>1639798.0</v>
      </c>
      <c r="G2520" s="32">
        <v>92.0</v>
      </c>
      <c r="H2520" s="32" t="str">
        <f>VLOOKUP(D2520, Grid_Region_Mapping!$D$2:$F$5286, 3, FALSE)</f>
        <v>SRCE</v>
      </c>
      <c r="I2520" s="32">
        <v>6.0</v>
      </c>
      <c r="J2520" s="34" t="str">
        <f t="shared" si="1"/>
        <v>South</v>
      </c>
      <c r="K2520" s="35">
        <v>4.0</v>
      </c>
      <c r="L2520" s="35" t="s">
        <v>223</v>
      </c>
      <c r="M2520" s="36">
        <f>VLOOKUP(D2520, County_Data_CZones!$B$2:$F$3236, 2, FALSE)</f>
        <v>4</v>
      </c>
      <c r="N2520" s="37" t="str">
        <f>VLOOKUP(D2520, County_Data_CZones!$B$2:$F$3236, 5, FALSE)</f>
        <v>Mixed-Humid</v>
      </c>
    </row>
    <row r="2521" ht="15.75" customHeight="1">
      <c r="A2521" s="32" t="s">
        <v>1642</v>
      </c>
      <c r="B2521" s="32" t="s">
        <v>1616</v>
      </c>
      <c r="C2521" s="32" t="str">
        <f>vlookup(B2521,State_EMM_RowSums!$A$2:$B$52,2,FALSE)</f>
        <v>TN</v>
      </c>
      <c r="D2521" s="32">
        <v>47183.0</v>
      </c>
      <c r="E2521" s="33">
        <f>IF(NOT(ISBLANK(vlookup($D2521,Pop_Census_2023!$A$2:$E$3220,4,FALSE))),vlookup($D2521,Pop_Census_2023!$A$2:$E$3220,4,FALSE), vlookup($D2521,Pop_Census_2023!$A$2:$E$3220,5,FALSE))</f>
        <v>33084</v>
      </c>
      <c r="F2521" s="32">
        <v>1639799.0</v>
      </c>
      <c r="G2521" s="32">
        <v>92.0</v>
      </c>
      <c r="H2521" s="32" t="str">
        <f>VLOOKUP(D2521, Grid_Region_Mapping!$D$2:$F$5286, 3, FALSE)</f>
        <v>SRCE</v>
      </c>
      <c r="I2521" s="32">
        <v>6.0</v>
      </c>
      <c r="J2521" s="34" t="str">
        <f t="shared" si="1"/>
        <v>South</v>
      </c>
      <c r="K2521" s="35">
        <v>3.0</v>
      </c>
      <c r="L2521" s="35" t="s">
        <v>223</v>
      </c>
      <c r="M2521" s="36">
        <f>VLOOKUP(D2521, County_Data_CZones!$B$2:$F$3236, 2, FALSE)</f>
        <v>4</v>
      </c>
      <c r="N2521" s="37" t="str">
        <f>VLOOKUP(D2521, County_Data_CZones!$B$2:$F$3236, 5, FALSE)</f>
        <v>Mixed-Humid</v>
      </c>
    </row>
    <row r="2522" ht="15.75" customHeight="1">
      <c r="A2522" s="32" t="s">
        <v>275</v>
      </c>
      <c r="B2522" s="32" t="s">
        <v>1616</v>
      </c>
      <c r="C2522" s="32" t="str">
        <f>vlookup(B2522,State_EMM_RowSums!$A$2:$B$52,2,FALSE)</f>
        <v>TN</v>
      </c>
      <c r="D2522" s="32">
        <v>47185.0</v>
      </c>
      <c r="E2522" s="33">
        <f>IF(NOT(ISBLANK(vlookup($D2522,Pop_Census_2023!$A$2:$E$3220,4,FALSE))),vlookup($D2522,Pop_Census_2023!$A$2:$E$3220,4,FALSE), vlookup($D2522,Pop_Census_2023!$A$2:$E$3220,5,FALSE))</f>
        <v>28692</v>
      </c>
      <c r="F2522" s="32">
        <v>1639800.0</v>
      </c>
      <c r="G2522" s="32">
        <v>92.0</v>
      </c>
      <c r="H2522" s="32" t="str">
        <f>VLOOKUP(D2522, Grid_Region_Mapping!$D$2:$F$5286, 3, FALSE)</f>
        <v>SRCE</v>
      </c>
      <c r="I2522" s="32">
        <v>6.0</v>
      </c>
      <c r="J2522" s="34" t="str">
        <f t="shared" si="1"/>
        <v>South</v>
      </c>
      <c r="K2522" s="35">
        <v>3.0</v>
      </c>
      <c r="L2522" s="35" t="s">
        <v>223</v>
      </c>
      <c r="M2522" s="36">
        <f>VLOOKUP(D2522, County_Data_CZones!$B$2:$F$3236, 2, FALSE)</f>
        <v>4</v>
      </c>
      <c r="N2522" s="37" t="str">
        <f>VLOOKUP(D2522, County_Data_CZones!$B$2:$F$3236, 5, FALSE)</f>
        <v>Mixed-Humid</v>
      </c>
    </row>
    <row r="2523" ht="15.75" customHeight="1">
      <c r="A2523" s="32" t="s">
        <v>660</v>
      </c>
      <c r="B2523" s="32" t="s">
        <v>1616</v>
      </c>
      <c r="C2523" s="32" t="str">
        <f>vlookup(B2523,State_EMM_RowSums!$A$2:$B$52,2,FALSE)</f>
        <v>TN</v>
      </c>
      <c r="D2523" s="32">
        <v>47187.0</v>
      </c>
      <c r="E2523" s="33">
        <f>IF(NOT(ISBLANK(vlookup($D2523,Pop_Census_2023!$A$2:$E$3220,4,FALSE))),vlookup($D2523,Pop_Census_2023!$A$2:$E$3220,4,FALSE), vlookup($D2523,Pop_Census_2023!$A$2:$E$3220,5,FALSE))</f>
        <v>264460</v>
      </c>
      <c r="F2523" s="32">
        <v>1639801.0</v>
      </c>
      <c r="G2523" s="32">
        <v>92.0</v>
      </c>
      <c r="H2523" s="32" t="str">
        <f>VLOOKUP(D2523, Grid_Region_Mapping!$D$2:$F$5286, 3, FALSE)</f>
        <v>SRCE</v>
      </c>
      <c r="I2523" s="32">
        <v>6.0</v>
      </c>
      <c r="J2523" s="34" t="str">
        <f t="shared" si="1"/>
        <v>South</v>
      </c>
      <c r="K2523" s="35">
        <v>4.0</v>
      </c>
      <c r="L2523" s="35" t="s">
        <v>223</v>
      </c>
      <c r="M2523" s="36">
        <f>VLOOKUP(D2523, County_Data_CZones!$B$2:$F$3236, 2, FALSE)</f>
        <v>4</v>
      </c>
      <c r="N2523" s="37" t="str">
        <f>VLOOKUP(D2523, County_Data_CZones!$B$2:$F$3236, 5, FALSE)</f>
        <v>Mixed-Humid</v>
      </c>
    </row>
    <row r="2524" ht="15.75" customHeight="1">
      <c r="A2524" s="32" t="s">
        <v>815</v>
      </c>
      <c r="B2524" s="32" t="s">
        <v>1616</v>
      </c>
      <c r="C2524" s="32" t="str">
        <f>vlookup(B2524,State_EMM_RowSums!$A$2:$B$52,2,FALSE)</f>
        <v>TN</v>
      </c>
      <c r="D2524" s="32">
        <v>47189.0</v>
      </c>
      <c r="E2524" s="33">
        <f>IF(NOT(ISBLANK(vlookup($D2524,Pop_Census_2023!$A$2:$E$3220,4,FALSE))),vlookup($D2524,Pop_Census_2023!$A$2:$E$3220,4,FALSE), vlookup($D2524,Pop_Census_2023!$A$2:$E$3220,5,FALSE))</f>
        <v>163674</v>
      </c>
      <c r="F2524" s="32">
        <v>1639802.0</v>
      </c>
      <c r="G2524" s="32">
        <v>92.0</v>
      </c>
      <c r="H2524" s="32" t="str">
        <f>VLOOKUP(D2524, Grid_Region_Mapping!$D$2:$F$5286, 3, FALSE)</f>
        <v>SRCE</v>
      </c>
      <c r="I2524" s="32">
        <v>6.0</v>
      </c>
      <c r="J2524" s="34" t="str">
        <f t="shared" si="1"/>
        <v>South</v>
      </c>
      <c r="K2524" s="35">
        <v>3.0</v>
      </c>
      <c r="L2524" s="35" t="s">
        <v>223</v>
      </c>
      <c r="M2524" s="36">
        <f>VLOOKUP(D2524, County_Data_CZones!$B$2:$F$3236, 2, FALSE)</f>
        <v>4</v>
      </c>
      <c r="N2524" s="37" t="str">
        <f>VLOOKUP(D2524, County_Data_CZones!$B$2:$F$3236, 5, FALSE)</f>
        <v>Mixed-Humid</v>
      </c>
    </row>
    <row r="2525" ht="15.75" customHeight="1">
      <c r="A2525" s="32" t="s">
        <v>751</v>
      </c>
      <c r="B2525" s="32" t="s">
        <v>1159</v>
      </c>
      <c r="C2525" s="32" t="str">
        <f>vlookup(B2525,State_EMM_RowSums!$A$2:$B$52,2,FALSE)</f>
        <v>TX</v>
      </c>
      <c r="D2525" s="32">
        <v>48001.0</v>
      </c>
      <c r="E2525" s="33">
        <f>IF(NOT(ISBLANK(vlookup($D2525,Pop_Census_2023!$A$2:$E$3220,4,FALSE))),vlookup($D2525,Pop_Census_2023!$A$2:$E$3220,4,FALSE), vlookup($D2525,Pop_Census_2023!$A$2:$E$3220,5,FALSE))</f>
        <v>57736</v>
      </c>
      <c r="F2525" s="32">
        <v>1383786.0</v>
      </c>
      <c r="G2525" s="32">
        <v>63.0</v>
      </c>
      <c r="H2525" s="32" t="str">
        <f>VLOOKUP(D2525, Grid_Region_Mapping!$D$2:$F$5286, 3, FALSE)</f>
        <v>TRE</v>
      </c>
      <c r="I2525" s="32">
        <v>7.0</v>
      </c>
      <c r="J2525" s="34" t="str">
        <f t="shared" si="1"/>
        <v>South</v>
      </c>
      <c r="K2525" s="35">
        <v>5.0</v>
      </c>
      <c r="L2525" s="35" t="s">
        <v>104</v>
      </c>
      <c r="M2525" s="36">
        <f>VLOOKUP(D2525, County_Data_CZones!$B$2:$F$3236, 2, FALSE)</f>
        <v>2</v>
      </c>
      <c r="N2525" s="37" t="str">
        <f>VLOOKUP(D2525, County_Data_CZones!$B$2:$F$3236, 5, FALSE)</f>
        <v>Hot-Humid</v>
      </c>
    </row>
    <row r="2526" ht="15.75" customHeight="1">
      <c r="A2526" s="32" t="s">
        <v>1643</v>
      </c>
      <c r="B2526" s="32" t="s">
        <v>1159</v>
      </c>
      <c r="C2526" s="32" t="str">
        <f>vlookup(B2526,State_EMM_RowSums!$A$2:$B$52,2,FALSE)</f>
        <v>TX</v>
      </c>
      <c r="D2526" s="32">
        <v>48003.0</v>
      </c>
      <c r="E2526" s="33">
        <f>IF(NOT(ISBLANK(vlookup($D2526,Pop_Census_2023!$A$2:$E$3220,4,FALSE))),vlookup($D2526,Pop_Census_2023!$A$2:$E$3220,4,FALSE), vlookup($D2526,Pop_Census_2023!$A$2:$E$3220,5,FALSE))</f>
        <v>18664</v>
      </c>
      <c r="F2526" s="32">
        <v>1383787.0</v>
      </c>
      <c r="G2526" s="32">
        <v>62.0</v>
      </c>
      <c r="H2526" s="32" t="str">
        <f>VLOOKUP(D2526, Grid_Region_Mapping!$D$2:$F$5286, 3, FALSE)</f>
        <v>TRE</v>
      </c>
      <c r="I2526" s="32">
        <v>7.0</v>
      </c>
      <c r="J2526" s="34" t="str">
        <f t="shared" si="1"/>
        <v>South</v>
      </c>
      <c r="K2526" s="35">
        <v>5.0</v>
      </c>
      <c r="L2526" s="35" t="s">
        <v>204</v>
      </c>
      <c r="M2526" s="36">
        <f>VLOOKUP(D2526, County_Data_CZones!$B$2:$F$3236, 2, FALSE)</f>
        <v>3</v>
      </c>
      <c r="N2526" s="37" t="str">
        <f>VLOOKUP(D2526, County_Data_CZones!$B$2:$F$3236, 5, FALSE)</f>
        <v>Hot-Dry</v>
      </c>
    </row>
    <row r="2527" ht="15.75" customHeight="1">
      <c r="A2527" s="32" t="s">
        <v>1644</v>
      </c>
      <c r="B2527" s="32" t="s">
        <v>1159</v>
      </c>
      <c r="C2527" s="32" t="str">
        <f>vlookup(B2527,State_EMM_RowSums!$A$2:$B$52,2,FALSE)</f>
        <v>TX</v>
      </c>
      <c r="D2527" s="32">
        <v>48005.0</v>
      </c>
      <c r="E2527" s="33">
        <f>IF(NOT(ISBLANK(vlookup($D2527,Pop_Census_2023!$A$2:$E$3220,4,FALSE))),vlookup($D2527,Pop_Census_2023!$A$2:$E$3220,4,FALSE), vlookup($D2527,Pop_Census_2023!$A$2:$E$3220,5,FALSE))</f>
        <v>87319</v>
      </c>
      <c r="F2527" s="32">
        <v>1383788.0</v>
      </c>
      <c r="G2527" s="32">
        <v>63.0</v>
      </c>
      <c r="H2527" s="32" t="str">
        <f>VLOOKUP(D2527, Grid_Region_Mapping!$D$2:$F$5286, 3, FALSE)</f>
        <v>TRE</v>
      </c>
      <c r="I2527" s="32">
        <v>7.0</v>
      </c>
      <c r="J2527" s="34" t="str">
        <f t="shared" si="1"/>
        <v>South</v>
      </c>
      <c r="K2527" s="35">
        <v>5.0</v>
      </c>
      <c r="L2527" s="35" t="s">
        <v>104</v>
      </c>
      <c r="M2527" s="36">
        <f>VLOOKUP(D2527, County_Data_CZones!$B$2:$F$3236, 2, FALSE)</f>
        <v>2</v>
      </c>
      <c r="N2527" s="37" t="str">
        <f>VLOOKUP(D2527, County_Data_CZones!$B$2:$F$3236, 5, FALSE)</f>
        <v>Hot-Humid</v>
      </c>
    </row>
    <row r="2528" ht="15.75" customHeight="1">
      <c r="A2528" s="32" t="s">
        <v>1645</v>
      </c>
      <c r="B2528" s="32" t="s">
        <v>1159</v>
      </c>
      <c r="C2528" s="32" t="str">
        <f>vlookup(B2528,State_EMM_RowSums!$A$2:$B$52,2,FALSE)</f>
        <v>TX</v>
      </c>
      <c r="D2528" s="32">
        <v>48007.0</v>
      </c>
      <c r="E2528" s="33">
        <f>IF(NOT(ISBLANK(vlookup($D2528,Pop_Census_2023!$A$2:$E$3220,4,FALSE))),vlookup($D2528,Pop_Census_2023!$A$2:$E$3220,4,FALSE), vlookup($D2528,Pop_Census_2023!$A$2:$E$3220,5,FALSE))</f>
        <v>25374</v>
      </c>
      <c r="F2528" s="32">
        <v>1383789.0</v>
      </c>
      <c r="G2528" s="32">
        <v>65.0</v>
      </c>
      <c r="H2528" s="32" t="str">
        <f>VLOOKUP(D2528, Grid_Region_Mapping!$D$2:$F$5286, 3, FALSE)</f>
        <v>TRE</v>
      </c>
      <c r="I2528" s="32">
        <v>7.0</v>
      </c>
      <c r="J2528" s="34" t="str">
        <f t="shared" si="1"/>
        <v>South</v>
      </c>
      <c r="K2528" s="35">
        <v>5.0</v>
      </c>
      <c r="L2528" s="35" t="s">
        <v>104</v>
      </c>
      <c r="M2528" s="36">
        <f>VLOOKUP(D2528, County_Data_CZones!$B$2:$F$3236, 2, FALSE)</f>
        <v>2</v>
      </c>
      <c r="N2528" s="37" t="str">
        <f>VLOOKUP(D2528, County_Data_CZones!$B$2:$F$3236, 5, FALSE)</f>
        <v>Hot-Humid</v>
      </c>
    </row>
    <row r="2529" ht="15.75" customHeight="1">
      <c r="A2529" s="32" t="s">
        <v>1646</v>
      </c>
      <c r="B2529" s="32" t="s">
        <v>1159</v>
      </c>
      <c r="C2529" s="32" t="str">
        <f>vlookup(B2529,State_EMM_RowSums!$A$2:$B$52,2,FALSE)</f>
        <v>TX</v>
      </c>
      <c r="D2529" s="32">
        <v>48009.0</v>
      </c>
      <c r="E2529" s="33">
        <f>IF(NOT(ISBLANK(vlookup($D2529,Pop_Census_2023!$A$2:$E$3220,4,FALSE))),vlookup($D2529,Pop_Census_2023!$A$2:$E$3220,4,FALSE), vlookup($D2529,Pop_Census_2023!$A$2:$E$3220,5,FALSE))</f>
        <v>9029</v>
      </c>
      <c r="F2529" s="32">
        <v>1383790.0</v>
      </c>
      <c r="G2529" s="32">
        <v>63.0</v>
      </c>
      <c r="H2529" s="32" t="str">
        <f>VLOOKUP(D2529, Grid_Region_Mapping!$D$2:$F$5286, 3, FALSE)</f>
        <v>TRE</v>
      </c>
      <c r="I2529" s="32">
        <v>7.0</v>
      </c>
      <c r="J2529" s="34" t="str">
        <f t="shared" si="1"/>
        <v>South</v>
      </c>
      <c r="K2529" s="35">
        <v>5.0</v>
      </c>
      <c r="L2529" s="35" t="s">
        <v>102</v>
      </c>
      <c r="M2529" s="36">
        <f>VLOOKUP(D2529, County_Data_CZones!$B$2:$F$3236, 2, FALSE)</f>
        <v>3</v>
      </c>
      <c r="N2529" s="37" t="str">
        <f>VLOOKUP(D2529, County_Data_CZones!$B$2:$F$3236, 5, FALSE)</f>
        <v>Mixed-Humid</v>
      </c>
    </row>
    <row r="2530" ht="15.75" customHeight="1">
      <c r="A2530" s="32" t="s">
        <v>1516</v>
      </c>
      <c r="B2530" s="32" t="s">
        <v>1159</v>
      </c>
      <c r="C2530" s="32" t="str">
        <f>vlookup(B2530,State_EMM_RowSums!$A$2:$B$52,2,FALSE)</f>
        <v>TX</v>
      </c>
      <c r="D2530" s="32">
        <v>48011.0</v>
      </c>
      <c r="E2530" s="33">
        <f>IF(NOT(ISBLANK(vlookup($D2530,Pop_Census_2023!$A$2:$E$3220,4,FALSE))),vlookup($D2530,Pop_Census_2023!$A$2:$E$3220,4,FALSE), vlookup($D2530,Pop_Census_2023!$A$2:$E$3220,5,FALSE))</f>
        <v>1832</v>
      </c>
      <c r="F2530" s="32">
        <v>1383791.0</v>
      </c>
      <c r="G2530" s="32">
        <v>48.0</v>
      </c>
      <c r="H2530" s="32" t="str">
        <f>VLOOKUP(D2530, Grid_Region_Mapping!$D$2:$F$5286, 3, FALSE)</f>
        <v>SPPS</v>
      </c>
      <c r="I2530" s="32">
        <v>7.0</v>
      </c>
      <c r="J2530" s="34" t="str">
        <f t="shared" si="1"/>
        <v>South</v>
      </c>
      <c r="K2530" s="35">
        <v>3.0</v>
      </c>
      <c r="L2530" s="35" t="s">
        <v>207</v>
      </c>
      <c r="M2530" s="36">
        <f>VLOOKUP(D2530, County_Data_CZones!$B$2:$F$3236, 2, FALSE)</f>
        <v>4</v>
      </c>
      <c r="N2530" s="37" t="str">
        <f>VLOOKUP(D2530, County_Data_CZones!$B$2:$F$3236, 5, FALSE)</f>
        <v>Mixed-Dry</v>
      </c>
    </row>
    <row r="2531" ht="15.75" customHeight="1">
      <c r="A2531" s="32" t="s">
        <v>1647</v>
      </c>
      <c r="B2531" s="32" t="s">
        <v>1159</v>
      </c>
      <c r="C2531" s="32" t="str">
        <f>vlookup(B2531,State_EMM_RowSums!$A$2:$B$52,2,FALSE)</f>
        <v>TX</v>
      </c>
      <c r="D2531" s="32">
        <v>48013.0</v>
      </c>
      <c r="E2531" s="33">
        <f>IF(NOT(ISBLANK(vlookup($D2531,Pop_Census_2023!$A$2:$E$3220,4,FALSE))),vlookup($D2531,Pop_Census_2023!$A$2:$E$3220,4,FALSE), vlookup($D2531,Pop_Census_2023!$A$2:$E$3220,5,FALSE))</f>
        <v>51784</v>
      </c>
      <c r="F2531" s="32">
        <v>1383792.0</v>
      </c>
      <c r="G2531" s="32">
        <v>65.0</v>
      </c>
      <c r="H2531" s="32" t="str">
        <f>VLOOKUP(D2531, Grid_Region_Mapping!$D$2:$F$5286, 3, FALSE)</f>
        <v>TRE</v>
      </c>
      <c r="I2531" s="32">
        <v>7.0</v>
      </c>
      <c r="J2531" s="34" t="str">
        <f t="shared" si="1"/>
        <v>South</v>
      </c>
      <c r="K2531" s="35">
        <v>5.0</v>
      </c>
      <c r="L2531" s="35" t="s">
        <v>104</v>
      </c>
      <c r="M2531" s="36">
        <f>VLOOKUP(D2531, County_Data_CZones!$B$2:$F$3236, 2, FALSE)</f>
        <v>2</v>
      </c>
      <c r="N2531" s="37" t="str">
        <f>VLOOKUP(D2531, County_Data_CZones!$B$2:$F$3236, 5, FALSE)</f>
        <v>Hot-Humid</v>
      </c>
    </row>
    <row r="2532" ht="15.75" customHeight="1">
      <c r="A2532" s="32" t="s">
        <v>1648</v>
      </c>
      <c r="B2532" s="32" t="s">
        <v>1159</v>
      </c>
      <c r="C2532" s="32" t="str">
        <f>vlookup(B2532,State_EMM_RowSums!$A$2:$B$52,2,FALSE)</f>
        <v>TX</v>
      </c>
      <c r="D2532" s="32">
        <v>48015.0</v>
      </c>
      <c r="E2532" s="33">
        <f>IF(NOT(ISBLANK(vlookup($D2532,Pop_Census_2023!$A$2:$E$3220,4,FALSE))),vlookup($D2532,Pop_Census_2023!$A$2:$E$3220,4,FALSE), vlookup($D2532,Pop_Census_2023!$A$2:$E$3220,5,FALSE))</f>
        <v>31677</v>
      </c>
      <c r="F2532" s="32">
        <v>1383793.0</v>
      </c>
      <c r="G2532" s="32">
        <v>64.0</v>
      </c>
      <c r="H2532" s="32" t="str">
        <f>VLOOKUP(D2532, Grid_Region_Mapping!$D$2:$F$5286, 3, FALSE)</f>
        <v>TRE</v>
      </c>
      <c r="I2532" s="32">
        <v>7.0</v>
      </c>
      <c r="J2532" s="34" t="str">
        <f t="shared" si="1"/>
        <v>South</v>
      </c>
      <c r="K2532" s="35">
        <v>5.0</v>
      </c>
      <c r="L2532" s="35" t="s">
        <v>104</v>
      </c>
      <c r="M2532" s="36">
        <f>VLOOKUP(D2532, County_Data_CZones!$B$2:$F$3236, 2, FALSE)</f>
        <v>2</v>
      </c>
      <c r="N2532" s="37" t="str">
        <f>VLOOKUP(D2532, County_Data_CZones!$B$2:$F$3236, 5, FALSE)</f>
        <v>Hot-Humid</v>
      </c>
    </row>
    <row r="2533" ht="15.75" customHeight="1">
      <c r="A2533" s="32" t="s">
        <v>1649</v>
      </c>
      <c r="B2533" s="32" t="s">
        <v>1159</v>
      </c>
      <c r="C2533" s="32" t="str">
        <f>vlookup(B2533,State_EMM_RowSums!$A$2:$B$52,2,FALSE)</f>
        <v>TX</v>
      </c>
      <c r="D2533" s="32">
        <v>48017.0</v>
      </c>
      <c r="E2533" s="33">
        <f>IF(NOT(ISBLANK(vlookup($D2533,Pop_Census_2023!$A$2:$E$3220,4,FALSE))),vlookup($D2533,Pop_Census_2023!$A$2:$E$3220,4,FALSE), vlookup($D2533,Pop_Census_2023!$A$2:$E$3220,5,FALSE))</f>
        <v>6672</v>
      </c>
      <c r="F2533" s="32">
        <v>1383794.0</v>
      </c>
      <c r="G2533" s="32">
        <v>48.0</v>
      </c>
      <c r="H2533" s="32" t="str">
        <f>VLOOKUP(D2533, Grid_Region_Mapping!$D$2:$F$5286, 3, FALSE)</f>
        <v>SPPS</v>
      </c>
      <c r="I2533" s="32">
        <v>7.0</v>
      </c>
      <c r="J2533" s="34" t="str">
        <f t="shared" si="1"/>
        <v>South</v>
      </c>
      <c r="K2533" s="35">
        <v>3.0</v>
      </c>
      <c r="L2533" s="35" t="s">
        <v>207</v>
      </c>
      <c r="M2533" s="36">
        <f>VLOOKUP(D2533, County_Data_CZones!$B$2:$F$3236, 2, FALSE)</f>
        <v>4</v>
      </c>
      <c r="N2533" s="37" t="str">
        <f>VLOOKUP(D2533, County_Data_CZones!$B$2:$F$3236, 5, FALSE)</f>
        <v>Mixed-Dry</v>
      </c>
    </row>
    <row r="2534" ht="15.75" customHeight="1">
      <c r="A2534" s="32" t="s">
        <v>1650</v>
      </c>
      <c r="B2534" s="32" t="s">
        <v>1159</v>
      </c>
      <c r="C2534" s="32" t="str">
        <f>vlookup(B2534,State_EMM_RowSums!$A$2:$B$52,2,FALSE)</f>
        <v>TX</v>
      </c>
      <c r="D2534" s="32">
        <v>48019.0</v>
      </c>
      <c r="E2534" s="33">
        <f>IF(NOT(ISBLANK(vlookup($D2534,Pop_Census_2023!$A$2:$E$3220,4,FALSE))),vlookup($D2534,Pop_Census_2023!$A$2:$E$3220,4,FALSE), vlookup($D2534,Pop_Census_2023!$A$2:$E$3220,5,FALSE))</f>
        <v>22637</v>
      </c>
      <c r="F2534" s="32">
        <v>1383795.0</v>
      </c>
      <c r="G2534" s="32">
        <v>64.0</v>
      </c>
      <c r="H2534" s="32" t="str">
        <f>VLOOKUP(D2534, Grid_Region_Mapping!$D$2:$F$5286, 3, FALSE)</f>
        <v>TRE</v>
      </c>
      <c r="I2534" s="32">
        <v>7.0</v>
      </c>
      <c r="J2534" s="34" t="str">
        <f t="shared" si="1"/>
        <v>South</v>
      </c>
      <c r="K2534" s="35">
        <v>5.0</v>
      </c>
      <c r="L2534" s="35" t="s">
        <v>211</v>
      </c>
      <c r="M2534" s="36">
        <f>VLOOKUP(D2534, County_Data_CZones!$B$2:$F$3236, 2, FALSE)</f>
        <v>2</v>
      </c>
      <c r="N2534" s="37" t="str">
        <f>VLOOKUP(D2534, County_Data_CZones!$B$2:$F$3236, 5, FALSE)</f>
        <v>Hot-Humid</v>
      </c>
    </row>
    <row r="2535" ht="15.75" customHeight="1">
      <c r="A2535" s="32" t="s">
        <v>1651</v>
      </c>
      <c r="B2535" s="32" t="s">
        <v>1159</v>
      </c>
      <c r="C2535" s="32" t="str">
        <f>vlookup(B2535,State_EMM_RowSums!$A$2:$B$52,2,FALSE)</f>
        <v>TX</v>
      </c>
      <c r="D2535" s="32">
        <v>48021.0</v>
      </c>
      <c r="E2535" s="33">
        <f>IF(NOT(ISBLANK(vlookup($D2535,Pop_Census_2023!$A$2:$E$3220,4,FALSE))),vlookup($D2535,Pop_Census_2023!$A$2:$E$3220,4,FALSE), vlookup($D2535,Pop_Census_2023!$A$2:$E$3220,5,FALSE))</f>
        <v>110778</v>
      </c>
      <c r="F2535" s="32">
        <v>1383796.0</v>
      </c>
      <c r="G2535" s="32">
        <v>64.0</v>
      </c>
      <c r="H2535" s="32" t="str">
        <f>VLOOKUP(D2535, Grid_Region_Mapping!$D$2:$F$5286, 3, FALSE)</f>
        <v>TRE</v>
      </c>
      <c r="I2535" s="32">
        <v>7.0</v>
      </c>
      <c r="J2535" s="34" t="str">
        <f t="shared" si="1"/>
        <v>South</v>
      </c>
      <c r="K2535" s="35">
        <v>5.0</v>
      </c>
      <c r="L2535" s="35" t="s">
        <v>104</v>
      </c>
      <c r="M2535" s="36">
        <f>VLOOKUP(D2535, County_Data_CZones!$B$2:$F$3236, 2, FALSE)</f>
        <v>2</v>
      </c>
      <c r="N2535" s="37" t="str">
        <f>VLOOKUP(D2535, County_Data_CZones!$B$2:$F$3236, 5, FALSE)</f>
        <v>Hot-Humid</v>
      </c>
    </row>
    <row r="2536" ht="15.75" customHeight="1">
      <c r="A2536" s="32" t="s">
        <v>1652</v>
      </c>
      <c r="B2536" s="32" t="s">
        <v>1159</v>
      </c>
      <c r="C2536" s="32" t="str">
        <f>vlookup(B2536,State_EMM_RowSums!$A$2:$B$52,2,FALSE)</f>
        <v>TX</v>
      </c>
      <c r="D2536" s="32">
        <v>48023.0</v>
      </c>
      <c r="E2536" s="33">
        <f>IF(NOT(ISBLANK(vlookup($D2536,Pop_Census_2023!$A$2:$E$3220,4,FALSE))),vlookup($D2536,Pop_Census_2023!$A$2:$E$3220,4,FALSE), vlookup($D2536,Pop_Census_2023!$A$2:$E$3220,5,FALSE))</f>
        <v>3463</v>
      </c>
      <c r="F2536" s="32">
        <v>1383797.0</v>
      </c>
      <c r="G2536" s="32">
        <v>60.0</v>
      </c>
      <c r="H2536" s="32" t="str">
        <f>VLOOKUP(D2536, Grid_Region_Mapping!$D$2:$F$5286, 3, FALSE)</f>
        <v>TRE</v>
      </c>
      <c r="I2536" s="32">
        <v>7.0</v>
      </c>
      <c r="J2536" s="34" t="str">
        <f t="shared" si="1"/>
        <v>South</v>
      </c>
      <c r="K2536" s="35">
        <v>5.0</v>
      </c>
      <c r="L2536" s="35" t="s">
        <v>204</v>
      </c>
      <c r="M2536" s="36">
        <f>VLOOKUP(D2536, County_Data_CZones!$B$2:$F$3236, 2, FALSE)</f>
        <v>3</v>
      </c>
      <c r="N2536" s="37" t="str">
        <f>VLOOKUP(D2536, County_Data_CZones!$B$2:$F$3236, 5, FALSE)</f>
        <v>Hot-Dry</v>
      </c>
    </row>
    <row r="2537" ht="15.75" customHeight="1">
      <c r="A2537" s="32" t="s">
        <v>1653</v>
      </c>
      <c r="B2537" s="32" t="s">
        <v>1159</v>
      </c>
      <c r="C2537" s="32" t="str">
        <f>vlookup(B2537,State_EMM_RowSums!$A$2:$B$52,2,FALSE)</f>
        <v>TX</v>
      </c>
      <c r="D2537" s="32">
        <v>48025.0</v>
      </c>
      <c r="E2537" s="33">
        <f>IF(NOT(ISBLANK(vlookup($D2537,Pop_Census_2023!$A$2:$E$3220,4,FALSE))),vlookup($D2537,Pop_Census_2023!$A$2:$E$3220,4,FALSE), vlookup($D2537,Pop_Census_2023!$A$2:$E$3220,5,FALSE))</f>
        <v>30850</v>
      </c>
      <c r="F2537" s="32">
        <v>1383798.0</v>
      </c>
      <c r="G2537" s="32">
        <v>65.0</v>
      </c>
      <c r="H2537" s="32" t="str">
        <f>VLOOKUP(D2537, Grid_Region_Mapping!$D$2:$F$5286, 3, FALSE)</f>
        <v>TRE</v>
      </c>
      <c r="I2537" s="32">
        <v>7.0</v>
      </c>
      <c r="J2537" s="34" t="str">
        <f t="shared" si="1"/>
        <v>South</v>
      </c>
      <c r="K2537" s="35">
        <v>5.0</v>
      </c>
      <c r="L2537" s="35" t="s">
        <v>104</v>
      </c>
      <c r="M2537" s="36">
        <f>VLOOKUP(D2537, County_Data_CZones!$B$2:$F$3236, 2, FALSE)</f>
        <v>2</v>
      </c>
      <c r="N2537" s="37" t="str">
        <f>VLOOKUP(D2537, County_Data_CZones!$B$2:$F$3236, 5, FALSE)</f>
        <v>Hot-Humid</v>
      </c>
    </row>
    <row r="2538" ht="15.75" customHeight="1">
      <c r="A2538" s="32" t="s">
        <v>822</v>
      </c>
      <c r="B2538" s="32" t="s">
        <v>1159</v>
      </c>
      <c r="C2538" s="32" t="str">
        <f>vlookup(B2538,State_EMM_RowSums!$A$2:$B$52,2,FALSE)</f>
        <v>TX</v>
      </c>
      <c r="D2538" s="32">
        <v>48027.0</v>
      </c>
      <c r="E2538" s="33">
        <f>IF(NOT(ISBLANK(vlookup($D2538,Pop_Census_2023!$A$2:$E$3220,4,FALSE))),vlookup($D2538,Pop_Census_2023!$A$2:$E$3220,4,FALSE), vlookup($D2538,Pop_Census_2023!$A$2:$E$3220,5,FALSE))</f>
        <v>393193</v>
      </c>
      <c r="F2538" s="32">
        <v>1383799.0</v>
      </c>
      <c r="G2538" s="32">
        <v>63.0</v>
      </c>
      <c r="H2538" s="32" t="str">
        <f>VLOOKUP(D2538, Grid_Region_Mapping!$D$2:$F$5286, 3, FALSE)</f>
        <v>TRE</v>
      </c>
      <c r="I2538" s="32">
        <v>7.0</v>
      </c>
      <c r="J2538" s="34" t="str">
        <f t="shared" si="1"/>
        <v>South</v>
      </c>
      <c r="K2538" s="35">
        <v>5.0</v>
      </c>
      <c r="L2538" s="35" t="s">
        <v>104</v>
      </c>
      <c r="M2538" s="36">
        <f>VLOOKUP(D2538, County_Data_CZones!$B$2:$F$3236, 2, FALSE)</f>
        <v>2</v>
      </c>
      <c r="N2538" s="37" t="str">
        <f>VLOOKUP(D2538, County_Data_CZones!$B$2:$F$3236, 5, FALSE)</f>
        <v>Hot-Humid</v>
      </c>
    </row>
    <row r="2539" ht="15.75" customHeight="1">
      <c r="A2539" s="32" t="s">
        <v>1654</v>
      </c>
      <c r="B2539" s="32" t="s">
        <v>1159</v>
      </c>
      <c r="C2539" s="32" t="str">
        <f>vlookup(B2539,State_EMM_RowSums!$A$2:$B$52,2,FALSE)</f>
        <v>TX</v>
      </c>
      <c r="D2539" s="32">
        <v>48029.0</v>
      </c>
      <c r="E2539" s="33">
        <f>IF(NOT(ISBLANK(vlookup($D2539,Pop_Census_2023!$A$2:$E$3220,4,FALSE))),vlookup($D2539,Pop_Census_2023!$A$2:$E$3220,4,FALSE), vlookup($D2539,Pop_Census_2023!$A$2:$E$3220,5,FALSE))</f>
        <v>2087679</v>
      </c>
      <c r="F2539" s="32">
        <v>1383800.0</v>
      </c>
      <c r="G2539" s="32">
        <v>65.0</v>
      </c>
      <c r="H2539" s="32" t="str">
        <f>VLOOKUP(D2539, Grid_Region_Mapping!$D$2:$F$5286, 3, FALSE)</f>
        <v>TRE</v>
      </c>
      <c r="I2539" s="32">
        <v>7.0</v>
      </c>
      <c r="J2539" s="34" t="str">
        <f t="shared" si="1"/>
        <v>South</v>
      </c>
      <c r="K2539" s="35">
        <v>5.0</v>
      </c>
      <c r="L2539" s="35" t="s">
        <v>104</v>
      </c>
      <c r="M2539" s="36">
        <f>VLOOKUP(D2539, County_Data_CZones!$B$2:$F$3236, 2, FALSE)</f>
        <v>2</v>
      </c>
      <c r="N2539" s="37" t="str">
        <f>VLOOKUP(D2539, County_Data_CZones!$B$2:$F$3236, 5, FALSE)</f>
        <v>Hot-Humid</v>
      </c>
    </row>
    <row r="2540" ht="15.75" customHeight="1">
      <c r="A2540" s="32" t="s">
        <v>1655</v>
      </c>
      <c r="B2540" s="32" t="s">
        <v>1159</v>
      </c>
      <c r="C2540" s="32" t="str">
        <f>vlookup(B2540,State_EMM_RowSums!$A$2:$B$52,2,FALSE)</f>
        <v>TX</v>
      </c>
      <c r="D2540" s="32">
        <v>48031.0</v>
      </c>
      <c r="E2540" s="33">
        <f>IF(NOT(ISBLANK(vlookup($D2540,Pop_Census_2023!$A$2:$E$3220,4,FALSE))),vlookup($D2540,Pop_Census_2023!$A$2:$E$3220,4,FALSE), vlookup($D2540,Pop_Census_2023!$A$2:$E$3220,5,FALSE))</f>
        <v>13048</v>
      </c>
      <c r="F2540" s="32">
        <v>1383801.0</v>
      </c>
      <c r="G2540" s="32">
        <v>64.0</v>
      </c>
      <c r="H2540" s="32" t="str">
        <f>VLOOKUP(D2540, Grid_Region_Mapping!$D$2:$F$5286, 3, FALSE)</f>
        <v>TRE</v>
      </c>
      <c r="I2540" s="32">
        <v>7.0</v>
      </c>
      <c r="J2540" s="34" t="str">
        <f t="shared" si="1"/>
        <v>South</v>
      </c>
      <c r="K2540" s="35">
        <v>5.0</v>
      </c>
      <c r="L2540" s="35" t="s">
        <v>102</v>
      </c>
      <c r="M2540" s="36">
        <f>VLOOKUP(D2540, County_Data_CZones!$B$2:$F$3236, 2, FALSE)</f>
        <v>3</v>
      </c>
      <c r="N2540" s="37" t="str">
        <f>VLOOKUP(D2540, County_Data_CZones!$B$2:$F$3236, 5, FALSE)</f>
        <v>Hot-Humid</v>
      </c>
    </row>
    <row r="2541" ht="15.75" customHeight="1">
      <c r="A2541" s="32" t="s">
        <v>1656</v>
      </c>
      <c r="B2541" s="32" t="s">
        <v>1159</v>
      </c>
      <c r="C2541" s="32" t="str">
        <f>vlookup(B2541,State_EMM_RowSums!$A$2:$B$52,2,FALSE)</f>
        <v>TX</v>
      </c>
      <c r="D2541" s="32">
        <v>48033.0</v>
      </c>
      <c r="E2541" s="33">
        <f>IF(NOT(ISBLANK(vlookup($D2541,Pop_Census_2023!$A$2:$E$3220,4,FALSE))),vlookup($D2541,Pop_Census_2023!$A$2:$E$3220,4,FALSE), vlookup($D2541,Pop_Census_2023!$A$2:$E$3220,5,FALSE))</f>
        <v>572</v>
      </c>
      <c r="F2541" s="32">
        <v>1383802.0</v>
      </c>
      <c r="G2541" s="32">
        <v>60.0</v>
      </c>
      <c r="H2541" s="32" t="str">
        <f>VLOOKUP(D2541, Grid_Region_Mapping!$D$2:$F$5286, 3, FALSE)</f>
        <v>TRE</v>
      </c>
      <c r="I2541" s="32">
        <v>7.0</v>
      </c>
      <c r="J2541" s="34" t="str">
        <f t="shared" si="1"/>
        <v>South</v>
      </c>
      <c r="K2541" s="35">
        <v>5.0</v>
      </c>
      <c r="L2541" s="35" t="s">
        <v>204</v>
      </c>
      <c r="M2541" s="36">
        <f>VLOOKUP(D2541, County_Data_CZones!$B$2:$F$3236, 2, FALSE)</f>
        <v>3</v>
      </c>
      <c r="N2541" s="37" t="str">
        <f>VLOOKUP(D2541, County_Data_CZones!$B$2:$F$3236, 5, FALSE)</f>
        <v>Hot-Dry</v>
      </c>
    </row>
    <row r="2542" ht="15.75" customHeight="1">
      <c r="A2542" s="32" t="s">
        <v>1657</v>
      </c>
      <c r="B2542" s="32" t="s">
        <v>1159</v>
      </c>
      <c r="C2542" s="32" t="str">
        <f>vlookup(B2542,State_EMM_RowSums!$A$2:$B$52,2,FALSE)</f>
        <v>TX</v>
      </c>
      <c r="D2542" s="32">
        <v>48035.0</v>
      </c>
      <c r="E2542" s="33">
        <f>IF(NOT(ISBLANK(vlookup($D2542,Pop_Census_2023!$A$2:$E$3220,4,FALSE))),vlookup($D2542,Pop_Census_2023!$A$2:$E$3220,4,FALSE), vlookup($D2542,Pop_Census_2023!$A$2:$E$3220,5,FALSE))</f>
        <v>18996</v>
      </c>
      <c r="F2542" s="32">
        <v>1383803.0</v>
      </c>
      <c r="G2542" s="32">
        <v>63.0</v>
      </c>
      <c r="H2542" s="32" t="str">
        <f>VLOOKUP(D2542, Grid_Region_Mapping!$D$2:$F$5286, 3, FALSE)</f>
        <v>TRE</v>
      </c>
      <c r="I2542" s="32">
        <v>7.0</v>
      </c>
      <c r="J2542" s="34" t="str">
        <f t="shared" si="1"/>
        <v>South</v>
      </c>
      <c r="K2542" s="35">
        <v>5.0</v>
      </c>
      <c r="L2542" s="35" t="s">
        <v>104</v>
      </c>
      <c r="M2542" s="36">
        <f>VLOOKUP(D2542, County_Data_CZones!$B$2:$F$3236, 2, FALSE)</f>
        <v>2</v>
      </c>
      <c r="N2542" s="37" t="str">
        <f>VLOOKUP(D2542, County_Data_CZones!$B$2:$F$3236, 5, FALSE)</f>
        <v>Hot-Humid</v>
      </c>
    </row>
    <row r="2543" ht="15.75" customHeight="1">
      <c r="A2543" s="32" t="s">
        <v>1658</v>
      </c>
      <c r="B2543" s="32" t="s">
        <v>1159</v>
      </c>
      <c r="C2543" s="32" t="str">
        <f>vlookup(B2543,State_EMM_RowSums!$A$2:$B$52,2,FALSE)</f>
        <v>TX</v>
      </c>
      <c r="D2543" s="32">
        <v>48037.0</v>
      </c>
      <c r="E2543" s="33">
        <f>IF(NOT(ISBLANK(vlookup($D2543,Pop_Census_2023!$A$2:$E$3220,4,FALSE))),vlookup($D2543,Pop_Census_2023!$A$2:$E$3220,4,FALSE), vlookup($D2543,Pop_Census_2023!$A$2:$E$3220,5,FALSE))</f>
        <v>91687</v>
      </c>
      <c r="F2543" s="32">
        <v>1383804.0</v>
      </c>
      <c r="G2543" s="32">
        <v>57.0</v>
      </c>
      <c r="H2543" s="32" t="str">
        <f>VLOOKUP(D2543, Grid_Region_Mapping!$D$2:$F$5286, 3, FALSE)</f>
        <v>SPPS</v>
      </c>
      <c r="I2543" s="32">
        <v>7.0</v>
      </c>
      <c r="J2543" s="34" t="str">
        <f t="shared" si="1"/>
        <v>South</v>
      </c>
      <c r="K2543" s="35">
        <v>5.0</v>
      </c>
      <c r="L2543" s="35" t="s">
        <v>102</v>
      </c>
      <c r="M2543" s="36">
        <f>VLOOKUP(D2543, County_Data_CZones!$B$2:$F$3236, 2, FALSE)</f>
        <v>3</v>
      </c>
      <c r="N2543" s="37" t="str">
        <f>VLOOKUP(D2543, County_Data_CZones!$B$2:$F$3236, 5, FALSE)</f>
        <v>Hot-Humid</v>
      </c>
    </row>
    <row r="2544" ht="15.75" customHeight="1">
      <c r="A2544" s="32" t="s">
        <v>1659</v>
      </c>
      <c r="B2544" s="32" t="s">
        <v>1159</v>
      </c>
      <c r="C2544" s="32" t="str">
        <f>vlookup(B2544,State_EMM_RowSums!$A$2:$B$52,2,FALSE)</f>
        <v>TX</v>
      </c>
      <c r="D2544" s="32">
        <v>48039.0</v>
      </c>
      <c r="E2544" s="33">
        <f>IF(NOT(ISBLANK(vlookup($D2544,Pop_Census_2023!$A$2:$E$3220,4,FALSE))),vlookup($D2544,Pop_Census_2023!$A$2:$E$3220,4,FALSE), vlookup($D2544,Pop_Census_2023!$A$2:$E$3220,5,FALSE))</f>
        <v>398938</v>
      </c>
      <c r="F2544" s="32">
        <v>1383805.0</v>
      </c>
      <c r="G2544" s="32">
        <v>67.0</v>
      </c>
      <c r="H2544" s="32" t="str">
        <f>VLOOKUP(D2544, Grid_Region_Mapping!$D$2:$F$5286, 3, FALSE)</f>
        <v>TRE</v>
      </c>
      <c r="I2544" s="32">
        <v>7.0</v>
      </c>
      <c r="J2544" s="34" t="str">
        <f t="shared" si="1"/>
        <v>South</v>
      </c>
      <c r="K2544" s="35">
        <v>5.0</v>
      </c>
      <c r="L2544" s="35" t="s">
        <v>104</v>
      </c>
      <c r="M2544" s="36">
        <f>VLOOKUP(D2544, County_Data_CZones!$B$2:$F$3236, 2, FALSE)</f>
        <v>2</v>
      </c>
      <c r="N2544" s="37" t="str">
        <f>VLOOKUP(D2544, County_Data_CZones!$B$2:$F$3236, 5, FALSE)</f>
        <v>Hot-Humid</v>
      </c>
    </row>
    <row r="2545" ht="15.75" customHeight="1">
      <c r="A2545" s="32" t="s">
        <v>1660</v>
      </c>
      <c r="B2545" s="32" t="s">
        <v>1159</v>
      </c>
      <c r="C2545" s="32" t="str">
        <f>vlookup(B2545,State_EMM_RowSums!$A$2:$B$52,2,FALSE)</f>
        <v>TX</v>
      </c>
      <c r="D2545" s="32">
        <v>48041.0</v>
      </c>
      <c r="E2545" s="33">
        <f>IF(NOT(ISBLANK(vlookup($D2545,Pop_Census_2023!$A$2:$E$3220,4,FALSE))),vlookup($D2545,Pop_Census_2023!$A$2:$E$3220,4,FALSE), vlookup($D2545,Pop_Census_2023!$A$2:$E$3220,5,FALSE))</f>
        <v>244703</v>
      </c>
      <c r="F2545" s="32">
        <v>1383806.0</v>
      </c>
      <c r="G2545" s="32">
        <v>64.0</v>
      </c>
      <c r="H2545" s="32" t="str">
        <f>VLOOKUP(D2545, Grid_Region_Mapping!$D$2:$F$5286, 3, FALSE)</f>
        <v>MISS</v>
      </c>
      <c r="I2545" s="32">
        <v>7.0</v>
      </c>
      <c r="J2545" s="34" t="str">
        <f t="shared" si="1"/>
        <v>South</v>
      </c>
      <c r="K2545" s="35">
        <v>5.0</v>
      </c>
      <c r="L2545" s="35" t="s">
        <v>104</v>
      </c>
      <c r="M2545" s="36">
        <f>VLOOKUP(D2545, County_Data_CZones!$B$2:$F$3236, 2, FALSE)</f>
        <v>2</v>
      </c>
      <c r="N2545" s="37" t="str">
        <f>VLOOKUP(D2545, County_Data_CZones!$B$2:$F$3236, 5, FALSE)</f>
        <v>Hot-Humid</v>
      </c>
    </row>
    <row r="2546" ht="15.75" customHeight="1">
      <c r="A2546" s="32" t="s">
        <v>1661</v>
      </c>
      <c r="B2546" s="32" t="s">
        <v>1159</v>
      </c>
      <c r="C2546" s="32" t="str">
        <f>vlookup(B2546,State_EMM_RowSums!$A$2:$B$52,2,FALSE)</f>
        <v>TX</v>
      </c>
      <c r="D2546" s="32">
        <v>48043.0</v>
      </c>
      <c r="E2546" s="33">
        <f>IF(NOT(ISBLANK(vlookup($D2546,Pop_Census_2023!$A$2:$E$3220,4,FALSE))),vlookup($D2546,Pop_Census_2023!$A$2:$E$3220,4,FALSE), vlookup($D2546,Pop_Census_2023!$A$2:$E$3220,5,FALSE))</f>
        <v>9513</v>
      </c>
      <c r="F2546" s="32">
        <v>1383807.0</v>
      </c>
      <c r="G2546" s="32">
        <v>61.0</v>
      </c>
      <c r="H2546" s="32" t="str">
        <f>VLOOKUP(D2546, Grid_Region_Mapping!$D$2:$F$5286, 3, FALSE)</f>
        <v>TRE</v>
      </c>
      <c r="I2546" s="32">
        <v>7.0</v>
      </c>
      <c r="J2546" s="34" t="str">
        <f t="shared" si="1"/>
        <v>South</v>
      </c>
      <c r="K2546" s="35">
        <v>4.0</v>
      </c>
      <c r="L2546" s="35" t="s">
        <v>204</v>
      </c>
      <c r="M2546" s="36">
        <f>VLOOKUP(D2546, County_Data_CZones!$B$2:$F$3236, 2, FALSE)</f>
        <v>3</v>
      </c>
      <c r="N2546" s="37" t="str">
        <f>VLOOKUP(D2546, County_Data_CZones!$B$2:$F$3236, 5, FALSE)</f>
        <v>Hot-Dry</v>
      </c>
    </row>
    <row r="2547" ht="15.75" customHeight="1">
      <c r="A2547" s="32" t="s">
        <v>1662</v>
      </c>
      <c r="B2547" s="32" t="s">
        <v>1159</v>
      </c>
      <c r="C2547" s="32" t="str">
        <f>vlookup(B2547,State_EMM_RowSums!$A$2:$B$52,2,FALSE)</f>
        <v>TX</v>
      </c>
      <c r="D2547" s="32">
        <v>48045.0</v>
      </c>
      <c r="E2547" s="33">
        <f>IF(NOT(ISBLANK(vlookup($D2547,Pop_Census_2023!$A$2:$E$3220,4,FALSE))),vlookup($D2547,Pop_Census_2023!$A$2:$E$3220,4,FALSE), vlookup($D2547,Pop_Census_2023!$A$2:$E$3220,5,FALSE))</f>
        <v>1445</v>
      </c>
      <c r="F2547" s="32">
        <v>1383808.0</v>
      </c>
      <c r="G2547" s="32">
        <v>60.0</v>
      </c>
      <c r="H2547" s="32" t="str">
        <f>VLOOKUP(D2547, Grid_Region_Mapping!$D$2:$F$5286, 3, FALSE)</f>
        <v>SPPS</v>
      </c>
      <c r="I2547" s="32">
        <v>7.0</v>
      </c>
      <c r="J2547" s="34" t="str">
        <f t="shared" si="1"/>
        <v>South</v>
      </c>
      <c r="K2547" s="35">
        <v>4.0</v>
      </c>
      <c r="L2547" s="35" t="s">
        <v>207</v>
      </c>
      <c r="M2547" s="36">
        <f>VLOOKUP(D2547, County_Data_CZones!$B$2:$F$3236, 2, FALSE)</f>
        <v>4</v>
      </c>
      <c r="N2547" s="37" t="str">
        <f>VLOOKUP(D2547, County_Data_CZones!$B$2:$F$3236, 5, FALSE)</f>
        <v>Mixed-Dry</v>
      </c>
    </row>
    <row r="2548" ht="15.75" customHeight="1">
      <c r="A2548" s="32" t="s">
        <v>471</v>
      </c>
      <c r="B2548" s="32" t="s">
        <v>1159</v>
      </c>
      <c r="C2548" s="32" t="str">
        <f>vlookup(B2548,State_EMM_RowSums!$A$2:$B$52,2,FALSE)</f>
        <v>TX</v>
      </c>
      <c r="D2548" s="32">
        <v>48047.0</v>
      </c>
      <c r="E2548" s="33">
        <f>IF(NOT(ISBLANK(vlookup($D2548,Pop_Census_2023!$A$2:$E$3220,4,FALSE))),vlookup($D2548,Pop_Census_2023!$A$2:$E$3220,4,FALSE), vlookup($D2548,Pop_Census_2023!$A$2:$E$3220,5,FALSE))</f>
        <v>6848</v>
      </c>
      <c r="F2548" s="32">
        <v>1383809.0</v>
      </c>
      <c r="G2548" s="32">
        <v>65.0</v>
      </c>
      <c r="H2548" s="32" t="str">
        <f>VLOOKUP(D2548, Grid_Region_Mapping!$D$2:$F$5286, 3, FALSE)</f>
        <v>TRE</v>
      </c>
      <c r="I2548" s="32">
        <v>7.0</v>
      </c>
      <c r="J2548" s="34" t="str">
        <f t="shared" si="1"/>
        <v>South</v>
      </c>
      <c r="K2548" s="35">
        <v>5.0</v>
      </c>
      <c r="L2548" s="35" t="s">
        <v>104</v>
      </c>
      <c r="M2548" s="36">
        <f>VLOOKUP(D2548, County_Data_CZones!$B$2:$F$3236, 2, FALSE)</f>
        <v>2</v>
      </c>
      <c r="N2548" s="37" t="str">
        <f>VLOOKUP(D2548, County_Data_CZones!$B$2:$F$3236, 5, FALSE)</f>
        <v>Hot-Humid</v>
      </c>
    </row>
    <row r="2549" ht="15.75" customHeight="1">
      <c r="A2549" s="32" t="s">
        <v>611</v>
      </c>
      <c r="B2549" s="32" t="s">
        <v>1159</v>
      </c>
      <c r="C2549" s="32" t="str">
        <f>vlookup(B2549,State_EMM_RowSums!$A$2:$B$52,2,FALSE)</f>
        <v>TX</v>
      </c>
      <c r="D2549" s="32">
        <v>48049.0</v>
      </c>
      <c r="E2549" s="33">
        <f>IF(NOT(ISBLANK(vlookup($D2549,Pop_Census_2023!$A$2:$E$3220,4,FALSE))),vlookup($D2549,Pop_Census_2023!$A$2:$E$3220,4,FALSE), vlookup($D2549,Pop_Census_2023!$A$2:$E$3220,5,FALSE))</f>
        <v>38709</v>
      </c>
      <c r="F2549" s="32">
        <v>1383810.0</v>
      </c>
      <c r="G2549" s="32">
        <v>63.0</v>
      </c>
      <c r="H2549" s="32" t="str">
        <f>VLOOKUP(D2549, Grid_Region_Mapping!$D$2:$F$5286, 3, FALSE)</f>
        <v>TRE</v>
      </c>
      <c r="I2549" s="32">
        <v>7.0</v>
      </c>
      <c r="J2549" s="34" t="str">
        <f t="shared" si="1"/>
        <v>South</v>
      </c>
      <c r="K2549" s="35">
        <v>5.0</v>
      </c>
      <c r="L2549" s="35" t="s">
        <v>102</v>
      </c>
      <c r="M2549" s="36">
        <f>VLOOKUP(D2549, County_Data_CZones!$B$2:$F$3236, 2, FALSE)</f>
        <v>3</v>
      </c>
      <c r="N2549" s="37" t="str">
        <f>VLOOKUP(D2549, County_Data_CZones!$B$2:$F$3236, 5, FALSE)</f>
        <v>Hot-Humid</v>
      </c>
    </row>
    <row r="2550" ht="15.75" customHeight="1">
      <c r="A2550" s="32" t="s">
        <v>1663</v>
      </c>
      <c r="B2550" s="32" t="s">
        <v>1159</v>
      </c>
      <c r="C2550" s="32" t="str">
        <f>vlookup(B2550,State_EMM_RowSums!$A$2:$B$52,2,FALSE)</f>
        <v>TX</v>
      </c>
      <c r="D2550" s="32">
        <v>48051.0</v>
      </c>
      <c r="E2550" s="33">
        <f>IF(NOT(ISBLANK(vlookup($D2550,Pop_Census_2023!$A$2:$E$3220,4,FALSE))),vlookup($D2550,Pop_Census_2023!$A$2:$E$3220,4,FALSE), vlookup($D2550,Pop_Census_2023!$A$2:$E$3220,5,FALSE))</f>
        <v>19475</v>
      </c>
      <c r="F2550" s="32">
        <v>1383811.0</v>
      </c>
      <c r="G2550" s="32">
        <v>64.0</v>
      </c>
      <c r="H2550" s="32" t="str">
        <f>VLOOKUP(D2550, Grid_Region_Mapping!$D$2:$F$5286, 3, FALSE)</f>
        <v>MISS</v>
      </c>
      <c r="I2550" s="32">
        <v>7.0</v>
      </c>
      <c r="J2550" s="34" t="str">
        <f t="shared" si="1"/>
        <v>South</v>
      </c>
      <c r="K2550" s="35">
        <v>5.0</v>
      </c>
      <c r="L2550" s="35" t="s">
        <v>104</v>
      </c>
      <c r="M2550" s="36">
        <f>VLOOKUP(D2550, County_Data_CZones!$B$2:$F$3236, 2, FALSE)</f>
        <v>2</v>
      </c>
      <c r="N2550" s="37" t="str">
        <f>VLOOKUP(D2550, County_Data_CZones!$B$2:$F$3236, 5, FALSE)</f>
        <v>Hot-Humid</v>
      </c>
    </row>
    <row r="2551" ht="15.75" customHeight="1">
      <c r="A2551" s="32" t="s">
        <v>1664</v>
      </c>
      <c r="B2551" s="32" t="s">
        <v>1159</v>
      </c>
      <c r="C2551" s="32" t="str">
        <f>vlookup(B2551,State_EMM_RowSums!$A$2:$B$52,2,FALSE)</f>
        <v>TX</v>
      </c>
      <c r="D2551" s="32">
        <v>48053.0</v>
      </c>
      <c r="E2551" s="33">
        <f>IF(NOT(ISBLANK(vlookup($D2551,Pop_Census_2023!$A$2:$E$3220,4,FALSE))),vlookup($D2551,Pop_Census_2023!$A$2:$E$3220,4,FALSE), vlookup($D2551,Pop_Census_2023!$A$2:$E$3220,5,FALSE))</f>
        <v>53991</v>
      </c>
      <c r="F2551" s="32">
        <v>1383812.0</v>
      </c>
      <c r="G2551" s="32">
        <v>64.0</v>
      </c>
      <c r="H2551" s="32" t="str">
        <f>VLOOKUP(D2551, Grid_Region_Mapping!$D$2:$F$5286, 3, FALSE)</f>
        <v>TRE</v>
      </c>
      <c r="I2551" s="32">
        <v>7.0</v>
      </c>
      <c r="J2551" s="34" t="str">
        <f t="shared" si="1"/>
        <v>South</v>
      </c>
      <c r="K2551" s="35">
        <v>5.0</v>
      </c>
      <c r="L2551" s="35" t="s">
        <v>102</v>
      </c>
      <c r="M2551" s="36">
        <f>VLOOKUP(D2551, County_Data_CZones!$B$2:$F$3236, 2, FALSE)</f>
        <v>3</v>
      </c>
      <c r="N2551" s="37" t="str">
        <f>VLOOKUP(D2551, County_Data_CZones!$B$2:$F$3236, 5, FALSE)</f>
        <v>Hot-Humid</v>
      </c>
    </row>
    <row r="2552" ht="15.75" customHeight="1">
      <c r="A2552" s="32" t="s">
        <v>829</v>
      </c>
      <c r="B2552" s="32" t="s">
        <v>1159</v>
      </c>
      <c r="C2552" s="32" t="str">
        <f>vlookup(B2552,State_EMM_RowSums!$A$2:$B$52,2,FALSE)</f>
        <v>TX</v>
      </c>
      <c r="D2552" s="32">
        <v>48055.0</v>
      </c>
      <c r="E2552" s="33">
        <f>IF(NOT(ISBLANK(vlookup($D2552,Pop_Census_2023!$A$2:$E$3220,4,FALSE))),vlookup($D2552,Pop_Census_2023!$A$2:$E$3220,4,FALSE), vlookup($D2552,Pop_Census_2023!$A$2:$E$3220,5,FALSE))</f>
        <v>49859</v>
      </c>
      <c r="F2552" s="32">
        <v>1383813.0</v>
      </c>
      <c r="G2552" s="32">
        <v>64.0</v>
      </c>
      <c r="H2552" s="32" t="str">
        <f>VLOOKUP(D2552, Grid_Region_Mapping!$D$2:$F$5286, 3, FALSE)</f>
        <v>TRE</v>
      </c>
      <c r="I2552" s="32">
        <v>7.0</v>
      </c>
      <c r="J2552" s="34" t="str">
        <f t="shared" si="1"/>
        <v>South</v>
      </c>
      <c r="K2552" s="35">
        <v>5.0</v>
      </c>
      <c r="L2552" s="35" t="s">
        <v>104</v>
      </c>
      <c r="M2552" s="36">
        <f>VLOOKUP(D2552, County_Data_CZones!$B$2:$F$3236, 2, FALSE)</f>
        <v>2</v>
      </c>
      <c r="N2552" s="37" t="str">
        <f>VLOOKUP(D2552, County_Data_CZones!$B$2:$F$3236, 5, FALSE)</f>
        <v>Hot-Humid</v>
      </c>
    </row>
    <row r="2553" ht="15.75" customHeight="1">
      <c r="A2553" s="32" t="s">
        <v>110</v>
      </c>
      <c r="B2553" s="32" t="s">
        <v>1159</v>
      </c>
      <c r="C2553" s="32" t="str">
        <f>vlookup(B2553,State_EMM_RowSums!$A$2:$B$52,2,FALSE)</f>
        <v>TX</v>
      </c>
      <c r="D2553" s="32">
        <v>48057.0</v>
      </c>
      <c r="E2553" s="33">
        <f>IF(NOT(ISBLANK(vlookup($D2553,Pop_Census_2023!$A$2:$E$3220,4,FALSE))),vlookup($D2553,Pop_Census_2023!$A$2:$E$3220,4,FALSE), vlookup($D2553,Pop_Census_2023!$A$2:$E$3220,5,FALSE))</f>
        <v>19696</v>
      </c>
      <c r="F2553" s="32">
        <v>1383814.0</v>
      </c>
      <c r="G2553" s="32">
        <v>65.0</v>
      </c>
      <c r="H2553" s="32" t="str">
        <f>VLOOKUP(D2553, Grid_Region_Mapping!$D$2:$F$5286, 3, FALSE)</f>
        <v>TRE</v>
      </c>
      <c r="I2553" s="32">
        <v>7.0</v>
      </c>
      <c r="J2553" s="34" t="str">
        <f t="shared" si="1"/>
        <v>South</v>
      </c>
      <c r="K2553" s="35">
        <v>5.0</v>
      </c>
      <c r="L2553" s="35" t="s">
        <v>104</v>
      </c>
      <c r="M2553" s="36">
        <f>VLOOKUP(D2553, County_Data_CZones!$B$2:$F$3236, 2, FALSE)</f>
        <v>2</v>
      </c>
      <c r="N2553" s="37" t="str">
        <f>VLOOKUP(D2553, County_Data_CZones!$B$2:$F$3236, 5, FALSE)</f>
        <v>Hot-Humid</v>
      </c>
    </row>
    <row r="2554" ht="15.75" customHeight="1">
      <c r="A2554" s="32" t="s">
        <v>1665</v>
      </c>
      <c r="B2554" s="32" t="s">
        <v>1159</v>
      </c>
      <c r="C2554" s="32" t="str">
        <f>vlookup(B2554,State_EMM_RowSums!$A$2:$B$52,2,FALSE)</f>
        <v>TX</v>
      </c>
      <c r="D2554" s="32">
        <v>48059.0</v>
      </c>
      <c r="E2554" s="33">
        <f>IF(NOT(ISBLANK(vlookup($D2554,Pop_Census_2023!$A$2:$E$3220,4,FALSE))),vlookup($D2554,Pop_Census_2023!$A$2:$E$3220,4,FALSE), vlookup($D2554,Pop_Census_2023!$A$2:$E$3220,5,FALSE))</f>
        <v>14374</v>
      </c>
      <c r="F2554" s="32">
        <v>1383815.0</v>
      </c>
      <c r="G2554" s="32">
        <v>61.0</v>
      </c>
      <c r="H2554" s="32" t="str">
        <f>VLOOKUP(D2554, Grid_Region_Mapping!$D$2:$F$5286, 3, FALSE)</f>
        <v>TRE</v>
      </c>
      <c r="I2554" s="32">
        <v>7.0</v>
      </c>
      <c r="J2554" s="34" t="str">
        <f t="shared" si="1"/>
        <v>South</v>
      </c>
      <c r="K2554" s="35">
        <v>5.0</v>
      </c>
      <c r="L2554" s="35" t="s">
        <v>204</v>
      </c>
      <c r="M2554" s="36">
        <f>VLOOKUP(D2554, County_Data_CZones!$B$2:$F$3236, 2, FALSE)</f>
        <v>3</v>
      </c>
      <c r="N2554" s="37" t="str">
        <f>VLOOKUP(D2554, County_Data_CZones!$B$2:$F$3236, 5, FALSE)</f>
        <v>Hot-Dry</v>
      </c>
    </row>
    <row r="2555" ht="15.75" customHeight="1">
      <c r="A2555" s="32" t="s">
        <v>884</v>
      </c>
      <c r="B2555" s="32" t="s">
        <v>1159</v>
      </c>
      <c r="C2555" s="32" t="str">
        <f>vlookup(B2555,State_EMM_RowSums!$A$2:$B$52,2,FALSE)</f>
        <v>TX</v>
      </c>
      <c r="D2555" s="32">
        <v>48061.0</v>
      </c>
      <c r="E2555" s="33">
        <f>IF(NOT(ISBLANK(vlookup($D2555,Pop_Census_2023!$A$2:$E$3220,4,FALSE))),vlookup($D2555,Pop_Census_2023!$A$2:$E$3220,4,FALSE), vlookup($D2555,Pop_Census_2023!$A$2:$E$3220,5,FALSE))</f>
        <v>426710</v>
      </c>
      <c r="F2555" s="32">
        <v>1383816.0</v>
      </c>
      <c r="G2555" s="32">
        <v>65.0</v>
      </c>
      <c r="H2555" s="32" t="str">
        <f>VLOOKUP(D2555, Grid_Region_Mapping!$D$2:$F$5286, 3, FALSE)</f>
        <v>TRE</v>
      </c>
      <c r="I2555" s="32">
        <v>7.0</v>
      </c>
      <c r="J2555" s="34" t="str">
        <f t="shared" si="1"/>
        <v>South</v>
      </c>
      <c r="K2555" s="35">
        <v>5.0</v>
      </c>
      <c r="L2555" s="35" t="s">
        <v>104</v>
      </c>
      <c r="M2555" s="36">
        <f>VLOOKUP(D2555, County_Data_CZones!$B$2:$F$3236, 2, FALSE)</f>
        <v>2</v>
      </c>
      <c r="N2555" s="37" t="str">
        <f>VLOOKUP(D2555, County_Data_CZones!$B$2:$F$3236, 5, FALSE)</f>
        <v>Hot-Humid</v>
      </c>
    </row>
    <row r="2556" ht="15.75" customHeight="1">
      <c r="A2556" s="32" t="s">
        <v>1666</v>
      </c>
      <c r="B2556" s="32" t="s">
        <v>1159</v>
      </c>
      <c r="C2556" s="32" t="str">
        <f>vlookup(B2556,State_EMM_RowSums!$A$2:$B$52,2,FALSE)</f>
        <v>TX</v>
      </c>
      <c r="D2556" s="32">
        <v>48063.0</v>
      </c>
      <c r="E2556" s="33">
        <f>IF(NOT(ISBLANK(vlookup($D2556,Pop_Census_2023!$A$2:$E$3220,4,FALSE))),vlookup($D2556,Pop_Census_2023!$A$2:$E$3220,4,FALSE), vlookup($D2556,Pop_Census_2023!$A$2:$E$3220,5,FALSE))</f>
        <v>13000</v>
      </c>
      <c r="F2556" s="32">
        <v>1383817.0</v>
      </c>
      <c r="G2556" s="32">
        <v>57.0</v>
      </c>
      <c r="H2556" s="32" t="str">
        <f>VLOOKUP(D2556, Grid_Region_Mapping!$D$2:$F$5286, 3, FALSE)</f>
        <v>SPPS</v>
      </c>
      <c r="I2556" s="32">
        <v>7.0</v>
      </c>
      <c r="J2556" s="34" t="str">
        <f t="shared" si="1"/>
        <v>South</v>
      </c>
      <c r="K2556" s="35">
        <v>5.0</v>
      </c>
      <c r="L2556" s="35" t="s">
        <v>102</v>
      </c>
      <c r="M2556" s="36">
        <f>VLOOKUP(D2556, County_Data_CZones!$B$2:$F$3236, 2, FALSE)</f>
        <v>3</v>
      </c>
      <c r="N2556" s="37" t="str">
        <f>VLOOKUP(D2556, County_Data_CZones!$B$2:$F$3236, 5, FALSE)</f>
        <v>Hot-Humid</v>
      </c>
    </row>
    <row r="2557" ht="15.75" customHeight="1">
      <c r="A2557" s="32" t="s">
        <v>1667</v>
      </c>
      <c r="B2557" s="32" t="s">
        <v>1159</v>
      </c>
      <c r="C2557" s="32" t="str">
        <f>vlookup(B2557,State_EMM_RowSums!$A$2:$B$52,2,FALSE)</f>
        <v>TX</v>
      </c>
      <c r="D2557" s="32">
        <v>48065.0</v>
      </c>
      <c r="E2557" s="33">
        <f>IF(NOT(ISBLANK(vlookup($D2557,Pop_Census_2023!$A$2:$E$3220,4,FALSE))),vlookup($D2557,Pop_Census_2023!$A$2:$E$3220,4,FALSE), vlookup($D2557,Pop_Census_2023!$A$2:$E$3220,5,FALSE))</f>
        <v>5878</v>
      </c>
      <c r="F2557" s="32">
        <v>1383818.0</v>
      </c>
      <c r="G2557" s="32">
        <v>48.0</v>
      </c>
      <c r="H2557" s="32" t="str">
        <f>VLOOKUP(D2557, Grid_Region_Mapping!$D$2:$F$5286, 3, FALSE)</f>
        <v>SPPS</v>
      </c>
      <c r="I2557" s="32">
        <v>7.0</v>
      </c>
      <c r="J2557" s="34" t="str">
        <f t="shared" si="1"/>
        <v>South</v>
      </c>
      <c r="K2557" s="35">
        <v>3.0</v>
      </c>
      <c r="L2557" s="35" t="s">
        <v>207</v>
      </c>
      <c r="M2557" s="36">
        <f>VLOOKUP(D2557, County_Data_CZones!$B$2:$F$3236, 2, FALSE)</f>
        <v>4</v>
      </c>
      <c r="N2557" s="37" t="str">
        <f>VLOOKUP(D2557, County_Data_CZones!$B$2:$F$3236, 5, FALSE)</f>
        <v>Mixed-Dry</v>
      </c>
    </row>
    <row r="2558" ht="15.75" customHeight="1">
      <c r="A2558" s="32" t="s">
        <v>613</v>
      </c>
      <c r="B2558" s="32" t="s">
        <v>1159</v>
      </c>
      <c r="C2558" s="32" t="str">
        <f>vlookup(B2558,State_EMM_RowSums!$A$2:$B$52,2,FALSE)</f>
        <v>TX</v>
      </c>
      <c r="D2558" s="32">
        <v>48067.0</v>
      </c>
      <c r="E2558" s="33">
        <f>IF(NOT(ISBLANK(vlookup($D2558,Pop_Census_2023!$A$2:$E$3220,4,FALSE))),vlookup($D2558,Pop_Census_2023!$A$2:$E$3220,4,FALSE), vlookup($D2558,Pop_Census_2023!$A$2:$E$3220,5,FALSE))</f>
        <v>28659</v>
      </c>
      <c r="F2558" s="32">
        <v>1383819.0</v>
      </c>
      <c r="G2558" s="32">
        <v>57.0</v>
      </c>
      <c r="H2558" s="32" t="str">
        <f>VLOOKUP(D2558, Grid_Region_Mapping!$D$2:$F$5286, 3, FALSE)</f>
        <v>SPPS</v>
      </c>
      <c r="I2558" s="32">
        <v>7.0</v>
      </c>
      <c r="J2558" s="34" t="str">
        <f t="shared" si="1"/>
        <v>South</v>
      </c>
      <c r="K2558" s="35">
        <v>5.0</v>
      </c>
      <c r="L2558" s="35" t="s">
        <v>102</v>
      </c>
      <c r="M2558" s="36">
        <f>VLOOKUP(D2558, County_Data_CZones!$B$2:$F$3236, 2, FALSE)</f>
        <v>3</v>
      </c>
      <c r="N2558" s="37" t="str">
        <f>VLOOKUP(D2558, County_Data_CZones!$B$2:$F$3236, 5, FALSE)</f>
        <v>Hot-Humid</v>
      </c>
    </row>
    <row r="2559" ht="15.75" customHeight="1">
      <c r="A2559" s="32" t="s">
        <v>1668</v>
      </c>
      <c r="B2559" s="32" t="s">
        <v>1159</v>
      </c>
      <c r="C2559" s="32" t="str">
        <f>vlookup(B2559,State_EMM_RowSums!$A$2:$B$52,2,FALSE)</f>
        <v>TX</v>
      </c>
      <c r="D2559" s="32">
        <v>48069.0</v>
      </c>
      <c r="E2559" s="33">
        <f>IF(NOT(ISBLANK(vlookup($D2559,Pop_Census_2023!$A$2:$E$3220,4,FALSE))),vlookup($D2559,Pop_Census_2023!$A$2:$E$3220,4,FALSE), vlookup($D2559,Pop_Census_2023!$A$2:$E$3220,5,FALSE))</f>
        <v>7227</v>
      </c>
      <c r="F2559" s="32">
        <v>1383820.0</v>
      </c>
      <c r="G2559" s="32">
        <v>48.0</v>
      </c>
      <c r="H2559" s="32" t="str">
        <f>VLOOKUP(D2559, Grid_Region_Mapping!$D$2:$F$5286, 3, FALSE)</f>
        <v>SPPS</v>
      </c>
      <c r="I2559" s="32">
        <v>7.0</v>
      </c>
      <c r="J2559" s="34" t="str">
        <f t="shared" si="1"/>
        <v>South</v>
      </c>
      <c r="K2559" s="35">
        <v>3.0</v>
      </c>
      <c r="L2559" s="35" t="s">
        <v>207</v>
      </c>
      <c r="M2559" s="36">
        <f>VLOOKUP(D2559, County_Data_CZones!$B$2:$F$3236, 2, FALSE)</f>
        <v>4</v>
      </c>
      <c r="N2559" s="37" t="str">
        <f>VLOOKUP(D2559, County_Data_CZones!$B$2:$F$3236, 5, FALSE)</f>
        <v>Mixed-Dry</v>
      </c>
    </row>
    <row r="2560" ht="15.75" customHeight="1">
      <c r="A2560" s="32" t="s">
        <v>111</v>
      </c>
      <c r="B2560" s="32" t="s">
        <v>1159</v>
      </c>
      <c r="C2560" s="32" t="str">
        <f>vlookup(B2560,State_EMM_RowSums!$A$2:$B$52,2,FALSE)</f>
        <v>TX</v>
      </c>
      <c r="D2560" s="32">
        <v>48071.0</v>
      </c>
      <c r="E2560" s="33">
        <f>IF(NOT(ISBLANK(vlookup($D2560,Pop_Census_2023!$A$2:$E$3220,4,FALSE))),vlookup($D2560,Pop_Census_2023!$A$2:$E$3220,4,FALSE), vlookup($D2560,Pop_Census_2023!$A$2:$E$3220,5,FALSE))</f>
        <v>53876</v>
      </c>
      <c r="F2560" s="32">
        <v>1383821.0</v>
      </c>
      <c r="G2560" s="32">
        <v>66.0</v>
      </c>
      <c r="H2560" s="32" t="str">
        <f>VLOOKUP(D2560, Grid_Region_Mapping!$D$2:$F$5286, 3, FALSE)</f>
        <v>TRE</v>
      </c>
      <c r="I2560" s="32">
        <v>7.0</v>
      </c>
      <c r="J2560" s="34" t="str">
        <f t="shared" si="1"/>
        <v>South</v>
      </c>
      <c r="K2560" s="35">
        <v>5.0</v>
      </c>
      <c r="L2560" s="35" t="s">
        <v>104</v>
      </c>
      <c r="M2560" s="36">
        <f>VLOOKUP(D2560, County_Data_CZones!$B$2:$F$3236, 2, FALSE)</f>
        <v>2</v>
      </c>
      <c r="N2560" s="37" t="str">
        <f>VLOOKUP(D2560, County_Data_CZones!$B$2:$F$3236, 5, FALSE)</f>
        <v>Hot-Humid</v>
      </c>
    </row>
    <row r="2561" ht="15.75" customHeight="1">
      <c r="A2561" s="32" t="s">
        <v>112</v>
      </c>
      <c r="B2561" s="32" t="s">
        <v>1159</v>
      </c>
      <c r="C2561" s="32" t="str">
        <f>vlookup(B2561,State_EMM_RowSums!$A$2:$B$52,2,FALSE)</f>
        <v>TX</v>
      </c>
      <c r="D2561" s="32">
        <v>48073.0</v>
      </c>
      <c r="E2561" s="33">
        <f>IF(NOT(ISBLANK(vlookup($D2561,Pop_Census_2023!$A$2:$E$3220,4,FALSE))),vlookup($D2561,Pop_Census_2023!$A$2:$E$3220,4,FALSE), vlookup($D2561,Pop_Census_2023!$A$2:$E$3220,5,FALSE))</f>
        <v>52217</v>
      </c>
      <c r="F2561" s="32">
        <v>1383822.0</v>
      </c>
      <c r="G2561" s="32">
        <v>63.0</v>
      </c>
      <c r="H2561" s="32" t="str">
        <f>VLOOKUP(D2561, Grid_Region_Mapping!$D$2:$F$5286, 3, FALSE)</f>
        <v>TRE</v>
      </c>
      <c r="I2561" s="32">
        <v>7.0</v>
      </c>
      <c r="J2561" s="34" t="str">
        <f t="shared" si="1"/>
        <v>South</v>
      </c>
      <c r="K2561" s="35">
        <v>5.0</v>
      </c>
      <c r="L2561" s="35" t="s">
        <v>104</v>
      </c>
      <c r="M2561" s="36">
        <f>VLOOKUP(D2561, County_Data_CZones!$B$2:$F$3236, 2, FALSE)</f>
        <v>2</v>
      </c>
      <c r="N2561" s="37" t="str">
        <f>VLOOKUP(D2561, County_Data_CZones!$B$2:$F$3236, 5, FALSE)</f>
        <v>Hot-Humid</v>
      </c>
    </row>
    <row r="2562" ht="15.75" customHeight="1">
      <c r="A2562" s="32" t="s">
        <v>1669</v>
      </c>
      <c r="B2562" s="32" t="s">
        <v>1159</v>
      </c>
      <c r="C2562" s="32" t="str">
        <f>vlookup(B2562,State_EMM_RowSums!$A$2:$B$52,2,FALSE)</f>
        <v>TX</v>
      </c>
      <c r="D2562" s="32">
        <v>48075.0</v>
      </c>
      <c r="E2562" s="33">
        <f>IF(NOT(ISBLANK(vlookup($D2562,Pop_Census_2023!$A$2:$E$3220,4,FALSE))),vlookup($D2562,Pop_Census_2023!$A$2:$E$3220,4,FALSE), vlookup($D2562,Pop_Census_2023!$A$2:$E$3220,5,FALSE))</f>
        <v>6788</v>
      </c>
      <c r="F2562" s="32">
        <v>1383823.0</v>
      </c>
      <c r="G2562" s="32">
        <v>60.0</v>
      </c>
      <c r="H2562" s="32" t="str">
        <f>VLOOKUP(D2562, Grid_Region_Mapping!$D$2:$F$5286, 3, FALSE)</f>
        <v>TRE</v>
      </c>
      <c r="I2562" s="32">
        <v>7.0</v>
      </c>
      <c r="J2562" s="34" t="str">
        <f t="shared" si="1"/>
        <v>South</v>
      </c>
      <c r="K2562" s="35">
        <v>5.0</v>
      </c>
      <c r="L2562" s="35" t="s">
        <v>204</v>
      </c>
      <c r="M2562" s="36">
        <f>VLOOKUP(D2562, County_Data_CZones!$B$2:$F$3236, 2, FALSE)</f>
        <v>3</v>
      </c>
      <c r="N2562" s="37" t="str">
        <f>VLOOKUP(D2562, County_Data_CZones!$B$2:$F$3236, 5, FALSE)</f>
        <v>Hot-Dry</v>
      </c>
    </row>
    <row r="2563" ht="15.75" customHeight="1">
      <c r="A2563" s="32" t="s">
        <v>116</v>
      </c>
      <c r="B2563" s="32" t="s">
        <v>1159</v>
      </c>
      <c r="C2563" s="32" t="str">
        <f>vlookup(B2563,State_EMM_RowSums!$A$2:$B$52,2,FALSE)</f>
        <v>TX</v>
      </c>
      <c r="D2563" s="32">
        <v>48077.0</v>
      </c>
      <c r="E2563" s="33">
        <f>IF(NOT(ISBLANK(vlookup($D2563,Pop_Census_2023!$A$2:$E$3220,4,FALSE))),vlookup($D2563,Pop_Census_2023!$A$2:$E$3220,4,FALSE), vlookup($D2563,Pop_Census_2023!$A$2:$E$3220,5,FALSE))</f>
        <v>10738</v>
      </c>
      <c r="F2563" s="32">
        <v>1383824.0</v>
      </c>
      <c r="G2563" s="32">
        <v>63.0</v>
      </c>
      <c r="H2563" s="32" t="str">
        <f>VLOOKUP(D2563, Grid_Region_Mapping!$D$2:$F$5286, 3, FALSE)</f>
        <v>TRE</v>
      </c>
      <c r="I2563" s="32">
        <v>7.0</v>
      </c>
      <c r="J2563" s="34" t="str">
        <f t="shared" si="1"/>
        <v>South</v>
      </c>
      <c r="K2563" s="35">
        <v>5.0</v>
      </c>
      <c r="L2563" s="35" t="s">
        <v>102</v>
      </c>
      <c r="M2563" s="36">
        <f>VLOOKUP(D2563, County_Data_CZones!$B$2:$F$3236, 2, FALSE)</f>
        <v>3</v>
      </c>
      <c r="N2563" s="37" t="str">
        <f>VLOOKUP(D2563, County_Data_CZones!$B$2:$F$3236, 5, FALSE)</f>
        <v>Mixed-Humid</v>
      </c>
    </row>
    <row r="2564" ht="15.75" customHeight="1">
      <c r="A2564" s="32" t="s">
        <v>1670</v>
      </c>
      <c r="B2564" s="32" t="s">
        <v>1159</v>
      </c>
      <c r="C2564" s="32" t="str">
        <f>vlookup(B2564,State_EMM_RowSums!$A$2:$B$52,2,FALSE)</f>
        <v>TX</v>
      </c>
      <c r="D2564" s="32">
        <v>48079.0</v>
      </c>
      <c r="E2564" s="33">
        <f>IF(NOT(ISBLANK(vlookup($D2564,Pop_Census_2023!$A$2:$E$3220,4,FALSE))),vlookup($D2564,Pop_Census_2023!$A$2:$E$3220,4,FALSE), vlookup($D2564,Pop_Census_2023!$A$2:$E$3220,5,FALSE))</f>
        <v>2509</v>
      </c>
      <c r="F2564" s="32">
        <v>1383825.0</v>
      </c>
      <c r="G2564" s="32">
        <v>48.0</v>
      </c>
      <c r="H2564" s="32" t="str">
        <f>VLOOKUP(D2564, Grid_Region_Mapping!$D$2:$F$5286, 3, FALSE)</f>
        <v>SPPS</v>
      </c>
      <c r="I2564" s="32">
        <v>7.0</v>
      </c>
      <c r="J2564" s="34" t="str">
        <f t="shared" si="1"/>
        <v>South</v>
      </c>
      <c r="K2564" s="35">
        <v>4.0</v>
      </c>
      <c r="L2564" s="35" t="s">
        <v>207</v>
      </c>
      <c r="M2564" s="36">
        <f>VLOOKUP(D2564, County_Data_CZones!$B$2:$F$3236, 2, FALSE)</f>
        <v>4</v>
      </c>
      <c r="N2564" s="37" t="str">
        <f>VLOOKUP(D2564, County_Data_CZones!$B$2:$F$3236, 5, FALSE)</f>
        <v>Mixed-Dry</v>
      </c>
    </row>
    <row r="2565" ht="15.75" customHeight="1">
      <c r="A2565" s="32" t="s">
        <v>1671</v>
      </c>
      <c r="B2565" s="32" t="s">
        <v>1159</v>
      </c>
      <c r="C2565" s="32" t="str">
        <f>vlookup(B2565,State_EMM_RowSums!$A$2:$B$52,2,FALSE)</f>
        <v>TX</v>
      </c>
      <c r="D2565" s="32">
        <v>48081.0</v>
      </c>
      <c r="E2565" s="33">
        <f>IF(NOT(ISBLANK(vlookup($D2565,Pop_Census_2023!$A$2:$E$3220,4,FALSE))),vlookup($D2565,Pop_Census_2023!$A$2:$E$3220,4,FALSE), vlookup($D2565,Pop_Census_2023!$A$2:$E$3220,5,FALSE))</f>
        <v>3352</v>
      </c>
      <c r="F2565" s="32">
        <v>1383826.0</v>
      </c>
      <c r="G2565" s="32">
        <v>61.0</v>
      </c>
      <c r="H2565" s="32" t="str">
        <f>VLOOKUP(D2565, Grid_Region_Mapping!$D$2:$F$5286, 3, FALSE)</f>
        <v>TRE</v>
      </c>
      <c r="I2565" s="32">
        <v>7.0</v>
      </c>
      <c r="J2565" s="34" t="str">
        <f t="shared" si="1"/>
        <v>South</v>
      </c>
      <c r="K2565" s="35">
        <v>5.0</v>
      </c>
      <c r="L2565" s="35" t="s">
        <v>204</v>
      </c>
      <c r="M2565" s="36">
        <f>VLOOKUP(D2565, County_Data_CZones!$B$2:$F$3236, 2, FALSE)</f>
        <v>3</v>
      </c>
      <c r="N2565" s="37" t="str">
        <f>VLOOKUP(D2565, County_Data_CZones!$B$2:$F$3236, 5, FALSE)</f>
        <v>Hot-Dry</v>
      </c>
    </row>
    <row r="2566" ht="15.75" customHeight="1">
      <c r="A2566" s="32" t="s">
        <v>1672</v>
      </c>
      <c r="B2566" s="32" t="s">
        <v>1159</v>
      </c>
      <c r="C2566" s="32" t="str">
        <f>vlookup(B2566,State_EMM_RowSums!$A$2:$B$52,2,FALSE)</f>
        <v>TX</v>
      </c>
      <c r="D2566" s="32">
        <v>48083.0</v>
      </c>
      <c r="E2566" s="33">
        <f>IF(NOT(ISBLANK(vlookup($D2566,Pop_Census_2023!$A$2:$E$3220,4,FALSE))),vlookup($D2566,Pop_Census_2023!$A$2:$E$3220,4,FALSE), vlookup($D2566,Pop_Census_2023!$A$2:$E$3220,5,FALSE))</f>
        <v>7842</v>
      </c>
      <c r="F2566" s="32">
        <v>1383827.0</v>
      </c>
      <c r="G2566" s="32">
        <v>61.0</v>
      </c>
      <c r="H2566" s="32" t="str">
        <f>VLOOKUP(D2566, Grid_Region_Mapping!$D$2:$F$5286, 3, FALSE)</f>
        <v>TRE</v>
      </c>
      <c r="I2566" s="32">
        <v>7.0</v>
      </c>
      <c r="J2566" s="34" t="str">
        <f t="shared" si="1"/>
        <v>South</v>
      </c>
      <c r="K2566" s="35">
        <v>5.0</v>
      </c>
      <c r="L2566" s="35" t="s">
        <v>204</v>
      </c>
      <c r="M2566" s="36">
        <f>VLOOKUP(D2566, County_Data_CZones!$B$2:$F$3236, 2, FALSE)</f>
        <v>3</v>
      </c>
      <c r="N2566" s="37" t="str">
        <f>VLOOKUP(D2566, County_Data_CZones!$B$2:$F$3236, 5, FALSE)</f>
        <v>Hot-Dry</v>
      </c>
    </row>
    <row r="2567" ht="15.75" customHeight="1">
      <c r="A2567" s="32" t="s">
        <v>1673</v>
      </c>
      <c r="B2567" s="32" t="s">
        <v>1159</v>
      </c>
      <c r="C2567" s="32" t="str">
        <f>vlookup(B2567,State_EMM_RowSums!$A$2:$B$52,2,FALSE)</f>
        <v>TX</v>
      </c>
      <c r="D2567" s="32">
        <v>48085.0</v>
      </c>
      <c r="E2567" s="33">
        <f>IF(NOT(ISBLANK(vlookup($D2567,Pop_Census_2023!$A$2:$E$3220,4,FALSE))),vlookup($D2567,Pop_Census_2023!$A$2:$E$3220,4,FALSE), vlookup($D2567,Pop_Census_2023!$A$2:$E$3220,5,FALSE))</f>
        <v>1195359</v>
      </c>
      <c r="F2567" s="32">
        <v>1383828.0</v>
      </c>
      <c r="G2567" s="32">
        <v>63.0</v>
      </c>
      <c r="H2567" s="32" t="str">
        <f>VLOOKUP(D2567, Grid_Region_Mapping!$D$2:$F$5286, 3, FALSE)</f>
        <v>TRE</v>
      </c>
      <c r="I2567" s="32">
        <v>7.0</v>
      </c>
      <c r="J2567" s="34" t="str">
        <f t="shared" si="1"/>
        <v>South</v>
      </c>
      <c r="K2567" s="35">
        <v>5.0</v>
      </c>
      <c r="L2567" s="35" t="s">
        <v>102</v>
      </c>
      <c r="M2567" s="36">
        <f>VLOOKUP(D2567, County_Data_CZones!$B$2:$F$3236, 2, FALSE)</f>
        <v>3</v>
      </c>
      <c r="N2567" s="37" t="str">
        <f>VLOOKUP(D2567, County_Data_CZones!$B$2:$F$3236, 5, FALSE)</f>
        <v>Hot-Humid</v>
      </c>
    </row>
    <row r="2568" ht="15.75" customHeight="1">
      <c r="A2568" s="32" t="s">
        <v>1674</v>
      </c>
      <c r="B2568" s="32" t="s">
        <v>1159</v>
      </c>
      <c r="C2568" s="32" t="str">
        <f>vlookup(B2568,State_EMM_RowSums!$A$2:$B$52,2,FALSE)</f>
        <v>TX</v>
      </c>
      <c r="D2568" s="32">
        <v>48087.0</v>
      </c>
      <c r="E2568" s="33">
        <f>IF(NOT(ISBLANK(vlookup($D2568,Pop_Census_2023!$A$2:$E$3220,4,FALSE))),vlookup($D2568,Pop_Census_2023!$A$2:$E$3220,4,FALSE), vlookup($D2568,Pop_Census_2023!$A$2:$E$3220,5,FALSE))</f>
        <v>2563</v>
      </c>
      <c r="F2568" s="32">
        <v>1383829.0</v>
      </c>
      <c r="G2568" s="32">
        <v>48.0</v>
      </c>
      <c r="H2568" s="32" t="str">
        <f>VLOOKUP(D2568, Grid_Region_Mapping!$D$2:$F$5286, 3, FALSE)</f>
        <v>TRE</v>
      </c>
      <c r="I2568" s="32">
        <v>7.0</v>
      </c>
      <c r="J2568" s="34" t="str">
        <f t="shared" si="1"/>
        <v>South</v>
      </c>
      <c r="K2568" s="35">
        <v>5.0</v>
      </c>
      <c r="L2568" s="35" t="s">
        <v>204</v>
      </c>
      <c r="M2568" s="36">
        <f>VLOOKUP(D2568, County_Data_CZones!$B$2:$F$3236, 2, FALSE)</f>
        <v>3</v>
      </c>
      <c r="N2568" s="37" t="str">
        <f>VLOOKUP(D2568, County_Data_CZones!$B$2:$F$3236, 5, FALSE)</f>
        <v>Hot-Dry</v>
      </c>
    </row>
    <row r="2569" ht="15.75" customHeight="1">
      <c r="A2569" s="32" t="s">
        <v>339</v>
      </c>
      <c r="B2569" s="32" t="s">
        <v>1159</v>
      </c>
      <c r="C2569" s="32" t="str">
        <f>vlookup(B2569,State_EMM_RowSums!$A$2:$B$52,2,FALSE)</f>
        <v>TX</v>
      </c>
      <c r="D2569" s="32">
        <v>48089.0</v>
      </c>
      <c r="E2569" s="33">
        <f>IF(NOT(ISBLANK(vlookup($D2569,Pop_Census_2023!$A$2:$E$3220,4,FALSE))),vlookup($D2569,Pop_Census_2023!$A$2:$E$3220,4,FALSE), vlookup($D2569,Pop_Census_2023!$A$2:$E$3220,5,FALSE))</f>
        <v>21117</v>
      </c>
      <c r="F2569" s="32">
        <v>1383830.0</v>
      </c>
      <c r="G2569" s="32">
        <v>64.0</v>
      </c>
      <c r="H2569" s="32" t="str">
        <f>VLOOKUP(D2569, Grid_Region_Mapping!$D$2:$F$5286, 3, FALSE)</f>
        <v>TRE</v>
      </c>
      <c r="I2569" s="32">
        <v>7.0</v>
      </c>
      <c r="J2569" s="34" t="str">
        <f t="shared" si="1"/>
        <v>South</v>
      </c>
      <c r="K2569" s="35">
        <v>5.0</v>
      </c>
      <c r="L2569" s="35" t="s">
        <v>104</v>
      </c>
      <c r="M2569" s="36">
        <f>VLOOKUP(D2569, County_Data_CZones!$B$2:$F$3236, 2, FALSE)</f>
        <v>2</v>
      </c>
      <c r="N2569" s="37" t="str">
        <f>VLOOKUP(D2569, County_Data_CZones!$B$2:$F$3236, 5, FALSE)</f>
        <v>Hot-Humid</v>
      </c>
    </row>
    <row r="2570" ht="15.75" customHeight="1">
      <c r="A2570" s="32" t="s">
        <v>1675</v>
      </c>
      <c r="B2570" s="32" t="s">
        <v>1159</v>
      </c>
      <c r="C2570" s="32" t="str">
        <f>vlookup(B2570,State_EMM_RowSums!$A$2:$B$52,2,FALSE)</f>
        <v>TX</v>
      </c>
      <c r="D2570" s="32">
        <v>48091.0</v>
      </c>
      <c r="E2570" s="33">
        <f>IF(NOT(ISBLANK(vlookup($D2570,Pop_Census_2023!$A$2:$E$3220,4,FALSE))),vlookup($D2570,Pop_Census_2023!$A$2:$E$3220,4,FALSE), vlookup($D2570,Pop_Census_2023!$A$2:$E$3220,5,FALSE))</f>
        <v>193928</v>
      </c>
      <c r="F2570" s="32">
        <v>1383831.0</v>
      </c>
      <c r="G2570" s="32">
        <v>64.0</v>
      </c>
      <c r="H2570" s="32" t="str">
        <f>VLOOKUP(D2570, Grid_Region_Mapping!$D$2:$F$5286, 3, FALSE)</f>
        <v>TRE</v>
      </c>
      <c r="I2570" s="32">
        <v>7.0</v>
      </c>
      <c r="J2570" s="34" t="str">
        <f t="shared" si="1"/>
        <v>South</v>
      </c>
      <c r="K2570" s="35">
        <v>5.0</v>
      </c>
      <c r="L2570" s="35" t="s">
        <v>104</v>
      </c>
      <c r="M2570" s="36">
        <f>VLOOKUP(D2570, County_Data_CZones!$B$2:$F$3236, 2, FALSE)</f>
        <v>2</v>
      </c>
      <c r="N2570" s="37" t="str">
        <f>VLOOKUP(D2570, County_Data_CZones!$B$2:$F$3236, 5, FALSE)</f>
        <v>Hot-Humid</v>
      </c>
    </row>
    <row r="2571" ht="15.75" customHeight="1">
      <c r="A2571" s="32" t="s">
        <v>760</v>
      </c>
      <c r="B2571" s="32" t="s">
        <v>1159</v>
      </c>
      <c r="C2571" s="32" t="str">
        <f>vlookup(B2571,State_EMM_RowSums!$A$2:$B$52,2,FALSE)</f>
        <v>TX</v>
      </c>
      <c r="D2571" s="32">
        <v>48093.0</v>
      </c>
      <c r="E2571" s="33">
        <f>IF(NOT(ISBLANK(vlookup($D2571,Pop_Census_2023!$A$2:$E$3220,4,FALSE))),vlookup($D2571,Pop_Census_2023!$A$2:$E$3220,4,FALSE), vlookup($D2571,Pop_Census_2023!$A$2:$E$3220,5,FALSE))</f>
        <v>14050</v>
      </c>
      <c r="F2571" s="32">
        <v>1383832.0</v>
      </c>
      <c r="G2571" s="32">
        <v>63.0</v>
      </c>
      <c r="H2571" s="32" t="str">
        <f>VLOOKUP(D2571, Grid_Region_Mapping!$D$2:$F$5286, 3, FALSE)</f>
        <v>TRE</v>
      </c>
      <c r="I2571" s="32">
        <v>7.0</v>
      </c>
      <c r="J2571" s="34" t="str">
        <f t="shared" si="1"/>
        <v>South</v>
      </c>
      <c r="K2571" s="35">
        <v>5.0</v>
      </c>
      <c r="L2571" s="35" t="s">
        <v>102</v>
      </c>
      <c r="M2571" s="36">
        <f>VLOOKUP(D2571, County_Data_CZones!$B$2:$F$3236, 2, FALSE)</f>
        <v>3</v>
      </c>
      <c r="N2571" s="37" t="str">
        <f>VLOOKUP(D2571, County_Data_CZones!$B$2:$F$3236, 5, FALSE)</f>
        <v>Hot-Humid</v>
      </c>
    </row>
    <row r="2572" ht="15.75" customHeight="1">
      <c r="A2572" s="32" t="s">
        <v>1676</v>
      </c>
      <c r="B2572" s="32" t="s">
        <v>1159</v>
      </c>
      <c r="C2572" s="32" t="str">
        <f>vlookup(B2572,State_EMM_RowSums!$A$2:$B$52,2,FALSE)</f>
        <v>TX</v>
      </c>
      <c r="D2572" s="32">
        <v>48095.0</v>
      </c>
      <c r="E2572" s="33">
        <f>IF(NOT(ISBLANK(vlookup($D2572,Pop_Census_2023!$A$2:$E$3220,4,FALSE))),vlookup($D2572,Pop_Census_2023!$A$2:$E$3220,4,FALSE), vlookup($D2572,Pop_Census_2023!$A$2:$E$3220,5,FALSE))</f>
        <v>3297</v>
      </c>
      <c r="F2572" s="32">
        <v>1383833.0</v>
      </c>
      <c r="G2572" s="32">
        <v>61.0</v>
      </c>
      <c r="H2572" s="32" t="str">
        <f>VLOOKUP(D2572, Grid_Region_Mapping!$D$2:$F$5286, 3, FALSE)</f>
        <v>TRE</v>
      </c>
      <c r="I2572" s="32">
        <v>7.0</v>
      </c>
      <c r="J2572" s="34" t="str">
        <f t="shared" si="1"/>
        <v>South</v>
      </c>
      <c r="K2572" s="35">
        <v>5.0</v>
      </c>
      <c r="L2572" s="35" t="s">
        <v>204</v>
      </c>
      <c r="M2572" s="36">
        <f>VLOOKUP(D2572, County_Data_CZones!$B$2:$F$3236, 2, FALSE)</f>
        <v>3</v>
      </c>
      <c r="N2572" s="37" t="str">
        <f>VLOOKUP(D2572, County_Data_CZones!$B$2:$F$3236, 5, FALSE)</f>
        <v>Hot-Dry</v>
      </c>
    </row>
    <row r="2573" ht="15.75" customHeight="1">
      <c r="A2573" s="32" t="s">
        <v>1677</v>
      </c>
      <c r="B2573" s="32" t="s">
        <v>1159</v>
      </c>
      <c r="C2573" s="32" t="str">
        <f>vlookup(B2573,State_EMM_RowSums!$A$2:$B$52,2,FALSE)</f>
        <v>TX</v>
      </c>
      <c r="D2573" s="32">
        <v>48097.0</v>
      </c>
      <c r="E2573" s="33">
        <f>IF(NOT(ISBLANK(vlookup($D2573,Pop_Census_2023!$A$2:$E$3220,4,FALSE))),vlookup($D2573,Pop_Census_2023!$A$2:$E$3220,4,FALSE), vlookup($D2573,Pop_Census_2023!$A$2:$E$3220,5,FALSE))</f>
        <v>43782</v>
      </c>
      <c r="F2573" s="32">
        <v>1383834.0</v>
      </c>
      <c r="G2573" s="32">
        <v>63.0</v>
      </c>
      <c r="H2573" s="32" t="str">
        <f>VLOOKUP(D2573, Grid_Region_Mapping!$D$2:$F$5286, 3, FALSE)</f>
        <v>TRE</v>
      </c>
      <c r="I2573" s="32">
        <v>7.0</v>
      </c>
      <c r="J2573" s="34" t="str">
        <f t="shared" si="1"/>
        <v>South</v>
      </c>
      <c r="K2573" s="35">
        <v>5.0</v>
      </c>
      <c r="L2573" s="35" t="s">
        <v>102</v>
      </c>
      <c r="M2573" s="36">
        <f>VLOOKUP(D2573, County_Data_CZones!$B$2:$F$3236, 2, FALSE)</f>
        <v>3</v>
      </c>
      <c r="N2573" s="37" t="str">
        <f>VLOOKUP(D2573, County_Data_CZones!$B$2:$F$3236, 5, FALSE)</f>
        <v>Mixed-Humid</v>
      </c>
    </row>
    <row r="2574" ht="15.75" customHeight="1">
      <c r="A2574" s="32" t="s">
        <v>1678</v>
      </c>
      <c r="B2574" s="32" t="s">
        <v>1159</v>
      </c>
      <c r="C2574" s="32" t="str">
        <f>vlookup(B2574,State_EMM_RowSums!$A$2:$B$52,2,FALSE)</f>
        <v>TX</v>
      </c>
      <c r="D2574" s="32">
        <v>48099.0</v>
      </c>
      <c r="E2574" s="33">
        <f>IF(NOT(ISBLANK(vlookup($D2574,Pop_Census_2023!$A$2:$E$3220,4,FALSE))),vlookup($D2574,Pop_Census_2023!$A$2:$E$3220,4,FALSE), vlookup($D2574,Pop_Census_2023!$A$2:$E$3220,5,FALSE))</f>
        <v>84878</v>
      </c>
      <c r="F2574" s="32">
        <v>1383835.0</v>
      </c>
      <c r="G2574" s="32">
        <v>63.0</v>
      </c>
      <c r="H2574" s="32" t="str">
        <f>VLOOKUP(D2574, Grid_Region_Mapping!$D$2:$F$5286, 3, FALSE)</f>
        <v>TRE</v>
      </c>
      <c r="I2574" s="32">
        <v>7.0</v>
      </c>
      <c r="J2574" s="34" t="str">
        <f t="shared" si="1"/>
        <v>South</v>
      </c>
      <c r="K2574" s="35">
        <v>5.0</v>
      </c>
      <c r="L2574" s="35" t="s">
        <v>104</v>
      </c>
      <c r="M2574" s="36">
        <f>VLOOKUP(D2574, County_Data_CZones!$B$2:$F$3236, 2, FALSE)</f>
        <v>2</v>
      </c>
      <c r="N2574" s="37" t="str">
        <f>VLOOKUP(D2574, County_Data_CZones!$B$2:$F$3236, 5, FALSE)</f>
        <v>Hot-Humid</v>
      </c>
    </row>
    <row r="2575" ht="15.75" customHeight="1">
      <c r="A2575" s="32" t="s">
        <v>1679</v>
      </c>
      <c r="B2575" s="32" t="s">
        <v>1159</v>
      </c>
      <c r="C2575" s="32" t="str">
        <f>vlookup(B2575,State_EMM_RowSums!$A$2:$B$52,2,FALSE)</f>
        <v>TX</v>
      </c>
      <c r="D2575" s="32">
        <v>48101.0</v>
      </c>
      <c r="E2575" s="33">
        <f>IF(NOT(ISBLANK(vlookup($D2575,Pop_Census_2023!$A$2:$E$3220,4,FALSE))),vlookup($D2575,Pop_Census_2023!$A$2:$E$3220,4,FALSE), vlookup($D2575,Pop_Census_2023!$A$2:$E$3220,5,FALSE))</f>
        <v>1294</v>
      </c>
      <c r="F2575" s="32">
        <v>1383836.0</v>
      </c>
      <c r="G2575" s="32">
        <v>60.0</v>
      </c>
      <c r="H2575" s="32" t="str">
        <f>VLOOKUP(D2575, Grid_Region_Mapping!$D$2:$F$5286, 3, FALSE)</f>
        <v>TRE</v>
      </c>
      <c r="I2575" s="32">
        <v>7.0</v>
      </c>
      <c r="J2575" s="34" t="str">
        <f t="shared" si="1"/>
        <v>South</v>
      </c>
      <c r="K2575" s="35">
        <v>5.0</v>
      </c>
      <c r="L2575" s="35" t="s">
        <v>204</v>
      </c>
      <c r="M2575" s="36">
        <f>VLOOKUP(D2575, County_Data_CZones!$B$2:$F$3236, 2, FALSE)</f>
        <v>3</v>
      </c>
      <c r="N2575" s="37" t="str">
        <f>VLOOKUP(D2575, County_Data_CZones!$B$2:$F$3236, 5, FALSE)</f>
        <v>Hot-Dry</v>
      </c>
    </row>
    <row r="2576" ht="15.75" customHeight="1">
      <c r="A2576" s="32" t="s">
        <v>1680</v>
      </c>
      <c r="B2576" s="32" t="s">
        <v>1159</v>
      </c>
      <c r="C2576" s="32" t="str">
        <f>vlookup(B2576,State_EMM_RowSums!$A$2:$B$52,2,FALSE)</f>
        <v>TX</v>
      </c>
      <c r="D2576" s="32">
        <v>48103.0</v>
      </c>
      <c r="E2576" s="33">
        <f>IF(NOT(ISBLANK(vlookup($D2576,Pop_Census_2023!$A$2:$E$3220,4,FALSE))),vlookup($D2576,Pop_Census_2023!$A$2:$E$3220,4,FALSE), vlookup($D2576,Pop_Census_2023!$A$2:$E$3220,5,FALSE))</f>
        <v>4574</v>
      </c>
      <c r="F2576" s="32">
        <v>1383837.0</v>
      </c>
      <c r="G2576" s="32">
        <v>62.0</v>
      </c>
      <c r="H2576" s="32" t="str">
        <f>VLOOKUP(D2576, Grid_Region_Mapping!$D$2:$F$5286, 3, FALSE)</f>
        <v>TRE</v>
      </c>
      <c r="I2576" s="32">
        <v>7.0</v>
      </c>
      <c r="J2576" s="34" t="str">
        <f t="shared" si="1"/>
        <v>South</v>
      </c>
      <c r="K2576" s="35">
        <v>5.0</v>
      </c>
      <c r="L2576" s="35" t="s">
        <v>204</v>
      </c>
      <c r="M2576" s="36">
        <f>VLOOKUP(D2576, County_Data_CZones!$B$2:$F$3236, 2, FALSE)</f>
        <v>3</v>
      </c>
      <c r="N2576" s="37" t="str">
        <f>VLOOKUP(D2576, County_Data_CZones!$B$2:$F$3236, 5, FALSE)</f>
        <v>Hot-Dry</v>
      </c>
    </row>
    <row r="2577" ht="15.75" customHeight="1">
      <c r="A2577" s="32" t="s">
        <v>1621</v>
      </c>
      <c r="B2577" s="32" t="s">
        <v>1159</v>
      </c>
      <c r="C2577" s="32" t="str">
        <f>vlookup(B2577,State_EMM_RowSums!$A$2:$B$52,2,FALSE)</f>
        <v>TX</v>
      </c>
      <c r="D2577" s="32">
        <v>48105.0</v>
      </c>
      <c r="E2577" s="33">
        <f>IF(NOT(ISBLANK(vlookup($D2577,Pop_Census_2023!$A$2:$E$3220,4,FALSE))),vlookup($D2577,Pop_Census_2023!$A$2:$E$3220,4,FALSE), vlookup($D2577,Pop_Census_2023!$A$2:$E$3220,5,FALSE))</f>
        <v>2858</v>
      </c>
      <c r="F2577" s="32">
        <v>1383838.0</v>
      </c>
      <c r="G2577" s="32">
        <v>61.0</v>
      </c>
      <c r="H2577" s="32" t="str">
        <f>VLOOKUP(D2577, Grid_Region_Mapping!$D$2:$F$5286, 3, FALSE)</f>
        <v>TRE</v>
      </c>
      <c r="I2577" s="32">
        <v>7.0</v>
      </c>
      <c r="J2577" s="34" t="str">
        <f t="shared" si="1"/>
        <v>South</v>
      </c>
      <c r="K2577" s="35">
        <v>5.0</v>
      </c>
      <c r="L2577" s="35" t="s">
        <v>204</v>
      </c>
      <c r="M2577" s="36">
        <f>VLOOKUP(D2577, County_Data_CZones!$B$2:$F$3236, 2, FALSE)</f>
        <v>3</v>
      </c>
      <c r="N2577" s="37" t="str">
        <f>VLOOKUP(D2577, County_Data_CZones!$B$2:$F$3236, 5, FALSE)</f>
        <v>Hot-Dry</v>
      </c>
    </row>
    <row r="2578" ht="15.75" customHeight="1">
      <c r="A2578" s="32" t="s">
        <v>1681</v>
      </c>
      <c r="B2578" s="32" t="s">
        <v>1159</v>
      </c>
      <c r="C2578" s="32" t="str">
        <f>vlookup(B2578,State_EMM_RowSums!$A$2:$B$52,2,FALSE)</f>
        <v>TX</v>
      </c>
      <c r="D2578" s="32">
        <v>48107.0</v>
      </c>
      <c r="E2578" s="33">
        <f>IF(NOT(ISBLANK(vlookup($D2578,Pop_Census_2023!$A$2:$E$3220,4,FALSE))),vlookup($D2578,Pop_Census_2023!$A$2:$E$3220,4,FALSE), vlookup($D2578,Pop_Census_2023!$A$2:$E$3220,5,FALSE))</f>
        <v>4917</v>
      </c>
      <c r="F2578" s="32">
        <v>1383839.0</v>
      </c>
      <c r="G2578" s="32">
        <v>60.0</v>
      </c>
      <c r="H2578" s="32" t="str">
        <f>VLOOKUP(D2578, Grid_Region_Mapping!$D$2:$F$5286, 3, FALSE)</f>
        <v>SPPS</v>
      </c>
      <c r="I2578" s="32">
        <v>7.0</v>
      </c>
      <c r="J2578" s="34" t="str">
        <f t="shared" si="1"/>
        <v>South</v>
      </c>
      <c r="K2578" s="35">
        <v>4.0</v>
      </c>
      <c r="L2578" s="35" t="s">
        <v>204</v>
      </c>
      <c r="M2578" s="36">
        <f>VLOOKUP(D2578, County_Data_CZones!$B$2:$F$3236, 2, FALSE)</f>
        <v>3</v>
      </c>
      <c r="N2578" s="37" t="str">
        <f>VLOOKUP(D2578, County_Data_CZones!$B$2:$F$3236, 5, FALSE)</f>
        <v>Hot-Dry</v>
      </c>
    </row>
    <row r="2579" ht="15.75" customHeight="1">
      <c r="A2579" s="32" t="s">
        <v>1682</v>
      </c>
      <c r="B2579" s="32" t="s">
        <v>1159</v>
      </c>
      <c r="C2579" s="32" t="str">
        <f>vlookup(B2579,State_EMM_RowSums!$A$2:$B$52,2,FALSE)</f>
        <v>TX</v>
      </c>
      <c r="D2579" s="32">
        <v>48109.0</v>
      </c>
      <c r="E2579" s="33">
        <f>IF(NOT(ISBLANK(vlookup($D2579,Pop_Census_2023!$A$2:$E$3220,4,FALSE))),vlookup($D2579,Pop_Census_2023!$A$2:$E$3220,4,FALSE), vlookup($D2579,Pop_Census_2023!$A$2:$E$3220,5,FALSE))</f>
        <v>2196</v>
      </c>
      <c r="F2579" s="32">
        <v>1383840.0</v>
      </c>
      <c r="G2579" s="32">
        <v>61.0</v>
      </c>
      <c r="H2579" s="32" t="str">
        <f>VLOOKUP(D2579, Grid_Region_Mapping!$D$2:$F$5286, 3, FALSE)</f>
        <v>TRE</v>
      </c>
      <c r="I2579" s="32">
        <v>7.0</v>
      </c>
      <c r="J2579" s="34" t="str">
        <f t="shared" si="1"/>
        <v>South</v>
      </c>
      <c r="K2579" s="35">
        <v>4.0</v>
      </c>
      <c r="L2579" s="35" t="s">
        <v>204</v>
      </c>
      <c r="M2579" s="36">
        <f>VLOOKUP(D2579, County_Data_CZones!$B$2:$F$3236, 2, FALSE)</f>
        <v>3</v>
      </c>
      <c r="N2579" s="37" t="str">
        <f>VLOOKUP(D2579, County_Data_CZones!$B$2:$F$3236, 5, FALSE)</f>
        <v>Hot-Dry</v>
      </c>
    </row>
    <row r="2580" ht="15.75" customHeight="1">
      <c r="A2580" s="32" t="s">
        <v>1683</v>
      </c>
      <c r="B2580" s="32" t="s">
        <v>1159</v>
      </c>
      <c r="C2580" s="32" t="str">
        <f>vlookup(B2580,State_EMM_RowSums!$A$2:$B$52,2,FALSE)</f>
        <v>TX</v>
      </c>
      <c r="D2580" s="32">
        <v>48111.0</v>
      </c>
      <c r="E2580" s="33">
        <f>IF(NOT(ISBLANK(vlookup($D2580,Pop_Census_2023!$A$2:$E$3220,4,FALSE))),vlookup($D2580,Pop_Census_2023!$A$2:$E$3220,4,FALSE), vlookup($D2580,Pop_Census_2023!$A$2:$E$3220,5,FALSE))</f>
        <v>7237</v>
      </c>
      <c r="F2580" s="32">
        <v>1383841.0</v>
      </c>
      <c r="G2580" s="32">
        <v>48.0</v>
      </c>
      <c r="H2580" s="32" t="str">
        <f>VLOOKUP(D2580, Grid_Region_Mapping!$D$2:$F$5286, 3, FALSE)</f>
        <v>SPPS</v>
      </c>
      <c r="I2580" s="32">
        <v>7.0</v>
      </c>
      <c r="J2580" s="34" t="str">
        <f t="shared" si="1"/>
        <v>South</v>
      </c>
      <c r="K2580" s="35">
        <v>3.0</v>
      </c>
      <c r="L2580" s="35" t="s">
        <v>207</v>
      </c>
      <c r="M2580" s="36">
        <f>VLOOKUP(D2580, County_Data_CZones!$B$2:$F$3236, 2, FALSE)</f>
        <v>4</v>
      </c>
      <c r="N2580" s="37" t="str">
        <f>VLOOKUP(D2580, County_Data_CZones!$B$2:$F$3236, 5, FALSE)</f>
        <v>Mixed-Dry</v>
      </c>
    </row>
    <row r="2581" ht="15.75" customHeight="1">
      <c r="A2581" s="32" t="s">
        <v>126</v>
      </c>
      <c r="B2581" s="32" t="s">
        <v>1159</v>
      </c>
      <c r="C2581" s="32" t="str">
        <f>vlookup(B2581,State_EMM_RowSums!$A$2:$B$52,2,FALSE)</f>
        <v>TX</v>
      </c>
      <c r="D2581" s="32">
        <v>48113.0</v>
      </c>
      <c r="E2581" s="33">
        <f>IF(NOT(ISBLANK(vlookup($D2581,Pop_Census_2023!$A$2:$E$3220,4,FALSE))),vlookup($D2581,Pop_Census_2023!$A$2:$E$3220,4,FALSE), vlookup($D2581,Pop_Census_2023!$A$2:$E$3220,5,FALSE))</f>
        <v>2606358</v>
      </c>
      <c r="F2581" s="32">
        <v>1383842.0</v>
      </c>
      <c r="G2581" s="32">
        <v>63.0</v>
      </c>
      <c r="H2581" s="32" t="str">
        <f>VLOOKUP(D2581, Grid_Region_Mapping!$D$2:$F$5286, 3, FALSE)</f>
        <v>TRE</v>
      </c>
      <c r="I2581" s="32">
        <v>7.0</v>
      </c>
      <c r="J2581" s="34" t="str">
        <f t="shared" si="1"/>
        <v>South</v>
      </c>
      <c r="K2581" s="35">
        <v>5.0</v>
      </c>
      <c r="L2581" s="35" t="s">
        <v>102</v>
      </c>
      <c r="M2581" s="36">
        <f>VLOOKUP(D2581, County_Data_CZones!$B$2:$F$3236, 2, FALSE)</f>
        <v>3</v>
      </c>
      <c r="N2581" s="37" t="str">
        <f>VLOOKUP(D2581, County_Data_CZones!$B$2:$F$3236, 5, FALSE)</f>
        <v>Hot-Humid</v>
      </c>
    </row>
    <row r="2582" ht="15.75" customHeight="1">
      <c r="A2582" s="32" t="s">
        <v>491</v>
      </c>
      <c r="B2582" s="32" t="s">
        <v>1159</v>
      </c>
      <c r="C2582" s="32" t="str">
        <f>vlookup(B2582,State_EMM_RowSums!$A$2:$B$52,2,FALSE)</f>
        <v>TX</v>
      </c>
      <c r="D2582" s="32">
        <v>48115.0</v>
      </c>
      <c r="E2582" s="33">
        <f>IF(NOT(ISBLANK(vlookup($D2582,Pop_Census_2023!$A$2:$E$3220,4,FALSE))),vlookup($D2582,Pop_Census_2023!$A$2:$E$3220,4,FALSE), vlookup($D2582,Pop_Census_2023!$A$2:$E$3220,5,FALSE))</f>
        <v>12004</v>
      </c>
      <c r="F2582" s="32">
        <v>1383843.0</v>
      </c>
      <c r="G2582" s="32">
        <v>60.0</v>
      </c>
      <c r="H2582" s="32" t="str">
        <f>VLOOKUP(D2582, Grid_Region_Mapping!$D$2:$F$5286, 3, FALSE)</f>
        <v>TRE</v>
      </c>
      <c r="I2582" s="32">
        <v>7.0</v>
      </c>
      <c r="J2582" s="34" t="str">
        <f t="shared" si="1"/>
        <v>South</v>
      </c>
      <c r="K2582" s="35">
        <v>4.0</v>
      </c>
      <c r="L2582" s="35" t="s">
        <v>204</v>
      </c>
      <c r="M2582" s="36">
        <f>VLOOKUP(D2582, County_Data_CZones!$B$2:$F$3236, 2, FALSE)</f>
        <v>3</v>
      </c>
      <c r="N2582" s="37" t="str">
        <f>VLOOKUP(D2582, County_Data_CZones!$B$2:$F$3236, 5, FALSE)</f>
        <v>Hot-Dry</v>
      </c>
    </row>
    <row r="2583" ht="15.75" customHeight="1">
      <c r="A2583" s="32" t="s">
        <v>1684</v>
      </c>
      <c r="B2583" s="32" t="s">
        <v>1159</v>
      </c>
      <c r="C2583" s="32" t="str">
        <f>vlookup(B2583,State_EMM_RowSums!$A$2:$B$52,2,FALSE)</f>
        <v>TX</v>
      </c>
      <c r="D2583" s="32">
        <v>48117.0</v>
      </c>
      <c r="E2583" s="33">
        <f>IF(NOT(ISBLANK(vlookup($D2583,Pop_Census_2023!$A$2:$E$3220,4,FALSE))),vlookup($D2583,Pop_Census_2023!$A$2:$E$3220,4,FALSE), vlookup($D2583,Pop_Census_2023!$A$2:$E$3220,5,FALSE))</f>
        <v>18347</v>
      </c>
      <c r="F2583" s="32">
        <v>1383845.0</v>
      </c>
      <c r="G2583" s="32">
        <v>48.0</v>
      </c>
      <c r="H2583" s="32" t="str">
        <f>VLOOKUP(D2583, Grid_Region_Mapping!$D$2:$F$5286, 3, FALSE)</f>
        <v>SPPS</v>
      </c>
      <c r="I2583" s="32">
        <v>7.0</v>
      </c>
      <c r="J2583" s="34" t="str">
        <f t="shared" si="1"/>
        <v>South</v>
      </c>
      <c r="K2583" s="35">
        <v>3.0</v>
      </c>
      <c r="L2583" s="35" t="s">
        <v>207</v>
      </c>
      <c r="M2583" s="36">
        <f>VLOOKUP(D2583, County_Data_CZones!$B$2:$F$3236, 2, FALSE)</f>
        <v>4</v>
      </c>
      <c r="N2583" s="37" t="str">
        <f>VLOOKUP(D2583, County_Data_CZones!$B$2:$F$3236, 5, FALSE)</f>
        <v>Mixed-Dry</v>
      </c>
    </row>
    <row r="2584" ht="15.75" customHeight="1">
      <c r="A2584" s="32" t="s">
        <v>354</v>
      </c>
      <c r="B2584" s="32" t="s">
        <v>1159</v>
      </c>
      <c r="C2584" s="32" t="str">
        <f>vlookup(B2584,State_EMM_RowSums!$A$2:$B$52,2,FALSE)</f>
        <v>TX</v>
      </c>
      <c r="D2584" s="32">
        <v>48119.0</v>
      </c>
      <c r="E2584" s="33">
        <f>IF(NOT(ISBLANK(vlookup($D2584,Pop_Census_2023!$A$2:$E$3220,4,FALSE))),vlookup($D2584,Pop_Census_2023!$A$2:$E$3220,4,FALSE), vlookup($D2584,Pop_Census_2023!$A$2:$E$3220,5,FALSE))</f>
        <v>5520</v>
      </c>
      <c r="F2584" s="32">
        <v>1383846.0</v>
      </c>
      <c r="G2584" s="32">
        <v>63.0</v>
      </c>
      <c r="H2584" s="32" t="str">
        <f>VLOOKUP(D2584, Grid_Region_Mapping!$D$2:$F$5286, 3, FALSE)</f>
        <v>TRE</v>
      </c>
      <c r="I2584" s="32">
        <v>7.0</v>
      </c>
      <c r="J2584" s="34" t="str">
        <f t="shared" si="1"/>
        <v>South</v>
      </c>
      <c r="K2584" s="35">
        <v>5.0</v>
      </c>
      <c r="L2584" s="35" t="s">
        <v>102</v>
      </c>
      <c r="M2584" s="36">
        <f>VLOOKUP(D2584, County_Data_CZones!$B$2:$F$3236, 2, FALSE)</f>
        <v>3</v>
      </c>
      <c r="N2584" s="37" t="str">
        <f>VLOOKUP(D2584, County_Data_CZones!$B$2:$F$3236, 5, FALSE)</f>
        <v>Hot-Humid</v>
      </c>
    </row>
    <row r="2585" ht="15.75" customHeight="1">
      <c r="A2585" s="32" t="s">
        <v>1685</v>
      </c>
      <c r="B2585" s="32" t="s">
        <v>1159</v>
      </c>
      <c r="C2585" s="32" t="str">
        <f>vlookup(B2585,State_EMM_RowSums!$A$2:$B$52,2,FALSE)</f>
        <v>TX</v>
      </c>
      <c r="D2585" s="32">
        <v>48121.0</v>
      </c>
      <c r="E2585" s="33">
        <f>IF(NOT(ISBLANK(vlookup($D2585,Pop_Census_2023!$A$2:$E$3220,4,FALSE))),vlookup($D2585,Pop_Census_2023!$A$2:$E$3220,4,FALSE), vlookup($D2585,Pop_Census_2023!$A$2:$E$3220,5,FALSE))</f>
        <v>1007703</v>
      </c>
      <c r="F2585" s="32">
        <v>1383847.0</v>
      </c>
      <c r="G2585" s="32">
        <v>63.0</v>
      </c>
      <c r="H2585" s="32" t="str">
        <f>VLOOKUP(D2585, Grid_Region_Mapping!$D$2:$F$5286, 3, FALSE)</f>
        <v>TRE</v>
      </c>
      <c r="I2585" s="32">
        <v>7.0</v>
      </c>
      <c r="J2585" s="34" t="str">
        <f t="shared" si="1"/>
        <v>South</v>
      </c>
      <c r="K2585" s="35">
        <v>5.0</v>
      </c>
      <c r="L2585" s="35" t="s">
        <v>102</v>
      </c>
      <c r="M2585" s="36">
        <f>VLOOKUP(D2585, County_Data_CZones!$B$2:$F$3236, 2, FALSE)</f>
        <v>3</v>
      </c>
      <c r="N2585" s="37" t="str">
        <f>VLOOKUP(D2585, County_Data_CZones!$B$2:$F$3236, 5, FALSE)</f>
        <v>Hot-Humid</v>
      </c>
    </row>
    <row r="2586" ht="15.75" customHeight="1">
      <c r="A2586" s="32" t="s">
        <v>1686</v>
      </c>
      <c r="B2586" s="32" t="s">
        <v>1159</v>
      </c>
      <c r="C2586" s="32" t="str">
        <f>vlookup(B2586,State_EMM_RowSums!$A$2:$B$52,2,FALSE)</f>
        <v>TX</v>
      </c>
      <c r="D2586" s="32">
        <v>48123.0</v>
      </c>
      <c r="E2586" s="33">
        <f>IF(NOT(ISBLANK(vlookup($D2586,Pop_Census_2023!$A$2:$E$3220,4,FALSE))),vlookup($D2586,Pop_Census_2023!$A$2:$E$3220,4,FALSE), vlookup($D2586,Pop_Census_2023!$A$2:$E$3220,5,FALSE))</f>
        <v>19929</v>
      </c>
      <c r="F2586" s="32">
        <v>1383844.0</v>
      </c>
      <c r="G2586" s="32">
        <v>64.0</v>
      </c>
      <c r="H2586" s="32" t="str">
        <f>VLOOKUP(D2586, Grid_Region_Mapping!$D$2:$F$5286, 3, FALSE)</f>
        <v>TRE</v>
      </c>
      <c r="I2586" s="32">
        <v>7.0</v>
      </c>
      <c r="J2586" s="34" t="str">
        <f t="shared" si="1"/>
        <v>South</v>
      </c>
      <c r="K2586" s="35">
        <v>5.0</v>
      </c>
      <c r="L2586" s="35" t="s">
        <v>104</v>
      </c>
      <c r="M2586" s="36">
        <f>VLOOKUP(D2586, County_Data_CZones!$B$2:$F$3236, 2, FALSE)</f>
        <v>2</v>
      </c>
      <c r="N2586" s="37" t="str">
        <f>VLOOKUP(D2586, County_Data_CZones!$B$2:$F$3236, 5, FALSE)</f>
        <v>Hot-Humid</v>
      </c>
    </row>
    <row r="2587" ht="15.75" customHeight="1">
      <c r="A2587" s="32" t="s">
        <v>1687</v>
      </c>
      <c r="B2587" s="32" t="s">
        <v>1159</v>
      </c>
      <c r="C2587" s="32" t="str">
        <f>vlookup(B2587,State_EMM_RowSums!$A$2:$B$52,2,FALSE)</f>
        <v>TX</v>
      </c>
      <c r="D2587" s="32">
        <v>48125.0</v>
      </c>
      <c r="E2587" s="33">
        <f>IF(NOT(ISBLANK(vlookup($D2587,Pop_Census_2023!$A$2:$E$3220,4,FALSE))),vlookup($D2587,Pop_Census_2023!$A$2:$E$3220,4,FALSE), vlookup($D2587,Pop_Census_2023!$A$2:$E$3220,5,FALSE))</f>
        <v>1711</v>
      </c>
      <c r="F2587" s="32">
        <v>1383848.0</v>
      </c>
      <c r="G2587" s="32">
        <v>60.0</v>
      </c>
      <c r="H2587" s="32" t="str">
        <f>VLOOKUP(D2587, Grid_Region_Mapping!$D$2:$F$5286, 3, FALSE)</f>
        <v>TRE</v>
      </c>
      <c r="I2587" s="32">
        <v>7.0</v>
      </c>
      <c r="J2587" s="34" t="str">
        <f t="shared" si="1"/>
        <v>South</v>
      </c>
      <c r="K2587" s="35">
        <v>5.0</v>
      </c>
      <c r="L2587" s="35" t="s">
        <v>204</v>
      </c>
      <c r="M2587" s="36">
        <f>VLOOKUP(D2587, County_Data_CZones!$B$2:$F$3236, 2, FALSE)</f>
        <v>3</v>
      </c>
      <c r="N2587" s="37" t="str">
        <f>VLOOKUP(D2587, County_Data_CZones!$B$2:$F$3236, 5, FALSE)</f>
        <v>Hot-Dry</v>
      </c>
    </row>
    <row r="2588" ht="15.75" customHeight="1">
      <c r="A2588" s="32" t="s">
        <v>1688</v>
      </c>
      <c r="B2588" s="32" t="s">
        <v>1159</v>
      </c>
      <c r="C2588" s="32" t="str">
        <f>vlookup(B2588,State_EMM_RowSums!$A$2:$B$52,2,FALSE)</f>
        <v>TX</v>
      </c>
      <c r="D2588" s="32">
        <v>48127.0</v>
      </c>
      <c r="E2588" s="33">
        <f>IF(NOT(ISBLANK(vlookup($D2588,Pop_Census_2023!$A$2:$E$3220,4,FALSE))),vlookup($D2588,Pop_Census_2023!$A$2:$E$3220,4,FALSE), vlookup($D2588,Pop_Census_2023!$A$2:$E$3220,5,FALSE))</f>
        <v>8257</v>
      </c>
      <c r="F2588" s="32">
        <v>1383849.0</v>
      </c>
      <c r="G2588" s="32">
        <v>65.0</v>
      </c>
      <c r="H2588" s="32" t="str">
        <f>VLOOKUP(D2588, Grid_Region_Mapping!$D$2:$F$5286, 3, FALSE)</f>
        <v>TRE</v>
      </c>
      <c r="I2588" s="32">
        <v>7.0</v>
      </c>
      <c r="J2588" s="34" t="str">
        <f t="shared" si="1"/>
        <v>South</v>
      </c>
      <c r="K2588" s="35">
        <v>5.0</v>
      </c>
      <c r="L2588" s="35" t="s">
        <v>211</v>
      </c>
      <c r="M2588" s="36">
        <f>VLOOKUP(D2588, County_Data_CZones!$B$2:$F$3236, 2, FALSE)</f>
        <v>2</v>
      </c>
      <c r="N2588" s="37" t="str">
        <f>VLOOKUP(D2588, County_Data_CZones!$B$2:$F$3236, 5, FALSE)</f>
        <v>Hot-Humid</v>
      </c>
    </row>
    <row r="2589" ht="15.75" customHeight="1">
      <c r="A2589" s="32" t="s">
        <v>1689</v>
      </c>
      <c r="B2589" s="32" t="s">
        <v>1159</v>
      </c>
      <c r="C2589" s="32" t="str">
        <f>vlookup(B2589,State_EMM_RowSums!$A$2:$B$52,2,FALSE)</f>
        <v>TX</v>
      </c>
      <c r="D2589" s="32">
        <v>48129.0</v>
      </c>
      <c r="E2589" s="33">
        <f>IF(NOT(ISBLANK(vlookup($D2589,Pop_Census_2023!$A$2:$E$3220,4,FALSE))),vlookup($D2589,Pop_Census_2023!$A$2:$E$3220,4,FALSE), vlookup($D2589,Pop_Census_2023!$A$2:$E$3220,5,FALSE))</f>
        <v>3214</v>
      </c>
      <c r="F2589" s="32">
        <v>1383850.0</v>
      </c>
      <c r="G2589" s="32">
        <v>48.0</v>
      </c>
      <c r="H2589" s="32" t="str">
        <f>VLOOKUP(D2589, Grid_Region_Mapping!$D$2:$F$5286, 3, FALSE)</f>
        <v>TRE</v>
      </c>
      <c r="I2589" s="32">
        <v>7.0</v>
      </c>
      <c r="J2589" s="34" t="str">
        <f t="shared" si="1"/>
        <v>South</v>
      </c>
      <c r="K2589" s="35">
        <v>4.0</v>
      </c>
      <c r="L2589" s="35" t="s">
        <v>207</v>
      </c>
      <c r="M2589" s="36">
        <f>VLOOKUP(D2589, County_Data_CZones!$B$2:$F$3236, 2, FALSE)</f>
        <v>4</v>
      </c>
      <c r="N2589" s="37" t="str">
        <f>VLOOKUP(D2589, County_Data_CZones!$B$2:$F$3236, 5, FALSE)</f>
        <v>Mixed-Dry</v>
      </c>
    </row>
    <row r="2590" ht="15.75" customHeight="1">
      <c r="A2590" s="32" t="s">
        <v>422</v>
      </c>
      <c r="B2590" s="32" t="s">
        <v>1159</v>
      </c>
      <c r="C2590" s="32" t="str">
        <f>vlookup(B2590,State_EMM_RowSums!$A$2:$B$52,2,FALSE)</f>
        <v>TX</v>
      </c>
      <c r="D2590" s="32">
        <v>48131.0</v>
      </c>
      <c r="E2590" s="33">
        <f>IF(NOT(ISBLANK(vlookup($D2590,Pop_Census_2023!$A$2:$E$3220,4,FALSE))),vlookup($D2590,Pop_Census_2023!$A$2:$E$3220,4,FALSE), vlookup($D2590,Pop_Census_2023!$A$2:$E$3220,5,FALSE))</f>
        <v>9604</v>
      </c>
      <c r="F2590" s="32">
        <v>1383851.0</v>
      </c>
      <c r="G2590" s="32">
        <v>65.0</v>
      </c>
      <c r="H2590" s="32" t="str">
        <f>VLOOKUP(D2590, Grid_Region_Mapping!$D$2:$F$5286, 3, FALSE)</f>
        <v>TRE</v>
      </c>
      <c r="I2590" s="32">
        <v>7.0</v>
      </c>
      <c r="J2590" s="34" t="str">
        <f t="shared" si="1"/>
        <v>South</v>
      </c>
      <c r="K2590" s="35">
        <v>5.0</v>
      </c>
      <c r="L2590" s="35" t="s">
        <v>104</v>
      </c>
      <c r="M2590" s="36">
        <f>VLOOKUP(D2590, County_Data_CZones!$B$2:$F$3236, 2, FALSE)</f>
        <v>2</v>
      </c>
      <c r="N2590" s="37" t="str">
        <f>VLOOKUP(D2590, County_Data_CZones!$B$2:$F$3236, 5, FALSE)</f>
        <v>Hot-Humid</v>
      </c>
    </row>
    <row r="2591" ht="15.75" customHeight="1">
      <c r="A2591" s="32" t="s">
        <v>1690</v>
      </c>
      <c r="B2591" s="32" t="s">
        <v>1159</v>
      </c>
      <c r="C2591" s="32" t="str">
        <f>vlookup(B2591,State_EMM_RowSums!$A$2:$B$52,2,FALSE)</f>
        <v>TX</v>
      </c>
      <c r="D2591" s="32">
        <v>48133.0</v>
      </c>
      <c r="E2591" s="33">
        <f>IF(NOT(ISBLANK(vlookup($D2591,Pop_Census_2023!$A$2:$E$3220,4,FALSE))),vlookup($D2591,Pop_Census_2023!$A$2:$E$3220,4,FALSE), vlookup($D2591,Pop_Census_2023!$A$2:$E$3220,5,FALSE))</f>
        <v>18037</v>
      </c>
      <c r="F2591" s="32">
        <v>1383852.0</v>
      </c>
      <c r="G2591" s="32">
        <v>63.0</v>
      </c>
      <c r="H2591" s="32" t="str">
        <f>VLOOKUP(D2591, Grid_Region_Mapping!$D$2:$F$5286, 3, FALSE)</f>
        <v>TRE</v>
      </c>
      <c r="I2591" s="32">
        <v>7.0</v>
      </c>
      <c r="J2591" s="34" t="str">
        <f t="shared" si="1"/>
        <v>South</v>
      </c>
      <c r="K2591" s="35">
        <v>5.0</v>
      </c>
      <c r="L2591" s="35" t="s">
        <v>102</v>
      </c>
      <c r="M2591" s="36">
        <f>VLOOKUP(D2591, County_Data_CZones!$B$2:$F$3236, 2, FALSE)</f>
        <v>3</v>
      </c>
      <c r="N2591" s="37" t="str">
        <f>VLOOKUP(D2591, County_Data_CZones!$B$2:$F$3236, 5, FALSE)</f>
        <v>Mixed-Humid</v>
      </c>
    </row>
    <row r="2592" ht="15.75" customHeight="1">
      <c r="A2592" s="32" t="s">
        <v>1691</v>
      </c>
      <c r="B2592" s="32" t="s">
        <v>1159</v>
      </c>
      <c r="C2592" s="32" t="str">
        <f>vlookup(B2592,State_EMM_RowSums!$A$2:$B$52,2,FALSE)</f>
        <v>TX</v>
      </c>
      <c r="D2592" s="32">
        <v>48135.0</v>
      </c>
      <c r="E2592" s="33">
        <f>IF(NOT(ISBLANK(vlookup($D2592,Pop_Census_2023!$A$2:$E$3220,4,FALSE))),vlookup($D2592,Pop_Census_2023!$A$2:$E$3220,4,FALSE), vlookup($D2592,Pop_Census_2023!$A$2:$E$3220,5,FALSE))</f>
        <v>164494</v>
      </c>
      <c r="F2592" s="32">
        <v>1383853.0</v>
      </c>
      <c r="G2592" s="32">
        <v>62.0</v>
      </c>
      <c r="H2592" s="32" t="str">
        <f>VLOOKUP(D2592, Grid_Region_Mapping!$D$2:$F$5286, 3, FALSE)</f>
        <v>TRE</v>
      </c>
      <c r="I2592" s="32">
        <v>7.0</v>
      </c>
      <c r="J2592" s="34" t="str">
        <f t="shared" si="1"/>
        <v>South</v>
      </c>
      <c r="K2592" s="35">
        <v>5.0</v>
      </c>
      <c r="L2592" s="35" t="s">
        <v>204</v>
      </c>
      <c r="M2592" s="36">
        <f>VLOOKUP(D2592, County_Data_CZones!$B$2:$F$3236, 2, FALSE)</f>
        <v>3</v>
      </c>
      <c r="N2592" s="37" t="str">
        <f>VLOOKUP(D2592, County_Data_CZones!$B$2:$F$3236, 5, FALSE)</f>
        <v>Hot-Dry</v>
      </c>
    </row>
    <row r="2593" ht="15.75" customHeight="1">
      <c r="A2593" s="32" t="s">
        <v>622</v>
      </c>
      <c r="B2593" s="32" t="s">
        <v>1159</v>
      </c>
      <c r="C2593" s="32" t="str">
        <f>vlookup(B2593,State_EMM_RowSums!$A$2:$B$52,2,FALSE)</f>
        <v>TX</v>
      </c>
      <c r="D2593" s="32">
        <v>48137.0</v>
      </c>
      <c r="E2593" s="33">
        <f>IF(NOT(ISBLANK(vlookup($D2593,Pop_Census_2023!$A$2:$E$3220,4,FALSE))),vlookup($D2593,Pop_Census_2023!$A$2:$E$3220,4,FALSE), vlookup($D2593,Pop_Census_2023!$A$2:$E$3220,5,FALSE))</f>
        <v>1393</v>
      </c>
      <c r="F2593" s="32">
        <v>1383854.0</v>
      </c>
      <c r="G2593" s="32">
        <v>64.0</v>
      </c>
      <c r="H2593" s="32" t="str">
        <f>VLOOKUP(D2593, Grid_Region_Mapping!$D$2:$F$5286, 3, FALSE)</f>
        <v>TRE</v>
      </c>
      <c r="I2593" s="32">
        <v>7.0</v>
      </c>
      <c r="J2593" s="34" t="str">
        <f t="shared" si="1"/>
        <v>South</v>
      </c>
      <c r="K2593" s="35">
        <v>5.0</v>
      </c>
      <c r="L2593" s="35" t="s">
        <v>211</v>
      </c>
      <c r="M2593" s="36">
        <f>VLOOKUP(D2593, County_Data_CZones!$B$2:$F$3236, 2, FALSE)</f>
        <v>2</v>
      </c>
      <c r="N2593" s="37" t="str">
        <f>VLOOKUP(D2593, County_Data_CZones!$B$2:$F$3236, 5, FALSE)</f>
        <v>Hot-Humid</v>
      </c>
    </row>
    <row r="2594" ht="15.75" customHeight="1">
      <c r="A2594" s="32" t="s">
        <v>764</v>
      </c>
      <c r="B2594" s="32" t="s">
        <v>1159</v>
      </c>
      <c r="C2594" s="32" t="str">
        <f>vlookup(B2594,State_EMM_RowSums!$A$2:$B$52,2,FALSE)</f>
        <v>TX</v>
      </c>
      <c r="D2594" s="32">
        <v>48139.0</v>
      </c>
      <c r="E2594" s="33">
        <f>IF(NOT(ISBLANK(vlookup($D2594,Pop_Census_2023!$A$2:$E$3220,4,FALSE))),vlookup($D2594,Pop_Census_2023!$A$2:$E$3220,4,FALSE), vlookup($D2594,Pop_Census_2023!$A$2:$E$3220,5,FALSE))</f>
        <v>222829</v>
      </c>
      <c r="F2594" s="32">
        <v>1383856.0</v>
      </c>
      <c r="G2594" s="32">
        <v>63.0</v>
      </c>
      <c r="H2594" s="32" t="str">
        <f>VLOOKUP(D2594, Grid_Region_Mapping!$D$2:$F$5286, 3, FALSE)</f>
        <v>TRE</v>
      </c>
      <c r="I2594" s="32">
        <v>7.0</v>
      </c>
      <c r="J2594" s="34" t="str">
        <f t="shared" si="1"/>
        <v>South</v>
      </c>
      <c r="K2594" s="35">
        <v>5.0</v>
      </c>
      <c r="L2594" s="35" t="s">
        <v>102</v>
      </c>
      <c r="M2594" s="36">
        <f>VLOOKUP(D2594, County_Data_CZones!$B$2:$F$3236, 2, FALSE)</f>
        <v>3</v>
      </c>
      <c r="N2594" s="37" t="str">
        <f>VLOOKUP(D2594, County_Data_CZones!$B$2:$F$3236, 5, FALSE)</f>
        <v>Hot-Humid</v>
      </c>
    </row>
    <row r="2595" ht="15.75" customHeight="1">
      <c r="A2595" s="32" t="s">
        <v>360</v>
      </c>
      <c r="B2595" s="32" t="s">
        <v>1159</v>
      </c>
      <c r="C2595" s="32" t="str">
        <f>vlookup(B2595,State_EMM_RowSums!$A$2:$B$52,2,FALSE)</f>
        <v>TX</v>
      </c>
      <c r="D2595" s="32">
        <v>48141.0</v>
      </c>
      <c r="E2595" s="33">
        <f>IF(NOT(ISBLANK(vlookup($D2595,Pop_Census_2023!$A$2:$E$3220,4,FALSE))),vlookup($D2595,Pop_Census_2023!$A$2:$E$3220,4,FALSE), vlookup($D2595,Pop_Census_2023!$A$2:$E$3220,5,FALSE))</f>
        <v>869880</v>
      </c>
      <c r="F2595" s="32">
        <v>1383855.0</v>
      </c>
      <c r="G2595" s="32">
        <v>59.0</v>
      </c>
      <c r="H2595" s="32" t="str">
        <f>VLOOKUP(D2595, Grid_Region_Mapping!$D$2:$F$5286, 3, FALSE)</f>
        <v>SRSG</v>
      </c>
      <c r="I2595" s="32">
        <v>7.0</v>
      </c>
      <c r="J2595" s="34" t="str">
        <f t="shared" si="1"/>
        <v>South</v>
      </c>
      <c r="K2595" s="35">
        <v>5.0</v>
      </c>
      <c r="L2595" s="35" t="s">
        <v>204</v>
      </c>
      <c r="M2595" s="36">
        <f>VLOOKUP(D2595, County_Data_CZones!$B$2:$F$3236, 2, FALSE)</f>
        <v>3</v>
      </c>
      <c r="N2595" s="37" t="str">
        <f>VLOOKUP(D2595, County_Data_CZones!$B$2:$F$3236, 5, FALSE)</f>
        <v>Hot-Dry</v>
      </c>
    </row>
    <row r="2596" ht="15.75" customHeight="1">
      <c r="A2596" s="32" t="s">
        <v>1692</v>
      </c>
      <c r="B2596" s="32" t="s">
        <v>1159</v>
      </c>
      <c r="C2596" s="32" t="str">
        <f>vlookup(B2596,State_EMM_RowSums!$A$2:$B$52,2,FALSE)</f>
        <v>TX</v>
      </c>
      <c r="D2596" s="32">
        <v>48143.0</v>
      </c>
      <c r="E2596" s="33">
        <f>IF(NOT(ISBLANK(vlookup($D2596,Pop_Census_2023!$A$2:$E$3220,4,FALSE))),vlookup($D2596,Pop_Census_2023!$A$2:$E$3220,4,FALSE), vlookup($D2596,Pop_Census_2023!$A$2:$E$3220,5,FALSE))</f>
        <v>44195</v>
      </c>
      <c r="F2596" s="32">
        <v>1383857.0</v>
      </c>
      <c r="G2596" s="32">
        <v>63.0</v>
      </c>
      <c r="H2596" s="32" t="str">
        <f>VLOOKUP(D2596, Grid_Region_Mapping!$D$2:$F$5286, 3, FALSE)</f>
        <v>TRE</v>
      </c>
      <c r="I2596" s="32">
        <v>7.0</v>
      </c>
      <c r="J2596" s="34" t="str">
        <f t="shared" si="1"/>
        <v>South</v>
      </c>
      <c r="K2596" s="35">
        <v>5.0</v>
      </c>
      <c r="L2596" s="35" t="s">
        <v>102</v>
      </c>
      <c r="M2596" s="36">
        <f>VLOOKUP(D2596, County_Data_CZones!$B$2:$F$3236, 2, FALSE)</f>
        <v>3</v>
      </c>
      <c r="N2596" s="37" t="str">
        <f>VLOOKUP(D2596, County_Data_CZones!$B$2:$F$3236, 5, FALSE)</f>
        <v>Hot-Humid</v>
      </c>
    </row>
    <row r="2597" ht="15.75" customHeight="1">
      <c r="A2597" s="32" t="s">
        <v>1693</v>
      </c>
      <c r="B2597" s="32" t="s">
        <v>1159</v>
      </c>
      <c r="C2597" s="32" t="str">
        <f>vlookup(B2597,State_EMM_RowSums!$A$2:$B$52,2,FALSE)</f>
        <v>TX</v>
      </c>
      <c r="D2597" s="32">
        <v>48145.0</v>
      </c>
      <c r="E2597" s="33">
        <f>IF(NOT(ISBLANK(vlookup($D2597,Pop_Census_2023!$A$2:$E$3220,4,FALSE))),vlookup($D2597,Pop_Census_2023!$A$2:$E$3220,4,FALSE), vlookup($D2597,Pop_Census_2023!$A$2:$E$3220,5,FALSE))</f>
        <v>17286</v>
      </c>
      <c r="F2597" s="32">
        <v>1383858.0</v>
      </c>
      <c r="G2597" s="32">
        <v>63.0</v>
      </c>
      <c r="H2597" s="32" t="str">
        <f>VLOOKUP(D2597, Grid_Region_Mapping!$D$2:$F$5286, 3, FALSE)</f>
        <v>TRE</v>
      </c>
      <c r="I2597" s="32">
        <v>7.0</v>
      </c>
      <c r="J2597" s="34" t="str">
        <f t="shared" si="1"/>
        <v>South</v>
      </c>
      <c r="K2597" s="35">
        <v>5.0</v>
      </c>
      <c r="L2597" s="35" t="s">
        <v>104</v>
      </c>
      <c r="M2597" s="36">
        <f>VLOOKUP(D2597, County_Data_CZones!$B$2:$F$3236, 2, FALSE)</f>
        <v>2</v>
      </c>
      <c r="N2597" s="37" t="str">
        <f>VLOOKUP(D2597, County_Data_CZones!$B$2:$F$3236, 5, FALSE)</f>
        <v>Hot-Humid</v>
      </c>
    </row>
    <row r="2598" ht="15.75" customHeight="1">
      <c r="A2598" s="32" t="s">
        <v>501</v>
      </c>
      <c r="B2598" s="32" t="s">
        <v>1159</v>
      </c>
      <c r="C2598" s="32" t="str">
        <f>vlookup(B2598,State_EMM_RowSums!$A$2:$B$52,2,FALSE)</f>
        <v>TX</v>
      </c>
      <c r="D2598" s="32">
        <v>48147.0</v>
      </c>
      <c r="E2598" s="33">
        <f>IF(NOT(ISBLANK(vlookup($D2598,Pop_Census_2023!$A$2:$E$3220,4,FALSE))),vlookup($D2598,Pop_Census_2023!$A$2:$E$3220,4,FALSE), vlookup($D2598,Pop_Census_2023!$A$2:$E$3220,5,FALSE))</f>
        <v>37571</v>
      </c>
      <c r="F2598" s="32">
        <v>1383859.0</v>
      </c>
      <c r="G2598" s="32">
        <v>63.0</v>
      </c>
      <c r="H2598" s="32" t="str">
        <f>VLOOKUP(D2598, Grid_Region_Mapping!$D$2:$F$5286, 3, FALSE)</f>
        <v>TRE</v>
      </c>
      <c r="I2598" s="32">
        <v>7.0</v>
      </c>
      <c r="J2598" s="34" t="str">
        <f t="shared" si="1"/>
        <v>South</v>
      </c>
      <c r="K2598" s="35">
        <v>5.0</v>
      </c>
      <c r="L2598" s="35" t="s">
        <v>102</v>
      </c>
      <c r="M2598" s="36">
        <f>VLOOKUP(D2598, County_Data_CZones!$B$2:$F$3236, 2, FALSE)</f>
        <v>3</v>
      </c>
      <c r="N2598" s="37" t="str">
        <f>VLOOKUP(D2598, County_Data_CZones!$B$2:$F$3236, 5, FALSE)</f>
        <v>Mixed-Humid</v>
      </c>
    </row>
    <row r="2599" ht="15.75" customHeight="1">
      <c r="A2599" s="32" t="s">
        <v>131</v>
      </c>
      <c r="B2599" s="32" t="s">
        <v>1159</v>
      </c>
      <c r="C2599" s="32" t="str">
        <f>vlookup(B2599,State_EMM_RowSums!$A$2:$B$52,2,FALSE)</f>
        <v>TX</v>
      </c>
      <c r="D2599" s="32">
        <v>48149.0</v>
      </c>
      <c r="E2599" s="33">
        <f>IF(NOT(ISBLANK(vlookup($D2599,Pop_Census_2023!$A$2:$E$3220,4,FALSE))),vlookup($D2599,Pop_Census_2023!$A$2:$E$3220,4,FALSE), vlookup($D2599,Pop_Census_2023!$A$2:$E$3220,5,FALSE))</f>
        <v>25474</v>
      </c>
      <c r="F2599" s="32">
        <v>1383860.0</v>
      </c>
      <c r="G2599" s="32">
        <v>64.0</v>
      </c>
      <c r="H2599" s="32" t="str">
        <f>VLOOKUP(D2599, Grid_Region_Mapping!$D$2:$F$5286, 3, FALSE)</f>
        <v>TRE</v>
      </c>
      <c r="I2599" s="32">
        <v>7.0</v>
      </c>
      <c r="J2599" s="34" t="str">
        <f t="shared" si="1"/>
        <v>South</v>
      </c>
      <c r="K2599" s="35">
        <v>5.0</v>
      </c>
      <c r="L2599" s="35" t="s">
        <v>104</v>
      </c>
      <c r="M2599" s="36">
        <f>VLOOKUP(D2599, County_Data_CZones!$B$2:$F$3236, 2, FALSE)</f>
        <v>2</v>
      </c>
      <c r="N2599" s="37" t="str">
        <f>VLOOKUP(D2599, County_Data_CZones!$B$2:$F$3236, 5, FALSE)</f>
        <v>Hot-Humid</v>
      </c>
    </row>
    <row r="2600" ht="15.75" customHeight="1">
      <c r="A2600" s="32" t="s">
        <v>1694</v>
      </c>
      <c r="B2600" s="32" t="s">
        <v>1159</v>
      </c>
      <c r="C2600" s="32" t="str">
        <f>vlookup(B2600,State_EMM_RowSums!$A$2:$B$52,2,FALSE)</f>
        <v>TX</v>
      </c>
      <c r="D2600" s="32">
        <v>48151.0</v>
      </c>
      <c r="E2600" s="33">
        <f>IF(NOT(ISBLANK(vlookup($D2600,Pop_Census_2023!$A$2:$E$3220,4,FALSE))),vlookup($D2600,Pop_Census_2023!$A$2:$E$3220,4,FALSE), vlookup($D2600,Pop_Census_2023!$A$2:$E$3220,5,FALSE))</f>
        <v>3612</v>
      </c>
      <c r="F2600" s="32">
        <v>1383861.0</v>
      </c>
      <c r="G2600" s="32">
        <v>60.0</v>
      </c>
      <c r="H2600" s="32" t="str">
        <f>VLOOKUP(D2600, Grid_Region_Mapping!$D$2:$F$5286, 3, FALSE)</f>
        <v>TRE</v>
      </c>
      <c r="I2600" s="32">
        <v>7.0</v>
      </c>
      <c r="J2600" s="34" t="str">
        <f t="shared" si="1"/>
        <v>South</v>
      </c>
      <c r="K2600" s="35">
        <v>5.0</v>
      </c>
      <c r="L2600" s="35" t="s">
        <v>204</v>
      </c>
      <c r="M2600" s="36">
        <f>VLOOKUP(D2600, County_Data_CZones!$B$2:$F$3236, 2, FALSE)</f>
        <v>3</v>
      </c>
      <c r="N2600" s="37" t="str">
        <f>VLOOKUP(D2600, County_Data_CZones!$B$2:$F$3236, 5, FALSE)</f>
        <v>Hot-Dry</v>
      </c>
    </row>
    <row r="2601" ht="15.75" customHeight="1">
      <c r="A2601" s="32" t="s">
        <v>502</v>
      </c>
      <c r="B2601" s="32" t="s">
        <v>1159</v>
      </c>
      <c r="C2601" s="32" t="str">
        <f>vlookup(B2601,State_EMM_RowSums!$A$2:$B$52,2,FALSE)</f>
        <v>TX</v>
      </c>
      <c r="D2601" s="32">
        <v>48153.0</v>
      </c>
      <c r="E2601" s="33">
        <f>IF(NOT(ISBLANK(vlookup($D2601,Pop_Census_2023!$A$2:$E$3220,4,FALSE))),vlookup($D2601,Pop_Census_2023!$A$2:$E$3220,4,FALSE), vlookup($D2601,Pop_Census_2023!$A$2:$E$3220,5,FALSE))</f>
        <v>5090</v>
      </c>
      <c r="F2601" s="32">
        <v>1383862.0</v>
      </c>
      <c r="G2601" s="32">
        <v>48.0</v>
      </c>
      <c r="H2601" s="32" t="str">
        <f>VLOOKUP(D2601, Grid_Region_Mapping!$D$2:$F$5286, 3, FALSE)</f>
        <v>SPPS</v>
      </c>
      <c r="I2601" s="32">
        <v>7.0</v>
      </c>
      <c r="J2601" s="34" t="str">
        <f t="shared" si="1"/>
        <v>South</v>
      </c>
      <c r="K2601" s="35">
        <v>4.0</v>
      </c>
      <c r="L2601" s="35" t="s">
        <v>207</v>
      </c>
      <c r="M2601" s="36">
        <f>VLOOKUP(D2601, County_Data_CZones!$B$2:$F$3236, 2, FALSE)</f>
        <v>4</v>
      </c>
      <c r="N2601" s="37" t="str">
        <f>VLOOKUP(D2601, County_Data_CZones!$B$2:$F$3236, 5, FALSE)</f>
        <v>Mixed-Dry</v>
      </c>
    </row>
    <row r="2602" ht="15.75" customHeight="1">
      <c r="A2602" s="32" t="s">
        <v>1695</v>
      </c>
      <c r="B2602" s="32" t="s">
        <v>1159</v>
      </c>
      <c r="C2602" s="32" t="str">
        <f>vlookup(B2602,State_EMM_RowSums!$A$2:$B$52,2,FALSE)</f>
        <v>TX</v>
      </c>
      <c r="D2602" s="32">
        <v>48155.0</v>
      </c>
      <c r="E2602" s="33">
        <f>IF(NOT(ISBLANK(vlookup($D2602,Pop_Census_2023!$A$2:$E$3220,4,FALSE))),vlookup($D2602,Pop_Census_2023!$A$2:$E$3220,4,FALSE), vlookup($D2602,Pop_Census_2023!$A$2:$E$3220,5,FALSE))</f>
        <v>1079</v>
      </c>
      <c r="F2602" s="32">
        <v>1383863.0</v>
      </c>
      <c r="G2602" s="32">
        <v>60.0</v>
      </c>
      <c r="H2602" s="32" t="str">
        <f>VLOOKUP(D2602, Grid_Region_Mapping!$D$2:$F$5286, 3, FALSE)</f>
        <v>TRE</v>
      </c>
      <c r="I2602" s="32">
        <v>7.0</v>
      </c>
      <c r="J2602" s="34" t="str">
        <f t="shared" si="1"/>
        <v>South</v>
      </c>
      <c r="K2602" s="35">
        <v>5.0</v>
      </c>
      <c r="L2602" s="35" t="s">
        <v>204</v>
      </c>
      <c r="M2602" s="36">
        <f>VLOOKUP(D2602, County_Data_CZones!$B$2:$F$3236, 2, FALSE)</f>
        <v>3</v>
      </c>
      <c r="N2602" s="37" t="str">
        <f>VLOOKUP(D2602, County_Data_CZones!$B$2:$F$3236, 5, FALSE)</f>
        <v>Hot-Dry</v>
      </c>
    </row>
    <row r="2603" ht="15.75" customHeight="1">
      <c r="A2603" s="32" t="s">
        <v>1696</v>
      </c>
      <c r="B2603" s="32" t="s">
        <v>1159</v>
      </c>
      <c r="C2603" s="32" t="str">
        <f>vlookup(B2603,State_EMM_RowSums!$A$2:$B$52,2,FALSE)</f>
        <v>TX</v>
      </c>
      <c r="D2603" s="32">
        <v>48157.0</v>
      </c>
      <c r="E2603" s="33">
        <f>IF(NOT(ISBLANK(vlookup($D2603,Pop_Census_2023!$A$2:$E$3220,4,FALSE))),vlookup($D2603,Pop_Census_2023!$A$2:$E$3220,4,FALSE), vlookup($D2603,Pop_Census_2023!$A$2:$E$3220,5,FALSE))</f>
        <v>916778</v>
      </c>
      <c r="F2603" s="32">
        <v>1383864.0</v>
      </c>
      <c r="G2603" s="32">
        <v>67.0</v>
      </c>
      <c r="H2603" s="32" t="str">
        <f>VLOOKUP(D2603, Grid_Region_Mapping!$D$2:$F$5286, 3, FALSE)</f>
        <v>TRE</v>
      </c>
      <c r="I2603" s="32">
        <v>7.0</v>
      </c>
      <c r="J2603" s="34" t="str">
        <f t="shared" si="1"/>
        <v>South</v>
      </c>
      <c r="K2603" s="35">
        <v>5.0</v>
      </c>
      <c r="L2603" s="35" t="s">
        <v>104</v>
      </c>
      <c r="M2603" s="36">
        <f>VLOOKUP(D2603, County_Data_CZones!$B$2:$F$3236, 2, FALSE)</f>
        <v>2</v>
      </c>
      <c r="N2603" s="37" t="str">
        <f>VLOOKUP(D2603, County_Data_CZones!$B$2:$F$3236, 5, FALSE)</f>
        <v>Hot-Humid</v>
      </c>
    </row>
    <row r="2604" ht="15.75" customHeight="1">
      <c r="A2604" s="32" t="s">
        <v>132</v>
      </c>
      <c r="B2604" s="32" t="s">
        <v>1159</v>
      </c>
      <c r="C2604" s="32" t="str">
        <f>vlookup(B2604,State_EMM_RowSums!$A$2:$B$52,2,FALSE)</f>
        <v>TX</v>
      </c>
      <c r="D2604" s="32">
        <v>48159.0</v>
      </c>
      <c r="E2604" s="33">
        <f>IF(NOT(ISBLANK(vlookup($D2604,Pop_Census_2023!$A$2:$E$3220,4,FALSE))),vlookup($D2604,Pop_Census_2023!$A$2:$E$3220,4,FALSE), vlookup($D2604,Pop_Census_2023!$A$2:$E$3220,5,FALSE))</f>
        <v>10735</v>
      </c>
      <c r="F2604" s="32">
        <v>1383865.0</v>
      </c>
      <c r="G2604" s="32">
        <v>63.0</v>
      </c>
      <c r="H2604" s="32" t="str">
        <f>VLOOKUP(D2604, Grid_Region_Mapping!$D$2:$F$5286, 3, FALSE)</f>
        <v>SPPS</v>
      </c>
      <c r="I2604" s="32">
        <v>7.0</v>
      </c>
      <c r="J2604" s="34" t="str">
        <f t="shared" si="1"/>
        <v>South</v>
      </c>
      <c r="K2604" s="35">
        <v>5.0</v>
      </c>
      <c r="L2604" s="35" t="s">
        <v>102</v>
      </c>
      <c r="M2604" s="36">
        <f>VLOOKUP(D2604, County_Data_CZones!$B$2:$F$3236, 2, FALSE)</f>
        <v>3</v>
      </c>
      <c r="N2604" s="37" t="str">
        <f>VLOOKUP(D2604, County_Data_CZones!$B$2:$F$3236, 5, FALSE)</f>
        <v>Hot-Humid</v>
      </c>
    </row>
    <row r="2605" ht="15.75" customHeight="1">
      <c r="A2605" s="32" t="s">
        <v>1697</v>
      </c>
      <c r="B2605" s="32" t="s">
        <v>1159</v>
      </c>
      <c r="C2605" s="32" t="str">
        <f>vlookup(B2605,State_EMM_RowSums!$A$2:$B$52,2,FALSE)</f>
        <v>TX</v>
      </c>
      <c r="D2605" s="32">
        <v>48161.0</v>
      </c>
      <c r="E2605" s="33">
        <f>IF(NOT(ISBLANK(vlookup($D2605,Pop_Census_2023!$A$2:$E$3220,4,FALSE))),vlookup($D2605,Pop_Census_2023!$A$2:$E$3220,4,FALSE), vlookup($D2605,Pop_Census_2023!$A$2:$E$3220,5,FALSE))</f>
        <v>20441</v>
      </c>
      <c r="F2605" s="32">
        <v>1383866.0</v>
      </c>
      <c r="G2605" s="32">
        <v>63.0</v>
      </c>
      <c r="H2605" s="32" t="str">
        <f>VLOOKUP(D2605, Grid_Region_Mapping!$D$2:$F$5286, 3, FALSE)</f>
        <v>TRE</v>
      </c>
      <c r="I2605" s="32">
        <v>7.0</v>
      </c>
      <c r="J2605" s="34" t="str">
        <f t="shared" si="1"/>
        <v>South</v>
      </c>
      <c r="K2605" s="35">
        <v>5.0</v>
      </c>
      <c r="L2605" s="35" t="s">
        <v>104</v>
      </c>
      <c r="M2605" s="36">
        <f>VLOOKUP(D2605, County_Data_CZones!$B$2:$F$3236, 2, FALSE)</f>
        <v>2</v>
      </c>
      <c r="N2605" s="37" t="str">
        <f>VLOOKUP(D2605, County_Data_CZones!$B$2:$F$3236, 5, FALSE)</f>
        <v>Hot-Humid</v>
      </c>
    </row>
    <row r="2606" ht="15.75" customHeight="1">
      <c r="A2606" s="32" t="s">
        <v>1698</v>
      </c>
      <c r="B2606" s="32" t="s">
        <v>1159</v>
      </c>
      <c r="C2606" s="32" t="str">
        <f>vlookup(B2606,State_EMM_RowSums!$A$2:$B$52,2,FALSE)</f>
        <v>TX</v>
      </c>
      <c r="D2606" s="32">
        <v>48163.0</v>
      </c>
      <c r="E2606" s="33">
        <f>IF(NOT(ISBLANK(vlookup($D2606,Pop_Census_2023!$A$2:$E$3220,4,FALSE))),vlookup($D2606,Pop_Census_2023!$A$2:$E$3220,4,FALSE), vlookup($D2606,Pop_Census_2023!$A$2:$E$3220,5,FALSE))</f>
        <v>17987</v>
      </c>
      <c r="F2606" s="32">
        <v>1383867.0</v>
      </c>
      <c r="G2606" s="32">
        <v>65.0</v>
      </c>
      <c r="H2606" s="32" t="str">
        <f>VLOOKUP(D2606, Grid_Region_Mapping!$D$2:$F$5286, 3, FALSE)</f>
        <v>TRE</v>
      </c>
      <c r="I2606" s="32">
        <v>7.0</v>
      </c>
      <c r="J2606" s="34" t="str">
        <f t="shared" si="1"/>
        <v>South</v>
      </c>
      <c r="K2606" s="35">
        <v>5.0</v>
      </c>
      <c r="L2606" s="35" t="s">
        <v>211</v>
      </c>
      <c r="M2606" s="36">
        <f>VLOOKUP(D2606, County_Data_CZones!$B$2:$F$3236, 2, FALSE)</f>
        <v>2</v>
      </c>
      <c r="N2606" s="37" t="str">
        <f>VLOOKUP(D2606, County_Data_CZones!$B$2:$F$3236, 5, FALSE)</f>
        <v>Hot-Humid</v>
      </c>
    </row>
    <row r="2607" ht="15.75" customHeight="1">
      <c r="A2607" s="32" t="s">
        <v>1699</v>
      </c>
      <c r="B2607" s="32" t="s">
        <v>1159</v>
      </c>
      <c r="C2607" s="32" t="str">
        <f>vlookup(B2607,State_EMM_RowSums!$A$2:$B$52,2,FALSE)</f>
        <v>TX</v>
      </c>
      <c r="D2607" s="32">
        <v>48165.0</v>
      </c>
      <c r="E2607" s="33">
        <f>IF(NOT(ISBLANK(vlookup($D2607,Pop_Census_2023!$A$2:$E$3220,4,FALSE))),vlookup($D2607,Pop_Census_2023!$A$2:$E$3220,4,FALSE), vlookup($D2607,Pop_Census_2023!$A$2:$E$3220,5,FALSE))</f>
        <v>22523</v>
      </c>
      <c r="F2607" s="32">
        <v>1383868.0</v>
      </c>
      <c r="G2607" s="32">
        <v>48.0</v>
      </c>
      <c r="H2607" s="32" t="str">
        <f>VLOOKUP(D2607, Grid_Region_Mapping!$D$2:$F$5286, 3, FALSE)</f>
        <v>SPPS</v>
      </c>
      <c r="I2607" s="32">
        <v>7.0</v>
      </c>
      <c r="J2607" s="34" t="str">
        <f t="shared" si="1"/>
        <v>South</v>
      </c>
      <c r="K2607" s="35">
        <v>4.0</v>
      </c>
      <c r="L2607" s="35" t="s">
        <v>204</v>
      </c>
      <c r="M2607" s="36">
        <f>VLOOKUP(D2607, County_Data_CZones!$B$2:$F$3236, 2, FALSE)</f>
        <v>3</v>
      </c>
      <c r="N2607" s="37" t="str">
        <f>VLOOKUP(D2607, County_Data_CZones!$B$2:$F$3236, 5, FALSE)</f>
        <v>Hot-Dry</v>
      </c>
    </row>
    <row r="2608" ht="15.75" customHeight="1">
      <c r="A2608" s="32" t="s">
        <v>1700</v>
      </c>
      <c r="B2608" s="32" t="s">
        <v>1159</v>
      </c>
      <c r="C2608" s="32" t="str">
        <f>vlookup(B2608,State_EMM_RowSums!$A$2:$B$52,2,FALSE)</f>
        <v>TX</v>
      </c>
      <c r="D2608" s="32">
        <v>48167.0</v>
      </c>
      <c r="E2608" s="33">
        <f>IF(NOT(ISBLANK(vlookup($D2608,Pop_Census_2023!$A$2:$E$3220,4,FALSE))),vlookup($D2608,Pop_Census_2023!$A$2:$E$3220,4,FALSE), vlookup($D2608,Pop_Census_2023!$A$2:$E$3220,5,FALSE))</f>
        <v>361744</v>
      </c>
      <c r="F2608" s="32">
        <v>1383869.0</v>
      </c>
      <c r="G2608" s="32">
        <v>67.0</v>
      </c>
      <c r="H2608" s="32" t="str">
        <f>VLOOKUP(D2608, Grid_Region_Mapping!$D$2:$F$5286, 3, FALSE)</f>
        <v>TRE</v>
      </c>
      <c r="I2608" s="32">
        <v>7.0</v>
      </c>
      <c r="J2608" s="34" t="str">
        <f t="shared" si="1"/>
        <v>South</v>
      </c>
      <c r="K2608" s="35">
        <v>5.0</v>
      </c>
      <c r="L2608" s="35" t="s">
        <v>104</v>
      </c>
      <c r="M2608" s="36">
        <f>VLOOKUP(D2608, County_Data_CZones!$B$2:$F$3236, 2, FALSE)</f>
        <v>2</v>
      </c>
      <c r="N2608" s="37" t="str">
        <f>VLOOKUP(D2608, County_Data_CZones!$B$2:$F$3236, 5, FALSE)</f>
        <v>Hot-Humid</v>
      </c>
    </row>
    <row r="2609" ht="15.75" customHeight="1">
      <c r="A2609" s="32" t="s">
        <v>1701</v>
      </c>
      <c r="B2609" s="32" t="s">
        <v>1159</v>
      </c>
      <c r="C2609" s="32" t="str">
        <f>vlookup(B2609,State_EMM_RowSums!$A$2:$B$52,2,FALSE)</f>
        <v>TX</v>
      </c>
      <c r="D2609" s="32">
        <v>48169.0</v>
      </c>
      <c r="E2609" s="33">
        <f>IF(NOT(ISBLANK(vlookup($D2609,Pop_Census_2023!$A$2:$E$3220,4,FALSE))),vlookup($D2609,Pop_Census_2023!$A$2:$E$3220,4,FALSE), vlookup($D2609,Pop_Census_2023!$A$2:$E$3220,5,FALSE))</f>
        <v>4517</v>
      </c>
      <c r="F2609" s="32">
        <v>1383870.0</v>
      </c>
      <c r="G2609" s="32">
        <v>48.0</v>
      </c>
      <c r="H2609" s="32" t="str">
        <f>VLOOKUP(D2609, Grid_Region_Mapping!$D$2:$F$5286, 3, FALSE)</f>
        <v>TRE</v>
      </c>
      <c r="I2609" s="32">
        <v>7.0</v>
      </c>
      <c r="J2609" s="34" t="str">
        <f t="shared" si="1"/>
        <v>South</v>
      </c>
      <c r="K2609" s="35">
        <v>4.0</v>
      </c>
      <c r="L2609" s="35" t="s">
        <v>204</v>
      </c>
      <c r="M2609" s="36">
        <f>VLOOKUP(D2609, County_Data_CZones!$B$2:$F$3236, 2, FALSE)</f>
        <v>3</v>
      </c>
      <c r="N2609" s="37" t="str">
        <f>VLOOKUP(D2609, County_Data_CZones!$B$2:$F$3236, 5, FALSE)</f>
        <v>Hot-Dry</v>
      </c>
    </row>
    <row r="2610" ht="15.75" customHeight="1">
      <c r="A2610" s="32" t="s">
        <v>1702</v>
      </c>
      <c r="B2610" s="32" t="s">
        <v>1159</v>
      </c>
      <c r="C2610" s="32" t="str">
        <f>vlookup(B2610,State_EMM_RowSums!$A$2:$B$52,2,FALSE)</f>
        <v>TX</v>
      </c>
      <c r="D2610" s="32">
        <v>48171.0</v>
      </c>
      <c r="E2610" s="33">
        <f>IF(NOT(ISBLANK(vlookup($D2610,Pop_Census_2023!$A$2:$E$3220,4,FALSE))),vlookup($D2610,Pop_Census_2023!$A$2:$E$3220,4,FALSE), vlookup($D2610,Pop_Census_2023!$A$2:$E$3220,5,FALSE))</f>
        <v>27733</v>
      </c>
      <c r="F2610" s="32">
        <v>1383871.0</v>
      </c>
      <c r="G2610" s="32">
        <v>64.0</v>
      </c>
      <c r="H2610" s="32" t="str">
        <f>VLOOKUP(D2610, Grid_Region_Mapping!$D$2:$F$5286, 3, FALSE)</f>
        <v>TRE</v>
      </c>
      <c r="I2610" s="32">
        <v>7.0</v>
      </c>
      <c r="J2610" s="34" t="str">
        <f t="shared" si="1"/>
        <v>South</v>
      </c>
      <c r="K2610" s="35">
        <v>5.0</v>
      </c>
      <c r="L2610" s="35" t="s">
        <v>102</v>
      </c>
      <c r="M2610" s="36">
        <f>VLOOKUP(D2610, County_Data_CZones!$B$2:$F$3236, 2, FALSE)</f>
        <v>3</v>
      </c>
      <c r="N2610" s="37" t="str">
        <f>VLOOKUP(D2610, County_Data_CZones!$B$2:$F$3236, 5, FALSE)</f>
        <v>Hot-Humid</v>
      </c>
    </row>
    <row r="2611" ht="15.75" customHeight="1">
      <c r="A2611" s="32" t="s">
        <v>1703</v>
      </c>
      <c r="B2611" s="32" t="s">
        <v>1159</v>
      </c>
      <c r="C2611" s="32" t="str">
        <f>vlookup(B2611,State_EMM_RowSums!$A$2:$B$52,2,FALSE)</f>
        <v>TX</v>
      </c>
      <c r="D2611" s="32">
        <v>48173.0</v>
      </c>
      <c r="E2611" s="33">
        <f>IF(NOT(ISBLANK(vlookup($D2611,Pop_Census_2023!$A$2:$E$3220,4,FALSE))),vlookup($D2611,Pop_Census_2023!$A$2:$E$3220,4,FALSE), vlookup($D2611,Pop_Census_2023!$A$2:$E$3220,5,FALSE))</f>
        <v>1141</v>
      </c>
      <c r="F2611" s="32">
        <v>1383872.0</v>
      </c>
      <c r="G2611" s="32">
        <v>62.0</v>
      </c>
      <c r="H2611" s="32" t="str">
        <f>VLOOKUP(D2611, Grid_Region_Mapping!$D$2:$F$5286, 3, FALSE)</f>
        <v>TRE</v>
      </c>
      <c r="I2611" s="32">
        <v>7.0</v>
      </c>
      <c r="J2611" s="34" t="str">
        <f t="shared" si="1"/>
        <v>South</v>
      </c>
      <c r="K2611" s="35">
        <v>4.0</v>
      </c>
      <c r="L2611" s="35" t="s">
        <v>204</v>
      </c>
      <c r="M2611" s="36">
        <f>VLOOKUP(D2611, County_Data_CZones!$B$2:$F$3236, 2, FALSE)</f>
        <v>3</v>
      </c>
      <c r="N2611" s="37" t="str">
        <f>VLOOKUP(D2611, County_Data_CZones!$B$2:$F$3236, 5, FALSE)</f>
        <v>Hot-Dry</v>
      </c>
    </row>
    <row r="2612" ht="15.75" customHeight="1">
      <c r="A2612" s="32" t="s">
        <v>1704</v>
      </c>
      <c r="B2612" s="32" t="s">
        <v>1159</v>
      </c>
      <c r="C2612" s="32" t="str">
        <f>vlookup(B2612,State_EMM_RowSums!$A$2:$B$52,2,FALSE)</f>
        <v>TX</v>
      </c>
      <c r="D2612" s="32">
        <v>48175.0</v>
      </c>
      <c r="E2612" s="33">
        <f>IF(NOT(ISBLANK(vlookup($D2612,Pop_Census_2023!$A$2:$E$3220,4,FALSE))),vlookup($D2612,Pop_Census_2023!$A$2:$E$3220,4,FALSE), vlookup($D2612,Pop_Census_2023!$A$2:$E$3220,5,FALSE))</f>
        <v>7144</v>
      </c>
      <c r="F2612" s="32">
        <v>1383873.0</v>
      </c>
      <c r="G2612" s="32">
        <v>65.0</v>
      </c>
      <c r="H2612" s="32" t="str">
        <f>VLOOKUP(D2612, Grid_Region_Mapping!$D$2:$F$5286, 3, FALSE)</f>
        <v>TRE</v>
      </c>
      <c r="I2612" s="32">
        <v>7.0</v>
      </c>
      <c r="J2612" s="34" t="str">
        <f t="shared" si="1"/>
        <v>South</v>
      </c>
      <c r="K2612" s="35">
        <v>5.0</v>
      </c>
      <c r="L2612" s="35" t="s">
        <v>104</v>
      </c>
      <c r="M2612" s="36">
        <f>VLOOKUP(D2612, County_Data_CZones!$B$2:$F$3236, 2, FALSE)</f>
        <v>2</v>
      </c>
      <c r="N2612" s="37" t="str">
        <f>VLOOKUP(D2612, County_Data_CZones!$B$2:$F$3236, 5, FALSE)</f>
        <v>Hot-Humid</v>
      </c>
    </row>
    <row r="2613" ht="15.75" customHeight="1">
      <c r="A2613" s="32" t="s">
        <v>1705</v>
      </c>
      <c r="B2613" s="32" t="s">
        <v>1159</v>
      </c>
      <c r="C2613" s="32" t="str">
        <f>vlookup(B2613,State_EMM_RowSums!$A$2:$B$52,2,FALSE)</f>
        <v>TX</v>
      </c>
      <c r="D2613" s="32">
        <v>48177.0</v>
      </c>
      <c r="E2613" s="33">
        <f>IF(NOT(ISBLANK(vlookup($D2613,Pop_Census_2023!$A$2:$E$3220,4,FALSE))),vlookup($D2613,Pop_Census_2023!$A$2:$E$3220,4,FALSE), vlookup($D2613,Pop_Census_2023!$A$2:$E$3220,5,FALSE))</f>
        <v>19930</v>
      </c>
      <c r="F2613" s="32">
        <v>1383874.0</v>
      </c>
      <c r="G2613" s="32">
        <v>64.0</v>
      </c>
      <c r="H2613" s="32" t="str">
        <f>VLOOKUP(D2613, Grid_Region_Mapping!$D$2:$F$5286, 3, FALSE)</f>
        <v>TRE</v>
      </c>
      <c r="I2613" s="32">
        <v>7.0</v>
      </c>
      <c r="J2613" s="34" t="str">
        <f t="shared" si="1"/>
        <v>South</v>
      </c>
      <c r="K2613" s="35">
        <v>5.0</v>
      </c>
      <c r="L2613" s="35" t="s">
        <v>104</v>
      </c>
      <c r="M2613" s="36">
        <f>VLOOKUP(D2613, County_Data_CZones!$B$2:$F$3236, 2, FALSE)</f>
        <v>2</v>
      </c>
      <c r="N2613" s="37" t="str">
        <f>VLOOKUP(D2613, County_Data_CZones!$B$2:$F$3236, 5, FALSE)</f>
        <v>Hot-Humid</v>
      </c>
    </row>
    <row r="2614" ht="15.75" customHeight="1">
      <c r="A2614" s="32" t="s">
        <v>769</v>
      </c>
      <c r="B2614" s="32" t="s">
        <v>1159</v>
      </c>
      <c r="C2614" s="32" t="str">
        <f>vlookup(B2614,State_EMM_RowSums!$A$2:$B$52,2,FALSE)</f>
        <v>TX</v>
      </c>
      <c r="D2614" s="32">
        <v>48179.0</v>
      </c>
      <c r="E2614" s="33">
        <f>IF(NOT(ISBLANK(vlookup($D2614,Pop_Census_2023!$A$2:$E$3220,4,FALSE))),vlookup($D2614,Pop_Census_2023!$A$2:$E$3220,4,FALSE), vlookup($D2614,Pop_Census_2023!$A$2:$E$3220,5,FALSE))</f>
        <v>20916</v>
      </c>
      <c r="F2614" s="32">
        <v>1383875.0</v>
      </c>
      <c r="G2614" s="32">
        <v>48.0</v>
      </c>
      <c r="H2614" s="32" t="str">
        <f>VLOOKUP(D2614, Grid_Region_Mapping!$D$2:$F$5286, 3, FALSE)</f>
        <v>SPPS</v>
      </c>
      <c r="I2614" s="32">
        <v>7.0</v>
      </c>
      <c r="J2614" s="34" t="str">
        <f t="shared" si="1"/>
        <v>South</v>
      </c>
      <c r="K2614" s="35">
        <v>3.0</v>
      </c>
      <c r="L2614" s="35" t="s">
        <v>207</v>
      </c>
      <c r="M2614" s="36">
        <f>VLOOKUP(D2614, County_Data_CZones!$B$2:$F$3236, 2, FALSE)</f>
        <v>4</v>
      </c>
      <c r="N2614" s="37" t="str">
        <f>VLOOKUP(D2614, County_Data_CZones!$B$2:$F$3236, 5, FALSE)</f>
        <v>Mixed-Dry</v>
      </c>
    </row>
    <row r="2615" ht="15.75" customHeight="1">
      <c r="A2615" s="32" t="s">
        <v>841</v>
      </c>
      <c r="B2615" s="32" t="s">
        <v>1159</v>
      </c>
      <c r="C2615" s="32" t="str">
        <f>vlookup(B2615,State_EMM_RowSums!$A$2:$B$52,2,FALSE)</f>
        <v>TX</v>
      </c>
      <c r="D2615" s="32">
        <v>48181.0</v>
      </c>
      <c r="E2615" s="33">
        <f>IF(NOT(ISBLANK(vlookup($D2615,Pop_Census_2023!$A$2:$E$3220,4,FALSE))),vlookup($D2615,Pop_Census_2023!$A$2:$E$3220,4,FALSE), vlookup($D2615,Pop_Census_2023!$A$2:$E$3220,5,FALSE))</f>
        <v>146907</v>
      </c>
      <c r="F2615" s="32">
        <v>1383876.0</v>
      </c>
      <c r="G2615" s="32">
        <v>63.0</v>
      </c>
      <c r="H2615" s="32" t="str">
        <f>VLOOKUP(D2615, Grid_Region_Mapping!$D$2:$F$5286, 3, FALSE)</f>
        <v>TRE</v>
      </c>
      <c r="I2615" s="32">
        <v>7.0</v>
      </c>
      <c r="J2615" s="34" t="str">
        <f t="shared" si="1"/>
        <v>South</v>
      </c>
      <c r="K2615" s="35">
        <v>5.0</v>
      </c>
      <c r="L2615" s="35" t="s">
        <v>102</v>
      </c>
      <c r="M2615" s="36">
        <f>VLOOKUP(D2615, County_Data_CZones!$B$2:$F$3236, 2, FALSE)</f>
        <v>3</v>
      </c>
      <c r="N2615" s="37" t="str">
        <f>VLOOKUP(D2615, County_Data_CZones!$B$2:$F$3236, 5, FALSE)</f>
        <v>Mixed-Humid</v>
      </c>
    </row>
    <row r="2616" ht="15.75" customHeight="1">
      <c r="A2616" s="32" t="s">
        <v>1706</v>
      </c>
      <c r="B2616" s="32" t="s">
        <v>1159</v>
      </c>
      <c r="C2616" s="32" t="str">
        <f>vlookup(B2616,State_EMM_RowSums!$A$2:$B$52,2,FALSE)</f>
        <v>TX</v>
      </c>
      <c r="D2616" s="32">
        <v>48183.0</v>
      </c>
      <c r="E2616" s="33">
        <f>IF(NOT(ISBLANK(vlookup($D2616,Pop_Census_2023!$A$2:$E$3220,4,FALSE))),vlookup($D2616,Pop_Census_2023!$A$2:$E$3220,4,FALSE), vlookup($D2616,Pop_Census_2023!$A$2:$E$3220,5,FALSE))</f>
        <v>126243</v>
      </c>
      <c r="F2616" s="32">
        <v>1383877.0</v>
      </c>
      <c r="G2616" s="32">
        <v>57.0</v>
      </c>
      <c r="H2616" s="32" t="str">
        <f>VLOOKUP(D2616, Grid_Region_Mapping!$D$2:$F$5286, 3, FALSE)</f>
        <v>SPPS</v>
      </c>
      <c r="I2616" s="32">
        <v>7.0</v>
      </c>
      <c r="J2616" s="34" t="str">
        <f t="shared" si="1"/>
        <v>South</v>
      </c>
      <c r="K2616" s="35">
        <v>5.0</v>
      </c>
      <c r="L2616" s="35" t="s">
        <v>102</v>
      </c>
      <c r="M2616" s="36">
        <f>VLOOKUP(D2616, County_Data_CZones!$B$2:$F$3236, 2, FALSE)</f>
        <v>3</v>
      </c>
      <c r="N2616" s="37" t="str">
        <f>VLOOKUP(D2616, County_Data_CZones!$B$2:$F$3236, 5, FALSE)</f>
        <v>Hot-Humid</v>
      </c>
    </row>
    <row r="2617" ht="15.75" customHeight="1">
      <c r="A2617" s="32" t="s">
        <v>1707</v>
      </c>
      <c r="B2617" s="32" t="s">
        <v>1159</v>
      </c>
      <c r="C2617" s="32" t="str">
        <f>vlookup(B2617,State_EMM_RowSums!$A$2:$B$52,2,FALSE)</f>
        <v>TX</v>
      </c>
      <c r="D2617" s="32">
        <v>48185.0</v>
      </c>
      <c r="E2617" s="33">
        <f>IF(NOT(ISBLANK(vlookup($D2617,Pop_Census_2023!$A$2:$E$3220,4,FALSE))),vlookup($D2617,Pop_Census_2023!$A$2:$E$3220,4,FALSE), vlookup($D2617,Pop_Census_2023!$A$2:$E$3220,5,FALSE))</f>
        <v>32384</v>
      </c>
      <c r="F2617" s="32">
        <v>1383878.0</v>
      </c>
      <c r="G2617" s="32">
        <v>64.0</v>
      </c>
      <c r="H2617" s="32" t="str">
        <f>VLOOKUP(D2617, Grid_Region_Mapping!$D$2:$F$5286, 3, FALSE)</f>
        <v>MISS</v>
      </c>
      <c r="I2617" s="32">
        <v>7.0</v>
      </c>
      <c r="J2617" s="34" t="str">
        <f t="shared" si="1"/>
        <v>South</v>
      </c>
      <c r="K2617" s="35">
        <v>5.0</v>
      </c>
      <c r="L2617" s="35" t="s">
        <v>104</v>
      </c>
      <c r="M2617" s="36">
        <f>VLOOKUP(D2617, County_Data_CZones!$B$2:$F$3236, 2, FALSE)</f>
        <v>2</v>
      </c>
      <c r="N2617" s="37" t="str">
        <f>VLOOKUP(D2617, County_Data_CZones!$B$2:$F$3236, 5, FALSE)</f>
        <v>Hot-Humid</v>
      </c>
    </row>
    <row r="2618" ht="15.75" customHeight="1">
      <c r="A2618" s="32" t="s">
        <v>1279</v>
      </c>
      <c r="B2618" s="32" t="s">
        <v>1159</v>
      </c>
      <c r="C2618" s="32" t="str">
        <f>vlookup(B2618,State_EMM_RowSums!$A$2:$B$52,2,FALSE)</f>
        <v>TX</v>
      </c>
      <c r="D2618" s="32">
        <v>48187.0</v>
      </c>
      <c r="E2618" s="33">
        <f>IF(NOT(ISBLANK(vlookup($D2618,Pop_Census_2023!$A$2:$E$3220,4,FALSE))),vlookup($D2618,Pop_Census_2023!$A$2:$E$3220,4,FALSE), vlookup($D2618,Pop_Census_2023!$A$2:$E$3220,5,FALSE))</f>
        <v>188454</v>
      </c>
      <c r="F2618" s="32">
        <v>1383879.0</v>
      </c>
      <c r="G2618" s="32">
        <v>64.0</v>
      </c>
      <c r="H2618" s="32" t="str">
        <f>VLOOKUP(D2618, Grid_Region_Mapping!$D$2:$F$5286, 3, FALSE)</f>
        <v>TRE</v>
      </c>
      <c r="I2618" s="32">
        <v>7.0</v>
      </c>
      <c r="J2618" s="34" t="str">
        <f t="shared" si="1"/>
        <v>South</v>
      </c>
      <c r="K2618" s="35">
        <v>5.0</v>
      </c>
      <c r="L2618" s="35" t="s">
        <v>104</v>
      </c>
      <c r="M2618" s="36">
        <f>VLOOKUP(D2618, County_Data_CZones!$B$2:$F$3236, 2, FALSE)</f>
        <v>2</v>
      </c>
      <c r="N2618" s="37" t="str">
        <f>VLOOKUP(D2618, County_Data_CZones!$B$2:$F$3236, 5, FALSE)</f>
        <v>Hot-Humid</v>
      </c>
    </row>
    <row r="2619" ht="15.75" customHeight="1">
      <c r="A2619" s="32" t="s">
        <v>135</v>
      </c>
      <c r="B2619" s="32" t="s">
        <v>1159</v>
      </c>
      <c r="C2619" s="32" t="str">
        <f>vlookup(B2619,State_EMM_RowSums!$A$2:$B$52,2,FALSE)</f>
        <v>TX</v>
      </c>
      <c r="D2619" s="32">
        <v>48189.0</v>
      </c>
      <c r="E2619" s="33">
        <f>IF(NOT(ISBLANK(vlookup($D2619,Pop_Census_2023!$A$2:$E$3220,4,FALSE))),vlookup($D2619,Pop_Census_2023!$A$2:$E$3220,4,FALSE), vlookup($D2619,Pop_Census_2023!$A$2:$E$3220,5,FALSE))</f>
        <v>31761</v>
      </c>
      <c r="F2619" s="32">
        <v>1383880.0</v>
      </c>
      <c r="G2619" s="32">
        <v>48.0</v>
      </c>
      <c r="H2619" s="32" t="str">
        <f>VLOOKUP(D2619, Grid_Region_Mapping!$D$2:$F$5286, 3, FALSE)</f>
        <v>SPPS</v>
      </c>
      <c r="I2619" s="32">
        <v>7.0</v>
      </c>
      <c r="J2619" s="34" t="str">
        <f t="shared" si="1"/>
        <v>South</v>
      </c>
      <c r="K2619" s="35">
        <v>4.0</v>
      </c>
      <c r="L2619" s="35" t="s">
        <v>207</v>
      </c>
      <c r="M2619" s="36">
        <f>VLOOKUP(D2619, County_Data_CZones!$B$2:$F$3236, 2, FALSE)</f>
        <v>4</v>
      </c>
      <c r="N2619" s="37" t="str">
        <f>VLOOKUP(D2619, County_Data_CZones!$B$2:$F$3236, 5, FALSE)</f>
        <v>Mixed-Dry</v>
      </c>
    </row>
    <row r="2620" ht="15.75" customHeight="1">
      <c r="A2620" s="32" t="s">
        <v>511</v>
      </c>
      <c r="B2620" s="32" t="s">
        <v>1159</v>
      </c>
      <c r="C2620" s="32" t="str">
        <f>vlookup(B2620,State_EMM_RowSums!$A$2:$B$52,2,FALSE)</f>
        <v>TX</v>
      </c>
      <c r="D2620" s="32">
        <v>48191.0</v>
      </c>
      <c r="E2620" s="33">
        <f>IF(NOT(ISBLANK(vlookup($D2620,Pop_Census_2023!$A$2:$E$3220,4,FALSE))),vlookup($D2620,Pop_Census_2023!$A$2:$E$3220,4,FALSE), vlookup($D2620,Pop_Census_2023!$A$2:$E$3220,5,FALSE))</f>
        <v>2818</v>
      </c>
      <c r="F2620" s="32">
        <v>1383881.0</v>
      </c>
      <c r="G2620" s="32">
        <v>60.0</v>
      </c>
      <c r="H2620" s="32" t="str">
        <f>VLOOKUP(D2620, Grid_Region_Mapping!$D$2:$F$5286, 3, FALSE)</f>
        <v>TRE</v>
      </c>
      <c r="I2620" s="32">
        <v>7.0</v>
      </c>
      <c r="J2620" s="34" t="str">
        <f t="shared" si="1"/>
        <v>South</v>
      </c>
      <c r="K2620" s="35">
        <v>4.0</v>
      </c>
      <c r="L2620" s="35" t="s">
        <v>204</v>
      </c>
      <c r="M2620" s="36">
        <f>VLOOKUP(D2620, County_Data_CZones!$B$2:$F$3236, 2, FALSE)</f>
        <v>3</v>
      </c>
      <c r="N2620" s="37" t="str">
        <f>VLOOKUP(D2620, County_Data_CZones!$B$2:$F$3236, 5, FALSE)</f>
        <v>Hot-Dry</v>
      </c>
    </row>
    <row r="2621" ht="15.75" customHeight="1">
      <c r="A2621" s="32" t="s">
        <v>428</v>
      </c>
      <c r="B2621" s="32" t="s">
        <v>1159</v>
      </c>
      <c r="C2621" s="32" t="str">
        <f>vlookup(B2621,State_EMM_RowSums!$A$2:$B$52,2,FALSE)</f>
        <v>TX</v>
      </c>
      <c r="D2621" s="32">
        <v>48193.0</v>
      </c>
      <c r="E2621" s="33">
        <f>IF(NOT(ISBLANK(vlookup($D2621,Pop_Census_2023!$A$2:$E$3220,4,FALSE))),vlookup($D2621,Pop_Census_2023!$A$2:$E$3220,4,FALSE), vlookup($D2621,Pop_Census_2023!$A$2:$E$3220,5,FALSE))</f>
        <v>8619</v>
      </c>
      <c r="F2621" s="32">
        <v>1383882.0</v>
      </c>
      <c r="G2621" s="32">
        <v>63.0</v>
      </c>
      <c r="H2621" s="32" t="str">
        <f>VLOOKUP(D2621, Grid_Region_Mapping!$D$2:$F$5286, 3, FALSE)</f>
        <v>TRE</v>
      </c>
      <c r="I2621" s="32">
        <v>7.0</v>
      </c>
      <c r="J2621" s="34" t="str">
        <f t="shared" si="1"/>
        <v>South</v>
      </c>
      <c r="K2621" s="35">
        <v>5.0</v>
      </c>
      <c r="L2621" s="35" t="s">
        <v>102</v>
      </c>
      <c r="M2621" s="36">
        <f>VLOOKUP(D2621, County_Data_CZones!$B$2:$F$3236, 2, FALSE)</f>
        <v>3</v>
      </c>
      <c r="N2621" s="37" t="str">
        <f>VLOOKUP(D2621, County_Data_CZones!$B$2:$F$3236, 5, FALSE)</f>
        <v>Hot-Humid</v>
      </c>
    </row>
    <row r="2622" ht="15.75" customHeight="1">
      <c r="A2622" s="32" t="s">
        <v>1708</v>
      </c>
      <c r="B2622" s="32" t="s">
        <v>1159</v>
      </c>
      <c r="C2622" s="32" t="str">
        <f>vlookup(B2622,State_EMM_RowSums!$A$2:$B$52,2,FALSE)</f>
        <v>TX</v>
      </c>
      <c r="D2622" s="32">
        <v>48195.0</v>
      </c>
      <c r="E2622" s="33">
        <f>IF(NOT(ISBLANK(vlookup($D2622,Pop_Census_2023!$A$2:$E$3220,4,FALSE))),vlookup($D2622,Pop_Census_2023!$A$2:$E$3220,4,FALSE), vlookup($D2622,Pop_Census_2023!$A$2:$E$3220,5,FALSE))</f>
        <v>5071</v>
      </c>
      <c r="F2622" s="32">
        <v>1383883.0</v>
      </c>
      <c r="G2622" s="32">
        <v>48.0</v>
      </c>
      <c r="H2622" s="32" t="str">
        <f>VLOOKUP(D2622, Grid_Region_Mapping!$D$2:$F$5286, 3, FALSE)</f>
        <v>SPPS</v>
      </c>
      <c r="I2622" s="32">
        <v>7.0</v>
      </c>
      <c r="J2622" s="34" t="str">
        <f t="shared" si="1"/>
        <v>South</v>
      </c>
      <c r="K2622" s="35">
        <v>3.0</v>
      </c>
      <c r="L2622" s="35" t="s">
        <v>207</v>
      </c>
      <c r="M2622" s="36">
        <f>VLOOKUP(D2622, County_Data_CZones!$B$2:$F$3236, 2, FALSE)</f>
        <v>4</v>
      </c>
      <c r="N2622" s="37" t="str">
        <f>VLOOKUP(D2622, County_Data_CZones!$B$2:$F$3236, 5, FALSE)</f>
        <v>Mixed-Dry</v>
      </c>
    </row>
    <row r="2623" ht="15.75" customHeight="1">
      <c r="A2623" s="32" t="s">
        <v>1628</v>
      </c>
      <c r="B2623" s="32" t="s">
        <v>1159</v>
      </c>
      <c r="C2623" s="32" t="str">
        <f>vlookup(B2623,State_EMM_RowSums!$A$2:$B$52,2,FALSE)</f>
        <v>TX</v>
      </c>
      <c r="D2623" s="32">
        <v>48197.0</v>
      </c>
      <c r="E2623" s="33">
        <f>IF(NOT(ISBLANK(vlookup($D2623,Pop_Census_2023!$A$2:$E$3220,4,FALSE))),vlookup($D2623,Pop_Census_2023!$A$2:$E$3220,4,FALSE), vlookup($D2623,Pop_Census_2023!$A$2:$E$3220,5,FALSE))</f>
        <v>3490</v>
      </c>
      <c r="F2623" s="32">
        <v>1383884.0</v>
      </c>
      <c r="G2623" s="32">
        <v>60.0</v>
      </c>
      <c r="H2623" s="32" t="str">
        <f>VLOOKUP(D2623, Grid_Region_Mapping!$D$2:$F$5286, 3, FALSE)</f>
        <v>TRE</v>
      </c>
      <c r="I2623" s="32">
        <v>7.0</v>
      </c>
      <c r="J2623" s="34" t="str">
        <f t="shared" si="1"/>
        <v>South</v>
      </c>
      <c r="K2623" s="35">
        <v>5.0</v>
      </c>
      <c r="L2623" s="35" t="s">
        <v>204</v>
      </c>
      <c r="M2623" s="36">
        <f>VLOOKUP(D2623, County_Data_CZones!$B$2:$F$3236, 2, FALSE)</f>
        <v>3</v>
      </c>
      <c r="N2623" s="37" t="str">
        <f>VLOOKUP(D2623, County_Data_CZones!$B$2:$F$3236, 5, FALSE)</f>
        <v>Hot-Dry</v>
      </c>
    </row>
    <row r="2624" ht="15.75" customHeight="1">
      <c r="A2624" s="32" t="s">
        <v>626</v>
      </c>
      <c r="B2624" s="32" t="s">
        <v>1159</v>
      </c>
      <c r="C2624" s="32" t="str">
        <f>vlookup(B2624,State_EMM_RowSums!$A$2:$B$52,2,FALSE)</f>
        <v>TX</v>
      </c>
      <c r="D2624" s="32">
        <v>48199.0</v>
      </c>
      <c r="E2624" s="33">
        <f>IF(NOT(ISBLANK(vlookup($D2624,Pop_Census_2023!$A$2:$E$3220,4,FALSE))),vlookup($D2624,Pop_Census_2023!$A$2:$E$3220,4,FALSE), vlookup($D2624,Pop_Census_2023!$A$2:$E$3220,5,FALSE))</f>
        <v>58261</v>
      </c>
      <c r="F2624" s="32">
        <v>1383885.0</v>
      </c>
      <c r="G2624" s="32">
        <v>66.0</v>
      </c>
      <c r="H2624" s="32" t="str">
        <f>VLOOKUP(D2624, Grid_Region_Mapping!$D$2:$F$5286, 3, FALSE)</f>
        <v>MISS</v>
      </c>
      <c r="I2624" s="32">
        <v>7.0</v>
      </c>
      <c r="J2624" s="34" t="str">
        <f t="shared" si="1"/>
        <v>South</v>
      </c>
      <c r="K2624" s="35">
        <v>5.0</v>
      </c>
      <c r="L2624" s="35" t="s">
        <v>104</v>
      </c>
      <c r="M2624" s="36">
        <f>VLOOKUP(D2624, County_Data_CZones!$B$2:$F$3236, 2, FALSE)</f>
        <v>2</v>
      </c>
      <c r="N2624" s="37" t="str">
        <f>VLOOKUP(D2624, County_Data_CZones!$B$2:$F$3236, 5, FALSE)</f>
        <v>Hot-Humid</v>
      </c>
    </row>
    <row r="2625" ht="15.75" customHeight="1">
      <c r="A2625" s="32" t="s">
        <v>514</v>
      </c>
      <c r="B2625" s="32" t="s">
        <v>1159</v>
      </c>
      <c r="C2625" s="32" t="str">
        <f>vlookup(B2625,State_EMM_RowSums!$A$2:$B$52,2,FALSE)</f>
        <v>TX</v>
      </c>
      <c r="D2625" s="32">
        <v>48201.0</v>
      </c>
      <c r="E2625" s="33">
        <f>IF(NOT(ISBLANK(vlookup($D2625,Pop_Census_2023!$A$2:$E$3220,4,FALSE))),vlookup($D2625,Pop_Census_2023!$A$2:$E$3220,4,FALSE), vlookup($D2625,Pop_Census_2023!$A$2:$E$3220,5,FALSE))</f>
        <v>4835125</v>
      </c>
      <c r="F2625" s="32">
        <v>1383886.0</v>
      </c>
      <c r="G2625" s="32">
        <v>67.0</v>
      </c>
      <c r="H2625" s="32" t="str">
        <f>VLOOKUP(D2625, Grid_Region_Mapping!$D$2:$F$5286, 3, FALSE)</f>
        <v>TRE</v>
      </c>
      <c r="I2625" s="32">
        <v>7.0</v>
      </c>
      <c r="J2625" s="34" t="str">
        <f t="shared" si="1"/>
        <v>South</v>
      </c>
      <c r="K2625" s="35">
        <v>5.0</v>
      </c>
      <c r="L2625" s="35" t="s">
        <v>104</v>
      </c>
      <c r="M2625" s="36">
        <f>VLOOKUP(D2625, County_Data_CZones!$B$2:$F$3236, 2, FALSE)</f>
        <v>2</v>
      </c>
      <c r="N2625" s="37" t="str">
        <f>VLOOKUP(D2625, County_Data_CZones!$B$2:$F$3236, 5, FALSE)</f>
        <v>Hot-Humid</v>
      </c>
    </row>
    <row r="2626" ht="15.75" customHeight="1">
      <c r="A2626" s="32" t="s">
        <v>673</v>
      </c>
      <c r="B2626" s="32" t="s">
        <v>1159</v>
      </c>
      <c r="C2626" s="32" t="str">
        <f>vlookup(B2626,State_EMM_RowSums!$A$2:$B$52,2,FALSE)</f>
        <v>TX</v>
      </c>
      <c r="D2626" s="32">
        <v>48203.0</v>
      </c>
      <c r="E2626" s="33">
        <f>IF(NOT(ISBLANK(vlookup($D2626,Pop_Census_2023!$A$2:$E$3220,4,FALSE))),vlookup($D2626,Pop_Census_2023!$A$2:$E$3220,4,FALSE), vlookup($D2626,Pop_Census_2023!$A$2:$E$3220,5,FALSE))</f>
        <v>70895</v>
      </c>
      <c r="F2626" s="32">
        <v>1383887.0</v>
      </c>
      <c r="G2626" s="32">
        <v>57.0</v>
      </c>
      <c r="H2626" s="32" t="str">
        <f>VLOOKUP(D2626, Grid_Region_Mapping!$D$2:$F$5286, 3, FALSE)</f>
        <v>SPPS</v>
      </c>
      <c r="I2626" s="32">
        <v>7.0</v>
      </c>
      <c r="J2626" s="34" t="str">
        <f t="shared" si="1"/>
        <v>South</v>
      </c>
      <c r="K2626" s="35">
        <v>5.0</v>
      </c>
      <c r="L2626" s="35" t="s">
        <v>102</v>
      </c>
      <c r="M2626" s="36">
        <f>VLOOKUP(D2626, County_Data_CZones!$B$2:$F$3236, 2, FALSE)</f>
        <v>3</v>
      </c>
      <c r="N2626" s="37" t="str">
        <f>VLOOKUP(D2626, County_Data_CZones!$B$2:$F$3236, 5, FALSE)</f>
        <v>Hot-Humid</v>
      </c>
    </row>
    <row r="2627" ht="15.75" customHeight="1">
      <c r="A2627" s="32" t="s">
        <v>1709</v>
      </c>
      <c r="B2627" s="32" t="s">
        <v>1159</v>
      </c>
      <c r="C2627" s="32" t="str">
        <f>vlookup(B2627,State_EMM_RowSums!$A$2:$B$52,2,FALSE)</f>
        <v>TX</v>
      </c>
      <c r="D2627" s="32">
        <v>48205.0</v>
      </c>
      <c r="E2627" s="33">
        <f>IF(NOT(ISBLANK(vlookup($D2627,Pop_Census_2023!$A$2:$E$3220,4,FALSE))),vlookup($D2627,Pop_Census_2023!$A$2:$E$3220,4,FALSE), vlookup($D2627,Pop_Census_2023!$A$2:$E$3220,5,FALSE))</f>
        <v>5145</v>
      </c>
      <c r="F2627" s="32">
        <v>1383888.0</v>
      </c>
      <c r="G2627" s="32">
        <v>48.0</v>
      </c>
      <c r="H2627" s="32" t="str">
        <f>VLOOKUP(D2627, Grid_Region_Mapping!$D$2:$F$5286, 3, FALSE)</f>
        <v>SPPS</v>
      </c>
      <c r="I2627" s="32">
        <v>7.0</v>
      </c>
      <c r="J2627" s="34" t="str">
        <f t="shared" si="1"/>
        <v>South</v>
      </c>
      <c r="K2627" s="35">
        <v>3.0</v>
      </c>
      <c r="L2627" s="35" t="s">
        <v>207</v>
      </c>
      <c r="M2627" s="36">
        <f>VLOOKUP(D2627, County_Data_CZones!$B$2:$F$3236, 2, FALSE)</f>
        <v>4</v>
      </c>
      <c r="N2627" s="37" t="str">
        <f>VLOOKUP(D2627, County_Data_CZones!$B$2:$F$3236, 5, FALSE)</f>
        <v>Mixed-Dry</v>
      </c>
    </row>
    <row r="2628" ht="15.75" customHeight="1">
      <c r="A2628" s="32" t="s">
        <v>774</v>
      </c>
      <c r="B2628" s="32" t="s">
        <v>1159</v>
      </c>
      <c r="C2628" s="32" t="str">
        <f>vlookup(B2628,State_EMM_RowSums!$A$2:$B$52,2,FALSE)</f>
        <v>TX</v>
      </c>
      <c r="D2628" s="32">
        <v>48207.0</v>
      </c>
      <c r="E2628" s="33">
        <f>IF(NOT(ISBLANK(vlookup($D2628,Pop_Census_2023!$A$2:$E$3220,4,FALSE))),vlookup($D2628,Pop_Census_2023!$A$2:$E$3220,4,FALSE), vlookup($D2628,Pop_Census_2023!$A$2:$E$3220,5,FALSE))</f>
        <v>5385</v>
      </c>
      <c r="F2628" s="32">
        <v>1383889.0</v>
      </c>
      <c r="G2628" s="32">
        <v>60.0</v>
      </c>
      <c r="H2628" s="32" t="str">
        <f>VLOOKUP(D2628, Grid_Region_Mapping!$D$2:$F$5286, 3, FALSE)</f>
        <v>TRE</v>
      </c>
      <c r="I2628" s="32">
        <v>7.0</v>
      </c>
      <c r="J2628" s="34" t="str">
        <f t="shared" si="1"/>
        <v>South</v>
      </c>
      <c r="K2628" s="35">
        <v>5.0</v>
      </c>
      <c r="L2628" s="35" t="s">
        <v>204</v>
      </c>
      <c r="M2628" s="36">
        <f>VLOOKUP(D2628, County_Data_CZones!$B$2:$F$3236, 2, FALSE)</f>
        <v>3</v>
      </c>
      <c r="N2628" s="37" t="str">
        <f>VLOOKUP(D2628, County_Data_CZones!$B$2:$F$3236, 5, FALSE)</f>
        <v>Hot-Dry</v>
      </c>
    </row>
    <row r="2629" ht="15.75" customHeight="1">
      <c r="A2629" s="32" t="s">
        <v>1710</v>
      </c>
      <c r="B2629" s="32" t="s">
        <v>1159</v>
      </c>
      <c r="C2629" s="32" t="str">
        <f>vlookup(B2629,State_EMM_RowSums!$A$2:$B$52,2,FALSE)</f>
        <v>TX</v>
      </c>
      <c r="D2629" s="32">
        <v>48209.0</v>
      </c>
      <c r="E2629" s="33">
        <f>IF(NOT(ISBLANK(vlookup($D2629,Pop_Census_2023!$A$2:$E$3220,4,FALSE))),vlookup($D2629,Pop_Census_2023!$A$2:$E$3220,4,FALSE), vlookup($D2629,Pop_Census_2023!$A$2:$E$3220,5,FALSE))</f>
        <v>280486</v>
      </c>
      <c r="F2629" s="32">
        <v>1383890.0</v>
      </c>
      <c r="G2629" s="32">
        <v>64.0</v>
      </c>
      <c r="H2629" s="32" t="str">
        <f>VLOOKUP(D2629, Grid_Region_Mapping!$D$2:$F$5286, 3, FALSE)</f>
        <v>TRE</v>
      </c>
      <c r="I2629" s="32">
        <v>7.0</v>
      </c>
      <c r="J2629" s="34" t="str">
        <f t="shared" si="1"/>
        <v>South</v>
      </c>
      <c r="K2629" s="35">
        <v>5.0</v>
      </c>
      <c r="L2629" s="35" t="s">
        <v>104</v>
      </c>
      <c r="M2629" s="36">
        <f>VLOOKUP(D2629, County_Data_CZones!$B$2:$F$3236, 2, FALSE)</f>
        <v>2</v>
      </c>
      <c r="N2629" s="37" t="str">
        <f>VLOOKUP(D2629, County_Data_CZones!$B$2:$F$3236, 5, FALSE)</f>
        <v>Hot-Humid</v>
      </c>
    </row>
    <row r="2630" ht="15.75" customHeight="1">
      <c r="A2630" s="32" t="s">
        <v>1711</v>
      </c>
      <c r="B2630" s="32" t="s">
        <v>1159</v>
      </c>
      <c r="C2630" s="32" t="str">
        <f>vlookup(B2630,State_EMM_RowSums!$A$2:$B$52,2,FALSE)</f>
        <v>TX</v>
      </c>
      <c r="D2630" s="32">
        <v>48211.0</v>
      </c>
      <c r="E2630" s="33">
        <f>IF(NOT(ISBLANK(vlookup($D2630,Pop_Census_2023!$A$2:$E$3220,4,FALSE))),vlookup($D2630,Pop_Census_2023!$A$2:$E$3220,4,FALSE), vlookup($D2630,Pop_Census_2023!$A$2:$E$3220,5,FALSE))</f>
        <v>3189</v>
      </c>
      <c r="F2630" s="32">
        <v>1383891.0</v>
      </c>
      <c r="G2630" s="32">
        <v>48.0</v>
      </c>
      <c r="H2630" s="32" t="str">
        <f>VLOOKUP(D2630, Grid_Region_Mapping!$D$2:$F$5286, 3, FALSE)</f>
        <v>SPPS</v>
      </c>
      <c r="I2630" s="32">
        <v>7.0</v>
      </c>
      <c r="J2630" s="34" t="str">
        <f t="shared" si="1"/>
        <v>South</v>
      </c>
      <c r="K2630" s="35">
        <v>3.0</v>
      </c>
      <c r="L2630" s="35" t="s">
        <v>204</v>
      </c>
      <c r="M2630" s="36">
        <f>VLOOKUP(D2630, County_Data_CZones!$B$2:$F$3236, 2, FALSE)</f>
        <v>3</v>
      </c>
      <c r="N2630" s="37" t="str">
        <f>VLOOKUP(D2630, County_Data_CZones!$B$2:$F$3236, 5, FALSE)</f>
        <v>Hot-Dry</v>
      </c>
    </row>
    <row r="2631" ht="15.75" customHeight="1">
      <c r="A2631" s="32" t="s">
        <v>627</v>
      </c>
      <c r="B2631" s="32" t="s">
        <v>1159</v>
      </c>
      <c r="C2631" s="32" t="str">
        <f>vlookup(B2631,State_EMM_RowSums!$A$2:$B$52,2,FALSE)</f>
        <v>TX</v>
      </c>
      <c r="D2631" s="32">
        <v>48213.0</v>
      </c>
      <c r="E2631" s="33">
        <f>IF(NOT(ISBLANK(vlookup($D2631,Pop_Census_2023!$A$2:$E$3220,4,FALSE))),vlookup($D2631,Pop_Census_2023!$A$2:$E$3220,4,FALSE), vlookup($D2631,Pop_Census_2023!$A$2:$E$3220,5,FALSE))</f>
        <v>86158</v>
      </c>
      <c r="F2631" s="32">
        <v>1383892.0</v>
      </c>
      <c r="G2631" s="32">
        <v>63.0</v>
      </c>
      <c r="H2631" s="32" t="str">
        <f>VLOOKUP(D2631, Grid_Region_Mapping!$D$2:$F$5286, 3, FALSE)</f>
        <v>TRE</v>
      </c>
      <c r="I2631" s="32">
        <v>7.0</v>
      </c>
      <c r="J2631" s="34" t="str">
        <f t="shared" si="1"/>
        <v>South</v>
      </c>
      <c r="K2631" s="35">
        <v>5.0</v>
      </c>
      <c r="L2631" s="35" t="s">
        <v>102</v>
      </c>
      <c r="M2631" s="36">
        <f>VLOOKUP(D2631, County_Data_CZones!$B$2:$F$3236, 2, FALSE)</f>
        <v>3</v>
      </c>
      <c r="N2631" s="37" t="str">
        <f>VLOOKUP(D2631, County_Data_CZones!$B$2:$F$3236, 5, FALSE)</f>
        <v>Hot-Humid</v>
      </c>
    </row>
    <row r="2632" ht="15.75" customHeight="1">
      <c r="A2632" s="32" t="s">
        <v>1281</v>
      </c>
      <c r="B2632" s="32" t="s">
        <v>1159</v>
      </c>
      <c r="C2632" s="32" t="str">
        <f>vlookup(B2632,State_EMM_RowSums!$A$2:$B$52,2,FALSE)</f>
        <v>TX</v>
      </c>
      <c r="D2632" s="32">
        <v>48215.0</v>
      </c>
      <c r="E2632" s="33">
        <f>IF(NOT(ISBLANK(vlookup($D2632,Pop_Census_2023!$A$2:$E$3220,4,FALSE))),vlookup($D2632,Pop_Census_2023!$A$2:$E$3220,4,FALSE), vlookup($D2632,Pop_Census_2023!$A$2:$E$3220,5,FALSE))</f>
        <v>898471</v>
      </c>
      <c r="F2632" s="32">
        <v>1383893.0</v>
      </c>
      <c r="G2632" s="32">
        <v>65.0</v>
      </c>
      <c r="H2632" s="32" t="str">
        <f>VLOOKUP(D2632, Grid_Region_Mapping!$D$2:$F$5286, 3, FALSE)</f>
        <v>TRE</v>
      </c>
      <c r="I2632" s="32">
        <v>7.0</v>
      </c>
      <c r="J2632" s="34" t="str">
        <f t="shared" si="1"/>
        <v>South</v>
      </c>
      <c r="K2632" s="35">
        <v>5.0</v>
      </c>
      <c r="L2632" s="35" t="s">
        <v>104</v>
      </c>
      <c r="M2632" s="36">
        <f>VLOOKUP(D2632, County_Data_CZones!$B$2:$F$3236, 2, FALSE)</f>
        <v>2</v>
      </c>
      <c r="N2632" s="37" t="str">
        <f>VLOOKUP(D2632, County_Data_CZones!$B$2:$F$3236, 5, FALSE)</f>
        <v>Hot-Humid</v>
      </c>
    </row>
    <row r="2633" ht="15.75" customHeight="1">
      <c r="A2633" s="32" t="s">
        <v>1176</v>
      </c>
      <c r="B2633" s="32" t="s">
        <v>1159</v>
      </c>
      <c r="C2633" s="32" t="str">
        <f>vlookup(B2633,State_EMM_RowSums!$A$2:$B$52,2,FALSE)</f>
        <v>TX</v>
      </c>
      <c r="D2633" s="32">
        <v>48217.0</v>
      </c>
      <c r="E2633" s="33">
        <f>IF(NOT(ISBLANK(vlookup($D2633,Pop_Census_2023!$A$2:$E$3220,4,FALSE))),vlookup($D2633,Pop_Census_2023!$A$2:$E$3220,4,FALSE), vlookup($D2633,Pop_Census_2023!$A$2:$E$3220,5,FALSE))</f>
        <v>38101</v>
      </c>
      <c r="F2633" s="32">
        <v>1383894.0</v>
      </c>
      <c r="G2633" s="32">
        <v>63.0</v>
      </c>
      <c r="H2633" s="32" t="str">
        <f>VLOOKUP(D2633, Grid_Region_Mapping!$D$2:$F$5286, 3, FALSE)</f>
        <v>TRE</v>
      </c>
      <c r="I2633" s="32">
        <v>7.0</v>
      </c>
      <c r="J2633" s="34" t="str">
        <f t="shared" si="1"/>
        <v>South</v>
      </c>
      <c r="K2633" s="35">
        <v>5.0</v>
      </c>
      <c r="L2633" s="35" t="s">
        <v>104</v>
      </c>
      <c r="M2633" s="36">
        <f>VLOOKUP(D2633, County_Data_CZones!$B$2:$F$3236, 2, FALSE)</f>
        <v>2</v>
      </c>
      <c r="N2633" s="37" t="str">
        <f>VLOOKUP(D2633, County_Data_CZones!$B$2:$F$3236, 5, FALSE)</f>
        <v>Hot-Humid</v>
      </c>
    </row>
    <row r="2634" ht="15.75" customHeight="1">
      <c r="A2634" s="32" t="s">
        <v>1712</v>
      </c>
      <c r="B2634" s="32" t="s">
        <v>1159</v>
      </c>
      <c r="C2634" s="32" t="str">
        <f>vlookup(B2634,State_EMM_RowSums!$A$2:$B$52,2,FALSE)</f>
        <v>TX</v>
      </c>
      <c r="D2634" s="32">
        <v>48219.0</v>
      </c>
      <c r="E2634" s="33">
        <f>IF(NOT(ISBLANK(vlookup($D2634,Pop_Census_2023!$A$2:$E$3220,4,FALSE))),vlookup($D2634,Pop_Census_2023!$A$2:$E$3220,4,FALSE), vlookup($D2634,Pop_Census_2023!$A$2:$E$3220,5,FALSE))</f>
        <v>21460</v>
      </c>
      <c r="F2634" s="32">
        <v>1383895.0</v>
      </c>
      <c r="G2634" s="32">
        <v>48.0</v>
      </c>
      <c r="H2634" s="32" t="str">
        <f>VLOOKUP(D2634, Grid_Region_Mapping!$D$2:$F$5286, 3, FALSE)</f>
        <v>SPPS</v>
      </c>
      <c r="I2634" s="32">
        <v>7.0</v>
      </c>
      <c r="J2634" s="34" t="str">
        <f t="shared" si="1"/>
        <v>South</v>
      </c>
      <c r="K2634" s="35">
        <v>4.0</v>
      </c>
      <c r="L2634" s="35" t="s">
        <v>207</v>
      </c>
      <c r="M2634" s="36">
        <f>VLOOKUP(D2634, County_Data_CZones!$B$2:$F$3236, 2, FALSE)</f>
        <v>4</v>
      </c>
      <c r="N2634" s="37" t="str">
        <f>VLOOKUP(D2634, County_Data_CZones!$B$2:$F$3236, 5, FALSE)</f>
        <v>Mixed-Dry</v>
      </c>
    </row>
    <row r="2635" ht="15.75" customHeight="1">
      <c r="A2635" s="32" t="s">
        <v>1713</v>
      </c>
      <c r="B2635" s="32" t="s">
        <v>1159</v>
      </c>
      <c r="C2635" s="32" t="str">
        <f>vlookup(B2635,State_EMM_RowSums!$A$2:$B$52,2,FALSE)</f>
        <v>TX</v>
      </c>
      <c r="D2635" s="32">
        <v>48221.0</v>
      </c>
      <c r="E2635" s="33">
        <f>IF(NOT(ISBLANK(vlookup($D2635,Pop_Census_2023!$A$2:$E$3220,4,FALSE))),vlookup($D2635,Pop_Census_2023!$A$2:$E$3220,4,FALSE), vlookup($D2635,Pop_Census_2023!$A$2:$E$3220,5,FALSE))</f>
        <v>67774</v>
      </c>
      <c r="F2635" s="32">
        <v>1383896.0</v>
      </c>
      <c r="G2635" s="32">
        <v>63.0</v>
      </c>
      <c r="H2635" s="32" t="str">
        <f>VLOOKUP(D2635, Grid_Region_Mapping!$D$2:$F$5286, 3, FALSE)</f>
        <v>TRE</v>
      </c>
      <c r="I2635" s="32">
        <v>7.0</v>
      </c>
      <c r="J2635" s="34" t="str">
        <f t="shared" si="1"/>
        <v>South</v>
      </c>
      <c r="K2635" s="35">
        <v>5.0</v>
      </c>
      <c r="L2635" s="35" t="s">
        <v>102</v>
      </c>
      <c r="M2635" s="36">
        <f>VLOOKUP(D2635, County_Data_CZones!$B$2:$F$3236, 2, FALSE)</f>
        <v>3</v>
      </c>
      <c r="N2635" s="37" t="str">
        <f>VLOOKUP(D2635, County_Data_CZones!$B$2:$F$3236, 5, FALSE)</f>
        <v>Hot-Humid</v>
      </c>
    </row>
    <row r="2636" ht="15.75" customHeight="1">
      <c r="A2636" s="32" t="s">
        <v>846</v>
      </c>
      <c r="B2636" s="32" t="s">
        <v>1159</v>
      </c>
      <c r="C2636" s="32" t="str">
        <f>vlookup(B2636,State_EMM_RowSums!$A$2:$B$52,2,FALSE)</f>
        <v>TX</v>
      </c>
      <c r="D2636" s="32">
        <v>48223.0</v>
      </c>
      <c r="E2636" s="33">
        <f>IF(NOT(ISBLANK(vlookup($D2636,Pop_Census_2023!$A$2:$E$3220,4,FALSE))),vlookup($D2636,Pop_Census_2023!$A$2:$E$3220,4,FALSE), vlookup($D2636,Pop_Census_2023!$A$2:$E$3220,5,FALSE))</f>
        <v>38172</v>
      </c>
      <c r="F2636" s="32">
        <v>1383897.0</v>
      </c>
      <c r="G2636" s="32">
        <v>63.0</v>
      </c>
      <c r="H2636" s="32" t="str">
        <f>VLOOKUP(D2636, Grid_Region_Mapping!$D$2:$F$5286, 3, FALSE)</f>
        <v>TRE</v>
      </c>
      <c r="I2636" s="32">
        <v>7.0</v>
      </c>
      <c r="J2636" s="34" t="str">
        <f t="shared" si="1"/>
        <v>South</v>
      </c>
      <c r="K2636" s="35">
        <v>5.0</v>
      </c>
      <c r="L2636" s="35" t="s">
        <v>102</v>
      </c>
      <c r="M2636" s="36">
        <f>VLOOKUP(D2636, County_Data_CZones!$B$2:$F$3236, 2, FALSE)</f>
        <v>3</v>
      </c>
      <c r="N2636" s="37" t="str">
        <f>VLOOKUP(D2636, County_Data_CZones!$B$2:$F$3236, 5, FALSE)</f>
        <v>Hot-Humid</v>
      </c>
    </row>
    <row r="2637" ht="15.75" customHeight="1">
      <c r="A2637" s="32" t="s">
        <v>137</v>
      </c>
      <c r="B2637" s="32" t="s">
        <v>1159</v>
      </c>
      <c r="C2637" s="32" t="str">
        <f>vlookup(B2637,State_EMM_RowSums!$A$2:$B$52,2,FALSE)</f>
        <v>TX</v>
      </c>
      <c r="D2637" s="32">
        <v>48225.0</v>
      </c>
      <c r="E2637" s="33">
        <f>IF(NOT(ISBLANK(vlookup($D2637,Pop_Census_2023!$A$2:$E$3220,4,FALSE))),vlookup($D2637,Pop_Census_2023!$A$2:$E$3220,4,FALSE), vlookup($D2637,Pop_Census_2023!$A$2:$E$3220,5,FALSE))</f>
        <v>22066</v>
      </c>
      <c r="F2637" s="32">
        <v>1383898.0</v>
      </c>
      <c r="G2637" s="32">
        <v>63.0</v>
      </c>
      <c r="H2637" s="32" t="str">
        <f>VLOOKUP(D2637, Grid_Region_Mapping!$D$2:$F$5286, 3, FALSE)</f>
        <v>TRE</v>
      </c>
      <c r="I2637" s="32">
        <v>7.0</v>
      </c>
      <c r="J2637" s="34" t="str">
        <f t="shared" si="1"/>
        <v>South</v>
      </c>
      <c r="K2637" s="35">
        <v>5.0</v>
      </c>
      <c r="L2637" s="35" t="s">
        <v>104</v>
      </c>
      <c r="M2637" s="36">
        <f>VLOOKUP(D2637, County_Data_CZones!$B$2:$F$3236, 2, FALSE)</f>
        <v>2</v>
      </c>
      <c r="N2637" s="37" t="str">
        <f>VLOOKUP(D2637, County_Data_CZones!$B$2:$F$3236, 5, FALSE)</f>
        <v>Hot-Humid</v>
      </c>
    </row>
    <row r="2638" ht="15.75" customHeight="1">
      <c r="A2638" s="32" t="s">
        <v>245</v>
      </c>
      <c r="B2638" s="32" t="s">
        <v>1159</v>
      </c>
      <c r="C2638" s="32" t="str">
        <f>vlookup(B2638,State_EMM_RowSums!$A$2:$B$52,2,FALSE)</f>
        <v>TX</v>
      </c>
      <c r="D2638" s="32">
        <v>48227.0</v>
      </c>
      <c r="E2638" s="33">
        <f>IF(NOT(ISBLANK(vlookup($D2638,Pop_Census_2023!$A$2:$E$3220,4,FALSE))),vlookup($D2638,Pop_Census_2023!$A$2:$E$3220,4,FALSE), vlookup($D2638,Pop_Census_2023!$A$2:$E$3220,5,FALSE))</f>
        <v>30554</v>
      </c>
      <c r="F2638" s="32">
        <v>1383899.0</v>
      </c>
      <c r="G2638" s="32">
        <v>60.0</v>
      </c>
      <c r="H2638" s="32" t="str">
        <f>VLOOKUP(D2638, Grid_Region_Mapping!$D$2:$F$5286, 3, FALSE)</f>
        <v>TRE</v>
      </c>
      <c r="I2638" s="32">
        <v>7.0</v>
      </c>
      <c r="J2638" s="34" t="str">
        <f t="shared" si="1"/>
        <v>South</v>
      </c>
      <c r="K2638" s="35">
        <v>5.0</v>
      </c>
      <c r="L2638" s="35" t="s">
        <v>204</v>
      </c>
      <c r="M2638" s="36">
        <f>VLOOKUP(D2638, County_Data_CZones!$B$2:$F$3236, 2, FALSE)</f>
        <v>3</v>
      </c>
      <c r="N2638" s="37" t="str">
        <f>VLOOKUP(D2638, County_Data_CZones!$B$2:$F$3236, 5, FALSE)</f>
        <v>Hot-Dry</v>
      </c>
    </row>
    <row r="2639" ht="15.75" customHeight="1">
      <c r="A2639" s="32" t="s">
        <v>1714</v>
      </c>
      <c r="B2639" s="32" t="s">
        <v>1159</v>
      </c>
      <c r="C2639" s="32" t="str">
        <f>vlookup(B2639,State_EMM_RowSums!$A$2:$B$52,2,FALSE)</f>
        <v>TX</v>
      </c>
      <c r="D2639" s="32">
        <v>48229.0</v>
      </c>
      <c r="E2639" s="33">
        <f>IF(NOT(ISBLANK(vlookup($D2639,Pop_Census_2023!$A$2:$E$3220,4,FALSE))),vlookup($D2639,Pop_Census_2023!$A$2:$E$3220,4,FALSE), vlookup($D2639,Pop_Census_2023!$A$2:$E$3220,5,FALSE))</f>
        <v>3451</v>
      </c>
      <c r="F2639" s="32">
        <v>1383900.0</v>
      </c>
      <c r="G2639" s="32">
        <v>61.0</v>
      </c>
      <c r="H2639" s="32" t="str">
        <f>VLOOKUP(D2639, Grid_Region_Mapping!$D$2:$F$5286, 3, FALSE)</f>
        <v>SRSG</v>
      </c>
      <c r="I2639" s="32">
        <v>7.0</v>
      </c>
      <c r="J2639" s="34" t="str">
        <f t="shared" si="1"/>
        <v>South</v>
      </c>
      <c r="K2639" s="35">
        <v>5.0</v>
      </c>
      <c r="L2639" s="35" t="s">
        <v>204</v>
      </c>
      <c r="M2639" s="36">
        <f>VLOOKUP(D2639, County_Data_CZones!$B$2:$F$3236, 2, FALSE)</f>
        <v>3</v>
      </c>
      <c r="N2639" s="37" t="str">
        <f>VLOOKUP(D2639, County_Data_CZones!$B$2:$F$3236, 5, FALSE)</f>
        <v>Hot-Dry</v>
      </c>
    </row>
    <row r="2640" ht="15.75" customHeight="1">
      <c r="A2640" s="32" t="s">
        <v>1715</v>
      </c>
      <c r="B2640" s="32" t="s">
        <v>1159</v>
      </c>
      <c r="C2640" s="32" t="str">
        <f>vlookup(B2640,State_EMM_RowSums!$A$2:$B$52,2,FALSE)</f>
        <v>TX</v>
      </c>
      <c r="D2640" s="32">
        <v>48231.0</v>
      </c>
      <c r="E2640" s="33">
        <f>IF(NOT(ISBLANK(vlookup($D2640,Pop_Census_2023!$A$2:$E$3220,4,FALSE))),vlookup($D2640,Pop_Census_2023!$A$2:$E$3220,4,FALSE), vlookup($D2640,Pop_Census_2023!$A$2:$E$3220,5,FALSE))</f>
        <v>113347</v>
      </c>
      <c r="F2640" s="32">
        <v>1383901.0</v>
      </c>
      <c r="G2640" s="32">
        <v>63.0</v>
      </c>
      <c r="H2640" s="32" t="str">
        <f>VLOOKUP(D2640, Grid_Region_Mapping!$D$2:$F$5286, 3, FALSE)</f>
        <v>TRE</v>
      </c>
      <c r="I2640" s="32">
        <v>7.0</v>
      </c>
      <c r="J2640" s="34" t="str">
        <f t="shared" si="1"/>
        <v>South</v>
      </c>
      <c r="K2640" s="35">
        <v>5.0</v>
      </c>
      <c r="L2640" s="35" t="s">
        <v>102</v>
      </c>
      <c r="M2640" s="36">
        <f>VLOOKUP(D2640, County_Data_CZones!$B$2:$F$3236, 2, FALSE)</f>
        <v>3</v>
      </c>
      <c r="N2640" s="37" t="str">
        <f>VLOOKUP(D2640, County_Data_CZones!$B$2:$F$3236, 5, FALSE)</f>
        <v>Hot-Humid</v>
      </c>
    </row>
    <row r="2641" ht="15.75" customHeight="1">
      <c r="A2641" s="32" t="s">
        <v>1597</v>
      </c>
      <c r="B2641" s="32" t="s">
        <v>1159</v>
      </c>
      <c r="C2641" s="32" t="str">
        <f>vlookup(B2641,State_EMM_RowSums!$A$2:$B$52,2,FALSE)</f>
        <v>TX</v>
      </c>
      <c r="D2641" s="32">
        <v>48233.0</v>
      </c>
      <c r="E2641" s="33">
        <f>IF(NOT(ISBLANK(vlookup($D2641,Pop_Census_2023!$A$2:$E$3220,4,FALSE))),vlookup($D2641,Pop_Census_2023!$A$2:$E$3220,4,FALSE), vlookup($D2641,Pop_Census_2023!$A$2:$E$3220,5,FALSE))</f>
        <v>20033</v>
      </c>
      <c r="F2641" s="32">
        <v>1383902.0</v>
      </c>
      <c r="G2641" s="32">
        <v>48.0</v>
      </c>
      <c r="H2641" s="32" t="str">
        <f>VLOOKUP(D2641, Grid_Region_Mapping!$D$2:$F$5286, 3, FALSE)</f>
        <v>SPPS</v>
      </c>
      <c r="I2641" s="32">
        <v>7.0</v>
      </c>
      <c r="J2641" s="34" t="str">
        <f t="shared" si="1"/>
        <v>South</v>
      </c>
      <c r="K2641" s="35">
        <v>3.0</v>
      </c>
      <c r="L2641" s="35" t="s">
        <v>207</v>
      </c>
      <c r="M2641" s="36">
        <f>VLOOKUP(D2641, County_Data_CZones!$B$2:$F$3236, 2, FALSE)</f>
        <v>4</v>
      </c>
      <c r="N2641" s="37" t="str">
        <f>VLOOKUP(D2641, County_Data_CZones!$B$2:$F$3236, 5, FALSE)</f>
        <v>Mixed-Dry</v>
      </c>
    </row>
    <row r="2642" ht="15.75" customHeight="1">
      <c r="A2642" s="32" t="s">
        <v>1716</v>
      </c>
      <c r="B2642" s="32" t="s">
        <v>1159</v>
      </c>
      <c r="C2642" s="32" t="str">
        <f>vlookup(B2642,State_EMM_RowSums!$A$2:$B$52,2,FALSE)</f>
        <v>TX</v>
      </c>
      <c r="D2642" s="32">
        <v>48235.0</v>
      </c>
      <c r="E2642" s="33">
        <f>IF(NOT(ISBLANK(vlookup($D2642,Pop_Census_2023!$A$2:$E$3220,4,FALSE))),vlookup($D2642,Pop_Census_2023!$A$2:$E$3220,4,FALSE), vlookup($D2642,Pop_Census_2023!$A$2:$E$3220,5,FALSE))</f>
        <v>1549</v>
      </c>
      <c r="F2642" s="32">
        <v>1383903.0</v>
      </c>
      <c r="G2642" s="32">
        <v>61.0</v>
      </c>
      <c r="H2642" s="32" t="str">
        <f>VLOOKUP(D2642, Grid_Region_Mapping!$D$2:$F$5286, 3, FALSE)</f>
        <v>TRE</v>
      </c>
      <c r="I2642" s="32">
        <v>7.0</v>
      </c>
      <c r="J2642" s="34" t="str">
        <f t="shared" si="1"/>
        <v>South</v>
      </c>
      <c r="K2642" s="35">
        <v>5.0</v>
      </c>
      <c r="L2642" s="35" t="s">
        <v>204</v>
      </c>
      <c r="M2642" s="36">
        <f>VLOOKUP(D2642, County_Data_CZones!$B$2:$F$3236, 2, FALSE)</f>
        <v>3</v>
      </c>
      <c r="N2642" s="37" t="str">
        <f>VLOOKUP(D2642, County_Data_CZones!$B$2:$F$3236, 5, FALSE)</f>
        <v>Hot-Dry</v>
      </c>
    </row>
    <row r="2643" ht="15.75" customHeight="1">
      <c r="A2643" s="32" t="s">
        <v>1717</v>
      </c>
      <c r="B2643" s="32" t="s">
        <v>1159</v>
      </c>
      <c r="C2643" s="32" t="str">
        <f>vlookup(B2643,State_EMM_RowSums!$A$2:$B$52,2,FALSE)</f>
        <v>TX</v>
      </c>
      <c r="D2643" s="32">
        <v>48237.0</v>
      </c>
      <c r="E2643" s="33">
        <f>IF(NOT(ISBLANK(vlookup($D2643,Pop_Census_2023!$A$2:$E$3220,4,FALSE))),vlookup($D2643,Pop_Census_2023!$A$2:$E$3220,4,FALSE), vlookup($D2643,Pop_Census_2023!$A$2:$E$3220,5,FALSE))</f>
        <v>8875</v>
      </c>
      <c r="F2643" s="32">
        <v>1383904.0</v>
      </c>
      <c r="G2643" s="32">
        <v>63.0</v>
      </c>
      <c r="H2643" s="32" t="str">
        <f>VLOOKUP(D2643, Grid_Region_Mapping!$D$2:$F$5286, 3, FALSE)</f>
        <v>TRE</v>
      </c>
      <c r="I2643" s="32">
        <v>7.0</v>
      </c>
      <c r="J2643" s="34" t="str">
        <f t="shared" si="1"/>
        <v>South</v>
      </c>
      <c r="K2643" s="35">
        <v>5.0</v>
      </c>
      <c r="L2643" s="35" t="s">
        <v>102</v>
      </c>
      <c r="M2643" s="36">
        <f>VLOOKUP(D2643, County_Data_CZones!$B$2:$F$3236, 2, FALSE)</f>
        <v>3</v>
      </c>
      <c r="N2643" s="37" t="str">
        <f>VLOOKUP(D2643, County_Data_CZones!$B$2:$F$3236, 5, FALSE)</f>
        <v>Mixed-Humid</v>
      </c>
    </row>
    <row r="2644" ht="15.75" customHeight="1">
      <c r="A2644" s="32" t="s">
        <v>138</v>
      </c>
      <c r="B2644" s="32" t="s">
        <v>1159</v>
      </c>
      <c r="C2644" s="32" t="str">
        <f>vlookup(B2644,State_EMM_RowSums!$A$2:$B$52,2,FALSE)</f>
        <v>TX</v>
      </c>
      <c r="D2644" s="32">
        <v>48239.0</v>
      </c>
      <c r="E2644" s="33">
        <f>IF(NOT(ISBLANK(vlookup($D2644,Pop_Census_2023!$A$2:$E$3220,4,FALSE))),vlookup($D2644,Pop_Census_2023!$A$2:$E$3220,4,FALSE), vlookup($D2644,Pop_Census_2023!$A$2:$E$3220,5,FALSE))</f>
        <v>15221</v>
      </c>
      <c r="F2644" s="32">
        <v>1383905.0</v>
      </c>
      <c r="G2644" s="32">
        <v>65.0</v>
      </c>
      <c r="H2644" s="32" t="str">
        <f>VLOOKUP(D2644, Grid_Region_Mapping!$D$2:$F$5286, 3, FALSE)</f>
        <v>TRE</v>
      </c>
      <c r="I2644" s="32">
        <v>7.0</v>
      </c>
      <c r="J2644" s="34" t="str">
        <f t="shared" si="1"/>
        <v>South</v>
      </c>
      <c r="K2644" s="35">
        <v>5.0</v>
      </c>
      <c r="L2644" s="35" t="s">
        <v>104</v>
      </c>
      <c r="M2644" s="36">
        <f>VLOOKUP(D2644, County_Data_CZones!$B$2:$F$3236, 2, FALSE)</f>
        <v>2</v>
      </c>
      <c r="N2644" s="37" t="str">
        <f>VLOOKUP(D2644, County_Data_CZones!$B$2:$F$3236, 5, FALSE)</f>
        <v>Hot-Humid</v>
      </c>
    </row>
    <row r="2645" ht="15.75" customHeight="1">
      <c r="A2645" s="32" t="s">
        <v>518</v>
      </c>
      <c r="B2645" s="32" t="s">
        <v>1159</v>
      </c>
      <c r="C2645" s="32" t="str">
        <f>vlookup(B2645,State_EMM_RowSums!$A$2:$B$52,2,FALSE)</f>
        <v>TX</v>
      </c>
      <c r="D2645" s="32">
        <v>48241.0</v>
      </c>
      <c r="E2645" s="33">
        <f>IF(NOT(ISBLANK(vlookup($D2645,Pop_Census_2023!$A$2:$E$3220,4,FALSE))),vlookup($D2645,Pop_Census_2023!$A$2:$E$3220,4,FALSE), vlookup($D2645,Pop_Census_2023!$A$2:$E$3220,5,FALSE))</f>
        <v>32694</v>
      </c>
      <c r="F2645" s="32">
        <v>1383906.0</v>
      </c>
      <c r="G2645" s="32">
        <v>66.0</v>
      </c>
      <c r="H2645" s="32" t="str">
        <f>VLOOKUP(D2645, Grid_Region_Mapping!$D$2:$F$5286, 3, FALSE)</f>
        <v>MISS</v>
      </c>
      <c r="I2645" s="32">
        <v>7.0</v>
      </c>
      <c r="J2645" s="34" t="str">
        <f t="shared" si="1"/>
        <v>South</v>
      </c>
      <c r="K2645" s="35">
        <v>5.0</v>
      </c>
      <c r="L2645" s="35" t="s">
        <v>104</v>
      </c>
      <c r="M2645" s="36">
        <f>VLOOKUP(D2645, County_Data_CZones!$B$2:$F$3236, 2, FALSE)</f>
        <v>2</v>
      </c>
      <c r="N2645" s="37" t="str">
        <f>VLOOKUP(D2645, County_Data_CZones!$B$2:$F$3236, 5, FALSE)</f>
        <v>Hot-Humid</v>
      </c>
    </row>
    <row r="2646" ht="15.75" customHeight="1">
      <c r="A2646" s="32" t="s">
        <v>519</v>
      </c>
      <c r="B2646" s="32" t="s">
        <v>1159</v>
      </c>
      <c r="C2646" s="32" t="str">
        <f>vlookup(B2646,State_EMM_RowSums!$A$2:$B$52,2,FALSE)</f>
        <v>TX</v>
      </c>
      <c r="D2646" s="32">
        <v>48243.0</v>
      </c>
      <c r="E2646" s="33">
        <f>IF(NOT(ISBLANK(vlookup($D2646,Pop_Census_2023!$A$2:$E$3220,4,FALSE))),vlookup($D2646,Pop_Census_2023!$A$2:$E$3220,4,FALSE), vlookup($D2646,Pop_Census_2023!$A$2:$E$3220,5,FALSE))</f>
        <v>1856</v>
      </c>
      <c r="F2646" s="32">
        <v>1383907.0</v>
      </c>
      <c r="G2646" s="32">
        <v>61.0</v>
      </c>
      <c r="H2646" s="32" t="str">
        <f>VLOOKUP(D2646, Grid_Region_Mapping!$D$2:$F$5286, 3, FALSE)</f>
        <v>TRE</v>
      </c>
      <c r="I2646" s="32">
        <v>7.0</v>
      </c>
      <c r="J2646" s="34" t="str">
        <f t="shared" si="1"/>
        <v>South</v>
      </c>
      <c r="K2646" s="35">
        <v>4.0</v>
      </c>
      <c r="L2646" s="35" t="s">
        <v>204</v>
      </c>
      <c r="M2646" s="36">
        <f>VLOOKUP(D2646, County_Data_CZones!$B$2:$F$3236, 2, FALSE)</f>
        <v>3</v>
      </c>
      <c r="N2646" s="37" t="str">
        <f>VLOOKUP(D2646, County_Data_CZones!$B$2:$F$3236, 5, FALSE)</f>
        <v>Hot-Dry</v>
      </c>
    </row>
    <row r="2647" ht="15.75" customHeight="1">
      <c r="A2647" s="32" t="s">
        <v>139</v>
      </c>
      <c r="B2647" s="32" t="s">
        <v>1159</v>
      </c>
      <c r="C2647" s="32" t="str">
        <f>vlookup(B2647,State_EMM_RowSums!$A$2:$B$52,2,FALSE)</f>
        <v>TX</v>
      </c>
      <c r="D2647" s="32">
        <v>48245.0</v>
      </c>
      <c r="E2647" s="33">
        <f>IF(NOT(ISBLANK(vlookup($D2647,Pop_Census_2023!$A$2:$E$3220,4,FALSE))),vlookup($D2647,Pop_Census_2023!$A$2:$E$3220,4,FALSE), vlookup($D2647,Pop_Census_2023!$A$2:$E$3220,5,FALSE))</f>
        <v>251496</v>
      </c>
      <c r="F2647" s="32">
        <v>1383908.0</v>
      </c>
      <c r="G2647" s="32">
        <v>66.0</v>
      </c>
      <c r="H2647" s="32" t="str">
        <f>VLOOKUP(D2647, Grid_Region_Mapping!$D$2:$F$5286, 3, FALSE)</f>
        <v>MISS</v>
      </c>
      <c r="I2647" s="32">
        <v>7.0</v>
      </c>
      <c r="J2647" s="34" t="str">
        <f t="shared" si="1"/>
        <v>South</v>
      </c>
      <c r="K2647" s="35">
        <v>5.0</v>
      </c>
      <c r="L2647" s="35" t="s">
        <v>104</v>
      </c>
      <c r="M2647" s="36">
        <f>VLOOKUP(D2647, County_Data_CZones!$B$2:$F$3236, 2, FALSE)</f>
        <v>2</v>
      </c>
      <c r="N2647" s="37" t="str">
        <f>VLOOKUP(D2647, County_Data_CZones!$B$2:$F$3236, 5, FALSE)</f>
        <v>Hot-Humid</v>
      </c>
    </row>
    <row r="2648" ht="15.75" customHeight="1">
      <c r="A2648" s="32" t="s">
        <v>1718</v>
      </c>
      <c r="B2648" s="32" t="s">
        <v>1159</v>
      </c>
      <c r="C2648" s="32" t="str">
        <f>vlookup(B2648,State_EMM_RowSums!$A$2:$B$52,2,FALSE)</f>
        <v>TX</v>
      </c>
      <c r="D2648" s="32">
        <v>48247.0</v>
      </c>
      <c r="E2648" s="33">
        <f>IF(NOT(ISBLANK(vlookup($D2648,Pop_Census_2023!$A$2:$E$3220,4,FALSE))),vlookup($D2648,Pop_Census_2023!$A$2:$E$3220,4,FALSE), vlookup($D2648,Pop_Census_2023!$A$2:$E$3220,5,FALSE))</f>
        <v>4720</v>
      </c>
      <c r="F2648" s="32">
        <v>1383909.0</v>
      </c>
      <c r="G2648" s="32">
        <v>65.0</v>
      </c>
      <c r="H2648" s="32" t="str">
        <f>VLOOKUP(D2648, Grid_Region_Mapping!$D$2:$F$5286, 3, FALSE)</f>
        <v>TRE</v>
      </c>
      <c r="I2648" s="32">
        <v>7.0</v>
      </c>
      <c r="J2648" s="34" t="str">
        <f t="shared" si="1"/>
        <v>South</v>
      </c>
      <c r="K2648" s="35">
        <v>5.0</v>
      </c>
      <c r="L2648" s="35" t="s">
        <v>104</v>
      </c>
      <c r="M2648" s="36">
        <f>VLOOKUP(D2648, County_Data_CZones!$B$2:$F$3236, 2, FALSE)</f>
        <v>2</v>
      </c>
      <c r="N2648" s="37" t="str">
        <f>VLOOKUP(D2648, County_Data_CZones!$B$2:$F$3236, 5, FALSE)</f>
        <v>Hot-Humid</v>
      </c>
    </row>
    <row r="2649" ht="15.75" customHeight="1">
      <c r="A2649" s="32" t="s">
        <v>1719</v>
      </c>
      <c r="B2649" s="32" t="s">
        <v>1159</v>
      </c>
      <c r="C2649" s="32" t="str">
        <f>vlookup(B2649,State_EMM_RowSums!$A$2:$B$52,2,FALSE)</f>
        <v>TX</v>
      </c>
      <c r="D2649" s="32">
        <v>48249.0</v>
      </c>
      <c r="E2649" s="33">
        <f>IF(NOT(ISBLANK(vlookup($D2649,Pop_Census_2023!$A$2:$E$3220,4,FALSE))),vlookup($D2649,Pop_Census_2023!$A$2:$E$3220,4,FALSE), vlookup($D2649,Pop_Census_2023!$A$2:$E$3220,5,FALSE))</f>
        <v>38662</v>
      </c>
      <c r="F2649" s="32">
        <v>1383910.0</v>
      </c>
      <c r="G2649" s="32">
        <v>65.0</v>
      </c>
      <c r="H2649" s="32" t="str">
        <f>VLOOKUP(D2649, Grid_Region_Mapping!$D$2:$F$5286, 3, FALSE)</f>
        <v>TRE</v>
      </c>
      <c r="I2649" s="32">
        <v>7.0</v>
      </c>
      <c r="J2649" s="34" t="str">
        <f t="shared" si="1"/>
        <v>South</v>
      </c>
      <c r="K2649" s="35">
        <v>5.0</v>
      </c>
      <c r="L2649" s="35" t="s">
        <v>104</v>
      </c>
      <c r="M2649" s="36">
        <f>VLOOKUP(D2649, County_Data_CZones!$B$2:$F$3236, 2, FALSE)</f>
        <v>2</v>
      </c>
      <c r="N2649" s="37" t="str">
        <f>VLOOKUP(D2649, County_Data_CZones!$B$2:$F$3236, 5, FALSE)</f>
        <v>Hot-Humid</v>
      </c>
    </row>
    <row r="2650" ht="15.75" customHeight="1">
      <c r="A2650" s="32" t="s">
        <v>248</v>
      </c>
      <c r="B2650" s="32" t="s">
        <v>1159</v>
      </c>
      <c r="C2650" s="32" t="str">
        <f>vlookup(B2650,State_EMM_RowSums!$A$2:$B$52,2,FALSE)</f>
        <v>TX</v>
      </c>
      <c r="D2650" s="32">
        <v>48251.0</v>
      </c>
      <c r="E2650" s="33">
        <f>IF(NOT(ISBLANK(vlookup($D2650,Pop_Census_2023!$A$2:$E$3220,4,FALSE))),vlookup($D2650,Pop_Census_2023!$A$2:$E$3220,4,FALSE), vlookup($D2650,Pop_Census_2023!$A$2:$E$3220,5,FALSE))</f>
        <v>202906</v>
      </c>
      <c r="F2650" s="32">
        <v>1383911.0</v>
      </c>
      <c r="G2650" s="32">
        <v>63.0</v>
      </c>
      <c r="H2650" s="32" t="str">
        <f>VLOOKUP(D2650, Grid_Region_Mapping!$D$2:$F$5286, 3, FALSE)</f>
        <v>TRE</v>
      </c>
      <c r="I2650" s="32">
        <v>7.0</v>
      </c>
      <c r="J2650" s="34" t="str">
        <f t="shared" si="1"/>
        <v>South</v>
      </c>
      <c r="K2650" s="35">
        <v>5.0</v>
      </c>
      <c r="L2650" s="35" t="s">
        <v>102</v>
      </c>
      <c r="M2650" s="36">
        <f>VLOOKUP(D2650, County_Data_CZones!$B$2:$F$3236, 2, FALSE)</f>
        <v>3</v>
      </c>
      <c r="N2650" s="37" t="str">
        <f>VLOOKUP(D2650, County_Data_CZones!$B$2:$F$3236, 5, FALSE)</f>
        <v>Hot-Humid</v>
      </c>
    </row>
    <row r="2651" ht="15.75" customHeight="1">
      <c r="A2651" s="32" t="s">
        <v>521</v>
      </c>
      <c r="B2651" s="32" t="s">
        <v>1159</v>
      </c>
      <c r="C2651" s="32" t="str">
        <f>vlookup(B2651,State_EMM_RowSums!$A$2:$B$52,2,FALSE)</f>
        <v>TX</v>
      </c>
      <c r="D2651" s="32">
        <v>48253.0</v>
      </c>
      <c r="E2651" s="33">
        <f>IF(NOT(ISBLANK(vlookup($D2651,Pop_Census_2023!$A$2:$E$3220,4,FALSE))),vlookup($D2651,Pop_Census_2023!$A$2:$E$3220,4,FALSE), vlookup($D2651,Pop_Census_2023!$A$2:$E$3220,5,FALSE))</f>
        <v>20381</v>
      </c>
      <c r="F2651" s="32">
        <v>1383912.0</v>
      </c>
      <c r="G2651" s="32">
        <v>60.0</v>
      </c>
      <c r="H2651" s="32" t="str">
        <f>VLOOKUP(D2651, Grid_Region_Mapping!$D$2:$F$5286, 3, FALSE)</f>
        <v>TRE</v>
      </c>
      <c r="I2651" s="32">
        <v>7.0</v>
      </c>
      <c r="J2651" s="34" t="str">
        <f t="shared" si="1"/>
        <v>South</v>
      </c>
      <c r="K2651" s="35">
        <v>5.0</v>
      </c>
      <c r="L2651" s="35" t="s">
        <v>204</v>
      </c>
      <c r="M2651" s="36">
        <f>VLOOKUP(D2651, County_Data_CZones!$B$2:$F$3236, 2, FALSE)</f>
        <v>3</v>
      </c>
      <c r="N2651" s="37" t="str">
        <f>VLOOKUP(D2651, County_Data_CZones!$B$2:$F$3236, 5, FALSE)</f>
        <v>Hot-Dry</v>
      </c>
    </row>
    <row r="2652" ht="15.75" customHeight="1">
      <c r="A2652" s="32" t="s">
        <v>1720</v>
      </c>
      <c r="B2652" s="32" t="s">
        <v>1159</v>
      </c>
      <c r="C2652" s="32" t="str">
        <f>vlookup(B2652,State_EMM_RowSums!$A$2:$B$52,2,FALSE)</f>
        <v>TX</v>
      </c>
      <c r="D2652" s="32">
        <v>48255.0</v>
      </c>
      <c r="E2652" s="33">
        <f>IF(NOT(ISBLANK(vlookup($D2652,Pop_Census_2023!$A$2:$E$3220,4,FALSE))),vlookup($D2652,Pop_Census_2023!$A$2:$E$3220,4,FALSE), vlookup($D2652,Pop_Census_2023!$A$2:$E$3220,5,FALSE))</f>
        <v>15018</v>
      </c>
      <c r="F2652" s="32">
        <v>1383913.0</v>
      </c>
      <c r="G2652" s="32">
        <v>65.0</v>
      </c>
      <c r="H2652" s="32" t="str">
        <f>VLOOKUP(D2652, Grid_Region_Mapping!$D$2:$F$5286, 3, FALSE)</f>
        <v>TRE</v>
      </c>
      <c r="I2652" s="32">
        <v>7.0</v>
      </c>
      <c r="J2652" s="34" t="str">
        <f t="shared" si="1"/>
        <v>South</v>
      </c>
      <c r="K2652" s="35">
        <v>5.0</v>
      </c>
      <c r="L2652" s="35" t="s">
        <v>104</v>
      </c>
      <c r="M2652" s="36">
        <f>VLOOKUP(D2652, County_Data_CZones!$B$2:$F$3236, 2, FALSE)</f>
        <v>2</v>
      </c>
      <c r="N2652" s="37" t="str">
        <f>VLOOKUP(D2652, County_Data_CZones!$B$2:$F$3236, 5, FALSE)</f>
        <v>Hot-Humid</v>
      </c>
    </row>
    <row r="2653" ht="15.75" customHeight="1">
      <c r="A2653" s="32" t="s">
        <v>1721</v>
      </c>
      <c r="B2653" s="32" t="s">
        <v>1159</v>
      </c>
      <c r="C2653" s="32" t="str">
        <f>vlookup(B2653,State_EMM_RowSums!$A$2:$B$52,2,FALSE)</f>
        <v>TX</v>
      </c>
      <c r="D2653" s="32">
        <v>48257.0</v>
      </c>
      <c r="E2653" s="33">
        <f>IF(NOT(ISBLANK(vlookup($D2653,Pop_Census_2023!$A$2:$E$3220,4,FALSE))),vlookup($D2653,Pop_Census_2023!$A$2:$E$3220,4,FALSE), vlookup($D2653,Pop_Census_2023!$A$2:$E$3220,5,FALSE))</f>
        <v>185690</v>
      </c>
      <c r="F2653" s="32">
        <v>1383914.0</v>
      </c>
      <c r="G2653" s="32">
        <v>63.0</v>
      </c>
      <c r="H2653" s="32" t="str">
        <f>VLOOKUP(D2653, Grid_Region_Mapping!$D$2:$F$5286, 3, FALSE)</f>
        <v>TRE</v>
      </c>
      <c r="I2653" s="32">
        <v>7.0</v>
      </c>
      <c r="J2653" s="34" t="str">
        <f t="shared" si="1"/>
        <v>South</v>
      </c>
      <c r="K2653" s="35">
        <v>5.0</v>
      </c>
      <c r="L2653" s="35" t="s">
        <v>102</v>
      </c>
      <c r="M2653" s="36">
        <f>VLOOKUP(D2653, County_Data_CZones!$B$2:$F$3236, 2, FALSE)</f>
        <v>3</v>
      </c>
      <c r="N2653" s="37" t="str">
        <f>VLOOKUP(D2653, County_Data_CZones!$B$2:$F$3236, 5, FALSE)</f>
        <v>Hot-Humid</v>
      </c>
    </row>
    <row r="2654" ht="15.75" customHeight="1">
      <c r="A2654" s="32" t="s">
        <v>633</v>
      </c>
      <c r="B2654" s="32" t="s">
        <v>1159</v>
      </c>
      <c r="C2654" s="32" t="str">
        <f>vlookup(B2654,State_EMM_RowSums!$A$2:$B$52,2,FALSE)</f>
        <v>TX</v>
      </c>
      <c r="D2654" s="32">
        <v>48259.0</v>
      </c>
      <c r="E2654" s="33">
        <f>IF(NOT(ISBLANK(vlookup($D2654,Pop_Census_2023!$A$2:$E$3220,4,FALSE))),vlookup($D2654,Pop_Census_2023!$A$2:$E$3220,4,FALSE), vlookup($D2654,Pop_Census_2023!$A$2:$E$3220,5,FALSE))</f>
        <v>50537</v>
      </c>
      <c r="F2654" s="32">
        <v>1383915.0</v>
      </c>
      <c r="G2654" s="32">
        <v>64.0</v>
      </c>
      <c r="H2654" s="32" t="str">
        <f>VLOOKUP(D2654, Grid_Region_Mapping!$D$2:$F$5286, 3, FALSE)</f>
        <v>TRE</v>
      </c>
      <c r="I2654" s="32">
        <v>7.0</v>
      </c>
      <c r="J2654" s="34" t="str">
        <f t="shared" si="1"/>
        <v>South</v>
      </c>
      <c r="K2654" s="35">
        <v>5.0</v>
      </c>
      <c r="L2654" s="35" t="s">
        <v>102</v>
      </c>
      <c r="M2654" s="36">
        <f>VLOOKUP(D2654, County_Data_CZones!$B$2:$F$3236, 2, FALSE)</f>
        <v>3</v>
      </c>
      <c r="N2654" s="37" t="str">
        <f>VLOOKUP(D2654, County_Data_CZones!$B$2:$F$3236, 5, FALSE)</f>
        <v>Hot-Humid</v>
      </c>
    </row>
    <row r="2655" ht="15.75" customHeight="1">
      <c r="A2655" s="32" t="s">
        <v>1722</v>
      </c>
      <c r="B2655" s="32" t="s">
        <v>1159</v>
      </c>
      <c r="C2655" s="32" t="str">
        <f>vlookup(B2655,State_EMM_RowSums!$A$2:$B$52,2,FALSE)</f>
        <v>TX</v>
      </c>
      <c r="D2655" s="32">
        <v>48261.0</v>
      </c>
      <c r="E2655" s="33">
        <f>IF(NOT(ISBLANK(vlookup($D2655,Pop_Census_2023!$A$2:$E$3220,4,FALSE))),vlookup($D2655,Pop_Census_2023!$A$2:$E$3220,4,FALSE), vlookup($D2655,Pop_Census_2023!$A$2:$E$3220,5,FALSE))</f>
        <v>343</v>
      </c>
      <c r="F2655" s="32">
        <v>1383916.0</v>
      </c>
      <c r="G2655" s="32">
        <v>65.0</v>
      </c>
      <c r="H2655" s="32" t="str">
        <f>VLOOKUP(D2655, Grid_Region_Mapping!$D$2:$F$5286, 3, FALSE)</f>
        <v>TRE</v>
      </c>
      <c r="I2655" s="32">
        <v>7.0</v>
      </c>
      <c r="J2655" s="34" t="str">
        <f t="shared" si="1"/>
        <v>South</v>
      </c>
      <c r="K2655" s="35">
        <v>5.0</v>
      </c>
      <c r="L2655" s="35" t="s">
        <v>104</v>
      </c>
      <c r="M2655" s="36">
        <f>VLOOKUP(D2655, County_Data_CZones!$B$2:$F$3236, 2, FALSE)</f>
        <v>2</v>
      </c>
      <c r="N2655" s="37" t="str">
        <f>VLOOKUP(D2655, County_Data_CZones!$B$2:$F$3236, 5, FALSE)</f>
        <v>Hot-Humid</v>
      </c>
    </row>
    <row r="2656" ht="15.75" customHeight="1">
      <c r="A2656" s="32" t="s">
        <v>404</v>
      </c>
      <c r="B2656" s="32" t="s">
        <v>1159</v>
      </c>
      <c r="C2656" s="32" t="str">
        <f>vlookup(B2656,State_EMM_RowSums!$A$2:$B$52,2,FALSE)</f>
        <v>TX</v>
      </c>
      <c r="D2656" s="32">
        <v>48263.0</v>
      </c>
      <c r="E2656" s="33">
        <f>IF(NOT(ISBLANK(vlookup($D2656,Pop_Census_2023!$A$2:$E$3220,4,FALSE))),vlookup($D2656,Pop_Census_2023!$A$2:$E$3220,4,FALSE), vlookup($D2656,Pop_Census_2023!$A$2:$E$3220,5,FALSE))</f>
        <v>734</v>
      </c>
      <c r="F2656" s="32">
        <v>1383917.0</v>
      </c>
      <c r="G2656" s="32">
        <v>60.0</v>
      </c>
      <c r="H2656" s="32" t="str">
        <f>VLOOKUP(D2656, Grid_Region_Mapping!$D$2:$F$5286, 3, FALSE)</f>
        <v>TRE</v>
      </c>
      <c r="I2656" s="32">
        <v>7.0</v>
      </c>
      <c r="J2656" s="34" t="str">
        <f t="shared" si="1"/>
        <v>South</v>
      </c>
      <c r="K2656" s="35">
        <v>5.0</v>
      </c>
      <c r="L2656" s="35" t="s">
        <v>204</v>
      </c>
      <c r="M2656" s="36">
        <f>VLOOKUP(D2656, County_Data_CZones!$B$2:$F$3236, 2, FALSE)</f>
        <v>3</v>
      </c>
      <c r="N2656" s="37" t="str">
        <f>VLOOKUP(D2656, County_Data_CZones!$B$2:$F$3236, 5, FALSE)</f>
        <v>Hot-Dry</v>
      </c>
    </row>
    <row r="2657" ht="15.75" customHeight="1">
      <c r="A2657" s="32" t="s">
        <v>1723</v>
      </c>
      <c r="B2657" s="32" t="s">
        <v>1159</v>
      </c>
      <c r="C2657" s="32" t="str">
        <f>vlookup(B2657,State_EMM_RowSums!$A$2:$B$52,2,FALSE)</f>
        <v>TX</v>
      </c>
      <c r="D2657" s="32">
        <v>48265.0</v>
      </c>
      <c r="E2657" s="33">
        <f>IF(NOT(ISBLANK(vlookup($D2657,Pop_Census_2023!$A$2:$E$3220,4,FALSE))),vlookup($D2657,Pop_Census_2023!$A$2:$E$3220,4,FALSE), vlookup($D2657,Pop_Census_2023!$A$2:$E$3220,5,FALSE))</f>
        <v>53915</v>
      </c>
      <c r="F2657" s="32">
        <v>1383918.0</v>
      </c>
      <c r="G2657" s="32">
        <v>64.0</v>
      </c>
      <c r="H2657" s="32" t="str">
        <f>VLOOKUP(D2657, Grid_Region_Mapping!$D$2:$F$5286, 3, FALSE)</f>
        <v>TRE</v>
      </c>
      <c r="I2657" s="32">
        <v>7.0</v>
      </c>
      <c r="J2657" s="34" t="str">
        <f t="shared" si="1"/>
        <v>South</v>
      </c>
      <c r="K2657" s="35">
        <v>5.0</v>
      </c>
      <c r="L2657" s="35" t="s">
        <v>204</v>
      </c>
      <c r="M2657" s="36">
        <f>VLOOKUP(D2657, County_Data_CZones!$B$2:$F$3236, 2, FALSE)</f>
        <v>3</v>
      </c>
      <c r="N2657" s="37" t="str">
        <f>VLOOKUP(D2657, County_Data_CZones!$B$2:$F$3236, 5, FALSE)</f>
        <v>Hot-Dry</v>
      </c>
    </row>
    <row r="2658" ht="15.75" customHeight="1">
      <c r="A2658" s="32" t="s">
        <v>1724</v>
      </c>
      <c r="B2658" s="32" t="s">
        <v>1159</v>
      </c>
      <c r="C2658" s="32" t="str">
        <f>vlookup(B2658,State_EMM_RowSums!$A$2:$B$52,2,FALSE)</f>
        <v>TX</v>
      </c>
      <c r="D2658" s="32">
        <v>48267.0</v>
      </c>
      <c r="E2658" s="33">
        <f>IF(NOT(ISBLANK(vlookup($D2658,Pop_Census_2023!$A$2:$E$3220,4,FALSE))),vlookup($D2658,Pop_Census_2023!$A$2:$E$3220,4,FALSE), vlookup($D2658,Pop_Census_2023!$A$2:$E$3220,5,FALSE))</f>
        <v>4442</v>
      </c>
      <c r="F2658" s="32">
        <v>1383919.0</v>
      </c>
      <c r="G2658" s="32">
        <v>64.0</v>
      </c>
      <c r="H2658" s="32" t="str">
        <f>VLOOKUP(D2658, Grid_Region_Mapping!$D$2:$F$5286, 3, FALSE)</f>
        <v>TRE</v>
      </c>
      <c r="I2658" s="32">
        <v>7.0</v>
      </c>
      <c r="J2658" s="34" t="str">
        <f t="shared" si="1"/>
        <v>South</v>
      </c>
      <c r="K2658" s="35">
        <v>5.0</v>
      </c>
      <c r="L2658" s="35" t="s">
        <v>204</v>
      </c>
      <c r="M2658" s="36">
        <f>VLOOKUP(D2658, County_Data_CZones!$B$2:$F$3236, 2, FALSE)</f>
        <v>3</v>
      </c>
      <c r="N2658" s="37" t="str">
        <f>VLOOKUP(D2658, County_Data_CZones!$B$2:$F$3236, 5, FALSE)</f>
        <v>Hot-Dry</v>
      </c>
    </row>
    <row r="2659" ht="15.75" customHeight="1">
      <c r="A2659" s="32" t="s">
        <v>1725</v>
      </c>
      <c r="B2659" s="32" t="s">
        <v>1159</v>
      </c>
      <c r="C2659" s="32" t="str">
        <f>vlookup(B2659,State_EMM_RowSums!$A$2:$B$52,2,FALSE)</f>
        <v>TX</v>
      </c>
      <c r="D2659" s="32">
        <v>48269.0</v>
      </c>
      <c r="E2659" s="33">
        <f>IF(NOT(ISBLANK(vlookup($D2659,Pop_Census_2023!$A$2:$E$3220,4,FALSE))),vlookup($D2659,Pop_Census_2023!$A$2:$E$3220,4,FALSE), vlookup($D2659,Pop_Census_2023!$A$2:$E$3220,5,FALSE))</f>
        <v>217</v>
      </c>
      <c r="F2659" s="32">
        <v>1383920.0</v>
      </c>
      <c r="G2659" s="32">
        <v>60.0</v>
      </c>
      <c r="H2659" s="32" t="str">
        <f>VLOOKUP(D2659, Grid_Region_Mapping!$D$2:$F$5286, 3, FALSE)</f>
        <v>TRE</v>
      </c>
      <c r="I2659" s="32">
        <v>7.0</v>
      </c>
      <c r="J2659" s="34" t="str">
        <f t="shared" si="1"/>
        <v>South</v>
      </c>
      <c r="K2659" s="35">
        <v>5.0</v>
      </c>
      <c r="L2659" s="35" t="s">
        <v>204</v>
      </c>
      <c r="M2659" s="36">
        <f>VLOOKUP(D2659, County_Data_CZones!$B$2:$F$3236, 2, FALSE)</f>
        <v>3</v>
      </c>
      <c r="N2659" s="37" t="str">
        <f>VLOOKUP(D2659, County_Data_CZones!$B$2:$F$3236, 5, FALSE)</f>
        <v>Hot-Dry</v>
      </c>
    </row>
    <row r="2660" ht="15.75" customHeight="1">
      <c r="A2660" s="32" t="s">
        <v>1726</v>
      </c>
      <c r="B2660" s="32" t="s">
        <v>1159</v>
      </c>
      <c r="C2660" s="32" t="str">
        <f>vlookup(B2660,State_EMM_RowSums!$A$2:$B$52,2,FALSE)</f>
        <v>TX</v>
      </c>
      <c r="D2660" s="32">
        <v>48271.0</v>
      </c>
      <c r="E2660" s="33">
        <f>IF(NOT(ISBLANK(vlookup($D2660,Pop_Census_2023!$A$2:$E$3220,4,FALSE))),vlookup($D2660,Pop_Census_2023!$A$2:$E$3220,4,FALSE), vlookup($D2660,Pop_Census_2023!$A$2:$E$3220,5,FALSE))</f>
        <v>3148</v>
      </c>
      <c r="F2660" s="32">
        <v>1383921.0</v>
      </c>
      <c r="G2660" s="32">
        <v>61.0</v>
      </c>
      <c r="H2660" s="32" t="str">
        <f>VLOOKUP(D2660, Grid_Region_Mapping!$D$2:$F$5286, 3, FALSE)</f>
        <v>TRE</v>
      </c>
      <c r="I2660" s="32">
        <v>7.0</v>
      </c>
      <c r="J2660" s="34" t="str">
        <f t="shared" si="1"/>
        <v>South</v>
      </c>
      <c r="K2660" s="35">
        <v>5.0</v>
      </c>
      <c r="L2660" s="35" t="s">
        <v>211</v>
      </c>
      <c r="M2660" s="36">
        <f>VLOOKUP(D2660, County_Data_CZones!$B$2:$F$3236, 2, FALSE)</f>
        <v>2</v>
      </c>
      <c r="N2660" s="37" t="str">
        <f>VLOOKUP(D2660, County_Data_CZones!$B$2:$F$3236, 5, FALSE)</f>
        <v>Hot-Humid</v>
      </c>
    </row>
    <row r="2661" ht="15.75" customHeight="1">
      <c r="A2661" s="32" t="s">
        <v>1727</v>
      </c>
      <c r="B2661" s="32" t="s">
        <v>1159</v>
      </c>
      <c r="C2661" s="32" t="str">
        <f>vlookup(B2661,State_EMM_RowSums!$A$2:$B$52,2,FALSE)</f>
        <v>TX</v>
      </c>
      <c r="D2661" s="32">
        <v>48273.0</v>
      </c>
      <c r="E2661" s="33">
        <f>IF(NOT(ISBLANK(vlookup($D2661,Pop_Census_2023!$A$2:$E$3220,4,FALSE))),vlookup($D2661,Pop_Census_2023!$A$2:$E$3220,4,FALSE), vlookup($D2661,Pop_Census_2023!$A$2:$E$3220,5,FALSE))</f>
        <v>30069</v>
      </c>
      <c r="F2661" s="32">
        <v>1383922.0</v>
      </c>
      <c r="G2661" s="32">
        <v>65.0</v>
      </c>
      <c r="H2661" s="32" t="str">
        <f>VLOOKUP(D2661, Grid_Region_Mapping!$D$2:$F$5286, 3, FALSE)</f>
        <v>TRE</v>
      </c>
      <c r="I2661" s="32">
        <v>7.0</v>
      </c>
      <c r="J2661" s="34" t="str">
        <f t="shared" si="1"/>
        <v>South</v>
      </c>
      <c r="K2661" s="35">
        <v>5.0</v>
      </c>
      <c r="L2661" s="35" t="s">
        <v>104</v>
      </c>
      <c r="M2661" s="36">
        <f>VLOOKUP(D2661, County_Data_CZones!$B$2:$F$3236, 2, FALSE)</f>
        <v>2</v>
      </c>
      <c r="N2661" s="37" t="str">
        <f>VLOOKUP(D2661, County_Data_CZones!$B$2:$F$3236, 5, FALSE)</f>
        <v>Hot-Humid</v>
      </c>
    </row>
    <row r="2662" ht="15.75" customHeight="1">
      <c r="A2662" s="32" t="s">
        <v>634</v>
      </c>
      <c r="B2662" s="32" t="s">
        <v>1159</v>
      </c>
      <c r="C2662" s="32" t="str">
        <f>vlookup(B2662,State_EMM_RowSums!$A$2:$B$52,2,FALSE)</f>
        <v>TX</v>
      </c>
      <c r="D2662" s="32">
        <v>48275.0</v>
      </c>
      <c r="E2662" s="33">
        <f>IF(NOT(ISBLANK(vlookup($D2662,Pop_Census_2023!$A$2:$E$3220,4,FALSE))),vlookup($D2662,Pop_Census_2023!$A$2:$E$3220,4,FALSE), vlookup($D2662,Pop_Census_2023!$A$2:$E$3220,5,FALSE))</f>
        <v>3302</v>
      </c>
      <c r="F2662" s="32">
        <v>1383923.0</v>
      </c>
      <c r="G2662" s="32">
        <v>60.0</v>
      </c>
      <c r="H2662" s="32" t="str">
        <f>VLOOKUP(D2662, Grid_Region_Mapping!$D$2:$F$5286, 3, FALSE)</f>
        <v>TRE</v>
      </c>
      <c r="I2662" s="32">
        <v>7.0</v>
      </c>
      <c r="J2662" s="34" t="str">
        <f t="shared" si="1"/>
        <v>South</v>
      </c>
      <c r="K2662" s="35">
        <v>5.0</v>
      </c>
      <c r="L2662" s="35" t="s">
        <v>204</v>
      </c>
      <c r="M2662" s="36">
        <f>VLOOKUP(D2662, County_Data_CZones!$B$2:$F$3236, 2, FALSE)</f>
        <v>3</v>
      </c>
      <c r="N2662" s="37" t="str">
        <f>VLOOKUP(D2662, County_Data_CZones!$B$2:$F$3236, 5, FALSE)</f>
        <v>Hot-Dry</v>
      </c>
    </row>
    <row r="2663" ht="15.75" customHeight="1">
      <c r="A2663" s="32" t="s">
        <v>140</v>
      </c>
      <c r="B2663" s="32" t="s">
        <v>1159</v>
      </c>
      <c r="C2663" s="32" t="str">
        <f>vlookup(B2663,State_EMM_RowSums!$A$2:$B$52,2,FALSE)</f>
        <v>TX</v>
      </c>
      <c r="D2663" s="32">
        <v>48277.0</v>
      </c>
      <c r="E2663" s="33">
        <f>IF(NOT(ISBLANK(vlookup($D2663,Pop_Census_2023!$A$2:$E$3220,4,FALSE))),vlookup($D2663,Pop_Census_2023!$A$2:$E$3220,4,FALSE), vlookup($D2663,Pop_Census_2023!$A$2:$E$3220,5,FALSE))</f>
        <v>51127</v>
      </c>
      <c r="F2663" s="32">
        <v>1383925.0</v>
      </c>
      <c r="G2663" s="32">
        <v>63.0</v>
      </c>
      <c r="H2663" s="32" t="str">
        <f>VLOOKUP(D2663, Grid_Region_Mapping!$D$2:$F$5286, 3, FALSE)</f>
        <v>TRE</v>
      </c>
      <c r="I2663" s="32">
        <v>7.0</v>
      </c>
      <c r="J2663" s="34" t="str">
        <f t="shared" si="1"/>
        <v>South</v>
      </c>
      <c r="K2663" s="35">
        <v>5.0</v>
      </c>
      <c r="L2663" s="35" t="s">
        <v>102</v>
      </c>
      <c r="M2663" s="36">
        <f>VLOOKUP(D2663, County_Data_CZones!$B$2:$F$3236, 2, FALSE)</f>
        <v>3</v>
      </c>
      <c r="N2663" s="37" t="str">
        <f>VLOOKUP(D2663, County_Data_CZones!$B$2:$F$3236, 5, FALSE)</f>
        <v>Hot-Humid</v>
      </c>
    </row>
    <row r="2664" ht="15.75" customHeight="1">
      <c r="A2664" s="32" t="s">
        <v>1728</v>
      </c>
      <c r="B2664" s="32" t="s">
        <v>1159</v>
      </c>
      <c r="C2664" s="32" t="str">
        <f>vlookup(B2664,State_EMM_RowSums!$A$2:$B$52,2,FALSE)</f>
        <v>TX</v>
      </c>
      <c r="D2664" s="32">
        <v>48279.0</v>
      </c>
      <c r="E2664" s="33">
        <f>IF(NOT(ISBLANK(vlookup($D2664,Pop_Census_2023!$A$2:$E$3220,4,FALSE))),vlookup($D2664,Pop_Census_2023!$A$2:$E$3220,4,FALSE), vlookup($D2664,Pop_Census_2023!$A$2:$E$3220,5,FALSE))</f>
        <v>12711</v>
      </c>
      <c r="F2664" s="32">
        <v>1383926.0</v>
      </c>
      <c r="G2664" s="32">
        <v>48.0</v>
      </c>
      <c r="H2664" s="32" t="str">
        <f>VLOOKUP(D2664, Grid_Region_Mapping!$D$2:$F$5286, 3, FALSE)</f>
        <v>SPPS</v>
      </c>
      <c r="I2664" s="32">
        <v>7.0</v>
      </c>
      <c r="J2664" s="34" t="str">
        <f t="shared" si="1"/>
        <v>South</v>
      </c>
      <c r="K2664" s="35">
        <v>4.0</v>
      </c>
      <c r="L2664" s="35" t="s">
        <v>207</v>
      </c>
      <c r="M2664" s="36">
        <f>VLOOKUP(D2664, County_Data_CZones!$B$2:$F$3236, 2, FALSE)</f>
        <v>4</v>
      </c>
      <c r="N2664" s="37" t="str">
        <f>VLOOKUP(D2664, County_Data_CZones!$B$2:$F$3236, 5, FALSE)</f>
        <v>Mixed-Dry</v>
      </c>
    </row>
    <row r="2665" ht="15.75" customHeight="1">
      <c r="A2665" s="32" t="s">
        <v>1729</v>
      </c>
      <c r="B2665" s="32" t="s">
        <v>1159</v>
      </c>
      <c r="C2665" s="32" t="str">
        <f>vlookup(B2665,State_EMM_RowSums!$A$2:$B$52,2,FALSE)</f>
        <v>TX</v>
      </c>
      <c r="D2665" s="32">
        <v>48281.0</v>
      </c>
      <c r="E2665" s="33">
        <f>IF(NOT(ISBLANK(vlookup($D2665,Pop_Census_2023!$A$2:$E$3220,4,FALSE))),vlookup($D2665,Pop_Census_2023!$A$2:$E$3220,4,FALSE), vlookup($D2665,Pop_Census_2023!$A$2:$E$3220,5,FALSE))</f>
        <v>23262</v>
      </c>
      <c r="F2665" s="32">
        <v>1383927.0</v>
      </c>
      <c r="G2665" s="32">
        <v>63.0</v>
      </c>
      <c r="H2665" s="32" t="str">
        <f>VLOOKUP(D2665, Grid_Region_Mapping!$D$2:$F$5286, 3, FALSE)</f>
        <v>TRE</v>
      </c>
      <c r="I2665" s="32">
        <v>7.0</v>
      </c>
      <c r="J2665" s="34" t="str">
        <f t="shared" si="1"/>
        <v>South</v>
      </c>
      <c r="K2665" s="35">
        <v>5.0</v>
      </c>
      <c r="L2665" s="35" t="s">
        <v>102</v>
      </c>
      <c r="M2665" s="36">
        <f>VLOOKUP(D2665, County_Data_CZones!$B$2:$F$3236, 2, FALSE)</f>
        <v>3</v>
      </c>
      <c r="N2665" s="37" t="str">
        <f>VLOOKUP(D2665, County_Data_CZones!$B$2:$F$3236, 5, FALSE)</f>
        <v>Hot-Humid</v>
      </c>
    </row>
    <row r="2666" ht="15.75" customHeight="1">
      <c r="A2666" s="32" t="s">
        <v>1730</v>
      </c>
      <c r="B2666" s="32" t="s">
        <v>1159</v>
      </c>
      <c r="C2666" s="32" t="str">
        <f>vlookup(B2666,State_EMM_RowSums!$A$2:$B$52,2,FALSE)</f>
        <v>TX</v>
      </c>
      <c r="D2666" s="32">
        <v>48283.0</v>
      </c>
      <c r="E2666" s="33">
        <f>IF(NOT(ISBLANK(vlookup($D2666,Pop_Census_2023!$A$2:$E$3220,4,FALSE))),vlookup($D2666,Pop_Census_2023!$A$2:$E$3220,4,FALSE), vlookup($D2666,Pop_Census_2023!$A$2:$E$3220,5,FALSE))</f>
        <v>6537</v>
      </c>
      <c r="F2666" s="32">
        <v>1383924.0</v>
      </c>
      <c r="G2666" s="32">
        <v>65.0</v>
      </c>
      <c r="H2666" s="32" t="str">
        <f>VLOOKUP(D2666, Grid_Region_Mapping!$D$2:$F$5286, 3, FALSE)</f>
        <v>TRE</v>
      </c>
      <c r="I2666" s="32">
        <v>7.0</v>
      </c>
      <c r="J2666" s="34" t="str">
        <f t="shared" si="1"/>
        <v>South</v>
      </c>
      <c r="K2666" s="35">
        <v>5.0</v>
      </c>
      <c r="L2666" s="35" t="s">
        <v>211</v>
      </c>
      <c r="M2666" s="36">
        <f>VLOOKUP(D2666, County_Data_CZones!$B$2:$F$3236, 2, FALSE)</f>
        <v>2</v>
      </c>
      <c r="N2666" s="37" t="str">
        <f>VLOOKUP(D2666, County_Data_CZones!$B$2:$F$3236, 5, FALSE)</f>
        <v>Hot-Humid</v>
      </c>
    </row>
    <row r="2667" ht="15.75" customHeight="1">
      <c r="A2667" s="32" t="s">
        <v>1731</v>
      </c>
      <c r="B2667" s="32" t="s">
        <v>1159</v>
      </c>
      <c r="C2667" s="32" t="str">
        <f>vlookup(B2667,State_EMM_RowSums!$A$2:$B$52,2,FALSE)</f>
        <v>TX</v>
      </c>
      <c r="D2667" s="32">
        <v>48285.0</v>
      </c>
      <c r="E2667" s="33">
        <f>IF(NOT(ISBLANK(vlookup($D2667,Pop_Census_2023!$A$2:$E$3220,4,FALSE))),vlookup($D2667,Pop_Census_2023!$A$2:$E$3220,4,FALSE), vlookup($D2667,Pop_Census_2023!$A$2:$E$3220,5,FALSE))</f>
        <v>20571</v>
      </c>
      <c r="F2667" s="32">
        <v>1383928.0</v>
      </c>
      <c r="G2667" s="32">
        <v>64.0</v>
      </c>
      <c r="H2667" s="32" t="str">
        <f>VLOOKUP(D2667, Grid_Region_Mapping!$D$2:$F$5286, 3, FALSE)</f>
        <v>TRE</v>
      </c>
      <c r="I2667" s="32">
        <v>7.0</v>
      </c>
      <c r="J2667" s="34" t="str">
        <f t="shared" si="1"/>
        <v>South</v>
      </c>
      <c r="K2667" s="35">
        <v>5.0</v>
      </c>
      <c r="L2667" s="35" t="s">
        <v>104</v>
      </c>
      <c r="M2667" s="36">
        <f>VLOOKUP(D2667, County_Data_CZones!$B$2:$F$3236, 2, FALSE)</f>
        <v>2</v>
      </c>
      <c r="N2667" s="37" t="str">
        <f>VLOOKUP(D2667, County_Data_CZones!$B$2:$F$3236, 5, FALSE)</f>
        <v>Hot-Humid</v>
      </c>
    </row>
    <row r="2668" ht="15.75" customHeight="1">
      <c r="A2668" s="32" t="s">
        <v>143</v>
      </c>
      <c r="B2668" s="32" t="s">
        <v>1159</v>
      </c>
      <c r="C2668" s="32" t="str">
        <f>vlookup(B2668,State_EMM_RowSums!$A$2:$B$52,2,FALSE)</f>
        <v>TX</v>
      </c>
      <c r="D2668" s="32">
        <v>48287.0</v>
      </c>
      <c r="E2668" s="33">
        <f>IF(NOT(ISBLANK(vlookup($D2668,Pop_Census_2023!$A$2:$E$3220,4,FALSE))),vlookup($D2668,Pop_Census_2023!$A$2:$E$3220,4,FALSE), vlookup($D2668,Pop_Census_2023!$A$2:$E$3220,5,FALSE))</f>
        <v>18240</v>
      </c>
      <c r="F2668" s="32">
        <v>1383929.0</v>
      </c>
      <c r="G2668" s="32">
        <v>64.0</v>
      </c>
      <c r="H2668" s="32" t="str">
        <f>VLOOKUP(D2668, Grid_Region_Mapping!$D$2:$F$5286, 3, FALSE)</f>
        <v>TRE</v>
      </c>
      <c r="I2668" s="32">
        <v>7.0</v>
      </c>
      <c r="J2668" s="34" t="str">
        <f t="shared" si="1"/>
        <v>South</v>
      </c>
      <c r="K2668" s="35">
        <v>5.0</v>
      </c>
      <c r="L2668" s="35" t="s">
        <v>104</v>
      </c>
      <c r="M2668" s="36">
        <f>VLOOKUP(D2668, County_Data_CZones!$B$2:$F$3236, 2, FALSE)</f>
        <v>2</v>
      </c>
      <c r="N2668" s="37" t="str">
        <f>VLOOKUP(D2668, County_Data_CZones!$B$2:$F$3236, 5, FALSE)</f>
        <v>Hot-Humid</v>
      </c>
    </row>
    <row r="2669" ht="15.75" customHeight="1">
      <c r="A2669" s="32" t="s">
        <v>436</v>
      </c>
      <c r="B2669" s="32" t="s">
        <v>1159</v>
      </c>
      <c r="C2669" s="32" t="str">
        <f>vlookup(B2669,State_EMM_RowSums!$A$2:$B$52,2,FALSE)</f>
        <v>TX</v>
      </c>
      <c r="D2669" s="32">
        <v>48289.0</v>
      </c>
      <c r="E2669" s="33">
        <f>IF(NOT(ISBLANK(vlookup($D2669,Pop_Census_2023!$A$2:$E$3220,4,FALSE))),vlookup($D2669,Pop_Census_2023!$A$2:$E$3220,4,FALSE), vlookup($D2669,Pop_Census_2023!$A$2:$E$3220,5,FALSE))</f>
        <v>16538</v>
      </c>
      <c r="F2669" s="32">
        <v>1383930.0</v>
      </c>
      <c r="G2669" s="32">
        <v>63.0</v>
      </c>
      <c r="H2669" s="32" t="str">
        <f>VLOOKUP(D2669, Grid_Region_Mapping!$D$2:$F$5286, 3, FALSE)</f>
        <v>TRE</v>
      </c>
      <c r="I2669" s="32">
        <v>7.0</v>
      </c>
      <c r="J2669" s="34" t="str">
        <f t="shared" si="1"/>
        <v>South</v>
      </c>
      <c r="K2669" s="35">
        <v>5.0</v>
      </c>
      <c r="L2669" s="35" t="s">
        <v>104</v>
      </c>
      <c r="M2669" s="36">
        <f>VLOOKUP(D2669, County_Data_CZones!$B$2:$F$3236, 2, FALSE)</f>
        <v>2</v>
      </c>
      <c r="N2669" s="37" t="str">
        <f>VLOOKUP(D2669, County_Data_CZones!$B$2:$F$3236, 5, FALSE)</f>
        <v>Hot-Humid</v>
      </c>
    </row>
    <row r="2670" ht="15.75" customHeight="1">
      <c r="A2670" s="32" t="s">
        <v>438</v>
      </c>
      <c r="B2670" s="32" t="s">
        <v>1159</v>
      </c>
      <c r="C2670" s="32" t="str">
        <f>vlookup(B2670,State_EMM_RowSums!$A$2:$B$52,2,FALSE)</f>
        <v>TX</v>
      </c>
      <c r="D2670" s="32">
        <v>48291.0</v>
      </c>
      <c r="E2670" s="33">
        <f>IF(NOT(ISBLANK(vlookup($D2670,Pop_Census_2023!$A$2:$E$3220,4,FALSE))),vlookup($D2670,Pop_Census_2023!$A$2:$E$3220,4,FALSE), vlookup($D2670,Pop_Census_2023!$A$2:$E$3220,5,FALSE))</f>
        <v>108272</v>
      </c>
      <c r="F2670" s="32">
        <v>1383931.0</v>
      </c>
      <c r="G2670" s="32">
        <v>66.0</v>
      </c>
      <c r="H2670" s="32" t="str">
        <f>VLOOKUP(D2670, Grid_Region_Mapping!$D$2:$F$5286, 3, FALSE)</f>
        <v>MISS</v>
      </c>
      <c r="I2670" s="32">
        <v>7.0</v>
      </c>
      <c r="J2670" s="34" t="str">
        <f t="shared" si="1"/>
        <v>South</v>
      </c>
      <c r="K2670" s="35">
        <v>5.0</v>
      </c>
      <c r="L2670" s="35" t="s">
        <v>104</v>
      </c>
      <c r="M2670" s="36">
        <f>VLOOKUP(D2670, County_Data_CZones!$B$2:$F$3236, 2, FALSE)</f>
        <v>2</v>
      </c>
      <c r="N2670" s="37" t="str">
        <f>VLOOKUP(D2670, County_Data_CZones!$B$2:$F$3236, 5, FALSE)</f>
        <v>Hot-Humid</v>
      </c>
    </row>
    <row r="2671" ht="15.75" customHeight="1">
      <c r="A2671" s="32" t="s">
        <v>144</v>
      </c>
      <c r="B2671" s="32" t="s">
        <v>1159</v>
      </c>
      <c r="C2671" s="32" t="str">
        <f>vlookup(B2671,State_EMM_RowSums!$A$2:$B$52,2,FALSE)</f>
        <v>TX</v>
      </c>
      <c r="D2671" s="32">
        <v>48293.0</v>
      </c>
      <c r="E2671" s="33">
        <f>IF(NOT(ISBLANK(vlookup($D2671,Pop_Census_2023!$A$2:$E$3220,4,FALSE))),vlookup($D2671,Pop_Census_2023!$A$2:$E$3220,4,FALSE), vlookup($D2671,Pop_Census_2023!$A$2:$E$3220,5,FALSE))</f>
        <v>22250</v>
      </c>
      <c r="F2671" s="32">
        <v>1383932.0</v>
      </c>
      <c r="G2671" s="32">
        <v>63.0</v>
      </c>
      <c r="H2671" s="32" t="str">
        <f>VLOOKUP(D2671, Grid_Region_Mapping!$D$2:$F$5286, 3, FALSE)</f>
        <v>TRE</v>
      </c>
      <c r="I2671" s="32">
        <v>7.0</v>
      </c>
      <c r="J2671" s="34" t="str">
        <f t="shared" si="1"/>
        <v>South</v>
      </c>
      <c r="K2671" s="35">
        <v>5.0</v>
      </c>
      <c r="L2671" s="35" t="s">
        <v>104</v>
      </c>
      <c r="M2671" s="36">
        <f>VLOOKUP(D2671, County_Data_CZones!$B$2:$F$3236, 2, FALSE)</f>
        <v>2</v>
      </c>
      <c r="N2671" s="37" t="str">
        <f>VLOOKUP(D2671, County_Data_CZones!$B$2:$F$3236, 5, FALSE)</f>
        <v>Hot-Humid</v>
      </c>
    </row>
    <row r="2672" ht="15.75" customHeight="1">
      <c r="A2672" s="32" t="s">
        <v>1732</v>
      </c>
      <c r="B2672" s="32" t="s">
        <v>1159</v>
      </c>
      <c r="C2672" s="32" t="str">
        <f>vlookup(B2672,State_EMM_RowSums!$A$2:$B$52,2,FALSE)</f>
        <v>TX</v>
      </c>
      <c r="D2672" s="32">
        <v>48295.0</v>
      </c>
      <c r="E2672" s="33">
        <f>IF(NOT(ISBLANK(vlookup($D2672,Pop_Census_2023!$A$2:$E$3220,4,FALSE))),vlookup($D2672,Pop_Census_2023!$A$2:$E$3220,4,FALSE), vlookup($D2672,Pop_Census_2023!$A$2:$E$3220,5,FALSE))</f>
        <v>2906</v>
      </c>
      <c r="F2672" s="32">
        <v>1383933.0</v>
      </c>
      <c r="G2672" s="32">
        <v>48.0</v>
      </c>
      <c r="H2672" s="32" t="str">
        <f>VLOOKUP(D2672, Grid_Region_Mapping!$D$2:$F$5286, 3, FALSE)</f>
        <v>SPPS</v>
      </c>
      <c r="I2672" s="32">
        <v>7.0</v>
      </c>
      <c r="J2672" s="34" t="str">
        <f t="shared" si="1"/>
        <v>South</v>
      </c>
      <c r="K2672" s="35">
        <v>3.0</v>
      </c>
      <c r="L2672" s="35" t="s">
        <v>207</v>
      </c>
      <c r="M2672" s="36">
        <f>VLOOKUP(D2672, County_Data_CZones!$B$2:$F$3236, 2, FALSE)</f>
        <v>4</v>
      </c>
      <c r="N2672" s="37" t="str">
        <f>VLOOKUP(D2672, County_Data_CZones!$B$2:$F$3236, 5, FALSE)</f>
        <v>Mixed-Dry</v>
      </c>
    </row>
    <row r="2673" ht="15.75" customHeight="1">
      <c r="A2673" s="32" t="s">
        <v>1733</v>
      </c>
      <c r="B2673" s="32" t="s">
        <v>1159</v>
      </c>
      <c r="C2673" s="32" t="str">
        <f>vlookup(B2673,State_EMM_RowSums!$A$2:$B$52,2,FALSE)</f>
        <v>TX</v>
      </c>
      <c r="D2673" s="32">
        <v>48297.0</v>
      </c>
      <c r="E2673" s="33">
        <f>IF(NOT(ISBLANK(vlookup($D2673,Pop_Census_2023!$A$2:$E$3220,4,FALSE))),vlookup($D2673,Pop_Census_2023!$A$2:$E$3220,4,FALSE), vlookup($D2673,Pop_Census_2023!$A$2:$E$3220,5,FALSE))</f>
        <v>11584</v>
      </c>
      <c r="F2673" s="32">
        <v>1383934.0</v>
      </c>
      <c r="G2673" s="32">
        <v>65.0</v>
      </c>
      <c r="H2673" s="32" t="str">
        <f>VLOOKUP(D2673, Grid_Region_Mapping!$D$2:$F$5286, 3, FALSE)</f>
        <v>TRE</v>
      </c>
      <c r="I2673" s="32">
        <v>7.0</v>
      </c>
      <c r="J2673" s="34" t="str">
        <f t="shared" si="1"/>
        <v>South</v>
      </c>
      <c r="K2673" s="35">
        <v>5.0</v>
      </c>
      <c r="L2673" s="35" t="s">
        <v>104</v>
      </c>
      <c r="M2673" s="36">
        <f>VLOOKUP(D2673, County_Data_CZones!$B$2:$F$3236, 2, FALSE)</f>
        <v>2</v>
      </c>
      <c r="N2673" s="37" t="str">
        <f>VLOOKUP(D2673, County_Data_CZones!$B$2:$F$3236, 5, FALSE)</f>
        <v>Hot-Humid</v>
      </c>
    </row>
    <row r="2674" ht="15.75" customHeight="1">
      <c r="A2674" s="32" t="s">
        <v>1734</v>
      </c>
      <c r="B2674" s="32" t="s">
        <v>1159</v>
      </c>
      <c r="C2674" s="32" t="str">
        <f>vlookup(B2674,State_EMM_RowSums!$A$2:$B$52,2,FALSE)</f>
        <v>TX</v>
      </c>
      <c r="D2674" s="32">
        <v>48299.0</v>
      </c>
      <c r="E2674" s="33">
        <f>IF(NOT(ISBLANK(vlookup($D2674,Pop_Census_2023!$A$2:$E$3220,4,FALSE))),vlookup($D2674,Pop_Census_2023!$A$2:$E$3220,4,FALSE), vlookup($D2674,Pop_Census_2023!$A$2:$E$3220,5,FALSE))</f>
        <v>22875</v>
      </c>
      <c r="F2674" s="32">
        <v>1383935.0</v>
      </c>
      <c r="G2674" s="32">
        <v>64.0</v>
      </c>
      <c r="H2674" s="32" t="str">
        <f>VLOOKUP(D2674, Grid_Region_Mapping!$D$2:$F$5286, 3, FALSE)</f>
        <v>TRE</v>
      </c>
      <c r="I2674" s="32">
        <v>7.0</v>
      </c>
      <c r="J2674" s="34" t="str">
        <f t="shared" si="1"/>
        <v>South</v>
      </c>
      <c r="K2674" s="35">
        <v>5.0</v>
      </c>
      <c r="L2674" s="35" t="s">
        <v>102</v>
      </c>
      <c r="M2674" s="36">
        <f>VLOOKUP(D2674, County_Data_CZones!$B$2:$F$3236, 2, FALSE)</f>
        <v>3</v>
      </c>
      <c r="N2674" s="37" t="str">
        <f>VLOOKUP(D2674, County_Data_CZones!$B$2:$F$3236, 5, FALSE)</f>
        <v>Hot-Humid</v>
      </c>
    </row>
    <row r="2675" ht="15.75" customHeight="1">
      <c r="A2675" s="32" t="s">
        <v>1735</v>
      </c>
      <c r="B2675" s="32" t="s">
        <v>1159</v>
      </c>
      <c r="C2675" s="32" t="str">
        <f>vlookup(B2675,State_EMM_RowSums!$A$2:$B$52,2,FALSE)</f>
        <v>TX</v>
      </c>
      <c r="D2675" s="32">
        <v>48301.0</v>
      </c>
      <c r="E2675" s="33">
        <f>IF(NOT(ISBLANK(vlookup($D2675,Pop_Census_2023!$A$2:$E$3220,4,FALSE))),vlookup($D2675,Pop_Census_2023!$A$2:$E$3220,4,FALSE), vlookup($D2675,Pop_Census_2023!$A$2:$E$3220,5,FALSE))</f>
        <v>43</v>
      </c>
      <c r="F2675" s="32">
        <v>1383936.0</v>
      </c>
      <c r="G2675" s="32">
        <v>62.0</v>
      </c>
      <c r="H2675" s="32" t="str">
        <f>VLOOKUP(D2675, Grid_Region_Mapping!$D$2:$F$5286, 3, FALSE)</f>
        <v>TRE</v>
      </c>
      <c r="I2675" s="32">
        <v>7.0</v>
      </c>
      <c r="J2675" s="34" t="str">
        <f t="shared" si="1"/>
        <v>South</v>
      </c>
      <c r="K2675" s="35">
        <v>5.0</v>
      </c>
      <c r="L2675" s="35" t="s">
        <v>204</v>
      </c>
      <c r="M2675" s="36">
        <f>VLOOKUP(D2675, County_Data_CZones!$B$2:$F$3236, 2, FALSE)</f>
        <v>3</v>
      </c>
      <c r="N2675" s="37" t="str">
        <f>VLOOKUP(D2675, County_Data_CZones!$B$2:$F$3236, 5, FALSE)</f>
        <v>Hot-Dry</v>
      </c>
    </row>
    <row r="2676" ht="15.75" customHeight="1">
      <c r="A2676" s="32" t="s">
        <v>1736</v>
      </c>
      <c r="B2676" s="32" t="s">
        <v>1159</v>
      </c>
      <c r="C2676" s="32" t="str">
        <f>vlookup(B2676,State_EMM_RowSums!$A$2:$B$52,2,FALSE)</f>
        <v>TX</v>
      </c>
      <c r="D2676" s="32">
        <v>48303.0</v>
      </c>
      <c r="E2676" s="33">
        <f>IF(NOT(ISBLANK(vlookup($D2676,Pop_Census_2023!$A$2:$E$3220,4,FALSE))),vlookup($D2676,Pop_Census_2023!$A$2:$E$3220,4,FALSE), vlookup($D2676,Pop_Census_2023!$A$2:$E$3220,5,FALSE))</f>
        <v>320940</v>
      </c>
      <c r="F2676" s="32">
        <v>1383937.0</v>
      </c>
      <c r="G2676" s="32">
        <v>48.0</v>
      </c>
      <c r="H2676" s="32" t="str">
        <f>VLOOKUP(D2676, Grid_Region_Mapping!$D$2:$F$5286, 3, FALSE)</f>
        <v>SPPS</v>
      </c>
      <c r="I2676" s="32">
        <v>7.0</v>
      </c>
      <c r="J2676" s="34" t="str">
        <f t="shared" si="1"/>
        <v>South</v>
      </c>
      <c r="K2676" s="35">
        <v>4.0</v>
      </c>
      <c r="L2676" s="35" t="s">
        <v>204</v>
      </c>
      <c r="M2676" s="36">
        <f>VLOOKUP(D2676, County_Data_CZones!$B$2:$F$3236, 2, FALSE)</f>
        <v>3</v>
      </c>
      <c r="N2676" s="37" t="str">
        <f>VLOOKUP(D2676, County_Data_CZones!$B$2:$F$3236, 5, FALSE)</f>
        <v>Hot-Dry</v>
      </c>
    </row>
    <row r="2677" ht="15.75" customHeight="1">
      <c r="A2677" s="32" t="s">
        <v>1737</v>
      </c>
      <c r="B2677" s="32" t="s">
        <v>1159</v>
      </c>
      <c r="C2677" s="32" t="str">
        <f>vlookup(B2677,State_EMM_RowSums!$A$2:$B$52,2,FALSE)</f>
        <v>TX</v>
      </c>
      <c r="D2677" s="32">
        <v>48305.0</v>
      </c>
      <c r="E2677" s="33">
        <f>IF(NOT(ISBLANK(vlookup($D2677,Pop_Census_2023!$A$2:$E$3220,4,FALSE))),vlookup($D2677,Pop_Census_2023!$A$2:$E$3220,4,FALSE), vlookup($D2677,Pop_Census_2023!$A$2:$E$3220,5,FALSE))</f>
        <v>5761</v>
      </c>
      <c r="F2677" s="32">
        <v>1383938.0</v>
      </c>
      <c r="G2677" s="32">
        <v>48.0</v>
      </c>
      <c r="H2677" s="32" t="str">
        <f>VLOOKUP(D2677, Grid_Region_Mapping!$D$2:$F$5286, 3, FALSE)</f>
        <v>SPPS</v>
      </c>
      <c r="I2677" s="32">
        <v>7.0</v>
      </c>
      <c r="J2677" s="34" t="str">
        <f t="shared" si="1"/>
        <v>South</v>
      </c>
      <c r="K2677" s="35">
        <v>4.0</v>
      </c>
      <c r="L2677" s="35" t="s">
        <v>204</v>
      </c>
      <c r="M2677" s="36">
        <f>VLOOKUP(D2677, County_Data_CZones!$B$2:$F$3236, 2, FALSE)</f>
        <v>3</v>
      </c>
      <c r="N2677" s="37" t="str">
        <f>VLOOKUP(D2677, County_Data_CZones!$B$2:$F$3236, 5, FALSE)</f>
        <v>Hot-Dry</v>
      </c>
    </row>
    <row r="2678" ht="15.75" customHeight="1">
      <c r="A2678" s="32" t="s">
        <v>1738</v>
      </c>
      <c r="B2678" s="32" t="s">
        <v>1159</v>
      </c>
      <c r="C2678" s="32" t="str">
        <f>vlookup(B2678,State_EMM_RowSums!$A$2:$B$52,2,FALSE)</f>
        <v>TX</v>
      </c>
      <c r="D2678" s="32">
        <v>48307.0</v>
      </c>
      <c r="E2678" s="33">
        <f>IF(NOT(ISBLANK(vlookup($D2678,Pop_Census_2023!$A$2:$E$3220,4,FALSE))),vlookup($D2678,Pop_Census_2023!$A$2:$E$3220,4,FALSE), vlookup($D2678,Pop_Census_2023!$A$2:$E$3220,5,FALSE))</f>
        <v>7452</v>
      </c>
      <c r="F2678" s="32">
        <v>1383945.0</v>
      </c>
      <c r="G2678" s="32">
        <v>63.0</v>
      </c>
      <c r="H2678" s="32" t="str">
        <f>VLOOKUP(D2678, Grid_Region_Mapping!$D$2:$F$5286, 3, FALSE)</f>
        <v>TRE</v>
      </c>
      <c r="I2678" s="32">
        <v>7.0</v>
      </c>
      <c r="J2678" s="34" t="str">
        <f t="shared" si="1"/>
        <v>South</v>
      </c>
      <c r="K2678" s="35">
        <v>5.0</v>
      </c>
      <c r="L2678" s="35" t="s">
        <v>204</v>
      </c>
      <c r="M2678" s="36">
        <f>VLOOKUP(D2678, County_Data_CZones!$B$2:$F$3236, 2, FALSE)</f>
        <v>3</v>
      </c>
      <c r="N2678" s="37" t="str">
        <f>VLOOKUP(D2678, County_Data_CZones!$B$2:$F$3236, 5, FALSE)</f>
        <v>Hot-Dry</v>
      </c>
    </row>
    <row r="2679" ht="15.75" customHeight="1">
      <c r="A2679" s="32" t="s">
        <v>1739</v>
      </c>
      <c r="B2679" s="32" t="s">
        <v>1159</v>
      </c>
      <c r="C2679" s="32" t="str">
        <f>vlookup(B2679,State_EMM_RowSums!$A$2:$B$52,2,FALSE)</f>
        <v>TX</v>
      </c>
      <c r="D2679" s="32">
        <v>48309.0</v>
      </c>
      <c r="E2679" s="33">
        <f>IF(NOT(ISBLANK(vlookup($D2679,Pop_Census_2023!$A$2:$E$3220,4,FALSE))),vlookup($D2679,Pop_Census_2023!$A$2:$E$3220,4,FALSE), vlookup($D2679,Pop_Census_2023!$A$2:$E$3220,5,FALSE))</f>
        <v>268583</v>
      </c>
      <c r="F2679" s="32">
        <v>1383946.0</v>
      </c>
      <c r="G2679" s="32">
        <v>63.0</v>
      </c>
      <c r="H2679" s="32" t="str">
        <f>VLOOKUP(D2679, Grid_Region_Mapping!$D$2:$F$5286, 3, FALSE)</f>
        <v>TRE</v>
      </c>
      <c r="I2679" s="32">
        <v>7.0</v>
      </c>
      <c r="J2679" s="34" t="str">
        <f t="shared" si="1"/>
        <v>South</v>
      </c>
      <c r="K2679" s="35">
        <v>5.0</v>
      </c>
      <c r="L2679" s="35" t="s">
        <v>104</v>
      </c>
      <c r="M2679" s="36">
        <f>VLOOKUP(D2679, County_Data_CZones!$B$2:$F$3236, 2, FALSE)</f>
        <v>2</v>
      </c>
      <c r="N2679" s="37" t="str">
        <f>VLOOKUP(D2679, County_Data_CZones!$B$2:$F$3236, 5, FALSE)</f>
        <v>Hot-Humid</v>
      </c>
    </row>
    <row r="2680" ht="15.75" customHeight="1">
      <c r="A2680" s="32" t="s">
        <v>1740</v>
      </c>
      <c r="B2680" s="32" t="s">
        <v>1159</v>
      </c>
      <c r="C2680" s="32" t="str">
        <f>vlookup(B2680,State_EMM_RowSums!$A$2:$B$52,2,FALSE)</f>
        <v>TX</v>
      </c>
      <c r="D2680" s="32">
        <v>48311.0</v>
      </c>
      <c r="E2680" s="33">
        <f>IF(NOT(ISBLANK(vlookup($D2680,Pop_Census_2023!$A$2:$E$3220,4,FALSE))),vlookup($D2680,Pop_Census_2023!$A$2:$E$3220,4,FALSE), vlookup($D2680,Pop_Census_2023!$A$2:$E$3220,5,FALSE))</f>
        <v>568</v>
      </c>
      <c r="F2680" s="32">
        <v>1383947.0</v>
      </c>
      <c r="G2680" s="32">
        <v>65.0</v>
      </c>
      <c r="H2680" s="32" t="str">
        <f>VLOOKUP(D2680, Grid_Region_Mapping!$D$2:$F$5286, 3, FALSE)</f>
        <v>TRE</v>
      </c>
      <c r="I2680" s="32">
        <v>7.0</v>
      </c>
      <c r="J2680" s="34" t="str">
        <f t="shared" si="1"/>
        <v>South</v>
      </c>
      <c r="K2680" s="35">
        <v>5.0</v>
      </c>
      <c r="L2680" s="35" t="s">
        <v>104</v>
      </c>
      <c r="M2680" s="36">
        <f>VLOOKUP(D2680, County_Data_CZones!$B$2:$F$3236, 2, FALSE)</f>
        <v>2</v>
      </c>
      <c r="N2680" s="37" t="str">
        <f>VLOOKUP(D2680, County_Data_CZones!$B$2:$F$3236, 5, FALSE)</f>
        <v>Hot-Humid</v>
      </c>
    </row>
    <row r="2681" ht="15.75" customHeight="1">
      <c r="A2681" s="32" t="s">
        <v>147</v>
      </c>
      <c r="B2681" s="32" t="s">
        <v>1159</v>
      </c>
      <c r="C2681" s="32" t="str">
        <f>vlookup(B2681,State_EMM_RowSums!$A$2:$B$52,2,FALSE)</f>
        <v>TX</v>
      </c>
      <c r="D2681" s="32">
        <v>48313.0</v>
      </c>
      <c r="E2681" s="33">
        <f>IF(NOT(ISBLANK(vlookup($D2681,Pop_Census_2023!$A$2:$E$3220,4,FALSE))),vlookup($D2681,Pop_Census_2023!$A$2:$E$3220,4,FALSE), vlookup($D2681,Pop_Census_2023!$A$2:$E$3220,5,FALSE))</f>
        <v>13742</v>
      </c>
      <c r="F2681" s="32">
        <v>1383939.0</v>
      </c>
      <c r="G2681" s="32">
        <v>63.0</v>
      </c>
      <c r="H2681" s="32" t="str">
        <f>VLOOKUP(D2681, Grid_Region_Mapping!$D$2:$F$5286, 3, FALSE)</f>
        <v>MISS</v>
      </c>
      <c r="I2681" s="32">
        <v>7.0</v>
      </c>
      <c r="J2681" s="34" t="str">
        <f t="shared" si="1"/>
        <v>South</v>
      </c>
      <c r="K2681" s="35">
        <v>5.0</v>
      </c>
      <c r="L2681" s="35" t="s">
        <v>104</v>
      </c>
      <c r="M2681" s="36">
        <f>VLOOKUP(D2681, County_Data_CZones!$B$2:$F$3236, 2, FALSE)</f>
        <v>2</v>
      </c>
      <c r="N2681" s="37" t="str">
        <f>VLOOKUP(D2681, County_Data_CZones!$B$2:$F$3236, 5, FALSE)</f>
        <v>Hot-Humid</v>
      </c>
    </row>
    <row r="2682" ht="15.75" customHeight="1">
      <c r="A2682" s="32" t="s">
        <v>149</v>
      </c>
      <c r="B2682" s="32" t="s">
        <v>1159</v>
      </c>
      <c r="C2682" s="32" t="str">
        <f>vlookup(B2682,State_EMM_RowSums!$A$2:$B$52,2,FALSE)</f>
        <v>TX</v>
      </c>
      <c r="D2682" s="32">
        <v>48315.0</v>
      </c>
      <c r="E2682" s="33">
        <f>IF(NOT(ISBLANK(vlookup($D2682,Pop_Census_2023!$A$2:$E$3220,4,FALSE))),vlookup($D2682,Pop_Census_2023!$A$2:$E$3220,4,FALSE), vlookup($D2682,Pop_Census_2023!$A$2:$E$3220,5,FALSE))</f>
        <v>9571</v>
      </c>
      <c r="F2682" s="32">
        <v>1383940.0</v>
      </c>
      <c r="G2682" s="32">
        <v>57.0</v>
      </c>
      <c r="H2682" s="32" t="str">
        <f>VLOOKUP(D2682, Grid_Region_Mapping!$D$2:$F$5286, 3, FALSE)</f>
        <v>SPPS</v>
      </c>
      <c r="I2682" s="32">
        <v>7.0</v>
      </c>
      <c r="J2682" s="34" t="str">
        <f t="shared" si="1"/>
        <v>South</v>
      </c>
      <c r="K2682" s="35">
        <v>5.0</v>
      </c>
      <c r="L2682" s="35" t="s">
        <v>102</v>
      </c>
      <c r="M2682" s="36">
        <f>VLOOKUP(D2682, County_Data_CZones!$B$2:$F$3236, 2, FALSE)</f>
        <v>3</v>
      </c>
      <c r="N2682" s="37" t="str">
        <f>VLOOKUP(D2682, County_Data_CZones!$B$2:$F$3236, 5, FALSE)</f>
        <v>Hot-Humid</v>
      </c>
    </row>
    <row r="2683" ht="15.75" customHeight="1">
      <c r="A2683" s="32" t="s">
        <v>440</v>
      </c>
      <c r="B2683" s="32" t="s">
        <v>1159</v>
      </c>
      <c r="C2683" s="32" t="str">
        <f>vlookup(B2683,State_EMM_RowSums!$A$2:$B$52,2,FALSE)</f>
        <v>TX</v>
      </c>
      <c r="D2683" s="32">
        <v>48317.0</v>
      </c>
      <c r="E2683" s="33">
        <f>IF(NOT(ISBLANK(vlookup($D2683,Pop_Census_2023!$A$2:$E$3220,4,FALSE))),vlookup($D2683,Pop_Census_2023!$A$2:$E$3220,4,FALSE), vlookup($D2683,Pop_Census_2023!$A$2:$E$3220,5,FALSE))</f>
        <v>5216</v>
      </c>
      <c r="F2683" s="32">
        <v>1383941.0</v>
      </c>
      <c r="G2683" s="32">
        <v>62.0</v>
      </c>
      <c r="H2683" s="32" t="str">
        <f>VLOOKUP(D2683, Grid_Region_Mapping!$D$2:$F$5286, 3, FALSE)</f>
        <v>TRE</v>
      </c>
      <c r="I2683" s="32">
        <v>7.0</v>
      </c>
      <c r="J2683" s="34" t="str">
        <f t="shared" si="1"/>
        <v>South</v>
      </c>
      <c r="K2683" s="35">
        <v>5.0</v>
      </c>
      <c r="L2683" s="35" t="s">
        <v>204</v>
      </c>
      <c r="M2683" s="36">
        <f>VLOOKUP(D2683, County_Data_CZones!$B$2:$F$3236, 2, FALSE)</f>
        <v>3</v>
      </c>
      <c r="N2683" s="37" t="str">
        <f>VLOOKUP(D2683, County_Data_CZones!$B$2:$F$3236, 5, FALSE)</f>
        <v>Hot-Dry</v>
      </c>
    </row>
    <row r="2684" ht="15.75" customHeight="1">
      <c r="A2684" s="32" t="s">
        <v>641</v>
      </c>
      <c r="B2684" s="32" t="s">
        <v>1159</v>
      </c>
      <c r="C2684" s="32" t="str">
        <f>vlookup(B2684,State_EMM_RowSums!$A$2:$B$52,2,FALSE)</f>
        <v>TX</v>
      </c>
      <c r="D2684" s="32">
        <v>48319.0</v>
      </c>
      <c r="E2684" s="33">
        <f>IF(NOT(ISBLANK(vlookup($D2684,Pop_Census_2023!$A$2:$E$3220,4,FALSE))),vlookup($D2684,Pop_Census_2023!$A$2:$E$3220,4,FALSE), vlookup($D2684,Pop_Census_2023!$A$2:$E$3220,5,FALSE))</f>
        <v>3931</v>
      </c>
      <c r="F2684" s="32">
        <v>1383942.0</v>
      </c>
      <c r="G2684" s="32">
        <v>64.0</v>
      </c>
      <c r="H2684" s="32" t="str">
        <f>VLOOKUP(D2684, Grid_Region_Mapping!$D$2:$F$5286, 3, FALSE)</f>
        <v>TRE</v>
      </c>
      <c r="I2684" s="32">
        <v>7.0</v>
      </c>
      <c r="J2684" s="34" t="str">
        <f t="shared" si="1"/>
        <v>South</v>
      </c>
      <c r="K2684" s="35">
        <v>5.0</v>
      </c>
      <c r="L2684" s="35" t="s">
        <v>204</v>
      </c>
      <c r="M2684" s="36">
        <f>VLOOKUP(D2684, County_Data_CZones!$B$2:$F$3236, 2, FALSE)</f>
        <v>3</v>
      </c>
      <c r="N2684" s="37" t="str">
        <f>VLOOKUP(D2684, County_Data_CZones!$B$2:$F$3236, 5, FALSE)</f>
        <v>Hot-Dry</v>
      </c>
    </row>
    <row r="2685" ht="15.75" customHeight="1">
      <c r="A2685" s="32" t="s">
        <v>1741</v>
      </c>
      <c r="B2685" s="32" t="s">
        <v>1159</v>
      </c>
      <c r="C2685" s="32" t="str">
        <f>vlookup(B2685,State_EMM_RowSums!$A$2:$B$52,2,FALSE)</f>
        <v>TX</v>
      </c>
      <c r="D2685" s="32">
        <v>48321.0</v>
      </c>
      <c r="E2685" s="33">
        <f>IF(NOT(ISBLANK(vlookup($D2685,Pop_Census_2023!$A$2:$E$3220,4,FALSE))),vlookup($D2685,Pop_Census_2023!$A$2:$E$3220,4,FALSE), vlookup($D2685,Pop_Census_2023!$A$2:$E$3220,5,FALSE))</f>
        <v>36359</v>
      </c>
      <c r="F2685" s="32">
        <v>1383943.0</v>
      </c>
      <c r="G2685" s="32">
        <v>65.0</v>
      </c>
      <c r="H2685" s="32" t="str">
        <f>VLOOKUP(D2685, Grid_Region_Mapping!$D$2:$F$5286, 3, FALSE)</f>
        <v>TRE</v>
      </c>
      <c r="I2685" s="32">
        <v>7.0</v>
      </c>
      <c r="J2685" s="34" t="str">
        <f t="shared" si="1"/>
        <v>South</v>
      </c>
      <c r="K2685" s="35">
        <v>5.0</v>
      </c>
      <c r="L2685" s="35" t="s">
        <v>104</v>
      </c>
      <c r="M2685" s="36">
        <f>VLOOKUP(D2685, County_Data_CZones!$B$2:$F$3236, 2, FALSE)</f>
        <v>2</v>
      </c>
      <c r="N2685" s="37" t="str">
        <f>VLOOKUP(D2685, County_Data_CZones!$B$2:$F$3236, 5, FALSE)</f>
        <v>Hot-Humid</v>
      </c>
    </row>
    <row r="2686" ht="15.75" customHeight="1">
      <c r="A2686" s="32" t="s">
        <v>1742</v>
      </c>
      <c r="B2686" s="32" t="s">
        <v>1159</v>
      </c>
      <c r="C2686" s="32" t="str">
        <f>vlookup(B2686,State_EMM_RowSums!$A$2:$B$52,2,FALSE)</f>
        <v>TX</v>
      </c>
      <c r="D2686" s="32">
        <v>48323.0</v>
      </c>
      <c r="E2686" s="33">
        <f>IF(NOT(ISBLANK(vlookup($D2686,Pop_Census_2023!$A$2:$E$3220,4,FALSE))),vlookup($D2686,Pop_Census_2023!$A$2:$E$3220,4,FALSE), vlookup($D2686,Pop_Census_2023!$A$2:$E$3220,5,FALSE))</f>
        <v>57762</v>
      </c>
      <c r="F2686" s="32">
        <v>1383944.0</v>
      </c>
      <c r="G2686" s="32">
        <v>65.0</v>
      </c>
      <c r="H2686" s="32" t="str">
        <f>VLOOKUP(D2686, Grid_Region_Mapping!$D$2:$F$5286, 3, FALSE)</f>
        <v>TRE</v>
      </c>
      <c r="I2686" s="32">
        <v>7.0</v>
      </c>
      <c r="J2686" s="34" t="str">
        <f t="shared" si="1"/>
        <v>South</v>
      </c>
      <c r="K2686" s="35">
        <v>5.0</v>
      </c>
      <c r="L2686" s="35" t="s">
        <v>211</v>
      </c>
      <c r="M2686" s="36">
        <f>VLOOKUP(D2686, County_Data_CZones!$B$2:$F$3236, 2, FALSE)</f>
        <v>2</v>
      </c>
      <c r="N2686" s="37" t="str">
        <f>VLOOKUP(D2686, County_Data_CZones!$B$2:$F$3236, 5, FALSE)</f>
        <v>Hot-Humid</v>
      </c>
    </row>
    <row r="2687" ht="15.75" customHeight="1">
      <c r="A2687" s="32" t="s">
        <v>1441</v>
      </c>
      <c r="B2687" s="32" t="s">
        <v>1159</v>
      </c>
      <c r="C2687" s="32" t="str">
        <f>vlookup(B2687,State_EMM_RowSums!$A$2:$B$52,2,FALSE)</f>
        <v>TX</v>
      </c>
      <c r="D2687" s="32">
        <v>48325.0</v>
      </c>
      <c r="E2687" s="33">
        <f>IF(NOT(ISBLANK(vlookup($D2687,Pop_Census_2023!$A$2:$E$3220,4,FALSE))),vlookup($D2687,Pop_Census_2023!$A$2:$E$3220,4,FALSE), vlookup($D2687,Pop_Census_2023!$A$2:$E$3220,5,FALSE))</f>
        <v>54797</v>
      </c>
      <c r="F2687" s="32">
        <v>1383948.0</v>
      </c>
      <c r="G2687" s="32">
        <v>65.0</v>
      </c>
      <c r="H2687" s="32" t="str">
        <f>VLOOKUP(D2687, Grid_Region_Mapping!$D$2:$F$5286, 3, FALSE)</f>
        <v>TRE</v>
      </c>
      <c r="I2687" s="32">
        <v>7.0</v>
      </c>
      <c r="J2687" s="34" t="str">
        <f t="shared" si="1"/>
        <v>South</v>
      </c>
      <c r="K2687" s="35">
        <v>5.0</v>
      </c>
      <c r="L2687" s="35" t="s">
        <v>211</v>
      </c>
      <c r="M2687" s="36">
        <f>VLOOKUP(D2687, County_Data_CZones!$B$2:$F$3236, 2, FALSE)</f>
        <v>2</v>
      </c>
      <c r="N2687" s="37" t="str">
        <f>VLOOKUP(D2687, County_Data_CZones!$B$2:$F$3236, 5, FALSE)</f>
        <v>Hot-Humid</v>
      </c>
    </row>
    <row r="2688" ht="15.75" customHeight="1">
      <c r="A2688" s="32" t="s">
        <v>643</v>
      </c>
      <c r="B2688" s="32" t="s">
        <v>1159</v>
      </c>
      <c r="C2688" s="32" t="str">
        <f>vlookup(B2688,State_EMM_RowSums!$A$2:$B$52,2,FALSE)</f>
        <v>TX</v>
      </c>
      <c r="D2688" s="32">
        <v>48327.0</v>
      </c>
      <c r="E2688" s="33">
        <f>IF(NOT(ISBLANK(vlookup($D2688,Pop_Census_2023!$A$2:$E$3220,4,FALSE))),vlookup($D2688,Pop_Census_2023!$A$2:$E$3220,4,FALSE), vlookup($D2688,Pop_Census_2023!$A$2:$E$3220,5,FALSE))</f>
        <v>1958</v>
      </c>
      <c r="F2688" s="32">
        <v>1383949.0</v>
      </c>
      <c r="G2688" s="32">
        <v>64.0</v>
      </c>
      <c r="H2688" s="32" t="str">
        <f>VLOOKUP(D2688, Grid_Region_Mapping!$D$2:$F$5286, 3, FALSE)</f>
        <v>TRE</v>
      </c>
      <c r="I2688" s="32">
        <v>7.0</v>
      </c>
      <c r="J2688" s="34" t="str">
        <f t="shared" si="1"/>
        <v>South</v>
      </c>
      <c r="K2688" s="35">
        <v>5.0</v>
      </c>
      <c r="L2688" s="35" t="s">
        <v>204</v>
      </c>
      <c r="M2688" s="36">
        <f>VLOOKUP(D2688, County_Data_CZones!$B$2:$F$3236, 2, FALSE)</f>
        <v>3</v>
      </c>
      <c r="N2688" s="37" t="str">
        <f>VLOOKUP(D2688, County_Data_CZones!$B$2:$F$3236, 5, FALSE)</f>
        <v>Hot-Dry</v>
      </c>
    </row>
    <row r="2689" ht="15.75" customHeight="1">
      <c r="A2689" s="32" t="s">
        <v>1004</v>
      </c>
      <c r="B2689" s="32" t="s">
        <v>1159</v>
      </c>
      <c r="C2689" s="32" t="str">
        <f>vlookup(B2689,State_EMM_RowSums!$A$2:$B$52,2,FALSE)</f>
        <v>TX</v>
      </c>
      <c r="D2689" s="32">
        <v>48329.0</v>
      </c>
      <c r="E2689" s="33">
        <f>IF(NOT(ISBLANK(vlookup($D2689,Pop_Census_2023!$A$2:$E$3220,4,FALSE))),vlookup($D2689,Pop_Census_2023!$A$2:$E$3220,4,FALSE), vlookup($D2689,Pop_Census_2023!$A$2:$E$3220,5,FALSE))</f>
        <v>177108</v>
      </c>
      <c r="F2689" s="32">
        <v>1383950.0</v>
      </c>
      <c r="G2689" s="32">
        <v>62.0</v>
      </c>
      <c r="H2689" s="32" t="str">
        <f>VLOOKUP(D2689, Grid_Region_Mapping!$D$2:$F$5286, 3, FALSE)</f>
        <v>TRE</v>
      </c>
      <c r="I2689" s="32">
        <v>7.0</v>
      </c>
      <c r="J2689" s="34" t="str">
        <f t="shared" si="1"/>
        <v>South</v>
      </c>
      <c r="K2689" s="35">
        <v>5.0</v>
      </c>
      <c r="L2689" s="35" t="s">
        <v>204</v>
      </c>
      <c r="M2689" s="36">
        <f>VLOOKUP(D2689, County_Data_CZones!$B$2:$F$3236, 2, FALSE)</f>
        <v>3</v>
      </c>
      <c r="N2689" s="37" t="str">
        <f>VLOOKUP(D2689, County_Data_CZones!$B$2:$F$3236, 5, FALSE)</f>
        <v>Hot-Dry</v>
      </c>
    </row>
    <row r="2690" ht="15.75" customHeight="1">
      <c r="A2690" s="32" t="s">
        <v>1743</v>
      </c>
      <c r="B2690" s="32" t="s">
        <v>1159</v>
      </c>
      <c r="C2690" s="32" t="str">
        <f>vlookup(B2690,State_EMM_RowSums!$A$2:$B$52,2,FALSE)</f>
        <v>TX</v>
      </c>
      <c r="D2690" s="32">
        <v>48331.0</v>
      </c>
      <c r="E2690" s="33">
        <f>IF(NOT(ISBLANK(vlookup($D2690,Pop_Census_2023!$A$2:$E$3220,4,FALSE))),vlookup($D2690,Pop_Census_2023!$A$2:$E$3220,4,FALSE), vlookup($D2690,Pop_Census_2023!$A$2:$E$3220,5,FALSE))</f>
        <v>25951</v>
      </c>
      <c r="F2690" s="32">
        <v>1383951.0</v>
      </c>
      <c r="G2690" s="32">
        <v>63.0</v>
      </c>
      <c r="H2690" s="32" t="str">
        <f>VLOOKUP(D2690, Grid_Region_Mapping!$D$2:$F$5286, 3, FALSE)</f>
        <v>MISS</v>
      </c>
      <c r="I2690" s="32">
        <v>7.0</v>
      </c>
      <c r="J2690" s="34" t="str">
        <f t="shared" si="1"/>
        <v>South</v>
      </c>
      <c r="K2690" s="35">
        <v>5.0</v>
      </c>
      <c r="L2690" s="35" t="s">
        <v>104</v>
      </c>
      <c r="M2690" s="36">
        <f>VLOOKUP(D2690, County_Data_CZones!$B$2:$F$3236, 2, FALSE)</f>
        <v>2</v>
      </c>
      <c r="N2690" s="37" t="str">
        <f>VLOOKUP(D2690, County_Data_CZones!$B$2:$F$3236, 5, FALSE)</f>
        <v>Hot-Humid</v>
      </c>
    </row>
    <row r="2691" ht="15.75" customHeight="1">
      <c r="A2691" s="32" t="s">
        <v>731</v>
      </c>
      <c r="B2691" s="32" t="s">
        <v>1159</v>
      </c>
      <c r="C2691" s="32" t="str">
        <f>vlookup(B2691,State_EMM_RowSums!$A$2:$B$52,2,FALSE)</f>
        <v>TX</v>
      </c>
      <c r="D2691" s="32">
        <v>48333.0</v>
      </c>
      <c r="E2691" s="33">
        <f>IF(NOT(ISBLANK(vlookup($D2691,Pop_Census_2023!$A$2:$E$3220,4,FALSE))),vlookup($D2691,Pop_Census_2023!$A$2:$E$3220,4,FALSE), vlookup($D2691,Pop_Census_2023!$A$2:$E$3220,5,FALSE))</f>
        <v>4548</v>
      </c>
      <c r="F2691" s="32">
        <v>1383952.0</v>
      </c>
      <c r="G2691" s="32">
        <v>63.0</v>
      </c>
      <c r="H2691" s="32" t="str">
        <f>VLOOKUP(D2691, Grid_Region_Mapping!$D$2:$F$5286, 3, FALSE)</f>
        <v>TRE</v>
      </c>
      <c r="I2691" s="32">
        <v>7.0</v>
      </c>
      <c r="J2691" s="34" t="str">
        <f t="shared" si="1"/>
        <v>South</v>
      </c>
      <c r="K2691" s="35">
        <v>5.0</v>
      </c>
      <c r="L2691" s="35" t="s">
        <v>102</v>
      </c>
      <c r="M2691" s="36">
        <f>VLOOKUP(D2691, County_Data_CZones!$B$2:$F$3236, 2, FALSE)</f>
        <v>3</v>
      </c>
      <c r="N2691" s="37" t="str">
        <f>VLOOKUP(D2691, County_Data_CZones!$B$2:$F$3236, 5, FALSE)</f>
        <v>Hot-Humid</v>
      </c>
    </row>
    <row r="2692" ht="15.75" customHeight="1">
      <c r="A2692" s="32" t="s">
        <v>529</v>
      </c>
      <c r="B2692" s="32" t="s">
        <v>1159</v>
      </c>
      <c r="C2692" s="32" t="str">
        <f>vlookup(B2692,State_EMM_RowSums!$A$2:$B$52,2,FALSE)</f>
        <v>TX</v>
      </c>
      <c r="D2692" s="32">
        <v>48335.0</v>
      </c>
      <c r="E2692" s="33">
        <f>IF(NOT(ISBLANK(vlookup($D2692,Pop_Census_2023!$A$2:$E$3220,4,FALSE))),vlookup($D2692,Pop_Census_2023!$A$2:$E$3220,4,FALSE), vlookup($D2692,Pop_Census_2023!$A$2:$E$3220,5,FALSE))</f>
        <v>9075</v>
      </c>
      <c r="F2692" s="32">
        <v>1383953.0</v>
      </c>
      <c r="G2692" s="32">
        <v>60.0</v>
      </c>
      <c r="H2692" s="32" t="str">
        <f>VLOOKUP(D2692, Grid_Region_Mapping!$D$2:$F$5286, 3, FALSE)</f>
        <v>TRE</v>
      </c>
      <c r="I2692" s="32">
        <v>7.0</v>
      </c>
      <c r="J2692" s="34" t="str">
        <f t="shared" si="1"/>
        <v>South</v>
      </c>
      <c r="K2692" s="35">
        <v>5.0</v>
      </c>
      <c r="L2692" s="35" t="s">
        <v>204</v>
      </c>
      <c r="M2692" s="36">
        <f>VLOOKUP(D2692, County_Data_CZones!$B$2:$F$3236, 2, FALSE)</f>
        <v>3</v>
      </c>
      <c r="N2692" s="37" t="str">
        <f>VLOOKUP(D2692, County_Data_CZones!$B$2:$F$3236, 5, FALSE)</f>
        <v>Hot-Dry</v>
      </c>
    </row>
    <row r="2693" ht="15.75" customHeight="1">
      <c r="A2693" s="32" t="s">
        <v>1744</v>
      </c>
      <c r="B2693" s="32" t="s">
        <v>1159</v>
      </c>
      <c r="C2693" s="32" t="str">
        <f>vlookup(B2693,State_EMM_RowSums!$A$2:$B$52,2,FALSE)</f>
        <v>TX</v>
      </c>
      <c r="D2693" s="32">
        <v>48337.0</v>
      </c>
      <c r="E2693" s="33">
        <f>IF(NOT(ISBLANK(vlookup($D2693,Pop_Census_2023!$A$2:$E$3220,4,FALSE))),vlookup($D2693,Pop_Census_2023!$A$2:$E$3220,4,FALSE), vlookup($D2693,Pop_Census_2023!$A$2:$E$3220,5,FALSE))</f>
        <v>21598</v>
      </c>
      <c r="F2693" s="32">
        <v>1383954.0</v>
      </c>
      <c r="G2693" s="32">
        <v>63.0</v>
      </c>
      <c r="H2693" s="32" t="str">
        <f>VLOOKUP(D2693, Grid_Region_Mapping!$D$2:$F$5286, 3, FALSE)</f>
        <v>TRE</v>
      </c>
      <c r="I2693" s="32">
        <v>7.0</v>
      </c>
      <c r="J2693" s="34" t="str">
        <f t="shared" si="1"/>
        <v>South</v>
      </c>
      <c r="K2693" s="35">
        <v>5.0</v>
      </c>
      <c r="L2693" s="35" t="s">
        <v>102</v>
      </c>
      <c r="M2693" s="36">
        <f>VLOOKUP(D2693, County_Data_CZones!$B$2:$F$3236, 2, FALSE)</f>
        <v>3</v>
      </c>
      <c r="N2693" s="37" t="str">
        <f>VLOOKUP(D2693, County_Data_CZones!$B$2:$F$3236, 5, FALSE)</f>
        <v>Mixed-Humid</v>
      </c>
    </row>
    <row r="2694" ht="15.75" customHeight="1">
      <c r="A2694" s="32" t="s">
        <v>153</v>
      </c>
      <c r="B2694" s="32" t="s">
        <v>1159</v>
      </c>
      <c r="C2694" s="32" t="str">
        <f>vlookup(B2694,State_EMM_RowSums!$A$2:$B$52,2,FALSE)</f>
        <v>TX</v>
      </c>
      <c r="D2694" s="32">
        <v>48339.0</v>
      </c>
      <c r="E2694" s="33">
        <f>IF(NOT(ISBLANK(vlookup($D2694,Pop_Census_2023!$A$2:$E$3220,4,FALSE))),vlookup($D2694,Pop_Census_2023!$A$2:$E$3220,4,FALSE), vlookup($D2694,Pop_Census_2023!$A$2:$E$3220,5,FALSE))</f>
        <v>711354</v>
      </c>
      <c r="F2694" s="32">
        <v>1383955.0</v>
      </c>
      <c r="G2694" s="32">
        <v>66.0</v>
      </c>
      <c r="H2694" s="32" t="str">
        <f>VLOOKUP(D2694, Grid_Region_Mapping!$D$2:$F$5286, 3, FALSE)</f>
        <v>MISS</v>
      </c>
      <c r="I2694" s="32">
        <v>7.0</v>
      </c>
      <c r="J2694" s="34" t="str">
        <f t="shared" si="1"/>
        <v>South</v>
      </c>
      <c r="K2694" s="35">
        <v>5.0</v>
      </c>
      <c r="L2694" s="35" t="s">
        <v>104</v>
      </c>
      <c r="M2694" s="36">
        <f>VLOOKUP(D2694, County_Data_CZones!$B$2:$F$3236, 2, FALSE)</f>
        <v>2</v>
      </c>
      <c r="N2694" s="37" t="str">
        <f>VLOOKUP(D2694, County_Data_CZones!$B$2:$F$3236, 5, FALSE)</f>
        <v>Hot-Humid</v>
      </c>
    </row>
    <row r="2695" ht="15.75" customHeight="1">
      <c r="A2695" s="32" t="s">
        <v>1365</v>
      </c>
      <c r="B2695" s="32" t="s">
        <v>1159</v>
      </c>
      <c r="C2695" s="32" t="str">
        <f>vlookup(B2695,State_EMM_RowSums!$A$2:$B$52,2,FALSE)</f>
        <v>TX</v>
      </c>
      <c r="D2695" s="32">
        <v>48341.0</v>
      </c>
      <c r="E2695" s="33">
        <f>IF(NOT(ISBLANK(vlookup($D2695,Pop_Census_2023!$A$2:$E$3220,4,FALSE))),vlookup($D2695,Pop_Census_2023!$A$2:$E$3220,4,FALSE), vlookup($D2695,Pop_Census_2023!$A$2:$E$3220,5,FALSE))</f>
        <v>21190</v>
      </c>
      <c r="F2695" s="32">
        <v>1383956.0</v>
      </c>
      <c r="G2695" s="32">
        <v>48.0</v>
      </c>
      <c r="H2695" s="32" t="str">
        <f>VLOOKUP(D2695, Grid_Region_Mapping!$D$2:$F$5286, 3, FALSE)</f>
        <v>SPPS</v>
      </c>
      <c r="I2695" s="32">
        <v>7.0</v>
      </c>
      <c r="J2695" s="34" t="str">
        <f t="shared" si="1"/>
        <v>South</v>
      </c>
      <c r="K2695" s="35">
        <v>3.0</v>
      </c>
      <c r="L2695" s="35" t="s">
        <v>207</v>
      </c>
      <c r="M2695" s="36">
        <f>VLOOKUP(D2695, County_Data_CZones!$B$2:$F$3236, 2, FALSE)</f>
        <v>4</v>
      </c>
      <c r="N2695" s="37" t="str">
        <f>VLOOKUP(D2695, County_Data_CZones!$B$2:$F$3236, 5, FALSE)</f>
        <v>Mixed-Dry</v>
      </c>
    </row>
    <row r="2696" ht="15.75" customHeight="1">
      <c r="A2696" s="32" t="s">
        <v>784</v>
      </c>
      <c r="B2696" s="32" t="s">
        <v>1159</v>
      </c>
      <c r="C2696" s="32" t="str">
        <f>vlookup(B2696,State_EMM_RowSums!$A$2:$B$52,2,FALSE)</f>
        <v>TX</v>
      </c>
      <c r="D2696" s="32">
        <v>48343.0</v>
      </c>
      <c r="E2696" s="33">
        <f>IF(NOT(ISBLANK(vlookup($D2696,Pop_Census_2023!$A$2:$E$3220,4,FALSE))),vlookup($D2696,Pop_Census_2023!$A$2:$E$3220,4,FALSE), vlookup($D2696,Pop_Census_2023!$A$2:$E$3220,5,FALSE))</f>
        <v>12066</v>
      </c>
      <c r="F2696" s="32">
        <v>1383957.0</v>
      </c>
      <c r="G2696" s="32">
        <v>57.0</v>
      </c>
      <c r="H2696" s="32" t="str">
        <f>VLOOKUP(D2696, Grid_Region_Mapping!$D$2:$F$5286, 3, FALSE)</f>
        <v>SPPS</v>
      </c>
      <c r="I2696" s="32">
        <v>7.0</v>
      </c>
      <c r="J2696" s="34" t="str">
        <f t="shared" si="1"/>
        <v>South</v>
      </c>
      <c r="K2696" s="35">
        <v>5.0</v>
      </c>
      <c r="L2696" s="35" t="s">
        <v>102</v>
      </c>
      <c r="M2696" s="36">
        <f>VLOOKUP(D2696, County_Data_CZones!$B$2:$F$3236, 2, FALSE)</f>
        <v>3</v>
      </c>
      <c r="N2696" s="37" t="str">
        <f>VLOOKUP(D2696, County_Data_CZones!$B$2:$F$3236, 5, FALSE)</f>
        <v>Hot-Humid</v>
      </c>
    </row>
    <row r="2697" ht="15.75" customHeight="1">
      <c r="A2697" s="32" t="s">
        <v>1745</v>
      </c>
      <c r="B2697" s="32" t="s">
        <v>1159</v>
      </c>
      <c r="C2697" s="32" t="str">
        <f>vlookup(B2697,State_EMM_RowSums!$A$2:$B$52,2,FALSE)</f>
        <v>TX</v>
      </c>
      <c r="D2697" s="32">
        <v>48345.0</v>
      </c>
      <c r="E2697" s="33">
        <f>IF(NOT(ISBLANK(vlookup($D2697,Pop_Census_2023!$A$2:$E$3220,4,FALSE))),vlookup($D2697,Pop_Census_2023!$A$2:$E$3220,4,FALSE), vlookup($D2697,Pop_Census_2023!$A$2:$E$3220,5,FALSE))</f>
        <v>1020</v>
      </c>
      <c r="F2697" s="32">
        <v>1383958.0</v>
      </c>
      <c r="G2697" s="32">
        <v>60.0</v>
      </c>
      <c r="H2697" s="32" t="str">
        <f>VLOOKUP(D2697, Grid_Region_Mapping!$D$2:$F$5286, 3, FALSE)</f>
        <v>TRE</v>
      </c>
      <c r="I2697" s="32">
        <v>7.0</v>
      </c>
      <c r="J2697" s="34" t="str">
        <f t="shared" si="1"/>
        <v>South</v>
      </c>
      <c r="K2697" s="35">
        <v>4.0</v>
      </c>
      <c r="L2697" s="35" t="s">
        <v>204</v>
      </c>
      <c r="M2697" s="36">
        <f>VLOOKUP(D2697, County_Data_CZones!$B$2:$F$3236, 2, FALSE)</f>
        <v>3</v>
      </c>
      <c r="N2697" s="37" t="str">
        <f>VLOOKUP(D2697, County_Data_CZones!$B$2:$F$3236, 5, FALSE)</f>
        <v>Hot-Dry</v>
      </c>
    </row>
    <row r="2698" ht="15.75" customHeight="1">
      <c r="A2698" s="32" t="s">
        <v>1746</v>
      </c>
      <c r="B2698" s="32" t="s">
        <v>1159</v>
      </c>
      <c r="C2698" s="32" t="str">
        <f>vlookup(B2698,State_EMM_RowSums!$A$2:$B$52,2,FALSE)</f>
        <v>TX</v>
      </c>
      <c r="D2698" s="32">
        <v>48347.0</v>
      </c>
      <c r="E2698" s="33">
        <f>IF(NOT(ISBLANK(vlookup($D2698,Pop_Census_2023!$A$2:$E$3220,4,FALSE))),vlookup($D2698,Pop_Census_2023!$A$2:$E$3220,4,FALSE), vlookup($D2698,Pop_Census_2023!$A$2:$E$3220,5,FALSE))</f>
        <v>65375</v>
      </c>
      <c r="F2698" s="32">
        <v>1383959.0</v>
      </c>
      <c r="G2698" s="32">
        <v>66.0</v>
      </c>
      <c r="H2698" s="32" t="str">
        <f>VLOOKUP(D2698, Grid_Region_Mapping!$D$2:$F$5286, 3, FALSE)</f>
        <v>TRE</v>
      </c>
      <c r="I2698" s="32">
        <v>7.0</v>
      </c>
      <c r="J2698" s="34" t="str">
        <f t="shared" si="1"/>
        <v>South</v>
      </c>
      <c r="K2698" s="35">
        <v>5.0</v>
      </c>
      <c r="L2698" s="35" t="s">
        <v>102</v>
      </c>
      <c r="M2698" s="36">
        <f>VLOOKUP(D2698, County_Data_CZones!$B$2:$F$3236, 2, FALSE)</f>
        <v>3</v>
      </c>
      <c r="N2698" s="37" t="str">
        <f>VLOOKUP(D2698, County_Data_CZones!$B$2:$F$3236, 5, FALSE)</f>
        <v>Hot-Humid</v>
      </c>
    </row>
    <row r="2699" ht="15.75" customHeight="1">
      <c r="A2699" s="32" t="s">
        <v>1747</v>
      </c>
      <c r="B2699" s="32" t="s">
        <v>1159</v>
      </c>
      <c r="C2699" s="32" t="str">
        <f>vlookup(B2699,State_EMM_RowSums!$A$2:$B$52,2,FALSE)</f>
        <v>TX</v>
      </c>
      <c r="D2699" s="32">
        <v>48349.0</v>
      </c>
      <c r="E2699" s="33">
        <f>IF(NOT(ISBLANK(vlookup($D2699,Pop_Census_2023!$A$2:$E$3220,4,FALSE))),vlookup($D2699,Pop_Census_2023!$A$2:$E$3220,4,FALSE), vlookup($D2699,Pop_Census_2023!$A$2:$E$3220,5,FALSE))</f>
        <v>55635</v>
      </c>
      <c r="F2699" s="32">
        <v>1383960.0</v>
      </c>
      <c r="G2699" s="32">
        <v>63.0</v>
      </c>
      <c r="H2699" s="32" t="str">
        <f>VLOOKUP(D2699, Grid_Region_Mapping!$D$2:$F$5286, 3, FALSE)</f>
        <v>TRE</v>
      </c>
      <c r="I2699" s="32">
        <v>7.0</v>
      </c>
      <c r="J2699" s="34" t="str">
        <f t="shared" si="1"/>
        <v>South</v>
      </c>
      <c r="K2699" s="35">
        <v>5.0</v>
      </c>
      <c r="L2699" s="35" t="s">
        <v>102</v>
      </c>
      <c r="M2699" s="36">
        <f>VLOOKUP(D2699, County_Data_CZones!$B$2:$F$3236, 2, FALSE)</f>
        <v>3</v>
      </c>
      <c r="N2699" s="37" t="str">
        <f>VLOOKUP(D2699, County_Data_CZones!$B$2:$F$3236, 5, FALSE)</f>
        <v>Hot-Humid</v>
      </c>
    </row>
    <row r="2700" ht="15.75" customHeight="1">
      <c r="A2700" s="32" t="s">
        <v>257</v>
      </c>
      <c r="B2700" s="32" t="s">
        <v>1159</v>
      </c>
      <c r="C2700" s="32" t="str">
        <f>vlookup(B2700,State_EMM_RowSums!$A$2:$B$52,2,FALSE)</f>
        <v>TX</v>
      </c>
      <c r="D2700" s="32">
        <v>48351.0</v>
      </c>
      <c r="E2700" s="33">
        <f>IF(NOT(ISBLANK(vlookup($D2700,Pop_Census_2023!$A$2:$E$3220,4,FALSE))),vlookup($D2700,Pop_Census_2023!$A$2:$E$3220,4,FALSE), vlookup($D2700,Pop_Census_2023!$A$2:$E$3220,5,FALSE))</f>
        <v>12039</v>
      </c>
      <c r="F2700" s="32">
        <v>1383961.0</v>
      </c>
      <c r="G2700" s="32">
        <v>66.0</v>
      </c>
      <c r="H2700" s="32" t="str">
        <f>VLOOKUP(D2700, Grid_Region_Mapping!$D$2:$F$5286, 3, FALSE)</f>
        <v>MISS</v>
      </c>
      <c r="I2700" s="32">
        <v>7.0</v>
      </c>
      <c r="J2700" s="34" t="str">
        <f t="shared" si="1"/>
        <v>South</v>
      </c>
      <c r="K2700" s="35">
        <v>5.0</v>
      </c>
      <c r="L2700" s="35" t="s">
        <v>104</v>
      </c>
      <c r="M2700" s="36">
        <f>VLOOKUP(D2700, County_Data_CZones!$B$2:$F$3236, 2, FALSE)</f>
        <v>2</v>
      </c>
      <c r="N2700" s="37" t="str">
        <f>VLOOKUP(D2700, County_Data_CZones!$B$2:$F$3236, 5, FALSE)</f>
        <v>Hot-Humid</v>
      </c>
    </row>
    <row r="2701" ht="15.75" customHeight="1">
      <c r="A2701" s="32" t="s">
        <v>1748</v>
      </c>
      <c r="B2701" s="32" t="s">
        <v>1159</v>
      </c>
      <c r="C2701" s="32" t="str">
        <f>vlookup(B2701,State_EMM_RowSums!$A$2:$B$52,2,FALSE)</f>
        <v>TX</v>
      </c>
      <c r="D2701" s="32">
        <v>48353.0</v>
      </c>
      <c r="E2701" s="33">
        <f>IF(NOT(ISBLANK(vlookup($D2701,Pop_Census_2023!$A$2:$E$3220,4,FALSE))),vlookup($D2701,Pop_Census_2023!$A$2:$E$3220,4,FALSE), vlookup($D2701,Pop_Census_2023!$A$2:$E$3220,5,FALSE))</f>
        <v>14306</v>
      </c>
      <c r="F2701" s="32">
        <v>1383962.0</v>
      </c>
      <c r="G2701" s="32">
        <v>60.0</v>
      </c>
      <c r="H2701" s="32" t="str">
        <f>VLOOKUP(D2701, Grid_Region_Mapping!$D$2:$F$5286, 3, FALSE)</f>
        <v>TRE</v>
      </c>
      <c r="I2701" s="32">
        <v>7.0</v>
      </c>
      <c r="J2701" s="34" t="str">
        <f t="shared" si="1"/>
        <v>South</v>
      </c>
      <c r="K2701" s="35">
        <v>5.0</v>
      </c>
      <c r="L2701" s="35" t="s">
        <v>204</v>
      </c>
      <c r="M2701" s="36">
        <f>VLOOKUP(D2701, County_Data_CZones!$B$2:$F$3236, 2, FALSE)</f>
        <v>3</v>
      </c>
      <c r="N2701" s="37" t="str">
        <f>VLOOKUP(D2701, County_Data_CZones!$B$2:$F$3236, 5, FALSE)</f>
        <v>Hot-Dry</v>
      </c>
    </row>
    <row r="2702" ht="15.75" customHeight="1">
      <c r="A2702" s="32" t="s">
        <v>1749</v>
      </c>
      <c r="B2702" s="32" t="s">
        <v>1159</v>
      </c>
      <c r="C2702" s="32" t="str">
        <f>vlookup(B2702,State_EMM_RowSums!$A$2:$B$52,2,FALSE)</f>
        <v>TX</v>
      </c>
      <c r="D2702" s="32">
        <v>48355.0</v>
      </c>
      <c r="E2702" s="33">
        <f>IF(NOT(ISBLANK(vlookup($D2702,Pop_Census_2023!$A$2:$E$3220,4,FALSE))),vlookup($D2702,Pop_Census_2023!$A$2:$E$3220,4,FALSE), vlookup($D2702,Pop_Census_2023!$A$2:$E$3220,5,FALSE))</f>
        <v>352289</v>
      </c>
      <c r="F2702" s="32">
        <v>1383963.0</v>
      </c>
      <c r="G2702" s="32">
        <v>65.0</v>
      </c>
      <c r="H2702" s="32" t="str">
        <f>VLOOKUP(D2702, Grid_Region_Mapping!$D$2:$F$5286, 3, FALSE)</f>
        <v>TRE</v>
      </c>
      <c r="I2702" s="32">
        <v>7.0</v>
      </c>
      <c r="J2702" s="34" t="str">
        <f t="shared" si="1"/>
        <v>South</v>
      </c>
      <c r="K2702" s="35">
        <v>5.0</v>
      </c>
      <c r="L2702" s="35" t="s">
        <v>104</v>
      </c>
      <c r="M2702" s="36">
        <f>VLOOKUP(D2702, County_Data_CZones!$B$2:$F$3236, 2, FALSE)</f>
        <v>2</v>
      </c>
      <c r="N2702" s="37" t="str">
        <f>VLOOKUP(D2702, County_Data_CZones!$B$2:$F$3236, 5, FALSE)</f>
        <v>Hot-Humid</v>
      </c>
    </row>
    <row r="2703" ht="15.75" customHeight="1">
      <c r="A2703" s="32" t="s">
        <v>1750</v>
      </c>
      <c r="B2703" s="32" t="s">
        <v>1159</v>
      </c>
      <c r="C2703" s="32" t="str">
        <f>vlookup(B2703,State_EMM_RowSums!$A$2:$B$52,2,FALSE)</f>
        <v>TX</v>
      </c>
      <c r="D2703" s="32">
        <v>48357.0</v>
      </c>
      <c r="E2703" s="33">
        <f>IF(NOT(ISBLANK(vlookup($D2703,Pop_Census_2023!$A$2:$E$3220,4,FALSE))),vlookup($D2703,Pop_Census_2023!$A$2:$E$3220,4,FALSE), vlookup($D2703,Pop_Census_2023!$A$2:$E$3220,5,FALSE))</f>
        <v>9704</v>
      </c>
      <c r="F2703" s="32">
        <v>1383964.0</v>
      </c>
      <c r="G2703" s="32">
        <v>48.0</v>
      </c>
      <c r="H2703" s="32" t="str">
        <f>VLOOKUP(D2703, Grid_Region_Mapping!$D$2:$F$5286, 3, FALSE)</f>
        <v>SPPS</v>
      </c>
      <c r="I2703" s="32">
        <v>7.0</v>
      </c>
      <c r="J2703" s="34" t="str">
        <f t="shared" si="1"/>
        <v>South</v>
      </c>
      <c r="K2703" s="35">
        <v>3.0</v>
      </c>
      <c r="L2703" s="35" t="s">
        <v>207</v>
      </c>
      <c r="M2703" s="36">
        <f>VLOOKUP(D2703, County_Data_CZones!$B$2:$F$3236, 2, FALSE)</f>
        <v>4</v>
      </c>
      <c r="N2703" s="37" t="str">
        <f>VLOOKUP(D2703, County_Data_CZones!$B$2:$F$3236, 5, FALSE)</f>
        <v>Mixed-Dry</v>
      </c>
    </row>
    <row r="2704" ht="15.75" customHeight="1">
      <c r="A2704" s="32" t="s">
        <v>862</v>
      </c>
      <c r="B2704" s="32" t="s">
        <v>1159</v>
      </c>
      <c r="C2704" s="32" t="str">
        <f>vlookup(B2704,State_EMM_RowSums!$A$2:$B$52,2,FALSE)</f>
        <v>TX</v>
      </c>
      <c r="D2704" s="32">
        <v>48359.0</v>
      </c>
      <c r="E2704" s="33">
        <f>IF(NOT(ISBLANK(vlookup($D2704,Pop_Census_2023!$A$2:$E$3220,4,FALSE))),vlookup($D2704,Pop_Census_2023!$A$2:$E$3220,4,FALSE), vlookup($D2704,Pop_Census_2023!$A$2:$E$3220,5,FALSE))</f>
        <v>1783</v>
      </c>
      <c r="F2704" s="32">
        <v>1383965.0</v>
      </c>
      <c r="G2704" s="32">
        <v>48.0</v>
      </c>
      <c r="H2704" s="32" t="str">
        <f>VLOOKUP(D2704, Grid_Region_Mapping!$D$2:$F$5286, 3, FALSE)</f>
        <v>SPPS</v>
      </c>
      <c r="I2704" s="32">
        <v>7.0</v>
      </c>
      <c r="J2704" s="34" t="str">
        <f t="shared" si="1"/>
        <v>South</v>
      </c>
      <c r="K2704" s="35">
        <v>3.0</v>
      </c>
      <c r="L2704" s="35" t="s">
        <v>207</v>
      </c>
      <c r="M2704" s="36">
        <f>VLOOKUP(D2704, County_Data_CZones!$B$2:$F$3236, 2, FALSE)</f>
        <v>4</v>
      </c>
      <c r="N2704" s="37" t="str">
        <f>VLOOKUP(D2704, County_Data_CZones!$B$2:$F$3236, 5, FALSE)</f>
        <v>Mixed-Dry</v>
      </c>
    </row>
    <row r="2705" ht="15.75" customHeight="1">
      <c r="A2705" s="32" t="s">
        <v>310</v>
      </c>
      <c r="B2705" s="32" t="s">
        <v>1159</v>
      </c>
      <c r="C2705" s="32" t="str">
        <f>vlookup(B2705,State_EMM_RowSums!$A$2:$B$52,2,FALSE)</f>
        <v>TX</v>
      </c>
      <c r="D2705" s="32">
        <v>48361.0</v>
      </c>
      <c r="E2705" s="33">
        <f>IF(NOT(ISBLANK(vlookup($D2705,Pop_Census_2023!$A$2:$E$3220,4,FALSE))),vlookup($D2705,Pop_Census_2023!$A$2:$E$3220,4,FALSE), vlookup($D2705,Pop_Census_2023!$A$2:$E$3220,5,FALSE))</f>
        <v>85722</v>
      </c>
      <c r="F2705" s="32">
        <v>1383966.0</v>
      </c>
      <c r="G2705" s="32">
        <v>66.0</v>
      </c>
      <c r="H2705" s="32" t="str">
        <f>VLOOKUP(D2705, Grid_Region_Mapping!$D$2:$F$5286, 3, FALSE)</f>
        <v>MISS</v>
      </c>
      <c r="I2705" s="32">
        <v>7.0</v>
      </c>
      <c r="J2705" s="34" t="str">
        <f t="shared" si="1"/>
        <v>South</v>
      </c>
      <c r="K2705" s="35">
        <v>5.0</v>
      </c>
      <c r="L2705" s="35" t="s">
        <v>104</v>
      </c>
      <c r="M2705" s="36">
        <f>VLOOKUP(D2705, County_Data_CZones!$B$2:$F$3236, 2, FALSE)</f>
        <v>2</v>
      </c>
      <c r="N2705" s="37" t="str">
        <f>VLOOKUP(D2705, County_Data_CZones!$B$2:$F$3236, 5, FALSE)</f>
        <v>Hot-Humid</v>
      </c>
    </row>
    <row r="2706" ht="15.75" customHeight="1">
      <c r="A2706" s="32" t="s">
        <v>1751</v>
      </c>
      <c r="B2706" s="32" t="s">
        <v>1159</v>
      </c>
      <c r="C2706" s="32" t="str">
        <f>vlookup(B2706,State_EMM_RowSums!$A$2:$B$52,2,FALSE)</f>
        <v>TX</v>
      </c>
      <c r="D2706" s="32">
        <v>48363.0</v>
      </c>
      <c r="E2706" s="33">
        <f>IF(NOT(ISBLANK(vlookup($D2706,Pop_Census_2023!$A$2:$E$3220,4,FALSE))),vlookup($D2706,Pop_Census_2023!$A$2:$E$3220,4,FALSE), vlookup($D2706,Pop_Census_2023!$A$2:$E$3220,5,FALSE))</f>
        <v>29747</v>
      </c>
      <c r="F2706" s="32">
        <v>1383967.0</v>
      </c>
      <c r="G2706" s="32">
        <v>63.0</v>
      </c>
      <c r="H2706" s="32" t="str">
        <f>VLOOKUP(D2706, Grid_Region_Mapping!$D$2:$F$5286, 3, FALSE)</f>
        <v>TRE</v>
      </c>
      <c r="I2706" s="32">
        <v>7.0</v>
      </c>
      <c r="J2706" s="34" t="str">
        <f t="shared" si="1"/>
        <v>South</v>
      </c>
      <c r="K2706" s="35">
        <v>5.0</v>
      </c>
      <c r="L2706" s="35" t="s">
        <v>102</v>
      </c>
      <c r="M2706" s="36">
        <f>VLOOKUP(D2706, County_Data_CZones!$B$2:$F$3236, 2, FALSE)</f>
        <v>3</v>
      </c>
      <c r="N2706" s="37" t="str">
        <f>VLOOKUP(D2706, County_Data_CZones!$B$2:$F$3236, 5, FALSE)</f>
        <v>Mixed-Humid</v>
      </c>
    </row>
    <row r="2707" ht="15.75" customHeight="1">
      <c r="A2707" s="32" t="s">
        <v>1106</v>
      </c>
      <c r="B2707" s="32" t="s">
        <v>1159</v>
      </c>
      <c r="C2707" s="32" t="str">
        <f>vlookup(B2707,State_EMM_RowSums!$A$2:$B$52,2,FALSE)</f>
        <v>TX</v>
      </c>
      <c r="D2707" s="32">
        <v>48365.0</v>
      </c>
      <c r="E2707" s="33">
        <f>IF(NOT(ISBLANK(vlookup($D2707,Pop_Census_2023!$A$2:$E$3220,4,FALSE))),vlookup($D2707,Pop_Census_2023!$A$2:$E$3220,4,FALSE), vlookup($D2707,Pop_Census_2023!$A$2:$E$3220,5,FALSE))</f>
        <v>22838</v>
      </c>
      <c r="F2707" s="32">
        <v>1383968.0</v>
      </c>
      <c r="G2707" s="32">
        <v>57.0</v>
      </c>
      <c r="H2707" s="32" t="str">
        <f>VLOOKUP(D2707, Grid_Region_Mapping!$D$2:$F$5286, 3, FALSE)</f>
        <v>SPPS</v>
      </c>
      <c r="I2707" s="32">
        <v>7.0</v>
      </c>
      <c r="J2707" s="34" t="str">
        <f t="shared" si="1"/>
        <v>South</v>
      </c>
      <c r="K2707" s="35">
        <v>5.0</v>
      </c>
      <c r="L2707" s="35" t="s">
        <v>102</v>
      </c>
      <c r="M2707" s="36">
        <f>VLOOKUP(D2707, County_Data_CZones!$B$2:$F$3236, 2, FALSE)</f>
        <v>3</v>
      </c>
      <c r="N2707" s="37" t="str">
        <f>VLOOKUP(D2707, County_Data_CZones!$B$2:$F$3236, 5, FALSE)</f>
        <v>Hot-Humid</v>
      </c>
    </row>
    <row r="2708" ht="15.75" customHeight="1">
      <c r="A2708" s="32" t="s">
        <v>1752</v>
      </c>
      <c r="B2708" s="32" t="s">
        <v>1159</v>
      </c>
      <c r="C2708" s="32" t="str">
        <f>vlookup(B2708,State_EMM_RowSums!$A$2:$B$52,2,FALSE)</f>
        <v>TX</v>
      </c>
      <c r="D2708" s="32">
        <v>48367.0</v>
      </c>
      <c r="E2708" s="33">
        <f>IF(NOT(ISBLANK(vlookup($D2708,Pop_Census_2023!$A$2:$E$3220,4,FALSE))),vlookup($D2708,Pop_Census_2023!$A$2:$E$3220,4,FALSE), vlookup($D2708,Pop_Census_2023!$A$2:$E$3220,5,FALSE))</f>
        <v>173494</v>
      </c>
      <c r="F2708" s="32">
        <v>1383969.0</v>
      </c>
      <c r="G2708" s="32">
        <v>63.0</v>
      </c>
      <c r="H2708" s="32" t="str">
        <f>VLOOKUP(D2708, Grid_Region_Mapping!$D$2:$F$5286, 3, FALSE)</f>
        <v>TRE</v>
      </c>
      <c r="I2708" s="32">
        <v>7.0</v>
      </c>
      <c r="J2708" s="34" t="str">
        <f t="shared" si="1"/>
        <v>South</v>
      </c>
      <c r="K2708" s="35">
        <v>5.0</v>
      </c>
      <c r="L2708" s="35" t="s">
        <v>102</v>
      </c>
      <c r="M2708" s="36">
        <f>VLOOKUP(D2708, County_Data_CZones!$B$2:$F$3236, 2, FALSE)</f>
        <v>3</v>
      </c>
      <c r="N2708" s="37" t="str">
        <f>VLOOKUP(D2708, County_Data_CZones!$B$2:$F$3236, 5, FALSE)</f>
        <v>Hot-Humid</v>
      </c>
    </row>
    <row r="2709" ht="15.75" customHeight="1">
      <c r="A2709" s="32" t="s">
        <v>1753</v>
      </c>
      <c r="B2709" s="32" t="s">
        <v>1159</v>
      </c>
      <c r="C2709" s="32" t="str">
        <f>vlookup(B2709,State_EMM_RowSums!$A$2:$B$52,2,FALSE)</f>
        <v>TX</v>
      </c>
      <c r="D2709" s="32">
        <v>48369.0</v>
      </c>
      <c r="E2709" s="33">
        <f>IF(NOT(ISBLANK(vlookup($D2709,Pop_Census_2023!$A$2:$E$3220,4,FALSE))),vlookup($D2709,Pop_Census_2023!$A$2:$E$3220,4,FALSE), vlookup($D2709,Pop_Census_2023!$A$2:$E$3220,5,FALSE))</f>
        <v>9617</v>
      </c>
      <c r="F2709" s="32">
        <v>1383970.0</v>
      </c>
      <c r="G2709" s="32">
        <v>48.0</v>
      </c>
      <c r="H2709" s="32" t="str">
        <f>VLOOKUP(D2709, Grid_Region_Mapping!$D$2:$F$5286, 3, FALSE)</f>
        <v>SPPS</v>
      </c>
      <c r="I2709" s="32">
        <v>7.0</v>
      </c>
      <c r="J2709" s="34" t="str">
        <f t="shared" si="1"/>
        <v>South</v>
      </c>
      <c r="K2709" s="35">
        <v>3.0</v>
      </c>
      <c r="L2709" s="35" t="s">
        <v>207</v>
      </c>
      <c r="M2709" s="36">
        <f>VLOOKUP(D2709, County_Data_CZones!$B$2:$F$3236, 2, FALSE)</f>
        <v>4</v>
      </c>
      <c r="N2709" s="37" t="str">
        <f>VLOOKUP(D2709, County_Data_CZones!$B$2:$F$3236, 5, FALSE)</f>
        <v>Mixed-Dry</v>
      </c>
    </row>
    <row r="2710" ht="15.75" customHeight="1">
      <c r="A2710" s="32" t="s">
        <v>1754</v>
      </c>
      <c r="B2710" s="32" t="s">
        <v>1159</v>
      </c>
      <c r="C2710" s="32" t="str">
        <f>vlookup(B2710,State_EMM_RowSums!$A$2:$B$52,2,FALSE)</f>
        <v>TX</v>
      </c>
      <c r="D2710" s="32">
        <v>48371.0</v>
      </c>
      <c r="E2710" s="33">
        <f>IF(NOT(ISBLANK(vlookup($D2710,Pop_Census_2023!$A$2:$E$3220,4,FALSE))),vlookup($D2710,Pop_Census_2023!$A$2:$E$3220,4,FALSE), vlookup($D2710,Pop_Census_2023!$A$2:$E$3220,5,FALSE))</f>
        <v>14623</v>
      </c>
      <c r="F2710" s="32">
        <v>1383971.0</v>
      </c>
      <c r="G2710" s="32">
        <v>61.0</v>
      </c>
      <c r="H2710" s="32" t="str">
        <f>VLOOKUP(D2710, Grid_Region_Mapping!$D$2:$F$5286, 3, FALSE)</f>
        <v>TRE</v>
      </c>
      <c r="I2710" s="32">
        <v>7.0</v>
      </c>
      <c r="J2710" s="34" t="str">
        <f t="shared" si="1"/>
        <v>South</v>
      </c>
      <c r="K2710" s="35">
        <v>5.0</v>
      </c>
      <c r="L2710" s="35" t="s">
        <v>204</v>
      </c>
      <c r="M2710" s="36">
        <f>VLOOKUP(D2710, County_Data_CZones!$B$2:$F$3236, 2, FALSE)</f>
        <v>3</v>
      </c>
      <c r="N2710" s="37" t="str">
        <f>VLOOKUP(D2710, County_Data_CZones!$B$2:$F$3236, 5, FALSE)</f>
        <v>Hot-Dry</v>
      </c>
    </row>
    <row r="2711" ht="15.75" customHeight="1">
      <c r="A2711" s="32" t="s">
        <v>261</v>
      </c>
      <c r="B2711" s="32" t="s">
        <v>1159</v>
      </c>
      <c r="C2711" s="32" t="str">
        <f>vlookup(B2711,State_EMM_RowSums!$A$2:$B$52,2,FALSE)</f>
        <v>TX</v>
      </c>
      <c r="D2711" s="32">
        <v>48373.0</v>
      </c>
      <c r="E2711" s="33">
        <f>IF(NOT(ISBLANK(vlookup($D2711,Pop_Census_2023!$A$2:$E$3220,4,FALSE))),vlookup($D2711,Pop_Census_2023!$A$2:$E$3220,4,FALSE), vlookup($D2711,Pop_Census_2023!$A$2:$E$3220,5,FALSE))</f>
        <v>54186</v>
      </c>
      <c r="F2711" s="32">
        <v>1383972.0</v>
      </c>
      <c r="G2711" s="32">
        <v>66.0</v>
      </c>
      <c r="H2711" s="32" t="str">
        <f>VLOOKUP(D2711, Grid_Region_Mapping!$D$2:$F$5286, 3, FALSE)</f>
        <v>MISS</v>
      </c>
      <c r="I2711" s="32">
        <v>7.0</v>
      </c>
      <c r="J2711" s="34" t="str">
        <f t="shared" si="1"/>
        <v>South</v>
      </c>
      <c r="K2711" s="35">
        <v>5.0</v>
      </c>
      <c r="L2711" s="35" t="s">
        <v>104</v>
      </c>
      <c r="M2711" s="36">
        <f>VLOOKUP(D2711, County_Data_CZones!$B$2:$F$3236, 2, FALSE)</f>
        <v>2</v>
      </c>
      <c r="N2711" s="37" t="str">
        <f>VLOOKUP(D2711, County_Data_CZones!$B$2:$F$3236, 5, FALSE)</f>
        <v>Hot-Humid</v>
      </c>
    </row>
    <row r="2712" ht="15.75" customHeight="1">
      <c r="A2712" s="32" t="s">
        <v>1540</v>
      </c>
      <c r="B2712" s="32" t="s">
        <v>1159</v>
      </c>
      <c r="C2712" s="32" t="str">
        <f>vlookup(B2712,State_EMM_RowSums!$A$2:$B$52,2,FALSE)</f>
        <v>TX</v>
      </c>
      <c r="D2712" s="32">
        <v>48375.0</v>
      </c>
      <c r="E2712" s="33">
        <f>IF(NOT(ISBLANK(vlookup($D2712,Pop_Census_2023!$A$2:$E$3220,4,FALSE))),vlookup($D2712,Pop_Census_2023!$A$2:$E$3220,4,FALSE), vlookup($D2712,Pop_Census_2023!$A$2:$E$3220,5,FALSE))</f>
        <v>114647</v>
      </c>
      <c r="F2712" s="32">
        <v>1383973.0</v>
      </c>
      <c r="G2712" s="32">
        <v>48.0</v>
      </c>
      <c r="H2712" s="32" t="str">
        <f>VLOOKUP(D2712, Grid_Region_Mapping!$D$2:$F$5286, 3, FALSE)</f>
        <v>SPPS</v>
      </c>
      <c r="I2712" s="32">
        <v>7.0</v>
      </c>
      <c r="J2712" s="34" t="str">
        <f t="shared" si="1"/>
        <v>South</v>
      </c>
      <c r="K2712" s="35">
        <v>3.0</v>
      </c>
      <c r="L2712" s="35" t="s">
        <v>207</v>
      </c>
      <c r="M2712" s="36">
        <f>VLOOKUP(D2712, County_Data_CZones!$B$2:$F$3236, 2, FALSE)</f>
        <v>4</v>
      </c>
      <c r="N2712" s="37" t="str">
        <f>VLOOKUP(D2712, County_Data_CZones!$B$2:$F$3236, 5, FALSE)</f>
        <v>Mixed-Dry</v>
      </c>
    </row>
    <row r="2713" ht="15.75" customHeight="1">
      <c r="A2713" s="32" t="s">
        <v>1755</v>
      </c>
      <c r="B2713" s="32" t="s">
        <v>1159</v>
      </c>
      <c r="C2713" s="32" t="str">
        <f>vlookup(B2713,State_EMM_RowSums!$A$2:$B$52,2,FALSE)</f>
        <v>TX</v>
      </c>
      <c r="D2713" s="32">
        <v>48377.0</v>
      </c>
      <c r="E2713" s="33">
        <f>IF(NOT(ISBLANK(vlookup($D2713,Pop_Census_2023!$A$2:$E$3220,4,FALSE))),vlookup($D2713,Pop_Census_2023!$A$2:$E$3220,4,FALSE), vlookup($D2713,Pop_Census_2023!$A$2:$E$3220,5,FALSE))</f>
        <v>5795</v>
      </c>
      <c r="F2713" s="32">
        <v>1383974.0</v>
      </c>
      <c r="G2713" s="32">
        <v>61.0</v>
      </c>
      <c r="H2713" s="32" t="str">
        <f>VLOOKUP(D2713, Grid_Region_Mapping!$D$2:$F$5286, 3, FALSE)</f>
        <v>TRE</v>
      </c>
      <c r="I2713" s="32">
        <v>7.0</v>
      </c>
      <c r="J2713" s="34" t="str">
        <f t="shared" si="1"/>
        <v>South</v>
      </c>
      <c r="K2713" s="35">
        <v>5.0</v>
      </c>
      <c r="L2713" s="35" t="s">
        <v>204</v>
      </c>
      <c r="M2713" s="36">
        <f>VLOOKUP(D2713, County_Data_CZones!$B$2:$F$3236, 2, FALSE)</f>
        <v>3</v>
      </c>
      <c r="N2713" s="37" t="str">
        <f>VLOOKUP(D2713, County_Data_CZones!$B$2:$F$3236, 5, FALSE)</f>
        <v>Hot-Dry</v>
      </c>
    </row>
    <row r="2714" ht="15.75" customHeight="1">
      <c r="A2714" s="32" t="s">
        <v>1756</v>
      </c>
      <c r="B2714" s="32" t="s">
        <v>1159</v>
      </c>
      <c r="C2714" s="32" t="str">
        <f>vlookup(B2714,State_EMM_RowSums!$A$2:$B$52,2,FALSE)</f>
        <v>TX</v>
      </c>
      <c r="D2714" s="32">
        <v>48379.0</v>
      </c>
      <c r="E2714" s="33">
        <f>IF(NOT(ISBLANK(vlookup($D2714,Pop_Census_2023!$A$2:$E$3220,4,FALSE))),vlookup($D2714,Pop_Census_2023!$A$2:$E$3220,4,FALSE), vlookup($D2714,Pop_Census_2023!$A$2:$E$3220,5,FALSE))</f>
        <v>12986</v>
      </c>
      <c r="F2714" s="32">
        <v>1383975.0</v>
      </c>
      <c r="G2714" s="32">
        <v>63.0</v>
      </c>
      <c r="H2714" s="32" t="str">
        <f>VLOOKUP(D2714, Grid_Region_Mapping!$D$2:$F$5286, 3, FALSE)</f>
        <v>TRE</v>
      </c>
      <c r="I2714" s="32">
        <v>7.0</v>
      </c>
      <c r="J2714" s="34" t="str">
        <f t="shared" si="1"/>
        <v>South</v>
      </c>
      <c r="K2714" s="35">
        <v>5.0</v>
      </c>
      <c r="L2714" s="35" t="s">
        <v>102</v>
      </c>
      <c r="M2714" s="36">
        <f>VLOOKUP(D2714, County_Data_CZones!$B$2:$F$3236, 2, FALSE)</f>
        <v>3</v>
      </c>
      <c r="N2714" s="37" t="str">
        <f>VLOOKUP(D2714, County_Data_CZones!$B$2:$F$3236, 5, FALSE)</f>
        <v>Hot-Humid</v>
      </c>
    </row>
    <row r="2715" ht="15.75" customHeight="1">
      <c r="A2715" s="32" t="s">
        <v>1757</v>
      </c>
      <c r="B2715" s="32" t="s">
        <v>1159</v>
      </c>
      <c r="C2715" s="32" t="str">
        <f>vlookup(B2715,State_EMM_RowSums!$A$2:$B$52,2,FALSE)</f>
        <v>TX</v>
      </c>
      <c r="D2715" s="32">
        <v>48381.0</v>
      </c>
      <c r="E2715" s="33">
        <f>IF(NOT(ISBLANK(vlookup($D2715,Pop_Census_2023!$A$2:$E$3220,4,FALSE))),vlookup($D2715,Pop_Census_2023!$A$2:$E$3220,4,FALSE), vlookup($D2715,Pop_Census_2023!$A$2:$E$3220,5,FALSE))</f>
        <v>148255</v>
      </c>
      <c r="F2715" s="32">
        <v>1383976.0</v>
      </c>
      <c r="G2715" s="32">
        <v>48.0</v>
      </c>
      <c r="H2715" s="32" t="str">
        <f>VLOOKUP(D2715, Grid_Region_Mapping!$D$2:$F$5286, 3, FALSE)</f>
        <v>SPPS</v>
      </c>
      <c r="I2715" s="32">
        <v>7.0</v>
      </c>
      <c r="J2715" s="34" t="str">
        <f t="shared" si="1"/>
        <v>South</v>
      </c>
      <c r="K2715" s="35">
        <v>3.0</v>
      </c>
      <c r="L2715" s="35" t="s">
        <v>207</v>
      </c>
      <c r="M2715" s="36">
        <f>VLOOKUP(D2715, County_Data_CZones!$B$2:$F$3236, 2, FALSE)</f>
        <v>4</v>
      </c>
      <c r="N2715" s="37" t="str">
        <f>VLOOKUP(D2715, County_Data_CZones!$B$2:$F$3236, 5, FALSE)</f>
        <v>Mixed-Dry</v>
      </c>
    </row>
    <row r="2716" ht="15.75" customHeight="1">
      <c r="A2716" s="32" t="s">
        <v>1758</v>
      </c>
      <c r="B2716" s="32" t="s">
        <v>1159</v>
      </c>
      <c r="C2716" s="32" t="str">
        <f>vlookup(B2716,State_EMM_RowSums!$A$2:$B$52,2,FALSE)</f>
        <v>TX</v>
      </c>
      <c r="D2716" s="32">
        <v>48383.0</v>
      </c>
      <c r="E2716" s="33">
        <f>IF(NOT(ISBLANK(vlookup($D2716,Pop_Census_2023!$A$2:$E$3220,4,FALSE))),vlookup($D2716,Pop_Census_2023!$A$2:$E$3220,4,FALSE), vlookup($D2716,Pop_Census_2023!$A$2:$E$3220,5,FALSE))</f>
        <v>3141</v>
      </c>
      <c r="F2716" s="32">
        <v>1383977.0</v>
      </c>
      <c r="G2716" s="32">
        <v>62.0</v>
      </c>
      <c r="H2716" s="32" t="str">
        <f>VLOOKUP(D2716, Grid_Region_Mapping!$D$2:$F$5286, 3, FALSE)</f>
        <v>TRE</v>
      </c>
      <c r="I2716" s="32">
        <v>7.0</v>
      </c>
      <c r="J2716" s="34" t="str">
        <f t="shared" si="1"/>
        <v>South</v>
      </c>
      <c r="K2716" s="35">
        <v>5.0</v>
      </c>
      <c r="L2716" s="35" t="s">
        <v>204</v>
      </c>
      <c r="M2716" s="36">
        <f>VLOOKUP(D2716, County_Data_CZones!$B$2:$F$3236, 2, FALSE)</f>
        <v>3</v>
      </c>
      <c r="N2716" s="37" t="str">
        <f>VLOOKUP(D2716, County_Data_CZones!$B$2:$F$3236, 5, FALSE)</f>
        <v>Hot-Dry</v>
      </c>
    </row>
    <row r="2717" ht="15.75" customHeight="1">
      <c r="A2717" s="32" t="s">
        <v>1759</v>
      </c>
      <c r="B2717" s="32" t="s">
        <v>1159</v>
      </c>
      <c r="C2717" s="32" t="str">
        <f>vlookup(B2717,State_EMM_RowSums!$A$2:$B$52,2,FALSE)</f>
        <v>TX</v>
      </c>
      <c r="D2717" s="32">
        <v>48385.0</v>
      </c>
      <c r="E2717" s="33">
        <f>IF(NOT(ISBLANK(vlookup($D2717,Pop_Census_2023!$A$2:$E$3220,4,FALSE))),vlookup($D2717,Pop_Census_2023!$A$2:$E$3220,4,FALSE), vlookup($D2717,Pop_Census_2023!$A$2:$E$3220,5,FALSE))</f>
        <v>2854</v>
      </c>
      <c r="F2717" s="32">
        <v>1383978.0</v>
      </c>
      <c r="G2717" s="32">
        <v>64.0</v>
      </c>
      <c r="H2717" s="32" t="str">
        <f>VLOOKUP(D2717, Grid_Region_Mapping!$D$2:$F$5286, 3, FALSE)</f>
        <v>TRE</v>
      </c>
      <c r="I2717" s="32">
        <v>7.0</v>
      </c>
      <c r="J2717" s="34" t="str">
        <f t="shared" si="1"/>
        <v>South</v>
      </c>
      <c r="K2717" s="35">
        <v>5.0</v>
      </c>
      <c r="L2717" s="35" t="s">
        <v>211</v>
      </c>
      <c r="M2717" s="36">
        <f>VLOOKUP(D2717, County_Data_CZones!$B$2:$F$3236, 2, FALSE)</f>
        <v>2</v>
      </c>
      <c r="N2717" s="37" t="str">
        <f>VLOOKUP(D2717, County_Data_CZones!$B$2:$F$3236, 5, FALSE)</f>
        <v>Hot-Humid</v>
      </c>
    </row>
    <row r="2718" ht="15.75" customHeight="1">
      <c r="A2718" s="32" t="s">
        <v>903</v>
      </c>
      <c r="B2718" s="32" t="s">
        <v>1159</v>
      </c>
      <c r="C2718" s="32" t="str">
        <f>vlookup(B2718,State_EMM_RowSums!$A$2:$B$52,2,FALSE)</f>
        <v>TX</v>
      </c>
      <c r="D2718" s="32">
        <v>48387.0</v>
      </c>
      <c r="E2718" s="33">
        <f>IF(NOT(ISBLANK(vlookup($D2718,Pop_Census_2023!$A$2:$E$3220,4,FALSE))),vlookup($D2718,Pop_Census_2023!$A$2:$E$3220,4,FALSE), vlookup($D2718,Pop_Census_2023!$A$2:$E$3220,5,FALSE))</f>
        <v>11678</v>
      </c>
      <c r="F2718" s="32">
        <v>1383979.0</v>
      </c>
      <c r="G2718" s="32">
        <v>63.0</v>
      </c>
      <c r="H2718" s="32" t="str">
        <f>VLOOKUP(D2718, Grid_Region_Mapping!$D$2:$F$5286, 3, FALSE)</f>
        <v>TRE</v>
      </c>
      <c r="I2718" s="32">
        <v>7.0</v>
      </c>
      <c r="J2718" s="34" t="str">
        <f t="shared" si="1"/>
        <v>South</v>
      </c>
      <c r="K2718" s="35">
        <v>4.0</v>
      </c>
      <c r="L2718" s="35" t="s">
        <v>102</v>
      </c>
      <c r="M2718" s="36">
        <f>VLOOKUP(D2718, County_Data_CZones!$B$2:$F$3236, 2, FALSE)</f>
        <v>3</v>
      </c>
      <c r="N2718" s="37" t="str">
        <f>VLOOKUP(D2718, County_Data_CZones!$B$2:$F$3236, 5, FALSE)</f>
        <v>Hot-Humid</v>
      </c>
    </row>
    <row r="2719" ht="15.75" customHeight="1">
      <c r="A2719" s="32" t="s">
        <v>1760</v>
      </c>
      <c r="B2719" s="32" t="s">
        <v>1159</v>
      </c>
      <c r="C2719" s="32" t="str">
        <f>vlookup(B2719,State_EMM_RowSums!$A$2:$B$52,2,FALSE)</f>
        <v>TX</v>
      </c>
      <c r="D2719" s="32">
        <v>48389.0</v>
      </c>
      <c r="E2719" s="33">
        <f>IF(NOT(ISBLANK(vlookup($D2719,Pop_Census_2023!$A$2:$E$3220,4,FALSE))),vlookup($D2719,Pop_Census_2023!$A$2:$E$3220,4,FALSE), vlookup($D2719,Pop_Census_2023!$A$2:$E$3220,5,FALSE))</f>
        <v>11770</v>
      </c>
      <c r="F2719" s="32">
        <v>1383980.0</v>
      </c>
      <c r="G2719" s="32">
        <v>61.0</v>
      </c>
      <c r="H2719" s="32" t="str">
        <f>VLOOKUP(D2719, Grid_Region_Mapping!$D$2:$F$5286, 3, FALSE)</f>
        <v>TRE</v>
      </c>
      <c r="I2719" s="32">
        <v>7.0</v>
      </c>
      <c r="J2719" s="34" t="str">
        <f t="shared" si="1"/>
        <v>South</v>
      </c>
      <c r="K2719" s="35">
        <v>5.0</v>
      </c>
      <c r="L2719" s="35" t="s">
        <v>204</v>
      </c>
      <c r="M2719" s="36">
        <f>VLOOKUP(D2719, County_Data_CZones!$B$2:$F$3236, 2, FALSE)</f>
        <v>3</v>
      </c>
      <c r="N2719" s="37" t="str">
        <f>VLOOKUP(D2719, County_Data_CZones!$B$2:$F$3236, 5, FALSE)</f>
        <v>Hot-Dry</v>
      </c>
    </row>
    <row r="2720" ht="15.75" customHeight="1">
      <c r="A2720" s="32" t="s">
        <v>1761</v>
      </c>
      <c r="B2720" s="32" t="s">
        <v>1159</v>
      </c>
      <c r="C2720" s="32" t="str">
        <f>vlookup(B2720,State_EMM_RowSums!$A$2:$B$52,2,FALSE)</f>
        <v>TX</v>
      </c>
      <c r="D2720" s="32">
        <v>48391.0</v>
      </c>
      <c r="E2720" s="33">
        <f>IF(NOT(ISBLANK(vlookup($D2720,Pop_Census_2023!$A$2:$E$3220,4,FALSE))),vlookup($D2720,Pop_Census_2023!$A$2:$E$3220,4,FALSE), vlookup($D2720,Pop_Census_2023!$A$2:$E$3220,5,FALSE))</f>
        <v>6666</v>
      </c>
      <c r="F2720" s="32">
        <v>1383981.0</v>
      </c>
      <c r="G2720" s="32">
        <v>65.0</v>
      </c>
      <c r="H2720" s="32" t="str">
        <f>VLOOKUP(D2720, Grid_Region_Mapping!$D$2:$F$5286, 3, FALSE)</f>
        <v>TRE</v>
      </c>
      <c r="I2720" s="32">
        <v>7.0</v>
      </c>
      <c r="J2720" s="34" t="str">
        <f t="shared" si="1"/>
        <v>South</v>
      </c>
      <c r="K2720" s="35">
        <v>5.0</v>
      </c>
      <c r="L2720" s="35" t="s">
        <v>104</v>
      </c>
      <c r="M2720" s="36">
        <f>VLOOKUP(D2720, County_Data_CZones!$B$2:$F$3236, 2, FALSE)</f>
        <v>2</v>
      </c>
      <c r="N2720" s="37" t="str">
        <f>VLOOKUP(D2720, County_Data_CZones!$B$2:$F$3236, 5, FALSE)</f>
        <v>Hot-Humid</v>
      </c>
    </row>
    <row r="2721" ht="15.75" customHeight="1">
      <c r="A2721" s="32" t="s">
        <v>1607</v>
      </c>
      <c r="B2721" s="32" t="s">
        <v>1159</v>
      </c>
      <c r="C2721" s="32" t="str">
        <f>vlookup(B2721,State_EMM_RowSums!$A$2:$B$52,2,FALSE)</f>
        <v>TX</v>
      </c>
      <c r="D2721" s="32">
        <v>48393.0</v>
      </c>
      <c r="E2721" s="33">
        <f>IF(NOT(ISBLANK(vlookup($D2721,Pop_Census_2023!$A$2:$E$3220,4,FALSE))),vlookup($D2721,Pop_Census_2023!$A$2:$E$3220,4,FALSE), vlookup($D2721,Pop_Census_2023!$A$2:$E$3220,5,FALSE))</f>
        <v>840</v>
      </c>
      <c r="F2721" s="32">
        <v>1383982.0</v>
      </c>
      <c r="G2721" s="32">
        <v>48.0</v>
      </c>
      <c r="H2721" s="32" t="str">
        <f>VLOOKUP(D2721, Grid_Region_Mapping!$D$2:$F$5286, 3, FALSE)</f>
        <v>SPPS</v>
      </c>
      <c r="I2721" s="32">
        <v>7.0</v>
      </c>
      <c r="J2721" s="34" t="str">
        <f t="shared" si="1"/>
        <v>South</v>
      </c>
      <c r="K2721" s="35">
        <v>3.0</v>
      </c>
      <c r="L2721" s="35" t="s">
        <v>207</v>
      </c>
      <c r="M2721" s="36">
        <f>VLOOKUP(D2721, County_Data_CZones!$B$2:$F$3236, 2, FALSE)</f>
        <v>4</v>
      </c>
      <c r="N2721" s="37" t="str">
        <f>VLOOKUP(D2721, County_Data_CZones!$B$2:$F$3236, 5, FALSE)</f>
        <v>Mixed-Dry</v>
      </c>
    </row>
    <row r="2722" ht="15.75" customHeight="1">
      <c r="A2722" s="32" t="s">
        <v>866</v>
      </c>
      <c r="B2722" s="32" t="s">
        <v>1159</v>
      </c>
      <c r="C2722" s="32" t="str">
        <f>vlookup(B2722,State_EMM_RowSums!$A$2:$B$52,2,FALSE)</f>
        <v>TX</v>
      </c>
      <c r="D2722" s="32">
        <v>48395.0</v>
      </c>
      <c r="E2722" s="33">
        <f>IF(NOT(ISBLANK(vlookup($D2722,Pop_Census_2023!$A$2:$E$3220,4,FALSE))),vlookup($D2722,Pop_Census_2023!$A$2:$E$3220,4,FALSE), vlookup($D2722,Pop_Census_2023!$A$2:$E$3220,5,FALSE))</f>
        <v>17267</v>
      </c>
      <c r="F2722" s="32">
        <v>1383983.0</v>
      </c>
      <c r="G2722" s="32">
        <v>63.0</v>
      </c>
      <c r="H2722" s="32" t="str">
        <f>VLOOKUP(D2722, Grid_Region_Mapping!$D$2:$F$5286, 3, FALSE)</f>
        <v>MISS</v>
      </c>
      <c r="I2722" s="32">
        <v>7.0</v>
      </c>
      <c r="J2722" s="34" t="str">
        <f t="shared" si="1"/>
        <v>South</v>
      </c>
      <c r="K2722" s="35">
        <v>5.0</v>
      </c>
      <c r="L2722" s="35" t="s">
        <v>104</v>
      </c>
      <c r="M2722" s="36">
        <f>VLOOKUP(D2722, County_Data_CZones!$B$2:$F$3236, 2, FALSE)</f>
        <v>2</v>
      </c>
      <c r="N2722" s="37" t="str">
        <f>VLOOKUP(D2722, County_Data_CZones!$B$2:$F$3236, 5, FALSE)</f>
        <v>Hot-Humid</v>
      </c>
    </row>
    <row r="2723" ht="15.75" customHeight="1">
      <c r="A2723" s="32" t="s">
        <v>1762</v>
      </c>
      <c r="B2723" s="32" t="s">
        <v>1159</v>
      </c>
      <c r="C2723" s="32" t="str">
        <f>vlookup(B2723,State_EMM_RowSums!$A$2:$B$52,2,FALSE)</f>
        <v>TX</v>
      </c>
      <c r="D2723" s="32">
        <v>48397.0</v>
      </c>
      <c r="E2723" s="33">
        <f>IF(NOT(ISBLANK(vlookup($D2723,Pop_Census_2023!$A$2:$E$3220,4,FALSE))),vlookup($D2723,Pop_Census_2023!$A$2:$E$3220,4,FALSE), vlookup($D2723,Pop_Census_2023!$A$2:$E$3220,5,FALSE))</f>
        <v>131307</v>
      </c>
      <c r="F2723" s="32">
        <v>1383984.0</v>
      </c>
      <c r="G2723" s="32">
        <v>63.0</v>
      </c>
      <c r="H2723" s="32" t="str">
        <f>VLOOKUP(D2723, Grid_Region_Mapping!$D$2:$F$5286, 3, FALSE)</f>
        <v>TRE</v>
      </c>
      <c r="I2723" s="32">
        <v>7.0</v>
      </c>
      <c r="J2723" s="34" t="str">
        <f t="shared" si="1"/>
        <v>South</v>
      </c>
      <c r="K2723" s="35">
        <v>5.0</v>
      </c>
      <c r="L2723" s="35" t="s">
        <v>102</v>
      </c>
      <c r="M2723" s="36">
        <f>VLOOKUP(D2723, County_Data_CZones!$B$2:$F$3236, 2, FALSE)</f>
        <v>3</v>
      </c>
      <c r="N2723" s="37" t="str">
        <f>VLOOKUP(D2723, County_Data_CZones!$B$2:$F$3236, 5, FALSE)</f>
        <v>Hot-Humid</v>
      </c>
    </row>
    <row r="2724" ht="15.75" customHeight="1">
      <c r="A2724" s="32" t="s">
        <v>1763</v>
      </c>
      <c r="B2724" s="32" t="s">
        <v>1159</v>
      </c>
      <c r="C2724" s="32" t="str">
        <f>vlookup(B2724,State_EMM_RowSums!$A$2:$B$52,2,FALSE)</f>
        <v>TX</v>
      </c>
      <c r="D2724" s="32">
        <v>48399.0</v>
      </c>
      <c r="E2724" s="33">
        <f>IF(NOT(ISBLANK(vlookup($D2724,Pop_Census_2023!$A$2:$E$3220,4,FALSE))),vlookup($D2724,Pop_Census_2023!$A$2:$E$3220,4,FALSE), vlookup($D2724,Pop_Census_2023!$A$2:$E$3220,5,FALSE))</f>
        <v>9868</v>
      </c>
      <c r="F2724" s="32">
        <v>1383985.0</v>
      </c>
      <c r="G2724" s="32">
        <v>61.0</v>
      </c>
      <c r="H2724" s="32" t="str">
        <f>VLOOKUP(D2724, Grid_Region_Mapping!$D$2:$F$5286, 3, FALSE)</f>
        <v>TRE</v>
      </c>
      <c r="I2724" s="32">
        <v>7.0</v>
      </c>
      <c r="J2724" s="34" t="str">
        <f t="shared" si="1"/>
        <v>South</v>
      </c>
      <c r="K2724" s="35">
        <v>5.0</v>
      </c>
      <c r="L2724" s="35" t="s">
        <v>204</v>
      </c>
      <c r="M2724" s="36">
        <f>VLOOKUP(D2724, County_Data_CZones!$B$2:$F$3236, 2, FALSE)</f>
        <v>3</v>
      </c>
      <c r="N2724" s="37" t="str">
        <f>VLOOKUP(D2724, County_Data_CZones!$B$2:$F$3236, 5, FALSE)</f>
        <v>Hot-Dry</v>
      </c>
    </row>
    <row r="2725" ht="15.75" customHeight="1">
      <c r="A2725" s="32" t="s">
        <v>1764</v>
      </c>
      <c r="B2725" s="32" t="s">
        <v>1159</v>
      </c>
      <c r="C2725" s="32" t="str">
        <f>vlookup(B2725,State_EMM_RowSums!$A$2:$B$52,2,FALSE)</f>
        <v>TX</v>
      </c>
      <c r="D2725" s="32">
        <v>48401.0</v>
      </c>
      <c r="E2725" s="33">
        <f>IF(NOT(ISBLANK(vlookup($D2725,Pop_Census_2023!$A$2:$E$3220,4,FALSE))),vlookup($D2725,Pop_Census_2023!$A$2:$E$3220,4,FALSE), vlookup($D2725,Pop_Census_2023!$A$2:$E$3220,5,FALSE))</f>
        <v>53079</v>
      </c>
      <c r="F2725" s="32">
        <v>1383986.0</v>
      </c>
      <c r="G2725" s="32">
        <v>63.0</v>
      </c>
      <c r="H2725" s="32" t="str">
        <f>VLOOKUP(D2725, Grid_Region_Mapping!$D$2:$F$5286, 3, FALSE)</f>
        <v>SPPS</v>
      </c>
      <c r="I2725" s="32">
        <v>7.0</v>
      </c>
      <c r="J2725" s="34" t="str">
        <f t="shared" si="1"/>
        <v>South</v>
      </c>
      <c r="K2725" s="35">
        <v>5.0</v>
      </c>
      <c r="L2725" s="35" t="s">
        <v>102</v>
      </c>
      <c r="M2725" s="36">
        <f>VLOOKUP(D2725, County_Data_CZones!$B$2:$F$3236, 2, FALSE)</f>
        <v>3</v>
      </c>
      <c r="N2725" s="37" t="str">
        <f>VLOOKUP(D2725, County_Data_CZones!$B$2:$F$3236, 5, FALSE)</f>
        <v>Hot-Humid</v>
      </c>
    </row>
    <row r="2726" ht="15.75" customHeight="1">
      <c r="A2726" s="32" t="s">
        <v>904</v>
      </c>
      <c r="B2726" s="32" t="s">
        <v>1159</v>
      </c>
      <c r="C2726" s="32" t="str">
        <f>vlookup(B2726,State_EMM_RowSums!$A$2:$B$52,2,FALSE)</f>
        <v>TX</v>
      </c>
      <c r="D2726" s="32">
        <v>48403.0</v>
      </c>
      <c r="E2726" s="33">
        <f>IF(NOT(ISBLANK(vlookup($D2726,Pop_Census_2023!$A$2:$E$3220,4,FALSE))),vlookup($D2726,Pop_Census_2023!$A$2:$E$3220,4,FALSE), vlookup($D2726,Pop_Census_2023!$A$2:$E$3220,5,FALSE))</f>
        <v>10106</v>
      </c>
      <c r="F2726" s="32">
        <v>1383987.0</v>
      </c>
      <c r="G2726" s="32">
        <v>66.0</v>
      </c>
      <c r="H2726" s="32" t="str">
        <f>VLOOKUP(D2726, Grid_Region_Mapping!$D$2:$F$5286, 3, FALSE)</f>
        <v>TRE</v>
      </c>
      <c r="I2726" s="32">
        <v>7.0</v>
      </c>
      <c r="J2726" s="34" t="str">
        <f t="shared" si="1"/>
        <v>South</v>
      </c>
      <c r="K2726" s="35">
        <v>5.0</v>
      </c>
      <c r="L2726" s="35" t="s">
        <v>102</v>
      </c>
      <c r="M2726" s="36">
        <f>VLOOKUP(D2726, County_Data_CZones!$B$2:$F$3236, 2, FALSE)</f>
        <v>3</v>
      </c>
      <c r="N2726" s="37" t="str">
        <f>VLOOKUP(D2726, County_Data_CZones!$B$2:$F$3236, 5, FALSE)</f>
        <v>Hot-Humid</v>
      </c>
    </row>
    <row r="2727" ht="15.75" customHeight="1">
      <c r="A2727" s="32" t="s">
        <v>1765</v>
      </c>
      <c r="B2727" s="32" t="s">
        <v>1159</v>
      </c>
      <c r="C2727" s="32" t="str">
        <f>vlookup(B2727,State_EMM_RowSums!$A$2:$B$52,2,FALSE)</f>
        <v>TX</v>
      </c>
      <c r="D2727" s="32">
        <v>48405.0</v>
      </c>
      <c r="E2727" s="33">
        <f>IF(NOT(ISBLANK(vlookup($D2727,Pop_Census_2023!$A$2:$E$3220,4,FALSE))),vlookup($D2727,Pop_Census_2023!$A$2:$E$3220,4,FALSE), vlookup($D2727,Pop_Census_2023!$A$2:$E$3220,5,FALSE))</f>
        <v>7833</v>
      </c>
      <c r="F2727" s="32">
        <v>1383988.0</v>
      </c>
      <c r="G2727" s="32">
        <v>66.0</v>
      </c>
      <c r="H2727" s="32" t="str">
        <f>VLOOKUP(D2727, Grid_Region_Mapping!$D$2:$F$5286, 3, FALSE)</f>
        <v>TRE</v>
      </c>
      <c r="I2727" s="32">
        <v>7.0</v>
      </c>
      <c r="J2727" s="34" t="str">
        <f t="shared" si="1"/>
        <v>South</v>
      </c>
      <c r="K2727" s="35">
        <v>5.0</v>
      </c>
      <c r="L2727" s="35" t="s">
        <v>102</v>
      </c>
      <c r="M2727" s="36">
        <f>VLOOKUP(D2727, County_Data_CZones!$B$2:$F$3236, 2, FALSE)</f>
        <v>3</v>
      </c>
      <c r="N2727" s="37" t="str">
        <f>VLOOKUP(D2727, County_Data_CZones!$B$2:$F$3236, 5, FALSE)</f>
        <v>Hot-Humid</v>
      </c>
    </row>
    <row r="2728" ht="15.75" customHeight="1">
      <c r="A2728" s="32" t="s">
        <v>1766</v>
      </c>
      <c r="B2728" s="32" t="s">
        <v>1159</v>
      </c>
      <c r="C2728" s="32" t="str">
        <f>vlookup(B2728,State_EMM_RowSums!$A$2:$B$52,2,FALSE)</f>
        <v>TX</v>
      </c>
      <c r="D2728" s="32">
        <v>48407.0</v>
      </c>
      <c r="E2728" s="33">
        <f>IF(NOT(ISBLANK(vlookup($D2728,Pop_Census_2023!$A$2:$E$3220,4,FALSE))),vlookup($D2728,Pop_Census_2023!$A$2:$E$3220,4,FALSE), vlookup($D2728,Pop_Census_2023!$A$2:$E$3220,5,FALSE))</f>
        <v>28936</v>
      </c>
      <c r="F2728" s="32">
        <v>1383989.0</v>
      </c>
      <c r="G2728" s="32">
        <v>66.0</v>
      </c>
      <c r="H2728" s="32" t="str">
        <f>VLOOKUP(D2728, Grid_Region_Mapping!$D$2:$F$5286, 3, FALSE)</f>
        <v>MISS</v>
      </c>
      <c r="I2728" s="32">
        <v>7.0</v>
      </c>
      <c r="J2728" s="34" t="str">
        <f t="shared" si="1"/>
        <v>South</v>
      </c>
      <c r="K2728" s="35">
        <v>5.0</v>
      </c>
      <c r="L2728" s="35" t="s">
        <v>104</v>
      </c>
      <c r="M2728" s="36">
        <f>VLOOKUP(D2728, County_Data_CZones!$B$2:$F$3236, 2, FALSE)</f>
        <v>2</v>
      </c>
      <c r="N2728" s="37" t="str">
        <f>VLOOKUP(D2728, County_Data_CZones!$B$2:$F$3236, 5, FALSE)</f>
        <v>Hot-Humid</v>
      </c>
    </row>
    <row r="2729" ht="15.75" customHeight="1">
      <c r="A2729" s="32" t="s">
        <v>1767</v>
      </c>
      <c r="B2729" s="32" t="s">
        <v>1159</v>
      </c>
      <c r="C2729" s="32" t="str">
        <f>vlookup(B2729,State_EMM_RowSums!$A$2:$B$52,2,FALSE)</f>
        <v>TX</v>
      </c>
      <c r="D2729" s="32">
        <v>48409.0</v>
      </c>
      <c r="E2729" s="33">
        <f>IF(NOT(ISBLANK(vlookup($D2729,Pop_Census_2023!$A$2:$E$3220,4,FALSE))),vlookup($D2729,Pop_Census_2023!$A$2:$E$3220,4,FALSE), vlookup($D2729,Pop_Census_2023!$A$2:$E$3220,5,FALSE))</f>
        <v>70660</v>
      </c>
      <c r="F2729" s="32">
        <v>1383990.0</v>
      </c>
      <c r="G2729" s="32">
        <v>65.0</v>
      </c>
      <c r="H2729" s="32" t="str">
        <f>VLOOKUP(D2729, Grid_Region_Mapping!$D$2:$F$5286, 3, FALSE)</f>
        <v>TRE</v>
      </c>
      <c r="I2729" s="32">
        <v>7.0</v>
      </c>
      <c r="J2729" s="34" t="str">
        <f t="shared" si="1"/>
        <v>South</v>
      </c>
      <c r="K2729" s="35">
        <v>5.0</v>
      </c>
      <c r="L2729" s="35" t="s">
        <v>104</v>
      </c>
      <c r="M2729" s="36">
        <f>VLOOKUP(D2729, County_Data_CZones!$B$2:$F$3236, 2, FALSE)</f>
        <v>2</v>
      </c>
      <c r="N2729" s="37" t="str">
        <f>VLOOKUP(D2729, County_Data_CZones!$B$2:$F$3236, 5, FALSE)</f>
        <v>Hot-Humid</v>
      </c>
    </row>
    <row r="2730" ht="15.75" customHeight="1">
      <c r="A2730" s="32" t="s">
        <v>1768</v>
      </c>
      <c r="B2730" s="32" t="s">
        <v>1159</v>
      </c>
      <c r="C2730" s="32" t="str">
        <f>vlookup(B2730,State_EMM_RowSums!$A$2:$B$52,2,FALSE)</f>
        <v>TX</v>
      </c>
      <c r="D2730" s="32">
        <v>48411.0</v>
      </c>
      <c r="E2730" s="33">
        <f>IF(NOT(ISBLANK(vlookup($D2730,Pop_Census_2023!$A$2:$E$3220,4,FALSE))),vlookup($D2730,Pop_Census_2023!$A$2:$E$3220,4,FALSE), vlookup($D2730,Pop_Census_2023!$A$2:$E$3220,5,FALSE))</f>
        <v>5845</v>
      </c>
      <c r="F2730" s="32">
        <v>1383991.0</v>
      </c>
      <c r="G2730" s="32">
        <v>63.0</v>
      </c>
      <c r="H2730" s="32" t="str">
        <f>VLOOKUP(D2730, Grid_Region_Mapping!$D$2:$F$5286, 3, FALSE)</f>
        <v>TRE</v>
      </c>
      <c r="I2730" s="32">
        <v>7.0</v>
      </c>
      <c r="J2730" s="34" t="str">
        <f t="shared" si="1"/>
        <v>South</v>
      </c>
      <c r="K2730" s="35">
        <v>5.0</v>
      </c>
      <c r="L2730" s="35" t="s">
        <v>102</v>
      </c>
      <c r="M2730" s="36">
        <f>VLOOKUP(D2730, County_Data_CZones!$B$2:$F$3236, 2, FALSE)</f>
        <v>3</v>
      </c>
      <c r="N2730" s="37" t="str">
        <f>VLOOKUP(D2730, County_Data_CZones!$B$2:$F$3236, 5, FALSE)</f>
        <v>Hot-Humid</v>
      </c>
    </row>
    <row r="2731" ht="15.75" customHeight="1">
      <c r="A2731" s="32" t="s">
        <v>1769</v>
      </c>
      <c r="B2731" s="32" t="s">
        <v>1159</v>
      </c>
      <c r="C2731" s="32" t="str">
        <f>vlookup(B2731,State_EMM_RowSums!$A$2:$B$52,2,FALSE)</f>
        <v>TX</v>
      </c>
      <c r="D2731" s="32">
        <v>48413.0</v>
      </c>
      <c r="E2731" s="33">
        <f>IF(NOT(ISBLANK(vlookup($D2731,Pop_Census_2023!$A$2:$E$3220,4,FALSE))),vlookup($D2731,Pop_Census_2023!$A$2:$E$3220,4,FALSE), vlookup($D2731,Pop_Census_2023!$A$2:$E$3220,5,FALSE))</f>
        <v>2391</v>
      </c>
      <c r="F2731" s="32">
        <v>1383992.0</v>
      </c>
      <c r="G2731" s="32">
        <v>61.0</v>
      </c>
      <c r="H2731" s="32" t="str">
        <f>VLOOKUP(D2731, Grid_Region_Mapping!$D$2:$F$5286, 3, FALSE)</f>
        <v>TRE</v>
      </c>
      <c r="I2731" s="32">
        <v>7.0</v>
      </c>
      <c r="J2731" s="34" t="str">
        <f t="shared" si="1"/>
        <v>South</v>
      </c>
      <c r="K2731" s="35">
        <v>5.0</v>
      </c>
      <c r="L2731" s="35" t="s">
        <v>204</v>
      </c>
      <c r="M2731" s="36">
        <f>VLOOKUP(D2731, County_Data_CZones!$B$2:$F$3236, 2, FALSE)</f>
        <v>3</v>
      </c>
      <c r="N2731" s="37" t="str">
        <f>VLOOKUP(D2731, County_Data_CZones!$B$2:$F$3236, 5, FALSE)</f>
        <v>Hot-Dry</v>
      </c>
    </row>
    <row r="2732" ht="15.75" customHeight="1">
      <c r="A2732" s="32" t="s">
        <v>1770</v>
      </c>
      <c r="B2732" s="32" t="s">
        <v>1159</v>
      </c>
      <c r="C2732" s="32" t="str">
        <f>vlookup(B2732,State_EMM_RowSums!$A$2:$B$52,2,FALSE)</f>
        <v>TX</v>
      </c>
      <c r="D2732" s="32">
        <v>48415.0</v>
      </c>
      <c r="E2732" s="33">
        <f>IF(NOT(ISBLANK(vlookup($D2732,Pop_Census_2023!$A$2:$E$3220,4,FALSE))),vlookup($D2732,Pop_Census_2023!$A$2:$E$3220,4,FALSE), vlookup($D2732,Pop_Census_2023!$A$2:$E$3220,5,FALSE))</f>
        <v>16212</v>
      </c>
      <c r="F2732" s="32">
        <v>1383993.0</v>
      </c>
      <c r="G2732" s="32">
        <v>60.0</v>
      </c>
      <c r="H2732" s="32" t="str">
        <f>VLOOKUP(D2732, Grid_Region_Mapping!$D$2:$F$5286, 3, FALSE)</f>
        <v>TRE</v>
      </c>
      <c r="I2732" s="32">
        <v>7.0</v>
      </c>
      <c r="J2732" s="34" t="str">
        <f t="shared" si="1"/>
        <v>South</v>
      </c>
      <c r="K2732" s="35">
        <v>4.0</v>
      </c>
      <c r="L2732" s="35" t="s">
        <v>204</v>
      </c>
      <c r="M2732" s="36">
        <f>VLOOKUP(D2732, County_Data_CZones!$B$2:$F$3236, 2, FALSE)</f>
        <v>3</v>
      </c>
      <c r="N2732" s="37" t="str">
        <f>VLOOKUP(D2732, County_Data_CZones!$B$2:$F$3236, 5, FALSE)</f>
        <v>Hot-Dry</v>
      </c>
    </row>
    <row r="2733" ht="15.75" customHeight="1">
      <c r="A2733" s="32" t="s">
        <v>1771</v>
      </c>
      <c r="B2733" s="32" t="s">
        <v>1159</v>
      </c>
      <c r="C2733" s="32" t="str">
        <f>vlookup(B2733,State_EMM_RowSums!$A$2:$B$52,2,FALSE)</f>
        <v>TX</v>
      </c>
      <c r="D2733" s="32">
        <v>48417.0</v>
      </c>
      <c r="E2733" s="33">
        <f>IF(NOT(ISBLANK(vlookup($D2733,Pop_Census_2023!$A$2:$E$3220,4,FALSE))),vlookup($D2733,Pop_Census_2023!$A$2:$E$3220,4,FALSE), vlookup($D2733,Pop_Census_2023!$A$2:$E$3220,5,FALSE))</f>
        <v>3229</v>
      </c>
      <c r="F2733" s="32">
        <v>1383994.0</v>
      </c>
      <c r="G2733" s="32">
        <v>63.0</v>
      </c>
      <c r="H2733" s="32" t="str">
        <f>VLOOKUP(D2733, Grid_Region_Mapping!$D$2:$F$5286, 3, FALSE)</f>
        <v>TRE</v>
      </c>
      <c r="I2733" s="32">
        <v>7.0</v>
      </c>
      <c r="J2733" s="34" t="str">
        <f t="shared" si="1"/>
        <v>South</v>
      </c>
      <c r="K2733" s="35">
        <v>5.0</v>
      </c>
      <c r="L2733" s="35" t="s">
        <v>204</v>
      </c>
      <c r="M2733" s="36">
        <f>VLOOKUP(D2733, County_Data_CZones!$B$2:$F$3236, 2, FALSE)</f>
        <v>3</v>
      </c>
      <c r="N2733" s="37" t="str">
        <f>VLOOKUP(D2733, County_Data_CZones!$B$2:$F$3236, 5, FALSE)</f>
        <v>Hot-Dry</v>
      </c>
    </row>
    <row r="2734" ht="15.75" customHeight="1">
      <c r="A2734" s="32" t="s">
        <v>161</v>
      </c>
      <c r="B2734" s="32" t="s">
        <v>1159</v>
      </c>
      <c r="C2734" s="32" t="str">
        <f>vlookup(B2734,State_EMM_RowSums!$A$2:$B$52,2,FALSE)</f>
        <v>TX</v>
      </c>
      <c r="D2734" s="32">
        <v>48419.0</v>
      </c>
      <c r="E2734" s="33">
        <f>IF(NOT(ISBLANK(vlookup($D2734,Pop_Census_2023!$A$2:$E$3220,4,FALSE))),vlookup($D2734,Pop_Census_2023!$A$2:$E$3220,4,FALSE), vlookup($D2734,Pop_Census_2023!$A$2:$E$3220,5,FALSE))</f>
        <v>24179</v>
      </c>
      <c r="F2734" s="32">
        <v>1383995.0</v>
      </c>
      <c r="G2734" s="32">
        <v>66.0</v>
      </c>
      <c r="H2734" s="32" t="str">
        <f>VLOOKUP(D2734, Grid_Region_Mapping!$D$2:$F$5286, 3, FALSE)</f>
        <v>SPPS</v>
      </c>
      <c r="I2734" s="32">
        <v>7.0</v>
      </c>
      <c r="J2734" s="34" t="str">
        <f t="shared" si="1"/>
        <v>South</v>
      </c>
      <c r="K2734" s="35">
        <v>5.0</v>
      </c>
      <c r="L2734" s="35" t="s">
        <v>102</v>
      </c>
      <c r="M2734" s="36">
        <f>VLOOKUP(D2734, County_Data_CZones!$B$2:$F$3236, 2, FALSE)</f>
        <v>3</v>
      </c>
      <c r="N2734" s="37" t="str">
        <f>VLOOKUP(D2734, County_Data_CZones!$B$2:$F$3236, 5, FALSE)</f>
        <v>Hot-Humid</v>
      </c>
    </row>
    <row r="2735" ht="15.75" customHeight="1">
      <c r="A2735" s="32" t="s">
        <v>805</v>
      </c>
      <c r="B2735" s="32" t="s">
        <v>1159</v>
      </c>
      <c r="C2735" s="32" t="str">
        <f>vlookup(B2735,State_EMM_RowSums!$A$2:$B$52,2,FALSE)</f>
        <v>TX</v>
      </c>
      <c r="D2735" s="32">
        <v>48421.0</v>
      </c>
      <c r="E2735" s="33">
        <f>IF(NOT(ISBLANK(vlookup($D2735,Pop_Census_2023!$A$2:$E$3220,4,FALSE))),vlookup($D2735,Pop_Census_2023!$A$2:$E$3220,4,FALSE), vlookup($D2735,Pop_Census_2023!$A$2:$E$3220,5,FALSE))</f>
        <v>2678</v>
      </c>
      <c r="F2735" s="32">
        <v>1383996.0</v>
      </c>
      <c r="G2735" s="32">
        <v>48.0</v>
      </c>
      <c r="H2735" s="32" t="str">
        <f>VLOOKUP(D2735, Grid_Region_Mapping!$D$2:$F$5286, 3, FALSE)</f>
        <v>SPPS</v>
      </c>
      <c r="I2735" s="32">
        <v>7.0</v>
      </c>
      <c r="J2735" s="34" t="str">
        <f t="shared" si="1"/>
        <v>South</v>
      </c>
      <c r="K2735" s="35">
        <v>3.0</v>
      </c>
      <c r="L2735" s="35" t="s">
        <v>207</v>
      </c>
      <c r="M2735" s="36">
        <f>VLOOKUP(D2735, County_Data_CZones!$B$2:$F$3236, 2, FALSE)</f>
        <v>4</v>
      </c>
      <c r="N2735" s="37" t="str">
        <f>VLOOKUP(D2735, County_Data_CZones!$B$2:$F$3236, 5, FALSE)</f>
        <v>Mixed-Dry</v>
      </c>
    </row>
    <row r="2736" ht="15.75" customHeight="1">
      <c r="A2736" s="32" t="s">
        <v>806</v>
      </c>
      <c r="B2736" s="32" t="s">
        <v>1159</v>
      </c>
      <c r="C2736" s="32" t="str">
        <f>vlookup(B2736,State_EMM_RowSums!$A$2:$B$52,2,FALSE)</f>
        <v>TX</v>
      </c>
      <c r="D2736" s="32">
        <v>48423.0</v>
      </c>
      <c r="E2736" s="33">
        <f>IF(NOT(ISBLANK(vlookup($D2736,Pop_Census_2023!$A$2:$E$3220,4,FALSE))),vlookup($D2736,Pop_Census_2023!$A$2:$E$3220,4,FALSE), vlookup($D2736,Pop_Census_2023!$A$2:$E$3220,5,FALSE))</f>
        <v>245209</v>
      </c>
      <c r="F2736" s="32">
        <v>1383997.0</v>
      </c>
      <c r="G2736" s="32">
        <v>63.0</v>
      </c>
      <c r="H2736" s="32" t="str">
        <f>VLOOKUP(D2736, Grid_Region_Mapping!$D$2:$F$5286, 3, FALSE)</f>
        <v>TRE</v>
      </c>
      <c r="I2736" s="32">
        <v>7.0</v>
      </c>
      <c r="J2736" s="34" t="str">
        <f t="shared" si="1"/>
        <v>South</v>
      </c>
      <c r="K2736" s="35">
        <v>5.0</v>
      </c>
      <c r="L2736" s="35" t="s">
        <v>102</v>
      </c>
      <c r="M2736" s="36">
        <f>VLOOKUP(D2736, County_Data_CZones!$B$2:$F$3236, 2, FALSE)</f>
        <v>3</v>
      </c>
      <c r="N2736" s="37" t="str">
        <f>VLOOKUP(D2736, County_Data_CZones!$B$2:$F$3236, 5, FALSE)</f>
        <v>Hot-Humid</v>
      </c>
    </row>
    <row r="2737" ht="15.75" customHeight="1">
      <c r="A2737" s="32" t="s">
        <v>1772</v>
      </c>
      <c r="B2737" s="32" t="s">
        <v>1159</v>
      </c>
      <c r="C2737" s="32" t="str">
        <f>vlookup(B2737,State_EMM_RowSums!$A$2:$B$52,2,FALSE)</f>
        <v>TX</v>
      </c>
      <c r="D2737" s="32">
        <v>48425.0</v>
      </c>
      <c r="E2737" s="33">
        <f>IF(NOT(ISBLANK(vlookup($D2737,Pop_Census_2023!$A$2:$E$3220,4,FALSE))),vlookup($D2737,Pop_Census_2023!$A$2:$E$3220,4,FALSE), vlookup($D2737,Pop_Census_2023!$A$2:$E$3220,5,FALSE))</f>
        <v>9888</v>
      </c>
      <c r="F2737" s="32">
        <v>1383998.0</v>
      </c>
      <c r="G2737" s="32">
        <v>63.0</v>
      </c>
      <c r="H2737" s="32" t="str">
        <f>VLOOKUP(D2737, Grid_Region_Mapping!$D$2:$F$5286, 3, FALSE)</f>
        <v>TRE</v>
      </c>
      <c r="I2737" s="32">
        <v>7.0</v>
      </c>
      <c r="J2737" s="34" t="str">
        <f t="shared" si="1"/>
        <v>South</v>
      </c>
      <c r="K2737" s="35">
        <v>5.0</v>
      </c>
      <c r="L2737" s="35" t="s">
        <v>102</v>
      </c>
      <c r="M2737" s="36">
        <f>VLOOKUP(D2737, County_Data_CZones!$B$2:$F$3236, 2, FALSE)</f>
        <v>3</v>
      </c>
      <c r="N2737" s="37" t="str">
        <f>VLOOKUP(D2737, County_Data_CZones!$B$2:$F$3236, 5, FALSE)</f>
        <v>Hot-Humid</v>
      </c>
    </row>
    <row r="2738" ht="15.75" customHeight="1">
      <c r="A2738" s="32" t="s">
        <v>1773</v>
      </c>
      <c r="B2738" s="32" t="s">
        <v>1159</v>
      </c>
      <c r="C2738" s="32" t="str">
        <f>vlookup(B2738,State_EMM_RowSums!$A$2:$B$52,2,FALSE)</f>
        <v>TX</v>
      </c>
      <c r="D2738" s="32">
        <v>48427.0</v>
      </c>
      <c r="E2738" s="33">
        <f>IF(NOT(ISBLANK(vlookup($D2738,Pop_Census_2023!$A$2:$E$3220,4,FALSE))),vlookup($D2738,Pop_Census_2023!$A$2:$E$3220,4,FALSE), vlookup($D2738,Pop_Census_2023!$A$2:$E$3220,5,FALSE))</f>
        <v>65934</v>
      </c>
      <c r="F2738" s="32">
        <v>1383999.0</v>
      </c>
      <c r="G2738" s="32">
        <v>65.0</v>
      </c>
      <c r="H2738" s="32" t="str">
        <f>VLOOKUP(D2738, Grid_Region_Mapping!$D$2:$F$5286, 3, FALSE)</f>
        <v>TRE</v>
      </c>
      <c r="I2738" s="32">
        <v>7.0</v>
      </c>
      <c r="J2738" s="34" t="str">
        <f t="shared" si="1"/>
        <v>South</v>
      </c>
      <c r="K2738" s="35">
        <v>5.0</v>
      </c>
      <c r="L2738" s="35" t="s">
        <v>104</v>
      </c>
      <c r="M2738" s="36">
        <f>VLOOKUP(D2738, County_Data_CZones!$B$2:$F$3236, 2, FALSE)</f>
        <v>2</v>
      </c>
      <c r="N2738" s="37" t="str">
        <f>VLOOKUP(D2738, County_Data_CZones!$B$2:$F$3236, 5, FALSE)</f>
        <v>Hot-Humid</v>
      </c>
    </row>
    <row r="2739" ht="15.75" customHeight="1">
      <c r="A2739" s="32" t="s">
        <v>544</v>
      </c>
      <c r="B2739" s="32" t="s">
        <v>1159</v>
      </c>
      <c r="C2739" s="32" t="str">
        <f>vlookup(B2739,State_EMM_RowSums!$A$2:$B$52,2,FALSE)</f>
        <v>TX</v>
      </c>
      <c r="D2739" s="32">
        <v>48429.0</v>
      </c>
      <c r="E2739" s="33">
        <f>IF(NOT(ISBLANK(vlookup($D2739,Pop_Census_2023!$A$2:$E$3220,4,FALSE))),vlookup($D2739,Pop_Census_2023!$A$2:$E$3220,4,FALSE), vlookup($D2739,Pop_Census_2023!$A$2:$E$3220,5,FALSE))</f>
        <v>9343</v>
      </c>
      <c r="F2739" s="32">
        <v>1384000.0</v>
      </c>
      <c r="G2739" s="32">
        <v>63.0</v>
      </c>
      <c r="H2739" s="32" t="str">
        <f>VLOOKUP(D2739, Grid_Region_Mapping!$D$2:$F$5286, 3, FALSE)</f>
        <v>TRE</v>
      </c>
      <c r="I2739" s="32">
        <v>7.0</v>
      </c>
      <c r="J2739" s="34" t="str">
        <f t="shared" si="1"/>
        <v>South</v>
      </c>
      <c r="K2739" s="35">
        <v>5.0</v>
      </c>
      <c r="L2739" s="35" t="s">
        <v>102</v>
      </c>
      <c r="M2739" s="36">
        <f>VLOOKUP(D2739, County_Data_CZones!$B$2:$F$3236, 2, FALSE)</f>
        <v>3</v>
      </c>
      <c r="N2739" s="37" t="str">
        <f>VLOOKUP(D2739, County_Data_CZones!$B$2:$F$3236, 5, FALSE)</f>
        <v>Mixed-Humid</v>
      </c>
    </row>
    <row r="2740" ht="15.75" customHeight="1">
      <c r="A2740" s="32" t="s">
        <v>1774</v>
      </c>
      <c r="B2740" s="32" t="s">
        <v>1159</v>
      </c>
      <c r="C2740" s="32" t="str">
        <f>vlookup(B2740,State_EMM_RowSums!$A$2:$B$52,2,FALSE)</f>
        <v>TX</v>
      </c>
      <c r="D2740" s="32">
        <v>48431.0</v>
      </c>
      <c r="E2740" s="33">
        <f>IF(NOT(ISBLANK(vlookup($D2740,Pop_Census_2023!$A$2:$E$3220,4,FALSE))),vlookup($D2740,Pop_Census_2023!$A$2:$E$3220,4,FALSE), vlookup($D2740,Pop_Census_2023!$A$2:$E$3220,5,FALSE))</f>
        <v>1397</v>
      </c>
      <c r="F2740" s="32">
        <v>1384001.0</v>
      </c>
      <c r="G2740" s="32">
        <v>61.0</v>
      </c>
      <c r="H2740" s="32" t="str">
        <f>VLOOKUP(D2740, Grid_Region_Mapping!$D$2:$F$5286, 3, FALSE)</f>
        <v>TRE</v>
      </c>
      <c r="I2740" s="32">
        <v>7.0</v>
      </c>
      <c r="J2740" s="34" t="str">
        <f t="shared" si="1"/>
        <v>South</v>
      </c>
      <c r="K2740" s="35">
        <v>5.0</v>
      </c>
      <c r="L2740" s="35" t="s">
        <v>204</v>
      </c>
      <c r="M2740" s="36">
        <f>VLOOKUP(D2740, County_Data_CZones!$B$2:$F$3236, 2, FALSE)</f>
        <v>3</v>
      </c>
      <c r="N2740" s="37" t="str">
        <f>VLOOKUP(D2740, County_Data_CZones!$B$2:$F$3236, 5, FALSE)</f>
        <v>Hot-Dry</v>
      </c>
    </row>
    <row r="2741" ht="15.75" customHeight="1">
      <c r="A2741" s="32" t="s">
        <v>1775</v>
      </c>
      <c r="B2741" s="32" t="s">
        <v>1159</v>
      </c>
      <c r="C2741" s="32" t="str">
        <f>vlookup(B2741,State_EMM_RowSums!$A$2:$B$52,2,FALSE)</f>
        <v>TX</v>
      </c>
      <c r="D2741" s="32">
        <v>48433.0</v>
      </c>
      <c r="E2741" s="33">
        <f>IF(NOT(ISBLANK(vlookup($D2741,Pop_Census_2023!$A$2:$E$3220,4,FALSE))),vlookup($D2741,Pop_Census_2023!$A$2:$E$3220,4,FALSE), vlookup($D2741,Pop_Census_2023!$A$2:$E$3220,5,FALSE))</f>
        <v>1218</v>
      </c>
      <c r="F2741" s="32">
        <v>1384002.0</v>
      </c>
      <c r="G2741" s="32">
        <v>60.0</v>
      </c>
      <c r="H2741" s="32" t="str">
        <f>VLOOKUP(D2741, Grid_Region_Mapping!$D$2:$F$5286, 3, FALSE)</f>
        <v>TRE</v>
      </c>
      <c r="I2741" s="32">
        <v>7.0</v>
      </c>
      <c r="J2741" s="34" t="str">
        <f t="shared" si="1"/>
        <v>South</v>
      </c>
      <c r="K2741" s="35">
        <v>5.0</v>
      </c>
      <c r="L2741" s="35" t="s">
        <v>204</v>
      </c>
      <c r="M2741" s="36">
        <f>VLOOKUP(D2741, County_Data_CZones!$B$2:$F$3236, 2, FALSE)</f>
        <v>3</v>
      </c>
      <c r="N2741" s="37" t="str">
        <f>VLOOKUP(D2741, County_Data_CZones!$B$2:$F$3236, 5, FALSE)</f>
        <v>Hot-Dry</v>
      </c>
    </row>
    <row r="2742" ht="15.75" customHeight="1">
      <c r="A2742" s="32" t="s">
        <v>1776</v>
      </c>
      <c r="B2742" s="32" t="s">
        <v>1159</v>
      </c>
      <c r="C2742" s="32" t="str">
        <f>vlookup(B2742,State_EMM_RowSums!$A$2:$B$52,2,FALSE)</f>
        <v>TX</v>
      </c>
      <c r="D2742" s="32">
        <v>48435.0</v>
      </c>
      <c r="E2742" s="33">
        <f>IF(NOT(ISBLANK(vlookup($D2742,Pop_Census_2023!$A$2:$E$3220,4,FALSE))),vlookup($D2742,Pop_Census_2023!$A$2:$E$3220,4,FALSE), vlookup($D2742,Pop_Census_2023!$A$2:$E$3220,5,FALSE))</f>
        <v>3221</v>
      </c>
      <c r="F2742" s="32">
        <v>1384003.0</v>
      </c>
      <c r="G2742" s="32">
        <v>61.0</v>
      </c>
      <c r="H2742" s="32" t="str">
        <f>VLOOKUP(D2742, Grid_Region_Mapping!$D$2:$F$5286, 3, FALSE)</f>
        <v>TRE</v>
      </c>
      <c r="I2742" s="32">
        <v>7.0</v>
      </c>
      <c r="J2742" s="34" t="str">
        <f t="shared" si="1"/>
        <v>South</v>
      </c>
      <c r="K2742" s="35">
        <v>5.0</v>
      </c>
      <c r="L2742" s="35" t="s">
        <v>204</v>
      </c>
      <c r="M2742" s="36">
        <f>VLOOKUP(D2742, County_Data_CZones!$B$2:$F$3236, 2, FALSE)</f>
        <v>3</v>
      </c>
      <c r="N2742" s="37" t="str">
        <f>VLOOKUP(D2742, County_Data_CZones!$B$2:$F$3236, 5, FALSE)</f>
        <v>Hot-Dry</v>
      </c>
    </row>
    <row r="2743" ht="15.75" customHeight="1">
      <c r="A2743" s="32" t="s">
        <v>1777</v>
      </c>
      <c r="B2743" s="32" t="s">
        <v>1159</v>
      </c>
      <c r="C2743" s="32" t="str">
        <f>vlookup(B2743,State_EMM_RowSums!$A$2:$B$52,2,FALSE)</f>
        <v>TX</v>
      </c>
      <c r="D2743" s="32">
        <v>48437.0</v>
      </c>
      <c r="E2743" s="33">
        <f>IF(NOT(ISBLANK(vlookup($D2743,Pop_Census_2023!$A$2:$E$3220,4,FALSE))),vlookup($D2743,Pop_Census_2023!$A$2:$E$3220,4,FALSE), vlookup($D2743,Pop_Census_2023!$A$2:$E$3220,5,FALSE))</f>
        <v>6955</v>
      </c>
      <c r="F2743" s="32">
        <v>1384004.0</v>
      </c>
      <c r="G2743" s="32">
        <v>48.0</v>
      </c>
      <c r="H2743" s="32" t="str">
        <f>VLOOKUP(D2743, Grid_Region_Mapping!$D$2:$F$5286, 3, FALSE)</f>
        <v>SPPS</v>
      </c>
      <c r="I2743" s="32">
        <v>7.0</v>
      </c>
      <c r="J2743" s="34" t="str">
        <f t="shared" si="1"/>
        <v>South</v>
      </c>
      <c r="K2743" s="35">
        <v>4.0</v>
      </c>
      <c r="L2743" s="35" t="s">
        <v>207</v>
      </c>
      <c r="M2743" s="36">
        <f>VLOOKUP(D2743, County_Data_CZones!$B$2:$F$3236, 2, FALSE)</f>
        <v>4</v>
      </c>
      <c r="N2743" s="37" t="str">
        <f>VLOOKUP(D2743, County_Data_CZones!$B$2:$F$3236, 5, FALSE)</f>
        <v>Mixed-Dry</v>
      </c>
    </row>
    <row r="2744" ht="15.75" customHeight="1">
      <c r="A2744" s="32" t="s">
        <v>1778</v>
      </c>
      <c r="B2744" s="32" t="s">
        <v>1159</v>
      </c>
      <c r="C2744" s="32" t="str">
        <f>vlookup(B2744,State_EMM_RowSums!$A$2:$B$52,2,FALSE)</f>
        <v>TX</v>
      </c>
      <c r="D2744" s="32">
        <v>48439.0</v>
      </c>
      <c r="E2744" s="33">
        <f>IF(NOT(ISBLANK(vlookup($D2744,Pop_Census_2023!$A$2:$E$3220,4,FALSE))),vlookup($D2744,Pop_Census_2023!$A$2:$E$3220,4,FALSE), vlookup($D2744,Pop_Census_2023!$A$2:$E$3220,5,FALSE))</f>
        <v>2182947</v>
      </c>
      <c r="F2744" s="32">
        <v>1384005.0</v>
      </c>
      <c r="G2744" s="32">
        <v>63.0</v>
      </c>
      <c r="H2744" s="32" t="str">
        <f>VLOOKUP(D2744, Grid_Region_Mapping!$D$2:$F$5286, 3, FALSE)</f>
        <v>TRE</v>
      </c>
      <c r="I2744" s="32">
        <v>7.0</v>
      </c>
      <c r="J2744" s="34" t="str">
        <f t="shared" si="1"/>
        <v>South</v>
      </c>
      <c r="K2744" s="35">
        <v>5.0</v>
      </c>
      <c r="L2744" s="35" t="s">
        <v>102</v>
      </c>
      <c r="M2744" s="36">
        <f>VLOOKUP(D2744, County_Data_CZones!$B$2:$F$3236, 2, FALSE)</f>
        <v>3</v>
      </c>
      <c r="N2744" s="37" t="str">
        <f>VLOOKUP(D2744, County_Data_CZones!$B$2:$F$3236, 5, FALSE)</f>
        <v>Hot-Humid</v>
      </c>
    </row>
    <row r="2745" ht="15.75" customHeight="1">
      <c r="A2745" s="32" t="s">
        <v>456</v>
      </c>
      <c r="B2745" s="32" t="s">
        <v>1159</v>
      </c>
      <c r="C2745" s="32" t="str">
        <f>vlookup(B2745,State_EMM_RowSums!$A$2:$B$52,2,FALSE)</f>
        <v>TX</v>
      </c>
      <c r="D2745" s="32">
        <v>48441.0</v>
      </c>
      <c r="E2745" s="33">
        <f>IF(NOT(ISBLANK(vlookup($D2745,Pop_Census_2023!$A$2:$E$3220,4,FALSE))),vlookup($D2745,Pop_Census_2023!$A$2:$E$3220,4,FALSE), vlookup($D2745,Pop_Census_2023!$A$2:$E$3220,5,FALSE))</f>
        <v>146836</v>
      </c>
      <c r="F2745" s="32">
        <v>1384006.0</v>
      </c>
      <c r="G2745" s="32">
        <v>61.0</v>
      </c>
      <c r="H2745" s="32" t="str">
        <f>VLOOKUP(D2745, Grid_Region_Mapping!$D$2:$F$5286, 3, FALSE)</f>
        <v>TRE</v>
      </c>
      <c r="I2745" s="32">
        <v>7.0</v>
      </c>
      <c r="J2745" s="34" t="str">
        <f t="shared" si="1"/>
        <v>South</v>
      </c>
      <c r="K2745" s="35">
        <v>5.0</v>
      </c>
      <c r="L2745" s="35" t="s">
        <v>204</v>
      </c>
      <c r="M2745" s="36">
        <f>VLOOKUP(D2745, County_Data_CZones!$B$2:$F$3236, 2, FALSE)</f>
        <v>3</v>
      </c>
      <c r="N2745" s="37" t="str">
        <f>VLOOKUP(D2745, County_Data_CZones!$B$2:$F$3236, 5, FALSE)</f>
        <v>Hot-Dry</v>
      </c>
    </row>
    <row r="2746" ht="15.75" customHeight="1">
      <c r="A2746" s="32" t="s">
        <v>550</v>
      </c>
      <c r="B2746" s="32" t="s">
        <v>1159</v>
      </c>
      <c r="C2746" s="32" t="str">
        <f>vlookup(B2746,State_EMM_RowSums!$A$2:$B$52,2,FALSE)</f>
        <v>TX</v>
      </c>
      <c r="D2746" s="32">
        <v>48443.0</v>
      </c>
      <c r="E2746" s="33">
        <f>IF(NOT(ISBLANK(vlookup($D2746,Pop_Census_2023!$A$2:$E$3220,4,FALSE))),vlookup($D2746,Pop_Census_2023!$A$2:$E$3220,4,FALSE), vlookup($D2746,Pop_Census_2023!$A$2:$E$3220,5,FALSE))</f>
        <v>687</v>
      </c>
      <c r="F2746" s="32">
        <v>1384007.0</v>
      </c>
      <c r="G2746" s="32">
        <v>61.0</v>
      </c>
      <c r="H2746" s="32" t="str">
        <f>VLOOKUP(D2746, Grid_Region_Mapping!$D$2:$F$5286, 3, FALSE)</f>
        <v>TRE</v>
      </c>
      <c r="I2746" s="32">
        <v>7.0</v>
      </c>
      <c r="J2746" s="34" t="str">
        <f t="shared" si="1"/>
        <v>South</v>
      </c>
      <c r="K2746" s="35">
        <v>5.0</v>
      </c>
      <c r="L2746" s="35" t="s">
        <v>204</v>
      </c>
      <c r="M2746" s="36">
        <f>VLOOKUP(D2746, County_Data_CZones!$B$2:$F$3236, 2, FALSE)</f>
        <v>3</v>
      </c>
      <c r="N2746" s="37" t="str">
        <f>VLOOKUP(D2746, County_Data_CZones!$B$2:$F$3236, 5, FALSE)</f>
        <v>Hot-Dry</v>
      </c>
    </row>
    <row r="2747" ht="15.75" customHeight="1">
      <c r="A2747" s="32" t="s">
        <v>1779</v>
      </c>
      <c r="B2747" s="32" t="s">
        <v>1159</v>
      </c>
      <c r="C2747" s="32" t="str">
        <f>vlookup(B2747,State_EMM_RowSums!$A$2:$B$52,2,FALSE)</f>
        <v>TX</v>
      </c>
      <c r="D2747" s="32">
        <v>48445.0</v>
      </c>
      <c r="E2747" s="33">
        <f>IF(NOT(ISBLANK(vlookup($D2747,Pop_Census_2023!$A$2:$E$3220,4,FALSE))),vlookup($D2747,Pop_Census_2023!$A$2:$E$3220,4,FALSE), vlookup($D2747,Pop_Census_2023!$A$2:$E$3220,5,FALSE))</f>
        <v>11547</v>
      </c>
      <c r="F2747" s="32">
        <v>1384008.0</v>
      </c>
      <c r="G2747" s="32">
        <v>48.0</v>
      </c>
      <c r="H2747" s="32" t="str">
        <f>VLOOKUP(D2747, Grid_Region_Mapping!$D$2:$F$5286, 3, FALSE)</f>
        <v>SPPS</v>
      </c>
      <c r="I2747" s="32">
        <v>7.0</v>
      </c>
      <c r="J2747" s="34" t="str">
        <f t="shared" si="1"/>
        <v>South</v>
      </c>
      <c r="K2747" s="35">
        <v>4.0</v>
      </c>
      <c r="L2747" s="35" t="s">
        <v>204</v>
      </c>
      <c r="M2747" s="36">
        <f>VLOOKUP(D2747, County_Data_CZones!$B$2:$F$3236, 2, FALSE)</f>
        <v>3</v>
      </c>
      <c r="N2747" s="37" t="str">
        <f>VLOOKUP(D2747, County_Data_CZones!$B$2:$F$3236, 5, FALSE)</f>
        <v>Hot-Dry</v>
      </c>
    </row>
    <row r="2748" ht="15.75" customHeight="1">
      <c r="A2748" s="32" t="s">
        <v>1780</v>
      </c>
      <c r="B2748" s="32" t="s">
        <v>1159</v>
      </c>
      <c r="C2748" s="32" t="str">
        <f>vlookup(B2748,State_EMM_RowSums!$A$2:$B$52,2,FALSE)</f>
        <v>TX</v>
      </c>
      <c r="D2748" s="32">
        <v>48447.0</v>
      </c>
      <c r="E2748" s="33">
        <f>IF(NOT(ISBLANK(vlookup($D2748,Pop_Census_2023!$A$2:$E$3220,4,FALSE))),vlookup($D2748,Pop_Census_2023!$A$2:$E$3220,4,FALSE), vlookup($D2748,Pop_Census_2023!$A$2:$E$3220,5,FALSE))</f>
        <v>1526</v>
      </c>
      <c r="F2748" s="32">
        <v>1384009.0</v>
      </c>
      <c r="G2748" s="32">
        <v>63.0</v>
      </c>
      <c r="H2748" s="32" t="str">
        <f>VLOOKUP(D2748, Grid_Region_Mapping!$D$2:$F$5286, 3, FALSE)</f>
        <v>TRE</v>
      </c>
      <c r="I2748" s="32">
        <v>7.0</v>
      </c>
      <c r="J2748" s="34" t="str">
        <f t="shared" si="1"/>
        <v>South</v>
      </c>
      <c r="K2748" s="35">
        <v>5.0</v>
      </c>
      <c r="L2748" s="35" t="s">
        <v>204</v>
      </c>
      <c r="M2748" s="36">
        <f>VLOOKUP(D2748, County_Data_CZones!$B$2:$F$3236, 2, FALSE)</f>
        <v>3</v>
      </c>
      <c r="N2748" s="37" t="str">
        <f>VLOOKUP(D2748, County_Data_CZones!$B$2:$F$3236, 5, FALSE)</f>
        <v>Hot-Dry</v>
      </c>
    </row>
    <row r="2749" ht="15.75" customHeight="1">
      <c r="A2749" s="32" t="s">
        <v>1781</v>
      </c>
      <c r="B2749" s="32" t="s">
        <v>1159</v>
      </c>
      <c r="C2749" s="32" t="str">
        <f>vlookup(B2749,State_EMM_RowSums!$A$2:$B$52,2,FALSE)</f>
        <v>TX</v>
      </c>
      <c r="D2749" s="32">
        <v>48449.0</v>
      </c>
      <c r="E2749" s="33">
        <f>IF(NOT(ISBLANK(vlookup($D2749,Pop_Census_2023!$A$2:$E$3220,4,FALSE))),vlookup($D2749,Pop_Census_2023!$A$2:$E$3220,4,FALSE), vlookup($D2749,Pop_Census_2023!$A$2:$E$3220,5,FALSE))</f>
        <v>31357</v>
      </c>
      <c r="F2749" s="32">
        <v>1384010.0</v>
      </c>
      <c r="G2749" s="32">
        <v>57.0</v>
      </c>
      <c r="H2749" s="32" t="str">
        <f>VLOOKUP(D2749, Grid_Region_Mapping!$D$2:$F$5286, 3, FALSE)</f>
        <v>SPPS</v>
      </c>
      <c r="I2749" s="32">
        <v>7.0</v>
      </c>
      <c r="J2749" s="34" t="str">
        <f t="shared" si="1"/>
        <v>South</v>
      </c>
      <c r="K2749" s="35">
        <v>5.0</v>
      </c>
      <c r="L2749" s="35" t="s">
        <v>102</v>
      </c>
      <c r="M2749" s="36">
        <f>VLOOKUP(D2749, County_Data_CZones!$B$2:$F$3236, 2, FALSE)</f>
        <v>3</v>
      </c>
      <c r="N2749" s="37" t="str">
        <f>VLOOKUP(D2749, County_Data_CZones!$B$2:$F$3236, 5, FALSE)</f>
        <v>Hot-Humid</v>
      </c>
    </row>
    <row r="2750" ht="15.75" customHeight="1">
      <c r="A2750" s="32" t="s">
        <v>1782</v>
      </c>
      <c r="B2750" s="32" t="s">
        <v>1159</v>
      </c>
      <c r="C2750" s="32" t="str">
        <f>vlookup(B2750,State_EMM_RowSums!$A$2:$B$52,2,FALSE)</f>
        <v>TX</v>
      </c>
      <c r="D2750" s="32">
        <v>48451.0</v>
      </c>
      <c r="E2750" s="33">
        <f>IF(NOT(ISBLANK(vlookup($D2750,Pop_Census_2023!$A$2:$E$3220,4,FALSE))),vlookup($D2750,Pop_Census_2023!$A$2:$E$3220,4,FALSE), vlookup($D2750,Pop_Census_2023!$A$2:$E$3220,5,FALSE))</f>
        <v>119057</v>
      </c>
      <c r="F2750" s="32">
        <v>1384011.0</v>
      </c>
      <c r="G2750" s="32">
        <v>61.0</v>
      </c>
      <c r="H2750" s="32" t="str">
        <f>VLOOKUP(D2750, Grid_Region_Mapping!$D$2:$F$5286, 3, FALSE)</f>
        <v>TRE</v>
      </c>
      <c r="I2750" s="32">
        <v>7.0</v>
      </c>
      <c r="J2750" s="34" t="str">
        <f t="shared" si="1"/>
        <v>South</v>
      </c>
      <c r="K2750" s="35">
        <v>5.0</v>
      </c>
      <c r="L2750" s="35" t="s">
        <v>204</v>
      </c>
      <c r="M2750" s="36">
        <f>VLOOKUP(D2750, County_Data_CZones!$B$2:$F$3236, 2, FALSE)</f>
        <v>3</v>
      </c>
      <c r="N2750" s="37" t="str">
        <f>VLOOKUP(D2750, County_Data_CZones!$B$2:$F$3236, 5, FALSE)</f>
        <v>Hot-Dry</v>
      </c>
    </row>
    <row r="2751" ht="15.75" customHeight="1">
      <c r="A2751" s="32" t="s">
        <v>1783</v>
      </c>
      <c r="B2751" s="32" t="s">
        <v>1159</v>
      </c>
      <c r="C2751" s="32" t="str">
        <f>vlookup(B2751,State_EMM_RowSums!$A$2:$B$52,2,FALSE)</f>
        <v>TX</v>
      </c>
      <c r="D2751" s="32">
        <v>48453.0</v>
      </c>
      <c r="E2751" s="33">
        <f>IF(NOT(ISBLANK(vlookup($D2751,Pop_Census_2023!$A$2:$E$3220,4,FALSE))),vlookup($D2751,Pop_Census_2023!$A$2:$E$3220,4,FALSE), vlookup($D2751,Pop_Census_2023!$A$2:$E$3220,5,FALSE))</f>
        <v>1334961</v>
      </c>
      <c r="F2751" s="32">
        <v>1384012.0</v>
      </c>
      <c r="G2751" s="32">
        <v>64.0</v>
      </c>
      <c r="H2751" s="32" t="str">
        <f>VLOOKUP(D2751, Grid_Region_Mapping!$D$2:$F$5286, 3, FALSE)</f>
        <v>TRE</v>
      </c>
      <c r="I2751" s="32">
        <v>7.0</v>
      </c>
      <c r="J2751" s="34" t="str">
        <f t="shared" si="1"/>
        <v>South</v>
      </c>
      <c r="K2751" s="35">
        <v>5.0</v>
      </c>
      <c r="L2751" s="35" t="s">
        <v>104</v>
      </c>
      <c r="M2751" s="36">
        <f>VLOOKUP(D2751, County_Data_CZones!$B$2:$F$3236, 2, FALSE)</f>
        <v>2</v>
      </c>
      <c r="N2751" s="37" t="str">
        <f>VLOOKUP(D2751, County_Data_CZones!$B$2:$F$3236, 5, FALSE)</f>
        <v>Hot-Humid</v>
      </c>
    </row>
    <row r="2752" ht="15.75" customHeight="1">
      <c r="A2752" s="32" t="s">
        <v>332</v>
      </c>
      <c r="B2752" s="32" t="s">
        <v>1159</v>
      </c>
      <c r="C2752" s="32" t="str">
        <f>vlookup(B2752,State_EMM_RowSums!$A$2:$B$52,2,FALSE)</f>
        <v>TX</v>
      </c>
      <c r="D2752" s="32">
        <v>48455.0</v>
      </c>
      <c r="E2752" s="33">
        <f>IF(NOT(ISBLANK(vlookup($D2752,Pop_Census_2023!$A$2:$E$3220,4,FALSE))),vlookup($D2752,Pop_Census_2023!$A$2:$E$3220,4,FALSE), vlookup($D2752,Pop_Census_2023!$A$2:$E$3220,5,FALSE))</f>
        <v>14228</v>
      </c>
      <c r="F2752" s="32">
        <v>1384013.0</v>
      </c>
      <c r="G2752" s="32">
        <v>66.0</v>
      </c>
      <c r="H2752" s="32" t="str">
        <f>VLOOKUP(D2752, Grid_Region_Mapping!$D$2:$F$5286, 3, FALSE)</f>
        <v>MISS</v>
      </c>
      <c r="I2752" s="32">
        <v>7.0</v>
      </c>
      <c r="J2752" s="34" t="str">
        <f t="shared" si="1"/>
        <v>South</v>
      </c>
      <c r="K2752" s="35">
        <v>5.0</v>
      </c>
      <c r="L2752" s="35" t="s">
        <v>104</v>
      </c>
      <c r="M2752" s="36">
        <f>VLOOKUP(D2752, County_Data_CZones!$B$2:$F$3236, 2, FALSE)</f>
        <v>2</v>
      </c>
      <c r="N2752" s="37" t="str">
        <f>VLOOKUP(D2752, County_Data_CZones!$B$2:$F$3236, 5, FALSE)</f>
        <v>Hot-Humid</v>
      </c>
    </row>
    <row r="2753" ht="15.75" customHeight="1">
      <c r="A2753" s="32" t="s">
        <v>1784</v>
      </c>
      <c r="B2753" s="32" t="s">
        <v>1159</v>
      </c>
      <c r="C2753" s="32" t="str">
        <f>vlookup(B2753,State_EMM_RowSums!$A$2:$B$52,2,FALSE)</f>
        <v>TX</v>
      </c>
      <c r="D2753" s="32">
        <v>48457.0</v>
      </c>
      <c r="E2753" s="33">
        <f>IF(NOT(ISBLANK(vlookup($D2753,Pop_Census_2023!$A$2:$E$3220,4,FALSE))),vlookup($D2753,Pop_Census_2023!$A$2:$E$3220,4,FALSE), vlookup($D2753,Pop_Census_2023!$A$2:$E$3220,5,FALSE))</f>
        <v>20382</v>
      </c>
      <c r="F2753" s="32">
        <v>1384014.0</v>
      </c>
      <c r="G2753" s="32">
        <v>66.0</v>
      </c>
      <c r="H2753" s="32" t="str">
        <f>VLOOKUP(D2753, Grid_Region_Mapping!$D$2:$F$5286, 3, FALSE)</f>
        <v>MISS</v>
      </c>
      <c r="I2753" s="32">
        <v>7.0</v>
      </c>
      <c r="J2753" s="34" t="str">
        <f t="shared" si="1"/>
        <v>South</v>
      </c>
      <c r="K2753" s="35">
        <v>5.0</v>
      </c>
      <c r="L2753" s="35" t="s">
        <v>104</v>
      </c>
      <c r="M2753" s="36">
        <f>VLOOKUP(D2753, County_Data_CZones!$B$2:$F$3236, 2, FALSE)</f>
        <v>2</v>
      </c>
      <c r="N2753" s="37" t="str">
        <f>VLOOKUP(D2753, County_Data_CZones!$B$2:$F$3236, 5, FALSE)</f>
        <v>Hot-Humid</v>
      </c>
    </row>
    <row r="2754" ht="15.75" customHeight="1">
      <c r="A2754" s="32" t="s">
        <v>1785</v>
      </c>
      <c r="B2754" s="32" t="s">
        <v>1159</v>
      </c>
      <c r="C2754" s="32" t="str">
        <f>vlookup(B2754,State_EMM_RowSums!$A$2:$B$52,2,FALSE)</f>
        <v>TX</v>
      </c>
      <c r="D2754" s="32">
        <v>48459.0</v>
      </c>
      <c r="E2754" s="33">
        <f>IF(NOT(ISBLANK(vlookup($D2754,Pop_Census_2023!$A$2:$E$3220,4,FALSE))),vlookup($D2754,Pop_Census_2023!$A$2:$E$3220,4,FALSE), vlookup($D2754,Pop_Census_2023!$A$2:$E$3220,5,FALSE))</f>
        <v>43281</v>
      </c>
      <c r="F2754" s="32">
        <v>1384015.0</v>
      </c>
      <c r="G2754" s="32">
        <v>57.0</v>
      </c>
      <c r="H2754" s="32" t="str">
        <f>VLOOKUP(D2754, Grid_Region_Mapping!$D$2:$F$5286, 3, FALSE)</f>
        <v>SPPS</v>
      </c>
      <c r="I2754" s="32">
        <v>7.0</v>
      </c>
      <c r="J2754" s="34" t="str">
        <f t="shared" si="1"/>
        <v>South</v>
      </c>
      <c r="K2754" s="35">
        <v>5.0</v>
      </c>
      <c r="L2754" s="35" t="s">
        <v>102</v>
      </c>
      <c r="M2754" s="36">
        <f>VLOOKUP(D2754, County_Data_CZones!$B$2:$F$3236, 2, FALSE)</f>
        <v>3</v>
      </c>
      <c r="N2754" s="37" t="str">
        <f>VLOOKUP(D2754, County_Data_CZones!$B$2:$F$3236, 5, FALSE)</f>
        <v>Hot-Humid</v>
      </c>
    </row>
    <row r="2755" ht="15.75" customHeight="1">
      <c r="A2755" s="32" t="s">
        <v>1786</v>
      </c>
      <c r="B2755" s="32" t="s">
        <v>1159</v>
      </c>
      <c r="C2755" s="32" t="str">
        <f>vlookup(B2755,State_EMM_RowSums!$A$2:$B$52,2,FALSE)</f>
        <v>TX</v>
      </c>
      <c r="D2755" s="32">
        <v>48461.0</v>
      </c>
      <c r="E2755" s="33">
        <f>IF(NOT(ISBLANK(vlookup($D2755,Pop_Census_2023!$A$2:$E$3220,4,FALSE))),vlookup($D2755,Pop_Census_2023!$A$2:$E$3220,4,FALSE), vlookup($D2755,Pop_Census_2023!$A$2:$E$3220,5,FALSE))</f>
        <v>3109</v>
      </c>
      <c r="F2755" s="32">
        <v>1384016.0</v>
      </c>
      <c r="G2755" s="32">
        <v>62.0</v>
      </c>
      <c r="H2755" s="32" t="str">
        <f>VLOOKUP(D2755, Grid_Region_Mapping!$D$2:$F$5286, 3, FALSE)</f>
        <v>TRE</v>
      </c>
      <c r="I2755" s="32">
        <v>7.0</v>
      </c>
      <c r="J2755" s="34" t="str">
        <f t="shared" si="1"/>
        <v>South</v>
      </c>
      <c r="K2755" s="35">
        <v>5.0</v>
      </c>
      <c r="L2755" s="35" t="s">
        <v>204</v>
      </c>
      <c r="M2755" s="36">
        <f>VLOOKUP(D2755, County_Data_CZones!$B$2:$F$3236, 2, FALSE)</f>
        <v>3</v>
      </c>
      <c r="N2755" s="37" t="str">
        <f>VLOOKUP(D2755, County_Data_CZones!$B$2:$F$3236, 5, FALSE)</f>
        <v>Hot-Dry</v>
      </c>
    </row>
    <row r="2756" ht="15.75" customHeight="1">
      <c r="A2756" s="32" t="s">
        <v>1787</v>
      </c>
      <c r="B2756" s="32" t="s">
        <v>1159</v>
      </c>
      <c r="C2756" s="32" t="str">
        <f>vlookup(B2756,State_EMM_RowSums!$A$2:$B$52,2,FALSE)</f>
        <v>TX</v>
      </c>
      <c r="D2756" s="32">
        <v>48463.0</v>
      </c>
      <c r="E2756" s="33">
        <f>IF(NOT(ISBLANK(vlookup($D2756,Pop_Census_2023!$A$2:$E$3220,4,FALSE))),vlookup($D2756,Pop_Census_2023!$A$2:$E$3220,4,FALSE), vlookup($D2756,Pop_Census_2023!$A$2:$E$3220,5,FALSE))</f>
        <v>24960</v>
      </c>
      <c r="F2756" s="32">
        <v>1384017.0</v>
      </c>
      <c r="G2756" s="32">
        <v>65.0</v>
      </c>
      <c r="H2756" s="32" t="str">
        <f>VLOOKUP(D2756, Grid_Region_Mapping!$D$2:$F$5286, 3, FALSE)</f>
        <v>TRE</v>
      </c>
      <c r="I2756" s="32">
        <v>7.0</v>
      </c>
      <c r="J2756" s="34" t="str">
        <f t="shared" si="1"/>
        <v>South</v>
      </c>
      <c r="K2756" s="35">
        <v>5.0</v>
      </c>
      <c r="L2756" s="35" t="s">
        <v>211</v>
      </c>
      <c r="M2756" s="36">
        <f>VLOOKUP(D2756, County_Data_CZones!$B$2:$F$3236, 2, FALSE)</f>
        <v>2</v>
      </c>
      <c r="N2756" s="37" t="str">
        <f>VLOOKUP(D2756, County_Data_CZones!$B$2:$F$3236, 5, FALSE)</f>
        <v>Hot-Humid</v>
      </c>
    </row>
    <row r="2757" ht="15.75" customHeight="1">
      <c r="A2757" s="32" t="s">
        <v>1788</v>
      </c>
      <c r="B2757" s="32" t="s">
        <v>1159</v>
      </c>
      <c r="C2757" s="32" t="str">
        <f>vlookup(B2757,State_EMM_RowSums!$A$2:$B$52,2,FALSE)</f>
        <v>TX</v>
      </c>
      <c r="D2757" s="32">
        <v>48465.0</v>
      </c>
      <c r="E2757" s="33">
        <f>IF(NOT(ISBLANK(vlookup($D2757,Pop_Census_2023!$A$2:$E$3220,4,FALSE))),vlookup($D2757,Pop_Census_2023!$A$2:$E$3220,4,FALSE), vlookup($D2757,Pop_Census_2023!$A$2:$E$3220,5,FALSE))</f>
        <v>47720</v>
      </c>
      <c r="F2757" s="32">
        <v>1384018.0</v>
      </c>
      <c r="G2757" s="32">
        <v>61.0</v>
      </c>
      <c r="H2757" s="32" t="str">
        <f>VLOOKUP(D2757, Grid_Region_Mapping!$D$2:$F$5286, 3, FALSE)</f>
        <v>TRE</v>
      </c>
      <c r="I2757" s="32">
        <v>7.0</v>
      </c>
      <c r="J2757" s="34" t="str">
        <f t="shared" si="1"/>
        <v>South</v>
      </c>
      <c r="K2757" s="35">
        <v>5.0</v>
      </c>
      <c r="L2757" s="35" t="s">
        <v>211</v>
      </c>
      <c r="M2757" s="36">
        <f>VLOOKUP(D2757, County_Data_CZones!$B$2:$F$3236, 2, FALSE)</f>
        <v>2</v>
      </c>
      <c r="N2757" s="37" t="str">
        <f>VLOOKUP(D2757, County_Data_CZones!$B$2:$F$3236, 5, FALSE)</f>
        <v>Hot-Humid</v>
      </c>
    </row>
    <row r="2758" ht="15.75" customHeight="1">
      <c r="A2758" s="32" t="s">
        <v>1789</v>
      </c>
      <c r="B2758" s="32" t="s">
        <v>1159</v>
      </c>
      <c r="C2758" s="32" t="str">
        <f>vlookup(B2758,State_EMM_RowSums!$A$2:$B$52,2,FALSE)</f>
        <v>TX</v>
      </c>
      <c r="D2758" s="32">
        <v>48467.0</v>
      </c>
      <c r="E2758" s="33">
        <f>IF(NOT(ISBLANK(vlookup($D2758,Pop_Census_2023!$A$2:$E$3220,4,FALSE))),vlookup($D2758,Pop_Census_2023!$A$2:$E$3220,4,FALSE), vlookup($D2758,Pop_Census_2023!$A$2:$E$3220,5,FALSE))</f>
        <v>64000</v>
      </c>
      <c r="F2758" s="32">
        <v>1384019.0</v>
      </c>
      <c r="G2758" s="32">
        <v>63.0</v>
      </c>
      <c r="H2758" s="32" t="str">
        <f>VLOOKUP(D2758, Grid_Region_Mapping!$D$2:$F$5286, 3, FALSE)</f>
        <v>TRE</v>
      </c>
      <c r="I2758" s="32">
        <v>7.0</v>
      </c>
      <c r="J2758" s="34" t="str">
        <f t="shared" si="1"/>
        <v>South</v>
      </c>
      <c r="K2758" s="35">
        <v>5.0</v>
      </c>
      <c r="L2758" s="35" t="s">
        <v>102</v>
      </c>
      <c r="M2758" s="36">
        <f>VLOOKUP(D2758, County_Data_CZones!$B$2:$F$3236, 2, FALSE)</f>
        <v>3</v>
      </c>
      <c r="N2758" s="37" t="str">
        <f>VLOOKUP(D2758, County_Data_CZones!$B$2:$F$3236, 5, FALSE)</f>
        <v>Hot-Humid</v>
      </c>
    </row>
    <row r="2759" ht="15.75" customHeight="1">
      <c r="A2759" s="32" t="s">
        <v>1790</v>
      </c>
      <c r="B2759" s="32" t="s">
        <v>1159</v>
      </c>
      <c r="C2759" s="32" t="str">
        <f>vlookup(B2759,State_EMM_RowSums!$A$2:$B$52,2,FALSE)</f>
        <v>TX</v>
      </c>
      <c r="D2759" s="32">
        <v>48469.0</v>
      </c>
      <c r="E2759" s="33">
        <f>IF(NOT(ISBLANK(vlookup($D2759,Pop_Census_2023!$A$2:$E$3220,4,FALSE))),vlookup($D2759,Pop_Census_2023!$A$2:$E$3220,4,FALSE), vlookup($D2759,Pop_Census_2023!$A$2:$E$3220,5,FALSE))</f>
        <v>91664</v>
      </c>
      <c r="F2759" s="32">
        <v>1384020.0</v>
      </c>
      <c r="G2759" s="32">
        <v>65.0</v>
      </c>
      <c r="H2759" s="32" t="str">
        <f>VLOOKUP(D2759, Grid_Region_Mapping!$D$2:$F$5286, 3, FALSE)</f>
        <v>TRE</v>
      </c>
      <c r="I2759" s="32">
        <v>7.0</v>
      </c>
      <c r="J2759" s="34" t="str">
        <f t="shared" si="1"/>
        <v>South</v>
      </c>
      <c r="K2759" s="35">
        <v>5.0</v>
      </c>
      <c r="L2759" s="35" t="s">
        <v>104</v>
      </c>
      <c r="M2759" s="36">
        <f>VLOOKUP(D2759, County_Data_CZones!$B$2:$F$3236, 2, FALSE)</f>
        <v>2</v>
      </c>
      <c r="N2759" s="37" t="str">
        <f>VLOOKUP(D2759, County_Data_CZones!$B$2:$F$3236, 5, FALSE)</f>
        <v>Hot-Humid</v>
      </c>
    </row>
    <row r="2760" ht="15.75" customHeight="1">
      <c r="A2760" s="32" t="s">
        <v>166</v>
      </c>
      <c r="B2760" s="32" t="s">
        <v>1159</v>
      </c>
      <c r="C2760" s="32" t="str">
        <f>vlookup(B2760,State_EMM_RowSums!$A$2:$B$52,2,FALSE)</f>
        <v>TX</v>
      </c>
      <c r="D2760" s="32">
        <v>48471.0</v>
      </c>
      <c r="E2760" s="33">
        <f>IF(NOT(ISBLANK(vlookup($D2760,Pop_Census_2023!$A$2:$E$3220,4,FALSE))),vlookup($D2760,Pop_Census_2023!$A$2:$E$3220,4,FALSE), vlookup($D2760,Pop_Census_2023!$A$2:$E$3220,5,FALSE))</f>
        <v>81268</v>
      </c>
      <c r="F2760" s="32">
        <v>1384021.0</v>
      </c>
      <c r="G2760" s="32">
        <v>64.0</v>
      </c>
      <c r="H2760" s="32" t="str">
        <f>VLOOKUP(D2760, Grid_Region_Mapping!$D$2:$F$5286, 3, FALSE)</f>
        <v>MISS</v>
      </c>
      <c r="I2760" s="32">
        <v>7.0</v>
      </c>
      <c r="J2760" s="34" t="str">
        <f t="shared" si="1"/>
        <v>South</v>
      </c>
      <c r="K2760" s="35">
        <v>5.0</v>
      </c>
      <c r="L2760" s="35" t="s">
        <v>104</v>
      </c>
      <c r="M2760" s="36">
        <f>VLOOKUP(D2760, County_Data_CZones!$B$2:$F$3236, 2, FALSE)</f>
        <v>2</v>
      </c>
      <c r="N2760" s="37" t="str">
        <f>VLOOKUP(D2760, County_Data_CZones!$B$2:$F$3236, 5, FALSE)</f>
        <v>Hot-Humid</v>
      </c>
    </row>
    <row r="2761" ht="15.75" customHeight="1">
      <c r="A2761" s="32" t="s">
        <v>1791</v>
      </c>
      <c r="B2761" s="32" t="s">
        <v>1159</v>
      </c>
      <c r="C2761" s="32" t="str">
        <f>vlookup(B2761,State_EMM_RowSums!$A$2:$B$52,2,FALSE)</f>
        <v>TX</v>
      </c>
      <c r="D2761" s="32">
        <v>48473.0</v>
      </c>
      <c r="E2761" s="33">
        <f>IF(NOT(ISBLANK(vlookup($D2761,Pop_Census_2023!$A$2:$E$3220,4,FALSE))),vlookup($D2761,Pop_Census_2023!$A$2:$E$3220,4,FALSE), vlookup($D2761,Pop_Census_2023!$A$2:$E$3220,5,FALSE))</f>
        <v>63553</v>
      </c>
      <c r="F2761" s="32">
        <v>1384022.0</v>
      </c>
      <c r="G2761" s="32">
        <v>64.0</v>
      </c>
      <c r="H2761" s="32" t="str">
        <f>VLOOKUP(D2761, Grid_Region_Mapping!$D$2:$F$5286, 3, FALSE)</f>
        <v>TRE</v>
      </c>
      <c r="I2761" s="32">
        <v>7.0</v>
      </c>
      <c r="J2761" s="34" t="str">
        <f t="shared" si="1"/>
        <v>South</v>
      </c>
      <c r="K2761" s="35">
        <v>5.0</v>
      </c>
      <c r="L2761" s="35" t="s">
        <v>104</v>
      </c>
      <c r="M2761" s="36">
        <f>VLOOKUP(D2761, County_Data_CZones!$B$2:$F$3236, 2, FALSE)</f>
        <v>2</v>
      </c>
      <c r="N2761" s="37" t="str">
        <f>VLOOKUP(D2761, County_Data_CZones!$B$2:$F$3236, 5, FALSE)</f>
        <v>Hot-Humid</v>
      </c>
    </row>
    <row r="2762" ht="15.75" customHeight="1">
      <c r="A2762" s="32" t="s">
        <v>1420</v>
      </c>
      <c r="B2762" s="32" t="s">
        <v>1159</v>
      </c>
      <c r="C2762" s="32" t="str">
        <f>vlookup(B2762,State_EMM_RowSums!$A$2:$B$52,2,FALSE)</f>
        <v>TX</v>
      </c>
      <c r="D2762" s="32">
        <v>48475.0</v>
      </c>
      <c r="E2762" s="33">
        <f>IF(NOT(ISBLANK(vlookup($D2762,Pop_Census_2023!$A$2:$E$3220,4,FALSE))),vlookup($D2762,Pop_Census_2023!$A$2:$E$3220,4,FALSE), vlookup($D2762,Pop_Census_2023!$A$2:$E$3220,5,FALSE))</f>
        <v>10966</v>
      </c>
      <c r="F2762" s="32">
        <v>1384023.0</v>
      </c>
      <c r="G2762" s="32">
        <v>62.0</v>
      </c>
      <c r="H2762" s="32" t="str">
        <f>VLOOKUP(D2762, Grid_Region_Mapping!$D$2:$F$5286, 3, FALSE)</f>
        <v>TRE</v>
      </c>
      <c r="I2762" s="32">
        <v>7.0</v>
      </c>
      <c r="J2762" s="34" t="str">
        <f t="shared" si="1"/>
        <v>South</v>
      </c>
      <c r="K2762" s="35">
        <v>5.0</v>
      </c>
      <c r="L2762" s="35" t="s">
        <v>204</v>
      </c>
      <c r="M2762" s="36">
        <f>VLOOKUP(D2762, County_Data_CZones!$B$2:$F$3236, 2, FALSE)</f>
        <v>3</v>
      </c>
      <c r="N2762" s="37" t="str">
        <f>VLOOKUP(D2762, County_Data_CZones!$B$2:$F$3236, 5, FALSE)</f>
        <v>Hot-Dry</v>
      </c>
    </row>
    <row r="2763" ht="15.75" customHeight="1">
      <c r="A2763" s="32" t="s">
        <v>167</v>
      </c>
      <c r="B2763" s="32" t="s">
        <v>1159</v>
      </c>
      <c r="C2763" s="32" t="str">
        <f>vlookup(B2763,State_EMM_RowSums!$A$2:$B$52,2,FALSE)</f>
        <v>TX</v>
      </c>
      <c r="D2763" s="32">
        <v>48477.0</v>
      </c>
      <c r="E2763" s="33">
        <f>IF(NOT(ISBLANK(vlookup($D2763,Pop_Census_2023!$A$2:$E$3220,4,FALSE))),vlookup($D2763,Pop_Census_2023!$A$2:$E$3220,4,FALSE), vlookup($D2763,Pop_Census_2023!$A$2:$E$3220,5,FALSE))</f>
        <v>37007</v>
      </c>
      <c r="F2763" s="32">
        <v>1384024.0</v>
      </c>
      <c r="G2763" s="32">
        <v>64.0</v>
      </c>
      <c r="H2763" s="32" t="str">
        <f>VLOOKUP(D2763, Grid_Region_Mapping!$D$2:$F$5286, 3, FALSE)</f>
        <v>TRE</v>
      </c>
      <c r="I2763" s="32">
        <v>7.0</v>
      </c>
      <c r="J2763" s="34" t="str">
        <f t="shared" si="1"/>
        <v>South</v>
      </c>
      <c r="K2763" s="35">
        <v>5.0</v>
      </c>
      <c r="L2763" s="35" t="s">
        <v>104</v>
      </c>
      <c r="M2763" s="36">
        <f>VLOOKUP(D2763, County_Data_CZones!$B$2:$F$3236, 2, FALSE)</f>
        <v>2</v>
      </c>
      <c r="N2763" s="37" t="str">
        <f>VLOOKUP(D2763, County_Data_CZones!$B$2:$F$3236, 5, FALSE)</f>
        <v>Hot-Humid</v>
      </c>
    </row>
    <row r="2764" ht="15.75" customHeight="1">
      <c r="A2764" s="32" t="s">
        <v>1792</v>
      </c>
      <c r="B2764" s="32" t="s">
        <v>1159</v>
      </c>
      <c r="C2764" s="32" t="str">
        <f>vlookup(B2764,State_EMM_RowSums!$A$2:$B$52,2,FALSE)</f>
        <v>TX</v>
      </c>
      <c r="D2764" s="32">
        <v>48479.0</v>
      </c>
      <c r="E2764" s="33">
        <f>IF(NOT(ISBLANK(vlookup($D2764,Pop_Census_2023!$A$2:$E$3220,4,FALSE))),vlookup($D2764,Pop_Census_2023!$A$2:$E$3220,4,FALSE), vlookup($D2764,Pop_Census_2023!$A$2:$E$3220,5,FALSE))</f>
        <v>269148</v>
      </c>
      <c r="F2764" s="32">
        <v>1384025.0</v>
      </c>
      <c r="G2764" s="32">
        <v>65.0</v>
      </c>
      <c r="H2764" s="32" t="str">
        <f>VLOOKUP(D2764, Grid_Region_Mapping!$D$2:$F$5286, 3, FALSE)</f>
        <v>TRE</v>
      </c>
      <c r="I2764" s="32">
        <v>7.0</v>
      </c>
      <c r="J2764" s="34" t="str">
        <f t="shared" si="1"/>
        <v>South</v>
      </c>
      <c r="K2764" s="35">
        <v>5.0</v>
      </c>
      <c r="L2764" s="35" t="s">
        <v>211</v>
      </c>
      <c r="M2764" s="36">
        <f>VLOOKUP(D2764, County_Data_CZones!$B$2:$F$3236, 2, FALSE)</f>
        <v>2</v>
      </c>
      <c r="N2764" s="37" t="str">
        <f>VLOOKUP(D2764, County_Data_CZones!$B$2:$F$3236, 5, FALSE)</f>
        <v>Hot-Humid</v>
      </c>
    </row>
    <row r="2765" ht="15.75" customHeight="1">
      <c r="A2765" s="32" t="s">
        <v>1793</v>
      </c>
      <c r="B2765" s="32" t="s">
        <v>1159</v>
      </c>
      <c r="C2765" s="32" t="str">
        <f>vlookup(B2765,State_EMM_RowSums!$A$2:$B$52,2,FALSE)</f>
        <v>TX</v>
      </c>
      <c r="D2765" s="32">
        <v>48481.0</v>
      </c>
      <c r="E2765" s="33">
        <f>IF(NOT(ISBLANK(vlookup($D2765,Pop_Census_2023!$A$2:$E$3220,4,FALSE))),vlookup($D2765,Pop_Census_2023!$A$2:$E$3220,4,FALSE), vlookup($D2765,Pop_Census_2023!$A$2:$E$3220,5,FALSE))</f>
        <v>41739</v>
      </c>
      <c r="F2765" s="32">
        <v>1384026.0</v>
      </c>
      <c r="G2765" s="32">
        <v>65.0</v>
      </c>
      <c r="H2765" s="32" t="str">
        <f>VLOOKUP(D2765, Grid_Region_Mapping!$D$2:$F$5286, 3, FALSE)</f>
        <v>TRE</v>
      </c>
      <c r="I2765" s="32">
        <v>7.0</v>
      </c>
      <c r="J2765" s="34" t="str">
        <f t="shared" si="1"/>
        <v>South</v>
      </c>
      <c r="K2765" s="35">
        <v>5.0</v>
      </c>
      <c r="L2765" s="35" t="s">
        <v>104</v>
      </c>
      <c r="M2765" s="36">
        <f>VLOOKUP(D2765, County_Data_CZones!$B$2:$F$3236, 2, FALSE)</f>
        <v>2</v>
      </c>
      <c r="N2765" s="37" t="str">
        <f>VLOOKUP(D2765, County_Data_CZones!$B$2:$F$3236, 5, FALSE)</f>
        <v>Hot-Humid</v>
      </c>
    </row>
    <row r="2766" ht="15.75" customHeight="1">
      <c r="A2766" s="32" t="s">
        <v>564</v>
      </c>
      <c r="B2766" s="32" t="s">
        <v>1159</v>
      </c>
      <c r="C2766" s="32" t="str">
        <f>vlookup(B2766,State_EMM_RowSums!$A$2:$B$52,2,FALSE)</f>
        <v>TX</v>
      </c>
      <c r="D2766" s="32">
        <v>48483.0</v>
      </c>
      <c r="E2766" s="33">
        <f>IF(NOT(ISBLANK(vlookup($D2766,Pop_Census_2023!$A$2:$E$3220,4,FALSE))),vlookup($D2766,Pop_Census_2023!$A$2:$E$3220,4,FALSE), vlookup($D2766,Pop_Census_2023!$A$2:$E$3220,5,FALSE))</f>
        <v>4804</v>
      </c>
      <c r="F2766" s="32">
        <v>1384027.0</v>
      </c>
      <c r="G2766" s="32">
        <v>48.0</v>
      </c>
      <c r="H2766" s="32" t="str">
        <f>VLOOKUP(D2766, Grid_Region_Mapping!$D$2:$F$5286, 3, FALSE)</f>
        <v>SPPS</v>
      </c>
      <c r="I2766" s="32">
        <v>7.0</v>
      </c>
      <c r="J2766" s="34" t="str">
        <f t="shared" si="1"/>
        <v>South</v>
      </c>
      <c r="K2766" s="35">
        <v>3.0</v>
      </c>
      <c r="L2766" s="35" t="s">
        <v>204</v>
      </c>
      <c r="M2766" s="36">
        <f>VLOOKUP(D2766, County_Data_CZones!$B$2:$F$3236, 2, FALSE)</f>
        <v>3</v>
      </c>
      <c r="N2766" s="37" t="str">
        <f>VLOOKUP(D2766, County_Data_CZones!$B$2:$F$3236, 5, FALSE)</f>
        <v>Hot-Dry</v>
      </c>
    </row>
    <row r="2767" ht="15.75" customHeight="1">
      <c r="A2767" s="32" t="s">
        <v>814</v>
      </c>
      <c r="B2767" s="32" t="s">
        <v>1159</v>
      </c>
      <c r="C2767" s="32" t="str">
        <f>vlookup(B2767,State_EMM_RowSums!$A$2:$B$52,2,FALSE)</f>
        <v>TX</v>
      </c>
      <c r="D2767" s="32">
        <v>48485.0</v>
      </c>
      <c r="E2767" s="33">
        <f>IF(NOT(ISBLANK(vlookup($D2767,Pop_Census_2023!$A$2:$E$3220,4,FALSE))),vlookup($D2767,Pop_Census_2023!$A$2:$E$3220,4,FALSE), vlookup($D2767,Pop_Census_2023!$A$2:$E$3220,5,FALSE))</f>
        <v>130180</v>
      </c>
      <c r="F2767" s="32">
        <v>1384028.0</v>
      </c>
      <c r="G2767" s="32">
        <v>63.0</v>
      </c>
      <c r="H2767" s="32" t="str">
        <f>VLOOKUP(D2767, Grid_Region_Mapping!$D$2:$F$5286, 3, FALSE)</f>
        <v>TRE</v>
      </c>
      <c r="I2767" s="32">
        <v>7.0</v>
      </c>
      <c r="J2767" s="34" t="str">
        <f t="shared" si="1"/>
        <v>South</v>
      </c>
      <c r="K2767" s="35">
        <v>5.0</v>
      </c>
      <c r="L2767" s="35" t="s">
        <v>102</v>
      </c>
      <c r="M2767" s="36">
        <f>VLOOKUP(D2767, County_Data_CZones!$B$2:$F$3236, 2, FALSE)</f>
        <v>3</v>
      </c>
      <c r="N2767" s="37" t="str">
        <f>VLOOKUP(D2767, County_Data_CZones!$B$2:$F$3236, 5, FALSE)</f>
        <v>Mixed-Humid</v>
      </c>
    </row>
    <row r="2768" ht="15.75" customHeight="1">
      <c r="A2768" s="32" t="s">
        <v>1794</v>
      </c>
      <c r="B2768" s="32" t="s">
        <v>1159</v>
      </c>
      <c r="C2768" s="32" t="str">
        <f>vlookup(B2768,State_EMM_RowSums!$A$2:$B$52,2,FALSE)</f>
        <v>TX</v>
      </c>
      <c r="D2768" s="32">
        <v>48487.0</v>
      </c>
      <c r="E2768" s="33">
        <f>IF(NOT(ISBLANK(vlookup($D2768,Pop_Census_2023!$A$2:$E$3220,4,FALSE))),vlookup($D2768,Pop_Census_2023!$A$2:$E$3220,4,FALSE), vlookup($D2768,Pop_Census_2023!$A$2:$E$3220,5,FALSE))</f>
        <v>12522</v>
      </c>
      <c r="F2768" s="32">
        <v>1384029.0</v>
      </c>
      <c r="G2768" s="32">
        <v>60.0</v>
      </c>
      <c r="H2768" s="32" t="str">
        <f>VLOOKUP(D2768, Grid_Region_Mapping!$D$2:$F$5286, 3, FALSE)</f>
        <v>TRE</v>
      </c>
      <c r="I2768" s="32">
        <v>7.0</v>
      </c>
      <c r="J2768" s="34" t="str">
        <f t="shared" si="1"/>
        <v>South</v>
      </c>
      <c r="K2768" s="35">
        <v>5.0</v>
      </c>
      <c r="L2768" s="35" t="s">
        <v>204</v>
      </c>
      <c r="M2768" s="36">
        <f>VLOOKUP(D2768, County_Data_CZones!$B$2:$F$3236, 2, FALSE)</f>
        <v>3</v>
      </c>
      <c r="N2768" s="37" t="str">
        <f>VLOOKUP(D2768, County_Data_CZones!$B$2:$F$3236, 5, FALSE)</f>
        <v>Hot-Dry</v>
      </c>
    </row>
    <row r="2769" ht="15.75" customHeight="1">
      <c r="A2769" s="32" t="s">
        <v>1795</v>
      </c>
      <c r="B2769" s="32" t="s">
        <v>1159</v>
      </c>
      <c r="C2769" s="32" t="str">
        <f>vlookup(B2769,State_EMM_RowSums!$A$2:$B$52,2,FALSE)</f>
        <v>TX</v>
      </c>
      <c r="D2769" s="32">
        <v>48489.0</v>
      </c>
      <c r="E2769" s="33">
        <f>IF(NOT(ISBLANK(vlookup($D2769,Pop_Census_2023!$A$2:$E$3220,4,FALSE))),vlookup($D2769,Pop_Census_2023!$A$2:$E$3220,4,FALSE), vlookup($D2769,Pop_Census_2023!$A$2:$E$3220,5,FALSE))</f>
        <v>20037</v>
      </c>
      <c r="F2769" s="32">
        <v>1384030.0</v>
      </c>
      <c r="G2769" s="32">
        <v>65.0</v>
      </c>
      <c r="H2769" s="32" t="str">
        <f>VLOOKUP(D2769, Grid_Region_Mapping!$D$2:$F$5286, 3, FALSE)</f>
        <v>TRE</v>
      </c>
      <c r="I2769" s="32">
        <v>7.0</v>
      </c>
      <c r="J2769" s="34" t="str">
        <f t="shared" si="1"/>
        <v>South</v>
      </c>
      <c r="K2769" s="35">
        <v>5.0</v>
      </c>
      <c r="L2769" s="35" t="s">
        <v>104</v>
      </c>
      <c r="M2769" s="36">
        <f>VLOOKUP(D2769, County_Data_CZones!$B$2:$F$3236, 2, FALSE)</f>
        <v>2</v>
      </c>
      <c r="N2769" s="37" t="str">
        <f>VLOOKUP(D2769, County_Data_CZones!$B$2:$F$3236, 5, FALSE)</f>
        <v>Hot-Humid</v>
      </c>
    </row>
    <row r="2770" ht="15.75" customHeight="1">
      <c r="A2770" s="32" t="s">
        <v>660</v>
      </c>
      <c r="B2770" s="32" t="s">
        <v>1159</v>
      </c>
      <c r="C2770" s="32" t="str">
        <f>vlookup(B2770,State_EMM_RowSums!$A$2:$B$52,2,FALSE)</f>
        <v>TX</v>
      </c>
      <c r="D2770" s="32">
        <v>48491.0</v>
      </c>
      <c r="E2770" s="33">
        <f>IF(NOT(ISBLANK(vlookup($D2770,Pop_Census_2023!$A$2:$E$3220,4,FALSE))),vlookup($D2770,Pop_Census_2023!$A$2:$E$3220,4,FALSE), vlookup($D2770,Pop_Census_2023!$A$2:$E$3220,5,FALSE))</f>
        <v>697191</v>
      </c>
      <c r="F2770" s="32">
        <v>1384031.0</v>
      </c>
      <c r="G2770" s="32">
        <v>64.0</v>
      </c>
      <c r="H2770" s="32" t="str">
        <f>VLOOKUP(D2770, Grid_Region_Mapping!$D$2:$F$5286, 3, FALSE)</f>
        <v>TRE</v>
      </c>
      <c r="I2770" s="32">
        <v>7.0</v>
      </c>
      <c r="J2770" s="34" t="str">
        <f t="shared" si="1"/>
        <v>South</v>
      </c>
      <c r="K2770" s="35">
        <v>5.0</v>
      </c>
      <c r="L2770" s="35" t="s">
        <v>104</v>
      </c>
      <c r="M2770" s="36">
        <f>VLOOKUP(D2770, County_Data_CZones!$B$2:$F$3236, 2, FALSE)</f>
        <v>2</v>
      </c>
      <c r="N2770" s="37" t="str">
        <f>VLOOKUP(D2770, County_Data_CZones!$B$2:$F$3236, 5, FALSE)</f>
        <v>Hot-Humid</v>
      </c>
    </row>
    <row r="2771" ht="15.75" customHeight="1">
      <c r="A2771" s="32" t="s">
        <v>815</v>
      </c>
      <c r="B2771" s="32" t="s">
        <v>1159</v>
      </c>
      <c r="C2771" s="32" t="str">
        <f>vlookup(B2771,State_EMM_RowSums!$A$2:$B$52,2,FALSE)</f>
        <v>TX</v>
      </c>
      <c r="D2771" s="32">
        <v>48493.0</v>
      </c>
      <c r="E2771" s="33">
        <f>IF(NOT(ISBLANK(vlookup($D2771,Pop_Census_2023!$A$2:$E$3220,4,FALSE))),vlookup($D2771,Pop_Census_2023!$A$2:$E$3220,4,FALSE), vlookup($D2771,Pop_Census_2023!$A$2:$E$3220,5,FALSE))</f>
        <v>54183</v>
      </c>
      <c r="F2771" s="32">
        <v>1384032.0</v>
      </c>
      <c r="G2771" s="32">
        <v>65.0</v>
      </c>
      <c r="H2771" s="32" t="str">
        <f>VLOOKUP(D2771, Grid_Region_Mapping!$D$2:$F$5286, 3, FALSE)</f>
        <v>TRE</v>
      </c>
      <c r="I2771" s="32">
        <v>7.0</v>
      </c>
      <c r="J2771" s="34" t="str">
        <f t="shared" si="1"/>
        <v>South</v>
      </c>
      <c r="K2771" s="35">
        <v>5.0</v>
      </c>
      <c r="L2771" s="35" t="s">
        <v>104</v>
      </c>
      <c r="M2771" s="36">
        <f>VLOOKUP(D2771, County_Data_CZones!$B$2:$F$3236, 2, FALSE)</f>
        <v>2</v>
      </c>
      <c r="N2771" s="37" t="str">
        <f>VLOOKUP(D2771, County_Data_CZones!$B$2:$F$3236, 5, FALSE)</f>
        <v>Hot-Humid</v>
      </c>
    </row>
    <row r="2772" ht="15.75" customHeight="1">
      <c r="A2772" s="32" t="s">
        <v>1796</v>
      </c>
      <c r="B2772" s="32" t="s">
        <v>1159</v>
      </c>
      <c r="C2772" s="32" t="str">
        <f>vlookup(B2772,State_EMM_RowSums!$A$2:$B$52,2,FALSE)</f>
        <v>TX</v>
      </c>
      <c r="D2772" s="32">
        <v>48495.0</v>
      </c>
      <c r="E2772" s="33">
        <f>IF(NOT(ISBLANK(vlookup($D2772,Pop_Census_2023!$A$2:$E$3220,4,FALSE))),vlookup($D2772,Pop_Census_2023!$A$2:$E$3220,4,FALSE), vlookup($D2772,Pop_Census_2023!$A$2:$E$3220,5,FALSE))</f>
        <v>7414</v>
      </c>
      <c r="F2772" s="32">
        <v>1384033.0</v>
      </c>
      <c r="G2772" s="32">
        <v>62.0</v>
      </c>
      <c r="H2772" s="32" t="str">
        <f>VLOOKUP(D2772, Grid_Region_Mapping!$D$2:$F$5286, 3, FALSE)</f>
        <v>TRE</v>
      </c>
      <c r="I2772" s="32">
        <v>7.0</v>
      </c>
      <c r="J2772" s="34" t="str">
        <f t="shared" si="1"/>
        <v>South</v>
      </c>
      <c r="K2772" s="35">
        <v>5.0</v>
      </c>
      <c r="L2772" s="35" t="s">
        <v>204</v>
      </c>
      <c r="M2772" s="36">
        <f>VLOOKUP(D2772, County_Data_CZones!$B$2:$F$3236, 2, FALSE)</f>
        <v>3</v>
      </c>
      <c r="N2772" s="37" t="str">
        <f>VLOOKUP(D2772, County_Data_CZones!$B$2:$F$3236, 5, FALSE)</f>
        <v>Hot-Dry</v>
      </c>
    </row>
    <row r="2773" ht="15.75" customHeight="1">
      <c r="A2773" s="32" t="s">
        <v>1797</v>
      </c>
      <c r="B2773" s="32" t="s">
        <v>1159</v>
      </c>
      <c r="C2773" s="32" t="str">
        <f>vlookup(B2773,State_EMM_RowSums!$A$2:$B$52,2,FALSE)</f>
        <v>TX</v>
      </c>
      <c r="D2773" s="32">
        <v>48497.0</v>
      </c>
      <c r="E2773" s="33">
        <f>IF(NOT(ISBLANK(vlookup($D2773,Pop_Census_2023!$A$2:$E$3220,4,FALSE))),vlookup($D2773,Pop_Census_2023!$A$2:$E$3220,4,FALSE), vlookup($D2773,Pop_Census_2023!$A$2:$E$3220,5,FALSE))</f>
        <v>78097</v>
      </c>
      <c r="F2773" s="32">
        <v>1384034.0</v>
      </c>
      <c r="G2773" s="32">
        <v>63.0</v>
      </c>
      <c r="H2773" s="32" t="str">
        <f>VLOOKUP(D2773, Grid_Region_Mapping!$D$2:$F$5286, 3, FALSE)</f>
        <v>TRE</v>
      </c>
      <c r="I2773" s="32">
        <v>7.0</v>
      </c>
      <c r="J2773" s="34" t="str">
        <f t="shared" si="1"/>
        <v>South</v>
      </c>
      <c r="K2773" s="35">
        <v>5.0</v>
      </c>
      <c r="L2773" s="35" t="s">
        <v>102</v>
      </c>
      <c r="M2773" s="36">
        <f>VLOOKUP(D2773, County_Data_CZones!$B$2:$F$3236, 2, FALSE)</f>
        <v>3</v>
      </c>
      <c r="N2773" s="37" t="str">
        <f>VLOOKUP(D2773, County_Data_CZones!$B$2:$F$3236, 5, FALSE)</f>
        <v>Mixed-Humid</v>
      </c>
    </row>
    <row r="2774" ht="15.75" customHeight="1">
      <c r="A2774" s="32" t="s">
        <v>1455</v>
      </c>
      <c r="B2774" s="32" t="s">
        <v>1159</v>
      </c>
      <c r="C2774" s="32" t="str">
        <f>vlookup(B2774,State_EMM_RowSums!$A$2:$B$52,2,FALSE)</f>
        <v>TX</v>
      </c>
      <c r="D2774" s="32">
        <v>48499.0</v>
      </c>
      <c r="E2774" s="33">
        <f>IF(NOT(ISBLANK(vlookup($D2774,Pop_Census_2023!$A$2:$E$3220,4,FALSE))),vlookup($D2774,Pop_Census_2023!$A$2:$E$3220,4,FALSE), vlookup($D2774,Pop_Census_2023!$A$2:$E$3220,5,FALSE))</f>
        <v>47921</v>
      </c>
      <c r="F2774" s="32">
        <v>1384035.0</v>
      </c>
      <c r="G2774" s="32">
        <v>63.0</v>
      </c>
      <c r="H2774" s="32" t="str">
        <f>VLOOKUP(D2774, Grid_Region_Mapping!$D$2:$F$5286, 3, FALSE)</f>
        <v>SPPS</v>
      </c>
      <c r="I2774" s="32">
        <v>7.0</v>
      </c>
      <c r="J2774" s="34" t="str">
        <f t="shared" si="1"/>
        <v>South</v>
      </c>
      <c r="K2774" s="35">
        <v>5.0</v>
      </c>
      <c r="L2774" s="35" t="s">
        <v>102</v>
      </c>
      <c r="M2774" s="36">
        <f>VLOOKUP(D2774, County_Data_CZones!$B$2:$F$3236, 2, FALSE)</f>
        <v>3</v>
      </c>
      <c r="N2774" s="37" t="str">
        <f>VLOOKUP(D2774, County_Data_CZones!$B$2:$F$3236, 5, FALSE)</f>
        <v>Hot-Humid</v>
      </c>
    </row>
    <row r="2775" ht="15.75" customHeight="1">
      <c r="A2775" s="32" t="s">
        <v>1798</v>
      </c>
      <c r="B2775" s="32" t="s">
        <v>1159</v>
      </c>
      <c r="C2775" s="32" t="str">
        <f>vlookup(B2775,State_EMM_RowSums!$A$2:$B$52,2,FALSE)</f>
        <v>TX</v>
      </c>
      <c r="D2775" s="32">
        <v>48501.0</v>
      </c>
      <c r="E2775" s="33">
        <f>IF(NOT(ISBLANK(vlookup($D2775,Pop_Census_2023!$A$2:$E$3220,4,FALSE))),vlookup($D2775,Pop_Census_2023!$A$2:$E$3220,4,FALSE), vlookup($D2775,Pop_Census_2023!$A$2:$E$3220,5,FALSE))</f>
        <v>7468</v>
      </c>
      <c r="F2775" s="32">
        <v>1384036.0</v>
      </c>
      <c r="G2775" s="32">
        <v>48.0</v>
      </c>
      <c r="H2775" s="32" t="str">
        <f>VLOOKUP(D2775, Grid_Region_Mapping!$D$2:$F$5286, 3, FALSE)</f>
        <v>SPPS</v>
      </c>
      <c r="I2775" s="32">
        <v>7.0</v>
      </c>
      <c r="J2775" s="34" t="str">
        <f t="shared" si="1"/>
        <v>South</v>
      </c>
      <c r="K2775" s="35">
        <v>4.0</v>
      </c>
      <c r="L2775" s="35" t="s">
        <v>207</v>
      </c>
      <c r="M2775" s="36">
        <f>VLOOKUP(D2775, County_Data_CZones!$B$2:$F$3236, 2, FALSE)</f>
        <v>4</v>
      </c>
      <c r="N2775" s="37" t="str">
        <f>VLOOKUP(D2775, County_Data_CZones!$B$2:$F$3236, 5, FALSE)</f>
        <v>Mixed-Dry</v>
      </c>
    </row>
    <row r="2776" ht="15.75" customHeight="1">
      <c r="A2776" s="32" t="s">
        <v>1799</v>
      </c>
      <c r="B2776" s="32" t="s">
        <v>1159</v>
      </c>
      <c r="C2776" s="32" t="str">
        <f>vlookup(B2776,State_EMM_RowSums!$A$2:$B$52,2,FALSE)</f>
        <v>TX</v>
      </c>
      <c r="D2776" s="32">
        <v>48503.0</v>
      </c>
      <c r="E2776" s="33">
        <f>IF(NOT(ISBLANK(vlookup($D2776,Pop_Census_2023!$A$2:$E$3220,4,FALSE))),vlookup($D2776,Pop_Census_2023!$A$2:$E$3220,4,FALSE), vlookup($D2776,Pop_Census_2023!$A$2:$E$3220,5,FALSE))</f>
        <v>18124</v>
      </c>
      <c r="F2776" s="32">
        <v>1384037.0</v>
      </c>
      <c r="G2776" s="32">
        <v>63.0</v>
      </c>
      <c r="H2776" s="32" t="str">
        <f>VLOOKUP(D2776, Grid_Region_Mapping!$D$2:$F$5286, 3, FALSE)</f>
        <v>TRE</v>
      </c>
      <c r="I2776" s="32">
        <v>7.0</v>
      </c>
      <c r="J2776" s="34" t="str">
        <f t="shared" si="1"/>
        <v>South</v>
      </c>
      <c r="K2776" s="35">
        <v>5.0</v>
      </c>
      <c r="L2776" s="35" t="s">
        <v>102</v>
      </c>
      <c r="M2776" s="36">
        <f>VLOOKUP(D2776, County_Data_CZones!$B$2:$F$3236, 2, FALSE)</f>
        <v>3</v>
      </c>
      <c r="N2776" s="37" t="str">
        <f>VLOOKUP(D2776, County_Data_CZones!$B$2:$F$3236, 5, FALSE)</f>
        <v>Mixed-Humid</v>
      </c>
    </row>
    <row r="2777" ht="15.75" customHeight="1">
      <c r="A2777" s="32" t="s">
        <v>1800</v>
      </c>
      <c r="B2777" s="32" t="s">
        <v>1159</v>
      </c>
      <c r="C2777" s="32" t="str">
        <f>vlookup(B2777,State_EMM_RowSums!$A$2:$B$52,2,FALSE)</f>
        <v>TX</v>
      </c>
      <c r="D2777" s="32">
        <v>48505.0</v>
      </c>
      <c r="E2777" s="33">
        <f>IF(NOT(ISBLANK(vlookup($D2777,Pop_Census_2023!$A$2:$E$3220,4,FALSE))),vlookup($D2777,Pop_Census_2023!$A$2:$E$3220,4,FALSE), vlookup($D2777,Pop_Census_2023!$A$2:$E$3220,5,FALSE))</f>
        <v>13736</v>
      </c>
      <c r="F2777" s="32">
        <v>1384038.0</v>
      </c>
      <c r="G2777" s="32">
        <v>65.0</v>
      </c>
      <c r="H2777" s="32" t="str">
        <f>VLOOKUP(D2777, Grid_Region_Mapping!$D$2:$F$5286, 3, FALSE)</f>
        <v>TRE</v>
      </c>
      <c r="I2777" s="32">
        <v>7.0</v>
      </c>
      <c r="J2777" s="34" t="str">
        <f t="shared" si="1"/>
        <v>South</v>
      </c>
      <c r="K2777" s="35">
        <v>5.0</v>
      </c>
      <c r="L2777" s="35" t="s">
        <v>211</v>
      </c>
      <c r="M2777" s="36">
        <f>VLOOKUP(D2777, County_Data_CZones!$B$2:$F$3236, 2, FALSE)</f>
        <v>2</v>
      </c>
      <c r="N2777" s="37" t="str">
        <f>VLOOKUP(D2777, County_Data_CZones!$B$2:$F$3236, 5, FALSE)</f>
        <v>Hot-Humid</v>
      </c>
    </row>
    <row r="2778" ht="15.75" customHeight="1">
      <c r="A2778" s="32" t="s">
        <v>1801</v>
      </c>
      <c r="B2778" s="32" t="s">
        <v>1159</v>
      </c>
      <c r="C2778" s="32" t="str">
        <f>vlookup(B2778,State_EMM_RowSums!$A$2:$B$52,2,FALSE)</f>
        <v>TX</v>
      </c>
      <c r="D2778" s="32">
        <v>48507.0</v>
      </c>
      <c r="E2778" s="33">
        <f>IF(NOT(ISBLANK(vlookup($D2778,Pop_Census_2023!$A$2:$E$3220,4,FALSE))),vlookup($D2778,Pop_Census_2023!$A$2:$E$3220,4,FALSE), vlookup($D2778,Pop_Census_2023!$A$2:$E$3220,5,FALSE))</f>
        <v>9312</v>
      </c>
      <c r="F2778" s="32">
        <v>1384039.0</v>
      </c>
      <c r="G2778" s="32">
        <v>65.0</v>
      </c>
      <c r="H2778" s="32" t="str">
        <f>VLOOKUP(D2778, Grid_Region_Mapping!$D$2:$F$5286, 3, FALSE)</f>
        <v>TRE</v>
      </c>
      <c r="I2778" s="32">
        <v>7.0</v>
      </c>
      <c r="J2778" s="34" t="str">
        <f t="shared" si="1"/>
        <v>South</v>
      </c>
      <c r="K2778" s="35">
        <v>5.0</v>
      </c>
      <c r="L2778" s="35" t="s">
        <v>211</v>
      </c>
      <c r="M2778" s="36">
        <f>VLOOKUP(D2778, County_Data_CZones!$B$2:$F$3236, 2, FALSE)</f>
        <v>2</v>
      </c>
      <c r="N2778" s="37" t="str">
        <f>VLOOKUP(D2778, County_Data_CZones!$B$2:$F$3236, 5, FALSE)</f>
        <v>Hot-Humid</v>
      </c>
    </row>
    <row r="2779" ht="15.75" customHeight="1">
      <c r="A2779" s="32" t="s">
        <v>1460</v>
      </c>
      <c r="B2779" s="32" t="s">
        <v>1802</v>
      </c>
      <c r="C2779" s="32" t="str">
        <f>vlookup(B2779,State_EMM_RowSums!$A$2:$B$52,2,FALSE)</f>
        <v>UT</v>
      </c>
      <c r="D2779" s="32">
        <v>49001.0</v>
      </c>
      <c r="E2779" s="33">
        <f>IF(NOT(ISBLANK(vlookup($D2779,Pop_Census_2023!$A$2:$E$3220,4,FALSE))),vlookup($D2779,Pop_Census_2023!$A$2:$E$3220,4,FALSE), vlookup($D2779,Pop_Census_2023!$A$2:$E$3220,5,FALSE))</f>
        <v>7233</v>
      </c>
      <c r="F2779" s="32">
        <v>1448015.0</v>
      </c>
      <c r="G2779" s="32">
        <v>25.0</v>
      </c>
      <c r="H2779" s="32" t="str">
        <f>VLOOKUP(D2779, Grid_Region_Mapping!$D$2:$F$5286, 3, FALSE)</f>
        <v>BASN</v>
      </c>
      <c r="I2779" s="32">
        <v>8.0</v>
      </c>
      <c r="J2779" s="34" t="str">
        <f t="shared" si="1"/>
        <v>West</v>
      </c>
      <c r="K2779" s="35">
        <v>2.0</v>
      </c>
      <c r="L2779" s="35" t="s">
        <v>202</v>
      </c>
      <c r="M2779" s="36">
        <f>VLOOKUP(D2779, County_Data_CZones!$B$2:$F$3236, 2, FALSE)</f>
        <v>5</v>
      </c>
      <c r="N2779" s="37" t="str">
        <f>VLOOKUP(D2779, County_Data_CZones!$B$2:$F$3236, 5, FALSE)</f>
        <v>Cold</v>
      </c>
    </row>
    <row r="2780" ht="15.75" customHeight="1">
      <c r="A2780" s="32" t="s">
        <v>1803</v>
      </c>
      <c r="B2780" s="32" t="s">
        <v>1802</v>
      </c>
      <c r="C2780" s="32" t="str">
        <f>vlookup(B2780,State_EMM_RowSums!$A$2:$B$52,2,FALSE)</f>
        <v>UT</v>
      </c>
      <c r="D2780" s="32">
        <v>49003.0</v>
      </c>
      <c r="E2780" s="33">
        <f>IF(NOT(ISBLANK(vlookup($D2780,Pop_Census_2023!$A$2:$E$3220,4,FALSE))),vlookup($D2780,Pop_Census_2023!$A$2:$E$3220,4,FALSE), vlookup($D2780,Pop_Census_2023!$A$2:$E$3220,5,FALSE))</f>
        <v>62684</v>
      </c>
      <c r="F2780" s="32">
        <v>1455966.0</v>
      </c>
      <c r="G2780" s="32">
        <v>25.0</v>
      </c>
      <c r="H2780" s="32" t="str">
        <f>VLOOKUP(D2780, Grid_Region_Mapping!$D$2:$F$5286, 3, FALSE)</f>
        <v>BASN</v>
      </c>
      <c r="I2780" s="32">
        <v>8.0</v>
      </c>
      <c r="J2780" s="34" t="str">
        <f t="shared" si="1"/>
        <v>West</v>
      </c>
      <c r="K2780" s="35">
        <v>2.0</v>
      </c>
      <c r="L2780" s="35" t="s">
        <v>282</v>
      </c>
      <c r="M2780" s="36">
        <f>VLOOKUP(D2780, County_Data_CZones!$B$2:$F$3236, 2, FALSE)</f>
        <v>6</v>
      </c>
      <c r="N2780" s="37" t="str">
        <f>VLOOKUP(D2780, County_Data_CZones!$B$2:$F$3236, 5, FALSE)</f>
        <v>Cold</v>
      </c>
    </row>
    <row r="2781" ht="15.75" customHeight="1">
      <c r="A2781" s="32" t="s">
        <v>1804</v>
      </c>
      <c r="B2781" s="32" t="s">
        <v>1802</v>
      </c>
      <c r="C2781" s="32" t="str">
        <f>vlookup(B2781,State_EMM_RowSums!$A$2:$B$52,2,FALSE)</f>
        <v>UT</v>
      </c>
      <c r="D2781" s="32">
        <v>49005.0</v>
      </c>
      <c r="E2781" s="33">
        <f>IF(NOT(ISBLANK(vlookup($D2781,Pop_Census_2023!$A$2:$E$3220,4,FALSE))),vlookup($D2781,Pop_Census_2023!$A$2:$E$3220,4,FALSE), vlookup($D2781,Pop_Census_2023!$A$2:$E$3220,5,FALSE))</f>
        <v>142393</v>
      </c>
      <c r="F2781" s="32">
        <v>1448017.0</v>
      </c>
      <c r="G2781" s="32">
        <v>25.0</v>
      </c>
      <c r="H2781" s="32" t="str">
        <f>VLOOKUP(D2781, Grid_Region_Mapping!$D$2:$F$5286, 3, FALSE)</f>
        <v>BASN</v>
      </c>
      <c r="I2781" s="32">
        <v>8.0</v>
      </c>
      <c r="J2781" s="34" t="str">
        <f t="shared" si="1"/>
        <v>West</v>
      </c>
      <c r="K2781" s="35">
        <v>1.0</v>
      </c>
      <c r="L2781" s="35" t="s">
        <v>282</v>
      </c>
      <c r="M2781" s="36">
        <f>VLOOKUP(D2781, County_Data_CZones!$B$2:$F$3236, 2, FALSE)</f>
        <v>6</v>
      </c>
      <c r="N2781" s="37" t="str">
        <f>VLOOKUP(D2781, County_Data_CZones!$B$2:$F$3236, 5, FALSE)</f>
        <v>Cold</v>
      </c>
    </row>
    <row r="2782" ht="15.75" customHeight="1">
      <c r="A2782" s="32" t="s">
        <v>1165</v>
      </c>
      <c r="B2782" s="32" t="s">
        <v>1802</v>
      </c>
      <c r="C2782" s="32" t="str">
        <f>vlookup(B2782,State_EMM_RowSums!$A$2:$B$52,2,FALSE)</f>
        <v>UT</v>
      </c>
      <c r="D2782" s="32">
        <v>49007.0</v>
      </c>
      <c r="E2782" s="33">
        <f>IF(NOT(ISBLANK(vlookup($D2782,Pop_Census_2023!$A$2:$E$3220,4,FALSE))),vlookup($D2782,Pop_Census_2023!$A$2:$E$3220,4,FALSE), vlookup($D2782,Pop_Census_2023!$A$2:$E$3220,5,FALSE))</f>
        <v>20609</v>
      </c>
      <c r="F2782" s="32">
        <v>1448018.0</v>
      </c>
      <c r="G2782" s="32">
        <v>25.0</v>
      </c>
      <c r="H2782" s="32" t="str">
        <f>VLOOKUP(D2782, Grid_Region_Mapping!$D$2:$F$5286, 3, FALSE)</f>
        <v>BASN</v>
      </c>
      <c r="I2782" s="32">
        <v>8.0</v>
      </c>
      <c r="J2782" s="34" t="str">
        <f t="shared" si="1"/>
        <v>West</v>
      </c>
      <c r="K2782" s="35">
        <v>2.0</v>
      </c>
      <c r="L2782" s="35" t="s">
        <v>282</v>
      </c>
      <c r="M2782" s="36">
        <f>VLOOKUP(D2782, County_Data_CZones!$B$2:$F$3236, 2, FALSE)</f>
        <v>6</v>
      </c>
      <c r="N2782" s="37" t="str">
        <f>VLOOKUP(D2782, County_Data_CZones!$B$2:$F$3236, 5, FALSE)</f>
        <v>Cold</v>
      </c>
    </row>
    <row r="2783" ht="15.75" customHeight="1">
      <c r="A2783" s="32" t="s">
        <v>1805</v>
      </c>
      <c r="B2783" s="32" t="s">
        <v>1802</v>
      </c>
      <c r="C2783" s="32" t="str">
        <f>vlookup(B2783,State_EMM_RowSums!$A$2:$B$52,2,FALSE)</f>
        <v>UT</v>
      </c>
      <c r="D2783" s="32">
        <v>49009.0</v>
      </c>
      <c r="E2783" s="33">
        <f>IF(NOT(ISBLANK(vlookup($D2783,Pop_Census_2023!$A$2:$E$3220,4,FALSE))),vlookup($D2783,Pop_Census_2023!$A$2:$E$3220,4,FALSE), vlookup($D2783,Pop_Census_2023!$A$2:$E$3220,5,FALSE))</f>
        <v>992</v>
      </c>
      <c r="F2783" s="32">
        <v>1448019.0</v>
      </c>
      <c r="G2783" s="32">
        <v>26.0</v>
      </c>
      <c r="H2783" s="32" t="str">
        <f>VLOOKUP(D2783, Grid_Region_Mapping!$D$2:$F$5286, 3, FALSE)</f>
        <v>BASN</v>
      </c>
      <c r="I2783" s="32">
        <v>8.0</v>
      </c>
      <c r="J2783" s="34" t="str">
        <f t="shared" si="1"/>
        <v>West</v>
      </c>
      <c r="K2783" s="35">
        <v>1.0</v>
      </c>
      <c r="L2783" s="35" t="s">
        <v>282</v>
      </c>
      <c r="M2783" s="36">
        <f>VLOOKUP(D2783, County_Data_CZones!$B$2:$F$3236, 2, FALSE)</f>
        <v>6</v>
      </c>
      <c r="N2783" s="37" t="str">
        <f>VLOOKUP(D2783, County_Data_CZones!$B$2:$F$3236, 5, FALSE)</f>
        <v>Cold</v>
      </c>
    </row>
    <row r="2784" ht="15.75" customHeight="1">
      <c r="A2784" s="32" t="s">
        <v>717</v>
      </c>
      <c r="B2784" s="32" t="s">
        <v>1802</v>
      </c>
      <c r="C2784" s="32" t="str">
        <f>vlookup(B2784,State_EMM_RowSums!$A$2:$B$52,2,FALSE)</f>
        <v>UT</v>
      </c>
      <c r="D2784" s="32">
        <v>49011.0</v>
      </c>
      <c r="E2784" s="33">
        <f>IF(NOT(ISBLANK(vlookup($D2784,Pop_Census_2023!$A$2:$E$3220,4,FALSE))),vlookup($D2784,Pop_Census_2023!$A$2:$E$3220,4,FALSE), vlookup($D2784,Pop_Census_2023!$A$2:$E$3220,5,FALSE))</f>
        <v>373207</v>
      </c>
      <c r="F2784" s="32">
        <v>1448020.0</v>
      </c>
      <c r="G2784" s="32">
        <v>25.0</v>
      </c>
      <c r="H2784" s="32" t="str">
        <f>VLOOKUP(D2784, Grid_Region_Mapping!$D$2:$F$5286, 3, FALSE)</f>
        <v>BASN</v>
      </c>
      <c r="I2784" s="32">
        <v>8.0</v>
      </c>
      <c r="J2784" s="34" t="str">
        <f t="shared" si="1"/>
        <v>West</v>
      </c>
      <c r="K2784" s="35">
        <v>2.0</v>
      </c>
      <c r="L2784" s="35" t="s">
        <v>202</v>
      </c>
      <c r="M2784" s="36">
        <f>VLOOKUP(D2784, County_Data_CZones!$B$2:$F$3236, 2, FALSE)</f>
        <v>5</v>
      </c>
      <c r="N2784" s="37" t="str">
        <f>VLOOKUP(D2784, County_Data_CZones!$B$2:$F$3236, 5, FALSE)</f>
        <v>Cold</v>
      </c>
    </row>
    <row r="2785" ht="15.75" customHeight="1">
      <c r="A2785" s="32" t="s">
        <v>1806</v>
      </c>
      <c r="B2785" s="32" t="s">
        <v>1802</v>
      </c>
      <c r="C2785" s="32" t="str">
        <f>vlookup(B2785,State_EMM_RowSums!$A$2:$B$52,2,FALSE)</f>
        <v>UT</v>
      </c>
      <c r="D2785" s="32">
        <v>49013.0</v>
      </c>
      <c r="E2785" s="33">
        <f>IF(NOT(ISBLANK(vlookup($D2785,Pop_Census_2023!$A$2:$E$3220,4,FALSE))),vlookup($D2785,Pop_Census_2023!$A$2:$E$3220,4,FALSE), vlookup($D2785,Pop_Census_2023!$A$2:$E$3220,5,FALSE))</f>
        <v>20477</v>
      </c>
      <c r="F2785" s="32">
        <v>1448021.0</v>
      </c>
      <c r="G2785" s="32">
        <v>26.0</v>
      </c>
      <c r="H2785" s="32" t="str">
        <f>VLOOKUP(D2785, Grid_Region_Mapping!$D$2:$F$5286, 3, FALSE)</f>
        <v>BASN</v>
      </c>
      <c r="I2785" s="32">
        <v>8.0</v>
      </c>
      <c r="J2785" s="34" t="str">
        <f t="shared" si="1"/>
        <v>West</v>
      </c>
      <c r="K2785" s="35">
        <v>1.0</v>
      </c>
      <c r="L2785" s="35" t="s">
        <v>282</v>
      </c>
      <c r="M2785" s="36">
        <f>VLOOKUP(D2785, County_Data_CZones!$B$2:$F$3236, 2, FALSE)</f>
        <v>6</v>
      </c>
      <c r="N2785" s="37" t="str">
        <f>VLOOKUP(D2785, County_Data_CZones!$B$2:$F$3236, 5, FALSE)</f>
        <v>Cold</v>
      </c>
    </row>
    <row r="2786" ht="15.75" customHeight="1">
      <c r="A2786" s="32" t="s">
        <v>1807</v>
      </c>
      <c r="B2786" s="32" t="s">
        <v>1802</v>
      </c>
      <c r="C2786" s="32" t="str">
        <f>vlookup(B2786,State_EMM_RowSums!$A$2:$B$52,2,FALSE)</f>
        <v>UT</v>
      </c>
      <c r="D2786" s="32">
        <v>49015.0</v>
      </c>
      <c r="E2786" s="33">
        <f>IF(NOT(ISBLANK(vlookup($D2786,Pop_Census_2023!$A$2:$E$3220,4,FALSE))),vlookup($D2786,Pop_Census_2023!$A$2:$E$3220,4,FALSE), vlookup($D2786,Pop_Census_2023!$A$2:$E$3220,5,FALSE))</f>
        <v>10144</v>
      </c>
      <c r="F2786" s="32">
        <v>1448022.0</v>
      </c>
      <c r="G2786" s="32">
        <v>25.0</v>
      </c>
      <c r="H2786" s="32" t="str">
        <f>VLOOKUP(D2786, Grid_Region_Mapping!$D$2:$F$5286, 3, FALSE)</f>
        <v>BASN</v>
      </c>
      <c r="I2786" s="32">
        <v>8.0</v>
      </c>
      <c r="J2786" s="34" t="str">
        <f t="shared" si="1"/>
        <v>West</v>
      </c>
      <c r="K2786" s="35">
        <v>2.0</v>
      </c>
      <c r="L2786" s="35" t="s">
        <v>202</v>
      </c>
      <c r="M2786" s="36">
        <f>VLOOKUP(D2786, County_Data_CZones!$B$2:$F$3236, 2, FALSE)</f>
        <v>5</v>
      </c>
      <c r="N2786" s="37" t="str">
        <f>VLOOKUP(D2786, County_Data_CZones!$B$2:$F$3236, 5, FALSE)</f>
        <v>Cold</v>
      </c>
    </row>
    <row r="2787" ht="15.75" customHeight="1">
      <c r="A2787" s="32" t="s">
        <v>362</v>
      </c>
      <c r="B2787" s="32" t="s">
        <v>1802</v>
      </c>
      <c r="C2787" s="32" t="str">
        <f>vlookup(B2787,State_EMM_RowSums!$A$2:$B$52,2,FALSE)</f>
        <v>UT</v>
      </c>
      <c r="D2787" s="32">
        <v>49017.0</v>
      </c>
      <c r="E2787" s="33">
        <f>IF(NOT(ISBLANK(vlookup($D2787,Pop_Census_2023!$A$2:$E$3220,4,FALSE))),vlookup($D2787,Pop_Census_2023!$A$2:$E$3220,4,FALSE), vlookup($D2787,Pop_Census_2023!$A$2:$E$3220,5,FALSE))</f>
        <v>5314</v>
      </c>
      <c r="F2787" s="32">
        <v>1448023.0</v>
      </c>
      <c r="G2787" s="32">
        <v>25.0</v>
      </c>
      <c r="H2787" s="32" t="str">
        <f>VLOOKUP(D2787, Grid_Region_Mapping!$D$2:$F$5286, 3, FALSE)</f>
        <v>BASN</v>
      </c>
      <c r="I2787" s="32">
        <v>8.0</v>
      </c>
      <c r="J2787" s="34" t="str">
        <f t="shared" si="1"/>
        <v>West</v>
      </c>
      <c r="K2787" s="35">
        <v>2.0</v>
      </c>
      <c r="L2787" s="35" t="s">
        <v>202</v>
      </c>
      <c r="M2787" s="36">
        <f>VLOOKUP(D2787, County_Data_CZones!$B$2:$F$3236, 2, FALSE)</f>
        <v>5</v>
      </c>
      <c r="N2787" s="37" t="str">
        <f>VLOOKUP(D2787, County_Data_CZones!$B$2:$F$3236, 5, FALSE)</f>
        <v>Cold</v>
      </c>
    </row>
    <row r="2788" ht="15.75" customHeight="1">
      <c r="A2788" s="32" t="s">
        <v>364</v>
      </c>
      <c r="B2788" s="32" t="s">
        <v>1802</v>
      </c>
      <c r="C2788" s="32" t="str">
        <f>vlookup(B2788,State_EMM_RowSums!$A$2:$B$52,2,FALSE)</f>
        <v>UT</v>
      </c>
      <c r="D2788" s="32">
        <v>49019.0</v>
      </c>
      <c r="E2788" s="33">
        <f>IF(NOT(ISBLANK(vlookup($D2788,Pop_Census_2023!$A$2:$E$3220,4,FALSE))),vlookup($D2788,Pop_Census_2023!$A$2:$E$3220,4,FALSE), vlookup($D2788,Pop_Census_2023!$A$2:$E$3220,5,FALSE))</f>
        <v>9706</v>
      </c>
      <c r="F2788" s="32">
        <v>1448024.0</v>
      </c>
      <c r="G2788" s="32">
        <v>25.0</v>
      </c>
      <c r="H2788" s="32" t="str">
        <f>VLOOKUP(D2788, Grid_Region_Mapping!$D$2:$F$5286, 3, FALSE)</f>
        <v>BASN</v>
      </c>
      <c r="I2788" s="32">
        <v>8.0</v>
      </c>
      <c r="J2788" s="34" t="str">
        <f t="shared" si="1"/>
        <v>West</v>
      </c>
      <c r="K2788" s="35">
        <v>3.0</v>
      </c>
      <c r="L2788" s="35" t="s">
        <v>202</v>
      </c>
      <c r="M2788" s="36">
        <f>VLOOKUP(D2788, County_Data_CZones!$B$2:$F$3236, 2, FALSE)</f>
        <v>5</v>
      </c>
      <c r="N2788" s="37" t="str">
        <f>VLOOKUP(D2788, County_Data_CZones!$B$2:$F$3236, 5, FALSE)</f>
        <v>Cold</v>
      </c>
    </row>
    <row r="2789" ht="15.75" customHeight="1">
      <c r="A2789" s="32" t="s">
        <v>989</v>
      </c>
      <c r="B2789" s="32" t="s">
        <v>1802</v>
      </c>
      <c r="C2789" s="32" t="str">
        <f>vlookup(B2789,State_EMM_RowSums!$A$2:$B$52,2,FALSE)</f>
        <v>UT</v>
      </c>
      <c r="D2789" s="32">
        <v>49021.0</v>
      </c>
      <c r="E2789" s="33">
        <f>IF(NOT(ISBLANK(vlookup($D2789,Pop_Census_2023!$A$2:$E$3220,4,FALSE))),vlookup($D2789,Pop_Census_2023!$A$2:$E$3220,4,FALSE), vlookup($D2789,Pop_Census_2023!$A$2:$E$3220,5,FALSE))</f>
        <v>64211</v>
      </c>
      <c r="F2789" s="32">
        <v>1448025.0</v>
      </c>
      <c r="G2789" s="32">
        <v>25.0</v>
      </c>
      <c r="H2789" s="32" t="str">
        <f>VLOOKUP(D2789, Grid_Region_Mapping!$D$2:$F$5286, 3, FALSE)</f>
        <v>BASN</v>
      </c>
      <c r="I2789" s="32">
        <v>8.0</v>
      </c>
      <c r="J2789" s="34" t="str">
        <f t="shared" si="1"/>
        <v>West</v>
      </c>
      <c r="K2789" s="35">
        <v>2.0</v>
      </c>
      <c r="L2789" s="35" t="s">
        <v>202</v>
      </c>
      <c r="M2789" s="36">
        <f>VLOOKUP(D2789, County_Data_CZones!$B$2:$F$3236, 2, FALSE)</f>
        <v>5</v>
      </c>
      <c r="N2789" s="37" t="str">
        <f>VLOOKUP(D2789, County_Data_CZones!$B$2:$F$3236, 5, FALSE)</f>
        <v>Cold</v>
      </c>
    </row>
    <row r="2790" ht="15.75" customHeight="1">
      <c r="A2790" s="32" t="s">
        <v>1808</v>
      </c>
      <c r="B2790" s="32" t="s">
        <v>1802</v>
      </c>
      <c r="C2790" s="32" t="str">
        <f>vlookup(B2790,State_EMM_RowSums!$A$2:$B$52,2,FALSE)</f>
        <v>UT</v>
      </c>
      <c r="D2790" s="32">
        <v>49023.0</v>
      </c>
      <c r="E2790" s="33">
        <f>IF(NOT(ISBLANK(vlookup($D2790,Pop_Census_2023!$A$2:$E$3220,4,FALSE))),vlookup($D2790,Pop_Census_2023!$A$2:$E$3220,4,FALSE), vlookup($D2790,Pop_Census_2023!$A$2:$E$3220,5,FALSE))</f>
        <v>13023</v>
      </c>
      <c r="F2790" s="32">
        <v>1455158.0</v>
      </c>
      <c r="G2790" s="32">
        <v>25.0</v>
      </c>
      <c r="H2790" s="32" t="str">
        <f>VLOOKUP(D2790, Grid_Region_Mapping!$D$2:$F$5286, 3, FALSE)</f>
        <v>BASN</v>
      </c>
      <c r="I2790" s="32">
        <v>8.0</v>
      </c>
      <c r="J2790" s="34" t="str">
        <f t="shared" si="1"/>
        <v>West</v>
      </c>
      <c r="K2790" s="35">
        <v>2.0</v>
      </c>
      <c r="L2790" s="35" t="s">
        <v>202</v>
      </c>
      <c r="M2790" s="36">
        <f>VLOOKUP(D2790, County_Data_CZones!$B$2:$F$3236, 2, FALSE)</f>
        <v>5</v>
      </c>
      <c r="N2790" s="37" t="str">
        <f>VLOOKUP(D2790, County_Data_CZones!$B$2:$F$3236, 5, FALSE)</f>
        <v>Cold</v>
      </c>
    </row>
    <row r="2791" ht="15.75" customHeight="1">
      <c r="A2791" s="32" t="s">
        <v>631</v>
      </c>
      <c r="B2791" s="32" t="s">
        <v>1802</v>
      </c>
      <c r="C2791" s="32" t="str">
        <f>vlookup(B2791,State_EMM_RowSums!$A$2:$B$52,2,FALSE)</f>
        <v>UT</v>
      </c>
      <c r="D2791" s="32">
        <v>49025.0</v>
      </c>
      <c r="E2791" s="33">
        <f>IF(NOT(ISBLANK(vlookup($D2791,Pop_Census_2023!$A$2:$E$3220,4,FALSE))),vlookup($D2791,Pop_Census_2023!$A$2:$E$3220,4,FALSE), vlookup($D2791,Pop_Census_2023!$A$2:$E$3220,5,FALSE))</f>
        <v>8425</v>
      </c>
      <c r="F2791" s="32">
        <v>1448026.0</v>
      </c>
      <c r="G2791" s="32">
        <v>25.0</v>
      </c>
      <c r="H2791" s="32" t="str">
        <f>VLOOKUP(D2791, Grid_Region_Mapping!$D$2:$F$5286, 3, FALSE)</f>
        <v>BASN</v>
      </c>
      <c r="I2791" s="32">
        <v>8.0</v>
      </c>
      <c r="J2791" s="34" t="str">
        <f t="shared" si="1"/>
        <v>West</v>
      </c>
      <c r="K2791" s="35">
        <v>3.0</v>
      </c>
      <c r="L2791" s="35" t="s">
        <v>202</v>
      </c>
      <c r="M2791" s="36">
        <f>VLOOKUP(D2791, County_Data_CZones!$B$2:$F$3236, 2, FALSE)</f>
        <v>5</v>
      </c>
      <c r="N2791" s="37" t="str">
        <f>VLOOKUP(D2791, County_Data_CZones!$B$2:$F$3236, 5, FALSE)</f>
        <v>Cold</v>
      </c>
    </row>
    <row r="2792" ht="15.75" customHeight="1">
      <c r="A2792" s="32" t="s">
        <v>1809</v>
      </c>
      <c r="B2792" s="32" t="s">
        <v>1802</v>
      </c>
      <c r="C2792" s="32" t="str">
        <f>vlookup(B2792,State_EMM_RowSums!$A$2:$B$52,2,FALSE)</f>
        <v>UT</v>
      </c>
      <c r="D2792" s="32">
        <v>49027.0</v>
      </c>
      <c r="E2792" s="33">
        <f>IF(NOT(ISBLANK(vlookup($D2792,Pop_Census_2023!$A$2:$E$3220,4,FALSE))),vlookup($D2792,Pop_Census_2023!$A$2:$E$3220,4,FALSE), vlookup($D2792,Pop_Census_2023!$A$2:$E$3220,5,FALSE))</f>
        <v>13437</v>
      </c>
      <c r="F2792" s="32">
        <v>1448027.0</v>
      </c>
      <c r="G2792" s="32">
        <v>25.0</v>
      </c>
      <c r="H2792" s="32" t="str">
        <f>VLOOKUP(D2792, Grid_Region_Mapping!$D$2:$F$5286, 3, FALSE)</f>
        <v>BASN</v>
      </c>
      <c r="I2792" s="32">
        <v>8.0</v>
      </c>
      <c r="J2792" s="34" t="str">
        <f t="shared" si="1"/>
        <v>West</v>
      </c>
      <c r="K2792" s="35">
        <v>2.0</v>
      </c>
      <c r="L2792" s="35" t="s">
        <v>202</v>
      </c>
      <c r="M2792" s="36">
        <f>VLOOKUP(D2792, County_Data_CZones!$B$2:$F$3236, 2, FALSE)</f>
        <v>5</v>
      </c>
      <c r="N2792" s="37" t="str">
        <f>VLOOKUP(D2792, County_Data_CZones!$B$2:$F$3236, 5, FALSE)</f>
        <v>Cold</v>
      </c>
    </row>
    <row r="2793" ht="15.75" customHeight="1">
      <c r="A2793" s="32" t="s">
        <v>154</v>
      </c>
      <c r="B2793" s="32" t="s">
        <v>1802</v>
      </c>
      <c r="C2793" s="32" t="str">
        <f>vlookup(B2793,State_EMM_RowSums!$A$2:$B$52,2,FALSE)</f>
        <v>UT</v>
      </c>
      <c r="D2793" s="32">
        <v>49029.0</v>
      </c>
      <c r="E2793" s="33">
        <f>IF(NOT(ISBLANK(vlookup($D2793,Pop_Census_2023!$A$2:$E$3220,4,FALSE))),vlookup($D2793,Pop_Census_2023!$A$2:$E$3220,4,FALSE), vlookup($D2793,Pop_Census_2023!$A$2:$E$3220,5,FALSE))</f>
        <v>13000</v>
      </c>
      <c r="F2793" s="32">
        <v>1448028.0</v>
      </c>
      <c r="G2793" s="32">
        <v>26.0</v>
      </c>
      <c r="H2793" s="32" t="str">
        <f>VLOOKUP(D2793, Grid_Region_Mapping!$D$2:$F$5286, 3, FALSE)</f>
        <v>BASN</v>
      </c>
      <c r="I2793" s="32">
        <v>8.0</v>
      </c>
      <c r="J2793" s="34" t="str">
        <f t="shared" si="1"/>
        <v>West</v>
      </c>
      <c r="K2793" s="35">
        <v>1.0</v>
      </c>
      <c r="L2793" s="35" t="s">
        <v>282</v>
      </c>
      <c r="M2793" s="36">
        <f>VLOOKUP(D2793, County_Data_CZones!$B$2:$F$3236, 2, FALSE)</f>
        <v>6</v>
      </c>
      <c r="N2793" s="37" t="str">
        <f>VLOOKUP(D2793, County_Data_CZones!$B$2:$F$3236, 5, FALSE)</f>
        <v>Cold</v>
      </c>
    </row>
    <row r="2794" ht="15.75" customHeight="1">
      <c r="A2794" s="32" t="s">
        <v>1810</v>
      </c>
      <c r="B2794" s="32" t="s">
        <v>1802</v>
      </c>
      <c r="C2794" s="32" t="str">
        <f>vlookup(B2794,State_EMM_RowSums!$A$2:$B$52,2,FALSE)</f>
        <v>UT</v>
      </c>
      <c r="D2794" s="32">
        <v>49031.0</v>
      </c>
      <c r="E2794" s="33">
        <f>IF(NOT(ISBLANK(vlookup($D2794,Pop_Census_2023!$A$2:$E$3220,4,FALSE))),vlookup($D2794,Pop_Census_2023!$A$2:$E$3220,4,FALSE), vlookup($D2794,Pop_Census_2023!$A$2:$E$3220,5,FALSE))</f>
        <v>1550</v>
      </c>
      <c r="F2794" s="32">
        <v>1448029.0</v>
      </c>
      <c r="G2794" s="32">
        <v>25.0</v>
      </c>
      <c r="H2794" s="32" t="str">
        <f>VLOOKUP(D2794, Grid_Region_Mapping!$D$2:$F$5286, 3, FALSE)</f>
        <v>BASN</v>
      </c>
      <c r="I2794" s="32">
        <v>8.0</v>
      </c>
      <c r="J2794" s="34" t="str">
        <f t="shared" si="1"/>
        <v>West</v>
      </c>
      <c r="K2794" s="35">
        <v>2.0</v>
      </c>
      <c r="L2794" s="35" t="s">
        <v>202</v>
      </c>
      <c r="M2794" s="36">
        <f>VLOOKUP(D2794, County_Data_CZones!$B$2:$F$3236, 2, FALSE)</f>
        <v>5</v>
      </c>
      <c r="N2794" s="37" t="str">
        <f>VLOOKUP(D2794, County_Data_CZones!$B$2:$F$3236, 5, FALSE)</f>
        <v>Cold</v>
      </c>
    </row>
    <row r="2795" ht="15.75" customHeight="1">
      <c r="A2795" s="32" t="s">
        <v>1811</v>
      </c>
      <c r="B2795" s="32" t="s">
        <v>1802</v>
      </c>
      <c r="C2795" s="32" t="str">
        <f>vlookup(B2795,State_EMM_RowSums!$A$2:$B$52,2,FALSE)</f>
        <v>UT</v>
      </c>
      <c r="D2795" s="32">
        <v>49033.0</v>
      </c>
      <c r="E2795" s="33">
        <f>IF(NOT(ISBLANK(vlookup($D2795,Pop_Census_2023!$A$2:$E$3220,4,FALSE))),vlookup($D2795,Pop_Census_2023!$A$2:$E$3220,4,FALSE), vlookup($D2795,Pop_Census_2023!$A$2:$E$3220,5,FALSE))</f>
        <v>2670</v>
      </c>
      <c r="F2795" s="32">
        <v>1448030.0</v>
      </c>
      <c r="G2795" s="32">
        <v>26.0</v>
      </c>
      <c r="H2795" s="32" t="str">
        <f>VLOOKUP(D2795, Grid_Region_Mapping!$D$2:$F$5286, 3, FALSE)</f>
        <v>BASN</v>
      </c>
      <c r="I2795" s="32">
        <v>8.0</v>
      </c>
      <c r="J2795" s="34" t="str">
        <f t="shared" si="1"/>
        <v>West</v>
      </c>
      <c r="K2795" s="35">
        <v>1.0</v>
      </c>
      <c r="L2795" s="35" t="s">
        <v>282</v>
      </c>
      <c r="M2795" s="36">
        <f>VLOOKUP(D2795, County_Data_CZones!$B$2:$F$3236, 2, FALSE)</f>
        <v>6</v>
      </c>
      <c r="N2795" s="37" t="str">
        <f>VLOOKUP(D2795, County_Data_CZones!$B$2:$F$3236, 5, FALSE)</f>
        <v>Cold</v>
      </c>
    </row>
    <row r="2796" ht="15.75" customHeight="1">
      <c r="A2796" s="32" t="s">
        <v>1812</v>
      </c>
      <c r="B2796" s="32" t="s">
        <v>1802</v>
      </c>
      <c r="C2796" s="32" t="str">
        <f>vlookup(B2796,State_EMM_RowSums!$A$2:$B$52,2,FALSE)</f>
        <v>UT</v>
      </c>
      <c r="D2796" s="32">
        <v>49035.0</v>
      </c>
      <c r="E2796" s="33">
        <f>IF(NOT(ISBLANK(vlookup($D2796,Pop_Census_2023!$A$2:$E$3220,4,FALSE))),vlookup($D2796,Pop_Census_2023!$A$2:$E$3220,4,FALSE), vlookup($D2796,Pop_Census_2023!$A$2:$E$3220,5,FALSE))</f>
        <v>1185813</v>
      </c>
      <c r="F2796" s="32">
        <v>1448031.0</v>
      </c>
      <c r="G2796" s="32">
        <v>25.0</v>
      </c>
      <c r="H2796" s="32" t="str">
        <f>VLOOKUP(D2796, Grid_Region_Mapping!$D$2:$F$5286, 3, FALSE)</f>
        <v>BASN</v>
      </c>
      <c r="I2796" s="32">
        <v>8.0</v>
      </c>
      <c r="J2796" s="34" t="str">
        <f t="shared" si="1"/>
        <v>West</v>
      </c>
      <c r="K2796" s="35">
        <v>2.0</v>
      </c>
      <c r="L2796" s="35" t="s">
        <v>202</v>
      </c>
      <c r="M2796" s="36">
        <f>VLOOKUP(D2796, County_Data_CZones!$B$2:$F$3236, 2, FALSE)</f>
        <v>5</v>
      </c>
      <c r="N2796" s="37" t="str">
        <f>VLOOKUP(D2796, County_Data_CZones!$B$2:$F$3236, 5, FALSE)</f>
        <v>Cold</v>
      </c>
    </row>
    <row r="2797" ht="15.75" customHeight="1">
      <c r="A2797" s="32" t="s">
        <v>388</v>
      </c>
      <c r="B2797" s="32" t="s">
        <v>1802</v>
      </c>
      <c r="C2797" s="32" t="str">
        <f>vlookup(B2797,State_EMM_RowSums!$A$2:$B$52,2,FALSE)</f>
        <v>UT</v>
      </c>
      <c r="D2797" s="32">
        <v>49037.0</v>
      </c>
      <c r="E2797" s="33">
        <f>IF(NOT(ISBLANK(vlookup($D2797,Pop_Census_2023!$A$2:$E$3220,4,FALSE))),vlookup($D2797,Pop_Census_2023!$A$2:$E$3220,4,FALSE), vlookup($D2797,Pop_Census_2023!$A$2:$E$3220,5,FALSE))</f>
        <v>14358</v>
      </c>
      <c r="F2797" s="32">
        <v>1448032.0</v>
      </c>
      <c r="G2797" s="32">
        <v>25.0</v>
      </c>
      <c r="H2797" s="32" t="str">
        <f>VLOOKUP(D2797, Grid_Region_Mapping!$D$2:$F$5286, 3, FALSE)</f>
        <v>BASN</v>
      </c>
      <c r="I2797" s="32">
        <v>8.0</v>
      </c>
      <c r="J2797" s="34" t="str">
        <f t="shared" si="1"/>
        <v>West</v>
      </c>
      <c r="K2797" s="35">
        <v>2.0</v>
      </c>
      <c r="L2797" s="35" t="s">
        <v>202</v>
      </c>
      <c r="M2797" s="36">
        <f>VLOOKUP(D2797, County_Data_CZones!$B$2:$F$3236, 2, FALSE)</f>
        <v>5</v>
      </c>
      <c r="N2797" s="37" t="str">
        <f>VLOOKUP(D2797, County_Data_CZones!$B$2:$F$3236, 5, FALSE)</f>
        <v>Cold</v>
      </c>
    </row>
    <row r="2798" ht="15.75" customHeight="1">
      <c r="A2798" s="32" t="s">
        <v>1813</v>
      </c>
      <c r="B2798" s="32" t="s">
        <v>1802</v>
      </c>
      <c r="C2798" s="32" t="str">
        <f>vlookup(B2798,State_EMM_RowSums!$A$2:$B$52,2,FALSE)</f>
        <v>UT</v>
      </c>
      <c r="D2798" s="32">
        <v>49039.0</v>
      </c>
      <c r="E2798" s="33">
        <f>IF(NOT(ISBLANK(vlookup($D2798,Pop_Census_2023!$A$2:$E$3220,4,FALSE))),vlookup($D2798,Pop_Census_2023!$A$2:$E$3220,4,FALSE), vlookup($D2798,Pop_Census_2023!$A$2:$E$3220,5,FALSE))</f>
        <v>30277</v>
      </c>
      <c r="F2798" s="32">
        <v>1448033.0</v>
      </c>
      <c r="G2798" s="32">
        <v>25.0</v>
      </c>
      <c r="H2798" s="32" t="str">
        <f>VLOOKUP(D2798, Grid_Region_Mapping!$D$2:$F$5286, 3, FALSE)</f>
        <v>BASN</v>
      </c>
      <c r="I2798" s="32">
        <v>8.0</v>
      </c>
      <c r="J2798" s="34" t="str">
        <f t="shared" si="1"/>
        <v>West</v>
      </c>
      <c r="K2798" s="35">
        <v>2.0</v>
      </c>
      <c r="L2798" s="35" t="s">
        <v>202</v>
      </c>
      <c r="M2798" s="36">
        <f>VLOOKUP(D2798, County_Data_CZones!$B$2:$F$3236, 2, FALSE)</f>
        <v>5</v>
      </c>
      <c r="N2798" s="37" t="str">
        <f>VLOOKUP(D2798, County_Data_CZones!$B$2:$F$3236, 5, FALSE)</f>
        <v>Cold</v>
      </c>
    </row>
    <row r="2799" ht="15.75" customHeight="1">
      <c r="A2799" s="32" t="s">
        <v>270</v>
      </c>
      <c r="B2799" s="32" t="s">
        <v>1802</v>
      </c>
      <c r="C2799" s="32" t="str">
        <f>vlookup(B2799,State_EMM_RowSums!$A$2:$B$52,2,FALSE)</f>
        <v>UT</v>
      </c>
      <c r="D2799" s="32">
        <v>49041.0</v>
      </c>
      <c r="E2799" s="33">
        <f>IF(NOT(ISBLANK(vlookup($D2799,Pop_Census_2023!$A$2:$E$3220,4,FALSE))),vlookup($D2799,Pop_Census_2023!$A$2:$E$3220,4,FALSE), vlookup($D2799,Pop_Census_2023!$A$2:$E$3220,5,FALSE))</f>
        <v>22344</v>
      </c>
      <c r="F2799" s="32">
        <v>1448034.0</v>
      </c>
      <c r="G2799" s="32">
        <v>25.0</v>
      </c>
      <c r="H2799" s="32" t="str">
        <f>VLOOKUP(D2799, Grid_Region_Mapping!$D$2:$F$5286, 3, FALSE)</f>
        <v>BASN</v>
      </c>
      <c r="I2799" s="32">
        <v>8.0</v>
      </c>
      <c r="J2799" s="34" t="str">
        <f t="shared" si="1"/>
        <v>West</v>
      </c>
      <c r="K2799" s="35">
        <v>2.0</v>
      </c>
      <c r="L2799" s="35" t="s">
        <v>202</v>
      </c>
      <c r="M2799" s="36">
        <f>VLOOKUP(D2799, County_Data_CZones!$B$2:$F$3236, 2, FALSE)</f>
        <v>5</v>
      </c>
      <c r="N2799" s="37" t="str">
        <f>VLOOKUP(D2799, County_Data_CZones!$B$2:$F$3236, 5, FALSE)</f>
        <v>Cold</v>
      </c>
    </row>
    <row r="2800" ht="15.75" customHeight="1">
      <c r="A2800" s="32" t="s">
        <v>391</v>
      </c>
      <c r="B2800" s="32" t="s">
        <v>1802</v>
      </c>
      <c r="C2800" s="32" t="str">
        <f>vlookup(B2800,State_EMM_RowSums!$A$2:$B$52,2,FALSE)</f>
        <v>UT</v>
      </c>
      <c r="D2800" s="32">
        <v>49043.0</v>
      </c>
      <c r="E2800" s="33">
        <f>IF(NOT(ISBLANK(vlookup($D2800,Pop_Census_2023!$A$2:$E$3220,4,FALSE))),vlookup($D2800,Pop_Census_2023!$A$2:$E$3220,4,FALSE), vlookup($D2800,Pop_Census_2023!$A$2:$E$3220,5,FALSE))</f>
        <v>42759</v>
      </c>
      <c r="F2800" s="32">
        <v>1448035.0</v>
      </c>
      <c r="G2800" s="32">
        <v>26.0</v>
      </c>
      <c r="H2800" s="32" t="str">
        <f>VLOOKUP(D2800, Grid_Region_Mapping!$D$2:$F$5286, 3, FALSE)</f>
        <v>BASN</v>
      </c>
      <c r="I2800" s="32">
        <v>8.0</v>
      </c>
      <c r="J2800" s="34" t="str">
        <f t="shared" si="1"/>
        <v>West</v>
      </c>
      <c r="K2800" s="35">
        <v>1.0</v>
      </c>
      <c r="L2800" s="35" t="s">
        <v>282</v>
      </c>
      <c r="M2800" s="36">
        <f>VLOOKUP(D2800, County_Data_CZones!$B$2:$F$3236, 2, FALSE)</f>
        <v>6</v>
      </c>
      <c r="N2800" s="37" t="str">
        <f>VLOOKUP(D2800, County_Data_CZones!$B$2:$F$3236, 5, FALSE)</f>
        <v>Cold</v>
      </c>
    </row>
    <row r="2801" ht="15.75" customHeight="1">
      <c r="A2801" s="32" t="s">
        <v>1814</v>
      </c>
      <c r="B2801" s="32" t="s">
        <v>1802</v>
      </c>
      <c r="C2801" s="32" t="str">
        <f>vlookup(B2801,State_EMM_RowSums!$A$2:$B$52,2,FALSE)</f>
        <v>UT</v>
      </c>
      <c r="D2801" s="32">
        <v>49045.0</v>
      </c>
      <c r="E2801" s="33">
        <f>IF(NOT(ISBLANK(vlookup($D2801,Pop_Census_2023!$A$2:$E$3220,4,FALSE))),vlookup($D2801,Pop_Census_2023!$A$2:$E$3220,4,FALSE), vlookup($D2801,Pop_Census_2023!$A$2:$E$3220,5,FALSE))</f>
        <v>82051</v>
      </c>
      <c r="F2801" s="32">
        <v>1448036.0</v>
      </c>
      <c r="G2801" s="32">
        <v>25.0</v>
      </c>
      <c r="H2801" s="32" t="str">
        <f>VLOOKUP(D2801, Grid_Region_Mapping!$D$2:$F$5286, 3, FALSE)</f>
        <v>BASN</v>
      </c>
      <c r="I2801" s="32">
        <v>8.0</v>
      </c>
      <c r="J2801" s="34" t="str">
        <f t="shared" si="1"/>
        <v>West</v>
      </c>
      <c r="K2801" s="35">
        <v>2.0</v>
      </c>
      <c r="L2801" s="35" t="s">
        <v>202</v>
      </c>
      <c r="M2801" s="36">
        <f>VLOOKUP(D2801, County_Data_CZones!$B$2:$F$3236, 2, FALSE)</f>
        <v>5</v>
      </c>
      <c r="N2801" s="37" t="str">
        <f>VLOOKUP(D2801, County_Data_CZones!$B$2:$F$3236, 5, FALSE)</f>
        <v>Cold</v>
      </c>
    </row>
    <row r="2802" ht="15.75" customHeight="1">
      <c r="A2802" s="32" t="s">
        <v>1815</v>
      </c>
      <c r="B2802" s="32" t="s">
        <v>1802</v>
      </c>
      <c r="C2802" s="32" t="str">
        <f>vlookup(B2802,State_EMM_RowSums!$A$2:$B$52,2,FALSE)</f>
        <v>UT</v>
      </c>
      <c r="D2802" s="32">
        <v>49047.0</v>
      </c>
      <c r="E2802" s="33">
        <f>IF(NOT(ISBLANK(vlookup($D2802,Pop_Census_2023!$A$2:$E$3220,4,FALSE))),vlookup($D2802,Pop_Census_2023!$A$2:$E$3220,4,FALSE), vlookup($D2802,Pop_Census_2023!$A$2:$E$3220,5,FALSE))</f>
        <v>37747</v>
      </c>
      <c r="F2802" s="32">
        <v>1448037.0</v>
      </c>
      <c r="G2802" s="32">
        <v>26.0</v>
      </c>
      <c r="H2802" s="32" t="str">
        <f>VLOOKUP(D2802, Grid_Region_Mapping!$D$2:$F$5286, 3, FALSE)</f>
        <v>BASN</v>
      </c>
      <c r="I2802" s="32">
        <v>8.0</v>
      </c>
      <c r="J2802" s="34" t="str">
        <f t="shared" si="1"/>
        <v>West</v>
      </c>
      <c r="K2802" s="35">
        <v>1.0</v>
      </c>
      <c r="L2802" s="35" t="s">
        <v>282</v>
      </c>
      <c r="M2802" s="36">
        <f>VLOOKUP(D2802, County_Data_CZones!$B$2:$F$3236, 2, FALSE)</f>
        <v>6</v>
      </c>
      <c r="N2802" s="37" t="str">
        <f>VLOOKUP(D2802, County_Data_CZones!$B$2:$F$3236, 5, FALSE)</f>
        <v>Cold</v>
      </c>
    </row>
    <row r="2803" ht="15.75" customHeight="1">
      <c r="A2803" s="32" t="s">
        <v>1802</v>
      </c>
      <c r="B2803" s="32" t="s">
        <v>1802</v>
      </c>
      <c r="C2803" s="32" t="str">
        <f>vlookup(B2803,State_EMM_RowSums!$A$2:$B$52,2,FALSE)</f>
        <v>UT</v>
      </c>
      <c r="D2803" s="32">
        <v>49049.0</v>
      </c>
      <c r="E2803" s="33">
        <f>IF(NOT(ISBLANK(vlookup($D2803,Pop_Census_2023!$A$2:$E$3220,4,FALSE))),vlookup($D2803,Pop_Census_2023!$A$2:$E$3220,4,FALSE), vlookup($D2803,Pop_Census_2023!$A$2:$E$3220,5,FALSE))</f>
        <v>719174</v>
      </c>
      <c r="F2803" s="32">
        <v>1448038.0</v>
      </c>
      <c r="G2803" s="32">
        <v>25.0</v>
      </c>
      <c r="H2803" s="32" t="str">
        <f>VLOOKUP(D2803, Grid_Region_Mapping!$D$2:$F$5286, 3, FALSE)</f>
        <v>BASN</v>
      </c>
      <c r="I2803" s="32">
        <v>8.0</v>
      </c>
      <c r="J2803" s="34" t="str">
        <f t="shared" si="1"/>
        <v>West</v>
      </c>
      <c r="K2803" s="35">
        <v>2.0</v>
      </c>
      <c r="L2803" s="35" t="s">
        <v>202</v>
      </c>
      <c r="M2803" s="36">
        <f>VLOOKUP(D2803, County_Data_CZones!$B$2:$F$3236, 2, FALSE)</f>
        <v>5</v>
      </c>
      <c r="N2803" s="37" t="str">
        <f>VLOOKUP(D2803, County_Data_CZones!$B$2:$F$3236, 5, FALSE)</f>
        <v>Cold</v>
      </c>
    </row>
    <row r="2804" ht="15.75" customHeight="1">
      <c r="A2804" s="32" t="s">
        <v>1816</v>
      </c>
      <c r="B2804" s="32" t="s">
        <v>1802</v>
      </c>
      <c r="C2804" s="32" t="str">
        <f>vlookup(B2804,State_EMM_RowSums!$A$2:$B$52,2,FALSE)</f>
        <v>UT</v>
      </c>
      <c r="D2804" s="32">
        <v>49051.0</v>
      </c>
      <c r="E2804" s="33">
        <f>IF(NOT(ISBLANK(vlookup($D2804,Pop_Census_2023!$A$2:$E$3220,4,FALSE))),vlookup($D2804,Pop_Census_2023!$A$2:$E$3220,4,FALSE), vlookup($D2804,Pop_Census_2023!$A$2:$E$3220,5,FALSE))</f>
        <v>37144</v>
      </c>
      <c r="F2804" s="32">
        <v>1448039.0</v>
      </c>
      <c r="G2804" s="32">
        <v>26.0</v>
      </c>
      <c r="H2804" s="32" t="str">
        <f>VLOOKUP(D2804, Grid_Region_Mapping!$D$2:$F$5286, 3, FALSE)</f>
        <v>BASN</v>
      </c>
      <c r="I2804" s="32">
        <v>8.0</v>
      </c>
      <c r="J2804" s="34" t="str">
        <f t="shared" si="1"/>
        <v>West</v>
      </c>
      <c r="K2804" s="35">
        <v>1.0</v>
      </c>
      <c r="L2804" s="35" t="s">
        <v>282</v>
      </c>
      <c r="M2804" s="36">
        <f>VLOOKUP(D2804, County_Data_CZones!$B$2:$F$3236, 2, FALSE)</f>
        <v>6</v>
      </c>
      <c r="N2804" s="37" t="str">
        <f>VLOOKUP(D2804, County_Data_CZones!$B$2:$F$3236, 5, FALSE)</f>
        <v>Cold</v>
      </c>
    </row>
    <row r="2805" ht="15.75" customHeight="1">
      <c r="A2805" s="32" t="s">
        <v>167</v>
      </c>
      <c r="B2805" s="32" t="s">
        <v>1802</v>
      </c>
      <c r="C2805" s="32" t="str">
        <f>vlookup(B2805,State_EMM_RowSums!$A$2:$B$52,2,FALSE)</f>
        <v>UT</v>
      </c>
      <c r="D2805" s="32">
        <v>49053.0</v>
      </c>
      <c r="E2805" s="33">
        <f>IF(NOT(ISBLANK(vlookup($D2805,Pop_Census_2023!$A$2:$E$3220,4,FALSE))),vlookup($D2805,Pop_Census_2023!$A$2:$E$3220,4,FALSE), vlookup($D2805,Pop_Census_2023!$A$2:$E$3220,5,FALSE))</f>
        <v>202452</v>
      </c>
      <c r="F2805" s="32">
        <v>1448040.0</v>
      </c>
      <c r="G2805" s="32">
        <v>25.0</v>
      </c>
      <c r="H2805" s="32" t="str">
        <f>VLOOKUP(D2805, Grid_Region_Mapping!$D$2:$F$5286, 3, FALSE)</f>
        <v>BASN</v>
      </c>
      <c r="I2805" s="32">
        <v>8.0</v>
      </c>
      <c r="J2805" s="34" t="str">
        <f t="shared" si="1"/>
        <v>West</v>
      </c>
      <c r="K2805" s="35">
        <v>5.0</v>
      </c>
      <c r="L2805" s="35" t="s">
        <v>204</v>
      </c>
      <c r="M2805" s="36">
        <f>VLOOKUP(D2805, County_Data_CZones!$B$2:$F$3236, 2, FALSE)</f>
        <v>3</v>
      </c>
      <c r="N2805" s="37" t="str">
        <f>VLOOKUP(D2805, County_Data_CZones!$B$2:$F$3236, 5, FALSE)</f>
        <v>Hot-Dry</v>
      </c>
    </row>
    <row r="2806" ht="15.75" customHeight="1">
      <c r="A2806" s="32" t="s">
        <v>562</v>
      </c>
      <c r="B2806" s="32" t="s">
        <v>1802</v>
      </c>
      <c r="C2806" s="32" t="str">
        <f>vlookup(B2806,State_EMM_RowSums!$A$2:$B$52,2,FALSE)</f>
        <v>UT</v>
      </c>
      <c r="D2806" s="32">
        <v>49055.0</v>
      </c>
      <c r="E2806" s="33">
        <f>IF(NOT(ISBLANK(vlookup($D2806,Pop_Census_2023!$A$2:$E$3220,4,FALSE))),vlookup($D2806,Pop_Census_2023!$A$2:$E$3220,4,FALSE), vlookup($D2806,Pop_Census_2023!$A$2:$E$3220,5,FALSE))</f>
        <v>2614</v>
      </c>
      <c r="F2806" s="32">
        <v>1448041.0</v>
      </c>
      <c r="G2806" s="32">
        <v>25.0</v>
      </c>
      <c r="H2806" s="32" t="str">
        <f>VLOOKUP(D2806, Grid_Region_Mapping!$D$2:$F$5286, 3, FALSE)</f>
        <v>BASN</v>
      </c>
      <c r="I2806" s="32">
        <v>8.0</v>
      </c>
      <c r="J2806" s="34" t="str">
        <f t="shared" si="1"/>
        <v>West</v>
      </c>
      <c r="K2806" s="35">
        <v>2.0</v>
      </c>
      <c r="L2806" s="35" t="s">
        <v>202</v>
      </c>
      <c r="M2806" s="36">
        <f>VLOOKUP(D2806, County_Data_CZones!$B$2:$F$3236, 2, FALSE)</f>
        <v>5</v>
      </c>
      <c r="N2806" s="37" t="str">
        <f>VLOOKUP(D2806, County_Data_CZones!$B$2:$F$3236, 5, FALSE)</f>
        <v>Cold</v>
      </c>
    </row>
    <row r="2807" ht="15.75" customHeight="1">
      <c r="A2807" s="32" t="s">
        <v>1817</v>
      </c>
      <c r="B2807" s="32" t="s">
        <v>1802</v>
      </c>
      <c r="C2807" s="32" t="str">
        <f>vlookup(B2807,State_EMM_RowSums!$A$2:$B$52,2,FALSE)</f>
        <v>UT</v>
      </c>
      <c r="D2807" s="32">
        <v>49057.0</v>
      </c>
      <c r="E2807" s="33">
        <f>IF(NOT(ISBLANK(vlookup($D2807,Pop_Census_2023!$A$2:$E$3220,4,FALSE))),vlookup($D2807,Pop_Census_2023!$A$2:$E$3220,4,FALSE), vlookup($D2807,Pop_Census_2023!$A$2:$E$3220,5,FALSE))</f>
        <v>271926</v>
      </c>
      <c r="F2807" s="32">
        <v>1448042.0</v>
      </c>
      <c r="G2807" s="32">
        <v>25.0</v>
      </c>
      <c r="H2807" s="32" t="str">
        <f>VLOOKUP(D2807, Grid_Region_Mapping!$D$2:$F$5286, 3, FALSE)</f>
        <v>BASN</v>
      </c>
      <c r="I2807" s="32">
        <v>8.0</v>
      </c>
      <c r="J2807" s="34" t="str">
        <f t="shared" si="1"/>
        <v>West</v>
      </c>
      <c r="K2807" s="35">
        <v>2.0</v>
      </c>
      <c r="L2807" s="35" t="s">
        <v>202</v>
      </c>
      <c r="M2807" s="36">
        <f>VLOOKUP(D2807, County_Data_CZones!$B$2:$F$3236, 2, FALSE)</f>
        <v>5</v>
      </c>
      <c r="N2807" s="37" t="str">
        <f>VLOOKUP(D2807, County_Data_CZones!$B$2:$F$3236, 5, FALSE)</f>
        <v>Cold</v>
      </c>
    </row>
    <row r="2808" ht="15.75" customHeight="1">
      <c r="A2808" s="32" t="s">
        <v>1818</v>
      </c>
      <c r="B2808" s="32" t="s">
        <v>1819</v>
      </c>
      <c r="C2808" s="32" t="str">
        <f>vlookup(B2808,State_EMM_RowSums!$A$2:$B$52,2,FALSE)</f>
        <v>VT</v>
      </c>
      <c r="D2808" s="32">
        <v>50001.0</v>
      </c>
      <c r="E2808" s="33">
        <f>IF(NOT(ISBLANK(vlookup($D2808,Pop_Census_2023!$A$2:$E$3220,4,FALSE))),vlookup($D2808,Pop_Census_2023!$A$2:$E$3220,4,FALSE), vlookup($D2808,Pop_Census_2023!$A$2:$E$3220,5,FALSE))</f>
        <v>37720</v>
      </c>
      <c r="F2808" s="32">
        <v>1461757.0</v>
      </c>
      <c r="G2808" s="32">
        <v>129.0</v>
      </c>
      <c r="H2808" s="32" t="str">
        <f>VLOOKUP(D2808, Grid_Region_Mapping!$D$2:$F$5286, 3, FALSE)</f>
        <v>ISNE</v>
      </c>
      <c r="I2808" s="32">
        <v>1.0</v>
      </c>
      <c r="J2808" s="34" t="str">
        <f t="shared" si="1"/>
        <v>Northeast</v>
      </c>
      <c r="K2808" s="35">
        <v>1.0</v>
      </c>
      <c r="L2808" s="35" t="s">
        <v>707</v>
      </c>
      <c r="M2808" s="36">
        <f>VLOOKUP(D2808, County_Data_CZones!$B$2:$F$3236, 2, FALSE)</f>
        <v>6</v>
      </c>
      <c r="N2808" s="37" t="str">
        <f>VLOOKUP(D2808, County_Data_CZones!$B$2:$F$3236, 5, FALSE)</f>
        <v>Cold</v>
      </c>
    </row>
    <row r="2809" ht="15.75" customHeight="1">
      <c r="A2809" s="32" t="s">
        <v>1820</v>
      </c>
      <c r="B2809" s="32" t="s">
        <v>1819</v>
      </c>
      <c r="C2809" s="32" t="str">
        <f>vlookup(B2809,State_EMM_RowSums!$A$2:$B$52,2,FALSE)</f>
        <v>VT</v>
      </c>
      <c r="D2809" s="32">
        <v>50003.0</v>
      </c>
      <c r="E2809" s="33">
        <f>IF(NOT(ISBLANK(vlookup($D2809,Pop_Census_2023!$A$2:$E$3220,4,FALSE))),vlookup($D2809,Pop_Census_2023!$A$2:$E$3220,4,FALSE), vlookup($D2809,Pop_Census_2023!$A$2:$E$3220,5,FALSE))</f>
        <v>37183</v>
      </c>
      <c r="F2809" s="32">
        <v>1461758.0</v>
      </c>
      <c r="G2809" s="32">
        <v>129.0</v>
      </c>
      <c r="H2809" s="32" t="str">
        <f>VLOOKUP(D2809, Grid_Region_Mapping!$D$2:$F$5286, 3, FALSE)</f>
        <v>ISNE</v>
      </c>
      <c r="I2809" s="32">
        <v>1.0</v>
      </c>
      <c r="J2809" s="34" t="str">
        <f t="shared" si="1"/>
        <v>Northeast</v>
      </c>
      <c r="K2809" s="35">
        <v>1.0</v>
      </c>
      <c r="L2809" s="35" t="s">
        <v>707</v>
      </c>
      <c r="M2809" s="36">
        <f>VLOOKUP(D2809, County_Data_CZones!$B$2:$F$3236, 2, FALSE)</f>
        <v>6</v>
      </c>
      <c r="N2809" s="37" t="str">
        <f>VLOOKUP(D2809, County_Data_CZones!$B$2:$F$3236, 5, FALSE)</f>
        <v>Cold</v>
      </c>
    </row>
    <row r="2810" ht="15.75" customHeight="1">
      <c r="A2810" s="32" t="s">
        <v>1821</v>
      </c>
      <c r="B2810" s="32" t="s">
        <v>1819</v>
      </c>
      <c r="C2810" s="32" t="str">
        <f>vlookup(B2810,State_EMM_RowSums!$A$2:$B$52,2,FALSE)</f>
        <v>VT</v>
      </c>
      <c r="D2810" s="32">
        <v>50005.0</v>
      </c>
      <c r="E2810" s="33">
        <f>IF(NOT(ISBLANK(vlookup($D2810,Pop_Census_2023!$A$2:$E$3220,4,FALSE))),vlookup($D2810,Pop_Census_2023!$A$2:$E$3220,4,FALSE), vlookup($D2810,Pop_Census_2023!$A$2:$E$3220,5,FALSE))</f>
        <v>30610</v>
      </c>
      <c r="F2810" s="32">
        <v>1461759.0</v>
      </c>
      <c r="G2810" s="32">
        <v>129.0</v>
      </c>
      <c r="H2810" s="32" t="str">
        <f>VLOOKUP(D2810, Grid_Region_Mapping!$D$2:$F$5286, 3, FALSE)</f>
        <v>ISNE</v>
      </c>
      <c r="I2810" s="32">
        <v>1.0</v>
      </c>
      <c r="J2810" s="34" t="str">
        <f t="shared" si="1"/>
        <v>Northeast</v>
      </c>
      <c r="K2810" s="35">
        <v>1.0</v>
      </c>
      <c r="L2810" s="35" t="s">
        <v>707</v>
      </c>
      <c r="M2810" s="36">
        <f>VLOOKUP(D2810, County_Data_CZones!$B$2:$F$3236, 2, FALSE)</f>
        <v>6</v>
      </c>
      <c r="N2810" s="37" t="str">
        <f>VLOOKUP(D2810, County_Data_CZones!$B$2:$F$3236, 5, FALSE)</f>
        <v>Cold</v>
      </c>
    </row>
    <row r="2811" ht="15.75" customHeight="1">
      <c r="A2811" s="32" t="s">
        <v>1822</v>
      </c>
      <c r="B2811" s="32" t="s">
        <v>1819</v>
      </c>
      <c r="C2811" s="32" t="str">
        <f>vlookup(B2811,State_EMM_RowSums!$A$2:$B$52,2,FALSE)</f>
        <v>VT</v>
      </c>
      <c r="D2811" s="32">
        <v>50007.0</v>
      </c>
      <c r="E2811" s="33">
        <f>IF(NOT(ISBLANK(vlookup($D2811,Pop_Census_2023!$A$2:$E$3220,4,FALSE))),vlookup($D2811,Pop_Census_2023!$A$2:$E$3220,4,FALSE), vlookup($D2811,Pop_Census_2023!$A$2:$E$3220,5,FALSE))</f>
        <v>169481</v>
      </c>
      <c r="F2811" s="32">
        <v>1461760.0</v>
      </c>
      <c r="G2811" s="32">
        <v>129.0</v>
      </c>
      <c r="H2811" s="32" t="str">
        <f>VLOOKUP(D2811, Grid_Region_Mapping!$D$2:$F$5286, 3, FALSE)</f>
        <v>ISNE</v>
      </c>
      <c r="I2811" s="32">
        <v>1.0</v>
      </c>
      <c r="J2811" s="34" t="str">
        <f t="shared" si="1"/>
        <v>Northeast</v>
      </c>
      <c r="K2811" s="35">
        <v>1.0</v>
      </c>
      <c r="L2811" s="35" t="s">
        <v>707</v>
      </c>
      <c r="M2811" s="36">
        <f>VLOOKUP(D2811, County_Data_CZones!$B$2:$F$3236, 2, FALSE)</f>
        <v>6</v>
      </c>
      <c r="N2811" s="37" t="str">
        <f>VLOOKUP(D2811, County_Data_CZones!$B$2:$F$3236, 5, FALSE)</f>
        <v>Cold</v>
      </c>
    </row>
    <row r="2812" ht="15.75" customHeight="1">
      <c r="A2812" s="32" t="s">
        <v>956</v>
      </c>
      <c r="B2812" s="32" t="s">
        <v>1819</v>
      </c>
      <c r="C2812" s="32" t="str">
        <f>vlookup(B2812,State_EMM_RowSums!$A$2:$B$52,2,FALSE)</f>
        <v>VT</v>
      </c>
      <c r="D2812" s="32">
        <v>50009.0</v>
      </c>
      <c r="E2812" s="33">
        <f>IF(NOT(ISBLANK(vlookup($D2812,Pop_Census_2023!$A$2:$E$3220,4,FALSE))),vlookup($D2812,Pop_Census_2023!$A$2:$E$3220,4,FALSE), vlookup($D2812,Pop_Census_2023!$A$2:$E$3220,5,FALSE))</f>
        <v>6010</v>
      </c>
      <c r="F2812" s="32">
        <v>1461761.0</v>
      </c>
      <c r="G2812" s="32">
        <v>129.0</v>
      </c>
      <c r="H2812" s="32" t="str">
        <f>VLOOKUP(D2812, Grid_Region_Mapping!$D$2:$F$5286, 3, FALSE)</f>
        <v>ISNE</v>
      </c>
      <c r="I2812" s="32">
        <v>1.0</v>
      </c>
      <c r="J2812" s="34" t="str">
        <f t="shared" si="1"/>
        <v>Northeast</v>
      </c>
      <c r="K2812" s="35">
        <v>1.0</v>
      </c>
      <c r="L2812" s="35" t="s">
        <v>707</v>
      </c>
      <c r="M2812" s="36">
        <f>VLOOKUP(D2812, County_Data_CZones!$B$2:$F$3236, 2, FALSE)</f>
        <v>6</v>
      </c>
      <c r="N2812" s="37" t="str">
        <f>VLOOKUP(D2812, County_Data_CZones!$B$2:$F$3236, 5, FALSE)</f>
        <v>Cold</v>
      </c>
    </row>
    <row r="2813" ht="15.75" customHeight="1">
      <c r="A2813" s="32" t="s">
        <v>132</v>
      </c>
      <c r="B2813" s="32" t="s">
        <v>1819</v>
      </c>
      <c r="C2813" s="32" t="str">
        <f>vlookup(B2813,State_EMM_RowSums!$A$2:$B$52,2,FALSE)</f>
        <v>VT</v>
      </c>
      <c r="D2813" s="32">
        <v>50011.0</v>
      </c>
      <c r="E2813" s="33">
        <f>IF(NOT(ISBLANK(vlookup($D2813,Pop_Census_2023!$A$2:$E$3220,4,FALSE))),vlookup($D2813,Pop_Census_2023!$A$2:$E$3220,4,FALSE), vlookup($D2813,Pop_Census_2023!$A$2:$E$3220,5,FALSE))</f>
        <v>50994</v>
      </c>
      <c r="F2813" s="32">
        <v>1461762.0</v>
      </c>
      <c r="G2813" s="32">
        <v>129.0</v>
      </c>
      <c r="H2813" s="32" t="str">
        <f>VLOOKUP(D2813, Grid_Region_Mapping!$D$2:$F$5286, 3, FALSE)</f>
        <v>ISNE</v>
      </c>
      <c r="I2813" s="32">
        <v>1.0</v>
      </c>
      <c r="J2813" s="34" t="str">
        <f t="shared" si="1"/>
        <v>Northeast</v>
      </c>
      <c r="K2813" s="35">
        <v>1.0</v>
      </c>
      <c r="L2813" s="35" t="s">
        <v>707</v>
      </c>
      <c r="M2813" s="36">
        <f>VLOOKUP(D2813, County_Data_CZones!$B$2:$F$3236, 2, FALSE)</f>
        <v>6</v>
      </c>
      <c r="N2813" s="37" t="str">
        <f>VLOOKUP(D2813, County_Data_CZones!$B$2:$F$3236, 5, FALSE)</f>
        <v>Cold</v>
      </c>
    </row>
    <row r="2814" ht="15.75" customHeight="1">
      <c r="A2814" s="32" t="s">
        <v>1823</v>
      </c>
      <c r="B2814" s="32" t="s">
        <v>1819</v>
      </c>
      <c r="C2814" s="32" t="str">
        <f>vlookup(B2814,State_EMM_RowSums!$A$2:$B$52,2,FALSE)</f>
        <v>VT</v>
      </c>
      <c r="D2814" s="32">
        <v>50013.0</v>
      </c>
      <c r="E2814" s="33">
        <f>IF(NOT(ISBLANK(vlookup($D2814,Pop_Census_2023!$A$2:$E$3220,4,FALSE))),vlookup($D2814,Pop_Census_2023!$A$2:$E$3220,4,FALSE), vlookup($D2814,Pop_Census_2023!$A$2:$E$3220,5,FALSE))</f>
        <v>7467</v>
      </c>
      <c r="F2814" s="32">
        <v>1461763.0</v>
      </c>
      <c r="G2814" s="32">
        <v>129.0</v>
      </c>
      <c r="H2814" s="32" t="str">
        <f>VLOOKUP(D2814, Grid_Region_Mapping!$D$2:$F$5286, 3, FALSE)</f>
        <v>ISNE</v>
      </c>
      <c r="I2814" s="32">
        <v>1.0</v>
      </c>
      <c r="J2814" s="34" t="str">
        <f t="shared" si="1"/>
        <v>Northeast</v>
      </c>
      <c r="K2814" s="35">
        <v>1.0</v>
      </c>
      <c r="L2814" s="35" t="s">
        <v>707</v>
      </c>
      <c r="M2814" s="36">
        <f>VLOOKUP(D2814, County_Data_CZones!$B$2:$F$3236, 2, FALSE)</f>
        <v>6</v>
      </c>
      <c r="N2814" s="37" t="str">
        <f>VLOOKUP(D2814, County_Data_CZones!$B$2:$F$3236, 5, FALSE)</f>
        <v>Cold</v>
      </c>
    </row>
    <row r="2815" ht="15.75" customHeight="1">
      <c r="A2815" s="32" t="s">
        <v>1824</v>
      </c>
      <c r="B2815" s="32" t="s">
        <v>1819</v>
      </c>
      <c r="C2815" s="32" t="str">
        <f>vlookup(B2815,State_EMM_RowSums!$A$2:$B$52,2,FALSE)</f>
        <v>VT</v>
      </c>
      <c r="D2815" s="32">
        <v>50015.0</v>
      </c>
      <c r="E2815" s="33">
        <f>IF(NOT(ISBLANK(vlookup($D2815,Pop_Census_2023!$A$2:$E$3220,4,FALSE))),vlookup($D2815,Pop_Census_2023!$A$2:$E$3220,4,FALSE), vlookup($D2815,Pop_Census_2023!$A$2:$E$3220,5,FALSE))</f>
        <v>26060</v>
      </c>
      <c r="F2815" s="32">
        <v>1461764.0</v>
      </c>
      <c r="G2815" s="32">
        <v>129.0</v>
      </c>
      <c r="H2815" s="32" t="str">
        <f>VLOOKUP(D2815, Grid_Region_Mapping!$D$2:$F$5286, 3, FALSE)</f>
        <v>ISNE</v>
      </c>
      <c r="I2815" s="32">
        <v>1.0</v>
      </c>
      <c r="J2815" s="34" t="str">
        <f t="shared" si="1"/>
        <v>Northeast</v>
      </c>
      <c r="K2815" s="35">
        <v>1.0</v>
      </c>
      <c r="L2815" s="35" t="s">
        <v>707</v>
      </c>
      <c r="M2815" s="36">
        <f>VLOOKUP(D2815, County_Data_CZones!$B$2:$F$3236, 2, FALSE)</f>
        <v>6</v>
      </c>
      <c r="N2815" s="37" t="str">
        <f>VLOOKUP(D2815, County_Data_CZones!$B$2:$F$3236, 5, FALSE)</f>
        <v>Cold</v>
      </c>
    </row>
    <row r="2816" ht="15.75" customHeight="1">
      <c r="A2816" s="32" t="s">
        <v>310</v>
      </c>
      <c r="B2816" s="32" t="s">
        <v>1819</v>
      </c>
      <c r="C2816" s="32" t="str">
        <f>vlookup(B2816,State_EMM_RowSums!$A$2:$B$52,2,FALSE)</f>
        <v>VT</v>
      </c>
      <c r="D2816" s="32">
        <v>50017.0</v>
      </c>
      <c r="E2816" s="33">
        <f>IF(NOT(ISBLANK(vlookup($D2816,Pop_Census_2023!$A$2:$E$3220,4,FALSE))),vlookup($D2816,Pop_Census_2023!$A$2:$E$3220,4,FALSE), vlookup($D2816,Pop_Census_2023!$A$2:$E$3220,5,FALSE))</f>
        <v>29943</v>
      </c>
      <c r="F2816" s="32">
        <v>1461765.0</v>
      </c>
      <c r="G2816" s="32">
        <v>129.0</v>
      </c>
      <c r="H2816" s="32" t="str">
        <f>VLOOKUP(D2816, Grid_Region_Mapping!$D$2:$F$5286, 3, FALSE)</f>
        <v>ISNE</v>
      </c>
      <c r="I2816" s="32">
        <v>1.0</v>
      </c>
      <c r="J2816" s="34" t="str">
        <f t="shared" si="1"/>
        <v>Northeast</v>
      </c>
      <c r="K2816" s="35">
        <v>1.0</v>
      </c>
      <c r="L2816" s="35" t="s">
        <v>707</v>
      </c>
      <c r="M2816" s="36">
        <f>VLOOKUP(D2816, County_Data_CZones!$B$2:$F$3236, 2, FALSE)</f>
        <v>6</v>
      </c>
      <c r="N2816" s="37" t="str">
        <f>VLOOKUP(D2816, County_Data_CZones!$B$2:$F$3236, 5, FALSE)</f>
        <v>Cold</v>
      </c>
    </row>
    <row r="2817" ht="15.75" customHeight="1">
      <c r="A2817" s="32" t="s">
        <v>899</v>
      </c>
      <c r="B2817" s="32" t="s">
        <v>1819</v>
      </c>
      <c r="C2817" s="32" t="str">
        <f>vlookup(B2817,State_EMM_RowSums!$A$2:$B$52,2,FALSE)</f>
        <v>VT</v>
      </c>
      <c r="D2817" s="32">
        <v>50019.0</v>
      </c>
      <c r="E2817" s="33">
        <f>IF(NOT(ISBLANK(vlookup($D2817,Pop_Census_2023!$A$2:$E$3220,4,FALSE))),vlookup($D2817,Pop_Census_2023!$A$2:$E$3220,4,FALSE), vlookup($D2817,Pop_Census_2023!$A$2:$E$3220,5,FALSE))</f>
        <v>27516</v>
      </c>
      <c r="F2817" s="32">
        <v>1461766.0</v>
      </c>
      <c r="G2817" s="32">
        <v>129.0</v>
      </c>
      <c r="H2817" s="32" t="str">
        <f>VLOOKUP(D2817, Grid_Region_Mapping!$D$2:$F$5286, 3, FALSE)</f>
        <v>ISNE</v>
      </c>
      <c r="I2817" s="32">
        <v>1.0</v>
      </c>
      <c r="J2817" s="34" t="str">
        <f t="shared" si="1"/>
        <v>Northeast</v>
      </c>
      <c r="K2817" s="35">
        <v>1.0</v>
      </c>
      <c r="L2817" s="35" t="s">
        <v>707</v>
      </c>
      <c r="M2817" s="36">
        <f>VLOOKUP(D2817, County_Data_CZones!$B$2:$F$3236, 2, FALSE)</f>
        <v>6</v>
      </c>
      <c r="N2817" s="37" t="str">
        <f>VLOOKUP(D2817, County_Data_CZones!$B$2:$F$3236, 5, FALSE)</f>
        <v>Cold</v>
      </c>
    </row>
    <row r="2818" ht="15.75" customHeight="1">
      <c r="A2818" s="32" t="s">
        <v>1825</v>
      </c>
      <c r="B2818" s="32" t="s">
        <v>1819</v>
      </c>
      <c r="C2818" s="32" t="str">
        <f>vlookup(B2818,State_EMM_RowSums!$A$2:$B$52,2,FALSE)</f>
        <v>VT</v>
      </c>
      <c r="D2818" s="32">
        <v>50021.0</v>
      </c>
      <c r="E2818" s="33">
        <f>IF(NOT(ISBLANK(vlookup($D2818,Pop_Census_2023!$A$2:$E$3220,4,FALSE))),vlookup($D2818,Pop_Census_2023!$A$2:$E$3220,4,FALSE), vlookup($D2818,Pop_Census_2023!$A$2:$E$3220,5,FALSE))</f>
        <v>60271</v>
      </c>
      <c r="F2818" s="32">
        <v>1461767.0</v>
      </c>
      <c r="G2818" s="32">
        <v>129.0</v>
      </c>
      <c r="H2818" s="32" t="str">
        <f>VLOOKUP(D2818, Grid_Region_Mapping!$D$2:$F$5286, 3, FALSE)</f>
        <v>ISNE</v>
      </c>
      <c r="I2818" s="32">
        <v>1.0</v>
      </c>
      <c r="J2818" s="34" t="str">
        <f t="shared" si="1"/>
        <v>Northeast</v>
      </c>
      <c r="K2818" s="35">
        <v>1.0</v>
      </c>
      <c r="L2818" s="35" t="s">
        <v>707</v>
      </c>
      <c r="M2818" s="36">
        <f>VLOOKUP(D2818, County_Data_CZones!$B$2:$F$3236, 2, FALSE)</f>
        <v>6</v>
      </c>
      <c r="N2818" s="37" t="str">
        <f>VLOOKUP(D2818, County_Data_CZones!$B$2:$F$3236, 5, FALSE)</f>
        <v>Cold</v>
      </c>
    </row>
    <row r="2819" ht="15.75" customHeight="1">
      <c r="A2819" s="32" t="s">
        <v>167</v>
      </c>
      <c r="B2819" s="32" t="s">
        <v>1819</v>
      </c>
      <c r="C2819" s="32" t="str">
        <f>vlookup(B2819,State_EMM_RowSums!$A$2:$B$52,2,FALSE)</f>
        <v>VT</v>
      </c>
      <c r="D2819" s="32">
        <v>50023.0</v>
      </c>
      <c r="E2819" s="33">
        <f>IF(NOT(ISBLANK(vlookup($D2819,Pop_Census_2023!$A$2:$E$3220,4,FALSE))),vlookup($D2819,Pop_Census_2023!$A$2:$E$3220,4,FALSE), vlookup($D2819,Pop_Census_2023!$A$2:$E$3220,5,FALSE))</f>
        <v>60142</v>
      </c>
      <c r="F2819" s="32">
        <v>1461768.0</v>
      </c>
      <c r="G2819" s="32">
        <v>129.0</v>
      </c>
      <c r="H2819" s="32" t="str">
        <f>VLOOKUP(D2819, Grid_Region_Mapping!$D$2:$F$5286, 3, FALSE)</f>
        <v>ISNE</v>
      </c>
      <c r="I2819" s="32">
        <v>1.0</v>
      </c>
      <c r="J2819" s="34" t="str">
        <f t="shared" si="1"/>
        <v>Northeast</v>
      </c>
      <c r="K2819" s="35">
        <v>1.0</v>
      </c>
      <c r="L2819" s="35" t="s">
        <v>707</v>
      </c>
      <c r="M2819" s="36">
        <f>VLOOKUP(D2819, County_Data_CZones!$B$2:$F$3236, 2, FALSE)</f>
        <v>6</v>
      </c>
      <c r="N2819" s="37" t="str">
        <f>VLOOKUP(D2819, County_Data_CZones!$B$2:$F$3236, 5, FALSE)</f>
        <v>Cold</v>
      </c>
    </row>
    <row r="2820" ht="15.75" customHeight="1">
      <c r="A2820" s="32" t="s">
        <v>403</v>
      </c>
      <c r="B2820" s="32" t="s">
        <v>1819</v>
      </c>
      <c r="C2820" s="32" t="str">
        <f>vlookup(B2820,State_EMM_RowSums!$A$2:$B$52,2,FALSE)</f>
        <v>VT</v>
      </c>
      <c r="D2820" s="32">
        <v>50025.0</v>
      </c>
      <c r="E2820" s="33">
        <f>IF(NOT(ISBLANK(vlookup($D2820,Pop_Census_2023!$A$2:$E$3220,4,FALSE))),vlookup($D2820,Pop_Census_2023!$A$2:$E$3220,4,FALSE), vlookup($D2820,Pop_Census_2023!$A$2:$E$3220,5,FALSE))</f>
        <v>45966</v>
      </c>
      <c r="F2820" s="32">
        <v>1461769.0</v>
      </c>
      <c r="G2820" s="32">
        <v>129.0</v>
      </c>
      <c r="H2820" s="32" t="str">
        <f>VLOOKUP(D2820, Grid_Region_Mapping!$D$2:$F$5286, 3, FALSE)</f>
        <v>ISNE</v>
      </c>
      <c r="I2820" s="32">
        <v>1.0</v>
      </c>
      <c r="J2820" s="34" t="str">
        <f t="shared" si="1"/>
        <v>Northeast</v>
      </c>
      <c r="K2820" s="35">
        <v>1.0</v>
      </c>
      <c r="L2820" s="35" t="s">
        <v>707</v>
      </c>
      <c r="M2820" s="36">
        <f>VLOOKUP(D2820, County_Data_CZones!$B$2:$F$3236, 2, FALSE)</f>
        <v>6</v>
      </c>
      <c r="N2820" s="37" t="str">
        <f>VLOOKUP(D2820, County_Data_CZones!$B$2:$F$3236, 5, FALSE)</f>
        <v>Cold</v>
      </c>
    </row>
    <row r="2821" ht="15.75" customHeight="1">
      <c r="A2821" s="32" t="s">
        <v>1826</v>
      </c>
      <c r="B2821" s="32" t="s">
        <v>1819</v>
      </c>
      <c r="C2821" s="32" t="str">
        <f>vlookup(B2821,State_EMM_RowSums!$A$2:$B$52,2,FALSE)</f>
        <v>VT</v>
      </c>
      <c r="D2821" s="32">
        <v>50027.0</v>
      </c>
      <c r="E2821" s="33">
        <f>IF(NOT(ISBLANK(vlookup($D2821,Pop_Census_2023!$A$2:$E$3220,4,FALSE))),vlookup($D2821,Pop_Census_2023!$A$2:$E$3220,4,FALSE), vlookup($D2821,Pop_Census_2023!$A$2:$E$3220,5,FALSE))</f>
        <v>58101</v>
      </c>
      <c r="F2821" s="32">
        <v>1461770.0</v>
      </c>
      <c r="G2821" s="32">
        <v>129.0</v>
      </c>
      <c r="H2821" s="32" t="str">
        <f>VLOOKUP(D2821, Grid_Region_Mapping!$D$2:$F$5286, 3, FALSE)</f>
        <v>ISNE</v>
      </c>
      <c r="I2821" s="32">
        <v>1.0</v>
      </c>
      <c r="J2821" s="34" t="str">
        <f t="shared" si="1"/>
        <v>Northeast</v>
      </c>
      <c r="K2821" s="35">
        <v>1.0</v>
      </c>
      <c r="L2821" s="35" t="s">
        <v>707</v>
      </c>
      <c r="M2821" s="36">
        <f>VLOOKUP(D2821, County_Data_CZones!$B$2:$F$3236, 2, FALSE)</f>
        <v>6</v>
      </c>
      <c r="N2821" s="37" t="str">
        <f>VLOOKUP(D2821, County_Data_CZones!$B$2:$F$3236, 5, FALSE)</f>
        <v>Cold</v>
      </c>
    </row>
    <row r="2822" ht="15.75" customHeight="1">
      <c r="A2822" s="32" t="s">
        <v>1827</v>
      </c>
      <c r="B2822" s="32" t="s">
        <v>1828</v>
      </c>
      <c r="C2822" s="32" t="str">
        <f>vlookup(B2822,State_EMM_RowSums!$A$2:$B$52,2,FALSE)</f>
        <v>VA</v>
      </c>
      <c r="D2822" s="32">
        <v>51001.0</v>
      </c>
      <c r="E2822" s="33">
        <f>IF(NOT(ISBLANK(vlookup($D2822,Pop_Census_2023!$A$2:$E$3220,4,FALSE))),vlookup($D2822,Pop_Census_2023!$A$2:$E$3220,4,FALSE), vlookup($D2822,Pop_Census_2023!$A$2:$E$3220,5,FALSE))</f>
        <v>33239</v>
      </c>
      <c r="F2822" s="32">
        <v>1480091.0</v>
      </c>
      <c r="G2822" s="32">
        <v>124.0</v>
      </c>
      <c r="H2822" s="32" t="str">
        <f>VLOOKUP(D2822, Grid_Region_Mapping!$D$2:$F$5286, 3, FALSE)</f>
        <v>PJME</v>
      </c>
      <c r="I2822" s="32">
        <v>5.0</v>
      </c>
      <c r="J2822" s="34" t="str">
        <f t="shared" si="1"/>
        <v>South</v>
      </c>
      <c r="K2822" s="35">
        <v>4.0</v>
      </c>
      <c r="L2822" s="35" t="s">
        <v>223</v>
      </c>
      <c r="M2822" s="36">
        <f>VLOOKUP(D2822, County_Data_CZones!$B$2:$F$3236, 2, FALSE)</f>
        <v>4</v>
      </c>
      <c r="N2822" s="37" t="str">
        <f>VLOOKUP(D2822, County_Data_CZones!$B$2:$F$3236, 5, FALSE)</f>
        <v>Mixed-Humid</v>
      </c>
    </row>
    <row r="2823" ht="15.75" customHeight="1">
      <c r="A2823" s="32" t="s">
        <v>1829</v>
      </c>
      <c r="B2823" s="32" t="s">
        <v>1828</v>
      </c>
      <c r="C2823" s="32" t="str">
        <f>vlookup(B2823,State_EMM_RowSums!$A$2:$B$52,2,FALSE)</f>
        <v>VA</v>
      </c>
      <c r="D2823" s="32">
        <v>51003.0</v>
      </c>
      <c r="E2823" s="33">
        <f>IF(NOT(ISBLANK(vlookup($D2823,Pop_Census_2023!$A$2:$E$3220,4,FALSE))),vlookup($D2823,Pop_Census_2023!$A$2:$E$3220,4,FALSE), vlookup($D2823,Pop_Census_2023!$A$2:$E$3220,5,FALSE))</f>
        <v>115676</v>
      </c>
      <c r="F2823" s="32">
        <v>1675170.0</v>
      </c>
      <c r="G2823" s="32">
        <v>99.0</v>
      </c>
      <c r="H2823" s="32" t="str">
        <f>VLOOKUP(D2823, Grid_Region_Mapping!$D$2:$F$5286, 3, FALSE)</f>
        <v>PJMD</v>
      </c>
      <c r="I2823" s="32">
        <v>5.0</v>
      </c>
      <c r="J2823" s="34" t="str">
        <f t="shared" si="1"/>
        <v>South</v>
      </c>
      <c r="K2823" s="35">
        <v>3.0</v>
      </c>
      <c r="L2823" s="35" t="s">
        <v>223</v>
      </c>
      <c r="M2823" s="36">
        <f>VLOOKUP(D2823, County_Data_CZones!$B$2:$F$3236, 2, FALSE)</f>
        <v>4</v>
      </c>
      <c r="N2823" s="37" t="str">
        <f>VLOOKUP(D2823, County_Data_CZones!$B$2:$F$3236, 5, FALSE)</f>
        <v>Mixed-Humid</v>
      </c>
    </row>
    <row r="2824" ht="15.75" customHeight="1">
      <c r="A2824" s="32" t="s">
        <v>1327</v>
      </c>
      <c r="B2824" s="32" t="s">
        <v>1828</v>
      </c>
      <c r="C2824" s="32" t="str">
        <f>vlookup(B2824,State_EMM_RowSums!$A$2:$B$52,2,FALSE)</f>
        <v>VA</v>
      </c>
      <c r="D2824" s="32">
        <v>51005.0</v>
      </c>
      <c r="E2824" s="33">
        <f>IF(NOT(ISBLANK(vlookup($D2824,Pop_Census_2023!$A$2:$E$3220,4,FALSE))),vlookup($D2824,Pop_Census_2023!$A$2:$E$3220,4,FALSE), vlookup($D2824,Pop_Census_2023!$A$2:$E$3220,5,FALSE))</f>
        <v>14595</v>
      </c>
      <c r="F2824" s="32">
        <v>1673675.0</v>
      </c>
      <c r="G2824" s="32">
        <v>99.0</v>
      </c>
      <c r="H2824" s="32" t="str">
        <f>VLOOKUP(D2824, Grid_Region_Mapping!$D$2:$F$5286, 3, FALSE)</f>
        <v>PJMD</v>
      </c>
      <c r="I2824" s="32">
        <v>5.0</v>
      </c>
      <c r="J2824" s="34" t="str">
        <f t="shared" si="1"/>
        <v>South</v>
      </c>
      <c r="K2824" s="35">
        <v>3.0</v>
      </c>
      <c r="L2824" s="35" t="s">
        <v>223</v>
      </c>
      <c r="M2824" s="36">
        <f>VLOOKUP(D2824, County_Data_CZones!$B$2:$F$3236, 2, FALSE)</f>
        <v>4</v>
      </c>
      <c r="N2824" s="37" t="str">
        <f>VLOOKUP(D2824, County_Data_CZones!$B$2:$F$3236, 5, FALSE)</f>
        <v>Mixed-Humid</v>
      </c>
    </row>
    <row r="2825" ht="15.75" customHeight="1">
      <c r="A2825" s="32" t="s">
        <v>1830</v>
      </c>
      <c r="B2825" s="32" t="s">
        <v>1828</v>
      </c>
      <c r="C2825" s="32" t="str">
        <f>vlookup(B2825,State_EMM_RowSums!$A$2:$B$52,2,FALSE)</f>
        <v>VA</v>
      </c>
      <c r="D2825" s="32">
        <v>51007.0</v>
      </c>
      <c r="E2825" s="33">
        <f>IF(NOT(ISBLANK(vlookup($D2825,Pop_Census_2023!$A$2:$E$3220,4,FALSE))),vlookup($D2825,Pop_Census_2023!$A$2:$E$3220,4,FALSE), vlookup($D2825,Pop_Census_2023!$A$2:$E$3220,5,FALSE))</f>
        <v>13480</v>
      </c>
      <c r="F2825" s="32">
        <v>1497770.0</v>
      </c>
      <c r="G2825" s="32">
        <v>99.0</v>
      </c>
      <c r="H2825" s="32" t="str">
        <f>VLOOKUP(D2825, Grid_Region_Mapping!$D$2:$F$5286, 3, FALSE)</f>
        <v>PJMD</v>
      </c>
      <c r="I2825" s="32">
        <v>5.0</v>
      </c>
      <c r="J2825" s="34" t="str">
        <f t="shared" si="1"/>
        <v>South</v>
      </c>
      <c r="K2825" s="35">
        <v>3.0</v>
      </c>
      <c r="L2825" s="35" t="s">
        <v>223</v>
      </c>
      <c r="M2825" s="36">
        <f>VLOOKUP(D2825, County_Data_CZones!$B$2:$F$3236, 2, FALSE)</f>
        <v>4</v>
      </c>
      <c r="N2825" s="37" t="str">
        <f>VLOOKUP(D2825, County_Data_CZones!$B$2:$F$3236, 5, FALSE)</f>
        <v>Mixed-Humid</v>
      </c>
    </row>
    <row r="2826" ht="15.75" customHeight="1">
      <c r="A2826" s="32" t="s">
        <v>1831</v>
      </c>
      <c r="B2826" s="32" t="s">
        <v>1828</v>
      </c>
      <c r="C2826" s="32" t="str">
        <f>vlookup(B2826,State_EMM_RowSums!$A$2:$B$52,2,FALSE)</f>
        <v>VA</v>
      </c>
      <c r="D2826" s="32">
        <v>51009.0</v>
      </c>
      <c r="E2826" s="33">
        <f>IF(NOT(ISBLANK(vlookup($D2826,Pop_Census_2023!$A$2:$E$3220,4,FALSE))),vlookup($D2826,Pop_Census_2023!$A$2:$E$3220,4,FALSE), vlookup($D2826,Pop_Census_2023!$A$2:$E$3220,5,FALSE))</f>
        <v>31396</v>
      </c>
      <c r="F2826" s="32">
        <v>1480095.0</v>
      </c>
      <c r="G2826" s="32">
        <v>118.0</v>
      </c>
      <c r="H2826" s="32" t="str">
        <f>VLOOKUP(D2826, Grid_Region_Mapping!$D$2:$F$5286, 3, FALSE)</f>
        <v>PJMD</v>
      </c>
      <c r="I2826" s="32">
        <v>5.0</v>
      </c>
      <c r="J2826" s="34" t="str">
        <f t="shared" si="1"/>
        <v>South</v>
      </c>
      <c r="K2826" s="35">
        <v>3.0</v>
      </c>
      <c r="L2826" s="35" t="s">
        <v>223</v>
      </c>
      <c r="M2826" s="36">
        <f>VLOOKUP(D2826, County_Data_CZones!$B$2:$F$3236, 2, FALSE)</f>
        <v>4</v>
      </c>
      <c r="N2826" s="37" t="str">
        <f>VLOOKUP(D2826, County_Data_CZones!$B$2:$F$3236, 5, FALSE)</f>
        <v>Mixed-Humid</v>
      </c>
    </row>
    <row r="2827" ht="15.75" customHeight="1">
      <c r="A2827" s="32" t="s">
        <v>1832</v>
      </c>
      <c r="B2827" s="32" t="s">
        <v>1828</v>
      </c>
      <c r="C2827" s="32" t="str">
        <f>vlookup(B2827,State_EMM_RowSums!$A$2:$B$52,2,FALSE)</f>
        <v>VA</v>
      </c>
      <c r="D2827" s="32">
        <v>51011.0</v>
      </c>
      <c r="E2827" s="33">
        <f>IF(NOT(ISBLANK(vlookup($D2827,Pop_Census_2023!$A$2:$E$3220,4,FALSE))),vlookup($D2827,Pop_Census_2023!$A$2:$E$3220,4,FALSE), vlookup($D2827,Pop_Census_2023!$A$2:$E$3220,5,FALSE))</f>
        <v>16864</v>
      </c>
      <c r="F2827" s="32">
        <v>1497238.0</v>
      </c>
      <c r="G2827" s="32">
        <v>99.0</v>
      </c>
      <c r="H2827" s="32" t="str">
        <f>VLOOKUP(D2827, Grid_Region_Mapping!$D$2:$F$5286, 3, FALSE)</f>
        <v>PJMD</v>
      </c>
      <c r="I2827" s="32">
        <v>5.0</v>
      </c>
      <c r="J2827" s="34" t="str">
        <f t="shared" si="1"/>
        <v>South</v>
      </c>
      <c r="K2827" s="35">
        <v>3.0</v>
      </c>
      <c r="L2827" s="35" t="s">
        <v>223</v>
      </c>
      <c r="M2827" s="36">
        <f>VLOOKUP(D2827, County_Data_CZones!$B$2:$F$3236, 2, FALSE)</f>
        <v>4</v>
      </c>
      <c r="N2827" s="37" t="str">
        <f>VLOOKUP(D2827, County_Data_CZones!$B$2:$F$3236, 5, FALSE)</f>
        <v>Mixed-Humid</v>
      </c>
    </row>
    <row r="2828" ht="15.75" customHeight="1">
      <c r="A2828" s="32" t="s">
        <v>1833</v>
      </c>
      <c r="B2828" s="32" t="s">
        <v>1828</v>
      </c>
      <c r="C2828" s="32" t="str">
        <f>vlookup(B2828,State_EMM_RowSums!$A$2:$B$52,2,FALSE)</f>
        <v>VA</v>
      </c>
      <c r="D2828" s="32">
        <v>51013.0</v>
      </c>
      <c r="E2828" s="33">
        <f>IF(NOT(ISBLANK(vlookup($D2828,Pop_Census_2023!$A$2:$E$3220,4,FALSE))),vlookup($D2828,Pop_Census_2023!$A$2:$E$3220,4,FALSE), vlookup($D2828,Pop_Census_2023!$A$2:$E$3220,5,FALSE))</f>
        <v>234162</v>
      </c>
      <c r="F2828" s="32">
        <v>1480097.0</v>
      </c>
      <c r="G2828" s="32">
        <v>99.0</v>
      </c>
      <c r="H2828" s="32" t="str">
        <f>VLOOKUP(D2828, Grid_Region_Mapping!$D$2:$F$5286, 3, FALSE)</f>
        <v>PJMD</v>
      </c>
      <c r="I2828" s="32">
        <v>5.0</v>
      </c>
      <c r="J2828" s="34" t="str">
        <f t="shared" si="1"/>
        <v>South</v>
      </c>
      <c r="K2828" s="35">
        <v>3.0</v>
      </c>
      <c r="L2828" s="35" t="s">
        <v>223</v>
      </c>
      <c r="M2828" s="36">
        <f>VLOOKUP(D2828, County_Data_CZones!$B$2:$F$3236, 2, FALSE)</f>
        <v>4</v>
      </c>
      <c r="N2828" s="37" t="str">
        <f>VLOOKUP(D2828, County_Data_CZones!$B$2:$F$3236, 5, FALSE)</f>
        <v>Mixed-Humid</v>
      </c>
    </row>
    <row r="2829" ht="15.75" customHeight="1">
      <c r="A2829" s="32" t="s">
        <v>1834</v>
      </c>
      <c r="B2829" s="32" t="s">
        <v>1828</v>
      </c>
      <c r="C2829" s="32" t="str">
        <f>vlookup(B2829,State_EMM_RowSums!$A$2:$B$52,2,FALSE)</f>
        <v>VA</v>
      </c>
      <c r="D2829" s="32">
        <v>51015.0</v>
      </c>
      <c r="E2829" s="33">
        <f>IF(NOT(ISBLANK(vlookup($D2829,Pop_Census_2023!$A$2:$E$3220,4,FALSE))),vlookup($D2829,Pop_Census_2023!$A$2:$E$3220,4,FALSE), vlookup($D2829,Pop_Census_2023!$A$2:$E$3220,5,FALSE))</f>
        <v>78247</v>
      </c>
      <c r="F2829" s="32">
        <v>1480098.0</v>
      </c>
      <c r="G2829" s="32">
        <v>99.0</v>
      </c>
      <c r="H2829" s="32" t="str">
        <f>VLOOKUP(D2829, Grid_Region_Mapping!$D$2:$F$5286, 3, FALSE)</f>
        <v>PJMD</v>
      </c>
      <c r="I2829" s="32">
        <v>5.0</v>
      </c>
      <c r="J2829" s="34" t="str">
        <f t="shared" si="1"/>
        <v>South</v>
      </c>
      <c r="K2829" s="35">
        <v>3.0</v>
      </c>
      <c r="L2829" s="35" t="s">
        <v>223</v>
      </c>
      <c r="M2829" s="36">
        <f>VLOOKUP(D2829, County_Data_CZones!$B$2:$F$3236, 2, FALSE)</f>
        <v>4</v>
      </c>
      <c r="N2829" s="37" t="str">
        <f>VLOOKUP(D2829, County_Data_CZones!$B$2:$F$3236, 5, FALSE)</f>
        <v>Mixed-Humid</v>
      </c>
    </row>
    <row r="2830" ht="15.75" customHeight="1">
      <c r="A2830" s="32" t="s">
        <v>821</v>
      </c>
      <c r="B2830" s="32" t="s">
        <v>1828</v>
      </c>
      <c r="C2830" s="32" t="str">
        <f>vlookup(B2830,State_EMM_RowSums!$A$2:$B$52,2,FALSE)</f>
        <v>VA</v>
      </c>
      <c r="D2830" s="32">
        <v>51017.0</v>
      </c>
      <c r="E2830" s="33">
        <f>IF(NOT(ISBLANK(vlookup($D2830,Pop_Census_2023!$A$2:$E$3220,4,FALSE))),vlookup($D2830,Pop_Census_2023!$A$2:$E$3220,4,FALSE), vlookup($D2830,Pop_Census_2023!$A$2:$E$3220,5,FALSE))</f>
        <v>4051</v>
      </c>
      <c r="F2830" s="32">
        <v>1673638.0</v>
      </c>
      <c r="G2830" s="32">
        <v>99.0</v>
      </c>
      <c r="H2830" s="32" t="str">
        <f>VLOOKUP(D2830, Grid_Region_Mapping!$D$2:$F$5286, 3, FALSE)</f>
        <v>PJMD</v>
      </c>
      <c r="I2830" s="32">
        <v>5.0</v>
      </c>
      <c r="J2830" s="34" t="str">
        <f t="shared" si="1"/>
        <v>South</v>
      </c>
      <c r="K2830" s="35">
        <v>3.0</v>
      </c>
      <c r="L2830" s="35" t="s">
        <v>223</v>
      </c>
      <c r="M2830" s="36">
        <f>VLOOKUP(D2830, County_Data_CZones!$B$2:$F$3236, 2, FALSE)</f>
        <v>4</v>
      </c>
      <c r="N2830" s="37" t="str">
        <f>VLOOKUP(D2830, County_Data_CZones!$B$2:$F$3236, 5, FALSE)</f>
        <v>Mixed-Humid</v>
      </c>
    </row>
    <row r="2831" ht="15.75" customHeight="1">
      <c r="A2831" s="32" t="s">
        <v>1517</v>
      </c>
      <c r="B2831" s="32" t="s">
        <v>1828</v>
      </c>
      <c r="C2831" s="32" t="str">
        <f>vlookup(B2831,State_EMM_RowSums!$A$2:$B$52,2,FALSE)</f>
        <v>VA</v>
      </c>
      <c r="D2831" s="32">
        <v>51019.0</v>
      </c>
      <c r="E2831" s="33">
        <f>IF(NOT(ISBLANK(vlookup($D2831,Pop_Census_2023!$A$2:$E$3220,4,FALSE))),vlookup($D2831,Pop_Census_2023!$A$2:$E$3220,4,FALSE), vlookup($D2831,Pop_Census_2023!$A$2:$E$3220,5,FALSE))</f>
        <v>81525</v>
      </c>
      <c r="F2831" s="32">
        <v>1674818.0</v>
      </c>
      <c r="G2831" s="32">
        <v>118.0</v>
      </c>
      <c r="H2831" s="32" t="str">
        <f>VLOOKUP(D2831, Grid_Region_Mapping!$D$2:$F$5286, 3, FALSE)</f>
        <v>PJMW</v>
      </c>
      <c r="I2831" s="32">
        <v>5.0</v>
      </c>
      <c r="J2831" s="34" t="str">
        <f t="shared" si="1"/>
        <v>South</v>
      </c>
      <c r="K2831" s="35">
        <v>3.0</v>
      </c>
      <c r="L2831" s="35" t="s">
        <v>223</v>
      </c>
      <c r="M2831" s="36">
        <f>VLOOKUP(D2831, County_Data_CZones!$B$2:$F$3236, 2, FALSE)</f>
        <v>4</v>
      </c>
      <c r="N2831" s="37" t="str">
        <f>VLOOKUP(D2831, County_Data_CZones!$B$2:$F$3236, 5, FALSE)</f>
        <v>Mixed-Humid</v>
      </c>
    </row>
    <row r="2832" ht="15.75" customHeight="1">
      <c r="A2832" s="32" t="s">
        <v>1835</v>
      </c>
      <c r="B2832" s="32" t="s">
        <v>1828</v>
      </c>
      <c r="C2832" s="32" t="str">
        <f>vlookup(B2832,State_EMM_RowSums!$A$2:$B$52,2,FALSE)</f>
        <v>VA</v>
      </c>
      <c r="D2832" s="32">
        <v>51021.0</v>
      </c>
      <c r="E2832" s="33">
        <f>IF(NOT(ISBLANK(vlookup($D2832,Pop_Census_2023!$A$2:$E$3220,4,FALSE))),vlookup($D2832,Pop_Census_2023!$A$2:$E$3220,4,FALSE), vlookup($D2832,Pop_Census_2023!$A$2:$E$3220,5,FALSE))</f>
        <v>6179</v>
      </c>
      <c r="F2832" s="32">
        <v>1494613.0</v>
      </c>
      <c r="G2832" s="32">
        <v>118.0</v>
      </c>
      <c r="H2832" s="32" t="str">
        <f>VLOOKUP(D2832, Grid_Region_Mapping!$D$2:$F$5286, 3, FALSE)</f>
        <v>PJMW</v>
      </c>
      <c r="I2832" s="32">
        <v>5.0</v>
      </c>
      <c r="J2832" s="34" t="str">
        <f t="shared" si="1"/>
        <v>South</v>
      </c>
      <c r="K2832" s="35">
        <v>3.0</v>
      </c>
      <c r="L2832" s="35" t="s">
        <v>223</v>
      </c>
      <c r="M2832" s="36">
        <f>VLOOKUP(D2832, County_Data_CZones!$B$2:$F$3236, 2, FALSE)</f>
        <v>4</v>
      </c>
      <c r="N2832" s="37" t="str">
        <f>VLOOKUP(D2832, County_Data_CZones!$B$2:$F$3236, 5, FALSE)</f>
        <v>Mixed-Humid</v>
      </c>
    </row>
    <row r="2833" ht="15.75" customHeight="1">
      <c r="A2833" s="32" t="s">
        <v>1836</v>
      </c>
      <c r="B2833" s="32" t="s">
        <v>1828</v>
      </c>
      <c r="C2833" s="32" t="str">
        <f>vlookup(B2833,State_EMM_RowSums!$A$2:$B$52,2,FALSE)</f>
        <v>VA</v>
      </c>
      <c r="D2833" s="32">
        <v>51023.0</v>
      </c>
      <c r="E2833" s="33">
        <f>IF(NOT(ISBLANK(vlookup($D2833,Pop_Census_2023!$A$2:$E$3220,4,FALSE))),vlookup($D2833,Pop_Census_2023!$A$2:$E$3220,4,FALSE), vlookup($D2833,Pop_Census_2023!$A$2:$E$3220,5,FALSE))</f>
        <v>34125</v>
      </c>
      <c r="F2833" s="32">
        <v>1674418.0</v>
      </c>
      <c r="G2833" s="32">
        <v>118.0</v>
      </c>
      <c r="H2833" s="32" t="str">
        <f>VLOOKUP(D2833, Grid_Region_Mapping!$D$2:$F$5286, 3, FALSE)</f>
        <v>PJMD</v>
      </c>
      <c r="I2833" s="32">
        <v>5.0</v>
      </c>
      <c r="J2833" s="34" t="str">
        <f t="shared" si="1"/>
        <v>South</v>
      </c>
      <c r="K2833" s="35">
        <v>3.0</v>
      </c>
      <c r="L2833" s="35" t="s">
        <v>223</v>
      </c>
      <c r="M2833" s="36">
        <f>VLOOKUP(D2833, County_Data_CZones!$B$2:$F$3236, 2, FALSE)</f>
        <v>4</v>
      </c>
      <c r="N2833" s="37" t="str">
        <f>VLOOKUP(D2833, County_Data_CZones!$B$2:$F$3236, 5, FALSE)</f>
        <v>Mixed-Humid</v>
      </c>
    </row>
    <row r="2834" ht="15.75" customHeight="1">
      <c r="A2834" s="32" t="s">
        <v>1334</v>
      </c>
      <c r="B2834" s="32" t="s">
        <v>1828</v>
      </c>
      <c r="C2834" s="32" t="str">
        <f>vlookup(B2834,State_EMM_RowSums!$A$2:$B$52,2,FALSE)</f>
        <v>VA</v>
      </c>
      <c r="D2834" s="32">
        <v>51025.0</v>
      </c>
      <c r="E2834" s="33">
        <f>IF(NOT(ISBLANK(vlookup($D2834,Pop_Census_2023!$A$2:$E$3220,4,FALSE))),vlookup($D2834,Pop_Census_2023!$A$2:$E$3220,4,FALSE), vlookup($D2834,Pop_Census_2023!$A$2:$E$3220,5,FALSE))</f>
        <v>15749</v>
      </c>
      <c r="F2834" s="32">
        <v>1493961.0</v>
      </c>
      <c r="G2834" s="32">
        <v>99.0</v>
      </c>
      <c r="H2834" s="32" t="str">
        <f>VLOOKUP(D2834, Grid_Region_Mapping!$D$2:$F$5286, 3, FALSE)</f>
        <v>PJMD</v>
      </c>
      <c r="I2834" s="32">
        <v>5.0</v>
      </c>
      <c r="J2834" s="34" t="str">
        <f t="shared" si="1"/>
        <v>South</v>
      </c>
      <c r="K2834" s="35">
        <v>4.0</v>
      </c>
      <c r="L2834" s="35" t="s">
        <v>223</v>
      </c>
      <c r="M2834" s="36">
        <f>VLOOKUP(D2834, County_Data_CZones!$B$2:$F$3236, 2, FALSE)</f>
        <v>4</v>
      </c>
      <c r="N2834" s="37" t="str">
        <f>VLOOKUP(D2834, County_Data_CZones!$B$2:$F$3236, 5, FALSE)</f>
        <v>Mixed-Humid</v>
      </c>
    </row>
    <row r="2835" ht="15.75" customHeight="1">
      <c r="A2835" s="32" t="s">
        <v>712</v>
      </c>
      <c r="B2835" s="32" t="s">
        <v>1828</v>
      </c>
      <c r="C2835" s="32" t="str">
        <f>vlookup(B2835,State_EMM_RowSums!$A$2:$B$52,2,FALSE)</f>
        <v>VA</v>
      </c>
      <c r="D2835" s="32">
        <v>51027.0</v>
      </c>
      <c r="E2835" s="33">
        <f>IF(NOT(ISBLANK(vlookup($D2835,Pop_Census_2023!$A$2:$E$3220,4,FALSE))),vlookup($D2835,Pop_Census_2023!$A$2:$E$3220,4,FALSE), vlookup($D2835,Pop_Census_2023!$A$2:$E$3220,5,FALSE))</f>
        <v>19087</v>
      </c>
      <c r="F2835" s="32">
        <v>1497431.0</v>
      </c>
      <c r="G2835" s="32">
        <v>118.0</v>
      </c>
      <c r="H2835" s="32" t="str">
        <f>VLOOKUP(D2835, Grid_Region_Mapping!$D$2:$F$5286, 3, FALSE)</f>
        <v>PJMW</v>
      </c>
      <c r="I2835" s="32">
        <v>5.0</v>
      </c>
      <c r="J2835" s="34" t="str">
        <f t="shared" si="1"/>
        <v>South</v>
      </c>
      <c r="K2835" s="35">
        <v>3.0</v>
      </c>
      <c r="L2835" s="35" t="s">
        <v>223</v>
      </c>
      <c r="M2835" s="36">
        <f>VLOOKUP(D2835, County_Data_CZones!$B$2:$F$3236, 2, FALSE)</f>
        <v>4</v>
      </c>
      <c r="N2835" s="37" t="str">
        <f>VLOOKUP(D2835, County_Data_CZones!$B$2:$F$3236, 5, FALSE)</f>
        <v>Mixed-Humid</v>
      </c>
    </row>
    <row r="2836" ht="15.75" customHeight="1">
      <c r="A2836" s="32" t="s">
        <v>1837</v>
      </c>
      <c r="B2836" s="32" t="s">
        <v>1828</v>
      </c>
      <c r="C2836" s="32" t="str">
        <f>vlookup(B2836,State_EMM_RowSums!$A$2:$B$52,2,FALSE)</f>
        <v>VA</v>
      </c>
      <c r="D2836" s="32">
        <v>51029.0</v>
      </c>
      <c r="E2836" s="33">
        <f>IF(NOT(ISBLANK(vlookup($D2836,Pop_Census_2023!$A$2:$E$3220,4,FALSE))),vlookup($D2836,Pop_Census_2023!$A$2:$E$3220,4,FALSE), vlookup($D2836,Pop_Census_2023!$A$2:$E$3220,5,FALSE))</f>
        <v>16978</v>
      </c>
      <c r="F2836" s="32">
        <v>1501502.0</v>
      </c>
      <c r="G2836" s="32">
        <v>99.0</v>
      </c>
      <c r="H2836" s="32" t="str">
        <f>VLOOKUP(D2836, Grid_Region_Mapping!$D$2:$F$5286, 3, FALSE)</f>
        <v>PJMD</v>
      </c>
      <c r="I2836" s="32">
        <v>5.0</v>
      </c>
      <c r="J2836" s="34" t="str">
        <f t="shared" si="1"/>
        <v>South</v>
      </c>
      <c r="K2836" s="35">
        <v>3.0</v>
      </c>
      <c r="L2836" s="35" t="s">
        <v>223</v>
      </c>
      <c r="M2836" s="36">
        <f>VLOOKUP(D2836, County_Data_CZones!$B$2:$F$3236, 2, FALSE)</f>
        <v>4</v>
      </c>
      <c r="N2836" s="37" t="str">
        <f>VLOOKUP(D2836, County_Data_CZones!$B$2:$F$3236, 5, FALSE)</f>
        <v>Mixed-Humid</v>
      </c>
    </row>
    <row r="2837" ht="15.75" customHeight="1">
      <c r="A2837" s="32" t="s">
        <v>831</v>
      </c>
      <c r="B2837" s="32" t="s">
        <v>1828</v>
      </c>
      <c r="C2837" s="32" t="str">
        <f>vlookup(B2837,State_EMM_RowSums!$A$2:$B$52,2,FALSE)</f>
        <v>VA</v>
      </c>
      <c r="D2837" s="32">
        <v>51031.0</v>
      </c>
      <c r="E2837" s="33">
        <f>IF(NOT(ISBLANK(vlookup($D2837,Pop_Census_2023!$A$2:$E$3220,4,FALSE))),vlookup($D2837,Pop_Census_2023!$A$2:$E$3220,4,FALSE), vlookup($D2837,Pop_Census_2023!$A$2:$E$3220,5,FALSE))</f>
        <v>55270</v>
      </c>
      <c r="F2837" s="32">
        <v>1674917.0</v>
      </c>
      <c r="G2837" s="32">
        <v>99.0</v>
      </c>
      <c r="H2837" s="32" t="str">
        <f>VLOOKUP(D2837, Grid_Region_Mapping!$D$2:$F$5286, 3, FALSE)</f>
        <v>PJMW</v>
      </c>
      <c r="I2837" s="32">
        <v>5.0</v>
      </c>
      <c r="J2837" s="34" t="str">
        <f t="shared" si="1"/>
        <v>South</v>
      </c>
      <c r="K2837" s="35">
        <v>3.0</v>
      </c>
      <c r="L2837" s="35" t="s">
        <v>223</v>
      </c>
      <c r="M2837" s="36">
        <f>VLOOKUP(D2837, County_Data_CZones!$B$2:$F$3236, 2, FALSE)</f>
        <v>4</v>
      </c>
      <c r="N2837" s="37" t="str">
        <f>VLOOKUP(D2837, County_Data_CZones!$B$2:$F$3236, 5, FALSE)</f>
        <v>Mixed-Humid</v>
      </c>
    </row>
    <row r="2838" ht="15.75" customHeight="1">
      <c r="A2838" s="32" t="s">
        <v>938</v>
      </c>
      <c r="B2838" s="32" t="s">
        <v>1828</v>
      </c>
      <c r="C2838" s="32" t="str">
        <f>vlookup(B2838,State_EMM_RowSums!$A$2:$B$52,2,FALSE)</f>
        <v>VA</v>
      </c>
      <c r="D2838" s="32">
        <v>51033.0</v>
      </c>
      <c r="E2838" s="33">
        <f>IF(NOT(ISBLANK(vlookup($D2838,Pop_Census_2023!$A$2:$E$3220,4,FALSE))),vlookup($D2838,Pop_Census_2023!$A$2:$E$3220,4,FALSE), vlookup($D2838,Pop_Census_2023!$A$2:$E$3220,5,FALSE))</f>
        <v>32640</v>
      </c>
      <c r="F2838" s="32">
        <v>1480107.0</v>
      </c>
      <c r="G2838" s="32">
        <v>99.0</v>
      </c>
      <c r="H2838" s="32" t="str">
        <f>VLOOKUP(D2838, Grid_Region_Mapping!$D$2:$F$5286, 3, FALSE)</f>
        <v>PJMD</v>
      </c>
      <c r="I2838" s="32">
        <v>5.0</v>
      </c>
      <c r="J2838" s="34" t="str">
        <f t="shared" si="1"/>
        <v>South</v>
      </c>
      <c r="K2838" s="35">
        <v>3.0</v>
      </c>
      <c r="L2838" s="35" t="s">
        <v>223</v>
      </c>
      <c r="M2838" s="36">
        <f>VLOOKUP(D2838, County_Data_CZones!$B$2:$F$3236, 2, FALSE)</f>
        <v>4</v>
      </c>
      <c r="N2838" s="37" t="str">
        <f>VLOOKUP(D2838, County_Data_CZones!$B$2:$F$3236, 5, FALSE)</f>
        <v>Mixed-Humid</v>
      </c>
    </row>
    <row r="2839" ht="15.75" customHeight="1">
      <c r="A2839" s="32" t="s">
        <v>227</v>
      </c>
      <c r="B2839" s="32" t="s">
        <v>1828</v>
      </c>
      <c r="C2839" s="32" t="str">
        <f>vlookup(B2839,State_EMM_RowSums!$A$2:$B$52,2,FALSE)</f>
        <v>VA</v>
      </c>
      <c r="D2839" s="32">
        <v>51035.0</v>
      </c>
      <c r="E2839" s="33">
        <f>IF(NOT(ISBLANK(vlookup($D2839,Pop_Census_2023!$A$2:$E$3220,4,FALSE))),vlookup($D2839,Pop_Census_2023!$A$2:$E$3220,4,FALSE), vlookup($D2839,Pop_Census_2023!$A$2:$E$3220,5,FALSE))</f>
        <v>29239</v>
      </c>
      <c r="F2839" s="32">
        <v>1480108.0</v>
      </c>
      <c r="G2839" s="32">
        <v>118.0</v>
      </c>
      <c r="H2839" s="32" t="str">
        <f>VLOOKUP(D2839, Grid_Region_Mapping!$D$2:$F$5286, 3, FALSE)</f>
        <v>PJMW</v>
      </c>
      <c r="I2839" s="32">
        <v>5.0</v>
      </c>
      <c r="J2839" s="34" t="str">
        <f t="shared" si="1"/>
        <v>South</v>
      </c>
      <c r="K2839" s="35">
        <v>3.0</v>
      </c>
      <c r="L2839" s="35" t="s">
        <v>223</v>
      </c>
      <c r="M2839" s="36">
        <f>VLOOKUP(D2839, County_Data_CZones!$B$2:$F$3236, 2, FALSE)</f>
        <v>4</v>
      </c>
      <c r="N2839" s="37" t="str">
        <f>VLOOKUP(D2839, County_Data_CZones!$B$2:$F$3236, 5, FALSE)</f>
        <v>Mixed-Humid</v>
      </c>
    </row>
    <row r="2840" ht="15.75" customHeight="1">
      <c r="A2840" s="32" t="s">
        <v>1838</v>
      </c>
      <c r="B2840" s="32" t="s">
        <v>1828</v>
      </c>
      <c r="C2840" s="32" t="str">
        <f>vlookup(B2840,State_EMM_RowSums!$A$2:$B$52,2,FALSE)</f>
        <v>VA</v>
      </c>
      <c r="D2840" s="32">
        <v>51036.0</v>
      </c>
      <c r="E2840" s="33">
        <f>IF(NOT(ISBLANK(vlookup($D2840,Pop_Census_2023!$A$2:$E$3220,4,FALSE))),vlookup($D2840,Pop_Census_2023!$A$2:$E$3220,4,FALSE), vlookup($D2840,Pop_Census_2023!$A$2:$E$3220,5,FALSE))</f>
        <v>6610</v>
      </c>
      <c r="F2840" s="32">
        <v>1480109.0</v>
      </c>
      <c r="G2840" s="32">
        <v>99.0</v>
      </c>
      <c r="H2840" s="32" t="str">
        <f>VLOOKUP(D2840, Grid_Region_Mapping!$D$2:$F$5286, 3, FALSE)</f>
        <v>PJMD</v>
      </c>
      <c r="I2840" s="32">
        <v>5.0</v>
      </c>
      <c r="J2840" s="34" t="str">
        <f t="shared" si="1"/>
        <v>South</v>
      </c>
      <c r="K2840" s="35">
        <v>4.0</v>
      </c>
      <c r="L2840" s="35" t="s">
        <v>223</v>
      </c>
      <c r="M2840" s="36">
        <f>VLOOKUP(D2840, County_Data_CZones!$B$2:$F$3236, 2, FALSE)</f>
        <v>4</v>
      </c>
      <c r="N2840" s="37" t="str">
        <f>VLOOKUP(D2840, County_Data_CZones!$B$2:$F$3236, 5, FALSE)</f>
        <v>Mixed-Humid</v>
      </c>
    </row>
    <row r="2841" ht="15.75" customHeight="1">
      <c r="A2841" s="32" t="s">
        <v>417</v>
      </c>
      <c r="B2841" s="32" t="s">
        <v>1828</v>
      </c>
      <c r="C2841" s="32" t="str">
        <f>vlookup(B2841,State_EMM_RowSums!$A$2:$B$52,2,FALSE)</f>
        <v>VA</v>
      </c>
      <c r="D2841" s="32">
        <v>51037.0</v>
      </c>
      <c r="E2841" s="33">
        <f>IF(NOT(ISBLANK(vlookup($D2841,Pop_Census_2023!$A$2:$E$3220,4,FALSE))),vlookup($D2841,Pop_Census_2023!$A$2:$E$3220,4,FALSE), vlookup($D2841,Pop_Census_2023!$A$2:$E$3220,5,FALSE))</f>
        <v>11336</v>
      </c>
      <c r="F2841" s="32">
        <v>1492442.0</v>
      </c>
      <c r="G2841" s="32">
        <v>99.0</v>
      </c>
      <c r="H2841" s="32" t="str">
        <f>VLOOKUP(D2841, Grid_Region_Mapping!$D$2:$F$5286, 3, FALSE)</f>
        <v>PJMD</v>
      </c>
      <c r="I2841" s="32">
        <v>5.0</v>
      </c>
      <c r="J2841" s="34" t="str">
        <f t="shared" si="1"/>
        <v>South</v>
      </c>
      <c r="K2841" s="35">
        <v>3.0</v>
      </c>
      <c r="L2841" s="35" t="s">
        <v>223</v>
      </c>
      <c r="M2841" s="36">
        <f>VLOOKUP(D2841, County_Data_CZones!$B$2:$F$3236, 2, FALSE)</f>
        <v>4</v>
      </c>
      <c r="N2841" s="37" t="str">
        <f>VLOOKUP(D2841, County_Data_CZones!$B$2:$F$3236, 5, FALSE)</f>
        <v>Mixed-Humid</v>
      </c>
    </row>
    <row r="2842" ht="15.75" customHeight="1">
      <c r="A2842" s="32" t="s">
        <v>1557</v>
      </c>
      <c r="B2842" s="32" t="s">
        <v>1828</v>
      </c>
      <c r="C2842" s="32" t="str">
        <f>vlookup(B2842,State_EMM_RowSums!$A$2:$B$52,2,FALSE)</f>
        <v>VA</v>
      </c>
      <c r="D2842" s="32">
        <v>51041.0</v>
      </c>
      <c r="E2842" s="33">
        <f>IF(NOT(ISBLANK(vlookup($D2842,Pop_Census_2023!$A$2:$E$3220,4,FALSE))),vlookup($D2842,Pop_Census_2023!$A$2:$E$3220,4,FALSE), vlookup($D2842,Pop_Census_2023!$A$2:$E$3220,5,FALSE))</f>
        <v>383876</v>
      </c>
      <c r="F2842" s="32">
        <v>1480111.0</v>
      </c>
      <c r="G2842" s="32">
        <v>99.0</v>
      </c>
      <c r="H2842" s="32" t="str">
        <f>VLOOKUP(D2842, Grid_Region_Mapping!$D$2:$F$5286, 3, FALSE)</f>
        <v>PJMD</v>
      </c>
      <c r="I2842" s="32">
        <v>5.0</v>
      </c>
      <c r="J2842" s="34" t="str">
        <f t="shared" si="1"/>
        <v>South</v>
      </c>
      <c r="K2842" s="35">
        <v>4.0</v>
      </c>
      <c r="L2842" s="35" t="s">
        <v>223</v>
      </c>
      <c r="M2842" s="36">
        <f>VLOOKUP(D2842, County_Data_CZones!$B$2:$F$3236, 2, FALSE)</f>
        <v>4</v>
      </c>
      <c r="N2842" s="37" t="str">
        <f>VLOOKUP(D2842, County_Data_CZones!$B$2:$F$3236, 5, FALSE)</f>
        <v>Mixed-Humid</v>
      </c>
    </row>
    <row r="2843" ht="15.75" customHeight="1">
      <c r="A2843" s="32" t="s">
        <v>115</v>
      </c>
      <c r="B2843" s="32" t="s">
        <v>1828</v>
      </c>
      <c r="C2843" s="32" t="str">
        <f>vlookup(B2843,State_EMM_RowSums!$A$2:$B$52,2,FALSE)</f>
        <v>VA</v>
      </c>
      <c r="D2843" s="32">
        <v>51043.0</v>
      </c>
      <c r="E2843" s="33">
        <f>IF(NOT(ISBLANK(vlookup($D2843,Pop_Census_2023!$A$2:$E$3220,4,FALSE))),vlookup($D2843,Pop_Census_2023!$A$2:$E$3220,4,FALSE), vlookup($D2843,Pop_Census_2023!$A$2:$E$3220,5,FALSE))</f>
        <v>15466</v>
      </c>
      <c r="F2843" s="32">
        <v>1690562.0</v>
      </c>
      <c r="G2843" s="32">
        <v>100.0</v>
      </c>
      <c r="H2843" s="32" t="str">
        <f>VLOOKUP(D2843, Grid_Region_Mapping!$D$2:$F$5286, 3, FALSE)</f>
        <v>PJMW</v>
      </c>
      <c r="I2843" s="32">
        <v>5.0</v>
      </c>
      <c r="J2843" s="34" t="str">
        <f t="shared" si="1"/>
        <v>South</v>
      </c>
      <c r="K2843" s="35">
        <v>3.0</v>
      </c>
      <c r="L2843" s="35" t="s">
        <v>223</v>
      </c>
      <c r="M2843" s="36">
        <f>VLOOKUP(D2843, County_Data_CZones!$B$2:$F$3236, 2, FALSE)</f>
        <v>4</v>
      </c>
      <c r="N2843" s="37" t="str">
        <f>VLOOKUP(D2843, County_Data_CZones!$B$2:$F$3236, 5, FALSE)</f>
        <v>Mixed-Humid</v>
      </c>
    </row>
    <row r="2844" ht="15.75" customHeight="1">
      <c r="A2844" s="32" t="s">
        <v>1466</v>
      </c>
      <c r="B2844" s="32" t="s">
        <v>1828</v>
      </c>
      <c r="C2844" s="32" t="str">
        <f>vlookup(B2844,State_EMM_RowSums!$A$2:$B$52,2,FALSE)</f>
        <v>VA</v>
      </c>
      <c r="D2844" s="32">
        <v>51045.0</v>
      </c>
      <c r="E2844" s="33">
        <f>IF(NOT(ISBLANK(vlookup($D2844,Pop_Census_2023!$A$2:$E$3220,4,FALSE))),vlookup($D2844,Pop_Census_2023!$A$2:$E$3220,4,FALSE), vlookup($D2844,Pop_Census_2023!$A$2:$E$3220,5,FALSE))</f>
        <v>4843</v>
      </c>
      <c r="F2844" s="32">
        <v>1673664.0</v>
      </c>
      <c r="G2844" s="32">
        <v>118.0</v>
      </c>
      <c r="H2844" s="32" t="str">
        <f>VLOOKUP(D2844, Grid_Region_Mapping!$D$2:$F$5286, 3, FALSE)</f>
        <v>PJMD</v>
      </c>
      <c r="I2844" s="32">
        <v>5.0</v>
      </c>
      <c r="J2844" s="34" t="str">
        <f t="shared" si="1"/>
        <v>South</v>
      </c>
      <c r="K2844" s="35">
        <v>3.0</v>
      </c>
      <c r="L2844" s="35" t="s">
        <v>223</v>
      </c>
      <c r="M2844" s="36">
        <f>VLOOKUP(D2844, County_Data_CZones!$B$2:$F$3236, 2, FALSE)</f>
        <v>4</v>
      </c>
      <c r="N2844" s="37" t="str">
        <f>VLOOKUP(D2844, County_Data_CZones!$B$2:$F$3236, 5, FALSE)</f>
        <v>Mixed-Humid</v>
      </c>
    </row>
    <row r="2845" ht="15.75" customHeight="1">
      <c r="A2845" s="32" t="s">
        <v>1839</v>
      </c>
      <c r="B2845" s="32" t="s">
        <v>1828</v>
      </c>
      <c r="C2845" s="32" t="str">
        <f>vlookup(B2845,State_EMM_RowSums!$A$2:$B$52,2,FALSE)</f>
        <v>VA</v>
      </c>
      <c r="D2845" s="32">
        <v>51047.0</v>
      </c>
      <c r="E2845" s="33">
        <f>IF(NOT(ISBLANK(vlookup($D2845,Pop_Census_2023!$A$2:$E$3220,4,FALSE))),vlookup($D2845,Pop_Census_2023!$A$2:$E$3220,4,FALSE), vlookup($D2845,Pop_Census_2023!$A$2:$E$3220,5,FALSE))</f>
        <v>54973</v>
      </c>
      <c r="F2845" s="32">
        <v>1497831.0</v>
      </c>
      <c r="G2845" s="32">
        <v>99.0</v>
      </c>
      <c r="H2845" s="32" t="str">
        <f>VLOOKUP(D2845, Grid_Region_Mapping!$D$2:$F$5286, 3, FALSE)</f>
        <v>PJMW</v>
      </c>
      <c r="I2845" s="32">
        <v>5.0</v>
      </c>
      <c r="J2845" s="34" t="str">
        <f t="shared" si="1"/>
        <v>South</v>
      </c>
      <c r="K2845" s="35">
        <v>3.0</v>
      </c>
      <c r="L2845" s="35" t="s">
        <v>223</v>
      </c>
      <c r="M2845" s="36">
        <f>VLOOKUP(D2845, County_Data_CZones!$B$2:$F$3236, 2, FALSE)</f>
        <v>4</v>
      </c>
      <c r="N2845" s="37" t="str">
        <f>VLOOKUP(D2845, County_Data_CZones!$B$2:$F$3236, 5, FALSE)</f>
        <v>Mixed-Humid</v>
      </c>
    </row>
    <row r="2846" ht="15.75" customHeight="1">
      <c r="A2846" s="32" t="s">
        <v>618</v>
      </c>
      <c r="B2846" s="32" t="s">
        <v>1828</v>
      </c>
      <c r="C2846" s="32" t="str">
        <f>vlookup(B2846,State_EMM_RowSums!$A$2:$B$52,2,FALSE)</f>
        <v>VA</v>
      </c>
      <c r="D2846" s="32">
        <v>51049.0</v>
      </c>
      <c r="E2846" s="33">
        <f>IF(NOT(ISBLANK(vlookup($D2846,Pop_Census_2023!$A$2:$E$3220,4,FALSE))),vlookup($D2846,Pop_Census_2023!$A$2:$E$3220,4,FALSE), vlookup($D2846,Pop_Census_2023!$A$2:$E$3220,5,FALSE))</f>
        <v>9878</v>
      </c>
      <c r="F2846" s="32">
        <v>1494109.0</v>
      </c>
      <c r="G2846" s="32">
        <v>99.0</v>
      </c>
      <c r="H2846" s="32" t="str">
        <f>VLOOKUP(D2846, Grid_Region_Mapping!$D$2:$F$5286, 3, FALSE)</f>
        <v>PJMD</v>
      </c>
      <c r="I2846" s="32">
        <v>5.0</v>
      </c>
      <c r="J2846" s="34" t="str">
        <f t="shared" si="1"/>
        <v>South</v>
      </c>
      <c r="K2846" s="35">
        <v>3.0</v>
      </c>
      <c r="L2846" s="35" t="s">
        <v>223</v>
      </c>
      <c r="M2846" s="36">
        <f>VLOOKUP(D2846, County_Data_CZones!$B$2:$F$3236, 2, FALSE)</f>
        <v>4</v>
      </c>
      <c r="N2846" s="37" t="str">
        <f>VLOOKUP(D2846, County_Data_CZones!$B$2:$F$3236, 5, FALSE)</f>
        <v>Mixed-Humid</v>
      </c>
    </row>
    <row r="2847" ht="15.75" customHeight="1">
      <c r="A2847" s="32" t="s">
        <v>1840</v>
      </c>
      <c r="B2847" s="32" t="s">
        <v>1828</v>
      </c>
      <c r="C2847" s="32" t="str">
        <f>vlookup(B2847,State_EMM_RowSums!$A$2:$B$52,2,FALSE)</f>
        <v>VA</v>
      </c>
      <c r="D2847" s="32">
        <v>51051.0</v>
      </c>
      <c r="E2847" s="33">
        <f>IF(NOT(ISBLANK(vlookup($D2847,Pop_Census_2023!$A$2:$E$3220,4,FALSE))),vlookup($D2847,Pop_Census_2023!$A$2:$E$3220,4,FALSE), vlookup($D2847,Pop_Census_2023!$A$2:$E$3220,5,FALSE))</f>
        <v>13640</v>
      </c>
      <c r="F2847" s="32">
        <v>1497376.0</v>
      </c>
      <c r="G2847" s="32">
        <v>118.0</v>
      </c>
      <c r="H2847" s="32" t="str">
        <f>VLOOKUP(D2847, Grid_Region_Mapping!$D$2:$F$5286, 3, FALSE)</f>
        <v>PJMW</v>
      </c>
      <c r="I2847" s="32">
        <v>5.0</v>
      </c>
      <c r="J2847" s="34" t="str">
        <f t="shared" si="1"/>
        <v>South</v>
      </c>
      <c r="K2847" s="35">
        <v>3.0</v>
      </c>
      <c r="L2847" s="35" t="s">
        <v>223</v>
      </c>
      <c r="M2847" s="36">
        <f>VLOOKUP(D2847, County_Data_CZones!$B$2:$F$3236, 2, FALSE)</f>
        <v>4</v>
      </c>
      <c r="N2847" s="37" t="str">
        <f>VLOOKUP(D2847, County_Data_CZones!$B$2:$F$3236, 5, FALSE)</f>
        <v>Mixed-Humid</v>
      </c>
    </row>
    <row r="2848" ht="15.75" customHeight="1">
      <c r="A2848" s="32" t="s">
        <v>1841</v>
      </c>
      <c r="B2848" s="32" t="s">
        <v>1828</v>
      </c>
      <c r="C2848" s="32" t="str">
        <f>vlookup(B2848,State_EMM_RowSums!$A$2:$B$52,2,FALSE)</f>
        <v>VA</v>
      </c>
      <c r="D2848" s="32">
        <v>51053.0</v>
      </c>
      <c r="E2848" s="33">
        <f>IF(NOT(ISBLANK(vlookup($D2848,Pop_Census_2023!$A$2:$E$3220,4,FALSE))),vlookup($D2848,Pop_Census_2023!$A$2:$E$3220,4,FALSE), vlookup($D2848,Pop_Census_2023!$A$2:$E$3220,5,FALSE))</f>
        <v>28343</v>
      </c>
      <c r="F2848" s="32">
        <v>1690739.0</v>
      </c>
      <c r="G2848" s="32">
        <v>99.0</v>
      </c>
      <c r="H2848" s="32" t="str">
        <f>VLOOKUP(D2848, Grid_Region_Mapping!$D$2:$F$5286, 3, FALSE)</f>
        <v>PJMD</v>
      </c>
      <c r="I2848" s="32">
        <v>5.0</v>
      </c>
      <c r="J2848" s="34" t="str">
        <f t="shared" si="1"/>
        <v>South</v>
      </c>
      <c r="K2848" s="35">
        <v>4.0</v>
      </c>
      <c r="L2848" s="35" t="s">
        <v>223</v>
      </c>
      <c r="M2848" s="36">
        <f>VLOOKUP(D2848, County_Data_CZones!$B$2:$F$3236, 2, FALSE)</f>
        <v>4</v>
      </c>
      <c r="N2848" s="37" t="str">
        <f>VLOOKUP(D2848, County_Data_CZones!$B$2:$F$3236, 5, FALSE)</f>
        <v>Mixed-Humid</v>
      </c>
    </row>
    <row r="2849" ht="15.75" customHeight="1">
      <c r="A2849" s="32" t="s">
        <v>956</v>
      </c>
      <c r="B2849" s="32" t="s">
        <v>1828</v>
      </c>
      <c r="C2849" s="32" t="str">
        <f>vlookup(B2849,State_EMM_RowSums!$A$2:$B$52,2,FALSE)</f>
        <v>VA</v>
      </c>
      <c r="D2849" s="32">
        <v>51057.0</v>
      </c>
      <c r="E2849" s="33">
        <f>IF(NOT(ISBLANK(vlookup($D2849,Pop_Census_2023!$A$2:$E$3220,4,FALSE))),vlookup($D2849,Pop_Census_2023!$A$2:$E$3220,4,FALSE), vlookup($D2849,Pop_Census_2023!$A$2:$E$3220,5,FALSE))</f>
        <v>10598</v>
      </c>
      <c r="F2849" s="32">
        <v>1480118.0</v>
      </c>
      <c r="G2849" s="32">
        <v>99.0</v>
      </c>
      <c r="H2849" s="32" t="str">
        <f>VLOOKUP(D2849, Grid_Region_Mapping!$D$2:$F$5286, 3, FALSE)</f>
        <v>PJMD</v>
      </c>
      <c r="I2849" s="32">
        <v>5.0</v>
      </c>
      <c r="J2849" s="34" t="str">
        <f t="shared" si="1"/>
        <v>South</v>
      </c>
      <c r="K2849" s="35">
        <v>3.0</v>
      </c>
      <c r="L2849" s="35" t="s">
        <v>223</v>
      </c>
      <c r="M2849" s="36">
        <f>VLOOKUP(D2849, County_Data_CZones!$B$2:$F$3236, 2, FALSE)</f>
        <v>4</v>
      </c>
      <c r="N2849" s="37" t="str">
        <f>VLOOKUP(D2849, County_Data_CZones!$B$2:$F$3236, 5, FALSE)</f>
        <v>Mixed-Humid</v>
      </c>
    </row>
    <row r="2850" ht="15.75" customHeight="1">
      <c r="A2850" s="32" t="s">
        <v>1842</v>
      </c>
      <c r="B2850" s="32" t="s">
        <v>1828</v>
      </c>
      <c r="C2850" s="32" t="str">
        <f>vlookup(B2850,State_EMM_RowSums!$A$2:$B$52,2,FALSE)</f>
        <v>VA</v>
      </c>
      <c r="D2850" s="32">
        <v>51059.0</v>
      </c>
      <c r="E2850" s="33">
        <f>IF(NOT(ISBLANK(vlookup($D2850,Pop_Census_2023!$A$2:$E$3220,4,FALSE))),vlookup($D2850,Pop_Census_2023!$A$2:$E$3220,4,FALSE), vlookup($D2850,Pop_Census_2023!$A$2:$E$3220,5,FALSE))</f>
        <v>1141878</v>
      </c>
      <c r="F2850" s="32">
        <v>1480119.0</v>
      </c>
      <c r="G2850" s="32">
        <v>99.0</v>
      </c>
      <c r="H2850" s="32" t="str">
        <f>VLOOKUP(D2850, Grid_Region_Mapping!$D$2:$F$5286, 3, FALSE)</f>
        <v>PJMD</v>
      </c>
      <c r="I2850" s="32">
        <v>5.0</v>
      </c>
      <c r="J2850" s="34" t="str">
        <f t="shared" si="1"/>
        <v>South</v>
      </c>
      <c r="K2850" s="35">
        <v>3.0</v>
      </c>
      <c r="L2850" s="35" t="s">
        <v>223</v>
      </c>
      <c r="M2850" s="36">
        <f>VLOOKUP(D2850, County_Data_CZones!$B$2:$F$3236, 2, FALSE)</f>
        <v>4</v>
      </c>
      <c r="N2850" s="37" t="str">
        <f>VLOOKUP(D2850, County_Data_CZones!$B$2:$F$3236, 5, FALSE)</f>
        <v>Mixed-Humid</v>
      </c>
    </row>
    <row r="2851" ht="15.75" customHeight="1">
      <c r="A2851" s="32" t="s">
        <v>1843</v>
      </c>
      <c r="B2851" s="32" t="s">
        <v>1828</v>
      </c>
      <c r="C2851" s="32" t="str">
        <f>vlookup(B2851,State_EMM_RowSums!$A$2:$B$52,2,FALSE)</f>
        <v>VA</v>
      </c>
      <c r="D2851" s="32">
        <v>51061.0</v>
      </c>
      <c r="E2851" s="33">
        <f>IF(NOT(ISBLANK(vlookup($D2851,Pop_Census_2023!$A$2:$E$3220,4,FALSE))),vlookup($D2851,Pop_Census_2023!$A$2:$E$3220,4,FALSE), vlookup($D2851,Pop_Census_2023!$A$2:$E$3220,5,FALSE))</f>
        <v>75165</v>
      </c>
      <c r="F2851" s="32">
        <v>1480120.0</v>
      </c>
      <c r="G2851" s="32">
        <v>99.0</v>
      </c>
      <c r="H2851" s="32" t="str">
        <f>VLOOKUP(D2851, Grid_Region_Mapping!$D$2:$F$5286, 3, FALSE)</f>
        <v>PJMW</v>
      </c>
      <c r="I2851" s="32">
        <v>5.0</v>
      </c>
      <c r="J2851" s="34" t="str">
        <f t="shared" si="1"/>
        <v>South</v>
      </c>
      <c r="K2851" s="35">
        <v>3.0</v>
      </c>
      <c r="L2851" s="35" t="s">
        <v>223</v>
      </c>
      <c r="M2851" s="36">
        <f>VLOOKUP(D2851, County_Data_CZones!$B$2:$F$3236, 2, FALSE)</f>
        <v>4</v>
      </c>
      <c r="N2851" s="37" t="str">
        <f>VLOOKUP(D2851, County_Data_CZones!$B$2:$F$3236, 5, FALSE)</f>
        <v>Mixed-Humid</v>
      </c>
    </row>
    <row r="2852" ht="15.75" customHeight="1">
      <c r="A2852" s="32" t="s">
        <v>502</v>
      </c>
      <c r="B2852" s="32" t="s">
        <v>1828</v>
      </c>
      <c r="C2852" s="32" t="str">
        <f>vlookup(B2852,State_EMM_RowSums!$A$2:$B$52,2,FALSE)</f>
        <v>VA</v>
      </c>
      <c r="D2852" s="32">
        <v>51063.0</v>
      </c>
      <c r="E2852" s="33">
        <f>IF(NOT(ISBLANK(vlookup($D2852,Pop_Census_2023!$A$2:$E$3220,4,FALSE))),vlookup($D2852,Pop_Census_2023!$A$2:$E$3220,4,FALSE), vlookup($D2852,Pop_Census_2023!$A$2:$E$3220,5,FALSE))</f>
        <v>15679</v>
      </c>
      <c r="F2852" s="32">
        <v>1494354.0</v>
      </c>
      <c r="G2852" s="32">
        <v>118.0</v>
      </c>
      <c r="H2852" s="32" t="str">
        <f>VLOOKUP(D2852, Grid_Region_Mapping!$D$2:$F$5286, 3, FALSE)</f>
        <v>PJMW</v>
      </c>
      <c r="I2852" s="32">
        <v>5.0</v>
      </c>
      <c r="J2852" s="34" t="str">
        <f t="shared" si="1"/>
        <v>South</v>
      </c>
      <c r="K2852" s="35">
        <v>3.0</v>
      </c>
      <c r="L2852" s="35" t="s">
        <v>223</v>
      </c>
      <c r="M2852" s="36">
        <f>VLOOKUP(D2852, County_Data_CZones!$B$2:$F$3236, 2, FALSE)</f>
        <v>4</v>
      </c>
      <c r="N2852" s="37" t="str">
        <f>VLOOKUP(D2852, County_Data_CZones!$B$2:$F$3236, 5, FALSE)</f>
        <v>Mixed-Humid</v>
      </c>
    </row>
    <row r="2853" ht="15.75" customHeight="1">
      <c r="A2853" s="32" t="s">
        <v>1844</v>
      </c>
      <c r="B2853" s="32" t="s">
        <v>1828</v>
      </c>
      <c r="C2853" s="32" t="str">
        <f>vlookup(B2853,State_EMM_RowSums!$A$2:$B$52,2,FALSE)</f>
        <v>VA</v>
      </c>
      <c r="D2853" s="32">
        <v>51065.0</v>
      </c>
      <c r="E2853" s="33">
        <f>IF(NOT(ISBLANK(vlookup($D2853,Pop_Census_2023!$A$2:$E$3220,4,FALSE))),vlookup($D2853,Pop_Census_2023!$A$2:$E$3220,4,FALSE), vlookup($D2853,Pop_Census_2023!$A$2:$E$3220,5,FALSE))</f>
        <v>28462</v>
      </c>
      <c r="F2853" s="32">
        <v>1494061.0</v>
      </c>
      <c r="G2853" s="32">
        <v>99.0</v>
      </c>
      <c r="H2853" s="32" t="str">
        <f>VLOOKUP(D2853, Grid_Region_Mapping!$D$2:$F$5286, 3, FALSE)</f>
        <v>PJMD</v>
      </c>
      <c r="I2853" s="32">
        <v>5.0</v>
      </c>
      <c r="J2853" s="34" t="str">
        <f t="shared" si="1"/>
        <v>South</v>
      </c>
      <c r="K2853" s="35">
        <v>3.0</v>
      </c>
      <c r="L2853" s="35" t="s">
        <v>223</v>
      </c>
      <c r="M2853" s="36">
        <f>VLOOKUP(D2853, County_Data_CZones!$B$2:$F$3236, 2, FALSE)</f>
        <v>4</v>
      </c>
      <c r="N2853" s="37" t="str">
        <f>VLOOKUP(D2853, County_Data_CZones!$B$2:$F$3236, 5, FALSE)</f>
        <v>Mixed-Humid</v>
      </c>
    </row>
    <row r="2854" ht="15.75" customHeight="1">
      <c r="A2854" s="32" t="s">
        <v>132</v>
      </c>
      <c r="B2854" s="32" t="s">
        <v>1828</v>
      </c>
      <c r="C2854" s="32" t="str">
        <f>vlookup(B2854,State_EMM_RowSums!$A$2:$B$52,2,FALSE)</f>
        <v>VA</v>
      </c>
      <c r="D2854" s="32">
        <v>51067.0</v>
      </c>
      <c r="E2854" s="33">
        <f>IF(NOT(ISBLANK(vlookup($D2854,Pop_Census_2023!$A$2:$E$3220,4,FALSE))),vlookup($D2854,Pop_Census_2023!$A$2:$E$3220,4,FALSE), vlookup($D2854,Pop_Census_2023!$A$2:$E$3220,5,FALSE))</f>
        <v>55549</v>
      </c>
      <c r="F2854" s="32">
        <v>1494434.0</v>
      </c>
      <c r="G2854" s="32">
        <v>118.0</v>
      </c>
      <c r="H2854" s="32" t="str">
        <f>VLOOKUP(D2854, Grid_Region_Mapping!$D$2:$F$5286, 3, FALSE)</f>
        <v>PJMW</v>
      </c>
      <c r="I2854" s="32">
        <v>5.0</v>
      </c>
      <c r="J2854" s="34" t="str">
        <f t="shared" si="1"/>
        <v>South</v>
      </c>
      <c r="K2854" s="35">
        <v>3.0</v>
      </c>
      <c r="L2854" s="35" t="s">
        <v>223</v>
      </c>
      <c r="M2854" s="36">
        <f>VLOOKUP(D2854, County_Data_CZones!$B$2:$F$3236, 2, FALSE)</f>
        <v>4</v>
      </c>
      <c r="N2854" s="37" t="str">
        <f>VLOOKUP(D2854, County_Data_CZones!$B$2:$F$3236, 5, FALSE)</f>
        <v>Mixed-Humid</v>
      </c>
    </row>
    <row r="2855" ht="15.75" customHeight="1">
      <c r="A2855" s="32" t="s">
        <v>942</v>
      </c>
      <c r="B2855" s="32" t="s">
        <v>1828</v>
      </c>
      <c r="C2855" s="32" t="str">
        <f>vlookup(B2855,State_EMM_RowSums!$A$2:$B$52,2,FALSE)</f>
        <v>VA</v>
      </c>
      <c r="D2855" s="32">
        <v>51069.0</v>
      </c>
      <c r="E2855" s="33">
        <f>IF(NOT(ISBLANK(vlookup($D2855,Pop_Census_2023!$A$2:$E$3220,4,FALSE))),vlookup($D2855,Pop_Census_2023!$A$2:$E$3220,4,FALSE), vlookup($D2855,Pop_Census_2023!$A$2:$E$3220,5,FALSE))</f>
        <v>95994</v>
      </c>
      <c r="F2855" s="32">
        <v>1480124.0</v>
      </c>
      <c r="G2855" s="32">
        <v>100.0</v>
      </c>
      <c r="H2855" s="32" t="str">
        <f>VLOOKUP(D2855, Grid_Region_Mapping!$D$2:$F$5286, 3, FALSE)</f>
        <v>PJMW</v>
      </c>
      <c r="I2855" s="32">
        <v>5.0</v>
      </c>
      <c r="J2855" s="34" t="str">
        <f t="shared" si="1"/>
        <v>South</v>
      </c>
      <c r="K2855" s="35">
        <v>3.0</v>
      </c>
      <c r="L2855" s="35" t="s">
        <v>223</v>
      </c>
      <c r="M2855" s="36">
        <f>VLOOKUP(D2855, County_Data_CZones!$B$2:$F$3236, 2, FALSE)</f>
        <v>4</v>
      </c>
      <c r="N2855" s="37" t="str">
        <f>VLOOKUP(D2855, County_Data_CZones!$B$2:$F$3236, 5, FALSE)</f>
        <v>Mixed-Humid</v>
      </c>
    </row>
    <row r="2856" ht="15.75" customHeight="1">
      <c r="A2856" s="32" t="s">
        <v>1625</v>
      </c>
      <c r="B2856" s="32" t="s">
        <v>1828</v>
      </c>
      <c r="C2856" s="32" t="str">
        <f>vlookup(B2856,State_EMM_RowSums!$A$2:$B$52,2,FALSE)</f>
        <v>VA</v>
      </c>
      <c r="D2856" s="32">
        <v>51071.0</v>
      </c>
      <c r="E2856" s="33">
        <f>IF(NOT(ISBLANK(vlookup($D2856,Pop_Census_2023!$A$2:$E$3220,4,FALSE))),vlookup($D2856,Pop_Census_2023!$A$2:$E$3220,4,FALSE), vlookup($D2856,Pop_Census_2023!$A$2:$E$3220,5,FALSE))</f>
        <v>16457</v>
      </c>
      <c r="F2856" s="32">
        <v>1494551.0</v>
      </c>
      <c r="G2856" s="32">
        <v>118.0</v>
      </c>
      <c r="H2856" s="32" t="str">
        <f>VLOOKUP(D2856, Grid_Region_Mapping!$D$2:$F$5286, 3, FALSE)</f>
        <v>PJMW</v>
      </c>
      <c r="I2856" s="32">
        <v>5.0</v>
      </c>
      <c r="J2856" s="34" t="str">
        <f t="shared" si="1"/>
        <v>South</v>
      </c>
      <c r="K2856" s="35">
        <v>3.0</v>
      </c>
      <c r="L2856" s="35" t="s">
        <v>223</v>
      </c>
      <c r="M2856" s="36">
        <f>VLOOKUP(D2856, County_Data_CZones!$B$2:$F$3236, 2, FALSE)</f>
        <v>4</v>
      </c>
      <c r="N2856" s="37" t="str">
        <f>VLOOKUP(D2856, County_Data_CZones!$B$2:$F$3236, 5, FALSE)</f>
        <v>Mixed-Humid</v>
      </c>
    </row>
    <row r="2857" ht="15.75" customHeight="1">
      <c r="A2857" s="32" t="s">
        <v>1263</v>
      </c>
      <c r="B2857" s="32" t="s">
        <v>1828</v>
      </c>
      <c r="C2857" s="32" t="str">
        <f>vlookup(B2857,State_EMM_RowSums!$A$2:$B$52,2,FALSE)</f>
        <v>VA</v>
      </c>
      <c r="D2857" s="32">
        <v>51073.0</v>
      </c>
      <c r="E2857" s="33">
        <f>IF(NOT(ISBLANK(vlookup($D2857,Pop_Census_2023!$A$2:$E$3220,4,FALSE))),vlookup($D2857,Pop_Census_2023!$A$2:$E$3220,4,FALSE), vlookup($D2857,Pop_Census_2023!$A$2:$E$3220,5,FALSE))</f>
        <v>40057</v>
      </c>
      <c r="F2857" s="32">
        <v>1480126.0</v>
      </c>
      <c r="G2857" s="32">
        <v>99.0</v>
      </c>
      <c r="H2857" s="32" t="str">
        <f>VLOOKUP(D2857, Grid_Region_Mapping!$D$2:$F$5286, 3, FALSE)</f>
        <v>PJMD</v>
      </c>
      <c r="I2857" s="32">
        <v>5.0</v>
      </c>
      <c r="J2857" s="34" t="str">
        <f t="shared" si="1"/>
        <v>South</v>
      </c>
      <c r="K2857" s="35">
        <v>4.0</v>
      </c>
      <c r="L2857" s="35" t="s">
        <v>223</v>
      </c>
      <c r="M2857" s="36">
        <f>VLOOKUP(D2857, County_Data_CZones!$B$2:$F$3236, 2, FALSE)</f>
        <v>4</v>
      </c>
      <c r="N2857" s="37" t="str">
        <f>VLOOKUP(D2857, County_Data_CZones!$B$2:$F$3236, 5, FALSE)</f>
        <v>Mixed-Humid</v>
      </c>
    </row>
    <row r="2858" ht="15.75" customHeight="1">
      <c r="A2858" s="32" t="s">
        <v>1845</v>
      </c>
      <c r="B2858" s="32" t="s">
        <v>1828</v>
      </c>
      <c r="C2858" s="32" t="str">
        <f>vlookup(B2858,State_EMM_RowSums!$A$2:$B$52,2,FALSE)</f>
        <v>VA</v>
      </c>
      <c r="D2858" s="32">
        <v>51075.0</v>
      </c>
      <c r="E2858" s="33">
        <f>IF(NOT(ISBLANK(vlookup($D2858,Pop_Census_2023!$A$2:$E$3220,4,FALSE))),vlookup($D2858,Pop_Census_2023!$A$2:$E$3220,4,FALSE), vlookup($D2858,Pop_Census_2023!$A$2:$E$3220,5,FALSE))</f>
        <v>27197</v>
      </c>
      <c r="F2858" s="32">
        <v>1674271.0</v>
      </c>
      <c r="G2858" s="32">
        <v>99.0</v>
      </c>
      <c r="H2858" s="32" t="str">
        <f>VLOOKUP(D2858, Grid_Region_Mapping!$D$2:$F$5286, 3, FALSE)</f>
        <v>PJMD</v>
      </c>
      <c r="I2858" s="32">
        <v>5.0</v>
      </c>
      <c r="J2858" s="34" t="str">
        <f t="shared" si="1"/>
        <v>South</v>
      </c>
      <c r="K2858" s="35">
        <v>3.0</v>
      </c>
      <c r="L2858" s="35" t="s">
        <v>223</v>
      </c>
      <c r="M2858" s="36">
        <f>VLOOKUP(D2858, County_Data_CZones!$B$2:$F$3236, 2, FALSE)</f>
        <v>4</v>
      </c>
      <c r="N2858" s="37" t="str">
        <f>VLOOKUP(D2858, County_Data_CZones!$B$2:$F$3236, 5, FALSE)</f>
        <v>Mixed-Humid</v>
      </c>
    </row>
    <row r="2859" ht="15.75" customHeight="1">
      <c r="A2859" s="32" t="s">
        <v>841</v>
      </c>
      <c r="B2859" s="32" t="s">
        <v>1828</v>
      </c>
      <c r="C2859" s="32" t="str">
        <f>vlookup(B2859,State_EMM_RowSums!$A$2:$B$52,2,FALSE)</f>
        <v>VA</v>
      </c>
      <c r="D2859" s="32">
        <v>51077.0</v>
      </c>
      <c r="E2859" s="33">
        <f>IF(NOT(ISBLANK(vlookup($D2859,Pop_Census_2023!$A$2:$E$3220,4,FALSE))),vlookup($D2859,Pop_Census_2023!$A$2:$E$3220,4,FALSE), vlookup($D2859,Pop_Census_2023!$A$2:$E$3220,5,FALSE))</f>
        <v>15285</v>
      </c>
      <c r="F2859" s="32">
        <v>1501196.0</v>
      </c>
      <c r="G2859" s="32">
        <v>118.0</v>
      </c>
      <c r="H2859" s="32" t="str">
        <f>VLOOKUP(D2859, Grid_Region_Mapping!$D$2:$F$5286, 3, FALSE)</f>
        <v>PJMW</v>
      </c>
      <c r="I2859" s="32">
        <v>5.0</v>
      </c>
      <c r="J2859" s="34" t="str">
        <f t="shared" si="1"/>
        <v>South</v>
      </c>
      <c r="K2859" s="35">
        <v>3.0</v>
      </c>
      <c r="L2859" s="35" t="s">
        <v>223</v>
      </c>
      <c r="M2859" s="36">
        <f>VLOOKUP(D2859, County_Data_CZones!$B$2:$F$3236, 2, FALSE)</f>
        <v>4</v>
      </c>
      <c r="N2859" s="37" t="str">
        <f>VLOOKUP(D2859, County_Data_CZones!$B$2:$F$3236, 5, FALSE)</f>
        <v>Mixed-Humid</v>
      </c>
    </row>
    <row r="2860" ht="15.75" customHeight="1">
      <c r="A2860" s="32" t="s">
        <v>134</v>
      </c>
      <c r="B2860" s="32" t="s">
        <v>1828</v>
      </c>
      <c r="C2860" s="32" t="str">
        <f>vlookup(B2860,State_EMM_RowSums!$A$2:$B$52,2,FALSE)</f>
        <v>VA</v>
      </c>
      <c r="D2860" s="32">
        <v>51079.0</v>
      </c>
      <c r="E2860" s="33">
        <f>IF(NOT(ISBLANK(vlookup($D2860,Pop_Census_2023!$A$2:$E$3220,4,FALSE))),vlookup($D2860,Pop_Census_2023!$A$2:$E$3220,4,FALSE), vlookup($D2860,Pop_Census_2023!$A$2:$E$3220,5,FALSE))</f>
        <v>21301</v>
      </c>
      <c r="F2860" s="32">
        <v>1480129.0</v>
      </c>
      <c r="G2860" s="32">
        <v>100.0</v>
      </c>
      <c r="H2860" s="32" t="str">
        <f>VLOOKUP(D2860, Grid_Region_Mapping!$D$2:$F$5286, 3, FALSE)</f>
        <v>PJMD</v>
      </c>
      <c r="I2860" s="32">
        <v>5.0</v>
      </c>
      <c r="J2860" s="34" t="str">
        <f t="shared" si="1"/>
        <v>South</v>
      </c>
      <c r="K2860" s="35">
        <v>3.0</v>
      </c>
      <c r="L2860" s="35" t="s">
        <v>223</v>
      </c>
      <c r="M2860" s="36">
        <f>VLOOKUP(D2860, County_Data_CZones!$B$2:$F$3236, 2, FALSE)</f>
        <v>4</v>
      </c>
      <c r="N2860" s="37" t="str">
        <f>VLOOKUP(D2860, County_Data_CZones!$B$2:$F$3236, 5, FALSE)</f>
        <v>Mixed-Humid</v>
      </c>
    </row>
    <row r="2861" ht="15.75" customHeight="1">
      <c r="A2861" s="32" t="s">
        <v>1846</v>
      </c>
      <c r="B2861" s="32" t="s">
        <v>1828</v>
      </c>
      <c r="C2861" s="32" t="str">
        <f>vlookup(B2861,State_EMM_RowSums!$A$2:$B$52,2,FALSE)</f>
        <v>VA</v>
      </c>
      <c r="D2861" s="32">
        <v>51081.0</v>
      </c>
      <c r="E2861" s="33">
        <f>IF(NOT(ISBLANK(vlookup($D2861,Pop_Census_2023!$A$2:$E$3220,4,FALSE))),vlookup($D2861,Pop_Census_2023!$A$2:$E$3220,4,FALSE), vlookup($D2861,Pop_Census_2023!$A$2:$E$3220,5,FALSE))</f>
        <v>11133</v>
      </c>
      <c r="F2861" s="32">
        <v>1501122.0</v>
      </c>
      <c r="G2861" s="32">
        <v>99.0</v>
      </c>
      <c r="H2861" s="32" t="str">
        <f>VLOOKUP(D2861, Grid_Region_Mapping!$D$2:$F$5286, 3, FALSE)</f>
        <v>PJMD</v>
      </c>
      <c r="I2861" s="32">
        <v>5.0</v>
      </c>
      <c r="J2861" s="34" t="str">
        <f t="shared" si="1"/>
        <v>South</v>
      </c>
      <c r="K2861" s="35">
        <v>4.0</v>
      </c>
      <c r="L2861" s="35" t="s">
        <v>223</v>
      </c>
      <c r="M2861" s="36">
        <f>VLOOKUP(D2861, County_Data_CZones!$B$2:$F$3236, 2, FALSE)</f>
        <v>4</v>
      </c>
      <c r="N2861" s="37" t="str">
        <f>VLOOKUP(D2861, County_Data_CZones!$B$2:$F$3236, 5, FALSE)</f>
        <v>Mixed-Humid</v>
      </c>
    </row>
    <row r="2862" ht="15.75" customHeight="1">
      <c r="A2862" s="32" t="s">
        <v>1354</v>
      </c>
      <c r="B2862" s="32" t="s">
        <v>1828</v>
      </c>
      <c r="C2862" s="32" t="str">
        <f>vlookup(B2862,State_EMM_RowSums!$A$2:$B$52,2,FALSE)</f>
        <v>VA</v>
      </c>
      <c r="D2862" s="32">
        <v>51083.0</v>
      </c>
      <c r="E2862" s="33">
        <f>IF(NOT(ISBLANK(vlookup($D2862,Pop_Census_2023!$A$2:$E$3220,4,FALSE))),vlookup($D2862,Pop_Census_2023!$A$2:$E$3220,4,FALSE), vlookup($D2862,Pop_Census_2023!$A$2:$E$3220,5,FALSE))</f>
        <v>33432</v>
      </c>
      <c r="F2862" s="32">
        <v>1496705.0</v>
      </c>
      <c r="G2862" s="32">
        <v>99.0</v>
      </c>
      <c r="H2862" s="32" t="str">
        <f>VLOOKUP(D2862, Grid_Region_Mapping!$D$2:$F$5286, 3, FALSE)</f>
        <v>PJMD</v>
      </c>
      <c r="I2862" s="32">
        <v>5.0</v>
      </c>
      <c r="J2862" s="34" t="str">
        <f t="shared" si="1"/>
        <v>South</v>
      </c>
      <c r="K2862" s="35">
        <v>3.0</v>
      </c>
      <c r="L2862" s="35" t="s">
        <v>223</v>
      </c>
      <c r="M2862" s="36">
        <f>VLOOKUP(D2862, County_Data_CZones!$B$2:$F$3236, 2, FALSE)</f>
        <v>4</v>
      </c>
      <c r="N2862" s="37" t="str">
        <f>VLOOKUP(D2862, County_Data_CZones!$B$2:$F$3236, 5, FALSE)</f>
        <v>Mixed-Humid</v>
      </c>
    </row>
    <row r="2863" ht="15.75" customHeight="1">
      <c r="A2863" s="32" t="s">
        <v>1847</v>
      </c>
      <c r="B2863" s="32" t="s">
        <v>1828</v>
      </c>
      <c r="C2863" s="32" t="str">
        <f>vlookup(B2863,State_EMM_RowSums!$A$2:$B$52,2,FALSE)</f>
        <v>VA</v>
      </c>
      <c r="D2863" s="32">
        <v>51085.0</v>
      </c>
      <c r="E2863" s="33">
        <f>IF(NOT(ISBLANK(vlookup($D2863,Pop_Census_2023!$A$2:$E$3220,4,FALSE))),vlookup($D2863,Pop_Census_2023!$A$2:$E$3220,4,FALSE), vlookup($D2863,Pop_Census_2023!$A$2:$E$3220,5,FALSE))</f>
        <v>114148</v>
      </c>
      <c r="F2863" s="32">
        <v>1480132.0</v>
      </c>
      <c r="G2863" s="32">
        <v>99.0</v>
      </c>
      <c r="H2863" s="32" t="str">
        <f>VLOOKUP(D2863, Grid_Region_Mapping!$D$2:$F$5286, 3, FALSE)</f>
        <v>PJMD</v>
      </c>
      <c r="I2863" s="32">
        <v>5.0</v>
      </c>
      <c r="J2863" s="34" t="str">
        <f t="shared" si="1"/>
        <v>South</v>
      </c>
      <c r="K2863" s="35">
        <v>3.0</v>
      </c>
      <c r="L2863" s="35" t="s">
        <v>223</v>
      </c>
      <c r="M2863" s="36">
        <f>VLOOKUP(D2863, County_Data_CZones!$B$2:$F$3236, 2, FALSE)</f>
        <v>4</v>
      </c>
      <c r="N2863" s="37" t="str">
        <f>VLOOKUP(D2863, County_Data_CZones!$B$2:$F$3236, 5, FALSE)</f>
        <v>Mixed-Humid</v>
      </c>
    </row>
    <row r="2864" ht="15.75" customHeight="1">
      <c r="A2864" s="32" t="s">
        <v>1848</v>
      </c>
      <c r="B2864" s="32" t="s">
        <v>1828</v>
      </c>
      <c r="C2864" s="32" t="str">
        <f>vlookup(B2864,State_EMM_RowSums!$A$2:$B$52,2,FALSE)</f>
        <v>VA</v>
      </c>
      <c r="D2864" s="32">
        <v>51087.0</v>
      </c>
      <c r="E2864" s="33">
        <f>IF(NOT(ISBLANK(vlookup($D2864,Pop_Census_2023!$A$2:$E$3220,4,FALSE))),vlookup($D2864,Pop_Census_2023!$A$2:$E$3220,4,FALSE), vlookup($D2864,Pop_Census_2023!$A$2:$E$3220,5,FALSE))</f>
        <v>334760</v>
      </c>
      <c r="F2864" s="32">
        <v>1480133.0</v>
      </c>
      <c r="G2864" s="32">
        <v>99.0</v>
      </c>
      <c r="H2864" s="32" t="str">
        <f>VLOOKUP(D2864, Grid_Region_Mapping!$D$2:$F$5286, 3, FALSE)</f>
        <v>PJMD</v>
      </c>
      <c r="I2864" s="32">
        <v>5.0</v>
      </c>
      <c r="J2864" s="34" t="str">
        <f t="shared" si="1"/>
        <v>South</v>
      </c>
      <c r="K2864" s="35">
        <v>4.0</v>
      </c>
      <c r="L2864" s="35" t="s">
        <v>223</v>
      </c>
      <c r="M2864" s="36">
        <f>VLOOKUP(D2864, County_Data_CZones!$B$2:$F$3236, 2, FALSE)</f>
        <v>4</v>
      </c>
      <c r="N2864" s="37" t="str">
        <f>VLOOKUP(D2864, County_Data_CZones!$B$2:$F$3236, 5, FALSE)</f>
        <v>Mixed-Humid</v>
      </c>
    </row>
    <row r="2865" ht="15.75" customHeight="1">
      <c r="A2865" s="32" t="s">
        <v>136</v>
      </c>
      <c r="B2865" s="32" t="s">
        <v>1828</v>
      </c>
      <c r="C2865" s="32" t="str">
        <f>vlookup(B2865,State_EMM_RowSums!$A$2:$B$52,2,FALSE)</f>
        <v>VA</v>
      </c>
      <c r="D2865" s="32">
        <v>51089.0</v>
      </c>
      <c r="E2865" s="33">
        <f>IF(NOT(ISBLANK(vlookup($D2865,Pop_Census_2023!$A$2:$E$3220,4,FALSE))),vlookup($D2865,Pop_Census_2023!$A$2:$E$3220,4,FALSE), vlookup($D2865,Pop_Census_2023!$A$2:$E$3220,5,FALSE))</f>
        <v>49702</v>
      </c>
      <c r="F2865" s="32">
        <v>1502770.0</v>
      </c>
      <c r="G2865" s="32">
        <v>118.0</v>
      </c>
      <c r="H2865" s="32" t="str">
        <f>VLOOKUP(D2865, Grid_Region_Mapping!$D$2:$F$5286, 3, FALSE)</f>
        <v>PJMW</v>
      </c>
      <c r="I2865" s="32">
        <v>5.0</v>
      </c>
      <c r="J2865" s="34" t="str">
        <f t="shared" si="1"/>
        <v>South</v>
      </c>
      <c r="K2865" s="35">
        <v>3.0</v>
      </c>
      <c r="L2865" s="35" t="s">
        <v>223</v>
      </c>
      <c r="M2865" s="36">
        <f>VLOOKUP(D2865, County_Data_CZones!$B$2:$F$3236, 2, FALSE)</f>
        <v>4</v>
      </c>
      <c r="N2865" s="37" t="str">
        <f>VLOOKUP(D2865, County_Data_CZones!$B$2:$F$3236, 5, FALSE)</f>
        <v>Mixed-Humid</v>
      </c>
    </row>
    <row r="2866" ht="15.75" customHeight="1">
      <c r="A2866" s="32" t="s">
        <v>1436</v>
      </c>
      <c r="B2866" s="32" t="s">
        <v>1828</v>
      </c>
      <c r="C2866" s="32" t="str">
        <f>vlookup(B2866,State_EMM_RowSums!$A$2:$B$52,2,FALSE)</f>
        <v>VA</v>
      </c>
      <c r="D2866" s="32">
        <v>51091.0</v>
      </c>
      <c r="E2866" s="33">
        <f>IF(NOT(ISBLANK(vlookup($D2866,Pop_Census_2023!$A$2:$E$3220,4,FALSE))),vlookup($D2866,Pop_Census_2023!$A$2:$E$3220,4,FALSE), vlookup($D2866,Pop_Census_2023!$A$2:$E$3220,5,FALSE))</f>
        <v>2339</v>
      </c>
      <c r="F2866" s="32">
        <v>1673774.0</v>
      </c>
      <c r="G2866" s="32">
        <v>99.0</v>
      </c>
      <c r="H2866" s="32" t="str">
        <f>VLOOKUP(D2866, Grid_Region_Mapping!$D$2:$F$5286, 3, FALSE)</f>
        <v>PJMD</v>
      </c>
      <c r="I2866" s="32">
        <v>5.0</v>
      </c>
      <c r="J2866" s="34" t="str">
        <f t="shared" si="1"/>
        <v>South</v>
      </c>
      <c r="K2866" s="35">
        <v>3.0</v>
      </c>
      <c r="L2866" s="35" t="s">
        <v>223</v>
      </c>
      <c r="M2866" s="36">
        <f>VLOOKUP(D2866, County_Data_CZones!$B$2:$F$3236, 2, FALSE)</f>
        <v>4</v>
      </c>
      <c r="N2866" s="37" t="str">
        <f>VLOOKUP(D2866, County_Data_CZones!$B$2:$F$3236, 5, FALSE)</f>
        <v>Mixed-Humid</v>
      </c>
    </row>
    <row r="2867" ht="15.75" customHeight="1">
      <c r="A2867" s="32" t="s">
        <v>1849</v>
      </c>
      <c r="B2867" s="32" t="s">
        <v>1828</v>
      </c>
      <c r="C2867" s="32" t="str">
        <f>vlookup(B2867,State_EMM_RowSums!$A$2:$B$52,2,FALSE)</f>
        <v>VA</v>
      </c>
      <c r="D2867" s="32">
        <v>51093.0</v>
      </c>
      <c r="E2867" s="33">
        <f>IF(NOT(ISBLANK(vlookup($D2867,Pop_Census_2023!$A$2:$E$3220,4,FALSE))),vlookup($D2867,Pop_Census_2023!$A$2:$E$3220,4,FALSE), vlookup($D2867,Pop_Census_2023!$A$2:$E$3220,5,FALSE))</f>
        <v>40711</v>
      </c>
      <c r="F2867" s="32">
        <v>1702378.0</v>
      </c>
      <c r="G2867" s="32">
        <v>99.0</v>
      </c>
      <c r="H2867" s="32" t="str">
        <f>VLOOKUP(D2867, Grid_Region_Mapping!$D$2:$F$5286, 3, FALSE)</f>
        <v>PJMD</v>
      </c>
      <c r="I2867" s="32">
        <v>5.0</v>
      </c>
      <c r="J2867" s="34" t="str">
        <f t="shared" si="1"/>
        <v>South</v>
      </c>
      <c r="K2867" s="35">
        <v>4.0</v>
      </c>
      <c r="L2867" s="35" t="s">
        <v>223</v>
      </c>
      <c r="M2867" s="36">
        <f>VLOOKUP(D2867, County_Data_CZones!$B$2:$F$3236, 2, FALSE)</f>
        <v>4</v>
      </c>
      <c r="N2867" s="37" t="str">
        <f>VLOOKUP(D2867, County_Data_CZones!$B$2:$F$3236, 5, FALSE)</f>
        <v>Mixed-Humid</v>
      </c>
    </row>
    <row r="2868" ht="15.75" customHeight="1">
      <c r="A2868" s="32" t="s">
        <v>1850</v>
      </c>
      <c r="B2868" s="32" t="s">
        <v>1828</v>
      </c>
      <c r="C2868" s="32" t="str">
        <f>vlookup(B2868,State_EMM_RowSums!$A$2:$B$52,2,FALSE)</f>
        <v>VA</v>
      </c>
      <c r="D2868" s="32">
        <v>51095.0</v>
      </c>
      <c r="E2868" s="33">
        <f>IF(NOT(ISBLANK(vlookup($D2868,Pop_Census_2023!$A$2:$E$3220,4,FALSE))),vlookup($D2868,Pop_Census_2023!$A$2:$E$3220,4,FALSE), vlookup($D2868,Pop_Census_2023!$A$2:$E$3220,5,FALSE))</f>
        <v>82654</v>
      </c>
      <c r="F2868" s="32">
        <v>1480135.0</v>
      </c>
      <c r="G2868" s="32">
        <v>99.0</v>
      </c>
      <c r="H2868" s="32" t="str">
        <f>VLOOKUP(D2868, Grid_Region_Mapping!$D$2:$F$5286, 3, FALSE)</f>
        <v>PJMD</v>
      </c>
      <c r="I2868" s="32">
        <v>5.0</v>
      </c>
      <c r="J2868" s="34" t="str">
        <f t="shared" si="1"/>
        <v>South</v>
      </c>
      <c r="K2868" s="35">
        <v>4.0</v>
      </c>
      <c r="L2868" s="35" t="s">
        <v>223</v>
      </c>
      <c r="M2868" s="36">
        <f>VLOOKUP(D2868, County_Data_CZones!$B$2:$F$3236, 2, FALSE)</f>
        <v>4</v>
      </c>
      <c r="N2868" s="37" t="str">
        <f>VLOOKUP(D2868, County_Data_CZones!$B$2:$F$3236, 5, FALSE)</f>
        <v>Mixed-Humid</v>
      </c>
    </row>
    <row r="2869" ht="15.75" customHeight="1">
      <c r="A2869" s="32" t="s">
        <v>1851</v>
      </c>
      <c r="B2869" s="32" t="s">
        <v>1828</v>
      </c>
      <c r="C2869" s="32" t="str">
        <f>vlookup(B2869,State_EMM_RowSums!$A$2:$B$52,2,FALSE)</f>
        <v>VA</v>
      </c>
      <c r="D2869" s="32">
        <v>51097.0</v>
      </c>
      <c r="E2869" s="33">
        <f>IF(NOT(ISBLANK(vlookup($D2869,Pop_Census_2023!$A$2:$E$3220,4,FALSE))),vlookup($D2869,Pop_Census_2023!$A$2:$E$3220,4,FALSE), vlookup($D2869,Pop_Census_2023!$A$2:$E$3220,5,FALSE))</f>
        <v>6720</v>
      </c>
      <c r="F2869" s="32">
        <v>1480136.0</v>
      </c>
      <c r="G2869" s="32">
        <v>99.0</v>
      </c>
      <c r="H2869" s="32" t="str">
        <f>VLOOKUP(D2869, Grid_Region_Mapping!$D$2:$F$5286, 3, FALSE)</f>
        <v>PJMD</v>
      </c>
      <c r="I2869" s="32">
        <v>5.0</v>
      </c>
      <c r="J2869" s="34" t="str">
        <f t="shared" si="1"/>
        <v>South</v>
      </c>
      <c r="K2869" s="35">
        <v>3.0</v>
      </c>
      <c r="L2869" s="35" t="s">
        <v>223</v>
      </c>
      <c r="M2869" s="36">
        <f>VLOOKUP(D2869, County_Data_CZones!$B$2:$F$3236, 2, FALSE)</f>
        <v>4</v>
      </c>
      <c r="N2869" s="37" t="str">
        <f>VLOOKUP(D2869, County_Data_CZones!$B$2:$F$3236, 5, FALSE)</f>
        <v>Mixed-Humid</v>
      </c>
    </row>
    <row r="2870" ht="15.75" customHeight="1">
      <c r="A2870" s="32" t="s">
        <v>1852</v>
      </c>
      <c r="B2870" s="32" t="s">
        <v>1828</v>
      </c>
      <c r="C2870" s="32" t="str">
        <f>vlookup(B2870,State_EMM_RowSums!$A$2:$B$52,2,FALSE)</f>
        <v>VA</v>
      </c>
      <c r="D2870" s="32">
        <v>51099.0</v>
      </c>
      <c r="E2870" s="33">
        <f>IF(NOT(ISBLANK(vlookup($D2870,Pop_Census_2023!$A$2:$E$3220,4,FALSE))),vlookup($D2870,Pop_Census_2023!$A$2:$E$3220,4,FALSE), vlookup($D2870,Pop_Census_2023!$A$2:$E$3220,5,FALSE))</f>
        <v>28568</v>
      </c>
      <c r="F2870" s="32">
        <v>1480137.0</v>
      </c>
      <c r="G2870" s="32">
        <v>99.0</v>
      </c>
      <c r="H2870" s="32" t="str">
        <f>VLOOKUP(D2870, Grid_Region_Mapping!$D$2:$F$5286, 3, FALSE)</f>
        <v>PJMD</v>
      </c>
      <c r="I2870" s="32">
        <v>5.0</v>
      </c>
      <c r="J2870" s="34" t="str">
        <f t="shared" si="1"/>
        <v>South</v>
      </c>
      <c r="K2870" s="35">
        <v>3.0</v>
      </c>
      <c r="L2870" s="35" t="s">
        <v>223</v>
      </c>
      <c r="M2870" s="36">
        <f>VLOOKUP(D2870, County_Data_CZones!$B$2:$F$3236, 2, FALSE)</f>
        <v>4</v>
      </c>
      <c r="N2870" s="37" t="str">
        <f>VLOOKUP(D2870, County_Data_CZones!$B$2:$F$3236, 5, FALSE)</f>
        <v>Mixed-Humid</v>
      </c>
    </row>
    <row r="2871" ht="15.75" customHeight="1">
      <c r="A2871" s="32" t="s">
        <v>1853</v>
      </c>
      <c r="B2871" s="32" t="s">
        <v>1828</v>
      </c>
      <c r="C2871" s="32" t="str">
        <f>vlookup(B2871,State_EMM_RowSums!$A$2:$B$52,2,FALSE)</f>
        <v>VA</v>
      </c>
      <c r="D2871" s="32">
        <v>51101.0</v>
      </c>
      <c r="E2871" s="33">
        <f>IF(NOT(ISBLANK(vlookup($D2871,Pop_Census_2023!$A$2:$E$3220,4,FALSE))),vlookup($D2871,Pop_Census_2023!$A$2:$E$3220,4,FALSE), vlookup($D2871,Pop_Census_2023!$A$2:$E$3220,5,FALSE))</f>
        <v>19030</v>
      </c>
      <c r="F2871" s="32">
        <v>1480138.0</v>
      </c>
      <c r="G2871" s="32">
        <v>99.0</v>
      </c>
      <c r="H2871" s="32" t="str">
        <f>VLOOKUP(D2871, Grid_Region_Mapping!$D$2:$F$5286, 3, FALSE)</f>
        <v>PJMD</v>
      </c>
      <c r="I2871" s="32">
        <v>5.0</v>
      </c>
      <c r="J2871" s="34" t="str">
        <f t="shared" si="1"/>
        <v>South</v>
      </c>
      <c r="K2871" s="35">
        <v>3.0</v>
      </c>
      <c r="L2871" s="35" t="s">
        <v>223</v>
      </c>
      <c r="M2871" s="36">
        <f>VLOOKUP(D2871, County_Data_CZones!$B$2:$F$3236, 2, FALSE)</f>
        <v>4</v>
      </c>
      <c r="N2871" s="37" t="str">
        <f>VLOOKUP(D2871, County_Data_CZones!$B$2:$F$3236, 5, FALSE)</f>
        <v>Mixed-Humid</v>
      </c>
    </row>
    <row r="2872" ht="15.75" customHeight="1">
      <c r="A2872" s="32" t="s">
        <v>1224</v>
      </c>
      <c r="B2872" s="32" t="s">
        <v>1828</v>
      </c>
      <c r="C2872" s="32" t="str">
        <f>vlookup(B2872,State_EMM_RowSums!$A$2:$B$52,2,FALSE)</f>
        <v>VA</v>
      </c>
      <c r="D2872" s="32">
        <v>51103.0</v>
      </c>
      <c r="E2872" s="33">
        <f>IF(NOT(ISBLANK(vlookup($D2872,Pop_Census_2023!$A$2:$E$3220,4,FALSE))),vlookup($D2872,Pop_Census_2023!$A$2:$E$3220,4,FALSE), vlookup($D2872,Pop_Census_2023!$A$2:$E$3220,5,FALSE))</f>
        <v>10859</v>
      </c>
      <c r="F2872" s="32">
        <v>1480139.0</v>
      </c>
      <c r="G2872" s="32">
        <v>99.0</v>
      </c>
      <c r="H2872" s="32" t="str">
        <f>VLOOKUP(D2872, Grid_Region_Mapping!$D$2:$F$5286, 3, FALSE)</f>
        <v>PJMD</v>
      </c>
      <c r="I2872" s="32">
        <v>5.0</v>
      </c>
      <c r="J2872" s="34" t="str">
        <f t="shared" si="1"/>
        <v>South</v>
      </c>
      <c r="K2872" s="35">
        <v>4.0</v>
      </c>
      <c r="L2872" s="35" t="s">
        <v>223</v>
      </c>
      <c r="M2872" s="36">
        <f>VLOOKUP(D2872, County_Data_CZones!$B$2:$F$3236, 2, FALSE)</f>
        <v>4</v>
      </c>
      <c r="N2872" s="37" t="str">
        <f>VLOOKUP(D2872, County_Data_CZones!$B$2:$F$3236, 5, FALSE)</f>
        <v>Mixed-Humid</v>
      </c>
    </row>
    <row r="2873" ht="15.75" customHeight="1">
      <c r="A2873" s="32" t="s">
        <v>143</v>
      </c>
      <c r="B2873" s="32" t="s">
        <v>1828</v>
      </c>
      <c r="C2873" s="32" t="str">
        <f>vlookup(B2873,State_EMM_RowSums!$A$2:$B$52,2,FALSE)</f>
        <v>VA</v>
      </c>
      <c r="D2873" s="32">
        <v>51105.0</v>
      </c>
      <c r="E2873" s="33">
        <f>IF(NOT(ISBLANK(vlookup($D2873,Pop_Census_2023!$A$2:$E$3220,4,FALSE))),vlookup($D2873,Pop_Census_2023!$A$2:$E$3220,4,FALSE), vlookup($D2873,Pop_Census_2023!$A$2:$E$3220,5,FALSE))</f>
        <v>21745</v>
      </c>
      <c r="F2873" s="32">
        <v>1496538.0</v>
      </c>
      <c r="G2873" s="32">
        <v>118.0</v>
      </c>
      <c r="H2873" s="32" t="str">
        <f>VLOOKUP(D2873, Grid_Region_Mapping!$D$2:$F$5286, 3, FALSE)</f>
        <v>SRCE</v>
      </c>
      <c r="I2873" s="32">
        <v>5.0</v>
      </c>
      <c r="J2873" s="34" t="str">
        <f t="shared" si="1"/>
        <v>South</v>
      </c>
      <c r="K2873" s="35">
        <v>3.0</v>
      </c>
      <c r="L2873" s="35" t="s">
        <v>223</v>
      </c>
      <c r="M2873" s="36">
        <f>VLOOKUP(D2873, County_Data_CZones!$B$2:$F$3236, 2, FALSE)</f>
        <v>4</v>
      </c>
      <c r="N2873" s="37" t="str">
        <f>VLOOKUP(D2873, County_Data_CZones!$B$2:$F$3236, 5, FALSE)</f>
        <v>Mixed-Humid</v>
      </c>
    </row>
    <row r="2874" ht="15.75" customHeight="1">
      <c r="A2874" s="32" t="s">
        <v>1854</v>
      </c>
      <c r="B2874" s="32" t="s">
        <v>1828</v>
      </c>
      <c r="C2874" s="32" t="str">
        <f>vlookup(B2874,State_EMM_RowSums!$A$2:$B$52,2,FALSE)</f>
        <v>VA</v>
      </c>
      <c r="D2874" s="32">
        <v>51107.0</v>
      </c>
      <c r="E2874" s="33">
        <f>IF(NOT(ISBLANK(vlookup($D2874,Pop_Census_2023!$A$2:$E$3220,4,FALSE))),vlookup($D2874,Pop_Census_2023!$A$2:$E$3220,4,FALSE), vlookup($D2874,Pop_Census_2023!$A$2:$E$3220,5,FALSE))</f>
        <v>436347</v>
      </c>
      <c r="F2874" s="32">
        <v>1480141.0</v>
      </c>
      <c r="G2874" s="32">
        <v>99.0</v>
      </c>
      <c r="H2874" s="32" t="str">
        <f>VLOOKUP(D2874, Grid_Region_Mapping!$D$2:$F$5286, 3, FALSE)</f>
        <v>PJMD</v>
      </c>
      <c r="I2874" s="32">
        <v>5.0</v>
      </c>
      <c r="J2874" s="34" t="str">
        <f t="shared" si="1"/>
        <v>South</v>
      </c>
      <c r="K2874" s="35">
        <v>3.0</v>
      </c>
      <c r="L2874" s="35" t="s">
        <v>223</v>
      </c>
      <c r="M2874" s="36">
        <f>VLOOKUP(D2874, County_Data_CZones!$B$2:$F$3236, 2, FALSE)</f>
        <v>4</v>
      </c>
      <c r="N2874" s="37" t="str">
        <f>VLOOKUP(D2874, County_Data_CZones!$B$2:$F$3236, 5, FALSE)</f>
        <v>Mixed-Humid</v>
      </c>
    </row>
    <row r="2875" ht="15.75" customHeight="1">
      <c r="A2875" s="32" t="s">
        <v>727</v>
      </c>
      <c r="B2875" s="32" t="s">
        <v>1828</v>
      </c>
      <c r="C2875" s="32" t="str">
        <f>vlookup(B2875,State_EMM_RowSums!$A$2:$B$52,2,FALSE)</f>
        <v>VA</v>
      </c>
      <c r="D2875" s="32">
        <v>51109.0</v>
      </c>
      <c r="E2875" s="33">
        <f>IF(NOT(ISBLANK(vlookup($D2875,Pop_Census_2023!$A$2:$E$3220,4,FALSE))),vlookup($D2875,Pop_Census_2023!$A$2:$E$3220,4,FALSE), vlookup($D2875,Pop_Census_2023!$A$2:$E$3220,5,FALSE))</f>
        <v>41037</v>
      </c>
      <c r="F2875" s="32">
        <v>1494707.0</v>
      </c>
      <c r="G2875" s="32">
        <v>99.0</v>
      </c>
      <c r="H2875" s="32" t="str">
        <f>VLOOKUP(D2875, Grid_Region_Mapping!$D$2:$F$5286, 3, FALSE)</f>
        <v>PJMD</v>
      </c>
      <c r="I2875" s="32">
        <v>5.0</v>
      </c>
      <c r="J2875" s="34" t="str">
        <f t="shared" si="1"/>
        <v>South</v>
      </c>
      <c r="K2875" s="35">
        <v>3.0</v>
      </c>
      <c r="L2875" s="35" t="s">
        <v>223</v>
      </c>
      <c r="M2875" s="36">
        <f>VLOOKUP(D2875, County_Data_CZones!$B$2:$F$3236, 2, FALSE)</f>
        <v>4</v>
      </c>
      <c r="N2875" s="37" t="str">
        <f>VLOOKUP(D2875, County_Data_CZones!$B$2:$F$3236, 5, FALSE)</f>
        <v>Mixed-Humid</v>
      </c>
    </row>
    <row r="2876" ht="15.75" customHeight="1">
      <c r="A2876" s="32" t="s">
        <v>1855</v>
      </c>
      <c r="B2876" s="32" t="s">
        <v>1828</v>
      </c>
      <c r="C2876" s="32" t="str">
        <f>vlookup(B2876,State_EMM_RowSums!$A$2:$B$52,2,FALSE)</f>
        <v>VA</v>
      </c>
      <c r="D2876" s="32">
        <v>51111.0</v>
      </c>
      <c r="E2876" s="33">
        <f>IF(NOT(ISBLANK(vlookup($D2876,Pop_Census_2023!$A$2:$E$3220,4,FALSE))),vlookup($D2876,Pop_Census_2023!$A$2:$E$3220,4,FALSE), vlookup($D2876,Pop_Census_2023!$A$2:$E$3220,5,FALSE))</f>
        <v>12038</v>
      </c>
      <c r="F2876" s="32">
        <v>1492239.0</v>
      </c>
      <c r="G2876" s="32">
        <v>99.0</v>
      </c>
      <c r="H2876" s="32" t="str">
        <f>VLOOKUP(D2876, Grid_Region_Mapping!$D$2:$F$5286, 3, FALSE)</f>
        <v>PJMD</v>
      </c>
      <c r="I2876" s="32">
        <v>5.0</v>
      </c>
      <c r="J2876" s="34" t="str">
        <f t="shared" si="1"/>
        <v>South</v>
      </c>
      <c r="K2876" s="35">
        <v>3.0</v>
      </c>
      <c r="L2876" s="35" t="s">
        <v>223</v>
      </c>
      <c r="M2876" s="36">
        <f>VLOOKUP(D2876, County_Data_CZones!$B$2:$F$3236, 2, FALSE)</f>
        <v>4</v>
      </c>
      <c r="N2876" s="37" t="str">
        <f>VLOOKUP(D2876, County_Data_CZones!$B$2:$F$3236, 5, FALSE)</f>
        <v>Mixed-Humid</v>
      </c>
    </row>
    <row r="2877" ht="15.75" customHeight="1">
      <c r="A2877" s="32" t="s">
        <v>147</v>
      </c>
      <c r="B2877" s="32" t="s">
        <v>1828</v>
      </c>
      <c r="C2877" s="32" t="str">
        <f>vlookup(B2877,State_EMM_RowSums!$A$2:$B$52,2,FALSE)</f>
        <v>VA</v>
      </c>
      <c r="D2877" s="32">
        <v>51113.0</v>
      </c>
      <c r="E2877" s="33">
        <f>IF(NOT(ISBLANK(vlookup($D2877,Pop_Census_2023!$A$2:$E$3220,4,FALSE))),vlookup($D2877,Pop_Census_2023!$A$2:$E$3220,4,FALSE), vlookup($D2877,Pop_Census_2023!$A$2:$E$3220,5,FALSE))</f>
        <v>14128</v>
      </c>
      <c r="F2877" s="32">
        <v>1494590.0</v>
      </c>
      <c r="G2877" s="32">
        <v>100.0</v>
      </c>
      <c r="H2877" s="32" t="str">
        <f>VLOOKUP(D2877, Grid_Region_Mapping!$D$2:$F$5286, 3, FALSE)</f>
        <v>PJMD</v>
      </c>
      <c r="I2877" s="32">
        <v>5.0</v>
      </c>
      <c r="J2877" s="34" t="str">
        <f t="shared" si="1"/>
        <v>South</v>
      </c>
      <c r="K2877" s="35">
        <v>3.0</v>
      </c>
      <c r="L2877" s="35" t="s">
        <v>223</v>
      </c>
      <c r="M2877" s="36">
        <f>VLOOKUP(D2877, County_Data_CZones!$B$2:$F$3236, 2, FALSE)</f>
        <v>4</v>
      </c>
      <c r="N2877" s="37" t="str">
        <f>VLOOKUP(D2877, County_Data_CZones!$B$2:$F$3236, 5, FALSE)</f>
        <v>Mixed-Humid</v>
      </c>
    </row>
    <row r="2878" ht="15.75" customHeight="1">
      <c r="A2878" s="32" t="s">
        <v>1856</v>
      </c>
      <c r="B2878" s="32" t="s">
        <v>1828</v>
      </c>
      <c r="C2878" s="32" t="str">
        <f>vlookup(B2878,State_EMM_RowSums!$A$2:$B$52,2,FALSE)</f>
        <v>VA</v>
      </c>
      <c r="D2878" s="32">
        <v>51115.0</v>
      </c>
      <c r="E2878" s="33">
        <f>IF(NOT(ISBLANK(vlookup($D2878,Pop_Census_2023!$A$2:$E$3220,4,FALSE))),vlookup($D2878,Pop_Census_2023!$A$2:$E$3220,4,FALSE), vlookup($D2878,Pop_Census_2023!$A$2:$E$3220,5,FALSE))</f>
        <v>8514</v>
      </c>
      <c r="F2878" s="32">
        <v>1480145.0</v>
      </c>
      <c r="G2878" s="32">
        <v>99.0</v>
      </c>
      <c r="H2878" s="32" t="str">
        <f>VLOOKUP(D2878, Grid_Region_Mapping!$D$2:$F$5286, 3, FALSE)</f>
        <v>PJMD</v>
      </c>
      <c r="I2878" s="32">
        <v>5.0</v>
      </c>
      <c r="J2878" s="34" t="str">
        <f t="shared" si="1"/>
        <v>South</v>
      </c>
      <c r="K2878" s="35">
        <v>4.0</v>
      </c>
      <c r="L2878" s="35" t="s">
        <v>223</v>
      </c>
      <c r="M2878" s="36">
        <f>VLOOKUP(D2878, County_Data_CZones!$B$2:$F$3236, 2, FALSE)</f>
        <v>4</v>
      </c>
      <c r="N2878" s="37" t="str">
        <f>VLOOKUP(D2878, County_Data_CZones!$B$2:$F$3236, 5, FALSE)</f>
        <v>Mixed-Humid</v>
      </c>
    </row>
    <row r="2879" ht="15.75" customHeight="1">
      <c r="A2879" s="32" t="s">
        <v>1364</v>
      </c>
      <c r="B2879" s="32" t="s">
        <v>1828</v>
      </c>
      <c r="C2879" s="32" t="str">
        <f>vlookup(B2879,State_EMM_RowSums!$A$2:$B$52,2,FALSE)</f>
        <v>VA</v>
      </c>
      <c r="D2879" s="32">
        <v>51117.0</v>
      </c>
      <c r="E2879" s="33">
        <f>IF(NOT(ISBLANK(vlookup($D2879,Pop_Census_2023!$A$2:$E$3220,4,FALSE))),vlookup($D2879,Pop_Census_2023!$A$2:$E$3220,4,FALSE), vlookup($D2879,Pop_Census_2023!$A$2:$E$3220,5,FALSE))</f>
        <v>30648</v>
      </c>
      <c r="F2879" s="32">
        <v>1500747.0</v>
      </c>
      <c r="G2879" s="32">
        <v>99.0</v>
      </c>
      <c r="H2879" s="32" t="str">
        <f>VLOOKUP(D2879, Grid_Region_Mapping!$D$2:$F$5286, 3, FALSE)</f>
        <v>PJMD</v>
      </c>
      <c r="I2879" s="32">
        <v>5.0</v>
      </c>
      <c r="J2879" s="34" t="str">
        <f t="shared" si="1"/>
        <v>South</v>
      </c>
      <c r="K2879" s="35">
        <v>3.0</v>
      </c>
      <c r="L2879" s="35" t="s">
        <v>223</v>
      </c>
      <c r="M2879" s="36">
        <f>VLOOKUP(D2879, County_Data_CZones!$B$2:$F$3236, 2, FALSE)</f>
        <v>4</v>
      </c>
      <c r="N2879" s="37" t="str">
        <f>VLOOKUP(D2879, County_Data_CZones!$B$2:$F$3236, 5, FALSE)</f>
        <v>Mixed-Humid</v>
      </c>
    </row>
    <row r="2880" ht="15.75" customHeight="1">
      <c r="A2880" s="32" t="s">
        <v>399</v>
      </c>
      <c r="B2880" s="32" t="s">
        <v>1828</v>
      </c>
      <c r="C2880" s="32" t="str">
        <f>vlookup(B2880,State_EMM_RowSums!$A$2:$B$52,2,FALSE)</f>
        <v>VA</v>
      </c>
      <c r="D2880" s="32">
        <v>51119.0</v>
      </c>
      <c r="E2880" s="33">
        <f>IF(NOT(ISBLANK(vlookup($D2880,Pop_Census_2023!$A$2:$E$3220,4,FALSE))),vlookup($D2880,Pop_Census_2023!$A$2:$E$3220,4,FALSE), vlookup($D2880,Pop_Census_2023!$A$2:$E$3220,5,FALSE))</f>
        <v>10924</v>
      </c>
      <c r="F2880" s="32">
        <v>1480147.0</v>
      </c>
      <c r="G2880" s="32">
        <v>99.0</v>
      </c>
      <c r="H2880" s="32" t="str">
        <f>VLOOKUP(D2880, Grid_Region_Mapping!$D$2:$F$5286, 3, FALSE)</f>
        <v>PJMD</v>
      </c>
      <c r="I2880" s="32">
        <v>5.0</v>
      </c>
      <c r="J2880" s="34" t="str">
        <f t="shared" si="1"/>
        <v>South</v>
      </c>
      <c r="K2880" s="35">
        <v>4.0</v>
      </c>
      <c r="L2880" s="35" t="s">
        <v>223</v>
      </c>
      <c r="M2880" s="36">
        <f>VLOOKUP(D2880, County_Data_CZones!$B$2:$F$3236, 2, FALSE)</f>
        <v>4</v>
      </c>
      <c r="N2880" s="37" t="str">
        <f>VLOOKUP(D2880, County_Data_CZones!$B$2:$F$3236, 5, FALSE)</f>
        <v>Mixed-Humid</v>
      </c>
    </row>
    <row r="2881" ht="15.75" customHeight="1">
      <c r="A2881" s="32" t="s">
        <v>153</v>
      </c>
      <c r="B2881" s="32" t="s">
        <v>1828</v>
      </c>
      <c r="C2881" s="32" t="str">
        <f>vlookup(B2881,State_EMM_RowSums!$A$2:$B$52,2,FALSE)</f>
        <v>VA</v>
      </c>
      <c r="D2881" s="32">
        <v>51121.0</v>
      </c>
      <c r="E2881" s="33">
        <f>IF(NOT(ISBLANK(vlookup($D2881,Pop_Census_2023!$A$2:$E$3220,4,FALSE))),vlookup($D2881,Pop_Census_2023!$A$2:$E$3220,4,FALSE), vlookup($D2881,Pop_Census_2023!$A$2:$E$3220,5,FALSE))</f>
        <v>98666</v>
      </c>
      <c r="F2881" s="32">
        <v>1674630.0</v>
      </c>
      <c r="G2881" s="32">
        <v>118.0</v>
      </c>
      <c r="H2881" s="32" t="str">
        <f>VLOOKUP(D2881, Grid_Region_Mapping!$D$2:$F$5286, 3, FALSE)</f>
        <v>PJMW</v>
      </c>
      <c r="I2881" s="32">
        <v>5.0</v>
      </c>
      <c r="J2881" s="34" t="str">
        <f t="shared" si="1"/>
        <v>South</v>
      </c>
      <c r="K2881" s="35">
        <v>3.0</v>
      </c>
      <c r="L2881" s="35" t="s">
        <v>223</v>
      </c>
      <c r="M2881" s="36">
        <f>VLOOKUP(D2881, County_Data_CZones!$B$2:$F$3236, 2, FALSE)</f>
        <v>4</v>
      </c>
      <c r="N2881" s="37" t="str">
        <f>VLOOKUP(D2881, County_Data_CZones!$B$2:$F$3236, 5, FALSE)</f>
        <v>Mixed-Humid</v>
      </c>
    </row>
    <row r="2882" ht="15.75" customHeight="1">
      <c r="A2882" s="32" t="s">
        <v>860</v>
      </c>
      <c r="B2882" s="32" t="s">
        <v>1828</v>
      </c>
      <c r="C2882" s="32" t="str">
        <f>vlookup(B2882,State_EMM_RowSums!$A$2:$B$52,2,FALSE)</f>
        <v>VA</v>
      </c>
      <c r="D2882" s="32">
        <v>51125.0</v>
      </c>
      <c r="E2882" s="33">
        <f>IF(NOT(ISBLANK(vlookup($D2882,Pop_Census_2023!$A$2:$E$3220,4,FALSE))),vlookup($D2882,Pop_Census_2023!$A$2:$E$3220,4,FALSE), vlookup($D2882,Pop_Census_2023!$A$2:$E$3220,5,FALSE))</f>
        <v>14705</v>
      </c>
      <c r="F2882" s="32">
        <v>1500936.0</v>
      </c>
      <c r="G2882" s="32">
        <v>118.0</v>
      </c>
      <c r="H2882" s="32" t="str">
        <f>VLOOKUP(D2882, Grid_Region_Mapping!$D$2:$F$5286, 3, FALSE)</f>
        <v>PJMD</v>
      </c>
      <c r="I2882" s="32">
        <v>5.0</v>
      </c>
      <c r="J2882" s="34" t="str">
        <f t="shared" si="1"/>
        <v>South</v>
      </c>
      <c r="K2882" s="35">
        <v>3.0</v>
      </c>
      <c r="L2882" s="35" t="s">
        <v>223</v>
      </c>
      <c r="M2882" s="36">
        <f>VLOOKUP(D2882, County_Data_CZones!$B$2:$F$3236, 2, FALSE)</f>
        <v>4</v>
      </c>
      <c r="N2882" s="37" t="str">
        <f>VLOOKUP(D2882, County_Data_CZones!$B$2:$F$3236, 5, FALSE)</f>
        <v>Mixed-Humid</v>
      </c>
    </row>
    <row r="2883" ht="15.75" customHeight="1">
      <c r="A2883" s="32" t="s">
        <v>1857</v>
      </c>
      <c r="B2883" s="32" t="s">
        <v>1828</v>
      </c>
      <c r="C2883" s="32" t="str">
        <f>vlookup(B2883,State_EMM_RowSums!$A$2:$B$52,2,FALSE)</f>
        <v>VA</v>
      </c>
      <c r="D2883" s="32">
        <v>51127.0</v>
      </c>
      <c r="E2883" s="33">
        <f>IF(NOT(ISBLANK(vlookup($D2883,Pop_Census_2023!$A$2:$E$3220,4,FALSE))),vlookup($D2883,Pop_Census_2023!$A$2:$E$3220,4,FALSE), vlookup($D2883,Pop_Census_2023!$A$2:$E$3220,5,FALSE))</f>
        <v>26134</v>
      </c>
      <c r="F2883" s="32">
        <v>1480150.0</v>
      </c>
      <c r="G2883" s="32">
        <v>99.0</v>
      </c>
      <c r="H2883" s="32" t="str">
        <f>VLOOKUP(D2883, Grid_Region_Mapping!$D$2:$F$5286, 3, FALSE)</f>
        <v>PJMD</v>
      </c>
      <c r="I2883" s="32">
        <v>5.0</v>
      </c>
      <c r="J2883" s="34" t="str">
        <f t="shared" si="1"/>
        <v>South</v>
      </c>
      <c r="K2883" s="35">
        <v>4.0</v>
      </c>
      <c r="L2883" s="35" t="s">
        <v>223</v>
      </c>
      <c r="M2883" s="36">
        <f>VLOOKUP(D2883, County_Data_CZones!$B$2:$F$3236, 2, FALSE)</f>
        <v>4</v>
      </c>
      <c r="N2883" s="37" t="str">
        <f>VLOOKUP(D2883, County_Data_CZones!$B$2:$F$3236, 5, FALSE)</f>
        <v>Mixed-Humid</v>
      </c>
    </row>
    <row r="2884" ht="15.75" customHeight="1">
      <c r="A2884" s="32" t="s">
        <v>1368</v>
      </c>
      <c r="B2884" s="32" t="s">
        <v>1828</v>
      </c>
      <c r="C2884" s="32" t="str">
        <f>vlookup(B2884,State_EMM_RowSums!$A$2:$B$52,2,FALSE)</f>
        <v>VA</v>
      </c>
      <c r="D2884" s="32">
        <v>51131.0</v>
      </c>
      <c r="E2884" s="33">
        <f>IF(NOT(ISBLANK(vlookup($D2884,Pop_Census_2023!$A$2:$E$3220,4,FALSE))),vlookup($D2884,Pop_Census_2023!$A$2:$E$3220,4,FALSE), vlookup($D2884,Pop_Census_2023!$A$2:$E$3220,5,FALSE))</f>
        <v>12021</v>
      </c>
      <c r="F2884" s="32">
        <v>1480151.0</v>
      </c>
      <c r="G2884" s="32">
        <v>124.0</v>
      </c>
      <c r="H2884" s="32" t="str">
        <f>VLOOKUP(D2884, Grid_Region_Mapping!$D$2:$F$5286, 3, FALSE)</f>
        <v>PJME</v>
      </c>
      <c r="I2884" s="32">
        <v>5.0</v>
      </c>
      <c r="J2884" s="34" t="str">
        <f t="shared" si="1"/>
        <v>South</v>
      </c>
      <c r="K2884" s="35">
        <v>4.0</v>
      </c>
      <c r="L2884" s="35" t="s">
        <v>223</v>
      </c>
      <c r="M2884" s="36">
        <f>VLOOKUP(D2884, County_Data_CZones!$B$2:$F$3236, 2, FALSE)</f>
        <v>4</v>
      </c>
      <c r="N2884" s="37" t="str">
        <f>VLOOKUP(D2884, County_Data_CZones!$B$2:$F$3236, 5, FALSE)</f>
        <v>Mixed-Humid</v>
      </c>
    </row>
    <row r="2885" ht="15.75" customHeight="1">
      <c r="A2885" s="32" t="s">
        <v>1538</v>
      </c>
      <c r="B2885" s="32" t="s">
        <v>1828</v>
      </c>
      <c r="C2885" s="32" t="str">
        <f>vlookup(B2885,State_EMM_RowSums!$A$2:$B$52,2,FALSE)</f>
        <v>VA</v>
      </c>
      <c r="D2885" s="32">
        <v>51133.0</v>
      </c>
      <c r="E2885" s="33">
        <f>IF(NOT(ISBLANK(vlookup($D2885,Pop_Census_2023!$A$2:$E$3220,4,FALSE))),vlookup($D2885,Pop_Census_2023!$A$2:$E$3220,4,FALSE), vlookup($D2885,Pop_Census_2023!$A$2:$E$3220,5,FALSE))</f>
        <v>12391</v>
      </c>
      <c r="F2885" s="32">
        <v>1480152.0</v>
      </c>
      <c r="G2885" s="32">
        <v>99.0</v>
      </c>
      <c r="H2885" s="32" t="str">
        <f>VLOOKUP(D2885, Grid_Region_Mapping!$D$2:$F$5286, 3, FALSE)</f>
        <v>PJMD</v>
      </c>
      <c r="I2885" s="32">
        <v>5.0</v>
      </c>
      <c r="J2885" s="34" t="str">
        <f t="shared" si="1"/>
        <v>South</v>
      </c>
      <c r="K2885" s="35">
        <v>4.0</v>
      </c>
      <c r="L2885" s="35" t="s">
        <v>223</v>
      </c>
      <c r="M2885" s="36">
        <f>VLOOKUP(D2885, County_Data_CZones!$B$2:$F$3236, 2, FALSE)</f>
        <v>4</v>
      </c>
      <c r="N2885" s="37" t="str">
        <f>VLOOKUP(D2885, County_Data_CZones!$B$2:$F$3236, 5, FALSE)</f>
        <v>Mixed-Humid</v>
      </c>
    </row>
    <row r="2886" ht="15.75" customHeight="1">
      <c r="A2886" s="32" t="s">
        <v>1858</v>
      </c>
      <c r="B2886" s="32" t="s">
        <v>1828</v>
      </c>
      <c r="C2886" s="32" t="str">
        <f>vlookup(B2886,State_EMM_RowSums!$A$2:$B$52,2,FALSE)</f>
        <v>VA</v>
      </c>
      <c r="D2886" s="32">
        <v>51135.0</v>
      </c>
      <c r="E2886" s="33">
        <f>IF(NOT(ISBLANK(vlookup($D2886,Pop_Census_2023!$A$2:$E$3220,4,FALSE))),vlookup($D2886,Pop_Census_2023!$A$2:$E$3220,4,FALSE), vlookup($D2886,Pop_Census_2023!$A$2:$E$3220,5,FALSE))</f>
        <v>15566</v>
      </c>
      <c r="F2886" s="32">
        <v>1493928.0</v>
      </c>
      <c r="G2886" s="32">
        <v>99.0</v>
      </c>
      <c r="H2886" s="32" t="str">
        <f>VLOOKUP(D2886, Grid_Region_Mapping!$D$2:$F$5286, 3, FALSE)</f>
        <v>PJMD</v>
      </c>
      <c r="I2886" s="32">
        <v>5.0</v>
      </c>
      <c r="J2886" s="34" t="str">
        <f t="shared" si="1"/>
        <v>South</v>
      </c>
      <c r="K2886" s="35">
        <v>3.0</v>
      </c>
      <c r="L2886" s="35" t="s">
        <v>223</v>
      </c>
      <c r="M2886" s="36">
        <f>VLOOKUP(D2886, County_Data_CZones!$B$2:$F$3236, 2, FALSE)</f>
        <v>4</v>
      </c>
      <c r="N2886" s="37" t="str">
        <f>VLOOKUP(D2886, County_Data_CZones!$B$2:$F$3236, 5, FALSE)</f>
        <v>Mixed-Humid</v>
      </c>
    </row>
    <row r="2887" ht="15.75" customHeight="1">
      <c r="A2887" s="32" t="s">
        <v>310</v>
      </c>
      <c r="B2887" s="32" t="s">
        <v>1828</v>
      </c>
      <c r="C2887" s="32" t="str">
        <f>vlookup(B2887,State_EMM_RowSums!$A$2:$B$52,2,FALSE)</f>
        <v>VA</v>
      </c>
      <c r="D2887" s="32">
        <v>51137.0</v>
      </c>
      <c r="E2887" s="33">
        <f>IF(NOT(ISBLANK(vlookup($D2887,Pop_Census_2023!$A$2:$E$3220,4,FALSE))),vlookup($D2887,Pop_Census_2023!$A$2:$E$3220,4,FALSE), vlookup($D2887,Pop_Census_2023!$A$2:$E$3220,5,FALSE))</f>
        <v>38574</v>
      </c>
      <c r="F2887" s="32">
        <v>1494761.0</v>
      </c>
      <c r="G2887" s="32">
        <v>99.0</v>
      </c>
      <c r="H2887" s="32" t="str">
        <f>VLOOKUP(D2887, Grid_Region_Mapping!$D$2:$F$5286, 3, FALSE)</f>
        <v>PJMD</v>
      </c>
      <c r="I2887" s="32">
        <v>5.0</v>
      </c>
      <c r="J2887" s="34" t="str">
        <f t="shared" si="1"/>
        <v>South</v>
      </c>
      <c r="K2887" s="35">
        <v>3.0</v>
      </c>
      <c r="L2887" s="35" t="s">
        <v>223</v>
      </c>
      <c r="M2887" s="36">
        <f>VLOOKUP(D2887, County_Data_CZones!$B$2:$F$3236, 2, FALSE)</f>
        <v>4</v>
      </c>
      <c r="N2887" s="37" t="str">
        <f>VLOOKUP(D2887, County_Data_CZones!$B$2:$F$3236, 5, FALSE)</f>
        <v>Mixed-Humid</v>
      </c>
    </row>
    <row r="2888" ht="15.75" customHeight="1">
      <c r="A2888" s="32" t="s">
        <v>735</v>
      </c>
      <c r="B2888" s="32" t="s">
        <v>1828</v>
      </c>
      <c r="C2888" s="32" t="str">
        <f>vlookup(B2888,State_EMM_RowSums!$A$2:$B$52,2,FALSE)</f>
        <v>VA</v>
      </c>
      <c r="D2888" s="32">
        <v>51139.0</v>
      </c>
      <c r="E2888" s="33">
        <f>IF(NOT(ISBLANK(vlookup($D2888,Pop_Census_2023!$A$2:$E$3220,4,FALSE))),vlookup($D2888,Pop_Census_2023!$A$2:$E$3220,4,FALSE), vlookup($D2888,Pop_Census_2023!$A$2:$E$3220,5,FALSE))</f>
        <v>23741</v>
      </c>
      <c r="F2888" s="32">
        <v>1500440.0</v>
      </c>
      <c r="G2888" s="32">
        <v>100.0</v>
      </c>
      <c r="H2888" s="32" t="str">
        <f>VLOOKUP(D2888, Grid_Region_Mapping!$D$2:$F$5286, 3, FALSE)</f>
        <v>PJMD</v>
      </c>
      <c r="I2888" s="32">
        <v>5.0</v>
      </c>
      <c r="J2888" s="34" t="str">
        <f t="shared" si="1"/>
        <v>South</v>
      </c>
      <c r="K2888" s="35">
        <v>3.0</v>
      </c>
      <c r="L2888" s="35" t="s">
        <v>223</v>
      </c>
      <c r="M2888" s="36">
        <f>VLOOKUP(D2888, County_Data_CZones!$B$2:$F$3236, 2, FALSE)</f>
        <v>4</v>
      </c>
      <c r="N2888" s="37" t="str">
        <f>VLOOKUP(D2888, County_Data_CZones!$B$2:$F$3236, 5, FALSE)</f>
        <v>Mixed-Humid</v>
      </c>
    </row>
    <row r="2889" ht="15.75" customHeight="1">
      <c r="A2889" s="32" t="s">
        <v>1859</v>
      </c>
      <c r="B2889" s="32" t="s">
        <v>1828</v>
      </c>
      <c r="C2889" s="32" t="str">
        <f>vlookup(B2889,State_EMM_RowSums!$A$2:$B$52,2,FALSE)</f>
        <v>VA</v>
      </c>
      <c r="D2889" s="32">
        <v>51141.0</v>
      </c>
      <c r="E2889" s="33">
        <f>IF(NOT(ISBLANK(vlookup($D2889,Pop_Census_2023!$A$2:$E$3220,4,FALSE))),vlookup($D2889,Pop_Census_2023!$A$2:$E$3220,4,FALSE), vlookup($D2889,Pop_Census_2023!$A$2:$E$3220,5,FALSE))</f>
        <v>17509</v>
      </c>
      <c r="F2889" s="32">
        <v>1497999.0</v>
      </c>
      <c r="G2889" s="32">
        <v>118.0</v>
      </c>
      <c r="H2889" s="32" t="str">
        <f>VLOOKUP(D2889, Grid_Region_Mapping!$D$2:$F$5286, 3, FALSE)</f>
        <v>PJMW</v>
      </c>
      <c r="I2889" s="32">
        <v>5.0</v>
      </c>
      <c r="J2889" s="34" t="str">
        <f t="shared" si="1"/>
        <v>South</v>
      </c>
      <c r="K2889" s="35">
        <v>3.0</v>
      </c>
      <c r="L2889" s="35" t="s">
        <v>223</v>
      </c>
      <c r="M2889" s="36">
        <f>VLOOKUP(D2889, County_Data_CZones!$B$2:$F$3236, 2, FALSE)</f>
        <v>4</v>
      </c>
      <c r="N2889" s="37" t="str">
        <f>VLOOKUP(D2889, County_Data_CZones!$B$2:$F$3236, 5, FALSE)</f>
        <v>Mixed-Humid</v>
      </c>
    </row>
    <row r="2890" ht="15.75" customHeight="1">
      <c r="A2890" s="32" t="s">
        <v>1860</v>
      </c>
      <c r="B2890" s="32" t="s">
        <v>1828</v>
      </c>
      <c r="C2890" s="32" t="str">
        <f>vlookup(B2890,State_EMM_RowSums!$A$2:$B$52,2,FALSE)</f>
        <v>VA</v>
      </c>
      <c r="D2890" s="32">
        <v>51143.0</v>
      </c>
      <c r="E2890" s="33">
        <f>IF(NOT(ISBLANK(vlookup($D2890,Pop_Census_2023!$A$2:$E$3220,4,FALSE))),vlookup($D2890,Pop_Census_2023!$A$2:$E$3220,4,FALSE), vlookup($D2890,Pop_Census_2023!$A$2:$E$3220,5,FALSE))</f>
        <v>59571</v>
      </c>
      <c r="F2890" s="32">
        <v>1480157.0</v>
      </c>
      <c r="G2890" s="32">
        <v>99.0</v>
      </c>
      <c r="H2890" s="32" t="str">
        <f>VLOOKUP(D2890, Grid_Region_Mapping!$D$2:$F$5286, 3, FALSE)</f>
        <v>PJMD</v>
      </c>
      <c r="I2890" s="32">
        <v>5.0</v>
      </c>
      <c r="J2890" s="34" t="str">
        <f t="shared" si="1"/>
        <v>South</v>
      </c>
      <c r="K2890" s="35">
        <v>3.0</v>
      </c>
      <c r="L2890" s="35" t="s">
        <v>223</v>
      </c>
      <c r="M2890" s="36">
        <f>VLOOKUP(D2890, County_Data_CZones!$B$2:$F$3236, 2, FALSE)</f>
        <v>4</v>
      </c>
      <c r="N2890" s="37" t="str">
        <f>VLOOKUP(D2890, County_Data_CZones!$B$2:$F$3236, 5, FALSE)</f>
        <v>Mixed-Humid</v>
      </c>
    </row>
    <row r="2891" ht="15.75" customHeight="1">
      <c r="A2891" s="32" t="s">
        <v>1861</v>
      </c>
      <c r="B2891" s="32" t="s">
        <v>1828</v>
      </c>
      <c r="C2891" s="32" t="str">
        <f>vlookup(B2891,State_EMM_RowSums!$A$2:$B$52,2,FALSE)</f>
        <v>VA</v>
      </c>
      <c r="D2891" s="32">
        <v>51145.0</v>
      </c>
      <c r="E2891" s="33">
        <f>IF(NOT(ISBLANK(vlookup($D2891,Pop_Census_2023!$A$2:$E$3220,4,FALSE))),vlookup($D2891,Pop_Census_2023!$A$2:$E$3220,4,FALSE), vlookup($D2891,Pop_Census_2023!$A$2:$E$3220,5,FALSE))</f>
        <v>32105</v>
      </c>
      <c r="F2891" s="32">
        <v>1674225.0</v>
      </c>
      <c r="G2891" s="32">
        <v>99.0</v>
      </c>
      <c r="H2891" s="32" t="str">
        <f>VLOOKUP(D2891, Grid_Region_Mapping!$D$2:$F$5286, 3, FALSE)</f>
        <v>PJMD</v>
      </c>
      <c r="I2891" s="32">
        <v>5.0</v>
      </c>
      <c r="J2891" s="34" t="str">
        <f t="shared" si="1"/>
        <v>South</v>
      </c>
      <c r="K2891" s="35">
        <v>3.0</v>
      </c>
      <c r="L2891" s="35" t="s">
        <v>223</v>
      </c>
      <c r="M2891" s="36">
        <f>VLOOKUP(D2891, County_Data_CZones!$B$2:$F$3236, 2, FALSE)</f>
        <v>4</v>
      </c>
      <c r="N2891" s="37" t="str">
        <f>VLOOKUP(D2891, County_Data_CZones!$B$2:$F$3236, 5, FALSE)</f>
        <v>Mixed-Humid</v>
      </c>
    </row>
    <row r="2892" ht="15.75" customHeight="1">
      <c r="A2892" s="32" t="s">
        <v>1862</v>
      </c>
      <c r="B2892" s="32" t="s">
        <v>1828</v>
      </c>
      <c r="C2892" s="32" t="str">
        <f>vlookup(B2892,State_EMM_RowSums!$A$2:$B$52,2,FALSE)</f>
        <v>VA</v>
      </c>
      <c r="D2892" s="32">
        <v>51147.0</v>
      </c>
      <c r="E2892" s="33">
        <f>IF(NOT(ISBLANK(vlookup($D2892,Pop_Census_2023!$A$2:$E$3220,4,FALSE))),vlookup($D2892,Pop_Census_2023!$A$2:$E$3220,4,FALSE), vlookup($D2892,Pop_Census_2023!$A$2:$E$3220,5,FALSE))</f>
        <v>22049</v>
      </c>
      <c r="F2892" s="32">
        <v>1492359.0</v>
      </c>
      <c r="G2892" s="32">
        <v>99.0</v>
      </c>
      <c r="H2892" s="32" t="str">
        <f>VLOOKUP(D2892, Grid_Region_Mapping!$D$2:$F$5286, 3, FALSE)</f>
        <v>PJMD</v>
      </c>
      <c r="I2892" s="32">
        <v>5.0</v>
      </c>
      <c r="J2892" s="34" t="str">
        <f t="shared" si="1"/>
        <v>South</v>
      </c>
      <c r="K2892" s="35">
        <v>3.0</v>
      </c>
      <c r="L2892" s="35" t="s">
        <v>223</v>
      </c>
      <c r="M2892" s="36">
        <f>VLOOKUP(D2892, County_Data_CZones!$B$2:$F$3236, 2, FALSE)</f>
        <v>4</v>
      </c>
      <c r="N2892" s="37" t="str">
        <f>VLOOKUP(D2892, County_Data_CZones!$B$2:$F$3236, 5, FALSE)</f>
        <v>Mixed-Humid</v>
      </c>
    </row>
    <row r="2893" ht="15.75" customHeight="1">
      <c r="A2893" s="32" t="s">
        <v>1863</v>
      </c>
      <c r="B2893" s="32" t="s">
        <v>1828</v>
      </c>
      <c r="C2893" s="32" t="str">
        <f>vlookup(B2893,State_EMM_RowSums!$A$2:$B$52,2,FALSE)</f>
        <v>VA</v>
      </c>
      <c r="D2893" s="32">
        <v>51149.0</v>
      </c>
      <c r="E2893" s="33">
        <f>IF(NOT(ISBLANK(vlookup($D2893,Pop_Census_2023!$A$2:$E$3220,4,FALSE))),vlookup($D2893,Pop_Census_2023!$A$2:$E$3220,4,FALSE), vlookup($D2893,Pop_Census_2023!$A$2:$E$3220,5,FALSE))</f>
        <v>42871</v>
      </c>
      <c r="F2893" s="32">
        <v>1480160.0</v>
      </c>
      <c r="G2893" s="32">
        <v>99.0</v>
      </c>
      <c r="H2893" s="32" t="str">
        <f>VLOOKUP(D2893, Grid_Region_Mapping!$D$2:$F$5286, 3, FALSE)</f>
        <v>PJMD</v>
      </c>
      <c r="I2893" s="32">
        <v>5.0</v>
      </c>
      <c r="J2893" s="34" t="str">
        <f t="shared" si="1"/>
        <v>South</v>
      </c>
      <c r="K2893" s="35">
        <v>4.0</v>
      </c>
      <c r="L2893" s="35" t="s">
        <v>223</v>
      </c>
      <c r="M2893" s="36">
        <f>VLOOKUP(D2893, County_Data_CZones!$B$2:$F$3236, 2, FALSE)</f>
        <v>4</v>
      </c>
      <c r="N2893" s="37" t="str">
        <f>VLOOKUP(D2893, County_Data_CZones!$B$2:$F$3236, 5, FALSE)</f>
        <v>Mixed-Humid</v>
      </c>
    </row>
    <row r="2894" ht="15.75" customHeight="1">
      <c r="A2894" s="32" t="s">
        <v>1864</v>
      </c>
      <c r="B2894" s="32" t="s">
        <v>1828</v>
      </c>
      <c r="C2894" s="32" t="str">
        <f>vlookup(B2894,State_EMM_RowSums!$A$2:$B$52,2,FALSE)</f>
        <v>VA</v>
      </c>
      <c r="D2894" s="32">
        <v>51153.0</v>
      </c>
      <c r="E2894" s="33">
        <f>IF(NOT(ISBLANK(vlookup($D2894,Pop_Census_2023!$A$2:$E$3220,4,FALSE))),vlookup($D2894,Pop_Census_2023!$A$2:$E$3220,4,FALSE), vlookup($D2894,Pop_Census_2023!$A$2:$E$3220,5,FALSE))</f>
        <v>489640</v>
      </c>
      <c r="F2894" s="32">
        <v>1480161.0</v>
      </c>
      <c r="G2894" s="32">
        <v>99.0</v>
      </c>
      <c r="H2894" s="32" t="str">
        <f>VLOOKUP(D2894, Grid_Region_Mapping!$D$2:$F$5286, 3, FALSE)</f>
        <v>PJMD</v>
      </c>
      <c r="I2894" s="32">
        <v>5.0</v>
      </c>
      <c r="J2894" s="34" t="str">
        <f t="shared" si="1"/>
        <v>South</v>
      </c>
      <c r="K2894" s="35">
        <v>3.0</v>
      </c>
      <c r="L2894" s="35" t="s">
        <v>223</v>
      </c>
      <c r="M2894" s="36">
        <f>VLOOKUP(D2894, County_Data_CZones!$B$2:$F$3236, 2, FALSE)</f>
        <v>4</v>
      </c>
      <c r="N2894" s="37" t="str">
        <f>VLOOKUP(D2894, County_Data_CZones!$B$2:$F$3236, 5, FALSE)</f>
        <v>Mixed-Humid</v>
      </c>
    </row>
    <row r="2895" ht="15.75" customHeight="1">
      <c r="A2895" s="32" t="s">
        <v>264</v>
      </c>
      <c r="B2895" s="32" t="s">
        <v>1828</v>
      </c>
      <c r="C2895" s="32" t="str">
        <f>vlookup(B2895,State_EMM_RowSums!$A$2:$B$52,2,FALSE)</f>
        <v>VA</v>
      </c>
      <c r="D2895" s="32">
        <v>51155.0</v>
      </c>
      <c r="E2895" s="33">
        <f>IF(NOT(ISBLANK(vlookup($D2895,Pop_Census_2023!$A$2:$E$3220,4,FALSE))),vlookup($D2895,Pop_Census_2023!$A$2:$E$3220,4,FALSE), vlookup($D2895,Pop_Census_2023!$A$2:$E$3220,5,FALSE))</f>
        <v>33655</v>
      </c>
      <c r="F2895" s="32">
        <v>1501465.0</v>
      </c>
      <c r="G2895" s="32">
        <v>118.0</v>
      </c>
      <c r="H2895" s="32" t="str">
        <f>VLOOKUP(D2895, Grid_Region_Mapping!$D$2:$F$5286, 3, FALSE)</f>
        <v>PJMW</v>
      </c>
      <c r="I2895" s="32">
        <v>5.0</v>
      </c>
      <c r="J2895" s="34" t="str">
        <f t="shared" si="1"/>
        <v>South</v>
      </c>
      <c r="K2895" s="35">
        <v>3.0</v>
      </c>
      <c r="L2895" s="35" t="s">
        <v>223</v>
      </c>
      <c r="M2895" s="36">
        <f>VLOOKUP(D2895, County_Data_CZones!$B$2:$F$3236, 2, FALSE)</f>
        <v>4</v>
      </c>
      <c r="N2895" s="37" t="str">
        <f>VLOOKUP(D2895, County_Data_CZones!$B$2:$F$3236, 5, FALSE)</f>
        <v>Mixed-Humid</v>
      </c>
    </row>
    <row r="2896" ht="15.75" customHeight="1">
      <c r="A2896" s="32" t="s">
        <v>1865</v>
      </c>
      <c r="B2896" s="32" t="s">
        <v>1828</v>
      </c>
      <c r="C2896" s="32" t="str">
        <f>vlookup(B2896,State_EMM_RowSums!$A$2:$B$52,2,FALSE)</f>
        <v>VA</v>
      </c>
      <c r="D2896" s="32">
        <v>51157.0</v>
      </c>
      <c r="E2896" s="33">
        <f>IF(NOT(ISBLANK(vlookup($D2896,Pop_Census_2023!$A$2:$E$3220,4,FALSE))),vlookup($D2896,Pop_Census_2023!$A$2:$E$3220,4,FALSE), vlookup($D2896,Pop_Census_2023!$A$2:$E$3220,5,FALSE))</f>
        <v>7414</v>
      </c>
      <c r="F2896" s="32">
        <v>1673976.0</v>
      </c>
      <c r="G2896" s="32">
        <v>100.0</v>
      </c>
      <c r="H2896" s="32" t="str">
        <f>VLOOKUP(D2896, Grid_Region_Mapping!$D$2:$F$5286, 3, FALSE)</f>
        <v>PJMW</v>
      </c>
      <c r="I2896" s="32">
        <v>5.0</v>
      </c>
      <c r="J2896" s="34" t="str">
        <f t="shared" si="1"/>
        <v>South</v>
      </c>
      <c r="K2896" s="35">
        <v>3.0</v>
      </c>
      <c r="L2896" s="35" t="s">
        <v>223</v>
      </c>
      <c r="M2896" s="36">
        <f>VLOOKUP(D2896, County_Data_CZones!$B$2:$F$3236, 2, FALSE)</f>
        <v>4</v>
      </c>
      <c r="N2896" s="37" t="str">
        <f>VLOOKUP(D2896, County_Data_CZones!$B$2:$F$3236, 5, FALSE)</f>
        <v>Mixed-Humid</v>
      </c>
    </row>
    <row r="2897" ht="15.75" customHeight="1">
      <c r="A2897" s="32" t="s">
        <v>539</v>
      </c>
      <c r="B2897" s="32" t="s">
        <v>1828</v>
      </c>
      <c r="C2897" s="32" t="str">
        <f>vlookup(B2897,State_EMM_RowSums!$A$2:$B$52,2,FALSE)</f>
        <v>VA</v>
      </c>
      <c r="D2897" s="32">
        <v>51159.0</v>
      </c>
      <c r="E2897" s="33">
        <f>IF(NOT(ISBLANK(vlookup($D2897,Pop_Census_2023!$A$2:$E$3220,4,FALSE))),vlookup($D2897,Pop_Census_2023!$A$2:$E$3220,4,FALSE), vlookup($D2897,Pop_Census_2023!$A$2:$E$3220,5,FALSE))</f>
        <v>9184</v>
      </c>
      <c r="F2897" s="32">
        <v>1480164.0</v>
      </c>
      <c r="G2897" s="32">
        <v>99.0</v>
      </c>
      <c r="H2897" s="32" t="str">
        <f>VLOOKUP(D2897, Grid_Region_Mapping!$D$2:$F$5286, 3, FALSE)</f>
        <v>PJMD</v>
      </c>
      <c r="I2897" s="32">
        <v>5.0</v>
      </c>
      <c r="J2897" s="34" t="str">
        <f t="shared" si="1"/>
        <v>South</v>
      </c>
      <c r="K2897" s="35">
        <v>4.0</v>
      </c>
      <c r="L2897" s="35" t="s">
        <v>223</v>
      </c>
      <c r="M2897" s="36">
        <f>VLOOKUP(D2897, County_Data_CZones!$B$2:$F$3236, 2, FALSE)</f>
        <v>4</v>
      </c>
      <c r="N2897" s="37" t="str">
        <f>VLOOKUP(D2897, County_Data_CZones!$B$2:$F$3236, 5, FALSE)</f>
        <v>Mixed-Humid</v>
      </c>
    </row>
    <row r="2898" ht="15.75" customHeight="1">
      <c r="A2898" s="32" t="s">
        <v>1866</v>
      </c>
      <c r="B2898" s="32" t="s">
        <v>1828</v>
      </c>
      <c r="C2898" s="32" t="str">
        <f>vlookup(B2898,State_EMM_RowSums!$A$2:$B$52,2,FALSE)</f>
        <v>VA</v>
      </c>
      <c r="D2898" s="32">
        <v>51161.0</v>
      </c>
      <c r="E2898" s="33">
        <f>IF(NOT(ISBLANK(vlookup($D2898,Pop_Census_2023!$A$2:$E$3220,4,FALSE))),vlookup($D2898,Pop_Census_2023!$A$2:$E$3220,4,FALSE), vlookup($D2898,Pop_Census_2023!$A$2:$E$3220,5,FALSE))</f>
        <v>97026</v>
      </c>
      <c r="F2898" s="32">
        <v>1480165.0</v>
      </c>
      <c r="G2898" s="32">
        <v>118.0</v>
      </c>
      <c r="H2898" s="32" t="str">
        <f>VLOOKUP(D2898, Grid_Region_Mapping!$D$2:$F$5286, 3, FALSE)</f>
        <v>PJMW</v>
      </c>
      <c r="I2898" s="32">
        <v>5.0</v>
      </c>
      <c r="J2898" s="34" t="str">
        <f t="shared" si="1"/>
        <v>South</v>
      </c>
      <c r="K2898" s="35">
        <v>3.0</v>
      </c>
      <c r="L2898" s="35" t="s">
        <v>223</v>
      </c>
      <c r="M2898" s="36">
        <f>VLOOKUP(D2898, County_Data_CZones!$B$2:$F$3236, 2, FALSE)</f>
        <v>4</v>
      </c>
      <c r="N2898" s="37" t="str">
        <f>VLOOKUP(D2898, County_Data_CZones!$B$2:$F$3236, 5, FALSE)</f>
        <v>Mixed-Humid</v>
      </c>
    </row>
    <row r="2899" ht="15.75" customHeight="1">
      <c r="A2899" s="32" t="s">
        <v>1867</v>
      </c>
      <c r="B2899" s="32" t="s">
        <v>1828</v>
      </c>
      <c r="C2899" s="32" t="str">
        <f>vlookup(B2899,State_EMM_RowSums!$A$2:$B$52,2,FALSE)</f>
        <v>VA</v>
      </c>
      <c r="D2899" s="32">
        <v>51163.0</v>
      </c>
      <c r="E2899" s="33">
        <f>IF(NOT(ISBLANK(vlookup($D2899,Pop_Census_2023!$A$2:$E$3220,4,FALSE))),vlookup($D2899,Pop_Census_2023!$A$2:$E$3220,4,FALSE), vlookup($D2899,Pop_Census_2023!$A$2:$E$3220,5,FALSE))</f>
        <v>22358</v>
      </c>
      <c r="F2899" s="32">
        <v>1480166.0</v>
      </c>
      <c r="G2899" s="32">
        <v>99.0</v>
      </c>
      <c r="H2899" s="32" t="str">
        <f>VLOOKUP(D2899, Grid_Region_Mapping!$D$2:$F$5286, 3, FALSE)</f>
        <v>PJMD</v>
      </c>
      <c r="I2899" s="32">
        <v>5.0</v>
      </c>
      <c r="J2899" s="34" t="str">
        <f t="shared" si="1"/>
        <v>South</v>
      </c>
      <c r="K2899" s="35">
        <v>3.0</v>
      </c>
      <c r="L2899" s="35" t="s">
        <v>223</v>
      </c>
      <c r="M2899" s="36">
        <f>VLOOKUP(D2899, County_Data_CZones!$B$2:$F$3236, 2, FALSE)</f>
        <v>4</v>
      </c>
      <c r="N2899" s="37" t="str">
        <f>VLOOKUP(D2899, County_Data_CZones!$B$2:$F$3236, 5, FALSE)</f>
        <v>Mixed-Humid</v>
      </c>
    </row>
    <row r="2900" ht="15.75" customHeight="1">
      <c r="A2900" s="32" t="s">
        <v>1256</v>
      </c>
      <c r="B2900" s="32" t="s">
        <v>1828</v>
      </c>
      <c r="C2900" s="32" t="str">
        <f>vlookup(B2900,State_EMM_RowSums!$A$2:$B$52,2,FALSE)</f>
        <v>VA</v>
      </c>
      <c r="D2900" s="32">
        <v>51165.0</v>
      </c>
      <c r="E2900" s="33">
        <f>IF(NOT(ISBLANK(vlookup($D2900,Pop_Census_2023!$A$2:$E$3220,4,FALSE))),vlookup($D2900,Pop_Census_2023!$A$2:$E$3220,4,FALSE), vlookup($D2900,Pop_Census_2023!$A$2:$E$3220,5,FALSE))</f>
        <v>86568</v>
      </c>
      <c r="F2900" s="32">
        <v>1488970.0</v>
      </c>
      <c r="G2900" s="32">
        <v>99.0</v>
      </c>
      <c r="H2900" s="32" t="str">
        <f>VLOOKUP(D2900, Grid_Region_Mapping!$D$2:$F$5286, 3, FALSE)</f>
        <v>PJMD</v>
      </c>
      <c r="I2900" s="32">
        <v>5.0</v>
      </c>
      <c r="J2900" s="34" t="str">
        <f t="shared" si="1"/>
        <v>South</v>
      </c>
      <c r="K2900" s="35">
        <v>3.0</v>
      </c>
      <c r="L2900" s="35" t="s">
        <v>223</v>
      </c>
      <c r="M2900" s="36">
        <f>VLOOKUP(D2900, County_Data_CZones!$B$2:$F$3236, 2, FALSE)</f>
        <v>4</v>
      </c>
      <c r="N2900" s="37" t="str">
        <f>VLOOKUP(D2900, County_Data_CZones!$B$2:$F$3236, 5, FALSE)</f>
        <v>Mixed-Humid</v>
      </c>
    </row>
    <row r="2901" ht="15.75" customHeight="1">
      <c r="A2901" s="32" t="s">
        <v>159</v>
      </c>
      <c r="B2901" s="32" t="s">
        <v>1828</v>
      </c>
      <c r="C2901" s="32" t="str">
        <f>vlookup(B2901,State_EMM_RowSums!$A$2:$B$52,2,FALSE)</f>
        <v>VA</v>
      </c>
      <c r="D2901" s="32">
        <v>51167.0</v>
      </c>
      <c r="E2901" s="33">
        <f>IF(NOT(ISBLANK(vlookup($D2901,Pop_Census_2023!$A$2:$E$3220,4,FALSE))),vlookup($D2901,Pop_Census_2023!$A$2:$E$3220,4,FALSE), vlookup($D2901,Pop_Census_2023!$A$2:$E$3220,5,FALSE))</f>
        <v>25477</v>
      </c>
      <c r="F2901" s="32">
        <v>1497573.0</v>
      </c>
      <c r="G2901" s="32">
        <v>118.0</v>
      </c>
      <c r="H2901" s="32" t="str">
        <f>VLOOKUP(D2901, Grid_Region_Mapping!$D$2:$F$5286, 3, FALSE)</f>
        <v>PJMW</v>
      </c>
      <c r="I2901" s="32">
        <v>5.0</v>
      </c>
      <c r="J2901" s="34" t="str">
        <f t="shared" si="1"/>
        <v>South</v>
      </c>
      <c r="K2901" s="35">
        <v>3.0</v>
      </c>
      <c r="L2901" s="35" t="s">
        <v>223</v>
      </c>
      <c r="M2901" s="36">
        <f>VLOOKUP(D2901, County_Data_CZones!$B$2:$F$3236, 2, FALSE)</f>
        <v>4</v>
      </c>
      <c r="N2901" s="37" t="str">
        <f>VLOOKUP(D2901, County_Data_CZones!$B$2:$F$3236, 5, FALSE)</f>
        <v>Mixed-Humid</v>
      </c>
    </row>
    <row r="2902" ht="15.75" customHeight="1">
      <c r="A2902" s="32" t="s">
        <v>267</v>
      </c>
      <c r="B2902" s="32" t="s">
        <v>1828</v>
      </c>
      <c r="C2902" s="32" t="str">
        <f>vlookup(B2902,State_EMM_RowSums!$A$2:$B$52,2,FALSE)</f>
        <v>VA</v>
      </c>
      <c r="D2902" s="32">
        <v>51169.0</v>
      </c>
      <c r="E2902" s="33">
        <f>IF(NOT(ISBLANK(vlookup($D2902,Pop_Census_2023!$A$2:$E$3220,4,FALSE))),vlookup($D2902,Pop_Census_2023!$A$2:$E$3220,4,FALSE), vlookup($D2902,Pop_Census_2023!$A$2:$E$3220,5,FALSE))</f>
        <v>21433</v>
      </c>
      <c r="F2902" s="32">
        <v>1498172.0</v>
      </c>
      <c r="G2902" s="32">
        <v>118.0</v>
      </c>
      <c r="H2902" s="32" t="str">
        <f>VLOOKUP(D2902, Grid_Region_Mapping!$D$2:$F$5286, 3, FALSE)</f>
        <v>SRCE</v>
      </c>
      <c r="I2902" s="32">
        <v>5.0</v>
      </c>
      <c r="J2902" s="34" t="str">
        <f t="shared" si="1"/>
        <v>South</v>
      </c>
      <c r="K2902" s="35">
        <v>3.0</v>
      </c>
      <c r="L2902" s="35" t="s">
        <v>223</v>
      </c>
      <c r="M2902" s="36">
        <f>VLOOKUP(D2902, County_Data_CZones!$B$2:$F$3236, 2, FALSE)</f>
        <v>4</v>
      </c>
      <c r="N2902" s="37" t="str">
        <f>VLOOKUP(D2902, County_Data_CZones!$B$2:$F$3236, 5, FALSE)</f>
        <v>Mixed-Humid</v>
      </c>
    </row>
    <row r="2903" ht="15.75" customHeight="1">
      <c r="A2903" s="32" t="s">
        <v>1868</v>
      </c>
      <c r="B2903" s="32" t="s">
        <v>1828</v>
      </c>
      <c r="C2903" s="32" t="str">
        <f>vlookup(B2903,State_EMM_RowSums!$A$2:$B$52,2,FALSE)</f>
        <v>VA</v>
      </c>
      <c r="D2903" s="32">
        <v>51171.0</v>
      </c>
      <c r="E2903" s="33">
        <f>IF(NOT(ISBLANK(vlookup($D2903,Pop_Census_2023!$A$2:$E$3220,4,FALSE))),vlookup($D2903,Pop_Census_2023!$A$2:$E$3220,4,FALSE), vlookup($D2903,Pop_Census_2023!$A$2:$E$3220,5,FALSE))</f>
        <v>45228</v>
      </c>
      <c r="F2903" s="32">
        <v>1673918.0</v>
      </c>
      <c r="G2903" s="32">
        <v>99.0</v>
      </c>
      <c r="H2903" s="32" t="str">
        <f>VLOOKUP(D2903, Grid_Region_Mapping!$D$2:$F$5286, 3, FALSE)</f>
        <v>PJMD</v>
      </c>
      <c r="I2903" s="32">
        <v>5.0</v>
      </c>
      <c r="J2903" s="34" t="str">
        <f t="shared" si="1"/>
        <v>South</v>
      </c>
      <c r="K2903" s="35">
        <v>3.0</v>
      </c>
      <c r="L2903" s="35" t="s">
        <v>223</v>
      </c>
      <c r="M2903" s="36">
        <f>VLOOKUP(D2903, County_Data_CZones!$B$2:$F$3236, 2, FALSE)</f>
        <v>4</v>
      </c>
      <c r="N2903" s="37" t="str">
        <f>VLOOKUP(D2903, County_Data_CZones!$B$2:$F$3236, 5, FALSE)</f>
        <v>Mixed-Humid</v>
      </c>
    </row>
    <row r="2904" ht="15.75" customHeight="1">
      <c r="A2904" s="32" t="s">
        <v>1869</v>
      </c>
      <c r="B2904" s="32" t="s">
        <v>1828</v>
      </c>
      <c r="C2904" s="32" t="str">
        <f>vlookup(B2904,State_EMM_RowSums!$A$2:$B$52,2,FALSE)</f>
        <v>VA</v>
      </c>
      <c r="D2904" s="32">
        <v>51173.0</v>
      </c>
      <c r="E2904" s="33">
        <f>IF(NOT(ISBLANK(vlookup($D2904,Pop_Census_2023!$A$2:$E$3220,4,FALSE))),vlookup($D2904,Pop_Census_2023!$A$2:$E$3220,4,FALSE), vlookup($D2904,Pop_Census_2023!$A$2:$E$3220,5,FALSE))</f>
        <v>29216</v>
      </c>
      <c r="F2904" s="32">
        <v>1500545.0</v>
      </c>
      <c r="G2904" s="32">
        <v>118.0</v>
      </c>
      <c r="H2904" s="32" t="str">
        <f>VLOOKUP(D2904, Grid_Region_Mapping!$D$2:$F$5286, 3, FALSE)</f>
        <v>PJMW</v>
      </c>
      <c r="I2904" s="32">
        <v>5.0</v>
      </c>
      <c r="J2904" s="34" t="str">
        <f t="shared" si="1"/>
        <v>South</v>
      </c>
      <c r="K2904" s="35">
        <v>3.0</v>
      </c>
      <c r="L2904" s="35" t="s">
        <v>223</v>
      </c>
      <c r="M2904" s="36">
        <f>VLOOKUP(D2904, County_Data_CZones!$B$2:$F$3236, 2, FALSE)</f>
        <v>4</v>
      </c>
      <c r="N2904" s="37" t="str">
        <f>VLOOKUP(D2904, County_Data_CZones!$B$2:$F$3236, 5, FALSE)</f>
        <v>Mixed-Humid</v>
      </c>
    </row>
    <row r="2905" ht="15.75" customHeight="1">
      <c r="A2905" s="32" t="s">
        <v>1870</v>
      </c>
      <c r="B2905" s="32" t="s">
        <v>1828</v>
      </c>
      <c r="C2905" s="32" t="str">
        <f>vlookup(B2905,State_EMM_RowSums!$A$2:$B$52,2,FALSE)</f>
        <v>VA</v>
      </c>
      <c r="D2905" s="32">
        <v>51175.0</v>
      </c>
      <c r="E2905" s="33">
        <f>IF(NOT(ISBLANK(vlookup($D2905,Pop_Census_2023!$A$2:$E$3220,4,FALSE))),vlookup($D2905,Pop_Census_2023!$A$2:$E$3220,4,FALSE), vlookup($D2905,Pop_Census_2023!$A$2:$E$3220,5,FALSE))</f>
        <v>17975</v>
      </c>
      <c r="F2905" s="32">
        <v>1480171.0</v>
      </c>
      <c r="G2905" s="32">
        <v>99.0</v>
      </c>
      <c r="H2905" s="32" t="str">
        <f>VLOOKUP(D2905, Grid_Region_Mapping!$D$2:$F$5286, 3, FALSE)</f>
        <v>PJMD</v>
      </c>
      <c r="I2905" s="32">
        <v>5.0</v>
      </c>
      <c r="J2905" s="34" t="str">
        <f t="shared" si="1"/>
        <v>South</v>
      </c>
      <c r="K2905" s="35">
        <v>4.0</v>
      </c>
      <c r="L2905" s="35" t="s">
        <v>223</v>
      </c>
      <c r="M2905" s="36">
        <f>VLOOKUP(D2905, County_Data_CZones!$B$2:$F$3236, 2, FALSE)</f>
        <v>4</v>
      </c>
      <c r="N2905" s="37" t="str">
        <f>VLOOKUP(D2905, County_Data_CZones!$B$2:$F$3236, 5, FALSE)</f>
        <v>Mixed-Humid</v>
      </c>
    </row>
    <row r="2906" ht="15.75" customHeight="1">
      <c r="A2906" s="32" t="s">
        <v>1871</v>
      </c>
      <c r="B2906" s="32" t="s">
        <v>1828</v>
      </c>
      <c r="C2906" s="32" t="str">
        <f>vlookup(B2906,State_EMM_RowSums!$A$2:$B$52,2,FALSE)</f>
        <v>VA</v>
      </c>
      <c r="D2906" s="32">
        <v>51177.0</v>
      </c>
      <c r="E2906" s="33">
        <f>IF(NOT(ISBLANK(vlookup($D2906,Pop_Census_2023!$A$2:$E$3220,4,FALSE))),vlookup($D2906,Pop_Census_2023!$A$2:$E$3220,4,FALSE), vlookup($D2906,Pop_Census_2023!$A$2:$E$3220,5,FALSE))</f>
        <v>149588</v>
      </c>
      <c r="F2906" s="32">
        <v>1480172.0</v>
      </c>
      <c r="G2906" s="32">
        <v>99.0</v>
      </c>
      <c r="H2906" s="32" t="str">
        <f>VLOOKUP(D2906, Grid_Region_Mapping!$D$2:$F$5286, 3, FALSE)</f>
        <v>PJMD</v>
      </c>
      <c r="I2906" s="32">
        <v>5.0</v>
      </c>
      <c r="J2906" s="34" t="str">
        <f t="shared" si="1"/>
        <v>South</v>
      </c>
      <c r="K2906" s="35">
        <v>3.0</v>
      </c>
      <c r="L2906" s="35" t="s">
        <v>223</v>
      </c>
      <c r="M2906" s="36">
        <f>VLOOKUP(D2906, County_Data_CZones!$B$2:$F$3236, 2, FALSE)</f>
        <v>4</v>
      </c>
      <c r="N2906" s="37" t="str">
        <f>VLOOKUP(D2906, County_Data_CZones!$B$2:$F$3236, 5, FALSE)</f>
        <v>Mixed-Humid</v>
      </c>
    </row>
    <row r="2907" ht="15.75" customHeight="1">
      <c r="A2907" s="32" t="s">
        <v>807</v>
      </c>
      <c r="B2907" s="32" t="s">
        <v>1828</v>
      </c>
      <c r="C2907" s="32" t="str">
        <f>vlookup(B2907,State_EMM_RowSums!$A$2:$B$52,2,FALSE)</f>
        <v>VA</v>
      </c>
      <c r="D2907" s="32">
        <v>51179.0</v>
      </c>
      <c r="E2907" s="33">
        <f>IF(NOT(ISBLANK(vlookup($D2907,Pop_Census_2023!$A$2:$E$3220,4,FALSE))),vlookup($D2907,Pop_Census_2023!$A$2:$E$3220,4,FALSE), vlookup($D2907,Pop_Census_2023!$A$2:$E$3220,5,FALSE))</f>
        <v>165428</v>
      </c>
      <c r="F2907" s="32">
        <v>1480173.0</v>
      </c>
      <c r="G2907" s="32">
        <v>99.0</v>
      </c>
      <c r="H2907" s="32" t="str">
        <f>VLOOKUP(D2907, Grid_Region_Mapping!$D$2:$F$5286, 3, FALSE)</f>
        <v>PJMD</v>
      </c>
      <c r="I2907" s="32">
        <v>5.0</v>
      </c>
      <c r="J2907" s="34" t="str">
        <f t="shared" si="1"/>
        <v>South</v>
      </c>
      <c r="K2907" s="35">
        <v>3.0</v>
      </c>
      <c r="L2907" s="35" t="s">
        <v>223</v>
      </c>
      <c r="M2907" s="36">
        <f>VLOOKUP(D2907, County_Data_CZones!$B$2:$F$3236, 2, FALSE)</f>
        <v>4</v>
      </c>
      <c r="N2907" s="37" t="str">
        <f>VLOOKUP(D2907, County_Data_CZones!$B$2:$F$3236, 5, FALSE)</f>
        <v>Mixed-Humid</v>
      </c>
    </row>
    <row r="2908" ht="15.75" customHeight="1">
      <c r="A2908" s="32" t="s">
        <v>1381</v>
      </c>
      <c r="B2908" s="32" t="s">
        <v>1828</v>
      </c>
      <c r="C2908" s="32" t="str">
        <f>vlookup(B2908,State_EMM_RowSums!$A$2:$B$52,2,FALSE)</f>
        <v>VA</v>
      </c>
      <c r="D2908" s="32">
        <v>51181.0</v>
      </c>
      <c r="E2908" s="33">
        <f>IF(NOT(ISBLANK(vlookup($D2908,Pop_Census_2023!$A$2:$E$3220,4,FALSE))),vlookup($D2908,Pop_Census_2023!$A$2:$E$3220,4,FALSE), vlookup($D2908,Pop_Census_2023!$A$2:$E$3220,5,FALSE))</f>
        <v>6593</v>
      </c>
      <c r="F2908" s="32">
        <v>1480174.0</v>
      </c>
      <c r="G2908" s="32">
        <v>99.0</v>
      </c>
      <c r="H2908" s="32" t="str">
        <f>VLOOKUP(D2908, Grid_Region_Mapping!$D$2:$F$5286, 3, FALSE)</f>
        <v>PJMD</v>
      </c>
      <c r="I2908" s="32">
        <v>5.0</v>
      </c>
      <c r="J2908" s="34" t="str">
        <f t="shared" si="1"/>
        <v>South</v>
      </c>
      <c r="K2908" s="35">
        <v>4.0</v>
      </c>
      <c r="L2908" s="35" t="s">
        <v>223</v>
      </c>
      <c r="M2908" s="36">
        <f>VLOOKUP(D2908, County_Data_CZones!$B$2:$F$3236, 2, FALSE)</f>
        <v>4</v>
      </c>
      <c r="N2908" s="37" t="str">
        <f>VLOOKUP(D2908, County_Data_CZones!$B$2:$F$3236, 5, FALSE)</f>
        <v>Mixed-Humid</v>
      </c>
    </row>
    <row r="2909" ht="15.75" customHeight="1">
      <c r="A2909" s="32" t="s">
        <v>407</v>
      </c>
      <c r="B2909" s="32" t="s">
        <v>1828</v>
      </c>
      <c r="C2909" s="32" t="str">
        <f>vlookup(B2909,State_EMM_RowSums!$A$2:$B$52,2,FALSE)</f>
        <v>VA</v>
      </c>
      <c r="D2909" s="32">
        <v>51183.0</v>
      </c>
      <c r="E2909" s="33">
        <f>IF(NOT(ISBLANK(vlookup($D2909,Pop_Census_2023!$A$2:$E$3220,4,FALSE))),vlookup($D2909,Pop_Census_2023!$A$2:$E$3220,4,FALSE), vlookup($D2909,Pop_Census_2023!$A$2:$E$3220,5,FALSE))</f>
        <v>10757</v>
      </c>
      <c r="F2909" s="32">
        <v>1690257.0</v>
      </c>
      <c r="G2909" s="32">
        <v>99.0</v>
      </c>
      <c r="H2909" s="32" t="str">
        <f>VLOOKUP(D2909, Grid_Region_Mapping!$D$2:$F$5286, 3, FALSE)</f>
        <v>PJMD</v>
      </c>
      <c r="I2909" s="32">
        <v>5.0</v>
      </c>
      <c r="J2909" s="34" t="str">
        <f t="shared" si="1"/>
        <v>South</v>
      </c>
      <c r="K2909" s="35">
        <v>4.0</v>
      </c>
      <c r="L2909" s="35" t="s">
        <v>223</v>
      </c>
      <c r="M2909" s="36">
        <f>VLOOKUP(D2909, County_Data_CZones!$B$2:$F$3236, 2, FALSE)</f>
        <v>4</v>
      </c>
      <c r="N2909" s="37" t="str">
        <f>VLOOKUP(D2909, County_Data_CZones!$B$2:$F$3236, 5, FALSE)</f>
        <v>Mixed-Humid</v>
      </c>
    </row>
    <row r="2910" ht="15.75" customHeight="1">
      <c r="A2910" s="32" t="s">
        <v>655</v>
      </c>
      <c r="B2910" s="32" t="s">
        <v>1828</v>
      </c>
      <c r="C2910" s="32" t="str">
        <f>vlookup(B2910,State_EMM_RowSums!$A$2:$B$52,2,FALSE)</f>
        <v>VA</v>
      </c>
      <c r="D2910" s="32">
        <v>51185.0</v>
      </c>
      <c r="E2910" s="33">
        <f>IF(NOT(ISBLANK(vlookup($D2910,Pop_Census_2023!$A$2:$E$3220,4,FALSE))),vlookup($D2910,Pop_Census_2023!$A$2:$E$3220,4,FALSE), vlookup($D2910,Pop_Census_2023!$A$2:$E$3220,5,FALSE))</f>
        <v>39120</v>
      </c>
      <c r="F2910" s="32">
        <v>1497748.0</v>
      </c>
      <c r="G2910" s="32">
        <v>118.0</v>
      </c>
      <c r="H2910" s="32" t="str">
        <f>VLOOKUP(D2910, Grid_Region_Mapping!$D$2:$F$5286, 3, FALSE)</f>
        <v>PJMW</v>
      </c>
      <c r="I2910" s="32">
        <v>5.0</v>
      </c>
      <c r="J2910" s="34" t="str">
        <f t="shared" si="1"/>
        <v>South</v>
      </c>
      <c r="K2910" s="35">
        <v>3.0</v>
      </c>
      <c r="L2910" s="35" t="s">
        <v>223</v>
      </c>
      <c r="M2910" s="36">
        <f>VLOOKUP(D2910, County_Data_CZones!$B$2:$F$3236, 2, FALSE)</f>
        <v>4</v>
      </c>
      <c r="N2910" s="37" t="str">
        <f>VLOOKUP(D2910, County_Data_CZones!$B$2:$F$3236, 5, FALSE)</f>
        <v>Mixed-Humid</v>
      </c>
    </row>
    <row r="2911" ht="15.75" customHeight="1">
      <c r="A2911" s="32" t="s">
        <v>561</v>
      </c>
      <c r="B2911" s="32" t="s">
        <v>1828</v>
      </c>
      <c r="C2911" s="32" t="str">
        <f>vlookup(B2911,State_EMM_RowSums!$A$2:$B$52,2,FALSE)</f>
        <v>VA</v>
      </c>
      <c r="D2911" s="32">
        <v>51187.0</v>
      </c>
      <c r="E2911" s="33">
        <f>IF(NOT(ISBLANK(vlookup($D2911,Pop_Census_2023!$A$2:$E$3220,4,FALSE))),vlookup($D2911,Pop_Census_2023!$A$2:$E$3220,4,FALSE), vlookup($D2911,Pop_Census_2023!$A$2:$E$3220,5,FALSE))</f>
        <v>41843</v>
      </c>
      <c r="F2911" s="32">
        <v>1674058.0</v>
      </c>
      <c r="G2911" s="32">
        <v>100.0</v>
      </c>
      <c r="H2911" s="32" t="str">
        <f>VLOOKUP(D2911, Grid_Region_Mapping!$D$2:$F$5286, 3, FALSE)</f>
        <v>PJMW</v>
      </c>
      <c r="I2911" s="32">
        <v>5.0</v>
      </c>
      <c r="J2911" s="34" t="str">
        <f t="shared" si="1"/>
        <v>South</v>
      </c>
      <c r="K2911" s="35">
        <v>3.0</v>
      </c>
      <c r="L2911" s="35" t="s">
        <v>223</v>
      </c>
      <c r="M2911" s="36">
        <f>VLOOKUP(D2911, County_Data_CZones!$B$2:$F$3236, 2, FALSE)</f>
        <v>4</v>
      </c>
      <c r="N2911" s="37" t="str">
        <f>VLOOKUP(D2911, County_Data_CZones!$B$2:$F$3236, 5, FALSE)</f>
        <v>Mixed-Humid</v>
      </c>
    </row>
    <row r="2912" ht="15.75" customHeight="1">
      <c r="A2912" s="32" t="s">
        <v>167</v>
      </c>
      <c r="B2912" s="32" t="s">
        <v>1828</v>
      </c>
      <c r="C2912" s="32" t="str">
        <f>vlookup(B2912,State_EMM_RowSums!$A$2:$B$52,2,FALSE)</f>
        <v>VA</v>
      </c>
      <c r="D2912" s="32">
        <v>51191.0</v>
      </c>
      <c r="E2912" s="33">
        <f>IF(NOT(ISBLANK(vlookup($D2912,Pop_Census_2023!$A$2:$E$3220,4,FALSE))),vlookup($D2912,Pop_Census_2023!$A$2:$E$3220,4,FALSE), vlookup($D2912,Pop_Census_2023!$A$2:$E$3220,5,FALSE))</f>
        <v>54050</v>
      </c>
      <c r="F2912" s="32">
        <v>1498359.0</v>
      </c>
      <c r="G2912" s="32">
        <v>118.0</v>
      </c>
      <c r="H2912" s="32" t="str">
        <f>VLOOKUP(D2912, Grid_Region_Mapping!$D$2:$F$5286, 3, FALSE)</f>
        <v>PJMW</v>
      </c>
      <c r="I2912" s="32">
        <v>5.0</v>
      </c>
      <c r="J2912" s="34" t="str">
        <f t="shared" si="1"/>
        <v>South</v>
      </c>
      <c r="K2912" s="35">
        <v>3.0</v>
      </c>
      <c r="L2912" s="35" t="s">
        <v>223</v>
      </c>
      <c r="M2912" s="36">
        <f>VLOOKUP(D2912, County_Data_CZones!$B$2:$F$3236, 2, FALSE)</f>
        <v>4</v>
      </c>
      <c r="N2912" s="37" t="str">
        <f>VLOOKUP(D2912, County_Data_CZones!$B$2:$F$3236, 5, FALSE)</f>
        <v>Mixed-Humid</v>
      </c>
    </row>
    <row r="2913" ht="15.75" customHeight="1">
      <c r="A2913" s="32" t="s">
        <v>1545</v>
      </c>
      <c r="B2913" s="32" t="s">
        <v>1828</v>
      </c>
      <c r="C2913" s="32" t="str">
        <f>vlookup(B2913,State_EMM_RowSums!$A$2:$B$52,2,FALSE)</f>
        <v>VA</v>
      </c>
      <c r="D2913" s="32">
        <v>51193.0</v>
      </c>
      <c r="E2913" s="33">
        <f>IF(NOT(ISBLANK(vlookup($D2913,Pop_Census_2023!$A$2:$E$3220,4,FALSE))),vlookup($D2913,Pop_Census_2023!$A$2:$E$3220,4,FALSE), vlookup($D2913,Pop_Census_2023!$A$2:$E$3220,5,FALSE))</f>
        <v>19013</v>
      </c>
      <c r="F2913" s="32">
        <v>1480179.0</v>
      </c>
      <c r="G2913" s="32">
        <v>99.0</v>
      </c>
      <c r="H2913" s="32" t="str">
        <f>VLOOKUP(D2913, Grid_Region_Mapping!$D$2:$F$5286, 3, FALSE)</f>
        <v>PJMD</v>
      </c>
      <c r="I2913" s="32">
        <v>5.0</v>
      </c>
      <c r="J2913" s="34" t="str">
        <f t="shared" si="1"/>
        <v>South</v>
      </c>
      <c r="K2913" s="35">
        <v>4.0</v>
      </c>
      <c r="L2913" s="35" t="s">
        <v>223</v>
      </c>
      <c r="M2913" s="36">
        <f>VLOOKUP(D2913, County_Data_CZones!$B$2:$F$3236, 2, FALSE)</f>
        <v>4</v>
      </c>
      <c r="N2913" s="37" t="str">
        <f>VLOOKUP(D2913, County_Data_CZones!$B$2:$F$3236, 5, FALSE)</f>
        <v>Mixed-Humid</v>
      </c>
    </row>
    <row r="2914" ht="15.75" customHeight="1">
      <c r="A2914" s="32" t="s">
        <v>1797</v>
      </c>
      <c r="B2914" s="32" t="s">
        <v>1828</v>
      </c>
      <c r="C2914" s="32" t="str">
        <f>vlookup(B2914,State_EMM_RowSums!$A$2:$B$52,2,FALSE)</f>
        <v>VA</v>
      </c>
      <c r="D2914" s="32">
        <v>51195.0</v>
      </c>
      <c r="E2914" s="33">
        <f>IF(NOT(ISBLANK(vlookup($D2914,Pop_Census_2023!$A$2:$E$3220,4,FALSE))),vlookup($D2914,Pop_Census_2023!$A$2:$E$3220,4,FALSE), vlookup($D2914,Pop_Census_2023!$A$2:$E$3220,5,FALSE))</f>
        <v>35174</v>
      </c>
      <c r="F2914" s="32">
        <v>1496656.0</v>
      </c>
      <c r="G2914" s="32">
        <v>118.0</v>
      </c>
      <c r="H2914" s="32" t="str">
        <f>VLOOKUP(D2914, Grid_Region_Mapping!$D$2:$F$5286, 3, FALSE)</f>
        <v>SRCE</v>
      </c>
      <c r="I2914" s="32">
        <v>5.0</v>
      </c>
      <c r="J2914" s="34" t="str">
        <f t="shared" si="1"/>
        <v>South</v>
      </c>
      <c r="K2914" s="35">
        <v>3.0</v>
      </c>
      <c r="L2914" s="35" t="s">
        <v>223</v>
      </c>
      <c r="M2914" s="36">
        <f>VLOOKUP(D2914, County_Data_CZones!$B$2:$F$3236, 2, FALSE)</f>
        <v>4</v>
      </c>
      <c r="N2914" s="37" t="str">
        <f>VLOOKUP(D2914, County_Data_CZones!$B$2:$F$3236, 5, FALSE)</f>
        <v>Mixed-Humid</v>
      </c>
    </row>
    <row r="2915" ht="15.75" customHeight="1">
      <c r="A2915" s="32" t="s">
        <v>1872</v>
      </c>
      <c r="B2915" s="32" t="s">
        <v>1828</v>
      </c>
      <c r="C2915" s="32" t="str">
        <f>vlookup(B2915,State_EMM_RowSums!$A$2:$B$52,2,FALSE)</f>
        <v>VA</v>
      </c>
      <c r="D2915" s="32">
        <v>51197.0</v>
      </c>
      <c r="E2915" s="33">
        <f>IF(NOT(ISBLANK(vlookup($D2915,Pop_Census_2023!$A$2:$E$3220,4,FALSE))),vlookup($D2915,Pop_Census_2023!$A$2:$E$3220,4,FALSE), vlookup($D2915,Pop_Census_2023!$A$2:$E$3220,5,FALSE))</f>
        <v>28104</v>
      </c>
      <c r="F2915" s="32">
        <v>1501379.0</v>
      </c>
      <c r="G2915" s="32">
        <v>118.0</v>
      </c>
      <c r="H2915" s="32" t="str">
        <f>VLOOKUP(D2915, Grid_Region_Mapping!$D$2:$F$5286, 3, FALSE)</f>
        <v>PJMW</v>
      </c>
      <c r="I2915" s="32">
        <v>5.0</v>
      </c>
      <c r="J2915" s="34" t="str">
        <f t="shared" si="1"/>
        <v>South</v>
      </c>
      <c r="K2915" s="35">
        <v>3.0</v>
      </c>
      <c r="L2915" s="35" t="s">
        <v>223</v>
      </c>
      <c r="M2915" s="36">
        <f>VLOOKUP(D2915, County_Data_CZones!$B$2:$F$3236, 2, FALSE)</f>
        <v>4</v>
      </c>
      <c r="N2915" s="37" t="str">
        <f>VLOOKUP(D2915, County_Data_CZones!$B$2:$F$3236, 5, FALSE)</f>
        <v>Mixed-Humid</v>
      </c>
    </row>
    <row r="2916" ht="15.75" customHeight="1">
      <c r="A2916" s="32" t="s">
        <v>932</v>
      </c>
      <c r="B2916" s="32" t="s">
        <v>1828</v>
      </c>
      <c r="C2916" s="32" t="str">
        <f>vlookup(B2916,State_EMM_RowSums!$A$2:$B$52,2,FALSE)</f>
        <v>VA</v>
      </c>
      <c r="D2916" s="32">
        <v>51199.0</v>
      </c>
      <c r="E2916" s="33">
        <f>IF(NOT(ISBLANK(vlookup($D2916,Pop_Census_2023!$A$2:$E$3220,4,FALSE))),vlookup($D2916,Pop_Census_2023!$A$2:$E$3220,4,FALSE), vlookup($D2916,Pop_Census_2023!$A$2:$E$3220,5,FALSE))</f>
        <v>70952</v>
      </c>
      <c r="F2916" s="32">
        <v>1480182.0</v>
      </c>
      <c r="G2916" s="32">
        <v>99.0</v>
      </c>
      <c r="H2916" s="32" t="str">
        <f>VLOOKUP(D2916, Grid_Region_Mapping!$D$2:$F$5286, 3, FALSE)</f>
        <v>PJMD</v>
      </c>
      <c r="I2916" s="32">
        <v>5.0</v>
      </c>
      <c r="J2916" s="34" t="str">
        <f t="shared" si="1"/>
        <v>South</v>
      </c>
      <c r="K2916" s="35">
        <v>4.0</v>
      </c>
      <c r="L2916" s="35" t="s">
        <v>223</v>
      </c>
      <c r="M2916" s="36">
        <f>VLOOKUP(D2916, County_Data_CZones!$B$2:$F$3236, 2, FALSE)</f>
        <v>4</v>
      </c>
      <c r="N2916" s="37" t="str">
        <f>VLOOKUP(D2916, County_Data_CZones!$B$2:$F$3236, 5, FALSE)</f>
        <v>Mixed-Humid</v>
      </c>
    </row>
    <row r="2917" ht="15.75" customHeight="1">
      <c r="A2917" s="32" t="s">
        <v>1873</v>
      </c>
      <c r="B2917" s="32" t="s">
        <v>1828</v>
      </c>
      <c r="C2917" s="32" t="str">
        <f>vlookup(B2917,State_EMM_RowSums!$A$2:$B$52,2,FALSE)</f>
        <v>VA</v>
      </c>
      <c r="D2917" s="32">
        <v>51510.0</v>
      </c>
      <c r="E2917" s="33">
        <f>IF(NOT(ISBLANK(vlookup($D2917,Pop_Census_2023!$A$2:$E$3220,4,FALSE))),vlookup($D2917,Pop_Census_2023!$A$2:$E$3220,4,FALSE), vlookup($D2917,Pop_Census_2023!$A$2:$E$3220,5,FALSE))</f>
        <v>155230</v>
      </c>
      <c r="F2917" s="32">
        <v>1498415.0</v>
      </c>
      <c r="G2917" s="32">
        <v>99.0</v>
      </c>
      <c r="H2917" s="32" t="str">
        <f>VLOOKUP(D2917, Grid_Region_Mapping!$D$2:$F$5286, 3, FALSE)</f>
        <v>PJMD</v>
      </c>
      <c r="I2917" s="32">
        <v>5.0</v>
      </c>
      <c r="J2917" s="34" t="str">
        <f t="shared" si="1"/>
        <v>South</v>
      </c>
      <c r="K2917" s="35">
        <v>3.0</v>
      </c>
      <c r="L2917" s="35" t="s">
        <v>223</v>
      </c>
      <c r="M2917" s="36">
        <f>VLOOKUP(D2917, County_Data_CZones!$B$2:$F$3236, 2, FALSE)</f>
        <v>4</v>
      </c>
      <c r="N2917" s="37" t="str">
        <f>VLOOKUP(D2917, County_Data_CZones!$B$2:$F$3236, 5, FALSE)</f>
        <v>Mixed-Humid</v>
      </c>
    </row>
    <row r="2918" ht="15.75" customHeight="1">
      <c r="A2918" s="32" t="s">
        <v>954</v>
      </c>
      <c r="B2918" s="32" t="s">
        <v>1828</v>
      </c>
      <c r="C2918" s="32" t="str">
        <f>vlookup(B2918,State_EMM_RowSums!$A$2:$B$52,2,FALSE)</f>
        <v>VA</v>
      </c>
      <c r="D2918" s="32">
        <v>51520.0</v>
      </c>
      <c r="E2918" s="33">
        <f>IF(NOT(ISBLANK(vlookup($D2918,Pop_Census_2023!$A$2:$E$3220,4,FALSE))),vlookup($D2918,Pop_Census_2023!$A$2:$E$3220,4,FALSE), vlookup($D2918,Pop_Census_2023!$A$2:$E$3220,5,FALSE))</f>
        <v>16807</v>
      </c>
      <c r="F2918" s="32">
        <v>1498416.0</v>
      </c>
      <c r="G2918" s="32">
        <v>118.0</v>
      </c>
      <c r="H2918" s="32" t="str">
        <f>VLOOKUP(D2918, Grid_Region_Mapping!$D$2:$F$5286, 3, FALSE)</f>
        <v>SRCE</v>
      </c>
      <c r="I2918" s="32">
        <v>5.0</v>
      </c>
      <c r="J2918" s="34" t="str">
        <f t="shared" si="1"/>
        <v>South</v>
      </c>
      <c r="K2918" s="35">
        <v>3.0</v>
      </c>
      <c r="L2918" s="35" t="s">
        <v>223</v>
      </c>
      <c r="M2918" s="36">
        <f>VLOOKUP(D2918, County_Data_CZones!$B$2:$F$3236, 2, FALSE)</f>
        <v>4</v>
      </c>
      <c r="N2918" s="37" t="str">
        <f>VLOOKUP(D2918, County_Data_CZones!$B$2:$F$3236, 5, FALSE)</f>
        <v>Mixed-Humid</v>
      </c>
    </row>
    <row r="2919" ht="15.75" customHeight="1">
      <c r="A2919" s="32" t="s">
        <v>713</v>
      </c>
      <c r="B2919" s="32" t="s">
        <v>1828</v>
      </c>
      <c r="C2919" s="32" t="str">
        <f>vlookup(B2919,State_EMM_RowSums!$A$2:$B$52,2,FALSE)</f>
        <v>VA</v>
      </c>
      <c r="D2919" s="32">
        <v>51530.0</v>
      </c>
      <c r="E2919" s="33">
        <f>IF(NOT(ISBLANK(vlookup($D2919,Pop_Census_2023!$A$2:$E$3220,4,FALSE))),vlookup($D2919,Pop_Census_2023!$A$2:$E$3220,4,FALSE), vlookup($D2919,Pop_Census_2023!$A$2:$E$3220,5,FALSE))</f>
        <v>6566</v>
      </c>
      <c r="F2919" s="32">
        <v>1498417.0</v>
      </c>
      <c r="G2919" s="32">
        <v>99.0</v>
      </c>
      <c r="H2919" s="32" t="str">
        <f>VLOOKUP(D2919, Grid_Region_Mapping!$D$2:$F$5286, 3, FALSE)</f>
        <v>PJMD</v>
      </c>
      <c r="I2919" s="32">
        <v>5.0</v>
      </c>
      <c r="J2919" s="34" t="str">
        <f t="shared" si="1"/>
        <v>South</v>
      </c>
      <c r="K2919" s="35">
        <v>3.0</v>
      </c>
      <c r="L2919" s="35" t="s">
        <v>223</v>
      </c>
      <c r="M2919" s="36">
        <f>VLOOKUP(D2919, County_Data_CZones!$B$2:$F$3236, 2, FALSE)</f>
        <v>4</v>
      </c>
      <c r="N2919" s="37" t="str">
        <f>VLOOKUP(D2919, County_Data_CZones!$B$2:$F$3236, 5, FALSE)</f>
        <v>Mixed-Humid</v>
      </c>
    </row>
    <row r="2920" ht="15.75" customHeight="1">
      <c r="A2920" s="32" t="s">
        <v>1874</v>
      </c>
      <c r="B2920" s="32" t="s">
        <v>1828</v>
      </c>
      <c r="C2920" s="32" t="str">
        <f>vlookup(B2920,State_EMM_RowSums!$A$2:$B$52,2,FALSE)</f>
        <v>VA</v>
      </c>
      <c r="D2920" s="32">
        <v>51540.0</v>
      </c>
      <c r="E2920" s="33">
        <f>IF(NOT(ISBLANK(vlookup($D2920,Pop_Census_2023!$A$2:$E$3220,4,FALSE))),vlookup($D2920,Pop_Census_2023!$A$2:$E$3220,4,FALSE), vlookup($D2920,Pop_Census_2023!$A$2:$E$3220,5,FALSE))</f>
        <v>44983</v>
      </c>
      <c r="F2920" s="32">
        <v>1789068.0</v>
      </c>
      <c r="G2920" s="32">
        <v>99.0</v>
      </c>
      <c r="H2920" s="32" t="str">
        <f>VLOOKUP(D2920, Grid_Region_Mapping!$D$2:$F$5286, 3, FALSE)</f>
        <v>PJMD</v>
      </c>
      <c r="I2920" s="32">
        <v>5.0</v>
      </c>
      <c r="J2920" s="34" t="str">
        <f t="shared" si="1"/>
        <v>South</v>
      </c>
      <c r="K2920" s="35">
        <v>3.0</v>
      </c>
      <c r="L2920" s="35" t="s">
        <v>223</v>
      </c>
      <c r="M2920" s="36">
        <f>VLOOKUP(D2920, County_Data_CZones!$B$2:$F$3236, 2, FALSE)</f>
        <v>4</v>
      </c>
      <c r="N2920" s="37" t="str">
        <f>VLOOKUP(D2920, County_Data_CZones!$B$2:$F$3236, 5, FALSE)</f>
        <v>Mixed-Humid</v>
      </c>
    </row>
    <row r="2921" ht="15.75" customHeight="1">
      <c r="A2921" s="32" t="s">
        <v>1875</v>
      </c>
      <c r="B2921" s="32" t="s">
        <v>1828</v>
      </c>
      <c r="C2921" s="32" t="str">
        <f>vlookup(B2921,State_EMM_RowSums!$A$2:$B$52,2,FALSE)</f>
        <v>VA</v>
      </c>
      <c r="D2921" s="32">
        <v>51550.0</v>
      </c>
      <c r="E2921" s="33">
        <f>IF(NOT(ISBLANK(vlookup($D2921,Pop_Census_2023!$A$2:$E$3220,4,FALSE))),vlookup($D2921,Pop_Census_2023!$A$2:$E$3220,4,FALSE), vlookup($D2921,Pop_Census_2023!$A$2:$E$3220,5,FALSE))</f>
        <v>253886</v>
      </c>
      <c r="F2921" s="32">
        <v>1498558.0</v>
      </c>
      <c r="G2921" s="32">
        <v>99.0</v>
      </c>
      <c r="H2921" s="32" t="str">
        <f>VLOOKUP(D2921, Grid_Region_Mapping!$D$2:$F$5286, 3, FALSE)</f>
        <v>PJMD</v>
      </c>
      <c r="I2921" s="32">
        <v>5.0</v>
      </c>
      <c r="J2921" s="34" t="str">
        <f t="shared" si="1"/>
        <v>South</v>
      </c>
      <c r="K2921" s="35">
        <v>4.0</v>
      </c>
      <c r="L2921" s="35" t="s">
        <v>223</v>
      </c>
      <c r="M2921" s="36">
        <f>VLOOKUP(D2921, County_Data_CZones!$B$2:$F$3236, 2, FALSE)</f>
        <v>4</v>
      </c>
      <c r="N2921" s="37" t="str">
        <f>VLOOKUP(D2921, County_Data_CZones!$B$2:$F$3236, 5, FALSE)</f>
        <v>Mixed-Humid</v>
      </c>
    </row>
    <row r="2922" ht="15.75" customHeight="1">
      <c r="A2922" s="32" t="s">
        <v>1876</v>
      </c>
      <c r="B2922" s="32" t="s">
        <v>1828</v>
      </c>
      <c r="C2922" s="32" t="str">
        <f>vlookup(B2922,State_EMM_RowSums!$A$2:$B$52,2,FALSE)</f>
        <v>VA</v>
      </c>
      <c r="D2922" s="32">
        <v>51570.0</v>
      </c>
      <c r="E2922" s="33">
        <f>IF(NOT(ISBLANK(vlookup($D2922,Pop_Census_2023!$A$2:$E$3220,4,FALSE))),vlookup($D2922,Pop_Census_2023!$A$2:$E$3220,4,FALSE), vlookup($D2922,Pop_Census_2023!$A$2:$E$3220,5,FALSE))</f>
        <v>18393</v>
      </c>
      <c r="F2922" s="32">
        <v>1498420.0</v>
      </c>
      <c r="G2922" s="32">
        <v>99.0</v>
      </c>
      <c r="H2922" s="32" t="str">
        <f>VLOOKUP(D2922, Grid_Region_Mapping!$D$2:$F$5286, 3, FALSE)</f>
        <v>PJMD</v>
      </c>
      <c r="I2922" s="32">
        <v>5.0</v>
      </c>
      <c r="J2922" s="34" t="str">
        <f t="shared" si="1"/>
        <v>South</v>
      </c>
      <c r="K2922" s="35">
        <v>4.0</v>
      </c>
      <c r="L2922" s="35" t="s">
        <v>223</v>
      </c>
      <c r="M2922" s="36">
        <f>VLOOKUP(D2922, County_Data_CZones!$B$2:$F$3236, 2, FALSE)</f>
        <v>4</v>
      </c>
      <c r="N2922" s="37" t="str">
        <f>VLOOKUP(D2922, County_Data_CZones!$B$2:$F$3236, 5, FALSE)</f>
        <v>Mixed-Humid</v>
      </c>
    </row>
    <row r="2923" ht="15.75" customHeight="1">
      <c r="A2923" s="32" t="s">
        <v>122</v>
      </c>
      <c r="B2923" s="32" t="s">
        <v>1828</v>
      </c>
      <c r="C2923" s="32" t="str">
        <f>vlookup(B2923,State_EMM_RowSums!$A$2:$B$52,2,FALSE)</f>
        <v>VA</v>
      </c>
      <c r="D2923" s="32">
        <v>51580.0</v>
      </c>
      <c r="E2923" s="33">
        <f>IF(NOT(ISBLANK(vlookup($D2923,Pop_Census_2023!$A$2:$E$3220,4,FALSE))),vlookup($D2923,Pop_Census_2023!$A$2:$E$3220,4,FALSE), vlookup($D2923,Pop_Census_2023!$A$2:$E$3220,5,FALSE))</f>
        <v>5545</v>
      </c>
      <c r="F2923" s="32">
        <v>1789069.0</v>
      </c>
      <c r="G2923" s="32">
        <v>99.0</v>
      </c>
      <c r="H2923" s="32" t="str">
        <f>VLOOKUP(D2923, Grid_Region_Mapping!$D$2:$F$5286, 3, FALSE)</f>
        <v>PJMD</v>
      </c>
      <c r="I2923" s="32">
        <v>5.0</v>
      </c>
      <c r="J2923" s="34" t="str">
        <f t="shared" si="1"/>
        <v>South</v>
      </c>
      <c r="K2923" s="35">
        <v>3.0</v>
      </c>
      <c r="L2923" s="35" t="s">
        <v>223</v>
      </c>
      <c r="M2923" s="36">
        <f>VLOOKUP(D2923, County_Data_CZones!$B$2:$F$3236, 2, FALSE)</f>
        <v>4</v>
      </c>
      <c r="N2923" s="37" t="str">
        <f>VLOOKUP(D2923, County_Data_CZones!$B$2:$F$3236, 5, FALSE)</f>
        <v>Mixed-Humid</v>
      </c>
    </row>
    <row r="2924" ht="15.75" customHeight="1">
      <c r="A2924" s="32" t="s">
        <v>1877</v>
      </c>
      <c r="B2924" s="32" t="s">
        <v>1828</v>
      </c>
      <c r="C2924" s="32" t="str">
        <f>vlookup(B2924,State_EMM_RowSums!$A$2:$B$52,2,FALSE)</f>
        <v>VA</v>
      </c>
      <c r="D2924" s="32">
        <v>51590.0</v>
      </c>
      <c r="E2924" s="33">
        <f>IF(NOT(ISBLANK(vlookup($D2924,Pop_Census_2023!$A$2:$E$3220,4,FALSE))),vlookup($D2924,Pop_Census_2023!$A$2:$E$3220,4,FALSE), vlookup($D2924,Pop_Census_2023!$A$2:$E$3220,5,FALSE))</f>
        <v>41837</v>
      </c>
      <c r="F2924" s="32">
        <v>1498421.0</v>
      </c>
      <c r="G2924" s="32">
        <v>99.0</v>
      </c>
      <c r="H2924" s="32" t="str">
        <f>VLOOKUP(D2924, Grid_Region_Mapping!$D$2:$F$5286, 3, FALSE)</f>
        <v>PJMD</v>
      </c>
      <c r="I2924" s="32">
        <v>5.0</v>
      </c>
      <c r="J2924" s="34" t="str">
        <f t="shared" si="1"/>
        <v>South</v>
      </c>
      <c r="K2924" s="35">
        <v>3.0</v>
      </c>
      <c r="L2924" s="35" t="s">
        <v>223</v>
      </c>
      <c r="M2924" s="36">
        <f>VLOOKUP(D2924, County_Data_CZones!$B$2:$F$3236, 2, FALSE)</f>
        <v>4</v>
      </c>
      <c r="N2924" s="37" t="str">
        <f>VLOOKUP(D2924, County_Data_CZones!$B$2:$F$3236, 5, FALSE)</f>
        <v>Mixed-Humid</v>
      </c>
    </row>
    <row r="2925" ht="15.75" customHeight="1">
      <c r="A2925" s="32" t="s">
        <v>1878</v>
      </c>
      <c r="B2925" s="32" t="s">
        <v>1828</v>
      </c>
      <c r="C2925" s="32" t="str">
        <f>vlookup(B2925,State_EMM_RowSums!$A$2:$B$52,2,FALSE)</f>
        <v>VA</v>
      </c>
      <c r="D2925" s="32">
        <v>51595.0</v>
      </c>
      <c r="E2925" s="33">
        <f>IF(NOT(ISBLANK(vlookup($D2925,Pop_Census_2023!$A$2:$E$3220,4,FALSE))),vlookup($D2925,Pop_Census_2023!$A$2:$E$3220,4,FALSE), vlookup($D2925,Pop_Census_2023!$A$2:$E$3220,5,FALSE))</f>
        <v>5463</v>
      </c>
      <c r="F2925" s="32">
        <v>1498422.0</v>
      </c>
      <c r="G2925" s="32">
        <v>99.0</v>
      </c>
      <c r="H2925" s="32" t="str">
        <f>VLOOKUP(D2925, Grid_Region_Mapping!$D$2:$F$5286, 3, FALSE)</f>
        <v>PJMD</v>
      </c>
      <c r="I2925" s="32">
        <v>5.0</v>
      </c>
      <c r="J2925" s="34" t="str">
        <f t="shared" si="1"/>
        <v>South</v>
      </c>
      <c r="K2925" s="35">
        <v>4.0</v>
      </c>
      <c r="L2925" s="35" t="s">
        <v>223</v>
      </c>
      <c r="M2925" s="36">
        <f>VLOOKUP(D2925, County_Data_CZones!$B$2:$F$3236, 2, FALSE)</f>
        <v>4</v>
      </c>
      <c r="N2925" s="37" t="str">
        <f>VLOOKUP(D2925, County_Data_CZones!$B$2:$F$3236, 5, FALSE)</f>
        <v>Mixed-Humid</v>
      </c>
    </row>
    <row r="2926" ht="15.75" customHeight="1">
      <c r="A2926" s="32" t="s">
        <v>1879</v>
      </c>
      <c r="B2926" s="32" t="s">
        <v>1828</v>
      </c>
      <c r="C2926" s="32" t="str">
        <f>vlookup(B2926,State_EMM_RowSums!$A$2:$B$52,2,FALSE)</f>
        <v>VA</v>
      </c>
      <c r="D2926" s="32">
        <v>51600.0</v>
      </c>
      <c r="E2926" s="33">
        <f>IF(NOT(ISBLANK(vlookup($D2926,Pop_Census_2023!$A$2:$E$3220,4,FALSE))),vlookup($D2926,Pop_Census_2023!$A$2:$E$3220,4,FALSE), vlookup($D2926,Pop_Census_2023!$A$2:$E$3220,5,FALSE))</f>
        <v>25144</v>
      </c>
      <c r="F2926" s="32">
        <v>1789070.0</v>
      </c>
      <c r="G2926" s="32">
        <v>99.0</v>
      </c>
      <c r="H2926" s="32" t="str">
        <f>VLOOKUP(D2926, Grid_Region_Mapping!$D$2:$F$5286, 3, FALSE)</f>
        <v>PJMD</v>
      </c>
      <c r="I2926" s="32">
        <v>5.0</v>
      </c>
      <c r="J2926" s="34" t="str">
        <f t="shared" si="1"/>
        <v>South</v>
      </c>
      <c r="K2926" s="35">
        <v>3.0</v>
      </c>
      <c r="L2926" s="35" t="s">
        <v>223</v>
      </c>
      <c r="M2926" s="36">
        <f>VLOOKUP(D2926, County_Data_CZones!$B$2:$F$3236, 2, FALSE)</f>
        <v>4</v>
      </c>
      <c r="N2926" s="37" t="str">
        <f>VLOOKUP(D2926, County_Data_CZones!$B$2:$F$3236, 5, FALSE)</f>
        <v>Mixed-Humid</v>
      </c>
    </row>
    <row r="2927" ht="15.75" customHeight="1">
      <c r="A2927" s="32" t="s">
        <v>1880</v>
      </c>
      <c r="B2927" s="32" t="s">
        <v>1828</v>
      </c>
      <c r="C2927" s="32" t="str">
        <f>vlookup(B2927,State_EMM_RowSums!$A$2:$B$52,2,FALSE)</f>
        <v>VA</v>
      </c>
      <c r="D2927" s="32">
        <v>51610.0</v>
      </c>
      <c r="E2927" s="33">
        <f>IF(NOT(ISBLANK(vlookup($D2927,Pop_Census_2023!$A$2:$E$3220,4,FALSE))),vlookup($D2927,Pop_Census_2023!$A$2:$E$3220,4,FALSE), vlookup($D2927,Pop_Census_2023!$A$2:$E$3220,5,FALSE))</f>
        <v>14685</v>
      </c>
      <c r="F2927" s="32">
        <v>1498423.0</v>
      </c>
      <c r="G2927" s="32">
        <v>99.0</v>
      </c>
      <c r="H2927" s="32" t="str">
        <f>VLOOKUP(D2927, Grid_Region_Mapping!$D$2:$F$5286, 3, FALSE)</f>
        <v>PJMD</v>
      </c>
      <c r="I2927" s="32">
        <v>5.0</v>
      </c>
      <c r="J2927" s="34" t="str">
        <f t="shared" si="1"/>
        <v>South</v>
      </c>
      <c r="K2927" s="35">
        <v>3.0</v>
      </c>
      <c r="L2927" s="35" t="s">
        <v>223</v>
      </c>
      <c r="M2927" s="36">
        <f>VLOOKUP(D2927, County_Data_CZones!$B$2:$F$3236, 2, FALSE)</f>
        <v>4</v>
      </c>
      <c r="N2927" s="37" t="str">
        <f>VLOOKUP(D2927, County_Data_CZones!$B$2:$F$3236, 5, FALSE)</f>
        <v>Mixed-Humid</v>
      </c>
    </row>
    <row r="2928" ht="15.75" customHeight="1">
      <c r="A2928" s="32" t="s">
        <v>1881</v>
      </c>
      <c r="B2928" s="32" t="s">
        <v>1828</v>
      </c>
      <c r="C2928" s="32" t="str">
        <f>vlookup(B2928,State_EMM_RowSums!$A$2:$B$52,2,FALSE)</f>
        <v>VA</v>
      </c>
      <c r="D2928" s="32">
        <v>51620.0</v>
      </c>
      <c r="E2928" s="33">
        <f>IF(NOT(ISBLANK(vlookup($D2928,Pop_Census_2023!$A$2:$E$3220,4,FALSE))),vlookup($D2928,Pop_Census_2023!$A$2:$E$3220,4,FALSE), vlookup($D2928,Pop_Census_2023!$A$2:$E$3220,5,FALSE))</f>
        <v>8339</v>
      </c>
      <c r="F2928" s="32">
        <v>1498424.0</v>
      </c>
      <c r="G2928" s="32">
        <v>99.0</v>
      </c>
      <c r="H2928" s="32" t="str">
        <f>VLOOKUP(D2928, Grid_Region_Mapping!$D$2:$F$5286, 3, FALSE)</f>
        <v>PJMD</v>
      </c>
      <c r="I2928" s="32">
        <v>5.0</v>
      </c>
      <c r="J2928" s="34" t="str">
        <f t="shared" si="1"/>
        <v>South</v>
      </c>
      <c r="K2928" s="35">
        <v>4.0</v>
      </c>
      <c r="L2928" s="35" t="s">
        <v>223</v>
      </c>
      <c r="M2928" s="36">
        <f>VLOOKUP(D2928, County_Data_CZones!$B$2:$F$3236, 2, FALSE)</f>
        <v>4</v>
      </c>
      <c r="N2928" s="37" t="str">
        <f>VLOOKUP(D2928, County_Data_CZones!$B$2:$F$3236, 5, FALSE)</f>
        <v>Mixed-Humid</v>
      </c>
    </row>
    <row r="2929" ht="15.75" customHeight="1">
      <c r="A2929" s="32" t="s">
        <v>1882</v>
      </c>
      <c r="B2929" s="32" t="s">
        <v>1828</v>
      </c>
      <c r="C2929" s="32" t="str">
        <f>vlookup(B2929,State_EMM_RowSums!$A$2:$B$52,2,FALSE)</f>
        <v>VA</v>
      </c>
      <c r="D2929" s="32">
        <v>51630.0</v>
      </c>
      <c r="E2929" s="33">
        <f>IF(NOT(ISBLANK(vlookup($D2929,Pop_Census_2023!$A$2:$E$3220,4,FALSE))),vlookup($D2929,Pop_Census_2023!$A$2:$E$3220,4,FALSE), vlookup($D2929,Pop_Census_2023!$A$2:$E$3220,5,FALSE))</f>
        <v>28928</v>
      </c>
      <c r="F2929" s="32">
        <v>1498425.0</v>
      </c>
      <c r="G2929" s="32">
        <v>99.0</v>
      </c>
      <c r="H2929" s="32" t="str">
        <f>VLOOKUP(D2929, Grid_Region_Mapping!$D$2:$F$5286, 3, FALSE)</f>
        <v>PJMD</v>
      </c>
      <c r="I2929" s="32">
        <v>5.0</v>
      </c>
      <c r="J2929" s="34" t="str">
        <f t="shared" si="1"/>
        <v>South</v>
      </c>
      <c r="K2929" s="35">
        <v>3.0</v>
      </c>
      <c r="L2929" s="35" t="s">
        <v>223</v>
      </c>
      <c r="M2929" s="36">
        <f>VLOOKUP(D2929, County_Data_CZones!$B$2:$F$3236, 2, FALSE)</f>
        <v>4</v>
      </c>
      <c r="N2929" s="37" t="str">
        <f>VLOOKUP(D2929, County_Data_CZones!$B$2:$F$3236, 5, FALSE)</f>
        <v>Mixed-Humid</v>
      </c>
    </row>
    <row r="2930" ht="15.75" customHeight="1">
      <c r="A2930" s="32" t="s">
        <v>1883</v>
      </c>
      <c r="B2930" s="32" t="s">
        <v>1828</v>
      </c>
      <c r="C2930" s="32" t="str">
        <f>vlookup(B2930,State_EMM_RowSums!$A$2:$B$52,2,FALSE)</f>
        <v>VA</v>
      </c>
      <c r="D2930" s="32">
        <v>51640.0</v>
      </c>
      <c r="E2930" s="33">
        <f>IF(NOT(ISBLANK(vlookup($D2930,Pop_Census_2023!$A$2:$E$3220,4,FALSE))),vlookup($D2930,Pop_Census_2023!$A$2:$E$3220,4,FALSE), vlookup($D2930,Pop_Census_2023!$A$2:$E$3220,5,FALSE))</f>
        <v>6717</v>
      </c>
      <c r="F2930" s="32">
        <v>1498426.0</v>
      </c>
      <c r="G2930" s="32">
        <v>118.0</v>
      </c>
      <c r="H2930" s="32" t="str">
        <f>VLOOKUP(D2930, Grid_Region_Mapping!$D$2:$F$5286, 3, FALSE)</f>
        <v>PJMW</v>
      </c>
      <c r="I2930" s="32">
        <v>5.0</v>
      </c>
      <c r="J2930" s="34" t="str">
        <f t="shared" si="1"/>
        <v>South</v>
      </c>
      <c r="K2930" s="35">
        <v>3.0</v>
      </c>
      <c r="L2930" s="35" t="s">
        <v>223</v>
      </c>
      <c r="M2930" s="36">
        <f>VLOOKUP(D2930, County_Data_CZones!$B$2:$F$3236, 2, FALSE)</f>
        <v>4</v>
      </c>
      <c r="N2930" s="37" t="str">
        <f>VLOOKUP(D2930, County_Data_CZones!$B$2:$F$3236, 5, FALSE)</f>
        <v>Mixed-Humid</v>
      </c>
    </row>
    <row r="2931" ht="15.75" customHeight="1">
      <c r="A2931" s="32" t="s">
        <v>1566</v>
      </c>
      <c r="B2931" s="32" t="s">
        <v>1828</v>
      </c>
      <c r="C2931" s="32" t="str">
        <f>vlookup(B2931,State_EMM_RowSums!$A$2:$B$52,2,FALSE)</f>
        <v>VA</v>
      </c>
      <c r="D2931" s="32">
        <v>51650.0</v>
      </c>
      <c r="E2931" s="33">
        <f>IF(NOT(ISBLANK(vlookup($D2931,Pop_Census_2023!$A$2:$E$3220,4,FALSE))),vlookup($D2931,Pop_Census_2023!$A$2:$E$3220,4,FALSE), vlookup($D2931,Pop_Census_2023!$A$2:$E$3220,5,FALSE))</f>
        <v>137098</v>
      </c>
      <c r="F2931" s="32">
        <v>1498554.0</v>
      </c>
      <c r="G2931" s="32">
        <v>99.0</v>
      </c>
      <c r="H2931" s="32" t="str">
        <f>VLOOKUP(D2931, Grid_Region_Mapping!$D$2:$F$5286, 3, FALSE)</f>
        <v>PJMD</v>
      </c>
      <c r="I2931" s="32">
        <v>5.0</v>
      </c>
      <c r="J2931" s="34" t="str">
        <f t="shared" si="1"/>
        <v>South</v>
      </c>
      <c r="K2931" s="35">
        <v>4.0</v>
      </c>
      <c r="L2931" s="35" t="s">
        <v>223</v>
      </c>
      <c r="M2931" s="36">
        <f>VLOOKUP(D2931, County_Data_CZones!$B$2:$F$3236, 2, FALSE)</f>
        <v>4</v>
      </c>
      <c r="N2931" s="37" t="str">
        <f>VLOOKUP(D2931, County_Data_CZones!$B$2:$F$3236, 5, FALSE)</f>
        <v>Mixed-Humid</v>
      </c>
    </row>
    <row r="2932" ht="15.75" customHeight="1">
      <c r="A2932" s="32" t="s">
        <v>1884</v>
      </c>
      <c r="B2932" s="32" t="s">
        <v>1828</v>
      </c>
      <c r="C2932" s="32" t="str">
        <f>vlookup(B2932,State_EMM_RowSums!$A$2:$B$52,2,FALSE)</f>
        <v>VA</v>
      </c>
      <c r="D2932" s="32">
        <v>51660.0</v>
      </c>
      <c r="E2932" s="33">
        <f>IF(NOT(ISBLANK(vlookup($D2932,Pop_Census_2023!$A$2:$E$3220,4,FALSE))),vlookup($D2932,Pop_Census_2023!$A$2:$E$3220,4,FALSE), vlookup($D2932,Pop_Census_2023!$A$2:$E$3220,5,FALSE))</f>
        <v>51082</v>
      </c>
      <c r="F2932" s="32">
        <v>1498563.0</v>
      </c>
      <c r="G2932" s="32">
        <v>99.0</v>
      </c>
      <c r="H2932" s="32" t="str">
        <f>VLOOKUP(D2932, Grid_Region_Mapping!$D$2:$F$5286, 3, FALSE)</f>
        <v>PJMD</v>
      </c>
      <c r="I2932" s="32">
        <v>5.0</v>
      </c>
      <c r="J2932" s="34" t="str">
        <f t="shared" si="1"/>
        <v>South</v>
      </c>
      <c r="K2932" s="35">
        <v>3.0</v>
      </c>
      <c r="L2932" s="35" t="s">
        <v>223</v>
      </c>
      <c r="M2932" s="36">
        <f>VLOOKUP(D2932, County_Data_CZones!$B$2:$F$3236, 2, FALSE)</f>
        <v>4</v>
      </c>
      <c r="N2932" s="37" t="str">
        <f>VLOOKUP(D2932, County_Data_CZones!$B$2:$F$3236, 5, FALSE)</f>
        <v>Mixed-Humid</v>
      </c>
    </row>
    <row r="2933" ht="15.75" customHeight="1">
      <c r="A2933" s="32" t="s">
        <v>1885</v>
      </c>
      <c r="B2933" s="32" t="s">
        <v>1828</v>
      </c>
      <c r="C2933" s="32" t="str">
        <f>vlookup(B2933,State_EMM_RowSums!$A$2:$B$52,2,FALSE)</f>
        <v>VA</v>
      </c>
      <c r="D2933" s="32">
        <v>51670.0</v>
      </c>
      <c r="E2933" s="33">
        <f>IF(NOT(ISBLANK(vlookup($D2933,Pop_Census_2023!$A$2:$E$3220,4,FALSE))),vlookup($D2933,Pop_Census_2023!$A$2:$E$3220,4,FALSE), vlookup($D2933,Pop_Census_2023!$A$2:$E$3220,5,FALSE))</f>
        <v>22752</v>
      </c>
      <c r="F2933" s="32">
        <v>1498428.0</v>
      </c>
      <c r="G2933" s="32">
        <v>99.0</v>
      </c>
      <c r="H2933" s="32" t="str">
        <f>VLOOKUP(D2933, Grid_Region_Mapping!$D$2:$F$5286, 3, FALSE)</f>
        <v>PJMD</v>
      </c>
      <c r="I2933" s="32">
        <v>5.0</v>
      </c>
      <c r="J2933" s="34" t="str">
        <f t="shared" si="1"/>
        <v>South</v>
      </c>
      <c r="K2933" s="35">
        <v>4.0</v>
      </c>
      <c r="L2933" s="35" t="s">
        <v>223</v>
      </c>
      <c r="M2933" s="36">
        <f>VLOOKUP(D2933, County_Data_CZones!$B$2:$F$3236, 2, FALSE)</f>
        <v>4</v>
      </c>
      <c r="N2933" s="37" t="str">
        <f>VLOOKUP(D2933, County_Data_CZones!$B$2:$F$3236, 5, FALSE)</f>
        <v>Mixed-Humid</v>
      </c>
    </row>
    <row r="2934" ht="15.75" customHeight="1">
      <c r="A2934" s="32" t="s">
        <v>1569</v>
      </c>
      <c r="B2934" s="32" t="s">
        <v>1828</v>
      </c>
      <c r="C2934" s="32" t="str">
        <f>vlookup(B2934,State_EMM_RowSums!$A$2:$B$52,2,FALSE)</f>
        <v>VA</v>
      </c>
      <c r="D2934" s="32">
        <v>51678.0</v>
      </c>
      <c r="E2934" s="33">
        <f>IF(NOT(ISBLANK(vlookup($D2934,Pop_Census_2023!$A$2:$E$3220,4,FALSE))),vlookup($D2934,Pop_Census_2023!$A$2:$E$3220,4,FALSE), vlookup($D2934,Pop_Census_2023!$A$2:$E$3220,5,FALSE))</f>
        <v>7528</v>
      </c>
      <c r="F2934" s="32">
        <v>1789071.0</v>
      </c>
      <c r="G2934" s="32">
        <v>99.0</v>
      </c>
      <c r="H2934" s="32" t="str">
        <f>VLOOKUP(D2934, Grid_Region_Mapping!$D$2:$F$5286, 3, FALSE)</f>
        <v>PJMD</v>
      </c>
      <c r="I2934" s="32">
        <v>5.0</v>
      </c>
      <c r="J2934" s="34" t="str">
        <f t="shared" si="1"/>
        <v>South</v>
      </c>
      <c r="K2934" s="35">
        <v>3.0</v>
      </c>
      <c r="L2934" s="35" t="s">
        <v>223</v>
      </c>
      <c r="M2934" s="36">
        <f>VLOOKUP(D2934, County_Data_CZones!$B$2:$F$3236, 2, FALSE)</f>
        <v>4</v>
      </c>
      <c r="N2934" s="37" t="str">
        <f>VLOOKUP(D2934, County_Data_CZones!$B$2:$F$3236, 5, FALSE)</f>
        <v>Mixed-Humid</v>
      </c>
    </row>
    <row r="2935" ht="15.75" customHeight="1">
      <c r="A2935" s="32" t="s">
        <v>1886</v>
      </c>
      <c r="B2935" s="32" t="s">
        <v>1828</v>
      </c>
      <c r="C2935" s="32" t="str">
        <f>vlookup(B2935,State_EMM_RowSums!$A$2:$B$52,2,FALSE)</f>
        <v>VA</v>
      </c>
      <c r="D2935" s="32">
        <v>51680.0</v>
      </c>
      <c r="E2935" s="33">
        <f>IF(NOT(ISBLANK(vlookup($D2935,Pop_Census_2023!$A$2:$E$3220,4,FALSE))),vlookup($D2935,Pop_Census_2023!$A$2:$E$3220,4,FALSE), vlookup($D2935,Pop_Census_2023!$A$2:$E$3220,5,FALSE))</f>
        <v>79535</v>
      </c>
      <c r="F2935" s="32">
        <v>1498429.0</v>
      </c>
      <c r="G2935" s="32">
        <v>118.0</v>
      </c>
      <c r="H2935" s="32" t="str">
        <f>VLOOKUP(D2935, Grid_Region_Mapping!$D$2:$F$5286, 3, FALSE)</f>
        <v>PJMW</v>
      </c>
      <c r="I2935" s="32">
        <v>5.0</v>
      </c>
      <c r="J2935" s="34" t="str">
        <f t="shared" si="1"/>
        <v>South</v>
      </c>
      <c r="K2935" s="35">
        <v>3.0</v>
      </c>
      <c r="L2935" s="35" t="s">
        <v>223</v>
      </c>
      <c r="M2935" s="36">
        <f>VLOOKUP(D2935, County_Data_CZones!$B$2:$F$3236, 2, FALSE)</f>
        <v>4</v>
      </c>
      <c r="N2935" s="37" t="str">
        <f>VLOOKUP(D2935, County_Data_CZones!$B$2:$F$3236, 5, FALSE)</f>
        <v>Mixed-Humid</v>
      </c>
    </row>
    <row r="2936" ht="15.75" customHeight="1">
      <c r="A2936" s="32" t="s">
        <v>1887</v>
      </c>
      <c r="B2936" s="32" t="s">
        <v>1828</v>
      </c>
      <c r="C2936" s="32" t="str">
        <f>vlookup(B2936,State_EMM_RowSums!$A$2:$B$52,2,FALSE)</f>
        <v>VA</v>
      </c>
      <c r="D2936" s="32">
        <v>51683.0</v>
      </c>
      <c r="E2936" s="33">
        <f>IF(NOT(ISBLANK(vlookup($D2936,Pop_Census_2023!$A$2:$E$3220,4,FALSE))),vlookup($D2936,Pop_Census_2023!$A$2:$E$3220,4,FALSE), vlookup($D2936,Pop_Census_2023!$A$2:$E$3220,5,FALSE))</f>
        <v>42696</v>
      </c>
      <c r="F2936" s="32">
        <v>1498430.0</v>
      </c>
      <c r="G2936" s="32">
        <v>99.0</v>
      </c>
      <c r="H2936" s="32" t="str">
        <f>VLOOKUP(D2936, Grid_Region_Mapping!$D$2:$F$5286, 3, FALSE)</f>
        <v>PJMD</v>
      </c>
      <c r="I2936" s="32">
        <v>5.0</v>
      </c>
      <c r="J2936" s="34" t="str">
        <f t="shared" si="1"/>
        <v>South</v>
      </c>
      <c r="K2936" s="35">
        <v>3.0</v>
      </c>
      <c r="L2936" s="35" t="s">
        <v>223</v>
      </c>
      <c r="M2936" s="36">
        <f>VLOOKUP(D2936, County_Data_CZones!$B$2:$F$3236, 2, FALSE)</f>
        <v>4</v>
      </c>
      <c r="N2936" s="37" t="str">
        <f>VLOOKUP(D2936, County_Data_CZones!$B$2:$F$3236, 5, FALSE)</f>
        <v>Mixed-Humid</v>
      </c>
    </row>
    <row r="2937" ht="15.75" customHeight="1">
      <c r="A2937" s="32" t="s">
        <v>1888</v>
      </c>
      <c r="B2937" s="32" t="s">
        <v>1828</v>
      </c>
      <c r="C2937" s="32" t="str">
        <f>vlookup(B2937,State_EMM_RowSums!$A$2:$B$52,2,FALSE)</f>
        <v>VA</v>
      </c>
      <c r="D2937" s="32">
        <v>51685.0</v>
      </c>
      <c r="E2937" s="33">
        <f>IF(NOT(ISBLANK(vlookup($D2937,Pop_Census_2023!$A$2:$E$3220,4,FALSE))),vlookup($D2937,Pop_Census_2023!$A$2:$E$3220,4,FALSE), vlookup($D2937,Pop_Census_2023!$A$2:$E$3220,5,FALSE))</f>
        <v>16361</v>
      </c>
      <c r="F2937" s="32">
        <v>1498431.0</v>
      </c>
      <c r="G2937" s="32">
        <v>99.0</v>
      </c>
      <c r="H2937" s="32" t="str">
        <f>VLOOKUP(D2937, Grid_Region_Mapping!$D$2:$F$5286, 3, FALSE)</f>
        <v>PJMD</v>
      </c>
      <c r="I2937" s="32">
        <v>5.0</v>
      </c>
      <c r="J2937" s="34" t="str">
        <f t="shared" si="1"/>
        <v>South</v>
      </c>
      <c r="K2937" s="35">
        <v>3.0</v>
      </c>
      <c r="L2937" s="35" t="s">
        <v>223</v>
      </c>
      <c r="M2937" s="36">
        <f>VLOOKUP(D2937, County_Data_CZones!$B$2:$F$3236, 2, FALSE)</f>
        <v>4</v>
      </c>
      <c r="N2937" s="37" t="str">
        <f>VLOOKUP(D2937, County_Data_CZones!$B$2:$F$3236, 5, FALSE)</f>
        <v>Mixed-Humid</v>
      </c>
    </row>
    <row r="2938" ht="15.75" customHeight="1">
      <c r="A2938" s="32" t="s">
        <v>1889</v>
      </c>
      <c r="B2938" s="32" t="s">
        <v>1828</v>
      </c>
      <c r="C2938" s="32" t="str">
        <f>vlookup(B2938,State_EMM_RowSums!$A$2:$B$52,2,FALSE)</f>
        <v>VA</v>
      </c>
      <c r="D2938" s="32">
        <v>51690.0</v>
      </c>
      <c r="E2938" s="33">
        <f>IF(NOT(ISBLANK(vlookup($D2938,Pop_Census_2023!$A$2:$E$3220,4,FALSE))),vlookup($D2938,Pop_Census_2023!$A$2:$E$3220,4,FALSE), vlookup($D2938,Pop_Census_2023!$A$2:$E$3220,5,FALSE))</f>
        <v>13763</v>
      </c>
      <c r="F2938" s="32">
        <v>1789072.0</v>
      </c>
      <c r="G2938" s="32">
        <v>118.0</v>
      </c>
      <c r="H2938" s="32" t="str">
        <f>VLOOKUP(D2938, Grid_Region_Mapping!$D$2:$F$5286, 3, FALSE)</f>
        <v>PJMW</v>
      </c>
      <c r="I2938" s="32">
        <v>5.0</v>
      </c>
      <c r="J2938" s="34" t="str">
        <f t="shared" si="1"/>
        <v>South</v>
      </c>
      <c r="K2938" s="35">
        <v>3.0</v>
      </c>
      <c r="L2938" s="35" t="s">
        <v>223</v>
      </c>
      <c r="M2938" s="36">
        <f>VLOOKUP(D2938, County_Data_CZones!$B$2:$F$3236, 2, FALSE)</f>
        <v>4</v>
      </c>
      <c r="N2938" s="37" t="str">
        <f>VLOOKUP(D2938, County_Data_CZones!$B$2:$F$3236, 5, FALSE)</f>
        <v>Mixed-Humid</v>
      </c>
    </row>
    <row r="2939" ht="15.75" customHeight="1">
      <c r="A2939" s="32" t="s">
        <v>1890</v>
      </c>
      <c r="B2939" s="32" t="s">
        <v>1828</v>
      </c>
      <c r="C2939" s="32" t="str">
        <f>vlookup(B2939,State_EMM_RowSums!$A$2:$B$52,2,FALSE)</f>
        <v>VA</v>
      </c>
      <c r="D2939" s="32">
        <v>51700.0</v>
      </c>
      <c r="E2939" s="33">
        <f>IF(NOT(ISBLANK(vlookup($D2939,Pop_Census_2023!$A$2:$E$3220,4,FALSE))),vlookup($D2939,Pop_Census_2023!$A$2:$E$3220,4,FALSE), vlookup($D2939,Pop_Census_2023!$A$2:$E$3220,5,FALSE))</f>
        <v>183118</v>
      </c>
      <c r="F2939" s="32">
        <v>1498555.0</v>
      </c>
      <c r="G2939" s="32">
        <v>99.0</v>
      </c>
      <c r="H2939" s="32" t="str">
        <f>VLOOKUP(D2939, Grid_Region_Mapping!$D$2:$F$5286, 3, FALSE)</f>
        <v>PJMD</v>
      </c>
      <c r="I2939" s="32">
        <v>5.0</v>
      </c>
      <c r="J2939" s="34" t="str">
        <f t="shared" si="1"/>
        <v>South</v>
      </c>
      <c r="K2939" s="35">
        <v>4.0</v>
      </c>
      <c r="L2939" s="35" t="s">
        <v>223</v>
      </c>
      <c r="M2939" s="36">
        <f>VLOOKUP(D2939, County_Data_CZones!$B$2:$F$3236, 2, FALSE)</f>
        <v>4</v>
      </c>
      <c r="N2939" s="37" t="str">
        <f>VLOOKUP(D2939, County_Data_CZones!$B$2:$F$3236, 5, FALSE)</f>
        <v>Mixed-Humid</v>
      </c>
    </row>
    <row r="2940" ht="15.75" customHeight="1">
      <c r="A2940" s="32" t="s">
        <v>960</v>
      </c>
      <c r="B2940" s="32" t="s">
        <v>1828</v>
      </c>
      <c r="C2940" s="32" t="str">
        <f>vlookup(B2940,State_EMM_RowSums!$A$2:$B$52,2,FALSE)</f>
        <v>VA</v>
      </c>
      <c r="D2940" s="32">
        <v>51710.0</v>
      </c>
      <c r="E2940" s="33">
        <f>IF(NOT(ISBLANK(vlookup($D2940,Pop_Census_2023!$A$2:$E$3220,4,FALSE))),vlookup($D2940,Pop_Census_2023!$A$2:$E$3220,4,FALSE), vlookup($D2940,Pop_Census_2023!$A$2:$E$3220,5,FALSE))</f>
        <v>230930</v>
      </c>
      <c r="F2940" s="32">
        <v>1498557.0</v>
      </c>
      <c r="G2940" s="32">
        <v>99.0</v>
      </c>
      <c r="H2940" s="32" t="str">
        <f>VLOOKUP(D2940, Grid_Region_Mapping!$D$2:$F$5286, 3, FALSE)</f>
        <v>PJMD</v>
      </c>
      <c r="I2940" s="32">
        <v>5.0</v>
      </c>
      <c r="J2940" s="34" t="str">
        <f t="shared" si="1"/>
        <v>South</v>
      </c>
      <c r="K2940" s="35">
        <v>4.0</v>
      </c>
      <c r="L2940" s="35" t="s">
        <v>223</v>
      </c>
      <c r="M2940" s="36">
        <f>VLOOKUP(D2940, County_Data_CZones!$B$2:$F$3236, 2, FALSE)</f>
        <v>4</v>
      </c>
      <c r="N2940" s="37" t="str">
        <f>VLOOKUP(D2940, County_Data_CZones!$B$2:$F$3236, 5, FALSE)</f>
        <v>Mixed-Humid</v>
      </c>
    </row>
    <row r="2941" ht="15.75" customHeight="1">
      <c r="A2941" s="32" t="s">
        <v>789</v>
      </c>
      <c r="B2941" s="32" t="s">
        <v>1828</v>
      </c>
      <c r="C2941" s="32" t="str">
        <f>vlookup(B2941,State_EMM_RowSums!$A$2:$B$52,2,FALSE)</f>
        <v>VA</v>
      </c>
      <c r="D2941" s="32">
        <v>51720.0</v>
      </c>
      <c r="E2941" s="33">
        <f>IF(NOT(ISBLANK(vlookup($D2941,Pop_Census_2023!$A$2:$E$3220,4,FALSE))),vlookup($D2941,Pop_Census_2023!$A$2:$E$3220,4,FALSE), vlookup($D2941,Pop_Census_2023!$A$2:$E$3220,5,FALSE))</f>
        <v>3492</v>
      </c>
      <c r="F2941" s="32">
        <v>1498434.0</v>
      </c>
      <c r="G2941" s="32">
        <v>118.0</v>
      </c>
      <c r="H2941" s="32" t="str">
        <f>VLOOKUP(D2941, Grid_Region_Mapping!$D$2:$F$5286, 3, FALSE)</f>
        <v>SRCE</v>
      </c>
      <c r="I2941" s="32">
        <v>5.0</v>
      </c>
      <c r="J2941" s="34" t="str">
        <f t="shared" si="1"/>
        <v>South</v>
      </c>
      <c r="K2941" s="35">
        <v>3.0</v>
      </c>
      <c r="L2941" s="35" t="s">
        <v>223</v>
      </c>
      <c r="M2941" s="36">
        <f>VLOOKUP(D2941, County_Data_CZones!$B$2:$F$3236, 2, FALSE)</f>
        <v>4</v>
      </c>
      <c r="N2941" s="37" t="str">
        <f>VLOOKUP(D2941, County_Data_CZones!$B$2:$F$3236, 5, FALSE)</f>
        <v>Mixed-Humid</v>
      </c>
    </row>
    <row r="2942" ht="15.75" customHeight="1">
      <c r="A2942" s="32" t="s">
        <v>1891</v>
      </c>
      <c r="B2942" s="32" t="s">
        <v>1828</v>
      </c>
      <c r="C2942" s="32" t="str">
        <f>vlookup(B2942,State_EMM_RowSums!$A$2:$B$52,2,FALSE)</f>
        <v>VA</v>
      </c>
      <c r="D2942" s="32">
        <v>51730.0</v>
      </c>
      <c r="E2942" s="33">
        <f>IF(NOT(ISBLANK(vlookup($D2942,Pop_Census_2023!$A$2:$E$3220,4,FALSE))),vlookup($D2942,Pop_Census_2023!$A$2:$E$3220,4,FALSE), vlookup($D2942,Pop_Census_2023!$A$2:$E$3220,5,FALSE))</f>
        <v>33309</v>
      </c>
      <c r="F2942" s="32">
        <v>1498435.0</v>
      </c>
      <c r="G2942" s="32">
        <v>99.0</v>
      </c>
      <c r="H2942" s="32" t="str">
        <f>VLOOKUP(D2942, Grid_Region_Mapping!$D$2:$F$5286, 3, FALSE)</f>
        <v>PJMD</v>
      </c>
      <c r="I2942" s="32">
        <v>5.0</v>
      </c>
      <c r="J2942" s="34" t="str">
        <f t="shared" si="1"/>
        <v>South</v>
      </c>
      <c r="K2942" s="35">
        <v>4.0</v>
      </c>
      <c r="L2942" s="35" t="s">
        <v>223</v>
      </c>
      <c r="M2942" s="36">
        <f>VLOOKUP(D2942, County_Data_CZones!$B$2:$F$3236, 2, FALSE)</f>
        <v>4</v>
      </c>
      <c r="N2942" s="37" t="str">
        <f>VLOOKUP(D2942, County_Data_CZones!$B$2:$F$3236, 5, FALSE)</f>
        <v>Mixed-Humid</v>
      </c>
    </row>
    <row r="2943" ht="15.75" customHeight="1">
      <c r="A2943" s="32" t="s">
        <v>1892</v>
      </c>
      <c r="B2943" s="32" t="s">
        <v>1828</v>
      </c>
      <c r="C2943" s="32" t="str">
        <f>vlookup(B2943,State_EMM_RowSums!$A$2:$B$52,2,FALSE)</f>
        <v>VA</v>
      </c>
      <c r="D2943" s="32">
        <v>51735.0</v>
      </c>
      <c r="E2943" s="33">
        <f>IF(NOT(ISBLANK(vlookup($D2943,Pop_Census_2023!$A$2:$E$3220,4,FALSE))),vlookup($D2943,Pop_Census_2023!$A$2:$E$3220,4,FALSE), vlookup($D2943,Pop_Census_2023!$A$2:$E$3220,5,FALSE))</f>
        <v>12635</v>
      </c>
      <c r="F2943" s="32">
        <v>1498436.0</v>
      </c>
      <c r="G2943" s="32">
        <v>99.0</v>
      </c>
      <c r="H2943" s="32" t="str">
        <f>VLOOKUP(D2943, Grid_Region_Mapping!$D$2:$F$5286, 3, FALSE)</f>
        <v>PJMD</v>
      </c>
      <c r="I2943" s="32">
        <v>5.0</v>
      </c>
      <c r="J2943" s="34" t="str">
        <f t="shared" si="1"/>
        <v>South</v>
      </c>
      <c r="K2943" s="35">
        <v>4.0</v>
      </c>
      <c r="L2943" s="35" t="s">
        <v>223</v>
      </c>
      <c r="M2943" s="36">
        <f>VLOOKUP(D2943, County_Data_CZones!$B$2:$F$3236, 2, FALSE)</f>
        <v>4</v>
      </c>
      <c r="N2943" s="37" t="str">
        <f>VLOOKUP(D2943, County_Data_CZones!$B$2:$F$3236, 5, FALSE)</f>
        <v>Mixed-Humid</v>
      </c>
    </row>
    <row r="2944" ht="15.75" customHeight="1">
      <c r="A2944" s="32" t="s">
        <v>1893</v>
      </c>
      <c r="B2944" s="32" t="s">
        <v>1828</v>
      </c>
      <c r="C2944" s="32" t="str">
        <f>vlookup(B2944,State_EMM_RowSums!$A$2:$B$52,2,FALSE)</f>
        <v>VA</v>
      </c>
      <c r="D2944" s="32">
        <v>51740.0</v>
      </c>
      <c r="E2944" s="33">
        <f>IF(NOT(ISBLANK(vlookup($D2944,Pop_Census_2023!$A$2:$E$3220,4,FALSE))),vlookup($D2944,Pop_Census_2023!$A$2:$E$3220,4,FALSE), vlookup($D2944,Pop_Census_2023!$A$2:$E$3220,5,FALSE))</f>
        <v>96793</v>
      </c>
      <c r="F2944" s="32">
        <v>1498556.0</v>
      </c>
      <c r="G2944" s="32">
        <v>99.0</v>
      </c>
      <c r="H2944" s="32" t="str">
        <f>VLOOKUP(D2944, Grid_Region_Mapping!$D$2:$F$5286, 3, FALSE)</f>
        <v>PJMD</v>
      </c>
      <c r="I2944" s="32">
        <v>5.0</v>
      </c>
      <c r="J2944" s="34" t="str">
        <f t="shared" si="1"/>
        <v>South</v>
      </c>
      <c r="K2944" s="35">
        <v>4.0</v>
      </c>
      <c r="L2944" s="35" t="s">
        <v>223</v>
      </c>
      <c r="M2944" s="36">
        <f>VLOOKUP(D2944, County_Data_CZones!$B$2:$F$3236, 2, FALSE)</f>
        <v>4</v>
      </c>
      <c r="N2944" s="37" t="str">
        <f>VLOOKUP(D2944, County_Data_CZones!$B$2:$F$3236, 5, FALSE)</f>
        <v>Mixed-Humid</v>
      </c>
    </row>
    <row r="2945" ht="15.75" customHeight="1">
      <c r="A2945" s="32" t="s">
        <v>1894</v>
      </c>
      <c r="B2945" s="32" t="s">
        <v>1828</v>
      </c>
      <c r="C2945" s="32" t="str">
        <f>vlookup(B2945,State_EMM_RowSums!$A$2:$B$52,2,FALSE)</f>
        <v>VA</v>
      </c>
      <c r="D2945" s="32">
        <v>51750.0</v>
      </c>
      <c r="E2945" s="33">
        <f>IF(NOT(ISBLANK(vlookup($D2945,Pop_Census_2023!$A$2:$E$3220,4,FALSE))),vlookup($D2945,Pop_Census_2023!$A$2:$E$3220,4,FALSE), vlookup($D2945,Pop_Census_2023!$A$2:$E$3220,5,FALSE))</f>
        <v>16971</v>
      </c>
      <c r="F2945" s="32">
        <v>1498438.0</v>
      </c>
      <c r="G2945" s="32">
        <v>118.0</v>
      </c>
      <c r="H2945" s="32" t="str">
        <f>VLOOKUP(D2945, Grid_Region_Mapping!$D$2:$F$5286, 3, FALSE)</f>
        <v>PJMW</v>
      </c>
      <c r="I2945" s="32">
        <v>5.0</v>
      </c>
      <c r="J2945" s="34" t="str">
        <f t="shared" si="1"/>
        <v>South</v>
      </c>
      <c r="K2945" s="35">
        <v>3.0</v>
      </c>
      <c r="L2945" s="35" t="s">
        <v>223</v>
      </c>
      <c r="M2945" s="36">
        <f>VLOOKUP(D2945, County_Data_CZones!$B$2:$F$3236, 2, FALSE)</f>
        <v>4</v>
      </c>
      <c r="N2945" s="37" t="str">
        <f>VLOOKUP(D2945, County_Data_CZones!$B$2:$F$3236, 5, FALSE)</f>
        <v>Mixed-Humid</v>
      </c>
    </row>
    <row r="2946" ht="15.75" customHeight="1">
      <c r="A2946" s="32" t="s">
        <v>1895</v>
      </c>
      <c r="B2946" s="32" t="s">
        <v>1828</v>
      </c>
      <c r="C2946" s="32" t="str">
        <f>vlookup(B2946,State_EMM_RowSums!$A$2:$B$52,2,FALSE)</f>
        <v>VA</v>
      </c>
      <c r="D2946" s="32">
        <v>51760.0</v>
      </c>
      <c r="E2946" s="33">
        <f>IF(NOT(ISBLANK(vlookup($D2946,Pop_Census_2023!$A$2:$E$3220,4,FALSE))),vlookup($D2946,Pop_Census_2023!$A$2:$E$3220,4,FALSE), vlookup($D2946,Pop_Census_2023!$A$2:$E$3220,5,FALSE))</f>
        <v>229247</v>
      </c>
      <c r="F2946" s="32">
        <v>1789073.0</v>
      </c>
      <c r="G2946" s="32">
        <v>99.0</v>
      </c>
      <c r="H2946" s="32" t="str">
        <f>VLOOKUP(D2946, Grid_Region_Mapping!$D$2:$F$5286, 3, FALSE)</f>
        <v>PJMD</v>
      </c>
      <c r="I2946" s="32">
        <v>5.0</v>
      </c>
      <c r="J2946" s="34" t="str">
        <f t="shared" si="1"/>
        <v>South</v>
      </c>
      <c r="K2946" s="35">
        <v>4.0</v>
      </c>
      <c r="L2946" s="35" t="s">
        <v>223</v>
      </c>
      <c r="M2946" s="36">
        <f>VLOOKUP(D2946, County_Data_CZones!$B$2:$F$3236, 2, FALSE)</f>
        <v>4</v>
      </c>
      <c r="N2946" s="37" t="str">
        <f>VLOOKUP(D2946, County_Data_CZones!$B$2:$F$3236, 5, FALSE)</f>
        <v>Mixed-Humid</v>
      </c>
    </row>
    <row r="2947" ht="15.75" customHeight="1">
      <c r="A2947" s="32" t="s">
        <v>1896</v>
      </c>
      <c r="B2947" s="32" t="s">
        <v>1828</v>
      </c>
      <c r="C2947" s="32" t="str">
        <f>vlookup(B2947,State_EMM_RowSums!$A$2:$B$52,2,FALSE)</f>
        <v>VA</v>
      </c>
      <c r="D2947" s="32">
        <v>51770.0</v>
      </c>
      <c r="E2947" s="33">
        <f>IF(NOT(ISBLANK(vlookup($D2947,Pop_Census_2023!$A$2:$E$3220,4,FALSE))),vlookup($D2947,Pop_Census_2023!$A$2:$E$3220,4,FALSE), vlookup($D2947,Pop_Census_2023!$A$2:$E$3220,5,FALSE))</f>
        <v>97171</v>
      </c>
      <c r="F2947" s="32">
        <v>1498439.0</v>
      </c>
      <c r="G2947" s="32">
        <v>118.0</v>
      </c>
      <c r="H2947" s="32" t="str">
        <f>VLOOKUP(D2947, Grid_Region_Mapping!$D$2:$F$5286, 3, FALSE)</f>
        <v>PJMW</v>
      </c>
      <c r="I2947" s="32">
        <v>5.0</v>
      </c>
      <c r="J2947" s="34" t="str">
        <f t="shared" si="1"/>
        <v>South</v>
      </c>
      <c r="K2947" s="35">
        <v>3.0</v>
      </c>
      <c r="L2947" s="35" t="s">
        <v>223</v>
      </c>
      <c r="M2947" s="36">
        <f>VLOOKUP(D2947, County_Data_CZones!$B$2:$F$3236, 2, FALSE)</f>
        <v>4</v>
      </c>
      <c r="N2947" s="37" t="str">
        <f>VLOOKUP(D2947, County_Data_CZones!$B$2:$F$3236, 5, FALSE)</f>
        <v>Mixed-Humid</v>
      </c>
    </row>
    <row r="2948" ht="15.75" customHeight="1">
      <c r="A2948" s="32" t="s">
        <v>1269</v>
      </c>
      <c r="B2948" s="32" t="s">
        <v>1828</v>
      </c>
      <c r="C2948" s="32" t="str">
        <f>vlookup(B2948,State_EMM_RowSums!$A$2:$B$52,2,FALSE)</f>
        <v>VA</v>
      </c>
      <c r="D2948" s="32">
        <v>51775.0</v>
      </c>
      <c r="E2948" s="33">
        <f>IF(NOT(ISBLANK(vlookup($D2948,Pop_Census_2023!$A$2:$E$3220,4,FALSE))),vlookup($D2948,Pop_Census_2023!$A$2:$E$3220,4,FALSE), vlookup($D2948,Pop_Census_2023!$A$2:$E$3220,5,FALSE))</f>
        <v>25600</v>
      </c>
      <c r="F2948" s="32">
        <v>1789074.0</v>
      </c>
      <c r="G2948" s="32">
        <v>118.0</v>
      </c>
      <c r="H2948" s="32" t="str">
        <f>VLOOKUP(D2948, Grid_Region_Mapping!$D$2:$F$5286, 3, FALSE)</f>
        <v>PJMW</v>
      </c>
      <c r="I2948" s="32">
        <v>5.0</v>
      </c>
      <c r="J2948" s="34" t="str">
        <f t="shared" si="1"/>
        <v>South</v>
      </c>
      <c r="K2948" s="35">
        <v>3.0</v>
      </c>
      <c r="L2948" s="35" t="s">
        <v>223</v>
      </c>
      <c r="M2948" s="36">
        <f>VLOOKUP(D2948, County_Data_CZones!$B$2:$F$3236, 2, FALSE)</f>
        <v>4</v>
      </c>
      <c r="N2948" s="37" t="str">
        <f>VLOOKUP(D2948, County_Data_CZones!$B$2:$F$3236, 5, FALSE)</f>
        <v>Mixed-Humid</v>
      </c>
    </row>
    <row r="2949" ht="15.75" customHeight="1">
      <c r="A2949" s="32" t="s">
        <v>1897</v>
      </c>
      <c r="B2949" s="32" t="s">
        <v>1828</v>
      </c>
      <c r="C2949" s="32" t="str">
        <f>vlookup(B2949,State_EMM_RowSums!$A$2:$B$52,2,FALSE)</f>
        <v>VA</v>
      </c>
      <c r="D2949" s="32">
        <v>51790.0</v>
      </c>
      <c r="E2949" s="33">
        <f>IF(NOT(ISBLANK(vlookup($D2949,Pop_Census_2023!$A$2:$E$3220,4,FALSE))),vlookup($D2949,Pop_Census_2023!$A$2:$E$3220,4,FALSE), vlookup($D2949,Pop_Census_2023!$A$2:$E$3220,5,FALSE))</f>
        <v>25915</v>
      </c>
      <c r="F2949" s="32">
        <v>1789075.0</v>
      </c>
      <c r="G2949" s="32">
        <v>99.0</v>
      </c>
      <c r="H2949" s="32" t="str">
        <f>VLOOKUP(D2949, Grid_Region_Mapping!$D$2:$F$5286, 3, FALSE)</f>
        <v>PJMD</v>
      </c>
      <c r="I2949" s="32">
        <v>5.0</v>
      </c>
      <c r="J2949" s="34" t="str">
        <f t="shared" si="1"/>
        <v>South</v>
      </c>
      <c r="K2949" s="35">
        <v>3.0</v>
      </c>
      <c r="L2949" s="35" t="s">
        <v>223</v>
      </c>
      <c r="M2949" s="36">
        <f>VLOOKUP(D2949, County_Data_CZones!$B$2:$F$3236, 2, FALSE)</f>
        <v>4</v>
      </c>
      <c r="N2949" s="37" t="str">
        <f>VLOOKUP(D2949, County_Data_CZones!$B$2:$F$3236, 5, FALSE)</f>
        <v>Mixed-Humid</v>
      </c>
    </row>
    <row r="2950" ht="15.75" customHeight="1">
      <c r="A2950" s="32" t="s">
        <v>961</v>
      </c>
      <c r="B2950" s="32" t="s">
        <v>1828</v>
      </c>
      <c r="C2950" s="32" t="str">
        <f>vlookup(B2950,State_EMM_RowSums!$A$2:$B$52,2,FALSE)</f>
        <v>VA</v>
      </c>
      <c r="D2950" s="32">
        <v>51800.0</v>
      </c>
      <c r="E2950" s="33">
        <f>IF(NOT(ISBLANK(vlookup($D2950,Pop_Census_2023!$A$2:$E$3220,4,FALSE))),vlookup($D2950,Pop_Census_2023!$A$2:$E$3220,4,FALSE), vlookup($D2950,Pop_Census_2023!$A$2:$E$3220,5,FALSE))</f>
        <v>100659</v>
      </c>
      <c r="F2950" s="32">
        <v>1498560.0</v>
      </c>
      <c r="G2950" s="32">
        <v>99.0</v>
      </c>
      <c r="H2950" s="32" t="str">
        <f>VLOOKUP(D2950, Grid_Region_Mapping!$D$2:$F$5286, 3, FALSE)</f>
        <v>PJMD</v>
      </c>
      <c r="I2950" s="32">
        <v>5.0</v>
      </c>
      <c r="J2950" s="34" t="str">
        <f t="shared" si="1"/>
        <v>South</v>
      </c>
      <c r="K2950" s="35">
        <v>4.0</v>
      </c>
      <c r="L2950" s="35" t="s">
        <v>223</v>
      </c>
      <c r="M2950" s="36">
        <f>VLOOKUP(D2950, County_Data_CZones!$B$2:$F$3236, 2, FALSE)</f>
        <v>4</v>
      </c>
      <c r="N2950" s="37" t="str">
        <f>VLOOKUP(D2950, County_Data_CZones!$B$2:$F$3236, 5, FALSE)</f>
        <v>Mixed-Humid</v>
      </c>
    </row>
    <row r="2951" ht="15.75" customHeight="1">
      <c r="A2951" s="32" t="s">
        <v>1898</v>
      </c>
      <c r="B2951" s="32" t="s">
        <v>1828</v>
      </c>
      <c r="C2951" s="32" t="str">
        <f>vlookup(B2951,State_EMM_RowSums!$A$2:$B$52,2,FALSE)</f>
        <v>VA</v>
      </c>
      <c r="D2951" s="32">
        <v>51810.0</v>
      </c>
      <c r="E2951" s="33">
        <f>IF(NOT(ISBLANK(vlookup($D2951,Pop_Census_2023!$A$2:$E$3220,4,FALSE))),vlookup($D2951,Pop_Census_2023!$A$2:$E$3220,4,FALSE), vlookup($D2951,Pop_Census_2023!$A$2:$E$3220,5,FALSE))</f>
        <v>453649</v>
      </c>
      <c r="F2951" s="32">
        <v>1498559.0</v>
      </c>
      <c r="G2951" s="32">
        <v>99.0</v>
      </c>
      <c r="H2951" s="32" t="str">
        <f>VLOOKUP(D2951, Grid_Region_Mapping!$D$2:$F$5286, 3, FALSE)</f>
        <v>PJMD</v>
      </c>
      <c r="I2951" s="32">
        <v>5.0</v>
      </c>
      <c r="J2951" s="34" t="str">
        <f t="shared" si="1"/>
        <v>South</v>
      </c>
      <c r="K2951" s="35">
        <v>4.0</v>
      </c>
      <c r="L2951" s="35" t="s">
        <v>223</v>
      </c>
      <c r="M2951" s="36">
        <f>VLOOKUP(D2951, County_Data_CZones!$B$2:$F$3236, 2, FALSE)</f>
        <v>4</v>
      </c>
      <c r="N2951" s="37" t="str">
        <f>VLOOKUP(D2951, County_Data_CZones!$B$2:$F$3236, 5, FALSE)</f>
        <v>Mixed-Humid</v>
      </c>
    </row>
    <row r="2952" ht="15.75" customHeight="1">
      <c r="A2952" s="32" t="s">
        <v>1899</v>
      </c>
      <c r="B2952" s="32" t="s">
        <v>1828</v>
      </c>
      <c r="C2952" s="32" t="str">
        <f>vlookup(B2952,State_EMM_RowSums!$A$2:$B$52,2,FALSE)</f>
        <v>VA</v>
      </c>
      <c r="D2952" s="32">
        <v>51820.0</v>
      </c>
      <c r="E2952" s="33">
        <f>IF(NOT(ISBLANK(vlookup($D2952,Pop_Census_2023!$A$2:$E$3220,4,FALSE))),vlookup($D2952,Pop_Census_2023!$A$2:$E$3220,4,FALSE), vlookup($D2952,Pop_Census_2023!$A$2:$E$3220,5,FALSE))</f>
        <v>23182</v>
      </c>
      <c r="F2952" s="32">
        <v>1498443.0</v>
      </c>
      <c r="G2952" s="32">
        <v>99.0</v>
      </c>
      <c r="H2952" s="32" t="str">
        <f>VLOOKUP(D2952, Grid_Region_Mapping!$D$2:$F$5286, 3, FALSE)</f>
        <v>PJMD</v>
      </c>
      <c r="I2952" s="32">
        <v>5.0</v>
      </c>
      <c r="J2952" s="34" t="str">
        <f t="shared" si="1"/>
        <v>South</v>
      </c>
      <c r="K2952" s="35">
        <v>3.0</v>
      </c>
      <c r="L2952" s="35" t="s">
        <v>223</v>
      </c>
      <c r="M2952" s="36">
        <f>VLOOKUP(D2952, County_Data_CZones!$B$2:$F$3236, 2, FALSE)</f>
        <v>4</v>
      </c>
      <c r="N2952" s="37" t="str">
        <f>VLOOKUP(D2952, County_Data_CZones!$B$2:$F$3236, 5, FALSE)</f>
        <v>Mixed-Humid</v>
      </c>
    </row>
    <row r="2953" ht="15.75" customHeight="1">
      <c r="A2953" s="32" t="s">
        <v>1576</v>
      </c>
      <c r="B2953" s="32" t="s">
        <v>1828</v>
      </c>
      <c r="C2953" s="32" t="str">
        <f>vlookup(B2953,State_EMM_RowSums!$A$2:$B$52,2,FALSE)</f>
        <v>VA</v>
      </c>
      <c r="D2953" s="32">
        <v>51830.0</v>
      </c>
      <c r="E2953" s="33">
        <f>IF(NOT(ISBLANK(vlookup($D2953,Pop_Census_2023!$A$2:$E$3220,4,FALSE))),vlookup($D2953,Pop_Census_2023!$A$2:$E$3220,4,FALSE), vlookup($D2953,Pop_Census_2023!$A$2:$E$3220,5,FALSE))</f>
        <v>15847</v>
      </c>
      <c r="F2953" s="32">
        <v>1789076.0</v>
      </c>
      <c r="G2953" s="32">
        <v>99.0</v>
      </c>
      <c r="H2953" s="32" t="str">
        <f>VLOOKUP(D2953, Grid_Region_Mapping!$D$2:$F$5286, 3, FALSE)</f>
        <v>PJMD</v>
      </c>
      <c r="I2953" s="32">
        <v>5.0</v>
      </c>
      <c r="J2953" s="34" t="str">
        <f t="shared" si="1"/>
        <v>South</v>
      </c>
      <c r="K2953" s="35">
        <v>4.0</v>
      </c>
      <c r="L2953" s="35" t="s">
        <v>223</v>
      </c>
      <c r="M2953" s="36">
        <f>VLOOKUP(D2953, County_Data_CZones!$B$2:$F$3236, 2, FALSE)</f>
        <v>4</v>
      </c>
      <c r="N2953" s="37" t="str">
        <f>VLOOKUP(D2953, County_Data_CZones!$B$2:$F$3236, 5, FALSE)</f>
        <v>Mixed-Humid</v>
      </c>
    </row>
    <row r="2954" ht="15.75" customHeight="1">
      <c r="A2954" s="32" t="s">
        <v>1900</v>
      </c>
      <c r="B2954" s="32" t="s">
        <v>1828</v>
      </c>
      <c r="C2954" s="32" t="str">
        <f>vlookup(B2954,State_EMM_RowSums!$A$2:$B$52,2,FALSE)</f>
        <v>VA</v>
      </c>
      <c r="D2954" s="32">
        <v>51840.0</v>
      </c>
      <c r="E2954" s="33">
        <f>IF(NOT(ISBLANK(vlookup($D2954,Pop_Census_2023!$A$2:$E$3220,4,FALSE))),vlookup($D2954,Pop_Census_2023!$A$2:$E$3220,4,FALSE), vlookup($D2954,Pop_Census_2023!$A$2:$E$3220,5,FALSE))</f>
        <v>27617</v>
      </c>
      <c r="F2954" s="32">
        <v>1789077.0</v>
      </c>
      <c r="G2954" s="32">
        <v>100.0</v>
      </c>
      <c r="H2954" s="32" t="str">
        <f>VLOOKUP(D2954, Grid_Region_Mapping!$D$2:$F$5286, 3, FALSE)</f>
        <v>PJMW</v>
      </c>
      <c r="I2954" s="32">
        <v>5.0</v>
      </c>
      <c r="J2954" s="34" t="str">
        <f t="shared" si="1"/>
        <v>South</v>
      </c>
      <c r="K2954" s="35">
        <v>3.0</v>
      </c>
      <c r="L2954" s="35" t="s">
        <v>223</v>
      </c>
      <c r="M2954" s="36">
        <f>VLOOKUP(D2954, County_Data_CZones!$B$2:$F$3236, 2, FALSE)</f>
        <v>4</v>
      </c>
      <c r="N2954" s="37" t="str">
        <f>VLOOKUP(D2954, County_Data_CZones!$B$2:$F$3236, 5, FALSE)</f>
        <v>Mixed-Humid</v>
      </c>
    </row>
    <row r="2955" ht="15.75" customHeight="1">
      <c r="A2955" s="32" t="s">
        <v>338</v>
      </c>
      <c r="B2955" s="32" t="s">
        <v>167</v>
      </c>
      <c r="C2955" s="32" t="str">
        <f>vlookup(B2955,State_EMM_RowSums!$A$2:$B$52,2,FALSE)</f>
        <v>WA</v>
      </c>
      <c r="D2955" s="32">
        <v>53001.0</v>
      </c>
      <c r="E2955" s="33">
        <f>IF(NOT(ISBLANK(vlookup($D2955,Pop_Census_2023!$A$2:$E$3220,4,FALSE))),vlookup($D2955,Pop_Census_2023!$A$2:$E$3220,4,FALSE), vlookup($D2955,Pop_Census_2023!$A$2:$E$3220,5,FALSE))</f>
        <v>20820</v>
      </c>
      <c r="F2955" s="32">
        <v>1531601.0</v>
      </c>
      <c r="G2955" s="32">
        <v>3.0</v>
      </c>
      <c r="H2955" s="32" t="str">
        <f>VLOOKUP(D2955, Grid_Region_Mapping!$D$2:$F$5286, 3, FALSE)</f>
        <v>NWPP</v>
      </c>
      <c r="I2955" s="32">
        <v>9.0</v>
      </c>
      <c r="J2955" s="34" t="str">
        <f t="shared" si="1"/>
        <v>West</v>
      </c>
      <c r="K2955" s="35">
        <v>2.0</v>
      </c>
      <c r="L2955" s="35" t="s">
        <v>202</v>
      </c>
      <c r="M2955" s="36">
        <f>VLOOKUP(D2955, County_Data_CZones!$B$2:$F$3236, 2, FALSE)</f>
        <v>5</v>
      </c>
      <c r="N2955" s="37" t="str">
        <f>VLOOKUP(D2955, County_Data_CZones!$B$2:$F$3236, 5, FALSE)</f>
        <v>Cold</v>
      </c>
    </row>
    <row r="2956" ht="15.75" customHeight="1">
      <c r="A2956" s="32" t="s">
        <v>1901</v>
      </c>
      <c r="B2956" s="32" t="s">
        <v>167</v>
      </c>
      <c r="C2956" s="32" t="str">
        <f>vlookup(B2956,State_EMM_RowSums!$A$2:$B$52,2,FALSE)</f>
        <v>WA</v>
      </c>
      <c r="D2956" s="32">
        <v>53003.0</v>
      </c>
      <c r="E2956" s="33">
        <f>IF(NOT(ISBLANK(vlookup($D2956,Pop_Census_2023!$A$2:$E$3220,4,FALSE))),vlookup($D2956,Pop_Census_2023!$A$2:$E$3220,4,FALSE), vlookup($D2956,Pop_Census_2023!$A$2:$E$3220,5,FALSE))</f>
        <v>22549</v>
      </c>
      <c r="F2956" s="32">
        <v>1533502.0</v>
      </c>
      <c r="G2956" s="32">
        <v>2.0</v>
      </c>
      <c r="H2956" s="32" t="str">
        <f>VLOOKUP(D2956, Grid_Region_Mapping!$D$2:$F$5286, 3, FALSE)</f>
        <v>NWPP</v>
      </c>
      <c r="I2956" s="32">
        <v>9.0</v>
      </c>
      <c r="J2956" s="34" t="str">
        <f t="shared" si="1"/>
        <v>West</v>
      </c>
      <c r="K2956" s="35">
        <v>2.0</v>
      </c>
      <c r="L2956" s="35" t="s">
        <v>202</v>
      </c>
      <c r="M2956" s="36">
        <f>VLOOKUP(D2956, County_Data_CZones!$B$2:$F$3236, 2, FALSE)</f>
        <v>5</v>
      </c>
      <c r="N2956" s="37" t="str">
        <f>VLOOKUP(D2956, County_Data_CZones!$B$2:$F$3236, 5, FALSE)</f>
        <v>Cold</v>
      </c>
    </row>
    <row r="2957" ht="15.75" customHeight="1">
      <c r="A2957" s="32" t="s">
        <v>224</v>
      </c>
      <c r="B2957" s="32" t="s">
        <v>167</v>
      </c>
      <c r="C2957" s="32" t="str">
        <f>vlookup(B2957,State_EMM_RowSums!$A$2:$B$52,2,FALSE)</f>
        <v>WA</v>
      </c>
      <c r="D2957" s="32">
        <v>53005.0</v>
      </c>
      <c r="E2957" s="33">
        <f>IF(NOT(ISBLANK(vlookup($D2957,Pop_Census_2023!$A$2:$E$3220,4,FALSE))),vlookup($D2957,Pop_Census_2023!$A$2:$E$3220,4,FALSE), vlookup($D2957,Pop_Census_2023!$A$2:$E$3220,5,FALSE))</f>
        <v>215219</v>
      </c>
      <c r="F2957" s="32">
        <v>1513302.0</v>
      </c>
      <c r="G2957" s="32">
        <v>2.0</v>
      </c>
      <c r="H2957" s="32" t="str">
        <f>VLOOKUP(D2957, Grid_Region_Mapping!$D$2:$F$5286, 3, FALSE)</f>
        <v>NWPP</v>
      </c>
      <c r="I2957" s="32">
        <v>9.0</v>
      </c>
      <c r="J2957" s="34" t="str">
        <f t="shared" si="1"/>
        <v>West</v>
      </c>
      <c r="K2957" s="35">
        <v>3.0</v>
      </c>
      <c r="L2957" s="35" t="s">
        <v>202</v>
      </c>
      <c r="M2957" s="36">
        <f>VLOOKUP(D2957, County_Data_CZones!$B$2:$F$3236, 2, FALSE)</f>
        <v>5</v>
      </c>
      <c r="N2957" s="37" t="str">
        <f>VLOOKUP(D2957, County_Data_CZones!$B$2:$F$3236, 5, FALSE)</f>
        <v>Cold</v>
      </c>
    </row>
    <row r="2958" ht="15.75" customHeight="1">
      <c r="A2958" s="32" t="s">
        <v>1902</v>
      </c>
      <c r="B2958" s="32" t="s">
        <v>167</v>
      </c>
      <c r="C2958" s="32" t="str">
        <f>vlookup(B2958,State_EMM_RowSums!$A$2:$B$52,2,FALSE)</f>
        <v>WA</v>
      </c>
      <c r="D2958" s="32">
        <v>53007.0</v>
      </c>
      <c r="E2958" s="33">
        <f>IF(NOT(ISBLANK(vlookup($D2958,Pop_Census_2023!$A$2:$E$3220,4,FALSE))),vlookup($D2958,Pop_Census_2023!$A$2:$E$3220,4,FALSE), vlookup($D2958,Pop_Census_2023!$A$2:$E$3220,5,FALSE))</f>
        <v>79997</v>
      </c>
      <c r="F2958" s="32">
        <v>1531932.0</v>
      </c>
      <c r="G2958" s="32">
        <v>1.0</v>
      </c>
      <c r="H2958" s="32" t="str">
        <f>VLOOKUP(D2958, Grid_Region_Mapping!$D$2:$F$5286, 3, FALSE)</f>
        <v>NWPP</v>
      </c>
      <c r="I2958" s="32">
        <v>9.0</v>
      </c>
      <c r="J2958" s="34" t="str">
        <f t="shared" si="1"/>
        <v>West</v>
      </c>
      <c r="K2958" s="35">
        <v>2.0</v>
      </c>
      <c r="L2958" s="35" t="s">
        <v>202</v>
      </c>
      <c r="M2958" s="36">
        <f>VLOOKUP(D2958, County_Data_CZones!$B$2:$F$3236, 2, FALSE)</f>
        <v>5</v>
      </c>
      <c r="N2958" s="37" t="str">
        <f>VLOOKUP(D2958, County_Data_CZones!$B$2:$F$3236, 5, FALSE)</f>
        <v>Cold</v>
      </c>
    </row>
    <row r="2959" ht="15.75" customHeight="1">
      <c r="A2959" s="32" t="s">
        <v>1903</v>
      </c>
      <c r="B2959" s="32" t="s">
        <v>167</v>
      </c>
      <c r="C2959" s="32" t="str">
        <f>vlookup(B2959,State_EMM_RowSums!$A$2:$B$52,2,FALSE)</f>
        <v>WA</v>
      </c>
      <c r="D2959" s="32">
        <v>53009.0</v>
      </c>
      <c r="E2959" s="33">
        <f>IF(NOT(ISBLANK(vlookup($D2959,Pop_Census_2023!$A$2:$E$3220,4,FALSE))),vlookup($D2959,Pop_Census_2023!$A$2:$E$3220,4,FALSE), vlookup($D2959,Pop_Census_2023!$A$2:$E$3220,5,FALSE))</f>
        <v>77616</v>
      </c>
      <c r="F2959" s="32">
        <v>1531341.0</v>
      </c>
      <c r="G2959" s="32">
        <v>2.0</v>
      </c>
      <c r="H2959" s="32" t="str">
        <f>VLOOKUP(D2959, Grid_Region_Mapping!$D$2:$F$5286, 3, FALSE)</f>
        <v>NWPP</v>
      </c>
      <c r="I2959" s="32">
        <v>9.0</v>
      </c>
      <c r="J2959" s="34" t="str">
        <f t="shared" si="1"/>
        <v>West</v>
      </c>
      <c r="K2959" s="35">
        <v>2.0</v>
      </c>
      <c r="L2959" s="35" t="s">
        <v>289</v>
      </c>
      <c r="M2959" s="36">
        <f>VLOOKUP(D2959, County_Data_CZones!$B$2:$F$3236, 2, FALSE)</f>
        <v>4</v>
      </c>
      <c r="N2959" s="37" t="str">
        <f>VLOOKUP(D2959, County_Data_CZones!$B$2:$F$3236, 5, FALSE)</f>
        <v>Marine</v>
      </c>
    </row>
    <row r="2960" ht="15.75" customHeight="1">
      <c r="A2960" s="32" t="s">
        <v>229</v>
      </c>
      <c r="B2960" s="32" t="s">
        <v>167</v>
      </c>
      <c r="C2960" s="32" t="str">
        <f>vlookup(B2960,State_EMM_RowSums!$A$2:$B$52,2,FALSE)</f>
        <v>WA</v>
      </c>
      <c r="D2960" s="32">
        <v>53011.0</v>
      </c>
      <c r="E2960" s="33">
        <f>IF(NOT(ISBLANK(vlookup($D2960,Pop_Census_2023!$A$2:$E$3220,4,FALSE))),vlookup($D2960,Pop_Census_2023!$A$2:$E$3220,4,FALSE), vlookup($D2960,Pop_Census_2023!$A$2:$E$3220,5,FALSE))</f>
        <v>521150</v>
      </c>
      <c r="F2960" s="32">
        <v>1531820.0</v>
      </c>
      <c r="G2960" s="32">
        <v>2.0</v>
      </c>
      <c r="H2960" s="32" t="str">
        <f>VLOOKUP(D2960, Grid_Region_Mapping!$D$2:$F$5286, 3, FALSE)</f>
        <v>NWPP</v>
      </c>
      <c r="I2960" s="32">
        <v>9.0</v>
      </c>
      <c r="J2960" s="34" t="str">
        <f t="shared" si="1"/>
        <v>West</v>
      </c>
      <c r="K2960" s="35">
        <v>3.0</v>
      </c>
      <c r="L2960" s="35" t="s">
        <v>289</v>
      </c>
      <c r="M2960" s="36">
        <f>VLOOKUP(D2960, County_Data_CZones!$B$2:$F$3236, 2, FALSE)</f>
        <v>4</v>
      </c>
      <c r="N2960" s="37" t="str">
        <f>VLOOKUP(D2960, County_Data_CZones!$B$2:$F$3236, 5, FALSE)</f>
        <v>Marine</v>
      </c>
    </row>
    <row r="2961" ht="15.75" customHeight="1">
      <c r="A2961" s="32" t="s">
        <v>231</v>
      </c>
      <c r="B2961" s="32" t="s">
        <v>167</v>
      </c>
      <c r="C2961" s="32" t="str">
        <f>vlookup(B2961,State_EMM_RowSums!$A$2:$B$52,2,FALSE)</f>
        <v>WA</v>
      </c>
      <c r="D2961" s="32">
        <v>53013.0</v>
      </c>
      <c r="E2961" s="33">
        <f>IF(NOT(ISBLANK(vlookup($D2961,Pop_Census_2023!$A$2:$E$3220,4,FALSE))),vlookup($D2961,Pop_Census_2023!$A$2:$E$3220,4,FALSE), vlookup($D2961,Pop_Census_2023!$A$2:$E$3220,5,FALSE))</f>
        <v>4053</v>
      </c>
      <c r="F2961" s="32">
        <v>1513273.0</v>
      </c>
      <c r="G2961" s="32">
        <v>2.0</v>
      </c>
      <c r="H2961" s="32" t="str">
        <f>VLOOKUP(D2961, Grid_Region_Mapping!$D$2:$F$5286, 3, FALSE)</f>
        <v>NWPP</v>
      </c>
      <c r="I2961" s="32">
        <v>9.0</v>
      </c>
      <c r="J2961" s="34" t="str">
        <f t="shared" si="1"/>
        <v>West</v>
      </c>
      <c r="K2961" s="35">
        <v>2.0</v>
      </c>
      <c r="L2961" s="35" t="s">
        <v>202</v>
      </c>
      <c r="M2961" s="36">
        <f>VLOOKUP(D2961, County_Data_CZones!$B$2:$F$3236, 2, FALSE)</f>
        <v>5</v>
      </c>
      <c r="N2961" s="37" t="str">
        <f>VLOOKUP(D2961, County_Data_CZones!$B$2:$F$3236, 5, FALSE)</f>
        <v>Cold</v>
      </c>
    </row>
    <row r="2962" ht="15.75" customHeight="1">
      <c r="A2962" s="32" t="s">
        <v>1904</v>
      </c>
      <c r="B2962" s="32" t="s">
        <v>167</v>
      </c>
      <c r="C2962" s="32" t="str">
        <f>vlookup(B2962,State_EMM_RowSums!$A$2:$B$52,2,FALSE)</f>
        <v>WA</v>
      </c>
      <c r="D2962" s="32">
        <v>53015.0</v>
      </c>
      <c r="E2962" s="33">
        <f>IF(NOT(ISBLANK(vlookup($D2962,Pop_Census_2023!$A$2:$E$3220,4,FALSE))),vlookup($D2962,Pop_Census_2023!$A$2:$E$3220,4,FALSE), vlookup($D2962,Pop_Census_2023!$A$2:$E$3220,5,FALSE))</f>
        <v>112864</v>
      </c>
      <c r="F2962" s="32">
        <v>1529156.0</v>
      </c>
      <c r="G2962" s="32">
        <v>2.0</v>
      </c>
      <c r="H2962" s="32" t="str">
        <f>VLOOKUP(D2962, Grid_Region_Mapping!$D$2:$F$5286, 3, FALSE)</f>
        <v>NWPP</v>
      </c>
      <c r="I2962" s="32">
        <v>9.0</v>
      </c>
      <c r="J2962" s="34" t="str">
        <f t="shared" si="1"/>
        <v>West</v>
      </c>
      <c r="K2962" s="35">
        <v>3.0</v>
      </c>
      <c r="L2962" s="35" t="s">
        <v>289</v>
      </c>
      <c r="M2962" s="36">
        <f>VLOOKUP(D2962, County_Data_CZones!$B$2:$F$3236, 2, FALSE)</f>
        <v>4</v>
      </c>
      <c r="N2962" s="37" t="str">
        <f>VLOOKUP(D2962, County_Data_CZones!$B$2:$F$3236, 5, FALSE)</f>
        <v>Marine</v>
      </c>
    </row>
    <row r="2963" ht="15.75" customHeight="1">
      <c r="A2963" s="32" t="s">
        <v>357</v>
      </c>
      <c r="B2963" s="32" t="s">
        <v>167</v>
      </c>
      <c r="C2963" s="32" t="str">
        <f>vlookup(B2963,State_EMM_RowSums!$A$2:$B$52,2,FALSE)</f>
        <v>WA</v>
      </c>
      <c r="D2963" s="32">
        <v>53017.0</v>
      </c>
      <c r="E2963" s="33">
        <f>IF(NOT(ISBLANK(vlookup($D2963,Pop_Census_2023!$A$2:$E$3220,4,FALSE))),vlookup($D2963,Pop_Census_2023!$A$2:$E$3220,4,FALSE), vlookup($D2963,Pop_Census_2023!$A$2:$E$3220,5,FALSE))</f>
        <v>44798</v>
      </c>
      <c r="F2963" s="32">
        <v>1531818.0</v>
      </c>
      <c r="G2963" s="32">
        <v>4.0</v>
      </c>
      <c r="H2963" s="32" t="str">
        <f>VLOOKUP(D2963, Grid_Region_Mapping!$D$2:$F$5286, 3, FALSE)</f>
        <v>NWPP</v>
      </c>
      <c r="I2963" s="32">
        <v>9.0</v>
      </c>
      <c r="J2963" s="34" t="str">
        <f t="shared" si="1"/>
        <v>West</v>
      </c>
      <c r="K2963" s="35">
        <v>2.0</v>
      </c>
      <c r="L2963" s="35" t="s">
        <v>202</v>
      </c>
      <c r="M2963" s="36">
        <f>VLOOKUP(D2963, County_Data_CZones!$B$2:$F$3236, 2, FALSE)</f>
        <v>5</v>
      </c>
      <c r="N2963" s="37" t="str">
        <f>VLOOKUP(D2963, County_Data_CZones!$B$2:$F$3236, 5, FALSE)</f>
        <v>Cold</v>
      </c>
    </row>
    <row r="2964" ht="15.75" customHeight="1">
      <c r="A2964" s="32" t="s">
        <v>1905</v>
      </c>
      <c r="B2964" s="32" t="s">
        <v>167</v>
      </c>
      <c r="C2964" s="32" t="str">
        <f>vlookup(B2964,State_EMM_RowSums!$A$2:$B$52,2,FALSE)</f>
        <v>WA</v>
      </c>
      <c r="D2964" s="32">
        <v>53019.0</v>
      </c>
      <c r="E2964" s="33">
        <f>IF(NOT(ISBLANK(vlookup($D2964,Pop_Census_2023!$A$2:$E$3220,4,FALSE))),vlookup($D2964,Pop_Census_2023!$A$2:$E$3220,4,FALSE), vlookup($D2964,Pop_Census_2023!$A$2:$E$3220,5,FALSE))</f>
        <v>7497</v>
      </c>
      <c r="F2964" s="32">
        <v>1531821.0</v>
      </c>
      <c r="G2964" s="32">
        <v>3.0</v>
      </c>
      <c r="H2964" s="32" t="str">
        <f>VLOOKUP(D2964, Grid_Region_Mapping!$D$2:$F$5286, 3, FALSE)</f>
        <v>NWPP</v>
      </c>
      <c r="I2964" s="32">
        <v>9.0</v>
      </c>
      <c r="J2964" s="34" t="str">
        <f t="shared" si="1"/>
        <v>West</v>
      </c>
      <c r="K2964" s="35">
        <v>1.0</v>
      </c>
      <c r="L2964" s="35" t="s">
        <v>282</v>
      </c>
      <c r="M2964" s="36">
        <f>VLOOKUP(D2964, County_Data_CZones!$B$2:$F$3236, 2, FALSE)</f>
        <v>6</v>
      </c>
      <c r="N2964" s="37" t="str">
        <f>VLOOKUP(D2964, County_Data_CZones!$B$2:$F$3236, 5, FALSE)</f>
        <v>Cold</v>
      </c>
    </row>
    <row r="2965" ht="15.75" customHeight="1">
      <c r="A2965" s="32" t="s">
        <v>132</v>
      </c>
      <c r="B2965" s="32" t="s">
        <v>167</v>
      </c>
      <c r="C2965" s="32" t="str">
        <f>vlookup(B2965,State_EMM_RowSums!$A$2:$B$52,2,FALSE)</f>
        <v>WA</v>
      </c>
      <c r="D2965" s="32">
        <v>53021.0</v>
      </c>
      <c r="E2965" s="33">
        <f>IF(NOT(ISBLANK(vlookup($D2965,Pop_Census_2023!$A$2:$E$3220,4,FALSE))),vlookup($D2965,Pop_Census_2023!$A$2:$E$3220,4,FALSE), vlookup($D2965,Pop_Census_2023!$A$2:$E$3220,5,FALSE))</f>
        <v>99034</v>
      </c>
      <c r="F2965" s="32">
        <v>1531822.0</v>
      </c>
      <c r="G2965" s="32">
        <v>3.0</v>
      </c>
      <c r="H2965" s="32" t="str">
        <f>VLOOKUP(D2965, Grid_Region_Mapping!$D$2:$F$5286, 3, FALSE)</f>
        <v>NWPP</v>
      </c>
      <c r="I2965" s="32">
        <v>9.0</v>
      </c>
      <c r="J2965" s="34" t="str">
        <f t="shared" si="1"/>
        <v>West</v>
      </c>
      <c r="K2965" s="35">
        <v>3.0</v>
      </c>
      <c r="L2965" s="35" t="s">
        <v>202</v>
      </c>
      <c r="M2965" s="36">
        <f>VLOOKUP(D2965, County_Data_CZones!$B$2:$F$3236, 2, FALSE)</f>
        <v>5</v>
      </c>
      <c r="N2965" s="37" t="str">
        <f>VLOOKUP(D2965, County_Data_CZones!$B$2:$F$3236, 5, FALSE)</f>
        <v>Cold</v>
      </c>
    </row>
    <row r="2966" ht="15.75" customHeight="1">
      <c r="A2966" s="32" t="s">
        <v>362</v>
      </c>
      <c r="B2966" s="32" t="s">
        <v>167</v>
      </c>
      <c r="C2966" s="32" t="str">
        <f>vlookup(B2966,State_EMM_RowSums!$A$2:$B$52,2,FALSE)</f>
        <v>WA</v>
      </c>
      <c r="D2966" s="32">
        <v>53023.0</v>
      </c>
      <c r="E2966" s="33">
        <f>IF(NOT(ISBLANK(vlookup($D2966,Pop_Census_2023!$A$2:$E$3220,4,FALSE))),vlookup($D2966,Pop_Census_2023!$A$2:$E$3220,4,FALSE), vlookup($D2966,Pop_Census_2023!$A$2:$E$3220,5,FALSE))</f>
        <v>2363</v>
      </c>
      <c r="F2966" s="32">
        <v>1533500.0</v>
      </c>
      <c r="G2966" s="32">
        <v>2.0</v>
      </c>
      <c r="H2966" s="32" t="str">
        <f>VLOOKUP(D2966, Grid_Region_Mapping!$D$2:$F$5286, 3, FALSE)</f>
        <v>NWPP</v>
      </c>
      <c r="I2966" s="32">
        <v>9.0</v>
      </c>
      <c r="J2966" s="34" t="str">
        <f t="shared" si="1"/>
        <v>West</v>
      </c>
      <c r="K2966" s="35">
        <v>2.0</v>
      </c>
      <c r="L2966" s="35" t="s">
        <v>202</v>
      </c>
      <c r="M2966" s="36">
        <f>VLOOKUP(D2966, County_Data_CZones!$B$2:$F$3236, 2, FALSE)</f>
        <v>5</v>
      </c>
      <c r="N2966" s="37" t="str">
        <f>VLOOKUP(D2966, County_Data_CZones!$B$2:$F$3236, 5, FALSE)</f>
        <v>Cold</v>
      </c>
    </row>
    <row r="2967" ht="15.75" customHeight="1">
      <c r="A2967" s="32" t="s">
        <v>242</v>
      </c>
      <c r="B2967" s="32" t="s">
        <v>167</v>
      </c>
      <c r="C2967" s="32" t="str">
        <f>vlookup(B2967,State_EMM_RowSums!$A$2:$B$52,2,FALSE)</f>
        <v>WA</v>
      </c>
      <c r="D2967" s="32">
        <v>53025.0</v>
      </c>
      <c r="E2967" s="33">
        <f>IF(NOT(ISBLANK(vlookup($D2967,Pop_Census_2023!$A$2:$E$3220,4,FALSE))),vlookup($D2967,Pop_Census_2023!$A$2:$E$3220,4,FALSE), vlookup($D2967,Pop_Census_2023!$A$2:$E$3220,5,FALSE))</f>
        <v>102678</v>
      </c>
      <c r="F2967" s="32">
        <v>1531924.0</v>
      </c>
      <c r="G2967" s="32">
        <v>4.0</v>
      </c>
      <c r="H2967" s="32" t="str">
        <f>VLOOKUP(D2967, Grid_Region_Mapping!$D$2:$F$5286, 3, FALSE)</f>
        <v>NWPP</v>
      </c>
      <c r="I2967" s="32">
        <v>9.0</v>
      </c>
      <c r="J2967" s="34" t="str">
        <f t="shared" si="1"/>
        <v>West</v>
      </c>
      <c r="K2967" s="35">
        <v>2.0</v>
      </c>
      <c r="L2967" s="35" t="s">
        <v>202</v>
      </c>
      <c r="M2967" s="36">
        <f>VLOOKUP(D2967, County_Data_CZones!$B$2:$F$3236, 2, FALSE)</f>
        <v>5</v>
      </c>
      <c r="N2967" s="37" t="str">
        <f>VLOOKUP(D2967, County_Data_CZones!$B$2:$F$3236, 5, FALSE)</f>
        <v>Cold</v>
      </c>
    </row>
    <row r="2968" ht="15.75" customHeight="1">
      <c r="A2968" s="32" t="s">
        <v>1906</v>
      </c>
      <c r="B2968" s="32" t="s">
        <v>167</v>
      </c>
      <c r="C2968" s="32" t="str">
        <f>vlookup(B2968,State_EMM_RowSums!$A$2:$B$52,2,FALSE)</f>
        <v>WA</v>
      </c>
      <c r="D2968" s="32">
        <v>53027.0</v>
      </c>
      <c r="E2968" s="33">
        <f>IF(NOT(ISBLANK(vlookup($D2968,Pop_Census_2023!$A$2:$E$3220,4,FALSE))),vlookup($D2968,Pop_Census_2023!$A$2:$E$3220,4,FALSE), vlookup($D2968,Pop_Census_2023!$A$2:$E$3220,5,FALSE))</f>
        <v>77290</v>
      </c>
      <c r="F2968" s="32">
        <v>1531823.0</v>
      </c>
      <c r="G2968" s="32">
        <v>2.0</v>
      </c>
      <c r="H2968" s="32" t="str">
        <f>VLOOKUP(D2968, Grid_Region_Mapping!$D$2:$F$5286, 3, FALSE)</f>
        <v>NWPP</v>
      </c>
      <c r="I2968" s="32">
        <v>9.0</v>
      </c>
      <c r="J2968" s="34" t="str">
        <f t="shared" si="1"/>
        <v>West</v>
      </c>
      <c r="K2968" s="35">
        <v>3.0</v>
      </c>
      <c r="L2968" s="35" t="s">
        <v>289</v>
      </c>
      <c r="M2968" s="36">
        <f>VLOOKUP(D2968, County_Data_CZones!$B$2:$F$3236, 2, FALSE)</f>
        <v>4</v>
      </c>
      <c r="N2968" s="37" t="str">
        <f>VLOOKUP(D2968, County_Data_CZones!$B$2:$F$3236, 5, FALSE)</f>
        <v>Marine</v>
      </c>
    </row>
    <row r="2969" ht="15.75" customHeight="1">
      <c r="A2969" s="32" t="s">
        <v>1907</v>
      </c>
      <c r="B2969" s="32" t="s">
        <v>167</v>
      </c>
      <c r="C2969" s="32" t="str">
        <f>vlookup(B2969,State_EMM_RowSums!$A$2:$B$52,2,FALSE)</f>
        <v>WA</v>
      </c>
      <c r="D2969" s="32">
        <v>53029.0</v>
      </c>
      <c r="E2969" s="33">
        <f>IF(NOT(ISBLANK(vlookup($D2969,Pop_Census_2023!$A$2:$E$3220,4,FALSE))),vlookup($D2969,Pop_Census_2023!$A$2:$E$3220,4,FALSE), vlookup($D2969,Pop_Census_2023!$A$2:$E$3220,5,FALSE))</f>
        <v>86267</v>
      </c>
      <c r="F2969" s="32">
        <v>1513272.0</v>
      </c>
      <c r="G2969" s="32">
        <v>1.0</v>
      </c>
      <c r="H2969" s="32" t="str">
        <f>VLOOKUP(D2969, Grid_Region_Mapping!$D$2:$F$5286, 3, FALSE)</f>
        <v>NWPP</v>
      </c>
      <c r="I2969" s="32">
        <v>9.0</v>
      </c>
      <c r="J2969" s="34" t="str">
        <f t="shared" si="1"/>
        <v>West</v>
      </c>
      <c r="K2969" s="35">
        <v>2.0</v>
      </c>
      <c r="L2969" s="35" t="s">
        <v>289</v>
      </c>
      <c r="M2969" s="36">
        <f>VLOOKUP(D2969, County_Data_CZones!$B$2:$F$3236, 2, FALSE)</f>
        <v>4</v>
      </c>
      <c r="N2969" s="37" t="str">
        <f>VLOOKUP(D2969, County_Data_CZones!$B$2:$F$3236, 5, FALSE)</f>
        <v>Marine</v>
      </c>
    </row>
    <row r="2970" ht="15.75" customHeight="1">
      <c r="A2970" s="32" t="s">
        <v>139</v>
      </c>
      <c r="B2970" s="32" t="s">
        <v>167</v>
      </c>
      <c r="C2970" s="32" t="str">
        <f>vlookup(B2970,State_EMM_RowSums!$A$2:$B$52,2,FALSE)</f>
        <v>WA</v>
      </c>
      <c r="D2970" s="32">
        <v>53031.0</v>
      </c>
      <c r="E2970" s="33">
        <f>IF(NOT(ISBLANK(vlookup($D2970,Pop_Census_2023!$A$2:$E$3220,4,FALSE))),vlookup($D2970,Pop_Census_2023!$A$2:$E$3220,4,FALSE), vlookup($D2970,Pop_Census_2023!$A$2:$E$3220,5,FALSE))</f>
        <v>33714</v>
      </c>
      <c r="F2970" s="32">
        <v>1531936.0</v>
      </c>
      <c r="G2970" s="32">
        <v>2.0</v>
      </c>
      <c r="H2970" s="32" t="str">
        <f>VLOOKUP(D2970, Grid_Region_Mapping!$D$2:$F$5286, 3, FALSE)</f>
        <v>NWPP</v>
      </c>
      <c r="I2970" s="32">
        <v>9.0</v>
      </c>
      <c r="J2970" s="34" t="str">
        <f t="shared" si="1"/>
        <v>West</v>
      </c>
      <c r="K2970" s="35">
        <v>3.0</v>
      </c>
      <c r="L2970" s="35" t="s">
        <v>289</v>
      </c>
      <c r="M2970" s="36">
        <f>VLOOKUP(D2970, County_Data_CZones!$B$2:$F$3236, 2, FALSE)</f>
        <v>4</v>
      </c>
      <c r="N2970" s="37" t="str">
        <f>VLOOKUP(D2970, County_Data_CZones!$B$2:$F$3236, 5, FALSE)</f>
        <v>Marine</v>
      </c>
    </row>
    <row r="2971" ht="15.75" customHeight="1">
      <c r="A2971" s="32" t="s">
        <v>1725</v>
      </c>
      <c r="B2971" s="32" t="s">
        <v>167</v>
      </c>
      <c r="C2971" s="32" t="str">
        <f>vlookup(B2971,State_EMM_RowSums!$A$2:$B$52,2,FALSE)</f>
        <v>WA</v>
      </c>
      <c r="D2971" s="32">
        <v>53033.0</v>
      </c>
      <c r="E2971" s="33">
        <f>IF(NOT(ISBLANK(vlookup($D2971,Pop_Census_2023!$A$2:$E$3220,4,FALSE))),vlookup($D2971,Pop_Census_2023!$A$2:$E$3220,4,FALSE), vlookup($D2971,Pop_Census_2023!$A$2:$E$3220,5,FALSE))</f>
        <v>2271380</v>
      </c>
      <c r="F2971" s="32">
        <v>1531933.0</v>
      </c>
      <c r="G2971" s="32">
        <v>1.0</v>
      </c>
      <c r="H2971" s="32" t="str">
        <f>VLOOKUP(D2971, Grid_Region_Mapping!$D$2:$F$5286, 3, FALSE)</f>
        <v>NWPP</v>
      </c>
      <c r="I2971" s="32">
        <v>9.0</v>
      </c>
      <c r="J2971" s="34" t="str">
        <f t="shared" si="1"/>
        <v>West</v>
      </c>
      <c r="K2971" s="35">
        <v>3.0</v>
      </c>
      <c r="L2971" s="35" t="s">
        <v>289</v>
      </c>
      <c r="M2971" s="36">
        <f>VLOOKUP(D2971, County_Data_CZones!$B$2:$F$3236, 2, FALSE)</f>
        <v>4</v>
      </c>
      <c r="N2971" s="37" t="str">
        <f>VLOOKUP(D2971, County_Data_CZones!$B$2:$F$3236, 5, FALSE)</f>
        <v>Marine</v>
      </c>
    </row>
    <row r="2972" ht="15.75" customHeight="1">
      <c r="A2972" s="32" t="s">
        <v>1908</v>
      </c>
      <c r="B2972" s="32" t="s">
        <v>167</v>
      </c>
      <c r="C2972" s="32" t="str">
        <f>vlookup(B2972,State_EMM_RowSums!$A$2:$B$52,2,FALSE)</f>
        <v>WA</v>
      </c>
      <c r="D2972" s="32">
        <v>53035.0</v>
      </c>
      <c r="E2972" s="33">
        <f>IF(NOT(ISBLANK(vlookup($D2972,Pop_Census_2023!$A$2:$E$3220,4,FALSE))),vlookup($D2972,Pop_Census_2023!$A$2:$E$3220,4,FALSE), vlookup($D2972,Pop_Census_2023!$A$2:$E$3220,5,FALSE))</f>
        <v>277658</v>
      </c>
      <c r="F2972" s="32">
        <v>1529223.0</v>
      </c>
      <c r="G2972" s="32">
        <v>1.0</v>
      </c>
      <c r="H2972" s="32" t="str">
        <f>VLOOKUP(D2972, Grid_Region_Mapping!$D$2:$F$5286, 3, FALSE)</f>
        <v>NWPP</v>
      </c>
      <c r="I2972" s="32">
        <v>9.0</v>
      </c>
      <c r="J2972" s="34" t="str">
        <f t="shared" si="1"/>
        <v>West</v>
      </c>
      <c r="K2972" s="35">
        <v>3.0</v>
      </c>
      <c r="L2972" s="35" t="s">
        <v>289</v>
      </c>
      <c r="M2972" s="36">
        <f>VLOOKUP(D2972, County_Data_CZones!$B$2:$F$3236, 2, FALSE)</f>
        <v>4</v>
      </c>
      <c r="N2972" s="37" t="str">
        <f>VLOOKUP(D2972, County_Data_CZones!$B$2:$F$3236, 5, FALSE)</f>
        <v>Marine</v>
      </c>
    </row>
    <row r="2973" ht="15.75" customHeight="1">
      <c r="A2973" s="32" t="s">
        <v>1909</v>
      </c>
      <c r="B2973" s="32" t="s">
        <v>167</v>
      </c>
      <c r="C2973" s="32" t="str">
        <f>vlookup(B2973,State_EMM_RowSums!$A$2:$B$52,2,FALSE)</f>
        <v>WA</v>
      </c>
      <c r="D2973" s="32">
        <v>53037.0</v>
      </c>
      <c r="E2973" s="33">
        <f>IF(NOT(ISBLANK(vlookup($D2973,Pop_Census_2023!$A$2:$E$3220,4,FALSE))),vlookup($D2973,Pop_Census_2023!$A$2:$E$3220,4,FALSE), vlookup($D2973,Pop_Census_2023!$A$2:$E$3220,5,FALSE))</f>
        <v>45508</v>
      </c>
      <c r="F2973" s="32">
        <v>1531926.0</v>
      </c>
      <c r="G2973" s="32">
        <v>1.0</v>
      </c>
      <c r="H2973" s="32" t="str">
        <f>VLOOKUP(D2973, Grid_Region_Mapping!$D$2:$F$5286, 3, FALSE)</f>
        <v>NWPP</v>
      </c>
      <c r="I2973" s="32">
        <v>9.0</v>
      </c>
      <c r="J2973" s="34" t="str">
        <f t="shared" si="1"/>
        <v>West</v>
      </c>
      <c r="K2973" s="35">
        <v>2.0</v>
      </c>
      <c r="L2973" s="35" t="s">
        <v>202</v>
      </c>
      <c r="M2973" s="36">
        <f>VLOOKUP(D2973, County_Data_CZones!$B$2:$F$3236, 2, FALSE)</f>
        <v>5</v>
      </c>
      <c r="N2973" s="37" t="str">
        <f>VLOOKUP(D2973, County_Data_CZones!$B$2:$F$3236, 5, FALSE)</f>
        <v>Cold</v>
      </c>
    </row>
    <row r="2974" ht="15.75" customHeight="1">
      <c r="A2974" s="32" t="s">
        <v>1910</v>
      </c>
      <c r="B2974" s="32" t="s">
        <v>167</v>
      </c>
      <c r="C2974" s="32" t="str">
        <f>vlookup(B2974,State_EMM_RowSums!$A$2:$B$52,2,FALSE)</f>
        <v>WA</v>
      </c>
      <c r="D2974" s="32">
        <v>53039.0</v>
      </c>
      <c r="E2974" s="33">
        <f>IF(NOT(ISBLANK(vlookup($D2974,Pop_Census_2023!$A$2:$E$3220,4,FALSE))),vlookup($D2974,Pop_Census_2023!$A$2:$E$3220,4,FALSE), vlookup($D2974,Pop_Census_2023!$A$2:$E$3220,5,FALSE))</f>
        <v>23589</v>
      </c>
      <c r="F2974" s="32">
        <v>1529219.0</v>
      </c>
      <c r="G2974" s="32">
        <v>2.0</v>
      </c>
      <c r="H2974" s="32" t="str">
        <f>VLOOKUP(D2974, Grid_Region_Mapping!$D$2:$F$5286, 3, FALSE)</f>
        <v>NWPP</v>
      </c>
      <c r="I2974" s="32">
        <v>9.0</v>
      </c>
      <c r="J2974" s="34" t="str">
        <f t="shared" si="1"/>
        <v>West</v>
      </c>
      <c r="K2974" s="35">
        <v>2.0</v>
      </c>
      <c r="L2974" s="35" t="s">
        <v>202</v>
      </c>
      <c r="M2974" s="36">
        <f>VLOOKUP(D2974, County_Data_CZones!$B$2:$F$3236, 2, FALSE)</f>
        <v>5</v>
      </c>
      <c r="N2974" s="37" t="str">
        <f>VLOOKUP(D2974, County_Data_CZones!$B$2:$F$3236, 5, FALSE)</f>
        <v>Cold</v>
      </c>
    </row>
    <row r="2975" ht="15.75" customHeight="1">
      <c r="A2975" s="32" t="s">
        <v>597</v>
      </c>
      <c r="B2975" s="32" t="s">
        <v>167</v>
      </c>
      <c r="C2975" s="32" t="str">
        <f>vlookup(B2975,State_EMM_RowSums!$A$2:$B$52,2,FALSE)</f>
        <v>WA</v>
      </c>
      <c r="D2975" s="32">
        <v>53041.0</v>
      </c>
      <c r="E2975" s="33">
        <f>IF(NOT(ISBLANK(vlookup($D2975,Pop_Census_2023!$A$2:$E$3220,4,FALSE))),vlookup($D2975,Pop_Census_2023!$A$2:$E$3220,4,FALSE), vlookup($D2975,Pop_Census_2023!$A$2:$E$3220,5,FALSE))</f>
        <v>86154</v>
      </c>
      <c r="F2975" s="32">
        <v>1531927.0</v>
      </c>
      <c r="G2975" s="32">
        <v>2.0</v>
      </c>
      <c r="H2975" s="32" t="str">
        <f>VLOOKUP(D2975, Grid_Region_Mapping!$D$2:$F$5286, 3, FALSE)</f>
        <v>NWPP</v>
      </c>
      <c r="I2975" s="32">
        <v>9.0</v>
      </c>
      <c r="J2975" s="34" t="str">
        <f t="shared" si="1"/>
        <v>West</v>
      </c>
      <c r="K2975" s="35">
        <v>3.0</v>
      </c>
      <c r="L2975" s="35" t="s">
        <v>289</v>
      </c>
      <c r="M2975" s="36">
        <f>VLOOKUP(D2975, County_Data_CZones!$B$2:$F$3236, 2, FALSE)</f>
        <v>4</v>
      </c>
      <c r="N2975" s="37" t="str">
        <f>VLOOKUP(D2975, County_Data_CZones!$B$2:$F$3236, 5, FALSE)</f>
        <v>Marine</v>
      </c>
    </row>
    <row r="2976" ht="15.75" customHeight="1">
      <c r="A2976" s="32" t="s">
        <v>250</v>
      </c>
      <c r="B2976" s="32" t="s">
        <v>167</v>
      </c>
      <c r="C2976" s="32" t="str">
        <f>vlookup(B2976,State_EMM_RowSums!$A$2:$B$52,2,FALSE)</f>
        <v>WA</v>
      </c>
      <c r="D2976" s="32">
        <v>53043.0</v>
      </c>
      <c r="E2976" s="33">
        <f>IF(NOT(ISBLANK(vlookup($D2976,Pop_Census_2023!$A$2:$E$3220,4,FALSE))),vlookup($D2976,Pop_Census_2023!$A$2:$E$3220,4,FALSE), vlookup($D2976,Pop_Census_2023!$A$2:$E$3220,5,FALSE))</f>
        <v>11738</v>
      </c>
      <c r="F2976" s="32">
        <v>1514052.0</v>
      </c>
      <c r="G2976" s="32">
        <v>3.0</v>
      </c>
      <c r="H2976" s="32" t="str">
        <f>VLOOKUP(D2976, Grid_Region_Mapping!$D$2:$F$5286, 3, FALSE)</f>
        <v>NWPP</v>
      </c>
      <c r="I2976" s="32">
        <v>9.0</v>
      </c>
      <c r="J2976" s="34" t="str">
        <f t="shared" si="1"/>
        <v>West</v>
      </c>
      <c r="K2976" s="35">
        <v>1.0</v>
      </c>
      <c r="L2976" s="35" t="s">
        <v>202</v>
      </c>
      <c r="M2976" s="36">
        <f>VLOOKUP(D2976, County_Data_CZones!$B$2:$F$3236, 2, FALSE)</f>
        <v>5</v>
      </c>
      <c r="N2976" s="37" t="str">
        <f>VLOOKUP(D2976, County_Data_CZones!$B$2:$F$3236, 5, FALSE)</f>
        <v>Cold</v>
      </c>
    </row>
    <row r="2977" ht="15.75" customHeight="1">
      <c r="A2977" s="32" t="s">
        <v>641</v>
      </c>
      <c r="B2977" s="32" t="s">
        <v>167</v>
      </c>
      <c r="C2977" s="32" t="str">
        <f>vlookup(B2977,State_EMM_RowSums!$A$2:$B$52,2,FALSE)</f>
        <v>WA</v>
      </c>
      <c r="D2977" s="32">
        <v>53045.0</v>
      </c>
      <c r="E2977" s="33">
        <f>IF(NOT(ISBLANK(vlookup($D2977,Pop_Census_2023!$A$2:$E$3220,4,FALSE))),vlookup($D2977,Pop_Census_2023!$A$2:$E$3220,4,FALSE), vlookup($D2977,Pop_Census_2023!$A$2:$E$3220,5,FALSE))</f>
        <v>68389</v>
      </c>
      <c r="F2977" s="32">
        <v>1529221.0</v>
      </c>
      <c r="G2977" s="32">
        <v>2.0</v>
      </c>
      <c r="H2977" s="32" t="str">
        <f>VLOOKUP(D2977, Grid_Region_Mapping!$D$2:$F$5286, 3, FALSE)</f>
        <v>NWPP</v>
      </c>
      <c r="I2977" s="32">
        <v>9.0</v>
      </c>
      <c r="J2977" s="34" t="str">
        <f t="shared" si="1"/>
        <v>West</v>
      </c>
      <c r="K2977" s="35">
        <v>3.0</v>
      </c>
      <c r="L2977" s="35" t="s">
        <v>289</v>
      </c>
      <c r="M2977" s="36">
        <f>VLOOKUP(D2977, County_Data_CZones!$B$2:$F$3236, 2, FALSE)</f>
        <v>4</v>
      </c>
      <c r="N2977" s="37" t="str">
        <f>VLOOKUP(D2977, County_Data_CZones!$B$2:$F$3236, 5, FALSE)</f>
        <v>Marine</v>
      </c>
    </row>
    <row r="2978" ht="15.75" customHeight="1">
      <c r="A2978" s="32" t="s">
        <v>1911</v>
      </c>
      <c r="B2978" s="32" t="s">
        <v>167</v>
      </c>
      <c r="C2978" s="32" t="str">
        <f>vlookup(B2978,State_EMM_RowSums!$A$2:$B$52,2,FALSE)</f>
        <v>WA</v>
      </c>
      <c r="D2978" s="32">
        <v>53047.0</v>
      </c>
      <c r="E2978" s="33">
        <f>IF(NOT(ISBLANK(vlookup($D2978,Pop_Census_2023!$A$2:$E$3220,4,FALSE))),vlookup($D2978,Pop_Census_2023!$A$2:$E$3220,4,FALSE), vlookup($D2978,Pop_Census_2023!$A$2:$E$3220,5,FALSE))</f>
        <v>43712</v>
      </c>
      <c r="F2978" s="32">
        <v>1531928.0</v>
      </c>
      <c r="G2978" s="32">
        <v>3.0</v>
      </c>
      <c r="H2978" s="32" t="str">
        <f>VLOOKUP(D2978, Grid_Region_Mapping!$D$2:$F$5286, 3, FALSE)</f>
        <v>NWPP</v>
      </c>
      <c r="I2978" s="32">
        <v>9.0</v>
      </c>
      <c r="J2978" s="34" t="str">
        <f t="shared" si="1"/>
        <v>West</v>
      </c>
      <c r="K2978" s="35">
        <v>1.0</v>
      </c>
      <c r="L2978" s="35" t="s">
        <v>282</v>
      </c>
      <c r="M2978" s="36">
        <f>VLOOKUP(D2978, County_Data_CZones!$B$2:$F$3236, 2, FALSE)</f>
        <v>6</v>
      </c>
      <c r="N2978" s="37" t="str">
        <f>VLOOKUP(D2978, County_Data_CZones!$B$2:$F$3236, 5, FALSE)</f>
        <v>Cold</v>
      </c>
    </row>
    <row r="2979" ht="15.75" customHeight="1">
      <c r="A2979" s="32" t="s">
        <v>1912</v>
      </c>
      <c r="B2979" s="32" t="s">
        <v>167</v>
      </c>
      <c r="C2979" s="32" t="str">
        <f>vlookup(B2979,State_EMM_RowSums!$A$2:$B$52,2,FALSE)</f>
        <v>WA</v>
      </c>
      <c r="D2979" s="32">
        <v>53049.0</v>
      </c>
      <c r="E2979" s="33">
        <f>IF(NOT(ISBLANK(vlookup($D2979,Pop_Census_2023!$A$2:$E$3220,4,FALSE))),vlookup($D2979,Pop_Census_2023!$A$2:$E$3220,4,FALSE), vlookup($D2979,Pop_Census_2023!$A$2:$E$3220,5,FALSE))</f>
        <v>24200</v>
      </c>
      <c r="F2979" s="32">
        <v>1513274.0</v>
      </c>
      <c r="G2979" s="32">
        <v>2.0</v>
      </c>
      <c r="H2979" s="32" t="str">
        <f>VLOOKUP(D2979, Grid_Region_Mapping!$D$2:$F$5286, 3, FALSE)</f>
        <v>NWPP</v>
      </c>
      <c r="I2979" s="32">
        <v>9.0</v>
      </c>
      <c r="J2979" s="34" t="str">
        <f t="shared" si="1"/>
        <v>West</v>
      </c>
      <c r="K2979" s="35">
        <v>3.0</v>
      </c>
      <c r="L2979" s="35" t="s">
        <v>289</v>
      </c>
      <c r="M2979" s="36">
        <f>VLOOKUP(D2979, County_Data_CZones!$B$2:$F$3236, 2, FALSE)</f>
        <v>4</v>
      </c>
      <c r="N2979" s="37" t="str">
        <f>VLOOKUP(D2979, County_Data_CZones!$B$2:$F$3236, 5, FALSE)</f>
        <v>Marine</v>
      </c>
    </row>
    <row r="2980" ht="15.75" customHeight="1">
      <c r="A2980" s="32" t="s">
        <v>1913</v>
      </c>
      <c r="B2980" s="32" t="s">
        <v>167</v>
      </c>
      <c r="C2980" s="32" t="str">
        <f>vlookup(B2980,State_EMM_RowSums!$A$2:$B$52,2,FALSE)</f>
        <v>WA</v>
      </c>
      <c r="D2980" s="32">
        <v>53051.0</v>
      </c>
      <c r="E2980" s="33">
        <f>IF(NOT(ISBLANK(vlookup($D2980,Pop_Census_2023!$A$2:$E$3220,4,FALSE))),vlookup($D2980,Pop_Census_2023!$A$2:$E$3220,4,FALSE), vlookup($D2980,Pop_Census_2023!$A$2:$E$3220,5,FALSE))</f>
        <v>14361</v>
      </c>
      <c r="F2980" s="32">
        <v>1529157.0</v>
      </c>
      <c r="G2980" s="32">
        <v>3.0</v>
      </c>
      <c r="H2980" s="32" t="str">
        <f>VLOOKUP(D2980, Grid_Region_Mapping!$D$2:$F$5286, 3, FALSE)</f>
        <v>NWPP</v>
      </c>
      <c r="I2980" s="32">
        <v>9.0</v>
      </c>
      <c r="J2980" s="34" t="str">
        <f t="shared" si="1"/>
        <v>West</v>
      </c>
      <c r="K2980" s="35">
        <v>1.0</v>
      </c>
      <c r="L2980" s="35" t="s">
        <v>282</v>
      </c>
      <c r="M2980" s="36">
        <f>VLOOKUP(D2980, County_Data_CZones!$B$2:$F$3236, 2, FALSE)</f>
        <v>6</v>
      </c>
      <c r="N2980" s="37" t="str">
        <f>VLOOKUP(D2980, County_Data_CZones!$B$2:$F$3236, 5, FALSE)</f>
        <v>Cold</v>
      </c>
    </row>
    <row r="2981" ht="15.75" customHeight="1">
      <c r="A2981" s="32" t="s">
        <v>536</v>
      </c>
      <c r="B2981" s="32" t="s">
        <v>167</v>
      </c>
      <c r="C2981" s="32" t="str">
        <f>vlookup(B2981,State_EMM_RowSums!$A$2:$B$52,2,FALSE)</f>
        <v>WA</v>
      </c>
      <c r="D2981" s="32">
        <v>53053.0</v>
      </c>
      <c r="E2981" s="33">
        <f>IF(NOT(ISBLANK(vlookup($D2981,Pop_Census_2023!$A$2:$E$3220,4,FALSE))),vlookup($D2981,Pop_Census_2023!$A$2:$E$3220,4,FALSE), vlookup($D2981,Pop_Census_2023!$A$2:$E$3220,5,FALSE))</f>
        <v>928696</v>
      </c>
      <c r="F2981" s="32">
        <v>1529159.0</v>
      </c>
      <c r="G2981" s="32">
        <v>1.0</v>
      </c>
      <c r="H2981" s="32" t="str">
        <f>VLOOKUP(D2981, Grid_Region_Mapping!$D$2:$F$5286, 3, FALSE)</f>
        <v>NWPP</v>
      </c>
      <c r="I2981" s="32">
        <v>9.0</v>
      </c>
      <c r="J2981" s="34" t="str">
        <f t="shared" si="1"/>
        <v>West</v>
      </c>
      <c r="K2981" s="35">
        <v>3.0</v>
      </c>
      <c r="L2981" s="35" t="s">
        <v>289</v>
      </c>
      <c r="M2981" s="36">
        <f>VLOOKUP(D2981, County_Data_CZones!$B$2:$F$3236, 2, FALSE)</f>
        <v>4</v>
      </c>
      <c r="N2981" s="37" t="str">
        <f>VLOOKUP(D2981, County_Data_CZones!$B$2:$F$3236, 5, FALSE)</f>
        <v>Marine</v>
      </c>
    </row>
    <row r="2982" ht="15.75" customHeight="1">
      <c r="A2982" s="32" t="s">
        <v>388</v>
      </c>
      <c r="B2982" s="32" t="s">
        <v>167</v>
      </c>
      <c r="C2982" s="32" t="str">
        <f>vlookup(B2982,State_EMM_RowSums!$A$2:$B$52,2,FALSE)</f>
        <v>WA</v>
      </c>
      <c r="D2982" s="32">
        <v>53055.0</v>
      </c>
      <c r="E2982" s="33">
        <f>IF(NOT(ISBLANK(vlookup($D2982,Pop_Census_2023!$A$2:$E$3220,4,FALSE))),vlookup($D2982,Pop_Census_2023!$A$2:$E$3220,4,FALSE), vlookup($D2982,Pop_Census_2023!$A$2:$E$3220,5,FALSE))</f>
        <v>18566</v>
      </c>
      <c r="F2982" s="32">
        <v>1531931.0</v>
      </c>
      <c r="G2982" s="32">
        <v>1.0</v>
      </c>
      <c r="H2982" s="32" t="str">
        <f>VLOOKUP(D2982, Grid_Region_Mapping!$D$2:$F$5286, 3, FALSE)</f>
        <v>NWPP</v>
      </c>
      <c r="I2982" s="32">
        <v>9.0</v>
      </c>
      <c r="J2982" s="34" t="str">
        <f t="shared" si="1"/>
        <v>West</v>
      </c>
      <c r="K2982" s="35">
        <v>2.0</v>
      </c>
      <c r="L2982" s="35" t="s">
        <v>289</v>
      </c>
      <c r="M2982" s="36">
        <f>VLOOKUP(D2982, County_Data_CZones!$B$2:$F$3236, 2, FALSE)</f>
        <v>4</v>
      </c>
      <c r="N2982" s="37" t="str">
        <f>VLOOKUP(D2982, County_Data_CZones!$B$2:$F$3236, 5, FALSE)</f>
        <v>Marine</v>
      </c>
    </row>
    <row r="2983" ht="15.75" customHeight="1">
      <c r="A2983" s="32" t="s">
        <v>1914</v>
      </c>
      <c r="B2983" s="32" t="s">
        <v>167</v>
      </c>
      <c r="C2983" s="32" t="str">
        <f>vlookup(B2983,State_EMM_RowSums!$A$2:$B$52,2,FALSE)</f>
        <v>WA</v>
      </c>
      <c r="D2983" s="32">
        <v>53057.0</v>
      </c>
      <c r="E2983" s="33">
        <f>IF(NOT(ISBLANK(vlookup($D2983,Pop_Census_2023!$A$2:$E$3220,4,FALSE))),vlookup($D2983,Pop_Census_2023!$A$2:$E$3220,4,FALSE), vlookup($D2983,Pop_Census_2023!$A$2:$E$3220,5,FALSE))</f>
        <v>131417</v>
      </c>
      <c r="F2983" s="32">
        <v>1531402.0</v>
      </c>
      <c r="G2983" s="32">
        <v>1.0</v>
      </c>
      <c r="H2983" s="32" t="str">
        <f>VLOOKUP(D2983, Grid_Region_Mapping!$D$2:$F$5286, 3, FALSE)</f>
        <v>NWPP</v>
      </c>
      <c r="I2983" s="32">
        <v>9.0</v>
      </c>
      <c r="J2983" s="34" t="str">
        <f t="shared" si="1"/>
        <v>West</v>
      </c>
      <c r="K2983" s="35">
        <v>3.0</v>
      </c>
      <c r="L2983" s="35" t="s">
        <v>289</v>
      </c>
      <c r="M2983" s="36">
        <f>VLOOKUP(D2983, County_Data_CZones!$B$2:$F$3236, 2, FALSE)</f>
        <v>4</v>
      </c>
      <c r="N2983" s="37" t="str">
        <f>VLOOKUP(D2983, County_Data_CZones!$B$2:$F$3236, 5, FALSE)</f>
        <v>Marine</v>
      </c>
    </row>
    <row r="2984" ht="15.75" customHeight="1">
      <c r="A2984" s="32" t="s">
        <v>1915</v>
      </c>
      <c r="B2984" s="32" t="s">
        <v>167</v>
      </c>
      <c r="C2984" s="32" t="str">
        <f>vlookup(B2984,State_EMM_RowSums!$A$2:$B$52,2,FALSE)</f>
        <v>WA</v>
      </c>
      <c r="D2984" s="32">
        <v>53059.0</v>
      </c>
      <c r="E2984" s="33">
        <f>IF(NOT(ISBLANK(vlookup($D2984,Pop_Census_2023!$A$2:$E$3220,4,FALSE))),vlookup($D2984,Pop_Census_2023!$A$2:$E$3220,4,FALSE), vlookup($D2984,Pop_Census_2023!$A$2:$E$3220,5,FALSE))</f>
        <v>12640</v>
      </c>
      <c r="F2984" s="32">
        <v>1529220.0</v>
      </c>
      <c r="G2984" s="32">
        <v>2.0</v>
      </c>
      <c r="H2984" s="32" t="str">
        <f>VLOOKUP(D2984, Grid_Region_Mapping!$D$2:$F$5286, 3, FALSE)</f>
        <v>NWPP</v>
      </c>
      <c r="I2984" s="32">
        <v>9.0</v>
      </c>
      <c r="J2984" s="34" t="str">
        <f t="shared" si="1"/>
        <v>West</v>
      </c>
      <c r="K2984" s="35">
        <v>3.0</v>
      </c>
      <c r="L2984" s="35" t="s">
        <v>202</v>
      </c>
      <c r="M2984" s="36">
        <f>VLOOKUP(D2984, County_Data_CZones!$B$2:$F$3236, 2, FALSE)</f>
        <v>5</v>
      </c>
      <c r="N2984" s="37" t="str">
        <f>VLOOKUP(D2984, County_Data_CZones!$B$2:$F$3236, 5, FALSE)</f>
        <v>Cold</v>
      </c>
    </row>
    <row r="2985" ht="15.75" customHeight="1">
      <c r="A2985" s="32" t="s">
        <v>1916</v>
      </c>
      <c r="B2985" s="32" t="s">
        <v>167</v>
      </c>
      <c r="C2985" s="32" t="str">
        <f>vlookup(B2985,State_EMM_RowSums!$A$2:$B$52,2,FALSE)</f>
        <v>WA</v>
      </c>
      <c r="D2985" s="32">
        <v>53061.0</v>
      </c>
      <c r="E2985" s="33">
        <f>IF(NOT(ISBLANK(vlookup($D2985,Pop_Census_2023!$A$2:$E$3220,4,FALSE))),vlookup($D2985,Pop_Census_2023!$A$2:$E$3220,4,FALSE), vlookup($D2985,Pop_Census_2023!$A$2:$E$3220,5,FALSE))</f>
        <v>844761</v>
      </c>
      <c r="F2985" s="32">
        <v>1529222.0</v>
      </c>
      <c r="G2985" s="32">
        <v>1.0</v>
      </c>
      <c r="H2985" s="32" t="str">
        <f>VLOOKUP(D2985, Grid_Region_Mapping!$D$2:$F$5286, 3, FALSE)</f>
        <v>NWPP</v>
      </c>
      <c r="I2985" s="32">
        <v>9.0</v>
      </c>
      <c r="J2985" s="34" t="str">
        <f t="shared" si="1"/>
        <v>West</v>
      </c>
      <c r="K2985" s="35">
        <v>3.0</v>
      </c>
      <c r="L2985" s="35" t="s">
        <v>289</v>
      </c>
      <c r="M2985" s="36">
        <f>VLOOKUP(D2985, County_Data_CZones!$B$2:$F$3236, 2, FALSE)</f>
        <v>4</v>
      </c>
      <c r="N2985" s="37" t="str">
        <f>VLOOKUP(D2985, County_Data_CZones!$B$2:$F$3236, 5, FALSE)</f>
        <v>Marine</v>
      </c>
    </row>
    <row r="2986" ht="15.75" customHeight="1">
      <c r="A2986" s="32" t="s">
        <v>1917</v>
      </c>
      <c r="B2986" s="32" t="s">
        <v>167</v>
      </c>
      <c r="C2986" s="32" t="str">
        <f>vlookup(B2986,State_EMM_RowSums!$A$2:$B$52,2,FALSE)</f>
        <v>WA</v>
      </c>
      <c r="D2986" s="32">
        <v>53063.0</v>
      </c>
      <c r="E2986" s="33">
        <f>IF(NOT(ISBLANK(vlookup($D2986,Pop_Census_2023!$A$2:$E$3220,4,FALSE))),vlookup($D2986,Pop_Census_2023!$A$2:$E$3220,4,FALSE), vlookup($D2986,Pop_Census_2023!$A$2:$E$3220,5,FALSE))</f>
        <v>551455</v>
      </c>
      <c r="F2986" s="32">
        <v>1529225.0</v>
      </c>
      <c r="G2986" s="32">
        <v>3.0</v>
      </c>
      <c r="H2986" s="32" t="str">
        <f>VLOOKUP(D2986, Grid_Region_Mapping!$D$2:$F$5286, 3, FALSE)</f>
        <v>NWPP</v>
      </c>
      <c r="I2986" s="32">
        <v>9.0</v>
      </c>
      <c r="J2986" s="34" t="str">
        <f t="shared" si="1"/>
        <v>West</v>
      </c>
      <c r="K2986" s="35">
        <v>2.0</v>
      </c>
      <c r="L2986" s="35" t="s">
        <v>202</v>
      </c>
      <c r="M2986" s="36">
        <f>VLOOKUP(D2986, County_Data_CZones!$B$2:$F$3236, 2, FALSE)</f>
        <v>5</v>
      </c>
      <c r="N2986" s="37" t="str">
        <f>VLOOKUP(D2986, County_Data_CZones!$B$2:$F$3236, 5, FALSE)</f>
        <v>Cold</v>
      </c>
    </row>
    <row r="2987" ht="15.75" customHeight="1">
      <c r="A2987" s="32" t="s">
        <v>809</v>
      </c>
      <c r="B2987" s="32" t="s">
        <v>167</v>
      </c>
      <c r="C2987" s="32" t="str">
        <f>vlookup(B2987,State_EMM_RowSums!$A$2:$B$52,2,FALSE)</f>
        <v>WA</v>
      </c>
      <c r="D2987" s="32">
        <v>53065.0</v>
      </c>
      <c r="E2987" s="33">
        <f>IF(NOT(ISBLANK(vlookup($D2987,Pop_Census_2023!$A$2:$E$3220,4,FALSE))),vlookup($D2987,Pop_Census_2023!$A$2:$E$3220,4,FALSE), vlookup($D2987,Pop_Census_2023!$A$2:$E$3220,5,FALSE))</f>
        <v>48837</v>
      </c>
      <c r="F2987" s="32">
        <v>1531930.0</v>
      </c>
      <c r="G2987" s="32">
        <v>3.0</v>
      </c>
      <c r="H2987" s="32" t="str">
        <f>VLOOKUP(D2987, Grid_Region_Mapping!$D$2:$F$5286, 3, FALSE)</f>
        <v>NWPP</v>
      </c>
      <c r="I2987" s="32">
        <v>9.0</v>
      </c>
      <c r="J2987" s="34" t="str">
        <f t="shared" si="1"/>
        <v>West</v>
      </c>
      <c r="K2987" s="35">
        <v>1.0</v>
      </c>
      <c r="L2987" s="35" t="s">
        <v>282</v>
      </c>
      <c r="M2987" s="36">
        <f>VLOOKUP(D2987, County_Data_CZones!$B$2:$F$3236, 2, FALSE)</f>
        <v>6</v>
      </c>
      <c r="N2987" s="37" t="str">
        <f>VLOOKUP(D2987, County_Data_CZones!$B$2:$F$3236, 5, FALSE)</f>
        <v>Cold</v>
      </c>
    </row>
    <row r="2988" ht="15.75" customHeight="1">
      <c r="A2988" s="32" t="s">
        <v>1238</v>
      </c>
      <c r="B2988" s="32" t="s">
        <v>167</v>
      </c>
      <c r="C2988" s="32" t="str">
        <f>vlookup(B2988,State_EMM_RowSums!$A$2:$B$52,2,FALSE)</f>
        <v>WA</v>
      </c>
      <c r="D2988" s="32">
        <v>53067.0</v>
      </c>
      <c r="E2988" s="33">
        <f>IF(NOT(ISBLANK(vlookup($D2988,Pop_Census_2023!$A$2:$E$3220,4,FALSE))),vlookup($D2988,Pop_Census_2023!$A$2:$E$3220,4,FALSE), vlookup($D2988,Pop_Census_2023!$A$2:$E$3220,5,FALSE))</f>
        <v>299003</v>
      </c>
      <c r="F2988" s="32">
        <v>1529226.0</v>
      </c>
      <c r="G2988" s="32">
        <v>1.0</v>
      </c>
      <c r="H2988" s="32" t="str">
        <f>VLOOKUP(D2988, Grid_Region_Mapping!$D$2:$F$5286, 3, FALSE)</f>
        <v>NWPP</v>
      </c>
      <c r="I2988" s="32">
        <v>9.0</v>
      </c>
      <c r="J2988" s="34" t="str">
        <f t="shared" si="1"/>
        <v>West</v>
      </c>
      <c r="K2988" s="35">
        <v>3.0</v>
      </c>
      <c r="L2988" s="35" t="s">
        <v>289</v>
      </c>
      <c r="M2988" s="36">
        <f>VLOOKUP(D2988, County_Data_CZones!$B$2:$F$3236, 2, FALSE)</f>
        <v>4</v>
      </c>
      <c r="N2988" s="37" t="str">
        <f>VLOOKUP(D2988, County_Data_CZones!$B$2:$F$3236, 5, FALSE)</f>
        <v>Marine</v>
      </c>
    </row>
    <row r="2989" ht="15.75" customHeight="1">
      <c r="A2989" s="32" t="s">
        <v>1918</v>
      </c>
      <c r="B2989" s="32" t="s">
        <v>167</v>
      </c>
      <c r="C2989" s="32" t="str">
        <f>vlookup(B2989,State_EMM_RowSums!$A$2:$B$52,2,FALSE)</f>
        <v>WA</v>
      </c>
      <c r="D2989" s="32">
        <v>53069.0</v>
      </c>
      <c r="E2989" s="33">
        <f>IF(NOT(ISBLANK(vlookup($D2989,Pop_Census_2023!$A$2:$E$3220,4,FALSE))),vlookup($D2989,Pop_Census_2023!$A$2:$E$3220,4,FALSE), vlookup($D2989,Pop_Census_2023!$A$2:$E$3220,5,FALSE))</f>
        <v>4765</v>
      </c>
      <c r="F2989" s="32">
        <v>1513275.0</v>
      </c>
      <c r="G2989" s="32">
        <v>2.0</v>
      </c>
      <c r="H2989" s="32" t="str">
        <f>VLOOKUP(D2989, Grid_Region_Mapping!$D$2:$F$5286, 3, FALSE)</f>
        <v>NWPP</v>
      </c>
      <c r="I2989" s="32">
        <v>9.0</v>
      </c>
      <c r="J2989" s="34" t="str">
        <f t="shared" si="1"/>
        <v>West</v>
      </c>
      <c r="K2989" s="35">
        <v>3.0</v>
      </c>
      <c r="L2989" s="35" t="s">
        <v>289</v>
      </c>
      <c r="M2989" s="36">
        <f>VLOOKUP(D2989, County_Data_CZones!$B$2:$F$3236, 2, FALSE)</f>
        <v>4</v>
      </c>
      <c r="N2989" s="37" t="str">
        <f>VLOOKUP(D2989, County_Data_CZones!$B$2:$F$3236, 5, FALSE)</f>
        <v>Marine</v>
      </c>
    </row>
    <row r="2990" ht="15.75" customHeight="1">
      <c r="A2990" s="32" t="s">
        <v>1919</v>
      </c>
      <c r="B2990" s="32" t="s">
        <v>167</v>
      </c>
      <c r="C2990" s="32" t="str">
        <f>vlookup(B2990,State_EMM_RowSums!$A$2:$B$52,2,FALSE)</f>
        <v>WA</v>
      </c>
      <c r="D2990" s="32">
        <v>53071.0</v>
      </c>
      <c r="E2990" s="33">
        <f>IF(NOT(ISBLANK(vlookup($D2990,Pop_Census_2023!$A$2:$E$3220,4,FALSE))),vlookup($D2990,Pop_Census_2023!$A$2:$E$3220,4,FALSE), vlookup($D2990,Pop_Census_2023!$A$2:$E$3220,5,FALSE))</f>
        <v>61568</v>
      </c>
      <c r="F2990" s="32">
        <v>1531819.0</v>
      </c>
      <c r="G2990" s="32">
        <v>2.0</v>
      </c>
      <c r="H2990" s="32" t="str">
        <f>VLOOKUP(D2990, Grid_Region_Mapping!$D$2:$F$5286, 3, FALSE)</f>
        <v>NWPP</v>
      </c>
      <c r="I2990" s="32">
        <v>9.0</v>
      </c>
      <c r="J2990" s="34" t="str">
        <f t="shared" si="1"/>
        <v>West</v>
      </c>
      <c r="K2990" s="35">
        <v>3.0</v>
      </c>
      <c r="L2990" s="35" t="s">
        <v>202</v>
      </c>
      <c r="M2990" s="36">
        <f>VLOOKUP(D2990, County_Data_CZones!$B$2:$F$3236, 2, FALSE)</f>
        <v>5</v>
      </c>
      <c r="N2990" s="37" t="str">
        <f>VLOOKUP(D2990, County_Data_CZones!$B$2:$F$3236, 5, FALSE)</f>
        <v>Cold</v>
      </c>
    </row>
    <row r="2991" ht="15.75" customHeight="1">
      <c r="A2991" s="32" t="s">
        <v>1920</v>
      </c>
      <c r="B2991" s="32" t="s">
        <v>167</v>
      </c>
      <c r="C2991" s="32" t="str">
        <f>vlookup(B2991,State_EMM_RowSums!$A$2:$B$52,2,FALSE)</f>
        <v>WA</v>
      </c>
      <c r="D2991" s="32">
        <v>53073.0</v>
      </c>
      <c r="E2991" s="33">
        <f>IF(NOT(ISBLANK(vlookup($D2991,Pop_Census_2023!$A$2:$E$3220,4,FALSE))),vlookup($D2991,Pop_Census_2023!$A$2:$E$3220,4,FALSE), vlookup($D2991,Pop_Census_2023!$A$2:$E$3220,5,FALSE))</f>
        <v>231919</v>
      </c>
      <c r="F2991" s="32">
        <v>1529224.0</v>
      </c>
      <c r="G2991" s="32">
        <v>1.0</v>
      </c>
      <c r="H2991" s="32" t="str">
        <f>VLOOKUP(D2991, Grid_Region_Mapping!$D$2:$F$5286, 3, FALSE)</f>
        <v>NWPP</v>
      </c>
      <c r="I2991" s="32">
        <v>9.0</v>
      </c>
      <c r="J2991" s="34" t="str">
        <f t="shared" si="1"/>
        <v>West</v>
      </c>
      <c r="K2991" s="35">
        <v>2.0</v>
      </c>
      <c r="L2991" s="35" t="s">
        <v>289</v>
      </c>
      <c r="M2991" s="36">
        <f>VLOOKUP(D2991, County_Data_CZones!$B$2:$F$3236, 2, FALSE)</f>
        <v>4</v>
      </c>
      <c r="N2991" s="37" t="str">
        <f>VLOOKUP(D2991, County_Data_CZones!$B$2:$F$3236, 5, FALSE)</f>
        <v>Marine</v>
      </c>
    </row>
    <row r="2992" ht="15.75" customHeight="1">
      <c r="A2992" s="32" t="s">
        <v>1921</v>
      </c>
      <c r="B2992" s="32" t="s">
        <v>167</v>
      </c>
      <c r="C2992" s="32" t="str">
        <f>vlookup(B2992,State_EMM_RowSums!$A$2:$B$52,2,FALSE)</f>
        <v>WA</v>
      </c>
      <c r="D2992" s="32">
        <v>53075.0</v>
      </c>
      <c r="E2992" s="33">
        <f>IF(NOT(ISBLANK(vlookup($D2992,Pop_Census_2023!$A$2:$E$3220,4,FALSE))),vlookup($D2992,Pop_Census_2023!$A$2:$E$3220,4,FALSE), vlookup($D2992,Pop_Census_2023!$A$2:$E$3220,5,FALSE))</f>
        <v>48012</v>
      </c>
      <c r="F2992" s="32">
        <v>1533501.0</v>
      </c>
      <c r="G2992" s="32">
        <v>3.0</v>
      </c>
      <c r="H2992" s="32" t="str">
        <f>VLOOKUP(D2992, Grid_Region_Mapping!$D$2:$F$5286, 3, FALSE)</f>
        <v>NWPP</v>
      </c>
      <c r="I2992" s="32">
        <v>9.0</v>
      </c>
      <c r="J2992" s="34" t="str">
        <f t="shared" si="1"/>
        <v>West</v>
      </c>
      <c r="K2992" s="35">
        <v>2.0</v>
      </c>
      <c r="L2992" s="35" t="s">
        <v>202</v>
      </c>
      <c r="M2992" s="36">
        <f>VLOOKUP(D2992, County_Data_CZones!$B$2:$F$3236, 2, FALSE)</f>
        <v>5</v>
      </c>
      <c r="N2992" s="37" t="str">
        <f>VLOOKUP(D2992, County_Data_CZones!$B$2:$F$3236, 5, FALSE)</f>
        <v>Cold</v>
      </c>
    </row>
    <row r="2993" ht="15.75" customHeight="1">
      <c r="A2993" s="32" t="s">
        <v>1922</v>
      </c>
      <c r="B2993" s="32" t="s">
        <v>167</v>
      </c>
      <c r="C2993" s="32" t="str">
        <f>vlookup(B2993,State_EMM_RowSums!$A$2:$B$52,2,FALSE)</f>
        <v>WA</v>
      </c>
      <c r="D2993" s="32">
        <v>53077.0</v>
      </c>
      <c r="E2993" s="33">
        <f>IF(NOT(ISBLANK(vlookup($D2993,Pop_Census_2023!$A$2:$E$3220,4,FALSE))),vlookup($D2993,Pop_Census_2023!$A$2:$E$3220,4,FALSE), vlookup($D2993,Pop_Census_2023!$A$2:$E$3220,5,FALSE))</f>
        <v>256643</v>
      </c>
      <c r="F2993" s="32">
        <v>1531929.0</v>
      </c>
      <c r="G2993" s="32">
        <v>2.0</v>
      </c>
      <c r="H2993" s="32" t="str">
        <f>VLOOKUP(D2993, Grid_Region_Mapping!$D$2:$F$5286, 3, FALSE)</f>
        <v>NWPP</v>
      </c>
      <c r="I2993" s="32">
        <v>9.0</v>
      </c>
      <c r="J2993" s="34" t="str">
        <f t="shared" si="1"/>
        <v>West</v>
      </c>
      <c r="K2993" s="35">
        <v>2.0</v>
      </c>
      <c r="L2993" s="35" t="s">
        <v>1923</v>
      </c>
      <c r="M2993" s="36">
        <f>VLOOKUP(D2993, County_Data_CZones!$B$2:$F$3236, 2, FALSE)</f>
        <v>5</v>
      </c>
      <c r="N2993" s="37" t="str">
        <f>VLOOKUP(D2993, County_Data_CZones!$B$2:$F$3236, 5, FALSE)</f>
        <v>Cold</v>
      </c>
    </row>
    <row r="2994" ht="15.75" customHeight="1">
      <c r="A2994" s="32" t="s">
        <v>105</v>
      </c>
      <c r="B2994" s="32" t="s">
        <v>1924</v>
      </c>
      <c r="C2994" s="32" t="str">
        <f>vlookup(B2994,State_EMM_RowSums!$A$2:$B$52,2,FALSE)</f>
        <v>WV</v>
      </c>
      <c r="D2994" s="32">
        <v>54001.0</v>
      </c>
      <c r="E2994" s="33">
        <f>IF(NOT(ISBLANK(vlookup($D2994,Pop_Census_2023!$A$2:$E$3220,4,FALSE))),vlookup($D2994,Pop_Census_2023!$A$2:$E$3220,4,FALSE), vlookup($D2994,Pop_Census_2023!$A$2:$E$3220,5,FALSE))</f>
        <v>15378</v>
      </c>
      <c r="F2994" s="32">
        <v>1696996.0</v>
      </c>
      <c r="G2994" s="32">
        <v>116.0</v>
      </c>
      <c r="H2994" s="32" t="str">
        <f>VLOOKUP(D2994, Grid_Region_Mapping!$D$2:$F$5286, 3, FALSE)</f>
        <v>PJMW</v>
      </c>
      <c r="I2994" s="32">
        <v>5.0</v>
      </c>
      <c r="J2994" s="34" t="str">
        <f t="shared" si="1"/>
        <v>South</v>
      </c>
      <c r="K2994" s="35">
        <v>2.0</v>
      </c>
      <c r="L2994" s="35" t="s">
        <v>396</v>
      </c>
      <c r="M2994" s="36">
        <f>VLOOKUP(D2994, County_Data_CZones!$B$2:$F$3236, 2, FALSE)</f>
        <v>5</v>
      </c>
      <c r="N2994" s="37" t="str">
        <f>VLOOKUP(D2994, County_Data_CZones!$B$2:$F$3236, 5, FALSE)</f>
        <v>Cold</v>
      </c>
    </row>
    <row r="2995" ht="15.75" customHeight="1">
      <c r="A2995" s="32" t="s">
        <v>1555</v>
      </c>
      <c r="B2995" s="32" t="s">
        <v>1924</v>
      </c>
      <c r="C2995" s="32" t="str">
        <f>vlookup(B2995,State_EMM_RowSums!$A$2:$B$52,2,FALSE)</f>
        <v>WV</v>
      </c>
      <c r="D2995" s="32">
        <v>54003.0</v>
      </c>
      <c r="E2995" s="33">
        <f>IF(NOT(ISBLANK(vlookup($D2995,Pop_Census_2023!$A$2:$E$3220,4,FALSE))),vlookup($D2995,Pop_Census_2023!$A$2:$E$3220,4,FALSE), vlookup($D2995,Pop_Census_2023!$A$2:$E$3220,5,FALSE))</f>
        <v>132440</v>
      </c>
      <c r="F2995" s="32">
        <v>1550008.0</v>
      </c>
      <c r="G2995" s="32">
        <v>116.0</v>
      </c>
      <c r="H2995" s="32" t="str">
        <f>VLOOKUP(D2995, Grid_Region_Mapping!$D$2:$F$5286, 3, FALSE)</f>
        <v>PJMW</v>
      </c>
      <c r="I2995" s="32">
        <v>5.0</v>
      </c>
      <c r="J2995" s="34" t="str">
        <f t="shared" si="1"/>
        <v>South</v>
      </c>
      <c r="K2995" s="35">
        <v>3.0</v>
      </c>
      <c r="L2995" s="35" t="s">
        <v>223</v>
      </c>
      <c r="M2995" s="36">
        <f>VLOOKUP(D2995, County_Data_CZones!$B$2:$F$3236, 2, FALSE)</f>
        <v>4</v>
      </c>
      <c r="N2995" s="37" t="str">
        <f>VLOOKUP(D2995, County_Data_CZones!$B$2:$F$3236, 5, FALSE)</f>
        <v>Mixed-Humid</v>
      </c>
    </row>
    <row r="2996" ht="15.75" customHeight="1">
      <c r="A2996" s="32" t="s">
        <v>225</v>
      </c>
      <c r="B2996" s="32" t="s">
        <v>1924</v>
      </c>
      <c r="C2996" s="32" t="str">
        <f>vlookup(B2996,State_EMM_RowSums!$A$2:$B$52,2,FALSE)</f>
        <v>WV</v>
      </c>
      <c r="D2996" s="32">
        <v>54005.0</v>
      </c>
      <c r="E2996" s="33">
        <f>IF(NOT(ISBLANK(vlookup($D2996,Pop_Census_2023!$A$2:$E$3220,4,FALSE))),vlookup($D2996,Pop_Census_2023!$A$2:$E$3220,4,FALSE), vlookup($D2996,Pop_Census_2023!$A$2:$E$3220,5,FALSE))</f>
        <v>20576</v>
      </c>
      <c r="F2996" s="32">
        <v>1550009.0</v>
      </c>
      <c r="G2996" s="32">
        <v>117.0</v>
      </c>
      <c r="H2996" s="32" t="str">
        <f>VLOOKUP(D2996, Grid_Region_Mapping!$D$2:$F$5286, 3, FALSE)</f>
        <v>PJMW</v>
      </c>
      <c r="I2996" s="32">
        <v>5.0</v>
      </c>
      <c r="J2996" s="34" t="str">
        <f t="shared" si="1"/>
        <v>South</v>
      </c>
      <c r="K2996" s="35">
        <v>3.0</v>
      </c>
      <c r="L2996" s="35" t="s">
        <v>223</v>
      </c>
      <c r="M2996" s="36">
        <f>VLOOKUP(D2996, County_Data_CZones!$B$2:$F$3236, 2, FALSE)</f>
        <v>4</v>
      </c>
      <c r="N2996" s="37" t="str">
        <f>VLOOKUP(D2996, County_Data_CZones!$B$2:$F$3236, 5, FALSE)</f>
        <v>Mixed-Humid</v>
      </c>
    </row>
    <row r="2997" ht="15.75" customHeight="1">
      <c r="A2997" s="32" t="s">
        <v>1925</v>
      </c>
      <c r="B2997" s="32" t="s">
        <v>1924</v>
      </c>
      <c r="C2997" s="32" t="str">
        <f>vlookup(B2997,State_EMM_RowSums!$A$2:$B$52,2,FALSE)</f>
        <v>WV</v>
      </c>
      <c r="D2997" s="32">
        <v>54007.0</v>
      </c>
      <c r="E2997" s="33">
        <f>IF(NOT(ISBLANK(vlookup($D2997,Pop_Census_2023!$A$2:$E$3220,4,FALSE))),vlookup($D2997,Pop_Census_2023!$A$2:$E$3220,4,FALSE), vlookup($D2997,Pop_Census_2023!$A$2:$E$3220,5,FALSE))</f>
        <v>12162</v>
      </c>
      <c r="F2997" s="32">
        <v>1550010.0</v>
      </c>
      <c r="G2997" s="32">
        <v>116.0</v>
      </c>
      <c r="H2997" s="32" t="str">
        <f>VLOOKUP(D2997, Grid_Region_Mapping!$D$2:$F$5286, 3, FALSE)</f>
        <v>PJMW</v>
      </c>
      <c r="I2997" s="32">
        <v>5.0</v>
      </c>
      <c r="J2997" s="34" t="str">
        <f t="shared" si="1"/>
        <v>South</v>
      </c>
      <c r="K2997" s="35">
        <v>3.0</v>
      </c>
      <c r="L2997" s="35" t="s">
        <v>223</v>
      </c>
      <c r="M2997" s="36">
        <f>VLOOKUP(D2997, County_Data_CZones!$B$2:$F$3236, 2, FALSE)</f>
        <v>4</v>
      </c>
      <c r="N2997" s="37" t="str">
        <f>VLOOKUP(D2997, County_Data_CZones!$B$2:$F$3236, 5, FALSE)</f>
        <v>Mixed-Humid</v>
      </c>
    </row>
    <row r="2998" ht="15.75" customHeight="1">
      <c r="A2998" s="32" t="s">
        <v>1926</v>
      </c>
      <c r="B2998" s="32" t="s">
        <v>1924</v>
      </c>
      <c r="C2998" s="32" t="str">
        <f>vlookup(B2998,State_EMM_RowSums!$A$2:$B$52,2,FALSE)</f>
        <v>WV</v>
      </c>
      <c r="D2998" s="32">
        <v>54009.0</v>
      </c>
      <c r="E2998" s="33">
        <f>IF(NOT(ISBLANK(vlookup($D2998,Pop_Census_2023!$A$2:$E$3220,4,FALSE))),vlookup($D2998,Pop_Census_2023!$A$2:$E$3220,4,FALSE), vlookup($D2998,Pop_Census_2023!$A$2:$E$3220,5,FALSE))</f>
        <v>21373</v>
      </c>
      <c r="F2998" s="32">
        <v>1558262.0</v>
      </c>
      <c r="G2998" s="32">
        <v>116.0</v>
      </c>
      <c r="H2998" s="32" t="str">
        <f>VLOOKUP(D2998, Grid_Region_Mapping!$D$2:$F$5286, 3, FALSE)</f>
        <v>PJMW</v>
      </c>
      <c r="I2998" s="32">
        <v>5.0</v>
      </c>
      <c r="J2998" s="34" t="str">
        <f t="shared" si="1"/>
        <v>South</v>
      </c>
      <c r="K2998" s="35">
        <v>2.0</v>
      </c>
      <c r="L2998" s="35" t="s">
        <v>396</v>
      </c>
      <c r="M2998" s="36">
        <f>VLOOKUP(D2998, County_Data_CZones!$B$2:$F$3236, 2, FALSE)</f>
        <v>5</v>
      </c>
      <c r="N2998" s="37" t="str">
        <f>VLOOKUP(D2998, County_Data_CZones!$B$2:$F$3236, 5, FALSE)</f>
        <v>Cold</v>
      </c>
    </row>
    <row r="2999" ht="15.75" customHeight="1">
      <c r="A2999" s="32" t="s">
        <v>1927</v>
      </c>
      <c r="B2999" s="32" t="s">
        <v>1924</v>
      </c>
      <c r="C2999" s="32" t="str">
        <f>vlookup(B2999,State_EMM_RowSums!$A$2:$B$52,2,FALSE)</f>
        <v>WV</v>
      </c>
      <c r="D2999" s="32">
        <v>54011.0</v>
      </c>
      <c r="E2999" s="33">
        <f>IF(NOT(ISBLANK(vlookup($D2999,Pop_Census_2023!$A$2:$E$3220,4,FALSE))),vlookup($D2999,Pop_Census_2023!$A$2:$E$3220,4,FALSE), vlookup($D2999,Pop_Census_2023!$A$2:$E$3220,5,FALSE))</f>
        <v>92082</v>
      </c>
      <c r="F2999" s="32">
        <v>1550012.0</v>
      </c>
      <c r="G2999" s="32">
        <v>117.0</v>
      </c>
      <c r="H2999" s="32" t="str">
        <f>VLOOKUP(D2999, Grid_Region_Mapping!$D$2:$F$5286, 3, FALSE)</f>
        <v>PJMW</v>
      </c>
      <c r="I2999" s="32">
        <v>5.0</v>
      </c>
      <c r="J2999" s="34" t="str">
        <f t="shared" si="1"/>
        <v>South</v>
      </c>
      <c r="K2999" s="35">
        <v>3.0</v>
      </c>
      <c r="L2999" s="35" t="s">
        <v>223</v>
      </c>
      <c r="M2999" s="36">
        <f>VLOOKUP(D2999, County_Data_CZones!$B$2:$F$3236, 2, FALSE)</f>
        <v>4</v>
      </c>
      <c r="N2999" s="37" t="str">
        <f>VLOOKUP(D2999, County_Data_CZones!$B$2:$F$3236, 5, FALSE)</f>
        <v>Mixed-Humid</v>
      </c>
    </row>
    <row r="3000" ht="15.75" customHeight="1">
      <c r="A3000" s="32" t="s">
        <v>110</v>
      </c>
      <c r="B3000" s="32" t="s">
        <v>1924</v>
      </c>
      <c r="C3000" s="32" t="str">
        <f>vlookup(B3000,State_EMM_RowSums!$A$2:$B$52,2,FALSE)</f>
        <v>WV</v>
      </c>
      <c r="D3000" s="32">
        <v>54013.0</v>
      </c>
      <c r="E3000" s="33">
        <f>IF(NOT(ISBLANK(vlookup($D3000,Pop_Census_2023!$A$2:$E$3220,4,FALSE))),vlookup($D3000,Pop_Census_2023!$A$2:$E$3220,4,FALSE), vlookup($D3000,Pop_Census_2023!$A$2:$E$3220,5,FALSE))</f>
        <v>5959</v>
      </c>
      <c r="F3000" s="32">
        <v>1696945.0</v>
      </c>
      <c r="G3000" s="32">
        <v>116.0</v>
      </c>
      <c r="H3000" s="32" t="str">
        <f>VLOOKUP(D3000, Grid_Region_Mapping!$D$2:$F$5286, 3, FALSE)</f>
        <v>PJMW</v>
      </c>
      <c r="I3000" s="32">
        <v>5.0</v>
      </c>
      <c r="J3000" s="34" t="str">
        <f t="shared" si="1"/>
        <v>South</v>
      </c>
      <c r="K3000" s="35">
        <v>3.0</v>
      </c>
      <c r="L3000" s="35" t="s">
        <v>223</v>
      </c>
      <c r="M3000" s="36">
        <f>VLOOKUP(D3000, County_Data_CZones!$B$2:$F$3236, 2, FALSE)</f>
        <v>4</v>
      </c>
      <c r="N3000" s="37" t="str">
        <f>VLOOKUP(D3000, County_Data_CZones!$B$2:$F$3236, 5, FALSE)</f>
        <v>Mixed-Humid</v>
      </c>
    </row>
    <row r="3001" ht="15.75" customHeight="1">
      <c r="A3001" s="32" t="s">
        <v>116</v>
      </c>
      <c r="B3001" s="32" t="s">
        <v>1924</v>
      </c>
      <c r="C3001" s="32" t="str">
        <f>vlookup(B3001,State_EMM_RowSums!$A$2:$B$52,2,FALSE)</f>
        <v>WV</v>
      </c>
      <c r="D3001" s="32">
        <v>54015.0</v>
      </c>
      <c r="E3001" s="33">
        <f>IF(NOT(ISBLANK(vlookup($D3001,Pop_Census_2023!$A$2:$E$3220,4,FALSE))),vlookup($D3001,Pop_Census_2023!$A$2:$E$3220,4,FALSE), vlookup($D3001,Pop_Census_2023!$A$2:$E$3220,5,FALSE))</f>
        <v>7783</v>
      </c>
      <c r="F3001" s="32">
        <v>1550014.0</v>
      </c>
      <c r="G3001" s="32">
        <v>116.0</v>
      </c>
      <c r="H3001" s="32" t="str">
        <f>VLOOKUP(D3001, Grid_Region_Mapping!$D$2:$F$5286, 3, FALSE)</f>
        <v>PJMW</v>
      </c>
      <c r="I3001" s="32">
        <v>5.0</v>
      </c>
      <c r="J3001" s="34" t="str">
        <f t="shared" si="1"/>
        <v>South</v>
      </c>
      <c r="K3001" s="35">
        <v>3.0</v>
      </c>
      <c r="L3001" s="35" t="s">
        <v>223</v>
      </c>
      <c r="M3001" s="36">
        <f>VLOOKUP(D3001, County_Data_CZones!$B$2:$F$3236, 2, FALSE)</f>
        <v>4</v>
      </c>
      <c r="N3001" s="37" t="str">
        <f>VLOOKUP(D3001, County_Data_CZones!$B$2:$F$3236, 5, FALSE)</f>
        <v>Mixed-Humid</v>
      </c>
    </row>
    <row r="3002" ht="15.75" customHeight="1">
      <c r="A3002" s="32" t="s">
        <v>1928</v>
      </c>
      <c r="B3002" s="32" t="s">
        <v>1924</v>
      </c>
      <c r="C3002" s="32" t="str">
        <f>vlookup(B3002,State_EMM_RowSums!$A$2:$B$52,2,FALSE)</f>
        <v>WV</v>
      </c>
      <c r="D3002" s="32">
        <v>54017.0</v>
      </c>
      <c r="E3002" s="33">
        <f>IF(NOT(ISBLANK(vlookup($D3002,Pop_Census_2023!$A$2:$E$3220,4,FALSE))),vlookup($D3002,Pop_Census_2023!$A$2:$E$3220,4,FALSE), vlookup($D3002,Pop_Census_2023!$A$2:$E$3220,5,FALSE))</f>
        <v>7680</v>
      </c>
      <c r="F3002" s="32">
        <v>1689476.0</v>
      </c>
      <c r="G3002" s="32">
        <v>116.0</v>
      </c>
      <c r="H3002" s="32" t="str">
        <f>VLOOKUP(D3002, Grid_Region_Mapping!$D$2:$F$5286, 3, FALSE)</f>
        <v>PJMW</v>
      </c>
      <c r="I3002" s="32">
        <v>5.0</v>
      </c>
      <c r="J3002" s="34" t="str">
        <f t="shared" si="1"/>
        <v>South</v>
      </c>
      <c r="K3002" s="35">
        <v>2.0</v>
      </c>
      <c r="L3002" s="35" t="s">
        <v>396</v>
      </c>
      <c r="M3002" s="36">
        <f>VLOOKUP(D3002, County_Data_CZones!$B$2:$F$3236, 2, FALSE)</f>
        <v>5</v>
      </c>
      <c r="N3002" s="37" t="str">
        <f>VLOOKUP(D3002, County_Data_CZones!$B$2:$F$3236, 5, FALSE)</f>
        <v>Cold</v>
      </c>
    </row>
    <row r="3003" ht="15.75" customHeight="1">
      <c r="A3003" s="32" t="s">
        <v>131</v>
      </c>
      <c r="B3003" s="32" t="s">
        <v>1924</v>
      </c>
      <c r="C3003" s="32" t="str">
        <f>vlookup(B3003,State_EMM_RowSums!$A$2:$B$52,2,FALSE)</f>
        <v>WV</v>
      </c>
      <c r="D3003" s="32">
        <v>54019.0</v>
      </c>
      <c r="E3003" s="33">
        <f>IF(NOT(ISBLANK(vlookup($D3003,Pop_Census_2023!$A$2:$E$3220,4,FALSE))),vlookup($D3003,Pop_Census_2023!$A$2:$E$3220,4,FALSE), vlookup($D3003,Pop_Census_2023!$A$2:$E$3220,5,FALSE))</f>
        <v>39072</v>
      </c>
      <c r="F3003" s="32">
        <v>1560095.0</v>
      </c>
      <c r="G3003" s="32">
        <v>117.0</v>
      </c>
      <c r="H3003" s="32" t="str">
        <f>VLOOKUP(D3003, Grid_Region_Mapping!$D$2:$F$5286, 3, FALSE)</f>
        <v>PJMW</v>
      </c>
      <c r="I3003" s="32">
        <v>5.0</v>
      </c>
      <c r="J3003" s="34" t="str">
        <f t="shared" si="1"/>
        <v>South</v>
      </c>
      <c r="K3003" s="35">
        <v>2.0</v>
      </c>
      <c r="L3003" s="35" t="s">
        <v>396</v>
      </c>
      <c r="M3003" s="36">
        <f>VLOOKUP(D3003, County_Data_CZones!$B$2:$F$3236, 2, FALSE)</f>
        <v>5</v>
      </c>
      <c r="N3003" s="37" t="str">
        <f>VLOOKUP(D3003, County_Data_CZones!$B$2:$F$3236, 5, FALSE)</f>
        <v>Cold</v>
      </c>
    </row>
    <row r="3004" ht="15.75" customHeight="1">
      <c r="A3004" s="32" t="s">
        <v>504</v>
      </c>
      <c r="B3004" s="32" t="s">
        <v>1924</v>
      </c>
      <c r="C3004" s="32" t="str">
        <f>vlookup(B3004,State_EMM_RowSums!$A$2:$B$52,2,FALSE)</f>
        <v>WV</v>
      </c>
      <c r="D3004" s="32">
        <v>54021.0</v>
      </c>
      <c r="E3004" s="33">
        <f>IF(NOT(ISBLANK(vlookup($D3004,Pop_Census_2023!$A$2:$E$3220,4,FALSE))),vlookup($D3004,Pop_Census_2023!$A$2:$E$3220,4,FALSE), vlookup($D3004,Pop_Census_2023!$A$2:$E$3220,5,FALSE))</f>
        <v>7254</v>
      </c>
      <c r="F3004" s="32">
        <v>1689673.0</v>
      </c>
      <c r="G3004" s="32">
        <v>116.0</v>
      </c>
      <c r="H3004" s="32" t="str">
        <f>VLOOKUP(D3004, Grid_Region_Mapping!$D$2:$F$5286, 3, FALSE)</f>
        <v>PJMW</v>
      </c>
      <c r="I3004" s="32">
        <v>5.0</v>
      </c>
      <c r="J3004" s="34" t="str">
        <f t="shared" si="1"/>
        <v>South</v>
      </c>
      <c r="K3004" s="35">
        <v>3.0</v>
      </c>
      <c r="L3004" s="35" t="s">
        <v>223</v>
      </c>
      <c r="M3004" s="36">
        <f>VLOOKUP(D3004, County_Data_CZones!$B$2:$F$3236, 2, FALSE)</f>
        <v>4</v>
      </c>
      <c r="N3004" s="37" t="str">
        <f>VLOOKUP(D3004, County_Data_CZones!$B$2:$F$3236, 5, FALSE)</f>
        <v>Mixed-Humid</v>
      </c>
    </row>
    <row r="3005" ht="15.75" customHeight="1">
      <c r="A3005" s="32" t="s">
        <v>242</v>
      </c>
      <c r="B3005" s="32" t="s">
        <v>1924</v>
      </c>
      <c r="C3005" s="32" t="str">
        <f>vlookup(B3005,State_EMM_RowSums!$A$2:$B$52,2,FALSE)</f>
        <v>WV</v>
      </c>
      <c r="D3005" s="32">
        <v>54023.0</v>
      </c>
      <c r="E3005" s="33">
        <f>IF(NOT(ISBLANK(vlookup($D3005,Pop_Census_2023!$A$2:$E$3220,4,FALSE))),vlookup($D3005,Pop_Census_2023!$A$2:$E$3220,4,FALSE), vlookup($D3005,Pop_Census_2023!$A$2:$E$3220,5,FALSE))</f>
        <v>10921</v>
      </c>
      <c r="F3005" s="32">
        <v>1697238.0</v>
      </c>
      <c r="G3005" s="32">
        <v>116.0</v>
      </c>
      <c r="H3005" s="32" t="str">
        <f>VLOOKUP(D3005, Grid_Region_Mapping!$D$2:$F$5286, 3, FALSE)</f>
        <v>PJMW</v>
      </c>
      <c r="I3005" s="32">
        <v>5.0</v>
      </c>
      <c r="J3005" s="34" t="str">
        <f t="shared" si="1"/>
        <v>South</v>
      </c>
      <c r="K3005" s="35">
        <v>2.0</v>
      </c>
      <c r="L3005" s="35" t="s">
        <v>396</v>
      </c>
      <c r="M3005" s="36">
        <f>VLOOKUP(D3005, County_Data_CZones!$B$2:$F$3236, 2, FALSE)</f>
        <v>5</v>
      </c>
      <c r="N3005" s="37" t="str">
        <f>VLOOKUP(D3005, County_Data_CZones!$B$2:$F$3236, 5, FALSE)</f>
        <v>Cold</v>
      </c>
    </row>
    <row r="3006" ht="15.75" customHeight="1">
      <c r="A3006" s="32" t="s">
        <v>1929</v>
      </c>
      <c r="B3006" s="32" t="s">
        <v>1924</v>
      </c>
      <c r="C3006" s="32" t="str">
        <f>vlookup(B3006,State_EMM_RowSums!$A$2:$B$52,2,FALSE)</f>
        <v>WV</v>
      </c>
      <c r="D3006" s="32">
        <v>54025.0</v>
      </c>
      <c r="E3006" s="33">
        <f>IF(NOT(ISBLANK(vlookup($D3006,Pop_Census_2023!$A$2:$E$3220,4,FALSE))),vlookup($D3006,Pop_Census_2023!$A$2:$E$3220,4,FALSE), vlookup($D3006,Pop_Census_2023!$A$2:$E$3220,5,FALSE))</f>
        <v>32149</v>
      </c>
      <c r="F3006" s="32">
        <v>1557518.0</v>
      </c>
      <c r="G3006" s="32">
        <v>116.0</v>
      </c>
      <c r="H3006" s="32" t="str">
        <f>VLOOKUP(D3006, Grid_Region_Mapping!$D$2:$F$5286, 3, FALSE)</f>
        <v>PJMW</v>
      </c>
      <c r="I3006" s="32">
        <v>5.0</v>
      </c>
      <c r="J3006" s="34" t="str">
        <f t="shared" si="1"/>
        <v>South</v>
      </c>
      <c r="K3006" s="35">
        <v>2.0</v>
      </c>
      <c r="L3006" s="35" t="s">
        <v>396</v>
      </c>
      <c r="M3006" s="36">
        <f>VLOOKUP(D3006, County_Data_CZones!$B$2:$F$3236, 2, FALSE)</f>
        <v>5</v>
      </c>
      <c r="N3006" s="37" t="str">
        <f>VLOOKUP(D3006, County_Data_CZones!$B$2:$F$3236, 5, FALSE)</f>
        <v>Cold</v>
      </c>
    </row>
    <row r="3007" ht="15.75" customHeight="1">
      <c r="A3007" s="32" t="s">
        <v>958</v>
      </c>
      <c r="B3007" s="32" t="s">
        <v>1924</v>
      </c>
      <c r="C3007" s="32" t="str">
        <f>vlookup(B3007,State_EMM_RowSums!$A$2:$B$52,2,FALSE)</f>
        <v>WV</v>
      </c>
      <c r="D3007" s="32">
        <v>54027.0</v>
      </c>
      <c r="E3007" s="33">
        <f>IF(NOT(ISBLANK(vlookup($D3007,Pop_Census_2023!$A$2:$E$3220,4,FALSE))),vlookup($D3007,Pop_Census_2023!$A$2:$E$3220,4,FALSE), vlookup($D3007,Pop_Census_2023!$A$2:$E$3220,5,FALSE))</f>
        <v>23649</v>
      </c>
      <c r="F3007" s="32">
        <v>1718644.0</v>
      </c>
      <c r="G3007" s="32">
        <v>116.0</v>
      </c>
      <c r="H3007" s="32" t="str">
        <f>VLOOKUP(D3007, Grid_Region_Mapping!$D$2:$F$5286, 3, FALSE)</f>
        <v>PJMW</v>
      </c>
      <c r="I3007" s="32">
        <v>5.0</v>
      </c>
      <c r="J3007" s="34" t="str">
        <f t="shared" si="1"/>
        <v>South</v>
      </c>
      <c r="K3007" s="35">
        <v>3.0</v>
      </c>
      <c r="L3007" s="35" t="s">
        <v>396</v>
      </c>
      <c r="M3007" s="36">
        <f>VLOOKUP(D3007, County_Data_CZones!$B$2:$F$3236, 2, FALSE)</f>
        <v>5</v>
      </c>
      <c r="N3007" s="37" t="str">
        <f>VLOOKUP(D3007, County_Data_CZones!$B$2:$F$3236, 5, FALSE)</f>
        <v>Cold</v>
      </c>
    </row>
    <row r="3008" ht="15.75" customHeight="1">
      <c r="A3008" s="32" t="s">
        <v>512</v>
      </c>
      <c r="B3008" s="32" t="s">
        <v>1924</v>
      </c>
      <c r="C3008" s="32" t="str">
        <f>vlookup(B3008,State_EMM_RowSums!$A$2:$B$52,2,FALSE)</f>
        <v>WV</v>
      </c>
      <c r="D3008" s="32">
        <v>54029.0</v>
      </c>
      <c r="E3008" s="33">
        <f>IF(NOT(ISBLANK(vlookup($D3008,Pop_Census_2023!$A$2:$E$3220,4,FALSE))),vlookup($D3008,Pop_Census_2023!$A$2:$E$3220,4,FALSE), vlookup($D3008,Pop_Census_2023!$A$2:$E$3220,5,FALSE))</f>
        <v>28145</v>
      </c>
      <c r="F3008" s="32">
        <v>1560574.0</v>
      </c>
      <c r="G3008" s="32">
        <v>116.0</v>
      </c>
      <c r="H3008" s="32" t="str">
        <f>VLOOKUP(D3008, Grid_Region_Mapping!$D$2:$F$5286, 3, FALSE)</f>
        <v>PJMW</v>
      </c>
      <c r="I3008" s="32">
        <v>5.0</v>
      </c>
      <c r="J3008" s="34" t="str">
        <f t="shared" si="1"/>
        <v>South</v>
      </c>
      <c r="K3008" s="35">
        <v>2.0</v>
      </c>
      <c r="L3008" s="35" t="s">
        <v>396</v>
      </c>
      <c r="M3008" s="36">
        <f>VLOOKUP(D3008, County_Data_CZones!$B$2:$F$3236, 2, FALSE)</f>
        <v>5</v>
      </c>
      <c r="N3008" s="37" t="str">
        <f>VLOOKUP(D3008, County_Data_CZones!$B$2:$F$3236, 5, FALSE)</f>
        <v>Cold</v>
      </c>
    </row>
    <row r="3009" ht="15.75" customHeight="1">
      <c r="A3009" s="32" t="s">
        <v>1930</v>
      </c>
      <c r="B3009" s="32" t="s">
        <v>1924</v>
      </c>
      <c r="C3009" s="32" t="str">
        <f>vlookup(B3009,State_EMM_RowSums!$A$2:$B$52,2,FALSE)</f>
        <v>WV</v>
      </c>
      <c r="D3009" s="32">
        <v>54031.0</v>
      </c>
      <c r="E3009" s="33">
        <f>IF(NOT(ISBLANK(vlookup($D3009,Pop_Census_2023!$A$2:$E$3220,4,FALSE))),vlookup($D3009,Pop_Census_2023!$A$2:$E$3220,4,FALSE), vlookup($D3009,Pop_Census_2023!$A$2:$E$3220,5,FALSE))</f>
        <v>14251</v>
      </c>
      <c r="F3009" s="32">
        <v>1718557.0</v>
      </c>
      <c r="G3009" s="32">
        <v>116.0</v>
      </c>
      <c r="H3009" s="32" t="str">
        <f>VLOOKUP(D3009, Grid_Region_Mapping!$D$2:$F$5286, 3, FALSE)</f>
        <v>PJMW</v>
      </c>
      <c r="I3009" s="32">
        <v>5.0</v>
      </c>
      <c r="J3009" s="34" t="str">
        <f t="shared" si="1"/>
        <v>South</v>
      </c>
      <c r="K3009" s="35">
        <v>2.0</v>
      </c>
      <c r="L3009" s="35" t="s">
        <v>396</v>
      </c>
      <c r="M3009" s="36">
        <f>VLOOKUP(D3009, County_Data_CZones!$B$2:$F$3236, 2, FALSE)</f>
        <v>5</v>
      </c>
      <c r="N3009" s="37" t="str">
        <f>VLOOKUP(D3009, County_Data_CZones!$B$2:$F$3236, 5, FALSE)</f>
        <v>Cold</v>
      </c>
    </row>
    <row r="3010" ht="15.75" customHeight="1">
      <c r="A3010" s="32" t="s">
        <v>673</v>
      </c>
      <c r="B3010" s="32" t="s">
        <v>1924</v>
      </c>
      <c r="C3010" s="32" t="str">
        <f>vlookup(B3010,State_EMM_RowSums!$A$2:$B$52,2,FALSE)</f>
        <v>WV</v>
      </c>
      <c r="D3010" s="32">
        <v>54033.0</v>
      </c>
      <c r="E3010" s="33">
        <f>IF(NOT(ISBLANK(vlookup($D3010,Pop_Census_2023!$A$2:$E$3220,4,FALSE))),vlookup($D3010,Pop_Census_2023!$A$2:$E$3220,4,FALSE), vlookup($D3010,Pop_Census_2023!$A$2:$E$3220,5,FALSE))</f>
        <v>64639</v>
      </c>
      <c r="F3010" s="32">
        <v>1718426.0</v>
      </c>
      <c r="G3010" s="32">
        <v>116.0</v>
      </c>
      <c r="H3010" s="32" t="str">
        <f>VLOOKUP(D3010, Grid_Region_Mapping!$D$2:$F$5286, 3, FALSE)</f>
        <v>PJMW</v>
      </c>
      <c r="I3010" s="32">
        <v>5.0</v>
      </c>
      <c r="J3010" s="34" t="str">
        <f t="shared" si="1"/>
        <v>South</v>
      </c>
      <c r="K3010" s="35">
        <v>2.0</v>
      </c>
      <c r="L3010" s="35" t="s">
        <v>396</v>
      </c>
      <c r="M3010" s="36">
        <f>VLOOKUP(D3010, County_Data_CZones!$B$2:$F$3236, 2, FALSE)</f>
        <v>5</v>
      </c>
      <c r="N3010" s="37" t="str">
        <f>VLOOKUP(D3010, County_Data_CZones!$B$2:$F$3236, 5, FALSE)</f>
        <v>Cold</v>
      </c>
    </row>
    <row r="3011" ht="15.75" customHeight="1">
      <c r="A3011" s="32" t="s">
        <v>138</v>
      </c>
      <c r="B3011" s="32" t="s">
        <v>1924</v>
      </c>
      <c r="C3011" s="32" t="str">
        <f>vlookup(B3011,State_EMM_RowSums!$A$2:$B$52,2,FALSE)</f>
        <v>WV</v>
      </c>
      <c r="D3011" s="32">
        <v>54035.0</v>
      </c>
      <c r="E3011" s="33">
        <f>IF(NOT(ISBLANK(vlookup($D3011,Pop_Census_2023!$A$2:$E$3220,4,FALSE))),vlookup($D3011,Pop_Census_2023!$A$2:$E$3220,4,FALSE), vlookup($D3011,Pop_Census_2023!$A$2:$E$3220,5,FALSE))</f>
        <v>27593</v>
      </c>
      <c r="F3011" s="32">
        <v>1559963.0</v>
      </c>
      <c r="G3011" s="32">
        <v>116.0</v>
      </c>
      <c r="H3011" s="32" t="str">
        <f>VLOOKUP(D3011, Grid_Region_Mapping!$D$2:$F$5286, 3, FALSE)</f>
        <v>PJMW</v>
      </c>
      <c r="I3011" s="32">
        <v>5.0</v>
      </c>
      <c r="J3011" s="34" t="str">
        <f t="shared" si="1"/>
        <v>South</v>
      </c>
      <c r="K3011" s="35">
        <v>3.0</v>
      </c>
      <c r="L3011" s="35" t="s">
        <v>223</v>
      </c>
      <c r="M3011" s="36">
        <f>VLOOKUP(D3011, County_Data_CZones!$B$2:$F$3236, 2, FALSE)</f>
        <v>4</v>
      </c>
      <c r="N3011" s="37" t="str">
        <f>VLOOKUP(D3011, County_Data_CZones!$B$2:$F$3236, 5, FALSE)</f>
        <v>Mixed-Humid</v>
      </c>
    </row>
    <row r="3012" ht="15.75" customHeight="1">
      <c r="A3012" s="32" t="s">
        <v>139</v>
      </c>
      <c r="B3012" s="32" t="s">
        <v>1924</v>
      </c>
      <c r="C3012" s="32" t="str">
        <f>vlookup(B3012,State_EMM_RowSums!$A$2:$B$52,2,FALSE)</f>
        <v>WV</v>
      </c>
      <c r="D3012" s="32">
        <v>54037.0</v>
      </c>
      <c r="E3012" s="33">
        <f>IF(NOT(ISBLANK(vlookup($D3012,Pop_Census_2023!$A$2:$E$3220,4,FALSE))),vlookup($D3012,Pop_Census_2023!$A$2:$E$3220,4,FALSE), vlookup($D3012,Pop_Census_2023!$A$2:$E$3220,5,FALSE))</f>
        <v>59787</v>
      </c>
      <c r="F3012" s="32">
        <v>1550025.0</v>
      </c>
      <c r="G3012" s="32">
        <v>116.0</v>
      </c>
      <c r="H3012" s="32" t="str">
        <f>VLOOKUP(D3012, Grid_Region_Mapping!$D$2:$F$5286, 3, FALSE)</f>
        <v>PJMW</v>
      </c>
      <c r="I3012" s="32">
        <v>5.0</v>
      </c>
      <c r="J3012" s="34" t="str">
        <f t="shared" si="1"/>
        <v>South</v>
      </c>
      <c r="K3012" s="35">
        <v>3.0</v>
      </c>
      <c r="L3012" s="35" t="s">
        <v>223</v>
      </c>
      <c r="M3012" s="36">
        <f>VLOOKUP(D3012, County_Data_CZones!$B$2:$F$3236, 2, FALSE)</f>
        <v>4</v>
      </c>
      <c r="N3012" s="37" t="str">
        <f>VLOOKUP(D3012, County_Data_CZones!$B$2:$F$3236, 5, FALSE)</f>
        <v>Mixed-Humid</v>
      </c>
    </row>
    <row r="3013" ht="15.75" customHeight="1">
      <c r="A3013" s="32" t="s">
        <v>1931</v>
      </c>
      <c r="B3013" s="32" t="s">
        <v>1924</v>
      </c>
      <c r="C3013" s="32" t="str">
        <f>vlookup(B3013,State_EMM_RowSums!$A$2:$B$52,2,FALSE)</f>
        <v>WV</v>
      </c>
      <c r="D3013" s="32">
        <v>54039.0</v>
      </c>
      <c r="E3013" s="33">
        <f>IF(NOT(ISBLANK(vlookup($D3013,Pop_Census_2023!$A$2:$E$3220,4,FALSE))),vlookup($D3013,Pop_Census_2023!$A$2:$E$3220,4,FALSE), vlookup($D3013,Pop_Census_2023!$A$2:$E$3220,5,FALSE))</f>
        <v>174805</v>
      </c>
      <c r="F3013" s="32">
        <v>1550026.0</v>
      </c>
      <c r="G3013" s="32">
        <v>117.0</v>
      </c>
      <c r="H3013" s="32" t="str">
        <f>VLOOKUP(D3013, Grid_Region_Mapping!$D$2:$F$5286, 3, FALSE)</f>
        <v>PJMW</v>
      </c>
      <c r="I3013" s="32">
        <v>5.0</v>
      </c>
      <c r="J3013" s="34" t="str">
        <f t="shared" si="1"/>
        <v>South</v>
      </c>
      <c r="K3013" s="35">
        <v>3.0</v>
      </c>
      <c r="L3013" s="35" t="s">
        <v>223</v>
      </c>
      <c r="M3013" s="36">
        <f>VLOOKUP(D3013, County_Data_CZones!$B$2:$F$3236, 2, FALSE)</f>
        <v>4</v>
      </c>
      <c r="N3013" s="37" t="str">
        <f>VLOOKUP(D3013, County_Data_CZones!$B$2:$F$3236, 5, FALSE)</f>
        <v>Mixed-Humid</v>
      </c>
    </row>
    <row r="3014" ht="15.75" customHeight="1">
      <c r="A3014" s="32" t="s">
        <v>597</v>
      </c>
      <c r="B3014" s="32" t="s">
        <v>1924</v>
      </c>
      <c r="C3014" s="32" t="str">
        <f>vlookup(B3014,State_EMM_RowSums!$A$2:$B$52,2,FALSE)</f>
        <v>WV</v>
      </c>
      <c r="D3014" s="32">
        <v>54041.0</v>
      </c>
      <c r="E3014" s="33">
        <f>IF(NOT(ISBLANK(vlookup($D3014,Pop_Census_2023!$A$2:$E$3220,4,FALSE))),vlookup($D3014,Pop_Census_2023!$A$2:$E$3220,4,FALSE), vlookup($D3014,Pop_Census_2023!$A$2:$E$3220,5,FALSE))</f>
        <v>16500</v>
      </c>
      <c r="F3014" s="32">
        <v>1550027.0</v>
      </c>
      <c r="G3014" s="32">
        <v>116.0</v>
      </c>
      <c r="H3014" s="32" t="str">
        <f>VLOOKUP(D3014, Grid_Region_Mapping!$D$2:$F$5286, 3, FALSE)</f>
        <v>PJMW</v>
      </c>
      <c r="I3014" s="32">
        <v>5.0</v>
      </c>
      <c r="J3014" s="34" t="str">
        <f t="shared" si="1"/>
        <v>South</v>
      </c>
      <c r="K3014" s="35">
        <v>2.0</v>
      </c>
      <c r="L3014" s="35" t="s">
        <v>396</v>
      </c>
      <c r="M3014" s="36">
        <f>VLOOKUP(D3014, County_Data_CZones!$B$2:$F$3236, 2, FALSE)</f>
        <v>5</v>
      </c>
      <c r="N3014" s="37" t="str">
        <f>VLOOKUP(D3014, County_Data_CZones!$B$2:$F$3236, 5, FALSE)</f>
        <v>Cold</v>
      </c>
    </row>
    <row r="3015" ht="15.75" customHeight="1">
      <c r="A3015" s="32" t="s">
        <v>250</v>
      </c>
      <c r="B3015" s="32" t="s">
        <v>1924</v>
      </c>
      <c r="C3015" s="32" t="str">
        <f>vlookup(B3015,State_EMM_RowSums!$A$2:$B$52,2,FALSE)</f>
        <v>WV</v>
      </c>
      <c r="D3015" s="32">
        <v>54043.0</v>
      </c>
      <c r="E3015" s="33">
        <f>IF(NOT(ISBLANK(vlookup($D3015,Pop_Census_2023!$A$2:$E$3220,4,FALSE))),vlookup($D3015,Pop_Census_2023!$A$2:$E$3220,4,FALSE), vlookup($D3015,Pop_Census_2023!$A$2:$E$3220,5,FALSE))</f>
        <v>19701</v>
      </c>
      <c r="F3015" s="32">
        <v>1550028.0</v>
      </c>
      <c r="G3015" s="32">
        <v>117.0</v>
      </c>
      <c r="H3015" s="32" t="str">
        <f>VLOOKUP(D3015, Grid_Region_Mapping!$D$2:$F$5286, 3, FALSE)</f>
        <v>PJMW</v>
      </c>
      <c r="I3015" s="32">
        <v>5.0</v>
      </c>
      <c r="J3015" s="34" t="str">
        <f t="shared" si="1"/>
        <v>South</v>
      </c>
      <c r="K3015" s="35">
        <v>3.0</v>
      </c>
      <c r="L3015" s="35" t="s">
        <v>223</v>
      </c>
      <c r="M3015" s="36">
        <f>VLOOKUP(D3015, County_Data_CZones!$B$2:$F$3236, 2, FALSE)</f>
        <v>4</v>
      </c>
      <c r="N3015" s="37" t="str">
        <f>VLOOKUP(D3015, County_Data_CZones!$B$2:$F$3236, 5, FALSE)</f>
        <v>Mixed-Humid</v>
      </c>
    </row>
    <row r="3016" ht="15.75" customHeight="1">
      <c r="A3016" s="32" t="s">
        <v>252</v>
      </c>
      <c r="B3016" s="32" t="s">
        <v>1924</v>
      </c>
      <c r="C3016" s="32" t="str">
        <f>vlookup(B3016,State_EMM_RowSums!$A$2:$B$52,2,FALSE)</f>
        <v>WV</v>
      </c>
      <c r="D3016" s="32">
        <v>54045.0</v>
      </c>
      <c r="E3016" s="33">
        <f>IF(NOT(ISBLANK(vlookup($D3016,Pop_Census_2023!$A$2:$E$3220,4,FALSE))),vlookup($D3016,Pop_Census_2023!$A$2:$E$3220,4,FALSE), vlookup($D3016,Pop_Census_2023!$A$2:$E$3220,5,FALSE))</f>
        <v>30827</v>
      </c>
      <c r="F3016" s="32">
        <v>1550029.0</v>
      </c>
      <c r="G3016" s="32">
        <v>117.0</v>
      </c>
      <c r="H3016" s="32" t="str">
        <f>VLOOKUP(D3016, Grid_Region_Mapping!$D$2:$F$5286, 3, FALSE)</f>
        <v>PJMW</v>
      </c>
      <c r="I3016" s="32">
        <v>5.0</v>
      </c>
      <c r="J3016" s="34" t="str">
        <f t="shared" si="1"/>
        <v>South</v>
      </c>
      <c r="K3016" s="35">
        <v>3.0</v>
      </c>
      <c r="L3016" s="35" t="s">
        <v>223</v>
      </c>
      <c r="M3016" s="36">
        <f>VLOOKUP(D3016, County_Data_CZones!$B$2:$F$3236, 2, FALSE)</f>
        <v>4</v>
      </c>
      <c r="N3016" s="37" t="str">
        <f>VLOOKUP(D3016, County_Data_CZones!$B$2:$F$3236, 5, FALSE)</f>
        <v>Mixed-Humid</v>
      </c>
    </row>
    <row r="3017" ht="15.75" customHeight="1">
      <c r="A3017" s="32" t="s">
        <v>1363</v>
      </c>
      <c r="B3017" s="32" t="s">
        <v>1924</v>
      </c>
      <c r="C3017" s="32" t="str">
        <f>vlookup(B3017,State_EMM_RowSums!$A$2:$B$52,2,FALSE)</f>
        <v>WV</v>
      </c>
      <c r="D3017" s="32">
        <v>54047.0</v>
      </c>
      <c r="E3017" s="33">
        <f>IF(NOT(ISBLANK(vlookup($D3017,Pop_Census_2023!$A$2:$E$3220,4,FALSE))),vlookup($D3017,Pop_Census_2023!$A$2:$E$3220,4,FALSE), vlookup($D3017,Pop_Census_2023!$A$2:$E$3220,5,FALSE))</f>
        <v>17439</v>
      </c>
      <c r="F3017" s="32">
        <v>1689162.0</v>
      </c>
      <c r="G3017" s="32">
        <v>117.0</v>
      </c>
      <c r="H3017" s="32" t="str">
        <f>VLOOKUP(D3017, Grid_Region_Mapping!$D$2:$F$5286, 3, FALSE)</f>
        <v>PJMW</v>
      </c>
      <c r="I3017" s="32">
        <v>5.0</v>
      </c>
      <c r="J3017" s="34" t="str">
        <f t="shared" si="1"/>
        <v>South</v>
      </c>
      <c r="K3017" s="35">
        <v>3.0</v>
      </c>
      <c r="L3017" s="35" t="s">
        <v>223</v>
      </c>
      <c r="M3017" s="36">
        <f>VLOOKUP(D3017, County_Data_CZones!$B$2:$F$3236, 2, FALSE)</f>
        <v>4</v>
      </c>
      <c r="N3017" s="37" t="str">
        <f>VLOOKUP(D3017, County_Data_CZones!$B$2:$F$3236, 5, FALSE)</f>
        <v>Mixed-Humid</v>
      </c>
    </row>
    <row r="3018" ht="15.75" customHeight="1">
      <c r="A3018" s="32" t="s">
        <v>149</v>
      </c>
      <c r="B3018" s="32" t="s">
        <v>1924</v>
      </c>
      <c r="C3018" s="32" t="str">
        <f>vlookup(B3018,State_EMM_RowSums!$A$2:$B$52,2,FALSE)</f>
        <v>WV</v>
      </c>
      <c r="D3018" s="32">
        <v>54049.0</v>
      </c>
      <c r="E3018" s="33">
        <f>IF(NOT(ISBLANK(vlookup($D3018,Pop_Census_2023!$A$2:$E$3220,4,FALSE))),vlookup($D3018,Pop_Census_2023!$A$2:$E$3220,4,FALSE), vlookup($D3018,Pop_Census_2023!$A$2:$E$3220,5,FALSE))</f>
        <v>55807</v>
      </c>
      <c r="F3018" s="32">
        <v>1718173.0</v>
      </c>
      <c r="G3018" s="32">
        <v>116.0</v>
      </c>
      <c r="H3018" s="32" t="str">
        <f>VLOOKUP(D3018, Grid_Region_Mapping!$D$2:$F$5286, 3, FALSE)</f>
        <v>PJMW</v>
      </c>
      <c r="I3018" s="32">
        <v>5.0</v>
      </c>
      <c r="J3018" s="34" t="str">
        <f t="shared" si="1"/>
        <v>South</v>
      </c>
      <c r="K3018" s="35">
        <v>2.0</v>
      </c>
      <c r="L3018" s="35" t="s">
        <v>396</v>
      </c>
      <c r="M3018" s="36">
        <f>VLOOKUP(D3018, County_Data_CZones!$B$2:$F$3236, 2, FALSE)</f>
        <v>5</v>
      </c>
      <c r="N3018" s="37" t="str">
        <f>VLOOKUP(D3018, County_Data_CZones!$B$2:$F$3236, 5, FALSE)</f>
        <v>Cold</v>
      </c>
    </row>
    <row r="3019" ht="15.75" customHeight="1">
      <c r="A3019" s="32" t="s">
        <v>150</v>
      </c>
      <c r="B3019" s="32" t="s">
        <v>1924</v>
      </c>
      <c r="C3019" s="32" t="str">
        <f>vlookup(B3019,State_EMM_RowSums!$A$2:$B$52,2,FALSE)</f>
        <v>WV</v>
      </c>
      <c r="D3019" s="32">
        <v>54051.0</v>
      </c>
      <c r="E3019" s="33">
        <f>IF(NOT(ISBLANK(vlookup($D3019,Pop_Census_2023!$A$2:$E$3220,4,FALSE))),vlookup($D3019,Pop_Census_2023!$A$2:$E$3220,4,FALSE), vlookup($D3019,Pop_Census_2023!$A$2:$E$3220,5,FALSE))</f>
        <v>29405</v>
      </c>
      <c r="F3019" s="32">
        <v>1717539.0</v>
      </c>
      <c r="G3019" s="32">
        <v>116.0</v>
      </c>
      <c r="H3019" s="32" t="str">
        <f>VLOOKUP(D3019, Grid_Region_Mapping!$D$2:$F$5286, 3, FALSE)</f>
        <v>PJMW</v>
      </c>
      <c r="I3019" s="32">
        <v>5.0</v>
      </c>
      <c r="J3019" s="34" t="str">
        <f t="shared" si="1"/>
        <v>South</v>
      </c>
      <c r="K3019" s="35">
        <v>2.0</v>
      </c>
      <c r="L3019" s="35" t="s">
        <v>396</v>
      </c>
      <c r="M3019" s="36">
        <f>VLOOKUP(D3019, County_Data_CZones!$B$2:$F$3236, 2, FALSE)</f>
        <v>5</v>
      </c>
      <c r="N3019" s="37" t="str">
        <f>VLOOKUP(D3019, County_Data_CZones!$B$2:$F$3236, 5, FALSE)</f>
        <v>Cold</v>
      </c>
    </row>
    <row r="3020" ht="15.75" customHeight="1">
      <c r="A3020" s="32" t="s">
        <v>641</v>
      </c>
      <c r="B3020" s="32" t="s">
        <v>1924</v>
      </c>
      <c r="C3020" s="32" t="str">
        <f>vlookup(B3020,State_EMM_RowSums!$A$2:$B$52,2,FALSE)</f>
        <v>WV</v>
      </c>
      <c r="D3020" s="32">
        <v>54053.0</v>
      </c>
      <c r="E3020" s="33">
        <f>IF(NOT(ISBLANK(vlookup($D3020,Pop_Census_2023!$A$2:$E$3220,4,FALSE))),vlookup($D3020,Pop_Census_2023!$A$2:$E$3220,4,FALSE), vlookup($D3020,Pop_Census_2023!$A$2:$E$3220,5,FALSE))</f>
        <v>24765</v>
      </c>
      <c r="F3020" s="32">
        <v>1560254.0</v>
      </c>
      <c r="G3020" s="32">
        <v>117.0</v>
      </c>
      <c r="H3020" s="32" t="str">
        <f>VLOOKUP(D3020, Grid_Region_Mapping!$D$2:$F$5286, 3, FALSE)</f>
        <v>PJMW</v>
      </c>
      <c r="I3020" s="32">
        <v>5.0</v>
      </c>
      <c r="J3020" s="34" t="str">
        <f t="shared" si="1"/>
        <v>South</v>
      </c>
      <c r="K3020" s="35">
        <v>3.0</v>
      </c>
      <c r="L3020" s="35" t="s">
        <v>223</v>
      </c>
      <c r="M3020" s="36">
        <f>VLOOKUP(D3020, County_Data_CZones!$B$2:$F$3236, 2, FALSE)</f>
        <v>4</v>
      </c>
      <c r="N3020" s="37" t="str">
        <f>VLOOKUP(D3020, County_Data_CZones!$B$2:$F$3236, 5, FALSE)</f>
        <v>Mixed-Humid</v>
      </c>
    </row>
    <row r="3021" ht="15.75" customHeight="1">
      <c r="A3021" s="32" t="s">
        <v>644</v>
      </c>
      <c r="B3021" s="32" t="s">
        <v>1924</v>
      </c>
      <c r="C3021" s="32" t="str">
        <f>vlookup(B3021,State_EMM_RowSums!$A$2:$B$52,2,FALSE)</f>
        <v>WV</v>
      </c>
      <c r="D3021" s="32">
        <v>54055.0</v>
      </c>
      <c r="E3021" s="33">
        <f>IF(NOT(ISBLANK(vlookup($D3021,Pop_Census_2023!$A$2:$E$3220,4,FALSE))),vlookup($D3021,Pop_Census_2023!$A$2:$E$3220,4,FALSE), vlookup($D3021,Pop_Census_2023!$A$2:$E$3220,5,FALSE))</f>
        <v>58057</v>
      </c>
      <c r="F3021" s="32">
        <v>1557645.0</v>
      </c>
      <c r="G3021" s="32">
        <v>117.0</v>
      </c>
      <c r="H3021" s="32" t="str">
        <f>VLOOKUP(D3021, Grid_Region_Mapping!$D$2:$F$5286, 3, FALSE)</f>
        <v>PJMW</v>
      </c>
      <c r="I3021" s="32">
        <v>5.0</v>
      </c>
      <c r="J3021" s="34" t="str">
        <f t="shared" si="1"/>
        <v>South</v>
      </c>
      <c r="K3021" s="35">
        <v>3.0</v>
      </c>
      <c r="L3021" s="35" t="s">
        <v>223</v>
      </c>
      <c r="M3021" s="36">
        <f>VLOOKUP(D3021, County_Data_CZones!$B$2:$F$3236, 2, FALSE)</f>
        <v>4</v>
      </c>
      <c r="N3021" s="37" t="str">
        <f>VLOOKUP(D3021, County_Data_CZones!$B$2:$F$3236, 5, FALSE)</f>
        <v>Mixed-Humid</v>
      </c>
    </row>
    <row r="3022" ht="15.75" customHeight="1">
      <c r="A3022" s="32" t="s">
        <v>374</v>
      </c>
      <c r="B3022" s="32" t="s">
        <v>1924</v>
      </c>
      <c r="C3022" s="32" t="str">
        <f>vlookup(B3022,State_EMM_RowSums!$A$2:$B$52,2,FALSE)</f>
        <v>WV</v>
      </c>
      <c r="D3022" s="32">
        <v>54057.0</v>
      </c>
      <c r="E3022" s="33">
        <f>IF(NOT(ISBLANK(vlookup($D3022,Pop_Census_2023!$A$2:$E$3220,4,FALSE))),vlookup($D3022,Pop_Census_2023!$A$2:$E$3220,4,FALSE), vlookup($D3022,Pop_Census_2023!$A$2:$E$3220,5,FALSE))</f>
        <v>26867</v>
      </c>
      <c r="F3022" s="32">
        <v>1717890.0</v>
      </c>
      <c r="G3022" s="32">
        <v>116.0</v>
      </c>
      <c r="H3022" s="32" t="str">
        <f>VLOOKUP(D3022, Grid_Region_Mapping!$D$2:$F$5286, 3, FALSE)</f>
        <v>PJMW</v>
      </c>
      <c r="I3022" s="32">
        <v>5.0</v>
      </c>
      <c r="J3022" s="34" t="str">
        <f t="shared" si="1"/>
        <v>South</v>
      </c>
      <c r="K3022" s="35">
        <v>2.0</v>
      </c>
      <c r="L3022" s="35" t="s">
        <v>396</v>
      </c>
      <c r="M3022" s="36">
        <f>VLOOKUP(D3022, County_Data_CZones!$B$2:$F$3236, 2, FALSE)</f>
        <v>5</v>
      </c>
      <c r="N3022" s="37" t="str">
        <f>VLOOKUP(D3022, County_Data_CZones!$B$2:$F$3236, 5, FALSE)</f>
        <v>Cold</v>
      </c>
    </row>
    <row r="3023" ht="15.75" customHeight="1">
      <c r="A3023" s="32" t="s">
        <v>1932</v>
      </c>
      <c r="B3023" s="32" t="s">
        <v>1924</v>
      </c>
      <c r="C3023" s="32" t="str">
        <f>vlookup(B3023,State_EMM_RowSums!$A$2:$B$52,2,FALSE)</f>
        <v>WV</v>
      </c>
      <c r="D3023" s="32">
        <v>54059.0</v>
      </c>
      <c r="E3023" s="33">
        <f>IF(NOT(ISBLANK(vlookup($D3023,Pop_Census_2023!$A$2:$E$3220,4,FALSE))),vlookup($D3023,Pop_Census_2023!$A$2:$E$3220,4,FALSE), vlookup($D3023,Pop_Census_2023!$A$2:$E$3220,5,FALSE))</f>
        <v>22023</v>
      </c>
      <c r="F3023" s="32">
        <v>1550036.0</v>
      </c>
      <c r="G3023" s="32">
        <v>117.0</v>
      </c>
      <c r="H3023" s="32" t="str">
        <f>VLOOKUP(D3023, Grid_Region_Mapping!$D$2:$F$5286, 3, FALSE)</f>
        <v>PJMW</v>
      </c>
      <c r="I3023" s="32">
        <v>5.0</v>
      </c>
      <c r="J3023" s="34" t="str">
        <f t="shared" si="1"/>
        <v>South</v>
      </c>
      <c r="K3023" s="35">
        <v>3.0</v>
      </c>
      <c r="L3023" s="35" t="s">
        <v>223</v>
      </c>
      <c r="M3023" s="36">
        <f>VLOOKUP(D3023, County_Data_CZones!$B$2:$F$3236, 2, FALSE)</f>
        <v>4</v>
      </c>
      <c r="N3023" s="37" t="str">
        <f>VLOOKUP(D3023, County_Data_CZones!$B$2:$F$3236, 5, FALSE)</f>
        <v>Mixed-Humid</v>
      </c>
    </row>
    <row r="3024" ht="15.75" customHeight="1">
      <c r="A3024" s="32" t="s">
        <v>1933</v>
      </c>
      <c r="B3024" s="32" t="s">
        <v>1924</v>
      </c>
      <c r="C3024" s="32" t="str">
        <f>vlookup(B3024,State_EMM_RowSums!$A$2:$B$52,2,FALSE)</f>
        <v>WV</v>
      </c>
      <c r="D3024" s="32">
        <v>54061.0</v>
      </c>
      <c r="E3024" s="33">
        <f>IF(NOT(ISBLANK(vlookup($D3024,Pop_Census_2023!$A$2:$E$3220,4,FALSE))),vlookup($D3024,Pop_Census_2023!$A$2:$E$3220,4,FALSE), vlookup($D3024,Pop_Census_2023!$A$2:$E$3220,5,FALSE))</f>
        <v>107718</v>
      </c>
      <c r="F3024" s="32">
        <v>1550037.0</v>
      </c>
      <c r="G3024" s="32">
        <v>116.0</v>
      </c>
      <c r="H3024" s="32" t="str">
        <f>VLOOKUP(D3024, Grid_Region_Mapping!$D$2:$F$5286, 3, FALSE)</f>
        <v>PJMW</v>
      </c>
      <c r="I3024" s="32">
        <v>5.0</v>
      </c>
      <c r="J3024" s="34" t="str">
        <f t="shared" si="1"/>
        <v>South</v>
      </c>
      <c r="K3024" s="35">
        <v>2.0</v>
      </c>
      <c r="L3024" s="35" t="s">
        <v>396</v>
      </c>
      <c r="M3024" s="36">
        <f>VLOOKUP(D3024, County_Data_CZones!$B$2:$F$3236, 2, FALSE)</f>
        <v>5</v>
      </c>
      <c r="N3024" s="37" t="str">
        <f>VLOOKUP(D3024, County_Data_CZones!$B$2:$F$3236, 5, FALSE)</f>
        <v>Cold</v>
      </c>
    </row>
    <row r="3025" ht="15.75" customHeight="1">
      <c r="A3025" s="32" t="s">
        <v>152</v>
      </c>
      <c r="B3025" s="32" t="s">
        <v>1924</v>
      </c>
      <c r="C3025" s="32" t="str">
        <f>vlookup(B3025,State_EMM_RowSums!$A$2:$B$52,2,FALSE)</f>
        <v>WV</v>
      </c>
      <c r="D3025" s="32">
        <v>54063.0</v>
      </c>
      <c r="E3025" s="33">
        <f>IF(NOT(ISBLANK(vlookup($D3025,Pop_Census_2023!$A$2:$E$3220,4,FALSE))),vlookup($D3025,Pop_Census_2023!$A$2:$E$3220,4,FALSE), vlookup($D3025,Pop_Census_2023!$A$2:$E$3220,5,FALSE))</f>
        <v>12382</v>
      </c>
      <c r="F3025" s="32">
        <v>1557702.0</v>
      </c>
      <c r="G3025" s="32">
        <v>116.0</v>
      </c>
      <c r="H3025" s="32" t="str">
        <f>VLOOKUP(D3025, Grid_Region_Mapping!$D$2:$F$5286, 3, FALSE)</f>
        <v>PJMW</v>
      </c>
      <c r="I3025" s="32">
        <v>5.0</v>
      </c>
      <c r="J3025" s="34" t="str">
        <f t="shared" si="1"/>
        <v>South</v>
      </c>
      <c r="K3025" s="35">
        <v>3.0</v>
      </c>
      <c r="L3025" s="35" t="s">
        <v>223</v>
      </c>
      <c r="M3025" s="36">
        <f>VLOOKUP(D3025, County_Data_CZones!$B$2:$F$3236, 2, FALSE)</f>
        <v>4</v>
      </c>
      <c r="N3025" s="37" t="str">
        <f>VLOOKUP(D3025, County_Data_CZones!$B$2:$F$3236, 5, FALSE)</f>
        <v>Mixed-Humid</v>
      </c>
    </row>
    <row r="3026" ht="15.75" customHeight="1">
      <c r="A3026" s="32" t="s">
        <v>154</v>
      </c>
      <c r="B3026" s="32" t="s">
        <v>1924</v>
      </c>
      <c r="C3026" s="32" t="str">
        <f>vlookup(B3026,State_EMM_RowSums!$A$2:$B$52,2,FALSE)</f>
        <v>WV</v>
      </c>
      <c r="D3026" s="32">
        <v>54065.0</v>
      </c>
      <c r="E3026" s="33">
        <f>IF(NOT(ISBLANK(vlookup($D3026,Pop_Census_2023!$A$2:$E$3220,4,FALSE))),vlookup($D3026,Pop_Census_2023!$A$2:$E$3220,4,FALSE), vlookup($D3026,Pop_Census_2023!$A$2:$E$3220,5,FALSE))</f>
        <v>17649</v>
      </c>
      <c r="F3026" s="32">
        <v>1557950.0</v>
      </c>
      <c r="G3026" s="32">
        <v>116.0</v>
      </c>
      <c r="H3026" s="32" t="str">
        <f>VLOOKUP(D3026, Grid_Region_Mapping!$D$2:$F$5286, 3, FALSE)</f>
        <v>PJMW</v>
      </c>
      <c r="I3026" s="32">
        <v>5.0</v>
      </c>
      <c r="J3026" s="34" t="str">
        <f t="shared" si="1"/>
        <v>South</v>
      </c>
      <c r="K3026" s="35">
        <v>3.0</v>
      </c>
      <c r="L3026" s="35" t="s">
        <v>223</v>
      </c>
      <c r="M3026" s="36">
        <f>VLOOKUP(D3026, County_Data_CZones!$B$2:$F$3236, 2, FALSE)</f>
        <v>4</v>
      </c>
      <c r="N3026" s="37" t="str">
        <f>VLOOKUP(D3026, County_Data_CZones!$B$2:$F$3236, 5, FALSE)</f>
        <v>Mixed-Humid</v>
      </c>
    </row>
    <row r="3027" ht="15.75" customHeight="1">
      <c r="A3027" s="32" t="s">
        <v>861</v>
      </c>
      <c r="B3027" s="32" t="s">
        <v>1924</v>
      </c>
      <c r="C3027" s="32" t="str">
        <f>vlookup(B3027,State_EMM_RowSums!$A$2:$B$52,2,FALSE)</f>
        <v>WV</v>
      </c>
      <c r="D3027" s="32">
        <v>54067.0</v>
      </c>
      <c r="E3027" s="33">
        <f>IF(NOT(ISBLANK(vlookup($D3027,Pop_Census_2023!$A$2:$E$3220,4,FALSE))),vlookup($D3027,Pop_Census_2023!$A$2:$E$3220,4,FALSE), vlookup($D3027,Pop_Census_2023!$A$2:$E$3220,5,FALSE))</f>
        <v>24169</v>
      </c>
      <c r="F3027" s="32">
        <v>1550040.0</v>
      </c>
      <c r="G3027" s="32">
        <v>116.0</v>
      </c>
      <c r="H3027" s="32" t="str">
        <f>VLOOKUP(D3027, Grid_Region_Mapping!$D$2:$F$5286, 3, FALSE)</f>
        <v>PJMW</v>
      </c>
      <c r="I3027" s="32">
        <v>5.0</v>
      </c>
      <c r="J3027" s="34" t="str">
        <f t="shared" si="1"/>
        <v>South</v>
      </c>
      <c r="K3027" s="35">
        <v>2.0</v>
      </c>
      <c r="L3027" s="35" t="s">
        <v>396</v>
      </c>
      <c r="M3027" s="36">
        <f>VLOOKUP(D3027, County_Data_CZones!$B$2:$F$3236, 2, FALSE)</f>
        <v>5</v>
      </c>
      <c r="N3027" s="37" t="str">
        <f>VLOOKUP(D3027, County_Data_CZones!$B$2:$F$3236, 5, FALSE)</f>
        <v>Cold</v>
      </c>
    </row>
    <row r="3028" ht="15.75" customHeight="1">
      <c r="A3028" s="32" t="s">
        <v>683</v>
      </c>
      <c r="B3028" s="32" t="s">
        <v>1924</v>
      </c>
      <c r="C3028" s="32" t="str">
        <f>vlookup(B3028,State_EMM_RowSums!$A$2:$B$52,2,FALSE)</f>
        <v>WV</v>
      </c>
      <c r="D3028" s="32">
        <v>54069.0</v>
      </c>
      <c r="E3028" s="33">
        <f>IF(NOT(ISBLANK(vlookup($D3028,Pop_Census_2023!$A$2:$E$3220,4,FALSE))),vlookup($D3028,Pop_Census_2023!$A$2:$E$3220,4,FALSE), vlookup($D3028,Pop_Census_2023!$A$2:$E$3220,5,FALSE))</f>
        <v>41194</v>
      </c>
      <c r="F3028" s="32">
        <v>1717163.0</v>
      </c>
      <c r="G3028" s="32">
        <v>116.0</v>
      </c>
      <c r="H3028" s="32" t="str">
        <f>VLOOKUP(D3028, Grid_Region_Mapping!$D$2:$F$5286, 3, FALSE)</f>
        <v>PJMW</v>
      </c>
      <c r="I3028" s="32">
        <v>5.0</v>
      </c>
      <c r="J3028" s="34" t="str">
        <f t="shared" si="1"/>
        <v>South</v>
      </c>
      <c r="K3028" s="35">
        <v>2.0</v>
      </c>
      <c r="L3028" s="35" t="s">
        <v>396</v>
      </c>
      <c r="M3028" s="36">
        <f>VLOOKUP(D3028, County_Data_CZones!$B$2:$F$3236, 2, FALSE)</f>
        <v>5</v>
      </c>
      <c r="N3028" s="37" t="str">
        <f>VLOOKUP(D3028, County_Data_CZones!$B$2:$F$3236, 5, FALSE)</f>
        <v>Cold</v>
      </c>
    </row>
    <row r="3029" ht="15.75" customHeight="1">
      <c r="A3029" s="32" t="s">
        <v>864</v>
      </c>
      <c r="B3029" s="32" t="s">
        <v>1924</v>
      </c>
      <c r="C3029" s="32" t="str">
        <f>vlookup(B3029,State_EMM_RowSums!$A$2:$B$52,2,FALSE)</f>
        <v>WV</v>
      </c>
      <c r="D3029" s="32">
        <v>54071.0</v>
      </c>
      <c r="E3029" s="33">
        <f>IF(NOT(ISBLANK(vlookup($D3029,Pop_Census_2023!$A$2:$E$3220,4,FALSE))),vlookup($D3029,Pop_Census_2023!$A$2:$E$3220,4,FALSE), vlookup($D3029,Pop_Census_2023!$A$2:$E$3220,5,FALSE))</f>
        <v>6029</v>
      </c>
      <c r="F3029" s="32">
        <v>1550042.0</v>
      </c>
      <c r="G3029" s="32">
        <v>116.0</v>
      </c>
      <c r="H3029" s="32" t="str">
        <f>VLOOKUP(D3029, Grid_Region_Mapping!$D$2:$F$5286, 3, FALSE)</f>
        <v>PJMW</v>
      </c>
      <c r="I3029" s="32">
        <v>5.0</v>
      </c>
      <c r="J3029" s="34" t="str">
        <f t="shared" si="1"/>
        <v>South</v>
      </c>
      <c r="K3029" s="35">
        <v>2.0</v>
      </c>
      <c r="L3029" s="35" t="s">
        <v>396</v>
      </c>
      <c r="M3029" s="36">
        <f>VLOOKUP(D3029, County_Data_CZones!$B$2:$F$3236, 2, FALSE)</f>
        <v>5</v>
      </c>
      <c r="N3029" s="37" t="str">
        <f>VLOOKUP(D3029, County_Data_CZones!$B$2:$F$3236, 5, FALSE)</f>
        <v>Cold</v>
      </c>
    </row>
    <row r="3030" ht="15.75" customHeight="1">
      <c r="A3030" s="32" t="s">
        <v>1934</v>
      </c>
      <c r="B3030" s="32" t="s">
        <v>1924</v>
      </c>
      <c r="C3030" s="32" t="str">
        <f>vlookup(B3030,State_EMM_RowSums!$A$2:$B$52,2,FALSE)</f>
        <v>WV</v>
      </c>
      <c r="D3030" s="32">
        <v>54073.0</v>
      </c>
      <c r="E3030" s="33">
        <f>IF(NOT(ISBLANK(vlookup($D3030,Pop_Census_2023!$A$2:$E$3220,4,FALSE))),vlookup($D3030,Pop_Census_2023!$A$2:$E$3220,4,FALSE), vlookup($D3030,Pop_Census_2023!$A$2:$E$3220,5,FALSE))</f>
        <v>7428</v>
      </c>
      <c r="F3030" s="32">
        <v>1678557.0</v>
      </c>
      <c r="G3030" s="32">
        <v>116.0</v>
      </c>
      <c r="H3030" s="32" t="str">
        <f>VLOOKUP(D3030, Grid_Region_Mapping!$D$2:$F$5286, 3, FALSE)</f>
        <v>PJMW</v>
      </c>
      <c r="I3030" s="32">
        <v>5.0</v>
      </c>
      <c r="J3030" s="34" t="str">
        <f t="shared" si="1"/>
        <v>South</v>
      </c>
      <c r="K3030" s="35">
        <v>3.0</v>
      </c>
      <c r="L3030" s="35" t="s">
        <v>223</v>
      </c>
      <c r="M3030" s="36">
        <f>VLOOKUP(D3030, County_Data_CZones!$B$2:$F$3236, 2, FALSE)</f>
        <v>4</v>
      </c>
      <c r="N3030" s="37" t="str">
        <f>VLOOKUP(D3030, County_Data_CZones!$B$2:$F$3236, 5, FALSE)</f>
        <v>Mixed-Humid</v>
      </c>
    </row>
    <row r="3031" ht="15.75" customHeight="1">
      <c r="A3031" s="32" t="s">
        <v>738</v>
      </c>
      <c r="B3031" s="32" t="s">
        <v>1924</v>
      </c>
      <c r="C3031" s="32" t="str">
        <f>vlookup(B3031,State_EMM_RowSums!$A$2:$B$52,2,FALSE)</f>
        <v>WV</v>
      </c>
      <c r="D3031" s="32">
        <v>54075.0</v>
      </c>
      <c r="E3031" s="33">
        <f>IF(NOT(ISBLANK(vlookup($D3031,Pop_Census_2023!$A$2:$E$3220,4,FALSE))),vlookup($D3031,Pop_Census_2023!$A$2:$E$3220,4,FALSE), vlookup($D3031,Pop_Census_2023!$A$2:$E$3220,5,FALSE))</f>
        <v>7765</v>
      </c>
      <c r="F3031" s="32">
        <v>1550044.0</v>
      </c>
      <c r="G3031" s="32">
        <v>116.0</v>
      </c>
      <c r="H3031" s="32" t="str">
        <f>VLOOKUP(D3031, Grid_Region_Mapping!$D$2:$F$5286, 3, FALSE)</f>
        <v>PJMW</v>
      </c>
      <c r="I3031" s="32">
        <v>5.0</v>
      </c>
      <c r="J3031" s="34" t="str">
        <f t="shared" si="1"/>
        <v>South</v>
      </c>
      <c r="K3031" s="35">
        <v>2.0</v>
      </c>
      <c r="L3031" s="35" t="s">
        <v>396</v>
      </c>
      <c r="M3031" s="36">
        <f>VLOOKUP(D3031, County_Data_CZones!$B$2:$F$3236, 2, FALSE)</f>
        <v>5</v>
      </c>
      <c r="N3031" s="37" t="str">
        <f>VLOOKUP(D3031, County_Data_CZones!$B$2:$F$3236, 5, FALSE)</f>
        <v>Cold</v>
      </c>
    </row>
    <row r="3032" ht="15.75" customHeight="1">
      <c r="A3032" s="32" t="s">
        <v>1935</v>
      </c>
      <c r="B3032" s="32" t="s">
        <v>1924</v>
      </c>
      <c r="C3032" s="32" t="str">
        <f>vlookup(B3032,State_EMM_RowSums!$A$2:$B$52,2,FALSE)</f>
        <v>WV</v>
      </c>
      <c r="D3032" s="32">
        <v>54077.0</v>
      </c>
      <c r="E3032" s="33">
        <f>IF(NOT(ISBLANK(vlookup($D3032,Pop_Census_2023!$A$2:$E$3220,4,FALSE))),vlookup($D3032,Pop_Census_2023!$A$2:$E$3220,4,FALSE), vlookup($D3032,Pop_Census_2023!$A$2:$E$3220,5,FALSE))</f>
        <v>34099</v>
      </c>
      <c r="F3032" s="32">
        <v>1558642.0</v>
      </c>
      <c r="G3032" s="32">
        <v>116.0</v>
      </c>
      <c r="H3032" s="32" t="str">
        <f>VLOOKUP(D3032, Grid_Region_Mapping!$D$2:$F$5286, 3, FALSE)</f>
        <v>PJMW</v>
      </c>
      <c r="I3032" s="32">
        <v>5.0</v>
      </c>
      <c r="J3032" s="34" t="str">
        <f t="shared" si="1"/>
        <v>South</v>
      </c>
      <c r="K3032" s="35">
        <v>2.0</v>
      </c>
      <c r="L3032" s="35" t="s">
        <v>396</v>
      </c>
      <c r="M3032" s="36">
        <f>VLOOKUP(D3032, County_Data_CZones!$B$2:$F$3236, 2, FALSE)</f>
        <v>5</v>
      </c>
      <c r="N3032" s="37" t="str">
        <f>VLOOKUP(D3032, County_Data_CZones!$B$2:$F$3236, 5, FALSE)</f>
        <v>Cold</v>
      </c>
    </row>
    <row r="3033" ht="15.75" customHeight="1">
      <c r="A3033" s="32" t="s">
        <v>449</v>
      </c>
      <c r="B3033" s="32" t="s">
        <v>1924</v>
      </c>
      <c r="C3033" s="32" t="str">
        <f>vlookup(B3033,State_EMM_RowSums!$A$2:$B$52,2,FALSE)</f>
        <v>WV</v>
      </c>
      <c r="D3033" s="32">
        <v>54079.0</v>
      </c>
      <c r="E3033" s="33">
        <f>IF(NOT(ISBLANK(vlookup($D3033,Pop_Census_2023!$A$2:$E$3220,4,FALSE))),vlookup($D3033,Pop_Census_2023!$A$2:$E$3220,4,FALSE), vlookup($D3033,Pop_Census_2023!$A$2:$E$3220,5,FALSE))</f>
        <v>56962</v>
      </c>
      <c r="F3033" s="32">
        <v>1550046.0</v>
      </c>
      <c r="G3033" s="32">
        <v>117.0</v>
      </c>
      <c r="H3033" s="32" t="str">
        <f>VLOOKUP(D3033, Grid_Region_Mapping!$D$2:$F$5286, 3, FALSE)</f>
        <v>PJMW</v>
      </c>
      <c r="I3033" s="32">
        <v>5.0</v>
      </c>
      <c r="J3033" s="34" t="str">
        <f t="shared" si="1"/>
        <v>South</v>
      </c>
      <c r="K3033" s="35">
        <v>3.0</v>
      </c>
      <c r="L3033" s="35" t="s">
        <v>223</v>
      </c>
      <c r="M3033" s="36">
        <f>VLOOKUP(D3033, County_Data_CZones!$B$2:$F$3236, 2, FALSE)</f>
        <v>4</v>
      </c>
      <c r="N3033" s="37" t="str">
        <f>VLOOKUP(D3033, County_Data_CZones!$B$2:$F$3236, 5, FALSE)</f>
        <v>Mixed-Humid</v>
      </c>
    </row>
    <row r="3034" ht="15.75" customHeight="1">
      <c r="A3034" s="32" t="s">
        <v>1936</v>
      </c>
      <c r="B3034" s="32" t="s">
        <v>1924</v>
      </c>
      <c r="C3034" s="32" t="str">
        <f>vlookup(B3034,State_EMM_RowSums!$A$2:$B$52,2,FALSE)</f>
        <v>WV</v>
      </c>
      <c r="D3034" s="32">
        <v>54081.0</v>
      </c>
      <c r="E3034" s="33">
        <f>IF(NOT(ISBLANK(vlookup($D3034,Pop_Census_2023!$A$2:$E$3220,4,FALSE))),vlookup($D3034,Pop_Census_2023!$A$2:$E$3220,4,FALSE), vlookup($D3034,Pop_Census_2023!$A$2:$E$3220,5,FALSE))</f>
        <v>72356</v>
      </c>
      <c r="F3034" s="32">
        <v>1550047.0</v>
      </c>
      <c r="G3034" s="32">
        <v>117.0</v>
      </c>
      <c r="H3034" s="32" t="str">
        <f>VLOOKUP(D3034, Grid_Region_Mapping!$D$2:$F$5286, 3, FALSE)</f>
        <v>PJMW</v>
      </c>
      <c r="I3034" s="32">
        <v>5.0</v>
      </c>
      <c r="J3034" s="34" t="str">
        <f t="shared" si="1"/>
        <v>South</v>
      </c>
      <c r="K3034" s="35">
        <v>2.0</v>
      </c>
      <c r="L3034" s="35" t="s">
        <v>396</v>
      </c>
      <c r="M3034" s="36">
        <f>VLOOKUP(D3034, County_Data_CZones!$B$2:$F$3236, 2, FALSE)</f>
        <v>5</v>
      </c>
      <c r="N3034" s="37" t="str">
        <f>VLOOKUP(D3034, County_Data_CZones!$B$2:$F$3236, 5, FALSE)</f>
        <v>Cold</v>
      </c>
    </row>
    <row r="3035" ht="15.75" customHeight="1">
      <c r="A3035" s="32" t="s">
        <v>158</v>
      </c>
      <c r="B3035" s="32" t="s">
        <v>1924</v>
      </c>
      <c r="C3035" s="32" t="str">
        <f>vlookup(B3035,State_EMM_RowSums!$A$2:$B$52,2,FALSE)</f>
        <v>WV</v>
      </c>
      <c r="D3035" s="32">
        <v>54083.0</v>
      </c>
      <c r="E3035" s="33">
        <f>IF(NOT(ISBLANK(vlookup($D3035,Pop_Census_2023!$A$2:$E$3220,4,FALSE))),vlookup($D3035,Pop_Census_2023!$A$2:$E$3220,4,FALSE), vlookup($D3035,Pop_Census_2023!$A$2:$E$3220,5,FALSE))</f>
        <v>27350</v>
      </c>
      <c r="F3035" s="32">
        <v>1550048.0</v>
      </c>
      <c r="G3035" s="32">
        <v>116.0</v>
      </c>
      <c r="H3035" s="32" t="str">
        <f>VLOOKUP(D3035, Grid_Region_Mapping!$D$2:$F$5286, 3, FALSE)</f>
        <v>PJMW</v>
      </c>
      <c r="I3035" s="32">
        <v>5.0</v>
      </c>
      <c r="J3035" s="34" t="str">
        <f t="shared" si="1"/>
        <v>South</v>
      </c>
      <c r="K3035" s="35">
        <v>2.0</v>
      </c>
      <c r="L3035" s="35" t="s">
        <v>396</v>
      </c>
      <c r="M3035" s="36">
        <f>VLOOKUP(D3035, County_Data_CZones!$B$2:$F$3236, 2, FALSE)</f>
        <v>5</v>
      </c>
      <c r="N3035" s="37" t="str">
        <f>VLOOKUP(D3035, County_Data_CZones!$B$2:$F$3236, 5, FALSE)</f>
        <v>Cold</v>
      </c>
    </row>
    <row r="3036" ht="15.75" customHeight="1">
      <c r="A3036" s="32" t="s">
        <v>1937</v>
      </c>
      <c r="B3036" s="32" t="s">
        <v>1924</v>
      </c>
      <c r="C3036" s="32" t="str">
        <f>vlookup(B3036,State_EMM_RowSums!$A$2:$B$52,2,FALSE)</f>
        <v>WV</v>
      </c>
      <c r="D3036" s="32">
        <v>54085.0</v>
      </c>
      <c r="E3036" s="33">
        <f>IF(NOT(ISBLANK(vlookup($D3036,Pop_Census_2023!$A$2:$E$3220,4,FALSE))),vlookup($D3036,Pop_Census_2023!$A$2:$E$3220,4,FALSE), vlookup($D3036,Pop_Census_2023!$A$2:$E$3220,5,FALSE))</f>
        <v>8167</v>
      </c>
      <c r="F3036" s="32">
        <v>1689049.0</v>
      </c>
      <c r="G3036" s="32">
        <v>116.0</v>
      </c>
      <c r="H3036" s="32" t="str">
        <f>VLOOKUP(D3036, Grid_Region_Mapping!$D$2:$F$5286, 3, FALSE)</f>
        <v>PJMW</v>
      </c>
      <c r="I3036" s="32">
        <v>5.0</v>
      </c>
      <c r="J3036" s="34" t="str">
        <f t="shared" si="1"/>
        <v>South</v>
      </c>
      <c r="K3036" s="35">
        <v>3.0</v>
      </c>
      <c r="L3036" s="35" t="s">
        <v>223</v>
      </c>
      <c r="M3036" s="36">
        <f>VLOOKUP(D3036, County_Data_CZones!$B$2:$F$3236, 2, FALSE)</f>
        <v>4</v>
      </c>
      <c r="N3036" s="37" t="str">
        <f>VLOOKUP(D3036, County_Data_CZones!$B$2:$F$3236, 5, FALSE)</f>
        <v>Mixed-Humid</v>
      </c>
    </row>
    <row r="3037" ht="15.75" customHeight="1">
      <c r="A3037" s="32" t="s">
        <v>1638</v>
      </c>
      <c r="B3037" s="32" t="s">
        <v>1924</v>
      </c>
      <c r="C3037" s="32" t="str">
        <f>vlookup(B3037,State_EMM_RowSums!$A$2:$B$52,2,FALSE)</f>
        <v>WV</v>
      </c>
      <c r="D3037" s="32">
        <v>54087.0</v>
      </c>
      <c r="E3037" s="33">
        <f>IF(NOT(ISBLANK(vlookup($D3037,Pop_Census_2023!$A$2:$E$3220,4,FALSE))),vlookup($D3037,Pop_Census_2023!$A$2:$E$3220,4,FALSE), vlookup($D3037,Pop_Census_2023!$A$2:$E$3220,5,FALSE))</f>
        <v>13743</v>
      </c>
      <c r="F3037" s="32">
        <v>1550050.0</v>
      </c>
      <c r="G3037" s="32">
        <v>116.0</v>
      </c>
      <c r="H3037" s="32" t="str">
        <f>VLOOKUP(D3037, Grid_Region_Mapping!$D$2:$F$5286, 3, FALSE)</f>
        <v>PJMW</v>
      </c>
      <c r="I3037" s="32">
        <v>5.0</v>
      </c>
      <c r="J3037" s="34" t="str">
        <f t="shared" si="1"/>
        <v>South</v>
      </c>
      <c r="K3037" s="35">
        <v>3.0</v>
      </c>
      <c r="L3037" s="35" t="s">
        <v>223</v>
      </c>
      <c r="M3037" s="36">
        <f>VLOOKUP(D3037, County_Data_CZones!$B$2:$F$3236, 2, FALSE)</f>
        <v>4</v>
      </c>
      <c r="N3037" s="37" t="str">
        <f>VLOOKUP(D3037, County_Data_CZones!$B$2:$F$3236, 5, FALSE)</f>
        <v>Mixed-Humid</v>
      </c>
    </row>
    <row r="3038" ht="15.75" customHeight="1">
      <c r="A3038" s="32" t="s">
        <v>1938</v>
      </c>
      <c r="B3038" s="32" t="s">
        <v>1924</v>
      </c>
      <c r="C3038" s="32" t="str">
        <f>vlookup(B3038,State_EMM_RowSums!$A$2:$B$52,2,FALSE)</f>
        <v>WV</v>
      </c>
      <c r="D3038" s="32">
        <v>54089.0</v>
      </c>
      <c r="E3038" s="33">
        <f>IF(NOT(ISBLANK(vlookup($D3038,Pop_Census_2023!$A$2:$E$3220,4,FALSE))),vlookup($D3038,Pop_Census_2023!$A$2:$E$3220,4,FALSE), vlookup($D3038,Pop_Census_2023!$A$2:$E$3220,5,FALSE))</f>
        <v>11581</v>
      </c>
      <c r="F3038" s="32">
        <v>1557805.0</v>
      </c>
      <c r="G3038" s="32">
        <v>116.0</v>
      </c>
      <c r="H3038" s="32" t="str">
        <f>VLOOKUP(D3038, Grid_Region_Mapping!$D$2:$F$5286, 3, FALSE)</f>
        <v>PJMW</v>
      </c>
      <c r="I3038" s="32">
        <v>5.0</v>
      </c>
      <c r="J3038" s="34" t="str">
        <f t="shared" si="1"/>
        <v>South</v>
      </c>
      <c r="K3038" s="35">
        <v>2.0</v>
      </c>
      <c r="L3038" s="35" t="s">
        <v>396</v>
      </c>
      <c r="M3038" s="36">
        <f>VLOOKUP(D3038, County_Data_CZones!$B$2:$F$3236, 2, FALSE)</f>
        <v>5</v>
      </c>
      <c r="N3038" s="37" t="str">
        <f>VLOOKUP(D3038, County_Data_CZones!$B$2:$F$3236, 5, FALSE)</f>
        <v>Cold</v>
      </c>
    </row>
    <row r="3039" ht="15.75" customHeight="1">
      <c r="A3039" s="32" t="s">
        <v>456</v>
      </c>
      <c r="B3039" s="32" t="s">
        <v>1924</v>
      </c>
      <c r="C3039" s="32" t="str">
        <f>vlookup(B3039,State_EMM_RowSums!$A$2:$B$52,2,FALSE)</f>
        <v>WV</v>
      </c>
      <c r="D3039" s="32">
        <v>54091.0</v>
      </c>
      <c r="E3039" s="33">
        <f>IF(NOT(ISBLANK(vlookup($D3039,Pop_Census_2023!$A$2:$E$3220,4,FALSE))),vlookup($D3039,Pop_Census_2023!$A$2:$E$3220,4,FALSE), vlookup($D3039,Pop_Census_2023!$A$2:$E$3220,5,FALSE))</f>
        <v>16388</v>
      </c>
      <c r="F3039" s="32">
        <v>1689856.0</v>
      </c>
      <c r="G3039" s="32">
        <v>116.0</v>
      </c>
      <c r="H3039" s="32" t="str">
        <f>VLOOKUP(D3039, Grid_Region_Mapping!$D$2:$F$5286, 3, FALSE)</f>
        <v>PJMW</v>
      </c>
      <c r="I3039" s="32">
        <v>5.0</v>
      </c>
      <c r="J3039" s="34" t="str">
        <f t="shared" si="1"/>
        <v>South</v>
      </c>
      <c r="K3039" s="35">
        <v>2.0</v>
      </c>
      <c r="L3039" s="35" t="s">
        <v>396</v>
      </c>
      <c r="M3039" s="36">
        <f>VLOOKUP(D3039, County_Data_CZones!$B$2:$F$3236, 2, FALSE)</f>
        <v>5</v>
      </c>
      <c r="N3039" s="37" t="str">
        <f>VLOOKUP(D3039, County_Data_CZones!$B$2:$F$3236, 5, FALSE)</f>
        <v>Cold</v>
      </c>
    </row>
    <row r="3040" ht="15.75" customHeight="1">
      <c r="A3040" s="32" t="s">
        <v>1939</v>
      </c>
      <c r="B3040" s="32" t="s">
        <v>1924</v>
      </c>
      <c r="C3040" s="32" t="str">
        <f>vlookup(B3040,State_EMM_RowSums!$A$2:$B$52,2,FALSE)</f>
        <v>WV</v>
      </c>
      <c r="D3040" s="32">
        <v>54093.0</v>
      </c>
      <c r="E3040" s="33">
        <f>IF(NOT(ISBLANK(vlookup($D3040,Pop_Census_2023!$A$2:$E$3220,4,FALSE))),vlookup($D3040,Pop_Census_2023!$A$2:$E$3220,4,FALSE), vlookup($D3040,Pop_Census_2023!$A$2:$E$3220,5,FALSE))</f>
        <v>6604</v>
      </c>
      <c r="F3040" s="32">
        <v>1689423.0</v>
      </c>
      <c r="G3040" s="32">
        <v>116.0</v>
      </c>
      <c r="H3040" s="32" t="str">
        <f>VLOOKUP(D3040, Grid_Region_Mapping!$D$2:$F$5286, 3, FALSE)</f>
        <v>PJMW</v>
      </c>
      <c r="I3040" s="32">
        <v>5.0</v>
      </c>
      <c r="J3040" s="34" t="str">
        <f t="shared" si="1"/>
        <v>South</v>
      </c>
      <c r="K3040" s="35">
        <v>2.0</v>
      </c>
      <c r="L3040" s="35" t="s">
        <v>396</v>
      </c>
      <c r="M3040" s="36">
        <f>VLOOKUP(D3040, County_Data_CZones!$B$2:$F$3236, 2, FALSE)</f>
        <v>5</v>
      </c>
      <c r="N3040" s="37" t="str">
        <f>VLOOKUP(D3040, County_Data_CZones!$B$2:$F$3236, 5, FALSE)</f>
        <v>Cold</v>
      </c>
    </row>
    <row r="3041" ht="15.75" customHeight="1">
      <c r="A3041" s="32" t="s">
        <v>1784</v>
      </c>
      <c r="B3041" s="32" t="s">
        <v>1924</v>
      </c>
      <c r="C3041" s="32" t="str">
        <f>vlookup(B3041,State_EMM_RowSums!$A$2:$B$52,2,FALSE)</f>
        <v>WV</v>
      </c>
      <c r="D3041" s="32">
        <v>54095.0</v>
      </c>
      <c r="E3041" s="33">
        <f>IF(NOT(ISBLANK(vlookup($D3041,Pop_Census_2023!$A$2:$E$3220,4,FALSE))),vlookup($D3041,Pop_Census_2023!$A$2:$E$3220,4,FALSE), vlookup($D3041,Pop_Census_2023!$A$2:$E$3220,5,FALSE))</f>
        <v>7919</v>
      </c>
      <c r="F3041" s="32">
        <v>1678706.0</v>
      </c>
      <c r="G3041" s="32">
        <v>116.0</v>
      </c>
      <c r="H3041" s="32" t="str">
        <f>VLOOKUP(D3041, Grid_Region_Mapping!$D$2:$F$5286, 3, FALSE)</f>
        <v>PJMW</v>
      </c>
      <c r="I3041" s="32">
        <v>5.0</v>
      </c>
      <c r="J3041" s="34" t="str">
        <f t="shared" si="1"/>
        <v>South</v>
      </c>
      <c r="K3041" s="35">
        <v>3.0</v>
      </c>
      <c r="L3041" s="35" t="s">
        <v>223</v>
      </c>
      <c r="M3041" s="36">
        <f>VLOOKUP(D3041, County_Data_CZones!$B$2:$F$3236, 2, FALSE)</f>
        <v>4</v>
      </c>
      <c r="N3041" s="37" t="str">
        <f>VLOOKUP(D3041, County_Data_CZones!$B$2:$F$3236, 5, FALSE)</f>
        <v>Mixed-Humid</v>
      </c>
    </row>
    <row r="3042" ht="15.75" customHeight="1">
      <c r="A3042" s="32" t="s">
        <v>1785</v>
      </c>
      <c r="B3042" s="32" t="s">
        <v>1924</v>
      </c>
      <c r="C3042" s="32" t="str">
        <f>vlookup(B3042,State_EMM_RowSums!$A$2:$B$52,2,FALSE)</f>
        <v>WV</v>
      </c>
      <c r="D3042" s="32">
        <v>54097.0</v>
      </c>
      <c r="E3042" s="33">
        <f>IF(NOT(ISBLANK(vlookup($D3042,Pop_Census_2023!$A$2:$E$3220,4,FALSE))),vlookup($D3042,Pop_Census_2023!$A$2:$E$3220,4,FALSE), vlookup($D3042,Pop_Census_2023!$A$2:$E$3220,5,FALSE))</f>
        <v>23529</v>
      </c>
      <c r="F3042" s="32">
        <v>1696800.0</v>
      </c>
      <c r="G3042" s="32">
        <v>116.0</v>
      </c>
      <c r="H3042" s="32" t="str">
        <f>VLOOKUP(D3042, Grid_Region_Mapping!$D$2:$F$5286, 3, FALSE)</f>
        <v>PJMW</v>
      </c>
      <c r="I3042" s="32">
        <v>5.0</v>
      </c>
      <c r="J3042" s="34" t="str">
        <f t="shared" si="1"/>
        <v>South</v>
      </c>
      <c r="K3042" s="35">
        <v>2.0</v>
      </c>
      <c r="L3042" s="35" t="s">
        <v>396</v>
      </c>
      <c r="M3042" s="36">
        <f>VLOOKUP(D3042, County_Data_CZones!$B$2:$F$3236, 2, FALSE)</f>
        <v>5</v>
      </c>
      <c r="N3042" s="37" t="str">
        <f>VLOOKUP(D3042, County_Data_CZones!$B$2:$F$3236, 5, FALSE)</f>
        <v>Cold</v>
      </c>
    </row>
    <row r="3043" ht="15.75" customHeight="1">
      <c r="A3043" s="32" t="s">
        <v>562</v>
      </c>
      <c r="B3043" s="32" t="s">
        <v>1924</v>
      </c>
      <c r="C3043" s="32" t="str">
        <f>vlookup(B3043,State_EMM_RowSums!$A$2:$B$52,2,FALSE)</f>
        <v>WV</v>
      </c>
      <c r="D3043" s="32">
        <v>54099.0</v>
      </c>
      <c r="E3043" s="33">
        <f>IF(NOT(ISBLANK(vlookup($D3043,Pop_Census_2023!$A$2:$E$3220,4,FALSE))),vlookup($D3043,Pop_Census_2023!$A$2:$E$3220,4,FALSE), vlookup($D3043,Pop_Census_2023!$A$2:$E$3220,5,FALSE))</f>
        <v>37686</v>
      </c>
      <c r="F3043" s="32">
        <v>1550056.0</v>
      </c>
      <c r="G3043" s="32">
        <v>117.0</v>
      </c>
      <c r="H3043" s="32" t="str">
        <f>VLOOKUP(D3043, Grid_Region_Mapping!$D$2:$F$5286, 3, FALSE)</f>
        <v>PJMW</v>
      </c>
      <c r="I3043" s="32">
        <v>5.0</v>
      </c>
      <c r="J3043" s="34" t="str">
        <f t="shared" si="1"/>
        <v>South</v>
      </c>
      <c r="K3043" s="35">
        <v>3.0</v>
      </c>
      <c r="L3043" s="35" t="s">
        <v>223</v>
      </c>
      <c r="M3043" s="36">
        <f>VLOOKUP(D3043, County_Data_CZones!$B$2:$F$3236, 2, FALSE)</f>
        <v>4</v>
      </c>
      <c r="N3043" s="37" t="str">
        <f>VLOOKUP(D3043, County_Data_CZones!$B$2:$F$3236, 5, FALSE)</f>
        <v>Mixed-Humid</v>
      </c>
    </row>
    <row r="3044" ht="15.75" customHeight="1">
      <c r="A3044" s="32" t="s">
        <v>563</v>
      </c>
      <c r="B3044" s="32" t="s">
        <v>1924</v>
      </c>
      <c r="C3044" s="32" t="str">
        <f>vlookup(B3044,State_EMM_RowSums!$A$2:$B$52,2,FALSE)</f>
        <v>WV</v>
      </c>
      <c r="D3044" s="32">
        <v>54101.0</v>
      </c>
      <c r="E3044" s="33">
        <f>IF(NOT(ISBLANK(vlookup($D3044,Pop_Census_2023!$A$2:$E$3220,4,FALSE))),vlookup($D3044,Pop_Census_2023!$A$2:$E$3220,4,FALSE), vlookup($D3044,Pop_Census_2023!$A$2:$E$3220,5,FALSE))</f>
        <v>8045</v>
      </c>
      <c r="F3044" s="32">
        <v>1550057.0</v>
      </c>
      <c r="G3044" s="32">
        <v>116.0</v>
      </c>
      <c r="H3044" s="32" t="str">
        <f>VLOOKUP(D3044, Grid_Region_Mapping!$D$2:$F$5286, 3, FALSE)</f>
        <v>PJMW</v>
      </c>
      <c r="I3044" s="32">
        <v>5.0</v>
      </c>
      <c r="J3044" s="34" t="str">
        <f t="shared" si="1"/>
        <v>South</v>
      </c>
      <c r="K3044" s="35">
        <v>2.0</v>
      </c>
      <c r="L3044" s="35" t="s">
        <v>396</v>
      </c>
      <c r="M3044" s="36">
        <f>VLOOKUP(D3044, County_Data_CZones!$B$2:$F$3236, 2, FALSE)</f>
        <v>5</v>
      </c>
      <c r="N3044" s="37" t="str">
        <f>VLOOKUP(D3044, County_Data_CZones!$B$2:$F$3236, 5, FALSE)</f>
        <v>Cold</v>
      </c>
    </row>
    <row r="3045" ht="15.75" customHeight="1">
      <c r="A3045" s="32" t="s">
        <v>1940</v>
      </c>
      <c r="B3045" s="32" t="s">
        <v>1924</v>
      </c>
      <c r="C3045" s="32" t="str">
        <f>vlookup(B3045,State_EMM_RowSums!$A$2:$B$52,2,FALSE)</f>
        <v>WV</v>
      </c>
      <c r="D3045" s="32">
        <v>54103.0</v>
      </c>
      <c r="E3045" s="33">
        <f>IF(NOT(ISBLANK(vlookup($D3045,Pop_Census_2023!$A$2:$E$3220,4,FALSE))),vlookup($D3045,Pop_Census_2023!$A$2:$E$3220,4,FALSE), vlookup($D3045,Pop_Census_2023!$A$2:$E$3220,5,FALSE))</f>
        <v>13890</v>
      </c>
      <c r="F3045" s="32">
        <v>1717836.0</v>
      </c>
      <c r="G3045" s="32">
        <v>116.0</v>
      </c>
      <c r="H3045" s="32" t="str">
        <f>VLOOKUP(D3045, Grid_Region_Mapping!$D$2:$F$5286, 3, FALSE)</f>
        <v>PJMW</v>
      </c>
      <c r="I3045" s="32">
        <v>5.0</v>
      </c>
      <c r="J3045" s="34" t="str">
        <f t="shared" si="1"/>
        <v>South</v>
      </c>
      <c r="K3045" s="35">
        <v>2.0</v>
      </c>
      <c r="L3045" s="35" t="s">
        <v>396</v>
      </c>
      <c r="M3045" s="36">
        <f>VLOOKUP(D3045, County_Data_CZones!$B$2:$F$3236, 2, FALSE)</f>
        <v>5</v>
      </c>
      <c r="N3045" s="37" t="str">
        <f>VLOOKUP(D3045, County_Data_CZones!$B$2:$F$3236, 5, FALSE)</f>
        <v>Cold</v>
      </c>
    </row>
    <row r="3046" ht="15.75" customHeight="1">
      <c r="A3046" s="32" t="s">
        <v>1941</v>
      </c>
      <c r="B3046" s="32" t="s">
        <v>1924</v>
      </c>
      <c r="C3046" s="32" t="str">
        <f>vlookup(B3046,State_EMM_RowSums!$A$2:$B$52,2,FALSE)</f>
        <v>WV</v>
      </c>
      <c r="D3046" s="32">
        <v>54105.0</v>
      </c>
      <c r="E3046" s="33">
        <f>IF(NOT(ISBLANK(vlookup($D3046,Pop_Census_2023!$A$2:$E$3220,4,FALSE))),vlookup($D3046,Pop_Census_2023!$A$2:$E$3220,4,FALSE), vlookup($D3046,Pop_Census_2023!$A$2:$E$3220,5,FALSE))</f>
        <v>5000</v>
      </c>
      <c r="F3046" s="32">
        <v>1678877.0</v>
      </c>
      <c r="G3046" s="32">
        <v>116.0</v>
      </c>
      <c r="H3046" s="32" t="str">
        <f>VLOOKUP(D3046, Grid_Region_Mapping!$D$2:$F$5286, 3, FALSE)</f>
        <v>PJMW</v>
      </c>
      <c r="I3046" s="32">
        <v>5.0</v>
      </c>
      <c r="J3046" s="34" t="str">
        <f t="shared" si="1"/>
        <v>South</v>
      </c>
      <c r="K3046" s="35">
        <v>3.0</v>
      </c>
      <c r="L3046" s="35" t="s">
        <v>223</v>
      </c>
      <c r="M3046" s="36">
        <f>VLOOKUP(D3046, County_Data_CZones!$B$2:$F$3236, 2, FALSE)</f>
        <v>4</v>
      </c>
      <c r="N3046" s="37" t="str">
        <f>VLOOKUP(D3046, County_Data_CZones!$B$2:$F$3236, 5, FALSE)</f>
        <v>Mixed-Humid</v>
      </c>
    </row>
    <row r="3047" ht="15.75" customHeight="1">
      <c r="A3047" s="32" t="s">
        <v>1455</v>
      </c>
      <c r="B3047" s="32" t="s">
        <v>1924</v>
      </c>
      <c r="C3047" s="32" t="str">
        <f>vlookup(B3047,State_EMM_RowSums!$A$2:$B$52,2,FALSE)</f>
        <v>WV</v>
      </c>
      <c r="D3047" s="32">
        <v>54107.0</v>
      </c>
      <c r="E3047" s="33">
        <f>IF(NOT(ISBLANK(vlookup($D3047,Pop_Census_2023!$A$2:$E$3220,4,FALSE))),vlookup($D3047,Pop_Census_2023!$A$2:$E$3220,4,FALSE), vlookup($D3047,Pop_Census_2023!$A$2:$E$3220,5,FALSE))</f>
        <v>83052</v>
      </c>
      <c r="F3047" s="32">
        <v>1560558.0</v>
      </c>
      <c r="G3047" s="32">
        <v>116.0</v>
      </c>
      <c r="H3047" s="32" t="str">
        <f>VLOOKUP(D3047, Grid_Region_Mapping!$D$2:$F$5286, 3, FALSE)</f>
        <v>PJMW</v>
      </c>
      <c r="I3047" s="32">
        <v>5.0</v>
      </c>
      <c r="J3047" s="34" t="str">
        <f t="shared" si="1"/>
        <v>South</v>
      </c>
      <c r="K3047" s="35">
        <v>3.0</v>
      </c>
      <c r="L3047" s="35" t="s">
        <v>223</v>
      </c>
      <c r="M3047" s="36">
        <f>VLOOKUP(D3047, County_Data_CZones!$B$2:$F$3236, 2, FALSE)</f>
        <v>4</v>
      </c>
      <c r="N3047" s="37" t="str">
        <f>VLOOKUP(D3047, County_Data_CZones!$B$2:$F$3236, 5, FALSE)</f>
        <v>Mixed-Humid</v>
      </c>
    </row>
    <row r="3048" ht="15.75" customHeight="1">
      <c r="A3048" s="32" t="s">
        <v>1323</v>
      </c>
      <c r="B3048" s="32" t="s">
        <v>1924</v>
      </c>
      <c r="C3048" s="32" t="str">
        <f>vlookup(B3048,State_EMM_RowSums!$A$2:$B$52,2,FALSE)</f>
        <v>WV</v>
      </c>
      <c r="D3048" s="32">
        <v>54109.0</v>
      </c>
      <c r="E3048" s="33">
        <f>IF(NOT(ISBLANK(vlookup($D3048,Pop_Census_2023!$A$2:$E$3220,4,FALSE))),vlookup($D3048,Pop_Census_2023!$A$2:$E$3220,4,FALSE), vlookup($D3048,Pop_Census_2023!$A$2:$E$3220,5,FALSE))</f>
        <v>20277</v>
      </c>
      <c r="F3048" s="32">
        <v>1550061.0</v>
      </c>
      <c r="G3048" s="32">
        <v>117.0</v>
      </c>
      <c r="H3048" s="32" t="str">
        <f>VLOOKUP(D3048, Grid_Region_Mapping!$D$2:$F$5286, 3, FALSE)</f>
        <v>PJMW</v>
      </c>
      <c r="I3048" s="32">
        <v>5.0</v>
      </c>
      <c r="J3048" s="34" t="str">
        <f t="shared" si="1"/>
        <v>South</v>
      </c>
      <c r="K3048" s="35">
        <v>3.0</v>
      </c>
      <c r="L3048" s="35" t="s">
        <v>223</v>
      </c>
      <c r="M3048" s="36">
        <f>VLOOKUP(D3048, County_Data_CZones!$B$2:$F$3236, 2, FALSE)</f>
        <v>4</v>
      </c>
      <c r="N3048" s="37" t="str">
        <f>VLOOKUP(D3048, County_Data_CZones!$B$2:$F$3236, 5, FALSE)</f>
        <v>Mixed-Humid</v>
      </c>
    </row>
    <row r="3049" ht="15.75" customHeight="1">
      <c r="A3049" s="32" t="s">
        <v>338</v>
      </c>
      <c r="B3049" s="32" t="s">
        <v>1942</v>
      </c>
      <c r="C3049" s="32" t="str">
        <f>vlookup(B3049,State_EMM_RowSums!$A$2:$B$52,2,FALSE)</f>
        <v>WI</v>
      </c>
      <c r="D3049" s="32">
        <v>55001.0</v>
      </c>
      <c r="E3049" s="33">
        <f>IF(NOT(ISBLANK(vlookup($D3049,Pop_Census_2023!$A$2:$E$3220,4,FALSE))),vlookup($D3049,Pop_Census_2023!$A$2:$E$3220,4,FALSE), vlookup($D3049,Pop_Census_2023!$A$2:$E$3220,5,FALSE))</f>
        <v>21449</v>
      </c>
      <c r="F3049" s="32">
        <v>1581060.0</v>
      </c>
      <c r="G3049" s="32">
        <v>76.0</v>
      </c>
      <c r="H3049" s="32" t="str">
        <f>VLOOKUP(D3049, Grid_Region_Mapping!$D$2:$F$5286, 3, FALSE)</f>
        <v>MISW</v>
      </c>
      <c r="I3049" s="32">
        <v>3.0</v>
      </c>
      <c r="J3049" s="34" t="str">
        <f t="shared" si="1"/>
        <v>Midwest</v>
      </c>
      <c r="K3049" s="35">
        <v>1.0</v>
      </c>
      <c r="L3049" s="35" t="s">
        <v>707</v>
      </c>
      <c r="M3049" s="36">
        <f>VLOOKUP(D3049, County_Data_CZones!$B$2:$F$3236, 2, FALSE)</f>
        <v>6</v>
      </c>
      <c r="N3049" s="37" t="str">
        <f>VLOOKUP(D3049, County_Data_CZones!$B$2:$F$3236, 5, FALSE)</f>
        <v>Cold</v>
      </c>
    </row>
    <row r="3050" ht="15.75" customHeight="1">
      <c r="A3050" s="32" t="s">
        <v>1422</v>
      </c>
      <c r="B3050" s="32" t="s">
        <v>1942</v>
      </c>
      <c r="C3050" s="32" t="str">
        <f>vlookup(B3050,State_EMM_RowSums!$A$2:$B$52,2,FALSE)</f>
        <v>WI</v>
      </c>
      <c r="D3050" s="32">
        <v>55003.0</v>
      </c>
      <c r="E3050" s="33">
        <f>IF(NOT(ISBLANK(vlookup($D3050,Pop_Census_2023!$A$2:$E$3220,4,FALSE))),vlookup($D3050,Pop_Census_2023!$A$2:$E$3220,4,FALSE), vlookup($D3050,Pop_Census_2023!$A$2:$E$3220,5,FALSE))</f>
        <v>16079</v>
      </c>
      <c r="F3050" s="32">
        <v>1581061.0</v>
      </c>
      <c r="G3050" s="32">
        <v>46.0</v>
      </c>
      <c r="H3050" s="32" t="str">
        <f>VLOOKUP(D3050, Grid_Region_Mapping!$D$2:$F$5286, 3, FALSE)</f>
        <v>MISW</v>
      </c>
      <c r="I3050" s="32">
        <v>3.0</v>
      </c>
      <c r="J3050" s="34" t="str">
        <f t="shared" si="1"/>
        <v>Midwest</v>
      </c>
      <c r="K3050" s="35">
        <v>1.0</v>
      </c>
      <c r="L3050" s="35">
        <v>7.0</v>
      </c>
      <c r="M3050" s="36">
        <f>VLOOKUP(D3050, County_Data_CZones!$B$2:$F$3236, 2, FALSE)</f>
        <v>7</v>
      </c>
      <c r="N3050" s="37" t="str">
        <f>VLOOKUP(D3050, County_Data_CZones!$B$2:$F$3236, 5, FALSE)</f>
        <v>Very Cold</v>
      </c>
    </row>
    <row r="3051" ht="15.75" customHeight="1">
      <c r="A3051" s="32" t="s">
        <v>1943</v>
      </c>
      <c r="B3051" s="32" t="s">
        <v>1942</v>
      </c>
      <c r="C3051" s="32" t="str">
        <f>vlookup(B3051,State_EMM_RowSums!$A$2:$B$52,2,FALSE)</f>
        <v>WI</v>
      </c>
      <c r="D3051" s="32">
        <v>55005.0</v>
      </c>
      <c r="E3051" s="33">
        <f>IF(NOT(ISBLANK(vlookup($D3051,Pop_Census_2023!$A$2:$E$3220,4,FALSE))),vlookup($D3051,Pop_Census_2023!$A$2:$E$3220,4,FALSE), vlookup($D3051,Pop_Census_2023!$A$2:$E$3220,5,FALSE))</f>
        <v>46833</v>
      </c>
      <c r="F3051" s="32">
        <v>1581062.0</v>
      </c>
      <c r="G3051" s="32">
        <v>46.0</v>
      </c>
      <c r="H3051" s="32" t="str">
        <f>VLOOKUP(D3051, Grid_Region_Mapping!$D$2:$F$5286, 3, FALSE)</f>
        <v>MISW</v>
      </c>
      <c r="I3051" s="32">
        <v>3.0</v>
      </c>
      <c r="J3051" s="34" t="str">
        <f t="shared" si="1"/>
        <v>Midwest</v>
      </c>
      <c r="K3051" s="35">
        <v>1.0</v>
      </c>
      <c r="L3051" s="35" t="s">
        <v>707</v>
      </c>
      <c r="M3051" s="36">
        <f>VLOOKUP(D3051, County_Data_CZones!$B$2:$F$3236, 2, FALSE)</f>
        <v>6</v>
      </c>
      <c r="N3051" s="37" t="str">
        <f>VLOOKUP(D3051, County_Data_CZones!$B$2:$F$3236, 5, FALSE)</f>
        <v>Cold</v>
      </c>
    </row>
    <row r="3052" ht="15.75" customHeight="1">
      <c r="A3052" s="32" t="s">
        <v>1944</v>
      </c>
      <c r="B3052" s="32" t="s">
        <v>1942</v>
      </c>
      <c r="C3052" s="32" t="str">
        <f>vlookup(B3052,State_EMM_RowSums!$A$2:$B$52,2,FALSE)</f>
        <v>WI</v>
      </c>
      <c r="D3052" s="32">
        <v>55007.0</v>
      </c>
      <c r="E3052" s="33">
        <f>IF(NOT(ISBLANK(vlookup($D3052,Pop_Census_2023!$A$2:$E$3220,4,FALSE))),vlookup($D3052,Pop_Census_2023!$A$2:$E$3220,4,FALSE), vlookup($D3052,Pop_Census_2023!$A$2:$E$3220,5,FALSE))</f>
        <v>16769</v>
      </c>
      <c r="F3052" s="32">
        <v>1581063.0</v>
      </c>
      <c r="G3052" s="32">
        <v>46.0</v>
      </c>
      <c r="H3052" s="32" t="str">
        <f>VLOOKUP(D3052, Grid_Region_Mapping!$D$2:$F$5286, 3, FALSE)</f>
        <v>MISW</v>
      </c>
      <c r="I3052" s="32">
        <v>3.0</v>
      </c>
      <c r="J3052" s="34" t="str">
        <f t="shared" si="1"/>
        <v>Midwest</v>
      </c>
      <c r="K3052" s="35">
        <v>1.0</v>
      </c>
      <c r="L3052" s="35">
        <v>7.0</v>
      </c>
      <c r="M3052" s="36">
        <f>VLOOKUP(D3052, County_Data_CZones!$B$2:$F$3236, 2, FALSE)</f>
        <v>7</v>
      </c>
      <c r="N3052" s="37" t="str">
        <f>VLOOKUP(D3052, County_Data_CZones!$B$2:$F$3236, 5, FALSE)</f>
        <v>Very Cold</v>
      </c>
    </row>
    <row r="3053" ht="15.75" customHeight="1">
      <c r="A3053" s="32" t="s">
        <v>611</v>
      </c>
      <c r="B3053" s="32" t="s">
        <v>1942</v>
      </c>
      <c r="C3053" s="32" t="str">
        <f>vlookup(B3053,State_EMM_RowSums!$A$2:$B$52,2,FALSE)</f>
        <v>WI</v>
      </c>
      <c r="D3053" s="32">
        <v>55009.0</v>
      </c>
      <c r="E3053" s="33">
        <f>IF(NOT(ISBLANK(vlookup($D3053,Pop_Census_2023!$A$2:$E$3220,4,FALSE))),vlookup($D3053,Pop_Census_2023!$A$2:$E$3220,4,FALSE), vlookup($D3053,Pop_Census_2023!$A$2:$E$3220,5,FALSE))</f>
        <v>271417</v>
      </c>
      <c r="F3053" s="32">
        <v>1581064.0</v>
      </c>
      <c r="G3053" s="32">
        <v>75.0</v>
      </c>
      <c r="H3053" s="32" t="str">
        <f>VLOOKUP(D3053, Grid_Region_Mapping!$D$2:$F$5286, 3, FALSE)</f>
        <v>MISW</v>
      </c>
      <c r="I3053" s="32">
        <v>3.0</v>
      </c>
      <c r="J3053" s="34" t="str">
        <f t="shared" si="1"/>
        <v>Midwest</v>
      </c>
      <c r="K3053" s="35">
        <v>1.0</v>
      </c>
      <c r="L3053" s="35" t="s">
        <v>707</v>
      </c>
      <c r="M3053" s="36">
        <f>VLOOKUP(D3053, County_Data_CZones!$B$2:$F$3236, 2, FALSE)</f>
        <v>6</v>
      </c>
      <c r="N3053" s="37" t="str">
        <f>VLOOKUP(D3053, County_Data_CZones!$B$2:$F$3236, 5, FALSE)</f>
        <v>Cold</v>
      </c>
    </row>
    <row r="3054" ht="15.75" customHeight="1">
      <c r="A3054" s="32" t="s">
        <v>1203</v>
      </c>
      <c r="B3054" s="32" t="s">
        <v>1942</v>
      </c>
      <c r="C3054" s="32" t="str">
        <f>vlookup(B3054,State_EMM_RowSums!$A$2:$B$52,2,FALSE)</f>
        <v>WI</v>
      </c>
      <c r="D3054" s="32">
        <v>55011.0</v>
      </c>
      <c r="E3054" s="33">
        <f>IF(NOT(ISBLANK(vlookup($D3054,Pop_Census_2023!$A$2:$E$3220,4,FALSE))),vlookup($D3054,Pop_Census_2023!$A$2:$E$3220,4,FALSE), vlookup($D3054,Pop_Census_2023!$A$2:$E$3220,5,FALSE))</f>
        <v>13419</v>
      </c>
      <c r="F3054" s="32">
        <v>1581065.0</v>
      </c>
      <c r="G3054" s="32">
        <v>46.0</v>
      </c>
      <c r="H3054" s="32" t="str">
        <f>VLOOKUP(D3054, Grid_Region_Mapping!$D$2:$F$5286, 3, FALSE)</f>
        <v>MISW</v>
      </c>
      <c r="I3054" s="32">
        <v>3.0</v>
      </c>
      <c r="J3054" s="34" t="str">
        <f t="shared" si="1"/>
        <v>Midwest</v>
      </c>
      <c r="K3054" s="35">
        <v>1.0</v>
      </c>
      <c r="L3054" s="35" t="s">
        <v>707</v>
      </c>
      <c r="M3054" s="36">
        <f>VLOOKUP(D3054, County_Data_CZones!$B$2:$F$3236, 2, FALSE)</f>
        <v>6</v>
      </c>
      <c r="N3054" s="37" t="str">
        <f>VLOOKUP(D3054, County_Data_CZones!$B$2:$F$3236, 5, FALSE)</f>
        <v>Cold</v>
      </c>
    </row>
    <row r="3055" ht="15.75" customHeight="1">
      <c r="A3055" s="32" t="s">
        <v>1945</v>
      </c>
      <c r="B3055" s="32" t="s">
        <v>1942</v>
      </c>
      <c r="C3055" s="32" t="str">
        <f>vlookup(B3055,State_EMM_RowSums!$A$2:$B$52,2,FALSE)</f>
        <v>WI</v>
      </c>
      <c r="D3055" s="32">
        <v>55013.0</v>
      </c>
      <c r="E3055" s="33">
        <f>IF(NOT(ISBLANK(vlookup($D3055,Pop_Census_2023!$A$2:$E$3220,4,FALSE))),vlookup($D3055,Pop_Census_2023!$A$2:$E$3220,4,FALSE), vlookup($D3055,Pop_Census_2023!$A$2:$E$3220,5,FALSE))</f>
        <v>17092</v>
      </c>
      <c r="F3055" s="32">
        <v>1581066.0</v>
      </c>
      <c r="G3055" s="32">
        <v>46.0</v>
      </c>
      <c r="H3055" s="32" t="str">
        <f>VLOOKUP(D3055, Grid_Region_Mapping!$D$2:$F$5286, 3, FALSE)</f>
        <v>MISW</v>
      </c>
      <c r="I3055" s="32">
        <v>3.0</v>
      </c>
      <c r="J3055" s="34" t="str">
        <f t="shared" si="1"/>
        <v>Midwest</v>
      </c>
      <c r="K3055" s="35">
        <v>1.0</v>
      </c>
      <c r="L3055" s="35">
        <v>7.0</v>
      </c>
      <c r="M3055" s="36">
        <f>VLOOKUP(D3055, County_Data_CZones!$B$2:$F$3236, 2, FALSE)</f>
        <v>7</v>
      </c>
      <c r="N3055" s="37" t="str">
        <f>VLOOKUP(D3055, County_Data_CZones!$B$2:$F$3236, 5, FALSE)</f>
        <v>Very Cold</v>
      </c>
    </row>
    <row r="3056" ht="15.75" customHeight="1">
      <c r="A3056" s="32" t="s">
        <v>1946</v>
      </c>
      <c r="B3056" s="32" t="s">
        <v>1942</v>
      </c>
      <c r="C3056" s="32" t="str">
        <f>vlookup(B3056,State_EMM_RowSums!$A$2:$B$52,2,FALSE)</f>
        <v>WI</v>
      </c>
      <c r="D3056" s="32">
        <v>55015.0</v>
      </c>
      <c r="E3056" s="33">
        <f>IF(NOT(ISBLANK(vlookup($D3056,Pop_Census_2023!$A$2:$E$3220,4,FALSE))),vlookup($D3056,Pop_Census_2023!$A$2:$E$3220,4,FALSE), vlookup($D3056,Pop_Census_2023!$A$2:$E$3220,5,FALSE))</f>
        <v>53199</v>
      </c>
      <c r="F3056" s="32">
        <v>1581067.0</v>
      </c>
      <c r="G3056" s="32">
        <v>76.0</v>
      </c>
      <c r="H3056" s="32" t="str">
        <f>VLOOKUP(D3056, Grid_Region_Mapping!$D$2:$F$5286, 3, FALSE)</f>
        <v>MISW</v>
      </c>
      <c r="I3056" s="32">
        <v>3.0</v>
      </c>
      <c r="J3056" s="34" t="str">
        <f t="shared" si="1"/>
        <v>Midwest</v>
      </c>
      <c r="K3056" s="35">
        <v>1.0</v>
      </c>
      <c r="L3056" s="35" t="s">
        <v>707</v>
      </c>
      <c r="M3056" s="36">
        <f>VLOOKUP(D3056, County_Data_CZones!$B$2:$F$3236, 2, FALSE)</f>
        <v>6</v>
      </c>
      <c r="N3056" s="37" t="str">
        <f>VLOOKUP(D3056, County_Data_CZones!$B$2:$F$3236, 5, FALSE)</f>
        <v>Cold</v>
      </c>
    </row>
    <row r="3057" ht="15.75" customHeight="1">
      <c r="A3057" s="32" t="s">
        <v>975</v>
      </c>
      <c r="B3057" s="32" t="s">
        <v>1942</v>
      </c>
      <c r="C3057" s="32" t="str">
        <f>vlookup(B3057,State_EMM_RowSums!$A$2:$B$52,2,FALSE)</f>
        <v>WI</v>
      </c>
      <c r="D3057" s="32">
        <v>55017.0</v>
      </c>
      <c r="E3057" s="33">
        <f>IF(NOT(ISBLANK(vlookup($D3057,Pop_Census_2023!$A$2:$E$3220,4,FALSE))),vlookup($D3057,Pop_Census_2023!$A$2:$E$3220,4,FALSE), vlookup($D3057,Pop_Census_2023!$A$2:$E$3220,5,FALSE))</f>
        <v>66970</v>
      </c>
      <c r="F3057" s="32">
        <v>1581068.0</v>
      </c>
      <c r="G3057" s="32">
        <v>46.0</v>
      </c>
      <c r="H3057" s="32" t="str">
        <f>VLOOKUP(D3057, Grid_Region_Mapping!$D$2:$F$5286, 3, FALSE)</f>
        <v>MISW</v>
      </c>
      <c r="I3057" s="32">
        <v>3.0</v>
      </c>
      <c r="J3057" s="34" t="str">
        <f t="shared" si="1"/>
        <v>Midwest</v>
      </c>
      <c r="K3057" s="35">
        <v>1.0</v>
      </c>
      <c r="L3057" s="35" t="s">
        <v>707</v>
      </c>
      <c r="M3057" s="36">
        <f>VLOOKUP(D3057, County_Data_CZones!$B$2:$F$3236, 2, FALSE)</f>
        <v>6</v>
      </c>
      <c r="N3057" s="37" t="str">
        <f>VLOOKUP(D3057, County_Data_CZones!$B$2:$F$3236, 5, FALSE)</f>
        <v>Cold</v>
      </c>
    </row>
    <row r="3058" ht="15.75" customHeight="1">
      <c r="A3058" s="32" t="s">
        <v>229</v>
      </c>
      <c r="B3058" s="32" t="s">
        <v>1942</v>
      </c>
      <c r="C3058" s="32" t="str">
        <f>vlookup(B3058,State_EMM_RowSums!$A$2:$B$52,2,FALSE)</f>
        <v>WI</v>
      </c>
      <c r="D3058" s="32">
        <v>55019.0</v>
      </c>
      <c r="E3058" s="33">
        <f>IF(NOT(ISBLANK(vlookup($D3058,Pop_Census_2023!$A$2:$E$3220,4,FALSE))),vlookup($D3058,Pop_Census_2023!$A$2:$E$3220,4,FALSE), vlookup($D3058,Pop_Census_2023!$A$2:$E$3220,5,FALSE))</f>
        <v>34774</v>
      </c>
      <c r="F3058" s="32">
        <v>1581069.0</v>
      </c>
      <c r="G3058" s="32">
        <v>46.0</v>
      </c>
      <c r="H3058" s="32" t="str">
        <f>VLOOKUP(D3058, Grid_Region_Mapping!$D$2:$F$5286, 3, FALSE)</f>
        <v>MISW</v>
      </c>
      <c r="I3058" s="32">
        <v>3.0</v>
      </c>
      <c r="J3058" s="34" t="str">
        <f t="shared" si="1"/>
        <v>Midwest</v>
      </c>
      <c r="K3058" s="35">
        <v>1.0</v>
      </c>
      <c r="L3058" s="35" t="s">
        <v>707</v>
      </c>
      <c r="M3058" s="36">
        <f>VLOOKUP(D3058, County_Data_CZones!$B$2:$F$3236, 2, FALSE)</f>
        <v>6</v>
      </c>
      <c r="N3058" s="37" t="str">
        <f>VLOOKUP(D3058, County_Data_CZones!$B$2:$F$3236, 5, FALSE)</f>
        <v>Cold</v>
      </c>
    </row>
    <row r="3059" ht="15.75" customHeight="1">
      <c r="A3059" s="32" t="s">
        <v>231</v>
      </c>
      <c r="B3059" s="32" t="s">
        <v>1942</v>
      </c>
      <c r="C3059" s="32" t="str">
        <f>vlookup(B3059,State_EMM_RowSums!$A$2:$B$52,2,FALSE)</f>
        <v>WI</v>
      </c>
      <c r="D3059" s="32">
        <v>55021.0</v>
      </c>
      <c r="E3059" s="33">
        <f>IF(NOT(ISBLANK(vlookup($D3059,Pop_Census_2023!$A$2:$E$3220,4,FALSE))),vlookup($D3059,Pop_Census_2023!$A$2:$E$3220,4,FALSE), vlookup($D3059,Pop_Census_2023!$A$2:$E$3220,5,FALSE))</f>
        <v>58091</v>
      </c>
      <c r="F3059" s="32">
        <v>1581070.0</v>
      </c>
      <c r="G3059" s="32">
        <v>76.0</v>
      </c>
      <c r="H3059" s="32" t="str">
        <f>VLOOKUP(D3059, Grid_Region_Mapping!$D$2:$F$5286, 3, FALSE)</f>
        <v>MISW</v>
      </c>
      <c r="I3059" s="32">
        <v>3.0</v>
      </c>
      <c r="J3059" s="34" t="str">
        <f t="shared" si="1"/>
        <v>Midwest</v>
      </c>
      <c r="K3059" s="35">
        <v>1.0</v>
      </c>
      <c r="L3059" s="35" t="s">
        <v>707</v>
      </c>
      <c r="M3059" s="36">
        <f>VLOOKUP(D3059, County_Data_CZones!$B$2:$F$3236, 2, FALSE)</f>
        <v>6</v>
      </c>
      <c r="N3059" s="37" t="str">
        <f>VLOOKUP(D3059, County_Data_CZones!$B$2:$F$3236, 5, FALSE)</f>
        <v>Cold</v>
      </c>
    </row>
    <row r="3060" ht="15.75" customHeight="1">
      <c r="A3060" s="32" t="s">
        <v>234</v>
      </c>
      <c r="B3060" s="32" t="s">
        <v>1942</v>
      </c>
      <c r="C3060" s="32" t="str">
        <f>vlookup(B3060,State_EMM_RowSums!$A$2:$B$52,2,FALSE)</f>
        <v>WI</v>
      </c>
      <c r="D3060" s="32">
        <v>55023.0</v>
      </c>
      <c r="E3060" s="33">
        <f>IF(NOT(ISBLANK(vlookup($D3060,Pop_Census_2023!$A$2:$E$3220,4,FALSE))),vlookup($D3060,Pop_Census_2023!$A$2:$E$3220,4,FALSE), vlookup($D3060,Pop_Census_2023!$A$2:$E$3220,5,FALSE))</f>
        <v>15944</v>
      </c>
      <c r="F3060" s="32">
        <v>1581071.0</v>
      </c>
      <c r="G3060" s="32">
        <v>77.0</v>
      </c>
      <c r="H3060" s="32" t="str">
        <f>VLOOKUP(D3060, Grid_Region_Mapping!$D$2:$F$5286, 3, FALSE)</f>
        <v>MISW</v>
      </c>
      <c r="I3060" s="32">
        <v>3.0</v>
      </c>
      <c r="J3060" s="34" t="str">
        <f t="shared" si="1"/>
        <v>Midwest</v>
      </c>
      <c r="K3060" s="35">
        <v>1.0</v>
      </c>
      <c r="L3060" s="35" t="s">
        <v>707</v>
      </c>
      <c r="M3060" s="36">
        <f>VLOOKUP(D3060, County_Data_CZones!$B$2:$F$3236, 2, FALSE)</f>
        <v>6</v>
      </c>
      <c r="N3060" s="37" t="str">
        <f>VLOOKUP(D3060, County_Data_CZones!$B$2:$F$3236, 5, FALSE)</f>
        <v>Cold</v>
      </c>
    </row>
    <row r="3061" ht="15.75" customHeight="1">
      <c r="A3061" s="32" t="s">
        <v>1947</v>
      </c>
      <c r="B3061" s="32" t="s">
        <v>1942</v>
      </c>
      <c r="C3061" s="32" t="str">
        <f>vlookup(B3061,State_EMM_RowSums!$A$2:$B$52,2,FALSE)</f>
        <v>WI</v>
      </c>
      <c r="D3061" s="32">
        <v>55025.0</v>
      </c>
      <c r="E3061" s="33">
        <f>IF(NOT(ISBLANK(vlookup($D3061,Pop_Census_2023!$A$2:$E$3220,4,FALSE))),vlookup($D3061,Pop_Census_2023!$A$2:$E$3220,4,FALSE), vlookup($D3061,Pop_Census_2023!$A$2:$E$3220,5,FALSE))</f>
        <v>575347</v>
      </c>
      <c r="F3061" s="32">
        <v>1581072.0</v>
      </c>
      <c r="G3061" s="32">
        <v>78.0</v>
      </c>
      <c r="H3061" s="32" t="str">
        <f>VLOOKUP(D3061, Grid_Region_Mapping!$D$2:$F$5286, 3, FALSE)</f>
        <v>MISW</v>
      </c>
      <c r="I3061" s="32">
        <v>3.0</v>
      </c>
      <c r="J3061" s="34" t="str">
        <f t="shared" si="1"/>
        <v>Midwest</v>
      </c>
      <c r="K3061" s="35">
        <v>1.0</v>
      </c>
      <c r="L3061" s="35" t="s">
        <v>707</v>
      </c>
      <c r="M3061" s="36">
        <f>VLOOKUP(D3061, County_Data_CZones!$B$2:$F$3236, 2, FALSE)</f>
        <v>6</v>
      </c>
      <c r="N3061" s="37" t="str">
        <f>VLOOKUP(D3061, County_Data_CZones!$B$2:$F$3236, 5, FALSE)</f>
        <v>Cold</v>
      </c>
    </row>
    <row r="3062" ht="15.75" customHeight="1">
      <c r="A3062" s="32" t="s">
        <v>493</v>
      </c>
      <c r="B3062" s="32" t="s">
        <v>1942</v>
      </c>
      <c r="C3062" s="32" t="str">
        <f>vlookup(B3062,State_EMM_RowSums!$A$2:$B$52,2,FALSE)</f>
        <v>WI</v>
      </c>
      <c r="D3062" s="32">
        <v>55027.0</v>
      </c>
      <c r="E3062" s="33">
        <f>IF(NOT(ISBLANK(vlookup($D3062,Pop_Census_2023!$A$2:$E$3220,4,FALSE))),vlookup($D3062,Pop_Census_2023!$A$2:$E$3220,4,FALSE), vlookup($D3062,Pop_Census_2023!$A$2:$E$3220,5,FALSE))</f>
        <v>88231</v>
      </c>
      <c r="F3062" s="32">
        <v>1581073.0</v>
      </c>
      <c r="G3062" s="32">
        <v>76.0</v>
      </c>
      <c r="H3062" s="32" t="str">
        <f>VLOOKUP(D3062, Grid_Region_Mapping!$D$2:$F$5286, 3, FALSE)</f>
        <v>MISW</v>
      </c>
      <c r="I3062" s="32">
        <v>3.0</v>
      </c>
      <c r="J3062" s="34" t="str">
        <f t="shared" si="1"/>
        <v>Midwest</v>
      </c>
      <c r="K3062" s="35">
        <v>1.0</v>
      </c>
      <c r="L3062" s="35" t="s">
        <v>707</v>
      </c>
      <c r="M3062" s="36">
        <f>VLOOKUP(D3062, County_Data_CZones!$B$2:$F$3236, 2, FALSE)</f>
        <v>6</v>
      </c>
      <c r="N3062" s="37" t="str">
        <f>VLOOKUP(D3062, County_Data_CZones!$B$2:$F$3236, 5, FALSE)</f>
        <v>Cold</v>
      </c>
    </row>
    <row r="3063" ht="15.75" customHeight="1">
      <c r="A3063" s="32" t="s">
        <v>1948</v>
      </c>
      <c r="B3063" s="32" t="s">
        <v>1942</v>
      </c>
      <c r="C3063" s="32" t="str">
        <f>vlookup(B3063,State_EMM_RowSums!$A$2:$B$52,2,FALSE)</f>
        <v>WI</v>
      </c>
      <c r="D3063" s="32">
        <v>55029.0</v>
      </c>
      <c r="E3063" s="33">
        <f>IF(NOT(ISBLANK(vlookup($D3063,Pop_Census_2023!$A$2:$E$3220,4,FALSE))),vlookup($D3063,Pop_Census_2023!$A$2:$E$3220,4,FALSE), vlookup($D3063,Pop_Census_2023!$A$2:$E$3220,5,FALSE))</f>
        <v>30562</v>
      </c>
      <c r="F3063" s="32">
        <v>1581074.0</v>
      </c>
      <c r="G3063" s="32">
        <v>75.0</v>
      </c>
      <c r="H3063" s="32" t="str">
        <f>VLOOKUP(D3063, Grid_Region_Mapping!$D$2:$F$5286, 3, FALSE)</f>
        <v>MISW</v>
      </c>
      <c r="I3063" s="32">
        <v>3.0</v>
      </c>
      <c r="J3063" s="34" t="str">
        <f t="shared" si="1"/>
        <v>Midwest</v>
      </c>
      <c r="K3063" s="35">
        <v>1.0</v>
      </c>
      <c r="L3063" s="35" t="s">
        <v>707</v>
      </c>
      <c r="M3063" s="36">
        <f>VLOOKUP(D3063, County_Data_CZones!$B$2:$F$3236, 2, FALSE)</f>
        <v>6</v>
      </c>
      <c r="N3063" s="37" t="str">
        <f>VLOOKUP(D3063, County_Data_CZones!$B$2:$F$3236, 5, FALSE)</f>
        <v>Cold</v>
      </c>
    </row>
    <row r="3064" ht="15.75" customHeight="1">
      <c r="A3064" s="32" t="s">
        <v>357</v>
      </c>
      <c r="B3064" s="32" t="s">
        <v>1942</v>
      </c>
      <c r="C3064" s="32" t="str">
        <f>vlookup(B3064,State_EMM_RowSums!$A$2:$B$52,2,FALSE)</f>
        <v>WI</v>
      </c>
      <c r="D3064" s="32">
        <v>55031.0</v>
      </c>
      <c r="E3064" s="33">
        <f>IF(NOT(ISBLANK(vlookup($D3064,Pop_Census_2023!$A$2:$E$3220,4,FALSE))),vlookup($D3064,Pop_Census_2023!$A$2:$E$3220,4,FALSE), vlookup($D3064,Pop_Census_2023!$A$2:$E$3220,5,FALSE))</f>
        <v>44264</v>
      </c>
      <c r="F3064" s="32">
        <v>1581075.0</v>
      </c>
      <c r="G3064" s="32">
        <v>46.0</v>
      </c>
      <c r="H3064" s="32" t="str">
        <f>VLOOKUP(D3064, Grid_Region_Mapping!$D$2:$F$5286, 3, FALSE)</f>
        <v>MISW</v>
      </c>
      <c r="I3064" s="32">
        <v>3.0</v>
      </c>
      <c r="J3064" s="34" t="str">
        <f t="shared" si="1"/>
        <v>Midwest</v>
      </c>
      <c r="K3064" s="35">
        <v>1.0</v>
      </c>
      <c r="L3064" s="35">
        <v>7.0</v>
      </c>
      <c r="M3064" s="36">
        <f>VLOOKUP(D3064, County_Data_CZones!$B$2:$F$3236, 2, FALSE)</f>
        <v>7</v>
      </c>
      <c r="N3064" s="37" t="str">
        <f>VLOOKUP(D3064, County_Data_CZones!$B$2:$F$3236, 5, FALSE)</f>
        <v>Very Cold</v>
      </c>
    </row>
    <row r="3065" ht="15.75" customHeight="1">
      <c r="A3065" s="32" t="s">
        <v>1400</v>
      </c>
      <c r="B3065" s="32" t="s">
        <v>1942</v>
      </c>
      <c r="C3065" s="32" t="str">
        <f>vlookup(B3065,State_EMM_RowSums!$A$2:$B$52,2,FALSE)</f>
        <v>WI</v>
      </c>
      <c r="D3065" s="32">
        <v>55033.0</v>
      </c>
      <c r="E3065" s="33">
        <f>IF(NOT(ISBLANK(vlookup($D3065,Pop_Census_2023!$A$2:$E$3220,4,FALSE))),vlookup($D3065,Pop_Census_2023!$A$2:$E$3220,4,FALSE), vlookup($D3065,Pop_Census_2023!$A$2:$E$3220,5,FALSE))</f>
        <v>45794</v>
      </c>
      <c r="F3065" s="32">
        <v>1581076.0</v>
      </c>
      <c r="G3065" s="32">
        <v>46.0</v>
      </c>
      <c r="H3065" s="32" t="str">
        <f>VLOOKUP(D3065, Grid_Region_Mapping!$D$2:$F$5286, 3, FALSE)</f>
        <v>MISW</v>
      </c>
      <c r="I3065" s="32">
        <v>3.0</v>
      </c>
      <c r="J3065" s="34" t="str">
        <f t="shared" si="1"/>
        <v>Midwest</v>
      </c>
      <c r="K3065" s="35">
        <v>1.0</v>
      </c>
      <c r="L3065" s="35" t="s">
        <v>707</v>
      </c>
      <c r="M3065" s="36">
        <f>VLOOKUP(D3065, County_Data_CZones!$B$2:$F$3236, 2, FALSE)</f>
        <v>6</v>
      </c>
      <c r="N3065" s="37" t="str">
        <f>VLOOKUP(D3065, County_Data_CZones!$B$2:$F$3236, 5, FALSE)</f>
        <v>Cold</v>
      </c>
    </row>
    <row r="3066" ht="15.75" customHeight="1">
      <c r="A3066" s="32" t="s">
        <v>1949</v>
      </c>
      <c r="B3066" s="32" t="s">
        <v>1942</v>
      </c>
      <c r="C3066" s="32" t="str">
        <f>vlookup(B3066,State_EMM_RowSums!$A$2:$B$52,2,FALSE)</f>
        <v>WI</v>
      </c>
      <c r="D3066" s="32">
        <v>55035.0</v>
      </c>
      <c r="E3066" s="33">
        <f>IF(NOT(ISBLANK(vlookup($D3066,Pop_Census_2023!$A$2:$E$3220,4,FALSE))),vlookup($D3066,Pop_Census_2023!$A$2:$E$3220,4,FALSE), vlookup($D3066,Pop_Census_2023!$A$2:$E$3220,5,FALSE))</f>
        <v>107903</v>
      </c>
      <c r="F3066" s="32">
        <v>1581077.0</v>
      </c>
      <c r="G3066" s="32">
        <v>46.0</v>
      </c>
      <c r="H3066" s="32" t="str">
        <f>VLOOKUP(D3066, Grid_Region_Mapping!$D$2:$F$5286, 3, FALSE)</f>
        <v>MISW</v>
      </c>
      <c r="I3066" s="32">
        <v>3.0</v>
      </c>
      <c r="J3066" s="34" t="str">
        <f t="shared" si="1"/>
        <v>Midwest</v>
      </c>
      <c r="K3066" s="35">
        <v>1.0</v>
      </c>
      <c r="L3066" s="35" t="s">
        <v>707</v>
      </c>
      <c r="M3066" s="36">
        <f>VLOOKUP(D3066, County_Data_CZones!$B$2:$F$3236, 2, FALSE)</f>
        <v>6</v>
      </c>
      <c r="N3066" s="37" t="str">
        <f>VLOOKUP(D3066, County_Data_CZones!$B$2:$F$3236, 5, FALSE)</f>
        <v>Cold</v>
      </c>
    </row>
    <row r="3067" ht="15.75" customHeight="1">
      <c r="A3067" s="32" t="s">
        <v>1563</v>
      </c>
      <c r="B3067" s="32" t="s">
        <v>1942</v>
      </c>
      <c r="C3067" s="32" t="str">
        <f>vlookup(B3067,State_EMM_RowSums!$A$2:$B$52,2,FALSE)</f>
        <v>WI</v>
      </c>
      <c r="D3067" s="32">
        <v>55037.0</v>
      </c>
      <c r="E3067" s="33">
        <f>IF(NOT(ISBLANK(vlookup($D3067,Pop_Census_2023!$A$2:$E$3220,4,FALSE))),vlookup($D3067,Pop_Census_2023!$A$2:$E$3220,4,FALSE), vlookup($D3067,Pop_Census_2023!$A$2:$E$3220,5,FALSE))</f>
        <v>4682</v>
      </c>
      <c r="F3067" s="32">
        <v>1581078.0</v>
      </c>
      <c r="G3067" s="32">
        <v>75.0</v>
      </c>
      <c r="H3067" s="32" t="str">
        <f>VLOOKUP(D3067, Grid_Region_Mapping!$D$2:$F$5286, 3, FALSE)</f>
        <v>MISW</v>
      </c>
      <c r="I3067" s="32">
        <v>3.0</v>
      </c>
      <c r="J3067" s="34" t="str">
        <f t="shared" si="1"/>
        <v>Midwest</v>
      </c>
      <c r="K3067" s="35">
        <v>1.0</v>
      </c>
      <c r="L3067" s="35">
        <v>7.0</v>
      </c>
      <c r="M3067" s="36">
        <f>VLOOKUP(D3067, County_Data_CZones!$B$2:$F$3236, 2, FALSE)</f>
        <v>7</v>
      </c>
      <c r="N3067" s="37" t="str">
        <f>VLOOKUP(D3067, County_Data_CZones!$B$2:$F$3236, 5, FALSE)</f>
        <v>Very Cold</v>
      </c>
    </row>
    <row r="3068" ht="15.75" customHeight="1">
      <c r="A3068" s="32" t="s">
        <v>1950</v>
      </c>
      <c r="B3068" s="32" t="s">
        <v>1942</v>
      </c>
      <c r="C3068" s="32" t="str">
        <f>vlookup(B3068,State_EMM_RowSums!$A$2:$B$52,2,FALSE)</f>
        <v>WI</v>
      </c>
      <c r="D3068" s="32">
        <v>55039.0</v>
      </c>
      <c r="E3068" s="33">
        <f>IF(NOT(ISBLANK(vlookup($D3068,Pop_Census_2023!$A$2:$E$3220,4,FALSE))),vlookup($D3068,Pop_Census_2023!$A$2:$E$3220,4,FALSE), vlookup($D3068,Pop_Census_2023!$A$2:$E$3220,5,FALSE))</f>
        <v>103948</v>
      </c>
      <c r="F3068" s="32">
        <v>1581079.0</v>
      </c>
      <c r="G3068" s="32">
        <v>76.0</v>
      </c>
      <c r="H3068" s="32" t="str">
        <f>VLOOKUP(D3068, Grid_Region_Mapping!$D$2:$F$5286, 3, FALSE)</f>
        <v>MISW</v>
      </c>
      <c r="I3068" s="32">
        <v>3.0</v>
      </c>
      <c r="J3068" s="34" t="str">
        <f t="shared" si="1"/>
        <v>Midwest</v>
      </c>
      <c r="K3068" s="35">
        <v>1.0</v>
      </c>
      <c r="L3068" s="35" t="s">
        <v>707</v>
      </c>
      <c r="M3068" s="36">
        <f>VLOOKUP(D3068, County_Data_CZones!$B$2:$F$3236, 2, FALSE)</f>
        <v>6</v>
      </c>
      <c r="N3068" s="37" t="str">
        <f>VLOOKUP(D3068, County_Data_CZones!$B$2:$F$3236, 5, FALSE)</f>
        <v>Cold</v>
      </c>
    </row>
    <row r="3069" ht="15.75" customHeight="1">
      <c r="A3069" s="32" t="s">
        <v>1527</v>
      </c>
      <c r="B3069" s="32" t="s">
        <v>1942</v>
      </c>
      <c r="C3069" s="32" t="str">
        <f>vlookup(B3069,State_EMM_RowSums!$A$2:$B$52,2,FALSE)</f>
        <v>WI</v>
      </c>
      <c r="D3069" s="32">
        <v>55041.0</v>
      </c>
      <c r="E3069" s="33">
        <f>IF(NOT(ISBLANK(vlookup($D3069,Pop_Census_2023!$A$2:$E$3220,4,FALSE))),vlookup($D3069,Pop_Census_2023!$A$2:$E$3220,4,FALSE), vlookup($D3069,Pop_Census_2023!$A$2:$E$3220,5,FALSE))</f>
        <v>9325</v>
      </c>
      <c r="F3069" s="32">
        <v>1581080.0</v>
      </c>
      <c r="G3069" s="32">
        <v>75.0</v>
      </c>
      <c r="H3069" s="32" t="str">
        <f>VLOOKUP(D3069, Grid_Region_Mapping!$D$2:$F$5286, 3, FALSE)</f>
        <v>MISW</v>
      </c>
      <c r="I3069" s="32">
        <v>3.0</v>
      </c>
      <c r="J3069" s="34" t="str">
        <f t="shared" si="1"/>
        <v>Midwest</v>
      </c>
      <c r="K3069" s="35">
        <v>1.0</v>
      </c>
      <c r="L3069" s="35">
        <v>7.0</v>
      </c>
      <c r="M3069" s="36">
        <f>VLOOKUP(D3069, County_Data_CZones!$B$2:$F$3236, 2, FALSE)</f>
        <v>7</v>
      </c>
      <c r="N3069" s="37" t="str">
        <f>VLOOKUP(D3069, County_Data_CZones!$B$2:$F$3236, 5, FALSE)</f>
        <v>Very Cold</v>
      </c>
    </row>
    <row r="3070" ht="15.75" customHeight="1">
      <c r="A3070" s="32" t="s">
        <v>242</v>
      </c>
      <c r="B3070" s="32" t="s">
        <v>1942</v>
      </c>
      <c r="C3070" s="32" t="str">
        <f>vlookup(B3070,State_EMM_RowSums!$A$2:$B$52,2,FALSE)</f>
        <v>WI</v>
      </c>
      <c r="D3070" s="32">
        <v>55043.0</v>
      </c>
      <c r="E3070" s="33">
        <f>IF(NOT(ISBLANK(vlookup($D3070,Pop_Census_2023!$A$2:$E$3220,4,FALSE))),vlookup($D3070,Pop_Census_2023!$A$2:$E$3220,4,FALSE), vlookup($D3070,Pop_Census_2023!$A$2:$E$3220,5,FALSE))</f>
        <v>51409</v>
      </c>
      <c r="F3070" s="32">
        <v>1581081.0</v>
      </c>
      <c r="G3070" s="32">
        <v>77.0</v>
      </c>
      <c r="H3070" s="32" t="str">
        <f>VLOOKUP(D3070, Grid_Region_Mapping!$D$2:$F$5286, 3, FALSE)</f>
        <v>MISW</v>
      </c>
      <c r="I3070" s="32">
        <v>3.0</v>
      </c>
      <c r="J3070" s="34" t="str">
        <f t="shared" si="1"/>
        <v>Midwest</v>
      </c>
      <c r="K3070" s="35">
        <v>1.0</v>
      </c>
      <c r="L3070" s="35" t="s">
        <v>707</v>
      </c>
      <c r="M3070" s="36">
        <f>VLOOKUP(D3070, County_Data_CZones!$B$2:$F$3236, 2, FALSE)</f>
        <v>6</v>
      </c>
      <c r="N3070" s="37" t="str">
        <f>VLOOKUP(D3070, County_Data_CZones!$B$2:$F$3236, 5, FALSE)</f>
        <v>Cold</v>
      </c>
    </row>
    <row r="3071" ht="15.75" customHeight="1">
      <c r="A3071" s="32" t="s">
        <v>842</v>
      </c>
      <c r="B3071" s="32" t="s">
        <v>1942</v>
      </c>
      <c r="C3071" s="32" t="str">
        <f>vlookup(B3071,State_EMM_RowSums!$A$2:$B$52,2,FALSE)</f>
        <v>WI</v>
      </c>
      <c r="D3071" s="32">
        <v>55045.0</v>
      </c>
      <c r="E3071" s="33">
        <f>IF(NOT(ISBLANK(vlookup($D3071,Pop_Census_2023!$A$2:$E$3220,4,FALSE))),vlookup($D3071,Pop_Census_2023!$A$2:$E$3220,4,FALSE), vlookup($D3071,Pop_Census_2023!$A$2:$E$3220,5,FALSE))</f>
        <v>36951</v>
      </c>
      <c r="F3071" s="32">
        <v>1581082.0</v>
      </c>
      <c r="G3071" s="32">
        <v>78.0</v>
      </c>
      <c r="H3071" s="32" t="str">
        <f>VLOOKUP(D3071, Grid_Region_Mapping!$D$2:$F$5286, 3, FALSE)</f>
        <v>MISW</v>
      </c>
      <c r="I3071" s="32">
        <v>3.0</v>
      </c>
      <c r="J3071" s="34" t="str">
        <f t="shared" si="1"/>
        <v>Midwest</v>
      </c>
      <c r="K3071" s="35">
        <v>1.0</v>
      </c>
      <c r="L3071" s="35" t="s">
        <v>707</v>
      </c>
      <c r="M3071" s="36">
        <f>VLOOKUP(D3071, County_Data_CZones!$B$2:$F$3236, 2, FALSE)</f>
        <v>6</v>
      </c>
      <c r="N3071" s="37" t="str">
        <f>VLOOKUP(D3071, County_Data_CZones!$B$2:$F$3236, 5, FALSE)</f>
        <v>Cold</v>
      </c>
    </row>
    <row r="3072" ht="15.75" customHeight="1">
      <c r="A3072" s="32" t="s">
        <v>1951</v>
      </c>
      <c r="B3072" s="32" t="s">
        <v>1942</v>
      </c>
      <c r="C3072" s="32" t="str">
        <f>vlookup(B3072,State_EMM_RowSums!$A$2:$B$52,2,FALSE)</f>
        <v>WI</v>
      </c>
      <c r="D3072" s="32">
        <v>55047.0</v>
      </c>
      <c r="E3072" s="33">
        <f>IF(NOT(ISBLANK(vlookup($D3072,Pop_Census_2023!$A$2:$E$3220,4,FALSE))),vlookup($D3072,Pop_Census_2023!$A$2:$E$3220,4,FALSE), vlookup($D3072,Pop_Census_2023!$A$2:$E$3220,5,FALSE))</f>
        <v>19344</v>
      </c>
      <c r="F3072" s="32">
        <v>1581083.0</v>
      </c>
      <c r="G3072" s="32">
        <v>76.0</v>
      </c>
      <c r="H3072" s="32" t="str">
        <f>VLOOKUP(D3072, Grid_Region_Mapping!$D$2:$F$5286, 3, FALSE)</f>
        <v>MISW</v>
      </c>
      <c r="I3072" s="32">
        <v>3.0</v>
      </c>
      <c r="J3072" s="34" t="str">
        <f t="shared" si="1"/>
        <v>Midwest</v>
      </c>
      <c r="K3072" s="35">
        <v>1.0</v>
      </c>
      <c r="L3072" s="35" t="s">
        <v>707</v>
      </c>
      <c r="M3072" s="36">
        <f>VLOOKUP(D3072, County_Data_CZones!$B$2:$F$3236, 2, FALSE)</f>
        <v>6</v>
      </c>
      <c r="N3072" s="37" t="str">
        <f>VLOOKUP(D3072, County_Data_CZones!$B$2:$F$3236, 5, FALSE)</f>
        <v>Cold</v>
      </c>
    </row>
    <row r="3073" ht="15.75" customHeight="1">
      <c r="A3073" s="32" t="s">
        <v>705</v>
      </c>
      <c r="B3073" s="32" t="s">
        <v>1942</v>
      </c>
      <c r="C3073" s="32" t="str">
        <f>vlookup(B3073,State_EMM_RowSums!$A$2:$B$52,2,FALSE)</f>
        <v>WI</v>
      </c>
      <c r="D3073" s="32">
        <v>55049.0</v>
      </c>
      <c r="E3073" s="33">
        <f>IF(NOT(ISBLANK(vlookup($D3073,Pop_Census_2023!$A$2:$E$3220,4,FALSE))),vlookup($D3073,Pop_Census_2023!$A$2:$E$3220,4,FALSE), vlookup($D3073,Pop_Census_2023!$A$2:$E$3220,5,FALSE))</f>
        <v>23956</v>
      </c>
      <c r="F3073" s="32">
        <v>1581084.0</v>
      </c>
      <c r="G3073" s="32">
        <v>77.0</v>
      </c>
      <c r="H3073" s="32" t="str">
        <f>VLOOKUP(D3073, Grid_Region_Mapping!$D$2:$F$5286, 3, FALSE)</f>
        <v>MISW</v>
      </c>
      <c r="I3073" s="32">
        <v>3.0</v>
      </c>
      <c r="J3073" s="34" t="str">
        <f t="shared" si="1"/>
        <v>Midwest</v>
      </c>
      <c r="K3073" s="35">
        <v>1.0</v>
      </c>
      <c r="L3073" s="35" t="s">
        <v>707</v>
      </c>
      <c r="M3073" s="36">
        <f>VLOOKUP(D3073, County_Data_CZones!$B$2:$F$3236, 2, FALSE)</f>
        <v>6</v>
      </c>
      <c r="N3073" s="37" t="str">
        <f>VLOOKUP(D3073, County_Data_CZones!$B$2:$F$3236, 5, FALSE)</f>
        <v>Cold</v>
      </c>
    </row>
    <row r="3074" ht="15.75" customHeight="1">
      <c r="A3074" s="32" t="s">
        <v>989</v>
      </c>
      <c r="B3074" s="32" t="s">
        <v>1942</v>
      </c>
      <c r="C3074" s="32" t="str">
        <f>vlookup(B3074,State_EMM_RowSums!$A$2:$B$52,2,FALSE)</f>
        <v>WI</v>
      </c>
      <c r="D3074" s="32">
        <v>55051.0</v>
      </c>
      <c r="E3074" s="33">
        <f>IF(NOT(ISBLANK(vlookup($D3074,Pop_Census_2023!$A$2:$E$3220,4,FALSE))),vlookup($D3074,Pop_Census_2023!$A$2:$E$3220,4,FALSE), vlookup($D3074,Pop_Census_2023!$A$2:$E$3220,5,FALSE))</f>
        <v>6228</v>
      </c>
      <c r="F3074" s="32">
        <v>1581085.0</v>
      </c>
      <c r="G3074" s="32">
        <v>46.0</v>
      </c>
      <c r="H3074" s="32" t="str">
        <f>VLOOKUP(D3074, Grid_Region_Mapping!$D$2:$F$5286, 3, FALSE)</f>
        <v>MISW</v>
      </c>
      <c r="I3074" s="32">
        <v>3.0</v>
      </c>
      <c r="J3074" s="34" t="str">
        <f t="shared" si="1"/>
        <v>Midwest</v>
      </c>
      <c r="K3074" s="35">
        <v>1.0</v>
      </c>
      <c r="L3074" s="35">
        <v>7.0</v>
      </c>
      <c r="M3074" s="36">
        <f>VLOOKUP(D3074, County_Data_CZones!$B$2:$F$3236, 2, FALSE)</f>
        <v>7</v>
      </c>
      <c r="N3074" s="37" t="str">
        <f>VLOOKUP(D3074, County_Data_CZones!$B$2:$F$3236, 5, FALSE)</f>
        <v>Very Cold</v>
      </c>
    </row>
    <row r="3075" ht="15.75" customHeight="1">
      <c r="A3075" s="32" t="s">
        <v>138</v>
      </c>
      <c r="B3075" s="32" t="s">
        <v>1942</v>
      </c>
      <c r="C3075" s="32" t="str">
        <f>vlookup(B3075,State_EMM_RowSums!$A$2:$B$52,2,FALSE)</f>
        <v>WI</v>
      </c>
      <c r="D3075" s="32">
        <v>55053.0</v>
      </c>
      <c r="E3075" s="33">
        <f>IF(NOT(ISBLANK(vlookup($D3075,Pop_Census_2023!$A$2:$E$3220,4,FALSE))),vlookup($D3075,Pop_Census_2023!$A$2:$E$3220,4,FALSE), vlookup($D3075,Pop_Census_2023!$A$2:$E$3220,5,FALSE))</f>
        <v>20855</v>
      </c>
      <c r="F3075" s="32">
        <v>1581086.0</v>
      </c>
      <c r="G3075" s="32">
        <v>77.0</v>
      </c>
      <c r="H3075" s="32" t="str">
        <f>VLOOKUP(D3075, Grid_Region_Mapping!$D$2:$F$5286, 3, FALSE)</f>
        <v>MISW</v>
      </c>
      <c r="I3075" s="32">
        <v>3.0</v>
      </c>
      <c r="J3075" s="34" t="str">
        <f t="shared" si="1"/>
        <v>Midwest</v>
      </c>
      <c r="K3075" s="35">
        <v>1.0</v>
      </c>
      <c r="L3075" s="35" t="s">
        <v>707</v>
      </c>
      <c r="M3075" s="36">
        <f>VLOOKUP(D3075, County_Data_CZones!$B$2:$F$3236, 2, FALSE)</f>
        <v>6</v>
      </c>
      <c r="N3075" s="37" t="str">
        <f>VLOOKUP(D3075, County_Data_CZones!$B$2:$F$3236, 5, FALSE)</f>
        <v>Cold</v>
      </c>
    </row>
    <row r="3076" ht="15.75" customHeight="1">
      <c r="A3076" s="32" t="s">
        <v>139</v>
      </c>
      <c r="B3076" s="32" t="s">
        <v>1942</v>
      </c>
      <c r="C3076" s="32" t="str">
        <f>vlookup(B3076,State_EMM_RowSums!$A$2:$B$52,2,FALSE)</f>
        <v>WI</v>
      </c>
      <c r="D3076" s="32">
        <v>55055.0</v>
      </c>
      <c r="E3076" s="33">
        <f>IF(NOT(ISBLANK(vlookup($D3076,Pop_Census_2023!$A$2:$E$3220,4,FALSE))),vlookup($D3076,Pop_Census_2023!$A$2:$E$3220,4,FALSE), vlookup($D3076,Pop_Census_2023!$A$2:$E$3220,5,FALSE))</f>
        <v>85743</v>
      </c>
      <c r="F3076" s="32">
        <v>1581087.0</v>
      </c>
      <c r="G3076" s="32">
        <v>79.0</v>
      </c>
      <c r="H3076" s="32" t="str">
        <f>VLOOKUP(D3076, Grid_Region_Mapping!$D$2:$F$5286, 3, FALSE)</f>
        <v>MISW</v>
      </c>
      <c r="I3076" s="32">
        <v>3.0</v>
      </c>
      <c r="J3076" s="34" t="str">
        <f t="shared" si="1"/>
        <v>Midwest</v>
      </c>
      <c r="K3076" s="35">
        <v>1.0</v>
      </c>
      <c r="L3076" s="35" t="s">
        <v>707</v>
      </c>
      <c r="M3076" s="36">
        <f>VLOOKUP(D3076, County_Data_CZones!$B$2:$F$3236, 2, FALSE)</f>
        <v>6</v>
      </c>
      <c r="N3076" s="37" t="str">
        <f>VLOOKUP(D3076, County_Data_CZones!$B$2:$F$3236, 5, FALSE)</f>
        <v>Cold</v>
      </c>
    </row>
    <row r="3077" ht="15.75" customHeight="1">
      <c r="A3077" s="32" t="s">
        <v>1952</v>
      </c>
      <c r="B3077" s="32" t="s">
        <v>1942</v>
      </c>
      <c r="C3077" s="32" t="str">
        <f>vlookup(B3077,State_EMM_RowSums!$A$2:$B$52,2,FALSE)</f>
        <v>WI</v>
      </c>
      <c r="D3077" s="32">
        <v>55057.0</v>
      </c>
      <c r="E3077" s="33">
        <f>IF(NOT(ISBLANK(vlookup($D3077,Pop_Census_2023!$A$2:$E$3220,4,FALSE))),vlookup($D3077,Pop_Census_2023!$A$2:$E$3220,4,FALSE), vlookup($D3077,Pop_Census_2023!$A$2:$E$3220,5,FALSE))</f>
        <v>26594</v>
      </c>
      <c r="F3077" s="32">
        <v>1581088.0</v>
      </c>
      <c r="G3077" s="32">
        <v>76.0</v>
      </c>
      <c r="H3077" s="32" t="str">
        <f>VLOOKUP(D3077, Grid_Region_Mapping!$D$2:$F$5286, 3, FALSE)</f>
        <v>MISW</v>
      </c>
      <c r="I3077" s="32">
        <v>3.0</v>
      </c>
      <c r="J3077" s="34" t="str">
        <f t="shared" si="1"/>
        <v>Midwest</v>
      </c>
      <c r="K3077" s="35">
        <v>1.0</v>
      </c>
      <c r="L3077" s="35" t="s">
        <v>707</v>
      </c>
      <c r="M3077" s="36">
        <f>VLOOKUP(D3077, County_Data_CZones!$B$2:$F$3236, 2, FALSE)</f>
        <v>6</v>
      </c>
      <c r="N3077" s="37" t="str">
        <f>VLOOKUP(D3077, County_Data_CZones!$B$2:$F$3236, 5, FALSE)</f>
        <v>Cold</v>
      </c>
    </row>
    <row r="3078" ht="15.75" customHeight="1">
      <c r="A3078" s="32" t="s">
        <v>1953</v>
      </c>
      <c r="B3078" s="32" t="s">
        <v>1942</v>
      </c>
      <c r="C3078" s="32" t="str">
        <f>vlookup(B3078,State_EMM_RowSums!$A$2:$B$52,2,FALSE)</f>
        <v>WI</v>
      </c>
      <c r="D3078" s="32">
        <v>55059.0</v>
      </c>
      <c r="E3078" s="33">
        <f>IF(NOT(ISBLANK(vlookup($D3078,Pop_Census_2023!$A$2:$E$3220,4,FALSE))),vlookup($D3078,Pop_Census_2023!$A$2:$E$3220,4,FALSE), vlookup($D3078,Pop_Census_2023!$A$2:$E$3220,5,FALSE))</f>
        <v>167488</v>
      </c>
      <c r="F3078" s="32">
        <v>1581089.0</v>
      </c>
      <c r="G3078" s="32">
        <v>79.0</v>
      </c>
      <c r="H3078" s="32" t="str">
        <f>VLOOKUP(D3078, Grid_Region_Mapping!$D$2:$F$5286, 3, FALSE)</f>
        <v>MISW</v>
      </c>
      <c r="I3078" s="32">
        <v>3.0</v>
      </c>
      <c r="J3078" s="34" t="str">
        <f t="shared" si="1"/>
        <v>Midwest</v>
      </c>
      <c r="K3078" s="35">
        <v>1.0</v>
      </c>
      <c r="L3078" s="35" t="s">
        <v>707</v>
      </c>
      <c r="M3078" s="36">
        <f>VLOOKUP(D3078, County_Data_CZones!$B$2:$F$3236, 2, FALSE)</f>
        <v>6</v>
      </c>
      <c r="N3078" s="37" t="str">
        <f>VLOOKUP(D3078, County_Data_CZones!$B$2:$F$3236, 5, FALSE)</f>
        <v>Cold</v>
      </c>
    </row>
    <row r="3079" ht="15.75" customHeight="1">
      <c r="A3079" s="32" t="s">
        <v>1954</v>
      </c>
      <c r="B3079" s="32" t="s">
        <v>1942</v>
      </c>
      <c r="C3079" s="32" t="str">
        <f>vlookup(B3079,State_EMM_RowSums!$A$2:$B$52,2,FALSE)</f>
        <v>WI</v>
      </c>
      <c r="D3079" s="32">
        <v>55061.0</v>
      </c>
      <c r="E3079" s="33">
        <f>IF(NOT(ISBLANK(vlookup($D3079,Pop_Census_2023!$A$2:$E$3220,4,FALSE))),vlookup($D3079,Pop_Census_2023!$A$2:$E$3220,4,FALSE), vlookup($D3079,Pop_Census_2023!$A$2:$E$3220,5,FALSE))</f>
        <v>20690</v>
      </c>
      <c r="F3079" s="32">
        <v>1581090.0</v>
      </c>
      <c r="G3079" s="32">
        <v>75.0</v>
      </c>
      <c r="H3079" s="32" t="str">
        <f>VLOOKUP(D3079, Grid_Region_Mapping!$D$2:$F$5286, 3, FALSE)</f>
        <v>MISW</v>
      </c>
      <c r="I3079" s="32">
        <v>3.0</v>
      </c>
      <c r="J3079" s="34" t="str">
        <f t="shared" si="1"/>
        <v>Midwest</v>
      </c>
      <c r="K3079" s="35">
        <v>1.0</v>
      </c>
      <c r="L3079" s="35" t="s">
        <v>707</v>
      </c>
      <c r="M3079" s="36">
        <f>VLOOKUP(D3079, County_Data_CZones!$B$2:$F$3236, 2, FALSE)</f>
        <v>6</v>
      </c>
      <c r="N3079" s="37" t="str">
        <f>VLOOKUP(D3079, County_Data_CZones!$B$2:$F$3236, 5, FALSE)</f>
        <v>Cold</v>
      </c>
    </row>
    <row r="3080" ht="15.75" customHeight="1">
      <c r="A3080" s="32" t="s">
        <v>1955</v>
      </c>
      <c r="B3080" s="32" t="s">
        <v>1942</v>
      </c>
      <c r="C3080" s="32" t="str">
        <f>vlookup(B3080,State_EMM_RowSums!$A$2:$B$52,2,FALSE)</f>
        <v>WI</v>
      </c>
      <c r="D3080" s="32">
        <v>55063.0</v>
      </c>
      <c r="E3080" s="33">
        <f>IF(NOT(ISBLANK(vlookup($D3080,Pop_Census_2023!$A$2:$E$3220,4,FALSE))),vlookup($D3080,Pop_Census_2023!$A$2:$E$3220,4,FALSE), vlookup($D3080,Pop_Census_2023!$A$2:$E$3220,5,FALSE))</f>
        <v>120486</v>
      </c>
      <c r="F3080" s="32">
        <v>1581091.0</v>
      </c>
      <c r="G3080" s="32">
        <v>46.0</v>
      </c>
      <c r="H3080" s="32" t="str">
        <f>VLOOKUP(D3080, Grid_Region_Mapping!$D$2:$F$5286, 3, FALSE)</f>
        <v>MISW</v>
      </c>
      <c r="I3080" s="32">
        <v>3.0</v>
      </c>
      <c r="J3080" s="34" t="str">
        <f t="shared" si="1"/>
        <v>Midwest</v>
      </c>
      <c r="K3080" s="35">
        <v>1.0</v>
      </c>
      <c r="L3080" s="35" t="s">
        <v>707</v>
      </c>
      <c r="M3080" s="36">
        <f>VLOOKUP(D3080, County_Data_CZones!$B$2:$F$3236, 2, FALSE)</f>
        <v>6</v>
      </c>
      <c r="N3080" s="37" t="str">
        <f>VLOOKUP(D3080, County_Data_CZones!$B$2:$F$3236, 5, FALSE)</f>
        <v>Cold</v>
      </c>
    </row>
    <row r="3081" ht="15.75" customHeight="1">
      <c r="A3081" s="32" t="s">
        <v>249</v>
      </c>
      <c r="B3081" s="32" t="s">
        <v>1942</v>
      </c>
      <c r="C3081" s="32" t="str">
        <f>vlookup(B3081,State_EMM_RowSums!$A$2:$B$52,2,FALSE)</f>
        <v>WI</v>
      </c>
      <c r="D3081" s="32">
        <v>55065.0</v>
      </c>
      <c r="E3081" s="33">
        <f>IF(NOT(ISBLANK(vlookup($D3081,Pop_Census_2023!$A$2:$E$3220,4,FALSE))),vlookup($D3081,Pop_Census_2023!$A$2:$E$3220,4,FALSE), vlookup($D3081,Pop_Census_2023!$A$2:$E$3220,5,FALSE))</f>
        <v>16945</v>
      </c>
      <c r="F3081" s="32">
        <v>1581092.0</v>
      </c>
      <c r="G3081" s="32">
        <v>77.0</v>
      </c>
      <c r="H3081" s="32" t="str">
        <f>VLOOKUP(D3081, Grid_Region_Mapping!$D$2:$F$5286, 3, FALSE)</f>
        <v>MISW</v>
      </c>
      <c r="I3081" s="32">
        <v>3.0</v>
      </c>
      <c r="J3081" s="34" t="str">
        <f t="shared" si="1"/>
        <v>Midwest</v>
      </c>
      <c r="K3081" s="35">
        <v>1.0</v>
      </c>
      <c r="L3081" s="35" t="s">
        <v>707</v>
      </c>
      <c r="M3081" s="36">
        <f>VLOOKUP(D3081, County_Data_CZones!$B$2:$F$3236, 2, FALSE)</f>
        <v>6</v>
      </c>
      <c r="N3081" s="37" t="str">
        <f>VLOOKUP(D3081, County_Data_CZones!$B$2:$F$3236, 5, FALSE)</f>
        <v>Cold</v>
      </c>
    </row>
    <row r="3082" ht="15.75" customHeight="1">
      <c r="A3082" s="32" t="s">
        <v>1956</v>
      </c>
      <c r="B3082" s="32" t="s">
        <v>1942</v>
      </c>
      <c r="C3082" s="32" t="str">
        <f>vlookup(B3082,State_EMM_RowSums!$A$2:$B$52,2,FALSE)</f>
        <v>WI</v>
      </c>
      <c r="D3082" s="32">
        <v>55067.0</v>
      </c>
      <c r="E3082" s="33">
        <f>IF(NOT(ISBLANK(vlookup($D3082,Pop_Census_2023!$A$2:$E$3220,4,FALSE))),vlookup($D3082,Pop_Census_2023!$A$2:$E$3220,4,FALSE), vlookup($D3082,Pop_Census_2023!$A$2:$E$3220,5,FALSE))</f>
        <v>19404</v>
      </c>
      <c r="F3082" s="32">
        <v>1581093.0</v>
      </c>
      <c r="G3082" s="32">
        <v>75.0</v>
      </c>
      <c r="H3082" s="32" t="str">
        <f>VLOOKUP(D3082, Grid_Region_Mapping!$D$2:$F$5286, 3, FALSE)</f>
        <v>MISW</v>
      </c>
      <c r="I3082" s="32">
        <v>3.0</v>
      </c>
      <c r="J3082" s="34" t="str">
        <f t="shared" si="1"/>
        <v>Midwest</v>
      </c>
      <c r="K3082" s="35">
        <v>1.0</v>
      </c>
      <c r="L3082" s="35">
        <v>7.0</v>
      </c>
      <c r="M3082" s="36">
        <f>VLOOKUP(D3082, County_Data_CZones!$B$2:$F$3236, 2, FALSE)</f>
        <v>7</v>
      </c>
      <c r="N3082" s="37" t="str">
        <f>VLOOKUP(D3082, County_Data_CZones!$B$2:$F$3236, 5, FALSE)</f>
        <v>Very Cold</v>
      </c>
    </row>
    <row r="3083" ht="15.75" customHeight="1">
      <c r="A3083" s="32" t="s">
        <v>250</v>
      </c>
      <c r="B3083" s="32" t="s">
        <v>1942</v>
      </c>
      <c r="C3083" s="32" t="str">
        <f>vlookup(B3083,State_EMM_RowSums!$A$2:$B$52,2,FALSE)</f>
        <v>WI</v>
      </c>
      <c r="D3083" s="32">
        <v>55069.0</v>
      </c>
      <c r="E3083" s="33">
        <f>IF(NOT(ISBLANK(vlookup($D3083,Pop_Census_2023!$A$2:$E$3220,4,FALSE))),vlookup($D3083,Pop_Census_2023!$A$2:$E$3220,4,FALSE), vlookup($D3083,Pop_Census_2023!$A$2:$E$3220,5,FALSE))</f>
        <v>28405</v>
      </c>
      <c r="F3083" s="32">
        <v>1581094.0</v>
      </c>
      <c r="G3083" s="32">
        <v>75.0</v>
      </c>
      <c r="H3083" s="32" t="str">
        <f>VLOOKUP(D3083, Grid_Region_Mapping!$D$2:$F$5286, 3, FALSE)</f>
        <v>MISW</v>
      </c>
      <c r="I3083" s="32">
        <v>3.0</v>
      </c>
      <c r="J3083" s="34" t="str">
        <f t="shared" si="1"/>
        <v>Midwest</v>
      </c>
      <c r="K3083" s="35">
        <v>1.0</v>
      </c>
      <c r="L3083" s="35">
        <v>7.0</v>
      </c>
      <c r="M3083" s="36">
        <f>VLOOKUP(D3083, County_Data_CZones!$B$2:$F$3236, 2, FALSE)</f>
        <v>7</v>
      </c>
      <c r="N3083" s="37" t="str">
        <f>VLOOKUP(D3083, County_Data_CZones!$B$2:$F$3236, 5, FALSE)</f>
        <v>Very Cold</v>
      </c>
    </row>
    <row r="3084" ht="15.75" customHeight="1">
      <c r="A3084" s="32" t="s">
        <v>1957</v>
      </c>
      <c r="B3084" s="32" t="s">
        <v>1942</v>
      </c>
      <c r="C3084" s="32" t="str">
        <f>vlookup(B3084,State_EMM_RowSums!$A$2:$B$52,2,FALSE)</f>
        <v>WI</v>
      </c>
      <c r="D3084" s="32">
        <v>55071.0</v>
      </c>
      <c r="E3084" s="33">
        <f>IF(NOT(ISBLANK(vlookup($D3084,Pop_Census_2023!$A$2:$E$3220,4,FALSE))),vlookup($D3084,Pop_Census_2023!$A$2:$E$3220,4,FALSE), vlookup($D3084,Pop_Census_2023!$A$2:$E$3220,5,FALSE))</f>
        <v>81331</v>
      </c>
      <c r="F3084" s="32">
        <v>1581095.0</v>
      </c>
      <c r="G3084" s="32">
        <v>75.0</v>
      </c>
      <c r="H3084" s="32" t="str">
        <f>VLOOKUP(D3084, Grid_Region_Mapping!$D$2:$F$5286, 3, FALSE)</f>
        <v>MISW</v>
      </c>
      <c r="I3084" s="32">
        <v>3.0</v>
      </c>
      <c r="J3084" s="34" t="str">
        <f t="shared" si="1"/>
        <v>Midwest</v>
      </c>
      <c r="K3084" s="35">
        <v>1.0</v>
      </c>
      <c r="L3084" s="35" t="s">
        <v>707</v>
      </c>
      <c r="M3084" s="36">
        <f>VLOOKUP(D3084, County_Data_CZones!$B$2:$F$3236, 2, FALSE)</f>
        <v>6</v>
      </c>
      <c r="N3084" s="37" t="str">
        <f>VLOOKUP(D3084, County_Data_CZones!$B$2:$F$3236, 5, FALSE)</f>
        <v>Cold</v>
      </c>
    </row>
    <row r="3085" ht="15.75" customHeight="1">
      <c r="A3085" s="32" t="s">
        <v>1958</v>
      </c>
      <c r="B3085" s="32" t="s">
        <v>1942</v>
      </c>
      <c r="C3085" s="32" t="str">
        <f>vlookup(B3085,State_EMM_RowSums!$A$2:$B$52,2,FALSE)</f>
        <v>WI</v>
      </c>
      <c r="D3085" s="32">
        <v>55073.0</v>
      </c>
      <c r="E3085" s="33">
        <f>IF(NOT(ISBLANK(vlookup($D3085,Pop_Census_2023!$A$2:$E$3220,4,FALSE))),vlookup($D3085,Pop_Census_2023!$A$2:$E$3220,4,FALSE), vlookup($D3085,Pop_Census_2023!$A$2:$E$3220,5,FALSE))</f>
        <v>138612</v>
      </c>
      <c r="F3085" s="32">
        <v>1581096.0</v>
      </c>
      <c r="G3085" s="32">
        <v>75.0</v>
      </c>
      <c r="H3085" s="32" t="str">
        <f>VLOOKUP(D3085, Grid_Region_Mapping!$D$2:$F$5286, 3, FALSE)</f>
        <v>MISW</v>
      </c>
      <c r="I3085" s="32">
        <v>3.0</v>
      </c>
      <c r="J3085" s="34" t="str">
        <f t="shared" si="1"/>
        <v>Midwest</v>
      </c>
      <c r="K3085" s="35">
        <v>1.0</v>
      </c>
      <c r="L3085" s="35" t="s">
        <v>707</v>
      </c>
      <c r="M3085" s="36">
        <f>VLOOKUP(D3085, County_Data_CZones!$B$2:$F$3236, 2, FALSE)</f>
        <v>6</v>
      </c>
      <c r="N3085" s="37" t="str">
        <f>VLOOKUP(D3085, County_Data_CZones!$B$2:$F$3236, 5, FALSE)</f>
        <v>Cold</v>
      </c>
    </row>
    <row r="3086" ht="15.75" customHeight="1">
      <c r="A3086" s="32" t="s">
        <v>1959</v>
      </c>
      <c r="B3086" s="32" t="s">
        <v>1942</v>
      </c>
      <c r="C3086" s="32" t="str">
        <f>vlookup(B3086,State_EMM_RowSums!$A$2:$B$52,2,FALSE)</f>
        <v>WI</v>
      </c>
      <c r="D3086" s="32">
        <v>55075.0</v>
      </c>
      <c r="E3086" s="33">
        <f>IF(NOT(ISBLANK(vlookup($D3086,Pop_Census_2023!$A$2:$E$3220,4,FALSE))),vlookup($D3086,Pop_Census_2023!$A$2:$E$3220,4,FALSE), vlookup($D3086,Pop_Census_2023!$A$2:$E$3220,5,FALSE))</f>
        <v>42106</v>
      </c>
      <c r="F3086" s="32">
        <v>1581097.0</v>
      </c>
      <c r="G3086" s="32">
        <v>75.0</v>
      </c>
      <c r="H3086" s="32" t="str">
        <f>VLOOKUP(D3086, Grid_Region_Mapping!$D$2:$F$5286, 3, FALSE)</f>
        <v>MISW</v>
      </c>
      <c r="I3086" s="32">
        <v>3.0</v>
      </c>
      <c r="J3086" s="34" t="str">
        <f t="shared" si="1"/>
        <v>Midwest</v>
      </c>
      <c r="K3086" s="35">
        <v>1.0</v>
      </c>
      <c r="L3086" s="35" t="s">
        <v>707</v>
      </c>
      <c r="M3086" s="36">
        <f>VLOOKUP(D3086, County_Data_CZones!$B$2:$F$3236, 2, FALSE)</f>
        <v>6</v>
      </c>
      <c r="N3086" s="37" t="str">
        <f>VLOOKUP(D3086, County_Data_CZones!$B$2:$F$3236, 5, FALSE)</f>
        <v>Cold</v>
      </c>
    </row>
    <row r="3087" ht="15.75" customHeight="1">
      <c r="A3087" s="32" t="s">
        <v>1001</v>
      </c>
      <c r="B3087" s="32" t="s">
        <v>1942</v>
      </c>
      <c r="C3087" s="32" t="str">
        <f>vlookup(B3087,State_EMM_RowSums!$A$2:$B$52,2,FALSE)</f>
        <v>WI</v>
      </c>
      <c r="D3087" s="32">
        <v>55077.0</v>
      </c>
      <c r="E3087" s="33">
        <f>IF(NOT(ISBLANK(vlookup($D3087,Pop_Census_2023!$A$2:$E$3220,4,FALSE))),vlookup($D3087,Pop_Census_2023!$A$2:$E$3220,4,FALSE), vlookup($D3087,Pop_Census_2023!$A$2:$E$3220,5,FALSE))</f>
        <v>15838</v>
      </c>
      <c r="F3087" s="32">
        <v>1581098.0</v>
      </c>
      <c r="G3087" s="32">
        <v>76.0</v>
      </c>
      <c r="H3087" s="32" t="str">
        <f>VLOOKUP(D3087, Grid_Region_Mapping!$D$2:$F$5286, 3, FALSE)</f>
        <v>MISW</v>
      </c>
      <c r="I3087" s="32">
        <v>3.0</v>
      </c>
      <c r="J3087" s="34" t="str">
        <f t="shared" si="1"/>
        <v>Midwest</v>
      </c>
      <c r="K3087" s="35">
        <v>1.0</v>
      </c>
      <c r="L3087" s="35" t="s">
        <v>707</v>
      </c>
      <c r="M3087" s="36">
        <f>VLOOKUP(D3087, County_Data_CZones!$B$2:$F$3236, 2, FALSE)</f>
        <v>6</v>
      </c>
      <c r="N3087" s="37" t="str">
        <f>VLOOKUP(D3087, County_Data_CZones!$B$2:$F$3236, 5, FALSE)</f>
        <v>Cold</v>
      </c>
    </row>
    <row r="3088" ht="15.75" customHeight="1">
      <c r="A3088" s="32" t="s">
        <v>1003</v>
      </c>
      <c r="B3088" s="32" t="s">
        <v>1942</v>
      </c>
      <c r="C3088" s="32" t="str">
        <f>vlookup(B3088,State_EMM_RowSums!$A$2:$B$52,2,FALSE)</f>
        <v>WI</v>
      </c>
      <c r="D3088" s="32">
        <v>55078.0</v>
      </c>
      <c r="E3088" s="33">
        <f>IF(NOT(ISBLANK(vlookup($D3088,Pop_Census_2023!$A$2:$E$3220,4,FALSE))),vlookup($D3088,Pop_Census_2023!$A$2:$E$3220,4,FALSE), vlookup($D3088,Pop_Census_2023!$A$2:$E$3220,5,FALSE))</f>
        <v>4226</v>
      </c>
      <c r="F3088" s="32">
        <v>1581099.0</v>
      </c>
      <c r="G3088" s="32">
        <v>76.0</v>
      </c>
      <c r="H3088" s="32" t="str">
        <f>VLOOKUP(D3088, Grid_Region_Mapping!$D$2:$F$5286, 3, FALSE)</f>
        <v>MISW</v>
      </c>
      <c r="I3088" s="32">
        <v>3.0</v>
      </c>
      <c r="J3088" s="34" t="str">
        <f t="shared" si="1"/>
        <v>Midwest</v>
      </c>
      <c r="K3088" s="35">
        <v>1.0</v>
      </c>
      <c r="L3088" s="35" t="s">
        <v>707</v>
      </c>
      <c r="M3088" s="36">
        <f>VLOOKUP(D3088, County_Data_CZones!$B$2:$F$3236, 2, FALSE)</f>
        <v>6</v>
      </c>
      <c r="N3088" s="37" t="str">
        <f>VLOOKUP(D3088, County_Data_CZones!$B$2:$F$3236, 5, FALSE)</f>
        <v>Cold</v>
      </c>
    </row>
    <row r="3089" ht="15.75" customHeight="1">
      <c r="A3089" s="32" t="s">
        <v>1960</v>
      </c>
      <c r="B3089" s="32" t="s">
        <v>1942</v>
      </c>
      <c r="C3089" s="32" t="str">
        <f>vlookup(B3089,State_EMM_RowSums!$A$2:$B$52,2,FALSE)</f>
        <v>WI</v>
      </c>
      <c r="D3089" s="32">
        <v>55079.0</v>
      </c>
      <c r="E3089" s="33">
        <f>IF(NOT(ISBLANK(vlookup($D3089,Pop_Census_2023!$A$2:$E$3220,4,FALSE))),vlookup($D3089,Pop_Census_2023!$A$2:$E$3220,4,FALSE), vlookup($D3089,Pop_Census_2023!$A$2:$E$3220,5,FALSE))</f>
        <v>916205</v>
      </c>
      <c r="F3089" s="32">
        <v>1581100.0</v>
      </c>
      <c r="G3089" s="32">
        <v>79.0</v>
      </c>
      <c r="H3089" s="32" t="str">
        <f>VLOOKUP(D3089, Grid_Region_Mapping!$D$2:$F$5286, 3, FALSE)</f>
        <v>MISW</v>
      </c>
      <c r="I3089" s="32">
        <v>3.0</v>
      </c>
      <c r="J3089" s="34" t="str">
        <f t="shared" si="1"/>
        <v>Midwest</v>
      </c>
      <c r="K3089" s="35">
        <v>1.0</v>
      </c>
      <c r="L3089" s="35" t="s">
        <v>707</v>
      </c>
      <c r="M3089" s="36">
        <f>VLOOKUP(D3089, County_Data_CZones!$B$2:$F$3236, 2, FALSE)</f>
        <v>6</v>
      </c>
      <c r="N3089" s="37" t="str">
        <f>VLOOKUP(D3089, County_Data_CZones!$B$2:$F$3236, 5, FALSE)</f>
        <v>Cold</v>
      </c>
    </row>
    <row r="3090" ht="15.75" customHeight="1">
      <c r="A3090" s="32" t="s">
        <v>152</v>
      </c>
      <c r="B3090" s="32" t="s">
        <v>1942</v>
      </c>
      <c r="C3090" s="32" t="str">
        <f>vlookup(B3090,State_EMM_RowSums!$A$2:$B$52,2,FALSE)</f>
        <v>WI</v>
      </c>
      <c r="D3090" s="32">
        <v>55081.0</v>
      </c>
      <c r="E3090" s="33">
        <f>IF(NOT(ISBLANK(vlookup($D3090,Pop_Census_2023!$A$2:$E$3220,4,FALSE))),vlookup($D3090,Pop_Census_2023!$A$2:$E$3220,4,FALSE), vlookup($D3090,Pop_Census_2023!$A$2:$E$3220,5,FALSE))</f>
        <v>46151</v>
      </c>
      <c r="F3090" s="32">
        <v>1581101.0</v>
      </c>
      <c r="G3090" s="32">
        <v>77.0</v>
      </c>
      <c r="H3090" s="32" t="str">
        <f>VLOOKUP(D3090, Grid_Region_Mapping!$D$2:$F$5286, 3, FALSE)</f>
        <v>MISW</v>
      </c>
      <c r="I3090" s="32">
        <v>3.0</v>
      </c>
      <c r="J3090" s="34" t="str">
        <f t="shared" si="1"/>
        <v>Midwest</v>
      </c>
      <c r="K3090" s="35">
        <v>1.0</v>
      </c>
      <c r="L3090" s="35" t="s">
        <v>707</v>
      </c>
      <c r="M3090" s="36">
        <f>VLOOKUP(D3090, County_Data_CZones!$B$2:$F$3236, 2, FALSE)</f>
        <v>6</v>
      </c>
      <c r="N3090" s="37" t="str">
        <f>VLOOKUP(D3090, County_Data_CZones!$B$2:$F$3236, 5, FALSE)</f>
        <v>Cold</v>
      </c>
    </row>
    <row r="3091" ht="15.75" customHeight="1">
      <c r="A3091" s="32" t="s">
        <v>1961</v>
      </c>
      <c r="B3091" s="32" t="s">
        <v>1942</v>
      </c>
      <c r="C3091" s="32" t="str">
        <f>vlookup(B3091,State_EMM_RowSums!$A$2:$B$52,2,FALSE)</f>
        <v>WI</v>
      </c>
      <c r="D3091" s="32">
        <v>55083.0</v>
      </c>
      <c r="E3091" s="33">
        <f>IF(NOT(ISBLANK(vlookup($D3091,Pop_Census_2023!$A$2:$E$3220,4,FALSE))),vlookup($D3091,Pop_Census_2023!$A$2:$E$3220,4,FALSE), vlookup($D3091,Pop_Census_2023!$A$2:$E$3220,5,FALSE))</f>
        <v>39775</v>
      </c>
      <c r="F3091" s="32">
        <v>1581102.0</v>
      </c>
      <c r="G3091" s="32">
        <v>75.0</v>
      </c>
      <c r="H3091" s="32" t="str">
        <f>VLOOKUP(D3091, Grid_Region_Mapping!$D$2:$F$5286, 3, FALSE)</f>
        <v>MISW</v>
      </c>
      <c r="I3091" s="32">
        <v>3.0</v>
      </c>
      <c r="J3091" s="34" t="str">
        <f t="shared" si="1"/>
        <v>Midwest</v>
      </c>
      <c r="K3091" s="35">
        <v>1.0</v>
      </c>
      <c r="L3091" s="35" t="s">
        <v>707</v>
      </c>
      <c r="M3091" s="36">
        <f>VLOOKUP(D3091, County_Data_CZones!$B$2:$F$3236, 2, FALSE)</f>
        <v>6</v>
      </c>
      <c r="N3091" s="37" t="str">
        <f>VLOOKUP(D3091, County_Data_CZones!$B$2:$F$3236, 5, FALSE)</f>
        <v>Cold</v>
      </c>
    </row>
    <row r="3092" ht="15.75" customHeight="1">
      <c r="A3092" s="32" t="s">
        <v>600</v>
      </c>
      <c r="B3092" s="32" t="s">
        <v>1942</v>
      </c>
      <c r="C3092" s="32" t="str">
        <f>vlookup(B3092,State_EMM_RowSums!$A$2:$B$52,2,FALSE)</f>
        <v>WI</v>
      </c>
      <c r="D3092" s="32">
        <v>55085.0</v>
      </c>
      <c r="E3092" s="33">
        <f>IF(NOT(ISBLANK(vlookup($D3092,Pop_Census_2023!$A$2:$E$3220,4,FALSE))),vlookup($D3092,Pop_Census_2023!$A$2:$E$3220,4,FALSE), vlookup($D3092,Pop_Census_2023!$A$2:$E$3220,5,FALSE))</f>
        <v>38226</v>
      </c>
      <c r="F3092" s="32">
        <v>1581103.0</v>
      </c>
      <c r="G3092" s="32">
        <v>75.0</v>
      </c>
      <c r="H3092" s="32" t="str">
        <f>VLOOKUP(D3092, Grid_Region_Mapping!$D$2:$F$5286, 3, FALSE)</f>
        <v>MISW</v>
      </c>
      <c r="I3092" s="32">
        <v>3.0</v>
      </c>
      <c r="J3092" s="34" t="str">
        <f t="shared" si="1"/>
        <v>Midwest</v>
      </c>
      <c r="K3092" s="35">
        <v>1.0</v>
      </c>
      <c r="L3092" s="35">
        <v>7.0</v>
      </c>
      <c r="M3092" s="36">
        <f>VLOOKUP(D3092, County_Data_CZones!$B$2:$F$3236, 2, FALSE)</f>
        <v>7</v>
      </c>
      <c r="N3092" s="37" t="str">
        <f>VLOOKUP(D3092, County_Data_CZones!$B$2:$F$3236, 5, FALSE)</f>
        <v>Very Cold</v>
      </c>
    </row>
    <row r="3093" ht="15.75" customHeight="1">
      <c r="A3093" s="32" t="s">
        <v>1962</v>
      </c>
      <c r="B3093" s="32" t="s">
        <v>1942</v>
      </c>
      <c r="C3093" s="32" t="str">
        <f>vlookup(B3093,State_EMM_RowSums!$A$2:$B$52,2,FALSE)</f>
        <v>WI</v>
      </c>
      <c r="D3093" s="32">
        <v>55087.0</v>
      </c>
      <c r="E3093" s="33">
        <f>IF(NOT(ISBLANK(vlookup($D3093,Pop_Census_2023!$A$2:$E$3220,4,FALSE))),vlookup($D3093,Pop_Census_2023!$A$2:$E$3220,4,FALSE), vlookup($D3093,Pop_Census_2023!$A$2:$E$3220,5,FALSE))</f>
        <v>193234</v>
      </c>
      <c r="F3093" s="32">
        <v>1581104.0</v>
      </c>
      <c r="G3093" s="32">
        <v>76.0</v>
      </c>
      <c r="H3093" s="32" t="str">
        <f>VLOOKUP(D3093, Grid_Region_Mapping!$D$2:$F$5286, 3, FALSE)</f>
        <v>MISW</v>
      </c>
      <c r="I3093" s="32">
        <v>3.0</v>
      </c>
      <c r="J3093" s="34" t="str">
        <f t="shared" si="1"/>
        <v>Midwest</v>
      </c>
      <c r="K3093" s="35">
        <v>1.0</v>
      </c>
      <c r="L3093" s="35" t="s">
        <v>707</v>
      </c>
      <c r="M3093" s="36">
        <f>VLOOKUP(D3093, County_Data_CZones!$B$2:$F$3236, 2, FALSE)</f>
        <v>6</v>
      </c>
      <c r="N3093" s="37" t="str">
        <f>VLOOKUP(D3093, County_Data_CZones!$B$2:$F$3236, 5, FALSE)</f>
        <v>Cold</v>
      </c>
    </row>
    <row r="3094" ht="15.75" customHeight="1">
      <c r="A3094" s="32" t="s">
        <v>1963</v>
      </c>
      <c r="B3094" s="32" t="s">
        <v>1942</v>
      </c>
      <c r="C3094" s="32" t="str">
        <f>vlookup(B3094,State_EMM_RowSums!$A$2:$B$52,2,FALSE)</f>
        <v>WI</v>
      </c>
      <c r="D3094" s="32">
        <v>55089.0</v>
      </c>
      <c r="E3094" s="33">
        <f>IF(NOT(ISBLANK(vlookup($D3094,Pop_Census_2023!$A$2:$E$3220,4,FALSE))),vlookup($D3094,Pop_Census_2023!$A$2:$E$3220,4,FALSE), vlookup($D3094,Pop_Census_2023!$A$2:$E$3220,5,FALSE))</f>
        <v>93460</v>
      </c>
      <c r="F3094" s="32">
        <v>1581105.0</v>
      </c>
      <c r="G3094" s="32">
        <v>79.0</v>
      </c>
      <c r="H3094" s="32" t="str">
        <f>VLOOKUP(D3094, Grid_Region_Mapping!$D$2:$F$5286, 3, FALSE)</f>
        <v>MISW</v>
      </c>
      <c r="I3094" s="32">
        <v>3.0</v>
      </c>
      <c r="J3094" s="34" t="str">
        <f t="shared" si="1"/>
        <v>Midwest</v>
      </c>
      <c r="K3094" s="35">
        <v>1.0</v>
      </c>
      <c r="L3094" s="35" t="s">
        <v>707</v>
      </c>
      <c r="M3094" s="36">
        <f>VLOOKUP(D3094, County_Data_CZones!$B$2:$F$3236, 2, FALSE)</f>
        <v>6</v>
      </c>
      <c r="N3094" s="37" t="str">
        <f>VLOOKUP(D3094, County_Data_CZones!$B$2:$F$3236, 5, FALSE)</f>
        <v>Cold</v>
      </c>
    </row>
    <row r="3095" ht="15.75" customHeight="1">
      <c r="A3095" s="32" t="s">
        <v>1964</v>
      </c>
      <c r="B3095" s="32" t="s">
        <v>1942</v>
      </c>
      <c r="C3095" s="32" t="str">
        <f>vlookup(B3095,State_EMM_RowSums!$A$2:$B$52,2,FALSE)</f>
        <v>WI</v>
      </c>
      <c r="D3095" s="32">
        <v>55091.0</v>
      </c>
      <c r="E3095" s="33">
        <f>IF(NOT(ISBLANK(vlookup($D3095,Pop_Census_2023!$A$2:$E$3220,4,FALSE))),vlookup($D3095,Pop_Census_2023!$A$2:$E$3220,4,FALSE), vlookup($D3095,Pop_Census_2023!$A$2:$E$3220,5,FALSE))</f>
        <v>7441</v>
      </c>
      <c r="F3095" s="32">
        <v>1581106.0</v>
      </c>
      <c r="G3095" s="32">
        <v>46.0</v>
      </c>
      <c r="H3095" s="32" t="str">
        <f>VLOOKUP(D3095, Grid_Region_Mapping!$D$2:$F$5286, 3, FALSE)</f>
        <v>MISW</v>
      </c>
      <c r="I3095" s="32">
        <v>3.0</v>
      </c>
      <c r="J3095" s="34" t="str">
        <f t="shared" si="1"/>
        <v>Midwest</v>
      </c>
      <c r="K3095" s="35">
        <v>1.0</v>
      </c>
      <c r="L3095" s="35" t="s">
        <v>707</v>
      </c>
      <c r="M3095" s="36">
        <f>VLOOKUP(D3095, County_Data_CZones!$B$2:$F$3236, 2, FALSE)</f>
        <v>6</v>
      </c>
      <c r="N3095" s="37" t="str">
        <f>VLOOKUP(D3095, County_Data_CZones!$B$2:$F$3236, 5, FALSE)</f>
        <v>Cold</v>
      </c>
    </row>
    <row r="3096" ht="15.75" customHeight="1">
      <c r="A3096" s="32" t="s">
        <v>536</v>
      </c>
      <c r="B3096" s="32" t="s">
        <v>1942</v>
      </c>
      <c r="C3096" s="32" t="str">
        <f>vlookup(B3096,State_EMM_RowSums!$A$2:$B$52,2,FALSE)</f>
        <v>WI</v>
      </c>
      <c r="D3096" s="32">
        <v>55093.0</v>
      </c>
      <c r="E3096" s="33">
        <f>IF(NOT(ISBLANK(vlookup($D3096,Pop_Census_2023!$A$2:$E$3220,4,FALSE))),vlookup($D3096,Pop_Census_2023!$A$2:$E$3220,4,FALSE), vlookup($D3096,Pop_Census_2023!$A$2:$E$3220,5,FALSE))</f>
        <v>43026</v>
      </c>
      <c r="F3096" s="32">
        <v>1581107.0</v>
      </c>
      <c r="G3096" s="32">
        <v>46.0</v>
      </c>
      <c r="H3096" s="32" t="str">
        <f>VLOOKUP(D3096, Grid_Region_Mapping!$D$2:$F$5286, 3, FALSE)</f>
        <v>MISW</v>
      </c>
      <c r="I3096" s="32">
        <v>3.0</v>
      </c>
      <c r="J3096" s="34" t="str">
        <f t="shared" si="1"/>
        <v>Midwest</v>
      </c>
      <c r="K3096" s="35">
        <v>1.0</v>
      </c>
      <c r="L3096" s="35" t="s">
        <v>707</v>
      </c>
      <c r="M3096" s="36">
        <f>VLOOKUP(D3096, County_Data_CZones!$B$2:$F$3236, 2, FALSE)</f>
        <v>6</v>
      </c>
      <c r="N3096" s="37" t="str">
        <f>VLOOKUP(D3096, County_Data_CZones!$B$2:$F$3236, 5, FALSE)</f>
        <v>Cold</v>
      </c>
    </row>
    <row r="3097" ht="15.75" customHeight="1">
      <c r="A3097" s="32" t="s">
        <v>261</v>
      </c>
      <c r="B3097" s="32" t="s">
        <v>1942</v>
      </c>
      <c r="C3097" s="32" t="str">
        <f>vlookup(B3097,State_EMM_RowSums!$A$2:$B$52,2,FALSE)</f>
        <v>WI</v>
      </c>
      <c r="D3097" s="32">
        <v>55095.0</v>
      </c>
      <c r="E3097" s="33">
        <f>IF(NOT(ISBLANK(vlookup($D3097,Pop_Census_2023!$A$2:$E$3220,4,FALSE))),vlookup($D3097,Pop_Census_2023!$A$2:$E$3220,4,FALSE), vlookup($D3097,Pop_Census_2023!$A$2:$E$3220,5,FALSE))</f>
        <v>45762</v>
      </c>
      <c r="F3097" s="32">
        <v>1581108.0</v>
      </c>
      <c r="G3097" s="32">
        <v>46.0</v>
      </c>
      <c r="H3097" s="32" t="str">
        <f>VLOOKUP(D3097, Grid_Region_Mapping!$D$2:$F$5286, 3, FALSE)</f>
        <v>MISW</v>
      </c>
      <c r="I3097" s="32">
        <v>3.0</v>
      </c>
      <c r="J3097" s="34" t="str">
        <f t="shared" si="1"/>
        <v>Midwest</v>
      </c>
      <c r="K3097" s="35">
        <v>1.0</v>
      </c>
      <c r="L3097" s="35" t="s">
        <v>707</v>
      </c>
      <c r="M3097" s="36">
        <f>VLOOKUP(D3097, County_Data_CZones!$B$2:$F$3236, 2, FALSE)</f>
        <v>6</v>
      </c>
      <c r="N3097" s="37" t="str">
        <f>VLOOKUP(D3097, County_Data_CZones!$B$2:$F$3236, 5, FALSE)</f>
        <v>Cold</v>
      </c>
    </row>
    <row r="3098" ht="15.75" customHeight="1">
      <c r="A3098" s="32" t="s">
        <v>1446</v>
      </c>
      <c r="B3098" s="32" t="s">
        <v>1942</v>
      </c>
      <c r="C3098" s="32" t="str">
        <f>vlookup(B3098,State_EMM_RowSums!$A$2:$B$52,2,FALSE)</f>
        <v>WI</v>
      </c>
      <c r="D3098" s="32">
        <v>55097.0</v>
      </c>
      <c r="E3098" s="33">
        <f>IF(NOT(ISBLANK(vlookup($D3098,Pop_Census_2023!$A$2:$E$3220,4,FALSE))),vlookup($D3098,Pop_Census_2023!$A$2:$E$3220,4,FALSE), vlookup($D3098,Pop_Census_2023!$A$2:$E$3220,5,FALSE))</f>
        <v>71024</v>
      </c>
      <c r="F3098" s="32">
        <v>1581109.0</v>
      </c>
      <c r="G3098" s="32">
        <v>75.0</v>
      </c>
      <c r="H3098" s="32" t="str">
        <f>VLOOKUP(D3098, Grid_Region_Mapping!$D$2:$F$5286, 3, FALSE)</f>
        <v>MISW</v>
      </c>
      <c r="I3098" s="32">
        <v>3.0</v>
      </c>
      <c r="J3098" s="34" t="str">
        <f t="shared" si="1"/>
        <v>Midwest</v>
      </c>
      <c r="K3098" s="35">
        <v>1.0</v>
      </c>
      <c r="L3098" s="35" t="s">
        <v>707</v>
      </c>
      <c r="M3098" s="36">
        <f>VLOOKUP(D3098, County_Data_CZones!$B$2:$F$3236, 2, FALSE)</f>
        <v>6</v>
      </c>
      <c r="N3098" s="37" t="str">
        <f>VLOOKUP(D3098, County_Data_CZones!$B$2:$F$3236, 5, FALSE)</f>
        <v>Cold</v>
      </c>
    </row>
    <row r="3099" ht="15.75" customHeight="1">
      <c r="A3099" s="32" t="s">
        <v>1965</v>
      </c>
      <c r="B3099" s="32" t="s">
        <v>1942</v>
      </c>
      <c r="C3099" s="32" t="str">
        <f>vlookup(B3099,State_EMM_RowSums!$A$2:$B$52,2,FALSE)</f>
        <v>WI</v>
      </c>
      <c r="D3099" s="32">
        <v>55099.0</v>
      </c>
      <c r="E3099" s="33">
        <f>IF(NOT(ISBLANK(vlookup($D3099,Pop_Census_2023!$A$2:$E$3220,4,FALSE))),vlookup($D3099,Pop_Census_2023!$A$2:$E$3220,4,FALSE), vlookup($D3099,Pop_Census_2023!$A$2:$E$3220,5,FALSE))</f>
        <v>14102</v>
      </c>
      <c r="F3099" s="32">
        <v>1581110.0</v>
      </c>
      <c r="G3099" s="32">
        <v>46.0</v>
      </c>
      <c r="H3099" s="32" t="str">
        <f>VLOOKUP(D3099, Grid_Region_Mapping!$D$2:$F$5286, 3, FALSE)</f>
        <v>MISW</v>
      </c>
      <c r="I3099" s="32">
        <v>3.0</v>
      </c>
      <c r="J3099" s="34" t="str">
        <f t="shared" si="1"/>
        <v>Midwest</v>
      </c>
      <c r="K3099" s="35">
        <v>1.0</v>
      </c>
      <c r="L3099" s="35">
        <v>7.0</v>
      </c>
      <c r="M3099" s="36">
        <f>VLOOKUP(D3099, County_Data_CZones!$B$2:$F$3236, 2, FALSE)</f>
        <v>7</v>
      </c>
      <c r="N3099" s="37" t="str">
        <f>VLOOKUP(D3099, County_Data_CZones!$B$2:$F$3236, 5, FALSE)</f>
        <v>Very Cold</v>
      </c>
    </row>
    <row r="3100" ht="15.75" customHeight="1">
      <c r="A3100" s="32" t="s">
        <v>1966</v>
      </c>
      <c r="B3100" s="32" t="s">
        <v>1942</v>
      </c>
      <c r="C3100" s="32" t="str">
        <f>vlookup(B3100,State_EMM_RowSums!$A$2:$B$52,2,FALSE)</f>
        <v>WI</v>
      </c>
      <c r="D3100" s="32">
        <v>55101.0</v>
      </c>
      <c r="E3100" s="33">
        <f>IF(NOT(ISBLANK(vlookup($D3100,Pop_Census_2023!$A$2:$E$3220,4,FALSE))),vlookup($D3100,Pop_Census_2023!$A$2:$E$3220,4,FALSE), vlookup($D3100,Pop_Census_2023!$A$2:$E$3220,5,FALSE))</f>
        <v>196613</v>
      </c>
      <c r="F3100" s="32">
        <v>1581111.0</v>
      </c>
      <c r="G3100" s="32">
        <v>79.0</v>
      </c>
      <c r="H3100" s="32" t="str">
        <f>VLOOKUP(D3100, Grid_Region_Mapping!$D$2:$F$5286, 3, FALSE)</f>
        <v>MISW</v>
      </c>
      <c r="I3100" s="32">
        <v>3.0</v>
      </c>
      <c r="J3100" s="34" t="str">
        <f t="shared" si="1"/>
        <v>Midwest</v>
      </c>
      <c r="K3100" s="35">
        <v>1.0</v>
      </c>
      <c r="L3100" s="35" t="s">
        <v>707</v>
      </c>
      <c r="M3100" s="36">
        <f>VLOOKUP(D3100, County_Data_CZones!$B$2:$F$3236, 2, FALSE)</f>
        <v>6</v>
      </c>
      <c r="N3100" s="37" t="str">
        <f>VLOOKUP(D3100, County_Data_CZones!$B$2:$F$3236, 5, FALSE)</f>
        <v>Cold</v>
      </c>
    </row>
    <row r="3101" ht="15.75" customHeight="1">
      <c r="A3101" s="32" t="s">
        <v>649</v>
      </c>
      <c r="B3101" s="32" t="s">
        <v>1942</v>
      </c>
      <c r="C3101" s="32" t="str">
        <f>vlookup(B3101,State_EMM_RowSums!$A$2:$B$52,2,FALSE)</f>
        <v>WI</v>
      </c>
      <c r="D3101" s="32">
        <v>55103.0</v>
      </c>
      <c r="E3101" s="33">
        <f>IF(NOT(ISBLANK(vlookup($D3101,Pop_Census_2023!$A$2:$E$3220,4,FALSE))),vlookup($D3101,Pop_Census_2023!$A$2:$E$3220,4,FALSE), vlookup($D3101,Pop_Census_2023!$A$2:$E$3220,5,FALSE))</f>
        <v>17197</v>
      </c>
      <c r="F3101" s="32">
        <v>1581112.0</v>
      </c>
      <c r="G3101" s="32">
        <v>77.0</v>
      </c>
      <c r="H3101" s="32" t="str">
        <f>VLOOKUP(D3101, Grid_Region_Mapping!$D$2:$F$5286, 3, FALSE)</f>
        <v>MISW</v>
      </c>
      <c r="I3101" s="32">
        <v>3.0</v>
      </c>
      <c r="J3101" s="34" t="str">
        <f t="shared" si="1"/>
        <v>Midwest</v>
      </c>
      <c r="K3101" s="35">
        <v>1.0</v>
      </c>
      <c r="L3101" s="35" t="s">
        <v>707</v>
      </c>
      <c r="M3101" s="36">
        <f>VLOOKUP(D3101, County_Data_CZones!$B$2:$F$3236, 2, FALSE)</f>
        <v>6</v>
      </c>
      <c r="N3101" s="37" t="str">
        <f>VLOOKUP(D3101, County_Data_CZones!$B$2:$F$3236, 5, FALSE)</f>
        <v>Cold</v>
      </c>
    </row>
    <row r="3102" ht="15.75" customHeight="1">
      <c r="A3102" s="32" t="s">
        <v>1071</v>
      </c>
      <c r="B3102" s="32" t="s">
        <v>1942</v>
      </c>
      <c r="C3102" s="32" t="str">
        <f>vlookup(B3102,State_EMM_RowSums!$A$2:$B$52,2,FALSE)</f>
        <v>WI</v>
      </c>
      <c r="D3102" s="32">
        <v>55105.0</v>
      </c>
      <c r="E3102" s="33">
        <f>IF(NOT(ISBLANK(vlookup($D3102,Pop_Census_2023!$A$2:$E$3220,4,FALSE))),vlookup($D3102,Pop_Census_2023!$A$2:$E$3220,4,FALSE), vlookup($D3102,Pop_Census_2023!$A$2:$E$3220,5,FALSE))</f>
        <v>164278</v>
      </c>
      <c r="F3102" s="32">
        <v>1581113.0</v>
      </c>
      <c r="G3102" s="32">
        <v>78.0</v>
      </c>
      <c r="H3102" s="32" t="str">
        <f>VLOOKUP(D3102, Grid_Region_Mapping!$D$2:$F$5286, 3, FALSE)</f>
        <v>MISW</v>
      </c>
      <c r="I3102" s="32">
        <v>3.0</v>
      </c>
      <c r="J3102" s="34" t="str">
        <f t="shared" si="1"/>
        <v>Midwest</v>
      </c>
      <c r="K3102" s="35">
        <v>1.0</v>
      </c>
      <c r="L3102" s="35" t="s">
        <v>707</v>
      </c>
      <c r="M3102" s="36">
        <f>VLOOKUP(D3102, County_Data_CZones!$B$2:$F$3236, 2, FALSE)</f>
        <v>6</v>
      </c>
      <c r="N3102" s="37" t="str">
        <f>VLOOKUP(D3102, County_Data_CZones!$B$2:$F$3236, 5, FALSE)</f>
        <v>Cold</v>
      </c>
    </row>
    <row r="3103" ht="15.75" customHeight="1">
      <c r="A3103" s="32" t="s">
        <v>1764</v>
      </c>
      <c r="B3103" s="32" t="s">
        <v>1942</v>
      </c>
      <c r="C3103" s="32" t="str">
        <f>vlookup(B3103,State_EMM_RowSums!$A$2:$B$52,2,FALSE)</f>
        <v>WI</v>
      </c>
      <c r="D3103" s="32">
        <v>55107.0</v>
      </c>
      <c r="E3103" s="33">
        <f>IF(NOT(ISBLANK(vlookup($D3103,Pop_Census_2023!$A$2:$E$3220,4,FALSE))),vlookup($D3103,Pop_Census_2023!$A$2:$E$3220,4,FALSE), vlookup($D3103,Pop_Census_2023!$A$2:$E$3220,5,FALSE))</f>
        <v>14143</v>
      </c>
      <c r="F3103" s="32">
        <v>1581114.0</v>
      </c>
      <c r="G3103" s="32">
        <v>46.0</v>
      </c>
      <c r="H3103" s="32" t="str">
        <f>VLOOKUP(D3103, Grid_Region_Mapping!$D$2:$F$5286, 3, FALSE)</f>
        <v>MISW</v>
      </c>
      <c r="I3103" s="32">
        <v>3.0</v>
      </c>
      <c r="J3103" s="34" t="str">
        <f t="shared" si="1"/>
        <v>Midwest</v>
      </c>
      <c r="K3103" s="35">
        <v>1.0</v>
      </c>
      <c r="L3103" s="35" t="s">
        <v>707</v>
      </c>
      <c r="M3103" s="36">
        <f>VLOOKUP(D3103, County_Data_CZones!$B$2:$F$3236, 2, FALSE)</f>
        <v>6</v>
      </c>
      <c r="N3103" s="37" t="str">
        <f>VLOOKUP(D3103, County_Data_CZones!$B$2:$F$3236, 5, FALSE)</f>
        <v>Cold</v>
      </c>
    </row>
    <row r="3104" ht="15.75" customHeight="1">
      <c r="A3104" s="32" t="s">
        <v>1967</v>
      </c>
      <c r="B3104" s="32" t="s">
        <v>1942</v>
      </c>
      <c r="C3104" s="32" t="str">
        <f>vlookup(B3104,State_EMM_RowSums!$A$2:$B$52,2,FALSE)</f>
        <v>WI</v>
      </c>
      <c r="D3104" s="32">
        <v>55109.0</v>
      </c>
      <c r="E3104" s="33">
        <f>IF(NOT(ISBLANK(vlookup($D3104,Pop_Census_2023!$A$2:$E$3220,4,FALSE))),vlookup($D3104,Pop_Census_2023!$A$2:$E$3220,4,FALSE), vlookup($D3104,Pop_Census_2023!$A$2:$E$3220,5,FALSE))</f>
        <v>96763</v>
      </c>
      <c r="F3104" s="32">
        <v>1581833.0</v>
      </c>
      <c r="G3104" s="32">
        <v>46.0</v>
      </c>
      <c r="H3104" s="32" t="str">
        <f>VLOOKUP(D3104, Grid_Region_Mapping!$D$2:$F$5286, 3, FALSE)</f>
        <v>MISW</v>
      </c>
      <c r="I3104" s="32">
        <v>3.0</v>
      </c>
      <c r="J3104" s="34" t="str">
        <f t="shared" si="1"/>
        <v>Midwest</v>
      </c>
      <c r="K3104" s="35">
        <v>1.0</v>
      </c>
      <c r="L3104" s="35" t="s">
        <v>707</v>
      </c>
      <c r="M3104" s="36">
        <f>VLOOKUP(D3104, County_Data_CZones!$B$2:$F$3236, 2, FALSE)</f>
        <v>6</v>
      </c>
      <c r="N3104" s="37" t="str">
        <f>VLOOKUP(D3104, County_Data_CZones!$B$2:$F$3236, 5, FALSE)</f>
        <v>Cold</v>
      </c>
    </row>
    <row r="3105" ht="15.75" customHeight="1">
      <c r="A3105" s="32" t="s">
        <v>1968</v>
      </c>
      <c r="B3105" s="32" t="s">
        <v>1942</v>
      </c>
      <c r="C3105" s="32" t="str">
        <f>vlookup(B3105,State_EMM_RowSums!$A$2:$B$52,2,FALSE)</f>
        <v>WI</v>
      </c>
      <c r="D3105" s="32">
        <v>55111.0</v>
      </c>
      <c r="E3105" s="33">
        <f>IF(NOT(ISBLANK(vlookup($D3105,Pop_Census_2023!$A$2:$E$3220,4,FALSE))),vlookup($D3105,Pop_Census_2023!$A$2:$E$3220,4,FALSE), vlookup($D3105,Pop_Census_2023!$A$2:$E$3220,5,FALSE))</f>
        <v>65920</v>
      </c>
      <c r="F3105" s="32">
        <v>1581115.0</v>
      </c>
      <c r="G3105" s="32">
        <v>77.0</v>
      </c>
      <c r="H3105" s="32" t="str">
        <f>VLOOKUP(D3105, Grid_Region_Mapping!$D$2:$F$5286, 3, FALSE)</f>
        <v>MISW</v>
      </c>
      <c r="I3105" s="32">
        <v>3.0</v>
      </c>
      <c r="J3105" s="34" t="str">
        <f t="shared" si="1"/>
        <v>Midwest</v>
      </c>
      <c r="K3105" s="35">
        <v>1.0</v>
      </c>
      <c r="L3105" s="35" t="s">
        <v>707</v>
      </c>
      <c r="M3105" s="36">
        <f>VLOOKUP(D3105, County_Data_CZones!$B$2:$F$3236, 2, FALSE)</f>
        <v>6</v>
      </c>
      <c r="N3105" s="37" t="str">
        <f>VLOOKUP(D3105, County_Data_CZones!$B$2:$F$3236, 5, FALSE)</f>
        <v>Cold</v>
      </c>
    </row>
    <row r="3106" ht="15.75" customHeight="1">
      <c r="A3106" s="32" t="s">
        <v>1969</v>
      </c>
      <c r="B3106" s="32" t="s">
        <v>1942</v>
      </c>
      <c r="C3106" s="32" t="str">
        <f>vlookup(B3106,State_EMM_RowSums!$A$2:$B$52,2,FALSE)</f>
        <v>WI</v>
      </c>
      <c r="D3106" s="32">
        <v>55113.0</v>
      </c>
      <c r="E3106" s="33">
        <f>IF(NOT(ISBLANK(vlookup($D3106,Pop_Census_2023!$A$2:$E$3220,4,FALSE))),vlookup($D3106,Pop_Census_2023!$A$2:$E$3220,4,FALSE), vlookup($D3106,Pop_Census_2023!$A$2:$E$3220,5,FALSE))</f>
        <v>18552</v>
      </c>
      <c r="F3106" s="32">
        <v>1581116.0</v>
      </c>
      <c r="G3106" s="32">
        <v>46.0</v>
      </c>
      <c r="H3106" s="32" t="str">
        <f>VLOOKUP(D3106, Grid_Region_Mapping!$D$2:$F$5286, 3, FALSE)</f>
        <v>MISW</v>
      </c>
      <c r="I3106" s="32">
        <v>3.0</v>
      </c>
      <c r="J3106" s="34" t="str">
        <f t="shared" si="1"/>
        <v>Midwest</v>
      </c>
      <c r="K3106" s="35">
        <v>1.0</v>
      </c>
      <c r="L3106" s="35">
        <v>7.0</v>
      </c>
      <c r="M3106" s="36">
        <f>VLOOKUP(D3106, County_Data_CZones!$B$2:$F$3236, 2, FALSE)</f>
        <v>7</v>
      </c>
      <c r="N3106" s="37" t="str">
        <f>VLOOKUP(D3106, County_Data_CZones!$B$2:$F$3236, 5, FALSE)</f>
        <v>Very Cold</v>
      </c>
    </row>
    <row r="3107" ht="15.75" customHeight="1">
      <c r="A3107" s="32" t="s">
        <v>1970</v>
      </c>
      <c r="B3107" s="32" t="s">
        <v>1942</v>
      </c>
      <c r="C3107" s="32" t="str">
        <f>vlookup(B3107,State_EMM_RowSums!$A$2:$B$52,2,FALSE)</f>
        <v>WI</v>
      </c>
      <c r="D3107" s="32">
        <v>55115.0</v>
      </c>
      <c r="E3107" s="33">
        <f>IF(NOT(ISBLANK(vlookup($D3107,Pop_Census_2023!$A$2:$E$3220,4,FALSE))),vlookup($D3107,Pop_Census_2023!$A$2:$E$3220,4,FALSE), vlookup($D3107,Pop_Census_2023!$A$2:$E$3220,5,FALSE))</f>
        <v>41109</v>
      </c>
      <c r="F3107" s="32">
        <v>1581117.0</v>
      </c>
      <c r="G3107" s="32">
        <v>76.0</v>
      </c>
      <c r="H3107" s="32" t="str">
        <f>VLOOKUP(D3107, Grid_Region_Mapping!$D$2:$F$5286, 3, FALSE)</f>
        <v>MISW</v>
      </c>
      <c r="I3107" s="32">
        <v>3.0</v>
      </c>
      <c r="J3107" s="34" t="str">
        <f t="shared" si="1"/>
        <v>Midwest</v>
      </c>
      <c r="K3107" s="35">
        <v>1.0</v>
      </c>
      <c r="L3107" s="35" t="s">
        <v>707</v>
      </c>
      <c r="M3107" s="36">
        <f>VLOOKUP(D3107, County_Data_CZones!$B$2:$F$3236, 2, FALSE)</f>
        <v>6</v>
      </c>
      <c r="N3107" s="37" t="str">
        <f>VLOOKUP(D3107, County_Data_CZones!$B$2:$F$3236, 5, FALSE)</f>
        <v>Cold</v>
      </c>
    </row>
    <row r="3108" ht="15.75" customHeight="1">
      <c r="A3108" s="32" t="s">
        <v>1971</v>
      </c>
      <c r="B3108" s="32" t="s">
        <v>1942</v>
      </c>
      <c r="C3108" s="32" t="str">
        <f>vlookup(B3108,State_EMM_RowSums!$A$2:$B$52,2,FALSE)</f>
        <v>WI</v>
      </c>
      <c r="D3108" s="32">
        <v>55117.0</v>
      </c>
      <c r="E3108" s="33">
        <f>IF(NOT(ISBLANK(vlookup($D3108,Pop_Census_2023!$A$2:$E$3220,4,FALSE))),vlookup($D3108,Pop_Census_2023!$A$2:$E$3220,4,FALSE), vlookup($D3108,Pop_Census_2023!$A$2:$E$3220,5,FALSE))</f>
        <v>117752</v>
      </c>
      <c r="F3108" s="32">
        <v>1581118.0</v>
      </c>
      <c r="G3108" s="32">
        <v>79.0</v>
      </c>
      <c r="H3108" s="32" t="str">
        <f>VLOOKUP(D3108, Grid_Region_Mapping!$D$2:$F$5286, 3, FALSE)</f>
        <v>MISW</v>
      </c>
      <c r="I3108" s="32">
        <v>3.0</v>
      </c>
      <c r="J3108" s="34" t="str">
        <f t="shared" si="1"/>
        <v>Midwest</v>
      </c>
      <c r="K3108" s="35">
        <v>1.0</v>
      </c>
      <c r="L3108" s="35" t="s">
        <v>707</v>
      </c>
      <c r="M3108" s="36">
        <f>VLOOKUP(D3108, County_Data_CZones!$B$2:$F$3236, 2, FALSE)</f>
        <v>6</v>
      </c>
      <c r="N3108" s="37" t="str">
        <f>VLOOKUP(D3108, County_Data_CZones!$B$2:$F$3236, 5, FALSE)</f>
        <v>Cold</v>
      </c>
    </row>
    <row r="3109" ht="15.75" customHeight="1">
      <c r="A3109" s="32" t="s">
        <v>456</v>
      </c>
      <c r="B3109" s="32" t="s">
        <v>1942</v>
      </c>
      <c r="C3109" s="32" t="str">
        <f>vlookup(B3109,State_EMM_RowSums!$A$2:$B$52,2,FALSE)</f>
        <v>WI</v>
      </c>
      <c r="D3109" s="32">
        <v>55119.0</v>
      </c>
      <c r="E3109" s="33">
        <f>IF(NOT(ISBLANK(vlookup($D3109,Pop_Census_2023!$A$2:$E$3220,4,FALSE))),vlookup($D3109,Pop_Census_2023!$A$2:$E$3220,4,FALSE), vlookup($D3109,Pop_Census_2023!$A$2:$E$3220,5,FALSE))</f>
        <v>20058</v>
      </c>
      <c r="F3109" s="32">
        <v>1581119.0</v>
      </c>
      <c r="G3109" s="32">
        <v>46.0</v>
      </c>
      <c r="H3109" s="32" t="str">
        <f>VLOOKUP(D3109, Grid_Region_Mapping!$D$2:$F$5286, 3, FALSE)</f>
        <v>MISW</v>
      </c>
      <c r="I3109" s="32">
        <v>3.0</v>
      </c>
      <c r="J3109" s="34" t="str">
        <f t="shared" si="1"/>
        <v>Midwest</v>
      </c>
      <c r="K3109" s="35">
        <v>1.0</v>
      </c>
      <c r="L3109" s="35">
        <v>7.0</v>
      </c>
      <c r="M3109" s="36">
        <f>VLOOKUP(D3109, County_Data_CZones!$B$2:$F$3236, 2, FALSE)</f>
        <v>7</v>
      </c>
      <c r="N3109" s="37" t="str">
        <f>VLOOKUP(D3109, County_Data_CZones!$B$2:$F$3236, 5, FALSE)</f>
        <v>Very Cold</v>
      </c>
    </row>
    <row r="3110" ht="15.75" customHeight="1">
      <c r="A3110" s="32" t="s">
        <v>1972</v>
      </c>
      <c r="B3110" s="32" t="s">
        <v>1942</v>
      </c>
      <c r="C3110" s="32" t="str">
        <f>vlookup(B3110,State_EMM_RowSums!$A$2:$B$52,2,FALSE)</f>
        <v>WI</v>
      </c>
      <c r="D3110" s="32">
        <v>55121.0</v>
      </c>
      <c r="E3110" s="33">
        <f>IF(NOT(ISBLANK(vlookup($D3110,Pop_Census_2023!$A$2:$E$3220,4,FALSE))),vlookup($D3110,Pop_Census_2023!$A$2:$E$3220,4,FALSE), vlookup($D3110,Pop_Census_2023!$A$2:$E$3220,5,FALSE))</f>
        <v>30899</v>
      </c>
      <c r="F3110" s="32">
        <v>1581120.0</v>
      </c>
      <c r="G3110" s="32">
        <v>46.0</v>
      </c>
      <c r="H3110" s="32" t="str">
        <f>VLOOKUP(D3110, Grid_Region_Mapping!$D$2:$F$5286, 3, FALSE)</f>
        <v>MISW</v>
      </c>
      <c r="I3110" s="32">
        <v>3.0</v>
      </c>
      <c r="J3110" s="34" t="str">
        <f t="shared" si="1"/>
        <v>Midwest</v>
      </c>
      <c r="K3110" s="35">
        <v>1.0</v>
      </c>
      <c r="L3110" s="35" t="s">
        <v>707</v>
      </c>
      <c r="M3110" s="36">
        <f>VLOOKUP(D3110, County_Data_CZones!$B$2:$F$3236, 2, FALSE)</f>
        <v>6</v>
      </c>
      <c r="N3110" s="37" t="str">
        <f>VLOOKUP(D3110, County_Data_CZones!$B$2:$F$3236, 5, FALSE)</f>
        <v>Cold</v>
      </c>
    </row>
    <row r="3111" ht="15.75" customHeight="1">
      <c r="A3111" s="32" t="s">
        <v>917</v>
      </c>
      <c r="B3111" s="32" t="s">
        <v>1942</v>
      </c>
      <c r="C3111" s="32" t="str">
        <f>vlookup(B3111,State_EMM_RowSums!$A$2:$B$52,2,FALSE)</f>
        <v>WI</v>
      </c>
      <c r="D3111" s="32">
        <v>55123.0</v>
      </c>
      <c r="E3111" s="33">
        <f>IF(NOT(ISBLANK(vlookup($D3111,Pop_Census_2023!$A$2:$E$3220,4,FALSE))),vlookup($D3111,Pop_Census_2023!$A$2:$E$3220,4,FALSE), vlookup($D3111,Pop_Census_2023!$A$2:$E$3220,5,FALSE))</f>
        <v>31170</v>
      </c>
      <c r="F3111" s="32">
        <v>1581121.0</v>
      </c>
      <c r="G3111" s="32">
        <v>77.0</v>
      </c>
      <c r="H3111" s="32" t="str">
        <f>VLOOKUP(D3111, Grid_Region_Mapping!$D$2:$F$5286, 3, FALSE)</f>
        <v>MISW</v>
      </c>
      <c r="I3111" s="32">
        <v>3.0</v>
      </c>
      <c r="J3111" s="34" t="str">
        <f t="shared" si="1"/>
        <v>Midwest</v>
      </c>
      <c r="K3111" s="35">
        <v>1.0</v>
      </c>
      <c r="L3111" s="35" t="s">
        <v>707</v>
      </c>
      <c r="M3111" s="36">
        <f>VLOOKUP(D3111, County_Data_CZones!$B$2:$F$3236, 2, FALSE)</f>
        <v>6</v>
      </c>
      <c r="N3111" s="37" t="str">
        <f>VLOOKUP(D3111, County_Data_CZones!$B$2:$F$3236, 5, FALSE)</f>
        <v>Cold</v>
      </c>
    </row>
    <row r="3112" ht="15.75" customHeight="1">
      <c r="A3112" s="32" t="s">
        <v>1973</v>
      </c>
      <c r="B3112" s="32" t="s">
        <v>1942</v>
      </c>
      <c r="C3112" s="32" t="str">
        <f>vlookup(B3112,State_EMM_RowSums!$A$2:$B$52,2,FALSE)</f>
        <v>WI</v>
      </c>
      <c r="D3112" s="32">
        <v>55125.0</v>
      </c>
      <c r="E3112" s="33">
        <f>IF(NOT(ISBLANK(vlookup($D3112,Pop_Census_2023!$A$2:$E$3220,4,FALSE))),vlookup($D3112,Pop_Census_2023!$A$2:$E$3220,4,FALSE), vlookup($D3112,Pop_Census_2023!$A$2:$E$3220,5,FALSE))</f>
        <v>23885</v>
      </c>
      <c r="F3112" s="32">
        <v>1581122.0</v>
      </c>
      <c r="G3112" s="32">
        <v>75.0</v>
      </c>
      <c r="H3112" s="32" t="str">
        <f>VLOOKUP(D3112, Grid_Region_Mapping!$D$2:$F$5286, 3, FALSE)</f>
        <v>MISW</v>
      </c>
      <c r="I3112" s="32">
        <v>3.0</v>
      </c>
      <c r="J3112" s="34" t="str">
        <f t="shared" si="1"/>
        <v>Midwest</v>
      </c>
      <c r="K3112" s="35">
        <v>1.0</v>
      </c>
      <c r="L3112" s="35">
        <v>7.0</v>
      </c>
      <c r="M3112" s="36">
        <f>VLOOKUP(D3112, County_Data_CZones!$B$2:$F$3236, 2, FALSE)</f>
        <v>7</v>
      </c>
      <c r="N3112" s="37" t="str">
        <f>VLOOKUP(D3112, County_Data_CZones!$B$2:$F$3236, 5, FALSE)</f>
        <v>Very Cold</v>
      </c>
    </row>
    <row r="3113" ht="15.75" customHeight="1">
      <c r="A3113" s="32" t="s">
        <v>1613</v>
      </c>
      <c r="B3113" s="32" t="s">
        <v>1942</v>
      </c>
      <c r="C3113" s="32" t="str">
        <f>vlookup(B3113,State_EMM_RowSums!$A$2:$B$52,2,FALSE)</f>
        <v>WI</v>
      </c>
      <c r="D3113" s="32">
        <v>55127.0</v>
      </c>
      <c r="E3113" s="33">
        <f>IF(NOT(ISBLANK(vlookup($D3113,Pop_Census_2023!$A$2:$E$3220,4,FALSE))),vlookup($D3113,Pop_Census_2023!$A$2:$E$3220,4,FALSE), vlookup($D3113,Pop_Census_2023!$A$2:$E$3220,5,FALSE))</f>
        <v>105822</v>
      </c>
      <c r="F3113" s="32">
        <v>1581123.0</v>
      </c>
      <c r="G3113" s="32">
        <v>79.0</v>
      </c>
      <c r="H3113" s="32" t="str">
        <f>VLOOKUP(D3113, Grid_Region_Mapping!$D$2:$F$5286, 3, FALSE)</f>
        <v>MISW</v>
      </c>
      <c r="I3113" s="32">
        <v>3.0</v>
      </c>
      <c r="J3113" s="34" t="str">
        <f t="shared" si="1"/>
        <v>Midwest</v>
      </c>
      <c r="K3113" s="35">
        <v>1.0</v>
      </c>
      <c r="L3113" s="35" t="s">
        <v>707</v>
      </c>
      <c r="M3113" s="36">
        <f>VLOOKUP(D3113, County_Data_CZones!$B$2:$F$3236, 2, FALSE)</f>
        <v>6</v>
      </c>
      <c r="N3113" s="37" t="str">
        <f>VLOOKUP(D3113, County_Data_CZones!$B$2:$F$3236, 5, FALSE)</f>
        <v>Cold</v>
      </c>
    </row>
    <row r="3114" ht="15.75" customHeight="1">
      <c r="A3114" s="32" t="s">
        <v>1974</v>
      </c>
      <c r="B3114" s="32" t="s">
        <v>1942</v>
      </c>
      <c r="C3114" s="32" t="str">
        <f>vlookup(B3114,State_EMM_RowSums!$A$2:$B$52,2,FALSE)</f>
        <v>WI</v>
      </c>
      <c r="D3114" s="32">
        <v>55129.0</v>
      </c>
      <c r="E3114" s="33">
        <f>IF(NOT(ISBLANK(vlookup($D3114,Pop_Census_2023!$A$2:$E$3220,4,FALSE))),vlookup($D3114,Pop_Census_2023!$A$2:$E$3220,4,FALSE), vlookup($D3114,Pop_Census_2023!$A$2:$E$3220,5,FALSE))</f>
        <v>16930</v>
      </c>
      <c r="F3114" s="32">
        <v>1581124.0</v>
      </c>
      <c r="G3114" s="32">
        <v>46.0</v>
      </c>
      <c r="H3114" s="32" t="str">
        <f>VLOOKUP(D3114, Grid_Region_Mapping!$D$2:$F$5286, 3, FALSE)</f>
        <v>MISW</v>
      </c>
      <c r="I3114" s="32">
        <v>3.0</v>
      </c>
      <c r="J3114" s="34" t="str">
        <f t="shared" si="1"/>
        <v>Midwest</v>
      </c>
      <c r="K3114" s="35">
        <v>1.0</v>
      </c>
      <c r="L3114" s="35">
        <v>7.0</v>
      </c>
      <c r="M3114" s="36">
        <f>VLOOKUP(D3114, County_Data_CZones!$B$2:$F$3236, 2, FALSE)</f>
        <v>7</v>
      </c>
      <c r="N3114" s="37" t="str">
        <f>VLOOKUP(D3114, County_Data_CZones!$B$2:$F$3236, 5, FALSE)</f>
        <v>Very Cold</v>
      </c>
    </row>
    <row r="3115" ht="15.75" customHeight="1">
      <c r="A3115" s="32" t="s">
        <v>167</v>
      </c>
      <c r="B3115" s="32" t="s">
        <v>1942</v>
      </c>
      <c r="C3115" s="32" t="str">
        <f>vlookup(B3115,State_EMM_RowSums!$A$2:$B$52,2,FALSE)</f>
        <v>WI</v>
      </c>
      <c r="D3115" s="32">
        <v>55131.0</v>
      </c>
      <c r="E3115" s="33">
        <f>IF(NOT(ISBLANK(vlookup($D3115,Pop_Census_2023!$A$2:$E$3220,4,FALSE))),vlookup($D3115,Pop_Census_2023!$A$2:$E$3220,4,FALSE), vlookup($D3115,Pop_Census_2023!$A$2:$E$3220,5,FALSE))</f>
        <v>138168</v>
      </c>
      <c r="F3115" s="32">
        <v>1581125.0</v>
      </c>
      <c r="G3115" s="32">
        <v>79.0</v>
      </c>
      <c r="H3115" s="32" t="str">
        <f>VLOOKUP(D3115, Grid_Region_Mapping!$D$2:$F$5286, 3, FALSE)</f>
        <v>MISW</v>
      </c>
      <c r="I3115" s="32">
        <v>3.0</v>
      </c>
      <c r="J3115" s="34" t="str">
        <f t="shared" si="1"/>
        <v>Midwest</v>
      </c>
      <c r="K3115" s="35">
        <v>1.0</v>
      </c>
      <c r="L3115" s="35" t="s">
        <v>707</v>
      </c>
      <c r="M3115" s="36">
        <f>VLOOKUP(D3115, County_Data_CZones!$B$2:$F$3236, 2, FALSE)</f>
        <v>6</v>
      </c>
      <c r="N3115" s="37" t="str">
        <f>VLOOKUP(D3115, County_Data_CZones!$B$2:$F$3236, 5, FALSE)</f>
        <v>Cold</v>
      </c>
    </row>
    <row r="3116" ht="15.75" customHeight="1">
      <c r="A3116" s="32" t="s">
        <v>1975</v>
      </c>
      <c r="B3116" s="32" t="s">
        <v>1942</v>
      </c>
      <c r="C3116" s="32" t="str">
        <f>vlookup(B3116,State_EMM_RowSums!$A$2:$B$52,2,FALSE)</f>
        <v>WI</v>
      </c>
      <c r="D3116" s="32">
        <v>55133.0</v>
      </c>
      <c r="E3116" s="33">
        <f>IF(NOT(ISBLANK(vlookup($D3116,Pop_Census_2023!$A$2:$E$3220,4,FALSE))),vlookup($D3116,Pop_Census_2023!$A$2:$E$3220,4,FALSE), vlookup($D3116,Pop_Census_2023!$A$2:$E$3220,5,FALSE))</f>
        <v>412591</v>
      </c>
      <c r="F3116" s="32">
        <v>1581126.0</v>
      </c>
      <c r="G3116" s="32">
        <v>79.0</v>
      </c>
      <c r="H3116" s="32" t="str">
        <f>VLOOKUP(D3116, Grid_Region_Mapping!$D$2:$F$5286, 3, FALSE)</f>
        <v>MISW</v>
      </c>
      <c r="I3116" s="32">
        <v>3.0</v>
      </c>
      <c r="J3116" s="34" t="str">
        <f t="shared" si="1"/>
        <v>Midwest</v>
      </c>
      <c r="K3116" s="35">
        <v>1.0</v>
      </c>
      <c r="L3116" s="35" t="s">
        <v>707</v>
      </c>
      <c r="M3116" s="36">
        <f>VLOOKUP(D3116, County_Data_CZones!$B$2:$F$3236, 2, FALSE)</f>
        <v>6</v>
      </c>
      <c r="N3116" s="37" t="str">
        <f>VLOOKUP(D3116, County_Data_CZones!$B$2:$F$3236, 5, FALSE)</f>
        <v>Cold</v>
      </c>
    </row>
    <row r="3117" ht="15.75" customHeight="1">
      <c r="A3117" s="32" t="s">
        <v>1976</v>
      </c>
      <c r="B3117" s="32" t="s">
        <v>1942</v>
      </c>
      <c r="C3117" s="32" t="str">
        <f>vlookup(B3117,State_EMM_RowSums!$A$2:$B$52,2,FALSE)</f>
        <v>WI</v>
      </c>
      <c r="D3117" s="32">
        <v>55135.0</v>
      </c>
      <c r="E3117" s="33">
        <f>IF(NOT(ISBLANK(vlookup($D3117,Pop_Census_2023!$A$2:$E$3220,4,FALSE))),vlookup($D3117,Pop_Census_2023!$A$2:$E$3220,4,FALSE), vlookup($D3117,Pop_Census_2023!$A$2:$E$3220,5,FALSE))</f>
        <v>51388</v>
      </c>
      <c r="F3117" s="32">
        <v>1581127.0</v>
      </c>
      <c r="G3117" s="32">
        <v>76.0</v>
      </c>
      <c r="H3117" s="32" t="str">
        <f>VLOOKUP(D3117, Grid_Region_Mapping!$D$2:$F$5286, 3, FALSE)</f>
        <v>MISW</v>
      </c>
      <c r="I3117" s="32">
        <v>3.0</v>
      </c>
      <c r="J3117" s="34" t="str">
        <f t="shared" si="1"/>
        <v>Midwest</v>
      </c>
      <c r="K3117" s="35">
        <v>1.0</v>
      </c>
      <c r="L3117" s="35" t="s">
        <v>707</v>
      </c>
      <c r="M3117" s="36">
        <f>VLOOKUP(D3117, County_Data_CZones!$B$2:$F$3236, 2, FALSE)</f>
        <v>6</v>
      </c>
      <c r="N3117" s="37" t="str">
        <f>VLOOKUP(D3117, County_Data_CZones!$B$2:$F$3236, 5, FALSE)</f>
        <v>Cold</v>
      </c>
    </row>
    <row r="3118" ht="15.75" customHeight="1">
      <c r="A3118" s="32" t="s">
        <v>1977</v>
      </c>
      <c r="B3118" s="32" t="s">
        <v>1942</v>
      </c>
      <c r="C3118" s="32" t="str">
        <f>vlookup(B3118,State_EMM_RowSums!$A$2:$B$52,2,FALSE)</f>
        <v>WI</v>
      </c>
      <c r="D3118" s="32">
        <v>55137.0</v>
      </c>
      <c r="E3118" s="33">
        <f>IF(NOT(ISBLANK(vlookup($D3118,Pop_Census_2023!$A$2:$E$3220,4,FALSE))),vlookup($D3118,Pop_Census_2023!$A$2:$E$3220,4,FALSE), vlookup($D3118,Pop_Census_2023!$A$2:$E$3220,5,FALSE))</f>
        <v>24934</v>
      </c>
      <c r="F3118" s="32">
        <v>1581128.0</v>
      </c>
      <c r="G3118" s="32">
        <v>76.0</v>
      </c>
      <c r="H3118" s="32" t="str">
        <f>VLOOKUP(D3118, Grid_Region_Mapping!$D$2:$F$5286, 3, FALSE)</f>
        <v>MISW</v>
      </c>
      <c r="I3118" s="32">
        <v>3.0</v>
      </c>
      <c r="J3118" s="34" t="str">
        <f t="shared" si="1"/>
        <v>Midwest</v>
      </c>
      <c r="K3118" s="35">
        <v>1.0</v>
      </c>
      <c r="L3118" s="35" t="s">
        <v>707</v>
      </c>
      <c r="M3118" s="36">
        <f>VLOOKUP(D3118, County_Data_CZones!$B$2:$F$3236, 2, FALSE)</f>
        <v>6</v>
      </c>
      <c r="N3118" s="37" t="str">
        <f>VLOOKUP(D3118, County_Data_CZones!$B$2:$F$3236, 5, FALSE)</f>
        <v>Cold</v>
      </c>
    </row>
    <row r="3119" ht="15.75" customHeight="1">
      <c r="A3119" s="32" t="s">
        <v>661</v>
      </c>
      <c r="B3119" s="32" t="s">
        <v>1942</v>
      </c>
      <c r="C3119" s="32" t="str">
        <f>vlookup(B3119,State_EMM_RowSums!$A$2:$B$52,2,FALSE)</f>
        <v>WI</v>
      </c>
      <c r="D3119" s="32">
        <v>55139.0</v>
      </c>
      <c r="E3119" s="33">
        <f>IF(NOT(ISBLANK(vlookup($D3119,Pop_Census_2023!$A$2:$E$3220,4,FALSE))),vlookup($D3119,Pop_Census_2023!$A$2:$E$3220,4,FALSE), vlookup($D3119,Pop_Census_2023!$A$2:$E$3220,5,FALSE))</f>
        <v>171735</v>
      </c>
      <c r="F3119" s="32">
        <v>1581129.0</v>
      </c>
      <c r="G3119" s="32">
        <v>76.0</v>
      </c>
      <c r="H3119" s="32" t="str">
        <f>VLOOKUP(D3119, Grid_Region_Mapping!$D$2:$F$5286, 3, FALSE)</f>
        <v>MISW</v>
      </c>
      <c r="I3119" s="32">
        <v>3.0</v>
      </c>
      <c r="J3119" s="34" t="str">
        <f t="shared" si="1"/>
        <v>Midwest</v>
      </c>
      <c r="K3119" s="35">
        <v>1.0</v>
      </c>
      <c r="L3119" s="35" t="s">
        <v>707</v>
      </c>
      <c r="M3119" s="36">
        <f>VLOOKUP(D3119, County_Data_CZones!$B$2:$F$3236, 2, FALSE)</f>
        <v>6</v>
      </c>
      <c r="N3119" s="37" t="str">
        <f>VLOOKUP(D3119, County_Data_CZones!$B$2:$F$3236, 5, FALSE)</f>
        <v>Cold</v>
      </c>
    </row>
    <row r="3120" ht="15.75" customHeight="1">
      <c r="A3120" s="32" t="s">
        <v>1455</v>
      </c>
      <c r="B3120" s="32" t="s">
        <v>1942</v>
      </c>
      <c r="C3120" s="32" t="str">
        <f>vlookup(B3120,State_EMM_RowSums!$A$2:$B$52,2,FALSE)</f>
        <v>WI</v>
      </c>
      <c r="D3120" s="32">
        <v>55141.0</v>
      </c>
      <c r="E3120" s="33">
        <f>IF(NOT(ISBLANK(vlookup($D3120,Pop_Census_2023!$A$2:$E$3220,4,FALSE))),vlookup($D3120,Pop_Census_2023!$A$2:$E$3220,4,FALSE), vlookup($D3120,Pop_Census_2023!$A$2:$E$3220,5,FALSE))</f>
        <v>73939</v>
      </c>
      <c r="F3120" s="32">
        <v>1581130.0</v>
      </c>
      <c r="G3120" s="32">
        <v>76.0</v>
      </c>
      <c r="H3120" s="32" t="str">
        <f>VLOOKUP(D3120, Grid_Region_Mapping!$D$2:$F$5286, 3, FALSE)</f>
        <v>MISW</v>
      </c>
      <c r="I3120" s="32">
        <v>3.0</v>
      </c>
      <c r="J3120" s="34" t="str">
        <f t="shared" si="1"/>
        <v>Midwest</v>
      </c>
      <c r="K3120" s="35">
        <v>1.0</v>
      </c>
      <c r="L3120" s="35" t="s">
        <v>707</v>
      </c>
      <c r="M3120" s="36">
        <f>VLOOKUP(D3120, County_Data_CZones!$B$2:$F$3236, 2, FALSE)</f>
        <v>6</v>
      </c>
      <c r="N3120" s="37" t="str">
        <f>VLOOKUP(D3120, County_Data_CZones!$B$2:$F$3236, 5, FALSE)</f>
        <v>Cold</v>
      </c>
    </row>
    <row r="3121" ht="15.75" customHeight="1">
      <c r="A3121" s="32" t="s">
        <v>1295</v>
      </c>
      <c r="B3121" s="32" t="s">
        <v>1323</v>
      </c>
      <c r="C3121" s="32" t="str">
        <f>vlookup(B3121,State_EMM_RowSums!$A$2:$B$52,2,FALSE)</f>
        <v>WY</v>
      </c>
      <c r="D3121" s="32">
        <v>56001.0</v>
      </c>
      <c r="E3121" s="33">
        <f>IF(NOT(ISBLANK(vlookup($D3121,Pop_Census_2023!$A$2:$E$3220,4,FALSE))),vlookup($D3121,Pop_Census_2023!$A$2:$E$3220,4,FALSE), vlookup($D3121,Pop_Census_2023!$A$2:$E$3220,5,FALSE))</f>
        <v>38257</v>
      </c>
      <c r="F3121" s="32">
        <v>1605066.0</v>
      </c>
      <c r="G3121" s="32">
        <v>24.0</v>
      </c>
      <c r="H3121" s="32" t="str">
        <f>VLOOKUP(D3121, Grid_Region_Mapping!$D$2:$F$5286, 3, FALSE)</f>
        <v>RMRG</v>
      </c>
      <c r="I3121" s="32">
        <v>8.0</v>
      </c>
      <c r="J3121" s="34" t="str">
        <f t="shared" si="1"/>
        <v>West</v>
      </c>
      <c r="K3121" s="35">
        <v>1.0</v>
      </c>
      <c r="L3121" s="35" t="s">
        <v>282</v>
      </c>
      <c r="M3121" s="36">
        <f>VLOOKUP(D3121, County_Data_CZones!$B$2:$F$3236, 2, FALSE)</f>
        <v>6</v>
      </c>
      <c r="N3121" s="37" t="str">
        <f>VLOOKUP(D3121, County_Data_CZones!$B$2:$F$3236, 5, FALSE)</f>
        <v>Cold</v>
      </c>
    </row>
    <row r="3122" ht="15.75" customHeight="1">
      <c r="A3122" s="32" t="s">
        <v>1163</v>
      </c>
      <c r="B3122" s="32" t="s">
        <v>1323</v>
      </c>
      <c r="C3122" s="32" t="str">
        <f>vlookup(B3122,State_EMM_RowSums!$A$2:$B$52,2,FALSE)</f>
        <v>WY</v>
      </c>
      <c r="D3122" s="32">
        <v>56003.0</v>
      </c>
      <c r="E3122" s="33">
        <f>IF(NOT(ISBLANK(vlookup($D3122,Pop_Census_2023!$A$2:$E$3220,4,FALSE))),vlookup($D3122,Pop_Census_2023!$A$2:$E$3220,4,FALSE), vlookup($D3122,Pop_Census_2023!$A$2:$E$3220,5,FALSE))</f>
        <v>12018</v>
      </c>
      <c r="F3122" s="32">
        <v>1605067.0</v>
      </c>
      <c r="G3122" s="32">
        <v>21.0</v>
      </c>
      <c r="H3122" s="32" t="str">
        <f>VLOOKUP(D3122, Grid_Region_Mapping!$D$2:$F$5286, 3, FALSE)</f>
        <v>BASN</v>
      </c>
      <c r="I3122" s="32">
        <v>8.0</v>
      </c>
      <c r="J3122" s="34" t="str">
        <f t="shared" si="1"/>
        <v>West</v>
      </c>
      <c r="K3122" s="35">
        <v>1.0</v>
      </c>
      <c r="L3122" s="35" t="s">
        <v>282</v>
      </c>
      <c r="M3122" s="36">
        <f>VLOOKUP(D3122, County_Data_CZones!$B$2:$F$3236, 2, FALSE)</f>
        <v>6</v>
      </c>
      <c r="N3122" s="37" t="str">
        <f>VLOOKUP(D3122, County_Data_CZones!$B$2:$F$3236, 5, FALSE)</f>
        <v>Cold</v>
      </c>
    </row>
    <row r="3123" ht="15.75" customHeight="1">
      <c r="A3123" s="32" t="s">
        <v>831</v>
      </c>
      <c r="B3123" s="32" t="s">
        <v>1323</v>
      </c>
      <c r="C3123" s="32" t="str">
        <f>vlookup(B3123,State_EMM_RowSums!$A$2:$B$52,2,FALSE)</f>
        <v>WY</v>
      </c>
      <c r="D3123" s="32">
        <v>56005.0</v>
      </c>
      <c r="E3123" s="33">
        <f>IF(NOT(ISBLANK(vlookup($D3123,Pop_Census_2023!$A$2:$E$3220,4,FALSE))),vlookup($D3123,Pop_Census_2023!$A$2:$E$3220,4,FALSE), vlookup($D3123,Pop_Census_2023!$A$2:$E$3220,5,FALSE))</f>
        <v>47498</v>
      </c>
      <c r="F3123" s="32">
        <v>1605068.0</v>
      </c>
      <c r="G3123" s="32">
        <v>23.0</v>
      </c>
      <c r="H3123" s="32" t="str">
        <f>VLOOKUP(D3123, Grid_Region_Mapping!$D$2:$F$5286, 3, FALSE)</f>
        <v>RMRG</v>
      </c>
      <c r="I3123" s="32">
        <v>8.0</v>
      </c>
      <c r="J3123" s="34" t="str">
        <f t="shared" si="1"/>
        <v>West</v>
      </c>
      <c r="K3123" s="35">
        <v>1.0</v>
      </c>
      <c r="L3123" s="35" t="s">
        <v>282</v>
      </c>
      <c r="M3123" s="36">
        <f>VLOOKUP(D3123, County_Data_CZones!$B$2:$F$3236, 2, FALSE)</f>
        <v>6</v>
      </c>
      <c r="N3123" s="37" t="str">
        <f>VLOOKUP(D3123, County_Data_CZones!$B$2:$F$3236, 5, FALSE)</f>
        <v>Cold</v>
      </c>
    </row>
    <row r="3124" ht="15.75" customHeight="1">
      <c r="A3124" s="32" t="s">
        <v>1165</v>
      </c>
      <c r="B3124" s="32" t="s">
        <v>1323</v>
      </c>
      <c r="C3124" s="32" t="str">
        <f>vlookup(B3124,State_EMM_RowSums!$A$2:$B$52,2,FALSE)</f>
        <v>WY</v>
      </c>
      <c r="D3124" s="32">
        <v>56007.0</v>
      </c>
      <c r="E3124" s="33">
        <f>IF(NOT(ISBLANK(vlookup($D3124,Pop_Census_2023!$A$2:$E$3220,4,FALSE))),vlookup($D3124,Pop_Census_2023!$A$2:$E$3220,4,FALSE), vlookup($D3124,Pop_Census_2023!$A$2:$E$3220,5,FALSE))</f>
        <v>14334</v>
      </c>
      <c r="F3124" s="32">
        <v>1605069.0</v>
      </c>
      <c r="G3124" s="32">
        <v>24.0</v>
      </c>
      <c r="H3124" s="32" t="str">
        <f>VLOOKUP(D3124, Grid_Region_Mapping!$D$2:$F$5286, 3, FALSE)</f>
        <v>BASN</v>
      </c>
      <c r="I3124" s="32">
        <v>8.0</v>
      </c>
      <c r="J3124" s="34" t="str">
        <f t="shared" si="1"/>
        <v>West</v>
      </c>
      <c r="K3124" s="35">
        <v>1.0</v>
      </c>
      <c r="L3124" s="35" t="s">
        <v>282</v>
      </c>
      <c r="M3124" s="36">
        <f>VLOOKUP(D3124, County_Data_CZones!$B$2:$F$3236, 2, FALSE)</f>
        <v>6</v>
      </c>
      <c r="N3124" s="37" t="str">
        <f>VLOOKUP(D3124, County_Data_CZones!$B$2:$F$3236, 5, FALSE)</f>
        <v>Cold</v>
      </c>
    </row>
    <row r="3125" ht="15.75" customHeight="1">
      <c r="A3125" s="32" t="s">
        <v>1978</v>
      </c>
      <c r="B3125" s="32" t="s">
        <v>1323</v>
      </c>
      <c r="C3125" s="32" t="str">
        <f>vlookup(B3125,State_EMM_RowSums!$A$2:$B$52,2,FALSE)</f>
        <v>WY</v>
      </c>
      <c r="D3125" s="32">
        <v>56009.0</v>
      </c>
      <c r="E3125" s="33">
        <f>IF(NOT(ISBLANK(vlookup($D3125,Pop_Census_2023!$A$2:$E$3220,4,FALSE))),vlookup($D3125,Pop_Census_2023!$A$2:$E$3220,4,FALSE), vlookup($D3125,Pop_Census_2023!$A$2:$E$3220,5,FALSE))</f>
        <v>13809</v>
      </c>
      <c r="F3125" s="32">
        <v>1605070.0</v>
      </c>
      <c r="G3125" s="32">
        <v>24.0</v>
      </c>
      <c r="H3125" s="32" t="str">
        <f>VLOOKUP(D3125, Grid_Region_Mapping!$D$2:$F$5286, 3, FALSE)</f>
        <v>RMRG</v>
      </c>
      <c r="I3125" s="32">
        <v>8.0</v>
      </c>
      <c r="J3125" s="34" t="str">
        <f t="shared" si="1"/>
        <v>West</v>
      </c>
      <c r="K3125" s="35">
        <v>1.0</v>
      </c>
      <c r="L3125" s="35" t="s">
        <v>282</v>
      </c>
      <c r="M3125" s="36">
        <f>VLOOKUP(D3125, County_Data_CZones!$B$2:$F$3236, 2, FALSE)</f>
        <v>6</v>
      </c>
      <c r="N3125" s="37" t="str">
        <f>VLOOKUP(D3125, County_Data_CZones!$B$2:$F$3236, 5, FALSE)</f>
        <v>Cold</v>
      </c>
    </row>
    <row r="3126" ht="15.75" customHeight="1">
      <c r="A3126" s="32" t="s">
        <v>1500</v>
      </c>
      <c r="B3126" s="32" t="s">
        <v>1323</v>
      </c>
      <c r="C3126" s="32" t="str">
        <f>vlookup(B3126,State_EMM_RowSums!$A$2:$B$52,2,FALSE)</f>
        <v>WY</v>
      </c>
      <c r="D3126" s="32">
        <v>56011.0</v>
      </c>
      <c r="E3126" s="33">
        <f>IF(NOT(ISBLANK(vlookup($D3126,Pop_Census_2023!$A$2:$E$3220,4,FALSE))),vlookup($D3126,Pop_Census_2023!$A$2:$E$3220,4,FALSE), vlookup($D3126,Pop_Census_2023!$A$2:$E$3220,5,FALSE))</f>
        <v>7592</v>
      </c>
      <c r="F3126" s="32">
        <v>1605071.0</v>
      </c>
      <c r="G3126" s="32">
        <v>23.0</v>
      </c>
      <c r="H3126" s="32" t="str">
        <f>VLOOKUP(D3126, Grid_Region_Mapping!$D$2:$F$5286, 3, FALSE)</f>
        <v>RMRG</v>
      </c>
      <c r="I3126" s="32">
        <v>8.0</v>
      </c>
      <c r="J3126" s="34" t="str">
        <f t="shared" si="1"/>
        <v>West</v>
      </c>
      <c r="K3126" s="35">
        <v>1.0</v>
      </c>
      <c r="L3126" s="35" t="s">
        <v>282</v>
      </c>
      <c r="M3126" s="36">
        <f>VLOOKUP(D3126, County_Data_CZones!$B$2:$F$3236, 2, FALSE)</f>
        <v>6</v>
      </c>
      <c r="N3126" s="37" t="str">
        <f>VLOOKUP(D3126, County_Data_CZones!$B$2:$F$3236, 5, FALSE)</f>
        <v>Cold</v>
      </c>
    </row>
    <row r="3127" ht="15.75" customHeight="1">
      <c r="A3127" s="32" t="s">
        <v>361</v>
      </c>
      <c r="B3127" s="32" t="s">
        <v>1323</v>
      </c>
      <c r="C3127" s="32" t="str">
        <f>vlookup(B3127,State_EMM_RowSums!$A$2:$B$52,2,FALSE)</f>
        <v>WY</v>
      </c>
      <c r="D3127" s="32">
        <v>56013.0</v>
      </c>
      <c r="E3127" s="33">
        <f>IF(NOT(ISBLANK(vlookup($D3127,Pop_Census_2023!$A$2:$E$3220,4,FALSE))),vlookup($D3127,Pop_Census_2023!$A$2:$E$3220,4,FALSE), vlookup($D3127,Pop_Census_2023!$A$2:$E$3220,5,FALSE))</f>
        <v>39815</v>
      </c>
      <c r="F3127" s="32">
        <v>1605072.0</v>
      </c>
      <c r="G3127" s="32">
        <v>21.0</v>
      </c>
      <c r="H3127" s="32" t="str">
        <f>VLOOKUP(D3127, Grid_Region_Mapping!$D$2:$F$5286, 3, FALSE)</f>
        <v>BASN</v>
      </c>
      <c r="I3127" s="32">
        <v>8.0</v>
      </c>
      <c r="J3127" s="34" t="str">
        <f t="shared" si="1"/>
        <v>West</v>
      </c>
      <c r="K3127" s="35">
        <v>1.0</v>
      </c>
      <c r="L3127" s="35" t="s">
        <v>282</v>
      </c>
      <c r="M3127" s="36">
        <f>VLOOKUP(D3127, County_Data_CZones!$B$2:$F$3236, 2, FALSE)</f>
        <v>6</v>
      </c>
      <c r="N3127" s="37" t="str">
        <f>VLOOKUP(D3127, County_Data_CZones!$B$2:$F$3236, 5, FALSE)</f>
        <v>Cold</v>
      </c>
    </row>
    <row r="3128" ht="15.75" customHeight="1">
      <c r="A3128" s="32" t="s">
        <v>1979</v>
      </c>
      <c r="B3128" s="32" t="s">
        <v>1323</v>
      </c>
      <c r="C3128" s="32" t="str">
        <f>vlookup(B3128,State_EMM_RowSums!$A$2:$B$52,2,FALSE)</f>
        <v>WY</v>
      </c>
      <c r="D3128" s="32">
        <v>56015.0</v>
      </c>
      <c r="E3128" s="33">
        <f>IF(NOT(ISBLANK(vlookup($D3128,Pop_Census_2023!$A$2:$E$3220,4,FALSE))),vlookup($D3128,Pop_Census_2023!$A$2:$E$3220,4,FALSE), vlookup($D3128,Pop_Census_2023!$A$2:$E$3220,5,FALSE))</f>
        <v>12642</v>
      </c>
      <c r="F3128" s="32">
        <v>1605073.0</v>
      </c>
      <c r="G3128" s="32">
        <v>24.0</v>
      </c>
      <c r="H3128" s="32" t="str">
        <f>VLOOKUP(D3128, Grid_Region_Mapping!$D$2:$F$5286, 3, FALSE)</f>
        <v>RMRG</v>
      </c>
      <c r="I3128" s="32">
        <v>8.0</v>
      </c>
      <c r="J3128" s="34" t="str">
        <f t="shared" si="1"/>
        <v>West</v>
      </c>
      <c r="K3128" s="35">
        <v>2.0</v>
      </c>
      <c r="L3128" s="35" t="s">
        <v>202</v>
      </c>
      <c r="M3128" s="36">
        <f>VLOOKUP(D3128, County_Data_CZones!$B$2:$F$3236, 2, FALSE)</f>
        <v>5</v>
      </c>
      <c r="N3128" s="37" t="str">
        <f>VLOOKUP(D3128, County_Data_CZones!$B$2:$F$3236, 5, FALSE)</f>
        <v>Cold</v>
      </c>
    </row>
    <row r="3129" ht="15.75" customHeight="1">
      <c r="A3129" s="32" t="s">
        <v>1980</v>
      </c>
      <c r="B3129" s="32" t="s">
        <v>1323</v>
      </c>
      <c r="C3129" s="32" t="str">
        <f>vlookup(B3129,State_EMM_RowSums!$A$2:$B$52,2,FALSE)</f>
        <v>WY</v>
      </c>
      <c r="D3129" s="32">
        <v>56017.0</v>
      </c>
      <c r="E3129" s="33">
        <f>IF(NOT(ISBLANK(vlookup($D3129,Pop_Census_2023!$A$2:$E$3220,4,FALSE))),vlookup($D3129,Pop_Census_2023!$A$2:$E$3220,4,FALSE), vlookup($D3129,Pop_Census_2023!$A$2:$E$3220,5,FALSE))</f>
        <v>4661</v>
      </c>
      <c r="F3129" s="32">
        <v>1605074.0</v>
      </c>
      <c r="G3129" s="32">
        <v>21.0</v>
      </c>
      <c r="H3129" s="32" t="str">
        <f>VLOOKUP(D3129, Grid_Region_Mapping!$D$2:$F$5286, 3, FALSE)</f>
        <v>BASN</v>
      </c>
      <c r="I3129" s="32">
        <v>8.0</v>
      </c>
      <c r="J3129" s="34" t="str">
        <f t="shared" si="1"/>
        <v>West</v>
      </c>
      <c r="K3129" s="35">
        <v>1.0</v>
      </c>
      <c r="L3129" s="35" t="s">
        <v>282</v>
      </c>
      <c r="M3129" s="36">
        <f>VLOOKUP(D3129, County_Data_CZones!$B$2:$F$3236, 2, FALSE)</f>
        <v>6</v>
      </c>
      <c r="N3129" s="37" t="str">
        <f>VLOOKUP(D3129, County_Data_CZones!$B$2:$F$3236, 5, FALSE)</f>
        <v>Cold</v>
      </c>
    </row>
    <row r="3130" ht="15.75" customHeight="1">
      <c r="A3130" s="32" t="s">
        <v>248</v>
      </c>
      <c r="B3130" s="32" t="s">
        <v>1323</v>
      </c>
      <c r="C3130" s="32" t="str">
        <f>vlookup(B3130,State_EMM_RowSums!$A$2:$B$52,2,FALSE)</f>
        <v>WY</v>
      </c>
      <c r="D3130" s="32">
        <v>56019.0</v>
      </c>
      <c r="E3130" s="33">
        <f>IF(NOT(ISBLANK(vlookup($D3130,Pop_Census_2023!$A$2:$E$3220,4,FALSE))),vlookup($D3130,Pop_Census_2023!$A$2:$E$3220,4,FALSE), vlookup($D3130,Pop_Census_2023!$A$2:$E$3220,5,FALSE))</f>
        <v>8759</v>
      </c>
      <c r="F3130" s="32">
        <v>1609191.0</v>
      </c>
      <c r="G3130" s="32">
        <v>22.0</v>
      </c>
      <c r="H3130" s="32" t="str">
        <f>VLOOKUP(D3130, Grid_Region_Mapping!$D$2:$F$5286, 3, FALSE)</f>
        <v>RMRG</v>
      </c>
      <c r="I3130" s="32">
        <v>8.0</v>
      </c>
      <c r="J3130" s="34" t="str">
        <f t="shared" si="1"/>
        <v>West</v>
      </c>
      <c r="K3130" s="35">
        <v>1.0</v>
      </c>
      <c r="L3130" s="35" t="s">
        <v>282</v>
      </c>
      <c r="M3130" s="36">
        <f>VLOOKUP(D3130, County_Data_CZones!$B$2:$F$3236, 2, FALSE)</f>
        <v>6</v>
      </c>
      <c r="N3130" s="37" t="str">
        <f>VLOOKUP(D3130, County_Data_CZones!$B$2:$F$3236, 5, FALSE)</f>
        <v>Cold</v>
      </c>
    </row>
    <row r="3131" ht="15.75" customHeight="1">
      <c r="A3131" s="32" t="s">
        <v>1981</v>
      </c>
      <c r="B3131" s="32" t="s">
        <v>1323</v>
      </c>
      <c r="C3131" s="32" t="str">
        <f>vlookup(B3131,State_EMM_RowSums!$A$2:$B$52,2,FALSE)</f>
        <v>WY</v>
      </c>
      <c r="D3131" s="32">
        <v>56021.0</v>
      </c>
      <c r="E3131" s="33">
        <f>IF(NOT(ISBLANK(vlookup($D3131,Pop_Census_2023!$A$2:$E$3220,4,FALSE))),vlookup($D3131,Pop_Census_2023!$A$2:$E$3220,4,FALSE), vlookup($D3131,Pop_Census_2023!$A$2:$E$3220,5,FALSE))</f>
        <v>100984</v>
      </c>
      <c r="F3131" s="32">
        <v>1605075.0</v>
      </c>
      <c r="G3131" s="32">
        <v>24.0</v>
      </c>
      <c r="H3131" s="32" t="str">
        <f>VLOOKUP(D3131, Grid_Region_Mapping!$D$2:$F$5286, 3, FALSE)</f>
        <v>RMRG</v>
      </c>
      <c r="I3131" s="32">
        <v>8.0</v>
      </c>
      <c r="J3131" s="34" t="str">
        <f t="shared" si="1"/>
        <v>West</v>
      </c>
      <c r="K3131" s="35">
        <v>1.0</v>
      </c>
      <c r="L3131" s="35" t="s">
        <v>282</v>
      </c>
      <c r="M3131" s="36">
        <f>VLOOKUP(D3131, County_Data_CZones!$B$2:$F$3236, 2, FALSE)</f>
        <v>6</v>
      </c>
      <c r="N3131" s="37" t="str">
        <f>VLOOKUP(D3131, County_Data_CZones!$B$2:$F$3236, 5, FALSE)</f>
        <v>Cold</v>
      </c>
    </row>
    <row r="3132" ht="15.75" customHeight="1">
      <c r="A3132" s="32" t="s">
        <v>250</v>
      </c>
      <c r="B3132" s="32" t="s">
        <v>1323</v>
      </c>
      <c r="C3132" s="32" t="str">
        <f>vlookup(B3132,State_EMM_RowSums!$A$2:$B$52,2,FALSE)</f>
        <v>WY</v>
      </c>
      <c r="D3132" s="32">
        <v>56023.0</v>
      </c>
      <c r="E3132" s="33">
        <f>IF(NOT(ISBLANK(vlookup($D3132,Pop_Census_2023!$A$2:$E$3220,4,FALSE))),vlookup($D3132,Pop_Census_2023!$A$2:$E$3220,4,FALSE), vlookup($D3132,Pop_Census_2023!$A$2:$E$3220,5,FALSE))</f>
        <v>20880</v>
      </c>
      <c r="F3132" s="32">
        <v>1605076.0</v>
      </c>
      <c r="G3132" s="32">
        <v>21.0</v>
      </c>
      <c r="H3132" s="32" t="str">
        <f>VLOOKUP(D3132, Grid_Region_Mapping!$D$2:$F$5286, 3, FALSE)</f>
        <v>BASN</v>
      </c>
      <c r="I3132" s="32">
        <v>8.0</v>
      </c>
      <c r="J3132" s="34" t="str">
        <f t="shared" si="1"/>
        <v>West</v>
      </c>
      <c r="K3132" s="35">
        <v>1.0</v>
      </c>
      <c r="L3132" s="35">
        <v>7.0</v>
      </c>
      <c r="M3132" s="36">
        <f>VLOOKUP(D3132, County_Data_CZones!$B$2:$F$3236, 2, FALSE)</f>
        <v>7</v>
      </c>
      <c r="N3132" s="37" t="str">
        <f>VLOOKUP(D3132, County_Data_CZones!$B$2:$F$3236, 5, FALSE)</f>
        <v>Very Cold</v>
      </c>
    </row>
    <row r="3133" ht="15.75" customHeight="1">
      <c r="A3133" s="32" t="s">
        <v>1982</v>
      </c>
      <c r="B3133" s="32" t="s">
        <v>1323</v>
      </c>
      <c r="C3133" s="32" t="str">
        <f>vlookup(B3133,State_EMM_RowSums!$A$2:$B$52,2,FALSE)</f>
        <v>WY</v>
      </c>
      <c r="D3133" s="32">
        <v>56025.0</v>
      </c>
      <c r="E3133" s="33">
        <f>IF(NOT(ISBLANK(vlookup($D3133,Pop_Census_2023!$A$2:$E$3220,4,FALSE))),vlookup($D3133,Pop_Census_2023!$A$2:$E$3220,4,FALSE), vlookup($D3133,Pop_Census_2023!$A$2:$E$3220,5,FALSE))</f>
        <v>79941</v>
      </c>
      <c r="F3133" s="32">
        <v>1605077.0</v>
      </c>
      <c r="G3133" s="32">
        <v>24.0</v>
      </c>
      <c r="H3133" s="32" t="str">
        <f>VLOOKUP(D3133, Grid_Region_Mapping!$D$2:$F$5286, 3, FALSE)</f>
        <v>BASN</v>
      </c>
      <c r="I3133" s="32">
        <v>8.0</v>
      </c>
      <c r="J3133" s="34" t="str">
        <f t="shared" si="1"/>
        <v>West</v>
      </c>
      <c r="K3133" s="35">
        <v>1.0</v>
      </c>
      <c r="L3133" s="35" t="s">
        <v>282</v>
      </c>
      <c r="M3133" s="36">
        <f>VLOOKUP(D3133, County_Data_CZones!$B$2:$F$3236, 2, FALSE)</f>
        <v>6</v>
      </c>
      <c r="N3133" s="37" t="str">
        <f>VLOOKUP(D3133, County_Data_CZones!$B$2:$F$3236, 5, FALSE)</f>
        <v>Cold</v>
      </c>
    </row>
    <row r="3134" ht="15.75" customHeight="1">
      <c r="A3134" s="32" t="s">
        <v>1983</v>
      </c>
      <c r="B3134" s="32" t="s">
        <v>1323</v>
      </c>
      <c r="C3134" s="32" t="str">
        <f>vlookup(B3134,State_EMM_RowSums!$A$2:$B$52,2,FALSE)</f>
        <v>WY</v>
      </c>
      <c r="D3134" s="32">
        <v>56027.0</v>
      </c>
      <c r="E3134" s="33">
        <f>IF(NOT(ISBLANK(vlookup($D3134,Pop_Census_2023!$A$2:$E$3220,4,FALSE))),vlookup($D3134,Pop_Census_2023!$A$2:$E$3220,4,FALSE), vlookup($D3134,Pop_Census_2023!$A$2:$E$3220,5,FALSE))</f>
        <v>2354</v>
      </c>
      <c r="F3134" s="32">
        <v>1605078.0</v>
      </c>
      <c r="G3134" s="32">
        <v>24.0</v>
      </c>
      <c r="H3134" s="32" t="str">
        <f>VLOOKUP(D3134, Grid_Region_Mapping!$D$2:$F$5286, 3, FALSE)</f>
        <v>RMRG</v>
      </c>
      <c r="I3134" s="32">
        <v>8.0</v>
      </c>
      <c r="J3134" s="34" t="str">
        <f t="shared" si="1"/>
        <v>West</v>
      </c>
      <c r="K3134" s="35">
        <v>1.0</v>
      </c>
      <c r="L3134" s="35" t="s">
        <v>282</v>
      </c>
      <c r="M3134" s="36">
        <f>VLOOKUP(D3134, County_Data_CZones!$B$2:$F$3236, 2, FALSE)</f>
        <v>6</v>
      </c>
      <c r="N3134" s="37" t="str">
        <f>VLOOKUP(D3134, County_Data_CZones!$B$2:$F$3236, 5, FALSE)</f>
        <v>Cold</v>
      </c>
    </row>
    <row r="3135" ht="15.75" customHeight="1">
      <c r="A3135" s="32" t="s">
        <v>380</v>
      </c>
      <c r="B3135" s="32" t="s">
        <v>1323</v>
      </c>
      <c r="C3135" s="32" t="str">
        <f>vlookup(B3135,State_EMM_RowSums!$A$2:$B$52,2,FALSE)</f>
        <v>WY</v>
      </c>
      <c r="D3135" s="32">
        <v>56029.0</v>
      </c>
      <c r="E3135" s="33">
        <f>IF(NOT(ISBLANK(vlookup($D3135,Pop_Census_2023!$A$2:$E$3220,4,FALSE))),vlookup($D3135,Pop_Census_2023!$A$2:$E$3220,4,FALSE), vlookup($D3135,Pop_Census_2023!$A$2:$E$3220,5,FALSE))</f>
        <v>30735</v>
      </c>
      <c r="F3135" s="32">
        <v>1605079.0</v>
      </c>
      <c r="G3135" s="32">
        <v>21.0</v>
      </c>
      <c r="H3135" s="32" t="str">
        <f>VLOOKUP(D3135, Grid_Region_Mapping!$D$2:$F$5286, 3, FALSE)</f>
        <v>BASN</v>
      </c>
      <c r="I3135" s="32">
        <v>8.0</v>
      </c>
      <c r="J3135" s="34" t="str">
        <f t="shared" si="1"/>
        <v>West</v>
      </c>
      <c r="K3135" s="35">
        <v>1.0</v>
      </c>
      <c r="L3135" s="35" t="s">
        <v>282</v>
      </c>
      <c r="M3135" s="36">
        <f>VLOOKUP(D3135, County_Data_CZones!$B$2:$F$3236, 2, FALSE)</f>
        <v>6</v>
      </c>
      <c r="N3135" s="37" t="str">
        <f>VLOOKUP(D3135, County_Data_CZones!$B$2:$F$3236, 5, FALSE)</f>
        <v>Cold</v>
      </c>
    </row>
    <row r="3136" ht="15.75" customHeight="1">
      <c r="A3136" s="32" t="s">
        <v>1149</v>
      </c>
      <c r="B3136" s="32" t="s">
        <v>1323</v>
      </c>
      <c r="C3136" s="32" t="str">
        <f>vlookup(B3136,State_EMM_RowSums!$A$2:$B$52,2,FALSE)</f>
        <v>WY</v>
      </c>
      <c r="D3136" s="32">
        <v>56031.0</v>
      </c>
      <c r="E3136" s="33">
        <f>IF(NOT(ISBLANK(vlookup($D3136,Pop_Census_2023!$A$2:$E$3220,4,FALSE))),vlookup($D3136,Pop_Census_2023!$A$2:$E$3220,4,FALSE), vlookup($D3136,Pop_Census_2023!$A$2:$E$3220,5,FALSE))</f>
        <v>8546</v>
      </c>
      <c r="F3136" s="32">
        <v>1605080.0</v>
      </c>
      <c r="G3136" s="32">
        <v>24.0</v>
      </c>
      <c r="H3136" s="32" t="str">
        <f>VLOOKUP(D3136, Grid_Region_Mapping!$D$2:$F$5286, 3, FALSE)</f>
        <v>RMRG</v>
      </c>
      <c r="I3136" s="32">
        <v>8.0</v>
      </c>
      <c r="J3136" s="34" t="str">
        <f t="shared" si="1"/>
        <v>West</v>
      </c>
      <c r="K3136" s="35">
        <v>2.0</v>
      </c>
      <c r="L3136" s="35" t="s">
        <v>202</v>
      </c>
      <c r="M3136" s="36">
        <f>VLOOKUP(D3136, County_Data_CZones!$B$2:$F$3236, 2, FALSE)</f>
        <v>5</v>
      </c>
      <c r="N3136" s="37" t="str">
        <f>VLOOKUP(D3136, County_Data_CZones!$B$2:$F$3236, 5, FALSE)</f>
        <v>Cold</v>
      </c>
    </row>
    <row r="3137" ht="15.75" customHeight="1">
      <c r="A3137" s="32" t="s">
        <v>804</v>
      </c>
      <c r="B3137" s="32" t="s">
        <v>1323</v>
      </c>
      <c r="C3137" s="32" t="str">
        <f>vlookup(B3137,State_EMM_RowSums!$A$2:$B$52,2,FALSE)</f>
        <v>WY</v>
      </c>
      <c r="D3137" s="32">
        <v>56033.0</v>
      </c>
      <c r="E3137" s="33">
        <f>IF(NOT(ISBLANK(vlookup($D3137,Pop_Census_2023!$A$2:$E$3220,4,FALSE))),vlookup($D3137,Pop_Census_2023!$A$2:$E$3220,4,FALSE), vlookup($D3137,Pop_Census_2023!$A$2:$E$3220,5,FALSE))</f>
        <v>32519</v>
      </c>
      <c r="F3137" s="32">
        <v>1605081.0</v>
      </c>
      <c r="G3137" s="32">
        <v>22.0</v>
      </c>
      <c r="H3137" s="32" t="str">
        <f>VLOOKUP(D3137, Grid_Region_Mapping!$D$2:$F$5286, 3, FALSE)</f>
        <v>RMRG</v>
      </c>
      <c r="I3137" s="32">
        <v>8.0</v>
      </c>
      <c r="J3137" s="34" t="str">
        <f t="shared" si="1"/>
        <v>West</v>
      </c>
      <c r="K3137" s="35">
        <v>1.0</v>
      </c>
      <c r="L3137" s="35" t="s">
        <v>282</v>
      </c>
      <c r="M3137" s="36">
        <f>VLOOKUP(D3137, County_Data_CZones!$B$2:$F$3236, 2, FALSE)</f>
        <v>6</v>
      </c>
      <c r="N3137" s="37" t="str">
        <f>VLOOKUP(D3137, County_Data_CZones!$B$2:$F$3236, 5, FALSE)</f>
        <v>Cold</v>
      </c>
    </row>
    <row r="3138" ht="15.75" customHeight="1">
      <c r="A3138" s="32" t="s">
        <v>1984</v>
      </c>
      <c r="B3138" s="32" t="s">
        <v>1323</v>
      </c>
      <c r="C3138" s="32" t="str">
        <f>vlookup(B3138,State_EMM_RowSums!$A$2:$B$52,2,FALSE)</f>
        <v>WY</v>
      </c>
      <c r="D3138" s="32">
        <v>56035.0</v>
      </c>
      <c r="E3138" s="33">
        <f>IF(NOT(ISBLANK(vlookup($D3138,Pop_Census_2023!$A$2:$E$3220,4,FALSE))),vlookup($D3138,Pop_Census_2023!$A$2:$E$3220,4,FALSE), vlookup($D3138,Pop_Census_2023!$A$2:$E$3220,5,FALSE))</f>
        <v>8969</v>
      </c>
      <c r="F3138" s="32">
        <v>1605082.0</v>
      </c>
      <c r="G3138" s="32">
        <v>21.0</v>
      </c>
      <c r="H3138" s="32" t="str">
        <f>VLOOKUP(D3138, Grid_Region_Mapping!$D$2:$F$5286, 3, FALSE)</f>
        <v>BASN</v>
      </c>
      <c r="I3138" s="32">
        <v>8.0</v>
      </c>
      <c r="J3138" s="34" t="str">
        <f t="shared" si="1"/>
        <v>West</v>
      </c>
      <c r="K3138" s="35">
        <v>1.0</v>
      </c>
      <c r="L3138" s="35">
        <v>7.0</v>
      </c>
      <c r="M3138" s="36">
        <f>VLOOKUP(D3138, County_Data_CZones!$B$2:$F$3236, 2, FALSE)</f>
        <v>7</v>
      </c>
      <c r="N3138" s="37" t="str">
        <f>VLOOKUP(D3138, County_Data_CZones!$B$2:$F$3236, 5, FALSE)</f>
        <v>Very Cold</v>
      </c>
    </row>
    <row r="3139" ht="15.75" customHeight="1">
      <c r="A3139" s="32" t="s">
        <v>1985</v>
      </c>
      <c r="B3139" s="32" t="s">
        <v>1323</v>
      </c>
      <c r="C3139" s="32" t="str">
        <f>vlookup(B3139,State_EMM_RowSums!$A$2:$B$52,2,FALSE)</f>
        <v>WY</v>
      </c>
      <c r="D3139" s="32">
        <v>56037.0</v>
      </c>
      <c r="E3139" s="33">
        <f>IF(NOT(ISBLANK(vlookup($D3139,Pop_Census_2023!$A$2:$E$3220,4,FALSE))),vlookup($D3139,Pop_Census_2023!$A$2:$E$3220,4,FALSE), vlookup($D3139,Pop_Census_2023!$A$2:$E$3220,5,FALSE))</f>
        <v>41249</v>
      </c>
      <c r="F3139" s="32">
        <v>1609192.0</v>
      </c>
      <c r="G3139" s="32">
        <v>21.0</v>
      </c>
      <c r="H3139" s="32" t="str">
        <f>VLOOKUP(D3139, Grid_Region_Mapping!$D$2:$F$5286, 3, FALSE)</f>
        <v>BASN</v>
      </c>
      <c r="I3139" s="32">
        <v>8.0</v>
      </c>
      <c r="J3139" s="34" t="str">
        <f t="shared" si="1"/>
        <v>West</v>
      </c>
      <c r="K3139" s="35">
        <v>1.0</v>
      </c>
      <c r="L3139" s="35" t="s">
        <v>282</v>
      </c>
      <c r="M3139" s="36">
        <f>VLOOKUP(D3139, County_Data_CZones!$B$2:$F$3236, 2, FALSE)</f>
        <v>6</v>
      </c>
      <c r="N3139" s="37" t="str">
        <f>VLOOKUP(D3139, County_Data_CZones!$B$2:$F$3236, 5, FALSE)</f>
        <v>Cold</v>
      </c>
    </row>
    <row r="3140" ht="15.75" customHeight="1">
      <c r="A3140" s="32" t="s">
        <v>605</v>
      </c>
      <c r="B3140" s="32" t="s">
        <v>1323</v>
      </c>
      <c r="C3140" s="32" t="str">
        <f>vlookup(B3140,State_EMM_RowSums!$A$2:$B$52,2,FALSE)</f>
        <v>WY</v>
      </c>
      <c r="D3140" s="32">
        <v>56039.0</v>
      </c>
      <c r="E3140" s="33">
        <f>IF(NOT(ISBLANK(vlookup($D3140,Pop_Census_2023!$A$2:$E$3220,4,FALSE))),vlookup($D3140,Pop_Census_2023!$A$2:$E$3220,4,FALSE), vlookup($D3140,Pop_Census_2023!$A$2:$E$3220,5,FALSE))</f>
        <v>23232</v>
      </c>
      <c r="F3140" s="32">
        <v>1605083.0</v>
      </c>
      <c r="G3140" s="32">
        <v>21.0</v>
      </c>
      <c r="H3140" s="32" t="str">
        <f>VLOOKUP(D3140, Grid_Region_Mapping!$D$2:$F$5286, 3, FALSE)</f>
        <v>BASN</v>
      </c>
      <c r="I3140" s="32">
        <v>8.0</v>
      </c>
      <c r="J3140" s="34" t="str">
        <f t="shared" si="1"/>
        <v>West</v>
      </c>
      <c r="K3140" s="35">
        <v>1.0</v>
      </c>
      <c r="L3140" s="35">
        <v>7.0</v>
      </c>
      <c r="M3140" s="36">
        <f>VLOOKUP(D3140, County_Data_CZones!$B$2:$F$3236, 2, FALSE)</f>
        <v>7</v>
      </c>
      <c r="N3140" s="37" t="str">
        <f>VLOOKUP(D3140, County_Data_CZones!$B$2:$F$3236, 5, FALSE)</f>
        <v>Very Cold</v>
      </c>
    </row>
    <row r="3141" ht="15.75" customHeight="1">
      <c r="A3141" s="32" t="s">
        <v>1986</v>
      </c>
      <c r="B3141" s="32" t="s">
        <v>1323</v>
      </c>
      <c r="C3141" s="32" t="str">
        <f>vlookup(B3141,State_EMM_RowSums!$A$2:$B$52,2,FALSE)</f>
        <v>WY</v>
      </c>
      <c r="D3141" s="32">
        <v>56041.0</v>
      </c>
      <c r="E3141" s="33">
        <f>IF(NOT(ISBLANK(vlookup($D3141,Pop_Census_2023!$A$2:$E$3220,4,FALSE))),vlookup($D3141,Pop_Census_2023!$A$2:$E$3220,4,FALSE), vlookup($D3141,Pop_Census_2023!$A$2:$E$3220,5,FALSE))</f>
        <v>20745</v>
      </c>
      <c r="F3141" s="32">
        <v>1605084.0</v>
      </c>
      <c r="G3141" s="32">
        <v>21.0</v>
      </c>
      <c r="H3141" s="32" t="str">
        <f>VLOOKUP(D3141, Grid_Region_Mapping!$D$2:$F$5286, 3, FALSE)</f>
        <v>BASN</v>
      </c>
      <c r="I3141" s="32">
        <v>8.0</v>
      </c>
      <c r="J3141" s="34" t="str">
        <f t="shared" si="1"/>
        <v>West</v>
      </c>
      <c r="K3141" s="35">
        <v>1.0</v>
      </c>
      <c r="L3141" s="35" t="s">
        <v>282</v>
      </c>
      <c r="M3141" s="36">
        <f>VLOOKUP(D3141, County_Data_CZones!$B$2:$F$3236, 2, FALSE)</f>
        <v>6</v>
      </c>
      <c r="N3141" s="37" t="str">
        <f>VLOOKUP(D3141, County_Data_CZones!$B$2:$F$3236, 5, FALSE)</f>
        <v>Cold</v>
      </c>
    </row>
    <row r="3142" ht="15.75" customHeight="1">
      <c r="A3142" s="32" t="s">
        <v>1987</v>
      </c>
      <c r="B3142" s="32" t="s">
        <v>1323</v>
      </c>
      <c r="C3142" s="32" t="str">
        <f>vlookup(B3142,State_EMM_RowSums!$A$2:$B$52,2,FALSE)</f>
        <v>WY</v>
      </c>
      <c r="D3142" s="32">
        <v>56043.0</v>
      </c>
      <c r="E3142" s="33">
        <f>IF(NOT(ISBLANK(vlookup($D3142,Pop_Census_2023!$A$2:$E$3220,4,FALSE))),vlookup($D3142,Pop_Census_2023!$A$2:$E$3220,4,FALSE), vlookup($D3142,Pop_Census_2023!$A$2:$E$3220,5,FALSE))</f>
        <v>7710</v>
      </c>
      <c r="F3142" s="32">
        <v>1605085.0</v>
      </c>
      <c r="G3142" s="32">
        <v>21.0</v>
      </c>
      <c r="H3142" s="32" t="str">
        <f>VLOOKUP(D3142, Grid_Region_Mapping!$D$2:$F$5286, 3, FALSE)</f>
        <v>BASN</v>
      </c>
      <c r="I3142" s="32">
        <v>8.0</v>
      </c>
      <c r="J3142" s="34" t="str">
        <f t="shared" si="1"/>
        <v>West</v>
      </c>
      <c r="K3142" s="35">
        <v>1.0</v>
      </c>
      <c r="L3142" s="35" t="s">
        <v>282</v>
      </c>
      <c r="M3142" s="36">
        <f>VLOOKUP(D3142, County_Data_CZones!$B$2:$F$3236, 2, FALSE)</f>
        <v>6</v>
      </c>
      <c r="N3142" s="37" t="str">
        <f>VLOOKUP(D3142, County_Data_CZones!$B$2:$F$3236, 5, FALSE)</f>
        <v>Cold</v>
      </c>
    </row>
    <row r="3143" ht="15.75" customHeight="1">
      <c r="A3143" s="32" t="s">
        <v>1988</v>
      </c>
      <c r="B3143" s="32" t="s">
        <v>1323</v>
      </c>
      <c r="C3143" s="32" t="str">
        <f>vlookup(B3143,State_EMM_RowSums!$A$2:$B$52,2,FALSE)</f>
        <v>WY</v>
      </c>
      <c r="D3143" s="32">
        <v>56045.0</v>
      </c>
      <c r="E3143" s="33">
        <f>IF(NOT(ISBLANK(vlookup($D3143,Pop_Census_2023!$A$2:$E$3220,4,FALSE))),vlookup($D3143,Pop_Census_2023!$A$2:$E$3220,4,FALSE), vlookup($D3143,Pop_Census_2023!$A$2:$E$3220,5,FALSE))</f>
        <v>6808</v>
      </c>
      <c r="F3143" s="32">
        <v>1605086.0</v>
      </c>
      <c r="G3143" s="32">
        <v>23.0</v>
      </c>
      <c r="H3143" s="32" t="str">
        <f>VLOOKUP(D3143, Grid_Region_Mapping!$D$2:$F$5286, 3, FALSE)</f>
        <v>RMRG</v>
      </c>
      <c r="I3143" s="32">
        <v>8.0</v>
      </c>
      <c r="J3143" s="34" t="str">
        <f t="shared" si="1"/>
        <v>West</v>
      </c>
      <c r="K3143" s="35">
        <v>1.0</v>
      </c>
      <c r="L3143" s="35" t="s">
        <v>282</v>
      </c>
      <c r="M3143" s="36">
        <f>VLOOKUP(D3143, County_Data_CZones!$B$2:$F$3236, 2, FALSE)</f>
        <v>6</v>
      </c>
      <c r="N3143" s="37" t="str">
        <f>VLOOKUP(D3143, County_Data_CZones!$B$2:$F$3236, 5, FALSE)</f>
        <v>Cold</v>
      </c>
    </row>
    <row r="3144" ht="15.75" customHeight="1">
      <c r="A3144" s="32"/>
      <c r="B3144" s="32"/>
      <c r="C3144" s="32"/>
      <c r="D3144" s="32"/>
      <c r="E3144" s="35"/>
      <c r="F3144" s="32"/>
      <c r="G3144" s="32"/>
      <c r="H3144" s="32"/>
      <c r="I3144" s="32"/>
      <c r="K3144" s="35"/>
      <c r="L3144" s="35"/>
      <c r="M3144" s="37"/>
      <c r="N3144" s="37"/>
    </row>
    <row r="3145" ht="15.75" customHeight="1">
      <c r="A3145" s="32"/>
      <c r="B3145" s="32"/>
      <c r="C3145" s="32"/>
      <c r="D3145" s="32"/>
      <c r="E3145" s="35"/>
      <c r="F3145" s="32"/>
      <c r="G3145" s="32"/>
      <c r="H3145" s="32"/>
      <c r="I3145" s="32"/>
      <c r="K3145" s="35"/>
      <c r="L3145" s="35"/>
      <c r="M3145" s="37"/>
      <c r="N3145" s="37"/>
    </row>
    <row r="3146" ht="15.75" customHeight="1">
      <c r="A3146" s="32"/>
      <c r="B3146" s="32"/>
      <c r="C3146" s="32"/>
      <c r="D3146" s="32"/>
      <c r="E3146" s="35"/>
      <c r="F3146" s="32"/>
      <c r="G3146" s="32"/>
      <c r="H3146" s="32"/>
      <c r="I3146" s="32"/>
      <c r="K3146" s="35"/>
      <c r="L3146" s="35"/>
      <c r="M3146" s="37"/>
      <c r="N3146" s="37"/>
    </row>
    <row r="3147" ht="15.75" customHeight="1">
      <c r="A3147" s="32"/>
      <c r="B3147" s="32"/>
      <c r="C3147" s="32"/>
      <c r="D3147" s="32"/>
      <c r="E3147" s="35"/>
      <c r="F3147" s="32"/>
      <c r="G3147" s="32"/>
      <c r="H3147" s="32"/>
      <c r="I3147" s="32"/>
      <c r="K3147" s="35"/>
      <c r="L3147" s="35"/>
      <c r="M3147" s="37"/>
      <c r="N3147" s="37"/>
    </row>
    <row r="3148" ht="15.75" customHeight="1">
      <c r="A3148" s="32"/>
      <c r="B3148" s="32"/>
      <c r="C3148" s="32"/>
      <c r="D3148" s="32"/>
      <c r="E3148" s="35"/>
      <c r="F3148" s="32"/>
      <c r="G3148" s="32"/>
      <c r="H3148" s="32"/>
      <c r="I3148" s="32"/>
      <c r="K3148" s="35"/>
      <c r="L3148" s="35"/>
      <c r="M3148" s="37"/>
      <c r="N3148" s="37"/>
    </row>
    <row r="3149" ht="15.75" customHeight="1">
      <c r="A3149" s="32"/>
      <c r="B3149" s="32"/>
      <c r="C3149" s="32"/>
      <c r="D3149" s="32"/>
      <c r="E3149" s="35"/>
      <c r="F3149" s="32"/>
      <c r="G3149" s="32"/>
      <c r="H3149" s="32"/>
      <c r="I3149" s="32"/>
      <c r="K3149" s="35"/>
      <c r="L3149" s="35"/>
      <c r="M3149" s="37"/>
      <c r="N3149" s="37"/>
    </row>
    <row r="3150" ht="15.75" customHeight="1">
      <c r="A3150" s="32"/>
      <c r="B3150" s="32"/>
      <c r="C3150" s="32"/>
      <c r="D3150" s="32"/>
      <c r="E3150" s="35"/>
      <c r="F3150" s="32"/>
      <c r="G3150" s="32"/>
      <c r="H3150" s="32"/>
      <c r="I3150" s="32"/>
      <c r="K3150" s="35"/>
      <c r="L3150" s="35"/>
      <c r="M3150" s="37"/>
      <c r="N3150" s="37"/>
    </row>
    <row r="3151" ht="15.75" customHeight="1">
      <c r="A3151" s="32"/>
      <c r="B3151" s="32"/>
      <c r="C3151" s="32"/>
      <c r="D3151" s="32"/>
      <c r="E3151" s="35"/>
      <c r="F3151" s="32"/>
      <c r="G3151" s="32"/>
      <c r="H3151" s="32"/>
      <c r="I3151" s="32"/>
      <c r="K3151" s="35"/>
      <c r="L3151" s="35"/>
      <c r="M3151" s="37"/>
      <c r="N3151" s="37"/>
    </row>
    <row r="3152" ht="15.75" customHeight="1">
      <c r="A3152" s="32"/>
      <c r="B3152" s="32"/>
      <c r="C3152" s="32"/>
      <c r="D3152" s="32"/>
      <c r="E3152" s="35"/>
      <c r="F3152" s="32"/>
      <c r="G3152" s="32"/>
      <c r="H3152" s="32"/>
      <c r="I3152" s="32"/>
      <c r="K3152" s="35"/>
      <c r="L3152" s="35"/>
      <c r="M3152" s="37"/>
      <c r="N3152" s="37"/>
    </row>
    <row r="3153" ht="15.75" customHeight="1">
      <c r="A3153" s="32"/>
      <c r="B3153" s="32"/>
      <c r="C3153" s="32"/>
      <c r="D3153" s="32"/>
      <c r="E3153" s="35"/>
      <c r="F3153" s="32"/>
      <c r="G3153" s="32"/>
      <c r="H3153" s="32"/>
      <c r="I3153" s="32"/>
      <c r="K3153" s="35"/>
      <c r="L3153" s="35"/>
      <c r="M3153" s="37"/>
      <c r="N3153" s="37"/>
    </row>
    <row r="3154" ht="15.75" customHeight="1">
      <c r="A3154" s="32"/>
      <c r="B3154" s="32"/>
      <c r="C3154" s="32"/>
      <c r="D3154" s="32"/>
      <c r="E3154" s="35"/>
      <c r="F3154" s="32"/>
      <c r="G3154" s="32"/>
      <c r="H3154" s="32"/>
      <c r="I3154" s="32"/>
      <c r="K3154" s="35"/>
      <c r="L3154" s="35"/>
      <c r="M3154" s="37"/>
      <c r="N3154" s="37"/>
    </row>
    <row r="3155" ht="15.75" customHeight="1">
      <c r="A3155" s="32"/>
      <c r="B3155" s="32"/>
      <c r="C3155" s="32"/>
      <c r="D3155" s="32"/>
      <c r="E3155" s="35"/>
      <c r="F3155" s="32"/>
      <c r="G3155" s="32"/>
      <c r="H3155" s="32"/>
      <c r="I3155" s="32"/>
      <c r="K3155" s="35"/>
      <c r="L3155" s="35"/>
      <c r="M3155" s="37"/>
      <c r="N3155" s="37"/>
    </row>
    <row r="3156" ht="15.75" customHeight="1">
      <c r="A3156" s="32"/>
      <c r="B3156" s="32"/>
      <c r="C3156" s="32"/>
      <c r="D3156" s="32"/>
      <c r="E3156" s="35"/>
      <c r="F3156" s="32"/>
      <c r="G3156" s="32"/>
      <c r="H3156" s="32"/>
      <c r="I3156" s="32"/>
      <c r="K3156" s="35"/>
      <c r="L3156" s="35"/>
      <c r="M3156" s="37"/>
      <c r="N3156" s="37"/>
    </row>
    <row r="3157" ht="15.75" customHeight="1">
      <c r="A3157" s="32"/>
      <c r="B3157" s="32"/>
      <c r="C3157" s="32"/>
      <c r="D3157" s="32"/>
      <c r="E3157" s="35"/>
      <c r="F3157" s="32"/>
      <c r="G3157" s="32"/>
      <c r="H3157" s="32"/>
      <c r="I3157" s="32"/>
      <c r="K3157" s="35"/>
      <c r="L3157" s="35"/>
      <c r="M3157" s="37"/>
      <c r="N3157" s="37"/>
    </row>
    <row r="3158" ht="15.75" customHeight="1">
      <c r="A3158" s="32"/>
      <c r="B3158" s="32"/>
      <c r="C3158" s="32"/>
      <c r="D3158" s="32"/>
      <c r="E3158" s="35"/>
      <c r="F3158" s="32"/>
      <c r="G3158" s="32"/>
      <c r="H3158" s="32"/>
      <c r="I3158" s="32"/>
      <c r="K3158" s="35"/>
      <c r="L3158" s="35"/>
      <c r="M3158" s="37"/>
      <c r="N3158" s="37"/>
    </row>
    <row r="3159" ht="15.75" customHeight="1">
      <c r="A3159" s="32"/>
      <c r="B3159" s="32"/>
      <c r="C3159" s="32"/>
      <c r="D3159" s="32"/>
      <c r="E3159" s="35"/>
      <c r="F3159" s="32"/>
      <c r="G3159" s="32"/>
      <c r="H3159" s="32"/>
      <c r="I3159" s="32"/>
      <c r="K3159" s="35"/>
      <c r="L3159" s="35"/>
      <c r="M3159" s="37"/>
      <c r="N3159" s="37"/>
    </row>
    <row r="3160" ht="15.75" customHeight="1">
      <c r="A3160" s="32"/>
      <c r="B3160" s="32"/>
      <c r="C3160" s="32"/>
      <c r="D3160" s="32"/>
      <c r="E3160" s="35"/>
      <c r="F3160" s="32"/>
      <c r="G3160" s="32"/>
      <c r="H3160" s="32"/>
      <c r="I3160" s="32"/>
      <c r="K3160" s="35"/>
      <c r="L3160" s="35"/>
      <c r="M3160" s="37"/>
      <c r="N3160" s="37"/>
    </row>
    <row r="3161" ht="15.75" customHeight="1">
      <c r="A3161" s="32"/>
      <c r="B3161" s="32"/>
      <c r="C3161" s="32"/>
      <c r="D3161" s="32"/>
      <c r="E3161" s="35"/>
      <c r="F3161" s="32"/>
      <c r="G3161" s="32"/>
      <c r="H3161" s="32"/>
      <c r="I3161" s="32"/>
      <c r="K3161" s="35"/>
      <c r="L3161" s="35"/>
      <c r="M3161" s="37"/>
      <c r="N3161" s="37"/>
    </row>
    <row r="3162" ht="15.75" customHeight="1">
      <c r="A3162" s="32"/>
      <c r="B3162" s="32"/>
      <c r="C3162" s="32"/>
      <c r="D3162" s="32"/>
      <c r="E3162" s="35"/>
      <c r="F3162" s="32"/>
      <c r="G3162" s="32"/>
      <c r="H3162" s="32"/>
      <c r="I3162" s="32"/>
      <c r="K3162" s="35"/>
      <c r="L3162" s="35"/>
      <c r="M3162" s="37"/>
      <c r="N3162" s="37"/>
    </row>
    <row r="3163" ht="15.75" customHeight="1">
      <c r="A3163" s="32"/>
      <c r="B3163" s="32"/>
      <c r="C3163" s="32"/>
      <c r="D3163" s="32"/>
      <c r="E3163" s="35"/>
      <c r="F3163" s="32"/>
      <c r="G3163" s="32"/>
      <c r="H3163" s="32"/>
      <c r="I3163" s="32"/>
      <c r="K3163" s="35"/>
      <c r="L3163" s="35"/>
      <c r="M3163" s="37"/>
      <c r="N3163" s="37"/>
    </row>
    <row r="3164" ht="15.75" customHeight="1">
      <c r="A3164" s="32"/>
      <c r="B3164" s="32"/>
      <c r="C3164" s="32"/>
      <c r="D3164" s="32"/>
      <c r="E3164" s="35"/>
      <c r="F3164" s="32"/>
      <c r="G3164" s="32"/>
      <c r="H3164" s="32"/>
      <c r="I3164" s="32"/>
      <c r="K3164" s="35"/>
      <c r="L3164" s="35"/>
      <c r="M3164" s="37"/>
      <c r="N3164" s="37"/>
    </row>
    <row r="3165" ht="15.75" customHeight="1">
      <c r="A3165" s="32"/>
      <c r="B3165" s="32"/>
      <c r="C3165" s="32"/>
      <c r="D3165" s="32"/>
      <c r="E3165" s="35"/>
      <c r="F3165" s="32"/>
      <c r="G3165" s="32"/>
      <c r="H3165" s="32"/>
      <c r="I3165" s="32"/>
      <c r="K3165" s="35"/>
      <c r="L3165" s="35"/>
      <c r="M3165" s="37"/>
      <c r="N3165" s="37"/>
    </row>
    <row r="3166" ht="15.75" customHeight="1">
      <c r="A3166" s="32"/>
      <c r="B3166" s="32"/>
      <c r="C3166" s="32"/>
      <c r="D3166" s="32"/>
      <c r="E3166" s="35"/>
      <c r="F3166" s="32"/>
      <c r="G3166" s="32"/>
      <c r="H3166" s="32"/>
      <c r="I3166" s="32"/>
      <c r="K3166" s="35"/>
      <c r="L3166" s="35"/>
      <c r="M3166" s="37"/>
      <c r="N3166" s="37"/>
    </row>
    <row r="3167" ht="15.75" customHeight="1">
      <c r="A3167" s="32"/>
      <c r="B3167" s="32"/>
      <c r="C3167" s="32"/>
      <c r="D3167" s="32"/>
      <c r="E3167" s="35"/>
      <c r="F3167" s="32"/>
      <c r="G3167" s="32"/>
      <c r="H3167" s="32"/>
      <c r="I3167" s="32"/>
      <c r="K3167" s="35"/>
      <c r="L3167" s="35"/>
      <c r="M3167" s="37"/>
      <c r="N3167" s="37"/>
    </row>
    <row r="3168" ht="15.75" customHeight="1">
      <c r="A3168" s="32"/>
      <c r="B3168" s="32"/>
      <c r="C3168" s="32"/>
      <c r="D3168" s="32"/>
      <c r="E3168" s="35"/>
      <c r="F3168" s="32"/>
      <c r="G3168" s="32"/>
      <c r="H3168" s="32"/>
      <c r="I3168" s="32"/>
      <c r="K3168" s="35"/>
      <c r="L3168" s="35"/>
      <c r="M3168" s="37"/>
      <c r="N3168" s="37"/>
    </row>
    <row r="3169" ht="15.75" customHeight="1">
      <c r="A3169" s="32"/>
      <c r="B3169" s="32"/>
      <c r="C3169" s="32"/>
      <c r="D3169" s="32"/>
      <c r="E3169" s="35"/>
      <c r="F3169" s="32"/>
      <c r="G3169" s="32"/>
      <c r="H3169" s="32"/>
      <c r="I3169" s="32"/>
      <c r="K3169" s="35"/>
      <c r="L3169" s="35"/>
      <c r="M3169" s="37"/>
      <c r="N3169" s="37"/>
    </row>
    <row r="3170" ht="15.75" customHeight="1">
      <c r="A3170" s="32"/>
      <c r="B3170" s="32"/>
      <c r="C3170" s="32"/>
      <c r="D3170" s="32"/>
      <c r="E3170" s="35"/>
      <c r="F3170" s="32"/>
      <c r="G3170" s="32"/>
      <c r="H3170" s="32"/>
      <c r="I3170" s="32"/>
      <c r="K3170" s="35"/>
      <c r="L3170" s="35"/>
      <c r="M3170" s="37"/>
      <c r="N3170" s="37"/>
    </row>
  </sheetData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3" max="3" width="27.75"/>
  </cols>
  <sheetData>
    <row r="1">
      <c r="A1" s="28" t="s">
        <v>1989</v>
      </c>
      <c r="B1" s="28" t="s">
        <v>1990</v>
      </c>
      <c r="C1" s="28" t="s">
        <v>1991</v>
      </c>
      <c r="D1" s="28" t="s">
        <v>1992</v>
      </c>
      <c r="E1" s="28" t="s">
        <v>1993</v>
      </c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  <c r="Z1" s="44"/>
    </row>
    <row r="2">
      <c r="A2" s="45">
        <v>1001.0</v>
      </c>
      <c r="B2" s="45" t="s">
        <v>1994</v>
      </c>
      <c r="C2" s="45" t="s">
        <v>1995</v>
      </c>
      <c r="D2" s="46">
        <v>60342.0</v>
      </c>
      <c r="E2" s="46">
        <v>58805.0</v>
      </c>
    </row>
    <row r="3">
      <c r="A3" s="45">
        <v>1003.0</v>
      </c>
      <c r="B3" s="45" t="s">
        <v>1994</v>
      </c>
      <c r="C3" s="45" t="s">
        <v>1996</v>
      </c>
      <c r="D3" s="46">
        <v>253507.0</v>
      </c>
      <c r="E3" s="46">
        <v>231767.0</v>
      </c>
    </row>
    <row r="4">
      <c r="A4" s="45">
        <v>1005.0</v>
      </c>
      <c r="B4" s="45" t="s">
        <v>1994</v>
      </c>
      <c r="C4" s="45" t="s">
        <v>1997</v>
      </c>
      <c r="D4" s="46">
        <v>24585.0</v>
      </c>
      <c r="E4" s="46">
        <v>25223.0</v>
      </c>
    </row>
    <row r="5">
      <c r="A5" s="45">
        <v>1007.0</v>
      </c>
      <c r="B5" s="45" t="s">
        <v>1994</v>
      </c>
      <c r="C5" s="45" t="s">
        <v>1998</v>
      </c>
      <c r="D5" s="46">
        <v>21868.0</v>
      </c>
      <c r="E5" s="46">
        <v>22293.0</v>
      </c>
    </row>
    <row r="6">
      <c r="A6" s="45">
        <v>1009.0</v>
      </c>
      <c r="B6" s="45" t="s">
        <v>1994</v>
      </c>
      <c r="C6" s="45" t="s">
        <v>1999</v>
      </c>
      <c r="D6" s="46">
        <v>59816.0</v>
      </c>
      <c r="E6" s="46">
        <v>59134.0</v>
      </c>
    </row>
    <row r="7">
      <c r="A7" s="45">
        <v>1011.0</v>
      </c>
      <c r="B7" s="45" t="s">
        <v>1994</v>
      </c>
      <c r="C7" s="45" t="s">
        <v>2000</v>
      </c>
      <c r="D7" s="46">
        <v>9897.0</v>
      </c>
      <c r="E7" s="46">
        <v>10357.0</v>
      </c>
    </row>
    <row r="8">
      <c r="A8" s="45">
        <v>1013.0</v>
      </c>
      <c r="B8" s="45" t="s">
        <v>1994</v>
      </c>
      <c r="C8" s="45" t="s">
        <v>2001</v>
      </c>
      <c r="D8" s="46">
        <v>18382.0</v>
      </c>
      <c r="E8" s="46">
        <v>19051.0</v>
      </c>
    </row>
    <row r="9">
      <c r="A9" s="45">
        <v>1015.0</v>
      </c>
      <c r="B9" s="45" t="s">
        <v>1994</v>
      </c>
      <c r="C9" s="45" t="s">
        <v>2002</v>
      </c>
      <c r="D9" s="46">
        <v>116429.0</v>
      </c>
      <c r="E9" s="46">
        <v>116441.0</v>
      </c>
    </row>
    <row r="10">
      <c r="A10" s="45">
        <v>1017.0</v>
      </c>
      <c r="B10" s="45" t="s">
        <v>1994</v>
      </c>
      <c r="C10" s="45" t="s">
        <v>2003</v>
      </c>
      <c r="D10" s="46">
        <v>34079.0</v>
      </c>
      <c r="E10" s="46">
        <v>34772.0</v>
      </c>
    </row>
    <row r="11">
      <c r="A11" s="45">
        <v>1019.0</v>
      </c>
      <c r="B11" s="45" t="s">
        <v>1994</v>
      </c>
      <c r="C11" s="45" t="s">
        <v>2004</v>
      </c>
      <c r="D11" s="46">
        <v>25666.0</v>
      </c>
      <c r="E11" s="46">
        <v>24971.0</v>
      </c>
    </row>
    <row r="12">
      <c r="A12" s="45">
        <v>1021.0</v>
      </c>
      <c r="B12" s="45" t="s">
        <v>1994</v>
      </c>
      <c r="C12" s="45" t="s">
        <v>2005</v>
      </c>
      <c r="D12" s="46">
        <v>46431.0</v>
      </c>
      <c r="E12" s="46">
        <v>45014.0</v>
      </c>
    </row>
    <row r="13">
      <c r="A13" s="45">
        <v>1023.0</v>
      </c>
      <c r="B13" s="45" t="s">
        <v>1994</v>
      </c>
      <c r="C13" s="45" t="s">
        <v>2006</v>
      </c>
      <c r="D13" s="46">
        <v>12252.0</v>
      </c>
      <c r="E13" s="46">
        <v>12665.0</v>
      </c>
    </row>
    <row r="14">
      <c r="A14" s="45">
        <v>1025.0</v>
      </c>
      <c r="B14" s="45" t="s">
        <v>1994</v>
      </c>
      <c r="C14" s="45" t="s">
        <v>2007</v>
      </c>
      <c r="D14" s="46">
        <v>22337.0</v>
      </c>
      <c r="E14" s="46">
        <v>23087.0</v>
      </c>
    </row>
    <row r="15">
      <c r="A15" s="45">
        <v>1027.0</v>
      </c>
      <c r="B15" s="45" t="s">
        <v>1994</v>
      </c>
      <c r="C15" s="45" t="s">
        <v>2008</v>
      </c>
      <c r="D15" s="46">
        <v>14111.0</v>
      </c>
      <c r="E15" s="46">
        <v>14236.0</v>
      </c>
    </row>
    <row r="16">
      <c r="A16" s="45">
        <v>1029.0</v>
      </c>
      <c r="B16" s="45" t="s">
        <v>1994</v>
      </c>
      <c r="C16" s="45" t="s">
        <v>2009</v>
      </c>
      <c r="D16" s="46">
        <v>15639.0</v>
      </c>
      <c r="E16" s="46">
        <v>15056.0</v>
      </c>
    </row>
    <row r="17">
      <c r="A17" s="45">
        <v>1031.0</v>
      </c>
      <c r="B17" s="45" t="s">
        <v>1994</v>
      </c>
      <c r="C17" s="45" t="s">
        <v>2010</v>
      </c>
      <c r="D17" s="46">
        <v>55643.0</v>
      </c>
      <c r="E17" s="46">
        <v>53465.0</v>
      </c>
    </row>
    <row r="18">
      <c r="A18" s="45">
        <v>1033.0</v>
      </c>
      <c r="B18" s="45" t="s">
        <v>1994</v>
      </c>
      <c r="C18" s="45" t="s">
        <v>2011</v>
      </c>
      <c r="D18" s="46">
        <v>58361.0</v>
      </c>
      <c r="E18" s="46">
        <v>57227.0</v>
      </c>
    </row>
    <row r="19">
      <c r="A19" s="45">
        <v>1035.0</v>
      </c>
      <c r="B19" s="45" t="s">
        <v>1994</v>
      </c>
      <c r="C19" s="45" t="s">
        <v>2012</v>
      </c>
      <c r="D19" s="46">
        <v>11174.0</v>
      </c>
      <c r="E19" s="46">
        <v>11597.0</v>
      </c>
    </row>
    <row r="20">
      <c r="A20" s="45">
        <v>1037.0</v>
      </c>
      <c r="B20" s="45" t="s">
        <v>1994</v>
      </c>
      <c r="C20" s="45" t="s">
        <v>2013</v>
      </c>
      <c r="D20" s="46">
        <v>10268.0</v>
      </c>
      <c r="E20" s="46">
        <v>10387.0</v>
      </c>
    </row>
    <row r="21">
      <c r="A21" s="45">
        <v>1039.0</v>
      </c>
      <c r="B21" s="45" t="s">
        <v>1994</v>
      </c>
      <c r="C21" s="45" t="s">
        <v>2014</v>
      </c>
      <c r="D21" s="46">
        <v>37952.0</v>
      </c>
      <c r="E21" s="46">
        <v>37570.0</v>
      </c>
    </row>
    <row r="22">
      <c r="A22" s="45">
        <v>1041.0</v>
      </c>
      <c r="B22" s="45" t="s">
        <v>1994</v>
      </c>
      <c r="C22" s="45" t="s">
        <v>2015</v>
      </c>
      <c r="D22" s="46">
        <v>13101.0</v>
      </c>
      <c r="E22" s="46">
        <v>13194.0</v>
      </c>
    </row>
    <row r="23">
      <c r="A23" s="45">
        <v>1043.0</v>
      </c>
      <c r="B23" s="45" t="s">
        <v>1994</v>
      </c>
      <c r="C23" s="45" t="s">
        <v>2016</v>
      </c>
      <c r="D23" s="46">
        <v>92016.0</v>
      </c>
      <c r="E23" s="46">
        <v>87866.0</v>
      </c>
    </row>
    <row r="24">
      <c r="A24" s="45">
        <v>1045.0</v>
      </c>
      <c r="B24" s="45" t="s">
        <v>1994</v>
      </c>
      <c r="C24" s="45" t="s">
        <v>2017</v>
      </c>
      <c r="D24" s="46">
        <v>49871.0</v>
      </c>
      <c r="E24" s="46">
        <v>49326.0</v>
      </c>
    </row>
    <row r="25">
      <c r="A25" s="45">
        <v>1047.0</v>
      </c>
      <c r="B25" s="45" t="s">
        <v>1994</v>
      </c>
      <c r="C25" s="45" t="s">
        <v>2018</v>
      </c>
      <c r="D25" s="46">
        <v>36165.0</v>
      </c>
      <c r="E25" s="46">
        <v>38462.0</v>
      </c>
    </row>
    <row r="26">
      <c r="A26" s="45">
        <v>1049.0</v>
      </c>
      <c r="B26" s="45" t="s">
        <v>1994</v>
      </c>
      <c r="C26" s="45" t="s">
        <v>2019</v>
      </c>
      <c r="D26" s="46">
        <v>72569.0</v>
      </c>
      <c r="E26" s="46">
        <v>71608.0</v>
      </c>
    </row>
    <row r="27">
      <c r="A27" s="45">
        <v>1051.0</v>
      </c>
      <c r="B27" s="45" t="s">
        <v>1994</v>
      </c>
      <c r="C27" s="45" t="s">
        <v>2020</v>
      </c>
      <c r="D27" s="46">
        <v>90441.0</v>
      </c>
      <c r="E27" s="46">
        <v>87977.0</v>
      </c>
    </row>
    <row r="28">
      <c r="A28" s="45">
        <v>1053.0</v>
      </c>
      <c r="B28" s="45" t="s">
        <v>1994</v>
      </c>
      <c r="C28" s="45" t="s">
        <v>2021</v>
      </c>
      <c r="D28" s="46">
        <v>36558.0</v>
      </c>
      <c r="E28" s="46">
        <v>36757.0</v>
      </c>
    </row>
    <row r="29">
      <c r="A29" s="45">
        <v>1055.0</v>
      </c>
      <c r="B29" s="45" t="s">
        <v>1994</v>
      </c>
      <c r="C29" s="45" t="s">
        <v>2022</v>
      </c>
      <c r="D29" s="46">
        <v>103241.0</v>
      </c>
      <c r="E29" s="46">
        <v>103436.0</v>
      </c>
    </row>
    <row r="30">
      <c r="A30" s="45">
        <v>1057.0</v>
      </c>
      <c r="B30" s="45" t="s">
        <v>1994</v>
      </c>
      <c r="C30" s="45" t="s">
        <v>2023</v>
      </c>
      <c r="D30" s="46">
        <v>15967.0</v>
      </c>
      <c r="E30" s="46">
        <v>16321.0</v>
      </c>
    </row>
    <row r="31">
      <c r="A31" s="45">
        <v>1059.0</v>
      </c>
      <c r="B31" s="45" t="s">
        <v>1994</v>
      </c>
      <c r="C31" s="45" t="s">
        <v>2024</v>
      </c>
      <c r="D31" s="46">
        <v>31802.0</v>
      </c>
      <c r="E31" s="46">
        <v>32113.0</v>
      </c>
    </row>
    <row r="32">
      <c r="A32" s="45">
        <v>1061.0</v>
      </c>
      <c r="B32" s="45" t="s">
        <v>1994</v>
      </c>
      <c r="C32" s="45" t="s">
        <v>2025</v>
      </c>
      <c r="D32" s="46">
        <v>26988.0</v>
      </c>
      <c r="E32" s="46">
        <v>26659.0</v>
      </c>
    </row>
    <row r="33">
      <c r="A33" s="45">
        <v>1063.0</v>
      </c>
      <c r="B33" s="45" t="s">
        <v>1994</v>
      </c>
      <c r="C33" s="45" t="s">
        <v>2026</v>
      </c>
      <c r="D33" s="46">
        <v>7341.0</v>
      </c>
      <c r="E33" s="46">
        <v>7730.0</v>
      </c>
    </row>
    <row r="34">
      <c r="A34" s="45">
        <v>1065.0</v>
      </c>
      <c r="B34" s="45" t="s">
        <v>1994</v>
      </c>
      <c r="C34" s="45" t="s">
        <v>2027</v>
      </c>
      <c r="D34" s="46">
        <v>14888.0</v>
      </c>
      <c r="E34" s="46">
        <v>14785.0</v>
      </c>
    </row>
    <row r="35">
      <c r="A35" s="45">
        <v>1067.0</v>
      </c>
      <c r="B35" s="45" t="s">
        <v>1994</v>
      </c>
      <c r="C35" s="45" t="s">
        <v>2028</v>
      </c>
      <c r="D35" s="46">
        <v>17899.0</v>
      </c>
      <c r="E35" s="46">
        <v>17146.0</v>
      </c>
    </row>
    <row r="36">
      <c r="A36" s="45">
        <v>1069.0</v>
      </c>
      <c r="B36" s="45" t="s">
        <v>1994</v>
      </c>
      <c r="C36" s="45" t="s">
        <v>2029</v>
      </c>
      <c r="D36" s="46">
        <v>108462.0</v>
      </c>
      <c r="E36" s="46">
        <v>107202.0</v>
      </c>
    </row>
    <row r="37">
      <c r="A37" s="45">
        <v>1071.0</v>
      </c>
      <c r="B37" s="45" t="s">
        <v>1994</v>
      </c>
      <c r="C37" s="45" t="s">
        <v>2030</v>
      </c>
      <c r="D37" s="46">
        <v>53467.0</v>
      </c>
      <c r="E37" s="46">
        <v>52579.0</v>
      </c>
    </row>
    <row r="38">
      <c r="A38" s="45">
        <v>1073.0</v>
      </c>
      <c r="B38" s="45" t="s">
        <v>1994</v>
      </c>
      <c r="C38" s="45" t="s">
        <v>2031</v>
      </c>
      <c r="D38" s="46">
        <v>662895.0</v>
      </c>
      <c r="E38" s="46">
        <v>674721.0</v>
      </c>
    </row>
    <row r="39">
      <c r="A39" s="45">
        <v>1075.0</v>
      </c>
      <c r="B39" s="45" t="s">
        <v>1994</v>
      </c>
      <c r="C39" s="45" t="s">
        <v>2032</v>
      </c>
      <c r="D39" s="46">
        <v>13661.0</v>
      </c>
      <c r="E39" s="46">
        <v>13972.0</v>
      </c>
    </row>
    <row r="40">
      <c r="A40" s="45">
        <v>1077.0</v>
      </c>
      <c r="B40" s="45" t="s">
        <v>1994</v>
      </c>
      <c r="C40" s="45" t="s">
        <v>2033</v>
      </c>
      <c r="D40" s="46">
        <v>96814.0</v>
      </c>
      <c r="E40" s="46">
        <v>93564.0</v>
      </c>
    </row>
    <row r="41">
      <c r="A41" s="45">
        <v>1079.0</v>
      </c>
      <c r="B41" s="45" t="s">
        <v>1994</v>
      </c>
      <c r="C41" s="45" t="s">
        <v>2034</v>
      </c>
      <c r="D41" s="46">
        <v>33502.0</v>
      </c>
      <c r="E41" s="46">
        <v>33073.0</v>
      </c>
    </row>
    <row r="42">
      <c r="A42" s="45">
        <v>1081.0</v>
      </c>
      <c r="B42" s="45" t="s">
        <v>1994</v>
      </c>
      <c r="C42" s="45" t="s">
        <v>2035</v>
      </c>
      <c r="D42" s="46">
        <v>183215.0</v>
      </c>
      <c r="E42" s="46">
        <v>174241.0</v>
      </c>
    </row>
    <row r="43">
      <c r="A43" s="45">
        <v>1083.0</v>
      </c>
      <c r="B43" s="45" t="s">
        <v>1994</v>
      </c>
      <c r="C43" s="45" t="s">
        <v>2036</v>
      </c>
      <c r="D43" s="46">
        <v>114654.0</v>
      </c>
      <c r="E43" s="46">
        <v>103570.0</v>
      </c>
    </row>
    <row r="44">
      <c r="A44" s="45">
        <v>1085.0</v>
      </c>
      <c r="B44" s="45" t="s">
        <v>1994</v>
      </c>
      <c r="C44" s="45" t="s">
        <v>2037</v>
      </c>
      <c r="D44" s="46">
        <v>9717.0</v>
      </c>
      <c r="E44" s="46">
        <v>10311.0</v>
      </c>
    </row>
    <row r="45">
      <c r="A45" s="45">
        <v>1087.0</v>
      </c>
      <c r="B45" s="45" t="s">
        <v>1994</v>
      </c>
      <c r="C45" s="45" t="s">
        <v>2038</v>
      </c>
      <c r="D45" s="46">
        <v>18370.0</v>
      </c>
      <c r="E45" s="46">
        <v>19532.0</v>
      </c>
    </row>
    <row r="46">
      <c r="A46" s="45">
        <v>1089.0</v>
      </c>
      <c r="B46" s="45" t="s">
        <v>1994</v>
      </c>
      <c r="C46" s="45" t="s">
        <v>2039</v>
      </c>
      <c r="D46" s="46">
        <v>412600.0</v>
      </c>
      <c r="E46" s="46">
        <v>388153.0</v>
      </c>
    </row>
    <row r="47">
      <c r="A47" s="45">
        <v>1091.0</v>
      </c>
      <c r="B47" s="45" t="s">
        <v>1994</v>
      </c>
      <c r="C47" s="45" t="s">
        <v>2040</v>
      </c>
      <c r="D47" s="46">
        <v>18684.0</v>
      </c>
      <c r="E47" s="46">
        <v>19323.0</v>
      </c>
    </row>
    <row r="48">
      <c r="A48" s="45">
        <v>1093.0</v>
      </c>
      <c r="B48" s="45" t="s">
        <v>1994</v>
      </c>
      <c r="C48" s="45" t="s">
        <v>2041</v>
      </c>
      <c r="D48" s="46">
        <v>29244.0</v>
      </c>
      <c r="E48" s="46">
        <v>29341.0</v>
      </c>
    </row>
    <row r="49">
      <c r="A49" s="45">
        <v>1095.0</v>
      </c>
      <c r="B49" s="45" t="s">
        <v>1994</v>
      </c>
      <c r="C49" s="45" t="s">
        <v>2042</v>
      </c>
      <c r="D49" s="46">
        <v>100756.0</v>
      </c>
      <c r="E49" s="46">
        <v>97612.0</v>
      </c>
    </row>
    <row r="50">
      <c r="A50" s="45">
        <v>1097.0</v>
      </c>
      <c r="B50" s="45" t="s">
        <v>1994</v>
      </c>
      <c r="C50" s="45" t="s">
        <v>2043</v>
      </c>
      <c r="D50" s="46">
        <v>411640.0</v>
      </c>
      <c r="E50" s="46">
        <v>414809.0</v>
      </c>
    </row>
    <row r="51">
      <c r="A51" s="45">
        <v>1099.0</v>
      </c>
      <c r="B51" s="45" t="s">
        <v>1994</v>
      </c>
      <c r="C51" s="45" t="s">
        <v>2044</v>
      </c>
      <c r="D51" s="46">
        <v>19229.0</v>
      </c>
      <c r="E51" s="46">
        <v>19772.0</v>
      </c>
    </row>
    <row r="52">
      <c r="A52" s="45">
        <v>1101.0</v>
      </c>
      <c r="B52" s="45" t="s">
        <v>1994</v>
      </c>
      <c r="C52" s="45" t="s">
        <v>2045</v>
      </c>
      <c r="D52" s="46">
        <v>224980.0</v>
      </c>
      <c r="E52" s="46">
        <v>228954.0</v>
      </c>
    </row>
    <row r="53">
      <c r="A53" s="45">
        <v>1103.0</v>
      </c>
      <c r="B53" s="45" t="s">
        <v>1994</v>
      </c>
      <c r="C53" s="45" t="s">
        <v>2046</v>
      </c>
      <c r="D53" s="46">
        <v>125133.0</v>
      </c>
      <c r="E53" s="46">
        <v>123421.0</v>
      </c>
    </row>
    <row r="54">
      <c r="A54" s="45">
        <v>1105.0</v>
      </c>
      <c r="B54" s="45" t="s">
        <v>1994</v>
      </c>
      <c r="C54" s="45" t="s">
        <v>2047</v>
      </c>
      <c r="D54" s="46">
        <v>7738.0</v>
      </c>
      <c r="E54" s="46">
        <v>8511.0</v>
      </c>
    </row>
    <row r="55">
      <c r="A55" s="45">
        <v>1107.0</v>
      </c>
      <c r="B55" s="45" t="s">
        <v>1994</v>
      </c>
      <c r="C55" s="45" t="s">
        <v>2048</v>
      </c>
      <c r="D55" s="46">
        <v>18688.0</v>
      </c>
      <c r="E55" s="46">
        <v>19123.0</v>
      </c>
    </row>
    <row r="56">
      <c r="A56" s="45">
        <v>1109.0</v>
      </c>
      <c r="B56" s="45" t="s">
        <v>1994</v>
      </c>
      <c r="C56" s="45" t="s">
        <v>2049</v>
      </c>
      <c r="D56" s="46">
        <v>33137.0</v>
      </c>
      <c r="E56" s="46">
        <v>33009.0</v>
      </c>
    </row>
    <row r="57">
      <c r="A57" s="45">
        <v>1111.0</v>
      </c>
      <c r="B57" s="45" t="s">
        <v>1994</v>
      </c>
      <c r="C57" s="45" t="s">
        <v>2050</v>
      </c>
      <c r="D57" s="46">
        <v>22786.0</v>
      </c>
      <c r="E57" s="46">
        <v>21967.0</v>
      </c>
    </row>
    <row r="58">
      <c r="A58" s="45">
        <v>1113.0</v>
      </c>
      <c r="B58" s="45" t="s">
        <v>1994</v>
      </c>
      <c r="C58" s="45" t="s">
        <v>2051</v>
      </c>
      <c r="D58" s="46">
        <v>58744.0</v>
      </c>
      <c r="E58" s="46">
        <v>59183.0</v>
      </c>
    </row>
    <row r="59">
      <c r="A59" s="45">
        <v>1115.0</v>
      </c>
      <c r="B59" s="45" t="s">
        <v>1994</v>
      </c>
      <c r="C59" s="45" t="s">
        <v>2052</v>
      </c>
      <c r="D59" s="46">
        <v>95552.0</v>
      </c>
      <c r="E59" s="46">
        <v>91103.0</v>
      </c>
    </row>
    <row r="60">
      <c r="A60" s="45">
        <v>1117.0</v>
      </c>
      <c r="B60" s="45" t="s">
        <v>1994</v>
      </c>
      <c r="C60" s="45" t="s">
        <v>2053</v>
      </c>
      <c r="D60" s="46">
        <v>233000.0</v>
      </c>
      <c r="E60" s="46">
        <v>223024.0</v>
      </c>
    </row>
    <row r="61">
      <c r="A61" s="45">
        <v>1119.0</v>
      </c>
      <c r="B61" s="45" t="s">
        <v>1994</v>
      </c>
      <c r="C61" s="45" t="s">
        <v>2054</v>
      </c>
      <c r="D61" s="46">
        <v>11727.0</v>
      </c>
      <c r="E61" s="46">
        <v>12345.0</v>
      </c>
    </row>
    <row r="62">
      <c r="A62" s="45">
        <v>1121.0</v>
      </c>
      <c r="B62" s="45" t="s">
        <v>1994</v>
      </c>
      <c r="C62" s="45" t="s">
        <v>2055</v>
      </c>
      <c r="D62" s="46">
        <v>81132.0</v>
      </c>
      <c r="E62" s="46">
        <v>82149.0</v>
      </c>
    </row>
    <row r="63">
      <c r="A63" s="45">
        <v>1123.0</v>
      </c>
      <c r="B63" s="45" t="s">
        <v>1994</v>
      </c>
      <c r="C63" s="45" t="s">
        <v>2056</v>
      </c>
      <c r="D63" s="46">
        <v>40677.0</v>
      </c>
      <c r="E63" s="46">
        <v>41311.0</v>
      </c>
    </row>
    <row r="64">
      <c r="A64" s="45">
        <v>1125.0</v>
      </c>
      <c r="B64" s="45" t="s">
        <v>1994</v>
      </c>
      <c r="C64" s="45" t="s">
        <v>2057</v>
      </c>
      <c r="D64" s="46">
        <v>237373.0</v>
      </c>
      <c r="E64" s="46">
        <v>227036.0</v>
      </c>
    </row>
    <row r="65">
      <c r="A65" s="45">
        <v>1127.0</v>
      </c>
      <c r="B65" s="45" t="s">
        <v>1994</v>
      </c>
      <c r="C65" s="45" t="s">
        <v>2058</v>
      </c>
      <c r="D65" s="46">
        <v>64728.0</v>
      </c>
      <c r="E65" s="46">
        <v>65342.0</v>
      </c>
    </row>
    <row r="66">
      <c r="A66" s="45">
        <v>1129.0</v>
      </c>
      <c r="B66" s="45" t="s">
        <v>1994</v>
      </c>
      <c r="C66" s="45" t="s">
        <v>2059</v>
      </c>
      <c r="D66" s="46">
        <v>15022.0</v>
      </c>
      <c r="E66" s="46">
        <v>15388.0</v>
      </c>
    </row>
    <row r="67">
      <c r="A67" s="45">
        <v>1131.0</v>
      </c>
      <c r="B67" s="45" t="s">
        <v>1994</v>
      </c>
      <c r="C67" s="45" t="s">
        <v>2060</v>
      </c>
      <c r="D67" s="46">
        <v>9944.0</v>
      </c>
      <c r="E67" s="46">
        <v>10600.0</v>
      </c>
    </row>
    <row r="68">
      <c r="A68" s="45">
        <v>1133.0</v>
      </c>
      <c r="B68" s="45" t="s">
        <v>1994</v>
      </c>
      <c r="C68" s="45" t="s">
        <v>2061</v>
      </c>
      <c r="D68" s="46">
        <v>23611.0</v>
      </c>
      <c r="E68" s="46">
        <v>23540.0</v>
      </c>
    </row>
    <row r="69">
      <c r="A69" s="45">
        <v>2013.0</v>
      </c>
      <c r="B69" s="45" t="s">
        <v>2062</v>
      </c>
      <c r="C69" s="45" t="s">
        <v>170</v>
      </c>
      <c r="D69" s="46">
        <v>3461.0</v>
      </c>
      <c r="E69" s="46">
        <v>3420.0</v>
      </c>
    </row>
    <row r="70">
      <c r="A70" s="45">
        <v>2016.0</v>
      </c>
      <c r="B70" s="45" t="s">
        <v>2062</v>
      </c>
      <c r="C70" s="45" t="s">
        <v>172</v>
      </c>
      <c r="D70" s="46">
        <v>5160.0</v>
      </c>
      <c r="E70" s="46">
        <v>5232.0</v>
      </c>
    </row>
    <row r="71">
      <c r="A71" s="45">
        <v>2020.0</v>
      </c>
      <c r="B71" s="45" t="s">
        <v>2062</v>
      </c>
      <c r="C71" s="45" t="s">
        <v>173</v>
      </c>
      <c r="D71" s="46">
        <v>286075.0</v>
      </c>
      <c r="E71" s="46">
        <v>291247.0</v>
      </c>
    </row>
    <row r="72">
      <c r="A72" s="45">
        <v>2050.0</v>
      </c>
      <c r="B72" s="45" t="s">
        <v>2062</v>
      </c>
      <c r="C72" s="45" t="s">
        <v>174</v>
      </c>
      <c r="D72" s="46">
        <v>18224.0</v>
      </c>
      <c r="E72" s="46">
        <v>18666.0</v>
      </c>
    </row>
    <row r="73">
      <c r="A73" s="45">
        <v>2060.0</v>
      </c>
      <c r="B73" s="45" t="s">
        <v>2062</v>
      </c>
      <c r="C73" s="45" t="s">
        <v>175</v>
      </c>
      <c r="D73" s="45">
        <v>844.0</v>
      </c>
      <c r="E73" s="45">
        <v>844.0</v>
      </c>
    </row>
    <row r="74">
      <c r="A74" s="45">
        <v>2068.0</v>
      </c>
      <c r="B74" s="45" t="s">
        <v>2062</v>
      </c>
      <c r="C74" s="45" t="s">
        <v>176</v>
      </c>
      <c r="D74" s="46">
        <v>1584.0</v>
      </c>
      <c r="E74" s="46">
        <v>1619.0</v>
      </c>
    </row>
    <row r="75">
      <c r="A75" s="45">
        <v>2070.0</v>
      </c>
      <c r="B75" s="45" t="s">
        <v>2062</v>
      </c>
      <c r="C75" s="45" t="s">
        <v>177</v>
      </c>
      <c r="D75" s="46">
        <v>4607.0</v>
      </c>
      <c r="E75" s="46">
        <v>4857.0</v>
      </c>
    </row>
    <row r="76">
      <c r="A76" s="45">
        <v>2090.0</v>
      </c>
      <c r="B76" s="45" t="s">
        <v>2062</v>
      </c>
      <c r="C76" s="45" t="s">
        <v>178</v>
      </c>
      <c r="D76" s="46">
        <v>94840.0</v>
      </c>
      <c r="E76" s="46">
        <v>95655.0</v>
      </c>
    </row>
    <row r="77">
      <c r="A77" s="45">
        <v>2100.0</v>
      </c>
      <c r="B77" s="45" t="s">
        <v>2062</v>
      </c>
      <c r="C77" s="45" t="s">
        <v>179</v>
      </c>
      <c r="D77" s="46">
        <v>2070.0</v>
      </c>
      <c r="E77" s="46">
        <v>2080.0</v>
      </c>
    </row>
    <row r="78">
      <c r="A78" s="45">
        <v>2105.0</v>
      </c>
      <c r="B78" s="45" t="s">
        <v>2062</v>
      </c>
      <c r="C78" s="45" t="s">
        <v>180</v>
      </c>
      <c r="D78" s="46">
        <v>2262.0</v>
      </c>
      <c r="E78" s="46">
        <v>2365.0</v>
      </c>
    </row>
    <row r="79">
      <c r="A79" s="45">
        <v>2110.0</v>
      </c>
      <c r="B79" s="45" t="s">
        <v>2062</v>
      </c>
      <c r="C79" s="45" t="s">
        <v>181</v>
      </c>
      <c r="D79" s="46">
        <v>31555.0</v>
      </c>
      <c r="E79" s="46">
        <v>32255.0</v>
      </c>
    </row>
    <row r="80">
      <c r="A80" s="45">
        <v>2122.0</v>
      </c>
      <c r="B80" s="45" t="s">
        <v>2062</v>
      </c>
      <c r="C80" s="45" t="s">
        <v>182</v>
      </c>
      <c r="D80" s="46">
        <v>61223.0</v>
      </c>
      <c r="E80" s="46">
        <v>58799.0</v>
      </c>
    </row>
    <row r="81">
      <c r="A81" s="45">
        <v>2130.0</v>
      </c>
      <c r="B81" s="45" t="s">
        <v>2062</v>
      </c>
      <c r="C81" s="45" t="s">
        <v>183</v>
      </c>
      <c r="D81" s="46">
        <v>13738.0</v>
      </c>
      <c r="E81" s="46">
        <v>13948.0</v>
      </c>
    </row>
    <row r="82">
      <c r="A82" s="45">
        <v>2150.0</v>
      </c>
      <c r="B82" s="45" t="s">
        <v>2062</v>
      </c>
      <c r="C82" s="45" t="s">
        <v>184</v>
      </c>
      <c r="D82" s="46">
        <v>12565.0</v>
      </c>
      <c r="E82" s="46">
        <v>13101.0</v>
      </c>
    </row>
    <row r="83">
      <c r="A83" s="45">
        <v>2158.0</v>
      </c>
      <c r="B83" s="45" t="s">
        <v>2062</v>
      </c>
      <c r="C83" s="45" t="s">
        <v>185</v>
      </c>
      <c r="D83" s="46">
        <v>8001.0</v>
      </c>
      <c r="E83" s="46">
        <v>8368.0</v>
      </c>
    </row>
    <row r="84">
      <c r="A84" s="45">
        <v>2164.0</v>
      </c>
      <c r="B84" s="45" t="s">
        <v>2062</v>
      </c>
      <c r="C84" s="45" t="s">
        <v>186</v>
      </c>
      <c r="D84" s="46">
        <v>1331.0</v>
      </c>
      <c r="E84" s="46">
        <v>1476.0</v>
      </c>
    </row>
    <row r="85">
      <c r="A85" s="45">
        <v>2170.0</v>
      </c>
      <c r="B85" s="45" t="s">
        <v>2062</v>
      </c>
      <c r="C85" s="45" t="s">
        <v>187</v>
      </c>
      <c r="D85" s="46">
        <v>115239.0</v>
      </c>
      <c r="E85" s="46">
        <v>107081.0</v>
      </c>
    </row>
    <row r="86">
      <c r="A86" s="45">
        <v>2180.0</v>
      </c>
      <c r="B86" s="45" t="s">
        <v>2062</v>
      </c>
      <c r="C86" s="45" t="s">
        <v>188</v>
      </c>
      <c r="D86" s="46">
        <v>9763.0</v>
      </c>
      <c r="E86" s="46">
        <v>10046.0</v>
      </c>
    </row>
    <row r="87">
      <c r="A87" s="45">
        <v>2185.0</v>
      </c>
      <c r="B87" s="45" t="s">
        <v>2062</v>
      </c>
      <c r="C87" s="45" t="s">
        <v>189</v>
      </c>
      <c r="D87" s="46">
        <v>10603.0</v>
      </c>
      <c r="E87" s="46">
        <v>11031.0</v>
      </c>
    </row>
    <row r="88">
      <c r="A88" s="45">
        <v>2188.0</v>
      </c>
      <c r="B88" s="45" t="s">
        <v>2062</v>
      </c>
      <c r="C88" s="45" t="s">
        <v>190</v>
      </c>
      <c r="D88" s="46">
        <v>7361.0</v>
      </c>
      <c r="E88" s="46">
        <v>7793.0</v>
      </c>
    </row>
    <row r="89">
      <c r="A89" s="45">
        <v>2195.0</v>
      </c>
      <c r="B89" s="45" t="s">
        <v>2062</v>
      </c>
      <c r="C89" s="45" t="s">
        <v>191</v>
      </c>
      <c r="D89" s="46">
        <v>3427.0</v>
      </c>
      <c r="E89" s="46">
        <v>3398.0</v>
      </c>
    </row>
    <row r="90">
      <c r="A90" s="45">
        <v>2198.0</v>
      </c>
      <c r="B90" s="45" t="s">
        <v>2062</v>
      </c>
      <c r="C90" s="45" t="s">
        <v>192</v>
      </c>
      <c r="D90" s="46">
        <v>5696.0</v>
      </c>
      <c r="E90" s="46">
        <v>5753.0</v>
      </c>
    </row>
    <row r="91">
      <c r="A91" s="45">
        <v>2220.0</v>
      </c>
      <c r="B91" s="45" t="s">
        <v>2062</v>
      </c>
      <c r="C91" s="45" t="s">
        <v>193</v>
      </c>
      <c r="D91" s="46">
        <v>8282.0</v>
      </c>
      <c r="E91" s="46">
        <v>8458.0</v>
      </c>
    </row>
    <row r="92">
      <c r="A92" s="45">
        <v>2230.0</v>
      </c>
      <c r="B92" s="45" t="s">
        <v>2062</v>
      </c>
      <c r="C92" s="45" t="s">
        <v>194</v>
      </c>
      <c r="D92" s="46">
        <v>1095.0</v>
      </c>
      <c r="E92" s="46">
        <v>1240.0</v>
      </c>
    </row>
    <row r="93">
      <c r="A93" s="45">
        <v>2240.0</v>
      </c>
      <c r="B93" s="45" t="s">
        <v>2062</v>
      </c>
      <c r="C93" s="45" t="s">
        <v>195</v>
      </c>
      <c r="D93" s="46">
        <v>7077.0</v>
      </c>
      <c r="E93" s="46">
        <v>6808.0</v>
      </c>
    </row>
    <row r="94">
      <c r="A94" s="45">
        <v>2275.0</v>
      </c>
      <c r="B94" s="45" t="s">
        <v>2062</v>
      </c>
      <c r="C94" s="45" t="s">
        <v>197</v>
      </c>
      <c r="D94" s="46">
        <v>2064.0</v>
      </c>
      <c r="E94" s="46">
        <v>2127.0</v>
      </c>
    </row>
    <row r="95">
      <c r="A95" s="45">
        <v>2282.0</v>
      </c>
      <c r="B95" s="45" t="s">
        <v>2062</v>
      </c>
      <c r="C95" s="45" t="s">
        <v>198</v>
      </c>
      <c r="D95" s="45">
        <v>687.0</v>
      </c>
      <c r="E95" s="45">
        <v>662.0</v>
      </c>
    </row>
    <row r="96">
      <c r="A96" s="45">
        <v>2290.0</v>
      </c>
      <c r="B96" s="45" t="s">
        <v>2062</v>
      </c>
      <c r="C96" s="45" t="s">
        <v>199</v>
      </c>
      <c r="D96" s="46">
        <v>5129.0</v>
      </c>
      <c r="E96" s="46">
        <v>5343.0</v>
      </c>
    </row>
    <row r="97">
      <c r="A97" s="45">
        <v>4001.0</v>
      </c>
      <c r="B97" s="45" t="s">
        <v>2063</v>
      </c>
      <c r="C97" s="45" t="s">
        <v>2064</v>
      </c>
      <c r="D97" s="46">
        <v>65036.0</v>
      </c>
      <c r="E97" s="46">
        <v>66021.0</v>
      </c>
    </row>
    <row r="98">
      <c r="A98" s="45">
        <v>4003.0</v>
      </c>
      <c r="B98" s="45" t="s">
        <v>2063</v>
      </c>
      <c r="C98" s="45" t="s">
        <v>2065</v>
      </c>
      <c r="D98" s="46">
        <v>124640.0</v>
      </c>
      <c r="E98" s="46">
        <v>125447.0</v>
      </c>
    </row>
    <row r="99">
      <c r="A99" s="45">
        <v>4005.0</v>
      </c>
      <c r="B99" s="45" t="s">
        <v>2063</v>
      </c>
      <c r="C99" s="45" t="s">
        <v>2066</v>
      </c>
      <c r="D99" s="46">
        <v>144472.0</v>
      </c>
      <c r="E99" s="46">
        <v>145101.0</v>
      </c>
    </row>
    <row r="100">
      <c r="A100" s="45">
        <v>4007.0</v>
      </c>
      <c r="B100" s="45" t="s">
        <v>2063</v>
      </c>
      <c r="C100" s="45" t="s">
        <v>2067</v>
      </c>
      <c r="D100" s="46">
        <v>54003.0</v>
      </c>
      <c r="E100" s="46">
        <v>53272.0</v>
      </c>
    </row>
    <row r="101">
      <c r="A101" s="45">
        <v>4009.0</v>
      </c>
      <c r="B101" s="45" t="s">
        <v>2063</v>
      </c>
      <c r="C101" s="45" t="s">
        <v>2068</v>
      </c>
      <c r="D101" s="46">
        <v>39525.0</v>
      </c>
      <c r="E101" s="46">
        <v>38533.0</v>
      </c>
    </row>
    <row r="102">
      <c r="A102" s="45">
        <v>4011.0</v>
      </c>
      <c r="B102" s="45" t="s">
        <v>2063</v>
      </c>
      <c r="C102" s="45" t="s">
        <v>2069</v>
      </c>
      <c r="D102" s="46">
        <v>9369.0</v>
      </c>
      <c r="E102" s="46">
        <v>9563.0</v>
      </c>
    </row>
    <row r="103">
      <c r="A103" s="45">
        <v>4012.0</v>
      </c>
      <c r="B103" s="45" t="s">
        <v>2063</v>
      </c>
      <c r="C103" s="45" t="s">
        <v>2070</v>
      </c>
      <c r="D103" s="46">
        <v>16710.0</v>
      </c>
      <c r="E103" s="46">
        <v>16557.0</v>
      </c>
    </row>
    <row r="104">
      <c r="A104" s="45">
        <v>4013.0</v>
      </c>
      <c r="B104" s="45" t="s">
        <v>2063</v>
      </c>
      <c r="C104" s="45" t="s">
        <v>2071</v>
      </c>
      <c r="D104" s="46">
        <v>4585871.0</v>
      </c>
      <c r="E104" s="46">
        <v>4420568.0</v>
      </c>
    </row>
    <row r="105">
      <c r="A105" s="45">
        <v>4015.0</v>
      </c>
      <c r="B105" s="45" t="s">
        <v>2063</v>
      </c>
      <c r="C105" s="45" t="s">
        <v>2072</v>
      </c>
      <c r="D105" s="46">
        <v>223682.0</v>
      </c>
      <c r="E105" s="46">
        <v>213267.0</v>
      </c>
    </row>
    <row r="106">
      <c r="A106" s="45">
        <v>4017.0</v>
      </c>
      <c r="B106" s="45" t="s">
        <v>2063</v>
      </c>
      <c r="C106" s="45" t="s">
        <v>2073</v>
      </c>
      <c r="D106" s="46">
        <v>109175.0</v>
      </c>
      <c r="E106" s="46">
        <v>106717.0</v>
      </c>
    </row>
    <row r="107">
      <c r="A107" s="45">
        <v>4019.0</v>
      </c>
      <c r="B107" s="45" t="s">
        <v>2063</v>
      </c>
      <c r="C107" s="45" t="s">
        <v>2074</v>
      </c>
      <c r="D107" s="46">
        <v>1063162.0</v>
      </c>
      <c r="E107" s="46">
        <v>1043433.0</v>
      </c>
    </row>
    <row r="108">
      <c r="A108" s="45">
        <v>4021.0</v>
      </c>
      <c r="B108" s="45" t="s">
        <v>2063</v>
      </c>
      <c r="C108" s="45" t="s">
        <v>2075</v>
      </c>
      <c r="D108" s="46">
        <v>484239.0</v>
      </c>
      <c r="E108" s="46">
        <v>425264.0</v>
      </c>
    </row>
    <row r="109">
      <c r="A109" s="45">
        <v>4023.0</v>
      </c>
      <c r="B109" s="45" t="s">
        <v>2063</v>
      </c>
      <c r="C109" s="45" t="s">
        <v>2076</v>
      </c>
      <c r="D109" s="46">
        <v>49158.0</v>
      </c>
      <c r="E109" s="46">
        <v>47669.0</v>
      </c>
    </row>
    <row r="110">
      <c r="A110" s="45">
        <v>4025.0</v>
      </c>
      <c r="B110" s="45" t="s">
        <v>2063</v>
      </c>
      <c r="C110" s="45" t="s">
        <v>2077</v>
      </c>
      <c r="D110" s="46">
        <v>249081.0</v>
      </c>
      <c r="E110" s="46">
        <v>236209.0</v>
      </c>
    </row>
    <row r="111">
      <c r="A111" s="45">
        <v>4027.0</v>
      </c>
      <c r="B111" s="45" t="s">
        <v>2063</v>
      </c>
      <c r="C111" s="45" t="s">
        <v>2078</v>
      </c>
      <c r="D111" s="46">
        <v>213221.0</v>
      </c>
      <c r="E111" s="46">
        <v>203881.0</v>
      </c>
    </row>
    <row r="112">
      <c r="A112" s="45">
        <v>5001.0</v>
      </c>
      <c r="B112" s="45" t="s">
        <v>2079</v>
      </c>
      <c r="C112" s="45" t="s">
        <v>2080</v>
      </c>
      <c r="D112" s="46">
        <v>16307.0</v>
      </c>
      <c r="E112" s="46">
        <v>17149.0</v>
      </c>
    </row>
    <row r="113">
      <c r="A113" s="45">
        <v>5003.0</v>
      </c>
      <c r="B113" s="45" t="s">
        <v>2079</v>
      </c>
      <c r="C113" s="45" t="s">
        <v>2081</v>
      </c>
      <c r="D113" s="46">
        <v>18262.0</v>
      </c>
      <c r="E113" s="46">
        <v>19062.0</v>
      </c>
    </row>
    <row r="114">
      <c r="A114" s="45">
        <v>5005.0</v>
      </c>
      <c r="B114" s="45" t="s">
        <v>2079</v>
      </c>
      <c r="C114" s="45" t="s">
        <v>2082</v>
      </c>
      <c r="D114" s="46">
        <v>42875.0</v>
      </c>
      <c r="E114" s="46">
        <v>41627.0</v>
      </c>
    </row>
    <row r="115">
      <c r="A115" s="45">
        <v>5007.0</v>
      </c>
      <c r="B115" s="45" t="s">
        <v>2079</v>
      </c>
      <c r="C115" s="45" t="s">
        <v>2083</v>
      </c>
      <c r="D115" s="46">
        <v>311013.0</v>
      </c>
      <c r="E115" s="46">
        <v>284333.0</v>
      </c>
    </row>
    <row r="116">
      <c r="A116" s="45">
        <v>5009.0</v>
      </c>
      <c r="B116" s="45" t="s">
        <v>2079</v>
      </c>
      <c r="C116" s="45" t="s">
        <v>2084</v>
      </c>
      <c r="D116" s="46">
        <v>38530.0</v>
      </c>
      <c r="E116" s="46">
        <v>37373.0</v>
      </c>
    </row>
    <row r="117">
      <c r="A117" s="45">
        <v>5011.0</v>
      </c>
      <c r="B117" s="45" t="s">
        <v>2079</v>
      </c>
      <c r="C117" s="45" t="s">
        <v>2085</v>
      </c>
      <c r="D117" s="46">
        <v>10104.0</v>
      </c>
      <c r="E117" s="46">
        <v>10545.0</v>
      </c>
    </row>
    <row r="118">
      <c r="A118" s="45">
        <v>5013.0</v>
      </c>
      <c r="B118" s="45" t="s">
        <v>2079</v>
      </c>
      <c r="C118" s="45" t="s">
        <v>2002</v>
      </c>
      <c r="D118" s="46">
        <v>4641.0</v>
      </c>
      <c r="E118" s="46">
        <v>4739.0</v>
      </c>
    </row>
    <row r="119">
      <c r="A119" s="45">
        <v>5015.0</v>
      </c>
      <c r="B119" s="45" t="s">
        <v>2079</v>
      </c>
      <c r="C119" s="45" t="s">
        <v>2086</v>
      </c>
      <c r="D119" s="46">
        <v>28814.0</v>
      </c>
      <c r="E119" s="46">
        <v>28260.0</v>
      </c>
    </row>
    <row r="120">
      <c r="A120" s="45">
        <v>5017.0</v>
      </c>
      <c r="B120" s="45" t="s">
        <v>2079</v>
      </c>
      <c r="C120" s="45" t="s">
        <v>2087</v>
      </c>
      <c r="D120" s="46">
        <v>9538.0</v>
      </c>
      <c r="E120" s="46">
        <v>10208.0</v>
      </c>
    </row>
    <row r="121">
      <c r="A121" s="45">
        <v>5019.0</v>
      </c>
      <c r="B121" s="45" t="s">
        <v>2079</v>
      </c>
      <c r="C121" s="45" t="s">
        <v>2088</v>
      </c>
      <c r="D121" s="46">
        <v>21274.0</v>
      </c>
      <c r="E121" s="46">
        <v>21446.0</v>
      </c>
    </row>
    <row r="122">
      <c r="A122" s="45">
        <v>5021.0</v>
      </c>
      <c r="B122" s="45" t="s">
        <v>2079</v>
      </c>
      <c r="C122" s="45" t="s">
        <v>2008</v>
      </c>
      <c r="D122" s="46">
        <v>14201.0</v>
      </c>
      <c r="E122" s="46">
        <v>14552.0</v>
      </c>
    </row>
    <row r="123">
      <c r="A123" s="45">
        <v>5023.0</v>
      </c>
      <c r="B123" s="45" t="s">
        <v>2079</v>
      </c>
      <c r="C123" s="45" t="s">
        <v>2009</v>
      </c>
      <c r="D123" s="46">
        <v>25445.0</v>
      </c>
      <c r="E123" s="46">
        <v>24711.0</v>
      </c>
    </row>
    <row r="124">
      <c r="A124" s="45">
        <v>5025.0</v>
      </c>
      <c r="B124" s="45" t="s">
        <v>2079</v>
      </c>
      <c r="C124" s="45" t="s">
        <v>2089</v>
      </c>
      <c r="D124" s="46">
        <v>7378.0</v>
      </c>
      <c r="E124" s="46">
        <v>7550.0</v>
      </c>
    </row>
    <row r="125">
      <c r="A125" s="45">
        <v>5027.0</v>
      </c>
      <c r="B125" s="45" t="s">
        <v>2079</v>
      </c>
      <c r="C125" s="45" t="s">
        <v>2090</v>
      </c>
      <c r="D125" s="46">
        <v>22150.0</v>
      </c>
      <c r="E125" s="46">
        <v>22801.0</v>
      </c>
    </row>
    <row r="126">
      <c r="A126" s="45">
        <v>5029.0</v>
      </c>
      <c r="B126" s="45" t="s">
        <v>2079</v>
      </c>
      <c r="C126" s="45" t="s">
        <v>2091</v>
      </c>
      <c r="D126" s="46">
        <v>21077.0</v>
      </c>
      <c r="E126" s="46">
        <v>20715.0</v>
      </c>
    </row>
    <row r="127">
      <c r="A127" s="45">
        <v>5031.0</v>
      </c>
      <c r="B127" s="45" t="s">
        <v>2079</v>
      </c>
      <c r="C127" s="45" t="s">
        <v>2092</v>
      </c>
      <c r="D127" s="46">
        <v>113993.0</v>
      </c>
      <c r="E127" s="46">
        <v>111231.0</v>
      </c>
    </row>
    <row r="128">
      <c r="A128" s="45">
        <v>5033.0</v>
      </c>
      <c r="B128" s="45" t="s">
        <v>2079</v>
      </c>
      <c r="C128" s="45" t="s">
        <v>2093</v>
      </c>
      <c r="D128" s="46">
        <v>61891.0</v>
      </c>
      <c r="E128" s="46">
        <v>60133.0</v>
      </c>
    </row>
    <row r="129">
      <c r="A129" s="45">
        <v>5035.0</v>
      </c>
      <c r="B129" s="45" t="s">
        <v>2079</v>
      </c>
      <c r="C129" s="45" t="s">
        <v>2094</v>
      </c>
      <c r="D129" s="46">
        <v>47139.0</v>
      </c>
      <c r="E129" s="46">
        <v>48163.0</v>
      </c>
    </row>
    <row r="130">
      <c r="A130" s="45">
        <v>5037.0</v>
      </c>
      <c r="B130" s="45" t="s">
        <v>2079</v>
      </c>
      <c r="C130" s="45" t="s">
        <v>2095</v>
      </c>
      <c r="D130" s="46">
        <v>16420.0</v>
      </c>
      <c r="E130" s="46">
        <v>16833.0</v>
      </c>
    </row>
    <row r="131">
      <c r="A131" s="45">
        <v>5039.0</v>
      </c>
      <c r="B131" s="45" t="s">
        <v>2079</v>
      </c>
      <c r="C131" s="45" t="s">
        <v>2018</v>
      </c>
      <c r="D131" s="46">
        <v>6185.0</v>
      </c>
      <c r="E131" s="46">
        <v>6482.0</v>
      </c>
    </row>
    <row r="132">
      <c r="A132" s="45">
        <v>5041.0</v>
      </c>
      <c r="B132" s="45" t="s">
        <v>2079</v>
      </c>
      <c r="C132" s="45" t="s">
        <v>2096</v>
      </c>
      <c r="D132" s="46">
        <v>10479.0</v>
      </c>
      <c r="E132" s="46">
        <v>11395.0</v>
      </c>
    </row>
    <row r="133">
      <c r="A133" s="45">
        <v>5043.0</v>
      </c>
      <c r="B133" s="45" t="s">
        <v>2079</v>
      </c>
      <c r="C133" s="45" t="s">
        <v>2097</v>
      </c>
      <c r="D133" s="46">
        <v>16945.0</v>
      </c>
      <c r="E133" s="46">
        <v>17350.0</v>
      </c>
    </row>
    <row r="134">
      <c r="A134" s="45">
        <v>5045.0</v>
      </c>
      <c r="B134" s="45" t="s">
        <v>2079</v>
      </c>
      <c r="C134" s="45" t="s">
        <v>2098</v>
      </c>
      <c r="D134" s="46">
        <v>129951.0</v>
      </c>
      <c r="E134" s="46">
        <v>123498.0</v>
      </c>
    </row>
    <row r="135">
      <c r="A135" s="45">
        <v>5047.0</v>
      </c>
      <c r="B135" s="45" t="s">
        <v>2079</v>
      </c>
      <c r="C135" s="45" t="s">
        <v>2024</v>
      </c>
      <c r="D135" s="46">
        <v>17468.0</v>
      </c>
      <c r="E135" s="46">
        <v>17097.0</v>
      </c>
    </row>
    <row r="136">
      <c r="A136" s="45">
        <v>5049.0</v>
      </c>
      <c r="B136" s="45" t="s">
        <v>2079</v>
      </c>
      <c r="C136" s="45" t="s">
        <v>2099</v>
      </c>
      <c r="D136" s="46">
        <v>12421.0</v>
      </c>
      <c r="E136" s="46">
        <v>12075.0</v>
      </c>
    </row>
    <row r="137">
      <c r="A137" s="45">
        <v>5051.0</v>
      </c>
      <c r="B137" s="45" t="s">
        <v>2079</v>
      </c>
      <c r="C137" s="45" t="s">
        <v>2100</v>
      </c>
      <c r="D137" s="46">
        <v>99784.0</v>
      </c>
      <c r="E137" s="46">
        <v>100180.0</v>
      </c>
    </row>
    <row r="138">
      <c r="A138" s="45">
        <v>5053.0</v>
      </c>
      <c r="B138" s="45" t="s">
        <v>2079</v>
      </c>
      <c r="C138" s="45" t="s">
        <v>2101</v>
      </c>
      <c r="D138" s="46">
        <v>18383.0</v>
      </c>
      <c r="E138" s="46">
        <v>17958.0</v>
      </c>
    </row>
    <row r="139">
      <c r="A139" s="45">
        <v>5055.0</v>
      </c>
      <c r="B139" s="45" t="s">
        <v>2079</v>
      </c>
      <c r="C139" s="45" t="s">
        <v>2026</v>
      </c>
      <c r="D139" s="46">
        <v>46743.0</v>
      </c>
      <c r="E139" s="46">
        <v>45736.0</v>
      </c>
    </row>
    <row r="140">
      <c r="A140" s="45">
        <v>5057.0</v>
      </c>
      <c r="B140" s="45" t="s">
        <v>2079</v>
      </c>
      <c r="C140" s="45" t="s">
        <v>2102</v>
      </c>
      <c r="D140" s="46">
        <v>19343.0</v>
      </c>
      <c r="E140" s="46">
        <v>20065.0</v>
      </c>
    </row>
    <row r="141">
      <c r="A141" s="45">
        <v>5059.0</v>
      </c>
      <c r="B141" s="45" t="s">
        <v>2079</v>
      </c>
      <c r="C141" s="45" t="s">
        <v>2103</v>
      </c>
      <c r="D141" s="46">
        <v>33258.0</v>
      </c>
      <c r="E141" s="46">
        <v>33040.0</v>
      </c>
    </row>
    <row r="142">
      <c r="A142" s="45">
        <v>5061.0</v>
      </c>
      <c r="B142" s="45" t="s">
        <v>2079</v>
      </c>
      <c r="C142" s="45" t="s">
        <v>2104</v>
      </c>
      <c r="D142" s="46">
        <v>12533.0</v>
      </c>
      <c r="E142" s="46">
        <v>12785.0</v>
      </c>
    </row>
    <row r="143">
      <c r="A143" s="45">
        <v>5063.0</v>
      </c>
      <c r="B143" s="45" t="s">
        <v>2079</v>
      </c>
      <c r="C143" s="45" t="s">
        <v>2105</v>
      </c>
      <c r="D143" s="46">
        <v>38320.0</v>
      </c>
      <c r="E143" s="46">
        <v>37938.0</v>
      </c>
    </row>
    <row r="144">
      <c r="A144" s="45">
        <v>5065.0</v>
      </c>
      <c r="B144" s="45" t="s">
        <v>2079</v>
      </c>
      <c r="C144" s="45" t="s">
        <v>2106</v>
      </c>
      <c r="D144" s="46">
        <v>14169.0</v>
      </c>
      <c r="E144" s="46">
        <v>13577.0</v>
      </c>
    </row>
    <row r="145">
      <c r="A145" s="45">
        <v>5067.0</v>
      </c>
      <c r="B145" s="45" t="s">
        <v>2079</v>
      </c>
      <c r="C145" s="45" t="s">
        <v>2030</v>
      </c>
      <c r="D145" s="46">
        <v>16784.0</v>
      </c>
      <c r="E145" s="46">
        <v>16755.0</v>
      </c>
    </row>
    <row r="146">
      <c r="A146" s="45">
        <v>5069.0</v>
      </c>
      <c r="B146" s="45" t="s">
        <v>2079</v>
      </c>
      <c r="C146" s="45" t="s">
        <v>2031</v>
      </c>
      <c r="D146" s="46">
        <v>63661.0</v>
      </c>
      <c r="E146" s="46">
        <v>67260.0</v>
      </c>
    </row>
    <row r="147">
      <c r="A147" s="45">
        <v>5071.0</v>
      </c>
      <c r="B147" s="45" t="s">
        <v>2079</v>
      </c>
      <c r="C147" s="45" t="s">
        <v>2107</v>
      </c>
      <c r="D147" s="46">
        <v>26129.0</v>
      </c>
      <c r="E147" s="46">
        <v>25749.0</v>
      </c>
    </row>
    <row r="148">
      <c r="A148" s="45">
        <v>5073.0</v>
      </c>
      <c r="B148" s="45" t="s">
        <v>2079</v>
      </c>
      <c r="C148" s="45" t="s">
        <v>2108</v>
      </c>
      <c r="D148" s="46">
        <v>6095.0</v>
      </c>
      <c r="E148" s="46">
        <v>6308.0</v>
      </c>
    </row>
    <row r="149">
      <c r="A149" s="45">
        <v>5075.0</v>
      </c>
      <c r="B149" s="45" t="s">
        <v>2079</v>
      </c>
      <c r="C149" s="45" t="s">
        <v>2034</v>
      </c>
      <c r="D149" s="46">
        <v>16318.0</v>
      </c>
      <c r="E149" s="46">
        <v>16216.0</v>
      </c>
    </row>
    <row r="150">
      <c r="A150" s="45">
        <v>5077.0</v>
      </c>
      <c r="B150" s="45" t="s">
        <v>2079</v>
      </c>
      <c r="C150" s="45" t="s">
        <v>2035</v>
      </c>
      <c r="D150" s="46">
        <v>8201.0</v>
      </c>
      <c r="E150" s="46">
        <v>8600.0</v>
      </c>
    </row>
    <row r="151">
      <c r="A151" s="45">
        <v>5079.0</v>
      </c>
      <c r="B151" s="45" t="s">
        <v>2079</v>
      </c>
      <c r="C151" s="45" t="s">
        <v>2109</v>
      </c>
      <c r="D151" s="46">
        <v>12898.0</v>
      </c>
      <c r="E151" s="46">
        <v>12941.0</v>
      </c>
    </row>
    <row r="152">
      <c r="A152" s="45">
        <v>5081.0</v>
      </c>
      <c r="B152" s="45" t="s">
        <v>2079</v>
      </c>
      <c r="C152" s="45" t="s">
        <v>2110</v>
      </c>
      <c r="D152" s="46">
        <v>11805.0</v>
      </c>
      <c r="E152" s="46">
        <v>12026.0</v>
      </c>
    </row>
    <row r="153">
      <c r="A153" s="45">
        <v>5083.0</v>
      </c>
      <c r="B153" s="45" t="s">
        <v>2079</v>
      </c>
      <c r="C153" s="45" t="s">
        <v>2111</v>
      </c>
      <c r="D153" s="46">
        <v>21400.0</v>
      </c>
      <c r="E153" s="46">
        <v>21131.0</v>
      </c>
    </row>
    <row r="154">
      <c r="A154" s="45">
        <v>5085.0</v>
      </c>
      <c r="B154" s="45" t="s">
        <v>2079</v>
      </c>
      <c r="C154" s="45" t="s">
        <v>2112</v>
      </c>
      <c r="D154" s="46">
        <v>75944.0</v>
      </c>
      <c r="E154" s="46">
        <v>74015.0</v>
      </c>
    </row>
    <row r="155">
      <c r="A155" s="45">
        <v>5087.0</v>
      </c>
      <c r="B155" s="45" t="s">
        <v>2079</v>
      </c>
      <c r="C155" s="45" t="s">
        <v>2039</v>
      </c>
      <c r="D155" s="46">
        <v>17775.0</v>
      </c>
      <c r="E155" s="46">
        <v>16521.0</v>
      </c>
    </row>
    <row r="156">
      <c r="A156" s="45">
        <v>5089.0</v>
      </c>
      <c r="B156" s="45" t="s">
        <v>2079</v>
      </c>
      <c r="C156" s="45" t="s">
        <v>2041</v>
      </c>
      <c r="D156" s="46">
        <v>17514.0</v>
      </c>
      <c r="E156" s="46">
        <v>16826.0</v>
      </c>
    </row>
    <row r="157">
      <c r="A157" s="45">
        <v>5091.0</v>
      </c>
      <c r="B157" s="45" t="s">
        <v>2079</v>
      </c>
      <c r="C157" s="45" t="s">
        <v>2113</v>
      </c>
      <c r="D157" s="46">
        <v>42415.0</v>
      </c>
      <c r="E157" s="46">
        <v>42600.0</v>
      </c>
    </row>
    <row r="158">
      <c r="A158" s="45">
        <v>5093.0</v>
      </c>
      <c r="B158" s="45" t="s">
        <v>2079</v>
      </c>
      <c r="C158" s="45" t="s">
        <v>2114</v>
      </c>
      <c r="D158" s="46">
        <v>38663.0</v>
      </c>
      <c r="E158" s="46">
        <v>40685.0</v>
      </c>
    </row>
    <row r="159">
      <c r="A159" s="45">
        <v>5095.0</v>
      </c>
      <c r="B159" s="45" t="s">
        <v>2079</v>
      </c>
      <c r="C159" s="45" t="s">
        <v>2044</v>
      </c>
      <c r="D159" s="46">
        <v>6512.0</v>
      </c>
      <c r="E159" s="46">
        <v>6799.0</v>
      </c>
    </row>
    <row r="160">
      <c r="A160" s="45">
        <v>5097.0</v>
      </c>
      <c r="B160" s="45" t="s">
        <v>2079</v>
      </c>
      <c r="C160" s="45" t="s">
        <v>2045</v>
      </c>
      <c r="D160" s="46">
        <v>8620.0</v>
      </c>
      <c r="E160" s="46">
        <v>8484.0</v>
      </c>
    </row>
    <row r="161">
      <c r="A161" s="45">
        <v>5099.0</v>
      </c>
      <c r="B161" s="45" t="s">
        <v>2079</v>
      </c>
      <c r="C161" s="45" t="s">
        <v>2115</v>
      </c>
      <c r="D161" s="46">
        <v>8120.0</v>
      </c>
      <c r="E161" s="46">
        <v>8310.0</v>
      </c>
    </row>
    <row r="162">
      <c r="A162" s="45">
        <v>5101.0</v>
      </c>
      <c r="B162" s="45" t="s">
        <v>2079</v>
      </c>
      <c r="C162" s="45" t="s">
        <v>2116</v>
      </c>
      <c r="D162" s="46">
        <v>7071.0</v>
      </c>
      <c r="E162" s="46">
        <v>7225.0</v>
      </c>
    </row>
    <row r="163">
      <c r="A163" s="45">
        <v>5103.0</v>
      </c>
      <c r="B163" s="45" t="s">
        <v>2079</v>
      </c>
      <c r="C163" s="45" t="s">
        <v>2117</v>
      </c>
      <c r="D163" s="46">
        <v>21793.0</v>
      </c>
      <c r="E163" s="46">
        <v>22650.0</v>
      </c>
    </row>
    <row r="164">
      <c r="A164" s="45">
        <v>5105.0</v>
      </c>
      <c r="B164" s="45" t="s">
        <v>2079</v>
      </c>
      <c r="C164" s="45" t="s">
        <v>2047</v>
      </c>
      <c r="D164" s="46">
        <v>10184.0</v>
      </c>
      <c r="E164" s="46">
        <v>10019.0</v>
      </c>
    </row>
    <row r="165">
      <c r="A165" s="45">
        <v>5107.0</v>
      </c>
      <c r="B165" s="45" t="s">
        <v>2079</v>
      </c>
      <c r="C165" s="45" t="s">
        <v>2118</v>
      </c>
      <c r="D165" s="46">
        <v>14961.0</v>
      </c>
      <c r="E165" s="46">
        <v>16568.0</v>
      </c>
    </row>
    <row r="166">
      <c r="A166" s="45">
        <v>5109.0</v>
      </c>
      <c r="B166" s="45" t="s">
        <v>2079</v>
      </c>
      <c r="C166" s="45" t="s">
        <v>2049</v>
      </c>
      <c r="D166" s="46">
        <v>10208.0</v>
      </c>
      <c r="E166" s="46">
        <v>10171.0</v>
      </c>
    </row>
    <row r="167">
      <c r="A167" s="45">
        <v>5111.0</v>
      </c>
      <c r="B167" s="45" t="s">
        <v>2079</v>
      </c>
      <c r="C167" s="45" t="s">
        <v>2119</v>
      </c>
      <c r="D167" s="46">
        <v>22397.0</v>
      </c>
      <c r="E167" s="46">
        <v>22965.0</v>
      </c>
    </row>
    <row r="168">
      <c r="A168" s="45">
        <v>5113.0</v>
      </c>
      <c r="B168" s="45" t="s">
        <v>2079</v>
      </c>
      <c r="C168" s="45" t="s">
        <v>2120</v>
      </c>
      <c r="D168" s="46">
        <v>19436.0</v>
      </c>
      <c r="E168" s="46">
        <v>19221.0</v>
      </c>
    </row>
    <row r="169">
      <c r="A169" s="45">
        <v>5115.0</v>
      </c>
      <c r="B169" s="45" t="s">
        <v>2079</v>
      </c>
      <c r="C169" s="45" t="s">
        <v>2121</v>
      </c>
      <c r="D169" s="46">
        <v>64593.0</v>
      </c>
      <c r="E169" s="46">
        <v>63381.0</v>
      </c>
    </row>
    <row r="170">
      <c r="A170" s="45">
        <v>5117.0</v>
      </c>
      <c r="B170" s="45" t="s">
        <v>2079</v>
      </c>
      <c r="C170" s="45" t="s">
        <v>2122</v>
      </c>
      <c r="D170" s="46">
        <v>8036.0</v>
      </c>
      <c r="E170" s="46">
        <v>8282.0</v>
      </c>
    </row>
    <row r="171">
      <c r="A171" s="45">
        <v>5119.0</v>
      </c>
      <c r="B171" s="45" t="s">
        <v>2079</v>
      </c>
      <c r="C171" s="45" t="s">
        <v>2123</v>
      </c>
      <c r="D171" s="46">
        <v>400009.0</v>
      </c>
      <c r="E171" s="46">
        <v>399125.0</v>
      </c>
    </row>
    <row r="172">
      <c r="A172" s="45">
        <v>5121.0</v>
      </c>
      <c r="B172" s="45" t="s">
        <v>2079</v>
      </c>
      <c r="C172" s="45" t="s">
        <v>2050</v>
      </c>
      <c r="D172" s="46">
        <v>18907.0</v>
      </c>
      <c r="E172" s="46">
        <v>18571.0</v>
      </c>
    </row>
    <row r="173">
      <c r="A173" s="45">
        <v>5123.0</v>
      </c>
      <c r="B173" s="45" t="s">
        <v>2079</v>
      </c>
      <c r="C173" s="45" t="s">
        <v>2124</v>
      </c>
      <c r="D173" s="46">
        <v>22101.0</v>
      </c>
      <c r="E173" s="46">
        <v>23090.0</v>
      </c>
    </row>
    <row r="174">
      <c r="A174" s="45">
        <v>5125.0</v>
      </c>
      <c r="B174" s="45" t="s">
        <v>2079</v>
      </c>
      <c r="C174" s="45" t="s">
        <v>2125</v>
      </c>
      <c r="D174" s="46">
        <v>129574.0</v>
      </c>
      <c r="E174" s="46">
        <v>123416.0</v>
      </c>
    </row>
    <row r="175">
      <c r="A175" s="45">
        <v>5127.0</v>
      </c>
      <c r="B175" s="45" t="s">
        <v>2079</v>
      </c>
      <c r="C175" s="45" t="s">
        <v>2126</v>
      </c>
      <c r="D175" s="46">
        <v>9851.0</v>
      </c>
      <c r="E175" s="46">
        <v>9836.0</v>
      </c>
    </row>
    <row r="176">
      <c r="A176" s="45">
        <v>5129.0</v>
      </c>
      <c r="B176" s="45" t="s">
        <v>2079</v>
      </c>
      <c r="C176" s="45" t="s">
        <v>2127</v>
      </c>
      <c r="D176" s="46">
        <v>7806.0</v>
      </c>
      <c r="E176" s="46">
        <v>7828.0</v>
      </c>
    </row>
    <row r="177">
      <c r="A177" s="45">
        <v>5131.0</v>
      </c>
      <c r="B177" s="45" t="s">
        <v>2079</v>
      </c>
      <c r="C177" s="45" t="s">
        <v>2128</v>
      </c>
      <c r="D177" s="46">
        <v>129098.0</v>
      </c>
      <c r="E177" s="46">
        <v>127799.0</v>
      </c>
    </row>
    <row r="178">
      <c r="A178" s="45">
        <v>5133.0</v>
      </c>
      <c r="B178" s="45" t="s">
        <v>2079</v>
      </c>
      <c r="C178" s="45" t="s">
        <v>2129</v>
      </c>
      <c r="D178" s="46">
        <v>15632.0</v>
      </c>
      <c r="E178" s="46">
        <v>15839.0</v>
      </c>
    </row>
    <row r="179">
      <c r="A179" s="45">
        <v>5135.0</v>
      </c>
      <c r="B179" s="45" t="s">
        <v>2079</v>
      </c>
      <c r="C179" s="45" t="s">
        <v>2130</v>
      </c>
      <c r="D179" s="46">
        <v>17968.0</v>
      </c>
      <c r="E179" s="46">
        <v>17271.0</v>
      </c>
    </row>
    <row r="180">
      <c r="A180" s="45">
        <v>5137.0</v>
      </c>
      <c r="B180" s="45" t="s">
        <v>2079</v>
      </c>
      <c r="C180" s="45" t="s">
        <v>2131</v>
      </c>
      <c r="D180" s="46">
        <v>12671.0</v>
      </c>
      <c r="E180" s="46">
        <v>12359.0</v>
      </c>
    </row>
    <row r="181">
      <c r="A181" s="45">
        <v>5139.0</v>
      </c>
      <c r="B181" s="45" t="s">
        <v>2079</v>
      </c>
      <c r="C181" s="45" t="s">
        <v>2132</v>
      </c>
      <c r="D181" s="46">
        <v>37397.0</v>
      </c>
      <c r="E181" s="46">
        <v>39054.0</v>
      </c>
    </row>
    <row r="182">
      <c r="A182" s="45">
        <v>5141.0</v>
      </c>
      <c r="B182" s="45" t="s">
        <v>2079</v>
      </c>
      <c r="C182" s="45" t="s">
        <v>2133</v>
      </c>
      <c r="D182" s="46">
        <v>16142.0</v>
      </c>
      <c r="E182" s="46">
        <v>15796.0</v>
      </c>
    </row>
    <row r="183">
      <c r="A183" s="45">
        <v>5143.0</v>
      </c>
      <c r="B183" s="45" t="s">
        <v>2079</v>
      </c>
      <c r="C183" s="45" t="s">
        <v>2059</v>
      </c>
      <c r="D183" s="46">
        <v>261549.0</v>
      </c>
      <c r="E183" s="46">
        <v>245871.0</v>
      </c>
    </row>
    <row r="184">
      <c r="A184" s="45">
        <v>5145.0</v>
      </c>
      <c r="B184" s="45" t="s">
        <v>2079</v>
      </c>
      <c r="C184" s="45" t="s">
        <v>2134</v>
      </c>
      <c r="D184" s="46">
        <v>78452.0</v>
      </c>
      <c r="E184" s="46">
        <v>76822.0</v>
      </c>
    </row>
    <row r="185">
      <c r="A185" s="45">
        <v>5147.0</v>
      </c>
      <c r="B185" s="45" t="s">
        <v>2079</v>
      </c>
      <c r="C185" s="45" t="s">
        <v>2135</v>
      </c>
      <c r="D185" s="46">
        <v>5964.0</v>
      </c>
      <c r="E185" s="46">
        <v>6269.0</v>
      </c>
    </row>
    <row r="186">
      <c r="A186" s="45">
        <v>5149.0</v>
      </c>
      <c r="B186" s="45" t="s">
        <v>2079</v>
      </c>
      <c r="C186" s="45" t="s">
        <v>2136</v>
      </c>
      <c r="D186" s="46">
        <v>20044.0</v>
      </c>
      <c r="E186" s="46">
        <v>20263.0</v>
      </c>
    </row>
    <row r="187">
      <c r="A187" s="45">
        <v>6001.0</v>
      </c>
      <c r="B187" s="45" t="s">
        <v>2137</v>
      </c>
      <c r="C187" s="45" t="s">
        <v>2138</v>
      </c>
      <c r="D187" s="46">
        <v>1622188.0</v>
      </c>
      <c r="E187" s="46">
        <v>1682353.0</v>
      </c>
    </row>
    <row r="188">
      <c r="A188" s="45">
        <v>6003.0</v>
      </c>
      <c r="B188" s="45" t="s">
        <v>2137</v>
      </c>
      <c r="C188" s="45" t="s">
        <v>2139</v>
      </c>
      <c r="D188" s="46">
        <v>1141.0</v>
      </c>
      <c r="E188" s="46">
        <v>1204.0</v>
      </c>
    </row>
    <row r="189">
      <c r="A189" s="45">
        <v>6005.0</v>
      </c>
      <c r="B189" s="45" t="s">
        <v>2137</v>
      </c>
      <c r="C189" s="45" t="s">
        <v>2140</v>
      </c>
      <c r="D189" s="46">
        <v>41811.0</v>
      </c>
      <c r="E189" s="46">
        <v>40474.0</v>
      </c>
    </row>
    <row r="190">
      <c r="A190" s="45">
        <v>6007.0</v>
      </c>
      <c r="B190" s="45" t="s">
        <v>2137</v>
      </c>
      <c r="C190" s="45" t="s">
        <v>2141</v>
      </c>
      <c r="D190" s="46">
        <v>207172.0</v>
      </c>
      <c r="E190" s="46">
        <v>211632.0</v>
      </c>
    </row>
    <row r="191">
      <c r="A191" s="45">
        <v>6009.0</v>
      </c>
      <c r="B191" s="45" t="s">
        <v>2137</v>
      </c>
      <c r="C191" s="45" t="s">
        <v>2142</v>
      </c>
      <c r="D191" s="46">
        <v>46565.0</v>
      </c>
      <c r="E191" s="46">
        <v>45292.0</v>
      </c>
    </row>
    <row r="192">
      <c r="A192" s="45">
        <v>6011.0</v>
      </c>
      <c r="B192" s="45" t="s">
        <v>2137</v>
      </c>
      <c r="C192" s="45" t="s">
        <v>2143</v>
      </c>
      <c r="D192" s="46">
        <v>22037.0</v>
      </c>
      <c r="E192" s="46">
        <v>21839.0</v>
      </c>
    </row>
    <row r="193">
      <c r="A193" s="45">
        <v>6013.0</v>
      </c>
      <c r="B193" s="45" t="s">
        <v>2137</v>
      </c>
      <c r="C193" s="45" t="s">
        <v>2144</v>
      </c>
      <c r="D193" s="46">
        <v>1155025.0</v>
      </c>
      <c r="E193" s="46">
        <v>1165927.0</v>
      </c>
    </row>
    <row r="194">
      <c r="A194" s="45">
        <v>6015.0</v>
      </c>
      <c r="B194" s="45" t="s">
        <v>2137</v>
      </c>
      <c r="C194" s="45" t="s">
        <v>2145</v>
      </c>
      <c r="D194" s="46">
        <v>26589.0</v>
      </c>
      <c r="E194" s="46">
        <v>27743.0</v>
      </c>
    </row>
    <row r="195">
      <c r="A195" s="45">
        <v>6017.0</v>
      </c>
      <c r="B195" s="45" t="s">
        <v>2137</v>
      </c>
      <c r="C195" s="45" t="s">
        <v>2146</v>
      </c>
      <c r="D195" s="46">
        <v>192215.0</v>
      </c>
      <c r="E195" s="46">
        <v>191185.0</v>
      </c>
    </row>
    <row r="196">
      <c r="A196" s="45">
        <v>6019.0</v>
      </c>
      <c r="B196" s="45" t="s">
        <v>2137</v>
      </c>
      <c r="C196" s="45" t="s">
        <v>2147</v>
      </c>
      <c r="D196" s="46">
        <v>1017162.0</v>
      </c>
      <c r="E196" s="46">
        <v>1008654.0</v>
      </c>
    </row>
    <row r="197">
      <c r="A197" s="45">
        <v>6021.0</v>
      </c>
      <c r="B197" s="45" t="s">
        <v>2137</v>
      </c>
      <c r="C197" s="45" t="s">
        <v>2148</v>
      </c>
      <c r="D197" s="46">
        <v>28129.0</v>
      </c>
      <c r="E197" s="46">
        <v>28917.0</v>
      </c>
    </row>
    <row r="198">
      <c r="A198" s="45">
        <v>6023.0</v>
      </c>
      <c r="B198" s="45" t="s">
        <v>2137</v>
      </c>
      <c r="C198" s="45" t="s">
        <v>2149</v>
      </c>
      <c r="D198" s="46">
        <v>133985.0</v>
      </c>
      <c r="E198" s="46">
        <v>136463.0</v>
      </c>
    </row>
    <row r="199">
      <c r="A199" s="45">
        <v>6025.0</v>
      </c>
      <c r="B199" s="45" t="s">
        <v>2137</v>
      </c>
      <c r="C199" s="45" t="s">
        <v>2150</v>
      </c>
      <c r="D199" s="46">
        <v>179057.0</v>
      </c>
      <c r="E199" s="46">
        <v>179702.0</v>
      </c>
    </row>
    <row r="200">
      <c r="A200" s="45">
        <v>6027.0</v>
      </c>
      <c r="B200" s="45" t="s">
        <v>2137</v>
      </c>
      <c r="C200" s="45" t="s">
        <v>2151</v>
      </c>
      <c r="D200" s="46">
        <v>18527.0</v>
      </c>
      <c r="E200" s="46">
        <v>19016.0</v>
      </c>
    </row>
    <row r="201">
      <c r="A201" s="45">
        <v>6029.0</v>
      </c>
      <c r="B201" s="45" t="s">
        <v>2137</v>
      </c>
      <c r="C201" s="45" t="s">
        <v>2152</v>
      </c>
      <c r="D201" s="46">
        <v>913820.0</v>
      </c>
      <c r="E201" s="46">
        <v>909235.0</v>
      </c>
    </row>
    <row r="202">
      <c r="A202" s="45">
        <v>6031.0</v>
      </c>
      <c r="B202" s="45" t="s">
        <v>2137</v>
      </c>
      <c r="C202" s="45" t="s">
        <v>2153</v>
      </c>
      <c r="D202" s="46">
        <v>152682.0</v>
      </c>
      <c r="E202" s="46">
        <v>152486.0</v>
      </c>
    </row>
    <row r="203">
      <c r="A203" s="45">
        <v>6033.0</v>
      </c>
      <c r="B203" s="45" t="s">
        <v>2137</v>
      </c>
      <c r="C203" s="45" t="s">
        <v>2154</v>
      </c>
      <c r="D203" s="46">
        <v>67878.0</v>
      </c>
      <c r="E203" s="46">
        <v>68163.0</v>
      </c>
    </row>
    <row r="204">
      <c r="A204" s="45">
        <v>6035.0</v>
      </c>
      <c r="B204" s="45" t="s">
        <v>2137</v>
      </c>
      <c r="C204" s="45" t="s">
        <v>2155</v>
      </c>
      <c r="D204" s="46">
        <v>28861.0</v>
      </c>
      <c r="E204" s="46">
        <v>32730.0</v>
      </c>
    </row>
    <row r="205">
      <c r="A205" s="45">
        <v>6037.0</v>
      </c>
      <c r="B205" s="45" t="s">
        <v>2137</v>
      </c>
      <c r="C205" s="45" t="s">
        <v>2156</v>
      </c>
      <c r="D205" s="46">
        <v>9663345.0</v>
      </c>
      <c r="E205" s="46">
        <v>1.0014009E7</v>
      </c>
    </row>
    <row r="206">
      <c r="A206" s="45">
        <v>6039.0</v>
      </c>
      <c r="B206" s="45" t="s">
        <v>2137</v>
      </c>
      <c r="C206" s="45" t="s">
        <v>2157</v>
      </c>
      <c r="D206" s="46">
        <v>162858.0</v>
      </c>
      <c r="E206" s="46">
        <v>156255.0</v>
      </c>
    </row>
    <row r="207">
      <c r="A207" s="45">
        <v>6041.0</v>
      </c>
      <c r="B207" s="45" t="s">
        <v>2137</v>
      </c>
      <c r="C207" s="45" t="s">
        <v>2158</v>
      </c>
      <c r="D207" s="46">
        <v>254407.0</v>
      </c>
      <c r="E207" s="46">
        <v>262321.0</v>
      </c>
    </row>
    <row r="208">
      <c r="A208" s="45">
        <v>6043.0</v>
      </c>
      <c r="B208" s="45" t="s">
        <v>2137</v>
      </c>
      <c r="C208" s="45" t="s">
        <v>2159</v>
      </c>
      <c r="D208" s="46">
        <v>16919.0</v>
      </c>
      <c r="E208" s="46">
        <v>17131.0</v>
      </c>
    </row>
    <row r="209">
      <c r="A209" s="45">
        <v>6045.0</v>
      </c>
      <c r="B209" s="45" t="s">
        <v>2137</v>
      </c>
      <c r="C209" s="45" t="s">
        <v>2160</v>
      </c>
      <c r="D209" s="46">
        <v>89108.0</v>
      </c>
      <c r="E209" s="46">
        <v>91601.0</v>
      </c>
    </row>
    <row r="210">
      <c r="A210" s="45">
        <v>6047.0</v>
      </c>
      <c r="B210" s="45" t="s">
        <v>2137</v>
      </c>
      <c r="C210" s="45" t="s">
        <v>2161</v>
      </c>
      <c r="D210" s="46">
        <v>291920.0</v>
      </c>
      <c r="E210" s="46">
        <v>281202.0</v>
      </c>
    </row>
    <row r="211">
      <c r="A211" s="45">
        <v>6049.0</v>
      </c>
      <c r="B211" s="45" t="s">
        <v>2137</v>
      </c>
      <c r="C211" s="45" t="s">
        <v>2162</v>
      </c>
      <c r="D211" s="46">
        <v>8500.0</v>
      </c>
      <c r="E211" s="46">
        <v>8700.0</v>
      </c>
    </row>
    <row r="212">
      <c r="A212" s="45">
        <v>6051.0</v>
      </c>
      <c r="B212" s="45" t="s">
        <v>2137</v>
      </c>
      <c r="C212" s="45" t="s">
        <v>2163</v>
      </c>
      <c r="D212" s="46">
        <v>13066.0</v>
      </c>
      <c r="E212" s="46">
        <v>13195.0</v>
      </c>
    </row>
    <row r="213">
      <c r="A213" s="45">
        <v>6053.0</v>
      </c>
      <c r="B213" s="45" t="s">
        <v>2137</v>
      </c>
      <c r="C213" s="45" t="s">
        <v>2164</v>
      </c>
      <c r="D213" s="46">
        <v>430723.0</v>
      </c>
      <c r="E213" s="46">
        <v>439035.0</v>
      </c>
    </row>
    <row r="214">
      <c r="A214" s="45">
        <v>6055.0</v>
      </c>
      <c r="B214" s="45" t="s">
        <v>2137</v>
      </c>
      <c r="C214" s="45" t="s">
        <v>2165</v>
      </c>
      <c r="D214" s="46">
        <v>133216.0</v>
      </c>
      <c r="E214" s="46">
        <v>138019.0</v>
      </c>
    </row>
    <row r="215">
      <c r="A215" s="45">
        <v>6057.0</v>
      </c>
      <c r="B215" s="45" t="s">
        <v>2137</v>
      </c>
      <c r="C215" s="45" t="s">
        <v>2115</v>
      </c>
      <c r="D215" s="46">
        <v>102037.0</v>
      </c>
      <c r="E215" s="46">
        <v>102241.0</v>
      </c>
    </row>
    <row r="216">
      <c r="A216" s="45">
        <v>6059.0</v>
      </c>
      <c r="B216" s="45" t="s">
        <v>2137</v>
      </c>
      <c r="C216" s="45" t="s">
        <v>2166</v>
      </c>
      <c r="D216" s="46">
        <v>3135755.0</v>
      </c>
      <c r="E216" s="46">
        <v>3186989.0</v>
      </c>
    </row>
    <row r="217">
      <c r="A217" s="45">
        <v>6061.0</v>
      </c>
      <c r="B217" s="45" t="s">
        <v>2137</v>
      </c>
      <c r="C217" s="45" t="s">
        <v>2167</v>
      </c>
      <c r="D217" s="46">
        <v>423561.0</v>
      </c>
      <c r="E217" s="46">
        <v>404739.0</v>
      </c>
    </row>
    <row r="218">
      <c r="A218" s="45">
        <v>6063.0</v>
      </c>
      <c r="B218" s="45" t="s">
        <v>2137</v>
      </c>
      <c r="C218" s="45" t="s">
        <v>2168</v>
      </c>
      <c r="D218" s="46">
        <v>19131.0</v>
      </c>
      <c r="E218" s="46">
        <v>19790.0</v>
      </c>
    </row>
    <row r="219">
      <c r="A219" s="45">
        <v>6065.0</v>
      </c>
      <c r="B219" s="45" t="s">
        <v>2137</v>
      </c>
      <c r="C219" s="45" t="s">
        <v>2169</v>
      </c>
      <c r="D219" s="46">
        <v>2492442.0</v>
      </c>
      <c r="E219" s="46">
        <v>2418185.0</v>
      </c>
    </row>
    <row r="220">
      <c r="A220" s="45">
        <v>6067.0</v>
      </c>
      <c r="B220" s="45" t="s">
        <v>2137</v>
      </c>
      <c r="C220" s="45" t="s">
        <v>2170</v>
      </c>
      <c r="D220" s="46">
        <v>1584288.0</v>
      </c>
      <c r="E220" s="46">
        <v>1585055.0</v>
      </c>
    </row>
    <row r="221">
      <c r="A221" s="45">
        <v>6069.0</v>
      </c>
      <c r="B221" s="45" t="s">
        <v>2137</v>
      </c>
      <c r="C221" s="45" t="s">
        <v>2171</v>
      </c>
      <c r="D221" s="46">
        <v>68175.0</v>
      </c>
      <c r="E221" s="46">
        <v>64209.0</v>
      </c>
    </row>
    <row r="222">
      <c r="A222" s="45">
        <v>6071.0</v>
      </c>
      <c r="B222" s="45" t="s">
        <v>2137</v>
      </c>
      <c r="C222" s="45" t="s">
        <v>2172</v>
      </c>
      <c r="D222" s="46">
        <v>2195611.0</v>
      </c>
      <c r="E222" s="46">
        <v>2181654.0</v>
      </c>
    </row>
    <row r="223">
      <c r="A223" s="45">
        <v>6073.0</v>
      </c>
      <c r="B223" s="45" t="s">
        <v>2137</v>
      </c>
      <c r="C223" s="45" t="s">
        <v>2173</v>
      </c>
      <c r="D223" s="46">
        <v>3269973.0</v>
      </c>
      <c r="E223" s="46">
        <v>3298634.0</v>
      </c>
    </row>
    <row r="224">
      <c r="A224" s="45">
        <v>6075.0</v>
      </c>
      <c r="B224" s="45" t="s">
        <v>2137</v>
      </c>
      <c r="C224" s="45" t="s">
        <v>2174</v>
      </c>
      <c r="D224" s="46">
        <v>808988.0</v>
      </c>
      <c r="E224" s="46">
        <v>873965.0</v>
      </c>
    </row>
    <row r="225">
      <c r="A225" s="45">
        <v>6077.0</v>
      </c>
      <c r="B225" s="45" t="s">
        <v>2137</v>
      </c>
      <c r="C225" s="45" t="s">
        <v>2175</v>
      </c>
      <c r="D225" s="46">
        <v>800965.0</v>
      </c>
      <c r="E225" s="46">
        <v>779233.0</v>
      </c>
    </row>
    <row r="226">
      <c r="A226" s="45">
        <v>6079.0</v>
      </c>
      <c r="B226" s="45" t="s">
        <v>2137</v>
      </c>
      <c r="C226" s="45" t="s">
        <v>2176</v>
      </c>
      <c r="D226" s="46">
        <v>281639.0</v>
      </c>
      <c r="E226" s="46">
        <v>282424.0</v>
      </c>
    </row>
    <row r="227">
      <c r="A227" s="45">
        <v>6081.0</v>
      </c>
      <c r="B227" s="45" t="s">
        <v>2137</v>
      </c>
      <c r="C227" s="45" t="s">
        <v>2177</v>
      </c>
      <c r="D227" s="46">
        <v>726353.0</v>
      </c>
      <c r="E227" s="46">
        <v>764442.0</v>
      </c>
    </row>
    <row r="228">
      <c r="A228" s="45">
        <v>6083.0</v>
      </c>
      <c r="B228" s="45" t="s">
        <v>2137</v>
      </c>
      <c r="C228" s="45" t="s">
        <v>2178</v>
      </c>
      <c r="D228" s="46">
        <v>441257.0</v>
      </c>
      <c r="E228" s="46">
        <v>448229.0</v>
      </c>
    </row>
    <row r="229">
      <c r="A229" s="45">
        <v>6085.0</v>
      </c>
      <c r="B229" s="45" t="s">
        <v>2137</v>
      </c>
      <c r="C229" s="45" t="s">
        <v>2179</v>
      </c>
      <c r="D229" s="46">
        <v>1877592.0</v>
      </c>
      <c r="E229" s="46">
        <v>1936259.0</v>
      </c>
    </row>
    <row r="230">
      <c r="A230" s="45">
        <v>6087.0</v>
      </c>
      <c r="B230" s="45" t="s">
        <v>2137</v>
      </c>
      <c r="C230" s="45" t="s">
        <v>2076</v>
      </c>
      <c r="D230" s="46">
        <v>261547.0</v>
      </c>
      <c r="E230" s="46">
        <v>270861.0</v>
      </c>
    </row>
    <row r="231">
      <c r="A231" s="45">
        <v>6089.0</v>
      </c>
      <c r="B231" s="45" t="s">
        <v>2137</v>
      </c>
      <c r="C231" s="45" t="s">
        <v>2180</v>
      </c>
      <c r="D231" s="46">
        <v>180366.0</v>
      </c>
      <c r="E231" s="46">
        <v>182155.0</v>
      </c>
    </row>
    <row r="232">
      <c r="A232" s="45">
        <v>6091.0</v>
      </c>
      <c r="B232" s="45" t="s">
        <v>2137</v>
      </c>
      <c r="C232" s="45" t="s">
        <v>2181</v>
      </c>
      <c r="D232" s="46">
        <v>3200.0</v>
      </c>
      <c r="E232" s="46">
        <v>3236.0</v>
      </c>
    </row>
    <row r="233">
      <c r="A233" s="45">
        <v>6093.0</v>
      </c>
      <c r="B233" s="45" t="s">
        <v>2137</v>
      </c>
      <c r="C233" s="45" t="s">
        <v>2182</v>
      </c>
      <c r="D233" s="46">
        <v>42905.0</v>
      </c>
      <c r="E233" s="46">
        <v>44076.0</v>
      </c>
    </row>
    <row r="234">
      <c r="A234" s="45">
        <v>6095.0</v>
      </c>
      <c r="B234" s="45" t="s">
        <v>2137</v>
      </c>
      <c r="C234" s="45" t="s">
        <v>2183</v>
      </c>
      <c r="D234" s="46">
        <v>449218.0</v>
      </c>
      <c r="E234" s="46">
        <v>453491.0</v>
      </c>
    </row>
    <row r="235">
      <c r="A235" s="45">
        <v>6097.0</v>
      </c>
      <c r="B235" s="45" t="s">
        <v>2137</v>
      </c>
      <c r="C235" s="45" t="s">
        <v>2184</v>
      </c>
      <c r="D235" s="46">
        <v>481812.0</v>
      </c>
      <c r="E235" s="46">
        <v>488863.0</v>
      </c>
    </row>
    <row r="236">
      <c r="A236" s="45">
        <v>6099.0</v>
      </c>
      <c r="B236" s="45" t="s">
        <v>2137</v>
      </c>
      <c r="C236" s="45" t="s">
        <v>2185</v>
      </c>
      <c r="D236" s="46">
        <v>551430.0</v>
      </c>
      <c r="E236" s="46">
        <v>552878.0</v>
      </c>
    </row>
    <row r="237">
      <c r="A237" s="45">
        <v>6101.0</v>
      </c>
      <c r="B237" s="45" t="s">
        <v>2137</v>
      </c>
      <c r="C237" s="45" t="s">
        <v>2186</v>
      </c>
      <c r="D237" s="46">
        <v>97948.0</v>
      </c>
      <c r="E237" s="46">
        <v>99633.0</v>
      </c>
    </row>
    <row r="238">
      <c r="A238" s="45">
        <v>6103.0</v>
      </c>
      <c r="B238" s="45" t="s">
        <v>2137</v>
      </c>
      <c r="C238" s="45" t="s">
        <v>2187</v>
      </c>
      <c r="D238" s="46">
        <v>64896.0</v>
      </c>
      <c r="E238" s="46">
        <v>65829.0</v>
      </c>
    </row>
    <row r="239">
      <c r="A239" s="45">
        <v>6105.0</v>
      </c>
      <c r="B239" s="45" t="s">
        <v>2137</v>
      </c>
      <c r="C239" s="45" t="s">
        <v>2188</v>
      </c>
      <c r="D239" s="46">
        <v>15670.0</v>
      </c>
      <c r="E239" s="46">
        <v>16112.0</v>
      </c>
    </row>
    <row r="240">
      <c r="A240" s="45">
        <v>6107.0</v>
      </c>
      <c r="B240" s="45" t="s">
        <v>2137</v>
      </c>
      <c r="C240" s="45" t="s">
        <v>2189</v>
      </c>
      <c r="D240" s="46">
        <v>479468.0</v>
      </c>
      <c r="E240" s="46">
        <v>473117.0</v>
      </c>
    </row>
    <row r="241">
      <c r="A241" s="45">
        <v>6109.0</v>
      </c>
      <c r="B241" s="45" t="s">
        <v>2137</v>
      </c>
      <c r="C241" s="45" t="s">
        <v>2190</v>
      </c>
      <c r="D241" s="46">
        <v>54204.0</v>
      </c>
      <c r="E241" s="46">
        <v>55620.0</v>
      </c>
    </row>
    <row r="242">
      <c r="A242" s="45">
        <v>6111.0</v>
      </c>
      <c r="B242" s="45" t="s">
        <v>2137</v>
      </c>
      <c r="C242" s="45" t="s">
        <v>2191</v>
      </c>
      <c r="D242" s="46">
        <v>829590.0</v>
      </c>
      <c r="E242" s="46">
        <v>843843.0</v>
      </c>
    </row>
    <row r="243">
      <c r="A243" s="45">
        <v>6113.0</v>
      </c>
      <c r="B243" s="45" t="s">
        <v>2137</v>
      </c>
      <c r="C243" s="45" t="s">
        <v>2192</v>
      </c>
      <c r="D243" s="46">
        <v>220544.0</v>
      </c>
      <c r="E243" s="46">
        <v>216403.0</v>
      </c>
    </row>
    <row r="244">
      <c r="A244" s="45">
        <v>6115.0</v>
      </c>
      <c r="B244" s="45" t="s">
        <v>2137</v>
      </c>
      <c r="C244" s="45" t="s">
        <v>2193</v>
      </c>
      <c r="D244" s="46">
        <v>85722.0</v>
      </c>
      <c r="E244" s="46">
        <v>81575.0</v>
      </c>
    </row>
    <row r="245">
      <c r="A245" s="45">
        <v>8001.0</v>
      </c>
      <c r="B245" s="45" t="s">
        <v>2194</v>
      </c>
      <c r="C245" s="45" t="s">
        <v>2195</v>
      </c>
      <c r="D245" s="46">
        <v>533365.0</v>
      </c>
      <c r="E245" s="46">
        <v>519572.0</v>
      </c>
    </row>
    <row r="246">
      <c r="A246" s="45">
        <v>8003.0</v>
      </c>
      <c r="B246" s="45" t="s">
        <v>2194</v>
      </c>
      <c r="C246" s="45" t="s">
        <v>2196</v>
      </c>
      <c r="D246" s="46">
        <v>16655.0</v>
      </c>
      <c r="E246" s="46">
        <v>16376.0</v>
      </c>
    </row>
    <row r="247">
      <c r="A247" s="45">
        <v>8005.0</v>
      </c>
      <c r="B247" s="45" t="s">
        <v>2194</v>
      </c>
      <c r="C247" s="45" t="s">
        <v>2197</v>
      </c>
      <c r="D247" s="46">
        <v>656061.0</v>
      </c>
      <c r="E247" s="46">
        <v>655070.0</v>
      </c>
    </row>
    <row r="248">
      <c r="A248" s="45">
        <v>8007.0</v>
      </c>
      <c r="B248" s="45" t="s">
        <v>2194</v>
      </c>
      <c r="C248" s="45" t="s">
        <v>2198</v>
      </c>
      <c r="D248" s="46">
        <v>14189.0</v>
      </c>
      <c r="E248" s="46">
        <v>13359.0</v>
      </c>
    </row>
    <row r="249">
      <c r="A249" s="45">
        <v>8009.0</v>
      </c>
      <c r="B249" s="45" t="s">
        <v>2194</v>
      </c>
      <c r="C249" s="45" t="s">
        <v>2199</v>
      </c>
      <c r="D249" s="46">
        <v>3344.0</v>
      </c>
      <c r="E249" s="46">
        <v>3506.0</v>
      </c>
    </row>
    <row r="250">
      <c r="A250" s="45">
        <v>8011.0</v>
      </c>
      <c r="B250" s="45" t="s">
        <v>2194</v>
      </c>
      <c r="C250" s="45" t="s">
        <v>2200</v>
      </c>
      <c r="D250" s="46">
        <v>5681.0</v>
      </c>
      <c r="E250" s="46">
        <v>5650.0</v>
      </c>
    </row>
    <row r="251">
      <c r="A251" s="45">
        <v>8013.0</v>
      </c>
      <c r="B251" s="45" t="s">
        <v>2194</v>
      </c>
      <c r="C251" s="45" t="s">
        <v>2201</v>
      </c>
      <c r="D251" s="46">
        <v>326831.0</v>
      </c>
      <c r="E251" s="46">
        <v>330758.0</v>
      </c>
    </row>
    <row r="252">
      <c r="A252" s="45">
        <v>8014.0</v>
      </c>
      <c r="B252" s="45" t="s">
        <v>2194</v>
      </c>
      <c r="C252" s="45" t="s">
        <v>2202</v>
      </c>
      <c r="D252" s="46">
        <v>76860.0</v>
      </c>
      <c r="E252" s="46">
        <v>74112.0</v>
      </c>
    </row>
    <row r="253">
      <c r="A253" s="45">
        <v>8015.0</v>
      </c>
      <c r="B253" s="45" t="s">
        <v>2194</v>
      </c>
      <c r="C253" s="45" t="s">
        <v>2203</v>
      </c>
      <c r="D253" s="46">
        <v>20617.0</v>
      </c>
      <c r="E253" s="46">
        <v>19476.0</v>
      </c>
    </row>
    <row r="254">
      <c r="A254" s="45">
        <v>8017.0</v>
      </c>
      <c r="B254" s="45" t="s">
        <v>2194</v>
      </c>
      <c r="C254" s="45" t="s">
        <v>2204</v>
      </c>
      <c r="D254" s="46">
        <v>1727.0</v>
      </c>
      <c r="E254" s="46">
        <v>1748.0</v>
      </c>
    </row>
    <row r="255">
      <c r="A255" s="45">
        <v>8019.0</v>
      </c>
      <c r="B255" s="45" t="s">
        <v>2194</v>
      </c>
      <c r="C255" s="45" t="s">
        <v>2205</v>
      </c>
      <c r="D255" s="46">
        <v>9147.0</v>
      </c>
      <c r="E255" s="46">
        <v>9397.0</v>
      </c>
    </row>
    <row r="256">
      <c r="A256" s="45">
        <v>8021.0</v>
      </c>
      <c r="B256" s="45" t="s">
        <v>2194</v>
      </c>
      <c r="C256" s="45" t="s">
        <v>2206</v>
      </c>
      <c r="D256" s="46">
        <v>7521.0</v>
      </c>
      <c r="E256" s="46">
        <v>7461.0</v>
      </c>
    </row>
    <row r="257">
      <c r="A257" s="45">
        <v>8023.0</v>
      </c>
      <c r="B257" s="45" t="s">
        <v>2194</v>
      </c>
      <c r="C257" s="45" t="s">
        <v>2207</v>
      </c>
      <c r="D257" s="46">
        <v>3628.0</v>
      </c>
      <c r="E257" s="46">
        <v>3499.0</v>
      </c>
    </row>
    <row r="258">
      <c r="A258" s="45">
        <v>8025.0</v>
      </c>
      <c r="B258" s="45" t="s">
        <v>2194</v>
      </c>
      <c r="C258" s="45" t="s">
        <v>2208</v>
      </c>
      <c r="D258" s="46">
        <v>5636.0</v>
      </c>
      <c r="E258" s="46">
        <v>5922.0</v>
      </c>
    </row>
    <row r="259">
      <c r="A259" s="45">
        <v>8027.0</v>
      </c>
      <c r="B259" s="45" t="s">
        <v>2194</v>
      </c>
      <c r="C259" s="45" t="s">
        <v>2209</v>
      </c>
      <c r="D259" s="46">
        <v>5534.0</v>
      </c>
      <c r="E259" s="46">
        <v>4704.0</v>
      </c>
    </row>
    <row r="260">
      <c r="A260" s="45">
        <v>8029.0</v>
      </c>
      <c r="B260" s="45" t="s">
        <v>2194</v>
      </c>
      <c r="C260" s="45" t="s">
        <v>2210</v>
      </c>
      <c r="D260" s="46">
        <v>31746.0</v>
      </c>
      <c r="E260" s="46">
        <v>31196.0</v>
      </c>
    </row>
    <row r="261">
      <c r="A261" s="45">
        <v>8031.0</v>
      </c>
      <c r="B261" s="45" t="s">
        <v>2194</v>
      </c>
      <c r="C261" s="45" t="s">
        <v>2211</v>
      </c>
      <c r="D261" s="46">
        <v>716577.0</v>
      </c>
      <c r="E261" s="46">
        <v>715522.0</v>
      </c>
    </row>
    <row r="262">
      <c r="A262" s="45">
        <v>8033.0</v>
      </c>
      <c r="B262" s="45" t="s">
        <v>2194</v>
      </c>
      <c r="C262" s="45" t="s">
        <v>2212</v>
      </c>
      <c r="D262" s="46">
        <v>2513.0</v>
      </c>
      <c r="E262" s="46">
        <v>2326.0</v>
      </c>
    </row>
    <row r="263">
      <c r="A263" s="45">
        <v>8035.0</v>
      </c>
      <c r="B263" s="45" t="s">
        <v>2194</v>
      </c>
      <c r="C263" s="45" t="s">
        <v>2213</v>
      </c>
      <c r="D263" s="46">
        <v>383906.0</v>
      </c>
      <c r="E263" s="46">
        <v>357978.0</v>
      </c>
    </row>
    <row r="264">
      <c r="A264" s="45">
        <v>8037.0</v>
      </c>
      <c r="B264" s="45" t="s">
        <v>2194</v>
      </c>
      <c r="C264" s="45" t="s">
        <v>2214</v>
      </c>
      <c r="D264" s="46">
        <v>54381.0</v>
      </c>
      <c r="E264" s="46">
        <v>55731.0</v>
      </c>
    </row>
    <row r="265">
      <c r="A265" s="45">
        <v>8039.0</v>
      </c>
      <c r="B265" s="45" t="s">
        <v>2194</v>
      </c>
      <c r="C265" s="45" t="s">
        <v>2215</v>
      </c>
      <c r="D265" s="46">
        <v>28806.0</v>
      </c>
      <c r="E265" s="46">
        <v>26062.0</v>
      </c>
    </row>
    <row r="266">
      <c r="A266" s="45">
        <v>8041.0</v>
      </c>
      <c r="B266" s="45" t="s">
        <v>2194</v>
      </c>
      <c r="C266" s="45" t="s">
        <v>2216</v>
      </c>
      <c r="D266" s="46">
        <v>744215.0</v>
      </c>
      <c r="E266" s="46">
        <v>730395.0</v>
      </c>
    </row>
    <row r="267">
      <c r="A267" s="45">
        <v>8043.0</v>
      </c>
      <c r="B267" s="45" t="s">
        <v>2194</v>
      </c>
      <c r="C267" s="45" t="s">
        <v>2217</v>
      </c>
      <c r="D267" s="46">
        <v>50318.0</v>
      </c>
      <c r="E267" s="46">
        <v>48939.0</v>
      </c>
    </row>
    <row r="268">
      <c r="A268" s="45">
        <v>8045.0</v>
      </c>
      <c r="B268" s="45" t="s">
        <v>2194</v>
      </c>
      <c r="C268" s="45" t="s">
        <v>2218</v>
      </c>
      <c r="D268" s="46">
        <v>62707.0</v>
      </c>
      <c r="E268" s="46">
        <v>61685.0</v>
      </c>
    </row>
    <row r="269">
      <c r="A269" s="45">
        <v>8047.0</v>
      </c>
      <c r="B269" s="45" t="s">
        <v>2194</v>
      </c>
      <c r="C269" s="45" t="s">
        <v>2219</v>
      </c>
      <c r="D269" s="46">
        <v>5926.0</v>
      </c>
      <c r="E269" s="46">
        <v>5808.0</v>
      </c>
    </row>
    <row r="270">
      <c r="A270" s="45">
        <v>8049.0</v>
      </c>
      <c r="B270" s="45" t="s">
        <v>2194</v>
      </c>
      <c r="C270" s="45" t="s">
        <v>2220</v>
      </c>
      <c r="D270" s="46">
        <v>15935.0</v>
      </c>
      <c r="E270" s="46">
        <v>15717.0</v>
      </c>
    </row>
    <row r="271">
      <c r="A271" s="45">
        <v>8051.0</v>
      </c>
      <c r="B271" s="45" t="s">
        <v>2194</v>
      </c>
      <c r="C271" s="45" t="s">
        <v>2221</v>
      </c>
      <c r="D271" s="46">
        <v>17321.0</v>
      </c>
      <c r="E271" s="46">
        <v>16918.0</v>
      </c>
    </row>
    <row r="272">
      <c r="A272" s="45">
        <v>8053.0</v>
      </c>
      <c r="B272" s="45" t="s">
        <v>2194</v>
      </c>
      <c r="C272" s="45" t="s">
        <v>2222</v>
      </c>
      <c r="D272" s="45">
        <v>765.0</v>
      </c>
      <c r="E272" s="45">
        <v>788.0</v>
      </c>
    </row>
    <row r="273">
      <c r="A273" s="45">
        <v>8055.0</v>
      </c>
      <c r="B273" s="45" t="s">
        <v>2194</v>
      </c>
      <c r="C273" s="45" t="s">
        <v>2223</v>
      </c>
      <c r="D273" s="46">
        <v>7055.0</v>
      </c>
      <c r="E273" s="46">
        <v>6820.0</v>
      </c>
    </row>
    <row r="274">
      <c r="A274" s="45">
        <v>8057.0</v>
      </c>
      <c r="B274" s="45" t="s">
        <v>2194</v>
      </c>
      <c r="C274" s="45" t="s">
        <v>2030</v>
      </c>
      <c r="D274" s="46">
        <v>1309.0</v>
      </c>
      <c r="E274" s="46">
        <v>1379.0</v>
      </c>
    </row>
    <row r="275">
      <c r="A275" s="45">
        <v>8059.0</v>
      </c>
      <c r="B275" s="45" t="s">
        <v>2194</v>
      </c>
      <c r="C275" s="45" t="s">
        <v>2031</v>
      </c>
      <c r="D275" s="46">
        <v>576366.0</v>
      </c>
      <c r="E275" s="46">
        <v>582910.0</v>
      </c>
    </row>
    <row r="276">
      <c r="A276" s="45">
        <v>8061.0</v>
      </c>
      <c r="B276" s="45" t="s">
        <v>2194</v>
      </c>
      <c r="C276" s="45" t="s">
        <v>2224</v>
      </c>
      <c r="D276" s="46">
        <v>1384.0</v>
      </c>
      <c r="E276" s="46">
        <v>1446.0</v>
      </c>
    </row>
    <row r="277">
      <c r="A277" s="45">
        <v>8063.0</v>
      </c>
      <c r="B277" s="45" t="s">
        <v>2194</v>
      </c>
      <c r="C277" s="45" t="s">
        <v>2225</v>
      </c>
      <c r="D277" s="46">
        <v>6994.0</v>
      </c>
      <c r="E277" s="46">
        <v>7087.0</v>
      </c>
    </row>
    <row r="278">
      <c r="A278" s="45">
        <v>8065.0</v>
      </c>
      <c r="B278" s="45" t="s">
        <v>2194</v>
      </c>
      <c r="C278" s="45" t="s">
        <v>2154</v>
      </c>
      <c r="D278" s="46">
        <v>7365.0</v>
      </c>
      <c r="E278" s="46">
        <v>7436.0</v>
      </c>
    </row>
    <row r="279">
      <c r="A279" s="45">
        <v>8067.0</v>
      </c>
      <c r="B279" s="45" t="s">
        <v>2194</v>
      </c>
      <c r="C279" s="45" t="s">
        <v>2226</v>
      </c>
      <c r="D279" s="46">
        <v>56407.0</v>
      </c>
      <c r="E279" s="46">
        <v>55638.0</v>
      </c>
    </row>
    <row r="280">
      <c r="A280" s="45">
        <v>8069.0</v>
      </c>
      <c r="B280" s="45" t="s">
        <v>2194</v>
      </c>
      <c r="C280" s="45" t="s">
        <v>2227</v>
      </c>
      <c r="D280" s="46">
        <v>370771.0</v>
      </c>
      <c r="E280" s="46">
        <v>359066.0</v>
      </c>
    </row>
    <row r="281">
      <c r="A281" s="45">
        <v>8071.0</v>
      </c>
      <c r="B281" s="45" t="s">
        <v>2194</v>
      </c>
      <c r="C281" s="45" t="s">
        <v>2228</v>
      </c>
      <c r="D281" s="46">
        <v>14348.0</v>
      </c>
      <c r="E281" s="46">
        <v>14555.0</v>
      </c>
    </row>
    <row r="282">
      <c r="A282" s="45">
        <v>8073.0</v>
      </c>
      <c r="B282" s="45" t="s">
        <v>2194</v>
      </c>
      <c r="C282" s="45" t="s">
        <v>2109</v>
      </c>
      <c r="D282" s="46">
        <v>5480.0</v>
      </c>
      <c r="E282" s="46">
        <v>5675.0</v>
      </c>
    </row>
    <row r="283">
      <c r="A283" s="45">
        <v>8075.0</v>
      </c>
      <c r="B283" s="45" t="s">
        <v>2194</v>
      </c>
      <c r="C283" s="45" t="s">
        <v>2111</v>
      </c>
      <c r="D283" s="46">
        <v>20619.0</v>
      </c>
      <c r="E283" s="46">
        <v>21528.0</v>
      </c>
    </row>
    <row r="284">
      <c r="A284" s="45">
        <v>8077.0</v>
      </c>
      <c r="B284" s="45" t="s">
        <v>2194</v>
      </c>
      <c r="C284" s="45" t="s">
        <v>2229</v>
      </c>
      <c r="D284" s="46">
        <v>159681.0</v>
      </c>
      <c r="E284" s="46">
        <v>155703.0</v>
      </c>
    </row>
    <row r="285">
      <c r="A285" s="45">
        <v>8079.0</v>
      </c>
      <c r="B285" s="45" t="s">
        <v>2194</v>
      </c>
      <c r="C285" s="45" t="s">
        <v>2230</v>
      </c>
      <c r="D285" s="45">
        <v>944.0</v>
      </c>
      <c r="E285" s="45">
        <v>865.0</v>
      </c>
    </row>
    <row r="286">
      <c r="A286" s="45">
        <v>8081.0</v>
      </c>
      <c r="B286" s="45" t="s">
        <v>2194</v>
      </c>
      <c r="C286" s="45" t="s">
        <v>2231</v>
      </c>
      <c r="D286" s="46">
        <v>13327.0</v>
      </c>
      <c r="E286" s="46">
        <v>13292.0</v>
      </c>
    </row>
    <row r="287">
      <c r="A287" s="45">
        <v>8083.0</v>
      </c>
      <c r="B287" s="45" t="s">
        <v>2194</v>
      </c>
      <c r="C287" s="45" t="s">
        <v>2232</v>
      </c>
      <c r="D287" s="46">
        <v>26531.0</v>
      </c>
      <c r="E287" s="46">
        <v>25849.0</v>
      </c>
    </row>
    <row r="288">
      <c r="A288" s="45">
        <v>8085.0</v>
      </c>
      <c r="B288" s="45" t="s">
        <v>2194</v>
      </c>
      <c r="C288" s="45" t="s">
        <v>2233</v>
      </c>
      <c r="D288" s="46">
        <v>44156.0</v>
      </c>
      <c r="E288" s="46">
        <v>42679.0</v>
      </c>
    </row>
    <row r="289">
      <c r="A289" s="45">
        <v>8087.0</v>
      </c>
      <c r="B289" s="45" t="s">
        <v>2194</v>
      </c>
      <c r="C289" s="45" t="s">
        <v>2046</v>
      </c>
      <c r="D289" s="46">
        <v>29524.0</v>
      </c>
      <c r="E289" s="46">
        <v>29111.0</v>
      </c>
    </row>
    <row r="290">
      <c r="A290" s="45">
        <v>8089.0</v>
      </c>
      <c r="B290" s="45" t="s">
        <v>2194</v>
      </c>
      <c r="C290" s="45" t="s">
        <v>2234</v>
      </c>
      <c r="D290" s="46">
        <v>18136.0</v>
      </c>
      <c r="E290" s="46">
        <v>18690.0</v>
      </c>
    </row>
    <row r="291">
      <c r="A291" s="45">
        <v>8091.0</v>
      </c>
      <c r="B291" s="45" t="s">
        <v>2194</v>
      </c>
      <c r="C291" s="45" t="s">
        <v>2235</v>
      </c>
      <c r="D291" s="46">
        <v>5176.0</v>
      </c>
      <c r="E291" s="46">
        <v>4874.0</v>
      </c>
    </row>
    <row r="292">
      <c r="A292" s="45">
        <v>8093.0</v>
      </c>
      <c r="B292" s="45" t="s">
        <v>2194</v>
      </c>
      <c r="C292" s="45" t="s">
        <v>2236</v>
      </c>
      <c r="D292" s="46">
        <v>18117.0</v>
      </c>
      <c r="E292" s="46">
        <v>17390.0</v>
      </c>
    </row>
    <row r="293">
      <c r="A293" s="45">
        <v>8095.0</v>
      </c>
      <c r="B293" s="45" t="s">
        <v>2194</v>
      </c>
      <c r="C293" s="45" t="s">
        <v>2118</v>
      </c>
      <c r="D293" s="46">
        <v>4476.0</v>
      </c>
      <c r="E293" s="46">
        <v>4530.0</v>
      </c>
    </row>
    <row r="294">
      <c r="A294" s="45">
        <v>8097.0</v>
      </c>
      <c r="B294" s="45" t="s">
        <v>2194</v>
      </c>
      <c r="C294" s="45" t="s">
        <v>2237</v>
      </c>
      <c r="D294" s="46">
        <v>16640.0</v>
      </c>
      <c r="E294" s="46">
        <v>17358.0</v>
      </c>
    </row>
    <row r="295">
      <c r="A295" s="45">
        <v>8099.0</v>
      </c>
      <c r="B295" s="45" t="s">
        <v>2194</v>
      </c>
      <c r="C295" s="45" t="s">
        <v>2238</v>
      </c>
      <c r="D295" s="46">
        <v>11751.0</v>
      </c>
      <c r="E295" s="46">
        <v>11999.0</v>
      </c>
    </row>
    <row r="296">
      <c r="A296" s="45">
        <v>8101.0</v>
      </c>
      <c r="B296" s="45" t="s">
        <v>2194</v>
      </c>
      <c r="C296" s="45" t="s">
        <v>2239</v>
      </c>
      <c r="D296" s="46">
        <v>169422.0</v>
      </c>
      <c r="E296" s="46">
        <v>168162.0</v>
      </c>
    </row>
    <row r="297">
      <c r="A297" s="45">
        <v>8103.0</v>
      </c>
      <c r="B297" s="45" t="s">
        <v>2194</v>
      </c>
      <c r="C297" s="45" t="s">
        <v>2240</v>
      </c>
      <c r="D297" s="46">
        <v>6569.0</v>
      </c>
      <c r="E297" s="46">
        <v>6529.0</v>
      </c>
    </row>
    <row r="298">
      <c r="A298" s="45">
        <v>8105.0</v>
      </c>
      <c r="B298" s="45" t="s">
        <v>2194</v>
      </c>
      <c r="C298" s="45" t="s">
        <v>2241</v>
      </c>
      <c r="D298" s="46">
        <v>11188.0</v>
      </c>
      <c r="E298" s="46">
        <v>11539.0</v>
      </c>
    </row>
    <row r="299">
      <c r="A299" s="45">
        <v>8107.0</v>
      </c>
      <c r="B299" s="45" t="s">
        <v>2194</v>
      </c>
      <c r="C299" s="45" t="s">
        <v>2242</v>
      </c>
      <c r="D299" s="46">
        <v>25064.0</v>
      </c>
      <c r="E299" s="46">
        <v>24829.0</v>
      </c>
    </row>
    <row r="300">
      <c r="A300" s="45">
        <v>8109.0</v>
      </c>
      <c r="B300" s="45" t="s">
        <v>2194</v>
      </c>
      <c r="C300" s="45" t="s">
        <v>2243</v>
      </c>
      <c r="D300" s="46">
        <v>6688.0</v>
      </c>
      <c r="E300" s="46">
        <v>6368.0</v>
      </c>
    </row>
    <row r="301">
      <c r="A301" s="45">
        <v>8111.0</v>
      </c>
      <c r="B301" s="45" t="s">
        <v>2194</v>
      </c>
      <c r="C301" s="45" t="s">
        <v>2244</v>
      </c>
      <c r="D301" s="45">
        <v>802.0</v>
      </c>
      <c r="E301" s="45">
        <v>705.0</v>
      </c>
    </row>
    <row r="302">
      <c r="A302" s="45">
        <v>8113.0</v>
      </c>
      <c r="B302" s="45" t="s">
        <v>2194</v>
      </c>
      <c r="C302" s="45" t="s">
        <v>2245</v>
      </c>
      <c r="D302" s="46">
        <v>7868.0</v>
      </c>
      <c r="E302" s="46">
        <v>8072.0</v>
      </c>
    </row>
    <row r="303">
      <c r="A303" s="45">
        <v>8115.0</v>
      </c>
      <c r="B303" s="45" t="s">
        <v>2194</v>
      </c>
      <c r="C303" s="45" t="s">
        <v>2246</v>
      </c>
      <c r="D303" s="46">
        <v>2299.0</v>
      </c>
      <c r="E303" s="46">
        <v>2404.0</v>
      </c>
    </row>
    <row r="304">
      <c r="A304" s="45">
        <v>8117.0</v>
      </c>
      <c r="B304" s="45" t="s">
        <v>2194</v>
      </c>
      <c r="C304" s="45" t="s">
        <v>2247</v>
      </c>
      <c r="D304" s="46">
        <v>30465.0</v>
      </c>
      <c r="E304" s="46">
        <v>31055.0</v>
      </c>
    </row>
    <row r="305">
      <c r="A305" s="45">
        <v>8119.0</v>
      </c>
      <c r="B305" s="45" t="s">
        <v>2194</v>
      </c>
      <c r="C305" s="45" t="s">
        <v>2248</v>
      </c>
      <c r="D305" s="46">
        <v>24617.0</v>
      </c>
      <c r="E305" s="46">
        <v>24710.0</v>
      </c>
    </row>
    <row r="306">
      <c r="A306" s="45">
        <v>8121.0</v>
      </c>
      <c r="B306" s="45" t="s">
        <v>2194</v>
      </c>
      <c r="C306" s="45" t="s">
        <v>2059</v>
      </c>
      <c r="D306" s="46">
        <v>4855.0</v>
      </c>
      <c r="E306" s="46">
        <v>4817.0</v>
      </c>
    </row>
    <row r="307">
      <c r="A307" s="45">
        <v>8123.0</v>
      </c>
      <c r="B307" s="45" t="s">
        <v>2194</v>
      </c>
      <c r="C307" s="45" t="s">
        <v>2249</v>
      </c>
      <c r="D307" s="46">
        <v>359442.0</v>
      </c>
      <c r="E307" s="46">
        <v>328981.0</v>
      </c>
    </row>
    <row r="308">
      <c r="A308" s="45">
        <v>8125.0</v>
      </c>
      <c r="B308" s="45" t="s">
        <v>2194</v>
      </c>
      <c r="C308" s="45" t="s">
        <v>2078</v>
      </c>
      <c r="D308" s="46">
        <v>9862.0</v>
      </c>
      <c r="E308" s="46">
        <v>9988.0</v>
      </c>
    </row>
    <row r="309">
      <c r="A309" s="45">
        <v>9001.0</v>
      </c>
      <c r="B309" s="45" t="s">
        <v>2250</v>
      </c>
      <c r="C309" s="45" t="s">
        <v>2251</v>
      </c>
      <c r="E309" s="46">
        <v>957419.0</v>
      </c>
    </row>
    <row r="310">
      <c r="A310" s="45">
        <v>9003.0</v>
      </c>
      <c r="B310" s="45" t="s">
        <v>2250</v>
      </c>
      <c r="C310" s="45" t="s">
        <v>2252</v>
      </c>
      <c r="E310" s="46">
        <v>899498.0</v>
      </c>
    </row>
    <row r="311">
      <c r="A311" s="45">
        <v>9005.0</v>
      </c>
      <c r="B311" s="45" t="s">
        <v>2250</v>
      </c>
      <c r="C311" s="45" t="s">
        <v>2253</v>
      </c>
      <c r="E311" s="46">
        <v>185186.0</v>
      </c>
    </row>
    <row r="312">
      <c r="A312" s="45">
        <v>9007.0</v>
      </c>
      <c r="B312" s="45" t="s">
        <v>2250</v>
      </c>
      <c r="C312" s="45" t="s">
        <v>2254</v>
      </c>
      <c r="E312" s="46">
        <v>164245.0</v>
      </c>
    </row>
    <row r="313">
      <c r="A313" s="45">
        <v>9009.0</v>
      </c>
      <c r="B313" s="45" t="s">
        <v>2250</v>
      </c>
      <c r="C313" s="45" t="s">
        <v>2255</v>
      </c>
      <c r="E313" s="46">
        <v>864835.0</v>
      </c>
    </row>
    <row r="314">
      <c r="A314" s="45">
        <v>9011.0</v>
      </c>
      <c r="B314" s="45" t="s">
        <v>2250</v>
      </c>
      <c r="C314" s="45" t="s">
        <v>2256</v>
      </c>
      <c r="E314" s="46">
        <v>268555.0</v>
      </c>
    </row>
    <row r="315">
      <c r="A315" s="45">
        <v>9013.0</v>
      </c>
      <c r="B315" s="45" t="s">
        <v>2250</v>
      </c>
      <c r="C315" s="45" t="s">
        <v>2257</v>
      </c>
      <c r="E315" s="46">
        <v>149788.0</v>
      </c>
    </row>
    <row r="316">
      <c r="A316" s="45">
        <v>9015.0</v>
      </c>
      <c r="B316" s="45" t="s">
        <v>2250</v>
      </c>
      <c r="C316" s="45" t="s">
        <v>2258</v>
      </c>
      <c r="E316" s="46">
        <v>116418.0</v>
      </c>
    </row>
    <row r="317">
      <c r="A317" s="45">
        <v>10001.0</v>
      </c>
      <c r="B317" s="45" t="s">
        <v>2259</v>
      </c>
      <c r="C317" s="45" t="s">
        <v>2260</v>
      </c>
      <c r="D317" s="46">
        <v>189789.0</v>
      </c>
      <c r="E317" s="46">
        <v>181851.0</v>
      </c>
    </row>
    <row r="318">
      <c r="A318" s="45">
        <v>10003.0</v>
      </c>
      <c r="B318" s="45" t="s">
        <v>2259</v>
      </c>
      <c r="C318" s="45" t="s">
        <v>2261</v>
      </c>
      <c r="D318" s="46">
        <v>578592.0</v>
      </c>
      <c r="E318" s="46">
        <v>570719.0</v>
      </c>
    </row>
    <row r="319">
      <c r="A319" s="45">
        <v>10005.0</v>
      </c>
      <c r="B319" s="45" t="s">
        <v>2259</v>
      </c>
      <c r="C319" s="45" t="s">
        <v>2262</v>
      </c>
      <c r="D319" s="46">
        <v>263509.0</v>
      </c>
      <c r="E319" s="46">
        <v>237378.0</v>
      </c>
    </row>
    <row r="320">
      <c r="A320" s="45">
        <v>11001.0</v>
      </c>
      <c r="B320" s="45" t="s">
        <v>2263</v>
      </c>
      <c r="C320" s="45" t="s">
        <v>408</v>
      </c>
      <c r="D320" s="46">
        <v>678972.0</v>
      </c>
      <c r="E320" s="46">
        <v>689545.0</v>
      </c>
    </row>
    <row r="321">
      <c r="A321" s="45">
        <v>12001.0</v>
      </c>
      <c r="B321" s="45" t="s">
        <v>2264</v>
      </c>
      <c r="C321" s="45" t="s">
        <v>2265</v>
      </c>
      <c r="D321" s="46">
        <v>285994.0</v>
      </c>
      <c r="E321" s="46">
        <v>278468.0</v>
      </c>
    </row>
    <row r="322">
      <c r="A322" s="45">
        <v>12003.0</v>
      </c>
      <c r="B322" s="45" t="s">
        <v>2264</v>
      </c>
      <c r="C322" s="45" t="s">
        <v>2266</v>
      </c>
      <c r="D322" s="46">
        <v>28368.0</v>
      </c>
      <c r="E322" s="46">
        <v>28259.0</v>
      </c>
    </row>
    <row r="323">
      <c r="A323" s="45">
        <v>12005.0</v>
      </c>
      <c r="B323" s="45" t="s">
        <v>2264</v>
      </c>
      <c r="C323" s="45" t="s">
        <v>2267</v>
      </c>
      <c r="D323" s="46">
        <v>190769.0</v>
      </c>
      <c r="E323" s="46">
        <v>175216.0</v>
      </c>
    </row>
    <row r="324">
      <c r="A324" s="45">
        <v>12007.0</v>
      </c>
      <c r="B324" s="45" t="s">
        <v>2264</v>
      </c>
      <c r="C324" s="45" t="s">
        <v>2268</v>
      </c>
      <c r="D324" s="46">
        <v>27858.0</v>
      </c>
      <c r="E324" s="46">
        <v>28303.0</v>
      </c>
    </row>
    <row r="325">
      <c r="A325" s="45">
        <v>12009.0</v>
      </c>
      <c r="B325" s="45" t="s">
        <v>2264</v>
      </c>
      <c r="C325" s="45" t="s">
        <v>2269</v>
      </c>
      <c r="D325" s="46">
        <v>643979.0</v>
      </c>
      <c r="E325" s="46">
        <v>606612.0</v>
      </c>
    </row>
    <row r="326">
      <c r="A326" s="45">
        <v>12011.0</v>
      </c>
      <c r="B326" s="45" t="s">
        <v>2264</v>
      </c>
      <c r="C326" s="45" t="s">
        <v>2270</v>
      </c>
      <c r="D326" s="46">
        <v>1962531.0</v>
      </c>
      <c r="E326" s="46">
        <v>1944375.0</v>
      </c>
    </row>
    <row r="327">
      <c r="A327" s="45">
        <v>12013.0</v>
      </c>
      <c r="B327" s="45" t="s">
        <v>2264</v>
      </c>
      <c r="C327" s="45" t="s">
        <v>2002</v>
      </c>
      <c r="D327" s="46">
        <v>13470.0</v>
      </c>
      <c r="E327" s="46">
        <v>13648.0</v>
      </c>
    </row>
    <row r="328">
      <c r="A328" s="45">
        <v>12015.0</v>
      </c>
      <c r="B328" s="45" t="s">
        <v>2264</v>
      </c>
      <c r="C328" s="45" t="s">
        <v>2271</v>
      </c>
      <c r="D328" s="46">
        <v>206134.0</v>
      </c>
      <c r="E328" s="46">
        <v>186847.0</v>
      </c>
    </row>
    <row r="329">
      <c r="A329" s="45">
        <v>12017.0</v>
      </c>
      <c r="B329" s="45" t="s">
        <v>2264</v>
      </c>
      <c r="C329" s="45" t="s">
        <v>2272</v>
      </c>
      <c r="D329" s="46">
        <v>166696.0</v>
      </c>
      <c r="E329" s="46">
        <v>153843.0</v>
      </c>
    </row>
    <row r="330">
      <c r="A330" s="45">
        <v>12019.0</v>
      </c>
      <c r="B330" s="45" t="s">
        <v>2264</v>
      </c>
      <c r="C330" s="45" t="s">
        <v>2008</v>
      </c>
      <c r="D330" s="46">
        <v>232439.0</v>
      </c>
      <c r="E330" s="46">
        <v>218245.0</v>
      </c>
    </row>
    <row r="331">
      <c r="A331" s="45">
        <v>12021.0</v>
      </c>
      <c r="B331" s="45" t="s">
        <v>2264</v>
      </c>
      <c r="C331" s="45" t="s">
        <v>2273</v>
      </c>
      <c r="D331" s="46">
        <v>404310.0</v>
      </c>
      <c r="E331" s="46">
        <v>375752.0</v>
      </c>
    </row>
    <row r="332">
      <c r="A332" s="45">
        <v>12023.0</v>
      </c>
      <c r="B332" s="45" t="s">
        <v>2264</v>
      </c>
      <c r="C332" s="45" t="s">
        <v>2090</v>
      </c>
      <c r="D332" s="46">
        <v>73063.0</v>
      </c>
      <c r="E332" s="46">
        <v>69698.0</v>
      </c>
    </row>
    <row r="333">
      <c r="A333" s="45">
        <v>12027.0</v>
      </c>
      <c r="B333" s="45" t="s">
        <v>2264</v>
      </c>
      <c r="C333" s="45" t="s">
        <v>2274</v>
      </c>
      <c r="D333" s="46">
        <v>35979.0</v>
      </c>
      <c r="E333" s="46">
        <v>33976.0</v>
      </c>
    </row>
    <row r="334">
      <c r="A334" s="45">
        <v>12029.0</v>
      </c>
      <c r="B334" s="45" t="s">
        <v>2264</v>
      </c>
      <c r="C334" s="45" t="s">
        <v>2275</v>
      </c>
      <c r="D334" s="46">
        <v>17465.0</v>
      </c>
      <c r="E334" s="46">
        <v>16759.0</v>
      </c>
    </row>
    <row r="335">
      <c r="A335" s="45">
        <v>12031.0</v>
      </c>
      <c r="B335" s="45" t="s">
        <v>2264</v>
      </c>
      <c r="C335" s="45" t="s">
        <v>2276</v>
      </c>
      <c r="D335" s="46">
        <v>1030822.0</v>
      </c>
      <c r="E335" s="46">
        <v>995567.0</v>
      </c>
    </row>
    <row r="336">
      <c r="A336" s="45">
        <v>12033.0</v>
      </c>
      <c r="B336" s="45" t="s">
        <v>2264</v>
      </c>
      <c r="C336" s="45" t="s">
        <v>2021</v>
      </c>
      <c r="D336" s="46">
        <v>326928.0</v>
      </c>
      <c r="E336" s="46">
        <v>321905.0</v>
      </c>
    </row>
    <row r="337">
      <c r="A337" s="45">
        <v>12035.0</v>
      </c>
      <c r="B337" s="45" t="s">
        <v>2264</v>
      </c>
      <c r="C337" s="45" t="s">
        <v>2277</v>
      </c>
      <c r="D337" s="46">
        <v>131439.0</v>
      </c>
      <c r="E337" s="46">
        <v>115378.0</v>
      </c>
    </row>
    <row r="338">
      <c r="A338" s="45">
        <v>12037.0</v>
      </c>
      <c r="B338" s="45" t="s">
        <v>2264</v>
      </c>
      <c r="C338" s="45" t="s">
        <v>2024</v>
      </c>
      <c r="D338" s="46">
        <v>12594.0</v>
      </c>
      <c r="E338" s="46">
        <v>12451.0</v>
      </c>
    </row>
    <row r="339">
      <c r="A339" s="45">
        <v>12039.0</v>
      </c>
      <c r="B339" s="45" t="s">
        <v>2264</v>
      </c>
      <c r="C339" s="45" t="s">
        <v>2278</v>
      </c>
      <c r="D339" s="46">
        <v>43833.0</v>
      </c>
      <c r="E339" s="46">
        <v>43826.0</v>
      </c>
    </row>
    <row r="340">
      <c r="A340" s="45">
        <v>12041.0</v>
      </c>
      <c r="B340" s="45" t="s">
        <v>2264</v>
      </c>
      <c r="C340" s="45" t="s">
        <v>2279</v>
      </c>
      <c r="D340" s="46">
        <v>19587.0</v>
      </c>
      <c r="E340" s="46">
        <v>17864.0</v>
      </c>
    </row>
    <row r="341">
      <c r="A341" s="45">
        <v>12043.0</v>
      </c>
      <c r="B341" s="45" t="s">
        <v>2264</v>
      </c>
      <c r="C341" s="45" t="s">
        <v>2280</v>
      </c>
      <c r="D341" s="46">
        <v>12786.0</v>
      </c>
      <c r="E341" s="46">
        <v>12126.0</v>
      </c>
    </row>
    <row r="342">
      <c r="A342" s="45">
        <v>12045.0</v>
      </c>
      <c r="B342" s="45" t="s">
        <v>2264</v>
      </c>
      <c r="C342" s="45" t="s">
        <v>2281</v>
      </c>
      <c r="D342" s="46">
        <v>15693.0</v>
      </c>
      <c r="E342" s="46">
        <v>14192.0</v>
      </c>
    </row>
    <row r="343">
      <c r="A343" s="45">
        <v>12047.0</v>
      </c>
      <c r="B343" s="45" t="s">
        <v>2264</v>
      </c>
      <c r="C343" s="45" t="s">
        <v>2282</v>
      </c>
      <c r="D343" s="46">
        <v>13471.0</v>
      </c>
      <c r="E343" s="46">
        <v>14004.0</v>
      </c>
    </row>
    <row r="344">
      <c r="A344" s="45">
        <v>12049.0</v>
      </c>
      <c r="B344" s="45" t="s">
        <v>2264</v>
      </c>
      <c r="C344" s="45" t="s">
        <v>2283</v>
      </c>
      <c r="D344" s="46">
        <v>25760.0</v>
      </c>
      <c r="E344" s="46">
        <v>25327.0</v>
      </c>
    </row>
    <row r="345">
      <c r="A345" s="45">
        <v>12051.0</v>
      </c>
      <c r="B345" s="45" t="s">
        <v>2264</v>
      </c>
      <c r="C345" s="45" t="s">
        <v>2284</v>
      </c>
      <c r="D345" s="46">
        <v>43333.0</v>
      </c>
      <c r="E345" s="46">
        <v>39619.0</v>
      </c>
    </row>
    <row r="346">
      <c r="A346" s="45">
        <v>12053.0</v>
      </c>
      <c r="B346" s="45" t="s">
        <v>2264</v>
      </c>
      <c r="C346" s="45" t="s">
        <v>2285</v>
      </c>
      <c r="D346" s="46">
        <v>212807.0</v>
      </c>
      <c r="E346" s="46">
        <v>194515.0</v>
      </c>
    </row>
    <row r="347">
      <c r="A347" s="45">
        <v>12055.0</v>
      </c>
      <c r="B347" s="45" t="s">
        <v>2264</v>
      </c>
      <c r="C347" s="45" t="s">
        <v>2286</v>
      </c>
      <c r="D347" s="46">
        <v>107614.0</v>
      </c>
      <c r="E347" s="46">
        <v>101235.0</v>
      </c>
    </row>
    <row r="348">
      <c r="A348" s="45">
        <v>12057.0</v>
      </c>
      <c r="B348" s="45" t="s">
        <v>2264</v>
      </c>
      <c r="C348" s="45" t="s">
        <v>2287</v>
      </c>
      <c r="D348" s="46">
        <v>1535564.0</v>
      </c>
      <c r="E348" s="46">
        <v>1459762.0</v>
      </c>
    </row>
    <row r="349">
      <c r="A349" s="45">
        <v>12059.0</v>
      </c>
      <c r="B349" s="45" t="s">
        <v>2264</v>
      </c>
      <c r="C349" s="45" t="s">
        <v>2288</v>
      </c>
      <c r="D349" s="46">
        <v>19944.0</v>
      </c>
      <c r="E349" s="46">
        <v>19653.0</v>
      </c>
    </row>
    <row r="350">
      <c r="A350" s="45">
        <v>12061.0</v>
      </c>
      <c r="B350" s="45" t="s">
        <v>2264</v>
      </c>
      <c r="C350" s="45" t="s">
        <v>2289</v>
      </c>
      <c r="D350" s="46">
        <v>169795.0</v>
      </c>
      <c r="E350" s="46">
        <v>159788.0</v>
      </c>
    </row>
    <row r="351">
      <c r="A351" s="45">
        <v>12063.0</v>
      </c>
      <c r="B351" s="45" t="s">
        <v>2264</v>
      </c>
      <c r="C351" s="45" t="s">
        <v>2030</v>
      </c>
      <c r="D351" s="46">
        <v>48622.0</v>
      </c>
      <c r="E351" s="46">
        <v>47319.0</v>
      </c>
    </row>
    <row r="352">
      <c r="A352" s="45">
        <v>12065.0</v>
      </c>
      <c r="B352" s="45" t="s">
        <v>2264</v>
      </c>
      <c r="C352" s="45" t="s">
        <v>2031</v>
      </c>
      <c r="D352" s="46">
        <v>15450.0</v>
      </c>
      <c r="E352" s="46">
        <v>14510.0</v>
      </c>
    </row>
    <row r="353">
      <c r="A353" s="45">
        <v>12067.0</v>
      </c>
      <c r="B353" s="45" t="s">
        <v>2264</v>
      </c>
      <c r="C353" s="45" t="s">
        <v>2108</v>
      </c>
      <c r="D353" s="46">
        <v>8078.0</v>
      </c>
      <c r="E353" s="46">
        <v>8226.0</v>
      </c>
    </row>
    <row r="354">
      <c r="A354" s="45">
        <v>12069.0</v>
      </c>
      <c r="B354" s="45" t="s">
        <v>2264</v>
      </c>
      <c r="C354" s="45" t="s">
        <v>2154</v>
      </c>
      <c r="D354" s="46">
        <v>424462.0</v>
      </c>
      <c r="E354" s="46">
        <v>383956.0</v>
      </c>
    </row>
    <row r="355">
      <c r="A355" s="45">
        <v>12071.0</v>
      </c>
      <c r="B355" s="45" t="s">
        <v>2264</v>
      </c>
      <c r="C355" s="45" t="s">
        <v>2035</v>
      </c>
      <c r="D355" s="46">
        <v>834573.0</v>
      </c>
      <c r="E355" s="46">
        <v>760822.0</v>
      </c>
    </row>
    <row r="356">
      <c r="A356" s="45">
        <v>12073.0</v>
      </c>
      <c r="B356" s="45" t="s">
        <v>2264</v>
      </c>
      <c r="C356" s="45" t="s">
        <v>2290</v>
      </c>
      <c r="D356" s="46">
        <v>296913.0</v>
      </c>
      <c r="E356" s="46">
        <v>292198.0</v>
      </c>
    </row>
    <row r="357">
      <c r="A357" s="45">
        <v>12075.0</v>
      </c>
      <c r="B357" s="45" t="s">
        <v>2264</v>
      </c>
      <c r="C357" s="45" t="s">
        <v>2291</v>
      </c>
      <c r="D357" s="46">
        <v>46545.0</v>
      </c>
      <c r="E357" s="46">
        <v>42915.0</v>
      </c>
    </row>
    <row r="358">
      <c r="A358" s="45">
        <v>12077.0</v>
      </c>
      <c r="B358" s="45" t="s">
        <v>2264</v>
      </c>
      <c r="C358" s="45" t="s">
        <v>2292</v>
      </c>
      <c r="D358" s="46">
        <v>7706.0</v>
      </c>
      <c r="E358" s="46">
        <v>7974.0</v>
      </c>
    </row>
    <row r="359">
      <c r="A359" s="45">
        <v>12079.0</v>
      </c>
      <c r="B359" s="45" t="s">
        <v>2264</v>
      </c>
      <c r="C359" s="45" t="s">
        <v>2039</v>
      </c>
      <c r="D359" s="46">
        <v>18519.0</v>
      </c>
      <c r="E359" s="46">
        <v>17968.0</v>
      </c>
    </row>
    <row r="360">
      <c r="A360" s="45">
        <v>12081.0</v>
      </c>
      <c r="B360" s="45" t="s">
        <v>2264</v>
      </c>
      <c r="C360" s="45" t="s">
        <v>2293</v>
      </c>
      <c r="D360" s="46">
        <v>441095.0</v>
      </c>
      <c r="E360" s="46">
        <v>399710.0</v>
      </c>
    </row>
    <row r="361">
      <c r="A361" s="45">
        <v>12083.0</v>
      </c>
      <c r="B361" s="45" t="s">
        <v>2264</v>
      </c>
      <c r="C361" s="45" t="s">
        <v>2041</v>
      </c>
      <c r="D361" s="46">
        <v>409959.0</v>
      </c>
      <c r="E361" s="46">
        <v>375908.0</v>
      </c>
    </row>
    <row r="362">
      <c r="A362" s="45">
        <v>12085.0</v>
      </c>
      <c r="B362" s="45" t="s">
        <v>2264</v>
      </c>
      <c r="C362" s="45" t="s">
        <v>2294</v>
      </c>
      <c r="D362" s="46">
        <v>163315.0</v>
      </c>
      <c r="E362" s="46">
        <v>158431.0</v>
      </c>
    </row>
    <row r="363">
      <c r="A363" s="45">
        <v>12086.0</v>
      </c>
      <c r="B363" s="45" t="s">
        <v>2264</v>
      </c>
      <c r="C363" s="45" t="s">
        <v>2295</v>
      </c>
      <c r="D363" s="46">
        <v>2686867.0</v>
      </c>
      <c r="E363" s="46">
        <v>2701767.0</v>
      </c>
    </row>
    <row r="364">
      <c r="A364" s="45">
        <v>12087.0</v>
      </c>
      <c r="B364" s="45" t="s">
        <v>2264</v>
      </c>
      <c r="C364" s="45" t="s">
        <v>2044</v>
      </c>
      <c r="D364" s="46">
        <v>80614.0</v>
      </c>
      <c r="E364" s="46">
        <v>82874.0</v>
      </c>
    </row>
    <row r="365">
      <c r="A365" s="45">
        <v>12089.0</v>
      </c>
      <c r="B365" s="45" t="s">
        <v>2264</v>
      </c>
      <c r="C365" s="45" t="s">
        <v>2296</v>
      </c>
      <c r="D365" s="46">
        <v>101501.0</v>
      </c>
      <c r="E365" s="46">
        <v>90352.0</v>
      </c>
    </row>
    <row r="366">
      <c r="A366" s="45">
        <v>12091.0</v>
      </c>
      <c r="B366" s="45" t="s">
        <v>2264</v>
      </c>
      <c r="C366" s="45" t="s">
        <v>2297</v>
      </c>
      <c r="D366" s="46">
        <v>218464.0</v>
      </c>
      <c r="E366" s="46">
        <v>211668.0</v>
      </c>
    </row>
    <row r="367">
      <c r="A367" s="45">
        <v>12093.0</v>
      </c>
      <c r="B367" s="45" t="s">
        <v>2264</v>
      </c>
      <c r="C367" s="45" t="s">
        <v>2298</v>
      </c>
      <c r="D367" s="46">
        <v>41427.0</v>
      </c>
      <c r="E367" s="46">
        <v>39644.0</v>
      </c>
    </row>
    <row r="368">
      <c r="A368" s="45">
        <v>12095.0</v>
      </c>
      <c r="B368" s="45" t="s">
        <v>2264</v>
      </c>
      <c r="C368" s="45" t="s">
        <v>2166</v>
      </c>
      <c r="D368" s="46">
        <v>1471416.0</v>
      </c>
      <c r="E368" s="46">
        <v>1429908.0</v>
      </c>
    </row>
    <row r="369">
      <c r="A369" s="45">
        <v>12097.0</v>
      </c>
      <c r="B369" s="45" t="s">
        <v>2264</v>
      </c>
      <c r="C369" s="45" t="s">
        <v>2299</v>
      </c>
      <c r="D369" s="46">
        <v>437784.0</v>
      </c>
      <c r="E369" s="46">
        <v>388656.0</v>
      </c>
    </row>
    <row r="370">
      <c r="A370" s="45">
        <v>12099.0</v>
      </c>
      <c r="B370" s="45" t="s">
        <v>2264</v>
      </c>
      <c r="C370" s="45" t="s">
        <v>2300</v>
      </c>
      <c r="D370" s="46">
        <v>1533801.0</v>
      </c>
      <c r="E370" s="46">
        <v>1492191.0</v>
      </c>
    </row>
    <row r="371">
      <c r="A371" s="45">
        <v>12101.0</v>
      </c>
      <c r="B371" s="45" t="s">
        <v>2264</v>
      </c>
      <c r="C371" s="45" t="s">
        <v>2301</v>
      </c>
      <c r="D371" s="46">
        <v>632996.0</v>
      </c>
      <c r="E371" s="46">
        <v>561891.0</v>
      </c>
    </row>
    <row r="372">
      <c r="A372" s="45">
        <v>12103.0</v>
      </c>
      <c r="B372" s="45" t="s">
        <v>2264</v>
      </c>
      <c r="C372" s="45" t="s">
        <v>2302</v>
      </c>
      <c r="D372" s="46">
        <v>961596.0</v>
      </c>
      <c r="E372" s="46">
        <v>959107.0</v>
      </c>
    </row>
    <row r="373">
      <c r="A373" s="45">
        <v>12105.0</v>
      </c>
      <c r="B373" s="45" t="s">
        <v>2264</v>
      </c>
      <c r="C373" s="45" t="s">
        <v>2120</v>
      </c>
      <c r="D373" s="46">
        <v>818330.0</v>
      </c>
      <c r="E373" s="46">
        <v>725046.0</v>
      </c>
    </row>
    <row r="374">
      <c r="A374" s="45">
        <v>12107.0</v>
      </c>
      <c r="B374" s="45" t="s">
        <v>2264</v>
      </c>
      <c r="C374" s="45" t="s">
        <v>2303</v>
      </c>
      <c r="D374" s="46">
        <v>75955.0</v>
      </c>
      <c r="E374" s="46">
        <v>73321.0</v>
      </c>
    </row>
    <row r="375">
      <c r="A375" s="45">
        <v>12109.0</v>
      </c>
      <c r="B375" s="45" t="s">
        <v>2264</v>
      </c>
      <c r="C375" s="45" t="s">
        <v>2304</v>
      </c>
      <c r="D375" s="46">
        <v>320110.0</v>
      </c>
      <c r="E375" s="46">
        <v>273425.0</v>
      </c>
    </row>
    <row r="376">
      <c r="A376" s="45">
        <v>12111.0</v>
      </c>
      <c r="B376" s="45" t="s">
        <v>2264</v>
      </c>
      <c r="C376" s="45" t="s">
        <v>2305</v>
      </c>
      <c r="D376" s="46">
        <v>373586.0</v>
      </c>
      <c r="E376" s="46">
        <v>329226.0</v>
      </c>
    </row>
    <row r="377">
      <c r="A377" s="45">
        <v>12113.0</v>
      </c>
      <c r="B377" s="45" t="s">
        <v>2264</v>
      </c>
      <c r="C377" s="45" t="s">
        <v>2306</v>
      </c>
      <c r="D377" s="46">
        <v>203162.0</v>
      </c>
      <c r="E377" s="46">
        <v>188000.0</v>
      </c>
    </row>
    <row r="378">
      <c r="A378" s="45">
        <v>12115.0</v>
      </c>
      <c r="B378" s="45" t="s">
        <v>2264</v>
      </c>
      <c r="C378" s="45" t="s">
        <v>2307</v>
      </c>
      <c r="D378" s="46">
        <v>469013.0</v>
      </c>
      <c r="E378" s="46">
        <v>434006.0</v>
      </c>
    </row>
    <row r="379">
      <c r="A379" s="45">
        <v>12117.0</v>
      </c>
      <c r="B379" s="45" t="s">
        <v>2264</v>
      </c>
      <c r="C379" s="45" t="s">
        <v>2308</v>
      </c>
      <c r="D379" s="46">
        <v>484271.0</v>
      </c>
      <c r="E379" s="46">
        <v>470856.0</v>
      </c>
    </row>
    <row r="380">
      <c r="A380" s="45">
        <v>12119.0</v>
      </c>
      <c r="B380" s="45" t="s">
        <v>2264</v>
      </c>
      <c r="C380" s="45" t="s">
        <v>2054</v>
      </c>
      <c r="D380" s="46">
        <v>151565.0</v>
      </c>
      <c r="E380" s="46">
        <v>129752.0</v>
      </c>
    </row>
    <row r="381">
      <c r="A381" s="45">
        <v>12121.0</v>
      </c>
      <c r="B381" s="45" t="s">
        <v>2264</v>
      </c>
      <c r="C381" s="45" t="s">
        <v>2309</v>
      </c>
      <c r="D381" s="46">
        <v>46130.0</v>
      </c>
      <c r="E381" s="46">
        <v>43474.0</v>
      </c>
    </row>
    <row r="382">
      <c r="A382" s="45">
        <v>12123.0</v>
      </c>
      <c r="B382" s="45" t="s">
        <v>2264</v>
      </c>
      <c r="C382" s="45" t="s">
        <v>2310</v>
      </c>
      <c r="D382" s="46">
        <v>21582.0</v>
      </c>
      <c r="E382" s="46">
        <v>21796.0</v>
      </c>
    </row>
    <row r="383">
      <c r="A383" s="45">
        <v>12125.0</v>
      </c>
      <c r="B383" s="45" t="s">
        <v>2264</v>
      </c>
      <c r="C383" s="45" t="s">
        <v>2132</v>
      </c>
      <c r="D383" s="46">
        <v>15532.0</v>
      </c>
      <c r="E383" s="46">
        <v>16147.0</v>
      </c>
    </row>
    <row r="384">
      <c r="A384" s="45">
        <v>12127.0</v>
      </c>
      <c r="B384" s="45" t="s">
        <v>2264</v>
      </c>
      <c r="C384" s="45" t="s">
        <v>2311</v>
      </c>
      <c r="D384" s="46">
        <v>590357.0</v>
      </c>
      <c r="E384" s="46">
        <v>553543.0</v>
      </c>
    </row>
    <row r="385">
      <c r="A385" s="45">
        <v>12129.0</v>
      </c>
      <c r="B385" s="45" t="s">
        <v>2264</v>
      </c>
      <c r="C385" s="45" t="s">
        <v>2312</v>
      </c>
      <c r="D385" s="46">
        <v>36449.0</v>
      </c>
      <c r="E385" s="46">
        <v>33764.0</v>
      </c>
    </row>
    <row r="386">
      <c r="A386" s="45">
        <v>12131.0</v>
      </c>
      <c r="B386" s="45" t="s">
        <v>2264</v>
      </c>
      <c r="C386" s="45" t="s">
        <v>2313</v>
      </c>
      <c r="D386" s="46">
        <v>86354.0</v>
      </c>
      <c r="E386" s="46">
        <v>75305.0</v>
      </c>
    </row>
    <row r="387">
      <c r="A387" s="45">
        <v>12133.0</v>
      </c>
      <c r="B387" s="45" t="s">
        <v>2264</v>
      </c>
      <c r="C387" s="45" t="s">
        <v>2059</v>
      </c>
      <c r="D387" s="46">
        <v>25602.0</v>
      </c>
      <c r="E387" s="46">
        <v>25318.0</v>
      </c>
    </row>
    <row r="388">
      <c r="A388" s="45">
        <v>13001.0</v>
      </c>
      <c r="B388" s="45" t="s">
        <v>2314</v>
      </c>
      <c r="C388" s="45" t="s">
        <v>2315</v>
      </c>
      <c r="D388" s="46">
        <v>18457.0</v>
      </c>
      <c r="E388" s="46">
        <v>18444.0</v>
      </c>
    </row>
    <row r="389">
      <c r="A389" s="45">
        <v>13003.0</v>
      </c>
      <c r="B389" s="45" t="s">
        <v>2314</v>
      </c>
      <c r="C389" s="45" t="s">
        <v>2316</v>
      </c>
      <c r="D389" s="46">
        <v>8293.0</v>
      </c>
      <c r="E389" s="46">
        <v>8286.0</v>
      </c>
    </row>
    <row r="390">
      <c r="A390" s="45">
        <v>13005.0</v>
      </c>
      <c r="B390" s="45" t="s">
        <v>2314</v>
      </c>
      <c r="C390" s="45" t="s">
        <v>2317</v>
      </c>
      <c r="D390" s="46">
        <v>11124.0</v>
      </c>
      <c r="E390" s="46">
        <v>11140.0</v>
      </c>
    </row>
    <row r="391">
      <c r="A391" s="45">
        <v>13007.0</v>
      </c>
      <c r="B391" s="45" t="s">
        <v>2314</v>
      </c>
      <c r="C391" s="45" t="s">
        <v>2266</v>
      </c>
      <c r="D391" s="46">
        <v>2743.0</v>
      </c>
      <c r="E391" s="46">
        <v>2876.0</v>
      </c>
    </row>
    <row r="392">
      <c r="A392" s="45">
        <v>13009.0</v>
      </c>
      <c r="B392" s="45" t="s">
        <v>2314</v>
      </c>
      <c r="C392" s="45" t="s">
        <v>1996</v>
      </c>
      <c r="D392" s="46">
        <v>43396.0</v>
      </c>
      <c r="E392" s="46">
        <v>43799.0</v>
      </c>
    </row>
    <row r="393">
      <c r="A393" s="45">
        <v>13011.0</v>
      </c>
      <c r="B393" s="45" t="s">
        <v>2314</v>
      </c>
      <c r="C393" s="45" t="s">
        <v>2318</v>
      </c>
      <c r="D393" s="46">
        <v>19789.0</v>
      </c>
      <c r="E393" s="46">
        <v>18035.0</v>
      </c>
    </row>
    <row r="394">
      <c r="A394" s="45">
        <v>13013.0</v>
      </c>
      <c r="B394" s="45" t="s">
        <v>2314</v>
      </c>
      <c r="C394" s="45" t="s">
        <v>2319</v>
      </c>
      <c r="D394" s="46">
        <v>92792.0</v>
      </c>
      <c r="E394" s="46">
        <v>83505.0</v>
      </c>
    </row>
    <row r="395">
      <c r="A395" s="45">
        <v>13015.0</v>
      </c>
      <c r="B395" s="45" t="s">
        <v>2314</v>
      </c>
      <c r="C395" s="45" t="s">
        <v>2320</v>
      </c>
      <c r="D395" s="46">
        <v>115041.0</v>
      </c>
      <c r="E395" s="46">
        <v>108901.0</v>
      </c>
    </row>
    <row r="396">
      <c r="A396" s="45">
        <v>13017.0</v>
      </c>
      <c r="B396" s="45" t="s">
        <v>2314</v>
      </c>
      <c r="C396" s="45" t="s">
        <v>2321</v>
      </c>
      <c r="D396" s="46">
        <v>17128.0</v>
      </c>
      <c r="E396" s="46">
        <v>17194.0</v>
      </c>
    </row>
    <row r="397">
      <c r="A397" s="45">
        <v>13019.0</v>
      </c>
      <c r="B397" s="45" t="s">
        <v>2314</v>
      </c>
      <c r="C397" s="45" t="s">
        <v>2322</v>
      </c>
      <c r="D397" s="46">
        <v>18570.0</v>
      </c>
      <c r="E397" s="46">
        <v>18160.0</v>
      </c>
    </row>
    <row r="398">
      <c r="A398" s="45">
        <v>13021.0</v>
      </c>
      <c r="B398" s="45" t="s">
        <v>2314</v>
      </c>
      <c r="C398" s="45" t="s">
        <v>1998</v>
      </c>
      <c r="D398" s="46">
        <v>156512.0</v>
      </c>
      <c r="E398" s="46">
        <v>157346.0</v>
      </c>
    </row>
    <row r="399">
      <c r="A399" s="45">
        <v>13023.0</v>
      </c>
      <c r="B399" s="45" t="s">
        <v>2314</v>
      </c>
      <c r="C399" s="45" t="s">
        <v>2323</v>
      </c>
      <c r="D399" s="46">
        <v>12465.0</v>
      </c>
      <c r="E399" s="46">
        <v>12583.0</v>
      </c>
    </row>
    <row r="400">
      <c r="A400" s="45">
        <v>13025.0</v>
      </c>
      <c r="B400" s="45" t="s">
        <v>2314</v>
      </c>
      <c r="C400" s="45" t="s">
        <v>2324</v>
      </c>
      <c r="D400" s="46">
        <v>18401.0</v>
      </c>
      <c r="E400" s="46">
        <v>18021.0</v>
      </c>
    </row>
    <row r="401">
      <c r="A401" s="45">
        <v>13027.0</v>
      </c>
      <c r="B401" s="45" t="s">
        <v>2314</v>
      </c>
      <c r="C401" s="45" t="s">
        <v>2325</v>
      </c>
      <c r="D401" s="46">
        <v>16245.0</v>
      </c>
      <c r="E401" s="46">
        <v>16301.0</v>
      </c>
    </row>
    <row r="402">
      <c r="A402" s="45">
        <v>13029.0</v>
      </c>
      <c r="B402" s="45" t="s">
        <v>2314</v>
      </c>
      <c r="C402" s="45" t="s">
        <v>2326</v>
      </c>
      <c r="D402" s="46">
        <v>49739.0</v>
      </c>
      <c r="E402" s="46">
        <v>44738.0</v>
      </c>
    </row>
    <row r="403">
      <c r="A403" s="45">
        <v>13031.0</v>
      </c>
      <c r="B403" s="45" t="s">
        <v>2314</v>
      </c>
      <c r="C403" s="45" t="s">
        <v>2327</v>
      </c>
      <c r="D403" s="46">
        <v>84327.0</v>
      </c>
      <c r="E403" s="46">
        <v>81099.0</v>
      </c>
    </row>
    <row r="404">
      <c r="A404" s="45">
        <v>13033.0</v>
      </c>
      <c r="B404" s="45" t="s">
        <v>2314</v>
      </c>
      <c r="C404" s="45" t="s">
        <v>2328</v>
      </c>
      <c r="D404" s="46">
        <v>24438.0</v>
      </c>
      <c r="E404" s="46">
        <v>24596.0</v>
      </c>
    </row>
    <row r="405">
      <c r="A405" s="45">
        <v>13035.0</v>
      </c>
      <c r="B405" s="45" t="s">
        <v>2314</v>
      </c>
      <c r="C405" s="45" t="s">
        <v>2329</v>
      </c>
      <c r="D405" s="46">
        <v>26887.0</v>
      </c>
      <c r="E405" s="46">
        <v>25434.0</v>
      </c>
    </row>
    <row r="406">
      <c r="A406" s="45">
        <v>13037.0</v>
      </c>
      <c r="B406" s="45" t="s">
        <v>2314</v>
      </c>
      <c r="C406" s="45" t="s">
        <v>2002</v>
      </c>
      <c r="D406" s="46">
        <v>5457.0</v>
      </c>
      <c r="E406" s="46">
        <v>5573.0</v>
      </c>
    </row>
    <row r="407">
      <c r="A407" s="45">
        <v>13039.0</v>
      </c>
      <c r="B407" s="45" t="s">
        <v>2314</v>
      </c>
      <c r="C407" s="45" t="s">
        <v>2330</v>
      </c>
      <c r="D407" s="46">
        <v>58118.0</v>
      </c>
      <c r="E407" s="46">
        <v>54768.0</v>
      </c>
    </row>
    <row r="408">
      <c r="A408" s="45">
        <v>13043.0</v>
      </c>
      <c r="B408" s="45" t="s">
        <v>2314</v>
      </c>
      <c r="C408" s="45" t="s">
        <v>2331</v>
      </c>
      <c r="D408" s="46">
        <v>11059.0</v>
      </c>
      <c r="E408" s="46">
        <v>10981.0</v>
      </c>
    </row>
    <row r="409">
      <c r="A409" s="45">
        <v>13045.0</v>
      </c>
      <c r="B409" s="45" t="s">
        <v>2314</v>
      </c>
      <c r="C409" s="45" t="s">
        <v>2086</v>
      </c>
      <c r="D409" s="46">
        <v>127098.0</v>
      </c>
      <c r="E409" s="46">
        <v>119148.0</v>
      </c>
    </row>
    <row r="410">
      <c r="A410" s="45">
        <v>13047.0</v>
      </c>
      <c r="B410" s="45" t="s">
        <v>2314</v>
      </c>
      <c r="C410" s="45" t="s">
        <v>2332</v>
      </c>
      <c r="D410" s="46">
        <v>68910.0</v>
      </c>
      <c r="E410" s="46">
        <v>67872.0</v>
      </c>
    </row>
    <row r="411">
      <c r="A411" s="45">
        <v>13049.0</v>
      </c>
      <c r="B411" s="45" t="s">
        <v>2314</v>
      </c>
      <c r="C411" s="45" t="s">
        <v>2333</v>
      </c>
      <c r="D411" s="46">
        <v>12934.0</v>
      </c>
      <c r="E411" s="46">
        <v>12518.0</v>
      </c>
    </row>
    <row r="412">
      <c r="A412" s="45">
        <v>13051.0</v>
      </c>
      <c r="B412" s="45" t="s">
        <v>2314</v>
      </c>
      <c r="C412" s="45" t="s">
        <v>2334</v>
      </c>
      <c r="D412" s="46">
        <v>303655.0</v>
      </c>
      <c r="E412" s="46">
        <v>295291.0</v>
      </c>
    </row>
    <row r="413">
      <c r="A413" s="45">
        <v>13053.0</v>
      </c>
      <c r="B413" s="45" t="s">
        <v>2314</v>
      </c>
      <c r="C413" s="45" t="s">
        <v>2335</v>
      </c>
      <c r="D413" s="46">
        <v>8661.0</v>
      </c>
      <c r="E413" s="46">
        <v>9565.0</v>
      </c>
    </row>
    <row r="414">
      <c r="A414" s="45">
        <v>13055.0</v>
      </c>
      <c r="B414" s="45" t="s">
        <v>2314</v>
      </c>
      <c r="C414" s="45" t="s">
        <v>2336</v>
      </c>
      <c r="D414" s="46">
        <v>25222.0</v>
      </c>
      <c r="E414" s="46">
        <v>24965.0</v>
      </c>
    </row>
    <row r="415">
      <c r="A415" s="45">
        <v>13057.0</v>
      </c>
      <c r="B415" s="45" t="s">
        <v>2314</v>
      </c>
      <c r="C415" s="45" t="s">
        <v>2004</v>
      </c>
      <c r="D415" s="46">
        <v>286602.0</v>
      </c>
      <c r="E415" s="46">
        <v>266620.0</v>
      </c>
    </row>
    <row r="416">
      <c r="A416" s="45">
        <v>13059.0</v>
      </c>
      <c r="B416" s="45" t="s">
        <v>2314</v>
      </c>
      <c r="C416" s="45" t="s">
        <v>2007</v>
      </c>
      <c r="D416" s="46">
        <v>129933.0</v>
      </c>
      <c r="E416" s="46">
        <v>128671.0</v>
      </c>
    </row>
    <row r="417">
      <c r="A417" s="45">
        <v>13061.0</v>
      </c>
      <c r="B417" s="45" t="s">
        <v>2314</v>
      </c>
      <c r="C417" s="45" t="s">
        <v>2008</v>
      </c>
      <c r="D417" s="46">
        <v>2853.0</v>
      </c>
      <c r="E417" s="46">
        <v>2848.0</v>
      </c>
    </row>
    <row r="418">
      <c r="A418" s="45">
        <v>13063.0</v>
      </c>
      <c r="B418" s="45" t="s">
        <v>2314</v>
      </c>
      <c r="C418" s="45" t="s">
        <v>2337</v>
      </c>
      <c r="D418" s="46">
        <v>298300.0</v>
      </c>
      <c r="E418" s="46">
        <v>297595.0</v>
      </c>
    </row>
    <row r="419">
      <c r="A419" s="45">
        <v>13065.0</v>
      </c>
      <c r="B419" s="45" t="s">
        <v>2314</v>
      </c>
      <c r="C419" s="45" t="s">
        <v>2338</v>
      </c>
      <c r="D419" s="46">
        <v>6746.0</v>
      </c>
      <c r="E419" s="46">
        <v>6749.0</v>
      </c>
    </row>
    <row r="420">
      <c r="A420" s="45">
        <v>13067.0</v>
      </c>
      <c r="B420" s="45" t="s">
        <v>2314</v>
      </c>
      <c r="C420" s="45" t="s">
        <v>2339</v>
      </c>
      <c r="D420" s="46">
        <v>776743.0</v>
      </c>
      <c r="E420" s="46">
        <v>766149.0</v>
      </c>
    </row>
    <row r="421">
      <c r="A421" s="45">
        <v>13069.0</v>
      </c>
      <c r="B421" s="45" t="s">
        <v>2314</v>
      </c>
      <c r="C421" s="45" t="s">
        <v>2010</v>
      </c>
      <c r="D421" s="46">
        <v>43317.0</v>
      </c>
      <c r="E421" s="46">
        <v>43092.0</v>
      </c>
    </row>
    <row r="422">
      <c r="A422" s="45">
        <v>13071.0</v>
      </c>
      <c r="B422" s="45" t="s">
        <v>2314</v>
      </c>
      <c r="C422" s="45" t="s">
        <v>2340</v>
      </c>
      <c r="D422" s="46">
        <v>46167.0</v>
      </c>
      <c r="E422" s="46">
        <v>45898.0</v>
      </c>
    </row>
    <row r="423">
      <c r="A423" s="45">
        <v>13073.0</v>
      </c>
      <c r="B423" s="45" t="s">
        <v>2314</v>
      </c>
      <c r="C423" s="45" t="s">
        <v>2090</v>
      </c>
      <c r="D423" s="46">
        <v>165162.0</v>
      </c>
      <c r="E423" s="46">
        <v>156010.0</v>
      </c>
    </row>
    <row r="424">
      <c r="A424" s="45">
        <v>13075.0</v>
      </c>
      <c r="B424" s="45" t="s">
        <v>2314</v>
      </c>
      <c r="C424" s="45" t="s">
        <v>2341</v>
      </c>
      <c r="D424" s="46">
        <v>17714.0</v>
      </c>
      <c r="E424" s="46">
        <v>17229.0</v>
      </c>
    </row>
    <row r="425">
      <c r="A425" s="45">
        <v>13077.0</v>
      </c>
      <c r="B425" s="45" t="s">
        <v>2314</v>
      </c>
      <c r="C425" s="45" t="s">
        <v>2342</v>
      </c>
      <c r="D425" s="46">
        <v>155892.0</v>
      </c>
      <c r="E425" s="46">
        <v>146158.0</v>
      </c>
    </row>
    <row r="426">
      <c r="A426" s="45">
        <v>13079.0</v>
      </c>
      <c r="B426" s="45" t="s">
        <v>2314</v>
      </c>
      <c r="C426" s="45" t="s">
        <v>2093</v>
      </c>
      <c r="D426" s="46">
        <v>12277.0</v>
      </c>
      <c r="E426" s="46">
        <v>12130.0</v>
      </c>
    </row>
    <row r="427">
      <c r="A427" s="45">
        <v>13081.0</v>
      </c>
      <c r="B427" s="45" t="s">
        <v>2314</v>
      </c>
      <c r="C427" s="45" t="s">
        <v>2343</v>
      </c>
      <c r="D427" s="46">
        <v>19631.0</v>
      </c>
      <c r="E427" s="46">
        <v>20128.0</v>
      </c>
    </row>
    <row r="428">
      <c r="A428" s="45">
        <v>13083.0</v>
      </c>
      <c r="B428" s="45" t="s">
        <v>2314</v>
      </c>
      <c r="C428" s="45" t="s">
        <v>2344</v>
      </c>
      <c r="D428" s="46">
        <v>16165.0</v>
      </c>
      <c r="E428" s="46">
        <v>16251.0</v>
      </c>
    </row>
    <row r="429">
      <c r="A429" s="45">
        <v>13085.0</v>
      </c>
      <c r="B429" s="45" t="s">
        <v>2314</v>
      </c>
      <c r="C429" s="45" t="s">
        <v>2345</v>
      </c>
      <c r="D429" s="46">
        <v>31732.0</v>
      </c>
      <c r="E429" s="46">
        <v>26798.0</v>
      </c>
    </row>
    <row r="430">
      <c r="A430" s="45">
        <v>13087.0</v>
      </c>
      <c r="B430" s="45" t="s">
        <v>2314</v>
      </c>
      <c r="C430" s="45" t="s">
        <v>2346</v>
      </c>
      <c r="D430" s="46">
        <v>29087.0</v>
      </c>
      <c r="E430" s="46">
        <v>29367.0</v>
      </c>
    </row>
    <row r="431">
      <c r="A431" s="45">
        <v>13089.0</v>
      </c>
      <c r="B431" s="45" t="s">
        <v>2314</v>
      </c>
      <c r="C431" s="45" t="s">
        <v>2019</v>
      </c>
      <c r="D431" s="46">
        <v>762992.0</v>
      </c>
      <c r="E431" s="46">
        <v>764382.0</v>
      </c>
    </row>
    <row r="432">
      <c r="A432" s="45">
        <v>13091.0</v>
      </c>
      <c r="B432" s="45" t="s">
        <v>2314</v>
      </c>
      <c r="C432" s="45" t="s">
        <v>2347</v>
      </c>
      <c r="D432" s="46">
        <v>19776.0</v>
      </c>
      <c r="E432" s="46">
        <v>19925.0</v>
      </c>
    </row>
    <row r="433">
      <c r="A433" s="45">
        <v>13093.0</v>
      </c>
      <c r="B433" s="45" t="s">
        <v>2314</v>
      </c>
      <c r="C433" s="45" t="s">
        <v>2348</v>
      </c>
      <c r="D433" s="46">
        <v>10981.0</v>
      </c>
      <c r="E433" s="46">
        <v>11208.0</v>
      </c>
    </row>
    <row r="434">
      <c r="A434" s="45">
        <v>13095.0</v>
      </c>
      <c r="B434" s="45" t="s">
        <v>2314</v>
      </c>
      <c r="C434" s="45" t="s">
        <v>2349</v>
      </c>
      <c r="D434" s="46">
        <v>82645.0</v>
      </c>
      <c r="E434" s="46">
        <v>85790.0</v>
      </c>
    </row>
    <row r="435">
      <c r="A435" s="45">
        <v>13097.0</v>
      </c>
      <c r="B435" s="45" t="s">
        <v>2314</v>
      </c>
      <c r="C435" s="45" t="s">
        <v>2213</v>
      </c>
      <c r="D435" s="46">
        <v>149160.0</v>
      </c>
      <c r="E435" s="46">
        <v>144237.0</v>
      </c>
    </row>
    <row r="436">
      <c r="A436" s="45">
        <v>13099.0</v>
      </c>
      <c r="B436" s="45" t="s">
        <v>2314</v>
      </c>
      <c r="C436" s="45" t="s">
        <v>2350</v>
      </c>
      <c r="D436" s="46">
        <v>10563.0</v>
      </c>
      <c r="E436" s="46">
        <v>10854.0</v>
      </c>
    </row>
    <row r="437">
      <c r="A437" s="45">
        <v>13101.0</v>
      </c>
      <c r="B437" s="45" t="s">
        <v>2314</v>
      </c>
      <c r="C437" s="45" t="s">
        <v>2351</v>
      </c>
      <c r="D437" s="46">
        <v>3709.0</v>
      </c>
      <c r="E437" s="46">
        <v>3697.0</v>
      </c>
    </row>
    <row r="438">
      <c r="A438" s="45">
        <v>13103.0</v>
      </c>
      <c r="B438" s="45" t="s">
        <v>2314</v>
      </c>
      <c r="C438" s="45" t="s">
        <v>2352</v>
      </c>
      <c r="D438" s="46">
        <v>71541.0</v>
      </c>
      <c r="E438" s="46">
        <v>64769.0</v>
      </c>
    </row>
    <row r="439">
      <c r="A439" s="45">
        <v>13105.0</v>
      </c>
      <c r="B439" s="45" t="s">
        <v>2314</v>
      </c>
      <c r="C439" s="45" t="s">
        <v>2215</v>
      </c>
      <c r="D439" s="46">
        <v>20013.0</v>
      </c>
      <c r="E439" s="46">
        <v>19637.0</v>
      </c>
    </row>
    <row r="440">
      <c r="A440" s="45">
        <v>13107.0</v>
      </c>
      <c r="B440" s="45" t="s">
        <v>2314</v>
      </c>
      <c r="C440" s="45" t="s">
        <v>2353</v>
      </c>
      <c r="D440" s="46">
        <v>23119.0</v>
      </c>
      <c r="E440" s="46">
        <v>22768.0</v>
      </c>
    </row>
    <row r="441">
      <c r="A441" s="45">
        <v>13109.0</v>
      </c>
      <c r="B441" s="45" t="s">
        <v>2314</v>
      </c>
      <c r="C441" s="45" t="s">
        <v>2354</v>
      </c>
      <c r="D441" s="46">
        <v>10754.0</v>
      </c>
      <c r="E441" s="46">
        <v>10774.0</v>
      </c>
    </row>
    <row r="442">
      <c r="A442" s="45">
        <v>13111.0</v>
      </c>
      <c r="B442" s="45" t="s">
        <v>2314</v>
      </c>
      <c r="C442" s="45" t="s">
        <v>2355</v>
      </c>
      <c r="D442" s="46">
        <v>25955.0</v>
      </c>
      <c r="E442" s="46">
        <v>25319.0</v>
      </c>
    </row>
    <row r="443">
      <c r="A443" s="45">
        <v>13113.0</v>
      </c>
      <c r="B443" s="45" t="s">
        <v>2314</v>
      </c>
      <c r="C443" s="45" t="s">
        <v>2023</v>
      </c>
      <c r="D443" s="46">
        <v>123351.0</v>
      </c>
      <c r="E443" s="46">
        <v>119194.0</v>
      </c>
    </row>
    <row r="444">
      <c r="A444" s="45">
        <v>13115.0</v>
      </c>
      <c r="B444" s="45" t="s">
        <v>2314</v>
      </c>
      <c r="C444" s="45" t="s">
        <v>2356</v>
      </c>
      <c r="D444" s="46">
        <v>100113.0</v>
      </c>
      <c r="E444" s="46">
        <v>98584.0</v>
      </c>
    </row>
    <row r="445">
      <c r="A445" s="45">
        <v>13117.0</v>
      </c>
      <c r="B445" s="45" t="s">
        <v>2314</v>
      </c>
      <c r="C445" s="45" t="s">
        <v>2357</v>
      </c>
      <c r="D445" s="46">
        <v>272887.0</v>
      </c>
      <c r="E445" s="46">
        <v>251283.0</v>
      </c>
    </row>
    <row r="446">
      <c r="A446" s="45">
        <v>13119.0</v>
      </c>
      <c r="B446" s="45" t="s">
        <v>2314</v>
      </c>
      <c r="C446" s="45" t="s">
        <v>2024</v>
      </c>
      <c r="D446" s="46">
        <v>24782.0</v>
      </c>
      <c r="E446" s="46">
        <v>23424.0</v>
      </c>
    </row>
    <row r="447">
      <c r="A447" s="45">
        <v>13121.0</v>
      </c>
      <c r="B447" s="45" t="s">
        <v>2314</v>
      </c>
      <c r="C447" s="45" t="s">
        <v>2099</v>
      </c>
      <c r="D447" s="46">
        <v>1079105.0</v>
      </c>
      <c r="E447" s="46">
        <v>1066710.0</v>
      </c>
    </row>
    <row r="448">
      <c r="A448" s="45">
        <v>13123.0</v>
      </c>
      <c r="B448" s="45" t="s">
        <v>2314</v>
      </c>
      <c r="C448" s="45" t="s">
        <v>2358</v>
      </c>
      <c r="D448" s="46">
        <v>32860.0</v>
      </c>
      <c r="E448" s="46">
        <v>31353.0</v>
      </c>
    </row>
    <row r="449">
      <c r="A449" s="45">
        <v>13125.0</v>
      </c>
      <c r="B449" s="45" t="s">
        <v>2314</v>
      </c>
      <c r="C449" s="45" t="s">
        <v>2359</v>
      </c>
      <c r="D449" s="46">
        <v>2954.0</v>
      </c>
      <c r="E449" s="46">
        <v>2884.0</v>
      </c>
    </row>
    <row r="450">
      <c r="A450" s="45">
        <v>13127.0</v>
      </c>
      <c r="B450" s="45" t="s">
        <v>2314</v>
      </c>
      <c r="C450" s="45" t="s">
        <v>2360</v>
      </c>
      <c r="D450" s="46">
        <v>86172.0</v>
      </c>
      <c r="E450" s="46">
        <v>84499.0</v>
      </c>
    </row>
    <row r="451">
      <c r="A451" s="45">
        <v>13129.0</v>
      </c>
      <c r="B451" s="45" t="s">
        <v>2314</v>
      </c>
      <c r="C451" s="45" t="s">
        <v>2361</v>
      </c>
      <c r="D451" s="46">
        <v>59757.0</v>
      </c>
      <c r="E451" s="46">
        <v>57544.0</v>
      </c>
    </row>
    <row r="452">
      <c r="A452" s="45">
        <v>13131.0</v>
      </c>
      <c r="B452" s="45" t="s">
        <v>2314</v>
      </c>
      <c r="C452" s="45" t="s">
        <v>2362</v>
      </c>
      <c r="D452" s="46">
        <v>26066.0</v>
      </c>
      <c r="E452" s="46">
        <v>26236.0</v>
      </c>
    </row>
    <row r="453">
      <c r="A453" s="45">
        <v>13133.0</v>
      </c>
      <c r="B453" s="45" t="s">
        <v>2314</v>
      </c>
      <c r="C453" s="45" t="s">
        <v>2026</v>
      </c>
      <c r="D453" s="46">
        <v>20722.0</v>
      </c>
      <c r="E453" s="46">
        <v>18915.0</v>
      </c>
    </row>
    <row r="454">
      <c r="A454" s="45">
        <v>13135.0</v>
      </c>
      <c r="B454" s="45" t="s">
        <v>2314</v>
      </c>
      <c r="C454" s="45" t="s">
        <v>2363</v>
      </c>
      <c r="D454" s="46">
        <v>983526.0</v>
      </c>
      <c r="E454" s="46">
        <v>957062.0</v>
      </c>
    </row>
    <row r="455">
      <c r="A455" s="45">
        <v>13137.0</v>
      </c>
      <c r="B455" s="45" t="s">
        <v>2314</v>
      </c>
      <c r="C455" s="45" t="s">
        <v>2364</v>
      </c>
      <c r="D455" s="46">
        <v>48757.0</v>
      </c>
      <c r="E455" s="46">
        <v>46031.0</v>
      </c>
    </row>
    <row r="456">
      <c r="A456" s="45">
        <v>13139.0</v>
      </c>
      <c r="B456" s="45" t="s">
        <v>2314</v>
      </c>
      <c r="C456" s="45" t="s">
        <v>2365</v>
      </c>
      <c r="D456" s="46">
        <v>217267.0</v>
      </c>
      <c r="E456" s="46">
        <v>203136.0</v>
      </c>
    </row>
    <row r="457">
      <c r="A457" s="45">
        <v>13141.0</v>
      </c>
      <c r="B457" s="45" t="s">
        <v>2314</v>
      </c>
      <c r="C457" s="45" t="s">
        <v>2366</v>
      </c>
      <c r="D457" s="46">
        <v>8676.0</v>
      </c>
      <c r="E457" s="46">
        <v>8735.0</v>
      </c>
    </row>
    <row r="458">
      <c r="A458" s="45">
        <v>13143.0</v>
      </c>
      <c r="B458" s="45" t="s">
        <v>2314</v>
      </c>
      <c r="C458" s="45" t="s">
        <v>2367</v>
      </c>
      <c r="D458" s="46">
        <v>32038.0</v>
      </c>
      <c r="E458" s="46">
        <v>29919.0</v>
      </c>
    </row>
    <row r="459">
      <c r="A459" s="45">
        <v>13145.0</v>
      </c>
      <c r="B459" s="45" t="s">
        <v>2314</v>
      </c>
      <c r="C459" s="45" t="s">
        <v>2368</v>
      </c>
      <c r="D459" s="46">
        <v>36654.0</v>
      </c>
      <c r="E459" s="46">
        <v>34668.0</v>
      </c>
    </row>
    <row r="460">
      <c r="A460" s="45">
        <v>13147.0</v>
      </c>
      <c r="B460" s="45" t="s">
        <v>2314</v>
      </c>
      <c r="C460" s="45" t="s">
        <v>2369</v>
      </c>
      <c r="D460" s="46">
        <v>27556.0</v>
      </c>
      <c r="E460" s="46">
        <v>25828.0</v>
      </c>
    </row>
    <row r="461">
      <c r="A461" s="45">
        <v>13149.0</v>
      </c>
      <c r="B461" s="45" t="s">
        <v>2314</v>
      </c>
      <c r="C461" s="45" t="s">
        <v>2370</v>
      </c>
      <c r="D461" s="46">
        <v>12034.0</v>
      </c>
      <c r="E461" s="46">
        <v>11412.0</v>
      </c>
    </row>
    <row r="462">
      <c r="A462" s="45">
        <v>13151.0</v>
      </c>
      <c r="B462" s="45" t="s">
        <v>2314</v>
      </c>
      <c r="C462" s="45" t="s">
        <v>2028</v>
      </c>
      <c r="D462" s="46">
        <v>254613.0</v>
      </c>
      <c r="E462" s="46">
        <v>240712.0</v>
      </c>
    </row>
    <row r="463">
      <c r="A463" s="45">
        <v>13153.0</v>
      </c>
      <c r="B463" s="45" t="s">
        <v>2314</v>
      </c>
      <c r="C463" s="45" t="s">
        <v>2029</v>
      </c>
      <c r="D463" s="46">
        <v>171974.0</v>
      </c>
      <c r="E463" s="46">
        <v>163633.0</v>
      </c>
    </row>
    <row r="464">
      <c r="A464" s="45">
        <v>13155.0</v>
      </c>
      <c r="B464" s="45" t="s">
        <v>2314</v>
      </c>
      <c r="C464" s="45" t="s">
        <v>2371</v>
      </c>
      <c r="D464" s="46">
        <v>9120.0</v>
      </c>
      <c r="E464" s="46">
        <v>9666.0</v>
      </c>
    </row>
    <row r="465">
      <c r="A465" s="45">
        <v>13157.0</v>
      </c>
      <c r="B465" s="45" t="s">
        <v>2314</v>
      </c>
      <c r="C465" s="45" t="s">
        <v>2030</v>
      </c>
      <c r="D465" s="46">
        <v>88615.0</v>
      </c>
      <c r="E465" s="46">
        <v>75907.0</v>
      </c>
    </row>
    <row r="466">
      <c r="A466" s="45">
        <v>13159.0</v>
      </c>
      <c r="B466" s="45" t="s">
        <v>2314</v>
      </c>
      <c r="C466" s="45" t="s">
        <v>2372</v>
      </c>
      <c r="D466" s="46">
        <v>16455.0</v>
      </c>
      <c r="E466" s="46">
        <v>14588.0</v>
      </c>
    </row>
    <row r="467">
      <c r="A467" s="45">
        <v>13161.0</v>
      </c>
      <c r="B467" s="45" t="s">
        <v>2314</v>
      </c>
      <c r="C467" s="45" t="s">
        <v>2373</v>
      </c>
      <c r="D467" s="46">
        <v>14906.0</v>
      </c>
      <c r="E467" s="46">
        <v>14779.0</v>
      </c>
    </row>
    <row r="468">
      <c r="A468" s="45">
        <v>13163.0</v>
      </c>
      <c r="B468" s="45" t="s">
        <v>2314</v>
      </c>
      <c r="C468" s="45" t="s">
        <v>2031</v>
      </c>
      <c r="D468" s="46">
        <v>15183.0</v>
      </c>
      <c r="E468" s="46">
        <v>15709.0</v>
      </c>
    </row>
    <row r="469">
      <c r="A469" s="45">
        <v>13165.0</v>
      </c>
      <c r="B469" s="45" t="s">
        <v>2314</v>
      </c>
      <c r="C469" s="45" t="s">
        <v>2374</v>
      </c>
      <c r="D469" s="46">
        <v>8627.0</v>
      </c>
      <c r="E469" s="46">
        <v>8674.0</v>
      </c>
    </row>
    <row r="470">
      <c r="A470" s="45">
        <v>13167.0</v>
      </c>
      <c r="B470" s="45" t="s">
        <v>2314</v>
      </c>
      <c r="C470" s="45" t="s">
        <v>2107</v>
      </c>
      <c r="D470" s="46">
        <v>9282.0</v>
      </c>
      <c r="E470" s="46">
        <v>9189.0</v>
      </c>
    </row>
    <row r="471">
      <c r="A471" s="45">
        <v>13169.0</v>
      </c>
      <c r="B471" s="45" t="s">
        <v>2314</v>
      </c>
      <c r="C471" s="45" t="s">
        <v>2375</v>
      </c>
      <c r="D471" s="46">
        <v>28969.0</v>
      </c>
      <c r="E471" s="46">
        <v>28347.0</v>
      </c>
    </row>
    <row r="472">
      <c r="A472" s="45">
        <v>13171.0</v>
      </c>
      <c r="B472" s="45" t="s">
        <v>2314</v>
      </c>
      <c r="C472" s="45" t="s">
        <v>2032</v>
      </c>
      <c r="D472" s="46">
        <v>20401.0</v>
      </c>
      <c r="E472" s="46">
        <v>18500.0</v>
      </c>
    </row>
    <row r="473">
      <c r="A473" s="45">
        <v>13173.0</v>
      </c>
      <c r="B473" s="45" t="s">
        <v>2314</v>
      </c>
      <c r="C473" s="45" t="s">
        <v>2376</v>
      </c>
      <c r="D473" s="46">
        <v>10452.0</v>
      </c>
      <c r="E473" s="46">
        <v>9877.0</v>
      </c>
    </row>
    <row r="474">
      <c r="A474" s="45">
        <v>13175.0</v>
      </c>
      <c r="B474" s="45" t="s">
        <v>2314</v>
      </c>
      <c r="C474" s="45" t="s">
        <v>2377</v>
      </c>
      <c r="D474" s="46">
        <v>49941.0</v>
      </c>
      <c r="E474" s="46">
        <v>49570.0</v>
      </c>
    </row>
    <row r="475">
      <c r="A475" s="45">
        <v>13177.0</v>
      </c>
      <c r="B475" s="45" t="s">
        <v>2314</v>
      </c>
      <c r="C475" s="45" t="s">
        <v>2035</v>
      </c>
      <c r="D475" s="46">
        <v>33872.0</v>
      </c>
      <c r="E475" s="46">
        <v>33163.0</v>
      </c>
    </row>
    <row r="476">
      <c r="A476" s="45">
        <v>13179.0</v>
      </c>
      <c r="B476" s="45" t="s">
        <v>2314</v>
      </c>
      <c r="C476" s="45" t="s">
        <v>2292</v>
      </c>
      <c r="D476" s="46">
        <v>69210.0</v>
      </c>
      <c r="E476" s="46">
        <v>65256.0</v>
      </c>
    </row>
    <row r="477">
      <c r="A477" s="45">
        <v>13181.0</v>
      </c>
      <c r="B477" s="45" t="s">
        <v>2314</v>
      </c>
      <c r="C477" s="45" t="s">
        <v>2109</v>
      </c>
      <c r="D477" s="46">
        <v>7879.0</v>
      </c>
      <c r="E477" s="46">
        <v>7690.0</v>
      </c>
    </row>
    <row r="478">
      <c r="A478" s="45">
        <v>13183.0</v>
      </c>
      <c r="B478" s="45" t="s">
        <v>2314</v>
      </c>
      <c r="C478" s="45" t="s">
        <v>2378</v>
      </c>
      <c r="D478" s="46">
        <v>19594.0</v>
      </c>
      <c r="E478" s="46">
        <v>16168.0</v>
      </c>
    </row>
    <row r="479">
      <c r="A479" s="45">
        <v>13185.0</v>
      </c>
      <c r="B479" s="45" t="s">
        <v>2314</v>
      </c>
      <c r="C479" s="45" t="s">
        <v>2037</v>
      </c>
      <c r="D479" s="46">
        <v>120712.0</v>
      </c>
      <c r="E479" s="46">
        <v>118251.0</v>
      </c>
    </row>
    <row r="480">
      <c r="A480" s="45">
        <v>13187.0</v>
      </c>
      <c r="B480" s="45" t="s">
        <v>2314</v>
      </c>
      <c r="C480" s="45" t="s">
        <v>2379</v>
      </c>
      <c r="D480" s="46">
        <v>35258.0</v>
      </c>
      <c r="E480" s="46">
        <v>33488.0</v>
      </c>
    </row>
    <row r="481">
      <c r="A481" s="45">
        <v>13189.0</v>
      </c>
      <c r="B481" s="45" t="s">
        <v>2314</v>
      </c>
      <c r="C481" s="45" t="s">
        <v>2380</v>
      </c>
      <c r="D481" s="46">
        <v>21799.0</v>
      </c>
      <c r="E481" s="46">
        <v>21632.0</v>
      </c>
    </row>
    <row r="482">
      <c r="A482" s="45">
        <v>13191.0</v>
      </c>
      <c r="B482" s="45" t="s">
        <v>2314</v>
      </c>
      <c r="C482" s="45" t="s">
        <v>2381</v>
      </c>
      <c r="D482" s="46">
        <v>11501.0</v>
      </c>
      <c r="E482" s="46">
        <v>10975.0</v>
      </c>
    </row>
    <row r="483">
      <c r="A483" s="45">
        <v>13193.0</v>
      </c>
      <c r="B483" s="45" t="s">
        <v>2314</v>
      </c>
      <c r="C483" s="45" t="s">
        <v>2038</v>
      </c>
      <c r="D483" s="46">
        <v>11817.0</v>
      </c>
      <c r="E483" s="46">
        <v>12082.0</v>
      </c>
    </row>
    <row r="484">
      <c r="A484" s="45">
        <v>13195.0</v>
      </c>
      <c r="B484" s="45" t="s">
        <v>2314</v>
      </c>
      <c r="C484" s="45" t="s">
        <v>2039</v>
      </c>
      <c r="D484" s="46">
        <v>32191.0</v>
      </c>
      <c r="E484" s="46">
        <v>30120.0</v>
      </c>
    </row>
    <row r="485">
      <c r="A485" s="45">
        <v>13197.0</v>
      </c>
      <c r="B485" s="45" t="s">
        <v>2314</v>
      </c>
      <c r="C485" s="45" t="s">
        <v>2041</v>
      </c>
      <c r="D485" s="46">
        <v>7440.0</v>
      </c>
      <c r="E485" s="46">
        <v>7498.0</v>
      </c>
    </row>
    <row r="486">
      <c r="A486" s="45">
        <v>13199.0</v>
      </c>
      <c r="B486" s="45" t="s">
        <v>2314</v>
      </c>
      <c r="C486" s="45" t="s">
        <v>2382</v>
      </c>
      <c r="D486" s="46">
        <v>20931.0</v>
      </c>
      <c r="E486" s="46">
        <v>20613.0</v>
      </c>
    </row>
    <row r="487">
      <c r="A487" s="45">
        <v>13201.0</v>
      </c>
      <c r="B487" s="45" t="s">
        <v>2314</v>
      </c>
      <c r="C487" s="45" t="s">
        <v>2113</v>
      </c>
      <c r="D487" s="46">
        <v>5747.0</v>
      </c>
      <c r="E487" s="46">
        <v>6000.0</v>
      </c>
    </row>
    <row r="488">
      <c r="A488" s="45">
        <v>13205.0</v>
      </c>
      <c r="B488" s="45" t="s">
        <v>2314</v>
      </c>
      <c r="C488" s="45" t="s">
        <v>2383</v>
      </c>
      <c r="D488" s="46">
        <v>21114.0</v>
      </c>
      <c r="E488" s="46">
        <v>21755.0</v>
      </c>
    </row>
    <row r="489">
      <c r="A489" s="45">
        <v>13207.0</v>
      </c>
      <c r="B489" s="45" t="s">
        <v>2314</v>
      </c>
      <c r="C489" s="45" t="s">
        <v>2044</v>
      </c>
      <c r="D489" s="46">
        <v>30625.0</v>
      </c>
      <c r="E489" s="46">
        <v>27957.0</v>
      </c>
    </row>
    <row r="490">
      <c r="A490" s="45">
        <v>13209.0</v>
      </c>
      <c r="B490" s="45" t="s">
        <v>2314</v>
      </c>
      <c r="C490" s="45" t="s">
        <v>2045</v>
      </c>
      <c r="D490" s="46">
        <v>8761.0</v>
      </c>
      <c r="E490" s="46">
        <v>8610.0</v>
      </c>
    </row>
    <row r="491">
      <c r="A491" s="45">
        <v>13211.0</v>
      </c>
      <c r="B491" s="45" t="s">
        <v>2314</v>
      </c>
      <c r="C491" s="45" t="s">
        <v>2046</v>
      </c>
      <c r="D491" s="46">
        <v>21460.0</v>
      </c>
      <c r="E491" s="46">
        <v>20097.0</v>
      </c>
    </row>
    <row r="492">
      <c r="A492" s="45">
        <v>13213.0</v>
      </c>
      <c r="B492" s="45" t="s">
        <v>2314</v>
      </c>
      <c r="C492" s="45" t="s">
        <v>2384</v>
      </c>
      <c r="D492" s="46">
        <v>41035.0</v>
      </c>
      <c r="E492" s="46">
        <v>39973.0</v>
      </c>
    </row>
    <row r="493">
      <c r="A493" s="45">
        <v>13215.0</v>
      </c>
      <c r="B493" s="45" t="s">
        <v>2314</v>
      </c>
      <c r="C493" s="45" t="s">
        <v>2385</v>
      </c>
      <c r="D493" s="46">
        <v>201877.0</v>
      </c>
      <c r="E493" s="46">
        <v>206922.0</v>
      </c>
    </row>
    <row r="494">
      <c r="A494" s="45">
        <v>13217.0</v>
      </c>
      <c r="B494" s="45" t="s">
        <v>2314</v>
      </c>
      <c r="C494" s="45" t="s">
        <v>2116</v>
      </c>
      <c r="D494" s="46">
        <v>120135.0</v>
      </c>
      <c r="E494" s="46">
        <v>112483.0</v>
      </c>
    </row>
    <row r="495">
      <c r="A495" s="45">
        <v>13219.0</v>
      </c>
      <c r="B495" s="45" t="s">
        <v>2314</v>
      </c>
      <c r="C495" s="45" t="s">
        <v>2386</v>
      </c>
      <c r="D495" s="46">
        <v>44182.0</v>
      </c>
      <c r="E495" s="46">
        <v>41799.0</v>
      </c>
    </row>
    <row r="496">
      <c r="A496" s="45">
        <v>13221.0</v>
      </c>
      <c r="B496" s="45" t="s">
        <v>2314</v>
      </c>
      <c r="C496" s="45" t="s">
        <v>2387</v>
      </c>
      <c r="D496" s="46">
        <v>15754.0</v>
      </c>
      <c r="E496" s="46">
        <v>14825.0</v>
      </c>
    </row>
    <row r="497">
      <c r="A497" s="45">
        <v>13223.0</v>
      </c>
      <c r="B497" s="45" t="s">
        <v>2314</v>
      </c>
      <c r="C497" s="45" t="s">
        <v>2388</v>
      </c>
      <c r="D497" s="46">
        <v>183164.0</v>
      </c>
      <c r="E497" s="46">
        <v>168661.0</v>
      </c>
    </row>
    <row r="498">
      <c r="A498" s="45">
        <v>13225.0</v>
      </c>
      <c r="B498" s="45" t="s">
        <v>2314</v>
      </c>
      <c r="C498" s="45" t="s">
        <v>2389</v>
      </c>
      <c r="D498" s="46">
        <v>28805.0</v>
      </c>
      <c r="E498" s="46">
        <v>27981.0</v>
      </c>
    </row>
    <row r="499">
      <c r="A499" s="45">
        <v>13227.0</v>
      </c>
      <c r="B499" s="45" t="s">
        <v>2314</v>
      </c>
      <c r="C499" s="45" t="s">
        <v>2048</v>
      </c>
      <c r="D499" s="46">
        <v>35969.0</v>
      </c>
      <c r="E499" s="46">
        <v>33216.0</v>
      </c>
    </row>
    <row r="500">
      <c r="A500" s="45">
        <v>13229.0</v>
      </c>
      <c r="B500" s="45" t="s">
        <v>2314</v>
      </c>
      <c r="C500" s="45" t="s">
        <v>2390</v>
      </c>
      <c r="D500" s="46">
        <v>20425.0</v>
      </c>
      <c r="E500" s="46">
        <v>19716.0</v>
      </c>
    </row>
    <row r="501">
      <c r="A501" s="45">
        <v>13231.0</v>
      </c>
      <c r="B501" s="45" t="s">
        <v>2314</v>
      </c>
      <c r="C501" s="45" t="s">
        <v>2049</v>
      </c>
      <c r="D501" s="46">
        <v>20461.0</v>
      </c>
      <c r="E501" s="46">
        <v>18889.0</v>
      </c>
    </row>
    <row r="502">
      <c r="A502" s="45">
        <v>13233.0</v>
      </c>
      <c r="B502" s="45" t="s">
        <v>2314</v>
      </c>
      <c r="C502" s="45" t="s">
        <v>2120</v>
      </c>
      <c r="D502" s="46">
        <v>44223.0</v>
      </c>
      <c r="E502" s="46">
        <v>42853.0</v>
      </c>
    </row>
    <row r="503">
      <c r="A503" s="45">
        <v>13235.0</v>
      </c>
      <c r="B503" s="45" t="s">
        <v>2314</v>
      </c>
      <c r="C503" s="45" t="s">
        <v>2123</v>
      </c>
      <c r="D503" s="46">
        <v>10095.0</v>
      </c>
      <c r="E503" s="46">
        <v>9855.0</v>
      </c>
    </row>
    <row r="504">
      <c r="A504" s="45">
        <v>13237.0</v>
      </c>
      <c r="B504" s="45" t="s">
        <v>2314</v>
      </c>
      <c r="C504" s="45" t="s">
        <v>2303</v>
      </c>
      <c r="D504" s="46">
        <v>23129.0</v>
      </c>
      <c r="E504" s="46">
        <v>22047.0</v>
      </c>
    </row>
    <row r="505">
      <c r="A505" s="45">
        <v>13239.0</v>
      </c>
      <c r="B505" s="45" t="s">
        <v>2314</v>
      </c>
      <c r="C505" s="45" t="s">
        <v>2391</v>
      </c>
      <c r="D505" s="46">
        <v>2280.0</v>
      </c>
      <c r="E505" s="46">
        <v>2235.0</v>
      </c>
    </row>
    <row r="506">
      <c r="A506" s="45">
        <v>13241.0</v>
      </c>
      <c r="B506" s="45" t="s">
        <v>2314</v>
      </c>
      <c r="C506" s="45" t="s">
        <v>2392</v>
      </c>
      <c r="D506" s="46">
        <v>17442.0</v>
      </c>
      <c r="E506" s="46">
        <v>16883.0</v>
      </c>
    </row>
    <row r="507">
      <c r="A507" s="45">
        <v>13243.0</v>
      </c>
      <c r="B507" s="45" t="s">
        <v>2314</v>
      </c>
      <c r="C507" s="45" t="s">
        <v>2050</v>
      </c>
      <c r="D507" s="46">
        <v>6078.0</v>
      </c>
      <c r="E507" s="46">
        <v>6425.0</v>
      </c>
    </row>
    <row r="508">
      <c r="A508" s="45">
        <v>13245.0</v>
      </c>
      <c r="B508" s="45" t="s">
        <v>2314</v>
      </c>
      <c r="C508" s="45" t="s">
        <v>2393</v>
      </c>
      <c r="D508" s="46">
        <v>205414.0</v>
      </c>
      <c r="E508" s="46">
        <v>206607.0</v>
      </c>
    </row>
    <row r="509">
      <c r="A509" s="45">
        <v>13247.0</v>
      </c>
      <c r="B509" s="45" t="s">
        <v>2314</v>
      </c>
      <c r="C509" s="45" t="s">
        <v>2394</v>
      </c>
      <c r="D509" s="46">
        <v>95987.0</v>
      </c>
      <c r="E509" s="46">
        <v>93570.0</v>
      </c>
    </row>
    <row r="510">
      <c r="A510" s="45">
        <v>13249.0</v>
      </c>
      <c r="B510" s="45" t="s">
        <v>2314</v>
      </c>
      <c r="C510" s="45" t="s">
        <v>2395</v>
      </c>
      <c r="D510" s="46">
        <v>4526.0</v>
      </c>
      <c r="E510" s="46">
        <v>4547.0</v>
      </c>
    </row>
    <row r="511">
      <c r="A511" s="45">
        <v>13251.0</v>
      </c>
      <c r="B511" s="45" t="s">
        <v>2314</v>
      </c>
      <c r="C511" s="45" t="s">
        <v>2396</v>
      </c>
      <c r="D511" s="46">
        <v>14174.0</v>
      </c>
      <c r="E511" s="46">
        <v>14067.0</v>
      </c>
    </row>
    <row r="512">
      <c r="A512" s="45">
        <v>13253.0</v>
      </c>
      <c r="B512" s="45" t="s">
        <v>2314</v>
      </c>
      <c r="C512" s="45" t="s">
        <v>2308</v>
      </c>
      <c r="D512" s="46">
        <v>9092.0</v>
      </c>
      <c r="E512" s="46">
        <v>9147.0</v>
      </c>
    </row>
    <row r="513">
      <c r="A513" s="45">
        <v>13255.0</v>
      </c>
      <c r="B513" s="45" t="s">
        <v>2314</v>
      </c>
      <c r="C513" s="45" t="s">
        <v>2397</v>
      </c>
      <c r="D513" s="46">
        <v>69946.0</v>
      </c>
      <c r="E513" s="46">
        <v>67306.0</v>
      </c>
    </row>
    <row r="514">
      <c r="A514" s="45">
        <v>13257.0</v>
      </c>
      <c r="B514" s="45" t="s">
        <v>2314</v>
      </c>
      <c r="C514" s="45" t="s">
        <v>2398</v>
      </c>
      <c r="D514" s="46">
        <v>27228.0</v>
      </c>
      <c r="E514" s="46">
        <v>26784.0</v>
      </c>
    </row>
    <row r="515">
      <c r="A515" s="45">
        <v>13259.0</v>
      </c>
      <c r="B515" s="45" t="s">
        <v>2314</v>
      </c>
      <c r="C515" s="45" t="s">
        <v>2399</v>
      </c>
      <c r="D515" s="46">
        <v>4674.0</v>
      </c>
      <c r="E515" s="46">
        <v>5314.0</v>
      </c>
    </row>
    <row r="516">
      <c r="A516" s="45">
        <v>13261.0</v>
      </c>
      <c r="B516" s="45" t="s">
        <v>2314</v>
      </c>
      <c r="C516" s="45" t="s">
        <v>2054</v>
      </c>
      <c r="D516" s="46">
        <v>28890.0</v>
      </c>
      <c r="E516" s="46">
        <v>29616.0</v>
      </c>
    </row>
    <row r="517">
      <c r="A517" s="45">
        <v>13263.0</v>
      </c>
      <c r="B517" s="45" t="s">
        <v>2314</v>
      </c>
      <c r="C517" s="45" t="s">
        <v>2400</v>
      </c>
      <c r="D517" s="46">
        <v>5718.0</v>
      </c>
      <c r="E517" s="46">
        <v>5733.0</v>
      </c>
    </row>
    <row r="518">
      <c r="A518" s="45">
        <v>13265.0</v>
      </c>
      <c r="B518" s="45" t="s">
        <v>2314</v>
      </c>
      <c r="C518" s="45" t="s">
        <v>2401</v>
      </c>
      <c r="D518" s="46">
        <v>1609.0</v>
      </c>
      <c r="E518" s="46">
        <v>1559.0</v>
      </c>
    </row>
    <row r="519">
      <c r="A519" s="45">
        <v>13267.0</v>
      </c>
      <c r="B519" s="45" t="s">
        <v>2314</v>
      </c>
      <c r="C519" s="45" t="s">
        <v>2402</v>
      </c>
      <c r="D519" s="46">
        <v>24296.0</v>
      </c>
      <c r="E519" s="46">
        <v>22842.0</v>
      </c>
    </row>
    <row r="520">
      <c r="A520" s="45">
        <v>13269.0</v>
      </c>
      <c r="B520" s="45" t="s">
        <v>2314</v>
      </c>
      <c r="C520" s="45" t="s">
        <v>2310</v>
      </c>
      <c r="D520" s="46">
        <v>7758.0</v>
      </c>
      <c r="E520" s="46">
        <v>7816.0</v>
      </c>
    </row>
    <row r="521">
      <c r="A521" s="45">
        <v>13271.0</v>
      </c>
      <c r="B521" s="45" t="s">
        <v>2314</v>
      </c>
      <c r="C521" s="45" t="s">
        <v>2403</v>
      </c>
      <c r="D521" s="46">
        <v>10920.0</v>
      </c>
      <c r="E521" s="46">
        <v>12477.0</v>
      </c>
    </row>
    <row r="522">
      <c r="A522" s="45">
        <v>13273.0</v>
      </c>
      <c r="B522" s="45" t="s">
        <v>2314</v>
      </c>
      <c r="C522" s="45" t="s">
        <v>2404</v>
      </c>
      <c r="D522" s="46">
        <v>8718.0</v>
      </c>
      <c r="E522" s="46">
        <v>9185.0</v>
      </c>
    </row>
    <row r="523">
      <c r="A523" s="45">
        <v>13275.0</v>
      </c>
      <c r="B523" s="45" t="s">
        <v>2314</v>
      </c>
      <c r="C523" s="45" t="s">
        <v>2405</v>
      </c>
      <c r="D523" s="46">
        <v>45649.0</v>
      </c>
      <c r="E523" s="46">
        <v>45798.0</v>
      </c>
    </row>
    <row r="524">
      <c r="A524" s="45">
        <v>13277.0</v>
      </c>
      <c r="B524" s="45" t="s">
        <v>2314</v>
      </c>
      <c r="C524" s="45" t="s">
        <v>2406</v>
      </c>
      <c r="D524" s="46">
        <v>41554.0</v>
      </c>
      <c r="E524" s="46">
        <v>41344.0</v>
      </c>
    </row>
    <row r="525">
      <c r="A525" s="45">
        <v>13279.0</v>
      </c>
      <c r="B525" s="45" t="s">
        <v>2314</v>
      </c>
      <c r="C525" s="45" t="s">
        <v>2407</v>
      </c>
      <c r="D525" s="46">
        <v>27040.0</v>
      </c>
      <c r="E525" s="46">
        <v>27030.0</v>
      </c>
    </row>
    <row r="526">
      <c r="A526" s="45">
        <v>13281.0</v>
      </c>
      <c r="B526" s="45" t="s">
        <v>2314</v>
      </c>
      <c r="C526" s="45" t="s">
        <v>2408</v>
      </c>
      <c r="D526" s="46">
        <v>13035.0</v>
      </c>
      <c r="E526" s="46">
        <v>12493.0</v>
      </c>
    </row>
    <row r="527">
      <c r="A527" s="45">
        <v>13283.0</v>
      </c>
      <c r="B527" s="45" t="s">
        <v>2314</v>
      </c>
      <c r="C527" s="45" t="s">
        <v>2409</v>
      </c>
      <c r="D527" s="46">
        <v>6341.0</v>
      </c>
      <c r="E527" s="46">
        <v>6406.0</v>
      </c>
    </row>
    <row r="528">
      <c r="A528" s="45">
        <v>13285.0</v>
      </c>
      <c r="B528" s="45" t="s">
        <v>2314</v>
      </c>
      <c r="C528" s="45" t="s">
        <v>2410</v>
      </c>
      <c r="D528" s="46">
        <v>70742.0</v>
      </c>
      <c r="E528" s="46">
        <v>69426.0</v>
      </c>
    </row>
    <row r="529">
      <c r="A529" s="45">
        <v>13287.0</v>
      </c>
      <c r="B529" s="45" t="s">
        <v>2314</v>
      </c>
      <c r="C529" s="45" t="s">
        <v>2411</v>
      </c>
      <c r="D529" s="46">
        <v>8909.0</v>
      </c>
      <c r="E529" s="46">
        <v>9006.0</v>
      </c>
    </row>
    <row r="530">
      <c r="A530" s="45">
        <v>13289.0</v>
      </c>
      <c r="B530" s="45" t="s">
        <v>2314</v>
      </c>
      <c r="C530" s="45" t="s">
        <v>2412</v>
      </c>
      <c r="D530" s="46">
        <v>7691.0</v>
      </c>
      <c r="E530" s="46">
        <v>8022.0</v>
      </c>
    </row>
    <row r="531">
      <c r="A531" s="45">
        <v>13291.0</v>
      </c>
      <c r="B531" s="45" t="s">
        <v>2314</v>
      </c>
      <c r="C531" s="45" t="s">
        <v>2132</v>
      </c>
      <c r="D531" s="46">
        <v>27124.0</v>
      </c>
      <c r="E531" s="46">
        <v>24632.0</v>
      </c>
    </row>
    <row r="532">
      <c r="A532" s="45">
        <v>13293.0</v>
      </c>
      <c r="B532" s="45" t="s">
        <v>2314</v>
      </c>
      <c r="C532" s="45" t="s">
        <v>2413</v>
      </c>
      <c r="D532" s="46">
        <v>28263.0</v>
      </c>
      <c r="E532" s="46">
        <v>27700.0</v>
      </c>
    </row>
    <row r="533">
      <c r="A533" s="45">
        <v>13295.0</v>
      </c>
      <c r="B533" s="45" t="s">
        <v>2314</v>
      </c>
      <c r="C533" s="45" t="s">
        <v>2058</v>
      </c>
      <c r="D533" s="46">
        <v>69489.0</v>
      </c>
      <c r="E533" s="46">
        <v>67654.0</v>
      </c>
    </row>
    <row r="534">
      <c r="A534" s="45">
        <v>13297.0</v>
      </c>
      <c r="B534" s="45" t="s">
        <v>2314</v>
      </c>
      <c r="C534" s="45" t="s">
        <v>2313</v>
      </c>
      <c r="D534" s="46">
        <v>106702.0</v>
      </c>
      <c r="E534" s="46">
        <v>96673.0</v>
      </c>
    </row>
    <row r="535">
      <c r="A535" s="45">
        <v>13299.0</v>
      </c>
      <c r="B535" s="45" t="s">
        <v>2314</v>
      </c>
      <c r="C535" s="45" t="s">
        <v>2414</v>
      </c>
      <c r="D535" s="46">
        <v>36243.0</v>
      </c>
      <c r="E535" s="46">
        <v>36251.0</v>
      </c>
    </row>
    <row r="536">
      <c r="A536" s="45">
        <v>13301.0</v>
      </c>
      <c r="B536" s="45" t="s">
        <v>2314</v>
      </c>
      <c r="C536" s="45" t="s">
        <v>2415</v>
      </c>
      <c r="D536" s="46">
        <v>5106.0</v>
      </c>
      <c r="E536" s="46">
        <v>5215.0</v>
      </c>
    </row>
    <row r="537">
      <c r="A537" s="45">
        <v>13303.0</v>
      </c>
      <c r="B537" s="45" t="s">
        <v>2314</v>
      </c>
      <c r="C537" s="45" t="s">
        <v>2059</v>
      </c>
      <c r="D537" s="46">
        <v>19820.0</v>
      </c>
      <c r="E537" s="46">
        <v>19988.0</v>
      </c>
    </row>
    <row r="538">
      <c r="A538" s="45">
        <v>13305.0</v>
      </c>
      <c r="B538" s="45" t="s">
        <v>2314</v>
      </c>
      <c r="C538" s="45" t="s">
        <v>2416</v>
      </c>
      <c r="D538" s="46">
        <v>31373.0</v>
      </c>
      <c r="E538" s="46">
        <v>30144.0</v>
      </c>
    </row>
    <row r="539">
      <c r="A539" s="45">
        <v>13307.0</v>
      </c>
      <c r="B539" s="45" t="s">
        <v>2314</v>
      </c>
      <c r="C539" s="45" t="s">
        <v>2417</v>
      </c>
      <c r="D539" s="46">
        <v>2337.0</v>
      </c>
      <c r="E539" s="46">
        <v>2348.0</v>
      </c>
    </row>
    <row r="540">
      <c r="A540" s="45">
        <v>13309.0</v>
      </c>
      <c r="B540" s="45" t="s">
        <v>2314</v>
      </c>
      <c r="C540" s="45" t="s">
        <v>2418</v>
      </c>
      <c r="D540" s="46">
        <v>7081.0</v>
      </c>
      <c r="E540" s="46">
        <v>7471.0</v>
      </c>
    </row>
    <row r="541">
      <c r="A541" s="45">
        <v>13311.0</v>
      </c>
      <c r="B541" s="45" t="s">
        <v>2314</v>
      </c>
      <c r="C541" s="45" t="s">
        <v>2134</v>
      </c>
      <c r="D541" s="46">
        <v>29026.0</v>
      </c>
      <c r="E541" s="46">
        <v>28003.0</v>
      </c>
    </row>
    <row r="542">
      <c r="A542" s="45">
        <v>13313.0</v>
      </c>
      <c r="B542" s="45" t="s">
        <v>2314</v>
      </c>
      <c r="C542" s="45" t="s">
        <v>2419</v>
      </c>
      <c r="D542" s="46">
        <v>103687.0</v>
      </c>
      <c r="E542" s="46">
        <v>102864.0</v>
      </c>
    </row>
    <row r="543">
      <c r="A543" s="45">
        <v>13315.0</v>
      </c>
      <c r="B543" s="45" t="s">
        <v>2314</v>
      </c>
      <c r="C543" s="45" t="s">
        <v>2060</v>
      </c>
      <c r="D543" s="46">
        <v>8779.0</v>
      </c>
      <c r="E543" s="46">
        <v>8766.0</v>
      </c>
    </row>
    <row r="544">
      <c r="A544" s="45">
        <v>13317.0</v>
      </c>
      <c r="B544" s="45" t="s">
        <v>2314</v>
      </c>
      <c r="C544" s="45" t="s">
        <v>2420</v>
      </c>
      <c r="D544" s="46">
        <v>9518.0</v>
      </c>
      <c r="E544" s="46">
        <v>9565.0</v>
      </c>
    </row>
    <row r="545">
      <c r="A545" s="45">
        <v>13319.0</v>
      </c>
      <c r="B545" s="45" t="s">
        <v>2314</v>
      </c>
      <c r="C545" s="45" t="s">
        <v>2421</v>
      </c>
      <c r="D545" s="46">
        <v>8725.0</v>
      </c>
      <c r="E545" s="46">
        <v>8877.0</v>
      </c>
    </row>
    <row r="546">
      <c r="A546" s="45">
        <v>13321.0</v>
      </c>
      <c r="B546" s="45" t="s">
        <v>2314</v>
      </c>
      <c r="C546" s="45" t="s">
        <v>2422</v>
      </c>
      <c r="D546" s="46">
        <v>20273.0</v>
      </c>
      <c r="E546" s="46">
        <v>20784.0</v>
      </c>
    </row>
    <row r="547">
      <c r="A547" s="45">
        <v>15001.0</v>
      </c>
      <c r="B547" s="45" t="s">
        <v>2423</v>
      </c>
      <c r="C547" s="45" t="s">
        <v>569</v>
      </c>
      <c r="D547" s="46">
        <v>207615.0</v>
      </c>
      <c r="E547" s="46">
        <v>200629.0</v>
      </c>
    </row>
    <row r="548">
      <c r="A548" s="45">
        <v>15003.0</v>
      </c>
      <c r="B548" s="45" t="s">
        <v>2423</v>
      </c>
      <c r="C548" s="45" t="s">
        <v>571</v>
      </c>
      <c r="D548" s="46">
        <v>989408.0</v>
      </c>
      <c r="E548" s="46">
        <v>1016508.0</v>
      </c>
    </row>
    <row r="549">
      <c r="A549" s="45">
        <v>15005.0</v>
      </c>
      <c r="B549" s="45" t="s">
        <v>2423</v>
      </c>
      <c r="C549" s="45" t="s">
        <v>572</v>
      </c>
      <c r="D549" s="45">
        <v>81.0</v>
      </c>
      <c r="E549" s="45">
        <v>82.0</v>
      </c>
    </row>
    <row r="550">
      <c r="A550" s="45">
        <v>15007.0</v>
      </c>
      <c r="B550" s="45" t="s">
        <v>2423</v>
      </c>
      <c r="C550" s="45" t="s">
        <v>573</v>
      </c>
      <c r="D550" s="46">
        <v>73851.0</v>
      </c>
      <c r="E550" s="46">
        <v>73298.0</v>
      </c>
    </row>
    <row r="551">
      <c r="A551" s="45">
        <v>15009.0</v>
      </c>
      <c r="B551" s="45" t="s">
        <v>2423</v>
      </c>
      <c r="C551" s="45" t="s">
        <v>574</v>
      </c>
      <c r="D551" s="46">
        <v>164183.0</v>
      </c>
      <c r="E551" s="46">
        <v>164754.0</v>
      </c>
    </row>
    <row r="552">
      <c r="A552" s="45">
        <v>16001.0</v>
      </c>
      <c r="B552" s="45" t="s">
        <v>2424</v>
      </c>
      <c r="C552" s="45" t="s">
        <v>2425</v>
      </c>
      <c r="D552" s="46">
        <v>524673.0</v>
      </c>
      <c r="E552" s="46">
        <v>494967.0</v>
      </c>
    </row>
    <row r="553">
      <c r="A553" s="45">
        <v>16003.0</v>
      </c>
      <c r="B553" s="45" t="s">
        <v>2424</v>
      </c>
      <c r="C553" s="45" t="s">
        <v>2195</v>
      </c>
      <c r="D553" s="46">
        <v>4903.0</v>
      </c>
      <c r="E553" s="46">
        <v>4379.0</v>
      </c>
    </row>
    <row r="554">
      <c r="A554" s="45">
        <v>16005.0</v>
      </c>
      <c r="B554" s="45" t="s">
        <v>2424</v>
      </c>
      <c r="C554" s="45" t="s">
        <v>2426</v>
      </c>
      <c r="D554" s="46">
        <v>90400.0</v>
      </c>
      <c r="E554" s="46">
        <v>87018.0</v>
      </c>
    </row>
    <row r="555">
      <c r="A555" s="45">
        <v>16007.0</v>
      </c>
      <c r="B555" s="45" t="s">
        <v>2424</v>
      </c>
      <c r="C555" s="45" t="s">
        <v>2427</v>
      </c>
      <c r="D555" s="46">
        <v>6766.0</v>
      </c>
      <c r="E555" s="46">
        <v>6372.0</v>
      </c>
    </row>
    <row r="556">
      <c r="A556" s="45">
        <v>16009.0</v>
      </c>
      <c r="B556" s="45" t="s">
        <v>2424</v>
      </c>
      <c r="C556" s="45" t="s">
        <v>2428</v>
      </c>
      <c r="D556" s="46">
        <v>10369.0</v>
      </c>
      <c r="E556" s="46">
        <v>9530.0</v>
      </c>
    </row>
    <row r="557">
      <c r="A557" s="45">
        <v>16011.0</v>
      </c>
      <c r="B557" s="45" t="s">
        <v>2424</v>
      </c>
      <c r="C557" s="45" t="s">
        <v>2429</v>
      </c>
      <c r="D557" s="46">
        <v>50395.0</v>
      </c>
      <c r="E557" s="46">
        <v>47992.0</v>
      </c>
    </row>
    <row r="558">
      <c r="A558" s="45">
        <v>16013.0</v>
      </c>
      <c r="B558" s="45" t="s">
        <v>2424</v>
      </c>
      <c r="C558" s="45" t="s">
        <v>2430</v>
      </c>
      <c r="D558" s="46">
        <v>25041.0</v>
      </c>
      <c r="E558" s="46">
        <v>24272.0</v>
      </c>
    </row>
    <row r="559">
      <c r="A559" s="45">
        <v>16015.0</v>
      </c>
      <c r="B559" s="45" t="s">
        <v>2424</v>
      </c>
      <c r="C559" s="45" t="s">
        <v>2431</v>
      </c>
      <c r="D559" s="46">
        <v>8517.0</v>
      </c>
      <c r="E559" s="46">
        <v>7610.0</v>
      </c>
    </row>
    <row r="560">
      <c r="A560" s="45">
        <v>16017.0</v>
      </c>
      <c r="B560" s="45" t="s">
        <v>2424</v>
      </c>
      <c r="C560" s="45" t="s">
        <v>2432</v>
      </c>
      <c r="D560" s="46">
        <v>52547.0</v>
      </c>
      <c r="E560" s="46">
        <v>47110.0</v>
      </c>
    </row>
    <row r="561">
      <c r="A561" s="45">
        <v>16019.0</v>
      </c>
      <c r="B561" s="45" t="s">
        <v>2424</v>
      </c>
      <c r="C561" s="45" t="s">
        <v>2433</v>
      </c>
      <c r="D561" s="46">
        <v>131366.0</v>
      </c>
      <c r="E561" s="46">
        <v>123964.0</v>
      </c>
    </row>
    <row r="562">
      <c r="A562" s="45">
        <v>16021.0</v>
      </c>
      <c r="B562" s="45" t="s">
        <v>2424</v>
      </c>
      <c r="C562" s="45" t="s">
        <v>2434</v>
      </c>
      <c r="D562" s="46">
        <v>13557.0</v>
      </c>
      <c r="E562" s="46">
        <v>12056.0</v>
      </c>
    </row>
    <row r="563">
      <c r="A563" s="45">
        <v>16023.0</v>
      </c>
      <c r="B563" s="45" t="s">
        <v>2424</v>
      </c>
      <c r="C563" s="45" t="s">
        <v>2141</v>
      </c>
      <c r="D563" s="46">
        <v>2758.0</v>
      </c>
      <c r="E563" s="46">
        <v>2574.0</v>
      </c>
    </row>
    <row r="564">
      <c r="A564" s="45">
        <v>16025.0</v>
      </c>
      <c r="B564" s="45" t="s">
        <v>2424</v>
      </c>
      <c r="C564" s="45" t="s">
        <v>2435</v>
      </c>
      <c r="D564" s="46">
        <v>1232.0</v>
      </c>
      <c r="E564" s="46">
        <v>1077.0</v>
      </c>
    </row>
    <row r="565">
      <c r="A565" s="45">
        <v>16027.0</v>
      </c>
      <c r="B565" s="45" t="s">
        <v>2424</v>
      </c>
      <c r="C565" s="45" t="s">
        <v>2436</v>
      </c>
      <c r="D565" s="46">
        <v>257674.0</v>
      </c>
      <c r="E565" s="46">
        <v>231105.0</v>
      </c>
    </row>
    <row r="566">
      <c r="A566" s="45">
        <v>16029.0</v>
      </c>
      <c r="B566" s="45" t="s">
        <v>2424</v>
      </c>
      <c r="C566" s="45" t="s">
        <v>2437</v>
      </c>
      <c r="D566" s="46">
        <v>7219.0</v>
      </c>
      <c r="E566" s="46">
        <v>7027.0</v>
      </c>
    </row>
    <row r="567">
      <c r="A567" s="45">
        <v>16031.0</v>
      </c>
      <c r="B567" s="45" t="s">
        <v>2424</v>
      </c>
      <c r="C567" s="45" t="s">
        <v>2438</v>
      </c>
      <c r="D567" s="46">
        <v>25696.0</v>
      </c>
      <c r="E567" s="46">
        <v>24655.0</v>
      </c>
    </row>
    <row r="568">
      <c r="A568" s="45">
        <v>16033.0</v>
      </c>
      <c r="B568" s="45" t="s">
        <v>2424</v>
      </c>
      <c r="C568" s="45" t="s">
        <v>2088</v>
      </c>
      <c r="D568" s="45">
        <v>801.0</v>
      </c>
      <c r="E568" s="45">
        <v>790.0</v>
      </c>
    </row>
    <row r="569">
      <c r="A569" s="45">
        <v>16035.0</v>
      </c>
      <c r="B569" s="45" t="s">
        <v>2424</v>
      </c>
      <c r="C569" s="45" t="s">
        <v>2439</v>
      </c>
      <c r="D569" s="46">
        <v>9214.0</v>
      </c>
      <c r="E569" s="46">
        <v>8734.0</v>
      </c>
    </row>
    <row r="570">
      <c r="A570" s="45">
        <v>16037.0</v>
      </c>
      <c r="B570" s="45" t="s">
        <v>2424</v>
      </c>
      <c r="C570" s="45" t="s">
        <v>2209</v>
      </c>
      <c r="D570" s="46">
        <v>4523.0</v>
      </c>
      <c r="E570" s="46">
        <v>4275.0</v>
      </c>
    </row>
    <row r="571">
      <c r="A571" s="45">
        <v>16039.0</v>
      </c>
      <c r="B571" s="45" t="s">
        <v>2424</v>
      </c>
      <c r="C571" s="45" t="s">
        <v>2020</v>
      </c>
      <c r="D571" s="46">
        <v>29724.0</v>
      </c>
      <c r="E571" s="46">
        <v>28666.0</v>
      </c>
    </row>
    <row r="572">
      <c r="A572" s="45">
        <v>16041.0</v>
      </c>
      <c r="B572" s="45" t="s">
        <v>2424</v>
      </c>
      <c r="C572" s="45" t="s">
        <v>2024</v>
      </c>
      <c r="D572" s="46">
        <v>15494.0</v>
      </c>
      <c r="E572" s="46">
        <v>14194.0</v>
      </c>
    </row>
    <row r="573">
      <c r="A573" s="45">
        <v>16043.0</v>
      </c>
      <c r="B573" s="45" t="s">
        <v>2424</v>
      </c>
      <c r="C573" s="45" t="s">
        <v>2217</v>
      </c>
      <c r="D573" s="46">
        <v>14196.0</v>
      </c>
      <c r="E573" s="46">
        <v>13388.0</v>
      </c>
    </row>
    <row r="574">
      <c r="A574" s="45">
        <v>16045.0</v>
      </c>
      <c r="B574" s="45" t="s">
        <v>2424</v>
      </c>
      <c r="C574" s="45" t="s">
        <v>2440</v>
      </c>
      <c r="D574" s="46">
        <v>21071.0</v>
      </c>
      <c r="E574" s="46">
        <v>19123.0</v>
      </c>
    </row>
    <row r="575">
      <c r="A575" s="45">
        <v>16047.0</v>
      </c>
      <c r="B575" s="45" t="s">
        <v>2424</v>
      </c>
      <c r="C575" s="45" t="s">
        <v>2441</v>
      </c>
      <c r="D575" s="46">
        <v>16061.0</v>
      </c>
      <c r="E575" s="46">
        <v>15598.0</v>
      </c>
    </row>
    <row r="576">
      <c r="A576" s="45">
        <v>16049.0</v>
      </c>
      <c r="B576" s="45" t="s">
        <v>2424</v>
      </c>
      <c r="C576" s="45" t="s">
        <v>2442</v>
      </c>
      <c r="D576" s="46">
        <v>17890.0</v>
      </c>
      <c r="E576" s="46">
        <v>16541.0</v>
      </c>
    </row>
    <row r="577">
      <c r="A577" s="45">
        <v>16051.0</v>
      </c>
      <c r="B577" s="45" t="s">
        <v>2424</v>
      </c>
      <c r="C577" s="45" t="s">
        <v>2031</v>
      </c>
      <c r="D577" s="46">
        <v>34198.0</v>
      </c>
      <c r="E577" s="46">
        <v>30891.0</v>
      </c>
    </row>
    <row r="578">
      <c r="A578" s="45">
        <v>16053.0</v>
      </c>
      <c r="B578" s="45" t="s">
        <v>2424</v>
      </c>
      <c r="C578" s="45" t="s">
        <v>2443</v>
      </c>
      <c r="D578" s="46">
        <v>25479.0</v>
      </c>
      <c r="E578" s="46">
        <v>24237.0</v>
      </c>
    </row>
    <row r="579">
      <c r="A579" s="45">
        <v>16055.0</v>
      </c>
      <c r="B579" s="45" t="s">
        <v>2424</v>
      </c>
      <c r="C579" s="45" t="s">
        <v>2444</v>
      </c>
      <c r="D579" s="46">
        <v>185010.0</v>
      </c>
      <c r="E579" s="46">
        <v>171362.0</v>
      </c>
    </row>
    <row r="580">
      <c r="A580" s="45">
        <v>16057.0</v>
      </c>
      <c r="B580" s="45" t="s">
        <v>2424</v>
      </c>
      <c r="C580" s="45" t="s">
        <v>2445</v>
      </c>
      <c r="D580" s="46">
        <v>41301.0</v>
      </c>
      <c r="E580" s="46">
        <v>39517.0</v>
      </c>
    </row>
    <row r="581">
      <c r="A581" s="45">
        <v>16059.0</v>
      </c>
      <c r="B581" s="45" t="s">
        <v>2424</v>
      </c>
      <c r="C581" s="45" t="s">
        <v>2446</v>
      </c>
      <c r="D581" s="46">
        <v>8441.0</v>
      </c>
      <c r="E581" s="46">
        <v>7974.0</v>
      </c>
    </row>
    <row r="582">
      <c r="A582" s="45">
        <v>16061.0</v>
      </c>
      <c r="B582" s="45" t="s">
        <v>2424</v>
      </c>
      <c r="C582" s="45" t="s">
        <v>2447</v>
      </c>
      <c r="D582" s="46">
        <v>3739.0</v>
      </c>
      <c r="E582" s="46">
        <v>3533.0</v>
      </c>
    </row>
    <row r="583">
      <c r="A583" s="45">
        <v>16063.0</v>
      </c>
      <c r="B583" s="45" t="s">
        <v>2424</v>
      </c>
      <c r="C583" s="45" t="s">
        <v>2109</v>
      </c>
      <c r="D583" s="46">
        <v>5450.0</v>
      </c>
      <c r="E583" s="46">
        <v>5127.0</v>
      </c>
    </row>
    <row r="584">
      <c r="A584" s="45">
        <v>16065.0</v>
      </c>
      <c r="B584" s="45" t="s">
        <v>2424</v>
      </c>
      <c r="C584" s="45" t="s">
        <v>2039</v>
      </c>
      <c r="D584" s="46">
        <v>54547.0</v>
      </c>
      <c r="E584" s="46">
        <v>52913.0</v>
      </c>
    </row>
    <row r="585">
      <c r="A585" s="45">
        <v>16067.0</v>
      </c>
      <c r="B585" s="45" t="s">
        <v>2424</v>
      </c>
      <c r="C585" s="45" t="s">
        <v>2448</v>
      </c>
      <c r="D585" s="46">
        <v>22480.0</v>
      </c>
      <c r="E585" s="46">
        <v>21613.0</v>
      </c>
    </row>
    <row r="586">
      <c r="A586" s="45">
        <v>16069.0</v>
      </c>
      <c r="B586" s="45" t="s">
        <v>2424</v>
      </c>
      <c r="C586" s="45" t="s">
        <v>2449</v>
      </c>
      <c r="D586" s="46">
        <v>42987.0</v>
      </c>
      <c r="E586" s="46">
        <v>42090.0</v>
      </c>
    </row>
    <row r="587">
      <c r="A587" s="45">
        <v>16071.0</v>
      </c>
      <c r="B587" s="45" t="s">
        <v>2424</v>
      </c>
      <c r="C587" s="45" t="s">
        <v>2450</v>
      </c>
      <c r="D587" s="46">
        <v>4953.0</v>
      </c>
      <c r="E587" s="46">
        <v>4564.0</v>
      </c>
    </row>
    <row r="588">
      <c r="A588" s="45">
        <v>16073.0</v>
      </c>
      <c r="B588" s="45" t="s">
        <v>2424</v>
      </c>
      <c r="C588" s="45" t="s">
        <v>2451</v>
      </c>
      <c r="D588" s="46">
        <v>12722.0</v>
      </c>
      <c r="E588" s="46">
        <v>11913.0</v>
      </c>
    </row>
    <row r="589">
      <c r="A589" s="45">
        <v>16075.0</v>
      </c>
      <c r="B589" s="45" t="s">
        <v>2424</v>
      </c>
      <c r="C589" s="45" t="s">
        <v>2452</v>
      </c>
      <c r="D589" s="46">
        <v>27279.0</v>
      </c>
      <c r="E589" s="46">
        <v>25386.0</v>
      </c>
    </row>
    <row r="590">
      <c r="A590" s="45">
        <v>16077.0</v>
      </c>
      <c r="B590" s="45" t="s">
        <v>2424</v>
      </c>
      <c r="C590" s="45" t="s">
        <v>2453</v>
      </c>
      <c r="D590" s="46">
        <v>8253.0</v>
      </c>
      <c r="E590" s="46">
        <v>7878.0</v>
      </c>
    </row>
    <row r="591">
      <c r="A591" s="45">
        <v>16079.0</v>
      </c>
      <c r="B591" s="45" t="s">
        <v>2424</v>
      </c>
      <c r="C591" s="45" t="s">
        <v>2454</v>
      </c>
      <c r="D591" s="46">
        <v>14026.0</v>
      </c>
      <c r="E591" s="46">
        <v>13169.0</v>
      </c>
    </row>
    <row r="592">
      <c r="A592" s="45">
        <v>16081.0</v>
      </c>
      <c r="B592" s="45" t="s">
        <v>2424</v>
      </c>
      <c r="C592" s="45" t="s">
        <v>2455</v>
      </c>
      <c r="D592" s="46">
        <v>12549.0</v>
      </c>
      <c r="E592" s="46">
        <v>11630.0</v>
      </c>
    </row>
    <row r="593">
      <c r="A593" s="45">
        <v>16083.0</v>
      </c>
      <c r="B593" s="45" t="s">
        <v>2424</v>
      </c>
      <c r="C593" s="45" t="s">
        <v>2456</v>
      </c>
      <c r="D593" s="46">
        <v>95156.0</v>
      </c>
      <c r="E593" s="46">
        <v>90046.0</v>
      </c>
    </row>
    <row r="594">
      <c r="A594" s="45">
        <v>16085.0</v>
      </c>
      <c r="B594" s="45" t="s">
        <v>2424</v>
      </c>
      <c r="C594" s="45" t="s">
        <v>2457</v>
      </c>
      <c r="D594" s="46">
        <v>12644.0</v>
      </c>
      <c r="E594" s="46">
        <v>11746.0</v>
      </c>
    </row>
    <row r="595">
      <c r="A595" s="45">
        <v>16087.0</v>
      </c>
      <c r="B595" s="45" t="s">
        <v>2424</v>
      </c>
      <c r="C595" s="45" t="s">
        <v>2059</v>
      </c>
      <c r="D595" s="46">
        <v>11425.0</v>
      </c>
      <c r="E595" s="46">
        <v>10500.0</v>
      </c>
    </row>
    <row r="596">
      <c r="A596" s="45">
        <v>17001.0</v>
      </c>
      <c r="B596" s="45" t="s">
        <v>2458</v>
      </c>
      <c r="C596" s="45" t="s">
        <v>2195</v>
      </c>
      <c r="D596" s="46">
        <v>64441.0</v>
      </c>
      <c r="E596" s="46">
        <v>65737.0</v>
      </c>
    </row>
    <row r="597">
      <c r="A597" s="45">
        <v>17003.0</v>
      </c>
      <c r="B597" s="45" t="s">
        <v>2458</v>
      </c>
      <c r="C597" s="45" t="s">
        <v>2459</v>
      </c>
      <c r="D597" s="46">
        <v>4695.0</v>
      </c>
      <c r="E597" s="46">
        <v>5240.0</v>
      </c>
    </row>
    <row r="598">
      <c r="A598" s="45">
        <v>17005.0</v>
      </c>
      <c r="B598" s="45" t="s">
        <v>2458</v>
      </c>
      <c r="C598" s="45" t="s">
        <v>2460</v>
      </c>
      <c r="D598" s="46">
        <v>16450.0</v>
      </c>
      <c r="E598" s="46">
        <v>16725.0</v>
      </c>
    </row>
    <row r="599">
      <c r="A599" s="45">
        <v>17007.0</v>
      </c>
      <c r="B599" s="45" t="s">
        <v>2458</v>
      </c>
      <c r="C599" s="45" t="s">
        <v>2084</v>
      </c>
      <c r="D599" s="46">
        <v>53202.0</v>
      </c>
      <c r="E599" s="46">
        <v>53448.0</v>
      </c>
    </row>
    <row r="600">
      <c r="A600" s="45">
        <v>17009.0</v>
      </c>
      <c r="B600" s="45" t="s">
        <v>2458</v>
      </c>
      <c r="C600" s="45" t="s">
        <v>2461</v>
      </c>
      <c r="D600" s="46">
        <v>6294.0</v>
      </c>
      <c r="E600" s="46">
        <v>6244.0</v>
      </c>
    </row>
    <row r="601">
      <c r="A601" s="45">
        <v>17011.0</v>
      </c>
      <c r="B601" s="45" t="s">
        <v>2458</v>
      </c>
      <c r="C601" s="45" t="s">
        <v>2462</v>
      </c>
      <c r="D601" s="46">
        <v>32729.0</v>
      </c>
      <c r="E601" s="46">
        <v>33244.0</v>
      </c>
    </row>
    <row r="602">
      <c r="A602" s="45">
        <v>17013.0</v>
      </c>
      <c r="B602" s="45" t="s">
        <v>2458</v>
      </c>
      <c r="C602" s="45" t="s">
        <v>2002</v>
      </c>
      <c r="D602" s="46">
        <v>4317.0</v>
      </c>
      <c r="E602" s="46">
        <v>4437.0</v>
      </c>
    </row>
    <row r="603">
      <c r="A603" s="45">
        <v>17015.0</v>
      </c>
      <c r="B603" s="45" t="s">
        <v>2458</v>
      </c>
      <c r="C603" s="45" t="s">
        <v>2086</v>
      </c>
      <c r="D603" s="46">
        <v>15526.0</v>
      </c>
      <c r="E603" s="46">
        <v>15702.0</v>
      </c>
    </row>
    <row r="604">
      <c r="A604" s="45">
        <v>17017.0</v>
      </c>
      <c r="B604" s="45" t="s">
        <v>2458</v>
      </c>
      <c r="C604" s="45" t="s">
        <v>2463</v>
      </c>
      <c r="D604" s="46">
        <v>12596.0</v>
      </c>
      <c r="E604" s="46">
        <v>13042.0</v>
      </c>
    </row>
    <row r="605">
      <c r="A605" s="45">
        <v>17019.0</v>
      </c>
      <c r="B605" s="45" t="s">
        <v>2458</v>
      </c>
      <c r="C605" s="45" t="s">
        <v>2464</v>
      </c>
      <c r="D605" s="46">
        <v>205644.0</v>
      </c>
      <c r="E605" s="46">
        <v>205865.0</v>
      </c>
    </row>
    <row r="606">
      <c r="A606" s="45">
        <v>17021.0</v>
      </c>
      <c r="B606" s="45" t="s">
        <v>2458</v>
      </c>
      <c r="C606" s="45" t="s">
        <v>2465</v>
      </c>
      <c r="D606" s="46">
        <v>33228.0</v>
      </c>
      <c r="E606" s="46">
        <v>34032.0</v>
      </c>
    </row>
    <row r="607">
      <c r="A607" s="45">
        <v>17023.0</v>
      </c>
      <c r="B607" s="45" t="s">
        <v>2458</v>
      </c>
      <c r="C607" s="45" t="s">
        <v>2088</v>
      </c>
      <c r="D607" s="46">
        <v>15088.0</v>
      </c>
      <c r="E607" s="46">
        <v>15455.0</v>
      </c>
    </row>
    <row r="608">
      <c r="A608" s="45">
        <v>17025.0</v>
      </c>
      <c r="B608" s="45" t="s">
        <v>2458</v>
      </c>
      <c r="C608" s="45" t="s">
        <v>2008</v>
      </c>
      <c r="D608" s="46">
        <v>12999.0</v>
      </c>
      <c r="E608" s="46">
        <v>13288.0</v>
      </c>
    </row>
    <row r="609">
      <c r="A609" s="45">
        <v>17027.0</v>
      </c>
      <c r="B609" s="45" t="s">
        <v>2458</v>
      </c>
      <c r="C609" s="45" t="s">
        <v>2466</v>
      </c>
      <c r="D609" s="46">
        <v>36785.0</v>
      </c>
      <c r="E609" s="46">
        <v>36899.0</v>
      </c>
    </row>
    <row r="610">
      <c r="A610" s="45">
        <v>17029.0</v>
      </c>
      <c r="B610" s="45" t="s">
        <v>2458</v>
      </c>
      <c r="C610" s="45" t="s">
        <v>2467</v>
      </c>
      <c r="D610" s="46">
        <v>46060.0</v>
      </c>
      <c r="E610" s="46">
        <v>46863.0</v>
      </c>
    </row>
    <row r="611">
      <c r="A611" s="45">
        <v>17031.0</v>
      </c>
      <c r="B611" s="45" t="s">
        <v>2458</v>
      </c>
      <c r="C611" s="45" t="s">
        <v>2341</v>
      </c>
      <c r="D611" s="46">
        <v>5087072.0</v>
      </c>
      <c r="E611" s="46">
        <v>5275541.0</v>
      </c>
    </row>
    <row r="612">
      <c r="A612" s="45">
        <v>17033.0</v>
      </c>
      <c r="B612" s="45" t="s">
        <v>2458</v>
      </c>
      <c r="C612" s="45" t="s">
        <v>2093</v>
      </c>
      <c r="D612" s="46">
        <v>18300.0</v>
      </c>
      <c r="E612" s="46">
        <v>18679.0</v>
      </c>
    </row>
    <row r="613">
      <c r="A613" s="45">
        <v>17035.0</v>
      </c>
      <c r="B613" s="45" t="s">
        <v>2458</v>
      </c>
      <c r="C613" s="45" t="s">
        <v>2468</v>
      </c>
      <c r="D613" s="46">
        <v>10261.0</v>
      </c>
      <c r="E613" s="46">
        <v>10450.0</v>
      </c>
    </row>
    <row r="614">
      <c r="A614" s="45">
        <v>17037.0</v>
      </c>
      <c r="B614" s="45" t="s">
        <v>2458</v>
      </c>
      <c r="C614" s="45" t="s">
        <v>2019</v>
      </c>
      <c r="D614" s="46">
        <v>100288.0</v>
      </c>
      <c r="E614" s="46">
        <v>100420.0</v>
      </c>
    </row>
    <row r="615">
      <c r="A615" s="45">
        <v>17039.0</v>
      </c>
      <c r="B615" s="45" t="s">
        <v>2458</v>
      </c>
      <c r="C615" s="45" t="s">
        <v>2469</v>
      </c>
      <c r="D615" s="46">
        <v>15365.0</v>
      </c>
      <c r="E615" s="46">
        <v>15516.0</v>
      </c>
    </row>
    <row r="616">
      <c r="A616" s="45">
        <v>17041.0</v>
      </c>
      <c r="B616" s="45" t="s">
        <v>2458</v>
      </c>
      <c r="C616" s="45" t="s">
        <v>2213</v>
      </c>
      <c r="D616" s="46">
        <v>19629.0</v>
      </c>
      <c r="E616" s="46">
        <v>19740.0</v>
      </c>
    </row>
    <row r="617">
      <c r="A617" s="45">
        <v>17043.0</v>
      </c>
      <c r="B617" s="45" t="s">
        <v>2458</v>
      </c>
      <c r="C617" s="45" t="s">
        <v>2470</v>
      </c>
      <c r="D617" s="46">
        <v>921213.0</v>
      </c>
      <c r="E617" s="46">
        <v>932877.0</v>
      </c>
    </row>
    <row r="618">
      <c r="A618" s="45">
        <v>17045.0</v>
      </c>
      <c r="B618" s="45" t="s">
        <v>2458</v>
      </c>
      <c r="C618" s="45" t="s">
        <v>2471</v>
      </c>
      <c r="D618" s="46">
        <v>16334.0</v>
      </c>
      <c r="E618" s="46">
        <v>16866.0</v>
      </c>
    </row>
    <row r="619">
      <c r="A619" s="45">
        <v>17047.0</v>
      </c>
      <c r="B619" s="45" t="s">
        <v>2458</v>
      </c>
      <c r="C619" s="45" t="s">
        <v>2472</v>
      </c>
      <c r="D619" s="46">
        <v>5968.0</v>
      </c>
      <c r="E619" s="46">
        <v>6245.0</v>
      </c>
    </row>
    <row r="620">
      <c r="A620" s="45">
        <v>17049.0</v>
      </c>
      <c r="B620" s="45" t="s">
        <v>2458</v>
      </c>
      <c r="C620" s="45" t="s">
        <v>2352</v>
      </c>
      <c r="D620" s="46">
        <v>34331.0</v>
      </c>
      <c r="E620" s="46">
        <v>34668.0</v>
      </c>
    </row>
    <row r="621">
      <c r="A621" s="45">
        <v>17051.0</v>
      </c>
      <c r="B621" s="45" t="s">
        <v>2458</v>
      </c>
      <c r="C621" s="45" t="s">
        <v>2023</v>
      </c>
      <c r="D621" s="46">
        <v>21164.0</v>
      </c>
      <c r="E621" s="46">
        <v>21488.0</v>
      </c>
    </row>
    <row r="622">
      <c r="A622" s="45">
        <v>17053.0</v>
      </c>
      <c r="B622" s="45" t="s">
        <v>2458</v>
      </c>
      <c r="C622" s="45" t="s">
        <v>2473</v>
      </c>
      <c r="D622" s="46">
        <v>13250.0</v>
      </c>
      <c r="E622" s="46">
        <v>13534.0</v>
      </c>
    </row>
    <row r="623">
      <c r="A623" s="45">
        <v>17055.0</v>
      </c>
      <c r="B623" s="45" t="s">
        <v>2458</v>
      </c>
      <c r="C623" s="45" t="s">
        <v>2024</v>
      </c>
      <c r="D623" s="46">
        <v>37138.0</v>
      </c>
      <c r="E623" s="46">
        <v>37804.0</v>
      </c>
    </row>
    <row r="624">
      <c r="A624" s="45">
        <v>17057.0</v>
      </c>
      <c r="B624" s="45" t="s">
        <v>2458</v>
      </c>
      <c r="C624" s="45" t="s">
        <v>2099</v>
      </c>
      <c r="D624" s="46">
        <v>32541.0</v>
      </c>
      <c r="E624" s="46">
        <v>33609.0</v>
      </c>
    </row>
    <row r="625">
      <c r="A625" s="45">
        <v>17059.0</v>
      </c>
      <c r="B625" s="45" t="s">
        <v>2458</v>
      </c>
      <c r="C625" s="45" t="s">
        <v>2474</v>
      </c>
      <c r="D625" s="46">
        <v>4670.0</v>
      </c>
      <c r="E625" s="46">
        <v>4946.0</v>
      </c>
    </row>
    <row r="626">
      <c r="A626" s="45">
        <v>17061.0</v>
      </c>
      <c r="B626" s="45" t="s">
        <v>2458</v>
      </c>
      <c r="C626" s="45" t="s">
        <v>2026</v>
      </c>
      <c r="D626" s="46">
        <v>11543.0</v>
      </c>
      <c r="E626" s="46">
        <v>11985.0</v>
      </c>
    </row>
    <row r="627">
      <c r="A627" s="45">
        <v>17063.0</v>
      </c>
      <c r="B627" s="45" t="s">
        <v>2458</v>
      </c>
      <c r="C627" s="45" t="s">
        <v>2475</v>
      </c>
      <c r="D627" s="46">
        <v>53578.0</v>
      </c>
      <c r="E627" s="46">
        <v>52533.0</v>
      </c>
    </row>
    <row r="628">
      <c r="A628" s="45">
        <v>17065.0</v>
      </c>
      <c r="B628" s="45" t="s">
        <v>2458</v>
      </c>
      <c r="C628" s="45" t="s">
        <v>2282</v>
      </c>
      <c r="D628" s="46">
        <v>7911.0</v>
      </c>
      <c r="E628" s="46">
        <v>7993.0</v>
      </c>
    </row>
    <row r="629">
      <c r="A629" s="45">
        <v>17067.0</v>
      </c>
      <c r="B629" s="45" t="s">
        <v>2458</v>
      </c>
      <c r="C629" s="45" t="s">
        <v>2366</v>
      </c>
      <c r="D629" s="46">
        <v>17186.0</v>
      </c>
      <c r="E629" s="46">
        <v>17620.0</v>
      </c>
    </row>
    <row r="630">
      <c r="A630" s="45">
        <v>17069.0</v>
      </c>
      <c r="B630" s="45" t="s">
        <v>2458</v>
      </c>
      <c r="C630" s="45" t="s">
        <v>2476</v>
      </c>
      <c r="D630" s="46">
        <v>3569.0</v>
      </c>
      <c r="E630" s="46">
        <v>3649.0</v>
      </c>
    </row>
    <row r="631">
      <c r="A631" s="45">
        <v>17071.0</v>
      </c>
      <c r="B631" s="45" t="s">
        <v>2458</v>
      </c>
      <c r="C631" s="45" t="s">
        <v>2477</v>
      </c>
      <c r="D631" s="46">
        <v>6088.0</v>
      </c>
      <c r="E631" s="46">
        <v>6387.0</v>
      </c>
    </row>
    <row r="632">
      <c r="A632" s="45">
        <v>17073.0</v>
      </c>
      <c r="B632" s="45" t="s">
        <v>2458</v>
      </c>
      <c r="C632" s="45" t="s">
        <v>2028</v>
      </c>
      <c r="D632" s="46">
        <v>48448.0</v>
      </c>
      <c r="E632" s="46">
        <v>49284.0</v>
      </c>
    </row>
    <row r="633">
      <c r="A633" s="45">
        <v>17075.0</v>
      </c>
      <c r="B633" s="45" t="s">
        <v>2458</v>
      </c>
      <c r="C633" s="45" t="s">
        <v>2478</v>
      </c>
      <c r="D633" s="46">
        <v>26136.0</v>
      </c>
      <c r="E633" s="46">
        <v>27077.0</v>
      </c>
    </row>
    <row r="634">
      <c r="A634" s="45">
        <v>17077.0</v>
      </c>
      <c r="B634" s="45" t="s">
        <v>2458</v>
      </c>
      <c r="C634" s="45" t="s">
        <v>2030</v>
      </c>
      <c r="D634" s="46">
        <v>52141.0</v>
      </c>
      <c r="E634" s="46">
        <v>52974.0</v>
      </c>
    </row>
    <row r="635">
      <c r="A635" s="45">
        <v>17079.0</v>
      </c>
      <c r="B635" s="45" t="s">
        <v>2458</v>
      </c>
      <c r="C635" s="45" t="s">
        <v>2372</v>
      </c>
      <c r="D635" s="46">
        <v>9144.0</v>
      </c>
      <c r="E635" s="46">
        <v>9287.0</v>
      </c>
    </row>
    <row r="636">
      <c r="A636" s="45">
        <v>17081.0</v>
      </c>
      <c r="B636" s="45" t="s">
        <v>2458</v>
      </c>
      <c r="C636" s="45" t="s">
        <v>2031</v>
      </c>
      <c r="D636" s="46">
        <v>36320.0</v>
      </c>
      <c r="E636" s="46">
        <v>37113.0</v>
      </c>
    </row>
    <row r="637">
      <c r="A637" s="45">
        <v>17083.0</v>
      </c>
      <c r="B637" s="45" t="s">
        <v>2458</v>
      </c>
      <c r="C637" s="45" t="s">
        <v>2479</v>
      </c>
      <c r="D637" s="46">
        <v>21091.0</v>
      </c>
      <c r="E637" s="46">
        <v>21512.0</v>
      </c>
    </row>
    <row r="638">
      <c r="A638" s="45">
        <v>17085.0</v>
      </c>
      <c r="B638" s="45" t="s">
        <v>2458</v>
      </c>
      <c r="C638" s="45" t="s">
        <v>2480</v>
      </c>
      <c r="D638" s="46">
        <v>21756.0</v>
      </c>
      <c r="E638" s="46">
        <v>22035.0</v>
      </c>
    </row>
    <row r="639">
      <c r="A639" s="45">
        <v>17087.0</v>
      </c>
      <c r="B639" s="45" t="s">
        <v>2458</v>
      </c>
      <c r="C639" s="45" t="s">
        <v>2107</v>
      </c>
      <c r="D639" s="46">
        <v>13326.0</v>
      </c>
      <c r="E639" s="46">
        <v>13308.0</v>
      </c>
    </row>
    <row r="640">
      <c r="A640" s="45">
        <v>17089.0</v>
      </c>
      <c r="B640" s="45" t="s">
        <v>2458</v>
      </c>
      <c r="C640" s="45" t="s">
        <v>2481</v>
      </c>
      <c r="D640" s="46">
        <v>514982.0</v>
      </c>
      <c r="E640" s="46">
        <v>516522.0</v>
      </c>
    </row>
    <row r="641">
      <c r="A641" s="45">
        <v>17091.0</v>
      </c>
      <c r="B641" s="45" t="s">
        <v>2458</v>
      </c>
      <c r="C641" s="45" t="s">
        <v>2482</v>
      </c>
      <c r="D641" s="46">
        <v>105940.0</v>
      </c>
      <c r="E641" s="46">
        <v>107502.0</v>
      </c>
    </row>
    <row r="642">
      <c r="A642" s="45">
        <v>17093.0</v>
      </c>
      <c r="B642" s="45" t="s">
        <v>2458</v>
      </c>
      <c r="C642" s="45" t="s">
        <v>2483</v>
      </c>
      <c r="D642" s="46">
        <v>139976.0</v>
      </c>
      <c r="E642" s="46">
        <v>131869.0</v>
      </c>
    </row>
    <row r="643">
      <c r="A643" s="45">
        <v>17095.0</v>
      </c>
      <c r="B643" s="45" t="s">
        <v>2458</v>
      </c>
      <c r="C643" s="45" t="s">
        <v>2484</v>
      </c>
      <c r="D643" s="46">
        <v>48411.0</v>
      </c>
      <c r="E643" s="46">
        <v>49967.0</v>
      </c>
    </row>
    <row r="644">
      <c r="A644" s="45">
        <v>17097.0</v>
      </c>
      <c r="B644" s="45" t="s">
        <v>2458</v>
      </c>
      <c r="C644" s="45" t="s">
        <v>2154</v>
      </c>
      <c r="D644" s="46">
        <v>708760.0</v>
      </c>
      <c r="E644" s="46">
        <v>714342.0</v>
      </c>
    </row>
    <row r="645">
      <c r="A645" s="45">
        <v>17099.0</v>
      </c>
      <c r="B645" s="45" t="s">
        <v>2458</v>
      </c>
      <c r="C645" s="45" t="s">
        <v>2485</v>
      </c>
      <c r="D645" s="46">
        <v>108309.0</v>
      </c>
      <c r="E645" s="46">
        <v>109658.0</v>
      </c>
    </row>
    <row r="646">
      <c r="A646" s="45">
        <v>17101.0</v>
      </c>
      <c r="B646" s="45" t="s">
        <v>2458</v>
      </c>
      <c r="C646" s="45" t="s">
        <v>2034</v>
      </c>
      <c r="D646" s="46">
        <v>14813.0</v>
      </c>
      <c r="E646" s="46">
        <v>15280.0</v>
      </c>
    </row>
    <row r="647">
      <c r="A647" s="45">
        <v>17103.0</v>
      </c>
      <c r="B647" s="45" t="s">
        <v>2458</v>
      </c>
      <c r="C647" s="45" t="s">
        <v>2035</v>
      </c>
      <c r="D647" s="46">
        <v>33654.0</v>
      </c>
      <c r="E647" s="46">
        <v>34145.0</v>
      </c>
    </row>
    <row r="648">
      <c r="A648" s="45">
        <v>17105.0</v>
      </c>
      <c r="B648" s="45" t="s">
        <v>2458</v>
      </c>
      <c r="C648" s="45" t="s">
        <v>2486</v>
      </c>
      <c r="D648" s="46">
        <v>35320.0</v>
      </c>
      <c r="E648" s="46">
        <v>35815.0</v>
      </c>
    </row>
    <row r="649">
      <c r="A649" s="45">
        <v>17107.0</v>
      </c>
      <c r="B649" s="45" t="s">
        <v>2458</v>
      </c>
      <c r="C649" s="45" t="s">
        <v>2111</v>
      </c>
      <c r="D649" s="46">
        <v>27590.0</v>
      </c>
      <c r="E649" s="46">
        <v>27987.0</v>
      </c>
    </row>
    <row r="650">
      <c r="A650" s="45">
        <v>17109.0</v>
      </c>
      <c r="B650" s="45" t="s">
        <v>2458</v>
      </c>
      <c r="C650" s="45" t="s">
        <v>2487</v>
      </c>
      <c r="D650" s="46">
        <v>26839.0</v>
      </c>
      <c r="E650" s="46">
        <v>27238.0</v>
      </c>
    </row>
    <row r="651">
      <c r="A651" s="45">
        <v>17111.0</v>
      </c>
      <c r="B651" s="45" t="s">
        <v>2458</v>
      </c>
      <c r="C651" s="45" t="s">
        <v>2488</v>
      </c>
      <c r="D651" s="46">
        <v>312800.0</v>
      </c>
      <c r="E651" s="46">
        <v>310229.0</v>
      </c>
    </row>
    <row r="652">
      <c r="A652" s="45">
        <v>17113.0</v>
      </c>
      <c r="B652" s="45" t="s">
        <v>2458</v>
      </c>
      <c r="C652" s="45" t="s">
        <v>2489</v>
      </c>
      <c r="D652" s="46">
        <v>170441.0</v>
      </c>
      <c r="E652" s="46">
        <v>170954.0</v>
      </c>
    </row>
    <row r="653">
      <c r="A653" s="45">
        <v>17115.0</v>
      </c>
      <c r="B653" s="45" t="s">
        <v>2458</v>
      </c>
      <c r="C653" s="45" t="s">
        <v>2038</v>
      </c>
      <c r="D653" s="46">
        <v>100591.0</v>
      </c>
      <c r="E653" s="46">
        <v>103998.0</v>
      </c>
    </row>
    <row r="654">
      <c r="A654" s="45">
        <v>17117.0</v>
      </c>
      <c r="B654" s="45" t="s">
        <v>2458</v>
      </c>
      <c r="C654" s="45" t="s">
        <v>2490</v>
      </c>
      <c r="D654" s="46">
        <v>44018.0</v>
      </c>
      <c r="E654" s="46">
        <v>44967.0</v>
      </c>
    </row>
    <row r="655">
      <c r="A655" s="45">
        <v>17119.0</v>
      </c>
      <c r="B655" s="45" t="s">
        <v>2458</v>
      </c>
      <c r="C655" s="45" t="s">
        <v>2039</v>
      </c>
      <c r="D655" s="46">
        <v>262752.0</v>
      </c>
      <c r="E655" s="46">
        <v>265859.0</v>
      </c>
    </row>
    <row r="656">
      <c r="A656" s="45">
        <v>17121.0</v>
      </c>
      <c r="B656" s="45" t="s">
        <v>2458</v>
      </c>
      <c r="C656" s="45" t="s">
        <v>2041</v>
      </c>
      <c r="D656" s="46">
        <v>36673.0</v>
      </c>
      <c r="E656" s="46">
        <v>37729.0</v>
      </c>
    </row>
    <row r="657">
      <c r="A657" s="45">
        <v>17123.0</v>
      </c>
      <c r="B657" s="45" t="s">
        <v>2458</v>
      </c>
      <c r="C657" s="45" t="s">
        <v>2042</v>
      </c>
      <c r="D657" s="46">
        <v>11683.0</v>
      </c>
      <c r="E657" s="46">
        <v>11742.0</v>
      </c>
    </row>
    <row r="658">
      <c r="A658" s="45">
        <v>17125.0</v>
      </c>
      <c r="B658" s="45" t="s">
        <v>2458</v>
      </c>
      <c r="C658" s="45" t="s">
        <v>2491</v>
      </c>
      <c r="D658" s="46">
        <v>12523.0</v>
      </c>
      <c r="E658" s="46">
        <v>13086.0</v>
      </c>
    </row>
    <row r="659">
      <c r="A659" s="45">
        <v>17127.0</v>
      </c>
      <c r="B659" s="45" t="s">
        <v>2458</v>
      </c>
      <c r="C659" s="45" t="s">
        <v>2492</v>
      </c>
      <c r="D659" s="46">
        <v>13661.0</v>
      </c>
      <c r="E659" s="46">
        <v>14169.0</v>
      </c>
    </row>
    <row r="660">
      <c r="A660" s="45">
        <v>17129.0</v>
      </c>
      <c r="B660" s="45" t="s">
        <v>2458</v>
      </c>
      <c r="C660" s="45" t="s">
        <v>2493</v>
      </c>
      <c r="D660" s="46">
        <v>11954.0</v>
      </c>
      <c r="E660" s="46">
        <v>12297.0</v>
      </c>
    </row>
    <row r="661">
      <c r="A661" s="45">
        <v>17131.0</v>
      </c>
      <c r="B661" s="45" t="s">
        <v>2458</v>
      </c>
      <c r="C661" s="45" t="s">
        <v>2494</v>
      </c>
      <c r="D661" s="46">
        <v>15487.0</v>
      </c>
      <c r="E661" s="46">
        <v>15699.0</v>
      </c>
    </row>
    <row r="662">
      <c r="A662" s="45">
        <v>17133.0</v>
      </c>
      <c r="B662" s="45" t="s">
        <v>2458</v>
      </c>
      <c r="C662" s="45" t="s">
        <v>2044</v>
      </c>
      <c r="D662" s="46">
        <v>34957.0</v>
      </c>
      <c r="E662" s="46">
        <v>34962.0</v>
      </c>
    </row>
    <row r="663">
      <c r="A663" s="45">
        <v>17135.0</v>
      </c>
      <c r="B663" s="45" t="s">
        <v>2458</v>
      </c>
      <c r="C663" s="45" t="s">
        <v>2045</v>
      </c>
      <c r="D663" s="46">
        <v>27663.0</v>
      </c>
      <c r="E663" s="46">
        <v>28288.0</v>
      </c>
    </row>
    <row r="664">
      <c r="A664" s="45">
        <v>17137.0</v>
      </c>
      <c r="B664" s="45" t="s">
        <v>2458</v>
      </c>
      <c r="C664" s="45" t="s">
        <v>2046</v>
      </c>
      <c r="D664" s="46">
        <v>32140.0</v>
      </c>
      <c r="E664" s="46">
        <v>32915.0</v>
      </c>
    </row>
    <row r="665">
      <c r="A665" s="45">
        <v>17139.0</v>
      </c>
      <c r="B665" s="45" t="s">
        <v>2458</v>
      </c>
      <c r="C665" s="45" t="s">
        <v>2495</v>
      </c>
      <c r="D665" s="46">
        <v>14342.0</v>
      </c>
      <c r="E665" s="46">
        <v>14526.0</v>
      </c>
    </row>
    <row r="666">
      <c r="A666" s="45">
        <v>17141.0</v>
      </c>
      <c r="B666" s="45" t="s">
        <v>2458</v>
      </c>
      <c r="C666" s="45" t="s">
        <v>2496</v>
      </c>
      <c r="D666" s="46">
        <v>51265.0</v>
      </c>
      <c r="E666" s="46">
        <v>51788.0</v>
      </c>
    </row>
    <row r="667">
      <c r="A667" s="45">
        <v>17143.0</v>
      </c>
      <c r="B667" s="45" t="s">
        <v>2458</v>
      </c>
      <c r="C667" s="45" t="s">
        <v>2497</v>
      </c>
      <c r="D667" s="46">
        <v>177513.0</v>
      </c>
      <c r="E667" s="46">
        <v>181830.0</v>
      </c>
    </row>
    <row r="668">
      <c r="A668" s="45">
        <v>17145.0</v>
      </c>
      <c r="B668" s="45" t="s">
        <v>2458</v>
      </c>
      <c r="C668" s="45" t="s">
        <v>2047</v>
      </c>
      <c r="D668" s="46">
        <v>20503.0</v>
      </c>
      <c r="E668" s="46">
        <v>20945.0</v>
      </c>
    </row>
    <row r="669">
      <c r="A669" s="45">
        <v>17147.0</v>
      </c>
      <c r="B669" s="45" t="s">
        <v>2458</v>
      </c>
      <c r="C669" s="45" t="s">
        <v>2498</v>
      </c>
      <c r="D669" s="46">
        <v>16714.0</v>
      </c>
      <c r="E669" s="46">
        <v>16673.0</v>
      </c>
    </row>
    <row r="670">
      <c r="A670" s="45">
        <v>17149.0</v>
      </c>
      <c r="B670" s="45" t="s">
        <v>2458</v>
      </c>
      <c r="C670" s="45" t="s">
        <v>2049</v>
      </c>
      <c r="D670" s="46">
        <v>14342.0</v>
      </c>
      <c r="E670" s="46">
        <v>14739.0</v>
      </c>
    </row>
    <row r="671">
      <c r="A671" s="45">
        <v>17151.0</v>
      </c>
      <c r="B671" s="45" t="s">
        <v>2458</v>
      </c>
      <c r="C671" s="45" t="s">
        <v>2121</v>
      </c>
      <c r="D671" s="46">
        <v>3707.0</v>
      </c>
      <c r="E671" s="46">
        <v>3763.0</v>
      </c>
    </row>
    <row r="672">
      <c r="A672" s="45">
        <v>17153.0</v>
      </c>
      <c r="B672" s="45" t="s">
        <v>2458</v>
      </c>
      <c r="C672" s="45" t="s">
        <v>2123</v>
      </c>
      <c r="D672" s="46">
        <v>4911.0</v>
      </c>
      <c r="E672" s="46">
        <v>5193.0</v>
      </c>
    </row>
    <row r="673">
      <c r="A673" s="45">
        <v>17155.0</v>
      </c>
      <c r="B673" s="45" t="s">
        <v>2458</v>
      </c>
      <c r="C673" s="45" t="s">
        <v>2303</v>
      </c>
      <c r="D673" s="46">
        <v>5561.0</v>
      </c>
      <c r="E673" s="46">
        <v>5637.0</v>
      </c>
    </row>
    <row r="674">
      <c r="A674" s="45">
        <v>17157.0</v>
      </c>
      <c r="B674" s="45" t="s">
        <v>2458</v>
      </c>
      <c r="C674" s="45" t="s">
        <v>2050</v>
      </c>
      <c r="D674" s="46">
        <v>29815.0</v>
      </c>
      <c r="E674" s="46">
        <v>30163.0</v>
      </c>
    </row>
    <row r="675">
      <c r="A675" s="45">
        <v>17159.0</v>
      </c>
      <c r="B675" s="45" t="s">
        <v>2458</v>
      </c>
      <c r="C675" s="45" t="s">
        <v>2499</v>
      </c>
      <c r="D675" s="46">
        <v>15488.0</v>
      </c>
      <c r="E675" s="46">
        <v>15813.0</v>
      </c>
    </row>
    <row r="676">
      <c r="A676" s="45">
        <v>17161.0</v>
      </c>
      <c r="B676" s="45" t="s">
        <v>2458</v>
      </c>
      <c r="C676" s="45" t="s">
        <v>2500</v>
      </c>
      <c r="D676" s="46">
        <v>141236.0</v>
      </c>
      <c r="E676" s="46">
        <v>144672.0</v>
      </c>
    </row>
    <row r="677">
      <c r="A677" s="45">
        <v>17163.0</v>
      </c>
      <c r="B677" s="45" t="s">
        <v>2458</v>
      </c>
      <c r="C677" s="45" t="s">
        <v>2052</v>
      </c>
      <c r="D677" s="46">
        <v>251018.0</v>
      </c>
      <c r="E677" s="46">
        <v>257400.0</v>
      </c>
    </row>
    <row r="678">
      <c r="A678" s="45">
        <v>17165.0</v>
      </c>
      <c r="B678" s="45" t="s">
        <v>2458</v>
      </c>
      <c r="C678" s="45" t="s">
        <v>2125</v>
      </c>
      <c r="D678" s="46">
        <v>22873.0</v>
      </c>
      <c r="E678" s="46">
        <v>23768.0</v>
      </c>
    </row>
    <row r="679">
      <c r="A679" s="45">
        <v>17167.0</v>
      </c>
      <c r="B679" s="45" t="s">
        <v>2458</v>
      </c>
      <c r="C679" s="45" t="s">
        <v>2501</v>
      </c>
      <c r="D679" s="46">
        <v>193491.0</v>
      </c>
      <c r="E679" s="46">
        <v>196343.0</v>
      </c>
    </row>
    <row r="680">
      <c r="A680" s="45">
        <v>17169.0</v>
      </c>
      <c r="B680" s="45" t="s">
        <v>2458</v>
      </c>
      <c r="C680" s="45" t="s">
        <v>2502</v>
      </c>
      <c r="D680" s="46">
        <v>6733.0</v>
      </c>
      <c r="E680" s="46">
        <v>6902.0</v>
      </c>
    </row>
    <row r="681">
      <c r="A681" s="45">
        <v>17171.0</v>
      </c>
      <c r="B681" s="45" t="s">
        <v>2458</v>
      </c>
      <c r="C681" s="45" t="s">
        <v>2126</v>
      </c>
      <c r="D681" s="46">
        <v>4710.0</v>
      </c>
      <c r="E681" s="46">
        <v>4949.0</v>
      </c>
    </row>
    <row r="682">
      <c r="A682" s="45">
        <v>17173.0</v>
      </c>
      <c r="B682" s="45" t="s">
        <v>2458</v>
      </c>
      <c r="C682" s="45" t="s">
        <v>2053</v>
      </c>
      <c r="D682" s="46">
        <v>20568.0</v>
      </c>
      <c r="E682" s="46">
        <v>20990.0</v>
      </c>
    </row>
    <row r="683">
      <c r="A683" s="45">
        <v>17175.0</v>
      </c>
      <c r="B683" s="45" t="s">
        <v>2458</v>
      </c>
      <c r="C683" s="45" t="s">
        <v>2503</v>
      </c>
      <c r="D683" s="46">
        <v>5218.0</v>
      </c>
      <c r="E683" s="46">
        <v>5400.0</v>
      </c>
    </row>
    <row r="684">
      <c r="A684" s="45">
        <v>17177.0</v>
      </c>
      <c r="B684" s="45" t="s">
        <v>2458</v>
      </c>
      <c r="C684" s="45" t="s">
        <v>2504</v>
      </c>
      <c r="D684" s="46">
        <v>43105.0</v>
      </c>
      <c r="E684" s="46">
        <v>44630.0</v>
      </c>
    </row>
    <row r="685">
      <c r="A685" s="45">
        <v>17179.0</v>
      </c>
      <c r="B685" s="45" t="s">
        <v>2458</v>
      </c>
      <c r="C685" s="45" t="s">
        <v>2505</v>
      </c>
      <c r="D685" s="46">
        <v>129541.0</v>
      </c>
      <c r="E685" s="46">
        <v>131343.0</v>
      </c>
    </row>
    <row r="686">
      <c r="A686" s="45">
        <v>17181.0</v>
      </c>
      <c r="B686" s="45" t="s">
        <v>2458</v>
      </c>
      <c r="C686" s="45" t="s">
        <v>2132</v>
      </c>
      <c r="D686" s="46">
        <v>16667.0</v>
      </c>
      <c r="E686" s="46">
        <v>17244.0</v>
      </c>
    </row>
    <row r="687">
      <c r="A687" s="45">
        <v>17183.0</v>
      </c>
      <c r="B687" s="45" t="s">
        <v>2458</v>
      </c>
      <c r="C687" s="45" t="s">
        <v>2506</v>
      </c>
      <c r="D687" s="46">
        <v>71652.0</v>
      </c>
      <c r="E687" s="46">
        <v>74188.0</v>
      </c>
    </row>
    <row r="688">
      <c r="A688" s="45">
        <v>17185.0</v>
      </c>
      <c r="B688" s="45" t="s">
        <v>2458</v>
      </c>
      <c r="C688" s="45" t="s">
        <v>2507</v>
      </c>
      <c r="D688" s="46">
        <v>10942.0</v>
      </c>
      <c r="E688" s="46">
        <v>11361.0</v>
      </c>
    </row>
    <row r="689">
      <c r="A689" s="45">
        <v>17187.0</v>
      </c>
      <c r="B689" s="45" t="s">
        <v>2458</v>
      </c>
      <c r="C689" s="45" t="s">
        <v>2415</v>
      </c>
      <c r="D689" s="46">
        <v>16185.0</v>
      </c>
      <c r="E689" s="46">
        <v>16835.0</v>
      </c>
    </row>
    <row r="690">
      <c r="A690" s="45">
        <v>17189.0</v>
      </c>
      <c r="B690" s="45" t="s">
        <v>2458</v>
      </c>
      <c r="C690" s="45" t="s">
        <v>2059</v>
      </c>
      <c r="D690" s="46">
        <v>13536.0</v>
      </c>
      <c r="E690" s="46">
        <v>13761.0</v>
      </c>
    </row>
    <row r="691">
      <c r="A691" s="45">
        <v>17191.0</v>
      </c>
      <c r="B691" s="45" t="s">
        <v>2458</v>
      </c>
      <c r="C691" s="45" t="s">
        <v>2416</v>
      </c>
      <c r="D691" s="46">
        <v>15761.0</v>
      </c>
      <c r="E691" s="46">
        <v>16179.0</v>
      </c>
    </row>
    <row r="692">
      <c r="A692" s="45">
        <v>17193.0</v>
      </c>
      <c r="B692" s="45" t="s">
        <v>2458</v>
      </c>
      <c r="C692" s="45" t="s">
        <v>2134</v>
      </c>
      <c r="D692" s="46">
        <v>13401.0</v>
      </c>
      <c r="E692" s="46">
        <v>13877.0</v>
      </c>
    </row>
    <row r="693">
      <c r="A693" s="45">
        <v>17195.0</v>
      </c>
      <c r="B693" s="45" t="s">
        <v>2458</v>
      </c>
      <c r="C693" s="45" t="s">
        <v>2508</v>
      </c>
      <c r="D693" s="46">
        <v>54498.0</v>
      </c>
      <c r="E693" s="46">
        <v>55691.0</v>
      </c>
    </row>
    <row r="694">
      <c r="A694" s="45">
        <v>17197.0</v>
      </c>
      <c r="B694" s="45" t="s">
        <v>2458</v>
      </c>
      <c r="C694" s="45" t="s">
        <v>2509</v>
      </c>
      <c r="D694" s="46">
        <v>700728.0</v>
      </c>
      <c r="E694" s="46">
        <v>696355.0</v>
      </c>
    </row>
    <row r="695">
      <c r="A695" s="45">
        <v>17199.0</v>
      </c>
      <c r="B695" s="45" t="s">
        <v>2458</v>
      </c>
      <c r="C695" s="45" t="s">
        <v>2510</v>
      </c>
      <c r="D695" s="46">
        <v>66706.0</v>
      </c>
      <c r="E695" s="46">
        <v>67153.0</v>
      </c>
    </row>
    <row r="696">
      <c r="A696" s="45">
        <v>17201.0</v>
      </c>
      <c r="B696" s="45" t="s">
        <v>2458</v>
      </c>
      <c r="C696" s="45" t="s">
        <v>2511</v>
      </c>
      <c r="D696" s="46">
        <v>280922.0</v>
      </c>
      <c r="E696" s="46">
        <v>285350.0</v>
      </c>
    </row>
    <row r="697">
      <c r="A697" s="45">
        <v>17203.0</v>
      </c>
      <c r="B697" s="45" t="s">
        <v>2458</v>
      </c>
      <c r="C697" s="45" t="s">
        <v>2512</v>
      </c>
      <c r="D697" s="46">
        <v>38285.0</v>
      </c>
      <c r="E697" s="46">
        <v>38467.0</v>
      </c>
    </row>
    <row r="698">
      <c r="A698" s="45">
        <v>18001.0</v>
      </c>
      <c r="B698" s="45" t="s">
        <v>2513</v>
      </c>
      <c r="C698" s="45" t="s">
        <v>2195</v>
      </c>
      <c r="D698" s="46">
        <v>36288.0</v>
      </c>
      <c r="E698" s="46">
        <v>35809.0</v>
      </c>
    </row>
    <row r="699">
      <c r="A699" s="45">
        <v>18003.0</v>
      </c>
      <c r="B699" s="45" t="s">
        <v>2513</v>
      </c>
      <c r="C699" s="45" t="s">
        <v>2514</v>
      </c>
      <c r="D699" s="46">
        <v>394545.0</v>
      </c>
      <c r="E699" s="46">
        <v>385410.0</v>
      </c>
    </row>
    <row r="700">
      <c r="A700" s="45">
        <v>18005.0</v>
      </c>
      <c r="B700" s="45" t="s">
        <v>2513</v>
      </c>
      <c r="C700" s="45" t="s">
        <v>2515</v>
      </c>
      <c r="D700" s="46">
        <v>84003.0</v>
      </c>
      <c r="E700" s="46">
        <v>82208.0</v>
      </c>
    </row>
    <row r="701">
      <c r="A701" s="45">
        <v>18007.0</v>
      </c>
      <c r="B701" s="45" t="s">
        <v>2513</v>
      </c>
      <c r="C701" s="45" t="s">
        <v>2083</v>
      </c>
      <c r="D701" s="46">
        <v>8729.0</v>
      </c>
      <c r="E701" s="46">
        <v>8719.0</v>
      </c>
    </row>
    <row r="702">
      <c r="A702" s="45">
        <v>18009.0</v>
      </c>
      <c r="B702" s="45" t="s">
        <v>2513</v>
      </c>
      <c r="C702" s="45" t="s">
        <v>2516</v>
      </c>
      <c r="D702" s="46">
        <v>11893.0</v>
      </c>
      <c r="E702" s="46">
        <v>12112.0</v>
      </c>
    </row>
    <row r="703">
      <c r="A703" s="45">
        <v>18011.0</v>
      </c>
      <c r="B703" s="45" t="s">
        <v>2513</v>
      </c>
      <c r="C703" s="45" t="s">
        <v>2084</v>
      </c>
      <c r="D703" s="46">
        <v>76120.0</v>
      </c>
      <c r="E703" s="46">
        <v>70812.0</v>
      </c>
    </row>
    <row r="704">
      <c r="A704" s="45">
        <v>18013.0</v>
      </c>
      <c r="B704" s="45" t="s">
        <v>2513</v>
      </c>
      <c r="C704" s="45" t="s">
        <v>2461</v>
      </c>
      <c r="D704" s="46">
        <v>15653.0</v>
      </c>
      <c r="E704" s="46">
        <v>15475.0</v>
      </c>
    </row>
    <row r="705">
      <c r="A705" s="45">
        <v>18015.0</v>
      </c>
      <c r="B705" s="45" t="s">
        <v>2513</v>
      </c>
      <c r="C705" s="45" t="s">
        <v>2086</v>
      </c>
      <c r="D705" s="46">
        <v>20525.0</v>
      </c>
      <c r="E705" s="46">
        <v>20306.0</v>
      </c>
    </row>
    <row r="706">
      <c r="A706" s="45">
        <v>18017.0</v>
      </c>
      <c r="B706" s="45" t="s">
        <v>2513</v>
      </c>
      <c r="C706" s="45" t="s">
        <v>2463</v>
      </c>
      <c r="D706" s="46">
        <v>37666.0</v>
      </c>
      <c r="E706" s="46">
        <v>37870.0</v>
      </c>
    </row>
    <row r="707">
      <c r="A707" s="45">
        <v>18019.0</v>
      </c>
      <c r="B707" s="45" t="s">
        <v>2513</v>
      </c>
      <c r="C707" s="45" t="s">
        <v>2088</v>
      </c>
      <c r="D707" s="46">
        <v>125467.0</v>
      </c>
      <c r="E707" s="46">
        <v>121093.0</v>
      </c>
    </row>
    <row r="708">
      <c r="A708" s="45">
        <v>18021.0</v>
      </c>
      <c r="B708" s="45" t="s">
        <v>2513</v>
      </c>
      <c r="C708" s="45" t="s">
        <v>2008</v>
      </c>
      <c r="D708" s="46">
        <v>26460.0</v>
      </c>
      <c r="E708" s="46">
        <v>26466.0</v>
      </c>
    </row>
    <row r="709">
      <c r="A709" s="45">
        <v>18023.0</v>
      </c>
      <c r="B709" s="45" t="s">
        <v>2513</v>
      </c>
      <c r="C709" s="45" t="s">
        <v>2466</v>
      </c>
      <c r="D709" s="46">
        <v>32730.0</v>
      </c>
      <c r="E709" s="46">
        <v>33190.0</v>
      </c>
    </row>
    <row r="710">
      <c r="A710" s="45">
        <v>18025.0</v>
      </c>
      <c r="B710" s="45" t="s">
        <v>2513</v>
      </c>
      <c r="C710" s="45" t="s">
        <v>2093</v>
      </c>
      <c r="D710" s="46">
        <v>10438.0</v>
      </c>
      <c r="E710" s="46">
        <v>10526.0</v>
      </c>
    </row>
    <row r="711">
      <c r="A711" s="45">
        <v>18027.0</v>
      </c>
      <c r="B711" s="45" t="s">
        <v>2513</v>
      </c>
      <c r="C711" s="45" t="s">
        <v>2517</v>
      </c>
      <c r="D711" s="46">
        <v>33656.0</v>
      </c>
      <c r="E711" s="46">
        <v>33381.0</v>
      </c>
    </row>
    <row r="712">
      <c r="A712" s="45">
        <v>18029.0</v>
      </c>
      <c r="B712" s="45" t="s">
        <v>2513</v>
      </c>
      <c r="C712" s="45" t="s">
        <v>2518</v>
      </c>
      <c r="D712" s="46">
        <v>51215.0</v>
      </c>
      <c r="E712" s="46">
        <v>50679.0</v>
      </c>
    </row>
    <row r="713">
      <c r="A713" s="45">
        <v>18031.0</v>
      </c>
      <c r="B713" s="45" t="s">
        <v>2513</v>
      </c>
      <c r="C713" s="45" t="s">
        <v>2346</v>
      </c>
      <c r="D713" s="46">
        <v>26399.0</v>
      </c>
      <c r="E713" s="46">
        <v>26472.0</v>
      </c>
    </row>
    <row r="714">
      <c r="A714" s="45">
        <v>18033.0</v>
      </c>
      <c r="B714" s="45" t="s">
        <v>2513</v>
      </c>
      <c r="C714" s="45" t="s">
        <v>2019</v>
      </c>
      <c r="D714" s="46">
        <v>44198.0</v>
      </c>
      <c r="E714" s="46">
        <v>43265.0</v>
      </c>
    </row>
    <row r="715">
      <c r="A715" s="45">
        <v>18035.0</v>
      </c>
      <c r="B715" s="45" t="s">
        <v>2513</v>
      </c>
      <c r="C715" s="45" t="s">
        <v>2519</v>
      </c>
      <c r="D715" s="46">
        <v>112321.0</v>
      </c>
      <c r="E715" s="46">
        <v>111903.0</v>
      </c>
    </row>
    <row r="716">
      <c r="A716" s="45">
        <v>18037.0</v>
      </c>
      <c r="B716" s="45" t="s">
        <v>2513</v>
      </c>
      <c r="C716" s="45" t="s">
        <v>2520</v>
      </c>
      <c r="D716" s="46">
        <v>43546.0</v>
      </c>
      <c r="E716" s="46">
        <v>43637.0</v>
      </c>
    </row>
    <row r="717">
      <c r="A717" s="45">
        <v>18039.0</v>
      </c>
      <c r="B717" s="45" t="s">
        <v>2513</v>
      </c>
      <c r="C717" s="45" t="s">
        <v>2521</v>
      </c>
      <c r="D717" s="46">
        <v>206409.0</v>
      </c>
      <c r="E717" s="46">
        <v>207047.0</v>
      </c>
    </row>
    <row r="718">
      <c r="A718" s="45">
        <v>18041.0</v>
      </c>
      <c r="B718" s="45" t="s">
        <v>2513</v>
      </c>
      <c r="C718" s="45" t="s">
        <v>2023</v>
      </c>
      <c r="D718" s="46">
        <v>23362.0</v>
      </c>
      <c r="E718" s="46">
        <v>23398.0</v>
      </c>
    </row>
    <row r="719">
      <c r="A719" s="45">
        <v>18043.0</v>
      </c>
      <c r="B719" s="45" t="s">
        <v>2513</v>
      </c>
      <c r="C719" s="45" t="s">
        <v>2356</v>
      </c>
      <c r="D719" s="46">
        <v>80809.0</v>
      </c>
      <c r="E719" s="46">
        <v>80484.0</v>
      </c>
    </row>
    <row r="720">
      <c r="A720" s="45">
        <v>18045.0</v>
      </c>
      <c r="B720" s="45" t="s">
        <v>2513</v>
      </c>
      <c r="C720" s="45" t="s">
        <v>2522</v>
      </c>
      <c r="D720" s="46">
        <v>16731.0</v>
      </c>
      <c r="E720" s="46">
        <v>16479.0</v>
      </c>
    </row>
    <row r="721">
      <c r="A721" s="45">
        <v>18047.0</v>
      </c>
      <c r="B721" s="45" t="s">
        <v>2513</v>
      </c>
      <c r="C721" s="45" t="s">
        <v>2024</v>
      </c>
      <c r="D721" s="46">
        <v>23096.0</v>
      </c>
      <c r="E721" s="46">
        <v>22785.0</v>
      </c>
    </row>
    <row r="722">
      <c r="A722" s="45">
        <v>18049.0</v>
      </c>
      <c r="B722" s="45" t="s">
        <v>2513</v>
      </c>
      <c r="C722" s="45" t="s">
        <v>2099</v>
      </c>
      <c r="D722" s="46">
        <v>20358.0</v>
      </c>
      <c r="E722" s="46">
        <v>20480.0</v>
      </c>
    </row>
    <row r="723">
      <c r="A723" s="45">
        <v>18051.0</v>
      </c>
      <c r="B723" s="45" t="s">
        <v>2513</v>
      </c>
      <c r="C723" s="45" t="s">
        <v>2523</v>
      </c>
      <c r="D723" s="46">
        <v>32904.0</v>
      </c>
      <c r="E723" s="46">
        <v>33011.0</v>
      </c>
    </row>
    <row r="724">
      <c r="A724" s="45">
        <v>18053.0</v>
      </c>
      <c r="B724" s="45" t="s">
        <v>2513</v>
      </c>
      <c r="C724" s="45" t="s">
        <v>2101</v>
      </c>
      <c r="D724" s="46">
        <v>66200.0</v>
      </c>
      <c r="E724" s="46">
        <v>66674.0</v>
      </c>
    </row>
    <row r="725">
      <c r="A725" s="45">
        <v>18055.0</v>
      </c>
      <c r="B725" s="45" t="s">
        <v>2513</v>
      </c>
      <c r="C725" s="45" t="s">
        <v>2026</v>
      </c>
      <c r="D725" s="46">
        <v>31196.0</v>
      </c>
      <c r="E725" s="46">
        <v>30803.0</v>
      </c>
    </row>
    <row r="726">
      <c r="A726" s="45">
        <v>18057.0</v>
      </c>
      <c r="B726" s="45" t="s">
        <v>2513</v>
      </c>
      <c r="C726" s="45" t="s">
        <v>2282</v>
      </c>
      <c r="D726" s="46">
        <v>371645.0</v>
      </c>
      <c r="E726" s="46">
        <v>347467.0</v>
      </c>
    </row>
    <row r="727">
      <c r="A727" s="45">
        <v>18059.0</v>
      </c>
      <c r="B727" s="45" t="s">
        <v>2513</v>
      </c>
      <c r="C727" s="45" t="s">
        <v>2366</v>
      </c>
      <c r="D727" s="46">
        <v>86166.0</v>
      </c>
      <c r="E727" s="46">
        <v>79840.0</v>
      </c>
    </row>
    <row r="728">
      <c r="A728" s="45">
        <v>18061.0</v>
      </c>
      <c r="B728" s="45" t="s">
        <v>2513</v>
      </c>
      <c r="C728" s="45" t="s">
        <v>2524</v>
      </c>
      <c r="D728" s="46">
        <v>40006.0</v>
      </c>
      <c r="E728" s="46">
        <v>39654.0</v>
      </c>
    </row>
    <row r="729">
      <c r="A729" s="45">
        <v>18063.0</v>
      </c>
      <c r="B729" s="45" t="s">
        <v>2513</v>
      </c>
      <c r="C729" s="45" t="s">
        <v>2525</v>
      </c>
      <c r="D729" s="46">
        <v>186387.0</v>
      </c>
      <c r="E729" s="46">
        <v>174788.0</v>
      </c>
    </row>
    <row r="730">
      <c r="A730" s="45">
        <v>18065.0</v>
      </c>
      <c r="B730" s="45" t="s">
        <v>2513</v>
      </c>
      <c r="C730" s="45" t="s">
        <v>2028</v>
      </c>
      <c r="D730" s="46">
        <v>48929.0</v>
      </c>
      <c r="E730" s="46">
        <v>48914.0</v>
      </c>
    </row>
    <row r="731">
      <c r="A731" s="45">
        <v>18067.0</v>
      </c>
      <c r="B731" s="45" t="s">
        <v>2513</v>
      </c>
      <c r="C731" s="45" t="s">
        <v>2104</v>
      </c>
      <c r="D731" s="46">
        <v>83831.0</v>
      </c>
      <c r="E731" s="46">
        <v>83658.0</v>
      </c>
    </row>
    <row r="732">
      <c r="A732" s="45">
        <v>18069.0</v>
      </c>
      <c r="B732" s="45" t="s">
        <v>2513</v>
      </c>
      <c r="C732" s="45" t="s">
        <v>2526</v>
      </c>
      <c r="D732" s="46">
        <v>36781.0</v>
      </c>
      <c r="E732" s="46">
        <v>36662.0</v>
      </c>
    </row>
    <row r="733">
      <c r="A733" s="45">
        <v>18071.0</v>
      </c>
      <c r="B733" s="45" t="s">
        <v>2513</v>
      </c>
      <c r="C733" s="45" t="s">
        <v>2030</v>
      </c>
      <c r="D733" s="46">
        <v>46460.0</v>
      </c>
      <c r="E733" s="46">
        <v>46428.0</v>
      </c>
    </row>
    <row r="734">
      <c r="A734" s="45">
        <v>18073.0</v>
      </c>
      <c r="B734" s="45" t="s">
        <v>2513</v>
      </c>
      <c r="C734" s="45" t="s">
        <v>2372</v>
      </c>
      <c r="D734" s="46">
        <v>33535.0</v>
      </c>
      <c r="E734" s="46">
        <v>32918.0</v>
      </c>
    </row>
    <row r="735">
      <c r="A735" s="45">
        <v>18075.0</v>
      </c>
      <c r="B735" s="45" t="s">
        <v>2513</v>
      </c>
      <c r="C735" s="45" t="s">
        <v>2527</v>
      </c>
      <c r="D735" s="46">
        <v>20032.0</v>
      </c>
      <c r="E735" s="46">
        <v>20478.0</v>
      </c>
    </row>
    <row r="736">
      <c r="A736" s="45">
        <v>18077.0</v>
      </c>
      <c r="B736" s="45" t="s">
        <v>2513</v>
      </c>
      <c r="C736" s="45" t="s">
        <v>2031</v>
      </c>
      <c r="D736" s="46">
        <v>33056.0</v>
      </c>
      <c r="E736" s="46">
        <v>33147.0</v>
      </c>
    </row>
    <row r="737">
      <c r="A737" s="45">
        <v>18079.0</v>
      </c>
      <c r="B737" s="45" t="s">
        <v>2513</v>
      </c>
      <c r="C737" s="45" t="s">
        <v>2528</v>
      </c>
      <c r="D737" s="46">
        <v>27622.0</v>
      </c>
      <c r="E737" s="46">
        <v>27613.0</v>
      </c>
    </row>
    <row r="738">
      <c r="A738" s="45">
        <v>18081.0</v>
      </c>
      <c r="B738" s="45" t="s">
        <v>2513</v>
      </c>
      <c r="C738" s="45" t="s">
        <v>2107</v>
      </c>
      <c r="D738" s="46">
        <v>167819.0</v>
      </c>
      <c r="E738" s="46">
        <v>161765.0</v>
      </c>
    </row>
    <row r="739">
      <c r="A739" s="45">
        <v>18083.0</v>
      </c>
      <c r="B739" s="45" t="s">
        <v>2513</v>
      </c>
      <c r="C739" s="45" t="s">
        <v>2484</v>
      </c>
      <c r="D739" s="46">
        <v>36070.0</v>
      </c>
      <c r="E739" s="46">
        <v>36282.0</v>
      </c>
    </row>
    <row r="740">
      <c r="A740" s="45">
        <v>18085.0</v>
      </c>
      <c r="B740" s="45" t="s">
        <v>2513</v>
      </c>
      <c r="C740" s="45" t="s">
        <v>2529</v>
      </c>
      <c r="D740" s="46">
        <v>80364.0</v>
      </c>
      <c r="E740" s="46">
        <v>80240.0</v>
      </c>
    </row>
    <row r="741">
      <c r="A741" s="45">
        <v>18087.0</v>
      </c>
      <c r="B741" s="45" t="s">
        <v>2513</v>
      </c>
      <c r="C741" s="45" t="s">
        <v>2530</v>
      </c>
      <c r="D741" s="46">
        <v>40907.0</v>
      </c>
      <c r="E741" s="46">
        <v>40446.0</v>
      </c>
    </row>
    <row r="742">
      <c r="A742" s="45">
        <v>18089.0</v>
      </c>
      <c r="B742" s="45" t="s">
        <v>2513</v>
      </c>
      <c r="C742" s="45" t="s">
        <v>2154</v>
      </c>
      <c r="D742" s="46">
        <v>500598.0</v>
      </c>
      <c r="E742" s="46">
        <v>498700.0</v>
      </c>
    </row>
    <row r="743">
      <c r="A743" s="45">
        <v>18091.0</v>
      </c>
      <c r="B743" s="45" t="s">
        <v>2513</v>
      </c>
      <c r="C743" s="45" t="s">
        <v>2531</v>
      </c>
      <c r="D743" s="46">
        <v>111706.0</v>
      </c>
      <c r="E743" s="46">
        <v>112417.0</v>
      </c>
    </row>
    <row r="744">
      <c r="A744" s="45">
        <v>18093.0</v>
      </c>
      <c r="B744" s="45" t="s">
        <v>2513</v>
      </c>
      <c r="C744" s="45" t="s">
        <v>2034</v>
      </c>
      <c r="D744" s="46">
        <v>45084.0</v>
      </c>
      <c r="E744" s="46">
        <v>45011.0</v>
      </c>
    </row>
    <row r="745">
      <c r="A745" s="45">
        <v>18095.0</v>
      </c>
      <c r="B745" s="45" t="s">
        <v>2513</v>
      </c>
      <c r="C745" s="45" t="s">
        <v>2039</v>
      </c>
      <c r="D745" s="46">
        <v>132504.0</v>
      </c>
      <c r="E745" s="46">
        <v>130129.0</v>
      </c>
    </row>
    <row r="746">
      <c r="A746" s="45">
        <v>18097.0</v>
      </c>
      <c r="B746" s="45" t="s">
        <v>2513</v>
      </c>
      <c r="C746" s="45" t="s">
        <v>2041</v>
      </c>
      <c r="D746" s="46">
        <v>968460.0</v>
      </c>
      <c r="E746" s="46">
        <v>977203.0</v>
      </c>
    </row>
    <row r="747">
      <c r="A747" s="45">
        <v>18099.0</v>
      </c>
      <c r="B747" s="45" t="s">
        <v>2513</v>
      </c>
      <c r="C747" s="45" t="s">
        <v>2042</v>
      </c>
      <c r="D747" s="46">
        <v>46352.0</v>
      </c>
      <c r="E747" s="46">
        <v>46095.0</v>
      </c>
    </row>
    <row r="748">
      <c r="A748" s="45">
        <v>18101.0</v>
      </c>
      <c r="B748" s="45" t="s">
        <v>2513</v>
      </c>
      <c r="C748" s="45" t="s">
        <v>2294</v>
      </c>
      <c r="D748" s="46">
        <v>9897.0</v>
      </c>
      <c r="E748" s="46">
        <v>9812.0</v>
      </c>
    </row>
    <row r="749">
      <c r="A749" s="45">
        <v>18103.0</v>
      </c>
      <c r="B749" s="45" t="s">
        <v>2513</v>
      </c>
      <c r="C749" s="45" t="s">
        <v>2532</v>
      </c>
      <c r="D749" s="46">
        <v>35402.0</v>
      </c>
      <c r="E749" s="46">
        <v>35962.0</v>
      </c>
    </row>
    <row r="750">
      <c r="A750" s="45">
        <v>18105.0</v>
      </c>
      <c r="B750" s="45" t="s">
        <v>2513</v>
      </c>
      <c r="C750" s="45" t="s">
        <v>2044</v>
      </c>
      <c r="D750" s="46">
        <v>139342.0</v>
      </c>
      <c r="E750" s="46">
        <v>139718.0</v>
      </c>
    </row>
    <row r="751">
      <c r="A751" s="45">
        <v>18107.0</v>
      </c>
      <c r="B751" s="45" t="s">
        <v>2513</v>
      </c>
      <c r="C751" s="45" t="s">
        <v>2045</v>
      </c>
      <c r="D751" s="46">
        <v>38573.0</v>
      </c>
      <c r="E751" s="46">
        <v>37936.0</v>
      </c>
    </row>
    <row r="752">
      <c r="A752" s="45">
        <v>18109.0</v>
      </c>
      <c r="B752" s="45" t="s">
        <v>2513</v>
      </c>
      <c r="C752" s="45" t="s">
        <v>2046</v>
      </c>
      <c r="D752" s="46">
        <v>73227.0</v>
      </c>
      <c r="E752" s="46">
        <v>71780.0</v>
      </c>
    </row>
    <row r="753">
      <c r="A753" s="45">
        <v>18111.0</v>
      </c>
      <c r="B753" s="45" t="s">
        <v>2513</v>
      </c>
      <c r="C753" s="45" t="s">
        <v>2116</v>
      </c>
      <c r="D753" s="46">
        <v>13960.0</v>
      </c>
      <c r="E753" s="46">
        <v>13830.0</v>
      </c>
    </row>
    <row r="754">
      <c r="A754" s="45">
        <v>18113.0</v>
      </c>
      <c r="B754" s="45" t="s">
        <v>2513</v>
      </c>
      <c r="C754" s="45" t="s">
        <v>2533</v>
      </c>
      <c r="D754" s="46">
        <v>47430.0</v>
      </c>
      <c r="E754" s="46">
        <v>47457.0</v>
      </c>
    </row>
    <row r="755">
      <c r="A755" s="45">
        <v>18115.0</v>
      </c>
      <c r="B755" s="45" t="s">
        <v>2513</v>
      </c>
      <c r="C755" s="45" t="s">
        <v>2534</v>
      </c>
      <c r="D755" s="46">
        <v>6004.0</v>
      </c>
      <c r="E755" s="46">
        <v>5940.0</v>
      </c>
    </row>
    <row r="756">
      <c r="A756" s="45">
        <v>18117.0</v>
      </c>
      <c r="B756" s="45" t="s">
        <v>2513</v>
      </c>
      <c r="C756" s="45" t="s">
        <v>2166</v>
      </c>
      <c r="D756" s="46">
        <v>19638.0</v>
      </c>
      <c r="E756" s="46">
        <v>19867.0</v>
      </c>
    </row>
    <row r="757">
      <c r="A757" s="45">
        <v>18119.0</v>
      </c>
      <c r="B757" s="45" t="s">
        <v>2513</v>
      </c>
      <c r="C757" s="45" t="s">
        <v>2535</v>
      </c>
      <c r="D757" s="46">
        <v>21532.0</v>
      </c>
      <c r="E757" s="46">
        <v>21321.0</v>
      </c>
    </row>
    <row r="758">
      <c r="A758" s="45">
        <v>18121.0</v>
      </c>
      <c r="B758" s="45" t="s">
        <v>2513</v>
      </c>
      <c r="C758" s="45" t="s">
        <v>2536</v>
      </c>
      <c r="D758" s="46">
        <v>16484.0</v>
      </c>
      <c r="E758" s="46">
        <v>16156.0</v>
      </c>
    </row>
    <row r="759">
      <c r="A759" s="45">
        <v>18123.0</v>
      </c>
      <c r="B759" s="45" t="s">
        <v>2513</v>
      </c>
      <c r="C759" s="45" t="s">
        <v>2047</v>
      </c>
      <c r="D759" s="46">
        <v>19209.0</v>
      </c>
      <c r="E759" s="46">
        <v>19170.0</v>
      </c>
    </row>
    <row r="760">
      <c r="A760" s="45">
        <v>18125.0</v>
      </c>
      <c r="B760" s="45" t="s">
        <v>2513</v>
      </c>
      <c r="C760" s="45" t="s">
        <v>2049</v>
      </c>
      <c r="D760" s="46">
        <v>12106.0</v>
      </c>
      <c r="E760" s="46">
        <v>12250.0</v>
      </c>
    </row>
    <row r="761">
      <c r="A761" s="45">
        <v>18127.0</v>
      </c>
      <c r="B761" s="45" t="s">
        <v>2513</v>
      </c>
      <c r="C761" s="45" t="s">
        <v>2537</v>
      </c>
      <c r="D761" s="46">
        <v>175335.0</v>
      </c>
      <c r="E761" s="46">
        <v>173215.0</v>
      </c>
    </row>
    <row r="762">
      <c r="A762" s="45">
        <v>18129.0</v>
      </c>
      <c r="B762" s="45" t="s">
        <v>2513</v>
      </c>
      <c r="C762" s="45" t="s">
        <v>2538</v>
      </c>
      <c r="D762" s="46">
        <v>25040.0</v>
      </c>
      <c r="E762" s="46">
        <v>25222.0</v>
      </c>
    </row>
    <row r="763">
      <c r="A763" s="45">
        <v>18131.0</v>
      </c>
      <c r="B763" s="45" t="s">
        <v>2513</v>
      </c>
      <c r="C763" s="45" t="s">
        <v>2123</v>
      </c>
      <c r="D763" s="46">
        <v>12385.0</v>
      </c>
      <c r="E763" s="46">
        <v>12514.0</v>
      </c>
    </row>
    <row r="764">
      <c r="A764" s="45">
        <v>18133.0</v>
      </c>
      <c r="B764" s="45" t="s">
        <v>2513</v>
      </c>
      <c r="C764" s="45" t="s">
        <v>2303</v>
      </c>
      <c r="D764" s="46">
        <v>37567.0</v>
      </c>
      <c r="E764" s="46">
        <v>36726.0</v>
      </c>
    </row>
    <row r="765">
      <c r="A765" s="45">
        <v>18135.0</v>
      </c>
      <c r="B765" s="45" t="s">
        <v>2513</v>
      </c>
      <c r="C765" s="45" t="s">
        <v>2050</v>
      </c>
      <c r="D765" s="46">
        <v>24216.0</v>
      </c>
      <c r="E765" s="46">
        <v>24502.0</v>
      </c>
    </row>
    <row r="766">
      <c r="A766" s="45">
        <v>18137.0</v>
      </c>
      <c r="B766" s="45" t="s">
        <v>2513</v>
      </c>
      <c r="C766" s="45" t="s">
        <v>2539</v>
      </c>
      <c r="D766" s="46">
        <v>29227.0</v>
      </c>
      <c r="E766" s="46">
        <v>28995.0</v>
      </c>
    </row>
    <row r="767">
      <c r="A767" s="45">
        <v>18139.0</v>
      </c>
      <c r="B767" s="45" t="s">
        <v>2513</v>
      </c>
      <c r="C767" s="45" t="s">
        <v>2540</v>
      </c>
      <c r="D767" s="46">
        <v>16847.0</v>
      </c>
      <c r="E767" s="46">
        <v>16752.0</v>
      </c>
    </row>
    <row r="768">
      <c r="A768" s="45">
        <v>18141.0</v>
      </c>
      <c r="B768" s="45" t="s">
        <v>2513</v>
      </c>
      <c r="C768" s="45" t="s">
        <v>2541</v>
      </c>
      <c r="D768" s="46">
        <v>272848.0</v>
      </c>
      <c r="E768" s="46">
        <v>272912.0</v>
      </c>
    </row>
    <row r="769">
      <c r="A769" s="45">
        <v>18143.0</v>
      </c>
      <c r="B769" s="45" t="s">
        <v>2513</v>
      </c>
      <c r="C769" s="45" t="s">
        <v>2126</v>
      </c>
      <c r="D769" s="46">
        <v>24657.0</v>
      </c>
      <c r="E769" s="46">
        <v>24384.0</v>
      </c>
    </row>
    <row r="770">
      <c r="A770" s="45">
        <v>18145.0</v>
      </c>
      <c r="B770" s="45" t="s">
        <v>2513</v>
      </c>
      <c r="C770" s="45" t="s">
        <v>2053</v>
      </c>
      <c r="D770" s="46">
        <v>45231.0</v>
      </c>
      <c r="E770" s="46">
        <v>45055.0</v>
      </c>
    </row>
    <row r="771">
      <c r="A771" s="45">
        <v>18147.0</v>
      </c>
      <c r="B771" s="45" t="s">
        <v>2513</v>
      </c>
      <c r="C771" s="45" t="s">
        <v>2542</v>
      </c>
      <c r="D771" s="46">
        <v>19910.0</v>
      </c>
      <c r="E771" s="46">
        <v>19810.0</v>
      </c>
    </row>
    <row r="772">
      <c r="A772" s="45">
        <v>18149.0</v>
      </c>
      <c r="B772" s="45" t="s">
        <v>2513</v>
      </c>
      <c r="C772" s="45" t="s">
        <v>2543</v>
      </c>
      <c r="D772" s="46">
        <v>23206.0</v>
      </c>
      <c r="E772" s="46">
        <v>23371.0</v>
      </c>
    </row>
    <row r="773">
      <c r="A773" s="45">
        <v>18151.0</v>
      </c>
      <c r="B773" s="45" t="s">
        <v>2513</v>
      </c>
      <c r="C773" s="45" t="s">
        <v>2544</v>
      </c>
      <c r="D773" s="46">
        <v>34917.0</v>
      </c>
      <c r="E773" s="46">
        <v>34435.0</v>
      </c>
    </row>
    <row r="774">
      <c r="A774" s="45">
        <v>18153.0</v>
      </c>
      <c r="B774" s="45" t="s">
        <v>2513</v>
      </c>
      <c r="C774" s="45" t="s">
        <v>2545</v>
      </c>
      <c r="D774" s="46">
        <v>20757.0</v>
      </c>
      <c r="E774" s="46">
        <v>20817.0</v>
      </c>
    </row>
    <row r="775">
      <c r="A775" s="45">
        <v>18155.0</v>
      </c>
      <c r="B775" s="45" t="s">
        <v>2513</v>
      </c>
      <c r="C775" s="45" t="s">
        <v>2546</v>
      </c>
      <c r="D775" s="46">
        <v>10019.0</v>
      </c>
      <c r="E775" s="46">
        <v>9737.0</v>
      </c>
    </row>
    <row r="776">
      <c r="A776" s="45">
        <v>18157.0</v>
      </c>
      <c r="B776" s="45" t="s">
        <v>2513</v>
      </c>
      <c r="C776" s="45" t="s">
        <v>2547</v>
      </c>
      <c r="D776" s="46">
        <v>188792.0</v>
      </c>
      <c r="E776" s="46">
        <v>186251.0</v>
      </c>
    </row>
    <row r="777">
      <c r="A777" s="45">
        <v>18159.0</v>
      </c>
      <c r="B777" s="45" t="s">
        <v>2513</v>
      </c>
      <c r="C777" s="45" t="s">
        <v>2548</v>
      </c>
      <c r="D777" s="46">
        <v>15256.0</v>
      </c>
      <c r="E777" s="46">
        <v>15359.0</v>
      </c>
    </row>
    <row r="778">
      <c r="A778" s="45">
        <v>18161.0</v>
      </c>
      <c r="B778" s="45" t="s">
        <v>2513</v>
      </c>
      <c r="C778" s="45" t="s">
        <v>2132</v>
      </c>
      <c r="D778" s="46">
        <v>6973.0</v>
      </c>
      <c r="E778" s="46">
        <v>7087.0</v>
      </c>
    </row>
    <row r="779">
      <c r="A779" s="45">
        <v>18163.0</v>
      </c>
      <c r="B779" s="45" t="s">
        <v>2513</v>
      </c>
      <c r="C779" s="45" t="s">
        <v>2549</v>
      </c>
      <c r="D779" s="46">
        <v>179810.0</v>
      </c>
      <c r="E779" s="46">
        <v>180136.0</v>
      </c>
    </row>
    <row r="780">
      <c r="A780" s="45">
        <v>18165.0</v>
      </c>
      <c r="B780" s="45" t="s">
        <v>2513</v>
      </c>
      <c r="C780" s="45" t="s">
        <v>2550</v>
      </c>
      <c r="D780" s="46">
        <v>15417.0</v>
      </c>
      <c r="E780" s="46">
        <v>15439.0</v>
      </c>
    </row>
    <row r="781">
      <c r="A781" s="45">
        <v>18167.0</v>
      </c>
      <c r="B781" s="45" t="s">
        <v>2513</v>
      </c>
      <c r="C781" s="45" t="s">
        <v>2551</v>
      </c>
      <c r="D781" s="46">
        <v>106153.0</v>
      </c>
      <c r="E781" s="46">
        <v>106153.0</v>
      </c>
    </row>
    <row r="782">
      <c r="A782" s="45">
        <v>18169.0</v>
      </c>
      <c r="B782" s="45" t="s">
        <v>2513</v>
      </c>
      <c r="C782" s="45" t="s">
        <v>2507</v>
      </c>
      <c r="D782" s="46">
        <v>30670.0</v>
      </c>
      <c r="E782" s="46">
        <v>30976.0</v>
      </c>
    </row>
    <row r="783">
      <c r="A783" s="45">
        <v>18171.0</v>
      </c>
      <c r="B783" s="45" t="s">
        <v>2513</v>
      </c>
      <c r="C783" s="45" t="s">
        <v>2415</v>
      </c>
      <c r="D783" s="46">
        <v>8518.0</v>
      </c>
      <c r="E783" s="46">
        <v>8440.0</v>
      </c>
    </row>
    <row r="784">
      <c r="A784" s="45">
        <v>18173.0</v>
      </c>
      <c r="B784" s="45" t="s">
        <v>2513</v>
      </c>
      <c r="C784" s="45" t="s">
        <v>2552</v>
      </c>
      <c r="D784" s="46">
        <v>65867.0</v>
      </c>
      <c r="E784" s="46">
        <v>63898.0</v>
      </c>
    </row>
    <row r="785">
      <c r="A785" s="45">
        <v>18175.0</v>
      </c>
      <c r="B785" s="45" t="s">
        <v>2513</v>
      </c>
      <c r="C785" s="45" t="s">
        <v>2059</v>
      </c>
      <c r="D785" s="46">
        <v>28205.0</v>
      </c>
      <c r="E785" s="46">
        <v>28182.0</v>
      </c>
    </row>
    <row r="786">
      <c r="A786" s="45">
        <v>18177.0</v>
      </c>
      <c r="B786" s="45" t="s">
        <v>2513</v>
      </c>
      <c r="C786" s="45" t="s">
        <v>2416</v>
      </c>
      <c r="D786" s="46">
        <v>66127.0</v>
      </c>
      <c r="E786" s="46">
        <v>66553.0</v>
      </c>
    </row>
    <row r="787">
      <c r="A787" s="45">
        <v>18179.0</v>
      </c>
      <c r="B787" s="45" t="s">
        <v>2513</v>
      </c>
      <c r="C787" s="45" t="s">
        <v>2553</v>
      </c>
      <c r="D787" s="46">
        <v>28555.0</v>
      </c>
      <c r="E787" s="46">
        <v>28180.0</v>
      </c>
    </row>
    <row r="788">
      <c r="A788" s="45">
        <v>18181.0</v>
      </c>
      <c r="B788" s="45" t="s">
        <v>2513</v>
      </c>
      <c r="C788" s="45" t="s">
        <v>2134</v>
      </c>
      <c r="D788" s="46">
        <v>24917.0</v>
      </c>
      <c r="E788" s="46">
        <v>24688.0</v>
      </c>
    </row>
    <row r="789">
      <c r="A789" s="45">
        <v>18183.0</v>
      </c>
      <c r="B789" s="45" t="s">
        <v>2513</v>
      </c>
      <c r="C789" s="45" t="s">
        <v>2554</v>
      </c>
      <c r="D789" s="46">
        <v>34742.0</v>
      </c>
      <c r="E789" s="46">
        <v>34191.0</v>
      </c>
    </row>
    <row r="790">
      <c r="A790" s="45">
        <v>19001.0</v>
      </c>
      <c r="B790" s="45" t="s">
        <v>2555</v>
      </c>
      <c r="C790" s="45" t="s">
        <v>2556</v>
      </c>
      <c r="D790" s="46">
        <v>7389.0</v>
      </c>
      <c r="E790" s="46">
        <v>7496.0</v>
      </c>
    </row>
    <row r="791">
      <c r="A791" s="45">
        <v>19003.0</v>
      </c>
      <c r="B791" s="45" t="s">
        <v>2555</v>
      </c>
      <c r="C791" s="45" t="s">
        <v>2195</v>
      </c>
      <c r="D791" s="46">
        <v>3544.0</v>
      </c>
      <c r="E791" s="46">
        <v>3704.0</v>
      </c>
    </row>
    <row r="792">
      <c r="A792" s="45">
        <v>19005.0</v>
      </c>
      <c r="B792" s="45" t="s">
        <v>2555</v>
      </c>
      <c r="C792" s="45" t="s">
        <v>2557</v>
      </c>
      <c r="D792" s="46">
        <v>14074.0</v>
      </c>
      <c r="E792" s="46">
        <v>14061.0</v>
      </c>
    </row>
    <row r="793">
      <c r="A793" s="45">
        <v>19007.0</v>
      </c>
      <c r="B793" s="45" t="s">
        <v>2555</v>
      </c>
      <c r="C793" s="45" t="s">
        <v>2558</v>
      </c>
      <c r="D793" s="46">
        <v>12119.0</v>
      </c>
      <c r="E793" s="46">
        <v>12317.0</v>
      </c>
    </row>
    <row r="794">
      <c r="A794" s="45">
        <v>19009.0</v>
      </c>
      <c r="B794" s="45" t="s">
        <v>2555</v>
      </c>
      <c r="C794" s="45" t="s">
        <v>2559</v>
      </c>
      <c r="D794" s="46">
        <v>5534.0</v>
      </c>
      <c r="E794" s="46">
        <v>5674.0</v>
      </c>
    </row>
    <row r="795">
      <c r="A795" s="45">
        <v>19011.0</v>
      </c>
      <c r="B795" s="45" t="s">
        <v>2555</v>
      </c>
      <c r="C795" s="45" t="s">
        <v>2083</v>
      </c>
      <c r="D795" s="46">
        <v>25796.0</v>
      </c>
      <c r="E795" s="46">
        <v>25575.0</v>
      </c>
    </row>
    <row r="796">
      <c r="A796" s="45">
        <v>19013.0</v>
      </c>
      <c r="B796" s="45" t="s">
        <v>2555</v>
      </c>
      <c r="C796" s="45" t="s">
        <v>2560</v>
      </c>
      <c r="D796" s="46">
        <v>130471.0</v>
      </c>
      <c r="E796" s="46">
        <v>131144.0</v>
      </c>
    </row>
    <row r="797">
      <c r="A797" s="45">
        <v>19015.0</v>
      </c>
      <c r="B797" s="45" t="s">
        <v>2555</v>
      </c>
      <c r="C797" s="45" t="s">
        <v>2084</v>
      </c>
      <c r="D797" s="46">
        <v>26590.0</v>
      </c>
      <c r="E797" s="46">
        <v>26715.0</v>
      </c>
    </row>
    <row r="798">
      <c r="A798" s="45">
        <v>19017.0</v>
      </c>
      <c r="B798" s="45" t="s">
        <v>2555</v>
      </c>
      <c r="C798" s="45" t="s">
        <v>2561</v>
      </c>
      <c r="D798" s="46">
        <v>25307.0</v>
      </c>
      <c r="E798" s="46">
        <v>24988.0</v>
      </c>
    </row>
    <row r="799">
      <c r="A799" s="45">
        <v>19019.0</v>
      </c>
      <c r="B799" s="45" t="s">
        <v>2555</v>
      </c>
      <c r="C799" s="45" t="s">
        <v>2562</v>
      </c>
      <c r="D799" s="46">
        <v>20691.0</v>
      </c>
      <c r="E799" s="46">
        <v>20565.0</v>
      </c>
    </row>
    <row r="800">
      <c r="A800" s="45">
        <v>19021.0</v>
      </c>
      <c r="B800" s="45" t="s">
        <v>2555</v>
      </c>
      <c r="C800" s="45" t="s">
        <v>2563</v>
      </c>
      <c r="D800" s="46">
        <v>20567.0</v>
      </c>
      <c r="E800" s="46">
        <v>20823.0</v>
      </c>
    </row>
    <row r="801">
      <c r="A801" s="45">
        <v>19023.0</v>
      </c>
      <c r="B801" s="45" t="s">
        <v>2555</v>
      </c>
      <c r="C801" s="45" t="s">
        <v>2001</v>
      </c>
      <c r="D801" s="46">
        <v>14172.0</v>
      </c>
      <c r="E801" s="46">
        <v>14334.0</v>
      </c>
    </row>
    <row r="802">
      <c r="A802" s="45">
        <v>19025.0</v>
      </c>
      <c r="B802" s="45" t="s">
        <v>2555</v>
      </c>
      <c r="C802" s="45" t="s">
        <v>2002</v>
      </c>
      <c r="D802" s="46">
        <v>9763.0</v>
      </c>
      <c r="E802" s="46">
        <v>9927.0</v>
      </c>
    </row>
    <row r="803">
      <c r="A803" s="45">
        <v>19027.0</v>
      </c>
      <c r="B803" s="45" t="s">
        <v>2555</v>
      </c>
      <c r="C803" s="45" t="s">
        <v>2086</v>
      </c>
      <c r="D803" s="46">
        <v>20522.0</v>
      </c>
      <c r="E803" s="46">
        <v>20760.0</v>
      </c>
    </row>
    <row r="804">
      <c r="A804" s="45">
        <v>19029.0</v>
      </c>
      <c r="B804" s="45" t="s">
        <v>2555</v>
      </c>
      <c r="C804" s="45" t="s">
        <v>2463</v>
      </c>
      <c r="D804" s="46">
        <v>13130.0</v>
      </c>
      <c r="E804" s="46">
        <v>13127.0</v>
      </c>
    </row>
    <row r="805">
      <c r="A805" s="45">
        <v>19031.0</v>
      </c>
      <c r="B805" s="45" t="s">
        <v>2555</v>
      </c>
      <c r="C805" s="45" t="s">
        <v>2564</v>
      </c>
      <c r="D805" s="46">
        <v>18302.0</v>
      </c>
      <c r="E805" s="46">
        <v>18505.0</v>
      </c>
    </row>
    <row r="806">
      <c r="A806" s="45">
        <v>19033.0</v>
      </c>
      <c r="B806" s="45" t="s">
        <v>2555</v>
      </c>
      <c r="C806" s="45" t="s">
        <v>2565</v>
      </c>
      <c r="D806" s="46">
        <v>42406.0</v>
      </c>
      <c r="E806" s="46">
        <v>43127.0</v>
      </c>
    </row>
    <row r="807">
      <c r="A807" s="45">
        <v>19035.0</v>
      </c>
      <c r="B807" s="45" t="s">
        <v>2555</v>
      </c>
      <c r="C807" s="45" t="s">
        <v>2004</v>
      </c>
      <c r="D807" s="46">
        <v>11605.0</v>
      </c>
      <c r="E807" s="46">
        <v>11658.0</v>
      </c>
    </row>
    <row r="808">
      <c r="A808" s="45">
        <v>19037.0</v>
      </c>
      <c r="B808" s="45" t="s">
        <v>2555</v>
      </c>
      <c r="C808" s="45" t="s">
        <v>2566</v>
      </c>
      <c r="D808" s="46">
        <v>11658.0</v>
      </c>
      <c r="E808" s="46">
        <v>12012.0</v>
      </c>
    </row>
    <row r="809">
      <c r="A809" s="45">
        <v>19039.0</v>
      </c>
      <c r="B809" s="45" t="s">
        <v>2555</v>
      </c>
      <c r="C809" s="45" t="s">
        <v>2007</v>
      </c>
      <c r="D809" s="46">
        <v>9588.0</v>
      </c>
      <c r="E809" s="46">
        <v>9748.0</v>
      </c>
    </row>
    <row r="810">
      <c r="A810" s="45">
        <v>19041.0</v>
      </c>
      <c r="B810" s="45" t="s">
        <v>2555</v>
      </c>
      <c r="C810" s="45" t="s">
        <v>2008</v>
      </c>
      <c r="D810" s="46">
        <v>16511.0</v>
      </c>
      <c r="E810" s="46">
        <v>16384.0</v>
      </c>
    </row>
    <row r="811">
      <c r="A811" s="45">
        <v>19043.0</v>
      </c>
      <c r="B811" s="45" t="s">
        <v>2555</v>
      </c>
      <c r="C811" s="45" t="s">
        <v>2337</v>
      </c>
      <c r="D811" s="46">
        <v>16969.0</v>
      </c>
      <c r="E811" s="46">
        <v>17043.0</v>
      </c>
    </row>
    <row r="812">
      <c r="A812" s="45">
        <v>19045.0</v>
      </c>
      <c r="B812" s="45" t="s">
        <v>2555</v>
      </c>
      <c r="C812" s="45" t="s">
        <v>2466</v>
      </c>
      <c r="D812" s="46">
        <v>46158.0</v>
      </c>
      <c r="E812" s="46">
        <v>46460.0</v>
      </c>
    </row>
    <row r="813">
      <c r="A813" s="45">
        <v>19047.0</v>
      </c>
      <c r="B813" s="45" t="s">
        <v>2555</v>
      </c>
      <c r="C813" s="45" t="s">
        <v>2093</v>
      </c>
      <c r="D813" s="46">
        <v>16013.0</v>
      </c>
      <c r="E813" s="46">
        <v>16525.0</v>
      </c>
    </row>
    <row r="814">
      <c r="A814" s="45">
        <v>19049.0</v>
      </c>
      <c r="B814" s="45" t="s">
        <v>2555</v>
      </c>
      <c r="C814" s="45" t="s">
        <v>2018</v>
      </c>
      <c r="D814" s="46">
        <v>111092.0</v>
      </c>
      <c r="E814" s="46">
        <v>99678.0</v>
      </c>
    </row>
    <row r="815">
      <c r="A815" s="45">
        <v>19051.0</v>
      </c>
      <c r="B815" s="45" t="s">
        <v>2555</v>
      </c>
      <c r="C815" s="45" t="s">
        <v>2567</v>
      </c>
      <c r="D815" s="46">
        <v>9169.0</v>
      </c>
      <c r="E815" s="46">
        <v>9110.0</v>
      </c>
    </row>
    <row r="816">
      <c r="A816" s="45">
        <v>19053.0</v>
      </c>
      <c r="B816" s="45" t="s">
        <v>2555</v>
      </c>
      <c r="C816" s="45" t="s">
        <v>2346</v>
      </c>
      <c r="D816" s="46">
        <v>7665.0</v>
      </c>
      <c r="E816" s="46">
        <v>7645.0</v>
      </c>
    </row>
    <row r="817">
      <c r="A817" s="45">
        <v>19055.0</v>
      </c>
      <c r="B817" s="45" t="s">
        <v>2555</v>
      </c>
      <c r="C817" s="45" t="s">
        <v>2519</v>
      </c>
      <c r="D817" s="46">
        <v>17600.0</v>
      </c>
      <c r="E817" s="46">
        <v>17488.0</v>
      </c>
    </row>
    <row r="818">
      <c r="A818" s="45">
        <v>19057.0</v>
      </c>
      <c r="B818" s="45" t="s">
        <v>2555</v>
      </c>
      <c r="C818" s="45" t="s">
        <v>2568</v>
      </c>
      <c r="D818" s="46">
        <v>38253.0</v>
      </c>
      <c r="E818" s="46">
        <v>38910.0</v>
      </c>
    </row>
    <row r="819">
      <c r="A819" s="45">
        <v>19059.0</v>
      </c>
      <c r="B819" s="45" t="s">
        <v>2555</v>
      </c>
      <c r="C819" s="45" t="s">
        <v>2569</v>
      </c>
      <c r="D819" s="46">
        <v>18056.0</v>
      </c>
      <c r="E819" s="46">
        <v>17703.0</v>
      </c>
    </row>
    <row r="820">
      <c r="A820" s="45">
        <v>19061.0</v>
      </c>
      <c r="B820" s="45" t="s">
        <v>2555</v>
      </c>
      <c r="C820" s="45" t="s">
        <v>2570</v>
      </c>
      <c r="D820" s="46">
        <v>98887.0</v>
      </c>
      <c r="E820" s="46">
        <v>99266.0</v>
      </c>
    </row>
    <row r="821">
      <c r="A821" s="45">
        <v>19063.0</v>
      </c>
      <c r="B821" s="45" t="s">
        <v>2555</v>
      </c>
      <c r="C821" s="45" t="s">
        <v>2571</v>
      </c>
      <c r="D821" s="46">
        <v>9229.0</v>
      </c>
      <c r="E821" s="46">
        <v>9388.0</v>
      </c>
    </row>
    <row r="822">
      <c r="A822" s="45">
        <v>19065.0</v>
      </c>
      <c r="B822" s="45" t="s">
        <v>2555</v>
      </c>
      <c r="C822" s="45" t="s">
        <v>2023</v>
      </c>
      <c r="D822" s="46">
        <v>19210.0</v>
      </c>
      <c r="E822" s="46">
        <v>19509.0</v>
      </c>
    </row>
    <row r="823">
      <c r="A823" s="45">
        <v>19067.0</v>
      </c>
      <c r="B823" s="45" t="s">
        <v>2555</v>
      </c>
      <c r="C823" s="45" t="s">
        <v>2356</v>
      </c>
      <c r="D823" s="46">
        <v>15326.0</v>
      </c>
      <c r="E823" s="46">
        <v>15627.0</v>
      </c>
    </row>
    <row r="824">
      <c r="A824" s="45">
        <v>19069.0</v>
      </c>
      <c r="B824" s="45" t="s">
        <v>2555</v>
      </c>
      <c r="C824" s="45" t="s">
        <v>2024</v>
      </c>
      <c r="D824" s="46">
        <v>9875.0</v>
      </c>
      <c r="E824" s="46">
        <v>10019.0</v>
      </c>
    </row>
    <row r="825">
      <c r="A825" s="45">
        <v>19071.0</v>
      </c>
      <c r="B825" s="45" t="s">
        <v>2555</v>
      </c>
      <c r="C825" s="45" t="s">
        <v>2217</v>
      </c>
      <c r="D825" s="46">
        <v>6458.0</v>
      </c>
      <c r="E825" s="46">
        <v>6605.0</v>
      </c>
    </row>
    <row r="826">
      <c r="A826" s="45">
        <v>19073.0</v>
      </c>
      <c r="B826" s="45" t="s">
        <v>2555</v>
      </c>
      <c r="C826" s="45" t="s">
        <v>2026</v>
      </c>
      <c r="D826" s="46">
        <v>8584.0</v>
      </c>
      <c r="E826" s="46">
        <v>8771.0</v>
      </c>
    </row>
    <row r="827">
      <c r="A827" s="45">
        <v>19075.0</v>
      </c>
      <c r="B827" s="45" t="s">
        <v>2555</v>
      </c>
      <c r="C827" s="45" t="s">
        <v>2475</v>
      </c>
      <c r="D827" s="46">
        <v>12384.0</v>
      </c>
      <c r="E827" s="46">
        <v>12329.0</v>
      </c>
    </row>
    <row r="828">
      <c r="A828" s="45">
        <v>19077.0</v>
      </c>
      <c r="B828" s="45" t="s">
        <v>2555</v>
      </c>
      <c r="C828" s="45" t="s">
        <v>2572</v>
      </c>
      <c r="D828" s="46">
        <v>10722.0</v>
      </c>
      <c r="E828" s="46">
        <v>10623.0</v>
      </c>
    </row>
    <row r="829">
      <c r="A829" s="45">
        <v>19079.0</v>
      </c>
      <c r="B829" s="45" t="s">
        <v>2555</v>
      </c>
      <c r="C829" s="45" t="s">
        <v>2282</v>
      </c>
      <c r="D829" s="46">
        <v>14729.0</v>
      </c>
      <c r="E829" s="46">
        <v>15039.0</v>
      </c>
    </row>
    <row r="830">
      <c r="A830" s="45">
        <v>19081.0</v>
      </c>
      <c r="B830" s="45" t="s">
        <v>2555</v>
      </c>
      <c r="C830" s="45" t="s">
        <v>2366</v>
      </c>
      <c r="D830" s="46">
        <v>10615.0</v>
      </c>
      <c r="E830" s="46">
        <v>10795.0</v>
      </c>
    </row>
    <row r="831">
      <c r="A831" s="45">
        <v>19083.0</v>
      </c>
      <c r="B831" s="45" t="s">
        <v>2555</v>
      </c>
      <c r="C831" s="45" t="s">
        <v>2476</v>
      </c>
      <c r="D831" s="46">
        <v>16463.0</v>
      </c>
      <c r="E831" s="46">
        <v>16878.0</v>
      </c>
    </row>
    <row r="832">
      <c r="A832" s="45">
        <v>19085.0</v>
      </c>
      <c r="B832" s="45" t="s">
        <v>2555</v>
      </c>
      <c r="C832" s="45" t="s">
        <v>2524</v>
      </c>
      <c r="D832" s="46">
        <v>14670.0</v>
      </c>
      <c r="E832" s="46">
        <v>14582.0</v>
      </c>
    </row>
    <row r="833">
      <c r="A833" s="45">
        <v>19087.0</v>
      </c>
      <c r="B833" s="45" t="s">
        <v>2555</v>
      </c>
      <c r="C833" s="45" t="s">
        <v>2028</v>
      </c>
      <c r="D833" s="46">
        <v>19547.0</v>
      </c>
      <c r="E833" s="46">
        <v>20482.0</v>
      </c>
    </row>
    <row r="834">
      <c r="A834" s="45">
        <v>19089.0</v>
      </c>
      <c r="B834" s="45" t="s">
        <v>2555</v>
      </c>
      <c r="C834" s="45" t="s">
        <v>2104</v>
      </c>
      <c r="D834" s="46">
        <v>9376.0</v>
      </c>
      <c r="E834" s="46">
        <v>9469.0</v>
      </c>
    </row>
    <row r="835">
      <c r="A835" s="45">
        <v>19091.0</v>
      </c>
      <c r="B835" s="45" t="s">
        <v>2555</v>
      </c>
      <c r="C835" s="45" t="s">
        <v>2149</v>
      </c>
      <c r="D835" s="46">
        <v>9500.0</v>
      </c>
      <c r="E835" s="46">
        <v>9597.0</v>
      </c>
    </row>
    <row r="836">
      <c r="A836" s="45">
        <v>19093.0</v>
      </c>
      <c r="B836" s="45" t="s">
        <v>2555</v>
      </c>
      <c r="C836" s="45" t="s">
        <v>2573</v>
      </c>
      <c r="D836" s="46">
        <v>6833.0</v>
      </c>
      <c r="E836" s="46">
        <v>7005.0</v>
      </c>
    </row>
    <row r="837">
      <c r="A837" s="45">
        <v>19095.0</v>
      </c>
      <c r="B837" s="45" t="s">
        <v>2555</v>
      </c>
      <c r="C837" s="45" t="s">
        <v>2574</v>
      </c>
      <c r="D837" s="46">
        <v>16381.0</v>
      </c>
      <c r="E837" s="46">
        <v>16662.0</v>
      </c>
    </row>
    <row r="838">
      <c r="A838" s="45">
        <v>19097.0</v>
      </c>
      <c r="B838" s="45" t="s">
        <v>2555</v>
      </c>
      <c r="C838" s="45" t="s">
        <v>2030</v>
      </c>
      <c r="D838" s="46">
        <v>19342.0</v>
      </c>
      <c r="E838" s="46">
        <v>19485.0</v>
      </c>
    </row>
    <row r="839">
      <c r="A839" s="45">
        <v>19099.0</v>
      </c>
      <c r="B839" s="45" t="s">
        <v>2555</v>
      </c>
      <c r="C839" s="45" t="s">
        <v>2372</v>
      </c>
      <c r="D839" s="46">
        <v>37919.0</v>
      </c>
      <c r="E839" s="46">
        <v>37813.0</v>
      </c>
    </row>
    <row r="840">
      <c r="A840" s="45">
        <v>19101.0</v>
      </c>
      <c r="B840" s="45" t="s">
        <v>2555</v>
      </c>
      <c r="C840" s="45" t="s">
        <v>2031</v>
      </c>
      <c r="D840" s="46">
        <v>15440.0</v>
      </c>
      <c r="E840" s="46">
        <v>15663.0</v>
      </c>
    </row>
    <row r="841">
      <c r="A841" s="45">
        <v>19103.0</v>
      </c>
      <c r="B841" s="45" t="s">
        <v>2555</v>
      </c>
      <c r="C841" s="45" t="s">
        <v>2107</v>
      </c>
      <c r="D841" s="46">
        <v>157528.0</v>
      </c>
      <c r="E841" s="46">
        <v>152854.0</v>
      </c>
    </row>
    <row r="842">
      <c r="A842" s="45">
        <v>19105.0</v>
      </c>
      <c r="B842" s="45" t="s">
        <v>2555</v>
      </c>
      <c r="C842" s="45" t="s">
        <v>2375</v>
      </c>
      <c r="D842" s="46">
        <v>20900.0</v>
      </c>
      <c r="E842" s="46">
        <v>20646.0</v>
      </c>
    </row>
    <row r="843">
      <c r="A843" s="45">
        <v>19107.0</v>
      </c>
      <c r="B843" s="45" t="s">
        <v>2555</v>
      </c>
      <c r="C843" s="45" t="s">
        <v>2575</v>
      </c>
      <c r="D843" s="46">
        <v>9914.0</v>
      </c>
      <c r="E843" s="46">
        <v>10033.0</v>
      </c>
    </row>
    <row r="844">
      <c r="A844" s="45">
        <v>19109.0</v>
      </c>
      <c r="B844" s="45" t="s">
        <v>2555</v>
      </c>
      <c r="C844" s="45" t="s">
        <v>2576</v>
      </c>
      <c r="D844" s="46">
        <v>14396.0</v>
      </c>
      <c r="E844" s="46">
        <v>14828.0</v>
      </c>
    </row>
    <row r="845">
      <c r="A845" s="45">
        <v>19111.0</v>
      </c>
      <c r="B845" s="45" t="s">
        <v>2555</v>
      </c>
      <c r="C845" s="45" t="s">
        <v>2035</v>
      </c>
      <c r="D845" s="46">
        <v>32565.0</v>
      </c>
      <c r="E845" s="46">
        <v>33555.0</v>
      </c>
    </row>
    <row r="846">
      <c r="A846" s="45">
        <v>19113.0</v>
      </c>
      <c r="B846" s="45" t="s">
        <v>2555</v>
      </c>
      <c r="C846" s="45" t="s">
        <v>2577</v>
      </c>
      <c r="D846" s="46">
        <v>228972.0</v>
      </c>
      <c r="E846" s="46">
        <v>230299.0</v>
      </c>
    </row>
    <row r="847">
      <c r="A847" s="45">
        <v>19115.0</v>
      </c>
      <c r="B847" s="45" t="s">
        <v>2555</v>
      </c>
      <c r="C847" s="45" t="s">
        <v>2578</v>
      </c>
      <c r="D847" s="46">
        <v>10513.0</v>
      </c>
      <c r="E847" s="46">
        <v>10837.0</v>
      </c>
    </row>
    <row r="848">
      <c r="A848" s="45">
        <v>19117.0</v>
      </c>
      <c r="B848" s="45" t="s">
        <v>2555</v>
      </c>
      <c r="C848" s="45" t="s">
        <v>2579</v>
      </c>
      <c r="D848" s="46">
        <v>8747.0</v>
      </c>
      <c r="E848" s="46">
        <v>8634.0</v>
      </c>
    </row>
    <row r="849">
      <c r="A849" s="45">
        <v>19119.0</v>
      </c>
      <c r="B849" s="45" t="s">
        <v>2555</v>
      </c>
      <c r="C849" s="45" t="s">
        <v>2580</v>
      </c>
      <c r="D849" s="46">
        <v>12324.0</v>
      </c>
      <c r="E849" s="46">
        <v>11934.0</v>
      </c>
    </row>
    <row r="850">
      <c r="A850" s="45">
        <v>19121.0</v>
      </c>
      <c r="B850" s="45" t="s">
        <v>2555</v>
      </c>
      <c r="C850" s="45" t="s">
        <v>2039</v>
      </c>
      <c r="D850" s="46">
        <v>16971.0</v>
      </c>
      <c r="E850" s="46">
        <v>16548.0</v>
      </c>
    </row>
    <row r="851">
      <c r="A851" s="45">
        <v>19123.0</v>
      </c>
      <c r="B851" s="45" t="s">
        <v>2555</v>
      </c>
      <c r="C851" s="45" t="s">
        <v>2581</v>
      </c>
      <c r="D851" s="46">
        <v>21874.0</v>
      </c>
      <c r="E851" s="46">
        <v>22190.0</v>
      </c>
    </row>
    <row r="852">
      <c r="A852" s="45">
        <v>19125.0</v>
      </c>
      <c r="B852" s="45" t="s">
        <v>2555</v>
      </c>
      <c r="C852" s="45" t="s">
        <v>2041</v>
      </c>
      <c r="D852" s="46">
        <v>33770.0</v>
      </c>
      <c r="E852" s="46">
        <v>33414.0</v>
      </c>
    </row>
    <row r="853">
      <c r="A853" s="45">
        <v>19127.0</v>
      </c>
      <c r="B853" s="45" t="s">
        <v>2555</v>
      </c>
      <c r="C853" s="45" t="s">
        <v>2042</v>
      </c>
      <c r="D853" s="46">
        <v>40014.0</v>
      </c>
      <c r="E853" s="46">
        <v>40105.0</v>
      </c>
    </row>
    <row r="854">
      <c r="A854" s="45">
        <v>19129.0</v>
      </c>
      <c r="B854" s="45" t="s">
        <v>2555</v>
      </c>
      <c r="C854" s="45" t="s">
        <v>2582</v>
      </c>
      <c r="D854" s="46">
        <v>14633.0</v>
      </c>
      <c r="E854" s="46">
        <v>14484.0</v>
      </c>
    </row>
    <row r="855">
      <c r="A855" s="45">
        <v>19131.0</v>
      </c>
      <c r="B855" s="45" t="s">
        <v>2555</v>
      </c>
      <c r="C855" s="45" t="s">
        <v>2383</v>
      </c>
      <c r="D855" s="46">
        <v>10518.0</v>
      </c>
      <c r="E855" s="46">
        <v>10565.0</v>
      </c>
    </row>
    <row r="856">
      <c r="A856" s="45">
        <v>19133.0</v>
      </c>
      <c r="B856" s="45" t="s">
        <v>2555</v>
      </c>
      <c r="C856" s="45" t="s">
        <v>2583</v>
      </c>
      <c r="D856" s="46">
        <v>8493.0</v>
      </c>
      <c r="E856" s="46">
        <v>8751.0</v>
      </c>
    </row>
    <row r="857">
      <c r="A857" s="45">
        <v>19135.0</v>
      </c>
      <c r="B857" s="45" t="s">
        <v>2555</v>
      </c>
      <c r="C857" s="45" t="s">
        <v>2044</v>
      </c>
      <c r="D857" s="46">
        <v>7504.0</v>
      </c>
      <c r="E857" s="46">
        <v>7577.0</v>
      </c>
    </row>
    <row r="858">
      <c r="A858" s="45">
        <v>19137.0</v>
      </c>
      <c r="B858" s="45" t="s">
        <v>2555</v>
      </c>
      <c r="C858" s="45" t="s">
        <v>2045</v>
      </c>
      <c r="D858" s="46">
        <v>10139.0</v>
      </c>
      <c r="E858" s="46">
        <v>10330.0</v>
      </c>
    </row>
    <row r="859">
      <c r="A859" s="45">
        <v>19139.0</v>
      </c>
      <c r="B859" s="45" t="s">
        <v>2555</v>
      </c>
      <c r="C859" s="45" t="s">
        <v>2584</v>
      </c>
      <c r="D859" s="46">
        <v>42218.0</v>
      </c>
      <c r="E859" s="46">
        <v>43235.0</v>
      </c>
    </row>
    <row r="860">
      <c r="A860" s="45">
        <v>19141.0</v>
      </c>
      <c r="B860" s="45" t="s">
        <v>2555</v>
      </c>
      <c r="C860" s="45" t="s">
        <v>2585</v>
      </c>
      <c r="D860" s="46">
        <v>14012.0</v>
      </c>
      <c r="E860" s="46">
        <v>14182.0</v>
      </c>
    </row>
    <row r="861">
      <c r="A861" s="45">
        <v>19143.0</v>
      </c>
      <c r="B861" s="45" t="s">
        <v>2555</v>
      </c>
      <c r="C861" s="45" t="s">
        <v>2299</v>
      </c>
      <c r="D861" s="46">
        <v>5978.0</v>
      </c>
      <c r="E861" s="46">
        <v>6192.0</v>
      </c>
    </row>
    <row r="862">
      <c r="A862" s="45">
        <v>19145.0</v>
      </c>
      <c r="B862" s="45" t="s">
        <v>2555</v>
      </c>
      <c r="C862" s="45" t="s">
        <v>2586</v>
      </c>
      <c r="D862" s="46">
        <v>15014.0</v>
      </c>
      <c r="E862" s="46">
        <v>15211.0</v>
      </c>
    </row>
    <row r="863">
      <c r="A863" s="45">
        <v>19147.0</v>
      </c>
      <c r="B863" s="45" t="s">
        <v>2555</v>
      </c>
      <c r="C863" s="45" t="s">
        <v>2587</v>
      </c>
      <c r="D863" s="46">
        <v>8810.0</v>
      </c>
      <c r="E863" s="46">
        <v>8996.0</v>
      </c>
    </row>
    <row r="864">
      <c r="A864" s="45">
        <v>19149.0</v>
      </c>
      <c r="B864" s="45" t="s">
        <v>2555</v>
      </c>
      <c r="C864" s="45" t="s">
        <v>2588</v>
      </c>
      <c r="D864" s="46">
        <v>25722.0</v>
      </c>
      <c r="E864" s="46">
        <v>25698.0</v>
      </c>
    </row>
    <row r="865">
      <c r="A865" s="45">
        <v>19151.0</v>
      </c>
      <c r="B865" s="45" t="s">
        <v>2555</v>
      </c>
      <c r="C865" s="45" t="s">
        <v>2589</v>
      </c>
      <c r="D865" s="46">
        <v>6976.0</v>
      </c>
      <c r="E865" s="46">
        <v>7078.0</v>
      </c>
    </row>
    <row r="866">
      <c r="A866" s="45">
        <v>19153.0</v>
      </c>
      <c r="B866" s="45" t="s">
        <v>2555</v>
      </c>
      <c r="C866" s="45" t="s">
        <v>2120</v>
      </c>
      <c r="D866" s="46">
        <v>505255.0</v>
      </c>
      <c r="E866" s="46">
        <v>492401.0</v>
      </c>
    </row>
    <row r="867">
      <c r="A867" s="45">
        <v>19155.0</v>
      </c>
      <c r="B867" s="45" t="s">
        <v>2555</v>
      </c>
      <c r="C867" s="45" t="s">
        <v>2590</v>
      </c>
      <c r="D867" s="46">
        <v>93179.0</v>
      </c>
      <c r="E867" s="46">
        <v>93667.0</v>
      </c>
    </row>
    <row r="868">
      <c r="A868" s="45">
        <v>19157.0</v>
      </c>
      <c r="B868" s="45" t="s">
        <v>2555</v>
      </c>
      <c r="C868" s="45" t="s">
        <v>2591</v>
      </c>
      <c r="D868" s="46">
        <v>18453.0</v>
      </c>
      <c r="E868" s="46">
        <v>18662.0</v>
      </c>
    </row>
    <row r="869">
      <c r="A869" s="45">
        <v>19159.0</v>
      </c>
      <c r="B869" s="45" t="s">
        <v>2555</v>
      </c>
      <c r="C869" s="45" t="s">
        <v>2592</v>
      </c>
      <c r="D869" s="46">
        <v>4642.0</v>
      </c>
      <c r="E869" s="46">
        <v>4663.0</v>
      </c>
    </row>
    <row r="870">
      <c r="A870" s="45">
        <v>19161.0</v>
      </c>
      <c r="B870" s="45" t="s">
        <v>2555</v>
      </c>
      <c r="C870" s="45" t="s">
        <v>2593</v>
      </c>
      <c r="D870" s="46">
        <v>9686.0</v>
      </c>
      <c r="E870" s="46">
        <v>9814.0</v>
      </c>
    </row>
    <row r="871">
      <c r="A871" s="45">
        <v>19163.0</v>
      </c>
      <c r="B871" s="45" t="s">
        <v>2555</v>
      </c>
      <c r="C871" s="45" t="s">
        <v>2126</v>
      </c>
      <c r="D871" s="46">
        <v>174270.0</v>
      </c>
      <c r="E871" s="46">
        <v>174669.0</v>
      </c>
    </row>
    <row r="872">
      <c r="A872" s="45">
        <v>19165.0</v>
      </c>
      <c r="B872" s="45" t="s">
        <v>2555</v>
      </c>
      <c r="C872" s="45" t="s">
        <v>2053</v>
      </c>
      <c r="D872" s="46">
        <v>11806.0</v>
      </c>
      <c r="E872" s="46">
        <v>11746.0</v>
      </c>
    </row>
    <row r="873">
      <c r="A873" s="45">
        <v>19167.0</v>
      </c>
      <c r="B873" s="45" t="s">
        <v>2555</v>
      </c>
      <c r="C873" s="45" t="s">
        <v>2594</v>
      </c>
      <c r="D873" s="46">
        <v>36246.0</v>
      </c>
      <c r="E873" s="46">
        <v>35872.0</v>
      </c>
    </row>
    <row r="874">
      <c r="A874" s="45">
        <v>19169.0</v>
      </c>
      <c r="B874" s="45" t="s">
        <v>2555</v>
      </c>
      <c r="C874" s="45" t="s">
        <v>2595</v>
      </c>
      <c r="D874" s="46">
        <v>98566.0</v>
      </c>
      <c r="E874" s="46">
        <v>98537.0</v>
      </c>
    </row>
    <row r="875">
      <c r="A875" s="45">
        <v>19171.0</v>
      </c>
      <c r="B875" s="45" t="s">
        <v>2555</v>
      </c>
      <c r="C875" s="45" t="s">
        <v>2596</v>
      </c>
      <c r="D875" s="46">
        <v>16833.0</v>
      </c>
      <c r="E875" s="46">
        <v>17135.0</v>
      </c>
    </row>
    <row r="876">
      <c r="A876" s="45">
        <v>19173.0</v>
      </c>
      <c r="B876" s="45" t="s">
        <v>2555</v>
      </c>
      <c r="C876" s="45" t="s">
        <v>2310</v>
      </c>
      <c r="D876" s="46">
        <v>5924.0</v>
      </c>
      <c r="E876" s="46">
        <v>5896.0</v>
      </c>
    </row>
    <row r="877">
      <c r="A877" s="45">
        <v>19175.0</v>
      </c>
      <c r="B877" s="45" t="s">
        <v>2555</v>
      </c>
      <c r="C877" s="45" t="s">
        <v>2132</v>
      </c>
      <c r="D877" s="46">
        <v>11906.0</v>
      </c>
      <c r="E877" s="46">
        <v>12138.0</v>
      </c>
    </row>
    <row r="878">
      <c r="A878" s="45">
        <v>19177.0</v>
      </c>
      <c r="B878" s="45" t="s">
        <v>2555</v>
      </c>
      <c r="C878" s="45" t="s">
        <v>2133</v>
      </c>
      <c r="D878" s="46">
        <v>7266.0</v>
      </c>
      <c r="E878" s="46">
        <v>7203.0</v>
      </c>
    </row>
    <row r="879">
      <c r="A879" s="45">
        <v>19179.0</v>
      </c>
      <c r="B879" s="45" t="s">
        <v>2555</v>
      </c>
      <c r="C879" s="45" t="s">
        <v>2597</v>
      </c>
      <c r="D879" s="46">
        <v>35166.0</v>
      </c>
      <c r="E879" s="46">
        <v>35437.0</v>
      </c>
    </row>
    <row r="880">
      <c r="A880" s="45">
        <v>19181.0</v>
      </c>
      <c r="B880" s="45" t="s">
        <v>2555</v>
      </c>
      <c r="C880" s="45" t="s">
        <v>2415</v>
      </c>
      <c r="D880" s="46">
        <v>55205.0</v>
      </c>
      <c r="E880" s="46">
        <v>52403.0</v>
      </c>
    </row>
    <row r="881">
      <c r="A881" s="45">
        <v>19183.0</v>
      </c>
      <c r="B881" s="45" t="s">
        <v>2555</v>
      </c>
      <c r="C881" s="45" t="s">
        <v>2059</v>
      </c>
      <c r="D881" s="46">
        <v>22560.0</v>
      </c>
      <c r="E881" s="46">
        <v>22565.0</v>
      </c>
    </row>
    <row r="882">
      <c r="A882" s="45">
        <v>19185.0</v>
      </c>
      <c r="B882" s="45" t="s">
        <v>2555</v>
      </c>
      <c r="C882" s="45" t="s">
        <v>2416</v>
      </c>
      <c r="D882" s="46">
        <v>6557.0</v>
      </c>
      <c r="E882" s="46">
        <v>6497.0</v>
      </c>
    </row>
    <row r="883">
      <c r="A883" s="45">
        <v>19187.0</v>
      </c>
      <c r="B883" s="45" t="s">
        <v>2555</v>
      </c>
      <c r="C883" s="45" t="s">
        <v>2417</v>
      </c>
      <c r="D883" s="46">
        <v>36485.0</v>
      </c>
      <c r="E883" s="46">
        <v>36999.0</v>
      </c>
    </row>
    <row r="884">
      <c r="A884" s="45">
        <v>19189.0</v>
      </c>
      <c r="B884" s="45" t="s">
        <v>2555</v>
      </c>
      <c r="C884" s="45" t="s">
        <v>2511</v>
      </c>
      <c r="D884" s="46">
        <v>10571.0</v>
      </c>
      <c r="E884" s="46">
        <v>10679.0</v>
      </c>
    </row>
    <row r="885">
      <c r="A885" s="45">
        <v>19191.0</v>
      </c>
      <c r="B885" s="45" t="s">
        <v>2555</v>
      </c>
      <c r="C885" s="45" t="s">
        <v>2598</v>
      </c>
      <c r="D885" s="46">
        <v>19815.0</v>
      </c>
      <c r="E885" s="46">
        <v>20070.0</v>
      </c>
    </row>
    <row r="886">
      <c r="A886" s="45">
        <v>19193.0</v>
      </c>
      <c r="B886" s="45" t="s">
        <v>2555</v>
      </c>
      <c r="C886" s="45" t="s">
        <v>2599</v>
      </c>
      <c r="D886" s="46">
        <v>105951.0</v>
      </c>
      <c r="E886" s="46">
        <v>105941.0</v>
      </c>
    </row>
    <row r="887">
      <c r="A887" s="45">
        <v>19195.0</v>
      </c>
      <c r="B887" s="45" t="s">
        <v>2555</v>
      </c>
      <c r="C887" s="45" t="s">
        <v>2422</v>
      </c>
      <c r="D887" s="46">
        <v>7297.0</v>
      </c>
      <c r="E887" s="46">
        <v>7443.0</v>
      </c>
    </row>
    <row r="888">
      <c r="A888" s="45">
        <v>19197.0</v>
      </c>
      <c r="B888" s="45" t="s">
        <v>2555</v>
      </c>
      <c r="C888" s="45" t="s">
        <v>2600</v>
      </c>
      <c r="D888" s="46">
        <v>12656.0</v>
      </c>
      <c r="E888" s="46">
        <v>12943.0</v>
      </c>
    </row>
    <row r="889">
      <c r="A889" s="45">
        <v>20001.0</v>
      </c>
      <c r="B889" s="45" t="s">
        <v>2601</v>
      </c>
      <c r="C889" s="45" t="s">
        <v>2514</v>
      </c>
      <c r="D889" s="46">
        <v>12412.0</v>
      </c>
      <c r="E889" s="46">
        <v>12526.0</v>
      </c>
    </row>
    <row r="890">
      <c r="A890" s="45">
        <v>20003.0</v>
      </c>
      <c r="B890" s="45" t="s">
        <v>2601</v>
      </c>
      <c r="C890" s="45" t="s">
        <v>2602</v>
      </c>
      <c r="D890" s="46">
        <v>7838.0</v>
      </c>
      <c r="E890" s="46">
        <v>7836.0</v>
      </c>
    </row>
    <row r="891">
      <c r="A891" s="45">
        <v>20005.0</v>
      </c>
      <c r="B891" s="45" t="s">
        <v>2601</v>
      </c>
      <c r="C891" s="45" t="s">
        <v>2603</v>
      </c>
      <c r="D891" s="46">
        <v>16016.0</v>
      </c>
      <c r="E891" s="46">
        <v>16348.0</v>
      </c>
    </row>
    <row r="892">
      <c r="A892" s="45">
        <v>20007.0</v>
      </c>
      <c r="B892" s="45" t="s">
        <v>2601</v>
      </c>
      <c r="C892" s="45" t="s">
        <v>2604</v>
      </c>
      <c r="D892" s="46">
        <v>4071.0</v>
      </c>
      <c r="E892" s="46">
        <v>4228.0</v>
      </c>
    </row>
    <row r="893">
      <c r="A893" s="45">
        <v>20009.0</v>
      </c>
      <c r="B893" s="45" t="s">
        <v>2601</v>
      </c>
      <c r="C893" s="45" t="s">
        <v>2605</v>
      </c>
      <c r="D893" s="46">
        <v>24899.0</v>
      </c>
      <c r="E893" s="46">
        <v>25493.0</v>
      </c>
    </row>
    <row r="894">
      <c r="A894" s="45">
        <v>20011.0</v>
      </c>
      <c r="B894" s="45" t="s">
        <v>2601</v>
      </c>
      <c r="C894" s="45" t="s">
        <v>2606</v>
      </c>
      <c r="D894" s="46">
        <v>14408.0</v>
      </c>
      <c r="E894" s="46">
        <v>14360.0</v>
      </c>
    </row>
    <row r="895">
      <c r="A895" s="45">
        <v>20013.0</v>
      </c>
      <c r="B895" s="45" t="s">
        <v>2601</v>
      </c>
      <c r="C895" s="45" t="s">
        <v>2461</v>
      </c>
      <c r="D895" s="46">
        <v>9250.0</v>
      </c>
      <c r="E895" s="46">
        <v>9508.0</v>
      </c>
    </row>
    <row r="896">
      <c r="A896" s="45">
        <v>20015.0</v>
      </c>
      <c r="B896" s="45" t="s">
        <v>2601</v>
      </c>
      <c r="C896" s="45" t="s">
        <v>2001</v>
      </c>
      <c r="D896" s="46">
        <v>68632.0</v>
      </c>
      <c r="E896" s="46">
        <v>67380.0</v>
      </c>
    </row>
    <row r="897">
      <c r="A897" s="45">
        <v>20017.0</v>
      </c>
      <c r="B897" s="45" t="s">
        <v>2601</v>
      </c>
      <c r="C897" s="45" t="s">
        <v>2607</v>
      </c>
      <c r="D897" s="46">
        <v>2579.0</v>
      </c>
      <c r="E897" s="46">
        <v>2572.0</v>
      </c>
    </row>
    <row r="898">
      <c r="A898" s="45">
        <v>20019.0</v>
      </c>
      <c r="B898" s="45" t="s">
        <v>2601</v>
      </c>
      <c r="C898" s="45" t="s">
        <v>2608</v>
      </c>
      <c r="D898" s="46">
        <v>3347.0</v>
      </c>
      <c r="E898" s="46">
        <v>3379.0</v>
      </c>
    </row>
    <row r="899">
      <c r="A899" s="45">
        <v>20021.0</v>
      </c>
      <c r="B899" s="45" t="s">
        <v>2601</v>
      </c>
      <c r="C899" s="45" t="s">
        <v>2004</v>
      </c>
      <c r="D899" s="46">
        <v>19054.0</v>
      </c>
      <c r="E899" s="46">
        <v>19362.0</v>
      </c>
    </row>
    <row r="900">
      <c r="A900" s="45">
        <v>20023.0</v>
      </c>
      <c r="B900" s="45" t="s">
        <v>2601</v>
      </c>
      <c r="C900" s="45" t="s">
        <v>2204</v>
      </c>
      <c r="D900" s="46">
        <v>2636.0</v>
      </c>
      <c r="E900" s="46">
        <v>2616.0</v>
      </c>
    </row>
    <row r="901">
      <c r="A901" s="45">
        <v>20025.0</v>
      </c>
      <c r="B901" s="45" t="s">
        <v>2601</v>
      </c>
      <c r="C901" s="45" t="s">
        <v>2088</v>
      </c>
      <c r="D901" s="46">
        <v>1847.0</v>
      </c>
      <c r="E901" s="46">
        <v>1991.0</v>
      </c>
    </row>
    <row r="902">
      <c r="A902" s="45">
        <v>20027.0</v>
      </c>
      <c r="B902" s="45" t="s">
        <v>2601</v>
      </c>
      <c r="C902" s="45" t="s">
        <v>2008</v>
      </c>
      <c r="D902" s="46">
        <v>8007.0</v>
      </c>
      <c r="E902" s="46">
        <v>8117.0</v>
      </c>
    </row>
    <row r="903">
      <c r="A903" s="45">
        <v>20029.0</v>
      </c>
      <c r="B903" s="45" t="s">
        <v>2601</v>
      </c>
      <c r="C903" s="45" t="s">
        <v>2609</v>
      </c>
      <c r="D903" s="46">
        <v>8854.0</v>
      </c>
      <c r="E903" s="46">
        <v>9032.0</v>
      </c>
    </row>
    <row r="904">
      <c r="A904" s="45">
        <v>20031.0</v>
      </c>
      <c r="B904" s="45" t="s">
        <v>2601</v>
      </c>
      <c r="C904" s="45" t="s">
        <v>2610</v>
      </c>
      <c r="D904" s="46">
        <v>8251.0</v>
      </c>
      <c r="E904" s="46">
        <v>8360.0</v>
      </c>
    </row>
    <row r="905">
      <c r="A905" s="45">
        <v>20033.0</v>
      </c>
      <c r="B905" s="45" t="s">
        <v>2601</v>
      </c>
      <c r="C905" s="45" t="s">
        <v>2611</v>
      </c>
      <c r="D905" s="46">
        <v>1655.0</v>
      </c>
      <c r="E905" s="46">
        <v>1689.0</v>
      </c>
    </row>
    <row r="906">
      <c r="A906" s="45">
        <v>20035.0</v>
      </c>
      <c r="B906" s="45" t="s">
        <v>2601</v>
      </c>
      <c r="C906" s="45" t="s">
        <v>2612</v>
      </c>
      <c r="D906" s="46">
        <v>34157.0</v>
      </c>
      <c r="E906" s="46">
        <v>34549.0</v>
      </c>
    </row>
    <row r="907">
      <c r="A907" s="45">
        <v>20037.0</v>
      </c>
      <c r="B907" s="45" t="s">
        <v>2601</v>
      </c>
      <c r="C907" s="45" t="s">
        <v>2093</v>
      </c>
      <c r="D907" s="46">
        <v>38764.0</v>
      </c>
      <c r="E907" s="46">
        <v>38972.0</v>
      </c>
    </row>
    <row r="908">
      <c r="A908" s="45">
        <v>20039.0</v>
      </c>
      <c r="B908" s="45" t="s">
        <v>2601</v>
      </c>
      <c r="C908" s="45" t="s">
        <v>2346</v>
      </c>
      <c r="D908" s="46">
        <v>2712.0</v>
      </c>
      <c r="E908" s="46">
        <v>2764.0</v>
      </c>
    </row>
    <row r="909">
      <c r="A909" s="45">
        <v>20041.0</v>
      </c>
      <c r="B909" s="45" t="s">
        <v>2601</v>
      </c>
      <c r="C909" s="45" t="s">
        <v>2569</v>
      </c>
      <c r="D909" s="46">
        <v>18445.0</v>
      </c>
      <c r="E909" s="46">
        <v>18402.0</v>
      </c>
    </row>
    <row r="910">
      <c r="A910" s="45">
        <v>20043.0</v>
      </c>
      <c r="B910" s="45" t="s">
        <v>2601</v>
      </c>
      <c r="C910" s="45" t="s">
        <v>2613</v>
      </c>
      <c r="D910" s="46">
        <v>7493.0</v>
      </c>
      <c r="E910" s="46">
        <v>7510.0</v>
      </c>
    </row>
    <row r="911">
      <c r="A911" s="45">
        <v>20045.0</v>
      </c>
      <c r="B911" s="45" t="s">
        <v>2601</v>
      </c>
      <c r="C911" s="45" t="s">
        <v>2213</v>
      </c>
      <c r="D911" s="46">
        <v>120553.0</v>
      </c>
      <c r="E911" s="46">
        <v>118785.0</v>
      </c>
    </row>
    <row r="912">
      <c r="A912" s="45">
        <v>20047.0</v>
      </c>
      <c r="B912" s="45" t="s">
        <v>2601</v>
      </c>
      <c r="C912" s="45" t="s">
        <v>2472</v>
      </c>
      <c r="D912" s="46">
        <v>2733.0</v>
      </c>
      <c r="E912" s="46">
        <v>2907.0</v>
      </c>
    </row>
    <row r="913">
      <c r="A913" s="45">
        <v>20049.0</v>
      </c>
      <c r="B913" s="45" t="s">
        <v>2601</v>
      </c>
      <c r="C913" s="45" t="s">
        <v>2614</v>
      </c>
      <c r="D913" s="46">
        <v>2467.0</v>
      </c>
      <c r="E913" s="46">
        <v>2483.0</v>
      </c>
    </row>
    <row r="914">
      <c r="A914" s="45">
        <v>20051.0</v>
      </c>
      <c r="B914" s="45" t="s">
        <v>2601</v>
      </c>
      <c r="C914" s="45" t="s">
        <v>2615</v>
      </c>
      <c r="D914" s="46">
        <v>28810.0</v>
      </c>
      <c r="E914" s="46">
        <v>28934.0</v>
      </c>
    </row>
    <row r="915">
      <c r="A915" s="45">
        <v>20053.0</v>
      </c>
      <c r="B915" s="45" t="s">
        <v>2601</v>
      </c>
      <c r="C915" s="45" t="s">
        <v>2616</v>
      </c>
      <c r="D915" s="46">
        <v>6357.0</v>
      </c>
      <c r="E915" s="46">
        <v>6376.0</v>
      </c>
    </row>
    <row r="916">
      <c r="A916" s="45">
        <v>20055.0</v>
      </c>
      <c r="B916" s="45" t="s">
        <v>2601</v>
      </c>
      <c r="C916" s="45" t="s">
        <v>2617</v>
      </c>
      <c r="D916" s="46">
        <v>37466.0</v>
      </c>
      <c r="E916" s="46">
        <v>38470.0</v>
      </c>
    </row>
    <row r="917">
      <c r="A917" s="45">
        <v>20057.0</v>
      </c>
      <c r="B917" s="45" t="s">
        <v>2601</v>
      </c>
      <c r="C917" s="45" t="s">
        <v>2473</v>
      </c>
      <c r="D917" s="46">
        <v>33980.0</v>
      </c>
      <c r="E917" s="46">
        <v>34287.0</v>
      </c>
    </row>
    <row r="918">
      <c r="A918" s="45">
        <v>20059.0</v>
      </c>
      <c r="B918" s="45" t="s">
        <v>2601</v>
      </c>
      <c r="C918" s="45" t="s">
        <v>2024</v>
      </c>
      <c r="D918" s="46">
        <v>26125.0</v>
      </c>
      <c r="E918" s="46">
        <v>25996.0</v>
      </c>
    </row>
    <row r="919">
      <c r="A919" s="45">
        <v>20061.0</v>
      </c>
      <c r="B919" s="45" t="s">
        <v>2601</v>
      </c>
      <c r="C919" s="45" t="s">
        <v>2618</v>
      </c>
      <c r="D919" s="46">
        <v>35047.0</v>
      </c>
      <c r="E919" s="46">
        <v>36739.0</v>
      </c>
    </row>
    <row r="920">
      <c r="A920" s="45">
        <v>20063.0</v>
      </c>
      <c r="B920" s="45" t="s">
        <v>2601</v>
      </c>
      <c r="C920" s="45" t="s">
        <v>2619</v>
      </c>
      <c r="D920" s="46">
        <v>2735.0</v>
      </c>
      <c r="E920" s="46">
        <v>2718.0</v>
      </c>
    </row>
    <row r="921">
      <c r="A921" s="45">
        <v>20065.0</v>
      </c>
      <c r="B921" s="45" t="s">
        <v>2601</v>
      </c>
      <c r="C921" s="45" t="s">
        <v>2068</v>
      </c>
      <c r="D921" s="46">
        <v>2376.0</v>
      </c>
      <c r="E921" s="46">
        <v>2415.0</v>
      </c>
    </row>
    <row r="922">
      <c r="A922" s="45">
        <v>20067.0</v>
      </c>
      <c r="B922" s="45" t="s">
        <v>2601</v>
      </c>
      <c r="C922" s="45" t="s">
        <v>2101</v>
      </c>
      <c r="D922" s="46">
        <v>7147.0</v>
      </c>
      <c r="E922" s="46">
        <v>7352.0</v>
      </c>
    </row>
    <row r="923">
      <c r="A923" s="45">
        <v>20069.0</v>
      </c>
      <c r="B923" s="45" t="s">
        <v>2601</v>
      </c>
      <c r="C923" s="45" t="s">
        <v>2620</v>
      </c>
      <c r="D923" s="46">
        <v>5743.0</v>
      </c>
      <c r="E923" s="46">
        <v>5653.0</v>
      </c>
    </row>
    <row r="924">
      <c r="A924" s="45">
        <v>20071.0</v>
      </c>
      <c r="B924" s="45" t="s">
        <v>2601</v>
      </c>
      <c r="C924" s="45" t="s">
        <v>2621</v>
      </c>
      <c r="D924" s="46">
        <v>1181.0</v>
      </c>
      <c r="E924" s="46">
        <v>1284.0</v>
      </c>
    </row>
    <row r="925">
      <c r="A925" s="45">
        <v>20073.0</v>
      </c>
      <c r="B925" s="45" t="s">
        <v>2601</v>
      </c>
      <c r="C925" s="45" t="s">
        <v>2622</v>
      </c>
      <c r="D925" s="46">
        <v>5870.0</v>
      </c>
      <c r="E925" s="46">
        <v>6016.0</v>
      </c>
    </row>
    <row r="926">
      <c r="A926" s="45">
        <v>20075.0</v>
      </c>
      <c r="B926" s="45" t="s">
        <v>2601</v>
      </c>
      <c r="C926" s="45" t="s">
        <v>2282</v>
      </c>
      <c r="D926" s="46">
        <v>2437.0</v>
      </c>
      <c r="E926" s="46">
        <v>2518.0</v>
      </c>
    </row>
    <row r="927">
      <c r="A927" s="45">
        <v>20077.0</v>
      </c>
      <c r="B927" s="45" t="s">
        <v>2601</v>
      </c>
      <c r="C927" s="45" t="s">
        <v>2623</v>
      </c>
      <c r="D927" s="46">
        <v>5435.0</v>
      </c>
      <c r="E927" s="46">
        <v>5485.0</v>
      </c>
    </row>
    <row r="928">
      <c r="A928" s="45">
        <v>20079.0</v>
      </c>
      <c r="B928" s="45" t="s">
        <v>2601</v>
      </c>
      <c r="C928" s="45" t="s">
        <v>2624</v>
      </c>
      <c r="D928" s="46">
        <v>33504.0</v>
      </c>
      <c r="E928" s="46">
        <v>34024.0</v>
      </c>
    </row>
    <row r="929">
      <c r="A929" s="45">
        <v>20081.0</v>
      </c>
      <c r="B929" s="45" t="s">
        <v>2601</v>
      </c>
      <c r="C929" s="45" t="s">
        <v>2625</v>
      </c>
      <c r="D929" s="46">
        <v>3630.0</v>
      </c>
      <c r="E929" s="46">
        <v>3780.0</v>
      </c>
    </row>
    <row r="930">
      <c r="A930" s="45">
        <v>20083.0</v>
      </c>
      <c r="B930" s="45" t="s">
        <v>2601</v>
      </c>
      <c r="C930" s="45" t="s">
        <v>2626</v>
      </c>
      <c r="D930" s="46">
        <v>1655.0</v>
      </c>
      <c r="E930" s="46">
        <v>1723.0</v>
      </c>
    </row>
    <row r="931">
      <c r="A931" s="45">
        <v>20085.0</v>
      </c>
      <c r="B931" s="45" t="s">
        <v>2601</v>
      </c>
      <c r="C931" s="45" t="s">
        <v>2030</v>
      </c>
      <c r="D931" s="46">
        <v>13368.0</v>
      </c>
      <c r="E931" s="46">
        <v>13232.0</v>
      </c>
    </row>
    <row r="932">
      <c r="A932" s="45">
        <v>20087.0</v>
      </c>
      <c r="B932" s="45" t="s">
        <v>2601</v>
      </c>
      <c r="C932" s="45" t="s">
        <v>2031</v>
      </c>
      <c r="D932" s="46">
        <v>18327.0</v>
      </c>
      <c r="E932" s="46">
        <v>18368.0</v>
      </c>
    </row>
    <row r="933">
      <c r="A933" s="45">
        <v>20089.0</v>
      </c>
      <c r="B933" s="45" t="s">
        <v>2601</v>
      </c>
      <c r="C933" s="45" t="s">
        <v>2627</v>
      </c>
      <c r="D933" s="46">
        <v>2847.0</v>
      </c>
      <c r="E933" s="46">
        <v>2932.0</v>
      </c>
    </row>
    <row r="934">
      <c r="A934" s="45">
        <v>20091.0</v>
      </c>
      <c r="B934" s="45" t="s">
        <v>2601</v>
      </c>
      <c r="C934" s="45" t="s">
        <v>2107</v>
      </c>
      <c r="D934" s="46">
        <v>622237.0</v>
      </c>
      <c r="E934" s="46">
        <v>609863.0</v>
      </c>
    </row>
    <row r="935">
      <c r="A935" s="45">
        <v>20093.0</v>
      </c>
      <c r="B935" s="45" t="s">
        <v>2601</v>
      </c>
      <c r="C935" s="45" t="s">
        <v>2628</v>
      </c>
      <c r="D935" s="46">
        <v>3823.0</v>
      </c>
      <c r="E935" s="46">
        <v>3983.0</v>
      </c>
    </row>
    <row r="936">
      <c r="A936" s="45">
        <v>20095.0</v>
      </c>
      <c r="B936" s="45" t="s">
        <v>2601</v>
      </c>
      <c r="C936" s="45" t="s">
        <v>2629</v>
      </c>
      <c r="D936" s="46">
        <v>7066.0</v>
      </c>
      <c r="E936" s="46">
        <v>7470.0</v>
      </c>
    </row>
    <row r="937">
      <c r="A937" s="45">
        <v>20097.0</v>
      </c>
      <c r="B937" s="45" t="s">
        <v>2601</v>
      </c>
      <c r="C937" s="45" t="s">
        <v>2224</v>
      </c>
      <c r="D937" s="46">
        <v>2374.0</v>
      </c>
      <c r="E937" s="46">
        <v>2460.0</v>
      </c>
    </row>
    <row r="938">
      <c r="A938" s="45">
        <v>20099.0</v>
      </c>
      <c r="B938" s="45" t="s">
        <v>2601</v>
      </c>
      <c r="C938" s="45" t="s">
        <v>2630</v>
      </c>
      <c r="D938" s="46">
        <v>19728.0</v>
      </c>
      <c r="E938" s="46">
        <v>20184.0</v>
      </c>
    </row>
    <row r="939">
      <c r="A939" s="45">
        <v>20101.0</v>
      </c>
      <c r="B939" s="45" t="s">
        <v>2601</v>
      </c>
      <c r="C939" s="45" t="s">
        <v>2631</v>
      </c>
      <c r="D939" s="46">
        <v>1529.0</v>
      </c>
      <c r="E939" s="46">
        <v>1574.0</v>
      </c>
    </row>
    <row r="940">
      <c r="A940" s="45">
        <v>20103.0</v>
      </c>
      <c r="B940" s="45" t="s">
        <v>2601</v>
      </c>
      <c r="C940" s="45" t="s">
        <v>2632</v>
      </c>
      <c r="D940" s="46">
        <v>83518.0</v>
      </c>
      <c r="E940" s="46">
        <v>81881.0</v>
      </c>
    </row>
    <row r="941">
      <c r="A941" s="45">
        <v>20105.0</v>
      </c>
      <c r="B941" s="45" t="s">
        <v>2601</v>
      </c>
      <c r="C941" s="45" t="s">
        <v>2109</v>
      </c>
      <c r="D941" s="46">
        <v>2920.0</v>
      </c>
      <c r="E941" s="46">
        <v>2939.0</v>
      </c>
    </row>
    <row r="942">
      <c r="A942" s="45">
        <v>20107.0</v>
      </c>
      <c r="B942" s="45" t="s">
        <v>2601</v>
      </c>
      <c r="C942" s="45" t="s">
        <v>2577</v>
      </c>
      <c r="D942" s="46">
        <v>9860.0</v>
      </c>
      <c r="E942" s="46">
        <v>9591.0</v>
      </c>
    </row>
    <row r="943">
      <c r="A943" s="45">
        <v>20109.0</v>
      </c>
      <c r="B943" s="45" t="s">
        <v>2601</v>
      </c>
      <c r="C943" s="45" t="s">
        <v>2111</v>
      </c>
      <c r="D943" s="46">
        <v>2665.0</v>
      </c>
      <c r="E943" s="46">
        <v>2762.0</v>
      </c>
    </row>
    <row r="944">
      <c r="A944" s="45">
        <v>20111.0</v>
      </c>
      <c r="B944" s="45" t="s">
        <v>2601</v>
      </c>
      <c r="C944" s="45" t="s">
        <v>2580</v>
      </c>
      <c r="D944" s="46">
        <v>32172.0</v>
      </c>
      <c r="E944" s="46">
        <v>32179.0</v>
      </c>
    </row>
    <row r="945">
      <c r="A945" s="45">
        <v>20113.0</v>
      </c>
      <c r="B945" s="45" t="s">
        <v>2601</v>
      </c>
      <c r="C945" s="45" t="s">
        <v>2633</v>
      </c>
      <c r="D945" s="46">
        <v>30091.0</v>
      </c>
      <c r="E945" s="46">
        <v>30223.0</v>
      </c>
    </row>
    <row r="946">
      <c r="A946" s="45">
        <v>20115.0</v>
      </c>
      <c r="B946" s="45" t="s">
        <v>2601</v>
      </c>
      <c r="C946" s="45" t="s">
        <v>2041</v>
      </c>
      <c r="D946" s="46">
        <v>11690.0</v>
      </c>
      <c r="E946" s="46">
        <v>11823.0</v>
      </c>
    </row>
    <row r="947">
      <c r="A947" s="45">
        <v>20117.0</v>
      </c>
      <c r="B947" s="45" t="s">
        <v>2601</v>
      </c>
      <c r="C947" s="45" t="s">
        <v>2042</v>
      </c>
      <c r="D947" s="46">
        <v>9933.0</v>
      </c>
      <c r="E947" s="46">
        <v>10038.0</v>
      </c>
    </row>
    <row r="948">
      <c r="A948" s="45">
        <v>20119.0</v>
      </c>
      <c r="B948" s="45" t="s">
        <v>2601</v>
      </c>
      <c r="C948" s="45" t="s">
        <v>2634</v>
      </c>
      <c r="D948" s="46">
        <v>3911.0</v>
      </c>
      <c r="E948" s="46">
        <v>4055.0</v>
      </c>
    </row>
    <row r="949">
      <c r="A949" s="45">
        <v>20121.0</v>
      </c>
      <c r="B949" s="45" t="s">
        <v>2601</v>
      </c>
      <c r="C949" s="45" t="s">
        <v>2532</v>
      </c>
      <c r="D949" s="46">
        <v>35320.0</v>
      </c>
      <c r="E949" s="46">
        <v>34191.0</v>
      </c>
    </row>
    <row r="950">
      <c r="A950" s="45">
        <v>20123.0</v>
      </c>
      <c r="B950" s="45" t="s">
        <v>2601</v>
      </c>
      <c r="C950" s="45" t="s">
        <v>2383</v>
      </c>
      <c r="D950" s="46">
        <v>5719.0</v>
      </c>
      <c r="E950" s="46">
        <v>5796.0</v>
      </c>
    </row>
    <row r="951">
      <c r="A951" s="45">
        <v>20125.0</v>
      </c>
      <c r="B951" s="45" t="s">
        <v>2601</v>
      </c>
      <c r="C951" s="45" t="s">
        <v>2045</v>
      </c>
      <c r="D951" s="46">
        <v>30568.0</v>
      </c>
      <c r="E951" s="46">
        <v>31486.0</v>
      </c>
    </row>
    <row r="952">
      <c r="A952" s="45">
        <v>20127.0</v>
      </c>
      <c r="B952" s="45" t="s">
        <v>2601</v>
      </c>
      <c r="C952" s="45" t="s">
        <v>2635</v>
      </c>
      <c r="D952" s="46">
        <v>5334.0</v>
      </c>
      <c r="E952" s="46">
        <v>5386.0</v>
      </c>
    </row>
    <row r="953">
      <c r="A953" s="45">
        <v>20129.0</v>
      </c>
      <c r="B953" s="45" t="s">
        <v>2601</v>
      </c>
      <c r="C953" s="45" t="s">
        <v>2636</v>
      </c>
      <c r="D953" s="46">
        <v>2580.0</v>
      </c>
      <c r="E953" s="46">
        <v>2701.0</v>
      </c>
    </row>
    <row r="954">
      <c r="A954" s="45">
        <v>20131.0</v>
      </c>
      <c r="B954" s="45" t="s">
        <v>2601</v>
      </c>
      <c r="C954" s="45" t="s">
        <v>2637</v>
      </c>
      <c r="D954" s="46">
        <v>10114.0</v>
      </c>
      <c r="E954" s="46">
        <v>10273.0</v>
      </c>
    </row>
    <row r="955">
      <c r="A955" s="45">
        <v>20133.0</v>
      </c>
      <c r="B955" s="45" t="s">
        <v>2601</v>
      </c>
      <c r="C955" s="45" t="s">
        <v>2638</v>
      </c>
      <c r="D955" s="46">
        <v>15420.0</v>
      </c>
      <c r="E955" s="46">
        <v>15904.0</v>
      </c>
    </row>
    <row r="956">
      <c r="A956" s="45">
        <v>20135.0</v>
      </c>
      <c r="B956" s="45" t="s">
        <v>2601</v>
      </c>
      <c r="C956" s="45" t="s">
        <v>2639</v>
      </c>
      <c r="D956" s="46">
        <v>2618.0</v>
      </c>
      <c r="E956" s="46">
        <v>2687.0</v>
      </c>
    </row>
    <row r="957">
      <c r="A957" s="45">
        <v>20137.0</v>
      </c>
      <c r="B957" s="45" t="s">
        <v>2601</v>
      </c>
      <c r="C957" s="45" t="s">
        <v>2640</v>
      </c>
      <c r="D957" s="46">
        <v>5330.0</v>
      </c>
      <c r="E957" s="46">
        <v>5459.0</v>
      </c>
    </row>
    <row r="958">
      <c r="A958" s="45">
        <v>20139.0</v>
      </c>
      <c r="B958" s="45" t="s">
        <v>2601</v>
      </c>
      <c r="C958" s="45" t="s">
        <v>2641</v>
      </c>
      <c r="D958" s="46">
        <v>15824.0</v>
      </c>
      <c r="E958" s="46">
        <v>15766.0</v>
      </c>
    </row>
    <row r="959">
      <c r="A959" s="45">
        <v>20141.0</v>
      </c>
      <c r="B959" s="45" t="s">
        <v>2601</v>
      </c>
      <c r="C959" s="45" t="s">
        <v>2642</v>
      </c>
      <c r="D959" s="46">
        <v>3427.0</v>
      </c>
      <c r="E959" s="46">
        <v>3500.0</v>
      </c>
    </row>
    <row r="960">
      <c r="A960" s="45">
        <v>20143.0</v>
      </c>
      <c r="B960" s="45" t="s">
        <v>2601</v>
      </c>
      <c r="C960" s="45" t="s">
        <v>2643</v>
      </c>
      <c r="D960" s="46">
        <v>5818.0</v>
      </c>
      <c r="E960" s="46">
        <v>5735.0</v>
      </c>
    </row>
    <row r="961">
      <c r="A961" s="45">
        <v>20145.0</v>
      </c>
      <c r="B961" s="45" t="s">
        <v>2601</v>
      </c>
      <c r="C961" s="45" t="s">
        <v>2644</v>
      </c>
      <c r="D961" s="46">
        <v>6126.0</v>
      </c>
      <c r="E961" s="46">
        <v>6253.0</v>
      </c>
    </row>
    <row r="962">
      <c r="A962" s="45">
        <v>20147.0</v>
      </c>
      <c r="B962" s="45" t="s">
        <v>2601</v>
      </c>
      <c r="C962" s="45" t="s">
        <v>2118</v>
      </c>
      <c r="D962" s="46">
        <v>4761.0</v>
      </c>
      <c r="E962" s="46">
        <v>4981.0</v>
      </c>
    </row>
    <row r="963">
      <c r="A963" s="45">
        <v>20149.0</v>
      </c>
      <c r="B963" s="45" t="s">
        <v>2601</v>
      </c>
      <c r="C963" s="45" t="s">
        <v>2645</v>
      </c>
      <c r="D963" s="46">
        <v>26382.0</v>
      </c>
      <c r="E963" s="46">
        <v>25348.0</v>
      </c>
    </row>
    <row r="964">
      <c r="A964" s="45">
        <v>20151.0</v>
      </c>
      <c r="B964" s="45" t="s">
        <v>2601</v>
      </c>
      <c r="C964" s="45" t="s">
        <v>2646</v>
      </c>
      <c r="D964" s="46">
        <v>9082.0</v>
      </c>
      <c r="E964" s="46">
        <v>9157.0</v>
      </c>
    </row>
    <row r="965">
      <c r="A965" s="45">
        <v>20153.0</v>
      </c>
      <c r="B965" s="45" t="s">
        <v>2601</v>
      </c>
      <c r="C965" s="45" t="s">
        <v>2647</v>
      </c>
      <c r="D965" s="46">
        <v>2463.0</v>
      </c>
      <c r="E965" s="46">
        <v>2561.0</v>
      </c>
    </row>
    <row r="966">
      <c r="A966" s="45">
        <v>20155.0</v>
      </c>
      <c r="B966" s="45" t="s">
        <v>2601</v>
      </c>
      <c r="C966" s="45" t="s">
        <v>2648</v>
      </c>
      <c r="D966" s="46">
        <v>61497.0</v>
      </c>
      <c r="E966" s="46">
        <v>61898.0</v>
      </c>
    </row>
    <row r="967">
      <c r="A967" s="45">
        <v>20157.0</v>
      </c>
      <c r="B967" s="45" t="s">
        <v>2601</v>
      </c>
      <c r="C967" s="45" t="s">
        <v>2649</v>
      </c>
      <c r="D967" s="46">
        <v>4627.0</v>
      </c>
      <c r="E967" s="46">
        <v>4674.0</v>
      </c>
    </row>
    <row r="968">
      <c r="A968" s="45">
        <v>20159.0</v>
      </c>
      <c r="B968" s="45" t="s">
        <v>2601</v>
      </c>
      <c r="C968" s="45" t="s">
        <v>2650</v>
      </c>
      <c r="D968" s="46">
        <v>9260.0</v>
      </c>
      <c r="E968" s="46">
        <v>9427.0</v>
      </c>
    </row>
    <row r="969">
      <c r="A969" s="45">
        <v>20161.0</v>
      </c>
      <c r="B969" s="45" t="s">
        <v>2601</v>
      </c>
      <c r="C969" s="45" t="s">
        <v>2651</v>
      </c>
      <c r="D969" s="46">
        <v>71402.0</v>
      </c>
      <c r="E969" s="46">
        <v>71959.0</v>
      </c>
    </row>
    <row r="970">
      <c r="A970" s="45">
        <v>20163.0</v>
      </c>
      <c r="B970" s="45" t="s">
        <v>2601</v>
      </c>
      <c r="C970" s="45" t="s">
        <v>2652</v>
      </c>
      <c r="D970" s="46">
        <v>4778.0</v>
      </c>
      <c r="E970" s="46">
        <v>4919.0</v>
      </c>
    </row>
    <row r="971">
      <c r="A971" s="45">
        <v>20165.0</v>
      </c>
      <c r="B971" s="45" t="s">
        <v>2601</v>
      </c>
      <c r="C971" s="45" t="s">
        <v>2540</v>
      </c>
      <c r="D971" s="46">
        <v>2830.0</v>
      </c>
      <c r="E971" s="46">
        <v>2956.0</v>
      </c>
    </row>
    <row r="972">
      <c r="A972" s="45">
        <v>20167.0</v>
      </c>
      <c r="B972" s="45" t="s">
        <v>2601</v>
      </c>
      <c r="C972" s="45" t="s">
        <v>2051</v>
      </c>
      <c r="D972" s="46">
        <v>6723.0</v>
      </c>
      <c r="E972" s="46">
        <v>6691.0</v>
      </c>
    </row>
    <row r="973">
      <c r="A973" s="45">
        <v>20169.0</v>
      </c>
      <c r="B973" s="45" t="s">
        <v>2601</v>
      </c>
      <c r="C973" s="45" t="s">
        <v>2125</v>
      </c>
      <c r="D973" s="46">
        <v>53098.0</v>
      </c>
      <c r="E973" s="46">
        <v>54303.0</v>
      </c>
    </row>
    <row r="974">
      <c r="A974" s="45">
        <v>20171.0</v>
      </c>
      <c r="B974" s="45" t="s">
        <v>2601</v>
      </c>
      <c r="C974" s="45" t="s">
        <v>2126</v>
      </c>
      <c r="D974" s="46">
        <v>4922.0</v>
      </c>
      <c r="E974" s="46">
        <v>5151.0</v>
      </c>
    </row>
    <row r="975">
      <c r="A975" s="45">
        <v>20173.0</v>
      </c>
      <c r="B975" s="45" t="s">
        <v>2601</v>
      </c>
      <c r="C975" s="45" t="s">
        <v>2246</v>
      </c>
      <c r="D975" s="46">
        <v>528469.0</v>
      </c>
      <c r="E975" s="46">
        <v>523824.0</v>
      </c>
    </row>
    <row r="976">
      <c r="A976" s="45">
        <v>20175.0</v>
      </c>
      <c r="B976" s="45" t="s">
        <v>2601</v>
      </c>
      <c r="C976" s="45" t="s">
        <v>2653</v>
      </c>
      <c r="D976" s="46">
        <v>21067.0</v>
      </c>
      <c r="E976" s="46">
        <v>21964.0</v>
      </c>
    </row>
    <row r="977">
      <c r="A977" s="45">
        <v>20177.0</v>
      </c>
      <c r="B977" s="45" t="s">
        <v>2601</v>
      </c>
      <c r="C977" s="45" t="s">
        <v>2654</v>
      </c>
      <c r="D977" s="46">
        <v>177746.0</v>
      </c>
      <c r="E977" s="46">
        <v>178909.0</v>
      </c>
    </row>
    <row r="978">
      <c r="A978" s="45">
        <v>20179.0</v>
      </c>
      <c r="B978" s="45" t="s">
        <v>2601</v>
      </c>
      <c r="C978" s="45" t="s">
        <v>2655</v>
      </c>
      <c r="D978" s="46">
        <v>2423.0</v>
      </c>
      <c r="E978" s="46">
        <v>2447.0</v>
      </c>
    </row>
    <row r="979">
      <c r="A979" s="45">
        <v>20181.0</v>
      </c>
      <c r="B979" s="45" t="s">
        <v>2601</v>
      </c>
      <c r="C979" s="45" t="s">
        <v>2656</v>
      </c>
      <c r="D979" s="46">
        <v>5844.0</v>
      </c>
      <c r="E979" s="46">
        <v>5927.0</v>
      </c>
    </row>
    <row r="980">
      <c r="A980" s="45">
        <v>20183.0</v>
      </c>
      <c r="B980" s="45" t="s">
        <v>2601</v>
      </c>
      <c r="C980" s="45" t="s">
        <v>2657</v>
      </c>
      <c r="D980" s="46">
        <v>3590.0</v>
      </c>
      <c r="E980" s="46">
        <v>3570.0</v>
      </c>
    </row>
    <row r="981">
      <c r="A981" s="45">
        <v>20185.0</v>
      </c>
      <c r="B981" s="45" t="s">
        <v>2601</v>
      </c>
      <c r="C981" s="45" t="s">
        <v>2658</v>
      </c>
      <c r="D981" s="46">
        <v>3909.0</v>
      </c>
      <c r="E981" s="46">
        <v>4072.0</v>
      </c>
    </row>
    <row r="982">
      <c r="A982" s="45">
        <v>20187.0</v>
      </c>
      <c r="B982" s="45" t="s">
        <v>2601</v>
      </c>
      <c r="C982" s="45" t="s">
        <v>2659</v>
      </c>
      <c r="D982" s="46">
        <v>1901.0</v>
      </c>
      <c r="E982" s="46">
        <v>2084.0</v>
      </c>
    </row>
    <row r="983">
      <c r="A983" s="45">
        <v>20189.0</v>
      </c>
      <c r="B983" s="45" t="s">
        <v>2601</v>
      </c>
      <c r="C983" s="45" t="s">
        <v>2660</v>
      </c>
      <c r="D983" s="46">
        <v>5077.0</v>
      </c>
      <c r="E983" s="46">
        <v>5250.0</v>
      </c>
    </row>
    <row r="984">
      <c r="A984" s="45">
        <v>20191.0</v>
      </c>
      <c r="B984" s="45" t="s">
        <v>2601</v>
      </c>
      <c r="C984" s="45" t="s">
        <v>2661</v>
      </c>
      <c r="D984" s="46">
        <v>22334.0</v>
      </c>
      <c r="E984" s="46">
        <v>22382.0</v>
      </c>
    </row>
    <row r="985">
      <c r="A985" s="45">
        <v>20193.0</v>
      </c>
      <c r="B985" s="45" t="s">
        <v>2601</v>
      </c>
      <c r="C985" s="45" t="s">
        <v>2405</v>
      </c>
      <c r="D985" s="46">
        <v>7865.0</v>
      </c>
      <c r="E985" s="46">
        <v>7930.0</v>
      </c>
    </row>
    <row r="986">
      <c r="A986" s="45">
        <v>20195.0</v>
      </c>
      <c r="B986" s="45" t="s">
        <v>2601</v>
      </c>
      <c r="C986" s="45" t="s">
        <v>2662</v>
      </c>
      <c r="D986" s="46">
        <v>2731.0</v>
      </c>
      <c r="E986" s="46">
        <v>2808.0</v>
      </c>
    </row>
    <row r="987">
      <c r="A987" s="45">
        <v>20197.0</v>
      </c>
      <c r="B987" s="45" t="s">
        <v>2601</v>
      </c>
      <c r="C987" s="45" t="s">
        <v>2663</v>
      </c>
      <c r="D987" s="46">
        <v>7057.0</v>
      </c>
      <c r="E987" s="46">
        <v>6877.0</v>
      </c>
    </row>
    <row r="988">
      <c r="A988" s="45">
        <v>20199.0</v>
      </c>
      <c r="B988" s="45" t="s">
        <v>2601</v>
      </c>
      <c r="C988" s="45" t="s">
        <v>2664</v>
      </c>
      <c r="D988" s="46">
        <v>1509.0</v>
      </c>
      <c r="E988" s="46">
        <v>1512.0</v>
      </c>
    </row>
    <row r="989">
      <c r="A989" s="45">
        <v>20201.0</v>
      </c>
      <c r="B989" s="45" t="s">
        <v>2601</v>
      </c>
      <c r="C989" s="45" t="s">
        <v>2059</v>
      </c>
      <c r="D989" s="46">
        <v>5504.0</v>
      </c>
      <c r="E989" s="46">
        <v>5530.0</v>
      </c>
    </row>
    <row r="990">
      <c r="A990" s="45">
        <v>20203.0</v>
      </c>
      <c r="B990" s="45" t="s">
        <v>2601</v>
      </c>
      <c r="C990" s="45" t="s">
        <v>2665</v>
      </c>
      <c r="D990" s="46">
        <v>2082.0</v>
      </c>
      <c r="E990" s="46">
        <v>2152.0</v>
      </c>
    </row>
    <row r="991">
      <c r="A991" s="45">
        <v>20205.0</v>
      </c>
      <c r="B991" s="45" t="s">
        <v>2601</v>
      </c>
      <c r="C991" s="45" t="s">
        <v>2666</v>
      </c>
      <c r="D991" s="46">
        <v>8382.0</v>
      </c>
      <c r="E991" s="46">
        <v>8624.0</v>
      </c>
    </row>
    <row r="992">
      <c r="A992" s="45">
        <v>20207.0</v>
      </c>
      <c r="B992" s="45" t="s">
        <v>2601</v>
      </c>
      <c r="C992" s="45" t="s">
        <v>2667</v>
      </c>
      <c r="D992" s="46">
        <v>3115.0</v>
      </c>
      <c r="E992" s="46">
        <v>3115.0</v>
      </c>
    </row>
    <row r="993">
      <c r="A993" s="45">
        <v>20209.0</v>
      </c>
      <c r="B993" s="45" t="s">
        <v>2601</v>
      </c>
      <c r="C993" s="45" t="s">
        <v>2668</v>
      </c>
      <c r="D993" s="46">
        <v>165281.0</v>
      </c>
      <c r="E993" s="46">
        <v>169245.0</v>
      </c>
    </row>
    <row r="994">
      <c r="A994" s="45">
        <v>21001.0</v>
      </c>
      <c r="B994" s="45" t="s">
        <v>2669</v>
      </c>
      <c r="C994" s="45" t="s">
        <v>2556</v>
      </c>
      <c r="D994" s="46">
        <v>19264.0</v>
      </c>
      <c r="E994" s="46">
        <v>18903.0</v>
      </c>
    </row>
    <row r="995">
      <c r="A995" s="45">
        <v>21003.0</v>
      </c>
      <c r="B995" s="45" t="s">
        <v>2669</v>
      </c>
      <c r="C995" s="45" t="s">
        <v>2514</v>
      </c>
      <c r="D995" s="46">
        <v>21788.0</v>
      </c>
      <c r="E995" s="46">
        <v>20588.0</v>
      </c>
    </row>
    <row r="996">
      <c r="A996" s="45">
        <v>21005.0</v>
      </c>
      <c r="B996" s="45" t="s">
        <v>2669</v>
      </c>
      <c r="C996" s="45" t="s">
        <v>2602</v>
      </c>
      <c r="D996" s="46">
        <v>24613.0</v>
      </c>
      <c r="E996" s="46">
        <v>23852.0</v>
      </c>
    </row>
    <row r="997">
      <c r="A997" s="45">
        <v>21007.0</v>
      </c>
      <c r="B997" s="45" t="s">
        <v>2669</v>
      </c>
      <c r="C997" s="45" t="s">
        <v>2670</v>
      </c>
      <c r="D997" s="46">
        <v>7582.0</v>
      </c>
      <c r="E997" s="46">
        <v>7728.0</v>
      </c>
    </row>
    <row r="998">
      <c r="A998" s="45">
        <v>21009.0</v>
      </c>
      <c r="B998" s="45" t="s">
        <v>2669</v>
      </c>
      <c r="C998" s="45" t="s">
        <v>2671</v>
      </c>
      <c r="D998" s="46">
        <v>45008.0</v>
      </c>
      <c r="E998" s="46">
        <v>44485.0</v>
      </c>
    </row>
    <row r="999">
      <c r="A999" s="45">
        <v>21011.0</v>
      </c>
      <c r="B999" s="45" t="s">
        <v>2669</v>
      </c>
      <c r="C999" s="45" t="s">
        <v>2672</v>
      </c>
      <c r="D999" s="46">
        <v>12975.0</v>
      </c>
      <c r="E999" s="46">
        <v>12750.0</v>
      </c>
    </row>
    <row r="1000">
      <c r="A1000" s="45">
        <v>21013.0</v>
      </c>
      <c r="B1000" s="45" t="s">
        <v>2669</v>
      </c>
      <c r="C1000" s="45" t="s">
        <v>2673</v>
      </c>
      <c r="D1000" s="46">
        <v>23317.0</v>
      </c>
      <c r="E1000" s="46">
        <v>24097.0</v>
      </c>
    </row>
    <row r="1001">
      <c r="A1001" s="45">
        <v>21015.0</v>
      </c>
      <c r="B1001" s="45" t="s">
        <v>2669</v>
      </c>
      <c r="C1001" s="45" t="s">
        <v>2084</v>
      </c>
      <c r="D1001" s="46">
        <v>140496.0</v>
      </c>
      <c r="E1001" s="46">
        <v>135968.0</v>
      </c>
    </row>
    <row r="1002">
      <c r="A1002" s="45">
        <v>21017.0</v>
      </c>
      <c r="B1002" s="45" t="s">
        <v>2669</v>
      </c>
      <c r="C1002" s="45" t="s">
        <v>2606</v>
      </c>
      <c r="D1002" s="46">
        <v>20134.0</v>
      </c>
      <c r="E1002" s="46">
        <v>20252.0</v>
      </c>
    </row>
    <row r="1003">
      <c r="A1003" s="45">
        <v>21019.0</v>
      </c>
      <c r="B1003" s="45" t="s">
        <v>2669</v>
      </c>
      <c r="C1003" s="45" t="s">
        <v>2674</v>
      </c>
      <c r="D1003" s="46">
        <v>47826.0</v>
      </c>
      <c r="E1003" s="46">
        <v>48261.0</v>
      </c>
    </row>
    <row r="1004">
      <c r="A1004" s="45">
        <v>21021.0</v>
      </c>
      <c r="B1004" s="45" t="s">
        <v>2669</v>
      </c>
      <c r="C1004" s="45" t="s">
        <v>2675</v>
      </c>
      <c r="D1004" s="46">
        <v>30988.0</v>
      </c>
      <c r="E1004" s="46">
        <v>30614.0</v>
      </c>
    </row>
    <row r="1005">
      <c r="A1005" s="45">
        <v>21023.0</v>
      </c>
      <c r="B1005" s="45" t="s">
        <v>2669</v>
      </c>
      <c r="C1005" s="45" t="s">
        <v>2676</v>
      </c>
      <c r="D1005" s="46">
        <v>8426.0</v>
      </c>
      <c r="E1005" s="46">
        <v>8400.0</v>
      </c>
    </row>
    <row r="1006">
      <c r="A1006" s="45">
        <v>21025.0</v>
      </c>
      <c r="B1006" s="45" t="s">
        <v>2669</v>
      </c>
      <c r="C1006" s="45" t="s">
        <v>2677</v>
      </c>
      <c r="D1006" s="46">
        <v>12953.0</v>
      </c>
      <c r="E1006" s="46">
        <v>13718.0</v>
      </c>
    </row>
    <row r="1007">
      <c r="A1007" s="45">
        <v>21027.0</v>
      </c>
      <c r="B1007" s="45" t="s">
        <v>2669</v>
      </c>
      <c r="C1007" s="45" t="s">
        <v>2678</v>
      </c>
      <c r="D1007" s="46">
        <v>21124.0</v>
      </c>
      <c r="E1007" s="46">
        <v>20432.0</v>
      </c>
    </row>
    <row r="1008">
      <c r="A1008" s="45">
        <v>21029.0</v>
      </c>
      <c r="B1008" s="45" t="s">
        <v>2669</v>
      </c>
      <c r="C1008" s="45" t="s">
        <v>2679</v>
      </c>
      <c r="D1008" s="46">
        <v>84863.0</v>
      </c>
      <c r="E1008" s="46">
        <v>82217.0</v>
      </c>
    </row>
    <row r="1009">
      <c r="A1009" s="45">
        <v>21031.0</v>
      </c>
      <c r="B1009" s="45" t="s">
        <v>2669</v>
      </c>
      <c r="C1009" s="45" t="s">
        <v>2001</v>
      </c>
      <c r="D1009" s="46">
        <v>12375.0</v>
      </c>
      <c r="E1009" s="46">
        <v>12371.0</v>
      </c>
    </row>
    <row r="1010">
      <c r="A1010" s="45">
        <v>21033.0</v>
      </c>
      <c r="B1010" s="45" t="s">
        <v>2669</v>
      </c>
      <c r="C1010" s="45" t="s">
        <v>2680</v>
      </c>
      <c r="D1010" s="46">
        <v>12551.0</v>
      </c>
      <c r="E1010" s="46">
        <v>12649.0</v>
      </c>
    </row>
    <row r="1011">
      <c r="A1011" s="45">
        <v>21035.0</v>
      </c>
      <c r="B1011" s="45" t="s">
        <v>2669</v>
      </c>
      <c r="C1011" s="45" t="s">
        <v>2681</v>
      </c>
      <c r="D1011" s="46">
        <v>38280.0</v>
      </c>
      <c r="E1011" s="46">
        <v>37103.0</v>
      </c>
    </row>
    <row r="1012">
      <c r="A1012" s="45">
        <v>21037.0</v>
      </c>
      <c r="B1012" s="45" t="s">
        <v>2669</v>
      </c>
      <c r="C1012" s="45" t="s">
        <v>2682</v>
      </c>
      <c r="D1012" s="46">
        <v>93702.0</v>
      </c>
      <c r="E1012" s="46">
        <v>93076.0</v>
      </c>
    </row>
    <row r="1013">
      <c r="A1013" s="45">
        <v>21039.0</v>
      </c>
      <c r="B1013" s="45" t="s">
        <v>2669</v>
      </c>
      <c r="C1013" s="45" t="s">
        <v>2683</v>
      </c>
      <c r="D1013" s="46">
        <v>4704.0</v>
      </c>
      <c r="E1013" s="46">
        <v>4826.0</v>
      </c>
    </row>
    <row r="1014">
      <c r="A1014" s="45">
        <v>21041.0</v>
      </c>
      <c r="B1014" s="45" t="s">
        <v>2669</v>
      </c>
      <c r="C1014" s="45" t="s">
        <v>2086</v>
      </c>
      <c r="D1014" s="46">
        <v>10987.0</v>
      </c>
      <c r="E1014" s="46">
        <v>10810.0</v>
      </c>
    </row>
    <row r="1015">
      <c r="A1015" s="45">
        <v>21043.0</v>
      </c>
      <c r="B1015" s="45" t="s">
        <v>2669</v>
      </c>
      <c r="C1015" s="45" t="s">
        <v>2684</v>
      </c>
      <c r="D1015" s="46">
        <v>26366.0</v>
      </c>
      <c r="E1015" s="46">
        <v>26627.0</v>
      </c>
    </row>
    <row r="1016">
      <c r="A1016" s="45">
        <v>21045.0</v>
      </c>
      <c r="B1016" s="45" t="s">
        <v>2669</v>
      </c>
      <c r="C1016" s="45" t="s">
        <v>2685</v>
      </c>
      <c r="D1016" s="46">
        <v>15918.0</v>
      </c>
      <c r="E1016" s="46">
        <v>15941.0</v>
      </c>
    </row>
    <row r="1017">
      <c r="A1017" s="45">
        <v>21047.0</v>
      </c>
      <c r="B1017" s="45" t="s">
        <v>2669</v>
      </c>
      <c r="C1017" s="45" t="s">
        <v>2465</v>
      </c>
      <c r="D1017" s="46">
        <v>72032.0</v>
      </c>
      <c r="E1017" s="46">
        <v>72748.0</v>
      </c>
    </row>
    <row r="1018">
      <c r="A1018" s="45">
        <v>21049.0</v>
      </c>
      <c r="B1018" s="45" t="s">
        <v>2669</v>
      </c>
      <c r="C1018" s="45" t="s">
        <v>2088</v>
      </c>
      <c r="D1018" s="46">
        <v>37304.0</v>
      </c>
      <c r="E1018" s="46">
        <v>36972.0</v>
      </c>
    </row>
    <row r="1019">
      <c r="A1019" s="45">
        <v>21051.0</v>
      </c>
      <c r="B1019" s="45" t="s">
        <v>2669</v>
      </c>
      <c r="C1019" s="45" t="s">
        <v>2008</v>
      </c>
      <c r="D1019" s="46">
        <v>19648.0</v>
      </c>
      <c r="E1019" s="46">
        <v>20345.0</v>
      </c>
    </row>
    <row r="1020">
      <c r="A1020" s="45">
        <v>21053.0</v>
      </c>
      <c r="B1020" s="45" t="s">
        <v>2669</v>
      </c>
      <c r="C1020" s="45" t="s">
        <v>2466</v>
      </c>
      <c r="D1020" s="46">
        <v>9148.0</v>
      </c>
      <c r="E1020" s="46">
        <v>9253.0</v>
      </c>
    </row>
    <row r="1021">
      <c r="A1021" s="45">
        <v>21055.0</v>
      </c>
      <c r="B1021" s="45" t="s">
        <v>2669</v>
      </c>
      <c r="C1021" s="45" t="s">
        <v>2094</v>
      </c>
      <c r="D1021" s="46">
        <v>8974.0</v>
      </c>
      <c r="E1021" s="46">
        <v>8990.0</v>
      </c>
    </row>
    <row r="1022">
      <c r="A1022" s="45">
        <v>21057.0</v>
      </c>
      <c r="B1022" s="45" t="s">
        <v>2669</v>
      </c>
      <c r="C1022" s="45" t="s">
        <v>2468</v>
      </c>
      <c r="D1022" s="46">
        <v>6000.0</v>
      </c>
      <c r="E1022" s="46">
        <v>5888.0</v>
      </c>
    </row>
    <row r="1023">
      <c r="A1023" s="45">
        <v>21059.0</v>
      </c>
      <c r="B1023" s="45" t="s">
        <v>2669</v>
      </c>
      <c r="C1023" s="45" t="s">
        <v>2517</v>
      </c>
      <c r="D1023" s="46">
        <v>103458.0</v>
      </c>
      <c r="E1023" s="46">
        <v>103312.0</v>
      </c>
    </row>
    <row r="1024">
      <c r="A1024" s="45">
        <v>21061.0</v>
      </c>
      <c r="B1024" s="45" t="s">
        <v>2669</v>
      </c>
      <c r="C1024" s="45" t="s">
        <v>2686</v>
      </c>
      <c r="D1024" s="46">
        <v>12448.0</v>
      </c>
      <c r="E1024" s="46">
        <v>12126.0</v>
      </c>
    </row>
    <row r="1025">
      <c r="A1025" s="45">
        <v>21063.0</v>
      </c>
      <c r="B1025" s="45" t="s">
        <v>2669</v>
      </c>
      <c r="C1025" s="45" t="s">
        <v>2687</v>
      </c>
      <c r="D1025" s="46">
        <v>7245.0</v>
      </c>
      <c r="E1025" s="46">
        <v>7354.0</v>
      </c>
    </row>
    <row r="1026">
      <c r="A1026" s="45">
        <v>21065.0</v>
      </c>
      <c r="B1026" s="45" t="s">
        <v>2669</v>
      </c>
      <c r="C1026" s="45" t="s">
        <v>2688</v>
      </c>
      <c r="D1026" s="46">
        <v>13936.0</v>
      </c>
      <c r="E1026" s="46">
        <v>14163.0</v>
      </c>
    </row>
    <row r="1027">
      <c r="A1027" s="45">
        <v>21067.0</v>
      </c>
      <c r="B1027" s="45" t="s">
        <v>2669</v>
      </c>
      <c r="C1027" s="45" t="s">
        <v>2023</v>
      </c>
      <c r="D1027" s="46">
        <v>320154.0</v>
      </c>
      <c r="E1027" s="46">
        <v>322570.0</v>
      </c>
    </row>
    <row r="1028">
      <c r="A1028" s="45">
        <v>21069.0</v>
      </c>
      <c r="B1028" s="45" t="s">
        <v>2669</v>
      </c>
      <c r="C1028" s="45" t="s">
        <v>2689</v>
      </c>
      <c r="D1028" s="46">
        <v>15442.0</v>
      </c>
      <c r="E1028" s="46">
        <v>15082.0</v>
      </c>
    </row>
    <row r="1029">
      <c r="A1029" s="45">
        <v>21071.0</v>
      </c>
      <c r="B1029" s="45" t="s">
        <v>2669</v>
      </c>
      <c r="C1029" s="45" t="s">
        <v>2356</v>
      </c>
      <c r="D1029" s="46">
        <v>34423.0</v>
      </c>
      <c r="E1029" s="46">
        <v>35942.0</v>
      </c>
    </row>
    <row r="1030">
      <c r="A1030" s="45">
        <v>21073.0</v>
      </c>
      <c r="B1030" s="45" t="s">
        <v>2669</v>
      </c>
      <c r="C1030" s="45" t="s">
        <v>2024</v>
      </c>
      <c r="D1030" s="46">
        <v>51644.0</v>
      </c>
      <c r="E1030" s="46">
        <v>51541.0</v>
      </c>
    </row>
    <row r="1031">
      <c r="A1031" s="45">
        <v>21075.0</v>
      </c>
      <c r="B1031" s="45" t="s">
        <v>2669</v>
      </c>
      <c r="C1031" s="45" t="s">
        <v>2099</v>
      </c>
      <c r="D1031" s="46">
        <v>6338.0</v>
      </c>
      <c r="E1031" s="46">
        <v>6515.0</v>
      </c>
    </row>
    <row r="1032">
      <c r="A1032" s="45">
        <v>21077.0</v>
      </c>
      <c r="B1032" s="45" t="s">
        <v>2669</v>
      </c>
      <c r="C1032" s="45" t="s">
        <v>2474</v>
      </c>
      <c r="D1032" s="46">
        <v>8792.0</v>
      </c>
      <c r="E1032" s="46">
        <v>8690.0</v>
      </c>
    </row>
    <row r="1033">
      <c r="A1033" s="45">
        <v>21079.0</v>
      </c>
      <c r="B1033" s="45" t="s">
        <v>2669</v>
      </c>
      <c r="C1033" s="45" t="s">
        <v>2690</v>
      </c>
      <c r="D1033" s="46">
        <v>17829.0</v>
      </c>
      <c r="E1033" s="46">
        <v>16953.0</v>
      </c>
    </row>
    <row r="1034">
      <c r="A1034" s="45">
        <v>21081.0</v>
      </c>
      <c r="B1034" s="45" t="s">
        <v>2669</v>
      </c>
      <c r="C1034" s="45" t="s">
        <v>2101</v>
      </c>
      <c r="D1034" s="46">
        <v>25619.0</v>
      </c>
      <c r="E1034" s="46">
        <v>24941.0</v>
      </c>
    </row>
    <row r="1035">
      <c r="A1035" s="45">
        <v>21083.0</v>
      </c>
      <c r="B1035" s="45" t="s">
        <v>2669</v>
      </c>
      <c r="C1035" s="45" t="s">
        <v>2691</v>
      </c>
      <c r="D1035" s="46">
        <v>36461.0</v>
      </c>
      <c r="E1035" s="46">
        <v>36649.0</v>
      </c>
    </row>
    <row r="1036">
      <c r="A1036" s="45">
        <v>21085.0</v>
      </c>
      <c r="B1036" s="45" t="s">
        <v>2669</v>
      </c>
      <c r="C1036" s="45" t="s">
        <v>2692</v>
      </c>
      <c r="D1036" s="46">
        <v>26825.0</v>
      </c>
      <c r="E1036" s="46">
        <v>26420.0</v>
      </c>
    </row>
    <row r="1037">
      <c r="A1037" s="45">
        <v>21087.0</v>
      </c>
      <c r="B1037" s="45" t="s">
        <v>2669</v>
      </c>
      <c r="C1037" s="45" t="s">
        <v>2693</v>
      </c>
      <c r="D1037" s="46">
        <v>11468.0</v>
      </c>
      <c r="E1037" s="46">
        <v>11107.0</v>
      </c>
    </row>
    <row r="1038">
      <c r="A1038" s="45">
        <v>21089.0</v>
      </c>
      <c r="B1038" s="45" t="s">
        <v>2669</v>
      </c>
      <c r="C1038" s="45" t="s">
        <v>2694</v>
      </c>
      <c r="D1038" s="46">
        <v>35221.0</v>
      </c>
      <c r="E1038" s="46">
        <v>35962.0</v>
      </c>
    </row>
    <row r="1039">
      <c r="A1039" s="45">
        <v>21091.0</v>
      </c>
      <c r="B1039" s="45" t="s">
        <v>2669</v>
      </c>
      <c r="C1039" s="45" t="s">
        <v>2366</v>
      </c>
      <c r="D1039" s="46">
        <v>8920.0</v>
      </c>
      <c r="E1039" s="46">
        <v>9095.0</v>
      </c>
    </row>
    <row r="1040">
      <c r="A1040" s="45">
        <v>21093.0</v>
      </c>
      <c r="B1040" s="45" t="s">
        <v>2669</v>
      </c>
      <c r="C1040" s="45" t="s">
        <v>2476</v>
      </c>
      <c r="D1040" s="46">
        <v>112273.0</v>
      </c>
      <c r="E1040" s="46">
        <v>110702.0</v>
      </c>
    </row>
    <row r="1041">
      <c r="A1041" s="45">
        <v>21095.0</v>
      </c>
      <c r="B1041" s="45" t="s">
        <v>2669</v>
      </c>
      <c r="C1041" s="45" t="s">
        <v>2695</v>
      </c>
      <c r="D1041" s="46">
        <v>25324.0</v>
      </c>
      <c r="E1041" s="46">
        <v>26831.0</v>
      </c>
    </row>
    <row r="1042">
      <c r="A1042" s="45">
        <v>21097.0</v>
      </c>
      <c r="B1042" s="45" t="s">
        <v>2669</v>
      </c>
      <c r="C1042" s="45" t="s">
        <v>2524</v>
      </c>
      <c r="D1042" s="46">
        <v>19415.0</v>
      </c>
      <c r="E1042" s="46">
        <v>18692.0</v>
      </c>
    </row>
    <row r="1043">
      <c r="A1043" s="45">
        <v>21099.0</v>
      </c>
      <c r="B1043" s="45" t="s">
        <v>2669</v>
      </c>
      <c r="C1043" s="45" t="s">
        <v>2369</v>
      </c>
      <c r="D1043" s="46">
        <v>19724.0</v>
      </c>
      <c r="E1043" s="46">
        <v>19288.0</v>
      </c>
    </row>
    <row r="1044">
      <c r="A1044" s="45">
        <v>21101.0</v>
      </c>
      <c r="B1044" s="45" t="s">
        <v>2669</v>
      </c>
      <c r="C1044" s="45" t="s">
        <v>2477</v>
      </c>
      <c r="D1044" s="46">
        <v>44119.0</v>
      </c>
      <c r="E1044" s="46">
        <v>44793.0</v>
      </c>
    </row>
    <row r="1045">
      <c r="A1045" s="45">
        <v>21103.0</v>
      </c>
      <c r="B1045" s="45" t="s">
        <v>2669</v>
      </c>
      <c r="C1045" s="45" t="s">
        <v>2028</v>
      </c>
      <c r="D1045" s="46">
        <v>15973.0</v>
      </c>
      <c r="E1045" s="46">
        <v>15678.0</v>
      </c>
    </row>
    <row r="1046">
      <c r="A1046" s="45">
        <v>21105.0</v>
      </c>
      <c r="B1046" s="45" t="s">
        <v>2669</v>
      </c>
      <c r="C1046" s="45" t="s">
        <v>2696</v>
      </c>
      <c r="D1046" s="46">
        <v>4447.0</v>
      </c>
      <c r="E1046" s="46">
        <v>4521.0</v>
      </c>
    </row>
    <row r="1047">
      <c r="A1047" s="45">
        <v>21107.0</v>
      </c>
      <c r="B1047" s="45" t="s">
        <v>2669</v>
      </c>
      <c r="C1047" s="45" t="s">
        <v>2697</v>
      </c>
      <c r="D1047" s="46">
        <v>44929.0</v>
      </c>
      <c r="E1047" s="46">
        <v>45423.0</v>
      </c>
    </row>
    <row r="1048">
      <c r="A1048" s="45">
        <v>21109.0</v>
      </c>
      <c r="B1048" s="45" t="s">
        <v>2669</v>
      </c>
      <c r="C1048" s="45" t="s">
        <v>2030</v>
      </c>
      <c r="D1048" s="46">
        <v>13104.0</v>
      </c>
      <c r="E1048" s="46">
        <v>12955.0</v>
      </c>
    </row>
    <row r="1049">
      <c r="A1049" s="45">
        <v>21111.0</v>
      </c>
      <c r="B1049" s="45" t="s">
        <v>2669</v>
      </c>
      <c r="C1049" s="45" t="s">
        <v>2031</v>
      </c>
      <c r="D1049" s="46">
        <v>772144.0</v>
      </c>
      <c r="E1049" s="46">
        <v>782969.0</v>
      </c>
    </row>
    <row r="1050">
      <c r="A1050" s="45">
        <v>21113.0</v>
      </c>
      <c r="B1050" s="45" t="s">
        <v>2669</v>
      </c>
      <c r="C1050" s="45" t="s">
        <v>2698</v>
      </c>
      <c r="D1050" s="46">
        <v>55017.0</v>
      </c>
      <c r="E1050" s="46">
        <v>52991.0</v>
      </c>
    </row>
    <row r="1051">
      <c r="A1051" s="45">
        <v>21115.0</v>
      </c>
      <c r="B1051" s="45" t="s">
        <v>2669</v>
      </c>
      <c r="C1051" s="45" t="s">
        <v>2107</v>
      </c>
      <c r="D1051" s="46">
        <v>22116.0</v>
      </c>
      <c r="E1051" s="46">
        <v>22680.0</v>
      </c>
    </row>
    <row r="1052">
      <c r="A1052" s="45">
        <v>21117.0</v>
      </c>
      <c r="B1052" s="45" t="s">
        <v>2669</v>
      </c>
      <c r="C1052" s="45" t="s">
        <v>2699</v>
      </c>
      <c r="D1052" s="46">
        <v>171321.0</v>
      </c>
      <c r="E1052" s="46">
        <v>169064.0</v>
      </c>
    </row>
    <row r="1053">
      <c r="A1053" s="45">
        <v>21119.0</v>
      </c>
      <c r="B1053" s="45" t="s">
        <v>2669</v>
      </c>
      <c r="C1053" s="45" t="s">
        <v>2700</v>
      </c>
      <c r="D1053" s="46">
        <v>13659.0</v>
      </c>
      <c r="E1053" s="46">
        <v>14251.0</v>
      </c>
    </row>
    <row r="1054">
      <c r="A1054" s="45">
        <v>21121.0</v>
      </c>
      <c r="B1054" s="45" t="s">
        <v>2669</v>
      </c>
      <c r="C1054" s="45" t="s">
        <v>2484</v>
      </c>
      <c r="D1054" s="46">
        <v>29794.0</v>
      </c>
      <c r="E1054" s="46">
        <v>30193.0</v>
      </c>
    </row>
    <row r="1055">
      <c r="A1055" s="45">
        <v>21123.0</v>
      </c>
      <c r="B1055" s="45" t="s">
        <v>2669</v>
      </c>
      <c r="C1055" s="45" t="s">
        <v>2701</v>
      </c>
      <c r="D1055" s="46">
        <v>15303.0</v>
      </c>
      <c r="E1055" s="46">
        <v>14867.0</v>
      </c>
    </row>
    <row r="1056">
      <c r="A1056" s="45">
        <v>21125.0</v>
      </c>
      <c r="B1056" s="45" t="s">
        <v>2669</v>
      </c>
      <c r="C1056" s="45" t="s">
        <v>2702</v>
      </c>
      <c r="D1056" s="46">
        <v>63296.0</v>
      </c>
      <c r="E1056" s="46">
        <v>62613.0</v>
      </c>
    </row>
    <row r="1057">
      <c r="A1057" s="45">
        <v>21127.0</v>
      </c>
      <c r="B1057" s="45" t="s">
        <v>2669</v>
      </c>
      <c r="C1057" s="45" t="s">
        <v>2034</v>
      </c>
      <c r="D1057" s="46">
        <v>16000.0</v>
      </c>
      <c r="E1057" s="46">
        <v>16293.0</v>
      </c>
    </row>
    <row r="1058">
      <c r="A1058" s="45">
        <v>21129.0</v>
      </c>
      <c r="B1058" s="45" t="s">
        <v>2669</v>
      </c>
      <c r="C1058" s="45" t="s">
        <v>2035</v>
      </c>
      <c r="D1058" s="46">
        <v>7293.0</v>
      </c>
      <c r="E1058" s="46">
        <v>7395.0</v>
      </c>
    </row>
    <row r="1059">
      <c r="A1059" s="45">
        <v>21131.0</v>
      </c>
      <c r="B1059" s="45" t="s">
        <v>2669</v>
      </c>
      <c r="C1059" s="45" t="s">
        <v>2703</v>
      </c>
      <c r="D1059" s="46">
        <v>9864.0</v>
      </c>
      <c r="E1059" s="46">
        <v>10513.0</v>
      </c>
    </row>
    <row r="1060">
      <c r="A1060" s="45">
        <v>21133.0</v>
      </c>
      <c r="B1060" s="45" t="s">
        <v>2669</v>
      </c>
      <c r="C1060" s="45" t="s">
        <v>2704</v>
      </c>
      <c r="D1060" s="46">
        <v>20423.0</v>
      </c>
      <c r="E1060" s="46">
        <v>21548.0</v>
      </c>
    </row>
    <row r="1061">
      <c r="A1061" s="45">
        <v>21135.0</v>
      </c>
      <c r="B1061" s="45" t="s">
        <v>2669</v>
      </c>
      <c r="C1061" s="45" t="s">
        <v>2447</v>
      </c>
      <c r="D1061" s="46">
        <v>12973.0</v>
      </c>
      <c r="E1061" s="46">
        <v>13080.0</v>
      </c>
    </row>
    <row r="1062">
      <c r="A1062" s="45">
        <v>21137.0</v>
      </c>
      <c r="B1062" s="45" t="s">
        <v>2669</v>
      </c>
      <c r="C1062" s="45" t="s">
        <v>2109</v>
      </c>
      <c r="D1062" s="46">
        <v>24776.0</v>
      </c>
      <c r="E1062" s="46">
        <v>24275.0</v>
      </c>
    </row>
    <row r="1063">
      <c r="A1063" s="45">
        <v>21139.0</v>
      </c>
      <c r="B1063" s="45" t="s">
        <v>2669</v>
      </c>
      <c r="C1063" s="45" t="s">
        <v>2486</v>
      </c>
      <c r="D1063" s="46">
        <v>8892.0</v>
      </c>
      <c r="E1063" s="46">
        <v>8888.0</v>
      </c>
    </row>
    <row r="1064">
      <c r="A1064" s="45">
        <v>21141.0</v>
      </c>
      <c r="B1064" s="45" t="s">
        <v>2669</v>
      </c>
      <c r="C1064" s="45" t="s">
        <v>2111</v>
      </c>
      <c r="D1064" s="46">
        <v>28283.0</v>
      </c>
      <c r="E1064" s="46">
        <v>27432.0</v>
      </c>
    </row>
    <row r="1065">
      <c r="A1065" s="45">
        <v>21143.0</v>
      </c>
      <c r="B1065" s="45" t="s">
        <v>2669</v>
      </c>
      <c r="C1065" s="45" t="s">
        <v>2580</v>
      </c>
      <c r="D1065" s="46">
        <v>9187.0</v>
      </c>
      <c r="E1065" s="46">
        <v>8680.0</v>
      </c>
    </row>
    <row r="1066">
      <c r="A1066" s="45">
        <v>21145.0</v>
      </c>
      <c r="B1066" s="45" t="s">
        <v>2669</v>
      </c>
      <c r="C1066" s="45" t="s">
        <v>2705</v>
      </c>
      <c r="D1066" s="46">
        <v>67428.0</v>
      </c>
      <c r="E1066" s="46">
        <v>67875.0</v>
      </c>
    </row>
    <row r="1067">
      <c r="A1067" s="45">
        <v>21147.0</v>
      </c>
      <c r="B1067" s="45" t="s">
        <v>2669</v>
      </c>
      <c r="C1067" s="45" t="s">
        <v>2706</v>
      </c>
      <c r="D1067" s="46">
        <v>17050.0</v>
      </c>
      <c r="E1067" s="46">
        <v>16888.0</v>
      </c>
    </row>
    <row r="1068">
      <c r="A1068" s="45">
        <v>21149.0</v>
      </c>
      <c r="B1068" s="45" t="s">
        <v>2669</v>
      </c>
      <c r="C1068" s="45" t="s">
        <v>2489</v>
      </c>
      <c r="D1068" s="46">
        <v>9054.0</v>
      </c>
      <c r="E1068" s="46">
        <v>9152.0</v>
      </c>
    </row>
    <row r="1069">
      <c r="A1069" s="45">
        <v>21151.0</v>
      </c>
      <c r="B1069" s="45" t="s">
        <v>2669</v>
      </c>
      <c r="C1069" s="45" t="s">
        <v>2039</v>
      </c>
      <c r="D1069" s="46">
        <v>96735.0</v>
      </c>
      <c r="E1069" s="46">
        <v>92701.0</v>
      </c>
    </row>
    <row r="1070">
      <c r="A1070" s="45">
        <v>21153.0</v>
      </c>
      <c r="B1070" s="45" t="s">
        <v>2669</v>
      </c>
      <c r="C1070" s="45" t="s">
        <v>2707</v>
      </c>
      <c r="D1070" s="46">
        <v>11228.0</v>
      </c>
      <c r="E1070" s="46">
        <v>11637.0</v>
      </c>
    </row>
    <row r="1071">
      <c r="A1071" s="45">
        <v>21155.0</v>
      </c>
      <c r="B1071" s="45" t="s">
        <v>2669</v>
      </c>
      <c r="C1071" s="45" t="s">
        <v>2041</v>
      </c>
      <c r="D1071" s="46">
        <v>19834.0</v>
      </c>
      <c r="E1071" s="46">
        <v>19581.0</v>
      </c>
    </row>
    <row r="1072">
      <c r="A1072" s="45">
        <v>21157.0</v>
      </c>
      <c r="B1072" s="45" t="s">
        <v>2669</v>
      </c>
      <c r="C1072" s="45" t="s">
        <v>2042</v>
      </c>
      <c r="D1072" s="46">
        <v>31744.0</v>
      </c>
      <c r="E1072" s="46">
        <v>31659.0</v>
      </c>
    </row>
    <row r="1073">
      <c r="A1073" s="45">
        <v>21159.0</v>
      </c>
      <c r="B1073" s="45" t="s">
        <v>2669</v>
      </c>
      <c r="C1073" s="45" t="s">
        <v>2294</v>
      </c>
      <c r="D1073" s="46">
        <v>10928.0</v>
      </c>
      <c r="E1073" s="46">
        <v>11287.0</v>
      </c>
    </row>
    <row r="1074">
      <c r="A1074" s="45">
        <v>21161.0</v>
      </c>
      <c r="B1074" s="45" t="s">
        <v>2669</v>
      </c>
      <c r="C1074" s="45" t="s">
        <v>2491</v>
      </c>
      <c r="D1074" s="46">
        <v>16841.0</v>
      </c>
      <c r="E1074" s="46">
        <v>17120.0</v>
      </c>
    </row>
    <row r="1075">
      <c r="A1075" s="45">
        <v>21163.0</v>
      </c>
      <c r="B1075" s="45" t="s">
        <v>2669</v>
      </c>
      <c r="C1075" s="45" t="s">
        <v>2634</v>
      </c>
      <c r="D1075" s="46">
        <v>30131.0</v>
      </c>
      <c r="E1075" s="46">
        <v>30003.0</v>
      </c>
    </row>
    <row r="1076">
      <c r="A1076" s="45">
        <v>21165.0</v>
      </c>
      <c r="B1076" s="45" t="s">
        <v>2669</v>
      </c>
      <c r="C1076" s="45" t="s">
        <v>2708</v>
      </c>
      <c r="D1076" s="46">
        <v>6286.0</v>
      </c>
      <c r="E1076" s="46">
        <v>6113.0</v>
      </c>
    </row>
    <row r="1077">
      <c r="A1077" s="45">
        <v>21167.0</v>
      </c>
      <c r="B1077" s="45" t="s">
        <v>2669</v>
      </c>
      <c r="C1077" s="45" t="s">
        <v>2494</v>
      </c>
      <c r="D1077" s="46">
        <v>23097.0</v>
      </c>
      <c r="E1077" s="46">
        <v>22641.0</v>
      </c>
    </row>
    <row r="1078">
      <c r="A1078" s="45">
        <v>21169.0</v>
      </c>
      <c r="B1078" s="45" t="s">
        <v>2669</v>
      </c>
      <c r="C1078" s="45" t="s">
        <v>2709</v>
      </c>
      <c r="D1078" s="46">
        <v>10482.0</v>
      </c>
      <c r="E1078" s="46">
        <v>10286.0</v>
      </c>
    </row>
    <row r="1079">
      <c r="A1079" s="45">
        <v>21171.0</v>
      </c>
      <c r="B1079" s="45" t="s">
        <v>2669</v>
      </c>
      <c r="C1079" s="45" t="s">
        <v>2044</v>
      </c>
      <c r="D1079" s="46">
        <v>11306.0</v>
      </c>
      <c r="E1079" s="46">
        <v>11338.0</v>
      </c>
    </row>
    <row r="1080">
      <c r="A1080" s="45">
        <v>21173.0</v>
      </c>
      <c r="B1080" s="45" t="s">
        <v>2669</v>
      </c>
      <c r="C1080" s="45" t="s">
        <v>2045</v>
      </c>
      <c r="D1080" s="46">
        <v>28527.0</v>
      </c>
      <c r="E1080" s="46">
        <v>28114.0</v>
      </c>
    </row>
    <row r="1081">
      <c r="A1081" s="45">
        <v>21175.0</v>
      </c>
      <c r="B1081" s="45" t="s">
        <v>2669</v>
      </c>
      <c r="C1081" s="45" t="s">
        <v>2046</v>
      </c>
      <c r="D1081" s="46">
        <v>14283.0</v>
      </c>
      <c r="E1081" s="46">
        <v>13726.0</v>
      </c>
    </row>
    <row r="1082">
      <c r="A1082" s="45">
        <v>21177.0</v>
      </c>
      <c r="B1082" s="45" t="s">
        <v>2669</v>
      </c>
      <c r="C1082" s="45" t="s">
        <v>2710</v>
      </c>
      <c r="D1082" s="46">
        <v>30568.0</v>
      </c>
      <c r="E1082" s="46">
        <v>30928.0</v>
      </c>
    </row>
    <row r="1083">
      <c r="A1083" s="45">
        <v>21179.0</v>
      </c>
      <c r="B1083" s="45" t="s">
        <v>2669</v>
      </c>
      <c r="C1083" s="45" t="s">
        <v>2711</v>
      </c>
      <c r="D1083" s="46">
        <v>47730.0</v>
      </c>
      <c r="E1083" s="46">
        <v>46738.0</v>
      </c>
    </row>
    <row r="1084">
      <c r="A1084" s="45">
        <v>21181.0</v>
      </c>
      <c r="B1084" s="45" t="s">
        <v>2669</v>
      </c>
      <c r="C1084" s="45" t="s">
        <v>2712</v>
      </c>
      <c r="D1084" s="46">
        <v>7686.0</v>
      </c>
      <c r="E1084" s="46">
        <v>7537.0</v>
      </c>
    </row>
    <row r="1085">
      <c r="A1085" s="45">
        <v>21183.0</v>
      </c>
      <c r="B1085" s="45" t="s">
        <v>2669</v>
      </c>
      <c r="C1085" s="45" t="s">
        <v>2534</v>
      </c>
      <c r="D1085" s="46">
        <v>23626.0</v>
      </c>
      <c r="E1085" s="46">
        <v>23772.0</v>
      </c>
    </row>
    <row r="1086">
      <c r="A1086" s="45">
        <v>21185.0</v>
      </c>
      <c r="B1086" s="45" t="s">
        <v>2669</v>
      </c>
      <c r="C1086" s="45" t="s">
        <v>2713</v>
      </c>
      <c r="D1086" s="46">
        <v>70183.0</v>
      </c>
      <c r="E1086" s="46">
        <v>67607.0</v>
      </c>
    </row>
    <row r="1087">
      <c r="A1087" s="45">
        <v>21187.0</v>
      </c>
      <c r="B1087" s="45" t="s">
        <v>2669</v>
      </c>
      <c r="C1087" s="45" t="s">
        <v>2535</v>
      </c>
      <c r="D1087" s="46">
        <v>11313.0</v>
      </c>
      <c r="E1087" s="46">
        <v>11278.0</v>
      </c>
    </row>
    <row r="1088">
      <c r="A1088" s="45">
        <v>21189.0</v>
      </c>
      <c r="B1088" s="45" t="s">
        <v>2669</v>
      </c>
      <c r="C1088" s="45" t="s">
        <v>2714</v>
      </c>
      <c r="D1088" s="46">
        <v>4001.0</v>
      </c>
      <c r="E1088" s="46">
        <v>4051.0</v>
      </c>
    </row>
    <row r="1089">
      <c r="A1089" s="45">
        <v>21191.0</v>
      </c>
      <c r="B1089" s="45" t="s">
        <v>2669</v>
      </c>
      <c r="C1089" s="45" t="s">
        <v>2715</v>
      </c>
      <c r="D1089" s="46">
        <v>14810.0</v>
      </c>
      <c r="E1089" s="46">
        <v>14644.0</v>
      </c>
    </row>
    <row r="1090">
      <c r="A1090" s="45">
        <v>21193.0</v>
      </c>
      <c r="B1090" s="45" t="s">
        <v>2669</v>
      </c>
      <c r="C1090" s="45" t="s">
        <v>2047</v>
      </c>
      <c r="D1090" s="46">
        <v>27133.0</v>
      </c>
      <c r="E1090" s="46">
        <v>28473.0</v>
      </c>
    </row>
    <row r="1091">
      <c r="A1091" s="45">
        <v>21195.0</v>
      </c>
      <c r="B1091" s="45" t="s">
        <v>2669</v>
      </c>
      <c r="C1091" s="45" t="s">
        <v>2049</v>
      </c>
      <c r="D1091" s="46">
        <v>55973.0</v>
      </c>
      <c r="E1091" s="46">
        <v>58669.0</v>
      </c>
    </row>
    <row r="1092">
      <c r="A1092" s="45">
        <v>21197.0</v>
      </c>
      <c r="B1092" s="45" t="s">
        <v>2669</v>
      </c>
      <c r="C1092" s="45" t="s">
        <v>2716</v>
      </c>
      <c r="D1092" s="46">
        <v>12972.0</v>
      </c>
      <c r="E1092" s="46">
        <v>13129.0</v>
      </c>
    </row>
    <row r="1093">
      <c r="A1093" s="45">
        <v>21199.0</v>
      </c>
      <c r="B1093" s="45" t="s">
        <v>2669</v>
      </c>
      <c r="C1093" s="45" t="s">
        <v>2123</v>
      </c>
      <c r="D1093" s="46">
        <v>66191.0</v>
      </c>
      <c r="E1093" s="46">
        <v>65034.0</v>
      </c>
    </row>
    <row r="1094">
      <c r="A1094" s="45">
        <v>21201.0</v>
      </c>
      <c r="B1094" s="45" t="s">
        <v>2669</v>
      </c>
      <c r="C1094" s="45" t="s">
        <v>2717</v>
      </c>
      <c r="D1094" s="46">
        <v>2313.0</v>
      </c>
      <c r="E1094" s="46">
        <v>2193.0</v>
      </c>
    </row>
    <row r="1095">
      <c r="A1095" s="45">
        <v>21203.0</v>
      </c>
      <c r="B1095" s="45" t="s">
        <v>2669</v>
      </c>
      <c r="C1095" s="45" t="s">
        <v>2718</v>
      </c>
      <c r="D1095" s="46">
        <v>16190.0</v>
      </c>
      <c r="E1095" s="46">
        <v>16037.0</v>
      </c>
    </row>
    <row r="1096">
      <c r="A1096" s="45">
        <v>21205.0</v>
      </c>
      <c r="B1096" s="45" t="s">
        <v>2669</v>
      </c>
      <c r="C1096" s="45" t="s">
        <v>2719</v>
      </c>
      <c r="D1096" s="46">
        <v>24409.0</v>
      </c>
      <c r="E1096" s="46">
        <v>24662.0</v>
      </c>
    </row>
    <row r="1097">
      <c r="A1097" s="45">
        <v>21207.0</v>
      </c>
      <c r="B1097" s="45" t="s">
        <v>2669</v>
      </c>
      <c r="C1097" s="45" t="s">
        <v>2051</v>
      </c>
      <c r="D1097" s="46">
        <v>18279.0</v>
      </c>
      <c r="E1097" s="46">
        <v>17991.0</v>
      </c>
    </row>
    <row r="1098">
      <c r="A1098" s="45">
        <v>21209.0</v>
      </c>
      <c r="B1098" s="45" t="s">
        <v>2669</v>
      </c>
      <c r="C1098" s="45" t="s">
        <v>2126</v>
      </c>
      <c r="D1098" s="46">
        <v>60168.0</v>
      </c>
      <c r="E1098" s="46">
        <v>57155.0</v>
      </c>
    </row>
    <row r="1099">
      <c r="A1099" s="45">
        <v>21211.0</v>
      </c>
      <c r="B1099" s="45" t="s">
        <v>2669</v>
      </c>
      <c r="C1099" s="45" t="s">
        <v>2053</v>
      </c>
      <c r="D1099" s="46">
        <v>49515.0</v>
      </c>
      <c r="E1099" s="46">
        <v>48065.0</v>
      </c>
    </row>
    <row r="1100">
      <c r="A1100" s="45">
        <v>21213.0</v>
      </c>
      <c r="B1100" s="45" t="s">
        <v>2669</v>
      </c>
      <c r="C1100" s="45" t="s">
        <v>2720</v>
      </c>
      <c r="D1100" s="46">
        <v>20195.0</v>
      </c>
      <c r="E1100" s="46">
        <v>19594.0</v>
      </c>
    </row>
    <row r="1101">
      <c r="A1101" s="45">
        <v>21215.0</v>
      </c>
      <c r="B1101" s="45" t="s">
        <v>2669</v>
      </c>
      <c r="C1101" s="45" t="s">
        <v>2542</v>
      </c>
      <c r="D1101" s="46">
        <v>20531.0</v>
      </c>
      <c r="E1101" s="46">
        <v>19490.0</v>
      </c>
    </row>
    <row r="1102">
      <c r="A1102" s="45">
        <v>21217.0</v>
      </c>
      <c r="B1102" s="45" t="s">
        <v>2669</v>
      </c>
      <c r="C1102" s="45" t="s">
        <v>2310</v>
      </c>
      <c r="D1102" s="46">
        <v>26443.0</v>
      </c>
      <c r="E1102" s="46">
        <v>26023.0</v>
      </c>
    </row>
    <row r="1103">
      <c r="A1103" s="45">
        <v>21219.0</v>
      </c>
      <c r="B1103" s="45" t="s">
        <v>2669</v>
      </c>
      <c r="C1103" s="45" t="s">
        <v>2721</v>
      </c>
      <c r="D1103" s="46">
        <v>12494.0</v>
      </c>
      <c r="E1103" s="46">
        <v>12243.0</v>
      </c>
    </row>
    <row r="1104">
      <c r="A1104" s="45">
        <v>21221.0</v>
      </c>
      <c r="B1104" s="45" t="s">
        <v>2669</v>
      </c>
      <c r="C1104" s="45" t="s">
        <v>2722</v>
      </c>
      <c r="D1104" s="46">
        <v>14369.0</v>
      </c>
      <c r="E1104" s="46">
        <v>14061.0</v>
      </c>
    </row>
    <row r="1105">
      <c r="A1105" s="45">
        <v>21223.0</v>
      </c>
      <c r="B1105" s="45" t="s">
        <v>2669</v>
      </c>
      <c r="C1105" s="45" t="s">
        <v>2723</v>
      </c>
      <c r="D1105" s="46">
        <v>8607.0</v>
      </c>
      <c r="E1105" s="46">
        <v>8474.0</v>
      </c>
    </row>
    <row r="1106">
      <c r="A1106" s="45">
        <v>21225.0</v>
      </c>
      <c r="B1106" s="45" t="s">
        <v>2669</v>
      </c>
      <c r="C1106" s="45" t="s">
        <v>2132</v>
      </c>
      <c r="D1106" s="46">
        <v>13106.0</v>
      </c>
      <c r="E1106" s="46">
        <v>13668.0</v>
      </c>
    </row>
    <row r="1107">
      <c r="A1107" s="45">
        <v>21227.0</v>
      </c>
      <c r="B1107" s="45" t="s">
        <v>2669</v>
      </c>
      <c r="C1107" s="45" t="s">
        <v>2415</v>
      </c>
      <c r="D1107" s="46">
        <v>142229.0</v>
      </c>
      <c r="E1107" s="46">
        <v>134554.0</v>
      </c>
    </row>
    <row r="1108">
      <c r="A1108" s="45">
        <v>21229.0</v>
      </c>
      <c r="B1108" s="45" t="s">
        <v>2669</v>
      </c>
      <c r="C1108" s="45" t="s">
        <v>2059</v>
      </c>
      <c r="D1108" s="46">
        <v>12267.0</v>
      </c>
      <c r="E1108" s="46">
        <v>12027.0</v>
      </c>
    </row>
    <row r="1109">
      <c r="A1109" s="45">
        <v>21231.0</v>
      </c>
      <c r="B1109" s="45" t="s">
        <v>2669</v>
      </c>
      <c r="C1109" s="45" t="s">
        <v>2416</v>
      </c>
      <c r="D1109" s="46">
        <v>19580.0</v>
      </c>
      <c r="E1109" s="46">
        <v>19555.0</v>
      </c>
    </row>
    <row r="1110">
      <c r="A1110" s="45">
        <v>21233.0</v>
      </c>
      <c r="B1110" s="45" t="s">
        <v>2669</v>
      </c>
      <c r="C1110" s="45" t="s">
        <v>2417</v>
      </c>
      <c r="D1110" s="46">
        <v>12726.0</v>
      </c>
      <c r="E1110" s="46">
        <v>13017.0</v>
      </c>
    </row>
    <row r="1111">
      <c r="A1111" s="45">
        <v>21235.0</v>
      </c>
      <c r="B1111" s="45" t="s">
        <v>2669</v>
      </c>
      <c r="C1111" s="45" t="s">
        <v>2554</v>
      </c>
      <c r="D1111" s="46">
        <v>36825.0</v>
      </c>
      <c r="E1111" s="46">
        <v>36712.0</v>
      </c>
    </row>
    <row r="1112">
      <c r="A1112" s="45">
        <v>21237.0</v>
      </c>
      <c r="B1112" s="45" t="s">
        <v>2669</v>
      </c>
      <c r="C1112" s="45" t="s">
        <v>2724</v>
      </c>
      <c r="D1112" s="46">
        <v>6282.0</v>
      </c>
      <c r="E1112" s="46">
        <v>6562.0</v>
      </c>
    </row>
    <row r="1113">
      <c r="A1113" s="45">
        <v>21239.0</v>
      </c>
      <c r="B1113" s="45" t="s">
        <v>2669</v>
      </c>
      <c r="C1113" s="45" t="s">
        <v>2512</v>
      </c>
      <c r="D1113" s="46">
        <v>27268.0</v>
      </c>
      <c r="E1113" s="46">
        <v>26871.0</v>
      </c>
    </row>
    <row r="1114">
      <c r="A1114" s="45">
        <v>22001.0</v>
      </c>
      <c r="B1114" s="45" t="s">
        <v>2725</v>
      </c>
      <c r="C1114" s="45" t="s">
        <v>2726</v>
      </c>
      <c r="D1114" s="46">
        <v>56489.0</v>
      </c>
      <c r="E1114" s="46">
        <v>57576.0</v>
      </c>
    </row>
    <row r="1115">
      <c r="A1115" s="45">
        <v>22003.0</v>
      </c>
      <c r="B1115" s="45" t="s">
        <v>2725</v>
      </c>
      <c r="C1115" s="45" t="s">
        <v>2727</v>
      </c>
      <c r="D1115" s="46">
        <v>22112.0</v>
      </c>
      <c r="E1115" s="46">
        <v>22750.0</v>
      </c>
    </row>
    <row r="1116">
      <c r="A1116" s="45">
        <v>22005.0</v>
      </c>
      <c r="B1116" s="45" t="s">
        <v>2725</v>
      </c>
      <c r="C1116" s="45" t="s">
        <v>2728</v>
      </c>
      <c r="D1116" s="46">
        <v>131632.0</v>
      </c>
      <c r="E1116" s="46">
        <v>126500.0</v>
      </c>
    </row>
    <row r="1117">
      <c r="A1117" s="45">
        <v>22007.0</v>
      </c>
      <c r="B1117" s="45" t="s">
        <v>2725</v>
      </c>
      <c r="C1117" s="45" t="s">
        <v>2729</v>
      </c>
      <c r="D1117" s="46">
        <v>20160.0</v>
      </c>
      <c r="E1117" s="46">
        <v>21039.0</v>
      </c>
    </row>
    <row r="1118">
      <c r="A1118" s="45">
        <v>22009.0</v>
      </c>
      <c r="B1118" s="45" t="s">
        <v>2725</v>
      </c>
      <c r="C1118" s="45" t="s">
        <v>2730</v>
      </c>
      <c r="D1118" s="46">
        <v>38408.0</v>
      </c>
      <c r="E1118" s="46">
        <v>39693.0</v>
      </c>
    </row>
    <row r="1119">
      <c r="A1119" s="45">
        <v>22011.0</v>
      </c>
      <c r="B1119" s="45" t="s">
        <v>2725</v>
      </c>
      <c r="C1119" s="45" t="s">
        <v>2731</v>
      </c>
      <c r="D1119" s="46">
        <v>36827.0</v>
      </c>
      <c r="E1119" s="46">
        <v>36549.0</v>
      </c>
    </row>
    <row r="1120">
      <c r="A1120" s="45">
        <v>22013.0</v>
      </c>
      <c r="B1120" s="45" t="s">
        <v>2725</v>
      </c>
      <c r="C1120" s="45" t="s">
        <v>2732</v>
      </c>
      <c r="D1120" s="46">
        <v>12366.0</v>
      </c>
      <c r="E1120" s="46">
        <v>12981.0</v>
      </c>
    </row>
    <row r="1121">
      <c r="A1121" s="45">
        <v>22015.0</v>
      </c>
      <c r="B1121" s="45" t="s">
        <v>2725</v>
      </c>
      <c r="C1121" s="45" t="s">
        <v>2733</v>
      </c>
      <c r="D1121" s="46">
        <v>129795.0</v>
      </c>
      <c r="E1121" s="46">
        <v>128746.0</v>
      </c>
    </row>
    <row r="1122">
      <c r="A1122" s="45">
        <v>22017.0</v>
      </c>
      <c r="B1122" s="45" t="s">
        <v>2725</v>
      </c>
      <c r="C1122" s="45" t="s">
        <v>2734</v>
      </c>
      <c r="D1122" s="46">
        <v>226386.0</v>
      </c>
      <c r="E1122" s="46">
        <v>237848.0</v>
      </c>
    </row>
    <row r="1123">
      <c r="A1123" s="45">
        <v>22019.0</v>
      </c>
      <c r="B1123" s="45" t="s">
        <v>2725</v>
      </c>
      <c r="C1123" s="45" t="s">
        <v>2735</v>
      </c>
      <c r="D1123" s="46">
        <v>203761.0</v>
      </c>
      <c r="E1123" s="46">
        <v>216785.0</v>
      </c>
    </row>
    <row r="1124">
      <c r="A1124" s="45">
        <v>22021.0</v>
      </c>
      <c r="B1124" s="45" t="s">
        <v>2725</v>
      </c>
      <c r="C1124" s="45" t="s">
        <v>2736</v>
      </c>
      <c r="D1124" s="46">
        <v>9389.0</v>
      </c>
      <c r="E1124" s="46">
        <v>9645.0</v>
      </c>
    </row>
    <row r="1125">
      <c r="A1125" s="45">
        <v>22023.0</v>
      </c>
      <c r="B1125" s="45" t="s">
        <v>2725</v>
      </c>
      <c r="C1125" s="45" t="s">
        <v>2737</v>
      </c>
      <c r="D1125" s="46">
        <v>4768.0</v>
      </c>
      <c r="E1125" s="46">
        <v>5617.0</v>
      </c>
    </row>
    <row r="1126">
      <c r="A1126" s="45">
        <v>22025.0</v>
      </c>
      <c r="B1126" s="45" t="s">
        <v>2725</v>
      </c>
      <c r="C1126" s="45" t="s">
        <v>2738</v>
      </c>
      <c r="D1126" s="46">
        <v>8414.0</v>
      </c>
      <c r="E1126" s="46">
        <v>8906.0</v>
      </c>
    </row>
    <row r="1127">
      <c r="A1127" s="45">
        <v>22027.0</v>
      </c>
      <c r="B1127" s="45" t="s">
        <v>2725</v>
      </c>
      <c r="C1127" s="45" t="s">
        <v>2739</v>
      </c>
      <c r="D1127" s="46">
        <v>13670.0</v>
      </c>
      <c r="E1127" s="46">
        <v>14170.0</v>
      </c>
    </row>
    <row r="1128">
      <c r="A1128" s="45">
        <v>22029.0</v>
      </c>
      <c r="B1128" s="45" t="s">
        <v>2725</v>
      </c>
      <c r="C1128" s="45" t="s">
        <v>2740</v>
      </c>
      <c r="D1128" s="46">
        <v>17688.0</v>
      </c>
      <c r="E1128" s="46">
        <v>18687.0</v>
      </c>
    </row>
    <row r="1129">
      <c r="A1129" s="45">
        <v>22031.0</v>
      </c>
      <c r="B1129" s="45" t="s">
        <v>2725</v>
      </c>
      <c r="C1129" s="45" t="s">
        <v>2741</v>
      </c>
      <c r="D1129" s="46">
        <v>27114.0</v>
      </c>
      <c r="E1129" s="46">
        <v>26812.0</v>
      </c>
    </row>
    <row r="1130">
      <c r="A1130" s="45">
        <v>22033.0</v>
      </c>
      <c r="B1130" s="45" t="s">
        <v>2725</v>
      </c>
      <c r="C1130" s="45" t="s">
        <v>2742</v>
      </c>
      <c r="D1130" s="46">
        <v>448467.0</v>
      </c>
      <c r="E1130" s="46">
        <v>456781.0</v>
      </c>
    </row>
    <row r="1131">
      <c r="A1131" s="45">
        <v>22035.0</v>
      </c>
      <c r="B1131" s="45" t="s">
        <v>2725</v>
      </c>
      <c r="C1131" s="45" t="s">
        <v>2743</v>
      </c>
      <c r="D1131" s="46">
        <v>6829.0</v>
      </c>
      <c r="E1131" s="46">
        <v>7459.0</v>
      </c>
    </row>
    <row r="1132">
      <c r="A1132" s="45">
        <v>22037.0</v>
      </c>
      <c r="B1132" s="45" t="s">
        <v>2725</v>
      </c>
      <c r="C1132" s="45" t="s">
        <v>2744</v>
      </c>
      <c r="D1132" s="46">
        <v>19229.0</v>
      </c>
      <c r="E1132" s="46">
        <v>19539.0</v>
      </c>
    </row>
    <row r="1133">
      <c r="A1133" s="45">
        <v>22039.0</v>
      </c>
      <c r="B1133" s="45" t="s">
        <v>2725</v>
      </c>
      <c r="C1133" s="45" t="s">
        <v>2745</v>
      </c>
      <c r="D1133" s="46">
        <v>31754.0</v>
      </c>
      <c r="E1133" s="46">
        <v>32350.0</v>
      </c>
    </row>
    <row r="1134">
      <c r="A1134" s="45">
        <v>22041.0</v>
      </c>
      <c r="B1134" s="45" t="s">
        <v>2725</v>
      </c>
      <c r="C1134" s="45" t="s">
        <v>2746</v>
      </c>
      <c r="D1134" s="46">
        <v>19285.0</v>
      </c>
      <c r="E1134" s="46">
        <v>19774.0</v>
      </c>
    </row>
    <row r="1135">
      <c r="A1135" s="45">
        <v>22043.0</v>
      </c>
      <c r="B1135" s="45" t="s">
        <v>2725</v>
      </c>
      <c r="C1135" s="45" t="s">
        <v>2747</v>
      </c>
      <c r="D1135" s="46">
        <v>21911.0</v>
      </c>
      <c r="E1135" s="46">
        <v>22169.0</v>
      </c>
    </row>
    <row r="1136">
      <c r="A1136" s="45">
        <v>22045.0</v>
      </c>
      <c r="B1136" s="45" t="s">
        <v>2725</v>
      </c>
      <c r="C1136" s="45" t="s">
        <v>2748</v>
      </c>
      <c r="D1136" s="46">
        <v>67659.0</v>
      </c>
      <c r="E1136" s="46">
        <v>69929.0</v>
      </c>
    </row>
    <row r="1137">
      <c r="A1137" s="45">
        <v>22047.0</v>
      </c>
      <c r="B1137" s="45" t="s">
        <v>2725</v>
      </c>
      <c r="C1137" s="45" t="s">
        <v>2749</v>
      </c>
      <c r="D1137" s="46">
        <v>29617.0</v>
      </c>
      <c r="E1137" s="46">
        <v>30241.0</v>
      </c>
    </row>
    <row r="1138">
      <c r="A1138" s="45">
        <v>22049.0</v>
      </c>
      <c r="B1138" s="45" t="s">
        <v>2725</v>
      </c>
      <c r="C1138" s="45" t="s">
        <v>2750</v>
      </c>
      <c r="D1138" s="46">
        <v>14746.0</v>
      </c>
      <c r="E1138" s="46">
        <v>15031.0</v>
      </c>
    </row>
    <row r="1139">
      <c r="A1139" s="45">
        <v>22051.0</v>
      </c>
      <c r="B1139" s="45" t="s">
        <v>2725</v>
      </c>
      <c r="C1139" s="45" t="s">
        <v>2751</v>
      </c>
      <c r="D1139" s="46">
        <v>421777.0</v>
      </c>
      <c r="E1139" s="46">
        <v>440781.0</v>
      </c>
    </row>
    <row r="1140">
      <c r="A1140" s="45">
        <v>22053.0</v>
      </c>
      <c r="B1140" s="45" t="s">
        <v>2725</v>
      </c>
      <c r="C1140" s="45" t="s">
        <v>2752</v>
      </c>
      <c r="D1140" s="46">
        <v>31553.0</v>
      </c>
      <c r="E1140" s="46">
        <v>32250.0</v>
      </c>
    </row>
    <row r="1141">
      <c r="A1141" s="45">
        <v>22055.0</v>
      </c>
      <c r="B1141" s="45" t="s">
        <v>2725</v>
      </c>
      <c r="C1141" s="45" t="s">
        <v>2753</v>
      </c>
      <c r="D1141" s="46">
        <v>249750.0</v>
      </c>
      <c r="E1141" s="46">
        <v>241753.0</v>
      </c>
    </row>
    <row r="1142">
      <c r="A1142" s="45">
        <v>22057.0</v>
      </c>
      <c r="B1142" s="45" t="s">
        <v>2725</v>
      </c>
      <c r="C1142" s="45" t="s">
        <v>2754</v>
      </c>
      <c r="D1142" s="46">
        <v>95056.0</v>
      </c>
      <c r="E1142" s="46">
        <v>97557.0</v>
      </c>
    </row>
    <row r="1143">
      <c r="A1143" s="45">
        <v>22059.0</v>
      </c>
      <c r="B1143" s="45" t="s">
        <v>2725</v>
      </c>
      <c r="C1143" s="45" t="s">
        <v>2755</v>
      </c>
      <c r="D1143" s="46">
        <v>14800.0</v>
      </c>
      <c r="E1143" s="46">
        <v>14791.0</v>
      </c>
    </row>
    <row r="1144">
      <c r="A1144" s="45">
        <v>22061.0</v>
      </c>
      <c r="B1144" s="45" t="s">
        <v>2725</v>
      </c>
      <c r="C1144" s="45" t="s">
        <v>2756</v>
      </c>
      <c r="D1144" s="46">
        <v>47962.0</v>
      </c>
      <c r="E1144" s="46">
        <v>48396.0</v>
      </c>
    </row>
    <row r="1145">
      <c r="A1145" s="45">
        <v>22063.0</v>
      </c>
      <c r="B1145" s="45" t="s">
        <v>2725</v>
      </c>
      <c r="C1145" s="45" t="s">
        <v>2757</v>
      </c>
      <c r="D1145" s="46">
        <v>150145.0</v>
      </c>
      <c r="E1145" s="46">
        <v>142282.0</v>
      </c>
    </row>
    <row r="1146">
      <c r="A1146" s="45">
        <v>22065.0</v>
      </c>
      <c r="B1146" s="45" t="s">
        <v>2725</v>
      </c>
      <c r="C1146" s="45" t="s">
        <v>2758</v>
      </c>
      <c r="D1146" s="46">
        <v>9246.0</v>
      </c>
      <c r="E1146" s="46">
        <v>10017.0</v>
      </c>
    </row>
    <row r="1147">
      <c r="A1147" s="45">
        <v>22067.0</v>
      </c>
      <c r="B1147" s="45" t="s">
        <v>2725</v>
      </c>
      <c r="C1147" s="45" t="s">
        <v>2759</v>
      </c>
      <c r="D1147" s="46">
        <v>23955.0</v>
      </c>
      <c r="E1147" s="46">
        <v>25629.0</v>
      </c>
    </row>
    <row r="1148">
      <c r="A1148" s="45">
        <v>22069.0</v>
      </c>
      <c r="B1148" s="45" t="s">
        <v>2725</v>
      </c>
      <c r="C1148" s="45" t="s">
        <v>2760</v>
      </c>
      <c r="D1148" s="46">
        <v>36291.0</v>
      </c>
      <c r="E1148" s="46">
        <v>37515.0</v>
      </c>
    </row>
    <row r="1149">
      <c r="A1149" s="45">
        <v>22071.0</v>
      </c>
      <c r="B1149" s="45" t="s">
        <v>2725</v>
      </c>
      <c r="C1149" s="45" t="s">
        <v>2761</v>
      </c>
      <c r="D1149" s="46">
        <v>364136.0</v>
      </c>
      <c r="E1149" s="46">
        <v>383997.0</v>
      </c>
    </row>
    <row r="1150">
      <c r="A1150" s="45">
        <v>22073.0</v>
      </c>
      <c r="B1150" s="45" t="s">
        <v>2725</v>
      </c>
      <c r="C1150" s="45" t="s">
        <v>2762</v>
      </c>
      <c r="D1150" s="46">
        <v>157568.0</v>
      </c>
      <c r="E1150" s="46">
        <v>160368.0</v>
      </c>
    </row>
    <row r="1151">
      <c r="A1151" s="45">
        <v>22075.0</v>
      </c>
      <c r="B1151" s="45" t="s">
        <v>2725</v>
      </c>
      <c r="C1151" s="45" t="s">
        <v>2763</v>
      </c>
      <c r="D1151" s="46">
        <v>22386.0</v>
      </c>
      <c r="E1151" s="46">
        <v>23515.0</v>
      </c>
    </row>
    <row r="1152">
      <c r="A1152" s="45">
        <v>22077.0</v>
      </c>
      <c r="B1152" s="45" t="s">
        <v>2725</v>
      </c>
      <c r="C1152" s="45" t="s">
        <v>2764</v>
      </c>
      <c r="D1152" s="46">
        <v>20000.0</v>
      </c>
      <c r="E1152" s="46">
        <v>20758.0</v>
      </c>
    </row>
    <row r="1153">
      <c r="A1153" s="45">
        <v>22079.0</v>
      </c>
      <c r="B1153" s="45" t="s">
        <v>2725</v>
      </c>
      <c r="C1153" s="45" t="s">
        <v>2765</v>
      </c>
      <c r="D1153" s="46">
        <v>126260.0</v>
      </c>
      <c r="E1153" s="46">
        <v>130023.0</v>
      </c>
    </row>
    <row r="1154">
      <c r="A1154" s="45">
        <v>22081.0</v>
      </c>
      <c r="B1154" s="45" t="s">
        <v>2725</v>
      </c>
      <c r="C1154" s="45" t="s">
        <v>2766</v>
      </c>
      <c r="D1154" s="46">
        <v>7356.0</v>
      </c>
      <c r="E1154" s="46">
        <v>7620.0</v>
      </c>
    </row>
    <row r="1155">
      <c r="A1155" s="45">
        <v>22083.0</v>
      </c>
      <c r="B1155" s="45" t="s">
        <v>2725</v>
      </c>
      <c r="C1155" s="45" t="s">
        <v>2767</v>
      </c>
      <c r="D1155" s="46">
        <v>19712.0</v>
      </c>
      <c r="E1155" s="46">
        <v>20043.0</v>
      </c>
    </row>
    <row r="1156">
      <c r="A1156" s="45">
        <v>22085.0</v>
      </c>
      <c r="B1156" s="45" t="s">
        <v>2725</v>
      </c>
      <c r="C1156" s="45" t="s">
        <v>2768</v>
      </c>
      <c r="D1156" s="46">
        <v>21906.0</v>
      </c>
      <c r="E1156" s="46">
        <v>22155.0</v>
      </c>
    </row>
    <row r="1157">
      <c r="A1157" s="45">
        <v>22087.0</v>
      </c>
      <c r="B1157" s="45" t="s">
        <v>2725</v>
      </c>
      <c r="C1157" s="45" t="s">
        <v>2769</v>
      </c>
      <c r="D1157" s="46">
        <v>44463.0</v>
      </c>
      <c r="E1157" s="46">
        <v>43764.0</v>
      </c>
    </row>
    <row r="1158">
      <c r="A1158" s="45">
        <v>22089.0</v>
      </c>
      <c r="B1158" s="45" t="s">
        <v>2725</v>
      </c>
      <c r="C1158" s="45" t="s">
        <v>2770</v>
      </c>
      <c r="D1158" s="46">
        <v>50620.0</v>
      </c>
      <c r="E1158" s="46">
        <v>52549.0</v>
      </c>
    </row>
    <row r="1159">
      <c r="A1159" s="45">
        <v>22091.0</v>
      </c>
      <c r="B1159" s="45" t="s">
        <v>2725</v>
      </c>
      <c r="C1159" s="45" t="s">
        <v>2771</v>
      </c>
      <c r="D1159" s="46">
        <v>10774.0</v>
      </c>
      <c r="E1159" s="46">
        <v>10920.0</v>
      </c>
    </row>
    <row r="1160">
      <c r="A1160" s="45">
        <v>22093.0</v>
      </c>
      <c r="B1160" s="45" t="s">
        <v>2725</v>
      </c>
      <c r="C1160" s="45" t="s">
        <v>2772</v>
      </c>
      <c r="D1160" s="46">
        <v>19191.0</v>
      </c>
      <c r="E1160" s="46">
        <v>20192.0</v>
      </c>
    </row>
    <row r="1161">
      <c r="A1161" s="45">
        <v>22095.0</v>
      </c>
      <c r="B1161" s="45" t="s">
        <v>2725</v>
      </c>
      <c r="C1161" s="45" t="s">
        <v>2773</v>
      </c>
      <c r="D1161" s="46">
        <v>39592.0</v>
      </c>
      <c r="E1161" s="46">
        <v>42477.0</v>
      </c>
    </row>
    <row r="1162">
      <c r="A1162" s="45">
        <v>22097.0</v>
      </c>
      <c r="B1162" s="45" t="s">
        <v>2725</v>
      </c>
      <c r="C1162" s="45" t="s">
        <v>2774</v>
      </c>
      <c r="D1162" s="46">
        <v>81464.0</v>
      </c>
      <c r="E1162" s="46">
        <v>82540.0</v>
      </c>
    </row>
    <row r="1163">
      <c r="A1163" s="45">
        <v>22099.0</v>
      </c>
      <c r="B1163" s="45" t="s">
        <v>2725</v>
      </c>
      <c r="C1163" s="45" t="s">
        <v>2775</v>
      </c>
      <c r="D1163" s="46">
        <v>51057.0</v>
      </c>
      <c r="E1163" s="46">
        <v>51767.0</v>
      </c>
    </row>
    <row r="1164">
      <c r="A1164" s="45">
        <v>22101.0</v>
      </c>
      <c r="B1164" s="45" t="s">
        <v>2725</v>
      </c>
      <c r="C1164" s="45" t="s">
        <v>2776</v>
      </c>
      <c r="D1164" s="46">
        <v>47055.0</v>
      </c>
      <c r="E1164" s="46">
        <v>49406.0</v>
      </c>
    </row>
    <row r="1165">
      <c r="A1165" s="45">
        <v>22103.0</v>
      </c>
      <c r="B1165" s="45" t="s">
        <v>2725</v>
      </c>
      <c r="C1165" s="45" t="s">
        <v>2777</v>
      </c>
      <c r="D1165" s="46">
        <v>275583.0</v>
      </c>
      <c r="E1165" s="46">
        <v>264570.0</v>
      </c>
    </row>
    <row r="1166">
      <c r="A1166" s="45">
        <v>22105.0</v>
      </c>
      <c r="B1166" s="45" t="s">
        <v>2725</v>
      </c>
      <c r="C1166" s="45" t="s">
        <v>2778</v>
      </c>
      <c r="D1166" s="46">
        <v>138064.0</v>
      </c>
      <c r="E1166" s="46">
        <v>133157.0</v>
      </c>
    </row>
    <row r="1167">
      <c r="A1167" s="45">
        <v>22107.0</v>
      </c>
      <c r="B1167" s="45" t="s">
        <v>2725</v>
      </c>
      <c r="C1167" s="45" t="s">
        <v>2779</v>
      </c>
      <c r="D1167" s="46">
        <v>3764.0</v>
      </c>
      <c r="E1167" s="46">
        <v>4147.0</v>
      </c>
    </row>
    <row r="1168">
      <c r="A1168" s="45">
        <v>22109.0</v>
      </c>
      <c r="B1168" s="45" t="s">
        <v>2725</v>
      </c>
      <c r="C1168" s="45" t="s">
        <v>2780</v>
      </c>
      <c r="D1168" s="46">
        <v>103616.0</v>
      </c>
      <c r="E1168" s="46">
        <v>109580.0</v>
      </c>
    </row>
    <row r="1169">
      <c r="A1169" s="45">
        <v>22111.0</v>
      </c>
      <c r="B1169" s="45" t="s">
        <v>2725</v>
      </c>
      <c r="C1169" s="45" t="s">
        <v>2781</v>
      </c>
      <c r="D1169" s="46">
        <v>20650.0</v>
      </c>
      <c r="E1169" s="46">
        <v>21107.0</v>
      </c>
    </row>
    <row r="1170">
      <c r="A1170" s="45">
        <v>22113.0</v>
      </c>
      <c r="B1170" s="45" t="s">
        <v>2725</v>
      </c>
      <c r="C1170" s="45" t="s">
        <v>2782</v>
      </c>
      <c r="D1170" s="46">
        <v>56992.0</v>
      </c>
      <c r="E1170" s="46">
        <v>57359.0</v>
      </c>
    </row>
    <row r="1171">
      <c r="A1171" s="45">
        <v>22115.0</v>
      </c>
      <c r="B1171" s="45" t="s">
        <v>2725</v>
      </c>
      <c r="C1171" s="45" t="s">
        <v>2783</v>
      </c>
      <c r="D1171" s="46">
        <v>46250.0</v>
      </c>
      <c r="E1171" s="46">
        <v>48750.0</v>
      </c>
    </row>
    <row r="1172">
      <c r="A1172" s="45">
        <v>22117.0</v>
      </c>
      <c r="B1172" s="45" t="s">
        <v>2725</v>
      </c>
      <c r="C1172" s="45" t="s">
        <v>2784</v>
      </c>
      <c r="D1172" s="46">
        <v>44865.0</v>
      </c>
      <c r="E1172" s="46">
        <v>45463.0</v>
      </c>
    </row>
    <row r="1173">
      <c r="A1173" s="45">
        <v>22119.0</v>
      </c>
      <c r="B1173" s="45" t="s">
        <v>2725</v>
      </c>
      <c r="C1173" s="45" t="s">
        <v>2785</v>
      </c>
      <c r="D1173" s="46">
        <v>35238.0</v>
      </c>
      <c r="E1173" s="46">
        <v>36967.0</v>
      </c>
    </row>
    <row r="1174">
      <c r="A1174" s="45">
        <v>22121.0</v>
      </c>
      <c r="B1174" s="45" t="s">
        <v>2725</v>
      </c>
      <c r="C1174" s="45" t="s">
        <v>2786</v>
      </c>
      <c r="D1174" s="46">
        <v>28266.0</v>
      </c>
      <c r="E1174" s="46">
        <v>27199.0</v>
      </c>
    </row>
    <row r="1175">
      <c r="A1175" s="45">
        <v>22123.0</v>
      </c>
      <c r="B1175" s="45" t="s">
        <v>2725</v>
      </c>
      <c r="C1175" s="45" t="s">
        <v>2787</v>
      </c>
      <c r="D1175" s="46">
        <v>9323.0</v>
      </c>
      <c r="E1175" s="46">
        <v>9751.0</v>
      </c>
    </row>
    <row r="1176">
      <c r="A1176" s="45">
        <v>22125.0</v>
      </c>
      <c r="B1176" s="45" t="s">
        <v>2725</v>
      </c>
      <c r="C1176" s="45" t="s">
        <v>2788</v>
      </c>
      <c r="D1176" s="46">
        <v>15371.0</v>
      </c>
      <c r="E1176" s="46">
        <v>15310.0</v>
      </c>
    </row>
    <row r="1177">
      <c r="A1177" s="45">
        <v>22127.0</v>
      </c>
      <c r="B1177" s="45" t="s">
        <v>2725</v>
      </c>
      <c r="C1177" s="45" t="s">
        <v>2789</v>
      </c>
      <c r="D1177" s="46">
        <v>13216.0</v>
      </c>
      <c r="E1177" s="46">
        <v>13755.0</v>
      </c>
    </row>
    <row r="1178">
      <c r="A1178" s="45">
        <v>23001.0</v>
      </c>
      <c r="B1178" s="45" t="s">
        <v>2790</v>
      </c>
      <c r="C1178" s="45" t="s">
        <v>2791</v>
      </c>
      <c r="D1178" s="46">
        <v>113765.0</v>
      </c>
      <c r="E1178" s="46">
        <v>111139.0</v>
      </c>
    </row>
    <row r="1179">
      <c r="A1179" s="45">
        <v>23003.0</v>
      </c>
      <c r="B1179" s="45" t="s">
        <v>2790</v>
      </c>
      <c r="C1179" s="45" t="s">
        <v>2792</v>
      </c>
      <c r="D1179" s="46">
        <v>67351.0</v>
      </c>
      <c r="E1179" s="46">
        <v>67105.0</v>
      </c>
    </row>
    <row r="1180">
      <c r="A1180" s="45">
        <v>23005.0</v>
      </c>
      <c r="B1180" s="45" t="s">
        <v>2790</v>
      </c>
      <c r="C1180" s="45" t="s">
        <v>2468</v>
      </c>
      <c r="D1180" s="46">
        <v>310230.0</v>
      </c>
      <c r="E1180" s="46">
        <v>303069.0</v>
      </c>
    </row>
    <row r="1181">
      <c r="A1181" s="45">
        <v>23007.0</v>
      </c>
      <c r="B1181" s="45" t="s">
        <v>2790</v>
      </c>
      <c r="C1181" s="45" t="s">
        <v>2024</v>
      </c>
      <c r="D1181" s="46">
        <v>30828.0</v>
      </c>
      <c r="E1181" s="46">
        <v>29456.0</v>
      </c>
    </row>
    <row r="1182">
      <c r="A1182" s="45">
        <v>23009.0</v>
      </c>
      <c r="B1182" s="45" t="s">
        <v>2790</v>
      </c>
      <c r="C1182" s="45" t="s">
        <v>2366</v>
      </c>
      <c r="D1182" s="46">
        <v>56526.0</v>
      </c>
      <c r="E1182" s="46">
        <v>55478.0</v>
      </c>
    </row>
    <row r="1183">
      <c r="A1183" s="45">
        <v>23011.0</v>
      </c>
      <c r="B1183" s="45" t="s">
        <v>2790</v>
      </c>
      <c r="C1183" s="45" t="s">
        <v>2793</v>
      </c>
      <c r="D1183" s="46">
        <v>127259.0</v>
      </c>
      <c r="E1183" s="46">
        <v>123642.0</v>
      </c>
    </row>
    <row r="1184">
      <c r="A1184" s="45">
        <v>23013.0</v>
      </c>
      <c r="B1184" s="45" t="s">
        <v>2790</v>
      </c>
      <c r="C1184" s="45" t="s">
        <v>2484</v>
      </c>
      <c r="D1184" s="46">
        <v>40977.0</v>
      </c>
      <c r="E1184" s="46">
        <v>40607.0</v>
      </c>
    </row>
    <row r="1185">
      <c r="A1185" s="45">
        <v>23015.0</v>
      </c>
      <c r="B1185" s="45" t="s">
        <v>2790</v>
      </c>
      <c r="C1185" s="45" t="s">
        <v>2109</v>
      </c>
      <c r="D1185" s="46">
        <v>36507.0</v>
      </c>
      <c r="E1185" s="46">
        <v>35237.0</v>
      </c>
    </row>
    <row r="1186">
      <c r="A1186" s="45">
        <v>23017.0</v>
      </c>
      <c r="B1186" s="45" t="s">
        <v>2790</v>
      </c>
      <c r="C1186" s="45" t="s">
        <v>2794</v>
      </c>
      <c r="D1186" s="46">
        <v>59905.0</v>
      </c>
      <c r="E1186" s="46">
        <v>57777.0</v>
      </c>
    </row>
    <row r="1187">
      <c r="A1187" s="45">
        <v>23019.0</v>
      </c>
      <c r="B1187" s="45" t="s">
        <v>2790</v>
      </c>
      <c r="C1187" s="45" t="s">
        <v>2795</v>
      </c>
      <c r="D1187" s="46">
        <v>155312.0</v>
      </c>
      <c r="E1187" s="46">
        <v>152199.0</v>
      </c>
    </row>
    <row r="1188">
      <c r="A1188" s="45">
        <v>23021.0</v>
      </c>
      <c r="B1188" s="45" t="s">
        <v>2790</v>
      </c>
      <c r="C1188" s="45" t="s">
        <v>2796</v>
      </c>
      <c r="D1188" s="46">
        <v>17486.0</v>
      </c>
      <c r="E1188" s="46">
        <v>16800.0</v>
      </c>
    </row>
    <row r="1189">
      <c r="A1189" s="45">
        <v>23023.0</v>
      </c>
      <c r="B1189" s="45" t="s">
        <v>2790</v>
      </c>
      <c r="C1189" s="45" t="s">
        <v>2797</v>
      </c>
      <c r="D1189" s="46">
        <v>37513.0</v>
      </c>
      <c r="E1189" s="46">
        <v>36699.0</v>
      </c>
    </row>
    <row r="1190">
      <c r="A1190" s="45">
        <v>23025.0</v>
      </c>
      <c r="B1190" s="45" t="s">
        <v>2790</v>
      </c>
      <c r="C1190" s="45" t="s">
        <v>2798</v>
      </c>
      <c r="D1190" s="46">
        <v>51302.0</v>
      </c>
      <c r="E1190" s="46">
        <v>50477.0</v>
      </c>
    </row>
    <row r="1191">
      <c r="A1191" s="45">
        <v>23027.0</v>
      </c>
      <c r="B1191" s="45" t="s">
        <v>2790</v>
      </c>
      <c r="C1191" s="45" t="s">
        <v>2799</v>
      </c>
      <c r="D1191" s="46">
        <v>40620.0</v>
      </c>
      <c r="E1191" s="46">
        <v>39607.0</v>
      </c>
    </row>
    <row r="1192">
      <c r="A1192" s="45">
        <v>23029.0</v>
      </c>
      <c r="B1192" s="45" t="s">
        <v>2790</v>
      </c>
      <c r="C1192" s="45" t="s">
        <v>2059</v>
      </c>
      <c r="D1192" s="46">
        <v>31555.0</v>
      </c>
      <c r="E1192" s="46">
        <v>31095.0</v>
      </c>
    </row>
    <row r="1193">
      <c r="A1193" s="45">
        <v>23031.0</v>
      </c>
      <c r="B1193" s="45" t="s">
        <v>2790</v>
      </c>
      <c r="C1193" s="45" t="s">
        <v>2800</v>
      </c>
      <c r="D1193" s="46">
        <v>218586.0</v>
      </c>
      <c r="E1193" s="46">
        <v>211972.0</v>
      </c>
    </row>
    <row r="1194">
      <c r="A1194" s="45">
        <v>24001.0</v>
      </c>
      <c r="B1194" s="45" t="s">
        <v>2801</v>
      </c>
      <c r="C1194" s="45" t="s">
        <v>2802</v>
      </c>
      <c r="D1194" s="46">
        <v>67273.0</v>
      </c>
      <c r="E1194" s="46">
        <v>68106.0</v>
      </c>
    </row>
    <row r="1195">
      <c r="A1195" s="45">
        <v>24003.0</v>
      </c>
      <c r="B1195" s="45" t="s">
        <v>2801</v>
      </c>
      <c r="C1195" s="45" t="s">
        <v>2803</v>
      </c>
      <c r="D1195" s="46">
        <v>594582.0</v>
      </c>
      <c r="E1195" s="46">
        <v>588261.0</v>
      </c>
    </row>
    <row r="1196">
      <c r="A1196" s="45">
        <v>24005.0</v>
      </c>
      <c r="B1196" s="45" t="s">
        <v>2801</v>
      </c>
      <c r="C1196" s="45" t="s">
        <v>2804</v>
      </c>
      <c r="D1196" s="46">
        <v>844703.0</v>
      </c>
      <c r="E1196" s="46">
        <v>854535.0</v>
      </c>
    </row>
    <row r="1197">
      <c r="A1197" s="45">
        <v>24009.0</v>
      </c>
      <c r="B1197" s="45" t="s">
        <v>2801</v>
      </c>
      <c r="C1197" s="45" t="s">
        <v>2805</v>
      </c>
      <c r="D1197" s="46">
        <v>94728.0</v>
      </c>
      <c r="E1197" s="46">
        <v>92783.0</v>
      </c>
    </row>
    <row r="1198">
      <c r="A1198" s="45">
        <v>24011.0</v>
      </c>
      <c r="B1198" s="45" t="s">
        <v>2801</v>
      </c>
      <c r="C1198" s="45" t="s">
        <v>2806</v>
      </c>
      <c r="D1198" s="46">
        <v>33593.0</v>
      </c>
      <c r="E1198" s="46">
        <v>33293.0</v>
      </c>
    </row>
    <row r="1199">
      <c r="A1199" s="45">
        <v>24013.0</v>
      </c>
      <c r="B1199" s="45" t="s">
        <v>2801</v>
      </c>
      <c r="C1199" s="45" t="s">
        <v>2086</v>
      </c>
      <c r="D1199" s="46">
        <v>176639.0</v>
      </c>
      <c r="E1199" s="46">
        <v>172891.0</v>
      </c>
    </row>
    <row r="1200">
      <c r="A1200" s="45">
        <v>24015.0</v>
      </c>
      <c r="B1200" s="45" t="s">
        <v>2801</v>
      </c>
      <c r="C1200" s="45" t="s">
        <v>2807</v>
      </c>
      <c r="D1200" s="46">
        <v>105672.0</v>
      </c>
      <c r="E1200" s="46">
        <v>103725.0</v>
      </c>
    </row>
    <row r="1201">
      <c r="A1201" s="45">
        <v>24017.0</v>
      </c>
      <c r="B1201" s="45" t="s">
        <v>2801</v>
      </c>
      <c r="C1201" s="45" t="s">
        <v>2808</v>
      </c>
      <c r="D1201" s="46">
        <v>171973.0</v>
      </c>
      <c r="E1201" s="46">
        <v>166617.0</v>
      </c>
    </row>
    <row r="1202">
      <c r="A1202" s="45">
        <v>24019.0</v>
      </c>
      <c r="B1202" s="45" t="s">
        <v>2801</v>
      </c>
      <c r="C1202" s="45" t="s">
        <v>2809</v>
      </c>
      <c r="D1202" s="46">
        <v>32879.0</v>
      </c>
      <c r="E1202" s="46">
        <v>32531.0</v>
      </c>
    </row>
    <row r="1203">
      <c r="A1203" s="45">
        <v>24021.0</v>
      </c>
      <c r="B1203" s="45" t="s">
        <v>2801</v>
      </c>
      <c r="C1203" s="45" t="s">
        <v>2810</v>
      </c>
      <c r="D1203" s="46">
        <v>293391.0</v>
      </c>
      <c r="E1203" s="46">
        <v>271717.0</v>
      </c>
    </row>
    <row r="1204">
      <c r="A1204" s="45">
        <v>24023.0</v>
      </c>
      <c r="B1204" s="45" t="s">
        <v>2801</v>
      </c>
      <c r="C1204" s="45" t="s">
        <v>2811</v>
      </c>
      <c r="D1204" s="46">
        <v>28423.0</v>
      </c>
      <c r="E1204" s="46">
        <v>28806.0</v>
      </c>
    </row>
    <row r="1205">
      <c r="A1205" s="45">
        <v>24025.0</v>
      </c>
      <c r="B1205" s="45" t="s">
        <v>2801</v>
      </c>
      <c r="C1205" s="45" t="s">
        <v>2812</v>
      </c>
      <c r="D1205" s="46">
        <v>264644.0</v>
      </c>
      <c r="E1205" s="46">
        <v>260924.0</v>
      </c>
    </row>
    <row r="1206">
      <c r="A1206" s="45">
        <v>24027.0</v>
      </c>
      <c r="B1206" s="45" t="s">
        <v>2801</v>
      </c>
      <c r="C1206" s="45" t="s">
        <v>2104</v>
      </c>
      <c r="D1206" s="46">
        <v>336001.0</v>
      </c>
      <c r="E1206" s="46">
        <v>332317.0</v>
      </c>
    </row>
    <row r="1207">
      <c r="A1207" s="45">
        <v>24029.0</v>
      </c>
      <c r="B1207" s="45" t="s">
        <v>2801</v>
      </c>
      <c r="C1207" s="45" t="s">
        <v>2260</v>
      </c>
      <c r="D1207" s="46">
        <v>19303.0</v>
      </c>
      <c r="E1207" s="46">
        <v>19198.0</v>
      </c>
    </row>
    <row r="1208">
      <c r="A1208" s="45">
        <v>24031.0</v>
      </c>
      <c r="B1208" s="45" t="s">
        <v>2801</v>
      </c>
      <c r="C1208" s="45" t="s">
        <v>2045</v>
      </c>
      <c r="D1208" s="46">
        <v>1058474.0</v>
      </c>
      <c r="E1208" s="46">
        <v>1062061.0</v>
      </c>
    </row>
    <row r="1209">
      <c r="A1209" s="45">
        <v>24033.0</v>
      </c>
      <c r="B1209" s="45" t="s">
        <v>2801</v>
      </c>
      <c r="C1209" s="45" t="s">
        <v>2813</v>
      </c>
      <c r="D1209" s="46">
        <v>947430.0</v>
      </c>
      <c r="E1209" s="46">
        <v>967201.0</v>
      </c>
    </row>
    <row r="1210">
      <c r="A1210" s="45">
        <v>24035.0</v>
      </c>
      <c r="B1210" s="45" t="s">
        <v>2801</v>
      </c>
      <c r="C1210" s="45" t="s">
        <v>2814</v>
      </c>
      <c r="D1210" s="46">
        <v>52508.0</v>
      </c>
      <c r="E1210" s="46">
        <v>49874.0</v>
      </c>
    </row>
    <row r="1211">
      <c r="A1211" s="45">
        <v>24037.0</v>
      </c>
      <c r="B1211" s="45" t="s">
        <v>2801</v>
      </c>
      <c r="C1211" s="45" t="s">
        <v>2815</v>
      </c>
      <c r="D1211" s="46">
        <v>115281.0</v>
      </c>
      <c r="E1211" s="46">
        <v>113777.0</v>
      </c>
    </row>
    <row r="1212">
      <c r="A1212" s="45">
        <v>24039.0</v>
      </c>
      <c r="B1212" s="45" t="s">
        <v>2801</v>
      </c>
      <c r="C1212" s="45" t="s">
        <v>2798</v>
      </c>
      <c r="D1212" s="46">
        <v>24910.0</v>
      </c>
      <c r="E1212" s="46">
        <v>24620.0</v>
      </c>
    </row>
    <row r="1213">
      <c r="A1213" s="45">
        <v>24041.0</v>
      </c>
      <c r="B1213" s="45" t="s">
        <v>2801</v>
      </c>
      <c r="C1213" s="45" t="s">
        <v>2400</v>
      </c>
      <c r="D1213" s="46">
        <v>37823.0</v>
      </c>
      <c r="E1213" s="46">
        <v>37526.0</v>
      </c>
    </row>
    <row r="1214">
      <c r="A1214" s="45">
        <v>24043.0</v>
      </c>
      <c r="B1214" s="45" t="s">
        <v>2801</v>
      </c>
      <c r="C1214" s="45" t="s">
        <v>2059</v>
      </c>
      <c r="D1214" s="46">
        <v>155813.0</v>
      </c>
      <c r="E1214" s="46">
        <v>154705.0</v>
      </c>
    </row>
    <row r="1215">
      <c r="A1215" s="45">
        <v>24045.0</v>
      </c>
      <c r="B1215" s="45" t="s">
        <v>2801</v>
      </c>
      <c r="C1215" s="45" t="s">
        <v>2816</v>
      </c>
      <c r="D1215" s="46">
        <v>104800.0</v>
      </c>
      <c r="E1215" s="46">
        <v>103588.0</v>
      </c>
    </row>
    <row r="1216">
      <c r="A1216" s="45">
        <v>24047.0</v>
      </c>
      <c r="B1216" s="45" t="s">
        <v>2801</v>
      </c>
      <c r="C1216" s="45" t="s">
        <v>2817</v>
      </c>
      <c r="D1216" s="46">
        <v>54171.0</v>
      </c>
      <c r="E1216" s="46">
        <v>52460.0</v>
      </c>
    </row>
    <row r="1217">
      <c r="A1217" s="45">
        <v>24510.0</v>
      </c>
      <c r="B1217" s="45" t="s">
        <v>2801</v>
      </c>
      <c r="C1217" s="45" t="s">
        <v>2818</v>
      </c>
      <c r="D1217" s="46">
        <v>565239.0</v>
      </c>
      <c r="E1217" s="46">
        <v>585708.0</v>
      </c>
    </row>
    <row r="1218">
      <c r="A1218" s="45">
        <v>25001.0</v>
      </c>
      <c r="B1218" s="45" t="s">
        <v>2819</v>
      </c>
      <c r="C1218" s="45" t="s">
        <v>2820</v>
      </c>
      <c r="D1218" s="46">
        <v>231735.0</v>
      </c>
      <c r="E1218" s="46">
        <v>228996.0</v>
      </c>
    </row>
    <row r="1219">
      <c r="A1219" s="45">
        <v>25003.0</v>
      </c>
      <c r="B1219" s="45" t="s">
        <v>2819</v>
      </c>
      <c r="C1219" s="45" t="s">
        <v>2821</v>
      </c>
      <c r="D1219" s="46">
        <v>126818.0</v>
      </c>
      <c r="E1219" s="46">
        <v>129026.0</v>
      </c>
    </row>
    <row r="1220">
      <c r="A1220" s="45">
        <v>25005.0</v>
      </c>
      <c r="B1220" s="45" t="s">
        <v>2819</v>
      </c>
      <c r="C1220" s="45" t="s">
        <v>2822</v>
      </c>
      <c r="D1220" s="46">
        <v>581841.0</v>
      </c>
      <c r="E1220" s="46">
        <v>579200.0</v>
      </c>
    </row>
    <row r="1221">
      <c r="A1221" s="45">
        <v>25007.0</v>
      </c>
      <c r="B1221" s="45" t="s">
        <v>2819</v>
      </c>
      <c r="C1221" s="45" t="s">
        <v>2823</v>
      </c>
      <c r="D1221" s="46">
        <v>20819.0</v>
      </c>
      <c r="E1221" s="46">
        <v>20600.0</v>
      </c>
    </row>
    <row r="1222">
      <c r="A1222" s="45">
        <v>25009.0</v>
      </c>
      <c r="B1222" s="45" t="s">
        <v>2819</v>
      </c>
      <c r="C1222" s="45" t="s">
        <v>2824</v>
      </c>
      <c r="D1222" s="46">
        <v>810089.0</v>
      </c>
      <c r="E1222" s="46">
        <v>809829.0</v>
      </c>
    </row>
    <row r="1223">
      <c r="A1223" s="45">
        <v>25011.0</v>
      </c>
      <c r="B1223" s="45" t="s">
        <v>2819</v>
      </c>
      <c r="C1223" s="45" t="s">
        <v>2024</v>
      </c>
      <c r="D1223" s="46">
        <v>70836.0</v>
      </c>
      <c r="E1223" s="46">
        <v>71029.0</v>
      </c>
    </row>
    <row r="1224">
      <c r="A1224" s="45">
        <v>25013.0</v>
      </c>
      <c r="B1224" s="45" t="s">
        <v>2819</v>
      </c>
      <c r="C1224" s="45" t="s">
        <v>2825</v>
      </c>
      <c r="D1224" s="46">
        <v>460291.0</v>
      </c>
      <c r="E1224" s="46">
        <v>465825.0</v>
      </c>
    </row>
    <row r="1225">
      <c r="A1225" s="45">
        <v>25015.0</v>
      </c>
      <c r="B1225" s="45" t="s">
        <v>2819</v>
      </c>
      <c r="C1225" s="45" t="s">
        <v>2826</v>
      </c>
      <c r="D1225" s="46">
        <v>162502.0</v>
      </c>
      <c r="E1225" s="46">
        <v>162308.0</v>
      </c>
    </row>
    <row r="1226">
      <c r="A1226" s="45">
        <v>25017.0</v>
      </c>
      <c r="B1226" s="45" t="s">
        <v>2819</v>
      </c>
      <c r="C1226" s="45" t="s">
        <v>2254</v>
      </c>
      <c r="D1226" s="46">
        <v>1623952.0</v>
      </c>
      <c r="E1226" s="46">
        <v>1632002.0</v>
      </c>
    </row>
    <row r="1227">
      <c r="A1227" s="45">
        <v>25019.0</v>
      </c>
      <c r="B1227" s="45" t="s">
        <v>2819</v>
      </c>
      <c r="C1227" s="45" t="s">
        <v>2827</v>
      </c>
      <c r="D1227" s="46">
        <v>14444.0</v>
      </c>
      <c r="E1227" s="46">
        <v>14255.0</v>
      </c>
    </row>
    <row r="1228">
      <c r="A1228" s="45">
        <v>25021.0</v>
      </c>
      <c r="B1228" s="45" t="s">
        <v>2819</v>
      </c>
      <c r="C1228" s="45" t="s">
        <v>2828</v>
      </c>
      <c r="D1228" s="46">
        <v>727473.0</v>
      </c>
      <c r="E1228" s="46">
        <v>725981.0</v>
      </c>
    </row>
    <row r="1229">
      <c r="A1229" s="45">
        <v>25023.0</v>
      </c>
      <c r="B1229" s="45" t="s">
        <v>2819</v>
      </c>
      <c r="C1229" s="45" t="s">
        <v>2588</v>
      </c>
      <c r="D1229" s="46">
        <v>535308.0</v>
      </c>
      <c r="E1229" s="46">
        <v>530819.0</v>
      </c>
    </row>
    <row r="1230">
      <c r="A1230" s="45">
        <v>25025.0</v>
      </c>
      <c r="B1230" s="45" t="s">
        <v>2819</v>
      </c>
      <c r="C1230" s="45" t="s">
        <v>2829</v>
      </c>
      <c r="D1230" s="46">
        <v>768425.0</v>
      </c>
      <c r="E1230" s="46">
        <v>797936.0</v>
      </c>
    </row>
    <row r="1231">
      <c r="A1231" s="45">
        <v>25027.0</v>
      </c>
      <c r="B1231" s="45" t="s">
        <v>2819</v>
      </c>
      <c r="C1231" s="45" t="s">
        <v>2817</v>
      </c>
      <c r="D1231" s="46">
        <v>866866.0</v>
      </c>
      <c r="E1231" s="46">
        <v>862111.0</v>
      </c>
    </row>
    <row r="1232">
      <c r="A1232" s="45">
        <v>26001.0</v>
      </c>
      <c r="B1232" s="45" t="s">
        <v>2830</v>
      </c>
      <c r="C1232" s="45" t="s">
        <v>2831</v>
      </c>
      <c r="D1232" s="46">
        <v>10489.0</v>
      </c>
      <c r="E1232" s="46">
        <v>10167.0</v>
      </c>
    </row>
    <row r="1233">
      <c r="A1233" s="45">
        <v>26003.0</v>
      </c>
      <c r="B1233" s="45" t="s">
        <v>2830</v>
      </c>
      <c r="C1233" s="45" t="s">
        <v>2832</v>
      </c>
      <c r="D1233" s="46">
        <v>8757.0</v>
      </c>
      <c r="E1233" s="46">
        <v>8842.0</v>
      </c>
    </row>
    <row r="1234">
      <c r="A1234" s="45">
        <v>26005.0</v>
      </c>
      <c r="B1234" s="45" t="s">
        <v>2830</v>
      </c>
      <c r="C1234" s="45" t="s">
        <v>2833</v>
      </c>
      <c r="D1234" s="46">
        <v>121939.0</v>
      </c>
      <c r="E1234" s="46">
        <v>120502.0</v>
      </c>
    </row>
    <row r="1235">
      <c r="A1235" s="45">
        <v>26007.0</v>
      </c>
      <c r="B1235" s="45" t="s">
        <v>2830</v>
      </c>
      <c r="C1235" s="45" t="s">
        <v>2834</v>
      </c>
      <c r="D1235" s="46">
        <v>28904.0</v>
      </c>
      <c r="E1235" s="46">
        <v>28907.0</v>
      </c>
    </row>
    <row r="1236">
      <c r="A1236" s="45">
        <v>26009.0</v>
      </c>
      <c r="B1236" s="45" t="s">
        <v>2830</v>
      </c>
      <c r="C1236" s="45" t="s">
        <v>2835</v>
      </c>
      <c r="D1236" s="46">
        <v>24409.0</v>
      </c>
      <c r="E1236" s="46">
        <v>23431.0</v>
      </c>
    </row>
    <row r="1237">
      <c r="A1237" s="45">
        <v>26011.0</v>
      </c>
      <c r="B1237" s="45" t="s">
        <v>2830</v>
      </c>
      <c r="C1237" s="45" t="s">
        <v>2836</v>
      </c>
      <c r="D1237" s="46">
        <v>15145.0</v>
      </c>
      <c r="E1237" s="46">
        <v>15002.0</v>
      </c>
    </row>
    <row r="1238">
      <c r="A1238" s="45">
        <v>26013.0</v>
      </c>
      <c r="B1238" s="45" t="s">
        <v>2830</v>
      </c>
      <c r="C1238" s="45" t="s">
        <v>2837</v>
      </c>
      <c r="D1238" s="46">
        <v>8310.0</v>
      </c>
      <c r="E1238" s="46">
        <v>8158.0</v>
      </c>
    </row>
    <row r="1239">
      <c r="A1239" s="45">
        <v>26015.0</v>
      </c>
      <c r="B1239" s="45" t="s">
        <v>2830</v>
      </c>
      <c r="C1239" s="45" t="s">
        <v>2838</v>
      </c>
      <c r="D1239" s="46">
        <v>63808.0</v>
      </c>
      <c r="E1239" s="46">
        <v>62423.0</v>
      </c>
    </row>
    <row r="1240">
      <c r="A1240" s="45">
        <v>26017.0</v>
      </c>
      <c r="B1240" s="45" t="s">
        <v>2830</v>
      </c>
      <c r="C1240" s="45" t="s">
        <v>2267</v>
      </c>
      <c r="D1240" s="46">
        <v>102500.0</v>
      </c>
      <c r="E1240" s="46">
        <v>103856.0</v>
      </c>
    </row>
    <row r="1241">
      <c r="A1241" s="45">
        <v>26019.0</v>
      </c>
      <c r="B1241" s="45" t="s">
        <v>2830</v>
      </c>
      <c r="C1241" s="45" t="s">
        <v>2839</v>
      </c>
      <c r="D1241" s="46">
        <v>18441.0</v>
      </c>
      <c r="E1241" s="46">
        <v>17970.0</v>
      </c>
    </row>
    <row r="1242">
      <c r="A1242" s="45">
        <v>26021.0</v>
      </c>
      <c r="B1242" s="45" t="s">
        <v>2830</v>
      </c>
      <c r="C1242" s="45" t="s">
        <v>2322</v>
      </c>
      <c r="D1242" s="46">
        <v>152261.0</v>
      </c>
      <c r="E1242" s="46">
        <v>154316.0</v>
      </c>
    </row>
    <row r="1243">
      <c r="A1243" s="45">
        <v>26023.0</v>
      </c>
      <c r="B1243" s="45" t="s">
        <v>2830</v>
      </c>
      <c r="C1243" s="45" t="s">
        <v>2840</v>
      </c>
      <c r="D1243" s="46">
        <v>45215.0</v>
      </c>
      <c r="E1243" s="46">
        <v>44862.0</v>
      </c>
    </row>
    <row r="1244">
      <c r="A1244" s="45">
        <v>26025.0</v>
      </c>
      <c r="B1244" s="45" t="s">
        <v>2830</v>
      </c>
      <c r="C1244" s="45" t="s">
        <v>2002</v>
      </c>
      <c r="D1244" s="46">
        <v>133366.0</v>
      </c>
      <c r="E1244" s="46">
        <v>134310.0</v>
      </c>
    </row>
    <row r="1245">
      <c r="A1245" s="45">
        <v>26027.0</v>
      </c>
      <c r="B1245" s="45" t="s">
        <v>2830</v>
      </c>
      <c r="C1245" s="45" t="s">
        <v>2463</v>
      </c>
      <c r="D1245" s="46">
        <v>51642.0</v>
      </c>
      <c r="E1245" s="46">
        <v>51589.0</v>
      </c>
    </row>
    <row r="1246">
      <c r="A1246" s="45">
        <v>26029.0</v>
      </c>
      <c r="B1246" s="45" t="s">
        <v>2830</v>
      </c>
      <c r="C1246" s="45" t="s">
        <v>2841</v>
      </c>
      <c r="D1246" s="46">
        <v>26159.0</v>
      </c>
      <c r="E1246" s="46">
        <v>26054.0</v>
      </c>
    </row>
    <row r="1247">
      <c r="A1247" s="45">
        <v>26031.0</v>
      </c>
      <c r="B1247" s="45" t="s">
        <v>2830</v>
      </c>
      <c r="C1247" s="45" t="s">
        <v>2842</v>
      </c>
      <c r="D1247" s="46">
        <v>26048.0</v>
      </c>
      <c r="E1247" s="46">
        <v>25579.0</v>
      </c>
    </row>
    <row r="1248">
      <c r="A1248" s="45">
        <v>26033.0</v>
      </c>
      <c r="B1248" s="45" t="s">
        <v>2830</v>
      </c>
      <c r="C1248" s="45" t="s">
        <v>2843</v>
      </c>
      <c r="D1248" s="46">
        <v>36264.0</v>
      </c>
      <c r="E1248" s="46">
        <v>36785.0</v>
      </c>
    </row>
    <row r="1249">
      <c r="A1249" s="45">
        <v>26035.0</v>
      </c>
      <c r="B1249" s="45" t="s">
        <v>2830</v>
      </c>
      <c r="C1249" s="45" t="s">
        <v>2844</v>
      </c>
      <c r="D1249" s="46">
        <v>31316.0</v>
      </c>
      <c r="E1249" s="46">
        <v>30856.0</v>
      </c>
    </row>
    <row r="1250">
      <c r="A1250" s="45">
        <v>26037.0</v>
      </c>
      <c r="B1250" s="45" t="s">
        <v>2830</v>
      </c>
      <c r="C1250" s="45" t="s">
        <v>2466</v>
      </c>
      <c r="D1250" s="46">
        <v>79720.0</v>
      </c>
      <c r="E1250" s="46">
        <v>79128.0</v>
      </c>
    </row>
    <row r="1251">
      <c r="A1251" s="45">
        <v>26039.0</v>
      </c>
      <c r="B1251" s="45" t="s">
        <v>2830</v>
      </c>
      <c r="C1251" s="45" t="s">
        <v>2093</v>
      </c>
      <c r="D1251" s="46">
        <v>13538.0</v>
      </c>
      <c r="E1251" s="46">
        <v>12988.0</v>
      </c>
    </row>
    <row r="1252">
      <c r="A1252" s="45">
        <v>26041.0</v>
      </c>
      <c r="B1252" s="45" t="s">
        <v>2830</v>
      </c>
      <c r="C1252" s="45" t="s">
        <v>2210</v>
      </c>
      <c r="D1252" s="46">
        <v>36790.0</v>
      </c>
      <c r="E1252" s="46">
        <v>36903.0</v>
      </c>
    </row>
    <row r="1253">
      <c r="A1253" s="45">
        <v>26043.0</v>
      </c>
      <c r="B1253" s="45" t="s">
        <v>2830</v>
      </c>
      <c r="C1253" s="45" t="s">
        <v>2569</v>
      </c>
      <c r="D1253" s="46">
        <v>25982.0</v>
      </c>
      <c r="E1253" s="46">
        <v>25947.0</v>
      </c>
    </row>
    <row r="1254">
      <c r="A1254" s="45">
        <v>26045.0</v>
      </c>
      <c r="B1254" s="45" t="s">
        <v>2830</v>
      </c>
      <c r="C1254" s="45" t="s">
        <v>2845</v>
      </c>
      <c r="D1254" s="46">
        <v>108820.0</v>
      </c>
      <c r="E1254" s="46">
        <v>109175.0</v>
      </c>
    </row>
    <row r="1255">
      <c r="A1255" s="45">
        <v>26047.0</v>
      </c>
      <c r="B1255" s="45" t="s">
        <v>2830</v>
      </c>
      <c r="C1255" s="45" t="s">
        <v>2571</v>
      </c>
      <c r="D1255" s="46">
        <v>34123.0</v>
      </c>
      <c r="E1255" s="46">
        <v>34112.0</v>
      </c>
    </row>
    <row r="1256">
      <c r="A1256" s="45">
        <v>26049.0</v>
      </c>
      <c r="B1256" s="45" t="s">
        <v>2830</v>
      </c>
      <c r="C1256" s="45" t="s">
        <v>2846</v>
      </c>
      <c r="D1256" s="46">
        <v>401522.0</v>
      </c>
      <c r="E1256" s="46">
        <v>406211.0</v>
      </c>
    </row>
    <row r="1257">
      <c r="A1257" s="45">
        <v>26051.0</v>
      </c>
      <c r="B1257" s="45" t="s">
        <v>2830</v>
      </c>
      <c r="C1257" s="45" t="s">
        <v>2847</v>
      </c>
      <c r="D1257" s="46">
        <v>25853.0</v>
      </c>
      <c r="E1257" s="46">
        <v>25386.0</v>
      </c>
    </row>
    <row r="1258">
      <c r="A1258" s="45">
        <v>26053.0</v>
      </c>
      <c r="B1258" s="45" t="s">
        <v>2830</v>
      </c>
      <c r="C1258" s="45" t="s">
        <v>2848</v>
      </c>
      <c r="D1258" s="46">
        <v>14224.0</v>
      </c>
      <c r="E1258" s="46">
        <v>14380.0</v>
      </c>
    </row>
    <row r="1259">
      <c r="A1259" s="45">
        <v>26055.0</v>
      </c>
      <c r="B1259" s="45" t="s">
        <v>2830</v>
      </c>
      <c r="C1259" s="45" t="s">
        <v>2849</v>
      </c>
      <c r="D1259" s="46">
        <v>96421.0</v>
      </c>
      <c r="E1259" s="46">
        <v>95238.0</v>
      </c>
    </row>
    <row r="1260">
      <c r="A1260" s="45">
        <v>26057.0</v>
      </c>
      <c r="B1260" s="45" t="s">
        <v>2830</v>
      </c>
      <c r="C1260" s="45" t="s">
        <v>2850</v>
      </c>
      <c r="D1260" s="46">
        <v>41368.0</v>
      </c>
      <c r="E1260" s="46">
        <v>41761.0</v>
      </c>
    </row>
    <row r="1261">
      <c r="A1261" s="45">
        <v>26059.0</v>
      </c>
      <c r="B1261" s="45" t="s">
        <v>2830</v>
      </c>
      <c r="C1261" s="45" t="s">
        <v>2851</v>
      </c>
      <c r="D1261" s="46">
        <v>45587.0</v>
      </c>
      <c r="E1261" s="46">
        <v>45746.0</v>
      </c>
    </row>
    <row r="1262">
      <c r="A1262" s="45">
        <v>26061.0</v>
      </c>
      <c r="B1262" s="45" t="s">
        <v>2830</v>
      </c>
      <c r="C1262" s="45" t="s">
        <v>2852</v>
      </c>
      <c r="D1262" s="46">
        <v>37599.0</v>
      </c>
      <c r="E1262" s="46">
        <v>37361.0</v>
      </c>
    </row>
    <row r="1263">
      <c r="A1263" s="45">
        <v>26063.0</v>
      </c>
      <c r="B1263" s="45" t="s">
        <v>2830</v>
      </c>
      <c r="C1263" s="45" t="s">
        <v>2853</v>
      </c>
      <c r="D1263" s="46">
        <v>30927.0</v>
      </c>
      <c r="E1263" s="46">
        <v>31407.0</v>
      </c>
    </row>
    <row r="1264">
      <c r="A1264" s="45">
        <v>26065.0</v>
      </c>
      <c r="B1264" s="45" t="s">
        <v>2830</v>
      </c>
      <c r="C1264" s="45" t="s">
        <v>2854</v>
      </c>
      <c r="D1264" s="46">
        <v>284637.0</v>
      </c>
      <c r="E1264" s="46">
        <v>284900.0</v>
      </c>
    </row>
    <row r="1265">
      <c r="A1265" s="45">
        <v>26067.0</v>
      </c>
      <c r="B1265" s="45" t="s">
        <v>2830</v>
      </c>
      <c r="C1265" s="45" t="s">
        <v>2855</v>
      </c>
      <c r="D1265" s="46">
        <v>66262.0</v>
      </c>
      <c r="E1265" s="46">
        <v>66804.0</v>
      </c>
    </row>
    <row r="1266">
      <c r="A1266" s="45">
        <v>26069.0</v>
      </c>
      <c r="B1266" s="45" t="s">
        <v>2830</v>
      </c>
      <c r="C1266" s="45" t="s">
        <v>2856</v>
      </c>
      <c r="D1266" s="46">
        <v>25373.0</v>
      </c>
      <c r="E1266" s="46">
        <v>25237.0</v>
      </c>
    </row>
    <row r="1267">
      <c r="A1267" s="45">
        <v>26071.0</v>
      </c>
      <c r="B1267" s="45" t="s">
        <v>2830</v>
      </c>
      <c r="C1267" s="45" t="s">
        <v>2857</v>
      </c>
      <c r="D1267" s="46">
        <v>11740.0</v>
      </c>
      <c r="E1267" s="46">
        <v>11631.0</v>
      </c>
    </row>
    <row r="1268">
      <c r="A1268" s="45">
        <v>26073.0</v>
      </c>
      <c r="B1268" s="45" t="s">
        <v>2830</v>
      </c>
      <c r="C1268" s="45" t="s">
        <v>2858</v>
      </c>
      <c r="D1268" s="46">
        <v>64118.0</v>
      </c>
      <c r="E1268" s="46">
        <v>64394.0</v>
      </c>
    </row>
    <row r="1269">
      <c r="A1269" s="45">
        <v>26075.0</v>
      </c>
      <c r="B1269" s="45" t="s">
        <v>2830</v>
      </c>
      <c r="C1269" s="45" t="s">
        <v>2030</v>
      </c>
      <c r="D1269" s="46">
        <v>159424.0</v>
      </c>
      <c r="E1269" s="46">
        <v>160366.0</v>
      </c>
    </row>
    <row r="1270">
      <c r="A1270" s="45">
        <v>26077.0</v>
      </c>
      <c r="B1270" s="45" t="s">
        <v>2830</v>
      </c>
      <c r="C1270" s="45" t="s">
        <v>2859</v>
      </c>
      <c r="D1270" s="46">
        <v>262215.0</v>
      </c>
      <c r="E1270" s="46">
        <v>261670.0</v>
      </c>
    </row>
    <row r="1271">
      <c r="A1271" s="45">
        <v>26079.0</v>
      </c>
      <c r="B1271" s="45" t="s">
        <v>2830</v>
      </c>
      <c r="C1271" s="45" t="s">
        <v>2860</v>
      </c>
      <c r="D1271" s="46">
        <v>18490.0</v>
      </c>
      <c r="E1271" s="46">
        <v>17939.0</v>
      </c>
    </row>
    <row r="1272">
      <c r="A1272" s="45">
        <v>26081.0</v>
      </c>
      <c r="B1272" s="45" t="s">
        <v>2830</v>
      </c>
      <c r="C1272" s="45" t="s">
        <v>2260</v>
      </c>
      <c r="D1272" s="46">
        <v>661354.0</v>
      </c>
      <c r="E1272" s="46">
        <v>657974.0</v>
      </c>
    </row>
    <row r="1273">
      <c r="A1273" s="45">
        <v>26083.0</v>
      </c>
      <c r="B1273" s="45" t="s">
        <v>2830</v>
      </c>
      <c r="C1273" s="45" t="s">
        <v>2861</v>
      </c>
      <c r="D1273" s="46">
        <v>2172.0</v>
      </c>
      <c r="E1273" s="46">
        <v>2046.0</v>
      </c>
    </row>
    <row r="1274">
      <c r="A1274" s="45">
        <v>26085.0</v>
      </c>
      <c r="B1274" s="45" t="s">
        <v>2830</v>
      </c>
      <c r="C1274" s="45" t="s">
        <v>2154</v>
      </c>
      <c r="D1274" s="46">
        <v>12734.0</v>
      </c>
      <c r="E1274" s="46">
        <v>12096.0</v>
      </c>
    </row>
    <row r="1275">
      <c r="A1275" s="45">
        <v>26087.0</v>
      </c>
      <c r="B1275" s="45" t="s">
        <v>2830</v>
      </c>
      <c r="C1275" s="45" t="s">
        <v>2862</v>
      </c>
      <c r="D1275" s="46">
        <v>88977.0</v>
      </c>
      <c r="E1275" s="46">
        <v>88619.0</v>
      </c>
    </row>
    <row r="1276">
      <c r="A1276" s="45">
        <v>26089.0</v>
      </c>
      <c r="B1276" s="45" t="s">
        <v>2830</v>
      </c>
      <c r="C1276" s="45" t="s">
        <v>2863</v>
      </c>
      <c r="D1276" s="46">
        <v>23019.0</v>
      </c>
      <c r="E1276" s="46">
        <v>22301.0</v>
      </c>
    </row>
    <row r="1277">
      <c r="A1277" s="45">
        <v>26091.0</v>
      </c>
      <c r="B1277" s="45" t="s">
        <v>2830</v>
      </c>
      <c r="C1277" s="45" t="s">
        <v>2864</v>
      </c>
      <c r="D1277" s="46">
        <v>97520.0</v>
      </c>
      <c r="E1277" s="46">
        <v>99423.0</v>
      </c>
    </row>
    <row r="1278">
      <c r="A1278" s="45">
        <v>26093.0</v>
      </c>
      <c r="B1278" s="45" t="s">
        <v>2830</v>
      </c>
      <c r="C1278" s="45" t="s">
        <v>2486</v>
      </c>
      <c r="D1278" s="46">
        <v>196757.0</v>
      </c>
      <c r="E1278" s="46">
        <v>193866.0</v>
      </c>
    </row>
    <row r="1279">
      <c r="A1279" s="45">
        <v>26095.0</v>
      </c>
      <c r="B1279" s="45" t="s">
        <v>2830</v>
      </c>
      <c r="C1279" s="45" t="s">
        <v>2865</v>
      </c>
      <c r="D1279" s="46">
        <v>6435.0</v>
      </c>
      <c r="E1279" s="46">
        <v>5339.0</v>
      </c>
    </row>
    <row r="1280">
      <c r="A1280" s="45">
        <v>26097.0</v>
      </c>
      <c r="B1280" s="45" t="s">
        <v>2830</v>
      </c>
      <c r="C1280" s="45" t="s">
        <v>2866</v>
      </c>
      <c r="D1280" s="46">
        <v>10851.0</v>
      </c>
      <c r="E1280" s="46">
        <v>10834.0</v>
      </c>
    </row>
    <row r="1281">
      <c r="A1281" s="45">
        <v>26099.0</v>
      </c>
      <c r="B1281" s="45" t="s">
        <v>2830</v>
      </c>
      <c r="C1281" s="45" t="s">
        <v>2867</v>
      </c>
      <c r="D1281" s="46">
        <v>875101.0</v>
      </c>
      <c r="E1281" s="46">
        <v>881217.0</v>
      </c>
    </row>
    <row r="1282">
      <c r="A1282" s="45">
        <v>26101.0</v>
      </c>
      <c r="B1282" s="45" t="s">
        <v>2830</v>
      </c>
      <c r="C1282" s="45" t="s">
        <v>2868</v>
      </c>
      <c r="D1282" s="46">
        <v>25562.0</v>
      </c>
      <c r="E1282" s="46">
        <v>25032.0</v>
      </c>
    </row>
    <row r="1283">
      <c r="A1283" s="45">
        <v>26103.0</v>
      </c>
      <c r="B1283" s="45" t="s">
        <v>2830</v>
      </c>
      <c r="C1283" s="45" t="s">
        <v>2869</v>
      </c>
      <c r="D1283" s="46">
        <v>66999.0</v>
      </c>
      <c r="E1283" s="46">
        <v>66017.0</v>
      </c>
    </row>
    <row r="1284">
      <c r="A1284" s="45">
        <v>26105.0</v>
      </c>
      <c r="B1284" s="45" t="s">
        <v>2830</v>
      </c>
      <c r="C1284" s="45" t="s">
        <v>2491</v>
      </c>
      <c r="D1284" s="46">
        <v>29159.0</v>
      </c>
      <c r="E1284" s="46">
        <v>29052.0</v>
      </c>
    </row>
    <row r="1285">
      <c r="A1285" s="45">
        <v>26107.0</v>
      </c>
      <c r="B1285" s="45" t="s">
        <v>2830</v>
      </c>
      <c r="C1285" s="45" t="s">
        <v>2870</v>
      </c>
      <c r="D1285" s="46">
        <v>41099.0</v>
      </c>
      <c r="E1285" s="46">
        <v>39714.0</v>
      </c>
    </row>
    <row r="1286">
      <c r="A1286" s="45">
        <v>26109.0</v>
      </c>
      <c r="B1286" s="45" t="s">
        <v>2830</v>
      </c>
      <c r="C1286" s="45" t="s">
        <v>2871</v>
      </c>
      <c r="D1286" s="46">
        <v>22945.0</v>
      </c>
      <c r="E1286" s="46">
        <v>23502.0</v>
      </c>
    </row>
    <row r="1287">
      <c r="A1287" s="45">
        <v>26111.0</v>
      </c>
      <c r="B1287" s="45" t="s">
        <v>2830</v>
      </c>
      <c r="C1287" s="45" t="s">
        <v>2872</v>
      </c>
      <c r="D1287" s="46">
        <v>84039.0</v>
      </c>
      <c r="E1287" s="46">
        <v>83494.0</v>
      </c>
    </row>
    <row r="1288">
      <c r="A1288" s="45">
        <v>26113.0</v>
      </c>
      <c r="B1288" s="45" t="s">
        <v>2830</v>
      </c>
      <c r="C1288" s="45" t="s">
        <v>2873</v>
      </c>
      <c r="D1288" s="46">
        <v>15311.0</v>
      </c>
      <c r="E1288" s="46">
        <v>15052.0</v>
      </c>
    </row>
    <row r="1289">
      <c r="A1289" s="45">
        <v>26115.0</v>
      </c>
      <c r="B1289" s="45" t="s">
        <v>2830</v>
      </c>
      <c r="C1289" s="45" t="s">
        <v>2044</v>
      </c>
      <c r="D1289" s="46">
        <v>155045.0</v>
      </c>
      <c r="E1289" s="46">
        <v>154809.0</v>
      </c>
    </row>
    <row r="1290">
      <c r="A1290" s="45">
        <v>26117.0</v>
      </c>
      <c r="B1290" s="45" t="s">
        <v>2830</v>
      </c>
      <c r="C1290" s="45" t="s">
        <v>2874</v>
      </c>
      <c r="D1290" s="46">
        <v>68154.0</v>
      </c>
      <c r="E1290" s="46">
        <v>66614.0</v>
      </c>
    </row>
    <row r="1291">
      <c r="A1291" s="45">
        <v>26119.0</v>
      </c>
      <c r="B1291" s="45" t="s">
        <v>2830</v>
      </c>
      <c r="C1291" s="45" t="s">
        <v>2875</v>
      </c>
      <c r="D1291" s="46">
        <v>9678.0</v>
      </c>
      <c r="E1291" s="46">
        <v>9153.0</v>
      </c>
    </row>
    <row r="1292">
      <c r="A1292" s="45">
        <v>26121.0</v>
      </c>
      <c r="B1292" s="45" t="s">
        <v>2830</v>
      </c>
      <c r="C1292" s="45" t="s">
        <v>2876</v>
      </c>
      <c r="D1292" s="46">
        <v>176564.0</v>
      </c>
      <c r="E1292" s="46">
        <v>175824.0</v>
      </c>
    </row>
    <row r="1293">
      <c r="A1293" s="45">
        <v>26123.0</v>
      </c>
      <c r="B1293" s="45" t="s">
        <v>2830</v>
      </c>
      <c r="C1293" s="45" t="s">
        <v>2877</v>
      </c>
      <c r="D1293" s="46">
        <v>51108.0</v>
      </c>
      <c r="E1293" s="46">
        <v>49978.0</v>
      </c>
    </row>
    <row r="1294">
      <c r="A1294" s="45">
        <v>26125.0</v>
      </c>
      <c r="B1294" s="45" t="s">
        <v>2830</v>
      </c>
      <c r="C1294" s="45" t="s">
        <v>2878</v>
      </c>
      <c r="D1294" s="46">
        <v>1270426.0</v>
      </c>
      <c r="E1294" s="46">
        <v>1274395.0</v>
      </c>
    </row>
    <row r="1295">
      <c r="A1295" s="45">
        <v>26127.0</v>
      </c>
      <c r="B1295" s="45" t="s">
        <v>2830</v>
      </c>
      <c r="C1295" s="45" t="s">
        <v>2879</v>
      </c>
      <c r="D1295" s="46">
        <v>26981.0</v>
      </c>
      <c r="E1295" s="46">
        <v>26659.0</v>
      </c>
    </row>
    <row r="1296">
      <c r="A1296" s="45">
        <v>26129.0</v>
      </c>
      <c r="B1296" s="45" t="s">
        <v>2830</v>
      </c>
      <c r="C1296" s="45" t="s">
        <v>2880</v>
      </c>
      <c r="D1296" s="46">
        <v>20990.0</v>
      </c>
      <c r="E1296" s="46">
        <v>20770.0</v>
      </c>
    </row>
    <row r="1297">
      <c r="A1297" s="45">
        <v>26131.0</v>
      </c>
      <c r="B1297" s="45" t="s">
        <v>2830</v>
      </c>
      <c r="C1297" s="45" t="s">
        <v>2881</v>
      </c>
      <c r="D1297" s="46">
        <v>5906.0</v>
      </c>
      <c r="E1297" s="46">
        <v>5816.0</v>
      </c>
    </row>
    <row r="1298">
      <c r="A1298" s="45">
        <v>26133.0</v>
      </c>
      <c r="B1298" s="45" t="s">
        <v>2830</v>
      </c>
      <c r="C1298" s="45" t="s">
        <v>2299</v>
      </c>
      <c r="D1298" s="46">
        <v>23330.0</v>
      </c>
      <c r="E1298" s="46">
        <v>22891.0</v>
      </c>
    </row>
    <row r="1299">
      <c r="A1299" s="45">
        <v>26135.0</v>
      </c>
      <c r="B1299" s="45" t="s">
        <v>2830</v>
      </c>
      <c r="C1299" s="45" t="s">
        <v>2882</v>
      </c>
      <c r="D1299" s="46">
        <v>8545.0</v>
      </c>
      <c r="E1299" s="46">
        <v>8219.0</v>
      </c>
    </row>
    <row r="1300">
      <c r="A1300" s="45">
        <v>26137.0</v>
      </c>
      <c r="B1300" s="45" t="s">
        <v>2830</v>
      </c>
      <c r="C1300" s="45" t="s">
        <v>2883</v>
      </c>
      <c r="D1300" s="46">
        <v>25747.0</v>
      </c>
      <c r="E1300" s="46">
        <v>25091.0</v>
      </c>
    </row>
    <row r="1301">
      <c r="A1301" s="45">
        <v>26139.0</v>
      </c>
      <c r="B1301" s="45" t="s">
        <v>2830</v>
      </c>
      <c r="C1301" s="45" t="s">
        <v>2643</v>
      </c>
      <c r="D1301" s="46">
        <v>303372.0</v>
      </c>
      <c r="E1301" s="46">
        <v>296200.0</v>
      </c>
    </row>
    <row r="1302">
      <c r="A1302" s="45">
        <v>26141.0</v>
      </c>
      <c r="B1302" s="45" t="s">
        <v>2830</v>
      </c>
      <c r="C1302" s="45" t="s">
        <v>2884</v>
      </c>
      <c r="D1302" s="46">
        <v>13285.0</v>
      </c>
      <c r="E1302" s="46">
        <v>12982.0</v>
      </c>
    </row>
    <row r="1303">
      <c r="A1303" s="45">
        <v>26143.0</v>
      </c>
      <c r="B1303" s="45" t="s">
        <v>2830</v>
      </c>
      <c r="C1303" s="45" t="s">
        <v>2885</v>
      </c>
      <c r="D1303" s="46">
        <v>23863.0</v>
      </c>
      <c r="E1303" s="46">
        <v>23459.0</v>
      </c>
    </row>
    <row r="1304">
      <c r="A1304" s="45">
        <v>26145.0</v>
      </c>
      <c r="B1304" s="45" t="s">
        <v>2830</v>
      </c>
      <c r="C1304" s="45" t="s">
        <v>2886</v>
      </c>
      <c r="D1304" s="46">
        <v>187782.0</v>
      </c>
      <c r="E1304" s="46">
        <v>190124.0</v>
      </c>
    </row>
    <row r="1305">
      <c r="A1305" s="45">
        <v>26147.0</v>
      </c>
      <c r="B1305" s="45" t="s">
        <v>2830</v>
      </c>
      <c r="C1305" s="45" t="s">
        <v>2052</v>
      </c>
      <c r="D1305" s="46">
        <v>159874.0</v>
      </c>
      <c r="E1305" s="46">
        <v>160383.0</v>
      </c>
    </row>
    <row r="1306">
      <c r="A1306" s="45">
        <v>26149.0</v>
      </c>
      <c r="B1306" s="45" t="s">
        <v>2830</v>
      </c>
      <c r="C1306" s="45" t="s">
        <v>2541</v>
      </c>
      <c r="D1306" s="46">
        <v>60878.0</v>
      </c>
      <c r="E1306" s="46">
        <v>60939.0</v>
      </c>
    </row>
    <row r="1307">
      <c r="A1307" s="45">
        <v>26151.0</v>
      </c>
      <c r="B1307" s="45" t="s">
        <v>2830</v>
      </c>
      <c r="C1307" s="45" t="s">
        <v>2887</v>
      </c>
      <c r="D1307" s="46">
        <v>40368.0</v>
      </c>
      <c r="E1307" s="46">
        <v>40611.0</v>
      </c>
    </row>
    <row r="1308">
      <c r="A1308" s="45">
        <v>26153.0</v>
      </c>
      <c r="B1308" s="45" t="s">
        <v>2830</v>
      </c>
      <c r="C1308" s="45" t="s">
        <v>2888</v>
      </c>
      <c r="D1308" s="46">
        <v>8149.0</v>
      </c>
      <c r="E1308" s="46">
        <v>8047.0</v>
      </c>
    </row>
    <row r="1309">
      <c r="A1309" s="45">
        <v>26155.0</v>
      </c>
      <c r="B1309" s="45" t="s">
        <v>2830</v>
      </c>
      <c r="C1309" s="45" t="s">
        <v>2889</v>
      </c>
      <c r="D1309" s="46">
        <v>68025.0</v>
      </c>
      <c r="E1309" s="46">
        <v>68094.0</v>
      </c>
    </row>
    <row r="1310">
      <c r="A1310" s="45">
        <v>26157.0</v>
      </c>
      <c r="B1310" s="45" t="s">
        <v>2830</v>
      </c>
      <c r="C1310" s="45" t="s">
        <v>2890</v>
      </c>
      <c r="D1310" s="46">
        <v>52826.0</v>
      </c>
      <c r="E1310" s="46">
        <v>53323.0</v>
      </c>
    </row>
    <row r="1311">
      <c r="A1311" s="45">
        <v>26159.0</v>
      </c>
      <c r="B1311" s="45" t="s">
        <v>2830</v>
      </c>
      <c r="C1311" s="45" t="s">
        <v>2133</v>
      </c>
      <c r="D1311" s="46">
        <v>75798.0</v>
      </c>
      <c r="E1311" s="46">
        <v>75587.0</v>
      </c>
    </row>
    <row r="1312">
      <c r="A1312" s="45">
        <v>26161.0</v>
      </c>
      <c r="B1312" s="45" t="s">
        <v>2830</v>
      </c>
      <c r="C1312" s="45" t="s">
        <v>2891</v>
      </c>
      <c r="D1312" s="46">
        <v>365536.0</v>
      </c>
      <c r="E1312" s="46">
        <v>372258.0</v>
      </c>
    </row>
    <row r="1313">
      <c r="A1313" s="45">
        <v>26163.0</v>
      </c>
      <c r="B1313" s="45" t="s">
        <v>2830</v>
      </c>
      <c r="C1313" s="45" t="s">
        <v>2416</v>
      </c>
      <c r="D1313" s="46">
        <v>1751169.0</v>
      </c>
      <c r="E1313" s="46">
        <v>1793561.0</v>
      </c>
    </row>
    <row r="1314">
      <c r="A1314" s="45">
        <v>26165.0</v>
      </c>
      <c r="B1314" s="45" t="s">
        <v>2830</v>
      </c>
      <c r="C1314" s="45" t="s">
        <v>2892</v>
      </c>
      <c r="D1314" s="46">
        <v>34122.0</v>
      </c>
      <c r="E1314" s="46">
        <v>33673.0</v>
      </c>
    </row>
    <row r="1315">
      <c r="A1315" s="45">
        <v>27001.0</v>
      </c>
      <c r="B1315" s="45" t="s">
        <v>2893</v>
      </c>
      <c r="C1315" s="45" t="s">
        <v>2894</v>
      </c>
      <c r="D1315" s="46">
        <v>16102.0</v>
      </c>
      <c r="E1315" s="46">
        <v>15697.0</v>
      </c>
    </row>
    <row r="1316">
      <c r="A1316" s="45">
        <v>27003.0</v>
      </c>
      <c r="B1316" s="45" t="s">
        <v>2893</v>
      </c>
      <c r="C1316" s="45" t="s">
        <v>2895</v>
      </c>
      <c r="D1316" s="46">
        <v>372441.0</v>
      </c>
      <c r="E1316" s="46">
        <v>363887.0</v>
      </c>
    </row>
    <row r="1317">
      <c r="A1317" s="45">
        <v>27005.0</v>
      </c>
      <c r="B1317" s="45" t="s">
        <v>2893</v>
      </c>
      <c r="C1317" s="45" t="s">
        <v>2896</v>
      </c>
      <c r="D1317" s="46">
        <v>35283.0</v>
      </c>
      <c r="E1317" s="46">
        <v>35183.0</v>
      </c>
    </row>
    <row r="1318">
      <c r="A1318" s="45">
        <v>27007.0</v>
      </c>
      <c r="B1318" s="45" t="s">
        <v>2893</v>
      </c>
      <c r="C1318" s="45" t="s">
        <v>2897</v>
      </c>
      <c r="D1318" s="46">
        <v>46718.0</v>
      </c>
      <c r="E1318" s="46">
        <v>46228.0</v>
      </c>
    </row>
    <row r="1319">
      <c r="A1319" s="45">
        <v>27009.0</v>
      </c>
      <c r="B1319" s="45" t="s">
        <v>2893</v>
      </c>
      <c r="C1319" s="45" t="s">
        <v>2083</v>
      </c>
      <c r="D1319" s="46">
        <v>41600.0</v>
      </c>
      <c r="E1319" s="46">
        <v>41379.0</v>
      </c>
    </row>
    <row r="1320">
      <c r="A1320" s="45">
        <v>27011.0</v>
      </c>
      <c r="B1320" s="45" t="s">
        <v>2893</v>
      </c>
      <c r="C1320" s="45" t="s">
        <v>2898</v>
      </c>
      <c r="D1320" s="46">
        <v>5105.0</v>
      </c>
      <c r="E1320" s="46">
        <v>5166.0</v>
      </c>
    </row>
    <row r="1321">
      <c r="A1321" s="45">
        <v>27013.0</v>
      </c>
      <c r="B1321" s="45" t="s">
        <v>2893</v>
      </c>
      <c r="C1321" s="45" t="s">
        <v>2899</v>
      </c>
      <c r="D1321" s="46">
        <v>70006.0</v>
      </c>
      <c r="E1321" s="46">
        <v>69112.0</v>
      </c>
    </row>
    <row r="1322">
      <c r="A1322" s="45">
        <v>27015.0</v>
      </c>
      <c r="B1322" s="45" t="s">
        <v>2893</v>
      </c>
      <c r="C1322" s="45" t="s">
        <v>2461</v>
      </c>
      <c r="D1322" s="46">
        <v>25628.0</v>
      </c>
      <c r="E1322" s="46">
        <v>25912.0</v>
      </c>
    </row>
    <row r="1323">
      <c r="A1323" s="45">
        <v>27017.0</v>
      </c>
      <c r="B1323" s="45" t="s">
        <v>2893</v>
      </c>
      <c r="C1323" s="45" t="s">
        <v>2900</v>
      </c>
      <c r="D1323" s="46">
        <v>36825.0</v>
      </c>
      <c r="E1323" s="46">
        <v>36207.0</v>
      </c>
    </row>
    <row r="1324">
      <c r="A1324" s="45">
        <v>27019.0</v>
      </c>
      <c r="B1324" s="45" t="s">
        <v>2893</v>
      </c>
      <c r="C1324" s="45" t="s">
        <v>2901</v>
      </c>
      <c r="D1324" s="46">
        <v>111057.0</v>
      </c>
      <c r="E1324" s="46">
        <v>106922.0</v>
      </c>
    </row>
    <row r="1325">
      <c r="A1325" s="45">
        <v>27021.0</v>
      </c>
      <c r="B1325" s="45" t="s">
        <v>2893</v>
      </c>
      <c r="C1325" s="45" t="s">
        <v>2463</v>
      </c>
      <c r="D1325" s="46">
        <v>31446.0</v>
      </c>
      <c r="E1325" s="46">
        <v>30066.0</v>
      </c>
    </row>
    <row r="1326">
      <c r="A1326" s="45">
        <v>27023.0</v>
      </c>
      <c r="B1326" s="45" t="s">
        <v>2893</v>
      </c>
      <c r="C1326" s="45" t="s">
        <v>2843</v>
      </c>
      <c r="D1326" s="46">
        <v>12172.0</v>
      </c>
      <c r="E1326" s="46">
        <v>12598.0</v>
      </c>
    </row>
    <row r="1327">
      <c r="A1327" s="45">
        <v>27025.0</v>
      </c>
      <c r="B1327" s="45" t="s">
        <v>2893</v>
      </c>
      <c r="C1327" s="45" t="s">
        <v>2902</v>
      </c>
      <c r="D1327" s="46">
        <v>58535.0</v>
      </c>
      <c r="E1327" s="46">
        <v>56621.0</v>
      </c>
    </row>
    <row r="1328">
      <c r="A1328" s="45">
        <v>27027.0</v>
      </c>
      <c r="B1328" s="45" t="s">
        <v>2893</v>
      </c>
      <c r="C1328" s="45" t="s">
        <v>2008</v>
      </c>
      <c r="D1328" s="46">
        <v>66258.0</v>
      </c>
      <c r="E1328" s="46">
        <v>65318.0</v>
      </c>
    </row>
    <row r="1329">
      <c r="A1329" s="45">
        <v>27029.0</v>
      </c>
      <c r="B1329" s="45" t="s">
        <v>2893</v>
      </c>
      <c r="C1329" s="45" t="s">
        <v>2439</v>
      </c>
      <c r="D1329" s="46">
        <v>8644.0</v>
      </c>
      <c r="E1329" s="46">
        <v>8524.0</v>
      </c>
    </row>
    <row r="1330">
      <c r="A1330" s="45">
        <v>27031.0</v>
      </c>
      <c r="B1330" s="45" t="s">
        <v>2893</v>
      </c>
      <c r="C1330" s="45" t="s">
        <v>2341</v>
      </c>
      <c r="D1330" s="46">
        <v>5639.0</v>
      </c>
      <c r="E1330" s="46">
        <v>5600.0</v>
      </c>
    </row>
    <row r="1331">
      <c r="A1331" s="45">
        <v>27033.0</v>
      </c>
      <c r="B1331" s="45" t="s">
        <v>2893</v>
      </c>
      <c r="C1331" s="45" t="s">
        <v>2903</v>
      </c>
      <c r="D1331" s="46">
        <v>11319.0</v>
      </c>
      <c r="E1331" s="46">
        <v>11517.0</v>
      </c>
    </row>
    <row r="1332">
      <c r="A1332" s="45">
        <v>27035.0</v>
      </c>
      <c r="B1332" s="45" t="s">
        <v>2893</v>
      </c>
      <c r="C1332" s="45" t="s">
        <v>2904</v>
      </c>
      <c r="D1332" s="46">
        <v>68304.0</v>
      </c>
      <c r="E1332" s="46">
        <v>66123.0</v>
      </c>
    </row>
    <row r="1333">
      <c r="A1333" s="45">
        <v>27037.0</v>
      </c>
      <c r="B1333" s="45" t="s">
        <v>2893</v>
      </c>
      <c r="C1333" s="45" t="s">
        <v>2905</v>
      </c>
      <c r="D1333" s="46">
        <v>447440.0</v>
      </c>
      <c r="E1333" s="46">
        <v>439882.0</v>
      </c>
    </row>
    <row r="1334">
      <c r="A1334" s="45">
        <v>27039.0</v>
      </c>
      <c r="B1334" s="45" t="s">
        <v>2893</v>
      </c>
      <c r="C1334" s="45" t="s">
        <v>2347</v>
      </c>
      <c r="D1334" s="46">
        <v>21088.0</v>
      </c>
      <c r="E1334" s="46">
        <v>20867.0</v>
      </c>
    </row>
    <row r="1335">
      <c r="A1335" s="45">
        <v>27041.0</v>
      </c>
      <c r="B1335" s="45" t="s">
        <v>2893</v>
      </c>
      <c r="C1335" s="45" t="s">
        <v>2213</v>
      </c>
      <c r="D1335" s="46">
        <v>39953.0</v>
      </c>
      <c r="E1335" s="46">
        <v>39006.0</v>
      </c>
    </row>
    <row r="1336">
      <c r="A1336" s="45">
        <v>27043.0</v>
      </c>
      <c r="B1336" s="45" t="s">
        <v>2893</v>
      </c>
      <c r="C1336" s="45" t="s">
        <v>2906</v>
      </c>
      <c r="D1336" s="46">
        <v>13873.0</v>
      </c>
      <c r="E1336" s="46">
        <v>13921.0</v>
      </c>
    </row>
    <row r="1337">
      <c r="A1337" s="45">
        <v>27045.0</v>
      </c>
      <c r="B1337" s="45" t="s">
        <v>2893</v>
      </c>
      <c r="C1337" s="45" t="s">
        <v>2907</v>
      </c>
      <c r="D1337" s="46">
        <v>21522.0</v>
      </c>
      <c r="E1337" s="46">
        <v>21228.0</v>
      </c>
    </row>
    <row r="1338">
      <c r="A1338" s="45">
        <v>27047.0</v>
      </c>
      <c r="B1338" s="45" t="s">
        <v>2893</v>
      </c>
      <c r="C1338" s="45" t="s">
        <v>2908</v>
      </c>
      <c r="D1338" s="46">
        <v>30515.0</v>
      </c>
      <c r="E1338" s="46">
        <v>30895.0</v>
      </c>
    </row>
    <row r="1339">
      <c r="A1339" s="45">
        <v>27049.0</v>
      </c>
      <c r="B1339" s="45" t="s">
        <v>2893</v>
      </c>
      <c r="C1339" s="45" t="s">
        <v>2909</v>
      </c>
      <c r="D1339" s="46">
        <v>48035.0</v>
      </c>
      <c r="E1339" s="46">
        <v>47582.0</v>
      </c>
    </row>
    <row r="1340">
      <c r="A1340" s="45">
        <v>27051.0</v>
      </c>
      <c r="B1340" s="45" t="s">
        <v>2893</v>
      </c>
      <c r="C1340" s="45" t="s">
        <v>2101</v>
      </c>
      <c r="D1340" s="46">
        <v>6139.0</v>
      </c>
      <c r="E1340" s="46">
        <v>6074.0</v>
      </c>
    </row>
    <row r="1341">
      <c r="A1341" s="45">
        <v>27053.0</v>
      </c>
      <c r="B1341" s="45" t="s">
        <v>2893</v>
      </c>
      <c r="C1341" s="45" t="s">
        <v>2910</v>
      </c>
      <c r="D1341" s="46">
        <v>1258713.0</v>
      </c>
      <c r="E1341" s="46">
        <v>1281565.0</v>
      </c>
    </row>
    <row r="1342">
      <c r="A1342" s="45">
        <v>27055.0</v>
      </c>
      <c r="B1342" s="45" t="s">
        <v>2893</v>
      </c>
      <c r="C1342" s="45" t="s">
        <v>2029</v>
      </c>
      <c r="D1342" s="46">
        <v>18582.0</v>
      </c>
      <c r="E1342" s="46">
        <v>18843.0</v>
      </c>
    </row>
    <row r="1343">
      <c r="A1343" s="45">
        <v>27057.0</v>
      </c>
      <c r="B1343" s="45" t="s">
        <v>2893</v>
      </c>
      <c r="C1343" s="45" t="s">
        <v>2911</v>
      </c>
      <c r="D1343" s="46">
        <v>22132.0</v>
      </c>
      <c r="E1343" s="46">
        <v>21344.0</v>
      </c>
    </row>
    <row r="1344">
      <c r="A1344" s="45">
        <v>27059.0</v>
      </c>
      <c r="B1344" s="45" t="s">
        <v>2893</v>
      </c>
      <c r="C1344" s="45" t="s">
        <v>2912</v>
      </c>
      <c r="D1344" s="46">
        <v>43182.0</v>
      </c>
      <c r="E1344" s="46">
        <v>41135.0</v>
      </c>
    </row>
    <row r="1345">
      <c r="A1345" s="45">
        <v>27061.0</v>
      </c>
      <c r="B1345" s="45" t="s">
        <v>2893</v>
      </c>
      <c r="C1345" s="45" t="s">
        <v>2913</v>
      </c>
      <c r="D1345" s="46">
        <v>45365.0</v>
      </c>
      <c r="E1345" s="46">
        <v>45014.0</v>
      </c>
    </row>
    <row r="1346">
      <c r="A1346" s="45">
        <v>27063.0</v>
      </c>
      <c r="B1346" s="45" t="s">
        <v>2893</v>
      </c>
      <c r="C1346" s="45" t="s">
        <v>2030</v>
      </c>
      <c r="D1346" s="46">
        <v>9919.0</v>
      </c>
      <c r="E1346" s="46">
        <v>9989.0</v>
      </c>
    </row>
    <row r="1347">
      <c r="A1347" s="45">
        <v>27065.0</v>
      </c>
      <c r="B1347" s="45" t="s">
        <v>2893</v>
      </c>
      <c r="C1347" s="45" t="s">
        <v>2914</v>
      </c>
      <c r="D1347" s="46">
        <v>16602.0</v>
      </c>
      <c r="E1347" s="46">
        <v>16032.0</v>
      </c>
    </row>
    <row r="1348">
      <c r="A1348" s="45">
        <v>27067.0</v>
      </c>
      <c r="B1348" s="45" t="s">
        <v>2893</v>
      </c>
      <c r="C1348" s="45" t="s">
        <v>2915</v>
      </c>
      <c r="D1348" s="46">
        <v>43813.0</v>
      </c>
      <c r="E1348" s="46">
        <v>43732.0</v>
      </c>
    </row>
    <row r="1349">
      <c r="A1349" s="45">
        <v>27069.0</v>
      </c>
      <c r="B1349" s="45" t="s">
        <v>2893</v>
      </c>
      <c r="C1349" s="45" t="s">
        <v>2916</v>
      </c>
      <c r="D1349" s="46">
        <v>4060.0</v>
      </c>
      <c r="E1349" s="46">
        <v>4207.0</v>
      </c>
    </row>
    <row r="1350">
      <c r="A1350" s="45">
        <v>27071.0</v>
      </c>
      <c r="B1350" s="45" t="s">
        <v>2893</v>
      </c>
      <c r="C1350" s="45" t="s">
        <v>2917</v>
      </c>
      <c r="D1350" s="46">
        <v>11751.0</v>
      </c>
      <c r="E1350" s="46">
        <v>12062.0</v>
      </c>
    </row>
    <row r="1351">
      <c r="A1351" s="45">
        <v>27073.0</v>
      </c>
      <c r="B1351" s="45" t="s">
        <v>2893</v>
      </c>
      <c r="C1351" s="45" t="s">
        <v>2918</v>
      </c>
      <c r="D1351" s="46">
        <v>6630.0</v>
      </c>
      <c r="E1351" s="46">
        <v>6719.0</v>
      </c>
    </row>
    <row r="1352">
      <c r="A1352" s="45">
        <v>27075.0</v>
      </c>
      <c r="B1352" s="45" t="s">
        <v>2893</v>
      </c>
      <c r="C1352" s="45" t="s">
        <v>2154</v>
      </c>
      <c r="D1352" s="46">
        <v>10855.0</v>
      </c>
      <c r="E1352" s="46">
        <v>10905.0</v>
      </c>
    </row>
    <row r="1353">
      <c r="A1353" s="45">
        <v>27077.0</v>
      </c>
      <c r="B1353" s="45" t="s">
        <v>2893</v>
      </c>
      <c r="C1353" s="45" t="s">
        <v>2919</v>
      </c>
      <c r="D1353" s="46">
        <v>3778.0</v>
      </c>
      <c r="E1353" s="46">
        <v>3763.0</v>
      </c>
    </row>
    <row r="1354">
      <c r="A1354" s="45">
        <v>27079.0</v>
      </c>
      <c r="B1354" s="45" t="s">
        <v>2893</v>
      </c>
      <c r="C1354" s="45" t="s">
        <v>2920</v>
      </c>
      <c r="D1354" s="46">
        <v>29255.0</v>
      </c>
      <c r="E1354" s="46">
        <v>28674.0</v>
      </c>
    </row>
    <row r="1355">
      <c r="A1355" s="45">
        <v>27081.0</v>
      </c>
      <c r="B1355" s="45" t="s">
        <v>2893</v>
      </c>
      <c r="C1355" s="45" t="s">
        <v>2109</v>
      </c>
      <c r="D1355" s="46">
        <v>5521.0</v>
      </c>
      <c r="E1355" s="46">
        <v>5640.0</v>
      </c>
    </row>
    <row r="1356">
      <c r="A1356" s="45">
        <v>27083.0</v>
      </c>
      <c r="B1356" s="45" t="s">
        <v>2893</v>
      </c>
      <c r="C1356" s="45" t="s">
        <v>2580</v>
      </c>
      <c r="D1356" s="46">
        <v>25427.0</v>
      </c>
      <c r="E1356" s="46">
        <v>25269.0</v>
      </c>
    </row>
    <row r="1357">
      <c r="A1357" s="45">
        <v>27085.0</v>
      </c>
      <c r="B1357" s="45" t="s">
        <v>2893</v>
      </c>
      <c r="C1357" s="45" t="s">
        <v>2921</v>
      </c>
      <c r="D1357" s="46">
        <v>36785.0</v>
      </c>
      <c r="E1357" s="46">
        <v>36771.0</v>
      </c>
    </row>
    <row r="1358">
      <c r="A1358" s="45">
        <v>27087.0</v>
      </c>
      <c r="B1358" s="45" t="s">
        <v>2893</v>
      </c>
      <c r="C1358" s="45" t="s">
        <v>2922</v>
      </c>
      <c r="D1358" s="46">
        <v>5280.0</v>
      </c>
      <c r="E1358" s="46">
        <v>5411.0</v>
      </c>
    </row>
    <row r="1359">
      <c r="A1359" s="45">
        <v>27089.0</v>
      </c>
      <c r="B1359" s="45" t="s">
        <v>2893</v>
      </c>
      <c r="C1359" s="45" t="s">
        <v>2042</v>
      </c>
      <c r="D1359" s="46">
        <v>8810.0</v>
      </c>
      <c r="E1359" s="46">
        <v>9040.0</v>
      </c>
    </row>
    <row r="1360">
      <c r="A1360" s="45">
        <v>27091.0</v>
      </c>
      <c r="B1360" s="45" t="s">
        <v>2893</v>
      </c>
      <c r="C1360" s="45" t="s">
        <v>2294</v>
      </c>
      <c r="D1360" s="46">
        <v>19657.0</v>
      </c>
      <c r="E1360" s="46">
        <v>20025.0</v>
      </c>
    </row>
    <row r="1361">
      <c r="A1361" s="45">
        <v>27093.0</v>
      </c>
      <c r="B1361" s="45" t="s">
        <v>2893</v>
      </c>
      <c r="C1361" s="45" t="s">
        <v>2923</v>
      </c>
      <c r="D1361" s="46">
        <v>23490.0</v>
      </c>
      <c r="E1361" s="46">
        <v>23400.0</v>
      </c>
    </row>
    <row r="1362">
      <c r="A1362" s="45">
        <v>27095.0</v>
      </c>
      <c r="B1362" s="45" t="s">
        <v>2893</v>
      </c>
      <c r="C1362" s="45" t="s">
        <v>2924</v>
      </c>
      <c r="D1362" s="46">
        <v>27427.0</v>
      </c>
      <c r="E1362" s="46">
        <v>26459.0</v>
      </c>
    </row>
    <row r="1363">
      <c r="A1363" s="45">
        <v>27097.0</v>
      </c>
      <c r="B1363" s="45" t="s">
        <v>2893</v>
      </c>
      <c r="C1363" s="45" t="s">
        <v>2925</v>
      </c>
      <c r="D1363" s="46">
        <v>34250.0</v>
      </c>
      <c r="E1363" s="46">
        <v>34010.0</v>
      </c>
    </row>
    <row r="1364">
      <c r="A1364" s="45">
        <v>27099.0</v>
      </c>
      <c r="B1364" s="45" t="s">
        <v>2893</v>
      </c>
      <c r="C1364" s="45" t="s">
        <v>2926</v>
      </c>
      <c r="D1364" s="46">
        <v>40058.0</v>
      </c>
      <c r="E1364" s="46">
        <v>40029.0</v>
      </c>
    </row>
    <row r="1365">
      <c r="A1365" s="45">
        <v>27101.0</v>
      </c>
      <c r="B1365" s="45" t="s">
        <v>2893</v>
      </c>
      <c r="C1365" s="45" t="s">
        <v>2384</v>
      </c>
      <c r="D1365" s="46">
        <v>8049.0</v>
      </c>
      <c r="E1365" s="46">
        <v>8179.0</v>
      </c>
    </row>
    <row r="1366">
      <c r="A1366" s="45">
        <v>27103.0</v>
      </c>
      <c r="B1366" s="45" t="s">
        <v>2893</v>
      </c>
      <c r="C1366" s="45" t="s">
        <v>2927</v>
      </c>
      <c r="D1366" s="46">
        <v>34242.0</v>
      </c>
      <c r="E1366" s="46">
        <v>34454.0</v>
      </c>
    </row>
    <row r="1367">
      <c r="A1367" s="45">
        <v>27105.0</v>
      </c>
      <c r="B1367" s="45" t="s">
        <v>2893</v>
      </c>
      <c r="C1367" s="45" t="s">
        <v>2928</v>
      </c>
      <c r="D1367" s="46">
        <v>21727.0</v>
      </c>
      <c r="E1367" s="46">
        <v>22290.0</v>
      </c>
    </row>
    <row r="1368">
      <c r="A1368" s="45">
        <v>27107.0</v>
      </c>
      <c r="B1368" s="45" t="s">
        <v>2893</v>
      </c>
      <c r="C1368" s="45" t="s">
        <v>2929</v>
      </c>
      <c r="D1368" s="46">
        <v>6329.0</v>
      </c>
      <c r="E1368" s="46">
        <v>6441.0</v>
      </c>
    </row>
    <row r="1369">
      <c r="A1369" s="45">
        <v>27109.0</v>
      </c>
      <c r="B1369" s="45" t="s">
        <v>2893</v>
      </c>
      <c r="C1369" s="45" t="s">
        <v>2930</v>
      </c>
      <c r="D1369" s="46">
        <v>164784.0</v>
      </c>
      <c r="E1369" s="46">
        <v>162847.0</v>
      </c>
    </row>
    <row r="1370">
      <c r="A1370" s="45">
        <v>27111.0</v>
      </c>
      <c r="B1370" s="45" t="s">
        <v>2893</v>
      </c>
      <c r="C1370" s="45" t="s">
        <v>2931</v>
      </c>
      <c r="D1370" s="46">
        <v>60626.0</v>
      </c>
      <c r="E1370" s="46">
        <v>60081.0</v>
      </c>
    </row>
    <row r="1371">
      <c r="A1371" s="45">
        <v>27113.0</v>
      </c>
      <c r="B1371" s="45" t="s">
        <v>2893</v>
      </c>
      <c r="C1371" s="45" t="s">
        <v>2932</v>
      </c>
      <c r="D1371" s="46">
        <v>13714.0</v>
      </c>
      <c r="E1371" s="46">
        <v>13992.0</v>
      </c>
    </row>
    <row r="1372">
      <c r="A1372" s="45">
        <v>27115.0</v>
      </c>
      <c r="B1372" s="45" t="s">
        <v>2893</v>
      </c>
      <c r="C1372" s="45" t="s">
        <v>2933</v>
      </c>
      <c r="D1372" s="46">
        <v>30197.0</v>
      </c>
      <c r="E1372" s="46">
        <v>28876.0</v>
      </c>
    </row>
    <row r="1373">
      <c r="A1373" s="45">
        <v>27117.0</v>
      </c>
      <c r="B1373" s="45" t="s">
        <v>2893</v>
      </c>
      <c r="C1373" s="45" t="s">
        <v>2934</v>
      </c>
      <c r="D1373" s="46">
        <v>9245.0</v>
      </c>
      <c r="E1373" s="46">
        <v>9424.0</v>
      </c>
    </row>
    <row r="1374">
      <c r="A1374" s="45">
        <v>27119.0</v>
      </c>
      <c r="B1374" s="45" t="s">
        <v>2893</v>
      </c>
      <c r="C1374" s="45" t="s">
        <v>2120</v>
      </c>
      <c r="D1374" s="46">
        <v>30412.0</v>
      </c>
      <c r="E1374" s="46">
        <v>31192.0</v>
      </c>
    </row>
    <row r="1375">
      <c r="A1375" s="45">
        <v>27121.0</v>
      </c>
      <c r="B1375" s="45" t="s">
        <v>2893</v>
      </c>
      <c r="C1375" s="45" t="s">
        <v>2121</v>
      </c>
      <c r="D1375" s="46">
        <v>11400.0</v>
      </c>
      <c r="E1375" s="46">
        <v>11308.0</v>
      </c>
    </row>
    <row r="1376">
      <c r="A1376" s="45">
        <v>27123.0</v>
      </c>
      <c r="B1376" s="45" t="s">
        <v>2893</v>
      </c>
      <c r="C1376" s="45" t="s">
        <v>2935</v>
      </c>
      <c r="D1376" s="46">
        <v>536075.0</v>
      </c>
      <c r="E1376" s="46">
        <v>552352.0</v>
      </c>
    </row>
    <row r="1377">
      <c r="A1377" s="45">
        <v>27125.0</v>
      </c>
      <c r="B1377" s="45" t="s">
        <v>2893</v>
      </c>
      <c r="C1377" s="45" t="s">
        <v>2936</v>
      </c>
      <c r="D1377" s="46">
        <v>3911.0</v>
      </c>
      <c r="E1377" s="46">
        <v>3935.0</v>
      </c>
    </row>
    <row r="1378">
      <c r="A1378" s="45">
        <v>27127.0</v>
      </c>
      <c r="B1378" s="45" t="s">
        <v>2893</v>
      </c>
      <c r="C1378" s="45" t="s">
        <v>2937</v>
      </c>
      <c r="D1378" s="46">
        <v>15288.0</v>
      </c>
      <c r="E1378" s="46">
        <v>15425.0</v>
      </c>
    </row>
    <row r="1379">
      <c r="A1379" s="45">
        <v>27129.0</v>
      </c>
      <c r="B1379" s="45" t="s">
        <v>2893</v>
      </c>
      <c r="C1379" s="45" t="s">
        <v>2938</v>
      </c>
      <c r="D1379" s="46">
        <v>14348.0</v>
      </c>
      <c r="E1379" s="46">
        <v>14723.0</v>
      </c>
    </row>
    <row r="1380">
      <c r="A1380" s="45">
        <v>27131.0</v>
      </c>
      <c r="B1380" s="45" t="s">
        <v>2893</v>
      </c>
      <c r="C1380" s="45" t="s">
        <v>2650</v>
      </c>
      <c r="D1380" s="46">
        <v>67948.0</v>
      </c>
      <c r="E1380" s="46">
        <v>67097.0</v>
      </c>
    </row>
    <row r="1381">
      <c r="A1381" s="45">
        <v>27133.0</v>
      </c>
      <c r="B1381" s="45" t="s">
        <v>2893</v>
      </c>
      <c r="C1381" s="45" t="s">
        <v>2939</v>
      </c>
      <c r="D1381" s="46">
        <v>9551.0</v>
      </c>
      <c r="E1381" s="46">
        <v>9704.0</v>
      </c>
    </row>
    <row r="1382">
      <c r="A1382" s="45">
        <v>27135.0</v>
      </c>
      <c r="B1382" s="45" t="s">
        <v>2893</v>
      </c>
      <c r="C1382" s="45" t="s">
        <v>2940</v>
      </c>
      <c r="D1382" s="46">
        <v>15252.0</v>
      </c>
      <c r="E1382" s="46">
        <v>15331.0</v>
      </c>
    </row>
    <row r="1383">
      <c r="A1383" s="45">
        <v>27137.0</v>
      </c>
      <c r="B1383" s="45" t="s">
        <v>2893</v>
      </c>
      <c r="C1383" s="45" t="s">
        <v>2941</v>
      </c>
      <c r="D1383" s="46">
        <v>200514.0</v>
      </c>
      <c r="E1383" s="46">
        <v>200231.0</v>
      </c>
    </row>
    <row r="1384">
      <c r="A1384" s="45">
        <v>27139.0</v>
      </c>
      <c r="B1384" s="45" t="s">
        <v>2893</v>
      </c>
      <c r="C1384" s="45" t="s">
        <v>2126</v>
      </c>
      <c r="D1384" s="46">
        <v>155814.0</v>
      </c>
      <c r="E1384" s="46">
        <v>150928.0</v>
      </c>
    </row>
    <row r="1385">
      <c r="A1385" s="45">
        <v>27141.0</v>
      </c>
      <c r="B1385" s="45" t="s">
        <v>2893</v>
      </c>
      <c r="C1385" s="45" t="s">
        <v>2942</v>
      </c>
      <c r="D1385" s="46">
        <v>102206.0</v>
      </c>
      <c r="E1385" s="46">
        <v>97183.0</v>
      </c>
    </row>
    <row r="1386">
      <c r="A1386" s="45">
        <v>27143.0</v>
      </c>
      <c r="B1386" s="45" t="s">
        <v>2893</v>
      </c>
      <c r="C1386" s="45" t="s">
        <v>2943</v>
      </c>
      <c r="D1386" s="46">
        <v>15084.0</v>
      </c>
      <c r="E1386" s="46">
        <v>14836.0</v>
      </c>
    </row>
    <row r="1387">
      <c r="A1387" s="45">
        <v>27145.0</v>
      </c>
      <c r="B1387" s="45" t="s">
        <v>2893</v>
      </c>
      <c r="C1387" s="45" t="s">
        <v>2944</v>
      </c>
      <c r="D1387" s="46">
        <v>160977.0</v>
      </c>
      <c r="E1387" s="46">
        <v>158292.0</v>
      </c>
    </row>
    <row r="1388">
      <c r="A1388" s="45">
        <v>27147.0</v>
      </c>
      <c r="B1388" s="45" t="s">
        <v>2893</v>
      </c>
      <c r="C1388" s="45" t="s">
        <v>2945</v>
      </c>
      <c r="D1388" s="46">
        <v>37421.0</v>
      </c>
      <c r="E1388" s="46">
        <v>37406.0</v>
      </c>
    </row>
    <row r="1389">
      <c r="A1389" s="45">
        <v>27149.0</v>
      </c>
      <c r="B1389" s="45" t="s">
        <v>2893</v>
      </c>
      <c r="C1389" s="45" t="s">
        <v>2660</v>
      </c>
      <c r="D1389" s="46">
        <v>9728.0</v>
      </c>
      <c r="E1389" s="46">
        <v>9671.0</v>
      </c>
    </row>
    <row r="1390">
      <c r="A1390" s="45">
        <v>27151.0</v>
      </c>
      <c r="B1390" s="45" t="s">
        <v>2893</v>
      </c>
      <c r="C1390" s="45" t="s">
        <v>2946</v>
      </c>
      <c r="D1390" s="46">
        <v>9719.0</v>
      </c>
      <c r="E1390" s="46">
        <v>9838.0</v>
      </c>
    </row>
    <row r="1391">
      <c r="A1391" s="45">
        <v>27153.0</v>
      </c>
      <c r="B1391" s="45" t="s">
        <v>2893</v>
      </c>
      <c r="C1391" s="45" t="s">
        <v>2721</v>
      </c>
      <c r="D1391" s="46">
        <v>25667.0</v>
      </c>
      <c r="E1391" s="46">
        <v>25262.0</v>
      </c>
    </row>
    <row r="1392">
      <c r="A1392" s="45">
        <v>27155.0</v>
      </c>
      <c r="B1392" s="45" t="s">
        <v>2893</v>
      </c>
      <c r="C1392" s="45" t="s">
        <v>2947</v>
      </c>
      <c r="D1392" s="46">
        <v>3136.0</v>
      </c>
      <c r="E1392" s="46">
        <v>3360.0</v>
      </c>
    </row>
    <row r="1393">
      <c r="A1393" s="45">
        <v>27157.0</v>
      </c>
      <c r="B1393" s="45" t="s">
        <v>2893</v>
      </c>
      <c r="C1393" s="45" t="s">
        <v>2948</v>
      </c>
      <c r="D1393" s="46">
        <v>21683.0</v>
      </c>
      <c r="E1393" s="46">
        <v>21387.0</v>
      </c>
    </row>
    <row r="1394">
      <c r="A1394" s="45">
        <v>27159.0</v>
      </c>
      <c r="B1394" s="45" t="s">
        <v>2893</v>
      </c>
      <c r="C1394" s="45" t="s">
        <v>2949</v>
      </c>
      <c r="D1394" s="46">
        <v>14241.0</v>
      </c>
      <c r="E1394" s="46">
        <v>14065.0</v>
      </c>
    </row>
    <row r="1395">
      <c r="A1395" s="45">
        <v>27161.0</v>
      </c>
      <c r="B1395" s="45" t="s">
        <v>2893</v>
      </c>
      <c r="C1395" s="45" t="s">
        <v>2950</v>
      </c>
      <c r="D1395" s="46">
        <v>18981.0</v>
      </c>
      <c r="E1395" s="46">
        <v>18968.0</v>
      </c>
    </row>
    <row r="1396">
      <c r="A1396" s="45">
        <v>27163.0</v>
      </c>
      <c r="B1396" s="45" t="s">
        <v>2893</v>
      </c>
      <c r="C1396" s="45" t="s">
        <v>2059</v>
      </c>
      <c r="D1396" s="46">
        <v>278936.0</v>
      </c>
      <c r="E1396" s="46">
        <v>267568.0</v>
      </c>
    </row>
    <row r="1397">
      <c r="A1397" s="45">
        <v>27165.0</v>
      </c>
      <c r="B1397" s="45" t="s">
        <v>2893</v>
      </c>
      <c r="C1397" s="45" t="s">
        <v>2951</v>
      </c>
      <c r="D1397" s="46">
        <v>11077.0</v>
      </c>
      <c r="E1397" s="46">
        <v>11253.0</v>
      </c>
    </row>
    <row r="1398">
      <c r="A1398" s="45">
        <v>27167.0</v>
      </c>
      <c r="B1398" s="45" t="s">
        <v>2893</v>
      </c>
      <c r="C1398" s="45" t="s">
        <v>2952</v>
      </c>
      <c r="D1398" s="46">
        <v>6306.0</v>
      </c>
      <c r="E1398" s="46">
        <v>6506.0</v>
      </c>
    </row>
    <row r="1399">
      <c r="A1399" s="45">
        <v>27169.0</v>
      </c>
      <c r="B1399" s="45" t="s">
        <v>2893</v>
      </c>
      <c r="C1399" s="45" t="s">
        <v>2953</v>
      </c>
      <c r="D1399" s="46">
        <v>49721.0</v>
      </c>
      <c r="E1399" s="46">
        <v>49671.0</v>
      </c>
    </row>
    <row r="1400">
      <c r="A1400" s="45">
        <v>27171.0</v>
      </c>
      <c r="B1400" s="45" t="s">
        <v>2893</v>
      </c>
      <c r="C1400" s="45" t="s">
        <v>2600</v>
      </c>
      <c r="D1400" s="46">
        <v>151150.0</v>
      </c>
      <c r="E1400" s="46">
        <v>141337.0</v>
      </c>
    </row>
    <row r="1401">
      <c r="A1401" s="45">
        <v>27173.0</v>
      </c>
      <c r="B1401" s="45" t="s">
        <v>2893</v>
      </c>
      <c r="C1401" s="45" t="s">
        <v>2954</v>
      </c>
      <c r="D1401" s="46">
        <v>9467.0</v>
      </c>
      <c r="E1401" s="46">
        <v>9528.0</v>
      </c>
    </row>
    <row r="1402">
      <c r="A1402" s="45">
        <v>28001.0</v>
      </c>
      <c r="B1402" s="45" t="s">
        <v>2955</v>
      </c>
      <c r="C1402" s="45" t="s">
        <v>2195</v>
      </c>
      <c r="D1402" s="46">
        <v>28746.0</v>
      </c>
      <c r="E1402" s="46">
        <v>29538.0</v>
      </c>
    </row>
    <row r="1403">
      <c r="A1403" s="45">
        <v>28003.0</v>
      </c>
      <c r="B1403" s="45" t="s">
        <v>2955</v>
      </c>
      <c r="C1403" s="45" t="s">
        <v>2956</v>
      </c>
      <c r="D1403" s="46">
        <v>34135.0</v>
      </c>
      <c r="E1403" s="46">
        <v>34740.0</v>
      </c>
    </row>
    <row r="1404">
      <c r="A1404" s="45">
        <v>28005.0</v>
      </c>
      <c r="B1404" s="45" t="s">
        <v>2955</v>
      </c>
      <c r="C1404" s="45" t="s">
        <v>2957</v>
      </c>
      <c r="D1404" s="46">
        <v>12442.0</v>
      </c>
      <c r="E1404" s="46">
        <v>12720.0</v>
      </c>
    </row>
    <row r="1405">
      <c r="A1405" s="45">
        <v>28007.0</v>
      </c>
      <c r="B1405" s="45" t="s">
        <v>2955</v>
      </c>
      <c r="C1405" s="45" t="s">
        <v>2958</v>
      </c>
      <c r="D1405" s="46">
        <v>17359.0</v>
      </c>
      <c r="E1405" s="46">
        <v>17889.0</v>
      </c>
    </row>
    <row r="1406">
      <c r="A1406" s="45">
        <v>28009.0</v>
      </c>
      <c r="B1406" s="45" t="s">
        <v>2955</v>
      </c>
      <c r="C1406" s="45" t="s">
        <v>2083</v>
      </c>
      <c r="D1406" s="46">
        <v>7438.0</v>
      </c>
      <c r="E1406" s="46">
        <v>7646.0</v>
      </c>
    </row>
    <row r="1407">
      <c r="A1407" s="45">
        <v>28011.0</v>
      </c>
      <c r="B1407" s="45" t="s">
        <v>2955</v>
      </c>
      <c r="C1407" s="45" t="s">
        <v>2959</v>
      </c>
      <c r="D1407" s="46">
        <v>28968.0</v>
      </c>
      <c r="E1407" s="46">
        <v>30985.0</v>
      </c>
    </row>
    <row r="1408">
      <c r="A1408" s="45">
        <v>28013.0</v>
      </c>
      <c r="B1408" s="45" t="s">
        <v>2955</v>
      </c>
      <c r="C1408" s="45" t="s">
        <v>2002</v>
      </c>
      <c r="D1408" s="46">
        <v>12685.0</v>
      </c>
      <c r="E1408" s="46">
        <v>13266.0</v>
      </c>
    </row>
    <row r="1409">
      <c r="A1409" s="45">
        <v>28015.0</v>
      </c>
      <c r="B1409" s="45" t="s">
        <v>2955</v>
      </c>
      <c r="C1409" s="45" t="s">
        <v>2086</v>
      </c>
      <c r="D1409" s="46">
        <v>9535.0</v>
      </c>
      <c r="E1409" s="46">
        <v>9998.0</v>
      </c>
    </row>
    <row r="1410">
      <c r="A1410" s="45">
        <v>28017.0</v>
      </c>
      <c r="B1410" s="45" t="s">
        <v>2955</v>
      </c>
      <c r="C1410" s="45" t="s">
        <v>2566</v>
      </c>
      <c r="D1410" s="46">
        <v>16866.0</v>
      </c>
      <c r="E1410" s="46">
        <v>17106.0</v>
      </c>
    </row>
    <row r="1411">
      <c r="A1411" s="45">
        <v>28019.0</v>
      </c>
      <c r="B1411" s="45" t="s">
        <v>2955</v>
      </c>
      <c r="C1411" s="45" t="s">
        <v>2006</v>
      </c>
      <c r="D1411" s="46">
        <v>8088.0</v>
      </c>
      <c r="E1411" s="46">
        <v>8246.0</v>
      </c>
    </row>
    <row r="1412">
      <c r="A1412" s="45">
        <v>28021.0</v>
      </c>
      <c r="B1412" s="45" t="s">
        <v>2955</v>
      </c>
      <c r="C1412" s="45" t="s">
        <v>2960</v>
      </c>
      <c r="D1412" s="46">
        <v>8617.0</v>
      </c>
      <c r="E1412" s="46">
        <v>9135.0</v>
      </c>
    </row>
    <row r="1413">
      <c r="A1413" s="45">
        <v>28023.0</v>
      </c>
      <c r="B1413" s="45" t="s">
        <v>2955</v>
      </c>
      <c r="C1413" s="45" t="s">
        <v>2007</v>
      </c>
      <c r="D1413" s="46">
        <v>15228.0</v>
      </c>
      <c r="E1413" s="46">
        <v>15615.0</v>
      </c>
    </row>
    <row r="1414">
      <c r="A1414" s="45">
        <v>28025.0</v>
      </c>
      <c r="B1414" s="45" t="s">
        <v>2955</v>
      </c>
      <c r="C1414" s="45" t="s">
        <v>2008</v>
      </c>
      <c r="D1414" s="46">
        <v>18206.0</v>
      </c>
      <c r="E1414" s="46">
        <v>18636.0</v>
      </c>
    </row>
    <row r="1415">
      <c r="A1415" s="45">
        <v>28027.0</v>
      </c>
      <c r="B1415" s="45" t="s">
        <v>2955</v>
      </c>
      <c r="C1415" s="45" t="s">
        <v>2961</v>
      </c>
      <c r="D1415" s="46">
        <v>20077.0</v>
      </c>
      <c r="E1415" s="46">
        <v>21390.0</v>
      </c>
    </row>
    <row r="1416">
      <c r="A1416" s="45">
        <v>28029.0</v>
      </c>
      <c r="B1416" s="45" t="s">
        <v>2955</v>
      </c>
      <c r="C1416" s="45" t="s">
        <v>2962</v>
      </c>
      <c r="D1416" s="46">
        <v>27664.0</v>
      </c>
      <c r="E1416" s="46">
        <v>28368.0</v>
      </c>
    </row>
    <row r="1417">
      <c r="A1417" s="45">
        <v>28031.0</v>
      </c>
      <c r="B1417" s="45" t="s">
        <v>2955</v>
      </c>
      <c r="C1417" s="45" t="s">
        <v>2014</v>
      </c>
      <c r="D1417" s="46">
        <v>18059.0</v>
      </c>
      <c r="E1417" s="46">
        <v>18340.0</v>
      </c>
    </row>
    <row r="1418">
      <c r="A1418" s="45">
        <v>28033.0</v>
      </c>
      <c r="B1418" s="45" t="s">
        <v>2955</v>
      </c>
      <c r="C1418" s="45" t="s">
        <v>2274</v>
      </c>
      <c r="D1418" s="46">
        <v>193247.0</v>
      </c>
      <c r="E1418" s="46">
        <v>185314.0</v>
      </c>
    </row>
    <row r="1419">
      <c r="A1419" s="45">
        <v>28035.0</v>
      </c>
      <c r="B1419" s="45" t="s">
        <v>2955</v>
      </c>
      <c r="C1419" s="45" t="s">
        <v>2963</v>
      </c>
      <c r="D1419" s="46">
        <v>78208.0</v>
      </c>
      <c r="E1419" s="46">
        <v>78158.0</v>
      </c>
    </row>
    <row r="1420">
      <c r="A1420" s="45">
        <v>28037.0</v>
      </c>
      <c r="B1420" s="45" t="s">
        <v>2955</v>
      </c>
      <c r="C1420" s="45" t="s">
        <v>2024</v>
      </c>
      <c r="D1420" s="46">
        <v>7610.0</v>
      </c>
      <c r="E1420" s="46">
        <v>7675.0</v>
      </c>
    </row>
    <row r="1421">
      <c r="A1421" s="45">
        <v>28039.0</v>
      </c>
      <c r="B1421" s="45" t="s">
        <v>2955</v>
      </c>
      <c r="C1421" s="45" t="s">
        <v>2964</v>
      </c>
      <c r="D1421" s="46">
        <v>25619.0</v>
      </c>
      <c r="E1421" s="46">
        <v>24350.0</v>
      </c>
    </row>
    <row r="1422">
      <c r="A1422" s="45">
        <v>28041.0</v>
      </c>
      <c r="B1422" s="45" t="s">
        <v>2955</v>
      </c>
      <c r="C1422" s="45" t="s">
        <v>2026</v>
      </c>
      <c r="D1422" s="46">
        <v>13601.0</v>
      </c>
      <c r="E1422" s="46">
        <v>13530.0</v>
      </c>
    </row>
    <row r="1423">
      <c r="A1423" s="45">
        <v>28043.0</v>
      </c>
      <c r="B1423" s="45" t="s">
        <v>2955</v>
      </c>
      <c r="C1423" s="45" t="s">
        <v>2965</v>
      </c>
      <c r="D1423" s="46">
        <v>21065.0</v>
      </c>
      <c r="E1423" s="46">
        <v>21629.0</v>
      </c>
    </row>
    <row r="1424">
      <c r="A1424" s="45">
        <v>28045.0</v>
      </c>
      <c r="B1424" s="45" t="s">
        <v>2955</v>
      </c>
      <c r="C1424" s="45" t="s">
        <v>2366</v>
      </c>
      <c r="D1424" s="46">
        <v>46159.0</v>
      </c>
      <c r="E1424" s="46">
        <v>46053.0</v>
      </c>
    </row>
    <row r="1425">
      <c r="A1425" s="45">
        <v>28047.0</v>
      </c>
      <c r="B1425" s="45" t="s">
        <v>2955</v>
      </c>
      <c r="C1425" s="45" t="s">
        <v>2524</v>
      </c>
      <c r="D1425" s="46">
        <v>210612.0</v>
      </c>
      <c r="E1425" s="46">
        <v>208621.0</v>
      </c>
    </row>
    <row r="1426">
      <c r="A1426" s="45">
        <v>28049.0</v>
      </c>
      <c r="B1426" s="45" t="s">
        <v>2955</v>
      </c>
      <c r="C1426" s="45" t="s">
        <v>2966</v>
      </c>
      <c r="D1426" s="46">
        <v>214870.0</v>
      </c>
      <c r="E1426" s="46">
        <v>227742.0</v>
      </c>
    </row>
    <row r="1427">
      <c r="A1427" s="45">
        <v>28051.0</v>
      </c>
      <c r="B1427" s="45" t="s">
        <v>2955</v>
      </c>
      <c r="C1427" s="45" t="s">
        <v>2288</v>
      </c>
      <c r="D1427" s="46">
        <v>15777.0</v>
      </c>
      <c r="E1427" s="46">
        <v>17000.0</v>
      </c>
    </row>
    <row r="1428">
      <c r="A1428" s="45">
        <v>28053.0</v>
      </c>
      <c r="B1428" s="45" t="s">
        <v>2955</v>
      </c>
      <c r="C1428" s="45" t="s">
        <v>2967</v>
      </c>
      <c r="D1428" s="46">
        <v>7216.0</v>
      </c>
      <c r="E1428" s="46">
        <v>7785.0</v>
      </c>
    </row>
    <row r="1429">
      <c r="A1429" s="45">
        <v>28055.0</v>
      </c>
      <c r="B1429" s="45" t="s">
        <v>2955</v>
      </c>
      <c r="C1429" s="45" t="s">
        <v>2968</v>
      </c>
      <c r="D1429" s="46">
        <v>1256.0</v>
      </c>
      <c r="E1429" s="46">
        <v>1338.0</v>
      </c>
    </row>
    <row r="1430">
      <c r="A1430" s="45">
        <v>28057.0</v>
      </c>
      <c r="B1430" s="45" t="s">
        <v>2955</v>
      </c>
      <c r="C1430" s="45" t="s">
        <v>2969</v>
      </c>
      <c r="D1430" s="46">
        <v>24093.0</v>
      </c>
      <c r="E1430" s="46">
        <v>23863.0</v>
      </c>
    </row>
    <row r="1431">
      <c r="A1431" s="45">
        <v>28059.0</v>
      </c>
      <c r="B1431" s="45" t="s">
        <v>2955</v>
      </c>
      <c r="C1431" s="45" t="s">
        <v>2030</v>
      </c>
      <c r="D1431" s="46">
        <v>146389.0</v>
      </c>
      <c r="E1431" s="46">
        <v>143252.0</v>
      </c>
    </row>
    <row r="1432">
      <c r="A1432" s="45">
        <v>28061.0</v>
      </c>
      <c r="B1432" s="45" t="s">
        <v>2955</v>
      </c>
      <c r="C1432" s="45" t="s">
        <v>2372</v>
      </c>
      <c r="D1432" s="46">
        <v>16013.0</v>
      </c>
      <c r="E1432" s="46">
        <v>16367.0</v>
      </c>
    </row>
    <row r="1433">
      <c r="A1433" s="45">
        <v>28063.0</v>
      </c>
      <c r="B1433" s="45" t="s">
        <v>2955</v>
      </c>
      <c r="C1433" s="45" t="s">
        <v>2031</v>
      </c>
      <c r="D1433" s="46">
        <v>6941.0</v>
      </c>
      <c r="E1433" s="46">
        <v>7260.0</v>
      </c>
    </row>
    <row r="1434">
      <c r="A1434" s="45">
        <v>28065.0</v>
      </c>
      <c r="B1434" s="45" t="s">
        <v>2955</v>
      </c>
      <c r="C1434" s="45" t="s">
        <v>2970</v>
      </c>
      <c r="D1434" s="46">
        <v>10969.0</v>
      </c>
      <c r="E1434" s="46">
        <v>11321.0</v>
      </c>
    </row>
    <row r="1435">
      <c r="A1435" s="45">
        <v>28067.0</v>
      </c>
      <c r="B1435" s="45" t="s">
        <v>2955</v>
      </c>
      <c r="C1435" s="45" t="s">
        <v>2375</v>
      </c>
      <c r="D1435" s="46">
        <v>66250.0</v>
      </c>
      <c r="E1435" s="46">
        <v>67246.0</v>
      </c>
    </row>
    <row r="1436">
      <c r="A1436" s="45">
        <v>28069.0</v>
      </c>
      <c r="B1436" s="45" t="s">
        <v>2955</v>
      </c>
      <c r="C1436" s="45" t="s">
        <v>2971</v>
      </c>
      <c r="D1436" s="46">
        <v>8584.0</v>
      </c>
      <c r="E1436" s="46">
        <v>8988.0</v>
      </c>
    </row>
    <row r="1437">
      <c r="A1437" s="45">
        <v>28071.0</v>
      </c>
      <c r="B1437" s="45" t="s">
        <v>2955</v>
      </c>
      <c r="C1437" s="45" t="s">
        <v>2108</v>
      </c>
      <c r="D1437" s="46">
        <v>58467.0</v>
      </c>
      <c r="E1437" s="46">
        <v>55813.0</v>
      </c>
    </row>
    <row r="1438">
      <c r="A1438" s="45">
        <v>28073.0</v>
      </c>
      <c r="B1438" s="45" t="s">
        <v>2955</v>
      </c>
      <c r="C1438" s="45" t="s">
        <v>2032</v>
      </c>
      <c r="D1438" s="46">
        <v>66217.0</v>
      </c>
      <c r="E1438" s="46">
        <v>64222.0</v>
      </c>
    </row>
    <row r="1439">
      <c r="A1439" s="45">
        <v>28075.0</v>
      </c>
      <c r="B1439" s="45" t="s">
        <v>2955</v>
      </c>
      <c r="C1439" s="45" t="s">
        <v>2033</v>
      </c>
      <c r="D1439" s="46">
        <v>70527.0</v>
      </c>
      <c r="E1439" s="46">
        <v>72984.0</v>
      </c>
    </row>
    <row r="1440">
      <c r="A1440" s="45">
        <v>28077.0</v>
      </c>
      <c r="B1440" s="45" t="s">
        <v>2955</v>
      </c>
      <c r="C1440" s="45" t="s">
        <v>2034</v>
      </c>
      <c r="D1440" s="46">
        <v>11741.0</v>
      </c>
      <c r="E1440" s="46">
        <v>12016.0</v>
      </c>
    </row>
    <row r="1441">
      <c r="A1441" s="45">
        <v>28079.0</v>
      </c>
      <c r="B1441" s="45" t="s">
        <v>2955</v>
      </c>
      <c r="C1441" s="45" t="s">
        <v>2972</v>
      </c>
      <c r="D1441" s="46">
        <v>21258.0</v>
      </c>
      <c r="E1441" s="46">
        <v>21275.0</v>
      </c>
    </row>
    <row r="1442">
      <c r="A1442" s="45">
        <v>28081.0</v>
      </c>
      <c r="B1442" s="45" t="s">
        <v>2955</v>
      </c>
      <c r="C1442" s="45" t="s">
        <v>2035</v>
      </c>
      <c r="D1442" s="46">
        <v>82799.0</v>
      </c>
      <c r="E1442" s="46">
        <v>83343.0</v>
      </c>
    </row>
    <row r="1443">
      <c r="A1443" s="45">
        <v>28083.0</v>
      </c>
      <c r="B1443" s="45" t="s">
        <v>2955</v>
      </c>
      <c r="C1443" s="45" t="s">
        <v>2973</v>
      </c>
      <c r="D1443" s="46">
        <v>26378.0</v>
      </c>
      <c r="E1443" s="46">
        <v>28339.0</v>
      </c>
    </row>
    <row r="1444">
      <c r="A1444" s="45">
        <v>28085.0</v>
      </c>
      <c r="B1444" s="45" t="s">
        <v>2955</v>
      </c>
      <c r="C1444" s="45" t="s">
        <v>2109</v>
      </c>
      <c r="D1444" s="46">
        <v>34702.0</v>
      </c>
      <c r="E1444" s="46">
        <v>34907.0</v>
      </c>
    </row>
    <row r="1445">
      <c r="A1445" s="45">
        <v>28087.0</v>
      </c>
      <c r="B1445" s="45" t="s">
        <v>2955</v>
      </c>
      <c r="C1445" s="45" t="s">
        <v>2037</v>
      </c>
      <c r="D1445" s="46">
        <v>57283.0</v>
      </c>
      <c r="E1445" s="46">
        <v>58879.0</v>
      </c>
    </row>
    <row r="1446">
      <c r="A1446" s="45">
        <v>28089.0</v>
      </c>
      <c r="B1446" s="45" t="s">
        <v>2955</v>
      </c>
      <c r="C1446" s="45" t="s">
        <v>2039</v>
      </c>
      <c r="D1446" s="46">
        <v>112511.0</v>
      </c>
      <c r="E1446" s="46">
        <v>109145.0</v>
      </c>
    </row>
    <row r="1447">
      <c r="A1447" s="45">
        <v>28091.0</v>
      </c>
      <c r="B1447" s="45" t="s">
        <v>2955</v>
      </c>
      <c r="C1447" s="45" t="s">
        <v>2041</v>
      </c>
      <c r="D1447" s="46">
        <v>24224.0</v>
      </c>
      <c r="E1447" s="46">
        <v>24441.0</v>
      </c>
    </row>
    <row r="1448">
      <c r="A1448" s="45">
        <v>28093.0</v>
      </c>
      <c r="B1448" s="45" t="s">
        <v>2955</v>
      </c>
      <c r="C1448" s="45" t="s">
        <v>2042</v>
      </c>
      <c r="D1448" s="46">
        <v>34123.0</v>
      </c>
      <c r="E1448" s="46">
        <v>33752.0</v>
      </c>
    </row>
    <row r="1449">
      <c r="A1449" s="45">
        <v>28095.0</v>
      </c>
      <c r="B1449" s="45" t="s">
        <v>2955</v>
      </c>
      <c r="C1449" s="45" t="s">
        <v>2044</v>
      </c>
      <c r="D1449" s="46">
        <v>33609.0</v>
      </c>
      <c r="E1449" s="46">
        <v>34180.0</v>
      </c>
    </row>
    <row r="1450">
      <c r="A1450" s="45">
        <v>28097.0</v>
      </c>
      <c r="B1450" s="45" t="s">
        <v>2955</v>
      </c>
      <c r="C1450" s="45" t="s">
        <v>2045</v>
      </c>
      <c r="D1450" s="46">
        <v>9600.0</v>
      </c>
      <c r="E1450" s="46">
        <v>9822.0</v>
      </c>
    </row>
    <row r="1451">
      <c r="A1451" s="45">
        <v>28099.0</v>
      </c>
      <c r="B1451" s="45" t="s">
        <v>2955</v>
      </c>
      <c r="C1451" s="45" t="s">
        <v>2974</v>
      </c>
      <c r="D1451" s="46">
        <v>28789.0</v>
      </c>
      <c r="E1451" s="46">
        <v>29087.0</v>
      </c>
    </row>
    <row r="1452">
      <c r="A1452" s="45">
        <v>28101.0</v>
      </c>
      <c r="B1452" s="45" t="s">
        <v>2955</v>
      </c>
      <c r="C1452" s="45" t="s">
        <v>2116</v>
      </c>
      <c r="D1452" s="46">
        <v>21019.0</v>
      </c>
      <c r="E1452" s="46">
        <v>21291.0</v>
      </c>
    </row>
    <row r="1453">
      <c r="A1453" s="45">
        <v>28103.0</v>
      </c>
      <c r="B1453" s="45" t="s">
        <v>2955</v>
      </c>
      <c r="C1453" s="45" t="s">
        <v>2975</v>
      </c>
      <c r="D1453" s="46">
        <v>9914.0</v>
      </c>
      <c r="E1453" s="46">
        <v>10285.0</v>
      </c>
    </row>
    <row r="1454">
      <c r="A1454" s="45">
        <v>28105.0</v>
      </c>
      <c r="B1454" s="45" t="s">
        <v>2955</v>
      </c>
      <c r="C1454" s="45" t="s">
        <v>2976</v>
      </c>
      <c r="D1454" s="46">
        <v>51203.0</v>
      </c>
      <c r="E1454" s="46">
        <v>51788.0</v>
      </c>
    </row>
    <row r="1455">
      <c r="A1455" s="45">
        <v>28107.0</v>
      </c>
      <c r="B1455" s="45" t="s">
        <v>2955</v>
      </c>
      <c r="C1455" s="45" t="s">
        <v>2977</v>
      </c>
      <c r="D1455" s="46">
        <v>32669.0</v>
      </c>
      <c r="E1455" s="46">
        <v>33208.0</v>
      </c>
    </row>
    <row r="1456">
      <c r="A1456" s="45">
        <v>28109.0</v>
      </c>
      <c r="B1456" s="45" t="s">
        <v>2955</v>
      </c>
      <c r="C1456" s="45" t="s">
        <v>2978</v>
      </c>
      <c r="D1456" s="46">
        <v>57978.0</v>
      </c>
      <c r="E1456" s="46">
        <v>56145.0</v>
      </c>
    </row>
    <row r="1457">
      <c r="A1457" s="45">
        <v>28111.0</v>
      </c>
      <c r="B1457" s="45" t="s">
        <v>2955</v>
      </c>
      <c r="C1457" s="45" t="s">
        <v>2047</v>
      </c>
      <c r="D1457" s="46">
        <v>11315.0</v>
      </c>
      <c r="E1457" s="46">
        <v>11511.0</v>
      </c>
    </row>
    <row r="1458">
      <c r="A1458" s="45">
        <v>28113.0</v>
      </c>
      <c r="B1458" s="45" t="s">
        <v>2955</v>
      </c>
      <c r="C1458" s="45" t="s">
        <v>2049</v>
      </c>
      <c r="D1458" s="46">
        <v>39394.0</v>
      </c>
      <c r="E1458" s="46">
        <v>40324.0</v>
      </c>
    </row>
    <row r="1459">
      <c r="A1459" s="45">
        <v>28115.0</v>
      </c>
      <c r="B1459" s="45" t="s">
        <v>2955</v>
      </c>
      <c r="C1459" s="45" t="s">
        <v>2979</v>
      </c>
      <c r="D1459" s="46">
        <v>31535.0</v>
      </c>
      <c r="E1459" s="46">
        <v>31184.0</v>
      </c>
    </row>
    <row r="1460">
      <c r="A1460" s="45">
        <v>28117.0</v>
      </c>
      <c r="B1460" s="45" t="s">
        <v>2955</v>
      </c>
      <c r="C1460" s="45" t="s">
        <v>2980</v>
      </c>
      <c r="D1460" s="46">
        <v>25135.0</v>
      </c>
      <c r="E1460" s="46">
        <v>25008.0</v>
      </c>
    </row>
    <row r="1461">
      <c r="A1461" s="45">
        <v>28119.0</v>
      </c>
      <c r="B1461" s="45" t="s">
        <v>2955</v>
      </c>
      <c r="C1461" s="45" t="s">
        <v>2391</v>
      </c>
      <c r="D1461" s="46">
        <v>5546.0</v>
      </c>
      <c r="E1461" s="46">
        <v>6176.0</v>
      </c>
    </row>
    <row r="1462">
      <c r="A1462" s="45">
        <v>28121.0</v>
      </c>
      <c r="B1462" s="45" t="s">
        <v>2955</v>
      </c>
      <c r="C1462" s="45" t="s">
        <v>2981</v>
      </c>
      <c r="D1462" s="46">
        <v>160417.0</v>
      </c>
      <c r="E1462" s="46">
        <v>157031.0</v>
      </c>
    </row>
    <row r="1463">
      <c r="A1463" s="45">
        <v>28123.0</v>
      </c>
      <c r="B1463" s="45" t="s">
        <v>2955</v>
      </c>
      <c r="C1463" s="45" t="s">
        <v>2126</v>
      </c>
      <c r="D1463" s="46">
        <v>27507.0</v>
      </c>
      <c r="E1463" s="46">
        <v>27990.0</v>
      </c>
    </row>
    <row r="1464">
      <c r="A1464" s="45">
        <v>28125.0</v>
      </c>
      <c r="B1464" s="45" t="s">
        <v>2955</v>
      </c>
      <c r="C1464" s="45" t="s">
        <v>2982</v>
      </c>
      <c r="D1464" s="46">
        <v>3336.0</v>
      </c>
      <c r="E1464" s="46">
        <v>3800.0</v>
      </c>
    </row>
    <row r="1465">
      <c r="A1465" s="45">
        <v>28127.0</v>
      </c>
      <c r="B1465" s="45" t="s">
        <v>2955</v>
      </c>
      <c r="C1465" s="45" t="s">
        <v>2720</v>
      </c>
      <c r="D1465" s="46">
        <v>25715.0</v>
      </c>
      <c r="E1465" s="46">
        <v>25949.0</v>
      </c>
    </row>
    <row r="1466">
      <c r="A1466" s="45">
        <v>28129.0</v>
      </c>
      <c r="B1466" s="45" t="s">
        <v>2955</v>
      </c>
      <c r="C1466" s="45" t="s">
        <v>2657</v>
      </c>
      <c r="D1466" s="46">
        <v>14099.0</v>
      </c>
      <c r="E1466" s="46">
        <v>14209.0</v>
      </c>
    </row>
    <row r="1467">
      <c r="A1467" s="45">
        <v>28131.0</v>
      </c>
      <c r="B1467" s="45" t="s">
        <v>2955</v>
      </c>
      <c r="C1467" s="45" t="s">
        <v>2131</v>
      </c>
      <c r="D1467" s="46">
        <v>18756.0</v>
      </c>
      <c r="E1467" s="46">
        <v>18333.0</v>
      </c>
    </row>
    <row r="1468">
      <c r="A1468" s="45">
        <v>28133.0</v>
      </c>
      <c r="B1468" s="45" t="s">
        <v>2955</v>
      </c>
      <c r="C1468" s="45" t="s">
        <v>2983</v>
      </c>
      <c r="D1468" s="46">
        <v>24468.0</v>
      </c>
      <c r="E1468" s="46">
        <v>25971.0</v>
      </c>
    </row>
    <row r="1469">
      <c r="A1469" s="45">
        <v>28135.0</v>
      </c>
      <c r="B1469" s="45" t="s">
        <v>2955</v>
      </c>
      <c r="C1469" s="45" t="s">
        <v>2984</v>
      </c>
      <c r="D1469" s="46">
        <v>11837.0</v>
      </c>
      <c r="E1469" s="46">
        <v>12715.0</v>
      </c>
    </row>
    <row r="1470">
      <c r="A1470" s="45">
        <v>28137.0</v>
      </c>
      <c r="B1470" s="45" t="s">
        <v>2955</v>
      </c>
      <c r="C1470" s="45" t="s">
        <v>2985</v>
      </c>
      <c r="D1470" s="46">
        <v>28261.0</v>
      </c>
      <c r="E1470" s="46">
        <v>28064.0</v>
      </c>
    </row>
    <row r="1471">
      <c r="A1471" s="45">
        <v>28139.0</v>
      </c>
      <c r="B1471" s="45" t="s">
        <v>2955</v>
      </c>
      <c r="C1471" s="45" t="s">
        <v>2986</v>
      </c>
      <c r="D1471" s="46">
        <v>21287.0</v>
      </c>
      <c r="E1471" s="46">
        <v>21815.0</v>
      </c>
    </row>
    <row r="1472">
      <c r="A1472" s="45">
        <v>28141.0</v>
      </c>
      <c r="B1472" s="45" t="s">
        <v>2955</v>
      </c>
      <c r="C1472" s="45" t="s">
        <v>2987</v>
      </c>
      <c r="D1472" s="46">
        <v>18507.0</v>
      </c>
      <c r="E1472" s="46">
        <v>18850.0</v>
      </c>
    </row>
    <row r="1473">
      <c r="A1473" s="45">
        <v>28143.0</v>
      </c>
      <c r="B1473" s="45" t="s">
        <v>2955</v>
      </c>
      <c r="C1473" s="45" t="s">
        <v>2988</v>
      </c>
      <c r="D1473" s="46">
        <v>9234.0</v>
      </c>
      <c r="E1473" s="46">
        <v>9782.0</v>
      </c>
    </row>
    <row r="1474">
      <c r="A1474" s="45">
        <v>28145.0</v>
      </c>
      <c r="B1474" s="45" t="s">
        <v>2955</v>
      </c>
      <c r="C1474" s="45" t="s">
        <v>2132</v>
      </c>
      <c r="D1474" s="46">
        <v>28284.0</v>
      </c>
      <c r="E1474" s="46">
        <v>27777.0</v>
      </c>
    </row>
    <row r="1475">
      <c r="A1475" s="45">
        <v>28147.0</v>
      </c>
      <c r="B1475" s="45" t="s">
        <v>2955</v>
      </c>
      <c r="C1475" s="45" t="s">
        <v>2989</v>
      </c>
      <c r="D1475" s="46">
        <v>13863.0</v>
      </c>
      <c r="E1475" s="46">
        <v>13884.0</v>
      </c>
    </row>
    <row r="1476">
      <c r="A1476" s="45">
        <v>28149.0</v>
      </c>
      <c r="B1476" s="45" t="s">
        <v>2955</v>
      </c>
      <c r="C1476" s="45" t="s">
        <v>2415</v>
      </c>
      <c r="D1476" s="46">
        <v>42298.0</v>
      </c>
      <c r="E1476" s="46">
        <v>44722.0</v>
      </c>
    </row>
    <row r="1477">
      <c r="A1477" s="45">
        <v>28151.0</v>
      </c>
      <c r="B1477" s="45" t="s">
        <v>2955</v>
      </c>
      <c r="C1477" s="45" t="s">
        <v>2059</v>
      </c>
      <c r="D1477" s="46">
        <v>41946.0</v>
      </c>
      <c r="E1477" s="46">
        <v>44922.0</v>
      </c>
    </row>
    <row r="1478">
      <c r="A1478" s="45">
        <v>28153.0</v>
      </c>
      <c r="B1478" s="45" t="s">
        <v>2955</v>
      </c>
      <c r="C1478" s="45" t="s">
        <v>2416</v>
      </c>
      <c r="D1478" s="46">
        <v>19703.0</v>
      </c>
      <c r="E1478" s="46">
        <v>19779.0</v>
      </c>
    </row>
    <row r="1479">
      <c r="A1479" s="45">
        <v>28155.0</v>
      </c>
      <c r="B1479" s="45" t="s">
        <v>2955</v>
      </c>
      <c r="C1479" s="45" t="s">
        <v>2417</v>
      </c>
      <c r="D1479" s="46">
        <v>9988.0</v>
      </c>
      <c r="E1479" s="46">
        <v>9926.0</v>
      </c>
    </row>
    <row r="1480">
      <c r="A1480" s="45">
        <v>28157.0</v>
      </c>
      <c r="B1480" s="45" t="s">
        <v>2955</v>
      </c>
      <c r="C1480" s="45" t="s">
        <v>2421</v>
      </c>
      <c r="D1480" s="46">
        <v>8058.0</v>
      </c>
      <c r="E1480" s="46">
        <v>8587.0</v>
      </c>
    </row>
    <row r="1481">
      <c r="A1481" s="45">
        <v>28159.0</v>
      </c>
      <c r="B1481" s="45" t="s">
        <v>2955</v>
      </c>
      <c r="C1481" s="45" t="s">
        <v>2061</v>
      </c>
      <c r="D1481" s="46">
        <v>17416.0</v>
      </c>
      <c r="E1481" s="46">
        <v>17714.0</v>
      </c>
    </row>
    <row r="1482">
      <c r="A1482" s="45">
        <v>28161.0</v>
      </c>
      <c r="B1482" s="45" t="s">
        <v>2955</v>
      </c>
      <c r="C1482" s="45" t="s">
        <v>2990</v>
      </c>
      <c r="D1482" s="46">
        <v>12386.0</v>
      </c>
      <c r="E1482" s="46">
        <v>12481.0</v>
      </c>
    </row>
    <row r="1483">
      <c r="A1483" s="45">
        <v>28163.0</v>
      </c>
      <c r="B1483" s="45" t="s">
        <v>2955</v>
      </c>
      <c r="C1483" s="45" t="s">
        <v>2991</v>
      </c>
      <c r="D1483" s="46">
        <v>25796.0</v>
      </c>
      <c r="E1483" s="46">
        <v>26743.0</v>
      </c>
    </row>
    <row r="1484">
      <c r="A1484" s="45">
        <v>29001.0</v>
      </c>
      <c r="B1484" s="45" t="s">
        <v>2992</v>
      </c>
      <c r="C1484" s="45" t="s">
        <v>2556</v>
      </c>
      <c r="D1484" s="46">
        <v>25122.0</v>
      </c>
      <c r="E1484" s="46">
        <v>25314.0</v>
      </c>
    </row>
    <row r="1485">
      <c r="A1485" s="45">
        <v>29003.0</v>
      </c>
      <c r="B1485" s="45" t="s">
        <v>2992</v>
      </c>
      <c r="C1485" s="45" t="s">
        <v>2993</v>
      </c>
      <c r="D1485" s="46">
        <v>18127.0</v>
      </c>
      <c r="E1485" s="46">
        <v>18135.0</v>
      </c>
    </row>
    <row r="1486">
      <c r="A1486" s="45">
        <v>29005.0</v>
      </c>
      <c r="B1486" s="45" t="s">
        <v>2992</v>
      </c>
      <c r="C1486" s="45" t="s">
        <v>2603</v>
      </c>
      <c r="D1486" s="46">
        <v>5107.0</v>
      </c>
      <c r="E1486" s="46">
        <v>5305.0</v>
      </c>
    </row>
    <row r="1487">
      <c r="A1487" s="45">
        <v>29007.0</v>
      </c>
      <c r="B1487" s="45" t="s">
        <v>2992</v>
      </c>
      <c r="C1487" s="45" t="s">
        <v>2994</v>
      </c>
      <c r="D1487" s="46">
        <v>24394.0</v>
      </c>
      <c r="E1487" s="46">
        <v>24962.0</v>
      </c>
    </row>
    <row r="1488">
      <c r="A1488" s="45">
        <v>29009.0</v>
      </c>
      <c r="B1488" s="45" t="s">
        <v>2992</v>
      </c>
      <c r="C1488" s="45" t="s">
        <v>2838</v>
      </c>
      <c r="D1488" s="46">
        <v>35265.0</v>
      </c>
      <c r="E1488" s="46">
        <v>34534.0</v>
      </c>
    </row>
    <row r="1489">
      <c r="A1489" s="45">
        <v>29011.0</v>
      </c>
      <c r="B1489" s="45" t="s">
        <v>2992</v>
      </c>
      <c r="C1489" s="45" t="s">
        <v>2605</v>
      </c>
      <c r="D1489" s="46">
        <v>11731.0</v>
      </c>
      <c r="E1489" s="46">
        <v>11637.0</v>
      </c>
    </row>
    <row r="1490">
      <c r="A1490" s="45">
        <v>29013.0</v>
      </c>
      <c r="B1490" s="45" t="s">
        <v>2992</v>
      </c>
      <c r="C1490" s="45" t="s">
        <v>2995</v>
      </c>
      <c r="D1490" s="46">
        <v>16242.0</v>
      </c>
      <c r="E1490" s="46">
        <v>16042.0</v>
      </c>
    </row>
    <row r="1491">
      <c r="A1491" s="45">
        <v>29015.0</v>
      </c>
      <c r="B1491" s="45" t="s">
        <v>2992</v>
      </c>
      <c r="C1491" s="45" t="s">
        <v>2083</v>
      </c>
      <c r="D1491" s="46">
        <v>20552.0</v>
      </c>
      <c r="E1491" s="46">
        <v>19394.0</v>
      </c>
    </row>
    <row r="1492">
      <c r="A1492" s="45">
        <v>29017.0</v>
      </c>
      <c r="B1492" s="45" t="s">
        <v>2992</v>
      </c>
      <c r="C1492" s="45" t="s">
        <v>2996</v>
      </c>
      <c r="D1492" s="46">
        <v>10544.0</v>
      </c>
      <c r="E1492" s="46">
        <v>10567.0</v>
      </c>
    </row>
    <row r="1493">
      <c r="A1493" s="45">
        <v>29019.0</v>
      </c>
      <c r="B1493" s="45" t="s">
        <v>2992</v>
      </c>
      <c r="C1493" s="45" t="s">
        <v>2084</v>
      </c>
      <c r="D1493" s="46">
        <v>189463.0</v>
      </c>
      <c r="E1493" s="46">
        <v>183610.0</v>
      </c>
    </row>
    <row r="1494">
      <c r="A1494" s="45">
        <v>29021.0</v>
      </c>
      <c r="B1494" s="45" t="s">
        <v>2992</v>
      </c>
      <c r="C1494" s="45" t="s">
        <v>2562</v>
      </c>
      <c r="D1494" s="46">
        <v>82956.0</v>
      </c>
      <c r="E1494" s="46">
        <v>84793.0</v>
      </c>
    </row>
    <row r="1495">
      <c r="A1495" s="45">
        <v>29023.0</v>
      </c>
      <c r="B1495" s="45" t="s">
        <v>2992</v>
      </c>
      <c r="C1495" s="45" t="s">
        <v>2001</v>
      </c>
      <c r="D1495" s="46">
        <v>41948.0</v>
      </c>
      <c r="E1495" s="46">
        <v>42130.0</v>
      </c>
    </row>
    <row r="1496">
      <c r="A1496" s="45">
        <v>29025.0</v>
      </c>
      <c r="B1496" s="45" t="s">
        <v>2992</v>
      </c>
      <c r="C1496" s="45" t="s">
        <v>2680</v>
      </c>
      <c r="D1496" s="46">
        <v>8955.0</v>
      </c>
      <c r="E1496" s="46">
        <v>8815.0</v>
      </c>
    </row>
    <row r="1497">
      <c r="A1497" s="45">
        <v>29027.0</v>
      </c>
      <c r="B1497" s="45" t="s">
        <v>2992</v>
      </c>
      <c r="C1497" s="45" t="s">
        <v>2997</v>
      </c>
      <c r="D1497" s="46">
        <v>44731.0</v>
      </c>
      <c r="E1497" s="46">
        <v>44283.0</v>
      </c>
    </row>
    <row r="1498">
      <c r="A1498" s="45">
        <v>29029.0</v>
      </c>
      <c r="B1498" s="45" t="s">
        <v>2992</v>
      </c>
      <c r="C1498" s="45" t="s">
        <v>2330</v>
      </c>
      <c r="D1498" s="46">
        <v>44044.0</v>
      </c>
      <c r="E1498" s="46">
        <v>42745.0</v>
      </c>
    </row>
    <row r="1499">
      <c r="A1499" s="45">
        <v>29031.0</v>
      </c>
      <c r="B1499" s="45" t="s">
        <v>2992</v>
      </c>
      <c r="C1499" s="45" t="s">
        <v>2998</v>
      </c>
      <c r="D1499" s="46">
        <v>82984.0</v>
      </c>
      <c r="E1499" s="46">
        <v>81710.0</v>
      </c>
    </row>
    <row r="1500">
      <c r="A1500" s="45">
        <v>29033.0</v>
      </c>
      <c r="B1500" s="45" t="s">
        <v>2992</v>
      </c>
      <c r="C1500" s="45" t="s">
        <v>2086</v>
      </c>
      <c r="D1500" s="46">
        <v>8391.0</v>
      </c>
      <c r="E1500" s="46">
        <v>8495.0</v>
      </c>
    </row>
    <row r="1501">
      <c r="A1501" s="45">
        <v>29035.0</v>
      </c>
      <c r="B1501" s="45" t="s">
        <v>2992</v>
      </c>
      <c r="C1501" s="45" t="s">
        <v>2684</v>
      </c>
      <c r="D1501" s="46">
        <v>5303.0</v>
      </c>
      <c r="E1501" s="46">
        <v>5202.0</v>
      </c>
    </row>
    <row r="1502">
      <c r="A1502" s="45">
        <v>29037.0</v>
      </c>
      <c r="B1502" s="45" t="s">
        <v>2992</v>
      </c>
      <c r="C1502" s="45" t="s">
        <v>2463</v>
      </c>
      <c r="D1502" s="46">
        <v>111732.0</v>
      </c>
      <c r="E1502" s="46">
        <v>107824.0</v>
      </c>
    </row>
    <row r="1503">
      <c r="A1503" s="45">
        <v>29039.0</v>
      </c>
      <c r="B1503" s="45" t="s">
        <v>2992</v>
      </c>
      <c r="C1503" s="45" t="s">
        <v>2564</v>
      </c>
      <c r="D1503" s="46">
        <v>14672.0</v>
      </c>
      <c r="E1503" s="46">
        <v>14188.0</v>
      </c>
    </row>
    <row r="1504">
      <c r="A1504" s="45">
        <v>29041.0</v>
      </c>
      <c r="B1504" s="45" t="s">
        <v>2992</v>
      </c>
      <c r="C1504" s="45" t="s">
        <v>2999</v>
      </c>
      <c r="D1504" s="46">
        <v>7399.0</v>
      </c>
      <c r="E1504" s="46">
        <v>7408.0</v>
      </c>
    </row>
    <row r="1505">
      <c r="A1505" s="45">
        <v>29043.0</v>
      </c>
      <c r="B1505" s="45" t="s">
        <v>2992</v>
      </c>
      <c r="C1505" s="45" t="s">
        <v>2465</v>
      </c>
      <c r="D1505" s="46">
        <v>94422.0</v>
      </c>
      <c r="E1505" s="46">
        <v>88842.0</v>
      </c>
    </row>
    <row r="1506">
      <c r="A1506" s="45">
        <v>29045.0</v>
      </c>
      <c r="B1506" s="45" t="s">
        <v>2992</v>
      </c>
      <c r="C1506" s="45" t="s">
        <v>2088</v>
      </c>
      <c r="D1506" s="46">
        <v>6641.0</v>
      </c>
      <c r="E1506" s="46">
        <v>6634.0</v>
      </c>
    </row>
    <row r="1507">
      <c r="A1507" s="45">
        <v>29047.0</v>
      </c>
      <c r="B1507" s="45" t="s">
        <v>2992</v>
      </c>
      <c r="C1507" s="45" t="s">
        <v>2008</v>
      </c>
      <c r="D1507" s="46">
        <v>259772.0</v>
      </c>
      <c r="E1507" s="46">
        <v>253335.0</v>
      </c>
    </row>
    <row r="1508">
      <c r="A1508" s="45">
        <v>29049.0</v>
      </c>
      <c r="B1508" s="45" t="s">
        <v>2992</v>
      </c>
      <c r="C1508" s="45" t="s">
        <v>2466</v>
      </c>
      <c r="D1508" s="46">
        <v>21548.0</v>
      </c>
      <c r="E1508" s="46">
        <v>21184.0</v>
      </c>
    </row>
    <row r="1509">
      <c r="A1509" s="45">
        <v>29051.0</v>
      </c>
      <c r="B1509" s="45" t="s">
        <v>2992</v>
      </c>
      <c r="C1509" s="45" t="s">
        <v>3000</v>
      </c>
      <c r="D1509" s="46">
        <v>77278.0</v>
      </c>
      <c r="E1509" s="46">
        <v>77279.0</v>
      </c>
    </row>
    <row r="1510">
      <c r="A1510" s="45">
        <v>29053.0</v>
      </c>
      <c r="B1510" s="45" t="s">
        <v>2992</v>
      </c>
      <c r="C1510" s="45" t="s">
        <v>3001</v>
      </c>
      <c r="D1510" s="46">
        <v>16947.0</v>
      </c>
      <c r="E1510" s="46">
        <v>17103.0</v>
      </c>
    </row>
    <row r="1511">
      <c r="A1511" s="45">
        <v>29055.0</v>
      </c>
      <c r="B1511" s="45" t="s">
        <v>2992</v>
      </c>
      <c r="C1511" s="45" t="s">
        <v>2093</v>
      </c>
      <c r="D1511" s="46">
        <v>22719.0</v>
      </c>
      <c r="E1511" s="46">
        <v>23056.0</v>
      </c>
    </row>
    <row r="1512">
      <c r="A1512" s="45">
        <v>29057.0</v>
      </c>
      <c r="B1512" s="45" t="s">
        <v>2992</v>
      </c>
      <c r="C1512" s="45" t="s">
        <v>2344</v>
      </c>
      <c r="D1512" s="46">
        <v>7716.0</v>
      </c>
      <c r="E1512" s="46">
        <v>7569.0</v>
      </c>
    </row>
    <row r="1513">
      <c r="A1513" s="45">
        <v>29059.0</v>
      </c>
      <c r="B1513" s="45" t="s">
        <v>2992</v>
      </c>
      <c r="C1513" s="45" t="s">
        <v>2018</v>
      </c>
      <c r="D1513" s="46">
        <v>17768.0</v>
      </c>
      <c r="E1513" s="46">
        <v>17071.0</v>
      </c>
    </row>
    <row r="1514">
      <c r="A1514" s="45">
        <v>29061.0</v>
      </c>
      <c r="B1514" s="45" t="s">
        <v>2992</v>
      </c>
      <c r="C1514" s="45" t="s">
        <v>2517</v>
      </c>
      <c r="D1514" s="46">
        <v>8551.0</v>
      </c>
      <c r="E1514" s="46">
        <v>8430.0</v>
      </c>
    </row>
    <row r="1515">
      <c r="A1515" s="45">
        <v>29063.0</v>
      </c>
      <c r="B1515" s="45" t="s">
        <v>2992</v>
      </c>
      <c r="C1515" s="45" t="s">
        <v>2019</v>
      </c>
      <c r="D1515" s="46">
        <v>9899.0</v>
      </c>
      <c r="E1515" s="46">
        <v>11029.0</v>
      </c>
    </row>
    <row r="1516">
      <c r="A1516" s="45">
        <v>29065.0</v>
      </c>
      <c r="B1516" s="45" t="s">
        <v>2992</v>
      </c>
      <c r="C1516" s="45" t="s">
        <v>3002</v>
      </c>
      <c r="D1516" s="46">
        <v>14647.0</v>
      </c>
      <c r="E1516" s="46">
        <v>14421.0</v>
      </c>
    </row>
    <row r="1517">
      <c r="A1517" s="45">
        <v>29067.0</v>
      </c>
      <c r="B1517" s="45" t="s">
        <v>2992</v>
      </c>
      <c r="C1517" s="45" t="s">
        <v>2213</v>
      </c>
      <c r="D1517" s="46">
        <v>12228.0</v>
      </c>
      <c r="E1517" s="46">
        <v>11578.0</v>
      </c>
    </row>
    <row r="1518">
      <c r="A1518" s="45">
        <v>29069.0</v>
      </c>
      <c r="B1518" s="45" t="s">
        <v>2992</v>
      </c>
      <c r="C1518" s="45" t="s">
        <v>3003</v>
      </c>
      <c r="D1518" s="46">
        <v>27032.0</v>
      </c>
      <c r="E1518" s="46">
        <v>28283.0</v>
      </c>
    </row>
    <row r="1519">
      <c r="A1519" s="45">
        <v>29071.0</v>
      </c>
      <c r="B1519" s="45" t="s">
        <v>2992</v>
      </c>
      <c r="C1519" s="45" t="s">
        <v>2024</v>
      </c>
      <c r="D1519" s="46">
        <v>106404.0</v>
      </c>
      <c r="E1519" s="46">
        <v>104682.0</v>
      </c>
    </row>
    <row r="1520">
      <c r="A1520" s="45">
        <v>29073.0</v>
      </c>
      <c r="B1520" s="45" t="s">
        <v>2992</v>
      </c>
      <c r="C1520" s="45" t="s">
        <v>3004</v>
      </c>
      <c r="D1520" s="46">
        <v>14705.0</v>
      </c>
      <c r="E1520" s="46">
        <v>14794.0</v>
      </c>
    </row>
    <row r="1521">
      <c r="A1521" s="45">
        <v>29075.0</v>
      </c>
      <c r="B1521" s="45" t="s">
        <v>2992</v>
      </c>
      <c r="C1521" s="45" t="s">
        <v>3005</v>
      </c>
      <c r="D1521" s="46">
        <v>6287.0</v>
      </c>
      <c r="E1521" s="46">
        <v>6162.0</v>
      </c>
    </row>
    <row r="1522">
      <c r="A1522" s="45">
        <v>29077.0</v>
      </c>
      <c r="B1522" s="45" t="s">
        <v>2992</v>
      </c>
      <c r="C1522" s="45" t="s">
        <v>2026</v>
      </c>
      <c r="D1522" s="46">
        <v>304611.0</v>
      </c>
      <c r="E1522" s="46">
        <v>298915.0</v>
      </c>
    </row>
    <row r="1523">
      <c r="A1523" s="45">
        <v>29079.0</v>
      </c>
      <c r="B1523" s="45" t="s">
        <v>2992</v>
      </c>
      <c r="C1523" s="45" t="s">
        <v>2475</v>
      </c>
      <c r="D1523" s="46">
        <v>9815.0</v>
      </c>
      <c r="E1523" s="46">
        <v>9808.0</v>
      </c>
    </row>
    <row r="1524">
      <c r="A1524" s="45">
        <v>29081.0</v>
      </c>
      <c r="B1524" s="45" t="s">
        <v>2992</v>
      </c>
      <c r="C1524" s="45" t="s">
        <v>2524</v>
      </c>
      <c r="D1524" s="46">
        <v>8220.0</v>
      </c>
      <c r="E1524" s="46">
        <v>8157.0</v>
      </c>
    </row>
    <row r="1525">
      <c r="A1525" s="45">
        <v>29083.0</v>
      </c>
      <c r="B1525" s="45" t="s">
        <v>2992</v>
      </c>
      <c r="C1525" s="45" t="s">
        <v>2028</v>
      </c>
      <c r="D1525" s="46">
        <v>22485.0</v>
      </c>
      <c r="E1525" s="46">
        <v>21946.0</v>
      </c>
    </row>
    <row r="1526">
      <c r="A1526" s="45">
        <v>29085.0</v>
      </c>
      <c r="B1526" s="45" t="s">
        <v>2992</v>
      </c>
      <c r="C1526" s="45" t="s">
        <v>3006</v>
      </c>
      <c r="D1526" s="46">
        <v>8718.0</v>
      </c>
      <c r="E1526" s="46">
        <v>8279.0</v>
      </c>
    </row>
    <row r="1527">
      <c r="A1527" s="45">
        <v>29087.0</v>
      </c>
      <c r="B1527" s="45" t="s">
        <v>2992</v>
      </c>
      <c r="C1527" s="45" t="s">
        <v>3007</v>
      </c>
      <c r="D1527" s="46">
        <v>4248.0</v>
      </c>
      <c r="E1527" s="46">
        <v>4223.0</v>
      </c>
    </row>
    <row r="1528">
      <c r="A1528" s="45">
        <v>29089.0</v>
      </c>
      <c r="B1528" s="45" t="s">
        <v>2992</v>
      </c>
      <c r="C1528" s="45" t="s">
        <v>2104</v>
      </c>
      <c r="D1528" s="46">
        <v>10101.0</v>
      </c>
      <c r="E1528" s="46">
        <v>10151.0</v>
      </c>
    </row>
    <row r="1529">
      <c r="A1529" s="45">
        <v>29091.0</v>
      </c>
      <c r="B1529" s="45" t="s">
        <v>2992</v>
      </c>
      <c r="C1529" s="45" t="s">
        <v>3008</v>
      </c>
      <c r="D1529" s="46">
        <v>40735.0</v>
      </c>
      <c r="E1529" s="46">
        <v>39750.0</v>
      </c>
    </row>
    <row r="1530">
      <c r="A1530" s="45">
        <v>29093.0</v>
      </c>
      <c r="B1530" s="45" t="s">
        <v>2992</v>
      </c>
      <c r="C1530" s="45" t="s">
        <v>2857</v>
      </c>
      <c r="D1530" s="46">
        <v>9440.0</v>
      </c>
      <c r="E1530" s="46">
        <v>9537.0</v>
      </c>
    </row>
    <row r="1531">
      <c r="A1531" s="45">
        <v>29095.0</v>
      </c>
      <c r="B1531" s="45" t="s">
        <v>2992</v>
      </c>
      <c r="C1531" s="45" t="s">
        <v>2030</v>
      </c>
      <c r="D1531" s="46">
        <v>718560.0</v>
      </c>
      <c r="E1531" s="46">
        <v>717204.0</v>
      </c>
    </row>
    <row r="1532">
      <c r="A1532" s="45">
        <v>29097.0</v>
      </c>
      <c r="B1532" s="45" t="s">
        <v>2992</v>
      </c>
      <c r="C1532" s="45" t="s">
        <v>2372</v>
      </c>
      <c r="D1532" s="46">
        <v>125056.0</v>
      </c>
      <c r="E1532" s="46">
        <v>122761.0</v>
      </c>
    </row>
    <row r="1533">
      <c r="A1533" s="45">
        <v>29099.0</v>
      </c>
      <c r="B1533" s="45" t="s">
        <v>2992</v>
      </c>
      <c r="C1533" s="45" t="s">
        <v>2031</v>
      </c>
      <c r="D1533" s="46">
        <v>231230.0</v>
      </c>
      <c r="E1533" s="46">
        <v>226739.0</v>
      </c>
    </row>
    <row r="1534">
      <c r="A1534" s="45">
        <v>29101.0</v>
      </c>
      <c r="B1534" s="45" t="s">
        <v>2992</v>
      </c>
      <c r="C1534" s="45" t="s">
        <v>2107</v>
      </c>
      <c r="D1534" s="46">
        <v>54962.0</v>
      </c>
      <c r="E1534" s="46">
        <v>54013.0</v>
      </c>
    </row>
    <row r="1535">
      <c r="A1535" s="45">
        <v>29103.0</v>
      </c>
      <c r="B1535" s="45" t="s">
        <v>2992</v>
      </c>
      <c r="C1535" s="45" t="s">
        <v>2484</v>
      </c>
      <c r="D1535" s="46">
        <v>3723.0</v>
      </c>
      <c r="E1535" s="46">
        <v>3744.0</v>
      </c>
    </row>
    <row r="1536">
      <c r="A1536" s="45">
        <v>29105.0</v>
      </c>
      <c r="B1536" s="45" t="s">
        <v>2992</v>
      </c>
      <c r="C1536" s="45" t="s">
        <v>3009</v>
      </c>
      <c r="D1536" s="46">
        <v>36680.0</v>
      </c>
      <c r="E1536" s="46">
        <v>36039.0</v>
      </c>
    </row>
    <row r="1537">
      <c r="A1537" s="45">
        <v>29107.0</v>
      </c>
      <c r="B1537" s="45" t="s">
        <v>2992</v>
      </c>
      <c r="C1537" s="45" t="s">
        <v>2108</v>
      </c>
      <c r="D1537" s="46">
        <v>33196.0</v>
      </c>
      <c r="E1537" s="46">
        <v>32984.0</v>
      </c>
    </row>
    <row r="1538">
      <c r="A1538" s="45">
        <v>29109.0</v>
      </c>
      <c r="B1538" s="45" t="s">
        <v>2992</v>
      </c>
      <c r="C1538" s="45" t="s">
        <v>2034</v>
      </c>
      <c r="D1538" s="46">
        <v>38872.0</v>
      </c>
      <c r="E1538" s="46">
        <v>38001.0</v>
      </c>
    </row>
    <row r="1539">
      <c r="A1539" s="45">
        <v>29111.0</v>
      </c>
      <c r="B1539" s="45" t="s">
        <v>2992</v>
      </c>
      <c r="C1539" s="45" t="s">
        <v>2447</v>
      </c>
      <c r="D1539" s="46">
        <v>9818.0</v>
      </c>
      <c r="E1539" s="46">
        <v>10032.0</v>
      </c>
    </row>
    <row r="1540">
      <c r="A1540" s="45">
        <v>29113.0</v>
      </c>
      <c r="B1540" s="45" t="s">
        <v>2992</v>
      </c>
      <c r="C1540" s="45" t="s">
        <v>2109</v>
      </c>
      <c r="D1540" s="46">
        <v>64699.0</v>
      </c>
      <c r="E1540" s="46">
        <v>59574.0</v>
      </c>
    </row>
    <row r="1541">
      <c r="A1541" s="45">
        <v>29115.0</v>
      </c>
      <c r="B1541" s="45" t="s">
        <v>2992</v>
      </c>
      <c r="C1541" s="45" t="s">
        <v>2577</v>
      </c>
      <c r="D1541" s="46">
        <v>11791.0</v>
      </c>
      <c r="E1541" s="46">
        <v>11874.0</v>
      </c>
    </row>
    <row r="1542">
      <c r="A1542" s="45">
        <v>29117.0</v>
      </c>
      <c r="B1542" s="45" t="s">
        <v>2992</v>
      </c>
      <c r="C1542" s="45" t="s">
        <v>2486</v>
      </c>
      <c r="D1542" s="46">
        <v>14557.0</v>
      </c>
      <c r="E1542" s="46">
        <v>14557.0</v>
      </c>
    </row>
    <row r="1543">
      <c r="A1543" s="45">
        <v>29119.0</v>
      </c>
      <c r="B1543" s="45" t="s">
        <v>2992</v>
      </c>
      <c r="C1543" s="45" t="s">
        <v>3010</v>
      </c>
      <c r="D1543" s="46">
        <v>23903.0</v>
      </c>
      <c r="E1543" s="46">
        <v>23303.0</v>
      </c>
    </row>
    <row r="1544">
      <c r="A1544" s="45">
        <v>29121.0</v>
      </c>
      <c r="B1544" s="45" t="s">
        <v>2992</v>
      </c>
      <c r="C1544" s="45" t="s">
        <v>2038</v>
      </c>
      <c r="D1544" s="46">
        <v>15161.0</v>
      </c>
      <c r="E1544" s="46">
        <v>15209.0</v>
      </c>
    </row>
    <row r="1545">
      <c r="A1545" s="45">
        <v>29123.0</v>
      </c>
      <c r="B1545" s="45" t="s">
        <v>2992</v>
      </c>
      <c r="C1545" s="45" t="s">
        <v>2039</v>
      </c>
      <c r="D1545" s="46">
        <v>12698.0</v>
      </c>
      <c r="E1545" s="46">
        <v>12626.0</v>
      </c>
    </row>
    <row r="1546">
      <c r="A1546" s="45">
        <v>29125.0</v>
      </c>
      <c r="B1546" s="45" t="s">
        <v>2992</v>
      </c>
      <c r="C1546" s="45" t="s">
        <v>3011</v>
      </c>
      <c r="D1546" s="46">
        <v>8430.0</v>
      </c>
      <c r="E1546" s="46">
        <v>8432.0</v>
      </c>
    </row>
    <row r="1547">
      <c r="A1547" s="45">
        <v>29127.0</v>
      </c>
      <c r="B1547" s="45" t="s">
        <v>2992</v>
      </c>
      <c r="C1547" s="45" t="s">
        <v>2041</v>
      </c>
      <c r="D1547" s="46">
        <v>28336.0</v>
      </c>
      <c r="E1547" s="46">
        <v>28525.0</v>
      </c>
    </row>
    <row r="1548">
      <c r="A1548" s="45">
        <v>29129.0</v>
      </c>
      <c r="B1548" s="45" t="s">
        <v>2992</v>
      </c>
      <c r="C1548" s="45" t="s">
        <v>2494</v>
      </c>
      <c r="D1548" s="46">
        <v>3469.0</v>
      </c>
      <c r="E1548" s="46">
        <v>3538.0</v>
      </c>
    </row>
    <row r="1549">
      <c r="A1549" s="45">
        <v>29131.0</v>
      </c>
      <c r="B1549" s="45" t="s">
        <v>2992</v>
      </c>
      <c r="C1549" s="45" t="s">
        <v>2113</v>
      </c>
      <c r="D1549" s="46">
        <v>25590.0</v>
      </c>
      <c r="E1549" s="46">
        <v>24722.0</v>
      </c>
    </row>
    <row r="1550">
      <c r="A1550" s="45">
        <v>29133.0</v>
      </c>
      <c r="B1550" s="45" t="s">
        <v>2992</v>
      </c>
      <c r="C1550" s="45" t="s">
        <v>2114</v>
      </c>
      <c r="D1550" s="46">
        <v>11822.0</v>
      </c>
      <c r="E1550" s="46">
        <v>12577.0</v>
      </c>
    </row>
    <row r="1551">
      <c r="A1551" s="45">
        <v>29135.0</v>
      </c>
      <c r="B1551" s="45" t="s">
        <v>2992</v>
      </c>
      <c r="C1551" s="45" t="s">
        <v>3012</v>
      </c>
      <c r="D1551" s="46">
        <v>15256.0</v>
      </c>
      <c r="E1551" s="46">
        <v>15473.0</v>
      </c>
    </row>
    <row r="1552">
      <c r="A1552" s="45">
        <v>29137.0</v>
      </c>
      <c r="B1552" s="45" t="s">
        <v>2992</v>
      </c>
      <c r="C1552" s="45" t="s">
        <v>2044</v>
      </c>
      <c r="D1552" s="46">
        <v>8698.0</v>
      </c>
      <c r="E1552" s="46">
        <v>8666.0</v>
      </c>
    </row>
    <row r="1553">
      <c r="A1553" s="45">
        <v>29139.0</v>
      </c>
      <c r="B1553" s="45" t="s">
        <v>2992</v>
      </c>
      <c r="C1553" s="45" t="s">
        <v>2045</v>
      </c>
      <c r="D1553" s="46">
        <v>11459.0</v>
      </c>
      <c r="E1553" s="46">
        <v>11322.0</v>
      </c>
    </row>
    <row r="1554">
      <c r="A1554" s="45">
        <v>29141.0</v>
      </c>
      <c r="B1554" s="45" t="s">
        <v>2992</v>
      </c>
      <c r="C1554" s="45" t="s">
        <v>2046</v>
      </c>
      <c r="D1554" s="46">
        <v>21970.0</v>
      </c>
      <c r="E1554" s="46">
        <v>21006.0</v>
      </c>
    </row>
    <row r="1555">
      <c r="A1555" s="45">
        <v>29143.0</v>
      </c>
      <c r="B1555" s="45" t="s">
        <v>2992</v>
      </c>
      <c r="C1555" s="45" t="s">
        <v>3013</v>
      </c>
      <c r="D1555" s="46">
        <v>15424.0</v>
      </c>
      <c r="E1555" s="46">
        <v>16434.0</v>
      </c>
    </row>
    <row r="1556">
      <c r="A1556" s="45">
        <v>29145.0</v>
      </c>
      <c r="B1556" s="45" t="s">
        <v>2992</v>
      </c>
      <c r="C1556" s="45" t="s">
        <v>2116</v>
      </c>
      <c r="D1556" s="46">
        <v>60677.0</v>
      </c>
      <c r="E1556" s="46">
        <v>58648.0</v>
      </c>
    </row>
    <row r="1557">
      <c r="A1557" s="45">
        <v>29147.0</v>
      </c>
      <c r="B1557" s="45" t="s">
        <v>2992</v>
      </c>
      <c r="C1557" s="45" t="s">
        <v>3014</v>
      </c>
      <c r="D1557" s="46">
        <v>20695.0</v>
      </c>
      <c r="E1557" s="46">
        <v>21241.0</v>
      </c>
    </row>
    <row r="1558">
      <c r="A1558" s="45">
        <v>29149.0</v>
      </c>
      <c r="B1558" s="45" t="s">
        <v>2992</v>
      </c>
      <c r="C1558" s="45" t="s">
        <v>3015</v>
      </c>
      <c r="D1558" s="46">
        <v>8720.0</v>
      </c>
      <c r="E1558" s="46">
        <v>8635.0</v>
      </c>
    </row>
    <row r="1559">
      <c r="A1559" s="45">
        <v>29151.0</v>
      </c>
      <c r="B1559" s="45" t="s">
        <v>2992</v>
      </c>
      <c r="C1559" s="45" t="s">
        <v>2641</v>
      </c>
      <c r="D1559" s="46">
        <v>13468.0</v>
      </c>
      <c r="E1559" s="46">
        <v>13274.0</v>
      </c>
    </row>
    <row r="1560">
      <c r="A1560" s="45">
        <v>29153.0</v>
      </c>
      <c r="B1560" s="45" t="s">
        <v>2992</v>
      </c>
      <c r="C1560" s="45" t="s">
        <v>3016</v>
      </c>
      <c r="D1560" s="46">
        <v>8970.0</v>
      </c>
      <c r="E1560" s="46">
        <v>8553.0</v>
      </c>
    </row>
    <row r="1561">
      <c r="A1561" s="45">
        <v>29155.0</v>
      </c>
      <c r="B1561" s="45" t="s">
        <v>2992</v>
      </c>
      <c r="C1561" s="45" t="s">
        <v>3017</v>
      </c>
      <c r="D1561" s="46">
        <v>14613.0</v>
      </c>
      <c r="E1561" s="46">
        <v>15661.0</v>
      </c>
    </row>
    <row r="1562">
      <c r="A1562" s="45">
        <v>29157.0</v>
      </c>
      <c r="B1562" s="45" t="s">
        <v>2992</v>
      </c>
      <c r="C1562" s="45" t="s">
        <v>2047</v>
      </c>
      <c r="D1562" s="46">
        <v>18950.0</v>
      </c>
      <c r="E1562" s="46">
        <v>18956.0</v>
      </c>
    </row>
    <row r="1563">
      <c r="A1563" s="45">
        <v>29159.0</v>
      </c>
      <c r="B1563" s="45" t="s">
        <v>2992</v>
      </c>
      <c r="C1563" s="45" t="s">
        <v>3018</v>
      </c>
      <c r="D1563" s="46">
        <v>43530.0</v>
      </c>
      <c r="E1563" s="46">
        <v>42980.0</v>
      </c>
    </row>
    <row r="1564">
      <c r="A1564" s="45">
        <v>29161.0</v>
      </c>
      <c r="B1564" s="45" t="s">
        <v>2992</v>
      </c>
      <c r="C1564" s="45" t="s">
        <v>3019</v>
      </c>
      <c r="D1564" s="46">
        <v>45284.0</v>
      </c>
      <c r="E1564" s="46">
        <v>44638.0</v>
      </c>
    </row>
    <row r="1565">
      <c r="A1565" s="45">
        <v>29163.0</v>
      </c>
      <c r="B1565" s="45" t="s">
        <v>2992</v>
      </c>
      <c r="C1565" s="45" t="s">
        <v>2049</v>
      </c>
      <c r="D1565" s="46">
        <v>17935.0</v>
      </c>
      <c r="E1565" s="46">
        <v>17587.0</v>
      </c>
    </row>
    <row r="1566">
      <c r="A1566" s="45">
        <v>29165.0</v>
      </c>
      <c r="B1566" s="45" t="s">
        <v>2992</v>
      </c>
      <c r="C1566" s="45" t="s">
        <v>3020</v>
      </c>
      <c r="D1566" s="46">
        <v>111940.0</v>
      </c>
      <c r="E1566" s="46">
        <v>106718.0</v>
      </c>
    </row>
    <row r="1567">
      <c r="A1567" s="45">
        <v>29167.0</v>
      </c>
      <c r="B1567" s="45" t="s">
        <v>2992</v>
      </c>
      <c r="C1567" s="45" t="s">
        <v>2120</v>
      </c>
      <c r="D1567" s="46">
        <v>32780.0</v>
      </c>
      <c r="E1567" s="46">
        <v>31519.0</v>
      </c>
    </row>
    <row r="1568">
      <c r="A1568" s="45">
        <v>29169.0</v>
      </c>
      <c r="B1568" s="45" t="s">
        <v>2992</v>
      </c>
      <c r="C1568" s="45" t="s">
        <v>2123</v>
      </c>
      <c r="D1568" s="46">
        <v>53812.0</v>
      </c>
      <c r="E1568" s="46">
        <v>53955.0</v>
      </c>
    </row>
    <row r="1569">
      <c r="A1569" s="45">
        <v>29171.0</v>
      </c>
      <c r="B1569" s="45" t="s">
        <v>2992</v>
      </c>
      <c r="C1569" s="45" t="s">
        <v>2303</v>
      </c>
      <c r="D1569" s="46">
        <v>4638.0</v>
      </c>
      <c r="E1569" s="46">
        <v>4681.0</v>
      </c>
    </row>
    <row r="1570">
      <c r="A1570" s="45">
        <v>29173.0</v>
      </c>
      <c r="B1570" s="45" t="s">
        <v>2992</v>
      </c>
      <c r="C1570" s="45" t="s">
        <v>3021</v>
      </c>
      <c r="D1570" s="46">
        <v>10489.0</v>
      </c>
      <c r="E1570" s="46">
        <v>10355.0</v>
      </c>
    </row>
    <row r="1571">
      <c r="A1571" s="45">
        <v>29175.0</v>
      </c>
      <c r="B1571" s="45" t="s">
        <v>2992</v>
      </c>
      <c r="C1571" s="45" t="s">
        <v>2050</v>
      </c>
      <c r="D1571" s="46">
        <v>24109.0</v>
      </c>
      <c r="E1571" s="46">
        <v>24716.0</v>
      </c>
    </row>
    <row r="1572">
      <c r="A1572" s="45">
        <v>29177.0</v>
      </c>
      <c r="B1572" s="45" t="s">
        <v>2992</v>
      </c>
      <c r="C1572" s="45" t="s">
        <v>3022</v>
      </c>
      <c r="D1572" s="46">
        <v>23182.0</v>
      </c>
      <c r="E1572" s="46">
        <v>23158.0</v>
      </c>
    </row>
    <row r="1573">
      <c r="A1573" s="45">
        <v>29179.0</v>
      </c>
      <c r="B1573" s="45" t="s">
        <v>2992</v>
      </c>
      <c r="C1573" s="45" t="s">
        <v>3023</v>
      </c>
      <c r="D1573" s="46">
        <v>5950.0</v>
      </c>
      <c r="E1573" s="46">
        <v>6096.0</v>
      </c>
    </row>
    <row r="1574">
      <c r="A1574" s="45">
        <v>29181.0</v>
      </c>
      <c r="B1574" s="45" t="s">
        <v>2992</v>
      </c>
      <c r="C1574" s="45" t="s">
        <v>2539</v>
      </c>
      <c r="D1574" s="46">
        <v>10806.0</v>
      </c>
      <c r="E1574" s="46">
        <v>10679.0</v>
      </c>
    </row>
    <row r="1575">
      <c r="A1575" s="45">
        <v>29183.0</v>
      </c>
      <c r="B1575" s="45" t="s">
        <v>2992</v>
      </c>
      <c r="C1575" s="45" t="s">
        <v>3024</v>
      </c>
      <c r="D1575" s="46">
        <v>416659.0</v>
      </c>
      <c r="E1575" s="46">
        <v>405262.0</v>
      </c>
    </row>
    <row r="1576">
      <c r="A1576" s="45">
        <v>29185.0</v>
      </c>
      <c r="B1576" s="45" t="s">
        <v>2992</v>
      </c>
      <c r="C1576" s="45" t="s">
        <v>2052</v>
      </c>
      <c r="D1576" s="46">
        <v>9752.0</v>
      </c>
      <c r="E1576" s="46">
        <v>9284.0</v>
      </c>
    </row>
    <row r="1577">
      <c r="A1577" s="45">
        <v>29186.0</v>
      </c>
      <c r="B1577" s="45" t="s">
        <v>2992</v>
      </c>
      <c r="C1577" s="45" t="s">
        <v>3025</v>
      </c>
      <c r="D1577" s="46">
        <v>18642.0</v>
      </c>
      <c r="E1577" s="46">
        <v>18479.0</v>
      </c>
    </row>
    <row r="1578">
      <c r="A1578" s="45">
        <v>29187.0</v>
      </c>
      <c r="B1578" s="45" t="s">
        <v>2992</v>
      </c>
      <c r="C1578" s="45" t="s">
        <v>3026</v>
      </c>
      <c r="D1578" s="46">
        <v>67058.0</v>
      </c>
      <c r="E1578" s="46">
        <v>66922.0</v>
      </c>
    </row>
    <row r="1579">
      <c r="A1579" s="45">
        <v>29189.0</v>
      </c>
      <c r="B1579" s="45" t="s">
        <v>2992</v>
      </c>
      <c r="C1579" s="45" t="s">
        <v>2941</v>
      </c>
      <c r="D1579" s="46">
        <v>987059.0</v>
      </c>
      <c r="E1579" s="46">
        <v>1004125.0</v>
      </c>
    </row>
    <row r="1580">
      <c r="A1580" s="45">
        <v>29195.0</v>
      </c>
      <c r="B1580" s="45" t="s">
        <v>2992</v>
      </c>
      <c r="C1580" s="45" t="s">
        <v>2125</v>
      </c>
      <c r="D1580" s="46">
        <v>23049.0</v>
      </c>
      <c r="E1580" s="46">
        <v>23333.0</v>
      </c>
    </row>
    <row r="1581">
      <c r="A1581" s="45">
        <v>29197.0</v>
      </c>
      <c r="B1581" s="45" t="s">
        <v>2992</v>
      </c>
      <c r="C1581" s="45" t="s">
        <v>2502</v>
      </c>
      <c r="D1581" s="46">
        <v>4053.0</v>
      </c>
      <c r="E1581" s="46">
        <v>4032.0</v>
      </c>
    </row>
    <row r="1582">
      <c r="A1582" s="45">
        <v>29199.0</v>
      </c>
      <c r="B1582" s="45" t="s">
        <v>2992</v>
      </c>
      <c r="C1582" s="45" t="s">
        <v>3027</v>
      </c>
      <c r="D1582" s="46">
        <v>4676.0</v>
      </c>
      <c r="E1582" s="46">
        <v>4716.0</v>
      </c>
    </row>
    <row r="1583">
      <c r="A1583" s="45">
        <v>29201.0</v>
      </c>
      <c r="B1583" s="45" t="s">
        <v>2992</v>
      </c>
      <c r="C1583" s="45" t="s">
        <v>2126</v>
      </c>
      <c r="D1583" s="46">
        <v>37889.0</v>
      </c>
      <c r="E1583" s="46">
        <v>38059.0</v>
      </c>
    </row>
    <row r="1584">
      <c r="A1584" s="45">
        <v>29203.0</v>
      </c>
      <c r="B1584" s="45" t="s">
        <v>2992</v>
      </c>
      <c r="C1584" s="45" t="s">
        <v>3028</v>
      </c>
      <c r="D1584" s="46">
        <v>7238.0</v>
      </c>
      <c r="E1584" s="46">
        <v>7031.0</v>
      </c>
    </row>
    <row r="1585">
      <c r="A1585" s="45">
        <v>29205.0</v>
      </c>
      <c r="B1585" s="45" t="s">
        <v>2992</v>
      </c>
      <c r="C1585" s="45" t="s">
        <v>2053</v>
      </c>
      <c r="D1585" s="46">
        <v>5931.0</v>
      </c>
      <c r="E1585" s="46">
        <v>6103.0</v>
      </c>
    </row>
    <row r="1586">
      <c r="A1586" s="45">
        <v>29207.0</v>
      </c>
      <c r="B1586" s="45" t="s">
        <v>2992</v>
      </c>
      <c r="C1586" s="45" t="s">
        <v>3029</v>
      </c>
      <c r="D1586" s="46">
        <v>28397.0</v>
      </c>
      <c r="E1586" s="46">
        <v>28672.0</v>
      </c>
    </row>
    <row r="1587">
      <c r="A1587" s="45">
        <v>29209.0</v>
      </c>
      <c r="B1587" s="45" t="s">
        <v>2992</v>
      </c>
      <c r="C1587" s="45" t="s">
        <v>2131</v>
      </c>
      <c r="D1587" s="46">
        <v>32658.0</v>
      </c>
      <c r="E1587" s="46">
        <v>31076.0</v>
      </c>
    </row>
    <row r="1588">
      <c r="A1588" s="45">
        <v>29211.0</v>
      </c>
      <c r="B1588" s="45" t="s">
        <v>2992</v>
      </c>
      <c r="C1588" s="45" t="s">
        <v>2545</v>
      </c>
      <c r="D1588" s="46">
        <v>5797.0</v>
      </c>
      <c r="E1588" s="46">
        <v>5999.0</v>
      </c>
    </row>
    <row r="1589">
      <c r="A1589" s="45">
        <v>29213.0</v>
      </c>
      <c r="B1589" s="45" t="s">
        <v>2992</v>
      </c>
      <c r="C1589" s="45" t="s">
        <v>3030</v>
      </c>
      <c r="D1589" s="46">
        <v>56775.0</v>
      </c>
      <c r="E1589" s="46">
        <v>56066.0</v>
      </c>
    </row>
    <row r="1590">
      <c r="A1590" s="45">
        <v>29215.0</v>
      </c>
      <c r="B1590" s="45" t="s">
        <v>2992</v>
      </c>
      <c r="C1590" s="45" t="s">
        <v>3031</v>
      </c>
      <c r="D1590" s="46">
        <v>25619.0</v>
      </c>
      <c r="E1590" s="46">
        <v>24487.0</v>
      </c>
    </row>
    <row r="1591">
      <c r="A1591" s="45">
        <v>29217.0</v>
      </c>
      <c r="B1591" s="45" t="s">
        <v>2992</v>
      </c>
      <c r="C1591" s="45" t="s">
        <v>3032</v>
      </c>
      <c r="D1591" s="46">
        <v>19710.0</v>
      </c>
      <c r="E1591" s="46">
        <v>19707.0</v>
      </c>
    </row>
    <row r="1592">
      <c r="A1592" s="45">
        <v>29219.0</v>
      </c>
      <c r="B1592" s="45" t="s">
        <v>2992</v>
      </c>
      <c r="C1592" s="45" t="s">
        <v>2415</v>
      </c>
      <c r="D1592" s="46">
        <v>37806.0</v>
      </c>
      <c r="E1592" s="46">
        <v>35532.0</v>
      </c>
    </row>
    <row r="1593">
      <c r="A1593" s="45">
        <v>29221.0</v>
      </c>
      <c r="B1593" s="45" t="s">
        <v>2992</v>
      </c>
      <c r="C1593" s="45" t="s">
        <v>2059</v>
      </c>
      <c r="D1593" s="46">
        <v>23534.0</v>
      </c>
      <c r="E1593" s="46">
        <v>23514.0</v>
      </c>
    </row>
    <row r="1594">
      <c r="A1594" s="45">
        <v>29223.0</v>
      </c>
      <c r="B1594" s="45" t="s">
        <v>2992</v>
      </c>
      <c r="C1594" s="45" t="s">
        <v>2416</v>
      </c>
      <c r="D1594" s="46">
        <v>10811.0</v>
      </c>
      <c r="E1594" s="46">
        <v>10974.0</v>
      </c>
    </row>
    <row r="1595">
      <c r="A1595" s="45">
        <v>29225.0</v>
      </c>
      <c r="B1595" s="45" t="s">
        <v>2992</v>
      </c>
      <c r="C1595" s="45" t="s">
        <v>2417</v>
      </c>
      <c r="D1595" s="46">
        <v>41472.0</v>
      </c>
      <c r="E1595" s="46">
        <v>39085.0</v>
      </c>
    </row>
    <row r="1596">
      <c r="A1596" s="45">
        <v>29227.0</v>
      </c>
      <c r="B1596" s="45" t="s">
        <v>2992</v>
      </c>
      <c r="C1596" s="45" t="s">
        <v>2422</v>
      </c>
      <c r="D1596" s="46">
        <v>1907.0</v>
      </c>
      <c r="E1596" s="46">
        <v>1973.0</v>
      </c>
    </row>
    <row r="1597">
      <c r="A1597" s="45">
        <v>29229.0</v>
      </c>
      <c r="B1597" s="45" t="s">
        <v>2992</v>
      </c>
      <c r="C1597" s="45" t="s">
        <v>2600</v>
      </c>
      <c r="D1597" s="46">
        <v>19403.0</v>
      </c>
      <c r="E1597" s="46">
        <v>18188.0</v>
      </c>
    </row>
    <row r="1598">
      <c r="A1598" s="45">
        <v>29510.0</v>
      </c>
      <c r="B1598" s="45" t="s">
        <v>2992</v>
      </c>
      <c r="C1598" s="45" t="s">
        <v>3033</v>
      </c>
      <c r="D1598" s="46">
        <v>281754.0</v>
      </c>
      <c r="E1598" s="46">
        <v>301578.0</v>
      </c>
    </row>
    <row r="1599">
      <c r="A1599" s="45">
        <v>30001.0</v>
      </c>
      <c r="B1599" s="45" t="s">
        <v>3034</v>
      </c>
      <c r="C1599" s="45" t="s">
        <v>3035</v>
      </c>
      <c r="D1599" s="46">
        <v>9885.0</v>
      </c>
      <c r="E1599" s="46">
        <v>9371.0</v>
      </c>
    </row>
    <row r="1600">
      <c r="A1600" s="45">
        <v>30003.0</v>
      </c>
      <c r="B1600" s="45" t="s">
        <v>3034</v>
      </c>
      <c r="C1600" s="45" t="s">
        <v>3036</v>
      </c>
      <c r="D1600" s="46">
        <v>12751.0</v>
      </c>
      <c r="E1600" s="46">
        <v>13124.0</v>
      </c>
    </row>
    <row r="1601">
      <c r="A1601" s="45">
        <v>30005.0</v>
      </c>
      <c r="B1601" s="45" t="s">
        <v>3034</v>
      </c>
      <c r="C1601" s="45" t="s">
        <v>2430</v>
      </c>
      <c r="D1601" s="46">
        <v>6899.0</v>
      </c>
      <c r="E1601" s="46">
        <v>7044.0</v>
      </c>
    </row>
    <row r="1602">
      <c r="A1602" s="45">
        <v>30007.0</v>
      </c>
      <c r="B1602" s="45" t="s">
        <v>3034</v>
      </c>
      <c r="C1602" s="45" t="s">
        <v>3037</v>
      </c>
      <c r="D1602" s="46">
        <v>8032.0</v>
      </c>
      <c r="E1602" s="46">
        <v>6774.0</v>
      </c>
    </row>
    <row r="1603">
      <c r="A1603" s="45">
        <v>30009.0</v>
      </c>
      <c r="B1603" s="45" t="s">
        <v>3034</v>
      </c>
      <c r="C1603" s="45" t="s">
        <v>3038</v>
      </c>
      <c r="D1603" s="46">
        <v>11419.0</v>
      </c>
      <c r="E1603" s="46">
        <v>10473.0</v>
      </c>
    </row>
    <row r="1604">
      <c r="A1604" s="45">
        <v>30011.0</v>
      </c>
      <c r="B1604" s="45" t="s">
        <v>3034</v>
      </c>
      <c r="C1604" s="45" t="s">
        <v>2684</v>
      </c>
      <c r="D1604" s="46">
        <v>1418.0</v>
      </c>
      <c r="E1604" s="46">
        <v>1415.0</v>
      </c>
    </row>
    <row r="1605">
      <c r="A1605" s="45">
        <v>30013.0</v>
      </c>
      <c r="B1605" s="45" t="s">
        <v>3034</v>
      </c>
      <c r="C1605" s="45" t="s">
        <v>3039</v>
      </c>
      <c r="D1605" s="46">
        <v>84900.0</v>
      </c>
      <c r="E1605" s="46">
        <v>84414.0</v>
      </c>
    </row>
    <row r="1606">
      <c r="A1606" s="45">
        <v>30015.0</v>
      </c>
      <c r="B1606" s="45" t="s">
        <v>3034</v>
      </c>
      <c r="C1606" s="45" t="s">
        <v>3040</v>
      </c>
      <c r="D1606" s="46">
        <v>5847.0</v>
      </c>
      <c r="E1606" s="46">
        <v>5895.0</v>
      </c>
    </row>
    <row r="1607">
      <c r="A1607" s="45">
        <v>30017.0</v>
      </c>
      <c r="B1607" s="45" t="s">
        <v>3034</v>
      </c>
      <c r="C1607" s="45" t="s">
        <v>2209</v>
      </c>
      <c r="D1607" s="46">
        <v>11985.0</v>
      </c>
      <c r="E1607" s="46">
        <v>11867.0</v>
      </c>
    </row>
    <row r="1608">
      <c r="A1608" s="45">
        <v>30019.0</v>
      </c>
      <c r="B1608" s="45" t="s">
        <v>3034</v>
      </c>
      <c r="C1608" s="45" t="s">
        <v>3041</v>
      </c>
      <c r="D1608" s="46">
        <v>1633.0</v>
      </c>
      <c r="E1608" s="46">
        <v>1661.0</v>
      </c>
    </row>
    <row r="1609">
      <c r="A1609" s="45">
        <v>30021.0</v>
      </c>
      <c r="B1609" s="45" t="s">
        <v>3034</v>
      </c>
      <c r="C1609" s="45" t="s">
        <v>2345</v>
      </c>
      <c r="D1609" s="46">
        <v>8810.0</v>
      </c>
      <c r="E1609" s="46">
        <v>8940.0</v>
      </c>
    </row>
    <row r="1610">
      <c r="A1610" s="45">
        <v>30023.0</v>
      </c>
      <c r="B1610" s="45" t="s">
        <v>3034</v>
      </c>
      <c r="C1610" s="45" t="s">
        <v>3042</v>
      </c>
      <c r="D1610" s="46">
        <v>9673.0</v>
      </c>
      <c r="E1610" s="46">
        <v>9421.0</v>
      </c>
    </row>
    <row r="1611">
      <c r="A1611" s="45">
        <v>30025.0</v>
      </c>
      <c r="B1611" s="45" t="s">
        <v>3034</v>
      </c>
      <c r="C1611" s="45" t="s">
        <v>3043</v>
      </c>
      <c r="D1611" s="46">
        <v>2994.0</v>
      </c>
      <c r="E1611" s="46">
        <v>3049.0</v>
      </c>
    </row>
    <row r="1612">
      <c r="A1612" s="45">
        <v>30027.0</v>
      </c>
      <c r="B1612" s="45" t="s">
        <v>3034</v>
      </c>
      <c r="C1612" s="45" t="s">
        <v>3044</v>
      </c>
      <c r="D1612" s="46">
        <v>11772.0</v>
      </c>
      <c r="E1612" s="46">
        <v>11446.0</v>
      </c>
    </row>
    <row r="1613">
      <c r="A1613" s="45">
        <v>30029.0</v>
      </c>
      <c r="B1613" s="45" t="s">
        <v>3034</v>
      </c>
      <c r="C1613" s="45" t="s">
        <v>3045</v>
      </c>
      <c r="D1613" s="46">
        <v>113679.0</v>
      </c>
      <c r="E1613" s="46">
        <v>104357.0</v>
      </c>
    </row>
    <row r="1614">
      <c r="A1614" s="45">
        <v>30031.0</v>
      </c>
      <c r="B1614" s="45" t="s">
        <v>3034</v>
      </c>
      <c r="C1614" s="45" t="s">
        <v>2474</v>
      </c>
      <c r="D1614" s="46">
        <v>126409.0</v>
      </c>
      <c r="E1614" s="46">
        <v>118960.0</v>
      </c>
    </row>
    <row r="1615">
      <c r="A1615" s="45">
        <v>30033.0</v>
      </c>
      <c r="B1615" s="45" t="s">
        <v>3034</v>
      </c>
      <c r="C1615" s="45" t="s">
        <v>2218</v>
      </c>
      <c r="D1615" s="46">
        <v>1211.0</v>
      </c>
      <c r="E1615" s="46">
        <v>1173.0</v>
      </c>
    </row>
    <row r="1616">
      <c r="A1616" s="45">
        <v>30035.0</v>
      </c>
      <c r="B1616" s="45" t="s">
        <v>3034</v>
      </c>
      <c r="C1616" s="45" t="s">
        <v>3046</v>
      </c>
      <c r="D1616" s="46">
        <v>13609.0</v>
      </c>
      <c r="E1616" s="46">
        <v>13778.0</v>
      </c>
    </row>
    <row r="1617">
      <c r="A1617" s="45">
        <v>30037.0</v>
      </c>
      <c r="B1617" s="45" t="s">
        <v>3034</v>
      </c>
      <c r="C1617" s="45" t="s">
        <v>3047</v>
      </c>
      <c r="D1617" s="45">
        <v>835.0</v>
      </c>
      <c r="E1617" s="45">
        <v>823.0</v>
      </c>
    </row>
    <row r="1618">
      <c r="A1618" s="45">
        <v>30039.0</v>
      </c>
      <c r="B1618" s="45" t="s">
        <v>3034</v>
      </c>
      <c r="C1618" s="45" t="s">
        <v>3048</v>
      </c>
      <c r="D1618" s="46">
        <v>3595.0</v>
      </c>
      <c r="E1618" s="46">
        <v>3309.0</v>
      </c>
    </row>
    <row r="1619">
      <c r="A1619" s="45">
        <v>30041.0</v>
      </c>
      <c r="B1619" s="45" t="s">
        <v>3034</v>
      </c>
      <c r="C1619" s="45" t="s">
        <v>3049</v>
      </c>
      <c r="D1619" s="46">
        <v>16276.0</v>
      </c>
      <c r="E1619" s="46">
        <v>16309.0</v>
      </c>
    </row>
    <row r="1620">
      <c r="A1620" s="45">
        <v>30043.0</v>
      </c>
      <c r="B1620" s="45" t="s">
        <v>3034</v>
      </c>
      <c r="C1620" s="45" t="s">
        <v>2031</v>
      </c>
      <c r="D1620" s="46">
        <v>13048.0</v>
      </c>
      <c r="E1620" s="46">
        <v>12085.0</v>
      </c>
    </row>
    <row r="1621">
      <c r="A1621" s="45">
        <v>30045.0</v>
      </c>
      <c r="B1621" s="45" t="s">
        <v>3034</v>
      </c>
      <c r="C1621" s="45" t="s">
        <v>3050</v>
      </c>
      <c r="D1621" s="46">
        <v>2093.0</v>
      </c>
      <c r="E1621" s="46">
        <v>2023.0</v>
      </c>
    </row>
    <row r="1622">
      <c r="A1622" s="45">
        <v>30047.0</v>
      </c>
      <c r="B1622" s="45" t="s">
        <v>3034</v>
      </c>
      <c r="C1622" s="45" t="s">
        <v>2154</v>
      </c>
      <c r="D1622" s="46">
        <v>33338.0</v>
      </c>
      <c r="E1622" s="46">
        <v>31134.0</v>
      </c>
    </row>
    <row r="1623">
      <c r="A1623" s="45">
        <v>30049.0</v>
      </c>
      <c r="B1623" s="45" t="s">
        <v>3034</v>
      </c>
      <c r="C1623" s="45" t="s">
        <v>3051</v>
      </c>
      <c r="D1623" s="46">
        <v>75011.0</v>
      </c>
      <c r="E1623" s="46">
        <v>70973.0</v>
      </c>
    </row>
    <row r="1624">
      <c r="A1624" s="45">
        <v>30051.0</v>
      </c>
      <c r="B1624" s="45" t="s">
        <v>3034</v>
      </c>
      <c r="C1624" s="45" t="s">
        <v>2292</v>
      </c>
      <c r="D1624" s="46">
        <v>1974.0</v>
      </c>
      <c r="E1624" s="46">
        <v>1959.0</v>
      </c>
    </row>
    <row r="1625">
      <c r="A1625" s="45">
        <v>30053.0</v>
      </c>
      <c r="B1625" s="45" t="s">
        <v>3034</v>
      </c>
      <c r="C1625" s="45" t="s">
        <v>2109</v>
      </c>
      <c r="D1625" s="46">
        <v>21895.0</v>
      </c>
      <c r="E1625" s="46">
        <v>19677.0</v>
      </c>
    </row>
    <row r="1626">
      <c r="A1626" s="45">
        <v>30055.0</v>
      </c>
      <c r="B1626" s="45" t="s">
        <v>3034</v>
      </c>
      <c r="C1626" s="45" t="s">
        <v>3052</v>
      </c>
      <c r="D1626" s="46">
        <v>1676.0</v>
      </c>
      <c r="E1626" s="46">
        <v>1729.0</v>
      </c>
    </row>
    <row r="1627">
      <c r="A1627" s="45">
        <v>30057.0</v>
      </c>
      <c r="B1627" s="45" t="s">
        <v>3034</v>
      </c>
      <c r="C1627" s="45" t="s">
        <v>2039</v>
      </c>
      <c r="D1627" s="46">
        <v>9521.0</v>
      </c>
      <c r="E1627" s="46">
        <v>8623.0</v>
      </c>
    </row>
    <row r="1628">
      <c r="A1628" s="45">
        <v>30059.0</v>
      </c>
      <c r="B1628" s="45" t="s">
        <v>3034</v>
      </c>
      <c r="C1628" s="45" t="s">
        <v>3053</v>
      </c>
      <c r="D1628" s="46">
        <v>2071.0</v>
      </c>
      <c r="E1628" s="46">
        <v>1927.0</v>
      </c>
    </row>
    <row r="1629">
      <c r="A1629" s="45">
        <v>30061.0</v>
      </c>
      <c r="B1629" s="45" t="s">
        <v>3034</v>
      </c>
      <c r="C1629" s="45" t="s">
        <v>2230</v>
      </c>
      <c r="D1629" s="46">
        <v>5090.0</v>
      </c>
      <c r="E1629" s="46">
        <v>4535.0</v>
      </c>
    </row>
    <row r="1630">
      <c r="A1630" s="45">
        <v>30063.0</v>
      </c>
      <c r="B1630" s="45" t="s">
        <v>3034</v>
      </c>
      <c r="C1630" s="45" t="s">
        <v>3054</v>
      </c>
      <c r="D1630" s="46">
        <v>121849.0</v>
      </c>
      <c r="E1630" s="46">
        <v>117922.0</v>
      </c>
    </row>
    <row r="1631">
      <c r="A1631" s="45">
        <v>30065.0</v>
      </c>
      <c r="B1631" s="45" t="s">
        <v>3034</v>
      </c>
      <c r="C1631" s="45" t="s">
        <v>3055</v>
      </c>
      <c r="D1631" s="46">
        <v>5308.0</v>
      </c>
      <c r="E1631" s="46">
        <v>4730.0</v>
      </c>
    </row>
    <row r="1632">
      <c r="A1632" s="45">
        <v>30067.0</v>
      </c>
      <c r="B1632" s="45" t="s">
        <v>3034</v>
      </c>
      <c r="C1632" s="45" t="s">
        <v>2236</v>
      </c>
      <c r="D1632" s="46">
        <v>17903.0</v>
      </c>
      <c r="E1632" s="46">
        <v>17191.0</v>
      </c>
    </row>
    <row r="1633">
      <c r="A1633" s="45">
        <v>30069.0</v>
      </c>
      <c r="B1633" s="45" t="s">
        <v>3034</v>
      </c>
      <c r="C1633" s="45" t="s">
        <v>3056</v>
      </c>
      <c r="D1633" s="45">
        <v>554.0</v>
      </c>
      <c r="E1633" s="45">
        <v>496.0</v>
      </c>
    </row>
    <row r="1634">
      <c r="A1634" s="45">
        <v>30071.0</v>
      </c>
      <c r="B1634" s="45" t="s">
        <v>3034</v>
      </c>
      <c r="C1634" s="45" t="s">
        <v>2118</v>
      </c>
      <c r="D1634" s="46">
        <v>4249.0</v>
      </c>
      <c r="E1634" s="46">
        <v>4217.0</v>
      </c>
    </row>
    <row r="1635">
      <c r="A1635" s="45">
        <v>30073.0</v>
      </c>
      <c r="B1635" s="45" t="s">
        <v>3034</v>
      </c>
      <c r="C1635" s="45" t="s">
        <v>3057</v>
      </c>
      <c r="D1635" s="46">
        <v>6125.0</v>
      </c>
      <c r="E1635" s="46">
        <v>5898.0</v>
      </c>
    </row>
    <row r="1636">
      <c r="A1636" s="45">
        <v>30075.0</v>
      </c>
      <c r="B1636" s="45" t="s">
        <v>3034</v>
      </c>
      <c r="C1636" s="45" t="s">
        <v>3058</v>
      </c>
      <c r="D1636" s="46">
        <v>1743.0</v>
      </c>
      <c r="E1636" s="46">
        <v>1694.0</v>
      </c>
    </row>
    <row r="1637">
      <c r="A1637" s="45">
        <v>30077.0</v>
      </c>
      <c r="B1637" s="45" t="s">
        <v>3034</v>
      </c>
      <c r="C1637" s="45" t="s">
        <v>2716</v>
      </c>
      <c r="D1637" s="46">
        <v>7133.0</v>
      </c>
      <c r="E1637" s="46">
        <v>6946.0</v>
      </c>
    </row>
    <row r="1638">
      <c r="A1638" s="45">
        <v>30079.0</v>
      </c>
      <c r="B1638" s="45" t="s">
        <v>3034</v>
      </c>
      <c r="C1638" s="45" t="s">
        <v>2122</v>
      </c>
      <c r="D1638" s="46">
        <v>1112.0</v>
      </c>
      <c r="E1638" s="46">
        <v>1088.0</v>
      </c>
    </row>
    <row r="1639">
      <c r="A1639" s="45">
        <v>30081.0</v>
      </c>
      <c r="B1639" s="45" t="s">
        <v>3034</v>
      </c>
      <c r="C1639" s="45" t="s">
        <v>3059</v>
      </c>
      <c r="D1639" s="46">
        <v>47738.0</v>
      </c>
      <c r="E1639" s="46">
        <v>44174.0</v>
      </c>
    </row>
    <row r="1640">
      <c r="A1640" s="45">
        <v>30083.0</v>
      </c>
      <c r="B1640" s="45" t="s">
        <v>3034</v>
      </c>
      <c r="C1640" s="45" t="s">
        <v>2499</v>
      </c>
      <c r="D1640" s="46">
        <v>11173.0</v>
      </c>
      <c r="E1640" s="46">
        <v>11491.0</v>
      </c>
    </row>
    <row r="1641">
      <c r="A1641" s="45">
        <v>30085.0</v>
      </c>
      <c r="B1641" s="45" t="s">
        <v>3034</v>
      </c>
      <c r="C1641" s="45" t="s">
        <v>3060</v>
      </c>
      <c r="D1641" s="46">
        <v>10319.0</v>
      </c>
      <c r="E1641" s="46">
        <v>10794.0</v>
      </c>
    </row>
    <row r="1642">
      <c r="A1642" s="45">
        <v>30087.0</v>
      </c>
      <c r="B1642" s="45" t="s">
        <v>3034</v>
      </c>
      <c r="C1642" s="45" t="s">
        <v>3061</v>
      </c>
      <c r="D1642" s="46">
        <v>8160.0</v>
      </c>
      <c r="E1642" s="46">
        <v>8329.0</v>
      </c>
    </row>
    <row r="1643">
      <c r="A1643" s="45">
        <v>30089.0</v>
      </c>
      <c r="B1643" s="45" t="s">
        <v>3034</v>
      </c>
      <c r="C1643" s="45" t="s">
        <v>3062</v>
      </c>
      <c r="D1643" s="46">
        <v>13684.0</v>
      </c>
      <c r="E1643" s="46">
        <v>12400.0</v>
      </c>
    </row>
    <row r="1644">
      <c r="A1644" s="45">
        <v>30091.0</v>
      </c>
      <c r="B1644" s="45" t="s">
        <v>3034</v>
      </c>
      <c r="C1644" s="45" t="s">
        <v>2655</v>
      </c>
      <c r="D1644" s="46">
        <v>3498.0</v>
      </c>
      <c r="E1644" s="46">
        <v>3539.0</v>
      </c>
    </row>
    <row r="1645">
      <c r="A1645" s="45">
        <v>30093.0</v>
      </c>
      <c r="B1645" s="45" t="s">
        <v>3034</v>
      </c>
      <c r="C1645" s="45" t="s">
        <v>3063</v>
      </c>
      <c r="D1645" s="46">
        <v>36360.0</v>
      </c>
      <c r="E1645" s="46">
        <v>35133.0</v>
      </c>
    </row>
    <row r="1646">
      <c r="A1646" s="45">
        <v>30095.0</v>
      </c>
      <c r="B1646" s="45" t="s">
        <v>3034</v>
      </c>
      <c r="C1646" s="45" t="s">
        <v>3064</v>
      </c>
      <c r="D1646" s="46">
        <v>9173.0</v>
      </c>
      <c r="E1646" s="46">
        <v>8963.0</v>
      </c>
    </row>
    <row r="1647">
      <c r="A1647" s="45">
        <v>30097.0</v>
      </c>
      <c r="B1647" s="45" t="s">
        <v>3034</v>
      </c>
      <c r="C1647" s="45" t="s">
        <v>3065</v>
      </c>
      <c r="D1647" s="46">
        <v>3763.0</v>
      </c>
      <c r="E1647" s="46">
        <v>3678.0</v>
      </c>
    </row>
    <row r="1648">
      <c r="A1648" s="45">
        <v>30099.0</v>
      </c>
      <c r="B1648" s="45" t="s">
        <v>3034</v>
      </c>
      <c r="C1648" s="45" t="s">
        <v>2455</v>
      </c>
      <c r="D1648" s="46">
        <v>6430.0</v>
      </c>
      <c r="E1648" s="46">
        <v>6226.0</v>
      </c>
    </row>
    <row r="1649">
      <c r="A1649" s="45">
        <v>30101.0</v>
      </c>
      <c r="B1649" s="45" t="s">
        <v>3034</v>
      </c>
      <c r="C1649" s="45" t="s">
        <v>3066</v>
      </c>
      <c r="D1649" s="46">
        <v>5133.0</v>
      </c>
      <c r="E1649" s="46">
        <v>4971.0</v>
      </c>
    </row>
    <row r="1650">
      <c r="A1650" s="45">
        <v>30103.0</v>
      </c>
      <c r="B1650" s="45" t="s">
        <v>3034</v>
      </c>
      <c r="C1650" s="45" t="s">
        <v>3067</v>
      </c>
      <c r="D1650" s="45">
        <v>772.0</v>
      </c>
      <c r="E1650" s="45">
        <v>762.0</v>
      </c>
    </row>
    <row r="1651">
      <c r="A1651" s="45">
        <v>30105.0</v>
      </c>
      <c r="B1651" s="45" t="s">
        <v>3034</v>
      </c>
      <c r="C1651" s="45" t="s">
        <v>2457</v>
      </c>
      <c r="D1651" s="46">
        <v>7474.0</v>
      </c>
      <c r="E1651" s="46">
        <v>7578.0</v>
      </c>
    </row>
    <row r="1652">
      <c r="A1652" s="45">
        <v>30107.0</v>
      </c>
      <c r="B1652" s="45" t="s">
        <v>3034</v>
      </c>
      <c r="C1652" s="45" t="s">
        <v>3068</v>
      </c>
      <c r="D1652" s="46">
        <v>2057.0</v>
      </c>
      <c r="E1652" s="46">
        <v>2069.0</v>
      </c>
    </row>
    <row r="1653">
      <c r="A1653" s="45">
        <v>30109.0</v>
      </c>
      <c r="B1653" s="45" t="s">
        <v>3034</v>
      </c>
      <c r="C1653" s="45" t="s">
        <v>3069</v>
      </c>
      <c r="D1653" s="45">
        <v>910.0</v>
      </c>
      <c r="E1653" s="45">
        <v>937.0</v>
      </c>
    </row>
    <row r="1654">
      <c r="A1654" s="45">
        <v>30111.0</v>
      </c>
      <c r="B1654" s="45" t="s">
        <v>3034</v>
      </c>
      <c r="C1654" s="45" t="s">
        <v>3070</v>
      </c>
      <c r="D1654" s="46">
        <v>170843.0</v>
      </c>
      <c r="E1654" s="46">
        <v>164731.0</v>
      </c>
    </row>
    <row r="1655">
      <c r="A1655" s="45">
        <v>31001.0</v>
      </c>
      <c r="B1655" s="45" t="s">
        <v>3071</v>
      </c>
      <c r="C1655" s="45" t="s">
        <v>2195</v>
      </c>
      <c r="D1655" s="46">
        <v>30899.0</v>
      </c>
      <c r="E1655" s="46">
        <v>31205.0</v>
      </c>
    </row>
    <row r="1656">
      <c r="A1656" s="45">
        <v>31003.0</v>
      </c>
      <c r="B1656" s="45" t="s">
        <v>3071</v>
      </c>
      <c r="C1656" s="45" t="s">
        <v>3072</v>
      </c>
      <c r="D1656" s="46">
        <v>6302.0</v>
      </c>
      <c r="E1656" s="46">
        <v>6295.0</v>
      </c>
    </row>
    <row r="1657">
      <c r="A1657" s="45">
        <v>31005.0</v>
      </c>
      <c r="B1657" s="45" t="s">
        <v>3071</v>
      </c>
      <c r="C1657" s="45" t="s">
        <v>3073</v>
      </c>
      <c r="D1657" s="45">
        <v>412.0</v>
      </c>
      <c r="E1657" s="45">
        <v>434.0</v>
      </c>
    </row>
    <row r="1658">
      <c r="A1658" s="45">
        <v>31007.0</v>
      </c>
      <c r="B1658" s="45" t="s">
        <v>3071</v>
      </c>
      <c r="C1658" s="45" t="s">
        <v>3074</v>
      </c>
      <c r="D1658" s="45">
        <v>674.0</v>
      </c>
      <c r="E1658" s="45">
        <v>674.0</v>
      </c>
    </row>
    <row r="1659">
      <c r="A1659" s="45">
        <v>31009.0</v>
      </c>
      <c r="B1659" s="45" t="s">
        <v>3071</v>
      </c>
      <c r="C1659" s="45" t="s">
        <v>2430</v>
      </c>
      <c r="D1659" s="45">
        <v>436.0</v>
      </c>
      <c r="E1659" s="45">
        <v>431.0</v>
      </c>
    </row>
    <row r="1660">
      <c r="A1660" s="45">
        <v>31011.0</v>
      </c>
      <c r="B1660" s="45" t="s">
        <v>3071</v>
      </c>
      <c r="C1660" s="45" t="s">
        <v>2084</v>
      </c>
      <c r="D1660" s="46">
        <v>5310.0</v>
      </c>
      <c r="E1660" s="46">
        <v>5379.0</v>
      </c>
    </row>
    <row r="1661">
      <c r="A1661" s="45">
        <v>31013.0</v>
      </c>
      <c r="B1661" s="45" t="s">
        <v>3071</v>
      </c>
      <c r="C1661" s="45" t="s">
        <v>3075</v>
      </c>
      <c r="D1661" s="46">
        <v>10692.0</v>
      </c>
      <c r="E1661" s="46">
        <v>10842.0</v>
      </c>
    </row>
    <row r="1662">
      <c r="A1662" s="45">
        <v>31015.0</v>
      </c>
      <c r="B1662" s="45" t="s">
        <v>3071</v>
      </c>
      <c r="C1662" s="45" t="s">
        <v>2674</v>
      </c>
      <c r="D1662" s="46">
        <v>1725.0</v>
      </c>
      <c r="E1662" s="46">
        <v>1810.0</v>
      </c>
    </row>
    <row r="1663">
      <c r="A1663" s="45">
        <v>31017.0</v>
      </c>
      <c r="B1663" s="45" t="s">
        <v>3071</v>
      </c>
      <c r="C1663" s="45" t="s">
        <v>2461</v>
      </c>
      <c r="D1663" s="46">
        <v>2853.0</v>
      </c>
      <c r="E1663" s="46">
        <v>2903.0</v>
      </c>
    </row>
    <row r="1664">
      <c r="A1664" s="45">
        <v>31019.0</v>
      </c>
      <c r="B1664" s="45" t="s">
        <v>3071</v>
      </c>
      <c r="C1664" s="45" t="s">
        <v>3076</v>
      </c>
      <c r="D1664" s="46">
        <v>50697.0</v>
      </c>
      <c r="E1664" s="46">
        <v>50084.0</v>
      </c>
    </row>
    <row r="1665">
      <c r="A1665" s="45">
        <v>31021.0</v>
      </c>
      <c r="B1665" s="45" t="s">
        <v>3071</v>
      </c>
      <c r="C1665" s="45" t="s">
        <v>3077</v>
      </c>
      <c r="D1665" s="46">
        <v>6727.0</v>
      </c>
      <c r="E1665" s="46">
        <v>6722.0</v>
      </c>
    </row>
    <row r="1666">
      <c r="A1666" s="45">
        <v>31023.0</v>
      </c>
      <c r="B1666" s="45" t="s">
        <v>3071</v>
      </c>
      <c r="C1666" s="45" t="s">
        <v>2001</v>
      </c>
      <c r="D1666" s="46">
        <v>8459.0</v>
      </c>
      <c r="E1666" s="46">
        <v>8369.0</v>
      </c>
    </row>
    <row r="1667">
      <c r="A1667" s="45">
        <v>31025.0</v>
      </c>
      <c r="B1667" s="45" t="s">
        <v>3071</v>
      </c>
      <c r="C1667" s="45" t="s">
        <v>2463</v>
      </c>
      <c r="D1667" s="46">
        <v>27446.0</v>
      </c>
      <c r="E1667" s="46">
        <v>26598.0</v>
      </c>
    </row>
    <row r="1668">
      <c r="A1668" s="45">
        <v>31027.0</v>
      </c>
      <c r="B1668" s="45" t="s">
        <v>3071</v>
      </c>
      <c r="C1668" s="45" t="s">
        <v>2564</v>
      </c>
      <c r="D1668" s="46">
        <v>8262.0</v>
      </c>
      <c r="E1668" s="46">
        <v>8380.0</v>
      </c>
    </row>
    <row r="1669">
      <c r="A1669" s="45">
        <v>31029.0</v>
      </c>
      <c r="B1669" s="45" t="s">
        <v>3071</v>
      </c>
      <c r="C1669" s="45" t="s">
        <v>2607</v>
      </c>
      <c r="D1669" s="46">
        <v>3724.0</v>
      </c>
      <c r="E1669" s="46">
        <v>3893.0</v>
      </c>
    </row>
    <row r="1670">
      <c r="A1670" s="45">
        <v>31031.0</v>
      </c>
      <c r="B1670" s="45" t="s">
        <v>3071</v>
      </c>
      <c r="C1670" s="45" t="s">
        <v>3078</v>
      </c>
      <c r="D1670" s="46">
        <v>5492.0</v>
      </c>
      <c r="E1670" s="46">
        <v>5455.0</v>
      </c>
    </row>
    <row r="1671">
      <c r="A1671" s="45">
        <v>31033.0</v>
      </c>
      <c r="B1671" s="45" t="s">
        <v>3071</v>
      </c>
      <c r="C1671" s="45" t="s">
        <v>2204</v>
      </c>
      <c r="D1671" s="46">
        <v>9541.0</v>
      </c>
      <c r="E1671" s="46">
        <v>9468.0</v>
      </c>
    </row>
    <row r="1672">
      <c r="A1672" s="45">
        <v>31035.0</v>
      </c>
      <c r="B1672" s="45" t="s">
        <v>3071</v>
      </c>
      <c r="C1672" s="45" t="s">
        <v>2008</v>
      </c>
      <c r="D1672" s="46">
        <v>6116.0</v>
      </c>
      <c r="E1672" s="46">
        <v>6104.0</v>
      </c>
    </row>
    <row r="1673">
      <c r="A1673" s="45">
        <v>31037.0</v>
      </c>
      <c r="B1673" s="45" t="s">
        <v>3071</v>
      </c>
      <c r="C1673" s="45" t="s">
        <v>3079</v>
      </c>
      <c r="D1673" s="46">
        <v>10566.0</v>
      </c>
      <c r="E1673" s="46">
        <v>10582.0</v>
      </c>
    </row>
    <row r="1674">
      <c r="A1674" s="45">
        <v>31039.0</v>
      </c>
      <c r="B1674" s="45" t="s">
        <v>3071</v>
      </c>
      <c r="C1674" s="45" t="s">
        <v>3080</v>
      </c>
      <c r="D1674" s="46">
        <v>8918.0</v>
      </c>
      <c r="E1674" s="46">
        <v>9013.0</v>
      </c>
    </row>
    <row r="1675">
      <c r="A1675" s="45">
        <v>31041.0</v>
      </c>
      <c r="B1675" s="45" t="s">
        <v>3071</v>
      </c>
      <c r="C1675" s="45" t="s">
        <v>2209</v>
      </c>
      <c r="D1675" s="46">
        <v>10581.0</v>
      </c>
      <c r="E1675" s="46">
        <v>10545.0</v>
      </c>
    </row>
    <row r="1676">
      <c r="A1676" s="45">
        <v>31043.0</v>
      </c>
      <c r="B1676" s="45" t="s">
        <v>3071</v>
      </c>
      <c r="C1676" s="45" t="s">
        <v>2905</v>
      </c>
      <c r="D1676" s="46">
        <v>21268.0</v>
      </c>
      <c r="E1676" s="46">
        <v>21582.0</v>
      </c>
    </row>
    <row r="1677">
      <c r="A1677" s="45">
        <v>31045.0</v>
      </c>
      <c r="B1677" s="45" t="s">
        <v>3071</v>
      </c>
      <c r="C1677" s="45" t="s">
        <v>3081</v>
      </c>
      <c r="D1677" s="46">
        <v>8133.0</v>
      </c>
      <c r="E1677" s="46">
        <v>8199.0</v>
      </c>
    </row>
    <row r="1678">
      <c r="A1678" s="45">
        <v>31047.0</v>
      </c>
      <c r="B1678" s="45" t="s">
        <v>3071</v>
      </c>
      <c r="C1678" s="45" t="s">
        <v>2345</v>
      </c>
      <c r="D1678" s="46">
        <v>24085.0</v>
      </c>
      <c r="E1678" s="46">
        <v>24111.0</v>
      </c>
    </row>
    <row r="1679">
      <c r="A1679" s="45">
        <v>31049.0</v>
      </c>
      <c r="B1679" s="45" t="s">
        <v>3071</v>
      </c>
      <c r="C1679" s="45" t="s">
        <v>3082</v>
      </c>
      <c r="D1679" s="46">
        <v>1871.0</v>
      </c>
      <c r="E1679" s="46">
        <v>1838.0</v>
      </c>
    </row>
    <row r="1680">
      <c r="A1680" s="45">
        <v>31051.0</v>
      </c>
      <c r="B1680" s="45" t="s">
        <v>3071</v>
      </c>
      <c r="C1680" s="45" t="s">
        <v>3083</v>
      </c>
      <c r="D1680" s="46">
        <v>5491.0</v>
      </c>
      <c r="E1680" s="46">
        <v>5606.0</v>
      </c>
    </row>
    <row r="1681">
      <c r="A1681" s="45">
        <v>31053.0</v>
      </c>
      <c r="B1681" s="45" t="s">
        <v>3071</v>
      </c>
      <c r="C1681" s="45" t="s">
        <v>2347</v>
      </c>
      <c r="D1681" s="46">
        <v>37187.0</v>
      </c>
      <c r="E1681" s="46">
        <v>37167.0</v>
      </c>
    </row>
    <row r="1682">
      <c r="A1682" s="45">
        <v>31055.0</v>
      </c>
      <c r="B1682" s="45" t="s">
        <v>3071</v>
      </c>
      <c r="C1682" s="45" t="s">
        <v>2213</v>
      </c>
      <c r="D1682" s="46">
        <v>589540.0</v>
      </c>
      <c r="E1682" s="46">
        <v>584526.0</v>
      </c>
    </row>
    <row r="1683">
      <c r="A1683" s="45">
        <v>31057.0</v>
      </c>
      <c r="B1683" s="45" t="s">
        <v>3071</v>
      </c>
      <c r="C1683" s="45" t="s">
        <v>3084</v>
      </c>
      <c r="D1683" s="46">
        <v>1561.0</v>
      </c>
      <c r="E1683" s="46">
        <v>1654.0</v>
      </c>
    </row>
    <row r="1684">
      <c r="A1684" s="45">
        <v>31059.0</v>
      </c>
      <c r="B1684" s="45" t="s">
        <v>3071</v>
      </c>
      <c r="C1684" s="45" t="s">
        <v>2907</v>
      </c>
      <c r="D1684" s="46">
        <v>5548.0</v>
      </c>
      <c r="E1684" s="46">
        <v>5551.0</v>
      </c>
    </row>
    <row r="1685">
      <c r="A1685" s="45">
        <v>31061.0</v>
      </c>
      <c r="B1685" s="45" t="s">
        <v>3071</v>
      </c>
      <c r="C1685" s="45" t="s">
        <v>2024</v>
      </c>
      <c r="D1685" s="46">
        <v>2825.0</v>
      </c>
      <c r="E1685" s="46">
        <v>2889.0</v>
      </c>
    </row>
    <row r="1686">
      <c r="A1686" s="45">
        <v>31063.0</v>
      </c>
      <c r="B1686" s="45" t="s">
        <v>3071</v>
      </c>
      <c r="C1686" s="45" t="s">
        <v>3085</v>
      </c>
      <c r="D1686" s="46">
        <v>2585.0</v>
      </c>
      <c r="E1686" s="46">
        <v>2519.0</v>
      </c>
    </row>
    <row r="1687">
      <c r="A1687" s="45">
        <v>31065.0</v>
      </c>
      <c r="B1687" s="45" t="s">
        <v>3071</v>
      </c>
      <c r="C1687" s="45" t="s">
        <v>3086</v>
      </c>
      <c r="D1687" s="46">
        <v>4556.0</v>
      </c>
      <c r="E1687" s="46">
        <v>4636.0</v>
      </c>
    </row>
    <row r="1688">
      <c r="A1688" s="45">
        <v>31067.0</v>
      </c>
      <c r="B1688" s="45" t="s">
        <v>3071</v>
      </c>
      <c r="C1688" s="45" t="s">
        <v>3087</v>
      </c>
      <c r="D1688" s="46">
        <v>21634.0</v>
      </c>
      <c r="E1688" s="46">
        <v>21704.0</v>
      </c>
    </row>
    <row r="1689">
      <c r="A1689" s="45">
        <v>31069.0</v>
      </c>
      <c r="B1689" s="45" t="s">
        <v>3071</v>
      </c>
      <c r="C1689" s="45" t="s">
        <v>3088</v>
      </c>
      <c r="D1689" s="46">
        <v>1794.0</v>
      </c>
      <c r="E1689" s="46">
        <v>1874.0</v>
      </c>
    </row>
    <row r="1690">
      <c r="A1690" s="45">
        <v>31071.0</v>
      </c>
      <c r="B1690" s="45" t="s">
        <v>3071</v>
      </c>
      <c r="C1690" s="45" t="s">
        <v>2218</v>
      </c>
      <c r="D1690" s="46">
        <v>1763.0</v>
      </c>
      <c r="E1690" s="46">
        <v>1813.0</v>
      </c>
    </row>
    <row r="1691">
      <c r="A1691" s="45">
        <v>31073.0</v>
      </c>
      <c r="B1691" s="45" t="s">
        <v>3071</v>
      </c>
      <c r="C1691" s="45" t="s">
        <v>3089</v>
      </c>
      <c r="D1691" s="46">
        <v>1847.0</v>
      </c>
      <c r="E1691" s="46">
        <v>1893.0</v>
      </c>
    </row>
    <row r="1692">
      <c r="A1692" s="45">
        <v>31075.0</v>
      </c>
      <c r="B1692" s="45" t="s">
        <v>3071</v>
      </c>
      <c r="C1692" s="45" t="s">
        <v>2101</v>
      </c>
      <c r="D1692" s="45">
        <v>565.0</v>
      </c>
      <c r="E1692" s="45">
        <v>611.0</v>
      </c>
    </row>
    <row r="1693">
      <c r="A1693" s="45">
        <v>31077.0</v>
      </c>
      <c r="B1693" s="45" t="s">
        <v>3071</v>
      </c>
      <c r="C1693" s="45" t="s">
        <v>2621</v>
      </c>
      <c r="D1693" s="46">
        <v>2219.0</v>
      </c>
      <c r="E1693" s="46">
        <v>2188.0</v>
      </c>
    </row>
    <row r="1694">
      <c r="A1694" s="45">
        <v>31079.0</v>
      </c>
      <c r="B1694" s="45" t="s">
        <v>3071</v>
      </c>
      <c r="C1694" s="45" t="s">
        <v>2365</v>
      </c>
      <c r="D1694" s="46">
        <v>62197.0</v>
      </c>
      <c r="E1694" s="46">
        <v>62895.0</v>
      </c>
    </row>
    <row r="1695">
      <c r="A1695" s="45">
        <v>31081.0</v>
      </c>
      <c r="B1695" s="45" t="s">
        <v>3071</v>
      </c>
      <c r="C1695" s="45" t="s">
        <v>2282</v>
      </c>
      <c r="D1695" s="46">
        <v>9537.0</v>
      </c>
      <c r="E1695" s="46">
        <v>9429.0</v>
      </c>
    </row>
    <row r="1696">
      <c r="A1696" s="45">
        <v>31083.0</v>
      </c>
      <c r="B1696" s="45" t="s">
        <v>3071</v>
      </c>
      <c r="C1696" s="45" t="s">
        <v>2695</v>
      </c>
      <c r="D1696" s="46">
        <v>3045.0</v>
      </c>
      <c r="E1696" s="46">
        <v>3073.0</v>
      </c>
    </row>
    <row r="1697">
      <c r="A1697" s="45">
        <v>31085.0</v>
      </c>
      <c r="B1697" s="45" t="s">
        <v>3071</v>
      </c>
      <c r="C1697" s="45" t="s">
        <v>3090</v>
      </c>
      <c r="D1697" s="45">
        <v>846.0</v>
      </c>
      <c r="E1697" s="45">
        <v>856.0</v>
      </c>
    </row>
    <row r="1698">
      <c r="A1698" s="45">
        <v>31087.0</v>
      </c>
      <c r="B1698" s="45" t="s">
        <v>3071</v>
      </c>
      <c r="C1698" s="45" t="s">
        <v>3091</v>
      </c>
      <c r="D1698" s="46">
        <v>2552.0</v>
      </c>
      <c r="E1698" s="46">
        <v>2616.0</v>
      </c>
    </row>
    <row r="1699">
      <c r="A1699" s="45">
        <v>31089.0</v>
      </c>
      <c r="B1699" s="45" t="s">
        <v>3071</v>
      </c>
      <c r="C1699" s="45" t="s">
        <v>3007</v>
      </c>
      <c r="D1699" s="46">
        <v>10093.0</v>
      </c>
      <c r="E1699" s="46">
        <v>10127.0</v>
      </c>
    </row>
    <row r="1700">
      <c r="A1700" s="45">
        <v>31091.0</v>
      </c>
      <c r="B1700" s="45" t="s">
        <v>3071</v>
      </c>
      <c r="C1700" s="45" t="s">
        <v>3092</v>
      </c>
      <c r="D1700" s="45">
        <v>679.0</v>
      </c>
      <c r="E1700" s="45">
        <v>711.0</v>
      </c>
    </row>
    <row r="1701">
      <c r="A1701" s="45">
        <v>31093.0</v>
      </c>
      <c r="B1701" s="45" t="s">
        <v>3071</v>
      </c>
      <c r="C1701" s="45" t="s">
        <v>2104</v>
      </c>
      <c r="D1701" s="46">
        <v>6527.0</v>
      </c>
      <c r="E1701" s="46">
        <v>6475.0</v>
      </c>
    </row>
    <row r="1702">
      <c r="A1702" s="45">
        <v>31095.0</v>
      </c>
      <c r="B1702" s="45" t="s">
        <v>3071</v>
      </c>
      <c r="C1702" s="45" t="s">
        <v>2031</v>
      </c>
      <c r="D1702" s="46">
        <v>7054.0</v>
      </c>
      <c r="E1702" s="46">
        <v>7240.0</v>
      </c>
    </row>
    <row r="1703">
      <c r="A1703" s="45">
        <v>31097.0</v>
      </c>
      <c r="B1703" s="45" t="s">
        <v>3071</v>
      </c>
      <c r="C1703" s="45" t="s">
        <v>2107</v>
      </c>
      <c r="D1703" s="46">
        <v>5198.0</v>
      </c>
      <c r="E1703" s="46">
        <v>5290.0</v>
      </c>
    </row>
    <row r="1704">
      <c r="A1704" s="45">
        <v>31099.0</v>
      </c>
      <c r="B1704" s="45" t="s">
        <v>3071</v>
      </c>
      <c r="C1704" s="45" t="s">
        <v>3093</v>
      </c>
      <c r="D1704" s="46">
        <v>6770.0</v>
      </c>
      <c r="E1704" s="46">
        <v>6688.0</v>
      </c>
    </row>
    <row r="1705">
      <c r="A1705" s="45">
        <v>31101.0</v>
      </c>
      <c r="B1705" s="45" t="s">
        <v>3071</v>
      </c>
      <c r="C1705" s="45" t="s">
        <v>3094</v>
      </c>
      <c r="D1705" s="46">
        <v>8113.0</v>
      </c>
      <c r="E1705" s="46">
        <v>8335.0</v>
      </c>
    </row>
    <row r="1706">
      <c r="A1706" s="45">
        <v>31103.0</v>
      </c>
      <c r="B1706" s="45" t="s">
        <v>3071</v>
      </c>
      <c r="C1706" s="45" t="s">
        <v>3095</v>
      </c>
      <c r="D1706" s="45">
        <v>805.0</v>
      </c>
      <c r="E1706" s="45">
        <v>769.0</v>
      </c>
    </row>
    <row r="1707">
      <c r="A1707" s="45">
        <v>31105.0</v>
      </c>
      <c r="B1707" s="45" t="s">
        <v>3071</v>
      </c>
      <c r="C1707" s="45" t="s">
        <v>3096</v>
      </c>
      <c r="D1707" s="46">
        <v>3289.0</v>
      </c>
      <c r="E1707" s="46">
        <v>3434.0</v>
      </c>
    </row>
    <row r="1708">
      <c r="A1708" s="45">
        <v>31107.0</v>
      </c>
      <c r="B1708" s="45" t="s">
        <v>3071</v>
      </c>
      <c r="C1708" s="45" t="s">
        <v>2484</v>
      </c>
      <c r="D1708" s="46">
        <v>8298.0</v>
      </c>
      <c r="E1708" s="46">
        <v>8391.0</v>
      </c>
    </row>
    <row r="1709">
      <c r="A1709" s="45">
        <v>31109.0</v>
      </c>
      <c r="B1709" s="45" t="s">
        <v>3071</v>
      </c>
      <c r="C1709" s="45" t="s">
        <v>3097</v>
      </c>
      <c r="D1709" s="46">
        <v>326716.0</v>
      </c>
      <c r="E1709" s="46">
        <v>322608.0</v>
      </c>
    </row>
    <row r="1710">
      <c r="A1710" s="45">
        <v>31111.0</v>
      </c>
      <c r="B1710" s="45" t="s">
        <v>3071</v>
      </c>
      <c r="C1710" s="45" t="s">
        <v>2109</v>
      </c>
      <c r="D1710" s="46">
        <v>33365.0</v>
      </c>
      <c r="E1710" s="46">
        <v>34676.0</v>
      </c>
    </row>
    <row r="1711">
      <c r="A1711" s="45">
        <v>31113.0</v>
      </c>
      <c r="B1711" s="45" t="s">
        <v>3071</v>
      </c>
      <c r="C1711" s="45" t="s">
        <v>2111</v>
      </c>
      <c r="D1711" s="45">
        <v>655.0</v>
      </c>
      <c r="E1711" s="45">
        <v>716.0</v>
      </c>
    </row>
    <row r="1712">
      <c r="A1712" s="45">
        <v>31115.0</v>
      </c>
      <c r="B1712" s="45" t="s">
        <v>3071</v>
      </c>
      <c r="C1712" s="45" t="s">
        <v>3098</v>
      </c>
      <c r="D1712" s="45">
        <v>592.0</v>
      </c>
      <c r="E1712" s="45">
        <v>607.0</v>
      </c>
    </row>
    <row r="1713">
      <c r="A1713" s="45">
        <v>31117.0</v>
      </c>
      <c r="B1713" s="45" t="s">
        <v>3071</v>
      </c>
      <c r="C1713" s="45" t="s">
        <v>2633</v>
      </c>
      <c r="D1713" s="45">
        <v>383.0</v>
      </c>
      <c r="E1713" s="45">
        <v>399.0</v>
      </c>
    </row>
    <row r="1714">
      <c r="A1714" s="45">
        <v>31119.0</v>
      </c>
      <c r="B1714" s="45" t="s">
        <v>3071</v>
      </c>
      <c r="C1714" s="45" t="s">
        <v>2039</v>
      </c>
      <c r="D1714" s="46">
        <v>35627.0</v>
      </c>
      <c r="E1714" s="46">
        <v>35585.0</v>
      </c>
    </row>
    <row r="1715">
      <c r="A1715" s="45">
        <v>31121.0</v>
      </c>
      <c r="B1715" s="45" t="s">
        <v>3071</v>
      </c>
      <c r="C1715" s="45" t="s">
        <v>3099</v>
      </c>
      <c r="D1715" s="46">
        <v>7755.0</v>
      </c>
      <c r="E1715" s="46">
        <v>7668.0</v>
      </c>
    </row>
    <row r="1716">
      <c r="A1716" s="45">
        <v>31123.0</v>
      </c>
      <c r="B1716" s="45" t="s">
        <v>3071</v>
      </c>
      <c r="C1716" s="45" t="s">
        <v>3100</v>
      </c>
      <c r="D1716" s="46">
        <v>4504.0</v>
      </c>
      <c r="E1716" s="46">
        <v>4555.0</v>
      </c>
    </row>
    <row r="1717">
      <c r="A1717" s="45">
        <v>31125.0</v>
      </c>
      <c r="B1717" s="45" t="s">
        <v>3071</v>
      </c>
      <c r="C1717" s="45" t="s">
        <v>3101</v>
      </c>
      <c r="D1717" s="46">
        <v>3274.0</v>
      </c>
      <c r="E1717" s="46">
        <v>3380.0</v>
      </c>
    </row>
    <row r="1718">
      <c r="A1718" s="45">
        <v>31127.0</v>
      </c>
      <c r="B1718" s="45" t="s">
        <v>3071</v>
      </c>
      <c r="C1718" s="45" t="s">
        <v>2637</v>
      </c>
      <c r="D1718" s="46">
        <v>7076.0</v>
      </c>
      <c r="E1718" s="46">
        <v>7074.0</v>
      </c>
    </row>
    <row r="1719">
      <c r="A1719" s="45">
        <v>31129.0</v>
      </c>
      <c r="B1719" s="45" t="s">
        <v>3071</v>
      </c>
      <c r="C1719" s="45" t="s">
        <v>3102</v>
      </c>
      <c r="D1719" s="46">
        <v>4095.0</v>
      </c>
      <c r="E1719" s="46">
        <v>4095.0</v>
      </c>
    </row>
    <row r="1720">
      <c r="A1720" s="45">
        <v>31131.0</v>
      </c>
      <c r="B1720" s="45" t="s">
        <v>3071</v>
      </c>
      <c r="C1720" s="45" t="s">
        <v>3103</v>
      </c>
      <c r="D1720" s="46">
        <v>16335.0</v>
      </c>
      <c r="E1720" s="46">
        <v>15912.0</v>
      </c>
    </row>
    <row r="1721">
      <c r="A1721" s="45">
        <v>31133.0</v>
      </c>
      <c r="B1721" s="45" t="s">
        <v>3071</v>
      </c>
      <c r="C1721" s="45" t="s">
        <v>2644</v>
      </c>
      <c r="D1721" s="46">
        <v>2512.0</v>
      </c>
      <c r="E1721" s="46">
        <v>2544.0</v>
      </c>
    </row>
    <row r="1722">
      <c r="A1722" s="45">
        <v>31135.0</v>
      </c>
      <c r="B1722" s="45" t="s">
        <v>3071</v>
      </c>
      <c r="C1722" s="45" t="s">
        <v>3104</v>
      </c>
      <c r="D1722" s="46">
        <v>2795.0</v>
      </c>
      <c r="E1722" s="46">
        <v>2858.0</v>
      </c>
    </row>
    <row r="1723">
      <c r="A1723" s="45">
        <v>31137.0</v>
      </c>
      <c r="B1723" s="45" t="s">
        <v>3071</v>
      </c>
      <c r="C1723" s="45" t="s">
        <v>3019</v>
      </c>
      <c r="D1723" s="46">
        <v>9057.0</v>
      </c>
      <c r="E1723" s="46">
        <v>8968.0</v>
      </c>
    </row>
    <row r="1724">
      <c r="A1724" s="45">
        <v>31139.0</v>
      </c>
      <c r="B1724" s="45" t="s">
        <v>3071</v>
      </c>
      <c r="C1724" s="45" t="s">
        <v>2390</v>
      </c>
      <c r="D1724" s="46">
        <v>7299.0</v>
      </c>
      <c r="E1724" s="46">
        <v>7317.0</v>
      </c>
    </row>
    <row r="1725">
      <c r="A1725" s="45">
        <v>31141.0</v>
      </c>
      <c r="B1725" s="45" t="s">
        <v>3071</v>
      </c>
      <c r="C1725" s="45" t="s">
        <v>3020</v>
      </c>
      <c r="D1725" s="46">
        <v>34609.0</v>
      </c>
      <c r="E1725" s="46">
        <v>34296.0</v>
      </c>
    </row>
    <row r="1726">
      <c r="A1726" s="45">
        <v>31143.0</v>
      </c>
      <c r="B1726" s="45" t="s">
        <v>3071</v>
      </c>
      <c r="C1726" s="45" t="s">
        <v>2120</v>
      </c>
      <c r="D1726" s="46">
        <v>5228.0</v>
      </c>
      <c r="E1726" s="46">
        <v>5214.0</v>
      </c>
    </row>
    <row r="1727">
      <c r="A1727" s="45">
        <v>31145.0</v>
      </c>
      <c r="B1727" s="45" t="s">
        <v>3071</v>
      </c>
      <c r="C1727" s="45" t="s">
        <v>3105</v>
      </c>
      <c r="D1727" s="46">
        <v>10457.0</v>
      </c>
      <c r="E1727" s="46">
        <v>10702.0</v>
      </c>
    </row>
    <row r="1728">
      <c r="A1728" s="45">
        <v>31147.0</v>
      </c>
      <c r="B1728" s="45" t="s">
        <v>3071</v>
      </c>
      <c r="C1728" s="45" t="s">
        <v>3106</v>
      </c>
      <c r="D1728" s="46">
        <v>7689.0</v>
      </c>
      <c r="E1728" s="46">
        <v>7871.0</v>
      </c>
    </row>
    <row r="1729">
      <c r="A1729" s="45">
        <v>31149.0</v>
      </c>
      <c r="B1729" s="45" t="s">
        <v>3071</v>
      </c>
      <c r="C1729" s="45" t="s">
        <v>2939</v>
      </c>
      <c r="D1729" s="46">
        <v>1271.0</v>
      </c>
      <c r="E1729" s="46">
        <v>1262.0</v>
      </c>
    </row>
    <row r="1730">
      <c r="A1730" s="45">
        <v>31151.0</v>
      </c>
      <c r="B1730" s="45" t="s">
        <v>3071</v>
      </c>
      <c r="C1730" s="45" t="s">
        <v>2125</v>
      </c>
      <c r="D1730" s="46">
        <v>14555.0</v>
      </c>
      <c r="E1730" s="46">
        <v>14292.0</v>
      </c>
    </row>
    <row r="1731">
      <c r="A1731" s="45">
        <v>31153.0</v>
      </c>
      <c r="B1731" s="45" t="s">
        <v>3071</v>
      </c>
      <c r="C1731" s="45" t="s">
        <v>3107</v>
      </c>
      <c r="D1731" s="46">
        <v>199886.0</v>
      </c>
      <c r="E1731" s="46">
        <v>190604.0</v>
      </c>
    </row>
    <row r="1732">
      <c r="A1732" s="45">
        <v>31155.0</v>
      </c>
      <c r="B1732" s="45" t="s">
        <v>3071</v>
      </c>
      <c r="C1732" s="45" t="s">
        <v>3108</v>
      </c>
      <c r="D1732" s="46">
        <v>23463.0</v>
      </c>
      <c r="E1732" s="46">
        <v>22278.0</v>
      </c>
    </row>
    <row r="1733">
      <c r="A1733" s="45">
        <v>31157.0</v>
      </c>
      <c r="B1733" s="45" t="s">
        <v>3071</v>
      </c>
      <c r="C1733" s="45" t="s">
        <v>3109</v>
      </c>
      <c r="D1733" s="46">
        <v>35699.0</v>
      </c>
      <c r="E1733" s="46">
        <v>36084.0</v>
      </c>
    </row>
    <row r="1734">
      <c r="A1734" s="45">
        <v>31159.0</v>
      </c>
      <c r="B1734" s="45" t="s">
        <v>3071</v>
      </c>
      <c r="C1734" s="45" t="s">
        <v>2653</v>
      </c>
      <c r="D1734" s="46">
        <v>17671.0</v>
      </c>
      <c r="E1734" s="46">
        <v>17609.0</v>
      </c>
    </row>
    <row r="1735">
      <c r="A1735" s="45">
        <v>31161.0</v>
      </c>
      <c r="B1735" s="45" t="s">
        <v>3071</v>
      </c>
      <c r="C1735" s="45" t="s">
        <v>2655</v>
      </c>
      <c r="D1735" s="46">
        <v>4928.0</v>
      </c>
      <c r="E1735" s="46">
        <v>5127.0</v>
      </c>
    </row>
    <row r="1736">
      <c r="A1736" s="45">
        <v>31163.0</v>
      </c>
      <c r="B1736" s="45" t="s">
        <v>3071</v>
      </c>
      <c r="C1736" s="45" t="s">
        <v>2656</v>
      </c>
      <c r="D1736" s="46">
        <v>2983.0</v>
      </c>
      <c r="E1736" s="46">
        <v>2959.0</v>
      </c>
    </row>
    <row r="1737">
      <c r="A1737" s="45">
        <v>31165.0</v>
      </c>
      <c r="B1737" s="45" t="s">
        <v>3071</v>
      </c>
      <c r="C1737" s="45" t="s">
        <v>2594</v>
      </c>
      <c r="D1737" s="46">
        <v>1154.0</v>
      </c>
      <c r="E1737" s="46">
        <v>1135.0</v>
      </c>
    </row>
    <row r="1738">
      <c r="A1738" s="45">
        <v>31167.0</v>
      </c>
      <c r="B1738" s="45" t="s">
        <v>3071</v>
      </c>
      <c r="C1738" s="45" t="s">
        <v>2659</v>
      </c>
      <c r="D1738" s="46">
        <v>5856.0</v>
      </c>
      <c r="E1738" s="46">
        <v>5842.0</v>
      </c>
    </row>
    <row r="1739">
      <c r="A1739" s="45">
        <v>31169.0</v>
      </c>
      <c r="B1739" s="45" t="s">
        <v>3071</v>
      </c>
      <c r="C1739" s="45" t="s">
        <v>3110</v>
      </c>
      <c r="D1739" s="46">
        <v>4829.0</v>
      </c>
      <c r="E1739" s="46">
        <v>5034.0</v>
      </c>
    </row>
    <row r="1740">
      <c r="A1740" s="45">
        <v>31171.0</v>
      </c>
      <c r="B1740" s="45" t="s">
        <v>3071</v>
      </c>
      <c r="C1740" s="45" t="s">
        <v>2405</v>
      </c>
      <c r="D1740" s="45">
        <v>677.0</v>
      </c>
      <c r="E1740" s="45">
        <v>669.0</v>
      </c>
    </row>
    <row r="1741">
      <c r="A1741" s="45">
        <v>31173.0</v>
      </c>
      <c r="B1741" s="45" t="s">
        <v>3071</v>
      </c>
      <c r="C1741" s="45" t="s">
        <v>3111</v>
      </c>
      <c r="D1741" s="46">
        <v>6557.0</v>
      </c>
      <c r="E1741" s="46">
        <v>6773.0</v>
      </c>
    </row>
    <row r="1742">
      <c r="A1742" s="45">
        <v>31175.0</v>
      </c>
      <c r="B1742" s="45" t="s">
        <v>3071</v>
      </c>
      <c r="C1742" s="45" t="s">
        <v>2457</v>
      </c>
      <c r="D1742" s="46">
        <v>4012.0</v>
      </c>
      <c r="E1742" s="46">
        <v>4059.0</v>
      </c>
    </row>
    <row r="1743">
      <c r="A1743" s="45">
        <v>31177.0</v>
      </c>
      <c r="B1743" s="45" t="s">
        <v>3071</v>
      </c>
      <c r="C1743" s="45" t="s">
        <v>2059</v>
      </c>
      <c r="D1743" s="46">
        <v>21152.0</v>
      </c>
      <c r="E1743" s="46">
        <v>20865.0</v>
      </c>
    </row>
    <row r="1744">
      <c r="A1744" s="45">
        <v>31179.0</v>
      </c>
      <c r="B1744" s="45" t="s">
        <v>3071</v>
      </c>
      <c r="C1744" s="45" t="s">
        <v>2416</v>
      </c>
      <c r="D1744" s="46">
        <v>9874.0</v>
      </c>
      <c r="E1744" s="46">
        <v>9697.0</v>
      </c>
    </row>
    <row r="1745">
      <c r="A1745" s="45">
        <v>31181.0</v>
      </c>
      <c r="B1745" s="45" t="s">
        <v>3071</v>
      </c>
      <c r="C1745" s="45" t="s">
        <v>2417</v>
      </c>
      <c r="D1745" s="46">
        <v>3351.0</v>
      </c>
      <c r="E1745" s="46">
        <v>3395.0</v>
      </c>
    </row>
    <row r="1746">
      <c r="A1746" s="45">
        <v>31183.0</v>
      </c>
      <c r="B1746" s="45" t="s">
        <v>3071</v>
      </c>
      <c r="C1746" s="45" t="s">
        <v>2418</v>
      </c>
      <c r="D1746" s="45">
        <v>775.0</v>
      </c>
      <c r="E1746" s="45">
        <v>774.0</v>
      </c>
    </row>
    <row r="1747">
      <c r="A1747" s="45">
        <v>31185.0</v>
      </c>
      <c r="B1747" s="45" t="s">
        <v>3071</v>
      </c>
      <c r="C1747" s="45" t="s">
        <v>2800</v>
      </c>
      <c r="D1747" s="46">
        <v>14356.0</v>
      </c>
      <c r="E1747" s="46">
        <v>14125.0</v>
      </c>
    </row>
    <row r="1748">
      <c r="A1748" s="45">
        <v>32001.0</v>
      </c>
      <c r="B1748" s="45" t="s">
        <v>3112</v>
      </c>
      <c r="C1748" s="45" t="s">
        <v>3113</v>
      </c>
      <c r="D1748" s="46">
        <v>25803.0</v>
      </c>
      <c r="E1748" s="46">
        <v>25516.0</v>
      </c>
    </row>
    <row r="1749">
      <c r="A1749" s="45">
        <v>32003.0</v>
      </c>
      <c r="B1749" s="45" t="s">
        <v>3112</v>
      </c>
      <c r="C1749" s="45" t="s">
        <v>2088</v>
      </c>
      <c r="D1749" s="46">
        <v>2336573.0</v>
      </c>
      <c r="E1749" s="46">
        <v>2265461.0</v>
      </c>
    </row>
    <row r="1750">
      <c r="A1750" s="45">
        <v>32005.0</v>
      </c>
      <c r="B1750" s="45" t="s">
        <v>3112</v>
      </c>
      <c r="C1750" s="45" t="s">
        <v>2213</v>
      </c>
      <c r="D1750" s="46">
        <v>49545.0</v>
      </c>
      <c r="E1750" s="46">
        <v>49488.0</v>
      </c>
    </row>
    <row r="1751">
      <c r="A1751" s="45">
        <v>32007.0</v>
      </c>
      <c r="B1751" s="45" t="s">
        <v>3112</v>
      </c>
      <c r="C1751" s="45" t="s">
        <v>3114</v>
      </c>
      <c r="D1751" s="46">
        <v>54293.0</v>
      </c>
      <c r="E1751" s="46">
        <v>53702.0</v>
      </c>
    </row>
    <row r="1752">
      <c r="A1752" s="45">
        <v>32009.0</v>
      </c>
      <c r="B1752" s="45" t="s">
        <v>3112</v>
      </c>
      <c r="C1752" s="45" t="s">
        <v>3115</v>
      </c>
      <c r="D1752" s="45">
        <v>736.0</v>
      </c>
      <c r="E1752" s="45">
        <v>729.0</v>
      </c>
    </row>
    <row r="1753">
      <c r="A1753" s="45">
        <v>32011.0</v>
      </c>
      <c r="B1753" s="45" t="s">
        <v>3112</v>
      </c>
      <c r="C1753" s="45" t="s">
        <v>3116</v>
      </c>
      <c r="D1753" s="46">
        <v>1917.0</v>
      </c>
      <c r="E1753" s="46">
        <v>1855.0</v>
      </c>
    </row>
    <row r="1754">
      <c r="A1754" s="45">
        <v>32013.0</v>
      </c>
      <c r="B1754" s="45" t="s">
        <v>3112</v>
      </c>
      <c r="C1754" s="45" t="s">
        <v>2149</v>
      </c>
      <c r="D1754" s="46">
        <v>17136.0</v>
      </c>
      <c r="E1754" s="46">
        <v>17285.0</v>
      </c>
    </row>
    <row r="1755">
      <c r="A1755" s="45">
        <v>32015.0</v>
      </c>
      <c r="B1755" s="45" t="s">
        <v>3112</v>
      </c>
      <c r="C1755" s="45" t="s">
        <v>3117</v>
      </c>
      <c r="D1755" s="46">
        <v>5769.0</v>
      </c>
      <c r="E1755" s="46">
        <v>5734.0</v>
      </c>
    </row>
    <row r="1756">
      <c r="A1756" s="45">
        <v>32017.0</v>
      </c>
      <c r="B1756" s="45" t="s">
        <v>3112</v>
      </c>
      <c r="C1756" s="45" t="s">
        <v>2109</v>
      </c>
      <c r="D1756" s="46">
        <v>4452.0</v>
      </c>
      <c r="E1756" s="46">
        <v>4499.0</v>
      </c>
    </row>
    <row r="1757">
      <c r="A1757" s="45">
        <v>32019.0</v>
      </c>
      <c r="B1757" s="45" t="s">
        <v>3112</v>
      </c>
      <c r="C1757" s="45" t="s">
        <v>2580</v>
      </c>
      <c r="D1757" s="46">
        <v>62583.0</v>
      </c>
      <c r="E1757" s="46">
        <v>59235.0</v>
      </c>
    </row>
    <row r="1758">
      <c r="A1758" s="45">
        <v>32021.0</v>
      </c>
      <c r="B1758" s="45" t="s">
        <v>3112</v>
      </c>
      <c r="C1758" s="45" t="s">
        <v>2230</v>
      </c>
      <c r="D1758" s="46">
        <v>4528.0</v>
      </c>
      <c r="E1758" s="46">
        <v>4554.0</v>
      </c>
    </row>
    <row r="1759">
      <c r="A1759" s="45">
        <v>32023.0</v>
      </c>
      <c r="B1759" s="45" t="s">
        <v>3112</v>
      </c>
      <c r="C1759" s="45" t="s">
        <v>3118</v>
      </c>
      <c r="D1759" s="46">
        <v>55720.0</v>
      </c>
      <c r="E1759" s="46">
        <v>51591.0</v>
      </c>
    </row>
    <row r="1760">
      <c r="A1760" s="45">
        <v>32027.0</v>
      </c>
      <c r="B1760" s="45" t="s">
        <v>3112</v>
      </c>
      <c r="C1760" s="45" t="s">
        <v>3119</v>
      </c>
      <c r="D1760" s="46">
        <v>6364.0</v>
      </c>
      <c r="E1760" s="46">
        <v>6650.0</v>
      </c>
    </row>
    <row r="1761">
      <c r="A1761" s="45">
        <v>32029.0</v>
      </c>
      <c r="B1761" s="45" t="s">
        <v>3112</v>
      </c>
      <c r="C1761" s="45" t="s">
        <v>3120</v>
      </c>
      <c r="D1761" s="46">
        <v>4177.0</v>
      </c>
      <c r="E1761" s="46">
        <v>4104.0</v>
      </c>
    </row>
    <row r="1762">
      <c r="A1762" s="45">
        <v>32031.0</v>
      </c>
      <c r="B1762" s="45" t="s">
        <v>3112</v>
      </c>
      <c r="C1762" s="45" t="s">
        <v>3121</v>
      </c>
      <c r="D1762" s="46">
        <v>498022.0</v>
      </c>
      <c r="E1762" s="46">
        <v>486492.0</v>
      </c>
    </row>
    <row r="1763">
      <c r="A1763" s="45">
        <v>32033.0</v>
      </c>
      <c r="B1763" s="45" t="s">
        <v>3112</v>
      </c>
      <c r="C1763" s="45" t="s">
        <v>3122</v>
      </c>
      <c r="D1763" s="46">
        <v>8522.0</v>
      </c>
      <c r="E1763" s="46">
        <v>9080.0</v>
      </c>
    </row>
    <row r="1764">
      <c r="A1764" s="45">
        <v>32510.0</v>
      </c>
      <c r="B1764" s="45" t="s">
        <v>3112</v>
      </c>
      <c r="C1764" s="45" t="s">
        <v>1249</v>
      </c>
      <c r="D1764" s="46">
        <v>58036.0</v>
      </c>
      <c r="E1764" s="46">
        <v>58639.0</v>
      </c>
    </row>
    <row r="1765">
      <c r="A1765" s="45">
        <v>33001.0</v>
      </c>
      <c r="B1765" s="45" t="s">
        <v>3123</v>
      </c>
      <c r="C1765" s="45" t="s">
        <v>3124</v>
      </c>
      <c r="D1765" s="46">
        <v>65027.0</v>
      </c>
      <c r="E1765" s="46">
        <v>63705.0</v>
      </c>
    </row>
    <row r="1766">
      <c r="A1766" s="45">
        <v>33003.0</v>
      </c>
      <c r="B1766" s="45" t="s">
        <v>3123</v>
      </c>
      <c r="C1766" s="45" t="s">
        <v>2086</v>
      </c>
      <c r="D1766" s="46">
        <v>52448.0</v>
      </c>
      <c r="E1766" s="46">
        <v>50107.0</v>
      </c>
    </row>
    <row r="1767">
      <c r="A1767" s="45">
        <v>33005.0</v>
      </c>
      <c r="B1767" s="45" t="s">
        <v>3123</v>
      </c>
      <c r="C1767" s="45" t="s">
        <v>3125</v>
      </c>
      <c r="D1767" s="46">
        <v>77703.0</v>
      </c>
      <c r="E1767" s="46">
        <v>76458.0</v>
      </c>
    </row>
    <row r="1768">
      <c r="A1768" s="45">
        <v>33007.0</v>
      </c>
      <c r="B1768" s="45" t="s">
        <v>3123</v>
      </c>
      <c r="C1768" s="45" t="s">
        <v>3126</v>
      </c>
      <c r="D1768" s="46">
        <v>31372.0</v>
      </c>
      <c r="E1768" s="46">
        <v>31268.0</v>
      </c>
    </row>
    <row r="1769">
      <c r="A1769" s="45">
        <v>33009.0</v>
      </c>
      <c r="B1769" s="45" t="s">
        <v>3123</v>
      </c>
      <c r="C1769" s="45" t="s">
        <v>3127</v>
      </c>
      <c r="D1769" s="46">
        <v>93146.0</v>
      </c>
      <c r="E1769" s="46">
        <v>91118.0</v>
      </c>
    </row>
    <row r="1770">
      <c r="A1770" s="45">
        <v>33011.0</v>
      </c>
      <c r="B1770" s="45" t="s">
        <v>3123</v>
      </c>
      <c r="C1770" s="45" t="s">
        <v>2287</v>
      </c>
      <c r="D1770" s="46">
        <v>427354.0</v>
      </c>
      <c r="E1770" s="46">
        <v>422937.0</v>
      </c>
    </row>
    <row r="1771">
      <c r="A1771" s="45">
        <v>33013.0</v>
      </c>
      <c r="B1771" s="45" t="s">
        <v>3123</v>
      </c>
      <c r="C1771" s="45" t="s">
        <v>3128</v>
      </c>
      <c r="D1771" s="46">
        <v>157103.0</v>
      </c>
      <c r="E1771" s="46">
        <v>153808.0</v>
      </c>
    </row>
    <row r="1772">
      <c r="A1772" s="45">
        <v>33015.0</v>
      </c>
      <c r="B1772" s="45" t="s">
        <v>3123</v>
      </c>
      <c r="C1772" s="45" t="s">
        <v>3129</v>
      </c>
      <c r="D1772" s="46">
        <v>320689.0</v>
      </c>
      <c r="E1772" s="46">
        <v>314176.0</v>
      </c>
    </row>
    <row r="1773">
      <c r="A1773" s="45">
        <v>33017.0</v>
      </c>
      <c r="B1773" s="45" t="s">
        <v>3123</v>
      </c>
      <c r="C1773" s="45" t="s">
        <v>3130</v>
      </c>
      <c r="D1773" s="46">
        <v>133243.0</v>
      </c>
      <c r="E1773" s="46">
        <v>130889.0</v>
      </c>
    </row>
    <row r="1774">
      <c r="A1774" s="45">
        <v>33019.0</v>
      </c>
      <c r="B1774" s="45" t="s">
        <v>3123</v>
      </c>
      <c r="C1774" s="45" t="s">
        <v>2545</v>
      </c>
      <c r="D1774" s="46">
        <v>43969.0</v>
      </c>
      <c r="E1774" s="46">
        <v>43063.0</v>
      </c>
    </row>
    <row r="1775">
      <c r="A1775" s="45">
        <v>34001.0</v>
      </c>
      <c r="B1775" s="45" t="s">
        <v>3131</v>
      </c>
      <c r="C1775" s="45" t="s">
        <v>3132</v>
      </c>
      <c r="D1775" s="46">
        <v>275213.0</v>
      </c>
      <c r="E1775" s="46">
        <v>274534.0</v>
      </c>
    </row>
    <row r="1776">
      <c r="A1776" s="45">
        <v>34003.0</v>
      </c>
      <c r="B1776" s="45" t="s">
        <v>3131</v>
      </c>
      <c r="C1776" s="45" t="s">
        <v>3133</v>
      </c>
      <c r="D1776" s="46">
        <v>957736.0</v>
      </c>
      <c r="E1776" s="46">
        <v>955732.0</v>
      </c>
    </row>
    <row r="1777">
      <c r="A1777" s="45">
        <v>34005.0</v>
      </c>
      <c r="B1777" s="45" t="s">
        <v>3131</v>
      </c>
      <c r="C1777" s="45" t="s">
        <v>3134</v>
      </c>
      <c r="D1777" s="46">
        <v>469167.0</v>
      </c>
      <c r="E1777" s="46">
        <v>461860.0</v>
      </c>
    </row>
    <row r="1778">
      <c r="A1778" s="45">
        <v>34007.0</v>
      </c>
      <c r="B1778" s="45" t="s">
        <v>3131</v>
      </c>
      <c r="C1778" s="45" t="s">
        <v>2330</v>
      </c>
      <c r="D1778" s="46">
        <v>527196.0</v>
      </c>
      <c r="E1778" s="46">
        <v>523485.0</v>
      </c>
    </row>
    <row r="1779">
      <c r="A1779" s="45">
        <v>34009.0</v>
      </c>
      <c r="B1779" s="45" t="s">
        <v>3131</v>
      </c>
      <c r="C1779" s="45" t="s">
        <v>3135</v>
      </c>
      <c r="D1779" s="46">
        <v>94610.0</v>
      </c>
      <c r="E1779" s="46">
        <v>95263.0</v>
      </c>
    </row>
    <row r="1780">
      <c r="A1780" s="45">
        <v>34011.0</v>
      </c>
      <c r="B1780" s="45" t="s">
        <v>3131</v>
      </c>
      <c r="C1780" s="45" t="s">
        <v>2468</v>
      </c>
      <c r="D1780" s="46">
        <v>152326.0</v>
      </c>
      <c r="E1780" s="46">
        <v>154152.0</v>
      </c>
    </row>
    <row r="1781">
      <c r="A1781" s="45">
        <v>34013.0</v>
      </c>
      <c r="B1781" s="45" t="s">
        <v>3131</v>
      </c>
      <c r="C1781" s="45" t="s">
        <v>2824</v>
      </c>
      <c r="D1781" s="46">
        <v>851117.0</v>
      </c>
      <c r="E1781" s="46">
        <v>863728.0</v>
      </c>
    </row>
    <row r="1782">
      <c r="A1782" s="45">
        <v>34015.0</v>
      </c>
      <c r="B1782" s="45" t="s">
        <v>3131</v>
      </c>
      <c r="C1782" s="45" t="s">
        <v>3136</v>
      </c>
      <c r="D1782" s="46">
        <v>308423.0</v>
      </c>
      <c r="E1782" s="46">
        <v>302294.0</v>
      </c>
    </row>
    <row r="1783">
      <c r="A1783" s="45">
        <v>34017.0</v>
      </c>
      <c r="B1783" s="45" t="s">
        <v>3131</v>
      </c>
      <c r="C1783" s="45" t="s">
        <v>3137</v>
      </c>
      <c r="D1783" s="46">
        <v>705472.0</v>
      </c>
      <c r="E1783" s="46">
        <v>724854.0</v>
      </c>
    </row>
    <row r="1784">
      <c r="A1784" s="45">
        <v>34019.0</v>
      </c>
      <c r="B1784" s="45" t="s">
        <v>3131</v>
      </c>
      <c r="C1784" s="45" t="s">
        <v>3138</v>
      </c>
      <c r="D1784" s="46">
        <v>130183.0</v>
      </c>
      <c r="E1784" s="46">
        <v>128947.0</v>
      </c>
    </row>
    <row r="1785">
      <c r="A1785" s="45">
        <v>34021.0</v>
      </c>
      <c r="B1785" s="45" t="s">
        <v>3131</v>
      </c>
      <c r="C1785" s="45" t="s">
        <v>2494</v>
      </c>
      <c r="D1785" s="46">
        <v>381671.0</v>
      </c>
      <c r="E1785" s="46">
        <v>387340.0</v>
      </c>
    </row>
    <row r="1786">
      <c r="A1786" s="45">
        <v>34023.0</v>
      </c>
      <c r="B1786" s="45" t="s">
        <v>3131</v>
      </c>
      <c r="C1786" s="45" t="s">
        <v>2254</v>
      </c>
      <c r="D1786" s="46">
        <v>863623.0</v>
      </c>
      <c r="E1786" s="46">
        <v>863162.0</v>
      </c>
    </row>
    <row r="1787">
      <c r="A1787" s="45">
        <v>34025.0</v>
      </c>
      <c r="B1787" s="45" t="s">
        <v>3131</v>
      </c>
      <c r="C1787" s="45" t="s">
        <v>3139</v>
      </c>
      <c r="D1787" s="46">
        <v>642799.0</v>
      </c>
      <c r="E1787" s="46">
        <v>643615.0</v>
      </c>
    </row>
    <row r="1788">
      <c r="A1788" s="45">
        <v>34027.0</v>
      </c>
      <c r="B1788" s="45" t="s">
        <v>3131</v>
      </c>
      <c r="C1788" s="45" t="s">
        <v>2635</v>
      </c>
      <c r="D1788" s="46">
        <v>514423.0</v>
      </c>
      <c r="E1788" s="46">
        <v>509285.0</v>
      </c>
    </row>
    <row r="1789">
      <c r="A1789" s="45">
        <v>34029.0</v>
      </c>
      <c r="B1789" s="45" t="s">
        <v>3131</v>
      </c>
      <c r="C1789" s="45" t="s">
        <v>3140</v>
      </c>
      <c r="D1789" s="46">
        <v>659197.0</v>
      </c>
      <c r="E1789" s="46">
        <v>637229.0</v>
      </c>
    </row>
    <row r="1790">
      <c r="A1790" s="45">
        <v>34031.0</v>
      </c>
      <c r="B1790" s="45" t="s">
        <v>3131</v>
      </c>
      <c r="C1790" s="45" t="s">
        <v>3141</v>
      </c>
      <c r="D1790" s="46">
        <v>513395.0</v>
      </c>
      <c r="E1790" s="46">
        <v>524118.0</v>
      </c>
    </row>
    <row r="1791">
      <c r="A1791" s="45">
        <v>34033.0</v>
      </c>
      <c r="B1791" s="45" t="s">
        <v>3131</v>
      </c>
      <c r="C1791" s="45" t="s">
        <v>3142</v>
      </c>
      <c r="D1791" s="46">
        <v>65338.0</v>
      </c>
      <c r="E1791" s="46">
        <v>64837.0</v>
      </c>
    </row>
    <row r="1792">
      <c r="A1792" s="45">
        <v>34035.0</v>
      </c>
      <c r="B1792" s="45" t="s">
        <v>3131</v>
      </c>
      <c r="C1792" s="45" t="s">
        <v>2798</v>
      </c>
      <c r="D1792" s="46">
        <v>348842.0</v>
      </c>
      <c r="E1792" s="46">
        <v>345361.0</v>
      </c>
    </row>
    <row r="1793">
      <c r="A1793" s="45">
        <v>34037.0</v>
      </c>
      <c r="B1793" s="45" t="s">
        <v>3131</v>
      </c>
      <c r="C1793" s="45" t="s">
        <v>2262</v>
      </c>
      <c r="D1793" s="46">
        <v>146132.0</v>
      </c>
      <c r="E1793" s="46">
        <v>144221.0</v>
      </c>
    </row>
    <row r="1794">
      <c r="A1794" s="45">
        <v>34039.0</v>
      </c>
      <c r="B1794" s="45" t="s">
        <v>3131</v>
      </c>
      <c r="C1794" s="45" t="s">
        <v>2132</v>
      </c>
      <c r="D1794" s="46">
        <v>572726.0</v>
      </c>
      <c r="E1794" s="46">
        <v>575345.0</v>
      </c>
    </row>
    <row r="1795">
      <c r="A1795" s="45">
        <v>34041.0</v>
      </c>
      <c r="B1795" s="45" t="s">
        <v>3131</v>
      </c>
      <c r="C1795" s="45" t="s">
        <v>2415</v>
      </c>
      <c r="D1795" s="46">
        <v>111252.0</v>
      </c>
      <c r="E1795" s="46">
        <v>109632.0</v>
      </c>
    </row>
    <row r="1796">
      <c r="A1796" s="45">
        <v>35001.0</v>
      </c>
      <c r="B1796" s="45" t="s">
        <v>3143</v>
      </c>
      <c r="C1796" s="45" t="s">
        <v>3144</v>
      </c>
      <c r="D1796" s="46">
        <v>671586.0</v>
      </c>
      <c r="E1796" s="46">
        <v>676444.0</v>
      </c>
    </row>
    <row r="1797">
      <c r="A1797" s="45">
        <v>35003.0</v>
      </c>
      <c r="B1797" s="45" t="s">
        <v>3143</v>
      </c>
      <c r="C1797" s="45" t="s">
        <v>3145</v>
      </c>
      <c r="D1797" s="46">
        <v>3825.0</v>
      </c>
      <c r="E1797" s="46">
        <v>3579.0</v>
      </c>
    </row>
    <row r="1798">
      <c r="A1798" s="45">
        <v>35005.0</v>
      </c>
      <c r="B1798" s="45" t="s">
        <v>3143</v>
      </c>
      <c r="C1798" s="45" t="s">
        <v>3146</v>
      </c>
      <c r="D1798" s="46">
        <v>63561.0</v>
      </c>
      <c r="E1798" s="46">
        <v>65157.0</v>
      </c>
    </row>
    <row r="1799">
      <c r="A1799" s="45">
        <v>35006.0</v>
      </c>
      <c r="B1799" s="45" t="s">
        <v>3143</v>
      </c>
      <c r="C1799" s="45" t="s">
        <v>3147</v>
      </c>
      <c r="D1799" s="46">
        <v>26780.0</v>
      </c>
      <c r="E1799" s="46">
        <v>27172.0</v>
      </c>
    </row>
    <row r="1800">
      <c r="A1800" s="45">
        <v>35007.0</v>
      </c>
      <c r="B1800" s="45" t="s">
        <v>3143</v>
      </c>
      <c r="C1800" s="45" t="s">
        <v>3079</v>
      </c>
      <c r="D1800" s="46">
        <v>12255.0</v>
      </c>
      <c r="E1800" s="46">
        <v>12387.0</v>
      </c>
    </row>
    <row r="1801">
      <c r="A1801" s="45">
        <v>35009.0</v>
      </c>
      <c r="B1801" s="45" t="s">
        <v>3143</v>
      </c>
      <c r="C1801" s="45" t="s">
        <v>3148</v>
      </c>
      <c r="D1801" s="46">
        <v>47222.0</v>
      </c>
      <c r="E1801" s="46">
        <v>48430.0</v>
      </c>
    </row>
    <row r="1802">
      <c r="A1802" s="45">
        <v>35011.0</v>
      </c>
      <c r="B1802" s="45" t="s">
        <v>3143</v>
      </c>
      <c r="C1802" s="45" t="s">
        <v>3149</v>
      </c>
      <c r="D1802" s="46">
        <v>1657.0</v>
      </c>
      <c r="E1802" s="46">
        <v>1698.0</v>
      </c>
    </row>
    <row r="1803">
      <c r="A1803" s="45">
        <v>35013.0</v>
      </c>
      <c r="B1803" s="45" t="s">
        <v>3143</v>
      </c>
      <c r="C1803" s="45" t="s">
        <v>3150</v>
      </c>
      <c r="D1803" s="46">
        <v>225210.0</v>
      </c>
      <c r="E1803" s="46">
        <v>219561.0</v>
      </c>
    </row>
    <row r="1804">
      <c r="A1804" s="45">
        <v>35015.0</v>
      </c>
      <c r="B1804" s="45" t="s">
        <v>3143</v>
      </c>
      <c r="C1804" s="45" t="s">
        <v>3151</v>
      </c>
      <c r="D1804" s="46">
        <v>60275.0</v>
      </c>
      <c r="E1804" s="46">
        <v>62314.0</v>
      </c>
    </row>
    <row r="1805">
      <c r="A1805" s="45">
        <v>35017.0</v>
      </c>
      <c r="B1805" s="45" t="s">
        <v>3143</v>
      </c>
      <c r="C1805" s="45" t="s">
        <v>2101</v>
      </c>
      <c r="D1805" s="46">
        <v>27472.0</v>
      </c>
      <c r="E1805" s="46">
        <v>28185.0</v>
      </c>
    </row>
    <row r="1806">
      <c r="A1806" s="45">
        <v>35019.0</v>
      </c>
      <c r="B1806" s="45" t="s">
        <v>3143</v>
      </c>
      <c r="C1806" s="45" t="s">
        <v>3152</v>
      </c>
      <c r="D1806" s="46">
        <v>4292.0</v>
      </c>
      <c r="E1806" s="46">
        <v>4452.0</v>
      </c>
    </row>
    <row r="1807">
      <c r="A1807" s="45">
        <v>35021.0</v>
      </c>
      <c r="B1807" s="45" t="s">
        <v>3143</v>
      </c>
      <c r="C1807" s="45" t="s">
        <v>3153</v>
      </c>
      <c r="D1807" s="45">
        <v>624.0</v>
      </c>
      <c r="E1807" s="45">
        <v>657.0</v>
      </c>
    </row>
    <row r="1808">
      <c r="A1808" s="45">
        <v>35023.0</v>
      </c>
      <c r="B1808" s="45" t="s">
        <v>3143</v>
      </c>
      <c r="C1808" s="45" t="s">
        <v>3154</v>
      </c>
      <c r="D1808" s="46">
        <v>3965.0</v>
      </c>
      <c r="E1808" s="46">
        <v>4178.0</v>
      </c>
    </row>
    <row r="1809">
      <c r="A1809" s="45">
        <v>35025.0</v>
      </c>
      <c r="B1809" s="45" t="s">
        <v>3143</v>
      </c>
      <c r="C1809" s="45" t="s">
        <v>3155</v>
      </c>
      <c r="D1809" s="46">
        <v>72101.0</v>
      </c>
      <c r="E1809" s="46">
        <v>74455.0</v>
      </c>
    </row>
    <row r="1810">
      <c r="A1810" s="45">
        <v>35027.0</v>
      </c>
      <c r="B1810" s="45" t="s">
        <v>3143</v>
      </c>
      <c r="C1810" s="45" t="s">
        <v>2109</v>
      </c>
      <c r="D1810" s="46">
        <v>20029.0</v>
      </c>
      <c r="E1810" s="46">
        <v>20269.0</v>
      </c>
    </row>
    <row r="1811">
      <c r="A1811" s="45">
        <v>35028.0</v>
      </c>
      <c r="B1811" s="45" t="s">
        <v>3143</v>
      </c>
      <c r="C1811" s="45" t="s">
        <v>3156</v>
      </c>
      <c r="D1811" s="46">
        <v>19444.0</v>
      </c>
      <c r="E1811" s="46">
        <v>19419.0</v>
      </c>
    </row>
    <row r="1812">
      <c r="A1812" s="45">
        <v>35029.0</v>
      </c>
      <c r="B1812" s="45" t="s">
        <v>3143</v>
      </c>
      <c r="C1812" s="45" t="s">
        <v>3157</v>
      </c>
      <c r="D1812" s="46">
        <v>25316.0</v>
      </c>
      <c r="E1812" s="46">
        <v>25427.0</v>
      </c>
    </row>
    <row r="1813">
      <c r="A1813" s="45">
        <v>35031.0</v>
      </c>
      <c r="B1813" s="45" t="s">
        <v>3143</v>
      </c>
      <c r="C1813" s="45" t="s">
        <v>3158</v>
      </c>
      <c r="D1813" s="46">
        <v>68797.0</v>
      </c>
      <c r="E1813" s="46">
        <v>72902.0</v>
      </c>
    </row>
    <row r="1814">
      <c r="A1814" s="45">
        <v>35033.0</v>
      </c>
      <c r="B1814" s="45" t="s">
        <v>3143</v>
      </c>
      <c r="C1814" s="45" t="s">
        <v>3159</v>
      </c>
      <c r="D1814" s="46">
        <v>4123.0</v>
      </c>
      <c r="E1814" s="46">
        <v>4189.0</v>
      </c>
    </row>
    <row r="1815">
      <c r="A1815" s="45">
        <v>35035.0</v>
      </c>
      <c r="B1815" s="45" t="s">
        <v>3143</v>
      </c>
      <c r="C1815" s="45" t="s">
        <v>2234</v>
      </c>
      <c r="D1815" s="46">
        <v>68835.0</v>
      </c>
      <c r="E1815" s="46">
        <v>67839.0</v>
      </c>
    </row>
    <row r="1816">
      <c r="A1816" s="45">
        <v>35037.0</v>
      </c>
      <c r="B1816" s="45" t="s">
        <v>3143</v>
      </c>
      <c r="C1816" s="45" t="s">
        <v>3160</v>
      </c>
      <c r="D1816" s="46">
        <v>8510.0</v>
      </c>
      <c r="E1816" s="46">
        <v>8746.0</v>
      </c>
    </row>
    <row r="1817">
      <c r="A1817" s="45">
        <v>35039.0</v>
      </c>
      <c r="B1817" s="45" t="s">
        <v>3143</v>
      </c>
      <c r="C1817" s="45" t="s">
        <v>3161</v>
      </c>
      <c r="D1817" s="46">
        <v>39876.0</v>
      </c>
      <c r="E1817" s="46">
        <v>40363.0</v>
      </c>
    </row>
    <row r="1818">
      <c r="A1818" s="45">
        <v>35041.0</v>
      </c>
      <c r="B1818" s="45" t="s">
        <v>3143</v>
      </c>
      <c r="C1818" s="45" t="s">
        <v>3060</v>
      </c>
      <c r="D1818" s="46">
        <v>18787.0</v>
      </c>
      <c r="E1818" s="46">
        <v>19191.0</v>
      </c>
    </row>
    <row r="1819">
      <c r="A1819" s="45">
        <v>35043.0</v>
      </c>
      <c r="B1819" s="45" t="s">
        <v>3143</v>
      </c>
      <c r="C1819" s="45" t="s">
        <v>3162</v>
      </c>
      <c r="D1819" s="46">
        <v>155936.0</v>
      </c>
      <c r="E1819" s="46">
        <v>148834.0</v>
      </c>
    </row>
    <row r="1820">
      <c r="A1820" s="45">
        <v>35045.0</v>
      </c>
      <c r="B1820" s="45" t="s">
        <v>3143</v>
      </c>
      <c r="C1820" s="45" t="s">
        <v>2244</v>
      </c>
      <c r="D1820" s="46">
        <v>120675.0</v>
      </c>
      <c r="E1820" s="46">
        <v>121661.0</v>
      </c>
    </row>
    <row r="1821">
      <c r="A1821" s="45">
        <v>35047.0</v>
      </c>
      <c r="B1821" s="45" t="s">
        <v>3143</v>
      </c>
      <c r="C1821" s="45" t="s">
        <v>2245</v>
      </c>
      <c r="D1821" s="46">
        <v>26668.0</v>
      </c>
      <c r="E1821" s="46">
        <v>27201.0</v>
      </c>
    </row>
    <row r="1822">
      <c r="A1822" s="45">
        <v>35049.0</v>
      </c>
      <c r="B1822" s="45" t="s">
        <v>3143</v>
      </c>
      <c r="C1822" s="45" t="s">
        <v>3163</v>
      </c>
      <c r="D1822" s="46">
        <v>155956.0</v>
      </c>
      <c r="E1822" s="46">
        <v>154823.0</v>
      </c>
    </row>
    <row r="1823">
      <c r="A1823" s="45">
        <v>35051.0</v>
      </c>
      <c r="B1823" s="45" t="s">
        <v>3143</v>
      </c>
      <c r="C1823" s="45" t="s">
        <v>2181</v>
      </c>
      <c r="D1823" s="46">
        <v>11488.0</v>
      </c>
      <c r="E1823" s="46">
        <v>11576.0</v>
      </c>
    </row>
    <row r="1824">
      <c r="A1824" s="45">
        <v>35053.0</v>
      </c>
      <c r="B1824" s="45" t="s">
        <v>3143</v>
      </c>
      <c r="C1824" s="45" t="s">
        <v>3164</v>
      </c>
      <c r="D1824" s="46">
        <v>15963.0</v>
      </c>
      <c r="E1824" s="46">
        <v>16595.0</v>
      </c>
    </row>
    <row r="1825">
      <c r="A1825" s="45">
        <v>35055.0</v>
      </c>
      <c r="B1825" s="45" t="s">
        <v>3143</v>
      </c>
      <c r="C1825" s="45" t="s">
        <v>3165</v>
      </c>
      <c r="D1825" s="46">
        <v>34405.0</v>
      </c>
      <c r="E1825" s="46">
        <v>34489.0</v>
      </c>
    </row>
    <row r="1826">
      <c r="A1826" s="45">
        <v>35057.0</v>
      </c>
      <c r="B1826" s="45" t="s">
        <v>3143</v>
      </c>
      <c r="C1826" s="45" t="s">
        <v>3166</v>
      </c>
      <c r="D1826" s="46">
        <v>15633.0</v>
      </c>
      <c r="E1826" s="46">
        <v>15045.0</v>
      </c>
    </row>
    <row r="1827">
      <c r="A1827" s="45">
        <v>35059.0</v>
      </c>
      <c r="B1827" s="45" t="s">
        <v>3143</v>
      </c>
      <c r="C1827" s="45" t="s">
        <v>2132</v>
      </c>
      <c r="D1827" s="46">
        <v>3964.0</v>
      </c>
      <c r="E1827" s="46">
        <v>4079.0</v>
      </c>
    </row>
    <row r="1828">
      <c r="A1828" s="45">
        <v>35061.0</v>
      </c>
      <c r="B1828" s="45" t="s">
        <v>3143</v>
      </c>
      <c r="C1828" s="45" t="s">
        <v>3167</v>
      </c>
      <c r="D1828" s="46">
        <v>79141.0</v>
      </c>
      <c r="E1828" s="46">
        <v>76205.0</v>
      </c>
    </row>
    <row r="1829">
      <c r="A1829" s="45">
        <v>36001.0</v>
      </c>
      <c r="B1829" s="45" t="s">
        <v>3168</v>
      </c>
      <c r="C1829" s="45" t="s">
        <v>3169</v>
      </c>
      <c r="D1829" s="46">
        <v>316659.0</v>
      </c>
      <c r="E1829" s="46">
        <v>314848.0</v>
      </c>
    </row>
    <row r="1830">
      <c r="A1830" s="45">
        <v>36003.0</v>
      </c>
      <c r="B1830" s="45" t="s">
        <v>3168</v>
      </c>
      <c r="C1830" s="45" t="s">
        <v>2802</v>
      </c>
      <c r="D1830" s="46">
        <v>46651.0</v>
      </c>
      <c r="E1830" s="46">
        <v>46456.0</v>
      </c>
    </row>
    <row r="1831">
      <c r="A1831" s="45">
        <v>36005.0</v>
      </c>
      <c r="B1831" s="45" t="s">
        <v>3168</v>
      </c>
      <c r="C1831" s="45" t="s">
        <v>3170</v>
      </c>
      <c r="D1831" s="46">
        <v>1356476.0</v>
      </c>
      <c r="E1831" s="46">
        <v>1472654.0</v>
      </c>
    </row>
    <row r="1832">
      <c r="A1832" s="45">
        <v>36007.0</v>
      </c>
      <c r="B1832" s="45" t="s">
        <v>3168</v>
      </c>
      <c r="C1832" s="45" t="s">
        <v>3171</v>
      </c>
      <c r="D1832" s="46">
        <v>196077.0</v>
      </c>
      <c r="E1832" s="46">
        <v>198683.0</v>
      </c>
    </row>
    <row r="1833">
      <c r="A1833" s="45">
        <v>36009.0</v>
      </c>
      <c r="B1833" s="45" t="s">
        <v>3168</v>
      </c>
      <c r="C1833" s="45" t="s">
        <v>3172</v>
      </c>
      <c r="D1833" s="46">
        <v>75600.0</v>
      </c>
      <c r="E1833" s="46">
        <v>77042.0</v>
      </c>
    </row>
    <row r="1834">
      <c r="A1834" s="45">
        <v>36011.0</v>
      </c>
      <c r="B1834" s="45" t="s">
        <v>3168</v>
      </c>
      <c r="C1834" s="45" t="s">
        <v>3173</v>
      </c>
      <c r="D1834" s="46">
        <v>74485.0</v>
      </c>
      <c r="E1834" s="46">
        <v>76248.0</v>
      </c>
    </row>
    <row r="1835">
      <c r="A1835" s="45">
        <v>36013.0</v>
      </c>
      <c r="B1835" s="45" t="s">
        <v>3168</v>
      </c>
      <c r="C1835" s="45" t="s">
        <v>2608</v>
      </c>
      <c r="D1835" s="46">
        <v>124891.0</v>
      </c>
      <c r="E1835" s="46">
        <v>127657.0</v>
      </c>
    </row>
    <row r="1836">
      <c r="A1836" s="45">
        <v>36015.0</v>
      </c>
      <c r="B1836" s="45" t="s">
        <v>3168</v>
      </c>
      <c r="C1836" s="45" t="s">
        <v>3174</v>
      </c>
      <c r="D1836" s="46">
        <v>81325.0</v>
      </c>
      <c r="E1836" s="46">
        <v>84148.0</v>
      </c>
    </row>
    <row r="1837">
      <c r="A1837" s="45">
        <v>36017.0</v>
      </c>
      <c r="B1837" s="45" t="s">
        <v>3168</v>
      </c>
      <c r="C1837" s="45" t="s">
        <v>3175</v>
      </c>
      <c r="D1837" s="46">
        <v>45920.0</v>
      </c>
      <c r="E1837" s="46">
        <v>47220.0</v>
      </c>
    </row>
    <row r="1838">
      <c r="A1838" s="45">
        <v>36019.0</v>
      </c>
      <c r="B1838" s="45" t="s">
        <v>3168</v>
      </c>
      <c r="C1838" s="45" t="s">
        <v>2466</v>
      </c>
      <c r="D1838" s="46">
        <v>78115.0</v>
      </c>
      <c r="E1838" s="46">
        <v>79843.0</v>
      </c>
    </row>
    <row r="1839">
      <c r="A1839" s="45">
        <v>36021.0</v>
      </c>
      <c r="B1839" s="45" t="s">
        <v>3168</v>
      </c>
      <c r="C1839" s="45" t="s">
        <v>2090</v>
      </c>
      <c r="D1839" s="46">
        <v>60470.0</v>
      </c>
      <c r="E1839" s="46">
        <v>61570.0</v>
      </c>
    </row>
    <row r="1840">
      <c r="A1840" s="45">
        <v>36023.0</v>
      </c>
      <c r="B1840" s="45" t="s">
        <v>3168</v>
      </c>
      <c r="C1840" s="45" t="s">
        <v>3176</v>
      </c>
      <c r="D1840" s="46">
        <v>45752.0</v>
      </c>
      <c r="E1840" s="46">
        <v>46809.0</v>
      </c>
    </row>
    <row r="1841">
      <c r="A1841" s="45">
        <v>36025.0</v>
      </c>
      <c r="B1841" s="45" t="s">
        <v>3168</v>
      </c>
      <c r="C1841" s="45" t="s">
        <v>2519</v>
      </c>
      <c r="D1841" s="46">
        <v>44410.0</v>
      </c>
      <c r="E1841" s="46">
        <v>44308.0</v>
      </c>
    </row>
    <row r="1842">
      <c r="A1842" s="45">
        <v>36027.0</v>
      </c>
      <c r="B1842" s="45" t="s">
        <v>3168</v>
      </c>
      <c r="C1842" s="45" t="s">
        <v>3177</v>
      </c>
      <c r="D1842" s="46">
        <v>297150.0</v>
      </c>
      <c r="E1842" s="46">
        <v>295911.0</v>
      </c>
    </row>
    <row r="1843">
      <c r="A1843" s="45">
        <v>36029.0</v>
      </c>
      <c r="B1843" s="45" t="s">
        <v>3168</v>
      </c>
      <c r="C1843" s="45" t="s">
        <v>3178</v>
      </c>
      <c r="D1843" s="46">
        <v>946147.0</v>
      </c>
      <c r="E1843" s="46">
        <v>954236.0</v>
      </c>
    </row>
    <row r="1844">
      <c r="A1844" s="45">
        <v>36031.0</v>
      </c>
      <c r="B1844" s="45" t="s">
        <v>3168</v>
      </c>
      <c r="C1844" s="45" t="s">
        <v>2824</v>
      </c>
      <c r="D1844" s="46">
        <v>36775.0</v>
      </c>
      <c r="E1844" s="46">
        <v>37381.0</v>
      </c>
    </row>
    <row r="1845">
      <c r="A1845" s="45">
        <v>36033.0</v>
      </c>
      <c r="B1845" s="45" t="s">
        <v>3168</v>
      </c>
      <c r="C1845" s="45" t="s">
        <v>2024</v>
      </c>
      <c r="D1845" s="46">
        <v>46502.0</v>
      </c>
      <c r="E1845" s="46">
        <v>47555.0</v>
      </c>
    </row>
    <row r="1846">
      <c r="A1846" s="45">
        <v>36035.0</v>
      </c>
      <c r="B1846" s="45" t="s">
        <v>3168</v>
      </c>
      <c r="C1846" s="45" t="s">
        <v>2099</v>
      </c>
      <c r="D1846" s="46">
        <v>52234.0</v>
      </c>
      <c r="E1846" s="46">
        <v>53324.0</v>
      </c>
    </row>
    <row r="1847">
      <c r="A1847" s="45">
        <v>36037.0</v>
      </c>
      <c r="B1847" s="45" t="s">
        <v>3168</v>
      </c>
      <c r="C1847" s="45" t="s">
        <v>2846</v>
      </c>
      <c r="D1847" s="46">
        <v>57529.0</v>
      </c>
      <c r="E1847" s="46">
        <v>58388.0</v>
      </c>
    </row>
    <row r="1848">
      <c r="A1848" s="45">
        <v>36039.0</v>
      </c>
      <c r="B1848" s="45" t="s">
        <v>3168</v>
      </c>
      <c r="C1848" s="45" t="s">
        <v>2026</v>
      </c>
      <c r="D1848" s="46">
        <v>47062.0</v>
      </c>
      <c r="E1848" s="46">
        <v>47931.0</v>
      </c>
    </row>
    <row r="1849">
      <c r="A1849" s="45">
        <v>36041.0</v>
      </c>
      <c r="B1849" s="45" t="s">
        <v>3168</v>
      </c>
      <c r="C1849" s="45" t="s">
        <v>2282</v>
      </c>
      <c r="D1849" s="46">
        <v>5082.0</v>
      </c>
      <c r="E1849" s="46">
        <v>5107.0</v>
      </c>
    </row>
    <row r="1850">
      <c r="A1850" s="45">
        <v>36043.0</v>
      </c>
      <c r="B1850" s="45" t="s">
        <v>3168</v>
      </c>
      <c r="C1850" s="45" t="s">
        <v>3179</v>
      </c>
      <c r="D1850" s="46">
        <v>59484.0</v>
      </c>
      <c r="E1850" s="46">
        <v>60139.0</v>
      </c>
    </row>
    <row r="1851">
      <c r="A1851" s="45">
        <v>36045.0</v>
      </c>
      <c r="B1851" s="45" t="s">
        <v>3168</v>
      </c>
      <c r="C1851" s="45" t="s">
        <v>2031</v>
      </c>
      <c r="D1851" s="46">
        <v>114787.0</v>
      </c>
      <c r="E1851" s="46">
        <v>116721.0</v>
      </c>
    </row>
    <row r="1852">
      <c r="A1852" s="45">
        <v>36047.0</v>
      </c>
      <c r="B1852" s="45" t="s">
        <v>3168</v>
      </c>
      <c r="C1852" s="45" t="s">
        <v>2153</v>
      </c>
      <c r="D1852" s="46">
        <v>2561225.0</v>
      </c>
      <c r="E1852" s="46">
        <v>2736074.0</v>
      </c>
    </row>
    <row r="1853">
      <c r="A1853" s="45">
        <v>36049.0</v>
      </c>
      <c r="B1853" s="45" t="s">
        <v>3168</v>
      </c>
      <c r="C1853" s="45" t="s">
        <v>2447</v>
      </c>
      <c r="D1853" s="46">
        <v>26548.0</v>
      </c>
      <c r="E1853" s="46">
        <v>26582.0</v>
      </c>
    </row>
    <row r="1854">
      <c r="A1854" s="45">
        <v>36051.0</v>
      </c>
      <c r="B1854" s="45" t="s">
        <v>3168</v>
      </c>
      <c r="C1854" s="45" t="s">
        <v>2486</v>
      </c>
      <c r="D1854" s="46">
        <v>61158.0</v>
      </c>
      <c r="E1854" s="46">
        <v>61834.0</v>
      </c>
    </row>
    <row r="1855">
      <c r="A1855" s="45">
        <v>36053.0</v>
      </c>
      <c r="B1855" s="45" t="s">
        <v>3168</v>
      </c>
      <c r="C1855" s="45" t="s">
        <v>2039</v>
      </c>
      <c r="D1855" s="46">
        <v>66921.0</v>
      </c>
      <c r="E1855" s="46">
        <v>68016.0</v>
      </c>
    </row>
    <row r="1856">
      <c r="A1856" s="45">
        <v>36055.0</v>
      </c>
      <c r="B1856" s="45" t="s">
        <v>3168</v>
      </c>
      <c r="C1856" s="45" t="s">
        <v>2044</v>
      </c>
      <c r="D1856" s="46">
        <v>748482.0</v>
      </c>
      <c r="E1856" s="46">
        <v>759443.0</v>
      </c>
    </row>
    <row r="1857">
      <c r="A1857" s="45">
        <v>36057.0</v>
      </c>
      <c r="B1857" s="45" t="s">
        <v>3168</v>
      </c>
      <c r="C1857" s="45" t="s">
        <v>2045</v>
      </c>
      <c r="D1857" s="46">
        <v>49368.0</v>
      </c>
      <c r="E1857" s="46">
        <v>49532.0</v>
      </c>
    </row>
    <row r="1858">
      <c r="A1858" s="45">
        <v>36059.0</v>
      </c>
      <c r="B1858" s="45" t="s">
        <v>3168</v>
      </c>
      <c r="C1858" s="45" t="s">
        <v>2296</v>
      </c>
      <c r="D1858" s="46">
        <v>1381715.0</v>
      </c>
      <c r="E1858" s="46">
        <v>1395774.0</v>
      </c>
    </row>
    <row r="1859">
      <c r="A1859" s="45">
        <v>36061.0</v>
      </c>
      <c r="B1859" s="45" t="s">
        <v>3168</v>
      </c>
      <c r="C1859" s="45" t="s">
        <v>3180</v>
      </c>
      <c r="D1859" s="46">
        <v>1597451.0</v>
      </c>
      <c r="E1859" s="46">
        <v>1694251.0</v>
      </c>
    </row>
    <row r="1860">
      <c r="A1860" s="45">
        <v>36063.0</v>
      </c>
      <c r="B1860" s="45" t="s">
        <v>3168</v>
      </c>
      <c r="C1860" s="45" t="s">
        <v>3181</v>
      </c>
      <c r="D1860" s="46">
        <v>209457.0</v>
      </c>
      <c r="E1860" s="46">
        <v>212666.0</v>
      </c>
    </row>
    <row r="1861">
      <c r="A1861" s="45">
        <v>36065.0</v>
      </c>
      <c r="B1861" s="45" t="s">
        <v>3168</v>
      </c>
      <c r="C1861" s="45" t="s">
        <v>2450</v>
      </c>
      <c r="D1861" s="46">
        <v>227555.0</v>
      </c>
      <c r="E1861" s="46">
        <v>232125.0</v>
      </c>
    </row>
    <row r="1862">
      <c r="A1862" s="45">
        <v>36067.0</v>
      </c>
      <c r="B1862" s="45" t="s">
        <v>3168</v>
      </c>
      <c r="C1862" s="45" t="s">
        <v>3182</v>
      </c>
      <c r="D1862" s="46">
        <v>467873.0</v>
      </c>
      <c r="E1862" s="46">
        <v>476516.0</v>
      </c>
    </row>
    <row r="1863">
      <c r="A1863" s="45">
        <v>36069.0</v>
      </c>
      <c r="B1863" s="45" t="s">
        <v>3168</v>
      </c>
      <c r="C1863" s="45" t="s">
        <v>3183</v>
      </c>
      <c r="D1863" s="46">
        <v>112494.0</v>
      </c>
      <c r="E1863" s="46">
        <v>112458.0</v>
      </c>
    </row>
    <row r="1864">
      <c r="A1864" s="45">
        <v>36071.0</v>
      </c>
      <c r="B1864" s="45" t="s">
        <v>3168</v>
      </c>
      <c r="C1864" s="45" t="s">
        <v>2166</v>
      </c>
      <c r="D1864" s="46">
        <v>407470.0</v>
      </c>
      <c r="E1864" s="46">
        <v>401310.0</v>
      </c>
    </row>
    <row r="1865">
      <c r="A1865" s="45">
        <v>36073.0</v>
      </c>
      <c r="B1865" s="45" t="s">
        <v>3168</v>
      </c>
      <c r="C1865" s="45" t="s">
        <v>3184</v>
      </c>
      <c r="D1865" s="46">
        <v>39124.0</v>
      </c>
      <c r="E1865" s="46">
        <v>40343.0</v>
      </c>
    </row>
    <row r="1866">
      <c r="A1866" s="45">
        <v>36075.0</v>
      </c>
      <c r="B1866" s="45" t="s">
        <v>3168</v>
      </c>
      <c r="C1866" s="45" t="s">
        <v>3185</v>
      </c>
      <c r="D1866" s="46">
        <v>118162.0</v>
      </c>
      <c r="E1866" s="46">
        <v>117525.0</v>
      </c>
    </row>
    <row r="1867">
      <c r="A1867" s="45">
        <v>36077.0</v>
      </c>
      <c r="B1867" s="45" t="s">
        <v>3168</v>
      </c>
      <c r="C1867" s="45" t="s">
        <v>2883</v>
      </c>
      <c r="D1867" s="46">
        <v>60126.0</v>
      </c>
      <c r="E1867" s="46">
        <v>58524.0</v>
      </c>
    </row>
    <row r="1868">
      <c r="A1868" s="45">
        <v>36079.0</v>
      </c>
      <c r="B1868" s="45" t="s">
        <v>3168</v>
      </c>
      <c r="C1868" s="45" t="s">
        <v>2303</v>
      </c>
      <c r="D1868" s="46">
        <v>98060.0</v>
      </c>
      <c r="E1868" s="46">
        <v>97668.0</v>
      </c>
    </row>
    <row r="1869">
      <c r="A1869" s="45">
        <v>36081.0</v>
      </c>
      <c r="B1869" s="45" t="s">
        <v>3168</v>
      </c>
      <c r="C1869" s="45" t="s">
        <v>3186</v>
      </c>
      <c r="D1869" s="46">
        <v>2252196.0</v>
      </c>
      <c r="E1869" s="46">
        <v>2405464.0</v>
      </c>
    </row>
    <row r="1870">
      <c r="A1870" s="45">
        <v>36083.0</v>
      </c>
      <c r="B1870" s="45" t="s">
        <v>3168</v>
      </c>
      <c r="C1870" s="45" t="s">
        <v>3187</v>
      </c>
      <c r="D1870" s="46">
        <v>159305.0</v>
      </c>
      <c r="E1870" s="46">
        <v>161130.0</v>
      </c>
    </row>
    <row r="1871">
      <c r="A1871" s="45">
        <v>36085.0</v>
      </c>
      <c r="B1871" s="45" t="s">
        <v>3168</v>
      </c>
      <c r="C1871" s="45" t="s">
        <v>2393</v>
      </c>
      <c r="D1871" s="46">
        <v>490687.0</v>
      </c>
      <c r="E1871" s="46">
        <v>495747.0</v>
      </c>
    </row>
    <row r="1872">
      <c r="A1872" s="45">
        <v>36087.0</v>
      </c>
      <c r="B1872" s="45" t="s">
        <v>3168</v>
      </c>
      <c r="C1872" s="45" t="s">
        <v>3188</v>
      </c>
      <c r="D1872" s="46">
        <v>340807.0</v>
      </c>
      <c r="E1872" s="46">
        <v>338329.0</v>
      </c>
    </row>
    <row r="1873">
      <c r="A1873" s="45">
        <v>36089.0</v>
      </c>
      <c r="B1873" s="45" t="s">
        <v>3168</v>
      </c>
      <c r="C1873" s="45" t="s">
        <v>3189</v>
      </c>
      <c r="D1873" s="46">
        <v>106940.0</v>
      </c>
      <c r="E1873" s="46">
        <v>108505.0</v>
      </c>
    </row>
    <row r="1874">
      <c r="A1874" s="45">
        <v>36091.0</v>
      </c>
      <c r="B1874" s="45" t="s">
        <v>3168</v>
      </c>
      <c r="C1874" s="45" t="s">
        <v>3190</v>
      </c>
      <c r="D1874" s="46">
        <v>238711.0</v>
      </c>
      <c r="E1874" s="46">
        <v>235509.0</v>
      </c>
    </row>
    <row r="1875">
      <c r="A1875" s="45">
        <v>36093.0</v>
      </c>
      <c r="B1875" s="45" t="s">
        <v>3168</v>
      </c>
      <c r="C1875" s="45" t="s">
        <v>3191</v>
      </c>
      <c r="D1875" s="46">
        <v>159902.0</v>
      </c>
      <c r="E1875" s="46">
        <v>158061.0</v>
      </c>
    </row>
    <row r="1876">
      <c r="A1876" s="45">
        <v>36095.0</v>
      </c>
      <c r="B1876" s="45" t="s">
        <v>3168</v>
      </c>
      <c r="C1876" s="45" t="s">
        <v>3192</v>
      </c>
      <c r="D1876" s="46">
        <v>30105.0</v>
      </c>
      <c r="E1876" s="46">
        <v>29714.0</v>
      </c>
    </row>
    <row r="1877">
      <c r="A1877" s="45">
        <v>36097.0</v>
      </c>
      <c r="B1877" s="45" t="s">
        <v>3168</v>
      </c>
      <c r="C1877" s="45" t="s">
        <v>2502</v>
      </c>
      <c r="D1877" s="46">
        <v>17507.0</v>
      </c>
      <c r="E1877" s="46">
        <v>17898.0</v>
      </c>
    </row>
    <row r="1878">
      <c r="A1878" s="45">
        <v>36099.0</v>
      </c>
      <c r="B1878" s="45" t="s">
        <v>3168</v>
      </c>
      <c r="C1878" s="45" t="s">
        <v>3193</v>
      </c>
      <c r="D1878" s="46">
        <v>32349.0</v>
      </c>
      <c r="E1878" s="46">
        <v>33814.0</v>
      </c>
    </row>
    <row r="1879">
      <c r="A1879" s="45">
        <v>36101.0</v>
      </c>
      <c r="B1879" s="45" t="s">
        <v>3168</v>
      </c>
      <c r="C1879" s="45" t="s">
        <v>2544</v>
      </c>
      <c r="D1879" s="46">
        <v>92162.0</v>
      </c>
      <c r="E1879" s="46">
        <v>93584.0</v>
      </c>
    </row>
    <row r="1880">
      <c r="A1880" s="45">
        <v>36103.0</v>
      </c>
      <c r="B1880" s="45" t="s">
        <v>3168</v>
      </c>
      <c r="C1880" s="45" t="s">
        <v>2829</v>
      </c>
      <c r="D1880" s="46">
        <v>1523170.0</v>
      </c>
      <c r="E1880" s="46">
        <v>1525920.0</v>
      </c>
    </row>
    <row r="1881">
      <c r="A1881" s="45">
        <v>36105.0</v>
      </c>
      <c r="B1881" s="45" t="s">
        <v>3168</v>
      </c>
      <c r="C1881" s="45" t="s">
        <v>2545</v>
      </c>
      <c r="D1881" s="46">
        <v>79920.0</v>
      </c>
      <c r="E1881" s="46">
        <v>78624.0</v>
      </c>
    </row>
    <row r="1882">
      <c r="A1882" s="45">
        <v>36107.0</v>
      </c>
      <c r="B1882" s="45" t="s">
        <v>3168</v>
      </c>
      <c r="C1882" s="45" t="s">
        <v>3194</v>
      </c>
      <c r="D1882" s="46">
        <v>47715.0</v>
      </c>
      <c r="E1882" s="46">
        <v>48455.0</v>
      </c>
    </row>
    <row r="1883">
      <c r="A1883" s="45">
        <v>36109.0</v>
      </c>
      <c r="B1883" s="45" t="s">
        <v>3168</v>
      </c>
      <c r="C1883" s="45" t="s">
        <v>3195</v>
      </c>
      <c r="D1883" s="46">
        <v>103558.0</v>
      </c>
      <c r="E1883" s="46">
        <v>105740.0</v>
      </c>
    </row>
    <row r="1884">
      <c r="A1884" s="45">
        <v>36111.0</v>
      </c>
      <c r="B1884" s="45" t="s">
        <v>3168</v>
      </c>
      <c r="C1884" s="45" t="s">
        <v>3196</v>
      </c>
      <c r="D1884" s="46">
        <v>182333.0</v>
      </c>
      <c r="E1884" s="46">
        <v>181851.0</v>
      </c>
    </row>
    <row r="1885">
      <c r="A1885" s="45">
        <v>36113.0</v>
      </c>
      <c r="B1885" s="45" t="s">
        <v>3168</v>
      </c>
      <c r="C1885" s="45" t="s">
        <v>2415</v>
      </c>
      <c r="D1885" s="46">
        <v>65380.0</v>
      </c>
      <c r="E1885" s="46">
        <v>65737.0</v>
      </c>
    </row>
    <row r="1886">
      <c r="A1886" s="45">
        <v>36115.0</v>
      </c>
      <c r="B1886" s="45" t="s">
        <v>3168</v>
      </c>
      <c r="C1886" s="45" t="s">
        <v>2059</v>
      </c>
      <c r="D1886" s="46">
        <v>60047.0</v>
      </c>
      <c r="E1886" s="46">
        <v>61302.0</v>
      </c>
    </row>
    <row r="1887">
      <c r="A1887" s="45">
        <v>36117.0</v>
      </c>
      <c r="B1887" s="45" t="s">
        <v>3168</v>
      </c>
      <c r="C1887" s="45" t="s">
        <v>2416</v>
      </c>
      <c r="D1887" s="46">
        <v>90829.0</v>
      </c>
      <c r="E1887" s="46">
        <v>91283.0</v>
      </c>
    </row>
    <row r="1888">
      <c r="A1888" s="45">
        <v>36119.0</v>
      </c>
      <c r="B1888" s="45" t="s">
        <v>3168</v>
      </c>
      <c r="C1888" s="45" t="s">
        <v>3197</v>
      </c>
      <c r="D1888" s="46">
        <v>990817.0</v>
      </c>
      <c r="E1888" s="46">
        <v>1004457.0</v>
      </c>
    </row>
    <row r="1889">
      <c r="A1889" s="45">
        <v>36121.0</v>
      </c>
      <c r="B1889" s="45" t="s">
        <v>3168</v>
      </c>
      <c r="C1889" s="45" t="s">
        <v>3198</v>
      </c>
      <c r="D1889" s="46">
        <v>39532.0</v>
      </c>
      <c r="E1889" s="46">
        <v>40531.0</v>
      </c>
    </row>
    <row r="1890">
      <c r="A1890" s="45">
        <v>36123.0</v>
      </c>
      <c r="B1890" s="45" t="s">
        <v>3168</v>
      </c>
      <c r="C1890" s="45" t="s">
        <v>3199</v>
      </c>
      <c r="D1890" s="46">
        <v>24472.0</v>
      </c>
      <c r="E1890" s="46">
        <v>24774.0</v>
      </c>
    </row>
    <row r="1891">
      <c r="A1891" s="45">
        <v>37001.0</v>
      </c>
      <c r="B1891" s="45" t="s">
        <v>3200</v>
      </c>
      <c r="C1891" s="45" t="s">
        <v>3201</v>
      </c>
      <c r="D1891" s="46">
        <v>179165.0</v>
      </c>
      <c r="E1891" s="46">
        <v>171415.0</v>
      </c>
    </row>
    <row r="1892">
      <c r="A1892" s="45">
        <v>37003.0</v>
      </c>
      <c r="B1892" s="45" t="s">
        <v>3200</v>
      </c>
      <c r="C1892" s="45" t="s">
        <v>2459</v>
      </c>
      <c r="D1892" s="46">
        <v>36473.0</v>
      </c>
      <c r="E1892" s="46">
        <v>36444.0</v>
      </c>
    </row>
    <row r="1893">
      <c r="A1893" s="45">
        <v>37005.0</v>
      </c>
      <c r="B1893" s="45" t="s">
        <v>3200</v>
      </c>
      <c r="C1893" s="45" t="s">
        <v>3202</v>
      </c>
      <c r="D1893" s="46">
        <v>11342.0</v>
      </c>
      <c r="E1893" s="46">
        <v>10888.0</v>
      </c>
    </row>
    <row r="1894">
      <c r="A1894" s="45">
        <v>37007.0</v>
      </c>
      <c r="B1894" s="45" t="s">
        <v>3200</v>
      </c>
      <c r="C1894" s="45" t="s">
        <v>3203</v>
      </c>
      <c r="D1894" s="46">
        <v>21897.0</v>
      </c>
      <c r="E1894" s="46">
        <v>22055.0</v>
      </c>
    </row>
    <row r="1895">
      <c r="A1895" s="45">
        <v>37009.0</v>
      </c>
      <c r="B1895" s="45" t="s">
        <v>3200</v>
      </c>
      <c r="C1895" s="45" t="s">
        <v>3204</v>
      </c>
      <c r="D1895" s="46">
        <v>27063.0</v>
      </c>
      <c r="E1895" s="46">
        <v>26577.0</v>
      </c>
    </row>
    <row r="1896">
      <c r="A1896" s="45">
        <v>37011.0</v>
      </c>
      <c r="B1896" s="45" t="s">
        <v>3200</v>
      </c>
      <c r="C1896" s="45" t="s">
        <v>3205</v>
      </c>
      <c r="D1896" s="46">
        <v>17561.0</v>
      </c>
      <c r="E1896" s="46">
        <v>17806.0</v>
      </c>
    </row>
    <row r="1897">
      <c r="A1897" s="45">
        <v>37013.0</v>
      </c>
      <c r="B1897" s="45" t="s">
        <v>3200</v>
      </c>
      <c r="C1897" s="45" t="s">
        <v>3206</v>
      </c>
      <c r="D1897" s="46">
        <v>44481.0</v>
      </c>
      <c r="E1897" s="46">
        <v>44652.0</v>
      </c>
    </row>
    <row r="1898">
      <c r="A1898" s="45">
        <v>37015.0</v>
      </c>
      <c r="B1898" s="45" t="s">
        <v>3200</v>
      </c>
      <c r="C1898" s="45" t="s">
        <v>3207</v>
      </c>
      <c r="D1898" s="46">
        <v>16922.0</v>
      </c>
      <c r="E1898" s="46">
        <v>17934.0</v>
      </c>
    </row>
    <row r="1899">
      <c r="A1899" s="45">
        <v>37017.0</v>
      </c>
      <c r="B1899" s="45" t="s">
        <v>3200</v>
      </c>
      <c r="C1899" s="45" t="s">
        <v>3208</v>
      </c>
      <c r="D1899" s="46">
        <v>29484.0</v>
      </c>
      <c r="E1899" s="46">
        <v>29606.0</v>
      </c>
    </row>
    <row r="1900">
      <c r="A1900" s="45">
        <v>37019.0</v>
      </c>
      <c r="B1900" s="45" t="s">
        <v>3200</v>
      </c>
      <c r="C1900" s="45" t="s">
        <v>3209</v>
      </c>
      <c r="D1900" s="46">
        <v>159964.0</v>
      </c>
      <c r="E1900" s="46">
        <v>136693.0</v>
      </c>
    </row>
    <row r="1901">
      <c r="A1901" s="45">
        <v>37021.0</v>
      </c>
      <c r="B1901" s="45" t="s">
        <v>3200</v>
      </c>
      <c r="C1901" s="45" t="s">
        <v>3210</v>
      </c>
      <c r="D1901" s="46">
        <v>275901.0</v>
      </c>
      <c r="E1901" s="46">
        <v>269452.0</v>
      </c>
    </row>
    <row r="1902">
      <c r="A1902" s="45">
        <v>37023.0</v>
      </c>
      <c r="B1902" s="45" t="s">
        <v>3200</v>
      </c>
      <c r="C1902" s="45" t="s">
        <v>2328</v>
      </c>
      <c r="D1902" s="46">
        <v>88338.0</v>
      </c>
      <c r="E1902" s="46">
        <v>87570.0</v>
      </c>
    </row>
    <row r="1903">
      <c r="A1903" s="45">
        <v>37025.0</v>
      </c>
      <c r="B1903" s="45" t="s">
        <v>3200</v>
      </c>
      <c r="C1903" s="45" t="s">
        <v>3211</v>
      </c>
      <c r="D1903" s="46">
        <v>240016.0</v>
      </c>
      <c r="E1903" s="46">
        <v>225804.0</v>
      </c>
    </row>
    <row r="1904">
      <c r="A1904" s="45">
        <v>37027.0</v>
      </c>
      <c r="B1904" s="45" t="s">
        <v>3200</v>
      </c>
      <c r="C1904" s="45" t="s">
        <v>2680</v>
      </c>
      <c r="D1904" s="46">
        <v>80574.0</v>
      </c>
      <c r="E1904" s="46">
        <v>80652.0</v>
      </c>
    </row>
    <row r="1905">
      <c r="A1905" s="45">
        <v>37029.0</v>
      </c>
      <c r="B1905" s="45" t="s">
        <v>3200</v>
      </c>
      <c r="C1905" s="45" t="s">
        <v>2330</v>
      </c>
      <c r="D1905" s="46">
        <v>11137.0</v>
      </c>
      <c r="E1905" s="46">
        <v>10355.0</v>
      </c>
    </row>
    <row r="1906">
      <c r="A1906" s="45">
        <v>37031.0</v>
      </c>
      <c r="B1906" s="45" t="s">
        <v>3200</v>
      </c>
      <c r="C1906" s="45" t="s">
        <v>3212</v>
      </c>
      <c r="D1906" s="46">
        <v>69615.0</v>
      </c>
      <c r="E1906" s="46">
        <v>67686.0</v>
      </c>
    </row>
    <row r="1907">
      <c r="A1907" s="45">
        <v>37033.0</v>
      </c>
      <c r="B1907" s="45" t="s">
        <v>3200</v>
      </c>
      <c r="C1907" s="45" t="s">
        <v>3213</v>
      </c>
      <c r="D1907" s="46">
        <v>22807.0</v>
      </c>
      <c r="E1907" s="46">
        <v>22736.0</v>
      </c>
    </row>
    <row r="1908">
      <c r="A1908" s="45">
        <v>37035.0</v>
      </c>
      <c r="B1908" s="45" t="s">
        <v>3200</v>
      </c>
      <c r="C1908" s="45" t="s">
        <v>3214</v>
      </c>
      <c r="D1908" s="46">
        <v>164645.0</v>
      </c>
      <c r="E1908" s="46">
        <v>160610.0</v>
      </c>
    </row>
    <row r="1909">
      <c r="A1909" s="45">
        <v>37037.0</v>
      </c>
      <c r="B1909" s="45" t="s">
        <v>3200</v>
      </c>
      <c r="C1909" s="45" t="s">
        <v>2334</v>
      </c>
      <c r="D1909" s="46">
        <v>81624.0</v>
      </c>
      <c r="E1909" s="46">
        <v>76285.0</v>
      </c>
    </row>
    <row r="1910">
      <c r="A1910" s="45">
        <v>37039.0</v>
      </c>
      <c r="B1910" s="45" t="s">
        <v>3200</v>
      </c>
      <c r="C1910" s="45" t="s">
        <v>2004</v>
      </c>
      <c r="D1910" s="46">
        <v>29959.0</v>
      </c>
      <c r="E1910" s="46">
        <v>28774.0</v>
      </c>
    </row>
    <row r="1911">
      <c r="A1911" s="45">
        <v>37041.0</v>
      </c>
      <c r="B1911" s="45" t="s">
        <v>3200</v>
      </c>
      <c r="C1911" s="45" t="s">
        <v>3215</v>
      </c>
      <c r="D1911" s="46">
        <v>13891.0</v>
      </c>
      <c r="E1911" s="46">
        <v>13708.0</v>
      </c>
    </row>
    <row r="1912">
      <c r="A1912" s="45">
        <v>37043.0</v>
      </c>
      <c r="B1912" s="45" t="s">
        <v>3200</v>
      </c>
      <c r="C1912" s="45" t="s">
        <v>2008</v>
      </c>
      <c r="D1912" s="46">
        <v>11864.0</v>
      </c>
      <c r="E1912" s="46">
        <v>11089.0</v>
      </c>
    </row>
    <row r="1913">
      <c r="A1913" s="45">
        <v>37045.0</v>
      </c>
      <c r="B1913" s="45" t="s">
        <v>3200</v>
      </c>
      <c r="C1913" s="45" t="s">
        <v>2089</v>
      </c>
      <c r="D1913" s="46">
        <v>101378.0</v>
      </c>
      <c r="E1913" s="46">
        <v>99519.0</v>
      </c>
    </row>
    <row r="1914">
      <c r="A1914" s="45">
        <v>37047.0</v>
      </c>
      <c r="B1914" s="45" t="s">
        <v>3200</v>
      </c>
      <c r="C1914" s="45" t="s">
        <v>3216</v>
      </c>
      <c r="D1914" s="46">
        <v>50121.0</v>
      </c>
      <c r="E1914" s="46">
        <v>50623.0</v>
      </c>
    </row>
    <row r="1915">
      <c r="A1915" s="45">
        <v>37049.0</v>
      </c>
      <c r="B1915" s="45" t="s">
        <v>3200</v>
      </c>
      <c r="C1915" s="45" t="s">
        <v>3217</v>
      </c>
      <c r="D1915" s="46">
        <v>102391.0</v>
      </c>
      <c r="E1915" s="46">
        <v>100720.0</v>
      </c>
    </row>
    <row r="1916">
      <c r="A1916" s="45">
        <v>37051.0</v>
      </c>
      <c r="B1916" s="45" t="s">
        <v>3200</v>
      </c>
      <c r="C1916" s="45" t="s">
        <v>2468</v>
      </c>
      <c r="D1916" s="46">
        <v>337890.0</v>
      </c>
      <c r="E1916" s="46">
        <v>334728.0</v>
      </c>
    </row>
    <row r="1917">
      <c r="A1917" s="45">
        <v>37053.0</v>
      </c>
      <c r="B1917" s="45" t="s">
        <v>3200</v>
      </c>
      <c r="C1917" s="45" t="s">
        <v>3218</v>
      </c>
      <c r="D1917" s="46">
        <v>31593.0</v>
      </c>
      <c r="E1917" s="46">
        <v>28100.0</v>
      </c>
    </row>
    <row r="1918">
      <c r="A1918" s="45">
        <v>37055.0</v>
      </c>
      <c r="B1918" s="45" t="s">
        <v>3200</v>
      </c>
      <c r="C1918" s="45" t="s">
        <v>3219</v>
      </c>
      <c r="D1918" s="46">
        <v>38110.0</v>
      </c>
      <c r="E1918" s="46">
        <v>36915.0</v>
      </c>
    </row>
    <row r="1919">
      <c r="A1919" s="45">
        <v>37057.0</v>
      </c>
      <c r="B1919" s="45" t="s">
        <v>3200</v>
      </c>
      <c r="C1919" s="45" t="s">
        <v>3220</v>
      </c>
      <c r="D1919" s="46">
        <v>174804.0</v>
      </c>
      <c r="E1919" s="46">
        <v>168930.0</v>
      </c>
    </row>
    <row r="1920">
      <c r="A1920" s="45">
        <v>37059.0</v>
      </c>
      <c r="B1920" s="45" t="s">
        <v>3200</v>
      </c>
      <c r="C1920" s="45" t="s">
        <v>3221</v>
      </c>
      <c r="D1920" s="46">
        <v>44599.0</v>
      </c>
      <c r="E1920" s="46">
        <v>42712.0</v>
      </c>
    </row>
    <row r="1921">
      <c r="A1921" s="45">
        <v>37061.0</v>
      </c>
      <c r="B1921" s="45" t="s">
        <v>3200</v>
      </c>
      <c r="C1921" s="45" t="s">
        <v>3222</v>
      </c>
      <c r="D1921" s="46">
        <v>49520.0</v>
      </c>
      <c r="E1921" s="46">
        <v>48715.0</v>
      </c>
    </row>
    <row r="1922">
      <c r="A1922" s="45">
        <v>37063.0</v>
      </c>
      <c r="B1922" s="45" t="s">
        <v>3200</v>
      </c>
      <c r="C1922" s="45" t="s">
        <v>3223</v>
      </c>
      <c r="D1922" s="46">
        <v>336892.0</v>
      </c>
      <c r="E1922" s="46">
        <v>324833.0</v>
      </c>
    </row>
    <row r="1923">
      <c r="A1923" s="45">
        <v>37065.0</v>
      </c>
      <c r="B1923" s="45" t="s">
        <v>3200</v>
      </c>
      <c r="C1923" s="45" t="s">
        <v>3224</v>
      </c>
      <c r="D1923" s="46">
        <v>48832.0</v>
      </c>
      <c r="E1923" s="46">
        <v>48900.0</v>
      </c>
    </row>
    <row r="1924">
      <c r="A1924" s="45">
        <v>37067.0</v>
      </c>
      <c r="B1924" s="45" t="s">
        <v>3200</v>
      </c>
      <c r="C1924" s="45" t="s">
        <v>2357</v>
      </c>
      <c r="D1924" s="46">
        <v>392921.0</v>
      </c>
      <c r="E1924" s="46">
        <v>382590.0</v>
      </c>
    </row>
    <row r="1925">
      <c r="A1925" s="45">
        <v>37069.0</v>
      </c>
      <c r="B1925" s="45" t="s">
        <v>3200</v>
      </c>
      <c r="C1925" s="45" t="s">
        <v>2024</v>
      </c>
      <c r="D1925" s="46">
        <v>77001.0</v>
      </c>
      <c r="E1925" s="46">
        <v>68573.0</v>
      </c>
    </row>
    <row r="1926">
      <c r="A1926" s="45">
        <v>37071.0</v>
      </c>
      <c r="B1926" s="45" t="s">
        <v>3200</v>
      </c>
      <c r="C1926" s="45" t="s">
        <v>3225</v>
      </c>
      <c r="D1926" s="46">
        <v>237242.0</v>
      </c>
      <c r="E1926" s="46">
        <v>227943.0</v>
      </c>
    </row>
    <row r="1927">
      <c r="A1927" s="45">
        <v>37073.0</v>
      </c>
      <c r="B1927" s="45" t="s">
        <v>3200</v>
      </c>
      <c r="C1927" s="45" t="s">
        <v>3226</v>
      </c>
      <c r="D1927" s="46">
        <v>10343.0</v>
      </c>
      <c r="E1927" s="46">
        <v>10478.0</v>
      </c>
    </row>
    <row r="1928">
      <c r="A1928" s="45">
        <v>37075.0</v>
      </c>
      <c r="B1928" s="45" t="s">
        <v>3200</v>
      </c>
      <c r="C1928" s="45" t="s">
        <v>2068</v>
      </c>
      <c r="D1928" s="46">
        <v>8052.0</v>
      </c>
      <c r="E1928" s="46">
        <v>8030.0</v>
      </c>
    </row>
    <row r="1929">
      <c r="A1929" s="45">
        <v>37077.0</v>
      </c>
      <c r="B1929" s="45" t="s">
        <v>3200</v>
      </c>
      <c r="C1929" s="45" t="s">
        <v>3227</v>
      </c>
      <c r="D1929" s="46">
        <v>62192.0</v>
      </c>
      <c r="E1929" s="46">
        <v>60992.0</v>
      </c>
    </row>
    <row r="1930">
      <c r="A1930" s="45">
        <v>37079.0</v>
      </c>
      <c r="B1930" s="45" t="s">
        <v>3200</v>
      </c>
      <c r="C1930" s="45" t="s">
        <v>2026</v>
      </c>
      <c r="D1930" s="46">
        <v>20530.0</v>
      </c>
      <c r="E1930" s="46">
        <v>20451.0</v>
      </c>
    </row>
    <row r="1931">
      <c r="A1931" s="45">
        <v>37081.0</v>
      </c>
      <c r="B1931" s="45" t="s">
        <v>3200</v>
      </c>
      <c r="C1931" s="45" t="s">
        <v>3228</v>
      </c>
      <c r="D1931" s="46">
        <v>549866.0</v>
      </c>
      <c r="E1931" s="46">
        <v>541299.0</v>
      </c>
    </row>
    <row r="1932">
      <c r="A1932" s="45">
        <v>37083.0</v>
      </c>
      <c r="B1932" s="45" t="s">
        <v>3200</v>
      </c>
      <c r="C1932" s="45" t="s">
        <v>3229</v>
      </c>
      <c r="D1932" s="46">
        <v>47298.0</v>
      </c>
      <c r="E1932" s="46">
        <v>48622.0</v>
      </c>
    </row>
    <row r="1933">
      <c r="A1933" s="45">
        <v>37085.0</v>
      </c>
      <c r="B1933" s="45" t="s">
        <v>3200</v>
      </c>
      <c r="C1933" s="45" t="s">
        <v>3230</v>
      </c>
      <c r="D1933" s="46">
        <v>141477.0</v>
      </c>
      <c r="E1933" s="46">
        <v>133568.0</v>
      </c>
    </row>
    <row r="1934">
      <c r="A1934" s="45">
        <v>37087.0</v>
      </c>
      <c r="B1934" s="45" t="s">
        <v>3200</v>
      </c>
      <c r="C1934" s="45" t="s">
        <v>3231</v>
      </c>
      <c r="D1934" s="46">
        <v>62969.0</v>
      </c>
      <c r="E1934" s="46">
        <v>62089.0</v>
      </c>
    </row>
    <row r="1935">
      <c r="A1935" s="45">
        <v>37089.0</v>
      </c>
      <c r="B1935" s="45" t="s">
        <v>3200</v>
      </c>
      <c r="C1935" s="45" t="s">
        <v>2477</v>
      </c>
      <c r="D1935" s="46">
        <v>119230.0</v>
      </c>
      <c r="E1935" s="46">
        <v>116281.0</v>
      </c>
    </row>
    <row r="1936">
      <c r="A1936" s="45">
        <v>37091.0</v>
      </c>
      <c r="B1936" s="45" t="s">
        <v>3200</v>
      </c>
      <c r="C1936" s="45" t="s">
        <v>3232</v>
      </c>
      <c r="D1936" s="46">
        <v>19453.0</v>
      </c>
      <c r="E1936" s="46">
        <v>21552.0</v>
      </c>
    </row>
    <row r="1937">
      <c r="A1937" s="45">
        <v>37093.0</v>
      </c>
      <c r="B1937" s="45" t="s">
        <v>3200</v>
      </c>
      <c r="C1937" s="45" t="s">
        <v>3233</v>
      </c>
      <c r="D1937" s="46">
        <v>54446.0</v>
      </c>
      <c r="E1937" s="46">
        <v>52082.0</v>
      </c>
    </row>
    <row r="1938">
      <c r="A1938" s="45">
        <v>37095.0</v>
      </c>
      <c r="B1938" s="45" t="s">
        <v>3200</v>
      </c>
      <c r="C1938" s="45" t="s">
        <v>3234</v>
      </c>
      <c r="D1938" s="46">
        <v>4607.0</v>
      </c>
      <c r="E1938" s="46">
        <v>4589.0</v>
      </c>
    </row>
    <row r="1939">
      <c r="A1939" s="45">
        <v>37097.0</v>
      </c>
      <c r="B1939" s="45" t="s">
        <v>3200</v>
      </c>
      <c r="C1939" s="45" t="s">
        <v>3235</v>
      </c>
      <c r="D1939" s="46">
        <v>199710.0</v>
      </c>
      <c r="E1939" s="46">
        <v>186693.0</v>
      </c>
    </row>
    <row r="1940">
      <c r="A1940" s="45">
        <v>37099.0</v>
      </c>
      <c r="B1940" s="45" t="s">
        <v>3200</v>
      </c>
      <c r="C1940" s="45" t="s">
        <v>2030</v>
      </c>
      <c r="D1940" s="46">
        <v>44574.0</v>
      </c>
      <c r="E1940" s="46">
        <v>43109.0</v>
      </c>
    </row>
    <row r="1941">
      <c r="A1941" s="45">
        <v>37101.0</v>
      </c>
      <c r="B1941" s="45" t="s">
        <v>3200</v>
      </c>
      <c r="C1941" s="45" t="s">
        <v>3236</v>
      </c>
      <c r="D1941" s="46">
        <v>241955.0</v>
      </c>
      <c r="E1941" s="46">
        <v>215999.0</v>
      </c>
    </row>
    <row r="1942">
      <c r="A1942" s="45">
        <v>37103.0</v>
      </c>
      <c r="B1942" s="45" t="s">
        <v>3200</v>
      </c>
      <c r="C1942" s="45" t="s">
        <v>2375</v>
      </c>
      <c r="D1942" s="46">
        <v>9401.0</v>
      </c>
      <c r="E1942" s="46">
        <v>9172.0</v>
      </c>
    </row>
    <row r="1943">
      <c r="A1943" s="45">
        <v>37105.0</v>
      </c>
      <c r="B1943" s="45" t="s">
        <v>3200</v>
      </c>
      <c r="C1943" s="45" t="s">
        <v>2035</v>
      </c>
      <c r="D1943" s="46">
        <v>67059.0</v>
      </c>
      <c r="E1943" s="46">
        <v>63285.0</v>
      </c>
    </row>
    <row r="1944">
      <c r="A1944" s="45">
        <v>37107.0</v>
      </c>
      <c r="B1944" s="45" t="s">
        <v>3200</v>
      </c>
      <c r="C1944" s="45" t="s">
        <v>3237</v>
      </c>
      <c r="D1944" s="46">
        <v>54895.0</v>
      </c>
      <c r="E1944" s="46">
        <v>55122.0</v>
      </c>
    </row>
    <row r="1945">
      <c r="A1945" s="45">
        <v>37109.0</v>
      </c>
      <c r="B1945" s="45" t="s">
        <v>3200</v>
      </c>
      <c r="C1945" s="45" t="s">
        <v>2109</v>
      </c>
      <c r="D1945" s="46">
        <v>95675.0</v>
      </c>
      <c r="E1945" s="46">
        <v>86810.0</v>
      </c>
    </row>
    <row r="1946">
      <c r="A1946" s="45">
        <v>37111.0</v>
      </c>
      <c r="B1946" s="45" t="s">
        <v>3200</v>
      </c>
      <c r="C1946" s="45" t="s">
        <v>3238</v>
      </c>
      <c r="D1946" s="46">
        <v>44893.0</v>
      </c>
      <c r="E1946" s="46">
        <v>44578.0</v>
      </c>
    </row>
    <row r="1947">
      <c r="A1947" s="45">
        <v>37113.0</v>
      </c>
      <c r="B1947" s="45" t="s">
        <v>3200</v>
      </c>
      <c r="C1947" s="45" t="s">
        <v>2038</v>
      </c>
      <c r="D1947" s="46">
        <v>38412.0</v>
      </c>
      <c r="E1947" s="46">
        <v>37014.0</v>
      </c>
    </row>
    <row r="1948">
      <c r="A1948" s="45">
        <v>37115.0</v>
      </c>
      <c r="B1948" s="45" t="s">
        <v>3200</v>
      </c>
      <c r="C1948" s="45" t="s">
        <v>2039</v>
      </c>
      <c r="D1948" s="46">
        <v>22071.0</v>
      </c>
      <c r="E1948" s="46">
        <v>21193.0</v>
      </c>
    </row>
    <row r="1949">
      <c r="A1949" s="45">
        <v>37117.0</v>
      </c>
      <c r="B1949" s="45" t="s">
        <v>3200</v>
      </c>
      <c r="C1949" s="45" t="s">
        <v>2294</v>
      </c>
      <c r="D1949" s="46">
        <v>21447.0</v>
      </c>
      <c r="E1949" s="46">
        <v>22031.0</v>
      </c>
    </row>
    <row r="1950">
      <c r="A1950" s="45">
        <v>37119.0</v>
      </c>
      <c r="B1950" s="45" t="s">
        <v>3200</v>
      </c>
      <c r="C1950" s="45" t="s">
        <v>3239</v>
      </c>
      <c r="D1950" s="46">
        <v>1163701.0</v>
      </c>
      <c r="E1950" s="46">
        <v>1115482.0</v>
      </c>
    </row>
    <row r="1951">
      <c r="A1951" s="45">
        <v>37121.0</v>
      </c>
      <c r="B1951" s="45" t="s">
        <v>3200</v>
      </c>
      <c r="C1951" s="45" t="s">
        <v>2383</v>
      </c>
      <c r="D1951" s="46">
        <v>14999.0</v>
      </c>
      <c r="E1951" s="46">
        <v>14903.0</v>
      </c>
    </row>
    <row r="1952">
      <c r="A1952" s="45">
        <v>37123.0</v>
      </c>
      <c r="B1952" s="45" t="s">
        <v>3200</v>
      </c>
      <c r="C1952" s="45" t="s">
        <v>2045</v>
      </c>
      <c r="D1952" s="46">
        <v>26085.0</v>
      </c>
      <c r="E1952" s="46">
        <v>25751.0</v>
      </c>
    </row>
    <row r="1953">
      <c r="A1953" s="45">
        <v>37125.0</v>
      </c>
      <c r="B1953" s="45" t="s">
        <v>3200</v>
      </c>
      <c r="C1953" s="45" t="s">
        <v>3240</v>
      </c>
      <c r="D1953" s="46">
        <v>106898.0</v>
      </c>
      <c r="E1953" s="46">
        <v>99727.0</v>
      </c>
    </row>
    <row r="1954">
      <c r="A1954" s="45">
        <v>37127.0</v>
      </c>
      <c r="B1954" s="45" t="s">
        <v>3200</v>
      </c>
      <c r="C1954" s="45" t="s">
        <v>3241</v>
      </c>
      <c r="D1954" s="46">
        <v>96551.0</v>
      </c>
      <c r="E1954" s="46">
        <v>94970.0</v>
      </c>
    </row>
    <row r="1955">
      <c r="A1955" s="45">
        <v>37129.0</v>
      </c>
      <c r="B1955" s="45" t="s">
        <v>3200</v>
      </c>
      <c r="C1955" s="45" t="s">
        <v>3242</v>
      </c>
      <c r="D1955" s="46">
        <v>238852.0</v>
      </c>
      <c r="E1955" s="46">
        <v>225702.0</v>
      </c>
    </row>
    <row r="1956">
      <c r="A1956" s="45">
        <v>37131.0</v>
      </c>
      <c r="B1956" s="45" t="s">
        <v>3200</v>
      </c>
      <c r="C1956" s="45" t="s">
        <v>3243</v>
      </c>
      <c r="D1956" s="46">
        <v>16715.0</v>
      </c>
      <c r="E1956" s="46">
        <v>17471.0</v>
      </c>
    </row>
    <row r="1957">
      <c r="A1957" s="45">
        <v>37133.0</v>
      </c>
      <c r="B1957" s="45" t="s">
        <v>3200</v>
      </c>
      <c r="C1957" s="45" t="s">
        <v>3244</v>
      </c>
      <c r="D1957" s="46">
        <v>213676.0</v>
      </c>
      <c r="E1957" s="46">
        <v>204576.0</v>
      </c>
    </row>
    <row r="1958">
      <c r="A1958" s="45">
        <v>37135.0</v>
      </c>
      <c r="B1958" s="45" t="s">
        <v>3200</v>
      </c>
      <c r="C1958" s="45" t="s">
        <v>2166</v>
      </c>
      <c r="D1958" s="46">
        <v>150626.0</v>
      </c>
      <c r="E1958" s="46">
        <v>148696.0</v>
      </c>
    </row>
    <row r="1959">
      <c r="A1959" s="45">
        <v>37137.0</v>
      </c>
      <c r="B1959" s="45" t="s">
        <v>3200</v>
      </c>
      <c r="C1959" s="45" t="s">
        <v>3245</v>
      </c>
      <c r="D1959" s="46">
        <v>12423.0</v>
      </c>
      <c r="E1959" s="46">
        <v>12276.0</v>
      </c>
    </row>
    <row r="1960">
      <c r="A1960" s="45">
        <v>37139.0</v>
      </c>
      <c r="B1960" s="45" t="s">
        <v>3200</v>
      </c>
      <c r="C1960" s="45" t="s">
        <v>3246</v>
      </c>
      <c r="D1960" s="46">
        <v>41444.0</v>
      </c>
      <c r="E1960" s="46">
        <v>40568.0</v>
      </c>
    </row>
    <row r="1961">
      <c r="A1961" s="45">
        <v>37141.0</v>
      </c>
      <c r="B1961" s="45" t="s">
        <v>3200</v>
      </c>
      <c r="C1961" s="45" t="s">
        <v>3247</v>
      </c>
      <c r="D1961" s="46">
        <v>68521.0</v>
      </c>
      <c r="E1961" s="46">
        <v>60203.0</v>
      </c>
    </row>
    <row r="1962">
      <c r="A1962" s="45">
        <v>37143.0</v>
      </c>
      <c r="B1962" s="45" t="s">
        <v>3200</v>
      </c>
      <c r="C1962" s="45" t="s">
        <v>3248</v>
      </c>
      <c r="D1962" s="46">
        <v>13377.0</v>
      </c>
      <c r="E1962" s="46">
        <v>13005.0</v>
      </c>
    </row>
    <row r="1963">
      <c r="A1963" s="45">
        <v>37145.0</v>
      </c>
      <c r="B1963" s="45" t="s">
        <v>3200</v>
      </c>
      <c r="C1963" s="45" t="s">
        <v>3249</v>
      </c>
      <c r="D1963" s="46">
        <v>39737.0</v>
      </c>
      <c r="E1963" s="46">
        <v>39097.0</v>
      </c>
    </row>
    <row r="1964">
      <c r="A1964" s="45">
        <v>37147.0</v>
      </c>
      <c r="B1964" s="45" t="s">
        <v>3200</v>
      </c>
      <c r="C1964" s="45" t="s">
        <v>3250</v>
      </c>
      <c r="D1964" s="46">
        <v>175119.0</v>
      </c>
      <c r="E1964" s="46">
        <v>170243.0</v>
      </c>
    </row>
    <row r="1965">
      <c r="A1965" s="45">
        <v>37149.0</v>
      </c>
      <c r="B1965" s="45" t="s">
        <v>3200</v>
      </c>
      <c r="C1965" s="45" t="s">
        <v>2120</v>
      </c>
      <c r="D1965" s="46">
        <v>20060.0</v>
      </c>
      <c r="E1965" s="46">
        <v>19328.0</v>
      </c>
    </row>
    <row r="1966">
      <c r="A1966" s="45">
        <v>37151.0</v>
      </c>
      <c r="B1966" s="45" t="s">
        <v>3200</v>
      </c>
      <c r="C1966" s="45" t="s">
        <v>2050</v>
      </c>
      <c r="D1966" s="46">
        <v>147458.0</v>
      </c>
      <c r="E1966" s="46">
        <v>144171.0</v>
      </c>
    </row>
    <row r="1967">
      <c r="A1967" s="45">
        <v>37153.0</v>
      </c>
      <c r="B1967" s="45" t="s">
        <v>3200</v>
      </c>
      <c r="C1967" s="45" t="s">
        <v>2393</v>
      </c>
      <c r="D1967" s="46">
        <v>42324.0</v>
      </c>
      <c r="E1967" s="46">
        <v>42946.0</v>
      </c>
    </row>
    <row r="1968">
      <c r="A1968" s="45">
        <v>37155.0</v>
      </c>
      <c r="B1968" s="45" t="s">
        <v>3200</v>
      </c>
      <c r="C1968" s="45" t="s">
        <v>3251</v>
      </c>
      <c r="D1968" s="46">
        <v>117365.0</v>
      </c>
      <c r="E1968" s="46">
        <v>116530.0</v>
      </c>
    </row>
    <row r="1969">
      <c r="A1969" s="45">
        <v>37157.0</v>
      </c>
      <c r="B1969" s="45" t="s">
        <v>3200</v>
      </c>
      <c r="C1969" s="45" t="s">
        <v>3129</v>
      </c>
      <c r="D1969" s="46">
        <v>92518.0</v>
      </c>
      <c r="E1969" s="46">
        <v>91096.0</v>
      </c>
    </row>
    <row r="1970">
      <c r="A1970" s="45">
        <v>37159.0</v>
      </c>
      <c r="B1970" s="45" t="s">
        <v>3200</v>
      </c>
      <c r="C1970" s="45" t="s">
        <v>2719</v>
      </c>
      <c r="D1970" s="46">
        <v>151661.0</v>
      </c>
      <c r="E1970" s="46">
        <v>146875.0</v>
      </c>
    </row>
    <row r="1971">
      <c r="A1971" s="45">
        <v>37161.0</v>
      </c>
      <c r="B1971" s="45" t="s">
        <v>3200</v>
      </c>
      <c r="C1971" s="45" t="s">
        <v>3252</v>
      </c>
      <c r="D1971" s="46">
        <v>65507.0</v>
      </c>
      <c r="E1971" s="46">
        <v>64444.0</v>
      </c>
    </row>
    <row r="1972">
      <c r="A1972" s="45">
        <v>37163.0</v>
      </c>
      <c r="B1972" s="45" t="s">
        <v>3200</v>
      </c>
      <c r="C1972" s="45" t="s">
        <v>3253</v>
      </c>
      <c r="D1972" s="46">
        <v>59601.0</v>
      </c>
      <c r="E1972" s="46">
        <v>59036.0</v>
      </c>
    </row>
    <row r="1973">
      <c r="A1973" s="45">
        <v>37165.0</v>
      </c>
      <c r="B1973" s="45" t="s">
        <v>3200</v>
      </c>
      <c r="C1973" s="45" t="s">
        <v>3027</v>
      </c>
      <c r="D1973" s="46">
        <v>34376.0</v>
      </c>
      <c r="E1973" s="46">
        <v>34174.0</v>
      </c>
    </row>
    <row r="1974">
      <c r="A1974" s="45">
        <v>37167.0</v>
      </c>
      <c r="B1974" s="45" t="s">
        <v>3200</v>
      </c>
      <c r="C1974" s="45" t="s">
        <v>3254</v>
      </c>
      <c r="D1974" s="46">
        <v>65699.0</v>
      </c>
      <c r="E1974" s="46">
        <v>62504.0</v>
      </c>
    </row>
    <row r="1975">
      <c r="A1975" s="45">
        <v>37169.0</v>
      </c>
      <c r="B1975" s="45" t="s">
        <v>3200</v>
      </c>
      <c r="C1975" s="45" t="s">
        <v>3255</v>
      </c>
      <c r="D1975" s="46">
        <v>45532.0</v>
      </c>
      <c r="E1975" s="46">
        <v>44520.0</v>
      </c>
    </row>
    <row r="1976">
      <c r="A1976" s="45">
        <v>37171.0</v>
      </c>
      <c r="B1976" s="45" t="s">
        <v>3200</v>
      </c>
      <c r="C1976" s="45" t="s">
        <v>3256</v>
      </c>
      <c r="D1976" s="46">
        <v>71462.0</v>
      </c>
      <c r="E1976" s="46">
        <v>71359.0</v>
      </c>
    </row>
    <row r="1977">
      <c r="A1977" s="45">
        <v>37173.0</v>
      </c>
      <c r="B1977" s="45" t="s">
        <v>3200</v>
      </c>
      <c r="C1977" s="45" t="s">
        <v>3257</v>
      </c>
      <c r="D1977" s="46">
        <v>13916.0</v>
      </c>
      <c r="E1977" s="46">
        <v>14117.0</v>
      </c>
    </row>
    <row r="1978">
      <c r="A1978" s="45">
        <v>37175.0</v>
      </c>
      <c r="B1978" s="45" t="s">
        <v>3200</v>
      </c>
      <c r="C1978" s="45" t="s">
        <v>3258</v>
      </c>
      <c r="D1978" s="46">
        <v>33549.0</v>
      </c>
      <c r="E1978" s="46">
        <v>32986.0</v>
      </c>
    </row>
    <row r="1979">
      <c r="A1979" s="45">
        <v>37177.0</v>
      </c>
      <c r="B1979" s="45" t="s">
        <v>3200</v>
      </c>
      <c r="C1979" s="45" t="s">
        <v>3259</v>
      </c>
      <c r="D1979" s="46">
        <v>3461.0</v>
      </c>
      <c r="E1979" s="46">
        <v>3245.0</v>
      </c>
    </row>
    <row r="1980">
      <c r="A1980" s="45">
        <v>37179.0</v>
      </c>
      <c r="B1980" s="45" t="s">
        <v>3200</v>
      </c>
      <c r="C1980" s="45" t="s">
        <v>2132</v>
      </c>
      <c r="D1980" s="46">
        <v>256452.0</v>
      </c>
      <c r="E1980" s="46">
        <v>238267.0</v>
      </c>
    </row>
    <row r="1981">
      <c r="A1981" s="45">
        <v>37181.0</v>
      </c>
      <c r="B1981" s="45" t="s">
        <v>3200</v>
      </c>
      <c r="C1981" s="45" t="s">
        <v>3260</v>
      </c>
      <c r="D1981" s="46">
        <v>42301.0</v>
      </c>
      <c r="E1981" s="46">
        <v>42578.0</v>
      </c>
    </row>
    <row r="1982">
      <c r="A1982" s="45">
        <v>37183.0</v>
      </c>
      <c r="B1982" s="45" t="s">
        <v>3200</v>
      </c>
      <c r="C1982" s="45" t="s">
        <v>3261</v>
      </c>
      <c r="D1982" s="46">
        <v>1190275.0</v>
      </c>
      <c r="E1982" s="46">
        <v>1129410.0</v>
      </c>
    </row>
    <row r="1983">
      <c r="A1983" s="45">
        <v>37185.0</v>
      </c>
      <c r="B1983" s="45" t="s">
        <v>3200</v>
      </c>
      <c r="C1983" s="45" t="s">
        <v>2415</v>
      </c>
      <c r="D1983" s="46">
        <v>18836.0</v>
      </c>
      <c r="E1983" s="46">
        <v>18642.0</v>
      </c>
    </row>
    <row r="1984">
      <c r="A1984" s="45">
        <v>37187.0</v>
      </c>
      <c r="B1984" s="45" t="s">
        <v>3200</v>
      </c>
      <c r="C1984" s="45" t="s">
        <v>2059</v>
      </c>
      <c r="D1984" s="46">
        <v>10713.0</v>
      </c>
      <c r="E1984" s="46">
        <v>11003.0</v>
      </c>
    </row>
    <row r="1985">
      <c r="A1985" s="45">
        <v>37189.0</v>
      </c>
      <c r="B1985" s="45" t="s">
        <v>3200</v>
      </c>
      <c r="C1985" s="45" t="s">
        <v>3262</v>
      </c>
      <c r="D1985" s="46">
        <v>54748.0</v>
      </c>
      <c r="E1985" s="46">
        <v>54086.0</v>
      </c>
    </row>
    <row r="1986">
      <c r="A1986" s="45">
        <v>37191.0</v>
      </c>
      <c r="B1986" s="45" t="s">
        <v>3200</v>
      </c>
      <c r="C1986" s="45" t="s">
        <v>2416</v>
      </c>
      <c r="D1986" s="46">
        <v>118686.0</v>
      </c>
      <c r="E1986" s="46">
        <v>117333.0</v>
      </c>
    </row>
    <row r="1987">
      <c r="A1987" s="45">
        <v>37193.0</v>
      </c>
      <c r="B1987" s="45" t="s">
        <v>3200</v>
      </c>
      <c r="C1987" s="45" t="s">
        <v>2420</v>
      </c>
      <c r="D1987" s="46">
        <v>66013.0</v>
      </c>
      <c r="E1987" s="46">
        <v>65969.0</v>
      </c>
    </row>
    <row r="1988">
      <c r="A1988" s="45">
        <v>37195.0</v>
      </c>
      <c r="B1988" s="45" t="s">
        <v>3200</v>
      </c>
      <c r="C1988" s="45" t="s">
        <v>2666</v>
      </c>
      <c r="D1988" s="46">
        <v>78970.0</v>
      </c>
      <c r="E1988" s="46">
        <v>78784.0</v>
      </c>
    </row>
    <row r="1989">
      <c r="A1989" s="45">
        <v>37197.0</v>
      </c>
      <c r="B1989" s="45" t="s">
        <v>3200</v>
      </c>
      <c r="C1989" s="45" t="s">
        <v>3263</v>
      </c>
      <c r="D1989" s="46">
        <v>37774.0</v>
      </c>
      <c r="E1989" s="46">
        <v>37214.0</v>
      </c>
    </row>
    <row r="1990">
      <c r="A1990" s="45">
        <v>37199.0</v>
      </c>
      <c r="B1990" s="45" t="s">
        <v>3200</v>
      </c>
      <c r="C1990" s="45" t="s">
        <v>3264</v>
      </c>
      <c r="D1990" s="46">
        <v>18938.0</v>
      </c>
      <c r="E1990" s="46">
        <v>18470.0</v>
      </c>
    </row>
    <row r="1991">
      <c r="A1991" s="45">
        <v>38001.0</v>
      </c>
      <c r="B1991" s="45" t="s">
        <v>3265</v>
      </c>
      <c r="C1991" s="45" t="s">
        <v>2195</v>
      </c>
      <c r="D1991" s="46">
        <v>2163.0</v>
      </c>
      <c r="E1991" s="46">
        <v>2200.0</v>
      </c>
    </row>
    <row r="1992">
      <c r="A1992" s="45">
        <v>38003.0</v>
      </c>
      <c r="B1992" s="45" t="s">
        <v>3265</v>
      </c>
      <c r="C1992" s="45" t="s">
        <v>3266</v>
      </c>
      <c r="D1992" s="46">
        <v>10726.0</v>
      </c>
      <c r="E1992" s="46">
        <v>10853.0</v>
      </c>
    </row>
    <row r="1993">
      <c r="A1993" s="45">
        <v>38005.0</v>
      </c>
      <c r="B1993" s="45" t="s">
        <v>3265</v>
      </c>
      <c r="C1993" s="45" t="s">
        <v>3267</v>
      </c>
      <c r="D1993" s="46">
        <v>5745.0</v>
      </c>
      <c r="E1993" s="46">
        <v>5964.0</v>
      </c>
    </row>
    <row r="1994">
      <c r="A1994" s="45">
        <v>38007.0</v>
      </c>
      <c r="B1994" s="45" t="s">
        <v>3265</v>
      </c>
      <c r="C1994" s="45" t="s">
        <v>3268</v>
      </c>
      <c r="D1994" s="46">
        <v>1034.0</v>
      </c>
      <c r="E1994" s="45">
        <v>945.0</v>
      </c>
    </row>
    <row r="1995">
      <c r="A1995" s="45">
        <v>38009.0</v>
      </c>
      <c r="B1995" s="45" t="s">
        <v>3265</v>
      </c>
      <c r="C1995" s="45" t="s">
        <v>3269</v>
      </c>
      <c r="D1995" s="46">
        <v>6349.0</v>
      </c>
      <c r="E1995" s="46">
        <v>6379.0</v>
      </c>
    </row>
    <row r="1996">
      <c r="A1996" s="45">
        <v>38011.0</v>
      </c>
      <c r="B1996" s="45" t="s">
        <v>3265</v>
      </c>
      <c r="C1996" s="45" t="s">
        <v>3270</v>
      </c>
      <c r="D1996" s="46">
        <v>2867.0</v>
      </c>
      <c r="E1996" s="46">
        <v>2993.0</v>
      </c>
    </row>
    <row r="1997">
      <c r="A1997" s="45">
        <v>38013.0</v>
      </c>
      <c r="B1997" s="45" t="s">
        <v>3265</v>
      </c>
      <c r="C1997" s="45" t="s">
        <v>2328</v>
      </c>
      <c r="D1997" s="46">
        <v>2134.0</v>
      </c>
      <c r="E1997" s="46">
        <v>2201.0</v>
      </c>
    </row>
    <row r="1998">
      <c r="A1998" s="45">
        <v>38015.0</v>
      </c>
      <c r="B1998" s="45" t="s">
        <v>3265</v>
      </c>
      <c r="C1998" s="45" t="s">
        <v>3271</v>
      </c>
      <c r="D1998" s="46">
        <v>100012.0</v>
      </c>
      <c r="E1998" s="46">
        <v>98458.0</v>
      </c>
    </row>
    <row r="1999">
      <c r="A1999" s="45">
        <v>38017.0</v>
      </c>
      <c r="B1999" s="45" t="s">
        <v>3265</v>
      </c>
      <c r="C1999" s="45" t="s">
        <v>2463</v>
      </c>
      <c r="D1999" s="46">
        <v>196362.0</v>
      </c>
      <c r="E1999" s="46">
        <v>184525.0</v>
      </c>
    </row>
    <row r="2000">
      <c r="A2000" s="45">
        <v>38019.0</v>
      </c>
      <c r="B2000" s="45" t="s">
        <v>3265</v>
      </c>
      <c r="C2000" s="45" t="s">
        <v>3272</v>
      </c>
      <c r="D2000" s="46">
        <v>3596.0</v>
      </c>
      <c r="E2000" s="46">
        <v>3704.0</v>
      </c>
    </row>
    <row r="2001">
      <c r="A2001" s="45">
        <v>38021.0</v>
      </c>
      <c r="B2001" s="45" t="s">
        <v>3265</v>
      </c>
      <c r="C2001" s="45" t="s">
        <v>3273</v>
      </c>
      <c r="D2001" s="46">
        <v>4900.0</v>
      </c>
      <c r="E2001" s="46">
        <v>4999.0</v>
      </c>
    </row>
    <row r="2002">
      <c r="A2002" s="45">
        <v>38023.0</v>
      </c>
      <c r="B2002" s="45" t="s">
        <v>3265</v>
      </c>
      <c r="C2002" s="45" t="s">
        <v>3274</v>
      </c>
      <c r="D2002" s="46">
        <v>2135.0</v>
      </c>
      <c r="E2002" s="46">
        <v>2195.0</v>
      </c>
    </row>
    <row r="2003">
      <c r="A2003" s="45">
        <v>38025.0</v>
      </c>
      <c r="B2003" s="45" t="s">
        <v>3265</v>
      </c>
      <c r="C2003" s="45" t="s">
        <v>3275</v>
      </c>
      <c r="D2003" s="46">
        <v>4019.0</v>
      </c>
      <c r="E2003" s="46">
        <v>4095.0</v>
      </c>
    </row>
    <row r="2004">
      <c r="A2004" s="45">
        <v>38027.0</v>
      </c>
      <c r="B2004" s="45" t="s">
        <v>3265</v>
      </c>
      <c r="C2004" s="45" t="s">
        <v>3151</v>
      </c>
      <c r="D2004" s="46">
        <v>2263.0</v>
      </c>
      <c r="E2004" s="46">
        <v>2347.0</v>
      </c>
    </row>
    <row r="2005">
      <c r="A2005" s="45">
        <v>38029.0</v>
      </c>
      <c r="B2005" s="45" t="s">
        <v>3265</v>
      </c>
      <c r="C2005" s="45" t="s">
        <v>3276</v>
      </c>
      <c r="D2005" s="46">
        <v>3224.0</v>
      </c>
      <c r="E2005" s="46">
        <v>3301.0</v>
      </c>
    </row>
    <row r="2006">
      <c r="A2006" s="45">
        <v>38031.0</v>
      </c>
      <c r="B2006" s="45" t="s">
        <v>3265</v>
      </c>
      <c r="C2006" s="45" t="s">
        <v>3277</v>
      </c>
      <c r="D2006" s="46">
        <v>3309.0</v>
      </c>
      <c r="E2006" s="46">
        <v>3397.0</v>
      </c>
    </row>
    <row r="2007">
      <c r="A2007" s="45">
        <v>38033.0</v>
      </c>
      <c r="B2007" s="45" t="s">
        <v>3265</v>
      </c>
      <c r="C2007" s="45" t="s">
        <v>3047</v>
      </c>
      <c r="D2007" s="46">
        <v>1743.0</v>
      </c>
      <c r="E2007" s="46">
        <v>1736.0</v>
      </c>
    </row>
    <row r="2008">
      <c r="A2008" s="45">
        <v>38035.0</v>
      </c>
      <c r="B2008" s="45" t="s">
        <v>3265</v>
      </c>
      <c r="C2008" s="45" t="s">
        <v>3278</v>
      </c>
      <c r="D2008" s="46">
        <v>72708.0</v>
      </c>
      <c r="E2008" s="46">
        <v>73170.0</v>
      </c>
    </row>
    <row r="2009">
      <c r="A2009" s="45">
        <v>38037.0</v>
      </c>
      <c r="B2009" s="45" t="s">
        <v>3265</v>
      </c>
      <c r="C2009" s="45" t="s">
        <v>2101</v>
      </c>
      <c r="D2009" s="46">
        <v>2215.0</v>
      </c>
      <c r="E2009" s="46">
        <v>2301.0</v>
      </c>
    </row>
    <row r="2010">
      <c r="A2010" s="45">
        <v>38039.0</v>
      </c>
      <c r="B2010" s="45" t="s">
        <v>3265</v>
      </c>
      <c r="C2010" s="45" t="s">
        <v>3279</v>
      </c>
      <c r="D2010" s="46">
        <v>2248.0</v>
      </c>
      <c r="E2010" s="46">
        <v>2306.0</v>
      </c>
    </row>
    <row r="2011">
      <c r="A2011" s="45">
        <v>38041.0</v>
      </c>
      <c r="B2011" s="45" t="s">
        <v>3265</v>
      </c>
      <c r="C2011" s="45" t="s">
        <v>3280</v>
      </c>
      <c r="D2011" s="46">
        <v>2415.0</v>
      </c>
      <c r="E2011" s="46">
        <v>2489.0</v>
      </c>
    </row>
    <row r="2012">
      <c r="A2012" s="45">
        <v>38043.0</v>
      </c>
      <c r="B2012" s="45" t="s">
        <v>3265</v>
      </c>
      <c r="C2012" s="45" t="s">
        <v>3281</v>
      </c>
      <c r="D2012" s="46">
        <v>2342.0</v>
      </c>
      <c r="E2012" s="46">
        <v>2394.0</v>
      </c>
    </row>
    <row r="2013">
      <c r="A2013" s="45">
        <v>38045.0</v>
      </c>
      <c r="B2013" s="45" t="s">
        <v>3265</v>
      </c>
      <c r="C2013" s="45" t="s">
        <v>3282</v>
      </c>
      <c r="D2013" s="46">
        <v>4096.0</v>
      </c>
      <c r="E2013" s="46">
        <v>4093.0</v>
      </c>
    </row>
    <row r="2014">
      <c r="A2014" s="45">
        <v>38047.0</v>
      </c>
      <c r="B2014" s="45" t="s">
        <v>3265</v>
      </c>
      <c r="C2014" s="45" t="s">
        <v>2111</v>
      </c>
      <c r="D2014" s="46">
        <v>1869.0</v>
      </c>
      <c r="E2014" s="46">
        <v>1876.0</v>
      </c>
    </row>
    <row r="2015">
      <c r="A2015" s="45">
        <v>38049.0</v>
      </c>
      <c r="B2015" s="45" t="s">
        <v>3265</v>
      </c>
      <c r="C2015" s="45" t="s">
        <v>2488</v>
      </c>
      <c r="D2015" s="46">
        <v>5131.0</v>
      </c>
      <c r="E2015" s="46">
        <v>5345.0</v>
      </c>
    </row>
    <row r="2016">
      <c r="A2016" s="45">
        <v>38051.0</v>
      </c>
      <c r="B2016" s="45" t="s">
        <v>3265</v>
      </c>
      <c r="C2016" s="45" t="s">
        <v>2381</v>
      </c>
      <c r="D2016" s="46">
        <v>2488.0</v>
      </c>
      <c r="E2016" s="46">
        <v>2530.0</v>
      </c>
    </row>
    <row r="2017">
      <c r="A2017" s="45">
        <v>38053.0</v>
      </c>
      <c r="B2017" s="45" t="s">
        <v>3265</v>
      </c>
      <c r="C2017" s="45" t="s">
        <v>3283</v>
      </c>
      <c r="D2017" s="46">
        <v>14252.0</v>
      </c>
      <c r="E2017" s="46">
        <v>14704.0</v>
      </c>
    </row>
    <row r="2018">
      <c r="A2018" s="45">
        <v>38055.0</v>
      </c>
      <c r="B2018" s="45" t="s">
        <v>3265</v>
      </c>
      <c r="C2018" s="45" t="s">
        <v>2489</v>
      </c>
      <c r="D2018" s="46">
        <v>9832.0</v>
      </c>
      <c r="E2018" s="46">
        <v>9771.0</v>
      </c>
    </row>
    <row r="2019">
      <c r="A2019" s="45">
        <v>38057.0</v>
      </c>
      <c r="B2019" s="45" t="s">
        <v>3265</v>
      </c>
      <c r="C2019" s="45" t="s">
        <v>2494</v>
      </c>
      <c r="D2019" s="46">
        <v>8309.0</v>
      </c>
      <c r="E2019" s="46">
        <v>8350.0</v>
      </c>
    </row>
    <row r="2020">
      <c r="A2020" s="45">
        <v>38059.0</v>
      </c>
      <c r="B2020" s="45" t="s">
        <v>3265</v>
      </c>
      <c r="C2020" s="45" t="s">
        <v>2636</v>
      </c>
      <c r="D2020" s="46">
        <v>33895.0</v>
      </c>
      <c r="E2020" s="46">
        <v>33291.0</v>
      </c>
    </row>
    <row r="2021">
      <c r="A2021" s="45">
        <v>38061.0</v>
      </c>
      <c r="B2021" s="45" t="s">
        <v>3265</v>
      </c>
      <c r="C2021" s="45" t="s">
        <v>3284</v>
      </c>
      <c r="D2021" s="46">
        <v>9383.0</v>
      </c>
      <c r="E2021" s="46">
        <v>9809.0</v>
      </c>
    </row>
    <row r="2022">
      <c r="A2022" s="45">
        <v>38063.0</v>
      </c>
      <c r="B2022" s="45" t="s">
        <v>3265</v>
      </c>
      <c r="C2022" s="45" t="s">
        <v>2711</v>
      </c>
      <c r="D2022" s="46">
        <v>2991.0</v>
      </c>
      <c r="E2022" s="46">
        <v>3015.0</v>
      </c>
    </row>
    <row r="2023">
      <c r="A2023" s="45">
        <v>38065.0</v>
      </c>
      <c r="B2023" s="45" t="s">
        <v>3265</v>
      </c>
      <c r="C2023" s="45" t="s">
        <v>3285</v>
      </c>
      <c r="D2023" s="46">
        <v>1879.0</v>
      </c>
      <c r="E2023" s="46">
        <v>1877.0</v>
      </c>
    </row>
    <row r="2024">
      <c r="A2024" s="45">
        <v>38067.0</v>
      </c>
      <c r="B2024" s="45" t="s">
        <v>3265</v>
      </c>
      <c r="C2024" s="45" t="s">
        <v>3286</v>
      </c>
      <c r="D2024" s="46">
        <v>6661.0</v>
      </c>
      <c r="E2024" s="46">
        <v>6844.0</v>
      </c>
    </row>
    <row r="2025">
      <c r="A2025" s="45">
        <v>38069.0</v>
      </c>
      <c r="B2025" s="45" t="s">
        <v>3265</v>
      </c>
      <c r="C2025" s="45" t="s">
        <v>2390</v>
      </c>
      <c r="D2025" s="46">
        <v>3902.0</v>
      </c>
      <c r="E2025" s="46">
        <v>3990.0</v>
      </c>
    </row>
    <row r="2026">
      <c r="A2026" s="45">
        <v>38071.0</v>
      </c>
      <c r="B2026" s="45" t="s">
        <v>3265</v>
      </c>
      <c r="C2026" s="45" t="s">
        <v>2935</v>
      </c>
      <c r="D2026" s="46">
        <v>11463.0</v>
      </c>
      <c r="E2026" s="46">
        <v>11605.0</v>
      </c>
    </row>
    <row r="2027">
      <c r="A2027" s="45">
        <v>38073.0</v>
      </c>
      <c r="B2027" s="45" t="s">
        <v>3265</v>
      </c>
      <c r="C2027" s="45" t="s">
        <v>3287</v>
      </c>
      <c r="D2027" s="46">
        <v>5603.0</v>
      </c>
      <c r="E2027" s="46">
        <v>5703.0</v>
      </c>
    </row>
    <row r="2028">
      <c r="A2028" s="45">
        <v>38075.0</v>
      </c>
      <c r="B2028" s="45" t="s">
        <v>3265</v>
      </c>
      <c r="C2028" s="45" t="s">
        <v>2938</v>
      </c>
      <c r="D2028" s="46">
        <v>2279.0</v>
      </c>
      <c r="E2028" s="46">
        <v>2282.0</v>
      </c>
    </row>
    <row r="2029">
      <c r="A2029" s="45">
        <v>38077.0</v>
      </c>
      <c r="B2029" s="45" t="s">
        <v>3265</v>
      </c>
      <c r="C2029" s="45" t="s">
        <v>2499</v>
      </c>
      <c r="D2029" s="46">
        <v>16558.0</v>
      </c>
      <c r="E2029" s="46">
        <v>16529.0</v>
      </c>
    </row>
    <row r="2030">
      <c r="A2030" s="45">
        <v>38079.0</v>
      </c>
      <c r="B2030" s="45" t="s">
        <v>3265</v>
      </c>
      <c r="C2030" s="45" t="s">
        <v>3288</v>
      </c>
      <c r="D2030" s="46">
        <v>11728.0</v>
      </c>
      <c r="E2030" s="46">
        <v>12187.0</v>
      </c>
    </row>
    <row r="2031">
      <c r="A2031" s="45">
        <v>38081.0</v>
      </c>
      <c r="B2031" s="45" t="s">
        <v>3265</v>
      </c>
      <c r="C2031" s="45" t="s">
        <v>3289</v>
      </c>
      <c r="D2031" s="46">
        <v>3776.0</v>
      </c>
      <c r="E2031" s="46">
        <v>3862.0</v>
      </c>
    </row>
    <row r="2032">
      <c r="A2032" s="45">
        <v>38083.0</v>
      </c>
      <c r="B2032" s="45" t="s">
        <v>3265</v>
      </c>
      <c r="C2032" s="45" t="s">
        <v>2655</v>
      </c>
      <c r="D2032" s="46">
        <v>1266.0</v>
      </c>
      <c r="E2032" s="46">
        <v>1265.0</v>
      </c>
    </row>
    <row r="2033">
      <c r="A2033" s="45">
        <v>38085.0</v>
      </c>
      <c r="B2033" s="45" t="s">
        <v>3265</v>
      </c>
      <c r="C2033" s="45" t="s">
        <v>2594</v>
      </c>
      <c r="D2033" s="46">
        <v>3643.0</v>
      </c>
      <c r="E2033" s="46">
        <v>3898.0</v>
      </c>
    </row>
    <row r="2034">
      <c r="A2034" s="45">
        <v>38087.0</v>
      </c>
      <c r="B2034" s="45" t="s">
        <v>3265</v>
      </c>
      <c r="C2034" s="45" t="s">
        <v>3290</v>
      </c>
      <c r="D2034" s="45">
        <v>674.0</v>
      </c>
      <c r="E2034" s="45">
        <v>706.0</v>
      </c>
    </row>
    <row r="2035">
      <c r="A2035" s="45">
        <v>38089.0</v>
      </c>
      <c r="B2035" s="45" t="s">
        <v>3265</v>
      </c>
      <c r="C2035" s="45" t="s">
        <v>2503</v>
      </c>
      <c r="D2035" s="46">
        <v>33001.0</v>
      </c>
      <c r="E2035" s="46">
        <v>33646.0</v>
      </c>
    </row>
    <row r="2036">
      <c r="A2036" s="45">
        <v>38091.0</v>
      </c>
      <c r="B2036" s="45" t="s">
        <v>3265</v>
      </c>
      <c r="C2036" s="45" t="s">
        <v>2945</v>
      </c>
      <c r="D2036" s="46">
        <v>1782.0</v>
      </c>
      <c r="E2036" s="46">
        <v>1798.0</v>
      </c>
    </row>
    <row r="2037">
      <c r="A2037" s="45">
        <v>38093.0</v>
      </c>
      <c r="B2037" s="45" t="s">
        <v>3265</v>
      </c>
      <c r="C2037" s="45" t="s">
        <v>3291</v>
      </c>
      <c r="D2037" s="46">
        <v>21392.0</v>
      </c>
      <c r="E2037" s="46">
        <v>21593.0</v>
      </c>
    </row>
    <row r="2038">
      <c r="A2038" s="45">
        <v>38095.0</v>
      </c>
      <c r="B2038" s="45" t="s">
        <v>3265</v>
      </c>
      <c r="C2038" s="45" t="s">
        <v>3292</v>
      </c>
      <c r="D2038" s="46">
        <v>2030.0</v>
      </c>
      <c r="E2038" s="46">
        <v>2162.0</v>
      </c>
    </row>
    <row r="2039">
      <c r="A2039" s="45">
        <v>38097.0</v>
      </c>
      <c r="B2039" s="45" t="s">
        <v>3265</v>
      </c>
      <c r="C2039" s="45" t="s">
        <v>3293</v>
      </c>
      <c r="D2039" s="46">
        <v>7908.0</v>
      </c>
      <c r="E2039" s="46">
        <v>7997.0</v>
      </c>
    </row>
    <row r="2040">
      <c r="A2040" s="45">
        <v>38099.0</v>
      </c>
      <c r="B2040" s="45" t="s">
        <v>3265</v>
      </c>
      <c r="C2040" s="45" t="s">
        <v>3294</v>
      </c>
      <c r="D2040" s="46">
        <v>10305.0</v>
      </c>
      <c r="E2040" s="46">
        <v>10563.0</v>
      </c>
    </row>
    <row r="2041">
      <c r="A2041" s="45">
        <v>38101.0</v>
      </c>
      <c r="B2041" s="45" t="s">
        <v>3265</v>
      </c>
      <c r="C2041" s="45" t="s">
        <v>3295</v>
      </c>
      <c r="D2041" s="46">
        <v>68332.0</v>
      </c>
      <c r="E2041" s="46">
        <v>69919.0</v>
      </c>
    </row>
    <row r="2042">
      <c r="A2042" s="45">
        <v>38103.0</v>
      </c>
      <c r="B2042" s="45" t="s">
        <v>3265</v>
      </c>
      <c r="C2042" s="45" t="s">
        <v>2553</v>
      </c>
      <c r="D2042" s="46">
        <v>3876.0</v>
      </c>
      <c r="E2042" s="46">
        <v>3982.0</v>
      </c>
    </row>
    <row r="2043">
      <c r="A2043" s="45">
        <v>38105.0</v>
      </c>
      <c r="B2043" s="45" t="s">
        <v>3265</v>
      </c>
      <c r="C2043" s="45" t="s">
        <v>3296</v>
      </c>
      <c r="D2043" s="46">
        <v>39113.0</v>
      </c>
      <c r="E2043" s="46">
        <v>40950.0</v>
      </c>
    </row>
    <row r="2044">
      <c r="A2044" s="45">
        <v>39001.0</v>
      </c>
      <c r="B2044" s="45" t="s">
        <v>3297</v>
      </c>
      <c r="C2044" s="45" t="s">
        <v>2195</v>
      </c>
      <c r="D2044" s="46">
        <v>27521.0</v>
      </c>
      <c r="E2044" s="46">
        <v>27477.0</v>
      </c>
    </row>
    <row r="2045">
      <c r="A2045" s="45">
        <v>39003.0</v>
      </c>
      <c r="B2045" s="45" t="s">
        <v>3297</v>
      </c>
      <c r="C2045" s="45" t="s">
        <v>2514</v>
      </c>
      <c r="D2045" s="46">
        <v>100838.0</v>
      </c>
      <c r="E2045" s="46">
        <v>102206.0</v>
      </c>
    </row>
    <row r="2046">
      <c r="A2046" s="45">
        <v>39005.0</v>
      </c>
      <c r="B2046" s="45" t="s">
        <v>3297</v>
      </c>
      <c r="C2046" s="45" t="s">
        <v>3298</v>
      </c>
      <c r="D2046" s="46">
        <v>52190.0</v>
      </c>
      <c r="E2046" s="46">
        <v>52447.0</v>
      </c>
    </row>
    <row r="2047">
      <c r="A2047" s="45">
        <v>39007.0</v>
      </c>
      <c r="B2047" s="45" t="s">
        <v>3297</v>
      </c>
      <c r="C2047" s="45" t="s">
        <v>3299</v>
      </c>
      <c r="D2047" s="46">
        <v>96845.0</v>
      </c>
      <c r="E2047" s="46">
        <v>97574.0</v>
      </c>
    </row>
    <row r="2048">
      <c r="A2048" s="45">
        <v>39009.0</v>
      </c>
      <c r="B2048" s="45" t="s">
        <v>3297</v>
      </c>
      <c r="C2048" s="45" t="s">
        <v>3300</v>
      </c>
      <c r="D2048" s="46">
        <v>62706.0</v>
      </c>
      <c r="E2048" s="46">
        <v>62431.0</v>
      </c>
    </row>
    <row r="2049">
      <c r="A2049" s="45">
        <v>39011.0</v>
      </c>
      <c r="B2049" s="45" t="s">
        <v>3297</v>
      </c>
      <c r="C2049" s="45" t="s">
        <v>3301</v>
      </c>
      <c r="D2049" s="46">
        <v>46050.0</v>
      </c>
      <c r="E2049" s="46">
        <v>46422.0</v>
      </c>
    </row>
    <row r="2050">
      <c r="A2050" s="45">
        <v>39013.0</v>
      </c>
      <c r="B2050" s="45" t="s">
        <v>3297</v>
      </c>
      <c r="C2050" s="45" t="s">
        <v>3302</v>
      </c>
      <c r="D2050" s="46">
        <v>64918.0</v>
      </c>
      <c r="E2050" s="46">
        <v>66497.0</v>
      </c>
    </row>
    <row r="2051">
      <c r="A2051" s="45">
        <v>39015.0</v>
      </c>
      <c r="B2051" s="45" t="s">
        <v>3297</v>
      </c>
      <c r="C2051" s="45" t="s">
        <v>2461</v>
      </c>
      <c r="D2051" s="46">
        <v>43777.0</v>
      </c>
      <c r="E2051" s="46">
        <v>43676.0</v>
      </c>
    </row>
    <row r="2052">
      <c r="A2052" s="45">
        <v>39017.0</v>
      </c>
      <c r="B2052" s="45" t="s">
        <v>3297</v>
      </c>
      <c r="C2052" s="45" t="s">
        <v>2001</v>
      </c>
      <c r="D2052" s="46">
        <v>393043.0</v>
      </c>
      <c r="E2052" s="46">
        <v>390357.0</v>
      </c>
    </row>
    <row r="2053">
      <c r="A2053" s="45">
        <v>39019.0</v>
      </c>
      <c r="B2053" s="45" t="s">
        <v>3297</v>
      </c>
      <c r="C2053" s="45" t="s">
        <v>2086</v>
      </c>
      <c r="D2053" s="46">
        <v>26758.0</v>
      </c>
      <c r="E2053" s="46">
        <v>26721.0</v>
      </c>
    </row>
    <row r="2054">
      <c r="A2054" s="45">
        <v>39021.0</v>
      </c>
      <c r="B2054" s="45" t="s">
        <v>3297</v>
      </c>
      <c r="C2054" s="45" t="s">
        <v>2464</v>
      </c>
      <c r="D2054" s="46">
        <v>38845.0</v>
      </c>
      <c r="E2054" s="46">
        <v>38714.0</v>
      </c>
    </row>
    <row r="2055">
      <c r="A2055" s="45">
        <v>39023.0</v>
      </c>
      <c r="B2055" s="45" t="s">
        <v>3297</v>
      </c>
      <c r="C2055" s="45" t="s">
        <v>2088</v>
      </c>
      <c r="D2055" s="46">
        <v>134610.0</v>
      </c>
      <c r="E2055" s="46">
        <v>136001.0</v>
      </c>
    </row>
    <row r="2056">
      <c r="A2056" s="45">
        <v>39025.0</v>
      </c>
      <c r="B2056" s="45" t="s">
        <v>3297</v>
      </c>
      <c r="C2056" s="45" t="s">
        <v>3303</v>
      </c>
      <c r="D2056" s="46">
        <v>211972.0</v>
      </c>
      <c r="E2056" s="46">
        <v>208601.0</v>
      </c>
    </row>
    <row r="2057">
      <c r="A2057" s="45">
        <v>39027.0</v>
      </c>
      <c r="B2057" s="45" t="s">
        <v>3297</v>
      </c>
      <c r="C2057" s="45" t="s">
        <v>2466</v>
      </c>
      <c r="D2057" s="46">
        <v>41938.0</v>
      </c>
      <c r="E2057" s="46">
        <v>42018.0</v>
      </c>
    </row>
    <row r="2058">
      <c r="A2058" s="45">
        <v>39029.0</v>
      </c>
      <c r="B2058" s="45" t="s">
        <v>3297</v>
      </c>
      <c r="C2058" s="45" t="s">
        <v>3304</v>
      </c>
      <c r="D2058" s="46">
        <v>100182.0</v>
      </c>
      <c r="E2058" s="46">
        <v>101877.0</v>
      </c>
    </row>
    <row r="2059">
      <c r="A2059" s="45">
        <v>39031.0</v>
      </c>
      <c r="B2059" s="45" t="s">
        <v>3297</v>
      </c>
      <c r="C2059" s="45" t="s">
        <v>3305</v>
      </c>
      <c r="D2059" s="46">
        <v>36869.0</v>
      </c>
      <c r="E2059" s="46">
        <v>36612.0</v>
      </c>
    </row>
    <row r="2060">
      <c r="A2060" s="45">
        <v>39033.0</v>
      </c>
      <c r="B2060" s="45" t="s">
        <v>3297</v>
      </c>
      <c r="C2060" s="45" t="s">
        <v>2093</v>
      </c>
      <c r="D2060" s="46">
        <v>41529.0</v>
      </c>
      <c r="E2060" s="46">
        <v>42025.0</v>
      </c>
    </row>
    <row r="2061">
      <c r="A2061" s="45">
        <v>39035.0</v>
      </c>
      <c r="B2061" s="45" t="s">
        <v>3297</v>
      </c>
      <c r="C2061" s="45" t="s">
        <v>3306</v>
      </c>
      <c r="D2061" s="46">
        <v>1233088.0</v>
      </c>
      <c r="E2061" s="46">
        <v>1264817.0</v>
      </c>
    </row>
    <row r="2062">
      <c r="A2062" s="45">
        <v>39037.0</v>
      </c>
      <c r="B2062" s="45" t="s">
        <v>3297</v>
      </c>
      <c r="C2062" s="45" t="s">
        <v>3307</v>
      </c>
      <c r="D2062" s="46">
        <v>51415.0</v>
      </c>
      <c r="E2062" s="46">
        <v>51881.0</v>
      </c>
    </row>
    <row r="2063">
      <c r="A2063" s="45">
        <v>39039.0</v>
      </c>
      <c r="B2063" s="45" t="s">
        <v>3297</v>
      </c>
      <c r="C2063" s="45" t="s">
        <v>3308</v>
      </c>
      <c r="D2063" s="46">
        <v>38315.0</v>
      </c>
      <c r="E2063" s="46">
        <v>38286.0</v>
      </c>
    </row>
    <row r="2064">
      <c r="A2064" s="45">
        <v>39041.0</v>
      </c>
      <c r="B2064" s="45" t="s">
        <v>3297</v>
      </c>
      <c r="C2064" s="45" t="s">
        <v>2519</v>
      </c>
      <c r="D2064" s="46">
        <v>231636.0</v>
      </c>
      <c r="E2064" s="46">
        <v>214124.0</v>
      </c>
    </row>
    <row r="2065">
      <c r="A2065" s="45">
        <v>39043.0</v>
      </c>
      <c r="B2065" s="45" t="s">
        <v>3297</v>
      </c>
      <c r="C2065" s="45" t="s">
        <v>3178</v>
      </c>
      <c r="D2065" s="46">
        <v>74035.0</v>
      </c>
      <c r="E2065" s="46">
        <v>75622.0</v>
      </c>
    </row>
    <row r="2066">
      <c r="A2066" s="45">
        <v>39045.0</v>
      </c>
      <c r="B2066" s="45" t="s">
        <v>3297</v>
      </c>
      <c r="C2066" s="45" t="s">
        <v>2251</v>
      </c>
      <c r="D2066" s="46">
        <v>165360.0</v>
      </c>
      <c r="E2066" s="46">
        <v>158921.0</v>
      </c>
    </row>
    <row r="2067">
      <c r="A2067" s="45">
        <v>39047.0</v>
      </c>
      <c r="B2067" s="45" t="s">
        <v>3297</v>
      </c>
      <c r="C2067" s="45" t="s">
        <v>2023</v>
      </c>
      <c r="D2067" s="46">
        <v>28817.0</v>
      </c>
      <c r="E2067" s="46">
        <v>28951.0</v>
      </c>
    </row>
    <row r="2068">
      <c r="A2068" s="45">
        <v>39049.0</v>
      </c>
      <c r="B2068" s="45" t="s">
        <v>3297</v>
      </c>
      <c r="C2068" s="45" t="s">
        <v>2024</v>
      </c>
      <c r="D2068" s="46">
        <v>1326063.0</v>
      </c>
      <c r="E2068" s="46">
        <v>1323807.0</v>
      </c>
    </row>
    <row r="2069">
      <c r="A2069" s="45">
        <v>39051.0</v>
      </c>
      <c r="B2069" s="45" t="s">
        <v>3297</v>
      </c>
      <c r="C2069" s="45" t="s">
        <v>2099</v>
      </c>
      <c r="D2069" s="46">
        <v>42007.0</v>
      </c>
      <c r="E2069" s="46">
        <v>42713.0</v>
      </c>
    </row>
    <row r="2070">
      <c r="A2070" s="45">
        <v>39053.0</v>
      </c>
      <c r="B2070" s="45" t="s">
        <v>3297</v>
      </c>
      <c r="C2070" s="45" t="s">
        <v>3309</v>
      </c>
      <c r="D2070" s="46">
        <v>28986.0</v>
      </c>
      <c r="E2070" s="46">
        <v>29220.0</v>
      </c>
    </row>
    <row r="2071">
      <c r="A2071" s="45">
        <v>39055.0</v>
      </c>
      <c r="B2071" s="45" t="s">
        <v>3297</v>
      </c>
      <c r="C2071" s="45" t="s">
        <v>3310</v>
      </c>
      <c r="D2071" s="46">
        <v>95407.0</v>
      </c>
      <c r="E2071" s="46">
        <v>95397.0</v>
      </c>
    </row>
    <row r="2072">
      <c r="A2072" s="45">
        <v>39057.0</v>
      </c>
      <c r="B2072" s="45" t="s">
        <v>3297</v>
      </c>
      <c r="C2072" s="45" t="s">
        <v>2026</v>
      </c>
      <c r="D2072" s="46">
        <v>169691.0</v>
      </c>
      <c r="E2072" s="46">
        <v>167966.0</v>
      </c>
    </row>
    <row r="2073">
      <c r="A2073" s="45">
        <v>39059.0</v>
      </c>
      <c r="B2073" s="45" t="s">
        <v>3297</v>
      </c>
      <c r="C2073" s="45" t="s">
        <v>3311</v>
      </c>
      <c r="D2073" s="46">
        <v>38089.0</v>
      </c>
      <c r="E2073" s="46">
        <v>38438.0</v>
      </c>
    </row>
    <row r="2074">
      <c r="A2074" s="45">
        <v>39061.0</v>
      </c>
      <c r="B2074" s="45" t="s">
        <v>3297</v>
      </c>
      <c r="C2074" s="45" t="s">
        <v>2282</v>
      </c>
      <c r="D2074" s="46">
        <v>827058.0</v>
      </c>
      <c r="E2074" s="46">
        <v>830639.0</v>
      </c>
    </row>
    <row r="2075">
      <c r="A2075" s="45">
        <v>39063.0</v>
      </c>
      <c r="B2075" s="45" t="s">
        <v>3297</v>
      </c>
      <c r="C2075" s="45" t="s">
        <v>2366</v>
      </c>
      <c r="D2075" s="46">
        <v>74704.0</v>
      </c>
      <c r="E2075" s="46">
        <v>74920.0</v>
      </c>
    </row>
    <row r="2076">
      <c r="A2076" s="45">
        <v>39065.0</v>
      </c>
      <c r="B2076" s="45" t="s">
        <v>3297</v>
      </c>
      <c r="C2076" s="45" t="s">
        <v>2476</v>
      </c>
      <c r="D2076" s="46">
        <v>30368.0</v>
      </c>
      <c r="E2076" s="46">
        <v>30696.0</v>
      </c>
    </row>
    <row r="2077">
      <c r="A2077" s="45">
        <v>39067.0</v>
      </c>
      <c r="B2077" s="45" t="s">
        <v>3297</v>
      </c>
      <c r="C2077" s="45" t="s">
        <v>2524</v>
      </c>
      <c r="D2077" s="46">
        <v>14159.0</v>
      </c>
      <c r="E2077" s="46">
        <v>14483.0</v>
      </c>
    </row>
    <row r="2078">
      <c r="A2078" s="45">
        <v>39069.0</v>
      </c>
      <c r="B2078" s="45" t="s">
        <v>3297</v>
      </c>
      <c r="C2078" s="45" t="s">
        <v>2028</v>
      </c>
      <c r="D2078" s="46">
        <v>27520.0</v>
      </c>
      <c r="E2078" s="46">
        <v>27662.0</v>
      </c>
    </row>
    <row r="2079">
      <c r="A2079" s="45">
        <v>39071.0</v>
      </c>
      <c r="B2079" s="45" t="s">
        <v>3297</v>
      </c>
      <c r="C2079" s="45" t="s">
        <v>3312</v>
      </c>
      <c r="D2079" s="46">
        <v>43614.0</v>
      </c>
      <c r="E2079" s="46">
        <v>43317.0</v>
      </c>
    </row>
    <row r="2080">
      <c r="A2080" s="45">
        <v>39073.0</v>
      </c>
      <c r="B2080" s="45" t="s">
        <v>3297</v>
      </c>
      <c r="C2080" s="45" t="s">
        <v>3313</v>
      </c>
      <c r="D2080" s="46">
        <v>27540.0</v>
      </c>
      <c r="E2080" s="46">
        <v>28050.0</v>
      </c>
    </row>
    <row r="2081">
      <c r="A2081" s="45">
        <v>39075.0</v>
      </c>
      <c r="B2081" s="45" t="s">
        <v>3297</v>
      </c>
      <c r="C2081" s="45" t="s">
        <v>2288</v>
      </c>
      <c r="D2081" s="46">
        <v>44386.0</v>
      </c>
      <c r="E2081" s="46">
        <v>44223.0</v>
      </c>
    </row>
    <row r="2082">
      <c r="A2082" s="45">
        <v>39077.0</v>
      </c>
      <c r="B2082" s="45" t="s">
        <v>3297</v>
      </c>
      <c r="C2082" s="45" t="s">
        <v>2853</v>
      </c>
      <c r="D2082" s="46">
        <v>58199.0</v>
      </c>
      <c r="E2082" s="46">
        <v>58565.0</v>
      </c>
    </row>
    <row r="2083">
      <c r="A2083" s="45">
        <v>39079.0</v>
      </c>
      <c r="B2083" s="45" t="s">
        <v>3297</v>
      </c>
      <c r="C2083" s="45" t="s">
        <v>2030</v>
      </c>
      <c r="D2083" s="46">
        <v>32606.0</v>
      </c>
      <c r="E2083" s="46">
        <v>32653.0</v>
      </c>
    </row>
    <row r="2084">
      <c r="A2084" s="45">
        <v>39081.0</v>
      </c>
      <c r="B2084" s="45" t="s">
        <v>3297</v>
      </c>
      <c r="C2084" s="45" t="s">
        <v>2031</v>
      </c>
      <c r="D2084" s="46">
        <v>64026.0</v>
      </c>
      <c r="E2084" s="46">
        <v>65249.0</v>
      </c>
    </row>
    <row r="2085">
      <c r="A2085" s="45">
        <v>39083.0</v>
      </c>
      <c r="B2085" s="45" t="s">
        <v>3297</v>
      </c>
      <c r="C2085" s="45" t="s">
        <v>2484</v>
      </c>
      <c r="D2085" s="46">
        <v>63320.0</v>
      </c>
      <c r="E2085" s="46">
        <v>62721.0</v>
      </c>
    </row>
    <row r="2086">
      <c r="A2086" s="45">
        <v>39085.0</v>
      </c>
      <c r="B2086" s="45" t="s">
        <v>3297</v>
      </c>
      <c r="C2086" s="45" t="s">
        <v>2154</v>
      </c>
      <c r="D2086" s="46">
        <v>231640.0</v>
      </c>
      <c r="E2086" s="46">
        <v>232603.0</v>
      </c>
    </row>
    <row r="2087">
      <c r="A2087" s="45">
        <v>39087.0</v>
      </c>
      <c r="B2087" s="45" t="s">
        <v>3297</v>
      </c>
      <c r="C2087" s="45" t="s">
        <v>2034</v>
      </c>
      <c r="D2087" s="46">
        <v>56118.0</v>
      </c>
      <c r="E2087" s="46">
        <v>58240.0</v>
      </c>
    </row>
    <row r="2088">
      <c r="A2088" s="45">
        <v>39089.0</v>
      </c>
      <c r="B2088" s="45" t="s">
        <v>3297</v>
      </c>
      <c r="C2088" s="45" t="s">
        <v>3314</v>
      </c>
      <c r="D2088" s="46">
        <v>183201.0</v>
      </c>
      <c r="E2088" s="46">
        <v>178519.0</v>
      </c>
    </row>
    <row r="2089">
      <c r="A2089" s="45">
        <v>39091.0</v>
      </c>
      <c r="B2089" s="45" t="s">
        <v>3297</v>
      </c>
      <c r="C2089" s="45" t="s">
        <v>2111</v>
      </c>
      <c r="D2089" s="46">
        <v>46057.0</v>
      </c>
      <c r="E2089" s="46">
        <v>46150.0</v>
      </c>
    </row>
    <row r="2090">
      <c r="A2090" s="45">
        <v>39093.0</v>
      </c>
      <c r="B2090" s="45" t="s">
        <v>3297</v>
      </c>
      <c r="C2090" s="45" t="s">
        <v>3315</v>
      </c>
      <c r="D2090" s="46">
        <v>317910.0</v>
      </c>
      <c r="E2090" s="46">
        <v>312964.0</v>
      </c>
    </row>
    <row r="2091">
      <c r="A2091" s="45">
        <v>39095.0</v>
      </c>
      <c r="B2091" s="45" t="s">
        <v>3297</v>
      </c>
      <c r="C2091" s="45" t="s">
        <v>2579</v>
      </c>
      <c r="D2091" s="46">
        <v>425484.0</v>
      </c>
      <c r="E2091" s="46">
        <v>431279.0</v>
      </c>
    </row>
    <row r="2092">
      <c r="A2092" s="45">
        <v>39097.0</v>
      </c>
      <c r="B2092" s="45" t="s">
        <v>3297</v>
      </c>
      <c r="C2092" s="45" t="s">
        <v>2039</v>
      </c>
      <c r="D2092" s="46">
        <v>44602.0</v>
      </c>
      <c r="E2092" s="46">
        <v>43824.0</v>
      </c>
    </row>
    <row r="2093">
      <c r="A2093" s="45">
        <v>39099.0</v>
      </c>
      <c r="B2093" s="45" t="s">
        <v>3297</v>
      </c>
      <c r="C2093" s="45" t="s">
        <v>3316</v>
      </c>
      <c r="D2093" s="46">
        <v>225596.0</v>
      </c>
      <c r="E2093" s="46">
        <v>228614.0</v>
      </c>
    </row>
    <row r="2094">
      <c r="A2094" s="45">
        <v>39101.0</v>
      </c>
      <c r="B2094" s="45" t="s">
        <v>3297</v>
      </c>
      <c r="C2094" s="45" t="s">
        <v>2041</v>
      </c>
      <c r="D2094" s="46">
        <v>64851.0</v>
      </c>
      <c r="E2094" s="46">
        <v>65359.0</v>
      </c>
    </row>
    <row r="2095">
      <c r="A2095" s="45">
        <v>39103.0</v>
      </c>
      <c r="B2095" s="45" t="s">
        <v>3297</v>
      </c>
      <c r="C2095" s="45" t="s">
        <v>3317</v>
      </c>
      <c r="D2095" s="46">
        <v>184042.0</v>
      </c>
      <c r="E2095" s="46">
        <v>182470.0</v>
      </c>
    </row>
    <row r="2096">
      <c r="A2096" s="45">
        <v>39105.0</v>
      </c>
      <c r="B2096" s="45" t="s">
        <v>3297</v>
      </c>
      <c r="C2096" s="45" t="s">
        <v>3318</v>
      </c>
      <c r="D2096" s="46">
        <v>21767.0</v>
      </c>
      <c r="E2096" s="46">
        <v>22210.0</v>
      </c>
    </row>
    <row r="2097">
      <c r="A2097" s="45">
        <v>39107.0</v>
      </c>
      <c r="B2097" s="45" t="s">
        <v>3297</v>
      </c>
      <c r="C2097" s="45" t="s">
        <v>2494</v>
      </c>
      <c r="D2097" s="46">
        <v>42439.0</v>
      </c>
      <c r="E2097" s="46">
        <v>42528.0</v>
      </c>
    </row>
    <row r="2098">
      <c r="A2098" s="45">
        <v>39109.0</v>
      </c>
      <c r="B2098" s="45" t="s">
        <v>3297</v>
      </c>
      <c r="C2098" s="45" t="s">
        <v>2532</v>
      </c>
      <c r="D2098" s="46">
        <v>110876.0</v>
      </c>
      <c r="E2098" s="46">
        <v>108774.0</v>
      </c>
    </row>
    <row r="2099">
      <c r="A2099" s="45">
        <v>39111.0</v>
      </c>
      <c r="B2099" s="45" t="s">
        <v>3297</v>
      </c>
      <c r="C2099" s="45" t="s">
        <v>2044</v>
      </c>
      <c r="D2099" s="46">
        <v>13153.0</v>
      </c>
      <c r="E2099" s="46">
        <v>13385.0</v>
      </c>
    </row>
    <row r="2100">
      <c r="A2100" s="45">
        <v>39113.0</v>
      </c>
      <c r="B2100" s="45" t="s">
        <v>3297</v>
      </c>
      <c r="C2100" s="45" t="s">
        <v>2045</v>
      </c>
      <c r="D2100" s="46">
        <v>533796.0</v>
      </c>
      <c r="E2100" s="46">
        <v>537309.0</v>
      </c>
    </row>
    <row r="2101">
      <c r="A2101" s="45">
        <v>39115.0</v>
      </c>
      <c r="B2101" s="45" t="s">
        <v>3297</v>
      </c>
      <c r="C2101" s="45" t="s">
        <v>2046</v>
      </c>
      <c r="D2101" s="46">
        <v>13646.0</v>
      </c>
      <c r="E2101" s="46">
        <v>13802.0</v>
      </c>
    </row>
    <row r="2102">
      <c r="A2102" s="45">
        <v>39117.0</v>
      </c>
      <c r="B2102" s="45" t="s">
        <v>3297</v>
      </c>
      <c r="C2102" s="45" t="s">
        <v>3319</v>
      </c>
      <c r="D2102" s="46">
        <v>35595.0</v>
      </c>
      <c r="E2102" s="46">
        <v>34950.0</v>
      </c>
    </row>
    <row r="2103">
      <c r="A2103" s="45">
        <v>39119.0</v>
      </c>
      <c r="B2103" s="45" t="s">
        <v>3297</v>
      </c>
      <c r="C2103" s="45" t="s">
        <v>3320</v>
      </c>
      <c r="D2103" s="46">
        <v>86305.0</v>
      </c>
      <c r="E2103" s="46">
        <v>86410.0</v>
      </c>
    </row>
    <row r="2104">
      <c r="A2104" s="45">
        <v>39121.0</v>
      </c>
      <c r="B2104" s="45" t="s">
        <v>3297</v>
      </c>
      <c r="C2104" s="45" t="s">
        <v>2533</v>
      </c>
      <c r="D2104" s="46">
        <v>14311.0</v>
      </c>
      <c r="E2104" s="46">
        <v>14115.0</v>
      </c>
    </row>
    <row r="2105">
      <c r="A2105" s="45">
        <v>39123.0</v>
      </c>
      <c r="B2105" s="45" t="s">
        <v>3297</v>
      </c>
      <c r="C2105" s="45" t="s">
        <v>2643</v>
      </c>
      <c r="D2105" s="46">
        <v>39803.0</v>
      </c>
      <c r="E2105" s="46">
        <v>40364.0</v>
      </c>
    </row>
    <row r="2106">
      <c r="A2106" s="45">
        <v>39125.0</v>
      </c>
      <c r="B2106" s="45" t="s">
        <v>3297</v>
      </c>
      <c r="C2106" s="45" t="s">
        <v>2388</v>
      </c>
      <c r="D2106" s="46">
        <v>18706.0</v>
      </c>
      <c r="E2106" s="46">
        <v>18806.0</v>
      </c>
    </row>
    <row r="2107">
      <c r="A2107" s="45">
        <v>39127.0</v>
      </c>
      <c r="B2107" s="45" t="s">
        <v>3297</v>
      </c>
      <c r="C2107" s="45" t="s">
        <v>2047</v>
      </c>
      <c r="D2107" s="46">
        <v>35551.0</v>
      </c>
      <c r="E2107" s="46">
        <v>35408.0</v>
      </c>
    </row>
    <row r="2108">
      <c r="A2108" s="45">
        <v>39129.0</v>
      </c>
      <c r="B2108" s="45" t="s">
        <v>3297</v>
      </c>
      <c r="C2108" s="45" t="s">
        <v>3321</v>
      </c>
      <c r="D2108" s="46">
        <v>61086.0</v>
      </c>
      <c r="E2108" s="46">
        <v>58539.0</v>
      </c>
    </row>
    <row r="2109">
      <c r="A2109" s="45">
        <v>39131.0</v>
      </c>
      <c r="B2109" s="45" t="s">
        <v>3297</v>
      </c>
      <c r="C2109" s="45" t="s">
        <v>2049</v>
      </c>
      <c r="D2109" s="46">
        <v>27001.0</v>
      </c>
      <c r="E2109" s="46">
        <v>27088.0</v>
      </c>
    </row>
    <row r="2110">
      <c r="A2110" s="45">
        <v>39133.0</v>
      </c>
      <c r="B2110" s="45" t="s">
        <v>3297</v>
      </c>
      <c r="C2110" s="45" t="s">
        <v>3322</v>
      </c>
      <c r="D2110" s="46">
        <v>162665.0</v>
      </c>
      <c r="E2110" s="46">
        <v>161791.0</v>
      </c>
    </row>
    <row r="2111">
      <c r="A2111" s="45">
        <v>39135.0</v>
      </c>
      <c r="B2111" s="45" t="s">
        <v>3297</v>
      </c>
      <c r="C2111" s="45" t="s">
        <v>3323</v>
      </c>
      <c r="D2111" s="46">
        <v>40556.0</v>
      </c>
      <c r="E2111" s="46">
        <v>40999.0</v>
      </c>
    </row>
    <row r="2112">
      <c r="A2112" s="45">
        <v>39137.0</v>
      </c>
      <c r="B2112" s="45" t="s">
        <v>3297</v>
      </c>
      <c r="C2112" s="45" t="s">
        <v>2303</v>
      </c>
      <c r="D2112" s="46">
        <v>34199.0</v>
      </c>
      <c r="E2112" s="46">
        <v>34451.0</v>
      </c>
    </row>
    <row r="2113">
      <c r="A2113" s="45">
        <v>39139.0</v>
      </c>
      <c r="B2113" s="45" t="s">
        <v>3297</v>
      </c>
      <c r="C2113" s="45" t="s">
        <v>2499</v>
      </c>
      <c r="D2113" s="46">
        <v>125064.0</v>
      </c>
      <c r="E2113" s="46">
        <v>124936.0</v>
      </c>
    </row>
    <row r="2114">
      <c r="A2114" s="45">
        <v>39141.0</v>
      </c>
      <c r="B2114" s="45" t="s">
        <v>3297</v>
      </c>
      <c r="C2114" s="45" t="s">
        <v>3324</v>
      </c>
      <c r="D2114" s="46">
        <v>76501.0</v>
      </c>
      <c r="E2114" s="46">
        <v>77093.0</v>
      </c>
    </row>
    <row r="2115">
      <c r="A2115" s="45">
        <v>39143.0</v>
      </c>
      <c r="B2115" s="45" t="s">
        <v>3297</v>
      </c>
      <c r="C2115" s="45" t="s">
        <v>3325</v>
      </c>
      <c r="D2115" s="46">
        <v>58709.0</v>
      </c>
      <c r="E2115" s="46">
        <v>58896.0</v>
      </c>
    </row>
    <row r="2116">
      <c r="A2116" s="45">
        <v>39145.0</v>
      </c>
      <c r="B2116" s="45" t="s">
        <v>3297</v>
      </c>
      <c r="C2116" s="45" t="s">
        <v>3326</v>
      </c>
      <c r="D2116" s="46">
        <v>71969.0</v>
      </c>
      <c r="E2116" s="46">
        <v>74008.0</v>
      </c>
    </row>
    <row r="2117">
      <c r="A2117" s="45">
        <v>39147.0</v>
      </c>
      <c r="B2117" s="45" t="s">
        <v>3297</v>
      </c>
      <c r="C2117" s="45" t="s">
        <v>3193</v>
      </c>
      <c r="D2117" s="46">
        <v>54527.0</v>
      </c>
      <c r="E2117" s="46">
        <v>55069.0</v>
      </c>
    </row>
    <row r="2118">
      <c r="A2118" s="45">
        <v>39149.0</v>
      </c>
      <c r="B2118" s="45" t="s">
        <v>3297</v>
      </c>
      <c r="C2118" s="45" t="s">
        <v>2053</v>
      </c>
      <c r="D2118" s="46">
        <v>47765.0</v>
      </c>
      <c r="E2118" s="46">
        <v>48230.0</v>
      </c>
    </row>
    <row r="2119">
      <c r="A2119" s="45">
        <v>39151.0</v>
      </c>
      <c r="B2119" s="45" t="s">
        <v>3297</v>
      </c>
      <c r="C2119" s="45" t="s">
        <v>2503</v>
      </c>
      <c r="D2119" s="46">
        <v>372716.0</v>
      </c>
      <c r="E2119" s="46">
        <v>374853.0</v>
      </c>
    </row>
    <row r="2120">
      <c r="A2120" s="45">
        <v>39153.0</v>
      </c>
      <c r="B2120" s="45" t="s">
        <v>3297</v>
      </c>
      <c r="C2120" s="45" t="s">
        <v>2247</v>
      </c>
      <c r="D2120" s="46">
        <v>535733.0</v>
      </c>
      <c r="E2120" s="46">
        <v>540428.0</v>
      </c>
    </row>
    <row r="2121">
      <c r="A2121" s="45">
        <v>39155.0</v>
      </c>
      <c r="B2121" s="45" t="s">
        <v>3297</v>
      </c>
      <c r="C2121" s="45" t="s">
        <v>3327</v>
      </c>
      <c r="D2121" s="46">
        <v>200373.0</v>
      </c>
      <c r="E2121" s="46">
        <v>201977.0</v>
      </c>
    </row>
    <row r="2122">
      <c r="A2122" s="45">
        <v>39157.0</v>
      </c>
      <c r="B2122" s="45" t="s">
        <v>3297</v>
      </c>
      <c r="C2122" s="45" t="s">
        <v>3328</v>
      </c>
      <c r="D2122" s="46">
        <v>91874.0</v>
      </c>
      <c r="E2122" s="46">
        <v>93263.0</v>
      </c>
    </row>
    <row r="2123">
      <c r="A2123" s="45">
        <v>39159.0</v>
      </c>
      <c r="B2123" s="45" t="s">
        <v>3297</v>
      </c>
      <c r="C2123" s="45" t="s">
        <v>2132</v>
      </c>
      <c r="D2123" s="46">
        <v>69637.0</v>
      </c>
      <c r="E2123" s="46">
        <v>62784.0</v>
      </c>
    </row>
    <row r="2124">
      <c r="A2124" s="45">
        <v>39161.0</v>
      </c>
      <c r="B2124" s="45" t="s">
        <v>3297</v>
      </c>
      <c r="C2124" s="45" t="s">
        <v>3329</v>
      </c>
      <c r="D2124" s="46">
        <v>28704.0</v>
      </c>
      <c r="E2124" s="46">
        <v>28931.0</v>
      </c>
    </row>
    <row r="2125">
      <c r="A2125" s="45">
        <v>39163.0</v>
      </c>
      <c r="B2125" s="45" t="s">
        <v>3297</v>
      </c>
      <c r="C2125" s="45" t="s">
        <v>3330</v>
      </c>
      <c r="D2125" s="46">
        <v>12474.0</v>
      </c>
      <c r="E2125" s="46">
        <v>12800.0</v>
      </c>
    </row>
    <row r="2126">
      <c r="A2126" s="45">
        <v>39165.0</v>
      </c>
      <c r="B2126" s="45" t="s">
        <v>3297</v>
      </c>
      <c r="C2126" s="45" t="s">
        <v>2415</v>
      </c>
      <c r="D2126" s="46">
        <v>252148.0</v>
      </c>
      <c r="E2126" s="46">
        <v>242337.0</v>
      </c>
    </row>
    <row r="2127">
      <c r="A2127" s="45">
        <v>39167.0</v>
      </c>
      <c r="B2127" s="45" t="s">
        <v>3297</v>
      </c>
      <c r="C2127" s="45" t="s">
        <v>2059</v>
      </c>
      <c r="D2127" s="46">
        <v>58577.0</v>
      </c>
      <c r="E2127" s="46">
        <v>59771.0</v>
      </c>
    </row>
    <row r="2128">
      <c r="A2128" s="45">
        <v>39169.0</v>
      </c>
      <c r="B2128" s="45" t="s">
        <v>3297</v>
      </c>
      <c r="C2128" s="45" t="s">
        <v>2416</v>
      </c>
      <c r="D2128" s="46">
        <v>116510.0</v>
      </c>
      <c r="E2128" s="46">
        <v>116894.0</v>
      </c>
    </row>
    <row r="2129">
      <c r="A2129" s="45">
        <v>39171.0</v>
      </c>
      <c r="B2129" s="45" t="s">
        <v>3297</v>
      </c>
      <c r="C2129" s="45" t="s">
        <v>3296</v>
      </c>
      <c r="D2129" s="46">
        <v>36591.0</v>
      </c>
      <c r="E2129" s="46">
        <v>37102.0</v>
      </c>
    </row>
    <row r="2130">
      <c r="A2130" s="45">
        <v>39173.0</v>
      </c>
      <c r="B2130" s="45" t="s">
        <v>3297</v>
      </c>
      <c r="C2130" s="45" t="s">
        <v>3331</v>
      </c>
      <c r="D2130" s="46">
        <v>132650.0</v>
      </c>
      <c r="E2130" s="46">
        <v>132248.0</v>
      </c>
    </row>
    <row r="2131">
      <c r="A2131" s="45">
        <v>39175.0</v>
      </c>
      <c r="B2131" s="45" t="s">
        <v>3297</v>
      </c>
      <c r="C2131" s="45" t="s">
        <v>3332</v>
      </c>
      <c r="D2131" s="46">
        <v>21457.0</v>
      </c>
      <c r="E2131" s="46">
        <v>21900.0</v>
      </c>
    </row>
    <row r="2132">
      <c r="A2132" s="45">
        <v>40001.0</v>
      </c>
      <c r="B2132" s="45" t="s">
        <v>3333</v>
      </c>
      <c r="C2132" s="45" t="s">
        <v>2556</v>
      </c>
      <c r="D2132" s="46">
        <v>19627.0</v>
      </c>
      <c r="E2132" s="46">
        <v>19495.0</v>
      </c>
    </row>
    <row r="2133">
      <c r="A2133" s="45">
        <v>40003.0</v>
      </c>
      <c r="B2133" s="45" t="s">
        <v>3333</v>
      </c>
      <c r="C2133" s="45" t="s">
        <v>3334</v>
      </c>
      <c r="D2133" s="46">
        <v>5673.0</v>
      </c>
      <c r="E2133" s="46">
        <v>5699.0</v>
      </c>
    </row>
    <row r="2134">
      <c r="A2134" s="45">
        <v>40005.0</v>
      </c>
      <c r="B2134" s="45" t="s">
        <v>3333</v>
      </c>
      <c r="C2134" s="45" t="s">
        <v>3335</v>
      </c>
      <c r="D2134" s="46">
        <v>14525.0</v>
      </c>
      <c r="E2134" s="46">
        <v>14143.0</v>
      </c>
    </row>
    <row r="2135">
      <c r="A2135" s="45">
        <v>40007.0</v>
      </c>
      <c r="B2135" s="45" t="s">
        <v>3333</v>
      </c>
      <c r="C2135" s="45" t="s">
        <v>3336</v>
      </c>
      <c r="D2135" s="46">
        <v>5018.0</v>
      </c>
      <c r="E2135" s="46">
        <v>5049.0</v>
      </c>
    </row>
    <row r="2136">
      <c r="A2136" s="45">
        <v>40009.0</v>
      </c>
      <c r="B2136" s="45" t="s">
        <v>3333</v>
      </c>
      <c r="C2136" s="45" t="s">
        <v>3337</v>
      </c>
      <c r="D2136" s="46">
        <v>22042.0</v>
      </c>
      <c r="E2136" s="46">
        <v>22410.0</v>
      </c>
    </row>
    <row r="2137">
      <c r="A2137" s="45">
        <v>40011.0</v>
      </c>
      <c r="B2137" s="45" t="s">
        <v>3333</v>
      </c>
      <c r="C2137" s="45" t="s">
        <v>2430</v>
      </c>
      <c r="D2137" s="46">
        <v>8539.0</v>
      </c>
      <c r="E2137" s="46">
        <v>8735.0</v>
      </c>
    </row>
    <row r="2138">
      <c r="A2138" s="45">
        <v>40013.0</v>
      </c>
      <c r="B2138" s="45" t="s">
        <v>3333</v>
      </c>
      <c r="C2138" s="45" t="s">
        <v>2326</v>
      </c>
      <c r="D2138" s="46">
        <v>48967.0</v>
      </c>
      <c r="E2138" s="46">
        <v>46067.0</v>
      </c>
    </row>
    <row r="2139">
      <c r="A2139" s="45">
        <v>40015.0</v>
      </c>
      <c r="B2139" s="45" t="s">
        <v>3333</v>
      </c>
      <c r="C2139" s="45" t="s">
        <v>3338</v>
      </c>
      <c r="D2139" s="46">
        <v>26214.0</v>
      </c>
      <c r="E2139" s="46">
        <v>26945.0</v>
      </c>
    </row>
    <row r="2140">
      <c r="A2140" s="45">
        <v>40017.0</v>
      </c>
      <c r="B2140" s="45" t="s">
        <v>3333</v>
      </c>
      <c r="C2140" s="45" t="s">
        <v>3339</v>
      </c>
      <c r="D2140" s="46">
        <v>175829.0</v>
      </c>
      <c r="E2140" s="46">
        <v>154405.0</v>
      </c>
    </row>
    <row r="2141">
      <c r="A2141" s="45">
        <v>40019.0</v>
      </c>
      <c r="B2141" s="45" t="s">
        <v>3333</v>
      </c>
      <c r="C2141" s="45" t="s">
        <v>2684</v>
      </c>
      <c r="D2141" s="46">
        <v>48596.0</v>
      </c>
      <c r="E2141" s="46">
        <v>48003.0</v>
      </c>
    </row>
    <row r="2142">
      <c r="A2142" s="45">
        <v>40021.0</v>
      </c>
      <c r="B2142" s="45" t="s">
        <v>3333</v>
      </c>
      <c r="C2142" s="45" t="s">
        <v>2004</v>
      </c>
      <c r="D2142" s="46">
        <v>48185.0</v>
      </c>
      <c r="E2142" s="46">
        <v>47078.0</v>
      </c>
    </row>
    <row r="2143">
      <c r="A2143" s="45">
        <v>40023.0</v>
      </c>
      <c r="B2143" s="45" t="s">
        <v>3333</v>
      </c>
      <c r="C2143" s="45" t="s">
        <v>2006</v>
      </c>
      <c r="D2143" s="46">
        <v>14276.0</v>
      </c>
      <c r="E2143" s="46">
        <v>14204.0</v>
      </c>
    </row>
    <row r="2144">
      <c r="A2144" s="45">
        <v>40025.0</v>
      </c>
      <c r="B2144" s="45" t="s">
        <v>3333</v>
      </c>
      <c r="C2144" s="45" t="s">
        <v>3340</v>
      </c>
      <c r="D2144" s="46">
        <v>2191.0</v>
      </c>
      <c r="E2144" s="46">
        <v>2296.0</v>
      </c>
    </row>
    <row r="2145">
      <c r="A2145" s="45">
        <v>40027.0</v>
      </c>
      <c r="B2145" s="45" t="s">
        <v>3333</v>
      </c>
      <c r="C2145" s="45" t="s">
        <v>2089</v>
      </c>
      <c r="D2145" s="46">
        <v>301193.0</v>
      </c>
      <c r="E2145" s="46">
        <v>295528.0</v>
      </c>
    </row>
    <row r="2146">
      <c r="A2146" s="45">
        <v>40029.0</v>
      </c>
      <c r="B2146" s="45" t="s">
        <v>3333</v>
      </c>
      <c r="C2146" s="45" t="s">
        <v>3341</v>
      </c>
      <c r="D2146" s="46">
        <v>5266.0</v>
      </c>
      <c r="E2146" s="46">
        <v>5266.0</v>
      </c>
    </row>
    <row r="2147">
      <c r="A2147" s="45">
        <v>40031.0</v>
      </c>
      <c r="B2147" s="45" t="s">
        <v>3333</v>
      </c>
      <c r="C2147" s="45" t="s">
        <v>2611</v>
      </c>
      <c r="D2147" s="46">
        <v>121574.0</v>
      </c>
      <c r="E2147" s="46">
        <v>121125.0</v>
      </c>
    </row>
    <row r="2148">
      <c r="A2148" s="45">
        <v>40033.0</v>
      </c>
      <c r="B2148" s="45" t="s">
        <v>3333</v>
      </c>
      <c r="C2148" s="45" t="s">
        <v>3342</v>
      </c>
      <c r="D2148" s="46">
        <v>5427.0</v>
      </c>
      <c r="E2148" s="46">
        <v>5527.0</v>
      </c>
    </row>
    <row r="2149">
      <c r="A2149" s="45">
        <v>40035.0</v>
      </c>
      <c r="B2149" s="45" t="s">
        <v>3333</v>
      </c>
      <c r="C2149" s="45" t="s">
        <v>3343</v>
      </c>
      <c r="D2149" s="46">
        <v>14494.0</v>
      </c>
      <c r="E2149" s="46">
        <v>14107.0</v>
      </c>
    </row>
    <row r="2150">
      <c r="A2150" s="45">
        <v>40037.0</v>
      </c>
      <c r="B2150" s="45" t="s">
        <v>3333</v>
      </c>
      <c r="C2150" s="45" t="s">
        <v>3344</v>
      </c>
      <c r="D2150" s="46">
        <v>73332.0</v>
      </c>
      <c r="E2150" s="46">
        <v>71754.0</v>
      </c>
    </row>
    <row r="2151">
      <c r="A2151" s="45">
        <v>40039.0</v>
      </c>
      <c r="B2151" s="45" t="s">
        <v>3333</v>
      </c>
      <c r="C2151" s="45" t="s">
        <v>2209</v>
      </c>
      <c r="D2151" s="46">
        <v>28266.0</v>
      </c>
      <c r="E2151" s="46">
        <v>28513.0</v>
      </c>
    </row>
    <row r="2152">
      <c r="A2152" s="45">
        <v>40041.0</v>
      </c>
      <c r="B2152" s="45" t="s">
        <v>3333</v>
      </c>
      <c r="C2152" s="45" t="s">
        <v>2519</v>
      </c>
      <c r="D2152" s="46">
        <v>41703.0</v>
      </c>
      <c r="E2152" s="46">
        <v>40397.0</v>
      </c>
    </row>
    <row r="2153">
      <c r="A2153" s="45">
        <v>40043.0</v>
      </c>
      <c r="B2153" s="45" t="s">
        <v>3333</v>
      </c>
      <c r="C2153" s="45" t="s">
        <v>3345</v>
      </c>
      <c r="D2153" s="46">
        <v>4286.0</v>
      </c>
      <c r="E2153" s="46">
        <v>4484.0</v>
      </c>
    </row>
    <row r="2154">
      <c r="A2154" s="45">
        <v>40045.0</v>
      </c>
      <c r="B2154" s="45" t="s">
        <v>3333</v>
      </c>
      <c r="C2154" s="45" t="s">
        <v>2615</v>
      </c>
      <c r="D2154" s="46">
        <v>3648.0</v>
      </c>
      <c r="E2154" s="46">
        <v>3749.0</v>
      </c>
    </row>
    <row r="2155">
      <c r="A2155" s="45">
        <v>40047.0</v>
      </c>
      <c r="B2155" s="45" t="s">
        <v>3333</v>
      </c>
      <c r="C2155" s="45" t="s">
        <v>2218</v>
      </c>
      <c r="D2155" s="46">
        <v>62023.0</v>
      </c>
      <c r="E2155" s="46">
        <v>62846.0</v>
      </c>
    </row>
    <row r="2156">
      <c r="A2156" s="45">
        <v>40049.0</v>
      </c>
      <c r="B2156" s="45" t="s">
        <v>3333</v>
      </c>
      <c r="C2156" s="45" t="s">
        <v>3346</v>
      </c>
      <c r="D2156" s="46">
        <v>25865.0</v>
      </c>
      <c r="E2156" s="46">
        <v>25656.0</v>
      </c>
    </row>
    <row r="2157">
      <c r="A2157" s="45">
        <v>40051.0</v>
      </c>
      <c r="B2157" s="45" t="s">
        <v>3333</v>
      </c>
      <c r="C2157" s="45" t="s">
        <v>2362</v>
      </c>
      <c r="D2157" s="46">
        <v>57375.0</v>
      </c>
      <c r="E2157" s="46">
        <v>54795.0</v>
      </c>
    </row>
    <row r="2158">
      <c r="A2158" s="45">
        <v>40053.0</v>
      </c>
      <c r="B2158" s="45" t="s">
        <v>3333</v>
      </c>
      <c r="C2158" s="45" t="s">
        <v>2101</v>
      </c>
      <c r="D2158" s="46">
        <v>4083.0</v>
      </c>
      <c r="E2158" s="46">
        <v>4169.0</v>
      </c>
    </row>
    <row r="2159">
      <c r="A2159" s="45">
        <v>40055.0</v>
      </c>
      <c r="B2159" s="45" t="s">
        <v>3333</v>
      </c>
      <c r="C2159" s="45" t="s">
        <v>3347</v>
      </c>
      <c r="D2159" s="46">
        <v>5466.0</v>
      </c>
      <c r="E2159" s="46">
        <v>5491.0</v>
      </c>
    </row>
    <row r="2160">
      <c r="A2160" s="45">
        <v>40057.0</v>
      </c>
      <c r="B2160" s="45" t="s">
        <v>3333</v>
      </c>
      <c r="C2160" s="45" t="s">
        <v>3348</v>
      </c>
      <c r="D2160" s="46">
        <v>2392.0</v>
      </c>
      <c r="E2160" s="46">
        <v>2488.0</v>
      </c>
    </row>
    <row r="2161">
      <c r="A2161" s="45">
        <v>40059.0</v>
      </c>
      <c r="B2161" s="45" t="s">
        <v>3333</v>
      </c>
      <c r="C2161" s="45" t="s">
        <v>2623</v>
      </c>
      <c r="D2161" s="46">
        <v>3190.0</v>
      </c>
      <c r="E2161" s="46">
        <v>3272.0</v>
      </c>
    </row>
    <row r="2162">
      <c r="A2162" s="45">
        <v>40061.0</v>
      </c>
      <c r="B2162" s="45" t="s">
        <v>3333</v>
      </c>
      <c r="C2162" s="45" t="s">
        <v>2625</v>
      </c>
      <c r="D2162" s="46">
        <v>11832.0</v>
      </c>
      <c r="E2162" s="46">
        <v>11561.0</v>
      </c>
    </row>
    <row r="2163">
      <c r="A2163" s="45">
        <v>40063.0</v>
      </c>
      <c r="B2163" s="45" t="s">
        <v>3333</v>
      </c>
      <c r="C2163" s="45" t="s">
        <v>3349</v>
      </c>
      <c r="D2163" s="46">
        <v>13436.0</v>
      </c>
      <c r="E2163" s="46">
        <v>13367.0</v>
      </c>
    </row>
    <row r="2164">
      <c r="A2164" s="45">
        <v>40065.0</v>
      </c>
      <c r="B2164" s="45" t="s">
        <v>3333</v>
      </c>
      <c r="C2164" s="45" t="s">
        <v>2030</v>
      </c>
      <c r="D2164" s="46">
        <v>24669.0</v>
      </c>
      <c r="E2164" s="46">
        <v>24785.0</v>
      </c>
    </row>
    <row r="2165">
      <c r="A2165" s="45">
        <v>40067.0</v>
      </c>
      <c r="B2165" s="45" t="s">
        <v>3333</v>
      </c>
      <c r="C2165" s="45" t="s">
        <v>2031</v>
      </c>
      <c r="D2165" s="46">
        <v>5347.0</v>
      </c>
      <c r="E2165" s="46">
        <v>5337.0</v>
      </c>
    </row>
    <row r="2166">
      <c r="A2166" s="45">
        <v>40069.0</v>
      </c>
      <c r="B2166" s="45" t="s">
        <v>3333</v>
      </c>
      <c r="C2166" s="45" t="s">
        <v>3236</v>
      </c>
      <c r="D2166" s="46">
        <v>10216.0</v>
      </c>
      <c r="E2166" s="46">
        <v>10272.0</v>
      </c>
    </row>
    <row r="2167">
      <c r="A2167" s="45">
        <v>40071.0</v>
      </c>
      <c r="B2167" s="45" t="s">
        <v>3333</v>
      </c>
      <c r="C2167" s="45" t="s">
        <v>3350</v>
      </c>
      <c r="D2167" s="46">
        <v>43641.0</v>
      </c>
      <c r="E2167" s="46">
        <v>43700.0</v>
      </c>
    </row>
    <row r="2168">
      <c r="A2168" s="45">
        <v>40073.0</v>
      </c>
      <c r="B2168" s="45" t="s">
        <v>3333</v>
      </c>
      <c r="C2168" s="45" t="s">
        <v>3351</v>
      </c>
      <c r="D2168" s="46">
        <v>15481.0</v>
      </c>
      <c r="E2168" s="46">
        <v>15184.0</v>
      </c>
    </row>
    <row r="2169">
      <c r="A2169" s="45">
        <v>40075.0</v>
      </c>
      <c r="B2169" s="45" t="s">
        <v>3333</v>
      </c>
      <c r="C2169" s="45" t="s">
        <v>2224</v>
      </c>
      <c r="D2169" s="46">
        <v>8398.0</v>
      </c>
      <c r="E2169" s="46">
        <v>8509.0</v>
      </c>
    </row>
    <row r="2170">
      <c r="A2170" s="45">
        <v>40077.0</v>
      </c>
      <c r="B2170" s="45" t="s">
        <v>3333</v>
      </c>
      <c r="C2170" s="45" t="s">
        <v>3352</v>
      </c>
      <c r="D2170" s="46">
        <v>9526.0</v>
      </c>
      <c r="E2170" s="46">
        <v>9444.0</v>
      </c>
    </row>
    <row r="2171">
      <c r="A2171" s="45">
        <v>40079.0</v>
      </c>
      <c r="B2171" s="45" t="s">
        <v>3333</v>
      </c>
      <c r="C2171" s="45" t="s">
        <v>3353</v>
      </c>
      <c r="D2171" s="46">
        <v>49596.0</v>
      </c>
      <c r="E2171" s="46">
        <v>48129.0</v>
      </c>
    </row>
    <row r="2172">
      <c r="A2172" s="45">
        <v>40081.0</v>
      </c>
      <c r="B2172" s="45" t="s">
        <v>3333</v>
      </c>
      <c r="C2172" s="45" t="s">
        <v>2109</v>
      </c>
      <c r="D2172" s="46">
        <v>34562.0</v>
      </c>
      <c r="E2172" s="46">
        <v>33458.0</v>
      </c>
    </row>
    <row r="2173">
      <c r="A2173" s="45">
        <v>40083.0</v>
      </c>
      <c r="B2173" s="45" t="s">
        <v>3333</v>
      </c>
      <c r="C2173" s="45" t="s">
        <v>2111</v>
      </c>
      <c r="D2173" s="46">
        <v>53029.0</v>
      </c>
      <c r="E2173" s="46">
        <v>49555.0</v>
      </c>
    </row>
    <row r="2174">
      <c r="A2174" s="45">
        <v>40085.0</v>
      </c>
      <c r="B2174" s="45" t="s">
        <v>3333</v>
      </c>
      <c r="C2174" s="45" t="s">
        <v>3354</v>
      </c>
      <c r="D2174" s="46">
        <v>10296.0</v>
      </c>
      <c r="E2174" s="46">
        <v>10146.0</v>
      </c>
    </row>
    <row r="2175">
      <c r="A2175" s="45">
        <v>40087.0</v>
      </c>
      <c r="B2175" s="45" t="s">
        <v>3333</v>
      </c>
      <c r="C2175" s="45" t="s">
        <v>3355</v>
      </c>
      <c r="D2175" s="46">
        <v>47072.0</v>
      </c>
      <c r="E2175" s="46">
        <v>41662.0</v>
      </c>
    </row>
    <row r="2176">
      <c r="A2176" s="45">
        <v>40089.0</v>
      </c>
      <c r="B2176" s="45" t="s">
        <v>3333</v>
      </c>
      <c r="C2176" s="45" t="s">
        <v>3356</v>
      </c>
      <c r="D2176" s="46">
        <v>30660.0</v>
      </c>
      <c r="E2176" s="46">
        <v>30814.0</v>
      </c>
    </row>
    <row r="2177">
      <c r="A2177" s="45">
        <v>40091.0</v>
      </c>
      <c r="B2177" s="45" t="s">
        <v>3333</v>
      </c>
      <c r="C2177" s="45" t="s">
        <v>2381</v>
      </c>
      <c r="D2177" s="46">
        <v>19603.0</v>
      </c>
      <c r="E2177" s="46">
        <v>18941.0</v>
      </c>
    </row>
    <row r="2178">
      <c r="A2178" s="45">
        <v>40093.0</v>
      </c>
      <c r="B2178" s="45" t="s">
        <v>3333</v>
      </c>
      <c r="C2178" s="45" t="s">
        <v>3357</v>
      </c>
      <c r="D2178" s="46">
        <v>7581.0</v>
      </c>
      <c r="E2178" s="46">
        <v>7782.0</v>
      </c>
    </row>
    <row r="2179">
      <c r="A2179" s="45">
        <v>40095.0</v>
      </c>
      <c r="B2179" s="45" t="s">
        <v>3333</v>
      </c>
      <c r="C2179" s="45" t="s">
        <v>2042</v>
      </c>
      <c r="D2179" s="46">
        <v>15970.0</v>
      </c>
      <c r="E2179" s="46">
        <v>15312.0</v>
      </c>
    </row>
    <row r="2180">
      <c r="A2180" s="45">
        <v>40097.0</v>
      </c>
      <c r="B2180" s="45" t="s">
        <v>3333</v>
      </c>
      <c r="C2180" s="45" t="s">
        <v>3358</v>
      </c>
      <c r="D2180" s="46">
        <v>39889.0</v>
      </c>
      <c r="E2180" s="46">
        <v>39046.0</v>
      </c>
    </row>
    <row r="2181">
      <c r="A2181" s="45">
        <v>40099.0</v>
      </c>
      <c r="B2181" s="45" t="s">
        <v>3333</v>
      </c>
      <c r="C2181" s="45" t="s">
        <v>2384</v>
      </c>
      <c r="D2181" s="46">
        <v>13754.0</v>
      </c>
      <c r="E2181" s="46">
        <v>13904.0</v>
      </c>
    </row>
    <row r="2182">
      <c r="A2182" s="45">
        <v>40101.0</v>
      </c>
      <c r="B2182" s="45" t="s">
        <v>3333</v>
      </c>
      <c r="C2182" s="45" t="s">
        <v>3359</v>
      </c>
      <c r="D2182" s="46">
        <v>66677.0</v>
      </c>
      <c r="E2182" s="46">
        <v>66339.0</v>
      </c>
    </row>
    <row r="2183">
      <c r="A2183" s="45">
        <v>40103.0</v>
      </c>
      <c r="B2183" s="45" t="s">
        <v>3333</v>
      </c>
      <c r="C2183" s="45" t="s">
        <v>2533</v>
      </c>
      <c r="D2183" s="46">
        <v>10832.0</v>
      </c>
      <c r="E2183" s="46">
        <v>10924.0</v>
      </c>
    </row>
    <row r="2184">
      <c r="A2184" s="45">
        <v>40105.0</v>
      </c>
      <c r="B2184" s="45" t="s">
        <v>3333</v>
      </c>
      <c r="C2184" s="45" t="s">
        <v>3360</v>
      </c>
      <c r="D2184" s="46">
        <v>9438.0</v>
      </c>
      <c r="E2184" s="46">
        <v>9320.0</v>
      </c>
    </row>
    <row r="2185">
      <c r="A2185" s="45">
        <v>40107.0</v>
      </c>
      <c r="B2185" s="45" t="s">
        <v>3333</v>
      </c>
      <c r="C2185" s="45" t="s">
        <v>3361</v>
      </c>
      <c r="D2185" s="46">
        <v>11300.0</v>
      </c>
      <c r="E2185" s="46">
        <v>11310.0</v>
      </c>
    </row>
    <row r="2186">
      <c r="A2186" s="45">
        <v>40109.0</v>
      </c>
      <c r="B2186" s="45" t="s">
        <v>3333</v>
      </c>
      <c r="C2186" s="45" t="s">
        <v>3362</v>
      </c>
      <c r="D2186" s="46">
        <v>808866.0</v>
      </c>
      <c r="E2186" s="46">
        <v>796292.0</v>
      </c>
    </row>
    <row r="2187">
      <c r="A2187" s="45">
        <v>40111.0</v>
      </c>
      <c r="B2187" s="45" t="s">
        <v>3333</v>
      </c>
      <c r="C2187" s="45" t="s">
        <v>3363</v>
      </c>
      <c r="D2187" s="46">
        <v>37035.0</v>
      </c>
      <c r="E2187" s="46">
        <v>36706.0</v>
      </c>
    </row>
    <row r="2188">
      <c r="A2188" s="45">
        <v>40113.0</v>
      </c>
      <c r="B2188" s="45" t="s">
        <v>3333</v>
      </c>
      <c r="C2188" s="45" t="s">
        <v>2641</v>
      </c>
      <c r="D2188" s="46">
        <v>46130.0</v>
      </c>
      <c r="E2188" s="46">
        <v>45818.0</v>
      </c>
    </row>
    <row r="2189">
      <c r="A2189" s="45">
        <v>40115.0</v>
      </c>
      <c r="B2189" s="45" t="s">
        <v>3333</v>
      </c>
      <c r="C2189" s="45" t="s">
        <v>2643</v>
      </c>
      <c r="D2189" s="46">
        <v>30287.0</v>
      </c>
      <c r="E2189" s="46">
        <v>30285.0</v>
      </c>
    </row>
    <row r="2190">
      <c r="A2190" s="45">
        <v>40117.0</v>
      </c>
      <c r="B2190" s="45" t="s">
        <v>3333</v>
      </c>
      <c r="C2190" s="45" t="s">
        <v>2644</v>
      </c>
      <c r="D2190" s="46">
        <v>15864.0</v>
      </c>
      <c r="E2190" s="46">
        <v>15553.0</v>
      </c>
    </row>
    <row r="2191">
      <c r="A2191" s="45">
        <v>40119.0</v>
      </c>
      <c r="B2191" s="45" t="s">
        <v>3333</v>
      </c>
      <c r="C2191" s="45" t="s">
        <v>3364</v>
      </c>
      <c r="D2191" s="46">
        <v>83352.0</v>
      </c>
      <c r="E2191" s="46">
        <v>81646.0</v>
      </c>
    </row>
    <row r="2192">
      <c r="A2192" s="45">
        <v>40121.0</v>
      </c>
      <c r="B2192" s="45" t="s">
        <v>3333</v>
      </c>
      <c r="C2192" s="45" t="s">
        <v>3365</v>
      </c>
      <c r="D2192" s="46">
        <v>43479.0</v>
      </c>
      <c r="E2192" s="46">
        <v>43773.0</v>
      </c>
    </row>
    <row r="2193">
      <c r="A2193" s="45">
        <v>40123.0</v>
      </c>
      <c r="B2193" s="45" t="s">
        <v>3333</v>
      </c>
      <c r="C2193" s="45" t="s">
        <v>2979</v>
      </c>
      <c r="D2193" s="46">
        <v>38396.0</v>
      </c>
      <c r="E2193" s="46">
        <v>38065.0</v>
      </c>
    </row>
    <row r="2194">
      <c r="A2194" s="45">
        <v>40125.0</v>
      </c>
      <c r="B2194" s="45" t="s">
        <v>3333</v>
      </c>
      <c r="C2194" s="45" t="s">
        <v>2645</v>
      </c>
      <c r="D2194" s="46">
        <v>73791.0</v>
      </c>
      <c r="E2194" s="46">
        <v>72454.0</v>
      </c>
    </row>
    <row r="2195">
      <c r="A2195" s="45">
        <v>40127.0</v>
      </c>
      <c r="B2195" s="45" t="s">
        <v>3333</v>
      </c>
      <c r="C2195" s="45" t="s">
        <v>3366</v>
      </c>
      <c r="D2195" s="46">
        <v>10800.0</v>
      </c>
      <c r="E2195" s="46">
        <v>10812.0</v>
      </c>
    </row>
    <row r="2196">
      <c r="A2196" s="45">
        <v>40129.0</v>
      </c>
      <c r="B2196" s="45" t="s">
        <v>3333</v>
      </c>
      <c r="C2196" s="45" t="s">
        <v>3367</v>
      </c>
      <c r="D2196" s="46">
        <v>3295.0</v>
      </c>
      <c r="E2196" s="46">
        <v>3442.0</v>
      </c>
    </row>
    <row r="2197">
      <c r="A2197" s="45">
        <v>40131.0</v>
      </c>
      <c r="B2197" s="45" t="s">
        <v>3333</v>
      </c>
      <c r="C2197" s="45" t="s">
        <v>3368</v>
      </c>
      <c r="D2197" s="46">
        <v>100248.0</v>
      </c>
      <c r="E2197" s="46">
        <v>95240.0</v>
      </c>
    </row>
    <row r="2198">
      <c r="A2198" s="45">
        <v>40133.0</v>
      </c>
      <c r="B2198" s="45" t="s">
        <v>3333</v>
      </c>
      <c r="C2198" s="45" t="s">
        <v>2308</v>
      </c>
      <c r="D2198" s="46">
        <v>23565.0</v>
      </c>
      <c r="E2198" s="46">
        <v>23556.0</v>
      </c>
    </row>
    <row r="2199">
      <c r="A2199" s="45">
        <v>40135.0</v>
      </c>
      <c r="B2199" s="45" t="s">
        <v>3333</v>
      </c>
      <c r="C2199" s="45" t="s">
        <v>3369</v>
      </c>
      <c r="D2199" s="46">
        <v>40291.0</v>
      </c>
      <c r="E2199" s="46">
        <v>39281.0</v>
      </c>
    </row>
    <row r="2200">
      <c r="A2200" s="45">
        <v>40137.0</v>
      </c>
      <c r="B2200" s="45" t="s">
        <v>3333</v>
      </c>
      <c r="C2200" s="45" t="s">
        <v>2398</v>
      </c>
      <c r="D2200" s="46">
        <v>44014.0</v>
      </c>
      <c r="E2200" s="46">
        <v>42848.0</v>
      </c>
    </row>
    <row r="2201">
      <c r="A2201" s="45">
        <v>40139.0</v>
      </c>
      <c r="B2201" s="45" t="s">
        <v>3333</v>
      </c>
      <c r="C2201" s="45" t="s">
        <v>3031</v>
      </c>
      <c r="D2201" s="46">
        <v>20371.0</v>
      </c>
      <c r="E2201" s="46">
        <v>21384.0</v>
      </c>
    </row>
    <row r="2202">
      <c r="A2202" s="45">
        <v>40141.0</v>
      </c>
      <c r="B2202" s="45" t="s">
        <v>3333</v>
      </c>
      <c r="C2202" s="45" t="s">
        <v>3370</v>
      </c>
      <c r="D2202" s="46">
        <v>6869.0</v>
      </c>
      <c r="E2202" s="46">
        <v>6968.0</v>
      </c>
    </row>
    <row r="2203">
      <c r="A2203" s="45">
        <v>40143.0</v>
      </c>
      <c r="B2203" s="45" t="s">
        <v>3333</v>
      </c>
      <c r="C2203" s="45" t="s">
        <v>3371</v>
      </c>
      <c r="D2203" s="46">
        <v>682868.0</v>
      </c>
      <c r="E2203" s="46">
        <v>669279.0</v>
      </c>
    </row>
    <row r="2204">
      <c r="A2204" s="45">
        <v>40145.0</v>
      </c>
      <c r="B2204" s="45" t="s">
        <v>3333</v>
      </c>
      <c r="C2204" s="45" t="s">
        <v>3372</v>
      </c>
      <c r="D2204" s="46">
        <v>89280.0</v>
      </c>
      <c r="E2204" s="46">
        <v>80981.0</v>
      </c>
    </row>
    <row r="2205">
      <c r="A2205" s="45">
        <v>40147.0</v>
      </c>
      <c r="B2205" s="45" t="s">
        <v>3333</v>
      </c>
      <c r="C2205" s="45" t="s">
        <v>2059</v>
      </c>
      <c r="D2205" s="46">
        <v>53706.0</v>
      </c>
      <c r="E2205" s="46">
        <v>52455.0</v>
      </c>
    </row>
    <row r="2206">
      <c r="A2206" s="45">
        <v>40149.0</v>
      </c>
      <c r="B2206" s="45" t="s">
        <v>3333</v>
      </c>
      <c r="C2206" s="45" t="s">
        <v>3373</v>
      </c>
      <c r="D2206" s="46">
        <v>10736.0</v>
      </c>
      <c r="E2206" s="46">
        <v>10924.0</v>
      </c>
    </row>
    <row r="2207">
      <c r="A2207" s="45">
        <v>40151.0</v>
      </c>
      <c r="B2207" s="45" t="s">
        <v>3333</v>
      </c>
      <c r="C2207" s="45" t="s">
        <v>3374</v>
      </c>
      <c r="D2207" s="46">
        <v>8564.0</v>
      </c>
      <c r="E2207" s="46">
        <v>8624.0</v>
      </c>
    </row>
    <row r="2208">
      <c r="A2208" s="45">
        <v>40153.0</v>
      </c>
      <c r="B2208" s="45" t="s">
        <v>3333</v>
      </c>
      <c r="C2208" s="45" t="s">
        <v>3375</v>
      </c>
      <c r="D2208" s="46">
        <v>19947.0</v>
      </c>
      <c r="E2208" s="46">
        <v>20470.0</v>
      </c>
    </row>
    <row r="2209">
      <c r="A2209" s="45">
        <v>41001.0</v>
      </c>
      <c r="B2209" s="45" t="s">
        <v>3376</v>
      </c>
      <c r="C2209" s="45" t="s">
        <v>2266</v>
      </c>
      <c r="D2209" s="46">
        <v>16912.0</v>
      </c>
      <c r="E2209" s="46">
        <v>16668.0</v>
      </c>
    </row>
    <row r="2210">
      <c r="A2210" s="45">
        <v>41003.0</v>
      </c>
      <c r="B2210" s="45" t="s">
        <v>3376</v>
      </c>
      <c r="C2210" s="45" t="s">
        <v>2083</v>
      </c>
      <c r="D2210" s="46">
        <v>97713.0</v>
      </c>
      <c r="E2210" s="46">
        <v>95184.0</v>
      </c>
    </row>
    <row r="2211">
      <c r="A2211" s="45">
        <v>41005.0</v>
      </c>
      <c r="B2211" s="45" t="s">
        <v>3376</v>
      </c>
      <c r="C2211" s="45" t="s">
        <v>3377</v>
      </c>
      <c r="D2211" s="46">
        <v>423173.0</v>
      </c>
      <c r="E2211" s="46">
        <v>421401.0</v>
      </c>
    </row>
    <row r="2212">
      <c r="A2212" s="45">
        <v>41007.0</v>
      </c>
      <c r="B2212" s="45" t="s">
        <v>3376</v>
      </c>
      <c r="C2212" s="45" t="s">
        <v>3378</v>
      </c>
      <c r="D2212" s="46">
        <v>41102.0</v>
      </c>
      <c r="E2212" s="46">
        <v>41072.0</v>
      </c>
    </row>
    <row r="2213">
      <c r="A2213" s="45">
        <v>41009.0</v>
      </c>
      <c r="B2213" s="45" t="s">
        <v>3376</v>
      </c>
      <c r="C2213" s="45" t="s">
        <v>2090</v>
      </c>
      <c r="D2213" s="46">
        <v>53880.0</v>
      </c>
      <c r="E2213" s="46">
        <v>52589.0</v>
      </c>
    </row>
    <row r="2214">
      <c r="A2214" s="45">
        <v>41011.0</v>
      </c>
      <c r="B2214" s="45" t="s">
        <v>3376</v>
      </c>
      <c r="C2214" s="45" t="s">
        <v>3126</v>
      </c>
      <c r="D2214" s="46">
        <v>64212.0</v>
      </c>
      <c r="E2214" s="46">
        <v>64929.0</v>
      </c>
    </row>
    <row r="2215">
      <c r="A2215" s="45">
        <v>41013.0</v>
      </c>
      <c r="B2215" s="45" t="s">
        <v>3376</v>
      </c>
      <c r="C2215" s="45" t="s">
        <v>3379</v>
      </c>
      <c r="D2215" s="46">
        <v>26952.0</v>
      </c>
      <c r="E2215" s="46">
        <v>24738.0</v>
      </c>
    </row>
    <row r="2216">
      <c r="A2216" s="45">
        <v>41015.0</v>
      </c>
      <c r="B2216" s="45" t="s">
        <v>3376</v>
      </c>
      <c r="C2216" s="45" t="s">
        <v>3148</v>
      </c>
      <c r="D2216" s="46">
        <v>23296.0</v>
      </c>
      <c r="E2216" s="46">
        <v>23446.0</v>
      </c>
    </row>
    <row r="2217">
      <c r="A2217" s="45">
        <v>41017.0</v>
      </c>
      <c r="B2217" s="45" t="s">
        <v>3376</v>
      </c>
      <c r="C2217" s="45" t="s">
        <v>3380</v>
      </c>
      <c r="D2217" s="46">
        <v>208513.0</v>
      </c>
      <c r="E2217" s="46">
        <v>198253.0</v>
      </c>
    </row>
    <row r="2218">
      <c r="A2218" s="45">
        <v>41019.0</v>
      </c>
      <c r="B2218" s="45" t="s">
        <v>3376</v>
      </c>
      <c r="C2218" s="45" t="s">
        <v>2213</v>
      </c>
      <c r="D2218" s="46">
        <v>112435.0</v>
      </c>
      <c r="E2218" s="46">
        <v>111201.0</v>
      </c>
    </row>
    <row r="2219">
      <c r="A2219" s="45">
        <v>41021.0</v>
      </c>
      <c r="B2219" s="45" t="s">
        <v>3376</v>
      </c>
      <c r="C2219" s="45" t="s">
        <v>3381</v>
      </c>
      <c r="D2219" s="46">
        <v>2026.0</v>
      </c>
      <c r="E2219" s="46">
        <v>1995.0</v>
      </c>
    </row>
    <row r="2220">
      <c r="A2220" s="45">
        <v>41023.0</v>
      </c>
      <c r="B2220" s="45" t="s">
        <v>3376</v>
      </c>
      <c r="C2220" s="45" t="s">
        <v>2101</v>
      </c>
      <c r="D2220" s="46">
        <v>7215.0</v>
      </c>
      <c r="E2220" s="46">
        <v>7233.0</v>
      </c>
    </row>
    <row r="2221">
      <c r="A2221" s="45">
        <v>41025.0</v>
      </c>
      <c r="B2221" s="45" t="s">
        <v>3376</v>
      </c>
      <c r="C2221" s="45" t="s">
        <v>3382</v>
      </c>
      <c r="D2221" s="46">
        <v>7440.0</v>
      </c>
      <c r="E2221" s="46">
        <v>7495.0</v>
      </c>
    </row>
    <row r="2222">
      <c r="A2222" s="45">
        <v>41027.0</v>
      </c>
      <c r="B2222" s="45" t="s">
        <v>3376</v>
      </c>
      <c r="C2222" s="45" t="s">
        <v>3383</v>
      </c>
      <c r="D2222" s="46">
        <v>23745.0</v>
      </c>
      <c r="E2222" s="46">
        <v>23977.0</v>
      </c>
    </row>
    <row r="2223">
      <c r="A2223" s="45">
        <v>41029.0</v>
      </c>
      <c r="B2223" s="45" t="s">
        <v>3376</v>
      </c>
      <c r="C2223" s="45" t="s">
        <v>2030</v>
      </c>
      <c r="D2223" s="46">
        <v>220768.0</v>
      </c>
      <c r="E2223" s="46">
        <v>223259.0</v>
      </c>
    </row>
    <row r="2224">
      <c r="A2224" s="45">
        <v>41031.0</v>
      </c>
      <c r="B2224" s="45" t="s">
        <v>3376</v>
      </c>
      <c r="C2224" s="45" t="s">
        <v>2031</v>
      </c>
      <c r="D2224" s="46">
        <v>25454.0</v>
      </c>
      <c r="E2224" s="46">
        <v>24502.0</v>
      </c>
    </row>
    <row r="2225">
      <c r="A2225" s="45">
        <v>41033.0</v>
      </c>
      <c r="B2225" s="45" t="s">
        <v>3376</v>
      </c>
      <c r="C2225" s="45" t="s">
        <v>3384</v>
      </c>
      <c r="D2225" s="46">
        <v>87821.0</v>
      </c>
      <c r="E2225" s="46">
        <v>88090.0</v>
      </c>
    </row>
    <row r="2226">
      <c r="A2226" s="45">
        <v>41035.0</v>
      </c>
      <c r="B2226" s="45" t="s">
        <v>3376</v>
      </c>
      <c r="C2226" s="45" t="s">
        <v>3385</v>
      </c>
      <c r="D2226" s="46">
        <v>70003.0</v>
      </c>
      <c r="E2226" s="46">
        <v>69413.0</v>
      </c>
    </row>
    <row r="2227">
      <c r="A2227" s="45">
        <v>41037.0</v>
      </c>
      <c r="B2227" s="45" t="s">
        <v>3376</v>
      </c>
      <c r="C2227" s="45" t="s">
        <v>2154</v>
      </c>
      <c r="D2227" s="46">
        <v>8293.0</v>
      </c>
      <c r="E2227" s="46">
        <v>8160.0</v>
      </c>
    </row>
    <row r="2228">
      <c r="A2228" s="45">
        <v>41039.0</v>
      </c>
      <c r="B2228" s="45" t="s">
        <v>3376</v>
      </c>
      <c r="C2228" s="45" t="s">
        <v>2631</v>
      </c>
      <c r="D2228" s="46">
        <v>381181.0</v>
      </c>
      <c r="E2228" s="46">
        <v>382971.0</v>
      </c>
    </row>
    <row r="2229">
      <c r="A2229" s="45">
        <v>41041.0</v>
      </c>
      <c r="B2229" s="45" t="s">
        <v>3376</v>
      </c>
      <c r="C2229" s="45" t="s">
        <v>2109</v>
      </c>
      <c r="D2229" s="46">
        <v>50821.0</v>
      </c>
      <c r="E2229" s="46">
        <v>50395.0</v>
      </c>
    </row>
    <row r="2230">
      <c r="A2230" s="45">
        <v>41043.0</v>
      </c>
      <c r="B2230" s="45" t="s">
        <v>3376</v>
      </c>
      <c r="C2230" s="45" t="s">
        <v>2577</v>
      </c>
      <c r="D2230" s="46">
        <v>131496.0</v>
      </c>
      <c r="E2230" s="46">
        <v>128610.0</v>
      </c>
    </row>
    <row r="2231">
      <c r="A2231" s="45">
        <v>41045.0</v>
      </c>
      <c r="B2231" s="45" t="s">
        <v>3376</v>
      </c>
      <c r="C2231" s="45" t="s">
        <v>3386</v>
      </c>
      <c r="D2231" s="46">
        <v>32044.0</v>
      </c>
      <c r="E2231" s="46">
        <v>31571.0</v>
      </c>
    </row>
    <row r="2232">
      <c r="A2232" s="45">
        <v>41047.0</v>
      </c>
      <c r="B2232" s="45" t="s">
        <v>3376</v>
      </c>
      <c r="C2232" s="45" t="s">
        <v>2041</v>
      </c>
      <c r="D2232" s="46">
        <v>346741.0</v>
      </c>
      <c r="E2232" s="46">
        <v>345920.0</v>
      </c>
    </row>
    <row r="2233">
      <c r="A2233" s="45">
        <v>41049.0</v>
      </c>
      <c r="B2233" s="45" t="s">
        <v>3376</v>
      </c>
      <c r="C2233" s="45" t="s">
        <v>3319</v>
      </c>
      <c r="D2233" s="46">
        <v>12302.0</v>
      </c>
      <c r="E2233" s="46">
        <v>12186.0</v>
      </c>
    </row>
    <row r="2234">
      <c r="A2234" s="45">
        <v>41051.0</v>
      </c>
      <c r="B2234" s="45" t="s">
        <v>3376</v>
      </c>
      <c r="C2234" s="45" t="s">
        <v>3387</v>
      </c>
      <c r="D2234" s="46">
        <v>789698.0</v>
      </c>
      <c r="E2234" s="46">
        <v>815428.0</v>
      </c>
    </row>
    <row r="2235">
      <c r="A2235" s="45">
        <v>41053.0</v>
      </c>
      <c r="B2235" s="45" t="s">
        <v>3376</v>
      </c>
      <c r="C2235" s="45" t="s">
        <v>2120</v>
      </c>
      <c r="D2235" s="46">
        <v>89805.0</v>
      </c>
      <c r="E2235" s="46">
        <v>87433.0</v>
      </c>
    </row>
    <row r="2236">
      <c r="A2236" s="45">
        <v>41055.0</v>
      </c>
      <c r="B2236" s="45" t="s">
        <v>3376</v>
      </c>
      <c r="C2236" s="45" t="s">
        <v>2656</v>
      </c>
      <c r="D2236" s="46">
        <v>1951.0</v>
      </c>
      <c r="E2236" s="46">
        <v>1870.0</v>
      </c>
    </row>
    <row r="2237">
      <c r="A2237" s="45">
        <v>41057.0</v>
      </c>
      <c r="B2237" s="45" t="s">
        <v>3376</v>
      </c>
      <c r="C2237" s="45" t="s">
        <v>3388</v>
      </c>
      <c r="D2237" s="46">
        <v>27417.0</v>
      </c>
      <c r="E2237" s="46">
        <v>27390.0</v>
      </c>
    </row>
    <row r="2238">
      <c r="A2238" s="45">
        <v>41059.0</v>
      </c>
      <c r="B2238" s="45" t="s">
        <v>3376</v>
      </c>
      <c r="C2238" s="45" t="s">
        <v>3389</v>
      </c>
      <c r="D2238" s="46">
        <v>80053.0</v>
      </c>
      <c r="E2238" s="46">
        <v>80075.0</v>
      </c>
    </row>
    <row r="2239">
      <c r="A2239" s="45">
        <v>41061.0</v>
      </c>
      <c r="B2239" s="45" t="s">
        <v>3376</v>
      </c>
      <c r="C2239" s="45" t="s">
        <v>2132</v>
      </c>
      <c r="D2239" s="46">
        <v>25944.0</v>
      </c>
      <c r="E2239" s="46">
        <v>26196.0</v>
      </c>
    </row>
    <row r="2240">
      <c r="A2240" s="45">
        <v>41063.0</v>
      </c>
      <c r="B2240" s="45" t="s">
        <v>3376</v>
      </c>
      <c r="C2240" s="45" t="s">
        <v>3390</v>
      </c>
      <c r="D2240" s="46">
        <v>7674.0</v>
      </c>
      <c r="E2240" s="46">
        <v>7391.0</v>
      </c>
    </row>
    <row r="2241">
      <c r="A2241" s="45">
        <v>41065.0</v>
      </c>
      <c r="B2241" s="45" t="s">
        <v>3376</v>
      </c>
      <c r="C2241" s="45" t="s">
        <v>3391</v>
      </c>
      <c r="D2241" s="46">
        <v>26333.0</v>
      </c>
      <c r="E2241" s="46">
        <v>26670.0</v>
      </c>
    </row>
    <row r="2242">
      <c r="A2242" s="45">
        <v>41067.0</v>
      </c>
      <c r="B2242" s="45" t="s">
        <v>3376</v>
      </c>
      <c r="C2242" s="45" t="s">
        <v>2059</v>
      </c>
      <c r="D2242" s="46">
        <v>598865.0</v>
      </c>
      <c r="E2242" s="46">
        <v>600372.0</v>
      </c>
    </row>
    <row r="2243">
      <c r="A2243" s="45">
        <v>41069.0</v>
      </c>
      <c r="B2243" s="45" t="s">
        <v>3376</v>
      </c>
      <c r="C2243" s="45" t="s">
        <v>2418</v>
      </c>
      <c r="D2243" s="46">
        <v>1436.0</v>
      </c>
      <c r="E2243" s="46">
        <v>1451.0</v>
      </c>
    </row>
    <row r="2244">
      <c r="A2244" s="45">
        <v>41071.0</v>
      </c>
      <c r="B2244" s="45" t="s">
        <v>3376</v>
      </c>
      <c r="C2244" s="45" t="s">
        <v>3392</v>
      </c>
      <c r="D2244" s="46">
        <v>108644.0</v>
      </c>
      <c r="E2244" s="46">
        <v>107722.0</v>
      </c>
    </row>
    <row r="2245">
      <c r="A2245" s="45">
        <v>42001.0</v>
      </c>
      <c r="B2245" s="45" t="s">
        <v>3393</v>
      </c>
      <c r="C2245" s="45" t="s">
        <v>2195</v>
      </c>
      <c r="D2245" s="46">
        <v>106748.0</v>
      </c>
      <c r="E2245" s="46">
        <v>103852.0</v>
      </c>
    </row>
    <row r="2246">
      <c r="A2246" s="45">
        <v>42003.0</v>
      </c>
      <c r="B2246" s="45" t="s">
        <v>3393</v>
      </c>
      <c r="C2246" s="45" t="s">
        <v>3394</v>
      </c>
      <c r="D2246" s="46">
        <v>1224825.0</v>
      </c>
      <c r="E2246" s="46">
        <v>1250578.0</v>
      </c>
    </row>
    <row r="2247">
      <c r="A2247" s="45">
        <v>42005.0</v>
      </c>
      <c r="B2247" s="45" t="s">
        <v>3393</v>
      </c>
      <c r="C2247" s="45" t="s">
        <v>3395</v>
      </c>
      <c r="D2247" s="46">
        <v>64074.0</v>
      </c>
      <c r="E2247" s="46">
        <v>65558.0</v>
      </c>
    </row>
    <row r="2248">
      <c r="A2248" s="45">
        <v>42007.0</v>
      </c>
      <c r="B2248" s="45" t="s">
        <v>3393</v>
      </c>
      <c r="C2248" s="45" t="s">
        <v>3336</v>
      </c>
      <c r="D2248" s="46">
        <v>165631.0</v>
      </c>
      <c r="E2248" s="46">
        <v>168215.0</v>
      </c>
    </row>
    <row r="2249">
      <c r="A2249" s="45">
        <v>42009.0</v>
      </c>
      <c r="B2249" s="45" t="s">
        <v>3393</v>
      </c>
      <c r="C2249" s="45" t="s">
        <v>3396</v>
      </c>
      <c r="D2249" s="46">
        <v>47350.0</v>
      </c>
      <c r="E2249" s="46">
        <v>47577.0</v>
      </c>
    </row>
    <row r="2250">
      <c r="A2250" s="45">
        <v>42011.0</v>
      </c>
      <c r="B2250" s="45" t="s">
        <v>3393</v>
      </c>
      <c r="C2250" s="45" t="s">
        <v>3397</v>
      </c>
      <c r="D2250" s="46">
        <v>432821.0</v>
      </c>
      <c r="E2250" s="46">
        <v>428849.0</v>
      </c>
    </row>
    <row r="2251">
      <c r="A2251" s="45">
        <v>42013.0</v>
      </c>
      <c r="B2251" s="45" t="s">
        <v>3393</v>
      </c>
      <c r="C2251" s="45" t="s">
        <v>3398</v>
      </c>
      <c r="D2251" s="46">
        <v>120273.0</v>
      </c>
      <c r="E2251" s="46">
        <v>122822.0</v>
      </c>
    </row>
    <row r="2252">
      <c r="A2252" s="45">
        <v>42015.0</v>
      </c>
      <c r="B2252" s="45" t="s">
        <v>3393</v>
      </c>
      <c r="C2252" s="45" t="s">
        <v>2268</v>
      </c>
      <c r="D2252" s="46">
        <v>59695.0</v>
      </c>
      <c r="E2252" s="46">
        <v>59967.0</v>
      </c>
    </row>
    <row r="2253">
      <c r="A2253" s="45">
        <v>42017.0</v>
      </c>
      <c r="B2253" s="45" t="s">
        <v>3393</v>
      </c>
      <c r="C2253" s="45" t="s">
        <v>3399</v>
      </c>
      <c r="D2253" s="46">
        <v>645984.0</v>
      </c>
      <c r="E2253" s="46">
        <v>646538.0</v>
      </c>
    </row>
    <row r="2254">
      <c r="A2254" s="45">
        <v>42019.0</v>
      </c>
      <c r="B2254" s="45" t="s">
        <v>3393</v>
      </c>
      <c r="C2254" s="45" t="s">
        <v>2001</v>
      </c>
      <c r="D2254" s="46">
        <v>198413.0</v>
      </c>
      <c r="E2254" s="46">
        <v>193763.0</v>
      </c>
    </row>
    <row r="2255">
      <c r="A2255" s="45">
        <v>42021.0</v>
      </c>
      <c r="B2255" s="45" t="s">
        <v>3393</v>
      </c>
      <c r="C2255" s="45" t="s">
        <v>3400</v>
      </c>
      <c r="D2255" s="46">
        <v>130668.0</v>
      </c>
      <c r="E2255" s="46">
        <v>133472.0</v>
      </c>
    </row>
    <row r="2256">
      <c r="A2256" s="45">
        <v>42023.0</v>
      </c>
      <c r="B2256" s="45" t="s">
        <v>3393</v>
      </c>
      <c r="C2256" s="45" t="s">
        <v>3401</v>
      </c>
      <c r="D2256" s="46">
        <v>4380.0</v>
      </c>
      <c r="E2256" s="46">
        <v>4547.0</v>
      </c>
    </row>
    <row r="2257">
      <c r="A2257" s="45">
        <v>42025.0</v>
      </c>
      <c r="B2257" s="45" t="s">
        <v>3393</v>
      </c>
      <c r="C2257" s="45" t="s">
        <v>3038</v>
      </c>
      <c r="D2257" s="46">
        <v>65458.0</v>
      </c>
      <c r="E2257" s="46">
        <v>64749.0</v>
      </c>
    </row>
    <row r="2258">
      <c r="A2258" s="45">
        <v>42027.0</v>
      </c>
      <c r="B2258" s="45" t="s">
        <v>3393</v>
      </c>
      <c r="C2258" s="45" t="s">
        <v>3402</v>
      </c>
      <c r="D2258" s="46">
        <v>157795.0</v>
      </c>
      <c r="E2258" s="46">
        <v>158172.0</v>
      </c>
    </row>
    <row r="2259">
      <c r="A2259" s="45">
        <v>42029.0</v>
      </c>
      <c r="B2259" s="45" t="s">
        <v>3393</v>
      </c>
      <c r="C2259" s="45" t="s">
        <v>3403</v>
      </c>
      <c r="D2259" s="46">
        <v>549784.0</v>
      </c>
      <c r="E2259" s="46">
        <v>534413.0</v>
      </c>
    </row>
    <row r="2260">
      <c r="A2260" s="45">
        <v>42031.0</v>
      </c>
      <c r="B2260" s="45" t="s">
        <v>3393</v>
      </c>
      <c r="C2260" s="45" t="s">
        <v>3404</v>
      </c>
      <c r="D2260" s="46">
        <v>36970.0</v>
      </c>
      <c r="E2260" s="46">
        <v>37241.0</v>
      </c>
    </row>
    <row r="2261">
      <c r="A2261" s="45">
        <v>42033.0</v>
      </c>
      <c r="B2261" s="45" t="s">
        <v>3393</v>
      </c>
      <c r="C2261" s="45" t="s">
        <v>3405</v>
      </c>
      <c r="D2261" s="46">
        <v>77090.0</v>
      </c>
      <c r="E2261" s="46">
        <v>80562.0</v>
      </c>
    </row>
    <row r="2262">
      <c r="A2262" s="45">
        <v>42035.0</v>
      </c>
      <c r="B2262" s="45" t="s">
        <v>3393</v>
      </c>
      <c r="C2262" s="45" t="s">
        <v>2466</v>
      </c>
      <c r="D2262" s="46">
        <v>37607.0</v>
      </c>
      <c r="E2262" s="46">
        <v>37450.0</v>
      </c>
    </row>
    <row r="2263">
      <c r="A2263" s="45">
        <v>42037.0</v>
      </c>
      <c r="B2263" s="45" t="s">
        <v>3393</v>
      </c>
      <c r="C2263" s="45" t="s">
        <v>2090</v>
      </c>
      <c r="D2263" s="46">
        <v>65439.0</v>
      </c>
      <c r="E2263" s="46">
        <v>64727.0</v>
      </c>
    </row>
    <row r="2264">
      <c r="A2264" s="45">
        <v>42039.0</v>
      </c>
      <c r="B2264" s="45" t="s">
        <v>3393</v>
      </c>
      <c r="C2264" s="45" t="s">
        <v>2093</v>
      </c>
      <c r="D2264" s="46">
        <v>82001.0</v>
      </c>
      <c r="E2264" s="46">
        <v>83938.0</v>
      </c>
    </row>
    <row r="2265">
      <c r="A2265" s="45">
        <v>42041.0</v>
      </c>
      <c r="B2265" s="45" t="s">
        <v>3393</v>
      </c>
      <c r="C2265" s="45" t="s">
        <v>2468</v>
      </c>
      <c r="D2265" s="46">
        <v>270738.0</v>
      </c>
      <c r="E2265" s="46">
        <v>259469.0</v>
      </c>
    </row>
    <row r="2266">
      <c r="A2266" s="45">
        <v>42043.0</v>
      </c>
      <c r="B2266" s="45" t="s">
        <v>3393</v>
      </c>
      <c r="C2266" s="45" t="s">
        <v>3406</v>
      </c>
      <c r="D2266" s="46">
        <v>289234.0</v>
      </c>
      <c r="E2266" s="46">
        <v>286401.0</v>
      </c>
    </row>
    <row r="2267">
      <c r="A2267" s="45">
        <v>42045.0</v>
      </c>
      <c r="B2267" s="45" t="s">
        <v>3393</v>
      </c>
      <c r="C2267" s="45" t="s">
        <v>2519</v>
      </c>
      <c r="D2267" s="46">
        <v>576720.0</v>
      </c>
      <c r="E2267" s="46">
        <v>576830.0</v>
      </c>
    </row>
    <row r="2268">
      <c r="A2268" s="45">
        <v>42047.0</v>
      </c>
      <c r="B2268" s="45" t="s">
        <v>3393</v>
      </c>
      <c r="C2268" s="45" t="s">
        <v>2614</v>
      </c>
      <c r="D2268" s="46">
        <v>30198.0</v>
      </c>
      <c r="E2268" s="46">
        <v>30990.0</v>
      </c>
    </row>
    <row r="2269">
      <c r="A2269" s="45">
        <v>42049.0</v>
      </c>
      <c r="B2269" s="45" t="s">
        <v>3393</v>
      </c>
      <c r="C2269" s="45" t="s">
        <v>3178</v>
      </c>
      <c r="D2269" s="46">
        <v>267571.0</v>
      </c>
      <c r="E2269" s="46">
        <v>270876.0</v>
      </c>
    </row>
    <row r="2270">
      <c r="A2270" s="45">
        <v>42051.0</v>
      </c>
      <c r="B2270" s="45" t="s">
        <v>3393</v>
      </c>
      <c r="C2270" s="45" t="s">
        <v>2023</v>
      </c>
      <c r="D2270" s="46">
        <v>123915.0</v>
      </c>
      <c r="E2270" s="46">
        <v>128804.0</v>
      </c>
    </row>
    <row r="2271">
      <c r="A2271" s="45">
        <v>42053.0</v>
      </c>
      <c r="B2271" s="45" t="s">
        <v>3393</v>
      </c>
      <c r="C2271" s="45" t="s">
        <v>3407</v>
      </c>
      <c r="D2271" s="46">
        <v>6449.0</v>
      </c>
      <c r="E2271" s="46">
        <v>6973.0</v>
      </c>
    </row>
    <row r="2272">
      <c r="A2272" s="45">
        <v>42055.0</v>
      </c>
      <c r="B2272" s="45" t="s">
        <v>3393</v>
      </c>
      <c r="C2272" s="45" t="s">
        <v>2024</v>
      </c>
      <c r="D2272" s="46">
        <v>157854.0</v>
      </c>
      <c r="E2272" s="46">
        <v>155932.0</v>
      </c>
    </row>
    <row r="2273">
      <c r="A2273" s="45">
        <v>42057.0</v>
      </c>
      <c r="B2273" s="45" t="s">
        <v>3393</v>
      </c>
      <c r="C2273" s="45" t="s">
        <v>2099</v>
      </c>
      <c r="D2273" s="46">
        <v>14468.0</v>
      </c>
      <c r="E2273" s="46">
        <v>14556.0</v>
      </c>
    </row>
    <row r="2274">
      <c r="A2274" s="45">
        <v>42059.0</v>
      </c>
      <c r="B2274" s="45" t="s">
        <v>3393</v>
      </c>
      <c r="C2274" s="45" t="s">
        <v>2026</v>
      </c>
      <c r="D2274" s="46">
        <v>34357.0</v>
      </c>
      <c r="E2274" s="46">
        <v>35954.0</v>
      </c>
    </row>
    <row r="2275">
      <c r="A2275" s="45">
        <v>42061.0</v>
      </c>
      <c r="B2275" s="45" t="s">
        <v>3393</v>
      </c>
      <c r="C2275" s="45" t="s">
        <v>3408</v>
      </c>
      <c r="D2275" s="46">
        <v>43514.0</v>
      </c>
      <c r="E2275" s="46">
        <v>44092.0</v>
      </c>
    </row>
    <row r="2276">
      <c r="A2276" s="45">
        <v>42063.0</v>
      </c>
      <c r="B2276" s="45" t="s">
        <v>3393</v>
      </c>
      <c r="C2276" s="45" t="s">
        <v>3409</v>
      </c>
      <c r="D2276" s="46">
        <v>83094.0</v>
      </c>
      <c r="E2276" s="46">
        <v>83246.0</v>
      </c>
    </row>
    <row r="2277">
      <c r="A2277" s="45">
        <v>42065.0</v>
      </c>
      <c r="B2277" s="45" t="s">
        <v>3393</v>
      </c>
      <c r="C2277" s="45" t="s">
        <v>2031</v>
      </c>
      <c r="D2277" s="46">
        <v>43612.0</v>
      </c>
      <c r="E2277" s="46">
        <v>44492.0</v>
      </c>
    </row>
    <row r="2278">
      <c r="A2278" s="45">
        <v>42067.0</v>
      </c>
      <c r="B2278" s="45" t="s">
        <v>3393</v>
      </c>
      <c r="C2278" s="45" t="s">
        <v>3410</v>
      </c>
      <c r="D2278" s="46">
        <v>23243.0</v>
      </c>
      <c r="E2278" s="46">
        <v>23509.0</v>
      </c>
    </row>
    <row r="2279">
      <c r="A2279" s="45">
        <v>42069.0</v>
      </c>
      <c r="B2279" s="45" t="s">
        <v>3393</v>
      </c>
      <c r="C2279" s="45" t="s">
        <v>3411</v>
      </c>
      <c r="D2279" s="46">
        <v>216123.0</v>
      </c>
      <c r="E2279" s="46">
        <v>215896.0</v>
      </c>
    </row>
    <row r="2280">
      <c r="A2280" s="45">
        <v>42071.0</v>
      </c>
      <c r="B2280" s="45" t="s">
        <v>3393</v>
      </c>
      <c r="C2280" s="45" t="s">
        <v>3097</v>
      </c>
      <c r="D2280" s="46">
        <v>558589.0</v>
      </c>
      <c r="E2280" s="46">
        <v>552984.0</v>
      </c>
    </row>
    <row r="2281">
      <c r="A2281" s="45">
        <v>42073.0</v>
      </c>
      <c r="B2281" s="45" t="s">
        <v>3393</v>
      </c>
      <c r="C2281" s="45" t="s">
        <v>2034</v>
      </c>
      <c r="D2281" s="46">
        <v>84472.0</v>
      </c>
      <c r="E2281" s="46">
        <v>86070.0</v>
      </c>
    </row>
    <row r="2282">
      <c r="A2282" s="45">
        <v>42075.0</v>
      </c>
      <c r="B2282" s="45" t="s">
        <v>3393</v>
      </c>
      <c r="C2282" s="45" t="s">
        <v>3412</v>
      </c>
      <c r="D2282" s="46">
        <v>144252.0</v>
      </c>
      <c r="E2282" s="46">
        <v>143257.0</v>
      </c>
    </row>
    <row r="2283">
      <c r="A2283" s="45">
        <v>42077.0</v>
      </c>
      <c r="B2283" s="45" t="s">
        <v>3393</v>
      </c>
      <c r="C2283" s="45" t="s">
        <v>3413</v>
      </c>
      <c r="D2283" s="46">
        <v>377754.0</v>
      </c>
      <c r="E2283" s="46">
        <v>374557.0</v>
      </c>
    </row>
    <row r="2284">
      <c r="A2284" s="45">
        <v>42079.0</v>
      </c>
      <c r="B2284" s="45" t="s">
        <v>3393</v>
      </c>
      <c r="C2284" s="45" t="s">
        <v>3414</v>
      </c>
      <c r="D2284" s="46">
        <v>327388.0</v>
      </c>
      <c r="E2284" s="46">
        <v>325594.0</v>
      </c>
    </row>
    <row r="2285">
      <c r="A2285" s="45">
        <v>42081.0</v>
      </c>
      <c r="B2285" s="45" t="s">
        <v>3393</v>
      </c>
      <c r="C2285" s="45" t="s">
        <v>3415</v>
      </c>
      <c r="D2285" s="46">
        <v>112724.0</v>
      </c>
      <c r="E2285" s="46">
        <v>114188.0</v>
      </c>
    </row>
    <row r="2286">
      <c r="A2286" s="45">
        <v>42083.0</v>
      </c>
      <c r="B2286" s="45" t="s">
        <v>3393</v>
      </c>
      <c r="C2286" s="45" t="s">
        <v>3416</v>
      </c>
      <c r="D2286" s="46">
        <v>39519.0</v>
      </c>
      <c r="E2286" s="46">
        <v>40432.0</v>
      </c>
    </row>
    <row r="2287">
      <c r="A2287" s="45">
        <v>42085.0</v>
      </c>
      <c r="B2287" s="45" t="s">
        <v>3393</v>
      </c>
      <c r="C2287" s="45" t="s">
        <v>2494</v>
      </c>
      <c r="D2287" s="46">
        <v>108503.0</v>
      </c>
      <c r="E2287" s="46">
        <v>110652.0</v>
      </c>
    </row>
    <row r="2288">
      <c r="A2288" s="45">
        <v>42087.0</v>
      </c>
      <c r="B2288" s="45" t="s">
        <v>3393</v>
      </c>
      <c r="C2288" s="45" t="s">
        <v>3417</v>
      </c>
      <c r="D2288" s="46">
        <v>45922.0</v>
      </c>
      <c r="E2288" s="46">
        <v>46143.0</v>
      </c>
    </row>
    <row r="2289">
      <c r="A2289" s="45">
        <v>42089.0</v>
      </c>
      <c r="B2289" s="45" t="s">
        <v>3393</v>
      </c>
      <c r="C2289" s="45" t="s">
        <v>2044</v>
      </c>
      <c r="D2289" s="46">
        <v>166053.0</v>
      </c>
      <c r="E2289" s="46">
        <v>168327.0</v>
      </c>
    </row>
    <row r="2290">
      <c r="A2290" s="45">
        <v>42091.0</v>
      </c>
      <c r="B2290" s="45" t="s">
        <v>3393</v>
      </c>
      <c r="C2290" s="45" t="s">
        <v>2045</v>
      </c>
      <c r="D2290" s="46">
        <v>868742.0</v>
      </c>
      <c r="E2290" s="46">
        <v>856553.0</v>
      </c>
    </row>
    <row r="2291">
      <c r="A2291" s="45">
        <v>42093.0</v>
      </c>
      <c r="B2291" s="45" t="s">
        <v>3393</v>
      </c>
      <c r="C2291" s="45" t="s">
        <v>3418</v>
      </c>
      <c r="D2291" s="46">
        <v>17860.0</v>
      </c>
      <c r="E2291" s="46">
        <v>18136.0</v>
      </c>
    </row>
    <row r="2292">
      <c r="A2292" s="45">
        <v>42095.0</v>
      </c>
      <c r="B2292" s="45" t="s">
        <v>3393</v>
      </c>
      <c r="C2292" s="45" t="s">
        <v>3243</v>
      </c>
      <c r="D2292" s="46">
        <v>319091.0</v>
      </c>
      <c r="E2292" s="46">
        <v>312951.0</v>
      </c>
    </row>
    <row r="2293">
      <c r="A2293" s="45">
        <v>42097.0</v>
      </c>
      <c r="B2293" s="45" t="s">
        <v>3393</v>
      </c>
      <c r="C2293" s="45" t="s">
        <v>3419</v>
      </c>
      <c r="D2293" s="46">
        <v>90120.0</v>
      </c>
      <c r="E2293" s="46">
        <v>91647.0</v>
      </c>
    </row>
    <row r="2294">
      <c r="A2294" s="45">
        <v>42099.0</v>
      </c>
      <c r="B2294" s="45" t="s">
        <v>3393</v>
      </c>
      <c r="C2294" s="45" t="s">
        <v>2047</v>
      </c>
      <c r="D2294" s="46">
        <v>46083.0</v>
      </c>
      <c r="E2294" s="46">
        <v>45842.0</v>
      </c>
    </row>
    <row r="2295">
      <c r="A2295" s="45">
        <v>42101.0</v>
      </c>
      <c r="B2295" s="45" t="s">
        <v>3393</v>
      </c>
      <c r="C2295" s="45" t="s">
        <v>3420</v>
      </c>
      <c r="D2295" s="46">
        <v>1550542.0</v>
      </c>
      <c r="E2295" s="46">
        <v>1603797.0</v>
      </c>
    </row>
    <row r="2296">
      <c r="A2296" s="45">
        <v>42103.0</v>
      </c>
      <c r="B2296" s="45" t="s">
        <v>3393</v>
      </c>
      <c r="C2296" s="45" t="s">
        <v>2049</v>
      </c>
      <c r="D2296" s="46">
        <v>61247.0</v>
      </c>
      <c r="E2296" s="46">
        <v>58535.0</v>
      </c>
    </row>
    <row r="2297">
      <c r="A2297" s="45">
        <v>42105.0</v>
      </c>
      <c r="B2297" s="45" t="s">
        <v>3393</v>
      </c>
      <c r="C2297" s="45" t="s">
        <v>3421</v>
      </c>
      <c r="D2297" s="46">
        <v>15999.0</v>
      </c>
      <c r="E2297" s="46">
        <v>16396.0</v>
      </c>
    </row>
    <row r="2298">
      <c r="A2298" s="45">
        <v>42107.0</v>
      </c>
      <c r="B2298" s="45" t="s">
        <v>3393</v>
      </c>
      <c r="C2298" s="45" t="s">
        <v>3422</v>
      </c>
      <c r="D2298" s="46">
        <v>143786.0</v>
      </c>
      <c r="E2298" s="46">
        <v>143049.0</v>
      </c>
    </row>
    <row r="2299">
      <c r="A2299" s="45">
        <v>42109.0</v>
      </c>
      <c r="B2299" s="45" t="s">
        <v>3393</v>
      </c>
      <c r="C2299" s="45" t="s">
        <v>3423</v>
      </c>
      <c r="D2299" s="46">
        <v>39717.0</v>
      </c>
      <c r="E2299" s="46">
        <v>39736.0</v>
      </c>
    </row>
    <row r="2300">
      <c r="A2300" s="45">
        <v>42111.0</v>
      </c>
      <c r="B2300" s="45" t="s">
        <v>3393</v>
      </c>
      <c r="C2300" s="45" t="s">
        <v>2798</v>
      </c>
      <c r="D2300" s="46">
        <v>72197.0</v>
      </c>
      <c r="E2300" s="46">
        <v>74129.0</v>
      </c>
    </row>
    <row r="2301">
      <c r="A2301" s="45">
        <v>42113.0</v>
      </c>
      <c r="B2301" s="45" t="s">
        <v>3393</v>
      </c>
      <c r="C2301" s="45" t="s">
        <v>2545</v>
      </c>
      <c r="D2301" s="46">
        <v>5834.0</v>
      </c>
      <c r="E2301" s="46">
        <v>5840.0</v>
      </c>
    </row>
    <row r="2302">
      <c r="A2302" s="45">
        <v>42115.0</v>
      </c>
      <c r="B2302" s="45" t="s">
        <v>3393</v>
      </c>
      <c r="C2302" s="45" t="s">
        <v>3424</v>
      </c>
      <c r="D2302" s="46">
        <v>38109.0</v>
      </c>
      <c r="E2302" s="46">
        <v>38434.0</v>
      </c>
    </row>
    <row r="2303">
      <c r="A2303" s="45">
        <v>42117.0</v>
      </c>
      <c r="B2303" s="45" t="s">
        <v>3393</v>
      </c>
      <c r="C2303" s="45" t="s">
        <v>3194</v>
      </c>
      <c r="D2303" s="46">
        <v>40840.0</v>
      </c>
      <c r="E2303" s="46">
        <v>41045.0</v>
      </c>
    </row>
    <row r="2304">
      <c r="A2304" s="45">
        <v>42119.0</v>
      </c>
      <c r="B2304" s="45" t="s">
        <v>3393</v>
      </c>
      <c r="C2304" s="45" t="s">
        <v>2132</v>
      </c>
      <c r="D2304" s="46">
        <v>42042.0</v>
      </c>
      <c r="E2304" s="46">
        <v>42681.0</v>
      </c>
    </row>
    <row r="2305">
      <c r="A2305" s="45">
        <v>42121.0</v>
      </c>
      <c r="B2305" s="45" t="s">
        <v>3393</v>
      </c>
      <c r="C2305" s="45" t="s">
        <v>3425</v>
      </c>
      <c r="D2305" s="46">
        <v>49431.0</v>
      </c>
      <c r="E2305" s="46">
        <v>50454.0</v>
      </c>
    </row>
    <row r="2306">
      <c r="A2306" s="45">
        <v>42123.0</v>
      </c>
      <c r="B2306" s="45" t="s">
        <v>3393</v>
      </c>
      <c r="C2306" s="45" t="s">
        <v>2415</v>
      </c>
      <c r="D2306" s="46">
        <v>37572.0</v>
      </c>
      <c r="E2306" s="46">
        <v>38587.0</v>
      </c>
    </row>
    <row r="2307">
      <c r="A2307" s="45">
        <v>42125.0</v>
      </c>
      <c r="B2307" s="45" t="s">
        <v>3393</v>
      </c>
      <c r="C2307" s="45" t="s">
        <v>2059</v>
      </c>
      <c r="D2307" s="46">
        <v>210232.0</v>
      </c>
      <c r="E2307" s="46">
        <v>209349.0</v>
      </c>
    </row>
    <row r="2308">
      <c r="A2308" s="45">
        <v>42127.0</v>
      </c>
      <c r="B2308" s="45" t="s">
        <v>3393</v>
      </c>
      <c r="C2308" s="45" t="s">
        <v>2416</v>
      </c>
      <c r="D2308" s="46">
        <v>51262.0</v>
      </c>
      <c r="E2308" s="46">
        <v>51155.0</v>
      </c>
    </row>
    <row r="2309">
      <c r="A2309" s="45">
        <v>42129.0</v>
      </c>
      <c r="B2309" s="45" t="s">
        <v>3393</v>
      </c>
      <c r="C2309" s="45" t="s">
        <v>3426</v>
      </c>
      <c r="D2309" s="46">
        <v>351163.0</v>
      </c>
      <c r="E2309" s="46">
        <v>354663.0</v>
      </c>
    </row>
    <row r="2310">
      <c r="A2310" s="45">
        <v>42131.0</v>
      </c>
      <c r="B2310" s="45" t="s">
        <v>3393</v>
      </c>
      <c r="C2310" s="45" t="s">
        <v>3198</v>
      </c>
      <c r="D2310" s="46">
        <v>25902.0</v>
      </c>
      <c r="E2310" s="46">
        <v>26069.0</v>
      </c>
    </row>
    <row r="2311">
      <c r="A2311" s="45">
        <v>42133.0</v>
      </c>
      <c r="B2311" s="45" t="s">
        <v>3393</v>
      </c>
      <c r="C2311" s="45" t="s">
        <v>2800</v>
      </c>
      <c r="D2311" s="46">
        <v>464640.0</v>
      </c>
      <c r="E2311" s="46">
        <v>456438.0</v>
      </c>
    </row>
    <row r="2312">
      <c r="A2312" s="45">
        <v>44001.0</v>
      </c>
      <c r="B2312" s="45" t="s">
        <v>3427</v>
      </c>
      <c r="C2312" s="45" t="s">
        <v>2822</v>
      </c>
      <c r="D2312" s="46">
        <v>50255.0</v>
      </c>
      <c r="E2312" s="46">
        <v>50793.0</v>
      </c>
    </row>
    <row r="2313">
      <c r="A2313" s="45">
        <v>44003.0</v>
      </c>
      <c r="B2313" s="45" t="s">
        <v>3427</v>
      </c>
      <c r="C2313" s="45" t="s">
        <v>2260</v>
      </c>
      <c r="D2313" s="46">
        <v>171278.0</v>
      </c>
      <c r="E2313" s="46">
        <v>170363.0</v>
      </c>
    </row>
    <row r="2314">
      <c r="A2314" s="45">
        <v>44005.0</v>
      </c>
      <c r="B2314" s="45" t="s">
        <v>3427</v>
      </c>
      <c r="C2314" s="45" t="s">
        <v>3428</v>
      </c>
      <c r="D2314" s="46">
        <v>83832.0</v>
      </c>
      <c r="E2314" s="46">
        <v>85643.0</v>
      </c>
    </row>
    <row r="2315">
      <c r="A2315" s="45">
        <v>44007.0</v>
      </c>
      <c r="B2315" s="45" t="s">
        <v>3427</v>
      </c>
      <c r="C2315" s="45" t="s">
        <v>3429</v>
      </c>
      <c r="D2315" s="46">
        <v>660615.0</v>
      </c>
      <c r="E2315" s="46">
        <v>660741.0</v>
      </c>
    </row>
    <row r="2316">
      <c r="A2316" s="45">
        <v>44009.0</v>
      </c>
      <c r="B2316" s="45" t="s">
        <v>3427</v>
      </c>
      <c r="C2316" s="45" t="s">
        <v>2059</v>
      </c>
      <c r="D2316" s="46">
        <v>129982.0</v>
      </c>
      <c r="E2316" s="46">
        <v>129839.0</v>
      </c>
    </row>
    <row r="2317">
      <c r="A2317" s="45">
        <v>45001.0</v>
      </c>
      <c r="B2317" s="45" t="s">
        <v>3430</v>
      </c>
      <c r="C2317" s="45" t="s">
        <v>3431</v>
      </c>
      <c r="D2317" s="46">
        <v>24434.0</v>
      </c>
      <c r="E2317" s="46">
        <v>24295.0</v>
      </c>
    </row>
    <row r="2318">
      <c r="A2318" s="45">
        <v>45003.0</v>
      </c>
      <c r="B2318" s="45" t="s">
        <v>3430</v>
      </c>
      <c r="C2318" s="45" t="s">
        <v>3432</v>
      </c>
      <c r="D2318" s="46">
        <v>177130.0</v>
      </c>
      <c r="E2318" s="46">
        <v>168808.0</v>
      </c>
    </row>
    <row r="2319">
      <c r="A2319" s="45">
        <v>45005.0</v>
      </c>
      <c r="B2319" s="45" t="s">
        <v>3430</v>
      </c>
      <c r="C2319" s="45" t="s">
        <v>3433</v>
      </c>
      <c r="D2319" s="46">
        <v>7369.0</v>
      </c>
      <c r="E2319" s="46">
        <v>8039.0</v>
      </c>
    </row>
    <row r="2320">
      <c r="A2320" s="45">
        <v>45007.0</v>
      </c>
      <c r="B2320" s="45" t="s">
        <v>3430</v>
      </c>
      <c r="C2320" s="45" t="s">
        <v>2602</v>
      </c>
      <c r="D2320" s="46">
        <v>213076.0</v>
      </c>
      <c r="E2320" s="46">
        <v>203718.0</v>
      </c>
    </row>
    <row r="2321">
      <c r="A2321" s="45">
        <v>45009.0</v>
      </c>
      <c r="B2321" s="45" t="s">
        <v>3430</v>
      </c>
      <c r="C2321" s="45" t="s">
        <v>3434</v>
      </c>
      <c r="D2321" s="46">
        <v>12974.0</v>
      </c>
      <c r="E2321" s="46">
        <v>13311.0</v>
      </c>
    </row>
    <row r="2322">
      <c r="A2322" s="45">
        <v>45011.0</v>
      </c>
      <c r="B2322" s="45" t="s">
        <v>3430</v>
      </c>
      <c r="C2322" s="45" t="s">
        <v>3435</v>
      </c>
      <c r="D2322" s="46">
        <v>20447.0</v>
      </c>
      <c r="E2322" s="46">
        <v>20589.0</v>
      </c>
    </row>
    <row r="2323">
      <c r="A2323" s="45">
        <v>45013.0</v>
      </c>
      <c r="B2323" s="45" t="s">
        <v>3430</v>
      </c>
      <c r="C2323" s="45" t="s">
        <v>3206</v>
      </c>
      <c r="D2323" s="46">
        <v>198979.0</v>
      </c>
      <c r="E2323" s="46">
        <v>187117.0</v>
      </c>
    </row>
    <row r="2324">
      <c r="A2324" s="45">
        <v>45015.0</v>
      </c>
      <c r="B2324" s="45" t="s">
        <v>3430</v>
      </c>
      <c r="C2324" s="45" t="s">
        <v>3436</v>
      </c>
      <c r="D2324" s="46">
        <v>255217.0</v>
      </c>
      <c r="E2324" s="46">
        <v>229861.0</v>
      </c>
    </row>
    <row r="2325">
      <c r="A2325" s="45">
        <v>45017.0</v>
      </c>
      <c r="B2325" s="45" t="s">
        <v>3430</v>
      </c>
      <c r="C2325" s="45" t="s">
        <v>2002</v>
      </c>
      <c r="D2325" s="46">
        <v>14186.0</v>
      </c>
      <c r="E2325" s="46">
        <v>14119.0</v>
      </c>
    </row>
    <row r="2326">
      <c r="A2326" s="45">
        <v>45019.0</v>
      </c>
      <c r="B2326" s="45" t="s">
        <v>3430</v>
      </c>
      <c r="C2326" s="45" t="s">
        <v>3437</v>
      </c>
      <c r="D2326" s="46">
        <v>424367.0</v>
      </c>
      <c r="E2326" s="46">
        <v>408235.0</v>
      </c>
    </row>
    <row r="2327">
      <c r="A2327" s="45">
        <v>45021.0</v>
      </c>
      <c r="B2327" s="45" t="s">
        <v>3430</v>
      </c>
      <c r="C2327" s="45" t="s">
        <v>2004</v>
      </c>
      <c r="D2327" s="46">
        <v>56714.0</v>
      </c>
      <c r="E2327" s="46">
        <v>56216.0</v>
      </c>
    </row>
    <row r="2328">
      <c r="A2328" s="45">
        <v>45023.0</v>
      </c>
      <c r="B2328" s="45" t="s">
        <v>3430</v>
      </c>
      <c r="C2328" s="45" t="s">
        <v>3403</v>
      </c>
      <c r="D2328" s="46">
        <v>32226.0</v>
      </c>
      <c r="E2328" s="46">
        <v>32294.0</v>
      </c>
    </row>
    <row r="2329">
      <c r="A2329" s="45">
        <v>45025.0</v>
      </c>
      <c r="B2329" s="45" t="s">
        <v>3430</v>
      </c>
      <c r="C2329" s="45" t="s">
        <v>3438</v>
      </c>
      <c r="D2329" s="46">
        <v>44031.0</v>
      </c>
      <c r="E2329" s="46">
        <v>43273.0</v>
      </c>
    </row>
    <row r="2330">
      <c r="A2330" s="45">
        <v>45027.0</v>
      </c>
      <c r="B2330" s="45" t="s">
        <v>3430</v>
      </c>
      <c r="C2330" s="45" t="s">
        <v>3439</v>
      </c>
      <c r="D2330" s="46">
        <v>31004.0</v>
      </c>
      <c r="E2330" s="46">
        <v>31144.0</v>
      </c>
    </row>
    <row r="2331">
      <c r="A2331" s="45">
        <v>45029.0</v>
      </c>
      <c r="B2331" s="45" t="s">
        <v>3430</v>
      </c>
      <c r="C2331" s="45" t="s">
        <v>3440</v>
      </c>
      <c r="D2331" s="46">
        <v>38874.0</v>
      </c>
      <c r="E2331" s="46">
        <v>38604.0</v>
      </c>
    </row>
    <row r="2332">
      <c r="A2332" s="45">
        <v>45031.0</v>
      </c>
      <c r="B2332" s="45" t="s">
        <v>3430</v>
      </c>
      <c r="C2332" s="45" t="s">
        <v>3441</v>
      </c>
      <c r="D2332" s="46">
        <v>62416.0</v>
      </c>
      <c r="E2332" s="46">
        <v>62905.0</v>
      </c>
    </row>
    <row r="2333">
      <c r="A2333" s="45">
        <v>45033.0</v>
      </c>
      <c r="B2333" s="45" t="s">
        <v>3430</v>
      </c>
      <c r="C2333" s="45" t="s">
        <v>3442</v>
      </c>
      <c r="D2333" s="46">
        <v>27698.0</v>
      </c>
      <c r="E2333" s="46">
        <v>28292.0</v>
      </c>
    </row>
    <row r="2334">
      <c r="A2334" s="45">
        <v>45035.0</v>
      </c>
      <c r="B2334" s="45" t="s">
        <v>3430</v>
      </c>
      <c r="C2334" s="45" t="s">
        <v>2809</v>
      </c>
      <c r="D2334" s="46">
        <v>169833.0</v>
      </c>
      <c r="E2334" s="46">
        <v>161540.0</v>
      </c>
    </row>
    <row r="2335">
      <c r="A2335" s="45">
        <v>45037.0</v>
      </c>
      <c r="B2335" s="45" t="s">
        <v>3430</v>
      </c>
      <c r="C2335" s="45" t="s">
        <v>3443</v>
      </c>
      <c r="D2335" s="46">
        <v>27607.0</v>
      </c>
      <c r="E2335" s="46">
        <v>25657.0</v>
      </c>
    </row>
    <row r="2336">
      <c r="A2336" s="45">
        <v>45039.0</v>
      </c>
      <c r="B2336" s="45" t="s">
        <v>3430</v>
      </c>
      <c r="C2336" s="45" t="s">
        <v>2251</v>
      </c>
      <c r="D2336" s="46">
        <v>20422.0</v>
      </c>
      <c r="E2336" s="46">
        <v>20948.0</v>
      </c>
    </row>
    <row r="2337">
      <c r="A2337" s="45">
        <v>45041.0</v>
      </c>
      <c r="B2337" s="45" t="s">
        <v>3430</v>
      </c>
      <c r="C2337" s="45" t="s">
        <v>3444</v>
      </c>
      <c r="D2337" s="46">
        <v>137214.0</v>
      </c>
      <c r="E2337" s="46">
        <v>137059.0</v>
      </c>
    </row>
    <row r="2338">
      <c r="A2338" s="45">
        <v>45043.0</v>
      </c>
      <c r="B2338" s="45" t="s">
        <v>3430</v>
      </c>
      <c r="C2338" s="45" t="s">
        <v>3445</v>
      </c>
      <c r="D2338" s="46">
        <v>65731.0</v>
      </c>
      <c r="E2338" s="46">
        <v>63404.0</v>
      </c>
    </row>
    <row r="2339">
      <c r="A2339" s="45">
        <v>45045.0</v>
      </c>
      <c r="B2339" s="45" t="s">
        <v>3430</v>
      </c>
      <c r="C2339" s="45" t="s">
        <v>3446</v>
      </c>
      <c r="D2339" s="46">
        <v>558036.0</v>
      </c>
      <c r="E2339" s="46">
        <v>525534.0</v>
      </c>
    </row>
    <row r="2340">
      <c r="A2340" s="45">
        <v>45047.0</v>
      </c>
      <c r="B2340" s="45" t="s">
        <v>3430</v>
      </c>
      <c r="C2340" s="45" t="s">
        <v>2622</v>
      </c>
      <c r="D2340" s="46">
        <v>69460.0</v>
      </c>
      <c r="E2340" s="46">
        <v>69351.0</v>
      </c>
    </row>
    <row r="2341">
      <c r="A2341" s="45">
        <v>45049.0</v>
      </c>
      <c r="B2341" s="45" t="s">
        <v>3430</v>
      </c>
      <c r="C2341" s="45" t="s">
        <v>3447</v>
      </c>
      <c r="D2341" s="46">
        <v>18122.0</v>
      </c>
      <c r="E2341" s="46">
        <v>18561.0</v>
      </c>
    </row>
    <row r="2342">
      <c r="A2342" s="45">
        <v>45051.0</v>
      </c>
      <c r="B2342" s="45" t="s">
        <v>3430</v>
      </c>
      <c r="C2342" s="45" t="s">
        <v>3448</v>
      </c>
      <c r="D2342" s="46">
        <v>397478.0</v>
      </c>
      <c r="E2342" s="46">
        <v>351029.0</v>
      </c>
    </row>
    <row r="2343">
      <c r="A2343" s="45">
        <v>45053.0</v>
      </c>
      <c r="B2343" s="45" t="s">
        <v>3430</v>
      </c>
      <c r="C2343" s="45" t="s">
        <v>2372</v>
      </c>
      <c r="D2343" s="46">
        <v>33544.0</v>
      </c>
      <c r="E2343" s="46">
        <v>28791.0</v>
      </c>
    </row>
    <row r="2344">
      <c r="A2344" s="45">
        <v>45055.0</v>
      </c>
      <c r="B2344" s="45" t="s">
        <v>3430</v>
      </c>
      <c r="C2344" s="45" t="s">
        <v>3449</v>
      </c>
      <c r="D2344" s="46">
        <v>69905.0</v>
      </c>
      <c r="E2344" s="46">
        <v>65403.0</v>
      </c>
    </row>
    <row r="2345">
      <c r="A2345" s="45">
        <v>45057.0</v>
      </c>
      <c r="B2345" s="45" t="s">
        <v>3430</v>
      </c>
      <c r="C2345" s="45" t="s">
        <v>3097</v>
      </c>
      <c r="D2345" s="46">
        <v>108215.0</v>
      </c>
      <c r="E2345" s="46">
        <v>96016.0</v>
      </c>
    </row>
    <row r="2346">
      <c r="A2346" s="45">
        <v>45059.0</v>
      </c>
      <c r="B2346" s="45" t="s">
        <v>3430</v>
      </c>
      <c r="C2346" s="45" t="s">
        <v>2377</v>
      </c>
      <c r="D2346" s="46">
        <v>68873.0</v>
      </c>
      <c r="E2346" s="46">
        <v>67539.0</v>
      </c>
    </row>
    <row r="2347">
      <c r="A2347" s="45">
        <v>45061.0</v>
      </c>
      <c r="B2347" s="45" t="s">
        <v>3430</v>
      </c>
      <c r="C2347" s="45" t="s">
        <v>2035</v>
      </c>
      <c r="D2347" s="46">
        <v>15967.0</v>
      </c>
      <c r="E2347" s="46">
        <v>16531.0</v>
      </c>
    </row>
    <row r="2348">
      <c r="A2348" s="45">
        <v>45063.0</v>
      </c>
      <c r="B2348" s="45" t="s">
        <v>3430</v>
      </c>
      <c r="C2348" s="45" t="s">
        <v>3450</v>
      </c>
      <c r="D2348" s="46">
        <v>309528.0</v>
      </c>
      <c r="E2348" s="46">
        <v>293991.0</v>
      </c>
    </row>
    <row r="2349">
      <c r="A2349" s="45">
        <v>45065.0</v>
      </c>
      <c r="B2349" s="45" t="s">
        <v>3430</v>
      </c>
      <c r="C2349" s="45" t="s">
        <v>3451</v>
      </c>
      <c r="D2349" s="46">
        <v>9941.0</v>
      </c>
      <c r="E2349" s="46">
        <v>9526.0</v>
      </c>
    </row>
    <row r="2350">
      <c r="A2350" s="45">
        <v>45067.0</v>
      </c>
      <c r="B2350" s="45" t="s">
        <v>3430</v>
      </c>
      <c r="C2350" s="45" t="s">
        <v>2041</v>
      </c>
      <c r="D2350" s="46">
        <v>28508.0</v>
      </c>
      <c r="E2350" s="46">
        <v>29183.0</v>
      </c>
    </row>
    <row r="2351">
      <c r="A2351" s="45">
        <v>45069.0</v>
      </c>
      <c r="B2351" s="45" t="s">
        <v>3430</v>
      </c>
      <c r="C2351" s="45" t="s">
        <v>3452</v>
      </c>
      <c r="D2351" s="46">
        <v>25704.0</v>
      </c>
      <c r="E2351" s="46">
        <v>26667.0</v>
      </c>
    </row>
    <row r="2352">
      <c r="A2352" s="45">
        <v>45071.0</v>
      </c>
      <c r="B2352" s="45" t="s">
        <v>3430</v>
      </c>
      <c r="C2352" s="45" t="s">
        <v>3453</v>
      </c>
      <c r="D2352" s="46">
        <v>38825.0</v>
      </c>
      <c r="E2352" s="46">
        <v>37719.0</v>
      </c>
    </row>
    <row r="2353">
      <c r="A2353" s="45">
        <v>45073.0</v>
      </c>
      <c r="B2353" s="45" t="s">
        <v>3430</v>
      </c>
      <c r="C2353" s="45" t="s">
        <v>2386</v>
      </c>
      <c r="D2353" s="46">
        <v>81221.0</v>
      </c>
      <c r="E2353" s="46">
        <v>78607.0</v>
      </c>
    </row>
    <row r="2354">
      <c r="A2354" s="45">
        <v>45075.0</v>
      </c>
      <c r="B2354" s="45" t="s">
        <v>3430</v>
      </c>
      <c r="C2354" s="45" t="s">
        <v>3454</v>
      </c>
      <c r="D2354" s="46">
        <v>82820.0</v>
      </c>
      <c r="E2354" s="46">
        <v>84223.0</v>
      </c>
    </row>
    <row r="2355">
      <c r="A2355" s="45">
        <v>45077.0</v>
      </c>
      <c r="B2355" s="45" t="s">
        <v>3430</v>
      </c>
      <c r="C2355" s="45" t="s">
        <v>2048</v>
      </c>
      <c r="D2355" s="46">
        <v>135495.0</v>
      </c>
      <c r="E2355" s="46">
        <v>131404.0</v>
      </c>
    </row>
    <row r="2356">
      <c r="A2356" s="45">
        <v>45079.0</v>
      </c>
      <c r="B2356" s="45" t="s">
        <v>3430</v>
      </c>
      <c r="C2356" s="45" t="s">
        <v>2499</v>
      </c>
      <c r="D2356" s="46">
        <v>425138.0</v>
      </c>
      <c r="E2356" s="46">
        <v>416147.0</v>
      </c>
    </row>
    <row r="2357">
      <c r="A2357" s="45">
        <v>45081.0</v>
      </c>
      <c r="B2357" s="45" t="s">
        <v>3430</v>
      </c>
      <c r="C2357" s="45" t="s">
        <v>3455</v>
      </c>
      <c r="D2357" s="46">
        <v>19123.0</v>
      </c>
      <c r="E2357" s="46">
        <v>18862.0</v>
      </c>
    </row>
    <row r="2358">
      <c r="A2358" s="45">
        <v>45083.0</v>
      </c>
      <c r="B2358" s="45" t="s">
        <v>3430</v>
      </c>
      <c r="C2358" s="45" t="s">
        <v>3456</v>
      </c>
      <c r="D2358" s="46">
        <v>356698.0</v>
      </c>
      <c r="E2358" s="46">
        <v>327997.0</v>
      </c>
    </row>
    <row r="2359">
      <c r="A2359" s="45">
        <v>45085.0</v>
      </c>
      <c r="B2359" s="45" t="s">
        <v>3430</v>
      </c>
      <c r="C2359" s="45" t="s">
        <v>2054</v>
      </c>
      <c r="D2359" s="46">
        <v>104165.0</v>
      </c>
      <c r="E2359" s="46">
        <v>105556.0</v>
      </c>
    </row>
    <row r="2360">
      <c r="A2360" s="45">
        <v>45087.0</v>
      </c>
      <c r="B2360" s="45" t="s">
        <v>3430</v>
      </c>
      <c r="C2360" s="45" t="s">
        <v>2132</v>
      </c>
      <c r="D2360" s="46">
        <v>26629.0</v>
      </c>
      <c r="E2360" s="46">
        <v>27244.0</v>
      </c>
    </row>
    <row r="2361">
      <c r="A2361" s="45">
        <v>45089.0</v>
      </c>
      <c r="B2361" s="45" t="s">
        <v>3430</v>
      </c>
      <c r="C2361" s="45" t="s">
        <v>3457</v>
      </c>
      <c r="D2361" s="46">
        <v>29891.0</v>
      </c>
      <c r="E2361" s="46">
        <v>31026.0</v>
      </c>
    </row>
    <row r="2362">
      <c r="A2362" s="45">
        <v>45091.0</v>
      </c>
      <c r="B2362" s="45" t="s">
        <v>3430</v>
      </c>
      <c r="C2362" s="45" t="s">
        <v>2800</v>
      </c>
      <c r="D2362" s="46">
        <v>298320.0</v>
      </c>
      <c r="E2362" s="46">
        <v>282090.0</v>
      </c>
    </row>
    <row r="2363">
      <c r="A2363" s="45">
        <v>46003.0</v>
      </c>
      <c r="B2363" s="45" t="s">
        <v>3458</v>
      </c>
      <c r="C2363" s="45" t="s">
        <v>3459</v>
      </c>
      <c r="D2363" s="46">
        <v>2782.0</v>
      </c>
      <c r="E2363" s="46">
        <v>2747.0</v>
      </c>
    </row>
    <row r="2364">
      <c r="A2364" s="45">
        <v>46005.0</v>
      </c>
      <c r="B2364" s="45" t="s">
        <v>3458</v>
      </c>
      <c r="C2364" s="45" t="s">
        <v>3460</v>
      </c>
      <c r="D2364" s="46">
        <v>19591.0</v>
      </c>
      <c r="E2364" s="46">
        <v>19149.0</v>
      </c>
    </row>
    <row r="2365">
      <c r="A2365" s="45">
        <v>46007.0</v>
      </c>
      <c r="B2365" s="45" t="s">
        <v>3458</v>
      </c>
      <c r="C2365" s="45" t="s">
        <v>3461</v>
      </c>
      <c r="D2365" s="46">
        <v>3305.0</v>
      </c>
      <c r="E2365" s="46">
        <v>3381.0</v>
      </c>
    </row>
    <row r="2366">
      <c r="A2366" s="45">
        <v>46009.0</v>
      </c>
      <c r="B2366" s="45" t="s">
        <v>3458</v>
      </c>
      <c r="C2366" s="45" t="s">
        <v>3462</v>
      </c>
      <c r="D2366" s="46">
        <v>7065.0</v>
      </c>
      <c r="E2366" s="46">
        <v>7003.0</v>
      </c>
    </row>
    <row r="2367">
      <c r="A2367" s="45">
        <v>46011.0</v>
      </c>
      <c r="B2367" s="45" t="s">
        <v>3458</v>
      </c>
      <c r="C2367" s="45" t="s">
        <v>3463</v>
      </c>
      <c r="D2367" s="46">
        <v>35980.0</v>
      </c>
      <c r="E2367" s="46">
        <v>34375.0</v>
      </c>
    </row>
    <row r="2368">
      <c r="A2368" s="45">
        <v>46013.0</v>
      </c>
      <c r="B2368" s="45" t="s">
        <v>3458</v>
      </c>
      <c r="C2368" s="45" t="s">
        <v>2461</v>
      </c>
      <c r="D2368" s="46">
        <v>37733.0</v>
      </c>
      <c r="E2368" s="46">
        <v>38301.0</v>
      </c>
    </row>
    <row r="2369">
      <c r="A2369" s="45">
        <v>46015.0</v>
      </c>
      <c r="B2369" s="45" t="s">
        <v>3458</v>
      </c>
      <c r="C2369" s="45" t="s">
        <v>3464</v>
      </c>
      <c r="D2369" s="46">
        <v>5311.0</v>
      </c>
      <c r="E2369" s="46">
        <v>5247.0</v>
      </c>
    </row>
    <row r="2370">
      <c r="A2370" s="45">
        <v>46017.0</v>
      </c>
      <c r="B2370" s="45" t="s">
        <v>3458</v>
      </c>
      <c r="C2370" s="45" t="s">
        <v>3076</v>
      </c>
      <c r="D2370" s="46">
        <v>1884.0</v>
      </c>
      <c r="E2370" s="46">
        <v>1948.0</v>
      </c>
    </row>
    <row r="2371">
      <c r="A2371" s="45">
        <v>46019.0</v>
      </c>
      <c r="B2371" s="45" t="s">
        <v>3458</v>
      </c>
      <c r="C2371" s="45" t="s">
        <v>2141</v>
      </c>
      <c r="D2371" s="46">
        <v>10863.0</v>
      </c>
      <c r="E2371" s="46">
        <v>10243.0</v>
      </c>
    </row>
    <row r="2372">
      <c r="A2372" s="45">
        <v>46021.0</v>
      </c>
      <c r="B2372" s="45" t="s">
        <v>3458</v>
      </c>
      <c r="C2372" s="45" t="s">
        <v>2682</v>
      </c>
      <c r="D2372" s="46">
        <v>1340.0</v>
      </c>
      <c r="E2372" s="46">
        <v>1377.0</v>
      </c>
    </row>
    <row r="2373">
      <c r="A2373" s="45">
        <v>46023.0</v>
      </c>
      <c r="B2373" s="45" t="s">
        <v>3458</v>
      </c>
      <c r="C2373" s="45" t="s">
        <v>3465</v>
      </c>
      <c r="D2373" s="46">
        <v>9240.0</v>
      </c>
      <c r="E2373" s="46">
        <v>9373.0</v>
      </c>
    </row>
    <row r="2374">
      <c r="A2374" s="45">
        <v>46025.0</v>
      </c>
      <c r="B2374" s="45" t="s">
        <v>3458</v>
      </c>
      <c r="C2374" s="45" t="s">
        <v>2088</v>
      </c>
      <c r="D2374" s="46">
        <v>3948.0</v>
      </c>
      <c r="E2374" s="46">
        <v>3837.0</v>
      </c>
    </row>
    <row r="2375">
      <c r="A2375" s="45">
        <v>46027.0</v>
      </c>
      <c r="B2375" s="45" t="s">
        <v>3458</v>
      </c>
      <c r="C2375" s="45" t="s">
        <v>2008</v>
      </c>
      <c r="D2375" s="46">
        <v>15431.0</v>
      </c>
      <c r="E2375" s="46">
        <v>14967.0</v>
      </c>
    </row>
    <row r="2376">
      <c r="A2376" s="45">
        <v>46029.0</v>
      </c>
      <c r="B2376" s="45" t="s">
        <v>3458</v>
      </c>
      <c r="C2376" s="45" t="s">
        <v>3466</v>
      </c>
      <c r="D2376" s="46">
        <v>28971.0</v>
      </c>
      <c r="E2376" s="46">
        <v>28325.0</v>
      </c>
    </row>
    <row r="2377">
      <c r="A2377" s="45">
        <v>46031.0</v>
      </c>
      <c r="B2377" s="45" t="s">
        <v>3458</v>
      </c>
      <c r="C2377" s="45" t="s">
        <v>3467</v>
      </c>
      <c r="D2377" s="46">
        <v>3782.0</v>
      </c>
      <c r="E2377" s="46">
        <v>3902.0</v>
      </c>
    </row>
    <row r="2378">
      <c r="A2378" s="45">
        <v>46033.0</v>
      </c>
      <c r="B2378" s="45" t="s">
        <v>3458</v>
      </c>
      <c r="C2378" s="45" t="s">
        <v>2209</v>
      </c>
      <c r="D2378" s="46">
        <v>9117.0</v>
      </c>
      <c r="E2378" s="46">
        <v>8318.0</v>
      </c>
    </row>
    <row r="2379">
      <c r="A2379" s="45">
        <v>46035.0</v>
      </c>
      <c r="B2379" s="45" t="s">
        <v>3458</v>
      </c>
      <c r="C2379" s="45" t="s">
        <v>3468</v>
      </c>
      <c r="D2379" s="46">
        <v>19922.0</v>
      </c>
      <c r="E2379" s="46">
        <v>19956.0</v>
      </c>
    </row>
    <row r="2380">
      <c r="A2380" s="45">
        <v>46037.0</v>
      </c>
      <c r="B2380" s="45" t="s">
        <v>3458</v>
      </c>
      <c r="C2380" s="45" t="s">
        <v>3469</v>
      </c>
      <c r="D2380" s="46">
        <v>5451.0</v>
      </c>
      <c r="E2380" s="46">
        <v>5449.0</v>
      </c>
    </row>
    <row r="2381">
      <c r="A2381" s="45">
        <v>46039.0</v>
      </c>
      <c r="B2381" s="45" t="s">
        <v>3458</v>
      </c>
      <c r="C2381" s="45" t="s">
        <v>3082</v>
      </c>
      <c r="D2381" s="46">
        <v>4354.0</v>
      </c>
      <c r="E2381" s="46">
        <v>4295.0</v>
      </c>
    </row>
    <row r="2382">
      <c r="A2382" s="45">
        <v>46041.0</v>
      </c>
      <c r="B2382" s="45" t="s">
        <v>3458</v>
      </c>
      <c r="C2382" s="45" t="s">
        <v>3345</v>
      </c>
      <c r="D2382" s="46">
        <v>5208.0</v>
      </c>
      <c r="E2382" s="46">
        <v>5239.0</v>
      </c>
    </row>
    <row r="2383">
      <c r="A2383" s="45">
        <v>46043.0</v>
      </c>
      <c r="B2383" s="45" t="s">
        <v>3458</v>
      </c>
      <c r="C2383" s="45" t="s">
        <v>2213</v>
      </c>
      <c r="D2383" s="46">
        <v>2838.0</v>
      </c>
      <c r="E2383" s="46">
        <v>2835.0</v>
      </c>
    </row>
    <row r="2384">
      <c r="A2384" s="45">
        <v>46045.0</v>
      </c>
      <c r="B2384" s="45" t="s">
        <v>3458</v>
      </c>
      <c r="C2384" s="45" t="s">
        <v>3470</v>
      </c>
      <c r="D2384" s="46">
        <v>4057.0</v>
      </c>
      <c r="E2384" s="46">
        <v>3986.0</v>
      </c>
    </row>
    <row r="2385">
      <c r="A2385" s="45">
        <v>46047.0</v>
      </c>
      <c r="B2385" s="45" t="s">
        <v>3458</v>
      </c>
      <c r="C2385" s="45" t="s">
        <v>3471</v>
      </c>
      <c r="D2385" s="46">
        <v>7393.0</v>
      </c>
      <c r="E2385" s="46">
        <v>6973.0</v>
      </c>
    </row>
    <row r="2386">
      <c r="A2386" s="45">
        <v>46049.0</v>
      </c>
      <c r="B2386" s="45" t="s">
        <v>3458</v>
      </c>
      <c r="C2386" s="45" t="s">
        <v>3472</v>
      </c>
      <c r="D2386" s="46">
        <v>2151.0</v>
      </c>
      <c r="E2386" s="46">
        <v>2125.0</v>
      </c>
    </row>
    <row r="2387">
      <c r="A2387" s="45">
        <v>46051.0</v>
      </c>
      <c r="B2387" s="45" t="s">
        <v>3458</v>
      </c>
      <c r="C2387" s="45" t="s">
        <v>2101</v>
      </c>
      <c r="D2387" s="46">
        <v>7553.0</v>
      </c>
      <c r="E2387" s="46">
        <v>7556.0</v>
      </c>
    </row>
    <row r="2388">
      <c r="A2388" s="45">
        <v>46053.0</v>
      </c>
      <c r="B2388" s="45" t="s">
        <v>3458</v>
      </c>
      <c r="C2388" s="45" t="s">
        <v>3473</v>
      </c>
      <c r="D2388" s="46">
        <v>4018.0</v>
      </c>
      <c r="E2388" s="46">
        <v>3994.0</v>
      </c>
    </row>
    <row r="2389">
      <c r="A2389" s="45">
        <v>46055.0</v>
      </c>
      <c r="B2389" s="45" t="s">
        <v>3458</v>
      </c>
      <c r="C2389" s="45" t="s">
        <v>3474</v>
      </c>
      <c r="D2389" s="46">
        <v>1851.0</v>
      </c>
      <c r="E2389" s="46">
        <v>1872.0</v>
      </c>
    </row>
    <row r="2390">
      <c r="A2390" s="45">
        <v>46057.0</v>
      </c>
      <c r="B2390" s="45" t="s">
        <v>3458</v>
      </c>
      <c r="C2390" s="45" t="s">
        <v>3475</v>
      </c>
      <c r="D2390" s="46">
        <v>6451.0</v>
      </c>
      <c r="E2390" s="46">
        <v>6164.0</v>
      </c>
    </row>
    <row r="2391">
      <c r="A2391" s="45">
        <v>46059.0</v>
      </c>
      <c r="B2391" s="45" t="s">
        <v>3458</v>
      </c>
      <c r="C2391" s="45" t="s">
        <v>3476</v>
      </c>
      <c r="D2391" s="46">
        <v>3107.0</v>
      </c>
      <c r="E2391" s="46">
        <v>3145.0</v>
      </c>
    </row>
    <row r="2392">
      <c r="A2392" s="45">
        <v>46061.0</v>
      </c>
      <c r="B2392" s="45" t="s">
        <v>3458</v>
      </c>
      <c r="C2392" s="45" t="s">
        <v>3477</v>
      </c>
      <c r="D2392" s="46">
        <v>3471.0</v>
      </c>
      <c r="E2392" s="46">
        <v>3461.0</v>
      </c>
    </row>
    <row r="2393">
      <c r="A2393" s="45">
        <v>46063.0</v>
      </c>
      <c r="B2393" s="45" t="s">
        <v>3458</v>
      </c>
      <c r="C2393" s="45" t="s">
        <v>3153</v>
      </c>
      <c r="D2393" s="46">
        <v>1324.0</v>
      </c>
      <c r="E2393" s="46">
        <v>1311.0</v>
      </c>
    </row>
    <row r="2394">
      <c r="A2394" s="45">
        <v>46065.0</v>
      </c>
      <c r="B2394" s="45" t="s">
        <v>3458</v>
      </c>
      <c r="C2394" s="45" t="s">
        <v>3349</v>
      </c>
      <c r="D2394" s="46">
        <v>17624.0</v>
      </c>
      <c r="E2394" s="46">
        <v>17765.0</v>
      </c>
    </row>
    <row r="2395">
      <c r="A2395" s="45">
        <v>46067.0</v>
      </c>
      <c r="B2395" s="45" t="s">
        <v>3458</v>
      </c>
      <c r="C2395" s="45" t="s">
        <v>3478</v>
      </c>
      <c r="D2395" s="46">
        <v>7394.0</v>
      </c>
      <c r="E2395" s="46">
        <v>7427.0</v>
      </c>
    </row>
    <row r="2396">
      <c r="A2396" s="45">
        <v>46069.0</v>
      </c>
      <c r="B2396" s="45" t="s">
        <v>3458</v>
      </c>
      <c r="C2396" s="45" t="s">
        <v>3234</v>
      </c>
      <c r="D2396" s="46">
        <v>1186.0</v>
      </c>
      <c r="E2396" s="46">
        <v>1262.0</v>
      </c>
    </row>
    <row r="2397">
      <c r="A2397" s="45">
        <v>46071.0</v>
      </c>
      <c r="B2397" s="45" t="s">
        <v>3458</v>
      </c>
      <c r="C2397" s="45" t="s">
        <v>2030</v>
      </c>
      <c r="D2397" s="46">
        <v>2776.0</v>
      </c>
      <c r="E2397" s="46">
        <v>2806.0</v>
      </c>
    </row>
    <row r="2398">
      <c r="A2398" s="45">
        <v>46073.0</v>
      </c>
      <c r="B2398" s="45" t="s">
        <v>3458</v>
      </c>
      <c r="C2398" s="45" t="s">
        <v>3479</v>
      </c>
      <c r="D2398" s="46">
        <v>1660.0</v>
      </c>
      <c r="E2398" s="46">
        <v>1663.0</v>
      </c>
    </row>
    <row r="2399">
      <c r="A2399" s="45">
        <v>46075.0</v>
      </c>
      <c r="B2399" s="45" t="s">
        <v>3458</v>
      </c>
      <c r="C2399" s="45" t="s">
        <v>2375</v>
      </c>
      <c r="D2399" s="45">
        <v>855.0</v>
      </c>
      <c r="E2399" s="45">
        <v>917.0</v>
      </c>
    </row>
    <row r="2400">
      <c r="A2400" s="45">
        <v>46077.0</v>
      </c>
      <c r="B2400" s="45" t="s">
        <v>3458</v>
      </c>
      <c r="C2400" s="45" t="s">
        <v>3480</v>
      </c>
      <c r="D2400" s="46">
        <v>5276.0</v>
      </c>
      <c r="E2400" s="46">
        <v>5187.0</v>
      </c>
    </row>
    <row r="2401">
      <c r="A2401" s="45">
        <v>46079.0</v>
      </c>
      <c r="B2401" s="45" t="s">
        <v>3458</v>
      </c>
      <c r="C2401" s="45" t="s">
        <v>2154</v>
      </c>
      <c r="D2401" s="46">
        <v>11031.0</v>
      </c>
      <c r="E2401" s="46">
        <v>11059.0</v>
      </c>
    </row>
    <row r="2402">
      <c r="A2402" s="45">
        <v>46081.0</v>
      </c>
      <c r="B2402" s="45" t="s">
        <v>3458</v>
      </c>
      <c r="C2402" s="45" t="s">
        <v>2034</v>
      </c>
      <c r="D2402" s="46">
        <v>28053.0</v>
      </c>
      <c r="E2402" s="46">
        <v>25768.0</v>
      </c>
    </row>
    <row r="2403">
      <c r="A2403" s="45">
        <v>46083.0</v>
      </c>
      <c r="B2403" s="45" t="s">
        <v>3458</v>
      </c>
      <c r="C2403" s="45" t="s">
        <v>2109</v>
      </c>
      <c r="D2403" s="46">
        <v>73238.0</v>
      </c>
      <c r="E2403" s="46">
        <v>65161.0</v>
      </c>
    </row>
    <row r="2404">
      <c r="A2404" s="45">
        <v>46085.0</v>
      </c>
      <c r="B2404" s="45" t="s">
        <v>3458</v>
      </c>
      <c r="C2404" s="45" t="s">
        <v>3481</v>
      </c>
      <c r="D2404" s="46">
        <v>3705.0</v>
      </c>
      <c r="E2404" s="46">
        <v>3718.0</v>
      </c>
    </row>
    <row r="2405">
      <c r="A2405" s="45">
        <v>46087.0</v>
      </c>
      <c r="B2405" s="45" t="s">
        <v>3458</v>
      </c>
      <c r="C2405" s="45" t="s">
        <v>3482</v>
      </c>
      <c r="D2405" s="46">
        <v>5809.0</v>
      </c>
      <c r="E2405" s="46">
        <v>5682.0</v>
      </c>
    </row>
    <row r="2406">
      <c r="A2406" s="45">
        <v>46089.0</v>
      </c>
      <c r="B2406" s="45" t="s">
        <v>3458</v>
      </c>
      <c r="C2406" s="45" t="s">
        <v>2633</v>
      </c>
      <c r="D2406" s="46">
        <v>2334.0</v>
      </c>
      <c r="E2406" s="46">
        <v>2411.0</v>
      </c>
    </row>
    <row r="2407">
      <c r="A2407" s="45">
        <v>46091.0</v>
      </c>
      <c r="B2407" s="45" t="s">
        <v>3458</v>
      </c>
      <c r="C2407" s="45" t="s">
        <v>2042</v>
      </c>
      <c r="D2407" s="46">
        <v>4390.0</v>
      </c>
      <c r="E2407" s="46">
        <v>4306.0</v>
      </c>
    </row>
    <row r="2408">
      <c r="A2408" s="45">
        <v>46093.0</v>
      </c>
      <c r="B2408" s="45" t="s">
        <v>3458</v>
      </c>
      <c r="C2408" s="45" t="s">
        <v>2634</v>
      </c>
      <c r="D2408" s="46">
        <v>30954.0</v>
      </c>
      <c r="E2408" s="46">
        <v>29852.0</v>
      </c>
    </row>
    <row r="2409">
      <c r="A2409" s="45">
        <v>46095.0</v>
      </c>
      <c r="B2409" s="45" t="s">
        <v>3458</v>
      </c>
      <c r="C2409" s="45" t="s">
        <v>3483</v>
      </c>
      <c r="D2409" s="46">
        <v>1851.0</v>
      </c>
      <c r="E2409" s="46">
        <v>1918.0</v>
      </c>
    </row>
    <row r="2410">
      <c r="A2410" s="45">
        <v>46097.0</v>
      </c>
      <c r="B2410" s="45" t="s">
        <v>3458</v>
      </c>
      <c r="C2410" s="45" t="s">
        <v>3484</v>
      </c>
      <c r="D2410" s="46">
        <v>2280.0</v>
      </c>
      <c r="E2410" s="46">
        <v>2298.0</v>
      </c>
    </row>
    <row r="2411">
      <c r="A2411" s="45">
        <v>46099.0</v>
      </c>
      <c r="B2411" s="45" t="s">
        <v>3458</v>
      </c>
      <c r="C2411" s="45" t="s">
        <v>3485</v>
      </c>
      <c r="D2411" s="46">
        <v>206930.0</v>
      </c>
      <c r="E2411" s="46">
        <v>197214.0</v>
      </c>
    </row>
    <row r="2412">
      <c r="A2412" s="45">
        <v>46101.0</v>
      </c>
      <c r="B2412" s="45" t="s">
        <v>3458</v>
      </c>
      <c r="C2412" s="45" t="s">
        <v>3486</v>
      </c>
      <c r="D2412" s="46">
        <v>6450.0</v>
      </c>
      <c r="E2412" s="46">
        <v>6336.0</v>
      </c>
    </row>
    <row r="2413">
      <c r="A2413" s="45">
        <v>46102.0</v>
      </c>
      <c r="B2413" s="45" t="s">
        <v>3458</v>
      </c>
      <c r="C2413" s="45" t="s">
        <v>3487</v>
      </c>
      <c r="D2413" s="46">
        <v>13434.0</v>
      </c>
      <c r="E2413" s="46">
        <v>13672.0</v>
      </c>
    </row>
    <row r="2414">
      <c r="A2414" s="45">
        <v>46103.0</v>
      </c>
      <c r="B2414" s="45" t="s">
        <v>3458</v>
      </c>
      <c r="C2414" s="45" t="s">
        <v>2932</v>
      </c>
      <c r="D2414" s="46">
        <v>115903.0</v>
      </c>
      <c r="E2414" s="46">
        <v>109222.0</v>
      </c>
    </row>
    <row r="2415">
      <c r="A2415" s="45">
        <v>46105.0</v>
      </c>
      <c r="B2415" s="45" t="s">
        <v>3458</v>
      </c>
      <c r="C2415" s="45" t="s">
        <v>3104</v>
      </c>
      <c r="D2415" s="46">
        <v>2834.0</v>
      </c>
      <c r="E2415" s="46">
        <v>2835.0</v>
      </c>
    </row>
    <row r="2416">
      <c r="A2416" s="45">
        <v>46107.0</v>
      </c>
      <c r="B2416" s="45" t="s">
        <v>3458</v>
      </c>
      <c r="C2416" s="45" t="s">
        <v>3421</v>
      </c>
      <c r="D2416" s="46">
        <v>2413.0</v>
      </c>
      <c r="E2416" s="46">
        <v>2472.0</v>
      </c>
    </row>
    <row r="2417">
      <c r="A2417" s="45">
        <v>46109.0</v>
      </c>
      <c r="B2417" s="45" t="s">
        <v>3458</v>
      </c>
      <c r="C2417" s="45" t="s">
        <v>3488</v>
      </c>
      <c r="D2417" s="46">
        <v>10206.0</v>
      </c>
      <c r="E2417" s="46">
        <v>10280.0</v>
      </c>
    </row>
    <row r="2418">
      <c r="A2418" s="45">
        <v>46111.0</v>
      </c>
      <c r="B2418" s="45" t="s">
        <v>3458</v>
      </c>
      <c r="C2418" s="45" t="s">
        <v>3489</v>
      </c>
      <c r="D2418" s="46">
        <v>2399.0</v>
      </c>
      <c r="E2418" s="46">
        <v>2330.0</v>
      </c>
    </row>
    <row r="2419">
      <c r="A2419" s="45">
        <v>46115.0</v>
      </c>
      <c r="B2419" s="45" t="s">
        <v>3458</v>
      </c>
      <c r="C2419" s="45" t="s">
        <v>3490</v>
      </c>
      <c r="D2419" s="46">
        <v>6166.0</v>
      </c>
      <c r="E2419" s="46">
        <v>6361.0</v>
      </c>
    </row>
    <row r="2420">
      <c r="A2420" s="45">
        <v>46117.0</v>
      </c>
      <c r="B2420" s="45" t="s">
        <v>3458</v>
      </c>
      <c r="C2420" s="45" t="s">
        <v>3491</v>
      </c>
      <c r="D2420" s="46">
        <v>3043.0</v>
      </c>
      <c r="E2420" s="46">
        <v>2980.0</v>
      </c>
    </row>
    <row r="2421">
      <c r="A2421" s="45">
        <v>46119.0</v>
      </c>
      <c r="B2421" s="45" t="s">
        <v>3458</v>
      </c>
      <c r="C2421" s="45" t="s">
        <v>3492</v>
      </c>
      <c r="D2421" s="46">
        <v>1494.0</v>
      </c>
      <c r="E2421" s="46">
        <v>1446.0</v>
      </c>
    </row>
    <row r="2422">
      <c r="A2422" s="45">
        <v>46121.0</v>
      </c>
      <c r="B2422" s="45" t="s">
        <v>3458</v>
      </c>
      <c r="C2422" s="45" t="s">
        <v>2721</v>
      </c>
      <c r="D2422" s="46">
        <v>9199.0</v>
      </c>
      <c r="E2422" s="46">
        <v>9319.0</v>
      </c>
    </row>
    <row r="2423">
      <c r="A2423" s="45">
        <v>46123.0</v>
      </c>
      <c r="B2423" s="45" t="s">
        <v>3458</v>
      </c>
      <c r="C2423" s="45" t="s">
        <v>3493</v>
      </c>
      <c r="D2423" s="46">
        <v>5621.0</v>
      </c>
      <c r="E2423" s="46">
        <v>5624.0</v>
      </c>
    </row>
    <row r="2424">
      <c r="A2424" s="45">
        <v>46125.0</v>
      </c>
      <c r="B2424" s="45" t="s">
        <v>3458</v>
      </c>
      <c r="C2424" s="45" t="s">
        <v>2411</v>
      </c>
      <c r="D2424" s="46">
        <v>9027.0</v>
      </c>
      <c r="E2424" s="46">
        <v>8673.0</v>
      </c>
    </row>
    <row r="2425">
      <c r="A2425" s="45">
        <v>46127.0</v>
      </c>
      <c r="B2425" s="45" t="s">
        <v>3458</v>
      </c>
      <c r="C2425" s="45" t="s">
        <v>2132</v>
      </c>
      <c r="D2425" s="46">
        <v>17183.0</v>
      </c>
      <c r="E2425" s="46">
        <v>16811.0</v>
      </c>
    </row>
    <row r="2426">
      <c r="A2426" s="45">
        <v>46129.0</v>
      </c>
      <c r="B2426" s="45" t="s">
        <v>3458</v>
      </c>
      <c r="C2426" s="45" t="s">
        <v>3494</v>
      </c>
      <c r="D2426" s="46">
        <v>5269.0</v>
      </c>
      <c r="E2426" s="46">
        <v>5315.0</v>
      </c>
    </row>
    <row r="2427">
      <c r="A2427" s="45">
        <v>46135.0</v>
      </c>
      <c r="B2427" s="45" t="s">
        <v>3458</v>
      </c>
      <c r="C2427" s="45" t="s">
        <v>3495</v>
      </c>
      <c r="D2427" s="46">
        <v>23517.0</v>
      </c>
      <c r="E2427" s="46">
        <v>23310.0</v>
      </c>
    </row>
    <row r="2428">
      <c r="A2428" s="45">
        <v>46137.0</v>
      </c>
      <c r="B2428" s="45" t="s">
        <v>3458</v>
      </c>
      <c r="C2428" s="45" t="s">
        <v>3496</v>
      </c>
      <c r="D2428" s="46">
        <v>2322.0</v>
      </c>
      <c r="E2428" s="46">
        <v>2413.0</v>
      </c>
    </row>
    <row r="2429">
      <c r="A2429" s="45">
        <v>47001.0</v>
      </c>
      <c r="B2429" s="45" t="s">
        <v>3497</v>
      </c>
      <c r="C2429" s="45" t="s">
        <v>2602</v>
      </c>
      <c r="D2429" s="46">
        <v>80234.0</v>
      </c>
      <c r="E2429" s="46">
        <v>77123.0</v>
      </c>
    </row>
    <row r="2430">
      <c r="A2430" s="45">
        <v>47003.0</v>
      </c>
      <c r="B2430" s="45" t="s">
        <v>3497</v>
      </c>
      <c r="C2430" s="45" t="s">
        <v>3396</v>
      </c>
      <c r="D2430" s="46">
        <v>53055.0</v>
      </c>
      <c r="E2430" s="46">
        <v>50237.0</v>
      </c>
    </row>
    <row r="2431">
      <c r="A2431" s="45">
        <v>47005.0</v>
      </c>
      <c r="B2431" s="45" t="s">
        <v>3497</v>
      </c>
      <c r="C2431" s="45" t="s">
        <v>2083</v>
      </c>
      <c r="D2431" s="46">
        <v>16103.0</v>
      </c>
      <c r="E2431" s="46">
        <v>15864.0</v>
      </c>
    </row>
    <row r="2432">
      <c r="A2432" s="45">
        <v>47007.0</v>
      </c>
      <c r="B2432" s="45" t="s">
        <v>3497</v>
      </c>
      <c r="C2432" s="45" t="s">
        <v>3498</v>
      </c>
      <c r="D2432" s="46">
        <v>15060.0</v>
      </c>
      <c r="E2432" s="46">
        <v>14913.0</v>
      </c>
    </row>
    <row r="2433">
      <c r="A2433" s="45">
        <v>47009.0</v>
      </c>
      <c r="B2433" s="45" t="s">
        <v>3497</v>
      </c>
      <c r="C2433" s="45" t="s">
        <v>1999</v>
      </c>
      <c r="D2433" s="46">
        <v>141456.0</v>
      </c>
      <c r="E2433" s="46">
        <v>135280.0</v>
      </c>
    </row>
    <row r="2434">
      <c r="A2434" s="45">
        <v>47011.0</v>
      </c>
      <c r="B2434" s="45" t="s">
        <v>3497</v>
      </c>
      <c r="C2434" s="45" t="s">
        <v>2085</v>
      </c>
      <c r="D2434" s="46">
        <v>111579.0</v>
      </c>
      <c r="E2434" s="46">
        <v>108620.0</v>
      </c>
    </row>
    <row r="2435">
      <c r="A2435" s="45">
        <v>47013.0</v>
      </c>
      <c r="B2435" s="45" t="s">
        <v>3497</v>
      </c>
      <c r="C2435" s="45" t="s">
        <v>2682</v>
      </c>
      <c r="D2435" s="46">
        <v>40223.0</v>
      </c>
      <c r="E2435" s="46">
        <v>39272.0</v>
      </c>
    </row>
    <row r="2436">
      <c r="A2436" s="45">
        <v>47015.0</v>
      </c>
      <c r="B2436" s="45" t="s">
        <v>3497</v>
      </c>
      <c r="C2436" s="45" t="s">
        <v>3499</v>
      </c>
      <c r="D2436" s="46">
        <v>15063.0</v>
      </c>
      <c r="E2436" s="46">
        <v>14506.0</v>
      </c>
    </row>
    <row r="2437">
      <c r="A2437" s="45">
        <v>47017.0</v>
      </c>
      <c r="B2437" s="45" t="s">
        <v>3497</v>
      </c>
      <c r="C2437" s="45" t="s">
        <v>2086</v>
      </c>
      <c r="D2437" s="46">
        <v>28860.0</v>
      </c>
      <c r="E2437" s="46">
        <v>28440.0</v>
      </c>
    </row>
    <row r="2438">
      <c r="A2438" s="45">
        <v>47019.0</v>
      </c>
      <c r="B2438" s="45" t="s">
        <v>3497</v>
      </c>
      <c r="C2438" s="45" t="s">
        <v>2684</v>
      </c>
      <c r="D2438" s="46">
        <v>57022.0</v>
      </c>
      <c r="E2438" s="46">
        <v>56356.0</v>
      </c>
    </row>
    <row r="2439">
      <c r="A2439" s="45">
        <v>47021.0</v>
      </c>
      <c r="B2439" s="45" t="s">
        <v>3497</v>
      </c>
      <c r="C2439" s="45" t="s">
        <v>3500</v>
      </c>
      <c r="D2439" s="46">
        <v>42254.0</v>
      </c>
      <c r="E2439" s="46">
        <v>41072.0</v>
      </c>
    </row>
    <row r="2440">
      <c r="A2440" s="45">
        <v>47023.0</v>
      </c>
      <c r="B2440" s="45" t="s">
        <v>3497</v>
      </c>
      <c r="C2440" s="45" t="s">
        <v>3403</v>
      </c>
      <c r="D2440" s="46">
        <v>17606.0</v>
      </c>
      <c r="E2440" s="46">
        <v>17341.0</v>
      </c>
    </row>
    <row r="2441">
      <c r="A2441" s="45">
        <v>47025.0</v>
      </c>
      <c r="B2441" s="45" t="s">
        <v>3497</v>
      </c>
      <c r="C2441" s="45" t="s">
        <v>2960</v>
      </c>
      <c r="D2441" s="46">
        <v>32654.0</v>
      </c>
      <c r="E2441" s="46">
        <v>32043.0</v>
      </c>
    </row>
    <row r="2442">
      <c r="A2442" s="45">
        <v>47027.0</v>
      </c>
      <c r="B2442" s="45" t="s">
        <v>3497</v>
      </c>
      <c r="C2442" s="45" t="s">
        <v>2008</v>
      </c>
      <c r="D2442" s="46">
        <v>7714.0</v>
      </c>
      <c r="E2442" s="46">
        <v>7581.0</v>
      </c>
    </row>
    <row r="2443">
      <c r="A2443" s="45">
        <v>47029.0</v>
      </c>
      <c r="B2443" s="45" t="s">
        <v>3497</v>
      </c>
      <c r="C2443" s="45" t="s">
        <v>3501</v>
      </c>
      <c r="D2443" s="46">
        <v>37404.0</v>
      </c>
      <c r="E2443" s="46">
        <v>35999.0</v>
      </c>
    </row>
    <row r="2444">
      <c r="A2444" s="45">
        <v>47031.0</v>
      </c>
      <c r="B2444" s="45" t="s">
        <v>3497</v>
      </c>
      <c r="C2444" s="45" t="s">
        <v>2010</v>
      </c>
      <c r="D2444" s="46">
        <v>60633.0</v>
      </c>
      <c r="E2444" s="46">
        <v>57889.0</v>
      </c>
    </row>
    <row r="2445">
      <c r="A2445" s="45">
        <v>47033.0</v>
      </c>
      <c r="B2445" s="45" t="s">
        <v>3497</v>
      </c>
      <c r="C2445" s="45" t="s">
        <v>3502</v>
      </c>
      <c r="D2445" s="46">
        <v>13982.0</v>
      </c>
      <c r="E2445" s="46">
        <v>13911.0</v>
      </c>
    </row>
    <row r="2446">
      <c r="A2446" s="45">
        <v>47035.0</v>
      </c>
      <c r="B2446" s="45" t="s">
        <v>3497</v>
      </c>
      <c r="C2446" s="45" t="s">
        <v>2468</v>
      </c>
      <c r="D2446" s="46">
        <v>64760.0</v>
      </c>
      <c r="E2446" s="46">
        <v>61145.0</v>
      </c>
    </row>
    <row r="2447">
      <c r="A2447" s="45">
        <v>47037.0</v>
      </c>
      <c r="B2447" s="45" t="s">
        <v>3497</v>
      </c>
      <c r="C2447" s="45" t="s">
        <v>3220</v>
      </c>
      <c r="D2447" s="46">
        <v>712334.0</v>
      </c>
      <c r="E2447" s="46">
        <v>715884.0</v>
      </c>
    </row>
    <row r="2448">
      <c r="A2448" s="45">
        <v>47039.0</v>
      </c>
      <c r="B2448" s="45" t="s">
        <v>3497</v>
      </c>
      <c r="C2448" s="45" t="s">
        <v>2346</v>
      </c>
      <c r="D2448" s="46">
        <v>11656.0</v>
      </c>
      <c r="E2448" s="46">
        <v>11435.0</v>
      </c>
    </row>
    <row r="2449">
      <c r="A2449" s="45">
        <v>47041.0</v>
      </c>
      <c r="B2449" s="45" t="s">
        <v>3497</v>
      </c>
      <c r="C2449" s="45" t="s">
        <v>2019</v>
      </c>
      <c r="D2449" s="46">
        <v>21225.0</v>
      </c>
      <c r="E2449" s="46">
        <v>20080.0</v>
      </c>
    </row>
    <row r="2450">
      <c r="A2450" s="45">
        <v>47043.0</v>
      </c>
      <c r="B2450" s="45" t="s">
        <v>3497</v>
      </c>
      <c r="C2450" s="45" t="s">
        <v>3503</v>
      </c>
      <c r="D2450" s="46">
        <v>56729.0</v>
      </c>
      <c r="E2450" s="46">
        <v>54315.0</v>
      </c>
    </row>
    <row r="2451">
      <c r="A2451" s="45">
        <v>47045.0</v>
      </c>
      <c r="B2451" s="45" t="s">
        <v>3497</v>
      </c>
      <c r="C2451" s="45" t="s">
        <v>3504</v>
      </c>
      <c r="D2451" s="46">
        <v>36498.0</v>
      </c>
      <c r="E2451" s="46">
        <v>36801.0</v>
      </c>
    </row>
    <row r="2452">
      <c r="A2452" s="45">
        <v>47047.0</v>
      </c>
      <c r="B2452" s="45" t="s">
        <v>3497</v>
      </c>
      <c r="C2452" s="45" t="s">
        <v>2023</v>
      </c>
      <c r="D2452" s="46">
        <v>44175.0</v>
      </c>
      <c r="E2452" s="46">
        <v>41990.0</v>
      </c>
    </row>
    <row r="2453">
      <c r="A2453" s="45">
        <v>47049.0</v>
      </c>
      <c r="B2453" s="45" t="s">
        <v>3497</v>
      </c>
      <c r="C2453" s="45" t="s">
        <v>3505</v>
      </c>
      <c r="D2453" s="46">
        <v>19696.0</v>
      </c>
      <c r="E2453" s="46">
        <v>18489.0</v>
      </c>
    </row>
    <row r="2454">
      <c r="A2454" s="45">
        <v>47051.0</v>
      </c>
      <c r="B2454" s="45" t="s">
        <v>3497</v>
      </c>
      <c r="C2454" s="45" t="s">
        <v>2024</v>
      </c>
      <c r="D2454" s="46">
        <v>44654.0</v>
      </c>
      <c r="E2454" s="46">
        <v>42774.0</v>
      </c>
    </row>
    <row r="2455">
      <c r="A2455" s="45">
        <v>47053.0</v>
      </c>
      <c r="B2455" s="45" t="s">
        <v>3497</v>
      </c>
      <c r="C2455" s="45" t="s">
        <v>2523</v>
      </c>
      <c r="D2455" s="46">
        <v>51045.0</v>
      </c>
      <c r="E2455" s="46">
        <v>50429.0</v>
      </c>
    </row>
    <row r="2456">
      <c r="A2456" s="45">
        <v>47055.0</v>
      </c>
      <c r="B2456" s="45" t="s">
        <v>3497</v>
      </c>
      <c r="C2456" s="45" t="s">
        <v>3506</v>
      </c>
      <c r="D2456" s="46">
        <v>30721.0</v>
      </c>
      <c r="E2456" s="46">
        <v>30346.0</v>
      </c>
    </row>
    <row r="2457">
      <c r="A2457" s="45">
        <v>47057.0</v>
      </c>
      <c r="B2457" s="45" t="s">
        <v>3497</v>
      </c>
      <c r="C2457" s="45" t="s">
        <v>3507</v>
      </c>
      <c r="D2457" s="46">
        <v>24681.0</v>
      </c>
      <c r="E2457" s="46">
        <v>23527.0</v>
      </c>
    </row>
    <row r="2458">
      <c r="A2458" s="45">
        <v>47059.0</v>
      </c>
      <c r="B2458" s="45" t="s">
        <v>3497</v>
      </c>
      <c r="C2458" s="45" t="s">
        <v>2026</v>
      </c>
      <c r="D2458" s="46">
        <v>72577.0</v>
      </c>
      <c r="E2458" s="46">
        <v>70152.0</v>
      </c>
    </row>
    <row r="2459">
      <c r="A2459" s="45">
        <v>47061.0</v>
      </c>
      <c r="B2459" s="45" t="s">
        <v>3497</v>
      </c>
      <c r="C2459" s="45" t="s">
        <v>2475</v>
      </c>
      <c r="D2459" s="46">
        <v>13955.0</v>
      </c>
      <c r="E2459" s="46">
        <v>13529.0</v>
      </c>
    </row>
    <row r="2460">
      <c r="A2460" s="45">
        <v>47063.0</v>
      </c>
      <c r="B2460" s="45" t="s">
        <v>3497</v>
      </c>
      <c r="C2460" s="45" t="s">
        <v>3508</v>
      </c>
      <c r="D2460" s="46">
        <v>66216.0</v>
      </c>
      <c r="E2460" s="46">
        <v>64499.0</v>
      </c>
    </row>
    <row r="2461">
      <c r="A2461" s="45">
        <v>47065.0</v>
      </c>
      <c r="B2461" s="45" t="s">
        <v>3497</v>
      </c>
      <c r="C2461" s="45" t="s">
        <v>2282</v>
      </c>
      <c r="D2461" s="46">
        <v>379864.0</v>
      </c>
      <c r="E2461" s="46">
        <v>366207.0</v>
      </c>
    </row>
    <row r="2462">
      <c r="A2462" s="45">
        <v>47067.0</v>
      </c>
      <c r="B2462" s="45" t="s">
        <v>3497</v>
      </c>
      <c r="C2462" s="45" t="s">
        <v>2366</v>
      </c>
      <c r="D2462" s="46">
        <v>6956.0</v>
      </c>
      <c r="E2462" s="46">
        <v>6662.0</v>
      </c>
    </row>
    <row r="2463">
      <c r="A2463" s="45">
        <v>47069.0</v>
      </c>
      <c r="B2463" s="45" t="s">
        <v>3497</v>
      </c>
      <c r="C2463" s="45" t="s">
        <v>3509</v>
      </c>
      <c r="D2463" s="46">
        <v>25567.0</v>
      </c>
      <c r="E2463" s="46">
        <v>25462.0</v>
      </c>
    </row>
    <row r="2464">
      <c r="A2464" s="45">
        <v>47071.0</v>
      </c>
      <c r="B2464" s="45" t="s">
        <v>3497</v>
      </c>
      <c r="C2464" s="45" t="s">
        <v>2476</v>
      </c>
      <c r="D2464" s="46">
        <v>27229.0</v>
      </c>
      <c r="E2464" s="46">
        <v>26831.0</v>
      </c>
    </row>
    <row r="2465">
      <c r="A2465" s="45">
        <v>47073.0</v>
      </c>
      <c r="B2465" s="45" t="s">
        <v>3497</v>
      </c>
      <c r="C2465" s="45" t="s">
        <v>3510</v>
      </c>
      <c r="D2465" s="46">
        <v>58600.0</v>
      </c>
      <c r="E2465" s="46">
        <v>56721.0</v>
      </c>
    </row>
    <row r="2466">
      <c r="A2466" s="45">
        <v>47075.0</v>
      </c>
      <c r="B2466" s="45" t="s">
        <v>3497</v>
      </c>
      <c r="C2466" s="45" t="s">
        <v>3231</v>
      </c>
      <c r="D2466" s="46">
        <v>17328.0</v>
      </c>
      <c r="E2466" s="46">
        <v>17864.0</v>
      </c>
    </row>
    <row r="2467">
      <c r="A2467" s="45">
        <v>47077.0</v>
      </c>
      <c r="B2467" s="45" t="s">
        <v>3497</v>
      </c>
      <c r="C2467" s="45" t="s">
        <v>2477</v>
      </c>
      <c r="D2467" s="46">
        <v>28070.0</v>
      </c>
      <c r="E2467" s="46">
        <v>27842.0</v>
      </c>
    </row>
    <row r="2468">
      <c r="A2468" s="45">
        <v>47079.0</v>
      </c>
      <c r="B2468" s="45" t="s">
        <v>3497</v>
      </c>
      <c r="C2468" s="45" t="s">
        <v>2028</v>
      </c>
      <c r="D2468" s="46">
        <v>32554.0</v>
      </c>
      <c r="E2468" s="46">
        <v>32199.0</v>
      </c>
    </row>
    <row r="2469">
      <c r="A2469" s="45">
        <v>47081.0</v>
      </c>
      <c r="B2469" s="45" t="s">
        <v>3497</v>
      </c>
      <c r="C2469" s="45" t="s">
        <v>2696</v>
      </c>
      <c r="D2469" s="46">
        <v>25826.0</v>
      </c>
      <c r="E2469" s="46">
        <v>24925.0</v>
      </c>
    </row>
    <row r="2470">
      <c r="A2470" s="45">
        <v>47083.0</v>
      </c>
      <c r="B2470" s="45" t="s">
        <v>3497</v>
      </c>
      <c r="C2470" s="45" t="s">
        <v>2029</v>
      </c>
      <c r="D2470" s="46">
        <v>8393.0</v>
      </c>
      <c r="E2470" s="46">
        <v>8283.0</v>
      </c>
    </row>
    <row r="2471">
      <c r="A2471" s="45">
        <v>47085.0</v>
      </c>
      <c r="B2471" s="45" t="s">
        <v>3497</v>
      </c>
      <c r="C2471" s="45" t="s">
        <v>2967</v>
      </c>
      <c r="D2471" s="46">
        <v>19209.0</v>
      </c>
      <c r="E2471" s="46">
        <v>18990.0</v>
      </c>
    </row>
    <row r="2472">
      <c r="A2472" s="45">
        <v>47087.0</v>
      </c>
      <c r="B2472" s="45" t="s">
        <v>3497</v>
      </c>
      <c r="C2472" s="45" t="s">
        <v>2030</v>
      </c>
      <c r="D2472" s="46">
        <v>12363.0</v>
      </c>
      <c r="E2472" s="46">
        <v>11617.0</v>
      </c>
    </row>
    <row r="2473">
      <c r="A2473" s="45">
        <v>47089.0</v>
      </c>
      <c r="B2473" s="45" t="s">
        <v>3497</v>
      </c>
      <c r="C2473" s="45" t="s">
        <v>2031</v>
      </c>
      <c r="D2473" s="46">
        <v>57838.0</v>
      </c>
      <c r="E2473" s="46">
        <v>54683.0</v>
      </c>
    </row>
    <row r="2474">
      <c r="A2474" s="45">
        <v>47091.0</v>
      </c>
      <c r="B2474" s="45" t="s">
        <v>3497</v>
      </c>
      <c r="C2474" s="45" t="s">
        <v>2107</v>
      </c>
      <c r="D2474" s="46">
        <v>18375.0</v>
      </c>
      <c r="E2474" s="46">
        <v>17948.0</v>
      </c>
    </row>
    <row r="2475">
      <c r="A2475" s="45">
        <v>47093.0</v>
      </c>
      <c r="B2475" s="45" t="s">
        <v>3497</v>
      </c>
      <c r="C2475" s="45" t="s">
        <v>2484</v>
      </c>
      <c r="D2475" s="46">
        <v>500669.0</v>
      </c>
      <c r="E2475" s="46">
        <v>478971.0</v>
      </c>
    </row>
    <row r="2476">
      <c r="A2476" s="45">
        <v>47095.0</v>
      </c>
      <c r="B2476" s="45" t="s">
        <v>3497</v>
      </c>
      <c r="C2476" s="45" t="s">
        <v>2154</v>
      </c>
      <c r="D2476" s="46">
        <v>6347.0</v>
      </c>
      <c r="E2476" s="46">
        <v>7005.0</v>
      </c>
    </row>
    <row r="2477">
      <c r="A2477" s="45">
        <v>47097.0</v>
      </c>
      <c r="B2477" s="45" t="s">
        <v>3497</v>
      </c>
      <c r="C2477" s="45" t="s">
        <v>2033</v>
      </c>
      <c r="D2477" s="46">
        <v>24610.0</v>
      </c>
      <c r="E2477" s="46">
        <v>25143.0</v>
      </c>
    </row>
    <row r="2478">
      <c r="A2478" s="45">
        <v>47099.0</v>
      </c>
      <c r="B2478" s="45" t="s">
        <v>3497</v>
      </c>
      <c r="C2478" s="45" t="s">
        <v>2034</v>
      </c>
      <c r="D2478" s="46">
        <v>46114.0</v>
      </c>
      <c r="E2478" s="46">
        <v>44159.0</v>
      </c>
    </row>
    <row r="2479">
      <c r="A2479" s="45">
        <v>47101.0</v>
      </c>
      <c r="B2479" s="45" t="s">
        <v>3497</v>
      </c>
      <c r="C2479" s="45" t="s">
        <v>2447</v>
      </c>
      <c r="D2479" s="46">
        <v>13066.0</v>
      </c>
      <c r="E2479" s="46">
        <v>12582.0</v>
      </c>
    </row>
    <row r="2480">
      <c r="A2480" s="45">
        <v>47103.0</v>
      </c>
      <c r="B2480" s="45" t="s">
        <v>3497</v>
      </c>
      <c r="C2480" s="45" t="s">
        <v>2109</v>
      </c>
      <c r="D2480" s="46">
        <v>36169.0</v>
      </c>
      <c r="E2480" s="46">
        <v>35319.0</v>
      </c>
    </row>
    <row r="2481">
      <c r="A2481" s="45">
        <v>47105.0</v>
      </c>
      <c r="B2481" s="45" t="s">
        <v>3497</v>
      </c>
      <c r="C2481" s="45" t="s">
        <v>3511</v>
      </c>
      <c r="D2481" s="46">
        <v>60591.0</v>
      </c>
      <c r="E2481" s="46">
        <v>54886.0</v>
      </c>
    </row>
    <row r="2482">
      <c r="A2482" s="45">
        <v>47107.0</v>
      </c>
      <c r="B2482" s="45" t="s">
        <v>3497</v>
      </c>
      <c r="C2482" s="45" t="s">
        <v>3512</v>
      </c>
      <c r="D2482" s="46">
        <v>55678.0</v>
      </c>
      <c r="E2482" s="46">
        <v>53276.0</v>
      </c>
    </row>
    <row r="2483">
      <c r="A2483" s="45">
        <v>47109.0</v>
      </c>
      <c r="B2483" s="45" t="s">
        <v>3497</v>
      </c>
      <c r="C2483" s="45" t="s">
        <v>3513</v>
      </c>
      <c r="D2483" s="46">
        <v>26163.0</v>
      </c>
      <c r="E2483" s="46">
        <v>25866.0</v>
      </c>
    </row>
    <row r="2484">
      <c r="A2484" s="45">
        <v>47111.0</v>
      </c>
      <c r="B2484" s="45" t="s">
        <v>3497</v>
      </c>
      <c r="C2484" s="45" t="s">
        <v>2038</v>
      </c>
      <c r="D2484" s="46">
        <v>26793.0</v>
      </c>
      <c r="E2484" s="46">
        <v>25216.0</v>
      </c>
    </row>
    <row r="2485">
      <c r="A2485" s="45">
        <v>47113.0</v>
      </c>
      <c r="B2485" s="45" t="s">
        <v>3497</v>
      </c>
      <c r="C2485" s="45" t="s">
        <v>2039</v>
      </c>
      <c r="D2485" s="46">
        <v>99193.0</v>
      </c>
      <c r="E2485" s="46">
        <v>98823.0</v>
      </c>
    </row>
    <row r="2486">
      <c r="A2486" s="45">
        <v>47115.0</v>
      </c>
      <c r="B2486" s="45" t="s">
        <v>3497</v>
      </c>
      <c r="C2486" s="45" t="s">
        <v>2041</v>
      </c>
      <c r="D2486" s="46">
        <v>29382.0</v>
      </c>
      <c r="E2486" s="46">
        <v>28837.0</v>
      </c>
    </row>
    <row r="2487">
      <c r="A2487" s="45">
        <v>47117.0</v>
      </c>
      <c r="B2487" s="45" t="s">
        <v>3497</v>
      </c>
      <c r="C2487" s="45" t="s">
        <v>2042</v>
      </c>
      <c r="D2487" s="46">
        <v>36961.0</v>
      </c>
      <c r="E2487" s="46">
        <v>34318.0</v>
      </c>
    </row>
    <row r="2488">
      <c r="A2488" s="45">
        <v>47119.0</v>
      </c>
      <c r="B2488" s="45" t="s">
        <v>3497</v>
      </c>
      <c r="C2488" s="45" t="s">
        <v>3514</v>
      </c>
      <c r="D2488" s="46">
        <v>110760.0</v>
      </c>
      <c r="E2488" s="46">
        <v>100974.0</v>
      </c>
    </row>
    <row r="2489">
      <c r="A2489" s="45">
        <v>47121.0</v>
      </c>
      <c r="B2489" s="45" t="s">
        <v>3497</v>
      </c>
      <c r="C2489" s="45" t="s">
        <v>3318</v>
      </c>
      <c r="D2489" s="46">
        <v>13691.0</v>
      </c>
      <c r="E2489" s="46">
        <v>12758.0</v>
      </c>
    </row>
    <row r="2490">
      <c r="A2490" s="45">
        <v>47123.0</v>
      </c>
      <c r="B2490" s="45" t="s">
        <v>3497</v>
      </c>
      <c r="C2490" s="45" t="s">
        <v>2044</v>
      </c>
      <c r="D2490" s="46">
        <v>48594.0</v>
      </c>
      <c r="E2490" s="46">
        <v>46250.0</v>
      </c>
    </row>
    <row r="2491">
      <c r="A2491" s="45">
        <v>47125.0</v>
      </c>
      <c r="B2491" s="45" t="s">
        <v>3497</v>
      </c>
      <c r="C2491" s="45" t="s">
        <v>2045</v>
      </c>
      <c r="D2491" s="46">
        <v>239872.0</v>
      </c>
      <c r="E2491" s="46">
        <v>220069.0</v>
      </c>
    </row>
    <row r="2492">
      <c r="A2492" s="45">
        <v>47127.0</v>
      </c>
      <c r="B2492" s="45" t="s">
        <v>3497</v>
      </c>
      <c r="C2492" s="45" t="s">
        <v>3240</v>
      </c>
      <c r="D2492" s="46">
        <v>6748.0</v>
      </c>
      <c r="E2492" s="46">
        <v>6461.0</v>
      </c>
    </row>
    <row r="2493">
      <c r="A2493" s="45">
        <v>47129.0</v>
      </c>
      <c r="B2493" s="45" t="s">
        <v>3497</v>
      </c>
      <c r="C2493" s="45" t="s">
        <v>2046</v>
      </c>
      <c r="D2493" s="46">
        <v>21573.0</v>
      </c>
      <c r="E2493" s="46">
        <v>21035.0</v>
      </c>
    </row>
    <row r="2494">
      <c r="A2494" s="45">
        <v>47131.0</v>
      </c>
      <c r="B2494" s="45" t="s">
        <v>3497</v>
      </c>
      <c r="C2494" s="45" t="s">
        <v>3515</v>
      </c>
      <c r="D2494" s="46">
        <v>30411.0</v>
      </c>
      <c r="E2494" s="46">
        <v>30787.0</v>
      </c>
    </row>
    <row r="2495">
      <c r="A2495" s="45">
        <v>47133.0</v>
      </c>
      <c r="B2495" s="45" t="s">
        <v>3497</v>
      </c>
      <c r="C2495" s="45" t="s">
        <v>3516</v>
      </c>
      <c r="D2495" s="46">
        <v>23327.0</v>
      </c>
      <c r="E2495" s="46">
        <v>22511.0</v>
      </c>
    </row>
    <row r="2496">
      <c r="A2496" s="45">
        <v>47135.0</v>
      </c>
      <c r="B2496" s="45" t="s">
        <v>3497</v>
      </c>
      <c r="C2496" s="45" t="s">
        <v>2047</v>
      </c>
      <c r="D2496" s="46">
        <v>8891.0</v>
      </c>
      <c r="E2496" s="46">
        <v>8366.0</v>
      </c>
    </row>
    <row r="2497">
      <c r="A2497" s="45">
        <v>47137.0</v>
      </c>
      <c r="B2497" s="45" t="s">
        <v>3497</v>
      </c>
      <c r="C2497" s="45" t="s">
        <v>3517</v>
      </c>
      <c r="D2497" s="46">
        <v>5128.0</v>
      </c>
      <c r="E2497" s="46">
        <v>5001.0</v>
      </c>
    </row>
    <row r="2498">
      <c r="A2498" s="45">
        <v>47139.0</v>
      </c>
      <c r="B2498" s="45" t="s">
        <v>3497</v>
      </c>
      <c r="C2498" s="45" t="s">
        <v>2120</v>
      </c>
      <c r="D2498" s="46">
        <v>18033.0</v>
      </c>
      <c r="E2498" s="46">
        <v>17544.0</v>
      </c>
    </row>
    <row r="2499">
      <c r="A2499" s="45">
        <v>47141.0</v>
      </c>
      <c r="B2499" s="45" t="s">
        <v>3497</v>
      </c>
      <c r="C2499" s="45" t="s">
        <v>2303</v>
      </c>
      <c r="D2499" s="46">
        <v>83844.0</v>
      </c>
      <c r="E2499" s="46">
        <v>79854.0</v>
      </c>
    </row>
    <row r="2500">
      <c r="A2500" s="45">
        <v>47143.0</v>
      </c>
      <c r="B2500" s="45" t="s">
        <v>3497</v>
      </c>
      <c r="C2500" s="45" t="s">
        <v>3518</v>
      </c>
      <c r="D2500" s="46">
        <v>33924.0</v>
      </c>
      <c r="E2500" s="46">
        <v>32870.0</v>
      </c>
    </row>
    <row r="2501">
      <c r="A2501" s="45">
        <v>47145.0</v>
      </c>
      <c r="B2501" s="45" t="s">
        <v>3497</v>
      </c>
      <c r="C2501" s="45" t="s">
        <v>3519</v>
      </c>
      <c r="D2501" s="46">
        <v>56096.0</v>
      </c>
      <c r="E2501" s="46">
        <v>53404.0</v>
      </c>
    </row>
    <row r="2502">
      <c r="A2502" s="45">
        <v>47147.0</v>
      </c>
      <c r="B2502" s="45" t="s">
        <v>3497</v>
      </c>
      <c r="C2502" s="45" t="s">
        <v>2717</v>
      </c>
      <c r="D2502" s="46">
        <v>76776.0</v>
      </c>
      <c r="E2502" s="46">
        <v>72803.0</v>
      </c>
    </row>
    <row r="2503">
      <c r="A2503" s="45">
        <v>47149.0</v>
      </c>
      <c r="B2503" s="45" t="s">
        <v>3497</v>
      </c>
      <c r="C2503" s="45" t="s">
        <v>3252</v>
      </c>
      <c r="D2503" s="46">
        <v>367101.0</v>
      </c>
      <c r="E2503" s="46">
        <v>341486.0</v>
      </c>
    </row>
    <row r="2504">
      <c r="A2504" s="45">
        <v>47151.0</v>
      </c>
      <c r="B2504" s="45" t="s">
        <v>3497</v>
      </c>
      <c r="C2504" s="45" t="s">
        <v>2126</v>
      </c>
      <c r="D2504" s="46">
        <v>22171.0</v>
      </c>
      <c r="E2504" s="46">
        <v>21850.0</v>
      </c>
    </row>
    <row r="2505">
      <c r="A2505" s="45">
        <v>47153.0</v>
      </c>
      <c r="B2505" s="45" t="s">
        <v>3497</v>
      </c>
      <c r="C2505" s="45" t="s">
        <v>3520</v>
      </c>
      <c r="D2505" s="46">
        <v>17161.0</v>
      </c>
      <c r="E2505" s="46">
        <v>15826.0</v>
      </c>
    </row>
    <row r="2506">
      <c r="A2506" s="45">
        <v>47155.0</v>
      </c>
      <c r="B2506" s="45" t="s">
        <v>3497</v>
      </c>
      <c r="C2506" s="45" t="s">
        <v>2129</v>
      </c>
      <c r="D2506" s="46">
        <v>99415.0</v>
      </c>
      <c r="E2506" s="46">
        <v>98380.0</v>
      </c>
    </row>
    <row r="2507">
      <c r="A2507" s="45">
        <v>47157.0</v>
      </c>
      <c r="B2507" s="45" t="s">
        <v>3497</v>
      </c>
      <c r="C2507" s="45" t="s">
        <v>2053</v>
      </c>
      <c r="D2507" s="46">
        <v>910042.0</v>
      </c>
      <c r="E2507" s="46">
        <v>929744.0</v>
      </c>
    </row>
    <row r="2508">
      <c r="A2508" s="45">
        <v>47159.0</v>
      </c>
      <c r="B2508" s="45" t="s">
        <v>3497</v>
      </c>
      <c r="C2508" s="45" t="s">
        <v>2657</v>
      </c>
      <c r="D2508" s="46">
        <v>20538.0</v>
      </c>
      <c r="E2508" s="46">
        <v>19904.0</v>
      </c>
    </row>
    <row r="2509">
      <c r="A2509" s="45">
        <v>47161.0</v>
      </c>
      <c r="B2509" s="45" t="s">
        <v>3497</v>
      </c>
      <c r="C2509" s="45" t="s">
        <v>2399</v>
      </c>
      <c r="D2509" s="46">
        <v>14222.0</v>
      </c>
      <c r="E2509" s="46">
        <v>13657.0</v>
      </c>
    </row>
    <row r="2510">
      <c r="A2510" s="45">
        <v>47163.0</v>
      </c>
      <c r="B2510" s="45" t="s">
        <v>3497</v>
      </c>
      <c r="C2510" s="45" t="s">
        <v>2545</v>
      </c>
      <c r="D2510" s="46">
        <v>162135.0</v>
      </c>
      <c r="E2510" s="46">
        <v>158163.0</v>
      </c>
    </row>
    <row r="2511">
      <c r="A2511" s="45">
        <v>47165.0</v>
      </c>
      <c r="B2511" s="45" t="s">
        <v>3497</v>
      </c>
      <c r="C2511" s="45" t="s">
        <v>2661</v>
      </c>
      <c r="D2511" s="46">
        <v>207994.0</v>
      </c>
      <c r="E2511" s="46">
        <v>196281.0</v>
      </c>
    </row>
    <row r="2512">
      <c r="A2512" s="45">
        <v>47167.0</v>
      </c>
      <c r="B2512" s="45" t="s">
        <v>3497</v>
      </c>
      <c r="C2512" s="45" t="s">
        <v>2548</v>
      </c>
      <c r="D2512" s="46">
        <v>62015.0</v>
      </c>
      <c r="E2512" s="46">
        <v>60970.0</v>
      </c>
    </row>
    <row r="2513">
      <c r="A2513" s="45">
        <v>47169.0</v>
      </c>
      <c r="B2513" s="45" t="s">
        <v>3497</v>
      </c>
      <c r="C2513" s="45" t="s">
        <v>3521</v>
      </c>
      <c r="D2513" s="46">
        <v>12271.0</v>
      </c>
      <c r="E2513" s="46">
        <v>11615.0</v>
      </c>
    </row>
    <row r="2514">
      <c r="A2514" s="45">
        <v>47171.0</v>
      </c>
      <c r="B2514" s="45" t="s">
        <v>3497</v>
      </c>
      <c r="C2514" s="45" t="s">
        <v>3522</v>
      </c>
      <c r="D2514" s="46">
        <v>17756.0</v>
      </c>
      <c r="E2514" s="46">
        <v>17928.0</v>
      </c>
    </row>
    <row r="2515">
      <c r="A2515" s="45">
        <v>47173.0</v>
      </c>
      <c r="B2515" s="45" t="s">
        <v>3497</v>
      </c>
      <c r="C2515" s="45" t="s">
        <v>2132</v>
      </c>
      <c r="D2515" s="46">
        <v>20741.0</v>
      </c>
      <c r="E2515" s="46">
        <v>19802.0</v>
      </c>
    </row>
    <row r="2516">
      <c r="A2516" s="45">
        <v>47175.0</v>
      </c>
      <c r="B2516" s="45" t="s">
        <v>3497</v>
      </c>
      <c r="C2516" s="45" t="s">
        <v>2133</v>
      </c>
      <c r="D2516" s="46">
        <v>6493.0</v>
      </c>
      <c r="E2516" s="46">
        <v>6168.0</v>
      </c>
    </row>
    <row r="2517">
      <c r="A2517" s="45">
        <v>47177.0</v>
      </c>
      <c r="B2517" s="45" t="s">
        <v>3497</v>
      </c>
      <c r="C2517" s="45" t="s">
        <v>2415</v>
      </c>
      <c r="D2517" s="46">
        <v>42638.0</v>
      </c>
      <c r="E2517" s="46">
        <v>40953.0</v>
      </c>
    </row>
    <row r="2518">
      <c r="A2518" s="45">
        <v>47179.0</v>
      </c>
      <c r="B2518" s="45" t="s">
        <v>3497</v>
      </c>
      <c r="C2518" s="45" t="s">
        <v>2059</v>
      </c>
      <c r="D2518" s="46">
        <v>138420.0</v>
      </c>
      <c r="E2518" s="46">
        <v>133001.0</v>
      </c>
    </row>
    <row r="2519">
      <c r="A2519" s="45">
        <v>47181.0</v>
      </c>
      <c r="B2519" s="45" t="s">
        <v>3497</v>
      </c>
      <c r="C2519" s="45" t="s">
        <v>2416</v>
      </c>
      <c r="D2519" s="46">
        <v>16066.0</v>
      </c>
      <c r="E2519" s="46">
        <v>16232.0</v>
      </c>
    </row>
    <row r="2520">
      <c r="A2520" s="45">
        <v>47183.0</v>
      </c>
      <c r="B2520" s="45" t="s">
        <v>3497</v>
      </c>
      <c r="C2520" s="45" t="s">
        <v>3523</v>
      </c>
      <c r="D2520" s="46">
        <v>33084.0</v>
      </c>
      <c r="E2520" s="46">
        <v>32902.0</v>
      </c>
    </row>
    <row r="2521">
      <c r="A2521" s="45">
        <v>47185.0</v>
      </c>
      <c r="B2521" s="45" t="s">
        <v>3497</v>
      </c>
      <c r="C2521" s="45" t="s">
        <v>2134</v>
      </c>
      <c r="D2521" s="46">
        <v>28692.0</v>
      </c>
      <c r="E2521" s="46">
        <v>27351.0</v>
      </c>
    </row>
    <row r="2522">
      <c r="A2522" s="45">
        <v>47187.0</v>
      </c>
      <c r="B2522" s="45" t="s">
        <v>3497</v>
      </c>
      <c r="C2522" s="45" t="s">
        <v>2510</v>
      </c>
      <c r="D2522" s="46">
        <v>264460.0</v>
      </c>
      <c r="E2522" s="46">
        <v>247726.0</v>
      </c>
    </row>
    <row r="2523">
      <c r="A2523" s="45">
        <v>47189.0</v>
      </c>
      <c r="B2523" s="45" t="s">
        <v>3497</v>
      </c>
      <c r="C2523" s="45" t="s">
        <v>2666</v>
      </c>
      <c r="D2523" s="46">
        <v>163674.0</v>
      </c>
      <c r="E2523" s="46">
        <v>147737.0</v>
      </c>
    </row>
    <row r="2524">
      <c r="A2524" s="45">
        <v>48001.0</v>
      </c>
      <c r="B2524" s="45" t="s">
        <v>3524</v>
      </c>
      <c r="C2524" s="45" t="s">
        <v>2602</v>
      </c>
      <c r="D2524" s="46">
        <v>57736.0</v>
      </c>
      <c r="E2524" s="46">
        <v>57922.0</v>
      </c>
    </row>
    <row r="2525">
      <c r="A2525" s="45">
        <v>48003.0</v>
      </c>
      <c r="B2525" s="45" t="s">
        <v>3524</v>
      </c>
      <c r="C2525" s="45" t="s">
        <v>3525</v>
      </c>
      <c r="D2525" s="46">
        <v>18664.0</v>
      </c>
      <c r="E2525" s="46">
        <v>18610.0</v>
      </c>
    </row>
    <row r="2526">
      <c r="A2526" s="45">
        <v>48005.0</v>
      </c>
      <c r="B2526" s="45" t="s">
        <v>3524</v>
      </c>
      <c r="C2526" s="45" t="s">
        <v>3526</v>
      </c>
      <c r="D2526" s="46">
        <v>87319.0</v>
      </c>
      <c r="E2526" s="46">
        <v>86395.0</v>
      </c>
    </row>
    <row r="2527">
      <c r="A2527" s="45">
        <v>48007.0</v>
      </c>
      <c r="B2527" s="45" t="s">
        <v>3524</v>
      </c>
      <c r="C2527" s="45" t="s">
        <v>3527</v>
      </c>
      <c r="D2527" s="46">
        <v>25374.0</v>
      </c>
      <c r="E2527" s="46">
        <v>23830.0</v>
      </c>
    </row>
    <row r="2528">
      <c r="A2528" s="45">
        <v>48009.0</v>
      </c>
      <c r="B2528" s="45" t="s">
        <v>3524</v>
      </c>
      <c r="C2528" s="45" t="s">
        <v>3528</v>
      </c>
      <c r="D2528" s="46">
        <v>9029.0</v>
      </c>
      <c r="E2528" s="46">
        <v>8560.0</v>
      </c>
    </row>
    <row r="2529">
      <c r="A2529" s="45">
        <v>48011.0</v>
      </c>
      <c r="B2529" s="45" t="s">
        <v>3524</v>
      </c>
      <c r="C2529" s="45" t="s">
        <v>3395</v>
      </c>
      <c r="D2529" s="46">
        <v>1832.0</v>
      </c>
      <c r="E2529" s="46">
        <v>1848.0</v>
      </c>
    </row>
    <row r="2530">
      <c r="A2530" s="45">
        <v>48013.0</v>
      </c>
      <c r="B2530" s="45" t="s">
        <v>3524</v>
      </c>
      <c r="C2530" s="45" t="s">
        <v>3529</v>
      </c>
      <c r="D2530" s="46">
        <v>51784.0</v>
      </c>
      <c r="E2530" s="46">
        <v>48981.0</v>
      </c>
    </row>
    <row r="2531">
      <c r="A2531" s="45">
        <v>48015.0</v>
      </c>
      <c r="B2531" s="45" t="s">
        <v>3524</v>
      </c>
      <c r="C2531" s="45" t="s">
        <v>3530</v>
      </c>
      <c r="D2531" s="46">
        <v>31677.0</v>
      </c>
      <c r="E2531" s="46">
        <v>30167.0</v>
      </c>
    </row>
    <row r="2532">
      <c r="A2532" s="45">
        <v>48017.0</v>
      </c>
      <c r="B2532" s="45" t="s">
        <v>3524</v>
      </c>
      <c r="C2532" s="45" t="s">
        <v>3531</v>
      </c>
      <c r="D2532" s="46">
        <v>6672.0</v>
      </c>
      <c r="E2532" s="46">
        <v>6904.0</v>
      </c>
    </row>
    <row r="2533">
      <c r="A2533" s="45">
        <v>48019.0</v>
      </c>
      <c r="B2533" s="45" t="s">
        <v>3524</v>
      </c>
      <c r="C2533" s="45" t="s">
        <v>3532</v>
      </c>
      <c r="D2533" s="46">
        <v>22637.0</v>
      </c>
      <c r="E2533" s="46">
        <v>20851.0</v>
      </c>
    </row>
    <row r="2534">
      <c r="A2534" s="45">
        <v>48021.0</v>
      </c>
      <c r="B2534" s="45" t="s">
        <v>3524</v>
      </c>
      <c r="C2534" s="45" t="s">
        <v>3533</v>
      </c>
      <c r="D2534" s="46">
        <v>110778.0</v>
      </c>
      <c r="E2534" s="46">
        <v>97216.0</v>
      </c>
    </row>
    <row r="2535">
      <c r="A2535" s="45">
        <v>48023.0</v>
      </c>
      <c r="B2535" s="45" t="s">
        <v>3524</v>
      </c>
      <c r="C2535" s="45" t="s">
        <v>3534</v>
      </c>
      <c r="D2535" s="46">
        <v>3463.0</v>
      </c>
      <c r="E2535" s="46">
        <v>3465.0</v>
      </c>
    </row>
    <row r="2536">
      <c r="A2536" s="45">
        <v>48025.0</v>
      </c>
      <c r="B2536" s="45" t="s">
        <v>3524</v>
      </c>
      <c r="C2536" s="45" t="s">
        <v>3535</v>
      </c>
      <c r="D2536" s="46">
        <v>30850.0</v>
      </c>
      <c r="E2536" s="46">
        <v>31047.0</v>
      </c>
    </row>
    <row r="2537">
      <c r="A2537" s="45">
        <v>48027.0</v>
      </c>
      <c r="B2537" s="45" t="s">
        <v>3524</v>
      </c>
      <c r="C2537" s="45" t="s">
        <v>2673</v>
      </c>
      <c r="D2537" s="46">
        <v>393193.0</v>
      </c>
      <c r="E2537" s="46">
        <v>370647.0</v>
      </c>
    </row>
    <row r="2538">
      <c r="A2538" s="45">
        <v>48029.0</v>
      </c>
      <c r="B2538" s="45" t="s">
        <v>3524</v>
      </c>
      <c r="C2538" s="45" t="s">
        <v>3536</v>
      </c>
      <c r="D2538" s="46">
        <v>2087679.0</v>
      </c>
      <c r="E2538" s="46">
        <v>2009324.0</v>
      </c>
    </row>
    <row r="2539">
      <c r="A2539" s="45">
        <v>48031.0</v>
      </c>
      <c r="B2539" s="45" t="s">
        <v>3524</v>
      </c>
      <c r="C2539" s="45" t="s">
        <v>3537</v>
      </c>
      <c r="D2539" s="46">
        <v>13048.0</v>
      </c>
      <c r="E2539" s="46">
        <v>11374.0</v>
      </c>
    </row>
    <row r="2540">
      <c r="A2540" s="45">
        <v>48033.0</v>
      </c>
      <c r="B2540" s="45" t="s">
        <v>3524</v>
      </c>
      <c r="C2540" s="45" t="s">
        <v>3538</v>
      </c>
      <c r="D2540" s="45">
        <v>572.0</v>
      </c>
      <c r="E2540" s="45">
        <v>631.0</v>
      </c>
    </row>
    <row r="2541">
      <c r="A2541" s="45">
        <v>48035.0</v>
      </c>
      <c r="B2541" s="45" t="s">
        <v>3524</v>
      </c>
      <c r="C2541" s="45" t="s">
        <v>3539</v>
      </c>
      <c r="D2541" s="46">
        <v>18996.0</v>
      </c>
      <c r="E2541" s="46">
        <v>18235.0</v>
      </c>
    </row>
    <row r="2542">
      <c r="A2542" s="45">
        <v>48037.0</v>
      </c>
      <c r="B2542" s="45" t="s">
        <v>3524</v>
      </c>
      <c r="C2542" s="45" t="s">
        <v>3540</v>
      </c>
      <c r="D2542" s="46">
        <v>91687.0</v>
      </c>
      <c r="E2542" s="46">
        <v>92893.0</v>
      </c>
    </row>
    <row r="2543">
      <c r="A2543" s="45">
        <v>48039.0</v>
      </c>
      <c r="B2543" s="45" t="s">
        <v>3524</v>
      </c>
      <c r="C2543" s="45" t="s">
        <v>3541</v>
      </c>
      <c r="D2543" s="46">
        <v>398938.0</v>
      </c>
      <c r="E2543" s="46">
        <v>372031.0</v>
      </c>
    </row>
    <row r="2544">
      <c r="A2544" s="45">
        <v>48041.0</v>
      </c>
      <c r="B2544" s="45" t="s">
        <v>3524</v>
      </c>
      <c r="C2544" s="45" t="s">
        <v>3542</v>
      </c>
      <c r="D2544" s="46">
        <v>244703.0</v>
      </c>
      <c r="E2544" s="46">
        <v>233849.0</v>
      </c>
    </row>
    <row r="2545">
      <c r="A2545" s="45">
        <v>48043.0</v>
      </c>
      <c r="B2545" s="45" t="s">
        <v>3524</v>
      </c>
      <c r="C2545" s="45" t="s">
        <v>3543</v>
      </c>
      <c r="D2545" s="46">
        <v>9513.0</v>
      </c>
      <c r="E2545" s="46">
        <v>9546.0</v>
      </c>
    </row>
    <row r="2546">
      <c r="A2546" s="45">
        <v>48045.0</v>
      </c>
      <c r="B2546" s="45" t="s">
        <v>3524</v>
      </c>
      <c r="C2546" s="45" t="s">
        <v>3544</v>
      </c>
      <c r="D2546" s="46">
        <v>1445.0</v>
      </c>
      <c r="E2546" s="46">
        <v>1435.0</v>
      </c>
    </row>
    <row r="2547">
      <c r="A2547" s="45">
        <v>48047.0</v>
      </c>
      <c r="B2547" s="45" t="s">
        <v>3524</v>
      </c>
      <c r="C2547" s="45" t="s">
        <v>2325</v>
      </c>
      <c r="D2547" s="46">
        <v>6848.0</v>
      </c>
      <c r="E2547" s="46">
        <v>7076.0</v>
      </c>
    </row>
    <row r="2548">
      <c r="A2548" s="45">
        <v>48049.0</v>
      </c>
      <c r="B2548" s="45" t="s">
        <v>3524</v>
      </c>
      <c r="C2548" s="45" t="s">
        <v>2461</v>
      </c>
      <c r="D2548" s="46">
        <v>38709.0</v>
      </c>
      <c r="E2548" s="46">
        <v>38095.0</v>
      </c>
    </row>
    <row r="2549">
      <c r="A2549" s="45">
        <v>48051.0</v>
      </c>
      <c r="B2549" s="45" t="s">
        <v>3524</v>
      </c>
      <c r="C2549" s="45" t="s">
        <v>3545</v>
      </c>
      <c r="D2549" s="46">
        <v>19475.0</v>
      </c>
      <c r="E2549" s="46">
        <v>17642.0</v>
      </c>
    </row>
    <row r="2550">
      <c r="A2550" s="45">
        <v>48053.0</v>
      </c>
      <c r="B2550" s="45" t="s">
        <v>3524</v>
      </c>
      <c r="C2550" s="45" t="s">
        <v>3546</v>
      </c>
      <c r="D2550" s="46">
        <v>53991.0</v>
      </c>
      <c r="E2550" s="46">
        <v>49130.0</v>
      </c>
    </row>
    <row r="2551">
      <c r="A2551" s="45">
        <v>48055.0</v>
      </c>
      <c r="B2551" s="45" t="s">
        <v>3524</v>
      </c>
      <c r="C2551" s="45" t="s">
        <v>2680</v>
      </c>
      <c r="D2551" s="46">
        <v>49859.0</v>
      </c>
      <c r="E2551" s="46">
        <v>45883.0</v>
      </c>
    </row>
    <row r="2552">
      <c r="A2552" s="45">
        <v>48057.0</v>
      </c>
      <c r="B2552" s="45" t="s">
        <v>3524</v>
      </c>
      <c r="C2552" s="45" t="s">
        <v>2002</v>
      </c>
      <c r="D2552" s="46">
        <v>19696.0</v>
      </c>
      <c r="E2552" s="46">
        <v>20106.0</v>
      </c>
    </row>
    <row r="2553">
      <c r="A2553" s="45">
        <v>48059.0</v>
      </c>
      <c r="B2553" s="45" t="s">
        <v>3524</v>
      </c>
      <c r="C2553" s="45" t="s">
        <v>3547</v>
      </c>
      <c r="D2553" s="46">
        <v>14374.0</v>
      </c>
      <c r="E2553" s="46">
        <v>13708.0</v>
      </c>
    </row>
    <row r="2554">
      <c r="A2554" s="45">
        <v>48061.0</v>
      </c>
      <c r="B2554" s="45" t="s">
        <v>3524</v>
      </c>
      <c r="C2554" s="45" t="s">
        <v>3401</v>
      </c>
      <c r="D2554" s="46">
        <v>426710.0</v>
      </c>
      <c r="E2554" s="46">
        <v>421017.0</v>
      </c>
    </row>
    <row r="2555">
      <c r="A2555" s="45">
        <v>48063.0</v>
      </c>
      <c r="B2555" s="45" t="s">
        <v>3524</v>
      </c>
      <c r="C2555" s="45" t="s">
        <v>3548</v>
      </c>
      <c r="D2555" s="46">
        <v>13000.0</v>
      </c>
      <c r="E2555" s="46">
        <v>12464.0</v>
      </c>
    </row>
    <row r="2556">
      <c r="A2556" s="45">
        <v>48065.0</v>
      </c>
      <c r="B2556" s="45" t="s">
        <v>3524</v>
      </c>
      <c r="C2556" s="45" t="s">
        <v>3549</v>
      </c>
      <c r="D2556" s="46">
        <v>5878.0</v>
      </c>
      <c r="E2556" s="46">
        <v>5807.0</v>
      </c>
    </row>
    <row r="2557">
      <c r="A2557" s="45">
        <v>48067.0</v>
      </c>
      <c r="B2557" s="45" t="s">
        <v>3524</v>
      </c>
      <c r="C2557" s="45" t="s">
        <v>2463</v>
      </c>
      <c r="D2557" s="46">
        <v>28659.0</v>
      </c>
      <c r="E2557" s="46">
        <v>28454.0</v>
      </c>
    </row>
    <row r="2558">
      <c r="A2558" s="45">
        <v>48069.0</v>
      </c>
      <c r="B2558" s="45" t="s">
        <v>3524</v>
      </c>
      <c r="C2558" s="45" t="s">
        <v>3550</v>
      </c>
      <c r="D2558" s="46">
        <v>7227.0</v>
      </c>
      <c r="E2558" s="46">
        <v>7371.0</v>
      </c>
    </row>
    <row r="2559">
      <c r="A2559" s="45">
        <v>48071.0</v>
      </c>
      <c r="B2559" s="45" t="s">
        <v>3524</v>
      </c>
      <c r="C2559" s="45" t="s">
        <v>2003</v>
      </c>
      <c r="D2559" s="46">
        <v>53876.0</v>
      </c>
      <c r="E2559" s="46">
        <v>46571.0</v>
      </c>
    </row>
    <row r="2560">
      <c r="A2560" s="45">
        <v>48073.0</v>
      </c>
      <c r="B2560" s="45" t="s">
        <v>3524</v>
      </c>
      <c r="C2560" s="45" t="s">
        <v>2004</v>
      </c>
      <c r="D2560" s="46">
        <v>52217.0</v>
      </c>
      <c r="E2560" s="46">
        <v>50412.0</v>
      </c>
    </row>
    <row r="2561">
      <c r="A2561" s="45">
        <v>48075.0</v>
      </c>
      <c r="B2561" s="45" t="s">
        <v>3524</v>
      </c>
      <c r="C2561" s="45" t="s">
        <v>3551</v>
      </c>
      <c r="D2561" s="46">
        <v>6788.0</v>
      </c>
      <c r="E2561" s="46">
        <v>6664.0</v>
      </c>
    </row>
    <row r="2562">
      <c r="A2562" s="45">
        <v>48077.0</v>
      </c>
      <c r="B2562" s="45" t="s">
        <v>3524</v>
      </c>
      <c r="C2562" s="45" t="s">
        <v>2008</v>
      </c>
      <c r="D2562" s="46">
        <v>10738.0</v>
      </c>
      <c r="E2562" s="46">
        <v>10218.0</v>
      </c>
    </row>
    <row r="2563">
      <c r="A2563" s="45">
        <v>48079.0</v>
      </c>
      <c r="B2563" s="45" t="s">
        <v>3524</v>
      </c>
      <c r="C2563" s="45" t="s">
        <v>3552</v>
      </c>
      <c r="D2563" s="46">
        <v>2509.0</v>
      </c>
      <c r="E2563" s="46">
        <v>2547.0</v>
      </c>
    </row>
    <row r="2564">
      <c r="A2564" s="45">
        <v>48081.0</v>
      </c>
      <c r="B2564" s="45" t="s">
        <v>3524</v>
      </c>
      <c r="C2564" s="45" t="s">
        <v>3553</v>
      </c>
      <c r="D2564" s="46">
        <v>3352.0</v>
      </c>
      <c r="E2564" s="46">
        <v>3285.0</v>
      </c>
    </row>
    <row r="2565">
      <c r="A2565" s="45">
        <v>48083.0</v>
      </c>
      <c r="B2565" s="45" t="s">
        <v>3524</v>
      </c>
      <c r="C2565" s="45" t="s">
        <v>3554</v>
      </c>
      <c r="D2565" s="46">
        <v>7842.0</v>
      </c>
      <c r="E2565" s="46">
        <v>7684.0</v>
      </c>
    </row>
    <row r="2566">
      <c r="A2566" s="45">
        <v>48085.0</v>
      </c>
      <c r="B2566" s="45" t="s">
        <v>3524</v>
      </c>
      <c r="C2566" s="45" t="s">
        <v>3555</v>
      </c>
      <c r="D2566" s="46">
        <v>1195359.0</v>
      </c>
      <c r="E2566" s="46">
        <v>1064465.0</v>
      </c>
    </row>
    <row r="2567">
      <c r="A2567" s="45">
        <v>48087.0</v>
      </c>
      <c r="B2567" s="45" t="s">
        <v>3524</v>
      </c>
      <c r="C2567" s="45" t="s">
        <v>3556</v>
      </c>
      <c r="D2567" s="46">
        <v>2563.0</v>
      </c>
      <c r="E2567" s="46">
        <v>2652.0</v>
      </c>
    </row>
    <row r="2568">
      <c r="A2568" s="45">
        <v>48089.0</v>
      </c>
      <c r="B2568" s="45" t="s">
        <v>3524</v>
      </c>
      <c r="C2568" s="45" t="s">
        <v>3557</v>
      </c>
      <c r="D2568" s="46">
        <v>21117.0</v>
      </c>
      <c r="E2568" s="46">
        <v>20557.0</v>
      </c>
    </row>
    <row r="2569">
      <c r="A2569" s="45">
        <v>48091.0</v>
      </c>
      <c r="B2569" s="45" t="s">
        <v>3524</v>
      </c>
      <c r="C2569" s="45" t="s">
        <v>3558</v>
      </c>
      <c r="D2569" s="46">
        <v>193928.0</v>
      </c>
      <c r="E2569" s="46">
        <v>161501.0</v>
      </c>
    </row>
    <row r="2570">
      <c r="A2570" s="45">
        <v>48093.0</v>
      </c>
      <c r="B2570" s="45" t="s">
        <v>3524</v>
      </c>
      <c r="C2570" s="45" t="s">
        <v>2611</v>
      </c>
      <c r="D2570" s="46">
        <v>14050.0</v>
      </c>
      <c r="E2570" s="46">
        <v>13594.0</v>
      </c>
    </row>
    <row r="2571">
      <c r="A2571" s="45">
        <v>48095.0</v>
      </c>
      <c r="B2571" s="45" t="s">
        <v>3524</v>
      </c>
      <c r="C2571" s="45" t="s">
        <v>3559</v>
      </c>
      <c r="D2571" s="46">
        <v>3297.0</v>
      </c>
      <c r="E2571" s="46">
        <v>3303.0</v>
      </c>
    </row>
    <row r="2572">
      <c r="A2572" s="45">
        <v>48097.0</v>
      </c>
      <c r="B2572" s="45" t="s">
        <v>3524</v>
      </c>
      <c r="C2572" s="45" t="s">
        <v>3560</v>
      </c>
      <c r="D2572" s="46">
        <v>43782.0</v>
      </c>
      <c r="E2572" s="46">
        <v>41668.0</v>
      </c>
    </row>
    <row r="2573">
      <c r="A2573" s="45">
        <v>48099.0</v>
      </c>
      <c r="B2573" s="45" t="s">
        <v>3524</v>
      </c>
      <c r="C2573" s="45" t="s">
        <v>3561</v>
      </c>
      <c r="D2573" s="46">
        <v>84878.0</v>
      </c>
      <c r="E2573" s="46">
        <v>83093.0</v>
      </c>
    </row>
    <row r="2574">
      <c r="A2574" s="45">
        <v>48101.0</v>
      </c>
      <c r="B2574" s="45" t="s">
        <v>3524</v>
      </c>
      <c r="C2574" s="45" t="s">
        <v>3562</v>
      </c>
      <c r="D2574" s="46">
        <v>1294.0</v>
      </c>
      <c r="E2574" s="46">
        <v>1380.0</v>
      </c>
    </row>
    <row r="2575">
      <c r="A2575" s="45">
        <v>48103.0</v>
      </c>
      <c r="B2575" s="45" t="s">
        <v>3524</v>
      </c>
      <c r="C2575" s="45" t="s">
        <v>3563</v>
      </c>
      <c r="D2575" s="46">
        <v>4574.0</v>
      </c>
      <c r="E2575" s="46">
        <v>4675.0</v>
      </c>
    </row>
    <row r="2576">
      <c r="A2576" s="45">
        <v>48105.0</v>
      </c>
      <c r="B2576" s="45" t="s">
        <v>3524</v>
      </c>
      <c r="C2576" s="45" t="s">
        <v>3502</v>
      </c>
      <c r="D2576" s="46">
        <v>2858.0</v>
      </c>
      <c r="E2576" s="46">
        <v>3098.0</v>
      </c>
    </row>
    <row r="2577">
      <c r="A2577" s="45">
        <v>48107.0</v>
      </c>
      <c r="B2577" s="45" t="s">
        <v>3524</v>
      </c>
      <c r="C2577" s="45" t="s">
        <v>3564</v>
      </c>
      <c r="D2577" s="46">
        <v>4917.0</v>
      </c>
      <c r="E2577" s="46">
        <v>5133.0</v>
      </c>
    </row>
    <row r="2578">
      <c r="A2578" s="45">
        <v>48109.0</v>
      </c>
      <c r="B2578" s="45" t="s">
        <v>3524</v>
      </c>
      <c r="C2578" s="45" t="s">
        <v>3565</v>
      </c>
      <c r="D2578" s="46">
        <v>2196.0</v>
      </c>
      <c r="E2578" s="46">
        <v>2188.0</v>
      </c>
    </row>
    <row r="2579">
      <c r="A2579" s="45">
        <v>48111.0</v>
      </c>
      <c r="B2579" s="45" t="s">
        <v>3524</v>
      </c>
      <c r="C2579" s="45" t="s">
        <v>3566</v>
      </c>
      <c r="D2579" s="46">
        <v>7237.0</v>
      </c>
      <c r="E2579" s="46">
        <v>7115.0</v>
      </c>
    </row>
    <row r="2580">
      <c r="A2580" s="45">
        <v>48113.0</v>
      </c>
      <c r="B2580" s="45" t="s">
        <v>3524</v>
      </c>
      <c r="C2580" s="45" t="s">
        <v>2018</v>
      </c>
      <c r="D2580" s="46">
        <v>2606358.0</v>
      </c>
      <c r="E2580" s="46">
        <v>2613539.0</v>
      </c>
    </row>
    <row r="2581">
      <c r="A2581" s="45">
        <v>48115.0</v>
      </c>
      <c r="B2581" s="45" t="s">
        <v>3524</v>
      </c>
      <c r="C2581" s="45" t="s">
        <v>2345</v>
      </c>
      <c r="D2581" s="46">
        <v>12004.0</v>
      </c>
      <c r="E2581" s="46">
        <v>12456.0</v>
      </c>
    </row>
    <row r="2582">
      <c r="A2582" s="45">
        <v>48117.0</v>
      </c>
      <c r="B2582" s="45" t="s">
        <v>3524</v>
      </c>
      <c r="C2582" s="45" t="s">
        <v>3567</v>
      </c>
      <c r="D2582" s="46">
        <v>18347.0</v>
      </c>
      <c r="E2582" s="46">
        <v>18583.0</v>
      </c>
    </row>
    <row r="2583">
      <c r="A2583" s="45">
        <v>48119.0</v>
      </c>
      <c r="B2583" s="45" t="s">
        <v>3524</v>
      </c>
      <c r="C2583" s="45" t="s">
        <v>2210</v>
      </c>
      <c r="D2583" s="46">
        <v>5520.0</v>
      </c>
      <c r="E2583" s="46">
        <v>5230.0</v>
      </c>
    </row>
    <row r="2584">
      <c r="A2584" s="45">
        <v>48121.0</v>
      </c>
      <c r="B2584" s="45" t="s">
        <v>3524</v>
      </c>
      <c r="C2584" s="45" t="s">
        <v>3568</v>
      </c>
      <c r="D2584" s="46">
        <v>1007703.0</v>
      </c>
      <c r="E2584" s="46">
        <v>906422.0</v>
      </c>
    </row>
    <row r="2585">
      <c r="A2585" s="45">
        <v>48123.0</v>
      </c>
      <c r="B2585" s="45" t="s">
        <v>3524</v>
      </c>
      <c r="C2585" s="45" t="s">
        <v>3569</v>
      </c>
      <c r="D2585" s="46">
        <v>19929.0</v>
      </c>
      <c r="E2585" s="46">
        <v>19824.0</v>
      </c>
    </row>
    <row r="2586">
      <c r="A2586" s="45">
        <v>48125.0</v>
      </c>
      <c r="B2586" s="45" t="s">
        <v>3524</v>
      </c>
      <c r="C2586" s="45" t="s">
        <v>3570</v>
      </c>
      <c r="D2586" s="46">
        <v>1711.0</v>
      </c>
      <c r="E2586" s="46">
        <v>1770.0</v>
      </c>
    </row>
    <row r="2587">
      <c r="A2587" s="45">
        <v>48127.0</v>
      </c>
      <c r="B2587" s="45" t="s">
        <v>3524</v>
      </c>
      <c r="C2587" s="45" t="s">
        <v>3571</v>
      </c>
      <c r="D2587" s="46">
        <v>8257.0</v>
      </c>
      <c r="E2587" s="46">
        <v>8615.0</v>
      </c>
    </row>
    <row r="2588">
      <c r="A2588" s="45">
        <v>48129.0</v>
      </c>
      <c r="B2588" s="45" t="s">
        <v>3524</v>
      </c>
      <c r="C2588" s="45" t="s">
        <v>3572</v>
      </c>
      <c r="D2588" s="46">
        <v>3214.0</v>
      </c>
      <c r="E2588" s="46">
        <v>3258.0</v>
      </c>
    </row>
    <row r="2589">
      <c r="A2589" s="45">
        <v>48131.0</v>
      </c>
      <c r="B2589" s="45" t="s">
        <v>3524</v>
      </c>
      <c r="C2589" s="45" t="s">
        <v>2276</v>
      </c>
      <c r="D2589" s="46">
        <v>9604.0</v>
      </c>
      <c r="E2589" s="46">
        <v>9831.0</v>
      </c>
    </row>
    <row r="2590">
      <c r="A2590" s="45">
        <v>48133.0</v>
      </c>
      <c r="B2590" s="45" t="s">
        <v>3524</v>
      </c>
      <c r="C2590" s="45" t="s">
        <v>3573</v>
      </c>
      <c r="D2590" s="46">
        <v>18037.0</v>
      </c>
      <c r="E2590" s="46">
        <v>17725.0</v>
      </c>
    </row>
    <row r="2591">
      <c r="A2591" s="45">
        <v>48135.0</v>
      </c>
      <c r="B2591" s="45" t="s">
        <v>3524</v>
      </c>
      <c r="C2591" s="45" t="s">
        <v>3574</v>
      </c>
      <c r="D2591" s="46">
        <v>164494.0</v>
      </c>
      <c r="E2591" s="46">
        <v>165171.0</v>
      </c>
    </row>
    <row r="2592">
      <c r="A2592" s="45">
        <v>48137.0</v>
      </c>
      <c r="B2592" s="45" t="s">
        <v>3524</v>
      </c>
      <c r="C2592" s="45" t="s">
        <v>2472</v>
      </c>
      <c r="D2592" s="46">
        <v>1393.0</v>
      </c>
      <c r="E2592" s="46">
        <v>1422.0</v>
      </c>
    </row>
    <row r="2593">
      <c r="A2593" s="45">
        <v>48139.0</v>
      </c>
      <c r="B2593" s="45" t="s">
        <v>3524</v>
      </c>
      <c r="C2593" s="45" t="s">
        <v>2615</v>
      </c>
      <c r="D2593" s="46">
        <v>222829.0</v>
      </c>
      <c r="E2593" s="46">
        <v>192455.0</v>
      </c>
    </row>
    <row r="2594">
      <c r="A2594" s="45">
        <v>48141.0</v>
      </c>
      <c r="B2594" s="45" t="s">
        <v>3524</v>
      </c>
      <c r="C2594" s="45" t="s">
        <v>2216</v>
      </c>
      <c r="D2594" s="46">
        <v>869880.0</v>
      </c>
      <c r="E2594" s="46">
        <v>865657.0</v>
      </c>
    </row>
    <row r="2595">
      <c r="A2595" s="45">
        <v>48143.0</v>
      </c>
      <c r="B2595" s="45" t="s">
        <v>3524</v>
      </c>
      <c r="C2595" s="45" t="s">
        <v>3575</v>
      </c>
      <c r="D2595" s="46">
        <v>44195.0</v>
      </c>
      <c r="E2595" s="46">
        <v>42545.0</v>
      </c>
    </row>
    <row r="2596">
      <c r="A2596" s="45">
        <v>48145.0</v>
      </c>
      <c r="B2596" s="45" t="s">
        <v>3524</v>
      </c>
      <c r="C2596" s="45" t="s">
        <v>3576</v>
      </c>
      <c r="D2596" s="46">
        <v>17286.0</v>
      </c>
      <c r="E2596" s="46">
        <v>16968.0</v>
      </c>
    </row>
    <row r="2597">
      <c r="A2597" s="45">
        <v>48147.0</v>
      </c>
      <c r="B2597" s="45" t="s">
        <v>3524</v>
      </c>
      <c r="C2597" s="45" t="s">
        <v>2355</v>
      </c>
      <c r="D2597" s="46">
        <v>37571.0</v>
      </c>
      <c r="E2597" s="46">
        <v>35662.0</v>
      </c>
    </row>
    <row r="2598">
      <c r="A2598" s="45">
        <v>48149.0</v>
      </c>
      <c r="B2598" s="45" t="s">
        <v>3524</v>
      </c>
      <c r="C2598" s="45" t="s">
        <v>2023</v>
      </c>
      <c r="D2598" s="46">
        <v>25474.0</v>
      </c>
      <c r="E2598" s="46">
        <v>24435.0</v>
      </c>
    </row>
    <row r="2599">
      <c r="A2599" s="45">
        <v>48151.0</v>
      </c>
      <c r="B2599" s="45" t="s">
        <v>3524</v>
      </c>
      <c r="C2599" s="45" t="s">
        <v>3577</v>
      </c>
      <c r="D2599" s="46">
        <v>3612.0</v>
      </c>
      <c r="E2599" s="46">
        <v>3672.0</v>
      </c>
    </row>
    <row r="2600">
      <c r="A2600" s="45">
        <v>48153.0</v>
      </c>
      <c r="B2600" s="45" t="s">
        <v>3524</v>
      </c>
      <c r="C2600" s="45" t="s">
        <v>2356</v>
      </c>
      <c r="D2600" s="46">
        <v>5090.0</v>
      </c>
      <c r="E2600" s="46">
        <v>5402.0</v>
      </c>
    </row>
    <row r="2601">
      <c r="A2601" s="45">
        <v>48155.0</v>
      </c>
      <c r="B2601" s="45" t="s">
        <v>3524</v>
      </c>
      <c r="C2601" s="45" t="s">
        <v>3578</v>
      </c>
      <c r="D2601" s="46">
        <v>1079.0</v>
      </c>
      <c r="E2601" s="46">
        <v>1095.0</v>
      </c>
    </row>
    <row r="2602">
      <c r="A2602" s="45">
        <v>48157.0</v>
      </c>
      <c r="B2602" s="45" t="s">
        <v>3524</v>
      </c>
      <c r="C2602" s="45" t="s">
        <v>3579</v>
      </c>
      <c r="D2602" s="46">
        <v>916778.0</v>
      </c>
      <c r="E2602" s="46">
        <v>822779.0</v>
      </c>
    </row>
    <row r="2603">
      <c r="A2603" s="45">
        <v>48159.0</v>
      </c>
      <c r="B2603" s="45" t="s">
        <v>3524</v>
      </c>
      <c r="C2603" s="45" t="s">
        <v>2024</v>
      </c>
      <c r="D2603" s="46">
        <v>10735.0</v>
      </c>
      <c r="E2603" s="46">
        <v>10359.0</v>
      </c>
    </row>
    <row r="2604">
      <c r="A2604" s="45">
        <v>48161.0</v>
      </c>
      <c r="B2604" s="45" t="s">
        <v>3524</v>
      </c>
      <c r="C2604" s="45" t="s">
        <v>3580</v>
      </c>
      <c r="D2604" s="46">
        <v>20441.0</v>
      </c>
      <c r="E2604" s="46">
        <v>19435.0</v>
      </c>
    </row>
    <row r="2605">
      <c r="A2605" s="45">
        <v>48163.0</v>
      </c>
      <c r="B2605" s="45" t="s">
        <v>3524</v>
      </c>
      <c r="C2605" s="45" t="s">
        <v>3581</v>
      </c>
      <c r="D2605" s="46">
        <v>17987.0</v>
      </c>
      <c r="E2605" s="46">
        <v>18385.0</v>
      </c>
    </row>
    <row r="2606">
      <c r="A2606" s="45">
        <v>48165.0</v>
      </c>
      <c r="B2606" s="45" t="s">
        <v>3524</v>
      </c>
      <c r="C2606" s="45" t="s">
        <v>3582</v>
      </c>
      <c r="D2606" s="46">
        <v>22523.0</v>
      </c>
      <c r="E2606" s="46">
        <v>21598.0</v>
      </c>
    </row>
    <row r="2607">
      <c r="A2607" s="45">
        <v>48167.0</v>
      </c>
      <c r="B2607" s="45" t="s">
        <v>3524</v>
      </c>
      <c r="C2607" s="45" t="s">
        <v>3583</v>
      </c>
      <c r="D2607" s="46">
        <v>361744.0</v>
      </c>
      <c r="E2607" s="46">
        <v>350682.0</v>
      </c>
    </row>
    <row r="2608">
      <c r="A2608" s="45">
        <v>48169.0</v>
      </c>
      <c r="B2608" s="45" t="s">
        <v>3524</v>
      </c>
      <c r="C2608" s="45" t="s">
        <v>3584</v>
      </c>
      <c r="D2608" s="46">
        <v>4517.0</v>
      </c>
      <c r="E2608" s="46">
        <v>5816.0</v>
      </c>
    </row>
    <row r="2609">
      <c r="A2609" s="45">
        <v>48171.0</v>
      </c>
      <c r="B2609" s="45" t="s">
        <v>3524</v>
      </c>
      <c r="C2609" s="45" t="s">
        <v>3585</v>
      </c>
      <c r="D2609" s="46">
        <v>27733.0</v>
      </c>
      <c r="E2609" s="46">
        <v>26725.0</v>
      </c>
    </row>
    <row r="2610">
      <c r="A2610" s="45">
        <v>48173.0</v>
      </c>
      <c r="B2610" s="45" t="s">
        <v>3524</v>
      </c>
      <c r="C2610" s="45" t="s">
        <v>3586</v>
      </c>
      <c r="D2610" s="46">
        <v>1141.0</v>
      </c>
      <c r="E2610" s="46">
        <v>1116.0</v>
      </c>
    </row>
    <row r="2611">
      <c r="A2611" s="45">
        <v>48175.0</v>
      </c>
      <c r="B2611" s="45" t="s">
        <v>3524</v>
      </c>
      <c r="C2611" s="45" t="s">
        <v>3587</v>
      </c>
      <c r="D2611" s="46">
        <v>7144.0</v>
      </c>
      <c r="E2611" s="46">
        <v>7012.0</v>
      </c>
    </row>
    <row r="2612">
      <c r="A2612" s="45">
        <v>48177.0</v>
      </c>
      <c r="B2612" s="45" t="s">
        <v>3524</v>
      </c>
      <c r="C2612" s="45" t="s">
        <v>3588</v>
      </c>
      <c r="D2612" s="46">
        <v>19930.0</v>
      </c>
      <c r="E2612" s="46">
        <v>19653.0</v>
      </c>
    </row>
    <row r="2613">
      <c r="A2613" s="45">
        <v>48179.0</v>
      </c>
      <c r="B2613" s="45" t="s">
        <v>3524</v>
      </c>
      <c r="C2613" s="45" t="s">
        <v>2620</v>
      </c>
      <c r="D2613" s="46">
        <v>20916.0</v>
      </c>
      <c r="E2613" s="46">
        <v>21227.0</v>
      </c>
    </row>
    <row r="2614">
      <c r="A2614" s="45">
        <v>48181.0</v>
      </c>
      <c r="B2614" s="45" t="s">
        <v>3524</v>
      </c>
      <c r="C2614" s="45" t="s">
        <v>2692</v>
      </c>
      <c r="D2614" s="46">
        <v>146907.0</v>
      </c>
      <c r="E2614" s="46">
        <v>135543.0</v>
      </c>
    </row>
    <row r="2615">
      <c r="A2615" s="45">
        <v>48183.0</v>
      </c>
      <c r="B2615" s="45" t="s">
        <v>3524</v>
      </c>
      <c r="C2615" s="45" t="s">
        <v>3589</v>
      </c>
      <c r="D2615" s="46">
        <v>126243.0</v>
      </c>
      <c r="E2615" s="46">
        <v>124239.0</v>
      </c>
    </row>
    <row r="2616">
      <c r="A2616" s="45">
        <v>48185.0</v>
      </c>
      <c r="B2616" s="45" t="s">
        <v>3524</v>
      </c>
      <c r="C2616" s="45" t="s">
        <v>3590</v>
      </c>
      <c r="D2616" s="46">
        <v>32384.0</v>
      </c>
      <c r="E2616" s="46">
        <v>29268.0</v>
      </c>
    </row>
    <row r="2617">
      <c r="A2617" s="45">
        <v>48187.0</v>
      </c>
      <c r="B2617" s="45" t="s">
        <v>3524</v>
      </c>
      <c r="C2617" s="45" t="s">
        <v>3152</v>
      </c>
      <c r="D2617" s="46">
        <v>188454.0</v>
      </c>
      <c r="E2617" s="46">
        <v>172706.0</v>
      </c>
    </row>
    <row r="2618">
      <c r="A2618" s="45">
        <v>48189.0</v>
      </c>
      <c r="B2618" s="45" t="s">
        <v>3524</v>
      </c>
      <c r="C2618" s="45" t="s">
        <v>2027</v>
      </c>
      <c r="D2618" s="46">
        <v>31761.0</v>
      </c>
      <c r="E2618" s="46">
        <v>32522.0</v>
      </c>
    </row>
    <row r="2619">
      <c r="A2619" s="45">
        <v>48191.0</v>
      </c>
      <c r="B2619" s="45" t="s">
        <v>3524</v>
      </c>
      <c r="C2619" s="45" t="s">
        <v>2365</v>
      </c>
      <c r="D2619" s="46">
        <v>2818.0</v>
      </c>
      <c r="E2619" s="46">
        <v>2825.0</v>
      </c>
    </row>
    <row r="2620">
      <c r="A2620" s="45">
        <v>48193.0</v>
      </c>
      <c r="B2620" s="45" t="s">
        <v>3524</v>
      </c>
      <c r="C2620" s="45" t="s">
        <v>2282</v>
      </c>
      <c r="D2620" s="46">
        <v>8619.0</v>
      </c>
      <c r="E2620" s="46">
        <v>8222.0</v>
      </c>
    </row>
    <row r="2621">
      <c r="A2621" s="45">
        <v>48195.0</v>
      </c>
      <c r="B2621" s="45" t="s">
        <v>3524</v>
      </c>
      <c r="C2621" s="45" t="s">
        <v>3591</v>
      </c>
      <c r="D2621" s="46">
        <v>5071.0</v>
      </c>
      <c r="E2621" s="46">
        <v>5285.0</v>
      </c>
    </row>
    <row r="2622">
      <c r="A2622" s="45">
        <v>48197.0</v>
      </c>
      <c r="B2622" s="45" t="s">
        <v>3524</v>
      </c>
      <c r="C2622" s="45" t="s">
        <v>3509</v>
      </c>
      <c r="D2622" s="46">
        <v>3490.0</v>
      </c>
      <c r="E2622" s="46">
        <v>3549.0</v>
      </c>
    </row>
    <row r="2623">
      <c r="A2623" s="45">
        <v>48199.0</v>
      </c>
      <c r="B2623" s="45" t="s">
        <v>3524</v>
      </c>
      <c r="C2623" s="45" t="s">
        <v>2476</v>
      </c>
      <c r="D2623" s="46">
        <v>58261.0</v>
      </c>
      <c r="E2623" s="46">
        <v>56231.0</v>
      </c>
    </row>
    <row r="2624">
      <c r="A2624" s="45">
        <v>48201.0</v>
      </c>
      <c r="B2624" s="45" t="s">
        <v>3524</v>
      </c>
      <c r="C2624" s="45" t="s">
        <v>2368</v>
      </c>
      <c r="D2624" s="46">
        <v>4835125.0</v>
      </c>
      <c r="E2624" s="46">
        <v>4731145.0</v>
      </c>
    </row>
    <row r="2625">
      <c r="A2625" s="45">
        <v>48203.0</v>
      </c>
      <c r="B2625" s="45" t="s">
        <v>3524</v>
      </c>
      <c r="C2625" s="45" t="s">
        <v>2524</v>
      </c>
      <c r="D2625" s="46">
        <v>70895.0</v>
      </c>
      <c r="E2625" s="46">
        <v>68839.0</v>
      </c>
    </row>
    <row r="2626">
      <c r="A2626" s="45">
        <v>48205.0</v>
      </c>
      <c r="B2626" s="45" t="s">
        <v>3524</v>
      </c>
      <c r="C2626" s="45" t="s">
        <v>3592</v>
      </c>
      <c r="D2626" s="46">
        <v>5145.0</v>
      </c>
      <c r="E2626" s="46">
        <v>5382.0</v>
      </c>
    </row>
    <row r="2627">
      <c r="A2627" s="45">
        <v>48207.0</v>
      </c>
      <c r="B2627" s="45" t="s">
        <v>3524</v>
      </c>
      <c r="C2627" s="45" t="s">
        <v>2625</v>
      </c>
      <c r="D2627" s="46">
        <v>5385.0</v>
      </c>
      <c r="E2627" s="46">
        <v>5416.0</v>
      </c>
    </row>
    <row r="2628">
      <c r="A2628" s="45">
        <v>48209.0</v>
      </c>
      <c r="B2628" s="45" t="s">
        <v>3524</v>
      </c>
      <c r="C2628" s="45" t="s">
        <v>3593</v>
      </c>
      <c r="D2628" s="46">
        <v>280486.0</v>
      </c>
      <c r="E2628" s="46">
        <v>241067.0</v>
      </c>
    </row>
    <row r="2629">
      <c r="A2629" s="45">
        <v>48211.0</v>
      </c>
      <c r="B2629" s="45" t="s">
        <v>3524</v>
      </c>
      <c r="C2629" s="45" t="s">
        <v>3594</v>
      </c>
      <c r="D2629" s="46">
        <v>3189.0</v>
      </c>
      <c r="E2629" s="46">
        <v>3382.0</v>
      </c>
    </row>
    <row r="2630">
      <c r="A2630" s="45">
        <v>48213.0</v>
      </c>
      <c r="B2630" s="45" t="s">
        <v>3524</v>
      </c>
      <c r="C2630" s="45" t="s">
        <v>2477</v>
      </c>
      <c r="D2630" s="46">
        <v>86158.0</v>
      </c>
      <c r="E2630" s="46">
        <v>82150.0</v>
      </c>
    </row>
    <row r="2631">
      <c r="A2631" s="45">
        <v>48215.0</v>
      </c>
      <c r="B2631" s="45" t="s">
        <v>3524</v>
      </c>
      <c r="C2631" s="45" t="s">
        <v>3154</v>
      </c>
      <c r="D2631" s="46">
        <v>898471.0</v>
      </c>
      <c r="E2631" s="46">
        <v>870781.0</v>
      </c>
    </row>
    <row r="2632">
      <c r="A2632" s="45">
        <v>48217.0</v>
      </c>
      <c r="B2632" s="45" t="s">
        <v>3524</v>
      </c>
      <c r="C2632" s="45" t="s">
        <v>3049</v>
      </c>
      <c r="D2632" s="46">
        <v>38101.0</v>
      </c>
      <c r="E2632" s="46">
        <v>35874.0</v>
      </c>
    </row>
    <row r="2633">
      <c r="A2633" s="45">
        <v>48219.0</v>
      </c>
      <c r="B2633" s="45" t="s">
        <v>3524</v>
      </c>
      <c r="C2633" s="45" t="s">
        <v>3595</v>
      </c>
      <c r="D2633" s="46">
        <v>21460.0</v>
      </c>
      <c r="E2633" s="46">
        <v>21537.0</v>
      </c>
    </row>
    <row r="2634">
      <c r="A2634" s="45">
        <v>48221.0</v>
      </c>
      <c r="B2634" s="45" t="s">
        <v>3524</v>
      </c>
      <c r="C2634" s="45" t="s">
        <v>3596</v>
      </c>
      <c r="D2634" s="46">
        <v>67774.0</v>
      </c>
      <c r="E2634" s="46">
        <v>61598.0</v>
      </c>
    </row>
    <row r="2635">
      <c r="A2635" s="45">
        <v>48223.0</v>
      </c>
      <c r="B2635" s="45" t="s">
        <v>3524</v>
      </c>
      <c r="C2635" s="45" t="s">
        <v>2697</v>
      </c>
      <c r="D2635" s="46">
        <v>38172.0</v>
      </c>
      <c r="E2635" s="46">
        <v>36787.0</v>
      </c>
    </row>
    <row r="2636">
      <c r="A2636" s="45">
        <v>48225.0</v>
      </c>
      <c r="B2636" s="45" t="s">
        <v>3524</v>
      </c>
      <c r="C2636" s="45" t="s">
        <v>2029</v>
      </c>
      <c r="D2636" s="46">
        <v>22066.0</v>
      </c>
      <c r="E2636" s="46">
        <v>22066.0</v>
      </c>
    </row>
    <row r="2637">
      <c r="A2637" s="45">
        <v>48227.0</v>
      </c>
      <c r="B2637" s="45" t="s">
        <v>3524</v>
      </c>
      <c r="C2637" s="45" t="s">
        <v>2104</v>
      </c>
      <c r="D2637" s="46">
        <v>30554.0</v>
      </c>
      <c r="E2637" s="46">
        <v>34860.0</v>
      </c>
    </row>
    <row r="2638">
      <c r="A2638" s="45">
        <v>48229.0</v>
      </c>
      <c r="B2638" s="45" t="s">
        <v>3524</v>
      </c>
      <c r="C2638" s="45" t="s">
        <v>3597</v>
      </c>
      <c r="D2638" s="46">
        <v>3451.0</v>
      </c>
      <c r="E2638" s="46">
        <v>3202.0</v>
      </c>
    </row>
    <row r="2639">
      <c r="A2639" s="45">
        <v>48231.0</v>
      </c>
      <c r="B2639" s="45" t="s">
        <v>3524</v>
      </c>
      <c r="C2639" s="45" t="s">
        <v>3598</v>
      </c>
      <c r="D2639" s="46">
        <v>113347.0</v>
      </c>
      <c r="E2639" s="46">
        <v>99956.0</v>
      </c>
    </row>
    <row r="2640">
      <c r="A2640" s="45">
        <v>48233.0</v>
      </c>
      <c r="B2640" s="45" t="s">
        <v>3524</v>
      </c>
      <c r="C2640" s="45" t="s">
        <v>3478</v>
      </c>
      <c r="D2640" s="46">
        <v>20033.0</v>
      </c>
      <c r="E2640" s="46">
        <v>20617.0</v>
      </c>
    </row>
    <row r="2641">
      <c r="A2641" s="45">
        <v>48235.0</v>
      </c>
      <c r="B2641" s="45" t="s">
        <v>3524</v>
      </c>
      <c r="C2641" s="45" t="s">
        <v>3599</v>
      </c>
      <c r="D2641" s="46">
        <v>1549.0</v>
      </c>
      <c r="E2641" s="46">
        <v>1513.0</v>
      </c>
    </row>
    <row r="2642">
      <c r="A2642" s="45">
        <v>48237.0</v>
      </c>
      <c r="B2642" s="45" t="s">
        <v>3524</v>
      </c>
      <c r="C2642" s="45" t="s">
        <v>3600</v>
      </c>
      <c r="D2642" s="46">
        <v>8875.0</v>
      </c>
      <c r="E2642" s="46">
        <v>8472.0</v>
      </c>
    </row>
    <row r="2643">
      <c r="A2643" s="45">
        <v>48239.0</v>
      </c>
      <c r="B2643" s="45" t="s">
        <v>3524</v>
      </c>
      <c r="C2643" s="45" t="s">
        <v>2030</v>
      </c>
      <c r="D2643" s="46">
        <v>15221.0</v>
      </c>
      <c r="E2643" s="46">
        <v>14988.0</v>
      </c>
    </row>
    <row r="2644">
      <c r="A2644" s="45">
        <v>48241.0</v>
      </c>
      <c r="B2644" s="45" t="s">
        <v>3524</v>
      </c>
      <c r="C2644" s="45" t="s">
        <v>2372</v>
      </c>
      <c r="D2644" s="46">
        <v>32694.0</v>
      </c>
      <c r="E2644" s="46">
        <v>32980.0</v>
      </c>
    </row>
    <row r="2645">
      <c r="A2645" s="45">
        <v>48243.0</v>
      </c>
      <c r="B2645" s="45" t="s">
        <v>3524</v>
      </c>
      <c r="C2645" s="45" t="s">
        <v>2373</v>
      </c>
      <c r="D2645" s="46">
        <v>1856.0</v>
      </c>
      <c r="E2645" s="46">
        <v>1996.0</v>
      </c>
    </row>
    <row r="2646">
      <c r="A2646" s="45">
        <v>48245.0</v>
      </c>
      <c r="B2646" s="45" t="s">
        <v>3524</v>
      </c>
      <c r="C2646" s="45" t="s">
        <v>2031</v>
      </c>
      <c r="D2646" s="46">
        <v>251496.0</v>
      </c>
      <c r="E2646" s="46">
        <v>256526.0</v>
      </c>
    </row>
    <row r="2647">
      <c r="A2647" s="45">
        <v>48247.0</v>
      </c>
      <c r="B2647" s="45" t="s">
        <v>3524</v>
      </c>
      <c r="C2647" s="45" t="s">
        <v>3601</v>
      </c>
      <c r="D2647" s="46">
        <v>4720.0</v>
      </c>
      <c r="E2647" s="46">
        <v>4838.0</v>
      </c>
    </row>
    <row r="2648">
      <c r="A2648" s="45">
        <v>48249.0</v>
      </c>
      <c r="B2648" s="45" t="s">
        <v>3524</v>
      </c>
      <c r="C2648" s="45" t="s">
        <v>3602</v>
      </c>
      <c r="D2648" s="46">
        <v>38662.0</v>
      </c>
      <c r="E2648" s="46">
        <v>38891.0</v>
      </c>
    </row>
    <row r="2649">
      <c r="A2649" s="45">
        <v>48251.0</v>
      </c>
      <c r="B2649" s="45" t="s">
        <v>3524</v>
      </c>
      <c r="C2649" s="45" t="s">
        <v>2107</v>
      </c>
      <c r="D2649" s="46">
        <v>202906.0</v>
      </c>
      <c r="E2649" s="46">
        <v>179927.0</v>
      </c>
    </row>
    <row r="2650">
      <c r="A2650" s="45">
        <v>48253.0</v>
      </c>
      <c r="B2650" s="45" t="s">
        <v>3524</v>
      </c>
      <c r="C2650" s="45" t="s">
        <v>2375</v>
      </c>
      <c r="D2650" s="46">
        <v>20381.0</v>
      </c>
      <c r="E2650" s="46">
        <v>19663.0</v>
      </c>
    </row>
    <row r="2651">
      <c r="A2651" s="45">
        <v>48255.0</v>
      </c>
      <c r="B2651" s="45" t="s">
        <v>3524</v>
      </c>
      <c r="C2651" s="45" t="s">
        <v>3603</v>
      </c>
      <c r="D2651" s="46">
        <v>15018.0</v>
      </c>
      <c r="E2651" s="46">
        <v>14710.0</v>
      </c>
    </row>
    <row r="2652">
      <c r="A2652" s="45">
        <v>48257.0</v>
      </c>
      <c r="B2652" s="45" t="s">
        <v>3524</v>
      </c>
      <c r="C2652" s="45" t="s">
        <v>3604</v>
      </c>
      <c r="D2652" s="46">
        <v>185690.0</v>
      </c>
      <c r="E2652" s="46">
        <v>145310.0</v>
      </c>
    </row>
    <row r="2653">
      <c r="A2653" s="45">
        <v>48259.0</v>
      </c>
      <c r="B2653" s="45" t="s">
        <v>3524</v>
      </c>
      <c r="C2653" s="45" t="s">
        <v>2483</v>
      </c>
      <c r="D2653" s="46">
        <v>50537.0</v>
      </c>
      <c r="E2653" s="46">
        <v>44279.0</v>
      </c>
    </row>
    <row r="2654">
      <c r="A2654" s="45">
        <v>48261.0</v>
      </c>
      <c r="B2654" s="45" t="s">
        <v>3524</v>
      </c>
      <c r="C2654" s="45" t="s">
        <v>3605</v>
      </c>
      <c r="D2654" s="45">
        <v>343.0</v>
      </c>
      <c r="E2654" s="45">
        <v>350.0</v>
      </c>
    </row>
    <row r="2655">
      <c r="A2655" s="45">
        <v>48263.0</v>
      </c>
      <c r="B2655" s="45" t="s">
        <v>3524</v>
      </c>
      <c r="C2655" s="45" t="s">
        <v>2260</v>
      </c>
      <c r="D2655" s="45">
        <v>734.0</v>
      </c>
      <c r="E2655" s="45">
        <v>753.0</v>
      </c>
    </row>
    <row r="2656">
      <c r="A2656" s="45">
        <v>48265.0</v>
      </c>
      <c r="B2656" s="45" t="s">
        <v>3524</v>
      </c>
      <c r="C2656" s="45" t="s">
        <v>3606</v>
      </c>
      <c r="D2656" s="46">
        <v>53915.0</v>
      </c>
      <c r="E2656" s="46">
        <v>52598.0</v>
      </c>
    </row>
    <row r="2657">
      <c r="A2657" s="45">
        <v>48267.0</v>
      </c>
      <c r="B2657" s="45" t="s">
        <v>3524</v>
      </c>
      <c r="C2657" s="45" t="s">
        <v>3607</v>
      </c>
      <c r="D2657" s="46">
        <v>4442.0</v>
      </c>
      <c r="E2657" s="46">
        <v>4286.0</v>
      </c>
    </row>
    <row r="2658">
      <c r="A2658" s="45">
        <v>48269.0</v>
      </c>
      <c r="B2658" s="45" t="s">
        <v>3524</v>
      </c>
      <c r="C2658" s="45" t="s">
        <v>3608</v>
      </c>
      <c r="D2658" s="45">
        <v>217.0</v>
      </c>
      <c r="E2658" s="45">
        <v>265.0</v>
      </c>
    </row>
    <row r="2659">
      <c r="A2659" s="45">
        <v>48271.0</v>
      </c>
      <c r="B2659" s="45" t="s">
        <v>3524</v>
      </c>
      <c r="C2659" s="45" t="s">
        <v>3609</v>
      </c>
      <c r="D2659" s="46">
        <v>3148.0</v>
      </c>
      <c r="E2659" s="46">
        <v>3129.0</v>
      </c>
    </row>
    <row r="2660">
      <c r="A2660" s="45">
        <v>48273.0</v>
      </c>
      <c r="B2660" s="45" t="s">
        <v>3524</v>
      </c>
      <c r="C2660" s="45" t="s">
        <v>3610</v>
      </c>
      <c r="D2660" s="46">
        <v>30069.0</v>
      </c>
      <c r="E2660" s="46">
        <v>31040.0</v>
      </c>
    </row>
    <row r="2661">
      <c r="A2661" s="45">
        <v>48275.0</v>
      </c>
      <c r="B2661" s="45" t="s">
        <v>3524</v>
      </c>
      <c r="C2661" s="45" t="s">
        <v>2484</v>
      </c>
      <c r="D2661" s="46">
        <v>3302.0</v>
      </c>
      <c r="E2661" s="46">
        <v>3353.0</v>
      </c>
    </row>
    <row r="2662">
      <c r="A2662" s="45">
        <v>48277.0</v>
      </c>
      <c r="B2662" s="45" t="s">
        <v>3524</v>
      </c>
      <c r="C2662" s="45" t="s">
        <v>2032</v>
      </c>
      <c r="D2662" s="46">
        <v>51127.0</v>
      </c>
      <c r="E2662" s="46">
        <v>50088.0</v>
      </c>
    </row>
    <row r="2663">
      <c r="A2663" s="45">
        <v>48279.0</v>
      </c>
      <c r="B2663" s="45" t="s">
        <v>3524</v>
      </c>
      <c r="C2663" s="45" t="s">
        <v>3611</v>
      </c>
      <c r="D2663" s="46">
        <v>12711.0</v>
      </c>
      <c r="E2663" s="46">
        <v>13045.0</v>
      </c>
    </row>
    <row r="2664">
      <c r="A2664" s="45">
        <v>48281.0</v>
      </c>
      <c r="B2664" s="45" t="s">
        <v>3524</v>
      </c>
      <c r="C2664" s="45" t="s">
        <v>3612</v>
      </c>
      <c r="D2664" s="46">
        <v>23262.0</v>
      </c>
      <c r="E2664" s="46">
        <v>21627.0</v>
      </c>
    </row>
    <row r="2665">
      <c r="A2665" s="45">
        <v>48283.0</v>
      </c>
      <c r="B2665" s="45" t="s">
        <v>3524</v>
      </c>
      <c r="C2665" s="45" t="s">
        <v>3613</v>
      </c>
      <c r="D2665" s="46">
        <v>6537.0</v>
      </c>
      <c r="E2665" s="46">
        <v>6664.0</v>
      </c>
    </row>
    <row r="2666">
      <c r="A2666" s="45">
        <v>48285.0</v>
      </c>
      <c r="B2666" s="45" t="s">
        <v>3524</v>
      </c>
      <c r="C2666" s="45" t="s">
        <v>3614</v>
      </c>
      <c r="D2666" s="46">
        <v>20571.0</v>
      </c>
      <c r="E2666" s="46">
        <v>20337.0</v>
      </c>
    </row>
    <row r="2667">
      <c r="A2667" s="45">
        <v>48287.0</v>
      </c>
      <c r="B2667" s="45" t="s">
        <v>3524</v>
      </c>
      <c r="C2667" s="45" t="s">
        <v>2035</v>
      </c>
      <c r="D2667" s="46">
        <v>18240.0</v>
      </c>
      <c r="E2667" s="46">
        <v>17478.0</v>
      </c>
    </row>
    <row r="2668">
      <c r="A2668" s="45">
        <v>48289.0</v>
      </c>
      <c r="B2668" s="45" t="s">
        <v>3524</v>
      </c>
      <c r="C2668" s="45" t="s">
        <v>2290</v>
      </c>
      <c r="D2668" s="46">
        <v>16538.0</v>
      </c>
      <c r="E2668" s="46">
        <v>15719.0</v>
      </c>
    </row>
    <row r="2669">
      <c r="A2669" s="45">
        <v>48291.0</v>
      </c>
      <c r="B2669" s="45" t="s">
        <v>3524</v>
      </c>
      <c r="C2669" s="45" t="s">
        <v>2292</v>
      </c>
      <c r="D2669" s="46">
        <v>108272.0</v>
      </c>
      <c r="E2669" s="46">
        <v>91628.0</v>
      </c>
    </row>
    <row r="2670">
      <c r="A2670" s="45">
        <v>48293.0</v>
      </c>
      <c r="B2670" s="45" t="s">
        <v>3524</v>
      </c>
      <c r="C2670" s="45" t="s">
        <v>2036</v>
      </c>
      <c r="D2670" s="46">
        <v>22250.0</v>
      </c>
      <c r="E2670" s="46">
        <v>22146.0</v>
      </c>
    </row>
    <row r="2671">
      <c r="A2671" s="45">
        <v>48295.0</v>
      </c>
      <c r="B2671" s="45" t="s">
        <v>3524</v>
      </c>
      <c r="C2671" s="45" t="s">
        <v>3615</v>
      </c>
      <c r="D2671" s="46">
        <v>2906.0</v>
      </c>
      <c r="E2671" s="46">
        <v>3059.0</v>
      </c>
    </row>
    <row r="2672">
      <c r="A2672" s="45">
        <v>48297.0</v>
      </c>
      <c r="B2672" s="45" t="s">
        <v>3524</v>
      </c>
      <c r="C2672" s="45" t="s">
        <v>3616</v>
      </c>
      <c r="D2672" s="46">
        <v>11584.0</v>
      </c>
      <c r="E2672" s="46">
        <v>11335.0</v>
      </c>
    </row>
    <row r="2673">
      <c r="A2673" s="45">
        <v>48299.0</v>
      </c>
      <c r="B2673" s="45" t="s">
        <v>3524</v>
      </c>
      <c r="C2673" s="45" t="s">
        <v>3617</v>
      </c>
      <c r="D2673" s="46">
        <v>22875.0</v>
      </c>
      <c r="E2673" s="46">
        <v>21243.0</v>
      </c>
    </row>
    <row r="2674">
      <c r="A2674" s="45">
        <v>48301.0</v>
      </c>
      <c r="B2674" s="45" t="s">
        <v>3524</v>
      </c>
      <c r="C2674" s="45" t="s">
        <v>3618</v>
      </c>
      <c r="D2674" s="45">
        <v>43.0</v>
      </c>
      <c r="E2674" s="45">
        <v>64.0</v>
      </c>
    </row>
    <row r="2675">
      <c r="A2675" s="45">
        <v>48303.0</v>
      </c>
      <c r="B2675" s="45" t="s">
        <v>3524</v>
      </c>
      <c r="C2675" s="45" t="s">
        <v>3619</v>
      </c>
      <c r="D2675" s="46">
        <v>320940.0</v>
      </c>
      <c r="E2675" s="46">
        <v>310639.0</v>
      </c>
    </row>
    <row r="2676">
      <c r="A2676" s="45">
        <v>48305.0</v>
      </c>
      <c r="B2676" s="45" t="s">
        <v>3524</v>
      </c>
      <c r="C2676" s="45" t="s">
        <v>3620</v>
      </c>
      <c r="D2676" s="46">
        <v>5761.0</v>
      </c>
      <c r="E2676" s="46">
        <v>5596.0</v>
      </c>
    </row>
    <row r="2677">
      <c r="A2677" s="45">
        <v>48307.0</v>
      </c>
      <c r="B2677" s="45" t="s">
        <v>3524</v>
      </c>
      <c r="C2677" s="45" t="s">
        <v>3621</v>
      </c>
      <c r="D2677" s="46">
        <v>7452.0</v>
      </c>
      <c r="E2677" s="46">
        <v>7630.0</v>
      </c>
    </row>
    <row r="2678">
      <c r="A2678" s="45">
        <v>48309.0</v>
      </c>
      <c r="B2678" s="45" t="s">
        <v>3524</v>
      </c>
      <c r="C2678" s="45" t="s">
        <v>3622</v>
      </c>
      <c r="D2678" s="46">
        <v>268583.0</v>
      </c>
      <c r="E2678" s="46">
        <v>260579.0</v>
      </c>
    </row>
    <row r="2679">
      <c r="A2679" s="45">
        <v>48311.0</v>
      </c>
      <c r="B2679" s="45" t="s">
        <v>3524</v>
      </c>
      <c r="C2679" s="45" t="s">
        <v>3623</v>
      </c>
      <c r="D2679" s="45">
        <v>568.0</v>
      </c>
      <c r="E2679" s="45">
        <v>600.0</v>
      </c>
    </row>
    <row r="2680">
      <c r="A2680" s="45">
        <v>48313.0</v>
      </c>
      <c r="B2680" s="45" t="s">
        <v>3524</v>
      </c>
      <c r="C2680" s="45" t="s">
        <v>2039</v>
      </c>
      <c r="D2680" s="46">
        <v>13742.0</v>
      </c>
      <c r="E2680" s="46">
        <v>13455.0</v>
      </c>
    </row>
    <row r="2681">
      <c r="A2681" s="45">
        <v>48315.0</v>
      </c>
      <c r="B2681" s="45" t="s">
        <v>3524</v>
      </c>
      <c r="C2681" s="45" t="s">
        <v>2041</v>
      </c>
      <c r="D2681" s="46">
        <v>9571.0</v>
      </c>
      <c r="E2681" s="46">
        <v>9725.0</v>
      </c>
    </row>
    <row r="2682">
      <c r="A2682" s="45">
        <v>48317.0</v>
      </c>
      <c r="B2682" s="45" t="s">
        <v>3524</v>
      </c>
      <c r="C2682" s="45" t="s">
        <v>2294</v>
      </c>
      <c r="D2682" s="46">
        <v>5216.0</v>
      </c>
      <c r="E2682" s="46">
        <v>5237.0</v>
      </c>
    </row>
    <row r="2683">
      <c r="A2683" s="45">
        <v>48319.0</v>
      </c>
      <c r="B2683" s="45" t="s">
        <v>3524</v>
      </c>
      <c r="C2683" s="45" t="s">
        <v>2491</v>
      </c>
      <c r="D2683" s="46">
        <v>3931.0</v>
      </c>
      <c r="E2683" s="46">
        <v>3953.0</v>
      </c>
    </row>
    <row r="2684">
      <c r="A2684" s="45">
        <v>48321.0</v>
      </c>
      <c r="B2684" s="45" t="s">
        <v>3524</v>
      </c>
      <c r="C2684" s="45" t="s">
        <v>3624</v>
      </c>
      <c r="D2684" s="46">
        <v>36359.0</v>
      </c>
      <c r="E2684" s="46">
        <v>36255.0</v>
      </c>
    </row>
    <row r="2685">
      <c r="A2685" s="45">
        <v>48323.0</v>
      </c>
      <c r="B2685" s="45" t="s">
        <v>3524</v>
      </c>
      <c r="C2685" s="45" t="s">
        <v>3625</v>
      </c>
      <c r="D2685" s="46">
        <v>57762.0</v>
      </c>
      <c r="E2685" s="46">
        <v>57887.0</v>
      </c>
    </row>
    <row r="2686">
      <c r="A2686" s="45">
        <v>48325.0</v>
      </c>
      <c r="B2686" s="45" t="s">
        <v>3524</v>
      </c>
      <c r="C2686" s="45" t="s">
        <v>3317</v>
      </c>
      <c r="D2686" s="46">
        <v>54797.0</v>
      </c>
      <c r="E2686" s="46">
        <v>50748.0</v>
      </c>
    </row>
    <row r="2687">
      <c r="A2687" s="45">
        <v>48327.0</v>
      </c>
      <c r="B2687" s="45" t="s">
        <v>3524</v>
      </c>
      <c r="C2687" s="45" t="s">
        <v>2493</v>
      </c>
      <c r="D2687" s="46">
        <v>1958.0</v>
      </c>
      <c r="E2687" s="46">
        <v>1962.0</v>
      </c>
    </row>
    <row r="2688">
      <c r="A2688" s="45">
        <v>48329.0</v>
      </c>
      <c r="B2688" s="45" t="s">
        <v>3524</v>
      </c>
      <c r="C2688" s="45" t="s">
        <v>2872</v>
      </c>
      <c r="D2688" s="46">
        <v>177108.0</v>
      </c>
      <c r="E2688" s="46">
        <v>169983.0</v>
      </c>
    </row>
    <row r="2689">
      <c r="A2689" s="45">
        <v>48331.0</v>
      </c>
      <c r="B2689" s="45" t="s">
        <v>3524</v>
      </c>
      <c r="C2689" s="45" t="s">
        <v>3626</v>
      </c>
      <c r="D2689" s="46">
        <v>25951.0</v>
      </c>
      <c r="E2689" s="46">
        <v>24754.0</v>
      </c>
    </row>
    <row r="2690">
      <c r="A2690" s="45">
        <v>48333.0</v>
      </c>
      <c r="B2690" s="45" t="s">
        <v>3524</v>
      </c>
      <c r="C2690" s="45" t="s">
        <v>2582</v>
      </c>
      <c r="D2690" s="46">
        <v>4548.0</v>
      </c>
      <c r="E2690" s="46">
        <v>4456.0</v>
      </c>
    </row>
    <row r="2691">
      <c r="A2691" s="45">
        <v>48335.0</v>
      </c>
      <c r="B2691" s="45" t="s">
        <v>3524</v>
      </c>
      <c r="C2691" s="45" t="s">
        <v>2383</v>
      </c>
      <c r="D2691" s="46">
        <v>9075.0</v>
      </c>
      <c r="E2691" s="46">
        <v>8990.0</v>
      </c>
    </row>
    <row r="2692">
      <c r="A2692" s="45">
        <v>48337.0</v>
      </c>
      <c r="B2692" s="45" t="s">
        <v>3524</v>
      </c>
      <c r="C2692" s="45" t="s">
        <v>3627</v>
      </c>
      <c r="D2692" s="46">
        <v>21598.0</v>
      </c>
      <c r="E2692" s="46">
        <v>19965.0</v>
      </c>
    </row>
    <row r="2693">
      <c r="A2693" s="45">
        <v>48339.0</v>
      </c>
      <c r="B2693" s="45" t="s">
        <v>3524</v>
      </c>
      <c r="C2693" s="45" t="s">
        <v>2045</v>
      </c>
      <c r="D2693" s="46">
        <v>711354.0</v>
      </c>
      <c r="E2693" s="46">
        <v>620443.0</v>
      </c>
    </row>
    <row r="2694">
      <c r="A2694" s="45">
        <v>48341.0</v>
      </c>
      <c r="B2694" s="45" t="s">
        <v>3524</v>
      </c>
      <c r="C2694" s="45" t="s">
        <v>3240</v>
      </c>
      <c r="D2694" s="46">
        <v>21190.0</v>
      </c>
      <c r="E2694" s="46">
        <v>21358.0</v>
      </c>
    </row>
    <row r="2695">
      <c r="A2695" s="45">
        <v>48343.0</v>
      </c>
      <c r="B2695" s="45" t="s">
        <v>3524</v>
      </c>
      <c r="C2695" s="45" t="s">
        <v>2635</v>
      </c>
      <c r="D2695" s="46">
        <v>12066.0</v>
      </c>
      <c r="E2695" s="46">
        <v>11973.0</v>
      </c>
    </row>
    <row r="2696">
      <c r="A2696" s="45">
        <v>48345.0</v>
      </c>
      <c r="B2696" s="45" t="s">
        <v>3524</v>
      </c>
      <c r="C2696" s="45" t="s">
        <v>3628</v>
      </c>
      <c r="D2696" s="46">
        <v>1020.0</v>
      </c>
      <c r="E2696" s="46">
        <v>1063.0</v>
      </c>
    </row>
    <row r="2697">
      <c r="A2697" s="45">
        <v>48347.0</v>
      </c>
      <c r="B2697" s="45" t="s">
        <v>3524</v>
      </c>
      <c r="C2697" s="45" t="s">
        <v>3629</v>
      </c>
      <c r="D2697" s="46">
        <v>65375.0</v>
      </c>
      <c r="E2697" s="46">
        <v>64653.0</v>
      </c>
    </row>
    <row r="2698">
      <c r="A2698" s="45">
        <v>48349.0</v>
      </c>
      <c r="B2698" s="45" t="s">
        <v>3524</v>
      </c>
      <c r="C2698" s="45" t="s">
        <v>3630</v>
      </c>
      <c r="D2698" s="46">
        <v>55635.0</v>
      </c>
      <c r="E2698" s="46">
        <v>52624.0</v>
      </c>
    </row>
    <row r="2699">
      <c r="A2699" s="45">
        <v>48351.0</v>
      </c>
      <c r="B2699" s="45" t="s">
        <v>3524</v>
      </c>
      <c r="C2699" s="45" t="s">
        <v>2116</v>
      </c>
      <c r="D2699" s="46">
        <v>12039.0</v>
      </c>
      <c r="E2699" s="46">
        <v>12217.0</v>
      </c>
    </row>
    <row r="2700">
      <c r="A2700" s="45">
        <v>48353.0</v>
      </c>
      <c r="B2700" s="45" t="s">
        <v>3524</v>
      </c>
      <c r="C2700" s="45" t="s">
        <v>3631</v>
      </c>
      <c r="D2700" s="46">
        <v>14306.0</v>
      </c>
      <c r="E2700" s="46">
        <v>14738.0</v>
      </c>
    </row>
    <row r="2701">
      <c r="A2701" s="45">
        <v>48355.0</v>
      </c>
      <c r="B2701" s="45" t="s">
        <v>3524</v>
      </c>
      <c r="C2701" s="45" t="s">
        <v>3632</v>
      </c>
      <c r="D2701" s="46">
        <v>352289.0</v>
      </c>
      <c r="E2701" s="46">
        <v>353178.0</v>
      </c>
    </row>
    <row r="2702">
      <c r="A2702" s="45">
        <v>48357.0</v>
      </c>
      <c r="B2702" s="45" t="s">
        <v>3524</v>
      </c>
      <c r="C2702" s="45" t="s">
        <v>3633</v>
      </c>
      <c r="D2702" s="46">
        <v>9704.0</v>
      </c>
      <c r="E2702" s="46">
        <v>10015.0</v>
      </c>
    </row>
    <row r="2703">
      <c r="A2703" s="45">
        <v>48359.0</v>
      </c>
      <c r="B2703" s="45" t="s">
        <v>3524</v>
      </c>
      <c r="C2703" s="45" t="s">
        <v>2713</v>
      </c>
      <c r="D2703" s="46">
        <v>1783.0</v>
      </c>
      <c r="E2703" s="46">
        <v>1758.0</v>
      </c>
    </row>
    <row r="2704">
      <c r="A2704" s="45">
        <v>48361.0</v>
      </c>
      <c r="B2704" s="45" t="s">
        <v>3524</v>
      </c>
      <c r="C2704" s="45" t="s">
        <v>2166</v>
      </c>
      <c r="D2704" s="46">
        <v>85722.0</v>
      </c>
      <c r="E2704" s="46">
        <v>84808.0</v>
      </c>
    </row>
    <row r="2705">
      <c r="A2705" s="45">
        <v>48363.0</v>
      </c>
      <c r="B2705" s="45" t="s">
        <v>3524</v>
      </c>
      <c r="C2705" s="45" t="s">
        <v>3634</v>
      </c>
      <c r="D2705" s="46">
        <v>29747.0</v>
      </c>
      <c r="E2705" s="46">
        <v>28409.0</v>
      </c>
    </row>
    <row r="2706">
      <c r="A2706" s="45">
        <v>48365.0</v>
      </c>
      <c r="B2706" s="45" t="s">
        <v>3524</v>
      </c>
      <c r="C2706" s="45" t="s">
        <v>2977</v>
      </c>
      <c r="D2706" s="46">
        <v>22838.0</v>
      </c>
      <c r="E2706" s="46">
        <v>22491.0</v>
      </c>
    </row>
    <row r="2707">
      <c r="A2707" s="45">
        <v>48367.0</v>
      </c>
      <c r="B2707" s="45" t="s">
        <v>3524</v>
      </c>
      <c r="C2707" s="45" t="s">
        <v>3635</v>
      </c>
      <c r="D2707" s="46">
        <v>173494.0</v>
      </c>
      <c r="E2707" s="46">
        <v>148222.0</v>
      </c>
    </row>
    <row r="2708">
      <c r="A2708" s="45">
        <v>48369.0</v>
      </c>
      <c r="B2708" s="45" t="s">
        <v>3524</v>
      </c>
      <c r="C2708" s="45" t="s">
        <v>3636</v>
      </c>
      <c r="D2708" s="46">
        <v>9617.0</v>
      </c>
      <c r="E2708" s="46">
        <v>9869.0</v>
      </c>
    </row>
    <row r="2709">
      <c r="A2709" s="45">
        <v>48371.0</v>
      </c>
      <c r="B2709" s="45" t="s">
        <v>3524</v>
      </c>
      <c r="C2709" s="45" t="s">
        <v>3637</v>
      </c>
      <c r="D2709" s="46">
        <v>14623.0</v>
      </c>
      <c r="E2709" s="46">
        <v>15193.0</v>
      </c>
    </row>
    <row r="2710">
      <c r="A2710" s="45">
        <v>48373.0</v>
      </c>
      <c r="B2710" s="45" t="s">
        <v>3524</v>
      </c>
      <c r="C2710" s="45" t="s">
        <v>2120</v>
      </c>
      <c r="D2710" s="46">
        <v>54186.0</v>
      </c>
      <c r="E2710" s="46">
        <v>50123.0</v>
      </c>
    </row>
    <row r="2711">
      <c r="A2711" s="45">
        <v>48375.0</v>
      </c>
      <c r="B2711" s="45" t="s">
        <v>3524</v>
      </c>
      <c r="C2711" s="45" t="s">
        <v>3421</v>
      </c>
      <c r="D2711" s="46">
        <v>114647.0</v>
      </c>
      <c r="E2711" s="46">
        <v>118525.0</v>
      </c>
    </row>
    <row r="2712">
      <c r="A2712" s="45">
        <v>48377.0</v>
      </c>
      <c r="B2712" s="45" t="s">
        <v>3524</v>
      </c>
      <c r="C2712" s="45" t="s">
        <v>3638</v>
      </c>
      <c r="D2712" s="46">
        <v>5795.0</v>
      </c>
      <c r="E2712" s="46">
        <v>6131.0</v>
      </c>
    </row>
    <row r="2713">
      <c r="A2713" s="45">
        <v>48379.0</v>
      </c>
      <c r="B2713" s="45" t="s">
        <v>3524</v>
      </c>
      <c r="C2713" s="45" t="s">
        <v>3639</v>
      </c>
      <c r="D2713" s="46">
        <v>12986.0</v>
      </c>
      <c r="E2713" s="46">
        <v>12164.0</v>
      </c>
    </row>
    <row r="2714">
      <c r="A2714" s="45">
        <v>48381.0</v>
      </c>
      <c r="B2714" s="45" t="s">
        <v>3524</v>
      </c>
      <c r="C2714" s="45" t="s">
        <v>3640</v>
      </c>
      <c r="D2714" s="46">
        <v>148255.0</v>
      </c>
      <c r="E2714" s="46">
        <v>140753.0</v>
      </c>
    </row>
    <row r="2715">
      <c r="A2715" s="45">
        <v>48383.0</v>
      </c>
      <c r="B2715" s="45" t="s">
        <v>3524</v>
      </c>
      <c r="C2715" s="45" t="s">
        <v>3641</v>
      </c>
      <c r="D2715" s="46">
        <v>3141.0</v>
      </c>
      <c r="E2715" s="46">
        <v>3385.0</v>
      </c>
    </row>
    <row r="2716">
      <c r="A2716" s="45">
        <v>48385.0</v>
      </c>
      <c r="B2716" s="45" t="s">
        <v>3524</v>
      </c>
      <c r="C2716" s="45" t="s">
        <v>3642</v>
      </c>
      <c r="D2716" s="46">
        <v>2854.0</v>
      </c>
      <c r="E2716" s="46">
        <v>2758.0</v>
      </c>
    </row>
    <row r="2717">
      <c r="A2717" s="45">
        <v>48387.0</v>
      </c>
      <c r="B2717" s="45" t="s">
        <v>3524</v>
      </c>
      <c r="C2717" s="45" t="s">
        <v>3643</v>
      </c>
      <c r="D2717" s="46">
        <v>11678.0</v>
      </c>
      <c r="E2717" s="46">
        <v>11587.0</v>
      </c>
    </row>
    <row r="2718">
      <c r="A2718" s="45">
        <v>48389.0</v>
      </c>
      <c r="B2718" s="45" t="s">
        <v>3524</v>
      </c>
      <c r="C2718" s="45" t="s">
        <v>3644</v>
      </c>
      <c r="D2718" s="46">
        <v>11770.0</v>
      </c>
      <c r="E2718" s="46">
        <v>14748.0</v>
      </c>
    </row>
    <row r="2719">
      <c r="A2719" s="45">
        <v>48391.0</v>
      </c>
      <c r="B2719" s="45" t="s">
        <v>3524</v>
      </c>
      <c r="C2719" s="45" t="s">
        <v>3645</v>
      </c>
      <c r="D2719" s="46">
        <v>6666.0</v>
      </c>
      <c r="E2719" s="46">
        <v>6741.0</v>
      </c>
    </row>
    <row r="2720">
      <c r="A2720" s="45">
        <v>48393.0</v>
      </c>
      <c r="B2720" s="45" t="s">
        <v>3524</v>
      </c>
      <c r="C2720" s="45" t="s">
        <v>3488</v>
      </c>
      <c r="D2720" s="45">
        <v>840.0</v>
      </c>
      <c r="E2720" s="45">
        <v>827.0</v>
      </c>
    </row>
    <row r="2721">
      <c r="A2721" s="45">
        <v>48395.0</v>
      </c>
      <c r="B2721" s="45" t="s">
        <v>3524</v>
      </c>
      <c r="C2721" s="45" t="s">
        <v>2717</v>
      </c>
      <c r="D2721" s="46">
        <v>17267.0</v>
      </c>
      <c r="E2721" s="46">
        <v>16757.0</v>
      </c>
    </row>
    <row r="2722">
      <c r="A2722" s="45">
        <v>48397.0</v>
      </c>
      <c r="B2722" s="45" t="s">
        <v>3524</v>
      </c>
      <c r="C2722" s="45" t="s">
        <v>3646</v>
      </c>
      <c r="D2722" s="46">
        <v>131307.0</v>
      </c>
      <c r="E2722" s="46">
        <v>107819.0</v>
      </c>
    </row>
    <row r="2723">
      <c r="A2723" s="45">
        <v>48399.0</v>
      </c>
      <c r="B2723" s="45" t="s">
        <v>3524</v>
      </c>
      <c r="C2723" s="45" t="s">
        <v>3647</v>
      </c>
      <c r="D2723" s="46">
        <v>9868.0</v>
      </c>
      <c r="E2723" s="46">
        <v>9900.0</v>
      </c>
    </row>
    <row r="2724">
      <c r="A2724" s="45">
        <v>48401.0</v>
      </c>
      <c r="B2724" s="45" t="s">
        <v>3524</v>
      </c>
      <c r="C2724" s="45" t="s">
        <v>3648</v>
      </c>
      <c r="D2724" s="46">
        <v>53079.0</v>
      </c>
      <c r="E2724" s="46">
        <v>52214.0</v>
      </c>
    </row>
    <row r="2725">
      <c r="A2725" s="45">
        <v>48403.0</v>
      </c>
      <c r="B2725" s="45" t="s">
        <v>3524</v>
      </c>
      <c r="C2725" s="45" t="s">
        <v>3649</v>
      </c>
      <c r="D2725" s="46">
        <v>10106.0</v>
      </c>
      <c r="E2725" s="46">
        <v>9894.0</v>
      </c>
    </row>
    <row r="2726">
      <c r="A2726" s="45">
        <v>48405.0</v>
      </c>
      <c r="B2726" s="45" t="s">
        <v>3524</v>
      </c>
      <c r="C2726" s="45" t="s">
        <v>3650</v>
      </c>
      <c r="D2726" s="46">
        <v>7833.0</v>
      </c>
      <c r="E2726" s="46">
        <v>7918.0</v>
      </c>
    </row>
    <row r="2727">
      <c r="A2727" s="45">
        <v>48407.0</v>
      </c>
      <c r="B2727" s="45" t="s">
        <v>3524</v>
      </c>
      <c r="C2727" s="45" t="s">
        <v>3651</v>
      </c>
      <c r="D2727" s="46">
        <v>28936.0</v>
      </c>
      <c r="E2727" s="46">
        <v>27402.0</v>
      </c>
    </row>
    <row r="2728">
      <c r="A2728" s="45">
        <v>48409.0</v>
      </c>
      <c r="B2728" s="45" t="s">
        <v>3524</v>
      </c>
      <c r="C2728" s="45" t="s">
        <v>3652</v>
      </c>
      <c r="D2728" s="46">
        <v>70660.0</v>
      </c>
      <c r="E2728" s="46">
        <v>68755.0</v>
      </c>
    </row>
    <row r="2729">
      <c r="A2729" s="45">
        <v>48411.0</v>
      </c>
      <c r="B2729" s="45" t="s">
        <v>3524</v>
      </c>
      <c r="C2729" s="45" t="s">
        <v>3653</v>
      </c>
      <c r="D2729" s="46">
        <v>5845.0</v>
      </c>
      <c r="E2729" s="46">
        <v>5730.0</v>
      </c>
    </row>
    <row r="2730">
      <c r="A2730" s="45">
        <v>48413.0</v>
      </c>
      <c r="B2730" s="45" t="s">
        <v>3524</v>
      </c>
      <c r="C2730" s="45" t="s">
        <v>3654</v>
      </c>
      <c r="D2730" s="46">
        <v>2391.0</v>
      </c>
      <c r="E2730" s="46">
        <v>2451.0</v>
      </c>
    </row>
    <row r="2731">
      <c r="A2731" s="45">
        <v>48415.0</v>
      </c>
      <c r="B2731" s="45" t="s">
        <v>3524</v>
      </c>
      <c r="C2731" s="45" t="s">
        <v>3655</v>
      </c>
      <c r="D2731" s="46">
        <v>16212.0</v>
      </c>
      <c r="E2731" s="46">
        <v>16932.0</v>
      </c>
    </row>
    <row r="2732">
      <c r="A2732" s="45">
        <v>48417.0</v>
      </c>
      <c r="B2732" s="45" t="s">
        <v>3524</v>
      </c>
      <c r="C2732" s="45" t="s">
        <v>3656</v>
      </c>
      <c r="D2732" s="46">
        <v>3229.0</v>
      </c>
      <c r="E2732" s="46">
        <v>3105.0</v>
      </c>
    </row>
    <row r="2733">
      <c r="A2733" s="45">
        <v>48419.0</v>
      </c>
      <c r="B2733" s="45" t="s">
        <v>3524</v>
      </c>
      <c r="C2733" s="45" t="s">
        <v>2053</v>
      </c>
      <c r="D2733" s="46">
        <v>24179.0</v>
      </c>
      <c r="E2733" s="46">
        <v>24022.0</v>
      </c>
    </row>
    <row r="2734">
      <c r="A2734" s="45">
        <v>48421.0</v>
      </c>
      <c r="B2734" s="45" t="s">
        <v>3524</v>
      </c>
      <c r="C2734" s="45" t="s">
        <v>2656</v>
      </c>
      <c r="D2734" s="46">
        <v>2678.0</v>
      </c>
      <c r="E2734" s="46">
        <v>2782.0</v>
      </c>
    </row>
    <row r="2735">
      <c r="A2735" s="45">
        <v>48423.0</v>
      </c>
      <c r="B2735" s="45" t="s">
        <v>3524</v>
      </c>
      <c r="C2735" s="45" t="s">
        <v>2657</v>
      </c>
      <c r="D2735" s="46">
        <v>245209.0</v>
      </c>
      <c r="E2735" s="46">
        <v>233479.0</v>
      </c>
    </row>
    <row r="2736">
      <c r="A2736" s="45">
        <v>48425.0</v>
      </c>
      <c r="B2736" s="45" t="s">
        <v>3524</v>
      </c>
      <c r="C2736" s="45" t="s">
        <v>3657</v>
      </c>
      <c r="D2736" s="46">
        <v>9888.0</v>
      </c>
      <c r="E2736" s="46">
        <v>9205.0</v>
      </c>
    </row>
    <row r="2737">
      <c r="A2737" s="45">
        <v>48427.0</v>
      </c>
      <c r="B2737" s="45" t="s">
        <v>3524</v>
      </c>
      <c r="C2737" s="45" t="s">
        <v>3658</v>
      </c>
      <c r="D2737" s="46">
        <v>65934.0</v>
      </c>
      <c r="E2737" s="46">
        <v>65920.0</v>
      </c>
    </row>
    <row r="2738">
      <c r="A2738" s="45">
        <v>48429.0</v>
      </c>
      <c r="B2738" s="45" t="s">
        <v>3524</v>
      </c>
      <c r="C2738" s="45" t="s">
        <v>2398</v>
      </c>
      <c r="D2738" s="46">
        <v>9343.0</v>
      </c>
      <c r="E2738" s="46">
        <v>9101.0</v>
      </c>
    </row>
    <row r="2739">
      <c r="A2739" s="45">
        <v>48431.0</v>
      </c>
      <c r="B2739" s="45" t="s">
        <v>3524</v>
      </c>
      <c r="C2739" s="45" t="s">
        <v>3659</v>
      </c>
      <c r="D2739" s="46">
        <v>1397.0</v>
      </c>
      <c r="E2739" s="46">
        <v>1372.0</v>
      </c>
    </row>
    <row r="2740">
      <c r="A2740" s="45">
        <v>48433.0</v>
      </c>
      <c r="B2740" s="45" t="s">
        <v>3524</v>
      </c>
      <c r="C2740" s="45" t="s">
        <v>3660</v>
      </c>
      <c r="D2740" s="46">
        <v>1218.0</v>
      </c>
      <c r="E2740" s="46">
        <v>1245.0</v>
      </c>
    </row>
    <row r="2741">
      <c r="A2741" s="45">
        <v>48435.0</v>
      </c>
      <c r="B2741" s="45" t="s">
        <v>3524</v>
      </c>
      <c r="C2741" s="45" t="s">
        <v>3661</v>
      </c>
      <c r="D2741" s="46">
        <v>3221.0</v>
      </c>
      <c r="E2741" s="46">
        <v>3372.0</v>
      </c>
    </row>
    <row r="2742">
      <c r="A2742" s="45">
        <v>48437.0</v>
      </c>
      <c r="B2742" s="45" t="s">
        <v>3524</v>
      </c>
      <c r="C2742" s="45" t="s">
        <v>3662</v>
      </c>
      <c r="D2742" s="46">
        <v>6955.0</v>
      </c>
      <c r="E2742" s="46">
        <v>6971.0</v>
      </c>
    </row>
    <row r="2743">
      <c r="A2743" s="45">
        <v>48439.0</v>
      </c>
      <c r="B2743" s="45" t="s">
        <v>3524</v>
      </c>
      <c r="C2743" s="45" t="s">
        <v>3663</v>
      </c>
      <c r="D2743" s="46">
        <v>2182947.0</v>
      </c>
      <c r="E2743" s="46">
        <v>2110640.0</v>
      </c>
    </row>
    <row r="2744">
      <c r="A2744" s="45">
        <v>48441.0</v>
      </c>
      <c r="B2744" s="45" t="s">
        <v>3524</v>
      </c>
      <c r="C2744" s="45" t="s">
        <v>2310</v>
      </c>
      <c r="D2744" s="46">
        <v>146836.0</v>
      </c>
      <c r="E2744" s="46">
        <v>143208.0</v>
      </c>
    </row>
    <row r="2745">
      <c r="A2745" s="45">
        <v>48443.0</v>
      </c>
      <c r="B2745" s="45" t="s">
        <v>3524</v>
      </c>
      <c r="C2745" s="45" t="s">
        <v>2404</v>
      </c>
      <c r="D2745" s="45">
        <v>687.0</v>
      </c>
      <c r="E2745" s="45">
        <v>760.0</v>
      </c>
    </row>
    <row r="2746">
      <c r="A2746" s="45">
        <v>48445.0</v>
      </c>
      <c r="B2746" s="45" t="s">
        <v>3524</v>
      </c>
      <c r="C2746" s="45" t="s">
        <v>3664</v>
      </c>
      <c r="D2746" s="46">
        <v>11547.0</v>
      </c>
      <c r="E2746" s="46">
        <v>11831.0</v>
      </c>
    </row>
    <row r="2747">
      <c r="A2747" s="45">
        <v>48447.0</v>
      </c>
      <c r="B2747" s="45" t="s">
        <v>3524</v>
      </c>
      <c r="C2747" s="45" t="s">
        <v>3665</v>
      </c>
      <c r="D2747" s="46">
        <v>1526.0</v>
      </c>
      <c r="E2747" s="46">
        <v>1440.0</v>
      </c>
    </row>
    <row r="2748">
      <c r="A2748" s="45">
        <v>48449.0</v>
      </c>
      <c r="B2748" s="45" t="s">
        <v>3524</v>
      </c>
      <c r="C2748" s="45" t="s">
        <v>3666</v>
      </c>
      <c r="D2748" s="46">
        <v>31357.0</v>
      </c>
      <c r="E2748" s="46">
        <v>31247.0</v>
      </c>
    </row>
    <row r="2749">
      <c r="A2749" s="45">
        <v>48451.0</v>
      </c>
      <c r="B2749" s="45" t="s">
        <v>3524</v>
      </c>
      <c r="C2749" s="45" t="s">
        <v>3667</v>
      </c>
      <c r="D2749" s="46">
        <v>119057.0</v>
      </c>
      <c r="E2749" s="46">
        <v>120003.0</v>
      </c>
    </row>
    <row r="2750">
      <c r="A2750" s="45">
        <v>48453.0</v>
      </c>
      <c r="B2750" s="45" t="s">
        <v>3524</v>
      </c>
      <c r="C2750" s="45" t="s">
        <v>3668</v>
      </c>
      <c r="D2750" s="46">
        <v>1334961.0</v>
      </c>
      <c r="E2750" s="46">
        <v>1290188.0</v>
      </c>
    </row>
    <row r="2751">
      <c r="A2751" s="45">
        <v>48455.0</v>
      </c>
      <c r="B2751" s="45" t="s">
        <v>3524</v>
      </c>
      <c r="C2751" s="45" t="s">
        <v>2188</v>
      </c>
      <c r="D2751" s="46">
        <v>14228.0</v>
      </c>
      <c r="E2751" s="46">
        <v>13602.0</v>
      </c>
    </row>
    <row r="2752">
      <c r="A2752" s="45">
        <v>48457.0</v>
      </c>
      <c r="B2752" s="45" t="s">
        <v>3524</v>
      </c>
      <c r="C2752" s="45" t="s">
        <v>3669</v>
      </c>
      <c r="D2752" s="46">
        <v>20382.0</v>
      </c>
      <c r="E2752" s="46">
        <v>19798.0</v>
      </c>
    </row>
    <row r="2753">
      <c r="A2753" s="45">
        <v>48459.0</v>
      </c>
      <c r="B2753" s="45" t="s">
        <v>3524</v>
      </c>
      <c r="C2753" s="45" t="s">
        <v>3670</v>
      </c>
      <c r="D2753" s="46">
        <v>43281.0</v>
      </c>
      <c r="E2753" s="46">
        <v>40892.0</v>
      </c>
    </row>
    <row r="2754">
      <c r="A2754" s="45">
        <v>48461.0</v>
      </c>
      <c r="B2754" s="45" t="s">
        <v>3524</v>
      </c>
      <c r="C2754" s="45" t="s">
        <v>3671</v>
      </c>
      <c r="D2754" s="46">
        <v>3109.0</v>
      </c>
      <c r="E2754" s="46">
        <v>3308.0</v>
      </c>
    </row>
    <row r="2755">
      <c r="A2755" s="45">
        <v>48463.0</v>
      </c>
      <c r="B2755" s="45" t="s">
        <v>3524</v>
      </c>
      <c r="C2755" s="45" t="s">
        <v>3672</v>
      </c>
      <c r="D2755" s="46">
        <v>24960.0</v>
      </c>
      <c r="E2755" s="46">
        <v>24564.0</v>
      </c>
    </row>
    <row r="2756">
      <c r="A2756" s="45">
        <v>48465.0</v>
      </c>
      <c r="B2756" s="45" t="s">
        <v>3524</v>
      </c>
      <c r="C2756" s="45" t="s">
        <v>3673</v>
      </c>
      <c r="D2756" s="46">
        <v>47720.0</v>
      </c>
      <c r="E2756" s="46">
        <v>47586.0</v>
      </c>
    </row>
    <row r="2757">
      <c r="A2757" s="45">
        <v>48467.0</v>
      </c>
      <c r="B2757" s="45" t="s">
        <v>3524</v>
      </c>
      <c r="C2757" s="45" t="s">
        <v>3674</v>
      </c>
      <c r="D2757" s="46">
        <v>64000.0</v>
      </c>
      <c r="E2757" s="46">
        <v>59541.0</v>
      </c>
    </row>
    <row r="2758">
      <c r="A2758" s="45">
        <v>48469.0</v>
      </c>
      <c r="B2758" s="45" t="s">
        <v>3524</v>
      </c>
      <c r="C2758" s="45" t="s">
        <v>3675</v>
      </c>
      <c r="D2758" s="46">
        <v>91664.0</v>
      </c>
      <c r="E2758" s="46">
        <v>91319.0</v>
      </c>
    </row>
    <row r="2759">
      <c r="A2759" s="45">
        <v>48471.0</v>
      </c>
      <c r="B2759" s="45" t="s">
        <v>3524</v>
      </c>
      <c r="C2759" s="45" t="s">
        <v>2058</v>
      </c>
      <c r="D2759" s="46">
        <v>81268.0</v>
      </c>
      <c r="E2759" s="46">
        <v>76400.0</v>
      </c>
    </row>
    <row r="2760">
      <c r="A2760" s="45">
        <v>48473.0</v>
      </c>
      <c r="B2760" s="45" t="s">
        <v>3524</v>
      </c>
      <c r="C2760" s="45" t="s">
        <v>3676</v>
      </c>
      <c r="D2760" s="46">
        <v>63553.0</v>
      </c>
      <c r="E2760" s="46">
        <v>56794.0</v>
      </c>
    </row>
    <row r="2761">
      <c r="A2761" s="45">
        <v>48475.0</v>
      </c>
      <c r="B2761" s="45" t="s">
        <v>3524</v>
      </c>
      <c r="C2761" s="45" t="s">
        <v>3295</v>
      </c>
      <c r="D2761" s="46">
        <v>10966.0</v>
      </c>
      <c r="E2761" s="46">
        <v>11644.0</v>
      </c>
    </row>
    <row r="2762">
      <c r="A2762" s="45">
        <v>48477.0</v>
      </c>
      <c r="B2762" s="45" t="s">
        <v>3524</v>
      </c>
      <c r="C2762" s="45" t="s">
        <v>2059</v>
      </c>
      <c r="D2762" s="46">
        <v>37007.0</v>
      </c>
      <c r="E2762" s="46">
        <v>35805.0</v>
      </c>
    </row>
    <row r="2763">
      <c r="A2763" s="45">
        <v>48479.0</v>
      </c>
      <c r="B2763" s="45" t="s">
        <v>3524</v>
      </c>
      <c r="C2763" s="45" t="s">
        <v>3677</v>
      </c>
      <c r="D2763" s="46">
        <v>269148.0</v>
      </c>
      <c r="E2763" s="46">
        <v>267114.0</v>
      </c>
    </row>
    <row r="2764">
      <c r="A2764" s="45">
        <v>48481.0</v>
      </c>
      <c r="B2764" s="45" t="s">
        <v>3524</v>
      </c>
      <c r="C2764" s="45" t="s">
        <v>3678</v>
      </c>
      <c r="D2764" s="46">
        <v>41739.0</v>
      </c>
      <c r="E2764" s="46">
        <v>41570.0</v>
      </c>
    </row>
    <row r="2765">
      <c r="A2765" s="45">
        <v>48483.0</v>
      </c>
      <c r="B2765" s="45" t="s">
        <v>3524</v>
      </c>
      <c r="C2765" s="45" t="s">
        <v>2418</v>
      </c>
      <c r="D2765" s="46">
        <v>4804.0</v>
      </c>
      <c r="E2765" s="46">
        <v>4990.0</v>
      </c>
    </row>
    <row r="2766">
      <c r="A2766" s="45">
        <v>48485.0</v>
      </c>
      <c r="B2766" s="45" t="s">
        <v>3524</v>
      </c>
      <c r="C2766" s="45" t="s">
        <v>2665</v>
      </c>
      <c r="D2766" s="46">
        <v>130180.0</v>
      </c>
      <c r="E2766" s="46">
        <v>129350.0</v>
      </c>
    </row>
    <row r="2767">
      <c r="A2767" s="45">
        <v>48487.0</v>
      </c>
      <c r="B2767" s="45" t="s">
        <v>3524</v>
      </c>
      <c r="C2767" s="45" t="s">
        <v>3679</v>
      </c>
      <c r="D2767" s="46">
        <v>12522.0</v>
      </c>
      <c r="E2767" s="46">
        <v>12887.0</v>
      </c>
    </row>
    <row r="2768">
      <c r="A2768" s="45">
        <v>48489.0</v>
      </c>
      <c r="B2768" s="45" t="s">
        <v>3524</v>
      </c>
      <c r="C2768" s="45" t="s">
        <v>3680</v>
      </c>
      <c r="D2768" s="46">
        <v>20037.0</v>
      </c>
      <c r="E2768" s="46">
        <v>20164.0</v>
      </c>
    </row>
    <row r="2769">
      <c r="A2769" s="45">
        <v>48491.0</v>
      </c>
      <c r="B2769" s="45" t="s">
        <v>3524</v>
      </c>
      <c r="C2769" s="45" t="s">
        <v>2510</v>
      </c>
      <c r="D2769" s="46">
        <v>697191.0</v>
      </c>
      <c r="E2769" s="46">
        <v>609017.0</v>
      </c>
    </row>
    <row r="2770">
      <c r="A2770" s="45">
        <v>48493.0</v>
      </c>
      <c r="B2770" s="45" t="s">
        <v>3524</v>
      </c>
      <c r="C2770" s="45" t="s">
        <v>2666</v>
      </c>
      <c r="D2770" s="46">
        <v>54183.0</v>
      </c>
      <c r="E2770" s="46">
        <v>49753.0</v>
      </c>
    </row>
    <row r="2771">
      <c r="A2771" s="45">
        <v>48495.0</v>
      </c>
      <c r="B2771" s="45" t="s">
        <v>3524</v>
      </c>
      <c r="C2771" s="45" t="s">
        <v>3681</v>
      </c>
      <c r="D2771" s="46">
        <v>7414.0</v>
      </c>
      <c r="E2771" s="46">
        <v>7791.0</v>
      </c>
    </row>
    <row r="2772">
      <c r="A2772" s="45">
        <v>48497.0</v>
      </c>
      <c r="B2772" s="45" t="s">
        <v>3524</v>
      </c>
      <c r="C2772" s="45" t="s">
        <v>3682</v>
      </c>
      <c r="D2772" s="46">
        <v>78097.0</v>
      </c>
      <c r="E2772" s="46">
        <v>68632.0</v>
      </c>
    </row>
    <row r="2773">
      <c r="A2773" s="45">
        <v>48499.0</v>
      </c>
      <c r="B2773" s="45" t="s">
        <v>3524</v>
      </c>
      <c r="C2773" s="45" t="s">
        <v>3331</v>
      </c>
      <c r="D2773" s="46">
        <v>47921.0</v>
      </c>
      <c r="E2773" s="46">
        <v>44843.0</v>
      </c>
    </row>
    <row r="2774">
      <c r="A2774" s="45">
        <v>48501.0</v>
      </c>
      <c r="B2774" s="45" t="s">
        <v>3524</v>
      </c>
      <c r="C2774" s="45" t="s">
        <v>3683</v>
      </c>
      <c r="D2774" s="46">
        <v>7468.0</v>
      </c>
      <c r="E2774" s="46">
        <v>7694.0</v>
      </c>
    </row>
    <row r="2775">
      <c r="A2775" s="45">
        <v>48503.0</v>
      </c>
      <c r="B2775" s="45" t="s">
        <v>3524</v>
      </c>
      <c r="C2775" s="45" t="s">
        <v>3684</v>
      </c>
      <c r="D2775" s="46">
        <v>18124.0</v>
      </c>
      <c r="E2775" s="46">
        <v>17867.0</v>
      </c>
    </row>
    <row r="2776">
      <c r="A2776" s="45">
        <v>48505.0</v>
      </c>
      <c r="B2776" s="45" t="s">
        <v>3524</v>
      </c>
      <c r="C2776" s="45" t="s">
        <v>3685</v>
      </c>
      <c r="D2776" s="46">
        <v>13736.0</v>
      </c>
      <c r="E2776" s="46">
        <v>13889.0</v>
      </c>
    </row>
    <row r="2777">
      <c r="A2777" s="45">
        <v>48507.0</v>
      </c>
      <c r="B2777" s="45" t="s">
        <v>3524</v>
      </c>
      <c r="C2777" s="45" t="s">
        <v>3686</v>
      </c>
      <c r="D2777" s="46">
        <v>9312.0</v>
      </c>
      <c r="E2777" s="46">
        <v>9670.0</v>
      </c>
    </row>
    <row r="2778">
      <c r="A2778" s="45">
        <v>49001.0</v>
      </c>
      <c r="B2778" s="45" t="s">
        <v>3687</v>
      </c>
      <c r="C2778" s="45" t="s">
        <v>3336</v>
      </c>
      <c r="D2778" s="46">
        <v>7233.0</v>
      </c>
      <c r="E2778" s="46">
        <v>7072.0</v>
      </c>
    </row>
    <row r="2779">
      <c r="A2779" s="45">
        <v>49003.0</v>
      </c>
      <c r="B2779" s="45" t="s">
        <v>3687</v>
      </c>
      <c r="C2779" s="45" t="s">
        <v>3688</v>
      </c>
      <c r="D2779" s="46">
        <v>62684.0</v>
      </c>
      <c r="E2779" s="46">
        <v>57666.0</v>
      </c>
    </row>
    <row r="2780">
      <c r="A2780" s="45">
        <v>49005.0</v>
      </c>
      <c r="B2780" s="45" t="s">
        <v>3687</v>
      </c>
      <c r="C2780" s="45" t="s">
        <v>3689</v>
      </c>
      <c r="D2780" s="46">
        <v>142393.0</v>
      </c>
      <c r="E2780" s="46">
        <v>133154.0</v>
      </c>
    </row>
    <row r="2781">
      <c r="A2781" s="45">
        <v>49007.0</v>
      </c>
      <c r="B2781" s="45" t="s">
        <v>3687</v>
      </c>
      <c r="C2781" s="45" t="s">
        <v>3038</v>
      </c>
      <c r="D2781" s="46">
        <v>20609.0</v>
      </c>
      <c r="E2781" s="46">
        <v>20412.0</v>
      </c>
    </row>
    <row r="2782">
      <c r="A2782" s="45">
        <v>49009.0</v>
      </c>
      <c r="B2782" s="45" t="s">
        <v>3687</v>
      </c>
      <c r="C2782" s="45" t="s">
        <v>3690</v>
      </c>
      <c r="D2782" s="45">
        <v>992.0</v>
      </c>
      <c r="E2782" s="45">
        <v>935.0</v>
      </c>
    </row>
    <row r="2783">
      <c r="A2783" s="45">
        <v>49011.0</v>
      </c>
      <c r="B2783" s="45" t="s">
        <v>3687</v>
      </c>
      <c r="C2783" s="45" t="s">
        <v>2567</v>
      </c>
      <c r="D2783" s="46">
        <v>373207.0</v>
      </c>
      <c r="E2783" s="46">
        <v>362679.0</v>
      </c>
    </row>
    <row r="2784">
      <c r="A2784" s="45">
        <v>49013.0</v>
      </c>
      <c r="B2784" s="45" t="s">
        <v>3687</v>
      </c>
      <c r="C2784" s="45" t="s">
        <v>3691</v>
      </c>
      <c r="D2784" s="46">
        <v>20477.0</v>
      </c>
      <c r="E2784" s="46">
        <v>19596.0</v>
      </c>
    </row>
    <row r="2785">
      <c r="A2785" s="45">
        <v>49015.0</v>
      </c>
      <c r="B2785" s="45" t="s">
        <v>3687</v>
      </c>
      <c r="C2785" s="45" t="s">
        <v>3692</v>
      </c>
      <c r="D2785" s="46">
        <v>10144.0</v>
      </c>
      <c r="E2785" s="46">
        <v>9825.0</v>
      </c>
    </row>
    <row r="2786">
      <c r="A2786" s="45">
        <v>49017.0</v>
      </c>
      <c r="B2786" s="45" t="s">
        <v>3687</v>
      </c>
      <c r="C2786" s="45" t="s">
        <v>2218</v>
      </c>
      <c r="D2786" s="46">
        <v>5314.0</v>
      </c>
      <c r="E2786" s="46">
        <v>5083.0</v>
      </c>
    </row>
    <row r="2787">
      <c r="A2787" s="45">
        <v>49019.0</v>
      </c>
      <c r="B2787" s="45" t="s">
        <v>3687</v>
      </c>
      <c r="C2787" s="45" t="s">
        <v>2220</v>
      </c>
      <c r="D2787" s="46">
        <v>9706.0</v>
      </c>
      <c r="E2787" s="46">
        <v>9669.0</v>
      </c>
    </row>
    <row r="2788">
      <c r="A2788" s="45">
        <v>49021.0</v>
      </c>
      <c r="B2788" s="45" t="s">
        <v>3687</v>
      </c>
      <c r="C2788" s="45" t="s">
        <v>2857</v>
      </c>
      <c r="D2788" s="46">
        <v>64211.0</v>
      </c>
      <c r="E2788" s="46">
        <v>57289.0</v>
      </c>
    </row>
    <row r="2789">
      <c r="A2789" s="45">
        <v>49023.0</v>
      </c>
      <c r="B2789" s="45" t="s">
        <v>3687</v>
      </c>
      <c r="C2789" s="45" t="s">
        <v>3693</v>
      </c>
      <c r="D2789" s="46">
        <v>13023.0</v>
      </c>
      <c r="E2789" s="46">
        <v>11786.0</v>
      </c>
    </row>
    <row r="2790">
      <c r="A2790" s="45">
        <v>49025.0</v>
      </c>
      <c r="B2790" s="45" t="s">
        <v>3687</v>
      </c>
      <c r="C2790" s="45" t="s">
        <v>2481</v>
      </c>
      <c r="D2790" s="46">
        <v>8425.0</v>
      </c>
      <c r="E2790" s="46">
        <v>7667.0</v>
      </c>
    </row>
    <row r="2791">
      <c r="A2791" s="45">
        <v>49027.0</v>
      </c>
      <c r="B2791" s="45" t="s">
        <v>3687</v>
      </c>
      <c r="C2791" s="45" t="s">
        <v>3694</v>
      </c>
      <c r="D2791" s="46">
        <v>13437.0</v>
      </c>
      <c r="E2791" s="46">
        <v>12975.0</v>
      </c>
    </row>
    <row r="2792">
      <c r="A2792" s="45">
        <v>49029.0</v>
      </c>
      <c r="B2792" s="45" t="s">
        <v>3687</v>
      </c>
      <c r="C2792" s="45" t="s">
        <v>2046</v>
      </c>
      <c r="D2792" s="46">
        <v>13000.0</v>
      </c>
      <c r="E2792" s="46">
        <v>12295.0</v>
      </c>
    </row>
    <row r="2793">
      <c r="A2793" s="45">
        <v>49031.0</v>
      </c>
      <c r="B2793" s="45" t="s">
        <v>3687</v>
      </c>
      <c r="C2793" s="45" t="s">
        <v>3695</v>
      </c>
      <c r="D2793" s="46">
        <v>1550.0</v>
      </c>
      <c r="E2793" s="46">
        <v>1438.0</v>
      </c>
    </row>
    <row r="2794">
      <c r="A2794" s="45">
        <v>49033.0</v>
      </c>
      <c r="B2794" s="45" t="s">
        <v>3687</v>
      </c>
      <c r="C2794" s="45" t="s">
        <v>3696</v>
      </c>
      <c r="D2794" s="46">
        <v>2670.0</v>
      </c>
      <c r="E2794" s="46">
        <v>2510.0</v>
      </c>
    </row>
    <row r="2795">
      <c r="A2795" s="45">
        <v>49035.0</v>
      </c>
      <c r="B2795" s="45" t="s">
        <v>3687</v>
      </c>
      <c r="C2795" s="45" t="s">
        <v>3697</v>
      </c>
      <c r="D2795" s="46">
        <v>1185813.0</v>
      </c>
      <c r="E2795" s="46">
        <v>1185238.0</v>
      </c>
    </row>
    <row r="2796">
      <c r="A2796" s="45">
        <v>49037.0</v>
      </c>
      <c r="B2796" s="45" t="s">
        <v>3687</v>
      </c>
      <c r="C2796" s="45" t="s">
        <v>2244</v>
      </c>
      <c r="D2796" s="46">
        <v>14358.0</v>
      </c>
      <c r="E2796" s="46">
        <v>14518.0</v>
      </c>
    </row>
    <row r="2797">
      <c r="A2797" s="45">
        <v>49039.0</v>
      </c>
      <c r="B2797" s="45" t="s">
        <v>3687</v>
      </c>
      <c r="C2797" s="45" t="s">
        <v>3698</v>
      </c>
      <c r="D2797" s="46">
        <v>30277.0</v>
      </c>
      <c r="E2797" s="46">
        <v>28437.0</v>
      </c>
    </row>
    <row r="2798">
      <c r="A2798" s="45">
        <v>49041.0</v>
      </c>
      <c r="B2798" s="45" t="s">
        <v>3687</v>
      </c>
      <c r="C2798" s="45" t="s">
        <v>2129</v>
      </c>
      <c r="D2798" s="46">
        <v>22344.0</v>
      </c>
      <c r="E2798" s="46">
        <v>21522.0</v>
      </c>
    </row>
    <row r="2799">
      <c r="A2799" s="45">
        <v>49043.0</v>
      </c>
      <c r="B2799" s="45" t="s">
        <v>3687</v>
      </c>
      <c r="C2799" s="45" t="s">
        <v>2247</v>
      </c>
      <c r="D2799" s="46">
        <v>42759.0</v>
      </c>
      <c r="E2799" s="46">
        <v>42357.0</v>
      </c>
    </row>
    <row r="2800">
      <c r="A2800" s="45">
        <v>49045.0</v>
      </c>
      <c r="B2800" s="45" t="s">
        <v>3687</v>
      </c>
      <c r="C2800" s="45" t="s">
        <v>3699</v>
      </c>
      <c r="D2800" s="46">
        <v>82051.0</v>
      </c>
      <c r="E2800" s="46">
        <v>72698.0</v>
      </c>
    </row>
    <row r="2801">
      <c r="A2801" s="45">
        <v>49047.0</v>
      </c>
      <c r="B2801" s="45" t="s">
        <v>3687</v>
      </c>
      <c r="C2801" s="45" t="s">
        <v>3700</v>
      </c>
      <c r="D2801" s="46">
        <v>37747.0</v>
      </c>
      <c r="E2801" s="46">
        <v>35620.0</v>
      </c>
    </row>
    <row r="2802">
      <c r="A2802" s="45">
        <v>49049.0</v>
      </c>
      <c r="B2802" s="45" t="s">
        <v>3687</v>
      </c>
      <c r="C2802" s="45" t="s">
        <v>3701</v>
      </c>
      <c r="D2802" s="46">
        <v>719174.0</v>
      </c>
      <c r="E2802" s="46">
        <v>659399.0</v>
      </c>
    </row>
    <row r="2803">
      <c r="A2803" s="45">
        <v>49051.0</v>
      </c>
      <c r="B2803" s="45" t="s">
        <v>3687</v>
      </c>
      <c r="C2803" s="45" t="s">
        <v>3702</v>
      </c>
      <c r="D2803" s="46">
        <v>37144.0</v>
      </c>
      <c r="E2803" s="46">
        <v>34788.0</v>
      </c>
    </row>
    <row r="2804">
      <c r="A2804" s="45">
        <v>49053.0</v>
      </c>
      <c r="B2804" s="45" t="s">
        <v>3687</v>
      </c>
      <c r="C2804" s="45" t="s">
        <v>2059</v>
      </c>
      <c r="D2804" s="46">
        <v>202452.0</v>
      </c>
      <c r="E2804" s="46">
        <v>180279.0</v>
      </c>
    </row>
    <row r="2805">
      <c r="A2805" s="45">
        <v>49055.0</v>
      </c>
      <c r="B2805" s="45" t="s">
        <v>3687</v>
      </c>
      <c r="C2805" s="45" t="s">
        <v>2416</v>
      </c>
      <c r="D2805" s="46">
        <v>2614.0</v>
      </c>
      <c r="E2805" s="46">
        <v>2486.0</v>
      </c>
    </row>
    <row r="2806">
      <c r="A2806" s="45">
        <v>49057.0</v>
      </c>
      <c r="B2806" s="45" t="s">
        <v>3687</v>
      </c>
      <c r="C2806" s="45" t="s">
        <v>3703</v>
      </c>
      <c r="D2806" s="46">
        <v>271926.0</v>
      </c>
      <c r="E2806" s="46">
        <v>262223.0</v>
      </c>
    </row>
    <row r="2807">
      <c r="A2807" s="45">
        <v>50001.0</v>
      </c>
      <c r="B2807" s="45" t="s">
        <v>3704</v>
      </c>
      <c r="C2807" s="45" t="s">
        <v>3705</v>
      </c>
      <c r="D2807" s="46">
        <v>37720.0</v>
      </c>
      <c r="E2807" s="46">
        <v>37363.0</v>
      </c>
    </row>
    <row r="2808">
      <c r="A2808" s="45">
        <v>50003.0</v>
      </c>
      <c r="B2808" s="45" t="s">
        <v>3704</v>
      </c>
      <c r="C2808" s="45" t="s">
        <v>3706</v>
      </c>
      <c r="D2808" s="46">
        <v>37183.0</v>
      </c>
      <c r="E2808" s="46">
        <v>37347.0</v>
      </c>
    </row>
    <row r="2809">
      <c r="A2809" s="45">
        <v>50005.0</v>
      </c>
      <c r="B2809" s="45" t="s">
        <v>3704</v>
      </c>
      <c r="C2809" s="45" t="s">
        <v>3707</v>
      </c>
      <c r="D2809" s="46">
        <v>30610.0</v>
      </c>
      <c r="E2809" s="46">
        <v>30233.0</v>
      </c>
    </row>
    <row r="2810">
      <c r="A2810" s="45">
        <v>50007.0</v>
      </c>
      <c r="B2810" s="45" t="s">
        <v>3704</v>
      </c>
      <c r="C2810" s="45" t="s">
        <v>3708</v>
      </c>
      <c r="D2810" s="46">
        <v>169481.0</v>
      </c>
      <c r="E2810" s="46">
        <v>168323.0</v>
      </c>
    </row>
    <row r="2811">
      <c r="A2811" s="45">
        <v>50009.0</v>
      </c>
      <c r="B2811" s="45" t="s">
        <v>3704</v>
      </c>
      <c r="C2811" s="45" t="s">
        <v>2824</v>
      </c>
      <c r="D2811" s="46">
        <v>6010.0</v>
      </c>
      <c r="E2811" s="46">
        <v>5920.0</v>
      </c>
    </row>
    <row r="2812">
      <c r="A2812" s="45">
        <v>50011.0</v>
      </c>
      <c r="B2812" s="45" t="s">
        <v>3704</v>
      </c>
      <c r="C2812" s="45" t="s">
        <v>2024</v>
      </c>
      <c r="D2812" s="46">
        <v>50994.0</v>
      </c>
      <c r="E2812" s="46">
        <v>49946.0</v>
      </c>
    </row>
    <row r="2813">
      <c r="A2813" s="45">
        <v>50013.0</v>
      </c>
      <c r="B2813" s="45" t="s">
        <v>3704</v>
      </c>
      <c r="C2813" s="45" t="s">
        <v>3709</v>
      </c>
      <c r="D2813" s="46">
        <v>7467.0</v>
      </c>
      <c r="E2813" s="46">
        <v>7293.0</v>
      </c>
    </row>
    <row r="2814">
      <c r="A2814" s="45">
        <v>50015.0</v>
      </c>
      <c r="B2814" s="45" t="s">
        <v>3704</v>
      </c>
      <c r="C2814" s="45" t="s">
        <v>3710</v>
      </c>
      <c r="D2814" s="46">
        <v>26060.0</v>
      </c>
      <c r="E2814" s="46">
        <v>25945.0</v>
      </c>
    </row>
    <row r="2815">
      <c r="A2815" s="45">
        <v>50017.0</v>
      </c>
      <c r="B2815" s="45" t="s">
        <v>3704</v>
      </c>
      <c r="C2815" s="45" t="s">
        <v>2166</v>
      </c>
      <c r="D2815" s="46">
        <v>29943.0</v>
      </c>
      <c r="E2815" s="46">
        <v>29277.0</v>
      </c>
    </row>
    <row r="2816">
      <c r="A2816" s="45">
        <v>50019.0</v>
      </c>
      <c r="B2816" s="45" t="s">
        <v>3704</v>
      </c>
      <c r="C2816" s="45" t="s">
        <v>3184</v>
      </c>
      <c r="D2816" s="46">
        <v>27516.0</v>
      </c>
      <c r="E2816" s="46">
        <v>27393.0</v>
      </c>
    </row>
    <row r="2817">
      <c r="A2817" s="45">
        <v>50021.0</v>
      </c>
      <c r="B2817" s="45" t="s">
        <v>3704</v>
      </c>
      <c r="C2817" s="45" t="s">
        <v>3711</v>
      </c>
      <c r="D2817" s="46">
        <v>60271.0</v>
      </c>
      <c r="E2817" s="46">
        <v>60572.0</v>
      </c>
    </row>
    <row r="2818">
      <c r="A2818" s="45">
        <v>50023.0</v>
      </c>
      <c r="B2818" s="45" t="s">
        <v>3704</v>
      </c>
      <c r="C2818" s="45" t="s">
        <v>2059</v>
      </c>
      <c r="D2818" s="46">
        <v>60142.0</v>
      </c>
      <c r="E2818" s="46">
        <v>59807.0</v>
      </c>
    </row>
    <row r="2819">
      <c r="A2819" s="45">
        <v>50025.0</v>
      </c>
      <c r="B2819" s="45" t="s">
        <v>3704</v>
      </c>
      <c r="C2819" s="45" t="s">
        <v>2258</v>
      </c>
      <c r="D2819" s="46">
        <v>45966.0</v>
      </c>
      <c r="E2819" s="46">
        <v>45905.0</v>
      </c>
    </row>
    <row r="2820">
      <c r="A2820" s="45">
        <v>50027.0</v>
      </c>
      <c r="B2820" s="45" t="s">
        <v>3704</v>
      </c>
      <c r="C2820" s="45" t="s">
        <v>3712</v>
      </c>
      <c r="D2820" s="46">
        <v>58101.0</v>
      </c>
      <c r="E2820" s="46">
        <v>57753.0</v>
      </c>
    </row>
    <row r="2821">
      <c r="A2821" s="45">
        <v>51001.0</v>
      </c>
      <c r="B2821" s="45" t="s">
        <v>3713</v>
      </c>
      <c r="C2821" s="45" t="s">
        <v>3714</v>
      </c>
      <c r="D2821" s="46">
        <v>33239.0</v>
      </c>
      <c r="E2821" s="46">
        <v>33413.0</v>
      </c>
    </row>
    <row r="2822">
      <c r="A2822" s="45">
        <v>51003.0</v>
      </c>
      <c r="B2822" s="45" t="s">
        <v>3713</v>
      </c>
      <c r="C2822" s="45" t="s">
        <v>3715</v>
      </c>
      <c r="D2822" s="46">
        <v>115676.0</v>
      </c>
      <c r="E2822" s="46">
        <v>112395.0</v>
      </c>
    </row>
    <row r="2823">
      <c r="A2823" s="45">
        <v>51005.0</v>
      </c>
      <c r="B2823" s="45" t="s">
        <v>3713</v>
      </c>
      <c r="C2823" s="45" t="s">
        <v>3202</v>
      </c>
      <c r="D2823" s="46">
        <v>14595.0</v>
      </c>
      <c r="E2823" s="46">
        <v>15223.0</v>
      </c>
    </row>
    <row r="2824">
      <c r="A2824" s="45">
        <v>51007.0</v>
      </c>
      <c r="B2824" s="45" t="s">
        <v>3713</v>
      </c>
      <c r="C2824" s="45" t="s">
        <v>3716</v>
      </c>
      <c r="D2824" s="46">
        <v>13480.0</v>
      </c>
      <c r="E2824" s="46">
        <v>13265.0</v>
      </c>
    </row>
    <row r="2825">
      <c r="A2825" s="45">
        <v>51009.0</v>
      </c>
      <c r="B2825" s="45" t="s">
        <v>3713</v>
      </c>
      <c r="C2825" s="45" t="s">
        <v>3717</v>
      </c>
      <c r="D2825" s="46">
        <v>31396.0</v>
      </c>
      <c r="E2825" s="46">
        <v>31307.0</v>
      </c>
    </row>
    <row r="2826">
      <c r="A2826" s="45">
        <v>51011.0</v>
      </c>
      <c r="B2826" s="45" t="s">
        <v>3713</v>
      </c>
      <c r="C2826" s="45" t="s">
        <v>3718</v>
      </c>
      <c r="D2826" s="46">
        <v>16864.0</v>
      </c>
      <c r="E2826" s="46">
        <v>16119.0</v>
      </c>
    </row>
    <row r="2827">
      <c r="A2827" s="45">
        <v>51013.0</v>
      </c>
      <c r="B2827" s="45" t="s">
        <v>3713</v>
      </c>
      <c r="C2827" s="45" t="s">
        <v>3719</v>
      </c>
      <c r="D2827" s="46">
        <v>234162.0</v>
      </c>
      <c r="E2827" s="46">
        <v>238643.0</v>
      </c>
    </row>
    <row r="2828">
      <c r="A2828" s="45">
        <v>51015.0</v>
      </c>
      <c r="B2828" s="45" t="s">
        <v>3713</v>
      </c>
      <c r="C2828" s="45" t="s">
        <v>3720</v>
      </c>
      <c r="D2828" s="46">
        <v>78247.0</v>
      </c>
      <c r="E2828" s="46">
        <v>77487.0</v>
      </c>
    </row>
    <row r="2829">
      <c r="A2829" s="45">
        <v>51017.0</v>
      </c>
      <c r="B2829" s="45" t="s">
        <v>3713</v>
      </c>
      <c r="C2829" s="45" t="s">
        <v>2672</v>
      </c>
      <c r="D2829" s="46">
        <v>4051.0</v>
      </c>
      <c r="E2829" s="46">
        <v>4209.0</v>
      </c>
    </row>
    <row r="2830">
      <c r="A2830" s="45">
        <v>51019.0</v>
      </c>
      <c r="B2830" s="45" t="s">
        <v>3713</v>
      </c>
      <c r="C2830" s="45" t="s">
        <v>3396</v>
      </c>
      <c r="D2830" s="46">
        <v>81525.0</v>
      </c>
      <c r="E2830" s="46">
        <v>79462.0</v>
      </c>
    </row>
    <row r="2831">
      <c r="A2831" s="45">
        <v>51021.0</v>
      </c>
      <c r="B2831" s="45" t="s">
        <v>3713</v>
      </c>
      <c r="C2831" s="45" t="s">
        <v>3721</v>
      </c>
      <c r="D2831" s="46">
        <v>6179.0</v>
      </c>
      <c r="E2831" s="46">
        <v>6270.0</v>
      </c>
    </row>
    <row r="2832">
      <c r="A2832" s="45">
        <v>51023.0</v>
      </c>
      <c r="B2832" s="45" t="s">
        <v>3713</v>
      </c>
      <c r="C2832" s="45" t="s">
        <v>3722</v>
      </c>
      <c r="D2832" s="46">
        <v>34125.0</v>
      </c>
      <c r="E2832" s="46">
        <v>33596.0</v>
      </c>
    </row>
    <row r="2833">
      <c r="A2833" s="45">
        <v>51025.0</v>
      </c>
      <c r="B2833" s="45" t="s">
        <v>3713</v>
      </c>
      <c r="C2833" s="45" t="s">
        <v>3209</v>
      </c>
      <c r="D2833" s="46">
        <v>15749.0</v>
      </c>
      <c r="E2833" s="46">
        <v>15849.0</v>
      </c>
    </row>
    <row r="2834">
      <c r="A2834" s="45">
        <v>51027.0</v>
      </c>
      <c r="B2834" s="45" t="s">
        <v>3713</v>
      </c>
      <c r="C2834" s="45" t="s">
        <v>2562</v>
      </c>
      <c r="D2834" s="46">
        <v>19087.0</v>
      </c>
      <c r="E2834" s="46">
        <v>20355.0</v>
      </c>
    </row>
    <row r="2835">
      <c r="A2835" s="45">
        <v>51029.0</v>
      </c>
      <c r="B2835" s="45" t="s">
        <v>3713</v>
      </c>
      <c r="C2835" s="45" t="s">
        <v>3723</v>
      </c>
      <c r="D2835" s="46">
        <v>16978.0</v>
      </c>
      <c r="E2835" s="46">
        <v>16824.0</v>
      </c>
    </row>
    <row r="2836">
      <c r="A2836" s="45">
        <v>51031.0</v>
      </c>
      <c r="B2836" s="45" t="s">
        <v>3713</v>
      </c>
      <c r="C2836" s="45" t="s">
        <v>2682</v>
      </c>
      <c r="D2836" s="46">
        <v>55270.0</v>
      </c>
      <c r="E2836" s="46">
        <v>55696.0</v>
      </c>
    </row>
    <row r="2837">
      <c r="A2837" s="45">
        <v>51033.0</v>
      </c>
      <c r="B2837" s="45" t="s">
        <v>3713</v>
      </c>
      <c r="C2837" s="45" t="s">
        <v>2806</v>
      </c>
      <c r="D2837" s="46">
        <v>32640.0</v>
      </c>
      <c r="E2837" s="46">
        <v>30887.0</v>
      </c>
    </row>
    <row r="2838">
      <c r="A2838" s="45">
        <v>51035.0</v>
      </c>
      <c r="B2838" s="45" t="s">
        <v>3713</v>
      </c>
      <c r="C2838" s="45" t="s">
        <v>2086</v>
      </c>
      <c r="D2838" s="46">
        <v>29239.0</v>
      </c>
      <c r="E2838" s="46">
        <v>29155.0</v>
      </c>
    </row>
    <row r="2839">
      <c r="A2839" s="45">
        <v>51036.0</v>
      </c>
      <c r="B2839" s="45" t="s">
        <v>3713</v>
      </c>
      <c r="C2839" s="45" t="s">
        <v>3724</v>
      </c>
      <c r="D2839" s="46">
        <v>6610.0</v>
      </c>
      <c r="E2839" s="46">
        <v>6773.0</v>
      </c>
    </row>
    <row r="2840">
      <c r="A2840" s="45">
        <v>51037.0</v>
      </c>
      <c r="B2840" s="45" t="s">
        <v>3713</v>
      </c>
      <c r="C2840" s="45" t="s">
        <v>2271</v>
      </c>
      <c r="D2840" s="46">
        <v>11336.0</v>
      </c>
      <c r="E2840" s="46">
        <v>11529.0</v>
      </c>
    </row>
    <row r="2841">
      <c r="A2841" s="45">
        <v>51041.0</v>
      </c>
      <c r="B2841" s="45" t="s">
        <v>3713</v>
      </c>
      <c r="C2841" s="45" t="s">
        <v>3438</v>
      </c>
      <c r="D2841" s="46">
        <v>383876.0</v>
      </c>
      <c r="E2841" s="46">
        <v>364548.0</v>
      </c>
    </row>
    <row r="2842">
      <c r="A2842" s="45">
        <v>51043.0</v>
      </c>
      <c r="B2842" s="45" t="s">
        <v>3713</v>
      </c>
      <c r="C2842" s="45" t="s">
        <v>2007</v>
      </c>
      <c r="D2842" s="46">
        <v>15466.0</v>
      </c>
      <c r="E2842" s="46">
        <v>14783.0</v>
      </c>
    </row>
    <row r="2843">
      <c r="A2843" s="45">
        <v>51045.0</v>
      </c>
      <c r="B2843" s="45" t="s">
        <v>3713</v>
      </c>
      <c r="C2843" s="45" t="s">
        <v>3343</v>
      </c>
      <c r="D2843" s="46">
        <v>4843.0</v>
      </c>
      <c r="E2843" s="46">
        <v>4892.0</v>
      </c>
    </row>
    <row r="2844">
      <c r="A2844" s="45">
        <v>51047.0</v>
      </c>
      <c r="B2844" s="45" t="s">
        <v>3713</v>
      </c>
      <c r="C2844" s="45" t="s">
        <v>3725</v>
      </c>
      <c r="D2844" s="46">
        <v>54973.0</v>
      </c>
      <c r="E2844" s="46">
        <v>52552.0</v>
      </c>
    </row>
    <row r="2845">
      <c r="A2845" s="45">
        <v>51049.0</v>
      </c>
      <c r="B2845" s="45" t="s">
        <v>3713</v>
      </c>
      <c r="C2845" s="45" t="s">
        <v>2468</v>
      </c>
      <c r="D2845" s="46">
        <v>9878.0</v>
      </c>
      <c r="E2845" s="46">
        <v>9675.0</v>
      </c>
    </row>
    <row r="2846">
      <c r="A2846" s="45">
        <v>51051.0</v>
      </c>
      <c r="B2846" s="45" t="s">
        <v>3713</v>
      </c>
      <c r="C2846" s="45" t="s">
        <v>3726</v>
      </c>
      <c r="D2846" s="46">
        <v>13640.0</v>
      </c>
      <c r="E2846" s="46">
        <v>14124.0</v>
      </c>
    </row>
    <row r="2847">
      <c r="A2847" s="45">
        <v>51053.0</v>
      </c>
      <c r="B2847" s="45" t="s">
        <v>3713</v>
      </c>
      <c r="C2847" s="45" t="s">
        <v>3727</v>
      </c>
      <c r="D2847" s="46">
        <v>28343.0</v>
      </c>
      <c r="E2847" s="46">
        <v>27947.0</v>
      </c>
    </row>
    <row r="2848">
      <c r="A2848" s="45">
        <v>51057.0</v>
      </c>
      <c r="B2848" s="45" t="s">
        <v>3713</v>
      </c>
      <c r="C2848" s="45" t="s">
        <v>2824</v>
      </c>
      <c r="D2848" s="46">
        <v>10598.0</v>
      </c>
      <c r="E2848" s="46">
        <v>10599.0</v>
      </c>
    </row>
    <row r="2849">
      <c r="A2849" s="45">
        <v>51059.0</v>
      </c>
      <c r="B2849" s="45" t="s">
        <v>3713</v>
      </c>
      <c r="C2849" s="45" t="s">
        <v>3728</v>
      </c>
      <c r="D2849" s="46">
        <v>1141878.0</v>
      </c>
      <c r="E2849" s="46">
        <v>1150309.0</v>
      </c>
    </row>
    <row r="2850">
      <c r="A2850" s="45">
        <v>51061.0</v>
      </c>
      <c r="B2850" s="45" t="s">
        <v>3713</v>
      </c>
      <c r="C2850" s="45" t="s">
        <v>3729</v>
      </c>
      <c r="D2850" s="46">
        <v>75165.0</v>
      </c>
      <c r="E2850" s="46">
        <v>72972.0</v>
      </c>
    </row>
    <row r="2851">
      <c r="A2851" s="45">
        <v>51063.0</v>
      </c>
      <c r="B2851" s="45" t="s">
        <v>3713</v>
      </c>
      <c r="C2851" s="45" t="s">
        <v>2356</v>
      </c>
      <c r="D2851" s="46">
        <v>15679.0</v>
      </c>
      <c r="E2851" s="46">
        <v>15476.0</v>
      </c>
    </row>
    <row r="2852">
      <c r="A2852" s="45">
        <v>51065.0</v>
      </c>
      <c r="B2852" s="45" t="s">
        <v>3713</v>
      </c>
      <c r="C2852" s="45" t="s">
        <v>3730</v>
      </c>
      <c r="D2852" s="46">
        <v>28462.0</v>
      </c>
      <c r="E2852" s="46">
        <v>27249.0</v>
      </c>
    </row>
    <row r="2853">
      <c r="A2853" s="45">
        <v>51067.0</v>
      </c>
      <c r="B2853" s="45" t="s">
        <v>3713</v>
      </c>
      <c r="C2853" s="45" t="s">
        <v>2024</v>
      </c>
      <c r="D2853" s="46">
        <v>55549.0</v>
      </c>
      <c r="E2853" s="46">
        <v>54477.0</v>
      </c>
    </row>
    <row r="2854">
      <c r="A2854" s="45">
        <v>51069.0</v>
      </c>
      <c r="B2854" s="45" t="s">
        <v>3713</v>
      </c>
      <c r="C2854" s="45" t="s">
        <v>2810</v>
      </c>
      <c r="D2854" s="46">
        <v>95994.0</v>
      </c>
      <c r="E2854" s="46">
        <v>91419.0</v>
      </c>
    </row>
    <row r="2855">
      <c r="A2855" s="45">
        <v>51071.0</v>
      </c>
      <c r="B2855" s="45" t="s">
        <v>3713</v>
      </c>
      <c r="C2855" s="45" t="s">
        <v>3506</v>
      </c>
      <c r="D2855" s="46">
        <v>16457.0</v>
      </c>
      <c r="E2855" s="46">
        <v>16787.0</v>
      </c>
    </row>
    <row r="2856">
      <c r="A2856" s="45">
        <v>51073.0</v>
      </c>
      <c r="B2856" s="45" t="s">
        <v>3713</v>
      </c>
      <c r="C2856" s="45" t="s">
        <v>3136</v>
      </c>
      <c r="D2856" s="46">
        <v>40057.0</v>
      </c>
      <c r="E2856" s="46">
        <v>38711.0</v>
      </c>
    </row>
    <row r="2857">
      <c r="A2857" s="45">
        <v>51075.0</v>
      </c>
      <c r="B2857" s="45" t="s">
        <v>3713</v>
      </c>
      <c r="C2857" s="45" t="s">
        <v>3731</v>
      </c>
      <c r="D2857" s="46">
        <v>27197.0</v>
      </c>
      <c r="E2857" s="46">
        <v>24727.0</v>
      </c>
    </row>
    <row r="2858">
      <c r="A2858" s="45">
        <v>51077.0</v>
      </c>
      <c r="B2858" s="45" t="s">
        <v>3713</v>
      </c>
      <c r="C2858" s="45" t="s">
        <v>2692</v>
      </c>
      <c r="D2858" s="46">
        <v>15285.0</v>
      </c>
      <c r="E2858" s="46">
        <v>15333.0</v>
      </c>
    </row>
    <row r="2859">
      <c r="A2859" s="45">
        <v>51079.0</v>
      </c>
      <c r="B2859" s="45" t="s">
        <v>3713</v>
      </c>
      <c r="C2859" s="45" t="s">
        <v>2026</v>
      </c>
      <c r="D2859" s="46">
        <v>21301.0</v>
      </c>
      <c r="E2859" s="46">
        <v>20552.0</v>
      </c>
    </row>
    <row r="2860">
      <c r="A2860" s="45">
        <v>51081.0</v>
      </c>
      <c r="B2860" s="45" t="s">
        <v>3713</v>
      </c>
      <c r="C2860" s="45" t="s">
        <v>3732</v>
      </c>
      <c r="D2860" s="46">
        <v>11133.0</v>
      </c>
      <c r="E2860" s="46">
        <v>11391.0</v>
      </c>
    </row>
    <row r="2861">
      <c r="A2861" s="45">
        <v>51083.0</v>
      </c>
      <c r="B2861" s="45" t="s">
        <v>3713</v>
      </c>
      <c r="C2861" s="45" t="s">
        <v>3229</v>
      </c>
      <c r="D2861" s="46">
        <v>33432.0</v>
      </c>
      <c r="E2861" s="46">
        <v>34022.0</v>
      </c>
    </row>
    <row r="2862">
      <c r="A2862" s="45">
        <v>51085.0</v>
      </c>
      <c r="B2862" s="45" t="s">
        <v>3713</v>
      </c>
      <c r="C2862" s="45" t="s">
        <v>3733</v>
      </c>
      <c r="D2862" s="46">
        <v>114148.0</v>
      </c>
      <c r="E2862" s="46">
        <v>109979.0</v>
      </c>
    </row>
    <row r="2863">
      <c r="A2863" s="45">
        <v>51087.0</v>
      </c>
      <c r="B2863" s="45" t="s">
        <v>3713</v>
      </c>
      <c r="C2863" s="45" t="s">
        <v>3734</v>
      </c>
      <c r="D2863" s="46">
        <v>334760.0</v>
      </c>
      <c r="E2863" s="46">
        <v>334389.0</v>
      </c>
    </row>
    <row r="2864">
      <c r="A2864" s="45">
        <v>51089.0</v>
      </c>
      <c r="B2864" s="45" t="s">
        <v>3713</v>
      </c>
      <c r="C2864" s="45" t="s">
        <v>2028</v>
      </c>
      <c r="D2864" s="46">
        <v>49702.0</v>
      </c>
      <c r="E2864" s="46">
        <v>50948.0</v>
      </c>
    </row>
    <row r="2865">
      <c r="A2865" s="45">
        <v>51091.0</v>
      </c>
      <c r="B2865" s="45" t="s">
        <v>3713</v>
      </c>
      <c r="C2865" s="45" t="s">
        <v>3312</v>
      </c>
      <c r="D2865" s="46">
        <v>2339.0</v>
      </c>
      <c r="E2865" s="46">
        <v>2232.0</v>
      </c>
    </row>
    <row r="2866">
      <c r="A2866" s="45">
        <v>51093.0</v>
      </c>
      <c r="B2866" s="45" t="s">
        <v>3713</v>
      </c>
      <c r="C2866" s="45" t="s">
        <v>3735</v>
      </c>
      <c r="D2866" s="46">
        <v>40711.0</v>
      </c>
      <c r="E2866" s="46">
        <v>38606.0</v>
      </c>
    </row>
    <row r="2867">
      <c r="A2867" s="45">
        <v>51095.0</v>
      </c>
      <c r="B2867" s="45" t="s">
        <v>3713</v>
      </c>
      <c r="C2867" s="45" t="s">
        <v>3736</v>
      </c>
      <c r="D2867" s="46">
        <v>82654.0</v>
      </c>
      <c r="E2867" s="46">
        <v>78254.0</v>
      </c>
    </row>
    <row r="2868">
      <c r="A2868" s="45">
        <v>51097.0</v>
      </c>
      <c r="B2868" s="45" t="s">
        <v>3713</v>
      </c>
      <c r="C2868" s="45" t="s">
        <v>3737</v>
      </c>
      <c r="D2868" s="46">
        <v>6720.0</v>
      </c>
      <c r="E2868" s="46">
        <v>6608.0</v>
      </c>
    </row>
    <row r="2869">
      <c r="A2869" s="45">
        <v>51099.0</v>
      </c>
      <c r="B2869" s="45" t="s">
        <v>3713</v>
      </c>
      <c r="C2869" s="45" t="s">
        <v>3738</v>
      </c>
      <c r="D2869" s="46">
        <v>28568.0</v>
      </c>
      <c r="E2869" s="46">
        <v>26723.0</v>
      </c>
    </row>
    <row r="2870">
      <c r="A2870" s="45">
        <v>51101.0</v>
      </c>
      <c r="B2870" s="45" t="s">
        <v>3713</v>
      </c>
      <c r="C2870" s="45" t="s">
        <v>3739</v>
      </c>
      <c r="D2870" s="46">
        <v>19030.0</v>
      </c>
      <c r="E2870" s="46">
        <v>17810.0</v>
      </c>
    </row>
    <row r="2871">
      <c r="A2871" s="45">
        <v>51103.0</v>
      </c>
      <c r="B2871" s="45" t="s">
        <v>3713</v>
      </c>
      <c r="C2871" s="45" t="s">
        <v>3097</v>
      </c>
      <c r="D2871" s="46">
        <v>10859.0</v>
      </c>
      <c r="E2871" s="46">
        <v>10919.0</v>
      </c>
    </row>
    <row r="2872">
      <c r="A2872" s="45">
        <v>51105.0</v>
      </c>
      <c r="B2872" s="45" t="s">
        <v>3713</v>
      </c>
      <c r="C2872" s="45" t="s">
        <v>2035</v>
      </c>
      <c r="D2872" s="46">
        <v>21745.0</v>
      </c>
      <c r="E2872" s="46">
        <v>22173.0</v>
      </c>
    </row>
    <row r="2873">
      <c r="A2873" s="45">
        <v>51107.0</v>
      </c>
      <c r="B2873" s="45" t="s">
        <v>3713</v>
      </c>
      <c r="C2873" s="45" t="s">
        <v>3740</v>
      </c>
      <c r="D2873" s="46">
        <v>436347.0</v>
      </c>
      <c r="E2873" s="46">
        <v>420959.0</v>
      </c>
    </row>
    <row r="2874">
      <c r="A2874" s="45">
        <v>51109.0</v>
      </c>
      <c r="B2874" s="45" t="s">
        <v>3713</v>
      </c>
      <c r="C2874" s="45" t="s">
        <v>2578</v>
      </c>
      <c r="D2874" s="46">
        <v>41037.0</v>
      </c>
      <c r="E2874" s="46">
        <v>37596.0</v>
      </c>
    </row>
    <row r="2875">
      <c r="A2875" s="45">
        <v>51111.0</v>
      </c>
      <c r="B2875" s="45" t="s">
        <v>3713</v>
      </c>
      <c r="C2875" s="45" t="s">
        <v>3741</v>
      </c>
      <c r="D2875" s="46">
        <v>12038.0</v>
      </c>
      <c r="E2875" s="46">
        <v>11936.0</v>
      </c>
    </row>
    <row r="2876">
      <c r="A2876" s="45">
        <v>51113.0</v>
      </c>
      <c r="B2876" s="45" t="s">
        <v>3713</v>
      </c>
      <c r="C2876" s="45" t="s">
        <v>2039</v>
      </c>
      <c r="D2876" s="46">
        <v>14128.0</v>
      </c>
      <c r="E2876" s="46">
        <v>13837.0</v>
      </c>
    </row>
    <row r="2877">
      <c r="A2877" s="45">
        <v>51115.0</v>
      </c>
      <c r="B2877" s="45" t="s">
        <v>3713</v>
      </c>
      <c r="C2877" s="45" t="s">
        <v>3742</v>
      </c>
      <c r="D2877" s="46">
        <v>8514.0</v>
      </c>
      <c r="E2877" s="46">
        <v>8533.0</v>
      </c>
    </row>
    <row r="2878">
      <c r="A2878" s="45">
        <v>51117.0</v>
      </c>
      <c r="B2878" s="45" t="s">
        <v>3713</v>
      </c>
      <c r="C2878" s="45" t="s">
        <v>3239</v>
      </c>
      <c r="D2878" s="46">
        <v>30648.0</v>
      </c>
      <c r="E2878" s="46">
        <v>30319.0</v>
      </c>
    </row>
    <row r="2879">
      <c r="A2879" s="45">
        <v>51119.0</v>
      </c>
      <c r="B2879" s="45" t="s">
        <v>3713</v>
      </c>
      <c r="C2879" s="45" t="s">
        <v>2254</v>
      </c>
      <c r="D2879" s="46">
        <v>10924.0</v>
      </c>
      <c r="E2879" s="46">
        <v>10625.0</v>
      </c>
    </row>
    <row r="2880">
      <c r="A2880" s="45">
        <v>51121.0</v>
      </c>
      <c r="B2880" s="45" t="s">
        <v>3713</v>
      </c>
      <c r="C2880" s="45" t="s">
        <v>2045</v>
      </c>
      <c r="D2880" s="46">
        <v>98666.0</v>
      </c>
      <c r="E2880" s="46">
        <v>99721.0</v>
      </c>
    </row>
    <row r="2881">
      <c r="A2881" s="45">
        <v>51125.0</v>
      </c>
      <c r="B2881" s="45" t="s">
        <v>3713</v>
      </c>
      <c r="C2881" s="45" t="s">
        <v>2711</v>
      </c>
      <c r="D2881" s="46">
        <v>14705.0</v>
      </c>
      <c r="E2881" s="46">
        <v>14775.0</v>
      </c>
    </row>
    <row r="2882">
      <c r="A2882" s="45">
        <v>51127.0</v>
      </c>
      <c r="B2882" s="45" t="s">
        <v>3713</v>
      </c>
      <c r="C2882" s="45" t="s">
        <v>3743</v>
      </c>
      <c r="D2882" s="46">
        <v>26134.0</v>
      </c>
      <c r="E2882" s="46">
        <v>22945.0</v>
      </c>
    </row>
    <row r="2883">
      <c r="A2883" s="45">
        <v>51131.0</v>
      </c>
      <c r="B2883" s="45" t="s">
        <v>3713</v>
      </c>
      <c r="C2883" s="45" t="s">
        <v>3243</v>
      </c>
      <c r="D2883" s="46">
        <v>12021.0</v>
      </c>
      <c r="E2883" s="46">
        <v>12282.0</v>
      </c>
    </row>
    <row r="2884">
      <c r="A2884" s="45">
        <v>51133.0</v>
      </c>
      <c r="B2884" s="45" t="s">
        <v>3713</v>
      </c>
      <c r="C2884" s="45" t="s">
        <v>3419</v>
      </c>
      <c r="D2884" s="46">
        <v>12391.0</v>
      </c>
      <c r="E2884" s="46">
        <v>11839.0</v>
      </c>
    </row>
    <row r="2885">
      <c r="A2885" s="45">
        <v>51135.0</v>
      </c>
      <c r="B2885" s="45" t="s">
        <v>3713</v>
      </c>
      <c r="C2885" s="45" t="s">
        <v>3744</v>
      </c>
      <c r="D2885" s="46">
        <v>15566.0</v>
      </c>
      <c r="E2885" s="46">
        <v>15642.0</v>
      </c>
    </row>
    <row r="2886">
      <c r="A2886" s="45">
        <v>51137.0</v>
      </c>
      <c r="B2886" s="45" t="s">
        <v>3713</v>
      </c>
      <c r="C2886" s="45" t="s">
        <v>2166</v>
      </c>
      <c r="D2886" s="46">
        <v>38574.0</v>
      </c>
      <c r="E2886" s="46">
        <v>36254.0</v>
      </c>
    </row>
    <row r="2887">
      <c r="A2887" s="45">
        <v>51139.0</v>
      </c>
      <c r="B2887" s="45" t="s">
        <v>3713</v>
      </c>
      <c r="C2887" s="45" t="s">
        <v>2586</v>
      </c>
      <c r="D2887" s="46">
        <v>23741.0</v>
      </c>
      <c r="E2887" s="46">
        <v>23709.0</v>
      </c>
    </row>
    <row r="2888">
      <c r="A2888" s="45">
        <v>51141.0</v>
      </c>
      <c r="B2888" s="45" t="s">
        <v>3713</v>
      </c>
      <c r="C2888" s="45" t="s">
        <v>3745</v>
      </c>
      <c r="D2888" s="46">
        <v>17509.0</v>
      </c>
      <c r="E2888" s="46">
        <v>17608.0</v>
      </c>
    </row>
    <row r="2889">
      <c r="A2889" s="45">
        <v>51143.0</v>
      </c>
      <c r="B2889" s="45" t="s">
        <v>3713</v>
      </c>
      <c r="C2889" s="45" t="s">
        <v>3746</v>
      </c>
      <c r="D2889" s="46">
        <v>59571.0</v>
      </c>
      <c r="E2889" s="46">
        <v>60501.0</v>
      </c>
    </row>
    <row r="2890">
      <c r="A2890" s="45">
        <v>51145.0</v>
      </c>
      <c r="B2890" s="45" t="s">
        <v>3713</v>
      </c>
      <c r="C2890" s="45" t="s">
        <v>3747</v>
      </c>
      <c r="D2890" s="46">
        <v>32105.0</v>
      </c>
      <c r="E2890" s="46">
        <v>30333.0</v>
      </c>
    </row>
    <row r="2891">
      <c r="A2891" s="45">
        <v>51147.0</v>
      </c>
      <c r="B2891" s="45" t="s">
        <v>3713</v>
      </c>
      <c r="C2891" s="45" t="s">
        <v>3748</v>
      </c>
      <c r="D2891" s="46">
        <v>22049.0</v>
      </c>
      <c r="E2891" s="46">
        <v>21849.0</v>
      </c>
    </row>
    <row r="2892">
      <c r="A2892" s="45">
        <v>51149.0</v>
      </c>
      <c r="B2892" s="45" t="s">
        <v>3713</v>
      </c>
      <c r="C2892" s="45" t="s">
        <v>3749</v>
      </c>
      <c r="D2892" s="46">
        <v>42871.0</v>
      </c>
      <c r="E2892" s="46">
        <v>43010.0</v>
      </c>
    </row>
    <row r="2893">
      <c r="A2893" s="45">
        <v>51153.0</v>
      </c>
      <c r="B2893" s="45" t="s">
        <v>3713</v>
      </c>
      <c r="C2893" s="45" t="s">
        <v>3750</v>
      </c>
      <c r="D2893" s="46">
        <v>489640.0</v>
      </c>
      <c r="E2893" s="46">
        <v>482204.0</v>
      </c>
    </row>
    <row r="2894">
      <c r="A2894" s="45">
        <v>51155.0</v>
      </c>
      <c r="B2894" s="45" t="s">
        <v>3713</v>
      </c>
      <c r="C2894" s="45" t="s">
        <v>2123</v>
      </c>
      <c r="D2894" s="46">
        <v>33655.0</v>
      </c>
      <c r="E2894" s="46">
        <v>33800.0</v>
      </c>
    </row>
    <row r="2895">
      <c r="A2895" s="45">
        <v>51157.0</v>
      </c>
      <c r="B2895" s="45" t="s">
        <v>3713</v>
      </c>
      <c r="C2895" s="45" t="s">
        <v>3751</v>
      </c>
      <c r="D2895" s="46">
        <v>7414.0</v>
      </c>
      <c r="E2895" s="46">
        <v>7348.0</v>
      </c>
    </row>
    <row r="2896">
      <c r="A2896" s="45">
        <v>51159.0</v>
      </c>
      <c r="B2896" s="45" t="s">
        <v>3713</v>
      </c>
      <c r="C2896" s="45" t="s">
        <v>2393</v>
      </c>
      <c r="D2896" s="46">
        <v>9184.0</v>
      </c>
      <c r="E2896" s="46">
        <v>8923.0</v>
      </c>
    </row>
    <row r="2897">
      <c r="A2897" s="45">
        <v>51161.0</v>
      </c>
      <c r="B2897" s="45" t="s">
        <v>3713</v>
      </c>
      <c r="C2897" s="45" t="s">
        <v>3752</v>
      </c>
      <c r="D2897" s="46">
        <v>97026.0</v>
      </c>
      <c r="E2897" s="46">
        <v>96929.0</v>
      </c>
    </row>
    <row r="2898">
      <c r="A2898" s="45">
        <v>51163.0</v>
      </c>
      <c r="B2898" s="45" t="s">
        <v>3713</v>
      </c>
      <c r="C2898" s="45" t="s">
        <v>3753</v>
      </c>
      <c r="D2898" s="46">
        <v>22358.0</v>
      </c>
      <c r="E2898" s="46">
        <v>22650.0</v>
      </c>
    </row>
    <row r="2899">
      <c r="A2899" s="45">
        <v>51165.0</v>
      </c>
      <c r="B2899" s="45" t="s">
        <v>3713</v>
      </c>
      <c r="C2899" s="45" t="s">
        <v>3129</v>
      </c>
      <c r="D2899" s="46">
        <v>86568.0</v>
      </c>
      <c r="E2899" s="46">
        <v>83757.0</v>
      </c>
    </row>
    <row r="2900">
      <c r="A2900" s="45">
        <v>51167.0</v>
      </c>
      <c r="B2900" s="45" t="s">
        <v>3713</v>
      </c>
      <c r="C2900" s="45" t="s">
        <v>2051</v>
      </c>
      <c r="D2900" s="46">
        <v>25477.0</v>
      </c>
      <c r="E2900" s="46">
        <v>25781.0</v>
      </c>
    </row>
    <row r="2901">
      <c r="A2901" s="45">
        <v>51169.0</v>
      </c>
      <c r="B2901" s="45" t="s">
        <v>3713</v>
      </c>
      <c r="C2901" s="45" t="s">
        <v>2126</v>
      </c>
      <c r="D2901" s="46">
        <v>21433.0</v>
      </c>
      <c r="E2901" s="46">
        <v>21576.0</v>
      </c>
    </row>
    <row r="2902">
      <c r="A2902" s="45">
        <v>51171.0</v>
      </c>
      <c r="B2902" s="45" t="s">
        <v>3713</v>
      </c>
      <c r="C2902" s="45" t="s">
        <v>3754</v>
      </c>
      <c r="D2902" s="46">
        <v>45228.0</v>
      </c>
      <c r="E2902" s="46">
        <v>44186.0</v>
      </c>
    </row>
    <row r="2903">
      <c r="A2903" s="45">
        <v>51173.0</v>
      </c>
      <c r="B2903" s="45" t="s">
        <v>3713</v>
      </c>
      <c r="C2903" s="45" t="s">
        <v>3755</v>
      </c>
      <c r="D2903" s="46">
        <v>29216.0</v>
      </c>
      <c r="E2903" s="46">
        <v>29800.0</v>
      </c>
    </row>
    <row r="2904">
      <c r="A2904" s="45">
        <v>51175.0</v>
      </c>
      <c r="B2904" s="45" t="s">
        <v>3713</v>
      </c>
      <c r="C2904" s="45" t="s">
        <v>3756</v>
      </c>
      <c r="D2904" s="46">
        <v>17975.0</v>
      </c>
      <c r="E2904" s="46">
        <v>17996.0</v>
      </c>
    </row>
    <row r="2905">
      <c r="A2905" s="45">
        <v>51177.0</v>
      </c>
      <c r="B2905" s="45" t="s">
        <v>3713</v>
      </c>
      <c r="C2905" s="45" t="s">
        <v>3757</v>
      </c>
      <c r="D2905" s="46">
        <v>149588.0</v>
      </c>
      <c r="E2905" s="46">
        <v>140032.0</v>
      </c>
    </row>
    <row r="2906">
      <c r="A2906" s="45">
        <v>51179.0</v>
      </c>
      <c r="B2906" s="45" t="s">
        <v>3713</v>
      </c>
      <c r="C2906" s="45" t="s">
        <v>2658</v>
      </c>
      <c r="D2906" s="46">
        <v>165428.0</v>
      </c>
      <c r="E2906" s="46">
        <v>156927.0</v>
      </c>
    </row>
    <row r="2907">
      <c r="A2907" s="45">
        <v>51181.0</v>
      </c>
      <c r="B2907" s="45" t="s">
        <v>3713</v>
      </c>
      <c r="C2907" s="45" t="s">
        <v>3256</v>
      </c>
      <c r="D2907" s="46">
        <v>6593.0</v>
      </c>
      <c r="E2907" s="46">
        <v>6561.0</v>
      </c>
    </row>
    <row r="2908">
      <c r="A2908" s="45">
        <v>51183.0</v>
      </c>
      <c r="B2908" s="45" t="s">
        <v>3713</v>
      </c>
      <c r="C2908" s="45" t="s">
        <v>2262</v>
      </c>
      <c r="D2908" s="46">
        <v>10757.0</v>
      </c>
      <c r="E2908" s="46">
        <v>10829.0</v>
      </c>
    </row>
    <row r="2909">
      <c r="A2909" s="45">
        <v>51185.0</v>
      </c>
      <c r="B2909" s="45" t="s">
        <v>3713</v>
      </c>
      <c r="C2909" s="45" t="s">
        <v>2505</v>
      </c>
      <c r="D2909" s="46">
        <v>39120.0</v>
      </c>
      <c r="E2909" s="46">
        <v>40429.0</v>
      </c>
    </row>
    <row r="2910">
      <c r="A2910" s="45">
        <v>51187.0</v>
      </c>
      <c r="B2910" s="45" t="s">
        <v>3713</v>
      </c>
      <c r="C2910" s="45" t="s">
        <v>2415</v>
      </c>
      <c r="D2910" s="46">
        <v>41843.0</v>
      </c>
      <c r="E2910" s="46">
        <v>40727.0</v>
      </c>
    </row>
    <row r="2911">
      <c r="A2911" s="45">
        <v>51191.0</v>
      </c>
      <c r="B2911" s="45" t="s">
        <v>3713</v>
      </c>
      <c r="C2911" s="45" t="s">
        <v>2059</v>
      </c>
      <c r="D2911" s="46">
        <v>54050.0</v>
      </c>
      <c r="E2911" s="46">
        <v>53935.0</v>
      </c>
    </row>
    <row r="2912">
      <c r="A2912" s="45">
        <v>51193.0</v>
      </c>
      <c r="B2912" s="45" t="s">
        <v>3713</v>
      </c>
      <c r="C2912" s="45" t="s">
        <v>3426</v>
      </c>
      <c r="D2912" s="46">
        <v>19013.0</v>
      </c>
      <c r="E2912" s="46">
        <v>18477.0</v>
      </c>
    </row>
    <row r="2913">
      <c r="A2913" s="45">
        <v>51195.0</v>
      </c>
      <c r="B2913" s="45" t="s">
        <v>3713</v>
      </c>
      <c r="C2913" s="45" t="s">
        <v>3682</v>
      </c>
      <c r="D2913" s="46">
        <v>35174.0</v>
      </c>
      <c r="E2913" s="46">
        <v>36130.0</v>
      </c>
    </row>
    <row r="2914">
      <c r="A2914" s="45">
        <v>51197.0</v>
      </c>
      <c r="B2914" s="45" t="s">
        <v>3713</v>
      </c>
      <c r="C2914" s="45" t="s">
        <v>3758</v>
      </c>
      <c r="D2914" s="46">
        <v>28104.0</v>
      </c>
      <c r="E2914" s="46">
        <v>28290.0</v>
      </c>
    </row>
    <row r="2915">
      <c r="A2915" s="45">
        <v>51199.0</v>
      </c>
      <c r="B2915" s="45" t="s">
        <v>3713</v>
      </c>
      <c r="C2915" s="45" t="s">
        <v>2800</v>
      </c>
      <c r="D2915" s="46">
        <v>70952.0</v>
      </c>
      <c r="E2915" s="46">
        <v>70045.0</v>
      </c>
    </row>
    <row r="2916">
      <c r="A2916" s="45">
        <v>51510.0</v>
      </c>
      <c r="B2916" s="45" t="s">
        <v>3713</v>
      </c>
      <c r="C2916" s="45" t="s">
        <v>3759</v>
      </c>
      <c r="D2916" s="46">
        <v>155230.0</v>
      </c>
      <c r="E2916" s="46">
        <v>159467.0</v>
      </c>
    </row>
    <row r="2917">
      <c r="A2917" s="45">
        <v>51520.0</v>
      </c>
      <c r="B2917" s="45" t="s">
        <v>3713</v>
      </c>
      <c r="C2917" s="45" t="s">
        <v>3760</v>
      </c>
      <c r="D2917" s="46">
        <v>16807.0</v>
      </c>
      <c r="E2917" s="46">
        <v>17219.0</v>
      </c>
    </row>
    <row r="2918">
      <c r="A2918" s="45">
        <v>51530.0</v>
      </c>
      <c r="B2918" s="45" t="s">
        <v>3713</v>
      </c>
      <c r="C2918" s="45" t="s">
        <v>3761</v>
      </c>
      <c r="D2918" s="46">
        <v>6566.0</v>
      </c>
      <c r="E2918" s="46">
        <v>6641.0</v>
      </c>
    </row>
    <row r="2919">
      <c r="A2919" s="45">
        <v>51540.0</v>
      </c>
      <c r="B2919" s="45" t="s">
        <v>3713</v>
      </c>
      <c r="C2919" s="45" t="s">
        <v>3762</v>
      </c>
      <c r="D2919" s="46">
        <v>44983.0</v>
      </c>
      <c r="E2919" s="46">
        <v>46553.0</v>
      </c>
    </row>
    <row r="2920">
      <c r="A2920" s="45">
        <v>51550.0</v>
      </c>
      <c r="B2920" s="45" t="s">
        <v>3713</v>
      </c>
      <c r="C2920" s="45" t="s">
        <v>3763</v>
      </c>
      <c r="D2920" s="46">
        <v>253886.0</v>
      </c>
      <c r="E2920" s="46">
        <v>249422.0</v>
      </c>
    </row>
    <row r="2921">
      <c r="A2921" s="45">
        <v>51570.0</v>
      </c>
      <c r="B2921" s="45" t="s">
        <v>3713</v>
      </c>
      <c r="C2921" s="45" t="s">
        <v>3764</v>
      </c>
      <c r="D2921" s="46">
        <v>18393.0</v>
      </c>
      <c r="E2921" s="46">
        <v>18170.0</v>
      </c>
    </row>
    <row r="2922">
      <c r="A2922" s="45">
        <v>51580.0</v>
      </c>
      <c r="B2922" s="45" t="s">
        <v>3713</v>
      </c>
      <c r="C2922" s="45" t="s">
        <v>3765</v>
      </c>
      <c r="D2922" s="46">
        <v>5545.0</v>
      </c>
      <c r="E2922" s="46">
        <v>5737.0</v>
      </c>
    </row>
    <row r="2923">
      <c r="A2923" s="45">
        <v>51590.0</v>
      </c>
      <c r="B2923" s="45" t="s">
        <v>3713</v>
      </c>
      <c r="C2923" s="45" t="s">
        <v>3766</v>
      </c>
      <c r="D2923" s="46">
        <v>41837.0</v>
      </c>
      <c r="E2923" s="46">
        <v>42590.0</v>
      </c>
    </row>
    <row r="2924">
      <c r="A2924" s="45">
        <v>51595.0</v>
      </c>
      <c r="B2924" s="45" t="s">
        <v>3713</v>
      </c>
      <c r="C2924" s="45" t="s">
        <v>3767</v>
      </c>
      <c r="D2924" s="46">
        <v>5463.0</v>
      </c>
      <c r="E2924" s="46">
        <v>5766.0</v>
      </c>
    </row>
    <row r="2925">
      <c r="A2925" s="45">
        <v>51600.0</v>
      </c>
      <c r="B2925" s="45" t="s">
        <v>3713</v>
      </c>
      <c r="C2925" s="45" t="s">
        <v>3768</v>
      </c>
      <c r="D2925" s="46">
        <v>25144.0</v>
      </c>
      <c r="E2925" s="46">
        <v>24146.0</v>
      </c>
    </row>
    <row r="2926">
      <c r="A2926" s="45">
        <v>51610.0</v>
      </c>
      <c r="B2926" s="45" t="s">
        <v>3713</v>
      </c>
      <c r="C2926" s="45" t="s">
        <v>3769</v>
      </c>
      <c r="D2926" s="46">
        <v>14685.0</v>
      </c>
      <c r="E2926" s="46">
        <v>14658.0</v>
      </c>
    </row>
    <row r="2927">
      <c r="A2927" s="45">
        <v>51620.0</v>
      </c>
      <c r="B2927" s="45" t="s">
        <v>3713</v>
      </c>
      <c r="C2927" s="45" t="s">
        <v>3770</v>
      </c>
      <c r="D2927" s="46">
        <v>8339.0</v>
      </c>
      <c r="E2927" s="46">
        <v>8180.0</v>
      </c>
    </row>
    <row r="2928">
      <c r="A2928" s="45">
        <v>51630.0</v>
      </c>
      <c r="B2928" s="45" t="s">
        <v>3713</v>
      </c>
      <c r="C2928" s="45" t="s">
        <v>3771</v>
      </c>
      <c r="D2928" s="46">
        <v>28928.0</v>
      </c>
      <c r="E2928" s="46">
        <v>27982.0</v>
      </c>
    </row>
    <row r="2929">
      <c r="A2929" s="45">
        <v>51640.0</v>
      </c>
      <c r="B2929" s="45" t="s">
        <v>3713</v>
      </c>
      <c r="C2929" s="45" t="s">
        <v>3772</v>
      </c>
      <c r="D2929" s="46">
        <v>6717.0</v>
      </c>
      <c r="E2929" s="46">
        <v>6720.0</v>
      </c>
    </row>
    <row r="2930">
      <c r="A2930" s="45">
        <v>51650.0</v>
      </c>
      <c r="B2930" s="45" t="s">
        <v>3713</v>
      </c>
      <c r="C2930" s="45" t="s">
        <v>3773</v>
      </c>
      <c r="D2930" s="46">
        <v>137098.0</v>
      </c>
      <c r="E2930" s="46">
        <v>137148.0</v>
      </c>
    </row>
    <row r="2931">
      <c r="A2931" s="45">
        <v>51660.0</v>
      </c>
      <c r="B2931" s="45" t="s">
        <v>3713</v>
      </c>
      <c r="C2931" s="45" t="s">
        <v>3774</v>
      </c>
      <c r="D2931" s="46">
        <v>51082.0</v>
      </c>
      <c r="E2931" s="46">
        <v>51814.0</v>
      </c>
    </row>
    <row r="2932">
      <c r="A2932" s="45">
        <v>51670.0</v>
      </c>
      <c r="B2932" s="45" t="s">
        <v>3713</v>
      </c>
      <c r="C2932" s="45" t="s">
        <v>3775</v>
      </c>
      <c r="D2932" s="46">
        <v>22752.0</v>
      </c>
      <c r="E2932" s="46">
        <v>23033.0</v>
      </c>
    </row>
    <row r="2933">
      <c r="A2933" s="45">
        <v>51678.0</v>
      </c>
      <c r="B2933" s="45" t="s">
        <v>3713</v>
      </c>
      <c r="C2933" s="45" t="s">
        <v>3776</v>
      </c>
      <c r="D2933" s="46">
        <v>7528.0</v>
      </c>
      <c r="E2933" s="46">
        <v>7320.0</v>
      </c>
    </row>
    <row r="2934">
      <c r="A2934" s="45">
        <v>51680.0</v>
      </c>
      <c r="B2934" s="45" t="s">
        <v>3713</v>
      </c>
      <c r="C2934" s="45" t="s">
        <v>3777</v>
      </c>
      <c r="D2934" s="46">
        <v>79535.0</v>
      </c>
      <c r="E2934" s="46">
        <v>79009.0</v>
      </c>
    </row>
    <row r="2935">
      <c r="A2935" s="45">
        <v>51683.0</v>
      </c>
      <c r="B2935" s="45" t="s">
        <v>3713</v>
      </c>
      <c r="C2935" s="45" t="s">
        <v>3778</v>
      </c>
      <c r="D2935" s="46">
        <v>42696.0</v>
      </c>
      <c r="E2935" s="46">
        <v>42772.0</v>
      </c>
    </row>
    <row r="2936">
      <c r="A2936" s="45">
        <v>51685.0</v>
      </c>
      <c r="B2936" s="45" t="s">
        <v>3713</v>
      </c>
      <c r="C2936" s="45" t="s">
        <v>3779</v>
      </c>
      <c r="D2936" s="46">
        <v>16361.0</v>
      </c>
      <c r="E2936" s="46">
        <v>17219.0</v>
      </c>
    </row>
    <row r="2937">
      <c r="A2937" s="45">
        <v>51690.0</v>
      </c>
      <c r="B2937" s="45" t="s">
        <v>3713</v>
      </c>
      <c r="C2937" s="45" t="s">
        <v>3780</v>
      </c>
      <c r="D2937" s="46">
        <v>13763.0</v>
      </c>
      <c r="E2937" s="46">
        <v>13485.0</v>
      </c>
    </row>
    <row r="2938">
      <c r="A2938" s="45">
        <v>51700.0</v>
      </c>
      <c r="B2938" s="45" t="s">
        <v>3713</v>
      </c>
      <c r="C2938" s="45" t="s">
        <v>3781</v>
      </c>
      <c r="D2938" s="46">
        <v>183118.0</v>
      </c>
      <c r="E2938" s="46">
        <v>186247.0</v>
      </c>
    </row>
    <row r="2939">
      <c r="A2939" s="45">
        <v>51710.0</v>
      </c>
      <c r="B2939" s="45" t="s">
        <v>3713</v>
      </c>
      <c r="C2939" s="45" t="s">
        <v>3782</v>
      </c>
      <c r="D2939" s="46">
        <v>230930.0</v>
      </c>
      <c r="E2939" s="46">
        <v>238005.0</v>
      </c>
    </row>
    <row r="2940">
      <c r="A2940" s="45">
        <v>51720.0</v>
      </c>
      <c r="B2940" s="45" t="s">
        <v>3713</v>
      </c>
      <c r="C2940" s="45" t="s">
        <v>3783</v>
      </c>
      <c r="D2940" s="46">
        <v>3492.0</v>
      </c>
      <c r="E2940" s="46">
        <v>3687.0</v>
      </c>
    </row>
    <row r="2941">
      <c r="A2941" s="45">
        <v>51730.0</v>
      </c>
      <c r="B2941" s="45" t="s">
        <v>3713</v>
      </c>
      <c r="C2941" s="45" t="s">
        <v>3784</v>
      </c>
      <c r="D2941" s="46">
        <v>33309.0</v>
      </c>
      <c r="E2941" s="46">
        <v>33458.0</v>
      </c>
    </row>
    <row r="2942">
      <c r="A2942" s="45">
        <v>51735.0</v>
      </c>
      <c r="B2942" s="45" t="s">
        <v>3713</v>
      </c>
      <c r="C2942" s="45" t="s">
        <v>3785</v>
      </c>
      <c r="D2942" s="46">
        <v>12635.0</v>
      </c>
      <c r="E2942" s="46">
        <v>12460.0</v>
      </c>
    </row>
    <row r="2943">
      <c r="A2943" s="45">
        <v>51740.0</v>
      </c>
      <c r="B2943" s="45" t="s">
        <v>3713</v>
      </c>
      <c r="C2943" s="45" t="s">
        <v>3786</v>
      </c>
      <c r="D2943" s="46">
        <v>96793.0</v>
      </c>
      <c r="E2943" s="46">
        <v>97915.0</v>
      </c>
    </row>
    <row r="2944">
      <c r="A2944" s="45">
        <v>51750.0</v>
      </c>
      <c r="B2944" s="45" t="s">
        <v>3713</v>
      </c>
      <c r="C2944" s="45" t="s">
        <v>3787</v>
      </c>
      <c r="D2944" s="46">
        <v>16971.0</v>
      </c>
      <c r="E2944" s="46">
        <v>16070.0</v>
      </c>
    </row>
    <row r="2945">
      <c r="A2945" s="45">
        <v>51760.0</v>
      </c>
      <c r="B2945" s="45" t="s">
        <v>3713</v>
      </c>
      <c r="C2945" s="45" t="s">
        <v>3788</v>
      </c>
      <c r="D2945" s="46">
        <v>229247.0</v>
      </c>
      <c r="E2945" s="46">
        <v>226610.0</v>
      </c>
    </row>
    <row r="2946">
      <c r="A2946" s="45">
        <v>51770.0</v>
      </c>
      <c r="B2946" s="45" t="s">
        <v>3713</v>
      </c>
      <c r="C2946" s="45" t="s">
        <v>3789</v>
      </c>
      <c r="D2946" s="46">
        <v>97171.0</v>
      </c>
      <c r="E2946" s="46">
        <v>100011.0</v>
      </c>
    </row>
    <row r="2947">
      <c r="A2947" s="45">
        <v>51775.0</v>
      </c>
      <c r="B2947" s="45" t="s">
        <v>3713</v>
      </c>
      <c r="C2947" s="45" t="s">
        <v>3790</v>
      </c>
      <c r="D2947" s="46">
        <v>25600.0</v>
      </c>
      <c r="E2947" s="46">
        <v>25346.0</v>
      </c>
    </row>
    <row r="2948">
      <c r="A2948" s="45">
        <v>51790.0</v>
      </c>
      <c r="B2948" s="45" t="s">
        <v>3713</v>
      </c>
      <c r="C2948" s="45" t="s">
        <v>3791</v>
      </c>
      <c r="D2948" s="46">
        <v>25915.0</v>
      </c>
      <c r="E2948" s="46">
        <v>25750.0</v>
      </c>
    </row>
    <row r="2949">
      <c r="A2949" s="45">
        <v>51800.0</v>
      </c>
      <c r="B2949" s="45" t="s">
        <v>3713</v>
      </c>
      <c r="C2949" s="45" t="s">
        <v>3792</v>
      </c>
      <c r="D2949" s="46">
        <v>100659.0</v>
      </c>
      <c r="E2949" s="46">
        <v>94324.0</v>
      </c>
    </row>
    <row r="2950">
      <c r="A2950" s="45">
        <v>51810.0</v>
      </c>
      <c r="B2950" s="45" t="s">
        <v>3713</v>
      </c>
      <c r="C2950" s="45" t="s">
        <v>3793</v>
      </c>
      <c r="D2950" s="46">
        <v>453649.0</v>
      </c>
      <c r="E2950" s="46">
        <v>459470.0</v>
      </c>
    </row>
    <row r="2951">
      <c r="A2951" s="45">
        <v>51820.0</v>
      </c>
      <c r="B2951" s="45" t="s">
        <v>3713</v>
      </c>
      <c r="C2951" s="45" t="s">
        <v>3794</v>
      </c>
      <c r="D2951" s="46">
        <v>23182.0</v>
      </c>
      <c r="E2951" s="46">
        <v>22196.0</v>
      </c>
    </row>
    <row r="2952">
      <c r="A2952" s="45">
        <v>51830.0</v>
      </c>
      <c r="B2952" s="45" t="s">
        <v>3713</v>
      </c>
      <c r="C2952" s="45" t="s">
        <v>3795</v>
      </c>
      <c r="D2952" s="46">
        <v>15847.0</v>
      </c>
      <c r="E2952" s="46">
        <v>15425.0</v>
      </c>
    </row>
    <row r="2953">
      <c r="A2953" s="45">
        <v>51840.0</v>
      </c>
      <c r="B2953" s="45" t="s">
        <v>3713</v>
      </c>
      <c r="C2953" s="45" t="s">
        <v>3796</v>
      </c>
      <c r="D2953" s="46">
        <v>27617.0</v>
      </c>
      <c r="E2953" s="46">
        <v>28120.0</v>
      </c>
    </row>
    <row r="2954">
      <c r="A2954" s="45">
        <v>53001.0</v>
      </c>
      <c r="B2954" s="45" t="s">
        <v>3797</v>
      </c>
      <c r="C2954" s="45" t="s">
        <v>2195</v>
      </c>
      <c r="D2954" s="46">
        <v>20820.0</v>
      </c>
      <c r="E2954" s="46">
        <v>20613.0</v>
      </c>
    </row>
    <row r="2955">
      <c r="A2955" s="45">
        <v>53003.0</v>
      </c>
      <c r="B2955" s="45" t="s">
        <v>3797</v>
      </c>
      <c r="C2955" s="45" t="s">
        <v>3798</v>
      </c>
      <c r="D2955" s="46">
        <v>22549.0</v>
      </c>
      <c r="E2955" s="46">
        <v>22285.0</v>
      </c>
    </row>
    <row r="2956">
      <c r="A2956" s="45">
        <v>53005.0</v>
      </c>
      <c r="B2956" s="45" t="s">
        <v>3797</v>
      </c>
      <c r="C2956" s="45" t="s">
        <v>2083</v>
      </c>
      <c r="D2956" s="46">
        <v>215219.0</v>
      </c>
      <c r="E2956" s="46">
        <v>206873.0</v>
      </c>
    </row>
    <row r="2957">
      <c r="A2957" s="45">
        <v>53007.0</v>
      </c>
      <c r="B2957" s="45" t="s">
        <v>3797</v>
      </c>
      <c r="C2957" s="45" t="s">
        <v>3799</v>
      </c>
      <c r="D2957" s="46">
        <v>79997.0</v>
      </c>
      <c r="E2957" s="46">
        <v>79074.0</v>
      </c>
    </row>
    <row r="2958">
      <c r="A2958" s="45">
        <v>53009.0</v>
      </c>
      <c r="B2958" s="45" t="s">
        <v>3797</v>
      </c>
      <c r="C2958" s="45" t="s">
        <v>3800</v>
      </c>
      <c r="D2958" s="46">
        <v>77616.0</v>
      </c>
      <c r="E2958" s="46">
        <v>77155.0</v>
      </c>
    </row>
    <row r="2959">
      <c r="A2959" s="45">
        <v>53011.0</v>
      </c>
      <c r="B2959" s="45" t="s">
        <v>3797</v>
      </c>
      <c r="C2959" s="45" t="s">
        <v>2088</v>
      </c>
      <c r="D2959" s="46">
        <v>521150.0</v>
      </c>
      <c r="E2959" s="46">
        <v>503311.0</v>
      </c>
    </row>
    <row r="2960">
      <c r="A2960" s="45">
        <v>53013.0</v>
      </c>
      <c r="B2960" s="45" t="s">
        <v>3797</v>
      </c>
      <c r="C2960" s="45" t="s">
        <v>2090</v>
      </c>
      <c r="D2960" s="46">
        <v>4053.0</v>
      </c>
      <c r="E2960" s="46">
        <v>3952.0</v>
      </c>
    </row>
    <row r="2961">
      <c r="A2961" s="45">
        <v>53015.0</v>
      </c>
      <c r="B2961" s="45" t="s">
        <v>3797</v>
      </c>
      <c r="C2961" s="45" t="s">
        <v>3801</v>
      </c>
      <c r="D2961" s="46">
        <v>112864.0</v>
      </c>
      <c r="E2961" s="46">
        <v>110730.0</v>
      </c>
    </row>
    <row r="2962">
      <c r="A2962" s="45">
        <v>53017.0</v>
      </c>
      <c r="B2962" s="45" t="s">
        <v>3797</v>
      </c>
      <c r="C2962" s="45" t="s">
        <v>2213</v>
      </c>
      <c r="D2962" s="46">
        <v>44798.0</v>
      </c>
      <c r="E2962" s="46">
        <v>42938.0</v>
      </c>
    </row>
    <row r="2963">
      <c r="A2963" s="45">
        <v>53019.0</v>
      </c>
      <c r="B2963" s="45" t="s">
        <v>3797</v>
      </c>
      <c r="C2963" s="45" t="s">
        <v>3802</v>
      </c>
      <c r="D2963" s="46">
        <v>7497.0</v>
      </c>
      <c r="E2963" s="46">
        <v>7178.0</v>
      </c>
    </row>
    <row r="2964">
      <c r="A2964" s="45">
        <v>53021.0</v>
      </c>
      <c r="B2964" s="45" t="s">
        <v>3797</v>
      </c>
      <c r="C2964" s="45" t="s">
        <v>2024</v>
      </c>
      <c r="D2964" s="46">
        <v>99034.0</v>
      </c>
      <c r="E2964" s="46">
        <v>96749.0</v>
      </c>
    </row>
    <row r="2965">
      <c r="A2965" s="45">
        <v>53023.0</v>
      </c>
      <c r="B2965" s="45" t="s">
        <v>3797</v>
      </c>
      <c r="C2965" s="45" t="s">
        <v>2218</v>
      </c>
      <c r="D2965" s="46">
        <v>2363.0</v>
      </c>
      <c r="E2965" s="46">
        <v>2286.0</v>
      </c>
    </row>
    <row r="2966">
      <c r="A2966" s="45">
        <v>53025.0</v>
      </c>
      <c r="B2966" s="45" t="s">
        <v>3797</v>
      </c>
      <c r="C2966" s="45" t="s">
        <v>2101</v>
      </c>
      <c r="D2966" s="46">
        <v>102678.0</v>
      </c>
      <c r="E2966" s="46">
        <v>99123.0</v>
      </c>
    </row>
    <row r="2967">
      <c r="A2967" s="45">
        <v>53027.0</v>
      </c>
      <c r="B2967" s="45" t="s">
        <v>3797</v>
      </c>
      <c r="C2967" s="45" t="s">
        <v>3803</v>
      </c>
      <c r="D2967" s="46">
        <v>77290.0</v>
      </c>
      <c r="E2967" s="46">
        <v>75636.0</v>
      </c>
    </row>
    <row r="2968">
      <c r="A2968" s="45">
        <v>53029.0</v>
      </c>
      <c r="B2968" s="45" t="s">
        <v>3797</v>
      </c>
      <c r="C2968" s="45" t="s">
        <v>3804</v>
      </c>
      <c r="D2968" s="46">
        <v>86267.0</v>
      </c>
      <c r="E2968" s="46">
        <v>86857.0</v>
      </c>
    </row>
    <row r="2969">
      <c r="A2969" s="45">
        <v>53031.0</v>
      </c>
      <c r="B2969" s="45" t="s">
        <v>3797</v>
      </c>
      <c r="C2969" s="45" t="s">
        <v>2031</v>
      </c>
      <c r="D2969" s="46">
        <v>33714.0</v>
      </c>
      <c r="E2969" s="46">
        <v>32977.0</v>
      </c>
    </row>
    <row r="2970">
      <c r="A2970" s="45">
        <v>53033.0</v>
      </c>
      <c r="B2970" s="45" t="s">
        <v>3797</v>
      </c>
      <c r="C2970" s="45" t="s">
        <v>3608</v>
      </c>
      <c r="D2970" s="46">
        <v>2271380.0</v>
      </c>
      <c r="E2970" s="46">
        <v>2269675.0</v>
      </c>
    </row>
    <row r="2971">
      <c r="A2971" s="45">
        <v>53035.0</v>
      </c>
      <c r="B2971" s="45" t="s">
        <v>3797</v>
      </c>
      <c r="C2971" s="45" t="s">
        <v>3805</v>
      </c>
      <c r="D2971" s="46">
        <v>277658.0</v>
      </c>
      <c r="E2971" s="46">
        <v>275611.0</v>
      </c>
    </row>
    <row r="2972">
      <c r="A2972" s="45">
        <v>53037.0</v>
      </c>
      <c r="B2972" s="45" t="s">
        <v>3797</v>
      </c>
      <c r="C2972" s="45" t="s">
        <v>3806</v>
      </c>
      <c r="D2972" s="46">
        <v>45508.0</v>
      </c>
      <c r="E2972" s="46">
        <v>44337.0</v>
      </c>
    </row>
    <row r="2973">
      <c r="A2973" s="45">
        <v>53039.0</v>
      </c>
      <c r="B2973" s="45" t="s">
        <v>3797</v>
      </c>
      <c r="C2973" s="45" t="s">
        <v>3807</v>
      </c>
      <c r="D2973" s="46">
        <v>23589.0</v>
      </c>
      <c r="E2973" s="46">
        <v>22735.0</v>
      </c>
    </row>
    <row r="2974">
      <c r="A2974" s="45">
        <v>53041.0</v>
      </c>
      <c r="B2974" s="45" t="s">
        <v>3797</v>
      </c>
      <c r="C2974" s="45" t="s">
        <v>2447</v>
      </c>
      <c r="D2974" s="46">
        <v>86154.0</v>
      </c>
      <c r="E2974" s="46">
        <v>82149.0</v>
      </c>
    </row>
    <row r="2975">
      <c r="A2975" s="45">
        <v>53043.0</v>
      </c>
      <c r="B2975" s="45" t="s">
        <v>3797</v>
      </c>
      <c r="C2975" s="45" t="s">
        <v>2109</v>
      </c>
      <c r="D2975" s="46">
        <v>11738.0</v>
      </c>
      <c r="E2975" s="46">
        <v>10876.0</v>
      </c>
    </row>
    <row r="2976">
      <c r="A2976" s="45">
        <v>53045.0</v>
      </c>
      <c r="B2976" s="45" t="s">
        <v>3797</v>
      </c>
      <c r="C2976" s="45" t="s">
        <v>2491</v>
      </c>
      <c r="D2976" s="46">
        <v>68389.0</v>
      </c>
      <c r="E2976" s="46">
        <v>65726.0</v>
      </c>
    </row>
    <row r="2977">
      <c r="A2977" s="45">
        <v>53047.0</v>
      </c>
      <c r="B2977" s="45" t="s">
        <v>3797</v>
      </c>
      <c r="C2977" s="45" t="s">
        <v>3808</v>
      </c>
      <c r="D2977" s="46">
        <v>43712.0</v>
      </c>
      <c r="E2977" s="46">
        <v>42104.0</v>
      </c>
    </row>
    <row r="2978">
      <c r="A2978" s="45">
        <v>53049.0</v>
      </c>
      <c r="B2978" s="45" t="s">
        <v>3797</v>
      </c>
      <c r="C2978" s="45" t="s">
        <v>3809</v>
      </c>
      <c r="D2978" s="46">
        <v>24200.0</v>
      </c>
      <c r="E2978" s="46">
        <v>23365.0</v>
      </c>
    </row>
    <row r="2979">
      <c r="A2979" s="45">
        <v>53051.0</v>
      </c>
      <c r="B2979" s="45" t="s">
        <v>3797</v>
      </c>
      <c r="C2979" s="45" t="s">
        <v>3810</v>
      </c>
      <c r="D2979" s="46">
        <v>14361.0</v>
      </c>
      <c r="E2979" s="46">
        <v>13401.0</v>
      </c>
    </row>
    <row r="2980">
      <c r="A2980" s="45">
        <v>53053.0</v>
      </c>
      <c r="B2980" s="45" t="s">
        <v>3797</v>
      </c>
      <c r="C2980" s="45" t="s">
        <v>2390</v>
      </c>
      <c r="D2980" s="46">
        <v>928696.0</v>
      </c>
      <c r="E2980" s="46">
        <v>921130.0</v>
      </c>
    </row>
    <row r="2981">
      <c r="A2981" s="45">
        <v>53055.0</v>
      </c>
      <c r="B2981" s="45" t="s">
        <v>3797</v>
      </c>
      <c r="C2981" s="45" t="s">
        <v>2244</v>
      </c>
      <c r="D2981" s="46">
        <v>18566.0</v>
      </c>
      <c r="E2981" s="46">
        <v>17788.0</v>
      </c>
    </row>
    <row r="2982">
      <c r="A2982" s="45">
        <v>53057.0</v>
      </c>
      <c r="B2982" s="45" t="s">
        <v>3797</v>
      </c>
      <c r="C2982" s="45" t="s">
        <v>3811</v>
      </c>
      <c r="D2982" s="46">
        <v>131417.0</v>
      </c>
      <c r="E2982" s="46">
        <v>129523.0</v>
      </c>
    </row>
    <row r="2983">
      <c r="A2983" s="45">
        <v>53059.0</v>
      </c>
      <c r="B2983" s="45" t="s">
        <v>3797</v>
      </c>
      <c r="C2983" s="45" t="s">
        <v>3812</v>
      </c>
      <c r="D2983" s="46">
        <v>12640.0</v>
      </c>
      <c r="E2983" s="46">
        <v>12036.0</v>
      </c>
    </row>
    <row r="2984">
      <c r="A2984" s="45">
        <v>53061.0</v>
      </c>
      <c r="B2984" s="45" t="s">
        <v>3797</v>
      </c>
      <c r="C2984" s="45" t="s">
        <v>3813</v>
      </c>
      <c r="D2984" s="46">
        <v>844761.0</v>
      </c>
      <c r="E2984" s="46">
        <v>827957.0</v>
      </c>
    </row>
    <row r="2985">
      <c r="A2985" s="45">
        <v>53063.0</v>
      </c>
      <c r="B2985" s="45" t="s">
        <v>3797</v>
      </c>
      <c r="C2985" s="45" t="s">
        <v>3814</v>
      </c>
      <c r="D2985" s="46">
        <v>551455.0</v>
      </c>
      <c r="E2985" s="46">
        <v>539339.0</v>
      </c>
    </row>
    <row r="2986">
      <c r="A2986" s="45">
        <v>53065.0</v>
      </c>
      <c r="B2986" s="45" t="s">
        <v>3797</v>
      </c>
      <c r="C2986" s="45" t="s">
        <v>2660</v>
      </c>
      <c r="D2986" s="46">
        <v>48837.0</v>
      </c>
      <c r="E2986" s="46">
        <v>46445.0</v>
      </c>
    </row>
    <row r="2987">
      <c r="A2987" s="45">
        <v>53067.0</v>
      </c>
      <c r="B2987" s="45" t="s">
        <v>3797</v>
      </c>
      <c r="C2987" s="45" t="s">
        <v>3111</v>
      </c>
      <c r="D2987" s="46">
        <v>299003.0</v>
      </c>
      <c r="E2987" s="46">
        <v>294793.0</v>
      </c>
    </row>
    <row r="2988">
      <c r="A2988" s="45">
        <v>53069.0</v>
      </c>
      <c r="B2988" s="45" t="s">
        <v>3797</v>
      </c>
      <c r="C2988" s="45" t="s">
        <v>3815</v>
      </c>
      <c r="D2988" s="46">
        <v>4765.0</v>
      </c>
      <c r="E2988" s="46">
        <v>4422.0</v>
      </c>
    </row>
    <row r="2989">
      <c r="A2989" s="45">
        <v>53071.0</v>
      </c>
      <c r="B2989" s="45" t="s">
        <v>3797</v>
      </c>
      <c r="C2989" s="45" t="s">
        <v>3816</v>
      </c>
      <c r="D2989" s="46">
        <v>61568.0</v>
      </c>
      <c r="E2989" s="46">
        <v>62584.0</v>
      </c>
    </row>
    <row r="2990">
      <c r="A2990" s="45">
        <v>53073.0</v>
      </c>
      <c r="B2990" s="45" t="s">
        <v>3797</v>
      </c>
      <c r="C2990" s="45" t="s">
        <v>3817</v>
      </c>
      <c r="D2990" s="46">
        <v>231919.0</v>
      </c>
      <c r="E2990" s="46">
        <v>226847.0</v>
      </c>
    </row>
    <row r="2991">
      <c r="A2991" s="45">
        <v>53075.0</v>
      </c>
      <c r="B2991" s="45" t="s">
        <v>3797</v>
      </c>
      <c r="C2991" s="45" t="s">
        <v>3818</v>
      </c>
      <c r="D2991" s="46">
        <v>48012.0</v>
      </c>
      <c r="E2991" s="46">
        <v>47973.0</v>
      </c>
    </row>
    <row r="2992">
      <c r="A2992" s="45">
        <v>53077.0</v>
      </c>
      <c r="B2992" s="45" t="s">
        <v>3797</v>
      </c>
      <c r="C2992" s="45" t="s">
        <v>3819</v>
      </c>
      <c r="D2992" s="46">
        <v>256643.0</v>
      </c>
      <c r="E2992" s="46">
        <v>256728.0</v>
      </c>
    </row>
    <row r="2993">
      <c r="A2993" s="45">
        <v>54001.0</v>
      </c>
      <c r="B2993" s="45" t="s">
        <v>3820</v>
      </c>
      <c r="C2993" s="45" t="s">
        <v>1997</v>
      </c>
      <c r="D2993" s="46">
        <v>15378.0</v>
      </c>
      <c r="E2993" s="46">
        <v>15465.0</v>
      </c>
    </row>
    <row r="2994">
      <c r="A2994" s="45">
        <v>54003.0</v>
      </c>
      <c r="B2994" s="45" t="s">
        <v>3820</v>
      </c>
      <c r="C2994" s="45" t="s">
        <v>3436</v>
      </c>
      <c r="D2994" s="46">
        <v>132440.0</v>
      </c>
      <c r="E2994" s="46">
        <v>122076.0</v>
      </c>
    </row>
    <row r="2995">
      <c r="A2995" s="45">
        <v>54005.0</v>
      </c>
      <c r="B2995" s="45" t="s">
        <v>3820</v>
      </c>
      <c r="C2995" s="45" t="s">
        <v>2084</v>
      </c>
      <c r="D2995" s="46">
        <v>20576.0</v>
      </c>
      <c r="E2995" s="46">
        <v>21809.0</v>
      </c>
    </row>
    <row r="2996">
      <c r="A2996" s="45">
        <v>54007.0</v>
      </c>
      <c r="B2996" s="45" t="s">
        <v>3820</v>
      </c>
      <c r="C2996" s="45" t="s">
        <v>3821</v>
      </c>
      <c r="D2996" s="46">
        <v>12162.0</v>
      </c>
      <c r="E2996" s="46">
        <v>12447.0</v>
      </c>
    </row>
    <row r="2997">
      <c r="A2997" s="45">
        <v>54009.0</v>
      </c>
      <c r="B2997" s="45" t="s">
        <v>3820</v>
      </c>
      <c r="C2997" s="45" t="s">
        <v>3822</v>
      </c>
      <c r="D2997" s="46">
        <v>21373.0</v>
      </c>
      <c r="E2997" s="46">
        <v>22559.0</v>
      </c>
    </row>
    <row r="2998">
      <c r="A2998" s="45">
        <v>54011.0</v>
      </c>
      <c r="B2998" s="45" t="s">
        <v>3820</v>
      </c>
      <c r="C2998" s="45" t="s">
        <v>3823</v>
      </c>
      <c r="D2998" s="46">
        <v>92082.0</v>
      </c>
      <c r="E2998" s="46">
        <v>94350.0</v>
      </c>
    </row>
    <row r="2999">
      <c r="A2999" s="45">
        <v>54013.0</v>
      </c>
      <c r="B2999" s="45" t="s">
        <v>3820</v>
      </c>
      <c r="C2999" s="45" t="s">
        <v>2002</v>
      </c>
      <c r="D2999" s="46">
        <v>5959.0</v>
      </c>
      <c r="E2999" s="46">
        <v>6229.0</v>
      </c>
    </row>
    <row r="3000">
      <c r="A3000" s="45">
        <v>54015.0</v>
      </c>
      <c r="B3000" s="45" t="s">
        <v>3820</v>
      </c>
      <c r="C3000" s="45" t="s">
        <v>2008</v>
      </c>
      <c r="D3000" s="46">
        <v>7783.0</v>
      </c>
      <c r="E3000" s="46">
        <v>8051.0</v>
      </c>
    </row>
    <row r="3001">
      <c r="A3001" s="45">
        <v>54017.0</v>
      </c>
      <c r="B3001" s="45" t="s">
        <v>3820</v>
      </c>
      <c r="C3001" s="45" t="s">
        <v>3824</v>
      </c>
      <c r="D3001" s="46">
        <v>7680.0</v>
      </c>
      <c r="E3001" s="46">
        <v>7808.0</v>
      </c>
    </row>
    <row r="3002">
      <c r="A3002" s="45">
        <v>54019.0</v>
      </c>
      <c r="B3002" s="45" t="s">
        <v>3820</v>
      </c>
      <c r="C3002" s="45" t="s">
        <v>2023</v>
      </c>
      <c r="D3002" s="46">
        <v>39072.0</v>
      </c>
      <c r="E3002" s="46">
        <v>40488.0</v>
      </c>
    </row>
    <row r="3003">
      <c r="A3003" s="45">
        <v>54021.0</v>
      </c>
      <c r="B3003" s="45" t="s">
        <v>3820</v>
      </c>
      <c r="C3003" s="45" t="s">
        <v>2358</v>
      </c>
      <c r="D3003" s="46">
        <v>7254.0</v>
      </c>
      <c r="E3003" s="46">
        <v>7408.0</v>
      </c>
    </row>
    <row r="3004">
      <c r="A3004" s="45">
        <v>54023.0</v>
      </c>
      <c r="B3004" s="45" t="s">
        <v>3820</v>
      </c>
      <c r="C3004" s="45" t="s">
        <v>2101</v>
      </c>
      <c r="D3004" s="46">
        <v>10921.0</v>
      </c>
      <c r="E3004" s="46">
        <v>10976.0</v>
      </c>
    </row>
    <row r="3005">
      <c r="A3005" s="45">
        <v>54025.0</v>
      </c>
      <c r="B3005" s="45" t="s">
        <v>3820</v>
      </c>
      <c r="C3005" s="45" t="s">
        <v>3825</v>
      </c>
      <c r="D3005" s="46">
        <v>32149.0</v>
      </c>
      <c r="E3005" s="46">
        <v>32977.0</v>
      </c>
    </row>
    <row r="3006">
      <c r="A3006" s="45">
        <v>54027.0</v>
      </c>
      <c r="B3006" s="45" t="s">
        <v>3820</v>
      </c>
      <c r="C3006" s="45" t="s">
        <v>2826</v>
      </c>
      <c r="D3006" s="46">
        <v>23649.0</v>
      </c>
      <c r="E3006" s="46">
        <v>23093.0</v>
      </c>
    </row>
    <row r="3007">
      <c r="A3007" s="45">
        <v>54029.0</v>
      </c>
      <c r="B3007" s="45" t="s">
        <v>3820</v>
      </c>
      <c r="C3007" s="45" t="s">
        <v>2366</v>
      </c>
      <c r="D3007" s="46">
        <v>28145.0</v>
      </c>
      <c r="E3007" s="46">
        <v>29095.0</v>
      </c>
    </row>
    <row r="3008">
      <c r="A3008" s="45">
        <v>54031.0</v>
      </c>
      <c r="B3008" s="45" t="s">
        <v>3820</v>
      </c>
      <c r="C3008" s="45" t="s">
        <v>3826</v>
      </c>
      <c r="D3008" s="46">
        <v>14251.0</v>
      </c>
      <c r="E3008" s="46">
        <v>14299.0</v>
      </c>
    </row>
    <row r="3009">
      <c r="A3009" s="45">
        <v>54033.0</v>
      </c>
      <c r="B3009" s="45" t="s">
        <v>3820</v>
      </c>
      <c r="C3009" s="45" t="s">
        <v>2524</v>
      </c>
      <c r="D3009" s="46">
        <v>64639.0</v>
      </c>
      <c r="E3009" s="46">
        <v>65921.0</v>
      </c>
    </row>
    <row r="3010">
      <c r="A3010" s="45">
        <v>54035.0</v>
      </c>
      <c r="B3010" s="45" t="s">
        <v>3820</v>
      </c>
      <c r="C3010" s="45" t="s">
        <v>2030</v>
      </c>
      <c r="D3010" s="46">
        <v>27593.0</v>
      </c>
      <c r="E3010" s="46">
        <v>27791.0</v>
      </c>
    </row>
    <row r="3011">
      <c r="A3011" s="45">
        <v>54037.0</v>
      </c>
      <c r="B3011" s="45" t="s">
        <v>3820</v>
      </c>
      <c r="C3011" s="45" t="s">
        <v>2031</v>
      </c>
      <c r="D3011" s="46">
        <v>59787.0</v>
      </c>
      <c r="E3011" s="46">
        <v>57701.0</v>
      </c>
    </row>
    <row r="3012">
      <c r="A3012" s="45">
        <v>54039.0</v>
      </c>
      <c r="B3012" s="45" t="s">
        <v>3820</v>
      </c>
      <c r="C3012" s="45" t="s">
        <v>3827</v>
      </c>
      <c r="D3012" s="46">
        <v>174805.0</v>
      </c>
      <c r="E3012" s="46">
        <v>180745.0</v>
      </c>
    </row>
    <row r="3013">
      <c r="A3013" s="45">
        <v>54041.0</v>
      </c>
      <c r="B3013" s="45" t="s">
        <v>3820</v>
      </c>
      <c r="C3013" s="45" t="s">
        <v>2447</v>
      </c>
      <c r="D3013" s="46">
        <v>16500.0</v>
      </c>
      <c r="E3013" s="46">
        <v>17033.0</v>
      </c>
    </row>
    <row r="3014">
      <c r="A3014" s="45">
        <v>54043.0</v>
      </c>
      <c r="B3014" s="45" t="s">
        <v>3820</v>
      </c>
      <c r="C3014" s="45" t="s">
        <v>2109</v>
      </c>
      <c r="D3014" s="46">
        <v>19701.0</v>
      </c>
      <c r="E3014" s="46">
        <v>20463.0</v>
      </c>
    </row>
    <row r="3015">
      <c r="A3015" s="45">
        <v>54045.0</v>
      </c>
      <c r="B3015" s="45" t="s">
        <v>3820</v>
      </c>
      <c r="C3015" s="45" t="s">
        <v>2111</v>
      </c>
      <c r="D3015" s="46">
        <v>30827.0</v>
      </c>
      <c r="E3015" s="46">
        <v>32567.0</v>
      </c>
    </row>
    <row r="3016">
      <c r="A3016" s="45">
        <v>54047.0</v>
      </c>
      <c r="B3016" s="45" t="s">
        <v>3820</v>
      </c>
      <c r="C3016" s="45" t="s">
        <v>3238</v>
      </c>
      <c r="D3016" s="46">
        <v>17439.0</v>
      </c>
      <c r="E3016" s="46">
        <v>19111.0</v>
      </c>
    </row>
    <row r="3017">
      <c r="A3017" s="45">
        <v>54049.0</v>
      </c>
      <c r="B3017" s="45" t="s">
        <v>3820</v>
      </c>
      <c r="C3017" s="45" t="s">
        <v>2041</v>
      </c>
      <c r="D3017" s="46">
        <v>55807.0</v>
      </c>
      <c r="E3017" s="46">
        <v>56205.0</v>
      </c>
    </row>
    <row r="3018">
      <c r="A3018" s="45">
        <v>54051.0</v>
      </c>
      <c r="B3018" s="45" t="s">
        <v>3820</v>
      </c>
      <c r="C3018" s="45" t="s">
        <v>2042</v>
      </c>
      <c r="D3018" s="46">
        <v>29405.0</v>
      </c>
      <c r="E3018" s="46">
        <v>30591.0</v>
      </c>
    </row>
    <row r="3019">
      <c r="A3019" s="45">
        <v>54053.0</v>
      </c>
      <c r="B3019" s="45" t="s">
        <v>3820</v>
      </c>
      <c r="C3019" s="45" t="s">
        <v>2491</v>
      </c>
      <c r="D3019" s="46">
        <v>24765.0</v>
      </c>
      <c r="E3019" s="46">
        <v>25453.0</v>
      </c>
    </row>
    <row r="3020">
      <c r="A3020" s="45">
        <v>54055.0</v>
      </c>
      <c r="B3020" s="45" t="s">
        <v>3820</v>
      </c>
      <c r="C3020" s="45" t="s">
        <v>2494</v>
      </c>
      <c r="D3020" s="46">
        <v>58057.0</v>
      </c>
      <c r="E3020" s="46">
        <v>59664.0</v>
      </c>
    </row>
    <row r="3021">
      <c r="A3021" s="45">
        <v>54057.0</v>
      </c>
      <c r="B3021" s="45" t="s">
        <v>3820</v>
      </c>
      <c r="C3021" s="45" t="s">
        <v>2230</v>
      </c>
      <c r="D3021" s="46">
        <v>26867.0</v>
      </c>
      <c r="E3021" s="46">
        <v>26938.0</v>
      </c>
    </row>
    <row r="3022">
      <c r="A3022" s="45">
        <v>54059.0</v>
      </c>
      <c r="B3022" s="45" t="s">
        <v>3820</v>
      </c>
      <c r="C3022" s="45" t="s">
        <v>3828</v>
      </c>
      <c r="D3022" s="46">
        <v>22023.0</v>
      </c>
      <c r="E3022" s="46">
        <v>23568.0</v>
      </c>
    </row>
    <row r="3023">
      <c r="A3023" s="45">
        <v>54061.0</v>
      </c>
      <c r="B3023" s="45" t="s">
        <v>3820</v>
      </c>
      <c r="C3023" s="45" t="s">
        <v>3829</v>
      </c>
      <c r="D3023" s="46">
        <v>107718.0</v>
      </c>
      <c r="E3023" s="46">
        <v>105822.0</v>
      </c>
    </row>
    <row r="3024">
      <c r="A3024" s="45">
        <v>54063.0</v>
      </c>
      <c r="B3024" s="45" t="s">
        <v>3820</v>
      </c>
      <c r="C3024" s="45" t="s">
        <v>2044</v>
      </c>
      <c r="D3024" s="46">
        <v>12382.0</v>
      </c>
      <c r="E3024" s="46">
        <v>12376.0</v>
      </c>
    </row>
    <row r="3025">
      <c r="A3025" s="45">
        <v>54065.0</v>
      </c>
      <c r="B3025" s="45" t="s">
        <v>3820</v>
      </c>
      <c r="C3025" s="45" t="s">
        <v>2046</v>
      </c>
      <c r="D3025" s="46">
        <v>17649.0</v>
      </c>
      <c r="E3025" s="46">
        <v>17063.0</v>
      </c>
    </row>
    <row r="3026">
      <c r="A3026" s="45">
        <v>54067.0</v>
      </c>
      <c r="B3026" s="45" t="s">
        <v>3820</v>
      </c>
      <c r="C3026" s="45" t="s">
        <v>2712</v>
      </c>
      <c r="D3026" s="46">
        <v>24169.0</v>
      </c>
      <c r="E3026" s="46">
        <v>24604.0</v>
      </c>
    </row>
    <row r="3027">
      <c r="A3027" s="45">
        <v>54069.0</v>
      </c>
      <c r="B3027" s="45" t="s">
        <v>3820</v>
      </c>
      <c r="C3027" s="45" t="s">
        <v>2534</v>
      </c>
      <c r="D3027" s="46">
        <v>41194.0</v>
      </c>
      <c r="E3027" s="46">
        <v>42425.0</v>
      </c>
    </row>
    <row r="3028">
      <c r="A3028" s="45">
        <v>54071.0</v>
      </c>
      <c r="B3028" s="45" t="s">
        <v>3820</v>
      </c>
      <c r="C3028" s="45" t="s">
        <v>2715</v>
      </c>
      <c r="D3028" s="46">
        <v>6029.0</v>
      </c>
      <c r="E3028" s="46">
        <v>6143.0</v>
      </c>
    </row>
    <row r="3029">
      <c r="A3029" s="45">
        <v>54073.0</v>
      </c>
      <c r="B3029" s="45" t="s">
        <v>3820</v>
      </c>
      <c r="C3029" s="45" t="s">
        <v>3830</v>
      </c>
      <c r="D3029" s="46">
        <v>7428.0</v>
      </c>
      <c r="E3029" s="46">
        <v>7653.0</v>
      </c>
    </row>
    <row r="3030">
      <c r="A3030" s="45">
        <v>54075.0</v>
      </c>
      <c r="B3030" s="45" t="s">
        <v>3820</v>
      </c>
      <c r="C3030" s="45" t="s">
        <v>2589</v>
      </c>
      <c r="D3030" s="46">
        <v>7765.0</v>
      </c>
      <c r="E3030" s="46">
        <v>7869.0</v>
      </c>
    </row>
    <row r="3031">
      <c r="A3031" s="45">
        <v>54077.0</v>
      </c>
      <c r="B3031" s="45" t="s">
        <v>3820</v>
      </c>
      <c r="C3031" s="45" t="s">
        <v>3831</v>
      </c>
      <c r="D3031" s="46">
        <v>34099.0</v>
      </c>
      <c r="E3031" s="46">
        <v>34216.0</v>
      </c>
    </row>
    <row r="3032">
      <c r="A3032" s="45">
        <v>54079.0</v>
      </c>
      <c r="B3032" s="45" t="s">
        <v>3820</v>
      </c>
      <c r="C3032" s="45" t="s">
        <v>2303</v>
      </c>
      <c r="D3032" s="46">
        <v>56962.0</v>
      </c>
      <c r="E3032" s="46">
        <v>57440.0</v>
      </c>
    </row>
    <row r="3033">
      <c r="A3033" s="45">
        <v>54081.0</v>
      </c>
      <c r="B3033" s="45" t="s">
        <v>3820</v>
      </c>
      <c r="C3033" s="45" t="s">
        <v>3832</v>
      </c>
      <c r="D3033" s="46">
        <v>72356.0</v>
      </c>
      <c r="E3033" s="46">
        <v>74591.0</v>
      </c>
    </row>
    <row r="3034">
      <c r="A3034" s="45">
        <v>54083.0</v>
      </c>
      <c r="B3034" s="45" t="s">
        <v>3820</v>
      </c>
      <c r="C3034" s="45" t="s">
        <v>2050</v>
      </c>
      <c r="D3034" s="46">
        <v>27350.0</v>
      </c>
      <c r="E3034" s="46">
        <v>27932.0</v>
      </c>
    </row>
    <row r="3035">
      <c r="A3035" s="45">
        <v>54085.0</v>
      </c>
      <c r="B3035" s="45" t="s">
        <v>3820</v>
      </c>
      <c r="C3035" s="45" t="s">
        <v>3833</v>
      </c>
      <c r="D3035" s="46">
        <v>8167.0</v>
      </c>
      <c r="E3035" s="46">
        <v>8444.0</v>
      </c>
    </row>
    <row r="3036">
      <c r="A3036" s="45">
        <v>54087.0</v>
      </c>
      <c r="B3036" s="45" t="s">
        <v>3820</v>
      </c>
      <c r="C3036" s="45" t="s">
        <v>3519</v>
      </c>
      <c r="D3036" s="46">
        <v>13743.0</v>
      </c>
      <c r="E3036" s="46">
        <v>14028.0</v>
      </c>
    </row>
    <row r="3037">
      <c r="A3037" s="45">
        <v>54089.0</v>
      </c>
      <c r="B3037" s="45" t="s">
        <v>3820</v>
      </c>
      <c r="C3037" s="45" t="s">
        <v>3834</v>
      </c>
      <c r="D3037" s="46">
        <v>11581.0</v>
      </c>
      <c r="E3037" s="46">
        <v>11959.0</v>
      </c>
    </row>
    <row r="3038">
      <c r="A3038" s="45">
        <v>54091.0</v>
      </c>
      <c r="B3038" s="45" t="s">
        <v>3820</v>
      </c>
      <c r="C3038" s="45" t="s">
        <v>2310</v>
      </c>
      <c r="D3038" s="46">
        <v>16388.0</v>
      </c>
      <c r="E3038" s="46">
        <v>16705.0</v>
      </c>
    </row>
    <row r="3039">
      <c r="A3039" s="45">
        <v>54093.0</v>
      </c>
      <c r="B3039" s="45" t="s">
        <v>3820</v>
      </c>
      <c r="C3039" s="45" t="s">
        <v>3835</v>
      </c>
      <c r="D3039" s="46">
        <v>6604.0</v>
      </c>
      <c r="E3039" s="46">
        <v>6762.0</v>
      </c>
    </row>
    <row r="3040">
      <c r="A3040" s="45">
        <v>54095.0</v>
      </c>
      <c r="B3040" s="45" t="s">
        <v>3820</v>
      </c>
      <c r="C3040" s="45" t="s">
        <v>3669</v>
      </c>
      <c r="D3040" s="46">
        <v>7919.0</v>
      </c>
      <c r="E3040" s="46">
        <v>8313.0</v>
      </c>
    </row>
    <row r="3041">
      <c r="A3041" s="45">
        <v>54097.0</v>
      </c>
      <c r="B3041" s="45" t="s">
        <v>3820</v>
      </c>
      <c r="C3041" s="45" t="s">
        <v>3670</v>
      </c>
      <c r="D3041" s="46">
        <v>23529.0</v>
      </c>
      <c r="E3041" s="46">
        <v>23816.0</v>
      </c>
    </row>
    <row r="3042">
      <c r="A3042" s="45">
        <v>54099.0</v>
      </c>
      <c r="B3042" s="45" t="s">
        <v>3820</v>
      </c>
      <c r="C3042" s="45" t="s">
        <v>2416</v>
      </c>
      <c r="D3042" s="46">
        <v>37686.0</v>
      </c>
      <c r="E3042" s="46">
        <v>38982.0</v>
      </c>
    </row>
    <row r="3043">
      <c r="A3043" s="45">
        <v>54101.0</v>
      </c>
      <c r="B3043" s="45" t="s">
        <v>3820</v>
      </c>
      <c r="C3043" s="45" t="s">
        <v>2417</v>
      </c>
      <c r="D3043" s="46">
        <v>8045.0</v>
      </c>
      <c r="E3043" s="46">
        <v>8378.0</v>
      </c>
    </row>
    <row r="3044">
      <c r="A3044" s="45">
        <v>54103.0</v>
      </c>
      <c r="B3044" s="45" t="s">
        <v>3820</v>
      </c>
      <c r="C3044" s="45" t="s">
        <v>3836</v>
      </c>
      <c r="D3044" s="46">
        <v>13890.0</v>
      </c>
      <c r="E3044" s="46">
        <v>14442.0</v>
      </c>
    </row>
    <row r="3045">
      <c r="A3045" s="45">
        <v>54105.0</v>
      </c>
      <c r="B3045" s="45" t="s">
        <v>3820</v>
      </c>
      <c r="C3045" s="45" t="s">
        <v>3837</v>
      </c>
      <c r="D3045" s="46">
        <v>5000.0</v>
      </c>
      <c r="E3045" s="46">
        <v>5194.0</v>
      </c>
    </row>
    <row r="3046">
      <c r="A3046" s="45">
        <v>54107.0</v>
      </c>
      <c r="B3046" s="45" t="s">
        <v>3820</v>
      </c>
      <c r="C3046" s="45" t="s">
        <v>3331</v>
      </c>
      <c r="D3046" s="46">
        <v>83052.0</v>
      </c>
      <c r="E3046" s="46">
        <v>84296.0</v>
      </c>
    </row>
    <row r="3047">
      <c r="A3047" s="45">
        <v>54109.0</v>
      </c>
      <c r="B3047" s="45" t="s">
        <v>3820</v>
      </c>
      <c r="C3047" s="45" t="s">
        <v>3198</v>
      </c>
      <c r="D3047" s="46">
        <v>20277.0</v>
      </c>
      <c r="E3047" s="46">
        <v>21382.0</v>
      </c>
    </row>
    <row r="3048">
      <c r="A3048" s="45">
        <v>55001.0</v>
      </c>
      <c r="B3048" s="45" t="s">
        <v>3838</v>
      </c>
      <c r="C3048" s="45" t="s">
        <v>2195</v>
      </c>
      <c r="D3048" s="46">
        <v>21449.0</v>
      </c>
      <c r="E3048" s="46">
        <v>20654.0</v>
      </c>
    </row>
    <row r="3049">
      <c r="A3049" s="45">
        <v>55003.0</v>
      </c>
      <c r="B3049" s="45" t="s">
        <v>3838</v>
      </c>
      <c r="C3049" s="45" t="s">
        <v>3298</v>
      </c>
      <c r="D3049" s="46">
        <v>16079.0</v>
      </c>
      <c r="E3049" s="46">
        <v>16027.0</v>
      </c>
    </row>
    <row r="3050">
      <c r="A3050" s="45">
        <v>55005.0</v>
      </c>
      <c r="B3050" s="45" t="s">
        <v>3838</v>
      </c>
      <c r="C3050" s="45" t="s">
        <v>3839</v>
      </c>
      <c r="D3050" s="46">
        <v>46833.0</v>
      </c>
      <c r="E3050" s="46">
        <v>46711.0</v>
      </c>
    </row>
    <row r="3051">
      <c r="A3051" s="45">
        <v>55007.0</v>
      </c>
      <c r="B3051" s="45" t="s">
        <v>3838</v>
      </c>
      <c r="C3051" s="45" t="s">
        <v>3840</v>
      </c>
      <c r="D3051" s="46">
        <v>16769.0</v>
      </c>
      <c r="E3051" s="46">
        <v>16220.0</v>
      </c>
    </row>
    <row r="3052">
      <c r="A3052" s="45">
        <v>55009.0</v>
      </c>
      <c r="B3052" s="45" t="s">
        <v>3838</v>
      </c>
      <c r="C3052" s="45" t="s">
        <v>2461</v>
      </c>
      <c r="D3052" s="46">
        <v>271417.0</v>
      </c>
      <c r="E3052" s="46">
        <v>268740.0</v>
      </c>
    </row>
    <row r="3053">
      <c r="A3053" s="45">
        <v>55011.0</v>
      </c>
      <c r="B3053" s="45" t="s">
        <v>3838</v>
      </c>
      <c r="C3053" s="45" t="s">
        <v>3076</v>
      </c>
      <c r="D3053" s="46">
        <v>13419.0</v>
      </c>
      <c r="E3053" s="46">
        <v>13317.0</v>
      </c>
    </row>
    <row r="3054">
      <c r="A3054" s="45">
        <v>55013.0</v>
      </c>
      <c r="B3054" s="45" t="s">
        <v>3838</v>
      </c>
      <c r="C3054" s="45" t="s">
        <v>3841</v>
      </c>
      <c r="D3054" s="46">
        <v>17092.0</v>
      </c>
      <c r="E3054" s="46">
        <v>16526.0</v>
      </c>
    </row>
    <row r="3055">
      <c r="A3055" s="45">
        <v>55015.0</v>
      </c>
      <c r="B3055" s="45" t="s">
        <v>3838</v>
      </c>
      <c r="C3055" s="45" t="s">
        <v>3842</v>
      </c>
      <c r="D3055" s="46">
        <v>53199.0</v>
      </c>
      <c r="E3055" s="46">
        <v>52442.0</v>
      </c>
    </row>
    <row r="3056">
      <c r="A3056" s="45">
        <v>55017.0</v>
      </c>
      <c r="B3056" s="45" t="s">
        <v>3838</v>
      </c>
      <c r="C3056" s="45" t="s">
        <v>2843</v>
      </c>
      <c r="D3056" s="46">
        <v>66970.0</v>
      </c>
      <c r="E3056" s="46">
        <v>66297.0</v>
      </c>
    </row>
    <row r="3057">
      <c r="A3057" s="45">
        <v>55019.0</v>
      </c>
      <c r="B3057" s="45" t="s">
        <v>3838</v>
      </c>
      <c r="C3057" s="45" t="s">
        <v>2088</v>
      </c>
      <c r="D3057" s="46">
        <v>34774.0</v>
      </c>
      <c r="E3057" s="46">
        <v>34659.0</v>
      </c>
    </row>
    <row r="3058">
      <c r="A3058" s="45">
        <v>55021.0</v>
      </c>
      <c r="B3058" s="45" t="s">
        <v>3838</v>
      </c>
      <c r="C3058" s="45" t="s">
        <v>2090</v>
      </c>
      <c r="D3058" s="46">
        <v>58091.0</v>
      </c>
      <c r="E3058" s="46">
        <v>58490.0</v>
      </c>
    </row>
    <row r="3059">
      <c r="A3059" s="45">
        <v>55023.0</v>
      </c>
      <c r="B3059" s="45" t="s">
        <v>3838</v>
      </c>
      <c r="C3059" s="45" t="s">
        <v>2093</v>
      </c>
      <c r="D3059" s="46">
        <v>15944.0</v>
      </c>
      <c r="E3059" s="46">
        <v>16113.0</v>
      </c>
    </row>
    <row r="3060">
      <c r="A3060" s="45">
        <v>55025.0</v>
      </c>
      <c r="B3060" s="45" t="s">
        <v>3838</v>
      </c>
      <c r="C3060" s="45" t="s">
        <v>3843</v>
      </c>
      <c r="D3060" s="46">
        <v>575347.0</v>
      </c>
      <c r="E3060" s="46">
        <v>561504.0</v>
      </c>
    </row>
    <row r="3061">
      <c r="A3061" s="45">
        <v>55027.0</v>
      </c>
      <c r="B3061" s="45" t="s">
        <v>3838</v>
      </c>
      <c r="C3061" s="45" t="s">
        <v>2347</v>
      </c>
      <c r="D3061" s="46">
        <v>88231.0</v>
      </c>
      <c r="E3061" s="46">
        <v>89396.0</v>
      </c>
    </row>
    <row r="3062">
      <c r="A3062" s="45">
        <v>55029.0</v>
      </c>
      <c r="B3062" s="45" t="s">
        <v>3838</v>
      </c>
      <c r="C3062" s="45" t="s">
        <v>3844</v>
      </c>
      <c r="D3062" s="46">
        <v>30562.0</v>
      </c>
      <c r="E3062" s="46">
        <v>30066.0</v>
      </c>
    </row>
    <row r="3063">
      <c r="A3063" s="45">
        <v>55031.0</v>
      </c>
      <c r="B3063" s="45" t="s">
        <v>3838</v>
      </c>
      <c r="C3063" s="45" t="s">
        <v>2213</v>
      </c>
      <c r="D3063" s="46">
        <v>44264.0</v>
      </c>
      <c r="E3063" s="46">
        <v>44295.0</v>
      </c>
    </row>
    <row r="3064">
      <c r="A3064" s="45">
        <v>55033.0</v>
      </c>
      <c r="B3064" s="45" t="s">
        <v>3838</v>
      </c>
      <c r="C3064" s="45" t="s">
        <v>3275</v>
      </c>
      <c r="D3064" s="46">
        <v>45794.0</v>
      </c>
      <c r="E3064" s="46">
        <v>45440.0</v>
      </c>
    </row>
    <row r="3065">
      <c r="A3065" s="45">
        <v>55035.0</v>
      </c>
      <c r="B3065" s="45" t="s">
        <v>3838</v>
      </c>
      <c r="C3065" s="45" t="s">
        <v>3845</v>
      </c>
      <c r="D3065" s="46">
        <v>107903.0</v>
      </c>
      <c r="E3065" s="46">
        <v>105710.0</v>
      </c>
    </row>
    <row r="3066">
      <c r="A3066" s="45">
        <v>55037.0</v>
      </c>
      <c r="B3066" s="45" t="s">
        <v>3838</v>
      </c>
      <c r="C3066" s="45" t="s">
        <v>3444</v>
      </c>
      <c r="D3066" s="46">
        <v>4682.0</v>
      </c>
      <c r="E3066" s="46">
        <v>4558.0</v>
      </c>
    </row>
    <row r="3067">
      <c r="A3067" s="45">
        <v>55039.0</v>
      </c>
      <c r="B3067" s="45" t="s">
        <v>3838</v>
      </c>
      <c r="C3067" s="45" t="s">
        <v>3846</v>
      </c>
      <c r="D3067" s="46">
        <v>103948.0</v>
      </c>
      <c r="E3067" s="46">
        <v>104154.0</v>
      </c>
    </row>
    <row r="3068">
      <c r="A3068" s="45">
        <v>55041.0</v>
      </c>
      <c r="B3068" s="45" t="s">
        <v>3838</v>
      </c>
      <c r="C3068" s="45" t="s">
        <v>3407</v>
      </c>
      <c r="D3068" s="46">
        <v>9325.0</v>
      </c>
      <c r="E3068" s="46">
        <v>9179.0</v>
      </c>
    </row>
    <row r="3069">
      <c r="A3069" s="45">
        <v>55043.0</v>
      </c>
      <c r="B3069" s="45" t="s">
        <v>3838</v>
      </c>
      <c r="C3069" s="45" t="s">
        <v>2101</v>
      </c>
      <c r="D3069" s="46">
        <v>51409.0</v>
      </c>
      <c r="E3069" s="46">
        <v>51938.0</v>
      </c>
    </row>
    <row r="3070">
      <c r="A3070" s="45">
        <v>55045.0</v>
      </c>
      <c r="B3070" s="45" t="s">
        <v>3838</v>
      </c>
      <c r="C3070" s="45" t="s">
        <v>2693</v>
      </c>
      <c r="D3070" s="46">
        <v>36951.0</v>
      </c>
      <c r="E3070" s="46">
        <v>37093.0</v>
      </c>
    </row>
    <row r="3071">
      <c r="A3071" s="45">
        <v>55047.0</v>
      </c>
      <c r="B3071" s="45" t="s">
        <v>3838</v>
      </c>
      <c r="C3071" s="45" t="s">
        <v>3847</v>
      </c>
      <c r="D3071" s="46">
        <v>19344.0</v>
      </c>
      <c r="E3071" s="46">
        <v>19018.0</v>
      </c>
    </row>
    <row r="3072">
      <c r="A3072" s="45">
        <v>55049.0</v>
      </c>
      <c r="B3072" s="45" t="s">
        <v>3838</v>
      </c>
      <c r="C3072" s="45" t="s">
        <v>2574</v>
      </c>
      <c r="D3072" s="46">
        <v>23956.0</v>
      </c>
      <c r="E3072" s="46">
        <v>23709.0</v>
      </c>
    </row>
    <row r="3073">
      <c r="A3073" s="45">
        <v>55051.0</v>
      </c>
      <c r="B3073" s="45" t="s">
        <v>3838</v>
      </c>
      <c r="C3073" s="45" t="s">
        <v>2857</v>
      </c>
      <c r="D3073" s="46">
        <v>6228.0</v>
      </c>
      <c r="E3073" s="46">
        <v>6137.0</v>
      </c>
    </row>
    <row r="3074">
      <c r="A3074" s="45">
        <v>55053.0</v>
      </c>
      <c r="B3074" s="45" t="s">
        <v>3838</v>
      </c>
      <c r="C3074" s="45" t="s">
        <v>2030</v>
      </c>
      <c r="D3074" s="46">
        <v>20855.0</v>
      </c>
      <c r="E3074" s="46">
        <v>21145.0</v>
      </c>
    </row>
    <row r="3075">
      <c r="A3075" s="45">
        <v>55055.0</v>
      </c>
      <c r="B3075" s="45" t="s">
        <v>3838</v>
      </c>
      <c r="C3075" s="45" t="s">
        <v>2031</v>
      </c>
      <c r="D3075" s="46">
        <v>85743.0</v>
      </c>
      <c r="E3075" s="46">
        <v>84900.0</v>
      </c>
    </row>
    <row r="3076">
      <c r="A3076" s="45">
        <v>55057.0</v>
      </c>
      <c r="B3076" s="45" t="s">
        <v>3838</v>
      </c>
      <c r="C3076" s="45" t="s">
        <v>3848</v>
      </c>
      <c r="D3076" s="46">
        <v>26594.0</v>
      </c>
      <c r="E3076" s="46">
        <v>26718.0</v>
      </c>
    </row>
    <row r="3077">
      <c r="A3077" s="45">
        <v>55059.0</v>
      </c>
      <c r="B3077" s="45" t="s">
        <v>3838</v>
      </c>
      <c r="C3077" s="45" t="s">
        <v>3849</v>
      </c>
      <c r="D3077" s="46">
        <v>167488.0</v>
      </c>
      <c r="E3077" s="46">
        <v>169151.0</v>
      </c>
    </row>
    <row r="3078">
      <c r="A3078" s="45">
        <v>55061.0</v>
      </c>
      <c r="B3078" s="45" t="s">
        <v>3838</v>
      </c>
      <c r="C3078" s="45" t="s">
        <v>3850</v>
      </c>
      <c r="D3078" s="46">
        <v>20690.0</v>
      </c>
      <c r="E3078" s="46">
        <v>20563.0</v>
      </c>
    </row>
    <row r="3079">
      <c r="A3079" s="45">
        <v>55063.0</v>
      </c>
      <c r="B3079" s="45" t="s">
        <v>3838</v>
      </c>
      <c r="C3079" s="45" t="s">
        <v>3851</v>
      </c>
      <c r="D3079" s="46">
        <v>120486.0</v>
      </c>
      <c r="E3079" s="46">
        <v>120784.0</v>
      </c>
    </row>
    <row r="3080">
      <c r="A3080" s="45">
        <v>55065.0</v>
      </c>
      <c r="B3080" s="45" t="s">
        <v>3838</v>
      </c>
      <c r="C3080" s="45" t="s">
        <v>2108</v>
      </c>
      <c r="D3080" s="46">
        <v>16945.0</v>
      </c>
      <c r="E3080" s="46">
        <v>16611.0</v>
      </c>
    </row>
    <row r="3081">
      <c r="A3081" s="45">
        <v>55067.0</v>
      </c>
      <c r="B3081" s="45" t="s">
        <v>3838</v>
      </c>
      <c r="C3081" s="45" t="s">
        <v>3852</v>
      </c>
      <c r="D3081" s="46">
        <v>19404.0</v>
      </c>
      <c r="E3081" s="46">
        <v>19491.0</v>
      </c>
    </row>
    <row r="3082">
      <c r="A3082" s="45">
        <v>55069.0</v>
      </c>
      <c r="B3082" s="45" t="s">
        <v>3838</v>
      </c>
      <c r="C3082" s="45" t="s">
        <v>2109</v>
      </c>
      <c r="D3082" s="46">
        <v>28405.0</v>
      </c>
      <c r="E3082" s="46">
        <v>28415.0</v>
      </c>
    </row>
    <row r="3083">
      <c r="A3083" s="45">
        <v>55071.0</v>
      </c>
      <c r="B3083" s="45" t="s">
        <v>3838</v>
      </c>
      <c r="C3083" s="45" t="s">
        <v>3853</v>
      </c>
      <c r="D3083" s="46">
        <v>81331.0</v>
      </c>
      <c r="E3083" s="46">
        <v>81359.0</v>
      </c>
    </row>
    <row r="3084">
      <c r="A3084" s="45">
        <v>55073.0</v>
      </c>
      <c r="B3084" s="45" t="s">
        <v>3838</v>
      </c>
      <c r="C3084" s="45" t="s">
        <v>3854</v>
      </c>
      <c r="D3084" s="46">
        <v>138612.0</v>
      </c>
      <c r="E3084" s="46">
        <v>138013.0</v>
      </c>
    </row>
    <row r="3085">
      <c r="A3085" s="45">
        <v>55075.0</v>
      </c>
      <c r="B3085" s="45" t="s">
        <v>3838</v>
      </c>
      <c r="C3085" s="45" t="s">
        <v>3855</v>
      </c>
      <c r="D3085" s="46">
        <v>42106.0</v>
      </c>
      <c r="E3085" s="46">
        <v>41872.0</v>
      </c>
    </row>
    <row r="3086">
      <c r="A3086" s="45">
        <v>55077.0</v>
      </c>
      <c r="B3086" s="45" t="s">
        <v>3838</v>
      </c>
      <c r="C3086" s="45" t="s">
        <v>2869</v>
      </c>
      <c r="D3086" s="46">
        <v>15838.0</v>
      </c>
      <c r="E3086" s="46">
        <v>15592.0</v>
      </c>
    </row>
    <row r="3087">
      <c r="A3087" s="45">
        <v>55078.0</v>
      </c>
      <c r="B3087" s="45" t="s">
        <v>3838</v>
      </c>
      <c r="C3087" s="45" t="s">
        <v>2871</v>
      </c>
      <c r="D3087" s="46">
        <v>4226.0</v>
      </c>
      <c r="E3087" s="46">
        <v>4255.0</v>
      </c>
    </row>
    <row r="3088">
      <c r="A3088" s="45">
        <v>55079.0</v>
      </c>
      <c r="B3088" s="45" t="s">
        <v>3838</v>
      </c>
      <c r="C3088" s="45" t="s">
        <v>3856</v>
      </c>
      <c r="D3088" s="46">
        <v>916205.0</v>
      </c>
      <c r="E3088" s="46">
        <v>939489.0</v>
      </c>
    </row>
    <row r="3089">
      <c r="A3089" s="45">
        <v>55081.0</v>
      </c>
      <c r="B3089" s="45" t="s">
        <v>3838</v>
      </c>
      <c r="C3089" s="45" t="s">
        <v>2044</v>
      </c>
      <c r="D3089" s="46">
        <v>46151.0</v>
      </c>
      <c r="E3089" s="46">
        <v>46274.0</v>
      </c>
    </row>
    <row r="3090">
      <c r="A3090" s="45">
        <v>55083.0</v>
      </c>
      <c r="B3090" s="45" t="s">
        <v>3838</v>
      </c>
      <c r="C3090" s="45" t="s">
        <v>3857</v>
      </c>
      <c r="D3090" s="46">
        <v>39775.0</v>
      </c>
      <c r="E3090" s="46">
        <v>38965.0</v>
      </c>
    </row>
    <row r="3091">
      <c r="A3091" s="45">
        <v>55085.0</v>
      </c>
      <c r="B3091" s="45" t="s">
        <v>3838</v>
      </c>
      <c r="C3091" s="45" t="s">
        <v>2450</v>
      </c>
      <c r="D3091" s="46">
        <v>38226.0</v>
      </c>
      <c r="E3091" s="46">
        <v>37845.0</v>
      </c>
    </row>
    <row r="3092">
      <c r="A3092" s="45">
        <v>55087.0</v>
      </c>
      <c r="B3092" s="45" t="s">
        <v>3838</v>
      </c>
      <c r="C3092" s="45" t="s">
        <v>3858</v>
      </c>
      <c r="D3092" s="46">
        <v>193234.0</v>
      </c>
      <c r="E3092" s="46">
        <v>190705.0</v>
      </c>
    </row>
    <row r="3093">
      <c r="A3093" s="45">
        <v>55089.0</v>
      </c>
      <c r="B3093" s="45" t="s">
        <v>3838</v>
      </c>
      <c r="C3093" s="45" t="s">
        <v>3859</v>
      </c>
      <c r="D3093" s="46">
        <v>93460.0</v>
      </c>
      <c r="E3093" s="46">
        <v>91503.0</v>
      </c>
    </row>
    <row r="3094">
      <c r="A3094" s="45">
        <v>55091.0</v>
      </c>
      <c r="B3094" s="45" t="s">
        <v>3838</v>
      </c>
      <c r="C3094" s="45" t="s">
        <v>3860</v>
      </c>
      <c r="D3094" s="46">
        <v>7441.0</v>
      </c>
      <c r="E3094" s="46">
        <v>7318.0</v>
      </c>
    </row>
    <row r="3095">
      <c r="A3095" s="45">
        <v>55093.0</v>
      </c>
      <c r="B3095" s="45" t="s">
        <v>3838</v>
      </c>
      <c r="C3095" s="45" t="s">
        <v>2390</v>
      </c>
      <c r="D3095" s="46">
        <v>43026.0</v>
      </c>
      <c r="E3095" s="46">
        <v>42212.0</v>
      </c>
    </row>
    <row r="3096">
      <c r="A3096" s="45">
        <v>55095.0</v>
      </c>
      <c r="B3096" s="45" t="s">
        <v>3838</v>
      </c>
      <c r="C3096" s="45" t="s">
        <v>2120</v>
      </c>
      <c r="D3096" s="46">
        <v>45762.0</v>
      </c>
      <c r="E3096" s="46">
        <v>44977.0</v>
      </c>
    </row>
    <row r="3097">
      <c r="A3097" s="45">
        <v>55097.0</v>
      </c>
      <c r="B3097" s="45" t="s">
        <v>3838</v>
      </c>
      <c r="C3097" s="45" t="s">
        <v>3322</v>
      </c>
      <c r="D3097" s="46">
        <v>71024.0</v>
      </c>
      <c r="E3097" s="46">
        <v>70377.0</v>
      </c>
    </row>
    <row r="3098">
      <c r="A3098" s="45">
        <v>55099.0</v>
      </c>
      <c r="B3098" s="45" t="s">
        <v>3838</v>
      </c>
      <c r="C3098" s="45" t="s">
        <v>3861</v>
      </c>
      <c r="D3098" s="46">
        <v>14102.0</v>
      </c>
      <c r="E3098" s="46">
        <v>14054.0</v>
      </c>
    </row>
    <row r="3099">
      <c r="A3099" s="45">
        <v>55101.0</v>
      </c>
      <c r="B3099" s="45" t="s">
        <v>3838</v>
      </c>
      <c r="C3099" s="45" t="s">
        <v>3862</v>
      </c>
      <c r="D3099" s="46">
        <v>196613.0</v>
      </c>
      <c r="E3099" s="46">
        <v>197727.0</v>
      </c>
    </row>
    <row r="3100">
      <c r="A3100" s="45">
        <v>55103.0</v>
      </c>
      <c r="B3100" s="45" t="s">
        <v>3838</v>
      </c>
      <c r="C3100" s="45" t="s">
        <v>2499</v>
      </c>
      <c r="D3100" s="46">
        <v>17197.0</v>
      </c>
      <c r="E3100" s="46">
        <v>17304.0</v>
      </c>
    </row>
    <row r="3101">
      <c r="A3101" s="45">
        <v>55105.0</v>
      </c>
      <c r="B3101" s="45" t="s">
        <v>3838</v>
      </c>
      <c r="C3101" s="45" t="s">
        <v>2939</v>
      </c>
      <c r="D3101" s="46">
        <v>164278.0</v>
      </c>
      <c r="E3101" s="46">
        <v>163687.0</v>
      </c>
    </row>
    <row r="3102">
      <c r="A3102" s="45">
        <v>55107.0</v>
      </c>
      <c r="B3102" s="45" t="s">
        <v>3838</v>
      </c>
      <c r="C3102" s="45" t="s">
        <v>3648</v>
      </c>
      <c r="D3102" s="46">
        <v>14143.0</v>
      </c>
      <c r="E3102" s="46">
        <v>14188.0</v>
      </c>
    </row>
    <row r="3103">
      <c r="A3103" s="45">
        <v>55109.0</v>
      </c>
      <c r="B3103" s="45" t="s">
        <v>3838</v>
      </c>
      <c r="C3103" s="45" t="s">
        <v>3863</v>
      </c>
      <c r="D3103" s="46">
        <v>96763.0</v>
      </c>
      <c r="E3103" s="46">
        <v>93536.0</v>
      </c>
    </row>
    <row r="3104">
      <c r="A3104" s="45">
        <v>55111.0</v>
      </c>
      <c r="B3104" s="45" t="s">
        <v>3838</v>
      </c>
      <c r="C3104" s="45" t="s">
        <v>3864</v>
      </c>
      <c r="D3104" s="46">
        <v>65920.0</v>
      </c>
      <c r="E3104" s="46">
        <v>65763.0</v>
      </c>
    </row>
    <row r="3105">
      <c r="A3105" s="45">
        <v>55113.0</v>
      </c>
      <c r="B3105" s="45" t="s">
        <v>3838</v>
      </c>
      <c r="C3105" s="45" t="s">
        <v>3865</v>
      </c>
      <c r="D3105" s="46">
        <v>18552.0</v>
      </c>
      <c r="E3105" s="46">
        <v>18074.0</v>
      </c>
    </row>
    <row r="3106">
      <c r="A3106" s="45">
        <v>55115.0</v>
      </c>
      <c r="B3106" s="45" t="s">
        <v>3838</v>
      </c>
      <c r="C3106" s="45" t="s">
        <v>3866</v>
      </c>
      <c r="D3106" s="46">
        <v>41109.0</v>
      </c>
      <c r="E3106" s="46">
        <v>40881.0</v>
      </c>
    </row>
    <row r="3107">
      <c r="A3107" s="45">
        <v>55117.0</v>
      </c>
      <c r="B3107" s="45" t="s">
        <v>3838</v>
      </c>
      <c r="C3107" s="45" t="s">
        <v>3867</v>
      </c>
      <c r="D3107" s="46">
        <v>117752.0</v>
      </c>
      <c r="E3107" s="46">
        <v>118034.0</v>
      </c>
    </row>
    <row r="3108">
      <c r="A3108" s="45">
        <v>55119.0</v>
      </c>
      <c r="B3108" s="45" t="s">
        <v>3838</v>
      </c>
      <c r="C3108" s="45" t="s">
        <v>2310</v>
      </c>
      <c r="D3108" s="46">
        <v>20058.0</v>
      </c>
      <c r="E3108" s="46">
        <v>19913.0</v>
      </c>
    </row>
    <row r="3109">
      <c r="A3109" s="45">
        <v>55121.0</v>
      </c>
      <c r="B3109" s="45" t="s">
        <v>3838</v>
      </c>
      <c r="C3109" s="45" t="s">
        <v>3868</v>
      </c>
      <c r="D3109" s="46">
        <v>30899.0</v>
      </c>
      <c r="E3109" s="46">
        <v>30760.0</v>
      </c>
    </row>
    <row r="3110">
      <c r="A3110" s="45">
        <v>55123.0</v>
      </c>
      <c r="B3110" s="45" t="s">
        <v>3838</v>
      </c>
      <c r="C3110" s="45" t="s">
        <v>3032</v>
      </c>
      <c r="D3110" s="46">
        <v>31170.0</v>
      </c>
      <c r="E3110" s="46">
        <v>30714.0</v>
      </c>
    </row>
    <row r="3111">
      <c r="A3111" s="45">
        <v>55125.0</v>
      </c>
      <c r="B3111" s="45" t="s">
        <v>3838</v>
      </c>
      <c r="C3111" s="45" t="s">
        <v>3869</v>
      </c>
      <c r="D3111" s="46">
        <v>23885.0</v>
      </c>
      <c r="E3111" s="46">
        <v>23047.0</v>
      </c>
    </row>
    <row r="3112">
      <c r="A3112" s="45">
        <v>55127.0</v>
      </c>
      <c r="B3112" s="45" t="s">
        <v>3838</v>
      </c>
      <c r="C3112" s="45" t="s">
        <v>3494</v>
      </c>
      <c r="D3112" s="46">
        <v>105822.0</v>
      </c>
      <c r="E3112" s="46">
        <v>106478.0</v>
      </c>
    </row>
    <row r="3113">
      <c r="A3113" s="45">
        <v>55129.0</v>
      </c>
      <c r="B3113" s="45" t="s">
        <v>3838</v>
      </c>
      <c r="C3113" s="45" t="s">
        <v>3870</v>
      </c>
      <c r="D3113" s="46">
        <v>16930.0</v>
      </c>
      <c r="E3113" s="46">
        <v>16623.0</v>
      </c>
    </row>
    <row r="3114">
      <c r="A3114" s="45">
        <v>55131.0</v>
      </c>
      <c r="B3114" s="45" t="s">
        <v>3838</v>
      </c>
      <c r="C3114" s="45" t="s">
        <v>2059</v>
      </c>
      <c r="D3114" s="46">
        <v>138168.0</v>
      </c>
      <c r="E3114" s="46">
        <v>136761.0</v>
      </c>
    </row>
    <row r="3115">
      <c r="A3115" s="45">
        <v>55133.0</v>
      </c>
      <c r="B3115" s="45" t="s">
        <v>3838</v>
      </c>
      <c r="C3115" s="45" t="s">
        <v>3871</v>
      </c>
      <c r="D3115" s="46">
        <v>412591.0</v>
      </c>
      <c r="E3115" s="46">
        <v>406978.0</v>
      </c>
    </row>
    <row r="3116">
      <c r="A3116" s="45">
        <v>55135.0</v>
      </c>
      <c r="B3116" s="45" t="s">
        <v>3838</v>
      </c>
      <c r="C3116" s="45" t="s">
        <v>3872</v>
      </c>
      <c r="D3116" s="46">
        <v>51388.0</v>
      </c>
      <c r="E3116" s="46">
        <v>51812.0</v>
      </c>
    </row>
    <row r="3117">
      <c r="A3117" s="45">
        <v>55137.0</v>
      </c>
      <c r="B3117" s="45" t="s">
        <v>3838</v>
      </c>
      <c r="C3117" s="45" t="s">
        <v>3873</v>
      </c>
      <c r="D3117" s="46">
        <v>24934.0</v>
      </c>
      <c r="E3117" s="46">
        <v>24520.0</v>
      </c>
    </row>
    <row r="3118">
      <c r="A3118" s="45">
        <v>55139.0</v>
      </c>
      <c r="B3118" s="45" t="s">
        <v>3838</v>
      </c>
      <c r="C3118" s="45" t="s">
        <v>2511</v>
      </c>
      <c r="D3118" s="46">
        <v>171735.0</v>
      </c>
      <c r="E3118" s="46">
        <v>171730.0</v>
      </c>
    </row>
    <row r="3119">
      <c r="A3119" s="45">
        <v>55141.0</v>
      </c>
      <c r="B3119" s="45" t="s">
        <v>3838</v>
      </c>
      <c r="C3119" s="45" t="s">
        <v>3331</v>
      </c>
      <c r="D3119" s="46">
        <v>73939.0</v>
      </c>
      <c r="E3119" s="46">
        <v>74207.0</v>
      </c>
    </row>
    <row r="3120">
      <c r="A3120" s="45">
        <v>56001.0</v>
      </c>
      <c r="B3120" s="45" t="s">
        <v>3874</v>
      </c>
      <c r="C3120" s="45" t="s">
        <v>3169</v>
      </c>
      <c r="D3120" s="46">
        <v>38257.0</v>
      </c>
      <c r="E3120" s="46">
        <v>37066.0</v>
      </c>
    </row>
    <row r="3121">
      <c r="A3121" s="45">
        <v>56003.0</v>
      </c>
      <c r="B3121" s="45" t="s">
        <v>3874</v>
      </c>
      <c r="C3121" s="45" t="s">
        <v>3036</v>
      </c>
      <c r="D3121" s="46">
        <v>12018.0</v>
      </c>
      <c r="E3121" s="46">
        <v>11521.0</v>
      </c>
    </row>
    <row r="3122">
      <c r="A3122" s="45">
        <v>56005.0</v>
      </c>
      <c r="B3122" s="45" t="s">
        <v>3874</v>
      </c>
      <c r="C3122" s="45" t="s">
        <v>2682</v>
      </c>
      <c r="D3122" s="46">
        <v>47498.0</v>
      </c>
      <c r="E3122" s="46">
        <v>47026.0</v>
      </c>
    </row>
    <row r="3123">
      <c r="A3123" s="45">
        <v>56007.0</v>
      </c>
      <c r="B3123" s="45" t="s">
        <v>3874</v>
      </c>
      <c r="C3123" s="45" t="s">
        <v>3038</v>
      </c>
      <c r="D3123" s="46">
        <v>14334.0</v>
      </c>
      <c r="E3123" s="46">
        <v>14537.0</v>
      </c>
    </row>
    <row r="3124">
      <c r="A3124" s="45">
        <v>56009.0</v>
      </c>
      <c r="B3124" s="45" t="s">
        <v>3874</v>
      </c>
      <c r="C3124" s="45" t="s">
        <v>3875</v>
      </c>
      <c r="D3124" s="46">
        <v>13809.0</v>
      </c>
      <c r="E3124" s="46">
        <v>13751.0</v>
      </c>
    </row>
    <row r="3125">
      <c r="A3125" s="45">
        <v>56011.0</v>
      </c>
      <c r="B3125" s="45" t="s">
        <v>3874</v>
      </c>
      <c r="C3125" s="45" t="s">
        <v>3379</v>
      </c>
      <c r="D3125" s="46">
        <v>7592.0</v>
      </c>
      <c r="E3125" s="46">
        <v>7181.0</v>
      </c>
    </row>
    <row r="3126">
      <c r="A3126" s="45">
        <v>56013.0</v>
      </c>
      <c r="B3126" s="45" t="s">
        <v>3874</v>
      </c>
      <c r="C3126" s="45" t="s">
        <v>2217</v>
      </c>
      <c r="D3126" s="46">
        <v>39815.0</v>
      </c>
      <c r="E3126" s="46">
        <v>39234.0</v>
      </c>
    </row>
    <row r="3127">
      <c r="A3127" s="45">
        <v>56015.0</v>
      </c>
      <c r="B3127" s="45" t="s">
        <v>3874</v>
      </c>
      <c r="C3127" s="45" t="s">
        <v>3876</v>
      </c>
      <c r="D3127" s="46">
        <v>12642.0</v>
      </c>
      <c r="E3127" s="46">
        <v>12498.0</v>
      </c>
    </row>
    <row r="3128">
      <c r="A3128" s="45">
        <v>56017.0</v>
      </c>
      <c r="B3128" s="45" t="s">
        <v>3874</v>
      </c>
      <c r="C3128" s="45" t="s">
        <v>3877</v>
      </c>
      <c r="D3128" s="46">
        <v>4661.0</v>
      </c>
      <c r="E3128" s="46">
        <v>4621.0</v>
      </c>
    </row>
    <row r="3129">
      <c r="A3129" s="45">
        <v>56019.0</v>
      </c>
      <c r="B3129" s="45" t="s">
        <v>3874</v>
      </c>
      <c r="C3129" s="45" t="s">
        <v>2107</v>
      </c>
      <c r="D3129" s="46">
        <v>8759.0</v>
      </c>
      <c r="E3129" s="46">
        <v>8447.0</v>
      </c>
    </row>
    <row r="3130">
      <c r="A3130" s="45">
        <v>56021.0</v>
      </c>
      <c r="B3130" s="45" t="s">
        <v>3874</v>
      </c>
      <c r="C3130" s="45" t="s">
        <v>3878</v>
      </c>
      <c r="D3130" s="46">
        <v>100984.0</v>
      </c>
      <c r="E3130" s="46">
        <v>100512.0</v>
      </c>
    </row>
    <row r="3131">
      <c r="A3131" s="45">
        <v>56023.0</v>
      </c>
      <c r="B3131" s="45" t="s">
        <v>3874</v>
      </c>
      <c r="C3131" s="45" t="s">
        <v>2109</v>
      </c>
      <c r="D3131" s="46">
        <v>20880.0</v>
      </c>
      <c r="E3131" s="46">
        <v>19581.0</v>
      </c>
    </row>
    <row r="3132">
      <c r="A3132" s="45">
        <v>56025.0</v>
      </c>
      <c r="B3132" s="45" t="s">
        <v>3874</v>
      </c>
      <c r="C3132" s="45" t="s">
        <v>3879</v>
      </c>
      <c r="D3132" s="46">
        <v>79941.0</v>
      </c>
      <c r="E3132" s="46">
        <v>79955.0</v>
      </c>
    </row>
    <row r="3133">
      <c r="A3133" s="45">
        <v>56027.0</v>
      </c>
      <c r="B3133" s="45" t="s">
        <v>3874</v>
      </c>
      <c r="C3133" s="45" t="s">
        <v>3880</v>
      </c>
      <c r="D3133" s="46">
        <v>2354.0</v>
      </c>
      <c r="E3133" s="46">
        <v>2467.0</v>
      </c>
    </row>
    <row r="3134">
      <c r="A3134" s="45">
        <v>56029.0</v>
      </c>
      <c r="B3134" s="45" t="s">
        <v>3874</v>
      </c>
      <c r="C3134" s="45" t="s">
        <v>2236</v>
      </c>
      <c r="D3134" s="46">
        <v>30735.0</v>
      </c>
      <c r="E3134" s="46">
        <v>29624.0</v>
      </c>
    </row>
    <row r="3135">
      <c r="A3135" s="45">
        <v>56031.0</v>
      </c>
      <c r="B3135" s="45" t="s">
        <v>3874</v>
      </c>
      <c r="C3135" s="45" t="s">
        <v>3020</v>
      </c>
      <c r="D3135" s="46">
        <v>8546.0</v>
      </c>
      <c r="E3135" s="46">
        <v>8605.0</v>
      </c>
    </row>
    <row r="3136">
      <c r="A3136" s="45">
        <v>56033.0</v>
      </c>
      <c r="B3136" s="45" t="s">
        <v>3874</v>
      </c>
      <c r="C3136" s="45" t="s">
        <v>2655</v>
      </c>
      <c r="D3136" s="46">
        <v>32519.0</v>
      </c>
      <c r="E3136" s="46">
        <v>30921.0</v>
      </c>
    </row>
    <row r="3137">
      <c r="A3137" s="45">
        <v>56035.0</v>
      </c>
      <c r="B3137" s="45" t="s">
        <v>3874</v>
      </c>
      <c r="C3137" s="45" t="s">
        <v>3881</v>
      </c>
      <c r="D3137" s="46">
        <v>8969.0</v>
      </c>
      <c r="E3137" s="46">
        <v>8728.0</v>
      </c>
    </row>
    <row r="3138">
      <c r="A3138" s="45">
        <v>56037.0</v>
      </c>
      <c r="B3138" s="45" t="s">
        <v>3874</v>
      </c>
      <c r="C3138" s="45" t="s">
        <v>3882</v>
      </c>
      <c r="D3138" s="46">
        <v>41249.0</v>
      </c>
      <c r="E3138" s="46">
        <v>42272.0</v>
      </c>
    </row>
    <row r="3139">
      <c r="A3139" s="45">
        <v>56039.0</v>
      </c>
      <c r="B3139" s="45" t="s">
        <v>3874</v>
      </c>
      <c r="C3139" s="45" t="s">
        <v>2455</v>
      </c>
      <c r="D3139" s="46">
        <v>23232.0</v>
      </c>
      <c r="E3139" s="46">
        <v>23331.0</v>
      </c>
    </row>
    <row r="3140">
      <c r="A3140" s="45">
        <v>56041.0</v>
      </c>
      <c r="B3140" s="45" t="s">
        <v>3874</v>
      </c>
      <c r="C3140" s="45" t="s">
        <v>3883</v>
      </c>
      <c r="D3140" s="46">
        <v>20745.0</v>
      </c>
      <c r="E3140" s="46">
        <v>20450.0</v>
      </c>
    </row>
    <row r="3141">
      <c r="A3141" s="45">
        <v>56043.0</v>
      </c>
      <c r="B3141" s="45" t="s">
        <v>3874</v>
      </c>
      <c r="C3141" s="45" t="s">
        <v>3884</v>
      </c>
      <c r="D3141" s="46">
        <v>7710.0</v>
      </c>
      <c r="E3141" s="46">
        <v>7685.0</v>
      </c>
    </row>
    <row r="3142">
      <c r="A3142" s="45">
        <v>56045.0</v>
      </c>
      <c r="B3142" s="45" t="s">
        <v>3874</v>
      </c>
      <c r="C3142" s="45" t="s">
        <v>3885</v>
      </c>
      <c r="D3142" s="46">
        <v>6808.0</v>
      </c>
      <c r="E3142" s="46">
        <v>6838.0</v>
      </c>
    </row>
    <row r="3143">
      <c r="A3143" s="45">
        <v>72001.0</v>
      </c>
      <c r="B3143" s="45" t="s">
        <v>3886</v>
      </c>
      <c r="C3143" s="45" t="s">
        <v>3887</v>
      </c>
      <c r="D3143" s="46">
        <v>17900.0</v>
      </c>
      <c r="E3143" s="46">
        <v>18020.0</v>
      </c>
    </row>
    <row r="3144">
      <c r="A3144" s="45">
        <v>72003.0</v>
      </c>
      <c r="B3144" s="45" t="s">
        <v>3886</v>
      </c>
      <c r="C3144" s="45" t="s">
        <v>3888</v>
      </c>
      <c r="D3144" s="46">
        <v>37528.0</v>
      </c>
      <c r="E3144" s="46">
        <v>38136.0</v>
      </c>
    </row>
    <row r="3145">
      <c r="A3145" s="45">
        <v>72005.0</v>
      </c>
      <c r="B3145" s="45" t="s">
        <v>3886</v>
      </c>
      <c r="C3145" s="45" t="s">
        <v>3889</v>
      </c>
      <c r="D3145" s="46">
        <v>53622.0</v>
      </c>
      <c r="E3145" s="46">
        <v>55101.0</v>
      </c>
    </row>
    <row r="3146">
      <c r="A3146" s="45">
        <v>72007.0</v>
      </c>
      <c r="B3146" s="45" t="s">
        <v>3886</v>
      </c>
      <c r="C3146" s="45" t="s">
        <v>3890</v>
      </c>
      <c r="D3146" s="46">
        <v>23274.0</v>
      </c>
      <c r="E3146" s="46">
        <v>24223.0</v>
      </c>
    </row>
    <row r="3147">
      <c r="A3147" s="45">
        <v>72009.0</v>
      </c>
      <c r="B3147" s="45" t="s">
        <v>3886</v>
      </c>
      <c r="C3147" s="45" t="s">
        <v>3891</v>
      </c>
      <c r="D3147" s="46">
        <v>24602.0</v>
      </c>
      <c r="E3147" s="46">
        <v>24637.0</v>
      </c>
    </row>
    <row r="3148">
      <c r="A3148" s="45">
        <v>72011.0</v>
      </c>
      <c r="B3148" s="45" t="s">
        <v>3886</v>
      </c>
      <c r="C3148" s="45" t="s">
        <v>3892</v>
      </c>
      <c r="D3148" s="46">
        <v>24815.0</v>
      </c>
      <c r="E3148" s="46">
        <v>25596.0</v>
      </c>
    </row>
    <row r="3149">
      <c r="A3149" s="45">
        <v>72013.0</v>
      </c>
      <c r="B3149" s="45" t="s">
        <v>3886</v>
      </c>
      <c r="C3149" s="45" t="s">
        <v>3893</v>
      </c>
      <c r="D3149" s="46">
        <v>85641.0</v>
      </c>
      <c r="E3149" s="46">
        <v>87754.0</v>
      </c>
    </row>
    <row r="3150">
      <c r="A3150" s="45">
        <v>72015.0</v>
      </c>
      <c r="B3150" s="45" t="s">
        <v>3886</v>
      </c>
      <c r="C3150" s="45" t="s">
        <v>3894</v>
      </c>
      <c r="D3150" s="46">
        <v>15078.0</v>
      </c>
      <c r="E3150" s="46">
        <v>15843.0</v>
      </c>
    </row>
    <row r="3151">
      <c r="A3151" s="45">
        <v>72017.0</v>
      </c>
      <c r="B3151" s="45" t="s">
        <v>3886</v>
      </c>
      <c r="C3151" s="45" t="s">
        <v>3895</v>
      </c>
      <c r="D3151" s="46">
        <v>22376.0</v>
      </c>
      <c r="E3151" s="46">
        <v>22657.0</v>
      </c>
    </row>
    <row r="3152">
      <c r="A3152" s="45">
        <v>72019.0</v>
      </c>
      <c r="B3152" s="45" t="s">
        <v>3886</v>
      </c>
      <c r="C3152" s="45" t="s">
        <v>3896</v>
      </c>
      <c r="D3152" s="46">
        <v>29020.0</v>
      </c>
      <c r="E3152" s="46">
        <v>28983.0</v>
      </c>
    </row>
    <row r="3153">
      <c r="A3153" s="45">
        <v>72021.0</v>
      </c>
      <c r="B3153" s="45" t="s">
        <v>3886</v>
      </c>
      <c r="C3153" s="45" t="s">
        <v>3897</v>
      </c>
      <c r="D3153" s="46">
        <v>180835.0</v>
      </c>
      <c r="E3153" s="46">
        <v>185187.0</v>
      </c>
    </row>
    <row r="3154">
      <c r="A3154" s="45">
        <v>72023.0</v>
      </c>
      <c r="B3154" s="45" t="s">
        <v>3886</v>
      </c>
      <c r="C3154" s="45" t="s">
        <v>3898</v>
      </c>
      <c r="D3154" s="46">
        <v>46665.0</v>
      </c>
      <c r="E3154" s="46">
        <v>47158.0</v>
      </c>
    </row>
    <row r="3155">
      <c r="A3155" s="45">
        <v>72025.0</v>
      </c>
      <c r="B3155" s="45" t="s">
        <v>3886</v>
      </c>
      <c r="C3155" s="45" t="s">
        <v>3899</v>
      </c>
      <c r="D3155" s="46">
        <v>124608.0</v>
      </c>
      <c r="E3155" s="46">
        <v>127244.0</v>
      </c>
    </row>
    <row r="3156">
      <c r="A3156" s="45">
        <v>72027.0</v>
      </c>
      <c r="B3156" s="45" t="s">
        <v>3886</v>
      </c>
      <c r="C3156" s="45" t="s">
        <v>3900</v>
      </c>
      <c r="D3156" s="46">
        <v>32625.0</v>
      </c>
      <c r="E3156" s="46">
        <v>32827.0</v>
      </c>
    </row>
    <row r="3157">
      <c r="A3157" s="45">
        <v>72029.0</v>
      </c>
      <c r="B3157" s="45" t="s">
        <v>3886</v>
      </c>
      <c r="C3157" s="45" t="s">
        <v>3901</v>
      </c>
      <c r="D3157" s="46">
        <v>41513.0</v>
      </c>
      <c r="E3157" s="46">
        <v>42337.0</v>
      </c>
    </row>
    <row r="3158">
      <c r="A3158" s="45">
        <v>72031.0</v>
      </c>
      <c r="B3158" s="45" t="s">
        <v>3886</v>
      </c>
      <c r="C3158" s="45" t="s">
        <v>3902</v>
      </c>
      <c r="D3158" s="46">
        <v>150843.0</v>
      </c>
      <c r="E3158" s="46">
        <v>154815.0</v>
      </c>
    </row>
    <row r="3159">
      <c r="A3159" s="45">
        <v>72033.0</v>
      </c>
      <c r="B3159" s="45" t="s">
        <v>3886</v>
      </c>
      <c r="C3159" s="45" t="s">
        <v>3903</v>
      </c>
      <c r="D3159" s="46">
        <v>22108.0</v>
      </c>
      <c r="E3159" s="46">
        <v>23155.0</v>
      </c>
    </row>
    <row r="3160">
      <c r="A3160" s="45">
        <v>72035.0</v>
      </c>
      <c r="B3160" s="45" t="s">
        <v>3886</v>
      </c>
      <c r="C3160" s="45" t="s">
        <v>3904</v>
      </c>
      <c r="D3160" s="46">
        <v>40525.0</v>
      </c>
      <c r="E3160" s="46">
        <v>41652.0</v>
      </c>
    </row>
    <row r="3161">
      <c r="A3161" s="45">
        <v>72037.0</v>
      </c>
      <c r="B3161" s="45" t="s">
        <v>3886</v>
      </c>
      <c r="C3161" s="45" t="s">
        <v>3905</v>
      </c>
      <c r="D3161" s="46">
        <v>10843.0</v>
      </c>
      <c r="E3161" s="46">
        <v>11307.0</v>
      </c>
    </row>
    <row r="3162">
      <c r="A3162" s="45">
        <v>72039.0</v>
      </c>
      <c r="B3162" s="45" t="s">
        <v>3886</v>
      </c>
      <c r="C3162" s="45" t="s">
        <v>3906</v>
      </c>
      <c r="D3162" s="46">
        <v>16691.0</v>
      </c>
      <c r="E3162" s="46">
        <v>16984.0</v>
      </c>
    </row>
    <row r="3163">
      <c r="A3163" s="45">
        <v>72041.0</v>
      </c>
      <c r="B3163" s="45" t="s">
        <v>3886</v>
      </c>
      <c r="C3163" s="45" t="s">
        <v>3907</v>
      </c>
      <c r="D3163" s="46">
        <v>39418.0</v>
      </c>
      <c r="E3163" s="46">
        <v>39970.0</v>
      </c>
    </row>
    <row r="3164">
      <c r="A3164" s="45">
        <v>72043.0</v>
      </c>
      <c r="B3164" s="45" t="s">
        <v>3886</v>
      </c>
      <c r="C3164" s="45" t="s">
        <v>3908</v>
      </c>
      <c r="D3164" s="46">
        <v>33662.0</v>
      </c>
      <c r="E3164" s="46">
        <v>34668.0</v>
      </c>
    </row>
    <row r="3165">
      <c r="A3165" s="45">
        <v>72045.0</v>
      </c>
      <c r="B3165" s="45" t="s">
        <v>3886</v>
      </c>
      <c r="C3165" s="45" t="s">
        <v>3909</v>
      </c>
      <c r="D3165" s="46">
        <v>18601.0</v>
      </c>
      <c r="E3165" s="46">
        <v>18883.0</v>
      </c>
    </row>
    <row r="3166">
      <c r="A3166" s="45">
        <v>72047.0</v>
      </c>
      <c r="B3166" s="45" t="s">
        <v>3886</v>
      </c>
      <c r="C3166" s="45" t="s">
        <v>3910</v>
      </c>
      <c r="D3166" s="46">
        <v>34348.0</v>
      </c>
      <c r="E3166" s="46">
        <v>34571.0</v>
      </c>
    </row>
    <row r="3167">
      <c r="A3167" s="45">
        <v>72049.0</v>
      </c>
      <c r="B3167" s="45" t="s">
        <v>3886</v>
      </c>
      <c r="C3167" s="45" t="s">
        <v>3911</v>
      </c>
      <c r="D3167" s="46">
        <v>1761.0</v>
      </c>
      <c r="E3167" s="46">
        <v>1792.0</v>
      </c>
    </row>
    <row r="3168">
      <c r="A3168" s="45">
        <v>72051.0</v>
      </c>
      <c r="B3168" s="45" t="s">
        <v>3886</v>
      </c>
      <c r="C3168" s="45" t="s">
        <v>3912</v>
      </c>
      <c r="D3168" s="46">
        <v>35702.0</v>
      </c>
      <c r="E3168" s="46">
        <v>35879.0</v>
      </c>
    </row>
    <row r="3169">
      <c r="A3169" s="45">
        <v>72053.0</v>
      </c>
      <c r="B3169" s="45" t="s">
        <v>3886</v>
      </c>
      <c r="C3169" s="45" t="s">
        <v>3913</v>
      </c>
      <c r="D3169" s="46">
        <v>31166.0</v>
      </c>
      <c r="E3169" s="46">
        <v>32124.0</v>
      </c>
    </row>
    <row r="3170">
      <c r="A3170" s="45">
        <v>72054.0</v>
      </c>
      <c r="B3170" s="45" t="s">
        <v>3886</v>
      </c>
      <c r="C3170" s="45" t="s">
        <v>3914</v>
      </c>
      <c r="D3170" s="46">
        <v>11525.0</v>
      </c>
      <c r="E3170" s="46">
        <v>11692.0</v>
      </c>
    </row>
    <row r="3171">
      <c r="A3171" s="45">
        <v>72055.0</v>
      </c>
      <c r="B3171" s="45" t="s">
        <v>3886</v>
      </c>
      <c r="C3171" s="45" t="s">
        <v>3915</v>
      </c>
      <c r="D3171" s="46">
        <v>12415.0</v>
      </c>
      <c r="E3171" s="46">
        <v>13787.0</v>
      </c>
    </row>
    <row r="3172">
      <c r="A3172" s="45">
        <v>72057.0</v>
      </c>
      <c r="B3172" s="45" t="s">
        <v>3886</v>
      </c>
      <c r="C3172" s="45" t="s">
        <v>3916</v>
      </c>
      <c r="D3172" s="46">
        <v>34765.0</v>
      </c>
      <c r="E3172" s="46">
        <v>36614.0</v>
      </c>
    </row>
    <row r="3173">
      <c r="A3173" s="45">
        <v>72059.0</v>
      </c>
      <c r="B3173" s="45" t="s">
        <v>3886</v>
      </c>
      <c r="C3173" s="45" t="s">
        <v>3917</v>
      </c>
      <c r="D3173" s="46">
        <v>16813.0</v>
      </c>
      <c r="E3173" s="46">
        <v>17784.0</v>
      </c>
    </row>
    <row r="3174">
      <c r="A3174" s="45">
        <v>72061.0</v>
      </c>
      <c r="B3174" s="45" t="s">
        <v>3886</v>
      </c>
      <c r="C3174" s="45" t="s">
        <v>3918</v>
      </c>
      <c r="D3174" s="46">
        <v>89039.0</v>
      </c>
      <c r="E3174" s="46">
        <v>89780.0</v>
      </c>
    </row>
    <row r="3175">
      <c r="A3175" s="45">
        <v>72063.0</v>
      </c>
      <c r="B3175" s="45" t="s">
        <v>3886</v>
      </c>
      <c r="C3175" s="45" t="s">
        <v>3919</v>
      </c>
      <c r="D3175" s="46">
        <v>39971.0</v>
      </c>
      <c r="E3175" s="46">
        <v>40622.0</v>
      </c>
    </row>
    <row r="3176">
      <c r="A3176" s="45">
        <v>72065.0</v>
      </c>
      <c r="B3176" s="45" t="s">
        <v>3886</v>
      </c>
      <c r="C3176" s="45" t="s">
        <v>3920</v>
      </c>
      <c r="D3176" s="46">
        <v>37950.0</v>
      </c>
      <c r="E3176" s="46">
        <v>38486.0</v>
      </c>
    </row>
    <row r="3177">
      <c r="A3177" s="45">
        <v>72067.0</v>
      </c>
      <c r="B3177" s="45" t="s">
        <v>3886</v>
      </c>
      <c r="C3177" s="45" t="s">
        <v>3921</v>
      </c>
      <c r="D3177" s="46">
        <v>15336.0</v>
      </c>
      <c r="E3177" s="46">
        <v>15654.0</v>
      </c>
    </row>
    <row r="3178">
      <c r="A3178" s="45">
        <v>72069.0</v>
      </c>
      <c r="B3178" s="45" t="s">
        <v>3886</v>
      </c>
      <c r="C3178" s="45" t="s">
        <v>3922</v>
      </c>
      <c r="D3178" s="46">
        <v>49712.0</v>
      </c>
      <c r="E3178" s="46">
        <v>50896.0</v>
      </c>
    </row>
    <row r="3179">
      <c r="A3179" s="45">
        <v>72071.0</v>
      </c>
      <c r="B3179" s="45" t="s">
        <v>3886</v>
      </c>
      <c r="C3179" s="45" t="s">
        <v>3923</v>
      </c>
      <c r="D3179" s="46">
        <v>42794.0</v>
      </c>
      <c r="E3179" s="46">
        <v>42943.0</v>
      </c>
    </row>
    <row r="3180">
      <c r="A3180" s="45">
        <v>72073.0</v>
      </c>
      <c r="B3180" s="45" t="s">
        <v>3886</v>
      </c>
      <c r="C3180" s="45" t="s">
        <v>3924</v>
      </c>
      <c r="D3180" s="46">
        <v>14435.0</v>
      </c>
      <c r="E3180" s="46">
        <v>14779.0</v>
      </c>
    </row>
    <row r="3181">
      <c r="A3181" s="45">
        <v>72075.0</v>
      </c>
      <c r="B3181" s="45" t="s">
        <v>3886</v>
      </c>
      <c r="C3181" s="45" t="s">
        <v>3925</v>
      </c>
      <c r="D3181" s="46">
        <v>45919.0</v>
      </c>
      <c r="E3181" s="46">
        <v>46538.0</v>
      </c>
    </row>
    <row r="3182">
      <c r="A3182" s="45">
        <v>72077.0</v>
      </c>
      <c r="B3182" s="45" t="s">
        <v>3886</v>
      </c>
      <c r="C3182" s="45" t="s">
        <v>3926</v>
      </c>
      <c r="D3182" s="46">
        <v>36684.0</v>
      </c>
      <c r="E3182" s="46">
        <v>37012.0</v>
      </c>
    </row>
    <row r="3183">
      <c r="A3183" s="45">
        <v>72079.0</v>
      </c>
      <c r="B3183" s="45" t="s">
        <v>3886</v>
      </c>
      <c r="C3183" s="45" t="s">
        <v>3927</v>
      </c>
      <c r="D3183" s="46">
        <v>22872.0</v>
      </c>
      <c r="E3183" s="46">
        <v>23334.0</v>
      </c>
    </row>
    <row r="3184">
      <c r="A3184" s="45">
        <v>72081.0</v>
      </c>
      <c r="B3184" s="45" t="s">
        <v>3886</v>
      </c>
      <c r="C3184" s="45" t="s">
        <v>3928</v>
      </c>
      <c r="D3184" s="46">
        <v>27729.0</v>
      </c>
      <c r="E3184" s="46">
        <v>28105.0</v>
      </c>
    </row>
    <row r="3185">
      <c r="A3185" s="45">
        <v>72083.0</v>
      </c>
      <c r="B3185" s="45" t="s">
        <v>3886</v>
      </c>
      <c r="C3185" s="45" t="s">
        <v>3929</v>
      </c>
      <c r="D3185" s="46">
        <v>8672.0</v>
      </c>
      <c r="E3185" s="46">
        <v>8874.0</v>
      </c>
    </row>
    <row r="3186">
      <c r="A3186" s="45">
        <v>72085.0</v>
      </c>
      <c r="B3186" s="45" t="s">
        <v>3886</v>
      </c>
      <c r="C3186" s="45" t="s">
        <v>3930</v>
      </c>
      <c r="D3186" s="46">
        <v>34750.0</v>
      </c>
      <c r="E3186" s="46">
        <v>35180.0</v>
      </c>
    </row>
    <row r="3187">
      <c r="A3187" s="45">
        <v>72087.0</v>
      </c>
      <c r="B3187" s="45" t="s">
        <v>3886</v>
      </c>
      <c r="C3187" s="45" t="s">
        <v>3931</v>
      </c>
      <c r="D3187" s="46">
        <v>22302.0</v>
      </c>
      <c r="E3187" s="46">
        <v>23693.0</v>
      </c>
    </row>
    <row r="3188">
      <c r="A3188" s="45">
        <v>72089.0</v>
      </c>
      <c r="B3188" s="45" t="s">
        <v>3886</v>
      </c>
      <c r="C3188" s="45" t="s">
        <v>3932</v>
      </c>
      <c r="D3188" s="46">
        <v>17386.0</v>
      </c>
      <c r="E3188" s="46">
        <v>17781.0</v>
      </c>
    </row>
    <row r="3189">
      <c r="A3189" s="45">
        <v>72091.0</v>
      </c>
      <c r="B3189" s="45" t="s">
        <v>3886</v>
      </c>
      <c r="C3189" s="45" t="s">
        <v>3933</v>
      </c>
      <c r="D3189" s="46">
        <v>38655.0</v>
      </c>
      <c r="E3189" s="46">
        <v>39492.0</v>
      </c>
    </row>
    <row r="3190">
      <c r="A3190" s="45">
        <v>72093.0</v>
      </c>
      <c r="B3190" s="45" t="s">
        <v>3886</v>
      </c>
      <c r="C3190" s="45" t="s">
        <v>3934</v>
      </c>
      <c r="D3190" s="46">
        <v>4523.0</v>
      </c>
      <c r="E3190" s="46">
        <v>4755.0</v>
      </c>
    </row>
    <row r="3191">
      <c r="A3191" s="45">
        <v>72095.0</v>
      </c>
      <c r="B3191" s="45" t="s">
        <v>3886</v>
      </c>
      <c r="C3191" s="45" t="s">
        <v>3935</v>
      </c>
      <c r="D3191" s="46">
        <v>10266.0</v>
      </c>
      <c r="E3191" s="46">
        <v>10589.0</v>
      </c>
    </row>
    <row r="3192">
      <c r="A3192" s="45">
        <v>72097.0</v>
      </c>
      <c r="B3192" s="45" t="s">
        <v>3886</v>
      </c>
      <c r="C3192" s="45" t="s">
        <v>3936</v>
      </c>
      <c r="D3192" s="46">
        <v>69798.0</v>
      </c>
      <c r="E3192" s="46">
        <v>73077.0</v>
      </c>
    </row>
    <row r="3193">
      <c r="A3193" s="45">
        <v>72099.0</v>
      </c>
      <c r="B3193" s="45" t="s">
        <v>3886</v>
      </c>
      <c r="C3193" s="45" t="s">
        <v>3937</v>
      </c>
      <c r="D3193" s="46">
        <v>37325.0</v>
      </c>
      <c r="E3193" s="46">
        <v>37460.0</v>
      </c>
    </row>
    <row r="3194">
      <c r="A3194" s="45">
        <v>72101.0</v>
      </c>
      <c r="B3194" s="45" t="s">
        <v>3886</v>
      </c>
      <c r="C3194" s="45" t="s">
        <v>3938</v>
      </c>
      <c r="D3194" s="46">
        <v>28197.0</v>
      </c>
      <c r="E3194" s="46">
        <v>28727.0</v>
      </c>
    </row>
    <row r="3195">
      <c r="A3195" s="45">
        <v>72103.0</v>
      </c>
      <c r="B3195" s="45" t="s">
        <v>3886</v>
      </c>
      <c r="C3195" s="45" t="s">
        <v>3939</v>
      </c>
      <c r="D3195" s="46">
        <v>22838.0</v>
      </c>
      <c r="E3195" s="46">
        <v>23386.0</v>
      </c>
    </row>
    <row r="3196">
      <c r="A3196" s="45">
        <v>72105.0</v>
      </c>
      <c r="B3196" s="45" t="s">
        <v>3886</v>
      </c>
      <c r="C3196" s="45" t="s">
        <v>3940</v>
      </c>
      <c r="D3196" s="46">
        <v>29282.0</v>
      </c>
      <c r="E3196" s="46">
        <v>29241.0</v>
      </c>
    </row>
    <row r="3197">
      <c r="A3197" s="45">
        <v>72107.0</v>
      </c>
      <c r="B3197" s="45" t="s">
        <v>3886</v>
      </c>
      <c r="C3197" s="45" t="s">
        <v>3941</v>
      </c>
      <c r="D3197" s="46">
        <v>21204.0</v>
      </c>
      <c r="E3197" s="46">
        <v>21434.0</v>
      </c>
    </row>
    <row r="3198">
      <c r="A3198" s="45">
        <v>72109.0</v>
      </c>
      <c r="B3198" s="45" t="s">
        <v>3886</v>
      </c>
      <c r="C3198" s="45" t="s">
        <v>3942</v>
      </c>
      <c r="D3198" s="46">
        <v>15347.0</v>
      </c>
      <c r="E3198" s="46">
        <v>15985.0</v>
      </c>
    </row>
    <row r="3199">
      <c r="A3199" s="45">
        <v>72111.0</v>
      </c>
      <c r="B3199" s="45" t="s">
        <v>3886</v>
      </c>
      <c r="C3199" s="45" t="s">
        <v>3943</v>
      </c>
      <c r="D3199" s="46">
        <v>19563.0</v>
      </c>
      <c r="E3199" s="46">
        <v>20399.0</v>
      </c>
    </row>
    <row r="3200">
      <c r="A3200" s="45">
        <v>72113.0</v>
      </c>
      <c r="B3200" s="45" t="s">
        <v>3886</v>
      </c>
      <c r="C3200" s="45" t="s">
        <v>3944</v>
      </c>
      <c r="D3200" s="46">
        <v>130251.0</v>
      </c>
      <c r="E3200" s="46">
        <v>137491.0</v>
      </c>
    </row>
    <row r="3201">
      <c r="A3201" s="45">
        <v>72115.0</v>
      </c>
      <c r="B3201" s="45" t="s">
        <v>3886</v>
      </c>
      <c r="C3201" s="45" t="s">
        <v>3945</v>
      </c>
      <c r="D3201" s="46">
        <v>23254.0</v>
      </c>
      <c r="E3201" s="46">
        <v>23638.0</v>
      </c>
    </row>
    <row r="3202">
      <c r="A3202" s="45">
        <v>72117.0</v>
      </c>
      <c r="B3202" s="45" t="s">
        <v>3886</v>
      </c>
      <c r="C3202" s="45" t="s">
        <v>3946</v>
      </c>
      <c r="D3202" s="46">
        <v>15425.0</v>
      </c>
      <c r="E3202" s="46">
        <v>15187.0</v>
      </c>
    </row>
    <row r="3203">
      <c r="A3203" s="45">
        <v>72119.0</v>
      </c>
      <c r="B3203" s="45" t="s">
        <v>3886</v>
      </c>
      <c r="C3203" s="45" t="s">
        <v>3947</v>
      </c>
      <c r="D3203" s="46">
        <v>45568.0</v>
      </c>
      <c r="E3203" s="46">
        <v>47060.0</v>
      </c>
    </row>
    <row r="3204">
      <c r="A3204" s="45">
        <v>72121.0</v>
      </c>
      <c r="B3204" s="45" t="s">
        <v>3886</v>
      </c>
      <c r="C3204" s="45" t="s">
        <v>3948</v>
      </c>
      <c r="D3204" s="46">
        <v>22210.0</v>
      </c>
      <c r="E3204" s="46">
        <v>22729.0</v>
      </c>
    </row>
    <row r="3205">
      <c r="A3205" s="45">
        <v>72123.0</v>
      </c>
      <c r="B3205" s="45" t="s">
        <v>3886</v>
      </c>
      <c r="C3205" s="45" t="s">
        <v>3949</v>
      </c>
      <c r="D3205" s="46">
        <v>24718.0</v>
      </c>
      <c r="E3205" s="46">
        <v>25789.0</v>
      </c>
    </row>
    <row r="3206">
      <c r="A3206" s="45">
        <v>72125.0</v>
      </c>
      <c r="B3206" s="45" t="s">
        <v>3886</v>
      </c>
      <c r="C3206" s="45" t="s">
        <v>3950</v>
      </c>
      <c r="D3206" s="46">
        <v>30996.0</v>
      </c>
      <c r="E3206" s="46">
        <v>31879.0</v>
      </c>
    </row>
    <row r="3207">
      <c r="A3207" s="45">
        <v>72127.0</v>
      </c>
      <c r="B3207" s="45" t="s">
        <v>3886</v>
      </c>
      <c r="C3207" s="45" t="s">
        <v>3951</v>
      </c>
      <c r="D3207" s="46">
        <v>333005.0</v>
      </c>
      <c r="E3207" s="46">
        <v>342259.0</v>
      </c>
    </row>
    <row r="3208">
      <c r="A3208" s="45">
        <v>72129.0</v>
      </c>
      <c r="B3208" s="45" t="s">
        <v>3886</v>
      </c>
      <c r="C3208" s="45" t="s">
        <v>3952</v>
      </c>
      <c r="D3208" s="46">
        <v>37264.0</v>
      </c>
      <c r="E3208" s="46">
        <v>37693.0</v>
      </c>
    </row>
    <row r="3209">
      <c r="A3209" s="45">
        <v>72131.0</v>
      </c>
      <c r="B3209" s="45" t="s">
        <v>3886</v>
      </c>
      <c r="C3209" s="45" t="s">
        <v>3953</v>
      </c>
      <c r="D3209" s="46">
        <v>38926.0</v>
      </c>
      <c r="E3209" s="46">
        <v>39345.0</v>
      </c>
    </row>
    <row r="3210">
      <c r="A3210" s="45">
        <v>72133.0</v>
      </c>
      <c r="B3210" s="45" t="s">
        <v>3886</v>
      </c>
      <c r="C3210" s="45" t="s">
        <v>3954</v>
      </c>
      <c r="D3210" s="46">
        <v>19693.0</v>
      </c>
      <c r="E3210" s="46">
        <v>20281.0</v>
      </c>
    </row>
    <row r="3211">
      <c r="A3211" s="45">
        <v>72135.0</v>
      </c>
      <c r="B3211" s="45" t="s">
        <v>3886</v>
      </c>
      <c r="C3211" s="45" t="s">
        <v>3955</v>
      </c>
      <c r="D3211" s="46">
        <v>65957.0</v>
      </c>
      <c r="E3211" s="46">
        <v>66852.0</v>
      </c>
    </row>
    <row r="3212">
      <c r="A3212" s="45">
        <v>72137.0</v>
      </c>
      <c r="B3212" s="45" t="s">
        <v>3886</v>
      </c>
      <c r="C3212" s="45" t="s">
        <v>3956</v>
      </c>
      <c r="D3212" s="46">
        <v>71888.0</v>
      </c>
      <c r="E3212" s="46">
        <v>75293.0</v>
      </c>
    </row>
    <row r="3213">
      <c r="A3213" s="45">
        <v>72139.0</v>
      </c>
      <c r="B3213" s="45" t="s">
        <v>3886</v>
      </c>
      <c r="C3213" s="45" t="s">
        <v>3957</v>
      </c>
      <c r="D3213" s="46">
        <v>66705.0</v>
      </c>
      <c r="E3213" s="46">
        <v>67740.0</v>
      </c>
    </row>
    <row r="3214">
      <c r="A3214" s="45">
        <v>72141.0</v>
      </c>
      <c r="B3214" s="45" t="s">
        <v>3886</v>
      </c>
      <c r="C3214" s="45" t="s">
        <v>3958</v>
      </c>
      <c r="D3214" s="46">
        <v>27242.0</v>
      </c>
      <c r="E3214" s="46">
        <v>28287.0</v>
      </c>
    </row>
    <row r="3215">
      <c r="A3215" s="45">
        <v>72143.0</v>
      </c>
      <c r="B3215" s="45" t="s">
        <v>3886</v>
      </c>
      <c r="C3215" s="45" t="s">
        <v>3959</v>
      </c>
      <c r="D3215" s="46">
        <v>34638.0</v>
      </c>
      <c r="E3215" s="46">
        <v>35395.0</v>
      </c>
    </row>
    <row r="3216">
      <c r="A3216" s="45">
        <v>72145.0</v>
      </c>
      <c r="B3216" s="45" t="s">
        <v>3886</v>
      </c>
      <c r="C3216" s="45" t="s">
        <v>3960</v>
      </c>
      <c r="D3216" s="46">
        <v>53527.0</v>
      </c>
      <c r="E3216" s="46">
        <v>54414.0</v>
      </c>
    </row>
    <row r="3217">
      <c r="A3217" s="45">
        <v>72147.0</v>
      </c>
      <c r="B3217" s="45" t="s">
        <v>3886</v>
      </c>
      <c r="C3217" s="45" t="s">
        <v>3961</v>
      </c>
      <c r="D3217" s="46">
        <v>7999.0</v>
      </c>
      <c r="E3217" s="46">
        <v>8249.0</v>
      </c>
    </row>
    <row r="3218">
      <c r="A3218" s="45">
        <v>72149.0</v>
      </c>
      <c r="B3218" s="45" t="s">
        <v>3886</v>
      </c>
      <c r="C3218" s="45" t="s">
        <v>3962</v>
      </c>
      <c r="D3218" s="46">
        <v>21285.0</v>
      </c>
      <c r="E3218" s="46">
        <v>22093.0</v>
      </c>
    </row>
    <row r="3219">
      <c r="A3219" s="45">
        <v>72151.0</v>
      </c>
      <c r="B3219" s="45" t="s">
        <v>3886</v>
      </c>
      <c r="C3219" s="45" t="s">
        <v>3963</v>
      </c>
      <c r="D3219" s="46">
        <v>28897.0</v>
      </c>
      <c r="E3219" s="46">
        <v>30426.0</v>
      </c>
    </row>
    <row r="3220">
      <c r="A3220" s="45">
        <v>72153.0</v>
      </c>
      <c r="B3220" s="45" t="s">
        <v>3886</v>
      </c>
      <c r="C3220" s="45" t="s">
        <v>3964</v>
      </c>
      <c r="D3220" s="46">
        <v>32406.0</v>
      </c>
      <c r="E3220" s="46">
        <v>34172.0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2" max="2" width="10.25"/>
  </cols>
  <sheetData>
    <row r="1">
      <c r="A1" s="28" t="s">
        <v>86</v>
      </c>
      <c r="B1" s="28" t="s">
        <v>3965</v>
      </c>
      <c r="C1" s="28" t="s">
        <v>92</v>
      </c>
      <c r="D1" s="28" t="s">
        <v>89</v>
      </c>
      <c r="E1" s="28" t="s">
        <v>3966</v>
      </c>
      <c r="F1" s="28" t="s">
        <v>3967</v>
      </c>
      <c r="G1" s="28" t="s">
        <v>3968</v>
      </c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</row>
    <row r="2">
      <c r="A2" s="45" t="s">
        <v>100</v>
      </c>
      <c r="B2" s="45" t="s">
        <v>1994</v>
      </c>
      <c r="C2" s="45">
        <v>90.0</v>
      </c>
      <c r="D2" s="45">
        <v>1001.0</v>
      </c>
      <c r="E2" s="45" t="s">
        <v>3969</v>
      </c>
      <c r="F2" s="45" t="s">
        <v>3969</v>
      </c>
      <c r="G2" s="45" t="s">
        <v>3969</v>
      </c>
    </row>
    <row r="3">
      <c r="A3" s="45" t="s">
        <v>103</v>
      </c>
      <c r="B3" s="45" t="s">
        <v>1994</v>
      </c>
      <c r="C3" s="45">
        <v>90.0</v>
      </c>
      <c r="D3" s="45">
        <v>1003.0</v>
      </c>
      <c r="E3" s="45" t="s">
        <v>3969</v>
      </c>
      <c r="F3" s="45" t="s">
        <v>3969</v>
      </c>
      <c r="G3" s="45" t="s">
        <v>3969</v>
      </c>
    </row>
    <row r="4">
      <c r="A4" s="45" t="s">
        <v>105</v>
      </c>
      <c r="B4" s="45" t="s">
        <v>1994</v>
      </c>
      <c r="C4" s="45">
        <v>90.0</v>
      </c>
      <c r="D4" s="45">
        <v>1005.0</v>
      </c>
      <c r="E4" s="45" t="s">
        <v>3969</v>
      </c>
      <c r="F4" s="45" t="s">
        <v>3969</v>
      </c>
      <c r="G4" s="45" t="s">
        <v>3969</v>
      </c>
    </row>
    <row r="5">
      <c r="A5" s="45" t="s">
        <v>106</v>
      </c>
      <c r="B5" s="45" t="s">
        <v>1994</v>
      </c>
      <c r="C5" s="45">
        <v>89.0</v>
      </c>
      <c r="D5" s="45">
        <v>1007.0</v>
      </c>
      <c r="E5" s="45" t="s">
        <v>3969</v>
      </c>
      <c r="F5" s="45" t="s">
        <v>3969</v>
      </c>
      <c r="G5" s="45" t="s">
        <v>3969</v>
      </c>
    </row>
    <row r="6">
      <c r="A6" s="45" t="s">
        <v>107</v>
      </c>
      <c r="B6" s="45" t="s">
        <v>1994</v>
      </c>
      <c r="C6" s="45">
        <v>90.0</v>
      </c>
      <c r="D6" s="45">
        <v>1009.0</v>
      </c>
      <c r="E6" s="45" t="s">
        <v>3969</v>
      </c>
      <c r="F6" s="45" t="s">
        <v>3969</v>
      </c>
      <c r="G6" s="45" t="s">
        <v>3969</v>
      </c>
    </row>
    <row r="7">
      <c r="A7" s="45" t="s">
        <v>108</v>
      </c>
      <c r="B7" s="45" t="s">
        <v>1994</v>
      </c>
      <c r="C7" s="45">
        <v>90.0</v>
      </c>
      <c r="D7" s="45">
        <v>1011.0</v>
      </c>
      <c r="E7" s="45" t="s">
        <v>3969</v>
      </c>
      <c r="F7" s="45" t="s">
        <v>3969</v>
      </c>
      <c r="G7" s="45" t="s">
        <v>3969</v>
      </c>
    </row>
    <row r="8">
      <c r="A8" s="45" t="s">
        <v>109</v>
      </c>
      <c r="B8" s="45" t="s">
        <v>1994</v>
      </c>
      <c r="C8" s="45">
        <v>90.0</v>
      </c>
      <c r="D8" s="45">
        <v>1013.0</v>
      </c>
      <c r="E8" s="45" t="s">
        <v>3969</v>
      </c>
      <c r="F8" s="45" t="s">
        <v>3969</v>
      </c>
      <c r="G8" s="45" t="s">
        <v>3969</v>
      </c>
    </row>
    <row r="9">
      <c r="A9" s="45" t="s">
        <v>110</v>
      </c>
      <c r="B9" s="45" t="s">
        <v>1994</v>
      </c>
      <c r="C9" s="45">
        <v>90.0</v>
      </c>
      <c r="D9" s="45">
        <v>1015.0</v>
      </c>
      <c r="E9" s="45" t="s">
        <v>3969</v>
      </c>
      <c r="F9" s="45" t="s">
        <v>3969</v>
      </c>
      <c r="G9" s="45" t="s">
        <v>3969</v>
      </c>
    </row>
    <row r="10">
      <c r="A10" s="45" t="s">
        <v>111</v>
      </c>
      <c r="B10" s="45" t="s">
        <v>1994</v>
      </c>
      <c r="C10" s="45">
        <v>90.0</v>
      </c>
      <c r="D10" s="45">
        <v>1017.0</v>
      </c>
      <c r="E10" s="45" t="s">
        <v>3969</v>
      </c>
      <c r="F10" s="45" t="s">
        <v>3969</v>
      </c>
      <c r="G10" s="45" t="s">
        <v>3969</v>
      </c>
    </row>
    <row r="11">
      <c r="A11" s="45" t="s">
        <v>112</v>
      </c>
      <c r="B11" s="45" t="s">
        <v>1994</v>
      </c>
      <c r="C11" s="45">
        <v>90.0</v>
      </c>
      <c r="D11" s="45">
        <v>1019.0</v>
      </c>
      <c r="E11" s="45" t="s">
        <v>3969</v>
      </c>
      <c r="F11" s="45" t="s">
        <v>3969</v>
      </c>
      <c r="G11" s="45" t="s">
        <v>3969</v>
      </c>
    </row>
    <row r="12">
      <c r="A12" s="45" t="s">
        <v>113</v>
      </c>
      <c r="B12" s="45" t="s">
        <v>1994</v>
      </c>
      <c r="C12" s="45">
        <v>90.0</v>
      </c>
      <c r="D12" s="45">
        <v>1021.0</v>
      </c>
      <c r="E12" s="45" t="s">
        <v>3969</v>
      </c>
      <c r="F12" s="45" t="s">
        <v>3969</v>
      </c>
      <c r="G12" s="45" t="s">
        <v>3969</v>
      </c>
    </row>
    <row r="13">
      <c r="A13" s="45" t="s">
        <v>114</v>
      </c>
      <c r="B13" s="45" t="s">
        <v>1994</v>
      </c>
      <c r="C13" s="45">
        <v>89.0</v>
      </c>
      <c r="D13" s="45">
        <v>1023.0</v>
      </c>
      <c r="E13" s="45" t="s">
        <v>3969</v>
      </c>
      <c r="F13" s="45" t="s">
        <v>3969</v>
      </c>
      <c r="G13" s="45" t="s">
        <v>3969</v>
      </c>
    </row>
    <row r="14">
      <c r="A14" s="45" t="s">
        <v>115</v>
      </c>
      <c r="B14" s="45" t="s">
        <v>1994</v>
      </c>
      <c r="C14" s="45">
        <v>90.0</v>
      </c>
      <c r="D14" s="45">
        <v>1025.0</v>
      </c>
      <c r="E14" s="45" t="s">
        <v>3969</v>
      </c>
      <c r="F14" s="45" t="s">
        <v>3969</v>
      </c>
      <c r="G14" s="45" t="s">
        <v>3969</v>
      </c>
    </row>
    <row r="15">
      <c r="A15" s="45" t="s">
        <v>116</v>
      </c>
      <c r="B15" s="45" t="s">
        <v>1994</v>
      </c>
      <c r="C15" s="45">
        <v>90.0</v>
      </c>
      <c r="D15" s="45">
        <v>1027.0</v>
      </c>
      <c r="E15" s="45" t="s">
        <v>3969</v>
      </c>
      <c r="F15" s="45" t="s">
        <v>3969</v>
      </c>
      <c r="G15" s="45" t="s">
        <v>3969</v>
      </c>
    </row>
    <row r="16">
      <c r="A16" s="45" t="s">
        <v>117</v>
      </c>
      <c r="B16" s="45" t="s">
        <v>1994</v>
      </c>
      <c r="C16" s="45">
        <v>90.0</v>
      </c>
      <c r="D16" s="45">
        <v>1029.0</v>
      </c>
      <c r="E16" s="45" t="s">
        <v>3969</v>
      </c>
      <c r="F16" s="45" t="s">
        <v>3969</v>
      </c>
      <c r="G16" s="45" t="s">
        <v>3969</v>
      </c>
    </row>
    <row r="17">
      <c r="A17" s="45" t="s">
        <v>118</v>
      </c>
      <c r="B17" s="45" t="s">
        <v>1994</v>
      </c>
      <c r="C17" s="45">
        <v>90.0</v>
      </c>
      <c r="D17" s="45">
        <v>1031.0</v>
      </c>
      <c r="E17" s="45" t="s">
        <v>3969</v>
      </c>
      <c r="F17" s="45" t="s">
        <v>3969</v>
      </c>
      <c r="G17" s="45" t="s">
        <v>3969</v>
      </c>
    </row>
    <row r="18">
      <c r="A18" s="45" t="s">
        <v>119</v>
      </c>
      <c r="B18" s="45" t="s">
        <v>1994</v>
      </c>
      <c r="C18" s="45">
        <v>89.0</v>
      </c>
      <c r="D18" s="45">
        <v>1033.0</v>
      </c>
      <c r="E18" s="45" t="s">
        <v>3969</v>
      </c>
      <c r="F18" s="45" t="s">
        <v>3969</v>
      </c>
      <c r="G18" s="45" t="s">
        <v>3969</v>
      </c>
    </row>
    <row r="19">
      <c r="A19" s="45" t="s">
        <v>120</v>
      </c>
      <c r="B19" s="45" t="s">
        <v>1994</v>
      </c>
      <c r="C19" s="45">
        <v>90.0</v>
      </c>
      <c r="D19" s="45">
        <v>1035.0</v>
      </c>
      <c r="E19" s="45" t="s">
        <v>3969</v>
      </c>
      <c r="F19" s="45" t="s">
        <v>3969</v>
      </c>
      <c r="G19" s="45" t="s">
        <v>3969</v>
      </c>
    </row>
    <row r="20">
      <c r="A20" s="45" t="s">
        <v>121</v>
      </c>
      <c r="B20" s="45" t="s">
        <v>1994</v>
      </c>
      <c r="C20" s="45">
        <v>90.0</v>
      </c>
      <c r="D20" s="45">
        <v>1037.0</v>
      </c>
      <c r="E20" s="45" t="s">
        <v>3969</v>
      </c>
      <c r="F20" s="45" t="s">
        <v>3969</v>
      </c>
      <c r="G20" s="45" t="s">
        <v>3969</v>
      </c>
    </row>
    <row r="21">
      <c r="A21" s="45" t="s">
        <v>122</v>
      </c>
      <c r="B21" s="45" t="s">
        <v>1994</v>
      </c>
      <c r="C21" s="45">
        <v>90.0</v>
      </c>
      <c r="D21" s="45">
        <v>1039.0</v>
      </c>
      <c r="E21" s="45" t="s">
        <v>3969</v>
      </c>
      <c r="F21" s="45" t="s">
        <v>3969</v>
      </c>
      <c r="G21" s="45" t="s">
        <v>3969</v>
      </c>
    </row>
    <row r="22">
      <c r="A22" s="45" t="s">
        <v>123</v>
      </c>
      <c r="B22" s="45" t="s">
        <v>1994</v>
      </c>
      <c r="C22" s="45">
        <v>90.0</v>
      </c>
      <c r="D22" s="45">
        <v>1041.0</v>
      </c>
      <c r="E22" s="45" t="s">
        <v>3969</v>
      </c>
      <c r="F22" s="45" t="s">
        <v>3969</v>
      </c>
      <c r="G22" s="45" t="s">
        <v>3969</v>
      </c>
    </row>
    <row r="23">
      <c r="A23" s="45" t="s">
        <v>124</v>
      </c>
      <c r="B23" s="45" t="s">
        <v>1994</v>
      </c>
      <c r="C23" s="45">
        <v>89.0</v>
      </c>
      <c r="D23" s="45">
        <v>1043.0</v>
      </c>
      <c r="E23" s="45" t="s">
        <v>3969</v>
      </c>
      <c r="F23" s="45" t="s">
        <v>3969</v>
      </c>
      <c r="G23" s="45" t="s">
        <v>3969</v>
      </c>
    </row>
    <row r="24">
      <c r="A24" s="45" t="s">
        <v>125</v>
      </c>
      <c r="B24" s="45" t="s">
        <v>1994</v>
      </c>
      <c r="C24" s="45">
        <v>90.0</v>
      </c>
      <c r="D24" s="45">
        <v>1045.0</v>
      </c>
      <c r="E24" s="45" t="s">
        <v>3969</v>
      </c>
      <c r="F24" s="45" t="s">
        <v>3969</v>
      </c>
      <c r="G24" s="45" t="s">
        <v>3969</v>
      </c>
    </row>
    <row r="25">
      <c r="A25" s="45" t="s">
        <v>126</v>
      </c>
      <c r="B25" s="45" t="s">
        <v>1994</v>
      </c>
      <c r="C25" s="45">
        <v>90.0</v>
      </c>
      <c r="D25" s="45">
        <v>1047.0</v>
      </c>
      <c r="E25" s="45" t="s">
        <v>3969</v>
      </c>
      <c r="F25" s="45" t="s">
        <v>3969</v>
      </c>
      <c r="G25" s="45" t="s">
        <v>3969</v>
      </c>
    </row>
    <row r="26">
      <c r="A26" s="45" t="s">
        <v>127</v>
      </c>
      <c r="B26" s="45" t="s">
        <v>1994</v>
      </c>
      <c r="C26" s="45">
        <v>89.0</v>
      </c>
      <c r="D26" s="45">
        <v>1049.0</v>
      </c>
      <c r="E26" s="45" t="s">
        <v>3969</v>
      </c>
      <c r="F26" s="45" t="s">
        <v>3970</v>
      </c>
      <c r="G26" s="45" t="s">
        <v>3969</v>
      </c>
    </row>
    <row r="27">
      <c r="A27" s="45" t="s">
        <v>128</v>
      </c>
      <c r="B27" s="45" t="s">
        <v>1994</v>
      </c>
      <c r="C27" s="45">
        <v>90.0</v>
      </c>
      <c r="D27" s="45">
        <v>1051.0</v>
      </c>
      <c r="E27" s="45" t="s">
        <v>3969</v>
      </c>
      <c r="F27" s="45" t="s">
        <v>3969</v>
      </c>
      <c r="G27" s="45" t="s">
        <v>3969</v>
      </c>
    </row>
    <row r="28">
      <c r="A28" s="45" t="s">
        <v>129</v>
      </c>
      <c r="B28" s="45" t="s">
        <v>1994</v>
      </c>
      <c r="C28" s="45">
        <v>90.0</v>
      </c>
      <c r="D28" s="45">
        <v>1053.0</v>
      </c>
      <c r="E28" s="45" t="s">
        <v>3969</v>
      </c>
      <c r="F28" s="45" t="s">
        <v>3969</v>
      </c>
      <c r="G28" s="45" t="s">
        <v>3969</v>
      </c>
    </row>
    <row r="29">
      <c r="A29" s="45" t="s">
        <v>130</v>
      </c>
      <c r="B29" s="45" t="s">
        <v>1994</v>
      </c>
      <c r="C29" s="45">
        <v>90.0</v>
      </c>
      <c r="D29" s="45">
        <v>1055.0</v>
      </c>
      <c r="E29" s="45" t="s">
        <v>3969</v>
      </c>
      <c r="F29" s="45" t="s">
        <v>3969</v>
      </c>
      <c r="G29" s="45" t="s">
        <v>3969</v>
      </c>
    </row>
    <row r="30">
      <c r="A30" s="45" t="s">
        <v>131</v>
      </c>
      <c r="B30" s="45" t="s">
        <v>1994</v>
      </c>
      <c r="C30" s="45">
        <v>89.0</v>
      </c>
      <c r="D30" s="45">
        <v>1057.0</v>
      </c>
      <c r="E30" s="45" t="s">
        <v>3969</v>
      </c>
      <c r="F30" s="45" t="s">
        <v>3969</v>
      </c>
      <c r="G30" s="45" t="s">
        <v>3969</v>
      </c>
    </row>
    <row r="31">
      <c r="A31" s="45" t="s">
        <v>132</v>
      </c>
      <c r="B31" s="45" t="s">
        <v>1994</v>
      </c>
      <c r="C31" s="45">
        <v>89.0</v>
      </c>
      <c r="D31" s="45">
        <v>1059.0</v>
      </c>
      <c r="E31" s="45" t="s">
        <v>3969</v>
      </c>
      <c r="F31" s="45" t="s">
        <v>3969</v>
      </c>
      <c r="G31" s="45" t="s">
        <v>3969</v>
      </c>
    </row>
    <row r="32">
      <c r="A32" s="45" t="s">
        <v>133</v>
      </c>
      <c r="B32" s="45" t="s">
        <v>1994</v>
      </c>
      <c r="C32" s="45">
        <v>90.0</v>
      </c>
      <c r="D32" s="45">
        <v>1061.0</v>
      </c>
      <c r="E32" s="45" t="s">
        <v>3969</v>
      </c>
      <c r="F32" s="45" t="s">
        <v>3969</v>
      </c>
      <c r="G32" s="45" t="s">
        <v>3969</v>
      </c>
    </row>
    <row r="33">
      <c r="A33" s="45" t="s">
        <v>134</v>
      </c>
      <c r="B33" s="45" t="s">
        <v>1994</v>
      </c>
      <c r="C33" s="45">
        <v>89.0</v>
      </c>
      <c r="D33" s="45">
        <v>1063.0</v>
      </c>
      <c r="E33" s="45" t="s">
        <v>3969</v>
      </c>
      <c r="F33" s="45" t="s">
        <v>3969</v>
      </c>
      <c r="G33" s="45" t="s">
        <v>3969</v>
      </c>
    </row>
    <row r="34">
      <c r="A34" s="45" t="s">
        <v>135</v>
      </c>
      <c r="B34" s="45" t="s">
        <v>1994</v>
      </c>
      <c r="C34" s="45">
        <v>89.0</v>
      </c>
      <c r="D34" s="45">
        <v>1065.0</v>
      </c>
      <c r="E34" s="45" t="s">
        <v>3969</v>
      </c>
      <c r="F34" s="45" t="s">
        <v>3969</v>
      </c>
      <c r="G34" s="45" t="s">
        <v>3969</v>
      </c>
    </row>
    <row r="35">
      <c r="A35" s="45" t="s">
        <v>136</v>
      </c>
      <c r="B35" s="45" t="s">
        <v>1994</v>
      </c>
      <c r="C35" s="45">
        <v>90.0</v>
      </c>
      <c r="D35" s="45">
        <v>1067.0</v>
      </c>
      <c r="E35" s="45" t="s">
        <v>3969</v>
      </c>
      <c r="F35" s="45" t="s">
        <v>3969</v>
      </c>
      <c r="G35" s="45" t="s">
        <v>3969</v>
      </c>
    </row>
    <row r="36">
      <c r="A36" s="45" t="s">
        <v>137</v>
      </c>
      <c r="B36" s="45" t="s">
        <v>1994</v>
      </c>
      <c r="C36" s="45">
        <v>90.0</v>
      </c>
      <c r="D36" s="45">
        <v>1069.0</v>
      </c>
      <c r="E36" s="45" t="s">
        <v>3969</v>
      </c>
      <c r="F36" s="45" t="s">
        <v>3969</v>
      </c>
      <c r="G36" s="45" t="s">
        <v>3969</v>
      </c>
    </row>
    <row r="37">
      <c r="A37" s="45" t="s">
        <v>138</v>
      </c>
      <c r="B37" s="45" t="s">
        <v>1994</v>
      </c>
      <c r="C37" s="45">
        <v>89.0</v>
      </c>
      <c r="D37" s="45">
        <v>1071.0</v>
      </c>
      <c r="E37" s="45" t="s">
        <v>3969</v>
      </c>
      <c r="F37" s="45" t="s">
        <v>3970</v>
      </c>
      <c r="G37" s="45" t="s">
        <v>3969</v>
      </c>
    </row>
    <row r="38">
      <c r="A38" s="45" t="s">
        <v>139</v>
      </c>
      <c r="B38" s="45" t="s">
        <v>1994</v>
      </c>
      <c r="C38" s="45">
        <v>89.0</v>
      </c>
      <c r="D38" s="45">
        <v>1073.0</v>
      </c>
      <c r="E38" s="45" t="s">
        <v>3969</v>
      </c>
      <c r="F38" s="45" t="s">
        <v>3969</v>
      </c>
      <c r="G38" s="45" t="s">
        <v>3969</v>
      </c>
    </row>
    <row r="39">
      <c r="A39" s="45" t="s">
        <v>140</v>
      </c>
      <c r="B39" s="45" t="s">
        <v>1994</v>
      </c>
      <c r="C39" s="45">
        <v>89.0</v>
      </c>
      <c r="D39" s="45">
        <v>1075.0</v>
      </c>
      <c r="E39" s="45" t="s">
        <v>3969</v>
      </c>
      <c r="F39" s="45" t="s">
        <v>3969</v>
      </c>
      <c r="G39" s="45" t="s">
        <v>3969</v>
      </c>
    </row>
    <row r="40">
      <c r="A40" s="45" t="s">
        <v>141</v>
      </c>
      <c r="B40" s="45" t="s">
        <v>1994</v>
      </c>
      <c r="C40" s="45">
        <v>89.0</v>
      </c>
      <c r="D40" s="45">
        <v>1077.0</v>
      </c>
      <c r="E40" s="45" t="s">
        <v>3970</v>
      </c>
      <c r="F40" s="45" t="s">
        <v>3970</v>
      </c>
      <c r="G40" s="45" t="s">
        <v>3969</v>
      </c>
    </row>
    <row r="41">
      <c r="A41" s="45" t="s">
        <v>142</v>
      </c>
      <c r="B41" s="45" t="s">
        <v>1994</v>
      </c>
      <c r="C41" s="45">
        <v>89.0</v>
      </c>
      <c r="D41" s="45">
        <v>1079.0</v>
      </c>
      <c r="E41" s="45" t="s">
        <v>3969</v>
      </c>
      <c r="F41" s="45" t="s">
        <v>3969</v>
      </c>
      <c r="G41" s="45" t="s">
        <v>3969</v>
      </c>
    </row>
    <row r="42">
      <c r="A42" s="45" t="s">
        <v>143</v>
      </c>
      <c r="B42" s="45" t="s">
        <v>1994</v>
      </c>
      <c r="C42" s="45">
        <v>90.0</v>
      </c>
      <c r="D42" s="45">
        <v>1081.0</v>
      </c>
      <c r="E42" s="45" t="s">
        <v>3969</v>
      </c>
      <c r="F42" s="45" t="s">
        <v>3969</v>
      </c>
      <c r="G42" s="45" t="s">
        <v>3969</v>
      </c>
    </row>
    <row r="43">
      <c r="A43" s="45" t="s">
        <v>144</v>
      </c>
      <c r="B43" s="45" t="s">
        <v>1994</v>
      </c>
      <c r="C43" s="45">
        <v>89.0</v>
      </c>
      <c r="D43" s="45">
        <v>1083.0</v>
      </c>
      <c r="E43" s="45" t="s">
        <v>3970</v>
      </c>
      <c r="F43" s="45" t="s">
        <v>3970</v>
      </c>
      <c r="G43" s="45" t="s">
        <v>3969</v>
      </c>
    </row>
    <row r="44">
      <c r="A44" s="45" t="s">
        <v>145</v>
      </c>
      <c r="B44" s="45" t="s">
        <v>1994</v>
      </c>
      <c r="C44" s="45">
        <v>90.0</v>
      </c>
      <c r="D44" s="45">
        <v>1085.0</v>
      </c>
      <c r="E44" s="45" t="s">
        <v>3969</v>
      </c>
      <c r="F44" s="45" t="s">
        <v>3969</v>
      </c>
      <c r="G44" s="45" t="s">
        <v>3969</v>
      </c>
    </row>
    <row r="45">
      <c r="A45" s="45" t="s">
        <v>146</v>
      </c>
      <c r="B45" s="45" t="s">
        <v>1994</v>
      </c>
      <c r="C45" s="45">
        <v>90.0</v>
      </c>
      <c r="D45" s="45">
        <v>1087.0</v>
      </c>
      <c r="E45" s="45" t="s">
        <v>3969</v>
      </c>
      <c r="F45" s="45" t="s">
        <v>3969</v>
      </c>
      <c r="G45" s="45" t="s">
        <v>3969</v>
      </c>
    </row>
    <row r="46">
      <c r="A46" s="45" t="s">
        <v>147</v>
      </c>
      <c r="B46" s="45" t="s">
        <v>1994</v>
      </c>
      <c r="C46" s="45">
        <v>89.0</v>
      </c>
      <c r="D46" s="45">
        <v>1089.0</v>
      </c>
      <c r="E46" s="45" t="s">
        <v>3970</v>
      </c>
      <c r="F46" s="45" t="s">
        <v>3970</v>
      </c>
      <c r="G46" s="45" t="s">
        <v>3969</v>
      </c>
    </row>
    <row r="47">
      <c r="A47" s="45" t="s">
        <v>148</v>
      </c>
      <c r="B47" s="45" t="s">
        <v>1994</v>
      </c>
      <c r="C47" s="45">
        <v>89.0</v>
      </c>
      <c r="D47" s="45">
        <v>1091.0</v>
      </c>
      <c r="E47" s="45" t="s">
        <v>3969</v>
      </c>
      <c r="F47" s="45" t="s">
        <v>3969</v>
      </c>
      <c r="G47" s="45" t="s">
        <v>3969</v>
      </c>
    </row>
    <row r="48">
      <c r="A48" s="45" t="s">
        <v>149</v>
      </c>
      <c r="B48" s="45" t="s">
        <v>1994</v>
      </c>
      <c r="C48" s="45">
        <v>89.0</v>
      </c>
      <c r="D48" s="45">
        <v>1093.0</v>
      </c>
      <c r="E48" s="45" t="s">
        <v>3969</v>
      </c>
      <c r="F48" s="45" t="s">
        <v>3969</v>
      </c>
      <c r="G48" s="45" t="s">
        <v>3969</v>
      </c>
    </row>
    <row r="49">
      <c r="A49" s="45" t="s">
        <v>150</v>
      </c>
      <c r="B49" s="45" t="s">
        <v>1994</v>
      </c>
      <c r="C49" s="45">
        <v>89.0</v>
      </c>
      <c r="D49" s="45">
        <v>1095.0</v>
      </c>
      <c r="E49" s="45" t="s">
        <v>3969</v>
      </c>
      <c r="F49" s="45" t="s">
        <v>3969</v>
      </c>
      <c r="G49" s="45" t="s">
        <v>3969</v>
      </c>
    </row>
    <row r="50">
      <c r="A50" s="45" t="s">
        <v>151</v>
      </c>
      <c r="B50" s="45" t="s">
        <v>1994</v>
      </c>
      <c r="C50" s="45">
        <v>90.0</v>
      </c>
      <c r="D50" s="45">
        <v>1097.0</v>
      </c>
      <c r="E50" s="45" t="s">
        <v>3969</v>
      </c>
      <c r="F50" s="45" t="s">
        <v>3969</v>
      </c>
      <c r="G50" s="45" t="s">
        <v>3969</v>
      </c>
    </row>
    <row r="51">
      <c r="A51" s="45" t="s">
        <v>152</v>
      </c>
      <c r="B51" s="45" t="s">
        <v>1994</v>
      </c>
      <c r="C51" s="45">
        <v>90.0</v>
      </c>
      <c r="D51" s="45">
        <v>1099.0</v>
      </c>
      <c r="E51" s="45" t="s">
        <v>3969</v>
      </c>
      <c r="F51" s="45" t="s">
        <v>3969</v>
      </c>
      <c r="G51" s="45" t="s">
        <v>3969</v>
      </c>
    </row>
    <row r="52">
      <c r="A52" s="45" t="s">
        <v>153</v>
      </c>
      <c r="B52" s="45" t="s">
        <v>1994</v>
      </c>
      <c r="C52" s="45">
        <v>90.0</v>
      </c>
      <c r="D52" s="45">
        <v>1101.0</v>
      </c>
      <c r="E52" s="45" t="s">
        <v>3969</v>
      </c>
      <c r="F52" s="45" t="s">
        <v>3969</v>
      </c>
      <c r="G52" s="45" t="s">
        <v>3969</v>
      </c>
    </row>
    <row r="53">
      <c r="A53" s="45" t="s">
        <v>154</v>
      </c>
      <c r="B53" s="45" t="s">
        <v>1994</v>
      </c>
      <c r="C53" s="45">
        <v>89.0</v>
      </c>
      <c r="D53" s="45">
        <v>1103.0</v>
      </c>
      <c r="E53" s="45" t="s">
        <v>3970</v>
      </c>
      <c r="F53" s="45" t="s">
        <v>3970</v>
      </c>
      <c r="G53" s="45" t="s">
        <v>3969</v>
      </c>
    </row>
    <row r="54">
      <c r="A54" s="45" t="s">
        <v>155</v>
      </c>
      <c r="B54" s="45" t="s">
        <v>1994</v>
      </c>
      <c r="C54" s="45">
        <v>89.0</v>
      </c>
      <c r="D54" s="45">
        <v>1105.0</v>
      </c>
      <c r="E54" s="45" t="s">
        <v>3969</v>
      </c>
      <c r="F54" s="45" t="s">
        <v>3969</v>
      </c>
      <c r="G54" s="45" t="s">
        <v>3969</v>
      </c>
    </row>
    <row r="55">
      <c r="A55" s="45" t="s">
        <v>156</v>
      </c>
      <c r="B55" s="45" t="s">
        <v>1994</v>
      </c>
      <c r="C55" s="45">
        <v>89.0</v>
      </c>
      <c r="D55" s="45">
        <v>1107.0</v>
      </c>
      <c r="E55" s="45" t="s">
        <v>3969</v>
      </c>
      <c r="F55" s="45" t="s">
        <v>3969</v>
      </c>
      <c r="G55" s="45" t="s">
        <v>3969</v>
      </c>
    </row>
    <row r="56">
      <c r="A56" s="45" t="s">
        <v>157</v>
      </c>
      <c r="B56" s="45" t="s">
        <v>1994</v>
      </c>
      <c r="C56" s="45">
        <v>90.0</v>
      </c>
      <c r="D56" s="45">
        <v>1109.0</v>
      </c>
      <c r="E56" s="45" t="s">
        <v>3969</v>
      </c>
      <c r="F56" s="45" t="s">
        <v>3969</v>
      </c>
      <c r="G56" s="45" t="s">
        <v>3969</v>
      </c>
    </row>
    <row r="57">
      <c r="A57" s="45" t="s">
        <v>158</v>
      </c>
      <c r="B57" s="45" t="s">
        <v>1994</v>
      </c>
      <c r="C57" s="45">
        <v>90.0</v>
      </c>
      <c r="D57" s="45">
        <v>1111.0</v>
      </c>
      <c r="E57" s="45" t="s">
        <v>3969</v>
      </c>
      <c r="F57" s="45" t="s">
        <v>3969</v>
      </c>
      <c r="G57" s="45" t="s">
        <v>3969</v>
      </c>
    </row>
    <row r="58">
      <c r="A58" s="45" t="s">
        <v>159</v>
      </c>
      <c r="B58" s="45" t="s">
        <v>1994</v>
      </c>
      <c r="C58" s="45">
        <v>90.0</v>
      </c>
      <c r="D58" s="45">
        <v>1113.0</v>
      </c>
      <c r="E58" s="45" t="s">
        <v>3969</v>
      </c>
      <c r="F58" s="45" t="s">
        <v>3969</v>
      </c>
      <c r="G58" s="45" t="s">
        <v>3969</v>
      </c>
    </row>
    <row r="59">
      <c r="A59" s="45" t="s">
        <v>160</v>
      </c>
      <c r="B59" s="45" t="s">
        <v>1994</v>
      </c>
      <c r="C59" s="45">
        <v>90.0</v>
      </c>
      <c r="D59" s="45">
        <v>1115.0</v>
      </c>
      <c r="E59" s="45" t="s">
        <v>3969</v>
      </c>
      <c r="F59" s="45" t="s">
        <v>3969</v>
      </c>
      <c r="G59" s="45" t="s">
        <v>3969</v>
      </c>
    </row>
    <row r="60">
      <c r="A60" s="45" t="s">
        <v>161</v>
      </c>
      <c r="B60" s="45" t="s">
        <v>1994</v>
      </c>
      <c r="C60" s="45">
        <v>89.0</v>
      </c>
      <c r="D60" s="45">
        <v>1117.0</v>
      </c>
      <c r="E60" s="45" t="s">
        <v>3969</v>
      </c>
      <c r="F60" s="45" t="s">
        <v>3969</v>
      </c>
      <c r="G60" s="45" t="s">
        <v>3969</v>
      </c>
    </row>
    <row r="61">
      <c r="A61" s="45" t="s">
        <v>162</v>
      </c>
      <c r="B61" s="45" t="s">
        <v>1994</v>
      </c>
      <c r="C61" s="45">
        <v>89.0</v>
      </c>
      <c r="D61" s="45">
        <v>1119.0</v>
      </c>
      <c r="E61" s="45" t="s">
        <v>3969</v>
      </c>
      <c r="F61" s="45" t="s">
        <v>3969</v>
      </c>
      <c r="G61" s="45" t="s">
        <v>3969</v>
      </c>
    </row>
    <row r="62">
      <c r="A62" s="45" t="s">
        <v>163</v>
      </c>
      <c r="B62" s="45" t="s">
        <v>1994</v>
      </c>
      <c r="C62" s="45">
        <v>90.0</v>
      </c>
      <c r="D62" s="45">
        <v>1121.0</v>
      </c>
      <c r="E62" s="45" t="s">
        <v>3969</v>
      </c>
      <c r="F62" s="45" t="s">
        <v>3969</v>
      </c>
      <c r="G62" s="45" t="s">
        <v>3969</v>
      </c>
    </row>
    <row r="63">
      <c r="A63" s="45" t="s">
        <v>164</v>
      </c>
      <c r="B63" s="45" t="s">
        <v>1994</v>
      </c>
      <c r="C63" s="45">
        <v>90.0</v>
      </c>
      <c r="D63" s="45">
        <v>1123.0</v>
      </c>
      <c r="E63" s="45" t="s">
        <v>3969</v>
      </c>
      <c r="F63" s="45" t="s">
        <v>3969</v>
      </c>
      <c r="G63" s="45" t="s">
        <v>3969</v>
      </c>
    </row>
    <row r="64">
      <c r="A64" s="45" t="s">
        <v>165</v>
      </c>
      <c r="B64" s="45" t="s">
        <v>1994</v>
      </c>
      <c r="C64" s="45">
        <v>89.0</v>
      </c>
      <c r="D64" s="45">
        <v>1125.0</v>
      </c>
      <c r="E64" s="45" t="s">
        <v>3969</v>
      </c>
      <c r="F64" s="45" t="s">
        <v>3969</v>
      </c>
      <c r="G64" s="45" t="s">
        <v>3969</v>
      </c>
    </row>
    <row r="65">
      <c r="A65" s="45" t="s">
        <v>166</v>
      </c>
      <c r="B65" s="45" t="s">
        <v>1994</v>
      </c>
      <c r="C65" s="45">
        <v>89.0</v>
      </c>
      <c r="D65" s="45">
        <v>1127.0</v>
      </c>
      <c r="E65" s="45" t="s">
        <v>3969</v>
      </c>
      <c r="F65" s="45" t="s">
        <v>3969</v>
      </c>
      <c r="G65" s="45" t="s">
        <v>3969</v>
      </c>
    </row>
    <row r="66">
      <c r="A66" s="45" t="s">
        <v>167</v>
      </c>
      <c r="B66" s="45" t="s">
        <v>1994</v>
      </c>
      <c r="C66" s="45">
        <v>90.0</v>
      </c>
      <c r="D66" s="45">
        <v>1129.0</v>
      </c>
      <c r="E66" s="45" t="s">
        <v>3969</v>
      </c>
      <c r="F66" s="45" t="s">
        <v>3969</v>
      </c>
      <c r="G66" s="45" t="s">
        <v>3969</v>
      </c>
    </row>
    <row r="67">
      <c r="A67" s="45" t="s">
        <v>168</v>
      </c>
      <c r="B67" s="45" t="s">
        <v>1994</v>
      </c>
      <c r="C67" s="45">
        <v>89.0</v>
      </c>
      <c r="D67" s="45">
        <v>1131.0</v>
      </c>
      <c r="E67" s="45" t="s">
        <v>3969</v>
      </c>
      <c r="F67" s="45" t="s">
        <v>3969</v>
      </c>
      <c r="G67" s="45" t="s">
        <v>3969</v>
      </c>
    </row>
    <row r="68">
      <c r="A68" s="45" t="s">
        <v>169</v>
      </c>
      <c r="B68" s="45" t="s">
        <v>1994</v>
      </c>
      <c r="C68" s="45">
        <v>89.0</v>
      </c>
      <c r="D68" s="45">
        <v>1133.0</v>
      </c>
      <c r="E68" s="45" t="s">
        <v>3969</v>
      </c>
      <c r="F68" s="45" t="s">
        <v>3969</v>
      </c>
      <c r="G68" s="45" t="s">
        <v>3969</v>
      </c>
    </row>
    <row r="69">
      <c r="A69" s="45" t="s">
        <v>200</v>
      </c>
      <c r="B69" s="45" t="s">
        <v>2063</v>
      </c>
      <c r="C69" s="45">
        <v>29.0</v>
      </c>
      <c r="D69" s="45">
        <v>4001.0</v>
      </c>
      <c r="E69" s="45" t="s">
        <v>3971</v>
      </c>
      <c r="F69" s="45" t="s">
        <v>3972</v>
      </c>
    </row>
    <row r="70">
      <c r="A70" s="45" t="s">
        <v>203</v>
      </c>
      <c r="B70" s="45" t="s">
        <v>2063</v>
      </c>
      <c r="C70" s="45">
        <v>28.0</v>
      </c>
      <c r="D70" s="45">
        <v>4003.0</v>
      </c>
      <c r="E70" s="45" t="s">
        <v>3971</v>
      </c>
      <c r="F70" s="45" t="s">
        <v>3972</v>
      </c>
    </row>
    <row r="71">
      <c r="A71" s="45" t="s">
        <v>205</v>
      </c>
      <c r="B71" s="45" t="s">
        <v>2063</v>
      </c>
      <c r="C71" s="45">
        <v>28.0</v>
      </c>
      <c r="D71" s="45">
        <v>4005.0</v>
      </c>
      <c r="E71" s="45" t="s">
        <v>3971</v>
      </c>
      <c r="F71" s="45" t="s">
        <v>3972</v>
      </c>
    </row>
    <row r="72">
      <c r="A72" s="45" t="s">
        <v>206</v>
      </c>
      <c r="B72" s="45" t="s">
        <v>2063</v>
      </c>
      <c r="C72" s="45">
        <v>28.0</v>
      </c>
      <c r="D72" s="45">
        <v>4007.0</v>
      </c>
      <c r="E72" s="45" t="s">
        <v>3971</v>
      </c>
      <c r="F72" s="45" t="s">
        <v>3972</v>
      </c>
    </row>
    <row r="73">
      <c r="A73" s="45" t="s">
        <v>208</v>
      </c>
      <c r="B73" s="45" t="s">
        <v>2063</v>
      </c>
      <c r="C73" s="45">
        <v>28.0</v>
      </c>
      <c r="D73" s="45">
        <v>4009.0</v>
      </c>
      <c r="E73" s="45" t="s">
        <v>3971</v>
      </c>
      <c r="F73" s="45" t="s">
        <v>3972</v>
      </c>
    </row>
    <row r="74">
      <c r="A74" s="45" t="s">
        <v>209</v>
      </c>
      <c r="B74" s="45" t="s">
        <v>2063</v>
      </c>
      <c r="C74" s="45">
        <v>28.0</v>
      </c>
      <c r="D74" s="45">
        <v>4011.0</v>
      </c>
      <c r="E74" s="45" t="s">
        <v>3971</v>
      </c>
      <c r="F74" s="45" t="s">
        <v>3972</v>
      </c>
    </row>
    <row r="75">
      <c r="A75" s="45" t="s">
        <v>210</v>
      </c>
      <c r="B75" s="45" t="s">
        <v>2063</v>
      </c>
      <c r="C75" s="45">
        <v>28.0</v>
      </c>
      <c r="D75" s="45">
        <v>4012.0</v>
      </c>
      <c r="E75" s="45" t="s">
        <v>3971</v>
      </c>
      <c r="F75" s="45" t="s">
        <v>3972</v>
      </c>
    </row>
    <row r="76">
      <c r="A76" s="45" t="s">
        <v>212</v>
      </c>
      <c r="B76" s="45" t="s">
        <v>2063</v>
      </c>
      <c r="C76" s="45">
        <v>28.0</v>
      </c>
      <c r="D76" s="45">
        <v>4013.0</v>
      </c>
      <c r="E76" s="45" t="s">
        <v>3971</v>
      </c>
      <c r="F76" s="45" t="s">
        <v>3972</v>
      </c>
    </row>
    <row r="77">
      <c r="A77" s="45" t="s">
        <v>213</v>
      </c>
      <c r="B77" s="45" t="s">
        <v>2063</v>
      </c>
      <c r="C77" s="45">
        <v>27.0</v>
      </c>
      <c r="D77" s="45">
        <v>4015.0</v>
      </c>
      <c r="E77" s="45" t="s">
        <v>3971</v>
      </c>
      <c r="F77" s="45" t="s">
        <v>3972</v>
      </c>
    </row>
    <row r="78">
      <c r="A78" s="45" t="s">
        <v>214</v>
      </c>
      <c r="B78" s="45" t="s">
        <v>2063</v>
      </c>
      <c r="C78" s="45">
        <v>28.0</v>
      </c>
      <c r="D78" s="45">
        <v>4017.0</v>
      </c>
      <c r="E78" s="45" t="s">
        <v>3971</v>
      </c>
      <c r="F78" s="45" t="s">
        <v>3972</v>
      </c>
    </row>
    <row r="79">
      <c r="A79" s="45" t="s">
        <v>215</v>
      </c>
      <c r="B79" s="45" t="s">
        <v>2063</v>
      </c>
      <c r="C79" s="45">
        <v>30.0</v>
      </c>
      <c r="D79" s="45">
        <v>4019.0</v>
      </c>
      <c r="E79" s="45" t="s">
        <v>3971</v>
      </c>
      <c r="F79" s="45" t="s">
        <v>3972</v>
      </c>
    </row>
    <row r="80">
      <c r="A80" s="45" t="s">
        <v>216</v>
      </c>
      <c r="B80" s="45" t="s">
        <v>2063</v>
      </c>
      <c r="C80" s="45">
        <v>28.0</v>
      </c>
      <c r="D80" s="45">
        <v>4021.0</v>
      </c>
      <c r="E80" s="45" t="s">
        <v>3971</v>
      </c>
      <c r="F80" s="45" t="s">
        <v>3972</v>
      </c>
    </row>
    <row r="81">
      <c r="A81" s="45" t="s">
        <v>217</v>
      </c>
      <c r="B81" s="45" t="s">
        <v>2063</v>
      </c>
      <c r="C81" s="45">
        <v>30.0</v>
      </c>
      <c r="D81" s="45">
        <v>4023.0</v>
      </c>
      <c r="E81" s="45" t="s">
        <v>3971</v>
      </c>
      <c r="F81" s="45" t="s">
        <v>3972</v>
      </c>
    </row>
    <row r="82">
      <c r="A82" s="45" t="s">
        <v>218</v>
      </c>
      <c r="B82" s="45" t="s">
        <v>2063</v>
      </c>
      <c r="C82" s="45">
        <v>28.0</v>
      </c>
      <c r="D82" s="45">
        <v>4025.0</v>
      </c>
      <c r="E82" s="45" t="s">
        <v>3971</v>
      </c>
      <c r="F82" s="45" t="s">
        <v>3972</v>
      </c>
    </row>
    <row r="83">
      <c r="A83" s="45" t="s">
        <v>219</v>
      </c>
      <c r="B83" s="45" t="s">
        <v>2063</v>
      </c>
      <c r="C83" s="45">
        <v>28.0</v>
      </c>
      <c r="D83" s="45">
        <v>4027.0</v>
      </c>
      <c r="E83" s="45" t="s">
        <v>3971</v>
      </c>
      <c r="F83" s="45" t="s">
        <v>3972</v>
      </c>
    </row>
    <row r="84">
      <c r="A84" s="45" t="s">
        <v>220</v>
      </c>
      <c r="B84" s="45" t="s">
        <v>2079</v>
      </c>
      <c r="C84" s="45">
        <v>85.0</v>
      </c>
      <c r="D84" s="45">
        <v>5001.0</v>
      </c>
      <c r="E84" s="45" t="s">
        <v>3973</v>
      </c>
      <c r="F84" s="45" t="s">
        <v>3974</v>
      </c>
    </row>
    <row r="85">
      <c r="A85" s="45" t="s">
        <v>221</v>
      </c>
      <c r="B85" s="45" t="s">
        <v>2079</v>
      </c>
      <c r="C85" s="45">
        <v>85.0</v>
      </c>
      <c r="D85" s="45">
        <v>5003.0</v>
      </c>
      <c r="E85" s="45" t="s">
        <v>3973</v>
      </c>
      <c r="F85" s="45" t="s">
        <v>3974</v>
      </c>
    </row>
    <row r="86">
      <c r="A86" s="45" t="s">
        <v>222</v>
      </c>
      <c r="B86" s="45" t="s">
        <v>2079</v>
      </c>
      <c r="C86" s="45">
        <v>85.0</v>
      </c>
      <c r="D86" s="45">
        <v>5005.0</v>
      </c>
      <c r="E86" s="45" t="s">
        <v>3973</v>
      </c>
      <c r="F86" s="45" t="s">
        <v>3974</v>
      </c>
    </row>
    <row r="87">
      <c r="A87" s="45" t="s">
        <v>224</v>
      </c>
      <c r="B87" s="45" t="s">
        <v>2079</v>
      </c>
      <c r="C87" s="45">
        <v>56.0</v>
      </c>
      <c r="D87" s="45">
        <v>5007.0</v>
      </c>
      <c r="E87" s="45" t="s">
        <v>3975</v>
      </c>
      <c r="F87" s="45" t="s">
        <v>3976</v>
      </c>
    </row>
    <row r="88">
      <c r="A88" s="45" t="s">
        <v>225</v>
      </c>
      <c r="B88" s="45" t="s">
        <v>2079</v>
      </c>
      <c r="C88" s="45">
        <v>56.0</v>
      </c>
      <c r="D88" s="45">
        <v>5009.0</v>
      </c>
      <c r="E88" s="45" t="s">
        <v>3973</v>
      </c>
      <c r="F88" s="45" t="s">
        <v>3974</v>
      </c>
    </row>
    <row r="89">
      <c r="A89" s="45" t="s">
        <v>226</v>
      </c>
      <c r="B89" s="45" t="s">
        <v>2079</v>
      </c>
      <c r="C89" s="45">
        <v>85.0</v>
      </c>
      <c r="D89" s="45">
        <v>5011.0</v>
      </c>
      <c r="E89" s="45" t="s">
        <v>3973</v>
      </c>
      <c r="F89" s="45" t="s">
        <v>3974</v>
      </c>
    </row>
    <row r="90">
      <c r="A90" s="45" t="s">
        <v>110</v>
      </c>
      <c r="B90" s="45" t="s">
        <v>2079</v>
      </c>
      <c r="C90" s="45">
        <v>85.0</v>
      </c>
      <c r="D90" s="45">
        <v>5013.0</v>
      </c>
      <c r="E90" s="45" t="s">
        <v>3973</v>
      </c>
      <c r="F90" s="45" t="s">
        <v>3974</v>
      </c>
    </row>
    <row r="91">
      <c r="A91" s="45" t="s">
        <v>227</v>
      </c>
      <c r="B91" s="45" t="s">
        <v>2079</v>
      </c>
      <c r="C91" s="45">
        <v>56.0</v>
      </c>
      <c r="D91" s="45">
        <v>5015.0</v>
      </c>
      <c r="E91" s="45" t="s">
        <v>3977</v>
      </c>
      <c r="F91" s="45" t="s">
        <v>3976</v>
      </c>
    </row>
    <row r="92">
      <c r="A92" s="45" t="s">
        <v>228</v>
      </c>
      <c r="B92" s="45" t="s">
        <v>2079</v>
      </c>
      <c r="C92" s="45">
        <v>85.0</v>
      </c>
      <c r="D92" s="45">
        <v>5017.0</v>
      </c>
      <c r="E92" s="45" t="s">
        <v>3973</v>
      </c>
      <c r="F92" s="45" t="s">
        <v>3974</v>
      </c>
    </row>
    <row r="93">
      <c r="A93" s="45" t="s">
        <v>229</v>
      </c>
      <c r="B93" s="45" t="s">
        <v>2079</v>
      </c>
      <c r="C93" s="45">
        <v>85.0</v>
      </c>
      <c r="D93" s="45">
        <v>5019.0</v>
      </c>
      <c r="E93" s="45" t="s">
        <v>3973</v>
      </c>
      <c r="F93" s="45" t="s">
        <v>3974</v>
      </c>
    </row>
    <row r="94">
      <c r="A94" s="45" t="s">
        <v>116</v>
      </c>
      <c r="B94" s="45" t="s">
        <v>2079</v>
      </c>
      <c r="C94" s="45">
        <v>85.0</v>
      </c>
      <c r="D94" s="45">
        <v>5021.0</v>
      </c>
      <c r="E94" s="45" t="s">
        <v>3973</v>
      </c>
      <c r="F94" s="45" t="s">
        <v>3974</v>
      </c>
    </row>
    <row r="95">
      <c r="A95" s="45" t="s">
        <v>117</v>
      </c>
      <c r="B95" s="45" t="s">
        <v>2079</v>
      </c>
      <c r="C95" s="45">
        <v>56.0</v>
      </c>
      <c r="D95" s="45">
        <v>5023.0</v>
      </c>
      <c r="E95" s="45" t="s">
        <v>3973</v>
      </c>
      <c r="F95" s="45" t="s">
        <v>3974</v>
      </c>
    </row>
    <row r="96">
      <c r="A96" s="45" t="s">
        <v>230</v>
      </c>
      <c r="B96" s="45" t="s">
        <v>2079</v>
      </c>
      <c r="C96" s="45">
        <v>85.0</v>
      </c>
      <c r="D96" s="45">
        <v>5025.0</v>
      </c>
      <c r="E96" s="45" t="s">
        <v>3973</v>
      </c>
      <c r="F96" s="45" t="s">
        <v>3974</v>
      </c>
    </row>
    <row r="97">
      <c r="A97" s="45" t="s">
        <v>231</v>
      </c>
      <c r="B97" s="45" t="s">
        <v>2079</v>
      </c>
      <c r="C97" s="45">
        <v>85.0</v>
      </c>
      <c r="D97" s="45">
        <v>5027.0</v>
      </c>
      <c r="E97" s="45" t="s">
        <v>3973</v>
      </c>
      <c r="F97" s="45" t="s">
        <v>3974</v>
      </c>
    </row>
    <row r="98">
      <c r="A98" s="45" t="s">
        <v>232</v>
      </c>
      <c r="B98" s="45" t="s">
        <v>2079</v>
      </c>
      <c r="C98" s="45">
        <v>85.0</v>
      </c>
      <c r="D98" s="45">
        <v>5029.0</v>
      </c>
      <c r="E98" s="45" t="s">
        <v>3973</v>
      </c>
      <c r="F98" s="45" t="s">
        <v>3974</v>
      </c>
      <c r="G98" s="45" t="s">
        <v>3972</v>
      </c>
    </row>
    <row r="99">
      <c r="A99" s="45" t="s">
        <v>233</v>
      </c>
      <c r="B99" s="45" t="s">
        <v>2079</v>
      </c>
      <c r="C99" s="45">
        <v>85.0</v>
      </c>
      <c r="D99" s="45">
        <v>5031.0</v>
      </c>
      <c r="E99" s="45" t="s">
        <v>3973</v>
      </c>
      <c r="F99" s="45" t="s">
        <v>3974</v>
      </c>
      <c r="G99" s="45" t="s">
        <v>3972</v>
      </c>
    </row>
    <row r="100">
      <c r="A100" s="45" t="s">
        <v>234</v>
      </c>
      <c r="B100" s="45" t="s">
        <v>2079</v>
      </c>
      <c r="C100" s="45">
        <v>56.0</v>
      </c>
      <c r="D100" s="45">
        <v>5033.0</v>
      </c>
      <c r="E100" s="45" t="s">
        <v>3977</v>
      </c>
      <c r="F100" s="45" t="s">
        <v>3976</v>
      </c>
      <c r="G100" s="45" t="s">
        <v>3972</v>
      </c>
    </row>
    <row r="101">
      <c r="A101" s="45" t="s">
        <v>235</v>
      </c>
      <c r="B101" s="45" t="s">
        <v>2079</v>
      </c>
      <c r="C101" s="45">
        <v>85.0</v>
      </c>
      <c r="D101" s="45">
        <v>5035.0</v>
      </c>
      <c r="E101" s="45" t="s">
        <v>3973</v>
      </c>
      <c r="F101" s="45" t="s">
        <v>3974</v>
      </c>
      <c r="G101" s="45" t="s">
        <v>3972</v>
      </c>
    </row>
    <row r="102">
      <c r="A102" s="45" t="s">
        <v>236</v>
      </c>
      <c r="B102" s="45" t="s">
        <v>2079</v>
      </c>
      <c r="C102" s="45">
        <v>85.0</v>
      </c>
      <c r="D102" s="45">
        <v>5037.0</v>
      </c>
      <c r="E102" s="45" t="s">
        <v>3973</v>
      </c>
      <c r="F102" s="45" t="s">
        <v>3974</v>
      </c>
      <c r="G102" s="45" t="s">
        <v>3972</v>
      </c>
    </row>
    <row r="103">
      <c r="A103" s="45" t="s">
        <v>126</v>
      </c>
      <c r="B103" s="45" t="s">
        <v>2079</v>
      </c>
      <c r="C103" s="45">
        <v>85.0</v>
      </c>
      <c r="D103" s="45">
        <v>5039.0</v>
      </c>
      <c r="E103" s="45" t="s">
        <v>3973</v>
      </c>
      <c r="F103" s="45" t="s">
        <v>3974</v>
      </c>
      <c r="G103" s="45" t="s">
        <v>3972</v>
      </c>
    </row>
    <row r="104">
      <c r="A104" s="45" t="s">
        <v>237</v>
      </c>
      <c r="B104" s="45" t="s">
        <v>2079</v>
      </c>
      <c r="C104" s="45">
        <v>85.0</v>
      </c>
      <c r="D104" s="45">
        <v>5041.0</v>
      </c>
      <c r="E104" s="45" t="s">
        <v>3973</v>
      </c>
      <c r="F104" s="45" t="s">
        <v>3974</v>
      </c>
      <c r="G104" s="45" t="s">
        <v>3972</v>
      </c>
    </row>
    <row r="105">
      <c r="A105" s="45" t="s">
        <v>238</v>
      </c>
      <c r="B105" s="45" t="s">
        <v>2079</v>
      </c>
      <c r="C105" s="45">
        <v>85.0</v>
      </c>
      <c r="D105" s="45">
        <v>5043.0</v>
      </c>
      <c r="E105" s="45" t="s">
        <v>3973</v>
      </c>
      <c r="F105" s="45" t="s">
        <v>3974</v>
      </c>
      <c r="G105" s="45" t="s">
        <v>3972</v>
      </c>
    </row>
    <row r="106">
      <c r="A106" s="45" t="s">
        <v>239</v>
      </c>
      <c r="B106" s="45" t="s">
        <v>2079</v>
      </c>
      <c r="C106" s="45">
        <v>85.0</v>
      </c>
      <c r="D106" s="45">
        <v>5045.0</v>
      </c>
      <c r="E106" s="45" t="s">
        <v>3973</v>
      </c>
      <c r="F106" s="45" t="s">
        <v>3974</v>
      </c>
      <c r="G106" s="45" t="s">
        <v>3972</v>
      </c>
    </row>
    <row r="107">
      <c r="A107" s="45" t="s">
        <v>132</v>
      </c>
      <c r="B107" s="45" t="s">
        <v>2079</v>
      </c>
      <c r="C107" s="45">
        <v>56.0</v>
      </c>
      <c r="D107" s="45">
        <v>5047.0</v>
      </c>
      <c r="E107" s="45" t="s">
        <v>3977</v>
      </c>
      <c r="F107" s="45" t="s">
        <v>3976</v>
      </c>
      <c r="G107" s="45" t="s">
        <v>3972</v>
      </c>
    </row>
    <row r="108">
      <c r="A108" s="45" t="s">
        <v>240</v>
      </c>
      <c r="B108" s="45" t="s">
        <v>2079</v>
      </c>
      <c r="C108" s="45">
        <v>85.0</v>
      </c>
      <c r="D108" s="45">
        <v>5049.0</v>
      </c>
      <c r="E108" s="45" t="s">
        <v>3973</v>
      </c>
      <c r="F108" s="45" t="s">
        <v>3974</v>
      </c>
      <c r="G108" s="45" t="s">
        <v>3972</v>
      </c>
    </row>
    <row r="109">
      <c r="A109" s="45" t="s">
        <v>241</v>
      </c>
      <c r="B109" s="45" t="s">
        <v>2079</v>
      </c>
      <c r="C109" s="45">
        <v>85.0</v>
      </c>
      <c r="D109" s="45">
        <v>5051.0</v>
      </c>
      <c r="E109" s="45" t="s">
        <v>3973</v>
      </c>
      <c r="F109" s="45" t="s">
        <v>3974</v>
      </c>
      <c r="G109" s="45" t="s">
        <v>3972</v>
      </c>
    </row>
    <row r="110">
      <c r="A110" s="45" t="s">
        <v>242</v>
      </c>
      <c r="B110" s="45" t="s">
        <v>2079</v>
      </c>
      <c r="C110" s="45">
        <v>85.0</v>
      </c>
      <c r="D110" s="45">
        <v>5053.0</v>
      </c>
      <c r="E110" s="45" t="s">
        <v>3973</v>
      </c>
      <c r="F110" s="45" t="s">
        <v>3974</v>
      </c>
      <c r="G110" s="45" t="s">
        <v>3972</v>
      </c>
    </row>
    <row r="111">
      <c r="A111" s="45" t="s">
        <v>134</v>
      </c>
      <c r="B111" s="45" t="s">
        <v>2079</v>
      </c>
      <c r="C111" s="45">
        <v>85.0</v>
      </c>
      <c r="D111" s="45">
        <v>5055.0</v>
      </c>
      <c r="E111" s="45" t="s">
        <v>3973</v>
      </c>
      <c r="F111" s="45" t="s">
        <v>3974</v>
      </c>
      <c r="G111" s="45" t="s">
        <v>3972</v>
      </c>
    </row>
    <row r="112">
      <c r="A112" s="45" t="s">
        <v>243</v>
      </c>
      <c r="B112" s="45" t="s">
        <v>2079</v>
      </c>
      <c r="C112" s="45">
        <v>85.0</v>
      </c>
      <c r="D112" s="45">
        <v>5057.0</v>
      </c>
      <c r="E112" s="45" t="s">
        <v>3977</v>
      </c>
      <c r="F112" s="45" t="s">
        <v>3976</v>
      </c>
      <c r="G112" s="45" t="s">
        <v>3972</v>
      </c>
    </row>
    <row r="113">
      <c r="A113" s="45" t="s">
        <v>244</v>
      </c>
      <c r="B113" s="45" t="s">
        <v>2079</v>
      </c>
      <c r="C113" s="45">
        <v>85.0</v>
      </c>
      <c r="D113" s="45">
        <v>5059.0</v>
      </c>
      <c r="E113" s="45" t="s">
        <v>3973</v>
      </c>
      <c r="F113" s="45" t="s">
        <v>3974</v>
      </c>
      <c r="G113" s="45" t="s">
        <v>3974</v>
      </c>
    </row>
    <row r="114">
      <c r="A114" s="45" t="s">
        <v>245</v>
      </c>
      <c r="B114" s="45" t="s">
        <v>2079</v>
      </c>
      <c r="C114" s="45">
        <v>56.0</v>
      </c>
      <c r="D114" s="45">
        <v>5061.0</v>
      </c>
      <c r="E114" s="45" t="s">
        <v>3977</v>
      </c>
      <c r="F114" s="45" t="s">
        <v>3976</v>
      </c>
      <c r="G114" s="45" t="s">
        <v>3974</v>
      </c>
    </row>
    <row r="115">
      <c r="A115" s="45" t="s">
        <v>246</v>
      </c>
      <c r="B115" s="45" t="s">
        <v>2079</v>
      </c>
      <c r="C115" s="45">
        <v>85.0</v>
      </c>
      <c r="D115" s="45">
        <v>5063.0</v>
      </c>
      <c r="E115" s="45" t="s">
        <v>3973</v>
      </c>
      <c r="F115" s="45" t="s">
        <v>3974</v>
      </c>
      <c r="G115" s="45" t="s">
        <v>3974</v>
      </c>
    </row>
    <row r="116">
      <c r="A116" s="45" t="s">
        <v>247</v>
      </c>
      <c r="B116" s="45" t="s">
        <v>2079</v>
      </c>
      <c r="C116" s="45">
        <v>85.0</v>
      </c>
      <c r="D116" s="45">
        <v>5065.0</v>
      </c>
      <c r="E116" s="45" t="s">
        <v>3973</v>
      </c>
      <c r="F116" s="45" t="s">
        <v>3974</v>
      </c>
      <c r="G116" s="45" t="s">
        <v>3974</v>
      </c>
    </row>
    <row r="117">
      <c r="A117" s="45" t="s">
        <v>138</v>
      </c>
      <c r="B117" s="45" t="s">
        <v>2079</v>
      </c>
      <c r="C117" s="45">
        <v>85.0</v>
      </c>
      <c r="D117" s="45">
        <v>5067.0</v>
      </c>
      <c r="E117" s="45" t="s">
        <v>3973</v>
      </c>
      <c r="F117" s="45" t="s">
        <v>3974</v>
      </c>
      <c r="G117" s="45" t="s">
        <v>3974</v>
      </c>
    </row>
    <row r="118">
      <c r="A118" s="45" t="s">
        <v>139</v>
      </c>
      <c r="B118" s="45" t="s">
        <v>2079</v>
      </c>
      <c r="C118" s="45">
        <v>85.0</v>
      </c>
      <c r="D118" s="45">
        <v>5069.0</v>
      </c>
      <c r="E118" s="45" t="s">
        <v>3973</v>
      </c>
      <c r="F118" s="45" t="s">
        <v>3974</v>
      </c>
      <c r="G118" s="45" t="s">
        <v>3974</v>
      </c>
    </row>
    <row r="119">
      <c r="A119" s="45" t="s">
        <v>248</v>
      </c>
      <c r="B119" s="45" t="s">
        <v>2079</v>
      </c>
      <c r="C119" s="45">
        <v>56.0</v>
      </c>
      <c r="D119" s="45">
        <v>5071.0</v>
      </c>
      <c r="E119" s="45" t="s">
        <v>3977</v>
      </c>
      <c r="F119" s="45" t="s">
        <v>3976</v>
      </c>
      <c r="G119" s="45" t="s">
        <v>3974</v>
      </c>
    </row>
    <row r="120">
      <c r="A120" s="45" t="s">
        <v>249</v>
      </c>
      <c r="B120" s="45" t="s">
        <v>2079</v>
      </c>
      <c r="C120" s="45">
        <v>85.0</v>
      </c>
      <c r="D120" s="45">
        <v>5073.0</v>
      </c>
      <c r="E120" s="45" t="s">
        <v>3977</v>
      </c>
      <c r="F120" s="45" t="s">
        <v>3976</v>
      </c>
      <c r="G120" s="45" t="s">
        <v>3974</v>
      </c>
    </row>
    <row r="121">
      <c r="A121" s="45" t="s">
        <v>142</v>
      </c>
      <c r="B121" s="45" t="s">
        <v>2079</v>
      </c>
      <c r="C121" s="45">
        <v>85.0</v>
      </c>
      <c r="D121" s="45">
        <v>5075.0</v>
      </c>
      <c r="E121" s="45" t="s">
        <v>3973</v>
      </c>
      <c r="F121" s="45" t="s">
        <v>3974</v>
      </c>
      <c r="G121" s="45" t="s">
        <v>3974</v>
      </c>
    </row>
    <row r="122">
      <c r="A122" s="45" t="s">
        <v>143</v>
      </c>
      <c r="B122" s="45" t="s">
        <v>2079</v>
      </c>
      <c r="C122" s="45">
        <v>85.0</v>
      </c>
      <c r="D122" s="45">
        <v>5077.0</v>
      </c>
      <c r="E122" s="45" t="s">
        <v>3973</v>
      </c>
      <c r="F122" s="45" t="s">
        <v>3974</v>
      </c>
      <c r="G122" s="45" t="s">
        <v>3974</v>
      </c>
    </row>
    <row r="123">
      <c r="A123" s="45" t="s">
        <v>250</v>
      </c>
      <c r="B123" s="45" t="s">
        <v>2079</v>
      </c>
      <c r="C123" s="45">
        <v>85.0</v>
      </c>
      <c r="D123" s="45">
        <v>5079.0</v>
      </c>
      <c r="E123" s="45" t="s">
        <v>3973</v>
      </c>
      <c r="F123" s="45" t="s">
        <v>3974</v>
      </c>
      <c r="G123" s="45" t="s">
        <v>3974</v>
      </c>
    </row>
    <row r="124">
      <c r="A124" s="45" t="s">
        <v>251</v>
      </c>
      <c r="B124" s="45" t="s">
        <v>2079</v>
      </c>
      <c r="C124" s="45">
        <v>85.0</v>
      </c>
      <c r="D124" s="45">
        <v>5081.0</v>
      </c>
      <c r="E124" s="45" t="s">
        <v>3977</v>
      </c>
      <c r="F124" s="45" t="s">
        <v>3976</v>
      </c>
      <c r="G124" s="45" t="s">
        <v>3974</v>
      </c>
    </row>
    <row r="125">
      <c r="A125" s="45" t="s">
        <v>252</v>
      </c>
      <c r="B125" s="45" t="s">
        <v>2079</v>
      </c>
      <c r="C125" s="45">
        <v>56.0</v>
      </c>
      <c r="D125" s="45">
        <v>5083.0</v>
      </c>
      <c r="E125" s="45" t="s">
        <v>3977</v>
      </c>
      <c r="F125" s="45" t="s">
        <v>3976</v>
      </c>
      <c r="G125" s="45" t="s">
        <v>3974</v>
      </c>
    </row>
    <row r="126">
      <c r="A126" s="45" t="s">
        <v>253</v>
      </c>
      <c r="B126" s="45" t="s">
        <v>2079</v>
      </c>
      <c r="C126" s="45">
        <v>85.0</v>
      </c>
      <c r="D126" s="45">
        <v>5085.0</v>
      </c>
      <c r="E126" s="45" t="s">
        <v>3973</v>
      </c>
      <c r="F126" s="45" t="s">
        <v>3974</v>
      </c>
      <c r="G126" s="45" t="s">
        <v>3974</v>
      </c>
    </row>
    <row r="127">
      <c r="A127" s="45" t="s">
        <v>147</v>
      </c>
      <c r="B127" s="45" t="s">
        <v>2079</v>
      </c>
      <c r="C127" s="45">
        <v>56.0</v>
      </c>
      <c r="D127" s="45">
        <v>5087.0</v>
      </c>
      <c r="E127" s="45" t="s">
        <v>3977</v>
      </c>
      <c r="F127" s="45" t="s">
        <v>3976</v>
      </c>
      <c r="G127" s="45" t="s">
        <v>3974</v>
      </c>
    </row>
    <row r="128">
      <c r="A128" s="45" t="s">
        <v>149</v>
      </c>
      <c r="B128" s="45" t="s">
        <v>2079</v>
      </c>
      <c r="C128" s="45">
        <v>56.0</v>
      </c>
      <c r="D128" s="45">
        <v>5089.0</v>
      </c>
      <c r="E128" s="45" t="s">
        <v>3973</v>
      </c>
      <c r="F128" s="45" t="s">
        <v>3974</v>
      </c>
      <c r="G128" s="45" t="s">
        <v>3974</v>
      </c>
    </row>
    <row r="129">
      <c r="A129" s="45" t="s">
        <v>254</v>
      </c>
      <c r="B129" s="45" t="s">
        <v>2079</v>
      </c>
      <c r="C129" s="45">
        <v>85.0</v>
      </c>
      <c r="D129" s="45">
        <v>5091.0</v>
      </c>
      <c r="E129" s="45" t="s">
        <v>3977</v>
      </c>
      <c r="F129" s="45" t="s">
        <v>3976</v>
      </c>
      <c r="G129" s="45" t="s">
        <v>3974</v>
      </c>
    </row>
    <row r="130">
      <c r="A130" s="45" t="s">
        <v>255</v>
      </c>
      <c r="B130" s="45" t="s">
        <v>2079</v>
      </c>
      <c r="C130" s="45">
        <v>85.0</v>
      </c>
      <c r="D130" s="45">
        <v>5093.0</v>
      </c>
      <c r="E130" s="45" t="s">
        <v>3973</v>
      </c>
      <c r="F130" s="45" t="s">
        <v>3974</v>
      </c>
      <c r="G130" s="45" t="s">
        <v>3974</v>
      </c>
    </row>
    <row r="131">
      <c r="A131" s="45" t="s">
        <v>152</v>
      </c>
      <c r="B131" s="45" t="s">
        <v>2079</v>
      </c>
      <c r="C131" s="45">
        <v>85.0</v>
      </c>
      <c r="D131" s="45">
        <v>5095.0</v>
      </c>
      <c r="E131" s="45" t="s">
        <v>3973</v>
      </c>
      <c r="F131" s="45" t="s">
        <v>3974</v>
      </c>
      <c r="G131" s="45" t="s">
        <v>3974</v>
      </c>
    </row>
    <row r="132">
      <c r="A132" s="45" t="s">
        <v>153</v>
      </c>
      <c r="B132" s="45" t="s">
        <v>2079</v>
      </c>
      <c r="C132" s="45">
        <v>56.0</v>
      </c>
      <c r="D132" s="45">
        <v>5097.0</v>
      </c>
      <c r="E132" s="45" t="s">
        <v>3973</v>
      </c>
      <c r="F132" s="45" t="s">
        <v>3976</v>
      </c>
      <c r="G132" s="45" t="s">
        <v>3974</v>
      </c>
    </row>
    <row r="133">
      <c r="A133" s="45" t="s">
        <v>256</v>
      </c>
      <c r="B133" s="45" t="s">
        <v>2079</v>
      </c>
      <c r="C133" s="45">
        <v>85.0</v>
      </c>
      <c r="D133" s="45">
        <v>5099.0</v>
      </c>
      <c r="E133" s="45" t="s">
        <v>3973</v>
      </c>
      <c r="F133" s="45" t="s">
        <v>3974</v>
      </c>
      <c r="G133" s="45" t="s">
        <v>3974</v>
      </c>
    </row>
    <row r="134">
      <c r="A134" s="45" t="s">
        <v>257</v>
      </c>
      <c r="B134" s="45" t="s">
        <v>2079</v>
      </c>
      <c r="C134" s="45">
        <v>56.0</v>
      </c>
      <c r="D134" s="45">
        <v>5101.0</v>
      </c>
      <c r="E134" s="45" t="s">
        <v>3973</v>
      </c>
      <c r="F134" s="45" t="s">
        <v>3976</v>
      </c>
      <c r="G134" s="45" t="s">
        <v>3974</v>
      </c>
    </row>
    <row r="135">
      <c r="A135" s="45" t="s">
        <v>258</v>
      </c>
      <c r="B135" s="45" t="s">
        <v>2079</v>
      </c>
      <c r="C135" s="45">
        <v>85.0</v>
      </c>
      <c r="D135" s="45">
        <v>5103.0</v>
      </c>
      <c r="E135" s="45" t="s">
        <v>3973</v>
      </c>
      <c r="F135" s="45" t="s">
        <v>3974</v>
      </c>
      <c r="G135" s="45" t="s">
        <v>3974</v>
      </c>
    </row>
    <row r="136">
      <c r="A136" s="45" t="s">
        <v>155</v>
      </c>
      <c r="B136" s="45" t="s">
        <v>2079</v>
      </c>
      <c r="C136" s="45">
        <v>85.0</v>
      </c>
      <c r="D136" s="45">
        <v>5105.0</v>
      </c>
      <c r="E136" s="45" t="s">
        <v>3973</v>
      </c>
      <c r="F136" s="45" t="s">
        <v>3974</v>
      </c>
      <c r="G136" s="45" t="s">
        <v>3974</v>
      </c>
    </row>
    <row r="137">
      <c r="A137" s="45" t="s">
        <v>259</v>
      </c>
      <c r="B137" s="45" t="s">
        <v>2079</v>
      </c>
      <c r="C137" s="45">
        <v>85.0</v>
      </c>
      <c r="D137" s="45">
        <v>5107.0</v>
      </c>
      <c r="E137" s="45" t="s">
        <v>3973</v>
      </c>
      <c r="F137" s="45" t="s">
        <v>3974</v>
      </c>
      <c r="G137" s="45" t="s">
        <v>3974</v>
      </c>
    </row>
    <row r="138">
      <c r="A138" s="45" t="s">
        <v>157</v>
      </c>
      <c r="B138" s="45" t="s">
        <v>2079</v>
      </c>
      <c r="C138" s="45">
        <v>56.0</v>
      </c>
      <c r="D138" s="45">
        <v>5109.0</v>
      </c>
      <c r="E138" s="45" t="s">
        <v>3973</v>
      </c>
      <c r="F138" s="45" t="s">
        <v>3976</v>
      </c>
      <c r="G138" s="45" t="s">
        <v>3974</v>
      </c>
    </row>
    <row r="139">
      <c r="A139" s="45" t="s">
        <v>260</v>
      </c>
      <c r="B139" s="45" t="s">
        <v>2079</v>
      </c>
      <c r="C139" s="45">
        <v>85.0</v>
      </c>
      <c r="D139" s="45">
        <v>5111.0</v>
      </c>
      <c r="E139" s="45" t="s">
        <v>3973</v>
      </c>
      <c r="F139" s="45" t="s">
        <v>3974</v>
      </c>
      <c r="G139" s="45" t="s">
        <v>3974</v>
      </c>
    </row>
    <row r="140">
      <c r="A140" s="45" t="s">
        <v>261</v>
      </c>
      <c r="B140" s="45" t="s">
        <v>2079</v>
      </c>
      <c r="C140" s="45">
        <v>56.0</v>
      </c>
      <c r="D140" s="45">
        <v>5113.0</v>
      </c>
      <c r="E140" s="45" t="s">
        <v>3977</v>
      </c>
      <c r="F140" s="45" t="s">
        <v>3976</v>
      </c>
      <c r="G140" s="45" t="s">
        <v>3974</v>
      </c>
    </row>
    <row r="141">
      <c r="A141" s="45" t="s">
        <v>262</v>
      </c>
      <c r="B141" s="45" t="s">
        <v>2079</v>
      </c>
      <c r="C141" s="45">
        <v>85.0</v>
      </c>
      <c r="D141" s="45">
        <v>5115.0</v>
      </c>
      <c r="E141" s="45" t="s">
        <v>3973</v>
      </c>
      <c r="F141" s="45" t="s">
        <v>3974</v>
      </c>
      <c r="G141" s="45" t="s">
        <v>3974</v>
      </c>
    </row>
    <row r="142">
      <c r="A142" s="45" t="s">
        <v>263</v>
      </c>
      <c r="B142" s="45" t="s">
        <v>2079</v>
      </c>
      <c r="C142" s="45">
        <v>85.0</v>
      </c>
      <c r="D142" s="45">
        <v>5117.0</v>
      </c>
      <c r="E142" s="45" t="s">
        <v>3973</v>
      </c>
      <c r="F142" s="45" t="s">
        <v>3974</v>
      </c>
      <c r="G142" s="45" t="s">
        <v>3974</v>
      </c>
    </row>
    <row r="143">
      <c r="A143" s="45" t="s">
        <v>264</v>
      </c>
      <c r="B143" s="45" t="s">
        <v>2079</v>
      </c>
      <c r="C143" s="45">
        <v>85.0</v>
      </c>
      <c r="D143" s="45">
        <v>5119.0</v>
      </c>
      <c r="E143" s="45" t="s">
        <v>3973</v>
      </c>
      <c r="F143" s="45" t="s">
        <v>3974</v>
      </c>
      <c r="G143" s="45" t="s">
        <v>3974</v>
      </c>
    </row>
    <row r="144">
      <c r="A144" s="45" t="s">
        <v>158</v>
      </c>
      <c r="B144" s="45" t="s">
        <v>2079</v>
      </c>
      <c r="C144" s="45">
        <v>85.0</v>
      </c>
      <c r="D144" s="45">
        <v>5121.0</v>
      </c>
      <c r="E144" s="45" t="s">
        <v>3973</v>
      </c>
      <c r="F144" s="45" t="s">
        <v>3974</v>
      </c>
      <c r="G144" s="45" t="s">
        <v>3974</v>
      </c>
    </row>
    <row r="145">
      <c r="A145" s="45" t="s">
        <v>265</v>
      </c>
      <c r="B145" s="45" t="s">
        <v>2079</v>
      </c>
      <c r="C145" s="45">
        <v>85.0</v>
      </c>
      <c r="D145" s="45">
        <v>5123.0</v>
      </c>
      <c r="E145" s="45" t="s">
        <v>3973</v>
      </c>
      <c r="F145" s="45" t="s">
        <v>3974</v>
      </c>
      <c r="G145" s="45" t="s">
        <v>3974</v>
      </c>
    </row>
    <row r="146">
      <c r="A146" s="45" t="s">
        <v>266</v>
      </c>
      <c r="B146" s="45" t="s">
        <v>2079</v>
      </c>
      <c r="C146" s="45">
        <v>85.0</v>
      </c>
      <c r="D146" s="45">
        <v>5125.0</v>
      </c>
      <c r="E146" s="45" t="s">
        <v>3973</v>
      </c>
      <c r="F146" s="45" t="s">
        <v>3974</v>
      </c>
      <c r="G146" s="45" t="s">
        <v>3974</v>
      </c>
    </row>
    <row r="147">
      <c r="A147" s="45" t="s">
        <v>267</v>
      </c>
      <c r="B147" s="45" t="s">
        <v>2079</v>
      </c>
      <c r="C147" s="45">
        <v>56.0</v>
      </c>
      <c r="D147" s="45">
        <v>5127.0</v>
      </c>
      <c r="E147" s="45" t="s">
        <v>3977</v>
      </c>
      <c r="F147" s="45" t="s">
        <v>3976</v>
      </c>
      <c r="G147" s="45" t="s">
        <v>3974</v>
      </c>
    </row>
    <row r="148">
      <c r="A148" s="45" t="s">
        <v>268</v>
      </c>
      <c r="B148" s="45" t="s">
        <v>2079</v>
      </c>
      <c r="C148" s="45">
        <v>56.0</v>
      </c>
      <c r="D148" s="45">
        <v>5129.0</v>
      </c>
      <c r="E148" s="45" t="s">
        <v>3973</v>
      </c>
      <c r="F148" s="45" t="s">
        <v>3974</v>
      </c>
      <c r="G148" s="45" t="s">
        <v>3974</v>
      </c>
    </row>
    <row r="149">
      <c r="A149" s="45" t="s">
        <v>269</v>
      </c>
      <c r="B149" s="45" t="s">
        <v>2079</v>
      </c>
      <c r="C149" s="45">
        <v>56.0</v>
      </c>
      <c r="D149" s="45">
        <v>5131.0</v>
      </c>
      <c r="E149" s="45" t="s">
        <v>3977</v>
      </c>
      <c r="F149" s="45" t="s">
        <v>3976</v>
      </c>
      <c r="G149" s="45" t="s">
        <v>3974</v>
      </c>
    </row>
    <row r="150">
      <c r="A150" s="45" t="s">
        <v>270</v>
      </c>
      <c r="B150" s="45" t="s">
        <v>2079</v>
      </c>
      <c r="C150" s="45">
        <v>85.0</v>
      </c>
      <c r="D150" s="45">
        <v>5133.0</v>
      </c>
      <c r="E150" s="45" t="s">
        <v>3977</v>
      </c>
      <c r="F150" s="45" t="s">
        <v>3976</v>
      </c>
      <c r="G150" s="45" t="s">
        <v>3974</v>
      </c>
    </row>
    <row r="151">
      <c r="A151" s="45" t="s">
        <v>271</v>
      </c>
      <c r="B151" s="45" t="s">
        <v>2079</v>
      </c>
      <c r="C151" s="45">
        <v>85.0</v>
      </c>
      <c r="D151" s="45">
        <v>5135.0</v>
      </c>
      <c r="E151" s="45" t="s">
        <v>3973</v>
      </c>
      <c r="F151" s="45" t="s">
        <v>3974</v>
      </c>
      <c r="G151" s="45" t="s">
        <v>3974</v>
      </c>
    </row>
    <row r="152">
      <c r="A152" s="45" t="s">
        <v>272</v>
      </c>
      <c r="B152" s="45" t="s">
        <v>2079</v>
      </c>
      <c r="C152" s="45">
        <v>85.0</v>
      </c>
      <c r="D152" s="45">
        <v>5137.0</v>
      </c>
      <c r="E152" s="45" t="s">
        <v>3973</v>
      </c>
      <c r="F152" s="45" t="s">
        <v>3974</v>
      </c>
      <c r="G152" s="45" t="s">
        <v>3974</v>
      </c>
    </row>
    <row r="153">
      <c r="A153" s="45" t="s">
        <v>273</v>
      </c>
      <c r="B153" s="45" t="s">
        <v>2079</v>
      </c>
      <c r="C153" s="45">
        <v>85.0</v>
      </c>
      <c r="D153" s="45">
        <v>5139.0</v>
      </c>
      <c r="E153" s="45" t="s">
        <v>3973</v>
      </c>
      <c r="F153" s="45" t="s">
        <v>3974</v>
      </c>
      <c r="G153" s="45" t="s">
        <v>3974</v>
      </c>
    </row>
    <row r="154">
      <c r="A154" s="45" t="s">
        <v>274</v>
      </c>
      <c r="B154" s="45" t="s">
        <v>2079</v>
      </c>
      <c r="C154" s="45">
        <v>56.0</v>
      </c>
      <c r="D154" s="45">
        <v>5141.0</v>
      </c>
      <c r="E154" s="45" t="s">
        <v>3973</v>
      </c>
      <c r="F154" s="45" t="s">
        <v>3974</v>
      </c>
      <c r="G154" s="45" t="s">
        <v>3974</v>
      </c>
    </row>
    <row r="155">
      <c r="A155" s="45" t="s">
        <v>167</v>
      </c>
      <c r="B155" s="45" t="s">
        <v>2079</v>
      </c>
      <c r="C155" s="45">
        <v>56.0</v>
      </c>
      <c r="D155" s="45">
        <v>5143.0</v>
      </c>
      <c r="E155" s="45" t="s">
        <v>3975</v>
      </c>
      <c r="F155" s="45" t="s">
        <v>3976</v>
      </c>
      <c r="G155" s="45" t="s">
        <v>3974</v>
      </c>
    </row>
    <row r="156">
      <c r="A156" s="45" t="s">
        <v>275</v>
      </c>
      <c r="B156" s="45" t="s">
        <v>2079</v>
      </c>
      <c r="C156" s="45">
        <v>85.0</v>
      </c>
      <c r="D156" s="45">
        <v>5145.0</v>
      </c>
      <c r="E156" s="45" t="s">
        <v>3973</v>
      </c>
      <c r="F156" s="45" t="s">
        <v>3974</v>
      </c>
      <c r="G156" s="45" t="s">
        <v>3974</v>
      </c>
    </row>
    <row r="157">
      <c r="A157" s="45" t="s">
        <v>276</v>
      </c>
      <c r="B157" s="45" t="s">
        <v>2079</v>
      </c>
      <c r="C157" s="45">
        <v>85.0</v>
      </c>
      <c r="D157" s="45">
        <v>5147.0</v>
      </c>
      <c r="E157" s="45" t="s">
        <v>3973</v>
      </c>
      <c r="F157" s="45" t="s">
        <v>3974</v>
      </c>
      <c r="G157" s="45" t="s">
        <v>3974</v>
      </c>
    </row>
    <row r="158">
      <c r="A158" s="45" t="s">
        <v>277</v>
      </c>
      <c r="B158" s="45" t="s">
        <v>2079</v>
      </c>
      <c r="C158" s="45">
        <v>85.0</v>
      </c>
      <c r="D158" s="45">
        <v>5149.0</v>
      </c>
      <c r="E158" s="45" t="s">
        <v>3973</v>
      </c>
      <c r="F158" s="45" t="s">
        <v>3976</v>
      </c>
      <c r="G158" s="45" t="s">
        <v>3974</v>
      </c>
    </row>
    <row r="159">
      <c r="A159" s="45" t="s">
        <v>278</v>
      </c>
      <c r="B159" s="45" t="s">
        <v>2137</v>
      </c>
      <c r="C159" s="45">
        <v>9.0</v>
      </c>
      <c r="D159" s="45">
        <v>6001.0</v>
      </c>
      <c r="E159" s="45" t="s">
        <v>3978</v>
      </c>
      <c r="F159" s="45" t="s">
        <v>3979</v>
      </c>
      <c r="G159" s="45" t="s">
        <v>3974</v>
      </c>
    </row>
    <row r="160">
      <c r="A160" s="45" t="s">
        <v>281</v>
      </c>
      <c r="B160" s="45" t="s">
        <v>2137</v>
      </c>
      <c r="C160" s="45">
        <v>9.0</v>
      </c>
      <c r="D160" s="45">
        <v>6003.0</v>
      </c>
      <c r="E160" s="45" t="s">
        <v>3978</v>
      </c>
      <c r="F160" s="45" t="s">
        <v>3979</v>
      </c>
      <c r="G160" s="45" t="s">
        <v>3974</v>
      </c>
    </row>
    <row r="161">
      <c r="A161" s="45" t="s">
        <v>283</v>
      </c>
      <c r="B161" s="45" t="s">
        <v>2137</v>
      </c>
      <c r="C161" s="45">
        <v>9.0</v>
      </c>
      <c r="D161" s="45">
        <v>6005.0</v>
      </c>
      <c r="E161" s="45" t="s">
        <v>3978</v>
      </c>
      <c r="F161" s="45" t="s">
        <v>3979</v>
      </c>
      <c r="G161" s="45" t="s">
        <v>3974</v>
      </c>
    </row>
    <row r="162">
      <c r="A162" s="45" t="s">
        <v>284</v>
      </c>
      <c r="B162" s="45" t="s">
        <v>2137</v>
      </c>
      <c r="C162" s="45">
        <v>9.0</v>
      </c>
      <c r="D162" s="45">
        <v>6007.0</v>
      </c>
      <c r="E162" s="45" t="s">
        <v>3978</v>
      </c>
      <c r="F162" s="45" t="s">
        <v>3979</v>
      </c>
      <c r="G162" s="45" t="s">
        <v>3974</v>
      </c>
    </row>
    <row r="163">
      <c r="A163" s="45" t="s">
        <v>285</v>
      </c>
      <c r="B163" s="45" t="s">
        <v>2137</v>
      </c>
      <c r="C163" s="45">
        <v>9.0</v>
      </c>
      <c r="D163" s="45">
        <v>6009.0</v>
      </c>
      <c r="E163" s="45" t="s">
        <v>3978</v>
      </c>
      <c r="F163" s="45" t="s">
        <v>3979</v>
      </c>
      <c r="G163" s="45" t="s">
        <v>3974</v>
      </c>
    </row>
    <row r="164">
      <c r="A164" s="45" t="s">
        <v>286</v>
      </c>
      <c r="B164" s="45" t="s">
        <v>2137</v>
      </c>
      <c r="C164" s="45">
        <v>9.0</v>
      </c>
      <c r="D164" s="45">
        <v>6011.0</v>
      </c>
      <c r="E164" s="45" t="s">
        <v>3978</v>
      </c>
      <c r="F164" s="45" t="s">
        <v>3979</v>
      </c>
      <c r="G164" s="45" t="s">
        <v>3974</v>
      </c>
    </row>
    <row r="165">
      <c r="A165" s="45" t="s">
        <v>287</v>
      </c>
      <c r="B165" s="45" t="s">
        <v>2137</v>
      </c>
      <c r="C165" s="45">
        <v>9.0</v>
      </c>
      <c r="D165" s="45">
        <v>6013.0</v>
      </c>
      <c r="E165" s="45" t="s">
        <v>3978</v>
      </c>
      <c r="F165" s="45" t="s">
        <v>3979</v>
      </c>
      <c r="G165" s="45" t="s">
        <v>3974</v>
      </c>
    </row>
    <row r="166">
      <c r="A166" s="45" t="s">
        <v>288</v>
      </c>
      <c r="B166" s="45" t="s">
        <v>2137</v>
      </c>
      <c r="C166" s="45">
        <v>9.0</v>
      </c>
      <c r="D166" s="45">
        <v>6015.0</v>
      </c>
      <c r="E166" s="45" t="s">
        <v>3980</v>
      </c>
      <c r="F166" s="45" t="s">
        <v>3980</v>
      </c>
      <c r="G166" s="45" t="s">
        <v>3974</v>
      </c>
    </row>
    <row r="167">
      <c r="A167" s="45" t="s">
        <v>290</v>
      </c>
      <c r="B167" s="45" t="s">
        <v>2137</v>
      </c>
      <c r="C167" s="45">
        <v>9.0</v>
      </c>
      <c r="D167" s="45">
        <v>6017.0</v>
      </c>
      <c r="E167" s="45" t="s">
        <v>3978</v>
      </c>
      <c r="F167" s="45" t="s">
        <v>3979</v>
      </c>
      <c r="G167" s="45" t="s">
        <v>3974</v>
      </c>
    </row>
    <row r="168">
      <c r="A168" s="45" t="s">
        <v>291</v>
      </c>
      <c r="B168" s="45" t="s">
        <v>2137</v>
      </c>
      <c r="C168" s="45">
        <v>9.0</v>
      </c>
      <c r="D168" s="45">
        <v>6019.0</v>
      </c>
      <c r="E168" s="45" t="s">
        <v>3978</v>
      </c>
      <c r="F168" s="45" t="s">
        <v>3979</v>
      </c>
      <c r="G168" s="45" t="s">
        <v>3976</v>
      </c>
    </row>
    <row r="169">
      <c r="A169" s="45" t="s">
        <v>292</v>
      </c>
      <c r="B169" s="45" t="s">
        <v>2137</v>
      </c>
      <c r="C169" s="45">
        <v>9.0</v>
      </c>
      <c r="D169" s="45">
        <v>6021.0</v>
      </c>
      <c r="E169" s="45" t="s">
        <v>3978</v>
      </c>
      <c r="F169" s="45" t="s">
        <v>3979</v>
      </c>
      <c r="G169" s="45" t="s">
        <v>3976</v>
      </c>
    </row>
    <row r="170">
      <c r="A170" s="45" t="s">
        <v>293</v>
      </c>
      <c r="B170" s="45" t="s">
        <v>2137</v>
      </c>
      <c r="C170" s="45">
        <v>9.0</v>
      </c>
      <c r="D170" s="45">
        <v>6023.0</v>
      </c>
      <c r="E170" s="45" t="s">
        <v>3978</v>
      </c>
      <c r="F170" s="45" t="s">
        <v>3979</v>
      </c>
      <c r="G170" s="45" t="s">
        <v>3976</v>
      </c>
    </row>
    <row r="171">
      <c r="A171" s="45" t="s">
        <v>294</v>
      </c>
      <c r="B171" s="45" t="s">
        <v>2137</v>
      </c>
      <c r="C171" s="45">
        <v>10.0</v>
      </c>
      <c r="D171" s="45">
        <v>6025.0</v>
      </c>
      <c r="E171" s="45" t="s">
        <v>3971</v>
      </c>
      <c r="F171" s="45" t="s">
        <v>3972</v>
      </c>
      <c r="G171" s="45" t="s">
        <v>3976</v>
      </c>
    </row>
    <row r="172">
      <c r="A172" s="45" t="s">
        <v>295</v>
      </c>
      <c r="B172" s="45" t="s">
        <v>2137</v>
      </c>
      <c r="C172" s="45">
        <v>10.0</v>
      </c>
      <c r="D172" s="45">
        <v>6027.0</v>
      </c>
      <c r="E172" s="45" t="s">
        <v>3978</v>
      </c>
      <c r="F172" s="45" t="s">
        <v>3981</v>
      </c>
      <c r="G172" s="45" t="s">
        <v>3976</v>
      </c>
    </row>
    <row r="173">
      <c r="A173" s="45" t="s">
        <v>296</v>
      </c>
      <c r="B173" s="45" t="s">
        <v>2137</v>
      </c>
      <c r="C173" s="45">
        <v>10.0</v>
      </c>
      <c r="D173" s="45">
        <v>6029.0</v>
      </c>
      <c r="E173" s="45" t="s">
        <v>3978</v>
      </c>
      <c r="F173" s="45" t="s">
        <v>3981</v>
      </c>
      <c r="G173" s="45" t="s">
        <v>3976</v>
      </c>
    </row>
    <row r="174">
      <c r="A174" s="45" t="s">
        <v>297</v>
      </c>
      <c r="B174" s="45" t="s">
        <v>2137</v>
      </c>
      <c r="C174" s="45">
        <v>9.0</v>
      </c>
      <c r="D174" s="45">
        <v>6031.0</v>
      </c>
      <c r="E174" s="45" t="s">
        <v>3978</v>
      </c>
      <c r="F174" s="45" t="s">
        <v>3979</v>
      </c>
      <c r="G174" s="45" t="s">
        <v>3976</v>
      </c>
    </row>
    <row r="175">
      <c r="A175" s="45" t="s">
        <v>298</v>
      </c>
      <c r="B175" s="45" t="s">
        <v>2137</v>
      </c>
      <c r="C175" s="45">
        <v>9.0</v>
      </c>
      <c r="D175" s="45">
        <v>6033.0</v>
      </c>
      <c r="E175" s="45" t="s">
        <v>3978</v>
      </c>
      <c r="F175" s="45" t="s">
        <v>3979</v>
      </c>
      <c r="G175" s="45" t="s">
        <v>3976</v>
      </c>
    </row>
    <row r="176">
      <c r="A176" s="45" t="s">
        <v>299</v>
      </c>
      <c r="B176" s="45" t="s">
        <v>2137</v>
      </c>
      <c r="C176" s="45">
        <v>8.0</v>
      </c>
      <c r="D176" s="45">
        <v>6035.0</v>
      </c>
      <c r="E176" s="45" t="s">
        <v>3978</v>
      </c>
      <c r="F176" s="45" t="s">
        <v>3980</v>
      </c>
      <c r="G176" s="45" t="s">
        <v>3976</v>
      </c>
    </row>
    <row r="177">
      <c r="A177" s="45" t="s">
        <v>300</v>
      </c>
      <c r="B177" s="45" t="s">
        <v>2137</v>
      </c>
      <c r="C177" s="45">
        <v>10.0</v>
      </c>
      <c r="D177" s="45">
        <v>6037.0</v>
      </c>
      <c r="E177" s="45" t="s">
        <v>3978</v>
      </c>
      <c r="F177" s="45" t="s">
        <v>3981</v>
      </c>
      <c r="G177" s="45" t="s">
        <v>3976</v>
      </c>
    </row>
    <row r="178">
      <c r="A178" s="45" t="s">
        <v>301</v>
      </c>
      <c r="B178" s="45" t="s">
        <v>2137</v>
      </c>
      <c r="C178" s="45">
        <v>9.0</v>
      </c>
      <c r="D178" s="45">
        <v>6039.0</v>
      </c>
      <c r="E178" s="45" t="s">
        <v>3978</v>
      </c>
      <c r="F178" s="45" t="s">
        <v>3979</v>
      </c>
      <c r="G178" s="45" t="s">
        <v>3976</v>
      </c>
    </row>
    <row r="179">
      <c r="A179" s="45" t="s">
        <v>302</v>
      </c>
      <c r="B179" s="45" t="s">
        <v>2137</v>
      </c>
      <c r="C179" s="45">
        <v>9.0</v>
      </c>
      <c r="D179" s="45">
        <v>6041.0</v>
      </c>
      <c r="E179" s="45" t="s">
        <v>3978</v>
      </c>
      <c r="F179" s="45" t="s">
        <v>3979</v>
      </c>
      <c r="G179" s="45" t="s">
        <v>3976</v>
      </c>
    </row>
    <row r="180">
      <c r="A180" s="45" t="s">
        <v>303</v>
      </c>
      <c r="B180" s="45" t="s">
        <v>2137</v>
      </c>
      <c r="C180" s="45">
        <v>9.0</v>
      </c>
      <c r="D180" s="45">
        <v>6043.0</v>
      </c>
      <c r="E180" s="45" t="s">
        <v>3978</v>
      </c>
      <c r="F180" s="45" t="s">
        <v>3979</v>
      </c>
      <c r="G180" s="45" t="s">
        <v>3976</v>
      </c>
    </row>
    <row r="181">
      <c r="A181" s="45" t="s">
        <v>304</v>
      </c>
      <c r="B181" s="45" t="s">
        <v>2137</v>
      </c>
      <c r="C181" s="45">
        <v>9.0</v>
      </c>
      <c r="D181" s="45">
        <v>6045.0</v>
      </c>
      <c r="E181" s="45" t="s">
        <v>3978</v>
      </c>
      <c r="F181" s="45" t="s">
        <v>3979</v>
      </c>
      <c r="G181" s="45" t="s">
        <v>3976</v>
      </c>
    </row>
    <row r="182">
      <c r="A182" s="45" t="s">
        <v>305</v>
      </c>
      <c r="B182" s="45" t="s">
        <v>2137</v>
      </c>
      <c r="C182" s="45">
        <v>9.0</v>
      </c>
      <c r="D182" s="45">
        <v>6047.0</v>
      </c>
      <c r="E182" s="45" t="s">
        <v>3978</v>
      </c>
      <c r="F182" s="45" t="s">
        <v>3979</v>
      </c>
      <c r="G182" s="45" t="s">
        <v>3976</v>
      </c>
    </row>
    <row r="183">
      <c r="A183" s="45" t="s">
        <v>306</v>
      </c>
      <c r="B183" s="45" t="s">
        <v>2137</v>
      </c>
      <c r="C183" s="45">
        <v>8.0</v>
      </c>
      <c r="D183" s="45">
        <v>6049.0</v>
      </c>
      <c r="E183" s="45" t="s">
        <v>3980</v>
      </c>
      <c r="F183" s="45" t="s">
        <v>3980</v>
      </c>
      <c r="G183" s="45" t="s">
        <v>3976</v>
      </c>
    </row>
    <row r="184">
      <c r="A184" s="45" t="s">
        <v>307</v>
      </c>
      <c r="B184" s="45" t="s">
        <v>2137</v>
      </c>
      <c r="C184" s="45">
        <v>10.0</v>
      </c>
      <c r="D184" s="45">
        <v>6051.0</v>
      </c>
      <c r="E184" s="45" t="s">
        <v>3978</v>
      </c>
      <c r="F184" s="45" t="s">
        <v>3981</v>
      </c>
      <c r="G184" s="45" t="s">
        <v>3976</v>
      </c>
    </row>
    <row r="185">
      <c r="A185" s="45" t="s">
        <v>308</v>
      </c>
      <c r="B185" s="45" t="s">
        <v>2137</v>
      </c>
      <c r="C185" s="45">
        <v>9.0</v>
      </c>
      <c r="D185" s="45">
        <v>6053.0</v>
      </c>
      <c r="E185" s="45" t="s">
        <v>3978</v>
      </c>
      <c r="F185" s="45" t="s">
        <v>3979</v>
      </c>
      <c r="G185" s="45" t="s">
        <v>3976</v>
      </c>
    </row>
    <row r="186">
      <c r="A186" s="45" t="s">
        <v>309</v>
      </c>
      <c r="B186" s="45" t="s">
        <v>2137</v>
      </c>
      <c r="C186" s="45">
        <v>9.0</v>
      </c>
      <c r="D186" s="45">
        <v>6055.0</v>
      </c>
      <c r="E186" s="45" t="s">
        <v>3978</v>
      </c>
      <c r="F186" s="45" t="s">
        <v>3979</v>
      </c>
      <c r="G186" s="45" t="s">
        <v>3976</v>
      </c>
    </row>
    <row r="187">
      <c r="A187" s="45" t="s">
        <v>256</v>
      </c>
      <c r="B187" s="45" t="s">
        <v>2137</v>
      </c>
      <c r="C187" s="45">
        <v>9.0</v>
      </c>
      <c r="D187" s="45">
        <v>6057.0</v>
      </c>
      <c r="E187" s="45" t="s">
        <v>3978</v>
      </c>
      <c r="F187" s="45" t="s">
        <v>3979</v>
      </c>
      <c r="G187" s="45" t="s">
        <v>3976</v>
      </c>
    </row>
    <row r="188">
      <c r="A188" s="45" t="s">
        <v>310</v>
      </c>
      <c r="B188" s="45" t="s">
        <v>2137</v>
      </c>
      <c r="C188" s="45">
        <v>10.0</v>
      </c>
      <c r="D188" s="45">
        <v>6059.0</v>
      </c>
      <c r="E188" s="45" t="s">
        <v>3978</v>
      </c>
      <c r="F188" s="45" t="s">
        <v>3981</v>
      </c>
      <c r="G188" s="45" t="s">
        <v>3979</v>
      </c>
    </row>
    <row r="189">
      <c r="A189" s="45" t="s">
        <v>311</v>
      </c>
      <c r="B189" s="45" t="s">
        <v>2137</v>
      </c>
      <c r="C189" s="45">
        <v>9.0</v>
      </c>
      <c r="D189" s="45">
        <v>6061.0</v>
      </c>
      <c r="E189" s="45" t="s">
        <v>3978</v>
      </c>
      <c r="F189" s="45" t="s">
        <v>3979</v>
      </c>
      <c r="G189" s="45" t="s">
        <v>3979</v>
      </c>
    </row>
    <row r="190">
      <c r="A190" s="45" t="s">
        <v>312</v>
      </c>
      <c r="B190" s="45" t="s">
        <v>2137</v>
      </c>
      <c r="C190" s="45">
        <v>9.0</v>
      </c>
      <c r="D190" s="45">
        <v>6063.0</v>
      </c>
      <c r="E190" s="45" t="s">
        <v>3978</v>
      </c>
      <c r="F190" s="45" t="s">
        <v>3979</v>
      </c>
      <c r="G190" s="45" t="s">
        <v>3979</v>
      </c>
    </row>
    <row r="191">
      <c r="A191" s="45" t="s">
        <v>313</v>
      </c>
      <c r="B191" s="45" t="s">
        <v>2137</v>
      </c>
      <c r="C191" s="45">
        <v>10.0</v>
      </c>
      <c r="D191" s="45">
        <v>6065.0</v>
      </c>
      <c r="E191" s="45" t="s">
        <v>3971</v>
      </c>
      <c r="F191" s="45" t="s">
        <v>3981</v>
      </c>
      <c r="G191" s="45" t="s">
        <v>3979</v>
      </c>
    </row>
    <row r="192">
      <c r="A192" s="45" t="s">
        <v>314</v>
      </c>
      <c r="B192" s="45" t="s">
        <v>2137</v>
      </c>
      <c r="C192" s="45">
        <v>9.0</v>
      </c>
      <c r="D192" s="45">
        <v>6067.0</v>
      </c>
      <c r="E192" s="45" t="s">
        <v>3978</v>
      </c>
      <c r="F192" s="45" t="s">
        <v>3979</v>
      </c>
      <c r="G192" s="45" t="s">
        <v>3979</v>
      </c>
    </row>
    <row r="193">
      <c r="A193" s="45" t="s">
        <v>315</v>
      </c>
      <c r="B193" s="45" t="s">
        <v>2137</v>
      </c>
      <c r="C193" s="45">
        <v>9.0</v>
      </c>
      <c r="D193" s="45">
        <v>6069.0</v>
      </c>
      <c r="E193" s="45" t="s">
        <v>3978</v>
      </c>
      <c r="F193" s="45" t="s">
        <v>3979</v>
      </c>
      <c r="G193" s="45" t="s">
        <v>3979</v>
      </c>
    </row>
    <row r="194">
      <c r="A194" s="45" t="s">
        <v>316</v>
      </c>
      <c r="B194" s="45" t="s">
        <v>2137</v>
      </c>
      <c r="C194" s="45">
        <v>10.0</v>
      </c>
      <c r="D194" s="45">
        <v>6071.0</v>
      </c>
      <c r="E194" s="45" t="s">
        <v>3978</v>
      </c>
      <c r="F194" s="45" t="s">
        <v>3981</v>
      </c>
      <c r="G194" s="45" t="s">
        <v>3979</v>
      </c>
    </row>
    <row r="195">
      <c r="A195" s="45" t="s">
        <v>317</v>
      </c>
      <c r="B195" s="45" t="s">
        <v>2137</v>
      </c>
      <c r="C195" s="45">
        <v>11.0</v>
      </c>
      <c r="D195" s="45">
        <v>6073.0</v>
      </c>
      <c r="E195" s="45" t="s">
        <v>3978</v>
      </c>
      <c r="F195" s="45" t="s">
        <v>3981</v>
      </c>
      <c r="G195" s="45" t="s">
        <v>3979</v>
      </c>
    </row>
    <row r="196">
      <c r="A196" s="45" t="s">
        <v>318</v>
      </c>
      <c r="B196" s="45" t="s">
        <v>2137</v>
      </c>
      <c r="C196" s="45">
        <v>9.0</v>
      </c>
      <c r="D196" s="45">
        <v>6075.0</v>
      </c>
      <c r="E196" s="45" t="s">
        <v>3978</v>
      </c>
      <c r="F196" s="45" t="s">
        <v>3979</v>
      </c>
      <c r="G196" s="45" t="s">
        <v>3979</v>
      </c>
    </row>
    <row r="197">
      <c r="A197" s="45" t="s">
        <v>319</v>
      </c>
      <c r="B197" s="45" t="s">
        <v>2137</v>
      </c>
      <c r="C197" s="45">
        <v>9.0</v>
      </c>
      <c r="D197" s="45">
        <v>6077.0</v>
      </c>
      <c r="E197" s="45" t="s">
        <v>3978</v>
      </c>
      <c r="F197" s="45" t="s">
        <v>3979</v>
      </c>
      <c r="G197" s="45" t="s">
        <v>3979</v>
      </c>
    </row>
    <row r="198">
      <c r="A198" s="45" t="s">
        <v>320</v>
      </c>
      <c r="B198" s="45" t="s">
        <v>2137</v>
      </c>
      <c r="C198" s="45">
        <v>9.0</v>
      </c>
      <c r="D198" s="45">
        <v>6079.0</v>
      </c>
      <c r="E198" s="45" t="s">
        <v>3978</v>
      </c>
      <c r="F198" s="45" t="s">
        <v>3979</v>
      </c>
      <c r="G198" s="45" t="s">
        <v>3979</v>
      </c>
    </row>
    <row r="199">
      <c r="A199" s="45" t="s">
        <v>321</v>
      </c>
      <c r="B199" s="45" t="s">
        <v>2137</v>
      </c>
      <c r="C199" s="45">
        <v>9.0</v>
      </c>
      <c r="D199" s="45">
        <v>6081.0</v>
      </c>
      <c r="E199" s="45" t="s">
        <v>3978</v>
      </c>
      <c r="F199" s="45" t="s">
        <v>3979</v>
      </c>
      <c r="G199" s="45" t="s">
        <v>3979</v>
      </c>
    </row>
    <row r="200">
      <c r="A200" s="45" t="s">
        <v>322</v>
      </c>
      <c r="B200" s="45" t="s">
        <v>2137</v>
      </c>
      <c r="C200" s="45">
        <v>9.0</v>
      </c>
      <c r="D200" s="45">
        <v>6083.0</v>
      </c>
      <c r="E200" s="45" t="s">
        <v>3978</v>
      </c>
      <c r="F200" s="45" t="s">
        <v>3979</v>
      </c>
      <c r="G200" s="45" t="s">
        <v>3979</v>
      </c>
    </row>
    <row r="201">
      <c r="A201" s="45" t="s">
        <v>323</v>
      </c>
      <c r="B201" s="45" t="s">
        <v>2137</v>
      </c>
      <c r="C201" s="45">
        <v>9.0</v>
      </c>
      <c r="D201" s="45">
        <v>6085.0</v>
      </c>
      <c r="E201" s="45" t="s">
        <v>3978</v>
      </c>
      <c r="F201" s="45" t="s">
        <v>3979</v>
      </c>
      <c r="G201" s="45" t="s">
        <v>3979</v>
      </c>
    </row>
    <row r="202">
      <c r="A202" s="45" t="s">
        <v>217</v>
      </c>
      <c r="B202" s="45" t="s">
        <v>2137</v>
      </c>
      <c r="C202" s="45">
        <v>9.0</v>
      </c>
      <c r="D202" s="45">
        <v>6087.0</v>
      </c>
      <c r="E202" s="45" t="s">
        <v>3978</v>
      </c>
      <c r="F202" s="45" t="s">
        <v>3979</v>
      </c>
      <c r="G202" s="45" t="s">
        <v>3979</v>
      </c>
    </row>
    <row r="203">
      <c r="A203" s="45" t="s">
        <v>324</v>
      </c>
      <c r="B203" s="45" t="s">
        <v>2137</v>
      </c>
      <c r="C203" s="45">
        <v>9.0</v>
      </c>
      <c r="D203" s="45">
        <v>6089.0</v>
      </c>
      <c r="E203" s="45" t="s">
        <v>3978</v>
      </c>
      <c r="F203" s="45" t="s">
        <v>3979</v>
      </c>
      <c r="G203" s="45" t="s">
        <v>3979</v>
      </c>
    </row>
    <row r="204">
      <c r="A204" s="45" t="s">
        <v>325</v>
      </c>
      <c r="B204" s="45" t="s">
        <v>2137</v>
      </c>
      <c r="C204" s="45">
        <v>9.0</v>
      </c>
      <c r="D204" s="45">
        <v>6091.0</v>
      </c>
      <c r="E204" s="45" t="s">
        <v>3978</v>
      </c>
      <c r="F204" s="45" t="s">
        <v>3979</v>
      </c>
      <c r="G204" s="45" t="s">
        <v>3979</v>
      </c>
    </row>
    <row r="205">
      <c r="A205" s="45" t="s">
        <v>326</v>
      </c>
      <c r="B205" s="45" t="s">
        <v>2137</v>
      </c>
      <c r="C205" s="45">
        <v>8.0</v>
      </c>
      <c r="D205" s="45">
        <v>6093.0</v>
      </c>
      <c r="E205" s="45" t="s">
        <v>3980</v>
      </c>
      <c r="F205" s="45" t="s">
        <v>3980</v>
      </c>
      <c r="G205" s="45" t="s">
        <v>3979</v>
      </c>
    </row>
    <row r="206">
      <c r="A206" s="45" t="s">
        <v>327</v>
      </c>
      <c r="B206" s="45" t="s">
        <v>2137</v>
      </c>
      <c r="C206" s="45">
        <v>9.0</v>
      </c>
      <c r="D206" s="45">
        <v>6095.0</v>
      </c>
      <c r="E206" s="45" t="s">
        <v>3978</v>
      </c>
      <c r="F206" s="45" t="s">
        <v>3979</v>
      </c>
      <c r="G206" s="45" t="s">
        <v>3979</v>
      </c>
    </row>
    <row r="207">
      <c r="A207" s="45" t="s">
        <v>328</v>
      </c>
      <c r="B207" s="45" t="s">
        <v>2137</v>
      </c>
      <c r="C207" s="45">
        <v>9.0</v>
      </c>
      <c r="D207" s="45">
        <v>6097.0</v>
      </c>
      <c r="E207" s="45" t="s">
        <v>3978</v>
      </c>
      <c r="F207" s="45" t="s">
        <v>3979</v>
      </c>
      <c r="G207" s="45" t="s">
        <v>3979</v>
      </c>
    </row>
    <row r="208">
      <c r="A208" s="45" t="s">
        <v>329</v>
      </c>
      <c r="B208" s="45" t="s">
        <v>2137</v>
      </c>
      <c r="C208" s="45">
        <v>9.0</v>
      </c>
      <c r="D208" s="45">
        <v>6099.0</v>
      </c>
      <c r="E208" s="45" t="s">
        <v>3978</v>
      </c>
      <c r="F208" s="45" t="s">
        <v>3979</v>
      </c>
      <c r="G208" s="45" t="s">
        <v>3979</v>
      </c>
    </row>
    <row r="209">
      <c r="A209" s="45" t="s">
        <v>330</v>
      </c>
      <c r="B209" s="45" t="s">
        <v>2137</v>
      </c>
      <c r="C209" s="45">
        <v>9.0</v>
      </c>
      <c r="D209" s="45">
        <v>6101.0</v>
      </c>
      <c r="E209" s="45" t="s">
        <v>3978</v>
      </c>
      <c r="F209" s="45" t="s">
        <v>3979</v>
      </c>
      <c r="G209" s="45" t="s">
        <v>3979</v>
      </c>
    </row>
    <row r="210">
      <c r="A210" s="45" t="s">
        <v>331</v>
      </c>
      <c r="B210" s="45" t="s">
        <v>2137</v>
      </c>
      <c r="C210" s="45">
        <v>9.0</v>
      </c>
      <c r="D210" s="45">
        <v>6103.0</v>
      </c>
      <c r="E210" s="45" t="s">
        <v>3978</v>
      </c>
      <c r="F210" s="45" t="s">
        <v>3979</v>
      </c>
      <c r="G210" s="45" t="s">
        <v>3979</v>
      </c>
    </row>
    <row r="211">
      <c r="A211" s="45" t="s">
        <v>332</v>
      </c>
      <c r="B211" s="45" t="s">
        <v>2137</v>
      </c>
      <c r="C211" s="45">
        <v>9.0</v>
      </c>
      <c r="D211" s="45">
        <v>6105.0</v>
      </c>
      <c r="E211" s="45" t="s">
        <v>3978</v>
      </c>
      <c r="F211" s="45" t="s">
        <v>3979</v>
      </c>
      <c r="G211" s="45" t="s">
        <v>3979</v>
      </c>
    </row>
    <row r="212">
      <c r="A212" s="45" t="s">
        <v>333</v>
      </c>
      <c r="B212" s="45" t="s">
        <v>2137</v>
      </c>
      <c r="C212" s="45">
        <v>10.0</v>
      </c>
      <c r="D212" s="45">
        <v>6107.0</v>
      </c>
      <c r="E212" s="45" t="s">
        <v>3978</v>
      </c>
      <c r="F212" s="45" t="s">
        <v>3981</v>
      </c>
      <c r="G212" s="45" t="s">
        <v>3979</v>
      </c>
    </row>
    <row r="213">
      <c r="A213" s="45" t="s">
        <v>334</v>
      </c>
      <c r="B213" s="45" t="s">
        <v>2137</v>
      </c>
      <c r="C213" s="45">
        <v>9.0</v>
      </c>
      <c r="D213" s="45">
        <v>6109.0</v>
      </c>
      <c r="E213" s="45" t="s">
        <v>3978</v>
      </c>
      <c r="F213" s="45" t="s">
        <v>3979</v>
      </c>
      <c r="G213" s="45" t="s">
        <v>3979</v>
      </c>
    </row>
    <row r="214">
      <c r="A214" s="45" t="s">
        <v>335</v>
      </c>
      <c r="B214" s="45" t="s">
        <v>2137</v>
      </c>
      <c r="C214" s="45">
        <v>10.0</v>
      </c>
      <c r="D214" s="45">
        <v>6111.0</v>
      </c>
      <c r="E214" s="45" t="s">
        <v>3978</v>
      </c>
      <c r="F214" s="45" t="s">
        <v>3981</v>
      </c>
      <c r="G214" s="45" t="s">
        <v>3979</v>
      </c>
    </row>
    <row r="215">
      <c r="A215" s="45" t="s">
        <v>336</v>
      </c>
      <c r="B215" s="45" t="s">
        <v>2137</v>
      </c>
      <c r="C215" s="45">
        <v>9.0</v>
      </c>
      <c r="D215" s="45">
        <v>6113.0</v>
      </c>
      <c r="E215" s="45" t="s">
        <v>3978</v>
      </c>
      <c r="F215" s="45" t="s">
        <v>3979</v>
      </c>
      <c r="G215" s="45" t="s">
        <v>3979</v>
      </c>
    </row>
    <row r="216">
      <c r="A216" s="45" t="s">
        <v>337</v>
      </c>
      <c r="B216" s="45" t="s">
        <v>2137</v>
      </c>
      <c r="C216" s="45">
        <v>9.0</v>
      </c>
      <c r="D216" s="45">
        <v>6115.0</v>
      </c>
      <c r="E216" s="45" t="s">
        <v>3978</v>
      </c>
      <c r="F216" s="45" t="s">
        <v>3979</v>
      </c>
      <c r="G216" s="45" t="s">
        <v>3979</v>
      </c>
    </row>
    <row r="217">
      <c r="A217" s="45" t="s">
        <v>338</v>
      </c>
      <c r="B217" s="45" t="s">
        <v>2194</v>
      </c>
      <c r="C217" s="45">
        <v>33.0</v>
      </c>
      <c r="D217" s="45">
        <v>8001.0</v>
      </c>
      <c r="E217" s="45" t="s">
        <v>3982</v>
      </c>
      <c r="F217" s="45" t="s">
        <v>3983</v>
      </c>
      <c r="G217" s="45" t="s">
        <v>3979</v>
      </c>
    </row>
    <row r="218">
      <c r="A218" s="45" t="s">
        <v>340</v>
      </c>
      <c r="B218" s="45" t="s">
        <v>2194</v>
      </c>
      <c r="C218" s="45">
        <v>34.0</v>
      </c>
      <c r="D218" s="45">
        <v>8003.0</v>
      </c>
      <c r="E218" s="45" t="s">
        <v>3982</v>
      </c>
      <c r="F218" s="45" t="s">
        <v>3983</v>
      </c>
      <c r="G218" s="45" t="s">
        <v>3979</v>
      </c>
    </row>
    <row r="219">
      <c r="A219" s="45" t="s">
        <v>341</v>
      </c>
      <c r="B219" s="45" t="s">
        <v>2194</v>
      </c>
      <c r="C219" s="45">
        <v>33.0</v>
      </c>
      <c r="D219" s="45">
        <v>8005.0</v>
      </c>
      <c r="E219" s="45" t="s">
        <v>3982</v>
      </c>
      <c r="F219" s="45" t="s">
        <v>3983</v>
      </c>
      <c r="G219" s="45" t="s">
        <v>3979</v>
      </c>
    </row>
    <row r="220">
      <c r="A220" s="45" t="s">
        <v>342</v>
      </c>
      <c r="B220" s="45" t="s">
        <v>2194</v>
      </c>
      <c r="C220" s="45">
        <v>34.0</v>
      </c>
      <c r="D220" s="45">
        <v>8007.0</v>
      </c>
      <c r="E220" s="45" t="s">
        <v>3982</v>
      </c>
      <c r="F220" s="45" t="s">
        <v>3983</v>
      </c>
      <c r="G220" s="45" t="s">
        <v>3979</v>
      </c>
    </row>
    <row r="221">
      <c r="A221" s="45" t="s">
        <v>343</v>
      </c>
      <c r="B221" s="45" t="s">
        <v>2194</v>
      </c>
      <c r="C221" s="45">
        <v>34.0</v>
      </c>
      <c r="D221" s="45">
        <v>8009.0</v>
      </c>
      <c r="E221" s="45" t="s">
        <v>3982</v>
      </c>
      <c r="F221" s="45" t="s">
        <v>3983</v>
      </c>
      <c r="G221" s="45" t="s">
        <v>3979</v>
      </c>
    </row>
    <row r="222">
      <c r="A222" s="45" t="s">
        <v>344</v>
      </c>
      <c r="B222" s="45" t="s">
        <v>2194</v>
      </c>
      <c r="C222" s="45">
        <v>34.0</v>
      </c>
      <c r="D222" s="45">
        <v>8011.0</v>
      </c>
      <c r="E222" s="45" t="s">
        <v>3982</v>
      </c>
      <c r="F222" s="45" t="s">
        <v>3983</v>
      </c>
      <c r="G222" s="45" t="s">
        <v>3979</v>
      </c>
    </row>
    <row r="223">
      <c r="A223" s="45" t="s">
        <v>345</v>
      </c>
      <c r="B223" s="45" t="s">
        <v>2194</v>
      </c>
      <c r="C223" s="45">
        <v>33.0</v>
      </c>
      <c r="D223" s="45">
        <v>8013.0</v>
      </c>
      <c r="E223" s="45" t="s">
        <v>3982</v>
      </c>
      <c r="F223" s="45" t="s">
        <v>3983</v>
      </c>
      <c r="G223" s="45" t="s">
        <v>3979</v>
      </c>
    </row>
    <row r="224">
      <c r="A224" s="45" t="s">
        <v>346</v>
      </c>
      <c r="B224" s="45" t="s">
        <v>2194</v>
      </c>
      <c r="C224" s="45">
        <v>33.0</v>
      </c>
      <c r="D224" s="45">
        <v>8014.0</v>
      </c>
      <c r="E224" s="45" t="s">
        <v>3982</v>
      </c>
      <c r="F224" s="45" t="s">
        <v>3983</v>
      </c>
      <c r="G224" s="45" t="s">
        <v>3979</v>
      </c>
    </row>
    <row r="225">
      <c r="A225" s="45" t="s">
        <v>347</v>
      </c>
      <c r="B225" s="45" t="s">
        <v>2194</v>
      </c>
      <c r="C225" s="45">
        <v>34.0</v>
      </c>
      <c r="D225" s="45">
        <v>8015.0</v>
      </c>
      <c r="E225" s="45" t="s">
        <v>3982</v>
      </c>
      <c r="F225" s="45" t="s">
        <v>3983</v>
      </c>
      <c r="G225" s="45" t="s">
        <v>3979</v>
      </c>
    </row>
    <row r="226">
      <c r="A226" s="45" t="s">
        <v>348</v>
      </c>
      <c r="B226" s="45" t="s">
        <v>2194</v>
      </c>
      <c r="C226" s="45">
        <v>34.0</v>
      </c>
      <c r="D226" s="45">
        <v>8017.0</v>
      </c>
      <c r="E226" s="45" t="s">
        <v>3982</v>
      </c>
      <c r="F226" s="45" t="s">
        <v>3983</v>
      </c>
      <c r="G226" s="45" t="s">
        <v>3979</v>
      </c>
    </row>
    <row r="227">
      <c r="A227" s="45" t="s">
        <v>349</v>
      </c>
      <c r="B227" s="45" t="s">
        <v>2194</v>
      </c>
      <c r="C227" s="45">
        <v>33.0</v>
      </c>
      <c r="D227" s="45">
        <v>8019.0</v>
      </c>
      <c r="E227" s="45" t="s">
        <v>3982</v>
      </c>
      <c r="F227" s="45" t="s">
        <v>3983</v>
      </c>
      <c r="G227" s="45" t="s">
        <v>3979</v>
      </c>
    </row>
    <row r="228">
      <c r="A228" s="45" t="s">
        <v>350</v>
      </c>
      <c r="B228" s="45" t="s">
        <v>2194</v>
      </c>
      <c r="C228" s="45">
        <v>34.0</v>
      </c>
      <c r="D228" s="45">
        <v>8021.0</v>
      </c>
      <c r="E228" s="45" t="s">
        <v>3982</v>
      </c>
      <c r="F228" s="45" t="s">
        <v>3983</v>
      </c>
      <c r="G228" s="45" t="s">
        <v>3979</v>
      </c>
    </row>
    <row r="229">
      <c r="A229" s="45" t="s">
        <v>351</v>
      </c>
      <c r="B229" s="45" t="s">
        <v>2194</v>
      </c>
      <c r="C229" s="45">
        <v>34.0</v>
      </c>
      <c r="D229" s="45">
        <v>8023.0</v>
      </c>
      <c r="E229" s="45" t="s">
        <v>3982</v>
      </c>
      <c r="F229" s="45" t="s">
        <v>3983</v>
      </c>
      <c r="G229" s="45" t="s">
        <v>3979</v>
      </c>
    </row>
    <row r="230">
      <c r="A230" s="45" t="s">
        <v>352</v>
      </c>
      <c r="B230" s="45" t="s">
        <v>2194</v>
      </c>
      <c r="C230" s="45">
        <v>34.0</v>
      </c>
      <c r="D230" s="45">
        <v>8025.0</v>
      </c>
      <c r="E230" s="45" t="s">
        <v>3982</v>
      </c>
      <c r="F230" s="45" t="s">
        <v>3983</v>
      </c>
      <c r="G230" s="45" t="s">
        <v>3979</v>
      </c>
    </row>
    <row r="231">
      <c r="A231" s="45" t="s">
        <v>353</v>
      </c>
      <c r="B231" s="45" t="s">
        <v>2194</v>
      </c>
      <c r="C231" s="45">
        <v>34.0</v>
      </c>
      <c r="D231" s="45">
        <v>8027.0</v>
      </c>
      <c r="E231" s="45" t="s">
        <v>3982</v>
      </c>
      <c r="F231" s="45" t="s">
        <v>3983</v>
      </c>
      <c r="G231" s="45" t="s">
        <v>3979</v>
      </c>
    </row>
    <row r="232">
      <c r="A232" s="45" t="s">
        <v>354</v>
      </c>
      <c r="B232" s="45" t="s">
        <v>2194</v>
      </c>
      <c r="C232" s="45">
        <v>34.0</v>
      </c>
      <c r="D232" s="45">
        <v>8029.0</v>
      </c>
      <c r="E232" s="45" t="s">
        <v>3982</v>
      </c>
      <c r="F232" s="45" t="s">
        <v>3983</v>
      </c>
      <c r="G232" s="45" t="s">
        <v>3981</v>
      </c>
    </row>
    <row r="233">
      <c r="A233" s="45" t="s">
        <v>355</v>
      </c>
      <c r="B233" s="45" t="s">
        <v>2194</v>
      </c>
      <c r="C233" s="45">
        <v>33.0</v>
      </c>
      <c r="D233" s="45">
        <v>8031.0</v>
      </c>
      <c r="E233" s="45" t="s">
        <v>3982</v>
      </c>
      <c r="F233" s="45" t="s">
        <v>3983</v>
      </c>
      <c r="G233" s="45" t="s">
        <v>3981</v>
      </c>
    </row>
    <row r="234">
      <c r="A234" s="45" t="s">
        <v>356</v>
      </c>
      <c r="B234" s="45" t="s">
        <v>2194</v>
      </c>
      <c r="C234" s="45">
        <v>34.0</v>
      </c>
      <c r="D234" s="45">
        <v>8033.0</v>
      </c>
      <c r="E234" s="45" t="s">
        <v>3982</v>
      </c>
      <c r="F234" s="45" t="s">
        <v>3983</v>
      </c>
      <c r="G234" s="45" t="s">
        <v>3981</v>
      </c>
    </row>
    <row r="235">
      <c r="A235" s="45" t="s">
        <v>357</v>
      </c>
      <c r="B235" s="45" t="s">
        <v>2194</v>
      </c>
      <c r="C235" s="45">
        <v>33.0</v>
      </c>
      <c r="D235" s="45">
        <v>8035.0</v>
      </c>
      <c r="E235" s="45" t="s">
        <v>3982</v>
      </c>
      <c r="F235" s="45" t="s">
        <v>3983</v>
      </c>
      <c r="G235" s="45" t="s">
        <v>3981</v>
      </c>
    </row>
    <row r="236">
      <c r="A236" s="45" t="s">
        <v>358</v>
      </c>
      <c r="B236" s="45" t="s">
        <v>2194</v>
      </c>
      <c r="C236" s="45">
        <v>33.0</v>
      </c>
      <c r="D236" s="45">
        <v>8037.0</v>
      </c>
      <c r="E236" s="45" t="s">
        <v>3982</v>
      </c>
      <c r="F236" s="45" t="s">
        <v>3983</v>
      </c>
      <c r="G236" s="45" t="s">
        <v>3981</v>
      </c>
    </row>
    <row r="237">
      <c r="A237" s="45" t="s">
        <v>359</v>
      </c>
      <c r="B237" s="45" t="s">
        <v>2194</v>
      </c>
      <c r="C237" s="45">
        <v>34.0</v>
      </c>
      <c r="D237" s="45">
        <v>8039.0</v>
      </c>
      <c r="E237" s="45" t="s">
        <v>3982</v>
      </c>
      <c r="F237" s="45" t="s">
        <v>3983</v>
      </c>
      <c r="G237" s="45" t="s">
        <v>3981</v>
      </c>
    </row>
    <row r="238">
      <c r="A238" s="45" t="s">
        <v>360</v>
      </c>
      <c r="B238" s="45" t="s">
        <v>2194</v>
      </c>
      <c r="C238" s="45">
        <v>34.0</v>
      </c>
      <c r="D238" s="45">
        <v>8041.0</v>
      </c>
      <c r="E238" s="45" t="s">
        <v>3982</v>
      </c>
      <c r="F238" s="45" t="s">
        <v>3983</v>
      </c>
      <c r="G238" s="45" t="s">
        <v>3981</v>
      </c>
    </row>
    <row r="239">
      <c r="A239" s="45" t="s">
        <v>361</v>
      </c>
      <c r="B239" s="45" t="s">
        <v>2194</v>
      </c>
      <c r="C239" s="45">
        <v>34.0</v>
      </c>
      <c r="D239" s="45">
        <v>8043.0</v>
      </c>
      <c r="E239" s="45" t="s">
        <v>3982</v>
      </c>
      <c r="F239" s="45" t="s">
        <v>3983</v>
      </c>
      <c r="G239" s="45" t="s">
        <v>3981</v>
      </c>
    </row>
    <row r="240">
      <c r="A240" s="45" t="s">
        <v>362</v>
      </c>
      <c r="B240" s="45" t="s">
        <v>2194</v>
      </c>
      <c r="C240" s="45">
        <v>33.0</v>
      </c>
      <c r="D240" s="45">
        <v>8045.0</v>
      </c>
      <c r="E240" s="45" t="s">
        <v>3982</v>
      </c>
      <c r="F240" s="45" t="s">
        <v>3983</v>
      </c>
      <c r="G240" s="45" t="s">
        <v>3981</v>
      </c>
    </row>
    <row r="241">
      <c r="A241" s="45" t="s">
        <v>363</v>
      </c>
      <c r="B241" s="45" t="s">
        <v>2194</v>
      </c>
      <c r="C241" s="45">
        <v>33.0</v>
      </c>
      <c r="D241" s="45">
        <v>8047.0</v>
      </c>
      <c r="E241" s="45" t="s">
        <v>3982</v>
      </c>
      <c r="F241" s="45" t="s">
        <v>3983</v>
      </c>
      <c r="G241" s="45" t="s">
        <v>3981</v>
      </c>
    </row>
    <row r="242">
      <c r="A242" s="45" t="s">
        <v>364</v>
      </c>
      <c r="B242" s="45" t="s">
        <v>2194</v>
      </c>
      <c r="C242" s="45">
        <v>33.0</v>
      </c>
      <c r="D242" s="45">
        <v>8049.0</v>
      </c>
      <c r="E242" s="45" t="s">
        <v>3982</v>
      </c>
      <c r="F242" s="45" t="s">
        <v>3983</v>
      </c>
      <c r="G242" s="45" t="s">
        <v>3980</v>
      </c>
    </row>
    <row r="243">
      <c r="A243" s="45" t="s">
        <v>365</v>
      </c>
      <c r="B243" s="45" t="s">
        <v>2194</v>
      </c>
      <c r="C243" s="45">
        <v>34.0</v>
      </c>
      <c r="D243" s="45">
        <v>8051.0</v>
      </c>
      <c r="E243" s="45" t="s">
        <v>3982</v>
      </c>
      <c r="F243" s="45" t="s">
        <v>3983</v>
      </c>
      <c r="G243" s="45" t="s">
        <v>3980</v>
      </c>
    </row>
    <row r="244">
      <c r="A244" s="45" t="s">
        <v>366</v>
      </c>
      <c r="B244" s="45" t="s">
        <v>2194</v>
      </c>
      <c r="C244" s="45">
        <v>34.0</v>
      </c>
      <c r="D244" s="45">
        <v>8053.0</v>
      </c>
      <c r="E244" s="45" t="s">
        <v>3982</v>
      </c>
      <c r="F244" s="45" t="s">
        <v>3983</v>
      </c>
      <c r="G244" s="45" t="s">
        <v>3980</v>
      </c>
    </row>
    <row r="245">
      <c r="A245" s="45" t="s">
        <v>367</v>
      </c>
      <c r="B245" s="45" t="s">
        <v>2194</v>
      </c>
      <c r="C245" s="45">
        <v>34.0</v>
      </c>
      <c r="D245" s="45">
        <v>8055.0</v>
      </c>
      <c r="E245" s="45" t="s">
        <v>3982</v>
      </c>
      <c r="F245" s="45" t="s">
        <v>3983</v>
      </c>
      <c r="G245" s="45" t="s">
        <v>3981</v>
      </c>
    </row>
    <row r="246">
      <c r="A246" s="45" t="s">
        <v>138</v>
      </c>
      <c r="B246" s="45" t="s">
        <v>2194</v>
      </c>
      <c r="C246" s="45">
        <v>33.0</v>
      </c>
      <c r="D246" s="45">
        <v>8057.0</v>
      </c>
      <c r="E246" s="45" t="s">
        <v>3982</v>
      </c>
      <c r="F246" s="45" t="s">
        <v>3983</v>
      </c>
      <c r="G246" s="45" t="s">
        <v>3983</v>
      </c>
    </row>
    <row r="247">
      <c r="A247" s="45" t="s">
        <v>139</v>
      </c>
      <c r="B247" s="45" t="s">
        <v>2194</v>
      </c>
      <c r="C247" s="45">
        <v>33.0</v>
      </c>
      <c r="D247" s="45">
        <v>8059.0</v>
      </c>
      <c r="E247" s="45" t="s">
        <v>3982</v>
      </c>
      <c r="F247" s="45" t="s">
        <v>3983</v>
      </c>
      <c r="G247" s="45" t="s">
        <v>3983</v>
      </c>
    </row>
    <row r="248">
      <c r="A248" s="45" t="s">
        <v>368</v>
      </c>
      <c r="B248" s="45" t="s">
        <v>2194</v>
      </c>
      <c r="C248" s="45">
        <v>34.0</v>
      </c>
      <c r="D248" s="45">
        <v>8061.0</v>
      </c>
      <c r="E248" s="45" t="s">
        <v>3982</v>
      </c>
      <c r="F248" s="45" t="s">
        <v>3983</v>
      </c>
      <c r="G248" s="45" t="s">
        <v>3983</v>
      </c>
    </row>
    <row r="249">
      <c r="A249" s="45" t="s">
        <v>369</v>
      </c>
      <c r="B249" s="45" t="s">
        <v>2194</v>
      </c>
      <c r="C249" s="45">
        <v>34.0</v>
      </c>
      <c r="D249" s="45">
        <v>8063.0</v>
      </c>
      <c r="E249" s="45" t="s">
        <v>3982</v>
      </c>
      <c r="F249" s="45" t="s">
        <v>3983</v>
      </c>
      <c r="G249" s="45" t="s">
        <v>3983</v>
      </c>
    </row>
    <row r="250">
      <c r="A250" s="45" t="s">
        <v>298</v>
      </c>
      <c r="B250" s="45" t="s">
        <v>2194</v>
      </c>
      <c r="C250" s="45">
        <v>33.0</v>
      </c>
      <c r="D250" s="45">
        <v>8065.0</v>
      </c>
      <c r="E250" s="45" t="s">
        <v>3982</v>
      </c>
      <c r="F250" s="45" t="s">
        <v>3983</v>
      </c>
      <c r="G250" s="45" t="s">
        <v>3983</v>
      </c>
    </row>
    <row r="251">
      <c r="A251" s="45" t="s">
        <v>370</v>
      </c>
      <c r="B251" s="45" t="s">
        <v>2194</v>
      </c>
      <c r="C251" s="45">
        <v>34.0</v>
      </c>
      <c r="D251" s="45">
        <v>8067.0</v>
      </c>
      <c r="E251" s="45" t="s">
        <v>3982</v>
      </c>
      <c r="F251" s="45" t="s">
        <v>3983</v>
      </c>
      <c r="G251" s="45" t="s">
        <v>3983</v>
      </c>
    </row>
    <row r="252">
      <c r="A252" s="45" t="s">
        <v>371</v>
      </c>
      <c r="B252" s="45" t="s">
        <v>2194</v>
      </c>
      <c r="C252" s="45">
        <v>33.0</v>
      </c>
      <c r="D252" s="45">
        <v>8069.0</v>
      </c>
      <c r="E252" s="45" t="s">
        <v>3982</v>
      </c>
      <c r="F252" s="45" t="s">
        <v>3983</v>
      </c>
      <c r="G252" s="45" t="s">
        <v>3983</v>
      </c>
    </row>
    <row r="253">
      <c r="A253" s="45" t="s">
        <v>372</v>
      </c>
      <c r="B253" s="45" t="s">
        <v>2194</v>
      </c>
      <c r="C253" s="45">
        <v>34.0</v>
      </c>
      <c r="D253" s="45">
        <v>8071.0</v>
      </c>
      <c r="E253" s="45" t="s">
        <v>3982</v>
      </c>
      <c r="F253" s="45" t="s">
        <v>3983</v>
      </c>
      <c r="G253" s="45" t="s">
        <v>3983</v>
      </c>
    </row>
    <row r="254">
      <c r="A254" s="45" t="s">
        <v>250</v>
      </c>
      <c r="B254" s="45" t="s">
        <v>2194</v>
      </c>
      <c r="C254" s="45">
        <v>34.0</v>
      </c>
      <c r="D254" s="45">
        <v>8073.0</v>
      </c>
      <c r="E254" s="45" t="s">
        <v>3982</v>
      </c>
      <c r="F254" s="45" t="s">
        <v>3983</v>
      </c>
      <c r="G254" s="45" t="s">
        <v>3983</v>
      </c>
    </row>
    <row r="255">
      <c r="A255" s="45" t="s">
        <v>252</v>
      </c>
      <c r="B255" s="45" t="s">
        <v>2194</v>
      </c>
      <c r="C255" s="45">
        <v>33.0</v>
      </c>
      <c r="D255" s="45">
        <v>8075.0</v>
      </c>
      <c r="E255" s="45" t="s">
        <v>3982</v>
      </c>
      <c r="F255" s="45" t="s">
        <v>3983</v>
      </c>
      <c r="G255" s="45" t="s">
        <v>3983</v>
      </c>
    </row>
    <row r="256">
      <c r="A256" s="45" t="s">
        <v>373</v>
      </c>
      <c r="B256" s="45" t="s">
        <v>2194</v>
      </c>
      <c r="C256" s="45">
        <v>33.0</v>
      </c>
      <c r="D256" s="45">
        <v>8077.0</v>
      </c>
      <c r="E256" s="45" t="s">
        <v>3982</v>
      </c>
      <c r="F256" s="45" t="s">
        <v>3983</v>
      </c>
      <c r="G256" s="45" t="s">
        <v>3983</v>
      </c>
    </row>
    <row r="257">
      <c r="A257" s="45" t="s">
        <v>374</v>
      </c>
      <c r="B257" s="45" t="s">
        <v>2194</v>
      </c>
      <c r="C257" s="45">
        <v>34.0</v>
      </c>
      <c r="D257" s="45">
        <v>8079.0</v>
      </c>
      <c r="E257" s="45" t="s">
        <v>3982</v>
      </c>
      <c r="F257" s="45" t="s">
        <v>3983</v>
      </c>
      <c r="G257" s="45" t="s">
        <v>3983</v>
      </c>
    </row>
    <row r="258">
      <c r="A258" s="45" t="s">
        <v>375</v>
      </c>
      <c r="B258" s="45" t="s">
        <v>2194</v>
      </c>
      <c r="C258" s="45">
        <v>33.0</v>
      </c>
      <c r="D258" s="45">
        <v>8081.0</v>
      </c>
      <c r="E258" s="45" t="s">
        <v>3982</v>
      </c>
      <c r="F258" s="45" t="s">
        <v>3983</v>
      </c>
      <c r="G258" s="45" t="s">
        <v>3983</v>
      </c>
    </row>
    <row r="259">
      <c r="A259" s="45" t="s">
        <v>376</v>
      </c>
      <c r="B259" s="45" t="s">
        <v>2194</v>
      </c>
      <c r="C259" s="45">
        <v>34.0</v>
      </c>
      <c r="D259" s="45">
        <v>8083.0</v>
      </c>
      <c r="E259" s="45" t="s">
        <v>3982</v>
      </c>
      <c r="F259" s="45" t="s">
        <v>3983</v>
      </c>
      <c r="G259" s="45" t="s">
        <v>3983</v>
      </c>
    </row>
    <row r="260">
      <c r="A260" s="45" t="s">
        <v>377</v>
      </c>
      <c r="B260" s="45" t="s">
        <v>2194</v>
      </c>
      <c r="C260" s="45">
        <v>34.0</v>
      </c>
      <c r="D260" s="45">
        <v>8085.0</v>
      </c>
      <c r="E260" s="45" t="s">
        <v>3982</v>
      </c>
      <c r="F260" s="45" t="s">
        <v>3983</v>
      </c>
      <c r="G260" s="45" t="s">
        <v>3983</v>
      </c>
    </row>
    <row r="261">
      <c r="A261" s="45" t="s">
        <v>154</v>
      </c>
      <c r="B261" s="45" t="s">
        <v>2194</v>
      </c>
      <c r="C261" s="45">
        <v>33.0</v>
      </c>
      <c r="D261" s="45">
        <v>8087.0</v>
      </c>
      <c r="E261" s="45" t="s">
        <v>3982</v>
      </c>
      <c r="F261" s="45" t="s">
        <v>3983</v>
      </c>
      <c r="G261" s="45" t="s">
        <v>3983</v>
      </c>
    </row>
    <row r="262">
      <c r="A262" s="45" t="s">
        <v>378</v>
      </c>
      <c r="B262" s="45" t="s">
        <v>2194</v>
      </c>
      <c r="C262" s="45">
        <v>34.0</v>
      </c>
      <c r="D262" s="45">
        <v>8089.0</v>
      </c>
      <c r="E262" s="45" t="s">
        <v>3982</v>
      </c>
      <c r="F262" s="45" t="s">
        <v>3983</v>
      </c>
      <c r="G262" s="45" t="s">
        <v>3983</v>
      </c>
    </row>
    <row r="263">
      <c r="A263" s="45" t="s">
        <v>379</v>
      </c>
      <c r="B263" s="45" t="s">
        <v>2194</v>
      </c>
      <c r="C263" s="45">
        <v>34.0</v>
      </c>
      <c r="D263" s="45">
        <v>8091.0</v>
      </c>
      <c r="E263" s="45" t="s">
        <v>3982</v>
      </c>
      <c r="F263" s="45" t="s">
        <v>3983</v>
      </c>
      <c r="G263" s="45" t="s">
        <v>3983</v>
      </c>
    </row>
    <row r="264">
      <c r="A264" s="45" t="s">
        <v>380</v>
      </c>
      <c r="B264" s="45" t="s">
        <v>2194</v>
      </c>
      <c r="C264" s="45">
        <v>33.0</v>
      </c>
      <c r="D264" s="45">
        <v>8093.0</v>
      </c>
      <c r="E264" s="45" t="s">
        <v>3982</v>
      </c>
      <c r="F264" s="45" t="s">
        <v>3983</v>
      </c>
      <c r="G264" s="45" t="s">
        <v>3983</v>
      </c>
    </row>
    <row r="265">
      <c r="A265" s="45" t="s">
        <v>259</v>
      </c>
      <c r="B265" s="45" t="s">
        <v>2194</v>
      </c>
      <c r="C265" s="45">
        <v>33.0</v>
      </c>
      <c r="D265" s="45">
        <v>8095.0</v>
      </c>
      <c r="E265" s="45" t="s">
        <v>3982</v>
      </c>
      <c r="F265" s="45" t="s">
        <v>3983</v>
      </c>
      <c r="G265" s="45" t="s">
        <v>3983</v>
      </c>
    </row>
    <row r="266">
      <c r="A266" s="45" t="s">
        <v>381</v>
      </c>
      <c r="B266" s="45" t="s">
        <v>2194</v>
      </c>
      <c r="C266" s="45">
        <v>33.0</v>
      </c>
      <c r="D266" s="45">
        <v>8097.0</v>
      </c>
      <c r="E266" s="45" t="s">
        <v>3982</v>
      </c>
      <c r="F266" s="45" t="s">
        <v>3983</v>
      </c>
      <c r="G266" s="45" t="s">
        <v>3983</v>
      </c>
    </row>
    <row r="267">
      <c r="A267" s="45" t="s">
        <v>382</v>
      </c>
      <c r="B267" s="45" t="s">
        <v>2194</v>
      </c>
      <c r="C267" s="45">
        <v>34.0</v>
      </c>
      <c r="D267" s="45">
        <v>8099.0</v>
      </c>
      <c r="E267" s="45" t="s">
        <v>3982</v>
      </c>
      <c r="F267" s="45" t="s">
        <v>3983</v>
      </c>
      <c r="G267" s="45" t="s">
        <v>3983</v>
      </c>
    </row>
    <row r="268">
      <c r="A268" s="45" t="s">
        <v>383</v>
      </c>
      <c r="B268" s="45" t="s">
        <v>2194</v>
      </c>
      <c r="C268" s="45">
        <v>34.0</v>
      </c>
      <c r="D268" s="45">
        <v>8101.0</v>
      </c>
      <c r="E268" s="45" t="s">
        <v>3982</v>
      </c>
      <c r="F268" s="45" t="s">
        <v>3983</v>
      </c>
      <c r="G268" s="45" t="s">
        <v>3983</v>
      </c>
    </row>
    <row r="269">
      <c r="A269" s="45" t="s">
        <v>384</v>
      </c>
      <c r="B269" s="45" t="s">
        <v>2194</v>
      </c>
      <c r="C269" s="45">
        <v>33.0</v>
      </c>
      <c r="D269" s="45">
        <v>8103.0</v>
      </c>
      <c r="E269" s="45" t="s">
        <v>3982</v>
      </c>
      <c r="F269" s="45" t="s">
        <v>3983</v>
      </c>
      <c r="G269" s="45" t="s">
        <v>3983</v>
      </c>
    </row>
    <row r="270">
      <c r="A270" s="45" t="s">
        <v>385</v>
      </c>
      <c r="B270" s="45" t="s">
        <v>2194</v>
      </c>
      <c r="C270" s="45">
        <v>34.0</v>
      </c>
      <c r="D270" s="45">
        <v>8105.0</v>
      </c>
      <c r="E270" s="45" t="s">
        <v>3982</v>
      </c>
      <c r="F270" s="45" t="s">
        <v>3983</v>
      </c>
      <c r="G270" s="45" t="s">
        <v>3983</v>
      </c>
    </row>
    <row r="271">
      <c r="A271" s="45" t="s">
        <v>386</v>
      </c>
      <c r="B271" s="45" t="s">
        <v>2194</v>
      </c>
      <c r="C271" s="45">
        <v>33.0</v>
      </c>
      <c r="D271" s="45">
        <v>8107.0</v>
      </c>
      <c r="E271" s="45" t="s">
        <v>3982</v>
      </c>
      <c r="F271" s="45" t="s">
        <v>3983</v>
      </c>
      <c r="G271" s="45" t="s">
        <v>3983</v>
      </c>
    </row>
    <row r="272">
      <c r="A272" s="45" t="s">
        <v>387</v>
      </c>
      <c r="B272" s="45" t="s">
        <v>2194</v>
      </c>
      <c r="C272" s="45">
        <v>34.0</v>
      </c>
      <c r="D272" s="45">
        <v>8109.0</v>
      </c>
      <c r="E272" s="45" t="s">
        <v>3982</v>
      </c>
      <c r="F272" s="45" t="s">
        <v>3983</v>
      </c>
      <c r="G272" s="45" t="s">
        <v>3983</v>
      </c>
    </row>
    <row r="273">
      <c r="A273" s="45" t="s">
        <v>388</v>
      </c>
      <c r="B273" s="45" t="s">
        <v>2194</v>
      </c>
      <c r="C273" s="45">
        <v>34.0</v>
      </c>
      <c r="D273" s="45">
        <v>8111.0</v>
      </c>
      <c r="E273" s="45" t="s">
        <v>3982</v>
      </c>
      <c r="F273" s="45" t="s">
        <v>3983</v>
      </c>
      <c r="G273" s="45" t="s">
        <v>3983</v>
      </c>
    </row>
    <row r="274">
      <c r="A274" s="45" t="s">
        <v>389</v>
      </c>
      <c r="B274" s="45" t="s">
        <v>2194</v>
      </c>
      <c r="C274" s="45">
        <v>34.0</v>
      </c>
      <c r="D274" s="45">
        <v>8113.0</v>
      </c>
      <c r="E274" s="45" t="s">
        <v>3982</v>
      </c>
      <c r="F274" s="45" t="s">
        <v>3983</v>
      </c>
      <c r="G274" s="45" t="s">
        <v>3983</v>
      </c>
    </row>
    <row r="275">
      <c r="A275" s="45" t="s">
        <v>390</v>
      </c>
      <c r="B275" s="45" t="s">
        <v>2194</v>
      </c>
      <c r="C275" s="45">
        <v>33.0</v>
      </c>
      <c r="D275" s="45">
        <v>8115.0</v>
      </c>
      <c r="E275" s="45" t="s">
        <v>3982</v>
      </c>
      <c r="F275" s="45" t="s">
        <v>3983</v>
      </c>
      <c r="G275" s="45" t="s">
        <v>3983</v>
      </c>
    </row>
    <row r="276">
      <c r="A276" s="45" t="s">
        <v>391</v>
      </c>
      <c r="B276" s="45" t="s">
        <v>2194</v>
      </c>
      <c r="C276" s="45">
        <v>33.0</v>
      </c>
      <c r="D276" s="45">
        <v>8117.0</v>
      </c>
      <c r="E276" s="45" t="s">
        <v>3982</v>
      </c>
      <c r="F276" s="45" t="s">
        <v>3983</v>
      </c>
      <c r="G276" s="45" t="s">
        <v>3983</v>
      </c>
    </row>
    <row r="277">
      <c r="A277" s="45" t="s">
        <v>392</v>
      </c>
      <c r="B277" s="45" t="s">
        <v>2194</v>
      </c>
      <c r="C277" s="45">
        <v>33.0</v>
      </c>
      <c r="D277" s="45">
        <v>8119.0</v>
      </c>
      <c r="E277" s="45" t="s">
        <v>3982</v>
      </c>
      <c r="F277" s="45" t="s">
        <v>3983</v>
      </c>
      <c r="G277" s="45" t="s">
        <v>3983</v>
      </c>
    </row>
    <row r="278">
      <c r="A278" s="45" t="s">
        <v>167</v>
      </c>
      <c r="B278" s="45" t="s">
        <v>2194</v>
      </c>
      <c r="C278" s="45">
        <v>33.0</v>
      </c>
      <c r="D278" s="45">
        <v>8121.0</v>
      </c>
      <c r="E278" s="45" t="s">
        <v>3982</v>
      </c>
      <c r="F278" s="45" t="s">
        <v>3983</v>
      </c>
      <c r="G278" s="45" t="s">
        <v>3983</v>
      </c>
    </row>
    <row r="279">
      <c r="A279" s="45" t="s">
        <v>393</v>
      </c>
      <c r="B279" s="45" t="s">
        <v>2194</v>
      </c>
      <c r="C279" s="45">
        <v>33.0</v>
      </c>
      <c r="D279" s="45">
        <v>8123.0</v>
      </c>
      <c r="E279" s="45" t="s">
        <v>3982</v>
      </c>
      <c r="F279" s="45" t="s">
        <v>3983</v>
      </c>
      <c r="G279" s="45" t="s">
        <v>3983</v>
      </c>
    </row>
    <row r="280">
      <c r="A280" s="45" t="s">
        <v>219</v>
      </c>
      <c r="B280" s="45" t="s">
        <v>2194</v>
      </c>
      <c r="C280" s="45">
        <v>33.0</v>
      </c>
      <c r="D280" s="45">
        <v>8125.0</v>
      </c>
      <c r="E280" s="45" t="s">
        <v>3982</v>
      </c>
      <c r="F280" s="45" t="s">
        <v>3983</v>
      </c>
      <c r="G280" s="45" t="s">
        <v>3983</v>
      </c>
    </row>
    <row r="281">
      <c r="A281" s="45" t="s">
        <v>394</v>
      </c>
      <c r="B281" s="45" t="s">
        <v>2250</v>
      </c>
      <c r="C281" s="45">
        <v>132.0</v>
      </c>
      <c r="D281" s="45">
        <v>9001.0</v>
      </c>
      <c r="E281" s="45" t="s">
        <v>3984</v>
      </c>
      <c r="F281" s="45" t="s">
        <v>3985</v>
      </c>
      <c r="G281" s="45" t="s">
        <v>3983</v>
      </c>
    </row>
    <row r="282">
      <c r="A282" s="45" t="s">
        <v>397</v>
      </c>
      <c r="B282" s="45" t="s">
        <v>2250</v>
      </c>
      <c r="C282" s="45">
        <v>132.0</v>
      </c>
      <c r="D282" s="45">
        <v>9003.0</v>
      </c>
      <c r="E282" s="45" t="s">
        <v>3984</v>
      </c>
      <c r="F282" s="45" t="s">
        <v>3985</v>
      </c>
      <c r="G282" s="45" t="s">
        <v>3983</v>
      </c>
    </row>
    <row r="283">
      <c r="A283" s="45" t="s">
        <v>398</v>
      </c>
      <c r="B283" s="45" t="s">
        <v>2250</v>
      </c>
      <c r="C283" s="45">
        <v>132.0</v>
      </c>
      <c r="D283" s="45">
        <v>9005.0</v>
      </c>
      <c r="E283" s="45" t="s">
        <v>3984</v>
      </c>
      <c r="F283" s="45" t="s">
        <v>3985</v>
      </c>
      <c r="G283" s="45" t="s">
        <v>3983</v>
      </c>
    </row>
    <row r="284">
      <c r="A284" s="45" t="s">
        <v>399</v>
      </c>
      <c r="B284" s="45" t="s">
        <v>2250</v>
      </c>
      <c r="C284" s="45">
        <v>132.0</v>
      </c>
      <c r="D284" s="45">
        <v>9007.0</v>
      </c>
      <c r="E284" s="45" t="s">
        <v>3984</v>
      </c>
      <c r="F284" s="45" t="s">
        <v>3985</v>
      </c>
      <c r="G284" s="45" t="s">
        <v>3983</v>
      </c>
    </row>
    <row r="285">
      <c r="A285" s="45" t="s">
        <v>400</v>
      </c>
      <c r="B285" s="45" t="s">
        <v>2250</v>
      </c>
      <c r="C285" s="45">
        <v>132.0</v>
      </c>
      <c r="D285" s="45">
        <v>9009.0</v>
      </c>
      <c r="E285" s="45" t="s">
        <v>3984</v>
      </c>
      <c r="F285" s="45" t="s">
        <v>3985</v>
      </c>
      <c r="G285" s="45" t="s">
        <v>3983</v>
      </c>
    </row>
    <row r="286">
      <c r="A286" s="45" t="s">
        <v>401</v>
      </c>
      <c r="B286" s="45" t="s">
        <v>2250</v>
      </c>
      <c r="C286" s="45">
        <v>132.0</v>
      </c>
      <c r="D286" s="45">
        <v>9011.0</v>
      </c>
      <c r="E286" s="45" t="s">
        <v>3984</v>
      </c>
      <c r="F286" s="45" t="s">
        <v>3985</v>
      </c>
      <c r="G286" s="45" t="s">
        <v>3983</v>
      </c>
    </row>
    <row r="287">
      <c r="A287" s="45" t="s">
        <v>402</v>
      </c>
      <c r="B287" s="45" t="s">
        <v>2250</v>
      </c>
      <c r="C287" s="45">
        <v>132.0</v>
      </c>
      <c r="D287" s="45">
        <v>9013.0</v>
      </c>
      <c r="E287" s="45" t="s">
        <v>3984</v>
      </c>
      <c r="F287" s="45" t="s">
        <v>3985</v>
      </c>
      <c r="G287" s="45" t="s">
        <v>3983</v>
      </c>
    </row>
    <row r="288">
      <c r="A288" s="45" t="s">
        <v>403</v>
      </c>
      <c r="B288" s="45" t="s">
        <v>2250</v>
      </c>
      <c r="C288" s="45">
        <v>132.0</v>
      </c>
      <c r="D288" s="45">
        <v>9015.0</v>
      </c>
      <c r="E288" s="45" t="s">
        <v>3984</v>
      </c>
      <c r="F288" s="45" t="s">
        <v>3985</v>
      </c>
      <c r="G288" s="45" t="s">
        <v>3983</v>
      </c>
    </row>
    <row r="289">
      <c r="A289" s="45" t="s">
        <v>404</v>
      </c>
      <c r="B289" s="45" t="s">
        <v>2259</v>
      </c>
      <c r="C289" s="45">
        <v>125.0</v>
      </c>
      <c r="D289" s="45">
        <v>10001.0</v>
      </c>
      <c r="E289" s="45" t="s">
        <v>3986</v>
      </c>
      <c r="F289" s="45" t="s">
        <v>3987</v>
      </c>
      <c r="G289" s="45" t="s">
        <v>3983</v>
      </c>
    </row>
    <row r="290">
      <c r="A290" s="45" t="s">
        <v>406</v>
      </c>
      <c r="B290" s="45" t="s">
        <v>2259</v>
      </c>
      <c r="C290" s="45">
        <v>125.0</v>
      </c>
      <c r="D290" s="45">
        <v>10003.0</v>
      </c>
      <c r="E290" s="45" t="s">
        <v>3986</v>
      </c>
      <c r="F290" s="45" t="s">
        <v>3987</v>
      </c>
      <c r="G290" s="45" t="s">
        <v>3983</v>
      </c>
    </row>
    <row r="291">
      <c r="A291" s="45" t="s">
        <v>407</v>
      </c>
      <c r="B291" s="45" t="s">
        <v>2259</v>
      </c>
      <c r="C291" s="45">
        <v>125.0</v>
      </c>
      <c r="D291" s="45">
        <v>10005.0</v>
      </c>
      <c r="E291" s="45" t="s">
        <v>3986</v>
      </c>
      <c r="F291" s="45" t="s">
        <v>3987</v>
      </c>
      <c r="G291" s="45" t="s">
        <v>3983</v>
      </c>
    </row>
    <row r="292">
      <c r="A292" s="45" t="s">
        <v>408</v>
      </c>
      <c r="B292" s="45" t="s">
        <v>2263</v>
      </c>
      <c r="C292" s="45">
        <v>123.0</v>
      </c>
      <c r="D292" s="45">
        <v>11001.0</v>
      </c>
      <c r="E292" s="45" t="s">
        <v>3986</v>
      </c>
      <c r="F292" s="45" t="s">
        <v>3988</v>
      </c>
      <c r="G292" s="45" t="s">
        <v>3983</v>
      </c>
    </row>
    <row r="293">
      <c r="A293" s="45" t="s">
        <v>409</v>
      </c>
      <c r="B293" s="45" t="s">
        <v>2264</v>
      </c>
      <c r="C293" s="45">
        <v>101.0</v>
      </c>
      <c r="D293" s="45">
        <v>12001.0</v>
      </c>
      <c r="E293" s="45" t="s">
        <v>3989</v>
      </c>
      <c r="F293" s="45" t="s">
        <v>3989</v>
      </c>
      <c r="G293" s="45" t="s">
        <v>3983</v>
      </c>
    </row>
    <row r="294">
      <c r="A294" s="45" t="s">
        <v>411</v>
      </c>
      <c r="B294" s="45" t="s">
        <v>2264</v>
      </c>
      <c r="C294" s="45">
        <v>101.0</v>
      </c>
      <c r="D294" s="45">
        <v>12003.0</v>
      </c>
      <c r="E294" s="45" t="s">
        <v>3989</v>
      </c>
      <c r="F294" s="45" t="s">
        <v>3989</v>
      </c>
      <c r="G294" s="45" t="s">
        <v>3983</v>
      </c>
    </row>
    <row r="295">
      <c r="A295" s="45" t="s">
        <v>412</v>
      </c>
      <c r="B295" s="45" t="s">
        <v>2264</v>
      </c>
      <c r="C295" s="45">
        <v>91.0</v>
      </c>
      <c r="D295" s="45">
        <v>12005.0</v>
      </c>
      <c r="E295" s="45" t="s">
        <v>3969</v>
      </c>
      <c r="F295" s="45" t="s">
        <v>3969</v>
      </c>
      <c r="G295" s="45" t="s">
        <v>3983</v>
      </c>
    </row>
    <row r="296">
      <c r="A296" s="45" t="s">
        <v>413</v>
      </c>
      <c r="B296" s="45" t="s">
        <v>2264</v>
      </c>
      <c r="C296" s="45">
        <v>101.0</v>
      </c>
      <c r="D296" s="45">
        <v>12007.0</v>
      </c>
      <c r="E296" s="45" t="s">
        <v>3989</v>
      </c>
      <c r="F296" s="45" t="s">
        <v>3989</v>
      </c>
      <c r="G296" s="45" t="s">
        <v>3983</v>
      </c>
    </row>
    <row r="297">
      <c r="A297" s="45" t="s">
        <v>414</v>
      </c>
      <c r="B297" s="45" t="s">
        <v>2264</v>
      </c>
      <c r="C297" s="45">
        <v>102.0</v>
      </c>
      <c r="D297" s="45">
        <v>12009.0</v>
      </c>
      <c r="E297" s="45" t="s">
        <v>3989</v>
      </c>
      <c r="F297" s="45" t="s">
        <v>3989</v>
      </c>
      <c r="G297" s="45" t="s">
        <v>3983</v>
      </c>
    </row>
    <row r="298">
      <c r="A298" s="45" t="s">
        <v>415</v>
      </c>
      <c r="B298" s="45" t="s">
        <v>2264</v>
      </c>
      <c r="C298" s="45">
        <v>102.0</v>
      </c>
      <c r="D298" s="45">
        <v>12011.0</v>
      </c>
      <c r="E298" s="45" t="s">
        <v>3989</v>
      </c>
      <c r="F298" s="45" t="s">
        <v>3989</v>
      </c>
      <c r="G298" s="45" t="s">
        <v>3983</v>
      </c>
    </row>
    <row r="299">
      <c r="A299" s="45" t="s">
        <v>110</v>
      </c>
      <c r="B299" s="45" t="s">
        <v>2264</v>
      </c>
      <c r="C299" s="45">
        <v>91.0</v>
      </c>
      <c r="D299" s="45">
        <v>12013.0</v>
      </c>
      <c r="E299" s="45" t="s">
        <v>3969</v>
      </c>
      <c r="F299" s="45" t="s">
        <v>3969</v>
      </c>
      <c r="G299" s="45" t="s">
        <v>3983</v>
      </c>
    </row>
    <row r="300">
      <c r="A300" s="45" t="s">
        <v>417</v>
      </c>
      <c r="B300" s="45" t="s">
        <v>2264</v>
      </c>
      <c r="C300" s="45">
        <v>101.0</v>
      </c>
      <c r="D300" s="45">
        <v>12015.0</v>
      </c>
      <c r="E300" s="45" t="s">
        <v>3989</v>
      </c>
      <c r="F300" s="45" t="s">
        <v>3989</v>
      </c>
      <c r="G300" s="45" t="s">
        <v>3983</v>
      </c>
    </row>
    <row r="301">
      <c r="A301" s="45" t="s">
        <v>418</v>
      </c>
      <c r="B301" s="45" t="s">
        <v>2264</v>
      </c>
      <c r="C301" s="45">
        <v>101.0</v>
      </c>
      <c r="D301" s="45">
        <v>12017.0</v>
      </c>
      <c r="E301" s="45" t="s">
        <v>3989</v>
      </c>
      <c r="F301" s="45" t="s">
        <v>3989</v>
      </c>
      <c r="G301" s="45" t="s">
        <v>3983</v>
      </c>
    </row>
    <row r="302">
      <c r="A302" s="45" t="s">
        <v>116</v>
      </c>
      <c r="B302" s="45" t="s">
        <v>2264</v>
      </c>
      <c r="C302" s="45">
        <v>101.0</v>
      </c>
      <c r="D302" s="45">
        <v>12019.0</v>
      </c>
      <c r="E302" s="45" t="s">
        <v>3989</v>
      </c>
      <c r="F302" s="45" t="s">
        <v>3989</v>
      </c>
      <c r="G302" s="45" t="s">
        <v>3983</v>
      </c>
    </row>
    <row r="303">
      <c r="A303" s="45" t="s">
        <v>419</v>
      </c>
      <c r="B303" s="45" t="s">
        <v>2264</v>
      </c>
      <c r="C303" s="45">
        <v>101.0</v>
      </c>
      <c r="D303" s="45">
        <v>12021.0</v>
      </c>
      <c r="E303" s="45" t="s">
        <v>3989</v>
      </c>
      <c r="F303" s="45" t="s">
        <v>3989</v>
      </c>
      <c r="G303" s="45" t="s">
        <v>3983</v>
      </c>
    </row>
    <row r="304">
      <c r="A304" s="45" t="s">
        <v>231</v>
      </c>
      <c r="B304" s="45" t="s">
        <v>2264</v>
      </c>
      <c r="C304" s="45">
        <v>101.0</v>
      </c>
      <c r="D304" s="45">
        <v>12023.0</v>
      </c>
      <c r="E304" s="45" t="s">
        <v>3989</v>
      </c>
      <c r="F304" s="45" t="s">
        <v>3989</v>
      </c>
      <c r="G304" s="45" t="s">
        <v>3983</v>
      </c>
    </row>
    <row r="305">
      <c r="A305" s="45" t="s">
        <v>420</v>
      </c>
      <c r="B305" s="45" t="s">
        <v>2264</v>
      </c>
      <c r="C305" s="45">
        <v>101.0</v>
      </c>
      <c r="D305" s="45">
        <v>12027.0</v>
      </c>
      <c r="E305" s="45" t="s">
        <v>3989</v>
      </c>
      <c r="F305" s="45" t="s">
        <v>3989</v>
      </c>
      <c r="G305" s="45" t="s">
        <v>3983</v>
      </c>
    </row>
    <row r="306">
      <c r="A306" s="45" t="s">
        <v>421</v>
      </c>
      <c r="B306" s="45" t="s">
        <v>2264</v>
      </c>
      <c r="C306" s="45">
        <v>101.0</v>
      </c>
      <c r="D306" s="45">
        <v>12029.0</v>
      </c>
      <c r="E306" s="45" t="s">
        <v>3989</v>
      </c>
      <c r="F306" s="45" t="s">
        <v>3989</v>
      </c>
      <c r="G306" s="45" t="s">
        <v>3983</v>
      </c>
    </row>
    <row r="307">
      <c r="A307" s="45" t="s">
        <v>422</v>
      </c>
      <c r="B307" s="45" t="s">
        <v>2264</v>
      </c>
      <c r="C307" s="45">
        <v>101.0</v>
      </c>
      <c r="D307" s="45">
        <v>12031.0</v>
      </c>
      <c r="E307" s="45" t="s">
        <v>3989</v>
      </c>
      <c r="F307" s="45" t="s">
        <v>3989</v>
      </c>
      <c r="G307" s="45" t="s">
        <v>3983</v>
      </c>
    </row>
    <row r="308">
      <c r="A308" s="45" t="s">
        <v>129</v>
      </c>
      <c r="B308" s="45" t="s">
        <v>2264</v>
      </c>
      <c r="C308" s="45">
        <v>91.0</v>
      </c>
      <c r="D308" s="45">
        <v>12033.0</v>
      </c>
      <c r="E308" s="45" t="s">
        <v>3969</v>
      </c>
      <c r="F308" s="45" t="s">
        <v>3969</v>
      </c>
      <c r="G308" s="45" t="s">
        <v>3983</v>
      </c>
    </row>
    <row r="309">
      <c r="A309" s="45" t="s">
        <v>423</v>
      </c>
      <c r="B309" s="45" t="s">
        <v>2264</v>
      </c>
      <c r="C309" s="45">
        <v>101.0</v>
      </c>
      <c r="D309" s="45">
        <v>12035.0</v>
      </c>
      <c r="E309" s="45" t="s">
        <v>3989</v>
      </c>
      <c r="F309" s="45" t="s">
        <v>3989</v>
      </c>
      <c r="G309" s="45" t="s">
        <v>3983</v>
      </c>
    </row>
    <row r="310">
      <c r="A310" s="45" t="s">
        <v>132</v>
      </c>
      <c r="B310" s="45" t="s">
        <v>2264</v>
      </c>
      <c r="C310" s="45">
        <v>101.0</v>
      </c>
      <c r="D310" s="45">
        <v>12037.0</v>
      </c>
      <c r="E310" s="45" t="s">
        <v>3989</v>
      </c>
      <c r="F310" s="45" t="s">
        <v>3989</v>
      </c>
      <c r="G310" s="45" t="s">
        <v>3985</v>
      </c>
    </row>
    <row r="311">
      <c r="A311" s="45" t="s">
        <v>424</v>
      </c>
      <c r="B311" s="45" t="s">
        <v>2264</v>
      </c>
      <c r="C311" s="45">
        <v>101.0</v>
      </c>
      <c r="D311" s="45">
        <v>12039.0</v>
      </c>
      <c r="E311" s="45" t="s">
        <v>3989</v>
      </c>
      <c r="F311" s="45" t="s">
        <v>3989</v>
      </c>
      <c r="G311" s="45" t="s">
        <v>3985</v>
      </c>
    </row>
    <row r="312">
      <c r="A312" s="45" t="s">
        <v>425</v>
      </c>
      <c r="B312" s="45" t="s">
        <v>2264</v>
      </c>
      <c r="C312" s="45">
        <v>101.0</v>
      </c>
      <c r="D312" s="45">
        <v>12041.0</v>
      </c>
      <c r="E312" s="45" t="s">
        <v>3989</v>
      </c>
      <c r="F312" s="45" t="s">
        <v>3989</v>
      </c>
      <c r="G312" s="45" t="s">
        <v>3985</v>
      </c>
    </row>
    <row r="313">
      <c r="A313" s="45" t="s">
        <v>426</v>
      </c>
      <c r="B313" s="45" t="s">
        <v>2264</v>
      </c>
      <c r="C313" s="45">
        <v>101.0</v>
      </c>
      <c r="D313" s="45">
        <v>12043.0</v>
      </c>
      <c r="E313" s="45" t="s">
        <v>3989</v>
      </c>
      <c r="F313" s="45" t="s">
        <v>3989</v>
      </c>
      <c r="G313" s="45" t="s">
        <v>3985</v>
      </c>
    </row>
    <row r="314">
      <c r="A314" s="45" t="s">
        <v>427</v>
      </c>
      <c r="B314" s="45" t="s">
        <v>2264</v>
      </c>
      <c r="C314" s="45">
        <v>91.0</v>
      </c>
      <c r="D314" s="45">
        <v>12045.0</v>
      </c>
      <c r="E314" s="45" t="s">
        <v>3969</v>
      </c>
      <c r="F314" s="45" t="s">
        <v>3969</v>
      </c>
      <c r="G314" s="45" t="s">
        <v>3985</v>
      </c>
    </row>
    <row r="315">
      <c r="A315" s="45" t="s">
        <v>428</v>
      </c>
      <c r="B315" s="45" t="s">
        <v>2264</v>
      </c>
      <c r="C315" s="45">
        <v>101.0</v>
      </c>
      <c r="D315" s="45">
        <v>12047.0</v>
      </c>
      <c r="E315" s="45" t="s">
        <v>3989</v>
      </c>
      <c r="F315" s="45" t="s">
        <v>3989</v>
      </c>
      <c r="G315" s="45" t="s">
        <v>3985</v>
      </c>
    </row>
    <row r="316">
      <c r="A316" s="45" t="s">
        <v>429</v>
      </c>
      <c r="B316" s="45" t="s">
        <v>2264</v>
      </c>
      <c r="C316" s="45">
        <v>101.0</v>
      </c>
      <c r="D316" s="45">
        <v>12049.0</v>
      </c>
      <c r="E316" s="45" t="s">
        <v>3989</v>
      </c>
      <c r="F316" s="45" t="s">
        <v>3989</v>
      </c>
      <c r="G316" s="45" t="s">
        <v>3985</v>
      </c>
    </row>
    <row r="317">
      <c r="A317" s="45" t="s">
        <v>430</v>
      </c>
      <c r="B317" s="45" t="s">
        <v>2264</v>
      </c>
      <c r="C317" s="45">
        <v>101.0</v>
      </c>
      <c r="D317" s="45">
        <v>12051.0</v>
      </c>
      <c r="E317" s="45" t="s">
        <v>3989</v>
      </c>
      <c r="F317" s="45" t="s">
        <v>3989</v>
      </c>
      <c r="G317" s="45" t="s">
        <v>3985</v>
      </c>
    </row>
    <row r="318">
      <c r="A318" s="45" t="s">
        <v>431</v>
      </c>
      <c r="B318" s="45" t="s">
        <v>2264</v>
      </c>
      <c r="C318" s="45">
        <v>101.0</v>
      </c>
      <c r="D318" s="45">
        <v>12053.0</v>
      </c>
      <c r="E318" s="45" t="s">
        <v>3989</v>
      </c>
      <c r="F318" s="45" t="s">
        <v>3989</v>
      </c>
      <c r="G318" s="45" t="s">
        <v>3987</v>
      </c>
    </row>
    <row r="319">
      <c r="A319" s="45" t="s">
        <v>432</v>
      </c>
      <c r="B319" s="45" t="s">
        <v>2264</v>
      </c>
      <c r="C319" s="45">
        <v>101.0</v>
      </c>
      <c r="D319" s="45">
        <v>12055.0</v>
      </c>
      <c r="E319" s="45" t="s">
        <v>3989</v>
      </c>
      <c r="F319" s="45" t="s">
        <v>3989</v>
      </c>
      <c r="G319" s="45" t="s">
        <v>3987</v>
      </c>
    </row>
    <row r="320">
      <c r="A320" s="45" t="s">
        <v>433</v>
      </c>
      <c r="B320" s="45" t="s">
        <v>2264</v>
      </c>
      <c r="C320" s="45">
        <v>101.0</v>
      </c>
      <c r="D320" s="45">
        <v>12057.0</v>
      </c>
      <c r="E320" s="45" t="s">
        <v>3989</v>
      </c>
      <c r="F320" s="45" t="s">
        <v>3989</v>
      </c>
      <c r="G320" s="45" t="s">
        <v>3987</v>
      </c>
    </row>
    <row r="321">
      <c r="A321" s="45" t="s">
        <v>434</v>
      </c>
      <c r="B321" s="45" t="s">
        <v>2264</v>
      </c>
      <c r="C321" s="45">
        <v>91.0</v>
      </c>
      <c r="D321" s="45">
        <v>12059.0</v>
      </c>
      <c r="E321" s="45" t="s">
        <v>3969</v>
      </c>
      <c r="F321" s="45" t="s">
        <v>3969</v>
      </c>
      <c r="G321" s="45" t="s">
        <v>3987</v>
      </c>
    </row>
    <row r="322">
      <c r="A322" s="45" t="s">
        <v>435</v>
      </c>
      <c r="B322" s="45" t="s">
        <v>2264</v>
      </c>
      <c r="C322" s="45">
        <v>102.0</v>
      </c>
      <c r="D322" s="45">
        <v>12061.0</v>
      </c>
      <c r="E322" s="45" t="s">
        <v>3989</v>
      </c>
      <c r="F322" s="45" t="s">
        <v>3989</v>
      </c>
      <c r="G322" s="45" t="s">
        <v>3987</v>
      </c>
    </row>
    <row r="323">
      <c r="A323" s="45" t="s">
        <v>138</v>
      </c>
      <c r="B323" s="45" t="s">
        <v>2264</v>
      </c>
      <c r="C323" s="45">
        <v>91.0</v>
      </c>
      <c r="D323" s="45">
        <v>12063.0</v>
      </c>
      <c r="E323" s="45" t="s">
        <v>3969</v>
      </c>
      <c r="F323" s="45" t="s">
        <v>3969</v>
      </c>
      <c r="G323" s="45" t="s">
        <v>3987</v>
      </c>
    </row>
    <row r="324">
      <c r="A324" s="45" t="s">
        <v>139</v>
      </c>
      <c r="B324" s="45" t="s">
        <v>2264</v>
      </c>
      <c r="C324" s="45">
        <v>101.0</v>
      </c>
      <c r="D324" s="45">
        <v>12065.0</v>
      </c>
      <c r="E324" s="45" t="s">
        <v>3989</v>
      </c>
      <c r="F324" s="45" t="s">
        <v>3989</v>
      </c>
      <c r="G324" s="45" t="s">
        <v>3987</v>
      </c>
    </row>
    <row r="325">
      <c r="A325" s="45" t="s">
        <v>249</v>
      </c>
      <c r="B325" s="45" t="s">
        <v>2264</v>
      </c>
      <c r="C325" s="45">
        <v>101.0</v>
      </c>
      <c r="D325" s="45">
        <v>12067.0</v>
      </c>
      <c r="E325" s="45" t="s">
        <v>3989</v>
      </c>
      <c r="F325" s="45" t="s">
        <v>3989</v>
      </c>
      <c r="G325" s="45" t="s">
        <v>3987</v>
      </c>
    </row>
    <row r="326">
      <c r="A326" s="45" t="s">
        <v>298</v>
      </c>
      <c r="B326" s="45" t="s">
        <v>2264</v>
      </c>
      <c r="C326" s="45">
        <v>101.0</v>
      </c>
      <c r="D326" s="45">
        <v>12069.0</v>
      </c>
      <c r="E326" s="45" t="s">
        <v>3989</v>
      </c>
      <c r="F326" s="45" t="s">
        <v>3989</v>
      </c>
      <c r="G326" s="45" t="s">
        <v>3987</v>
      </c>
    </row>
    <row r="327">
      <c r="A327" s="45" t="s">
        <v>143</v>
      </c>
      <c r="B327" s="45" t="s">
        <v>2264</v>
      </c>
      <c r="C327" s="45">
        <v>101.0</v>
      </c>
      <c r="D327" s="45">
        <v>12071.0</v>
      </c>
      <c r="E327" s="45" t="s">
        <v>3989</v>
      </c>
      <c r="F327" s="45" t="s">
        <v>3989</v>
      </c>
      <c r="G327" s="45" t="s">
        <v>3987</v>
      </c>
    </row>
    <row r="328">
      <c r="A328" s="45" t="s">
        <v>436</v>
      </c>
      <c r="B328" s="45" t="s">
        <v>2264</v>
      </c>
      <c r="C328" s="45">
        <v>101.0</v>
      </c>
      <c r="D328" s="45">
        <v>12073.0</v>
      </c>
      <c r="E328" s="45" t="s">
        <v>3989</v>
      </c>
      <c r="F328" s="45" t="s">
        <v>3989</v>
      </c>
      <c r="G328" s="45" t="s">
        <v>3987</v>
      </c>
    </row>
    <row r="329">
      <c r="A329" s="45" t="s">
        <v>437</v>
      </c>
      <c r="B329" s="45" t="s">
        <v>2264</v>
      </c>
      <c r="C329" s="45">
        <v>101.0</v>
      </c>
      <c r="D329" s="45">
        <v>12075.0</v>
      </c>
      <c r="E329" s="45" t="s">
        <v>3989</v>
      </c>
      <c r="F329" s="45" t="s">
        <v>3989</v>
      </c>
      <c r="G329" s="45" t="s">
        <v>3987</v>
      </c>
    </row>
    <row r="330">
      <c r="A330" s="45" t="s">
        <v>438</v>
      </c>
      <c r="B330" s="45" t="s">
        <v>2264</v>
      </c>
      <c r="C330" s="45">
        <v>101.0</v>
      </c>
      <c r="D330" s="45">
        <v>12077.0</v>
      </c>
      <c r="E330" s="45" t="s">
        <v>3989</v>
      </c>
      <c r="F330" s="45" t="s">
        <v>3989</v>
      </c>
      <c r="G330" s="45" t="s">
        <v>3987</v>
      </c>
    </row>
    <row r="331">
      <c r="A331" s="45" t="s">
        <v>147</v>
      </c>
      <c r="B331" s="45" t="s">
        <v>2264</v>
      </c>
      <c r="C331" s="45">
        <v>101.0</v>
      </c>
      <c r="D331" s="45">
        <v>12079.0</v>
      </c>
      <c r="E331" s="45" t="s">
        <v>3989</v>
      </c>
      <c r="F331" s="45" t="s">
        <v>3989</v>
      </c>
      <c r="G331" s="45" t="s">
        <v>3987</v>
      </c>
    </row>
    <row r="332">
      <c r="A332" s="45" t="s">
        <v>439</v>
      </c>
      <c r="B332" s="45" t="s">
        <v>2264</v>
      </c>
      <c r="C332" s="45">
        <v>101.0</v>
      </c>
      <c r="D332" s="45">
        <v>12081.0</v>
      </c>
      <c r="E332" s="45" t="s">
        <v>3989</v>
      </c>
      <c r="F332" s="45" t="s">
        <v>3989</v>
      </c>
      <c r="G332" s="45" t="s">
        <v>3987</v>
      </c>
    </row>
    <row r="333">
      <c r="A333" s="45" t="s">
        <v>149</v>
      </c>
      <c r="B333" s="45" t="s">
        <v>2264</v>
      </c>
      <c r="C333" s="45">
        <v>101.0</v>
      </c>
      <c r="D333" s="45">
        <v>12083.0</v>
      </c>
      <c r="E333" s="45" t="s">
        <v>3989</v>
      </c>
      <c r="F333" s="45" t="s">
        <v>3989</v>
      </c>
      <c r="G333" s="45" t="s">
        <v>3987</v>
      </c>
    </row>
    <row r="334">
      <c r="A334" s="45" t="s">
        <v>440</v>
      </c>
      <c r="B334" s="45" t="s">
        <v>2264</v>
      </c>
      <c r="C334" s="45">
        <v>102.0</v>
      </c>
      <c r="D334" s="45">
        <v>12085.0</v>
      </c>
      <c r="E334" s="45" t="s">
        <v>3989</v>
      </c>
      <c r="F334" s="45" t="s">
        <v>3989</v>
      </c>
      <c r="G334" s="45" t="s">
        <v>3987</v>
      </c>
    </row>
    <row r="335">
      <c r="A335" s="45" t="s">
        <v>441</v>
      </c>
      <c r="B335" s="45" t="s">
        <v>2264</v>
      </c>
      <c r="C335" s="45">
        <v>102.0</v>
      </c>
      <c r="D335" s="45">
        <v>12086.0</v>
      </c>
      <c r="E335" s="45" t="s">
        <v>3989</v>
      </c>
      <c r="F335" s="45" t="s">
        <v>3989</v>
      </c>
      <c r="G335" s="45" t="s">
        <v>3987</v>
      </c>
    </row>
    <row r="336">
      <c r="A336" s="45" t="s">
        <v>152</v>
      </c>
      <c r="B336" s="45" t="s">
        <v>2264</v>
      </c>
      <c r="C336" s="45">
        <v>101.0</v>
      </c>
      <c r="D336" s="45">
        <v>12087.0</v>
      </c>
      <c r="E336" s="45" t="s">
        <v>3989</v>
      </c>
      <c r="F336" s="45" t="s">
        <v>3989</v>
      </c>
      <c r="G336" s="45" t="s">
        <v>3987</v>
      </c>
    </row>
    <row r="337">
      <c r="A337" s="45" t="s">
        <v>442</v>
      </c>
      <c r="B337" s="45" t="s">
        <v>2264</v>
      </c>
      <c r="C337" s="45">
        <v>101.0</v>
      </c>
      <c r="D337" s="45">
        <v>12089.0</v>
      </c>
      <c r="E337" s="45" t="s">
        <v>3989</v>
      </c>
      <c r="F337" s="45" t="s">
        <v>3989</v>
      </c>
      <c r="G337" s="45" t="s">
        <v>3987</v>
      </c>
    </row>
    <row r="338">
      <c r="A338" s="45" t="s">
        <v>443</v>
      </c>
      <c r="B338" s="45" t="s">
        <v>2264</v>
      </c>
      <c r="C338" s="45">
        <v>91.0</v>
      </c>
      <c r="D338" s="45">
        <v>12091.0</v>
      </c>
      <c r="E338" s="45" t="s">
        <v>3969</v>
      </c>
      <c r="F338" s="45" t="s">
        <v>3969</v>
      </c>
      <c r="G338" s="45" t="s">
        <v>3987</v>
      </c>
    </row>
    <row r="339">
      <c r="A339" s="45" t="s">
        <v>444</v>
      </c>
      <c r="B339" s="45" t="s">
        <v>2264</v>
      </c>
      <c r="C339" s="45">
        <v>101.0</v>
      </c>
      <c r="D339" s="45">
        <v>12093.0</v>
      </c>
      <c r="E339" s="45" t="s">
        <v>3989</v>
      </c>
      <c r="F339" s="45" t="s">
        <v>3989</v>
      </c>
      <c r="G339" s="45" t="s">
        <v>3987</v>
      </c>
    </row>
    <row r="340">
      <c r="A340" s="45" t="s">
        <v>310</v>
      </c>
      <c r="B340" s="45" t="s">
        <v>2264</v>
      </c>
      <c r="C340" s="45">
        <v>101.0</v>
      </c>
      <c r="D340" s="45">
        <v>12095.0</v>
      </c>
      <c r="E340" s="45" t="s">
        <v>3989</v>
      </c>
      <c r="F340" s="45" t="s">
        <v>3989</v>
      </c>
      <c r="G340" s="45" t="s">
        <v>3987</v>
      </c>
    </row>
    <row r="341">
      <c r="A341" s="45" t="s">
        <v>445</v>
      </c>
      <c r="B341" s="45" t="s">
        <v>2264</v>
      </c>
      <c r="C341" s="45">
        <v>101.0</v>
      </c>
      <c r="D341" s="45">
        <v>12097.0</v>
      </c>
      <c r="E341" s="45" t="s">
        <v>3989</v>
      </c>
      <c r="F341" s="45" t="s">
        <v>3989</v>
      </c>
      <c r="G341" s="45" t="s">
        <v>3987</v>
      </c>
    </row>
    <row r="342">
      <c r="A342" s="45" t="s">
        <v>446</v>
      </c>
      <c r="B342" s="45" t="s">
        <v>2264</v>
      </c>
      <c r="C342" s="45">
        <v>102.0</v>
      </c>
      <c r="D342" s="45">
        <v>12099.0</v>
      </c>
      <c r="E342" s="45" t="s">
        <v>3989</v>
      </c>
      <c r="F342" s="45" t="s">
        <v>3989</v>
      </c>
      <c r="G342" s="45" t="s">
        <v>3989</v>
      </c>
    </row>
    <row r="343">
      <c r="A343" s="45" t="s">
        <v>447</v>
      </c>
      <c r="B343" s="45" t="s">
        <v>2264</v>
      </c>
      <c r="C343" s="45">
        <v>101.0</v>
      </c>
      <c r="D343" s="45">
        <v>12101.0</v>
      </c>
      <c r="E343" s="45" t="s">
        <v>3989</v>
      </c>
      <c r="F343" s="45" t="s">
        <v>3989</v>
      </c>
      <c r="G343" s="45" t="s">
        <v>3989</v>
      </c>
    </row>
    <row r="344">
      <c r="A344" s="45" t="s">
        <v>448</v>
      </c>
      <c r="B344" s="45" t="s">
        <v>2264</v>
      </c>
      <c r="C344" s="45">
        <v>101.0</v>
      </c>
      <c r="D344" s="45">
        <v>12103.0</v>
      </c>
      <c r="E344" s="45" t="s">
        <v>3989</v>
      </c>
      <c r="F344" s="45" t="s">
        <v>3989</v>
      </c>
      <c r="G344" s="45" t="s">
        <v>3989</v>
      </c>
    </row>
    <row r="345">
      <c r="A345" s="45" t="s">
        <v>261</v>
      </c>
      <c r="B345" s="45" t="s">
        <v>2264</v>
      </c>
      <c r="C345" s="45">
        <v>101.0</v>
      </c>
      <c r="D345" s="45">
        <v>12105.0</v>
      </c>
      <c r="E345" s="45" t="s">
        <v>3989</v>
      </c>
      <c r="F345" s="45" t="s">
        <v>3989</v>
      </c>
      <c r="G345" s="45" t="s">
        <v>3989</v>
      </c>
    </row>
    <row r="346">
      <c r="A346" s="45" t="s">
        <v>449</v>
      </c>
      <c r="B346" s="45" t="s">
        <v>2264</v>
      </c>
      <c r="C346" s="45">
        <v>101.0</v>
      </c>
      <c r="D346" s="45">
        <v>12107.0</v>
      </c>
      <c r="E346" s="45" t="s">
        <v>3989</v>
      </c>
      <c r="F346" s="45" t="s">
        <v>3989</v>
      </c>
      <c r="G346" s="45" t="s">
        <v>3989</v>
      </c>
    </row>
    <row r="347">
      <c r="A347" s="45" t="s">
        <v>450</v>
      </c>
      <c r="B347" s="45" t="s">
        <v>2264</v>
      </c>
      <c r="C347" s="45">
        <v>101.0</v>
      </c>
      <c r="D347" s="45">
        <v>12109.0</v>
      </c>
      <c r="E347" s="45" t="s">
        <v>3989</v>
      </c>
      <c r="F347" s="45" t="s">
        <v>3989</v>
      </c>
      <c r="G347" s="45" t="s">
        <v>3989</v>
      </c>
    </row>
    <row r="348">
      <c r="A348" s="45" t="s">
        <v>451</v>
      </c>
      <c r="B348" s="45" t="s">
        <v>2264</v>
      </c>
      <c r="C348" s="45">
        <v>102.0</v>
      </c>
      <c r="D348" s="45">
        <v>12111.0</v>
      </c>
      <c r="E348" s="45" t="s">
        <v>3989</v>
      </c>
      <c r="F348" s="45" t="s">
        <v>3989</v>
      </c>
      <c r="G348" s="45" t="s">
        <v>3989</v>
      </c>
    </row>
    <row r="349">
      <c r="A349" s="45" t="s">
        <v>452</v>
      </c>
      <c r="B349" s="45" t="s">
        <v>2264</v>
      </c>
      <c r="C349" s="45">
        <v>91.0</v>
      </c>
      <c r="D349" s="45">
        <v>12113.0</v>
      </c>
      <c r="E349" s="45" t="s">
        <v>3969</v>
      </c>
      <c r="F349" s="45" t="s">
        <v>3969</v>
      </c>
      <c r="G349" s="45" t="s">
        <v>3989</v>
      </c>
    </row>
    <row r="350">
      <c r="A350" s="45" t="s">
        <v>453</v>
      </c>
      <c r="B350" s="45" t="s">
        <v>2264</v>
      </c>
      <c r="C350" s="45">
        <v>101.0</v>
      </c>
      <c r="D350" s="45">
        <v>12115.0</v>
      </c>
      <c r="E350" s="45" t="s">
        <v>3989</v>
      </c>
      <c r="F350" s="45" t="s">
        <v>3989</v>
      </c>
      <c r="G350" s="45" t="s">
        <v>3989</v>
      </c>
    </row>
    <row r="351">
      <c r="A351" s="45" t="s">
        <v>454</v>
      </c>
      <c r="B351" s="45" t="s">
        <v>2264</v>
      </c>
      <c r="C351" s="45">
        <v>101.0</v>
      </c>
      <c r="D351" s="45">
        <v>12117.0</v>
      </c>
      <c r="E351" s="45" t="s">
        <v>3989</v>
      </c>
      <c r="F351" s="45" t="s">
        <v>3989</v>
      </c>
      <c r="G351" s="45" t="s">
        <v>3989</v>
      </c>
    </row>
    <row r="352">
      <c r="A352" s="45" t="s">
        <v>162</v>
      </c>
      <c r="B352" s="45" t="s">
        <v>2264</v>
      </c>
      <c r="C352" s="45">
        <v>101.0</v>
      </c>
      <c r="D352" s="45">
        <v>12119.0</v>
      </c>
      <c r="E352" s="45" t="s">
        <v>3989</v>
      </c>
      <c r="F352" s="45" t="s">
        <v>3989</v>
      </c>
      <c r="G352" s="45" t="s">
        <v>3989</v>
      </c>
    </row>
    <row r="353">
      <c r="A353" s="45" t="s">
        <v>455</v>
      </c>
      <c r="B353" s="45" t="s">
        <v>2264</v>
      </c>
      <c r="C353" s="45">
        <v>101.0</v>
      </c>
      <c r="D353" s="45">
        <v>12121.0</v>
      </c>
      <c r="E353" s="45" t="s">
        <v>3989</v>
      </c>
      <c r="F353" s="45" t="s">
        <v>3989</v>
      </c>
      <c r="G353" s="45" t="s">
        <v>3989</v>
      </c>
    </row>
    <row r="354">
      <c r="A354" s="45" t="s">
        <v>456</v>
      </c>
      <c r="B354" s="45" t="s">
        <v>2264</v>
      </c>
      <c r="C354" s="45">
        <v>101.0</v>
      </c>
      <c r="D354" s="45">
        <v>12123.0</v>
      </c>
      <c r="E354" s="45" t="s">
        <v>3989</v>
      </c>
      <c r="F354" s="45" t="s">
        <v>3989</v>
      </c>
      <c r="G354" s="45" t="s">
        <v>3989</v>
      </c>
    </row>
    <row r="355">
      <c r="A355" s="45" t="s">
        <v>273</v>
      </c>
      <c r="B355" s="45" t="s">
        <v>2264</v>
      </c>
      <c r="C355" s="45">
        <v>101.0</v>
      </c>
      <c r="D355" s="45">
        <v>12125.0</v>
      </c>
      <c r="E355" s="45" t="s">
        <v>3989</v>
      </c>
      <c r="F355" s="45" t="s">
        <v>3989</v>
      </c>
      <c r="G355" s="45" t="s">
        <v>3989</v>
      </c>
    </row>
    <row r="356">
      <c r="A356" s="45" t="s">
        <v>457</v>
      </c>
      <c r="B356" s="45" t="s">
        <v>2264</v>
      </c>
      <c r="C356" s="45">
        <v>101.0</v>
      </c>
      <c r="D356" s="45">
        <v>12127.0</v>
      </c>
      <c r="E356" s="45" t="s">
        <v>3989</v>
      </c>
      <c r="F356" s="45" t="s">
        <v>3989</v>
      </c>
      <c r="G356" s="45" t="s">
        <v>3989</v>
      </c>
    </row>
    <row r="357">
      <c r="A357" s="45" t="s">
        <v>458</v>
      </c>
      <c r="B357" s="45" t="s">
        <v>2264</v>
      </c>
      <c r="C357" s="45">
        <v>101.0</v>
      </c>
      <c r="D357" s="45">
        <v>12129.0</v>
      </c>
      <c r="E357" s="45" t="s">
        <v>3989</v>
      </c>
      <c r="F357" s="45" t="s">
        <v>3989</v>
      </c>
      <c r="G357" s="45" t="s">
        <v>3989</v>
      </c>
    </row>
    <row r="358">
      <c r="A358" s="45" t="s">
        <v>459</v>
      </c>
      <c r="B358" s="45" t="s">
        <v>2264</v>
      </c>
      <c r="C358" s="45">
        <v>91.0</v>
      </c>
      <c r="D358" s="45">
        <v>12131.0</v>
      </c>
      <c r="E358" s="45" t="s">
        <v>3969</v>
      </c>
      <c r="F358" s="45" t="s">
        <v>3969</v>
      </c>
      <c r="G358" s="45" t="s">
        <v>3989</v>
      </c>
    </row>
    <row r="359">
      <c r="A359" s="45" t="s">
        <v>167</v>
      </c>
      <c r="B359" s="45" t="s">
        <v>2264</v>
      </c>
      <c r="C359" s="45">
        <v>91.0</v>
      </c>
      <c r="D359" s="45">
        <v>12133.0</v>
      </c>
      <c r="E359" s="45" t="s">
        <v>3969</v>
      </c>
      <c r="F359" s="45" t="s">
        <v>3969</v>
      </c>
      <c r="G359" s="45" t="s">
        <v>3989</v>
      </c>
    </row>
    <row r="360">
      <c r="A360" s="45" t="s">
        <v>460</v>
      </c>
      <c r="B360" s="45" t="s">
        <v>2314</v>
      </c>
      <c r="C360" s="45">
        <v>94.0</v>
      </c>
      <c r="D360" s="45">
        <v>13001.0</v>
      </c>
      <c r="E360" s="45" t="s">
        <v>3969</v>
      </c>
      <c r="F360" s="45" t="s">
        <v>3969</v>
      </c>
      <c r="G360" s="45" t="s">
        <v>3989</v>
      </c>
    </row>
    <row r="361">
      <c r="A361" s="45" t="s">
        <v>462</v>
      </c>
      <c r="B361" s="45" t="s">
        <v>2314</v>
      </c>
      <c r="C361" s="45">
        <v>94.0</v>
      </c>
      <c r="D361" s="45">
        <v>13003.0</v>
      </c>
      <c r="E361" s="45" t="s">
        <v>3969</v>
      </c>
      <c r="F361" s="45" t="s">
        <v>3969</v>
      </c>
      <c r="G361" s="45" t="s">
        <v>3989</v>
      </c>
    </row>
    <row r="362">
      <c r="A362" s="45" t="s">
        <v>463</v>
      </c>
      <c r="B362" s="45" t="s">
        <v>2314</v>
      </c>
      <c r="C362" s="45">
        <v>94.0</v>
      </c>
      <c r="D362" s="45">
        <v>13005.0</v>
      </c>
      <c r="E362" s="45" t="s">
        <v>3969</v>
      </c>
      <c r="F362" s="45" t="s">
        <v>3969</v>
      </c>
      <c r="G362" s="45" t="s">
        <v>3989</v>
      </c>
    </row>
    <row r="363">
      <c r="A363" s="45" t="s">
        <v>411</v>
      </c>
      <c r="B363" s="45" t="s">
        <v>2314</v>
      </c>
      <c r="C363" s="45">
        <v>94.0</v>
      </c>
      <c r="D363" s="45">
        <v>13007.0</v>
      </c>
      <c r="E363" s="45" t="s">
        <v>3969</v>
      </c>
      <c r="F363" s="45" t="s">
        <v>3969</v>
      </c>
      <c r="G363" s="45" t="s">
        <v>3989</v>
      </c>
    </row>
    <row r="364">
      <c r="A364" s="45" t="s">
        <v>103</v>
      </c>
      <c r="B364" s="45" t="s">
        <v>2314</v>
      </c>
      <c r="C364" s="45">
        <v>94.0</v>
      </c>
      <c r="D364" s="45">
        <v>13009.0</v>
      </c>
      <c r="E364" s="45" t="s">
        <v>3969</v>
      </c>
      <c r="F364" s="45" t="s">
        <v>3969</v>
      </c>
      <c r="G364" s="45" t="s">
        <v>3989</v>
      </c>
    </row>
    <row r="365">
      <c r="A365" s="45" t="s">
        <v>464</v>
      </c>
      <c r="B365" s="45" t="s">
        <v>2314</v>
      </c>
      <c r="C365" s="45">
        <v>94.0</v>
      </c>
      <c r="D365" s="45">
        <v>13011.0</v>
      </c>
      <c r="E365" s="45" t="s">
        <v>3969</v>
      </c>
      <c r="F365" s="45" t="s">
        <v>3969</v>
      </c>
      <c r="G365" s="45" t="s">
        <v>3989</v>
      </c>
    </row>
    <row r="366">
      <c r="A366" s="45" t="s">
        <v>465</v>
      </c>
      <c r="B366" s="45" t="s">
        <v>2314</v>
      </c>
      <c r="C366" s="45">
        <v>94.0</v>
      </c>
      <c r="D366" s="45">
        <v>13013.0</v>
      </c>
      <c r="E366" s="45" t="s">
        <v>3969</v>
      </c>
      <c r="F366" s="45" t="s">
        <v>3969</v>
      </c>
      <c r="G366" s="45" t="s">
        <v>3989</v>
      </c>
    </row>
    <row r="367">
      <c r="A367" s="45" t="s">
        <v>466</v>
      </c>
      <c r="B367" s="45" t="s">
        <v>2314</v>
      </c>
      <c r="C367" s="45">
        <v>94.0</v>
      </c>
      <c r="D367" s="45">
        <v>13015.0</v>
      </c>
      <c r="E367" s="45" t="s">
        <v>3969</v>
      </c>
      <c r="F367" s="45" t="s">
        <v>3969</v>
      </c>
      <c r="G367" s="45" t="s">
        <v>3989</v>
      </c>
    </row>
    <row r="368">
      <c r="A368" s="45" t="s">
        <v>467</v>
      </c>
      <c r="B368" s="45" t="s">
        <v>2314</v>
      </c>
      <c r="C368" s="45">
        <v>94.0</v>
      </c>
      <c r="D368" s="45">
        <v>13017.0</v>
      </c>
      <c r="E368" s="45" t="s">
        <v>3969</v>
      </c>
      <c r="F368" s="45" t="s">
        <v>3969</v>
      </c>
      <c r="G368" s="45" t="s">
        <v>3989</v>
      </c>
    </row>
    <row r="369">
      <c r="A369" s="45" t="s">
        <v>468</v>
      </c>
      <c r="B369" s="45" t="s">
        <v>2314</v>
      </c>
      <c r="C369" s="45">
        <v>94.0</v>
      </c>
      <c r="D369" s="45">
        <v>13019.0</v>
      </c>
      <c r="E369" s="45" t="s">
        <v>3969</v>
      </c>
      <c r="F369" s="45" t="s">
        <v>3969</v>
      </c>
      <c r="G369" s="45" t="s">
        <v>3989</v>
      </c>
    </row>
    <row r="370">
      <c r="A370" s="45" t="s">
        <v>106</v>
      </c>
      <c r="B370" s="45" t="s">
        <v>2314</v>
      </c>
      <c r="C370" s="45">
        <v>94.0</v>
      </c>
      <c r="D370" s="45">
        <v>13021.0</v>
      </c>
      <c r="E370" s="45" t="s">
        <v>3969</v>
      </c>
      <c r="F370" s="45" t="s">
        <v>3969</v>
      </c>
      <c r="G370" s="45" t="s">
        <v>3989</v>
      </c>
    </row>
    <row r="371">
      <c r="A371" s="45" t="s">
        <v>469</v>
      </c>
      <c r="B371" s="45" t="s">
        <v>2314</v>
      </c>
      <c r="C371" s="45">
        <v>94.0</v>
      </c>
      <c r="D371" s="45">
        <v>13023.0</v>
      </c>
      <c r="E371" s="45" t="s">
        <v>3969</v>
      </c>
      <c r="F371" s="45" t="s">
        <v>3969</v>
      </c>
      <c r="G371" s="45" t="s">
        <v>3989</v>
      </c>
    </row>
    <row r="372">
      <c r="A372" s="45" t="s">
        <v>470</v>
      </c>
      <c r="B372" s="45" t="s">
        <v>2314</v>
      </c>
      <c r="C372" s="45">
        <v>94.0</v>
      </c>
      <c r="D372" s="45">
        <v>13025.0</v>
      </c>
      <c r="E372" s="45" t="s">
        <v>3969</v>
      </c>
      <c r="F372" s="45" t="s">
        <v>3969</v>
      </c>
      <c r="G372" s="45" t="s">
        <v>3989</v>
      </c>
    </row>
    <row r="373">
      <c r="A373" s="45" t="s">
        <v>471</v>
      </c>
      <c r="B373" s="45" t="s">
        <v>2314</v>
      </c>
      <c r="C373" s="45">
        <v>94.0</v>
      </c>
      <c r="D373" s="45">
        <v>13027.0</v>
      </c>
      <c r="E373" s="45" t="s">
        <v>3989</v>
      </c>
      <c r="F373" s="45" t="s">
        <v>3969</v>
      </c>
      <c r="G373" s="45" t="s">
        <v>3989</v>
      </c>
    </row>
    <row r="374">
      <c r="A374" s="45" t="s">
        <v>472</v>
      </c>
      <c r="B374" s="45" t="s">
        <v>2314</v>
      </c>
      <c r="C374" s="45">
        <v>94.0</v>
      </c>
      <c r="D374" s="45">
        <v>13029.0</v>
      </c>
      <c r="E374" s="45" t="s">
        <v>3969</v>
      </c>
      <c r="F374" s="45" t="s">
        <v>3969</v>
      </c>
      <c r="G374" s="45" t="s">
        <v>3989</v>
      </c>
    </row>
    <row r="375">
      <c r="A375" s="45" t="s">
        <v>473</v>
      </c>
      <c r="B375" s="45" t="s">
        <v>2314</v>
      </c>
      <c r="C375" s="45">
        <v>94.0</v>
      </c>
      <c r="D375" s="45">
        <v>13031.0</v>
      </c>
      <c r="E375" s="45" t="s">
        <v>3969</v>
      </c>
      <c r="F375" s="45" t="s">
        <v>3969</v>
      </c>
      <c r="G375" s="45" t="s">
        <v>3989</v>
      </c>
    </row>
    <row r="376">
      <c r="A376" s="45" t="s">
        <v>474</v>
      </c>
      <c r="B376" s="45" t="s">
        <v>2314</v>
      </c>
      <c r="C376" s="45">
        <v>94.0</v>
      </c>
      <c r="D376" s="45">
        <v>13033.0</v>
      </c>
      <c r="E376" s="45" t="s">
        <v>3969</v>
      </c>
      <c r="F376" s="45" t="s">
        <v>3969</v>
      </c>
      <c r="G376" s="45" t="s">
        <v>3989</v>
      </c>
    </row>
    <row r="377">
      <c r="A377" s="45" t="s">
        <v>475</v>
      </c>
      <c r="B377" s="45" t="s">
        <v>2314</v>
      </c>
      <c r="C377" s="45">
        <v>94.0</v>
      </c>
      <c r="D377" s="45">
        <v>13035.0</v>
      </c>
      <c r="E377" s="45" t="s">
        <v>3969</v>
      </c>
      <c r="F377" s="45" t="s">
        <v>3969</v>
      </c>
      <c r="G377" s="45" t="s">
        <v>3989</v>
      </c>
    </row>
    <row r="378">
      <c r="A378" s="45" t="s">
        <v>110</v>
      </c>
      <c r="B378" s="45" t="s">
        <v>2314</v>
      </c>
      <c r="C378" s="45">
        <v>94.0</v>
      </c>
      <c r="D378" s="45">
        <v>13037.0</v>
      </c>
      <c r="E378" s="45" t="s">
        <v>3969</v>
      </c>
      <c r="F378" s="45" t="s">
        <v>3969</v>
      </c>
      <c r="G378" s="45" t="s">
        <v>3989</v>
      </c>
    </row>
    <row r="379">
      <c r="A379" s="45" t="s">
        <v>476</v>
      </c>
      <c r="B379" s="45" t="s">
        <v>2314</v>
      </c>
      <c r="C379" s="45">
        <v>94.0</v>
      </c>
      <c r="D379" s="45">
        <v>13039.0</v>
      </c>
      <c r="E379" s="45" t="s">
        <v>3969</v>
      </c>
      <c r="F379" s="45" t="s">
        <v>3969</v>
      </c>
      <c r="G379" s="45" t="s">
        <v>3989</v>
      </c>
    </row>
    <row r="380">
      <c r="A380" s="45" t="s">
        <v>477</v>
      </c>
      <c r="B380" s="45" t="s">
        <v>2314</v>
      </c>
      <c r="C380" s="45">
        <v>94.0</v>
      </c>
      <c r="D380" s="45">
        <v>13043.0</v>
      </c>
      <c r="E380" s="45" t="s">
        <v>3969</v>
      </c>
      <c r="F380" s="45" t="s">
        <v>3969</v>
      </c>
      <c r="G380" s="45" t="s">
        <v>3989</v>
      </c>
    </row>
    <row r="381">
      <c r="A381" s="45" t="s">
        <v>227</v>
      </c>
      <c r="B381" s="45" t="s">
        <v>2314</v>
      </c>
      <c r="C381" s="45">
        <v>94.0</v>
      </c>
      <c r="D381" s="45">
        <v>13045.0</v>
      </c>
      <c r="E381" s="45" t="s">
        <v>3969</v>
      </c>
      <c r="F381" s="45" t="s">
        <v>3969</v>
      </c>
      <c r="G381" s="45" t="s">
        <v>3989</v>
      </c>
    </row>
    <row r="382">
      <c r="A382" s="45" t="s">
        <v>478</v>
      </c>
      <c r="B382" s="45" t="s">
        <v>2314</v>
      </c>
      <c r="C382" s="45">
        <v>94.0</v>
      </c>
      <c r="D382" s="45">
        <v>13047.0</v>
      </c>
      <c r="E382" s="45" t="s">
        <v>3969</v>
      </c>
      <c r="F382" s="45" t="s">
        <v>3969</v>
      </c>
      <c r="G382" s="45" t="s">
        <v>3989</v>
      </c>
    </row>
    <row r="383">
      <c r="A383" s="45" t="s">
        <v>479</v>
      </c>
      <c r="B383" s="45" t="s">
        <v>2314</v>
      </c>
      <c r="C383" s="45">
        <v>94.0</v>
      </c>
      <c r="D383" s="45">
        <v>13049.0</v>
      </c>
      <c r="E383" s="45" t="s">
        <v>3969</v>
      </c>
      <c r="F383" s="45" t="s">
        <v>3969</v>
      </c>
      <c r="G383" s="45" t="s">
        <v>3989</v>
      </c>
    </row>
    <row r="384">
      <c r="A384" s="45" t="s">
        <v>480</v>
      </c>
      <c r="B384" s="45" t="s">
        <v>2314</v>
      </c>
      <c r="C384" s="45">
        <v>94.0</v>
      </c>
      <c r="D384" s="45">
        <v>13051.0</v>
      </c>
      <c r="E384" s="45" t="s">
        <v>3969</v>
      </c>
      <c r="F384" s="45" t="s">
        <v>3969</v>
      </c>
      <c r="G384" s="45" t="s">
        <v>3989</v>
      </c>
    </row>
    <row r="385">
      <c r="A385" s="45" t="s">
        <v>481</v>
      </c>
      <c r="B385" s="45" t="s">
        <v>2314</v>
      </c>
      <c r="C385" s="45">
        <v>94.0</v>
      </c>
      <c r="D385" s="45">
        <v>13053.0</v>
      </c>
      <c r="E385" s="45" t="s">
        <v>3969</v>
      </c>
      <c r="F385" s="45" t="s">
        <v>3969</v>
      </c>
      <c r="G385" s="45" t="s">
        <v>3989</v>
      </c>
    </row>
    <row r="386">
      <c r="A386" s="45" t="s">
        <v>482</v>
      </c>
      <c r="B386" s="45" t="s">
        <v>2314</v>
      </c>
      <c r="C386" s="45">
        <v>94.0</v>
      </c>
      <c r="D386" s="45">
        <v>13055.0</v>
      </c>
      <c r="E386" s="45" t="s">
        <v>3969</v>
      </c>
      <c r="F386" s="45" t="s">
        <v>3969</v>
      </c>
      <c r="G386" s="45" t="s">
        <v>3989</v>
      </c>
    </row>
    <row r="387">
      <c r="A387" s="45" t="s">
        <v>112</v>
      </c>
      <c r="B387" s="45" t="s">
        <v>2314</v>
      </c>
      <c r="C387" s="45">
        <v>94.0</v>
      </c>
      <c r="D387" s="45">
        <v>13057.0</v>
      </c>
      <c r="E387" s="45" t="s">
        <v>3969</v>
      </c>
      <c r="F387" s="45" t="s">
        <v>3969</v>
      </c>
      <c r="G387" s="45" t="s">
        <v>3989</v>
      </c>
    </row>
    <row r="388">
      <c r="A388" s="45" t="s">
        <v>115</v>
      </c>
      <c r="B388" s="45" t="s">
        <v>2314</v>
      </c>
      <c r="C388" s="45">
        <v>94.0</v>
      </c>
      <c r="D388" s="45">
        <v>13059.0</v>
      </c>
      <c r="E388" s="45" t="s">
        <v>3969</v>
      </c>
      <c r="F388" s="45" t="s">
        <v>3969</v>
      </c>
      <c r="G388" s="45" t="s">
        <v>3989</v>
      </c>
    </row>
    <row r="389">
      <c r="A389" s="45" t="s">
        <v>116</v>
      </c>
      <c r="B389" s="45" t="s">
        <v>2314</v>
      </c>
      <c r="C389" s="45">
        <v>94.0</v>
      </c>
      <c r="D389" s="45">
        <v>13061.0</v>
      </c>
      <c r="E389" s="45" t="s">
        <v>3969</v>
      </c>
      <c r="F389" s="45" t="s">
        <v>3969</v>
      </c>
      <c r="G389" s="45" t="s">
        <v>3989</v>
      </c>
    </row>
    <row r="390">
      <c r="A390" s="45" t="s">
        <v>483</v>
      </c>
      <c r="B390" s="45" t="s">
        <v>2314</v>
      </c>
      <c r="C390" s="45">
        <v>94.0</v>
      </c>
      <c r="D390" s="45">
        <v>13063.0</v>
      </c>
      <c r="E390" s="45" t="s">
        <v>3969</v>
      </c>
      <c r="F390" s="45" t="s">
        <v>3969</v>
      </c>
      <c r="G390" s="45" t="s">
        <v>3989</v>
      </c>
    </row>
    <row r="391">
      <c r="A391" s="45" t="s">
        <v>484</v>
      </c>
      <c r="B391" s="45" t="s">
        <v>2314</v>
      </c>
      <c r="C391" s="45">
        <v>94.0</v>
      </c>
      <c r="D391" s="45">
        <v>13065.0</v>
      </c>
      <c r="E391" s="45" t="s">
        <v>3989</v>
      </c>
      <c r="F391" s="45" t="s">
        <v>3969</v>
      </c>
      <c r="G391" s="45" t="s">
        <v>3989</v>
      </c>
    </row>
    <row r="392">
      <c r="A392" s="45" t="s">
        <v>485</v>
      </c>
      <c r="B392" s="45" t="s">
        <v>2314</v>
      </c>
      <c r="C392" s="45">
        <v>94.0</v>
      </c>
      <c r="D392" s="45">
        <v>13067.0</v>
      </c>
      <c r="E392" s="45" t="s">
        <v>3969</v>
      </c>
      <c r="F392" s="45" t="s">
        <v>3969</v>
      </c>
      <c r="G392" s="45" t="s">
        <v>3969</v>
      </c>
    </row>
    <row r="393">
      <c r="A393" s="45" t="s">
        <v>118</v>
      </c>
      <c r="B393" s="45" t="s">
        <v>2314</v>
      </c>
      <c r="C393" s="45">
        <v>94.0</v>
      </c>
      <c r="D393" s="45">
        <v>13069.0</v>
      </c>
      <c r="E393" s="45" t="s">
        <v>3969</v>
      </c>
      <c r="F393" s="45" t="s">
        <v>3969</v>
      </c>
      <c r="G393" s="45" t="s">
        <v>3969</v>
      </c>
    </row>
    <row r="394">
      <c r="A394" s="45" t="s">
        <v>486</v>
      </c>
      <c r="B394" s="45" t="s">
        <v>2314</v>
      </c>
      <c r="C394" s="45">
        <v>94.0</v>
      </c>
      <c r="D394" s="45">
        <v>13071.0</v>
      </c>
      <c r="E394" s="45" t="s">
        <v>3969</v>
      </c>
      <c r="F394" s="45" t="s">
        <v>3969</v>
      </c>
      <c r="G394" s="45" t="s">
        <v>3969</v>
      </c>
    </row>
    <row r="395">
      <c r="A395" s="45" t="s">
        <v>231</v>
      </c>
      <c r="B395" s="45" t="s">
        <v>2314</v>
      </c>
      <c r="C395" s="45">
        <v>94.0</v>
      </c>
      <c r="D395" s="45">
        <v>13073.0</v>
      </c>
      <c r="E395" s="45" t="s">
        <v>3969</v>
      </c>
      <c r="F395" s="45" t="s">
        <v>3969</v>
      </c>
      <c r="G395" s="45" t="s">
        <v>3969</v>
      </c>
    </row>
    <row r="396">
      <c r="A396" s="45" t="s">
        <v>487</v>
      </c>
      <c r="B396" s="45" t="s">
        <v>2314</v>
      </c>
      <c r="C396" s="45">
        <v>94.0</v>
      </c>
      <c r="D396" s="45">
        <v>13075.0</v>
      </c>
      <c r="E396" s="45" t="s">
        <v>3969</v>
      </c>
      <c r="F396" s="45" t="s">
        <v>3969</v>
      </c>
      <c r="G396" s="45" t="s">
        <v>3969</v>
      </c>
    </row>
    <row r="397">
      <c r="A397" s="45" t="s">
        <v>488</v>
      </c>
      <c r="B397" s="45" t="s">
        <v>2314</v>
      </c>
      <c r="C397" s="45">
        <v>94.0</v>
      </c>
      <c r="D397" s="45">
        <v>13077.0</v>
      </c>
      <c r="E397" s="45" t="s">
        <v>3969</v>
      </c>
      <c r="F397" s="45" t="s">
        <v>3969</v>
      </c>
      <c r="G397" s="45" t="s">
        <v>3969</v>
      </c>
    </row>
    <row r="398">
      <c r="A398" s="45" t="s">
        <v>234</v>
      </c>
      <c r="B398" s="45" t="s">
        <v>2314</v>
      </c>
      <c r="C398" s="45">
        <v>94.0</v>
      </c>
      <c r="D398" s="45">
        <v>13079.0</v>
      </c>
      <c r="E398" s="45" t="s">
        <v>3969</v>
      </c>
      <c r="F398" s="45" t="s">
        <v>3969</v>
      </c>
      <c r="G398" s="45" t="s">
        <v>3969</v>
      </c>
    </row>
    <row r="399">
      <c r="A399" s="45" t="s">
        <v>489</v>
      </c>
      <c r="B399" s="45" t="s">
        <v>2314</v>
      </c>
      <c r="C399" s="45">
        <v>94.0</v>
      </c>
      <c r="D399" s="45">
        <v>13081.0</v>
      </c>
      <c r="E399" s="45" t="s">
        <v>3969</v>
      </c>
      <c r="F399" s="45" t="s">
        <v>3969</v>
      </c>
      <c r="G399" s="45" t="s">
        <v>3969</v>
      </c>
    </row>
    <row r="400">
      <c r="A400" s="45" t="s">
        <v>490</v>
      </c>
      <c r="B400" s="45" t="s">
        <v>2314</v>
      </c>
      <c r="C400" s="45">
        <v>94.0</v>
      </c>
      <c r="D400" s="45">
        <v>13083.0</v>
      </c>
      <c r="E400" s="45" t="s">
        <v>3969</v>
      </c>
      <c r="F400" s="45" t="s">
        <v>3970</v>
      </c>
      <c r="G400" s="45" t="s">
        <v>3969</v>
      </c>
    </row>
    <row r="401">
      <c r="A401" s="45" t="s">
        <v>491</v>
      </c>
      <c r="B401" s="45" t="s">
        <v>2314</v>
      </c>
      <c r="C401" s="45">
        <v>94.0</v>
      </c>
      <c r="D401" s="45">
        <v>13085.0</v>
      </c>
      <c r="E401" s="45" t="s">
        <v>3969</v>
      </c>
      <c r="F401" s="45" t="s">
        <v>3969</v>
      </c>
      <c r="G401" s="45" t="s">
        <v>3969</v>
      </c>
    </row>
    <row r="402">
      <c r="A402" s="45" t="s">
        <v>492</v>
      </c>
      <c r="B402" s="45" t="s">
        <v>2314</v>
      </c>
      <c r="C402" s="45">
        <v>94.0</v>
      </c>
      <c r="D402" s="45">
        <v>13087.0</v>
      </c>
      <c r="E402" s="45" t="s">
        <v>3989</v>
      </c>
      <c r="F402" s="45" t="s">
        <v>3969</v>
      </c>
      <c r="G402" s="45" t="s">
        <v>3989</v>
      </c>
    </row>
    <row r="403">
      <c r="A403" s="45" t="s">
        <v>127</v>
      </c>
      <c r="B403" s="45" t="s">
        <v>2314</v>
      </c>
      <c r="C403" s="45">
        <v>94.0</v>
      </c>
      <c r="D403" s="45">
        <v>13089.0</v>
      </c>
      <c r="E403" s="45" t="s">
        <v>3969</v>
      </c>
      <c r="F403" s="45" t="s">
        <v>3969</v>
      </c>
      <c r="G403" s="45" t="s">
        <v>3989</v>
      </c>
    </row>
    <row r="404">
      <c r="A404" s="45" t="s">
        <v>493</v>
      </c>
      <c r="B404" s="45" t="s">
        <v>2314</v>
      </c>
      <c r="C404" s="45">
        <v>94.0</v>
      </c>
      <c r="D404" s="45">
        <v>13091.0</v>
      </c>
      <c r="E404" s="45" t="s">
        <v>3969</v>
      </c>
      <c r="F404" s="45" t="s">
        <v>3969</v>
      </c>
      <c r="G404" s="45" t="s">
        <v>3989</v>
      </c>
    </row>
    <row r="405">
      <c r="A405" s="45" t="s">
        <v>494</v>
      </c>
      <c r="B405" s="45" t="s">
        <v>2314</v>
      </c>
      <c r="C405" s="45">
        <v>94.0</v>
      </c>
      <c r="D405" s="45">
        <v>13093.0</v>
      </c>
      <c r="E405" s="45" t="s">
        <v>3969</v>
      </c>
      <c r="F405" s="45" t="s">
        <v>3969</v>
      </c>
      <c r="G405" s="45" t="s">
        <v>3989</v>
      </c>
    </row>
    <row r="406">
      <c r="A406" s="45" t="s">
        <v>495</v>
      </c>
      <c r="B406" s="45" t="s">
        <v>2314</v>
      </c>
      <c r="C406" s="45">
        <v>94.0</v>
      </c>
      <c r="D406" s="45">
        <v>13095.0</v>
      </c>
      <c r="E406" s="45" t="s">
        <v>3969</v>
      </c>
      <c r="F406" s="45" t="s">
        <v>3969</v>
      </c>
      <c r="G406" s="45" t="s">
        <v>3989</v>
      </c>
    </row>
    <row r="407">
      <c r="A407" s="45" t="s">
        <v>357</v>
      </c>
      <c r="B407" s="45" t="s">
        <v>2314</v>
      </c>
      <c r="C407" s="45">
        <v>94.0</v>
      </c>
      <c r="D407" s="45">
        <v>13097.0</v>
      </c>
      <c r="E407" s="45" t="s">
        <v>3969</v>
      </c>
      <c r="F407" s="45" t="s">
        <v>3969</v>
      </c>
      <c r="G407" s="45" t="s">
        <v>3989</v>
      </c>
    </row>
    <row r="408">
      <c r="A408" s="45" t="s">
        <v>496</v>
      </c>
      <c r="B408" s="45" t="s">
        <v>2314</v>
      </c>
      <c r="C408" s="45">
        <v>94.0</v>
      </c>
      <c r="D408" s="45">
        <v>13099.0</v>
      </c>
      <c r="E408" s="45" t="s">
        <v>3969</v>
      </c>
      <c r="F408" s="45" t="s">
        <v>3969</v>
      </c>
      <c r="G408" s="45" t="s">
        <v>3989</v>
      </c>
    </row>
    <row r="409">
      <c r="A409" s="45" t="s">
        <v>497</v>
      </c>
      <c r="B409" s="45" t="s">
        <v>2314</v>
      </c>
      <c r="C409" s="45">
        <v>94.0</v>
      </c>
      <c r="D409" s="45">
        <v>13101.0</v>
      </c>
      <c r="E409" s="45" t="s">
        <v>3989</v>
      </c>
      <c r="F409" s="45" t="s">
        <v>3969</v>
      </c>
      <c r="G409" s="45" t="s">
        <v>3969</v>
      </c>
    </row>
    <row r="410">
      <c r="A410" s="45" t="s">
        <v>498</v>
      </c>
      <c r="B410" s="45" t="s">
        <v>2314</v>
      </c>
      <c r="C410" s="45">
        <v>94.0</v>
      </c>
      <c r="D410" s="45">
        <v>13103.0</v>
      </c>
      <c r="E410" s="45" t="s">
        <v>3969</v>
      </c>
      <c r="F410" s="45" t="s">
        <v>3969</v>
      </c>
      <c r="G410" s="45" t="s">
        <v>3969</v>
      </c>
    </row>
    <row r="411">
      <c r="A411" s="45" t="s">
        <v>359</v>
      </c>
      <c r="B411" s="45" t="s">
        <v>2314</v>
      </c>
      <c r="C411" s="45">
        <v>94.0</v>
      </c>
      <c r="D411" s="45">
        <v>13105.0</v>
      </c>
      <c r="E411" s="45" t="s">
        <v>3969</v>
      </c>
      <c r="F411" s="45" t="s">
        <v>3969</v>
      </c>
      <c r="G411" s="45" t="s">
        <v>3969</v>
      </c>
    </row>
    <row r="412">
      <c r="A412" s="45" t="s">
        <v>499</v>
      </c>
      <c r="B412" s="45" t="s">
        <v>2314</v>
      </c>
      <c r="C412" s="45">
        <v>94.0</v>
      </c>
      <c r="D412" s="45">
        <v>13107.0</v>
      </c>
      <c r="E412" s="45" t="s">
        <v>3969</v>
      </c>
      <c r="F412" s="45" t="s">
        <v>3969</v>
      </c>
      <c r="G412" s="45" t="s">
        <v>3969</v>
      </c>
    </row>
    <row r="413">
      <c r="A413" s="45" t="s">
        <v>500</v>
      </c>
      <c r="B413" s="45" t="s">
        <v>2314</v>
      </c>
      <c r="C413" s="45">
        <v>94.0</v>
      </c>
      <c r="D413" s="45">
        <v>13109.0</v>
      </c>
      <c r="E413" s="45" t="s">
        <v>3969</v>
      </c>
      <c r="F413" s="45" t="s">
        <v>3969</v>
      </c>
      <c r="G413" s="45" t="s">
        <v>3969</v>
      </c>
    </row>
    <row r="414">
      <c r="A414" s="45" t="s">
        <v>501</v>
      </c>
      <c r="B414" s="45" t="s">
        <v>2314</v>
      </c>
      <c r="C414" s="45">
        <v>94.0</v>
      </c>
      <c r="D414" s="45">
        <v>13111.0</v>
      </c>
      <c r="E414" s="45" t="s">
        <v>3969</v>
      </c>
      <c r="F414" s="45" t="s">
        <v>3969</v>
      </c>
      <c r="G414" s="45" t="s">
        <v>3969</v>
      </c>
    </row>
    <row r="415">
      <c r="A415" s="45" t="s">
        <v>131</v>
      </c>
      <c r="B415" s="45" t="s">
        <v>2314</v>
      </c>
      <c r="C415" s="45">
        <v>94.0</v>
      </c>
      <c r="D415" s="45">
        <v>13113.0</v>
      </c>
      <c r="E415" s="45" t="s">
        <v>3969</v>
      </c>
      <c r="F415" s="45" t="s">
        <v>3969</v>
      </c>
      <c r="G415" s="45" t="s">
        <v>3969</v>
      </c>
    </row>
    <row r="416">
      <c r="A416" s="45" t="s">
        <v>502</v>
      </c>
      <c r="B416" s="45" t="s">
        <v>2314</v>
      </c>
      <c r="C416" s="45">
        <v>94.0</v>
      </c>
      <c r="D416" s="45">
        <v>13115.0</v>
      </c>
      <c r="E416" s="45" t="s">
        <v>3969</v>
      </c>
      <c r="F416" s="45" t="s">
        <v>3969</v>
      </c>
      <c r="G416" s="45" t="s">
        <v>3969</v>
      </c>
    </row>
    <row r="417">
      <c r="A417" s="45" t="s">
        <v>503</v>
      </c>
      <c r="B417" s="45" t="s">
        <v>2314</v>
      </c>
      <c r="C417" s="45">
        <v>94.0</v>
      </c>
      <c r="D417" s="45">
        <v>13117.0</v>
      </c>
      <c r="E417" s="45" t="s">
        <v>3969</v>
      </c>
      <c r="F417" s="45" t="s">
        <v>3969</v>
      </c>
      <c r="G417" s="45" t="s">
        <v>3969</v>
      </c>
    </row>
    <row r="418">
      <c r="A418" s="45" t="s">
        <v>132</v>
      </c>
      <c r="B418" s="45" t="s">
        <v>2314</v>
      </c>
      <c r="C418" s="45">
        <v>94.0</v>
      </c>
      <c r="D418" s="45">
        <v>13119.0</v>
      </c>
      <c r="E418" s="45" t="s">
        <v>3969</v>
      </c>
      <c r="F418" s="45" t="s">
        <v>3969</v>
      </c>
      <c r="G418" s="45" t="s">
        <v>3969</v>
      </c>
    </row>
    <row r="419">
      <c r="A419" s="45" t="s">
        <v>240</v>
      </c>
      <c r="B419" s="45" t="s">
        <v>2314</v>
      </c>
      <c r="C419" s="45">
        <v>94.0</v>
      </c>
      <c r="D419" s="45">
        <v>13121.0</v>
      </c>
      <c r="E419" s="45" t="s">
        <v>3969</v>
      </c>
      <c r="F419" s="45" t="s">
        <v>3969</v>
      </c>
      <c r="G419" s="45" t="s">
        <v>3969</v>
      </c>
    </row>
    <row r="420">
      <c r="A420" s="45" t="s">
        <v>504</v>
      </c>
      <c r="B420" s="45" t="s">
        <v>2314</v>
      </c>
      <c r="C420" s="45">
        <v>94.0</v>
      </c>
      <c r="D420" s="45">
        <v>13123.0</v>
      </c>
      <c r="E420" s="45" t="s">
        <v>3969</v>
      </c>
      <c r="F420" s="45" t="s">
        <v>3969</v>
      </c>
      <c r="G420" s="45" t="s">
        <v>3969</v>
      </c>
    </row>
    <row r="421">
      <c r="A421" s="45" t="s">
        <v>505</v>
      </c>
      <c r="B421" s="45" t="s">
        <v>2314</v>
      </c>
      <c r="C421" s="45">
        <v>94.0</v>
      </c>
      <c r="D421" s="45">
        <v>13125.0</v>
      </c>
      <c r="E421" s="45" t="s">
        <v>3969</v>
      </c>
      <c r="F421" s="45" t="s">
        <v>3969</v>
      </c>
      <c r="G421" s="45" t="s">
        <v>3969</v>
      </c>
    </row>
    <row r="422">
      <c r="A422" s="45" t="s">
        <v>506</v>
      </c>
      <c r="B422" s="45" t="s">
        <v>2314</v>
      </c>
      <c r="C422" s="45">
        <v>94.0</v>
      </c>
      <c r="D422" s="45">
        <v>13127.0</v>
      </c>
      <c r="E422" s="45" t="s">
        <v>3969</v>
      </c>
      <c r="F422" s="45" t="s">
        <v>3969</v>
      </c>
      <c r="G422" s="45" t="s">
        <v>3969</v>
      </c>
    </row>
    <row r="423">
      <c r="A423" s="45" t="s">
        <v>507</v>
      </c>
      <c r="B423" s="45" t="s">
        <v>2314</v>
      </c>
      <c r="C423" s="45">
        <v>94.0</v>
      </c>
      <c r="D423" s="45">
        <v>13129.0</v>
      </c>
      <c r="E423" s="45" t="s">
        <v>3969</v>
      </c>
      <c r="F423" s="45" t="s">
        <v>3969</v>
      </c>
      <c r="G423" s="45" t="s">
        <v>3969</v>
      </c>
    </row>
    <row r="424">
      <c r="A424" s="45" t="s">
        <v>508</v>
      </c>
      <c r="B424" s="45" t="s">
        <v>2314</v>
      </c>
      <c r="C424" s="45">
        <v>94.0</v>
      </c>
      <c r="D424" s="45">
        <v>13131.0</v>
      </c>
      <c r="E424" s="45" t="s">
        <v>3989</v>
      </c>
      <c r="F424" s="45" t="s">
        <v>3969</v>
      </c>
      <c r="G424" s="45" t="s">
        <v>3969</v>
      </c>
    </row>
    <row r="425">
      <c r="A425" s="45" t="s">
        <v>134</v>
      </c>
      <c r="B425" s="45" t="s">
        <v>2314</v>
      </c>
      <c r="C425" s="45">
        <v>94.0</v>
      </c>
      <c r="D425" s="45">
        <v>13133.0</v>
      </c>
      <c r="E425" s="45" t="s">
        <v>3969</v>
      </c>
      <c r="F425" s="45" t="s">
        <v>3969</v>
      </c>
      <c r="G425" s="45" t="s">
        <v>3969</v>
      </c>
    </row>
    <row r="426">
      <c r="A426" s="45" t="s">
        <v>509</v>
      </c>
      <c r="B426" s="45" t="s">
        <v>2314</v>
      </c>
      <c r="C426" s="45">
        <v>94.0</v>
      </c>
      <c r="D426" s="45">
        <v>13135.0</v>
      </c>
      <c r="E426" s="45" t="s">
        <v>3969</v>
      </c>
      <c r="F426" s="45" t="s">
        <v>3969</v>
      </c>
      <c r="G426" s="45" t="s">
        <v>3969</v>
      </c>
    </row>
    <row r="427">
      <c r="A427" s="45" t="s">
        <v>510</v>
      </c>
      <c r="B427" s="45" t="s">
        <v>2314</v>
      </c>
      <c r="C427" s="45">
        <v>94.0</v>
      </c>
      <c r="D427" s="45">
        <v>13137.0</v>
      </c>
      <c r="E427" s="45" t="s">
        <v>3969</v>
      </c>
      <c r="F427" s="45" t="s">
        <v>3969</v>
      </c>
      <c r="G427" s="45" t="s">
        <v>3969</v>
      </c>
    </row>
    <row r="428">
      <c r="A428" s="45" t="s">
        <v>511</v>
      </c>
      <c r="B428" s="45" t="s">
        <v>2314</v>
      </c>
      <c r="C428" s="45">
        <v>94.0</v>
      </c>
      <c r="D428" s="45">
        <v>13139.0</v>
      </c>
      <c r="E428" s="45" t="s">
        <v>3969</v>
      </c>
      <c r="F428" s="45" t="s">
        <v>3969</v>
      </c>
      <c r="G428" s="45" t="s">
        <v>3969</v>
      </c>
    </row>
    <row r="429">
      <c r="A429" s="45" t="s">
        <v>512</v>
      </c>
      <c r="B429" s="45" t="s">
        <v>2314</v>
      </c>
      <c r="C429" s="45">
        <v>94.0</v>
      </c>
      <c r="D429" s="45">
        <v>13141.0</v>
      </c>
      <c r="E429" s="45" t="s">
        <v>3969</v>
      </c>
      <c r="F429" s="45" t="s">
        <v>3969</v>
      </c>
      <c r="G429" s="45" t="s">
        <v>3969</v>
      </c>
    </row>
    <row r="430">
      <c r="A430" s="45" t="s">
        <v>513</v>
      </c>
      <c r="B430" s="45" t="s">
        <v>2314</v>
      </c>
      <c r="C430" s="45">
        <v>94.0</v>
      </c>
      <c r="D430" s="45">
        <v>13143.0</v>
      </c>
      <c r="E430" s="45" t="s">
        <v>3969</v>
      </c>
      <c r="F430" s="45" t="s">
        <v>3969</v>
      </c>
      <c r="G430" s="45" t="s">
        <v>3969</v>
      </c>
    </row>
    <row r="431">
      <c r="A431" s="45" t="s">
        <v>514</v>
      </c>
      <c r="B431" s="45" t="s">
        <v>2314</v>
      </c>
      <c r="C431" s="45">
        <v>94.0</v>
      </c>
      <c r="D431" s="45">
        <v>13145.0</v>
      </c>
      <c r="E431" s="45" t="s">
        <v>3969</v>
      </c>
      <c r="F431" s="45" t="s">
        <v>3969</v>
      </c>
      <c r="G431" s="45" t="s">
        <v>3969</v>
      </c>
    </row>
    <row r="432">
      <c r="A432" s="45" t="s">
        <v>515</v>
      </c>
      <c r="B432" s="45" t="s">
        <v>2314</v>
      </c>
      <c r="C432" s="45">
        <v>94.0</v>
      </c>
      <c r="D432" s="45">
        <v>13147.0</v>
      </c>
      <c r="E432" s="45" t="s">
        <v>3969</v>
      </c>
      <c r="F432" s="45" t="s">
        <v>3969</v>
      </c>
      <c r="G432" s="45" t="s">
        <v>3969</v>
      </c>
    </row>
    <row r="433">
      <c r="A433" s="45" t="s">
        <v>516</v>
      </c>
      <c r="B433" s="45" t="s">
        <v>2314</v>
      </c>
      <c r="C433" s="45">
        <v>94.0</v>
      </c>
      <c r="D433" s="45">
        <v>13149.0</v>
      </c>
      <c r="E433" s="45" t="s">
        <v>3969</v>
      </c>
      <c r="F433" s="45" t="s">
        <v>3969</v>
      </c>
      <c r="G433" s="45" t="s">
        <v>3969</v>
      </c>
    </row>
    <row r="434">
      <c r="A434" s="45" t="s">
        <v>136</v>
      </c>
      <c r="B434" s="45" t="s">
        <v>2314</v>
      </c>
      <c r="C434" s="45">
        <v>94.0</v>
      </c>
      <c r="D434" s="45">
        <v>13151.0</v>
      </c>
      <c r="E434" s="45" t="s">
        <v>3969</v>
      </c>
      <c r="F434" s="45" t="s">
        <v>3969</v>
      </c>
      <c r="G434" s="45" t="s">
        <v>3969</v>
      </c>
    </row>
    <row r="435">
      <c r="A435" s="45" t="s">
        <v>137</v>
      </c>
      <c r="B435" s="45" t="s">
        <v>2314</v>
      </c>
      <c r="C435" s="45">
        <v>94.0</v>
      </c>
      <c r="D435" s="45">
        <v>13153.0</v>
      </c>
      <c r="E435" s="45" t="s">
        <v>3969</v>
      </c>
      <c r="F435" s="45" t="s">
        <v>3969</v>
      </c>
      <c r="G435" s="45" t="s">
        <v>3969</v>
      </c>
    </row>
    <row r="436">
      <c r="A436" s="45" t="s">
        <v>517</v>
      </c>
      <c r="B436" s="45" t="s">
        <v>2314</v>
      </c>
      <c r="C436" s="45">
        <v>94.0</v>
      </c>
      <c r="D436" s="45">
        <v>13155.0</v>
      </c>
      <c r="E436" s="45" t="s">
        <v>3969</v>
      </c>
      <c r="F436" s="45" t="s">
        <v>3969</v>
      </c>
      <c r="G436" s="45" t="s">
        <v>3969</v>
      </c>
    </row>
    <row r="437">
      <c r="A437" s="45" t="s">
        <v>138</v>
      </c>
      <c r="B437" s="45" t="s">
        <v>2314</v>
      </c>
      <c r="C437" s="45">
        <v>94.0</v>
      </c>
      <c r="D437" s="45">
        <v>13157.0</v>
      </c>
      <c r="E437" s="45" t="s">
        <v>3969</v>
      </c>
      <c r="F437" s="45" t="s">
        <v>3969</v>
      </c>
      <c r="G437" s="45" t="s">
        <v>3969</v>
      </c>
    </row>
    <row r="438">
      <c r="A438" s="45" t="s">
        <v>518</v>
      </c>
      <c r="B438" s="45" t="s">
        <v>2314</v>
      </c>
      <c r="C438" s="45">
        <v>94.0</v>
      </c>
      <c r="D438" s="45">
        <v>13159.0</v>
      </c>
      <c r="E438" s="45" t="s">
        <v>3969</v>
      </c>
      <c r="F438" s="45" t="s">
        <v>3969</v>
      </c>
      <c r="G438" s="45" t="s">
        <v>3969</v>
      </c>
    </row>
    <row r="439">
      <c r="A439" s="45" t="s">
        <v>519</v>
      </c>
      <c r="B439" s="45" t="s">
        <v>2314</v>
      </c>
      <c r="C439" s="45">
        <v>94.0</v>
      </c>
      <c r="D439" s="45">
        <v>13161.0</v>
      </c>
      <c r="E439" s="45" t="s">
        <v>3969</v>
      </c>
      <c r="F439" s="45" t="s">
        <v>3969</v>
      </c>
      <c r="G439" s="45" t="s">
        <v>3969</v>
      </c>
    </row>
    <row r="440">
      <c r="A440" s="45" t="s">
        <v>139</v>
      </c>
      <c r="B440" s="45" t="s">
        <v>2314</v>
      </c>
      <c r="C440" s="45">
        <v>94.0</v>
      </c>
      <c r="D440" s="45">
        <v>13163.0</v>
      </c>
      <c r="E440" s="45" t="s">
        <v>3969</v>
      </c>
      <c r="F440" s="45" t="s">
        <v>3969</v>
      </c>
      <c r="G440" s="45" t="s">
        <v>3969</v>
      </c>
    </row>
    <row r="441">
      <c r="A441" s="45" t="s">
        <v>520</v>
      </c>
      <c r="B441" s="45" t="s">
        <v>2314</v>
      </c>
      <c r="C441" s="45">
        <v>94.0</v>
      </c>
      <c r="D441" s="45">
        <v>13165.0</v>
      </c>
      <c r="E441" s="45" t="s">
        <v>3969</v>
      </c>
      <c r="F441" s="45" t="s">
        <v>3969</v>
      </c>
      <c r="G441" s="45" t="s">
        <v>3969</v>
      </c>
    </row>
    <row r="442">
      <c r="A442" s="45" t="s">
        <v>248</v>
      </c>
      <c r="B442" s="45" t="s">
        <v>2314</v>
      </c>
      <c r="C442" s="45">
        <v>94.0</v>
      </c>
      <c r="D442" s="45">
        <v>13167.0</v>
      </c>
      <c r="E442" s="45" t="s">
        <v>3969</v>
      </c>
      <c r="F442" s="45" t="s">
        <v>3969</v>
      </c>
      <c r="G442" s="45" t="s">
        <v>3969</v>
      </c>
    </row>
    <row r="443">
      <c r="A443" s="45" t="s">
        <v>521</v>
      </c>
      <c r="B443" s="45" t="s">
        <v>2314</v>
      </c>
      <c r="C443" s="45">
        <v>94.0</v>
      </c>
      <c r="D443" s="45">
        <v>13169.0</v>
      </c>
      <c r="E443" s="45" t="s">
        <v>3969</v>
      </c>
      <c r="F443" s="45" t="s">
        <v>3969</v>
      </c>
      <c r="G443" s="45" t="s">
        <v>3969</v>
      </c>
    </row>
    <row r="444">
      <c r="A444" s="45" t="s">
        <v>140</v>
      </c>
      <c r="B444" s="45" t="s">
        <v>2314</v>
      </c>
      <c r="C444" s="45">
        <v>94.0</v>
      </c>
      <c r="D444" s="45">
        <v>13171.0</v>
      </c>
      <c r="E444" s="45" t="s">
        <v>3969</v>
      </c>
      <c r="F444" s="45" t="s">
        <v>3969</v>
      </c>
      <c r="G444" s="45" t="s">
        <v>3969</v>
      </c>
    </row>
    <row r="445">
      <c r="A445" s="45" t="s">
        <v>522</v>
      </c>
      <c r="B445" s="45" t="s">
        <v>2314</v>
      </c>
      <c r="C445" s="45">
        <v>94.0</v>
      </c>
      <c r="D445" s="45">
        <v>13173.0</v>
      </c>
      <c r="E445" s="45" t="s">
        <v>3969</v>
      </c>
      <c r="F445" s="45" t="s">
        <v>3969</v>
      </c>
      <c r="G445" s="45" t="s">
        <v>3969</v>
      </c>
    </row>
    <row r="446">
      <c r="A446" s="45" t="s">
        <v>523</v>
      </c>
      <c r="B446" s="45" t="s">
        <v>2314</v>
      </c>
      <c r="C446" s="45">
        <v>94.0</v>
      </c>
      <c r="D446" s="45">
        <v>13175.0</v>
      </c>
      <c r="E446" s="45" t="s">
        <v>3969</v>
      </c>
      <c r="F446" s="45" t="s">
        <v>3969</v>
      </c>
      <c r="G446" s="45" t="s">
        <v>3969</v>
      </c>
    </row>
    <row r="447">
      <c r="A447" s="45" t="s">
        <v>143</v>
      </c>
      <c r="B447" s="45" t="s">
        <v>2314</v>
      </c>
      <c r="C447" s="45">
        <v>94.0</v>
      </c>
      <c r="D447" s="45">
        <v>13177.0</v>
      </c>
      <c r="E447" s="45" t="s">
        <v>3969</v>
      </c>
      <c r="F447" s="45" t="s">
        <v>3969</v>
      </c>
      <c r="G447" s="45" t="s">
        <v>3969</v>
      </c>
    </row>
    <row r="448">
      <c r="A448" s="45" t="s">
        <v>438</v>
      </c>
      <c r="B448" s="45" t="s">
        <v>2314</v>
      </c>
      <c r="C448" s="45">
        <v>94.0</v>
      </c>
      <c r="D448" s="45">
        <v>13179.0</v>
      </c>
      <c r="E448" s="45" t="s">
        <v>3969</v>
      </c>
      <c r="F448" s="45" t="s">
        <v>3969</v>
      </c>
      <c r="G448" s="45" t="s">
        <v>3969</v>
      </c>
    </row>
    <row r="449">
      <c r="A449" s="45" t="s">
        <v>250</v>
      </c>
      <c r="B449" s="45" t="s">
        <v>2314</v>
      </c>
      <c r="C449" s="45">
        <v>94.0</v>
      </c>
      <c r="D449" s="45">
        <v>13181.0</v>
      </c>
      <c r="E449" s="45" t="s">
        <v>3969</v>
      </c>
      <c r="F449" s="45" t="s">
        <v>3969</v>
      </c>
      <c r="G449" s="45" t="s">
        <v>3969</v>
      </c>
    </row>
    <row r="450">
      <c r="A450" s="45" t="s">
        <v>524</v>
      </c>
      <c r="B450" s="45" t="s">
        <v>2314</v>
      </c>
      <c r="C450" s="45">
        <v>94.0</v>
      </c>
      <c r="D450" s="45">
        <v>13183.0</v>
      </c>
      <c r="E450" s="45" t="s">
        <v>3969</v>
      </c>
      <c r="F450" s="45" t="s">
        <v>3969</v>
      </c>
      <c r="G450" s="45" t="s">
        <v>3969</v>
      </c>
    </row>
    <row r="451">
      <c r="A451" s="45" t="s">
        <v>145</v>
      </c>
      <c r="B451" s="45" t="s">
        <v>2314</v>
      </c>
      <c r="C451" s="45">
        <v>94.0</v>
      </c>
      <c r="D451" s="45">
        <v>13185.0</v>
      </c>
      <c r="E451" s="45" t="s">
        <v>3989</v>
      </c>
      <c r="F451" s="45" t="s">
        <v>3969</v>
      </c>
      <c r="G451" s="45" t="s">
        <v>3969</v>
      </c>
    </row>
    <row r="452">
      <c r="A452" s="45" t="s">
        <v>525</v>
      </c>
      <c r="B452" s="45" t="s">
        <v>2314</v>
      </c>
      <c r="C452" s="45">
        <v>94.0</v>
      </c>
      <c r="D452" s="45">
        <v>13187.0</v>
      </c>
      <c r="E452" s="45" t="s">
        <v>3969</v>
      </c>
      <c r="F452" s="45" t="s">
        <v>3969</v>
      </c>
      <c r="G452" s="45" t="s">
        <v>3969</v>
      </c>
    </row>
    <row r="453">
      <c r="A453" s="45" t="s">
        <v>526</v>
      </c>
      <c r="B453" s="45" t="s">
        <v>2314</v>
      </c>
      <c r="C453" s="45">
        <v>94.0</v>
      </c>
      <c r="D453" s="45">
        <v>13189.0</v>
      </c>
      <c r="E453" s="45" t="s">
        <v>3969</v>
      </c>
      <c r="F453" s="45" t="s">
        <v>3969</v>
      </c>
      <c r="G453" s="45" t="s">
        <v>3969</v>
      </c>
    </row>
    <row r="454">
      <c r="A454" s="45" t="s">
        <v>527</v>
      </c>
      <c r="B454" s="45" t="s">
        <v>2314</v>
      </c>
      <c r="C454" s="45">
        <v>94.0</v>
      </c>
      <c r="D454" s="45">
        <v>13191.0</v>
      </c>
      <c r="E454" s="45" t="s">
        <v>3969</v>
      </c>
      <c r="F454" s="45" t="s">
        <v>3969</v>
      </c>
      <c r="G454" s="45" t="s">
        <v>3969</v>
      </c>
    </row>
    <row r="455">
      <c r="A455" s="45" t="s">
        <v>146</v>
      </c>
      <c r="B455" s="45" t="s">
        <v>2314</v>
      </c>
      <c r="C455" s="45">
        <v>94.0</v>
      </c>
      <c r="D455" s="45">
        <v>13193.0</v>
      </c>
      <c r="E455" s="45" t="s">
        <v>3969</v>
      </c>
      <c r="F455" s="45" t="s">
        <v>3969</v>
      </c>
      <c r="G455" s="45" t="s">
        <v>3969</v>
      </c>
    </row>
    <row r="456">
      <c r="A456" s="45" t="s">
        <v>147</v>
      </c>
      <c r="B456" s="45" t="s">
        <v>2314</v>
      </c>
      <c r="C456" s="45">
        <v>94.0</v>
      </c>
      <c r="D456" s="45">
        <v>13195.0</v>
      </c>
      <c r="E456" s="45" t="s">
        <v>3969</v>
      </c>
      <c r="F456" s="45" t="s">
        <v>3969</v>
      </c>
      <c r="G456" s="45" t="s">
        <v>3969</v>
      </c>
    </row>
    <row r="457">
      <c r="A457" s="45" t="s">
        <v>149</v>
      </c>
      <c r="B457" s="45" t="s">
        <v>2314</v>
      </c>
      <c r="C457" s="45">
        <v>94.0</v>
      </c>
      <c r="D457" s="45">
        <v>13197.0</v>
      </c>
      <c r="E457" s="45" t="s">
        <v>3969</v>
      </c>
      <c r="F457" s="45" t="s">
        <v>3969</v>
      </c>
      <c r="G457" s="45" t="s">
        <v>3969</v>
      </c>
    </row>
    <row r="458">
      <c r="A458" s="45" t="s">
        <v>528</v>
      </c>
      <c r="B458" s="45" t="s">
        <v>2314</v>
      </c>
      <c r="C458" s="45">
        <v>94.0</v>
      </c>
      <c r="D458" s="45">
        <v>13199.0</v>
      </c>
      <c r="E458" s="45" t="s">
        <v>3969</v>
      </c>
      <c r="F458" s="45" t="s">
        <v>3969</v>
      </c>
      <c r="G458" s="45" t="s">
        <v>3969</v>
      </c>
    </row>
    <row r="459">
      <c r="A459" s="45" t="s">
        <v>254</v>
      </c>
      <c r="B459" s="45" t="s">
        <v>2314</v>
      </c>
      <c r="C459" s="45">
        <v>94.0</v>
      </c>
      <c r="D459" s="45">
        <v>13201.0</v>
      </c>
      <c r="E459" s="45" t="s">
        <v>3969</v>
      </c>
      <c r="F459" s="45" t="s">
        <v>3969</v>
      </c>
      <c r="G459" s="45" t="s">
        <v>3969</v>
      </c>
    </row>
    <row r="460">
      <c r="A460" s="45" t="s">
        <v>529</v>
      </c>
      <c r="B460" s="45" t="s">
        <v>2314</v>
      </c>
      <c r="C460" s="45">
        <v>94.0</v>
      </c>
      <c r="D460" s="45">
        <v>13205.0</v>
      </c>
      <c r="E460" s="45" t="s">
        <v>3969</v>
      </c>
      <c r="F460" s="45" t="s">
        <v>3969</v>
      </c>
      <c r="G460" s="45" t="s">
        <v>3969</v>
      </c>
    </row>
    <row r="461">
      <c r="A461" s="45" t="s">
        <v>152</v>
      </c>
      <c r="B461" s="45" t="s">
        <v>2314</v>
      </c>
      <c r="C461" s="45">
        <v>94.0</v>
      </c>
      <c r="D461" s="45">
        <v>13207.0</v>
      </c>
      <c r="E461" s="45" t="s">
        <v>3969</v>
      </c>
      <c r="F461" s="45" t="s">
        <v>3969</v>
      </c>
      <c r="G461" s="45" t="s">
        <v>3969</v>
      </c>
    </row>
    <row r="462">
      <c r="A462" s="45" t="s">
        <v>153</v>
      </c>
      <c r="B462" s="45" t="s">
        <v>2314</v>
      </c>
      <c r="C462" s="45">
        <v>94.0</v>
      </c>
      <c r="D462" s="45">
        <v>13209.0</v>
      </c>
      <c r="E462" s="45" t="s">
        <v>3969</v>
      </c>
      <c r="F462" s="45" t="s">
        <v>3969</v>
      </c>
      <c r="G462" s="45" t="s">
        <v>3969</v>
      </c>
    </row>
    <row r="463">
      <c r="A463" s="45" t="s">
        <v>154</v>
      </c>
      <c r="B463" s="45" t="s">
        <v>2314</v>
      </c>
      <c r="C463" s="45">
        <v>94.0</v>
      </c>
      <c r="D463" s="45">
        <v>13211.0</v>
      </c>
      <c r="E463" s="45" t="s">
        <v>3969</v>
      </c>
      <c r="F463" s="45" t="s">
        <v>3969</v>
      </c>
      <c r="G463" s="45" t="s">
        <v>3969</v>
      </c>
    </row>
    <row r="464">
      <c r="A464" s="45" t="s">
        <v>530</v>
      </c>
      <c r="B464" s="45" t="s">
        <v>2314</v>
      </c>
      <c r="C464" s="45">
        <v>94.0</v>
      </c>
      <c r="D464" s="45">
        <v>13213.0</v>
      </c>
      <c r="E464" s="45" t="s">
        <v>3969</v>
      </c>
      <c r="F464" s="45" t="s">
        <v>3969</v>
      </c>
      <c r="G464" s="45" t="s">
        <v>3969</v>
      </c>
    </row>
    <row r="465">
      <c r="A465" s="45" t="s">
        <v>531</v>
      </c>
      <c r="B465" s="45" t="s">
        <v>2314</v>
      </c>
      <c r="C465" s="45">
        <v>94.0</v>
      </c>
      <c r="D465" s="45">
        <v>13215.0</v>
      </c>
      <c r="E465" s="45" t="s">
        <v>3969</v>
      </c>
      <c r="F465" s="45" t="s">
        <v>3969</v>
      </c>
      <c r="G465" s="45" t="s">
        <v>3969</v>
      </c>
    </row>
    <row r="466">
      <c r="A466" s="45" t="s">
        <v>257</v>
      </c>
      <c r="B466" s="45" t="s">
        <v>2314</v>
      </c>
      <c r="C466" s="45">
        <v>94.0</v>
      </c>
      <c r="D466" s="45">
        <v>13217.0</v>
      </c>
      <c r="E466" s="45" t="s">
        <v>3969</v>
      </c>
      <c r="F466" s="45" t="s">
        <v>3969</v>
      </c>
      <c r="G466" s="45" t="s">
        <v>3969</v>
      </c>
    </row>
    <row r="467">
      <c r="A467" s="45" t="s">
        <v>532</v>
      </c>
      <c r="B467" s="45" t="s">
        <v>2314</v>
      </c>
      <c r="C467" s="45">
        <v>94.0</v>
      </c>
      <c r="D467" s="45">
        <v>13219.0</v>
      </c>
      <c r="E467" s="45" t="s">
        <v>3969</v>
      </c>
      <c r="F467" s="45" t="s">
        <v>3969</v>
      </c>
      <c r="G467" s="45" t="s">
        <v>3969</v>
      </c>
    </row>
    <row r="468">
      <c r="A468" s="45" t="s">
        <v>533</v>
      </c>
      <c r="B468" s="45" t="s">
        <v>2314</v>
      </c>
      <c r="C468" s="45">
        <v>94.0</v>
      </c>
      <c r="D468" s="45">
        <v>13221.0</v>
      </c>
      <c r="E468" s="45" t="s">
        <v>3969</v>
      </c>
      <c r="F468" s="45" t="s">
        <v>3969</v>
      </c>
      <c r="G468" s="45" t="s">
        <v>3969</v>
      </c>
    </row>
    <row r="469">
      <c r="A469" s="45" t="s">
        <v>534</v>
      </c>
      <c r="B469" s="45" t="s">
        <v>2314</v>
      </c>
      <c r="C469" s="45">
        <v>94.0</v>
      </c>
      <c r="D469" s="45">
        <v>13223.0</v>
      </c>
      <c r="E469" s="45" t="s">
        <v>3969</v>
      </c>
      <c r="F469" s="45" t="s">
        <v>3969</v>
      </c>
      <c r="G469" s="45" t="s">
        <v>3969</v>
      </c>
    </row>
    <row r="470">
      <c r="A470" s="45" t="s">
        <v>535</v>
      </c>
      <c r="B470" s="45" t="s">
        <v>2314</v>
      </c>
      <c r="C470" s="45">
        <v>94.0</v>
      </c>
      <c r="D470" s="45">
        <v>13225.0</v>
      </c>
      <c r="E470" s="45" t="s">
        <v>3969</v>
      </c>
      <c r="F470" s="45" t="s">
        <v>3969</v>
      </c>
      <c r="G470" s="45" t="s">
        <v>3969</v>
      </c>
    </row>
    <row r="471">
      <c r="A471" s="45" t="s">
        <v>156</v>
      </c>
      <c r="B471" s="45" t="s">
        <v>2314</v>
      </c>
      <c r="C471" s="45">
        <v>94.0</v>
      </c>
      <c r="D471" s="45">
        <v>13227.0</v>
      </c>
      <c r="E471" s="45" t="s">
        <v>3969</v>
      </c>
      <c r="F471" s="45" t="s">
        <v>3969</v>
      </c>
      <c r="G471" s="45" t="s">
        <v>3969</v>
      </c>
    </row>
    <row r="472">
      <c r="A472" s="45" t="s">
        <v>536</v>
      </c>
      <c r="B472" s="45" t="s">
        <v>2314</v>
      </c>
      <c r="C472" s="45">
        <v>94.0</v>
      </c>
      <c r="D472" s="45">
        <v>13229.0</v>
      </c>
      <c r="E472" s="45" t="s">
        <v>3969</v>
      </c>
      <c r="F472" s="45" t="s">
        <v>3969</v>
      </c>
      <c r="G472" s="45" t="s">
        <v>3969</v>
      </c>
    </row>
    <row r="473">
      <c r="A473" s="45" t="s">
        <v>157</v>
      </c>
      <c r="B473" s="45" t="s">
        <v>2314</v>
      </c>
      <c r="C473" s="45">
        <v>94.0</v>
      </c>
      <c r="D473" s="45">
        <v>13231.0</v>
      </c>
      <c r="E473" s="45" t="s">
        <v>3969</v>
      </c>
      <c r="F473" s="45" t="s">
        <v>3969</v>
      </c>
      <c r="G473" s="45" t="s">
        <v>3969</v>
      </c>
    </row>
    <row r="474">
      <c r="A474" s="45" t="s">
        <v>261</v>
      </c>
      <c r="B474" s="45" t="s">
        <v>2314</v>
      </c>
      <c r="C474" s="45">
        <v>94.0</v>
      </c>
      <c r="D474" s="45">
        <v>13233.0</v>
      </c>
      <c r="E474" s="45" t="s">
        <v>3969</v>
      </c>
      <c r="F474" s="45" t="s">
        <v>3969</v>
      </c>
      <c r="G474" s="45" t="s">
        <v>3969</v>
      </c>
    </row>
    <row r="475">
      <c r="A475" s="45" t="s">
        <v>264</v>
      </c>
      <c r="B475" s="45" t="s">
        <v>2314</v>
      </c>
      <c r="C475" s="45">
        <v>94.0</v>
      </c>
      <c r="D475" s="45">
        <v>13235.0</v>
      </c>
      <c r="E475" s="45" t="s">
        <v>3969</v>
      </c>
      <c r="F475" s="45" t="s">
        <v>3969</v>
      </c>
      <c r="G475" s="45" t="s">
        <v>3969</v>
      </c>
    </row>
    <row r="476">
      <c r="A476" s="45" t="s">
        <v>449</v>
      </c>
      <c r="B476" s="45" t="s">
        <v>2314</v>
      </c>
      <c r="C476" s="45">
        <v>94.0</v>
      </c>
      <c r="D476" s="45">
        <v>13237.0</v>
      </c>
      <c r="E476" s="45" t="s">
        <v>3969</v>
      </c>
      <c r="F476" s="45" t="s">
        <v>3969</v>
      </c>
      <c r="G476" s="45" t="s">
        <v>3969</v>
      </c>
    </row>
    <row r="477">
      <c r="A477" s="45" t="s">
        <v>537</v>
      </c>
      <c r="B477" s="45" t="s">
        <v>2314</v>
      </c>
      <c r="C477" s="45">
        <v>94.0</v>
      </c>
      <c r="D477" s="45">
        <v>13239.0</v>
      </c>
      <c r="E477" s="45" t="s">
        <v>3969</v>
      </c>
      <c r="F477" s="45" t="s">
        <v>3969</v>
      </c>
      <c r="G477" s="45" t="s">
        <v>3969</v>
      </c>
    </row>
    <row r="478">
      <c r="A478" s="45" t="s">
        <v>538</v>
      </c>
      <c r="B478" s="45" t="s">
        <v>2314</v>
      </c>
      <c r="C478" s="45">
        <v>94.0</v>
      </c>
      <c r="D478" s="45">
        <v>13241.0</v>
      </c>
      <c r="E478" s="45" t="s">
        <v>3969</v>
      </c>
      <c r="F478" s="45" t="s">
        <v>3969</v>
      </c>
      <c r="G478" s="45" t="s">
        <v>3969</v>
      </c>
    </row>
    <row r="479">
      <c r="A479" s="45" t="s">
        <v>158</v>
      </c>
      <c r="B479" s="45" t="s">
        <v>2314</v>
      </c>
      <c r="C479" s="45">
        <v>94.0</v>
      </c>
      <c r="D479" s="45">
        <v>13243.0</v>
      </c>
      <c r="E479" s="45" t="s">
        <v>3969</v>
      </c>
      <c r="F479" s="45" t="s">
        <v>3969</v>
      </c>
      <c r="G479" s="45" t="s">
        <v>3969</v>
      </c>
    </row>
    <row r="480">
      <c r="A480" s="45" t="s">
        <v>539</v>
      </c>
      <c r="B480" s="45" t="s">
        <v>2314</v>
      </c>
      <c r="C480" s="45">
        <v>94.0</v>
      </c>
      <c r="D480" s="45">
        <v>13245.0</v>
      </c>
      <c r="E480" s="45" t="s">
        <v>3969</v>
      </c>
      <c r="F480" s="45" t="s">
        <v>3969</v>
      </c>
      <c r="G480" s="45" t="s">
        <v>3969</v>
      </c>
    </row>
    <row r="481">
      <c r="A481" s="45" t="s">
        <v>540</v>
      </c>
      <c r="B481" s="45" t="s">
        <v>2314</v>
      </c>
      <c r="C481" s="45">
        <v>94.0</v>
      </c>
      <c r="D481" s="45">
        <v>13247.0</v>
      </c>
      <c r="E481" s="45" t="s">
        <v>3969</v>
      </c>
      <c r="F481" s="45" t="s">
        <v>3969</v>
      </c>
      <c r="G481" s="45" t="s">
        <v>3969</v>
      </c>
    </row>
    <row r="482">
      <c r="A482" s="45" t="s">
        <v>541</v>
      </c>
      <c r="B482" s="45" t="s">
        <v>2314</v>
      </c>
      <c r="C482" s="45">
        <v>94.0</v>
      </c>
      <c r="D482" s="45">
        <v>13249.0</v>
      </c>
      <c r="E482" s="45" t="s">
        <v>3969</v>
      </c>
      <c r="F482" s="45" t="s">
        <v>3969</v>
      </c>
      <c r="G482" s="45" t="s">
        <v>3969</v>
      </c>
    </row>
    <row r="483">
      <c r="A483" s="45" t="s">
        <v>542</v>
      </c>
      <c r="B483" s="45" t="s">
        <v>2314</v>
      </c>
      <c r="C483" s="45">
        <v>94.0</v>
      </c>
      <c r="D483" s="45">
        <v>13251.0</v>
      </c>
      <c r="E483" s="45" t="s">
        <v>3969</v>
      </c>
      <c r="F483" s="45" t="s">
        <v>3969</v>
      </c>
      <c r="G483" s="45" t="s">
        <v>3969</v>
      </c>
    </row>
    <row r="484">
      <c r="A484" s="45" t="s">
        <v>454</v>
      </c>
      <c r="B484" s="45" t="s">
        <v>2314</v>
      </c>
      <c r="C484" s="45">
        <v>94.0</v>
      </c>
      <c r="D484" s="45">
        <v>13253.0</v>
      </c>
      <c r="E484" s="45" t="s">
        <v>3989</v>
      </c>
      <c r="F484" s="45" t="s">
        <v>3969</v>
      </c>
      <c r="G484" s="45" t="s">
        <v>3969</v>
      </c>
    </row>
    <row r="485">
      <c r="A485" s="45" t="s">
        <v>543</v>
      </c>
      <c r="B485" s="45" t="s">
        <v>2314</v>
      </c>
      <c r="C485" s="45">
        <v>94.0</v>
      </c>
      <c r="D485" s="45">
        <v>13255.0</v>
      </c>
      <c r="E485" s="45" t="s">
        <v>3969</v>
      </c>
      <c r="F485" s="45" t="s">
        <v>3969</v>
      </c>
      <c r="G485" s="45" t="s">
        <v>3969</v>
      </c>
    </row>
    <row r="486">
      <c r="A486" s="45" t="s">
        <v>544</v>
      </c>
      <c r="B486" s="45" t="s">
        <v>2314</v>
      </c>
      <c r="C486" s="45">
        <v>94.0</v>
      </c>
      <c r="D486" s="45">
        <v>13257.0</v>
      </c>
      <c r="E486" s="45" t="s">
        <v>3969</v>
      </c>
      <c r="F486" s="45" t="s">
        <v>3969</v>
      </c>
      <c r="G486" s="45" t="s">
        <v>3969</v>
      </c>
    </row>
    <row r="487">
      <c r="A487" s="45" t="s">
        <v>545</v>
      </c>
      <c r="B487" s="45" t="s">
        <v>2314</v>
      </c>
      <c r="C487" s="45">
        <v>94.0</v>
      </c>
      <c r="D487" s="45">
        <v>13259.0</v>
      </c>
      <c r="E487" s="45" t="s">
        <v>3969</v>
      </c>
      <c r="F487" s="45" t="s">
        <v>3969</v>
      </c>
      <c r="G487" s="45" t="s">
        <v>3969</v>
      </c>
    </row>
    <row r="488">
      <c r="A488" s="45" t="s">
        <v>162</v>
      </c>
      <c r="B488" s="45" t="s">
        <v>2314</v>
      </c>
      <c r="C488" s="45">
        <v>94.0</v>
      </c>
      <c r="D488" s="45">
        <v>13261.0</v>
      </c>
      <c r="E488" s="45" t="s">
        <v>3969</v>
      </c>
      <c r="F488" s="45" t="s">
        <v>3969</v>
      </c>
      <c r="G488" s="45" t="s">
        <v>3969</v>
      </c>
    </row>
    <row r="489">
      <c r="A489" s="45" t="s">
        <v>546</v>
      </c>
      <c r="B489" s="45" t="s">
        <v>2314</v>
      </c>
      <c r="C489" s="45">
        <v>94.0</v>
      </c>
      <c r="D489" s="45">
        <v>13263.0</v>
      </c>
      <c r="E489" s="45" t="s">
        <v>3969</v>
      </c>
      <c r="F489" s="45" t="s">
        <v>3969</v>
      </c>
      <c r="G489" s="45" t="s">
        <v>3969</v>
      </c>
    </row>
    <row r="490">
      <c r="A490" s="45" t="s">
        <v>547</v>
      </c>
      <c r="B490" s="45" t="s">
        <v>2314</v>
      </c>
      <c r="C490" s="45">
        <v>94.0</v>
      </c>
      <c r="D490" s="45">
        <v>13265.0</v>
      </c>
      <c r="E490" s="45" t="s">
        <v>3969</v>
      </c>
      <c r="F490" s="45" t="s">
        <v>3969</v>
      </c>
      <c r="G490" s="45" t="s">
        <v>3969</v>
      </c>
    </row>
    <row r="491">
      <c r="A491" s="45" t="s">
        <v>548</v>
      </c>
      <c r="B491" s="45" t="s">
        <v>2314</v>
      </c>
      <c r="C491" s="45">
        <v>94.0</v>
      </c>
      <c r="D491" s="45">
        <v>13267.0</v>
      </c>
      <c r="E491" s="45" t="s">
        <v>3969</v>
      </c>
      <c r="F491" s="45" t="s">
        <v>3969</v>
      </c>
      <c r="G491" s="45" t="s">
        <v>3969</v>
      </c>
    </row>
    <row r="492">
      <c r="A492" s="45" t="s">
        <v>456</v>
      </c>
      <c r="B492" s="45" t="s">
        <v>2314</v>
      </c>
      <c r="C492" s="45">
        <v>94.0</v>
      </c>
      <c r="D492" s="45">
        <v>13269.0</v>
      </c>
      <c r="E492" s="45" t="s">
        <v>3969</v>
      </c>
      <c r="F492" s="45" t="s">
        <v>3969</v>
      </c>
      <c r="G492" s="45" t="s">
        <v>3969</v>
      </c>
    </row>
    <row r="493">
      <c r="A493" s="45" t="s">
        <v>549</v>
      </c>
      <c r="B493" s="45" t="s">
        <v>2314</v>
      </c>
      <c r="C493" s="45">
        <v>94.0</v>
      </c>
      <c r="D493" s="45">
        <v>13271.0</v>
      </c>
      <c r="E493" s="45" t="s">
        <v>3969</v>
      </c>
      <c r="F493" s="45" t="s">
        <v>3969</v>
      </c>
      <c r="G493" s="45" t="s">
        <v>3969</v>
      </c>
    </row>
    <row r="494">
      <c r="A494" s="45" t="s">
        <v>550</v>
      </c>
      <c r="B494" s="45" t="s">
        <v>2314</v>
      </c>
      <c r="C494" s="45">
        <v>94.0</v>
      </c>
      <c r="D494" s="45">
        <v>13273.0</v>
      </c>
      <c r="E494" s="45" t="s">
        <v>3969</v>
      </c>
      <c r="F494" s="45" t="s">
        <v>3969</v>
      </c>
      <c r="G494" s="45" t="s">
        <v>3969</v>
      </c>
    </row>
    <row r="495">
      <c r="A495" s="45" t="s">
        <v>551</v>
      </c>
      <c r="B495" s="45" t="s">
        <v>2314</v>
      </c>
      <c r="C495" s="45">
        <v>94.0</v>
      </c>
      <c r="D495" s="45">
        <v>13275.0</v>
      </c>
      <c r="E495" s="45" t="s">
        <v>3989</v>
      </c>
      <c r="F495" s="45" t="s">
        <v>3969</v>
      </c>
      <c r="G495" s="45" t="s">
        <v>3969</v>
      </c>
    </row>
    <row r="496">
      <c r="A496" s="45" t="s">
        <v>552</v>
      </c>
      <c r="B496" s="45" t="s">
        <v>2314</v>
      </c>
      <c r="C496" s="45">
        <v>94.0</v>
      </c>
      <c r="D496" s="45">
        <v>13277.0</v>
      </c>
      <c r="E496" s="45" t="s">
        <v>3969</v>
      </c>
      <c r="F496" s="45" t="s">
        <v>3969</v>
      </c>
      <c r="G496" s="45" t="s">
        <v>3969</v>
      </c>
    </row>
    <row r="497">
      <c r="A497" s="45" t="s">
        <v>553</v>
      </c>
      <c r="B497" s="45" t="s">
        <v>2314</v>
      </c>
      <c r="C497" s="45">
        <v>94.0</v>
      </c>
      <c r="D497" s="45">
        <v>13279.0</v>
      </c>
      <c r="E497" s="45" t="s">
        <v>3969</v>
      </c>
      <c r="F497" s="45" t="s">
        <v>3969</v>
      </c>
      <c r="G497" s="45" t="s">
        <v>3969</v>
      </c>
    </row>
    <row r="498">
      <c r="A498" s="45" t="s">
        <v>554</v>
      </c>
      <c r="B498" s="45" t="s">
        <v>2314</v>
      </c>
      <c r="C498" s="45">
        <v>94.0</v>
      </c>
      <c r="D498" s="45">
        <v>13281.0</v>
      </c>
      <c r="E498" s="45" t="s">
        <v>3969</v>
      </c>
      <c r="F498" s="45" t="s">
        <v>3970</v>
      </c>
      <c r="G498" s="45" t="s">
        <v>3969</v>
      </c>
    </row>
    <row r="499">
      <c r="A499" s="45" t="s">
        <v>555</v>
      </c>
      <c r="B499" s="45" t="s">
        <v>2314</v>
      </c>
      <c r="C499" s="45">
        <v>94.0</v>
      </c>
      <c r="D499" s="45">
        <v>13283.0</v>
      </c>
      <c r="E499" s="45" t="s">
        <v>3969</v>
      </c>
      <c r="F499" s="45" t="s">
        <v>3969</v>
      </c>
      <c r="G499" s="45" t="s">
        <v>3969</v>
      </c>
    </row>
    <row r="500">
      <c r="A500" s="45" t="s">
        <v>556</v>
      </c>
      <c r="B500" s="45" t="s">
        <v>2314</v>
      </c>
      <c r="C500" s="45">
        <v>94.0</v>
      </c>
      <c r="D500" s="45">
        <v>13285.0</v>
      </c>
      <c r="E500" s="45" t="s">
        <v>3969</v>
      </c>
      <c r="F500" s="45" t="s">
        <v>3969</v>
      </c>
      <c r="G500" s="45" t="s">
        <v>3969</v>
      </c>
    </row>
    <row r="501">
      <c r="A501" s="45" t="s">
        <v>557</v>
      </c>
      <c r="B501" s="45" t="s">
        <v>2314</v>
      </c>
      <c r="C501" s="45">
        <v>94.0</v>
      </c>
      <c r="D501" s="45">
        <v>13287.0</v>
      </c>
      <c r="E501" s="45" t="s">
        <v>3969</v>
      </c>
      <c r="F501" s="45" t="s">
        <v>3969</v>
      </c>
      <c r="G501" s="45" t="s">
        <v>3969</v>
      </c>
    </row>
    <row r="502">
      <c r="A502" s="45" t="s">
        <v>558</v>
      </c>
      <c r="B502" s="45" t="s">
        <v>2314</v>
      </c>
      <c r="C502" s="45">
        <v>94.0</v>
      </c>
      <c r="D502" s="45">
        <v>13289.0</v>
      </c>
      <c r="E502" s="45" t="s">
        <v>3969</v>
      </c>
      <c r="F502" s="45" t="s">
        <v>3969</v>
      </c>
      <c r="G502" s="45" t="s">
        <v>3969</v>
      </c>
    </row>
    <row r="503">
      <c r="A503" s="45" t="s">
        <v>273</v>
      </c>
      <c r="B503" s="45" t="s">
        <v>2314</v>
      </c>
      <c r="C503" s="45">
        <v>94.0</v>
      </c>
      <c r="D503" s="45">
        <v>13291.0</v>
      </c>
      <c r="E503" s="45" t="s">
        <v>3969</v>
      </c>
      <c r="F503" s="45" t="s">
        <v>3970</v>
      </c>
      <c r="G503" s="45" t="s">
        <v>3969</v>
      </c>
    </row>
    <row r="504">
      <c r="A504" s="45" t="s">
        <v>559</v>
      </c>
      <c r="B504" s="45" t="s">
        <v>2314</v>
      </c>
      <c r="C504" s="45">
        <v>94.0</v>
      </c>
      <c r="D504" s="45">
        <v>13293.0</v>
      </c>
      <c r="E504" s="45" t="s">
        <v>3969</v>
      </c>
      <c r="F504" s="45" t="s">
        <v>3969</v>
      </c>
      <c r="G504" s="45" t="s">
        <v>3969</v>
      </c>
    </row>
    <row r="505">
      <c r="A505" s="45" t="s">
        <v>166</v>
      </c>
      <c r="B505" s="45" t="s">
        <v>2314</v>
      </c>
      <c r="C505" s="45">
        <v>94.0</v>
      </c>
      <c r="D505" s="45">
        <v>13295.0</v>
      </c>
      <c r="E505" s="45" t="s">
        <v>3969</v>
      </c>
      <c r="F505" s="45" t="s">
        <v>3969</v>
      </c>
      <c r="G505" s="45" t="s">
        <v>3969</v>
      </c>
    </row>
    <row r="506">
      <c r="A506" s="45" t="s">
        <v>459</v>
      </c>
      <c r="B506" s="45" t="s">
        <v>2314</v>
      </c>
      <c r="C506" s="45">
        <v>94.0</v>
      </c>
      <c r="D506" s="45">
        <v>13297.0</v>
      </c>
      <c r="E506" s="45" t="s">
        <v>3969</v>
      </c>
      <c r="F506" s="45" t="s">
        <v>3969</v>
      </c>
      <c r="G506" s="45" t="s">
        <v>3969</v>
      </c>
    </row>
    <row r="507">
      <c r="A507" s="45" t="s">
        <v>560</v>
      </c>
      <c r="B507" s="45" t="s">
        <v>2314</v>
      </c>
      <c r="C507" s="45">
        <v>94.0</v>
      </c>
      <c r="D507" s="45">
        <v>13299.0</v>
      </c>
      <c r="E507" s="45" t="s">
        <v>3969</v>
      </c>
      <c r="F507" s="45" t="s">
        <v>3969</v>
      </c>
      <c r="G507" s="45" t="s">
        <v>3969</v>
      </c>
    </row>
    <row r="508">
      <c r="A508" s="45" t="s">
        <v>561</v>
      </c>
      <c r="B508" s="45" t="s">
        <v>2314</v>
      </c>
      <c r="C508" s="45">
        <v>94.0</v>
      </c>
      <c r="D508" s="45">
        <v>13301.0</v>
      </c>
      <c r="E508" s="45" t="s">
        <v>3969</v>
      </c>
      <c r="F508" s="45" t="s">
        <v>3969</v>
      </c>
      <c r="G508" s="45" t="s">
        <v>3969</v>
      </c>
    </row>
    <row r="509">
      <c r="A509" s="45" t="s">
        <v>167</v>
      </c>
      <c r="B509" s="45" t="s">
        <v>2314</v>
      </c>
      <c r="C509" s="45">
        <v>94.0</v>
      </c>
      <c r="D509" s="45">
        <v>13303.0</v>
      </c>
      <c r="E509" s="45" t="s">
        <v>3969</v>
      </c>
      <c r="F509" s="45" t="s">
        <v>3969</v>
      </c>
      <c r="G509" s="45" t="s">
        <v>3969</v>
      </c>
    </row>
    <row r="510">
      <c r="A510" s="45" t="s">
        <v>562</v>
      </c>
      <c r="B510" s="45" t="s">
        <v>2314</v>
      </c>
      <c r="C510" s="45">
        <v>94.0</v>
      </c>
      <c r="D510" s="45">
        <v>13305.0</v>
      </c>
      <c r="E510" s="45" t="s">
        <v>3969</v>
      </c>
      <c r="F510" s="45" t="s">
        <v>3969</v>
      </c>
      <c r="G510" s="45" t="s">
        <v>3969</v>
      </c>
    </row>
    <row r="511">
      <c r="A511" s="45" t="s">
        <v>563</v>
      </c>
      <c r="B511" s="45" t="s">
        <v>2314</v>
      </c>
      <c r="C511" s="45">
        <v>94.0</v>
      </c>
      <c r="D511" s="45">
        <v>13307.0</v>
      </c>
      <c r="E511" s="45" t="s">
        <v>3969</v>
      </c>
      <c r="F511" s="45" t="s">
        <v>3969</v>
      </c>
      <c r="G511" s="45" t="s">
        <v>3969</v>
      </c>
    </row>
    <row r="512">
      <c r="A512" s="45" t="s">
        <v>564</v>
      </c>
      <c r="B512" s="45" t="s">
        <v>2314</v>
      </c>
      <c r="C512" s="45">
        <v>94.0</v>
      </c>
      <c r="D512" s="45">
        <v>13309.0</v>
      </c>
      <c r="E512" s="45" t="s">
        <v>3969</v>
      </c>
      <c r="F512" s="45" t="s">
        <v>3969</v>
      </c>
      <c r="G512" s="45" t="s">
        <v>3969</v>
      </c>
    </row>
    <row r="513">
      <c r="A513" s="45" t="s">
        <v>275</v>
      </c>
      <c r="B513" s="45" t="s">
        <v>2314</v>
      </c>
      <c r="C513" s="45">
        <v>94.0</v>
      </c>
      <c r="D513" s="45">
        <v>13311.0</v>
      </c>
      <c r="E513" s="45" t="s">
        <v>3969</v>
      </c>
      <c r="F513" s="45" t="s">
        <v>3969</v>
      </c>
      <c r="G513" s="45" t="s">
        <v>3969</v>
      </c>
    </row>
    <row r="514">
      <c r="A514" s="45" t="s">
        <v>565</v>
      </c>
      <c r="B514" s="45" t="s">
        <v>2314</v>
      </c>
      <c r="C514" s="45">
        <v>94.0</v>
      </c>
      <c r="D514" s="45">
        <v>13313.0</v>
      </c>
      <c r="E514" s="45" t="s">
        <v>3969</v>
      </c>
      <c r="F514" s="45" t="s">
        <v>3969</v>
      </c>
      <c r="G514" s="45" t="s">
        <v>3969</v>
      </c>
    </row>
    <row r="515">
      <c r="A515" s="45" t="s">
        <v>168</v>
      </c>
      <c r="B515" s="45" t="s">
        <v>2314</v>
      </c>
      <c r="C515" s="45">
        <v>94.0</v>
      </c>
      <c r="D515" s="45">
        <v>13315.0</v>
      </c>
      <c r="E515" s="45" t="s">
        <v>3969</v>
      </c>
      <c r="F515" s="45" t="s">
        <v>3969</v>
      </c>
      <c r="G515" s="45" t="s">
        <v>3969</v>
      </c>
    </row>
    <row r="516">
      <c r="A516" s="45" t="s">
        <v>566</v>
      </c>
      <c r="B516" s="45" t="s">
        <v>2314</v>
      </c>
      <c r="C516" s="45">
        <v>94.0</v>
      </c>
      <c r="D516" s="45">
        <v>13317.0</v>
      </c>
      <c r="E516" s="45" t="s">
        <v>3969</v>
      </c>
      <c r="F516" s="45" t="s">
        <v>3969</v>
      </c>
      <c r="G516" s="45" t="s">
        <v>3969</v>
      </c>
    </row>
    <row r="517">
      <c r="A517" s="45" t="s">
        <v>567</v>
      </c>
      <c r="B517" s="45" t="s">
        <v>2314</v>
      </c>
      <c r="C517" s="45">
        <v>94.0</v>
      </c>
      <c r="D517" s="45">
        <v>13319.0</v>
      </c>
      <c r="E517" s="45" t="s">
        <v>3969</v>
      </c>
      <c r="F517" s="45" t="s">
        <v>3969</v>
      </c>
      <c r="G517" s="45" t="s">
        <v>3969</v>
      </c>
    </row>
    <row r="518">
      <c r="A518" s="45" t="s">
        <v>568</v>
      </c>
      <c r="B518" s="45" t="s">
        <v>2314</v>
      </c>
      <c r="C518" s="45">
        <v>94.0</v>
      </c>
      <c r="D518" s="45">
        <v>13321.0</v>
      </c>
      <c r="E518" s="45" t="s">
        <v>3969</v>
      </c>
      <c r="F518" s="45" t="s">
        <v>3969</v>
      </c>
      <c r="G518" s="45" t="s">
        <v>3969</v>
      </c>
    </row>
    <row r="519">
      <c r="A519" s="45" t="s">
        <v>575</v>
      </c>
      <c r="B519" s="45" t="s">
        <v>2424</v>
      </c>
      <c r="C519" s="45">
        <v>15.0</v>
      </c>
      <c r="D519" s="45">
        <v>16001.0</v>
      </c>
      <c r="E519" s="45" t="s">
        <v>3980</v>
      </c>
      <c r="F519" s="45" t="s">
        <v>3990</v>
      </c>
      <c r="G519" s="45" t="s">
        <v>3969</v>
      </c>
    </row>
    <row r="520">
      <c r="A520" s="45" t="s">
        <v>338</v>
      </c>
      <c r="B520" s="45" t="s">
        <v>2424</v>
      </c>
      <c r="C520" s="45">
        <v>15.0</v>
      </c>
      <c r="D520" s="45">
        <v>16003.0</v>
      </c>
      <c r="E520" s="45" t="s">
        <v>3980</v>
      </c>
      <c r="F520" s="45" t="s">
        <v>3990</v>
      </c>
      <c r="G520" s="45" t="s">
        <v>3969</v>
      </c>
    </row>
    <row r="521">
      <c r="A521" s="45" t="s">
        <v>577</v>
      </c>
      <c r="B521" s="45" t="s">
        <v>2424</v>
      </c>
      <c r="C521" s="45">
        <v>16.0</v>
      </c>
      <c r="D521" s="45">
        <v>16005.0</v>
      </c>
      <c r="E521" s="45" t="s">
        <v>3980</v>
      </c>
      <c r="F521" s="45" t="s">
        <v>3990</v>
      </c>
      <c r="G521" s="45" t="s">
        <v>3969</v>
      </c>
    </row>
    <row r="522">
      <c r="A522" s="45" t="s">
        <v>578</v>
      </c>
      <c r="B522" s="45" t="s">
        <v>2424</v>
      </c>
      <c r="C522" s="45">
        <v>16.0</v>
      </c>
      <c r="D522" s="45">
        <v>16007.0</v>
      </c>
      <c r="E522" s="45" t="s">
        <v>3980</v>
      </c>
      <c r="F522" s="45" t="s">
        <v>3990</v>
      </c>
      <c r="G522" s="45" t="s">
        <v>3969</v>
      </c>
    </row>
    <row r="523">
      <c r="A523" s="45" t="s">
        <v>579</v>
      </c>
      <c r="B523" s="45" t="s">
        <v>2424</v>
      </c>
      <c r="C523" s="45">
        <v>14.0</v>
      </c>
      <c r="D523" s="45">
        <v>16009.0</v>
      </c>
      <c r="E523" s="45" t="s">
        <v>3980</v>
      </c>
      <c r="F523" s="45" t="s">
        <v>3980</v>
      </c>
      <c r="G523" s="45" t="s">
        <v>3969</v>
      </c>
    </row>
    <row r="524">
      <c r="A524" s="45" t="s">
        <v>580</v>
      </c>
      <c r="B524" s="45" t="s">
        <v>2424</v>
      </c>
      <c r="C524" s="45">
        <v>16.0</v>
      </c>
      <c r="D524" s="45">
        <v>16011.0</v>
      </c>
      <c r="E524" s="45" t="s">
        <v>3980</v>
      </c>
      <c r="F524" s="45" t="s">
        <v>3990</v>
      </c>
      <c r="G524" s="45" t="s">
        <v>3969</v>
      </c>
    </row>
    <row r="525">
      <c r="A525" s="45" t="s">
        <v>581</v>
      </c>
      <c r="B525" s="45" t="s">
        <v>2424</v>
      </c>
      <c r="C525" s="45">
        <v>15.0</v>
      </c>
      <c r="D525" s="45">
        <v>16013.0</v>
      </c>
      <c r="E525" s="45" t="s">
        <v>3980</v>
      </c>
      <c r="F525" s="45" t="s">
        <v>3990</v>
      </c>
      <c r="G525" s="45" t="s">
        <v>3969</v>
      </c>
    </row>
    <row r="526">
      <c r="A526" s="45" t="s">
        <v>582</v>
      </c>
      <c r="B526" s="45" t="s">
        <v>2424</v>
      </c>
      <c r="C526" s="45">
        <v>15.0</v>
      </c>
      <c r="D526" s="45">
        <v>16015.0</v>
      </c>
      <c r="E526" s="45" t="s">
        <v>3980</v>
      </c>
      <c r="F526" s="45" t="s">
        <v>3990</v>
      </c>
      <c r="G526" s="45" t="s">
        <v>3969</v>
      </c>
    </row>
    <row r="527">
      <c r="A527" s="45" t="s">
        <v>583</v>
      </c>
      <c r="B527" s="45" t="s">
        <v>2424</v>
      </c>
      <c r="C527" s="45">
        <v>14.0</v>
      </c>
      <c r="D527" s="45">
        <v>16017.0</v>
      </c>
      <c r="E527" s="45" t="s">
        <v>3980</v>
      </c>
      <c r="F527" s="45" t="s">
        <v>3980</v>
      </c>
      <c r="G527" s="45" t="s">
        <v>3969</v>
      </c>
    </row>
    <row r="528">
      <c r="A528" s="45" t="s">
        <v>584</v>
      </c>
      <c r="B528" s="45" t="s">
        <v>2424</v>
      </c>
      <c r="C528" s="45">
        <v>16.0</v>
      </c>
      <c r="D528" s="45">
        <v>16019.0</v>
      </c>
      <c r="E528" s="45" t="s">
        <v>3980</v>
      </c>
      <c r="F528" s="45" t="s">
        <v>3990</v>
      </c>
      <c r="G528" s="45" t="s">
        <v>3969</v>
      </c>
    </row>
    <row r="529">
      <c r="A529" s="45" t="s">
        <v>585</v>
      </c>
      <c r="B529" s="45" t="s">
        <v>2424</v>
      </c>
      <c r="C529" s="45">
        <v>14.0</v>
      </c>
      <c r="D529" s="45">
        <v>16021.0</v>
      </c>
      <c r="E529" s="45" t="s">
        <v>3980</v>
      </c>
      <c r="F529" s="45" t="s">
        <v>3980</v>
      </c>
      <c r="G529" s="45" t="s">
        <v>3969</v>
      </c>
    </row>
    <row r="530">
      <c r="A530" s="45" t="s">
        <v>284</v>
      </c>
      <c r="B530" s="45" t="s">
        <v>2424</v>
      </c>
      <c r="C530" s="45">
        <v>15.0</v>
      </c>
      <c r="D530" s="45">
        <v>16023.0</v>
      </c>
      <c r="E530" s="45" t="s">
        <v>3980</v>
      </c>
      <c r="F530" s="45" t="s">
        <v>3990</v>
      </c>
      <c r="G530" s="45" t="s">
        <v>3969</v>
      </c>
    </row>
    <row r="531">
      <c r="A531" s="45" t="s">
        <v>586</v>
      </c>
      <c r="B531" s="45" t="s">
        <v>2424</v>
      </c>
      <c r="C531" s="45">
        <v>15.0</v>
      </c>
      <c r="D531" s="45">
        <v>16025.0</v>
      </c>
      <c r="E531" s="45" t="s">
        <v>3980</v>
      </c>
      <c r="F531" s="45" t="s">
        <v>3990</v>
      </c>
      <c r="G531" s="45" t="s">
        <v>3969</v>
      </c>
    </row>
    <row r="532">
      <c r="A532" s="45" t="s">
        <v>587</v>
      </c>
      <c r="B532" s="45" t="s">
        <v>2424</v>
      </c>
      <c r="C532" s="45">
        <v>15.0</v>
      </c>
      <c r="D532" s="45">
        <v>16027.0</v>
      </c>
      <c r="E532" s="45" t="s">
        <v>3980</v>
      </c>
      <c r="F532" s="45" t="s">
        <v>3990</v>
      </c>
      <c r="G532" s="45" t="s">
        <v>3969</v>
      </c>
    </row>
    <row r="533">
      <c r="A533" s="45" t="s">
        <v>588</v>
      </c>
      <c r="B533" s="45" t="s">
        <v>2424</v>
      </c>
      <c r="C533" s="45">
        <v>16.0</v>
      </c>
      <c r="D533" s="45">
        <v>16029.0</v>
      </c>
      <c r="E533" s="45" t="s">
        <v>3980</v>
      </c>
      <c r="F533" s="45" t="s">
        <v>3990</v>
      </c>
      <c r="G533" s="45" t="s">
        <v>3969</v>
      </c>
    </row>
    <row r="534">
      <c r="A534" s="45" t="s">
        <v>589</v>
      </c>
      <c r="B534" s="45" t="s">
        <v>2424</v>
      </c>
      <c r="C534" s="45">
        <v>16.0</v>
      </c>
      <c r="D534" s="45">
        <v>16031.0</v>
      </c>
      <c r="E534" s="45" t="s">
        <v>3980</v>
      </c>
      <c r="F534" s="45" t="s">
        <v>3990</v>
      </c>
      <c r="G534" s="45" t="s">
        <v>3969</v>
      </c>
    </row>
    <row r="535">
      <c r="A535" s="45" t="s">
        <v>229</v>
      </c>
      <c r="B535" s="45" t="s">
        <v>2424</v>
      </c>
      <c r="C535" s="45">
        <v>16.0</v>
      </c>
      <c r="D535" s="45">
        <v>16033.0</v>
      </c>
      <c r="E535" s="45" t="s">
        <v>3980</v>
      </c>
      <c r="F535" s="45" t="s">
        <v>3990</v>
      </c>
      <c r="G535" s="45" t="s">
        <v>3969</v>
      </c>
    </row>
    <row r="536">
      <c r="A536" s="45" t="s">
        <v>590</v>
      </c>
      <c r="B536" s="45" t="s">
        <v>2424</v>
      </c>
      <c r="C536" s="45">
        <v>15.0</v>
      </c>
      <c r="D536" s="45">
        <v>16035.0</v>
      </c>
      <c r="E536" s="45" t="s">
        <v>3980</v>
      </c>
      <c r="F536" s="45" t="s">
        <v>3980</v>
      </c>
      <c r="G536" s="45" t="s">
        <v>3969</v>
      </c>
    </row>
    <row r="537">
      <c r="A537" s="45" t="s">
        <v>353</v>
      </c>
      <c r="B537" s="45" t="s">
        <v>2424</v>
      </c>
      <c r="C537" s="45">
        <v>15.0</v>
      </c>
      <c r="D537" s="45">
        <v>16037.0</v>
      </c>
      <c r="E537" s="45" t="s">
        <v>3980</v>
      </c>
      <c r="F537" s="45" t="s">
        <v>3990</v>
      </c>
      <c r="G537" s="45" t="s">
        <v>3969</v>
      </c>
    </row>
    <row r="538">
      <c r="A538" s="45" t="s">
        <v>128</v>
      </c>
      <c r="B538" s="45" t="s">
        <v>2424</v>
      </c>
      <c r="C538" s="45">
        <v>15.0</v>
      </c>
      <c r="D538" s="45">
        <v>16039.0</v>
      </c>
      <c r="E538" s="45" t="s">
        <v>3980</v>
      </c>
      <c r="F538" s="45" t="s">
        <v>3990</v>
      </c>
      <c r="G538" s="45" t="s">
        <v>3969</v>
      </c>
    </row>
    <row r="539">
      <c r="A539" s="45" t="s">
        <v>132</v>
      </c>
      <c r="B539" s="45" t="s">
        <v>2424</v>
      </c>
      <c r="C539" s="45">
        <v>16.0</v>
      </c>
      <c r="D539" s="45">
        <v>16041.0</v>
      </c>
      <c r="E539" s="45" t="s">
        <v>3980</v>
      </c>
      <c r="F539" s="45" t="s">
        <v>3990</v>
      </c>
      <c r="G539" s="45" t="s">
        <v>3969</v>
      </c>
    </row>
    <row r="540">
      <c r="A540" s="45" t="s">
        <v>361</v>
      </c>
      <c r="B540" s="45" t="s">
        <v>2424</v>
      </c>
      <c r="C540" s="45">
        <v>16.0</v>
      </c>
      <c r="D540" s="45">
        <v>16043.0</v>
      </c>
      <c r="E540" s="45" t="s">
        <v>3980</v>
      </c>
      <c r="F540" s="45" t="s">
        <v>3990</v>
      </c>
      <c r="G540" s="45" t="s">
        <v>3969</v>
      </c>
    </row>
    <row r="541">
      <c r="A541" s="45" t="s">
        <v>591</v>
      </c>
      <c r="B541" s="45" t="s">
        <v>2424</v>
      </c>
      <c r="C541" s="45">
        <v>15.0</v>
      </c>
      <c r="D541" s="45">
        <v>16045.0</v>
      </c>
      <c r="E541" s="45" t="s">
        <v>3980</v>
      </c>
      <c r="F541" s="45" t="s">
        <v>3990</v>
      </c>
      <c r="G541" s="45" t="s">
        <v>3969</v>
      </c>
    </row>
    <row r="542">
      <c r="A542" s="45" t="s">
        <v>592</v>
      </c>
      <c r="B542" s="45" t="s">
        <v>2424</v>
      </c>
      <c r="C542" s="45">
        <v>15.0</v>
      </c>
      <c r="D542" s="45">
        <v>16047.0</v>
      </c>
      <c r="E542" s="45" t="s">
        <v>3980</v>
      </c>
      <c r="F542" s="45" t="s">
        <v>3990</v>
      </c>
      <c r="G542" s="45" t="s">
        <v>3969</v>
      </c>
    </row>
    <row r="543">
      <c r="A543" s="45" t="s">
        <v>576</v>
      </c>
      <c r="B543" s="45" t="s">
        <v>2424</v>
      </c>
      <c r="C543" s="45">
        <v>15.0</v>
      </c>
      <c r="D543" s="45">
        <v>16049.0</v>
      </c>
      <c r="E543" s="45" t="s">
        <v>3980</v>
      </c>
      <c r="F543" s="45" t="s">
        <v>3990</v>
      </c>
      <c r="G543" s="45" t="s">
        <v>3969</v>
      </c>
    </row>
    <row r="544">
      <c r="A544" s="45" t="s">
        <v>139</v>
      </c>
      <c r="B544" s="45" t="s">
        <v>2424</v>
      </c>
      <c r="C544" s="45">
        <v>16.0</v>
      </c>
      <c r="D544" s="45">
        <v>16051.0</v>
      </c>
      <c r="E544" s="45" t="s">
        <v>3980</v>
      </c>
      <c r="F544" s="45" t="s">
        <v>3990</v>
      </c>
      <c r="G544" s="45" t="s">
        <v>3969</v>
      </c>
    </row>
    <row r="545">
      <c r="A545" s="45" t="s">
        <v>593</v>
      </c>
      <c r="B545" s="45" t="s">
        <v>2424</v>
      </c>
      <c r="C545" s="45">
        <v>15.0</v>
      </c>
      <c r="D545" s="45">
        <v>16053.0</v>
      </c>
      <c r="E545" s="45" t="s">
        <v>3980</v>
      </c>
      <c r="F545" s="45" t="s">
        <v>3990</v>
      </c>
      <c r="G545" s="45" t="s">
        <v>3969</v>
      </c>
    </row>
    <row r="546">
      <c r="A546" s="45" t="s">
        <v>594</v>
      </c>
      <c r="B546" s="45" t="s">
        <v>2424</v>
      </c>
      <c r="C546" s="45">
        <v>14.0</v>
      </c>
      <c r="D546" s="45">
        <v>16055.0</v>
      </c>
      <c r="E546" s="45" t="s">
        <v>3980</v>
      </c>
      <c r="F546" s="45" t="s">
        <v>3980</v>
      </c>
      <c r="G546" s="45" t="s">
        <v>3969</v>
      </c>
    </row>
    <row r="547">
      <c r="A547" s="45" t="s">
        <v>595</v>
      </c>
      <c r="B547" s="45" t="s">
        <v>2424</v>
      </c>
      <c r="C547" s="45">
        <v>14.0</v>
      </c>
      <c r="D547" s="45">
        <v>16057.0</v>
      </c>
      <c r="E547" s="45" t="s">
        <v>3980</v>
      </c>
      <c r="F547" s="45" t="s">
        <v>3980</v>
      </c>
      <c r="G547" s="45" t="s">
        <v>3969</v>
      </c>
    </row>
    <row r="548">
      <c r="A548" s="45" t="s">
        <v>596</v>
      </c>
      <c r="B548" s="45" t="s">
        <v>2424</v>
      </c>
      <c r="C548" s="45">
        <v>15.0</v>
      </c>
      <c r="D548" s="45">
        <v>16059.0</v>
      </c>
      <c r="E548" s="45" t="s">
        <v>3980</v>
      </c>
      <c r="F548" s="45" t="s">
        <v>3990</v>
      </c>
      <c r="G548" s="45" t="s">
        <v>3969</v>
      </c>
    </row>
    <row r="549">
      <c r="A549" s="45" t="s">
        <v>597</v>
      </c>
      <c r="B549" s="45" t="s">
        <v>2424</v>
      </c>
      <c r="C549" s="45">
        <v>14.0</v>
      </c>
      <c r="D549" s="45">
        <v>16061.0</v>
      </c>
      <c r="E549" s="45" t="s">
        <v>3980</v>
      </c>
      <c r="F549" s="45" t="s">
        <v>3980</v>
      </c>
      <c r="G549" s="45" t="s">
        <v>3969</v>
      </c>
    </row>
    <row r="550">
      <c r="A550" s="45" t="s">
        <v>250</v>
      </c>
      <c r="B550" s="45" t="s">
        <v>2424</v>
      </c>
      <c r="C550" s="45">
        <v>15.0</v>
      </c>
      <c r="D550" s="45">
        <v>16063.0</v>
      </c>
      <c r="E550" s="45" t="s">
        <v>3980</v>
      </c>
      <c r="F550" s="45" t="s">
        <v>3990</v>
      </c>
      <c r="G550" s="45" t="s">
        <v>3969</v>
      </c>
    </row>
    <row r="551">
      <c r="A551" s="45" t="s">
        <v>147</v>
      </c>
      <c r="B551" s="45" t="s">
        <v>2424</v>
      </c>
      <c r="C551" s="45">
        <v>16.0</v>
      </c>
      <c r="D551" s="45">
        <v>16065.0</v>
      </c>
      <c r="E551" s="45" t="s">
        <v>3980</v>
      </c>
      <c r="F551" s="45" t="s">
        <v>3990</v>
      </c>
      <c r="G551" s="45" t="s">
        <v>3969</v>
      </c>
    </row>
    <row r="552">
      <c r="A552" s="45" t="s">
        <v>598</v>
      </c>
      <c r="B552" s="45" t="s">
        <v>2424</v>
      </c>
      <c r="C552" s="45">
        <v>15.0</v>
      </c>
      <c r="D552" s="45">
        <v>16067.0</v>
      </c>
      <c r="E552" s="45" t="s">
        <v>3980</v>
      </c>
      <c r="F552" s="45" t="s">
        <v>3990</v>
      </c>
      <c r="G552" s="45" t="s">
        <v>3969</v>
      </c>
    </row>
    <row r="553">
      <c r="A553" s="45" t="s">
        <v>599</v>
      </c>
      <c r="B553" s="45" t="s">
        <v>2424</v>
      </c>
      <c r="C553" s="45">
        <v>14.0</v>
      </c>
      <c r="D553" s="45">
        <v>16069.0</v>
      </c>
      <c r="E553" s="45" t="s">
        <v>3980</v>
      </c>
      <c r="F553" s="45" t="s">
        <v>3980</v>
      </c>
      <c r="G553" s="45" t="s">
        <v>3969</v>
      </c>
    </row>
    <row r="554">
      <c r="A554" s="45" t="s">
        <v>600</v>
      </c>
      <c r="B554" s="45" t="s">
        <v>2424</v>
      </c>
      <c r="C554" s="45">
        <v>16.0</v>
      </c>
      <c r="D554" s="45">
        <v>16071.0</v>
      </c>
      <c r="E554" s="45" t="s">
        <v>3980</v>
      </c>
      <c r="F554" s="45" t="s">
        <v>3990</v>
      </c>
      <c r="G554" s="45" t="s">
        <v>3969</v>
      </c>
    </row>
    <row r="555">
      <c r="A555" s="45" t="s">
        <v>601</v>
      </c>
      <c r="B555" s="45" t="s">
        <v>2424</v>
      </c>
      <c r="C555" s="45">
        <v>15.0</v>
      </c>
      <c r="D555" s="45">
        <v>16073.0</v>
      </c>
      <c r="E555" s="45" t="s">
        <v>3980</v>
      </c>
      <c r="F555" s="45" t="s">
        <v>3990</v>
      </c>
      <c r="G555" s="45" t="s">
        <v>3969</v>
      </c>
    </row>
    <row r="556">
      <c r="A556" s="45" t="s">
        <v>602</v>
      </c>
      <c r="B556" s="45" t="s">
        <v>2424</v>
      </c>
      <c r="C556" s="45">
        <v>15.0</v>
      </c>
      <c r="D556" s="45">
        <v>16075.0</v>
      </c>
      <c r="E556" s="45" t="s">
        <v>3980</v>
      </c>
      <c r="F556" s="45" t="s">
        <v>3990</v>
      </c>
      <c r="G556" s="45" t="s">
        <v>3969</v>
      </c>
    </row>
    <row r="557">
      <c r="A557" s="45" t="s">
        <v>603</v>
      </c>
      <c r="B557" s="45" t="s">
        <v>2424</v>
      </c>
      <c r="C557" s="45">
        <v>16.0</v>
      </c>
      <c r="D557" s="45">
        <v>16077.0</v>
      </c>
      <c r="E557" s="45" t="s">
        <v>3980</v>
      </c>
      <c r="F557" s="45" t="s">
        <v>3990</v>
      </c>
      <c r="G557" s="45" t="s">
        <v>3969</v>
      </c>
    </row>
    <row r="558">
      <c r="A558" s="45" t="s">
        <v>604</v>
      </c>
      <c r="B558" s="45" t="s">
        <v>2424</v>
      </c>
      <c r="C558" s="45">
        <v>15.0</v>
      </c>
      <c r="D558" s="45">
        <v>16079.0</v>
      </c>
      <c r="E558" s="45" t="s">
        <v>3980</v>
      </c>
      <c r="F558" s="45" t="s">
        <v>3980</v>
      </c>
      <c r="G558" s="45" t="s">
        <v>3969</v>
      </c>
    </row>
    <row r="559">
      <c r="A559" s="45" t="s">
        <v>605</v>
      </c>
      <c r="B559" s="45" t="s">
        <v>2424</v>
      </c>
      <c r="C559" s="45">
        <v>16.0</v>
      </c>
      <c r="D559" s="45">
        <v>16081.0</v>
      </c>
      <c r="E559" s="45" t="s">
        <v>3980</v>
      </c>
      <c r="F559" s="45" t="s">
        <v>3990</v>
      </c>
      <c r="G559" s="45" t="s">
        <v>3969</v>
      </c>
    </row>
    <row r="560">
      <c r="A560" s="45" t="s">
        <v>606</v>
      </c>
      <c r="B560" s="45" t="s">
        <v>2424</v>
      </c>
      <c r="C560" s="45">
        <v>16.0</v>
      </c>
      <c r="D560" s="45">
        <v>16083.0</v>
      </c>
      <c r="E560" s="45" t="s">
        <v>3980</v>
      </c>
      <c r="F560" s="45" t="s">
        <v>3990</v>
      </c>
      <c r="G560" s="45" t="s">
        <v>3969</v>
      </c>
    </row>
    <row r="561">
      <c r="A561" s="45" t="s">
        <v>607</v>
      </c>
      <c r="B561" s="45" t="s">
        <v>2424</v>
      </c>
      <c r="C561" s="45">
        <v>15.0</v>
      </c>
      <c r="D561" s="45">
        <v>16085.0</v>
      </c>
      <c r="E561" s="45" t="s">
        <v>3980</v>
      </c>
      <c r="F561" s="45" t="s">
        <v>3990</v>
      </c>
      <c r="G561" s="45" t="s">
        <v>3969</v>
      </c>
    </row>
    <row r="562">
      <c r="A562" s="45" t="s">
        <v>167</v>
      </c>
      <c r="B562" s="45" t="s">
        <v>2424</v>
      </c>
      <c r="C562" s="45">
        <v>15.0</v>
      </c>
      <c r="D562" s="45">
        <v>16087.0</v>
      </c>
      <c r="E562" s="45" t="s">
        <v>3980</v>
      </c>
      <c r="F562" s="45" t="s">
        <v>3990</v>
      </c>
      <c r="G562" s="45" t="s">
        <v>3969</v>
      </c>
    </row>
    <row r="563">
      <c r="A563" s="45" t="s">
        <v>338</v>
      </c>
      <c r="B563" s="45" t="s">
        <v>2458</v>
      </c>
      <c r="C563" s="45">
        <v>81.0</v>
      </c>
      <c r="D563" s="45">
        <v>17001.0</v>
      </c>
      <c r="E563" s="45" t="s">
        <v>3991</v>
      </c>
      <c r="F563" s="45" t="s">
        <v>3992</v>
      </c>
      <c r="G563" s="45" t="s">
        <v>3969</v>
      </c>
    </row>
    <row r="564">
      <c r="A564" s="45" t="s">
        <v>609</v>
      </c>
      <c r="B564" s="45" t="s">
        <v>2458</v>
      </c>
      <c r="C564" s="45">
        <v>81.0</v>
      </c>
      <c r="D564" s="45">
        <v>17003.0</v>
      </c>
      <c r="E564" s="45" t="s">
        <v>3991</v>
      </c>
      <c r="F564" s="45" t="s">
        <v>3992</v>
      </c>
      <c r="G564" s="45" t="s">
        <v>3969</v>
      </c>
    </row>
    <row r="565">
      <c r="A565" s="45" t="s">
        <v>610</v>
      </c>
      <c r="B565" s="45" t="s">
        <v>2458</v>
      </c>
      <c r="C565" s="45">
        <v>81.0</v>
      </c>
      <c r="D565" s="45">
        <v>17005.0</v>
      </c>
      <c r="E565" s="45" t="s">
        <v>3991</v>
      </c>
      <c r="F565" s="45" t="s">
        <v>3992</v>
      </c>
      <c r="G565" s="45" t="s">
        <v>3969</v>
      </c>
    </row>
    <row r="566">
      <c r="A566" s="45" t="s">
        <v>225</v>
      </c>
      <c r="B566" s="45" t="s">
        <v>2458</v>
      </c>
      <c r="C566" s="45">
        <v>80.0</v>
      </c>
      <c r="D566" s="45">
        <v>17007.0</v>
      </c>
      <c r="E566" s="45" t="s">
        <v>3993</v>
      </c>
      <c r="F566" s="45" t="s">
        <v>3994</v>
      </c>
      <c r="G566" s="45" t="s">
        <v>3969</v>
      </c>
    </row>
    <row r="567">
      <c r="A567" s="45" t="s">
        <v>611</v>
      </c>
      <c r="B567" s="45" t="s">
        <v>2458</v>
      </c>
      <c r="C567" s="45">
        <v>81.0</v>
      </c>
      <c r="D567" s="45">
        <v>17009.0</v>
      </c>
      <c r="E567" s="45" t="s">
        <v>3991</v>
      </c>
      <c r="F567" s="45" t="s">
        <v>3992</v>
      </c>
      <c r="G567" s="45" t="s">
        <v>3969</v>
      </c>
    </row>
    <row r="568">
      <c r="A568" s="45" t="s">
        <v>612</v>
      </c>
      <c r="B568" s="45" t="s">
        <v>2458</v>
      </c>
      <c r="C568" s="45">
        <v>81.0</v>
      </c>
      <c r="D568" s="45">
        <v>17011.0</v>
      </c>
      <c r="E568" s="45" t="s">
        <v>3991</v>
      </c>
      <c r="F568" s="45" t="s">
        <v>3992</v>
      </c>
    </row>
    <row r="569">
      <c r="A569" s="45" t="s">
        <v>110</v>
      </c>
      <c r="B569" s="45" t="s">
        <v>2458</v>
      </c>
      <c r="C569" s="45">
        <v>81.0</v>
      </c>
      <c r="D569" s="45">
        <v>17013.0</v>
      </c>
      <c r="E569" s="45" t="s">
        <v>3991</v>
      </c>
      <c r="F569" s="45" t="s">
        <v>3992</v>
      </c>
    </row>
    <row r="570">
      <c r="A570" s="45" t="s">
        <v>227</v>
      </c>
      <c r="B570" s="45" t="s">
        <v>2458</v>
      </c>
      <c r="C570" s="45">
        <v>80.0</v>
      </c>
      <c r="D570" s="45">
        <v>17015.0</v>
      </c>
      <c r="E570" s="45" t="s">
        <v>3995</v>
      </c>
      <c r="F570" s="45" t="s">
        <v>3994</v>
      </c>
    </row>
    <row r="571">
      <c r="A571" s="45" t="s">
        <v>613</v>
      </c>
      <c r="B571" s="45" t="s">
        <v>2458</v>
      </c>
      <c r="C571" s="45">
        <v>81.0</v>
      </c>
      <c r="D571" s="45">
        <v>17017.0</v>
      </c>
      <c r="E571" s="45" t="s">
        <v>3991</v>
      </c>
      <c r="F571" s="45" t="s">
        <v>3992</v>
      </c>
    </row>
    <row r="572">
      <c r="A572" s="45" t="s">
        <v>614</v>
      </c>
      <c r="B572" s="45" t="s">
        <v>2458</v>
      </c>
      <c r="C572" s="45">
        <v>83.0</v>
      </c>
      <c r="D572" s="45">
        <v>17019.0</v>
      </c>
      <c r="E572" s="45" t="s">
        <v>3991</v>
      </c>
      <c r="F572" s="45" t="s">
        <v>3992</v>
      </c>
    </row>
    <row r="573">
      <c r="A573" s="45" t="s">
        <v>615</v>
      </c>
      <c r="B573" s="45" t="s">
        <v>2458</v>
      </c>
      <c r="C573" s="45">
        <v>83.0</v>
      </c>
      <c r="D573" s="45">
        <v>17021.0</v>
      </c>
      <c r="E573" s="45" t="s">
        <v>3991</v>
      </c>
      <c r="F573" s="45" t="s">
        <v>3992</v>
      </c>
      <c r="G573" s="45" t="s">
        <v>3990</v>
      </c>
    </row>
    <row r="574">
      <c r="A574" s="45" t="s">
        <v>229</v>
      </c>
      <c r="B574" s="45" t="s">
        <v>2458</v>
      </c>
      <c r="C574" s="45">
        <v>83.0</v>
      </c>
      <c r="D574" s="45">
        <v>17023.0</v>
      </c>
      <c r="E574" s="45" t="s">
        <v>3991</v>
      </c>
      <c r="F574" s="45" t="s">
        <v>3992</v>
      </c>
      <c r="G574" s="45" t="s">
        <v>3990</v>
      </c>
    </row>
    <row r="575">
      <c r="A575" s="45" t="s">
        <v>116</v>
      </c>
      <c r="B575" s="45" t="s">
        <v>2458</v>
      </c>
      <c r="C575" s="45">
        <v>83.0</v>
      </c>
      <c r="D575" s="45">
        <v>17025.0</v>
      </c>
      <c r="E575" s="45" t="s">
        <v>3991</v>
      </c>
      <c r="F575" s="45" t="s">
        <v>3992</v>
      </c>
      <c r="G575" s="45" t="s">
        <v>3990</v>
      </c>
    </row>
    <row r="576">
      <c r="A576" s="45" t="s">
        <v>616</v>
      </c>
      <c r="B576" s="45" t="s">
        <v>2458</v>
      </c>
      <c r="C576" s="45">
        <v>81.0</v>
      </c>
      <c r="D576" s="45">
        <v>17027.0</v>
      </c>
      <c r="E576" s="45" t="s">
        <v>3991</v>
      </c>
      <c r="F576" s="45" t="s">
        <v>3992</v>
      </c>
      <c r="G576" s="45" t="s">
        <v>3990</v>
      </c>
    </row>
    <row r="577">
      <c r="A577" s="45" t="s">
        <v>617</v>
      </c>
      <c r="B577" s="45" t="s">
        <v>2458</v>
      </c>
      <c r="C577" s="45">
        <v>83.0</v>
      </c>
      <c r="D577" s="45">
        <v>17029.0</v>
      </c>
      <c r="E577" s="45" t="s">
        <v>3991</v>
      </c>
      <c r="F577" s="45" t="s">
        <v>3992</v>
      </c>
      <c r="G577" s="45" t="s">
        <v>3990</v>
      </c>
    </row>
    <row r="578">
      <c r="A578" s="45" t="s">
        <v>487</v>
      </c>
      <c r="B578" s="45" t="s">
        <v>2458</v>
      </c>
      <c r="C578" s="45">
        <v>80.0</v>
      </c>
      <c r="D578" s="45">
        <v>17031.0</v>
      </c>
      <c r="E578" s="45" t="s">
        <v>3993</v>
      </c>
      <c r="F578" s="45" t="s">
        <v>3994</v>
      </c>
      <c r="G578" s="45" t="s">
        <v>3990</v>
      </c>
    </row>
    <row r="579">
      <c r="A579" s="45" t="s">
        <v>234</v>
      </c>
      <c r="B579" s="45" t="s">
        <v>2458</v>
      </c>
      <c r="C579" s="45">
        <v>83.0</v>
      </c>
      <c r="D579" s="45">
        <v>17033.0</v>
      </c>
      <c r="E579" s="45" t="s">
        <v>3991</v>
      </c>
      <c r="F579" s="45" t="s">
        <v>3992</v>
      </c>
      <c r="G579" s="45" t="s">
        <v>3990</v>
      </c>
    </row>
    <row r="580">
      <c r="A580" s="45" t="s">
        <v>618</v>
      </c>
      <c r="B580" s="45" t="s">
        <v>2458</v>
      </c>
      <c r="C580" s="45">
        <v>83.0</v>
      </c>
      <c r="D580" s="45">
        <v>17035.0</v>
      </c>
      <c r="E580" s="45" t="s">
        <v>3991</v>
      </c>
      <c r="F580" s="45" t="s">
        <v>3992</v>
      </c>
      <c r="G580" s="45" t="s">
        <v>3990</v>
      </c>
    </row>
    <row r="581">
      <c r="A581" s="45" t="s">
        <v>127</v>
      </c>
      <c r="B581" s="45" t="s">
        <v>2458</v>
      </c>
      <c r="C581" s="45">
        <v>80.0</v>
      </c>
      <c r="D581" s="45">
        <v>17037.0</v>
      </c>
      <c r="E581" s="45" t="s">
        <v>3993</v>
      </c>
      <c r="F581" s="45" t="s">
        <v>3994</v>
      </c>
      <c r="G581" s="45" t="s">
        <v>3990</v>
      </c>
    </row>
    <row r="582">
      <c r="A582" s="45" t="s">
        <v>619</v>
      </c>
      <c r="B582" s="45" t="s">
        <v>2458</v>
      </c>
      <c r="C582" s="45">
        <v>83.0</v>
      </c>
      <c r="D582" s="45">
        <v>17039.0</v>
      </c>
      <c r="E582" s="45" t="s">
        <v>3991</v>
      </c>
      <c r="F582" s="45" t="s">
        <v>3992</v>
      </c>
      <c r="G582" s="45" t="s">
        <v>3990</v>
      </c>
    </row>
    <row r="583">
      <c r="A583" s="45" t="s">
        <v>357</v>
      </c>
      <c r="B583" s="45" t="s">
        <v>2458</v>
      </c>
      <c r="C583" s="45">
        <v>83.0</v>
      </c>
      <c r="D583" s="45">
        <v>17041.0</v>
      </c>
      <c r="E583" s="45" t="s">
        <v>3991</v>
      </c>
      <c r="F583" s="45" t="s">
        <v>3992</v>
      </c>
      <c r="G583" s="45" t="s">
        <v>3990</v>
      </c>
    </row>
    <row r="584">
      <c r="A584" s="45" t="s">
        <v>620</v>
      </c>
      <c r="B584" s="45" t="s">
        <v>2458</v>
      </c>
      <c r="C584" s="45">
        <v>80.0</v>
      </c>
      <c r="D584" s="45">
        <v>17043.0</v>
      </c>
      <c r="E584" s="45" t="s">
        <v>3993</v>
      </c>
      <c r="F584" s="45" t="s">
        <v>3994</v>
      </c>
      <c r="G584" s="45" t="s">
        <v>3990</v>
      </c>
    </row>
    <row r="585">
      <c r="A585" s="45" t="s">
        <v>621</v>
      </c>
      <c r="B585" s="45" t="s">
        <v>2458</v>
      </c>
      <c r="C585" s="45">
        <v>83.0</v>
      </c>
      <c r="D585" s="45">
        <v>17045.0</v>
      </c>
      <c r="E585" s="45" t="s">
        <v>3991</v>
      </c>
      <c r="F585" s="45" t="s">
        <v>3992</v>
      </c>
      <c r="G585" s="45" t="s">
        <v>3990</v>
      </c>
    </row>
    <row r="586">
      <c r="A586" s="45" t="s">
        <v>622</v>
      </c>
      <c r="B586" s="45" t="s">
        <v>2458</v>
      </c>
      <c r="C586" s="45">
        <v>83.0</v>
      </c>
      <c r="D586" s="45">
        <v>17047.0</v>
      </c>
      <c r="E586" s="45" t="s">
        <v>3991</v>
      </c>
      <c r="F586" s="45" t="s">
        <v>3992</v>
      </c>
      <c r="G586" s="45" t="s">
        <v>3990</v>
      </c>
    </row>
    <row r="587">
      <c r="A587" s="45" t="s">
        <v>498</v>
      </c>
      <c r="B587" s="45" t="s">
        <v>2458</v>
      </c>
      <c r="C587" s="45">
        <v>83.0</v>
      </c>
      <c r="D587" s="45">
        <v>17049.0</v>
      </c>
      <c r="E587" s="45" t="s">
        <v>3991</v>
      </c>
      <c r="F587" s="45" t="s">
        <v>3992</v>
      </c>
      <c r="G587" s="45" t="s">
        <v>3990</v>
      </c>
    </row>
    <row r="588">
      <c r="A588" s="45" t="s">
        <v>131</v>
      </c>
      <c r="B588" s="45" t="s">
        <v>2458</v>
      </c>
      <c r="C588" s="45">
        <v>81.0</v>
      </c>
      <c r="D588" s="45">
        <v>17051.0</v>
      </c>
      <c r="E588" s="45" t="s">
        <v>3991</v>
      </c>
      <c r="F588" s="45" t="s">
        <v>3992</v>
      </c>
      <c r="G588" s="45" t="s">
        <v>3990</v>
      </c>
    </row>
    <row r="589">
      <c r="A589" s="45" t="s">
        <v>623</v>
      </c>
      <c r="B589" s="45" t="s">
        <v>2458</v>
      </c>
      <c r="C589" s="45">
        <v>83.0</v>
      </c>
      <c r="D589" s="45">
        <v>17053.0</v>
      </c>
      <c r="E589" s="45" t="s">
        <v>3991</v>
      </c>
      <c r="F589" s="45" t="s">
        <v>3992</v>
      </c>
      <c r="G589" s="45" t="s">
        <v>3990</v>
      </c>
    </row>
    <row r="590">
      <c r="A590" s="45" t="s">
        <v>132</v>
      </c>
      <c r="B590" s="45" t="s">
        <v>2458</v>
      </c>
      <c r="C590" s="45">
        <v>81.0</v>
      </c>
      <c r="D590" s="45">
        <v>17055.0</v>
      </c>
      <c r="E590" s="45" t="s">
        <v>3991</v>
      </c>
      <c r="F590" s="45" t="s">
        <v>3992</v>
      </c>
      <c r="G590" s="45" t="s">
        <v>3990</v>
      </c>
    </row>
    <row r="591">
      <c r="A591" s="45" t="s">
        <v>240</v>
      </c>
      <c r="B591" s="45" t="s">
        <v>2458</v>
      </c>
      <c r="C591" s="45">
        <v>81.0</v>
      </c>
      <c r="D591" s="45">
        <v>17057.0</v>
      </c>
      <c r="E591" s="45" t="s">
        <v>3991</v>
      </c>
      <c r="F591" s="45" t="s">
        <v>3992</v>
      </c>
      <c r="G591" s="45" t="s">
        <v>3990</v>
      </c>
    </row>
    <row r="592">
      <c r="A592" s="45" t="s">
        <v>624</v>
      </c>
      <c r="B592" s="45" t="s">
        <v>2458</v>
      </c>
      <c r="C592" s="45">
        <v>81.0</v>
      </c>
      <c r="D592" s="45">
        <v>17059.0</v>
      </c>
      <c r="E592" s="45" t="s">
        <v>3991</v>
      </c>
      <c r="F592" s="45" t="s">
        <v>3992</v>
      </c>
      <c r="G592" s="45" t="s">
        <v>3990</v>
      </c>
    </row>
    <row r="593">
      <c r="A593" s="45" t="s">
        <v>134</v>
      </c>
      <c r="B593" s="45" t="s">
        <v>2458</v>
      </c>
      <c r="C593" s="45">
        <v>81.0</v>
      </c>
      <c r="D593" s="45">
        <v>17061.0</v>
      </c>
      <c r="E593" s="45" t="s">
        <v>3991</v>
      </c>
      <c r="F593" s="45" t="s">
        <v>3992</v>
      </c>
      <c r="G593" s="45" t="s">
        <v>3990</v>
      </c>
    </row>
    <row r="594">
      <c r="A594" s="45" t="s">
        <v>625</v>
      </c>
      <c r="B594" s="45" t="s">
        <v>2458</v>
      </c>
      <c r="C594" s="45">
        <v>80.0</v>
      </c>
      <c r="D594" s="45">
        <v>17063.0</v>
      </c>
      <c r="E594" s="45" t="s">
        <v>3993</v>
      </c>
      <c r="F594" s="45" t="s">
        <v>3992</v>
      </c>
      <c r="G594" s="45" t="s">
        <v>3990</v>
      </c>
    </row>
    <row r="595">
      <c r="A595" s="45" t="s">
        <v>428</v>
      </c>
      <c r="B595" s="45" t="s">
        <v>2458</v>
      </c>
      <c r="C595" s="45">
        <v>81.0</v>
      </c>
      <c r="D595" s="45">
        <v>17065.0</v>
      </c>
      <c r="E595" s="45" t="s">
        <v>3991</v>
      </c>
      <c r="F595" s="45" t="s">
        <v>3992</v>
      </c>
      <c r="G595" s="45" t="s">
        <v>3990</v>
      </c>
    </row>
    <row r="596">
      <c r="A596" s="45" t="s">
        <v>512</v>
      </c>
      <c r="B596" s="45" t="s">
        <v>2458</v>
      </c>
      <c r="C596" s="45">
        <v>81.0</v>
      </c>
      <c r="D596" s="45">
        <v>17067.0</v>
      </c>
      <c r="E596" s="45" t="s">
        <v>3995</v>
      </c>
      <c r="F596" s="45" t="s">
        <v>3992</v>
      </c>
      <c r="G596" s="45" t="s">
        <v>3990</v>
      </c>
    </row>
    <row r="597">
      <c r="A597" s="45" t="s">
        <v>626</v>
      </c>
      <c r="B597" s="45" t="s">
        <v>2458</v>
      </c>
      <c r="C597" s="45">
        <v>81.0</v>
      </c>
      <c r="D597" s="45">
        <v>17069.0</v>
      </c>
      <c r="E597" s="45" t="s">
        <v>3991</v>
      </c>
      <c r="F597" s="45" t="s">
        <v>3992</v>
      </c>
      <c r="G597" s="45" t="s">
        <v>3990</v>
      </c>
    </row>
    <row r="598">
      <c r="A598" s="45" t="s">
        <v>627</v>
      </c>
      <c r="B598" s="45" t="s">
        <v>2458</v>
      </c>
      <c r="C598" s="45">
        <v>81.0</v>
      </c>
      <c r="D598" s="45">
        <v>17071.0</v>
      </c>
      <c r="E598" s="45" t="s">
        <v>3995</v>
      </c>
      <c r="F598" s="45" t="s">
        <v>3992</v>
      </c>
      <c r="G598" s="45" t="s">
        <v>3990</v>
      </c>
    </row>
    <row r="599">
      <c r="A599" s="45" t="s">
        <v>136</v>
      </c>
      <c r="B599" s="45" t="s">
        <v>2458</v>
      </c>
      <c r="C599" s="45">
        <v>81.0</v>
      </c>
      <c r="D599" s="45">
        <v>17073.0</v>
      </c>
      <c r="E599" s="45" t="s">
        <v>3995</v>
      </c>
      <c r="F599" s="45" t="s">
        <v>3992</v>
      </c>
      <c r="G599" s="45" t="s">
        <v>3990</v>
      </c>
    </row>
    <row r="600">
      <c r="A600" s="45" t="s">
        <v>628</v>
      </c>
      <c r="B600" s="45" t="s">
        <v>2458</v>
      </c>
      <c r="C600" s="45">
        <v>83.0</v>
      </c>
      <c r="D600" s="45">
        <v>17075.0</v>
      </c>
      <c r="E600" s="45" t="s">
        <v>3991</v>
      </c>
      <c r="F600" s="45" t="s">
        <v>3992</v>
      </c>
      <c r="G600" s="45" t="s">
        <v>3990</v>
      </c>
    </row>
    <row r="601">
      <c r="A601" s="45" t="s">
        <v>138</v>
      </c>
      <c r="B601" s="45" t="s">
        <v>2458</v>
      </c>
      <c r="C601" s="45">
        <v>81.0</v>
      </c>
      <c r="D601" s="45">
        <v>17077.0</v>
      </c>
      <c r="E601" s="45" t="s">
        <v>3991</v>
      </c>
      <c r="F601" s="45" t="s">
        <v>3992</v>
      </c>
      <c r="G601" s="45" t="s">
        <v>3990</v>
      </c>
    </row>
    <row r="602">
      <c r="A602" s="45" t="s">
        <v>518</v>
      </c>
      <c r="B602" s="45" t="s">
        <v>2458</v>
      </c>
      <c r="C602" s="45">
        <v>83.0</v>
      </c>
      <c r="D602" s="45">
        <v>17079.0</v>
      </c>
      <c r="E602" s="45" t="s">
        <v>3991</v>
      </c>
      <c r="F602" s="45" t="s">
        <v>3992</v>
      </c>
      <c r="G602" s="45" t="s">
        <v>3990</v>
      </c>
    </row>
    <row r="603">
      <c r="A603" s="45" t="s">
        <v>139</v>
      </c>
      <c r="B603" s="45" t="s">
        <v>2458</v>
      </c>
      <c r="C603" s="45">
        <v>81.0</v>
      </c>
      <c r="D603" s="45">
        <v>17081.0</v>
      </c>
      <c r="E603" s="45" t="s">
        <v>3991</v>
      </c>
      <c r="F603" s="45" t="s">
        <v>3992</v>
      </c>
      <c r="G603" s="45" t="s">
        <v>3990</v>
      </c>
    </row>
    <row r="604">
      <c r="A604" s="45" t="s">
        <v>629</v>
      </c>
      <c r="B604" s="45" t="s">
        <v>2458</v>
      </c>
      <c r="C604" s="45">
        <v>81.0</v>
      </c>
      <c r="D604" s="45">
        <v>17083.0</v>
      </c>
      <c r="E604" s="45" t="s">
        <v>3991</v>
      </c>
      <c r="F604" s="45" t="s">
        <v>3992</v>
      </c>
      <c r="G604" s="45" t="s">
        <v>3990</v>
      </c>
    </row>
    <row r="605">
      <c r="A605" s="45" t="s">
        <v>630</v>
      </c>
      <c r="B605" s="45" t="s">
        <v>2458</v>
      </c>
      <c r="C605" s="45">
        <v>80.0</v>
      </c>
      <c r="D605" s="45">
        <v>17085.0</v>
      </c>
      <c r="E605" s="45" t="s">
        <v>3993</v>
      </c>
      <c r="F605" s="45" t="s">
        <v>3996</v>
      </c>
      <c r="G605" s="45" t="s">
        <v>3990</v>
      </c>
    </row>
    <row r="606">
      <c r="A606" s="45" t="s">
        <v>248</v>
      </c>
      <c r="B606" s="45" t="s">
        <v>2458</v>
      </c>
      <c r="C606" s="45">
        <v>81.0</v>
      </c>
      <c r="D606" s="45">
        <v>17087.0</v>
      </c>
      <c r="E606" s="45" t="s">
        <v>3991</v>
      </c>
      <c r="F606" s="45" t="s">
        <v>3992</v>
      </c>
      <c r="G606" s="45" t="s">
        <v>3990</v>
      </c>
    </row>
    <row r="607">
      <c r="A607" s="45" t="s">
        <v>631</v>
      </c>
      <c r="B607" s="45" t="s">
        <v>2458</v>
      </c>
      <c r="C607" s="45">
        <v>80.0</v>
      </c>
      <c r="D607" s="45">
        <v>17089.0</v>
      </c>
      <c r="E607" s="45" t="s">
        <v>3993</v>
      </c>
      <c r="F607" s="45" t="s">
        <v>3994</v>
      </c>
      <c r="G607" s="45" t="s">
        <v>3990</v>
      </c>
    </row>
    <row r="608">
      <c r="A608" s="45" t="s">
        <v>632</v>
      </c>
      <c r="B608" s="45" t="s">
        <v>2458</v>
      </c>
      <c r="C608" s="45">
        <v>80.0</v>
      </c>
      <c r="D608" s="45">
        <v>17091.0</v>
      </c>
      <c r="E608" s="45" t="s">
        <v>3993</v>
      </c>
      <c r="F608" s="45" t="s">
        <v>3992</v>
      </c>
      <c r="G608" s="45" t="s">
        <v>3990</v>
      </c>
    </row>
    <row r="609">
      <c r="A609" s="45" t="s">
        <v>633</v>
      </c>
      <c r="B609" s="45" t="s">
        <v>2458</v>
      </c>
      <c r="C609" s="45">
        <v>80.0</v>
      </c>
      <c r="D609" s="45">
        <v>17093.0</v>
      </c>
      <c r="E609" s="45" t="s">
        <v>3993</v>
      </c>
      <c r="F609" s="45" t="s">
        <v>3992</v>
      </c>
      <c r="G609" s="45" t="s">
        <v>3990</v>
      </c>
    </row>
    <row r="610">
      <c r="A610" s="45" t="s">
        <v>634</v>
      </c>
      <c r="B610" s="45" t="s">
        <v>2458</v>
      </c>
      <c r="C610" s="45">
        <v>81.0</v>
      </c>
      <c r="D610" s="45">
        <v>17095.0</v>
      </c>
      <c r="E610" s="45" t="s">
        <v>3995</v>
      </c>
      <c r="F610" s="45" t="s">
        <v>3992</v>
      </c>
      <c r="G610" s="45" t="s">
        <v>3980</v>
      </c>
    </row>
    <row r="611">
      <c r="A611" s="45" t="s">
        <v>298</v>
      </c>
      <c r="B611" s="45" t="s">
        <v>2458</v>
      </c>
      <c r="C611" s="45">
        <v>80.0</v>
      </c>
      <c r="D611" s="45">
        <v>17097.0</v>
      </c>
      <c r="E611" s="45" t="s">
        <v>3993</v>
      </c>
      <c r="F611" s="45" t="s">
        <v>3994</v>
      </c>
      <c r="G611" s="45" t="s">
        <v>3980</v>
      </c>
    </row>
    <row r="612">
      <c r="A612" s="45" t="s">
        <v>635</v>
      </c>
      <c r="B612" s="45" t="s">
        <v>2458</v>
      </c>
      <c r="C612" s="45">
        <v>80.0</v>
      </c>
      <c r="D612" s="45">
        <v>17099.0</v>
      </c>
      <c r="E612" s="45" t="s">
        <v>3991</v>
      </c>
      <c r="F612" s="45" t="s">
        <v>3992</v>
      </c>
      <c r="G612" s="45" t="s">
        <v>3980</v>
      </c>
    </row>
    <row r="613">
      <c r="A613" s="45" t="s">
        <v>142</v>
      </c>
      <c r="B613" s="45" t="s">
        <v>2458</v>
      </c>
      <c r="C613" s="45">
        <v>83.0</v>
      </c>
      <c r="D613" s="45">
        <v>17101.0</v>
      </c>
      <c r="E613" s="45" t="s">
        <v>3991</v>
      </c>
      <c r="F613" s="45" t="s">
        <v>3992</v>
      </c>
      <c r="G613" s="45" t="s">
        <v>3980</v>
      </c>
    </row>
    <row r="614">
      <c r="A614" s="45" t="s">
        <v>143</v>
      </c>
      <c r="B614" s="45" t="s">
        <v>2458</v>
      </c>
      <c r="C614" s="45">
        <v>80.0</v>
      </c>
      <c r="D614" s="45">
        <v>17103.0</v>
      </c>
      <c r="E614" s="45" t="s">
        <v>3993</v>
      </c>
      <c r="F614" s="45" t="s">
        <v>3994</v>
      </c>
      <c r="G614" s="45" t="s">
        <v>3980</v>
      </c>
    </row>
    <row r="615">
      <c r="A615" s="45" t="s">
        <v>636</v>
      </c>
      <c r="B615" s="45" t="s">
        <v>2458</v>
      </c>
      <c r="C615" s="45">
        <v>80.0</v>
      </c>
      <c r="D615" s="45">
        <v>17105.0</v>
      </c>
      <c r="E615" s="45" t="s">
        <v>3993</v>
      </c>
      <c r="F615" s="45" t="s">
        <v>3992</v>
      </c>
      <c r="G615" s="45" t="s">
        <v>3980</v>
      </c>
    </row>
    <row r="616">
      <c r="A616" s="45" t="s">
        <v>252</v>
      </c>
      <c r="B616" s="45" t="s">
        <v>2458</v>
      </c>
      <c r="C616" s="45">
        <v>82.0</v>
      </c>
      <c r="D616" s="45">
        <v>17107.0</v>
      </c>
      <c r="E616" s="45" t="s">
        <v>3991</v>
      </c>
      <c r="F616" s="45" t="s">
        <v>3992</v>
      </c>
      <c r="G616" s="45" t="s">
        <v>3980</v>
      </c>
    </row>
    <row r="617">
      <c r="A617" s="45" t="s">
        <v>637</v>
      </c>
      <c r="B617" s="45" t="s">
        <v>2458</v>
      </c>
      <c r="C617" s="45">
        <v>81.0</v>
      </c>
      <c r="D617" s="45">
        <v>17109.0</v>
      </c>
      <c r="E617" s="45" t="s">
        <v>3991</v>
      </c>
      <c r="F617" s="45" t="s">
        <v>3992</v>
      </c>
      <c r="G617" s="45" t="s">
        <v>3992</v>
      </c>
    </row>
    <row r="618">
      <c r="A618" s="45" t="s">
        <v>638</v>
      </c>
      <c r="B618" s="45" t="s">
        <v>2458</v>
      </c>
      <c r="C618" s="45">
        <v>80.0</v>
      </c>
      <c r="D618" s="45">
        <v>17111.0</v>
      </c>
      <c r="E618" s="45" t="s">
        <v>3993</v>
      </c>
      <c r="F618" s="45" t="s">
        <v>3994</v>
      </c>
      <c r="G618" s="45" t="s">
        <v>3992</v>
      </c>
    </row>
    <row r="619">
      <c r="A619" s="45" t="s">
        <v>639</v>
      </c>
      <c r="B619" s="45" t="s">
        <v>2458</v>
      </c>
      <c r="C619" s="45">
        <v>83.0</v>
      </c>
      <c r="D619" s="45">
        <v>17113.0</v>
      </c>
      <c r="E619" s="45" t="s">
        <v>3991</v>
      </c>
      <c r="F619" s="45" t="s">
        <v>3992</v>
      </c>
      <c r="G619" s="45" t="s">
        <v>3992</v>
      </c>
    </row>
    <row r="620">
      <c r="A620" s="45" t="s">
        <v>146</v>
      </c>
      <c r="B620" s="45" t="s">
        <v>2458</v>
      </c>
      <c r="C620" s="45">
        <v>83.0</v>
      </c>
      <c r="D620" s="45">
        <v>17115.0</v>
      </c>
      <c r="E620" s="45" t="s">
        <v>3991</v>
      </c>
      <c r="F620" s="45" t="s">
        <v>3992</v>
      </c>
      <c r="G620" s="45" t="s">
        <v>3992</v>
      </c>
    </row>
    <row r="621">
      <c r="A621" s="45" t="s">
        <v>640</v>
      </c>
      <c r="B621" s="45" t="s">
        <v>2458</v>
      </c>
      <c r="C621" s="45">
        <v>81.0</v>
      </c>
      <c r="D621" s="45">
        <v>17117.0</v>
      </c>
      <c r="E621" s="45" t="s">
        <v>3991</v>
      </c>
      <c r="F621" s="45" t="s">
        <v>3992</v>
      </c>
      <c r="G621" s="45" t="s">
        <v>3992</v>
      </c>
    </row>
    <row r="622">
      <c r="A622" s="45" t="s">
        <v>147</v>
      </c>
      <c r="B622" s="45" t="s">
        <v>2458</v>
      </c>
      <c r="C622" s="45">
        <v>81.0</v>
      </c>
      <c r="D622" s="45">
        <v>17119.0</v>
      </c>
      <c r="E622" s="45" t="s">
        <v>3991</v>
      </c>
      <c r="F622" s="45" t="s">
        <v>3992</v>
      </c>
      <c r="G622" s="45" t="s">
        <v>3992</v>
      </c>
    </row>
    <row r="623">
      <c r="A623" s="45" t="s">
        <v>149</v>
      </c>
      <c r="B623" s="45" t="s">
        <v>2458</v>
      </c>
      <c r="C623" s="45">
        <v>81.0</v>
      </c>
      <c r="D623" s="45">
        <v>17121.0</v>
      </c>
      <c r="E623" s="45" t="s">
        <v>3991</v>
      </c>
      <c r="F623" s="45" t="s">
        <v>3992</v>
      </c>
      <c r="G623" s="45" t="s">
        <v>3992</v>
      </c>
    </row>
    <row r="624">
      <c r="A624" s="45" t="s">
        <v>150</v>
      </c>
      <c r="B624" s="45" t="s">
        <v>2458</v>
      </c>
      <c r="C624" s="45">
        <v>82.0</v>
      </c>
      <c r="D624" s="45">
        <v>17123.0</v>
      </c>
      <c r="E624" s="45" t="s">
        <v>3991</v>
      </c>
      <c r="F624" s="45" t="s">
        <v>3992</v>
      </c>
      <c r="G624" s="45" t="s">
        <v>3992</v>
      </c>
    </row>
    <row r="625">
      <c r="A625" s="45" t="s">
        <v>641</v>
      </c>
      <c r="B625" s="45" t="s">
        <v>2458</v>
      </c>
      <c r="C625" s="45">
        <v>81.0</v>
      </c>
      <c r="D625" s="45">
        <v>17125.0</v>
      </c>
      <c r="E625" s="45" t="s">
        <v>3991</v>
      </c>
      <c r="F625" s="45" t="s">
        <v>3992</v>
      </c>
      <c r="G625" s="45" t="s">
        <v>3992</v>
      </c>
    </row>
    <row r="626">
      <c r="A626" s="45" t="s">
        <v>642</v>
      </c>
      <c r="B626" s="45" t="s">
        <v>2458</v>
      </c>
      <c r="C626" s="45">
        <v>81.0</v>
      </c>
      <c r="D626" s="45">
        <v>17127.0</v>
      </c>
      <c r="E626" s="45" t="s">
        <v>3991</v>
      </c>
      <c r="F626" s="45" t="s">
        <v>3992</v>
      </c>
      <c r="G626" s="45" t="s">
        <v>3992</v>
      </c>
    </row>
    <row r="627">
      <c r="A627" s="45" t="s">
        <v>643</v>
      </c>
      <c r="B627" s="45" t="s">
        <v>2458</v>
      </c>
      <c r="C627" s="45">
        <v>81.0</v>
      </c>
      <c r="D627" s="45">
        <v>17129.0</v>
      </c>
      <c r="E627" s="45" t="s">
        <v>3991</v>
      </c>
      <c r="F627" s="45" t="s">
        <v>3992</v>
      </c>
      <c r="G627" s="45" t="s">
        <v>3992</v>
      </c>
    </row>
    <row r="628">
      <c r="A628" s="45" t="s">
        <v>644</v>
      </c>
      <c r="B628" s="45" t="s">
        <v>2458</v>
      </c>
      <c r="C628" s="45">
        <v>81.0</v>
      </c>
      <c r="D628" s="45">
        <v>17131.0</v>
      </c>
      <c r="E628" s="45" t="s">
        <v>3995</v>
      </c>
      <c r="F628" s="45" t="s">
        <v>3992</v>
      </c>
      <c r="G628" s="45" t="s">
        <v>3992</v>
      </c>
    </row>
    <row r="629">
      <c r="A629" s="45" t="s">
        <v>152</v>
      </c>
      <c r="B629" s="45" t="s">
        <v>2458</v>
      </c>
      <c r="C629" s="45">
        <v>81.0</v>
      </c>
      <c r="D629" s="45">
        <v>17133.0</v>
      </c>
      <c r="E629" s="45" t="s">
        <v>3991</v>
      </c>
      <c r="F629" s="45" t="s">
        <v>3992</v>
      </c>
      <c r="G629" s="45" t="s">
        <v>3992</v>
      </c>
    </row>
    <row r="630">
      <c r="A630" s="45" t="s">
        <v>153</v>
      </c>
      <c r="B630" s="45" t="s">
        <v>2458</v>
      </c>
      <c r="C630" s="45">
        <v>81.0</v>
      </c>
      <c r="D630" s="45">
        <v>17135.0</v>
      </c>
      <c r="E630" s="45" t="s">
        <v>3991</v>
      </c>
      <c r="F630" s="45" t="s">
        <v>3992</v>
      </c>
      <c r="G630" s="45" t="s">
        <v>3992</v>
      </c>
    </row>
    <row r="631">
      <c r="A631" s="45" t="s">
        <v>154</v>
      </c>
      <c r="B631" s="45" t="s">
        <v>2458</v>
      </c>
      <c r="C631" s="45">
        <v>81.0</v>
      </c>
      <c r="D631" s="45">
        <v>17137.0</v>
      </c>
      <c r="E631" s="45" t="s">
        <v>3991</v>
      </c>
      <c r="F631" s="45" t="s">
        <v>3992</v>
      </c>
      <c r="G631" s="45" t="s">
        <v>3992</v>
      </c>
    </row>
    <row r="632">
      <c r="A632" s="45" t="s">
        <v>645</v>
      </c>
      <c r="B632" s="45" t="s">
        <v>2458</v>
      </c>
      <c r="C632" s="45">
        <v>83.0</v>
      </c>
      <c r="D632" s="45">
        <v>17139.0</v>
      </c>
      <c r="E632" s="45" t="s">
        <v>3991</v>
      </c>
      <c r="F632" s="45" t="s">
        <v>3992</v>
      </c>
      <c r="G632" s="45" t="s">
        <v>3992</v>
      </c>
    </row>
    <row r="633">
      <c r="A633" s="45" t="s">
        <v>646</v>
      </c>
      <c r="B633" s="45" t="s">
        <v>2458</v>
      </c>
      <c r="C633" s="45">
        <v>80.0</v>
      </c>
      <c r="D633" s="45">
        <v>17141.0</v>
      </c>
      <c r="E633" s="45" t="s">
        <v>3993</v>
      </c>
      <c r="F633" s="45" t="s">
        <v>3994</v>
      </c>
      <c r="G633" s="45" t="s">
        <v>3992</v>
      </c>
    </row>
    <row r="634">
      <c r="A634" s="45" t="s">
        <v>647</v>
      </c>
      <c r="B634" s="45" t="s">
        <v>2458</v>
      </c>
      <c r="C634" s="45">
        <v>82.0</v>
      </c>
      <c r="D634" s="45">
        <v>17143.0</v>
      </c>
      <c r="E634" s="45" t="s">
        <v>3991</v>
      </c>
      <c r="F634" s="45" t="s">
        <v>3992</v>
      </c>
      <c r="G634" s="45" t="s">
        <v>3992</v>
      </c>
    </row>
    <row r="635">
      <c r="A635" s="45" t="s">
        <v>155</v>
      </c>
      <c r="B635" s="45" t="s">
        <v>2458</v>
      </c>
      <c r="C635" s="45">
        <v>81.0</v>
      </c>
      <c r="D635" s="45">
        <v>17145.0</v>
      </c>
      <c r="E635" s="45" t="s">
        <v>3991</v>
      </c>
      <c r="F635" s="45" t="s">
        <v>3992</v>
      </c>
      <c r="G635" s="45" t="s">
        <v>3992</v>
      </c>
    </row>
    <row r="636">
      <c r="A636" s="45" t="s">
        <v>648</v>
      </c>
      <c r="B636" s="45" t="s">
        <v>2458</v>
      </c>
      <c r="C636" s="45">
        <v>83.0</v>
      </c>
      <c r="D636" s="45">
        <v>17147.0</v>
      </c>
      <c r="E636" s="45" t="s">
        <v>3991</v>
      </c>
      <c r="F636" s="45" t="s">
        <v>3992</v>
      </c>
      <c r="G636" s="45" t="s">
        <v>3992</v>
      </c>
    </row>
    <row r="637">
      <c r="A637" s="45" t="s">
        <v>157</v>
      </c>
      <c r="B637" s="45" t="s">
        <v>2458</v>
      </c>
      <c r="C637" s="45">
        <v>81.0</v>
      </c>
      <c r="D637" s="45">
        <v>17149.0</v>
      </c>
      <c r="E637" s="45" t="s">
        <v>3991</v>
      </c>
      <c r="F637" s="45" t="s">
        <v>3992</v>
      </c>
      <c r="G637" s="45" t="s">
        <v>3992</v>
      </c>
    </row>
    <row r="638">
      <c r="A638" s="45" t="s">
        <v>262</v>
      </c>
      <c r="B638" s="45" t="s">
        <v>2458</v>
      </c>
      <c r="C638" s="45">
        <v>81.0</v>
      </c>
      <c r="D638" s="45">
        <v>17151.0</v>
      </c>
      <c r="E638" s="45" t="s">
        <v>3991</v>
      </c>
      <c r="F638" s="45" t="s">
        <v>3992</v>
      </c>
      <c r="G638" s="45" t="s">
        <v>3992</v>
      </c>
    </row>
    <row r="639">
      <c r="A639" s="45" t="s">
        <v>264</v>
      </c>
      <c r="B639" s="45" t="s">
        <v>2458</v>
      </c>
      <c r="C639" s="45">
        <v>81.0</v>
      </c>
      <c r="D639" s="45">
        <v>17153.0</v>
      </c>
      <c r="E639" s="45" t="s">
        <v>3991</v>
      </c>
      <c r="F639" s="45" t="s">
        <v>3992</v>
      </c>
      <c r="G639" s="45" t="s">
        <v>3992</v>
      </c>
    </row>
    <row r="640">
      <c r="A640" s="45" t="s">
        <v>449</v>
      </c>
      <c r="B640" s="45" t="s">
        <v>2458</v>
      </c>
      <c r="C640" s="45">
        <v>81.0</v>
      </c>
      <c r="D640" s="45">
        <v>17155.0</v>
      </c>
      <c r="E640" s="45" t="s">
        <v>3991</v>
      </c>
      <c r="F640" s="45" t="s">
        <v>3992</v>
      </c>
      <c r="G640" s="45" t="s">
        <v>3992</v>
      </c>
    </row>
    <row r="641">
      <c r="A641" s="45" t="s">
        <v>158</v>
      </c>
      <c r="B641" s="45" t="s">
        <v>2458</v>
      </c>
      <c r="C641" s="45">
        <v>81.0</v>
      </c>
      <c r="D641" s="45">
        <v>17157.0</v>
      </c>
      <c r="E641" s="45" t="s">
        <v>3991</v>
      </c>
      <c r="F641" s="45" t="s">
        <v>3992</v>
      </c>
      <c r="G641" s="45" t="s">
        <v>3992</v>
      </c>
    </row>
    <row r="642">
      <c r="A642" s="45" t="s">
        <v>649</v>
      </c>
      <c r="B642" s="45" t="s">
        <v>2458</v>
      </c>
      <c r="C642" s="45">
        <v>83.0</v>
      </c>
      <c r="D642" s="45">
        <v>17159.0</v>
      </c>
      <c r="E642" s="45" t="s">
        <v>3991</v>
      </c>
      <c r="F642" s="45" t="s">
        <v>3992</v>
      </c>
      <c r="G642" s="45" t="s">
        <v>3992</v>
      </c>
    </row>
    <row r="643">
      <c r="A643" s="45" t="s">
        <v>650</v>
      </c>
      <c r="B643" s="45" t="s">
        <v>2458</v>
      </c>
      <c r="C643" s="45">
        <v>81.0</v>
      </c>
      <c r="D643" s="45">
        <v>17161.0</v>
      </c>
      <c r="E643" s="45" t="s">
        <v>3995</v>
      </c>
      <c r="F643" s="45" t="s">
        <v>3992</v>
      </c>
      <c r="G643" s="45" t="s">
        <v>3992</v>
      </c>
    </row>
    <row r="644">
      <c r="A644" s="45" t="s">
        <v>160</v>
      </c>
      <c r="B644" s="45" t="s">
        <v>2458</v>
      </c>
      <c r="C644" s="45">
        <v>81.0</v>
      </c>
      <c r="D644" s="45">
        <v>17163.0</v>
      </c>
      <c r="E644" s="45" t="s">
        <v>3991</v>
      </c>
      <c r="F644" s="45" t="s">
        <v>3992</v>
      </c>
      <c r="G644" s="45" t="s">
        <v>3992</v>
      </c>
    </row>
    <row r="645">
      <c r="A645" s="45" t="s">
        <v>266</v>
      </c>
      <c r="B645" s="45" t="s">
        <v>2458</v>
      </c>
      <c r="C645" s="45">
        <v>81.0</v>
      </c>
      <c r="D645" s="45">
        <v>17165.0</v>
      </c>
      <c r="E645" s="45" t="s">
        <v>3991</v>
      </c>
      <c r="F645" s="45" t="s">
        <v>3992</v>
      </c>
      <c r="G645" s="45" t="s">
        <v>3992</v>
      </c>
    </row>
    <row r="646">
      <c r="A646" s="45" t="s">
        <v>651</v>
      </c>
      <c r="B646" s="45" t="s">
        <v>2458</v>
      </c>
      <c r="C646" s="45">
        <v>82.0</v>
      </c>
      <c r="D646" s="45">
        <v>17167.0</v>
      </c>
      <c r="E646" s="45" t="s">
        <v>3991</v>
      </c>
      <c r="F646" s="45" t="s">
        <v>3992</v>
      </c>
      <c r="G646" s="45" t="s">
        <v>3992</v>
      </c>
    </row>
    <row r="647">
      <c r="A647" s="45" t="s">
        <v>652</v>
      </c>
      <c r="B647" s="45" t="s">
        <v>2458</v>
      </c>
      <c r="C647" s="45">
        <v>81.0</v>
      </c>
      <c r="D647" s="45">
        <v>17169.0</v>
      </c>
      <c r="E647" s="45" t="s">
        <v>3991</v>
      </c>
      <c r="F647" s="45" t="s">
        <v>3992</v>
      </c>
      <c r="G647" s="45" t="s">
        <v>3992</v>
      </c>
    </row>
    <row r="648">
      <c r="A648" s="45" t="s">
        <v>267</v>
      </c>
      <c r="B648" s="45" t="s">
        <v>2458</v>
      </c>
      <c r="C648" s="45">
        <v>81.0</v>
      </c>
      <c r="D648" s="45">
        <v>17171.0</v>
      </c>
      <c r="E648" s="45" t="s">
        <v>3991</v>
      </c>
      <c r="F648" s="45" t="s">
        <v>3992</v>
      </c>
      <c r="G648" s="45" t="s">
        <v>3992</v>
      </c>
    </row>
    <row r="649">
      <c r="A649" s="45" t="s">
        <v>161</v>
      </c>
      <c r="B649" s="45" t="s">
        <v>2458</v>
      </c>
      <c r="C649" s="45">
        <v>83.0</v>
      </c>
      <c r="D649" s="45">
        <v>17173.0</v>
      </c>
      <c r="E649" s="45" t="s">
        <v>3991</v>
      </c>
      <c r="F649" s="45" t="s">
        <v>3992</v>
      </c>
      <c r="G649" s="45" t="s">
        <v>3992</v>
      </c>
    </row>
    <row r="650">
      <c r="A650" s="45" t="s">
        <v>653</v>
      </c>
      <c r="B650" s="45" t="s">
        <v>2458</v>
      </c>
      <c r="C650" s="45">
        <v>81.0</v>
      </c>
      <c r="D650" s="45">
        <v>17175.0</v>
      </c>
      <c r="E650" s="45" t="s">
        <v>3991</v>
      </c>
      <c r="F650" s="45" t="s">
        <v>3992</v>
      </c>
      <c r="G650" s="45" t="s">
        <v>3992</v>
      </c>
    </row>
    <row r="651">
      <c r="A651" s="45" t="s">
        <v>654</v>
      </c>
      <c r="B651" s="45" t="s">
        <v>2458</v>
      </c>
      <c r="C651" s="45">
        <v>80.0</v>
      </c>
      <c r="D651" s="45">
        <v>17177.0</v>
      </c>
      <c r="E651" s="45" t="s">
        <v>3993</v>
      </c>
      <c r="F651" s="45" t="s">
        <v>3994</v>
      </c>
      <c r="G651" s="45" t="s">
        <v>3992</v>
      </c>
    </row>
    <row r="652">
      <c r="A652" s="45" t="s">
        <v>655</v>
      </c>
      <c r="B652" s="45" t="s">
        <v>2458</v>
      </c>
      <c r="C652" s="45">
        <v>82.0</v>
      </c>
      <c r="D652" s="45">
        <v>17179.0</v>
      </c>
      <c r="E652" s="45" t="s">
        <v>3991</v>
      </c>
      <c r="F652" s="45" t="s">
        <v>3992</v>
      </c>
      <c r="G652" s="45" t="s">
        <v>3992</v>
      </c>
    </row>
    <row r="653">
      <c r="A653" s="45" t="s">
        <v>273</v>
      </c>
      <c r="B653" s="45" t="s">
        <v>2458</v>
      </c>
      <c r="C653" s="45">
        <v>81.0</v>
      </c>
      <c r="D653" s="45">
        <v>17181.0</v>
      </c>
      <c r="E653" s="45" t="s">
        <v>3991</v>
      </c>
      <c r="F653" s="45" t="s">
        <v>3992</v>
      </c>
      <c r="G653" s="45" t="s">
        <v>3992</v>
      </c>
    </row>
    <row r="654">
      <c r="A654" s="45" t="s">
        <v>656</v>
      </c>
      <c r="B654" s="45" t="s">
        <v>2458</v>
      </c>
      <c r="C654" s="45">
        <v>83.0</v>
      </c>
      <c r="D654" s="45">
        <v>17183.0</v>
      </c>
      <c r="E654" s="45" t="s">
        <v>3991</v>
      </c>
      <c r="F654" s="45" t="s">
        <v>3992</v>
      </c>
      <c r="G654" s="45" t="s">
        <v>3992</v>
      </c>
    </row>
    <row r="655">
      <c r="A655" s="45" t="s">
        <v>657</v>
      </c>
      <c r="B655" s="45" t="s">
        <v>2458</v>
      </c>
      <c r="C655" s="45">
        <v>83.0</v>
      </c>
      <c r="D655" s="45">
        <v>17185.0</v>
      </c>
      <c r="E655" s="45" t="s">
        <v>3991</v>
      </c>
      <c r="F655" s="45" t="s">
        <v>3992</v>
      </c>
      <c r="G655" s="45" t="s">
        <v>3992</v>
      </c>
    </row>
    <row r="656">
      <c r="A656" s="45" t="s">
        <v>561</v>
      </c>
      <c r="B656" s="45" t="s">
        <v>2458</v>
      </c>
      <c r="C656" s="45">
        <v>81.0</v>
      </c>
      <c r="D656" s="45">
        <v>17187.0</v>
      </c>
      <c r="E656" s="45" t="s">
        <v>3991</v>
      </c>
      <c r="F656" s="45" t="s">
        <v>3992</v>
      </c>
      <c r="G656" s="45" t="s">
        <v>3992</v>
      </c>
    </row>
    <row r="657">
      <c r="A657" s="45" t="s">
        <v>167</v>
      </c>
      <c r="B657" s="45" t="s">
        <v>2458</v>
      </c>
      <c r="C657" s="45">
        <v>81.0</v>
      </c>
      <c r="D657" s="45">
        <v>17189.0</v>
      </c>
      <c r="E657" s="45" t="s">
        <v>3991</v>
      </c>
      <c r="F657" s="45" t="s">
        <v>3992</v>
      </c>
      <c r="G657" s="45" t="s">
        <v>3992</v>
      </c>
    </row>
    <row r="658">
      <c r="A658" s="45" t="s">
        <v>562</v>
      </c>
      <c r="B658" s="45" t="s">
        <v>2458</v>
      </c>
      <c r="C658" s="45">
        <v>81.0</v>
      </c>
      <c r="D658" s="45">
        <v>17191.0</v>
      </c>
      <c r="E658" s="45" t="s">
        <v>3991</v>
      </c>
      <c r="F658" s="45" t="s">
        <v>3992</v>
      </c>
      <c r="G658" s="45" t="s">
        <v>3992</v>
      </c>
    </row>
    <row r="659">
      <c r="A659" s="45" t="s">
        <v>275</v>
      </c>
      <c r="B659" s="45" t="s">
        <v>2458</v>
      </c>
      <c r="C659" s="45">
        <v>81.0</v>
      </c>
      <c r="D659" s="45">
        <v>17193.0</v>
      </c>
      <c r="E659" s="45" t="s">
        <v>3991</v>
      </c>
      <c r="F659" s="45" t="s">
        <v>3992</v>
      </c>
      <c r="G659" s="45" t="s">
        <v>3992</v>
      </c>
    </row>
    <row r="660">
      <c r="A660" s="45" t="s">
        <v>658</v>
      </c>
      <c r="B660" s="45" t="s">
        <v>2458</v>
      </c>
      <c r="C660" s="45">
        <v>80.0</v>
      </c>
      <c r="D660" s="45">
        <v>17195.0</v>
      </c>
      <c r="E660" s="45" t="s">
        <v>3995</v>
      </c>
      <c r="F660" s="45" t="s">
        <v>3994</v>
      </c>
      <c r="G660" s="45" t="s">
        <v>3992</v>
      </c>
    </row>
    <row r="661">
      <c r="A661" s="45" t="s">
        <v>659</v>
      </c>
      <c r="B661" s="45" t="s">
        <v>2458</v>
      </c>
      <c r="C661" s="45">
        <v>80.0</v>
      </c>
      <c r="D661" s="45">
        <v>17197.0</v>
      </c>
      <c r="E661" s="45" t="s">
        <v>3993</v>
      </c>
      <c r="F661" s="45" t="s">
        <v>3994</v>
      </c>
      <c r="G661" s="45" t="s">
        <v>3992</v>
      </c>
    </row>
    <row r="662">
      <c r="A662" s="45" t="s">
        <v>660</v>
      </c>
      <c r="B662" s="45" t="s">
        <v>2458</v>
      </c>
      <c r="C662" s="45">
        <v>81.0</v>
      </c>
      <c r="D662" s="45">
        <v>17199.0</v>
      </c>
      <c r="E662" s="45" t="s">
        <v>3991</v>
      </c>
      <c r="F662" s="45" t="s">
        <v>3992</v>
      </c>
      <c r="G662" s="45" t="s">
        <v>3992</v>
      </c>
    </row>
    <row r="663">
      <c r="A663" s="45" t="s">
        <v>661</v>
      </c>
      <c r="B663" s="45" t="s">
        <v>2458</v>
      </c>
      <c r="C663" s="45">
        <v>80.0</v>
      </c>
      <c r="D663" s="45">
        <v>17201.0</v>
      </c>
      <c r="E663" s="45" t="s">
        <v>3993</v>
      </c>
      <c r="F663" s="45" t="s">
        <v>3994</v>
      </c>
      <c r="G663" s="45" t="s">
        <v>3992</v>
      </c>
    </row>
    <row r="664">
      <c r="A664" s="45" t="s">
        <v>662</v>
      </c>
      <c r="B664" s="45" t="s">
        <v>2458</v>
      </c>
      <c r="C664" s="45">
        <v>82.0</v>
      </c>
      <c r="D664" s="45">
        <v>17203.0</v>
      </c>
      <c r="E664" s="45" t="s">
        <v>3991</v>
      </c>
      <c r="F664" s="45" t="s">
        <v>3992</v>
      </c>
      <c r="G664" s="45" t="s">
        <v>3992</v>
      </c>
    </row>
    <row r="665">
      <c r="A665" s="45" t="s">
        <v>338</v>
      </c>
      <c r="B665" s="45" t="s">
        <v>2513</v>
      </c>
      <c r="C665" s="45">
        <v>105.0</v>
      </c>
      <c r="D665" s="45">
        <v>18001.0</v>
      </c>
      <c r="E665" s="45" t="s">
        <v>3993</v>
      </c>
      <c r="F665" s="45" t="s">
        <v>3997</v>
      </c>
      <c r="G665" s="45" t="s">
        <v>3992</v>
      </c>
    </row>
    <row r="666">
      <c r="A666" s="45" t="s">
        <v>664</v>
      </c>
      <c r="B666" s="45" t="s">
        <v>2513</v>
      </c>
      <c r="C666" s="45">
        <v>105.0</v>
      </c>
      <c r="D666" s="45">
        <v>18003.0</v>
      </c>
      <c r="E666" s="45" t="s">
        <v>3993</v>
      </c>
      <c r="F666" s="45" t="s">
        <v>3997</v>
      </c>
      <c r="G666" s="45" t="s">
        <v>3992</v>
      </c>
    </row>
    <row r="667">
      <c r="A667" s="45" t="s">
        <v>665</v>
      </c>
      <c r="B667" s="45" t="s">
        <v>2513</v>
      </c>
      <c r="C667" s="45">
        <v>107.0</v>
      </c>
      <c r="D667" s="45">
        <v>18005.0</v>
      </c>
      <c r="E667" s="45" t="s">
        <v>3993</v>
      </c>
      <c r="F667" s="45" t="s">
        <v>3992</v>
      </c>
      <c r="G667" s="45" t="s">
        <v>3992</v>
      </c>
    </row>
    <row r="668">
      <c r="A668" s="45" t="s">
        <v>224</v>
      </c>
      <c r="B668" s="45" t="s">
        <v>2513</v>
      </c>
      <c r="C668" s="45">
        <v>105.0</v>
      </c>
      <c r="D668" s="45">
        <v>18007.0</v>
      </c>
      <c r="E668" s="45" t="s">
        <v>3993</v>
      </c>
      <c r="F668" s="45" t="s">
        <v>3992</v>
      </c>
      <c r="G668" s="45" t="s">
        <v>3992</v>
      </c>
    </row>
    <row r="669">
      <c r="A669" s="45" t="s">
        <v>666</v>
      </c>
      <c r="B669" s="45" t="s">
        <v>2513</v>
      </c>
      <c r="C669" s="45">
        <v>105.0</v>
      </c>
      <c r="D669" s="45">
        <v>18009.0</v>
      </c>
      <c r="E669" s="45" t="s">
        <v>3993</v>
      </c>
      <c r="F669" s="45" t="s">
        <v>3997</v>
      </c>
      <c r="G669" s="45" t="s">
        <v>3994</v>
      </c>
    </row>
    <row r="670">
      <c r="A670" s="45" t="s">
        <v>225</v>
      </c>
      <c r="B670" s="45" t="s">
        <v>2513</v>
      </c>
      <c r="C670" s="45">
        <v>105.0</v>
      </c>
      <c r="D670" s="45">
        <v>18011.0</v>
      </c>
      <c r="E670" s="45" t="s">
        <v>3993</v>
      </c>
      <c r="F670" s="45" t="s">
        <v>3992</v>
      </c>
      <c r="G670" s="45" t="s">
        <v>3994</v>
      </c>
    </row>
    <row r="671">
      <c r="A671" s="45" t="s">
        <v>611</v>
      </c>
      <c r="B671" s="45" t="s">
        <v>2513</v>
      </c>
      <c r="C671" s="45">
        <v>107.0</v>
      </c>
      <c r="D671" s="45">
        <v>18013.0</v>
      </c>
      <c r="E671" s="45" t="s">
        <v>3993</v>
      </c>
      <c r="F671" s="45" t="s">
        <v>3992</v>
      </c>
      <c r="G671" s="45" t="s">
        <v>3994</v>
      </c>
    </row>
    <row r="672">
      <c r="A672" s="45" t="s">
        <v>227</v>
      </c>
      <c r="B672" s="45" t="s">
        <v>2513</v>
      </c>
      <c r="C672" s="45">
        <v>105.0</v>
      </c>
      <c r="D672" s="45">
        <v>18015.0</v>
      </c>
      <c r="E672" s="45" t="s">
        <v>3993</v>
      </c>
      <c r="F672" s="45" t="s">
        <v>3997</v>
      </c>
      <c r="G672" s="45" t="s">
        <v>3994</v>
      </c>
    </row>
    <row r="673">
      <c r="A673" s="45" t="s">
        <v>613</v>
      </c>
      <c r="B673" s="45" t="s">
        <v>2513</v>
      </c>
      <c r="C673" s="45">
        <v>105.0</v>
      </c>
      <c r="D673" s="45">
        <v>18017.0</v>
      </c>
      <c r="E673" s="45" t="s">
        <v>3993</v>
      </c>
      <c r="F673" s="45" t="s">
        <v>3992</v>
      </c>
      <c r="G673" s="45" t="s">
        <v>3994</v>
      </c>
    </row>
    <row r="674">
      <c r="A674" s="45" t="s">
        <v>229</v>
      </c>
      <c r="B674" s="45" t="s">
        <v>2513</v>
      </c>
      <c r="C674" s="45">
        <v>107.0</v>
      </c>
      <c r="D674" s="45">
        <v>18019.0</v>
      </c>
      <c r="E674" s="45" t="s">
        <v>3993</v>
      </c>
      <c r="F674" s="45" t="s">
        <v>3992</v>
      </c>
      <c r="G674" s="45" t="s">
        <v>3994</v>
      </c>
    </row>
    <row r="675">
      <c r="A675" s="45" t="s">
        <v>116</v>
      </c>
      <c r="B675" s="45" t="s">
        <v>2513</v>
      </c>
      <c r="C675" s="45">
        <v>107.0</v>
      </c>
      <c r="D675" s="45">
        <v>18021.0</v>
      </c>
      <c r="E675" s="45" t="s">
        <v>3993</v>
      </c>
      <c r="F675" s="45" t="s">
        <v>3992</v>
      </c>
      <c r="G675" s="45" t="s">
        <v>3994</v>
      </c>
    </row>
    <row r="676">
      <c r="A676" s="45" t="s">
        <v>616</v>
      </c>
      <c r="B676" s="45" t="s">
        <v>2513</v>
      </c>
      <c r="C676" s="45">
        <v>105.0</v>
      </c>
      <c r="D676" s="45">
        <v>18023.0</v>
      </c>
      <c r="E676" s="45" t="s">
        <v>3993</v>
      </c>
      <c r="F676" s="45" t="s">
        <v>3992</v>
      </c>
      <c r="G676" s="45" t="s">
        <v>3994</v>
      </c>
    </row>
    <row r="677">
      <c r="A677" s="45" t="s">
        <v>234</v>
      </c>
      <c r="B677" s="45" t="s">
        <v>2513</v>
      </c>
      <c r="C677" s="45">
        <v>107.0</v>
      </c>
      <c r="D677" s="45">
        <v>18025.0</v>
      </c>
      <c r="E677" s="45" t="s">
        <v>3993</v>
      </c>
      <c r="F677" s="45" t="s">
        <v>3992</v>
      </c>
      <c r="G677" s="45" t="s">
        <v>3994</v>
      </c>
    </row>
    <row r="678">
      <c r="A678" s="45" t="s">
        <v>667</v>
      </c>
      <c r="B678" s="45" t="s">
        <v>2513</v>
      </c>
      <c r="C678" s="45">
        <v>107.0</v>
      </c>
      <c r="D678" s="45">
        <v>18027.0</v>
      </c>
      <c r="E678" s="45" t="s">
        <v>3993</v>
      </c>
      <c r="F678" s="45" t="s">
        <v>3992</v>
      </c>
      <c r="G678" s="45" t="s">
        <v>3994</v>
      </c>
    </row>
    <row r="679">
      <c r="A679" s="45" t="s">
        <v>668</v>
      </c>
      <c r="B679" s="45" t="s">
        <v>2513</v>
      </c>
      <c r="C679" s="45">
        <v>107.0</v>
      </c>
      <c r="D679" s="45">
        <v>18029.0</v>
      </c>
      <c r="E679" s="45" t="s">
        <v>3993</v>
      </c>
      <c r="F679" s="45" t="s">
        <v>3992</v>
      </c>
      <c r="G679" s="45" t="s">
        <v>3994</v>
      </c>
    </row>
    <row r="680">
      <c r="A680" s="45" t="s">
        <v>492</v>
      </c>
      <c r="B680" s="45" t="s">
        <v>2513</v>
      </c>
      <c r="C680" s="45">
        <v>107.0</v>
      </c>
      <c r="D680" s="45">
        <v>18031.0</v>
      </c>
      <c r="E680" s="45" t="s">
        <v>3993</v>
      </c>
      <c r="F680" s="45" t="s">
        <v>3992</v>
      </c>
      <c r="G680" s="45" t="s">
        <v>3994</v>
      </c>
    </row>
    <row r="681">
      <c r="A681" s="45" t="s">
        <v>127</v>
      </c>
      <c r="B681" s="45" t="s">
        <v>2513</v>
      </c>
      <c r="C681" s="45">
        <v>105.0</v>
      </c>
      <c r="D681" s="45">
        <v>18033.0</v>
      </c>
      <c r="E681" s="45" t="s">
        <v>3993</v>
      </c>
      <c r="F681" s="45" t="s">
        <v>3997</v>
      </c>
      <c r="G681" s="45" t="s">
        <v>3994</v>
      </c>
    </row>
    <row r="682">
      <c r="A682" s="45" t="s">
        <v>405</v>
      </c>
      <c r="B682" s="45" t="s">
        <v>2513</v>
      </c>
      <c r="C682" s="45">
        <v>105.0</v>
      </c>
      <c r="D682" s="45">
        <v>18035.0</v>
      </c>
      <c r="E682" s="45" t="s">
        <v>3993</v>
      </c>
      <c r="F682" s="45" t="s">
        <v>3997</v>
      </c>
      <c r="G682" s="45" t="s">
        <v>3994</v>
      </c>
    </row>
    <row r="683">
      <c r="A683" s="45" t="s">
        <v>669</v>
      </c>
      <c r="B683" s="45" t="s">
        <v>2513</v>
      </c>
      <c r="C683" s="45">
        <v>107.0</v>
      </c>
      <c r="D683" s="45">
        <v>18037.0</v>
      </c>
      <c r="E683" s="45" t="s">
        <v>3993</v>
      </c>
      <c r="F683" s="45" t="s">
        <v>3992</v>
      </c>
      <c r="G683" s="45" t="s">
        <v>3994</v>
      </c>
    </row>
    <row r="684">
      <c r="A684" s="45" t="s">
        <v>670</v>
      </c>
      <c r="B684" s="45" t="s">
        <v>2513</v>
      </c>
      <c r="C684" s="45">
        <v>105.0</v>
      </c>
      <c r="D684" s="45">
        <v>18039.0</v>
      </c>
      <c r="E684" s="45" t="s">
        <v>3998</v>
      </c>
      <c r="F684" s="45" t="s">
        <v>3997</v>
      </c>
      <c r="G684" s="45" t="s">
        <v>3994</v>
      </c>
    </row>
    <row r="685">
      <c r="A685" s="45" t="s">
        <v>131</v>
      </c>
      <c r="B685" s="45" t="s">
        <v>2513</v>
      </c>
      <c r="C685" s="45">
        <v>107.0</v>
      </c>
      <c r="D685" s="45">
        <v>18041.0</v>
      </c>
      <c r="E685" s="45" t="s">
        <v>3993</v>
      </c>
      <c r="F685" s="45" t="s">
        <v>3992</v>
      </c>
      <c r="G685" s="45" t="s">
        <v>3994</v>
      </c>
    </row>
    <row r="686">
      <c r="A686" s="45" t="s">
        <v>502</v>
      </c>
      <c r="B686" s="45" t="s">
        <v>2513</v>
      </c>
      <c r="C686" s="45">
        <v>107.0</v>
      </c>
      <c r="D686" s="45">
        <v>18043.0</v>
      </c>
      <c r="E686" s="45" t="s">
        <v>3993</v>
      </c>
      <c r="F686" s="45" t="s">
        <v>3992</v>
      </c>
      <c r="G686" s="45" t="s">
        <v>3994</v>
      </c>
    </row>
    <row r="687">
      <c r="A687" s="45" t="s">
        <v>671</v>
      </c>
      <c r="B687" s="45" t="s">
        <v>2513</v>
      </c>
      <c r="C687" s="45">
        <v>105.0</v>
      </c>
      <c r="D687" s="45">
        <v>18045.0</v>
      </c>
      <c r="E687" s="45" t="s">
        <v>3993</v>
      </c>
      <c r="F687" s="45" t="s">
        <v>3992</v>
      </c>
      <c r="G687" s="45" t="s">
        <v>3994</v>
      </c>
    </row>
    <row r="688">
      <c r="A688" s="45" t="s">
        <v>132</v>
      </c>
      <c r="B688" s="45" t="s">
        <v>2513</v>
      </c>
      <c r="C688" s="45">
        <v>107.0</v>
      </c>
      <c r="D688" s="45">
        <v>18047.0</v>
      </c>
      <c r="E688" s="45" t="s">
        <v>3993</v>
      </c>
      <c r="F688" s="45" t="s">
        <v>3992</v>
      </c>
      <c r="G688" s="45" t="s">
        <v>3994</v>
      </c>
    </row>
    <row r="689">
      <c r="A689" s="45" t="s">
        <v>240</v>
      </c>
      <c r="B689" s="45" t="s">
        <v>2513</v>
      </c>
      <c r="C689" s="45">
        <v>105.0</v>
      </c>
      <c r="D689" s="45">
        <v>18049.0</v>
      </c>
      <c r="E689" s="45" t="s">
        <v>3993</v>
      </c>
      <c r="F689" s="45" t="s">
        <v>3992</v>
      </c>
      <c r="G689" s="45" t="s">
        <v>3992</v>
      </c>
    </row>
    <row r="690">
      <c r="A690" s="45" t="s">
        <v>672</v>
      </c>
      <c r="B690" s="45" t="s">
        <v>2513</v>
      </c>
      <c r="C690" s="45">
        <v>107.0</v>
      </c>
      <c r="D690" s="45">
        <v>18051.0</v>
      </c>
      <c r="E690" s="45" t="s">
        <v>3993</v>
      </c>
      <c r="F690" s="45" t="s">
        <v>3992</v>
      </c>
      <c r="G690" s="45" t="s">
        <v>3992</v>
      </c>
    </row>
    <row r="691">
      <c r="A691" s="45" t="s">
        <v>242</v>
      </c>
      <c r="B691" s="45" t="s">
        <v>2513</v>
      </c>
      <c r="C691" s="45">
        <v>105.0</v>
      </c>
      <c r="D691" s="45">
        <v>18053.0</v>
      </c>
      <c r="E691" s="45" t="s">
        <v>3993</v>
      </c>
      <c r="F691" s="45" t="s">
        <v>3997</v>
      </c>
      <c r="G691" s="45" t="s">
        <v>3992</v>
      </c>
    </row>
    <row r="692">
      <c r="A692" s="45" t="s">
        <v>134</v>
      </c>
      <c r="B692" s="45" t="s">
        <v>2513</v>
      </c>
      <c r="C692" s="45">
        <v>107.0</v>
      </c>
      <c r="D692" s="45">
        <v>18055.0</v>
      </c>
      <c r="E692" s="45" t="s">
        <v>3993</v>
      </c>
      <c r="F692" s="45" t="s">
        <v>3992</v>
      </c>
      <c r="G692" s="45" t="s">
        <v>3992</v>
      </c>
    </row>
    <row r="693">
      <c r="A693" s="45" t="s">
        <v>428</v>
      </c>
      <c r="B693" s="45" t="s">
        <v>2513</v>
      </c>
      <c r="C693" s="45">
        <v>106.0</v>
      </c>
      <c r="D693" s="45">
        <v>18057.0</v>
      </c>
      <c r="E693" s="45" t="s">
        <v>3993</v>
      </c>
      <c r="F693" s="45" t="s">
        <v>3997</v>
      </c>
      <c r="G693" s="45" t="s">
        <v>3992</v>
      </c>
    </row>
    <row r="694">
      <c r="A694" s="45" t="s">
        <v>512</v>
      </c>
      <c r="B694" s="45" t="s">
        <v>2513</v>
      </c>
      <c r="C694" s="45">
        <v>105.0</v>
      </c>
      <c r="D694" s="45">
        <v>18059.0</v>
      </c>
      <c r="E694" s="45" t="s">
        <v>3993</v>
      </c>
      <c r="F694" s="45" t="s">
        <v>3992</v>
      </c>
      <c r="G694" s="45" t="s">
        <v>3992</v>
      </c>
    </row>
    <row r="695">
      <c r="A695" s="45" t="s">
        <v>673</v>
      </c>
      <c r="B695" s="45" t="s">
        <v>2513</v>
      </c>
      <c r="C695" s="45">
        <v>107.0</v>
      </c>
      <c r="D695" s="45">
        <v>18061.0</v>
      </c>
      <c r="E695" s="45" t="s">
        <v>3993</v>
      </c>
      <c r="F695" s="45" t="s">
        <v>3992</v>
      </c>
      <c r="G695" s="45" t="s">
        <v>3992</v>
      </c>
    </row>
    <row r="696">
      <c r="A696" s="45" t="s">
        <v>674</v>
      </c>
      <c r="B696" s="45" t="s">
        <v>2513</v>
      </c>
      <c r="C696" s="45">
        <v>105.0</v>
      </c>
      <c r="D696" s="45">
        <v>18063.0</v>
      </c>
      <c r="E696" s="45" t="s">
        <v>3993</v>
      </c>
      <c r="F696" s="45" t="s">
        <v>3992</v>
      </c>
      <c r="G696" s="45" t="s">
        <v>3992</v>
      </c>
    </row>
    <row r="697">
      <c r="A697" s="45" t="s">
        <v>136</v>
      </c>
      <c r="B697" s="45" t="s">
        <v>2513</v>
      </c>
      <c r="C697" s="45">
        <v>107.0</v>
      </c>
      <c r="D697" s="45">
        <v>18065.0</v>
      </c>
      <c r="E697" s="45" t="s">
        <v>3993</v>
      </c>
      <c r="F697" s="45" t="s">
        <v>3997</v>
      </c>
      <c r="G697" s="45" t="s">
        <v>3992</v>
      </c>
    </row>
    <row r="698">
      <c r="A698" s="45" t="s">
        <v>245</v>
      </c>
      <c r="B698" s="45" t="s">
        <v>2513</v>
      </c>
      <c r="C698" s="45">
        <v>105.0</v>
      </c>
      <c r="D698" s="45">
        <v>18067.0</v>
      </c>
      <c r="E698" s="45" t="s">
        <v>3993</v>
      </c>
      <c r="F698" s="45" t="s">
        <v>3997</v>
      </c>
      <c r="G698" s="45" t="s">
        <v>3992</v>
      </c>
    </row>
    <row r="699">
      <c r="A699" s="45" t="s">
        <v>675</v>
      </c>
      <c r="B699" s="45" t="s">
        <v>2513</v>
      </c>
      <c r="C699" s="45">
        <v>105.0</v>
      </c>
      <c r="D699" s="45">
        <v>18069.0</v>
      </c>
      <c r="E699" s="45" t="s">
        <v>3993</v>
      </c>
      <c r="F699" s="45" t="s">
        <v>3997</v>
      </c>
      <c r="G699" s="45" t="s">
        <v>3992</v>
      </c>
    </row>
    <row r="700">
      <c r="A700" s="45" t="s">
        <v>138</v>
      </c>
      <c r="B700" s="45" t="s">
        <v>2513</v>
      </c>
      <c r="C700" s="45">
        <v>107.0</v>
      </c>
      <c r="D700" s="45">
        <v>18071.0</v>
      </c>
      <c r="E700" s="45" t="s">
        <v>3993</v>
      </c>
      <c r="F700" s="45" t="s">
        <v>3992</v>
      </c>
      <c r="G700" s="45" t="s">
        <v>3992</v>
      </c>
    </row>
    <row r="701">
      <c r="A701" s="45" t="s">
        <v>518</v>
      </c>
      <c r="B701" s="45" t="s">
        <v>2513</v>
      </c>
      <c r="C701" s="45">
        <v>105.0</v>
      </c>
      <c r="D701" s="45">
        <v>18073.0</v>
      </c>
      <c r="E701" s="45" t="s">
        <v>3993</v>
      </c>
      <c r="F701" s="45" t="s">
        <v>3992</v>
      </c>
      <c r="G701" s="45" t="s">
        <v>3992</v>
      </c>
    </row>
    <row r="702">
      <c r="A702" s="45" t="s">
        <v>676</v>
      </c>
      <c r="B702" s="45" t="s">
        <v>2513</v>
      </c>
      <c r="C702" s="45">
        <v>105.0</v>
      </c>
      <c r="D702" s="45">
        <v>18075.0</v>
      </c>
      <c r="E702" s="45" t="s">
        <v>3993</v>
      </c>
      <c r="F702" s="45" t="s">
        <v>3997</v>
      </c>
      <c r="G702" s="45" t="s">
        <v>3992</v>
      </c>
    </row>
    <row r="703">
      <c r="A703" s="45" t="s">
        <v>139</v>
      </c>
      <c r="B703" s="45" t="s">
        <v>2513</v>
      </c>
      <c r="C703" s="45">
        <v>107.0</v>
      </c>
      <c r="D703" s="45">
        <v>18077.0</v>
      </c>
      <c r="E703" s="45" t="s">
        <v>3993</v>
      </c>
      <c r="F703" s="45" t="s">
        <v>3992</v>
      </c>
      <c r="G703" s="45" t="s">
        <v>3992</v>
      </c>
    </row>
    <row r="704">
      <c r="A704" s="45" t="s">
        <v>677</v>
      </c>
      <c r="B704" s="45" t="s">
        <v>2513</v>
      </c>
      <c r="C704" s="45">
        <v>107.0</v>
      </c>
      <c r="D704" s="45">
        <v>18079.0</v>
      </c>
      <c r="E704" s="45" t="s">
        <v>3993</v>
      </c>
      <c r="F704" s="45" t="s">
        <v>3992</v>
      </c>
      <c r="G704" s="45" t="s">
        <v>3992</v>
      </c>
    </row>
    <row r="705">
      <c r="A705" s="45" t="s">
        <v>248</v>
      </c>
      <c r="B705" s="45" t="s">
        <v>2513</v>
      </c>
      <c r="C705" s="45">
        <v>107.0</v>
      </c>
      <c r="D705" s="45">
        <v>18081.0</v>
      </c>
      <c r="E705" s="45" t="s">
        <v>3993</v>
      </c>
      <c r="F705" s="45" t="s">
        <v>3992</v>
      </c>
      <c r="G705" s="45" t="s">
        <v>3992</v>
      </c>
    </row>
    <row r="706">
      <c r="A706" s="45" t="s">
        <v>634</v>
      </c>
      <c r="B706" s="45" t="s">
        <v>2513</v>
      </c>
      <c r="C706" s="45">
        <v>107.0</v>
      </c>
      <c r="D706" s="45">
        <v>18083.0</v>
      </c>
      <c r="E706" s="45" t="s">
        <v>3993</v>
      </c>
      <c r="F706" s="45" t="s">
        <v>3992</v>
      </c>
      <c r="G706" s="45" t="s">
        <v>3992</v>
      </c>
    </row>
    <row r="707">
      <c r="A707" s="45" t="s">
        <v>678</v>
      </c>
      <c r="B707" s="45" t="s">
        <v>2513</v>
      </c>
      <c r="C707" s="45">
        <v>105.0</v>
      </c>
      <c r="D707" s="45">
        <v>18085.0</v>
      </c>
      <c r="E707" s="45" t="s">
        <v>3993</v>
      </c>
      <c r="F707" s="45" t="s">
        <v>3997</v>
      </c>
      <c r="G707" s="45" t="s">
        <v>3992</v>
      </c>
    </row>
    <row r="708">
      <c r="A708" s="45" t="s">
        <v>679</v>
      </c>
      <c r="B708" s="45" t="s">
        <v>2513</v>
      </c>
      <c r="C708" s="45">
        <v>105.0</v>
      </c>
      <c r="D708" s="45">
        <v>18087.0</v>
      </c>
      <c r="E708" s="45" t="s">
        <v>3998</v>
      </c>
      <c r="F708" s="45" t="s">
        <v>3997</v>
      </c>
      <c r="G708" s="45" t="s">
        <v>3992</v>
      </c>
    </row>
    <row r="709">
      <c r="A709" s="45" t="s">
        <v>298</v>
      </c>
      <c r="B709" s="45" t="s">
        <v>2513</v>
      </c>
      <c r="C709" s="45">
        <v>105.0</v>
      </c>
      <c r="D709" s="45">
        <v>18089.0</v>
      </c>
      <c r="E709" s="45" t="s">
        <v>3993</v>
      </c>
      <c r="F709" s="45" t="s">
        <v>3992</v>
      </c>
      <c r="G709" s="45" t="s">
        <v>3992</v>
      </c>
    </row>
    <row r="710">
      <c r="A710" s="45" t="s">
        <v>680</v>
      </c>
      <c r="B710" s="45" t="s">
        <v>2513</v>
      </c>
      <c r="C710" s="45">
        <v>105.0</v>
      </c>
      <c r="D710" s="45">
        <v>18091.0</v>
      </c>
      <c r="E710" s="45" t="s">
        <v>3993</v>
      </c>
      <c r="F710" s="45" t="s">
        <v>3997</v>
      </c>
      <c r="G710" s="45" t="s">
        <v>3992</v>
      </c>
    </row>
    <row r="711">
      <c r="A711" s="45" t="s">
        <v>142</v>
      </c>
      <c r="B711" s="45" t="s">
        <v>2513</v>
      </c>
      <c r="C711" s="45">
        <v>107.0</v>
      </c>
      <c r="D711" s="45">
        <v>18093.0</v>
      </c>
      <c r="E711" s="45" t="s">
        <v>3993</v>
      </c>
      <c r="F711" s="45" t="s">
        <v>3992</v>
      </c>
      <c r="G711" s="45" t="s">
        <v>3992</v>
      </c>
    </row>
    <row r="712">
      <c r="A712" s="45" t="s">
        <v>147</v>
      </c>
      <c r="B712" s="45" t="s">
        <v>2513</v>
      </c>
      <c r="C712" s="45">
        <v>105.0</v>
      </c>
      <c r="D712" s="45">
        <v>18095.0</v>
      </c>
      <c r="E712" s="45" t="s">
        <v>3993</v>
      </c>
      <c r="F712" s="45" t="s">
        <v>3997</v>
      </c>
      <c r="G712" s="45" t="s">
        <v>3992</v>
      </c>
    </row>
    <row r="713">
      <c r="A713" s="45" t="s">
        <v>149</v>
      </c>
      <c r="B713" s="45" t="s">
        <v>2513</v>
      </c>
      <c r="C713" s="45">
        <v>106.0</v>
      </c>
      <c r="D713" s="45">
        <v>18097.0</v>
      </c>
      <c r="E713" s="45" t="s">
        <v>3993</v>
      </c>
      <c r="F713" s="45" t="s">
        <v>3992</v>
      </c>
      <c r="G713" s="45" t="s">
        <v>3992</v>
      </c>
    </row>
    <row r="714">
      <c r="A714" s="45" t="s">
        <v>150</v>
      </c>
      <c r="B714" s="45" t="s">
        <v>2513</v>
      </c>
      <c r="C714" s="45">
        <v>105.0</v>
      </c>
      <c r="D714" s="45">
        <v>18099.0</v>
      </c>
      <c r="E714" s="45" t="s">
        <v>3993</v>
      </c>
      <c r="F714" s="45" t="s">
        <v>3997</v>
      </c>
      <c r="G714" s="45" t="s">
        <v>3992</v>
      </c>
    </row>
    <row r="715">
      <c r="A715" s="45" t="s">
        <v>440</v>
      </c>
      <c r="B715" s="45" t="s">
        <v>2513</v>
      </c>
      <c r="C715" s="45">
        <v>107.0</v>
      </c>
      <c r="D715" s="45">
        <v>18101.0</v>
      </c>
      <c r="E715" s="45" t="s">
        <v>3993</v>
      </c>
      <c r="F715" s="45" t="s">
        <v>3992</v>
      </c>
      <c r="G715" s="45" t="s">
        <v>3992</v>
      </c>
    </row>
    <row r="716">
      <c r="A716" s="45" t="s">
        <v>681</v>
      </c>
      <c r="B716" s="45" t="s">
        <v>2513</v>
      </c>
      <c r="C716" s="45">
        <v>105.0</v>
      </c>
      <c r="D716" s="45">
        <v>18103.0</v>
      </c>
      <c r="E716" s="45" t="s">
        <v>3993</v>
      </c>
      <c r="F716" s="45" t="s">
        <v>3997</v>
      </c>
      <c r="G716" s="45" t="s">
        <v>3992</v>
      </c>
    </row>
    <row r="717">
      <c r="A717" s="45" t="s">
        <v>152</v>
      </c>
      <c r="B717" s="45" t="s">
        <v>2513</v>
      </c>
      <c r="C717" s="45">
        <v>107.0</v>
      </c>
      <c r="D717" s="45">
        <v>18105.0</v>
      </c>
      <c r="E717" s="45" t="s">
        <v>3993</v>
      </c>
      <c r="F717" s="45" t="s">
        <v>3992</v>
      </c>
      <c r="G717" s="45" t="s">
        <v>3992</v>
      </c>
    </row>
    <row r="718">
      <c r="A718" s="45" t="s">
        <v>153</v>
      </c>
      <c r="B718" s="45" t="s">
        <v>2513</v>
      </c>
      <c r="C718" s="45">
        <v>105.0</v>
      </c>
      <c r="D718" s="45">
        <v>18107.0</v>
      </c>
      <c r="E718" s="45" t="s">
        <v>3993</v>
      </c>
      <c r="F718" s="45" t="s">
        <v>3997</v>
      </c>
      <c r="G718" s="45" t="s">
        <v>3992</v>
      </c>
    </row>
    <row r="719">
      <c r="A719" s="45" t="s">
        <v>154</v>
      </c>
      <c r="B719" s="45" t="s">
        <v>2513</v>
      </c>
      <c r="C719" s="45">
        <v>107.0</v>
      </c>
      <c r="D719" s="45">
        <v>18109.0</v>
      </c>
      <c r="E719" s="45" t="s">
        <v>3993</v>
      </c>
      <c r="F719" s="45" t="s">
        <v>3992</v>
      </c>
      <c r="G719" s="45" t="s">
        <v>3997</v>
      </c>
    </row>
    <row r="720">
      <c r="A720" s="45" t="s">
        <v>257</v>
      </c>
      <c r="B720" s="45" t="s">
        <v>2513</v>
      </c>
      <c r="C720" s="45">
        <v>105.0</v>
      </c>
      <c r="D720" s="45">
        <v>18111.0</v>
      </c>
      <c r="E720" s="45" t="s">
        <v>3993</v>
      </c>
      <c r="F720" s="45" t="s">
        <v>3992</v>
      </c>
      <c r="G720" s="45" t="s">
        <v>3997</v>
      </c>
    </row>
    <row r="721">
      <c r="A721" s="45" t="s">
        <v>682</v>
      </c>
      <c r="B721" s="45" t="s">
        <v>2513</v>
      </c>
      <c r="C721" s="45">
        <v>105.0</v>
      </c>
      <c r="D721" s="45">
        <v>18113.0</v>
      </c>
      <c r="E721" s="45" t="s">
        <v>3993</v>
      </c>
      <c r="F721" s="45" t="s">
        <v>3997</v>
      </c>
      <c r="G721" s="45" t="s">
        <v>3997</v>
      </c>
    </row>
    <row r="722">
      <c r="A722" s="45" t="s">
        <v>683</v>
      </c>
      <c r="B722" s="45" t="s">
        <v>2513</v>
      </c>
      <c r="C722" s="45">
        <v>107.0</v>
      </c>
      <c r="D722" s="45">
        <v>18115.0</v>
      </c>
      <c r="E722" s="45" t="s">
        <v>3993</v>
      </c>
      <c r="F722" s="45" t="s">
        <v>3992</v>
      </c>
      <c r="G722" s="45" t="s">
        <v>3997</v>
      </c>
    </row>
    <row r="723">
      <c r="A723" s="45" t="s">
        <v>310</v>
      </c>
      <c r="B723" s="45" t="s">
        <v>2513</v>
      </c>
      <c r="C723" s="45">
        <v>107.0</v>
      </c>
      <c r="D723" s="45">
        <v>18117.0</v>
      </c>
      <c r="E723" s="45" t="s">
        <v>3993</v>
      </c>
      <c r="F723" s="45" t="s">
        <v>3992</v>
      </c>
      <c r="G723" s="45" t="s">
        <v>3997</v>
      </c>
    </row>
    <row r="724">
      <c r="A724" s="45" t="s">
        <v>684</v>
      </c>
      <c r="B724" s="45" t="s">
        <v>2513</v>
      </c>
      <c r="C724" s="45">
        <v>107.0</v>
      </c>
      <c r="D724" s="45">
        <v>18119.0</v>
      </c>
      <c r="E724" s="45" t="s">
        <v>3993</v>
      </c>
      <c r="F724" s="45" t="s">
        <v>3992</v>
      </c>
      <c r="G724" s="45" t="s">
        <v>3997</v>
      </c>
    </row>
    <row r="725">
      <c r="A725" s="45" t="s">
        <v>685</v>
      </c>
      <c r="B725" s="45" t="s">
        <v>2513</v>
      </c>
      <c r="C725" s="45">
        <v>105.0</v>
      </c>
      <c r="D725" s="45">
        <v>18121.0</v>
      </c>
      <c r="E725" s="45" t="s">
        <v>3993</v>
      </c>
      <c r="F725" s="45" t="s">
        <v>3992</v>
      </c>
      <c r="G725" s="45" t="s">
        <v>3997</v>
      </c>
    </row>
    <row r="726">
      <c r="A726" s="45" t="s">
        <v>155</v>
      </c>
      <c r="B726" s="45" t="s">
        <v>2513</v>
      </c>
      <c r="C726" s="45">
        <v>107.0</v>
      </c>
      <c r="D726" s="45">
        <v>18123.0</v>
      </c>
      <c r="E726" s="45" t="s">
        <v>3993</v>
      </c>
      <c r="F726" s="45" t="s">
        <v>3992</v>
      </c>
      <c r="G726" s="45" t="s">
        <v>3997</v>
      </c>
    </row>
    <row r="727">
      <c r="A727" s="45" t="s">
        <v>157</v>
      </c>
      <c r="B727" s="45" t="s">
        <v>2513</v>
      </c>
      <c r="C727" s="45">
        <v>107.0</v>
      </c>
      <c r="D727" s="45">
        <v>18125.0</v>
      </c>
      <c r="E727" s="45" t="s">
        <v>3993</v>
      </c>
      <c r="F727" s="45" t="s">
        <v>3992</v>
      </c>
      <c r="G727" s="45" t="s">
        <v>3997</v>
      </c>
    </row>
    <row r="728">
      <c r="A728" s="45" t="s">
        <v>686</v>
      </c>
      <c r="B728" s="45" t="s">
        <v>2513</v>
      </c>
      <c r="C728" s="45">
        <v>105.0</v>
      </c>
      <c r="D728" s="45">
        <v>18127.0</v>
      </c>
      <c r="E728" s="45" t="s">
        <v>3993</v>
      </c>
      <c r="F728" s="45" t="s">
        <v>3992</v>
      </c>
      <c r="G728" s="45" t="s">
        <v>3997</v>
      </c>
    </row>
    <row r="729">
      <c r="A729" s="45" t="s">
        <v>687</v>
      </c>
      <c r="B729" s="45" t="s">
        <v>2513</v>
      </c>
      <c r="C729" s="45">
        <v>107.0</v>
      </c>
      <c r="D729" s="45">
        <v>18129.0</v>
      </c>
      <c r="E729" s="45" t="s">
        <v>3993</v>
      </c>
      <c r="F729" s="45" t="s">
        <v>3992</v>
      </c>
      <c r="G729" s="45" t="s">
        <v>3997</v>
      </c>
    </row>
    <row r="730">
      <c r="A730" s="45" t="s">
        <v>264</v>
      </c>
      <c r="B730" s="45" t="s">
        <v>2513</v>
      </c>
      <c r="C730" s="45">
        <v>105.0</v>
      </c>
      <c r="D730" s="45">
        <v>18131.0</v>
      </c>
      <c r="E730" s="45" t="s">
        <v>3993</v>
      </c>
      <c r="F730" s="45" t="s">
        <v>3992</v>
      </c>
      <c r="G730" s="45" t="s">
        <v>3997</v>
      </c>
    </row>
    <row r="731">
      <c r="A731" s="45" t="s">
        <v>449</v>
      </c>
      <c r="B731" s="45" t="s">
        <v>2513</v>
      </c>
      <c r="C731" s="45">
        <v>105.0</v>
      </c>
      <c r="D731" s="45">
        <v>18133.0</v>
      </c>
      <c r="E731" s="45" t="s">
        <v>3993</v>
      </c>
      <c r="F731" s="45" t="s">
        <v>3992</v>
      </c>
      <c r="G731" s="45" t="s">
        <v>3997</v>
      </c>
    </row>
    <row r="732">
      <c r="A732" s="45" t="s">
        <v>158</v>
      </c>
      <c r="B732" s="45" t="s">
        <v>2513</v>
      </c>
      <c r="C732" s="45">
        <v>105.0</v>
      </c>
      <c r="D732" s="45">
        <v>18135.0</v>
      </c>
      <c r="E732" s="45" t="s">
        <v>3993</v>
      </c>
      <c r="F732" s="45" t="s">
        <v>3997</v>
      </c>
      <c r="G732" s="45" t="s">
        <v>3997</v>
      </c>
    </row>
    <row r="733">
      <c r="A733" s="45" t="s">
        <v>688</v>
      </c>
      <c r="B733" s="45" t="s">
        <v>2513</v>
      </c>
      <c r="C733" s="45">
        <v>107.0</v>
      </c>
      <c r="D733" s="45">
        <v>18137.0</v>
      </c>
      <c r="E733" s="45" t="s">
        <v>3993</v>
      </c>
      <c r="F733" s="45" t="s">
        <v>3992</v>
      </c>
      <c r="G733" s="45" t="s">
        <v>3997</v>
      </c>
    </row>
    <row r="734">
      <c r="A734" s="45" t="s">
        <v>689</v>
      </c>
      <c r="B734" s="45" t="s">
        <v>2513</v>
      </c>
      <c r="C734" s="45">
        <v>107.0</v>
      </c>
      <c r="D734" s="45">
        <v>18139.0</v>
      </c>
      <c r="E734" s="45" t="s">
        <v>3993</v>
      </c>
      <c r="F734" s="45" t="s">
        <v>3992</v>
      </c>
      <c r="G734" s="45" t="s">
        <v>3997</v>
      </c>
    </row>
    <row r="735">
      <c r="A735" s="45" t="s">
        <v>690</v>
      </c>
      <c r="B735" s="45" t="s">
        <v>2513</v>
      </c>
      <c r="C735" s="45">
        <v>105.0</v>
      </c>
      <c r="D735" s="45">
        <v>18141.0</v>
      </c>
      <c r="E735" s="45" t="s">
        <v>3998</v>
      </c>
      <c r="F735" s="45" t="s">
        <v>3997</v>
      </c>
      <c r="G735" s="45" t="s">
        <v>3997</v>
      </c>
    </row>
    <row r="736">
      <c r="A736" s="45" t="s">
        <v>267</v>
      </c>
      <c r="B736" s="45" t="s">
        <v>2513</v>
      </c>
      <c r="C736" s="45">
        <v>107.0</v>
      </c>
      <c r="D736" s="45">
        <v>18143.0</v>
      </c>
      <c r="E736" s="45" t="s">
        <v>3993</v>
      </c>
      <c r="F736" s="45" t="s">
        <v>3992</v>
      </c>
      <c r="G736" s="45" t="s">
        <v>3997</v>
      </c>
    </row>
    <row r="737">
      <c r="A737" s="45" t="s">
        <v>161</v>
      </c>
      <c r="B737" s="45" t="s">
        <v>2513</v>
      </c>
      <c r="C737" s="45">
        <v>107.0</v>
      </c>
      <c r="D737" s="45">
        <v>18145.0</v>
      </c>
      <c r="E737" s="45" t="s">
        <v>3993</v>
      </c>
      <c r="F737" s="45" t="s">
        <v>3992</v>
      </c>
      <c r="G737" s="45" t="s">
        <v>3997</v>
      </c>
    </row>
    <row r="738">
      <c r="A738" s="45" t="s">
        <v>691</v>
      </c>
      <c r="B738" s="45" t="s">
        <v>2513</v>
      </c>
      <c r="C738" s="45">
        <v>107.0</v>
      </c>
      <c r="D738" s="45">
        <v>18147.0</v>
      </c>
      <c r="E738" s="45" t="s">
        <v>3993</v>
      </c>
      <c r="F738" s="45" t="s">
        <v>3992</v>
      </c>
      <c r="G738" s="45" t="s">
        <v>3997</v>
      </c>
    </row>
    <row r="739">
      <c r="A739" s="45" t="s">
        <v>692</v>
      </c>
      <c r="B739" s="45" t="s">
        <v>2513</v>
      </c>
      <c r="C739" s="45">
        <v>105.0</v>
      </c>
      <c r="D739" s="45">
        <v>18149.0</v>
      </c>
      <c r="E739" s="45" t="s">
        <v>3993</v>
      </c>
      <c r="F739" s="45" t="s">
        <v>3992</v>
      </c>
      <c r="G739" s="45" t="s">
        <v>3997</v>
      </c>
    </row>
    <row r="740">
      <c r="A740" s="45" t="s">
        <v>693</v>
      </c>
      <c r="B740" s="45" t="s">
        <v>2513</v>
      </c>
      <c r="C740" s="45">
        <v>105.0</v>
      </c>
      <c r="D740" s="45">
        <v>18151.0</v>
      </c>
      <c r="E740" s="45" t="s">
        <v>3998</v>
      </c>
      <c r="F740" s="45" t="s">
        <v>3997</v>
      </c>
      <c r="G740" s="45" t="s">
        <v>3997</v>
      </c>
    </row>
    <row r="741">
      <c r="A741" s="45" t="s">
        <v>694</v>
      </c>
      <c r="B741" s="45" t="s">
        <v>2513</v>
      </c>
      <c r="C741" s="45">
        <v>107.0</v>
      </c>
      <c r="D741" s="45">
        <v>18153.0</v>
      </c>
      <c r="E741" s="45" t="s">
        <v>3993</v>
      </c>
      <c r="F741" s="45" t="s">
        <v>3992</v>
      </c>
      <c r="G741" s="45" t="s">
        <v>3997</v>
      </c>
    </row>
    <row r="742">
      <c r="A742" s="45" t="s">
        <v>695</v>
      </c>
      <c r="B742" s="45" t="s">
        <v>2513</v>
      </c>
      <c r="C742" s="45">
        <v>107.0</v>
      </c>
      <c r="D742" s="45">
        <v>18155.0</v>
      </c>
      <c r="E742" s="45" t="s">
        <v>3993</v>
      </c>
      <c r="F742" s="45" t="s">
        <v>3992</v>
      </c>
      <c r="G742" s="45" t="s">
        <v>3997</v>
      </c>
    </row>
    <row r="743">
      <c r="A743" s="45" t="s">
        <v>696</v>
      </c>
      <c r="B743" s="45" t="s">
        <v>2513</v>
      </c>
      <c r="C743" s="45">
        <v>105.0</v>
      </c>
      <c r="D743" s="45">
        <v>18157.0</v>
      </c>
      <c r="E743" s="45" t="s">
        <v>3993</v>
      </c>
      <c r="F743" s="45" t="s">
        <v>3992</v>
      </c>
      <c r="G743" s="45" t="s">
        <v>3997</v>
      </c>
    </row>
    <row r="744">
      <c r="A744" s="45" t="s">
        <v>697</v>
      </c>
      <c r="B744" s="45" t="s">
        <v>2513</v>
      </c>
      <c r="C744" s="45">
        <v>105.0</v>
      </c>
      <c r="D744" s="45">
        <v>18159.0</v>
      </c>
      <c r="E744" s="45" t="s">
        <v>3993</v>
      </c>
      <c r="F744" s="45" t="s">
        <v>3997</v>
      </c>
      <c r="G744" s="45" t="s">
        <v>3997</v>
      </c>
    </row>
    <row r="745">
      <c r="A745" s="45" t="s">
        <v>273</v>
      </c>
      <c r="B745" s="45" t="s">
        <v>2513</v>
      </c>
      <c r="C745" s="45">
        <v>107.0</v>
      </c>
      <c r="D745" s="45">
        <v>18161.0</v>
      </c>
      <c r="E745" s="45" t="s">
        <v>3993</v>
      </c>
      <c r="F745" s="45" t="s">
        <v>3992</v>
      </c>
      <c r="G745" s="45" t="s">
        <v>3997</v>
      </c>
    </row>
    <row r="746">
      <c r="A746" s="45" t="s">
        <v>698</v>
      </c>
      <c r="B746" s="45" t="s">
        <v>2513</v>
      </c>
      <c r="C746" s="45">
        <v>107.0</v>
      </c>
      <c r="D746" s="45">
        <v>18163.0</v>
      </c>
      <c r="E746" s="45" t="s">
        <v>3993</v>
      </c>
      <c r="F746" s="45" t="s">
        <v>3992</v>
      </c>
      <c r="G746" s="45" t="s">
        <v>3997</v>
      </c>
    </row>
    <row r="747">
      <c r="A747" s="45" t="s">
        <v>699</v>
      </c>
      <c r="B747" s="45" t="s">
        <v>2513</v>
      </c>
      <c r="C747" s="45">
        <v>105.0</v>
      </c>
      <c r="D747" s="45">
        <v>18165.0</v>
      </c>
      <c r="E747" s="45" t="s">
        <v>3993</v>
      </c>
      <c r="F747" s="45" t="s">
        <v>3992</v>
      </c>
      <c r="G747" s="45" t="s">
        <v>3997</v>
      </c>
    </row>
    <row r="748">
      <c r="A748" s="45" t="s">
        <v>700</v>
      </c>
      <c r="B748" s="45" t="s">
        <v>2513</v>
      </c>
      <c r="C748" s="45">
        <v>105.0</v>
      </c>
      <c r="D748" s="45">
        <v>18167.0</v>
      </c>
      <c r="E748" s="45" t="s">
        <v>3993</v>
      </c>
      <c r="F748" s="45" t="s">
        <v>3992</v>
      </c>
      <c r="G748" s="45" t="s">
        <v>3997</v>
      </c>
    </row>
    <row r="749">
      <c r="A749" s="45" t="s">
        <v>657</v>
      </c>
      <c r="B749" s="45" t="s">
        <v>2513</v>
      </c>
      <c r="C749" s="45">
        <v>105.0</v>
      </c>
      <c r="D749" s="45">
        <v>18169.0</v>
      </c>
      <c r="E749" s="45" t="s">
        <v>3993</v>
      </c>
      <c r="F749" s="45" t="s">
        <v>3997</v>
      </c>
      <c r="G749" s="45" t="s">
        <v>3997</v>
      </c>
    </row>
    <row r="750">
      <c r="A750" s="45" t="s">
        <v>561</v>
      </c>
      <c r="B750" s="45" t="s">
        <v>2513</v>
      </c>
      <c r="C750" s="45">
        <v>105.0</v>
      </c>
      <c r="D750" s="45">
        <v>18171.0</v>
      </c>
      <c r="E750" s="45" t="s">
        <v>3993</v>
      </c>
      <c r="F750" s="45" t="s">
        <v>3992</v>
      </c>
      <c r="G750" s="45" t="s">
        <v>3997</v>
      </c>
    </row>
    <row r="751">
      <c r="A751" s="45" t="s">
        <v>701</v>
      </c>
      <c r="B751" s="45" t="s">
        <v>2513</v>
      </c>
      <c r="C751" s="45">
        <v>107.0</v>
      </c>
      <c r="D751" s="45">
        <v>18173.0</v>
      </c>
      <c r="E751" s="45" t="s">
        <v>3993</v>
      </c>
      <c r="F751" s="45" t="s">
        <v>3992</v>
      </c>
      <c r="G751" s="45" t="s">
        <v>3997</v>
      </c>
    </row>
    <row r="752">
      <c r="A752" s="45" t="s">
        <v>167</v>
      </c>
      <c r="B752" s="45" t="s">
        <v>2513</v>
      </c>
      <c r="C752" s="45">
        <v>107.0</v>
      </c>
      <c r="D752" s="45">
        <v>18175.0</v>
      </c>
      <c r="E752" s="45" t="s">
        <v>3993</v>
      </c>
      <c r="F752" s="45" t="s">
        <v>3992</v>
      </c>
      <c r="G752" s="45" t="s">
        <v>3997</v>
      </c>
    </row>
    <row r="753">
      <c r="A753" s="45" t="s">
        <v>562</v>
      </c>
      <c r="B753" s="45" t="s">
        <v>2513</v>
      </c>
      <c r="C753" s="45">
        <v>107.0</v>
      </c>
      <c r="D753" s="45">
        <v>18177.0</v>
      </c>
      <c r="E753" s="45" t="s">
        <v>3993</v>
      </c>
      <c r="F753" s="45" t="s">
        <v>3992</v>
      </c>
      <c r="G753" s="45" t="s">
        <v>3997</v>
      </c>
    </row>
    <row r="754">
      <c r="A754" s="45" t="s">
        <v>702</v>
      </c>
      <c r="B754" s="45" t="s">
        <v>2513</v>
      </c>
      <c r="C754" s="45">
        <v>105.0</v>
      </c>
      <c r="D754" s="45">
        <v>18179.0</v>
      </c>
      <c r="E754" s="45" t="s">
        <v>3993</v>
      </c>
      <c r="F754" s="45" t="s">
        <v>3997</v>
      </c>
      <c r="G754" s="45" t="s">
        <v>3997</v>
      </c>
    </row>
    <row r="755">
      <c r="A755" s="45" t="s">
        <v>275</v>
      </c>
      <c r="B755" s="45" t="s">
        <v>2513</v>
      </c>
      <c r="C755" s="45">
        <v>105.0</v>
      </c>
      <c r="D755" s="45">
        <v>18181.0</v>
      </c>
      <c r="E755" s="45" t="s">
        <v>3993</v>
      </c>
      <c r="F755" s="45" t="s">
        <v>3992</v>
      </c>
      <c r="G755" s="45" t="s">
        <v>3997</v>
      </c>
    </row>
    <row r="756">
      <c r="A756" s="45" t="s">
        <v>703</v>
      </c>
      <c r="B756" s="45" t="s">
        <v>2513</v>
      </c>
      <c r="C756" s="45">
        <v>105.0</v>
      </c>
      <c r="D756" s="45">
        <v>18183.0</v>
      </c>
      <c r="E756" s="45" t="s">
        <v>3993</v>
      </c>
      <c r="F756" s="45" t="s">
        <v>3997</v>
      </c>
      <c r="G756" s="45" t="s">
        <v>3997</v>
      </c>
    </row>
    <row r="757">
      <c r="A757" s="45" t="s">
        <v>704</v>
      </c>
      <c r="B757" s="45" t="s">
        <v>2555</v>
      </c>
      <c r="C757" s="45">
        <v>70.0</v>
      </c>
      <c r="D757" s="45">
        <v>19001.0</v>
      </c>
      <c r="E757" s="45" t="s">
        <v>3995</v>
      </c>
      <c r="F757" s="45" t="s">
        <v>3999</v>
      </c>
      <c r="G757" s="45" t="s">
        <v>3997</v>
      </c>
    </row>
    <row r="758">
      <c r="A758" s="45" t="s">
        <v>338</v>
      </c>
      <c r="B758" s="45" t="s">
        <v>2555</v>
      </c>
      <c r="C758" s="45">
        <v>70.0</v>
      </c>
      <c r="D758" s="45">
        <v>19003.0</v>
      </c>
      <c r="E758" s="45" t="s">
        <v>3995</v>
      </c>
      <c r="F758" s="45" t="s">
        <v>3996</v>
      </c>
      <c r="G758" s="45" t="s">
        <v>3997</v>
      </c>
    </row>
    <row r="759">
      <c r="A759" s="45" t="s">
        <v>706</v>
      </c>
      <c r="B759" s="45" t="s">
        <v>2555</v>
      </c>
      <c r="C759" s="45">
        <v>69.0</v>
      </c>
      <c r="D759" s="45">
        <v>19005.0</v>
      </c>
      <c r="E759" s="45" t="s">
        <v>4000</v>
      </c>
      <c r="F759" s="45" t="s">
        <v>3996</v>
      </c>
      <c r="G759" s="45" t="s">
        <v>3997</v>
      </c>
    </row>
    <row r="760">
      <c r="A760" s="45" t="s">
        <v>708</v>
      </c>
      <c r="B760" s="45" t="s">
        <v>2555</v>
      </c>
      <c r="C760" s="45">
        <v>70.0</v>
      </c>
      <c r="D760" s="45">
        <v>19007.0</v>
      </c>
      <c r="E760" s="45" t="s">
        <v>3995</v>
      </c>
      <c r="F760" s="45" t="s">
        <v>3996</v>
      </c>
      <c r="G760" s="45" t="s">
        <v>3997</v>
      </c>
    </row>
    <row r="761">
      <c r="A761" s="45" t="s">
        <v>709</v>
      </c>
      <c r="B761" s="45" t="s">
        <v>2555</v>
      </c>
      <c r="C761" s="45">
        <v>45.0</v>
      </c>
      <c r="D761" s="45">
        <v>19009.0</v>
      </c>
      <c r="E761" s="45" t="s">
        <v>3995</v>
      </c>
      <c r="F761" s="45" t="s">
        <v>3999</v>
      </c>
      <c r="G761" s="45" t="s">
        <v>3997</v>
      </c>
    </row>
    <row r="762">
      <c r="A762" s="45" t="s">
        <v>224</v>
      </c>
      <c r="B762" s="45" t="s">
        <v>2555</v>
      </c>
      <c r="C762" s="45">
        <v>70.0</v>
      </c>
      <c r="D762" s="45">
        <v>19011.0</v>
      </c>
      <c r="E762" s="45" t="s">
        <v>3995</v>
      </c>
      <c r="F762" s="45" t="s">
        <v>3996</v>
      </c>
      <c r="G762" s="45" t="s">
        <v>3997</v>
      </c>
    </row>
    <row r="763">
      <c r="A763" s="45" t="s">
        <v>710</v>
      </c>
      <c r="B763" s="45" t="s">
        <v>2555</v>
      </c>
      <c r="C763" s="45">
        <v>69.0</v>
      </c>
      <c r="D763" s="45">
        <v>19013.0</v>
      </c>
      <c r="E763" s="45" t="s">
        <v>3995</v>
      </c>
      <c r="F763" s="45" t="s">
        <v>3996</v>
      </c>
      <c r="G763" s="45" t="s">
        <v>3997</v>
      </c>
    </row>
    <row r="764">
      <c r="A764" s="45" t="s">
        <v>225</v>
      </c>
      <c r="B764" s="45" t="s">
        <v>2555</v>
      </c>
      <c r="C764" s="45">
        <v>70.0</v>
      </c>
      <c r="D764" s="45">
        <v>19015.0</v>
      </c>
      <c r="E764" s="45" t="s">
        <v>3995</v>
      </c>
      <c r="F764" s="45" t="s">
        <v>3996</v>
      </c>
      <c r="G764" s="45" t="s">
        <v>3997</v>
      </c>
    </row>
    <row r="765">
      <c r="A765" s="45" t="s">
        <v>711</v>
      </c>
      <c r="B765" s="45" t="s">
        <v>2555</v>
      </c>
      <c r="C765" s="45">
        <v>69.0</v>
      </c>
      <c r="D765" s="45">
        <v>19017.0</v>
      </c>
      <c r="E765" s="45" t="s">
        <v>3995</v>
      </c>
      <c r="F765" s="45" t="s">
        <v>3996</v>
      </c>
      <c r="G765" s="45" t="s">
        <v>3997</v>
      </c>
    </row>
    <row r="766">
      <c r="A766" s="45" t="s">
        <v>712</v>
      </c>
      <c r="B766" s="45" t="s">
        <v>2555</v>
      </c>
      <c r="C766" s="45">
        <v>69.0</v>
      </c>
      <c r="D766" s="45">
        <v>19019.0</v>
      </c>
      <c r="E766" s="45" t="s">
        <v>3995</v>
      </c>
      <c r="F766" s="45" t="s">
        <v>3996</v>
      </c>
      <c r="G766" s="45" t="s">
        <v>3992</v>
      </c>
    </row>
    <row r="767">
      <c r="A767" s="45" t="s">
        <v>713</v>
      </c>
      <c r="B767" s="45" t="s">
        <v>2555</v>
      </c>
      <c r="C767" s="45">
        <v>45.0</v>
      </c>
      <c r="D767" s="45">
        <v>19021.0</v>
      </c>
      <c r="E767" s="45" t="s">
        <v>3995</v>
      </c>
      <c r="F767" s="45" t="s">
        <v>3999</v>
      </c>
      <c r="G767" s="45" t="s">
        <v>3992</v>
      </c>
    </row>
    <row r="768">
      <c r="A768" s="45" t="s">
        <v>109</v>
      </c>
      <c r="B768" s="45" t="s">
        <v>2555</v>
      </c>
      <c r="C768" s="45">
        <v>69.0</v>
      </c>
      <c r="D768" s="45">
        <v>19023.0</v>
      </c>
      <c r="E768" s="45" t="s">
        <v>3995</v>
      </c>
      <c r="F768" s="45" t="s">
        <v>3996</v>
      </c>
      <c r="G768" s="45" t="s">
        <v>3992</v>
      </c>
    </row>
    <row r="769">
      <c r="A769" s="45" t="s">
        <v>110</v>
      </c>
      <c r="B769" s="45" t="s">
        <v>2555</v>
      </c>
      <c r="C769" s="45">
        <v>45.0</v>
      </c>
      <c r="D769" s="45">
        <v>19025.0</v>
      </c>
      <c r="E769" s="45" t="s">
        <v>3995</v>
      </c>
      <c r="F769" s="45" t="s">
        <v>3996</v>
      </c>
      <c r="G769" s="45" t="s">
        <v>3992</v>
      </c>
    </row>
    <row r="770">
      <c r="A770" s="45" t="s">
        <v>227</v>
      </c>
      <c r="B770" s="45" t="s">
        <v>2555</v>
      </c>
      <c r="C770" s="45">
        <v>45.0</v>
      </c>
      <c r="D770" s="45">
        <v>19027.0</v>
      </c>
      <c r="E770" s="45" t="s">
        <v>3995</v>
      </c>
      <c r="F770" s="45" t="s">
        <v>3999</v>
      </c>
      <c r="G770" s="45" t="s">
        <v>3992</v>
      </c>
    </row>
    <row r="771">
      <c r="A771" s="45" t="s">
        <v>613</v>
      </c>
      <c r="B771" s="45" t="s">
        <v>2555</v>
      </c>
      <c r="C771" s="45">
        <v>70.0</v>
      </c>
      <c r="D771" s="45">
        <v>19029.0</v>
      </c>
      <c r="E771" s="45" t="s">
        <v>3995</v>
      </c>
      <c r="F771" s="45" t="s">
        <v>3999</v>
      </c>
      <c r="G771" s="45" t="s">
        <v>3992</v>
      </c>
    </row>
    <row r="772">
      <c r="A772" s="45" t="s">
        <v>714</v>
      </c>
      <c r="B772" s="45" t="s">
        <v>2555</v>
      </c>
      <c r="C772" s="45">
        <v>70.0</v>
      </c>
      <c r="D772" s="45">
        <v>19031.0</v>
      </c>
      <c r="E772" s="45" t="s">
        <v>3995</v>
      </c>
      <c r="F772" s="45" t="s">
        <v>3996</v>
      </c>
      <c r="G772" s="45" t="s">
        <v>3992</v>
      </c>
    </row>
    <row r="773">
      <c r="A773" s="45" t="s">
        <v>715</v>
      </c>
      <c r="B773" s="45" t="s">
        <v>2555</v>
      </c>
      <c r="C773" s="45">
        <v>45.0</v>
      </c>
      <c r="D773" s="45">
        <v>19033.0</v>
      </c>
      <c r="E773" s="45" t="s">
        <v>3995</v>
      </c>
      <c r="F773" s="45" t="s">
        <v>3996</v>
      </c>
      <c r="G773" s="45" t="s">
        <v>3992</v>
      </c>
    </row>
    <row r="774">
      <c r="A774" s="45" t="s">
        <v>112</v>
      </c>
      <c r="B774" s="45" t="s">
        <v>2555</v>
      </c>
      <c r="C774" s="45">
        <v>45.0</v>
      </c>
      <c r="D774" s="45">
        <v>19035.0</v>
      </c>
      <c r="E774" s="45" t="s">
        <v>3995</v>
      </c>
      <c r="F774" s="45" t="s">
        <v>3999</v>
      </c>
      <c r="G774" s="45" t="s">
        <v>3992</v>
      </c>
    </row>
    <row r="775">
      <c r="A775" s="45" t="s">
        <v>716</v>
      </c>
      <c r="B775" s="45" t="s">
        <v>2555</v>
      </c>
      <c r="C775" s="45">
        <v>69.0</v>
      </c>
      <c r="D775" s="45">
        <v>19037.0</v>
      </c>
      <c r="E775" s="45" t="s">
        <v>3995</v>
      </c>
      <c r="F775" s="45" t="s">
        <v>3996</v>
      </c>
      <c r="G775" s="45" t="s">
        <v>3992</v>
      </c>
    </row>
    <row r="776">
      <c r="A776" s="45" t="s">
        <v>115</v>
      </c>
      <c r="B776" s="45" t="s">
        <v>2555</v>
      </c>
      <c r="C776" s="45">
        <v>70.0</v>
      </c>
      <c r="D776" s="45">
        <v>19039.0</v>
      </c>
      <c r="E776" s="45" t="s">
        <v>3995</v>
      </c>
      <c r="F776" s="45" t="s">
        <v>3996</v>
      </c>
      <c r="G776" s="45" t="s">
        <v>3992</v>
      </c>
    </row>
    <row r="777">
      <c r="A777" s="45" t="s">
        <v>116</v>
      </c>
      <c r="B777" s="45" t="s">
        <v>2555</v>
      </c>
      <c r="C777" s="45">
        <v>45.0</v>
      </c>
      <c r="D777" s="45">
        <v>19041.0</v>
      </c>
      <c r="E777" s="45" t="s">
        <v>3995</v>
      </c>
      <c r="F777" s="45" t="s">
        <v>3999</v>
      </c>
      <c r="G777" s="45" t="s">
        <v>3992</v>
      </c>
    </row>
    <row r="778">
      <c r="A778" s="45" t="s">
        <v>483</v>
      </c>
      <c r="B778" s="45" t="s">
        <v>2555</v>
      </c>
      <c r="C778" s="45">
        <v>69.0</v>
      </c>
      <c r="D778" s="45">
        <v>19043.0</v>
      </c>
      <c r="E778" s="45" t="s">
        <v>4000</v>
      </c>
      <c r="F778" s="45" t="s">
        <v>3996</v>
      </c>
      <c r="G778" s="45" t="s">
        <v>3992</v>
      </c>
    </row>
    <row r="779">
      <c r="A779" s="45" t="s">
        <v>616</v>
      </c>
      <c r="B779" s="45" t="s">
        <v>2555</v>
      </c>
      <c r="C779" s="45">
        <v>70.0</v>
      </c>
      <c r="D779" s="45">
        <v>19045.0</v>
      </c>
      <c r="E779" s="45" t="s">
        <v>3995</v>
      </c>
      <c r="F779" s="45" t="s">
        <v>3996</v>
      </c>
      <c r="G779" s="45" t="s">
        <v>3992</v>
      </c>
    </row>
    <row r="780">
      <c r="A780" s="45" t="s">
        <v>234</v>
      </c>
      <c r="B780" s="45" t="s">
        <v>2555</v>
      </c>
      <c r="C780" s="45">
        <v>45.0</v>
      </c>
      <c r="D780" s="45">
        <v>19047.0</v>
      </c>
      <c r="E780" s="45" t="s">
        <v>3995</v>
      </c>
      <c r="F780" s="45" t="s">
        <v>3999</v>
      </c>
      <c r="G780" s="45" t="s">
        <v>3992</v>
      </c>
    </row>
    <row r="781">
      <c r="A781" s="45" t="s">
        <v>126</v>
      </c>
      <c r="B781" s="45" t="s">
        <v>2555</v>
      </c>
      <c r="C781" s="45">
        <v>70.0</v>
      </c>
      <c r="D781" s="45">
        <v>19049.0</v>
      </c>
      <c r="E781" s="45" t="s">
        <v>3995</v>
      </c>
      <c r="F781" s="45" t="s">
        <v>3996</v>
      </c>
      <c r="G781" s="45" t="s">
        <v>3992</v>
      </c>
    </row>
    <row r="782">
      <c r="A782" s="45" t="s">
        <v>717</v>
      </c>
      <c r="B782" s="45" t="s">
        <v>2555</v>
      </c>
      <c r="C782" s="45">
        <v>70.0</v>
      </c>
      <c r="D782" s="45">
        <v>19051.0</v>
      </c>
      <c r="E782" s="45" t="s">
        <v>3995</v>
      </c>
      <c r="F782" s="45" t="s">
        <v>3996</v>
      </c>
      <c r="G782" s="45" t="s">
        <v>3992</v>
      </c>
    </row>
    <row r="783">
      <c r="A783" s="45" t="s">
        <v>492</v>
      </c>
      <c r="B783" s="45" t="s">
        <v>2555</v>
      </c>
      <c r="C783" s="45">
        <v>70.0</v>
      </c>
      <c r="D783" s="45">
        <v>19053.0</v>
      </c>
      <c r="E783" s="45" t="s">
        <v>3995</v>
      </c>
      <c r="F783" s="45" t="s">
        <v>3996</v>
      </c>
      <c r="G783" s="45" t="s">
        <v>3992</v>
      </c>
    </row>
    <row r="784">
      <c r="A784" s="45" t="s">
        <v>405</v>
      </c>
      <c r="B784" s="45" t="s">
        <v>2555</v>
      </c>
      <c r="C784" s="45">
        <v>70.0</v>
      </c>
      <c r="D784" s="45">
        <v>19055.0</v>
      </c>
      <c r="E784" s="45" t="s">
        <v>3995</v>
      </c>
      <c r="F784" s="45" t="s">
        <v>3996</v>
      </c>
      <c r="G784" s="45" t="s">
        <v>3992</v>
      </c>
    </row>
    <row r="785">
      <c r="A785" s="45" t="s">
        <v>718</v>
      </c>
      <c r="B785" s="45" t="s">
        <v>2555</v>
      </c>
      <c r="C785" s="45">
        <v>70.0</v>
      </c>
      <c r="D785" s="45">
        <v>19057.0</v>
      </c>
      <c r="E785" s="45" t="s">
        <v>3995</v>
      </c>
      <c r="F785" s="45" t="s">
        <v>3996</v>
      </c>
      <c r="G785" s="45" t="s">
        <v>3992</v>
      </c>
    </row>
    <row r="786">
      <c r="A786" s="45" t="s">
        <v>719</v>
      </c>
      <c r="B786" s="45" t="s">
        <v>2555</v>
      </c>
      <c r="C786" s="45">
        <v>45.0</v>
      </c>
      <c r="D786" s="45">
        <v>19059.0</v>
      </c>
      <c r="E786" s="45" t="s">
        <v>3995</v>
      </c>
      <c r="F786" s="45" t="s">
        <v>3999</v>
      </c>
      <c r="G786" s="45" t="s">
        <v>3992</v>
      </c>
    </row>
    <row r="787">
      <c r="A787" s="45" t="s">
        <v>720</v>
      </c>
      <c r="B787" s="45" t="s">
        <v>2555</v>
      </c>
      <c r="C787" s="45">
        <v>70.0</v>
      </c>
      <c r="D787" s="45">
        <v>19061.0</v>
      </c>
      <c r="E787" s="45" t="s">
        <v>4000</v>
      </c>
      <c r="F787" s="45" t="s">
        <v>3996</v>
      </c>
      <c r="G787" s="45" t="s">
        <v>3992</v>
      </c>
    </row>
    <row r="788">
      <c r="A788" s="45" t="s">
        <v>721</v>
      </c>
      <c r="B788" s="45" t="s">
        <v>2555</v>
      </c>
      <c r="C788" s="45">
        <v>45.0</v>
      </c>
      <c r="D788" s="45">
        <v>19063.0</v>
      </c>
      <c r="E788" s="45" t="s">
        <v>3995</v>
      </c>
      <c r="F788" s="45" t="s">
        <v>3999</v>
      </c>
      <c r="G788" s="45" t="s">
        <v>3992</v>
      </c>
    </row>
    <row r="789">
      <c r="A789" s="45" t="s">
        <v>131</v>
      </c>
      <c r="B789" s="45" t="s">
        <v>2555</v>
      </c>
      <c r="C789" s="45">
        <v>69.0</v>
      </c>
      <c r="D789" s="45">
        <v>19065.0</v>
      </c>
      <c r="E789" s="45" t="s">
        <v>3995</v>
      </c>
      <c r="F789" s="45" t="s">
        <v>3996</v>
      </c>
      <c r="G789" s="45" t="s">
        <v>3992</v>
      </c>
    </row>
    <row r="790">
      <c r="A790" s="45" t="s">
        <v>502</v>
      </c>
      <c r="B790" s="45" t="s">
        <v>2555</v>
      </c>
      <c r="C790" s="45">
        <v>69.0</v>
      </c>
      <c r="D790" s="45">
        <v>19067.0</v>
      </c>
      <c r="E790" s="45" t="s">
        <v>3995</v>
      </c>
      <c r="F790" s="45" t="s">
        <v>3996</v>
      </c>
      <c r="G790" s="45" t="s">
        <v>3992</v>
      </c>
    </row>
    <row r="791">
      <c r="A791" s="45" t="s">
        <v>132</v>
      </c>
      <c r="B791" s="45" t="s">
        <v>2555</v>
      </c>
      <c r="C791" s="45">
        <v>45.0</v>
      </c>
      <c r="D791" s="45">
        <v>19069.0</v>
      </c>
      <c r="E791" s="45" t="s">
        <v>3995</v>
      </c>
      <c r="F791" s="45" t="s">
        <v>3996</v>
      </c>
      <c r="G791" s="45" t="s">
        <v>3992</v>
      </c>
    </row>
    <row r="792">
      <c r="A792" s="45" t="s">
        <v>361</v>
      </c>
      <c r="B792" s="45" t="s">
        <v>2555</v>
      </c>
      <c r="C792" s="45">
        <v>45.0</v>
      </c>
      <c r="D792" s="45">
        <v>19071.0</v>
      </c>
      <c r="E792" s="45" t="s">
        <v>3995</v>
      </c>
      <c r="F792" s="45" t="s">
        <v>3996</v>
      </c>
      <c r="G792" s="45" t="s">
        <v>3992</v>
      </c>
    </row>
    <row r="793">
      <c r="A793" s="45" t="s">
        <v>134</v>
      </c>
      <c r="B793" s="45" t="s">
        <v>2555</v>
      </c>
      <c r="C793" s="45">
        <v>70.0</v>
      </c>
      <c r="D793" s="45">
        <v>19073.0</v>
      </c>
      <c r="E793" s="45" t="s">
        <v>3995</v>
      </c>
      <c r="F793" s="45" t="s">
        <v>3996</v>
      </c>
      <c r="G793" s="45" t="s">
        <v>3992</v>
      </c>
    </row>
    <row r="794">
      <c r="A794" s="45" t="s">
        <v>625</v>
      </c>
      <c r="B794" s="45" t="s">
        <v>2555</v>
      </c>
      <c r="C794" s="45">
        <v>69.0</v>
      </c>
      <c r="D794" s="45">
        <v>19075.0</v>
      </c>
      <c r="E794" s="45" t="s">
        <v>3995</v>
      </c>
      <c r="F794" s="45" t="s">
        <v>3996</v>
      </c>
      <c r="G794" s="45" t="s">
        <v>3992</v>
      </c>
    </row>
    <row r="795">
      <c r="A795" s="45" t="s">
        <v>722</v>
      </c>
      <c r="B795" s="45" t="s">
        <v>2555</v>
      </c>
      <c r="C795" s="45">
        <v>70.0</v>
      </c>
      <c r="D795" s="45">
        <v>19077.0</v>
      </c>
      <c r="E795" s="45" t="s">
        <v>3995</v>
      </c>
      <c r="F795" s="45" t="s">
        <v>3999</v>
      </c>
      <c r="G795" s="45" t="s">
        <v>3992</v>
      </c>
    </row>
    <row r="796">
      <c r="A796" s="45" t="s">
        <v>428</v>
      </c>
      <c r="B796" s="45" t="s">
        <v>2555</v>
      </c>
      <c r="C796" s="45">
        <v>70.0</v>
      </c>
      <c r="D796" s="45">
        <v>19079.0</v>
      </c>
      <c r="E796" s="45" t="s">
        <v>3995</v>
      </c>
      <c r="F796" s="45" t="s">
        <v>3996</v>
      </c>
      <c r="G796" s="45" t="s">
        <v>3992</v>
      </c>
    </row>
    <row r="797">
      <c r="A797" s="45" t="s">
        <v>512</v>
      </c>
      <c r="B797" s="45" t="s">
        <v>2555</v>
      </c>
      <c r="C797" s="45">
        <v>45.0</v>
      </c>
      <c r="D797" s="45">
        <v>19081.0</v>
      </c>
      <c r="E797" s="45" t="s">
        <v>3995</v>
      </c>
      <c r="F797" s="45" t="s">
        <v>3996</v>
      </c>
      <c r="G797" s="45" t="s">
        <v>3992</v>
      </c>
    </row>
    <row r="798">
      <c r="A798" s="45" t="s">
        <v>626</v>
      </c>
      <c r="B798" s="45" t="s">
        <v>2555</v>
      </c>
      <c r="C798" s="45">
        <v>70.0</v>
      </c>
      <c r="D798" s="45">
        <v>19083.0</v>
      </c>
      <c r="E798" s="45" t="s">
        <v>3995</v>
      </c>
      <c r="F798" s="45" t="s">
        <v>3996</v>
      </c>
      <c r="G798" s="45" t="s">
        <v>3992</v>
      </c>
    </row>
    <row r="799">
      <c r="A799" s="45" t="s">
        <v>673</v>
      </c>
      <c r="B799" s="45" t="s">
        <v>2555</v>
      </c>
      <c r="C799" s="45">
        <v>45.0</v>
      </c>
      <c r="D799" s="45">
        <v>19085.0</v>
      </c>
      <c r="E799" s="45" t="s">
        <v>3995</v>
      </c>
      <c r="F799" s="45" t="s">
        <v>3999</v>
      </c>
      <c r="G799" s="45" t="s">
        <v>3992</v>
      </c>
    </row>
    <row r="800">
      <c r="A800" s="45" t="s">
        <v>136</v>
      </c>
      <c r="B800" s="45" t="s">
        <v>2555</v>
      </c>
      <c r="C800" s="45">
        <v>70.0</v>
      </c>
      <c r="D800" s="45">
        <v>19087.0</v>
      </c>
      <c r="E800" s="45" t="s">
        <v>3995</v>
      </c>
      <c r="F800" s="45" t="s">
        <v>3996</v>
      </c>
      <c r="G800" s="45" t="s">
        <v>3992</v>
      </c>
    </row>
    <row r="801">
      <c r="A801" s="45" t="s">
        <v>245</v>
      </c>
      <c r="B801" s="45" t="s">
        <v>2555</v>
      </c>
      <c r="C801" s="45">
        <v>69.0</v>
      </c>
      <c r="D801" s="45">
        <v>19089.0</v>
      </c>
      <c r="E801" s="45" t="s">
        <v>3995</v>
      </c>
      <c r="F801" s="45" t="s">
        <v>3996</v>
      </c>
      <c r="G801" s="45" t="s">
        <v>3992</v>
      </c>
    </row>
    <row r="802">
      <c r="A802" s="45" t="s">
        <v>293</v>
      </c>
      <c r="B802" s="45" t="s">
        <v>2555</v>
      </c>
      <c r="C802" s="45">
        <v>45.0</v>
      </c>
      <c r="D802" s="45">
        <v>19091.0</v>
      </c>
      <c r="E802" s="45" t="s">
        <v>3995</v>
      </c>
      <c r="F802" s="45" t="s">
        <v>3996</v>
      </c>
      <c r="G802" s="45" t="s">
        <v>3992</v>
      </c>
    </row>
    <row r="803">
      <c r="A803" s="45" t="s">
        <v>723</v>
      </c>
      <c r="B803" s="45" t="s">
        <v>2555</v>
      </c>
      <c r="C803" s="45">
        <v>45.0</v>
      </c>
      <c r="D803" s="45">
        <v>19093.0</v>
      </c>
      <c r="E803" s="45" t="s">
        <v>3995</v>
      </c>
      <c r="F803" s="45" t="s">
        <v>3999</v>
      </c>
      <c r="G803" s="45" t="s">
        <v>3992</v>
      </c>
    </row>
    <row r="804">
      <c r="A804" s="45" t="s">
        <v>705</v>
      </c>
      <c r="B804" s="45" t="s">
        <v>2555</v>
      </c>
      <c r="C804" s="45">
        <v>70.0</v>
      </c>
      <c r="D804" s="45">
        <v>19095.0</v>
      </c>
      <c r="E804" s="45" t="s">
        <v>3995</v>
      </c>
      <c r="F804" s="45" t="s">
        <v>3996</v>
      </c>
      <c r="G804" s="45" t="s">
        <v>3992</v>
      </c>
    </row>
    <row r="805">
      <c r="A805" s="45" t="s">
        <v>138</v>
      </c>
      <c r="B805" s="45" t="s">
        <v>2555</v>
      </c>
      <c r="C805" s="45">
        <v>70.0</v>
      </c>
      <c r="D805" s="45">
        <v>19097.0</v>
      </c>
      <c r="E805" s="45" t="s">
        <v>3995</v>
      </c>
      <c r="F805" s="45" t="s">
        <v>3996</v>
      </c>
      <c r="G805" s="45" t="s">
        <v>3992</v>
      </c>
    </row>
    <row r="806">
      <c r="A806" s="45" t="s">
        <v>518</v>
      </c>
      <c r="B806" s="45" t="s">
        <v>2555</v>
      </c>
      <c r="C806" s="45">
        <v>70.0</v>
      </c>
      <c r="D806" s="45">
        <v>19099.0</v>
      </c>
      <c r="E806" s="45" t="s">
        <v>3995</v>
      </c>
      <c r="F806" s="45" t="s">
        <v>3996</v>
      </c>
      <c r="G806" s="45" t="s">
        <v>3992</v>
      </c>
    </row>
    <row r="807">
      <c r="A807" s="45" t="s">
        <v>139</v>
      </c>
      <c r="B807" s="45" t="s">
        <v>2555</v>
      </c>
      <c r="C807" s="45">
        <v>70.0</v>
      </c>
      <c r="D807" s="45">
        <v>19101.0</v>
      </c>
      <c r="E807" s="45" t="s">
        <v>3995</v>
      </c>
      <c r="F807" s="45" t="s">
        <v>3996</v>
      </c>
      <c r="G807" s="45" t="s">
        <v>3992</v>
      </c>
    </row>
    <row r="808">
      <c r="A808" s="45" t="s">
        <v>248</v>
      </c>
      <c r="B808" s="45" t="s">
        <v>2555</v>
      </c>
      <c r="C808" s="45">
        <v>70.0</v>
      </c>
      <c r="D808" s="45">
        <v>19103.0</v>
      </c>
      <c r="E808" s="45" t="s">
        <v>3995</v>
      </c>
      <c r="F808" s="45" t="s">
        <v>3996</v>
      </c>
      <c r="G808" s="45" t="s">
        <v>3992</v>
      </c>
    </row>
    <row r="809">
      <c r="A809" s="45" t="s">
        <v>521</v>
      </c>
      <c r="B809" s="45" t="s">
        <v>2555</v>
      </c>
      <c r="C809" s="45">
        <v>70.0</v>
      </c>
      <c r="D809" s="45">
        <v>19105.0</v>
      </c>
      <c r="E809" s="45" t="s">
        <v>3995</v>
      </c>
      <c r="F809" s="45" t="s">
        <v>3996</v>
      </c>
      <c r="G809" s="45" t="s">
        <v>3997</v>
      </c>
    </row>
    <row r="810">
      <c r="A810" s="45" t="s">
        <v>724</v>
      </c>
      <c r="B810" s="45" t="s">
        <v>2555</v>
      </c>
      <c r="C810" s="45">
        <v>70.0</v>
      </c>
      <c r="D810" s="45">
        <v>19107.0</v>
      </c>
      <c r="E810" s="45" t="s">
        <v>3995</v>
      </c>
      <c r="F810" s="45" t="s">
        <v>3996</v>
      </c>
      <c r="G810" s="45" t="s">
        <v>3997</v>
      </c>
    </row>
    <row r="811">
      <c r="A811" s="45" t="s">
        <v>725</v>
      </c>
      <c r="B811" s="45" t="s">
        <v>2555</v>
      </c>
      <c r="C811" s="45">
        <v>45.0</v>
      </c>
      <c r="D811" s="45">
        <v>19109.0</v>
      </c>
      <c r="E811" s="45" t="s">
        <v>3995</v>
      </c>
      <c r="F811" s="45" t="s">
        <v>3999</v>
      </c>
      <c r="G811" s="45" t="s">
        <v>3996</v>
      </c>
    </row>
    <row r="812">
      <c r="A812" s="45" t="s">
        <v>143</v>
      </c>
      <c r="B812" s="45" t="s">
        <v>2555</v>
      </c>
      <c r="C812" s="45">
        <v>70.0</v>
      </c>
      <c r="D812" s="45">
        <v>19111.0</v>
      </c>
      <c r="E812" s="45" t="s">
        <v>3995</v>
      </c>
      <c r="F812" s="45" t="s">
        <v>3996</v>
      </c>
      <c r="G812" s="45" t="s">
        <v>3996</v>
      </c>
    </row>
    <row r="813">
      <c r="A813" s="45" t="s">
        <v>726</v>
      </c>
      <c r="B813" s="45" t="s">
        <v>2555</v>
      </c>
      <c r="C813" s="45">
        <v>70.0</v>
      </c>
      <c r="D813" s="45">
        <v>19113.0</v>
      </c>
      <c r="E813" s="45" t="s">
        <v>3995</v>
      </c>
      <c r="F813" s="45" t="s">
        <v>3996</v>
      </c>
      <c r="G813" s="45" t="s">
        <v>3996</v>
      </c>
    </row>
    <row r="814">
      <c r="A814" s="45" t="s">
        <v>727</v>
      </c>
      <c r="B814" s="45" t="s">
        <v>2555</v>
      </c>
      <c r="C814" s="45">
        <v>70.0</v>
      </c>
      <c r="D814" s="45">
        <v>19115.0</v>
      </c>
      <c r="E814" s="45" t="s">
        <v>3995</v>
      </c>
      <c r="F814" s="45" t="s">
        <v>3996</v>
      </c>
      <c r="G814" s="45" t="s">
        <v>3996</v>
      </c>
    </row>
    <row r="815">
      <c r="A815" s="45" t="s">
        <v>728</v>
      </c>
      <c r="B815" s="45" t="s">
        <v>2555</v>
      </c>
      <c r="C815" s="45">
        <v>70.0</v>
      </c>
      <c r="D815" s="45">
        <v>19117.0</v>
      </c>
      <c r="E815" s="45" t="s">
        <v>3995</v>
      </c>
      <c r="F815" s="45" t="s">
        <v>3996</v>
      </c>
      <c r="G815" s="45" t="s">
        <v>3996</v>
      </c>
    </row>
    <row r="816">
      <c r="A816" s="45" t="s">
        <v>729</v>
      </c>
      <c r="B816" s="45" t="s">
        <v>2555</v>
      </c>
      <c r="C816" s="45">
        <v>45.0</v>
      </c>
      <c r="D816" s="45">
        <v>19119.0</v>
      </c>
      <c r="E816" s="45" t="s">
        <v>3995</v>
      </c>
      <c r="F816" s="45" t="s">
        <v>3999</v>
      </c>
      <c r="G816" s="45" t="s">
        <v>3996</v>
      </c>
    </row>
    <row r="817">
      <c r="A817" s="45" t="s">
        <v>147</v>
      </c>
      <c r="B817" s="45" t="s">
        <v>2555</v>
      </c>
      <c r="C817" s="45">
        <v>70.0</v>
      </c>
      <c r="D817" s="45">
        <v>19121.0</v>
      </c>
      <c r="E817" s="45" t="s">
        <v>3995</v>
      </c>
      <c r="F817" s="45" t="s">
        <v>3996</v>
      </c>
      <c r="G817" s="45" t="s">
        <v>3996</v>
      </c>
    </row>
    <row r="818">
      <c r="A818" s="45" t="s">
        <v>730</v>
      </c>
      <c r="B818" s="45" t="s">
        <v>2555</v>
      </c>
      <c r="C818" s="45">
        <v>70.0</v>
      </c>
      <c r="D818" s="45">
        <v>19123.0</v>
      </c>
      <c r="E818" s="45" t="s">
        <v>3995</v>
      </c>
      <c r="F818" s="45" t="s">
        <v>3996</v>
      </c>
      <c r="G818" s="45" t="s">
        <v>3996</v>
      </c>
    </row>
    <row r="819">
      <c r="A819" s="45" t="s">
        <v>149</v>
      </c>
      <c r="B819" s="45" t="s">
        <v>2555</v>
      </c>
      <c r="C819" s="45">
        <v>70.0</v>
      </c>
      <c r="D819" s="45">
        <v>19125.0</v>
      </c>
      <c r="E819" s="45" t="s">
        <v>3995</v>
      </c>
      <c r="F819" s="45" t="s">
        <v>3996</v>
      </c>
      <c r="G819" s="45" t="s">
        <v>3996</v>
      </c>
    </row>
    <row r="820">
      <c r="A820" s="45" t="s">
        <v>150</v>
      </c>
      <c r="B820" s="45" t="s">
        <v>2555</v>
      </c>
      <c r="C820" s="45">
        <v>70.0</v>
      </c>
      <c r="D820" s="45">
        <v>19127.0</v>
      </c>
      <c r="E820" s="45" t="s">
        <v>3995</v>
      </c>
      <c r="F820" s="45" t="s">
        <v>3996</v>
      </c>
      <c r="G820" s="45" t="s">
        <v>3996</v>
      </c>
    </row>
    <row r="821">
      <c r="A821" s="45" t="s">
        <v>731</v>
      </c>
      <c r="B821" s="45" t="s">
        <v>2555</v>
      </c>
      <c r="C821" s="45">
        <v>45.0</v>
      </c>
      <c r="D821" s="45">
        <v>19129.0</v>
      </c>
      <c r="E821" s="45" t="s">
        <v>3995</v>
      </c>
      <c r="F821" s="45" t="s">
        <v>3996</v>
      </c>
      <c r="G821" s="45" t="s">
        <v>3996</v>
      </c>
    </row>
    <row r="822">
      <c r="A822" s="45" t="s">
        <v>529</v>
      </c>
      <c r="B822" s="45" t="s">
        <v>2555</v>
      </c>
      <c r="C822" s="45">
        <v>69.0</v>
      </c>
      <c r="D822" s="45">
        <v>19131.0</v>
      </c>
      <c r="E822" s="45" t="s">
        <v>3995</v>
      </c>
      <c r="F822" s="45" t="s">
        <v>3996</v>
      </c>
      <c r="G822" s="45" t="s">
        <v>3996</v>
      </c>
    </row>
    <row r="823">
      <c r="A823" s="45" t="s">
        <v>732</v>
      </c>
      <c r="B823" s="45" t="s">
        <v>2555</v>
      </c>
      <c r="C823" s="45">
        <v>45.0</v>
      </c>
      <c r="D823" s="45">
        <v>19133.0</v>
      </c>
      <c r="E823" s="45" t="s">
        <v>3995</v>
      </c>
      <c r="F823" s="45" t="s">
        <v>3999</v>
      </c>
      <c r="G823" s="45" t="s">
        <v>3996</v>
      </c>
    </row>
    <row r="824">
      <c r="A824" s="45" t="s">
        <v>152</v>
      </c>
      <c r="B824" s="45" t="s">
        <v>2555</v>
      </c>
      <c r="C824" s="45">
        <v>70.0</v>
      </c>
      <c r="D824" s="45">
        <v>19135.0</v>
      </c>
      <c r="E824" s="45" t="s">
        <v>3995</v>
      </c>
      <c r="F824" s="45" t="s">
        <v>3996</v>
      </c>
      <c r="G824" s="45" t="s">
        <v>3996</v>
      </c>
    </row>
    <row r="825">
      <c r="A825" s="45" t="s">
        <v>153</v>
      </c>
      <c r="B825" s="45" t="s">
        <v>2555</v>
      </c>
      <c r="C825" s="45">
        <v>45.0</v>
      </c>
      <c r="D825" s="45">
        <v>19137.0</v>
      </c>
      <c r="E825" s="45" t="s">
        <v>3995</v>
      </c>
      <c r="F825" s="45" t="s">
        <v>3996</v>
      </c>
      <c r="G825" s="45" t="s">
        <v>3996</v>
      </c>
    </row>
    <row r="826">
      <c r="A826" s="45" t="s">
        <v>733</v>
      </c>
      <c r="B826" s="45" t="s">
        <v>2555</v>
      </c>
      <c r="C826" s="45">
        <v>70.0</v>
      </c>
      <c r="D826" s="45">
        <v>19139.0</v>
      </c>
      <c r="E826" s="45" t="s">
        <v>3995</v>
      </c>
      <c r="F826" s="45" t="s">
        <v>3996</v>
      </c>
      <c r="G826" s="45" t="s">
        <v>3996</v>
      </c>
    </row>
    <row r="827">
      <c r="A827" s="45" t="s">
        <v>734</v>
      </c>
      <c r="B827" s="45" t="s">
        <v>2555</v>
      </c>
      <c r="C827" s="45">
        <v>45.0</v>
      </c>
      <c r="D827" s="45">
        <v>19141.0</v>
      </c>
      <c r="E827" s="45" t="s">
        <v>3995</v>
      </c>
      <c r="F827" s="45" t="s">
        <v>3999</v>
      </c>
      <c r="G827" s="45" t="s">
        <v>3996</v>
      </c>
    </row>
    <row r="828">
      <c r="A828" s="45" t="s">
        <v>445</v>
      </c>
      <c r="B828" s="45" t="s">
        <v>2555</v>
      </c>
      <c r="C828" s="45">
        <v>45.0</v>
      </c>
      <c r="D828" s="45">
        <v>19143.0</v>
      </c>
      <c r="E828" s="45" t="s">
        <v>3995</v>
      </c>
      <c r="F828" s="45" t="s">
        <v>3999</v>
      </c>
      <c r="G828" s="45" t="s">
        <v>3996</v>
      </c>
    </row>
    <row r="829">
      <c r="A829" s="45" t="s">
        <v>735</v>
      </c>
      <c r="B829" s="45" t="s">
        <v>2555</v>
      </c>
      <c r="C829" s="45">
        <v>45.0</v>
      </c>
      <c r="D829" s="45">
        <v>19145.0</v>
      </c>
      <c r="E829" s="45" t="s">
        <v>3995</v>
      </c>
      <c r="F829" s="45" t="s">
        <v>3996</v>
      </c>
      <c r="G829" s="45" t="s">
        <v>3996</v>
      </c>
    </row>
    <row r="830">
      <c r="A830" s="45" t="s">
        <v>736</v>
      </c>
      <c r="B830" s="45" t="s">
        <v>2555</v>
      </c>
      <c r="C830" s="45">
        <v>45.0</v>
      </c>
      <c r="D830" s="45">
        <v>19147.0</v>
      </c>
      <c r="E830" s="45" t="s">
        <v>3995</v>
      </c>
      <c r="F830" s="45" t="s">
        <v>3999</v>
      </c>
      <c r="G830" s="45" t="s">
        <v>3996</v>
      </c>
    </row>
    <row r="831">
      <c r="A831" s="45" t="s">
        <v>737</v>
      </c>
      <c r="B831" s="45" t="s">
        <v>2555</v>
      </c>
      <c r="C831" s="45">
        <v>45.0</v>
      </c>
      <c r="D831" s="45">
        <v>19149.0</v>
      </c>
      <c r="E831" s="45" t="s">
        <v>3995</v>
      </c>
      <c r="F831" s="45" t="s">
        <v>3999</v>
      </c>
      <c r="G831" s="45" t="s">
        <v>3996</v>
      </c>
    </row>
    <row r="832">
      <c r="A832" s="45" t="s">
        <v>738</v>
      </c>
      <c r="B832" s="45" t="s">
        <v>2555</v>
      </c>
      <c r="C832" s="45">
        <v>45.0</v>
      </c>
      <c r="D832" s="45">
        <v>19151.0</v>
      </c>
      <c r="E832" s="45" t="s">
        <v>3995</v>
      </c>
      <c r="F832" s="45" t="s">
        <v>3999</v>
      </c>
      <c r="G832" s="45" t="s">
        <v>3996</v>
      </c>
    </row>
    <row r="833">
      <c r="A833" s="45" t="s">
        <v>261</v>
      </c>
      <c r="B833" s="45" t="s">
        <v>2555</v>
      </c>
      <c r="C833" s="45">
        <v>70.0</v>
      </c>
      <c r="D833" s="45">
        <v>19153.0</v>
      </c>
      <c r="E833" s="45" t="s">
        <v>3995</v>
      </c>
      <c r="F833" s="45" t="s">
        <v>3996</v>
      </c>
      <c r="G833" s="45" t="s">
        <v>3996</v>
      </c>
    </row>
    <row r="834">
      <c r="A834" s="45" t="s">
        <v>739</v>
      </c>
      <c r="B834" s="45" t="s">
        <v>2555</v>
      </c>
      <c r="C834" s="45">
        <v>45.0</v>
      </c>
      <c r="D834" s="45">
        <v>19155.0</v>
      </c>
      <c r="E834" s="45" t="s">
        <v>3995</v>
      </c>
      <c r="F834" s="45" t="s">
        <v>3999</v>
      </c>
      <c r="G834" s="45" t="s">
        <v>3996</v>
      </c>
    </row>
    <row r="835">
      <c r="A835" s="45" t="s">
        <v>740</v>
      </c>
      <c r="B835" s="45" t="s">
        <v>2555</v>
      </c>
      <c r="C835" s="45">
        <v>70.0</v>
      </c>
      <c r="D835" s="45">
        <v>19157.0</v>
      </c>
      <c r="E835" s="45" t="s">
        <v>3995</v>
      </c>
      <c r="F835" s="45" t="s">
        <v>3996</v>
      </c>
      <c r="G835" s="45" t="s">
        <v>3996</v>
      </c>
    </row>
    <row r="836">
      <c r="A836" s="45" t="s">
        <v>741</v>
      </c>
      <c r="B836" s="45" t="s">
        <v>2555</v>
      </c>
      <c r="C836" s="45">
        <v>70.0</v>
      </c>
      <c r="D836" s="45">
        <v>19159.0</v>
      </c>
      <c r="E836" s="45" t="s">
        <v>3995</v>
      </c>
      <c r="F836" s="45" t="s">
        <v>3999</v>
      </c>
      <c r="G836" s="45" t="s">
        <v>3996</v>
      </c>
    </row>
    <row r="837">
      <c r="A837" s="45" t="s">
        <v>742</v>
      </c>
      <c r="B837" s="45" t="s">
        <v>2555</v>
      </c>
      <c r="C837" s="45">
        <v>45.0</v>
      </c>
      <c r="D837" s="45">
        <v>19161.0</v>
      </c>
      <c r="E837" s="45" t="s">
        <v>3995</v>
      </c>
      <c r="F837" s="45" t="s">
        <v>3999</v>
      </c>
      <c r="G837" s="45" t="s">
        <v>3996</v>
      </c>
    </row>
    <row r="838">
      <c r="A838" s="45" t="s">
        <v>267</v>
      </c>
      <c r="B838" s="45" t="s">
        <v>2555</v>
      </c>
      <c r="C838" s="45">
        <v>70.0</v>
      </c>
      <c r="D838" s="45">
        <v>19163.0</v>
      </c>
      <c r="E838" s="45" t="s">
        <v>3995</v>
      </c>
      <c r="F838" s="45" t="s">
        <v>3996</v>
      </c>
      <c r="G838" s="45" t="s">
        <v>3996</v>
      </c>
    </row>
    <row r="839">
      <c r="A839" s="45" t="s">
        <v>161</v>
      </c>
      <c r="B839" s="45" t="s">
        <v>2555</v>
      </c>
      <c r="C839" s="45">
        <v>45.0</v>
      </c>
      <c r="D839" s="45">
        <v>19165.0</v>
      </c>
      <c r="E839" s="45" t="s">
        <v>3995</v>
      </c>
      <c r="F839" s="45" t="s">
        <v>3999</v>
      </c>
      <c r="G839" s="45" t="s">
        <v>3996</v>
      </c>
    </row>
    <row r="840">
      <c r="A840" s="45" t="s">
        <v>743</v>
      </c>
      <c r="B840" s="45" t="s">
        <v>2555</v>
      </c>
      <c r="C840" s="45">
        <v>45.0</v>
      </c>
      <c r="D840" s="45">
        <v>19167.0</v>
      </c>
      <c r="E840" s="45" t="s">
        <v>3995</v>
      </c>
      <c r="F840" s="45" t="s">
        <v>3999</v>
      </c>
      <c r="G840" s="45" t="s">
        <v>3996</v>
      </c>
    </row>
    <row r="841">
      <c r="A841" s="45" t="s">
        <v>744</v>
      </c>
      <c r="B841" s="45" t="s">
        <v>2555</v>
      </c>
      <c r="C841" s="45">
        <v>70.0</v>
      </c>
      <c r="D841" s="45">
        <v>19169.0</v>
      </c>
      <c r="E841" s="45" t="s">
        <v>3995</v>
      </c>
      <c r="F841" s="45" t="s">
        <v>3996</v>
      </c>
      <c r="G841" s="45" t="s">
        <v>3996</v>
      </c>
    </row>
    <row r="842">
      <c r="A842" s="45" t="s">
        <v>745</v>
      </c>
      <c r="B842" s="45" t="s">
        <v>2555</v>
      </c>
      <c r="C842" s="45">
        <v>70.0</v>
      </c>
      <c r="D842" s="45">
        <v>19171.0</v>
      </c>
      <c r="E842" s="45" t="s">
        <v>3995</v>
      </c>
      <c r="F842" s="45" t="s">
        <v>3996</v>
      </c>
      <c r="G842" s="45" t="s">
        <v>3996</v>
      </c>
    </row>
    <row r="843">
      <c r="A843" s="45" t="s">
        <v>456</v>
      </c>
      <c r="B843" s="45" t="s">
        <v>2555</v>
      </c>
      <c r="C843" s="45">
        <v>45.0</v>
      </c>
      <c r="D843" s="45">
        <v>19173.0</v>
      </c>
      <c r="E843" s="45" t="s">
        <v>3995</v>
      </c>
      <c r="F843" s="45" t="s">
        <v>3999</v>
      </c>
      <c r="G843" s="45" t="s">
        <v>3996</v>
      </c>
    </row>
    <row r="844">
      <c r="A844" s="45" t="s">
        <v>273</v>
      </c>
      <c r="B844" s="45" t="s">
        <v>2555</v>
      </c>
      <c r="C844" s="45">
        <v>70.0</v>
      </c>
      <c r="D844" s="45">
        <v>19175.0</v>
      </c>
      <c r="E844" s="45" t="s">
        <v>3995</v>
      </c>
      <c r="F844" s="45" t="s">
        <v>3999</v>
      </c>
      <c r="G844" s="45" t="s">
        <v>3996</v>
      </c>
    </row>
    <row r="845">
      <c r="A845" s="45" t="s">
        <v>274</v>
      </c>
      <c r="B845" s="45" t="s">
        <v>2555</v>
      </c>
      <c r="C845" s="45">
        <v>70.0</v>
      </c>
      <c r="D845" s="45">
        <v>19177.0</v>
      </c>
      <c r="E845" s="45" t="s">
        <v>3995</v>
      </c>
      <c r="F845" s="45" t="s">
        <v>3996</v>
      </c>
      <c r="G845" s="45" t="s">
        <v>3996</v>
      </c>
    </row>
    <row r="846">
      <c r="A846" s="45" t="s">
        <v>746</v>
      </c>
      <c r="B846" s="45" t="s">
        <v>2555</v>
      </c>
      <c r="C846" s="45">
        <v>70.0</v>
      </c>
      <c r="D846" s="45">
        <v>19179.0</v>
      </c>
      <c r="E846" s="45" t="s">
        <v>3995</v>
      </c>
      <c r="F846" s="45" t="s">
        <v>3996</v>
      </c>
      <c r="G846" s="45" t="s">
        <v>3996</v>
      </c>
    </row>
    <row r="847">
      <c r="A847" s="45" t="s">
        <v>561</v>
      </c>
      <c r="B847" s="45" t="s">
        <v>2555</v>
      </c>
      <c r="C847" s="45">
        <v>70.0</v>
      </c>
      <c r="D847" s="45">
        <v>19181.0</v>
      </c>
      <c r="E847" s="45" t="s">
        <v>3995</v>
      </c>
      <c r="F847" s="45" t="s">
        <v>3996</v>
      </c>
      <c r="G847" s="45" t="s">
        <v>3996</v>
      </c>
    </row>
    <row r="848">
      <c r="A848" s="45" t="s">
        <v>167</v>
      </c>
      <c r="B848" s="45" t="s">
        <v>2555</v>
      </c>
      <c r="C848" s="45">
        <v>70.0</v>
      </c>
      <c r="D848" s="45">
        <v>19183.0</v>
      </c>
      <c r="E848" s="45" t="s">
        <v>3995</v>
      </c>
      <c r="F848" s="45" t="s">
        <v>3996</v>
      </c>
      <c r="G848" s="45" t="s">
        <v>3996</v>
      </c>
    </row>
    <row r="849">
      <c r="A849" s="45" t="s">
        <v>562</v>
      </c>
      <c r="B849" s="45" t="s">
        <v>2555</v>
      </c>
      <c r="C849" s="45">
        <v>70.0</v>
      </c>
      <c r="D849" s="45">
        <v>19185.0</v>
      </c>
      <c r="E849" s="45" t="s">
        <v>3995</v>
      </c>
      <c r="F849" s="45" t="s">
        <v>3996</v>
      </c>
      <c r="G849" s="45" t="s">
        <v>3996</v>
      </c>
    </row>
    <row r="850">
      <c r="A850" s="45" t="s">
        <v>563</v>
      </c>
      <c r="B850" s="45" t="s">
        <v>2555</v>
      </c>
      <c r="C850" s="45">
        <v>45.0</v>
      </c>
      <c r="D850" s="45">
        <v>19187.0</v>
      </c>
      <c r="E850" s="45" t="s">
        <v>3995</v>
      </c>
      <c r="F850" s="45" t="s">
        <v>3996</v>
      </c>
      <c r="G850" s="45" t="s">
        <v>3996</v>
      </c>
    </row>
    <row r="851">
      <c r="A851" s="45" t="s">
        <v>661</v>
      </c>
      <c r="B851" s="45" t="s">
        <v>2555</v>
      </c>
      <c r="C851" s="45">
        <v>45.0</v>
      </c>
      <c r="D851" s="45">
        <v>19189.0</v>
      </c>
      <c r="E851" s="45" t="s">
        <v>3995</v>
      </c>
      <c r="F851" s="45" t="s">
        <v>3996</v>
      </c>
      <c r="G851" s="45" t="s">
        <v>3996</v>
      </c>
    </row>
    <row r="852">
      <c r="A852" s="45" t="s">
        <v>747</v>
      </c>
      <c r="B852" s="45" t="s">
        <v>2555</v>
      </c>
      <c r="C852" s="45">
        <v>69.0</v>
      </c>
      <c r="D852" s="45">
        <v>19191.0</v>
      </c>
      <c r="E852" s="45" t="s">
        <v>3995</v>
      </c>
      <c r="F852" s="45" t="s">
        <v>3996</v>
      </c>
      <c r="G852" s="45" t="s">
        <v>3996</v>
      </c>
    </row>
    <row r="853">
      <c r="A853" s="45" t="s">
        <v>748</v>
      </c>
      <c r="B853" s="45" t="s">
        <v>2555</v>
      </c>
      <c r="C853" s="45">
        <v>45.0</v>
      </c>
      <c r="D853" s="45">
        <v>19193.0</v>
      </c>
      <c r="E853" s="45" t="s">
        <v>3995</v>
      </c>
      <c r="F853" s="45" t="s">
        <v>3999</v>
      </c>
      <c r="G853" s="45" t="s">
        <v>3996</v>
      </c>
    </row>
    <row r="854">
      <c r="A854" s="45" t="s">
        <v>568</v>
      </c>
      <c r="B854" s="45" t="s">
        <v>2555</v>
      </c>
      <c r="C854" s="45">
        <v>45.0</v>
      </c>
      <c r="D854" s="45">
        <v>19195.0</v>
      </c>
      <c r="E854" s="45" t="s">
        <v>3995</v>
      </c>
      <c r="F854" s="45" t="s">
        <v>3996</v>
      </c>
      <c r="G854" s="45" t="s">
        <v>3996</v>
      </c>
    </row>
    <row r="855">
      <c r="A855" s="45" t="s">
        <v>749</v>
      </c>
      <c r="B855" s="45" t="s">
        <v>2555</v>
      </c>
      <c r="C855" s="45">
        <v>45.0</v>
      </c>
      <c r="D855" s="45">
        <v>19197.0</v>
      </c>
      <c r="E855" s="45" t="s">
        <v>3995</v>
      </c>
      <c r="F855" s="45" t="s">
        <v>3996</v>
      </c>
      <c r="G855" s="45" t="s">
        <v>3996</v>
      </c>
    </row>
    <row r="856">
      <c r="A856" s="45" t="s">
        <v>664</v>
      </c>
      <c r="B856" s="45" t="s">
        <v>2601</v>
      </c>
      <c r="C856" s="45">
        <v>53.0</v>
      </c>
      <c r="D856" s="45">
        <v>20001.0</v>
      </c>
      <c r="E856" s="45" t="s">
        <v>3975</v>
      </c>
      <c r="F856" s="45" t="s">
        <v>4001</v>
      </c>
      <c r="G856" s="45" t="s">
        <v>3996</v>
      </c>
    </row>
    <row r="857">
      <c r="A857" s="45" t="s">
        <v>751</v>
      </c>
      <c r="B857" s="45" t="s">
        <v>2601</v>
      </c>
      <c r="C857" s="45">
        <v>53.0</v>
      </c>
      <c r="D857" s="45">
        <v>20003.0</v>
      </c>
      <c r="E857" s="45" t="s">
        <v>3975</v>
      </c>
      <c r="F857" s="45" t="s">
        <v>4001</v>
      </c>
      <c r="G857" s="45" t="s">
        <v>3996</v>
      </c>
    </row>
    <row r="858">
      <c r="A858" s="45" t="s">
        <v>752</v>
      </c>
      <c r="B858" s="45" t="s">
        <v>2601</v>
      </c>
      <c r="C858" s="45">
        <v>53.0</v>
      </c>
      <c r="D858" s="45">
        <v>20005.0</v>
      </c>
      <c r="E858" s="45" t="s">
        <v>3975</v>
      </c>
      <c r="F858" s="45" t="s">
        <v>4001</v>
      </c>
      <c r="G858" s="45" t="s">
        <v>3996</v>
      </c>
    </row>
    <row r="859">
      <c r="A859" s="45" t="s">
        <v>753</v>
      </c>
      <c r="B859" s="45" t="s">
        <v>2601</v>
      </c>
      <c r="C859" s="45">
        <v>53.0</v>
      </c>
      <c r="D859" s="45">
        <v>20007.0</v>
      </c>
      <c r="E859" s="45" t="s">
        <v>3975</v>
      </c>
      <c r="F859" s="45" t="s">
        <v>4001</v>
      </c>
      <c r="G859" s="45" t="s">
        <v>3996</v>
      </c>
    </row>
    <row r="860">
      <c r="A860" s="45" t="s">
        <v>754</v>
      </c>
      <c r="B860" s="45" t="s">
        <v>2601</v>
      </c>
      <c r="C860" s="45">
        <v>53.0</v>
      </c>
      <c r="D860" s="45">
        <v>20009.0</v>
      </c>
      <c r="E860" s="45" t="s">
        <v>3975</v>
      </c>
      <c r="F860" s="45" t="s">
        <v>4001</v>
      </c>
      <c r="G860" s="45" t="s">
        <v>3996</v>
      </c>
    </row>
    <row r="861">
      <c r="A861" s="45" t="s">
        <v>755</v>
      </c>
      <c r="B861" s="45" t="s">
        <v>2601</v>
      </c>
      <c r="C861" s="45">
        <v>53.0</v>
      </c>
      <c r="D861" s="45">
        <v>20011.0</v>
      </c>
      <c r="E861" s="45" t="s">
        <v>3975</v>
      </c>
      <c r="F861" s="45" t="s">
        <v>4001</v>
      </c>
      <c r="G861" s="45" t="s">
        <v>3996</v>
      </c>
    </row>
    <row r="862">
      <c r="A862" s="45" t="s">
        <v>611</v>
      </c>
      <c r="B862" s="45" t="s">
        <v>2601</v>
      </c>
      <c r="C862" s="45">
        <v>53.0</v>
      </c>
      <c r="D862" s="45">
        <v>20013.0</v>
      </c>
      <c r="E862" s="45" t="s">
        <v>3975</v>
      </c>
      <c r="F862" s="45" t="s">
        <v>4001</v>
      </c>
      <c r="G862" s="45" t="s">
        <v>3996</v>
      </c>
    </row>
    <row r="863">
      <c r="A863" s="45" t="s">
        <v>109</v>
      </c>
      <c r="B863" s="45" t="s">
        <v>2601</v>
      </c>
      <c r="C863" s="45">
        <v>53.0</v>
      </c>
      <c r="D863" s="45">
        <v>20015.0</v>
      </c>
      <c r="E863" s="45" t="s">
        <v>3975</v>
      </c>
      <c r="F863" s="45" t="s">
        <v>4001</v>
      </c>
      <c r="G863" s="45" t="s">
        <v>3996</v>
      </c>
    </row>
    <row r="864">
      <c r="A864" s="45" t="s">
        <v>756</v>
      </c>
      <c r="B864" s="45" t="s">
        <v>2601</v>
      </c>
      <c r="C864" s="45">
        <v>53.0</v>
      </c>
      <c r="D864" s="45">
        <v>20017.0</v>
      </c>
      <c r="E864" s="45" t="s">
        <v>3975</v>
      </c>
      <c r="F864" s="45" t="s">
        <v>4001</v>
      </c>
      <c r="G864" s="45" t="s">
        <v>3996</v>
      </c>
    </row>
    <row r="865">
      <c r="A865" s="45" t="s">
        <v>757</v>
      </c>
      <c r="B865" s="45" t="s">
        <v>2601</v>
      </c>
      <c r="C865" s="45">
        <v>53.0</v>
      </c>
      <c r="D865" s="45">
        <v>20019.0</v>
      </c>
      <c r="E865" s="45" t="s">
        <v>3975</v>
      </c>
      <c r="F865" s="45" t="s">
        <v>4001</v>
      </c>
      <c r="G865" s="45" t="s">
        <v>3996</v>
      </c>
    </row>
    <row r="866">
      <c r="A866" s="45" t="s">
        <v>112</v>
      </c>
      <c r="B866" s="45" t="s">
        <v>2601</v>
      </c>
      <c r="C866" s="45">
        <v>53.0</v>
      </c>
      <c r="D866" s="45">
        <v>20021.0</v>
      </c>
      <c r="E866" s="45" t="s">
        <v>3975</v>
      </c>
      <c r="F866" s="45" t="s">
        <v>4001</v>
      </c>
      <c r="G866" s="45" t="s">
        <v>3996</v>
      </c>
    </row>
    <row r="867">
      <c r="A867" s="45" t="s">
        <v>348</v>
      </c>
      <c r="B867" s="45" t="s">
        <v>2601</v>
      </c>
      <c r="C867" s="45">
        <v>52.0</v>
      </c>
      <c r="D867" s="45">
        <v>20023.0</v>
      </c>
      <c r="E867" s="45" t="s">
        <v>3975</v>
      </c>
      <c r="F867" s="45" t="s">
        <v>4001</v>
      </c>
      <c r="G867" s="45" t="s">
        <v>3996</v>
      </c>
    </row>
    <row r="868">
      <c r="A868" s="45" t="s">
        <v>229</v>
      </c>
      <c r="B868" s="45" t="s">
        <v>2601</v>
      </c>
      <c r="C868" s="45">
        <v>53.0</v>
      </c>
      <c r="D868" s="45">
        <v>20025.0</v>
      </c>
      <c r="E868" s="45" t="s">
        <v>3975</v>
      </c>
      <c r="F868" s="45" t="s">
        <v>4001</v>
      </c>
      <c r="G868" s="45" t="s">
        <v>3996</v>
      </c>
    </row>
    <row r="869">
      <c r="A869" s="45" t="s">
        <v>116</v>
      </c>
      <c r="B869" s="45" t="s">
        <v>2601</v>
      </c>
      <c r="C869" s="45">
        <v>53.0</v>
      </c>
      <c r="D869" s="45">
        <v>20027.0</v>
      </c>
      <c r="E869" s="45" t="s">
        <v>3975</v>
      </c>
      <c r="F869" s="45" t="s">
        <v>4001</v>
      </c>
      <c r="G869" s="45" t="s">
        <v>3996</v>
      </c>
    </row>
    <row r="870">
      <c r="A870" s="45" t="s">
        <v>758</v>
      </c>
      <c r="B870" s="45" t="s">
        <v>2601</v>
      </c>
      <c r="C870" s="45">
        <v>53.0</v>
      </c>
      <c r="D870" s="45">
        <v>20029.0</v>
      </c>
      <c r="E870" s="45" t="s">
        <v>3975</v>
      </c>
      <c r="F870" s="45" t="s">
        <v>4001</v>
      </c>
      <c r="G870" s="45" t="s">
        <v>3996</v>
      </c>
    </row>
    <row r="871">
      <c r="A871" s="45" t="s">
        <v>759</v>
      </c>
      <c r="B871" s="45" t="s">
        <v>2601</v>
      </c>
      <c r="C871" s="45">
        <v>53.0</v>
      </c>
      <c r="D871" s="45">
        <v>20031.0</v>
      </c>
      <c r="E871" s="45" t="s">
        <v>3975</v>
      </c>
      <c r="F871" s="45" t="s">
        <v>4001</v>
      </c>
      <c r="G871" s="45" t="s">
        <v>3996</v>
      </c>
    </row>
    <row r="872">
      <c r="A872" s="45" t="s">
        <v>760</v>
      </c>
      <c r="B872" s="45" t="s">
        <v>2601</v>
      </c>
      <c r="C872" s="45">
        <v>53.0</v>
      </c>
      <c r="D872" s="45">
        <v>20033.0</v>
      </c>
      <c r="E872" s="45" t="s">
        <v>3975</v>
      </c>
      <c r="F872" s="45" t="s">
        <v>4001</v>
      </c>
      <c r="G872" s="45" t="s">
        <v>3996</v>
      </c>
    </row>
    <row r="873">
      <c r="A873" s="45" t="s">
        <v>761</v>
      </c>
      <c r="B873" s="45" t="s">
        <v>2601</v>
      </c>
      <c r="C873" s="45">
        <v>53.0</v>
      </c>
      <c r="D873" s="45">
        <v>20035.0</v>
      </c>
      <c r="E873" s="45" t="s">
        <v>3975</v>
      </c>
      <c r="F873" s="45" t="s">
        <v>4001</v>
      </c>
      <c r="G873" s="45" t="s">
        <v>3999</v>
      </c>
    </row>
    <row r="874">
      <c r="A874" s="45" t="s">
        <v>234</v>
      </c>
      <c r="B874" s="45" t="s">
        <v>2601</v>
      </c>
      <c r="C874" s="45">
        <v>53.0</v>
      </c>
      <c r="D874" s="45">
        <v>20037.0</v>
      </c>
      <c r="E874" s="45" t="s">
        <v>3975</v>
      </c>
      <c r="F874" s="45" t="s">
        <v>4001</v>
      </c>
      <c r="G874" s="45" t="s">
        <v>3999</v>
      </c>
    </row>
    <row r="875">
      <c r="A875" s="45" t="s">
        <v>492</v>
      </c>
      <c r="B875" s="45" t="s">
        <v>2601</v>
      </c>
      <c r="C875" s="45">
        <v>52.0</v>
      </c>
      <c r="D875" s="45">
        <v>20039.0</v>
      </c>
      <c r="E875" s="45" t="s">
        <v>3975</v>
      </c>
      <c r="F875" s="45" t="s">
        <v>4001</v>
      </c>
      <c r="G875" s="45" t="s">
        <v>3999</v>
      </c>
    </row>
    <row r="876">
      <c r="A876" s="45" t="s">
        <v>719</v>
      </c>
      <c r="B876" s="45" t="s">
        <v>2601</v>
      </c>
      <c r="C876" s="45">
        <v>53.0</v>
      </c>
      <c r="D876" s="45">
        <v>20041.0</v>
      </c>
      <c r="E876" s="45" t="s">
        <v>3975</v>
      </c>
      <c r="F876" s="45" t="s">
        <v>4001</v>
      </c>
      <c r="G876" s="45" t="s">
        <v>3999</v>
      </c>
    </row>
    <row r="877">
      <c r="A877" s="45" t="s">
        <v>762</v>
      </c>
      <c r="B877" s="45" t="s">
        <v>2601</v>
      </c>
      <c r="C877" s="45">
        <v>53.0</v>
      </c>
      <c r="D877" s="45">
        <v>20043.0</v>
      </c>
      <c r="E877" s="45" t="s">
        <v>3975</v>
      </c>
      <c r="F877" s="45" t="s">
        <v>4001</v>
      </c>
      <c r="G877" s="45" t="s">
        <v>3999</v>
      </c>
    </row>
    <row r="878">
      <c r="A878" s="45" t="s">
        <v>357</v>
      </c>
      <c r="B878" s="45" t="s">
        <v>2601</v>
      </c>
      <c r="C878" s="45">
        <v>53.0</v>
      </c>
      <c r="D878" s="45">
        <v>20045.0</v>
      </c>
      <c r="E878" s="45" t="s">
        <v>3975</v>
      </c>
      <c r="F878" s="45" t="s">
        <v>4001</v>
      </c>
      <c r="G878" s="45" t="s">
        <v>3999</v>
      </c>
    </row>
    <row r="879">
      <c r="A879" s="45" t="s">
        <v>622</v>
      </c>
      <c r="B879" s="45" t="s">
        <v>2601</v>
      </c>
      <c r="C879" s="45">
        <v>53.0</v>
      </c>
      <c r="D879" s="45">
        <v>20047.0</v>
      </c>
      <c r="E879" s="45" t="s">
        <v>3975</v>
      </c>
      <c r="F879" s="45" t="s">
        <v>4001</v>
      </c>
      <c r="G879" s="45" t="s">
        <v>3999</v>
      </c>
    </row>
    <row r="880">
      <c r="A880" s="45" t="s">
        <v>763</v>
      </c>
      <c r="B880" s="45" t="s">
        <v>2601</v>
      </c>
      <c r="C880" s="45">
        <v>53.0</v>
      </c>
      <c r="D880" s="45">
        <v>20049.0</v>
      </c>
      <c r="E880" s="45" t="s">
        <v>3975</v>
      </c>
      <c r="F880" s="45" t="s">
        <v>4001</v>
      </c>
      <c r="G880" s="45" t="s">
        <v>3999</v>
      </c>
    </row>
    <row r="881">
      <c r="A881" s="45" t="s">
        <v>764</v>
      </c>
      <c r="B881" s="45" t="s">
        <v>2601</v>
      </c>
      <c r="C881" s="45">
        <v>53.0</v>
      </c>
      <c r="D881" s="45">
        <v>20051.0</v>
      </c>
      <c r="E881" s="45" t="s">
        <v>3975</v>
      </c>
      <c r="F881" s="45" t="s">
        <v>4001</v>
      </c>
      <c r="G881" s="45" t="s">
        <v>3999</v>
      </c>
    </row>
    <row r="882">
      <c r="A882" s="45" t="s">
        <v>765</v>
      </c>
      <c r="B882" s="45" t="s">
        <v>2601</v>
      </c>
      <c r="C882" s="45">
        <v>53.0</v>
      </c>
      <c r="D882" s="45">
        <v>20053.0</v>
      </c>
      <c r="E882" s="45" t="s">
        <v>3975</v>
      </c>
      <c r="F882" s="45" t="s">
        <v>4001</v>
      </c>
      <c r="G882" s="45" t="s">
        <v>3999</v>
      </c>
    </row>
    <row r="883">
      <c r="A883" s="45" t="s">
        <v>766</v>
      </c>
      <c r="B883" s="45" t="s">
        <v>2601</v>
      </c>
      <c r="C883" s="45">
        <v>52.0</v>
      </c>
      <c r="D883" s="45">
        <v>20055.0</v>
      </c>
      <c r="E883" s="45" t="s">
        <v>3975</v>
      </c>
      <c r="F883" s="45" t="s">
        <v>4001</v>
      </c>
      <c r="G883" s="45" t="s">
        <v>3999</v>
      </c>
    </row>
    <row r="884">
      <c r="A884" s="45" t="s">
        <v>623</v>
      </c>
      <c r="B884" s="45" t="s">
        <v>2601</v>
      </c>
      <c r="C884" s="45">
        <v>53.0</v>
      </c>
      <c r="D884" s="45">
        <v>20057.0</v>
      </c>
      <c r="E884" s="45" t="s">
        <v>3975</v>
      </c>
      <c r="F884" s="45" t="s">
        <v>4001</v>
      </c>
      <c r="G884" s="45" t="s">
        <v>3999</v>
      </c>
    </row>
    <row r="885">
      <c r="A885" s="45" t="s">
        <v>132</v>
      </c>
      <c r="B885" s="45" t="s">
        <v>2601</v>
      </c>
      <c r="C885" s="45">
        <v>53.0</v>
      </c>
      <c r="D885" s="45">
        <v>20059.0</v>
      </c>
      <c r="E885" s="45" t="s">
        <v>3975</v>
      </c>
      <c r="F885" s="45" t="s">
        <v>4001</v>
      </c>
      <c r="G885" s="45" t="s">
        <v>3999</v>
      </c>
    </row>
    <row r="886">
      <c r="A886" s="45" t="s">
        <v>767</v>
      </c>
      <c r="B886" s="45" t="s">
        <v>2601</v>
      </c>
      <c r="C886" s="45">
        <v>53.0</v>
      </c>
      <c r="D886" s="45">
        <v>20061.0</v>
      </c>
      <c r="E886" s="45" t="s">
        <v>3975</v>
      </c>
      <c r="F886" s="45" t="s">
        <v>4001</v>
      </c>
      <c r="G886" s="45" t="s">
        <v>3999</v>
      </c>
    </row>
    <row r="887">
      <c r="A887" s="45" t="s">
        <v>768</v>
      </c>
      <c r="B887" s="45" t="s">
        <v>2601</v>
      </c>
      <c r="C887" s="45">
        <v>52.0</v>
      </c>
      <c r="D887" s="45">
        <v>20063.0</v>
      </c>
      <c r="E887" s="45" t="s">
        <v>3975</v>
      </c>
      <c r="F887" s="45" t="s">
        <v>4001</v>
      </c>
      <c r="G887" s="45" t="s">
        <v>3999</v>
      </c>
    </row>
    <row r="888">
      <c r="A888" s="45" t="s">
        <v>208</v>
      </c>
      <c r="B888" s="45" t="s">
        <v>2601</v>
      </c>
      <c r="C888" s="45">
        <v>52.0</v>
      </c>
      <c r="D888" s="45">
        <v>20065.0</v>
      </c>
      <c r="E888" s="45" t="s">
        <v>3975</v>
      </c>
      <c r="F888" s="45" t="s">
        <v>4001</v>
      </c>
      <c r="G888" s="45" t="s">
        <v>3999</v>
      </c>
    </row>
    <row r="889">
      <c r="A889" s="45" t="s">
        <v>242</v>
      </c>
      <c r="B889" s="45" t="s">
        <v>2601</v>
      </c>
      <c r="C889" s="45">
        <v>52.0</v>
      </c>
      <c r="D889" s="45">
        <v>20067.0</v>
      </c>
      <c r="E889" s="45" t="s">
        <v>3975</v>
      </c>
      <c r="F889" s="45" t="s">
        <v>4001</v>
      </c>
      <c r="G889" s="45" t="s">
        <v>3999</v>
      </c>
    </row>
    <row r="890">
      <c r="A890" s="45" t="s">
        <v>769</v>
      </c>
      <c r="B890" s="45" t="s">
        <v>2601</v>
      </c>
      <c r="C890" s="45">
        <v>53.0</v>
      </c>
      <c r="D890" s="45">
        <v>20069.0</v>
      </c>
      <c r="E890" s="45" t="s">
        <v>3975</v>
      </c>
      <c r="F890" s="45" t="s">
        <v>4001</v>
      </c>
      <c r="G890" s="45" t="s">
        <v>3999</v>
      </c>
    </row>
    <row r="891">
      <c r="A891" s="45" t="s">
        <v>770</v>
      </c>
      <c r="B891" s="45" t="s">
        <v>2601</v>
      </c>
      <c r="C891" s="45">
        <v>52.0</v>
      </c>
      <c r="D891" s="45">
        <v>20071.0</v>
      </c>
      <c r="E891" s="45" t="s">
        <v>3975</v>
      </c>
      <c r="F891" s="45" t="s">
        <v>4001</v>
      </c>
      <c r="G891" s="45" t="s">
        <v>3999</v>
      </c>
    </row>
    <row r="892">
      <c r="A892" s="45" t="s">
        <v>771</v>
      </c>
      <c r="B892" s="45" t="s">
        <v>2601</v>
      </c>
      <c r="C892" s="45">
        <v>53.0</v>
      </c>
      <c r="D892" s="45">
        <v>20073.0</v>
      </c>
      <c r="E892" s="45" t="s">
        <v>3975</v>
      </c>
      <c r="F892" s="45" t="s">
        <v>4001</v>
      </c>
      <c r="G892" s="45" t="s">
        <v>3999</v>
      </c>
    </row>
    <row r="893">
      <c r="A893" s="45" t="s">
        <v>428</v>
      </c>
      <c r="B893" s="45" t="s">
        <v>2601</v>
      </c>
      <c r="C893" s="45">
        <v>52.0</v>
      </c>
      <c r="D893" s="45">
        <v>20075.0</v>
      </c>
      <c r="E893" s="45" t="s">
        <v>3975</v>
      </c>
      <c r="F893" s="45" t="s">
        <v>4001</v>
      </c>
      <c r="G893" s="45" t="s">
        <v>3999</v>
      </c>
    </row>
    <row r="894">
      <c r="A894" s="45" t="s">
        <v>772</v>
      </c>
      <c r="B894" s="45" t="s">
        <v>2601</v>
      </c>
      <c r="C894" s="45">
        <v>53.0</v>
      </c>
      <c r="D894" s="45">
        <v>20077.0</v>
      </c>
      <c r="E894" s="45" t="s">
        <v>3975</v>
      </c>
      <c r="F894" s="45" t="s">
        <v>4001</v>
      </c>
      <c r="G894" s="45" t="s">
        <v>3999</v>
      </c>
    </row>
    <row r="895">
      <c r="A895" s="45" t="s">
        <v>773</v>
      </c>
      <c r="B895" s="45" t="s">
        <v>2601</v>
      </c>
      <c r="C895" s="45">
        <v>53.0</v>
      </c>
      <c r="D895" s="45">
        <v>20079.0</v>
      </c>
      <c r="E895" s="45" t="s">
        <v>3975</v>
      </c>
      <c r="F895" s="45" t="s">
        <v>4001</v>
      </c>
      <c r="G895" s="45" t="s">
        <v>3999</v>
      </c>
    </row>
    <row r="896">
      <c r="A896" s="45" t="s">
        <v>774</v>
      </c>
      <c r="B896" s="45" t="s">
        <v>2601</v>
      </c>
      <c r="C896" s="45">
        <v>53.0</v>
      </c>
      <c r="D896" s="45">
        <v>20081.0</v>
      </c>
      <c r="E896" s="45" t="s">
        <v>3975</v>
      </c>
      <c r="F896" s="45" t="s">
        <v>4001</v>
      </c>
      <c r="G896" s="45" t="s">
        <v>3999</v>
      </c>
    </row>
    <row r="897">
      <c r="A897" s="45" t="s">
        <v>775</v>
      </c>
      <c r="B897" s="45" t="s">
        <v>2601</v>
      </c>
      <c r="C897" s="45">
        <v>53.0</v>
      </c>
      <c r="D897" s="45">
        <v>20083.0</v>
      </c>
      <c r="E897" s="45" t="s">
        <v>3975</v>
      </c>
      <c r="F897" s="45" t="s">
        <v>4001</v>
      </c>
      <c r="G897" s="45" t="s">
        <v>3999</v>
      </c>
    </row>
    <row r="898">
      <c r="A898" s="45" t="s">
        <v>138</v>
      </c>
      <c r="B898" s="45" t="s">
        <v>2601</v>
      </c>
      <c r="C898" s="45">
        <v>53.0</v>
      </c>
      <c r="D898" s="45">
        <v>20085.0</v>
      </c>
      <c r="E898" s="45" t="s">
        <v>3975</v>
      </c>
      <c r="F898" s="45" t="s">
        <v>4001</v>
      </c>
      <c r="G898" s="45" t="s">
        <v>3999</v>
      </c>
    </row>
    <row r="899">
      <c r="A899" s="45" t="s">
        <v>139</v>
      </c>
      <c r="B899" s="45" t="s">
        <v>2601</v>
      </c>
      <c r="C899" s="45">
        <v>53.0</v>
      </c>
      <c r="D899" s="45">
        <v>20087.0</v>
      </c>
      <c r="E899" s="45" t="s">
        <v>3975</v>
      </c>
      <c r="F899" s="45" t="s">
        <v>4001</v>
      </c>
      <c r="G899" s="45" t="s">
        <v>3999</v>
      </c>
    </row>
    <row r="900">
      <c r="A900" s="45" t="s">
        <v>776</v>
      </c>
      <c r="B900" s="45" t="s">
        <v>2601</v>
      </c>
      <c r="C900" s="45">
        <v>53.0</v>
      </c>
      <c r="D900" s="45">
        <v>20089.0</v>
      </c>
      <c r="E900" s="45" t="s">
        <v>3975</v>
      </c>
      <c r="F900" s="45" t="s">
        <v>4001</v>
      </c>
      <c r="G900" s="45" t="s">
        <v>3999</v>
      </c>
    </row>
    <row r="901">
      <c r="A901" s="45" t="s">
        <v>248</v>
      </c>
      <c r="B901" s="45" t="s">
        <v>2601</v>
      </c>
      <c r="C901" s="45">
        <v>53.0</v>
      </c>
      <c r="D901" s="45">
        <v>20091.0</v>
      </c>
      <c r="E901" s="45" t="s">
        <v>3975</v>
      </c>
      <c r="F901" s="45" t="s">
        <v>4001</v>
      </c>
      <c r="G901" s="45" t="s">
        <v>3999</v>
      </c>
    </row>
    <row r="902">
      <c r="A902" s="45" t="s">
        <v>777</v>
      </c>
      <c r="B902" s="45" t="s">
        <v>2601</v>
      </c>
      <c r="C902" s="45">
        <v>52.0</v>
      </c>
      <c r="D902" s="45">
        <v>20093.0</v>
      </c>
      <c r="E902" s="45" t="s">
        <v>3975</v>
      </c>
      <c r="F902" s="45" t="s">
        <v>4001</v>
      </c>
      <c r="G902" s="45" t="s">
        <v>3999</v>
      </c>
    </row>
    <row r="903">
      <c r="A903" s="45" t="s">
        <v>778</v>
      </c>
      <c r="B903" s="45" t="s">
        <v>2601</v>
      </c>
      <c r="C903" s="45">
        <v>53.0</v>
      </c>
      <c r="D903" s="45">
        <v>20095.0</v>
      </c>
      <c r="E903" s="45" t="s">
        <v>3975</v>
      </c>
      <c r="F903" s="45" t="s">
        <v>4001</v>
      </c>
      <c r="G903" s="45" t="s">
        <v>3999</v>
      </c>
    </row>
    <row r="904">
      <c r="A904" s="45" t="s">
        <v>368</v>
      </c>
      <c r="B904" s="45" t="s">
        <v>2601</v>
      </c>
      <c r="C904" s="45">
        <v>53.0</v>
      </c>
      <c r="D904" s="45">
        <v>20097.0</v>
      </c>
      <c r="E904" s="45" t="s">
        <v>3975</v>
      </c>
      <c r="F904" s="45" t="s">
        <v>4001</v>
      </c>
      <c r="G904" s="45" t="s">
        <v>3999</v>
      </c>
    </row>
    <row r="905">
      <c r="A905" s="45" t="s">
        <v>779</v>
      </c>
      <c r="B905" s="45" t="s">
        <v>2601</v>
      </c>
      <c r="C905" s="45">
        <v>53.0</v>
      </c>
      <c r="D905" s="45">
        <v>20099.0</v>
      </c>
      <c r="E905" s="45" t="s">
        <v>3975</v>
      </c>
      <c r="F905" s="45" t="s">
        <v>4001</v>
      </c>
      <c r="G905" s="45" t="s">
        <v>3999</v>
      </c>
    </row>
    <row r="906">
      <c r="A906" s="45" t="s">
        <v>780</v>
      </c>
      <c r="B906" s="45" t="s">
        <v>2601</v>
      </c>
      <c r="C906" s="45">
        <v>52.0</v>
      </c>
      <c r="D906" s="45">
        <v>20101.0</v>
      </c>
      <c r="E906" s="45" t="s">
        <v>3975</v>
      </c>
      <c r="F906" s="45" t="s">
        <v>4001</v>
      </c>
      <c r="G906" s="45" t="s">
        <v>3999</v>
      </c>
    </row>
    <row r="907">
      <c r="A907" s="45" t="s">
        <v>781</v>
      </c>
      <c r="B907" s="45" t="s">
        <v>2601</v>
      </c>
      <c r="C907" s="45">
        <v>53.0</v>
      </c>
      <c r="D907" s="45">
        <v>20103.0</v>
      </c>
      <c r="E907" s="45" t="s">
        <v>3975</v>
      </c>
      <c r="F907" s="45" t="s">
        <v>4001</v>
      </c>
      <c r="G907" s="45" t="s">
        <v>3999</v>
      </c>
    </row>
    <row r="908">
      <c r="A908" s="45" t="s">
        <v>250</v>
      </c>
      <c r="B908" s="45" t="s">
        <v>2601</v>
      </c>
      <c r="C908" s="45">
        <v>53.0</v>
      </c>
      <c r="D908" s="45">
        <v>20105.0</v>
      </c>
      <c r="E908" s="45" t="s">
        <v>3975</v>
      </c>
      <c r="F908" s="45" t="s">
        <v>4001</v>
      </c>
      <c r="G908" s="45" t="s">
        <v>3999</v>
      </c>
    </row>
    <row r="909">
      <c r="A909" s="45" t="s">
        <v>726</v>
      </c>
      <c r="B909" s="45" t="s">
        <v>2601</v>
      </c>
      <c r="C909" s="45">
        <v>53.0</v>
      </c>
      <c r="D909" s="45">
        <v>20107.0</v>
      </c>
      <c r="E909" s="45" t="s">
        <v>3975</v>
      </c>
      <c r="F909" s="45" t="s">
        <v>4001</v>
      </c>
      <c r="G909" s="45" t="s">
        <v>3999</v>
      </c>
    </row>
    <row r="910">
      <c r="A910" s="45" t="s">
        <v>252</v>
      </c>
      <c r="B910" s="45" t="s">
        <v>2601</v>
      </c>
      <c r="C910" s="45">
        <v>52.0</v>
      </c>
      <c r="D910" s="45">
        <v>20109.0</v>
      </c>
      <c r="E910" s="45" t="s">
        <v>3975</v>
      </c>
      <c r="F910" s="45" t="s">
        <v>4001</v>
      </c>
      <c r="G910" s="45" t="s">
        <v>4001</v>
      </c>
    </row>
    <row r="911">
      <c r="A911" s="45" t="s">
        <v>729</v>
      </c>
      <c r="B911" s="45" t="s">
        <v>2601</v>
      </c>
      <c r="C911" s="45">
        <v>53.0</v>
      </c>
      <c r="D911" s="45">
        <v>20111.0</v>
      </c>
      <c r="E911" s="45" t="s">
        <v>3975</v>
      </c>
      <c r="F911" s="45" t="s">
        <v>4001</v>
      </c>
      <c r="G911" s="45" t="s">
        <v>4001</v>
      </c>
    </row>
    <row r="912">
      <c r="A912" s="45" t="s">
        <v>782</v>
      </c>
      <c r="B912" s="45" t="s">
        <v>2601</v>
      </c>
      <c r="C912" s="45">
        <v>53.0</v>
      </c>
      <c r="D912" s="45">
        <v>20113.0</v>
      </c>
      <c r="E912" s="45" t="s">
        <v>3975</v>
      </c>
      <c r="F912" s="45" t="s">
        <v>4001</v>
      </c>
      <c r="G912" s="45" t="s">
        <v>4001</v>
      </c>
    </row>
    <row r="913">
      <c r="A913" s="45" t="s">
        <v>149</v>
      </c>
      <c r="B913" s="45" t="s">
        <v>2601</v>
      </c>
      <c r="C913" s="45">
        <v>53.0</v>
      </c>
      <c r="D913" s="45">
        <v>20115.0</v>
      </c>
      <c r="E913" s="45" t="s">
        <v>3975</v>
      </c>
      <c r="F913" s="45" t="s">
        <v>4001</v>
      </c>
      <c r="G913" s="45" t="s">
        <v>4001</v>
      </c>
    </row>
    <row r="914">
      <c r="A914" s="45" t="s">
        <v>150</v>
      </c>
      <c r="B914" s="45" t="s">
        <v>2601</v>
      </c>
      <c r="C914" s="45">
        <v>53.0</v>
      </c>
      <c r="D914" s="45">
        <v>20117.0</v>
      </c>
      <c r="E914" s="45" t="s">
        <v>3975</v>
      </c>
      <c r="F914" s="45" t="s">
        <v>4001</v>
      </c>
      <c r="G914" s="45" t="s">
        <v>4001</v>
      </c>
    </row>
    <row r="915">
      <c r="A915" s="45" t="s">
        <v>783</v>
      </c>
      <c r="B915" s="45" t="s">
        <v>2601</v>
      </c>
      <c r="C915" s="45">
        <v>53.0</v>
      </c>
      <c r="D915" s="45">
        <v>20119.0</v>
      </c>
      <c r="E915" s="45" t="s">
        <v>3975</v>
      </c>
      <c r="F915" s="45" t="s">
        <v>4001</v>
      </c>
      <c r="G915" s="45" t="s">
        <v>4001</v>
      </c>
    </row>
    <row r="916">
      <c r="A916" s="45" t="s">
        <v>681</v>
      </c>
      <c r="B916" s="45" t="s">
        <v>2601</v>
      </c>
      <c r="C916" s="45">
        <v>53.0</v>
      </c>
      <c r="D916" s="45">
        <v>20121.0</v>
      </c>
      <c r="E916" s="45" t="s">
        <v>3975</v>
      </c>
      <c r="F916" s="45" t="s">
        <v>4001</v>
      </c>
      <c r="G916" s="45" t="s">
        <v>4001</v>
      </c>
    </row>
    <row r="917">
      <c r="A917" s="45" t="s">
        <v>529</v>
      </c>
      <c r="B917" s="45" t="s">
        <v>2601</v>
      </c>
      <c r="C917" s="45">
        <v>53.0</v>
      </c>
      <c r="D917" s="45">
        <v>20123.0</v>
      </c>
      <c r="E917" s="45" t="s">
        <v>3975</v>
      </c>
      <c r="F917" s="45" t="s">
        <v>4001</v>
      </c>
      <c r="G917" s="45" t="s">
        <v>4001</v>
      </c>
    </row>
    <row r="918">
      <c r="A918" s="45" t="s">
        <v>153</v>
      </c>
      <c r="B918" s="45" t="s">
        <v>2601</v>
      </c>
      <c r="C918" s="45">
        <v>53.0</v>
      </c>
      <c r="D918" s="45">
        <v>20125.0</v>
      </c>
      <c r="E918" s="45" t="s">
        <v>3975</v>
      </c>
      <c r="F918" s="45" t="s">
        <v>4001</v>
      </c>
      <c r="G918" s="45" t="s">
        <v>4001</v>
      </c>
    </row>
    <row r="919">
      <c r="A919" s="45" t="s">
        <v>784</v>
      </c>
      <c r="B919" s="45" t="s">
        <v>2601</v>
      </c>
      <c r="C919" s="45">
        <v>53.0</v>
      </c>
      <c r="D919" s="45">
        <v>20127.0</v>
      </c>
      <c r="E919" s="45" t="s">
        <v>3975</v>
      </c>
      <c r="F919" s="45" t="s">
        <v>4001</v>
      </c>
      <c r="G919" s="45" t="s">
        <v>4001</v>
      </c>
    </row>
    <row r="920">
      <c r="A920" s="45" t="s">
        <v>785</v>
      </c>
      <c r="B920" s="45" t="s">
        <v>2601</v>
      </c>
      <c r="C920" s="45">
        <v>52.0</v>
      </c>
      <c r="D920" s="45">
        <v>20129.0</v>
      </c>
      <c r="E920" s="45" t="s">
        <v>3975</v>
      </c>
      <c r="F920" s="45" t="s">
        <v>4001</v>
      </c>
      <c r="G920" s="45" t="s">
        <v>4001</v>
      </c>
    </row>
    <row r="921">
      <c r="A921" s="45" t="s">
        <v>786</v>
      </c>
      <c r="B921" s="45" t="s">
        <v>2601</v>
      </c>
      <c r="C921" s="45">
        <v>53.0</v>
      </c>
      <c r="D921" s="45">
        <v>20131.0</v>
      </c>
      <c r="E921" s="45" t="s">
        <v>3975</v>
      </c>
      <c r="F921" s="45" t="s">
        <v>4001</v>
      </c>
      <c r="G921" s="45" t="s">
        <v>4001</v>
      </c>
    </row>
    <row r="922">
      <c r="A922" s="45" t="s">
        <v>787</v>
      </c>
      <c r="B922" s="45" t="s">
        <v>2601</v>
      </c>
      <c r="C922" s="45">
        <v>53.0</v>
      </c>
      <c r="D922" s="45">
        <v>20133.0</v>
      </c>
      <c r="E922" s="45" t="s">
        <v>3975</v>
      </c>
      <c r="F922" s="45" t="s">
        <v>4001</v>
      </c>
      <c r="G922" s="45" t="s">
        <v>4001</v>
      </c>
    </row>
    <row r="923">
      <c r="A923" s="45" t="s">
        <v>788</v>
      </c>
      <c r="B923" s="45" t="s">
        <v>2601</v>
      </c>
      <c r="C923" s="45">
        <v>53.0</v>
      </c>
      <c r="D923" s="45">
        <v>20135.0</v>
      </c>
      <c r="E923" s="45" t="s">
        <v>3975</v>
      </c>
      <c r="F923" s="45" t="s">
        <v>4001</v>
      </c>
      <c r="G923" s="45" t="s">
        <v>4001</v>
      </c>
    </row>
    <row r="924">
      <c r="A924" s="45" t="s">
        <v>789</v>
      </c>
      <c r="B924" s="45" t="s">
        <v>2601</v>
      </c>
      <c r="C924" s="45">
        <v>52.0</v>
      </c>
      <c r="D924" s="45">
        <v>20137.0</v>
      </c>
      <c r="E924" s="45" t="s">
        <v>3975</v>
      </c>
      <c r="F924" s="45" t="s">
        <v>4001</v>
      </c>
      <c r="G924" s="45" t="s">
        <v>4001</v>
      </c>
    </row>
    <row r="925">
      <c r="A925" s="45" t="s">
        <v>790</v>
      </c>
      <c r="B925" s="45" t="s">
        <v>2601</v>
      </c>
      <c r="C925" s="45">
        <v>53.0</v>
      </c>
      <c r="D925" s="45">
        <v>20139.0</v>
      </c>
      <c r="E925" s="45" t="s">
        <v>3975</v>
      </c>
      <c r="F925" s="45" t="s">
        <v>4001</v>
      </c>
      <c r="G925" s="45" t="s">
        <v>4001</v>
      </c>
    </row>
    <row r="926">
      <c r="A926" s="45" t="s">
        <v>791</v>
      </c>
      <c r="B926" s="45" t="s">
        <v>2601</v>
      </c>
      <c r="C926" s="45">
        <v>53.0</v>
      </c>
      <c r="D926" s="45">
        <v>20141.0</v>
      </c>
      <c r="E926" s="45" t="s">
        <v>3975</v>
      </c>
      <c r="F926" s="45" t="s">
        <v>4001</v>
      </c>
      <c r="G926" s="45" t="s">
        <v>4001</v>
      </c>
    </row>
    <row r="927">
      <c r="A927" s="45" t="s">
        <v>792</v>
      </c>
      <c r="B927" s="45" t="s">
        <v>2601</v>
      </c>
      <c r="C927" s="45">
        <v>53.0</v>
      </c>
      <c r="D927" s="45">
        <v>20143.0</v>
      </c>
      <c r="E927" s="45" t="s">
        <v>3975</v>
      </c>
      <c r="F927" s="45" t="s">
        <v>4001</v>
      </c>
      <c r="G927" s="45" t="s">
        <v>4001</v>
      </c>
    </row>
    <row r="928">
      <c r="A928" s="45" t="s">
        <v>793</v>
      </c>
      <c r="B928" s="45" t="s">
        <v>2601</v>
      </c>
      <c r="C928" s="45">
        <v>53.0</v>
      </c>
      <c r="D928" s="45">
        <v>20145.0</v>
      </c>
      <c r="E928" s="45" t="s">
        <v>3975</v>
      </c>
      <c r="F928" s="45" t="s">
        <v>4001</v>
      </c>
      <c r="G928" s="45" t="s">
        <v>4001</v>
      </c>
    </row>
    <row r="929">
      <c r="A929" s="45" t="s">
        <v>259</v>
      </c>
      <c r="B929" s="45" t="s">
        <v>2601</v>
      </c>
      <c r="C929" s="45">
        <v>53.0</v>
      </c>
      <c r="D929" s="45">
        <v>20147.0</v>
      </c>
      <c r="E929" s="45" t="s">
        <v>3975</v>
      </c>
      <c r="F929" s="45" t="s">
        <v>4001</v>
      </c>
      <c r="G929" s="45" t="s">
        <v>4001</v>
      </c>
    </row>
    <row r="930">
      <c r="A930" s="45" t="s">
        <v>794</v>
      </c>
      <c r="B930" s="45" t="s">
        <v>2601</v>
      </c>
      <c r="C930" s="45">
        <v>53.0</v>
      </c>
      <c r="D930" s="45">
        <v>20149.0</v>
      </c>
      <c r="E930" s="45" t="s">
        <v>3975</v>
      </c>
      <c r="F930" s="45" t="s">
        <v>4001</v>
      </c>
      <c r="G930" s="45" t="s">
        <v>4001</v>
      </c>
    </row>
    <row r="931">
      <c r="A931" s="45" t="s">
        <v>795</v>
      </c>
      <c r="B931" s="45" t="s">
        <v>2601</v>
      </c>
      <c r="C931" s="45">
        <v>53.0</v>
      </c>
      <c r="D931" s="45">
        <v>20151.0</v>
      </c>
      <c r="E931" s="45" t="s">
        <v>3975</v>
      </c>
      <c r="F931" s="45" t="s">
        <v>4001</v>
      </c>
      <c r="G931" s="45" t="s">
        <v>4001</v>
      </c>
    </row>
    <row r="932">
      <c r="A932" s="45" t="s">
        <v>796</v>
      </c>
      <c r="B932" s="45" t="s">
        <v>2601</v>
      </c>
      <c r="C932" s="45">
        <v>52.0</v>
      </c>
      <c r="D932" s="45">
        <v>20153.0</v>
      </c>
      <c r="E932" s="45" t="s">
        <v>3975</v>
      </c>
      <c r="F932" s="45" t="s">
        <v>4001</v>
      </c>
      <c r="G932" s="45" t="s">
        <v>4001</v>
      </c>
    </row>
    <row r="933">
      <c r="A933" s="45" t="s">
        <v>797</v>
      </c>
      <c r="B933" s="45" t="s">
        <v>2601</v>
      </c>
      <c r="C933" s="45">
        <v>53.0</v>
      </c>
      <c r="D933" s="45">
        <v>20155.0</v>
      </c>
      <c r="E933" s="45" t="s">
        <v>3975</v>
      </c>
      <c r="F933" s="45" t="s">
        <v>4001</v>
      </c>
      <c r="G933" s="45" t="s">
        <v>4001</v>
      </c>
    </row>
    <row r="934">
      <c r="A934" s="45" t="s">
        <v>798</v>
      </c>
      <c r="B934" s="45" t="s">
        <v>2601</v>
      </c>
      <c r="C934" s="45">
        <v>53.0</v>
      </c>
      <c r="D934" s="45">
        <v>20157.0</v>
      </c>
      <c r="E934" s="45" t="s">
        <v>3975</v>
      </c>
      <c r="F934" s="45" t="s">
        <v>4001</v>
      </c>
      <c r="G934" s="45" t="s">
        <v>4001</v>
      </c>
    </row>
    <row r="935">
      <c r="A935" s="45" t="s">
        <v>799</v>
      </c>
      <c r="B935" s="45" t="s">
        <v>2601</v>
      </c>
      <c r="C935" s="45">
        <v>53.0</v>
      </c>
      <c r="D935" s="45">
        <v>20159.0</v>
      </c>
      <c r="E935" s="45" t="s">
        <v>3975</v>
      </c>
      <c r="F935" s="45" t="s">
        <v>4001</v>
      </c>
      <c r="G935" s="45" t="s">
        <v>4001</v>
      </c>
    </row>
    <row r="936">
      <c r="A936" s="45" t="s">
        <v>800</v>
      </c>
      <c r="B936" s="45" t="s">
        <v>2601</v>
      </c>
      <c r="C936" s="45">
        <v>53.0</v>
      </c>
      <c r="D936" s="45">
        <v>20161.0</v>
      </c>
      <c r="E936" s="45" t="s">
        <v>3975</v>
      </c>
      <c r="F936" s="45" t="s">
        <v>4001</v>
      </c>
      <c r="G936" s="45" t="s">
        <v>4001</v>
      </c>
    </row>
    <row r="937">
      <c r="A937" s="45" t="s">
        <v>801</v>
      </c>
      <c r="B937" s="45" t="s">
        <v>2601</v>
      </c>
      <c r="C937" s="45">
        <v>53.0</v>
      </c>
      <c r="D937" s="45">
        <v>20163.0</v>
      </c>
      <c r="E937" s="45" t="s">
        <v>3975</v>
      </c>
      <c r="F937" s="45" t="s">
        <v>4001</v>
      </c>
      <c r="G937" s="45" t="s">
        <v>4001</v>
      </c>
    </row>
    <row r="938">
      <c r="A938" s="45" t="s">
        <v>689</v>
      </c>
      <c r="B938" s="45" t="s">
        <v>2601</v>
      </c>
      <c r="C938" s="45">
        <v>53.0</v>
      </c>
      <c r="D938" s="45">
        <v>20165.0</v>
      </c>
      <c r="E938" s="45" t="s">
        <v>3975</v>
      </c>
      <c r="F938" s="45" t="s">
        <v>4001</v>
      </c>
      <c r="G938" s="45" t="s">
        <v>4001</v>
      </c>
    </row>
    <row r="939">
      <c r="A939" s="45" t="s">
        <v>159</v>
      </c>
      <c r="B939" s="45" t="s">
        <v>2601</v>
      </c>
      <c r="C939" s="45">
        <v>53.0</v>
      </c>
      <c r="D939" s="45">
        <v>20167.0</v>
      </c>
      <c r="E939" s="45" t="s">
        <v>3975</v>
      </c>
      <c r="F939" s="45" t="s">
        <v>4001</v>
      </c>
      <c r="G939" s="45" t="s">
        <v>4001</v>
      </c>
    </row>
    <row r="940">
      <c r="A940" s="45" t="s">
        <v>266</v>
      </c>
      <c r="B940" s="45" t="s">
        <v>2601</v>
      </c>
      <c r="C940" s="45">
        <v>53.0</v>
      </c>
      <c r="D940" s="45">
        <v>20169.0</v>
      </c>
      <c r="E940" s="45" t="s">
        <v>3975</v>
      </c>
      <c r="F940" s="45" t="s">
        <v>4001</v>
      </c>
      <c r="G940" s="45" t="s">
        <v>4001</v>
      </c>
    </row>
    <row r="941">
      <c r="A941" s="45" t="s">
        <v>267</v>
      </c>
      <c r="B941" s="45" t="s">
        <v>2601</v>
      </c>
      <c r="C941" s="45">
        <v>52.0</v>
      </c>
      <c r="D941" s="45">
        <v>20171.0</v>
      </c>
      <c r="E941" s="45" t="s">
        <v>3975</v>
      </c>
      <c r="F941" s="45" t="s">
        <v>4001</v>
      </c>
      <c r="G941" s="45" t="s">
        <v>4001</v>
      </c>
    </row>
    <row r="942">
      <c r="A942" s="45" t="s">
        <v>390</v>
      </c>
      <c r="B942" s="45" t="s">
        <v>2601</v>
      </c>
      <c r="C942" s="45">
        <v>53.0</v>
      </c>
      <c r="D942" s="45">
        <v>20173.0</v>
      </c>
      <c r="E942" s="45" t="s">
        <v>3975</v>
      </c>
      <c r="F942" s="45" t="s">
        <v>4001</v>
      </c>
      <c r="G942" s="45" t="s">
        <v>4001</v>
      </c>
    </row>
    <row r="943">
      <c r="A943" s="45" t="s">
        <v>802</v>
      </c>
      <c r="B943" s="45" t="s">
        <v>2601</v>
      </c>
      <c r="C943" s="45">
        <v>53.0</v>
      </c>
      <c r="D943" s="45">
        <v>20175.0</v>
      </c>
      <c r="E943" s="45" t="s">
        <v>3975</v>
      </c>
      <c r="F943" s="45" t="s">
        <v>4001</v>
      </c>
      <c r="G943" s="45" t="s">
        <v>4001</v>
      </c>
    </row>
    <row r="944">
      <c r="A944" s="45" t="s">
        <v>803</v>
      </c>
      <c r="B944" s="45" t="s">
        <v>2601</v>
      </c>
      <c r="C944" s="45">
        <v>53.0</v>
      </c>
      <c r="D944" s="45">
        <v>20177.0</v>
      </c>
      <c r="E944" s="45" t="s">
        <v>3975</v>
      </c>
      <c r="F944" s="45" t="s">
        <v>4001</v>
      </c>
      <c r="G944" s="45" t="s">
        <v>4001</v>
      </c>
    </row>
    <row r="945">
      <c r="A945" s="45" t="s">
        <v>804</v>
      </c>
      <c r="B945" s="45" t="s">
        <v>2601</v>
      </c>
      <c r="C945" s="45">
        <v>52.0</v>
      </c>
      <c r="D945" s="45">
        <v>20179.0</v>
      </c>
      <c r="E945" s="45" t="s">
        <v>3975</v>
      </c>
      <c r="F945" s="45" t="s">
        <v>4001</v>
      </c>
      <c r="G945" s="45" t="s">
        <v>4001</v>
      </c>
    </row>
    <row r="946">
      <c r="A946" s="45" t="s">
        <v>805</v>
      </c>
      <c r="B946" s="45" t="s">
        <v>2601</v>
      </c>
      <c r="C946" s="45">
        <v>52.0</v>
      </c>
      <c r="D946" s="45">
        <v>20181.0</v>
      </c>
      <c r="E946" s="45" t="s">
        <v>3975</v>
      </c>
      <c r="F946" s="45" t="s">
        <v>4001</v>
      </c>
      <c r="G946" s="45" t="s">
        <v>4001</v>
      </c>
    </row>
    <row r="947">
      <c r="A947" s="45" t="s">
        <v>806</v>
      </c>
      <c r="B947" s="45" t="s">
        <v>2601</v>
      </c>
      <c r="C947" s="45">
        <v>53.0</v>
      </c>
      <c r="D947" s="45">
        <v>20183.0</v>
      </c>
      <c r="E947" s="45" t="s">
        <v>3975</v>
      </c>
      <c r="F947" s="45" t="s">
        <v>4001</v>
      </c>
      <c r="G947" s="45" t="s">
        <v>4001</v>
      </c>
    </row>
    <row r="948">
      <c r="A948" s="45" t="s">
        <v>807</v>
      </c>
      <c r="B948" s="45" t="s">
        <v>2601</v>
      </c>
      <c r="C948" s="45">
        <v>53.0</v>
      </c>
      <c r="D948" s="45">
        <v>20185.0</v>
      </c>
      <c r="E948" s="45" t="s">
        <v>3975</v>
      </c>
      <c r="F948" s="45" t="s">
        <v>4001</v>
      </c>
      <c r="G948" s="45" t="s">
        <v>4001</v>
      </c>
    </row>
    <row r="949">
      <c r="A949" s="45" t="s">
        <v>808</v>
      </c>
      <c r="B949" s="45" t="s">
        <v>2601</v>
      </c>
      <c r="C949" s="45">
        <v>52.0</v>
      </c>
      <c r="D949" s="45">
        <v>20187.0</v>
      </c>
      <c r="E949" s="45" t="s">
        <v>3975</v>
      </c>
      <c r="F949" s="45" t="s">
        <v>4001</v>
      </c>
      <c r="G949" s="45" t="s">
        <v>4001</v>
      </c>
    </row>
    <row r="950">
      <c r="A950" s="45" t="s">
        <v>809</v>
      </c>
      <c r="B950" s="45" t="s">
        <v>2601</v>
      </c>
      <c r="C950" s="45">
        <v>52.0</v>
      </c>
      <c r="D950" s="45">
        <v>20189.0</v>
      </c>
      <c r="E950" s="45" t="s">
        <v>3975</v>
      </c>
      <c r="F950" s="45" t="s">
        <v>4001</v>
      </c>
      <c r="G950" s="45" t="s">
        <v>4001</v>
      </c>
    </row>
    <row r="951">
      <c r="A951" s="45" t="s">
        <v>810</v>
      </c>
      <c r="B951" s="45" t="s">
        <v>2601</v>
      </c>
      <c r="C951" s="45">
        <v>53.0</v>
      </c>
      <c r="D951" s="45">
        <v>20191.0</v>
      </c>
      <c r="E951" s="45" t="s">
        <v>3975</v>
      </c>
      <c r="F951" s="45" t="s">
        <v>4001</v>
      </c>
      <c r="G951" s="45" t="s">
        <v>4001</v>
      </c>
    </row>
    <row r="952">
      <c r="A952" s="45" t="s">
        <v>551</v>
      </c>
      <c r="B952" s="45" t="s">
        <v>2601</v>
      </c>
      <c r="C952" s="45">
        <v>52.0</v>
      </c>
      <c r="D952" s="45">
        <v>20193.0</v>
      </c>
      <c r="E952" s="45" t="s">
        <v>3975</v>
      </c>
      <c r="F952" s="45" t="s">
        <v>4001</v>
      </c>
      <c r="G952" s="45" t="s">
        <v>4001</v>
      </c>
    </row>
    <row r="953">
      <c r="A953" s="45" t="s">
        <v>811</v>
      </c>
      <c r="B953" s="45" t="s">
        <v>2601</v>
      </c>
      <c r="C953" s="45">
        <v>52.0</v>
      </c>
      <c r="D953" s="45">
        <v>20195.0</v>
      </c>
      <c r="E953" s="45" t="s">
        <v>3975</v>
      </c>
      <c r="F953" s="45" t="s">
        <v>4001</v>
      </c>
      <c r="G953" s="45" t="s">
        <v>4001</v>
      </c>
    </row>
    <row r="954">
      <c r="A954" s="45" t="s">
        <v>812</v>
      </c>
      <c r="B954" s="45" t="s">
        <v>2601</v>
      </c>
      <c r="C954" s="45">
        <v>53.0</v>
      </c>
      <c r="D954" s="45">
        <v>20197.0</v>
      </c>
      <c r="E954" s="45" t="s">
        <v>3975</v>
      </c>
      <c r="F954" s="45" t="s">
        <v>4001</v>
      </c>
      <c r="G954" s="45" t="s">
        <v>4001</v>
      </c>
    </row>
    <row r="955">
      <c r="A955" s="45" t="s">
        <v>813</v>
      </c>
      <c r="B955" s="45" t="s">
        <v>2601</v>
      </c>
      <c r="C955" s="45">
        <v>52.0</v>
      </c>
      <c r="D955" s="45">
        <v>20199.0</v>
      </c>
      <c r="E955" s="45" t="s">
        <v>3975</v>
      </c>
      <c r="F955" s="45" t="s">
        <v>4001</v>
      </c>
      <c r="G955" s="45" t="s">
        <v>4001</v>
      </c>
    </row>
    <row r="956">
      <c r="A956" s="45" t="s">
        <v>167</v>
      </c>
      <c r="B956" s="45" t="s">
        <v>2601</v>
      </c>
      <c r="C956" s="45">
        <v>53.0</v>
      </c>
      <c r="D956" s="45">
        <v>20201.0</v>
      </c>
      <c r="E956" s="45" t="s">
        <v>3975</v>
      </c>
      <c r="F956" s="45" t="s">
        <v>4001</v>
      </c>
      <c r="G956" s="45" t="s">
        <v>4001</v>
      </c>
    </row>
    <row r="957">
      <c r="A957" s="45" t="s">
        <v>814</v>
      </c>
      <c r="B957" s="45" t="s">
        <v>2601</v>
      </c>
      <c r="C957" s="45">
        <v>52.0</v>
      </c>
      <c r="D957" s="45">
        <v>20203.0</v>
      </c>
      <c r="E957" s="45" t="s">
        <v>3975</v>
      </c>
      <c r="F957" s="45" t="s">
        <v>4001</v>
      </c>
      <c r="G957" s="45" t="s">
        <v>4001</v>
      </c>
    </row>
    <row r="958">
      <c r="A958" s="45" t="s">
        <v>815</v>
      </c>
      <c r="B958" s="45" t="s">
        <v>2601</v>
      </c>
      <c r="C958" s="45">
        <v>53.0</v>
      </c>
      <c r="D958" s="45">
        <v>20205.0</v>
      </c>
      <c r="E958" s="45" t="s">
        <v>3975</v>
      </c>
      <c r="F958" s="45" t="s">
        <v>4001</v>
      </c>
      <c r="G958" s="45" t="s">
        <v>4001</v>
      </c>
    </row>
    <row r="959">
      <c r="A959" s="45" t="s">
        <v>816</v>
      </c>
      <c r="B959" s="45" t="s">
        <v>2601</v>
      </c>
      <c r="C959" s="45">
        <v>53.0</v>
      </c>
      <c r="D959" s="45">
        <v>20207.0</v>
      </c>
      <c r="E959" s="45" t="s">
        <v>3975</v>
      </c>
      <c r="F959" s="45" t="s">
        <v>4001</v>
      </c>
      <c r="G959" s="45" t="s">
        <v>4001</v>
      </c>
    </row>
    <row r="960">
      <c r="A960" s="45" t="s">
        <v>817</v>
      </c>
      <c r="B960" s="45" t="s">
        <v>2601</v>
      </c>
      <c r="C960" s="45">
        <v>53.0</v>
      </c>
      <c r="D960" s="45">
        <v>20209.0</v>
      </c>
      <c r="E960" s="45" t="s">
        <v>3975</v>
      </c>
      <c r="F960" s="45" t="s">
        <v>4001</v>
      </c>
      <c r="G960" s="45" t="s">
        <v>4001</v>
      </c>
    </row>
    <row r="961">
      <c r="A961" s="45" t="s">
        <v>704</v>
      </c>
      <c r="B961" s="45" t="s">
        <v>2669</v>
      </c>
      <c r="C961" s="45">
        <v>109.0</v>
      </c>
      <c r="D961" s="45">
        <v>21001.0</v>
      </c>
      <c r="E961" s="45" t="s">
        <v>3970</v>
      </c>
      <c r="F961" s="45" t="s">
        <v>3970</v>
      </c>
      <c r="G961" s="45" t="s">
        <v>4001</v>
      </c>
    </row>
    <row r="962">
      <c r="A962" s="45" t="s">
        <v>664</v>
      </c>
      <c r="B962" s="45" t="s">
        <v>2669</v>
      </c>
      <c r="C962" s="45">
        <v>93.0</v>
      </c>
      <c r="D962" s="45">
        <v>21003.0</v>
      </c>
      <c r="E962" s="45" t="s">
        <v>3970</v>
      </c>
      <c r="F962" s="45" t="s">
        <v>3970</v>
      </c>
      <c r="G962" s="45" t="s">
        <v>4001</v>
      </c>
    </row>
    <row r="963">
      <c r="A963" s="45" t="s">
        <v>751</v>
      </c>
      <c r="B963" s="45" t="s">
        <v>2669</v>
      </c>
      <c r="C963" s="45">
        <v>109.0</v>
      </c>
      <c r="D963" s="45">
        <v>21005.0</v>
      </c>
      <c r="E963" s="45" t="s">
        <v>3970</v>
      </c>
      <c r="F963" s="45" t="s">
        <v>3970</v>
      </c>
      <c r="G963" s="45" t="s">
        <v>4001</v>
      </c>
    </row>
    <row r="964">
      <c r="A964" s="45" t="s">
        <v>819</v>
      </c>
      <c r="B964" s="45" t="s">
        <v>2669</v>
      </c>
      <c r="C964" s="45">
        <v>93.0</v>
      </c>
      <c r="D964" s="45">
        <v>21007.0</v>
      </c>
      <c r="E964" s="45" t="s">
        <v>3970</v>
      </c>
      <c r="F964" s="45" t="s">
        <v>3970</v>
      </c>
      <c r="G964" s="45" t="s">
        <v>4001</v>
      </c>
    </row>
    <row r="965">
      <c r="A965" s="45" t="s">
        <v>820</v>
      </c>
      <c r="B965" s="45" t="s">
        <v>2669</v>
      </c>
      <c r="C965" s="45">
        <v>109.0</v>
      </c>
      <c r="D965" s="45">
        <v>21009.0</v>
      </c>
      <c r="E965" s="45" t="s">
        <v>3970</v>
      </c>
      <c r="F965" s="45" t="s">
        <v>3970</v>
      </c>
      <c r="G965" s="45" t="s">
        <v>4001</v>
      </c>
    </row>
    <row r="966">
      <c r="A966" s="45" t="s">
        <v>821</v>
      </c>
      <c r="B966" s="45" t="s">
        <v>2669</v>
      </c>
      <c r="C966" s="45">
        <v>109.0</v>
      </c>
      <c r="D966" s="45">
        <v>21011.0</v>
      </c>
      <c r="E966" s="45" t="s">
        <v>3970</v>
      </c>
      <c r="F966" s="45" t="s">
        <v>3970</v>
      </c>
      <c r="G966" s="45" t="s">
        <v>4001</v>
      </c>
    </row>
    <row r="967">
      <c r="A967" s="45" t="s">
        <v>822</v>
      </c>
      <c r="B967" s="45" t="s">
        <v>2669</v>
      </c>
      <c r="C967" s="45">
        <v>109.0</v>
      </c>
      <c r="D967" s="45">
        <v>21013.0</v>
      </c>
      <c r="E967" s="45" t="s">
        <v>3970</v>
      </c>
      <c r="F967" s="45" t="s">
        <v>3970</v>
      </c>
      <c r="G967" s="45" t="s">
        <v>4001</v>
      </c>
    </row>
    <row r="968">
      <c r="A968" s="45" t="s">
        <v>225</v>
      </c>
      <c r="B968" s="45" t="s">
        <v>2669</v>
      </c>
      <c r="C968" s="45">
        <v>109.0</v>
      </c>
      <c r="D968" s="45">
        <v>21015.0</v>
      </c>
      <c r="E968" s="45" t="s">
        <v>3993</v>
      </c>
      <c r="F968" s="45" t="s">
        <v>3970</v>
      </c>
      <c r="G968" s="45" t="s">
        <v>4001</v>
      </c>
    </row>
    <row r="969">
      <c r="A969" s="45" t="s">
        <v>755</v>
      </c>
      <c r="B969" s="45" t="s">
        <v>2669</v>
      </c>
      <c r="C969" s="45">
        <v>109.0</v>
      </c>
      <c r="D969" s="45">
        <v>21017.0</v>
      </c>
      <c r="E969" s="45" t="s">
        <v>3970</v>
      </c>
      <c r="F969" s="45" t="s">
        <v>3970</v>
      </c>
      <c r="G969" s="45" t="s">
        <v>4001</v>
      </c>
    </row>
    <row r="970">
      <c r="A970" s="45" t="s">
        <v>823</v>
      </c>
      <c r="B970" s="45" t="s">
        <v>2669</v>
      </c>
      <c r="C970" s="45">
        <v>110.0</v>
      </c>
      <c r="D970" s="45">
        <v>21019.0</v>
      </c>
      <c r="E970" s="45" t="s">
        <v>3993</v>
      </c>
      <c r="F970" s="45" t="s">
        <v>3997</v>
      </c>
      <c r="G970" s="45" t="s">
        <v>4001</v>
      </c>
    </row>
    <row r="971">
      <c r="A971" s="45" t="s">
        <v>824</v>
      </c>
      <c r="B971" s="45" t="s">
        <v>2669</v>
      </c>
      <c r="C971" s="45">
        <v>109.0</v>
      </c>
      <c r="D971" s="45">
        <v>21021.0</v>
      </c>
      <c r="E971" s="45" t="s">
        <v>3970</v>
      </c>
      <c r="F971" s="45" t="s">
        <v>3970</v>
      </c>
      <c r="G971" s="45" t="s">
        <v>4001</v>
      </c>
    </row>
    <row r="972">
      <c r="A972" s="45" t="s">
        <v>825</v>
      </c>
      <c r="B972" s="45" t="s">
        <v>2669</v>
      </c>
      <c r="C972" s="45">
        <v>109.0</v>
      </c>
      <c r="D972" s="45">
        <v>21023.0</v>
      </c>
      <c r="E972" s="45" t="s">
        <v>3970</v>
      </c>
      <c r="F972" s="45" t="s">
        <v>3970</v>
      </c>
      <c r="G972" s="45" t="s">
        <v>4001</v>
      </c>
    </row>
    <row r="973">
      <c r="A973" s="45" t="s">
        <v>826</v>
      </c>
      <c r="B973" s="45" t="s">
        <v>2669</v>
      </c>
      <c r="C973" s="45">
        <v>110.0</v>
      </c>
      <c r="D973" s="45">
        <v>21025.0</v>
      </c>
      <c r="E973" s="45" t="s">
        <v>3970</v>
      </c>
      <c r="F973" s="45" t="s">
        <v>3970</v>
      </c>
      <c r="G973" s="45" t="s">
        <v>4001</v>
      </c>
    </row>
    <row r="974">
      <c r="A974" s="45" t="s">
        <v>827</v>
      </c>
      <c r="B974" s="45" t="s">
        <v>2669</v>
      </c>
      <c r="C974" s="45">
        <v>108.0</v>
      </c>
      <c r="D974" s="45">
        <v>21027.0</v>
      </c>
      <c r="E974" s="45" t="s">
        <v>3970</v>
      </c>
      <c r="F974" s="45" t="s">
        <v>3970</v>
      </c>
      <c r="G974" s="45" t="s">
        <v>4001</v>
      </c>
    </row>
    <row r="975">
      <c r="A975" s="45" t="s">
        <v>828</v>
      </c>
      <c r="B975" s="45" t="s">
        <v>2669</v>
      </c>
      <c r="C975" s="45">
        <v>109.0</v>
      </c>
      <c r="D975" s="45">
        <v>21029.0</v>
      </c>
      <c r="E975" s="45" t="s">
        <v>3970</v>
      </c>
      <c r="F975" s="45" t="s">
        <v>3970</v>
      </c>
      <c r="G975" s="45" t="s">
        <v>4001</v>
      </c>
    </row>
    <row r="976">
      <c r="A976" s="45" t="s">
        <v>109</v>
      </c>
      <c r="B976" s="45" t="s">
        <v>2669</v>
      </c>
      <c r="C976" s="45">
        <v>93.0</v>
      </c>
      <c r="D976" s="45">
        <v>21031.0</v>
      </c>
      <c r="E976" s="45" t="s">
        <v>3970</v>
      </c>
      <c r="F976" s="45" t="s">
        <v>3970</v>
      </c>
      <c r="G976" s="45" t="s">
        <v>4001</v>
      </c>
    </row>
    <row r="977">
      <c r="A977" s="45" t="s">
        <v>829</v>
      </c>
      <c r="B977" s="45" t="s">
        <v>2669</v>
      </c>
      <c r="C977" s="45">
        <v>108.0</v>
      </c>
      <c r="D977" s="45">
        <v>21033.0</v>
      </c>
      <c r="E977" s="45" t="s">
        <v>3970</v>
      </c>
      <c r="F977" s="45" t="s">
        <v>3970</v>
      </c>
      <c r="G977" s="45" t="s">
        <v>4001</v>
      </c>
    </row>
    <row r="978">
      <c r="A978" s="45" t="s">
        <v>830</v>
      </c>
      <c r="B978" s="45" t="s">
        <v>2669</v>
      </c>
      <c r="C978" s="45">
        <v>93.0</v>
      </c>
      <c r="D978" s="45">
        <v>21035.0</v>
      </c>
      <c r="E978" s="45" t="s">
        <v>3970</v>
      </c>
      <c r="F978" s="45" t="s">
        <v>3970</v>
      </c>
      <c r="G978" s="45" t="s">
        <v>4001</v>
      </c>
    </row>
    <row r="979">
      <c r="A979" s="45" t="s">
        <v>831</v>
      </c>
      <c r="B979" s="45" t="s">
        <v>2669</v>
      </c>
      <c r="C979" s="45">
        <v>109.0</v>
      </c>
      <c r="D979" s="45">
        <v>21037.0</v>
      </c>
      <c r="E979" s="45" t="s">
        <v>3993</v>
      </c>
      <c r="F979" s="45" t="s">
        <v>3997</v>
      </c>
      <c r="G979" s="45" t="s">
        <v>4001</v>
      </c>
    </row>
    <row r="980">
      <c r="A980" s="45" t="s">
        <v>832</v>
      </c>
      <c r="B980" s="45" t="s">
        <v>2669</v>
      </c>
      <c r="C980" s="45">
        <v>93.0</v>
      </c>
      <c r="D980" s="45">
        <v>21039.0</v>
      </c>
      <c r="E980" s="45" t="s">
        <v>3970</v>
      </c>
      <c r="F980" s="45" t="s">
        <v>3970</v>
      </c>
      <c r="G980" s="45" t="s">
        <v>4001</v>
      </c>
    </row>
    <row r="981">
      <c r="A981" s="45" t="s">
        <v>227</v>
      </c>
      <c r="B981" s="45" t="s">
        <v>2669</v>
      </c>
      <c r="C981" s="45">
        <v>109.0</v>
      </c>
      <c r="D981" s="45">
        <v>21041.0</v>
      </c>
      <c r="E981" s="45" t="s">
        <v>3970</v>
      </c>
      <c r="F981" s="45" t="s">
        <v>3970</v>
      </c>
      <c r="G981" s="45" t="s">
        <v>4001</v>
      </c>
    </row>
    <row r="982">
      <c r="A982" s="45" t="s">
        <v>833</v>
      </c>
      <c r="B982" s="45" t="s">
        <v>2669</v>
      </c>
      <c r="C982" s="45">
        <v>110.0</v>
      </c>
      <c r="D982" s="45">
        <v>21043.0</v>
      </c>
      <c r="E982" s="45" t="s">
        <v>3970</v>
      </c>
      <c r="F982" s="45" t="s">
        <v>3970</v>
      </c>
      <c r="G982" s="45" t="s">
        <v>4001</v>
      </c>
    </row>
    <row r="983">
      <c r="A983" s="45" t="s">
        <v>834</v>
      </c>
      <c r="B983" s="45" t="s">
        <v>2669</v>
      </c>
      <c r="C983" s="45">
        <v>109.0</v>
      </c>
      <c r="D983" s="45">
        <v>21045.0</v>
      </c>
      <c r="E983" s="45" t="s">
        <v>3970</v>
      </c>
      <c r="F983" s="45" t="s">
        <v>3970</v>
      </c>
      <c r="G983" s="45" t="s">
        <v>4001</v>
      </c>
    </row>
    <row r="984">
      <c r="A984" s="45" t="s">
        <v>615</v>
      </c>
      <c r="B984" s="45" t="s">
        <v>2669</v>
      </c>
      <c r="C984" s="45">
        <v>93.0</v>
      </c>
      <c r="D984" s="45">
        <v>21047.0</v>
      </c>
      <c r="E984" s="45" t="s">
        <v>3970</v>
      </c>
      <c r="F984" s="45" t="s">
        <v>3970</v>
      </c>
      <c r="G984" s="45" t="s">
        <v>4001</v>
      </c>
    </row>
    <row r="985">
      <c r="A985" s="45" t="s">
        <v>229</v>
      </c>
      <c r="B985" s="45" t="s">
        <v>2669</v>
      </c>
      <c r="C985" s="45">
        <v>109.0</v>
      </c>
      <c r="D985" s="45">
        <v>21049.0</v>
      </c>
      <c r="E985" s="45" t="s">
        <v>3970</v>
      </c>
      <c r="F985" s="45" t="s">
        <v>3970</v>
      </c>
      <c r="G985" s="45" t="s">
        <v>4001</v>
      </c>
    </row>
    <row r="986">
      <c r="A986" s="45" t="s">
        <v>116</v>
      </c>
      <c r="B986" s="45" t="s">
        <v>2669</v>
      </c>
      <c r="C986" s="45">
        <v>109.0</v>
      </c>
      <c r="D986" s="45">
        <v>21051.0</v>
      </c>
      <c r="E986" s="45" t="s">
        <v>3970</v>
      </c>
      <c r="F986" s="45" t="s">
        <v>3970</v>
      </c>
      <c r="G986" s="45" t="s">
        <v>4001</v>
      </c>
    </row>
    <row r="987">
      <c r="A987" s="45" t="s">
        <v>616</v>
      </c>
      <c r="B987" s="45" t="s">
        <v>2669</v>
      </c>
      <c r="C987" s="45">
        <v>93.0</v>
      </c>
      <c r="D987" s="45">
        <v>21053.0</v>
      </c>
      <c r="E987" s="45" t="s">
        <v>3970</v>
      </c>
      <c r="F987" s="45" t="s">
        <v>3970</v>
      </c>
      <c r="G987" s="45" t="s">
        <v>4001</v>
      </c>
    </row>
    <row r="988">
      <c r="A988" s="45" t="s">
        <v>235</v>
      </c>
      <c r="B988" s="45" t="s">
        <v>2669</v>
      </c>
      <c r="C988" s="45">
        <v>108.0</v>
      </c>
      <c r="D988" s="45">
        <v>21055.0</v>
      </c>
      <c r="E988" s="45" t="s">
        <v>3970</v>
      </c>
      <c r="F988" s="45" t="s">
        <v>3970</v>
      </c>
      <c r="G988" s="45" t="s">
        <v>4001</v>
      </c>
    </row>
    <row r="989">
      <c r="A989" s="45" t="s">
        <v>618</v>
      </c>
      <c r="B989" s="45" t="s">
        <v>2669</v>
      </c>
      <c r="C989" s="45">
        <v>93.0</v>
      </c>
      <c r="D989" s="45">
        <v>21057.0</v>
      </c>
      <c r="E989" s="45" t="s">
        <v>3970</v>
      </c>
      <c r="F989" s="45" t="s">
        <v>3970</v>
      </c>
      <c r="G989" s="45" t="s">
        <v>4001</v>
      </c>
    </row>
    <row r="990">
      <c r="A990" s="45" t="s">
        <v>667</v>
      </c>
      <c r="B990" s="45" t="s">
        <v>2669</v>
      </c>
      <c r="C990" s="45">
        <v>108.0</v>
      </c>
      <c r="D990" s="45">
        <v>21059.0</v>
      </c>
      <c r="E990" s="45" t="s">
        <v>3970</v>
      </c>
      <c r="F990" s="45" t="s">
        <v>3970</v>
      </c>
      <c r="G990" s="45" t="s">
        <v>4001</v>
      </c>
    </row>
    <row r="991">
      <c r="A991" s="45" t="s">
        <v>835</v>
      </c>
      <c r="B991" s="45" t="s">
        <v>2669</v>
      </c>
      <c r="C991" s="45">
        <v>109.0</v>
      </c>
      <c r="D991" s="45">
        <v>21061.0</v>
      </c>
      <c r="E991" s="45" t="s">
        <v>3970</v>
      </c>
      <c r="F991" s="45" t="s">
        <v>3970</v>
      </c>
      <c r="G991" s="45" t="s">
        <v>4001</v>
      </c>
    </row>
    <row r="992">
      <c r="A992" s="45" t="s">
        <v>836</v>
      </c>
      <c r="B992" s="45" t="s">
        <v>2669</v>
      </c>
      <c r="C992" s="45">
        <v>109.0</v>
      </c>
      <c r="D992" s="45">
        <v>21063.0</v>
      </c>
      <c r="E992" s="45" t="s">
        <v>3970</v>
      </c>
      <c r="F992" s="45" t="s">
        <v>3970</v>
      </c>
      <c r="G992" s="45" t="s">
        <v>4001</v>
      </c>
    </row>
    <row r="993">
      <c r="A993" s="45" t="s">
        <v>837</v>
      </c>
      <c r="B993" s="45" t="s">
        <v>2669</v>
      </c>
      <c r="C993" s="45">
        <v>109.0</v>
      </c>
      <c r="D993" s="45">
        <v>21065.0</v>
      </c>
      <c r="E993" s="45" t="s">
        <v>3970</v>
      </c>
      <c r="F993" s="45" t="s">
        <v>3970</v>
      </c>
      <c r="G993" s="45" t="s">
        <v>4001</v>
      </c>
    </row>
    <row r="994">
      <c r="A994" s="45" t="s">
        <v>131</v>
      </c>
      <c r="B994" s="45" t="s">
        <v>2669</v>
      </c>
      <c r="C994" s="45">
        <v>109.0</v>
      </c>
      <c r="D994" s="45">
        <v>21067.0</v>
      </c>
      <c r="E994" s="45" t="s">
        <v>3970</v>
      </c>
      <c r="F994" s="45" t="s">
        <v>3970</v>
      </c>
      <c r="G994" s="45" t="s">
        <v>4001</v>
      </c>
    </row>
    <row r="995">
      <c r="A995" s="45" t="s">
        <v>838</v>
      </c>
      <c r="B995" s="45" t="s">
        <v>2669</v>
      </c>
      <c r="C995" s="45">
        <v>109.0</v>
      </c>
      <c r="D995" s="45">
        <v>21069.0</v>
      </c>
      <c r="E995" s="45" t="s">
        <v>3970</v>
      </c>
      <c r="F995" s="45" t="s">
        <v>3970</v>
      </c>
      <c r="G995" s="45" t="s">
        <v>4001</v>
      </c>
    </row>
    <row r="996">
      <c r="A996" s="45" t="s">
        <v>502</v>
      </c>
      <c r="B996" s="45" t="s">
        <v>2669</v>
      </c>
      <c r="C996" s="45">
        <v>110.0</v>
      </c>
      <c r="D996" s="45">
        <v>21071.0</v>
      </c>
      <c r="E996" s="45" t="s">
        <v>3993</v>
      </c>
      <c r="F996" s="45" t="s">
        <v>3970</v>
      </c>
      <c r="G996" s="45" t="s">
        <v>4001</v>
      </c>
    </row>
    <row r="997">
      <c r="A997" s="45" t="s">
        <v>132</v>
      </c>
      <c r="B997" s="45" t="s">
        <v>2669</v>
      </c>
      <c r="C997" s="45">
        <v>109.0</v>
      </c>
      <c r="D997" s="45">
        <v>21073.0</v>
      </c>
      <c r="E997" s="45" t="s">
        <v>3970</v>
      </c>
      <c r="F997" s="45" t="s">
        <v>3970</v>
      </c>
      <c r="G997" s="45" t="s">
        <v>4001</v>
      </c>
    </row>
    <row r="998">
      <c r="A998" s="45" t="s">
        <v>240</v>
      </c>
      <c r="B998" s="45" t="s">
        <v>2669</v>
      </c>
      <c r="C998" s="45">
        <v>93.0</v>
      </c>
      <c r="D998" s="45">
        <v>21075.0</v>
      </c>
      <c r="E998" s="45" t="s">
        <v>3970</v>
      </c>
      <c r="F998" s="45" t="s">
        <v>3970</v>
      </c>
      <c r="G998" s="45" t="s">
        <v>4001</v>
      </c>
    </row>
    <row r="999">
      <c r="A999" s="45" t="s">
        <v>624</v>
      </c>
      <c r="B999" s="45" t="s">
        <v>2669</v>
      </c>
      <c r="C999" s="45">
        <v>109.0</v>
      </c>
      <c r="D999" s="45">
        <v>21077.0</v>
      </c>
      <c r="E999" s="45" t="s">
        <v>3970</v>
      </c>
      <c r="F999" s="45" t="s">
        <v>3970</v>
      </c>
      <c r="G999" s="45" t="s">
        <v>4001</v>
      </c>
    </row>
    <row r="1000">
      <c r="A1000" s="45" t="s">
        <v>839</v>
      </c>
      <c r="B1000" s="45" t="s">
        <v>2669</v>
      </c>
      <c r="C1000" s="45">
        <v>109.0</v>
      </c>
      <c r="D1000" s="45">
        <v>21079.0</v>
      </c>
      <c r="E1000" s="45" t="s">
        <v>3970</v>
      </c>
      <c r="F1000" s="45" t="s">
        <v>3970</v>
      </c>
      <c r="G1000" s="45" t="s">
        <v>4001</v>
      </c>
    </row>
    <row r="1001">
      <c r="A1001" s="45" t="s">
        <v>242</v>
      </c>
      <c r="B1001" s="45" t="s">
        <v>2669</v>
      </c>
      <c r="C1001" s="45">
        <v>109.0</v>
      </c>
      <c r="D1001" s="45">
        <v>21081.0</v>
      </c>
      <c r="E1001" s="45" t="s">
        <v>3970</v>
      </c>
      <c r="F1001" s="45" t="s">
        <v>3970</v>
      </c>
      <c r="G1001" s="45" t="s">
        <v>4001</v>
      </c>
    </row>
    <row r="1002">
      <c r="A1002" s="45" t="s">
        <v>840</v>
      </c>
      <c r="B1002" s="45" t="s">
        <v>2669</v>
      </c>
      <c r="C1002" s="45">
        <v>93.0</v>
      </c>
      <c r="D1002" s="45">
        <v>21083.0</v>
      </c>
      <c r="E1002" s="45" t="s">
        <v>3970</v>
      </c>
      <c r="F1002" s="45" t="s">
        <v>3970</v>
      </c>
      <c r="G1002" s="45" t="s">
        <v>4001</v>
      </c>
    </row>
    <row r="1003">
      <c r="A1003" s="45" t="s">
        <v>841</v>
      </c>
      <c r="B1003" s="45" t="s">
        <v>2669</v>
      </c>
      <c r="C1003" s="45">
        <v>108.0</v>
      </c>
      <c r="D1003" s="45">
        <v>21085.0</v>
      </c>
      <c r="E1003" s="45" t="s">
        <v>3970</v>
      </c>
      <c r="F1003" s="45" t="s">
        <v>3970</v>
      </c>
      <c r="G1003" s="45" t="s">
        <v>4001</v>
      </c>
    </row>
    <row r="1004">
      <c r="A1004" s="45" t="s">
        <v>842</v>
      </c>
      <c r="B1004" s="45" t="s">
        <v>2669</v>
      </c>
      <c r="C1004" s="45">
        <v>109.0</v>
      </c>
      <c r="D1004" s="45">
        <v>21087.0</v>
      </c>
      <c r="E1004" s="45" t="s">
        <v>3970</v>
      </c>
      <c r="F1004" s="45" t="s">
        <v>3970</v>
      </c>
      <c r="G1004" s="45" t="s">
        <v>4001</v>
      </c>
    </row>
    <row r="1005">
      <c r="A1005" s="45" t="s">
        <v>843</v>
      </c>
      <c r="B1005" s="45" t="s">
        <v>2669</v>
      </c>
      <c r="C1005" s="45">
        <v>109.0</v>
      </c>
      <c r="D1005" s="45">
        <v>21089.0</v>
      </c>
      <c r="E1005" s="45" t="s">
        <v>3993</v>
      </c>
      <c r="F1005" s="45" t="s">
        <v>3970</v>
      </c>
      <c r="G1005" s="45" t="s">
        <v>4001</v>
      </c>
    </row>
    <row r="1006">
      <c r="A1006" s="45" t="s">
        <v>512</v>
      </c>
      <c r="B1006" s="45" t="s">
        <v>2669</v>
      </c>
      <c r="C1006" s="45">
        <v>108.0</v>
      </c>
      <c r="D1006" s="45">
        <v>21091.0</v>
      </c>
      <c r="E1006" s="45" t="s">
        <v>3970</v>
      </c>
      <c r="F1006" s="45" t="s">
        <v>3970</v>
      </c>
      <c r="G1006" s="45" t="s">
        <v>4001</v>
      </c>
    </row>
    <row r="1007">
      <c r="A1007" s="45" t="s">
        <v>626</v>
      </c>
      <c r="B1007" s="45" t="s">
        <v>2669</v>
      </c>
      <c r="C1007" s="45">
        <v>109.0</v>
      </c>
      <c r="D1007" s="45">
        <v>21093.0</v>
      </c>
      <c r="E1007" s="45" t="s">
        <v>3970</v>
      </c>
      <c r="F1007" s="45" t="s">
        <v>3970</v>
      </c>
      <c r="G1007" s="45" t="s">
        <v>4001</v>
      </c>
    </row>
    <row r="1008">
      <c r="A1008" s="45" t="s">
        <v>844</v>
      </c>
      <c r="B1008" s="45" t="s">
        <v>2669</v>
      </c>
      <c r="C1008" s="45">
        <v>109.0</v>
      </c>
      <c r="D1008" s="45">
        <v>21095.0</v>
      </c>
      <c r="E1008" s="45" t="s">
        <v>3970</v>
      </c>
      <c r="F1008" s="45" t="s">
        <v>3970</v>
      </c>
      <c r="G1008" s="45" t="s">
        <v>4001</v>
      </c>
    </row>
    <row r="1009">
      <c r="A1009" s="45" t="s">
        <v>673</v>
      </c>
      <c r="B1009" s="45" t="s">
        <v>2669</v>
      </c>
      <c r="C1009" s="45">
        <v>109.0</v>
      </c>
      <c r="D1009" s="45">
        <v>21097.0</v>
      </c>
      <c r="E1009" s="45" t="s">
        <v>3970</v>
      </c>
      <c r="F1009" s="45" t="s">
        <v>3970</v>
      </c>
      <c r="G1009" s="45" t="s">
        <v>4001</v>
      </c>
    </row>
    <row r="1010">
      <c r="A1010" s="45" t="s">
        <v>515</v>
      </c>
      <c r="B1010" s="45" t="s">
        <v>2669</v>
      </c>
      <c r="C1010" s="45">
        <v>109.0</v>
      </c>
      <c r="D1010" s="45">
        <v>21099.0</v>
      </c>
      <c r="E1010" s="45" t="s">
        <v>3970</v>
      </c>
      <c r="F1010" s="45" t="s">
        <v>3970</v>
      </c>
      <c r="G1010" s="45" t="s">
        <v>4001</v>
      </c>
    </row>
    <row r="1011">
      <c r="A1011" s="45" t="s">
        <v>627</v>
      </c>
      <c r="B1011" s="45" t="s">
        <v>2669</v>
      </c>
      <c r="C1011" s="45">
        <v>108.0</v>
      </c>
      <c r="D1011" s="45">
        <v>21101.0</v>
      </c>
      <c r="E1011" s="45" t="s">
        <v>3970</v>
      </c>
      <c r="F1011" s="45" t="s">
        <v>3970</v>
      </c>
      <c r="G1011" s="45" t="s">
        <v>4001</v>
      </c>
    </row>
    <row r="1012">
      <c r="A1012" s="45" t="s">
        <v>136</v>
      </c>
      <c r="B1012" s="45" t="s">
        <v>2669</v>
      </c>
      <c r="C1012" s="45">
        <v>109.0</v>
      </c>
      <c r="D1012" s="45">
        <v>21103.0</v>
      </c>
      <c r="E1012" s="45" t="s">
        <v>3970</v>
      </c>
      <c r="F1012" s="45" t="s">
        <v>3970</v>
      </c>
      <c r="G1012" s="45" t="s">
        <v>4001</v>
      </c>
    </row>
    <row r="1013">
      <c r="A1013" s="45" t="s">
        <v>845</v>
      </c>
      <c r="B1013" s="45" t="s">
        <v>2669</v>
      </c>
      <c r="C1013" s="45">
        <v>93.0</v>
      </c>
      <c r="D1013" s="45">
        <v>21105.0</v>
      </c>
      <c r="E1013" s="45" t="s">
        <v>3970</v>
      </c>
      <c r="F1013" s="45" t="s">
        <v>3970</v>
      </c>
      <c r="G1013" s="45" t="s">
        <v>4001</v>
      </c>
    </row>
    <row r="1014">
      <c r="A1014" s="45" t="s">
        <v>846</v>
      </c>
      <c r="B1014" s="45" t="s">
        <v>2669</v>
      </c>
      <c r="C1014" s="45">
        <v>108.0</v>
      </c>
      <c r="D1014" s="45">
        <v>21107.0</v>
      </c>
      <c r="E1014" s="45" t="s">
        <v>3970</v>
      </c>
      <c r="F1014" s="45" t="s">
        <v>3970</v>
      </c>
      <c r="G1014" s="45" t="s">
        <v>4001</v>
      </c>
    </row>
    <row r="1015">
      <c r="A1015" s="45" t="s">
        <v>138</v>
      </c>
      <c r="B1015" s="45" t="s">
        <v>2669</v>
      </c>
      <c r="C1015" s="45">
        <v>109.0</v>
      </c>
      <c r="D1015" s="45">
        <v>21109.0</v>
      </c>
      <c r="E1015" s="45" t="s">
        <v>3970</v>
      </c>
      <c r="F1015" s="45" t="s">
        <v>3970</v>
      </c>
      <c r="G1015" s="45" t="s">
        <v>3970</v>
      </c>
    </row>
    <row r="1016">
      <c r="A1016" s="45" t="s">
        <v>139</v>
      </c>
      <c r="B1016" s="45" t="s">
        <v>2669</v>
      </c>
      <c r="C1016" s="45">
        <v>109.0</v>
      </c>
      <c r="D1016" s="45">
        <v>21111.0</v>
      </c>
      <c r="E1016" s="45" t="s">
        <v>3970</v>
      </c>
      <c r="F1016" s="45" t="s">
        <v>3970</v>
      </c>
      <c r="G1016" s="45" t="s">
        <v>3970</v>
      </c>
    </row>
    <row r="1017">
      <c r="A1017" s="45" t="s">
        <v>847</v>
      </c>
      <c r="B1017" s="45" t="s">
        <v>2669</v>
      </c>
      <c r="C1017" s="45">
        <v>109.0</v>
      </c>
      <c r="D1017" s="45">
        <v>21113.0</v>
      </c>
      <c r="E1017" s="45" t="s">
        <v>3970</v>
      </c>
      <c r="F1017" s="45" t="s">
        <v>3970</v>
      </c>
      <c r="G1017" s="45" t="s">
        <v>3970</v>
      </c>
    </row>
    <row r="1018">
      <c r="A1018" s="45" t="s">
        <v>248</v>
      </c>
      <c r="B1018" s="45" t="s">
        <v>2669</v>
      </c>
      <c r="C1018" s="45">
        <v>109.0</v>
      </c>
      <c r="D1018" s="45">
        <v>21115.0</v>
      </c>
      <c r="E1018" s="45" t="s">
        <v>3970</v>
      </c>
      <c r="F1018" s="45" t="s">
        <v>3997</v>
      </c>
      <c r="G1018" s="45" t="s">
        <v>3970</v>
      </c>
    </row>
    <row r="1019">
      <c r="A1019" s="45" t="s">
        <v>848</v>
      </c>
      <c r="B1019" s="45" t="s">
        <v>2669</v>
      </c>
      <c r="C1019" s="45">
        <v>109.0</v>
      </c>
      <c r="D1019" s="45">
        <v>21117.0</v>
      </c>
      <c r="E1019" s="45" t="s">
        <v>3993</v>
      </c>
      <c r="F1019" s="45" t="s">
        <v>3997</v>
      </c>
      <c r="G1019" s="45" t="s">
        <v>3970</v>
      </c>
    </row>
    <row r="1020">
      <c r="A1020" s="45" t="s">
        <v>849</v>
      </c>
      <c r="B1020" s="45" t="s">
        <v>2669</v>
      </c>
      <c r="C1020" s="45">
        <v>110.0</v>
      </c>
      <c r="D1020" s="45">
        <v>21119.0</v>
      </c>
      <c r="E1020" s="45" t="s">
        <v>3993</v>
      </c>
      <c r="F1020" s="45" t="s">
        <v>3997</v>
      </c>
      <c r="G1020" s="45" t="s">
        <v>3970</v>
      </c>
    </row>
    <row r="1021">
      <c r="A1021" s="45" t="s">
        <v>634</v>
      </c>
      <c r="B1021" s="45" t="s">
        <v>2669</v>
      </c>
      <c r="C1021" s="45">
        <v>109.0</v>
      </c>
      <c r="D1021" s="45">
        <v>21121.0</v>
      </c>
      <c r="E1021" s="45" t="s">
        <v>3970</v>
      </c>
      <c r="F1021" s="45" t="s">
        <v>3970</v>
      </c>
      <c r="G1021" s="45" t="s">
        <v>3970</v>
      </c>
    </row>
    <row r="1022">
      <c r="A1022" s="45" t="s">
        <v>850</v>
      </c>
      <c r="B1022" s="45" t="s">
        <v>2669</v>
      </c>
      <c r="C1022" s="45">
        <v>109.0</v>
      </c>
      <c r="D1022" s="45">
        <v>21123.0</v>
      </c>
      <c r="E1022" s="45" t="s">
        <v>3970</v>
      </c>
      <c r="F1022" s="45" t="s">
        <v>3970</v>
      </c>
      <c r="G1022" s="45" t="s">
        <v>3970</v>
      </c>
    </row>
    <row r="1023">
      <c r="A1023" s="45" t="s">
        <v>851</v>
      </c>
      <c r="B1023" s="45" t="s">
        <v>2669</v>
      </c>
      <c r="C1023" s="45">
        <v>109.0</v>
      </c>
      <c r="D1023" s="45">
        <v>21125.0</v>
      </c>
      <c r="E1023" s="45" t="s">
        <v>3970</v>
      </c>
      <c r="F1023" s="45" t="s">
        <v>3970</v>
      </c>
      <c r="G1023" s="45" t="s">
        <v>3970</v>
      </c>
    </row>
    <row r="1024">
      <c r="A1024" s="45" t="s">
        <v>142</v>
      </c>
      <c r="B1024" s="45" t="s">
        <v>2669</v>
      </c>
      <c r="C1024" s="45">
        <v>110.0</v>
      </c>
      <c r="D1024" s="45">
        <v>21127.0</v>
      </c>
      <c r="E1024" s="45" t="s">
        <v>3970</v>
      </c>
      <c r="F1024" s="45" t="s">
        <v>3997</v>
      </c>
      <c r="G1024" s="45" t="s">
        <v>3970</v>
      </c>
    </row>
    <row r="1025">
      <c r="A1025" s="45" t="s">
        <v>143</v>
      </c>
      <c r="B1025" s="45" t="s">
        <v>2669</v>
      </c>
      <c r="C1025" s="45">
        <v>109.0</v>
      </c>
      <c r="D1025" s="45">
        <v>21129.0</v>
      </c>
      <c r="E1025" s="45" t="s">
        <v>3970</v>
      </c>
      <c r="F1025" s="45" t="s">
        <v>3970</v>
      </c>
      <c r="G1025" s="45" t="s">
        <v>3970</v>
      </c>
    </row>
    <row r="1026">
      <c r="A1026" s="45" t="s">
        <v>852</v>
      </c>
      <c r="B1026" s="45" t="s">
        <v>2669</v>
      </c>
      <c r="C1026" s="45">
        <v>110.0</v>
      </c>
      <c r="D1026" s="45">
        <v>21131.0</v>
      </c>
      <c r="E1026" s="45" t="s">
        <v>3993</v>
      </c>
      <c r="F1026" s="45" t="s">
        <v>3970</v>
      </c>
      <c r="G1026" s="45" t="s">
        <v>3970</v>
      </c>
    </row>
    <row r="1027">
      <c r="A1027" s="45" t="s">
        <v>853</v>
      </c>
      <c r="B1027" s="45" t="s">
        <v>2669</v>
      </c>
      <c r="C1027" s="45">
        <v>110.0</v>
      </c>
      <c r="D1027" s="45">
        <v>21133.0</v>
      </c>
      <c r="E1027" s="45" t="s">
        <v>3993</v>
      </c>
      <c r="F1027" s="45" t="s">
        <v>3970</v>
      </c>
      <c r="G1027" s="45" t="s">
        <v>3970</v>
      </c>
    </row>
    <row r="1028">
      <c r="A1028" s="45" t="s">
        <v>597</v>
      </c>
      <c r="B1028" s="45" t="s">
        <v>2669</v>
      </c>
      <c r="C1028" s="45">
        <v>109.0</v>
      </c>
      <c r="D1028" s="45">
        <v>21135.0</v>
      </c>
      <c r="E1028" s="45" t="s">
        <v>3993</v>
      </c>
      <c r="F1028" s="45" t="s">
        <v>3970</v>
      </c>
      <c r="G1028" s="45" t="s">
        <v>3970</v>
      </c>
    </row>
    <row r="1029">
      <c r="A1029" s="45" t="s">
        <v>250</v>
      </c>
      <c r="B1029" s="45" t="s">
        <v>2669</v>
      </c>
      <c r="C1029" s="45">
        <v>109.0</v>
      </c>
      <c r="D1029" s="45">
        <v>21137.0</v>
      </c>
      <c r="E1029" s="45" t="s">
        <v>3970</v>
      </c>
      <c r="F1029" s="45" t="s">
        <v>3970</v>
      </c>
      <c r="G1029" s="45" t="s">
        <v>3970</v>
      </c>
    </row>
    <row r="1030">
      <c r="A1030" s="45" t="s">
        <v>636</v>
      </c>
      <c r="B1030" s="45" t="s">
        <v>2669</v>
      </c>
      <c r="C1030" s="45">
        <v>93.0</v>
      </c>
      <c r="D1030" s="45">
        <v>21139.0</v>
      </c>
      <c r="E1030" s="45" t="s">
        <v>3970</v>
      </c>
      <c r="F1030" s="45" t="s">
        <v>3970</v>
      </c>
      <c r="G1030" s="45" t="s">
        <v>3970</v>
      </c>
    </row>
    <row r="1031">
      <c r="A1031" s="45" t="s">
        <v>252</v>
      </c>
      <c r="B1031" s="45" t="s">
        <v>2669</v>
      </c>
      <c r="C1031" s="45">
        <v>93.0</v>
      </c>
      <c r="D1031" s="45">
        <v>21141.0</v>
      </c>
      <c r="E1031" s="45" t="s">
        <v>3970</v>
      </c>
      <c r="F1031" s="45" t="s">
        <v>3970</v>
      </c>
      <c r="G1031" s="45" t="s">
        <v>3970</v>
      </c>
    </row>
    <row r="1032">
      <c r="A1032" s="45" t="s">
        <v>729</v>
      </c>
      <c r="B1032" s="45" t="s">
        <v>2669</v>
      </c>
      <c r="C1032" s="45">
        <v>93.0</v>
      </c>
      <c r="D1032" s="45">
        <v>21143.0</v>
      </c>
      <c r="E1032" s="45" t="s">
        <v>3970</v>
      </c>
      <c r="F1032" s="45" t="s">
        <v>3970</v>
      </c>
      <c r="G1032" s="45" t="s">
        <v>3970</v>
      </c>
    </row>
    <row r="1033">
      <c r="A1033" s="45" t="s">
        <v>854</v>
      </c>
      <c r="B1033" s="45" t="s">
        <v>2669</v>
      </c>
      <c r="C1033" s="45">
        <v>93.0</v>
      </c>
      <c r="D1033" s="45">
        <v>21145.0</v>
      </c>
      <c r="E1033" s="45" t="s">
        <v>3970</v>
      </c>
      <c r="F1033" s="45" t="s">
        <v>3970</v>
      </c>
      <c r="G1033" s="45" t="s">
        <v>3970</v>
      </c>
    </row>
    <row r="1034">
      <c r="A1034" s="45" t="s">
        <v>855</v>
      </c>
      <c r="B1034" s="45" t="s">
        <v>2669</v>
      </c>
      <c r="C1034" s="45">
        <v>93.0</v>
      </c>
      <c r="D1034" s="45">
        <v>21147.0</v>
      </c>
      <c r="E1034" s="45" t="s">
        <v>3970</v>
      </c>
      <c r="F1034" s="45" t="s">
        <v>3970</v>
      </c>
      <c r="G1034" s="45" t="s">
        <v>3970</v>
      </c>
    </row>
    <row r="1035">
      <c r="A1035" s="45" t="s">
        <v>639</v>
      </c>
      <c r="B1035" s="45" t="s">
        <v>2669</v>
      </c>
      <c r="C1035" s="45">
        <v>108.0</v>
      </c>
      <c r="D1035" s="45">
        <v>21149.0</v>
      </c>
      <c r="E1035" s="45" t="s">
        <v>3970</v>
      </c>
      <c r="F1035" s="45" t="s">
        <v>3970</v>
      </c>
      <c r="G1035" s="45" t="s">
        <v>3970</v>
      </c>
    </row>
    <row r="1036">
      <c r="A1036" s="45" t="s">
        <v>147</v>
      </c>
      <c r="B1036" s="45" t="s">
        <v>2669</v>
      </c>
      <c r="C1036" s="45">
        <v>109.0</v>
      </c>
      <c r="D1036" s="45">
        <v>21151.0</v>
      </c>
      <c r="E1036" s="45" t="s">
        <v>3970</v>
      </c>
      <c r="F1036" s="45" t="s">
        <v>3970</v>
      </c>
      <c r="G1036" s="45" t="s">
        <v>3970</v>
      </c>
    </row>
    <row r="1037">
      <c r="A1037" s="45" t="s">
        <v>856</v>
      </c>
      <c r="B1037" s="45" t="s">
        <v>2669</v>
      </c>
      <c r="C1037" s="45">
        <v>109.0</v>
      </c>
      <c r="D1037" s="45">
        <v>21153.0</v>
      </c>
      <c r="E1037" s="45" t="s">
        <v>3970</v>
      </c>
      <c r="F1037" s="45" t="s">
        <v>3970</v>
      </c>
      <c r="G1037" s="45" t="s">
        <v>3970</v>
      </c>
    </row>
    <row r="1038">
      <c r="A1038" s="45" t="s">
        <v>149</v>
      </c>
      <c r="B1038" s="45" t="s">
        <v>2669</v>
      </c>
      <c r="C1038" s="45">
        <v>109.0</v>
      </c>
      <c r="D1038" s="45">
        <v>21155.0</v>
      </c>
      <c r="E1038" s="45" t="s">
        <v>3970</v>
      </c>
      <c r="F1038" s="45" t="s">
        <v>3970</v>
      </c>
      <c r="G1038" s="45" t="s">
        <v>3970</v>
      </c>
    </row>
    <row r="1039">
      <c r="A1039" s="45" t="s">
        <v>150</v>
      </c>
      <c r="B1039" s="45" t="s">
        <v>2669</v>
      </c>
      <c r="C1039" s="45">
        <v>93.0</v>
      </c>
      <c r="D1039" s="45">
        <v>21157.0</v>
      </c>
      <c r="E1039" s="45" t="s">
        <v>3970</v>
      </c>
      <c r="F1039" s="45" t="s">
        <v>3970</v>
      </c>
      <c r="G1039" s="45" t="s">
        <v>3970</v>
      </c>
    </row>
    <row r="1040">
      <c r="A1040" s="45" t="s">
        <v>440</v>
      </c>
      <c r="B1040" s="45" t="s">
        <v>2669</v>
      </c>
      <c r="C1040" s="45">
        <v>110.0</v>
      </c>
      <c r="D1040" s="45">
        <v>21159.0</v>
      </c>
      <c r="E1040" s="45" t="s">
        <v>3993</v>
      </c>
      <c r="F1040" s="45" t="s">
        <v>3997</v>
      </c>
      <c r="G1040" s="45" t="s">
        <v>3970</v>
      </c>
    </row>
    <row r="1041">
      <c r="A1041" s="45" t="s">
        <v>641</v>
      </c>
      <c r="B1041" s="45" t="s">
        <v>2669</v>
      </c>
      <c r="C1041" s="45">
        <v>109.0</v>
      </c>
      <c r="D1041" s="45">
        <v>21161.0</v>
      </c>
      <c r="E1041" s="45" t="s">
        <v>3970</v>
      </c>
      <c r="F1041" s="45" t="s">
        <v>3970</v>
      </c>
      <c r="G1041" s="45" t="s">
        <v>3970</v>
      </c>
    </row>
    <row r="1042">
      <c r="A1042" s="45" t="s">
        <v>783</v>
      </c>
      <c r="B1042" s="45" t="s">
        <v>2669</v>
      </c>
      <c r="C1042" s="45">
        <v>109.0</v>
      </c>
      <c r="D1042" s="45">
        <v>21163.0</v>
      </c>
      <c r="E1042" s="45" t="s">
        <v>3970</v>
      </c>
      <c r="F1042" s="45" t="s">
        <v>3970</v>
      </c>
      <c r="G1042" s="45" t="s">
        <v>3970</v>
      </c>
    </row>
    <row r="1043">
      <c r="A1043" s="45" t="s">
        <v>857</v>
      </c>
      <c r="B1043" s="45" t="s">
        <v>2669</v>
      </c>
      <c r="C1043" s="45">
        <v>109.0</v>
      </c>
      <c r="D1043" s="45">
        <v>21165.0</v>
      </c>
      <c r="E1043" s="45" t="s">
        <v>3970</v>
      </c>
      <c r="F1043" s="45" t="s">
        <v>3970</v>
      </c>
      <c r="G1043" s="45" t="s">
        <v>3970</v>
      </c>
    </row>
    <row r="1044">
      <c r="A1044" s="45" t="s">
        <v>644</v>
      </c>
      <c r="B1044" s="45" t="s">
        <v>2669</v>
      </c>
      <c r="C1044" s="45">
        <v>109.0</v>
      </c>
      <c r="D1044" s="45">
        <v>21167.0</v>
      </c>
      <c r="E1044" s="45" t="s">
        <v>3970</v>
      </c>
      <c r="F1044" s="45" t="s">
        <v>3970</v>
      </c>
      <c r="G1044" s="45" t="s">
        <v>3970</v>
      </c>
    </row>
    <row r="1045">
      <c r="A1045" s="45" t="s">
        <v>858</v>
      </c>
      <c r="B1045" s="45" t="s">
        <v>2669</v>
      </c>
      <c r="C1045" s="45">
        <v>93.0</v>
      </c>
      <c r="D1045" s="45">
        <v>21169.0</v>
      </c>
      <c r="E1045" s="45" t="s">
        <v>3970</v>
      </c>
      <c r="F1045" s="45" t="s">
        <v>3970</v>
      </c>
      <c r="G1045" s="45" t="s">
        <v>3970</v>
      </c>
    </row>
    <row r="1046">
      <c r="A1046" s="45" t="s">
        <v>152</v>
      </c>
      <c r="B1046" s="45" t="s">
        <v>2669</v>
      </c>
      <c r="C1046" s="45">
        <v>93.0</v>
      </c>
      <c r="D1046" s="45">
        <v>21171.0</v>
      </c>
      <c r="E1046" s="45" t="s">
        <v>3970</v>
      </c>
      <c r="F1046" s="45" t="s">
        <v>3970</v>
      </c>
      <c r="G1046" s="45" t="s">
        <v>3970</v>
      </c>
    </row>
    <row r="1047">
      <c r="A1047" s="45" t="s">
        <v>153</v>
      </c>
      <c r="B1047" s="45" t="s">
        <v>2669</v>
      </c>
      <c r="C1047" s="45">
        <v>109.0</v>
      </c>
      <c r="D1047" s="45">
        <v>21173.0</v>
      </c>
      <c r="E1047" s="45" t="s">
        <v>3970</v>
      </c>
      <c r="F1047" s="45" t="s">
        <v>3970</v>
      </c>
      <c r="G1047" s="45" t="s">
        <v>3970</v>
      </c>
    </row>
    <row r="1048">
      <c r="A1048" s="45" t="s">
        <v>154</v>
      </c>
      <c r="B1048" s="45" t="s">
        <v>2669</v>
      </c>
      <c r="C1048" s="45">
        <v>109.0</v>
      </c>
      <c r="D1048" s="45">
        <v>21175.0</v>
      </c>
      <c r="E1048" s="45" t="s">
        <v>3993</v>
      </c>
      <c r="F1048" s="45" t="s">
        <v>3970</v>
      </c>
      <c r="G1048" s="45" t="s">
        <v>3970</v>
      </c>
    </row>
    <row r="1049">
      <c r="A1049" s="45" t="s">
        <v>859</v>
      </c>
      <c r="B1049" s="45" t="s">
        <v>2669</v>
      </c>
      <c r="C1049" s="45">
        <v>108.0</v>
      </c>
      <c r="D1049" s="45">
        <v>21177.0</v>
      </c>
      <c r="E1049" s="45" t="s">
        <v>3970</v>
      </c>
      <c r="F1049" s="45" t="s">
        <v>3970</v>
      </c>
      <c r="G1049" s="45" t="s">
        <v>3970</v>
      </c>
    </row>
    <row r="1050">
      <c r="A1050" s="45" t="s">
        <v>860</v>
      </c>
      <c r="B1050" s="45" t="s">
        <v>2669</v>
      </c>
      <c r="C1050" s="45">
        <v>109.0</v>
      </c>
      <c r="D1050" s="45">
        <v>21179.0</v>
      </c>
      <c r="E1050" s="45" t="s">
        <v>3970</v>
      </c>
      <c r="F1050" s="45" t="s">
        <v>3970</v>
      </c>
      <c r="G1050" s="45" t="s">
        <v>3970</v>
      </c>
    </row>
    <row r="1051">
      <c r="A1051" s="45" t="s">
        <v>861</v>
      </c>
      <c r="B1051" s="45" t="s">
        <v>2669</v>
      </c>
      <c r="C1051" s="45">
        <v>109.0</v>
      </c>
      <c r="D1051" s="45">
        <v>21181.0</v>
      </c>
      <c r="E1051" s="45" t="s">
        <v>3970</v>
      </c>
      <c r="F1051" s="45" t="s">
        <v>3970</v>
      </c>
      <c r="G1051" s="45" t="s">
        <v>3970</v>
      </c>
    </row>
    <row r="1052">
      <c r="A1052" s="45" t="s">
        <v>683</v>
      </c>
      <c r="B1052" s="45" t="s">
        <v>2669</v>
      </c>
      <c r="C1052" s="45">
        <v>108.0</v>
      </c>
      <c r="D1052" s="45">
        <v>21183.0</v>
      </c>
      <c r="E1052" s="45" t="s">
        <v>3970</v>
      </c>
      <c r="F1052" s="45" t="s">
        <v>3970</v>
      </c>
      <c r="G1052" s="45" t="s">
        <v>3970</v>
      </c>
    </row>
    <row r="1053">
      <c r="A1053" s="45" t="s">
        <v>862</v>
      </c>
      <c r="B1053" s="45" t="s">
        <v>2669</v>
      </c>
      <c r="C1053" s="45">
        <v>109.0</v>
      </c>
      <c r="D1053" s="45">
        <v>21185.0</v>
      </c>
      <c r="E1053" s="45" t="s">
        <v>3970</v>
      </c>
      <c r="F1053" s="45" t="s">
        <v>3970</v>
      </c>
      <c r="G1053" s="45" t="s">
        <v>3970</v>
      </c>
    </row>
    <row r="1054">
      <c r="A1054" s="45" t="s">
        <v>684</v>
      </c>
      <c r="B1054" s="45" t="s">
        <v>2669</v>
      </c>
      <c r="C1054" s="45">
        <v>109.0</v>
      </c>
      <c r="D1054" s="45">
        <v>21187.0</v>
      </c>
      <c r="E1054" s="45" t="s">
        <v>3970</v>
      </c>
      <c r="F1054" s="45" t="s">
        <v>3970</v>
      </c>
      <c r="G1054" s="45" t="s">
        <v>3970</v>
      </c>
    </row>
    <row r="1055">
      <c r="A1055" s="45" t="s">
        <v>863</v>
      </c>
      <c r="B1055" s="45" t="s">
        <v>2669</v>
      </c>
      <c r="C1055" s="45">
        <v>109.0</v>
      </c>
      <c r="D1055" s="45">
        <v>21189.0</v>
      </c>
      <c r="E1055" s="45" t="s">
        <v>3970</v>
      </c>
      <c r="F1055" s="45" t="s">
        <v>3970</v>
      </c>
      <c r="G1055" s="45" t="s">
        <v>3970</v>
      </c>
    </row>
    <row r="1056">
      <c r="A1056" s="45" t="s">
        <v>864</v>
      </c>
      <c r="B1056" s="45" t="s">
        <v>2669</v>
      </c>
      <c r="C1056" s="45">
        <v>109.0</v>
      </c>
      <c r="D1056" s="45">
        <v>21191.0</v>
      </c>
      <c r="E1056" s="45" t="s">
        <v>3970</v>
      </c>
      <c r="F1056" s="45" t="s">
        <v>3970</v>
      </c>
      <c r="G1056" s="45" t="s">
        <v>3970</v>
      </c>
    </row>
    <row r="1057">
      <c r="A1057" s="45" t="s">
        <v>155</v>
      </c>
      <c r="B1057" s="45" t="s">
        <v>2669</v>
      </c>
      <c r="C1057" s="45">
        <v>110.0</v>
      </c>
      <c r="D1057" s="45">
        <v>21193.0</v>
      </c>
      <c r="E1057" s="45" t="s">
        <v>3993</v>
      </c>
      <c r="F1057" s="45" t="s">
        <v>3970</v>
      </c>
      <c r="G1057" s="45" t="s">
        <v>3970</v>
      </c>
    </row>
    <row r="1058">
      <c r="A1058" s="45" t="s">
        <v>157</v>
      </c>
      <c r="B1058" s="45" t="s">
        <v>2669</v>
      </c>
      <c r="C1058" s="45">
        <v>110.0</v>
      </c>
      <c r="D1058" s="45">
        <v>21195.0</v>
      </c>
      <c r="E1058" s="45" t="s">
        <v>3993</v>
      </c>
      <c r="F1058" s="45" t="s">
        <v>3997</v>
      </c>
      <c r="G1058" s="45" t="s">
        <v>3970</v>
      </c>
    </row>
    <row r="1059">
      <c r="A1059" s="45" t="s">
        <v>865</v>
      </c>
      <c r="B1059" s="45" t="s">
        <v>2669</v>
      </c>
      <c r="C1059" s="45">
        <v>109.0</v>
      </c>
      <c r="D1059" s="45">
        <v>21197.0</v>
      </c>
      <c r="E1059" s="45" t="s">
        <v>3970</v>
      </c>
      <c r="F1059" s="45" t="s">
        <v>3970</v>
      </c>
      <c r="G1059" s="45" t="s">
        <v>3970</v>
      </c>
    </row>
    <row r="1060">
      <c r="A1060" s="45" t="s">
        <v>264</v>
      </c>
      <c r="B1060" s="45" t="s">
        <v>2669</v>
      </c>
      <c r="C1060" s="45">
        <v>93.0</v>
      </c>
      <c r="D1060" s="45">
        <v>21199.0</v>
      </c>
      <c r="E1060" s="45" t="s">
        <v>3970</v>
      </c>
      <c r="F1060" s="45" t="s">
        <v>3970</v>
      </c>
      <c r="G1060" s="45" t="s">
        <v>3970</v>
      </c>
    </row>
    <row r="1061">
      <c r="A1061" s="45" t="s">
        <v>866</v>
      </c>
      <c r="B1061" s="45" t="s">
        <v>2669</v>
      </c>
      <c r="C1061" s="45">
        <v>109.0</v>
      </c>
      <c r="D1061" s="45">
        <v>21201.0</v>
      </c>
      <c r="E1061" s="45" t="s">
        <v>3970</v>
      </c>
      <c r="F1061" s="45" t="s">
        <v>3970</v>
      </c>
      <c r="G1061" s="45" t="s">
        <v>3970</v>
      </c>
    </row>
    <row r="1062">
      <c r="A1062" s="45" t="s">
        <v>867</v>
      </c>
      <c r="B1062" s="45" t="s">
        <v>2669</v>
      </c>
      <c r="C1062" s="45">
        <v>109.0</v>
      </c>
      <c r="D1062" s="45">
        <v>21203.0</v>
      </c>
      <c r="E1062" s="45" t="s">
        <v>3970</v>
      </c>
      <c r="F1062" s="45" t="s">
        <v>3970</v>
      </c>
      <c r="G1062" s="45" t="s">
        <v>3970</v>
      </c>
    </row>
    <row r="1063">
      <c r="A1063" s="45" t="s">
        <v>868</v>
      </c>
      <c r="B1063" s="45" t="s">
        <v>2669</v>
      </c>
      <c r="C1063" s="45">
        <v>109.0</v>
      </c>
      <c r="D1063" s="45">
        <v>21205.0</v>
      </c>
      <c r="E1063" s="45" t="s">
        <v>3970</v>
      </c>
      <c r="F1063" s="45" t="s">
        <v>3970</v>
      </c>
      <c r="G1063" s="45" t="s">
        <v>3970</v>
      </c>
    </row>
    <row r="1064">
      <c r="A1064" s="45" t="s">
        <v>159</v>
      </c>
      <c r="B1064" s="45" t="s">
        <v>2669</v>
      </c>
      <c r="C1064" s="45">
        <v>93.0</v>
      </c>
      <c r="D1064" s="45">
        <v>21207.0</v>
      </c>
      <c r="E1064" s="45" t="s">
        <v>3970</v>
      </c>
      <c r="F1064" s="45" t="s">
        <v>3970</v>
      </c>
      <c r="G1064" s="45" t="s">
        <v>3970</v>
      </c>
    </row>
    <row r="1065">
      <c r="A1065" s="45" t="s">
        <v>267</v>
      </c>
      <c r="B1065" s="45" t="s">
        <v>2669</v>
      </c>
      <c r="C1065" s="45">
        <v>109.0</v>
      </c>
      <c r="D1065" s="45">
        <v>21209.0</v>
      </c>
      <c r="E1065" s="45" t="s">
        <v>3970</v>
      </c>
      <c r="F1065" s="45" t="s">
        <v>3970</v>
      </c>
      <c r="G1065" s="45" t="s">
        <v>3970</v>
      </c>
    </row>
    <row r="1066">
      <c r="A1066" s="45" t="s">
        <v>161</v>
      </c>
      <c r="B1066" s="45" t="s">
        <v>2669</v>
      </c>
      <c r="C1066" s="45">
        <v>109.0</v>
      </c>
      <c r="D1066" s="45">
        <v>21211.0</v>
      </c>
      <c r="E1066" s="45" t="s">
        <v>3970</v>
      </c>
      <c r="F1066" s="45" t="s">
        <v>3970</v>
      </c>
      <c r="G1066" s="45" t="s">
        <v>3970</v>
      </c>
    </row>
    <row r="1067">
      <c r="A1067" s="45" t="s">
        <v>869</v>
      </c>
      <c r="B1067" s="45" t="s">
        <v>2669</v>
      </c>
      <c r="C1067" s="45">
        <v>93.0</v>
      </c>
      <c r="D1067" s="45">
        <v>21213.0</v>
      </c>
      <c r="E1067" s="45" t="s">
        <v>3970</v>
      </c>
      <c r="F1067" s="45" t="s">
        <v>3970</v>
      </c>
      <c r="G1067" s="45" t="s">
        <v>3970</v>
      </c>
    </row>
    <row r="1068">
      <c r="A1068" s="45" t="s">
        <v>691</v>
      </c>
      <c r="B1068" s="45" t="s">
        <v>2669</v>
      </c>
      <c r="C1068" s="45">
        <v>109.0</v>
      </c>
      <c r="D1068" s="45">
        <v>21215.0</v>
      </c>
      <c r="E1068" s="45" t="s">
        <v>3970</v>
      </c>
      <c r="F1068" s="45" t="s">
        <v>3970</v>
      </c>
      <c r="G1068" s="45" t="s">
        <v>3970</v>
      </c>
    </row>
    <row r="1069">
      <c r="A1069" s="45" t="s">
        <v>456</v>
      </c>
      <c r="B1069" s="45" t="s">
        <v>2669</v>
      </c>
      <c r="C1069" s="45">
        <v>109.0</v>
      </c>
      <c r="D1069" s="45">
        <v>21217.0</v>
      </c>
      <c r="E1069" s="45" t="s">
        <v>3970</v>
      </c>
      <c r="F1069" s="45" t="s">
        <v>3970</v>
      </c>
      <c r="G1069" s="45" t="s">
        <v>3970</v>
      </c>
    </row>
    <row r="1070">
      <c r="A1070" s="45" t="s">
        <v>870</v>
      </c>
      <c r="B1070" s="45" t="s">
        <v>2669</v>
      </c>
      <c r="C1070" s="45">
        <v>93.0</v>
      </c>
      <c r="D1070" s="45">
        <v>21219.0</v>
      </c>
      <c r="E1070" s="45" t="s">
        <v>3970</v>
      </c>
      <c r="F1070" s="45" t="s">
        <v>3970</v>
      </c>
      <c r="G1070" s="45" t="s">
        <v>3970</v>
      </c>
    </row>
    <row r="1071">
      <c r="A1071" s="45" t="s">
        <v>871</v>
      </c>
      <c r="B1071" s="45" t="s">
        <v>2669</v>
      </c>
      <c r="C1071" s="45">
        <v>93.0</v>
      </c>
      <c r="D1071" s="45">
        <v>21221.0</v>
      </c>
      <c r="E1071" s="45" t="s">
        <v>3970</v>
      </c>
      <c r="F1071" s="45" t="s">
        <v>3970</v>
      </c>
      <c r="G1071" s="45" t="s">
        <v>3970</v>
      </c>
    </row>
    <row r="1072">
      <c r="A1072" s="45" t="s">
        <v>872</v>
      </c>
      <c r="B1072" s="45" t="s">
        <v>2669</v>
      </c>
      <c r="C1072" s="45">
        <v>109.0</v>
      </c>
      <c r="D1072" s="45">
        <v>21223.0</v>
      </c>
      <c r="E1072" s="45" t="s">
        <v>3970</v>
      </c>
      <c r="F1072" s="45" t="s">
        <v>3970</v>
      </c>
      <c r="G1072" s="45" t="s">
        <v>3970</v>
      </c>
    </row>
    <row r="1073">
      <c r="A1073" s="45" t="s">
        <v>273</v>
      </c>
      <c r="B1073" s="45" t="s">
        <v>2669</v>
      </c>
      <c r="C1073" s="45">
        <v>108.0</v>
      </c>
      <c r="D1073" s="45">
        <v>21225.0</v>
      </c>
      <c r="E1073" s="45" t="s">
        <v>3970</v>
      </c>
      <c r="F1073" s="45" t="s">
        <v>3970</v>
      </c>
      <c r="G1073" s="45" t="s">
        <v>3970</v>
      </c>
    </row>
    <row r="1074">
      <c r="A1074" s="45" t="s">
        <v>561</v>
      </c>
      <c r="B1074" s="45" t="s">
        <v>2669</v>
      </c>
      <c r="C1074" s="45">
        <v>93.0</v>
      </c>
      <c r="D1074" s="45">
        <v>21227.0</v>
      </c>
      <c r="E1074" s="45" t="s">
        <v>3970</v>
      </c>
      <c r="F1074" s="45" t="s">
        <v>3970</v>
      </c>
      <c r="G1074" s="45" t="s">
        <v>3970</v>
      </c>
    </row>
    <row r="1075">
      <c r="A1075" s="45" t="s">
        <v>167</v>
      </c>
      <c r="B1075" s="45" t="s">
        <v>2669</v>
      </c>
      <c r="C1075" s="45">
        <v>109.0</v>
      </c>
      <c r="D1075" s="45">
        <v>21229.0</v>
      </c>
      <c r="E1075" s="45" t="s">
        <v>3970</v>
      </c>
      <c r="F1075" s="45" t="s">
        <v>3970</v>
      </c>
      <c r="G1075" s="45" t="s">
        <v>3970</v>
      </c>
    </row>
    <row r="1076">
      <c r="A1076" s="45" t="s">
        <v>562</v>
      </c>
      <c r="B1076" s="45" t="s">
        <v>2669</v>
      </c>
      <c r="C1076" s="45">
        <v>93.0</v>
      </c>
      <c r="D1076" s="45">
        <v>21231.0</v>
      </c>
      <c r="E1076" s="45" t="s">
        <v>3970</v>
      </c>
      <c r="F1076" s="45" t="s">
        <v>3970</v>
      </c>
      <c r="G1076" s="45" t="s">
        <v>3970</v>
      </c>
    </row>
    <row r="1077">
      <c r="A1077" s="45" t="s">
        <v>563</v>
      </c>
      <c r="B1077" s="45" t="s">
        <v>2669</v>
      </c>
      <c r="C1077" s="45">
        <v>108.0</v>
      </c>
      <c r="D1077" s="45">
        <v>21233.0</v>
      </c>
      <c r="E1077" s="45" t="s">
        <v>3970</v>
      </c>
      <c r="F1077" s="45" t="s">
        <v>3970</v>
      </c>
      <c r="G1077" s="45" t="s">
        <v>3970</v>
      </c>
    </row>
    <row r="1078">
      <c r="A1078" s="45" t="s">
        <v>703</v>
      </c>
      <c r="B1078" s="45" t="s">
        <v>2669</v>
      </c>
      <c r="C1078" s="45">
        <v>109.0</v>
      </c>
      <c r="D1078" s="45">
        <v>21235.0</v>
      </c>
      <c r="E1078" s="45" t="s">
        <v>3970</v>
      </c>
      <c r="F1078" s="45" t="s">
        <v>3970</v>
      </c>
      <c r="G1078" s="45" t="s">
        <v>3970</v>
      </c>
    </row>
    <row r="1079">
      <c r="A1079" s="45" t="s">
        <v>873</v>
      </c>
      <c r="B1079" s="45" t="s">
        <v>2669</v>
      </c>
      <c r="C1079" s="45">
        <v>109.0</v>
      </c>
      <c r="D1079" s="45">
        <v>21237.0</v>
      </c>
      <c r="E1079" s="45" t="s">
        <v>3970</v>
      </c>
      <c r="F1079" s="45" t="s">
        <v>3970</v>
      </c>
      <c r="G1079" s="45" t="s">
        <v>3970</v>
      </c>
    </row>
    <row r="1080">
      <c r="A1080" s="45" t="s">
        <v>662</v>
      </c>
      <c r="B1080" s="45" t="s">
        <v>2669</v>
      </c>
      <c r="C1080" s="45">
        <v>109.0</v>
      </c>
      <c r="D1080" s="45">
        <v>21239.0</v>
      </c>
      <c r="E1080" s="45" t="s">
        <v>3970</v>
      </c>
      <c r="F1080" s="45" t="s">
        <v>3970</v>
      </c>
      <c r="G1080" s="45" t="s">
        <v>3970</v>
      </c>
    </row>
    <row r="1081">
      <c r="A1081" s="45" t="s">
        <v>874</v>
      </c>
      <c r="B1081" s="45" t="s">
        <v>2725</v>
      </c>
      <c r="C1081" s="45">
        <v>58.0</v>
      </c>
      <c r="D1081" s="45">
        <v>22001.0</v>
      </c>
      <c r="E1081" s="45" t="s">
        <v>3977</v>
      </c>
      <c r="F1081" s="45" t="s">
        <v>3974</v>
      </c>
      <c r="G1081" s="45" t="s">
        <v>3970</v>
      </c>
    </row>
    <row r="1082">
      <c r="A1082" s="45" t="s">
        <v>664</v>
      </c>
      <c r="B1082" s="45" t="s">
        <v>2725</v>
      </c>
      <c r="C1082" s="45">
        <v>58.0</v>
      </c>
      <c r="D1082" s="45">
        <v>22003.0</v>
      </c>
      <c r="E1082" s="45" t="s">
        <v>3977</v>
      </c>
      <c r="F1082" s="45" t="s">
        <v>3976</v>
      </c>
      <c r="G1082" s="45" t="s">
        <v>3970</v>
      </c>
    </row>
    <row r="1083">
      <c r="A1083" s="45" t="s">
        <v>876</v>
      </c>
      <c r="B1083" s="45" t="s">
        <v>2725</v>
      </c>
      <c r="C1083" s="45">
        <v>58.0</v>
      </c>
      <c r="D1083" s="45">
        <v>22005.0</v>
      </c>
      <c r="E1083" s="45" t="s">
        <v>3973</v>
      </c>
      <c r="F1083" s="45" t="s">
        <v>3974</v>
      </c>
      <c r="G1083" s="45" t="s">
        <v>3970</v>
      </c>
    </row>
    <row r="1084">
      <c r="A1084" s="45" t="s">
        <v>877</v>
      </c>
      <c r="B1084" s="45" t="s">
        <v>2725</v>
      </c>
      <c r="C1084" s="45">
        <v>58.0</v>
      </c>
      <c r="D1084" s="45">
        <v>22007.0</v>
      </c>
      <c r="E1084" s="45" t="s">
        <v>3973</v>
      </c>
      <c r="F1084" s="45" t="s">
        <v>3974</v>
      </c>
      <c r="G1084" s="45" t="s">
        <v>3970</v>
      </c>
    </row>
    <row r="1085">
      <c r="A1085" s="45" t="s">
        <v>878</v>
      </c>
      <c r="B1085" s="45" t="s">
        <v>2725</v>
      </c>
      <c r="C1085" s="45">
        <v>58.0</v>
      </c>
      <c r="D1085" s="45">
        <v>22009.0</v>
      </c>
      <c r="E1085" s="45" t="s">
        <v>3977</v>
      </c>
      <c r="F1085" s="45" t="s">
        <v>3976</v>
      </c>
      <c r="G1085" s="45" t="s">
        <v>3970</v>
      </c>
    </row>
    <row r="1086">
      <c r="A1086" s="45" t="s">
        <v>879</v>
      </c>
      <c r="B1086" s="45" t="s">
        <v>2725</v>
      </c>
      <c r="C1086" s="45">
        <v>58.0</v>
      </c>
      <c r="D1086" s="45">
        <v>22011.0</v>
      </c>
      <c r="E1086" s="45" t="s">
        <v>4002</v>
      </c>
      <c r="F1086" s="45" t="s">
        <v>3976</v>
      </c>
      <c r="G1086" s="45" t="s">
        <v>3970</v>
      </c>
    </row>
    <row r="1087">
      <c r="A1087" s="45" t="s">
        <v>880</v>
      </c>
      <c r="B1087" s="45" t="s">
        <v>2725</v>
      </c>
      <c r="C1087" s="45">
        <v>58.0</v>
      </c>
      <c r="D1087" s="45">
        <v>22013.0</v>
      </c>
      <c r="E1087" s="45" t="s">
        <v>3977</v>
      </c>
      <c r="F1087" s="45" t="s">
        <v>3976</v>
      </c>
      <c r="G1087" s="45" t="s">
        <v>3970</v>
      </c>
    </row>
    <row r="1088">
      <c r="A1088" s="45" t="s">
        <v>881</v>
      </c>
      <c r="B1088" s="45" t="s">
        <v>2725</v>
      </c>
      <c r="C1088" s="45">
        <v>58.0</v>
      </c>
      <c r="D1088" s="45">
        <v>22015.0</v>
      </c>
      <c r="E1088" s="45" t="s">
        <v>3977</v>
      </c>
      <c r="F1088" s="45" t="s">
        <v>3976</v>
      </c>
      <c r="G1088" s="45" t="s">
        <v>3970</v>
      </c>
    </row>
    <row r="1089">
      <c r="A1089" s="45" t="s">
        <v>882</v>
      </c>
      <c r="B1089" s="45" t="s">
        <v>2725</v>
      </c>
      <c r="C1089" s="45">
        <v>58.0</v>
      </c>
      <c r="D1089" s="45">
        <v>22017.0</v>
      </c>
      <c r="E1089" s="45" t="s">
        <v>3977</v>
      </c>
      <c r="F1089" s="45" t="s">
        <v>3976</v>
      </c>
      <c r="G1089" s="45" t="s">
        <v>3970</v>
      </c>
    </row>
    <row r="1090">
      <c r="A1090" s="45" t="s">
        <v>883</v>
      </c>
      <c r="B1090" s="45" t="s">
        <v>2725</v>
      </c>
      <c r="C1090" s="45">
        <v>58.0</v>
      </c>
      <c r="D1090" s="45">
        <v>22019.0</v>
      </c>
      <c r="E1090" s="45" t="s">
        <v>3973</v>
      </c>
      <c r="F1090" s="45" t="s">
        <v>3974</v>
      </c>
      <c r="G1090" s="45" t="s">
        <v>3970</v>
      </c>
    </row>
    <row r="1091">
      <c r="A1091" s="45" t="s">
        <v>829</v>
      </c>
      <c r="B1091" s="45" t="s">
        <v>2725</v>
      </c>
      <c r="C1091" s="45">
        <v>58.0</v>
      </c>
      <c r="D1091" s="45">
        <v>22021.0</v>
      </c>
      <c r="E1091" s="45" t="s">
        <v>3973</v>
      </c>
      <c r="F1091" s="45" t="s">
        <v>3974</v>
      </c>
      <c r="G1091" s="45" t="s">
        <v>3970</v>
      </c>
    </row>
    <row r="1092">
      <c r="A1092" s="45" t="s">
        <v>884</v>
      </c>
      <c r="B1092" s="45" t="s">
        <v>2725</v>
      </c>
      <c r="C1092" s="45">
        <v>58.0</v>
      </c>
      <c r="D1092" s="45">
        <v>22023.0</v>
      </c>
      <c r="E1092" s="45" t="s">
        <v>3973</v>
      </c>
      <c r="F1092" s="45" t="s">
        <v>3974</v>
      </c>
      <c r="G1092" s="45" t="s">
        <v>3970</v>
      </c>
    </row>
    <row r="1093">
      <c r="A1093" s="45" t="s">
        <v>885</v>
      </c>
      <c r="B1093" s="45" t="s">
        <v>2725</v>
      </c>
      <c r="C1093" s="45">
        <v>58.0</v>
      </c>
      <c r="D1093" s="45">
        <v>22025.0</v>
      </c>
      <c r="E1093" s="45" t="s">
        <v>3973</v>
      </c>
      <c r="F1093" s="45" t="s">
        <v>3974</v>
      </c>
      <c r="G1093" s="45" t="s">
        <v>3970</v>
      </c>
    </row>
    <row r="1094">
      <c r="A1094" s="45" t="s">
        <v>886</v>
      </c>
      <c r="B1094" s="45" t="s">
        <v>2725</v>
      </c>
      <c r="C1094" s="45">
        <v>86.0</v>
      </c>
      <c r="D1094" s="45">
        <v>22027.0</v>
      </c>
      <c r="E1094" s="45" t="s">
        <v>3973</v>
      </c>
      <c r="F1094" s="45" t="s">
        <v>3974</v>
      </c>
      <c r="G1094" s="45" t="s">
        <v>3970</v>
      </c>
    </row>
    <row r="1095">
      <c r="A1095" s="45" t="s">
        <v>887</v>
      </c>
      <c r="B1095" s="45" t="s">
        <v>2725</v>
      </c>
      <c r="C1095" s="45">
        <v>58.0</v>
      </c>
      <c r="D1095" s="45">
        <v>22029.0</v>
      </c>
      <c r="E1095" s="45" t="s">
        <v>3973</v>
      </c>
      <c r="F1095" s="45" t="s">
        <v>3974</v>
      </c>
      <c r="G1095" s="45" t="s">
        <v>3970</v>
      </c>
    </row>
    <row r="1096">
      <c r="A1096" s="45" t="s">
        <v>888</v>
      </c>
      <c r="B1096" s="45" t="s">
        <v>2725</v>
      </c>
      <c r="C1096" s="45">
        <v>58.0</v>
      </c>
      <c r="D1096" s="45">
        <v>22031.0</v>
      </c>
      <c r="E1096" s="45" t="s">
        <v>3977</v>
      </c>
      <c r="F1096" s="45" t="s">
        <v>3976</v>
      </c>
      <c r="G1096" s="45" t="s">
        <v>3970</v>
      </c>
    </row>
    <row r="1097">
      <c r="A1097" s="45" t="s">
        <v>889</v>
      </c>
      <c r="B1097" s="45" t="s">
        <v>2725</v>
      </c>
      <c r="C1097" s="45">
        <v>58.0</v>
      </c>
      <c r="D1097" s="45">
        <v>22033.0</v>
      </c>
      <c r="E1097" s="45" t="s">
        <v>3973</v>
      </c>
      <c r="F1097" s="45" t="s">
        <v>3974</v>
      </c>
      <c r="G1097" s="45" t="s">
        <v>3970</v>
      </c>
    </row>
    <row r="1098">
      <c r="A1098" s="45" t="s">
        <v>890</v>
      </c>
      <c r="B1098" s="45" t="s">
        <v>2725</v>
      </c>
      <c r="C1098" s="45">
        <v>86.0</v>
      </c>
      <c r="D1098" s="45">
        <v>22035.0</v>
      </c>
      <c r="E1098" s="45" t="s">
        <v>3973</v>
      </c>
      <c r="F1098" s="45" t="s">
        <v>3974</v>
      </c>
      <c r="G1098" s="45" t="s">
        <v>3970</v>
      </c>
    </row>
    <row r="1099">
      <c r="A1099" s="45" t="s">
        <v>891</v>
      </c>
      <c r="B1099" s="45" t="s">
        <v>2725</v>
      </c>
      <c r="C1099" s="45">
        <v>58.0</v>
      </c>
      <c r="D1099" s="45">
        <v>22037.0</v>
      </c>
      <c r="E1099" s="45" t="s">
        <v>3973</v>
      </c>
      <c r="F1099" s="45" t="s">
        <v>3974</v>
      </c>
      <c r="G1099" s="45" t="s">
        <v>3970</v>
      </c>
    </row>
    <row r="1100">
      <c r="A1100" s="45" t="s">
        <v>892</v>
      </c>
      <c r="B1100" s="45" t="s">
        <v>2725</v>
      </c>
      <c r="C1100" s="45">
        <v>58.0</v>
      </c>
      <c r="D1100" s="45">
        <v>22039.0</v>
      </c>
      <c r="E1100" s="45" t="s">
        <v>3977</v>
      </c>
      <c r="F1100" s="45" t="s">
        <v>3976</v>
      </c>
      <c r="G1100" s="45" t="s">
        <v>3970</v>
      </c>
    </row>
    <row r="1101">
      <c r="A1101" s="45" t="s">
        <v>132</v>
      </c>
      <c r="B1101" s="45" t="s">
        <v>2725</v>
      </c>
      <c r="C1101" s="45">
        <v>86.0</v>
      </c>
      <c r="D1101" s="45">
        <v>22041.0</v>
      </c>
      <c r="E1101" s="45" t="s">
        <v>3973</v>
      </c>
      <c r="F1101" s="45" t="s">
        <v>3974</v>
      </c>
      <c r="G1101" s="45" t="s">
        <v>3970</v>
      </c>
    </row>
    <row r="1102">
      <c r="A1102" s="45" t="s">
        <v>242</v>
      </c>
      <c r="B1102" s="45" t="s">
        <v>2725</v>
      </c>
      <c r="C1102" s="45">
        <v>58.0</v>
      </c>
      <c r="D1102" s="45">
        <v>22043.0</v>
      </c>
      <c r="E1102" s="45" t="s">
        <v>3977</v>
      </c>
      <c r="F1102" s="45" t="s">
        <v>3976</v>
      </c>
      <c r="G1102" s="45" t="s">
        <v>3970</v>
      </c>
    </row>
    <row r="1103">
      <c r="A1103" s="45" t="s">
        <v>893</v>
      </c>
      <c r="B1103" s="45" t="s">
        <v>2725</v>
      </c>
      <c r="C1103" s="45">
        <v>58.0</v>
      </c>
      <c r="D1103" s="45">
        <v>22045.0</v>
      </c>
      <c r="E1103" s="45" t="s">
        <v>3973</v>
      </c>
      <c r="F1103" s="45" t="s">
        <v>3974</v>
      </c>
      <c r="G1103" s="45" t="s">
        <v>3970</v>
      </c>
    </row>
    <row r="1104">
      <c r="A1104" s="45" t="s">
        <v>894</v>
      </c>
      <c r="B1104" s="45" t="s">
        <v>2725</v>
      </c>
      <c r="C1104" s="45">
        <v>58.0</v>
      </c>
      <c r="D1104" s="45">
        <v>22047.0</v>
      </c>
      <c r="E1104" s="45" t="s">
        <v>3973</v>
      </c>
      <c r="F1104" s="45" t="s">
        <v>3974</v>
      </c>
      <c r="G1104" s="45" t="s">
        <v>3970</v>
      </c>
    </row>
    <row r="1105">
      <c r="A1105" s="45" t="s">
        <v>138</v>
      </c>
      <c r="B1105" s="45" t="s">
        <v>2725</v>
      </c>
      <c r="C1105" s="45">
        <v>58.0</v>
      </c>
      <c r="D1105" s="45">
        <v>22049.0</v>
      </c>
      <c r="E1105" s="45" t="s">
        <v>3973</v>
      </c>
      <c r="F1105" s="45" t="s">
        <v>3976</v>
      </c>
      <c r="G1105" s="45" t="s">
        <v>3970</v>
      </c>
    </row>
    <row r="1106">
      <c r="A1106" s="45" t="s">
        <v>139</v>
      </c>
      <c r="B1106" s="45" t="s">
        <v>2725</v>
      </c>
      <c r="C1106" s="45">
        <v>58.0</v>
      </c>
      <c r="D1106" s="45">
        <v>22051.0</v>
      </c>
      <c r="E1106" s="45" t="s">
        <v>3973</v>
      </c>
      <c r="F1106" s="45" t="s">
        <v>3974</v>
      </c>
      <c r="G1106" s="45" t="s">
        <v>3970</v>
      </c>
    </row>
    <row r="1107">
      <c r="A1107" s="45" t="s">
        <v>895</v>
      </c>
      <c r="B1107" s="45" t="s">
        <v>2725</v>
      </c>
      <c r="C1107" s="45">
        <v>58.0</v>
      </c>
      <c r="D1107" s="45">
        <v>22053.0</v>
      </c>
      <c r="E1107" s="45" t="s">
        <v>3973</v>
      </c>
      <c r="F1107" s="45" t="s">
        <v>3974</v>
      </c>
      <c r="G1107" s="45" t="s">
        <v>3970</v>
      </c>
    </row>
    <row r="1108">
      <c r="A1108" s="45" t="s">
        <v>249</v>
      </c>
      <c r="B1108" s="45" t="s">
        <v>2725</v>
      </c>
      <c r="C1108" s="45">
        <v>58.0</v>
      </c>
      <c r="D1108" s="45">
        <v>22055.0</v>
      </c>
      <c r="E1108" s="45" t="s">
        <v>3977</v>
      </c>
      <c r="F1108" s="45" t="s">
        <v>3974</v>
      </c>
      <c r="G1108" s="45" t="s">
        <v>3970</v>
      </c>
    </row>
    <row r="1109">
      <c r="A1109" s="45" t="s">
        <v>896</v>
      </c>
      <c r="B1109" s="45" t="s">
        <v>2725</v>
      </c>
      <c r="C1109" s="45">
        <v>58.0</v>
      </c>
      <c r="D1109" s="45">
        <v>22057.0</v>
      </c>
      <c r="E1109" s="45" t="s">
        <v>3973</v>
      </c>
      <c r="F1109" s="45" t="s">
        <v>3974</v>
      </c>
      <c r="G1109" s="45" t="s">
        <v>3970</v>
      </c>
    </row>
    <row r="1110">
      <c r="A1110" s="45" t="s">
        <v>635</v>
      </c>
      <c r="B1110" s="45" t="s">
        <v>2725</v>
      </c>
      <c r="C1110" s="45">
        <v>58.0</v>
      </c>
      <c r="D1110" s="45">
        <v>22059.0</v>
      </c>
      <c r="E1110" s="45" t="s">
        <v>3977</v>
      </c>
      <c r="F1110" s="45" t="s">
        <v>3976</v>
      </c>
      <c r="G1110" s="45" t="s">
        <v>3970</v>
      </c>
    </row>
    <row r="1111">
      <c r="A1111" s="45" t="s">
        <v>250</v>
      </c>
      <c r="B1111" s="45" t="s">
        <v>2725</v>
      </c>
      <c r="C1111" s="45">
        <v>86.0</v>
      </c>
      <c r="D1111" s="45">
        <v>22061.0</v>
      </c>
      <c r="E1111" s="45" t="s">
        <v>3973</v>
      </c>
      <c r="F1111" s="45" t="s">
        <v>3974</v>
      </c>
      <c r="G1111" s="45" t="s">
        <v>3970</v>
      </c>
    </row>
    <row r="1112">
      <c r="A1112" s="45" t="s">
        <v>636</v>
      </c>
      <c r="B1112" s="45" t="s">
        <v>2725</v>
      </c>
      <c r="C1112" s="45">
        <v>58.0</v>
      </c>
      <c r="D1112" s="45">
        <v>22063.0</v>
      </c>
      <c r="E1112" s="45" t="s">
        <v>3973</v>
      </c>
      <c r="F1112" s="45" t="s">
        <v>3974</v>
      </c>
      <c r="G1112" s="45" t="s">
        <v>3970</v>
      </c>
    </row>
    <row r="1113">
      <c r="A1113" s="45" t="s">
        <v>147</v>
      </c>
      <c r="B1113" s="45" t="s">
        <v>2725</v>
      </c>
      <c r="C1113" s="45">
        <v>86.0</v>
      </c>
      <c r="D1113" s="45">
        <v>22065.0</v>
      </c>
      <c r="E1113" s="45" t="s">
        <v>3973</v>
      </c>
      <c r="F1113" s="45" t="s">
        <v>3974</v>
      </c>
      <c r="G1113" s="45" t="s">
        <v>3970</v>
      </c>
    </row>
    <row r="1114">
      <c r="A1114" s="45" t="s">
        <v>897</v>
      </c>
      <c r="B1114" s="45" t="s">
        <v>2725</v>
      </c>
      <c r="C1114" s="45">
        <v>86.0</v>
      </c>
      <c r="D1114" s="45">
        <v>22067.0</v>
      </c>
      <c r="E1114" s="45" t="s">
        <v>3973</v>
      </c>
      <c r="F1114" s="45" t="s">
        <v>3974</v>
      </c>
      <c r="G1114" s="45" t="s">
        <v>3970</v>
      </c>
    </row>
    <row r="1115">
      <c r="A1115" s="45" t="s">
        <v>898</v>
      </c>
      <c r="B1115" s="45" t="s">
        <v>2725</v>
      </c>
      <c r="C1115" s="45">
        <v>58.0</v>
      </c>
      <c r="D1115" s="45">
        <v>22069.0</v>
      </c>
      <c r="E1115" s="45" t="s">
        <v>3977</v>
      </c>
      <c r="F1115" s="45" t="s">
        <v>3976</v>
      </c>
      <c r="G1115" s="45" t="s">
        <v>3970</v>
      </c>
    </row>
    <row r="1116">
      <c r="A1116" s="45" t="s">
        <v>899</v>
      </c>
      <c r="B1116" s="45" t="s">
        <v>2725</v>
      </c>
      <c r="C1116" s="45">
        <v>58.0</v>
      </c>
      <c r="D1116" s="45">
        <v>22071.0</v>
      </c>
      <c r="E1116" s="45" t="s">
        <v>3973</v>
      </c>
      <c r="F1116" s="45" t="s">
        <v>3974</v>
      </c>
      <c r="G1116" s="45" t="s">
        <v>3970</v>
      </c>
    </row>
    <row r="1117">
      <c r="A1117" s="45" t="s">
        <v>258</v>
      </c>
      <c r="B1117" s="45" t="s">
        <v>2725</v>
      </c>
      <c r="C1117" s="45">
        <v>86.0</v>
      </c>
      <c r="D1117" s="45">
        <v>22073.0</v>
      </c>
      <c r="E1117" s="45" t="s">
        <v>3973</v>
      </c>
      <c r="F1117" s="45" t="s">
        <v>3974</v>
      </c>
      <c r="G1117" s="45" t="s">
        <v>3970</v>
      </c>
    </row>
    <row r="1118">
      <c r="A1118" s="45" t="s">
        <v>900</v>
      </c>
      <c r="B1118" s="45" t="s">
        <v>2725</v>
      </c>
      <c r="C1118" s="45">
        <v>58.0</v>
      </c>
      <c r="D1118" s="45">
        <v>22075.0</v>
      </c>
      <c r="E1118" s="45" t="s">
        <v>3973</v>
      </c>
      <c r="F1118" s="45" t="s">
        <v>3974</v>
      </c>
      <c r="G1118" s="45" t="s">
        <v>3970</v>
      </c>
    </row>
    <row r="1119">
      <c r="A1119" s="45" t="s">
        <v>901</v>
      </c>
      <c r="B1119" s="45" t="s">
        <v>2725</v>
      </c>
      <c r="C1119" s="45">
        <v>58.0</v>
      </c>
      <c r="D1119" s="45">
        <v>22077.0</v>
      </c>
      <c r="E1119" s="45" t="s">
        <v>3973</v>
      </c>
      <c r="F1119" s="45" t="s">
        <v>3974</v>
      </c>
      <c r="G1119" s="45" t="s">
        <v>3970</v>
      </c>
    </row>
    <row r="1120">
      <c r="A1120" s="45" t="s">
        <v>902</v>
      </c>
      <c r="B1120" s="45" t="s">
        <v>2725</v>
      </c>
      <c r="C1120" s="45">
        <v>58.0</v>
      </c>
      <c r="D1120" s="45">
        <v>22079.0</v>
      </c>
      <c r="E1120" s="45" t="s">
        <v>3977</v>
      </c>
      <c r="F1120" s="45" t="s">
        <v>3976</v>
      </c>
      <c r="G1120" s="45" t="s">
        <v>3970</v>
      </c>
    </row>
    <row r="1121">
      <c r="A1121" s="45" t="s">
        <v>903</v>
      </c>
      <c r="B1121" s="45" t="s">
        <v>2725</v>
      </c>
      <c r="C1121" s="45">
        <v>58.0</v>
      </c>
      <c r="D1121" s="45">
        <v>22081.0</v>
      </c>
      <c r="E1121" s="45" t="s">
        <v>3977</v>
      </c>
      <c r="F1121" s="45" t="s">
        <v>3976</v>
      </c>
      <c r="G1121" s="45" t="s">
        <v>3970</v>
      </c>
    </row>
    <row r="1122">
      <c r="A1122" s="45" t="s">
        <v>649</v>
      </c>
      <c r="B1122" s="45" t="s">
        <v>2725</v>
      </c>
      <c r="C1122" s="45">
        <v>86.0</v>
      </c>
      <c r="D1122" s="45">
        <v>22083.0</v>
      </c>
      <c r="E1122" s="45" t="s">
        <v>3973</v>
      </c>
      <c r="F1122" s="45" t="s">
        <v>3974</v>
      </c>
      <c r="G1122" s="45" t="s">
        <v>3970</v>
      </c>
    </row>
    <row r="1123">
      <c r="A1123" s="45" t="s">
        <v>904</v>
      </c>
      <c r="B1123" s="45" t="s">
        <v>2725</v>
      </c>
      <c r="C1123" s="45">
        <v>58.0</v>
      </c>
      <c r="D1123" s="45">
        <v>22085.0</v>
      </c>
      <c r="E1123" s="45" t="s">
        <v>3977</v>
      </c>
      <c r="F1123" s="45" t="s">
        <v>3976</v>
      </c>
      <c r="G1123" s="45" t="s">
        <v>3970</v>
      </c>
    </row>
    <row r="1124">
      <c r="A1124" s="45" t="s">
        <v>905</v>
      </c>
      <c r="B1124" s="45" t="s">
        <v>2725</v>
      </c>
      <c r="C1124" s="45">
        <v>58.0</v>
      </c>
      <c r="D1124" s="45">
        <v>22087.0</v>
      </c>
      <c r="E1124" s="45" t="s">
        <v>3973</v>
      </c>
      <c r="F1124" s="45" t="s">
        <v>3974</v>
      </c>
      <c r="G1124" s="45" t="s">
        <v>3970</v>
      </c>
    </row>
    <row r="1125">
      <c r="A1125" s="45" t="s">
        <v>906</v>
      </c>
      <c r="B1125" s="45" t="s">
        <v>2725</v>
      </c>
      <c r="C1125" s="45">
        <v>58.0</v>
      </c>
      <c r="D1125" s="45">
        <v>22089.0</v>
      </c>
      <c r="E1125" s="45" t="s">
        <v>3973</v>
      </c>
      <c r="F1125" s="45" t="s">
        <v>3974</v>
      </c>
      <c r="G1125" s="45" t="s">
        <v>3970</v>
      </c>
    </row>
    <row r="1126">
      <c r="A1126" s="45" t="s">
        <v>907</v>
      </c>
      <c r="B1126" s="45" t="s">
        <v>2725</v>
      </c>
      <c r="C1126" s="45">
        <v>58.0</v>
      </c>
      <c r="D1126" s="45">
        <v>22091.0</v>
      </c>
      <c r="E1126" s="45" t="s">
        <v>3973</v>
      </c>
      <c r="F1126" s="45" t="s">
        <v>3974</v>
      </c>
      <c r="G1126" s="45" t="s">
        <v>3970</v>
      </c>
    </row>
    <row r="1127">
      <c r="A1127" s="45" t="s">
        <v>908</v>
      </c>
      <c r="B1127" s="45" t="s">
        <v>2725</v>
      </c>
      <c r="C1127" s="45">
        <v>58.0</v>
      </c>
      <c r="D1127" s="45">
        <v>22093.0</v>
      </c>
      <c r="E1127" s="45" t="s">
        <v>3973</v>
      </c>
      <c r="F1127" s="45" t="s">
        <v>3974</v>
      </c>
      <c r="G1127" s="45" t="s">
        <v>3970</v>
      </c>
    </row>
    <row r="1128">
      <c r="A1128" s="45" t="s">
        <v>909</v>
      </c>
      <c r="B1128" s="45" t="s">
        <v>2725</v>
      </c>
      <c r="C1128" s="45">
        <v>58.0</v>
      </c>
      <c r="D1128" s="45">
        <v>22095.0</v>
      </c>
      <c r="E1128" s="45" t="s">
        <v>3973</v>
      </c>
      <c r="F1128" s="45" t="s">
        <v>3974</v>
      </c>
      <c r="G1128" s="45" t="s">
        <v>3970</v>
      </c>
    </row>
    <row r="1129">
      <c r="A1129" s="45" t="s">
        <v>910</v>
      </c>
      <c r="B1129" s="45" t="s">
        <v>2725</v>
      </c>
      <c r="C1129" s="45">
        <v>58.0</v>
      </c>
      <c r="D1129" s="45">
        <v>22097.0</v>
      </c>
      <c r="E1129" s="45" t="s">
        <v>3977</v>
      </c>
      <c r="F1129" s="45" t="s">
        <v>3974</v>
      </c>
      <c r="G1129" s="45" t="s">
        <v>3970</v>
      </c>
    </row>
    <row r="1130">
      <c r="A1130" s="45" t="s">
        <v>911</v>
      </c>
      <c r="B1130" s="45" t="s">
        <v>2725</v>
      </c>
      <c r="C1130" s="45">
        <v>58.0</v>
      </c>
      <c r="D1130" s="45">
        <v>22099.0</v>
      </c>
      <c r="E1130" s="45" t="s">
        <v>3973</v>
      </c>
      <c r="F1130" s="45" t="s">
        <v>3974</v>
      </c>
      <c r="G1130" s="45" t="s">
        <v>3970</v>
      </c>
    </row>
    <row r="1131">
      <c r="A1131" s="45" t="s">
        <v>912</v>
      </c>
      <c r="B1131" s="45" t="s">
        <v>2725</v>
      </c>
      <c r="C1131" s="45">
        <v>58.0</v>
      </c>
      <c r="D1131" s="45">
        <v>22101.0</v>
      </c>
      <c r="E1131" s="45" t="s">
        <v>3973</v>
      </c>
      <c r="F1131" s="45" t="s">
        <v>3974</v>
      </c>
      <c r="G1131" s="45" t="s">
        <v>3970</v>
      </c>
    </row>
    <row r="1132">
      <c r="A1132" s="45" t="s">
        <v>913</v>
      </c>
      <c r="B1132" s="45" t="s">
        <v>2725</v>
      </c>
      <c r="C1132" s="45">
        <v>58.0</v>
      </c>
      <c r="D1132" s="45">
        <v>22103.0</v>
      </c>
      <c r="E1132" s="45" t="s">
        <v>3973</v>
      </c>
      <c r="F1132" s="45" t="s">
        <v>3974</v>
      </c>
      <c r="G1132" s="45" t="s">
        <v>3970</v>
      </c>
    </row>
    <row r="1133">
      <c r="A1133" s="45" t="s">
        <v>914</v>
      </c>
      <c r="B1133" s="45" t="s">
        <v>2725</v>
      </c>
      <c r="C1133" s="45">
        <v>58.0</v>
      </c>
      <c r="D1133" s="45">
        <v>22105.0</v>
      </c>
      <c r="E1133" s="45" t="s">
        <v>3973</v>
      </c>
      <c r="F1133" s="45" t="s">
        <v>3974</v>
      </c>
      <c r="G1133" s="45" t="s">
        <v>3970</v>
      </c>
    </row>
    <row r="1134">
      <c r="A1134" s="45" t="s">
        <v>915</v>
      </c>
      <c r="B1134" s="45" t="s">
        <v>2725</v>
      </c>
      <c r="C1134" s="45">
        <v>86.0</v>
      </c>
      <c r="D1134" s="45">
        <v>22107.0</v>
      </c>
      <c r="E1134" s="45" t="s">
        <v>3973</v>
      </c>
      <c r="F1134" s="45" t="s">
        <v>3974</v>
      </c>
      <c r="G1134" s="45" t="s">
        <v>3970</v>
      </c>
    </row>
    <row r="1135">
      <c r="A1135" s="45" t="s">
        <v>916</v>
      </c>
      <c r="B1135" s="45" t="s">
        <v>2725</v>
      </c>
      <c r="C1135" s="45">
        <v>58.0</v>
      </c>
      <c r="D1135" s="45">
        <v>22109.0</v>
      </c>
      <c r="E1135" s="45" t="s">
        <v>3973</v>
      </c>
      <c r="F1135" s="45" t="s">
        <v>3974</v>
      </c>
      <c r="G1135" s="45" t="s">
        <v>3974</v>
      </c>
    </row>
    <row r="1136">
      <c r="A1136" s="45" t="s">
        <v>273</v>
      </c>
      <c r="B1136" s="45" t="s">
        <v>2725</v>
      </c>
      <c r="C1136" s="45">
        <v>86.0</v>
      </c>
      <c r="D1136" s="45">
        <v>22111.0</v>
      </c>
      <c r="E1136" s="45" t="s">
        <v>3973</v>
      </c>
      <c r="F1136" s="45" t="s">
        <v>3974</v>
      </c>
      <c r="G1136" s="45" t="s">
        <v>3974</v>
      </c>
    </row>
    <row r="1137">
      <c r="A1137" s="45" t="s">
        <v>656</v>
      </c>
      <c r="B1137" s="45" t="s">
        <v>2725</v>
      </c>
      <c r="C1137" s="45">
        <v>58.0</v>
      </c>
      <c r="D1137" s="45">
        <v>22113.0</v>
      </c>
      <c r="E1137" s="45" t="s">
        <v>3973</v>
      </c>
      <c r="F1137" s="45" t="s">
        <v>3974</v>
      </c>
      <c r="G1137" s="45" t="s">
        <v>3974</v>
      </c>
    </row>
    <row r="1138">
      <c r="A1138" s="45" t="s">
        <v>917</v>
      </c>
      <c r="B1138" s="45" t="s">
        <v>2725</v>
      </c>
      <c r="C1138" s="45">
        <v>58.0</v>
      </c>
      <c r="D1138" s="45">
        <v>22115.0</v>
      </c>
      <c r="E1138" s="45" t="s">
        <v>3977</v>
      </c>
      <c r="F1138" s="45" t="s">
        <v>3976</v>
      </c>
      <c r="G1138" s="45" t="s">
        <v>3974</v>
      </c>
    </row>
    <row r="1139">
      <c r="A1139" s="45" t="s">
        <v>167</v>
      </c>
      <c r="B1139" s="45" t="s">
        <v>2725</v>
      </c>
      <c r="C1139" s="45">
        <v>58.0</v>
      </c>
      <c r="D1139" s="45">
        <v>22117.0</v>
      </c>
      <c r="E1139" s="45" t="s">
        <v>3973</v>
      </c>
      <c r="F1139" s="45" t="s">
        <v>3974</v>
      </c>
      <c r="G1139" s="45" t="s">
        <v>3974</v>
      </c>
    </row>
    <row r="1140">
      <c r="A1140" s="45" t="s">
        <v>563</v>
      </c>
      <c r="B1140" s="45" t="s">
        <v>2725</v>
      </c>
      <c r="C1140" s="45">
        <v>58.0</v>
      </c>
      <c r="D1140" s="45">
        <v>22119.0</v>
      </c>
      <c r="E1140" s="45" t="s">
        <v>3977</v>
      </c>
      <c r="F1140" s="45" t="s">
        <v>3976</v>
      </c>
      <c r="G1140" s="45" t="s">
        <v>3974</v>
      </c>
    </row>
    <row r="1141">
      <c r="A1141" s="45" t="s">
        <v>918</v>
      </c>
      <c r="B1141" s="45" t="s">
        <v>2725</v>
      </c>
      <c r="C1141" s="45">
        <v>58.0</v>
      </c>
      <c r="D1141" s="45">
        <v>22121.0</v>
      </c>
      <c r="E1141" s="45" t="s">
        <v>3973</v>
      </c>
      <c r="F1141" s="45" t="s">
        <v>3974</v>
      </c>
      <c r="G1141" s="45" t="s">
        <v>3974</v>
      </c>
    </row>
    <row r="1142">
      <c r="A1142" s="45" t="s">
        <v>919</v>
      </c>
      <c r="B1142" s="45" t="s">
        <v>2725</v>
      </c>
      <c r="C1142" s="45">
        <v>86.0</v>
      </c>
      <c r="D1142" s="45">
        <v>22123.0</v>
      </c>
      <c r="E1142" s="45" t="s">
        <v>3973</v>
      </c>
      <c r="F1142" s="45" t="s">
        <v>3974</v>
      </c>
      <c r="G1142" s="45" t="s">
        <v>3974</v>
      </c>
    </row>
    <row r="1143">
      <c r="A1143" s="45" t="s">
        <v>920</v>
      </c>
      <c r="B1143" s="45" t="s">
        <v>2725</v>
      </c>
      <c r="C1143" s="45">
        <v>58.0</v>
      </c>
      <c r="D1143" s="45">
        <v>22125.0</v>
      </c>
      <c r="E1143" s="45" t="s">
        <v>3973</v>
      </c>
      <c r="F1143" s="45" t="s">
        <v>3974</v>
      </c>
      <c r="G1143" s="45" t="s">
        <v>3974</v>
      </c>
    </row>
    <row r="1144">
      <c r="A1144" s="45" t="s">
        <v>921</v>
      </c>
      <c r="B1144" s="45" t="s">
        <v>2725</v>
      </c>
      <c r="C1144" s="45">
        <v>58.0</v>
      </c>
      <c r="D1144" s="45">
        <v>22127.0</v>
      </c>
      <c r="E1144" s="45" t="s">
        <v>3977</v>
      </c>
      <c r="F1144" s="45" t="s">
        <v>3976</v>
      </c>
      <c r="G1144" s="45" t="s">
        <v>3974</v>
      </c>
    </row>
    <row r="1145">
      <c r="A1145" s="45" t="s">
        <v>922</v>
      </c>
      <c r="B1145" s="45" t="s">
        <v>2790</v>
      </c>
      <c r="C1145" s="45">
        <v>134.0</v>
      </c>
      <c r="D1145" s="45">
        <v>23001.0</v>
      </c>
      <c r="E1145" s="45" t="s">
        <v>3984</v>
      </c>
      <c r="F1145" s="45" t="s">
        <v>3985</v>
      </c>
      <c r="G1145" s="45" t="s">
        <v>3974</v>
      </c>
    </row>
    <row r="1146">
      <c r="A1146" s="45" t="s">
        <v>924</v>
      </c>
      <c r="B1146" s="45" t="s">
        <v>2790</v>
      </c>
      <c r="C1146" s="45">
        <v>134.0</v>
      </c>
      <c r="D1146" s="45">
        <v>23003.0</v>
      </c>
      <c r="E1146" s="45" t="s">
        <v>3984</v>
      </c>
      <c r="F1146" s="45" t="s">
        <v>3985</v>
      </c>
      <c r="G1146" s="45" t="s">
        <v>3974</v>
      </c>
    </row>
    <row r="1147">
      <c r="A1147" s="45" t="s">
        <v>618</v>
      </c>
      <c r="B1147" s="45" t="s">
        <v>2790</v>
      </c>
      <c r="C1147" s="45">
        <v>134.0</v>
      </c>
      <c r="D1147" s="45">
        <v>23005.0</v>
      </c>
      <c r="E1147" s="45" t="s">
        <v>3984</v>
      </c>
      <c r="F1147" s="45" t="s">
        <v>3985</v>
      </c>
      <c r="G1147" s="45" t="s">
        <v>3974</v>
      </c>
    </row>
    <row r="1148">
      <c r="A1148" s="45" t="s">
        <v>132</v>
      </c>
      <c r="B1148" s="45" t="s">
        <v>2790</v>
      </c>
      <c r="C1148" s="45">
        <v>134.0</v>
      </c>
      <c r="D1148" s="45">
        <v>23007.0</v>
      </c>
      <c r="E1148" s="45" t="s">
        <v>3984</v>
      </c>
      <c r="F1148" s="45" t="s">
        <v>3985</v>
      </c>
      <c r="G1148" s="45" t="s">
        <v>3974</v>
      </c>
    </row>
    <row r="1149">
      <c r="A1149" s="45" t="s">
        <v>512</v>
      </c>
      <c r="B1149" s="45" t="s">
        <v>2790</v>
      </c>
      <c r="C1149" s="45">
        <v>134.0</v>
      </c>
      <c r="D1149" s="45">
        <v>23009.0</v>
      </c>
      <c r="E1149" s="45" t="s">
        <v>3984</v>
      </c>
      <c r="F1149" s="45" t="s">
        <v>3985</v>
      </c>
      <c r="G1149" s="45" t="s">
        <v>3974</v>
      </c>
    </row>
    <row r="1150">
      <c r="A1150" s="45" t="s">
        <v>925</v>
      </c>
      <c r="B1150" s="45" t="s">
        <v>2790</v>
      </c>
      <c r="C1150" s="45">
        <v>134.0</v>
      </c>
      <c r="D1150" s="45">
        <v>23011.0</v>
      </c>
      <c r="E1150" s="45" t="s">
        <v>3984</v>
      </c>
      <c r="F1150" s="45" t="s">
        <v>3985</v>
      </c>
      <c r="G1150" s="45" t="s">
        <v>3974</v>
      </c>
    </row>
    <row r="1151">
      <c r="A1151" s="45" t="s">
        <v>634</v>
      </c>
      <c r="B1151" s="45" t="s">
        <v>2790</v>
      </c>
      <c r="C1151" s="45">
        <v>134.0</v>
      </c>
      <c r="D1151" s="45">
        <v>23013.0</v>
      </c>
      <c r="E1151" s="45" t="s">
        <v>3984</v>
      </c>
      <c r="F1151" s="45" t="s">
        <v>3985</v>
      </c>
      <c r="G1151" s="45" t="s">
        <v>3974</v>
      </c>
    </row>
    <row r="1152">
      <c r="A1152" s="45" t="s">
        <v>250</v>
      </c>
      <c r="B1152" s="45" t="s">
        <v>2790</v>
      </c>
      <c r="C1152" s="45">
        <v>134.0</v>
      </c>
      <c r="D1152" s="45">
        <v>23015.0</v>
      </c>
      <c r="E1152" s="45" t="s">
        <v>3984</v>
      </c>
      <c r="F1152" s="45" t="s">
        <v>3985</v>
      </c>
      <c r="G1152" s="45" t="s">
        <v>3974</v>
      </c>
    </row>
    <row r="1153">
      <c r="A1153" s="45" t="s">
        <v>926</v>
      </c>
      <c r="B1153" s="45" t="s">
        <v>2790</v>
      </c>
      <c r="C1153" s="45">
        <v>134.0</v>
      </c>
      <c r="D1153" s="45">
        <v>23017.0</v>
      </c>
      <c r="E1153" s="45" t="s">
        <v>3984</v>
      </c>
      <c r="F1153" s="45" t="s">
        <v>3985</v>
      </c>
      <c r="G1153" s="45" t="s">
        <v>3974</v>
      </c>
    </row>
    <row r="1154">
      <c r="A1154" s="45" t="s">
        <v>927</v>
      </c>
      <c r="B1154" s="45" t="s">
        <v>2790</v>
      </c>
      <c r="C1154" s="45">
        <v>134.0</v>
      </c>
      <c r="D1154" s="45">
        <v>23019.0</v>
      </c>
      <c r="E1154" s="45" t="s">
        <v>3984</v>
      </c>
      <c r="F1154" s="45" t="s">
        <v>3985</v>
      </c>
      <c r="G1154" s="45" t="s">
        <v>3974</v>
      </c>
    </row>
    <row r="1155">
      <c r="A1155" s="45" t="s">
        <v>928</v>
      </c>
      <c r="B1155" s="45" t="s">
        <v>2790</v>
      </c>
      <c r="C1155" s="45">
        <v>134.0</v>
      </c>
      <c r="D1155" s="45">
        <v>23021.0</v>
      </c>
      <c r="E1155" s="45" t="s">
        <v>3984</v>
      </c>
      <c r="F1155" s="45" t="s">
        <v>3985</v>
      </c>
      <c r="G1155" s="45" t="s">
        <v>3974</v>
      </c>
    </row>
    <row r="1156">
      <c r="A1156" s="45" t="s">
        <v>929</v>
      </c>
      <c r="B1156" s="45" t="s">
        <v>2790</v>
      </c>
      <c r="C1156" s="45">
        <v>134.0</v>
      </c>
      <c r="D1156" s="45">
        <v>23023.0</v>
      </c>
      <c r="E1156" s="45" t="s">
        <v>3984</v>
      </c>
      <c r="F1156" s="45" t="s">
        <v>3985</v>
      </c>
      <c r="G1156" s="45" t="s">
        <v>3974</v>
      </c>
    </row>
    <row r="1157">
      <c r="A1157" s="45" t="s">
        <v>930</v>
      </c>
      <c r="B1157" s="45" t="s">
        <v>2790</v>
      </c>
      <c r="C1157" s="45">
        <v>134.0</v>
      </c>
      <c r="D1157" s="45">
        <v>23025.0</v>
      </c>
      <c r="E1157" s="45" t="s">
        <v>3984</v>
      </c>
      <c r="F1157" s="45" t="s">
        <v>3985</v>
      </c>
      <c r="G1157" s="45" t="s">
        <v>3974</v>
      </c>
    </row>
    <row r="1158">
      <c r="A1158" s="45" t="s">
        <v>931</v>
      </c>
      <c r="B1158" s="45" t="s">
        <v>2790</v>
      </c>
      <c r="C1158" s="45">
        <v>134.0</v>
      </c>
      <c r="D1158" s="45">
        <v>23027.0</v>
      </c>
      <c r="E1158" s="45" t="s">
        <v>3984</v>
      </c>
      <c r="F1158" s="45" t="s">
        <v>3985</v>
      </c>
      <c r="G1158" s="45" t="s">
        <v>3974</v>
      </c>
    </row>
    <row r="1159">
      <c r="A1159" s="45" t="s">
        <v>167</v>
      </c>
      <c r="B1159" s="45" t="s">
        <v>2790</v>
      </c>
      <c r="C1159" s="45">
        <v>134.0</v>
      </c>
      <c r="D1159" s="45">
        <v>23029.0</v>
      </c>
      <c r="E1159" s="45" t="s">
        <v>3984</v>
      </c>
      <c r="F1159" s="45" t="s">
        <v>3985</v>
      </c>
      <c r="G1159" s="45" t="s">
        <v>3974</v>
      </c>
    </row>
    <row r="1160">
      <c r="A1160" s="45" t="s">
        <v>932</v>
      </c>
      <c r="B1160" s="45" t="s">
        <v>2790</v>
      </c>
      <c r="C1160" s="45">
        <v>134.0</v>
      </c>
      <c r="D1160" s="45">
        <v>23031.0</v>
      </c>
      <c r="E1160" s="45" t="s">
        <v>3984</v>
      </c>
      <c r="F1160" s="45" t="s">
        <v>3985</v>
      </c>
      <c r="G1160" s="45" t="s">
        <v>3974</v>
      </c>
    </row>
    <row r="1161">
      <c r="A1161" s="45" t="s">
        <v>933</v>
      </c>
      <c r="B1161" s="45" t="s">
        <v>2801</v>
      </c>
      <c r="C1161" s="45">
        <v>121.0</v>
      </c>
      <c r="D1161" s="45">
        <v>24001.0</v>
      </c>
      <c r="E1161" s="45" t="s">
        <v>3986</v>
      </c>
      <c r="F1161" s="45" t="s">
        <v>3997</v>
      </c>
      <c r="G1161" s="45" t="s">
        <v>3974</v>
      </c>
    </row>
    <row r="1162">
      <c r="A1162" s="45" t="s">
        <v>935</v>
      </c>
      <c r="B1162" s="45" t="s">
        <v>2801</v>
      </c>
      <c r="C1162" s="45">
        <v>123.0</v>
      </c>
      <c r="D1162" s="45">
        <v>24003.0</v>
      </c>
      <c r="E1162" s="45" t="s">
        <v>3986</v>
      </c>
      <c r="F1162" s="45" t="s">
        <v>3987</v>
      </c>
      <c r="G1162" s="45" t="s">
        <v>3974</v>
      </c>
    </row>
    <row r="1163">
      <c r="A1163" s="45" t="s">
        <v>936</v>
      </c>
      <c r="B1163" s="45" t="s">
        <v>2801</v>
      </c>
      <c r="C1163" s="45">
        <v>123.0</v>
      </c>
      <c r="D1163" s="45">
        <v>24005.0</v>
      </c>
      <c r="E1163" s="45" t="s">
        <v>3986</v>
      </c>
      <c r="F1163" s="45" t="s">
        <v>3987</v>
      </c>
      <c r="G1163" s="45" t="s">
        <v>3974</v>
      </c>
    </row>
    <row r="1164">
      <c r="A1164" s="45" t="s">
        <v>937</v>
      </c>
      <c r="B1164" s="45" t="s">
        <v>2801</v>
      </c>
      <c r="C1164" s="45">
        <v>123.0</v>
      </c>
      <c r="D1164" s="45">
        <v>24009.0</v>
      </c>
      <c r="E1164" s="45" t="s">
        <v>3986</v>
      </c>
      <c r="F1164" s="45" t="s">
        <v>3987</v>
      </c>
      <c r="G1164" s="45" t="s">
        <v>3974</v>
      </c>
    </row>
    <row r="1165">
      <c r="A1165" s="45" t="s">
        <v>938</v>
      </c>
      <c r="B1165" s="45" t="s">
        <v>2801</v>
      </c>
      <c r="C1165" s="45">
        <v>123.0</v>
      </c>
      <c r="D1165" s="45">
        <v>24011.0</v>
      </c>
      <c r="E1165" s="45" t="s">
        <v>3986</v>
      </c>
      <c r="F1165" s="45" t="s">
        <v>3987</v>
      </c>
      <c r="G1165" s="45" t="s">
        <v>3974</v>
      </c>
    </row>
    <row r="1166">
      <c r="A1166" s="45" t="s">
        <v>227</v>
      </c>
      <c r="B1166" s="45" t="s">
        <v>2801</v>
      </c>
      <c r="C1166" s="45">
        <v>123.0</v>
      </c>
      <c r="D1166" s="45">
        <v>24013.0</v>
      </c>
      <c r="E1166" s="45" t="s">
        <v>3986</v>
      </c>
      <c r="F1166" s="45" t="s">
        <v>3987</v>
      </c>
      <c r="G1166" s="45" t="s">
        <v>3974</v>
      </c>
    </row>
    <row r="1167">
      <c r="A1167" s="45" t="s">
        <v>939</v>
      </c>
      <c r="B1167" s="45" t="s">
        <v>2801</v>
      </c>
      <c r="C1167" s="45">
        <v>123.0</v>
      </c>
      <c r="D1167" s="45">
        <v>24015.0</v>
      </c>
      <c r="E1167" s="45" t="s">
        <v>3986</v>
      </c>
      <c r="F1167" s="45" t="s">
        <v>3987</v>
      </c>
      <c r="G1167" s="45" t="s">
        <v>3974</v>
      </c>
    </row>
    <row r="1168">
      <c r="A1168" s="45" t="s">
        <v>940</v>
      </c>
      <c r="B1168" s="45" t="s">
        <v>2801</v>
      </c>
      <c r="C1168" s="45">
        <v>123.0</v>
      </c>
      <c r="D1168" s="45">
        <v>24017.0</v>
      </c>
      <c r="E1168" s="45" t="s">
        <v>3986</v>
      </c>
      <c r="F1168" s="45" t="s">
        <v>3987</v>
      </c>
      <c r="G1168" s="45" t="s">
        <v>3974</v>
      </c>
    </row>
    <row r="1169">
      <c r="A1169" s="45" t="s">
        <v>941</v>
      </c>
      <c r="B1169" s="45" t="s">
        <v>2801</v>
      </c>
      <c r="C1169" s="45">
        <v>123.0</v>
      </c>
      <c r="D1169" s="45">
        <v>24019.0</v>
      </c>
      <c r="E1169" s="45" t="s">
        <v>3986</v>
      </c>
      <c r="F1169" s="45" t="s">
        <v>3987</v>
      </c>
      <c r="G1169" s="45" t="s">
        <v>3974</v>
      </c>
    </row>
    <row r="1170">
      <c r="A1170" s="45" t="s">
        <v>942</v>
      </c>
      <c r="B1170" s="45" t="s">
        <v>2801</v>
      </c>
      <c r="C1170" s="45">
        <v>121.0</v>
      </c>
      <c r="D1170" s="45">
        <v>24021.0</v>
      </c>
      <c r="E1170" s="45" t="s">
        <v>3986</v>
      </c>
      <c r="F1170" s="45" t="s">
        <v>3997</v>
      </c>
      <c r="G1170" s="45" t="s">
        <v>3974</v>
      </c>
    </row>
    <row r="1171">
      <c r="A1171" s="45" t="s">
        <v>943</v>
      </c>
      <c r="B1171" s="45" t="s">
        <v>2801</v>
      </c>
      <c r="C1171" s="45">
        <v>121.0</v>
      </c>
      <c r="D1171" s="45">
        <v>24023.0</v>
      </c>
      <c r="E1171" s="45" t="s">
        <v>3986</v>
      </c>
      <c r="F1171" s="45" t="s">
        <v>3997</v>
      </c>
      <c r="G1171" s="45" t="s">
        <v>3974</v>
      </c>
    </row>
    <row r="1172">
      <c r="A1172" s="45" t="s">
        <v>944</v>
      </c>
      <c r="B1172" s="45" t="s">
        <v>2801</v>
      </c>
      <c r="C1172" s="45">
        <v>123.0</v>
      </c>
      <c r="D1172" s="45">
        <v>24025.0</v>
      </c>
      <c r="E1172" s="45" t="s">
        <v>3986</v>
      </c>
      <c r="F1172" s="45" t="s">
        <v>3987</v>
      </c>
      <c r="G1172" s="45" t="s">
        <v>3974</v>
      </c>
    </row>
    <row r="1173">
      <c r="A1173" s="45" t="s">
        <v>245</v>
      </c>
      <c r="B1173" s="45" t="s">
        <v>2801</v>
      </c>
      <c r="C1173" s="45">
        <v>123.0</v>
      </c>
      <c r="D1173" s="45">
        <v>24027.0</v>
      </c>
      <c r="E1173" s="45" t="s">
        <v>3986</v>
      </c>
      <c r="F1173" s="45" t="s">
        <v>3987</v>
      </c>
      <c r="G1173" s="45" t="s">
        <v>3974</v>
      </c>
    </row>
    <row r="1174">
      <c r="A1174" s="45" t="s">
        <v>404</v>
      </c>
      <c r="B1174" s="45" t="s">
        <v>2801</v>
      </c>
      <c r="C1174" s="45">
        <v>123.0</v>
      </c>
      <c r="D1174" s="45">
        <v>24029.0</v>
      </c>
      <c r="E1174" s="45" t="s">
        <v>3986</v>
      </c>
      <c r="F1174" s="45" t="s">
        <v>3987</v>
      </c>
      <c r="G1174" s="45" t="s">
        <v>3974</v>
      </c>
    </row>
    <row r="1175">
      <c r="A1175" s="45" t="s">
        <v>153</v>
      </c>
      <c r="B1175" s="45" t="s">
        <v>2801</v>
      </c>
      <c r="C1175" s="45">
        <v>123.0</v>
      </c>
      <c r="D1175" s="45">
        <v>24031.0</v>
      </c>
      <c r="E1175" s="45" t="s">
        <v>3986</v>
      </c>
      <c r="F1175" s="45" t="s">
        <v>3997</v>
      </c>
      <c r="G1175" s="45" t="s">
        <v>3974</v>
      </c>
    </row>
    <row r="1176">
      <c r="A1176" s="45" t="s">
        <v>945</v>
      </c>
      <c r="B1176" s="45" t="s">
        <v>2801</v>
      </c>
      <c r="C1176" s="45">
        <v>123.0</v>
      </c>
      <c r="D1176" s="45">
        <v>24033.0</v>
      </c>
      <c r="E1176" s="45" t="s">
        <v>3986</v>
      </c>
      <c r="F1176" s="45" t="s">
        <v>3987</v>
      </c>
      <c r="G1176" s="45" t="s">
        <v>3974</v>
      </c>
    </row>
    <row r="1177">
      <c r="A1177" s="45" t="s">
        <v>946</v>
      </c>
      <c r="B1177" s="45" t="s">
        <v>2801</v>
      </c>
      <c r="C1177" s="45">
        <v>123.0</v>
      </c>
      <c r="D1177" s="45">
        <v>24035.0</v>
      </c>
      <c r="E1177" s="45" t="s">
        <v>3986</v>
      </c>
      <c r="F1177" s="45" t="s">
        <v>3987</v>
      </c>
      <c r="G1177" s="45" t="s">
        <v>3974</v>
      </c>
    </row>
    <row r="1178">
      <c r="A1178" s="45" t="s">
        <v>947</v>
      </c>
      <c r="B1178" s="45" t="s">
        <v>2801</v>
      </c>
      <c r="C1178" s="45">
        <v>123.0</v>
      </c>
      <c r="D1178" s="45">
        <v>24037.0</v>
      </c>
      <c r="E1178" s="45" t="s">
        <v>3986</v>
      </c>
      <c r="F1178" s="45" t="s">
        <v>3987</v>
      </c>
      <c r="G1178" s="45" t="s">
        <v>3974</v>
      </c>
    </row>
    <row r="1179">
      <c r="A1179" s="45" t="s">
        <v>930</v>
      </c>
      <c r="B1179" s="45" t="s">
        <v>2801</v>
      </c>
      <c r="C1179" s="45">
        <v>123.0</v>
      </c>
      <c r="D1179" s="45">
        <v>24039.0</v>
      </c>
      <c r="E1179" s="45" t="s">
        <v>3986</v>
      </c>
      <c r="F1179" s="45" t="s">
        <v>3987</v>
      </c>
      <c r="G1179" s="45" t="s">
        <v>3974</v>
      </c>
    </row>
    <row r="1180">
      <c r="A1180" s="45" t="s">
        <v>546</v>
      </c>
      <c r="B1180" s="45" t="s">
        <v>2801</v>
      </c>
      <c r="C1180" s="45">
        <v>123.0</v>
      </c>
      <c r="D1180" s="45">
        <v>24041.0</v>
      </c>
      <c r="E1180" s="45" t="s">
        <v>3986</v>
      </c>
      <c r="F1180" s="45" t="s">
        <v>3987</v>
      </c>
      <c r="G1180" s="45" t="s">
        <v>3974</v>
      </c>
    </row>
    <row r="1181">
      <c r="A1181" s="45" t="s">
        <v>167</v>
      </c>
      <c r="B1181" s="45" t="s">
        <v>2801</v>
      </c>
      <c r="C1181" s="45">
        <v>121.0</v>
      </c>
      <c r="D1181" s="45">
        <v>24043.0</v>
      </c>
      <c r="E1181" s="45" t="s">
        <v>3986</v>
      </c>
      <c r="F1181" s="45" t="s">
        <v>3997</v>
      </c>
      <c r="G1181" s="45" t="s">
        <v>3974</v>
      </c>
    </row>
    <row r="1182">
      <c r="A1182" s="45" t="s">
        <v>948</v>
      </c>
      <c r="B1182" s="45" t="s">
        <v>2801</v>
      </c>
      <c r="C1182" s="45">
        <v>123.0</v>
      </c>
      <c r="D1182" s="45">
        <v>24045.0</v>
      </c>
      <c r="E1182" s="45" t="s">
        <v>3986</v>
      </c>
      <c r="F1182" s="45" t="s">
        <v>3987</v>
      </c>
      <c r="G1182" s="45" t="s">
        <v>3974</v>
      </c>
    </row>
    <row r="1183">
      <c r="A1183" s="45" t="s">
        <v>949</v>
      </c>
      <c r="B1183" s="45" t="s">
        <v>2801</v>
      </c>
      <c r="C1183" s="45">
        <v>123.0</v>
      </c>
      <c r="D1183" s="45">
        <v>24047.0</v>
      </c>
      <c r="E1183" s="45" t="s">
        <v>3986</v>
      </c>
      <c r="F1183" s="45" t="s">
        <v>3987</v>
      </c>
      <c r="G1183" s="45" t="s">
        <v>3974</v>
      </c>
    </row>
    <row r="1184">
      <c r="A1184" s="45" t="s">
        <v>950</v>
      </c>
      <c r="B1184" s="45" t="s">
        <v>2801</v>
      </c>
      <c r="C1184" s="45">
        <v>123.0</v>
      </c>
      <c r="D1184" s="45">
        <v>24510.0</v>
      </c>
      <c r="E1184" s="45" t="s">
        <v>3986</v>
      </c>
      <c r="F1184" s="45" t="s">
        <v>3987</v>
      </c>
      <c r="G1184" s="45" t="s">
        <v>3974</v>
      </c>
    </row>
    <row r="1185">
      <c r="A1185" s="45" t="s">
        <v>951</v>
      </c>
      <c r="B1185" s="45" t="s">
        <v>2819</v>
      </c>
      <c r="C1185" s="45">
        <v>131.0</v>
      </c>
      <c r="D1185" s="45">
        <v>25001.0</v>
      </c>
      <c r="E1185" s="45" t="s">
        <v>3984</v>
      </c>
      <c r="F1185" s="45" t="s">
        <v>3985</v>
      </c>
      <c r="G1185" s="45" t="s">
        <v>3974</v>
      </c>
    </row>
    <row r="1186">
      <c r="A1186" s="45" t="s">
        <v>953</v>
      </c>
      <c r="B1186" s="45" t="s">
        <v>2819</v>
      </c>
      <c r="C1186" s="45">
        <v>131.0</v>
      </c>
      <c r="D1186" s="45">
        <v>25003.0</v>
      </c>
      <c r="E1186" s="45" t="s">
        <v>3984</v>
      </c>
      <c r="F1186" s="45" t="s">
        <v>3985</v>
      </c>
      <c r="G1186" s="45" t="s">
        <v>3974</v>
      </c>
    </row>
    <row r="1187">
      <c r="A1187" s="45" t="s">
        <v>954</v>
      </c>
      <c r="B1187" s="45" t="s">
        <v>2819</v>
      </c>
      <c r="C1187" s="45">
        <v>131.0</v>
      </c>
      <c r="D1187" s="45">
        <v>25005.0</v>
      </c>
      <c r="E1187" s="45" t="s">
        <v>3984</v>
      </c>
      <c r="F1187" s="45" t="s">
        <v>3985</v>
      </c>
      <c r="G1187" s="45" t="s">
        <v>3974</v>
      </c>
    </row>
    <row r="1188">
      <c r="A1188" s="45" t="s">
        <v>955</v>
      </c>
      <c r="B1188" s="45" t="s">
        <v>2819</v>
      </c>
      <c r="C1188" s="45">
        <v>131.0</v>
      </c>
      <c r="D1188" s="45">
        <v>25007.0</v>
      </c>
      <c r="E1188" s="45" t="s">
        <v>3984</v>
      </c>
      <c r="F1188" s="45" t="s">
        <v>3985</v>
      </c>
      <c r="G1188" s="45" t="s">
        <v>3974</v>
      </c>
    </row>
    <row r="1189">
      <c r="A1189" s="45" t="s">
        <v>956</v>
      </c>
      <c r="B1189" s="45" t="s">
        <v>2819</v>
      </c>
      <c r="C1189" s="45">
        <v>131.0</v>
      </c>
      <c r="D1189" s="45">
        <v>25009.0</v>
      </c>
      <c r="E1189" s="45" t="s">
        <v>3984</v>
      </c>
      <c r="F1189" s="45" t="s">
        <v>3985</v>
      </c>
      <c r="G1189" s="45" t="s">
        <v>3974</v>
      </c>
    </row>
    <row r="1190">
      <c r="A1190" s="45" t="s">
        <v>132</v>
      </c>
      <c r="B1190" s="45" t="s">
        <v>2819</v>
      </c>
      <c r="C1190" s="45">
        <v>131.0</v>
      </c>
      <c r="D1190" s="45">
        <v>25011.0</v>
      </c>
      <c r="E1190" s="45" t="s">
        <v>3984</v>
      </c>
      <c r="F1190" s="45" t="s">
        <v>3985</v>
      </c>
      <c r="G1190" s="45" t="s">
        <v>3974</v>
      </c>
    </row>
    <row r="1191">
      <c r="A1191" s="45" t="s">
        <v>957</v>
      </c>
      <c r="B1191" s="45" t="s">
        <v>2819</v>
      </c>
      <c r="C1191" s="45">
        <v>131.0</v>
      </c>
      <c r="D1191" s="45">
        <v>25013.0</v>
      </c>
      <c r="E1191" s="45" t="s">
        <v>3984</v>
      </c>
      <c r="F1191" s="45" t="s">
        <v>3985</v>
      </c>
      <c r="G1191" s="45" t="s">
        <v>3974</v>
      </c>
    </row>
    <row r="1192">
      <c r="A1192" s="45" t="s">
        <v>958</v>
      </c>
      <c r="B1192" s="45" t="s">
        <v>2819</v>
      </c>
      <c r="C1192" s="45">
        <v>131.0</v>
      </c>
      <c r="D1192" s="45">
        <v>25015.0</v>
      </c>
      <c r="E1192" s="45" t="s">
        <v>3984</v>
      </c>
      <c r="F1192" s="45" t="s">
        <v>3985</v>
      </c>
      <c r="G1192" s="45" t="s">
        <v>3974</v>
      </c>
    </row>
    <row r="1193">
      <c r="A1193" s="45" t="s">
        <v>399</v>
      </c>
      <c r="B1193" s="45" t="s">
        <v>2819</v>
      </c>
      <c r="C1193" s="45">
        <v>131.0</v>
      </c>
      <c r="D1193" s="45">
        <v>25017.0</v>
      </c>
      <c r="E1193" s="45" t="s">
        <v>3984</v>
      </c>
      <c r="F1193" s="45" t="s">
        <v>3985</v>
      </c>
      <c r="G1193" s="45" t="s">
        <v>3974</v>
      </c>
    </row>
    <row r="1194">
      <c r="A1194" s="45" t="s">
        <v>959</v>
      </c>
      <c r="B1194" s="45" t="s">
        <v>2819</v>
      </c>
      <c r="C1194" s="45">
        <v>131.0</v>
      </c>
      <c r="D1194" s="45">
        <v>25019.0</v>
      </c>
      <c r="E1194" s="45" t="s">
        <v>3984</v>
      </c>
      <c r="F1194" s="45" t="s">
        <v>3985</v>
      </c>
      <c r="G1194" s="45" t="s">
        <v>3974</v>
      </c>
    </row>
    <row r="1195">
      <c r="A1195" s="45" t="s">
        <v>960</v>
      </c>
      <c r="B1195" s="45" t="s">
        <v>2819</v>
      </c>
      <c r="C1195" s="45">
        <v>131.0</v>
      </c>
      <c r="D1195" s="45">
        <v>25021.0</v>
      </c>
      <c r="E1195" s="45" t="s">
        <v>3984</v>
      </c>
      <c r="F1195" s="45" t="s">
        <v>3985</v>
      </c>
      <c r="G1195" s="45" t="s">
        <v>3974</v>
      </c>
    </row>
    <row r="1196">
      <c r="A1196" s="45" t="s">
        <v>737</v>
      </c>
      <c r="B1196" s="45" t="s">
        <v>2819</v>
      </c>
      <c r="C1196" s="45">
        <v>131.0</v>
      </c>
      <c r="D1196" s="45">
        <v>25023.0</v>
      </c>
      <c r="E1196" s="45" t="s">
        <v>3984</v>
      </c>
      <c r="F1196" s="45" t="s">
        <v>3985</v>
      </c>
      <c r="G1196" s="45" t="s">
        <v>3974</v>
      </c>
    </row>
    <row r="1197">
      <c r="A1197" s="45" t="s">
        <v>961</v>
      </c>
      <c r="B1197" s="45" t="s">
        <v>2819</v>
      </c>
      <c r="C1197" s="45">
        <v>131.0</v>
      </c>
      <c r="D1197" s="45">
        <v>25025.0</v>
      </c>
      <c r="E1197" s="45" t="s">
        <v>3984</v>
      </c>
      <c r="F1197" s="45" t="s">
        <v>3985</v>
      </c>
      <c r="G1197" s="45" t="s">
        <v>3974</v>
      </c>
    </row>
    <row r="1198">
      <c r="A1198" s="45" t="s">
        <v>949</v>
      </c>
      <c r="B1198" s="45" t="s">
        <v>2819</v>
      </c>
      <c r="C1198" s="45">
        <v>131.0</v>
      </c>
      <c r="D1198" s="45">
        <v>25027.0</v>
      </c>
      <c r="E1198" s="45" t="s">
        <v>3984</v>
      </c>
      <c r="F1198" s="45" t="s">
        <v>3985</v>
      </c>
      <c r="G1198" s="45" t="s">
        <v>3974</v>
      </c>
    </row>
    <row r="1199">
      <c r="A1199" s="45" t="s">
        <v>962</v>
      </c>
      <c r="B1199" s="45" t="s">
        <v>2830</v>
      </c>
      <c r="C1199" s="45">
        <v>103.0</v>
      </c>
      <c r="D1199" s="45">
        <v>26001.0</v>
      </c>
      <c r="E1199" s="45" t="s">
        <v>3998</v>
      </c>
      <c r="F1199" s="45" t="s">
        <v>4003</v>
      </c>
      <c r="G1199" s="45" t="s">
        <v>3985</v>
      </c>
    </row>
    <row r="1200">
      <c r="A1200" s="45" t="s">
        <v>964</v>
      </c>
      <c r="B1200" s="45" t="s">
        <v>2830</v>
      </c>
      <c r="C1200" s="45">
        <v>74.0</v>
      </c>
      <c r="D1200" s="45">
        <v>26003.0</v>
      </c>
      <c r="E1200" s="45" t="s">
        <v>4000</v>
      </c>
      <c r="F1200" s="45" t="s">
        <v>3996</v>
      </c>
      <c r="G1200" s="45" t="s">
        <v>3985</v>
      </c>
    </row>
    <row r="1201">
      <c r="A1201" s="45" t="s">
        <v>965</v>
      </c>
      <c r="B1201" s="45" t="s">
        <v>2830</v>
      </c>
      <c r="C1201" s="45">
        <v>103.0</v>
      </c>
      <c r="D1201" s="45">
        <v>26005.0</v>
      </c>
      <c r="E1201" s="45" t="s">
        <v>3998</v>
      </c>
      <c r="F1201" s="45" t="s">
        <v>3997</v>
      </c>
      <c r="G1201" s="45" t="s">
        <v>3985</v>
      </c>
    </row>
    <row r="1202">
      <c r="A1202" s="45" t="s">
        <v>966</v>
      </c>
      <c r="B1202" s="45" t="s">
        <v>2830</v>
      </c>
      <c r="C1202" s="45">
        <v>103.0</v>
      </c>
      <c r="D1202" s="45">
        <v>26007.0</v>
      </c>
      <c r="E1202" s="45" t="s">
        <v>3998</v>
      </c>
      <c r="F1202" s="45" t="s">
        <v>4003</v>
      </c>
      <c r="G1202" s="45" t="s">
        <v>3985</v>
      </c>
    </row>
    <row r="1203">
      <c r="A1203" s="45" t="s">
        <v>967</v>
      </c>
      <c r="B1203" s="45" t="s">
        <v>2830</v>
      </c>
      <c r="C1203" s="45">
        <v>103.0</v>
      </c>
      <c r="D1203" s="45">
        <v>26009.0</v>
      </c>
      <c r="E1203" s="45" t="s">
        <v>3998</v>
      </c>
      <c r="F1203" s="45" t="s">
        <v>4003</v>
      </c>
      <c r="G1203" s="45" t="s">
        <v>3985</v>
      </c>
    </row>
    <row r="1204">
      <c r="A1204" s="45" t="s">
        <v>968</v>
      </c>
      <c r="B1204" s="45" t="s">
        <v>2830</v>
      </c>
      <c r="C1204" s="45">
        <v>103.0</v>
      </c>
      <c r="D1204" s="45">
        <v>26011.0</v>
      </c>
      <c r="E1204" s="45" t="s">
        <v>3998</v>
      </c>
      <c r="F1204" s="45" t="s">
        <v>4003</v>
      </c>
      <c r="G1204" s="45" t="s">
        <v>3985</v>
      </c>
    </row>
    <row r="1205">
      <c r="A1205" s="45" t="s">
        <v>969</v>
      </c>
      <c r="B1205" s="45" t="s">
        <v>2830</v>
      </c>
      <c r="C1205" s="45">
        <v>74.0</v>
      </c>
      <c r="D1205" s="45">
        <v>26013.0</v>
      </c>
      <c r="E1205" s="45" t="s">
        <v>4000</v>
      </c>
      <c r="F1205" s="45" t="s">
        <v>3996</v>
      </c>
      <c r="G1205" s="45" t="s">
        <v>3985</v>
      </c>
    </row>
    <row r="1206">
      <c r="A1206" s="45" t="s">
        <v>970</v>
      </c>
      <c r="B1206" s="45" t="s">
        <v>2830</v>
      </c>
      <c r="C1206" s="45">
        <v>103.0</v>
      </c>
      <c r="D1206" s="45">
        <v>26015.0</v>
      </c>
      <c r="E1206" s="45" t="s">
        <v>3998</v>
      </c>
      <c r="F1206" s="45" t="s">
        <v>4003</v>
      </c>
      <c r="G1206" s="45" t="s">
        <v>3985</v>
      </c>
    </row>
    <row r="1207">
      <c r="A1207" s="45" t="s">
        <v>412</v>
      </c>
      <c r="B1207" s="45" t="s">
        <v>2830</v>
      </c>
      <c r="C1207" s="45">
        <v>103.0</v>
      </c>
      <c r="D1207" s="45">
        <v>26017.0</v>
      </c>
      <c r="E1207" s="45" t="s">
        <v>3998</v>
      </c>
      <c r="F1207" s="45" t="s">
        <v>4003</v>
      </c>
      <c r="G1207" s="45" t="s">
        <v>3985</v>
      </c>
    </row>
    <row r="1208">
      <c r="A1208" s="45" t="s">
        <v>971</v>
      </c>
      <c r="B1208" s="45" t="s">
        <v>2830</v>
      </c>
      <c r="C1208" s="45">
        <v>103.0</v>
      </c>
      <c r="D1208" s="45">
        <v>26019.0</v>
      </c>
      <c r="E1208" s="45" t="s">
        <v>3998</v>
      </c>
      <c r="F1208" s="45" t="s">
        <v>4003</v>
      </c>
      <c r="G1208" s="45" t="s">
        <v>3985</v>
      </c>
    </row>
    <row r="1209">
      <c r="A1209" s="45" t="s">
        <v>468</v>
      </c>
      <c r="B1209" s="45" t="s">
        <v>2830</v>
      </c>
      <c r="C1209" s="45">
        <v>104.0</v>
      </c>
      <c r="D1209" s="45">
        <v>26021.0</v>
      </c>
      <c r="E1209" s="45" t="s">
        <v>3998</v>
      </c>
      <c r="F1209" s="45" t="s">
        <v>3997</v>
      </c>
      <c r="G1209" s="45" t="s">
        <v>3985</v>
      </c>
    </row>
    <row r="1210">
      <c r="A1210" s="45" t="s">
        <v>972</v>
      </c>
      <c r="B1210" s="45" t="s">
        <v>2830</v>
      </c>
      <c r="C1210" s="45">
        <v>103.0</v>
      </c>
      <c r="D1210" s="45">
        <v>26023.0</v>
      </c>
      <c r="E1210" s="45" t="s">
        <v>3998</v>
      </c>
      <c r="F1210" s="45" t="s">
        <v>4003</v>
      </c>
      <c r="G1210" s="45" t="s">
        <v>3985</v>
      </c>
    </row>
    <row r="1211">
      <c r="A1211" s="45" t="s">
        <v>110</v>
      </c>
      <c r="B1211" s="45" t="s">
        <v>2830</v>
      </c>
      <c r="C1211" s="45">
        <v>103.0</v>
      </c>
      <c r="D1211" s="45">
        <v>26025.0</v>
      </c>
      <c r="E1211" s="45" t="s">
        <v>3998</v>
      </c>
      <c r="F1211" s="45" t="s">
        <v>4003</v>
      </c>
      <c r="G1211" s="45" t="s">
        <v>3985</v>
      </c>
    </row>
    <row r="1212">
      <c r="A1212" s="45" t="s">
        <v>613</v>
      </c>
      <c r="B1212" s="45" t="s">
        <v>2830</v>
      </c>
      <c r="C1212" s="45">
        <v>104.0</v>
      </c>
      <c r="D1212" s="45">
        <v>26027.0</v>
      </c>
      <c r="E1212" s="45" t="s">
        <v>3998</v>
      </c>
      <c r="F1212" s="45" t="s">
        <v>3997</v>
      </c>
      <c r="G1212" s="45" t="s">
        <v>3985</v>
      </c>
    </row>
    <row r="1213">
      <c r="A1213" s="45" t="s">
        <v>973</v>
      </c>
      <c r="B1213" s="45" t="s">
        <v>2830</v>
      </c>
      <c r="C1213" s="45">
        <v>103.0</v>
      </c>
      <c r="D1213" s="45">
        <v>26029.0</v>
      </c>
      <c r="E1213" s="45" t="s">
        <v>3998</v>
      </c>
      <c r="F1213" s="45" t="s">
        <v>4003</v>
      </c>
      <c r="G1213" s="45" t="s">
        <v>3985</v>
      </c>
    </row>
    <row r="1214">
      <c r="A1214" s="45" t="s">
        <v>974</v>
      </c>
      <c r="B1214" s="45" t="s">
        <v>2830</v>
      </c>
      <c r="C1214" s="45">
        <v>103.0</v>
      </c>
      <c r="D1214" s="45">
        <v>26031.0</v>
      </c>
      <c r="E1214" s="45" t="s">
        <v>3998</v>
      </c>
      <c r="F1214" s="45" t="s">
        <v>4003</v>
      </c>
      <c r="G1214" s="45" t="s">
        <v>3985</v>
      </c>
    </row>
    <row r="1215">
      <c r="A1215" s="45" t="s">
        <v>975</v>
      </c>
      <c r="B1215" s="45" t="s">
        <v>2830</v>
      </c>
      <c r="C1215" s="45">
        <v>103.0</v>
      </c>
      <c r="D1215" s="45">
        <v>26033.0</v>
      </c>
      <c r="E1215" s="45" t="s">
        <v>3993</v>
      </c>
      <c r="F1215" s="45" t="s">
        <v>3996</v>
      </c>
      <c r="G1215" s="45" t="s">
        <v>3997</v>
      </c>
    </row>
    <row r="1216">
      <c r="A1216" s="45" t="s">
        <v>976</v>
      </c>
      <c r="B1216" s="45" t="s">
        <v>2830</v>
      </c>
      <c r="C1216" s="45">
        <v>103.0</v>
      </c>
      <c r="D1216" s="45">
        <v>26035.0</v>
      </c>
      <c r="E1216" s="45" t="s">
        <v>3998</v>
      </c>
      <c r="F1216" s="45" t="s">
        <v>4003</v>
      </c>
      <c r="G1216" s="45" t="s">
        <v>3997</v>
      </c>
    </row>
    <row r="1217">
      <c r="A1217" s="45" t="s">
        <v>616</v>
      </c>
      <c r="B1217" s="45" t="s">
        <v>2830</v>
      </c>
      <c r="C1217" s="45">
        <v>103.0</v>
      </c>
      <c r="D1217" s="45">
        <v>26037.0</v>
      </c>
      <c r="E1217" s="45" t="s">
        <v>3998</v>
      </c>
      <c r="F1217" s="45" t="s">
        <v>4003</v>
      </c>
      <c r="G1217" s="45" t="s">
        <v>3997</v>
      </c>
    </row>
    <row r="1218">
      <c r="A1218" s="45" t="s">
        <v>234</v>
      </c>
      <c r="B1218" s="45" t="s">
        <v>2830</v>
      </c>
      <c r="C1218" s="45">
        <v>103.0</v>
      </c>
      <c r="D1218" s="45">
        <v>26039.0</v>
      </c>
      <c r="E1218" s="45" t="s">
        <v>3998</v>
      </c>
      <c r="F1218" s="45" t="s">
        <v>4003</v>
      </c>
      <c r="G1218" s="45" t="s">
        <v>3997</v>
      </c>
    </row>
    <row r="1219">
      <c r="A1219" s="45" t="s">
        <v>354</v>
      </c>
      <c r="B1219" s="45" t="s">
        <v>2830</v>
      </c>
      <c r="C1219" s="45">
        <v>74.0</v>
      </c>
      <c r="D1219" s="45">
        <v>26041.0</v>
      </c>
      <c r="E1219" s="45" t="s">
        <v>3993</v>
      </c>
      <c r="F1219" s="45" t="s">
        <v>3996</v>
      </c>
      <c r="G1219" s="45" t="s">
        <v>3985</v>
      </c>
    </row>
    <row r="1220">
      <c r="A1220" s="45" t="s">
        <v>719</v>
      </c>
      <c r="B1220" s="45" t="s">
        <v>2830</v>
      </c>
      <c r="C1220" s="45">
        <v>74.0</v>
      </c>
      <c r="D1220" s="45">
        <v>26043.0</v>
      </c>
      <c r="E1220" s="45" t="s">
        <v>3993</v>
      </c>
      <c r="F1220" s="45" t="s">
        <v>3996</v>
      </c>
      <c r="G1220" s="45" t="s">
        <v>3985</v>
      </c>
    </row>
    <row r="1221">
      <c r="A1221" s="45" t="s">
        <v>977</v>
      </c>
      <c r="B1221" s="45" t="s">
        <v>2830</v>
      </c>
      <c r="C1221" s="45">
        <v>103.0</v>
      </c>
      <c r="D1221" s="45">
        <v>26045.0</v>
      </c>
      <c r="E1221" s="45" t="s">
        <v>3998</v>
      </c>
      <c r="F1221" s="45" t="s">
        <v>4003</v>
      </c>
      <c r="G1221" s="45" t="s">
        <v>3985</v>
      </c>
    </row>
    <row r="1222">
      <c r="A1222" s="45" t="s">
        <v>721</v>
      </c>
      <c r="B1222" s="45" t="s">
        <v>2830</v>
      </c>
      <c r="C1222" s="45">
        <v>103.0</v>
      </c>
      <c r="D1222" s="45">
        <v>26047.0</v>
      </c>
      <c r="E1222" s="45" t="s">
        <v>3998</v>
      </c>
      <c r="F1222" s="45" t="s">
        <v>4003</v>
      </c>
      <c r="G1222" s="45" t="s">
        <v>3985</v>
      </c>
    </row>
    <row r="1223">
      <c r="A1223" s="45" t="s">
        <v>978</v>
      </c>
      <c r="B1223" s="45" t="s">
        <v>2830</v>
      </c>
      <c r="C1223" s="45">
        <v>103.0</v>
      </c>
      <c r="D1223" s="45">
        <v>26049.0</v>
      </c>
      <c r="E1223" s="45" t="s">
        <v>3998</v>
      </c>
      <c r="F1223" s="45" t="s">
        <v>4003</v>
      </c>
      <c r="G1223" s="45" t="s">
        <v>3985</v>
      </c>
    </row>
    <row r="1224">
      <c r="A1224" s="45" t="s">
        <v>979</v>
      </c>
      <c r="B1224" s="45" t="s">
        <v>2830</v>
      </c>
      <c r="C1224" s="45">
        <v>103.0</v>
      </c>
      <c r="D1224" s="45">
        <v>26051.0</v>
      </c>
      <c r="E1224" s="45" t="s">
        <v>3998</v>
      </c>
      <c r="F1224" s="45" t="s">
        <v>4003</v>
      </c>
      <c r="G1224" s="45" t="s">
        <v>3985</v>
      </c>
    </row>
    <row r="1225">
      <c r="A1225" s="45" t="s">
        <v>980</v>
      </c>
      <c r="B1225" s="45" t="s">
        <v>2830</v>
      </c>
      <c r="C1225" s="45">
        <v>74.0</v>
      </c>
      <c r="D1225" s="45">
        <v>26053.0</v>
      </c>
      <c r="E1225" s="45" t="s">
        <v>4000</v>
      </c>
      <c r="F1225" s="45" t="s">
        <v>3996</v>
      </c>
      <c r="G1225" s="45" t="s">
        <v>3985</v>
      </c>
    </row>
    <row r="1226">
      <c r="A1226" s="45" t="s">
        <v>981</v>
      </c>
      <c r="B1226" s="45" t="s">
        <v>2830</v>
      </c>
      <c r="C1226" s="45">
        <v>103.0</v>
      </c>
      <c r="D1226" s="45">
        <v>26055.0</v>
      </c>
      <c r="E1226" s="45" t="s">
        <v>3998</v>
      </c>
      <c r="F1226" s="45" t="s">
        <v>4003</v>
      </c>
      <c r="G1226" s="45" t="s">
        <v>3985</v>
      </c>
    </row>
    <row r="1227">
      <c r="A1227" s="45" t="s">
        <v>982</v>
      </c>
      <c r="B1227" s="45" t="s">
        <v>2830</v>
      </c>
      <c r="C1227" s="45">
        <v>103.0</v>
      </c>
      <c r="D1227" s="45">
        <v>26057.0</v>
      </c>
      <c r="E1227" s="45" t="s">
        <v>3998</v>
      </c>
      <c r="F1227" s="45" t="s">
        <v>4003</v>
      </c>
      <c r="G1227" s="45" t="s">
        <v>3985</v>
      </c>
    </row>
    <row r="1228">
      <c r="A1228" s="45" t="s">
        <v>983</v>
      </c>
      <c r="B1228" s="45" t="s">
        <v>2830</v>
      </c>
      <c r="C1228" s="45">
        <v>103.0</v>
      </c>
      <c r="D1228" s="45">
        <v>26059.0</v>
      </c>
      <c r="E1228" s="45" t="s">
        <v>3998</v>
      </c>
      <c r="F1228" s="45" t="s">
        <v>4003</v>
      </c>
      <c r="G1228" s="45" t="s">
        <v>3985</v>
      </c>
    </row>
    <row r="1229">
      <c r="A1229" s="45" t="s">
        <v>984</v>
      </c>
      <c r="B1229" s="45" t="s">
        <v>2830</v>
      </c>
      <c r="C1229" s="45">
        <v>74.0</v>
      </c>
      <c r="D1229" s="45">
        <v>26061.0</v>
      </c>
      <c r="E1229" s="45" t="s">
        <v>4000</v>
      </c>
      <c r="F1229" s="45" t="s">
        <v>3996</v>
      </c>
      <c r="G1229" s="45" t="s">
        <v>3985</v>
      </c>
    </row>
    <row r="1230">
      <c r="A1230" s="45" t="s">
        <v>985</v>
      </c>
      <c r="B1230" s="45" t="s">
        <v>2830</v>
      </c>
      <c r="C1230" s="45">
        <v>103.0</v>
      </c>
      <c r="D1230" s="45">
        <v>26063.0</v>
      </c>
      <c r="E1230" s="45" t="s">
        <v>3998</v>
      </c>
      <c r="F1230" s="45" t="s">
        <v>4003</v>
      </c>
      <c r="G1230" s="45" t="s">
        <v>3985</v>
      </c>
    </row>
    <row r="1231">
      <c r="A1231" s="45" t="s">
        <v>986</v>
      </c>
      <c r="B1231" s="45" t="s">
        <v>2830</v>
      </c>
      <c r="C1231" s="45">
        <v>103.0</v>
      </c>
      <c r="D1231" s="45">
        <v>26065.0</v>
      </c>
      <c r="E1231" s="45" t="s">
        <v>3998</v>
      </c>
      <c r="F1231" s="45" t="s">
        <v>4003</v>
      </c>
      <c r="G1231" s="45" t="s">
        <v>3985</v>
      </c>
    </row>
    <row r="1232">
      <c r="A1232" s="45" t="s">
        <v>987</v>
      </c>
      <c r="B1232" s="45" t="s">
        <v>2830</v>
      </c>
      <c r="C1232" s="45">
        <v>103.0</v>
      </c>
      <c r="D1232" s="45">
        <v>26067.0</v>
      </c>
      <c r="E1232" s="45" t="s">
        <v>3998</v>
      </c>
      <c r="F1232" s="45" t="s">
        <v>4003</v>
      </c>
      <c r="G1232" s="45" t="s">
        <v>3985</v>
      </c>
    </row>
    <row r="1233">
      <c r="A1233" s="45" t="s">
        <v>988</v>
      </c>
      <c r="B1233" s="45" t="s">
        <v>2830</v>
      </c>
      <c r="C1233" s="45">
        <v>103.0</v>
      </c>
      <c r="D1233" s="45">
        <v>26069.0</v>
      </c>
      <c r="E1233" s="45" t="s">
        <v>3998</v>
      </c>
      <c r="F1233" s="45" t="s">
        <v>4003</v>
      </c>
      <c r="G1233" s="45" t="s">
        <v>4003</v>
      </c>
    </row>
    <row r="1234">
      <c r="A1234" s="45" t="s">
        <v>989</v>
      </c>
      <c r="B1234" s="45" t="s">
        <v>2830</v>
      </c>
      <c r="C1234" s="45">
        <v>74.0</v>
      </c>
      <c r="D1234" s="45">
        <v>26071.0</v>
      </c>
      <c r="E1234" s="45" t="s">
        <v>3993</v>
      </c>
      <c r="F1234" s="45" t="s">
        <v>3996</v>
      </c>
      <c r="G1234" s="45" t="s">
        <v>4003</v>
      </c>
    </row>
    <row r="1235">
      <c r="A1235" s="45" t="s">
        <v>990</v>
      </c>
      <c r="B1235" s="45" t="s">
        <v>2830</v>
      </c>
      <c r="C1235" s="45">
        <v>103.0</v>
      </c>
      <c r="D1235" s="45">
        <v>26073.0</v>
      </c>
      <c r="E1235" s="45" t="s">
        <v>3998</v>
      </c>
      <c r="F1235" s="45" t="s">
        <v>4003</v>
      </c>
      <c r="G1235" s="45" t="s">
        <v>4003</v>
      </c>
    </row>
    <row r="1236">
      <c r="A1236" s="45" t="s">
        <v>138</v>
      </c>
      <c r="B1236" s="45" t="s">
        <v>2830</v>
      </c>
      <c r="C1236" s="45">
        <v>103.0</v>
      </c>
      <c r="D1236" s="45">
        <v>26075.0</v>
      </c>
      <c r="E1236" s="45" t="s">
        <v>3998</v>
      </c>
      <c r="F1236" s="45" t="s">
        <v>4003</v>
      </c>
      <c r="G1236" s="45" t="s">
        <v>4003</v>
      </c>
    </row>
    <row r="1237">
      <c r="A1237" s="45" t="s">
        <v>991</v>
      </c>
      <c r="B1237" s="45" t="s">
        <v>2830</v>
      </c>
      <c r="C1237" s="45">
        <v>104.0</v>
      </c>
      <c r="D1237" s="45">
        <v>26077.0</v>
      </c>
      <c r="E1237" s="45" t="s">
        <v>3998</v>
      </c>
      <c r="F1237" s="45" t="s">
        <v>3997</v>
      </c>
      <c r="G1237" s="45" t="s">
        <v>4003</v>
      </c>
    </row>
    <row r="1238">
      <c r="A1238" s="45" t="s">
        <v>992</v>
      </c>
      <c r="B1238" s="45" t="s">
        <v>2830</v>
      </c>
      <c r="C1238" s="45">
        <v>103.0</v>
      </c>
      <c r="D1238" s="45">
        <v>26079.0</v>
      </c>
      <c r="E1238" s="45" t="s">
        <v>3998</v>
      </c>
      <c r="F1238" s="45" t="s">
        <v>4003</v>
      </c>
      <c r="G1238" s="45" t="s">
        <v>4003</v>
      </c>
    </row>
    <row r="1239">
      <c r="A1239" s="45" t="s">
        <v>404</v>
      </c>
      <c r="B1239" s="45" t="s">
        <v>2830</v>
      </c>
      <c r="C1239" s="45">
        <v>103.0</v>
      </c>
      <c r="D1239" s="45">
        <v>26081.0</v>
      </c>
      <c r="E1239" s="45" t="s">
        <v>3998</v>
      </c>
      <c r="F1239" s="45" t="s">
        <v>4003</v>
      </c>
      <c r="G1239" s="45" t="s">
        <v>4003</v>
      </c>
    </row>
    <row r="1240">
      <c r="A1240" s="45" t="s">
        <v>993</v>
      </c>
      <c r="B1240" s="45" t="s">
        <v>2830</v>
      </c>
      <c r="C1240" s="45">
        <v>74.0</v>
      </c>
      <c r="D1240" s="45">
        <v>26083.0</v>
      </c>
      <c r="E1240" s="45" t="s">
        <v>4000</v>
      </c>
      <c r="F1240" s="45" t="s">
        <v>3996</v>
      </c>
      <c r="G1240" s="45" t="s">
        <v>4003</v>
      </c>
    </row>
    <row r="1241">
      <c r="A1241" s="45" t="s">
        <v>298</v>
      </c>
      <c r="B1241" s="45" t="s">
        <v>2830</v>
      </c>
      <c r="C1241" s="45">
        <v>103.0</v>
      </c>
      <c r="D1241" s="45">
        <v>26085.0</v>
      </c>
      <c r="E1241" s="45" t="s">
        <v>3998</v>
      </c>
      <c r="F1241" s="45" t="s">
        <v>4003</v>
      </c>
      <c r="G1241" s="45" t="s">
        <v>4003</v>
      </c>
    </row>
    <row r="1242">
      <c r="A1242" s="45" t="s">
        <v>994</v>
      </c>
      <c r="B1242" s="45" t="s">
        <v>2830</v>
      </c>
      <c r="C1242" s="45">
        <v>103.0</v>
      </c>
      <c r="D1242" s="45">
        <v>26087.0</v>
      </c>
      <c r="E1242" s="45" t="s">
        <v>3998</v>
      </c>
      <c r="F1242" s="45" t="s">
        <v>4003</v>
      </c>
      <c r="G1242" s="45" t="s">
        <v>4003</v>
      </c>
    </row>
    <row r="1243">
      <c r="A1243" s="45" t="s">
        <v>995</v>
      </c>
      <c r="B1243" s="45" t="s">
        <v>2830</v>
      </c>
      <c r="C1243" s="45">
        <v>103.0</v>
      </c>
      <c r="D1243" s="45">
        <v>26089.0</v>
      </c>
      <c r="E1243" s="45" t="s">
        <v>3998</v>
      </c>
      <c r="F1243" s="45" t="s">
        <v>4003</v>
      </c>
      <c r="G1243" s="45" t="s">
        <v>4003</v>
      </c>
    </row>
    <row r="1244">
      <c r="A1244" s="45" t="s">
        <v>996</v>
      </c>
      <c r="B1244" s="45" t="s">
        <v>2830</v>
      </c>
      <c r="C1244" s="45">
        <v>103.0</v>
      </c>
      <c r="D1244" s="45">
        <v>26091.0</v>
      </c>
      <c r="E1244" s="45" t="s">
        <v>3998</v>
      </c>
      <c r="F1244" s="45" t="s">
        <v>4003</v>
      </c>
      <c r="G1244" s="45" t="s">
        <v>4003</v>
      </c>
    </row>
    <row r="1245">
      <c r="A1245" s="45" t="s">
        <v>636</v>
      </c>
      <c r="B1245" s="45" t="s">
        <v>2830</v>
      </c>
      <c r="C1245" s="45">
        <v>103.0</v>
      </c>
      <c r="D1245" s="45">
        <v>26093.0</v>
      </c>
      <c r="E1245" s="45" t="s">
        <v>3998</v>
      </c>
      <c r="F1245" s="45" t="s">
        <v>4003</v>
      </c>
      <c r="G1245" s="45" t="s">
        <v>4003</v>
      </c>
    </row>
    <row r="1246">
      <c r="A1246" s="45" t="s">
        <v>997</v>
      </c>
      <c r="B1246" s="45" t="s">
        <v>2830</v>
      </c>
      <c r="C1246" s="45">
        <v>103.0</v>
      </c>
      <c r="D1246" s="45">
        <v>26095.0</v>
      </c>
      <c r="E1246" s="45" t="s">
        <v>3993</v>
      </c>
      <c r="F1246" s="45" t="s">
        <v>3996</v>
      </c>
      <c r="G1246" s="45" t="s">
        <v>4003</v>
      </c>
    </row>
    <row r="1247">
      <c r="A1247" s="45" t="s">
        <v>998</v>
      </c>
      <c r="B1247" s="45" t="s">
        <v>2830</v>
      </c>
      <c r="C1247" s="45">
        <v>103.0</v>
      </c>
      <c r="D1247" s="45">
        <v>26097.0</v>
      </c>
      <c r="E1247" s="45" t="s">
        <v>3993</v>
      </c>
      <c r="F1247" s="45" t="s">
        <v>3996</v>
      </c>
      <c r="G1247" s="45" t="s">
        <v>4003</v>
      </c>
    </row>
    <row r="1248">
      <c r="A1248" s="45" t="s">
        <v>999</v>
      </c>
      <c r="B1248" s="45" t="s">
        <v>2830</v>
      </c>
      <c r="C1248" s="45">
        <v>103.0</v>
      </c>
      <c r="D1248" s="45">
        <v>26099.0</v>
      </c>
      <c r="E1248" s="45" t="s">
        <v>3998</v>
      </c>
      <c r="F1248" s="45" t="s">
        <v>4003</v>
      </c>
      <c r="G1248" s="45" t="s">
        <v>4003</v>
      </c>
    </row>
    <row r="1249">
      <c r="A1249" s="45" t="s">
        <v>1000</v>
      </c>
      <c r="B1249" s="45" t="s">
        <v>2830</v>
      </c>
      <c r="C1249" s="45">
        <v>103.0</v>
      </c>
      <c r="D1249" s="45">
        <v>26101.0</v>
      </c>
      <c r="E1249" s="45" t="s">
        <v>3998</v>
      </c>
      <c r="F1249" s="45" t="s">
        <v>4003</v>
      </c>
      <c r="G1249" s="45" t="s">
        <v>4003</v>
      </c>
    </row>
    <row r="1250">
      <c r="A1250" s="45" t="s">
        <v>1001</v>
      </c>
      <c r="B1250" s="45" t="s">
        <v>2830</v>
      </c>
      <c r="C1250" s="45">
        <v>74.0</v>
      </c>
      <c r="D1250" s="45">
        <v>26103.0</v>
      </c>
      <c r="E1250" s="45" t="s">
        <v>4000</v>
      </c>
      <c r="F1250" s="45" t="s">
        <v>3996</v>
      </c>
      <c r="G1250" s="45" t="s">
        <v>4003</v>
      </c>
    </row>
    <row r="1251">
      <c r="A1251" s="45" t="s">
        <v>641</v>
      </c>
      <c r="B1251" s="45" t="s">
        <v>2830</v>
      </c>
      <c r="C1251" s="45">
        <v>103.0</v>
      </c>
      <c r="D1251" s="45">
        <v>26105.0</v>
      </c>
      <c r="E1251" s="45" t="s">
        <v>3998</v>
      </c>
      <c r="F1251" s="45" t="s">
        <v>4003</v>
      </c>
      <c r="G1251" s="45" t="s">
        <v>4003</v>
      </c>
    </row>
    <row r="1252">
      <c r="A1252" s="45" t="s">
        <v>1002</v>
      </c>
      <c r="B1252" s="45" t="s">
        <v>2830</v>
      </c>
      <c r="C1252" s="45">
        <v>103.0</v>
      </c>
      <c r="D1252" s="45">
        <v>26107.0</v>
      </c>
      <c r="E1252" s="45" t="s">
        <v>3998</v>
      </c>
      <c r="F1252" s="45" t="s">
        <v>4003</v>
      </c>
      <c r="G1252" s="45" t="s">
        <v>4003</v>
      </c>
    </row>
    <row r="1253">
      <c r="A1253" s="45" t="s">
        <v>1003</v>
      </c>
      <c r="B1253" s="45" t="s">
        <v>2830</v>
      </c>
      <c r="C1253" s="45">
        <v>74.0</v>
      </c>
      <c r="D1253" s="45">
        <v>26109.0</v>
      </c>
      <c r="E1253" s="45" t="s">
        <v>3993</v>
      </c>
      <c r="F1253" s="45" t="s">
        <v>3996</v>
      </c>
      <c r="G1253" s="45" t="s">
        <v>4003</v>
      </c>
    </row>
    <row r="1254">
      <c r="A1254" s="45" t="s">
        <v>1004</v>
      </c>
      <c r="B1254" s="45" t="s">
        <v>2830</v>
      </c>
      <c r="C1254" s="45">
        <v>103.0</v>
      </c>
      <c r="D1254" s="45">
        <v>26111.0</v>
      </c>
      <c r="E1254" s="45" t="s">
        <v>3998</v>
      </c>
      <c r="F1254" s="45" t="s">
        <v>4003</v>
      </c>
      <c r="G1254" s="45" t="s">
        <v>4003</v>
      </c>
    </row>
    <row r="1255">
      <c r="A1255" s="45" t="s">
        <v>1005</v>
      </c>
      <c r="B1255" s="45" t="s">
        <v>2830</v>
      </c>
      <c r="C1255" s="45">
        <v>103.0</v>
      </c>
      <c r="D1255" s="45">
        <v>26113.0</v>
      </c>
      <c r="E1255" s="45" t="s">
        <v>3998</v>
      </c>
      <c r="F1255" s="45" t="s">
        <v>4003</v>
      </c>
      <c r="G1255" s="45" t="s">
        <v>4003</v>
      </c>
    </row>
    <row r="1256">
      <c r="A1256" s="45" t="s">
        <v>152</v>
      </c>
      <c r="B1256" s="45" t="s">
        <v>2830</v>
      </c>
      <c r="C1256" s="45">
        <v>103.0</v>
      </c>
      <c r="D1256" s="45">
        <v>26115.0</v>
      </c>
      <c r="E1256" s="45" t="s">
        <v>3998</v>
      </c>
      <c r="F1256" s="45" t="s">
        <v>4003</v>
      </c>
      <c r="G1256" s="45" t="s">
        <v>4003</v>
      </c>
    </row>
    <row r="1257">
      <c r="A1257" s="45" t="s">
        <v>1006</v>
      </c>
      <c r="B1257" s="45" t="s">
        <v>2830</v>
      </c>
      <c r="C1257" s="45">
        <v>103.0</v>
      </c>
      <c r="D1257" s="45">
        <v>26117.0</v>
      </c>
      <c r="E1257" s="45" t="s">
        <v>3998</v>
      </c>
      <c r="F1257" s="45" t="s">
        <v>4003</v>
      </c>
      <c r="G1257" s="45" t="s">
        <v>4003</v>
      </c>
    </row>
    <row r="1258">
      <c r="A1258" s="45" t="s">
        <v>1007</v>
      </c>
      <c r="B1258" s="45" t="s">
        <v>2830</v>
      </c>
      <c r="C1258" s="45">
        <v>103.0</v>
      </c>
      <c r="D1258" s="45">
        <v>26119.0</v>
      </c>
      <c r="E1258" s="45" t="s">
        <v>3998</v>
      </c>
      <c r="F1258" s="45" t="s">
        <v>4003</v>
      </c>
      <c r="G1258" s="45" t="s">
        <v>4003</v>
      </c>
    </row>
    <row r="1259">
      <c r="A1259" s="45" t="s">
        <v>1008</v>
      </c>
      <c r="B1259" s="45" t="s">
        <v>2830</v>
      </c>
      <c r="C1259" s="45">
        <v>103.0</v>
      </c>
      <c r="D1259" s="45">
        <v>26121.0</v>
      </c>
      <c r="E1259" s="45" t="s">
        <v>3998</v>
      </c>
      <c r="F1259" s="45" t="s">
        <v>4003</v>
      </c>
      <c r="G1259" s="45" t="s">
        <v>4003</v>
      </c>
    </row>
    <row r="1260">
      <c r="A1260" s="45" t="s">
        <v>1009</v>
      </c>
      <c r="B1260" s="45" t="s">
        <v>2830</v>
      </c>
      <c r="C1260" s="45">
        <v>103.0</v>
      </c>
      <c r="D1260" s="45">
        <v>26123.0</v>
      </c>
      <c r="E1260" s="45" t="s">
        <v>3998</v>
      </c>
      <c r="F1260" s="45" t="s">
        <v>4003</v>
      </c>
      <c r="G1260" s="45" t="s">
        <v>4003</v>
      </c>
    </row>
    <row r="1261">
      <c r="A1261" s="45" t="s">
        <v>1010</v>
      </c>
      <c r="B1261" s="45" t="s">
        <v>2830</v>
      </c>
      <c r="C1261" s="45">
        <v>103.0</v>
      </c>
      <c r="D1261" s="45">
        <v>26125.0</v>
      </c>
      <c r="E1261" s="45" t="s">
        <v>3998</v>
      </c>
      <c r="F1261" s="45" t="s">
        <v>4003</v>
      </c>
      <c r="G1261" s="45" t="s">
        <v>4003</v>
      </c>
    </row>
    <row r="1262">
      <c r="A1262" s="45" t="s">
        <v>1011</v>
      </c>
      <c r="B1262" s="45" t="s">
        <v>2830</v>
      </c>
      <c r="C1262" s="45">
        <v>103.0</v>
      </c>
      <c r="D1262" s="45">
        <v>26127.0</v>
      </c>
      <c r="E1262" s="45" t="s">
        <v>3998</v>
      </c>
      <c r="F1262" s="45" t="s">
        <v>4003</v>
      </c>
      <c r="G1262" s="45" t="s">
        <v>4003</v>
      </c>
    </row>
    <row r="1263">
      <c r="A1263" s="45" t="s">
        <v>1012</v>
      </c>
      <c r="B1263" s="45" t="s">
        <v>2830</v>
      </c>
      <c r="C1263" s="45">
        <v>103.0</v>
      </c>
      <c r="D1263" s="45">
        <v>26129.0</v>
      </c>
      <c r="E1263" s="45" t="s">
        <v>3998</v>
      </c>
      <c r="F1263" s="45" t="s">
        <v>4003</v>
      </c>
      <c r="G1263" s="45" t="s">
        <v>4003</v>
      </c>
    </row>
    <row r="1264">
      <c r="A1264" s="45" t="s">
        <v>1013</v>
      </c>
      <c r="B1264" s="45" t="s">
        <v>2830</v>
      </c>
      <c r="C1264" s="45">
        <v>74.0</v>
      </c>
      <c r="D1264" s="45">
        <v>26131.0</v>
      </c>
      <c r="E1264" s="45" t="s">
        <v>4000</v>
      </c>
      <c r="F1264" s="45" t="s">
        <v>3996</v>
      </c>
      <c r="G1264" s="45" t="s">
        <v>4003</v>
      </c>
    </row>
    <row r="1265">
      <c r="A1265" s="45" t="s">
        <v>445</v>
      </c>
      <c r="B1265" s="45" t="s">
        <v>2830</v>
      </c>
      <c r="C1265" s="45">
        <v>103.0</v>
      </c>
      <c r="D1265" s="45">
        <v>26133.0</v>
      </c>
      <c r="E1265" s="45" t="s">
        <v>3998</v>
      </c>
      <c r="F1265" s="45" t="s">
        <v>4003</v>
      </c>
      <c r="G1265" s="45" t="s">
        <v>4003</v>
      </c>
    </row>
    <row r="1266">
      <c r="A1266" s="45" t="s">
        <v>1014</v>
      </c>
      <c r="B1266" s="45" t="s">
        <v>2830</v>
      </c>
      <c r="C1266" s="45">
        <v>103.0</v>
      </c>
      <c r="D1266" s="45">
        <v>26135.0</v>
      </c>
      <c r="E1266" s="45" t="s">
        <v>3998</v>
      </c>
      <c r="F1266" s="45" t="s">
        <v>4003</v>
      </c>
      <c r="G1266" s="45" t="s">
        <v>4003</v>
      </c>
    </row>
    <row r="1267">
      <c r="A1267" s="45" t="s">
        <v>1015</v>
      </c>
      <c r="B1267" s="45" t="s">
        <v>2830</v>
      </c>
      <c r="C1267" s="45">
        <v>103.0</v>
      </c>
      <c r="D1267" s="45">
        <v>26137.0</v>
      </c>
      <c r="E1267" s="45" t="s">
        <v>3998</v>
      </c>
      <c r="F1267" s="45" t="s">
        <v>4003</v>
      </c>
      <c r="G1267" s="45" t="s">
        <v>4003</v>
      </c>
    </row>
    <row r="1268">
      <c r="A1268" s="45" t="s">
        <v>792</v>
      </c>
      <c r="B1268" s="45" t="s">
        <v>2830</v>
      </c>
      <c r="C1268" s="45">
        <v>103.0</v>
      </c>
      <c r="D1268" s="45">
        <v>26139.0</v>
      </c>
      <c r="E1268" s="45" t="s">
        <v>3998</v>
      </c>
      <c r="F1268" s="45" t="s">
        <v>4003</v>
      </c>
      <c r="G1268" s="45" t="s">
        <v>4003</v>
      </c>
    </row>
    <row r="1269">
      <c r="A1269" s="45" t="s">
        <v>1016</v>
      </c>
      <c r="B1269" s="45" t="s">
        <v>2830</v>
      </c>
      <c r="C1269" s="45">
        <v>103.0</v>
      </c>
      <c r="D1269" s="45">
        <v>26141.0</v>
      </c>
      <c r="E1269" s="45" t="s">
        <v>3998</v>
      </c>
      <c r="F1269" s="45" t="s">
        <v>4003</v>
      </c>
      <c r="G1269" s="45" t="s">
        <v>4003</v>
      </c>
    </row>
    <row r="1270">
      <c r="A1270" s="45" t="s">
        <v>1017</v>
      </c>
      <c r="B1270" s="45" t="s">
        <v>2830</v>
      </c>
      <c r="C1270" s="45">
        <v>103.0</v>
      </c>
      <c r="D1270" s="45">
        <v>26143.0</v>
      </c>
      <c r="E1270" s="45" t="s">
        <v>3998</v>
      </c>
      <c r="F1270" s="45" t="s">
        <v>4003</v>
      </c>
      <c r="G1270" s="45" t="s">
        <v>4003</v>
      </c>
    </row>
    <row r="1271">
      <c r="A1271" s="45" t="s">
        <v>1018</v>
      </c>
      <c r="B1271" s="45" t="s">
        <v>2830</v>
      </c>
      <c r="C1271" s="45">
        <v>103.0</v>
      </c>
      <c r="D1271" s="45">
        <v>26145.0</v>
      </c>
      <c r="E1271" s="45" t="s">
        <v>3998</v>
      </c>
      <c r="F1271" s="45" t="s">
        <v>4003</v>
      </c>
      <c r="G1271" s="45" t="s">
        <v>4003</v>
      </c>
    </row>
    <row r="1272">
      <c r="A1272" s="45" t="s">
        <v>160</v>
      </c>
      <c r="B1272" s="45" t="s">
        <v>2830</v>
      </c>
      <c r="C1272" s="45">
        <v>103.0</v>
      </c>
      <c r="D1272" s="45">
        <v>26147.0</v>
      </c>
      <c r="E1272" s="45" t="s">
        <v>3998</v>
      </c>
      <c r="F1272" s="45" t="s">
        <v>4003</v>
      </c>
      <c r="G1272" s="45" t="s">
        <v>4003</v>
      </c>
    </row>
    <row r="1273">
      <c r="A1273" s="45" t="s">
        <v>690</v>
      </c>
      <c r="B1273" s="45" t="s">
        <v>2830</v>
      </c>
      <c r="C1273" s="45">
        <v>104.0</v>
      </c>
      <c r="D1273" s="45">
        <v>26149.0</v>
      </c>
      <c r="E1273" s="45" t="s">
        <v>3998</v>
      </c>
      <c r="F1273" s="45" t="s">
        <v>3997</v>
      </c>
      <c r="G1273" s="45" t="s">
        <v>4003</v>
      </c>
    </row>
    <row r="1274">
      <c r="A1274" s="45" t="s">
        <v>1019</v>
      </c>
      <c r="B1274" s="45" t="s">
        <v>2830</v>
      </c>
      <c r="C1274" s="45">
        <v>103.0</v>
      </c>
      <c r="D1274" s="45">
        <v>26151.0</v>
      </c>
      <c r="E1274" s="45" t="s">
        <v>3998</v>
      </c>
      <c r="F1274" s="45" t="s">
        <v>4003</v>
      </c>
      <c r="G1274" s="45" t="s">
        <v>4003</v>
      </c>
    </row>
    <row r="1275">
      <c r="A1275" s="45" t="s">
        <v>1020</v>
      </c>
      <c r="B1275" s="45" t="s">
        <v>2830</v>
      </c>
      <c r="C1275" s="45">
        <v>103.0</v>
      </c>
      <c r="D1275" s="45">
        <v>26153.0</v>
      </c>
      <c r="E1275" s="45" t="s">
        <v>4000</v>
      </c>
      <c r="F1275" s="45" t="s">
        <v>3996</v>
      </c>
      <c r="G1275" s="45" t="s">
        <v>4003</v>
      </c>
    </row>
    <row r="1276">
      <c r="A1276" s="45" t="s">
        <v>1021</v>
      </c>
      <c r="B1276" s="45" t="s">
        <v>2830</v>
      </c>
      <c r="C1276" s="45">
        <v>103.0</v>
      </c>
      <c r="D1276" s="45">
        <v>26155.0</v>
      </c>
      <c r="E1276" s="45" t="s">
        <v>3998</v>
      </c>
      <c r="F1276" s="45" t="s">
        <v>4003</v>
      </c>
      <c r="G1276" s="45" t="s">
        <v>4003</v>
      </c>
    </row>
    <row r="1277">
      <c r="A1277" s="45" t="s">
        <v>1022</v>
      </c>
      <c r="B1277" s="45" t="s">
        <v>2830</v>
      </c>
      <c r="C1277" s="45">
        <v>103.0</v>
      </c>
      <c r="D1277" s="45">
        <v>26157.0</v>
      </c>
      <c r="E1277" s="45" t="s">
        <v>3998</v>
      </c>
      <c r="F1277" s="45" t="s">
        <v>4003</v>
      </c>
      <c r="G1277" s="45" t="s">
        <v>4003</v>
      </c>
    </row>
    <row r="1278">
      <c r="A1278" s="45" t="s">
        <v>274</v>
      </c>
      <c r="B1278" s="45" t="s">
        <v>2830</v>
      </c>
      <c r="C1278" s="45">
        <v>104.0</v>
      </c>
      <c r="D1278" s="45">
        <v>26159.0</v>
      </c>
      <c r="E1278" s="45" t="s">
        <v>3998</v>
      </c>
      <c r="F1278" s="45" t="s">
        <v>3997</v>
      </c>
      <c r="G1278" s="45" t="s">
        <v>4003</v>
      </c>
    </row>
    <row r="1279">
      <c r="A1279" s="45" t="s">
        <v>1023</v>
      </c>
      <c r="B1279" s="45" t="s">
        <v>2830</v>
      </c>
      <c r="C1279" s="45">
        <v>103.0</v>
      </c>
      <c r="D1279" s="45">
        <v>26161.0</v>
      </c>
      <c r="E1279" s="45" t="s">
        <v>3998</v>
      </c>
      <c r="F1279" s="45" t="s">
        <v>4003</v>
      </c>
      <c r="G1279" s="45" t="s">
        <v>4003</v>
      </c>
    </row>
    <row r="1280">
      <c r="A1280" s="45" t="s">
        <v>562</v>
      </c>
      <c r="B1280" s="45" t="s">
        <v>2830</v>
      </c>
      <c r="C1280" s="45">
        <v>103.0</v>
      </c>
      <c r="D1280" s="45">
        <v>26163.0</v>
      </c>
      <c r="E1280" s="45" t="s">
        <v>3998</v>
      </c>
      <c r="F1280" s="45" t="s">
        <v>4003</v>
      </c>
      <c r="G1280" s="45" t="s">
        <v>4003</v>
      </c>
    </row>
    <row r="1281">
      <c r="A1281" s="45" t="s">
        <v>1024</v>
      </c>
      <c r="B1281" s="45" t="s">
        <v>2830</v>
      </c>
      <c r="C1281" s="45">
        <v>103.0</v>
      </c>
      <c r="D1281" s="45">
        <v>26165.0</v>
      </c>
      <c r="E1281" s="45" t="s">
        <v>3998</v>
      </c>
      <c r="F1281" s="45" t="s">
        <v>4003</v>
      </c>
      <c r="G1281" s="45" t="s">
        <v>4003</v>
      </c>
    </row>
    <row r="1282">
      <c r="A1282" s="45" t="s">
        <v>1025</v>
      </c>
      <c r="B1282" s="45" t="s">
        <v>2893</v>
      </c>
      <c r="C1282" s="45">
        <v>43.0</v>
      </c>
      <c r="D1282" s="45">
        <v>27001.0</v>
      </c>
      <c r="E1282" s="45" t="s">
        <v>3995</v>
      </c>
      <c r="F1282" s="45" t="s">
        <v>3996</v>
      </c>
      <c r="G1282" s="45" t="s">
        <v>4003</v>
      </c>
    </row>
    <row r="1283">
      <c r="A1283" s="45" t="s">
        <v>1027</v>
      </c>
      <c r="B1283" s="45" t="s">
        <v>2893</v>
      </c>
      <c r="C1283" s="45">
        <v>43.0</v>
      </c>
      <c r="D1283" s="45">
        <v>27003.0</v>
      </c>
      <c r="E1283" s="45" t="s">
        <v>3995</v>
      </c>
      <c r="F1283" s="45" t="s">
        <v>3996</v>
      </c>
      <c r="G1283" s="45" t="s">
        <v>4003</v>
      </c>
    </row>
    <row r="1284">
      <c r="A1284" s="45" t="s">
        <v>1028</v>
      </c>
      <c r="B1284" s="45" t="s">
        <v>2893</v>
      </c>
      <c r="C1284" s="45">
        <v>42.0</v>
      </c>
      <c r="D1284" s="45">
        <v>27005.0</v>
      </c>
      <c r="E1284" s="45" t="s">
        <v>3995</v>
      </c>
      <c r="F1284" s="45" t="s">
        <v>3996</v>
      </c>
      <c r="G1284" s="45" t="s">
        <v>4003</v>
      </c>
    </row>
    <row r="1285">
      <c r="A1285" s="45" t="s">
        <v>1029</v>
      </c>
      <c r="B1285" s="45" t="s">
        <v>2893</v>
      </c>
      <c r="C1285" s="45">
        <v>42.0</v>
      </c>
      <c r="D1285" s="45">
        <v>27007.0</v>
      </c>
      <c r="E1285" s="45" t="s">
        <v>3995</v>
      </c>
      <c r="F1285" s="45" t="s">
        <v>3996</v>
      </c>
      <c r="G1285" s="45" t="s">
        <v>4003</v>
      </c>
    </row>
    <row r="1286">
      <c r="A1286" s="45" t="s">
        <v>224</v>
      </c>
      <c r="B1286" s="45" t="s">
        <v>2893</v>
      </c>
      <c r="C1286" s="45">
        <v>43.0</v>
      </c>
      <c r="D1286" s="45">
        <v>27009.0</v>
      </c>
      <c r="E1286" s="45" t="s">
        <v>3995</v>
      </c>
      <c r="F1286" s="45" t="s">
        <v>3996</v>
      </c>
      <c r="G1286" s="45" t="s">
        <v>4003</v>
      </c>
    </row>
    <row r="1287">
      <c r="A1287" s="45" t="s">
        <v>1030</v>
      </c>
      <c r="B1287" s="45" t="s">
        <v>2893</v>
      </c>
      <c r="C1287" s="45">
        <v>43.0</v>
      </c>
      <c r="D1287" s="45">
        <v>27011.0</v>
      </c>
      <c r="E1287" s="45" t="s">
        <v>3995</v>
      </c>
      <c r="F1287" s="45" t="s">
        <v>3996</v>
      </c>
      <c r="G1287" s="45" t="s">
        <v>4003</v>
      </c>
    </row>
    <row r="1288">
      <c r="A1288" s="45" t="s">
        <v>1031</v>
      </c>
      <c r="B1288" s="45" t="s">
        <v>2893</v>
      </c>
      <c r="C1288" s="45">
        <v>68.0</v>
      </c>
      <c r="D1288" s="45">
        <v>27013.0</v>
      </c>
      <c r="E1288" s="45" t="s">
        <v>3995</v>
      </c>
      <c r="F1288" s="45" t="s">
        <v>3996</v>
      </c>
      <c r="G1288" s="45" t="s">
        <v>4003</v>
      </c>
    </row>
    <row r="1289">
      <c r="A1289" s="45" t="s">
        <v>611</v>
      </c>
      <c r="B1289" s="45" t="s">
        <v>2893</v>
      </c>
      <c r="C1289" s="45">
        <v>68.0</v>
      </c>
      <c r="D1289" s="45">
        <v>27015.0</v>
      </c>
      <c r="E1289" s="45" t="s">
        <v>3995</v>
      </c>
      <c r="F1289" s="45" t="s">
        <v>3996</v>
      </c>
      <c r="G1289" s="45" t="s">
        <v>4003</v>
      </c>
    </row>
    <row r="1290">
      <c r="A1290" s="45" t="s">
        <v>1032</v>
      </c>
      <c r="B1290" s="45" t="s">
        <v>2893</v>
      </c>
      <c r="C1290" s="45">
        <v>43.0</v>
      </c>
      <c r="D1290" s="45">
        <v>27017.0</v>
      </c>
      <c r="E1290" s="45" t="s">
        <v>3995</v>
      </c>
      <c r="F1290" s="45" t="s">
        <v>3996</v>
      </c>
      <c r="G1290" s="45" t="s">
        <v>4003</v>
      </c>
    </row>
    <row r="1291">
      <c r="A1291" s="45" t="s">
        <v>1033</v>
      </c>
      <c r="B1291" s="45" t="s">
        <v>2893</v>
      </c>
      <c r="C1291" s="45">
        <v>43.0</v>
      </c>
      <c r="D1291" s="45">
        <v>27019.0</v>
      </c>
      <c r="E1291" s="45" t="s">
        <v>3995</v>
      </c>
      <c r="F1291" s="45" t="s">
        <v>3996</v>
      </c>
      <c r="G1291" s="45" t="s">
        <v>4003</v>
      </c>
    </row>
    <row r="1292">
      <c r="A1292" s="45" t="s">
        <v>613</v>
      </c>
      <c r="B1292" s="45" t="s">
        <v>2893</v>
      </c>
      <c r="C1292" s="45">
        <v>43.0</v>
      </c>
      <c r="D1292" s="45">
        <v>27021.0</v>
      </c>
      <c r="E1292" s="45" t="s">
        <v>3995</v>
      </c>
      <c r="F1292" s="45" t="s">
        <v>3996</v>
      </c>
      <c r="G1292" s="45" t="s">
        <v>4003</v>
      </c>
    </row>
    <row r="1293">
      <c r="A1293" s="45" t="s">
        <v>975</v>
      </c>
      <c r="B1293" s="45" t="s">
        <v>2893</v>
      </c>
      <c r="C1293" s="45">
        <v>44.0</v>
      </c>
      <c r="D1293" s="45">
        <v>27023.0</v>
      </c>
      <c r="E1293" s="45" t="s">
        <v>3995</v>
      </c>
      <c r="F1293" s="45" t="s">
        <v>3999</v>
      </c>
      <c r="G1293" s="45" t="s">
        <v>4003</v>
      </c>
    </row>
    <row r="1294">
      <c r="A1294" s="45" t="s">
        <v>1034</v>
      </c>
      <c r="B1294" s="45" t="s">
        <v>2893</v>
      </c>
      <c r="C1294" s="45">
        <v>43.0</v>
      </c>
      <c r="D1294" s="45">
        <v>27025.0</v>
      </c>
      <c r="E1294" s="45" t="s">
        <v>3995</v>
      </c>
      <c r="F1294" s="45" t="s">
        <v>3996</v>
      </c>
      <c r="G1294" s="45" t="s">
        <v>4003</v>
      </c>
    </row>
    <row r="1295">
      <c r="A1295" s="45" t="s">
        <v>116</v>
      </c>
      <c r="B1295" s="45" t="s">
        <v>2893</v>
      </c>
      <c r="C1295" s="45">
        <v>42.0</v>
      </c>
      <c r="D1295" s="45">
        <v>27027.0</v>
      </c>
      <c r="E1295" s="45" t="s">
        <v>3995</v>
      </c>
      <c r="F1295" s="45" t="s">
        <v>3999</v>
      </c>
      <c r="G1295" s="45" t="s">
        <v>4003</v>
      </c>
    </row>
    <row r="1296">
      <c r="A1296" s="45" t="s">
        <v>590</v>
      </c>
      <c r="B1296" s="45" t="s">
        <v>2893</v>
      </c>
      <c r="C1296" s="45">
        <v>42.0</v>
      </c>
      <c r="D1296" s="45">
        <v>27029.0</v>
      </c>
      <c r="E1296" s="45" t="s">
        <v>3995</v>
      </c>
      <c r="F1296" s="45" t="s">
        <v>3996</v>
      </c>
      <c r="G1296" s="45" t="s">
        <v>4003</v>
      </c>
    </row>
    <row r="1297">
      <c r="A1297" s="45" t="s">
        <v>487</v>
      </c>
      <c r="B1297" s="45" t="s">
        <v>2893</v>
      </c>
      <c r="C1297" s="45">
        <v>43.0</v>
      </c>
      <c r="D1297" s="45">
        <v>27031.0</v>
      </c>
      <c r="E1297" s="45" t="s">
        <v>3995</v>
      </c>
      <c r="F1297" s="45" t="s">
        <v>3996</v>
      </c>
      <c r="G1297" s="45" t="s">
        <v>4003</v>
      </c>
    </row>
    <row r="1298">
      <c r="A1298" s="45" t="s">
        <v>1035</v>
      </c>
      <c r="B1298" s="45" t="s">
        <v>2893</v>
      </c>
      <c r="C1298" s="45">
        <v>68.0</v>
      </c>
      <c r="D1298" s="45">
        <v>27033.0</v>
      </c>
      <c r="E1298" s="45" t="s">
        <v>3995</v>
      </c>
      <c r="F1298" s="45" t="s">
        <v>3996</v>
      </c>
      <c r="G1298" s="45" t="s">
        <v>4003</v>
      </c>
    </row>
    <row r="1299">
      <c r="A1299" s="45" t="s">
        <v>1036</v>
      </c>
      <c r="B1299" s="45" t="s">
        <v>2893</v>
      </c>
      <c r="C1299" s="45">
        <v>43.0</v>
      </c>
      <c r="D1299" s="45">
        <v>27035.0</v>
      </c>
      <c r="E1299" s="45" t="s">
        <v>3995</v>
      </c>
      <c r="F1299" s="45" t="s">
        <v>3996</v>
      </c>
      <c r="G1299" s="45" t="s">
        <v>4003</v>
      </c>
    </row>
    <row r="1300">
      <c r="A1300" s="45" t="s">
        <v>1037</v>
      </c>
      <c r="B1300" s="45" t="s">
        <v>2893</v>
      </c>
      <c r="C1300" s="45">
        <v>43.0</v>
      </c>
      <c r="D1300" s="45">
        <v>27037.0</v>
      </c>
      <c r="E1300" s="45" t="s">
        <v>3995</v>
      </c>
      <c r="F1300" s="45" t="s">
        <v>3996</v>
      </c>
      <c r="G1300" s="45" t="s">
        <v>3996</v>
      </c>
    </row>
    <row r="1301">
      <c r="A1301" s="45" t="s">
        <v>493</v>
      </c>
      <c r="B1301" s="45" t="s">
        <v>2893</v>
      </c>
      <c r="C1301" s="45">
        <v>43.0</v>
      </c>
      <c r="D1301" s="45">
        <v>27039.0</v>
      </c>
      <c r="E1301" s="45" t="s">
        <v>3995</v>
      </c>
      <c r="F1301" s="45" t="s">
        <v>3996</v>
      </c>
      <c r="G1301" s="45" t="s">
        <v>3996</v>
      </c>
    </row>
    <row r="1302">
      <c r="A1302" s="45" t="s">
        <v>357</v>
      </c>
      <c r="B1302" s="45" t="s">
        <v>2893</v>
      </c>
      <c r="C1302" s="45">
        <v>43.0</v>
      </c>
      <c r="D1302" s="45">
        <v>27041.0</v>
      </c>
      <c r="E1302" s="45" t="s">
        <v>3995</v>
      </c>
      <c r="F1302" s="45" t="s">
        <v>3996</v>
      </c>
      <c r="G1302" s="45" t="s">
        <v>3996</v>
      </c>
    </row>
    <row r="1303">
      <c r="A1303" s="45" t="s">
        <v>1038</v>
      </c>
      <c r="B1303" s="45" t="s">
        <v>2893</v>
      </c>
      <c r="C1303" s="45">
        <v>68.0</v>
      </c>
      <c r="D1303" s="45">
        <v>27043.0</v>
      </c>
      <c r="E1303" s="45" t="s">
        <v>3995</v>
      </c>
      <c r="F1303" s="45" t="s">
        <v>3996</v>
      </c>
      <c r="G1303" s="45" t="s">
        <v>3996</v>
      </c>
    </row>
    <row r="1304">
      <c r="A1304" s="45" t="s">
        <v>1039</v>
      </c>
      <c r="B1304" s="45" t="s">
        <v>2893</v>
      </c>
      <c r="C1304" s="45">
        <v>68.0</v>
      </c>
      <c r="D1304" s="45">
        <v>27045.0</v>
      </c>
      <c r="E1304" s="45" t="s">
        <v>3995</v>
      </c>
      <c r="F1304" s="45" t="s">
        <v>3996</v>
      </c>
      <c r="G1304" s="45" t="s">
        <v>3996</v>
      </c>
    </row>
    <row r="1305">
      <c r="A1305" s="45" t="s">
        <v>1040</v>
      </c>
      <c r="B1305" s="45" t="s">
        <v>2893</v>
      </c>
      <c r="C1305" s="45">
        <v>68.0</v>
      </c>
      <c r="D1305" s="45">
        <v>27047.0</v>
      </c>
      <c r="E1305" s="45" t="s">
        <v>3995</v>
      </c>
      <c r="F1305" s="45" t="s">
        <v>3996</v>
      </c>
      <c r="G1305" s="45" t="s">
        <v>3996</v>
      </c>
    </row>
    <row r="1306">
      <c r="A1306" s="45" t="s">
        <v>1041</v>
      </c>
      <c r="B1306" s="45" t="s">
        <v>2893</v>
      </c>
      <c r="C1306" s="45">
        <v>43.0</v>
      </c>
      <c r="D1306" s="45">
        <v>27049.0</v>
      </c>
      <c r="E1306" s="45" t="s">
        <v>3995</v>
      </c>
      <c r="F1306" s="45" t="s">
        <v>3996</v>
      </c>
      <c r="G1306" s="45" t="s">
        <v>3996</v>
      </c>
    </row>
    <row r="1307">
      <c r="A1307" s="45" t="s">
        <v>242</v>
      </c>
      <c r="B1307" s="45" t="s">
        <v>2893</v>
      </c>
      <c r="C1307" s="45">
        <v>43.0</v>
      </c>
      <c r="D1307" s="45">
        <v>27051.0</v>
      </c>
      <c r="E1307" s="45" t="s">
        <v>3995</v>
      </c>
      <c r="F1307" s="45" t="s">
        <v>3999</v>
      </c>
      <c r="G1307" s="45" t="s">
        <v>3996</v>
      </c>
    </row>
    <row r="1308">
      <c r="A1308" s="45" t="s">
        <v>1042</v>
      </c>
      <c r="B1308" s="45" t="s">
        <v>2893</v>
      </c>
      <c r="C1308" s="45">
        <v>43.0</v>
      </c>
      <c r="D1308" s="45">
        <v>27053.0</v>
      </c>
      <c r="E1308" s="45" t="s">
        <v>3995</v>
      </c>
      <c r="F1308" s="45" t="s">
        <v>3996</v>
      </c>
      <c r="G1308" s="45" t="s">
        <v>3996</v>
      </c>
    </row>
    <row r="1309">
      <c r="A1309" s="45" t="s">
        <v>137</v>
      </c>
      <c r="B1309" s="45" t="s">
        <v>2893</v>
      </c>
      <c r="C1309" s="45">
        <v>68.0</v>
      </c>
      <c r="D1309" s="45">
        <v>27055.0</v>
      </c>
      <c r="E1309" s="45" t="s">
        <v>3995</v>
      </c>
      <c r="F1309" s="45" t="s">
        <v>3996</v>
      </c>
      <c r="G1309" s="45" t="s">
        <v>3996</v>
      </c>
    </row>
    <row r="1310">
      <c r="A1310" s="45" t="s">
        <v>1043</v>
      </c>
      <c r="B1310" s="45" t="s">
        <v>2893</v>
      </c>
      <c r="C1310" s="45">
        <v>43.0</v>
      </c>
      <c r="D1310" s="45">
        <v>27057.0</v>
      </c>
      <c r="E1310" s="45" t="s">
        <v>3995</v>
      </c>
      <c r="F1310" s="45" t="s">
        <v>3996</v>
      </c>
      <c r="G1310" s="45" t="s">
        <v>3996</v>
      </c>
    </row>
    <row r="1311">
      <c r="A1311" s="45" t="s">
        <v>1044</v>
      </c>
      <c r="B1311" s="45" t="s">
        <v>2893</v>
      </c>
      <c r="C1311" s="45">
        <v>43.0</v>
      </c>
      <c r="D1311" s="45">
        <v>27059.0</v>
      </c>
      <c r="E1311" s="45" t="s">
        <v>3995</v>
      </c>
      <c r="F1311" s="45" t="s">
        <v>3996</v>
      </c>
      <c r="G1311" s="45" t="s">
        <v>3997</v>
      </c>
    </row>
    <row r="1312">
      <c r="A1312" s="45" t="s">
        <v>1045</v>
      </c>
      <c r="B1312" s="45" t="s">
        <v>2893</v>
      </c>
      <c r="C1312" s="45">
        <v>43.0</v>
      </c>
      <c r="D1312" s="45">
        <v>27061.0</v>
      </c>
      <c r="E1312" s="45" t="s">
        <v>3995</v>
      </c>
      <c r="F1312" s="45" t="s">
        <v>3996</v>
      </c>
      <c r="G1312" s="45" t="s">
        <v>3997</v>
      </c>
    </row>
    <row r="1313">
      <c r="A1313" s="45" t="s">
        <v>138</v>
      </c>
      <c r="B1313" s="45" t="s">
        <v>2893</v>
      </c>
      <c r="C1313" s="45">
        <v>68.0</v>
      </c>
      <c r="D1313" s="45">
        <v>27063.0</v>
      </c>
      <c r="E1313" s="45" t="s">
        <v>3995</v>
      </c>
      <c r="F1313" s="45" t="s">
        <v>3996</v>
      </c>
      <c r="G1313" s="45" t="s">
        <v>3997</v>
      </c>
    </row>
    <row r="1314">
      <c r="A1314" s="45" t="s">
        <v>1046</v>
      </c>
      <c r="B1314" s="45" t="s">
        <v>2893</v>
      </c>
      <c r="C1314" s="45">
        <v>43.0</v>
      </c>
      <c r="D1314" s="45">
        <v>27065.0</v>
      </c>
      <c r="E1314" s="45" t="s">
        <v>3995</v>
      </c>
      <c r="F1314" s="45" t="s">
        <v>3996</v>
      </c>
      <c r="G1314" s="45" t="s">
        <v>3997</v>
      </c>
    </row>
    <row r="1315">
      <c r="A1315" s="45" t="s">
        <v>1047</v>
      </c>
      <c r="B1315" s="45" t="s">
        <v>2893</v>
      </c>
      <c r="C1315" s="45">
        <v>43.0</v>
      </c>
      <c r="D1315" s="45">
        <v>27067.0</v>
      </c>
      <c r="E1315" s="45" t="s">
        <v>3995</v>
      </c>
      <c r="F1315" s="45" t="s">
        <v>3996</v>
      </c>
      <c r="G1315" s="45" t="s">
        <v>3997</v>
      </c>
    </row>
    <row r="1316">
      <c r="A1316" s="45" t="s">
        <v>1048</v>
      </c>
      <c r="B1316" s="45" t="s">
        <v>2893</v>
      </c>
      <c r="C1316" s="45">
        <v>42.0</v>
      </c>
      <c r="D1316" s="45">
        <v>27069.0</v>
      </c>
      <c r="E1316" s="45" t="s">
        <v>3995</v>
      </c>
      <c r="F1316" s="45" t="s">
        <v>3996</v>
      </c>
      <c r="G1316" s="45" t="s">
        <v>3996</v>
      </c>
    </row>
    <row r="1317">
      <c r="A1317" s="45" t="s">
        <v>1049</v>
      </c>
      <c r="B1317" s="45" t="s">
        <v>2893</v>
      </c>
      <c r="C1317" s="45">
        <v>42.0</v>
      </c>
      <c r="D1317" s="45">
        <v>27071.0</v>
      </c>
      <c r="E1317" s="45" t="s">
        <v>3995</v>
      </c>
      <c r="F1317" s="45" t="s">
        <v>3996</v>
      </c>
      <c r="G1317" s="45" t="s">
        <v>3996</v>
      </c>
    </row>
    <row r="1318">
      <c r="A1318" s="45" t="s">
        <v>1050</v>
      </c>
      <c r="B1318" s="45" t="s">
        <v>2893</v>
      </c>
      <c r="C1318" s="45">
        <v>44.0</v>
      </c>
      <c r="D1318" s="45">
        <v>27073.0</v>
      </c>
      <c r="E1318" s="45" t="s">
        <v>3995</v>
      </c>
      <c r="F1318" s="45" t="s">
        <v>3996</v>
      </c>
      <c r="G1318" s="45" t="s">
        <v>3996</v>
      </c>
    </row>
    <row r="1319">
      <c r="A1319" s="45" t="s">
        <v>298</v>
      </c>
      <c r="B1319" s="45" t="s">
        <v>2893</v>
      </c>
      <c r="C1319" s="45">
        <v>43.0</v>
      </c>
      <c r="D1319" s="45">
        <v>27075.0</v>
      </c>
      <c r="E1319" s="45" t="s">
        <v>3995</v>
      </c>
      <c r="F1319" s="45" t="s">
        <v>3996</v>
      </c>
      <c r="G1319" s="45" t="s">
        <v>3996</v>
      </c>
    </row>
    <row r="1320">
      <c r="A1320" s="45" t="s">
        <v>1051</v>
      </c>
      <c r="B1320" s="45" t="s">
        <v>2893</v>
      </c>
      <c r="C1320" s="45">
        <v>42.0</v>
      </c>
      <c r="D1320" s="45">
        <v>27077.0</v>
      </c>
      <c r="E1320" s="45" t="s">
        <v>3995</v>
      </c>
      <c r="F1320" s="45" t="s">
        <v>3996</v>
      </c>
      <c r="G1320" s="45" t="s">
        <v>3996</v>
      </c>
    </row>
    <row r="1321">
      <c r="A1321" s="45" t="s">
        <v>1052</v>
      </c>
      <c r="B1321" s="45" t="s">
        <v>2893</v>
      </c>
      <c r="C1321" s="45">
        <v>43.0</v>
      </c>
      <c r="D1321" s="45">
        <v>27079.0</v>
      </c>
      <c r="E1321" s="45" t="s">
        <v>3995</v>
      </c>
      <c r="F1321" s="45" t="s">
        <v>3996</v>
      </c>
      <c r="G1321" s="45" t="s">
        <v>3996</v>
      </c>
    </row>
    <row r="1322">
      <c r="A1322" s="45" t="s">
        <v>250</v>
      </c>
      <c r="B1322" s="45" t="s">
        <v>2893</v>
      </c>
      <c r="C1322" s="45">
        <v>44.0</v>
      </c>
      <c r="D1322" s="45">
        <v>27081.0</v>
      </c>
      <c r="E1322" s="45" t="s">
        <v>3995</v>
      </c>
      <c r="F1322" s="45" t="s">
        <v>3999</v>
      </c>
      <c r="G1322" s="45" t="s">
        <v>3996</v>
      </c>
    </row>
    <row r="1323">
      <c r="A1323" s="45" t="s">
        <v>729</v>
      </c>
      <c r="B1323" s="45" t="s">
        <v>2893</v>
      </c>
      <c r="C1323" s="45">
        <v>44.0</v>
      </c>
      <c r="D1323" s="45">
        <v>27083.0</v>
      </c>
      <c r="E1323" s="45" t="s">
        <v>3995</v>
      </c>
      <c r="F1323" s="45" t="s">
        <v>3999</v>
      </c>
      <c r="G1323" s="45" t="s">
        <v>3996</v>
      </c>
    </row>
    <row r="1324">
      <c r="A1324" s="45" t="s">
        <v>1053</v>
      </c>
      <c r="B1324" s="45" t="s">
        <v>2893</v>
      </c>
      <c r="C1324" s="45">
        <v>43.0</v>
      </c>
      <c r="D1324" s="45">
        <v>27085.0</v>
      </c>
      <c r="E1324" s="45" t="s">
        <v>3995</v>
      </c>
      <c r="F1324" s="45" t="s">
        <v>3996</v>
      </c>
      <c r="G1324" s="45" t="s">
        <v>3996</v>
      </c>
    </row>
    <row r="1325">
      <c r="A1325" s="45" t="s">
        <v>1054</v>
      </c>
      <c r="B1325" s="45" t="s">
        <v>2893</v>
      </c>
      <c r="C1325" s="45">
        <v>42.0</v>
      </c>
      <c r="D1325" s="45">
        <v>27087.0</v>
      </c>
      <c r="E1325" s="45" t="s">
        <v>3995</v>
      </c>
      <c r="F1325" s="45" t="s">
        <v>3996</v>
      </c>
      <c r="G1325" s="45" t="s">
        <v>3996</v>
      </c>
    </row>
    <row r="1326">
      <c r="A1326" s="45" t="s">
        <v>150</v>
      </c>
      <c r="B1326" s="45" t="s">
        <v>2893</v>
      </c>
      <c r="C1326" s="45">
        <v>42.0</v>
      </c>
      <c r="D1326" s="45">
        <v>27089.0</v>
      </c>
      <c r="E1326" s="45" t="s">
        <v>3995</v>
      </c>
      <c r="F1326" s="45" t="s">
        <v>3996</v>
      </c>
      <c r="G1326" s="45" t="s">
        <v>3996</v>
      </c>
    </row>
    <row r="1327">
      <c r="A1327" s="45" t="s">
        <v>440</v>
      </c>
      <c r="B1327" s="45" t="s">
        <v>2893</v>
      </c>
      <c r="C1327" s="45">
        <v>68.0</v>
      </c>
      <c r="D1327" s="45">
        <v>27091.0</v>
      </c>
      <c r="E1327" s="45" t="s">
        <v>3995</v>
      </c>
      <c r="F1327" s="45" t="s">
        <v>3996</v>
      </c>
      <c r="G1327" s="45" t="s">
        <v>3996</v>
      </c>
    </row>
    <row r="1328">
      <c r="A1328" s="45" t="s">
        <v>1055</v>
      </c>
      <c r="B1328" s="45" t="s">
        <v>2893</v>
      </c>
      <c r="C1328" s="45">
        <v>43.0</v>
      </c>
      <c r="D1328" s="45">
        <v>27093.0</v>
      </c>
      <c r="E1328" s="45" t="s">
        <v>3995</v>
      </c>
      <c r="F1328" s="45" t="s">
        <v>3996</v>
      </c>
      <c r="G1328" s="45" t="s">
        <v>3996</v>
      </c>
    </row>
    <row r="1329">
      <c r="A1329" s="45" t="s">
        <v>1056</v>
      </c>
      <c r="B1329" s="45" t="s">
        <v>2893</v>
      </c>
      <c r="C1329" s="45">
        <v>43.0</v>
      </c>
      <c r="D1329" s="45">
        <v>27095.0</v>
      </c>
      <c r="E1329" s="45" t="s">
        <v>3995</v>
      </c>
      <c r="F1329" s="45" t="s">
        <v>3996</v>
      </c>
      <c r="G1329" s="45" t="s">
        <v>3996</v>
      </c>
    </row>
    <row r="1330">
      <c r="A1330" s="45" t="s">
        <v>1057</v>
      </c>
      <c r="B1330" s="45" t="s">
        <v>2893</v>
      </c>
      <c r="C1330" s="45">
        <v>43.0</v>
      </c>
      <c r="D1330" s="45">
        <v>27097.0</v>
      </c>
      <c r="E1330" s="45" t="s">
        <v>3995</v>
      </c>
      <c r="F1330" s="45" t="s">
        <v>3996</v>
      </c>
      <c r="G1330" s="45" t="s">
        <v>3996</v>
      </c>
    </row>
    <row r="1331">
      <c r="A1331" s="45" t="s">
        <v>1058</v>
      </c>
      <c r="B1331" s="45" t="s">
        <v>2893</v>
      </c>
      <c r="C1331" s="45">
        <v>68.0</v>
      </c>
      <c r="D1331" s="45">
        <v>27099.0</v>
      </c>
      <c r="E1331" s="45" t="s">
        <v>3995</v>
      </c>
      <c r="F1331" s="45" t="s">
        <v>3996</v>
      </c>
      <c r="G1331" s="45" t="s">
        <v>3996</v>
      </c>
    </row>
    <row r="1332">
      <c r="A1332" s="45" t="s">
        <v>530</v>
      </c>
      <c r="B1332" s="45" t="s">
        <v>2893</v>
      </c>
      <c r="C1332" s="45">
        <v>44.0</v>
      </c>
      <c r="D1332" s="45">
        <v>27101.0</v>
      </c>
      <c r="E1332" s="45" t="s">
        <v>3995</v>
      </c>
      <c r="F1332" s="45" t="s">
        <v>3999</v>
      </c>
      <c r="G1332" s="45" t="s">
        <v>3996</v>
      </c>
    </row>
    <row r="1333">
      <c r="A1333" s="45" t="s">
        <v>1059</v>
      </c>
      <c r="B1333" s="45" t="s">
        <v>2893</v>
      </c>
      <c r="C1333" s="45">
        <v>68.0</v>
      </c>
      <c r="D1333" s="45">
        <v>27103.0</v>
      </c>
      <c r="E1333" s="45" t="s">
        <v>3995</v>
      </c>
      <c r="F1333" s="45" t="s">
        <v>3996</v>
      </c>
      <c r="G1333" s="45" t="s">
        <v>3996</v>
      </c>
    </row>
    <row r="1334">
      <c r="A1334" s="45" t="s">
        <v>1060</v>
      </c>
      <c r="B1334" s="45" t="s">
        <v>2893</v>
      </c>
      <c r="C1334" s="45">
        <v>44.0</v>
      </c>
      <c r="D1334" s="45">
        <v>27105.0</v>
      </c>
      <c r="E1334" s="45" t="s">
        <v>3995</v>
      </c>
      <c r="F1334" s="45" t="s">
        <v>3996</v>
      </c>
      <c r="G1334" s="45" t="s">
        <v>3996</v>
      </c>
    </row>
    <row r="1335">
      <c r="A1335" s="45" t="s">
        <v>1061</v>
      </c>
      <c r="B1335" s="45" t="s">
        <v>2893</v>
      </c>
      <c r="C1335" s="45">
        <v>42.0</v>
      </c>
      <c r="D1335" s="45">
        <v>27107.0</v>
      </c>
      <c r="E1335" s="45" t="s">
        <v>3995</v>
      </c>
      <c r="F1335" s="45" t="s">
        <v>3996</v>
      </c>
      <c r="G1335" s="45" t="s">
        <v>3996</v>
      </c>
    </row>
    <row r="1336">
      <c r="A1336" s="45" t="s">
        <v>1062</v>
      </c>
      <c r="B1336" s="45" t="s">
        <v>2893</v>
      </c>
      <c r="C1336" s="45">
        <v>43.0</v>
      </c>
      <c r="D1336" s="45">
        <v>27109.0</v>
      </c>
      <c r="E1336" s="45" t="s">
        <v>3995</v>
      </c>
      <c r="F1336" s="45" t="s">
        <v>3996</v>
      </c>
      <c r="G1336" s="45" t="s">
        <v>3996</v>
      </c>
    </row>
    <row r="1337">
      <c r="A1337" s="45" t="s">
        <v>1063</v>
      </c>
      <c r="B1337" s="45" t="s">
        <v>2893</v>
      </c>
      <c r="C1337" s="45">
        <v>43.0</v>
      </c>
      <c r="D1337" s="45">
        <v>27111.0</v>
      </c>
      <c r="E1337" s="45" t="s">
        <v>3995</v>
      </c>
      <c r="F1337" s="45" t="s">
        <v>3999</v>
      </c>
      <c r="G1337" s="45" t="s">
        <v>3996</v>
      </c>
    </row>
    <row r="1338">
      <c r="A1338" s="45" t="s">
        <v>1064</v>
      </c>
      <c r="B1338" s="45" t="s">
        <v>2893</v>
      </c>
      <c r="C1338" s="45">
        <v>42.0</v>
      </c>
      <c r="D1338" s="45">
        <v>27113.0</v>
      </c>
      <c r="E1338" s="45" t="s">
        <v>3995</v>
      </c>
      <c r="F1338" s="45" t="s">
        <v>3996</v>
      </c>
      <c r="G1338" s="45" t="s">
        <v>3996</v>
      </c>
    </row>
    <row r="1339">
      <c r="A1339" s="45" t="s">
        <v>1065</v>
      </c>
      <c r="B1339" s="45" t="s">
        <v>2893</v>
      </c>
      <c r="C1339" s="45">
        <v>43.0</v>
      </c>
      <c r="D1339" s="45">
        <v>27115.0</v>
      </c>
      <c r="E1339" s="45" t="s">
        <v>3995</v>
      </c>
      <c r="F1339" s="45" t="s">
        <v>3996</v>
      </c>
      <c r="G1339" s="45" t="s">
        <v>3996</v>
      </c>
    </row>
    <row r="1340">
      <c r="A1340" s="45" t="s">
        <v>1066</v>
      </c>
      <c r="B1340" s="45" t="s">
        <v>2893</v>
      </c>
      <c r="C1340" s="45">
        <v>44.0</v>
      </c>
      <c r="D1340" s="45">
        <v>27117.0</v>
      </c>
      <c r="E1340" s="45" t="s">
        <v>3995</v>
      </c>
      <c r="F1340" s="45" t="s">
        <v>3999</v>
      </c>
      <c r="G1340" s="45" t="s">
        <v>3996</v>
      </c>
    </row>
    <row r="1341">
      <c r="A1341" s="45" t="s">
        <v>261</v>
      </c>
      <c r="B1341" s="45" t="s">
        <v>2893</v>
      </c>
      <c r="C1341" s="45">
        <v>42.0</v>
      </c>
      <c r="D1341" s="45">
        <v>27119.0</v>
      </c>
      <c r="E1341" s="45" t="s">
        <v>3995</v>
      </c>
      <c r="F1341" s="45" t="s">
        <v>3999</v>
      </c>
      <c r="G1341" s="45" t="s">
        <v>3996</v>
      </c>
    </row>
    <row r="1342">
      <c r="A1342" s="45" t="s">
        <v>262</v>
      </c>
      <c r="B1342" s="45" t="s">
        <v>2893</v>
      </c>
      <c r="C1342" s="45">
        <v>43.0</v>
      </c>
      <c r="D1342" s="45">
        <v>27121.0</v>
      </c>
      <c r="E1342" s="45" t="s">
        <v>3995</v>
      </c>
      <c r="F1342" s="45" t="s">
        <v>3996</v>
      </c>
      <c r="G1342" s="45" t="s">
        <v>3996</v>
      </c>
    </row>
    <row r="1343">
      <c r="A1343" s="45" t="s">
        <v>1067</v>
      </c>
      <c r="B1343" s="45" t="s">
        <v>2893</v>
      </c>
      <c r="C1343" s="45">
        <v>43.0</v>
      </c>
      <c r="D1343" s="45">
        <v>27123.0</v>
      </c>
      <c r="E1343" s="45" t="s">
        <v>3995</v>
      </c>
      <c r="F1343" s="45" t="s">
        <v>3996</v>
      </c>
      <c r="G1343" s="45" t="s">
        <v>3996</v>
      </c>
    </row>
    <row r="1344">
      <c r="A1344" s="45" t="s">
        <v>1068</v>
      </c>
      <c r="B1344" s="45" t="s">
        <v>2893</v>
      </c>
      <c r="C1344" s="45">
        <v>42.0</v>
      </c>
      <c r="D1344" s="45">
        <v>27125.0</v>
      </c>
      <c r="E1344" s="45" t="s">
        <v>3995</v>
      </c>
      <c r="F1344" s="45" t="s">
        <v>3996</v>
      </c>
      <c r="G1344" s="45" t="s">
        <v>3996</v>
      </c>
    </row>
    <row r="1345">
      <c r="A1345" s="45" t="s">
        <v>1069</v>
      </c>
      <c r="B1345" s="45" t="s">
        <v>2893</v>
      </c>
      <c r="C1345" s="45">
        <v>44.0</v>
      </c>
      <c r="D1345" s="45">
        <v>27127.0</v>
      </c>
      <c r="E1345" s="45" t="s">
        <v>3995</v>
      </c>
      <c r="F1345" s="45" t="s">
        <v>3996</v>
      </c>
      <c r="G1345" s="45" t="s">
        <v>3996</v>
      </c>
    </row>
    <row r="1346">
      <c r="A1346" s="45" t="s">
        <v>1070</v>
      </c>
      <c r="B1346" s="45" t="s">
        <v>2893</v>
      </c>
      <c r="C1346" s="45">
        <v>44.0</v>
      </c>
      <c r="D1346" s="45">
        <v>27129.0</v>
      </c>
      <c r="E1346" s="45" t="s">
        <v>3995</v>
      </c>
      <c r="F1346" s="45" t="s">
        <v>3996</v>
      </c>
      <c r="G1346" s="45" t="s">
        <v>3996</v>
      </c>
    </row>
    <row r="1347">
      <c r="A1347" s="45" t="s">
        <v>799</v>
      </c>
      <c r="B1347" s="45" t="s">
        <v>2893</v>
      </c>
      <c r="C1347" s="45">
        <v>43.0</v>
      </c>
      <c r="D1347" s="45">
        <v>27131.0</v>
      </c>
      <c r="E1347" s="45" t="s">
        <v>3995</v>
      </c>
      <c r="F1347" s="45" t="s">
        <v>3996</v>
      </c>
      <c r="G1347" s="45" t="s">
        <v>3996</v>
      </c>
    </row>
    <row r="1348">
      <c r="A1348" s="45" t="s">
        <v>1071</v>
      </c>
      <c r="B1348" s="45" t="s">
        <v>2893</v>
      </c>
      <c r="C1348" s="45">
        <v>44.0</v>
      </c>
      <c r="D1348" s="45">
        <v>27133.0</v>
      </c>
      <c r="E1348" s="45" t="s">
        <v>3995</v>
      </c>
      <c r="F1348" s="45" t="s">
        <v>3996</v>
      </c>
      <c r="G1348" s="45" t="s">
        <v>3996</v>
      </c>
    </row>
    <row r="1349">
      <c r="A1349" s="45" t="s">
        <v>1072</v>
      </c>
      <c r="B1349" s="45" t="s">
        <v>2893</v>
      </c>
      <c r="C1349" s="45">
        <v>42.0</v>
      </c>
      <c r="D1349" s="45">
        <v>27135.0</v>
      </c>
      <c r="E1349" s="45" t="s">
        <v>3995</v>
      </c>
      <c r="F1349" s="45" t="s">
        <v>3996</v>
      </c>
      <c r="G1349" s="45" t="s">
        <v>3996</v>
      </c>
    </row>
    <row r="1350">
      <c r="A1350" s="45" t="s">
        <v>1073</v>
      </c>
      <c r="B1350" s="45" t="s">
        <v>2893</v>
      </c>
      <c r="C1350" s="45">
        <v>43.0</v>
      </c>
      <c r="D1350" s="45">
        <v>27137.0</v>
      </c>
      <c r="E1350" s="45" t="s">
        <v>3995</v>
      </c>
      <c r="F1350" s="45" t="s">
        <v>3996</v>
      </c>
      <c r="G1350" s="45" t="s">
        <v>3996</v>
      </c>
    </row>
    <row r="1351">
      <c r="A1351" s="45" t="s">
        <v>267</v>
      </c>
      <c r="B1351" s="45" t="s">
        <v>2893</v>
      </c>
      <c r="C1351" s="45">
        <v>43.0</v>
      </c>
      <c r="D1351" s="45">
        <v>27139.0</v>
      </c>
      <c r="E1351" s="45" t="s">
        <v>3995</v>
      </c>
      <c r="F1351" s="45" t="s">
        <v>3996</v>
      </c>
      <c r="G1351" s="45" t="s">
        <v>3996</v>
      </c>
    </row>
    <row r="1352">
      <c r="A1352" s="45" t="s">
        <v>1074</v>
      </c>
      <c r="B1352" s="45" t="s">
        <v>2893</v>
      </c>
      <c r="C1352" s="45">
        <v>43.0</v>
      </c>
      <c r="D1352" s="45">
        <v>27141.0</v>
      </c>
      <c r="E1352" s="45" t="s">
        <v>3995</v>
      </c>
      <c r="F1352" s="45" t="s">
        <v>3996</v>
      </c>
      <c r="G1352" s="45" t="s">
        <v>3996</v>
      </c>
    </row>
    <row r="1353">
      <c r="A1353" s="45" t="s">
        <v>1075</v>
      </c>
      <c r="B1353" s="45" t="s">
        <v>2893</v>
      </c>
      <c r="C1353" s="45">
        <v>43.0</v>
      </c>
      <c r="D1353" s="45">
        <v>27143.0</v>
      </c>
      <c r="E1353" s="45" t="s">
        <v>3995</v>
      </c>
      <c r="F1353" s="45" t="s">
        <v>3996</v>
      </c>
      <c r="G1353" s="45" t="s">
        <v>3996</v>
      </c>
    </row>
    <row r="1354">
      <c r="A1354" s="45" t="s">
        <v>1076</v>
      </c>
      <c r="B1354" s="45" t="s">
        <v>2893</v>
      </c>
      <c r="C1354" s="45">
        <v>43.0</v>
      </c>
      <c r="D1354" s="45">
        <v>27145.0</v>
      </c>
      <c r="E1354" s="45" t="s">
        <v>3995</v>
      </c>
      <c r="F1354" s="45" t="s">
        <v>3996</v>
      </c>
      <c r="G1354" s="45" t="s">
        <v>3996</v>
      </c>
    </row>
    <row r="1355">
      <c r="A1355" s="45" t="s">
        <v>1077</v>
      </c>
      <c r="B1355" s="45" t="s">
        <v>2893</v>
      </c>
      <c r="C1355" s="45">
        <v>43.0</v>
      </c>
      <c r="D1355" s="45">
        <v>27147.0</v>
      </c>
      <c r="E1355" s="45" t="s">
        <v>3995</v>
      </c>
      <c r="F1355" s="45" t="s">
        <v>3996</v>
      </c>
      <c r="G1355" s="45" t="s">
        <v>3996</v>
      </c>
    </row>
    <row r="1356">
      <c r="A1356" s="45" t="s">
        <v>809</v>
      </c>
      <c r="B1356" s="45" t="s">
        <v>2893</v>
      </c>
      <c r="C1356" s="45">
        <v>43.0</v>
      </c>
      <c r="D1356" s="45">
        <v>27149.0</v>
      </c>
      <c r="E1356" s="45" t="s">
        <v>3995</v>
      </c>
      <c r="F1356" s="45" t="s">
        <v>3999</v>
      </c>
      <c r="G1356" s="45" t="s">
        <v>3996</v>
      </c>
    </row>
    <row r="1357">
      <c r="A1357" s="45" t="s">
        <v>1078</v>
      </c>
      <c r="B1357" s="45" t="s">
        <v>2893</v>
      </c>
      <c r="C1357" s="45">
        <v>43.0</v>
      </c>
      <c r="D1357" s="45">
        <v>27151.0</v>
      </c>
      <c r="E1357" s="45" t="s">
        <v>3995</v>
      </c>
      <c r="F1357" s="45" t="s">
        <v>3999</v>
      </c>
      <c r="G1357" s="45" t="s">
        <v>3996</v>
      </c>
    </row>
    <row r="1358">
      <c r="A1358" s="45" t="s">
        <v>870</v>
      </c>
      <c r="B1358" s="45" t="s">
        <v>2893</v>
      </c>
      <c r="C1358" s="45">
        <v>43.0</v>
      </c>
      <c r="D1358" s="45">
        <v>27153.0</v>
      </c>
      <c r="E1358" s="45" t="s">
        <v>3995</v>
      </c>
      <c r="F1358" s="45" t="s">
        <v>3996</v>
      </c>
      <c r="G1358" s="45" t="s">
        <v>3996</v>
      </c>
    </row>
    <row r="1359">
      <c r="A1359" s="45" t="s">
        <v>1079</v>
      </c>
      <c r="B1359" s="45" t="s">
        <v>2893</v>
      </c>
      <c r="C1359" s="45">
        <v>43.0</v>
      </c>
      <c r="D1359" s="45">
        <v>27155.0</v>
      </c>
      <c r="E1359" s="45" t="s">
        <v>3995</v>
      </c>
      <c r="F1359" s="45" t="s">
        <v>3999</v>
      </c>
      <c r="G1359" s="45" t="s">
        <v>3996</v>
      </c>
    </row>
    <row r="1360">
      <c r="A1360" s="45" t="s">
        <v>1080</v>
      </c>
      <c r="B1360" s="45" t="s">
        <v>2893</v>
      </c>
      <c r="C1360" s="45">
        <v>43.0</v>
      </c>
      <c r="D1360" s="45">
        <v>27157.0</v>
      </c>
      <c r="E1360" s="45" t="s">
        <v>3995</v>
      </c>
      <c r="F1360" s="45" t="s">
        <v>3996</v>
      </c>
      <c r="G1360" s="45" t="s">
        <v>3996</v>
      </c>
    </row>
    <row r="1361">
      <c r="A1361" s="45" t="s">
        <v>1081</v>
      </c>
      <c r="B1361" s="45" t="s">
        <v>2893</v>
      </c>
      <c r="C1361" s="45">
        <v>43.0</v>
      </c>
      <c r="D1361" s="45">
        <v>27159.0</v>
      </c>
      <c r="E1361" s="45" t="s">
        <v>3995</v>
      </c>
      <c r="F1361" s="45" t="s">
        <v>3996</v>
      </c>
      <c r="G1361" s="45" t="s">
        <v>3996</v>
      </c>
    </row>
    <row r="1362">
      <c r="A1362" s="45" t="s">
        <v>1082</v>
      </c>
      <c r="B1362" s="45" t="s">
        <v>2893</v>
      </c>
      <c r="C1362" s="45">
        <v>68.0</v>
      </c>
      <c r="D1362" s="45">
        <v>27161.0</v>
      </c>
      <c r="E1362" s="45" t="s">
        <v>3995</v>
      </c>
      <c r="F1362" s="45" t="s">
        <v>3996</v>
      </c>
      <c r="G1362" s="45" t="s">
        <v>3996</v>
      </c>
    </row>
    <row r="1363">
      <c r="A1363" s="45" t="s">
        <v>167</v>
      </c>
      <c r="B1363" s="45" t="s">
        <v>2893</v>
      </c>
      <c r="C1363" s="45">
        <v>43.0</v>
      </c>
      <c r="D1363" s="45">
        <v>27163.0</v>
      </c>
      <c r="E1363" s="45" t="s">
        <v>3995</v>
      </c>
      <c r="F1363" s="45" t="s">
        <v>3996</v>
      </c>
      <c r="G1363" s="45" t="s">
        <v>3996</v>
      </c>
    </row>
    <row r="1364">
      <c r="A1364" s="45" t="s">
        <v>1083</v>
      </c>
      <c r="B1364" s="45" t="s">
        <v>2893</v>
      </c>
      <c r="C1364" s="45">
        <v>68.0</v>
      </c>
      <c r="D1364" s="45">
        <v>27165.0</v>
      </c>
      <c r="E1364" s="45" t="s">
        <v>3995</v>
      </c>
      <c r="F1364" s="45" t="s">
        <v>3996</v>
      </c>
      <c r="G1364" s="45" t="s">
        <v>3996</v>
      </c>
    </row>
    <row r="1365">
      <c r="A1365" s="45" t="s">
        <v>1084</v>
      </c>
      <c r="B1365" s="45" t="s">
        <v>2893</v>
      </c>
      <c r="C1365" s="45">
        <v>43.0</v>
      </c>
      <c r="D1365" s="45">
        <v>27167.0</v>
      </c>
      <c r="E1365" s="45" t="s">
        <v>3995</v>
      </c>
      <c r="F1365" s="45" t="s">
        <v>3999</v>
      </c>
      <c r="G1365" s="45" t="s">
        <v>3996</v>
      </c>
    </row>
    <row r="1366">
      <c r="A1366" s="45" t="s">
        <v>1085</v>
      </c>
      <c r="B1366" s="45" t="s">
        <v>2893</v>
      </c>
      <c r="C1366" s="45">
        <v>43.0</v>
      </c>
      <c r="D1366" s="45">
        <v>27169.0</v>
      </c>
      <c r="E1366" s="45" t="s">
        <v>3995</v>
      </c>
      <c r="F1366" s="45" t="s">
        <v>3996</v>
      </c>
      <c r="G1366" s="45" t="s">
        <v>3996</v>
      </c>
    </row>
    <row r="1367">
      <c r="A1367" s="45" t="s">
        <v>749</v>
      </c>
      <c r="B1367" s="45" t="s">
        <v>2893</v>
      </c>
      <c r="C1367" s="45">
        <v>43.0</v>
      </c>
      <c r="D1367" s="45">
        <v>27171.0</v>
      </c>
      <c r="E1367" s="45" t="s">
        <v>3995</v>
      </c>
      <c r="F1367" s="45" t="s">
        <v>3996</v>
      </c>
      <c r="G1367" s="45" t="s">
        <v>3996</v>
      </c>
    </row>
    <row r="1368">
      <c r="A1368" s="45" t="s">
        <v>1086</v>
      </c>
      <c r="B1368" s="45" t="s">
        <v>2893</v>
      </c>
      <c r="C1368" s="45">
        <v>44.0</v>
      </c>
      <c r="D1368" s="45">
        <v>27173.0</v>
      </c>
      <c r="E1368" s="45" t="s">
        <v>3995</v>
      </c>
      <c r="F1368" s="45" t="s">
        <v>3999</v>
      </c>
      <c r="G1368" s="45" t="s">
        <v>3996</v>
      </c>
    </row>
    <row r="1369">
      <c r="A1369" s="45" t="s">
        <v>338</v>
      </c>
      <c r="B1369" s="45" t="s">
        <v>2955</v>
      </c>
      <c r="C1369" s="45">
        <v>87.0</v>
      </c>
      <c r="D1369" s="45">
        <v>28001.0</v>
      </c>
      <c r="E1369" s="45" t="s">
        <v>3969</v>
      </c>
      <c r="F1369" s="45" t="s">
        <v>3974</v>
      </c>
      <c r="G1369" s="45" t="s">
        <v>3996</v>
      </c>
    </row>
    <row r="1370">
      <c r="A1370" s="45" t="s">
        <v>1087</v>
      </c>
      <c r="B1370" s="45" t="s">
        <v>2955</v>
      </c>
      <c r="C1370" s="45">
        <v>88.0</v>
      </c>
      <c r="D1370" s="45">
        <v>28003.0</v>
      </c>
      <c r="E1370" s="45" t="s">
        <v>3969</v>
      </c>
      <c r="F1370" s="45" t="s">
        <v>3970</v>
      </c>
      <c r="G1370" s="45" t="s">
        <v>3996</v>
      </c>
    </row>
    <row r="1371">
      <c r="A1371" s="45" t="s">
        <v>1088</v>
      </c>
      <c r="B1371" s="45" t="s">
        <v>2955</v>
      </c>
      <c r="C1371" s="45">
        <v>87.0</v>
      </c>
      <c r="D1371" s="45">
        <v>28005.0</v>
      </c>
      <c r="E1371" s="45" t="s">
        <v>3969</v>
      </c>
      <c r="F1371" s="45" t="s">
        <v>3974</v>
      </c>
      <c r="G1371" s="45" t="s">
        <v>3996</v>
      </c>
    </row>
    <row r="1372">
      <c r="A1372" s="45" t="s">
        <v>1089</v>
      </c>
      <c r="B1372" s="45" t="s">
        <v>2955</v>
      </c>
      <c r="C1372" s="45">
        <v>87.0</v>
      </c>
      <c r="D1372" s="45">
        <v>28007.0</v>
      </c>
      <c r="E1372" s="45" t="s">
        <v>3969</v>
      </c>
      <c r="F1372" s="45" t="s">
        <v>3974</v>
      </c>
      <c r="G1372" s="45" t="s">
        <v>3996</v>
      </c>
    </row>
    <row r="1373">
      <c r="A1373" s="45" t="s">
        <v>224</v>
      </c>
      <c r="B1373" s="45" t="s">
        <v>2955</v>
      </c>
      <c r="C1373" s="45">
        <v>88.0</v>
      </c>
      <c r="D1373" s="45">
        <v>28009.0</v>
      </c>
      <c r="E1373" s="45" t="s">
        <v>3969</v>
      </c>
      <c r="F1373" s="45" t="s">
        <v>3970</v>
      </c>
      <c r="G1373" s="45" t="s">
        <v>3996</v>
      </c>
    </row>
    <row r="1374">
      <c r="A1374" s="45" t="s">
        <v>1090</v>
      </c>
      <c r="B1374" s="45" t="s">
        <v>2955</v>
      </c>
      <c r="C1374" s="45">
        <v>87.0</v>
      </c>
      <c r="D1374" s="45">
        <v>28011.0</v>
      </c>
      <c r="E1374" s="45" t="s">
        <v>3969</v>
      </c>
      <c r="F1374" s="45" t="s">
        <v>3974</v>
      </c>
      <c r="G1374" s="45" t="s">
        <v>3996</v>
      </c>
    </row>
    <row r="1375">
      <c r="A1375" s="45" t="s">
        <v>110</v>
      </c>
      <c r="B1375" s="45" t="s">
        <v>2955</v>
      </c>
      <c r="C1375" s="45">
        <v>88.0</v>
      </c>
      <c r="D1375" s="45">
        <v>28013.0</v>
      </c>
      <c r="E1375" s="45" t="s">
        <v>3969</v>
      </c>
      <c r="F1375" s="45" t="s">
        <v>3974</v>
      </c>
      <c r="G1375" s="45" t="s">
        <v>3996</v>
      </c>
    </row>
    <row r="1376">
      <c r="A1376" s="45" t="s">
        <v>227</v>
      </c>
      <c r="B1376" s="45" t="s">
        <v>2955</v>
      </c>
      <c r="C1376" s="45">
        <v>87.0</v>
      </c>
      <c r="D1376" s="45">
        <v>28015.0</v>
      </c>
      <c r="E1376" s="45" t="s">
        <v>3969</v>
      </c>
      <c r="F1376" s="45" t="s">
        <v>3974</v>
      </c>
      <c r="G1376" s="45" t="s">
        <v>3996</v>
      </c>
    </row>
    <row r="1377">
      <c r="A1377" s="45" t="s">
        <v>716</v>
      </c>
      <c r="B1377" s="45" t="s">
        <v>2955</v>
      </c>
      <c r="C1377" s="45">
        <v>88.0</v>
      </c>
      <c r="D1377" s="45">
        <v>28017.0</v>
      </c>
      <c r="E1377" s="45" t="s">
        <v>3969</v>
      </c>
      <c r="F1377" s="45" t="s">
        <v>3970</v>
      </c>
      <c r="G1377" s="45" t="s">
        <v>3996</v>
      </c>
    </row>
    <row r="1378">
      <c r="A1378" s="45" t="s">
        <v>114</v>
      </c>
      <c r="B1378" s="45" t="s">
        <v>2955</v>
      </c>
      <c r="C1378" s="45">
        <v>88.0</v>
      </c>
      <c r="D1378" s="45">
        <v>28019.0</v>
      </c>
      <c r="E1378" s="45" t="s">
        <v>3969</v>
      </c>
      <c r="F1378" s="45" t="s">
        <v>3970</v>
      </c>
      <c r="G1378" s="45" t="s">
        <v>3996</v>
      </c>
    </row>
    <row r="1379">
      <c r="A1379" s="45" t="s">
        <v>886</v>
      </c>
      <c r="B1379" s="45" t="s">
        <v>2955</v>
      </c>
      <c r="C1379" s="45">
        <v>87.0</v>
      </c>
      <c r="D1379" s="45">
        <v>28021.0</v>
      </c>
      <c r="E1379" s="45" t="s">
        <v>3969</v>
      </c>
      <c r="F1379" s="45" t="s">
        <v>3974</v>
      </c>
      <c r="G1379" s="45" t="s">
        <v>3996</v>
      </c>
    </row>
    <row r="1380">
      <c r="A1380" s="45" t="s">
        <v>115</v>
      </c>
      <c r="B1380" s="45" t="s">
        <v>2955</v>
      </c>
      <c r="C1380" s="45">
        <v>87.0</v>
      </c>
      <c r="D1380" s="45">
        <v>28023.0</v>
      </c>
      <c r="E1380" s="45" t="s">
        <v>3969</v>
      </c>
      <c r="F1380" s="45" t="s">
        <v>3969</v>
      </c>
      <c r="G1380" s="45" t="s">
        <v>3996</v>
      </c>
    </row>
    <row r="1381">
      <c r="A1381" s="45" t="s">
        <v>116</v>
      </c>
      <c r="B1381" s="45" t="s">
        <v>2955</v>
      </c>
      <c r="C1381" s="45">
        <v>88.0</v>
      </c>
      <c r="D1381" s="45">
        <v>28025.0</v>
      </c>
      <c r="E1381" s="45" t="s">
        <v>3969</v>
      </c>
      <c r="F1381" s="45" t="s">
        <v>3970</v>
      </c>
      <c r="G1381" s="45" t="s">
        <v>3996</v>
      </c>
    </row>
    <row r="1382">
      <c r="A1382" s="45" t="s">
        <v>1091</v>
      </c>
      <c r="B1382" s="45" t="s">
        <v>2955</v>
      </c>
      <c r="C1382" s="45">
        <v>87.0</v>
      </c>
      <c r="D1382" s="45">
        <v>28027.0</v>
      </c>
      <c r="E1382" s="45" t="s">
        <v>3969</v>
      </c>
      <c r="F1382" s="45" t="s">
        <v>3974</v>
      </c>
      <c r="G1382" s="45" t="s">
        <v>3996</v>
      </c>
    </row>
    <row r="1383">
      <c r="A1383" s="45" t="s">
        <v>1092</v>
      </c>
      <c r="B1383" s="45" t="s">
        <v>2955</v>
      </c>
      <c r="C1383" s="45">
        <v>87.0</v>
      </c>
      <c r="D1383" s="45">
        <v>28029.0</v>
      </c>
      <c r="E1383" s="45" t="s">
        <v>3969</v>
      </c>
      <c r="F1383" s="45" t="s">
        <v>3974</v>
      </c>
      <c r="G1383" s="45" t="s">
        <v>3996</v>
      </c>
    </row>
    <row r="1384">
      <c r="A1384" s="45" t="s">
        <v>122</v>
      </c>
      <c r="B1384" s="45" t="s">
        <v>2955</v>
      </c>
      <c r="C1384" s="45">
        <v>87.0</v>
      </c>
      <c r="D1384" s="45">
        <v>28031.0</v>
      </c>
      <c r="E1384" s="45" t="s">
        <v>3969</v>
      </c>
      <c r="F1384" s="45" t="s">
        <v>3969</v>
      </c>
      <c r="G1384" s="45" t="s">
        <v>3996</v>
      </c>
    </row>
    <row r="1385">
      <c r="A1385" s="45" t="s">
        <v>420</v>
      </c>
      <c r="B1385" s="45" t="s">
        <v>2955</v>
      </c>
      <c r="C1385" s="45">
        <v>87.0</v>
      </c>
      <c r="D1385" s="45">
        <v>28033.0</v>
      </c>
      <c r="E1385" s="45" t="s">
        <v>3969</v>
      </c>
      <c r="F1385" s="45" t="s">
        <v>3974</v>
      </c>
      <c r="G1385" s="45" t="s">
        <v>3996</v>
      </c>
    </row>
    <row r="1386">
      <c r="A1386" s="45" t="s">
        <v>1093</v>
      </c>
      <c r="B1386" s="45" t="s">
        <v>2955</v>
      </c>
      <c r="C1386" s="45">
        <v>87.0</v>
      </c>
      <c r="D1386" s="45">
        <v>28035.0</v>
      </c>
      <c r="E1386" s="45" t="s">
        <v>3969</v>
      </c>
      <c r="F1386" s="45" t="s">
        <v>3969</v>
      </c>
      <c r="G1386" s="45" t="s">
        <v>3996</v>
      </c>
    </row>
    <row r="1387">
      <c r="A1387" s="45" t="s">
        <v>132</v>
      </c>
      <c r="B1387" s="45" t="s">
        <v>2955</v>
      </c>
      <c r="C1387" s="45">
        <v>87.0</v>
      </c>
      <c r="D1387" s="45">
        <v>28037.0</v>
      </c>
      <c r="E1387" s="45" t="s">
        <v>3969</v>
      </c>
      <c r="F1387" s="45" t="s">
        <v>3974</v>
      </c>
      <c r="G1387" s="45" t="s">
        <v>3996</v>
      </c>
    </row>
    <row r="1388">
      <c r="A1388" s="45" t="s">
        <v>1094</v>
      </c>
      <c r="B1388" s="45" t="s">
        <v>2955</v>
      </c>
      <c r="C1388" s="45">
        <v>87.0</v>
      </c>
      <c r="D1388" s="45">
        <v>28039.0</v>
      </c>
      <c r="E1388" s="45" t="s">
        <v>3969</v>
      </c>
      <c r="F1388" s="45" t="s">
        <v>3969</v>
      </c>
      <c r="G1388" s="45" t="s">
        <v>3996</v>
      </c>
    </row>
    <row r="1389">
      <c r="A1389" s="45" t="s">
        <v>134</v>
      </c>
      <c r="B1389" s="45" t="s">
        <v>2955</v>
      </c>
      <c r="C1389" s="45">
        <v>87.0</v>
      </c>
      <c r="D1389" s="45">
        <v>28041.0</v>
      </c>
      <c r="E1389" s="45" t="s">
        <v>3969</v>
      </c>
      <c r="F1389" s="45" t="s">
        <v>3969</v>
      </c>
      <c r="G1389" s="45" t="s">
        <v>3996</v>
      </c>
    </row>
    <row r="1390">
      <c r="A1390" s="45" t="s">
        <v>1095</v>
      </c>
      <c r="B1390" s="45" t="s">
        <v>2955</v>
      </c>
      <c r="C1390" s="45">
        <v>87.0</v>
      </c>
      <c r="D1390" s="45">
        <v>28043.0</v>
      </c>
      <c r="E1390" s="45" t="s">
        <v>3969</v>
      </c>
      <c r="F1390" s="45" t="s">
        <v>3974</v>
      </c>
      <c r="G1390" s="45" t="s">
        <v>3996</v>
      </c>
    </row>
    <row r="1391">
      <c r="A1391" s="45" t="s">
        <v>512</v>
      </c>
      <c r="B1391" s="45" t="s">
        <v>2955</v>
      </c>
      <c r="C1391" s="45">
        <v>87.0</v>
      </c>
      <c r="D1391" s="45">
        <v>28045.0</v>
      </c>
      <c r="E1391" s="45" t="s">
        <v>3969</v>
      </c>
      <c r="F1391" s="45" t="s">
        <v>3969</v>
      </c>
      <c r="G1391" s="45" t="s">
        <v>3996</v>
      </c>
    </row>
    <row r="1392">
      <c r="A1392" s="45" t="s">
        <v>673</v>
      </c>
      <c r="B1392" s="45" t="s">
        <v>2955</v>
      </c>
      <c r="C1392" s="45">
        <v>87.0</v>
      </c>
      <c r="D1392" s="45">
        <v>28047.0</v>
      </c>
      <c r="E1392" s="45" t="s">
        <v>3969</v>
      </c>
      <c r="F1392" s="45" t="s">
        <v>3969</v>
      </c>
      <c r="G1392" s="45" t="s">
        <v>3996</v>
      </c>
    </row>
    <row r="1393">
      <c r="A1393" s="45" t="s">
        <v>1096</v>
      </c>
      <c r="B1393" s="45" t="s">
        <v>2955</v>
      </c>
      <c r="C1393" s="45">
        <v>87.0</v>
      </c>
      <c r="D1393" s="45">
        <v>28049.0</v>
      </c>
      <c r="E1393" s="45" t="s">
        <v>3969</v>
      </c>
      <c r="F1393" s="45" t="s">
        <v>3974</v>
      </c>
      <c r="G1393" s="45" t="s">
        <v>3996</v>
      </c>
    </row>
    <row r="1394">
      <c r="A1394" s="45" t="s">
        <v>434</v>
      </c>
      <c r="B1394" s="45" t="s">
        <v>2955</v>
      </c>
      <c r="C1394" s="45">
        <v>87.0</v>
      </c>
      <c r="D1394" s="45">
        <v>28051.0</v>
      </c>
      <c r="E1394" s="45" t="s">
        <v>3969</v>
      </c>
      <c r="F1394" s="45" t="s">
        <v>3974</v>
      </c>
      <c r="G1394" s="45" t="s">
        <v>3996</v>
      </c>
    </row>
    <row r="1395">
      <c r="A1395" s="45" t="s">
        <v>1097</v>
      </c>
      <c r="B1395" s="45" t="s">
        <v>2955</v>
      </c>
      <c r="C1395" s="45">
        <v>87.0</v>
      </c>
      <c r="D1395" s="45">
        <v>28053.0</v>
      </c>
      <c r="E1395" s="45" t="s">
        <v>3969</v>
      </c>
      <c r="F1395" s="45" t="s">
        <v>3974</v>
      </c>
      <c r="G1395" s="45" t="s">
        <v>3996</v>
      </c>
    </row>
    <row r="1396">
      <c r="A1396" s="45" t="s">
        <v>1098</v>
      </c>
      <c r="B1396" s="45" t="s">
        <v>2955</v>
      </c>
      <c r="C1396" s="45">
        <v>87.0</v>
      </c>
      <c r="D1396" s="45">
        <v>28055.0</v>
      </c>
      <c r="E1396" s="45" t="s">
        <v>3969</v>
      </c>
      <c r="F1396" s="45" t="s">
        <v>3974</v>
      </c>
      <c r="G1396" s="45" t="s">
        <v>3996</v>
      </c>
    </row>
    <row r="1397">
      <c r="A1397" s="45" t="s">
        <v>1099</v>
      </c>
      <c r="B1397" s="45" t="s">
        <v>2955</v>
      </c>
      <c r="C1397" s="45">
        <v>88.0</v>
      </c>
      <c r="D1397" s="45">
        <v>28057.0</v>
      </c>
      <c r="E1397" s="45" t="s">
        <v>3969</v>
      </c>
      <c r="F1397" s="45" t="s">
        <v>3970</v>
      </c>
      <c r="G1397" s="45" t="s">
        <v>3996</v>
      </c>
    </row>
    <row r="1398">
      <c r="A1398" s="45" t="s">
        <v>138</v>
      </c>
      <c r="B1398" s="45" t="s">
        <v>2955</v>
      </c>
      <c r="C1398" s="45">
        <v>87.0</v>
      </c>
      <c r="D1398" s="45">
        <v>28059.0</v>
      </c>
      <c r="E1398" s="45" t="s">
        <v>3969</v>
      </c>
      <c r="F1398" s="45" t="s">
        <v>3969</v>
      </c>
      <c r="G1398" s="45" t="s">
        <v>3996</v>
      </c>
    </row>
    <row r="1399">
      <c r="A1399" s="45" t="s">
        <v>518</v>
      </c>
      <c r="B1399" s="45" t="s">
        <v>2955</v>
      </c>
      <c r="C1399" s="45">
        <v>87.0</v>
      </c>
      <c r="D1399" s="45">
        <v>28061.0</v>
      </c>
      <c r="E1399" s="45" t="s">
        <v>3969</v>
      </c>
      <c r="F1399" s="45" t="s">
        <v>3969</v>
      </c>
      <c r="G1399" s="45" t="s">
        <v>3996</v>
      </c>
    </row>
    <row r="1400">
      <c r="A1400" s="45" t="s">
        <v>139</v>
      </c>
      <c r="B1400" s="45" t="s">
        <v>2955</v>
      </c>
      <c r="C1400" s="45">
        <v>87.0</v>
      </c>
      <c r="D1400" s="45">
        <v>28063.0</v>
      </c>
      <c r="E1400" s="45" t="s">
        <v>3969</v>
      </c>
      <c r="F1400" s="45" t="s">
        <v>3974</v>
      </c>
      <c r="G1400" s="45" t="s">
        <v>3996</v>
      </c>
    </row>
    <row r="1401">
      <c r="A1401" s="45" t="s">
        <v>895</v>
      </c>
      <c r="B1401" s="45" t="s">
        <v>2955</v>
      </c>
      <c r="C1401" s="45">
        <v>87.0</v>
      </c>
      <c r="D1401" s="45">
        <v>28065.0</v>
      </c>
      <c r="E1401" s="45" t="s">
        <v>3969</v>
      </c>
      <c r="F1401" s="45" t="s">
        <v>3974</v>
      </c>
      <c r="G1401" s="45" t="s">
        <v>3996</v>
      </c>
    </row>
    <row r="1402">
      <c r="A1402" s="45" t="s">
        <v>521</v>
      </c>
      <c r="B1402" s="45" t="s">
        <v>2955</v>
      </c>
      <c r="C1402" s="45">
        <v>87.0</v>
      </c>
      <c r="D1402" s="45">
        <v>28067.0</v>
      </c>
      <c r="E1402" s="45" t="s">
        <v>3969</v>
      </c>
      <c r="F1402" s="45" t="s">
        <v>3969</v>
      </c>
      <c r="G1402" s="45" t="s">
        <v>3996</v>
      </c>
    </row>
    <row r="1403">
      <c r="A1403" s="45" t="s">
        <v>1100</v>
      </c>
      <c r="B1403" s="45" t="s">
        <v>2955</v>
      </c>
      <c r="C1403" s="45">
        <v>88.0</v>
      </c>
      <c r="D1403" s="45">
        <v>28069.0</v>
      </c>
      <c r="E1403" s="45" t="s">
        <v>3969</v>
      </c>
      <c r="F1403" s="45" t="s">
        <v>3969</v>
      </c>
      <c r="G1403" s="45" t="s">
        <v>3974</v>
      </c>
    </row>
    <row r="1404">
      <c r="A1404" s="45" t="s">
        <v>249</v>
      </c>
      <c r="B1404" s="45" t="s">
        <v>2955</v>
      </c>
      <c r="C1404" s="45">
        <v>88.0</v>
      </c>
      <c r="D1404" s="45">
        <v>28071.0</v>
      </c>
      <c r="E1404" s="45" t="s">
        <v>3969</v>
      </c>
      <c r="F1404" s="45" t="s">
        <v>3970</v>
      </c>
      <c r="G1404" s="45" t="s">
        <v>3974</v>
      </c>
    </row>
    <row r="1405">
      <c r="A1405" s="45" t="s">
        <v>140</v>
      </c>
      <c r="B1405" s="45" t="s">
        <v>2955</v>
      </c>
      <c r="C1405" s="45">
        <v>87.0</v>
      </c>
      <c r="D1405" s="45">
        <v>28073.0</v>
      </c>
      <c r="E1405" s="45" t="s">
        <v>3969</v>
      </c>
      <c r="F1405" s="45" t="s">
        <v>3969</v>
      </c>
      <c r="G1405" s="45" t="s">
        <v>3974</v>
      </c>
    </row>
    <row r="1406">
      <c r="A1406" s="45" t="s">
        <v>141</v>
      </c>
      <c r="B1406" s="45" t="s">
        <v>2955</v>
      </c>
      <c r="C1406" s="45">
        <v>87.0</v>
      </c>
      <c r="D1406" s="45">
        <v>28075.0</v>
      </c>
      <c r="E1406" s="45" t="s">
        <v>3969</v>
      </c>
      <c r="F1406" s="45" t="s">
        <v>3969</v>
      </c>
      <c r="G1406" s="45" t="s">
        <v>3974</v>
      </c>
    </row>
    <row r="1407">
      <c r="A1407" s="45" t="s">
        <v>142</v>
      </c>
      <c r="B1407" s="45" t="s">
        <v>2955</v>
      </c>
      <c r="C1407" s="45">
        <v>87.0</v>
      </c>
      <c r="D1407" s="45">
        <v>28077.0</v>
      </c>
      <c r="E1407" s="45" t="s">
        <v>3969</v>
      </c>
      <c r="F1407" s="45" t="s">
        <v>3974</v>
      </c>
      <c r="G1407" s="45" t="s">
        <v>3974</v>
      </c>
    </row>
    <row r="1408">
      <c r="A1408" s="45" t="s">
        <v>1101</v>
      </c>
      <c r="B1408" s="45" t="s">
        <v>2955</v>
      </c>
      <c r="C1408" s="45">
        <v>87.0</v>
      </c>
      <c r="D1408" s="45">
        <v>28079.0</v>
      </c>
      <c r="E1408" s="45" t="s">
        <v>3969</v>
      </c>
      <c r="F1408" s="45" t="s">
        <v>3974</v>
      </c>
      <c r="G1408" s="45" t="s">
        <v>3974</v>
      </c>
    </row>
    <row r="1409">
      <c r="A1409" s="45" t="s">
        <v>143</v>
      </c>
      <c r="B1409" s="45" t="s">
        <v>2955</v>
      </c>
      <c r="C1409" s="45">
        <v>88.0</v>
      </c>
      <c r="D1409" s="45">
        <v>28081.0</v>
      </c>
      <c r="E1409" s="45" t="s">
        <v>3969</v>
      </c>
      <c r="F1409" s="45" t="s">
        <v>3970</v>
      </c>
      <c r="G1409" s="45" t="s">
        <v>3974</v>
      </c>
    </row>
    <row r="1410">
      <c r="A1410" s="45" t="s">
        <v>1102</v>
      </c>
      <c r="B1410" s="45" t="s">
        <v>2955</v>
      </c>
      <c r="C1410" s="45">
        <v>87.0</v>
      </c>
      <c r="D1410" s="45">
        <v>28083.0</v>
      </c>
      <c r="E1410" s="45" t="s">
        <v>3969</v>
      </c>
      <c r="F1410" s="45" t="s">
        <v>3974</v>
      </c>
      <c r="G1410" s="45" t="s">
        <v>3974</v>
      </c>
    </row>
    <row r="1411">
      <c r="A1411" s="45" t="s">
        <v>250</v>
      </c>
      <c r="B1411" s="45" t="s">
        <v>2955</v>
      </c>
      <c r="C1411" s="45">
        <v>87.0</v>
      </c>
      <c r="D1411" s="45">
        <v>28085.0</v>
      </c>
      <c r="E1411" s="45" t="s">
        <v>3969</v>
      </c>
      <c r="F1411" s="45" t="s">
        <v>3974</v>
      </c>
      <c r="G1411" s="45" t="s">
        <v>3974</v>
      </c>
    </row>
    <row r="1412">
      <c r="A1412" s="45" t="s">
        <v>145</v>
      </c>
      <c r="B1412" s="45" t="s">
        <v>2955</v>
      </c>
      <c r="C1412" s="45">
        <v>88.0</v>
      </c>
      <c r="D1412" s="45">
        <v>28087.0</v>
      </c>
      <c r="E1412" s="45" t="s">
        <v>3969</v>
      </c>
      <c r="F1412" s="45" t="s">
        <v>3970</v>
      </c>
      <c r="G1412" s="45" t="s">
        <v>3974</v>
      </c>
    </row>
    <row r="1413">
      <c r="A1413" s="45" t="s">
        <v>147</v>
      </c>
      <c r="B1413" s="45" t="s">
        <v>2955</v>
      </c>
      <c r="C1413" s="45">
        <v>87.0</v>
      </c>
      <c r="D1413" s="45">
        <v>28089.0</v>
      </c>
      <c r="E1413" s="45" t="s">
        <v>3969</v>
      </c>
      <c r="F1413" s="45" t="s">
        <v>3974</v>
      </c>
      <c r="G1413" s="45" t="s">
        <v>3974</v>
      </c>
    </row>
    <row r="1414">
      <c r="A1414" s="45" t="s">
        <v>149</v>
      </c>
      <c r="B1414" s="45" t="s">
        <v>2955</v>
      </c>
      <c r="C1414" s="45">
        <v>87.0</v>
      </c>
      <c r="D1414" s="45">
        <v>28091.0</v>
      </c>
      <c r="E1414" s="45" t="s">
        <v>3969</v>
      </c>
      <c r="F1414" s="45" t="s">
        <v>3974</v>
      </c>
      <c r="G1414" s="45" t="s">
        <v>3974</v>
      </c>
    </row>
    <row r="1415">
      <c r="A1415" s="45" t="s">
        <v>150</v>
      </c>
      <c r="B1415" s="45" t="s">
        <v>2955</v>
      </c>
      <c r="C1415" s="45">
        <v>88.0</v>
      </c>
      <c r="D1415" s="45">
        <v>28093.0</v>
      </c>
      <c r="E1415" s="45" t="s">
        <v>3969</v>
      </c>
      <c r="F1415" s="45" t="s">
        <v>3974</v>
      </c>
      <c r="G1415" s="45" t="s">
        <v>3974</v>
      </c>
    </row>
    <row r="1416">
      <c r="A1416" s="45" t="s">
        <v>152</v>
      </c>
      <c r="B1416" s="45" t="s">
        <v>2955</v>
      </c>
      <c r="C1416" s="45">
        <v>88.0</v>
      </c>
      <c r="D1416" s="45">
        <v>28095.0</v>
      </c>
      <c r="E1416" s="45" t="s">
        <v>3969</v>
      </c>
      <c r="F1416" s="45" t="s">
        <v>3970</v>
      </c>
      <c r="G1416" s="45" t="s">
        <v>3974</v>
      </c>
    </row>
    <row r="1417">
      <c r="A1417" s="45" t="s">
        <v>153</v>
      </c>
      <c r="B1417" s="45" t="s">
        <v>2955</v>
      </c>
      <c r="C1417" s="45">
        <v>87.0</v>
      </c>
      <c r="D1417" s="45">
        <v>28097.0</v>
      </c>
      <c r="E1417" s="45" t="s">
        <v>3969</v>
      </c>
      <c r="F1417" s="45" t="s">
        <v>3974</v>
      </c>
      <c r="G1417" s="45" t="s">
        <v>3974</v>
      </c>
    </row>
    <row r="1418">
      <c r="A1418" s="45" t="s">
        <v>1103</v>
      </c>
      <c r="B1418" s="45" t="s">
        <v>2955</v>
      </c>
      <c r="C1418" s="45">
        <v>88.0</v>
      </c>
      <c r="D1418" s="45">
        <v>28099.0</v>
      </c>
      <c r="E1418" s="45" t="s">
        <v>3969</v>
      </c>
      <c r="F1418" s="45" t="s">
        <v>3969</v>
      </c>
      <c r="G1418" s="45" t="s">
        <v>3974</v>
      </c>
    </row>
    <row r="1419">
      <c r="A1419" s="45" t="s">
        <v>257</v>
      </c>
      <c r="B1419" s="45" t="s">
        <v>2955</v>
      </c>
      <c r="C1419" s="45">
        <v>87.0</v>
      </c>
      <c r="D1419" s="45">
        <v>28101.0</v>
      </c>
      <c r="E1419" s="45" t="s">
        <v>3969</v>
      </c>
      <c r="F1419" s="45" t="s">
        <v>3969</v>
      </c>
      <c r="G1419" s="45" t="s">
        <v>3974</v>
      </c>
    </row>
    <row r="1420">
      <c r="A1420" s="45" t="s">
        <v>1104</v>
      </c>
      <c r="B1420" s="45" t="s">
        <v>2955</v>
      </c>
      <c r="C1420" s="45">
        <v>88.0</v>
      </c>
      <c r="D1420" s="45">
        <v>28103.0</v>
      </c>
      <c r="E1420" s="45" t="s">
        <v>3969</v>
      </c>
      <c r="F1420" s="45" t="s">
        <v>3970</v>
      </c>
      <c r="G1420" s="45" t="s">
        <v>3974</v>
      </c>
    </row>
    <row r="1421">
      <c r="A1421" s="45" t="s">
        <v>1105</v>
      </c>
      <c r="B1421" s="45" t="s">
        <v>2955</v>
      </c>
      <c r="C1421" s="45">
        <v>88.0</v>
      </c>
      <c r="D1421" s="45">
        <v>28105.0</v>
      </c>
      <c r="E1421" s="45" t="s">
        <v>3969</v>
      </c>
      <c r="F1421" s="45" t="s">
        <v>3970</v>
      </c>
      <c r="G1421" s="45" t="s">
        <v>3974</v>
      </c>
    </row>
    <row r="1422">
      <c r="A1422" s="45" t="s">
        <v>1106</v>
      </c>
      <c r="B1422" s="45" t="s">
        <v>2955</v>
      </c>
      <c r="C1422" s="45">
        <v>87.0</v>
      </c>
      <c r="D1422" s="45">
        <v>28107.0</v>
      </c>
      <c r="E1422" s="45" t="s">
        <v>3969</v>
      </c>
      <c r="F1422" s="45" t="s">
        <v>3974</v>
      </c>
      <c r="G1422" s="45" t="s">
        <v>3974</v>
      </c>
    </row>
    <row r="1423">
      <c r="A1423" s="45" t="s">
        <v>1107</v>
      </c>
      <c r="B1423" s="45" t="s">
        <v>2955</v>
      </c>
      <c r="C1423" s="45">
        <v>87.0</v>
      </c>
      <c r="D1423" s="45">
        <v>28109.0</v>
      </c>
      <c r="E1423" s="45" t="s">
        <v>3969</v>
      </c>
      <c r="F1423" s="45" t="s">
        <v>3969</v>
      </c>
      <c r="G1423" s="45" t="s">
        <v>3974</v>
      </c>
    </row>
    <row r="1424">
      <c r="A1424" s="45" t="s">
        <v>155</v>
      </c>
      <c r="B1424" s="45" t="s">
        <v>2955</v>
      </c>
      <c r="C1424" s="45">
        <v>87.0</v>
      </c>
      <c r="D1424" s="45">
        <v>28111.0</v>
      </c>
      <c r="E1424" s="45" t="s">
        <v>3969</v>
      </c>
      <c r="F1424" s="45" t="s">
        <v>3969</v>
      </c>
      <c r="G1424" s="45" t="s">
        <v>3974</v>
      </c>
    </row>
    <row r="1425">
      <c r="A1425" s="45" t="s">
        <v>157</v>
      </c>
      <c r="B1425" s="45" t="s">
        <v>2955</v>
      </c>
      <c r="C1425" s="45">
        <v>87.0</v>
      </c>
      <c r="D1425" s="45">
        <v>28113.0</v>
      </c>
      <c r="E1425" s="45" t="s">
        <v>3969</v>
      </c>
      <c r="F1425" s="45" t="s">
        <v>3974</v>
      </c>
      <c r="G1425" s="45" t="s">
        <v>3974</v>
      </c>
    </row>
    <row r="1426">
      <c r="A1426" s="45" t="s">
        <v>1108</v>
      </c>
      <c r="B1426" s="45" t="s">
        <v>2955</v>
      </c>
      <c r="C1426" s="45">
        <v>88.0</v>
      </c>
      <c r="D1426" s="45">
        <v>28115.0</v>
      </c>
      <c r="E1426" s="45" t="s">
        <v>3969</v>
      </c>
      <c r="F1426" s="45" t="s">
        <v>3970</v>
      </c>
      <c r="G1426" s="45" t="s">
        <v>3974</v>
      </c>
    </row>
    <row r="1427">
      <c r="A1427" s="45" t="s">
        <v>1109</v>
      </c>
      <c r="B1427" s="45" t="s">
        <v>2955</v>
      </c>
      <c r="C1427" s="45">
        <v>88.0</v>
      </c>
      <c r="D1427" s="45">
        <v>28117.0</v>
      </c>
      <c r="E1427" s="45" t="s">
        <v>3969</v>
      </c>
      <c r="F1427" s="45" t="s">
        <v>3970</v>
      </c>
      <c r="G1427" s="45" t="s">
        <v>3974</v>
      </c>
    </row>
    <row r="1428">
      <c r="A1428" s="45" t="s">
        <v>537</v>
      </c>
      <c r="B1428" s="45" t="s">
        <v>2955</v>
      </c>
      <c r="C1428" s="45">
        <v>87.0</v>
      </c>
      <c r="D1428" s="45">
        <v>28119.0</v>
      </c>
      <c r="E1428" s="45" t="s">
        <v>3969</v>
      </c>
      <c r="F1428" s="45" t="s">
        <v>3974</v>
      </c>
      <c r="G1428" s="45" t="s">
        <v>3974</v>
      </c>
    </row>
    <row r="1429">
      <c r="A1429" s="45" t="s">
        <v>1110</v>
      </c>
      <c r="B1429" s="45" t="s">
        <v>2955</v>
      </c>
      <c r="C1429" s="45">
        <v>87.0</v>
      </c>
      <c r="D1429" s="45">
        <v>28121.0</v>
      </c>
      <c r="E1429" s="45" t="s">
        <v>3969</v>
      </c>
      <c r="F1429" s="45" t="s">
        <v>3974</v>
      </c>
      <c r="G1429" s="45" t="s">
        <v>3974</v>
      </c>
    </row>
    <row r="1430">
      <c r="A1430" s="45" t="s">
        <v>267</v>
      </c>
      <c r="B1430" s="45" t="s">
        <v>2955</v>
      </c>
      <c r="C1430" s="45">
        <v>87.0</v>
      </c>
      <c r="D1430" s="45">
        <v>28123.0</v>
      </c>
      <c r="E1430" s="45" t="s">
        <v>3969</v>
      </c>
      <c r="F1430" s="45" t="s">
        <v>3974</v>
      </c>
      <c r="G1430" s="45" t="s">
        <v>3974</v>
      </c>
    </row>
    <row r="1431">
      <c r="A1431" s="45" t="s">
        <v>1111</v>
      </c>
      <c r="B1431" s="45" t="s">
        <v>2955</v>
      </c>
      <c r="C1431" s="45">
        <v>87.0</v>
      </c>
      <c r="D1431" s="45">
        <v>28125.0</v>
      </c>
      <c r="E1431" s="45" t="s">
        <v>3969</v>
      </c>
      <c r="F1431" s="45" t="s">
        <v>3974</v>
      </c>
      <c r="G1431" s="45" t="s">
        <v>3974</v>
      </c>
    </row>
    <row r="1432">
      <c r="A1432" s="45" t="s">
        <v>869</v>
      </c>
      <c r="B1432" s="45" t="s">
        <v>2955</v>
      </c>
      <c r="C1432" s="45">
        <v>87.0</v>
      </c>
      <c r="D1432" s="45">
        <v>28127.0</v>
      </c>
      <c r="E1432" s="45" t="s">
        <v>3969</v>
      </c>
      <c r="F1432" s="45" t="s">
        <v>3974</v>
      </c>
      <c r="G1432" s="45" t="s">
        <v>3974</v>
      </c>
    </row>
    <row r="1433">
      <c r="A1433" s="45" t="s">
        <v>806</v>
      </c>
      <c r="B1433" s="45" t="s">
        <v>2955</v>
      </c>
      <c r="C1433" s="45">
        <v>87.0</v>
      </c>
      <c r="D1433" s="45">
        <v>28129.0</v>
      </c>
      <c r="E1433" s="45" t="s">
        <v>3969</v>
      </c>
      <c r="F1433" s="45" t="s">
        <v>3969</v>
      </c>
      <c r="G1433" s="45" t="s">
        <v>3974</v>
      </c>
    </row>
    <row r="1434">
      <c r="A1434" s="45" t="s">
        <v>272</v>
      </c>
      <c r="B1434" s="45" t="s">
        <v>2955</v>
      </c>
      <c r="C1434" s="45">
        <v>87.0</v>
      </c>
      <c r="D1434" s="45">
        <v>28131.0</v>
      </c>
      <c r="E1434" s="45" t="s">
        <v>3969</v>
      </c>
      <c r="F1434" s="45" t="s">
        <v>3969</v>
      </c>
      <c r="G1434" s="45" t="s">
        <v>3974</v>
      </c>
    </row>
    <row r="1435">
      <c r="A1435" s="45" t="s">
        <v>1112</v>
      </c>
      <c r="B1435" s="45" t="s">
        <v>2955</v>
      </c>
      <c r="C1435" s="45">
        <v>87.0</v>
      </c>
      <c r="D1435" s="45">
        <v>28133.0</v>
      </c>
      <c r="E1435" s="45" t="s">
        <v>3969</v>
      </c>
      <c r="F1435" s="45" t="s">
        <v>3974</v>
      </c>
      <c r="G1435" s="45" t="s">
        <v>3974</v>
      </c>
    </row>
    <row r="1436">
      <c r="A1436" s="45" t="s">
        <v>1113</v>
      </c>
      <c r="B1436" s="45" t="s">
        <v>2955</v>
      </c>
      <c r="C1436" s="45">
        <v>87.0</v>
      </c>
      <c r="D1436" s="45">
        <v>28135.0</v>
      </c>
      <c r="E1436" s="45" t="s">
        <v>3969</v>
      </c>
      <c r="F1436" s="45" t="s">
        <v>3974</v>
      </c>
      <c r="G1436" s="45" t="s">
        <v>3974</v>
      </c>
    </row>
    <row r="1437">
      <c r="A1437" s="45" t="s">
        <v>1114</v>
      </c>
      <c r="B1437" s="45" t="s">
        <v>2955</v>
      </c>
      <c r="C1437" s="45">
        <v>87.0</v>
      </c>
      <c r="D1437" s="45">
        <v>28137.0</v>
      </c>
      <c r="E1437" s="45" t="s">
        <v>3969</v>
      </c>
      <c r="F1437" s="45" t="s">
        <v>3974</v>
      </c>
      <c r="G1437" s="45" t="s">
        <v>3974</v>
      </c>
    </row>
    <row r="1438">
      <c r="A1438" s="45" t="s">
        <v>1115</v>
      </c>
      <c r="B1438" s="45" t="s">
        <v>2955</v>
      </c>
      <c r="C1438" s="45">
        <v>88.0</v>
      </c>
      <c r="D1438" s="45">
        <v>28139.0</v>
      </c>
      <c r="E1438" s="45" t="s">
        <v>3969</v>
      </c>
      <c r="F1438" s="45" t="s">
        <v>3970</v>
      </c>
      <c r="G1438" s="45" t="s">
        <v>3974</v>
      </c>
    </row>
    <row r="1439">
      <c r="A1439" s="45" t="s">
        <v>1116</v>
      </c>
      <c r="B1439" s="45" t="s">
        <v>2955</v>
      </c>
      <c r="C1439" s="45">
        <v>88.0</v>
      </c>
      <c r="D1439" s="45">
        <v>28141.0</v>
      </c>
      <c r="E1439" s="45" t="s">
        <v>3969</v>
      </c>
      <c r="F1439" s="45" t="s">
        <v>3970</v>
      </c>
      <c r="G1439" s="45" t="s">
        <v>3974</v>
      </c>
    </row>
    <row r="1440">
      <c r="A1440" s="45" t="s">
        <v>1117</v>
      </c>
      <c r="B1440" s="45" t="s">
        <v>2955</v>
      </c>
      <c r="C1440" s="45">
        <v>87.0</v>
      </c>
      <c r="D1440" s="45">
        <v>28143.0</v>
      </c>
      <c r="E1440" s="45" t="s">
        <v>3969</v>
      </c>
      <c r="F1440" s="45" t="s">
        <v>3974</v>
      </c>
      <c r="G1440" s="45" t="s">
        <v>3974</v>
      </c>
    </row>
    <row r="1441">
      <c r="A1441" s="45" t="s">
        <v>273</v>
      </c>
      <c r="B1441" s="45" t="s">
        <v>2955</v>
      </c>
      <c r="C1441" s="45">
        <v>88.0</v>
      </c>
      <c r="D1441" s="45">
        <v>28145.0</v>
      </c>
      <c r="E1441" s="45" t="s">
        <v>3969</v>
      </c>
      <c r="F1441" s="45" t="s">
        <v>3970</v>
      </c>
      <c r="G1441" s="45" t="s">
        <v>3974</v>
      </c>
    </row>
    <row r="1442">
      <c r="A1442" s="45" t="s">
        <v>1118</v>
      </c>
      <c r="B1442" s="45" t="s">
        <v>2955</v>
      </c>
      <c r="C1442" s="45">
        <v>87.0</v>
      </c>
      <c r="D1442" s="45">
        <v>28147.0</v>
      </c>
      <c r="E1442" s="45" t="s">
        <v>3969</v>
      </c>
      <c r="F1442" s="45" t="s">
        <v>3974</v>
      </c>
      <c r="G1442" s="45" t="s">
        <v>3974</v>
      </c>
    </row>
    <row r="1443">
      <c r="A1443" s="45" t="s">
        <v>561</v>
      </c>
      <c r="B1443" s="45" t="s">
        <v>2955</v>
      </c>
      <c r="C1443" s="45">
        <v>87.0</v>
      </c>
      <c r="D1443" s="45">
        <v>28149.0</v>
      </c>
      <c r="E1443" s="45" t="s">
        <v>3969</v>
      </c>
      <c r="F1443" s="45" t="s">
        <v>3974</v>
      </c>
      <c r="G1443" s="45" t="s">
        <v>3974</v>
      </c>
    </row>
    <row r="1444">
      <c r="A1444" s="45" t="s">
        <v>167</v>
      </c>
      <c r="B1444" s="45" t="s">
        <v>2955</v>
      </c>
      <c r="C1444" s="45">
        <v>87.0</v>
      </c>
      <c r="D1444" s="45">
        <v>28151.0</v>
      </c>
      <c r="E1444" s="45" t="s">
        <v>3969</v>
      </c>
      <c r="F1444" s="45" t="s">
        <v>3974</v>
      </c>
      <c r="G1444" s="45" t="s">
        <v>3974</v>
      </c>
    </row>
    <row r="1445">
      <c r="A1445" s="45" t="s">
        <v>562</v>
      </c>
      <c r="B1445" s="45" t="s">
        <v>2955</v>
      </c>
      <c r="C1445" s="45">
        <v>87.0</v>
      </c>
      <c r="D1445" s="45">
        <v>28153.0</v>
      </c>
      <c r="E1445" s="45" t="s">
        <v>3969</v>
      </c>
      <c r="F1445" s="45" t="s">
        <v>3969</v>
      </c>
      <c r="G1445" s="45" t="s">
        <v>3974</v>
      </c>
    </row>
    <row r="1446">
      <c r="A1446" s="45" t="s">
        <v>563</v>
      </c>
      <c r="B1446" s="45" t="s">
        <v>2955</v>
      </c>
      <c r="C1446" s="45">
        <v>88.0</v>
      </c>
      <c r="D1446" s="45">
        <v>28155.0</v>
      </c>
      <c r="E1446" s="45" t="s">
        <v>3969</v>
      </c>
      <c r="F1446" s="45" t="s">
        <v>3974</v>
      </c>
      <c r="G1446" s="45" t="s">
        <v>3974</v>
      </c>
    </row>
    <row r="1447">
      <c r="A1447" s="45" t="s">
        <v>567</v>
      </c>
      <c r="B1447" s="45" t="s">
        <v>2955</v>
      </c>
      <c r="C1447" s="45">
        <v>87.0</v>
      </c>
      <c r="D1447" s="45">
        <v>28157.0</v>
      </c>
      <c r="E1447" s="45" t="s">
        <v>3969</v>
      </c>
      <c r="F1447" s="45" t="s">
        <v>3974</v>
      </c>
      <c r="G1447" s="45" t="s">
        <v>3974</v>
      </c>
    </row>
    <row r="1448">
      <c r="A1448" s="45" t="s">
        <v>169</v>
      </c>
      <c r="B1448" s="45" t="s">
        <v>2955</v>
      </c>
      <c r="C1448" s="45">
        <v>88.0</v>
      </c>
      <c r="D1448" s="45">
        <v>28159.0</v>
      </c>
      <c r="E1448" s="45" t="s">
        <v>3969</v>
      </c>
      <c r="F1448" s="45" t="s">
        <v>3970</v>
      </c>
      <c r="G1448" s="45" t="s">
        <v>3974</v>
      </c>
    </row>
    <row r="1449">
      <c r="A1449" s="45" t="s">
        <v>1119</v>
      </c>
      <c r="B1449" s="45" t="s">
        <v>2955</v>
      </c>
      <c r="C1449" s="45">
        <v>88.0</v>
      </c>
      <c r="D1449" s="45">
        <v>28161.0</v>
      </c>
      <c r="E1449" s="45" t="s">
        <v>3969</v>
      </c>
      <c r="F1449" s="45" t="s">
        <v>3974</v>
      </c>
      <c r="G1449" s="45" t="s">
        <v>3974</v>
      </c>
    </row>
    <row r="1450">
      <c r="A1450" s="45" t="s">
        <v>1120</v>
      </c>
      <c r="B1450" s="45" t="s">
        <v>2955</v>
      </c>
      <c r="C1450" s="45">
        <v>87.0</v>
      </c>
      <c r="D1450" s="45">
        <v>28163.0</v>
      </c>
      <c r="E1450" s="45" t="s">
        <v>3969</v>
      </c>
      <c r="F1450" s="45" t="s">
        <v>3974</v>
      </c>
      <c r="G1450" s="45" t="s">
        <v>3974</v>
      </c>
    </row>
    <row r="1451">
      <c r="A1451" s="45" t="s">
        <v>704</v>
      </c>
      <c r="B1451" s="45" t="s">
        <v>2992</v>
      </c>
      <c r="C1451" s="45">
        <v>71.0</v>
      </c>
      <c r="D1451" s="45">
        <v>29001.0</v>
      </c>
      <c r="E1451" s="45" t="s">
        <v>3991</v>
      </c>
      <c r="F1451" s="45" t="s">
        <v>3992</v>
      </c>
      <c r="G1451" s="45" t="s">
        <v>3974</v>
      </c>
    </row>
    <row r="1452">
      <c r="A1452" s="45" t="s">
        <v>1122</v>
      </c>
      <c r="B1452" s="45" t="s">
        <v>2992</v>
      </c>
      <c r="C1452" s="45">
        <v>54.0</v>
      </c>
      <c r="D1452" s="45">
        <v>29003.0</v>
      </c>
      <c r="E1452" s="45" t="s">
        <v>3975</v>
      </c>
      <c r="F1452" s="45" t="s">
        <v>4001</v>
      </c>
      <c r="G1452" s="45" t="s">
        <v>3974</v>
      </c>
    </row>
    <row r="1453">
      <c r="A1453" s="45" t="s">
        <v>752</v>
      </c>
      <c r="B1453" s="45" t="s">
        <v>2992</v>
      </c>
      <c r="C1453" s="45">
        <v>54.0</v>
      </c>
      <c r="D1453" s="45">
        <v>29005.0</v>
      </c>
      <c r="E1453" s="45" t="s">
        <v>3995</v>
      </c>
      <c r="F1453" s="45" t="s">
        <v>4001</v>
      </c>
      <c r="G1453" s="45" t="s">
        <v>3974</v>
      </c>
    </row>
    <row r="1454">
      <c r="A1454" s="45" t="s">
        <v>1123</v>
      </c>
      <c r="B1454" s="45" t="s">
        <v>2992</v>
      </c>
      <c r="C1454" s="45">
        <v>72.0</v>
      </c>
      <c r="D1454" s="45">
        <v>29007.0</v>
      </c>
      <c r="E1454" s="45" t="s">
        <v>3991</v>
      </c>
      <c r="F1454" s="45" t="s">
        <v>3992</v>
      </c>
      <c r="G1454" s="45" t="s">
        <v>3974</v>
      </c>
    </row>
    <row r="1455">
      <c r="A1455" s="45" t="s">
        <v>970</v>
      </c>
      <c r="B1455" s="45" t="s">
        <v>2992</v>
      </c>
      <c r="C1455" s="45">
        <v>55.0</v>
      </c>
      <c r="D1455" s="45">
        <v>29009.0</v>
      </c>
      <c r="E1455" s="45" t="s">
        <v>3975</v>
      </c>
      <c r="F1455" s="45" t="s">
        <v>4001</v>
      </c>
      <c r="G1455" s="45" t="s">
        <v>3974</v>
      </c>
    </row>
    <row r="1456">
      <c r="A1456" s="45" t="s">
        <v>754</v>
      </c>
      <c r="B1456" s="45" t="s">
        <v>2992</v>
      </c>
      <c r="C1456" s="45">
        <v>55.0</v>
      </c>
      <c r="D1456" s="45">
        <v>29011.0</v>
      </c>
      <c r="E1456" s="45" t="s">
        <v>3975</v>
      </c>
      <c r="F1456" s="45" t="s">
        <v>4001</v>
      </c>
      <c r="G1456" s="45" t="s">
        <v>3974</v>
      </c>
    </row>
    <row r="1457">
      <c r="A1457" s="45" t="s">
        <v>1124</v>
      </c>
      <c r="B1457" s="45" t="s">
        <v>2992</v>
      </c>
      <c r="C1457" s="45">
        <v>55.0</v>
      </c>
      <c r="D1457" s="45">
        <v>29013.0</v>
      </c>
      <c r="E1457" s="45" t="s">
        <v>3975</v>
      </c>
      <c r="F1457" s="45" t="s">
        <v>4001</v>
      </c>
      <c r="G1457" s="45" t="s">
        <v>3974</v>
      </c>
    </row>
    <row r="1458">
      <c r="A1458" s="45" t="s">
        <v>224</v>
      </c>
      <c r="B1458" s="45" t="s">
        <v>2992</v>
      </c>
      <c r="C1458" s="45">
        <v>55.0</v>
      </c>
      <c r="D1458" s="45">
        <v>29015.0</v>
      </c>
      <c r="E1458" s="45" t="s">
        <v>3975</v>
      </c>
      <c r="F1458" s="45" t="s">
        <v>4001</v>
      </c>
      <c r="G1458" s="45" t="s">
        <v>3974</v>
      </c>
    </row>
    <row r="1459">
      <c r="A1459" s="45" t="s">
        <v>1125</v>
      </c>
      <c r="B1459" s="45" t="s">
        <v>2992</v>
      </c>
      <c r="C1459" s="45">
        <v>73.0</v>
      </c>
      <c r="D1459" s="45">
        <v>29017.0</v>
      </c>
      <c r="E1459" s="45" t="s">
        <v>3991</v>
      </c>
      <c r="F1459" s="45" t="s">
        <v>3992</v>
      </c>
      <c r="G1459" s="45" t="s">
        <v>3974</v>
      </c>
    </row>
    <row r="1460">
      <c r="A1460" s="45" t="s">
        <v>225</v>
      </c>
      <c r="B1460" s="45" t="s">
        <v>2992</v>
      </c>
      <c r="C1460" s="45">
        <v>72.0</v>
      </c>
      <c r="D1460" s="45">
        <v>29019.0</v>
      </c>
      <c r="E1460" s="45" t="s">
        <v>3991</v>
      </c>
      <c r="F1460" s="45" t="s">
        <v>3992</v>
      </c>
      <c r="G1460" s="45" t="s">
        <v>3974</v>
      </c>
    </row>
    <row r="1461">
      <c r="A1461" s="45" t="s">
        <v>712</v>
      </c>
      <c r="B1461" s="45" t="s">
        <v>2992</v>
      </c>
      <c r="C1461" s="45">
        <v>54.0</v>
      </c>
      <c r="D1461" s="45">
        <v>29021.0</v>
      </c>
      <c r="E1461" s="45" t="s">
        <v>3975</v>
      </c>
      <c r="F1461" s="45" t="s">
        <v>4001</v>
      </c>
      <c r="G1461" s="45" t="s">
        <v>3970</v>
      </c>
    </row>
    <row r="1462">
      <c r="A1462" s="45" t="s">
        <v>109</v>
      </c>
      <c r="B1462" s="45" t="s">
        <v>2992</v>
      </c>
      <c r="C1462" s="45">
        <v>84.0</v>
      </c>
      <c r="D1462" s="45">
        <v>29023.0</v>
      </c>
      <c r="E1462" s="45" t="s">
        <v>3991</v>
      </c>
      <c r="F1462" s="45" t="s">
        <v>3992</v>
      </c>
      <c r="G1462" s="45" t="s">
        <v>3970</v>
      </c>
    </row>
    <row r="1463">
      <c r="A1463" s="45" t="s">
        <v>829</v>
      </c>
      <c r="B1463" s="45" t="s">
        <v>2992</v>
      </c>
      <c r="C1463" s="45">
        <v>54.0</v>
      </c>
      <c r="D1463" s="45">
        <v>29025.0</v>
      </c>
      <c r="E1463" s="45" t="s">
        <v>3975</v>
      </c>
      <c r="F1463" s="45" t="s">
        <v>4001</v>
      </c>
      <c r="G1463" s="45" t="s">
        <v>3970</v>
      </c>
    </row>
    <row r="1464">
      <c r="A1464" s="45" t="s">
        <v>1126</v>
      </c>
      <c r="B1464" s="45" t="s">
        <v>2992</v>
      </c>
      <c r="C1464" s="45">
        <v>72.0</v>
      </c>
      <c r="D1464" s="45">
        <v>29027.0</v>
      </c>
      <c r="E1464" s="45" t="s">
        <v>3991</v>
      </c>
      <c r="F1464" s="45" t="s">
        <v>3992</v>
      </c>
      <c r="G1464" s="45" t="s">
        <v>3970</v>
      </c>
    </row>
    <row r="1465">
      <c r="A1465" s="45" t="s">
        <v>476</v>
      </c>
      <c r="B1465" s="45" t="s">
        <v>2992</v>
      </c>
      <c r="C1465" s="45">
        <v>84.0</v>
      </c>
      <c r="D1465" s="45">
        <v>29029.0</v>
      </c>
      <c r="E1465" s="45" t="s">
        <v>3991</v>
      </c>
      <c r="F1465" s="45" t="s">
        <v>3992</v>
      </c>
      <c r="G1465" s="45" t="s">
        <v>3970</v>
      </c>
    </row>
    <row r="1466">
      <c r="A1466" s="45" t="s">
        <v>1127</v>
      </c>
      <c r="B1466" s="45" t="s">
        <v>2992</v>
      </c>
      <c r="C1466" s="45">
        <v>72.0</v>
      </c>
      <c r="D1466" s="45">
        <v>29031.0</v>
      </c>
      <c r="E1466" s="45" t="s">
        <v>3991</v>
      </c>
      <c r="F1466" s="45" t="s">
        <v>3992</v>
      </c>
      <c r="G1466" s="45" t="s">
        <v>3970</v>
      </c>
    </row>
    <row r="1467">
      <c r="A1467" s="45" t="s">
        <v>227</v>
      </c>
      <c r="B1467" s="45" t="s">
        <v>2992</v>
      </c>
      <c r="C1467" s="45">
        <v>54.0</v>
      </c>
      <c r="D1467" s="45">
        <v>29033.0</v>
      </c>
      <c r="E1467" s="45" t="s">
        <v>3975</v>
      </c>
      <c r="F1467" s="45" t="s">
        <v>4001</v>
      </c>
      <c r="G1467" s="45" t="s">
        <v>3970</v>
      </c>
    </row>
    <row r="1468">
      <c r="A1468" s="45" t="s">
        <v>833</v>
      </c>
      <c r="B1468" s="45" t="s">
        <v>2992</v>
      </c>
      <c r="C1468" s="45">
        <v>84.0</v>
      </c>
      <c r="D1468" s="45">
        <v>29035.0</v>
      </c>
      <c r="E1468" s="45" t="s">
        <v>3991</v>
      </c>
      <c r="F1468" s="45" t="s">
        <v>3992</v>
      </c>
      <c r="G1468" s="45" t="s">
        <v>3970</v>
      </c>
    </row>
    <row r="1469">
      <c r="A1469" s="45" t="s">
        <v>613</v>
      </c>
      <c r="B1469" s="45" t="s">
        <v>2992</v>
      </c>
      <c r="C1469" s="45">
        <v>54.0</v>
      </c>
      <c r="D1469" s="45">
        <v>29037.0</v>
      </c>
      <c r="E1469" s="45" t="s">
        <v>3975</v>
      </c>
      <c r="F1469" s="45" t="s">
        <v>4001</v>
      </c>
      <c r="G1469" s="45" t="s">
        <v>3970</v>
      </c>
    </row>
    <row r="1470">
      <c r="A1470" s="45" t="s">
        <v>714</v>
      </c>
      <c r="B1470" s="45" t="s">
        <v>2992</v>
      </c>
      <c r="C1470" s="45">
        <v>55.0</v>
      </c>
      <c r="D1470" s="45">
        <v>29039.0</v>
      </c>
      <c r="E1470" s="45" t="s">
        <v>3975</v>
      </c>
      <c r="F1470" s="45" t="s">
        <v>4001</v>
      </c>
      <c r="G1470" s="45" t="s">
        <v>3970</v>
      </c>
    </row>
    <row r="1471">
      <c r="A1471" s="45" t="s">
        <v>1128</v>
      </c>
      <c r="B1471" s="45" t="s">
        <v>2992</v>
      </c>
      <c r="C1471" s="45">
        <v>54.0</v>
      </c>
      <c r="D1471" s="45">
        <v>29041.0</v>
      </c>
      <c r="E1471" s="45" t="s">
        <v>3975</v>
      </c>
      <c r="F1471" s="45" t="s">
        <v>3992</v>
      </c>
      <c r="G1471" s="45" t="s">
        <v>3970</v>
      </c>
    </row>
    <row r="1472">
      <c r="A1472" s="45" t="s">
        <v>615</v>
      </c>
      <c r="B1472" s="45" t="s">
        <v>2992</v>
      </c>
      <c r="C1472" s="45">
        <v>55.0</v>
      </c>
      <c r="D1472" s="45">
        <v>29043.0</v>
      </c>
      <c r="E1472" s="45" t="s">
        <v>3975</v>
      </c>
      <c r="F1472" s="45" t="s">
        <v>4001</v>
      </c>
      <c r="G1472" s="45" t="s">
        <v>3970</v>
      </c>
    </row>
    <row r="1473">
      <c r="A1473" s="45" t="s">
        <v>229</v>
      </c>
      <c r="B1473" s="45" t="s">
        <v>2992</v>
      </c>
      <c r="C1473" s="45">
        <v>71.0</v>
      </c>
      <c r="D1473" s="45">
        <v>29045.0</v>
      </c>
      <c r="E1473" s="45" t="s">
        <v>3995</v>
      </c>
      <c r="F1473" s="45" t="s">
        <v>3992</v>
      </c>
      <c r="G1473" s="45" t="s">
        <v>3970</v>
      </c>
    </row>
    <row r="1474">
      <c r="A1474" s="45" t="s">
        <v>116</v>
      </c>
      <c r="B1474" s="45" t="s">
        <v>2992</v>
      </c>
      <c r="C1474" s="45">
        <v>54.0</v>
      </c>
      <c r="D1474" s="45">
        <v>29047.0</v>
      </c>
      <c r="E1474" s="45" t="s">
        <v>3975</v>
      </c>
      <c r="F1474" s="45" t="s">
        <v>4001</v>
      </c>
      <c r="G1474" s="45" t="s">
        <v>3970</v>
      </c>
    </row>
    <row r="1475">
      <c r="A1475" s="45" t="s">
        <v>616</v>
      </c>
      <c r="B1475" s="45" t="s">
        <v>2992</v>
      </c>
      <c r="C1475" s="45">
        <v>54.0</v>
      </c>
      <c r="D1475" s="45">
        <v>29049.0</v>
      </c>
      <c r="E1475" s="45" t="s">
        <v>3975</v>
      </c>
      <c r="F1475" s="45" t="s">
        <v>4001</v>
      </c>
      <c r="G1475" s="45" t="s">
        <v>3970</v>
      </c>
    </row>
    <row r="1476">
      <c r="A1476" s="45" t="s">
        <v>1129</v>
      </c>
      <c r="B1476" s="45" t="s">
        <v>2992</v>
      </c>
      <c r="C1476" s="45">
        <v>72.0</v>
      </c>
      <c r="D1476" s="45">
        <v>29051.0</v>
      </c>
      <c r="E1476" s="45" t="s">
        <v>3991</v>
      </c>
      <c r="F1476" s="45" t="s">
        <v>3992</v>
      </c>
      <c r="G1476" s="45" t="s">
        <v>3970</v>
      </c>
    </row>
    <row r="1477">
      <c r="A1477" s="45" t="s">
        <v>1130</v>
      </c>
      <c r="B1477" s="45" t="s">
        <v>2992</v>
      </c>
      <c r="C1477" s="45">
        <v>72.0</v>
      </c>
      <c r="D1477" s="45">
        <v>29053.0</v>
      </c>
      <c r="E1477" s="45" t="s">
        <v>3991</v>
      </c>
      <c r="F1477" s="45" t="s">
        <v>3992</v>
      </c>
      <c r="G1477" s="45" t="s">
        <v>3970</v>
      </c>
    </row>
    <row r="1478">
      <c r="A1478" s="45" t="s">
        <v>234</v>
      </c>
      <c r="B1478" s="45" t="s">
        <v>2992</v>
      </c>
      <c r="C1478" s="45">
        <v>73.0</v>
      </c>
      <c r="D1478" s="45">
        <v>29055.0</v>
      </c>
      <c r="E1478" s="45" t="s">
        <v>3991</v>
      </c>
      <c r="F1478" s="45" t="s">
        <v>3992</v>
      </c>
      <c r="G1478" s="45" t="s">
        <v>3970</v>
      </c>
    </row>
    <row r="1479">
      <c r="A1479" s="45" t="s">
        <v>490</v>
      </c>
      <c r="B1479" s="45" t="s">
        <v>2992</v>
      </c>
      <c r="C1479" s="45">
        <v>55.0</v>
      </c>
      <c r="D1479" s="45">
        <v>29057.0</v>
      </c>
      <c r="E1479" s="45" t="s">
        <v>3975</v>
      </c>
      <c r="F1479" s="45" t="s">
        <v>4001</v>
      </c>
      <c r="G1479" s="45" t="s">
        <v>3970</v>
      </c>
    </row>
    <row r="1480">
      <c r="A1480" s="45" t="s">
        <v>126</v>
      </c>
      <c r="B1480" s="45" t="s">
        <v>2992</v>
      </c>
      <c r="C1480" s="45">
        <v>84.0</v>
      </c>
      <c r="D1480" s="45">
        <v>29059.0</v>
      </c>
      <c r="E1480" s="45" t="s">
        <v>3975</v>
      </c>
      <c r="F1480" s="45" t="s">
        <v>4001</v>
      </c>
      <c r="G1480" s="45" t="s">
        <v>3970</v>
      </c>
    </row>
    <row r="1481">
      <c r="A1481" s="45" t="s">
        <v>667</v>
      </c>
      <c r="B1481" s="45" t="s">
        <v>2992</v>
      </c>
      <c r="C1481" s="45">
        <v>54.0</v>
      </c>
      <c r="D1481" s="45">
        <v>29061.0</v>
      </c>
      <c r="E1481" s="45" t="s">
        <v>3975</v>
      </c>
      <c r="F1481" s="45" t="s">
        <v>4001</v>
      </c>
      <c r="G1481" s="45" t="s">
        <v>3970</v>
      </c>
    </row>
    <row r="1482">
      <c r="A1482" s="45" t="s">
        <v>127</v>
      </c>
      <c r="B1482" s="45" t="s">
        <v>2992</v>
      </c>
      <c r="C1482" s="45">
        <v>54.0</v>
      </c>
      <c r="D1482" s="45">
        <v>29063.0</v>
      </c>
      <c r="E1482" s="45" t="s">
        <v>3975</v>
      </c>
      <c r="F1482" s="45" t="s">
        <v>4001</v>
      </c>
      <c r="G1482" s="45" t="s">
        <v>3970</v>
      </c>
    </row>
    <row r="1483">
      <c r="A1483" s="45" t="s">
        <v>1131</v>
      </c>
      <c r="B1483" s="45" t="s">
        <v>2992</v>
      </c>
      <c r="C1483" s="45">
        <v>84.0</v>
      </c>
      <c r="D1483" s="45">
        <v>29065.0</v>
      </c>
      <c r="E1483" s="45" t="s">
        <v>3991</v>
      </c>
      <c r="F1483" s="45" t="s">
        <v>3992</v>
      </c>
      <c r="G1483" s="45" t="s">
        <v>3970</v>
      </c>
    </row>
    <row r="1484">
      <c r="A1484" s="45" t="s">
        <v>357</v>
      </c>
      <c r="B1484" s="45" t="s">
        <v>2992</v>
      </c>
      <c r="C1484" s="45">
        <v>55.0</v>
      </c>
      <c r="D1484" s="45">
        <v>29067.0</v>
      </c>
      <c r="E1484" s="45" t="s">
        <v>3991</v>
      </c>
      <c r="F1484" s="45" t="s">
        <v>4001</v>
      </c>
      <c r="G1484" s="45" t="s">
        <v>3970</v>
      </c>
    </row>
    <row r="1485">
      <c r="A1485" s="45" t="s">
        <v>1132</v>
      </c>
      <c r="B1485" s="45" t="s">
        <v>2992</v>
      </c>
      <c r="C1485" s="45">
        <v>84.0</v>
      </c>
      <c r="D1485" s="45">
        <v>29069.0</v>
      </c>
      <c r="E1485" s="45" t="s">
        <v>3991</v>
      </c>
      <c r="F1485" s="45" t="s">
        <v>3992</v>
      </c>
      <c r="G1485" s="45" t="s">
        <v>3992</v>
      </c>
    </row>
    <row r="1486">
      <c r="A1486" s="45" t="s">
        <v>132</v>
      </c>
      <c r="B1486" s="45" t="s">
        <v>2992</v>
      </c>
      <c r="C1486" s="45">
        <v>72.0</v>
      </c>
      <c r="D1486" s="45">
        <v>29071.0</v>
      </c>
      <c r="E1486" s="45" t="s">
        <v>3991</v>
      </c>
      <c r="F1486" s="45" t="s">
        <v>3992</v>
      </c>
      <c r="G1486" s="45" t="s">
        <v>3992</v>
      </c>
    </row>
    <row r="1487">
      <c r="A1487" s="45" t="s">
        <v>1133</v>
      </c>
      <c r="B1487" s="45" t="s">
        <v>2992</v>
      </c>
      <c r="C1487" s="45">
        <v>72.0</v>
      </c>
      <c r="D1487" s="45">
        <v>29073.0</v>
      </c>
      <c r="E1487" s="45" t="s">
        <v>3991</v>
      </c>
      <c r="F1487" s="45" t="s">
        <v>3992</v>
      </c>
      <c r="G1487" s="45" t="s">
        <v>3992</v>
      </c>
    </row>
    <row r="1488">
      <c r="A1488" s="45" t="s">
        <v>1134</v>
      </c>
      <c r="B1488" s="45" t="s">
        <v>2992</v>
      </c>
      <c r="C1488" s="45">
        <v>54.0</v>
      </c>
      <c r="D1488" s="45">
        <v>29075.0</v>
      </c>
      <c r="E1488" s="45" t="s">
        <v>3975</v>
      </c>
      <c r="F1488" s="45" t="s">
        <v>4001</v>
      </c>
      <c r="G1488" s="45" t="s">
        <v>3992</v>
      </c>
    </row>
    <row r="1489">
      <c r="A1489" s="45" t="s">
        <v>134</v>
      </c>
      <c r="B1489" s="45" t="s">
        <v>2992</v>
      </c>
      <c r="C1489" s="45">
        <v>55.0</v>
      </c>
      <c r="D1489" s="45">
        <v>29077.0</v>
      </c>
      <c r="E1489" s="45" t="s">
        <v>3975</v>
      </c>
      <c r="F1489" s="45" t="s">
        <v>4001</v>
      </c>
      <c r="G1489" s="45" t="s">
        <v>3992</v>
      </c>
    </row>
    <row r="1490">
      <c r="A1490" s="45" t="s">
        <v>625</v>
      </c>
      <c r="B1490" s="45" t="s">
        <v>2992</v>
      </c>
      <c r="C1490" s="45">
        <v>54.0</v>
      </c>
      <c r="D1490" s="45">
        <v>29079.0</v>
      </c>
      <c r="E1490" s="45" t="s">
        <v>3975</v>
      </c>
      <c r="F1490" s="45" t="s">
        <v>4001</v>
      </c>
      <c r="G1490" s="45" t="s">
        <v>3992</v>
      </c>
    </row>
    <row r="1491">
      <c r="A1491" s="45" t="s">
        <v>673</v>
      </c>
      <c r="B1491" s="45" t="s">
        <v>2992</v>
      </c>
      <c r="C1491" s="45">
        <v>54.0</v>
      </c>
      <c r="D1491" s="45">
        <v>29081.0</v>
      </c>
      <c r="E1491" s="45" t="s">
        <v>3995</v>
      </c>
      <c r="F1491" s="45" t="s">
        <v>4001</v>
      </c>
      <c r="G1491" s="45" t="s">
        <v>3992</v>
      </c>
    </row>
    <row r="1492">
      <c r="A1492" s="45" t="s">
        <v>136</v>
      </c>
      <c r="B1492" s="45" t="s">
        <v>2992</v>
      </c>
      <c r="C1492" s="45">
        <v>55.0</v>
      </c>
      <c r="D1492" s="45">
        <v>29083.0</v>
      </c>
      <c r="E1492" s="45" t="s">
        <v>3975</v>
      </c>
      <c r="F1492" s="45" t="s">
        <v>4001</v>
      </c>
      <c r="G1492" s="45" t="s">
        <v>3992</v>
      </c>
    </row>
    <row r="1493">
      <c r="A1493" s="45" t="s">
        <v>1135</v>
      </c>
      <c r="B1493" s="45" t="s">
        <v>2992</v>
      </c>
      <c r="C1493" s="45">
        <v>55.0</v>
      </c>
      <c r="D1493" s="45">
        <v>29085.0</v>
      </c>
      <c r="E1493" s="45" t="s">
        <v>3975</v>
      </c>
      <c r="F1493" s="45" t="s">
        <v>4001</v>
      </c>
      <c r="G1493" s="45" t="s">
        <v>3992</v>
      </c>
    </row>
    <row r="1494">
      <c r="A1494" s="45" t="s">
        <v>1136</v>
      </c>
      <c r="B1494" s="45" t="s">
        <v>2992</v>
      </c>
      <c r="C1494" s="45">
        <v>54.0</v>
      </c>
      <c r="D1494" s="45">
        <v>29087.0</v>
      </c>
      <c r="E1494" s="45" t="s">
        <v>3995</v>
      </c>
      <c r="F1494" s="45" t="s">
        <v>4001</v>
      </c>
      <c r="G1494" s="45" t="s">
        <v>3992</v>
      </c>
    </row>
    <row r="1495">
      <c r="A1495" s="45" t="s">
        <v>245</v>
      </c>
      <c r="B1495" s="45" t="s">
        <v>2992</v>
      </c>
      <c r="C1495" s="45">
        <v>72.0</v>
      </c>
      <c r="D1495" s="45">
        <v>29089.0</v>
      </c>
      <c r="E1495" s="45" t="s">
        <v>3975</v>
      </c>
      <c r="F1495" s="45" t="s">
        <v>3992</v>
      </c>
      <c r="G1495" s="45" t="s">
        <v>3992</v>
      </c>
    </row>
    <row r="1496">
      <c r="A1496" s="45" t="s">
        <v>1137</v>
      </c>
      <c r="B1496" s="45" t="s">
        <v>2992</v>
      </c>
      <c r="C1496" s="45">
        <v>84.0</v>
      </c>
      <c r="D1496" s="45">
        <v>29091.0</v>
      </c>
      <c r="E1496" s="45" t="s">
        <v>3991</v>
      </c>
      <c r="F1496" s="45" t="s">
        <v>3992</v>
      </c>
      <c r="G1496" s="45" t="s">
        <v>4001</v>
      </c>
    </row>
    <row r="1497">
      <c r="A1497" s="45" t="s">
        <v>989</v>
      </c>
      <c r="B1497" s="45" t="s">
        <v>2992</v>
      </c>
      <c r="C1497" s="45">
        <v>73.0</v>
      </c>
      <c r="D1497" s="45">
        <v>29093.0</v>
      </c>
      <c r="E1497" s="45" t="s">
        <v>3991</v>
      </c>
      <c r="F1497" s="45" t="s">
        <v>3992</v>
      </c>
      <c r="G1497" s="45" t="s">
        <v>4001</v>
      </c>
    </row>
    <row r="1498">
      <c r="A1498" s="45" t="s">
        <v>138</v>
      </c>
      <c r="B1498" s="45" t="s">
        <v>2992</v>
      </c>
      <c r="C1498" s="45">
        <v>54.0</v>
      </c>
      <c r="D1498" s="45">
        <v>29095.0</v>
      </c>
      <c r="E1498" s="45" t="s">
        <v>3975</v>
      </c>
      <c r="F1498" s="45" t="s">
        <v>4001</v>
      </c>
      <c r="G1498" s="45" t="s">
        <v>4001</v>
      </c>
    </row>
    <row r="1499">
      <c r="A1499" s="45" t="s">
        <v>518</v>
      </c>
      <c r="B1499" s="45" t="s">
        <v>2992</v>
      </c>
      <c r="C1499" s="45">
        <v>55.0</v>
      </c>
      <c r="D1499" s="45">
        <v>29097.0</v>
      </c>
      <c r="E1499" s="45" t="s">
        <v>3975</v>
      </c>
      <c r="F1499" s="45" t="s">
        <v>4001</v>
      </c>
      <c r="G1499" s="45" t="s">
        <v>4001</v>
      </c>
    </row>
    <row r="1500">
      <c r="A1500" s="45" t="s">
        <v>139</v>
      </c>
      <c r="B1500" s="45" t="s">
        <v>2992</v>
      </c>
      <c r="C1500" s="45">
        <v>72.0</v>
      </c>
      <c r="D1500" s="45">
        <v>29099.0</v>
      </c>
      <c r="E1500" s="45" t="s">
        <v>3991</v>
      </c>
      <c r="F1500" s="45" t="s">
        <v>3992</v>
      </c>
      <c r="G1500" s="45" t="s">
        <v>4001</v>
      </c>
    </row>
    <row r="1501">
      <c r="A1501" s="45" t="s">
        <v>248</v>
      </c>
      <c r="B1501" s="45" t="s">
        <v>2992</v>
      </c>
      <c r="C1501" s="45">
        <v>54.0</v>
      </c>
      <c r="D1501" s="45">
        <v>29101.0</v>
      </c>
      <c r="E1501" s="45" t="s">
        <v>3975</v>
      </c>
      <c r="F1501" s="45" t="s">
        <v>4001</v>
      </c>
      <c r="G1501" s="45" t="s">
        <v>4001</v>
      </c>
    </row>
    <row r="1502">
      <c r="A1502" s="45" t="s">
        <v>634</v>
      </c>
      <c r="B1502" s="45" t="s">
        <v>2992</v>
      </c>
      <c r="C1502" s="45">
        <v>71.0</v>
      </c>
      <c r="D1502" s="45">
        <v>29103.0</v>
      </c>
      <c r="E1502" s="45" t="s">
        <v>3991</v>
      </c>
      <c r="F1502" s="45" t="s">
        <v>3992</v>
      </c>
      <c r="G1502" s="45" t="s">
        <v>4001</v>
      </c>
    </row>
    <row r="1503">
      <c r="A1503" s="45" t="s">
        <v>1138</v>
      </c>
      <c r="B1503" s="45" t="s">
        <v>2992</v>
      </c>
      <c r="C1503" s="45">
        <v>84.0</v>
      </c>
      <c r="D1503" s="45">
        <v>29105.0</v>
      </c>
      <c r="E1503" s="45" t="s">
        <v>3991</v>
      </c>
      <c r="F1503" s="45" t="s">
        <v>3992</v>
      </c>
      <c r="G1503" s="45" t="s">
        <v>4001</v>
      </c>
    </row>
    <row r="1504">
      <c r="A1504" s="45" t="s">
        <v>249</v>
      </c>
      <c r="B1504" s="45" t="s">
        <v>2992</v>
      </c>
      <c r="C1504" s="45">
        <v>54.0</v>
      </c>
      <c r="D1504" s="45">
        <v>29107.0</v>
      </c>
      <c r="E1504" s="45" t="s">
        <v>3975</v>
      </c>
      <c r="F1504" s="45" t="s">
        <v>4001</v>
      </c>
      <c r="G1504" s="45" t="s">
        <v>4001</v>
      </c>
    </row>
    <row r="1505">
      <c r="A1505" s="45" t="s">
        <v>142</v>
      </c>
      <c r="B1505" s="45" t="s">
        <v>2992</v>
      </c>
      <c r="C1505" s="45">
        <v>55.0</v>
      </c>
      <c r="D1505" s="45">
        <v>29109.0</v>
      </c>
      <c r="E1505" s="45" t="s">
        <v>3975</v>
      </c>
      <c r="F1505" s="45" t="s">
        <v>4001</v>
      </c>
      <c r="G1505" s="45" t="s">
        <v>4001</v>
      </c>
    </row>
    <row r="1506">
      <c r="A1506" s="45" t="s">
        <v>597</v>
      </c>
      <c r="B1506" s="45" t="s">
        <v>2992</v>
      </c>
      <c r="C1506" s="45">
        <v>71.0</v>
      </c>
      <c r="D1506" s="45">
        <v>29111.0</v>
      </c>
      <c r="E1506" s="45" t="s">
        <v>3991</v>
      </c>
      <c r="F1506" s="45" t="s">
        <v>3992</v>
      </c>
      <c r="G1506" s="45" t="s">
        <v>4001</v>
      </c>
    </row>
    <row r="1507">
      <c r="A1507" s="45" t="s">
        <v>250</v>
      </c>
      <c r="B1507" s="45" t="s">
        <v>2992</v>
      </c>
      <c r="C1507" s="45">
        <v>72.0</v>
      </c>
      <c r="D1507" s="45">
        <v>29113.0</v>
      </c>
      <c r="E1507" s="45" t="s">
        <v>3991</v>
      </c>
      <c r="F1507" s="45" t="s">
        <v>3992</v>
      </c>
      <c r="G1507" s="45" t="s">
        <v>4001</v>
      </c>
    </row>
    <row r="1508">
      <c r="A1508" s="45" t="s">
        <v>726</v>
      </c>
      <c r="B1508" s="45" t="s">
        <v>2992</v>
      </c>
      <c r="C1508" s="45">
        <v>54.0</v>
      </c>
      <c r="D1508" s="45">
        <v>29115.0</v>
      </c>
      <c r="E1508" s="45" t="s">
        <v>3991</v>
      </c>
      <c r="F1508" s="45" t="s">
        <v>3992</v>
      </c>
      <c r="G1508" s="45" t="s">
        <v>4001</v>
      </c>
    </row>
    <row r="1509">
      <c r="A1509" s="45" t="s">
        <v>636</v>
      </c>
      <c r="B1509" s="45" t="s">
        <v>2992</v>
      </c>
      <c r="C1509" s="45">
        <v>54.0</v>
      </c>
      <c r="D1509" s="45">
        <v>29117.0</v>
      </c>
      <c r="E1509" s="45" t="s">
        <v>3975</v>
      </c>
      <c r="F1509" s="45" t="s">
        <v>4001</v>
      </c>
      <c r="G1509" s="45" t="s">
        <v>4001</v>
      </c>
    </row>
    <row r="1510">
      <c r="A1510" s="45" t="s">
        <v>1139</v>
      </c>
      <c r="B1510" s="45" t="s">
        <v>2992</v>
      </c>
      <c r="C1510" s="45">
        <v>55.0</v>
      </c>
      <c r="D1510" s="45">
        <v>29119.0</v>
      </c>
      <c r="E1510" s="45" t="s">
        <v>3975</v>
      </c>
      <c r="F1510" s="45" t="s">
        <v>4001</v>
      </c>
      <c r="G1510" s="45" t="s">
        <v>4001</v>
      </c>
    </row>
    <row r="1511">
      <c r="A1511" s="45" t="s">
        <v>146</v>
      </c>
      <c r="B1511" s="45" t="s">
        <v>2992</v>
      </c>
      <c r="C1511" s="45">
        <v>71.0</v>
      </c>
      <c r="D1511" s="45">
        <v>29121.0</v>
      </c>
      <c r="E1511" s="45" t="s">
        <v>3991</v>
      </c>
      <c r="F1511" s="45" t="s">
        <v>3992</v>
      </c>
      <c r="G1511" s="45" t="s">
        <v>4001</v>
      </c>
    </row>
    <row r="1512">
      <c r="A1512" s="45" t="s">
        <v>147</v>
      </c>
      <c r="B1512" s="45" t="s">
        <v>2992</v>
      </c>
      <c r="C1512" s="45">
        <v>73.0</v>
      </c>
      <c r="D1512" s="45">
        <v>29123.0</v>
      </c>
      <c r="E1512" s="45" t="s">
        <v>3991</v>
      </c>
      <c r="F1512" s="45" t="s">
        <v>3992</v>
      </c>
      <c r="G1512" s="45" t="s">
        <v>4001</v>
      </c>
    </row>
    <row r="1513">
      <c r="A1513" s="45" t="s">
        <v>1140</v>
      </c>
      <c r="B1513" s="45" t="s">
        <v>2992</v>
      </c>
      <c r="C1513" s="45">
        <v>72.0</v>
      </c>
      <c r="D1513" s="45">
        <v>29125.0</v>
      </c>
      <c r="E1513" s="45" t="s">
        <v>3991</v>
      </c>
      <c r="F1513" s="45" t="s">
        <v>3992</v>
      </c>
      <c r="G1513" s="45" t="s">
        <v>4001</v>
      </c>
    </row>
    <row r="1514">
      <c r="A1514" s="45" t="s">
        <v>149</v>
      </c>
      <c r="B1514" s="45" t="s">
        <v>2992</v>
      </c>
      <c r="C1514" s="45">
        <v>71.0</v>
      </c>
      <c r="D1514" s="45">
        <v>29127.0</v>
      </c>
      <c r="E1514" s="45" t="s">
        <v>3991</v>
      </c>
      <c r="F1514" s="45" t="s">
        <v>3992</v>
      </c>
      <c r="G1514" s="45" t="s">
        <v>4001</v>
      </c>
    </row>
    <row r="1515">
      <c r="A1515" s="45" t="s">
        <v>644</v>
      </c>
      <c r="B1515" s="45" t="s">
        <v>2992</v>
      </c>
      <c r="C1515" s="45">
        <v>54.0</v>
      </c>
      <c r="D1515" s="45">
        <v>29129.0</v>
      </c>
      <c r="E1515" s="45" t="s">
        <v>3995</v>
      </c>
      <c r="F1515" s="45" t="s">
        <v>4001</v>
      </c>
      <c r="G1515" s="45" t="s">
        <v>4001</v>
      </c>
    </row>
    <row r="1516">
      <c r="A1516" s="45" t="s">
        <v>254</v>
      </c>
      <c r="B1516" s="45" t="s">
        <v>2992</v>
      </c>
      <c r="C1516" s="45">
        <v>72.0</v>
      </c>
      <c r="D1516" s="45">
        <v>29131.0</v>
      </c>
      <c r="E1516" s="45" t="s">
        <v>3991</v>
      </c>
      <c r="F1516" s="45" t="s">
        <v>3992</v>
      </c>
      <c r="G1516" s="45" t="s">
        <v>4001</v>
      </c>
    </row>
    <row r="1517">
      <c r="A1517" s="45" t="s">
        <v>255</v>
      </c>
      <c r="B1517" s="45" t="s">
        <v>2992</v>
      </c>
      <c r="C1517" s="45">
        <v>72.0</v>
      </c>
      <c r="D1517" s="45">
        <v>29133.0</v>
      </c>
      <c r="E1517" s="45" t="s">
        <v>3991</v>
      </c>
      <c r="F1517" s="45" t="s">
        <v>3992</v>
      </c>
      <c r="G1517" s="45" t="s">
        <v>4001</v>
      </c>
    </row>
    <row r="1518">
      <c r="A1518" s="45" t="s">
        <v>1141</v>
      </c>
      <c r="B1518" s="45" t="s">
        <v>2992</v>
      </c>
      <c r="C1518" s="45">
        <v>72.0</v>
      </c>
      <c r="D1518" s="45">
        <v>29135.0</v>
      </c>
      <c r="E1518" s="45" t="s">
        <v>3991</v>
      </c>
      <c r="F1518" s="45" t="s">
        <v>3992</v>
      </c>
      <c r="G1518" s="45" t="s">
        <v>4001</v>
      </c>
    </row>
    <row r="1519">
      <c r="A1519" s="45" t="s">
        <v>152</v>
      </c>
      <c r="B1519" s="45" t="s">
        <v>2992</v>
      </c>
      <c r="C1519" s="45">
        <v>71.0</v>
      </c>
      <c r="D1519" s="45">
        <v>29137.0</v>
      </c>
      <c r="E1519" s="45" t="s">
        <v>3991</v>
      </c>
      <c r="F1519" s="45" t="s">
        <v>3992</v>
      </c>
      <c r="G1519" s="45" t="s">
        <v>4001</v>
      </c>
    </row>
    <row r="1520">
      <c r="A1520" s="45" t="s">
        <v>153</v>
      </c>
      <c r="B1520" s="45" t="s">
        <v>2992</v>
      </c>
      <c r="C1520" s="45">
        <v>72.0</v>
      </c>
      <c r="D1520" s="45">
        <v>29139.0</v>
      </c>
      <c r="E1520" s="45" t="s">
        <v>3991</v>
      </c>
      <c r="F1520" s="45" t="s">
        <v>3992</v>
      </c>
      <c r="G1520" s="45" t="s">
        <v>4001</v>
      </c>
    </row>
    <row r="1521">
      <c r="A1521" s="45" t="s">
        <v>154</v>
      </c>
      <c r="B1521" s="45" t="s">
        <v>2992</v>
      </c>
      <c r="C1521" s="45">
        <v>72.0</v>
      </c>
      <c r="D1521" s="45">
        <v>29141.0</v>
      </c>
      <c r="E1521" s="45" t="s">
        <v>3991</v>
      </c>
      <c r="F1521" s="45" t="s">
        <v>3992</v>
      </c>
      <c r="G1521" s="45" t="s">
        <v>4001</v>
      </c>
    </row>
    <row r="1522">
      <c r="A1522" s="45" t="s">
        <v>1142</v>
      </c>
      <c r="B1522" s="45" t="s">
        <v>2992</v>
      </c>
      <c r="C1522" s="45">
        <v>84.0</v>
      </c>
      <c r="D1522" s="45">
        <v>29143.0</v>
      </c>
      <c r="E1522" s="45" t="s">
        <v>3991</v>
      </c>
      <c r="F1522" s="45" t="s">
        <v>3992</v>
      </c>
      <c r="G1522" s="45" t="s">
        <v>4001</v>
      </c>
    </row>
    <row r="1523">
      <c r="A1523" s="45" t="s">
        <v>257</v>
      </c>
      <c r="B1523" s="45" t="s">
        <v>2992</v>
      </c>
      <c r="C1523" s="45">
        <v>55.0</v>
      </c>
      <c r="D1523" s="45">
        <v>29145.0</v>
      </c>
      <c r="E1523" s="45" t="s">
        <v>3975</v>
      </c>
      <c r="F1523" s="45" t="s">
        <v>4001</v>
      </c>
      <c r="G1523" s="45" t="s">
        <v>4001</v>
      </c>
    </row>
    <row r="1524">
      <c r="A1524" s="45" t="s">
        <v>1143</v>
      </c>
      <c r="B1524" s="45" t="s">
        <v>2992</v>
      </c>
      <c r="C1524" s="45">
        <v>54.0</v>
      </c>
      <c r="D1524" s="45">
        <v>29147.0</v>
      </c>
      <c r="E1524" s="45" t="s">
        <v>3995</v>
      </c>
      <c r="F1524" s="45" t="s">
        <v>4001</v>
      </c>
      <c r="G1524" s="45" t="s">
        <v>4001</v>
      </c>
    </row>
    <row r="1525">
      <c r="A1525" s="45" t="s">
        <v>1144</v>
      </c>
      <c r="B1525" s="45" t="s">
        <v>2992</v>
      </c>
      <c r="C1525" s="45">
        <v>84.0</v>
      </c>
      <c r="D1525" s="45">
        <v>29149.0</v>
      </c>
      <c r="E1525" s="45" t="s">
        <v>3991</v>
      </c>
      <c r="F1525" s="45" t="s">
        <v>3992</v>
      </c>
      <c r="G1525" s="45" t="s">
        <v>3992</v>
      </c>
    </row>
    <row r="1526">
      <c r="A1526" s="45" t="s">
        <v>790</v>
      </c>
      <c r="B1526" s="45" t="s">
        <v>2992</v>
      </c>
      <c r="C1526" s="45">
        <v>72.0</v>
      </c>
      <c r="D1526" s="45">
        <v>29151.0</v>
      </c>
      <c r="E1526" s="45" t="s">
        <v>3991</v>
      </c>
      <c r="F1526" s="45" t="s">
        <v>3992</v>
      </c>
      <c r="G1526" s="45" t="s">
        <v>3992</v>
      </c>
    </row>
    <row r="1527">
      <c r="A1527" s="45" t="s">
        <v>1145</v>
      </c>
      <c r="B1527" s="45" t="s">
        <v>2992</v>
      </c>
      <c r="C1527" s="45">
        <v>55.0</v>
      </c>
      <c r="D1527" s="45">
        <v>29153.0</v>
      </c>
      <c r="E1527" s="45" t="s">
        <v>3991</v>
      </c>
      <c r="F1527" s="45" t="s">
        <v>4001</v>
      </c>
      <c r="G1527" s="45" t="s">
        <v>3992</v>
      </c>
    </row>
    <row r="1528">
      <c r="A1528" s="45" t="s">
        <v>1146</v>
      </c>
      <c r="B1528" s="45" t="s">
        <v>2992</v>
      </c>
      <c r="C1528" s="45">
        <v>84.0</v>
      </c>
      <c r="D1528" s="45">
        <v>29155.0</v>
      </c>
      <c r="E1528" s="45" t="s">
        <v>3991</v>
      </c>
      <c r="F1528" s="45" t="s">
        <v>3992</v>
      </c>
      <c r="G1528" s="45" t="s">
        <v>3992</v>
      </c>
    </row>
    <row r="1529">
      <c r="A1529" s="45" t="s">
        <v>155</v>
      </c>
      <c r="B1529" s="45" t="s">
        <v>2992</v>
      </c>
      <c r="C1529" s="45">
        <v>72.0</v>
      </c>
      <c r="D1529" s="45">
        <v>29157.0</v>
      </c>
      <c r="E1529" s="45" t="s">
        <v>3991</v>
      </c>
      <c r="F1529" s="45" t="s">
        <v>3992</v>
      </c>
      <c r="G1529" s="45" t="s">
        <v>3992</v>
      </c>
    </row>
    <row r="1530">
      <c r="A1530" s="45" t="s">
        <v>1147</v>
      </c>
      <c r="B1530" s="45" t="s">
        <v>2992</v>
      </c>
      <c r="C1530" s="45">
        <v>54.0</v>
      </c>
      <c r="D1530" s="45">
        <v>29159.0</v>
      </c>
      <c r="E1530" s="45" t="s">
        <v>3975</v>
      </c>
      <c r="F1530" s="45" t="s">
        <v>4001</v>
      </c>
      <c r="G1530" s="45" t="s">
        <v>3992</v>
      </c>
    </row>
    <row r="1531">
      <c r="A1531" s="45" t="s">
        <v>1148</v>
      </c>
      <c r="B1531" s="45" t="s">
        <v>2992</v>
      </c>
      <c r="C1531" s="45">
        <v>73.0</v>
      </c>
      <c r="D1531" s="45">
        <v>29161.0</v>
      </c>
      <c r="E1531" s="45" t="s">
        <v>3991</v>
      </c>
      <c r="F1531" s="45" t="s">
        <v>3992</v>
      </c>
      <c r="G1531" s="45" t="s">
        <v>3992</v>
      </c>
    </row>
    <row r="1532">
      <c r="A1532" s="45" t="s">
        <v>157</v>
      </c>
      <c r="B1532" s="45" t="s">
        <v>2992</v>
      </c>
      <c r="C1532" s="45">
        <v>72.0</v>
      </c>
      <c r="D1532" s="45">
        <v>29163.0</v>
      </c>
      <c r="E1532" s="45" t="s">
        <v>3991</v>
      </c>
      <c r="F1532" s="45" t="s">
        <v>3992</v>
      </c>
      <c r="G1532" s="45" t="s">
        <v>3992</v>
      </c>
    </row>
    <row r="1533">
      <c r="A1533" s="45" t="s">
        <v>1149</v>
      </c>
      <c r="B1533" s="45" t="s">
        <v>2992</v>
      </c>
      <c r="C1533" s="45">
        <v>54.0</v>
      </c>
      <c r="D1533" s="45">
        <v>29165.0</v>
      </c>
      <c r="E1533" s="45" t="s">
        <v>3975</v>
      </c>
      <c r="F1533" s="45" t="s">
        <v>4001</v>
      </c>
      <c r="G1533" s="45" t="s">
        <v>3992</v>
      </c>
    </row>
    <row r="1534">
      <c r="A1534" s="45" t="s">
        <v>261</v>
      </c>
      <c r="B1534" s="45" t="s">
        <v>2992</v>
      </c>
      <c r="C1534" s="45">
        <v>55.0</v>
      </c>
      <c r="D1534" s="45">
        <v>29167.0</v>
      </c>
      <c r="E1534" s="45" t="s">
        <v>3975</v>
      </c>
      <c r="F1534" s="45" t="s">
        <v>4001</v>
      </c>
      <c r="G1534" s="45" t="s">
        <v>3992</v>
      </c>
    </row>
    <row r="1535">
      <c r="A1535" s="45" t="s">
        <v>264</v>
      </c>
      <c r="B1535" s="45" t="s">
        <v>2992</v>
      </c>
      <c r="C1535" s="45">
        <v>73.0</v>
      </c>
      <c r="D1535" s="45">
        <v>29169.0</v>
      </c>
      <c r="E1535" s="45" t="s">
        <v>3991</v>
      </c>
      <c r="F1535" s="45" t="s">
        <v>3992</v>
      </c>
      <c r="G1535" s="45" t="s">
        <v>3992</v>
      </c>
    </row>
    <row r="1536">
      <c r="A1536" s="45" t="s">
        <v>449</v>
      </c>
      <c r="B1536" s="45" t="s">
        <v>2992</v>
      </c>
      <c r="C1536" s="45">
        <v>54.0</v>
      </c>
      <c r="D1536" s="45">
        <v>29171.0</v>
      </c>
      <c r="E1536" s="45" t="s">
        <v>3995</v>
      </c>
      <c r="F1536" s="45" t="s">
        <v>3992</v>
      </c>
      <c r="G1536" s="45" t="s">
        <v>3992</v>
      </c>
    </row>
    <row r="1537">
      <c r="A1537" s="45" t="s">
        <v>1150</v>
      </c>
      <c r="B1537" s="45" t="s">
        <v>2992</v>
      </c>
      <c r="C1537" s="45">
        <v>71.0</v>
      </c>
      <c r="D1537" s="45">
        <v>29173.0</v>
      </c>
      <c r="E1537" s="45" t="s">
        <v>3991</v>
      </c>
      <c r="F1537" s="45" t="s">
        <v>3992</v>
      </c>
      <c r="G1537" s="45" t="s">
        <v>3992</v>
      </c>
    </row>
    <row r="1538">
      <c r="A1538" s="45" t="s">
        <v>158</v>
      </c>
      <c r="B1538" s="45" t="s">
        <v>2992</v>
      </c>
      <c r="C1538" s="45">
        <v>72.0</v>
      </c>
      <c r="D1538" s="45">
        <v>29175.0</v>
      </c>
      <c r="E1538" s="45" t="s">
        <v>3991</v>
      </c>
      <c r="F1538" s="45" t="s">
        <v>3992</v>
      </c>
      <c r="G1538" s="45" t="s">
        <v>3992</v>
      </c>
    </row>
    <row r="1539">
      <c r="A1539" s="45" t="s">
        <v>1151</v>
      </c>
      <c r="B1539" s="45" t="s">
        <v>2992</v>
      </c>
      <c r="C1539" s="45">
        <v>54.0</v>
      </c>
      <c r="D1539" s="45">
        <v>29177.0</v>
      </c>
      <c r="E1539" s="45" t="s">
        <v>3975</v>
      </c>
      <c r="F1539" s="45" t="s">
        <v>4001</v>
      </c>
      <c r="G1539" s="45" t="s">
        <v>3992</v>
      </c>
    </row>
    <row r="1540">
      <c r="A1540" s="45" t="s">
        <v>1152</v>
      </c>
      <c r="B1540" s="45" t="s">
        <v>2992</v>
      </c>
      <c r="C1540" s="45">
        <v>73.0</v>
      </c>
      <c r="D1540" s="45">
        <v>29179.0</v>
      </c>
      <c r="E1540" s="45" t="s">
        <v>3991</v>
      </c>
      <c r="F1540" s="45" t="s">
        <v>3992</v>
      </c>
      <c r="G1540" s="45" t="s">
        <v>3992</v>
      </c>
    </row>
    <row r="1541">
      <c r="A1541" s="45" t="s">
        <v>688</v>
      </c>
      <c r="B1541" s="45" t="s">
        <v>2992</v>
      </c>
      <c r="C1541" s="45">
        <v>84.0</v>
      </c>
      <c r="D1541" s="45">
        <v>29181.0</v>
      </c>
      <c r="E1541" s="45" t="s">
        <v>3991</v>
      </c>
      <c r="F1541" s="45" t="s">
        <v>3992</v>
      </c>
      <c r="G1541" s="45" t="s">
        <v>3992</v>
      </c>
    </row>
    <row r="1542">
      <c r="A1542" s="45" t="s">
        <v>906</v>
      </c>
      <c r="B1542" s="45" t="s">
        <v>2992</v>
      </c>
      <c r="C1542" s="45">
        <v>72.0</v>
      </c>
      <c r="D1542" s="45">
        <v>29183.0</v>
      </c>
      <c r="E1542" s="45" t="s">
        <v>3991</v>
      </c>
      <c r="F1542" s="45" t="s">
        <v>3992</v>
      </c>
      <c r="G1542" s="45" t="s">
        <v>3992</v>
      </c>
    </row>
    <row r="1543">
      <c r="A1543" s="45" t="s">
        <v>160</v>
      </c>
      <c r="B1543" s="45" t="s">
        <v>2992</v>
      </c>
      <c r="C1543" s="45">
        <v>55.0</v>
      </c>
      <c r="D1543" s="45">
        <v>29185.0</v>
      </c>
      <c r="E1543" s="45" t="s">
        <v>3975</v>
      </c>
      <c r="F1543" s="45" t="s">
        <v>4001</v>
      </c>
      <c r="G1543" s="45" t="s">
        <v>3992</v>
      </c>
    </row>
    <row r="1544">
      <c r="A1544" s="45" t="s">
        <v>1153</v>
      </c>
      <c r="B1544" s="45" t="s">
        <v>2992</v>
      </c>
      <c r="C1544" s="45">
        <v>72.0</v>
      </c>
      <c r="D1544" s="45">
        <v>29186.0</v>
      </c>
      <c r="E1544" s="45" t="s">
        <v>3991</v>
      </c>
      <c r="F1544" s="45" t="s">
        <v>3992</v>
      </c>
      <c r="G1544" s="45" t="s">
        <v>3992</v>
      </c>
    </row>
    <row r="1545">
      <c r="A1545" s="45" t="s">
        <v>1154</v>
      </c>
      <c r="B1545" s="45" t="s">
        <v>2992</v>
      </c>
      <c r="C1545" s="45">
        <v>72.0</v>
      </c>
      <c r="D1545" s="45">
        <v>29187.0</v>
      </c>
      <c r="E1545" s="45" t="s">
        <v>3991</v>
      </c>
      <c r="F1545" s="45" t="s">
        <v>3992</v>
      </c>
      <c r="G1545" s="45" t="s">
        <v>3992</v>
      </c>
    </row>
    <row r="1546">
      <c r="A1546" s="45" t="s">
        <v>1073</v>
      </c>
      <c r="B1546" s="45" t="s">
        <v>2992</v>
      </c>
      <c r="C1546" s="45">
        <v>72.0</v>
      </c>
      <c r="D1546" s="45">
        <v>29189.0</v>
      </c>
      <c r="E1546" s="45" t="s">
        <v>3991</v>
      </c>
      <c r="F1546" s="45" t="s">
        <v>3992</v>
      </c>
      <c r="G1546" s="45" t="s">
        <v>3992</v>
      </c>
    </row>
    <row r="1547">
      <c r="A1547" s="45" t="s">
        <v>266</v>
      </c>
      <c r="B1547" s="45" t="s">
        <v>2992</v>
      </c>
      <c r="C1547" s="45">
        <v>54.0</v>
      </c>
      <c r="D1547" s="45">
        <v>29195.0</v>
      </c>
      <c r="E1547" s="45" t="s">
        <v>3975</v>
      </c>
      <c r="F1547" s="45" t="s">
        <v>4001</v>
      </c>
      <c r="G1547" s="45" t="s">
        <v>3992</v>
      </c>
    </row>
    <row r="1548">
      <c r="A1548" s="45" t="s">
        <v>652</v>
      </c>
      <c r="B1548" s="45" t="s">
        <v>2992</v>
      </c>
      <c r="C1548" s="45">
        <v>71.0</v>
      </c>
      <c r="D1548" s="45">
        <v>29197.0</v>
      </c>
      <c r="E1548" s="45" t="s">
        <v>3991</v>
      </c>
      <c r="F1548" s="45" t="s">
        <v>3992</v>
      </c>
      <c r="G1548" s="45" t="s">
        <v>3992</v>
      </c>
    </row>
    <row r="1549">
      <c r="A1549" s="45" t="s">
        <v>1155</v>
      </c>
      <c r="B1549" s="45" t="s">
        <v>2992</v>
      </c>
      <c r="C1549" s="45">
        <v>71.0</v>
      </c>
      <c r="D1549" s="45">
        <v>29199.0</v>
      </c>
      <c r="E1549" s="45" t="s">
        <v>3995</v>
      </c>
      <c r="F1549" s="45" t="s">
        <v>3992</v>
      </c>
      <c r="G1549" s="45" t="s">
        <v>3992</v>
      </c>
    </row>
    <row r="1550">
      <c r="A1550" s="45" t="s">
        <v>267</v>
      </c>
      <c r="B1550" s="45" t="s">
        <v>2992</v>
      </c>
      <c r="C1550" s="45">
        <v>72.0</v>
      </c>
      <c r="D1550" s="45">
        <v>29201.0</v>
      </c>
      <c r="E1550" s="45" t="s">
        <v>3991</v>
      </c>
      <c r="F1550" s="45" t="s">
        <v>3992</v>
      </c>
      <c r="G1550" s="45" t="s">
        <v>3992</v>
      </c>
    </row>
    <row r="1551">
      <c r="A1551" s="45" t="s">
        <v>1156</v>
      </c>
      <c r="B1551" s="45" t="s">
        <v>2992</v>
      </c>
      <c r="C1551" s="45">
        <v>84.0</v>
      </c>
      <c r="D1551" s="45">
        <v>29203.0</v>
      </c>
      <c r="E1551" s="45" t="s">
        <v>3991</v>
      </c>
      <c r="F1551" s="45" t="s">
        <v>3992</v>
      </c>
      <c r="G1551" s="45" t="s">
        <v>3992</v>
      </c>
    </row>
    <row r="1552">
      <c r="A1552" s="45" t="s">
        <v>161</v>
      </c>
      <c r="B1552" s="45" t="s">
        <v>2992</v>
      </c>
      <c r="C1552" s="45">
        <v>71.0</v>
      </c>
      <c r="D1552" s="45">
        <v>29205.0</v>
      </c>
      <c r="E1552" s="45" t="s">
        <v>3991</v>
      </c>
      <c r="F1552" s="45" t="s">
        <v>3992</v>
      </c>
      <c r="G1552" s="45" t="s">
        <v>3992</v>
      </c>
    </row>
    <row r="1553">
      <c r="A1553" s="45" t="s">
        <v>1157</v>
      </c>
      <c r="B1553" s="45" t="s">
        <v>2992</v>
      </c>
      <c r="C1553" s="45">
        <v>84.0</v>
      </c>
      <c r="D1553" s="45">
        <v>29207.0</v>
      </c>
      <c r="E1553" s="45" t="s">
        <v>3991</v>
      </c>
      <c r="F1553" s="45" t="s">
        <v>3992</v>
      </c>
      <c r="G1553" s="45" t="s">
        <v>4001</v>
      </c>
    </row>
    <row r="1554">
      <c r="A1554" s="45" t="s">
        <v>272</v>
      </c>
      <c r="B1554" s="45" t="s">
        <v>2992</v>
      </c>
      <c r="C1554" s="45">
        <v>55.0</v>
      </c>
      <c r="D1554" s="45">
        <v>29209.0</v>
      </c>
      <c r="E1554" s="45" t="s">
        <v>3975</v>
      </c>
      <c r="F1554" s="45" t="s">
        <v>4001</v>
      </c>
      <c r="G1554" s="45" t="s">
        <v>4001</v>
      </c>
    </row>
    <row r="1555">
      <c r="A1555" s="45" t="s">
        <v>694</v>
      </c>
      <c r="B1555" s="45" t="s">
        <v>2992</v>
      </c>
      <c r="C1555" s="45">
        <v>54.0</v>
      </c>
      <c r="D1555" s="45">
        <v>29211.0</v>
      </c>
      <c r="E1555" s="45" t="s">
        <v>3991</v>
      </c>
      <c r="F1555" s="45" t="s">
        <v>3992</v>
      </c>
      <c r="G1555" s="45" t="s">
        <v>4001</v>
      </c>
    </row>
    <row r="1556">
      <c r="A1556" s="45" t="s">
        <v>1158</v>
      </c>
      <c r="B1556" s="45" t="s">
        <v>2992</v>
      </c>
      <c r="C1556" s="45">
        <v>55.0</v>
      </c>
      <c r="D1556" s="45">
        <v>29213.0</v>
      </c>
      <c r="E1556" s="45" t="s">
        <v>3975</v>
      </c>
      <c r="F1556" s="45" t="s">
        <v>4001</v>
      </c>
      <c r="G1556" s="45" t="s">
        <v>4001</v>
      </c>
    </row>
    <row r="1557">
      <c r="A1557" s="45" t="s">
        <v>1159</v>
      </c>
      <c r="B1557" s="45" t="s">
        <v>2992</v>
      </c>
      <c r="C1557" s="45">
        <v>84.0</v>
      </c>
      <c r="D1557" s="45">
        <v>29215.0</v>
      </c>
      <c r="E1557" s="45" t="s">
        <v>3991</v>
      </c>
      <c r="F1557" s="45" t="s">
        <v>3992</v>
      </c>
      <c r="G1557" s="45" t="s">
        <v>4001</v>
      </c>
    </row>
    <row r="1558">
      <c r="A1558" s="45" t="s">
        <v>917</v>
      </c>
      <c r="B1558" s="45" t="s">
        <v>2992</v>
      </c>
      <c r="C1558" s="45">
        <v>55.0</v>
      </c>
      <c r="D1558" s="45">
        <v>29217.0</v>
      </c>
      <c r="E1558" s="45" t="s">
        <v>3975</v>
      </c>
      <c r="F1558" s="45" t="s">
        <v>4001</v>
      </c>
      <c r="G1558" s="45" t="s">
        <v>4001</v>
      </c>
    </row>
    <row r="1559">
      <c r="A1559" s="45" t="s">
        <v>561</v>
      </c>
      <c r="B1559" s="45" t="s">
        <v>2992</v>
      </c>
      <c r="C1559" s="45">
        <v>72.0</v>
      </c>
      <c r="D1559" s="45">
        <v>29219.0</v>
      </c>
      <c r="E1559" s="45" t="s">
        <v>3991</v>
      </c>
      <c r="F1559" s="45" t="s">
        <v>3992</v>
      </c>
      <c r="G1559" s="45" t="s">
        <v>4001</v>
      </c>
    </row>
    <row r="1560">
      <c r="A1560" s="45" t="s">
        <v>167</v>
      </c>
      <c r="B1560" s="45" t="s">
        <v>2992</v>
      </c>
      <c r="C1560" s="45">
        <v>73.0</v>
      </c>
      <c r="D1560" s="45">
        <v>29221.0</v>
      </c>
      <c r="E1560" s="45" t="s">
        <v>3991</v>
      </c>
      <c r="F1560" s="45" t="s">
        <v>3992</v>
      </c>
      <c r="G1560" s="45" t="s">
        <v>4001</v>
      </c>
    </row>
    <row r="1561">
      <c r="A1561" s="45" t="s">
        <v>562</v>
      </c>
      <c r="B1561" s="45" t="s">
        <v>2992</v>
      </c>
      <c r="C1561" s="45">
        <v>84.0</v>
      </c>
      <c r="D1561" s="45">
        <v>29223.0</v>
      </c>
      <c r="E1561" s="45" t="s">
        <v>3991</v>
      </c>
      <c r="F1561" s="45" t="s">
        <v>3992</v>
      </c>
      <c r="G1561" s="45" t="s">
        <v>4001</v>
      </c>
    </row>
    <row r="1562">
      <c r="A1562" s="45" t="s">
        <v>563</v>
      </c>
      <c r="B1562" s="45" t="s">
        <v>2992</v>
      </c>
      <c r="C1562" s="45">
        <v>55.0</v>
      </c>
      <c r="D1562" s="45">
        <v>29225.0</v>
      </c>
      <c r="E1562" s="45" t="s">
        <v>3991</v>
      </c>
      <c r="F1562" s="45" t="s">
        <v>4001</v>
      </c>
      <c r="G1562" s="45" t="s">
        <v>4001</v>
      </c>
    </row>
    <row r="1563">
      <c r="A1563" s="45" t="s">
        <v>568</v>
      </c>
      <c r="B1563" s="45" t="s">
        <v>2992</v>
      </c>
      <c r="C1563" s="45">
        <v>54.0</v>
      </c>
      <c r="D1563" s="45">
        <v>29227.0</v>
      </c>
      <c r="E1563" s="45" t="s">
        <v>3995</v>
      </c>
      <c r="F1563" s="45" t="s">
        <v>4001</v>
      </c>
      <c r="G1563" s="45" t="s">
        <v>4001</v>
      </c>
    </row>
    <row r="1564">
      <c r="A1564" s="45" t="s">
        <v>749</v>
      </c>
      <c r="B1564" s="45" t="s">
        <v>2992</v>
      </c>
      <c r="C1564" s="45">
        <v>84.0</v>
      </c>
      <c r="D1564" s="45">
        <v>29229.0</v>
      </c>
      <c r="E1564" s="45" t="s">
        <v>3991</v>
      </c>
      <c r="F1564" s="45" t="s">
        <v>3992</v>
      </c>
      <c r="G1564" s="45" t="s">
        <v>4001</v>
      </c>
    </row>
    <row r="1565">
      <c r="A1565" s="45" t="s">
        <v>1160</v>
      </c>
      <c r="B1565" s="45" t="s">
        <v>2992</v>
      </c>
      <c r="C1565" s="45">
        <v>72.0</v>
      </c>
      <c r="D1565" s="45">
        <v>29510.0</v>
      </c>
      <c r="E1565" s="45" t="s">
        <v>3991</v>
      </c>
      <c r="F1565" s="45" t="s">
        <v>3992</v>
      </c>
      <c r="G1565" s="45" t="s">
        <v>4001</v>
      </c>
    </row>
    <row r="1566">
      <c r="A1566" s="45" t="s">
        <v>1161</v>
      </c>
      <c r="B1566" s="45" t="s">
        <v>3034</v>
      </c>
      <c r="C1566" s="45">
        <v>17.0</v>
      </c>
      <c r="D1566" s="45">
        <v>30001.0</v>
      </c>
      <c r="E1566" s="45" t="s">
        <v>3980</v>
      </c>
      <c r="F1566" s="45" t="s">
        <v>3980</v>
      </c>
      <c r="G1566" s="45" t="s">
        <v>4001</v>
      </c>
    </row>
    <row r="1567">
      <c r="A1567" s="45" t="s">
        <v>1163</v>
      </c>
      <c r="B1567" s="45" t="s">
        <v>3034</v>
      </c>
      <c r="C1567" s="45">
        <v>18.0</v>
      </c>
      <c r="D1567" s="45">
        <v>30003.0</v>
      </c>
      <c r="E1567" s="45" t="s">
        <v>3980</v>
      </c>
      <c r="F1567" s="45" t="s">
        <v>3980</v>
      </c>
      <c r="G1567" s="45" t="s">
        <v>4001</v>
      </c>
    </row>
    <row r="1568">
      <c r="A1568" s="45" t="s">
        <v>581</v>
      </c>
      <c r="B1568" s="45" t="s">
        <v>3034</v>
      </c>
      <c r="C1568" s="45">
        <v>18.0</v>
      </c>
      <c r="D1568" s="45">
        <v>30005.0</v>
      </c>
      <c r="E1568" s="45" t="s">
        <v>3980</v>
      </c>
      <c r="F1568" s="45" t="s">
        <v>3980</v>
      </c>
      <c r="G1568" s="45" t="s">
        <v>4001</v>
      </c>
    </row>
    <row r="1569">
      <c r="A1569" s="45" t="s">
        <v>1164</v>
      </c>
      <c r="B1569" s="45" t="s">
        <v>3034</v>
      </c>
      <c r="C1569" s="45">
        <v>17.0</v>
      </c>
      <c r="D1569" s="45">
        <v>30007.0</v>
      </c>
      <c r="E1569" s="45" t="s">
        <v>3980</v>
      </c>
      <c r="F1569" s="45" t="s">
        <v>3980</v>
      </c>
      <c r="G1569" s="45" t="s">
        <v>4001</v>
      </c>
    </row>
    <row r="1570">
      <c r="A1570" s="45" t="s">
        <v>1165</v>
      </c>
      <c r="B1570" s="45" t="s">
        <v>3034</v>
      </c>
      <c r="C1570" s="45">
        <v>18.0</v>
      </c>
      <c r="D1570" s="45">
        <v>30009.0</v>
      </c>
      <c r="E1570" s="45" t="s">
        <v>3980</v>
      </c>
      <c r="F1570" s="45" t="s">
        <v>3980</v>
      </c>
      <c r="G1570" s="45" t="s">
        <v>4001</v>
      </c>
    </row>
    <row r="1571">
      <c r="A1571" s="45" t="s">
        <v>833</v>
      </c>
      <c r="B1571" s="45" t="s">
        <v>3034</v>
      </c>
      <c r="C1571" s="45">
        <v>35.0</v>
      </c>
      <c r="D1571" s="45">
        <v>30011.0</v>
      </c>
      <c r="E1571" s="45" t="s">
        <v>3980</v>
      </c>
      <c r="F1571" s="45" t="s">
        <v>3980</v>
      </c>
      <c r="G1571" s="45" t="s">
        <v>4001</v>
      </c>
    </row>
    <row r="1572">
      <c r="A1572" s="45" t="s">
        <v>1166</v>
      </c>
      <c r="B1572" s="45" t="s">
        <v>3034</v>
      </c>
      <c r="C1572" s="45">
        <v>18.0</v>
      </c>
      <c r="D1572" s="45">
        <v>30013.0</v>
      </c>
      <c r="E1572" s="45" t="s">
        <v>3980</v>
      </c>
      <c r="F1572" s="45" t="s">
        <v>3980</v>
      </c>
      <c r="G1572" s="45" t="s">
        <v>4001</v>
      </c>
    </row>
    <row r="1573">
      <c r="A1573" s="45" t="s">
        <v>1167</v>
      </c>
      <c r="B1573" s="45" t="s">
        <v>3034</v>
      </c>
      <c r="C1573" s="45">
        <v>18.0</v>
      </c>
      <c r="D1573" s="45">
        <v>30015.0</v>
      </c>
      <c r="E1573" s="45" t="s">
        <v>3980</v>
      </c>
      <c r="F1573" s="45" t="s">
        <v>3980</v>
      </c>
      <c r="G1573" s="45" t="s">
        <v>4001</v>
      </c>
    </row>
    <row r="1574">
      <c r="A1574" s="45" t="s">
        <v>353</v>
      </c>
      <c r="B1574" s="45" t="s">
        <v>3034</v>
      </c>
      <c r="C1574" s="45">
        <v>35.0</v>
      </c>
      <c r="D1574" s="45">
        <v>30017.0</v>
      </c>
      <c r="E1574" s="45" t="s">
        <v>3980</v>
      </c>
      <c r="F1574" s="45" t="s">
        <v>3980</v>
      </c>
      <c r="G1574" s="45" t="s">
        <v>4001</v>
      </c>
    </row>
    <row r="1575">
      <c r="A1575" s="45" t="s">
        <v>1168</v>
      </c>
      <c r="B1575" s="45" t="s">
        <v>3034</v>
      </c>
      <c r="C1575" s="45">
        <v>35.0</v>
      </c>
      <c r="D1575" s="45">
        <v>30019.0</v>
      </c>
      <c r="E1575" s="45" t="s">
        <v>3980</v>
      </c>
      <c r="F1575" s="45" t="s">
        <v>3996</v>
      </c>
      <c r="G1575" s="45" t="s">
        <v>3992</v>
      </c>
    </row>
    <row r="1576">
      <c r="A1576" s="45" t="s">
        <v>491</v>
      </c>
      <c r="B1576" s="45" t="s">
        <v>3034</v>
      </c>
      <c r="C1576" s="45">
        <v>35.0</v>
      </c>
      <c r="D1576" s="45">
        <v>30021.0</v>
      </c>
      <c r="E1576" s="45" t="s">
        <v>3995</v>
      </c>
      <c r="F1576" s="45" t="s">
        <v>3999</v>
      </c>
      <c r="G1576" s="45" t="s">
        <v>3992</v>
      </c>
    </row>
    <row r="1577">
      <c r="A1577" s="45" t="s">
        <v>1169</v>
      </c>
      <c r="B1577" s="45" t="s">
        <v>3034</v>
      </c>
      <c r="C1577" s="45">
        <v>17.0</v>
      </c>
      <c r="D1577" s="45">
        <v>30023.0</v>
      </c>
      <c r="E1577" s="45" t="s">
        <v>3980</v>
      </c>
      <c r="F1577" s="45" t="s">
        <v>3980</v>
      </c>
      <c r="G1577" s="45" t="s">
        <v>3992</v>
      </c>
    </row>
    <row r="1578">
      <c r="A1578" s="45" t="s">
        <v>1170</v>
      </c>
      <c r="B1578" s="45" t="s">
        <v>3034</v>
      </c>
      <c r="C1578" s="45">
        <v>35.0</v>
      </c>
      <c r="D1578" s="45">
        <v>30025.0</v>
      </c>
      <c r="E1578" s="45" t="s">
        <v>3995</v>
      </c>
      <c r="F1578" s="45" t="s">
        <v>3999</v>
      </c>
      <c r="G1578" s="45" t="s">
        <v>3992</v>
      </c>
    </row>
    <row r="1579">
      <c r="A1579" s="45" t="s">
        <v>1171</v>
      </c>
      <c r="B1579" s="45" t="s">
        <v>3034</v>
      </c>
      <c r="C1579" s="45">
        <v>20.0</v>
      </c>
      <c r="D1579" s="45">
        <v>30027.0</v>
      </c>
      <c r="E1579" s="45" t="s">
        <v>3980</v>
      </c>
      <c r="F1579" s="45" t="s">
        <v>3980</v>
      </c>
      <c r="G1579" s="45" t="s">
        <v>3992</v>
      </c>
    </row>
    <row r="1580">
      <c r="A1580" s="45" t="s">
        <v>1172</v>
      </c>
      <c r="B1580" s="45" t="s">
        <v>3034</v>
      </c>
      <c r="C1580" s="45">
        <v>17.0</v>
      </c>
      <c r="D1580" s="45">
        <v>30029.0</v>
      </c>
      <c r="E1580" s="45" t="s">
        <v>3980</v>
      </c>
      <c r="F1580" s="45" t="s">
        <v>3980</v>
      </c>
      <c r="G1580" s="45" t="s">
        <v>3992</v>
      </c>
    </row>
    <row r="1581">
      <c r="A1581" s="45" t="s">
        <v>624</v>
      </c>
      <c r="B1581" s="45" t="s">
        <v>3034</v>
      </c>
      <c r="C1581" s="45">
        <v>18.0</v>
      </c>
      <c r="D1581" s="45">
        <v>30031.0</v>
      </c>
      <c r="E1581" s="45" t="s">
        <v>3980</v>
      </c>
      <c r="F1581" s="45" t="s">
        <v>3980</v>
      </c>
      <c r="G1581" s="45" t="s">
        <v>3992</v>
      </c>
    </row>
    <row r="1582">
      <c r="A1582" s="45" t="s">
        <v>362</v>
      </c>
      <c r="B1582" s="45" t="s">
        <v>3034</v>
      </c>
      <c r="C1582" s="45">
        <v>19.0</v>
      </c>
      <c r="D1582" s="45">
        <v>30033.0</v>
      </c>
      <c r="E1582" s="45" t="s">
        <v>3980</v>
      </c>
      <c r="F1582" s="45" t="s">
        <v>3980</v>
      </c>
      <c r="G1582" s="45" t="s">
        <v>3992</v>
      </c>
    </row>
    <row r="1583">
      <c r="A1583" s="45" t="s">
        <v>1173</v>
      </c>
      <c r="B1583" s="45" t="s">
        <v>3034</v>
      </c>
      <c r="C1583" s="45">
        <v>18.0</v>
      </c>
      <c r="D1583" s="45">
        <v>30035.0</v>
      </c>
      <c r="E1583" s="45" t="s">
        <v>3980</v>
      </c>
      <c r="F1583" s="45" t="s">
        <v>3980</v>
      </c>
      <c r="G1583" s="45" t="s">
        <v>3992</v>
      </c>
    </row>
    <row r="1584">
      <c r="A1584" s="45" t="s">
        <v>1174</v>
      </c>
      <c r="B1584" s="45" t="s">
        <v>3034</v>
      </c>
      <c r="C1584" s="45">
        <v>20.0</v>
      </c>
      <c r="D1584" s="45">
        <v>30037.0</v>
      </c>
      <c r="E1584" s="45" t="s">
        <v>3980</v>
      </c>
      <c r="F1584" s="45" t="s">
        <v>3980</v>
      </c>
      <c r="G1584" s="45" t="s">
        <v>3992</v>
      </c>
    </row>
    <row r="1585">
      <c r="A1585" s="45" t="s">
        <v>1175</v>
      </c>
      <c r="B1585" s="45" t="s">
        <v>3034</v>
      </c>
      <c r="C1585" s="45">
        <v>17.0</v>
      </c>
      <c r="D1585" s="45">
        <v>30039.0</v>
      </c>
      <c r="E1585" s="45" t="s">
        <v>3980</v>
      </c>
      <c r="F1585" s="45" t="s">
        <v>3980</v>
      </c>
      <c r="G1585" s="45" t="s">
        <v>3992</v>
      </c>
    </row>
    <row r="1586">
      <c r="A1586" s="45" t="s">
        <v>1176</v>
      </c>
      <c r="B1586" s="45" t="s">
        <v>3034</v>
      </c>
      <c r="C1586" s="45">
        <v>18.0</v>
      </c>
      <c r="D1586" s="45">
        <v>30041.0</v>
      </c>
      <c r="E1586" s="45" t="s">
        <v>3980</v>
      </c>
      <c r="F1586" s="45" t="s">
        <v>3980</v>
      </c>
      <c r="G1586" s="45" t="s">
        <v>3992</v>
      </c>
    </row>
    <row r="1587">
      <c r="A1587" s="45" t="s">
        <v>139</v>
      </c>
      <c r="B1587" s="45" t="s">
        <v>3034</v>
      </c>
      <c r="C1587" s="45">
        <v>17.0</v>
      </c>
      <c r="D1587" s="45">
        <v>30043.0</v>
      </c>
      <c r="E1587" s="45" t="s">
        <v>3980</v>
      </c>
      <c r="F1587" s="45" t="s">
        <v>3980</v>
      </c>
      <c r="G1587" s="45" t="s">
        <v>3992</v>
      </c>
    </row>
    <row r="1588">
      <c r="A1588" s="45" t="s">
        <v>1177</v>
      </c>
      <c r="B1588" s="45" t="s">
        <v>3034</v>
      </c>
      <c r="C1588" s="45">
        <v>20.0</v>
      </c>
      <c r="D1588" s="45">
        <v>30045.0</v>
      </c>
      <c r="E1588" s="45" t="s">
        <v>3980</v>
      </c>
      <c r="F1588" s="45" t="s">
        <v>3980</v>
      </c>
      <c r="G1588" s="45" t="s">
        <v>3992</v>
      </c>
    </row>
    <row r="1589">
      <c r="A1589" s="45" t="s">
        <v>298</v>
      </c>
      <c r="B1589" s="45" t="s">
        <v>3034</v>
      </c>
      <c r="C1589" s="45">
        <v>17.0</v>
      </c>
      <c r="D1589" s="45">
        <v>30047.0</v>
      </c>
      <c r="E1589" s="45" t="s">
        <v>3980</v>
      </c>
      <c r="F1589" s="45" t="s">
        <v>3980</v>
      </c>
      <c r="G1589" s="45" t="s">
        <v>3992</v>
      </c>
    </row>
    <row r="1590">
      <c r="A1590" s="45" t="s">
        <v>1178</v>
      </c>
      <c r="B1590" s="45" t="s">
        <v>3034</v>
      </c>
      <c r="C1590" s="45">
        <v>18.0</v>
      </c>
      <c r="D1590" s="45">
        <v>30049.0</v>
      </c>
      <c r="E1590" s="45" t="s">
        <v>3980</v>
      </c>
      <c r="F1590" s="45" t="s">
        <v>3980</v>
      </c>
      <c r="G1590" s="45" t="s">
        <v>3992</v>
      </c>
    </row>
    <row r="1591">
      <c r="A1591" s="45" t="s">
        <v>438</v>
      </c>
      <c r="B1591" s="45" t="s">
        <v>3034</v>
      </c>
      <c r="C1591" s="45">
        <v>18.0</v>
      </c>
      <c r="D1591" s="45">
        <v>30051.0</v>
      </c>
      <c r="E1591" s="45" t="s">
        <v>3980</v>
      </c>
      <c r="F1591" s="45" t="s">
        <v>3980</v>
      </c>
      <c r="G1591" s="45" t="s">
        <v>3992</v>
      </c>
    </row>
    <row r="1592">
      <c r="A1592" s="45" t="s">
        <v>250</v>
      </c>
      <c r="B1592" s="45" t="s">
        <v>3034</v>
      </c>
      <c r="C1592" s="45">
        <v>17.0</v>
      </c>
      <c r="D1592" s="45">
        <v>30053.0</v>
      </c>
      <c r="E1592" s="45" t="s">
        <v>3980</v>
      </c>
      <c r="F1592" s="45" t="s">
        <v>3980</v>
      </c>
      <c r="G1592" s="45" t="s">
        <v>3992</v>
      </c>
    </row>
    <row r="1593">
      <c r="A1593" s="45" t="s">
        <v>1179</v>
      </c>
      <c r="B1593" s="45" t="s">
        <v>3034</v>
      </c>
      <c r="C1593" s="45">
        <v>35.0</v>
      </c>
      <c r="D1593" s="45">
        <v>30055.0</v>
      </c>
      <c r="E1593" s="45" t="s">
        <v>3995</v>
      </c>
      <c r="F1593" s="45" t="s">
        <v>3996</v>
      </c>
      <c r="G1593" s="45" t="s">
        <v>3992</v>
      </c>
    </row>
    <row r="1594">
      <c r="A1594" s="45" t="s">
        <v>147</v>
      </c>
      <c r="B1594" s="45" t="s">
        <v>3034</v>
      </c>
      <c r="C1594" s="45">
        <v>17.0</v>
      </c>
      <c r="D1594" s="45">
        <v>30057.0</v>
      </c>
      <c r="E1594" s="45" t="s">
        <v>3980</v>
      </c>
      <c r="F1594" s="45" t="s">
        <v>3980</v>
      </c>
      <c r="G1594" s="45" t="s">
        <v>3992</v>
      </c>
    </row>
    <row r="1595">
      <c r="A1595" s="45" t="s">
        <v>1180</v>
      </c>
      <c r="B1595" s="45" t="s">
        <v>3034</v>
      </c>
      <c r="C1595" s="45">
        <v>18.0</v>
      </c>
      <c r="D1595" s="45">
        <v>30059.0</v>
      </c>
      <c r="E1595" s="45" t="s">
        <v>3980</v>
      </c>
      <c r="F1595" s="45" t="s">
        <v>3980</v>
      </c>
      <c r="G1595" s="45" t="s">
        <v>3992</v>
      </c>
    </row>
    <row r="1596">
      <c r="A1596" s="45" t="s">
        <v>374</v>
      </c>
      <c r="B1596" s="45" t="s">
        <v>3034</v>
      </c>
      <c r="C1596" s="45">
        <v>17.0</v>
      </c>
      <c r="D1596" s="45">
        <v>30061.0</v>
      </c>
      <c r="E1596" s="45" t="s">
        <v>3980</v>
      </c>
      <c r="F1596" s="45" t="s">
        <v>3980</v>
      </c>
      <c r="G1596" s="45" t="s">
        <v>3992</v>
      </c>
    </row>
    <row r="1597">
      <c r="A1597" s="45" t="s">
        <v>1181</v>
      </c>
      <c r="B1597" s="45" t="s">
        <v>3034</v>
      </c>
      <c r="C1597" s="45">
        <v>17.0</v>
      </c>
      <c r="D1597" s="45">
        <v>30063.0</v>
      </c>
      <c r="E1597" s="45" t="s">
        <v>3980</v>
      </c>
      <c r="F1597" s="45" t="s">
        <v>3980</v>
      </c>
      <c r="G1597" s="45" t="s">
        <v>3992</v>
      </c>
    </row>
    <row r="1598">
      <c r="A1598" s="45" t="s">
        <v>1182</v>
      </c>
      <c r="B1598" s="45" t="s">
        <v>3034</v>
      </c>
      <c r="C1598" s="45">
        <v>20.0</v>
      </c>
      <c r="D1598" s="45">
        <v>30065.0</v>
      </c>
      <c r="E1598" s="45" t="s">
        <v>3980</v>
      </c>
      <c r="F1598" s="45" t="s">
        <v>3980</v>
      </c>
      <c r="G1598" s="45" t="s">
        <v>3992</v>
      </c>
    </row>
    <row r="1599">
      <c r="A1599" s="45" t="s">
        <v>380</v>
      </c>
      <c r="B1599" s="45" t="s">
        <v>3034</v>
      </c>
      <c r="C1599" s="45">
        <v>18.0</v>
      </c>
      <c r="D1599" s="45">
        <v>30067.0</v>
      </c>
      <c r="E1599" s="45" t="s">
        <v>3980</v>
      </c>
      <c r="F1599" s="45" t="s">
        <v>3980</v>
      </c>
      <c r="G1599" s="45" t="s">
        <v>3992</v>
      </c>
    </row>
    <row r="1600">
      <c r="A1600" s="45" t="s">
        <v>1183</v>
      </c>
      <c r="B1600" s="45" t="s">
        <v>3034</v>
      </c>
      <c r="C1600" s="45">
        <v>20.0</v>
      </c>
      <c r="D1600" s="45">
        <v>30069.0</v>
      </c>
      <c r="E1600" s="45" t="s">
        <v>3980</v>
      </c>
      <c r="F1600" s="45" t="s">
        <v>3980</v>
      </c>
      <c r="G1600" s="45" t="s">
        <v>3980</v>
      </c>
    </row>
    <row r="1601">
      <c r="A1601" s="45" t="s">
        <v>259</v>
      </c>
      <c r="B1601" s="45" t="s">
        <v>3034</v>
      </c>
      <c r="C1601" s="45">
        <v>18.0</v>
      </c>
      <c r="D1601" s="45">
        <v>30071.0</v>
      </c>
      <c r="E1601" s="45" t="s">
        <v>3980</v>
      </c>
      <c r="F1601" s="45" t="s">
        <v>3980</v>
      </c>
      <c r="G1601" s="45" t="s">
        <v>3980</v>
      </c>
    </row>
    <row r="1602">
      <c r="A1602" s="45" t="s">
        <v>1184</v>
      </c>
      <c r="B1602" s="45" t="s">
        <v>3034</v>
      </c>
      <c r="C1602" s="45">
        <v>18.0</v>
      </c>
      <c r="D1602" s="45">
        <v>30073.0</v>
      </c>
      <c r="E1602" s="45" t="s">
        <v>3980</v>
      </c>
      <c r="F1602" s="45" t="s">
        <v>3980</v>
      </c>
      <c r="G1602" s="45" t="s">
        <v>3980</v>
      </c>
    </row>
    <row r="1603">
      <c r="A1603" s="45" t="s">
        <v>1185</v>
      </c>
      <c r="B1603" s="45" t="s">
        <v>3034</v>
      </c>
      <c r="C1603" s="45">
        <v>20.0</v>
      </c>
      <c r="D1603" s="45">
        <v>30075.0</v>
      </c>
      <c r="E1603" s="45" t="s">
        <v>3980</v>
      </c>
      <c r="F1603" s="45" t="s">
        <v>3980</v>
      </c>
      <c r="G1603" s="45" t="s">
        <v>3980</v>
      </c>
    </row>
    <row r="1604">
      <c r="A1604" s="45" t="s">
        <v>865</v>
      </c>
      <c r="B1604" s="45" t="s">
        <v>3034</v>
      </c>
      <c r="C1604" s="45">
        <v>17.0</v>
      </c>
      <c r="D1604" s="45">
        <v>30077.0</v>
      </c>
      <c r="E1604" s="45" t="s">
        <v>3980</v>
      </c>
      <c r="F1604" s="45" t="s">
        <v>3980</v>
      </c>
      <c r="G1604" s="45" t="s">
        <v>3980</v>
      </c>
    </row>
    <row r="1605">
      <c r="A1605" s="45" t="s">
        <v>263</v>
      </c>
      <c r="B1605" s="45" t="s">
        <v>3034</v>
      </c>
      <c r="C1605" s="45">
        <v>35.0</v>
      </c>
      <c r="D1605" s="45">
        <v>30079.0</v>
      </c>
      <c r="E1605" s="45" t="s">
        <v>3995</v>
      </c>
      <c r="F1605" s="45" t="s">
        <v>3999</v>
      </c>
      <c r="G1605" s="45" t="s">
        <v>3980</v>
      </c>
    </row>
    <row r="1606">
      <c r="A1606" s="45" t="s">
        <v>1186</v>
      </c>
      <c r="B1606" s="45" t="s">
        <v>3034</v>
      </c>
      <c r="C1606" s="45">
        <v>17.0</v>
      </c>
      <c r="D1606" s="45">
        <v>30081.0</v>
      </c>
      <c r="E1606" s="45" t="s">
        <v>3980</v>
      </c>
      <c r="F1606" s="45" t="s">
        <v>3980</v>
      </c>
      <c r="G1606" s="45" t="s">
        <v>3980</v>
      </c>
    </row>
    <row r="1607">
      <c r="A1607" s="45" t="s">
        <v>649</v>
      </c>
      <c r="B1607" s="45" t="s">
        <v>3034</v>
      </c>
      <c r="C1607" s="45">
        <v>35.0</v>
      </c>
      <c r="D1607" s="45">
        <v>30083.0</v>
      </c>
      <c r="E1607" s="45" t="s">
        <v>3995</v>
      </c>
      <c r="F1607" s="45" t="s">
        <v>3999</v>
      </c>
      <c r="G1607" s="45" t="s">
        <v>3980</v>
      </c>
    </row>
    <row r="1608">
      <c r="A1608" s="45" t="s">
        <v>1187</v>
      </c>
      <c r="B1608" s="45" t="s">
        <v>3034</v>
      </c>
      <c r="C1608" s="45">
        <v>35.0</v>
      </c>
      <c r="D1608" s="45">
        <v>30085.0</v>
      </c>
      <c r="E1608" s="45" t="s">
        <v>3995</v>
      </c>
      <c r="F1608" s="45" t="s">
        <v>3999</v>
      </c>
      <c r="G1608" s="45" t="s">
        <v>3980</v>
      </c>
    </row>
    <row r="1609">
      <c r="A1609" s="45" t="s">
        <v>1188</v>
      </c>
      <c r="B1609" s="45" t="s">
        <v>3034</v>
      </c>
      <c r="C1609" s="45">
        <v>20.0</v>
      </c>
      <c r="D1609" s="45">
        <v>30087.0</v>
      </c>
      <c r="E1609" s="45" t="s">
        <v>3980</v>
      </c>
      <c r="F1609" s="45" t="s">
        <v>3980</v>
      </c>
      <c r="G1609" s="45" t="s">
        <v>3980</v>
      </c>
    </row>
    <row r="1610">
      <c r="A1610" s="45" t="s">
        <v>1189</v>
      </c>
      <c r="B1610" s="45" t="s">
        <v>3034</v>
      </c>
      <c r="C1610" s="45">
        <v>17.0</v>
      </c>
      <c r="D1610" s="45">
        <v>30089.0</v>
      </c>
      <c r="E1610" s="45" t="s">
        <v>3980</v>
      </c>
      <c r="F1610" s="45" t="s">
        <v>3980</v>
      </c>
      <c r="G1610" s="45" t="s">
        <v>3980</v>
      </c>
    </row>
    <row r="1611">
      <c r="A1611" s="45" t="s">
        <v>804</v>
      </c>
      <c r="B1611" s="45" t="s">
        <v>3034</v>
      </c>
      <c r="C1611" s="45">
        <v>35.0</v>
      </c>
      <c r="D1611" s="45">
        <v>30091.0</v>
      </c>
      <c r="E1611" s="45" t="s">
        <v>3995</v>
      </c>
      <c r="F1611" s="45" t="s">
        <v>3996</v>
      </c>
      <c r="G1611" s="45" t="s">
        <v>3980</v>
      </c>
    </row>
    <row r="1612">
      <c r="A1612" s="45" t="s">
        <v>1190</v>
      </c>
      <c r="B1612" s="45" t="s">
        <v>3034</v>
      </c>
      <c r="C1612" s="45">
        <v>17.0</v>
      </c>
      <c r="D1612" s="45">
        <v>30093.0</v>
      </c>
      <c r="E1612" s="45" t="s">
        <v>3980</v>
      </c>
      <c r="F1612" s="45" t="s">
        <v>3980</v>
      </c>
      <c r="G1612" s="45" t="s">
        <v>3980</v>
      </c>
    </row>
    <row r="1613">
      <c r="A1613" s="45" t="s">
        <v>1191</v>
      </c>
      <c r="B1613" s="45" t="s">
        <v>3034</v>
      </c>
      <c r="C1613" s="45">
        <v>18.0</v>
      </c>
      <c r="D1613" s="45">
        <v>30095.0</v>
      </c>
      <c r="E1613" s="45" t="s">
        <v>3980</v>
      </c>
      <c r="F1613" s="45" t="s">
        <v>3980</v>
      </c>
      <c r="G1613" s="45" t="s">
        <v>3980</v>
      </c>
    </row>
    <row r="1614">
      <c r="A1614" s="45" t="s">
        <v>1192</v>
      </c>
      <c r="B1614" s="45" t="s">
        <v>3034</v>
      </c>
      <c r="C1614" s="45">
        <v>18.0</v>
      </c>
      <c r="D1614" s="45">
        <v>30097.0</v>
      </c>
      <c r="E1614" s="45" t="s">
        <v>3980</v>
      </c>
      <c r="F1614" s="45" t="s">
        <v>3980</v>
      </c>
      <c r="G1614" s="45" t="s">
        <v>3980</v>
      </c>
    </row>
    <row r="1615">
      <c r="A1615" s="45" t="s">
        <v>605</v>
      </c>
      <c r="B1615" s="45" t="s">
        <v>3034</v>
      </c>
      <c r="C1615" s="45">
        <v>18.0</v>
      </c>
      <c r="D1615" s="45">
        <v>30099.0</v>
      </c>
      <c r="E1615" s="45" t="s">
        <v>3980</v>
      </c>
      <c r="F1615" s="45" t="s">
        <v>3980</v>
      </c>
      <c r="G1615" s="45" t="s">
        <v>3980</v>
      </c>
    </row>
    <row r="1616">
      <c r="A1616" s="45" t="s">
        <v>1193</v>
      </c>
      <c r="B1616" s="45" t="s">
        <v>3034</v>
      </c>
      <c r="C1616" s="45">
        <v>18.0</v>
      </c>
      <c r="D1616" s="45">
        <v>30101.0</v>
      </c>
      <c r="E1616" s="45" t="s">
        <v>3980</v>
      </c>
      <c r="F1616" s="45" t="s">
        <v>3980</v>
      </c>
      <c r="G1616" s="45" t="s">
        <v>3980</v>
      </c>
    </row>
    <row r="1617">
      <c r="A1617" s="45" t="s">
        <v>1194</v>
      </c>
      <c r="B1617" s="45" t="s">
        <v>3034</v>
      </c>
      <c r="C1617" s="45">
        <v>20.0</v>
      </c>
      <c r="D1617" s="45">
        <v>30103.0</v>
      </c>
      <c r="E1617" s="45" t="s">
        <v>3980</v>
      </c>
      <c r="F1617" s="45" t="s">
        <v>3980</v>
      </c>
      <c r="G1617" s="45" t="s">
        <v>3980</v>
      </c>
    </row>
    <row r="1618">
      <c r="A1618" s="45" t="s">
        <v>607</v>
      </c>
      <c r="B1618" s="45" t="s">
        <v>3034</v>
      </c>
      <c r="C1618" s="45">
        <v>19.0</v>
      </c>
      <c r="D1618" s="45">
        <v>30105.0</v>
      </c>
      <c r="E1618" s="45" t="s">
        <v>3980</v>
      </c>
      <c r="F1618" s="45" t="s">
        <v>3980</v>
      </c>
      <c r="G1618" s="45" t="s">
        <v>3980</v>
      </c>
    </row>
    <row r="1619">
      <c r="A1619" s="45" t="s">
        <v>1195</v>
      </c>
      <c r="B1619" s="45" t="s">
        <v>3034</v>
      </c>
      <c r="C1619" s="45">
        <v>20.0</v>
      </c>
      <c r="D1619" s="45">
        <v>30107.0</v>
      </c>
      <c r="E1619" s="45" t="s">
        <v>3980</v>
      </c>
      <c r="F1619" s="45" t="s">
        <v>3980</v>
      </c>
      <c r="G1619" s="45" t="s">
        <v>3980</v>
      </c>
    </row>
    <row r="1620">
      <c r="A1620" s="45" t="s">
        <v>1196</v>
      </c>
      <c r="B1620" s="45" t="s">
        <v>3034</v>
      </c>
      <c r="C1620" s="45">
        <v>35.0</v>
      </c>
      <c r="D1620" s="45">
        <v>30109.0</v>
      </c>
      <c r="E1620" s="45" t="s">
        <v>3995</v>
      </c>
      <c r="F1620" s="45" t="s">
        <v>3999</v>
      </c>
      <c r="G1620" s="45" t="s">
        <v>3980</v>
      </c>
    </row>
    <row r="1621">
      <c r="A1621" s="45" t="s">
        <v>1197</v>
      </c>
      <c r="B1621" s="45" t="s">
        <v>3034</v>
      </c>
      <c r="C1621" s="45">
        <v>20.0</v>
      </c>
      <c r="D1621" s="45">
        <v>30111.0</v>
      </c>
      <c r="E1621" s="45" t="s">
        <v>3980</v>
      </c>
      <c r="F1621" s="45" t="s">
        <v>3980</v>
      </c>
      <c r="G1621" s="45" t="s">
        <v>3980</v>
      </c>
    </row>
    <row r="1622">
      <c r="A1622" s="45" t="s">
        <v>338</v>
      </c>
      <c r="B1622" s="45" t="s">
        <v>3071</v>
      </c>
      <c r="C1622" s="45">
        <v>40.0</v>
      </c>
      <c r="D1622" s="45">
        <v>31001.0</v>
      </c>
      <c r="E1622" s="45" t="s">
        <v>3995</v>
      </c>
      <c r="F1622" s="45" t="s">
        <v>3999</v>
      </c>
      <c r="G1622" s="45" t="s">
        <v>3980</v>
      </c>
    </row>
    <row r="1623">
      <c r="A1623" s="45" t="s">
        <v>1199</v>
      </c>
      <c r="B1623" s="45" t="s">
        <v>3071</v>
      </c>
      <c r="C1623" s="45">
        <v>40.0</v>
      </c>
      <c r="D1623" s="45">
        <v>31003.0</v>
      </c>
      <c r="E1623" s="45" t="s">
        <v>3995</v>
      </c>
      <c r="F1623" s="45" t="s">
        <v>3999</v>
      </c>
      <c r="G1623" s="45" t="s">
        <v>3980</v>
      </c>
    </row>
    <row r="1624">
      <c r="A1624" s="45" t="s">
        <v>1200</v>
      </c>
      <c r="B1624" s="45" t="s">
        <v>3071</v>
      </c>
      <c r="C1624" s="45">
        <v>39.0</v>
      </c>
      <c r="D1624" s="45">
        <v>31005.0</v>
      </c>
      <c r="E1624" s="45" t="s">
        <v>3995</v>
      </c>
      <c r="F1624" s="45" t="s">
        <v>3999</v>
      </c>
      <c r="G1624" s="45" t="s">
        <v>3980</v>
      </c>
    </row>
    <row r="1625">
      <c r="A1625" s="45" t="s">
        <v>1201</v>
      </c>
      <c r="B1625" s="45" t="s">
        <v>3071</v>
      </c>
      <c r="C1625" s="45">
        <v>39.0</v>
      </c>
      <c r="D1625" s="45">
        <v>31007.0</v>
      </c>
      <c r="E1625" s="45" t="s">
        <v>3982</v>
      </c>
      <c r="F1625" s="45" t="s">
        <v>3983</v>
      </c>
      <c r="G1625" s="45" t="s">
        <v>3980</v>
      </c>
    </row>
    <row r="1626">
      <c r="A1626" s="45" t="s">
        <v>581</v>
      </c>
      <c r="B1626" s="45" t="s">
        <v>3071</v>
      </c>
      <c r="C1626" s="45">
        <v>40.0</v>
      </c>
      <c r="D1626" s="45">
        <v>31009.0</v>
      </c>
      <c r="E1626" s="45" t="s">
        <v>3995</v>
      </c>
      <c r="F1626" s="45" t="s">
        <v>3999</v>
      </c>
      <c r="G1626" s="45" t="s">
        <v>3980</v>
      </c>
    </row>
    <row r="1627">
      <c r="A1627" s="45" t="s">
        <v>225</v>
      </c>
      <c r="B1627" s="45" t="s">
        <v>3071</v>
      </c>
      <c r="C1627" s="45">
        <v>40.0</v>
      </c>
      <c r="D1627" s="45">
        <v>31011.0</v>
      </c>
      <c r="E1627" s="45" t="s">
        <v>3995</v>
      </c>
      <c r="F1627" s="45" t="s">
        <v>3999</v>
      </c>
      <c r="G1627" s="45" t="s">
        <v>3980</v>
      </c>
    </row>
    <row r="1628">
      <c r="A1628" s="45" t="s">
        <v>1202</v>
      </c>
      <c r="B1628" s="45" t="s">
        <v>3071</v>
      </c>
      <c r="C1628" s="45">
        <v>39.0</v>
      </c>
      <c r="D1628" s="45">
        <v>31013.0</v>
      </c>
      <c r="E1628" s="45" t="s">
        <v>3982</v>
      </c>
      <c r="F1628" s="45" t="s">
        <v>3999</v>
      </c>
      <c r="G1628" s="45" t="s">
        <v>3980</v>
      </c>
    </row>
    <row r="1629">
      <c r="A1629" s="45" t="s">
        <v>823</v>
      </c>
      <c r="B1629" s="45" t="s">
        <v>3071</v>
      </c>
      <c r="C1629" s="45">
        <v>40.0</v>
      </c>
      <c r="D1629" s="45">
        <v>31015.0</v>
      </c>
      <c r="E1629" s="45" t="s">
        <v>3995</v>
      </c>
      <c r="F1629" s="45" t="s">
        <v>3999</v>
      </c>
      <c r="G1629" s="45" t="s">
        <v>3980</v>
      </c>
    </row>
    <row r="1630">
      <c r="A1630" s="45" t="s">
        <v>611</v>
      </c>
      <c r="B1630" s="45" t="s">
        <v>3071</v>
      </c>
      <c r="C1630" s="45">
        <v>40.0</v>
      </c>
      <c r="D1630" s="45">
        <v>31017.0</v>
      </c>
      <c r="E1630" s="45" t="s">
        <v>3995</v>
      </c>
      <c r="F1630" s="45" t="s">
        <v>3999</v>
      </c>
      <c r="G1630" s="45" t="s">
        <v>3980</v>
      </c>
    </row>
    <row r="1631">
      <c r="A1631" s="45" t="s">
        <v>1203</v>
      </c>
      <c r="B1631" s="45" t="s">
        <v>3071</v>
      </c>
      <c r="C1631" s="45">
        <v>40.0</v>
      </c>
      <c r="D1631" s="45">
        <v>31019.0</v>
      </c>
      <c r="E1631" s="45" t="s">
        <v>3995</v>
      </c>
      <c r="F1631" s="45" t="s">
        <v>3999</v>
      </c>
      <c r="G1631" s="45" t="s">
        <v>3980</v>
      </c>
    </row>
    <row r="1632">
      <c r="A1632" s="45" t="s">
        <v>1204</v>
      </c>
      <c r="B1632" s="45" t="s">
        <v>3071</v>
      </c>
      <c r="C1632" s="45">
        <v>41.0</v>
      </c>
      <c r="D1632" s="45">
        <v>31021.0</v>
      </c>
      <c r="E1632" s="45" t="s">
        <v>3995</v>
      </c>
      <c r="F1632" s="45" t="s">
        <v>3999</v>
      </c>
      <c r="G1632" s="45" t="s">
        <v>3980</v>
      </c>
    </row>
    <row r="1633">
      <c r="A1633" s="45" t="s">
        <v>109</v>
      </c>
      <c r="B1633" s="45" t="s">
        <v>3071</v>
      </c>
      <c r="C1633" s="45">
        <v>40.0</v>
      </c>
      <c r="D1633" s="45">
        <v>31023.0</v>
      </c>
      <c r="E1633" s="45" t="s">
        <v>3995</v>
      </c>
      <c r="F1633" s="45" t="s">
        <v>3999</v>
      </c>
      <c r="G1633" s="45" t="s">
        <v>3999</v>
      </c>
    </row>
    <row r="1634">
      <c r="A1634" s="45" t="s">
        <v>613</v>
      </c>
      <c r="B1634" s="45" t="s">
        <v>3071</v>
      </c>
      <c r="C1634" s="45">
        <v>41.0</v>
      </c>
      <c r="D1634" s="45">
        <v>31025.0</v>
      </c>
      <c r="E1634" s="45" t="s">
        <v>3995</v>
      </c>
      <c r="F1634" s="45" t="s">
        <v>3999</v>
      </c>
      <c r="G1634" s="45" t="s">
        <v>3999</v>
      </c>
    </row>
    <row r="1635">
      <c r="A1635" s="45" t="s">
        <v>714</v>
      </c>
      <c r="B1635" s="45" t="s">
        <v>3071</v>
      </c>
      <c r="C1635" s="45">
        <v>40.0</v>
      </c>
      <c r="D1635" s="45">
        <v>31027.0</v>
      </c>
      <c r="E1635" s="45" t="s">
        <v>3995</v>
      </c>
      <c r="F1635" s="45" t="s">
        <v>3999</v>
      </c>
      <c r="G1635" s="45" t="s">
        <v>3999</v>
      </c>
    </row>
    <row r="1636">
      <c r="A1636" s="45" t="s">
        <v>756</v>
      </c>
      <c r="B1636" s="45" t="s">
        <v>3071</v>
      </c>
      <c r="C1636" s="45">
        <v>39.0</v>
      </c>
      <c r="D1636" s="45">
        <v>31029.0</v>
      </c>
      <c r="E1636" s="45" t="s">
        <v>3995</v>
      </c>
      <c r="F1636" s="45" t="s">
        <v>3999</v>
      </c>
      <c r="G1636" s="45" t="s">
        <v>3999</v>
      </c>
    </row>
    <row r="1637">
      <c r="A1637" s="45" t="s">
        <v>1205</v>
      </c>
      <c r="B1637" s="45" t="s">
        <v>3071</v>
      </c>
      <c r="C1637" s="45">
        <v>40.0</v>
      </c>
      <c r="D1637" s="45">
        <v>31031.0</v>
      </c>
      <c r="E1637" s="45" t="s">
        <v>3995</v>
      </c>
      <c r="F1637" s="45" t="s">
        <v>3999</v>
      </c>
      <c r="G1637" s="45" t="s">
        <v>3999</v>
      </c>
    </row>
    <row r="1638">
      <c r="A1638" s="45" t="s">
        <v>348</v>
      </c>
      <c r="B1638" s="45" t="s">
        <v>3071</v>
      </c>
      <c r="C1638" s="45">
        <v>39.0</v>
      </c>
      <c r="D1638" s="45">
        <v>31033.0</v>
      </c>
      <c r="E1638" s="45" t="s">
        <v>3982</v>
      </c>
      <c r="F1638" s="45" t="s">
        <v>3983</v>
      </c>
      <c r="G1638" s="45" t="s">
        <v>3999</v>
      </c>
    </row>
    <row r="1639">
      <c r="A1639" s="45" t="s">
        <v>116</v>
      </c>
      <c r="B1639" s="45" t="s">
        <v>3071</v>
      </c>
      <c r="C1639" s="45">
        <v>40.0</v>
      </c>
      <c r="D1639" s="45">
        <v>31035.0</v>
      </c>
      <c r="E1639" s="45" t="s">
        <v>3995</v>
      </c>
      <c r="F1639" s="45" t="s">
        <v>3999</v>
      </c>
      <c r="G1639" s="45" t="s">
        <v>3999</v>
      </c>
    </row>
    <row r="1640">
      <c r="A1640" s="45" t="s">
        <v>1206</v>
      </c>
      <c r="B1640" s="45" t="s">
        <v>3071</v>
      </c>
      <c r="C1640" s="45">
        <v>41.0</v>
      </c>
      <c r="D1640" s="45">
        <v>31037.0</v>
      </c>
      <c r="E1640" s="45" t="s">
        <v>3995</v>
      </c>
      <c r="F1640" s="45" t="s">
        <v>3999</v>
      </c>
      <c r="G1640" s="45" t="s">
        <v>3999</v>
      </c>
    </row>
    <row r="1641">
      <c r="A1641" s="45" t="s">
        <v>1207</v>
      </c>
      <c r="B1641" s="45" t="s">
        <v>3071</v>
      </c>
      <c r="C1641" s="45">
        <v>40.0</v>
      </c>
      <c r="D1641" s="45">
        <v>31039.0</v>
      </c>
      <c r="E1641" s="45" t="s">
        <v>3995</v>
      </c>
      <c r="F1641" s="45" t="s">
        <v>3999</v>
      </c>
      <c r="G1641" s="45" t="s">
        <v>3999</v>
      </c>
    </row>
    <row r="1642">
      <c r="A1642" s="45" t="s">
        <v>353</v>
      </c>
      <c r="B1642" s="45" t="s">
        <v>3071</v>
      </c>
      <c r="C1642" s="45">
        <v>40.0</v>
      </c>
      <c r="D1642" s="45">
        <v>31041.0</v>
      </c>
      <c r="E1642" s="45" t="s">
        <v>3995</v>
      </c>
      <c r="F1642" s="45" t="s">
        <v>3999</v>
      </c>
      <c r="G1642" s="45" t="s">
        <v>3999</v>
      </c>
    </row>
    <row r="1643">
      <c r="A1643" s="45" t="s">
        <v>1037</v>
      </c>
      <c r="B1643" s="45" t="s">
        <v>3071</v>
      </c>
      <c r="C1643" s="45">
        <v>40.0</v>
      </c>
      <c r="D1643" s="45">
        <v>31043.0</v>
      </c>
      <c r="E1643" s="45" t="s">
        <v>3995</v>
      </c>
      <c r="F1643" s="45" t="s">
        <v>3999</v>
      </c>
      <c r="G1643" s="45" t="s">
        <v>3999</v>
      </c>
    </row>
    <row r="1644">
      <c r="A1644" s="45" t="s">
        <v>1208</v>
      </c>
      <c r="B1644" s="45" t="s">
        <v>3071</v>
      </c>
      <c r="C1644" s="45">
        <v>39.0</v>
      </c>
      <c r="D1644" s="45">
        <v>31045.0</v>
      </c>
      <c r="E1644" s="45" t="s">
        <v>3982</v>
      </c>
      <c r="F1644" s="45" t="s">
        <v>3983</v>
      </c>
      <c r="G1644" s="45" t="s">
        <v>3980</v>
      </c>
    </row>
    <row r="1645">
      <c r="A1645" s="45" t="s">
        <v>491</v>
      </c>
      <c r="B1645" s="45" t="s">
        <v>3071</v>
      </c>
      <c r="C1645" s="45">
        <v>40.0</v>
      </c>
      <c r="D1645" s="45">
        <v>31047.0</v>
      </c>
      <c r="E1645" s="45" t="s">
        <v>3995</v>
      </c>
      <c r="F1645" s="45" t="s">
        <v>3999</v>
      </c>
      <c r="G1645" s="45" t="s">
        <v>3980</v>
      </c>
    </row>
    <row r="1646">
      <c r="A1646" s="45" t="s">
        <v>1209</v>
      </c>
      <c r="B1646" s="45" t="s">
        <v>3071</v>
      </c>
      <c r="C1646" s="45">
        <v>39.0</v>
      </c>
      <c r="D1646" s="45">
        <v>31049.0</v>
      </c>
      <c r="E1646" s="45" t="s">
        <v>3982</v>
      </c>
      <c r="F1646" s="45" t="s">
        <v>3999</v>
      </c>
      <c r="G1646" s="45" t="s">
        <v>3980</v>
      </c>
    </row>
    <row r="1647">
      <c r="A1647" s="45" t="s">
        <v>1210</v>
      </c>
      <c r="B1647" s="45" t="s">
        <v>3071</v>
      </c>
      <c r="C1647" s="45">
        <v>40.0</v>
      </c>
      <c r="D1647" s="45">
        <v>31051.0</v>
      </c>
      <c r="E1647" s="45" t="s">
        <v>3995</v>
      </c>
      <c r="F1647" s="45" t="s">
        <v>3999</v>
      </c>
      <c r="G1647" s="45" t="s">
        <v>3980</v>
      </c>
    </row>
    <row r="1648">
      <c r="A1648" s="45" t="s">
        <v>493</v>
      </c>
      <c r="B1648" s="45" t="s">
        <v>3071</v>
      </c>
      <c r="C1648" s="45">
        <v>41.0</v>
      </c>
      <c r="D1648" s="45">
        <v>31053.0</v>
      </c>
      <c r="E1648" s="45" t="s">
        <v>3995</v>
      </c>
      <c r="F1648" s="45" t="s">
        <v>3999</v>
      </c>
      <c r="G1648" s="45" t="s">
        <v>3980</v>
      </c>
    </row>
    <row r="1649">
      <c r="A1649" s="45" t="s">
        <v>357</v>
      </c>
      <c r="B1649" s="45" t="s">
        <v>3071</v>
      </c>
      <c r="C1649" s="45">
        <v>41.0</v>
      </c>
      <c r="D1649" s="45">
        <v>31055.0</v>
      </c>
      <c r="E1649" s="45" t="s">
        <v>3995</v>
      </c>
      <c r="F1649" s="45" t="s">
        <v>3999</v>
      </c>
      <c r="G1649" s="45" t="s">
        <v>3980</v>
      </c>
    </row>
    <row r="1650">
      <c r="A1650" s="45" t="s">
        <v>1211</v>
      </c>
      <c r="B1650" s="45" t="s">
        <v>3071</v>
      </c>
      <c r="C1650" s="45">
        <v>39.0</v>
      </c>
      <c r="D1650" s="45">
        <v>31057.0</v>
      </c>
      <c r="E1650" s="45" t="s">
        <v>3995</v>
      </c>
      <c r="F1650" s="45" t="s">
        <v>3999</v>
      </c>
      <c r="G1650" s="45" t="s">
        <v>3980</v>
      </c>
    </row>
    <row r="1651">
      <c r="A1651" s="45" t="s">
        <v>1039</v>
      </c>
      <c r="B1651" s="45" t="s">
        <v>3071</v>
      </c>
      <c r="C1651" s="45">
        <v>40.0</v>
      </c>
      <c r="D1651" s="45">
        <v>31059.0</v>
      </c>
      <c r="E1651" s="45" t="s">
        <v>3995</v>
      </c>
      <c r="F1651" s="45" t="s">
        <v>3999</v>
      </c>
      <c r="G1651" s="45" t="s">
        <v>3980</v>
      </c>
    </row>
    <row r="1652">
      <c r="A1652" s="45" t="s">
        <v>132</v>
      </c>
      <c r="B1652" s="45" t="s">
        <v>3071</v>
      </c>
      <c r="C1652" s="45">
        <v>40.0</v>
      </c>
      <c r="D1652" s="45">
        <v>31061.0</v>
      </c>
      <c r="E1652" s="45" t="s">
        <v>3995</v>
      </c>
      <c r="F1652" s="45" t="s">
        <v>3999</v>
      </c>
      <c r="G1652" s="45" t="s">
        <v>3980</v>
      </c>
    </row>
    <row r="1653">
      <c r="A1653" s="45" t="s">
        <v>1212</v>
      </c>
      <c r="B1653" s="45" t="s">
        <v>3071</v>
      </c>
      <c r="C1653" s="45">
        <v>40.0</v>
      </c>
      <c r="D1653" s="45">
        <v>31063.0</v>
      </c>
      <c r="E1653" s="45" t="s">
        <v>3995</v>
      </c>
      <c r="F1653" s="45" t="s">
        <v>3999</v>
      </c>
      <c r="G1653" s="45" t="s">
        <v>3980</v>
      </c>
    </row>
    <row r="1654">
      <c r="A1654" s="45" t="s">
        <v>1213</v>
      </c>
      <c r="B1654" s="45" t="s">
        <v>3071</v>
      </c>
      <c r="C1654" s="45">
        <v>40.0</v>
      </c>
      <c r="D1654" s="45">
        <v>31065.0</v>
      </c>
      <c r="E1654" s="45" t="s">
        <v>3995</v>
      </c>
      <c r="F1654" s="45" t="s">
        <v>3999</v>
      </c>
      <c r="G1654" s="45" t="s">
        <v>3980</v>
      </c>
    </row>
    <row r="1655">
      <c r="A1655" s="45" t="s">
        <v>1214</v>
      </c>
      <c r="B1655" s="45" t="s">
        <v>3071</v>
      </c>
      <c r="C1655" s="45">
        <v>40.0</v>
      </c>
      <c r="D1655" s="45">
        <v>31067.0</v>
      </c>
      <c r="E1655" s="45" t="s">
        <v>3995</v>
      </c>
      <c r="F1655" s="45" t="s">
        <v>3999</v>
      </c>
      <c r="G1655" s="45" t="s">
        <v>3980</v>
      </c>
    </row>
    <row r="1656">
      <c r="A1656" s="45" t="s">
        <v>1215</v>
      </c>
      <c r="B1656" s="45" t="s">
        <v>3071</v>
      </c>
      <c r="C1656" s="45">
        <v>39.0</v>
      </c>
      <c r="D1656" s="45">
        <v>31069.0</v>
      </c>
      <c r="E1656" s="45" t="s">
        <v>3982</v>
      </c>
      <c r="F1656" s="45" t="s">
        <v>3999</v>
      </c>
      <c r="G1656" s="45" t="s">
        <v>3999</v>
      </c>
    </row>
    <row r="1657">
      <c r="A1657" s="45" t="s">
        <v>362</v>
      </c>
      <c r="B1657" s="45" t="s">
        <v>3071</v>
      </c>
      <c r="C1657" s="45">
        <v>40.0</v>
      </c>
      <c r="D1657" s="45">
        <v>31071.0</v>
      </c>
      <c r="E1657" s="45" t="s">
        <v>3995</v>
      </c>
      <c r="F1657" s="45" t="s">
        <v>3999</v>
      </c>
      <c r="G1657" s="45" t="s">
        <v>3999</v>
      </c>
    </row>
    <row r="1658">
      <c r="A1658" s="45" t="s">
        <v>1216</v>
      </c>
      <c r="B1658" s="45" t="s">
        <v>3071</v>
      </c>
      <c r="C1658" s="45">
        <v>40.0</v>
      </c>
      <c r="D1658" s="45">
        <v>31073.0</v>
      </c>
      <c r="E1658" s="45" t="s">
        <v>3995</v>
      </c>
      <c r="F1658" s="45" t="s">
        <v>3999</v>
      </c>
      <c r="G1658" s="45" t="s">
        <v>3999</v>
      </c>
    </row>
    <row r="1659">
      <c r="A1659" s="45" t="s">
        <v>242</v>
      </c>
      <c r="B1659" s="45" t="s">
        <v>3071</v>
      </c>
      <c r="C1659" s="45">
        <v>39.0</v>
      </c>
      <c r="D1659" s="45">
        <v>31075.0</v>
      </c>
      <c r="E1659" s="45" t="s">
        <v>3995</v>
      </c>
      <c r="F1659" s="45" t="s">
        <v>3999</v>
      </c>
      <c r="G1659" s="45" t="s">
        <v>3999</v>
      </c>
    </row>
    <row r="1660">
      <c r="A1660" s="45" t="s">
        <v>770</v>
      </c>
      <c r="B1660" s="45" t="s">
        <v>3071</v>
      </c>
      <c r="C1660" s="45">
        <v>40.0</v>
      </c>
      <c r="D1660" s="45">
        <v>31077.0</v>
      </c>
      <c r="E1660" s="45" t="s">
        <v>3995</v>
      </c>
      <c r="F1660" s="45" t="s">
        <v>3999</v>
      </c>
      <c r="G1660" s="45" t="s">
        <v>3999</v>
      </c>
    </row>
    <row r="1661">
      <c r="A1661" s="45" t="s">
        <v>511</v>
      </c>
      <c r="B1661" s="45" t="s">
        <v>3071</v>
      </c>
      <c r="C1661" s="45">
        <v>40.0</v>
      </c>
      <c r="D1661" s="45">
        <v>31079.0</v>
      </c>
      <c r="E1661" s="45" t="s">
        <v>3995</v>
      </c>
      <c r="F1661" s="45" t="s">
        <v>3999</v>
      </c>
      <c r="G1661" s="45" t="s">
        <v>3999</v>
      </c>
    </row>
    <row r="1662">
      <c r="A1662" s="45" t="s">
        <v>428</v>
      </c>
      <c r="B1662" s="45" t="s">
        <v>3071</v>
      </c>
      <c r="C1662" s="45">
        <v>40.0</v>
      </c>
      <c r="D1662" s="45">
        <v>31081.0</v>
      </c>
      <c r="E1662" s="45" t="s">
        <v>3995</v>
      </c>
      <c r="F1662" s="45" t="s">
        <v>3999</v>
      </c>
      <c r="G1662" s="45" t="s">
        <v>3999</v>
      </c>
    </row>
    <row r="1663">
      <c r="A1663" s="45" t="s">
        <v>844</v>
      </c>
      <c r="B1663" s="45" t="s">
        <v>3071</v>
      </c>
      <c r="C1663" s="45">
        <v>40.0</v>
      </c>
      <c r="D1663" s="45">
        <v>31083.0</v>
      </c>
      <c r="E1663" s="45" t="s">
        <v>3995</v>
      </c>
      <c r="F1663" s="45" t="s">
        <v>3999</v>
      </c>
      <c r="G1663" s="45" t="s">
        <v>3999</v>
      </c>
    </row>
    <row r="1664">
      <c r="A1664" s="45" t="s">
        <v>1217</v>
      </c>
      <c r="B1664" s="45" t="s">
        <v>3071</v>
      </c>
      <c r="C1664" s="45">
        <v>40.0</v>
      </c>
      <c r="D1664" s="45">
        <v>31085.0</v>
      </c>
      <c r="E1664" s="45" t="s">
        <v>3995</v>
      </c>
      <c r="F1664" s="45" t="s">
        <v>3999</v>
      </c>
      <c r="G1664" s="45" t="s">
        <v>3999</v>
      </c>
    </row>
    <row r="1665">
      <c r="A1665" s="45" t="s">
        <v>1218</v>
      </c>
      <c r="B1665" s="45" t="s">
        <v>3071</v>
      </c>
      <c r="C1665" s="45">
        <v>40.0</v>
      </c>
      <c r="D1665" s="45">
        <v>31087.0</v>
      </c>
      <c r="E1665" s="45" t="s">
        <v>3995</v>
      </c>
      <c r="F1665" s="45" t="s">
        <v>3999</v>
      </c>
      <c r="G1665" s="45" t="s">
        <v>3999</v>
      </c>
    </row>
    <row r="1666">
      <c r="A1666" s="45" t="s">
        <v>1136</v>
      </c>
      <c r="B1666" s="45" t="s">
        <v>3071</v>
      </c>
      <c r="C1666" s="45">
        <v>40.0</v>
      </c>
      <c r="D1666" s="45">
        <v>31089.0</v>
      </c>
      <c r="E1666" s="45" t="s">
        <v>3995</v>
      </c>
      <c r="F1666" s="45" t="s">
        <v>3999</v>
      </c>
      <c r="G1666" s="45" t="s">
        <v>3999</v>
      </c>
    </row>
    <row r="1667">
      <c r="A1667" s="45" t="s">
        <v>1219</v>
      </c>
      <c r="B1667" s="45" t="s">
        <v>3071</v>
      </c>
      <c r="C1667" s="45">
        <v>40.0</v>
      </c>
      <c r="D1667" s="45">
        <v>31091.0</v>
      </c>
      <c r="E1667" s="45" t="s">
        <v>3995</v>
      </c>
      <c r="F1667" s="45" t="s">
        <v>3999</v>
      </c>
      <c r="G1667" s="45" t="s">
        <v>3999</v>
      </c>
    </row>
    <row r="1668">
      <c r="A1668" s="45" t="s">
        <v>245</v>
      </c>
      <c r="B1668" s="45" t="s">
        <v>3071</v>
      </c>
      <c r="C1668" s="45">
        <v>40.0</v>
      </c>
      <c r="D1668" s="45">
        <v>31093.0</v>
      </c>
      <c r="E1668" s="45" t="s">
        <v>3995</v>
      </c>
      <c r="F1668" s="45" t="s">
        <v>3999</v>
      </c>
      <c r="G1668" s="45" t="s">
        <v>3999</v>
      </c>
    </row>
    <row r="1669">
      <c r="A1669" s="45" t="s">
        <v>139</v>
      </c>
      <c r="B1669" s="45" t="s">
        <v>3071</v>
      </c>
      <c r="C1669" s="45">
        <v>40.0</v>
      </c>
      <c r="D1669" s="45">
        <v>31095.0</v>
      </c>
      <c r="E1669" s="45" t="s">
        <v>3995</v>
      </c>
      <c r="F1669" s="45" t="s">
        <v>3999</v>
      </c>
      <c r="G1669" s="45" t="s">
        <v>3999</v>
      </c>
    </row>
    <row r="1670">
      <c r="A1670" s="45" t="s">
        <v>248</v>
      </c>
      <c r="B1670" s="45" t="s">
        <v>3071</v>
      </c>
      <c r="C1670" s="45">
        <v>41.0</v>
      </c>
      <c r="D1670" s="45">
        <v>31097.0</v>
      </c>
      <c r="E1670" s="45" t="s">
        <v>3995</v>
      </c>
      <c r="F1670" s="45" t="s">
        <v>3999</v>
      </c>
      <c r="G1670" s="45" t="s">
        <v>3999</v>
      </c>
    </row>
    <row r="1671">
      <c r="A1671" s="45" t="s">
        <v>1220</v>
      </c>
      <c r="B1671" s="45" t="s">
        <v>3071</v>
      </c>
      <c r="C1671" s="45">
        <v>40.0</v>
      </c>
      <c r="D1671" s="45">
        <v>31099.0</v>
      </c>
      <c r="E1671" s="45" t="s">
        <v>3995</v>
      </c>
      <c r="F1671" s="45" t="s">
        <v>3999</v>
      </c>
      <c r="G1671" s="45" t="s">
        <v>3999</v>
      </c>
    </row>
    <row r="1672">
      <c r="A1672" s="45" t="s">
        <v>1221</v>
      </c>
      <c r="B1672" s="45" t="s">
        <v>3071</v>
      </c>
      <c r="C1672" s="45">
        <v>39.0</v>
      </c>
      <c r="D1672" s="45">
        <v>31101.0</v>
      </c>
      <c r="E1672" s="45" t="s">
        <v>3995</v>
      </c>
      <c r="F1672" s="45" t="s">
        <v>3999</v>
      </c>
      <c r="G1672" s="45" t="s">
        <v>3999</v>
      </c>
    </row>
    <row r="1673">
      <c r="A1673" s="45" t="s">
        <v>1222</v>
      </c>
      <c r="B1673" s="45" t="s">
        <v>3071</v>
      </c>
      <c r="C1673" s="45">
        <v>40.0</v>
      </c>
      <c r="D1673" s="45">
        <v>31103.0</v>
      </c>
      <c r="E1673" s="45" t="s">
        <v>3995</v>
      </c>
      <c r="F1673" s="45" t="s">
        <v>3999</v>
      </c>
      <c r="G1673" s="45" t="s">
        <v>3999</v>
      </c>
    </row>
    <row r="1674">
      <c r="A1674" s="45" t="s">
        <v>1223</v>
      </c>
      <c r="B1674" s="45" t="s">
        <v>3071</v>
      </c>
      <c r="C1674" s="45">
        <v>39.0</v>
      </c>
      <c r="D1674" s="45">
        <v>31105.0</v>
      </c>
      <c r="E1674" s="45" t="s">
        <v>3982</v>
      </c>
      <c r="F1674" s="45" t="s">
        <v>3983</v>
      </c>
      <c r="G1674" s="45" t="s">
        <v>3999</v>
      </c>
    </row>
    <row r="1675">
      <c r="A1675" s="45" t="s">
        <v>634</v>
      </c>
      <c r="B1675" s="45" t="s">
        <v>3071</v>
      </c>
      <c r="C1675" s="45">
        <v>40.0</v>
      </c>
      <c r="D1675" s="45">
        <v>31107.0</v>
      </c>
      <c r="E1675" s="45" t="s">
        <v>3995</v>
      </c>
      <c r="F1675" s="45" t="s">
        <v>3999</v>
      </c>
      <c r="G1675" s="45" t="s">
        <v>3999</v>
      </c>
    </row>
    <row r="1676">
      <c r="A1676" s="45" t="s">
        <v>1224</v>
      </c>
      <c r="B1676" s="45" t="s">
        <v>3071</v>
      </c>
      <c r="C1676" s="45">
        <v>41.0</v>
      </c>
      <c r="D1676" s="45">
        <v>31109.0</v>
      </c>
      <c r="E1676" s="45" t="s">
        <v>3995</v>
      </c>
      <c r="F1676" s="45" t="s">
        <v>3999</v>
      </c>
      <c r="G1676" s="45" t="s">
        <v>3999</v>
      </c>
    </row>
    <row r="1677">
      <c r="A1677" s="45" t="s">
        <v>250</v>
      </c>
      <c r="B1677" s="45" t="s">
        <v>3071</v>
      </c>
      <c r="C1677" s="45">
        <v>40.0</v>
      </c>
      <c r="D1677" s="45">
        <v>31111.0</v>
      </c>
      <c r="E1677" s="45" t="s">
        <v>3995</v>
      </c>
      <c r="F1677" s="45" t="s">
        <v>3999</v>
      </c>
      <c r="G1677" s="45" t="s">
        <v>3999</v>
      </c>
    </row>
    <row r="1678">
      <c r="A1678" s="45" t="s">
        <v>252</v>
      </c>
      <c r="B1678" s="45" t="s">
        <v>3071</v>
      </c>
      <c r="C1678" s="45">
        <v>40.0</v>
      </c>
      <c r="D1678" s="45">
        <v>31113.0</v>
      </c>
      <c r="E1678" s="45" t="s">
        <v>3995</v>
      </c>
      <c r="F1678" s="45" t="s">
        <v>3999</v>
      </c>
      <c r="G1678" s="45" t="s">
        <v>3999</v>
      </c>
    </row>
    <row r="1679">
      <c r="A1679" s="45" t="s">
        <v>1225</v>
      </c>
      <c r="B1679" s="45" t="s">
        <v>3071</v>
      </c>
      <c r="C1679" s="45">
        <v>40.0</v>
      </c>
      <c r="D1679" s="45">
        <v>31115.0</v>
      </c>
      <c r="E1679" s="45" t="s">
        <v>3995</v>
      </c>
      <c r="F1679" s="45" t="s">
        <v>3999</v>
      </c>
      <c r="G1679" s="45" t="s">
        <v>3999</v>
      </c>
    </row>
    <row r="1680">
      <c r="A1680" s="45" t="s">
        <v>782</v>
      </c>
      <c r="B1680" s="45" t="s">
        <v>3071</v>
      </c>
      <c r="C1680" s="45">
        <v>40.0</v>
      </c>
      <c r="D1680" s="45">
        <v>31117.0</v>
      </c>
      <c r="E1680" s="45" t="s">
        <v>3995</v>
      </c>
      <c r="F1680" s="45" t="s">
        <v>3999</v>
      </c>
      <c r="G1680" s="45" t="s">
        <v>3999</v>
      </c>
    </row>
    <row r="1681">
      <c r="A1681" s="45" t="s">
        <v>147</v>
      </c>
      <c r="B1681" s="45" t="s">
        <v>3071</v>
      </c>
      <c r="C1681" s="45">
        <v>40.0</v>
      </c>
      <c r="D1681" s="45">
        <v>31119.0</v>
      </c>
      <c r="E1681" s="45" t="s">
        <v>3995</v>
      </c>
      <c r="F1681" s="45" t="s">
        <v>3999</v>
      </c>
      <c r="G1681" s="45" t="s">
        <v>3999</v>
      </c>
    </row>
    <row r="1682">
      <c r="A1682" s="45" t="s">
        <v>1226</v>
      </c>
      <c r="B1682" s="45" t="s">
        <v>3071</v>
      </c>
      <c r="C1682" s="45">
        <v>40.0</v>
      </c>
      <c r="D1682" s="45">
        <v>31121.0</v>
      </c>
      <c r="E1682" s="45" t="s">
        <v>3995</v>
      </c>
      <c r="F1682" s="45" t="s">
        <v>3999</v>
      </c>
      <c r="G1682" s="45" t="s">
        <v>3999</v>
      </c>
    </row>
    <row r="1683">
      <c r="A1683" s="45" t="s">
        <v>1227</v>
      </c>
      <c r="B1683" s="45" t="s">
        <v>3071</v>
      </c>
      <c r="C1683" s="45">
        <v>39.0</v>
      </c>
      <c r="D1683" s="45">
        <v>31123.0</v>
      </c>
      <c r="E1683" s="45" t="s">
        <v>3982</v>
      </c>
      <c r="F1683" s="45" t="s">
        <v>3999</v>
      </c>
      <c r="G1683" s="45" t="s">
        <v>3999</v>
      </c>
    </row>
    <row r="1684">
      <c r="A1684" s="45" t="s">
        <v>1228</v>
      </c>
      <c r="B1684" s="45" t="s">
        <v>3071</v>
      </c>
      <c r="C1684" s="45">
        <v>40.0</v>
      </c>
      <c r="D1684" s="45">
        <v>31125.0</v>
      </c>
      <c r="E1684" s="45" t="s">
        <v>3995</v>
      </c>
      <c r="F1684" s="45" t="s">
        <v>3999</v>
      </c>
      <c r="G1684" s="45" t="s">
        <v>3999</v>
      </c>
    </row>
    <row r="1685">
      <c r="A1685" s="45" t="s">
        <v>786</v>
      </c>
      <c r="B1685" s="45" t="s">
        <v>3071</v>
      </c>
      <c r="C1685" s="45">
        <v>41.0</v>
      </c>
      <c r="D1685" s="45">
        <v>31127.0</v>
      </c>
      <c r="E1685" s="45" t="s">
        <v>3995</v>
      </c>
      <c r="F1685" s="45" t="s">
        <v>3999</v>
      </c>
      <c r="G1685" s="45" t="s">
        <v>3999</v>
      </c>
    </row>
    <row r="1686">
      <c r="A1686" s="45" t="s">
        <v>1229</v>
      </c>
      <c r="B1686" s="45" t="s">
        <v>3071</v>
      </c>
      <c r="C1686" s="45">
        <v>40.0</v>
      </c>
      <c r="D1686" s="45">
        <v>31129.0</v>
      </c>
      <c r="E1686" s="45" t="s">
        <v>3995</v>
      </c>
      <c r="F1686" s="45" t="s">
        <v>3999</v>
      </c>
      <c r="G1686" s="45" t="s">
        <v>3999</v>
      </c>
    </row>
    <row r="1687">
      <c r="A1687" s="45" t="s">
        <v>1230</v>
      </c>
      <c r="B1687" s="45" t="s">
        <v>3071</v>
      </c>
      <c r="C1687" s="45">
        <v>41.0</v>
      </c>
      <c r="D1687" s="45">
        <v>31131.0</v>
      </c>
      <c r="E1687" s="45" t="s">
        <v>3995</v>
      </c>
      <c r="F1687" s="45" t="s">
        <v>3999</v>
      </c>
      <c r="G1687" s="45" t="s">
        <v>3999</v>
      </c>
    </row>
    <row r="1688">
      <c r="A1688" s="45" t="s">
        <v>793</v>
      </c>
      <c r="B1688" s="45" t="s">
        <v>3071</v>
      </c>
      <c r="C1688" s="45">
        <v>41.0</v>
      </c>
      <c r="D1688" s="45">
        <v>31133.0</v>
      </c>
      <c r="E1688" s="45" t="s">
        <v>3995</v>
      </c>
      <c r="F1688" s="45" t="s">
        <v>3999</v>
      </c>
      <c r="G1688" s="45" t="s">
        <v>3999</v>
      </c>
    </row>
    <row r="1689">
      <c r="A1689" s="45" t="s">
        <v>1231</v>
      </c>
      <c r="B1689" s="45" t="s">
        <v>3071</v>
      </c>
      <c r="C1689" s="45">
        <v>39.0</v>
      </c>
      <c r="D1689" s="45">
        <v>31135.0</v>
      </c>
      <c r="E1689" s="45" t="s">
        <v>3995</v>
      </c>
      <c r="F1689" s="45" t="s">
        <v>3999</v>
      </c>
      <c r="G1689" s="45" t="s">
        <v>3999</v>
      </c>
    </row>
    <row r="1690">
      <c r="A1690" s="45" t="s">
        <v>1148</v>
      </c>
      <c r="B1690" s="45" t="s">
        <v>3071</v>
      </c>
      <c r="C1690" s="45">
        <v>40.0</v>
      </c>
      <c r="D1690" s="45">
        <v>31137.0</v>
      </c>
      <c r="E1690" s="45" t="s">
        <v>3995</v>
      </c>
      <c r="F1690" s="45" t="s">
        <v>3999</v>
      </c>
      <c r="G1690" s="45" t="s">
        <v>3999</v>
      </c>
    </row>
    <row r="1691">
      <c r="A1691" s="45" t="s">
        <v>536</v>
      </c>
      <c r="B1691" s="45" t="s">
        <v>3071</v>
      </c>
      <c r="C1691" s="45">
        <v>40.0</v>
      </c>
      <c r="D1691" s="45">
        <v>31139.0</v>
      </c>
      <c r="E1691" s="45" t="s">
        <v>3995</v>
      </c>
      <c r="F1691" s="45" t="s">
        <v>3999</v>
      </c>
      <c r="G1691" s="45" t="s">
        <v>3999</v>
      </c>
    </row>
    <row r="1692">
      <c r="A1692" s="45" t="s">
        <v>1149</v>
      </c>
      <c r="B1692" s="45" t="s">
        <v>3071</v>
      </c>
      <c r="C1692" s="45">
        <v>40.0</v>
      </c>
      <c r="D1692" s="45">
        <v>31141.0</v>
      </c>
      <c r="E1692" s="45" t="s">
        <v>3995</v>
      </c>
      <c r="F1692" s="45" t="s">
        <v>3999</v>
      </c>
      <c r="G1692" s="45" t="s">
        <v>3999</v>
      </c>
    </row>
    <row r="1693">
      <c r="A1693" s="45" t="s">
        <v>261</v>
      </c>
      <c r="B1693" s="45" t="s">
        <v>3071</v>
      </c>
      <c r="C1693" s="45">
        <v>40.0</v>
      </c>
      <c r="D1693" s="45">
        <v>31143.0</v>
      </c>
      <c r="E1693" s="45" t="s">
        <v>3995</v>
      </c>
      <c r="F1693" s="45" t="s">
        <v>3999</v>
      </c>
      <c r="G1693" s="45" t="s">
        <v>3999</v>
      </c>
    </row>
    <row r="1694">
      <c r="A1694" s="45" t="s">
        <v>1232</v>
      </c>
      <c r="B1694" s="45" t="s">
        <v>3071</v>
      </c>
      <c r="C1694" s="45">
        <v>40.0</v>
      </c>
      <c r="D1694" s="45">
        <v>31145.0</v>
      </c>
      <c r="E1694" s="45" t="s">
        <v>3995</v>
      </c>
      <c r="F1694" s="45" t="s">
        <v>3999</v>
      </c>
      <c r="G1694" s="45" t="s">
        <v>3999</v>
      </c>
    </row>
    <row r="1695">
      <c r="A1695" s="45" t="s">
        <v>1233</v>
      </c>
      <c r="B1695" s="45" t="s">
        <v>3071</v>
      </c>
      <c r="C1695" s="45">
        <v>41.0</v>
      </c>
      <c r="D1695" s="45">
        <v>31147.0</v>
      </c>
      <c r="E1695" s="45" t="s">
        <v>3995</v>
      </c>
      <c r="F1695" s="45" t="s">
        <v>3999</v>
      </c>
      <c r="G1695" s="45" t="s">
        <v>3999</v>
      </c>
    </row>
    <row r="1696">
      <c r="A1696" s="45" t="s">
        <v>1071</v>
      </c>
      <c r="B1696" s="45" t="s">
        <v>3071</v>
      </c>
      <c r="C1696" s="45">
        <v>40.0</v>
      </c>
      <c r="D1696" s="45">
        <v>31149.0</v>
      </c>
      <c r="E1696" s="45" t="s">
        <v>3995</v>
      </c>
      <c r="F1696" s="45" t="s">
        <v>3999</v>
      </c>
      <c r="G1696" s="45" t="s">
        <v>3999</v>
      </c>
    </row>
    <row r="1697">
      <c r="A1697" s="45" t="s">
        <v>266</v>
      </c>
      <c r="B1697" s="45" t="s">
        <v>3071</v>
      </c>
      <c r="C1697" s="45">
        <v>40.0</v>
      </c>
      <c r="D1697" s="45">
        <v>31151.0</v>
      </c>
      <c r="E1697" s="45" t="s">
        <v>3995</v>
      </c>
      <c r="F1697" s="45" t="s">
        <v>3999</v>
      </c>
      <c r="G1697" s="45" t="s">
        <v>3999</v>
      </c>
    </row>
    <row r="1698">
      <c r="A1698" s="45" t="s">
        <v>1234</v>
      </c>
      <c r="B1698" s="45" t="s">
        <v>3071</v>
      </c>
      <c r="C1698" s="45">
        <v>41.0</v>
      </c>
      <c r="D1698" s="45">
        <v>31153.0</v>
      </c>
      <c r="E1698" s="45" t="s">
        <v>3995</v>
      </c>
      <c r="F1698" s="45" t="s">
        <v>3999</v>
      </c>
      <c r="G1698" s="45" t="s">
        <v>3999</v>
      </c>
    </row>
    <row r="1699">
      <c r="A1699" s="45" t="s">
        <v>1235</v>
      </c>
      <c r="B1699" s="45" t="s">
        <v>3071</v>
      </c>
      <c r="C1699" s="45">
        <v>41.0</v>
      </c>
      <c r="D1699" s="45">
        <v>31155.0</v>
      </c>
      <c r="E1699" s="45" t="s">
        <v>3995</v>
      </c>
      <c r="F1699" s="45" t="s">
        <v>3999</v>
      </c>
      <c r="G1699" s="45" t="s">
        <v>3999</v>
      </c>
    </row>
    <row r="1700">
      <c r="A1700" s="45" t="s">
        <v>1236</v>
      </c>
      <c r="B1700" s="45" t="s">
        <v>3071</v>
      </c>
      <c r="C1700" s="45">
        <v>39.0</v>
      </c>
      <c r="D1700" s="45">
        <v>31157.0</v>
      </c>
      <c r="E1700" s="45" t="s">
        <v>3982</v>
      </c>
      <c r="F1700" s="45" t="s">
        <v>3999</v>
      </c>
      <c r="G1700" s="45" t="s">
        <v>3999</v>
      </c>
    </row>
    <row r="1701">
      <c r="A1701" s="45" t="s">
        <v>802</v>
      </c>
      <c r="B1701" s="45" t="s">
        <v>3071</v>
      </c>
      <c r="C1701" s="45">
        <v>40.0</v>
      </c>
      <c r="D1701" s="45">
        <v>31159.0</v>
      </c>
      <c r="E1701" s="45" t="s">
        <v>3995</v>
      </c>
      <c r="F1701" s="45" t="s">
        <v>3999</v>
      </c>
      <c r="G1701" s="45" t="s">
        <v>3999</v>
      </c>
    </row>
    <row r="1702">
      <c r="A1702" s="45" t="s">
        <v>804</v>
      </c>
      <c r="B1702" s="45" t="s">
        <v>3071</v>
      </c>
      <c r="C1702" s="45">
        <v>39.0</v>
      </c>
      <c r="D1702" s="45">
        <v>31161.0</v>
      </c>
      <c r="E1702" s="45" t="s">
        <v>3982</v>
      </c>
      <c r="F1702" s="45" t="s">
        <v>3999</v>
      </c>
      <c r="G1702" s="45" t="s">
        <v>3999</v>
      </c>
    </row>
    <row r="1703">
      <c r="A1703" s="45" t="s">
        <v>805</v>
      </c>
      <c r="B1703" s="45" t="s">
        <v>3071</v>
      </c>
      <c r="C1703" s="45">
        <v>40.0</v>
      </c>
      <c r="D1703" s="45">
        <v>31163.0</v>
      </c>
      <c r="E1703" s="45" t="s">
        <v>3995</v>
      </c>
      <c r="F1703" s="45" t="s">
        <v>3999</v>
      </c>
      <c r="G1703" s="45" t="s">
        <v>3999</v>
      </c>
    </row>
    <row r="1704">
      <c r="A1704" s="45" t="s">
        <v>743</v>
      </c>
      <c r="B1704" s="45" t="s">
        <v>3071</v>
      </c>
      <c r="C1704" s="45">
        <v>39.0</v>
      </c>
      <c r="D1704" s="45">
        <v>31165.0</v>
      </c>
      <c r="E1704" s="45" t="s">
        <v>3982</v>
      </c>
      <c r="F1704" s="45" t="s">
        <v>3983</v>
      </c>
      <c r="G1704" s="45" t="s">
        <v>3999</v>
      </c>
    </row>
    <row r="1705">
      <c r="A1705" s="45" t="s">
        <v>808</v>
      </c>
      <c r="B1705" s="45" t="s">
        <v>3071</v>
      </c>
      <c r="C1705" s="45">
        <v>40.0</v>
      </c>
      <c r="D1705" s="45">
        <v>31167.0</v>
      </c>
      <c r="E1705" s="45" t="s">
        <v>3995</v>
      </c>
      <c r="F1705" s="45" t="s">
        <v>3999</v>
      </c>
      <c r="G1705" s="45" t="s">
        <v>3999</v>
      </c>
    </row>
    <row r="1706">
      <c r="A1706" s="45" t="s">
        <v>1237</v>
      </c>
      <c r="B1706" s="45" t="s">
        <v>3071</v>
      </c>
      <c r="C1706" s="45">
        <v>40.0</v>
      </c>
      <c r="D1706" s="45">
        <v>31169.0</v>
      </c>
      <c r="E1706" s="45" t="s">
        <v>3995</v>
      </c>
      <c r="F1706" s="45" t="s">
        <v>3999</v>
      </c>
      <c r="G1706" s="45" t="s">
        <v>3999</v>
      </c>
    </row>
    <row r="1707">
      <c r="A1707" s="45" t="s">
        <v>551</v>
      </c>
      <c r="B1707" s="45" t="s">
        <v>3071</v>
      </c>
      <c r="C1707" s="45">
        <v>40.0</v>
      </c>
      <c r="D1707" s="45">
        <v>31171.0</v>
      </c>
      <c r="E1707" s="45" t="s">
        <v>3995</v>
      </c>
      <c r="F1707" s="45" t="s">
        <v>3999</v>
      </c>
      <c r="G1707" s="45" t="s">
        <v>3999</v>
      </c>
    </row>
    <row r="1708">
      <c r="A1708" s="45" t="s">
        <v>1238</v>
      </c>
      <c r="B1708" s="45" t="s">
        <v>3071</v>
      </c>
      <c r="C1708" s="45">
        <v>40.0</v>
      </c>
      <c r="D1708" s="45">
        <v>31173.0</v>
      </c>
      <c r="E1708" s="45" t="s">
        <v>3995</v>
      </c>
      <c r="F1708" s="45" t="s">
        <v>3999</v>
      </c>
      <c r="G1708" s="45" t="s">
        <v>3999</v>
      </c>
    </row>
    <row r="1709">
      <c r="A1709" s="45" t="s">
        <v>607</v>
      </c>
      <c r="B1709" s="45" t="s">
        <v>3071</v>
      </c>
      <c r="C1709" s="45">
        <v>40.0</v>
      </c>
      <c r="D1709" s="45">
        <v>31175.0</v>
      </c>
      <c r="E1709" s="45" t="s">
        <v>3995</v>
      </c>
      <c r="F1709" s="45" t="s">
        <v>3999</v>
      </c>
      <c r="G1709" s="45" t="s">
        <v>3999</v>
      </c>
    </row>
    <row r="1710">
      <c r="A1710" s="45" t="s">
        <v>167</v>
      </c>
      <c r="B1710" s="45" t="s">
        <v>3071</v>
      </c>
      <c r="C1710" s="45">
        <v>41.0</v>
      </c>
      <c r="D1710" s="45">
        <v>31177.0</v>
      </c>
      <c r="E1710" s="45" t="s">
        <v>3995</v>
      </c>
      <c r="F1710" s="45" t="s">
        <v>3999</v>
      </c>
      <c r="G1710" s="45" t="s">
        <v>3999</v>
      </c>
    </row>
    <row r="1711">
      <c r="A1711" s="45" t="s">
        <v>562</v>
      </c>
      <c r="B1711" s="45" t="s">
        <v>3071</v>
      </c>
      <c r="C1711" s="45">
        <v>40.0</v>
      </c>
      <c r="D1711" s="45">
        <v>31179.0</v>
      </c>
      <c r="E1711" s="45" t="s">
        <v>3995</v>
      </c>
      <c r="F1711" s="45" t="s">
        <v>3999</v>
      </c>
      <c r="G1711" s="45" t="s">
        <v>3999</v>
      </c>
    </row>
    <row r="1712">
      <c r="A1712" s="45" t="s">
        <v>563</v>
      </c>
      <c r="B1712" s="45" t="s">
        <v>3071</v>
      </c>
      <c r="C1712" s="45">
        <v>40.0</v>
      </c>
      <c r="D1712" s="45">
        <v>31181.0</v>
      </c>
      <c r="E1712" s="45" t="s">
        <v>3995</v>
      </c>
      <c r="F1712" s="45" t="s">
        <v>3999</v>
      </c>
      <c r="G1712" s="45" t="s">
        <v>3999</v>
      </c>
    </row>
    <row r="1713">
      <c r="A1713" s="45" t="s">
        <v>564</v>
      </c>
      <c r="B1713" s="45" t="s">
        <v>3071</v>
      </c>
      <c r="C1713" s="45">
        <v>40.0</v>
      </c>
      <c r="D1713" s="45">
        <v>31183.0</v>
      </c>
      <c r="E1713" s="45" t="s">
        <v>3995</v>
      </c>
      <c r="F1713" s="45" t="s">
        <v>3999</v>
      </c>
      <c r="G1713" s="45" t="s">
        <v>3999</v>
      </c>
    </row>
    <row r="1714">
      <c r="A1714" s="45" t="s">
        <v>932</v>
      </c>
      <c r="B1714" s="45" t="s">
        <v>3071</v>
      </c>
      <c r="C1714" s="45">
        <v>40.0</v>
      </c>
      <c r="D1714" s="45">
        <v>31185.0</v>
      </c>
      <c r="E1714" s="45" t="s">
        <v>3995</v>
      </c>
      <c r="F1714" s="45" t="s">
        <v>3999</v>
      </c>
      <c r="G1714" s="45" t="s">
        <v>3999</v>
      </c>
    </row>
    <row r="1715">
      <c r="A1715" s="45" t="s">
        <v>1239</v>
      </c>
      <c r="B1715" s="45" t="s">
        <v>3112</v>
      </c>
      <c r="C1715" s="45">
        <v>12.0</v>
      </c>
      <c r="D1715" s="45">
        <v>32001.0</v>
      </c>
      <c r="E1715" s="45" t="s">
        <v>3980</v>
      </c>
      <c r="F1715" s="45" t="s">
        <v>3990</v>
      </c>
      <c r="G1715" s="45" t="s">
        <v>3999</v>
      </c>
    </row>
    <row r="1716">
      <c r="A1716" s="45" t="s">
        <v>229</v>
      </c>
      <c r="B1716" s="45" t="s">
        <v>3112</v>
      </c>
      <c r="C1716" s="45">
        <v>13.0</v>
      </c>
      <c r="D1716" s="45">
        <v>32003.0</v>
      </c>
      <c r="E1716" s="45" t="s">
        <v>3971</v>
      </c>
      <c r="F1716" s="45" t="s">
        <v>3990</v>
      </c>
      <c r="G1716" s="45" t="s">
        <v>3999</v>
      </c>
    </row>
    <row r="1717">
      <c r="A1717" s="45" t="s">
        <v>357</v>
      </c>
      <c r="B1717" s="45" t="s">
        <v>3112</v>
      </c>
      <c r="C1717" s="45">
        <v>12.0</v>
      </c>
      <c r="D1717" s="45">
        <v>32005.0</v>
      </c>
      <c r="E1717" s="45" t="s">
        <v>3980</v>
      </c>
      <c r="F1717" s="45" t="s">
        <v>3990</v>
      </c>
      <c r="G1717" s="45" t="s">
        <v>3999</v>
      </c>
    </row>
    <row r="1718">
      <c r="A1718" s="45" t="s">
        <v>1240</v>
      </c>
      <c r="B1718" s="45" t="s">
        <v>3112</v>
      </c>
      <c r="C1718" s="45">
        <v>12.0</v>
      </c>
      <c r="D1718" s="45">
        <v>32007.0</v>
      </c>
      <c r="E1718" s="45" t="s">
        <v>3980</v>
      </c>
      <c r="F1718" s="45" t="s">
        <v>3990</v>
      </c>
      <c r="G1718" s="45" t="s">
        <v>3999</v>
      </c>
    </row>
    <row r="1719">
      <c r="A1719" s="45" t="s">
        <v>1241</v>
      </c>
      <c r="B1719" s="45" t="s">
        <v>3112</v>
      </c>
      <c r="C1719" s="45">
        <v>12.0</v>
      </c>
      <c r="D1719" s="45">
        <v>32009.0</v>
      </c>
      <c r="E1719" s="45" t="s">
        <v>3980</v>
      </c>
      <c r="F1719" s="45" t="s">
        <v>3990</v>
      </c>
      <c r="G1719" s="45" t="s">
        <v>3999</v>
      </c>
    </row>
    <row r="1720">
      <c r="A1720" s="45" t="s">
        <v>1242</v>
      </c>
      <c r="B1720" s="45" t="s">
        <v>3112</v>
      </c>
      <c r="C1720" s="45">
        <v>12.0</v>
      </c>
      <c r="D1720" s="45">
        <v>32011.0</v>
      </c>
      <c r="E1720" s="45" t="s">
        <v>3980</v>
      </c>
      <c r="F1720" s="45" t="s">
        <v>3990</v>
      </c>
      <c r="G1720" s="45" t="s">
        <v>3999</v>
      </c>
    </row>
    <row r="1721">
      <c r="A1721" s="45" t="s">
        <v>293</v>
      </c>
      <c r="B1721" s="45" t="s">
        <v>3112</v>
      </c>
      <c r="C1721" s="45">
        <v>12.0</v>
      </c>
      <c r="D1721" s="45">
        <v>32013.0</v>
      </c>
      <c r="E1721" s="45" t="s">
        <v>3980</v>
      </c>
      <c r="F1721" s="45" t="s">
        <v>3990</v>
      </c>
      <c r="G1721" s="45" t="s">
        <v>3999</v>
      </c>
    </row>
    <row r="1722">
      <c r="A1722" s="45" t="s">
        <v>1243</v>
      </c>
      <c r="B1722" s="45" t="s">
        <v>3112</v>
      </c>
      <c r="C1722" s="45">
        <v>12.0</v>
      </c>
      <c r="D1722" s="45">
        <v>32015.0</v>
      </c>
      <c r="E1722" s="45" t="s">
        <v>3980</v>
      </c>
      <c r="F1722" s="45" t="s">
        <v>3990</v>
      </c>
      <c r="G1722" s="45" t="s">
        <v>3999</v>
      </c>
    </row>
    <row r="1723">
      <c r="A1723" s="45" t="s">
        <v>250</v>
      </c>
      <c r="B1723" s="45" t="s">
        <v>3112</v>
      </c>
      <c r="C1723" s="45">
        <v>12.0</v>
      </c>
      <c r="D1723" s="45">
        <v>32017.0</v>
      </c>
      <c r="E1723" s="45" t="s">
        <v>3980</v>
      </c>
      <c r="F1723" s="45" t="s">
        <v>3990</v>
      </c>
      <c r="G1723" s="45" t="s">
        <v>3999</v>
      </c>
    </row>
    <row r="1724">
      <c r="A1724" s="45" t="s">
        <v>729</v>
      </c>
      <c r="B1724" s="45" t="s">
        <v>3112</v>
      </c>
      <c r="C1724" s="45">
        <v>12.0</v>
      </c>
      <c r="D1724" s="45">
        <v>32019.0</v>
      </c>
      <c r="E1724" s="45" t="s">
        <v>3980</v>
      </c>
      <c r="F1724" s="45" t="s">
        <v>3990</v>
      </c>
      <c r="G1724" s="45" t="s">
        <v>3999</v>
      </c>
    </row>
    <row r="1725">
      <c r="A1725" s="45" t="s">
        <v>374</v>
      </c>
      <c r="B1725" s="45" t="s">
        <v>3112</v>
      </c>
      <c r="C1725" s="45">
        <v>12.0</v>
      </c>
      <c r="D1725" s="45">
        <v>32021.0</v>
      </c>
      <c r="E1725" s="45" t="s">
        <v>3980</v>
      </c>
      <c r="F1725" s="45" t="s">
        <v>3990</v>
      </c>
      <c r="G1725" s="45" t="s">
        <v>3999</v>
      </c>
    </row>
    <row r="1726">
      <c r="A1726" s="45" t="s">
        <v>1244</v>
      </c>
      <c r="B1726" s="45" t="s">
        <v>3112</v>
      </c>
      <c r="C1726" s="45">
        <v>12.0</v>
      </c>
      <c r="D1726" s="45">
        <v>32023.0</v>
      </c>
      <c r="E1726" s="45" t="s">
        <v>3980</v>
      </c>
      <c r="F1726" s="45" t="s">
        <v>3990</v>
      </c>
      <c r="G1726" s="45" t="s">
        <v>3999</v>
      </c>
    </row>
    <row r="1727">
      <c r="A1727" s="45" t="s">
        <v>1245</v>
      </c>
      <c r="B1727" s="45" t="s">
        <v>3112</v>
      </c>
      <c r="C1727" s="45">
        <v>12.0</v>
      </c>
      <c r="D1727" s="45">
        <v>32027.0</v>
      </c>
      <c r="E1727" s="45" t="s">
        <v>3980</v>
      </c>
      <c r="F1727" s="45" t="s">
        <v>3990</v>
      </c>
      <c r="G1727" s="45" t="s">
        <v>3999</v>
      </c>
    </row>
    <row r="1728">
      <c r="A1728" s="45" t="s">
        <v>1246</v>
      </c>
      <c r="B1728" s="45" t="s">
        <v>3112</v>
      </c>
      <c r="C1728" s="45">
        <v>12.0</v>
      </c>
      <c r="D1728" s="45">
        <v>32029.0</v>
      </c>
      <c r="E1728" s="45" t="s">
        <v>3980</v>
      </c>
      <c r="F1728" s="45" t="s">
        <v>3990</v>
      </c>
      <c r="G1728" s="45" t="s">
        <v>3999</v>
      </c>
    </row>
    <row r="1729">
      <c r="A1729" s="45" t="s">
        <v>1247</v>
      </c>
      <c r="B1729" s="45" t="s">
        <v>3112</v>
      </c>
      <c r="C1729" s="45">
        <v>12.0</v>
      </c>
      <c r="D1729" s="45">
        <v>32031.0</v>
      </c>
      <c r="E1729" s="45" t="s">
        <v>3980</v>
      </c>
      <c r="F1729" s="45" t="s">
        <v>3990</v>
      </c>
      <c r="G1729" s="45" t="s">
        <v>3999</v>
      </c>
    </row>
    <row r="1730">
      <c r="A1730" s="45" t="s">
        <v>1248</v>
      </c>
      <c r="B1730" s="45" t="s">
        <v>3112</v>
      </c>
      <c r="C1730" s="45">
        <v>12.0</v>
      </c>
      <c r="D1730" s="45">
        <v>32033.0</v>
      </c>
      <c r="E1730" s="45" t="s">
        <v>3980</v>
      </c>
      <c r="F1730" s="45" t="s">
        <v>3990</v>
      </c>
      <c r="G1730" s="45" t="s">
        <v>3999</v>
      </c>
    </row>
    <row r="1731">
      <c r="A1731" s="45" t="s">
        <v>1249</v>
      </c>
      <c r="B1731" s="45" t="s">
        <v>3112</v>
      </c>
      <c r="C1731" s="45">
        <v>12.0</v>
      </c>
      <c r="D1731" s="45">
        <v>32510.0</v>
      </c>
      <c r="E1731" s="45" t="s">
        <v>3980</v>
      </c>
      <c r="F1731" s="45" t="s">
        <v>3990</v>
      </c>
      <c r="G1731" s="45" t="s">
        <v>3999</v>
      </c>
    </row>
    <row r="1732">
      <c r="A1732" s="45" t="s">
        <v>1250</v>
      </c>
      <c r="B1732" s="45" t="s">
        <v>3123</v>
      </c>
      <c r="C1732" s="45">
        <v>130.0</v>
      </c>
      <c r="D1732" s="45">
        <v>33001.0</v>
      </c>
      <c r="E1732" s="45" t="s">
        <v>3984</v>
      </c>
      <c r="F1732" s="45" t="s">
        <v>3985</v>
      </c>
      <c r="G1732" s="45" t="s">
        <v>3999</v>
      </c>
    </row>
    <row r="1733">
      <c r="A1733" s="45" t="s">
        <v>227</v>
      </c>
      <c r="B1733" s="45" t="s">
        <v>3123</v>
      </c>
      <c r="C1733" s="45">
        <v>130.0</v>
      </c>
      <c r="D1733" s="45">
        <v>33003.0</v>
      </c>
      <c r="E1733" s="45" t="s">
        <v>3984</v>
      </c>
      <c r="F1733" s="45" t="s">
        <v>3985</v>
      </c>
      <c r="G1733" s="45" t="s">
        <v>3999</v>
      </c>
    </row>
    <row r="1734">
      <c r="A1734" s="45" t="s">
        <v>1252</v>
      </c>
      <c r="B1734" s="45" t="s">
        <v>3123</v>
      </c>
      <c r="C1734" s="45">
        <v>130.0</v>
      </c>
      <c r="D1734" s="45">
        <v>33005.0</v>
      </c>
      <c r="E1734" s="45" t="s">
        <v>3984</v>
      </c>
      <c r="F1734" s="45" t="s">
        <v>3985</v>
      </c>
      <c r="G1734" s="45" t="s">
        <v>3999</v>
      </c>
    </row>
    <row r="1735">
      <c r="A1735" s="45" t="s">
        <v>1253</v>
      </c>
      <c r="B1735" s="45" t="s">
        <v>3123</v>
      </c>
      <c r="C1735" s="45">
        <v>130.0</v>
      </c>
      <c r="D1735" s="45">
        <v>33007.0</v>
      </c>
      <c r="E1735" s="45" t="s">
        <v>3984</v>
      </c>
      <c r="F1735" s="45" t="s">
        <v>3985</v>
      </c>
      <c r="G1735" s="45" t="s">
        <v>3999</v>
      </c>
    </row>
    <row r="1736">
      <c r="A1736" s="45" t="s">
        <v>1254</v>
      </c>
      <c r="B1736" s="45" t="s">
        <v>3123</v>
      </c>
      <c r="C1736" s="45">
        <v>130.0</v>
      </c>
      <c r="D1736" s="45">
        <v>33009.0</v>
      </c>
      <c r="E1736" s="45" t="s">
        <v>3984</v>
      </c>
      <c r="F1736" s="45" t="s">
        <v>3985</v>
      </c>
      <c r="G1736" s="45" t="s">
        <v>3999</v>
      </c>
    </row>
    <row r="1737">
      <c r="A1737" s="45" t="s">
        <v>433</v>
      </c>
      <c r="B1737" s="45" t="s">
        <v>3123</v>
      </c>
      <c r="C1737" s="45">
        <v>130.0</v>
      </c>
      <c r="D1737" s="45">
        <v>33011.0</v>
      </c>
      <c r="E1737" s="45" t="s">
        <v>3984</v>
      </c>
      <c r="F1737" s="45" t="s">
        <v>3985</v>
      </c>
      <c r="G1737" s="45" t="s">
        <v>3999</v>
      </c>
    </row>
    <row r="1738">
      <c r="A1738" s="45" t="s">
        <v>1255</v>
      </c>
      <c r="B1738" s="45" t="s">
        <v>3123</v>
      </c>
      <c r="C1738" s="45">
        <v>130.0</v>
      </c>
      <c r="D1738" s="45">
        <v>33013.0</v>
      </c>
      <c r="E1738" s="45" t="s">
        <v>3984</v>
      </c>
      <c r="F1738" s="45" t="s">
        <v>3985</v>
      </c>
      <c r="G1738" s="45" t="s">
        <v>3999</v>
      </c>
    </row>
    <row r="1739">
      <c r="A1739" s="45" t="s">
        <v>1256</v>
      </c>
      <c r="B1739" s="45" t="s">
        <v>3123</v>
      </c>
      <c r="C1739" s="45">
        <v>130.0</v>
      </c>
      <c r="D1739" s="45">
        <v>33015.0</v>
      </c>
      <c r="E1739" s="45" t="s">
        <v>3984</v>
      </c>
      <c r="F1739" s="45" t="s">
        <v>3985</v>
      </c>
      <c r="G1739" s="45" t="s">
        <v>3999</v>
      </c>
    </row>
    <row r="1740">
      <c r="A1740" s="45" t="s">
        <v>1257</v>
      </c>
      <c r="B1740" s="45" t="s">
        <v>3123</v>
      </c>
      <c r="C1740" s="45">
        <v>130.0</v>
      </c>
      <c r="D1740" s="45">
        <v>33017.0</v>
      </c>
      <c r="E1740" s="45" t="s">
        <v>3984</v>
      </c>
      <c r="F1740" s="45" t="s">
        <v>3985</v>
      </c>
      <c r="G1740" s="45" t="s">
        <v>3999</v>
      </c>
    </row>
    <row r="1741">
      <c r="A1741" s="45" t="s">
        <v>694</v>
      </c>
      <c r="B1741" s="45" t="s">
        <v>3123</v>
      </c>
      <c r="C1741" s="45">
        <v>130.0</v>
      </c>
      <c r="D1741" s="45">
        <v>33019.0</v>
      </c>
      <c r="E1741" s="45" t="s">
        <v>3984</v>
      </c>
      <c r="F1741" s="45" t="s">
        <v>3985</v>
      </c>
      <c r="G1741" s="45" t="s">
        <v>3999</v>
      </c>
    </row>
    <row r="1742">
      <c r="A1742" s="45" t="s">
        <v>1258</v>
      </c>
      <c r="B1742" s="45" t="s">
        <v>3131</v>
      </c>
      <c r="C1742" s="45">
        <v>126.0</v>
      </c>
      <c r="D1742" s="45">
        <v>34001.0</v>
      </c>
      <c r="E1742" s="45" t="s">
        <v>3986</v>
      </c>
      <c r="F1742" s="45" t="s">
        <v>3987</v>
      </c>
      <c r="G1742" s="45" t="s">
        <v>3999</v>
      </c>
    </row>
    <row r="1743">
      <c r="A1743" s="45" t="s">
        <v>1260</v>
      </c>
      <c r="B1743" s="45" t="s">
        <v>3131</v>
      </c>
      <c r="C1743" s="45">
        <v>126.0</v>
      </c>
      <c r="D1743" s="45">
        <v>34003.0</v>
      </c>
      <c r="E1743" s="45" t="s">
        <v>3986</v>
      </c>
      <c r="F1743" s="45" t="s">
        <v>3987</v>
      </c>
      <c r="G1743" s="45" t="s">
        <v>3999</v>
      </c>
    </row>
    <row r="1744">
      <c r="A1744" s="45" t="s">
        <v>1261</v>
      </c>
      <c r="B1744" s="45" t="s">
        <v>3131</v>
      </c>
      <c r="C1744" s="45">
        <v>126.0</v>
      </c>
      <c r="D1744" s="45">
        <v>34005.0</v>
      </c>
      <c r="E1744" s="45" t="s">
        <v>3986</v>
      </c>
      <c r="F1744" s="45" t="s">
        <v>3987</v>
      </c>
      <c r="G1744" s="45" t="s">
        <v>3999</v>
      </c>
    </row>
    <row r="1745">
      <c r="A1745" s="45" t="s">
        <v>476</v>
      </c>
      <c r="B1745" s="45" t="s">
        <v>3131</v>
      </c>
      <c r="C1745" s="45">
        <v>126.0</v>
      </c>
      <c r="D1745" s="45">
        <v>34007.0</v>
      </c>
      <c r="E1745" s="45" t="s">
        <v>3986</v>
      </c>
      <c r="F1745" s="45" t="s">
        <v>3987</v>
      </c>
      <c r="G1745" s="45" t="s">
        <v>3999</v>
      </c>
    </row>
    <row r="1746">
      <c r="A1746" s="45" t="s">
        <v>1262</v>
      </c>
      <c r="B1746" s="45" t="s">
        <v>3131</v>
      </c>
      <c r="C1746" s="45">
        <v>126.0</v>
      </c>
      <c r="D1746" s="45">
        <v>34009.0</v>
      </c>
      <c r="E1746" s="45" t="s">
        <v>3986</v>
      </c>
      <c r="F1746" s="45" t="s">
        <v>3987</v>
      </c>
      <c r="G1746" s="45" t="s">
        <v>3999</v>
      </c>
    </row>
    <row r="1747">
      <c r="A1747" s="45" t="s">
        <v>618</v>
      </c>
      <c r="B1747" s="45" t="s">
        <v>3131</v>
      </c>
      <c r="C1747" s="45">
        <v>126.0</v>
      </c>
      <c r="D1747" s="45">
        <v>34011.0</v>
      </c>
      <c r="E1747" s="45" t="s">
        <v>3986</v>
      </c>
      <c r="F1747" s="45" t="s">
        <v>3987</v>
      </c>
      <c r="G1747" s="45" t="s">
        <v>3999</v>
      </c>
    </row>
    <row r="1748">
      <c r="A1748" s="45" t="s">
        <v>956</v>
      </c>
      <c r="B1748" s="45" t="s">
        <v>3131</v>
      </c>
      <c r="C1748" s="45">
        <v>126.0</v>
      </c>
      <c r="D1748" s="45">
        <v>34013.0</v>
      </c>
      <c r="E1748" s="45" t="s">
        <v>3986</v>
      </c>
      <c r="F1748" s="45" t="s">
        <v>3987</v>
      </c>
      <c r="G1748" s="45" t="s">
        <v>3999</v>
      </c>
    </row>
    <row r="1749">
      <c r="A1749" s="45" t="s">
        <v>1263</v>
      </c>
      <c r="B1749" s="45" t="s">
        <v>3131</v>
      </c>
      <c r="C1749" s="45">
        <v>126.0</v>
      </c>
      <c r="D1749" s="45">
        <v>34015.0</v>
      </c>
      <c r="E1749" s="45" t="s">
        <v>3986</v>
      </c>
      <c r="F1749" s="45" t="s">
        <v>3987</v>
      </c>
      <c r="G1749" s="45" t="s">
        <v>3990</v>
      </c>
    </row>
    <row r="1750">
      <c r="A1750" s="45" t="s">
        <v>1264</v>
      </c>
      <c r="B1750" s="45" t="s">
        <v>3131</v>
      </c>
      <c r="C1750" s="45">
        <v>126.0</v>
      </c>
      <c r="D1750" s="45">
        <v>34017.0</v>
      </c>
      <c r="E1750" s="45" t="s">
        <v>3986</v>
      </c>
      <c r="F1750" s="45" t="s">
        <v>3987</v>
      </c>
      <c r="G1750" s="45" t="s">
        <v>3990</v>
      </c>
    </row>
    <row r="1751">
      <c r="A1751" s="45" t="s">
        <v>1265</v>
      </c>
      <c r="B1751" s="45" t="s">
        <v>3131</v>
      </c>
      <c r="C1751" s="45">
        <v>126.0</v>
      </c>
      <c r="D1751" s="45">
        <v>34019.0</v>
      </c>
      <c r="E1751" s="45" t="s">
        <v>3986</v>
      </c>
      <c r="F1751" s="45" t="s">
        <v>3987</v>
      </c>
      <c r="G1751" s="45" t="s">
        <v>3990</v>
      </c>
    </row>
    <row r="1752">
      <c r="A1752" s="45" t="s">
        <v>644</v>
      </c>
      <c r="B1752" s="45" t="s">
        <v>3131</v>
      </c>
      <c r="C1752" s="45">
        <v>126.0</v>
      </c>
      <c r="D1752" s="45">
        <v>34021.0</v>
      </c>
      <c r="E1752" s="45" t="s">
        <v>3986</v>
      </c>
      <c r="F1752" s="45" t="s">
        <v>3987</v>
      </c>
      <c r="G1752" s="45" t="s">
        <v>3990</v>
      </c>
    </row>
    <row r="1753">
      <c r="A1753" s="45" t="s">
        <v>399</v>
      </c>
      <c r="B1753" s="45" t="s">
        <v>3131</v>
      </c>
      <c r="C1753" s="45">
        <v>126.0</v>
      </c>
      <c r="D1753" s="45">
        <v>34023.0</v>
      </c>
      <c r="E1753" s="45" t="s">
        <v>3986</v>
      </c>
      <c r="F1753" s="45" t="s">
        <v>3987</v>
      </c>
      <c r="G1753" s="45" t="s">
        <v>3990</v>
      </c>
    </row>
    <row r="1754">
      <c r="A1754" s="45" t="s">
        <v>1266</v>
      </c>
      <c r="B1754" s="45" t="s">
        <v>3131</v>
      </c>
      <c r="C1754" s="45">
        <v>126.0</v>
      </c>
      <c r="D1754" s="45">
        <v>34025.0</v>
      </c>
      <c r="E1754" s="45" t="s">
        <v>3986</v>
      </c>
      <c r="F1754" s="45" t="s">
        <v>3987</v>
      </c>
      <c r="G1754" s="45" t="s">
        <v>3990</v>
      </c>
    </row>
    <row r="1755">
      <c r="A1755" s="45" t="s">
        <v>784</v>
      </c>
      <c r="B1755" s="45" t="s">
        <v>3131</v>
      </c>
      <c r="C1755" s="45">
        <v>126.0</v>
      </c>
      <c r="D1755" s="45">
        <v>34027.0</v>
      </c>
      <c r="E1755" s="45" t="s">
        <v>3986</v>
      </c>
      <c r="F1755" s="45" t="s">
        <v>3987</v>
      </c>
      <c r="G1755" s="45" t="s">
        <v>3990</v>
      </c>
    </row>
    <row r="1756">
      <c r="A1756" s="45" t="s">
        <v>1267</v>
      </c>
      <c r="B1756" s="45" t="s">
        <v>3131</v>
      </c>
      <c r="C1756" s="45">
        <v>126.0</v>
      </c>
      <c r="D1756" s="45">
        <v>34029.0</v>
      </c>
      <c r="E1756" s="45" t="s">
        <v>3986</v>
      </c>
      <c r="F1756" s="45" t="s">
        <v>3987</v>
      </c>
      <c r="G1756" s="45" t="s">
        <v>3990</v>
      </c>
    </row>
    <row r="1757">
      <c r="A1757" s="45" t="s">
        <v>1268</v>
      </c>
      <c r="B1757" s="45" t="s">
        <v>3131</v>
      </c>
      <c r="C1757" s="45">
        <v>126.0</v>
      </c>
      <c r="D1757" s="45">
        <v>34031.0</v>
      </c>
      <c r="E1757" s="45" t="s">
        <v>3986</v>
      </c>
      <c r="F1757" s="45" t="s">
        <v>3987</v>
      </c>
      <c r="G1757" s="45" t="s">
        <v>3990</v>
      </c>
    </row>
    <row r="1758">
      <c r="A1758" s="45" t="s">
        <v>1269</v>
      </c>
      <c r="B1758" s="45" t="s">
        <v>3131</v>
      </c>
      <c r="C1758" s="45">
        <v>126.0</v>
      </c>
      <c r="D1758" s="45">
        <v>34033.0</v>
      </c>
      <c r="E1758" s="45" t="s">
        <v>3986</v>
      </c>
      <c r="F1758" s="45" t="s">
        <v>3987</v>
      </c>
      <c r="G1758" s="45" t="s">
        <v>3990</v>
      </c>
    </row>
    <row r="1759">
      <c r="A1759" s="45" t="s">
        <v>930</v>
      </c>
      <c r="B1759" s="45" t="s">
        <v>3131</v>
      </c>
      <c r="C1759" s="45">
        <v>126.0</v>
      </c>
      <c r="D1759" s="45">
        <v>34035.0</v>
      </c>
      <c r="E1759" s="45" t="s">
        <v>3986</v>
      </c>
      <c r="F1759" s="45" t="s">
        <v>3987</v>
      </c>
      <c r="G1759" s="45" t="s">
        <v>3990</v>
      </c>
    </row>
    <row r="1760">
      <c r="A1760" s="45" t="s">
        <v>407</v>
      </c>
      <c r="B1760" s="45" t="s">
        <v>3131</v>
      </c>
      <c r="C1760" s="45">
        <v>126.0</v>
      </c>
      <c r="D1760" s="45">
        <v>34037.0</v>
      </c>
      <c r="E1760" s="45" t="s">
        <v>3986</v>
      </c>
      <c r="F1760" s="45" t="s">
        <v>3987</v>
      </c>
      <c r="G1760" s="45" t="s">
        <v>3990</v>
      </c>
    </row>
    <row r="1761">
      <c r="A1761" s="45" t="s">
        <v>273</v>
      </c>
      <c r="B1761" s="45" t="s">
        <v>3131</v>
      </c>
      <c r="C1761" s="45">
        <v>126.0</v>
      </c>
      <c r="D1761" s="45">
        <v>34039.0</v>
      </c>
      <c r="E1761" s="45" t="s">
        <v>3986</v>
      </c>
      <c r="F1761" s="45" t="s">
        <v>3987</v>
      </c>
      <c r="G1761" s="45" t="s">
        <v>3990</v>
      </c>
    </row>
    <row r="1762">
      <c r="A1762" s="45" t="s">
        <v>561</v>
      </c>
      <c r="B1762" s="45" t="s">
        <v>3131</v>
      </c>
      <c r="C1762" s="45">
        <v>126.0</v>
      </c>
      <c r="D1762" s="45">
        <v>34041.0</v>
      </c>
      <c r="E1762" s="45" t="s">
        <v>3986</v>
      </c>
      <c r="F1762" s="45" t="s">
        <v>3987</v>
      </c>
      <c r="G1762" s="45" t="s">
        <v>3990</v>
      </c>
    </row>
    <row r="1763">
      <c r="A1763" s="45" t="s">
        <v>1270</v>
      </c>
      <c r="B1763" s="45" t="s">
        <v>3143</v>
      </c>
      <c r="C1763" s="45">
        <v>31.0</v>
      </c>
      <c r="D1763" s="45">
        <v>35001.0</v>
      </c>
      <c r="E1763" s="45" t="s">
        <v>3971</v>
      </c>
      <c r="F1763" s="45" t="s">
        <v>3972</v>
      </c>
      <c r="G1763" s="45" t="s">
        <v>3990</v>
      </c>
    </row>
    <row r="1764">
      <c r="A1764" s="45" t="s">
        <v>1272</v>
      </c>
      <c r="B1764" s="45" t="s">
        <v>3143</v>
      </c>
      <c r="C1764" s="45">
        <v>31.0</v>
      </c>
      <c r="D1764" s="45">
        <v>35003.0</v>
      </c>
      <c r="E1764" s="45" t="s">
        <v>3971</v>
      </c>
      <c r="F1764" s="45" t="s">
        <v>3972</v>
      </c>
      <c r="G1764" s="45" t="s">
        <v>3990</v>
      </c>
    </row>
    <row r="1765">
      <c r="A1765" s="45" t="s">
        <v>1273</v>
      </c>
      <c r="B1765" s="45" t="s">
        <v>3143</v>
      </c>
      <c r="C1765" s="45">
        <v>47.0</v>
      </c>
      <c r="D1765" s="45">
        <v>35005.0</v>
      </c>
      <c r="E1765" s="45" t="s">
        <v>3977</v>
      </c>
      <c r="F1765" s="45" t="s">
        <v>3976</v>
      </c>
      <c r="G1765" s="45" t="s">
        <v>3990</v>
      </c>
    </row>
    <row r="1766">
      <c r="A1766" s="45" t="s">
        <v>1274</v>
      </c>
      <c r="B1766" s="45" t="s">
        <v>3143</v>
      </c>
      <c r="C1766" s="45">
        <v>31.0</v>
      </c>
      <c r="D1766" s="45">
        <v>35006.0</v>
      </c>
      <c r="E1766" s="45" t="s">
        <v>3971</v>
      </c>
      <c r="F1766" s="45" t="s">
        <v>3972</v>
      </c>
      <c r="G1766" s="45" t="s">
        <v>3985</v>
      </c>
    </row>
    <row r="1767">
      <c r="A1767" s="45" t="s">
        <v>1206</v>
      </c>
      <c r="B1767" s="45" t="s">
        <v>3143</v>
      </c>
      <c r="C1767" s="45">
        <v>31.0</v>
      </c>
      <c r="D1767" s="45">
        <v>35007.0</v>
      </c>
      <c r="E1767" s="45" t="s">
        <v>3971</v>
      </c>
      <c r="F1767" s="45" t="s">
        <v>3972</v>
      </c>
      <c r="G1767" s="45" t="s">
        <v>3985</v>
      </c>
    </row>
    <row r="1768">
      <c r="A1768" s="45" t="s">
        <v>1275</v>
      </c>
      <c r="B1768" s="45" t="s">
        <v>3143</v>
      </c>
      <c r="C1768" s="45">
        <v>47.0</v>
      </c>
      <c r="D1768" s="45">
        <v>35009.0</v>
      </c>
      <c r="E1768" s="45" t="s">
        <v>3977</v>
      </c>
      <c r="F1768" s="45" t="s">
        <v>3976</v>
      </c>
      <c r="G1768" s="45" t="s">
        <v>3985</v>
      </c>
    </row>
    <row r="1769">
      <c r="A1769" s="45" t="s">
        <v>1276</v>
      </c>
      <c r="B1769" s="45" t="s">
        <v>3143</v>
      </c>
      <c r="C1769" s="45">
        <v>31.0</v>
      </c>
      <c r="D1769" s="45">
        <v>35011.0</v>
      </c>
      <c r="E1769" s="45" t="s">
        <v>3977</v>
      </c>
      <c r="F1769" s="45" t="s">
        <v>3972</v>
      </c>
      <c r="G1769" s="45" t="s">
        <v>3985</v>
      </c>
    </row>
    <row r="1770">
      <c r="A1770" s="45" t="s">
        <v>4004</v>
      </c>
      <c r="B1770" s="45" t="s">
        <v>3143</v>
      </c>
      <c r="C1770" s="45">
        <v>31.0</v>
      </c>
      <c r="D1770" s="45">
        <v>35013.0</v>
      </c>
      <c r="E1770" s="45" t="s">
        <v>3971</v>
      </c>
      <c r="F1770" s="45" t="s">
        <v>3972</v>
      </c>
      <c r="G1770" s="45" t="s">
        <v>3985</v>
      </c>
    </row>
    <row r="1771">
      <c r="A1771" s="45" t="s">
        <v>1278</v>
      </c>
      <c r="B1771" s="45" t="s">
        <v>3143</v>
      </c>
      <c r="C1771" s="45">
        <v>47.0</v>
      </c>
      <c r="D1771" s="45">
        <v>35015.0</v>
      </c>
      <c r="E1771" s="45" t="s">
        <v>3977</v>
      </c>
      <c r="F1771" s="45" t="s">
        <v>3976</v>
      </c>
      <c r="G1771" s="45" t="s">
        <v>3985</v>
      </c>
    </row>
    <row r="1772">
      <c r="A1772" s="45" t="s">
        <v>242</v>
      </c>
      <c r="B1772" s="45" t="s">
        <v>3143</v>
      </c>
      <c r="C1772" s="45">
        <v>31.0</v>
      </c>
      <c r="D1772" s="45">
        <v>35017.0</v>
      </c>
      <c r="E1772" s="45" t="s">
        <v>3971</v>
      </c>
      <c r="F1772" s="45" t="s">
        <v>3972</v>
      </c>
      <c r="G1772" s="45" t="s">
        <v>3985</v>
      </c>
    </row>
    <row r="1773">
      <c r="A1773" s="45" t="s">
        <v>1279</v>
      </c>
      <c r="B1773" s="45" t="s">
        <v>3143</v>
      </c>
      <c r="C1773" s="45">
        <v>31.0</v>
      </c>
      <c r="D1773" s="45">
        <v>35019.0</v>
      </c>
      <c r="E1773" s="45" t="s">
        <v>3971</v>
      </c>
      <c r="F1773" s="45" t="s">
        <v>3972</v>
      </c>
      <c r="G1773" s="45" t="s">
        <v>3985</v>
      </c>
    </row>
    <row r="1774">
      <c r="A1774" s="45" t="s">
        <v>1280</v>
      </c>
      <c r="B1774" s="45" t="s">
        <v>3143</v>
      </c>
      <c r="C1774" s="45">
        <v>31.0</v>
      </c>
      <c r="D1774" s="45">
        <v>35021.0</v>
      </c>
      <c r="E1774" s="45" t="s">
        <v>3971</v>
      </c>
      <c r="F1774" s="45" t="s">
        <v>3972</v>
      </c>
      <c r="G1774" s="45" t="s">
        <v>3985</v>
      </c>
    </row>
    <row r="1775">
      <c r="A1775" s="45" t="s">
        <v>1281</v>
      </c>
      <c r="B1775" s="45" t="s">
        <v>3143</v>
      </c>
      <c r="C1775" s="45">
        <v>31.0</v>
      </c>
      <c r="D1775" s="45">
        <v>35023.0</v>
      </c>
      <c r="E1775" s="45" t="s">
        <v>3971</v>
      </c>
      <c r="F1775" s="45" t="s">
        <v>3972</v>
      </c>
      <c r="G1775" s="45" t="s">
        <v>3985</v>
      </c>
    </row>
    <row r="1776">
      <c r="A1776" s="45" t="s">
        <v>1282</v>
      </c>
      <c r="B1776" s="45" t="s">
        <v>3143</v>
      </c>
      <c r="C1776" s="45">
        <v>47.0</v>
      </c>
      <c r="D1776" s="45">
        <v>35025.0</v>
      </c>
      <c r="E1776" s="45" t="s">
        <v>3977</v>
      </c>
      <c r="F1776" s="45" t="s">
        <v>3976</v>
      </c>
      <c r="G1776" s="45" t="s">
        <v>3987</v>
      </c>
    </row>
    <row r="1777">
      <c r="A1777" s="45" t="s">
        <v>250</v>
      </c>
      <c r="B1777" s="45" t="s">
        <v>3143</v>
      </c>
      <c r="C1777" s="45">
        <v>31.0</v>
      </c>
      <c r="D1777" s="45">
        <v>35027.0</v>
      </c>
      <c r="E1777" s="45" t="s">
        <v>3971</v>
      </c>
      <c r="F1777" s="45" t="s">
        <v>3972</v>
      </c>
      <c r="G1777" s="45" t="s">
        <v>3987</v>
      </c>
    </row>
    <row r="1778">
      <c r="A1778" s="45" t="s">
        <v>1283</v>
      </c>
      <c r="B1778" s="45" t="s">
        <v>3143</v>
      </c>
      <c r="C1778" s="45">
        <v>31.0</v>
      </c>
      <c r="D1778" s="45">
        <v>35028.0</v>
      </c>
      <c r="E1778" s="45" t="s">
        <v>3971</v>
      </c>
      <c r="F1778" s="45" t="s">
        <v>3972</v>
      </c>
      <c r="G1778" s="45" t="s">
        <v>3987</v>
      </c>
    </row>
    <row r="1779">
      <c r="A1779" s="45" t="s">
        <v>1284</v>
      </c>
      <c r="B1779" s="45" t="s">
        <v>3143</v>
      </c>
      <c r="C1779" s="45">
        <v>31.0</v>
      </c>
      <c r="D1779" s="45">
        <v>35029.0</v>
      </c>
      <c r="E1779" s="45" t="s">
        <v>3971</v>
      </c>
      <c r="F1779" s="45" t="s">
        <v>3972</v>
      </c>
      <c r="G1779" s="45" t="s">
        <v>3987</v>
      </c>
    </row>
    <row r="1780">
      <c r="A1780" s="45" t="s">
        <v>1285</v>
      </c>
      <c r="B1780" s="45" t="s">
        <v>3143</v>
      </c>
      <c r="C1780" s="45">
        <v>31.0</v>
      </c>
      <c r="D1780" s="45">
        <v>35031.0</v>
      </c>
      <c r="E1780" s="45" t="s">
        <v>3971</v>
      </c>
      <c r="F1780" s="45" t="s">
        <v>3972</v>
      </c>
      <c r="G1780" s="45" t="s">
        <v>3987</v>
      </c>
    </row>
    <row r="1781">
      <c r="A1781" s="45" t="s">
        <v>1286</v>
      </c>
      <c r="B1781" s="45" t="s">
        <v>3143</v>
      </c>
      <c r="C1781" s="45">
        <v>31.0</v>
      </c>
      <c r="D1781" s="45">
        <v>35033.0</v>
      </c>
      <c r="E1781" s="45" t="s">
        <v>3971</v>
      </c>
      <c r="F1781" s="45" t="s">
        <v>3972</v>
      </c>
      <c r="G1781" s="45" t="s">
        <v>3987</v>
      </c>
    </row>
    <row r="1782">
      <c r="A1782" s="45" t="s">
        <v>378</v>
      </c>
      <c r="B1782" s="45" t="s">
        <v>3143</v>
      </c>
      <c r="C1782" s="45">
        <v>31.0</v>
      </c>
      <c r="D1782" s="45">
        <v>35035.0</v>
      </c>
      <c r="E1782" s="45" t="s">
        <v>3971</v>
      </c>
      <c r="F1782" s="45" t="s">
        <v>3972</v>
      </c>
      <c r="G1782" s="45" t="s">
        <v>3987</v>
      </c>
    </row>
    <row r="1783">
      <c r="A1783" s="45" t="s">
        <v>1287</v>
      </c>
      <c r="B1783" s="45" t="s">
        <v>3143</v>
      </c>
      <c r="C1783" s="45">
        <v>47.0</v>
      </c>
      <c r="D1783" s="45">
        <v>35037.0</v>
      </c>
      <c r="E1783" s="45" t="s">
        <v>3977</v>
      </c>
      <c r="F1783" s="45" t="s">
        <v>3976</v>
      </c>
      <c r="G1783" s="45" t="s">
        <v>3987</v>
      </c>
    </row>
    <row r="1784">
      <c r="A1784" s="45" t="s">
        <v>1288</v>
      </c>
      <c r="B1784" s="45" t="s">
        <v>3143</v>
      </c>
      <c r="C1784" s="45">
        <v>31.0</v>
      </c>
      <c r="D1784" s="45">
        <v>35039.0</v>
      </c>
      <c r="E1784" s="45" t="s">
        <v>3971</v>
      </c>
      <c r="F1784" s="45" t="s">
        <v>3972</v>
      </c>
      <c r="G1784" s="45" t="s">
        <v>3987</v>
      </c>
    </row>
    <row r="1785">
      <c r="A1785" s="45" t="s">
        <v>1187</v>
      </c>
      <c r="B1785" s="45" t="s">
        <v>3143</v>
      </c>
      <c r="C1785" s="45">
        <v>47.0</v>
      </c>
      <c r="D1785" s="45">
        <v>35041.0</v>
      </c>
      <c r="E1785" s="45" t="s">
        <v>3977</v>
      </c>
      <c r="F1785" s="45" t="s">
        <v>3976</v>
      </c>
      <c r="G1785" s="45" t="s">
        <v>3987</v>
      </c>
    </row>
    <row r="1786">
      <c r="A1786" s="45" t="s">
        <v>1289</v>
      </c>
      <c r="B1786" s="45" t="s">
        <v>3143</v>
      </c>
      <c r="C1786" s="45">
        <v>31.0</v>
      </c>
      <c r="D1786" s="45">
        <v>35043.0</v>
      </c>
      <c r="E1786" s="45" t="s">
        <v>3971</v>
      </c>
      <c r="F1786" s="45" t="s">
        <v>3972</v>
      </c>
      <c r="G1786" s="45" t="s">
        <v>3987</v>
      </c>
    </row>
    <row r="1787">
      <c r="A1787" s="45" t="s">
        <v>388</v>
      </c>
      <c r="B1787" s="45" t="s">
        <v>3143</v>
      </c>
      <c r="C1787" s="45">
        <v>31.0</v>
      </c>
      <c r="D1787" s="45">
        <v>35045.0</v>
      </c>
      <c r="E1787" s="45" t="s">
        <v>3971</v>
      </c>
      <c r="F1787" s="45" t="s">
        <v>3983</v>
      </c>
      <c r="G1787" s="45" t="s">
        <v>3987</v>
      </c>
    </row>
    <row r="1788">
      <c r="A1788" s="45" t="s">
        <v>389</v>
      </c>
      <c r="B1788" s="45" t="s">
        <v>3143</v>
      </c>
      <c r="C1788" s="45">
        <v>31.0</v>
      </c>
      <c r="D1788" s="45">
        <v>35047.0</v>
      </c>
      <c r="E1788" s="45" t="s">
        <v>3971</v>
      </c>
      <c r="F1788" s="45" t="s">
        <v>3972</v>
      </c>
      <c r="G1788" s="45" t="s">
        <v>3987</v>
      </c>
    </row>
    <row r="1789">
      <c r="A1789" s="45" t="s">
        <v>1290</v>
      </c>
      <c r="B1789" s="45" t="s">
        <v>3143</v>
      </c>
      <c r="C1789" s="45">
        <v>31.0</v>
      </c>
      <c r="D1789" s="45">
        <v>35049.0</v>
      </c>
      <c r="E1789" s="45" t="s">
        <v>3971</v>
      </c>
      <c r="F1789" s="45" t="s">
        <v>3972</v>
      </c>
      <c r="G1789" s="45" t="s">
        <v>3987</v>
      </c>
    </row>
    <row r="1790">
      <c r="A1790" s="45" t="s">
        <v>325</v>
      </c>
      <c r="B1790" s="45" t="s">
        <v>3143</v>
      </c>
      <c r="C1790" s="45">
        <v>31.0</v>
      </c>
      <c r="D1790" s="45">
        <v>35051.0</v>
      </c>
      <c r="E1790" s="45" t="s">
        <v>3971</v>
      </c>
      <c r="F1790" s="45" t="s">
        <v>3972</v>
      </c>
      <c r="G1790" s="45" t="s">
        <v>3987</v>
      </c>
    </row>
    <row r="1791">
      <c r="A1791" s="45" t="s">
        <v>1291</v>
      </c>
      <c r="B1791" s="45" t="s">
        <v>3143</v>
      </c>
      <c r="C1791" s="45">
        <v>31.0</v>
      </c>
      <c r="D1791" s="45">
        <v>35053.0</v>
      </c>
      <c r="E1791" s="45" t="s">
        <v>3971</v>
      </c>
      <c r="F1791" s="45" t="s">
        <v>3972</v>
      </c>
      <c r="G1791" s="45" t="s">
        <v>3987</v>
      </c>
    </row>
    <row r="1792">
      <c r="A1792" s="45" t="s">
        <v>1292</v>
      </c>
      <c r="B1792" s="45" t="s">
        <v>3143</v>
      </c>
      <c r="C1792" s="45">
        <v>31.0</v>
      </c>
      <c r="D1792" s="45">
        <v>35055.0</v>
      </c>
      <c r="E1792" s="45" t="s">
        <v>3971</v>
      </c>
      <c r="F1792" s="45" t="s">
        <v>3972</v>
      </c>
      <c r="G1792" s="45" t="s">
        <v>3987</v>
      </c>
    </row>
    <row r="1793">
      <c r="A1793" s="45" t="s">
        <v>1293</v>
      </c>
      <c r="B1793" s="45" t="s">
        <v>3143</v>
      </c>
      <c r="C1793" s="45">
        <v>31.0</v>
      </c>
      <c r="D1793" s="45">
        <v>35057.0</v>
      </c>
      <c r="E1793" s="45" t="s">
        <v>3971</v>
      </c>
      <c r="F1793" s="45" t="s">
        <v>3972</v>
      </c>
      <c r="G1793" s="45" t="s">
        <v>3987</v>
      </c>
    </row>
    <row r="1794">
      <c r="A1794" s="45" t="s">
        <v>273</v>
      </c>
      <c r="B1794" s="45" t="s">
        <v>3143</v>
      </c>
      <c r="C1794" s="45">
        <v>31.0</v>
      </c>
      <c r="D1794" s="45">
        <v>35059.0</v>
      </c>
      <c r="E1794" s="45" t="s">
        <v>3971</v>
      </c>
      <c r="F1794" s="45" t="s">
        <v>3972</v>
      </c>
      <c r="G1794" s="45" t="s">
        <v>3987</v>
      </c>
    </row>
    <row r="1795">
      <c r="A1795" s="45" t="s">
        <v>1294</v>
      </c>
      <c r="B1795" s="45" t="s">
        <v>3143</v>
      </c>
      <c r="C1795" s="45">
        <v>31.0</v>
      </c>
      <c r="D1795" s="45">
        <v>35061.0</v>
      </c>
      <c r="E1795" s="45" t="s">
        <v>3971</v>
      </c>
      <c r="F1795" s="45" t="s">
        <v>3972</v>
      </c>
      <c r="G1795" s="45" t="s">
        <v>3987</v>
      </c>
    </row>
    <row r="1796">
      <c r="A1796" s="45" t="s">
        <v>1295</v>
      </c>
      <c r="B1796" s="45" t="s">
        <v>3168</v>
      </c>
      <c r="C1796" s="45">
        <v>127.0</v>
      </c>
      <c r="D1796" s="45">
        <v>36001.0</v>
      </c>
      <c r="E1796" s="45" t="s">
        <v>4005</v>
      </c>
      <c r="F1796" s="45" t="s">
        <v>4005</v>
      </c>
      <c r="G1796" s="45" t="s">
        <v>3987</v>
      </c>
    </row>
    <row r="1797">
      <c r="A1797" s="45" t="s">
        <v>933</v>
      </c>
      <c r="B1797" s="45" t="s">
        <v>3168</v>
      </c>
      <c r="C1797" s="45">
        <v>127.0</v>
      </c>
      <c r="D1797" s="45">
        <v>36003.0</v>
      </c>
      <c r="E1797" s="45" t="s">
        <v>4005</v>
      </c>
      <c r="F1797" s="45" t="s">
        <v>4005</v>
      </c>
      <c r="G1797" s="45" t="s">
        <v>3972</v>
      </c>
    </row>
    <row r="1798">
      <c r="A1798" s="45" t="s">
        <v>1297</v>
      </c>
      <c r="B1798" s="45" t="s">
        <v>3168</v>
      </c>
      <c r="C1798" s="45">
        <v>127.0</v>
      </c>
      <c r="D1798" s="45">
        <v>36005.0</v>
      </c>
      <c r="E1798" s="45" t="s">
        <v>4006</v>
      </c>
      <c r="F1798" s="45" t="s">
        <v>4006</v>
      </c>
      <c r="G1798" s="45" t="s">
        <v>3972</v>
      </c>
    </row>
    <row r="1799">
      <c r="A1799" s="45" t="s">
        <v>1298</v>
      </c>
      <c r="B1799" s="45" t="s">
        <v>3168</v>
      </c>
      <c r="C1799" s="45">
        <v>127.0</v>
      </c>
      <c r="D1799" s="45">
        <v>36007.0</v>
      </c>
      <c r="E1799" s="45" t="s">
        <v>4005</v>
      </c>
      <c r="F1799" s="45" t="s">
        <v>4005</v>
      </c>
      <c r="G1799" s="45" t="s">
        <v>3972</v>
      </c>
    </row>
    <row r="1800">
      <c r="A1800" s="45" t="s">
        <v>1299</v>
      </c>
      <c r="B1800" s="45" t="s">
        <v>3168</v>
      </c>
      <c r="C1800" s="45">
        <v>127.0</v>
      </c>
      <c r="D1800" s="45">
        <v>36009.0</v>
      </c>
      <c r="E1800" s="45" t="s">
        <v>4005</v>
      </c>
      <c r="F1800" s="45" t="s">
        <v>4005</v>
      </c>
      <c r="G1800" s="45" t="s">
        <v>3972</v>
      </c>
    </row>
    <row r="1801">
      <c r="A1801" s="45" t="s">
        <v>1300</v>
      </c>
      <c r="B1801" s="45" t="s">
        <v>3168</v>
      </c>
      <c r="C1801" s="45">
        <v>127.0</v>
      </c>
      <c r="D1801" s="45">
        <v>36011.0</v>
      </c>
      <c r="E1801" s="45" t="s">
        <v>4005</v>
      </c>
      <c r="F1801" s="45" t="s">
        <v>4005</v>
      </c>
      <c r="G1801" s="45" t="s">
        <v>3972</v>
      </c>
    </row>
    <row r="1802">
      <c r="A1802" s="45" t="s">
        <v>757</v>
      </c>
      <c r="B1802" s="45" t="s">
        <v>3168</v>
      </c>
      <c r="C1802" s="45">
        <v>127.0</v>
      </c>
      <c r="D1802" s="45">
        <v>36013.0</v>
      </c>
      <c r="E1802" s="45" t="s">
        <v>4005</v>
      </c>
      <c r="F1802" s="45" t="s">
        <v>4005</v>
      </c>
      <c r="G1802" s="45" t="s">
        <v>3972</v>
      </c>
    </row>
    <row r="1803">
      <c r="A1803" s="45" t="s">
        <v>1301</v>
      </c>
      <c r="B1803" s="45" t="s">
        <v>3168</v>
      </c>
      <c r="C1803" s="45">
        <v>127.0</v>
      </c>
      <c r="D1803" s="45">
        <v>36015.0</v>
      </c>
      <c r="E1803" s="45" t="s">
        <v>4005</v>
      </c>
      <c r="F1803" s="45" t="s">
        <v>4005</v>
      </c>
      <c r="G1803" s="45" t="s">
        <v>3972</v>
      </c>
    </row>
    <row r="1804">
      <c r="A1804" s="45" t="s">
        <v>1302</v>
      </c>
      <c r="B1804" s="45" t="s">
        <v>3168</v>
      </c>
      <c r="C1804" s="45">
        <v>127.0</v>
      </c>
      <c r="D1804" s="45">
        <v>36017.0</v>
      </c>
      <c r="E1804" s="45" t="s">
        <v>4005</v>
      </c>
      <c r="F1804" s="45" t="s">
        <v>4005</v>
      </c>
      <c r="G1804" s="45" t="s">
        <v>3972</v>
      </c>
    </row>
    <row r="1805">
      <c r="A1805" s="45" t="s">
        <v>616</v>
      </c>
      <c r="B1805" s="45" t="s">
        <v>3168</v>
      </c>
      <c r="C1805" s="45">
        <v>127.0</v>
      </c>
      <c r="D1805" s="45">
        <v>36019.0</v>
      </c>
      <c r="E1805" s="45" t="s">
        <v>3984</v>
      </c>
      <c r="F1805" s="45" t="s">
        <v>4005</v>
      </c>
      <c r="G1805" s="45" t="s">
        <v>3972</v>
      </c>
    </row>
    <row r="1806">
      <c r="A1806" s="45" t="s">
        <v>231</v>
      </c>
      <c r="B1806" s="45" t="s">
        <v>3168</v>
      </c>
      <c r="C1806" s="45">
        <v>127.0</v>
      </c>
      <c r="D1806" s="45">
        <v>36021.0</v>
      </c>
      <c r="E1806" s="45" t="s">
        <v>3984</v>
      </c>
      <c r="F1806" s="45" t="s">
        <v>4005</v>
      </c>
      <c r="G1806" s="45" t="s">
        <v>3972</v>
      </c>
    </row>
    <row r="1807">
      <c r="A1807" s="45" t="s">
        <v>1303</v>
      </c>
      <c r="B1807" s="45" t="s">
        <v>3168</v>
      </c>
      <c r="C1807" s="45">
        <v>127.0</v>
      </c>
      <c r="D1807" s="45">
        <v>36023.0</v>
      </c>
      <c r="E1807" s="45" t="s">
        <v>4005</v>
      </c>
      <c r="F1807" s="45" t="s">
        <v>4005</v>
      </c>
      <c r="G1807" s="45" t="s">
        <v>3972</v>
      </c>
    </row>
    <row r="1808">
      <c r="A1808" s="45" t="s">
        <v>405</v>
      </c>
      <c r="B1808" s="45" t="s">
        <v>3168</v>
      </c>
      <c r="C1808" s="45">
        <v>127.0</v>
      </c>
      <c r="D1808" s="45">
        <v>36025.0</v>
      </c>
      <c r="E1808" s="45" t="s">
        <v>4005</v>
      </c>
      <c r="F1808" s="45" t="s">
        <v>4005</v>
      </c>
      <c r="G1808" s="45" t="s">
        <v>3972</v>
      </c>
    </row>
    <row r="1809">
      <c r="A1809" s="45" t="s">
        <v>1304</v>
      </c>
      <c r="B1809" s="45" t="s">
        <v>3168</v>
      </c>
      <c r="C1809" s="45">
        <v>127.0</v>
      </c>
      <c r="D1809" s="45">
        <v>36027.0</v>
      </c>
      <c r="E1809" s="45" t="s">
        <v>3984</v>
      </c>
      <c r="F1809" s="45" t="s">
        <v>4005</v>
      </c>
      <c r="G1809" s="45" t="s">
        <v>3972</v>
      </c>
    </row>
    <row r="1810">
      <c r="A1810" s="45" t="s">
        <v>1305</v>
      </c>
      <c r="B1810" s="45" t="s">
        <v>3168</v>
      </c>
      <c r="C1810" s="45">
        <v>127.0</v>
      </c>
      <c r="D1810" s="45">
        <v>36029.0</v>
      </c>
      <c r="E1810" s="45" t="s">
        <v>4005</v>
      </c>
      <c r="F1810" s="45" t="s">
        <v>4005</v>
      </c>
      <c r="G1810" s="45" t="s">
        <v>3972</v>
      </c>
    </row>
    <row r="1811">
      <c r="A1811" s="45" t="s">
        <v>956</v>
      </c>
      <c r="B1811" s="45" t="s">
        <v>3168</v>
      </c>
      <c r="C1811" s="45">
        <v>127.0</v>
      </c>
      <c r="D1811" s="45">
        <v>36031.0</v>
      </c>
      <c r="E1811" s="45" t="s">
        <v>3984</v>
      </c>
      <c r="F1811" s="45" t="s">
        <v>4005</v>
      </c>
      <c r="G1811" s="45" t="s">
        <v>3972</v>
      </c>
    </row>
    <row r="1812">
      <c r="A1812" s="45" t="s">
        <v>132</v>
      </c>
      <c r="B1812" s="45" t="s">
        <v>3168</v>
      </c>
      <c r="C1812" s="45">
        <v>127.0</v>
      </c>
      <c r="D1812" s="45">
        <v>36033.0</v>
      </c>
      <c r="E1812" s="45" t="s">
        <v>4005</v>
      </c>
      <c r="F1812" s="45" t="s">
        <v>4005</v>
      </c>
      <c r="G1812" s="45" t="s">
        <v>3972</v>
      </c>
    </row>
    <row r="1813">
      <c r="A1813" s="45" t="s">
        <v>240</v>
      </c>
      <c r="B1813" s="45" t="s">
        <v>3168</v>
      </c>
      <c r="C1813" s="45">
        <v>127.0</v>
      </c>
      <c r="D1813" s="45">
        <v>36035.0</v>
      </c>
      <c r="E1813" s="45" t="s">
        <v>4005</v>
      </c>
      <c r="F1813" s="45" t="s">
        <v>4005</v>
      </c>
      <c r="G1813" s="45" t="s">
        <v>3972</v>
      </c>
    </row>
    <row r="1814">
      <c r="A1814" s="45" t="s">
        <v>978</v>
      </c>
      <c r="B1814" s="45" t="s">
        <v>3168</v>
      </c>
      <c r="C1814" s="45">
        <v>127.0</v>
      </c>
      <c r="D1814" s="45">
        <v>36037.0</v>
      </c>
      <c r="E1814" s="45" t="s">
        <v>4005</v>
      </c>
      <c r="F1814" s="45" t="s">
        <v>4005</v>
      </c>
      <c r="G1814" s="45" t="s">
        <v>3972</v>
      </c>
    </row>
    <row r="1815">
      <c r="A1815" s="45" t="s">
        <v>134</v>
      </c>
      <c r="B1815" s="45" t="s">
        <v>3168</v>
      </c>
      <c r="C1815" s="45">
        <v>127.0</v>
      </c>
      <c r="D1815" s="45">
        <v>36039.0</v>
      </c>
      <c r="E1815" s="45" t="s">
        <v>4005</v>
      </c>
      <c r="F1815" s="45" t="s">
        <v>4005</v>
      </c>
      <c r="G1815" s="45" t="s">
        <v>3972</v>
      </c>
    </row>
    <row r="1816">
      <c r="A1816" s="45" t="s">
        <v>428</v>
      </c>
      <c r="B1816" s="45" t="s">
        <v>3168</v>
      </c>
      <c r="C1816" s="45">
        <v>127.0</v>
      </c>
      <c r="D1816" s="45">
        <v>36041.0</v>
      </c>
      <c r="E1816" s="45" t="s">
        <v>4005</v>
      </c>
      <c r="F1816" s="45" t="s">
        <v>4005</v>
      </c>
      <c r="G1816" s="45" t="s">
        <v>3972</v>
      </c>
    </row>
    <row r="1817">
      <c r="A1817" s="45" t="s">
        <v>1306</v>
      </c>
      <c r="B1817" s="45" t="s">
        <v>3168</v>
      </c>
      <c r="C1817" s="45">
        <v>127.0</v>
      </c>
      <c r="D1817" s="45">
        <v>36043.0</v>
      </c>
      <c r="E1817" s="45" t="s">
        <v>4005</v>
      </c>
      <c r="F1817" s="45" t="s">
        <v>4005</v>
      </c>
      <c r="G1817" s="45" t="s">
        <v>3972</v>
      </c>
    </row>
    <row r="1818">
      <c r="A1818" s="45" t="s">
        <v>139</v>
      </c>
      <c r="B1818" s="45" t="s">
        <v>3168</v>
      </c>
      <c r="C1818" s="45">
        <v>127.0</v>
      </c>
      <c r="D1818" s="45">
        <v>36045.0</v>
      </c>
      <c r="E1818" s="45" t="s">
        <v>4005</v>
      </c>
      <c r="F1818" s="45" t="s">
        <v>4005</v>
      </c>
      <c r="G1818" s="45" t="s">
        <v>3972</v>
      </c>
    </row>
    <row r="1819">
      <c r="A1819" s="45" t="s">
        <v>297</v>
      </c>
      <c r="B1819" s="45" t="s">
        <v>3168</v>
      </c>
      <c r="C1819" s="45">
        <v>127.0</v>
      </c>
      <c r="D1819" s="45">
        <v>36047.0</v>
      </c>
      <c r="E1819" s="45" t="s">
        <v>4006</v>
      </c>
      <c r="F1819" s="45" t="s">
        <v>4006</v>
      </c>
      <c r="G1819" s="45" t="s">
        <v>3972</v>
      </c>
    </row>
    <row r="1820">
      <c r="A1820" s="45" t="s">
        <v>597</v>
      </c>
      <c r="B1820" s="45" t="s">
        <v>3168</v>
      </c>
      <c r="C1820" s="45">
        <v>127.0</v>
      </c>
      <c r="D1820" s="45">
        <v>36049.0</v>
      </c>
      <c r="E1820" s="45" t="s">
        <v>4005</v>
      </c>
      <c r="F1820" s="45" t="s">
        <v>4005</v>
      </c>
      <c r="G1820" s="45" t="s">
        <v>3972</v>
      </c>
    </row>
    <row r="1821">
      <c r="A1821" s="45" t="s">
        <v>636</v>
      </c>
      <c r="B1821" s="45" t="s">
        <v>3168</v>
      </c>
      <c r="C1821" s="45">
        <v>127.0</v>
      </c>
      <c r="D1821" s="45">
        <v>36051.0</v>
      </c>
      <c r="E1821" s="45" t="s">
        <v>4005</v>
      </c>
      <c r="F1821" s="45" t="s">
        <v>4005</v>
      </c>
      <c r="G1821" s="45" t="s">
        <v>3972</v>
      </c>
    </row>
    <row r="1822">
      <c r="A1822" s="45" t="s">
        <v>147</v>
      </c>
      <c r="B1822" s="45" t="s">
        <v>3168</v>
      </c>
      <c r="C1822" s="45">
        <v>127.0</v>
      </c>
      <c r="D1822" s="45">
        <v>36053.0</v>
      </c>
      <c r="E1822" s="45" t="s">
        <v>4005</v>
      </c>
      <c r="F1822" s="45" t="s">
        <v>4005</v>
      </c>
      <c r="G1822" s="45" t="s">
        <v>3972</v>
      </c>
    </row>
    <row r="1823">
      <c r="A1823" s="45" t="s">
        <v>152</v>
      </c>
      <c r="B1823" s="45" t="s">
        <v>3168</v>
      </c>
      <c r="C1823" s="45">
        <v>127.0</v>
      </c>
      <c r="D1823" s="45">
        <v>36055.0</v>
      </c>
      <c r="E1823" s="45" t="s">
        <v>4005</v>
      </c>
      <c r="F1823" s="45" t="s">
        <v>4005</v>
      </c>
      <c r="G1823" s="45" t="s">
        <v>3972</v>
      </c>
    </row>
    <row r="1824">
      <c r="A1824" s="45" t="s">
        <v>153</v>
      </c>
      <c r="B1824" s="45" t="s">
        <v>3168</v>
      </c>
      <c r="C1824" s="45">
        <v>127.0</v>
      </c>
      <c r="D1824" s="45">
        <v>36057.0</v>
      </c>
      <c r="E1824" s="45" t="s">
        <v>4005</v>
      </c>
      <c r="F1824" s="45" t="s">
        <v>4005</v>
      </c>
      <c r="G1824" s="45" t="s">
        <v>3976</v>
      </c>
    </row>
    <row r="1825">
      <c r="A1825" s="45" t="s">
        <v>442</v>
      </c>
      <c r="B1825" s="45" t="s">
        <v>3168</v>
      </c>
      <c r="C1825" s="45">
        <v>128.0</v>
      </c>
      <c r="D1825" s="45">
        <v>36059.0</v>
      </c>
      <c r="E1825" s="45" t="s">
        <v>4007</v>
      </c>
      <c r="F1825" s="45" t="s">
        <v>4006</v>
      </c>
      <c r="G1825" s="45" t="s">
        <v>3976</v>
      </c>
    </row>
    <row r="1826">
      <c r="A1826" s="45" t="s">
        <v>1296</v>
      </c>
      <c r="B1826" s="45" t="s">
        <v>3168</v>
      </c>
      <c r="C1826" s="45">
        <v>127.0</v>
      </c>
      <c r="D1826" s="45">
        <v>36061.0</v>
      </c>
      <c r="E1826" s="45" t="s">
        <v>4006</v>
      </c>
      <c r="F1826" s="45" t="s">
        <v>4006</v>
      </c>
      <c r="G1826" s="45" t="s">
        <v>3976</v>
      </c>
    </row>
    <row r="1827">
      <c r="A1827" s="45" t="s">
        <v>1307</v>
      </c>
      <c r="B1827" s="45" t="s">
        <v>3168</v>
      </c>
      <c r="C1827" s="45">
        <v>127.0</v>
      </c>
      <c r="D1827" s="45">
        <v>36063.0</v>
      </c>
      <c r="E1827" s="45" t="s">
        <v>4005</v>
      </c>
      <c r="F1827" s="45" t="s">
        <v>4005</v>
      </c>
      <c r="G1827" s="45" t="s">
        <v>3976</v>
      </c>
    </row>
    <row r="1828">
      <c r="A1828" s="45" t="s">
        <v>600</v>
      </c>
      <c r="B1828" s="45" t="s">
        <v>3168</v>
      </c>
      <c r="C1828" s="45">
        <v>127.0</v>
      </c>
      <c r="D1828" s="45">
        <v>36065.0</v>
      </c>
      <c r="E1828" s="45" t="s">
        <v>4005</v>
      </c>
      <c r="F1828" s="45" t="s">
        <v>4005</v>
      </c>
      <c r="G1828" s="45" t="s">
        <v>3976</v>
      </c>
    </row>
    <row r="1829">
      <c r="A1829" s="45" t="s">
        <v>1308</v>
      </c>
      <c r="B1829" s="45" t="s">
        <v>3168</v>
      </c>
      <c r="C1829" s="45">
        <v>127.0</v>
      </c>
      <c r="D1829" s="45">
        <v>36067.0</v>
      </c>
      <c r="E1829" s="45" t="s">
        <v>4005</v>
      </c>
      <c r="F1829" s="45" t="s">
        <v>4005</v>
      </c>
      <c r="G1829" s="45" t="s">
        <v>3976</v>
      </c>
    </row>
    <row r="1830">
      <c r="A1830" s="45" t="s">
        <v>1309</v>
      </c>
      <c r="B1830" s="45" t="s">
        <v>3168</v>
      </c>
      <c r="C1830" s="45">
        <v>127.0</v>
      </c>
      <c r="D1830" s="45">
        <v>36069.0</v>
      </c>
      <c r="E1830" s="45" t="s">
        <v>4005</v>
      </c>
      <c r="F1830" s="45" t="s">
        <v>4005</v>
      </c>
      <c r="G1830" s="45" t="s">
        <v>4005</v>
      </c>
    </row>
    <row r="1831">
      <c r="A1831" s="45" t="s">
        <v>310</v>
      </c>
      <c r="B1831" s="45" t="s">
        <v>3168</v>
      </c>
      <c r="C1831" s="45">
        <v>127.0</v>
      </c>
      <c r="D1831" s="45">
        <v>36071.0</v>
      </c>
      <c r="E1831" s="45" t="s">
        <v>4005</v>
      </c>
      <c r="F1831" s="45" t="s">
        <v>4005</v>
      </c>
      <c r="G1831" s="45" t="s">
        <v>4005</v>
      </c>
    </row>
    <row r="1832">
      <c r="A1832" s="45" t="s">
        <v>899</v>
      </c>
      <c r="B1832" s="45" t="s">
        <v>3168</v>
      </c>
      <c r="C1832" s="45">
        <v>127.0</v>
      </c>
      <c r="D1832" s="45">
        <v>36073.0</v>
      </c>
      <c r="E1832" s="45" t="s">
        <v>4005</v>
      </c>
      <c r="F1832" s="45" t="s">
        <v>4005</v>
      </c>
      <c r="G1832" s="45" t="s">
        <v>4005</v>
      </c>
    </row>
    <row r="1833">
      <c r="A1833" s="45" t="s">
        <v>1310</v>
      </c>
      <c r="B1833" s="45" t="s">
        <v>3168</v>
      </c>
      <c r="C1833" s="45">
        <v>127.0</v>
      </c>
      <c r="D1833" s="45">
        <v>36075.0</v>
      </c>
      <c r="E1833" s="45" t="s">
        <v>4005</v>
      </c>
      <c r="F1833" s="45" t="s">
        <v>4005</v>
      </c>
      <c r="G1833" s="45" t="s">
        <v>4005</v>
      </c>
    </row>
    <row r="1834">
      <c r="A1834" s="45" t="s">
        <v>1015</v>
      </c>
      <c r="B1834" s="45" t="s">
        <v>3168</v>
      </c>
      <c r="C1834" s="45">
        <v>127.0</v>
      </c>
      <c r="D1834" s="45">
        <v>36077.0</v>
      </c>
      <c r="E1834" s="45" t="s">
        <v>4005</v>
      </c>
      <c r="F1834" s="45" t="s">
        <v>4005</v>
      </c>
      <c r="G1834" s="45" t="s">
        <v>4005</v>
      </c>
    </row>
    <row r="1835">
      <c r="A1835" s="45" t="s">
        <v>449</v>
      </c>
      <c r="B1835" s="45" t="s">
        <v>3168</v>
      </c>
      <c r="C1835" s="45">
        <v>127.0</v>
      </c>
      <c r="D1835" s="45">
        <v>36079.0</v>
      </c>
      <c r="E1835" s="45" t="s">
        <v>3984</v>
      </c>
      <c r="F1835" s="45" t="s">
        <v>4005</v>
      </c>
      <c r="G1835" s="45" t="s">
        <v>4005</v>
      </c>
    </row>
    <row r="1836">
      <c r="A1836" s="45" t="s">
        <v>1311</v>
      </c>
      <c r="B1836" s="45" t="s">
        <v>3168</v>
      </c>
      <c r="C1836" s="45">
        <v>127.0</v>
      </c>
      <c r="D1836" s="45">
        <v>36081.0</v>
      </c>
      <c r="E1836" s="45" t="s">
        <v>4006</v>
      </c>
      <c r="F1836" s="45" t="s">
        <v>4006</v>
      </c>
      <c r="G1836" s="45" t="s">
        <v>4005</v>
      </c>
    </row>
    <row r="1837">
      <c r="A1837" s="45" t="s">
        <v>1312</v>
      </c>
      <c r="B1837" s="45" t="s">
        <v>3168</v>
      </c>
      <c r="C1837" s="45">
        <v>127.0</v>
      </c>
      <c r="D1837" s="45">
        <v>36083.0</v>
      </c>
      <c r="E1837" s="45" t="s">
        <v>3984</v>
      </c>
      <c r="F1837" s="45" t="s">
        <v>4005</v>
      </c>
      <c r="G1837" s="45" t="s">
        <v>4005</v>
      </c>
    </row>
    <row r="1838">
      <c r="A1838" s="45" t="s">
        <v>539</v>
      </c>
      <c r="B1838" s="45" t="s">
        <v>3168</v>
      </c>
      <c r="C1838" s="45">
        <v>127.0</v>
      </c>
      <c r="D1838" s="45">
        <v>36085.0</v>
      </c>
      <c r="E1838" s="45" t="s">
        <v>4006</v>
      </c>
      <c r="F1838" s="45" t="s">
        <v>3987</v>
      </c>
      <c r="G1838" s="45" t="s">
        <v>4005</v>
      </c>
    </row>
    <row r="1839">
      <c r="A1839" s="45" t="s">
        <v>1313</v>
      </c>
      <c r="B1839" s="45" t="s">
        <v>3168</v>
      </c>
      <c r="C1839" s="45">
        <v>127.0</v>
      </c>
      <c r="D1839" s="45">
        <v>36087.0</v>
      </c>
      <c r="E1839" s="45" t="s">
        <v>4006</v>
      </c>
      <c r="F1839" s="45" t="s">
        <v>4005</v>
      </c>
      <c r="G1839" s="45" t="s">
        <v>4005</v>
      </c>
    </row>
    <row r="1840">
      <c r="A1840" s="45" t="s">
        <v>1314</v>
      </c>
      <c r="B1840" s="45" t="s">
        <v>3168</v>
      </c>
      <c r="C1840" s="45">
        <v>127.0</v>
      </c>
      <c r="D1840" s="45">
        <v>36089.0</v>
      </c>
      <c r="E1840" s="45" t="s">
        <v>4005</v>
      </c>
      <c r="F1840" s="45" t="s">
        <v>4005</v>
      </c>
      <c r="G1840" s="45" t="s">
        <v>4005</v>
      </c>
    </row>
    <row r="1841">
      <c r="A1841" s="45" t="s">
        <v>1315</v>
      </c>
      <c r="B1841" s="45" t="s">
        <v>3168</v>
      </c>
      <c r="C1841" s="45">
        <v>127.0</v>
      </c>
      <c r="D1841" s="45">
        <v>36091.0</v>
      </c>
      <c r="E1841" s="45" t="s">
        <v>4005</v>
      </c>
      <c r="F1841" s="45" t="s">
        <v>4005</v>
      </c>
      <c r="G1841" s="45" t="s">
        <v>4005</v>
      </c>
    </row>
    <row r="1842">
      <c r="A1842" s="45" t="s">
        <v>1316</v>
      </c>
      <c r="B1842" s="45" t="s">
        <v>3168</v>
      </c>
      <c r="C1842" s="45">
        <v>127.0</v>
      </c>
      <c r="D1842" s="45">
        <v>36093.0</v>
      </c>
      <c r="E1842" s="45" t="s">
        <v>4005</v>
      </c>
      <c r="F1842" s="45" t="s">
        <v>4005</v>
      </c>
      <c r="G1842" s="45" t="s">
        <v>4005</v>
      </c>
    </row>
    <row r="1843">
      <c r="A1843" s="45" t="s">
        <v>1317</v>
      </c>
      <c r="B1843" s="45" t="s">
        <v>3168</v>
      </c>
      <c r="C1843" s="45">
        <v>127.0</v>
      </c>
      <c r="D1843" s="45">
        <v>36095.0</v>
      </c>
      <c r="E1843" s="45" t="s">
        <v>4005</v>
      </c>
      <c r="F1843" s="45" t="s">
        <v>4005</v>
      </c>
      <c r="G1843" s="45" t="s">
        <v>4005</v>
      </c>
    </row>
    <row r="1844">
      <c r="A1844" s="45" t="s">
        <v>652</v>
      </c>
      <c r="B1844" s="45" t="s">
        <v>3168</v>
      </c>
      <c r="C1844" s="45">
        <v>127.0</v>
      </c>
      <c r="D1844" s="45">
        <v>36097.0</v>
      </c>
      <c r="E1844" s="45" t="s">
        <v>4005</v>
      </c>
      <c r="F1844" s="45" t="s">
        <v>4005</v>
      </c>
      <c r="G1844" s="45" t="s">
        <v>4005</v>
      </c>
    </row>
    <row r="1845">
      <c r="A1845" s="45" t="s">
        <v>1318</v>
      </c>
      <c r="B1845" s="45" t="s">
        <v>3168</v>
      </c>
      <c r="C1845" s="45">
        <v>127.0</v>
      </c>
      <c r="D1845" s="45">
        <v>36099.0</v>
      </c>
      <c r="E1845" s="45" t="s">
        <v>4005</v>
      </c>
      <c r="F1845" s="45" t="s">
        <v>4005</v>
      </c>
      <c r="G1845" s="45" t="s">
        <v>4005</v>
      </c>
    </row>
    <row r="1846">
      <c r="A1846" s="45" t="s">
        <v>693</v>
      </c>
      <c r="B1846" s="45" t="s">
        <v>3168</v>
      </c>
      <c r="C1846" s="45">
        <v>127.0</v>
      </c>
      <c r="D1846" s="45">
        <v>36101.0</v>
      </c>
      <c r="E1846" s="45" t="s">
        <v>4005</v>
      </c>
      <c r="F1846" s="45" t="s">
        <v>4005</v>
      </c>
      <c r="G1846" s="45" t="s">
        <v>4005</v>
      </c>
    </row>
    <row r="1847">
      <c r="A1847" s="45" t="s">
        <v>961</v>
      </c>
      <c r="B1847" s="45" t="s">
        <v>3168</v>
      </c>
      <c r="C1847" s="45">
        <v>128.0</v>
      </c>
      <c r="D1847" s="45">
        <v>36103.0</v>
      </c>
      <c r="E1847" s="45" t="s">
        <v>4007</v>
      </c>
      <c r="F1847" s="45" t="s">
        <v>4006</v>
      </c>
      <c r="G1847" s="45" t="s">
        <v>4005</v>
      </c>
    </row>
    <row r="1848">
      <c r="A1848" s="45" t="s">
        <v>694</v>
      </c>
      <c r="B1848" s="45" t="s">
        <v>3168</v>
      </c>
      <c r="C1848" s="45">
        <v>127.0</v>
      </c>
      <c r="D1848" s="45">
        <v>36105.0</v>
      </c>
      <c r="E1848" s="45" t="s">
        <v>4005</v>
      </c>
      <c r="F1848" s="45" t="s">
        <v>4005</v>
      </c>
      <c r="G1848" s="45" t="s">
        <v>4005</v>
      </c>
    </row>
    <row r="1849">
      <c r="A1849" s="45" t="s">
        <v>1319</v>
      </c>
      <c r="B1849" s="45" t="s">
        <v>3168</v>
      </c>
      <c r="C1849" s="45">
        <v>127.0</v>
      </c>
      <c r="D1849" s="45">
        <v>36107.0</v>
      </c>
      <c r="E1849" s="45" t="s">
        <v>4005</v>
      </c>
      <c r="F1849" s="45" t="s">
        <v>4005</v>
      </c>
      <c r="G1849" s="45" t="s">
        <v>4005</v>
      </c>
    </row>
    <row r="1850">
      <c r="A1850" s="45" t="s">
        <v>1320</v>
      </c>
      <c r="B1850" s="45" t="s">
        <v>3168</v>
      </c>
      <c r="C1850" s="45">
        <v>127.0</v>
      </c>
      <c r="D1850" s="45">
        <v>36109.0</v>
      </c>
      <c r="E1850" s="45" t="s">
        <v>4005</v>
      </c>
      <c r="F1850" s="45" t="s">
        <v>4005</v>
      </c>
      <c r="G1850" s="45" t="s">
        <v>4005</v>
      </c>
    </row>
    <row r="1851">
      <c r="A1851" s="45" t="s">
        <v>1321</v>
      </c>
      <c r="B1851" s="45" t="s">
        <v>3168</v>
      </c>
      <c r="C1851" s="45">
        <v>127.0</v>
      </c>
      <c r="D1851" s="45">
        <v>36111.0</v>
      </c>
      <c r="E1851" s="45" t="s">
        <v>4005</v>
      </c>
      <c r="F1851" s="45" t="s">
        <v>4005</v>
      </c>
      <c r="G1851" s="45" t="s">
        <v>4005</v>
      </c>
    </row>
    <row r="1852">
      <c r="A1852" s="45" t="s">
        <v>561</v>
      </c>
      <c r="B1852" s="45" t="s">
        <v>3168</v>
      </c>
      <c r="C1852" s="45">
        <v>127.0</v>
      </c>
      <c r="D1852" s="45">
        <v>36113.0</v>
      </c>
      <c r="E1852" s="45" t="s">
        <v>4005</v>
      </c>
      <c r="F1852" s="45" t="s">
        <v>4005</v>
      </c>
      <c r="G1852" s="45" t="s">
        <v>4005</v>
      </c>
    </row>
    <row r="1853">
      <c r="A1853" s="45" t="s">
        <v>167</v>
      </c>
      <c r="B1853" s="45" t="s">
        <v>3168</v>
      </c>
      <c r="C1853" s="45">
        <v>127.0</v>
      </c>
      <c r="D1853" s="45">
        <v>36115.0</v>
      </c>
      <c r="E1853" s="45" t="s">
        <v>3984</v>
      </c>
      <c r="F1853" s="45" t="s">
        <v>4005</v>
      </c>
      <c r="G1853" s="45" t="s">
        <v>4005</v>
      </c>
    </row>
    <row r="1854">
      <c r="A1854" s="45" t="s">
        <v>562</v>
      </c>
      <c r="B1854" s="45" t="s">
        <v>3168</v>
      </c>
      <c r="C1854" s="45">
        <v>127.0</v>
      </c>
      <c r="D1854" s="45">
        <v>36117.0</v>
      </c>
      <c r="E1854" s="45" t="s">
        <v>4005</v>
      </c>
      <c r="F1854" s="45" t="s">
        <v>4005</v>
      </c>
      <c r="G1854" s="45" t="s">
        <v>4005</v>
      </c>
    </row>
    <row r="1855">
      <c r="A1855" s="45" t="s">
        <v>1322</v>
      </c>
      <c r="B1855" s="45" t="s">
        <v>3168</v>
      </c>
      <c r="C1855" s="45">
        <v>127.0</v>
      </c>
      <c r="D1855" s="45">
        <v>36119.0</v>
      </c>
      <c r="E1855" s="45" t="s">
        <v>4006</v>
      </c>
      <c r="F1855" s="45" t="s">
        <v>4006</v>
      </c>
      <c r="G1855" s="45" t="s">
        <v>4005</v>
      </c>
    </row>
    <row r="1856">
      <c r="A1856" s="45" t="s">
        <v>1323</v>
      </c>
      <c r="B1856" s="45" t="s">
        <v>3168</v>
      </c>
      <c r="C1856" s="45">
        <v>127.0</v>
      </c>
      <c r="D1856" s="45">
        <v>36121.0</v>
      </c>
      <c r="E1856" s="45" t="s">
        <v>4005</v>
      </c>
      <c r="F1856" s="45" t="s">
        <v>4005</v>
      </c>
      <c r="G1856" s="45" t="s">
        <v>4005</v>
      </c>
    </row>
    <row r="1857">
      <c r="A1857" s="45" t="s">
        <v>1324</v>
      </c>
      <c r="B1857" s="45" t="s">
        <v>3168</v>
      </c>
      <c r="C1857" s="45">
        <v>127.0</v>
      </c>
      <c r="D1857" s="45">
        <v>36123.0</v>
      </c>
      <c r="E1857" s="45" t="s">
        <v>4005</v>
      </c>
      <c r="F1857" s="45" t="s">
        <v>4005</v>
      </c>
      <c r="G1857" s="45" t="s">
        <v>4005</v>
      </c>
    </row>
    <row r="1858">
      <c r="A1858" s="45" t="s">
        <v>1325</v>
      </c>
      <c r="B1858" s="45" t="s">
        <v>3200</v>
      </c>
      <c r="C1858" s="45">
        <v>98.0</v>
      </c>
      <c r="D1858" s="45">
        <v>37001.0</v>
      </c>
      <c r="E1858" s="45" t="s">
        <v>4008</v>
      </c>
      <c r="F1858" s="45" t="s">
        <v>4009</v>
      </c>
      <c r="G1858" s="45" t="s">
        <v>4005</v>
      </c>
    </row>
    <row r="1859">
      <c r="A1859" s="45" t="s">
        <v>609</v>
      </c>
      <c r="B1859" s="45" t="s">
        <v>3200</v>
      </c>
      <c r="C1859" s="45">
        <v>97.0</v>
      </c>
      <c r="D1859" s="45">
        <v>37003.0</v>
      </c>
      <c r="E1859" s="45" t="s">
        <v>3970</v>
      </c>
      <c r="F1859" s="45" t="s">
        <v>4009</v>
      </c>
      <c r="G1859" s="45" t="s">
        <v>4005</v>
      </c>
    </row>
    <row r="1860">
      <c r="A1860" s="45" t="s">
        <v>1327</v>
      </c>
      <c r="B1860" s="45" t="s">
        <v>3200</v>
      </c>
      <c r="C1860" s="45">
        <v>97.0</v>
      </c>
      <c r="D1860" s="45">
        <v>37005.0</v>
      </c>
      <c r="E1860" s="45" t="s">
        <v>4008</v>
      </c>
      <c r="F1860" s="45" t="s">
        <v>4009</v>
      </c>
      <c r="G1860" s="45" t="s">
        <v>4005</v>
      </c>
    </row>
    <row r="1861">
      <c r="A1861" s="45" t="s">
        <v>1328</v>
      </c>
      <c r="B1861" s="45" t="s">
        <v>3200</v>
      </c>
      <c r="C1861" s="45">
        <v>97.0</v>
      </c>
      <c r="D1861" s="45">
        <v>37007.0</v>
      </c>
      <c r="E1861" s="45" t="s">
        <v>4008</v>
      </c>
      <c r="F1861" s="45" t="s">
        <v>4009</v>
      </c>
      <c r="G1861" s="45" t="s">
        <v>4005</v>
      </c>
    </row>
    <row r="1862">
      <c r="A1862" s="45" t="s">
        <v>1329</v>
      </c>
      <c r="B1862" s="45" t="s">
        <v>3200</v>
      </c>
      <c r="C1862" s="45">
        <v>97.0</v>
      </c>
      <c r="D1862" s="45">
        <v>37009.0</v>
      </c>
      <c r="E1862" s="45" t="s">
        <v>4008</v>
      </c>
      <c r="F1862" s="45" t="s">
        <v>4009</v>
      </c>
      <c r="G1862" s="45" t="s">
        <v>4005</v>
      </c>
    </row>
    <row r="1863">
      <c r="A1863" s="45" t="s">
        <v>1330</v>
      </c>
      <c r="B1863" s="45" t="s">
        <v>3200</v>
      </c>
      <c r="C1863" s="45">
        <v>97.0</v>
      </c>
      <c r="D1863" s="45">
        <v>37011.0</v>
      </c>
      <c r="E1863" s="45" t="s">
        <v>3970</v>
      </c>
      <c r="F1863" s="45" t="s">
        <v>4009</v>
      </c>
      <c r="G1863" s="45" t="s">
        <v>4005</v>
      </c>
    </row>
    <row r="1864">
      <c r="A1864" s="45" t="s">
        <v>1331</v>
      </c>
      <c r="B1864" s="45" t="s">
        <v>3200</v>
      </c>
      <c r="C1864" s="45">
        <v>98.0</v>
      </c>
      <c r="D1864" s="45">
        <v>37013.0</v>
      </c>
      <c r="E1864" s="45" t="s">
        <v>4008</v>
      </c>
      <c r="F1864" s="45" t="s">
        <v>3988</v>
      </c>
      <c r="G1864" s="45" t="s">
        <v>4005</v>
      </c>
    </row>
    <row r="1865">
      <c r="A1865" s="45" t="s">
        <v>1332</v>
      </c>
      <c r="B1865" s="45" t="s">
        <v>3200</v>
      </c>
      <c r="C1865" s="45">
        <v>98.0</v>
      </c>
      <c r="D1865" s="45">
        <v>37015.0</v>
      </c>
      <c r="E1865" s="45" t="s">
        <v>4008</v>
      </c>
      <c r="F1865" s="45" t="s">
        <v>3988</v>
      </c>
      <c r="G1865" s="45" t="s">
        <v>4005</v>
      </c>
    </row>
    <row r="1866">
      <c r="A1866" s="45" t="s">
        <v>1333</v>
      </c>
      <c r="B1866" s="45" t="s">
        <v>3200</v>
      </c>
      <c r="C1866" s="45">
        <v>98.0</v>
      </c>
      <c r="D1866" s="45">
        <v>37017.0</v>
      </c>
      <c r="E1866" s="45" t="s">
        <v>4008</v>
      </c>
      <c r="F1866" s="45" t="s">
        <v>4009</v>
      </c>
      <c r="G1866" s="45" t="s">
        <v>4005</v>
      </c>
    </row>
    <row r="1867">
      <c r="A1867" s="45" t="s">
        <v>1334</v>
      </c>
      <c r="B1867" s="45" t="s">
        <v>3200</v>
      </c>
      <c r="C1867" s="45">
        <v>98.0</v>
      </c>
      <c r="D1867" s="45">
        <v>37019.0</v>
      </c>
      <c r="E1867" s="45" t="s">
        <v>4008</v>
      </c>
      <c r="F1867" s="45" t="s">
        <v>4009</v>
      </c>
      <c r="G1867" s="45" t="s">
        <v>4005</v>
      </c>
    </row>
    <row r="1868">
      <c r="A1868" s="45" t="s">
        <v>1335</v>
      </c>
      <c r="B1868" s="45" t="s">
        <v>3200</v>
      </c>
      <c r="C1868" s="45">
        <v>97.0</v>
      </c>
      <c r="D1868" s="45">
        <v>37021.0</v>
      </c>
      <c r="E1868" s="45" t="s">
        <v>3970</v>
      </c>
      <c r="F1868" s="45" t="s">
        <v>4009</v>
      </c>
      <c r="G1868" s="45" t="s">
        <v>4005</v>
      </c>
    </row>
    <row r="1869">
      <c r="A1869" s="45" t="s">
        <v>474</v>
      </c>
      <c r="B1869" s="45" t="s">
        <v>3200</v>
      </c>
      <c r="C1869" s="45">
        <v>97.0</v>
      </c>
      <c r="D1869" s="45">
        <v>37023.0</v>
      </c>
      <c r="E1869" s="45" t="s">
        <v>3970</v>
      </c>
      <c r="F1869" s="45" t="s">
        <v>4009</v>
      </c>
      <c r="G1869" s="45" t="s">
        <v>4005</v>
      </c>
    </row>
    <row r="1870">
      <c r="A1870" s="45" t="s">
        <v>1336</v>
      </c>
      <c r="B1870" s="45" t="s">
        <v>3200</v>
      </c>
      <c r="C1870" s="45">
        <v>97.0</v>
      </c>
      <c r="D1870" s="45">
        <v>37025.0</v>
      </c>
      <c r="E1870" s="45" t="s">
        <v>4008</v>
      </c>
      <c r="F1870" s="45" t="s">
        <v>4009</v>
      </c>
      <c r="G1870" s="45" t="s">
        <v>4005</v>
      </c>
    </row>
    <row r="1871">
      <c r="A1871" s="45" t="s">
        <v>829</v>
      </c>
      <c r="B1871" s="45" t="s">
        <v>3200</v>
      </c>
      <c r="C1871" s="45">
        <v>97.0</v>
      </c>
      <c r="D1871" s="45">
        <v>37027.0</v>
      </c>
      <c r="E1871" s="45" t="s">
        <v>3970</v>
      </c>
      <c r="F1871" s="45" t="s">
        <v>4009</v>
      </c>
      <c r="G1871" s="45" t="s">
        <v>4005</v>
      </c>
    </row>
    <row r="1872">
      <c r="A1872" s="45" t="s">
        <v>476</v>
      </c>
      <c r="B1872" s="45" t="s">
        <v>3200</v>
      </c>
      <c r="C1872" s="45">
        <v>98.0</v>
      </c>
      <c r="D1872" s="45">
        <v>37029.0</v>
      </c>
      <c r="E1872" s="45" t="s">
        <v>4008</v>
      </c>
      <c r="F1872" s="45" t="s">
        <v>3988</v>
      </c>
      <c r="G1872" s="45" t="s">
        <v>4005</v>
      </c>
    </row>
    <row r="1873">
      <c r="A1873" s="45" t="s">
        <v>1337</v>
      </c>
      <c r="B1873" s="45" t="s">
        <v>3200</v>
      </c>
      <c r="C1873" s="45">
        <v>98.0</v>
      </c>
      <c r="D1873" s="45">
        <v>37031.0</v>
      </c>
      <c r="E1873" s="45" t="s">
        <v>4008</v>
      </c>
      <c r="F1873" s="45" t="s">
        <v>4009</v>
      </c>
      <c r="G1873" s="45" t="s">
        <v>4005</v>
      </c>
    </row>
    <row r="1874">
      <c r="A1874" s="45" t="s">
        <v>1338</v>
      </c>
      <c r="B1874" s="45" t="s">
        <v>3200</v>
      </c>
      <c r="C1874" s="45">
        <v>98.0</v>
      </c>
      <c r="D1874" s="45">
        <v>37033.0</v>
      </c>
      <c r="E1874" s="45" t="s">
        <v>4008</v>
      </c>
      <c r="F1874" s="45" t="s">
        <v>4009</v>
      </c>
      <c r="G1874" s="45" t="s">
        <v>4005</v>
      </c>
    </row>
    <row r="1875">
      <c r="A1875" s="45" t="s">
        <v>1339</v>
      </c>
      <c r="B1875" s="45" t="s">
        <v>3200</v>
      </c>
      <c r="C1875" s="45">
        <v>97.0</v>
      </c>
      <c r="D1875" s="45">
        <v>37035.0</v>
      </c>
      <c r="E1875" s="45" t="s">
        <v>4008</v>
      </c>
      <c r="F1875" s="45" t="s">
        <v>4009</v>
      </c>
      <c r="G1875" s="45" t="s">
        <v>4005</v>
      </c>
    </row>
    <row r="1876">
      <c r="A1876" s="45" t="s">
        <v>480</v>
      </c>
      <c r="B1876" s="45" t="s">
        <v>3200</v>
      </c>
      <c r="C1876" s="45">
        <v>98.0</v>
      </c>
      <c r="D1876" s="45">
        <v>37037.0</v>
      </c>
      <c r="E1876" s="45" t="s">
        <v>4008</v>
      </c>
      <c r="F1876" s="45" t="s">
        <v>4009</v>
      </c>
      <c r="G1876" s="45" t="s">
        <v>4005</v>
      </c>
    </row>
    <row r="1877">
      <c r="A1877" s="45" t="s">
        <v>112</v>
      </c>
      <c r="B1877" s="45" t="s">
        <v>3200</v>
      </c>
      <c r="C1877" s="45">
        <v>97.0</v>
      </c>
      <c r="D1877" s="45">
        <v>37039.0</v>
      </c>
      <c r="E1877" s="45" t="s">
        <v>3970</v>
      </c>
      <c r="F1877" s="45" t="s">
        <v>4009</v>
      </c>
      <c r="G1877" s="45" t="s">
        <v>4005</v>
      </c>
    </row>
    <row r="1878">
      <c r="A1878" s="45" t="s">
        <v>1340</v>
      </c>
      <c r="B1878" s="45" t="s">
        <v>3200</v>
      </c>
      <c r="C1878" s="45">
        <v>98.0</v>
      </c>
      <c r="D1878" s="45">
        <v>37041.0</v>
      </c>
      <c r="E1878" s="45" t="s">
        <v>4008</v>
      </c>
      <c r="F1878" s="45" t="s">
        <v>3988</v>
      </c>
      <c r="G1878" s="45" t="s">
        <v>4005</v>
      </c>
    </row>
    <row r="1879">
      <c r="A1879" s="45" t="s">
        <v>116</v>
      </c>
      <c r="B1879" s="45" t="s">
        <v>3200</v>
      </c>
      <c r="C1879" s="45">
        <v>97.0</v>
      </c>
      <c r="D1879" s="45">
        <v>37043.0</v>
      </c>
      <c r="E1879" s="45" t="s">
        <v>3969</v>
      </c>
      <c r="F1879" s="45" t="s">
        <v>4009</v>
      </c>
      <c r="G1879" s="45" t="s">
        <v>4005</v>
      </c>
    </row>
    <row r="1880">
      <c r="A1880" s="45" t="s">
        <v>230</v>
      </c>
      <c r="B1880" s="45" t="s">
        <v>3200</v>
      </c>
      <c r="C1880" s="45">
        <v>97.0</v>
      </c>
      <c r="D1880" s="45">
        <v>37045.0</v>
      </c>
      <c r="E1880" s="45" t="s">
        <v>3970</v>
      </c>
      <c r="F1880" s="45" t="s">
        <v>4009</v>
      </c>
      <c r="G1880" s="45" t="s">
        <v>4005</v>
      </c>
    </row>
    <row r="1881">
      <c r="A1881" s="45" t="s">
        <v>1341</v>
      </c>
      <c r="B1881" s="45" t="s">
        <v>3200</v>
      </c>
      <c r="C1881" s="45">
        <v>98.0</v>
      </c>
      <c r="D1881" s="45">
        <v>37047.0</v>
      </c>
      <c r="E1881" s="45" t="s">
        <v>4008</v>
      </c>
      <c r="F1881" s="45" t="s">
        <v>4009</v>
      </c>
      <c r="G1881" s="45" t="s">
        <v>4005</v>
      </c>
    </row>
    <row r="1882">
      <c r="A1882" s="45" t="s">
        <v>1342</v>
      </c>
      <c r="B1882" s="45" t="s">
        <v>3200</v>
      </c>
      <c r="C1882" s="45">
        <v>98.0</v>
      </c>
      <c r="D1882" s="45">
        <v>37049.0</v>
      </c>
      <c r="E1882" s="45" t="s">
        <v>4008</v>
      </c>
      <c r="F1882" s="45" t="s">
        <v>4009</v>
      </c>
      <c r="G1882" s="45" t="s">
        <v>4005</v>
      </c>
    </row>
    <row r="1883">
      <c r="A1883" s="45" t="s">
        <v>618</v>
      </c>
      <c r="B1883" s="45" t="s">
        <v>3200</v>
      </c>
      <c r="C1883" s="45">
        <v>98.0</v>
      </c>
      <c r="D1883" s="45">
        <v>37051.0</v>
      </c>
      <c r="E1883" s="45" t="s">
        <v>4008</v>
      </c>
      <c r="F1883" s="45" t="s">
        <v>4009</v>
      </c>
      <c r="G1883" s="45" t="s">
        <v>4005</v>
      </c>
    </row>
    <row r="1884">
      <c r="A1884" s="45" t="s">
        <v>1343</v>
      </c>
      <c r="B1884" s="45" t="s">
        <v>3200</v>
      </c>
      <c r="C1884" s="45">
        <v>98.0</v>
      </c>
      <c r="D1884" s="45">
        <v>37053.0</v>
      </c>
      <c r="E1884" s="45" t="s">
        <v>4008</v>
      </c>
      <c r="F1884" s="45" t="s">
        <v>3988</v>
      </c>
      <c r="G1884" s="45" t="s">
        <v>4005</v>
      </c>
    </row>
    <row r="1885">
      <c r="A1885" s="45" t="s">
        <v>1344</v>
      </c>
      <c r="B1885" s="45" t="s">
        <v>3200</v>
      </c>
      <c r="C1885" s="45">
        <v>98.0</v>
      </c>
      <c r="D1885" s="45">
        <v>37055.0</v>
      </c>
      <c r="E1885" s="45" t="s">
        <v>4008</v>
      </c>
      <c r="F1885" s="45" t="s">
        <v>3988</v>
      </c>
      <c r="G1885" s="45" t="s">
        <v>4005</v>
      </c>
    </row>
    <row r="1886">
      <c r="A1886" s="45" t="s">
        <v>1345</v>
      </c>
      <c r="B1886" s="45" t="s">
        <v>3200</v>
      </c>
      <c r="C1886" s="45">
        <v>97.0</v>
      </c>
      <c r="D1886" s="45">
        <v>37057.0</v>
      </c>
      <c r="E1886" s="45" t="s">
        <v>4008</v>
      </c>
      <c r="F1886" s="45" t="s">
        <v>4009</v>
      </c>
      <c r="G1886" s="45" t="s">
        <v>4005</v>
      </c>
    </row>
    <row r="1887">
      <c r="A1887" s="45" t="s">
        <v>1346</v>
      </c>
      <c r="B1887" s="45" t="s">
        <v>3200</v>
      </c>
      <c r="C1887" s="45">
        <v>97.0</v>
      </c>
      <c r="D1887" s="45">
        <v>37059.0</v>
      </c>
      <c r="E1887" s="45" t="s">
        <v>4008</v>
      </c>
      <c r="F1887" s="45" t="s">
        <v>4009</v>
      </c>
      <c r="G1887" s="45" t="s">
        <v>4005</v>
      </c>
    </row>
    <row r="1888">
      <c r="A1888" s="45" t="s">
        <v>1347</v>
      </c>
      <c r="B1888" s="45" t="s">
        <v>3200</v>
      </c>
      <c r="C1888" s="45">
        <v>98.0</v>
      </c>
      <c r="D1888" s="45">
        <v>37061.0</v>
      </c>
      <c r="E1888" s="45" t="s">
        <v>4008</v>
      </c>
      <c r="F1888" s="45" t="s">
        <v>4009</v>
      </c>
      <c r="G1888" s="45" t="s">
        <v>4005</v>
      </c>
    </row>
    <row r="1889">
      <c r="A1889" s="45" t="s">
        <v>1348</v>
      </c>
      <c r="B1889" s="45" t="s">
        <v>3200</v>
      </c>
      <c r="C1889" s="45">
        <v>98.0</v>
      </c>
      <c r="D1889" s="45">
        <v>37063.0</v>
      </c>
      <c r="E1889" s="45" t="s">
        <v>4008</v>
      </c>
      <c r="F1889" s="45" t="s">
        <v>4009</v>
      </c>
      <c r="G1889" s="45" t="s">
        <v>4005</v>
      </c>
    </row>
    <row r="1890">
      <c r="A1890" s="45" t="s">
        <v>1349</v>
      </c>
      <c r="B1890" s="45" t="s">
        <v>3200</v>
      </c>
      <c r="C1890" s="45">
        <v>98.0</v>
      </c>
      <c r="D1890" s="45">
        <v>37065.0</v>
      </c>
      <c r="E1890" s="45" t="s">
        <v>4008</v>
      </c>
      <c r="F1890" s="45" t="s">
        <v>3988</v>
      </c>
      <c r="G1890" s="45" t="s">
        <v>4006</v>
      </c>
    </row>
    <row r="1891">
      <c r="A1891" s="45" t="s">
        <v>503</v>
      </c>
      <c r="B1891" s="45" t="s">
        <v>3200</v>
      </c>
      <c r="C1891" s="45">
        <v>97.0</v>
      </c>
      <c r="D1891" s="45">
        <v>37067.0</v>
      </c>
      <c r="E1891" s="45" t="s">
        <v>4008</v>
      </c>
      <c r="F1891" s="45" t="s">
        <v>4009</v>
      </c>
      <c r="G1891" s="45" t="s">
        <v>4006</v>
      </c>
    </row>
    <row r="1892">
      <c r="A1892" s="45" t="s">
        <v>132</v>
      </c>
      <c r="B1892" s="45" t="s">
        <v>3200</v>
      </c>
      <c r="C1892" s="45">
        <v>98.0</v>
      </c>
      <c r="D1892" s="45">
        <v>37069.0</v>
      </c>
      <c r="E1892" s="45" t="s">
        <v>4008</v>
      </c>
      <c r="F1892" s="45" t="s">
        <v>4009</v>
      </c>
      <c r="G1892" s="45" t="s">
        <v>4009</v>
      </c>
    </row>
    <row r="1893">
      <c r="A1893" s="45" t="s">
        <v>1350</v>
      </c>
      <c r="B1893" s="45" t="s">
        <v>3200</v>
      </c>
      <c r="C1893" s="45">
        <v>97.0</v>
      </c>
      <c r="D1893" s="45">
        <v>37071.0</v>
      </c>
      <c r="E1893" s="45" t="s">
        <v>4008</v>
      </c>
      <c r="F1893" s="45" t="s">
        <v>4009</v>
      </c>
      <c r="G1893" s="45" t="s">
        <v>4009</v>
      </c>
    </row>
    <row r="1894">
      <c r="A1894" s="45" t="s">
        <v>1351</v>
      </c>
      <c r="B1894" s="45" t="s">
        <v>3200</v>
      </c>
      <c r="C1894" s="45">
        <v>98.0</v>
      </c>
      <c r="D1894" s="45">
        <v>37073.0</v>
      </c>
      <c r="E1894" s="45" t="s">
        <v>4008</v>
      </c>
      <c r="F1894" s="45" t="s">
        <v>3988</v>
      </c>
      <c r="G1894" s="45" t="s">
        <v>4009</v>
      </c>
    </row>
    <row r="1895">
      <c r="A1895" s="45" t="s">
        <v>208</v>
      </c>
      <c r="B1895" s="45" t="s">
        <v>3200</v>
      </c>
      <c r="C1895" s="45">
        <v>97.0</v>
      </c>
      <c r="D1895" s="45">
        <v>37075.0</v>
      </c>
      <c r="E1895" s="45" t="s">
        <v>3970</v>
      </c>
      <c r="F1895" s="45" t="s">
        <v>4009</v>
      </c>
      <c r="G1895" s="45" t="s">
        <v>4009</v>
      </c>
    </row>
    <row r="1896">
      <c r="A1896" s="45" t="s">
        <v>1352</v>
      </c>
      <c r="B1896" s="45" t="s">
        <v>3200</v>
      </c>
      <c r="C1896" s="45">
        <v>98.0</v>
      </c>
      <c r="D1896" s="45">
        <v>37077.0</v>
      </c>
      <c r="E1896" s="45" t="s">
        <v>4008</v>
      </c>
      <c r="F1896" s="45" t="s">
        <v>3988</v>
      </c>
      <c r="G1896" s="45" t="s">
        <v>4009</v>
      </c>
    </row>
    <row r="1897">
      <c r="A1897" s="45" t="s">
        <v>134</v>
      </c>
      <c r="B1897" s="45" t="s">
        <v>3200</v>
      </c>
      <c r="C1897" s="45">
        <v>98.0</v>
      </c>
      <c r="D1897" s="45">
        <v>37079.0</v>
      </c>
      <c r="E1897" s="45" t="s">
        <v>4008</v>
      </c>
      <c r="F1897" s="45" t="s">
        <v>4009</v>
      </c>
      <c r="G1897" s="45" t="s">
        <v>4009</v>
      </c>
    </row>
    <row r="1898">
      <c r="A1898" s="45" t="s">
        <v>1353</v>
      </c>
      <c r="B1898" s="45" t="s">
        <v>3200</v>
      </c>
      <c r="C1898" s="45">
        <v>97.0</v>
      </c>
      <c r="D1898" s="45">
        <v>37081.0</v>
      </c>
      <c r="E1898" s="45" t="s">
        <v>4008</v>
      </c>
      <c r="F1898" s="45" t="s">
        <v>4009</v>
      </c>
      <c r="G1898" s="45" t="s">
        <v>4009</v>
      </c>
    </row>
    <row r="1899">
      <c r="A1899" s="45" t="s">
        <v>1354</v>
      </c>
      <c r="B1899" s="45" t="s">
        <v>3200</v>
      </c>
      <c r="C1899" s="45">
        <v>98.0</v>
      </c>
      <c r="D1899" s="45">
        <v>37083.0</v>
      </c>
      <c r="E1899" s="45" t="s">
        <v>4008</v>
      </c>
      <c r="F1899" s="45" t="s">
        <v>3988</v>
      </c>
      <c r="G1899" s="45" t="s">
        <v>4009</v>
      </c>
    </row>
    <row r="1900">
      <c r="A1900" s="45" t="s">
        <v>1355</v>
      </c>
      <c r="B1900" s="45" t="s">
        <v>3200</v>
      </c>
      <c r="C1900" s="45">
        <v>98.0</v>
      </c>
      <c r="D1900" s="45">
        <v>37085.0</v>
      </c>
      <c r="E1900" s="45" t="s">
        <v>4008</v>
      </c>
      <c r="F1900" s="45" t="s">
        <v>4009</v>
      </c>
      <c r="G1900" s="45" t="s">
        <v>4009</v>
      </c>
    </row>
    <row r="1901">
      <c r="A1901" s="45" t="s">
        <v>1356</v>
      </c>
      <c r="B1901" s="45" t="s">
        <v>3200</v>
      </c>
      <c r="C1901" s="45">
        <v>97.0</v>
      </c>
      <c r="D1901" s="45">
        <v>37087.0</v>
      </c>
      <c r="E1901" s="45" t="s">
        <v>3970</v>
      </c>
      <c r="F1901" s="45" t="s">
        <v>4009</v>
      </c>
      <c r="G1901" s="45" t="s">
        <v>4009</v>
      </c>
    </row>
    <row r="1902">
      <c r="A1902" s="45" t="s">
        <v>627</v>
      </c>
      <c r="B1902" s="45" t="s">
        <v>3200</v>
      </c>
      <c r="C1902" s="45">
        <v>97.0</v>
      </c>
      <c r="D1902" s="45">
        <v>37089.0</v>
      </c>
      <c r="E1902" s="45" t="s">
        <v>3970</v>
      </c>
      <c r="F1902" s="45" t="s">
        <v>4009</v>
      </c>
      <c r="G1902" s="45" t="s">
        <v>4009</v>
      </c>
    </row>
    <row r="1903">
      <c r="A1903" s="45" t="s">
        <v>1357</v>
      </c>
      <c r="B1903" s="45" t="s">
        <v>3200</v>
      </c>
      <c r="C1903" s="45">
        <v>98.0</v>
      </c>
      <c r="D1903" s="45">
        <v>37091.0</v>
      </c>
      <c r="E1903" s="45" t="s">
        <v>4008</v>
      </c>
      <c r="F1903" s="45" t="s">
        <v>3988</v>
      </c>
      <c r="G1903" s="45" t="s">
        <v>4009</v>
      </c>
    </row>
    <row r="1904">
      <c r="A1904" s="45" t="s">
        <v>1358</v>
      </c>
      <c r="B1904" s="45" t="s">
        <v>3200</v>
      </c>
      <c r="C1904" s="45">
        <v>98.0</v>
      </c>
      <c r="D1904" s="45">
        <v>37093.0</v>
      </c>
      <c r="E1904" s="45" t="s">
        <v>4008</v>
      </c>
      <c r="F1904" s="45" t="s">
        <v>4009</v>
      </c>
      <c r="G1904" s="45" t="s">
        <v>4009</v>
      </c>
    </row>
    <row r="1905">
      <c r="A1905" s="45" t="s">
        <v>1359</v>
      </c>
      <c r="B1905" s="45" t="s">
        <v>3200</v>
      </c>
      <c r="C1905" s="45">
        <v>98.0</v>
      </c>
      <c r="D1905" s="45">
        <v>37095.0</v>
      </c>
      <c r="E1905" s="45" t="s">
        <v>4008</v>
      </c>
      <c r="F1905" s="45" t="s">
        <v>3988</v>
      </c>
      <c r="G1905" s="45" t="s">
        <v>4009</v>
      </c>
    </row>
    <row r="1906">
      <c r="A1906" s="45" t="s">
        <v>1360</v>
      </c>
      <c r="B1906" s="45" t="s">
        <v>3200</v>
      </c>
      <c r="C1906" s="45">
        <v>97.0</v>
      </c>
      <c r="D1906" s="45">
        <v>37097.0</v>
      </c>
      <c r="E1906" s="45" t="s">
        <v>4008</v>
      </c>
      <c r="F1906" s="45" t="s">
        <v>4009</v>
      </c>
      <c r="G1906" s="45" t="s">
        <v>4009</v>
      </c>
    </row>
    <row r="1907">
      <c r="A1907" s="45" t="s">
        <v>138</v>
      </c>
      <c r="B1907" s="45" t="s">
        <v>3200</v>
      </c>
      <c r="C1907" s="45">
        <v>97.0</v>
      </c>
      <c r="D1907" s="45">
        <v>37099.0</v>
      </c>
      <c r="E1907" s="45" t="s">
        <v>3969</v>
      </c>
      <c r="F1907" s="45" t="s">
        <v>4009</v>
      </c>
      <c r="G1907" s="45" t="s">
        <v>4009</v>
      </c>
    </row>
    <row r="1908">
      <c r="A1908" s="45" t="s">
        <v>1361</v>
      </c>
      <c r="B1908" s="45" t="s">
        <v>3200</v>
      </c>
      <c r="C1908" s="45">
        <v>98.0</v>
      </c>
      <c r="D1908" s="45">
        <v>37101.0</v>
      </c>
      <c r="E1908" s="45" t="s">
        <v>4008</v>
      </c>
      <c r="F1908" s="45" t="s">
        <v>4009</v>
      </c>
      <c r="G1908" s="45" t="s">
        <v>4009</v>
      </c>
    </row>
    <row r="1909">
      <c r="A1909" s="45" t="s">
        <v>521</v>
      </c>
      <c r="B1909" s="45" t="s">
        <v>3200</v>
      </c>
      <c r="C1909" s="45">
        <v>98.0</v>
      </c>
      <c r="D1909" s="45">
        <v>37103.0</v>
      </c>
      <c r="E1909" s="45" t="s">
        <v>4008</v>
      </c>
      <c r="F1909" s="45" t="s">
        <v>4009</v>
      </c>
      <c r="G1909" s="45" t="s">
        <v>4009</v>
      </c>
    </row>
    <row r="1910">
      <c r="A1910" s="45" t="s">
        <v>143</v>
      </c>
      <c r="B1910" s="45" t="s">
        <v>3200</v>
      </c>
      <c r="C1910" s="45">
        <v>98.0</v>
      </c>
      <c r="D1910" s="45">
        <v>37105.0</v>
      </c>
      <c r="E1910" s="45" t="s">
        <v>4008</v>
      </c>
      <c r="F1910" s="45" t="s">
        <v>4009</v>
      </c>
      <c r="G1910" s="45" t="s">
        <v>4009</v>
      </c>
    </row>
    <row r="1911">
      <c r="A1911" s="45" t="s">
        <v>1362</v>
      </c>
      <c r="B1911" s="45" t="s">
        <v>3200</v>
      </c>
      <c r="C1911" s="45">
        <v>98.0</v>
      </c>
      <c r="D1911" s="45">
        <v>37107.0</v>
      </c>
      <c r="E1911" s="45" t="s">
        <v>4008</v>
      </c>
      <c r="F1911" s="45" t="s">
        <v>4009</v>
      </c>
      <c r="G1911" s="45" t="s">
        <v>4009</v>
      </c>
    </row>
    <row r="1912">
      <c r="A1912" s="45" t="s">
        <v>250</v>
      </c>
      <c r="B1912" s="45" t="s">
        <v>3200</v>
      </c>
      <c r="C1912" s="45">
        <v>97.0</v>
      </c>
      <c r="D1912" s="45">
        <v>37109.0</v>
      </c>
      <c r="E1912" s="45" t="s">
        <v>4008</v>
      </c>
      <c r="F1912" s="45" t="s">
        <v>4009</v>
      </c>
      <c r="G1912" s="45" t="s">
        <v>4009</v>
      </c>
    </row>
    <row r="1913">
      <c r="A1913" s="45" t="s">
        <v>1363</v>
      </c>
      <c r="B1913" s="45" t="s">
        <v>3200</v>
      </c>
      <c r="C1913" s="45">
        <v>97.0</v>
      </c>
      <c r="D1913" s="45">
        <v>37111.0</v>
      </c>
      <c r="E1913" s="45" t="s">
        <v>3970</v>
      </c>
      <c r="F1913" s="45" t="s">
        <v>4009</v>
      </c>
      <c r="G1913" s="45" t="s">
        <v>4009</v>
      </c>
    </row>
    <row r="1914">
      <c r="A1914" s="45" t="s">
        <v>146</v>
      </c>
      <c r="B1914" s="45" t="s">
        <v>3200</v>
      </c>
      <c r="C1914" s="45">
        <v>97.0</v>
      </c>
      <c r="D1914" s="45">
        <v>37113.0</v>
      </c>
      <c r="E1914" s="45" t="s">
        <v>3969</v>
      </c>
      <c r="F1914" s="45" t="s">
        <v>4009</v>
      </c>
      <c r="G1914" s="45" t="s">
        <v>4009</v>
      </c>
    </row>
    <row r="1915">
      <c r="A1915" s="45" t="s">
        <v>147</v>
      </c>
      <c r="B1915" s="45" t="s">
        <v>3200</v>
      </c>
      <c r="C1915" s="45">
        <v>97.0</v>
      </c>
      <c r="D1915" s="45">
        <v>37115.0</v>
      </c>
      <c r="E1915" s="45" t="s">
        <v>3970</v>
      </c>
      <c r="F1915" s="45" t="s">
        <v>4009</v>
      </c>
      <c r="G1915" s="45" t="s">
        <v>4009</v>
      </c>
    </row>
    <row r="1916">
      <c r="A1916" s="45" t="s">
        <v>440</v>
      </c>
      <c r="B1916" s="45" t="s">
        <v>3200</v>
      </c>
      <c r="C1916" s="45">
        <v>98.0</v>
      </c>
      <c r="D1916" s="45">
        <v>37117.0</v>
      </c>
      <c r="E1916" s="45" t="s">
        <v>4008</v>
      </c>
      <c r="F1916" s="45" t="s">
        <v>3988</v>
      </c>
      <c r="G1916" s="45" t="s">
        <v>4009</v>
      </c>
    </row>
    <row r="1917">
      <c r="A1917" s="45" t="s">
        <v>1364</v>
      </c>
      <c r="B1917" s="45" t="s">
        <v>3200</v>
      </c>
      <c r="C1917" s="45">
        <v>97.0</v>
      </c>
      <c r="D1917" s="45">
        <v>37119.0</v>
      </c>
      <c r="E1917" s="45" t="s">
        <v>4008</v>
      </c>
      <c r="F1917" s="45" t="s">
        <v>4009</v>
      </c>
      <c r="G1917" s="45" t="s">
        <v>4009</v>
      </c>
    </row>
    <row r="1918">
      <c r="A1918" s="45" t="s">
        <v>529</v>
      </c>
      <c r="B1918" s="45" t="s">
        <v>3200</v>
      </c>
      <c r="C1918" s="45">
        <v>97.0</v>
      </c>
      <c r="D1918" s="45">
        <v>37121.0</v>
      </c>
      <c r="E1918" s="45" t="s">
        <v>3970</v>
      </c>
      <c r="F1918" s="45" t="s">
        <v>4009</v>
      </c>
      <c r="G1918" s="45" t="s">
        <v>4009</v>
      </c>
    </row>
    <row r="1919">
      <c r="A1919" s="45" t="s">
        <v>153</v>
      </c>
      <c r="B1919" s="45" t="s">
        <v>3200</v>
      </c>
      <c r="C1919" s="45">
        <v>98.0</v>
      </c>
      <c r="D1919" s="45">
        <v>37123.0</v>
      </c>
      <c r="E1919" s="45" t="s">
        <v>4008</v>
      </c>
      <c r="F1919" s="45" t="s">
        <v>4009</v>
      </c>
      <c r="G1919" s="45" t="s">
        <v>4009</v>
      </c>
    </row>
    <row r="1920">
      <c r="A1920" s="45" t="s">
        <v>1365</v>
      </c>
      <c r="B1920" s="45" t="s">
        <v>3200</v>
      </c>
      <c r="C1920" s="45">
        <v>98.0</v>
      </c>
      <c r="D1920" s="45">
        <v>37125.0</v>
      </c>
      <c r="E1920" s="45" t="s">
        <v>4008</v>
      </c>
      <c r="F1920" s="45" t="s">
        <v>4009</v>
      </c>
      <c r="G1920" s="45" t="s">
        <v>4009</v>
      </c>
    </row>
    <row r="1921">
      <c r="A1921" s="45" t="s">
        <v>1366</v>
      </c>
      <c r="B1921" s="45" t="s">
        <v>3200</v>
      </c>
      <c r="C1921" s="45">
        <v>98.0</v>
      </c>
      <c r="D1921" s="45">
        <v>37127.0</v>
      </c>
      <c r="E1921" s="45" t="s">
        <v>4008</v>
      </c>
      <c r="F1921" s="45" t="s">
        <v>3988</v>
      </c>
      <c r="G1921" s="45" t="s">
        <v>4009</v>
      </c>
    </row>
    <row r="1922">
      <c r="A1922" s="45" t="s">
        <v>1367</v>
      </c>
      <c r="B1922" s="45" t="s">
        <v>3200</v>
      </c>
      <c r="C1922" s="45">
        <v>98.0</v>
      </c>
      <c r="D1922" s="45">
        <v>37129.0</v>
      </c>
      <c r="E1922" s="45" t="s">
        <v>4008</v>
      </c>
      <c r="F1922" s="45" t="s">
        <v>4009</v>
      </c>
      <c r="G1922" s="45" t="s">
        <v>4009</v>
      </c>
    </row>
    <row r="1923">
      <c r="A1923" s="45" t="s">
        <v>1368</v>
      </c>
      <c r="B1923" s="45" t="s">
        <v>3200</v>
      </c>
      <c r="C1923" s="45">
        <v>98.0</v>
      </c>
      <c r="D1923" s="45">
        <v>37131.0</v>
      </c>
      <c r="E1923" s="45" t="s">
        <v>4008</v>
      </c>
      <c r="F1923" s="45" t="s">
        <v>3988</v>
      </c>
      <c r="G1923" s="45" t="s">
        <v>4009</v>
      </c>
    </row>
    <row r="1924">
      <c r="A1924" s="45" t="s">
        <v>1369</v>
      </c>
      <c r="B1924" s="45" t="s">
        <v>3200</v>
      </c>
      <c r="C1924" s="45">
        <v>98.0</v>
      </c>
      <c r="D1924" s="45">
        <v>37133.0</v>
      </c>
      <c r="E1924" s="45" t="s">
        <v>4008</v>
      </c>
      <c r="F1924" s="45" t="s">
        <v>4009</v>
      </c>
      <c r="G1924" s="45" t="s">
        <v>4009</v>
      </c>
    </row>
    <row r="1925">
      <c r="A1925" s="45" t="s">
        <v>310</v>
      </c>
      <c r="B1925" s="45" t="s">
        <v>3200</v>
      </c>
      <c r="C1925" s="45">
        <v>98.0</v>
      </c>
      <c r="D1925" s="45">
        <v>37135.0</v>
      </c>
      <c r="E1925" s="45" t="s">
        <v>4008</v>
      </c>
      <c r="F1925" s="45" t="s">
        <v>4009</v>
      </c>
      <c r="G1925" s="45" t="s">
        <v>4009</v>
      </c>
    </row>
    <row r="1926">
      <c r="A1926" s="45" t="s">
        <v>1370</v>
      </c>
      <c r="B1926" s="45" t="s">
        <v>3200</v>
      </c>
      <c r="C1926" s="45">
        <v>98.0</v>
      </c>
      <c r="D1926" s="45">
        <v>37137.0</v>
      </c>
      <c r="E1926" s="45" t="s">
        <v>4008</v>
      </c>
      <c r="F1926" s="45" t="s">
        <v>4009</v>
      </c>
      <c r="G1926" s="45" t="s">
        <v>4009</v>
      </c>
    </row>
    <row r="1927">
      <c r="A1927" s="45" t="s">
        <v>1371</v>
      </c>
      <c r="B1927" s="45" t="s">
        <v>3200</v>
      </c>
      <c r="C1927" s="45">
        <v>98.0</v>
      </c>
      <c r="D1927" s="45">
        <v>37139.0</v>
      </c>
      <c r="E1927" s="45" t="s">
        <v>4008</v>
      </c>
      <c r="F1927" s="45" t="s">
        <v>3988</v>
      </c>
      <c r="G1927" s="45" t="s">
        <v>4009</v>
      </c>
    </row>
    <row r="1928">
      <c r="A1928" s="45" t="s">
        <v>1372</v>
      </c>
      <c r="B1928" s="45" t="s">
        <v>3200</v>
      </c>
      <c r="C1928" s="45">
        <v>98.0</v>
      </c>
      <c r="D1928" s="45">
        <v>37141.0</v>
      </c>
      <c r="E1928" s="45" t="s">
        <v>4008</v>
      </c>
      <c r="F1928" s="45" t="s">
        <v>4009</v>
      </c>
      <c r="G1928" s="45" t="s">
        <v>4009</v>
      </c>
    </row>
    <row r="1929">
      <c r="A1929" s="45" t="s">
        <v>1373</v>
      </c>
      <c r="B1929" s="45" t="s">
        <v>3200</v>
      </c>
      <c r="C1929" s="45">
        <v>98.0</v>
      </c>
      <c r="D1929" s="45">
        <v>37143.0</v>
      </c>
      <c r="E1929" s="45" t="s">
        <v>4008</v>
      </c>
      <c r="F1929" s="45" t="s">
        <v>3988</v>
      </c>
      <c r="G1929" s="45" t="s">
        <v>4009</v>
      </c>
    </row>
    <row r="1930">
      <c r="A1930" s="45" t="s">
        <v>1374</v>
      </c>
      <c r="B1930" s="45" t="s">
        <v>3200</v>
      </c>
      <c r="C1930" s="45">
        <v>98.0</v>
      </c>
      <c r="D1930" s="45">
        <v>37145.0</v>
      </c>
      <c r="E1930" s="45" t="s">
        <v>4008</v>
      </c>
      <c r="F1930" s="45" t="s">
        <v>3988</v>
      </c>
      <c r="G1930" s="45" t="s">
        <v>4009</v>
      </c>
    </row>
    <row r="1931">
      <c r="A1931" s="45" t="s">
        <v>1375</v>
      </c>
      <c r="B1931" s="45" t="s">
        <v>3200</v>
      </c>
      <c r="C1931" s="45">
        <v>98.0</v>
      </c>
      <c r="D1931" s="45">
        <v>37147.0</v>
      </c>
      <c r="E1931" s="45" t="s">
        <v>4008</v>
      </c>
      <c r="F1931" s="45" t="s">
        <v>3988</v>
      </c>
      <c r="G1931" s="45" t="s">
        <v>4009</v>
      </c>
    </row>
    <row r="1932">
      <c r="A1932" s="45" t="s">
        <v>261</v>
      </c>
      <c r="B1932" s="45" t="s">
        <v>3200</v>
      </c>
      <c r="C1932" s="45">
        <v>97.0</v>
      </c>
      <c r="D1932" s="45">
        <v>37149.0</v>
      </c>
      <c r="E1932" s="45" t="s">
        <v>4008</v>
      </c>
      <c r="F1932" s="45" t="s">
        <v>4009</v>
      </c>
      <c r="G1932" s="45" t="s">
        <v>4009</v>
      </c>
    </row>
    <row r="1933">
      <c r="A1933" s="45" t="s">
        <v>158</v>
      </c>
      <c r="B1933" s="45" t="s">
        <v>3200</v>
      </c>
      <c r="C1933" s="45">
        <v>97.0</v>
      </c>
      <c r="D1933" s="45">
        <v>37151.0</v>
      </c>
      <c r="E1933" s="45" t="s">
        <v>4008</v>
      </c>
      <c r="F1933" s="45" t="s">
        <v>4009</v>
      </c>
      <c r="G1933" s="45" t="s">
        <v>4009</v>
      </c>
    </row>
    <row r="1934">
      <c r="A1934" s="45" t="s">
        <v>539</v>
      </c>
      <c r="B1934" s="45" t="s">
        <v>3200</v>
      </c>
      <c r="C1934" s="45">
        <v>98.0</v>
      </c>
      <c r="D1934" s="45">
        <v>37153.0</v>
      </c>
      <c r="E1934" s="45" t="s">
        <v>4008</v>
      </c>
      <c r="F1934" s="45" t="s">
        <v>4009</v>
      </c>
      <c r="G1934" s="45" t="s">
        <v>4009</v>
      </c>
    </row>
    <row r="1935">
      <c r="A1935" s="45" t="s">
        <v>1376</v>
      </c>
      <c r="B1935" s="45" t="s">
        <v>3200</v>
      </c>
      <c r="C1935" s="45">
        <v>98.0</v>
      </c>
      <c r="D1935" s="45">
        <v>37155.0</v>
      </c>
      <c r="E1935" s="45" t="s">
        <v>4008</v>
      </c>
      <c r="F1935" s="45" t="s">
        <v>4009</v>
      </c>
      <c r="G1935" s="45" t="s">
        <v>4009</v>
      </c>
    </row>
    <row r="1936">
      <c r="A1936" s="45" t="s">
        <v>1256</v>
      </c>
      <c r="B1936" s="45" t="s">
        <v>3200</v>
      </c>
      <c r="C1936" s="45">
        <v>97.0</v>
      </c>
      <c r="D1936" s="45">
        <v>37157.0</v>
      </c>
      <c r="E1936" s="45" t="s">
        <v>4008</v>
      </c>
      <c r="F1936" s="45" t="s">
        <v>4009</v>
      </c>
      <c r="G1936" s="45" t="s">
        <v>4009</v>
      </c>
    </row>
    <row r="1937">
      <c r="A1937" s="45" t="s">
        <v>868</v>
      </c>
      <c r="B1937" s="45" t="s">
        <v>3200</v>
      </c>
      <c r="C1937" s="45">
        <v>97.0</v>
      </c>
      <c r="D1937" s="45">
        <v>37159.0</v>
      </c>
      <c r="E1937" s="45" t="s">
        <v>4008</v>
      </c>
      <c r="F1937" s="45" t="s">
        <v>4009</v>
      </c>
      <c r="G1937" s="45" t="s">
        <v>4009</v>
      </c>
    </row>
    <row r="1938">
      <c r="A1938" s="45" t="s">
        <v>1377</v>
      </c>
      <c r="B1938" s="45" t="s">
        <v>3200</v>
      </c>
      <c r="C1938" s="45">
        <v>97.0</v>
      </c>
      <c r="D1938" s="45">
        <v>37161.0</v>
      </c>
      <c r="E1938" s="45" t="s">
        <v>3970</v>
      </c>
      <c r="F1938" s="45" t="s">
        <v>4009</v>
      </c>
      <c r="G1938" s="45" t="s">
        <v>4009</v>
      </c>
    </row>
    <row r="1939">
      <c r="A1939" s="45" t="s">
        <v>1378</v>
      </c>
      <c r="B1939" s="45" t="s">
        <v>3200</v>
      </c>
      <c r="C1939" s="45">
        <v>98.0</v>
      </c>
      <c r="D1939" s="45">
        <v>37163.0</v>
      </c>
      <c r="E1939" s="45" t="s">
        <v>4008</v>
      </c>
      <c r="F1939" s="45" t="s">
        <v>4009</v>
      </c>
      <c r="G1939" s="45" t="s">
        <v>4009</v>
      </c>
    </row>
    <row r="1940">
      <c r="A1940" s="45" t="s">
        <v>1155</v>
      </c>
      <c r="B1940" s="45" t="s">
        <v>3200</v>
      </c>
      <c r="C1940" s="45">
        <v>98.0</v>
      </c>
      <c r="D1940" s="45">
        <v>37165.0</v>
      </c>
      <c r="E1940" s="45" t="s">
        <v>4008</v>
      </c>
      <c r="F1940" s="45" t="s">
        <v>4009</v>
      </c>
      <c r="G1940" s="45" t="s">
        <v>4009</v>
      </c>
    </row>
    <row r="1941">
      <c r="A1941" s="45" t="s">
        <v>1379</v>
      </c>
      <c r="B1941" s="45" t="s">
        <v>3200</v>
      </c>
      <c r="C1941" s="45">
        <v>97.0</v>
      </c>
      <c r="D1941" s="45">
        <v>37167.0</v>
      </c>
      <c r="E1941" s="45" t="s">
        <v>4008</v>
      </c>
      <c r="F1941" s="45" t="s">
        <v>4009</v>
      </c>
      <c r="G1941" s="45" t="s">
        <v>4009</v>
      </c>
    </row>
    <row r="1942">
      <c r="A1942" s="45" t="s">
        <v>1380</v>
      </c>
      <c r="B1942" s="45" t="s">
        <v>3200</v>
      </c>
      <c r="C1942" s="45">
        <v>97.0</v>
      </c>
      <c r="D1942" s="45">
        <v>37169.0</v>
      </c>
      <c r="E1942" s="45" t="s">
        <v>4008</v>
      </c>
      <c r="F1942" s="45" t="s">
        <v>4009</v>
      </c>
      <c r="G1942" s="45" t="s">
        <v>4009</v>
      </c>
    </row>
    <row r="1943">
      <c r="A1943" s="45" t="s">
        <v>1381</v>
      </c>
      <c r="B1943" s="45" t="s">
        <v>3200</v>
      </c>
      <c r="C1943" s="45">
        <v>97.0</v>
      </c>
      <c r="D1943" s="45">
        <v>37171.0</v>
      </c>
      <c r="E1943" s="45" t="s">
        <v>4008</v>
      </c>
      <c r="F1943" s="45" t="s">
        <v>4009</v>
      </c>
      <c r="G1943" s="45" t="s">
        <v>4009</v>
      </c>
    </row>
    <row r="1944">
      <c r="A1944" s="45" t="s">
        <v>1382</v>
      </c>
      <c r="B1944" s="45" t="s">
        <v>3200</v>
      </c>
      <c r="C1944" s="45">
        <v>97.0</v>
      </c>
      <c r="D1944" s="45">
        <v>37173.0</v>
      </c>
      <c r="E1944" s="45" t="s">
        <v>3970</v>
      </c>
      <c r="F1944" s="45" t="s">
        <v>4009</v>
      </c>
      <c r="G1944" s="45" t="s">
        <v>4009</v>
      </c>
    </row>
    <row r="1945">
      <c r="A1945" s="45" t="s">
        <v>1383</v>
      </c>
      <c r="B1945" s="45" t="s">
        <v>3200</v>
      </c>
      <c r="C1945" s="45">
        <v>97.0</v>
      </c>
      <c r="D1945" s="45">
        <v>37175.0</v>
      </c>
      <c r="E1945" s="45" t="s">
        <v>3970</v>
      </c>
      <c r="F1945" s="45" t="s">
        <v>4009</v>
      </c>
      <c r="G1945" s="45" t="s">
        <v>4009</v>
      </c>
    </row>
    <row r="1946">
      <c r="A1946" s="45" t="s">
        <v>1384</v>
      </c>
      <c r="B1946" s="45" t="s">
        <v>3200</v>
      </c>
      <c r="C1946" s="45">
        <v>98.0</v>
      </c>
      <c r="D1946" s="45">
        <v>37177.0</v>
      </c>
      <c r="E1946" s="45" t="s">
        <v>4008</v>
      </c>
      <c r="F1946" s="45" t="s">
        <v>3988</v>
      </c>
      <c r="G1946" s="45" t="s">
        <v>4009</v>
      </c>
    </row>
    <row r="1947">
      <c r="A1947" s="45" t="s">
        <v>273</v>
      </c>
      <c r="B1947" s="45" t="s">
        <v>3200</v>
      </c>
      <c r="C1947" s="45">
        <v>97.0</v>
      </c>
      <c r="D1947" s="45">
        <v>37179.0</v>
      </c>
      <c r="E1947" s="45" t="s">
        <v>4008</v>
      </c>
      <c r="F1947" s="45" t="s">
        <v>4009</v>
      </c>
      <c r="G1947" s="45" t="s">
        <v>4009</v>
      </c>
    </row>
    <row r="1948">
      <c r="A1948" s="45" t="s">
        <v>1385</v>
      </c>
      <c r="B1948" s="45" t="s">
        <v>3200</v>
      </c>
      <c r="C1948" s="45">
        <v>98.0</v>
      </c>
      <c r="D1948" s="45">
        <v>37181.0</v>
      </c>
      <c r="E1948" s="45" t="s">
        <v>4008</v>
      </c>
      <c r="F1948" s="45" t="s">
        <v>4009</v>
      </c>
      <c r="G1948" s="45" t="s">
        <v>4009</v>
      </c>
    </row>
    <row r="1949">
      <c r="A1949" s="45" t="s">
        <v>1386</v>
      </c>
      <c r="B1949" s="45" t="s">
        <v>3200</v>
      </c>
      <c r="C1949" s="45">
        <v>98.0</v>
      </c>
      <c r="D1949" s="45">
        <v>37183.0</v>
      </c>
      <c r="E1949" s="45" t="s">
        <v>4008</v>
      </c>
      <c r="F1949" s="45" t="s">
        <v>4009</v>
      </c>
      <c r="G1949" s="45" t="s">
        <v>4009</v>
      </c>
    </row>
    <row r="1950">
      <c r="A1950" s="45" t="s">
        <v>561</v>
      </c>
      <c r="B1950" s="45" t="s">
        <v>3200</v>
      </c>
      <c r="C1950" s="45">
        <v>98.0</v>
      </c>
      <c r="D1950" s="45">
        <v>37185.0</v>
      </c>
      <c r="E1950" s="45" t="s">
        <v>4008</v>
      </c>
      <c r="F1950" s="45" t="s">
        <v>3988</v>
      </c>
      <c r="G1950" s="45" t="s">
        <v>4009</v>
      </c>
    </row>
    <row r="1951">
      <c r="A1951" s="45" t="s">
        <v>167</v>
      </c>
      <c r="B1951" s="45" t="s">
        <v>3200</v>
      </c>
      <c r="C1951" s="45">
        <v>98.0</v>
      </c>
      <c r="D1951" s="45">
        <v>37187.0</v>
      </c>
      <c r="E1951" s="45" t="s">
        <v>4008</v>
      </c>
      <c r="F1951" s="45" t="s">
        <v>3988</v>
      </c>
      <c r="G1951" s="45" t="s">
        <v>4009</v>
      </c>
    </row>
    <row r="1952">
      <c r="A1952" s="45" t="s">
        <v>1387</v>
      </c>
      <c r="B1952" s="45" t="s">
        <v>3200</v>
      </c>
      <c r="C1952" s="45">
        <v>97.0</v>
      </c>
      <c r="D1952" s="45">
        <v>37189.0</v>
      </c>
      <c r="E1952" s="45" t="s">
        <v>3970</v>
      </c>
      <c r="F1952" s="45" t="s">
        <v>4009</v>
      </c>
      <c r="G1952" s="45" t="s">
        <v>4009</v>
      </c>
    </row>
    <row r="1953">
      <c r="A1953" s="45" t="s">
        <v>562</v>
      </c>
      <c r="B1953" s="45" t="s">
        <v>3200</v>
      </c>
      <c r="C1953" s="45">
        <v>98.0</v>
      </c>
      <c r="D1953" s="45">
        <v>37191.0</v>
      </c>
      <c r="E1953" s="45" t="s">
        <v>4008</v>
      </c>
      <c r="F1953" s="45" t="s">
        <v>4009</v>
      </c>
      <c r="G1953" s="45" t="s">
        <v>4009</v>
      </c>
    </row>
    <row r="1954">
      <c r="A1954" s="45" t="s">
        <v>566</v>
      </c>
      <c r="B1954" s="45" t="s">
        <v>3200</v>
      </c>
      <c r="C1954" s="45">
        <v>97.0</v>
      </c>
      <c r="D1954" s="45">
        <v>37193.0</v>
      </c>
      <c r="E1954" s="45" t="s">
        <v>3970</v>
      </c>
      <c r="F1954" s="45" t="s">
        <v>4009</v>
      </c>
      <c r="G1954" s="45" t="s">
        <v>4009</v>
      </c>
    </row>
    <row r="1955">
      <c r="A1955" s="45" t="s">
        <v>815</v>
      </c>
      <c r="B1955" s="45" t="s">
        <v>3200</v>
      </c>
      <c r="C1955" s="45">
        <v>98.0</v>
      </c>
      <c r="D1955" s="45">
        <v>37195.0</v>
      </c>
      <c r="E1955" s="45" t="s">
        <v>4008</v>
      </c>
      <c r="F1955" s="45" t="s">
        <v>4009</v>
      </c>
      <c r="G1955" s="45" t="s">
        <v>4009</v>
      </c>
    </row>
    <row r="1956">
      <c r="A1956" s="45" t="s">
        <v>1388</v>
      </c>
      <c r="B1956" s="45" t="s">
        <v>3200</v>
      </c>
      <c r="C1956" s="45">
        <v>97.0</v>
      </c>
      <c r="D1956" s="45">
        <v>37197.0</v>
      </c>
      <c r="E1956" s="45" t="s">
        <v>4008</v>
      </c>
      <c r="F1956" s="45" t="s">
        <v>4009</v>
      </c>
      <c r="G1956" s="45" t="s">
        <v>4009</v>
      </c>
    </row>
    <row r="1957">
      <c r="A1957" s="45" t="s">
        <v>1389</v>
      </c>
      <c r="B1957" s="45" t="s">
        <v>3200</v>
      </c>
      <c r="C1957" s="45">
        <v>97.0</v>
      </c>
      <c r="D1957" s="45">
        <v>37199.0</v>
      </c>
      <c r="E1957" s="45" t="s">
        <v>3970</v>
      </c>
      <c r="F1957" s="45" t="s">
        <v>4009</v>
      </c>
      <c r="G1957" s="45" t="s">
        <v>4009</v>
      </c>
    </row>
    <row r="1958">
      <c r="A1958" s="45" t="s">
        <v>338</v>
      </c>
      <c r="B1958" s="45" t="s">
        <v>3265</v>
      </c>
      <c r="C1958" s="45">
        <v>36.0</v>
      </c>
      <c r="D1958" s="45">
        <v>38001.0</v>
      </c>
      <c r="E1958" s="45" t="s">
        <v>3995</v>
      </c>
      <c r="F1958" s="45" t="s">
        <v>3999</v>
      </c>
      <c r="G1958" s="45" t="s">
        <v>4009</v>
      </c>
    </row>
    <row r="1959">
      <c r="A1959" s="45" t="s">
        <v>1391</v>
      </c>
      <c r="B1959" s="45" t="s">
        <v>3265</v>
      </c>
      <c r="C1959" s="45">
        <v>37.0</v>
      </c>
      <c r="D1959" s="45">
        <v>38003.0</v>
      </c>
      <c r="E1959" s="45" t="s">
        <v>3995</v>
      </c>
      <c r="F1959" s="45" t="s">
        <v>3999</v>
      </c>
      <c r="G1959" s="45" t="s">
        <v>4009</v>
      </c>
    </row>
    <row r="1960">
      <c r="A1960" s="45" t="s">
        <v>1392</v>
      </c>
      <c r="B1960" s="45" t="s">
        <v>3265</v>
      </c>
      <c r="C1960" s="45">
        <v>37.0</v>
      </c>
      <c r="D1960" s="45">
        <v>38005.0</v>
      </c>
      <c r="E1960" s="45" t="s">
        <v>3995</v>
      </c>
      <c r="F1960" s="45" t="s">
        <v>3999</v>
      </c>
      <c r="G1960" s="45" t="s">
        <v>4009</v>
      </c>
    </row>
    <row r="1961">
      <c r="A1961" s="45" t="s">
        <v>1393</v>
      </c>
      <c r="B1961" s="45" t="s">
        <v>3265</v>
      </c>
      <c r="C1961" s="45">
        <v>36.0</v>
      </c>
      <c r="D1961" s="45">
        <v>38007.0</v>
      </c>
      <c r="E1961" s="45" t="s">
        <v>3995</v>
      </c>
      <c r="F1961" s="45" t="s">
        <v>3999</v>
      </c>
      <c r="G1961" s="45" t="s">
        <v>4009</v>
      </c>
    </row>
    <row r="1962">
      <c r="A1962" s="45" t="s">
        <v>1394</v>
      </c>
      <c r="B1962" s="45" t="s">
        <v>3265</v>
      </c>
      <c r="C1962" s="45">
        <v>37.0</v>
      </c>
      <c r="D1962" s="45">
        <v>38009.0</v>
      </c>
      <c r="E1962" s="45" t="s">
        <v>3995</v>
      </c>
      <c r="F1962" s="45" t="s">
        <v>3999</v>
      </c>
      <c r="G1962" s="45" t="s">
        <v>4009</v>
      </c>
    </row>
    <row r="1963">
      <c r="A1963" s="45" t="s">
        <v>1395</v>
      </c>
      <c r="B1963" s="45" t="s">
        <v>3265</v>
      </c>
      <c r="C1963" s="45">
        <v>36.0</v>
      </c>
      <c r="D1963" s="45">
        <v>38011.0</v>
      </c>
      <c r="E1963" s="45" t="s">
        <v>3995</v>
      </c>
      <c r="F1963" s="45" t="s">
        <v>3999</v>
      </c>
      <c r="G1963" s="45" t="s">
        <v>4009</v>
      </c>
    </row>
    <row r="1964">
      <c r="A1964" s="45" t="s">
        <v>474</v>
      </c>
      <c r="B1964" s="45" t="s">
        <v>3265</v>
      </c>
      <c r="C1964" s="45">
        <v>36.0</v>
      </c>
      <c r="D1964" s="45">
        <v>38013.0</v>
      </c>
      <c r="E1964" s="45" t="s">
        <v>3995</v>
      </c>
      <c r="F1964" s="45" t="s">
        <v>3999</v>
      </c>
      <c r="G1964" s="45" t="s">
        <v>4009</v>
      </c>
    </row>
    <row r="1965">
      <c r="A1965" s="45" t="s">
        <v>1396</v>
      </c>
      <c r="B1965" s="45" t="s">
        <v>3265</v>
      </c>
      <c r="C1965" s="45">
        <v>36.0</v>
      </c>
      <c r="D1965" s="45">
        <v>38015.0</v>
      </c>
      <c r="E1965" s="45" t="s">
        <v>3995</v>
      </c>
      <c r="F1965" s="45" t="s">
        <v>3999</v>
      </c>
      <c r="G1965" s="45" t="s">
        <v>4009</v>
      </c>
    </row>
    <row r="1966">
      <c r="A1966" s="45" t="s">
        <v>613</v>
      </c>
      <c r="B1966" s="45" t="s">
        <v>3265</v>
      </c>
      <c r="C1966" s="45">
        <v>37.0</v>
      </c>
      <c r="D1966" s="45">
        <v>38017.0</v>
      </c>
      <c r="E1966" s="45" t="s">
        <v>3995</v>
      </c>
      <c r="F1966" s="45" t="s">
        <v>3999</v>
      </c>
      <c r="G1966" s="45" t="s">
        <v>4009</v>
      </c>
    </row>
    <row r="1967">
      <c r="A1967" s="45" t="s">
        <v>1397</v>
      </c>
      <c r="B1967" s="45" t="s">
        <v>3265</v>
      </c>
      <c r="C1967" s="45">
        <v>37.0</v>
      </c>
      <c r="D1967" s="45">
        <v>38019.0</v>
      </c>
      <c r="E1967" s="45" t="s">
        <v>3995</v>
      </c>
      <c r="F1967" s="45" t="s">
        <v>3996</v>
      </c>
      <c r="G1967" s="45" t="s">
        <v>4009</v>
      </c>
    </row>
    <row r="1968">
      <c r="A1968" s="45" t="s">
        <v>1398</v>
      </c>
      <c r="B1968" s="45" t="s">
        <v>3265</v>
      </c>
      <c r="C1968" s="45">
        <v>36.0</v>
      </c>
      <c r="D1968" s="45">
        <v>38021.0</v>
      </c>
      <c r="E1968" s="45" t="s">
        <v>3995</v>
      </c>
      <c r="F1968" s="45" t="s">
        <v>3999</v>
      </c>
      <c r="G1968" s="45" t="s">
        <v>4009</v>
      </c>
    </row>
    <row r="1969">
      <c r="A1969" s="45" t="s">
        <v>1399</v>
      </c>
      <c r="B1969" s="45" t="s">
        <v>3265</v>
      </c>
      <c r="C1969" s="45">
        <v>36.0</v>
      </c>
      <c r="D1969" s="45">
        <v>38023.0</v>
      </c>
      <c r="E1969" s="45" t="s">
        <v>3995</v>
      </c>
      <c r="F1969" s="45" t="s">
        <v>3999</v>
      </c>
      <c r="G1969" s="45" t="s">
        <v>4009</v>
      </c>
    </row>
    <row r="1970">
      <c r="A1970" s="45" t="s">
        <v>1400</v>
      </c>
      <c r="B1970" s="45" t="s">
        <v>3265</v>
      </c>
      <c r="C1970" s="45">
        <v>36.0</v>
      </c>
      <c r="D1970" s="45">
        <v>38025.0</v>
      </c>
      <c r="E1970" s="45" t="s">
        <v>3995</v>
      </c>
      <c r="F1970" s="45" t="s">
        <v>3999</v>
      </c>
      <c r="G1970" s="45" t="s">
        <v>4009</v>
      </c>
    </row>
    <row r="1971">
      <c r="A1971" s="45" t="s">
        <v>1278</v>
      </c>
      <c r="B1971" s="45" t="s">
        <v>3265</v>
      </c>
      <c r="C1971" s="45">
        <v>37.0</v>
      </c>
      <c r="D1971" s="45">
        <v>38027.0</v>
      </c>
      <c r="E1971" s="45" t="s">
        <v>3995</v>
      </c>
      <c r="F1971" s="45" t="s">
        <v>3999</v>
      </c>
      <c r="G1971" s="45" t="s">
        <v>4009</v>
      </c>
    </row>
    <row r="1972">
      <c r="A1972" s="45" t="s">
        <v>1401</v>
      </c>
      <c r="B1972" s="45" t="s">
        <v>3265</v>
      </c>
      <c r="C1972" s="45">
        <v>36.0</v>
      </c>
      <c r="D1972" s="45">
        <v>38029.0</v>
      </c>
      <c r="E1972" s="45" t="s">
        <v>3995</v>
      </c>
      <c r="F1972" s="45" t="s">
        <v>3999</v>
      </c>
      <c r="G1972" s="45" t="s">
        <v>4009</v>
      </c>
    </row>
    <row r="1973">
      <c r="A1973" s="45" t="s">
        <v>1402</v>
      </c>
      <c r="B1973" s="45" t="s">
        <v>3265</v>
      </c>
      <c r="C1973" s="45">
        <v>37.0</v>
      </c>
      <c r="D1973" s="45">
        <v>38031.0</v>
      </c>
      <c r="E1973" s="45" t="s">
        <v>3995</v>
      </c>
      <c r="F1973" s="45" t="s">
        <v>3999</v>
      </c>
      <c r="G1973" s="45" t="s">
        <v>4009</v>
      </c>
    </row>
    <row r="1974">
      <c r="A1974" s="45" t="s">
        <v>1174</v>
      </c>
      <c r="B1974" s="45" t="s">
        <v>3265</v>
      </c>
      <c r="C1974" s="45">
        <v>36.0</v>
      </c>
      <c r="D1974" s="45">
        <v>38033.0</v>
      </c>
      <c r="E1974" s="45" t="s">
        <v>3995</v>
      </c>
      <c r="F1974" s="45" t="s">
        <v>3999</v>
      </c>
      <c r="G1974" s="45" t="s">
        <v>4009</v>
      </c>
    </row>
    <row r="1975">
      <c r="A1975" s="45" t="s">
        <v>1403</v>
      </c>
      <c r="B1975" s="45" t="s">
        <v>3265</v>
      </c>
      <c r="C1975" s="45">
        <v>37.0</v>
      </c>
      <c r="D1975" s="45">
        <v>38035.0</v>
      </c>
      <c r="E1975" s="45" t="s">
        <v>3995</v>
      </c>
      <c r="F1975" s="45" t="s">
        <v>3999</v>
      </c>
      <c r="G1975" s="45" t="s">
        <v>4009</v>
      </c>
    </row>
    <row r="1976">
      <c r="A1976" s="45" t="s">
        <v>242</v>
      </c>
      <c r="B1976" s="45" t="s">
        <v>3265</v>
      </c>
      <c r="C1976" s="45">
        <v>36.0</v>
      </c>
      <c r="D1976" s="45">
        <v>38037.0</v>
      </c>
      <c r="E1976" s="45" t="s">
        <v>3995</v>
      </c>
      <c r="F1976" s="45" t="s">
        <v>3999</v>
      </c>
      <c r="G1976" s="45" t="s">
        <v>4009</v>
      </c>
    </row>
    <row r="1977">
      <c r="A1977" s="45" t="s">
        <v>1404</v>
      </c>
      <c r="B1977" s="45" t="s">
        <v>3265</v>
      </c>
      <c r="C1977" s="45">
        <v>37.0</v>
      </c>
      <c r="D1977" s="45">
        <v>38039.0</v>
      </c>
      <c r="E1977" s="45" t="s">
        <v>3995</v>
      </c>
      <c r="F1977" s="45" t="s">
        <v>3999</v>
      </c>
      <c r="G1977" s="45" t="s">
        <v>4009</v>
      </c>
    </row>
    <row r="1978">
      <c r="A1978" s="45" t="s">
        <v>1405</v>
      </c>
      <c r="B1978" s="45" t="s">
        <v>3265</v>
      </c>
      <c r="C1978" s="45">
        <v>36.0</v>
      </c>
      <c r="D1978" s="45">
        <v>38041.0</v>
      </c>
      <c r="E1978" s="45" t="s">
        <v>3995</v>
      </c>
      <c r="F1978" s="45" t="s">
        <v>3999</v>
      </c>
      <c r="G1978" s="45" t="s">
        <v>4009</v>
      </c>
    </row>
    <row r="1979">
      <c r="A1979" s="45" t="s">
        <v>1406</v>
      </c>
      <c r="B1979" s="45" t="s">
        <v>3265</v>
      </c>
      <c r="C1979" s="45">
        <v>37.0</v>
      </c>
      <c r="D1979" s="45">
        <v>38043.0</v>
      </c>
      <c r="E1979" s="45" t="s">
        <v>3995</v>
      </c>
      <c r="F1979" s="45" t="s">
        <v>3999</v>
      </c>
      <c r="G1979" s="45" t="s">
        <v>4009</v>
      </c>
    </row>
    <row r="1980">
      <c r="A1980" s="45" t="s">
        <v>1407</v>
      </c>
      <c r="B1980" s="45" t="s">
        <v>3265</v>
      </c>
      <c r="C1980" s="45">
        <v>37.0</v>
      </c>
      <c r="D1980" s="45">
        <v>38045.0</v>
      </c>
      <c r="E1980" s="45" t="s">
        <v>3995</v>
      </c>
      <c r="F1980" s="45" t="s">
        <v>3999</v>
      </c>
      <c r="G1980" s="45" t="s">
        <v>4009</v>
      </c>
    </row>
    <row r="1981">
      <c r="A1981" s="45" t="s">
        <v>252</v>
      </c>
      <c r="B1981" s="45" t="s">
        <v>3265</v>
      </c>
      <c r="C1981" s="45">
        <v>36.0</v>
      </c>
      <c r="D1981" s="45">
        <v>38047.0</v>
      </c>
      <c r="E1981" s="45" t="s">
        <v>3995</v>
      </c>
      <c r="F1981" s="45" t="s">
        <v>3999</v>
      </c>
      <c r="G1981" s="45" t="s">
        <v>4009</v>
      </c>
    </row>
    <row r="1982">
      <c r="A1982" s="45" t="s">
        <v>638</v>
      </c>
      <c r="B1982" s="45" t="s">
        <v>3265</v>
      </c>
      <c r="C1982" s="45">
        <v>37.0</v>
      </c>
      <c r="D1982" s="45">
        <v>38049.0</v>
      </c>
      <c r="E1982" s="45" t="s">
        <v>3995</v>
      </c>
      <c r="F1982" s="45" t="s">
        <v>3999</v>
      </c>
      <c r="G1982" s="45" t="s">
        <v>4009</v>
      </c>
    </row>
    <row r="1983">
      <c r="A1983" s="45" t="s">
        <v>527</v>
      </c>
      <c r="B1983" s="45" t="s">
        <v>3265</v>
      </c>
      <c r="C1983" s="45">
        <v>36.0</v>
      </c>
      <c r="D1983" s="45">
        <v>38051.0</v>
      </c>
      <c r="E1983" s="45" t="s">
        <v>3995</v>
      </c>
      <c r="F1983" s="45" t="s">
        <v>3999</v>
      </c>
      <c r="G1983" s="45" t="s">
        <v>4009</v>
      </c>
    </row>
    <row r="1984">
      <c r="A1984" s="45" t="s">
        <v>1408</v>
      </c>
      <c r="B1984" s="45" t="s">
        <v>3265</v>
      </c>
      <c r="C1984" s="45">
        <v>36.0</v>
      </c>
      <c r="D1984" s="45">
        <v>38053.0</v>
      </c>
      <c r="E1984" s="45" t="s">
        <v>3995</v>
      </c>
      <c r="F1984" s="45" t="s">
        <v>3999</v>
      </c>
      <c r="G1984" s="45" t="s">
        <v>4009</v>
      </c>
    </row>
    <row r="1985">
      <c r="A1985" s="45" t="s">
        <v>639</v>
      </c>
      <c r="B1985" s="45" t="s">
        <v>3265</v>
      </c>
      <c r="C1985" s="45">
        <v>37.0</v>
      </c>
      <c r="D1985" s="45">
        <v>38055.0</v>
      </c>
      <c r="E1985" s="45" t="s">
        <v>3995</v>
      </c>
      <c r="F1985" s="45" t="s">
        <v>3999</v>
      </c>
      <c r="G1985" s="45" t="s">
        <v>4009</v>
      </c>
    </row>
    <row r="1986">
      <c r="A1986" s="45" t="s">
        <v>644</v>
      </c>
      <c r="B1986" s="45" t="s">
        <v>3265</v>
      </c>
      <c r="C1986" s="45">
        <v>36.0</v>
      </c>
      <c r="D1986" s="45">
        <v>38057.0</v>
      </c>
      <c r="E1986" s="45" t="s">
        <v>3995</v>
      </c>
      <c r="F1986" s="45" t="s">
        <v>3999</v>
      </c>
      <c r="G1986" s="45" t="s">
        <v>4009</v>
      </c>
    </row>
    <row r="1987">
      <c r="A1987" s="45" t="s">
        <v>785</v>
      </c>
      <c r="B1987" s="45" t="s">
        <v>3265</v>
      </c>
      <c r="C1987" s="45">
        <v>36.0</v>
      </c>
      <c r="D1987" s="45">
        <v>38059.0</v>
      </c>
      <c r="E1987" s="45" t="s">
        <v>3995</v>
      </c>
      <c r="F1987" s="45" t="s">
        <v>3999</v>
      </c>
      <c r="G1987" s="45" t="s">
        <v>4009</v>
      </c>
    </row>
    <row r="1988">
      <c r="A1988" s="45" t="s">
        <v>1409</v>
      </c>
      <c r="B1988" s="45" t="s">
        <v>3265</v>
      </c>
      <c r="C1988" s="45">
        <v>36.0</v>
      </c>
      <c r="D1988" s="45">
        <v>38061.0</v>
      </c>
      <c r="E1988" s="45" t="s">
        <v>3995</v>
      </c>
      <c r="F1988" s="45" t="s">
        <v>3999</v>
      </c>
      <c r="G1988" s="45" t="s">
        <v>4009</v>
      </c>
    </row>
    <row r="1989">
      <c r="A1989" s="45" t="s">
        <v>860</v>
      </c>
      <c r="B1989" s="45" t="s">
        <v>3265</v>
      </c>
      <c r="C1989" s="45">
        <v>37.0</v>
      </c>
      <c r="D1989" s="45">
        <v>38063.0</v>
      </c>
      <c r="E1989" s="45" t="s">
        <v>3995</v>
      </c>
      <c r="F1989" s="45" t="s">
        <v>3999</v>
      </c>
      <c r="G1989" s="45" t="s">
        <v>4009</v>
      </c>
    </row>
    <row r="1990">
      <c r="A1990" s="45" t="s">
        <v>1410</v>
      </c>
      <c r="B1990" s="45" t="s">
        <v>3265</v>
      </c>
      <c r="C1990" s="45">
        <v>36.0</v>
      </c>
      <c r="D1990" s="45">
        <v>38065.0</v>
      </c>
      <c r="E1990" s="45" t="s">
        <v>3995</v>
      </c>
      <c r="F1990" s="45" t="s">
        <v>3999</v>
      </c>
      <c r="G1990" s="45" t="s">
        <v>4009</v>
      </c>
    </row>
    <row r="1991">
      <c r="A1991" s="45" t="s">
        <v>1411</v>
      </c>
      <c r="B1991" s="45" t="s">
        <v>3265</v>
      </c>
      <c r="C1991" s="45">
        <v>37.0</v>
      </c>
      <c r="D1991" s="45">
        <v>38067.0</v>
      </c>
      <c r="E1991" s="45" t="s">
        <v>3995</v>
      </c>
      <c r="F1991" s="45" t="s">
        <v>3996</v>
      </c>
      <c r="G1991" s="45" t="s">
        <v>4009</v>
      </c>
    </row>
    <row r="1992">
      <c r="A1992" s="45" t="s">
        <v>536</v>
      </c>
      <c r="B1992" s="45" t="s">
        <v>3265</v>
      </c>
      <c r="C1992" s="45">
        <v>37.0</v>
      </c>
      <c r="D1992" s="45">
        <v>38069.0</v>
      </c>
      <c r="E1992" s="45" t="s">
        <v>3995</v>
      </c>
      <c r="F1992" s="45" t="s">
        <v>3999</v>
      </c>
      <c r="G1992" s="45" t="s">
        <v>3999</v>
      </c>
    </row>
    <row r="1993">
      <c r="A1993" s="45" t="s">
        <v>1067</v>
      </c>
      <c r="B1993" s="45" t="s">
        <v>3265</v>
      </c>
      <c r="C1993" s="45">
        <v>37.0</v>
      </c>
      <c r="D1993" s="45">
        <v>38071.0</v>
      </c>
      <c r="E1993" s="45" t="s">
        <v>3995</v>
      </c>
      <c r="F1993" s="45" t="s">
        <v>3999</v>
      </c>
      <c r="G1993" s="45" t="s">
        <v>3999</v>
      </c>
    </row>
    <row r="1994">
      <c r="A1994" s="45" t="s">
        <v>1412</v>
      </c>
      <c r="B1994" s="45" t="s">
        <v>3265</v>
      </c>
      <c r="C1994" s="45">
        <v>37.0</v>
      </c>
      <c r="D1994" s="45">
        <v>38073.0</v>
      </c>
      <c r="E1994" s="45" t="s">
        <v>3995</v>
      </c>
      <c r="F1994" s="45" t="s">
        <v>3999</v>
      </c>
      <c r="G1994" s="45" t="s">
        <v>3999</v>
      </c>
    </row>
    <row r="1995">
      <c r="A1995" s="45" t="s">
        <v>1070</v>
      </c>
      <c r="B1995" s="45" t="s">
        <v>3265</v>
      </c>
      <c r="C1995" s="45">
        <v>36.0</v>
      </c>
      <c r="D1995" s="45">
        <v>38075.0</v>
      </c>
      <c r="E1995" s="45" t="s">
        <v>3995</v>
      </c>
      <c r="F1995" s="45" t="s">
        <v>3999</v>
      </c>
      <c r="G1995" s="45" t="s">
        <v>3999</v>
      </c>
    </row>
    <row r="1996">
      <c r="A1996" s="45" t="s">
        <v>649</v>
      </c>
      <c r="B1996" s="45" t="s">
        <v>3265</v>
      </c>
      <c r="C1996" s="45">
        <v>37.0</v>
      </c>
      <c r="D1996" s="45">
        <v>38077.0</v>
      </c>
      <c r="E1996" s="45" t="s">
        <v>3995</v>
      </c>
      <c r="F1996" s="45" t="s">
        <v>3999</v>
      </c>
      <c r="G1996" s="45" t="s">
        <v>3999</v>
      </c>
    </row>
    <row r="1997">
      <c r="A1997" s="45" t="s">
        <v>1413</v>
      </c>
      <c r="B1997" s="45" t="s">
        <v>3265</v>
      </c>
      <c r="C1997" s="45">
        <v>37.0</v>
      </c>
      <c r="D1997" s="45">
        <v>38079.0</v>
      </c>
      <c r="E1997" s="45" t="s">
        <v>3995</v>
      </c>
      <c r="F1997" s="45" t="s">
        <v>3996</v>
      </c>
      <c r="G1997" s="45" t="s">
        <v>3999</v>
      </c>
    </row>
    <row r="1998">
      <c r="A1998" s="45" t="s">
        <v>1414</v>
      </c>
      <c r="B1998" s="45" t="s">
        <v>3265</v>
      </c>
      <c r="C1998" s="45">
        <v>37.0</v>
      </c>
      <c r="D1998" s="45">
        <v>38081.0</v>
      </c>
      <c r="E1998" s="45" t="s">
        <v>3995</v>
      </c>
      <c r="F1998" s="45" t="s">
        <v>3999</v>
      </c>
      <c r="G1998" s="45" t="s">
        <v>3999</v>
      </c>
    </row>
    <row r="1999">
      <c r="A1999" s="45" t="s">
        <v>804</v>
      </c>
      <c r="B1999" s="45" t="s">
        <v>3265</v>
      </c>
      <c r="C1999" s="45">
        <v>37.0</v>
      </c>
      <c r="D1999" s="45">
        <v>38083.0</v>
      </c>
      <c r="E1999" s="45" t="s">
        <v>3995</v>
      </c>
      <c r="F1999" s="45" t="s">
        <v>3999</v>
      </c>
      <c r="G1999" s="45" t="s">
        <v>3999</v>
      </c>
    </row>
    <row r="2000">
      <c r="A2000" s="45" t="s">
        <v>743</v>
      </c>
      <c r="B2000" s="45" t="s">
        <v>3265</v>
      </c>
      <c r="C2000" s="45">
        <v>36.0</v>
      </c>
      <c r="D2000" s="45">
        <v>38085.0</v>
      </c>
      <c r="E2000" s="45" t="s">
        <v>3995</v>
      </c>
      <c r="F2000" s="45" t="s">
        <v>3999</v>
      </c>
      <c r="G2000" s="45" t="s">
        <v>3999</v>
      </c>
    </row>
    <row r="2001">
      <c r="A2001" s="45" t="s">
        <v>1415</v>
      </c>
      <c r="B2001" s="45" t="s">
        <v>3265</v>
      </c>
      <c r="C2001" s="45">
        <v>36.0</v>
      </c>
      <c r="D2001" s="45">
        <v>38087.0</v>
      </c>
      <c r="E2001" s="45" t="s">
        <v>3995</v>
      </c>
      <c r="F2001" s="45" t="s">
        <v>3999</v>
      </c>
      <c r="G2001" s="45" t="s">
        <v>3999</v>
      </c>
    </row>
    <row r="2002">
      <c r="A2002" s="45" t="s">
        <v>653</v>
      </c>
      <c r="B2002" s="45" t="s">
        <v>3265</v>
      </c>
      <c r="C2002" s="45">
        <v>36.0</v>
      </c>
      <c r="D2002" s="45">
        <v>38089.0</v>
      </c>
      <c r="E2002" s="45" t="s">
        <v>3995</v>
      </c>
      <c r="F2002" s="45" t="s">
        <v>3999</v>
      </c>
      <c r="G2002" s="45" t="s">
        <v>3999</v>
      </c>
    </row>
    <row r="2003">
      <c r="A2003" s="45" t="s">
        <v>1077</v>
      </c>
      <c r="B2003" s="45" t="s">
        <v>3265</v>
      </c>
      <c r="C2003" s="45">
        <v>37.0</v>
      </c>
      <c r="D2003" s="45">
        <v>38091.0</v>
      </c>
      <c r="E2003" s="45" t="s">
        <v>3995</v>
      </c>
      <c r="F2003" s="45" t="s">
        <v>3999</v>
      </c>
      <c r="G2003" s="45" t="s">
        <v>3999</v>
      </c>
    </row>
    <row r="2004">
      <c r="A2004" s="45" t="s">
        <v>1416</v>
      </c>
      <c r="B2004" s="45" t="s">
        <v>3265</v>
      </c>
      <c r="C2004" s="45">
        <v>37.0</v>
      </c>
      <c r="D2004" s="45">
        <v>38093.0</v>
      </c>
      <c r="E2004" s="45" t="s">
        <v>3995</v>
      </c>
      <c r="F2004" s="45" t="s">
        <v>3999</v>
      </c>
      <c r="G2004" s="45" t="s">
        <v>3999</v>
      </c>
    </row>
    <row r="2005">
      <c r="A2005" s="45" t="s">
        <v>1417</v>
      </c>
      <c r="B2005" s="45" t="s">
        <v>3265</v>
      </c>
      <c r="C2005" s="45">
        <v>37.0</v>
      </c>
      <c r="D2005" s="45">
        <v>38095.0</v>
      </c>
      <c r="E2005" s="45" t="s">
        <v>3995</v>
      </c>
      <c r="F2005" s="45" t="s">
        <v>3999</v>
      </c>
      <c r="G2005" s="45" t="s">
        <v>3999</v>
      </c>
    </row>
    <row r="2006">
      <c r="A2006" s="45" t="s">
        <v>1418</v>
      </c>
      <c r="B2006" s="45" t="s">
        <v>3265</v>
      </c>
      <c r="C2006" s="45">
        <v>37.0</v>
      </c>
      <c r="D2006" s="45">
        <v>38097.0</v>
      </c>
      <c r="E2006" s="45" t="s">
        <v>3995</v>
      </c>
      <c r="F2006" s="45" t="s">
        <v>3999</v>
      </c>
      <c r="G2006" s="45" t="s">
        <v>3999</v>
      </c>
    </row>
    <row r="2007">
      <c r="A2007" s="45" t="s">
        <v>1419</v>
      </c>
      <c r="B2007" s="45" t="s">
        <v>3265</v>
      </c>
      <c r="C2007" s="45">
        <v>37.0</v>
      </c>
      <c r="D2007" s="45">
        <v>38099.0</v>
      </c>
      <c r="E2007" s="45" t="s">
        <v>3995</v>
      </c>
      <c r="F2007" s="45" t="s">
        <v>3996</v>
      </c>
      <c r="G2007" s="45" t="s">
        <v>3999</v>
      </c>
    </row>
    <row r="2008">
      <c r="A2008" s="45" t="s">
        <v>1420</v>
      </c>
      <c r="B2008" s="45" t="s">
        <v>3265</v>
      </c>
      <c r="C2008" s="45">
        <v>37.0</v>
      </c>
      <c r="D2008" s="45">
        <v>38101.0</v>
      </c>
      <c r="E2008" s="45" t="s">
        <v>3995</v>
      </c>
      <c r="F2008" s="45" t="s">
        <v>3999</v>
      </c>
      <c r="G2008" s="45" t="s">
        <v>3999</v>
      </c>
    </row>
    <row r="2009">
      <c r="A2009" s="45" t="s">
        <v>702</v>
      </c>
      <c r="B2009" s="45" t="s">
        <v>3265</v>
      </c>
      <c r="C2009" s="45">
        <v>37.0</v>
      </c>
      <c r="D2009" s="45">
        <v>38103.0</v>
      </c>
      <c r="E2009" s="45" t="s">
        <v>3995</v>
      </c>
      <c r="F2009" s="45" t="s">
        <v>3999</v>
      </c>
      <c r="G2009" s="45" t="s">
        <v>3999</v>
      </c>
    </row>
    <row r="2010">
      <c r="A2010" s="45" t="s">
        <v>1421</v>
      </c>
      <c r="B2010" s="45" t="s">
        <v>3265</v>
      </c>
      <c r="C2010" s="45">
        <v>36.0</v>
      </c>
      <c r="D2010" s="45">
        <v>38105.0</v>
      </c>
      <c r="E2010" s="45" t="s">
        <v>3995</v>
      </c>
      <c r="F2010" s="45" t="s">
        <v>3996</v>
      </c>
      <c r="G2010" s="45" t="s">
        <v>3999</v>
      </c>
    </row>
    <row r="2011">
      <c r="A2011" s="45" t="s">
        <v>338</v>
      </c>
      <c r="B2011" s="45" t="s">
        <v>3297</v>
      </c>
      <c r="C2011" s="45">
        <v>112.0</v>
      </c>
      <c r="D2011" s="45">
        <v>39001.0</v>
      </c>
      <c r="E2011" s="45" t="s">
        <v>3993</v>
      </c>
      <c r="F2011" s="45" t="s">
        <v>3997</v>
      </c>
      <c r="G2011" s="45" t="s">
        <v>3999</v>
      </c>
    </row>
    <row r="2012">
      <c r="A2012" s="45" t="s">
        <v>664</v>
      </c>
      <c r="B2012" s="45" t="s">
        <v>3297</v>
      </c>
      <c r="C2012" s="45">
        <v>112.0</v>
      </c>
      <c r="D2012" s="45">
        <v>39003.0</v>
      </c>
      <c r="E2012" s="45" t="s">
        <v>3993</v>
      </c>
      <c r="F2012" s="45" t="s">
        <v>3997</v>
      </c>
      <c r="G2012" s="45" t="s">
        <v>3999</v>
      </c>
    </row>
    <row r="2013">
      <c r="A2013" s="45" t="s">
        <v>1422</v>
      </c>
      <c r="B2013" s="45" t="s">
        <v>3297</v>
      </c>
      <c r="C2013" s="45">
        <v>112.0</v>
      </c>
      <c r="D2013" s="45">
        <v>39005.0</v>
      </c>
      <c r="E2013" s="45" t="s">
        <v>3993</v>
      </c>
      <c r="F2013" s="45" t="s">
        <v>3997</v>
      </c>
      <c r="G2013" s="45" t="s">
        <v>3999</v>
      </c>
    </row>
    <row r="2014">
      <c r="A2014" s="45" t="s">
        <v>1423</v>
      </c>
      <c r="B2014" s="45" t="s">
        <v>3297</v>
      </c>
      <c r="C2014" s="45">
        <v>111.0</v>
      </c>
      <c r="D2014" s="45">
        <v>39007.0</v>
      </c>
      <c r="E2014" s="45" t="s">
        <v>3986</v>
      </c>
      <c r="F2014" s="45" t="s">
        <v>3997</v>
      </c>
      <c r="G2014" s="45" t="s">
        <v>3999</v>
      </c>
    </row>
    <row r="2015">
      <c r="A2015" s="45" t="s">
        <v>1424</v>
      </c>
      <c r="B2015" s="45" t="s">
        <v>3297</v>
      </c>
      <c r="C2015" s="45">
        <v>112.0</v>
      </c>
      <c r="D2015" s="45">
        <v>39009.0</v>
      </c>
      <c r="E2015" s="45" t="s">
        <v>3993</v>
      </c>
      <c r="F2015" s="45" t="s">
        <v>3997</v>
      </c>
      <c r="G2015" s="45" t="s">
        <v>3999</v>
      </c>
    </row>
    <row r="2016">
      <c r="A2016" s="45" t="s">
        <v>1425</v>
      </c>
      <c r="B2016" s="45" t="s">
        <v>3297</v>
      </c>
      <c r="C2016" s="45">
        <v>112.0</v>
      </c>
      <c r="D2016" s="45">
        <v>39011.0</v>
      </c>
      <c r="E2016" s="45" t="s">
        <v>3993</v>
      </c>
      <c r="F2016" s="45" t="s">
        <v>3997</v>
      </c>
      <c r="G2016" s="45" t="s">
        <v>3999</v>
      </c>
    </row>
    <row r="2017">
      <c r="A2017" s="45" t="s">
        <v>1426</v>
      </c>
      <c r="B2017" s="45" t="s">
        <v>3297</v>
      </c>
      <c r="C2017" s="45">
        <v>112.0</v>
      </c>
      <c r="D2017" s="45">
        <v>39013.0</v>
      </c>
      <c r="E2017" s="45" t="s">
        <v>3993</v>
      </c>
      <c r="F2017" s="45" t="s">
        <v>3997</v>
      </c>
      <c r="G2017" s="45" t="s">
        <v>3999</v>
      </c>
    </row>
    <row r="2018">
      <c r="A2018" s="45" t="s">
        <v>611</v>
      </c>
      <c r="B2018" s="45" t="s">
        <v>3297</v>
      </c>
      <c r="C2018" s="45">
        <v>114.0</v>
      </c>
      <c r="D2018" s="45">
        <v>39015.0</v>
      </c>
      <c r="E2018" s="45" t="s">
        <v>3993</v>
      </c>
      <c r="F2018" s="45" t="s">
        <v>3997</v>
      </c>
      <c r="G2018" s="45" t="s">
        <v>3999</v>
      </c>
    </row>
    <row r="2019">
      <c r="A2019" s="45" t="s">
        <v>109</v>
      </c>
      <c r="B2019" s="45" t="s">
        <v>3297</v>
      </c>
      <c r="C2019" s="45">
        <v>114.0</v>
      </c>
      <c r="D2019" s="45">
        <v>39017.0</v>
      </c>
      <c r="E2019" s="45" t="s">
        <v>3993</v>
      </c>
      <c r="F2019" s="45" t="s">
        <v>3997</v>
      </c>
      <c r="G2019" s="45" t="s">
        <v>3999</v>
      </c>
    </row>
    <row r="2020">
      <c r="A2020" s="45" t="s">
        <v>227</v>
      </c>
      <c r="B2020" s="45" t="s">
        <v>3297</v>
      </c>
      <c r="C2020" s="45">
        <v>112.0</v>
      </c>
      <c r="D2020" s="45">
        <v>39019.0</v>
      </c>
      <c r="E2020" s="45" t="s">
        <v>3993</v>
      </c>
      <c r="F2020" s="45" t="s">
        <v>3997</v>
      </c>
      <c r="G2020" s="45" t="s">
        <v>3999</v>
      </c>
    </row>
    <row r="2021">
      <c r="A2021" s="45" t="s">
        <v>614</v>
      </c>
      <c r="B2021" s="45" t="s">
        <v>3297</v>
      </c>
      <c r="C2021" s="45">
        <v>112.0</v>
      </c>
      <c r="D2021" s="45">
        <v>39021.0</v>
      </c>
      <c r="E2021" s="45" t="s">
        <v>3993</v>
      </c>
      <c r="F2021" s="45" t="s">
        <v>3997</v>
      </c>
      <c r="G2021" s="45" t="s">
        <v>3999</v>
      </c>
    </row>
    <row r="2022">
      <c r="A2022" s="45" t="s">
        <v>229</v>
      </c>
      <c r="B2022" s="45" t="s">
        <v>3297</v>
      </c>
      <c r="C2022" s="45">
        <v>113.0</v>
      </c>
      <c r="D2022" s="45">
        <v>39023.0</v>
      </c>
      <c r="E2022" s="45" t="s">
        <v>3993</v>
      </c>
      <c r="F2022" s="45" t="s">
        <v>3997</v>
      </c>
      <c r="G2022" s="45" t="s">
        <v>3999</v>
      </c>
    </row>
    <row r="2023">
      <c r="A2023" s="45" t="s">
        <v>1427</v>
      </c>
      <c r="B2023" s="45" t="s">
        <v>3297</v>
      </c>
      <c r="C2023" s="45">
        <v>114.0</v>
      </c>
      <c r="D2023" s="45">
        <v>39025.0</v>
      </c>
      <c r="E2023" s="45" t="s">
        <v>3993</v>
      </c>
      <c r="F2023" s="45" t="s">
        <v>3997</v>
      </c>
      <c r="G2023" s="45" t="s">
        <v>3999</v>
      </c>
    </row>
    <row r="2024">
      <c r="A2024" s="45" t="s">
        <v>616</v>
      </c>
      <c r="B2024" s="45" t="s">
        <v>3297</v>
      </c>
      <c r="C2024" s="45">
        <v>113.0</v>
      </c>
      <c r="D2024" s="45">
        <v>39027.0</v>
      </c>
      <c r="E2024" s="45" t="s">
        <v>3993</v>
      </c>
      <c r="F2024" s="45" t="s">
        <v>3997</v>
      </c>
      <c r="G2024" s="45" t="s">
        <v>3999</v>
      </c>
    </row>
    <row r="2025">
      <c r="A2025" s="45" t="s">
        <v>1428</v>
      </c>
      <c r="B2025" s="45" t="s">
        <v>3297</v>
      </c>
      <c r="C2025" s="45">
        <v>111.0</v>
      </c>
      <c r="D2025" s="45">
        <v>39029.0</v>
      </c>
      <c r="E2025" s="45" t="s">
        <v>3993</v>
      </c>
      <c r="F2025" s="45" t="s">
        <v>3997</v>
      </c>
      <c r="G2025" s="45" t="s">
        <v>3999</v>
      </c>
    </row>
    <row r="2026">
      <c r="A2026" s="45" t="s">
        <v>1429</v>
      </c>
      <c r="B2026" s="45" t="s">
        <v>3297</v>
      </c>
      <c r="C2026" s="45">
        <v>112.0</v>
      </c>
      <c r="D2026" s="45">
        <v>39031.0</v>
      </c>
      <c r="E2026" s="45" t="s">
        <v>3993</v>
      </c>
      <c r="F2026" s="45" t="s">
        <v>3997</v>
      </c>
      <c r="G2026" s="45" t="s">
        <v>3999</v>
      </c>
    </row>
    <row r="2027">
      <c r="A2027" s="45" t="s">
        <v>234</v>
      </c>
      <c r="B2027" s="45" t="s">
        <v>3297</v>
      </c>
      <c r="C2027" s="45">
        <v>112.0</v>
      </c>
      <c r="D2027" s="45">
        <v>39033.0</v>
      </c>
      <c r="E2027" s="45" t="s">
        <v>3993</v>
      </c>
      <c r="F2027" s="45" t="s">
        <v>3997</v>
      </c>
      <c r="G2027" s="45" t="s">
        <v>3999</v>
      </c>
    </row>
    <row r="2028">
      <c r="A2028" s="45" t="s">
        <v>1430</v>
      </c>
      <c r="B2028" s="45" t="s">
        <v>3297</v>
      </c>
      <c r="C2028" s="45">
        <v>111.0</v>
      </c>
      <c r="D2028" s="45">
        <v>39035.0</v>
      </c>
      <c r="E2028" s="45" t="s">
        <v>3993</v>
      </c>
      <c r="F2028" s="45" t="s">
        <v>3997</v>
      </c>
      <c r="G2028" s="45" t="s">
        <v>3999</v>
      </c>
    </row>
    <row r="2029">
      <c r="A2029" s="45" t="s">
        <v>1431</v>
      </c>
      <c r="B2029" s="45" t="s">
        <v>3297</v>
      </c>
      <c r="C2029" s="45">
        <v>112.0</v>
      </c>
      <c r="D2029" s="45">
        <v>39037.0</v>
      </c>
      <c r="E2029" s="45" t="s">
        <v>3993</v>
      </c>
      <c r="F2029" s="45" t="s">
        <v>3997</v>
      </c>
      <c r="G2029" s="45" t="s">
        <v>3999</v>
      </c>
    </row>
    <row r="2030">
      <c r="A2030" s="45" t="s">
        <v>1432</v>
      </c>
      <c r="B2030" s="45" t="s">
        <v>3297</v>
      </c>
      <c r="C2030" s="45">
        <v>112.0</v>
      </c>
      <c r="D2030" s="45">
        <v>39039.0</v>
      </c>
      <c r="E2030" s="45" t="s">
        <v>3993</v>
      </c>
      <c r="F2030" s="45" t="s">
        <v>3997</v>
      </c>
      <c r="G2030" s="45" t="s">
        <v>3999</v>
      </c>
    </row>
    <row r="2031">
      <c r="A2031" s="45" t="s">
        <v>405</v>
      </c>
      <c r="B2031" s="45" t="s">
        <v>3297</v>
      </c>
      <c r="C2031" s="45">
        <v>112.0</v>
      </c>
      <c r="D2031" s="45">
        <v>39041.0</v>
      </c>
      <c r="E2031" s="45" t="s">
        <v>3993</v>
      </c>
      <c r="F2031" s="45" t="s">
        <v>3997</v>
      </c>
      <c r="G2031" s="45" t="s">
        <v>3999</v>
      </c>
    </row>
    <row r="2032">
      <c r="A2032" s="45" t="s">
        <v>1305</v>
      </c>
      <c r="B2032" s="45" t="s">
        <v>3297</v>
      </c>
      <c r="C2032" s="45">
        <v>111.0</v>
      </c>
      <c r="D2032" s="45">
        <v>39043.0</v>
      </c>
      <c r="E2032" s="45" t="s">
        <v>3993</v>
      </c>
      <c r="F2032" s="45" t="s">
        <v>3997</v>
      </c>
      <c r="G2032" s="45" t="s">
        <v>3999</v>
      </c>
    </row>
    <row r="2033">
      <c r="A2033" s="45" t="s">
        <v>394</v>
      </c>
      <c r="B2033" s="45" t="s">
        <v>3297</v>
      </c>
      <c r="C2033" s="45">
        <v>112.0</v>
      </c>
      <c r="D2033" s="45">
        <v>39045.0</v>
      </c>
      <c r="E2033" s="45" t="s">
        <v>3993</v>
      </c>
      <c r="F2033" s="45" t="s">
        <v>3997</v>
      </c>
      <c r="G2033" s="45" t="s">
        <v>3999</v>
      </c>
    </row>
    <row r="2034">
      <c r="A2034" s="45" t="s">
        <v>131</v>
      </c>
      <c r="B2034" s="45" t="s">
        <v>3297</v>
      </c>
      <c r="C2034" s="45">
        <v>113.0</v>
      </c>
      <c r="D2034" s="45">
        <v>39047.0</v>
      </c>
      <c r="E2034" s="45" t="s">
        <v>3993</v>
      </c>
      <c r="F2034" s="45" t="s">
        <v>3997</v>
      </c>
      <c r="G2034" s="45" t="s">
        <v>3999</v>
      </c>
    </row>
    <row r="2035">
      <c r="A2035" s="45" t="s">
        <v>132</v>
      </c>
      <c r="B2035" s="45" t="s">
        <v>3297</v>
      </c>
      <c r="C2035" s="45">
        <v>112.0</v>
      </c>
      <c r="D2035" s="45">
        <v>39049.0</v>
      </c>
      <c r="E2035" s="45" t="s">
        <v>3993</v>
      </c>
      <c r="F2035" s="45" t="s">
        <v>3997</v>
      </c>
      <c r="G2035" s="45" t="s">
        <v>3999</v>
      </c>
    </row>
    <row r="2036">
      <c r="A2036" s="45" t="s">
        <v>240</v>
      </c>
      <c r="B2036" s="45" t="s">
        <v>3297</v>
      </c>
      <c r="C2036" s="45">
        <v>111.0</v>
      </c>
      <c r="D2036" s="45">
        <v>39051.0</v>
      </c>
      <c r="E2036" s="45" t="s">
        <v>3998</v>
      </c>
      <c r="F2036" s="45" t="s">
        <v>3997</v>
      </c>
      <c r="G2036" s="45" t="s">
        <v>3999</v>
      </c>
    </row>
    <row r="2037">
      <c r="A2037" s="45" t="s">
        <v>1433</v>
      </c>
      <c r="B2037" s="45" t="s">
        <v>3297</v>
      </c>
      <c r="C2037" s="45">
        <v>112.0</v>
      </c>
      <c r="D2037" s="45">
        <v>39053.0</v>
      </c>
      <c r="E2037" s="45" t="s">
        <v>3993</v>
      </c>
      <c r="F2037" s="45" t="s">
        <v>3997</v>
      </c>
      <c r="G2037" s="45" t="s">
        <v>3999</v>
      </c>
    </row>
    <row r="2038">
      <c r="A2038" s="45" t="s">
        <v>1434</v>
      </c>
      <c r="B2038" s="45" t="s">
        <v>3297</v>
      </c>
      <c r="C2038" s="45">
        <v>111.0</v>
      </c>
      <c r="D2038" s="45">
        <v>39055.0</v>
      </c>
      <c r="E2038" s="45" t="s">
        <v>3993</v>
      </c>
      <c r="F2038" s="45" t="s">
        <v>3997</v>
      </c>
      <c r="G2038" s="45" t="s">
        <v>3999</v>
      </c>
    </row>
    <row r="2039">
      <c r="A2039" s="45" t="s">
        <v>134</v>
      </c>
      <c r="B2039" s="45" t="s">
        <v>3297</v>
      </c>
      <c r="C2039" s="45">
        <v>113.0</v>
      </c>
      <c r="D2039" s="45">
        <v>39057.0</v>
      </c>
      <c r="E2039" s="45" t="s">
        <v>3993</v>
      </c>
      <c r="F2039" s="45" t="s">
        <v>3997</v>
      </c>
      <c r="G2039" s="45" t="s">
        <v>3999</v>
      </c>
    </row>
    <row r="2040">
      <c r="A2040" s="45" t="s">
        <v>1435</v>
      </c>
      <c r="B2040" s="45" t="s">
        <v>3297</v>
      </c>
      <c r="C2040" s="45">
        <v>112.0</v>
      </c>
      <c r="D2040" s="45">
        <v>39059.0</v>
      </c>
      <c r="E2040" s="45" t="s">
        <v>3993</v>
      </c>
      <c r="F2040" s="45" t="s">
        <v>3997</v>
      </c>
      <c r="G2040" s="45" t="s">
        <v>3999</v>
      </c>
    </row>
    <row r="2041">
      <c r="A2041" s="45" t="s">
        <v>428</v>
      </c>
      <c r="B2041" s="45" t="s">
        <v>3297</v>
      </c>
      <c r="C2041" s="45">
        <v>114.0</v>
      </c>
      <c r="D2041" s="45">
        <v>39061.0</v>
      </c>
      <c r="E2041" s="45" t="s">
        <v>3993</v>
      </c>
      <c r="F2041" s="45" t="s">
        <v>3997</v>
      </c>
      <c r="G2041" s="45" t="s">
        <v>3999</v>
      </c>
    </row>
    <row r="2042">
      <c r="A2042" s="45" t="s">
        <v>512</v>
      </c>
      <c r="B2042" s="45" t="s">
        <v>3297</v>
      </c>
      <c r="C2042" s="45">
        <v>112.0</v>
      </c>
      <c r="D2042" s="45">
        <v>39063.0</v>
      </c>
      <c r="E2042" s="45" t="s">
        <v>3993</v>
      </c>
      <c r="F2042" s="45" t="s">
        <v>3997</v>
      </c>
      <c r="G2042" s="45" t="s">
        <v>3999</v>
      </c>
    </row>
    <row r="2043">
      <c r="A2043" s="45" t="s">
        <v>626</v>
      </c>
      <c r="B2043" s="45" t="s">
        <v>3297</v>
      </c>
      <c r="C2043" s="45">
        <v>112.0</v>
      </c>
      <c r="D2043" s="45">
        <v>39065.0</v>
      </c>
      <c r="E2043" s="45" t="s">
        <v>3993</v>
      </c>
      <c r="F2043" s="45" t="s">
        <v>3997</v>
      </c>
      <c r="G2043" s="45" t="s">
        <v>3999</v>
      </c>
    </row>
    <row r="2044">
      <c r="A2044" s="45" t="s">
        <v>673</v>
      </c>
      <c r="B2044" s="45" t="s">
        <v>3297</v>
      </c>
      <c r="C2044" s="45">
        <v>112.0</v>
      </c>
      <c r="D2044" s="45">
        <v>39067.0</v>
      </c>
      <c r="E2044" s="45" t="s">
        <v>3993</v>
      </c>
      <c r="F2044" s="45" t="s">
        <v>3997</v>
      </c>
      <c r="G2044" s="45" t="s">
        <v>3999</v>
      </c>
    </row>
    <row r="2045">
      <c r="A2045" s="45" t="s">
        <v>136</v>
      </c>
      <c r="B2045" s="45" t="s">
        <v>3297</v>
      </c>
      <c r="C2045" s="45">
        <v>112.0</v>
      </c>
      <c r="D2045" s="45">
        <v>39069.0</v>
      </c>
      <c r="E2045" s="45" t="s">
        <v>3998</v>
      </c>
      <c r="F2045" s="45" t="s">
        <v>3997</v>
      </c>
      <c r="G2045" s="45" t="s">
        <v>3997</v>
      </c>
    </row>
    <row r="2046">
      <c r="A2046" s="45" t="s">
        <v>1436</v>
      </c>
      <c r="B2046" s="45" t="s">
        <v>3297</v>
      </c>
      <c r="C2046" s="45">
        <v>112.0</v>
      </c>
      <c r="D2046" s="45">
        <v>39071.0</v>
      </c>
      <c r="E2046" s="45" t="s">
        <v>3993</v>
      </c>
      <c r="F2046" s="45" t="s">
        <v>3997</v>
      </c>
      <c r="G2046" s="45" t="s">
        <v>3997</v>
      </c>
    </row>
    <row r="2047">
      <c r="A2047" s="45" t="s">
        <v>1437</v>
      </c>
      <c r="B2047" s="45" t="s">
        <v>3297</v>
      </c>
      <c r="C2047" s="45">
        <v>112.0</v>
      </c>
      <c r="D2047" s="45">
        <v>39073.0</v>
      </c>
      <c r="E2047" s="45" t="s">
        <v>3993</v>
      </c>
      <c r="F2047" s="45" t="s">
        <v>3997</v>
      </c>
      <c r="G2047" s="45" t="s">
        <v>3997</v>
      </c>
    </row>
    <row r="2048">
      <c r="A2048" s="45" t="s">
        <v>434</v>
      </c>
      <c r="B2048" s="45" t="s">
        <v>3297</v>
      </c>
      <c r="C2048" s="45">
        <v>112.0</v>
      </c>
      <c r="D2048" s="45">
        <v>39075.0</v>
      </c>
      <c r="E2048" s="45" t="s">
        <v>3993</v>
      </c>
      <c r="F2048" s="45" t="s">
        <v>3997</v>
      </c>
      <c r="G2048" s="45" t="s">
        <v>3997</v>
      </c>
    </row>
    <row r="2049">
      <c r="A2049" s="45" t="s">
        <v>985</v>
      </c>
      <c r="B2049" s="45" t="s">
        <v>3297</v>
      </c>
      <c r="C2049" s="45">
        <v>112.0</v>
      </c>
      <c r="D2049" s="45">
        <v>39077.0</v>
      </c>
      <c r="E2049" s="45" t="s">
        <v>3993</v>
      </c>
      <c r="F2049" s="45" t="s">
        <v>3997</v>
      </c>
      <c r="G2049" s="45" t="s">
        <v>3997</v>
      </c>
    </row>
    <row r="2050">
      <c r="A2050" s="45" t="s">
        <v>138</v>
      </c>
      <c r="B2050" s="45" t="s">
        <v>3297</v>
      </c>
      <c r="C2050" s="45">
        <v>112.0</v>
      </c>
      <c r="D2050" s="45">
        <v>39079.0</v>
      </c>
      <c r="E2050" s="45" t="s">
        <v>3993</v>
      </c>
      <c r="F2050" s="45" t="s">
        <v>3997</v>
      </c>
      <c r="G2050" s="45" t="s">
        <v>3997</v>
      </c>
    </row>
    <row r="2051">
      <c r="A2051" s="45" t="s">
        <v>139</v>
      </c>
      <c r="B2051" s="45" t="s">
        <v>3297</v>
      </c>
      <c r="C2051" s="45">
        <v>112.0</v>
      </c>
      <c r="D2051" s="45">
        <v>39081.0</v>
      </c>
      <c r="E2051" s="45" t="s">
        <v>3993</v>
      </c>
      <c r="F2051" s="45" t="s">
        <v>3997</v>
      </c>
      <c r="G2051" s="45" t="s">
        <v>3997</v>
      </c>
    </row>
    <row r="2052">
      <c r="A2052" s="45" t="s">
        <v>634</v>
      </c>
      <c r="B2052" s="45" t="s">
        <v>3297</v>
      </c>
      <c r="C2052" s="45">
        <v>112.0</v>
      </c>
      <c r="D2052" s="45">
        <v>39083.0</v>
      </c>
      <c r="E2052" s="45" t="s">
        <v>3993</v>
      </c>
      <c r="F2052" s="45" t="s">
        <v>3997</v>
      </c>
      <c r="G2052" s="45" t="s">
        <v>3997</v>
      </c>
    </row>
    <row r="2053">
      <c r="A2053" s="45" t="s">
        <v>298</v>
      </c>
      <c r="B2053" s="45" t="s">
        <v>3297</v>
      </c>
      <c r="C2053" s="45">
        <v>111.0</v>
      </c>
      <c r="D2053" s="45">
        <v>39085.0</v>
      </c>
      <c r="E2053" s="45" t="s">
        <v>3993</v>
      </c>
      <c r="F2053" s="45" t="s">
        <v>3997</v>
      </c>
      <c r="G2053" s="45" t="s">
        <v>3997</v>
      </c>
    </row>
    <row r="2054">
      <c r="A2054" s="45" t="s">
        <v>142</v>
      </c>
      <c r="B2054" s="45" t="s">
        <v>3297</v>
      </c>
      <c r="C2054" s="45">
        <v>112.0</v>
      </c>
      <c r="D2054" s="45">
        <v>39087.0</v>
      </c>
      <c r="E2054" s="45" t="s">
        <v>3993</v>
      </c>
      <c r="F2054" s="45" t="s">
        <v>3997</v>
      </c>
      <c r="G2054" s="45" t="s">
        <v>3997</v>
      </c>
    </row>
    <row r="2055">
      <c r="A2055" s="45" t="s">
        <v>1438</v>
      </c>
      <c r="B2055" s="45" t="s">
        <v>3297</v>
      </c>
      <c r="C2055" s="45">
        <v>112.0</v>
      </c>
      <c r="D2055" s="45">
        <v>39089.0</v>
      </c>
      <c r="E2055" s="45" t="s">
        <v>3993</v>
      </c>
      <c r="F2055" s="45" t="s">
        <v>3997</v>
      </c>
      <c r="G2055" s="45" t="s">
        <v>3997</v>
      </c>
    </row>
    <row r="2056">
      <c r="A2056" s="45" t="s">
        <v>252</v>
      </c>
      <c r="B2056" s="45" t="s">
        <v>3297</v>
      </c>
      <c r="C2056" s="45">
        <v>112.0</v>
      </c>
      <c r="D2056" s="45">
        <v>39091.0</v>
      </c>
      <c r="E2056" s="45" t="s">
        <v>3993</v>
      </c>
      <c r="F2056" s="45" t="s">
        <v>3997</v>
      </c>
      <c r="G2056" s="45" t="s">
        <v>3997</v>
      </c>
    </row>
    <row r="2057">
      <c r="A2057" s="45" t="s">
        <v>1439</v>
      </c>
      <c r="B2057" s="45" t="s">
        <v>3297</v>
      </c>
      <c r="C2057" s="45">
        <v>111.0</v>
      </c>
      <c r="D2057" s="45">
        <v>39093.0</v>
      </c>
      <c r="E2057" s="45" t="s">
        <v>3993</v>
      </c>
      <c r="F2057" s="45" t="s">
        <v>3997</v>
      </c>
      <c r="G2057" s="45" t="s">
        <v>3997</v>
      </c>
    </row>
    <row r="2058">
      <c r="A2058" s="45" t="s">
        <v>728</v>
      </c>
      <c r="B2058" s="45" t="s">
        <v>3297</v>
      </c>
      <c r="C2058" s="45">
        <v>111.0</v>
      </c>
      <c r="D2058" s="45">
        <v>39095.0</v>
      </c>
      <c r="E2058" s="45" t="s">
        <v>3998</v>
      </c>
      <c r="F2058" s="45" t="s">
        <v>3997</v>
      </c>
      <c r="G2058" s="45" t="s">
        <v>3997</v>
      </c>
    </row>
    <row r="2059">
      <c r="A2059" s="45" t="s">
        <v>147</v>
      </c>
      <c r="B2059" s="45" t="s">
        <v>3297</v>
      </c>
      <c r="C2059" s="45">
        <v>113.0</v>
      </c>
      <c r="D2059" s="45">
        <v>39097.0</v>
      </c>
      <c r="E2059" s="45" t="s">
        <v>3993</v>
      </c>
      <c r="F2059" s="45" t="s">
        <v>3997</v>
      </c>
      <c r="G2059" s="45" t="s">
        <v>3997</v>
      </c>
    </row>
    <row r="2060">
      <c r="A2060" s="45" t="s">
        <v>1440</v>
      </c>
      <c r="B2060" s="45" t="s">
        <v>3297</v>
      </c>
      <c r="C2060" s="45">
        <v>111.0</v>
      </c>
      <c r="D2060" s="45">
        <v>39099.0</v>
      </c>
      <c r="E2060" s="45" t="s">
        <v>3993</v>
      </c>
      <c r="F2060" s="45" t="s">
        <v>3997</v>
      </c>
      <c r="G2060" s="45" t="s">
        <v>3997</v>
      </c>
    </row>
    <row r="2061">
      <c r="A2061" s="45" t="s">
        <v>149</v>
      </c>
      <c r="B2061" s="45" t="s">
        <v>3297</v>
      </c>
      <c r="C2061" s="45">
        <v>112.0</v>
      </c>
      <c r="D2061" s="45">
        <v>39101.0</v>
      </c>
      <c r="E2061" s="45" t="s">
        <v>3993</v>
      </c>
      <c r="F2061" s="45" t="s">
        <v>3997</v>
      </c>
      <c r="G2061" s="45" t="s">
        <v>3997</v>
      </c>
    </row>
    <row r="2062">
      <c r="A2062" s="45" t="s">
        <v>1441</v>
      </c>
      <c r="B2062" s="45" t="s">
        <v>3297</v>
      </c>
      <c r="C2062" s="45">
        <v>111.0</v>
      </c>
      <c r="D2062" s="45">
        <v>39103.0</v>
      </c>
      <c r="E2062" s="45" t="s">
        <v>3993</v>
      </c>
      <c r="F2062" s="45" t="s">
        <v>3997</v>
      </c>
      <c r="G2062" s="45" t="s">
        <v>3997</v>
      </c>
    </row>
    <row r="2063">
      <c r="A2063" s="45" t="s">
        <v>1442</v>
      </c>
      <c r="B2063" s="45" t="s">
        <v>3297</v>
      </c>
      <c r="C2063" s="45">
        <v>112.0</v>
      </c>
      <c r="D2063" s="45">
        <v>39105.0</v>
      </c>
      <c r="E2063" s="45" t="s">
        <v>3993</v>
      </c>
      <c r="F2063" s="45" t="s">
        <v>3997</v>
      </c>
      <c r="G2063" s="45" t="s">
        <v>3997</v>
      </c>
    </row>
    <row r="2064">
      <c r="A2064" s="45" t="s">
        <v>644</v>
      </c>
      <c r="B2064" s="45" t="s">
        <v>3297</v>
      </c>
      <c r="C2064" s="45">
        <v>112.0</v>
      </c>
      <c r="D2064" s="45">
        <v>39107.0</v>
      </c>
      <c r="E2064" s="45" t="s">
        <v>3993</v>
      </c>
      <c r="F2064" s="45" t="s">
        <v>3997</v>
      </c>
      <c r="G2064" s="45" t="s">
        <v>3997</v>
      </c>
    </row>
    <row r="2065">
      <c r="A2065" s="45" t="s">
        <v>681</v>
      </c>
      <c r="B2065" s="45" t="s">
        <v>3297</v>
      </c>
      <c r="C2065" s="45">
        <v>113.0</v>
      </c>
      <c r="D2065" s="45">
        <v>39109.0</v>
      </c>
      <c r="E2065" s="45" t="s">
        <v>3993</v>
      </c>
      <c r="F2065" s="45" t="s">
        <v>3997</v>
      </c>
      <c r="G2065" s="45" t="s">
        <v>3997</v>
      </c>
    </row>
    <row r="2066">
      <c r="A2066" s="45" t="s">
        <v>152</v>
      </c>
      <c r="B2066" s="45" t="s">
        <v>3297</v>
      </c>
      <c r="C2066" s="45">
        <v>112.0</v>
      </c>
      <c r="D2066" s="45">
        <v>39111.0</v>
      </c>
      <c r="E2066" s="45" t="s">
        <v>3993</v>
      </c>
      <c r="F2066" s="45" t="s">
        <v>3997</v>
      </c>
      <c r="G2066" s="45" t="s">
        <v>3997</v>
      </c>
    </row>
    <row r="2067">
      <c r="A2067" s="45" t="s">
        <v>153</v>
      </c>
      <c r="B2067" s="45" t="s">
        <v>3297</v>
      </c>
      <c r="C2067" s="45">
        <v>113.0</v>
      </c>
      <c r="D2067" s="45">
        <v>39113.0</v>
      </c>
      <c r="E2067" s="45" t="s">
        <v>3993</v>
      </c>
      <c r="F2067" s="45" t="s">
        <v>3997</v>
      </c>
      <c r="G2067" s="45" t="s">
        <v>3997</v>
      </c>
    </row>
    <row r="2068">
      <c r="A2068" s="45" t="s">
        <v>154</v>
      </c>
      <c r="B2068" s="45" t="s">
        <v>3297</v>
      </c>
      <c r="C2068" s="45">
        <v>112.0</v>
      </c>
      <c r="D2068" s="45">
        <v>39115.0</v>
      </c>
      <c r="E2068" s="45" t="s">
        <v>3993</v>
      </c>
      <c r="F2068" s="45" t="s">
        <v>3997</v>
      </c>
      <c r="G2068" s="45" t="s">
        <v>3997</v>
      </c>
    </row>
    <row r="2069">
      <c r="A2069" s="45" t="s">
        <v>1443</v>
      </c>
      <c r="B2069" s="45" t="s">
        <v>3297</v>
      </c>
      <c r="C2069" s="45">
        <v>112.0</v>
      </c>
      <c r="D2069" s="45">
        <v>39117.0</v>
      </c>
      <c r="E2069" s="45" t="s">
        <v>3993</v>
      </c>
      <c r="F2069" s="45" t="s">
        <v>3997</v>
      </c>
      <c r="G2069" s="45" t="s">
        <v>3997</v>
      </c>
    </row>
    <row r="2070">
      <c r="A2070" s="45" t="s">
        <v>1444</v>
      </c>
      <c r="B2070" s="45" t="s">
        <v>3297</v>
      </c>
      <c r="C2070" s="45">
        <v>112.0</v>
      </c>
      <c r="D2070" s="45">
        <v>39119.0</v>
      </c>
      <c r="E2070" s="45" t="s">
        <v>3993</v>
      </c>
      <c r="F2070" s="45" t="s">
        <v>3997</v>
      </c>
      <c r="G2070" s="45" t="s">
        <v>3997</v>
      </c>
    </row>
    <row r="2071">
      <c r="A2071" s="45" t="s">
        <v>682</v>
      </c>
      <c r="B2071" s="45" t="s">
        <v>3297</v>
      </c>
      <c r="C2071" s="45">
        <v>112.0</v>
      </c>
      <c r="D2071" s="45">
        <v>39121.0</v>
      </c>
      <c r="E2071" s="45" t="s">
        <v>3993</v>
      </c>
      <c r="F2071" s="45" t="s">
        <v>3997</v>
      </c>
      <c r="G2071" s="45" t="s">
        <v>3997</v>
      </c>
    </row>
    <row r="2072">
      <c r="A2072" s="45" t="s">
        <v>792</v>
      </c>
      <c r="B2072" s="45" t="s">
        <v>3297</v>
      </c>
      <c r="C2072" s="45">
        <v>111.0</v>
      </c>
      <c r="D2072" s="45">
        <v>39123.0</v>
      </c>
      <c r="E2072" s="45" t="s">
        <v>3993</v>
      </c>
      <c r="F2072" s="45" t="s">
        <v>3997</v>
      </c>
      <c r="G2072" s="45" t="s">
        <v>3997</v>
      </c>
    </row>
    <row r="2073">
      <c r="A2073" s="45" t="s">
        <v>534</v>
      </c>
      <c r="B2073" s="45" t="s">
        <v>3297</v>
      </c>
      <c r="C2073" s="45">
        <v>112.0</v>
      </c>
      <c r="D2073" s="45">
        <v>39125.0</v>
      </c>
      <c r="E2073" s="45" t="s">
        <v>3993</v>
      </c>
      <c r="F2073" s="45" t="s">
        <v>3997</v>
      </c>
      <c r="G2073" s="45" t="s">
        <v>3997</v>
      </c>
    </row>
    <row r="2074">
      <c r="A2074" s="45" t="s">
        <v>155</v>
      </c>
      <c r="B2074" s="45" t="s">
        <v>3297</v>
      </c>
      <c r="C2074" s="45">
        <v>112.0</v>
      </c>
      <c r="D2074" s="45">
        <v>39127.0</v>
      </c>
      <c r="E2074" s="45" t="s">
        <v>3993</v>
      </c>
      <c r="F2074" s="45" t="s">
        <v>3997</v>
      </c>
      <c r="G2074" s="45" t="s">
        <v>3997</v>
      </c>
    </row>
    <row r="2075">
      <c r="A2075" s="45" t="s">
        <v>1445</v>
      </c>
      <c r="B2075" s="45" t="s">
        <v>3297</v>
      </c>
      <c r="C2075" s="45">
        <v>112.0</v>
      </c>
      <c r="D2075" s="45">
        <v>39129.0</v>
      </c>
      <c r="E2075" s="45" t="s">
        <v>3993</v>
      </c>
      <c r="F2075" s="45" t="s">
        <v>3997</v>
      </c>
      <c r="G2075" s="45" t="s">
        <v>3997</v>
      </c>
    </row>
    <row r="2076">
      <c r="A2076" s="45" t="s">
        <v>157</v>
      </c>
      <c r="B2076" s="45" t="s">
        <v>3297</v>
      </c>
      <c r="C2076" s="45">
        <v>112.0</v>
      </c>
      <c r="D2076" s="45">
        <v>39131.0</v>
      </c>
      <c r="E2076" s="45" t="s">
        <v>3993</v>
      </c>
      <c r="F2076" s="45" t="s">
        <v>3997</v>
      </c>
      <c r="G2076" s="45" t="s">
        <v>3997</v>
      </c>
    </row>
    <row r="2077">
      <c r="A2077" s="45" t="s">
        <v>1446</v>
      </c>
      <c r="B2077" s="45" t="s">
        <v>3297</v>
      </c>
      <c r="C2077" s="45">
        <v>111.0</v>
      </c>
      <c r="D2077" s="45">
        <v>39133.0</v>
      </c>
      <c r="E2077" s="45" t="s">
        <v>3993</v>
      </c>
      <c r="F2077" s="45" t="s">
        <v>3997</v>
      </c>
      <c r="G2077" s="45" t="s">
        <v>3997</v>
      </c>
    </row>
    <row r="2078">
      <c r="A2078" s="45" t="s">
        <v>1447</v>
      </c>
      <c r="B2078" s="45" t="s">
        <v>3297</v>
      </c>
      <c r="C2078" s="45">
        <v>113.0</v>
      </c>
      <c r="D2078" s="45">
        <v>39135.0</v>
      </c>
      <c r="E2078" s="45" t="s">
        <v>3993</v>
      </c>
      <c r="F2078" s="45" t="s">
        <v>3997</v>
      </c>
      <c r="G2078" s="45" t="s">
        <v>3997</v>
      </c>
    </row>
    <row r="2079">
      <c r="A2079" s="45" t="s">
        <v>449</v>
      </c>
      <c r="B2079" s="45" t="s">
        <v>3297</v>
      </c>
      <c r="C2079" s="45">
        <v>112.0</v>
      </c>
      <c r="D2079" s="45">
        <v>39137.0</v>
      </c>
      <c r="E2079" s="45" t="s">
        <v>3993</v>
      </c>
      <c r="F2079" s="45" t="s">
        <v>3997</v>
      </c>
      <c r="G2079" s="45" t="s">
        <v>3997</v>
      </c>
    </row>
    <row r="2080">
      <c r="A2080" s="45" t="s">
        <v>649</v>
      </c>
      <c r="B2080" s="45" t="s">
        <v>3297</v>
      </c>
      <c r="C2080" s="45">
        <v>112.0</v>
      </c>
      <c r="D2080" s="45">
        <v>39139.0</v>
      </c>
      <c r="E2080" s="45" t="s">
        <v>3993</v>
      </c>
      <c r="F2080" s="45" t="s">
        <v>3997</v>
      </c>
      <c r="G2080" s="45" t="s">
        <v>3997</v>
      </c>
    </row>
    <row r="2081">
      <c r="A2081" s="45" t="s">
        <v>1448</v>
      </c>
      <c r="B2081" s="45" t="s">
        <v>3297</v>
      </c>
      <c r="C2081" s="45">
        <v>112.0</v>
      </c>
      <c r="D2081" s="45">
        <v>39141.0</v>
      </c>
      <c r="E2081" s="45" t="s">
        <v>3993</v>
      </c>
      <c r="F2081" s="45" t="s">
        <v>3997</v>
      </c>
      <c r="G2081" s="45" t="s">
        <v>3997</v>
      </c>
    </row>
    <row r="2082">
      <c r="A2082" s="45" t="s">
        <v>1449</v>
      </c>
      <c r="B2082" s="45" t="s">
        <v>3297</v>
      </c>
      <c r="C2082" s="45">
        <v>111.0</v>
      </c>
      <c r="D2082" s="45">
        <v>39143.0</v>
      </c>
      <c r="E2082" s="45" t="s">
        <v>3993</v>
      </c>
      <c r="F2082" s="45" t="s">
        <v>3997</v>
      </c>
      <c r="G2082" s="45" t="s">
        <v>3997</v>
      </c>
    </row>
    <row r="2083">
      <c r="A2083" s="45" t="s">
        <v>1450</v>
      </c>
      <c r="B2083" s="45" t="s">
        <v>3297</v>
      </c>
      <c r="C2083" s="45">
        <v>112.0</v>
      </c>
      <c r="D2083" s="45">
        <v>39145.0</v>
      </c>
      <c r="E2083" s="45" t="s">
        <v>3993</v>
      </c>
      <c r="F2083" s="45" t="s">
        <v>3997</v>
      </c>
      <c r="G2083" s="45" t="s">
        <v>3997</v>
      </c>
    </row>
    <row r="2084">
      <c r="A2084" s="45" t="s">
        <v>1318</v>
      </c>
      <c r="B2084" s="45" t="s">
        <v>3297</v>
      </c>
      <c r="C2084" s="45">
        <v>112.0</v>
      </c>
      <c r="D2084" s="45">
        <v>39147.0</v>
      </c>
      <c r="E2084" s="45" t="s">
        <v>3993</v>
      </c>
      <c r="F2084" s="45" t="s">
        <v>3997</v>
      </c>
      <c r="G2084" s="45" t="s">
        <v>3997</v>
      </c>
    </row>
    <row r="2085">
      <c r="A2085" s="45" t="s">
        <v>161</v>
      </c>
      <c r="B2085" s="45" t="s">
        <v>3297</v>
      </c>
      <c r="C2085" s="45">
        <v>112.0</v>
      </c>
      <c r="D2085" s="45">
        <v>39149.0</v>
      </c>
      <c r="E2085" s="45" t="s">
        <v>3993</v>
      </c>
      <c r="F2085" s="45" t="s">
        <v>3997</v>
      </c>
      <c r="G2085" s="45" t="s">
        <v>3997</v>
      </c>
    </row>
    <row r="2086">
      <c r="A2086" s="45" t="s">
        <v>653</v>
      </c>
      <c r="B2086" s="45" t="s">
        <v>3297</v>
      </c>
      <c r="C2086" s="45">
        <v>111.0</v>
      </c>
      <c r="D2086" s="45">
        <v>39151.0</v>
      </c>
      <c r="E2086" s="45" t="s">
        <v>3993</v>
      </c>
      <c r="F2086" s="45" t="s">
        <v>3997</v>
      </c>
      <c r="G2086" s="45" t="s">
        <v>3997</v>
      </c>
    </row>
    <row r="2087">
      <c r="A2087" s="45" t="s">
        <v>391</v>
      </c>
      <c r="B2087" s="45" t="s">
        <v>3297</v>
      </c>
      <c r="C2087" s="45">
        <v>111.0</v>
      </c>
      <c r="D2087" s="45">
        <v>39153.0</v>
      </c>
      <c r="E2087" s="45" t="s">
        <v>3993</v>
      </c>
      <c r="F2087" s="45" t="s">
        <v>3997</v>
      </c>
      <c r="G2087" s="45" t="s">
        <v>3997</v>
      </c>
    </row>
    <row r="2088">
      <c r="A2088" s="45" t="s">
        <v>1451</v>
      </c>
      <c r="B2088" s="45" t="s">
        <v>3297</v>
      </c>
      <c r="C2088" s="45">
        <v>111.0</v>
      </c>
      <c r="D2088" s="45">
        <v>39155.0</v>
      </c>
      <c r="E2088" s="45" t="s">
        <v>3993</v>
      </c>
      <c r="F2088" s="45" t="s">
        <v>3997</v>
      </c>
      <c r="G2088" s="45" t="s">
        <v>3997</v>
      </c>
    </row>
    <row r="2089">
      <c r="A2089" s="45" t="s">
        <v>1452</v>
      </c>
      <c r="B2089" s="45" t="s">
        <v>3297</v>
      </c>
      <c r="C2089" s="45">
        <v>112.0</v>
      </c>
      <c r="D2089" s="45">
        <v>39157.0</v>
      </c>
      <c r="E2089" s="45" t="s">
        <v>3993</v>
      </c>
      <c r="F2089" s="45" t="s">
        <v>3997</v>
      </c>
      <c r="G2089" s="45" t="s">
        <v>3997</v>
      </c>
    </row>
    <row r="2090">
      <c r="A2090" s="45" t="s">
        <v>273</v>
      </c>
      <c r="B2090" s="45" t="s">
        <v>3297</v>
      </c>
      <c r="C2090" s="45">
        <v>112.0</v>
      </c>
      <c r="D2090" s="45">
        <v>39159.0</v>
      </c>
      <c r="E2090" s="45" t="s">
        <v>3993</v>
      </c>
      <c r="F2090" s="45" t="s">
        <v>3997</v>
      </c>
      <c r="G2090" s="45" t="s">
        <v>3997</v>
      </c>
    </row>
    <row r="2091">
      <c r="A2091" s="45" t="s">
        <v>1453</v>
      </c>
      <c r="B2091" s="45" t="s">
        <v>3297</v>
      </c>
      <c r="C2091" s="45">
        <v>112.0</v>
      </c>
      <c r="D2091" s="45">
        <v>39161.0</v>
      </c>
      <c r="E2091" s="45" t="s">
        <v>3993</v>
      </c>
      <c r="F2091" s="45" t="s">
        <v>3997</v>
      </c>
      <c r="G2091" s="45" t="s">
        <v>3997</v>
      </c>
    </row>
    <row r="2092">
      <c r="A2092" s="45" t="s">
        <v>1454</v>
      </c>
      <c r="B2092" s="45" t="s">
        <v>3297</v>
      </c>
      <c r="C2092" s="45">
        <v>112.0</v>
      </c>
      <c r="D2092" s="45">
        <v>39163.0</v>
      </c>
      <c r="E2092" s="45" t="s">
        <v>3993</v>
      </c>
      <c r="F2092" s="45" t="s">
        <v>3997</v>
      </c>
      <c r="G2092" s="45" t="s">
        <v>3997</v>
      </c>
    </row>
    <row r="2093">
      <c r="A2093" s="45" t="s">
        <v>561</v>
      </c>
      <c r="B2093" s="45" t="s">
        <v>3297</v>
      </c>
      <c r="C2093" s="45">
        <v>114.0</v>
      </c>
      <c r="D2093" s="45">
        <v>39165.0</v>
      </c>
      <c r="E2093" s="45" t="s">
        <v>3993</v>
      </c>
      <c r="F2093" s="45" t="s">
        <v>3997</v>
      </c>
      <c r="G2093" s="45" t="s">
        <v>3997</v>
      </c>
    </row>
    <row r="2094">
      <c r="A2094" s="45" t="s">
        <v>167</v>
      </c>
      <c r="B2094" s="45" t="s">
        <v>3297</v>
      </c>
      <c r="C2094" s="45">
        <v>112.0</v>
      </c>
      <c r="D2094" s="45">
        <v>39167.0</v>
      </c>
      <c r="E2094" s="45" t="s">
        <v>3993</v>
      </c>
      <c r="F2094" s="45" t="s">
        <v>3997</v>
      </c>
      <c r="G2094" s="45" t="s">
        <v>3997</v>
      </c>
    </row>
    <row r="2095">
      <c r="A2095" s="45" t="s">
        <v>562</v>
      </c>
      <c r="B2095" s="45" t="s">
        <v>3297</v>
      </c>
      <c r="C2095" s="45">
        <v>112.0</v>
      </c>
      <c r="D2095" s="45">
        <v>39169.0</v>
      </c>
      <c r="E2095" s="45" t="s">
        <v>3993</v>
      </c>
      <c r="F2095" s="45" t="s">
        <v>3997</v>
      </c>
      <c r="G2095" s="45" t="s">
        <v>3997</v>
      </c>
    </row>
    <row r="2096">
      <c r="A2096" s="45" t="s">
        <v>1421</v>
      </c>
      <c r="B2096" s="45" t="s">
        <v>3297</v>
      </c>
      <c r="C2096" s="45">
        <v>112.0</v>
      </c>
      <c r="D2096" s="45">
        <v>39171.0</v>
      </c>
      <c r="E2096" s="45" t="s">
        <v>3998</v>
      </c>
      <c r="F2096" s="45" t="s">
        <v>3997</v>
      </c>
      <c r="G2096" s="45" t="s">
        <v>3997</v>
      </c>
    </row>
    <row r="2097">
      <c r="A2097" s="45" t="s">
        <v>1455</v>
      </c>
      <c r="B2097" s="45" t="s">
        <v>3297</v>
      </c>
      <c r="C2097" s="45">
        <v>111.0</v>
      </c>
      <c r="D2097" s="45">
        <v>39173.0</v>
      </c>
      <c r="E2097" s="45" t="s">
        <v>3993</v>
      </c>
      <c r="F2097" s="45" t="s">
        <v>3997</v>
      </c>
      <c r="G2097" s="45" t="s">
        <v>3997</v>
      </c>
    </row>
    <row r="2098">
      <c r="A2098" s="45" t="s">
        <v>1456</v>
      </c>
      <c r="B2098" s="45" t="s">
        <v>3297</v>
      </c>
      <c r="C2098" s="45">
        <v>112.0</v>
      </c>
      <c r="D2098" s="45">
        <v>39175.0</v>
      </c>
      <c r="E2098" s="45" t="s">
        <v>3993</v>
      </c>
      <c r="F2098" s="45" t="s">
        <v>3997</v>
      </c>
      <c r="G2098" s="45" t="s">
        <v>3997</v>
      </c>
    </row>
    <row r="2099">
      <c r="A2099" s="45" t="s">
        <v>704</v>
      </c>
      <c r="B2099" s="45" t="s">
        <v>3333</v>
      </c>
      <c r="C2099" s="45">
        <v>51.0</v>
      </c>
      <c r="D2099" s="45">
        <v>40001.0</v>
      </c>
      <c r="E2099" s="45" t="s">
        <v>3977</v>
      </c>
      <c r="F2099" s="45" t="s">
        <v>3976</v>
      </c>
      <c r="G2099" s="45" t="s">
        <v>3997</v>
      </c>
    </row>
    <row r="2100">
      <c r="A2100" s="45" t="s">
        <v>1458</v>
      </c>
      <c r="B2100" s="45" t="s">
        <v>3333</v>
      </c>
      <c r="C2100" s="45">
        <v>50.0</v>
      </c>
      <c r="D2100" s="45">
        <v>40003.0</v>
      </c>
      <c r="E2100" s="45" t="s">
        <v>3975</v>
      </c>
      <c r="F2100" s="45" t="s">
        <v>3976</v>
      </c>
      <c r="G2100" s="45" t="s">
        <v>3997</v>
      </c>
    </row>
    <row r="2101">
      <c r="A2101" s="45" t="s">
        <v>1459</v>
      </c>
      <c r="B2101" s="45" t="s">
        <v>3333</v>
      </c>
      <c r="C2101" s="45">
        <v>50.0</v>
      </c>
      <c r="D2101" s="45">
        <v>40005.0</v>
      </c>
      <c r="E2101" s="45" t="s">
        <v>3977</v>
      </c>
      <c r="F2101" s="45" t="s">
        <v>3976</v>
      </c>
      <c r="G2101" s="45" t="s">
        <v>3997</v>
      </c>
    </row>
    <row r="2102">
      <c r="A2102" s="45" t="s">
        <v>1460</v>
      </c>
      <c r="B2102" s="45" t="s">
        <v>3333</v>
      </c>
      <c r="C2102" s="45">
        <v>49.0</v>
      </c>
      <c r="D2102" s="45">
        <v>40007.0</v>
      </c>
      <c r="E2102" s="45" t="s">
        <v>3975</v>
      </c>
      <c r="F2102" s="45" t="s">
        <v>3976</v>
      </c>
      <c r="G2102" s="45" t="s">
        <v>3997</v>
      </c>
    </row>
    <row r="2103">
      <c r="A2103" s="45" t="s">
        <v>1461</v>
      </c>
      <c r="B2103" s="45" t="s">
        <v>3333</v>
      </c>
      <c r="C2103" s="45">
        <v>50.0</v>
      </c>
      <c r="D2103" s="45">
        <v>40009.0</v>
      </c>
      <c r="E2103" s="45" t="s">
        <v>3977</v>
      </c>
      <c r="F2103" s="45" t="s">
        <v>3976</v>
      </c>
      <c r="G2103" s="45" t="s">
        <v>3997</v>
      </c>
    </row>
    <row r="2104">
      <c r="A2104" s="45" t="s">
        <v>581</v>
      </c>
      <c r="B2104" s="45" t="s">
        <v>3333</v>
      </c>
      <c r="C2104" s="45">
        <v>50.0</v>
      </c>
      <c r="D2104" s="45">
        <v>40011.0</v>
      </c>
      <c r="E2104" s="45" t="s">
        <v>3977</v>
      </c>
      <c r="F2104" s="45" t="s">
        <v>3976</v>
      </c>
      <c r="G2104" s="45" t="s">
        <v>3997</v>
      </c>
    </row>
    <row r="2105">
      <c r="A2105" s="45" t="s">
        <v>472</v>
      </c>
      <c r="B2105" s="45" t="s">
        <v>3333</v>
      </c>
      <c r="C2105" s="45">
        <v>50.0</v>
      </c>
      <c r="D2105" s="45">
        <v>40013.0</v>
      </c>
      <c r="E2105" s="45" t="s">
        <v>3977</v>
      </c>
      <c r="F2105" s="45" t="s">
        <v>3976</v>
      </c>
      <c r="G2105" s="45" t="s">
        <v>3997</v>
      </c>
    </row>
    <row r="2106">
      <c r="A2106" s="45" t="s">
        <v>882</v>
      </c>
      <c r="B2106" s="45" t="s">
        <v>3333</v>
      </c>
      <c r="C2106" s="45">
        <v>50.0</v>
      </c>
      <c r="D2106" s="45">
        <v>40015.0</v>
      </c>
      <c r="E2106" s="45" t="s">
        <v>3977</v>
      </c>
      <c r="F2106" s="45" t="s">
        <v>3976</v>
      </c>
      <c r="G2106" s="45" t="s">
        <v>3997</v>
      </c>
    </row>
    <row r="2107">
      <c r="A2107" s="45" t="s">
        <v>1462</v>
      </c>
      <c r="B2107" s="45" t="s">
        <v>3333</v>
      </c>
      <c r="C2107" s="45">
        <v>50.0</v>
      </c>
      <c r="D2107" s="45">
        <v>40017.0</v>
      </c>
      <c r="E2107" s="45" t="s">
        <v>3977</v>
      </c>
      <c r="F2107" s="45" t="s">
        <v>3976</v>
      </c>
      <c r="G2107" s="45" t="s">
        <v>3997</v>
      </c>
    </row>
    <row r="2108">
      <c r="A2108" s="45" t="s">
        <v>833</v>
      </c>
      <c r="B2108" s="45" t="s">
        <v>3333</v>
      </c>
      <c r="C2108" s="45">
        <v>50.0</v>
      </c>
      <c r="D2108" s="45">
        <v>40019.0</v>
      </c>
      <c r="E2108" s="45" t="s">
        <v>3977</v>
      </c>
      <c r="F2108" s="45" t="s">
        <v>3976</v>
      </c>
      <c r="G2108" s="45" t="s">
        <v>3997</v>
      </c>
    </row>
    <row r="2109">
      <c r="A2109" s="45" t="s">
        <v>112</v>
      </c>
      <c r="B2109" s="45" t="s">
        <v>3333</v>
      </c>
      <c r="C2109" s="45">
        <v>51.0</v>
      </c>
      <c r="D2109" s="45">
        <v>40021.0</v>
      </c>
      <c r="E2109" s="45" t="s">
        <v>3977</v>
      </c>
      <c r="F2109" s="45" t="s">
        <v>3976</v>
      </c>
      <c r="G2109" s="45" t="s">
        <v>3997</v>
      </c>
    </row>
    <row r="2110">
      <c r="A2110" s="45" t="s">
        <v>114</v>
      </c>
      <c r="B2110" s="45" t="s">
        <v>3333</v>
      </c>
      <c r="C2110" s="45">
        <v>50.0</v>
      </c>
      <c r="D2110" s="45">
        <v>40023.0</v>
      </c>
      <c r="E2110" s="45" t="s">
        <v>3977</v>
      </c>
      <c r="F2110" s="45" t="s">
        <v>3976</v>
      </c>
      <c r="G2110" s="45" t="s">
        <v>3997</v>
      </c>
    </row>
    <row r="2111">
      <c r="A2111" s="45" t="s">
        <v>1463</v>
      </c>
      <c r="B2111" s="45" t="s">
        <v>3333</v>
      </c>
      <c r="C2111" s="45">
        <v>49.0</v>
      </c>
      <c r="D2111" s="45">
        <v>40025.0</v>
      </c>
      <c r="E2111" s="45" t="s">
        <v>3977</v>
      </c>
      <c r="F2111" s="45" t="s">
        <v>3976</v>
      </c>
      <c r="G2111" s="45" t="s">
        <v>3997</v>
      </c>
    </row>
    <row r="2112">
      <c r="A2112" s="45" t="s">
        <v>230</v>
      </c>
      <c r="B2112" s="45" t="s">
        <v>3333</v>
      </c>
      <c r="C2112" s="45">
        <v>50.0</v>
      </c>
      <c r="D2112" s="45">
        <v>40027.0</v>
      </c>
      <c r="E2112" s="45" t="s">
        <v>3977</v>
      </c>
      <c r="F2112" s="45" t="s">
        <v>3976</v>
      </c>
      <c r="G2112" s="45" t="s">
        <v>3997</v>
      </c>
    </row>
    <row r="2113">
      <c r="A2113" s="45" t="s">
        <v>1464</v>
      </c>
      <c r="B2113" s="45" t="s">
        <v>3333</v>
      </c>
      <c r="C2113" s="45">
        <v>50.0</v>
      </c>
      <c r="D2113" s="45">
        <v>40029.0</v>
      </c>
      <c r="E2113" s="45" t="s">
        <v>3977</v>
      </c>
      <c r="F2113" s="45" t="s">
        <v>3976</v>
      </c>
      <c r="G2113" s="45" t="s">
        <v>3997</v>
      </c>
    </row>
    <row r="2114">
      <c r="A2114" s="45" t="s">
        <v>760</v>
      </c>
      <c r="B2114" s="45" t="s">
        <v>3333</v>
      </c>
      <c r="C2114" s="45">
        <v>50.0</v>
      </c>
      <c r="D2114" s="45">
        <v>40031.0</v>
      </c>
      <c r="E2114" s="45" t="s">
        <v>3977</v>
      </c>
      <c r="F2114" s="45" t="s">
        <v>3976</v>
      </c>
      <c r="G2114" s="45" t="s">
        <v>3997</v>
      </c>
    </row>
    <row r="2115">
      <c r="A2115" s="45" t="s">
        <v>1465</v>
      </c>
      <c r="B2115" s="45" t="s">
        <v>3333</v>
      </c>
      <c r="C2115" s="45">
        <v>50.0</v>
      </c>
      <c r="D2115" s="45">
        <v>40033.0</v>
      </c>
      <c r="E2115" s="45" t="s">
        <v>3977</v>
      </c>
      <c r="F2115" s="45" t="s">
        <v>3976</v>
      </c>
      <c r="G2115" s="45" t="s">
        <v>3997</v>
      </c>
    </row>
    <row r="2116">
      <c r="A2116" s="45" t="s">
        <v>1466</v>
      </c>
      <c r="B2116" s="45" t="s">
        <v>3333</v>
      </c>
      <c r="C2116" s="45">
        <v>51.0</v>
      </c>
      <c r="D2116" s="45">
        <v>40035.0</v>
      </c>
      <c r="E2116" s="45" t="s">
        <v>3975</v>
      </c>
      <c r="F2116" s="45" t="s">
        <v>3976</v>
      </c>
      <c r="G2116" s="45" t="s">
        <v>3997</v>
      </c>
    </row>
    <row r="2117">
      <c r="A2117" s="45" t="s">
        <v>1467</v>
      </c>
      <c r="B2117" s="45" t="s">
        <v>3333</v>
      </c>
      <c r="C2117" s="45">
        <v>51.0</v>
      </c>
      <c r="D2117" s="45">
        <v>40037.0</v>
      </c>
      <c r="E2117" s="45" t="s">
        <v>3977</v>
      </c>
      <c r="F2117" s="45" t="s">
        <v>3976</v>
      </c>
      <c r="G2117" s="45" t="s">
        <v>3997</v>
      </c>
    </row>
    <row r="2118">
      <c r="A2118" s="45" t="s">
        <v>353</v>
      </c>
      <c r="B2118" s="45" t="s">
        <v>3333</v>
      </c>
      <c r="C2118" s="45">
        <v>50.0</v>
      </c>
      <c r="D2118" s="45">
        <v>40039.0</v>
      </c>
      <c r="E2118" s="45" t="s">
        <v>3977</v>
      </c>
      <c r="F2118" s="45" t="s">
        <v>3976</v>
      </c>
      <c r="G2118" s="45" t="s">
        <v>3997</v>
      </c>
    </row>
    <row r="2119">
      <c r="A2119" s="45" t="s">
        <v>405</v>
      </c>
      <c r="B2119" s="45" t="s">
        <v>3333</v>
      </c>
      <c r="C2119" s="45">
        <v>51.0</v>
      </c>
      <c r="D2119" s="45">
        <v>40041.0</v>
      </c>
      <c r="E2119" s="45" t="s">
        <v>3975</v>
      </c>
      <c r="F2119" s="45" t="s">
        <v>3976</v>
      </c>
      <c r="G2119" s="45" t="s">
        <v>3997</v>
      </c>
    </row>
    <row r="2120">
      <c r="A2120" s="45" t="s">
        <v>1468</v>
      </c>
      <c r="B2120" s="45" t="s">
        <v>3333</v>
      </c>
      <c r="C2120" s="45">
        <v>50.0</v>
      </c>
      <c r="D2120" s="45">
        <v>40043.0</v>
      </c>
      <c r="E2120" s="45" t="s">
        <v>3977</v>
      </c>
      <c r="F2120" s="45" t="s">
        <v>3976</v>
      </c>
      <c r="G2120" s="45" t="s">
        <v>3997</v>
      </c>
    </row>
    <row r="2121">
      <c r="A2121" s="45" t="s">
        <v>764</v>
      </c>
      <c r="B2121" s="45" t="s">
        <v>3333</v>
      </c>
      <c r="C2121" s="45">
        <v>50.0</v>
      </c>
      <c r="D2121" s="45">
        <v>40045.0</v>
      </c>
      <c r="E2121" s="45" t="s">
        <v>3977</v>
      </c>
      <c r="F2121" s="45" t="s">
        <v>3976</v>
      </c>
      <c r="G2121" s="45" t="s">
        <v>3997</v>
      </c>
    </row>
    <row r="2122">
      <c r="A2122" s="45" t="s">
        <v>362</v>
      </c>
      <c r="B2122" s="45" t="s">
        <v>3333</v>
      </c>
      <c r="C2122" s="45">
        <v>50.0</v>
      </c>
      <c r="D2122" s="45">
        <v>40047.0</v>
      </c>
      <c r="E2122" s="45" t="s">
        <v>3977</v>
      </c>
      <c r="F2122" s="45" t="s">
        <v>3976</v>
      </c>
      <c r="G2122" s="45" t="s">
        <v>3997</v>
      </c>
    </row>
    <row r="2123">
      <c r="A2123" s="45" t="s">
        <v>1469</v>
      </c>
      <c r="B2123" s="45" t="s">
        <v>3333</v>
      </c>
      <c r="C2123" s="45">
        <v>50.0</v>
      </c>
      <c r="D2123" s="45">
        <v>40049.0</v>
      </c>
      <c r="E2123" s="45" t="s">
        <v>3977</v>
      </c>
      <c r="F2123" s="45" t="s">
        <v>3976</v>
      </c>
      <c r="G2123" s="45" t="s">
        <v>3997</v>
      </c>
    </row>
    <row r="2124">
      <c r="A2124" s="45" t="s">
        <v>508</v>
      </c>
      <c r="B2124" s="45" t="s">
        <v>3333</v>
      </c>
      <c r="C2124" s="45">
        <v>50.0</v>
      </c>
      <c r="D2124" s="45">
        <v>40051.0</v>
      </c>
      <c r="E2124" s="45" t="s">
        <v>3977</v>
      </c>
      <c r="F2124" s="45" t="s">
        <v>3976</v>
      </c>
      <c r="G2124" s="45" t="s">
        <v>3997</v>
      </c>
    </row>
    <row r="2125">
      <c r="A2125" s="45" t="s">
        <v>242</v>
      </c>
      <c r="B2125" s="45" t="s">
        <v>3333</v>
      </c>
      <c r="C2125" s="45">
        <v>50.0</v>
      </c>
      <c r="D2125" s="45">
        <v>40053.0</v>
      </c>
      <c r="E2125" s="45" t="s">
        <v>3975</v>
      </c>
      <c r="F2125" s="45" t="s">
        <v>3976</v>
      </c>
      <c r="G2125" s="45" t="s">
        <v>3997</v>
      </c>
    </row>
    <row r="2126">
      <c r="A2126" s="45" t="s">
        <v>1470</v>
      </c>
      <c r="B2126" s="45" t="s">
        <v>3333</v>
      </c>
      <c r="C2126" s="45">
        <v>50.0</v>
      </c>
      <c r="D2126" s="45">
        <v>40055.0</v>
      </c>
      <c r="E2126" s="45" t="s">
        <v>3977</v>
      </c>
      <c r="F2126" s="45" t="s">
        <v>3976</v>
      </c>
      <c r="G2126" s="45" t="s">
        <v>3997</v>
      </c>
    </row>
    <row r="2127">
      <c r="A2127" s="45" t="s">
        <v>1471</v>
      </c>
      <c r="B2127" s="45" t="s">
        <v>3333</v>
      </c>
      <c r="C2127" s="45">
        <v>50.0</v>
      </c>
      <c r="D2127" s="45">
        <v>40057.0</v>
      </c>
      <c r="E2127" s="45" t="s">
        <v>3977</v>
      </c>
      <c r="F2127" s="45" t="s">
        <v>3976</v>
      </c>
      <c r="G2127" s="45" t="s">
        <v>3997</v>
      </c>
    </row>
    <row r="2128">
      <c r="A2128" s="45" t="s">
        <v>772</v>
      </c>
      <c r="B2128" s="45" t="s">
        <v>3333</v>
      </c>
      <c r="C2128" s="45">
        <v>50.0</v>
      </c>
      <c r="D2128" s="45">
        <v>40059.0</v>
      </c>
      <c r="E2128" s="45" t="s">
        <v>3975</v>
      </c>
      <c r="F2128" s="45" t="s">
        <v>3976</v>
      </c>
      <c r="G2128" s="45" t="s">
        <v>3997</v>
      </c>
    </row>
    <row r="2129">
      <c r="A2129" s="45" t="s">
        <v>774</v>
      </c>
      <c r="B2129" s="45" t="s">
        <v>3333</v>
      </c>
      <c r="C2129" s="45">
        <v>50.0</v>
      </c>
      <c r="D2129" s="45">
        <v>40061.0</v>
      </c>
      <c r="E2129" s="45" t="s">
        <v>3977</v>
      </c>
      <c r="F2129" s="45" t="s">
        <v>3976</v>
      </c>
      <c r="G2129" s="45" t="s">
        <v>3997</v>
      </c>
    </row>
    <row r="2130">
      <c r="A2130" s="45" t="s">
        <v>1472</v>
      </c>
      <c r="B2130" s="45" t="s">
        <v>3333</v>
      </c>
      <c r="C2130" s="45">
        <v>50.0</v>
      </c>
      <c r="D2130" s="45">
        <v>40063.0</v>
      </c>
      <c r="E2130" s="45" t="s">
        <v>3977</v>
      </c>
      <c r="F2130" s="45" t="s">
        <v>3976</v>
      </c>
      <c r="G2130" s="45" t="s">
        <v>3997</v>
      </c>
    </row>
    <row r="2131">
      <c r="A2131" s="45" t="s">
        <v>138</v>
      </c>
      <c r="B2131" s="45" t="s">
        <v>3333</v>
      </c>
      <c r="C2131" s="45">
        <v>50.0</v>
      </c>
      <c r="D2131" s="45">
        <v>40065.0</v>
      </c>
      <c r="E2131" s="45" t="s">
        <v>3977</v>
      </c>
      <c r="F2131" s="45" t="s">
        <v>3976</v>
      </c>
      <c r="G2131" s="45" t="s">
        <v>3997</v>
      </c>
    </row>
    <row r="2132">
      <c r="A2132" s="45" t="s">
        <v>139</v>
      </c>
      <c r="B2132" s="45" t="s">
        <v>3333</v>
      </c>
      <c r="C2132" s="45">
        <v>50.0</v>
      </c>
      <c r="D2132" s="45">
        <v>40067.0</v>
      </c>
      <c r="E2132" s="45" t="s">
        <v>3977</v>
      </c>
      <c r="F2132" s="45" t="s">
        <v>3976</v>
      </c>
      <c r="G2132" s="45" t="s">
        <v>3997</v>
      </c>
    </row>
    <row r="2133">
      <c r="A2133" s="45" t="s">
        <v>1361</v>
      </c>
      <c r="B2133" s="45" t="s">
        <v>3333</v>
      </c>
      <c r="C2133" s="45">
        <v>50.0</v>
      </c>
      <c r="D2133" s="45">
        <v>40069.0</v>
      </c>
      <c r="E2133" s="45" t="s">
        <v>3977</v>
      </c>
      <c r="F2133" s="45" t="s">
        <v>3976</v>
      </c>
      <c r="G2133" s="45" t="s">
        <v>3976</v>
      </c>
    </row>
    <row r="2134">
      <c r="A2134" s="45" t="s">
        <v>1473</v>
      </c>
      <c r="B2134" s="45" t="s">
        <v>3333</v>
      </c>
      <c r="C2134" s="45">
        <v>50.0</v>
      </c>
      <c r="D2134" s="45">
        <v>40071.0</v>
      </c>
      <c r="E2134" s="45" t="s">
        <v>3975</v>
      </c>
      <c r="F2134" s="45" t="s">
        <v>3976</v>
      </c>
      <c r="G2134" s="45" t="s">
        <v>3976</v>
      </c>
    </row>
    <row r="2135">
      <c r="A2135" s="45" t="s">
        <v>1474</v>
      </c>
      <c r="B2135" s="45" t="s">
        <v>3333</v>
      </c>
      <c r="C2135" s="45">
        <v>50.0</v>
      </c>
      <c r="D2135" s="45">
        <v>40073.0</v>
      </c>
      <c r="E2135" s="45" t="s">
        <v>3977</v>
      </c>
      <c r="F2135" s="45" t="s">
        <v>3976</v>
      </c>
      <c r="G2135" s="45" t="s">
        <v>3976</v>
      </c>
    </row>
    <row r="2136">
      <c r="A2136" s="45" t="s">
        <v>368</v>
      </c>
      <c r="B2136" s="45" t="s">
        <v>3333</v>
      </c>
      <c r="C2136" s="45">
        <v>50.0</v>
      </c>
      <c r="D2136" s="45">
        <v>40075.0</v>
      </c>
      <c r="E2136" s="45" t="s">
        <v>3977</v>
      </c>
      <c r="F2136" s="45" t="s">
        <v>3976</v>
      </c>
      <c r="G2136" s="45" t="s">
        <v>3976</v>
      </c>
    </row>
    <row r="2137">
      <c r="A2137" s="45" t="s">
        <v>1475</v>
      </c>
      <c r="B2137" s="45" t="s">
        <v>3333</v>
      </c>
      <c r="C2137" s="45">
        <v>50.0</v>
      </c>
      <c r="D2137" s="45">
        <v>40077.0</v>
      </c>
      <c r="E2137" s="45" t="s">
        <v>3977</v>
      </c>
      <c r="F2137" s="45" t="s">
        <v>3976</v>
      </c>
      <c r="G2137" s="45" t="s">
        <v>3976</v>
      </c>
    </row>
    <row r="2138">
      <c r="A2138" s="45" t="s">
        <v>1476</v>
      </c>
      <c r="B2138" s="45" t="s">
        <v>3333</v>
      </c>
      <c r="C2138" s="45">
        <v>50.0</v>
      </c>
      <c r="D2138" s="45">
        <v>40079.0</v>
      </c>
      <c r="E2138" s="45" t="s">
        <v>3977</v>
      </c>
      <c r="F2138" s="45" t="s">
        <v>3976</v>
      </c>
      <c r="G2138" s="45" t="s">
        <v>3976</v>
      </c>
    </row>
    <row r="2139">
      <c r="A2139" s="45" t="s">
        <v>250</v>
      </c>
      <c r="B2139" s="45" t="s">
        <v>3333</v>
      </c>
      <c r="C2139" s="45">
        <v>50.0</v>
      </c>
      <c r="D2139" s="45">
        <v>40081.0</v>
      </c>
      <c r="E2139" s="45" t="s">
        <v>3977</v>
      </c>
      <c r="F2139" s="45" t="s">
        <v>3976</v>
      </c>
      <c r="G2139" s="45" t="s">
        <v>3976</v>
      </c>
    </row>
    <row r="2140">
      <c r="A2140" s="45" t="s">
        <v>252</v>
      </c>
      <c r="B2140" s="45" t="s">
        <v>3333</v>
      </c>
      <c r="C2140" s="45">
        <v>50.0</v>
      </c>
      <c r="D2140" s="45">
        <v>40083.0</v>
      </c>
      <c r="E2140" s="45" t="s">
        <v>3977</v>
      </c>
      <c r="F2140" s="45" t="s">
        <v>3976</v>
      </c>
      <c r="G2140" s="45" t="s">
        <v>3976</v>
      </c>
    </row>
    <row r="2141">
      <c r="A2141" s="45" t="s">
        <v>1477</v>
      </c>
      <c r="B2141" s="45" t="s">
        <v>3333</v>
      </c>
      <c r="C2141" s="45">
        <v>50.0</v>
      </c>
      <c r="D2141" s="45">
        <v>40085.0</v>
      </c>
      <c r="E2141" s="45" t="s">
        <v>3977</v>
      </c>
      <c r="F2141" s="45" t="s">
        <v>3976</v>
      </c>
      <c r="G2141" s="45" t="s">
        <v>3976</v>
      </c>
    </row>
    <row r="2142">
      <c r="A2142" s="45" t="s">
        <v>1478</v>
      </c>
      <c r="B2142" s="45" t="s">
        <v>3333</v>
      </c>
      <c r="C2142" s="45">
        <v>50.0</v>
      </c>
      <c r="D2142" s="45">
        <v>40087.0</v>
      </c>
      <c r="E2142" s="45" t="s">
        <v>3977</v>
      </c>
      <c r="F2142" s="45" t="s">
        <v>3976</v>
      </c>
      <c r="G2142" s="45" t="s">
        <v>3976</v>
      </c>
    </row>
    <row r="2143">
      <c r="A2143" s="45" t="s">
        <v>1479</v>
      </c>
      <c r="B2143" s="45" t="s">
        <v>3333</v>
      </c>
      <c r="C2143" s="45">
        <v>50.0</v>
      </c>
      <c r="D2143" s="45">
        <v>40089.0</v>
      </c>
      <c r="E2143" s="45" t="s">
        <v>3977</v>
      </c>
      <c r="F2143" s="45" t="s">
        <v>3976</v>
      </c>
      <c r="G2143" s="45" t="s">
        <v>3976</v>
      </c>
    </row>
    <row r="2144">
      <c r="A2144" s="45" t="s">
        <v>527</v>
      </c>
      <c r="B2144" s="45" t="s">
        <v>3333</v>
      </c>
      <c r="C2144" s="45">
        <v>50.0</v>
      </c>
      <c r="D2144" s="45">
        <v>40091.0</v>
      </c>
      <c r="E2144" s="45" t="s">
        <v>3977</v>
      </c>
      <c r="F2144" s="45" t="s">
        <v>3976</v>
      </c>
      <c r="G2144" s="45" t="s">
        <v>3976</v>
      </c>
    </row>
    <row r="2145">
      <c r="A2145" s="45" t="s">
        <v>1480</v>
      </c>
      <c r="B2145" s="45" t="s">
        <v>3333</v>
      </c>
      <c r="C2145" s="45">
        <v>50.0</v>
      </c>
      <c r="D2145" s="45">
        <v>40093.0</v>
      </c>
      <c r="E2145" s="45" t="s">
        <v>3977</v>
      </c>
      <c r="F2145" s="45" t="s">
        <v>3976</v>
      </c>
      <c r="G2145" s="45" t="s">
        <v>3976</v>
      </c>
    </row>
    <row r="2146">
      <c r="A2146" s="45" t="s">
        <v>150</v>
      </c>
      <c r="B2146" s="45" t="s">
        <v>3333</v>
      </c>
      <c r="C2146" s="45">
        <v>50.0</v>
      </c>
      <c r="D2146" s="45">
        <v>40095.0</v>
      </c>
      <c r="E2146" s="45" t="s">
        <v>3977</v>
      </c>
      <c r="F2146" s="45" t="s">
        <v>3976</v>
      </c>
      <c r="G2146" s="45" t="s">
        <v>3976</v>
      </c>
    </row>
    <row r="2147">
      <c r="A2147" s="45" t="s">
        <v>1481</v>
      </c>
      <c r="B2147" s="45" t="s">
        <v>3333</v>
      </c>
      <c r="C2147" s="45">
        <v>51.0</v>
      </c>
      <c r="D2147" s="45">
        <v>40097.0</v>
      </c>
      <c r="E2147" s="45" t="s">
        <v>3977</v>
      </c>
      <c r="F2147" s="45" t="s">
        <v>3976</v>
      </c>
      <c r="G2147" s="45" t="s">
        <v>3976</v>
      </c>
    </row>
    <row r="2148">
      <c r="A2148" s="45" t="s">
        <v>530</v>
      </c>
      <c r="B2148" s="45" t="s">
        <v>3333</v>
      </c>
      <c r="C2148" s="45">
        <v>50.0</v>
      </c>
      <c r="D2148" s="45">
        <v>40099.0</v>
      </c>
      <c r="E2148" s="45" t="s">
        <v>3977</v>
      </c>
      <c r="F2148" s="45" t="s">
        <v>3976</v>
      </c>
      <c r="G2148" s="45" t="s">
        <v>3976</v>
      </c>
    </row>
    <row r="2149">
      <c r="A2149" s="45" t="s">
        <v>1482</v>
      </c>
      <c r="B2149" s="45" t="s">
        <v>3333</v>
      </c>
      <c r="C2149" s="45">
        <v>51.0</v>
      </c>
      <c r="D2149" s="45">
        <v>40101.0</v>
      </c>
      <c r="E2149" s="45" t="s">
        <v>3977</v>
      </c>
      <c r="F2149" s="45" t="s">
        <v>3976</v>
      </c>
      <c r="G2149" s="45" t="s">
        <v>3976</v>
      </c>
    </row>
    <row r="2150">
      <c r="A2150" s="45" t="s">
        <v>682</v>
      </c>
      <c r="B2150" s="45" t="s">
        <v>3333</v>
      </c>
      <c r="C2150" s="45">
        <v>50.0</v>
      </c>
      <c r="D2150" s="45">
        <v>40103.0</v>
      </c>
      <c r="E2150" s="45" t="s">
        <v>3977</v>
      </c>
      <c r="F2150" s="45" t="s">
        <v>3976</v>
      </c>
      <c r="G2150" s="45" t="s">
        <v>3976</v>
      </c>
    </row>
    <row r="2151">
      <c r="A2151" s="45" t="s">
        <v>1483</v>
      </c>
      <c r="B2151" s="45" t="s">
        <v>3333</v>
      </c>
      <c r="C2151" s="45">
        <v>51.0</v>
      </c>
      <c r="D2151" s="45">
        <v>40105.0</v>
      </c>
      <c r="E2151" s="45" t="s">
        <v>3975</v>
      </c>
      <c r="F2151" s="45" t="s">
        <v>3976</v>
      </c>
      <c r="G2151" s="45" t="s">
        <v>3976</v>
      </c>
    </row>
    <row r="2152">
      <c r="A2152" s="45" t="s">
        <v>1484</v>
      </c>
      <c r="B2152" s="45" t="s">
        <v>3333</v>
      </c>
      <c r="C2152" s="45">
        <v>50.0</v>
      </c>
      <c r="D2152" s="45">
        <v>40107.0</v>
      </c>
      <c r="E2152" s="45" t="s">
        <v>3977</v>
      </c>
      <c r="F2152" s="45" t="s">
        <v>3976</v>
      </c>
      <c r="G2152" s="45" t="s">
        <v>3976</v>
      </c>
    </row>
    <row r="2153">
      <c r="A2153" s="45" t="s">
        <v>1457</v>
      </c>
      <c r="B2153" s="45" t="s">
        <v>3333</v>
      </c>
      <c r="C2153" s="45">
        <v>50.0</v>
      </c>
      <c r="D2153" s="45">
        <v>40109.0</v>
      </c>
      <c r="E2153" s="45" t="s">
        <v>3977</v>
      </c>
      <c r="F2153" s="45" t="s">
        <v>3976</v>
      </c>
      <c r="G2153" s="45" t="s">
        <v>3976</v>
      </c>
    </row>
    <row r="2154">
      <c r="A2154" s="45" t="s">
        <v>1485</v>
      </c>
      <c r="B2154" s="45" t="s">
        <v>3333</v>
      </c>
      <c r="C2154" s="45">
        <v>51.0</v>
      </c>
      <c r="D2154" s="45">
        <v>40111.0</v>
      </c>
      <c r="E2154" s="45" t="s">
        <v>3977</v>
      </c>
      <c r="F2154" s="45" t="s">
        <v>3976</v>
      </c>
      <c r="G2154" s="45" t="s">
        <v>3976</v>
      </c>
    </row>
    <row r="2155">
      <c r="A2155" s="45" t="s">
        <v>790</v>
      </c>
      <c r="B2155" s="45" t="s">
        <v>3333</v>
      </c>
      <c r="C2155" s="45">
        <v>51.0</v>
      </c>
      <c r="D2155" s="45">
        <v>40113.0</v>
      </c>
      <c r="E2155" s="45" t="s">
        <v>3975</v>
      </c>
      <c r="F2155" s="45" t="s">
        <v>3976</v>
      </c>
      <c r="G2155" s="45" t="s">
        <v>3976</v>
      </c>
    </row>
    <row r="2156">
      <c r="A2156" s="45" t="s">
        <v>792</v>
      </c>
      <c r="B2156" s="45" t="s">
        <v>3333</v>
      </c>
      <c r="C2156" s="45">
        <v>51.0</v>
      </c>
      <c r="D2156" s="45">
        <v>40115.0</v>
      </c>
      <c r="E2156" s="45" t="s">
        <v>3975</v>
      </c>
      <c r="F2156" s="45" t="s">
        <v>3976</v>
      </c>
      <c r="G2156" s="45" t="s">
        <v>3976</v>
      </c>
    </row>
    <row r="2157">
      <c r="A2157" s="45" t="s">
        <v>793</v>
      </c>
      <c r="B2157" s="45" t="s">
        <v>3333</v>
      </c>
      <c r="C2157" s="45">
        <v>50.0</v>
      </c>
      <c r="D2157" s="45">
        <v>40117.0</v>
      </c>
      <c r="E2157" s="45" t="s">
        <v>3977</v>
      </c>
      <c r="F2157" s="45" t="s">
        <v>3976</v>
      </c>
      <c r="G2157" s="45" t="s">
        <v>3976</v>
      </c>
    </row>
    <row r="2158">
      <c r="A2158" s="45" t="s">
        <v>1486</v>
      </c>
      <c r="B2158" s="45" t="s">
        <v>3333</v>
      </c>
      <c r="C2158" s="45">
        <v>50.0</v>
      </c>
      <c r="D2158" s="45">
        <v>40119.0</v>
      </c>
      <c r="E2158" s="45" t="s">
        <v>3977</v>
      </c>
      <c r="F2158" s="45" t="s">
        <v>3976</v>
      </c>
      <c r="G2158" s="45" t="s">
        <v>3976</v>
      </c>
    </row>
    <row r="2159">
      <c r="A2159" s="45" t="s">
        <v>1487</v>
      </c>
      <c r="B2159" s="45" t="s">
        <v>3333</v>
      </c>
      <c r="C2159" s="45">
        <v>50.0</v>
      </c>
      <c r="D2159" s="45">
        <v>40121.0</v>
      </c>
      <c r="E2159" s="45" t="s">
        <v>3977</v>
      </c>
      <c r="F2159" s="45" t="s">
        <v>3976</v>
      </c>
      <c r="G2159" s="45" t="s">
        <v>3976</v>
      </c>
    </row>
    <row r="2160">
      <c r="A2160" s="45" t="s">
        <v>1108</v>
      </c>
      <c r="B2160" s="45" t="s">
        <v>3333</v>
      </c>
      <c r="C2160" s="45">
        <v>50.0</v>
      </c>
      <c r="D2160" s="45">
        <v>40123.0</v>
      </c>
      <c r="E2160" s="45" t="s">
        <v>3977</v>
      </c>
      <c r="F2160" s="45" t="s">
        <v>3976</v>
      </c>
      <c r="G2160" s="45" t="s">
        <v>3976</v>
      </c>
    </row>
    <row r="2161">
      <c r="A2161" s="45" t="s">
        <v>794</v>
      </c>
      <c r="B2161" s="45" t="s">
        <v>3333</v>
      </c>
      <c r="C2161" s="45">
        <v>50.0</v>
      </c>
      <c r="D2161" s="45">
        <v>40125.0</v>
      </c>
      <c r="E2161" s="45" t="s">
        <v>3977</v>
      </c>
      <c r="F2161" s="45" t="s">
        <v>3976</v>
      </c>
      <c r="G2161" s="45" t="s">
        <v>3976</v>
      </c>
    </row>
    <row r="2162">
      <c r="A2162" s="45" t="s">
        <v>1488</v>
      </c>
      <c r="B2162" s="45" t="s">
        <v>3333</v>
      </c>
      <c r="C2162" s="45">
        <v>50.0</v>
      </c>
      <c r="D2162" s="45">
        <v>40127.0</v>
      </c>
      <c r="E2162" s="45" t="s">
        <v>3977</v>
      </c>
      <c r="F2162" s="45" t="s">
        <v>3976</v>
      </c>
      <c r="G2162" s="45" t="s">
        <v>3976</v>
      </c>
    </row>
    <row r="2163">
      <c r="A2163" s="45" t="s">
        <v>1489</v>
      </c>
      <c r="B2163" s="45" t="s">
        <v>3333</v>
      </c>
      <c r="C2163" s="45">
        <v>50.0</v>
      </c>
      <c r="D2163" s="45">
        <v>40129.0</v>
      </c>
      <c r="E2163" s="45" t="s">
        <v>3977</v>
      </c>
      <c r="F2163" s="45" t="s">
        <v>3976</v>
      </c>
      <c r="G2163" s="45" t="s">
        <v>3976</v>
      </c>
    </row>
    <row r="2164">
      <c r="A2164" s="45" t="s">
        <v>1490</v>
      </c>
      <c r="B2164" s="45" t="s">
        <v>3333</v>
      </c>
      <c r="C2164" s="45">
        <v>51.0</v>
      </c>
      <c r="D2164" s="45">
        <v>40131.0</v>
      </c>
      <c r="E2164" s="45" t="s">
        <v>3977</v>
      </c>
      <c r="F2164" s="45" t="s">
        <v>3976</v>
      </c>
      <c r="G2164" s="45" t="s">
        <v>3976</v>
      </c>
    </row>
    <row r="2165">
      <c r="A2165" s="45" t="s">
        <v>454</v>
      </c>
      <c r="B2165" s="45" t="s">
        <v>3333</v>
      </c>
      <c r="C2165" s="45">
        <v>50.0</v>
      </c>
      <c r="D2165" s="45">
        <v>40133.0</v>
      </c>
      <c r="E2165" s="45" t="s">
        <v>3977</v>
      </c>
      <c r="F2165" s="45" t="s">
        <v>3976</v>
      </c>
      <c r="G2165" s="45" t="s">
        <v>3976</v>
      </c>
    </row>
    <row r="2166">
      <c r="A2166" s="45" t="s">
        <v>1491</v>
      </c>
      <c r="B2166" s="45" t="s">
        <v>3333</v>
      </c>
      <c r="C2166" s="45">
        <v>50.0</v>
      </c>
      <c r="D2166" s="45">
        <v>40135.0</v>
      </c>
      <c r="E2166" s="45" t="s">
        <v>3977</v>
      </c>
      <c r="F2166" s="45" t="s">
        <v>3976</v>
      </c>
      <c r="G2166" s="45" t="s">
        <v>3976</v>
      </c>
    </row>
    <row r="2167">
      <c r="A2167" s="45" t="s">
        <v>544</v>
      </c>
      <c r="B2167" s="45" t="s">
        <v>3333</v>
      </c>
      <c r="C2167" s="45">
        <v>50.0</v>
      </c>
      <c r="D2167" s="45">
        <v>40137.0</v>
      </c>
      <c r="E2167" s="45" t="s">
        <v>3977</v>
      </c>
      <c r="F2167" s="45" t="s">
        <v>3976</v>
      </c>
      <c r="G2167" s="45" t="s">
        <v>3976</v>
      </c>
    </row>
    <row r="2168">
      <c r="A2168" s="45" t="s">
        <v>1159</v>
      </c>
      <c r="B2168" s="45" t="s">
        <v>3333</v>
      </c>
      <c r="C2168" s="45">
        <v>49.0</v>
      </c>
      <c r="D2168" s="45">
        <v>40139.0</v>
      </c>
      <c r="E2168" s="45" t="s">
        <v>3975</v>
      </c>
      <c r="F2168" s="45" t="s">
        <v>3976</v>
      </c>
      <c r="G2168" s="45" t="s">
        <v>3976</v>
      </c>
    </row>
    <row r="2169">
      <c r="A2169" s="45" t="s">
        <v>1492</v>
      </c>
      <c r="B2169" s="45" t="s">
        <v>3333</v>
      </c>
      <c r="C2169" s="45">
        <v>50.0</v>
      </c>
      <c r="D2169" s="45">
        <v>40141.0</v>
      </c>
      <c r="E2169" s="45" t="s">
        <v>3977</v>
      </c>
      <c r="F2169" s="45" t="s">
        <v>3976</v>
      </c>
      <c r="G2169" s="45" t="s">
        <v>3976</v>
      </c>
    </row>
    <row r="2170">
      <c r="A2170" s="45" t="s">
        <v>1493</v>
      </c>
      <c r="B2170" s="45" t="s">
        <v>3333</v>
      </c>
      <c r="C2170" s="45">
        <v>51.0</v>
      </c>
      <c r="D2170" s="45">
        <v>40143.0</v>
      </c>
      <c r="E2170" s="45" t="s">
        <v>3977</v>
      </c>
      <c r="F2170" s="45" t="s">
        <v>3976</v>
      </c>
      <c r="G2170" s="45" t="s">
        <v>3976</v>
      </c>
    </row>
    <row r="2171">
      <c r="A2171" s="45" t="s">
        <v>1494</v>
      </c>
      <c r="B2171" s="45" t="s">
        <v>3333</v>
      </c>
      <c r="C2171" s="45">
        <v>51.0</v>
      </c>
      <c r="D2171" s="45">
        <v>40145.0</v>
      </c>
      <c r="E2171" s="45" t="s">
        <v>3977</v>
      </c>
      <c r="F2171" s="45" t="s">
        <v>3976</v>
      </c>
      <c r="G2171" s="45" t="s">
        <v>3976</v>
      </c>
    </row>
    <row r="2172">
      <c r="A2172" s="45" t="s">
        <v>167</v>
      </c>
      <c r="B2172" s="45" t="s">
        <v>3333</v>
      </c>
      <c r="C2172" s="45">
        <v>51.0</v>
      </c>
      <c r="D2172" s="45">
        <v>40147.0</v>
      </c>
      <c r="E2172" s="45" t="s">
        <v>3975</v>
      </c>
      <c r="F2172" s="45" t="s">
        <v>3976</v>
      </c>
      <c r="G2172" s="45" t="s">
        <v>3976</v>
      </c>
    </row>
    <row r="2173">
      <c r="A2173" s="45" t="s">
        <v>1495</v>
      </c>
      <c r="B2173" s="45" t="s">
        <v>3333</v>
      </c>
      <c r="C2173" s="45">
        <v>50.0</v>
      </c>
      <c r="D2173" s="45">
        <v>40149.0</v>
      </c>
      <c r="E2173" s="45" t="s">
        <v>3977</v>
      </c>
      <c r="F2173" s="45" t="s">
        <v>3976</v>
      </c>
      <c r="G2173" s="45" t="s">
        <v>3976</v>
      </c>
    </row>
    <row r="2174">
      <c r="A2174" s="45" t="s">
        <v>1496</v>
      </c>
      <c r="B2174" s="45" t="s">
        <v>3333</v>
      </c>
      <c r="C2174" s="45">
        <v>50.0</v>
      </c>
      <c r="D2174" s="45">
        <v>40151.0</v>
      </c>
      <c r="E2174" s="45" t="s">
        <v>3975</v>
      </c>
      <c r="F2174" s="45" t="s">
        <v>3976</v>
      </c>
      <c r="G2174" s="45" t="s">
        <v>3976</v>
      </c>
    </row>
    <row r="2175">
      <c r="A2175" s="45" t="s">
        <v>1497</v>
      </c>
      <c r="B2175" s="45" t="s">
        <v>3333</v>
      </c>
      <c r="C2175" s="45">
        <v>50.0</v>
      </c>
      <c r="D2175" s="45">
        <v>40153.0</v>
      </c>
      <c r="E2175" s="45" t="s">
        <v>3977</v>
      </c>
      <c r="F2175" s="45" t="s">
        <v>3976</v>
      </c>
      <c r="G2175" s="45" t="s">
        <v>3976</v>
      </c>
    </row>
    <row r="2176">
      <c r="A2176" s="45" t="s">
        <v>411</v>
      </c>
      <c r="B2176" s="45" t="s">
        <v>3376</v>
      </c>
      <c r="C2176" s="45">
        <v>7.0</v>
      </c>
      <c r="D2176" s="45">
        <v>41001.0</v>
      </c>
      <c r="E2176" s="45" t="s">
        <v>3980</v>
      </c>
      <c r="F2176" s="45" t="s">
        <v>3980</v>
      </c>
      <c r="G2176" s="45" t="s">
        <v>3976</v>
      </c>
    </row>
    <row r="2177">
      <c r="A2177" s="45" t="s">
        <v>224</v>
      </c>
      <c r="B2177" s="45" t="s">
        <v>3376</v>
      </c>
      <c r="C2177" s="45">
        <v>5.0</v>
      </c>
      <c r="D2177" s="45">
        <v>41003.0</v>
      </c>
      <c r="E2177" s="45" t="s">
        <v>3980</v>
      </c>
      <c r="F2177" s="45" t="s">
        <v>3980</v>
      </c>
      <c r="G2177" s="45" t="s">
        <v>3976</v>
      </c>
    </row>
    <row r="2178">
      <c r="A2178" s="45" t="s">
        <v>1498</v>
      </c>
      <c r="B2178" s="45" t="s">
        <v>3376</v>
      </c>
      <c r="C2178" s="45">
        <v>5.0</v>
      </c>
      <c r="D2178" s="45">
        <v>41005.0</v>
      </c>
      <c r="E2178" s="45" t="s">
        <v>3980</v>
      </c>
      <c r="F2178" s="45" t="s">
        <v>3980</v>
      </c>
      <c r="G2178" s="45" t="s">
        <v>3976</v>
      </c>
    </row>
    <row r="2179">
      <c r="A2179" s="45" t="s">
        <v>1499</v>
      </c>
      <c r="B2179" s="45" t="s">
        <v>3376</v>
      </c>
      <c r="C2179" s="45">
        <v>5.0</v>
      </c>
      <c r="D2179" s="45">
        <v>41007.0</v>
      </c>
      <c r="E2179" s="45" t="s">
        <v>3980</v>
      </c>
      <c r="F2179" s="45" t="s">
        <v>3980</v>
      </c>
      <c r="G2179" s="45" t="s">
        <v>3976</v>
      </c>
    </row>
    <row r="2180">
      <c r="A2180" s="45" t="s">
        <v>231</v>
      </c>
      <c r="B2180" s="45" t="s">
        <v>3376</v>
      </c>
      <c r="C2180" s="45">
        <v>5.0</v>
      </c>
      <c r="D2180" s="45">
        <v>41009.0</v>
      </c>
      <c r="E2180" s="45" t="s">
        <v>3980</v>
      </c>
      <c r="F2180" s="45" t="s">
        <v>3980</v>
      </c>
      <c r="G2180" s="45" t="s">
        <v>3976</v>
      </c>
    </row>
    <row r="2181">
      <c r="A2181" s="45" t="s">
        <v>1253</v>
      </c>
      <c r="B2181" s="45" t="s">
        <v>3376</v>
      </c>
      <c r="C2181" s="45">
        <v>6.0</v>
      </c>
      <c r="D2181" s="45">
        <v>41011.0</v>
      </c>
      <c r="E2181" s="45" t="s">
        <v>3980</v>
      </c>
      <c r="F2181" s="45" t="s">
        <v>3980</v>
      </c>
      <c r="G2181" s="45" t="s">
        <v>3976</v>
      </c>
    </row>
    <row r="2182">
      <c r="A2182" s="45" t="s">
        <v>1500</v>
      </c>
      <c r="B2182" s="45" t="s">
        <v>3376</v>
      </c>
      <c r="C2182" s="45">
        <v>5.0</v>
      </c>
      <c r="D2182" s="45">
        <v>41013.0</v>
      </c>
      <c r="E2182" s="45" t="s">
        <v>3980</v>
      </c>
      <c r="F2182" s="45" t="s">
        <v>3980</v>
      </c>
      <c r="G2182" s="45" t="s">
        <v>3976</v>
      </c>
    </row>
    <row r="2183">
      <c r="A2183" s="45" t="s">
        <v>1275</v>
      </c>
      <c r="B2183" s="45" t="s">
        <v>3376</v>
      </c>
      <c r="C2183" s="45">
        <v>6.0</v>
      </c>
      <c r="D2183" s="45">
        <v>41015.0</v>
      </c>
      <c r="E2183" s="45" t="s">
        <v>3980</v>
      </c>
      <c r="F2183" s="45" t="s">
        <v>3980</v>
      </c>
      <c r="G2183" s="45" t="s">
        <v>3976</v>
      </c>
    </row>
    <row r="2184">
      <c r="A2184" s="45" t="s">
        <v>1501</v>
      </c>
      <c r="B2184" s="45" t="s">
        <v>3376</v>
      </c>
      <c r="C2184" s="45">
        <v>5.0</v>
      </c>
      <c r="D2184" s="45">
        <v>41017.0</v>
      </c>
      <c r="E2184" s="45" t="s">
        <v>3980</v>
      </c>
      <c r="F2184" s="45" t="s">
        <v>3980</v>
      </c>
      <c r="G2184" s="45" t="s">
        <v>3976</v>
      </c>
    </row>
    <row r="2185">
      <c r="A2185" s="45" t="s">
        <v>357</v>
      </c>
      <c r="B2185" s="45" t="s">
        <v>3376</v>
      </c>
      <c r="C2185" s="45">
        <v>6.0</v>
      </c>
      <c r="D2185" s="45">
        <v>41019.0</v>
      </c>
      <c r="E2185" s="45" t="s">
        <v>3980</v>
      </c>
      <c r="F2185" s="45" t="s">
        <v>3980</v>
      </c>
      <c r="G2185" s="45" t="s">
        <v>3976</v>
      </c>
    </row>
    <row r="2186">
      <c r="A2186" s="45" t="s">
        <v>1502</v>
      </c>
      <c r="B2186" s="45" t="s">
        <v>3376</v>
      </c>
      <c r="C2186" s="45">
        <v>5.0</v>
      </c>
      <c r="D2186" s="45">
        <v>41021.0</v>
      </c>
      <c r="E2186" s="45" t="s">
        <v>3980</v>
      </c>
      <c r="F2186" s="45" t="s">
        <v>3980</v>
      </c>
      <c r="G2186" s="45" t="s">
        <v>3976</v>
      </c>
    </row>
    <row r="2187">
      <c r="A2187" s="45" t="s">
        <v>242</v>
      </c>
      <c r="B2187" s="45" t="s">
        <v>3376</v>
      </c>
      <c r="C2187" s="45">
        <v>5.0</v>
      </c>
      <c r="D2187" s="45">
        <v>41023.0</v>
      </c>
      <c r="E2187" s="45" t="s">
        <v>3980</v>
      </c>
      <c r="F2187" s="45" t="s">
        <v>3980</v>
      </c>
      <c r="G2187" s="45" t="s">
        <v>3976</v>
      </c>
    </row>
    <row r="2188">
      <c r="A2188" s="45" t="s">
        <v>1503</v>
      </c>
      <c r="B2188" s="45" t="s">
        <v>3376</v>
      </c>
      <c r="C2188" s="45">
        <v>7.0</v>
      </c>
      <c r="D2188" s="45">
        <v>41025.0</v>
      </c>
      <c r="E2188" s="45" t="s">
        <v>3980</v>
      </c>
      <c r="F2188" s="45" t="s">
        <v>3980</v>
      </c>
      <c r="G2188" s="45" t="s">
        <v>3976</v>
      </c>
    </row>
    <row r="2189">
      <c r="A2189" s="45" t="s">
        <v>1504</v>
      </c>
      <c r="B2189" s="45" t="s">
        <v>3376</v>
      </c>
      <c r="C2189" s="45">
        <v>5.0</v>
      </c>
      <c r="D2189" s="45">
        <v>41027.0</v>
      </c>
      <c r="E2189" s="45" t="s">
        <v>3980</v>
      </c>
      <c r="F2189" s="45" t="s">
        <v>3980</v>
      </c>
      <c r="G2189" s="45" t="s">
        <v>3976</v>
      </c>
    </row>
    <row r="2190">
      <c r="A2190" s="45" t="s">
        <v>138</v>
      </c>
      <c r="B2190" s="45" t="s">
        <v>3376</v>
      </c>
      <c r="C2190" s="45">
        <v>6.0</v>
      </c>
      <c r="D2190" s="45">
        <v>41029.0</v>
      </c>
      <c r="E2190" s="45" t="s">
        <v>3980</v>
      </c>
      <c r="F2190" s="45" t="s">
        <v>3980</v>
      </c>
      <c r="G2190" s="45" t="s">
        <v>3976</v>
      </c>
    </row>
    <row r="2191">
      <c r="A2191" s="45" t="s">
        <v>139</v>
      </c>
      <c r="B2191" s="45" t="s">
        <v>3376</v>
      </c>
      <c r="C2191" s="45">
        <v>5.0</v>
      </c>
      <c r="D2191" s="45">
        <v>41031.0</v>
      </c>
      <c r="E2191" s="45" t="s">
        <v>3980</v>
      </c>
      <c r="F2191" s="45" t="s">
        <v>3980</v>
      </c>
      <c r="G2191" s="45" t="s">
        <v>3976</v>
      </c>
    </row>
    <row r="2192">
      <c r="A2192" s="45" t="s">
        <v>1505</v>
      </c>
      <c r="B2192" s="45" t="s">
        <v>3376</v>
      </c>
      <c r="C2192" s="45">
        <v>6.0</v>
      </c>
      <c r="D2192" s="45">
        <v>41033.0</v>
      </c>
      <c r="E2192" s="45" t="s">
        <v>3980</v>
      </c>
      <c r="F2192" s="45" t="s">
        <v>3980</v>
      </c>
      <c r="G2192" s="45" t="s">
        <v>3976</v>
      </c>
    </row>
    <row r="2193">
      <c r="A2193" s="45" t="s">
        <v>1506</v>
      </c>
      <c r="B2193" s="45" t="s">
        <v>3376</v>
      </c>
      <c r="C2193" s="45">
        <v>6.0</v>
      </c>
      <c r="D2193" s="45">
        <v>41035.0</v>
      </c>
      <c r="E2193" s="45" t="s">
        <v>3980</v>
      </c>
      <c r="F2193" s="45" t="s">
        <v>3980</v>
      </c>
      <c r="G2193" s="45" t="s">
        <v>3976</v>
      </c>
    </row>
    <row r="2194">
      <c r="A2194" s="45" t="s">
        <v>298</v>
      </c>
      <c r="B2194" s="45" t="s">
        <v>3376</v>
      </c>
      <c r="C2194" s="45">
        <v>7.0</v>
      </c>
      <c r="D2194" s="45">
        <v>41037.0</v>
      </c>
      <c r="E2194" s="45" t="s">
        <v>3980</v>
      </c>
      <c r="F2194" s="45" t="s">
        <v>3980</v>
      </c>
      <c r="G2194" s="45" t="s">
        <v>3976</v>
      </c>
    </row>
    <row r="2195">
      <c r="A2195" s="45" t="s">
        <v>780</v>
      </c>
      <c r="B2195" s="45" t="s">
        <v>3376</v>
      </c>
      <c r="C2195" s="45">
        <v>5.0</v>
      </c>
      <c r="D2195" s="45">
        <v>41039.0</v>
      </c>
      <c r="E2195" s="45" t="s">
        <v>3980</v>
      </c>
      <c r="F2195" s="45" t="s">
        <v>3980</v>
      </c>
      <c r="G2195" s="45" t="s">
        <v>3976</v>
      </c>
    </row>
    <row r="2196">
      <c r="A2196" s="45" t="s">
        <v>250</v>
      </c>
      <c r="B2196" s="45" t="s">
        <v>3376</v>
      </c>
      <c r="C2196" s="45">
        <v>5.0</v>
      </c>
      <c r="D2196" s="45">
        <v>41041.0</v>
      </c>
      <c r="E2196" s="45" t="s">
        <v>3980</v>
      </c>
      <c r="F2196" s="45" t="s">
        <v>3980</v>
      </c>
      <c r="G2196" s="45" t="s">
        <v>3976</v>
      </c>
    </row>
    <row r="2197">
      <c r="A2197" s="45" t="s">
        <v>726</v>
      </c>
      <c r="B2197" s="45" t="s">
        <v>3376</v>
      </c>
      <c r="C2197" s="45">
        <v>5.0</v>
      </c>
      <c r="D2197" s="45">
        <v>41043.0</v>
      </c>
      <c r="E2197" s="45" t="s">
        <v>3980</v>
      </c>
      <c r="F2197" s="45" t="s">
        <v>3980</v>
      </c>
      <c r="G2197" s="45" t="s">
        <v>3976</v>
      </c>
    </row>
    <row r="2198">
      <c r="A2198" s="45" t="s">
        <v>1507</v>
      </c>
      <c r="B2198" s="45" t="s">
        <v>3376</v>
      </c>
      <c r="C2198" s="45">
        <v>7.0</v>
      </c>
      <c r="D2198" s="45">
        <v>41045.0</v>
      </c>
      <c r="E2198" s="45" t="s">
        <v>3980</v>
      </c>
      <c r="F2198" s="45" t="s">
        <v>3980</v>
      </c>
      <c r="G2198" s="45" t="s">
        <v>3976</v>
      </c>
    </row>
    <row r="2199">
      <c r="A2199" s="45" t="s">
        <v>149</v>
      </c>
      <c r="B2199" s="45" t="s">
        <v>3376</v>
      </c>
      <c r="C2199" s="45">
        <v>5.0</v>
      </c>
      <c r="D2199" s="45">
        <v>41047.0</v>
      </c>
      <c r="E2199" s="45" t="s">
        <v>3980</v>
      </c>
      <c r="F2199" s="45" t="s">
        <v>3980</v>
      </c>
      <c r="G2199" s="45" t="s">
        <v>3976</v>
      </c>
    </row>
    <row r="2200">
      <c r="A2200" s="45" t="s">
        <v>1443</v>
      </c>
      <c r="B2200" s="45" t="s">
        <v>3376</v>
      </c>
      <c r="C2200" s="45">
        <v>5.0</v>
      </c>
      <c r="D2200" s="45">
        <v>41049.0</v>
      </c>
      <c r="E2200" s="45" t="s">
        <v>3980</v>
      </c>
      <c r="F2200" s="45" t="s">
        <v>3980</v>
      </c>
      <c r="G2200" s="45" t="s">
        <v>3976</v>
      </c>
    </row>
    <row r="2201">
      <c r="A2201" s="45" t="s">
        <v>1508</v>
      </c>
      <c r="B2201" s="45" t="s">
        <v>3376</v>
      </c>
      <c r="C2201" s="45">
        <v>5.0</v>
      </c>
      <c r="D2201" s="45">
        <v>41051.0</v>
      </c>
      <c r="E2201" s="45" t="s">
        <v>3980</v>
      </c>
      <c r="F2201" s="45" t="s">
        <v>3980</v>
      </c>
      <c r="G2201" s="45" t="s">
        <v>3976</v>
      </c>
    </row>
    <row r="2202">
      <c r="A2202" s="45" t="s">
        <v>261</v>
      </c>
      <c r="B2202" s="45" t="s">
        <v>3376</v>
      </c>
      <c r="C2202" s="45">
        <v>5.0</v>
      </c>
      <c r="D2202" s="45">
        <v>41053.0</v>
      </c>
      <c r="E2202" s="45" t="s">
        <v>3980</v>
      </c>
      <c r="F2202" s="45" t="s">
        <v>3980</v>
      </c>
      <c r="G2202" s="45" t="s">
        <v>3976</v>
      </c>
    </row>
    <row r="2203">
      <c r="A2203" s="45" t="s">
        <v>805</v>
      </c>
      <c r="B2203" s="45" t="s">
        <v>3376</v>
      </c>
      <c r="C2203" s="45">
        <v>5.0</v>
      </c>
      <c r="D2203" s="45">
        <v>41055.0</v>
      </c>
      <c r="E2203" s="45" t="s">
        <v>3980</v>
      </c>
      <c r="F2203" s="45" t="s">
        <v>3980</v>
      </c>
      <c r="G2203" s="45" t="s">
        <v>3976</v>
      </c>
    </row>
    <row r="2204">
      <c r="A2204" s="45" t="s">
        <v>1509</v>
      </c>
      <c r="B2204" s="45" t="s">
        <v>3376</v>
      </c>
      <c r="C2204" s="45">
        <v>5.0</v>
      </c>
      <c r="D2204" s="45">
        <v>41057.0</v>
      </c>
      <c r="E2204" s="45" t="s">
        <v>3980</v>
      </c>
      <c r="F2204" s="45" t="s">
        <v>3980</v>
      </c>
      <c r="G2204" s="45" t="s">
        <v>3976</v>
      </c>
    </row>
    <row r="2205">
      <c r="A2205" s="45" t="s">
        <v>1510</v>
      </c>
      <c r="B2205" s="45" t="s">
        <v>3376</v>
      </c>
      <c r="C2205" s="45">
        <v>5.0</v>
      </c>
      <c r="D2205" s="45">
        <v>41059.0</v>
      </c>
      <c r="E2205" s="45" t="s">
        <v>3980</v>
      </c>
      <c r="F2205" s="45" t="s">
        <v>3980</v>
      </c>
      <c r="G2205" s="45" t="s">
        <v>3976</v>
      </c>
    </row>
    <row r="2206">
      <c r="A2206" s="45" t="s">
        <v>273</v>
      </c>
      <c r="B2206" s="45" t="s">
        <v>3376</v>
      </c>
      <c r="C2206" s="45">
        <v>5.0</v>
      </c>
      <c r="D2206" s="45">
        <v>41061.0</v>
      </c>
      <c r="E2206" s="45" t="s">
        <v>3980</v>
      </c>
      <c r="F2206" s="45" t="s">
        <v>3980</v>
      </c>
      <c r="G2206" s="45" t="s">
        <v>3976</v>
      </c>
    </row>
    <row r="2207">
      <c r="A2207" s="45" t="s">
        <v>1511</v>
      </c>
      <c r="B2207" s="45" t="s">
        <v>3376</v>
      </c>
      <c r="C2207" s="45">
        <v>5.0</v>
      </c>
      <c r="D2207" s="45">
        <v>41063.0</v>
      </c>
      <c r="E2207" s="45" t="s">
        <v>3980</v>
      </c>
      <c r="F2207" s="45" t="s">
        <v>3980</v>
      </c>
      <c r="G2207" s="45" t="s">
        <v>3976</v>
      </c>
    </row>
    <row r="2208">
      <c r="A2208" s="45" t="s">
        <v>1512</v>
      </c>
      <c r="B2208" s="45" t="s">
        <v>3376</v>
      </c>
      <c r="C2208" s="45">
        <v>5.0</v>
      </c>
      <c r="D2208" s="45">
        <v>41065.0</v>
      </c>
      <c r="E2208" s="45" t="s">
        <v>3980</v>
      </c>
      <c r="F2208" s="45" t="s">
        <v>3980</v>
      </c>
      <c r="G2208" s="45" t="s">
        <v>3976</v>
      </c>
    </row>
    <row r="2209">
      <c r="A2209" s="45" t="s">
        <v>167</v>
      </c>
      <c r="B2209" s="45" t="s">
        <v>3376</v>
      </c>
      <c r="C2209" s="45">
        <v>5.0</v>
      </c>
      <c r="D2209" s="45">
        <v>41067.0</v>
      </c>
      <c r="E2209" s="45" t="s">
        <v>3980</v>
      </c>
      <c r="F2209" s="45" t="s">
        <v>3980</v>
      </c>
      <c r="G2209" s="45" t="s">
        <v>3976</v>
      </c>
    </row>
    <row r="2210">
      <c r="A2210" s="45" t="s">
        <v>564</v>
      </c>
      <c r="B2210" s="45" t="s">
        <v>3376</v>
      </c>
      <c r="C2210" s="45">
        <v>5.0</v>
      </c>
      <c r="D2210" s="45">
        <v>41069.0</v>
      </c>
      <c r="E2210" s="45" t="s">
        <v>3980</v>
      </c>
      <c r="F2210" s="45" t="s">
        <v>3980</v>
      </c>
      <c r="G2210" s="45" t="s">
        <v>3980</v>
      </c>
    </row>
    <row r="2211">
      <c r="A2211" s="45" t="s">
        <v>1513</v>
      </c>
      <c r="B2211" s="45" t="s">
        <v>3376</v>
      </c>
      <c r="C2211" s="45">
        <v>5.0</v>
      </c>
      <c r="D2211" s="45">
        <v>41071.0</v>
      </c>
      <c r="E2211" s="45" t="s">
        <v>3980</v>
      </c>
      <c r="F2211" s="45" t="s">
        <v>3980</v>
      </c>
      <c r="G2211" s="45" t="s">
        <v>3980</v>
      </c>
    </row>
    <row r="2212">
      <c r="A2212" s="45" t="s">
        <v>338</v>
      </c>
      <c r="B2212" s="45" t="s">
        <v>3393</v>
      </c>
      <c r="C2212" s="45">
        <v>122.0</v>
      </c>
      <c r="D2212" s="45">
        <v>42001.0</v>
      </c>
      <c r="E2212" s="45" t="s">
        <v>3986</v>
      </c>
      <c r="F2212" s="45" t="s">
        <v>3987</v>
      </c>
      <c r="G2212" s="45" t="s">
        <v>3980</v>
      </c>
    </row>
    <row r="2213">
      <c r="A2213" s="45" t="s">
        <v>1515</v>
      </c>
      <c r="B2213" s="45" t="s">
        <v>3393</v>
      </c>
      <c r="C2213" s="45">
        <v>115.0</v>
      </c>
      <c r="D2213" s="45">
        <v>42003.0</v>
      </c>
      <c r="E2213" s="45" t="s">
        <v>3986</v>
      </c>
      <c r="F2213" s="45" t="s">
        <v>3997</v>
      </c>
      <c r="G2213" s="45" t="s">
        <v>3980</v>
      </c>
    </row>
    <row r="2214">
      <c r="A2214" s="45" t="s">
        <v>1516</v>
      </c>
      <c r="B2214" s="45" t="s">
        <v>3393</v>
      </c>
      <c r="C2214" s="45">
        <v>115.0</v>
      </c>
      <c r="D2214" s="45">
        <v>42005.0</v>
      </c>
      <c r="E2214" s="45" t="s">
        <v>3986</v>
      </c>
      <c r="F2214" s="45" t="s">
        <v>3997</v>
      </c>
      <c r="G2214" s="45" t="s">
        <v>3980</v>
      </c>
    </row>
    <row r="2215">
      <c r="A2215" s="45" t="s">
        <v>1460</v>
      </c>
      <c r="B2215" s="45" t="s">
        <v>3393</v>
      </c>
      <c r="C2215" s="45">
        <v>115.0</v>
      </c>
      <c r="D2215" s="45">
        <v>42007.0</v>
      </c>
      <c r="E2215" s="45" t="s">
        <v>3993</v>
      </c>
      <c r="F2215" s="45" t="s">
        <v>3997</v>
      </c>
      <c r="G2215" s="45" t="s">
        <v>3980</v>
      </c>
    </row>
    <row r="2216">
      <c r="A2216" s="45" t="s">
        <v>1517</v>
      </c>
      <c r="B2216" s="45" t="s">
        <v>3393</v>
      </c>
      <c r="C2216" s="45">
        <v>122.0</v>
      </c>
      <c r="D2216" s="45">
        <v>42009.0</v>
      </c>
      <c r="E2216" s="45" t="s">
        <v>3986</v>
      </c>
      <c r="F2216" s="45" t="s">
        <v>3997</v>
      </c>
      <c r="G2216" s="45" t="s">
        <v>3980</v>
      </c>
    </row>
    <row r="2217">
      <c r="A2217" s="45" t="s">
        <v>1518</v>
      </c>
      <c r="B2217" s="45" t="s">
        <v>3393</v>
      </c>
      <c r="C2217" s="45">
        <v>122.0</v>
      </c>
      <c r="D2217" s="45">
        <v>42011.0</v>
      </c>
      <c r="E2217" s="45" t="s">
        <v>3986</v>
      </c>
      <c r="F2217" s="45" t="s">
        <v>3987</v>
      </c>
      <c r="G2217" s="45" t="s">
        <v>3980</v>
      </c>
    </row>
    <row r="2218">
      <c r="A2218" s="45" t="s">
        <v>1519</v>
      </c>
      <c r="B2218" s="45" t="s">
        <v>3393</v>
      </c>
      <c r="C2218" s="45">
        <v>122.0</v>
      </c>
      <c r="D2218" s="45">
        <v>42013.0</v>
      </c>
      <c r="E2218" s="45" t="s">
        <v>3986</v>
      </c>
      <c r="F2218" s="45" t="s">
        <v>3987</v>
      </c>
      <c r="G2218" s="45" t="s">
        <v>3980</v>
      </c>
    </row>
    <row r="2219">
      <c r="A2219" s="45" t="s">
        <v>413</v>
      </c>
      <c r="B2219" s="45" t="s">
        <v>3393</v>
      </c>
      <c r="C2219" s="45">
        <v>122.0</v>
      </c>
      <c r="D2219" s="45">
        <v>42015.0</v>
      </c>
      <c r="E2219" s="45" t="s">
        <v>3986</v>
      </c>
      <c r="F2219" s="45" t="s">
        <v>3987</v>
      </c>
      <c r="G2219" s="45" t="s">
        <v>3980</v>
      </c>
    </row>
    <row r="2220">
      <c r="A2220" s="45" t="s">
        <v>1520</v>
      </c>
      <c r="B2220" s="45" t="s">
        <v>3393</v>
      </c>
      <c r="C2220" s="45">
        <v>122.0</v>
      </c>
      <c r="D2220" s="45">
        <v>42017.0</v>
      </c>
      <c r="E2220" s="45" t="s">
        <v>3986</v>
      </c>
      <c r="F2220" s="45" t="s">
        <v>3987</v>
      </c>
      <c r="G2220" s="45" t="s">
        <v>3980</v>
      </c>
    </row>
    <row r="2221">
      <c r="A2221" s="45" t="s">
        <v>109</v>
      </c>
      <c r="B2221" s="45" t="s">
        <v>3393</v>
      </c>
      <c r="C2221" s="45">
        <v>115.0</v>
      </c>
      <c r="D2221" s="45">
        <v>42019.0</v>
      </c>
      <c r="E2221" s="45" t="s">
        <v>3986</v>
      </c>
      <c r="F2221" s="45" t="s">
        <v>3997</v>
      </c>
      <c r="G2221" s="45" t="s">
        <v>3980</v>
      </c>
    </row>
    <row r="2222">
      <c r="A2222" s="45" t="s">
        <v>1521</v>
      </c>
      <c r="B2222" s="45" t="s">
        <v>3393</v>
      </c>
      <c r="C2222" s="45">
        <v>122.0</v>
      </c>
      <c r="D2222" s="45">
        <v>42021.0</v>
      </c>
      <c r="E2222" s="45" t="s">
        <v>3986</v>
      </c>
      <c r="F2222" s="45" t="s">
        <v>3987</v>
      </c>
      <c r="G2222" s="45" t="s">
        <v>3980</v>
      </c>
    </row>
    <row r="2223">
      <c r="A2223" s="45" t="s">
        <v>884</v>
      </c>
      <c r="B2223" s="45" t="s">
        <v>3393</v>
      </c>
      <c r="C2223" s="45">
        <v>119.0</v>
      </c>
      <c r="D2223" s="45">
        <v>42023.0</v>
      </c>
      <c r="E2223" s="45" t="s">
        <v>3986</v>
      </c>
      <c r="F2223" s="45" t="s">
        <v>3987</v>
      </c>
      <c r="G2223" s="45" t="s">
        <v>3980</v>
      </c>
    </row>
    <row r="2224">
      <c r="A2224" s="45" t="s">
        <v>1165</v>
      </c>
      <c r="B2224" s="45" t="s">
        <v>3393</v>
      </c>
      <c r="C2224" s="45">
        <v>122.0</v>
      </c>
      <c r="D2224" s="45">
        <v>42025.0</v>
      </c>
      <c r="E2224" s="45" t="s">
        <v>3986</v>
      </c>
      <c r="F2224" s="45" t="s">
        <v>3987</v>
      </c>
      <c r="G2224" s="45" t="s">
        <v>3980</v>
      </c>
    </row>
    <row r="2225">
      <c r="A2225" s="45" t="s">
        <v>1522</v>
      </c>
      <c r="B2225" s="45" t="s">
        <v>3393</v>
      </c>
      <c r="C2225" s="45">
        <v>119.0</v>
      </c>
      <c r="D2225" s="45">
        <v>42027.0</v>
      </c>
      <c r="E2225" s="45" t="s">
        <v>3986</v>
      </c>
      <c r="F2225" s="45" t="s">
        <v>3987</v>
      </c>
      <c r="G2225" s="45" t="s">
        <v>3980</v>
      </c>
    </row>
    <row r="2226">
      <c r="A2226" s="45" t="s">
        <v>1523</v>
      </c>
      <c r="B2226" s="45" t="s">
        <v>3393</v>
      </c>
      <c r="C2226" s="45">
        <v>122.0</v>
      </c>
      <c r="D2226" s="45">
        <v>42029.0</v>
      </c>
      <c r="E2226" s="45" t="s">
        <v>3986</v>
      </c>
      <c r="F2226" s="45" t="s">
        <v>3987</v>
      </c>
      <c r="G2226" s="45" t="s">
        <v>3980</v>
      </c>
    </row>
    <row r="2227">
      <c r="A2227" s="45" t="s">
        <v>1524</v>
      </c>
      <c r="B2227" s="45" t="s">
        <v>3393</v>
      </c>
      <c r="C2227" s="45">
        <v>122.0</v>
      </c>
      <c r="D2227" s="45">
        <v>42031.0</v>
      </c>
      <c r="E2227" s="45" t="s">
        <v>3986</v>
      </c>
      <c r="F2227" s="45" t="s">
        <v>3987</v>
      </c>
      <c r="G2227" s="45" t="s">
        <v>3980</v>
      </c>
    </row>
    <row r="2228">
      <c r="A2228" s="45" t="s">
        <v>1525</v>
      </c>
      <c r="B2228" s="45" t="s">
        <v>3393</v>
      </c>
      <c r="C2228" s="45">
        <v>122.0</v>
      </c>
      <c r="D2228" s="45">
        <v>42033.0</v>
      </c>
      <c r="E2228" s="45" t="s">
        <v>3986</v>
      </c>
      <c r="F2228" s="45" t="s">
        <v>3987</v>
      </c>
      <c r="G2228" s="45" t="s">
        <v>3980</v>
      </c>
    </row>
    <row r="2229">
      <c r="A2229" s="45" t="s">
        <v>616</v>
      </c>
      <c r="B2229" s="45" t="s">
        <v>3393</v>
      </c>
      <c r="C2229" s="45">
        <v>119.0</v>
      </c>
      <c r="D2229" s="45">
        <v>42035.0</v>
      </c>
      <c r="E2229" s="45" t="s">
        <v>3986</v>
      </c>
      <c r="F2229" s="45" t="s">
        <v>3987</v>
      </c>
      <c r="G2229" s="45" t="s">
        <v>3980</v>
      </c>
    </row>
    <row r="2230">
      <c r="A2230" s="45" t="s">
        <v>231</v>
      </c>
      <c r="B2230" s="45" t="s">
        <v>3393</v>
      </c>
      <c r="C2230" s="45">
        <v>122.0</v>
      </c>
      <c r="D2230" s="45">
        <v>42037.0</v>
      </c>
      <c r="E2230" s="45" t="s">
        <v>3986</v>
      </c>
      <c r="F2230" s="45" t="s">
        <v>3987</v>
      </c>
      <c r="G2230" s="45" t="s">
        <v>3980</v>
      </c>
    </row>
    <row r="2231">
      <c r="A2231" s="45" t="s">
        <v>234</v>
      </c>
      <c r="B2231" s="45" t="s">
        <v>3393</v>
      </c>
      <c r="C2231" s="45">
        <v>122.0</v>
      </c>
      <c r="D2231" s="45">
        <v>42039.0</v>
      </c>
      <c r="E2231" s="45" t="s">
        <v>3986</v>
      </c>
      <c r="F2231" s="45" t="s">
        <v>3987</v>
      </c>
      <c r="G2231" s="45" t="s">
        <v>3980</v>
      </c>
    </row>
    <row r="2232">
      <c r="A2232" s="45" t="s">
        <v>618</v>
      </c>
      <c r="B2232" s="45" t="s">
        <v>3393</v>
      </c>
      <c r="C2232" s="45">
        <v>122.0</v>
      </c>
      <c r="D2232" s="45">
        <v>42041.0</v>
      </c>
      <c r="E2232" s="45" t="s">
        <v>3986</v>
      </c>
      <c r="F2232" s="45" t="s">
        <v>3987</v>
      </c>
      <c r="G2232" s="45" t="s">
        <v>3980</v>
      </c>
    </row>
    <row r="2233">
      <c r="A2233" s="45" t="s">
        <v>1526</v>
      </c>
      <c r="B2233" s="45" t="s">
        <v>3393</v>
      </c>
      <c r="C2233" s="45">
        <v>122.0</v>
      </c>
      <c r="D2233" s="45">
        <v>42043.0</v>
      </c>
      <c r="E2233" s="45" t="s">
        <v>3986</v>
      </c>
      <c r="F2233" s="45" t="s">
        <v>3987</v>
      </c>
      <c r="G2233" s="45" t="s">
        <v>3980</v>
      </c>
    </row>
    <row r="2234">
      <c r="A2234" s="45" t="s">
        <v>405</v>
      </c>
      <c r="B2234" s="45" t="s">
        <v>3393</v>
      </c>
      <c r="C2234" s="45">
        <v>122.0</v>
      </c>
      <c r="D2234" s="45">
        <v>42045.0</v>
      </c>
      <c r="E2234" s="45" t="s">
        <v>3986</v>
      </c>
      <c r="F2234" s="45" t="s">
        <v>3987</v>
      </c>
      <c r="G2234" s="45" t="s">
        <v>3980</v>
      </c>
    </row>
    <row r="2235">
      <c r="A2235" s="45" t="s">
        <v>763</v>
      </c>
      <c r="B2235" s="45" t="s">
        <v>3393</v>
      </c>
      <c r="C2235" s="45">
        <v>119.0</v>
      </c>
      <c r="D2235" s="45">
        <v>42047.0</v>
      </c>
      <c r="E2235" s="45" t="s">
        <v>3986</v>
      </c>
      <c r="F2235" s="45" t="s">
        <v>3987</v>
      </c>
      <c r="G2235" s="45" t="s">
        <v>3980</v>
      </c>
    </row>
    <row r="2236">
      <c r="A2236" s="45" t="s">
        <v>1305</v>
      </c>
      <c r="B2236" s="45" t="s">
        <v>3393</v>
      </c>
      <c r="C2236" s="45">
        <v>122.0</v>
      </c>
      <c r="D2236" s="45">
        <v>42049.0</v>
      </c>
      <c r="E2236" s="45" t="s">
        <v>3986</v>
      </c>
      <c r="F2236" s="45" t="s">
        <v>3987</v>
      </c>
      <c r="G2236" s="45" t="s">
        <v>3980</v>
      </c>
    </row>
    <row r="2237">
      <c r="A2237" s="45" t="s">
        <v>131</v>
      </c>
      <c r="B2237" s="45" t="s">
        <v>3393</v>
      </c>
      <c r="C2237" s="45">
        <v>115.0</v>
      </c>
      <c r="D2237" s="45">
        <v>42051.0</v>
      </c>
      <c r="E2237" s="45" t="s">
        <v>3986</v>
      </c>
      <c r="F2237" s="45" t="s">
        <v>3997</v>
      </c>
      <c r="G2237" s="45" t="s">
        <v>3980</v>
      </c>
    </row>
    <row r="2238">
      <c r="A2238" s="45" t="s">
        <v>1527</v>
      </c>
      <c r="B2238" s="45" t="s">
        <v>3393</v>
      </c>
      <c r="C2238" s="45">
        <v>122.0</v>
      </c>
      <c r="D2238" s="45">
        <v>42053.0</v>
      </c>
      <c r="E2238" s="45" t="s">
        <v>3986</v>
      </c>
      <c r="F2238" s="45" t="s">
        <v>3987</v>
      </c>
      <c r="G2238" s="45" t="s">
        <v>3980</v>
      </c>
    </row>
    <row r="2239">
      <c r="A2239" s="45" t="s">
        <v>132</v>
      </c>
      <c r="B2239" s="45" t="s">
        <v>3393</v>
      </c>
      <c r="C2239" s="45">
        <v>120.0</v>
      </c>
      <c r="D2239" s="45">
        <v>42055.0</v>
      </c>
      <c r="E2239" s="45" t="s">
        <v>3986</v>
      </c>
      <c r="F2239" s="45" t="s">
        <v>3997</v>
      </c>
      <c r="G2239" s="45" t="s">
        <v>3980</v>
      </c>
    </row>
    <row r="2240">
      <c r="A2240" s="45" t="s">
        <v>240</v>
      </c>
      <c r="B2240" s="45" t="s">
        <v>3393</v>
      </c>
      <c r="C2240" s="45">
        <v>120.0</v>
      </c>
      <c r="D2240" s="45">
        <v>42057.0</v>
      </c>
      <c r="E2240" s="45" t="s">
        <v>3986</v>
      </c>
      <c r="F2240" s="45" t="s">
        <v>3997</v>
      </c>
      <c r="G2240" s="45" t="s">
        <v>3980</v>
      </c>
    </row>
    <row r="2241">
      <c r="A2241" s="45" t="s">
        <v>134</v>
      </c>
      <c r="B2241" s="45" t="s">
        <v>3393</v>
      </c>
      <c r="C2241" s="45">
        <v>115.0</v>
      </c>
      <c r="D2241" s="45">
        <v>42059.0</v>
      </c>
      <c r="E2241" s="45" t="s">
        <v>3993</v>
      </c>
      <c r="F2241" s="45" t="s">
        <v>3997</v>
      </c>
      <c r="G2241" s="45" t="s">
        <v>3980</v>
      </c>
    </row>
    <row r="2242">
      <c r="A2242" s="45" t="s">
        <v>1528</v>
      </c>
      <c r="B2242" s="45" t="s">
        <v>3393</v>
      </c>
      <c r="C2242" s="45">
        <v>122.0</v>
      </c>
      <c r="D2242" s="45">
        <v>42061.0</v>
      </c>
      <c r="E2242" s="45" t="s">
        <v>3986</v>
      </c>
      <c r="F2242" s="45" t="s">
        <v>3987</v>
      </c>
      <c r="G2242" s="45" t="s">
        <v>3980</v>
      </c>
    </row>
    <row r="2243">
      <c r="A2243" s="45" t="s">
        <v>663</v>
      </c>
      <c r="B2243" s="45" t="s">
        <v>3393</v>
      </c>
      <c r="C2243" s="45">
        <v>122.0</v>
      </c>
      <c r="D2243" s="45">
        <v>42063.0</v>
      </c>
      <c r="E2243" s="45" t="s">
        <v>3986</v>
      </c>
      <c r="F2243" s="45" t="s">
        <v>3987</v>
      </c>
      <c r="G2243" s="45" t="s">
        <v>3980</v>
      </c>
    </row>
    <row r="2244">
      <c r="A2244" s="45" t="s">
        <v>139</v>
      </c>
      <c r="B2244" s="45" t="s">
        <v>3393</v>
      </c>
      <c r="C2244" s="45">
        <v>122.0</v>
      </c>
      <c r="D2244" s="45">
        <v>42065.0</v>
      </c>
      <c r="E2244" s="45" t="s">
        <v>3986</v>
      </c>
      <c r="F2244" s="45" t="s">
        <v>3987</v>
      </c>
      <c r="G2244" s="45" t="s">
        <v>3980</v>
      </c>
    </row>
    <row r="2245">
      <c r="A2245" s="45" t="s">
        <v>1529</v>
      </c>
      <c r="B2245" s="45" t="s">
        <v>3393</v>
      </c>
      <c r="C2245" s="45">
        <v>122.0</v>
      </c>
      <c r="D2245" s="45">
        <v>42067.0</v>
      </c>
      <c r="E2245" s="45" t="s">
        <v>3986</v>
      </c>
      <c r="F2245" s="45" t="s">
        <v>3987</v>
      </c>
      <c r="G2245" s="45" t="s">
        <v>3980</v>
      </c>
    </row>
    <row r="2246">
      <c r="A2246" s="45" t="s">
        <v>1530</v>
      </c>
      <c r="B2246" s="45" t="s">
        <v>3393</v>
      </c>
      <c r="C2246" s="45">
        <v>122.0</v>
      </c>
      <c r="D2246" s="45">
        <v>42069.0</v>
      </c>
      <c r="E2246" s="45" t="s">
        <v>3986</v>
      </c>
      <c r="F2246" s="45" t="s">
        <v>3987</v>
      </c>
      <c r="G2246" s="45" t="s">
        <v>3987</v>
      </c>
    </row>
    <row r="2247">
      <c r="A2247" s="45" t="s">
        <v>1224</v>
      </c>
      <c r="B2247" s="45" t="s">
        <v>3393</v>
      </c>
      <c r="C2247" s="45">
        <v>122.0</v>
      </c>
      <c r="D2247" s="45">
        <v>42071.0</v>
      </c>
      <c r="E2247" s="45" t="s">
        <v>3986</v>
      </c>
      <c r="F2247" s="45" t="s">
        <v>3987</v>
      </c>
      <c r="G2247" s="45" t="s">
        <v>3987</v>
      </c>
    </row>
    <row r="2248">
      <c r="A2248" s="45" t="s">
        <v>142</v>
      </c>
      <c r="B2248" s="45" t="s">
        <v>3393</v>
      </c>
      <c r="C2248" s="45">
        <v>122.0</v>
      </c>
      <c r="D2248" s="45">
        <v>42073.0</v>
      </c>
      <c r="E2248" s="45" t="s">
        <v>3993</v>
      </c>
      <c r="F2248" s="45" t="s">
        <v>3997</v>
      </c>
      <c r="G2248" s="45" t="s">
        <v>3987</v>
      </c>
    </row>
    <row r="2249">
      <c r="A2249" s="45" t="s">
        <v>1531</v>
      </c>
      <c r="B2249" s="45" t="s">
        <v>3393</v>
      </c>
      <c r="C2249" s="45">
        <v>122.0</v>
      </c>
      <c r="D2249" s="45">
        <v>42075.0</v>
      </c>
      <c r="E2249" s="45" t="s">
        <v>3986</v>
      </c>
      <c r="F2249" s="45" t="s">
        <v>3987</v>
      </c>
      <c r="G2249" s="45" t="s">
        <v>3987</v>
      </c>
    </row>
    <row r="2250">
      <c r="A2250" s="45" t="s">
        <v>1532</v>
      </c>
      <c r="B2250" s="45" t="s">
        <v>3393</v>
      </c>
      <c r="C2250" s="45">
        <v>122.0</v>
      </c>
      <c r="D2250" s="45">
        <v>42077.0</v>
      </c>
      <c r="E2250" s="45" t="s">
        <v>3986</v>
      </c>
      <c r="F2250" s="45" t="s">
        <v>3987</v>
      </c>
      <c r="G2250" s="45" t="s">
        <v>3987</v>
      </c>
    </row>
    <row r="2251">
      <c r="A2251" s="45" t="s">
        <v>1533</v>
      </c>
      <c r="B2251" s="45" t="s">
        <v>3393</v>
      </c>
      <c r="C2251" s="45">
        <v>122.0</v>
      </c>
      <c r="D2251" s="45">
        <v>42079.0</v>
      </c>
      <c r="E2251" s="45" t="s">
        <v>3986</v>
      </c>
      <c r="F2251" s="45" t="s">
        <v>3987</v>
      </c>
      <c r="G2251" s="45" t="s">
        <v>3987</v>
      </c>
    </row>
    <row r="2252">
      <c r="A2252" s="45" t="s">
        <v>1534</v>
      </c>
      <c r="B2252" s="45" t="s">
        <v>3393</v>
      </c>
      <c r="C2252" s="45">
        <v>122.0</v>
      </c>
      <c r="D2252" s="45">
        <v>42081.0</v>
      </c>
      <c r="E2252" s="45" t="s">
        <v>3986</v>
      </c>
      <c r="F2252" s="45" t="s">
        <v>3987</v>
      </c>
      <c r="G2252" s="45" t="s">
        <v>3987</v>
      </c>
    </row>
    <row r="2253">
      <c r="A2253" s="45" t="s">
        <v>1535</v>
      </c>
      <c r="B2253" s="45" t="s">
        <v>3393</v>
      </c>
      <c r="C2253" s="45">
        <v>122.0</v>
      </c>
      <c r="D2253" s="45">
        <v>42083.0</v>
      </c>
      <c r="E2253" s="45" t="s">
        <v>3986</v>
      </c>
      <c r="F2253" s="45" t="s">
        <v>3987</v>
      </c>
      <c r="G2253" s="45" t="s">
        <v>3987</v>
      </c>
    </row>
    <row r="2254">
      <c r="A2254" s="45" t="s">
        <v>644</v>
      </c>
      <c r="B2254" s="45" t="s">
        <v>3393</v>
      </c>
      <c r="C2254" s="45">
        <v>122.0</v>
      </c>
      <c r="D2254" s="45">
        <v>42085.0</v>
      </c>
      <c r="E2254" s="45" t="s">
        <v>3986</v>
      </c>
      <c r="F2254" s="45" t="s">
        <v>3997</v>
      </c>
      <c r="G2254" s="45" t="s">
        <v>3987</v>
      </c>
    </row>
    <row r="2255">
      <c r="A2255" s="45" t="s">
        <v>1536</v>
      </c>
      <c r="B2255" s="45" t="s">
        <v>3393</v>
      </c>
      <c r="C2255" s="45">
        <v>122.0</v>
      </c>
      <c r="D2255" s="45">
        <v>42087.0</v>
      </c>
      <c r="E2255" s="45" t="s">
        <v>3986</v>
      </c>
      <c r="F2255" s="45" t="s">
        <v>3987</v>
      </c>
      <c r="G2255" s="45" t="s">
        <v>3987</v>
      </c>
    </row>
    <row r="2256">
      <c r="A2256" s="45" t="s">
        <v>152</v>
      </c>
      <c r="B2256" s="45" t="s">
        <v>3393</v>
      </c>
      <c r="C2256" s="45">
        <v>122.0</v>
      </c>
      <c r="D2256" s="45">
        <v>42089.0</v>
      </c>
      <c r="E2256" s="45" t="s">
        <v>3986</v>
      </c>
      <c r="F2256" s="45" t="s">
        <v>3987</v>
      </c>
      <c r="G2256" s="45" t="s">
        <v>3987</v>
      </c>
    </row>
    <row r="2257">
      <c r="A2257" s="45" t="s">
        <v>153</v>
      </c>
      <c r="B2257" s="45" t="s">
        <v>3393</v>
      </c>
      <c r="C2257" s="45">
        <v>122.0</v>
      </c>
      <c r="D2257" s="45">
        <v>42091.0</v>
      </c>
      <c r="E2257" s="45" t="s">
        <v>3986</v>
      </c>
      <c r="F2257" s="45" t="s">
        <v>3987</v>
      </c>
      <c r="G2257" s="45" t="s">
        <v>3987</v>
      </c>
    </row>
    <row r="2258">
      <c r="A2258" s="45" t="s">
        <v>1537</v>
      </c>
      <c r="B2258" s="45" t="s">
        <v>3393</v>
      </c>
      <c r="C2258" s="45">
        <v>122.0</v>
      </c>
      <c r="D2258" s="45">
        <v>42093.0</v>
      </c>
      <c r="E2258" s="45" t="s">
        <v>3986</v>
      </c>
      <c r="F2258" s="45" t="s">
        <v>3987</v>
      </c>
      <c r="G2258" s="45" t="s">
        <v>3987</v>
      </c>
    </row>
    <row r="2259">
      <c r="A2259" s="45" t="s">
        <v>1368</v>
      </c>
      <c r="B2259" s="45" t="s">
        <v>3393</v>
      </c>
      <c r="C2259" s="45">
        <v>122.0</v>
      </c>
      <c r="D2259" s="45">
        <v>42095.0</v>
      </c>
      <c r="E2259" s="45" t="s">
        <v>3986</v>
      </c>
      <c r="F2259" s="45" t="s">
        <v>3987</v>
      </c>
      <c r="G2259" s="45" t="s">
        <v>3987</v>
      </c>
    </row>
    <row r="2260">
      <c r="A2260" s="45" t="s">
        <v>1538</v>
      </c>
      <c r="B2260" s="45" t="s">
        <v>3393</v>
      </c>
      <c r="C2260" s="45">
        <v>122.0</v>
      </c>
      <c r="D2260" s="45">
        <v>42097.0</v>
      </c>
      <c r="E2260" s="45" t="s">
        <v>3986</v>
      </c>
      <c r="F2260" s="45" t="s">
        <v>3987</v>
      </c>
      <c r="G2260" s="45" t="s">
        <v>3987</v>
      </c>
    </row>
    <row r="2261">
      <c r="A2261" s="45" t="s">
        <v>155</v>
      </c>
      <c r="B2261" s="45" t="s">
        <v>3393</v>
      </c>
      <c r="C2261" s="45">
        <v>122.0</v>
      </c>
      <c r="D2261" s="45">
        <v>42099.0</v>
      </c>
      <c r="E2261" s="45" t="s">
        <v>3986</v>
      </c>
      <c r="F2261" s="45" t="s">
        <v>3987</v>
      </c>
      <c r="G2261" s="45" t="s">
        <v>3987</v>
      </c>
    </row>
    <row r="2262">
      <c r="A2262" s="45" t="s">
        <v>1539</v>
      </c>
      <c r="B2262" s="45" t="s">
        <v>3393</v>
      </c>
      <c r="C2262" s="45">
        <v>122.0</v>
      </c>
      <c r="D2262" s="45">
        <v>42101.0</v>
      </c>
      <c r="E2262" s="45" t="s">
        <v>3986</v>
      </c>
      <c r="F2262" s="45" t="s">
        <v>3987</v>
      </c>
      <c r="G2262" s="45" t="s">
        <v>3987</v>
      </c>
    </row>
    <row r="2263">
      <c r="A2263" s="45" t="s">
        <v>157</v>
      </c>
      <c r="B2263" s="45" t="s">
        <v>3393</v>
      </c>
      <c r="C2263" s="45">
        <v>122.0</v>
      </c>
      <c r="D2263" s="45">
        <v>42103.0</v>
      </c>
      <c r="E2263" s="45" t="s">
        <v>3986</v>
      </c>
      <c r="F2263" s="45" t="s">
        <v>3987</v>
      </c>
      <c r="G2263" s="45" t="s">
        <v>3987</v>
      </c>
    </row>
    <row r="2264">
      <c r="A2264" s="45" t="s">
        <v>1540</v>
      </c>
      <c r="B2264" s="45" t="s">
        <v>3393</v>
      </c>
      <c r="C2264" s="45">
        <v>119.0</v>
      </c>
      <c r="D2264" s="45">
        <v>42105.0</v>
      </c>
      <c r="E2264" s="45" t="s">
        <v>3986</v>
      </c>
      <c r="F2264" s="45" t="s">
        <v>3987</v>
      </c>
      <c r="G2264" s="45" t="s">
        <v>3987</v>
      </c>
    </row>
    <row r="2265">
      <c r="A2265" s="45" t="s">
        <v>1541</v>
      </c>
      <c r="B2265" s="45" t="s">
        <v>3393</v>
      </c>
      <c r="C2265" s="45">
        <v>122.0</v>
      </c>
      <c r="D2265" s="45">
        <v>42107.0</v>
      </c>
      <c r="E2265" s="45" t="s">
        <v>3986</v>
      </c>
      <c r="F2265" s="45" t="s">
        <v>3987</v>
      </c>
      <c r="G2265" s="45" t="s">
        <v>3987</v>
      </c>
    </row>
    <row r="2266">
      <c r="A2266" s="45" t="s">
        <v>1542</v>
      </c>
      <c r="B2266" s="45" t="s">
        <v>3393</v>
      </c>
      <c r="C2266" s="45">
        <v>122.0</v>
      </c>
      <c r="D2266" s="45">
        <v>42109.0</v>
      </c>
      <c r="E2266" s="45" t="s">
        <v>3986</v>
      </c>
      <c r="F2266" s="45" t="s">
        <v>3987</v>
      </c>
      <c r="G2266" s="45" t="s">
        <v>3987</v>
      </c>
    </row>
    <row r="2267">
      <c r="A2267" s="45" t="s">
        <v>930</v>
      </c>
      <c r="B2267" s="45" t="s">
        <v>3393</v>
      </c>
      <c r="C2267" s="45">
        <v>122.0</v>
      </c>
      <c r="D2267" s="45">
        <v>42111.0</v>
      </c>
      <c r="E2267" s="45" t="s">
        <v>3986</v>
      </c>
      <c r="F2267" s="45" t="s">
        <v>3987</v>
      </c>
      <c r="G2267" s="45" t="s">
        <v>3987</v>
      </c>
    </row>
    <row r="2268">
      <c r="A2268" s="45" t="s">
        <v>694</v>
      </c>
      <c r="B2268" s="45" t="s">
        <v>3393</v>
      </c>
      <c r="C2268" s="45">
        <v>122.0</v>
      </c>
      <c r="D2268" s="45">
        <v>42113.0</v>
      </c>
      <c r="E2268" s="45" t="s">
        <v>3986</v>
      </c>
      <c r="F2268" s="45" t="s">
        <v>3987</v>
      </c>
      <c r="G2268" s="45" t="s">
        <v>3987</v>
      </c>
    </row>
    <row r="2269">
      <c r="A2269" s="45" t="s">
        <v>1543</v>
      </c>
      <c r="B2269" s="45" t="s">
        <v>3393</v>
      </c>
      <c r="C2269" s="45">
        <v>122.0</v>
      </c>
      <c r="D2269" s="45">
        <v>42115.0</v>
      </c>
      <c r="E2269" s="45" t="s">
        <v>3986</v>
      </c>
      <c r="F2269" s="45" t="s">
        <v>3987</v>
      </c>
      <c r="G2269" s="45" t="s">
        <v>3987</v>
      </c>
    </row>
    <row r="2270">
      <c r="A2270" s="45" t="s">
        <v>1319</v>
      </c>
      <c r="B2270" s="45" t="s">
        <v>3393</v>
      </c>
      <c r="C2270" s="45">
        <v>122.0</v>
      </c>
      <c r="D2270" s="45">
        <v>42117.0</v>
      </c>
      <c r="E2270" s="45" t="s">
        <v>3986</v>
      </c>
      <c r="F2270" s="45" t="s">
        <v>3987</v>
      </c>
      <c r="G2270" s="45" t="s">
        <v>3987</v>
      </c>
    </row>
    <row r="2271">
      <c r="A2271" s="45" t="s">
        <v>273</v>
      </c>
      <c r="B2271" s="45" t="s">
        <v>3393</v>
      </c>
      <c r="C2271" s="45">
        <v>122.0</v>
      </c>
      <c r="D2271" s="45">
        <v>42119.0</v>
      </c>
      <c r="E2271" s="45" t="s">
        <v>3986</v>
      </c>
      <c r="F2271" s="45" t="s">
        <v>3987</v>
      </c>
      <c r="G2271" s="45" t="s">
        <v>3987</v>
      </c>
    </row>
    <row r="2272">
      <c r="A2272" s="45" t="s">
        <v>1544</v>
      </c>
      <c r="B2272" s="45" t="s">
        <v>3393</v>
      </c>
      <c r="C2272" s="45">
        <v>122.0</v>
      </c>
      <c r="D2272" s="45">
        <v>42121.0</v>
      </c>
      <c r="E2272" s="45" t="s">
        <v>3986</v>
      </c>
      <c r="F2272" s="45" t="s">
        <v>3987</v>
      </c>
      <c r="G2272" s="45" t="s">
        <v>3987</v>
      </c>
    </row>
    <row r="2273">
      <c r="A2273" s="45" t="s">
        <v>561</v>
      </c>
      <c r="B2273" s="45" t="s">
        <v>3393</v>
      </c>
      <c r="C2273" s="45">
        <v>122.0</v>
      </c>
      <c r="D2273" s="45">
        <v>42123.0</v>
      </c>
      <c r="E2273" s="45" t="s">
        <v>3986</v>
      </c>
      <c r="F2273" s="45" t="s">
        <v>3987</v>
      </c>
      <c r="G2273" s="45" t="s">
        <v>3987</v>
      </c>
    </row>
    <row r="2274">
      <c r="A2274" s="45" t="s">
        <v>167</v>
      </c>
      <c r="B2274" s="45" t="s">
        <v>3393</v>
      </c>
      <c r="C2274" s="45">
        <v>115.0</v>
      </c>
      <c r="D2274" s="45">
        <v>42125.0</v>
      </c>
      <c r="E2274" s="45" t="s">
        <v>3993</v>
      </c>
      <c r="F2274" s="45" t="s">
        <v>3997</v>
      </c>
      <c r="G2274" s="45" t="s">
        <v>3987</v>
      </c>
    </row>
    <row r="2275">
      <c r="A2275" s="45" t="s">
        <v>562</v>
      </c>
      <c r="B2275" s="45" t="s">
        <v>3393</v>
      </c>
      <c r="C2275" s="45">
        <v>122.0</v>
      </c>
      <c r="D2275" s="45">
        <v>42127.0</v>
      </c>
      <c r="E2275" s="45" t="s">
        <v>3986</v>
      </c>
      <c r="F2275" s="45" t="s">
        <v>3987</v>
      </c>
      <c r="G2275" s="45" t="s">
        <v>3987</v>
      </c>
    </row>
    <row r="2276">
      <c r="A2276" s="45" t="s">
        <v>1545</v>
      </c>
      <c r="B2276" s="45" t="s">
        <v>3393</v>
      </c>
      <c r="C2276" s="45">
        <v>115.0</v>
      </c>
      <c r="D2276" s="45">
        <v>42129.0</v>
      </c>
      <c r="E2276" s="45" t="s">
        <v>3986</v>
      </c>
      <c r="F2276" s="45" t="s">
        <v>3997</v>
      </c>
      <c r="G2276" s="45" t="s">
        <v>3987</v>
      </c>
    </row>
    <row r="2277">
      <c r="A2277" s="45" t="s">
        <v>1323</v>
      </c>
      <c r="B2277" s="45" t="s">
        <v>3393</v>
      </c>
      <c r="C2277" s="45">
        <v>122.0</v>
      </c>
      <c r="D2277" s="45">
        <v>42131.0</v>
      </c>
      <c r="E2277" s="45" t="s">
        <v>3986</v>
      </c>
      <c r="F2277" s="45" t="s">
        <v>3987</v>
      </c>
      <c r="G2277" s="45" t="s">
        <v>3987</v>
      </c>
    </row>
    <row r="2278">
      <c r="A2278" s="45" t="s">
        <v>932</v>
      </c>
      <c r="B2278" s="45" t="s">
        <v>3393</v>
      </c>
      <c r="C2278" s="45">
        <v>122.0</v>
      </c>
      <c r="D2278" s="45">
        <v>42133.0</v>
      </c>
      <c r="E2278" s="45" t="s">
        <v>3986</v>
      </c>
      <c r="F2278" s="45" t="s">
        <v>3987</v>
      </c>
      <c r="G2278" s="45" t="s">
        <v>3987</v>
      </c>
    </row>
    <row r="2279">
      <c r="A2279" s="45" t="s">
        <v>954</v>
      </c>
      <c r="B2279" s="45" t="s">
        <v>3427</v>
      </c>
      <c r="C2279" s="45">
        <v>133.0</v>
      </c>
      <c r="D2279" s="45">
        <v>44001.0</v>
      </c>
      <c r="E2279" s="45" t="s">
        <v>3984</v>
      </c>
      <c r="F2279" s="45" t="s">
        <v>3985</v>
      </c>
      <c r="G2279" s="45" t="s">
        <v>3987</v>
      </c>
    </row>
    <row r="2280">
      <c r="A2280" s="45" t="s">
        <v>404</v>
      </c>
      <c r="B2280" s="45" t="s">
        <v>3427</v>
      </c>
      <c r="C2280" s="45">
        <v>133.0</v>
      </c>
      <c r="D2280" s="45">
        <v>44003.0</v>
      </c>
      <c r="E2280" s="45" t="s">
        <v>3984</v>
      </c>
      <c r="F2280" s="45" t="s">
        <v>3985</v>
      </c>
      <c r="G2280" s="45" t="s">
        <v>3987</v>
      </c>
    </row>
    <row r="2281">
      <c r="A2281" s="45" t="s">
        <v>1547</v>
      </c>
      <c r="B2281" s="45" t="s">
        <v>3427</v>
      </c>
      <c r="C2281" s="45">
        <v>133.0</v>
      </c>
      <c r="D2281" s="45">
        <v>44005.0</v>
      </c>
      <c r="E2281" s="45" t="s">
        <v>3984</v>
      </c>
      <c r="F2281" s="45" t="s">
        <v>3985</v>
      </c>
      <c r="G2281" s="45" t="s">
        <v>3987</v>
      </c>
    </row>
    <row r="2282">
      <c r="A2282" s="45" t="s">
        <v>1548</v>
      </c>
      <c r="B2282" s="45" t="s">
        <v>3427</v>
      </c>
      <c r="C2282" s="45">
        <v>133.0</v>
      </c>
      <c r="D2282" s="45">
        <v>44007.0</v>
      </c>
      <c r="E2282" s="45" t="s">
        <v>3984</v>
      </c>
      <c r="F2282" s="45" t="s">
        <v>3985</v>
      </c>
      <c r="G2282" s="45" t="s">
        <v>3987</v>
      </c>
    </row>
    <row r="2283">
      <c r="A2283" s="45" t="s">
        <v>167</v>
      </c>
      <c r="B2283" s="45" t="s">
        <v>3427</v>
      </c>
      <c r="C2283" s="45">
        <v>133.0</v>
      </c>
      <c r="D2283" s="45">
        <v>44009.0</v>
      </c>
      <c r="E2283" s="45" t="s">
        <v>3984</v>
      </c>
      <c r="F2283" s="45" t="s">
        <v>3985</v>
      </c>
      <c r="G2283" s="45" t="s">
        <v>3987</v>
      </c>
    </row>
    <row r="2284">
      <c r="A2284" s="45" t="s">
        <v>1549</v>
      </c>
      <c r="B2284" s="45" t="s">
        <v>3430</v>
      </c>
      <c r="C2284" s="45">
        <v>95.0</v>
      </c>
      <c r="D2284" s="45">
        <v>45001.0</v>
      </c>
      <c r="E2284" s="45" t="s">
        <v>3969</v>
      </c>
      <c r="F2284" s="45" t="s">
        <v>4009</v>
      </c>
      <c r="G2284" s="45" t="s">
        <v>3987</v>
      </c>
    </row>
    <row r="2285">
      <c r="A2285" s="45" t="s">
        <v>1551</v>
      </c>
      <c r="B2285" s="45" t="s">
        <v>3430</v>
      </c>
      <c r="C2285" s="45">
        <v>96.0</v>
      </c>
      <c r="D2285" s="45">
        <v>45003.0</v>
      </c>
      <c r="E2285" s="45" t="s">
        <v>3969</v>
      </c>
      <c r="F2285" s="45" t="s">
        <v>4009</v>
      </c>
      <c r="G2285" s="45" t="s">
        <v>3987</v>
      </c>
    </row>
    <row r="2286">
      <c r="A2286" s="45" t="s">
        <v>1552</v>
      </c>
      <c r="B2286" s="45" t="s">
        <v>3430</v>
      </c>
      <c r="C2286" s="45">
        <v>96.0</v>
      </c>
      <c r="D2286" s="45">
        <v>45005.0</v>
      </c>
      <c r="E2286" s="45" t="s">
        <v>3969</v>
      </c>
      <c r="F2286" s="45" t="s">
        <v>4009</v>
      </c>
      <c r="G2286" s="45" t="s">
        <v>3987</v>
      </c>
    </row>
    <row r="2287">
      <c r="A2287" s="45" t="s">
        <v>751</v>
      </c>
      <c r="B2287" s="45" t="s">
        <v>3430</v>
      </c>
      <c r="C2287" s="45">
        <v>95.0</v>
      </c>
      <c r="D2287" s="45">
        <v>45007.0</v>
      </c>
      <c r="E2287" s="45" t="s">
        <v>3969</v>
      </c>
      <c r="F2287" s="45" t="s">
        <v>4009</v>
      </c>
      <c r="G2287" s="45" t="s">
        <v>3987</v>
      </c>
    </row>
    <row r="2288">
      <c r="A2288" s="45" t="s">
        <v>1553</v>
      </c>
      <c r="B2288" s="45" t="s">
        <v>3430</v>
      </c>
      <c r="C2288" s="45">
        <v>96.0</v>
      </c>
      <c r="D2288" s="45">
        <v>45009.0</v>
      </c>
      <c r="E2288" s="45" t="s">
        <v>4008</v>
      </c>
      <c r="F2288" s="45" t="s">
        <v>4009</v>
      </c>
      <c r="G2288" s="45" t="s">
        <v>3987</v>
      </c>
    </row>
    <row r="2289">
      <c r="A2289" s="45" t="s">
        <v>1554</v>
      </c>
      <c r="B2289" s="45" t="s">
        <v>3430</v>
      </c>
      <c r="C2289" s="45">
        <v>96.0</v>
      </c>
      <c r="D2289" s="45">
        <v>45011.0</v>
      </c>
      <c r="E2289" s="45" t="s">
        <v>3969</v>
      </c>
      <c r="F2289" s="45" t="s">
        <v>4009</v>
      </c>
      <c r="G2289" s="45" t="s">
        <v>3987</v>
      </c>
    </row>
    <row r="2290">
      <c r="A2290" s="45" t="s">
        <v>1331</v>
      </c>
      <c r="B2290" s="45" t="s">
        <v>3430</v>
      </c>
      <c r="C2290" s="45">
        <v>96.0</v>
      </c>
      <c r="D2290" s="45">
        <v>45013.0</v>
      </c>
      <c r="E2290" s="45" t="s">
        <v>4008</v>
      </c>
      <c r="F2290" s="45" t="s">
        <v>4009</v>
      </c>
      <c r="G2290" s="45" t="s">
        <v>3987</v>
      </c>
    </row>
    <row r="2291">
      <c r="A2291" s="45" t="s">
        <v>1555</v>
      </c>
      <c r="B2291" s="45" t="s">
        <v>3430</v>
      </c>
      <c r="C2291" s="45">
        <v>96.0</v>
      </c>
      <c r="D2291" s="45">
        <v>45015.0</v>
      </c>
      <c r="E2291" s="45" t="s">
        <v>4008</v>
      </c>
      <c r="F2291" s="45" t="s">
        <v>4009</v>
      </c>
      <c r="G2291" s="45" t="s">
        <v>3987</v>
      </c>
    </row>
    <row r="2292">
      <c r="A2292" s="45" t="s">
        <v>110</v>
      </c>
      <c r="B2292" s="45" t="s">
        <v>3430</v>
      </c>
      <c r="C2292" s="45">
        <v>96.0</v>
      </c>
      <c r="D2292" s="45">
        <v>45017.0</v>
      </c>
      <c r="E2292" s="45" t="s">
        <v>4008</v>
      </c>
      <c r="F2292" s="45" t="s">
        <v>4009</v>
      </c>
      <c r="G2292" s="45" t="s">
        <v>3987</v>
      </c>
    </row>
    <row r="2293">
      <c r="A2293" s="45" t="s">
        <v>1556</v>
      </c>
      <c r="B2293" s="45" t="s">
        <v>3430</v>
      </c>
      <c r="C2293" s="45">
        <v>96.0</v>
      </c>
      <c r="D2293" s="45">
        <v>45019.0</v>
      </c>
      <c r="E2293" s="45" t="s">
        <v>4008</v>
      </c>
      <c r="F2293" s="45" t="s">
        <v>4009</v>
      </c>
      <c r="G2293" s="45" t="s">
        <v>3987</v>
      </c>
    </row>
    <row r="2294">
      <c r="A2294" s="45" t="s">
        <v>112</v>
      </c>
      <c r="B2294" s="45" t="s">
        <v>3430</v>
      </c>
      <c r="C2294" s="45">
        <v>95.0</v>
      </c>
      <c r="D2294" s="45">
        <v>45021.0</v>
      </c>
      <c r="E2294" s="45" t="s">
        <v>4008</v>
      </c>
      <c r="F2294" s="45" t="s">
        <v>4009</v>
      </c>
      <c r="G2294" s="45" t="s">
        <v>3987</v>
      </c>
    </row>
    <row r="2295">
      <c r="A2295" s="45" t="s">
        <v>1523</v>
      </c>
      <c r="B2295" s="45" t="s">
        <v>3430</v>
      </c>
      <c r="C2295" s="45">
        <v>95.0</v>
      </c>
      <c r="D2295" s="45">
        <v>45023.0</v>
      </c>
      <c r="E2295" s="45" t="s">
        <v>4008</v>
      </c>
      <c r="F2295" s="45" t="s">
        <v>4009</v>
      </c>
      <c r="G2295" s="45" t="s">
        <v>3987</v>
      </c>
    </row>
    <row r="2296">
      <c r="A2296" s="45" t="s">
        <v>1557</v>
      </c>
      <c r="B2296" s="45" t="s">
        <v>3430</v>
      </c>
      <c r="C2296" s="45">
        <v>96.0</v>
      </c>
      <c r="D2296" s="45">
        <v>45025.0</v>
      </c>
      <c r="E2296" s="45" t="s">
        <v>4008</v>
      </c>
      <c r="F2296" s="45" t="s">
        <v>4009</v>
      </c>
      <c r="G2296" s="45" t="s">
        <v>3987</v>
      </c>
    </row>
    <row r="2297">
      <c r="A2297" s="45" t="s">
        <v>1558</v>
      </c>
      <c r="B2297" s="45" t="s">
        <v>3430</v>
      </c>
      <c r="C2297" s="45">
        <v>96.0</v>
      </c>
      <c r="D2297" s="45">
        <v>45027.0</v>
      </c>
      <c r="E2297" s="45" t="s">
        <v>4008</v>
      </c>
      <c r="F2297" s="45" t="s">
        <v>4009</v>
      </c>
      <c r="G2297" s="45" t="s">
        <v>3987</v>
      </c>
    </row>
    <row r="2298">
      <c r="A2298" s="45" t="s">
        <v>1559</v>
      </c>
      <c r="B2298" s="45" t="s">
        <v>3430</v>
      </c>
      <c r="C2298" s="45">
        <v>96.0</v>
      </c>
      <c r="D2298" s="45">
        <v>45029.0</v>
      </c>
      <c r="E2298" s="45" t="s">
        <v>4008</v>
      </c>
      <c r="F2298" s="45" t="s">
        <v>4009</v>
      </c>
      <c r="G2298" s="45" t="s">
        <v>3997</v>
      </c>
    </row>
    <row r="2299">
      <c r="A2299" s="45" t="s">
        <v>1560</v>
      </c>
      <c r="B2299" s="45" t="s">
        <v>3430</v>
      </c>
      <c r="C2299" s="45">
        <v>96.0</v>
      </c>
      <c r="D2299" s="45">
        <v>45031.0</v>
      </c>
      <c r="E2299" s="45" t="s">
        <v>4008</v>
      </c>
      <c r="F2299" s="45" t="s">
        <v>4009</v>
      </c>
      <c r="G2299" s="45" t="s">
        <v>3997</v>
      </c>
    </row>
    <row r="2300">
      <c r="A2300" s="45" t="s">
        <v>1561</v>
      </c>
      <c r="B2300" s="45" t="s">
        <v>3430</v>
      </c>
      <c r="C2300" s="45">
        <v>96.0</v>
      </c>
      <c r="D2300" s="45">
        <v>45033.0</v>
      </c>
      <c r="E2300" s="45" t="s">
        <v>4008</v>
      </c>
      <c r="F2300" s="45" t="s">
        <v>4009</v>
      </c>
      <c r="G2300" s="45" t="s">
        <v>3997</v>
      </c>
    </row>
    <row r="2301">
      <c r="A2301" s="45" t="s">
        <v>941</v>
      </c>
      <c r="B2301" s="45" t="s">
        <v>3430</v>
      </c>
      <c r="C2301" s="45">
        <v>96.0</v>
      </c>
      <c r="D2301" s="45">
        <v>45035.0</v>
      </c>
      <c r="E2301" s="45" t="s">
        <v>4008</v>
      </c>
      <c r="F2301" s="45" t="s">
        <v>4009</v>
      </c>
      <c r="G2301" s="45" t="s">
        <v>3997</v>
      </c>
    </row>
    <row r="2302">
      <c r="A2302" s="45" t="s">
        <v>1562</v>
      </c>
      <c r="B2302" s="45" t="s">
        <v>3430</v>
      </c>
      <c r="C2302" s="45">
        <v>96.0</v>
      </c>
      <c r="D2302" s="45">
        <v>45037.0</v>
      </c>
      <c r="E2302" s="45" t="s">
        <v>3969</v>
      </c>
      <c r="F2302" s="45" t="s">
        <v>4009</v>
      </c>
      <c r="G2302" s="45" t="s">
        <v>3997</v>
      </c>
    </row>
    <row r="2303">
      <c r="A2303" s="45" t="s">
        <v>394</v>
      </c>
      <c r="B2303" s="45" t="s">
        <v>3430</v>
      </c>
      <c r="C2303" s="45">
        <v>96.0</v>
      </c>
      <c r="D2303" s="45">
        <v>45039.0</v>
      </c>
      <c r="E2303" s="45" t="s">
        <v>4008</v>
      </c>
      <c r="F2303" s="45" t="s">
        <v>4009</v>
      </c>
      <c r="G2303" s="45" t="s">
        <v>3997</v>
      </c>
    </row>
    <row r="2304">
      <c r="A2304" s="45" t="s">
        <v>1563</v>
      </c>
      <c r="B2304" s="45" t="s">
        <v>3430</v>
      </c>
      <c r="C2304" s="45">
        <v>96.0</v>
      </c>
      <c r="D2304" s="45">
        <v>45041.0</v>
      </c>
      <c r="E2304" s="45" t="s">
        <v>4008</v>
      </c>
      <c r="F2304" s="45" t="s">
        <v>4009</v>
      </c>
      <c r="G2304" s="45" t="s">
        <v>3997</v>
      </c>
    </row>
    <row r="2305">
      <c r="A2305" s="45" t="s">
        <v>1564</v>
      </c>
      <c r="B2305" s="45" t="s">
        <v>3430</v>
      </c>
      <c r="C2305" s="45">
        <v>96.0</v>
      </c>
      <c r="D2305" s="45">
        <v>45043.0</v>
      </c>
      <c r="E2305" s="45" t="s">
        <v>4008</v>
      </c>
      <c r="F2305" s="45" t="s">
        <v>4009</v>
      </c>
      <c r="G2305" s="45" t="s">
        <v>3997</v>
      </c>
    </row>
    <row r="2306">
      <c r="A2306" s="45" t="s">
        <v>1565</v>
      </c>
      <c r="B2306" s="45" t="s">
        <v>3430</v>
      </c>
      <c r="C2306" s="45">
        <v>95.0</v>
      </c>
      <c r="D2306" s="45">
        <v>45045.0</v>
      </c>
      <c r="E2306" s="45" t="s">
        <v>3970</v>
      </c>
      <c r="F2306" s="45" t="s">
        <v>4009</v>
      </c>
      <c r="G2306" s="45" t="s">
        <v>3987</v>
      </c>
    </row>
    <row r="2307">
      <c r="A2307" s="45" t="s">
        <v>771</v>
      </c>
      <c r="B2307" s="45" t="s">
        <v>3430</v>
      </c>
      <c r="C2307" s="45">
        <v>95.0</v>
      </c>
      <c r="D2307" s="45">
        <v>45047.0</v>
      </c>
      <c r="E2307" s="45" t="s">
        <v>4008</v>
      </c>
      <c r="F2307" s="45" t="s">
        <v>4009</v>
      </c>
      <c r="G2307" s="45" t="s">
        <v>3987</v>
      </c>
    </row>
    <row r="2308">
      <c r="A2308" s="45" t="s">
        <v>1566</v>
      </c>
      <c r="B2308" s="45" t="s">
        <v>3430</v>
      </c>
      <c r="C2308" s="45">
        <v>96.0</v>
      </c>
      <c r="D2308" s="45">
        <v>45049.0</v>
      </c>
      <c r="E2308" s="45" t="s">
        <v>3969</v>
      </c>
      <c r="F2308" s="45" t="s">
        <v>4009</v>
      </c>
      <c r="G2308" s="45" t="s">
        <v>3987</v>
      </c>
    </row>
    <row r="2309">
      <c r="A2309" s="45" t="s">
        <v>1567</v>
      </c>
      <c r="B2309" s="45" t="s">
        <v>3430</v>
      </c>
      <c r="C2309" s="45">
        <v>96.0</v>
      </c>
      <c r="D2309" s="45">
        <v>45051.0</v>
      </c>
      <c r="E2309" s="45" t="s">
        <v>4008</v>
      </c>
      <c r="F2309" s="45" t="s">
        <v>4009</v>
      </c>
      <c r="G2309" s="45" t="s">
        <v>3987</v>
      </c>
    </row>
    <row r="2310">
      <c r="A2310" s="45" t="s">
        <v>518</v>
      </c>
      <c r="B2310" s="45" t="s">
        <v>3430</v>
      </c>
      <c r="C2310" s="45">
        <v>96.0</v>
      </c>
      <c r="D2310" s="45">
        <v>45053.0</v>
      </c>
      <c r="E2310" s="45" t="s">
        <v>3969</v>
      </c>
      <c r="F2310" s="45" t="s">
        <v>4009</v>
      </c>
      <c r="G2310" s="45" t="s">
        <v>3987</v>
      </c>
    </row>
    <row r="2311">
      <c r="A2311" s="45" t="s">
        <v>1568</v>
      </c>
      <c r="B2311" s="45" t="s">
        <v>3430</v>
      </c>
      <c r="C2311" s="45">
        <v>96.0</v>
      </c>
      <c r="D2311" s="45">
        <v>45055.0</v>
      </c>
      <c r="E2311" s="45" t="s">
        <v>4008</v>
      </c>
      <c r="F2311" s="45" t="s">
        <v>4009</v>
      </c>
      <c r="G2311" s="45" t="s">
        <v>3997</v>
      </c>
    </row>
    <row r="2312">
      <c r="A2312" s="45" t="s">
        <v>1224</v>
      </c>
      <c r="B2312" s="45" t="s">
        <v>3430</v>
      </c>
      <c r="C2312" s="45">
        <v>95.0</v>
      </c>
      <c r="D2312" s="45">
        <v>45057.0</v>
      </c>
      <c r="E2312" s="45" t="s">
        <v>4008</v>
      </c>
      <c r="F2312" s="45" t="s">
        <v>4009</v>
      </c>
      <c r="G2312" s="45" t="s">
        <v>3997</v>
      </c>
    </row>
    <row r="2313">
      <c r="A2313" s="45" t="s">
        <v>523</v>
      </c>
      <c r="B2313" s="45" t="s">
        <v>3430</v>
      </c>
      <c r="C2313" s="45">
        <v>95.0</v>
      </c>
      <c r="D2313" s="45">
        <v>45059.0</v>
      </c>
      <c r="E2313" s="45" t="s">
        <v>4008</v>
      </c>
      <c r="F2313" s="45" t="s">
        <v>4009</v>
      </c>
      <c r="G2313" s="45" t="s">
        <v>3985</v>
      </c>
    </row>
    <row r="2314">
      <c r="A2314" s="45" t="s">
        <v>143</v>
      </c>
      <c r="B2314" s="45" t="s">
        <v>3430</v>
      </c>
      <c r="C2314" s="45">
        <v>96.0</v>
      </c>
      <c r="D2314" s="45">
        <v>45061.0</v>
      </c>
      <c r="E2314" s="45" t="s">
        <v>4008</v>
      </c>
      <c r="F2314" s="45" t="s">
        <v>4009</v>
      </c>
      <c r="G2314" s="45" t="s">
        <v>3985</v>
      </c>
    </row>
    <row r="2315">
      <c r="A2315" s="45" t="s">
        <v>1569</v>
      </c>
      <c r="B2315" s="45" t="s">
        <v>3430</v>
      </c>
      <c r="C2315" s="45">
        <v>96.0</v>
      </c>
      <c r="D2315" s="45">
        <v>45063.0</v>
      </c>
      <c r="E2315" s="45" t="s">
        <v>4008</v>
      </c>
      <c r="F2315" s="45" t="s">
        <v>4009</v>
      </c>
      <c r="G2315" s="45" t="s">
        <v>3985</v>
      </c>
    </row>
    <row r="2316">
      <c r="A2316" s="45" t="s">
        <v>1570</v>
      </c>
      <c r="B2316" s="45" t="s">
        <v>3430</v>
      </c>
      <c r="C2316" s="45">
        <v>96.0</v>
      </c>
      <c r="D2316" s="45">
        <v>45065.0</v>
      </c>
      <c r="E2316" s="45" t="s">
        <v>3969</v>
      </c>
      <c r="F2316" s="45" t="s">
        <v>4009</v>
      </c>
      <c r="G2316" s="45" t="s">
        <v>3985</v>
      </c>
    </row>
    <row r="2317">
      <c r="A2317" s="45" t="s">
        <v>149</v>
      </c>
      <c r="B2317" s="45" t="s">
        <v>3430</v>
      </c>
      <c r="C2317" s="45">
        <v>96.0</v>
      </c>
      <c r="D2317" s="45">
        <v>45067.0</v>
      </c>
      <c r="E2317" s="45" t="s">
        <v>4008</v>
      </c>
      <c r="F2317" s="45" t="s">
        <v>4009</v>
      </c>
      <c r="G2317" s="45" t="s">
        <v>3985</v>
      </c>
    </row>
    <row r="2318">
      <c r="A2318" s="45" t="s">
        <v>1571</v>
      </c>
      <c r="B2318" s="45" t="s">
        <v>3430</v>
      </c>
      <c r="C2318" s="45">
        <v>96.0</v>
      </c>
      <c r="D2318" s="45">
        <v>45069.0</v>
      </c>
      <c r="E2318" s="45" t="s">
        <v>4008</v>
      </c>
      <c r="F2318" s="45" t="s">
        <v>4009</v>
      </c>
      <c r="G2318" s="45" t="s">
        <v>4009</v>
      </c>
    </row>
    <row r="2319">
      <c r="A2319" s="45" t="s">
        <v>1572</v>
      </c>
      <c r="B2319" s="45" t="s">
        <v>3430</v>
      </c>
      <c r="C2319" s="45">
        <v>96.0</v>
      </c>
      <c r="D2319" s="45">
        <v>45071.0</v>
      </c>
      <c r="E2319" s="45" t="s">
        <v>4008</v>
      </c>
      <c r="F2319" s="45" t="s">
        <v>4009</v>
      </c>
      <c r="G2319" s="45" t="s">
        <v>4009</v>
      </c>
    </row>
    <row r="2320">
      <c r="A2320" s="45" t="s">
        <v>532</v>
      </c>
      <c r="B2320" s="45" t="s">
        <v>3430</v>
      </c>
      <c r="C2320" s="45">
        <v>95.0</v>
      </c>
      <c r="D2320" s="45">
        <v>45073.0</v>
      </c>
      <c r="E2320" s="45" t="s">
        <v>3969</v>
      </c>
      <c r="F2320" s="45" t="s">
        <v>4009</v>
      </c>
      <c r="G2320" s="45" t="s">
        <v>4009</v>
      </c>
    </row>
    <row r="2321">
      <c r="A2321" s="45" t="s">
        <v>1573</v>
      </c>
      <c r="B2321" s="45" t="s">
        <v>3430</v>
      </c>
      <c r="C2321" s="45">
        <v>96.0</v>
      </c>
      <c r="D2321" s="45">
        <v>45075.0</v>
      </c>
      <c r="E2321" s="45" t="s">
        <v>4008</v>
      </c>
      <c r="F2321" s="45" t="s">
        <v>4009</v>
      </c>
      <c r="G2321" s="45" t="s">
        <v>4009</v>
      </c>
    </row>
    <row r="2322">
      <c r="A2322" s="45" t="s">
        <v>156</v>
      </c>
      <c r="B2322" s="45" t="s">
        <v>3430</v>
      </c>
      <c r="C2322" s="45">
        <v>95.0</v>
      </c>
      <c r="D2322" s="45">
        <v>45077.0</v>
      </c>
      <c r="E2322" s="45" t="s">
        <v>3970</v>
      </c>
      <c r="F2322" s="45" t="s">
        <v>4009</v>
      </c>
      <c r="G2322" s="45" t="s">
        <v>4009</v>
      </c>
    </row>
    <row r="2323">
      <c r="A2323" s="45" t="s">
        <v>649</v>
      </c>
      <c r="B2323" s="45" t="s">
        <v>3430</v>
      </c>
      <c r="C2323" s="45">
        <v>96.0</v>
      </c>
      <c r="D2323" s="45">
        <v>45079.0</v>
      </c>
      <c r="E2323" s="45" t="s">
        <v>4008</v>
      </c>
      <c r="F2323" s="45" t="s">
        <v>4009</v>
      </c>
      <c r="G2323" s="45" t="s">
        <v>4009</v>
      </c>
    </row>
    <row r="2324">
      <c r="A2324" s="45" t="s">
        <v>1574</v>
      </c>
      <c r="B2324" s="45" t="s">
        <v>3430</v>
      </c>
      <c r="C2324" s="45">
        <v>96.0</v>
      </c>
      <c r="D2324" s="45">
        <v>45081.0</v>
      </c>
      <c r="E2324" s="45" t="s">
        <v>4008</v>
      </c>
      <c r="F2324" s="45" t="s">
        <v>4009</v>
      </c>
      <c r="G2324" s="45" t="s">
        <v>4009</v>
      </c>
    </row>
    <row r="2325">
      <c r="A2325" s="45" t="s">
        <v>1575</v>
      </c>
      <c r="B2325" s="45" t="s">
        <v>3430</v>
      </c>
      <c r="C2325" s="45">
        <v>95.0</v>
      </c>
      <c r="D2325" s="45">
        <v>45083.0</v>
      </c>
      <c r="E2325" s="45" t="s">
        <v>4008</v>
      </c>
      <c r="F2325" s="45" t="s">
        <v>4009</v>
      </c>
      <c r="G2325" s="45" t="s">
        <v>4009</v>
      </c>
    </row>
    <row r="2326">
      <c r="A2326" s="45" t="s">
        <v>162</v>
      </c>
      <c r="B2326" s="45" t="s">
        <v>3430</v>
      </c>
      <c r="C2326" s="45">
        <v>96.0</v>
      </c>
      <c r="D2326" s="45">
        <v>45085.0</v>
      </c>
      <c r="E2326" s="45" t="s">
        <v>4008</v>
      </c>
      <c r="F2326" s="45" t="s">
        <v>4009</v>
      </c>
      <c r="G2326" s="45" t="s">
        <v>4009</v>
      </c>
    </row>
    <row r="2327">
      <c r="A2327" s="45" t="s">
        <v>273</v>
      </c>
      <c r="B2327" s="45" t="s">
        <v>3430</v>
      </c>
      <c r="C2327" s="45">
        <v>95.0</v>
      </c>
      <c r="D2327" s="45">
        <v>45087.0</v>
      </c>
      <c r="E2327" s="45" t="s">
        <v>4008</v>
      </c>
      <c r="F2327" s="45" t="s">
        <v>4009</v>
      </c>
      <c r="G2327" s="45" t="s">
        <v>4009</v>
      </c>
    </row>
    <row r="2328">
      <c r="A2328" s="45" t="s">
        <v>1576</v>
      </c>
      <c r="B2328" s="45" t="s">
        <v>3430</v>
      </c>
      <c r="C2328" s="45">
        <v>96.0</v>
      </c>
      <c r="D2328" s="45">
        <v>45089.0</v>
      </c>
      <c r="E2328" s="45" t="s">
        <v>4008</v>
      </c>
      <c r="F2328" s="45" t="s">
        <v>4009</v>
      </c>
      <c r="G2328" s="45" t="s">
        <v>4009</v>
      </c>
    </row>
    <row r="2329">
      <c r="A2329" s="45" t="s">
        <v>932</v>
      </c>
      <c r="B2329" s="45" t="s">
        <v>3430</v>
      </c>
      <c r="C2329" s="45">
        <v>95.0</v>
      </c>
      <c r="D2329" s="45">
        <v>45091.0</v>
      </c>
      <c r="E2329" s="45" t="s">
        <v>4008</v>
      </c>
      <c r="F2329" s="45" t="s">
        <v>4009</v>
      </c>
      <c r="G2329" s="45" t="s">
        <v>4009</v>
      </c>
    </row>
    <row r="2330">
      <c r="A2330" s="45" t="s">
        <v>1577</v>
      </c>
      <c r="B2330" s="45" t="s">
        <v>3458</v>
      </c>
      <c r="C2330" s="45">
        <v>38.0</v>
      </c>
      <c r="D2330" s="45">
        <v>46003.0</v>
      </c>
      <c r="E2330" s="45" t="s">
        <v>3995</v>
      </c>
      <c r="F2330" s="45" t="s">
        <v>3999</v>
      </c>
      <c r="G2330" s="45" t="s">
        <v>4009</v>
      </c>
    </row>
    <row r="2331">
      <c r="A2331" s="45" t="s">
        <v>1579</v>
      </c>
      <c r="B2331" s="45" t="s">
        <v>3458</v>
      </c>
      <c r="C2331" s="45">
        <v>38.0</v>
      </c>
      <c r="D2331" s="45">
        <v>46005.0</v>
      </c>
      <c r="E2331" s="45" t="s">
        <v>3995</v>
      </c>
      <c r="F2331" s="45" t="s">
        <v>3999</v>
      </c>
      <c r="G2331" s="45" t="s">
        <v>4009</v>
      </c>
    </row>
    <row r="2332">
      <c r="A2332" s="45" t="s">
        <v>1580</v>
      </c>
      <c r="B2332" s="45" t="s">
        <v>3458</v>
      </c>
      <c r="C2332" s="45">
        <v>38.0</v>
      </c>
      <c r="D2332" s="45">
        <v>46007.0</v>
      </c>
      <c r="E2332" s="45" t="s">
        <v>3995</v>
      </c>
      <c r="F2332" s="45" t="s">
        <v>3999</v>
      </c>
      <c r="G2332" s="45" t="s">
        <v>4009</v>
      </c>
    </row>
    <row r="2333">
      <c r="A2333" s="45" t="s">
        <v>1581</v>
      </c>
      <c r="B2333" s="45" t="s">
        <v>3458</v>
      </c>
      <c r="C2333" s="45">
        <v>38.0</v>
      </c>
      <c r="D2333" s="45">
        <v>46009.0</v>
      </c>
      <c r="E2333" s="45" t="s">
        <v>3995</v>
      </c>
      <c r="F2333" s="45" t="s">
        <v>3999</v>
      </c>
      <c r="G2333" s="45" t="s">
        <v>4009</v>
      </c>
    </row>
    <row r="2334">
      <c r="A2334" s="45" t="s">
        <v>1582</v>
      </c>
      <c r="B2334" s="45" t="s">
        <v>3458</v>
      </c>
      <c r="C2334" s="45">
        <v>38.0</v>
      </c>
      <c r="D2334" s="45">
        <v>46011.0</v>
      </c>
      <c r="E2334" s="45" t="s">
        <v>3995</v>
      </c>
      <c r="F2334" s="45" t="s">
        <v>3999</v>
      </c>
      <c r="G2334" s="45" t="s">
        <v>4009</v>
      </c>
    </row>
    <row r="2335">
      <c r="A2335" s="45" t="s">
        <v>611</v>
      </c>
      <c r="B2335" s="45" t="s">
        <v>3458</v>
      </c>
      <c r="C2335" s="45">
        <v>38.0</v>
      </c>
      <c r="D2335" s="45">
        <v>46013.0</v>
      </c>
      <c r="E2335" s="45" t="s">
        <v>3995</v>
      </c>
      <c r="F2335" s="45" t="s">
        <v>3999</v>
      </c>
      <c r="G2335" s="45" t="s">
        <v>4009</v>
      </c>
    </row>
    <row r="2336">
      <c r="A2336" s="45" t="s">
        <v>1583</v>
      </c>
      <c r="B2336" s="45" t="s">
        <v>3458</v>
      </c>
      <c r="C2336" s="45">
        <v>38.0</v>
      </c>
      <c r="D2336" s="45">
        <v>46015.0</v>
      </c>
      <c r="E2336" s="45" t="s">
        <v>3995</v>
      </c>
      <c r="F2336" s="45" t="s">
        <v>3999</v>
      </c>
      <c r="G2336" s="45" t="s">
        <v>4009</v>
      </c>
    </row>
    <row r="2337">
      <c r="A2337" s="45" t="s">
        <v>1203</v>
      </c>
      <c r="B2337" s="45" t="s">
        <v>3458</v>
      </c>
      <c r="C2337" s="45">
        <v>38.0</v>
      </c>
      <c r="D2337" s="45">
        <v>46017.0</v>
      </c>
      <c r="E2337" s="45" t="s">
        <v>3995</v>
      </c>
      <c r="F2337" s="45" t="s">
        <v>3999</v>
      </c>
      <c r="G2337" s="45" t="s">
        <v>4009</v>
      </c>
    </row>
    <row r="2338">
      <c r="A2338" s="45" t="s">
        <v>284</v>
      </c>
      <c r="B2338" s="45" t="s">
        <v>3458</v>
      </c>
      <c r="C2338" s="45">
        <v>32.0</v>
      </c>
      <c r="D2338" s="45">
        <v>46019.0</v>
      </c>
      <c r="E2338" s="45" t="s">
        <v>3982</v>
      </c>
      <c r="F2338" s="45" t="s">
        <v>3983</v>
      </c>
      <c r="G2338" s="45" t="s">
        <v>4009</v>
      </c>
    </row>
    <row r="2339">
      <c r="A2339" s="45" t="s">
        <v>831</v>
      </c>
      <c r="B2339" s="45" t="s">
        <v>3458</v>
      </c>
      <c r="C2339" s="45">
        <v>38.0</v>
      </c>
      <c r="D2339" s="45">
        <v>46021.0</v>
      </c>
      <c r="E2339" s="45" t="s">
        <v>3995</v>
      </c>
      <c r="F2339" s="45" t="s">
        <v>3999</v>
      </c>
      <c r="G2339" s="45" t="s">
        <v>4009</v>
      </c>
    </row>
    <row r="2340">
      <c r="A2340" s="45" t="s">
        <v>1584</v>
      </c>
      <c r="B2340" s="45" t="s">
        <v>3458</v>
      </c>
      <c r="C2340" s="45">
        <v>38.0</v>
      </c>
      <c r="D2340" s="45">
        <v>46023.0</v>
      </c>
      <c r="E2340" s="45" t="s">
        <v>3995</v>
      </c>
      <c r="F2340" s="45" t="s">
        <v>3999</v>
      </c>
      <c r="G2340" s="45" t="s">
        <v>4009</v>
      </c>
    </row>
    <row r="2341">
      <c r="A2341" s="45" t="s">
        <v>229</v>
      </c>
      <c r="B2341" s="45" t="s">
        <v>3458</v>
      </c>
      <c r="C2341" s="45">
        <v>38.0</v>
      </c>
      <c r="D2341" s="45">
        <v>46025.0</v>
      </c>
      <c r="E2341" s="45" t="s">
        <v>3995</v>
      </c>
      <c r="F2341" s="45" t="s">
        <v>3999</v>
      </c>
      <c r="G2341" s="45" t="s">
        <v>4009</v>
      </c>
    </row>
    <row r="2342">
      <c r="A2342" s="45" t="s">
        <v>116</v>
      </c>
      <c r="B2342" s="45" t="s">
        <v>3458</v>
      </c>
      <c r="C2342" s="45">
        <v>38.0</v>
      </c>
      <c r="D2342" s="45">
        <v>46027.0</v>
      </c>
      <c r="E2342" s="45" t="s">
        <v>3995</v>
      </c>
      <c r="F2342" s="45" t="s">
        <v>3999</v>
      </c>
      <c r="G2342" s="45" t="s">
        <v>4009</v>
      </c>
    </row>
    <row r="2343">
      <c r="A2343" s="45" t="s">
        <v>1585</v>
      </c>
      <c r="B2343" s="45" t="s">
        <v>3458</v>
      </c>
      <c r="C2343" s="45">
        <v>38.0</v>
      </c>
      <c r="D2343" s="45">
        <v>46029.0</v>
      </c>
      <c r="E2343" s="45" t="s">
        <v>3995</v>
      </c>
      <c r="F2343" s="45" t="s">
        <v>3999</v>
      </c>
      <c r="G2343" s="45" t="s">
        <v>4009</v>
      </c>
    </row>
    <row r="2344">
      <c r="A2344" s="45" t="s">
        <v>1586</v>
      </c>
      <c r="B2344" s="45" t="s">
        <v>3458</v>
      </c>
      <c r="C2344" s="45">
        <v>38.0</v>
      </c>
      <c r="D2344" s="45">
        <v>46031.0</v>
      </c>
      <c r="E2344" s="45" t="s">
        <v>3995</v>
      </c>
      <c r="F2344" s="45" t="s">
        <v>3999</v>
      </c>
      <c r="G2344" s="45" t="s">
        <v>4009</v>
      </c>
    </row>
    <row r="2345">
      <c r="A2345" s="45" t="s">
        <v>353</v>
      </c>
      <c r="B2345" s="45" t="s">
        <v>3458</v>
      </c>
      <c r="C2345" s="45">
        <v>32.0</v>
      </c>
      <c r="D2345" s="45">
        <v>46033.0</v>
      </c>
      <c r="E2345" s="45" t="s">
        <v>3982</v>
      </c>
      <c r="F2345" s="45" t="s">
        <v>3983</v>
      </c>
      <c r="G2345" s="45" t="s">
        <v>4009</v>
      </c>
    </row>
    <row r="2346">
      <c r="A2346" s="45" t="s">
        <v>1587</v>
      </c>
      <c r="B2346" s="45" t="s">
        <v>3458</v>
      </c>
      <c r="C2346" s="45">
        <v>38.0</v>
      </c>
      <c r="D2346" s="45">
        <v>46035.0</v>
      </c>
      <c r="E2346" s="45" t="s">
        <v>3995</v>
      </c>
      <c r="F2346" s="45" t="s">
        <v>3999</v>
      </c>
      <c r="G2346" s="45" t="s">
        <v>4009</v>
      </c>
    </row>
    <row r="2347">
      <c r="A2347" s="45" t="s">
        <v>1588</v>
      </c>
      <c r="B2347" s="45" t="s">
        <v>3458</v>
      </c>
      <c r="C2347" s="45">
        <v>38.0</v>
      </c>
      <c r="D2347" s="45">
        <v>46037.0</v>
      </c>
      <c r="E2347" s="45" t="s">
        <v>3995</v>
      </c>
      <c r="F2347" s="45" t="s">
        <v>3999</v>
      </c>
      <c r="G2347" s="45" t="s">
        <v>4009</v>
      </c>
    </row>
    <row r="2348">
      <c r="A2348" s="45" t="s">
        <v>1209</v>
      </c>
      <c r="B2348" s="45" t="s">
        <v>3458</v>
      </c>
      <c r="C2348" s="45">
        <v>38.0</v>
      </c>
      <c r="D2348" s="45">
        <v>46039.0</v>
      </c>
      <c r="E2348" s="45" t="s">
        <v>3995</v>
      </c>
      <c r="F2348" s="45" t="s">
        <v>3999</v>
      </c>
      <c r="G2348" s="45" t="s">
        <v>4009</v>
      </c>
    </row>
    <row r="2349">
      <c r="A2349" s="45" t="s">
        <v>1468</v>
      </c>
      <c r="B2349" s="45" t="s">
        <v>3458</v>
      </c>
      <c r="C2349" s="45">
        <v>38.0</v>
      </c>
      <c r="D2349" s="45">
        <v>46041.0</v>
      </c>
      <c r="E2349" s="45" t="s">
        <v>3995</v>
      </c>
      <c r="F2349" s="45" t="s">
        <v>3999</v>
      </c>
      <c r="G2349" s="45" t="s">
        <v>4009</v>
      </c>
    </row>
    <row r="2350">
      <c r="A2350" s="45" t="s">
        <v>357</v>
      </c>
      <c r="B2350" s="45" t="s">
        <v>3458</v>
      </c>
      <c r="C2350" s="45">
        <v>38.0</v>
      </c>
      <c r="D2350" s="45">
        <v>46043.0</v>
      </c>
      <c r="E2350" s="45" t="s">
        <v>3995</v>
      </c>
      <c r="F2350" s="45" t="s">
        <v>3999</v>
      </c>
      <c r="G2350" s="45" t="s">
        <v>4009</v>
      </c>
    </row>
    <row r="2351">
      <c r="A2351" s="45" t="s">
        <v>1589</v>
      </c>
      <c r="B2351" s="45" t="s">
        <v>3458</v>
      </c>
      <c r="C2351" s="45">
        <v>38.0</v>
      </c>
      <c r="D2351" s="45">
        <v>46045.0</v>
      </c>
      <c r="E2351" s="45" t="s">
        <v>3995</v>
      </c>
      <c r="F2351" s="45" t="s">
        <v>3999</v>
      </c>
      <c r="G2351" s="45" t="s">
        <v>4009</v>
      </c>
    </row>
    <row r="2352">
      <c r="A2352" s="45" t="s">
        <v>1590</v>
      </c>
      <c r="B2352" s="45" t="s">
        <v>3458</v>
      </c>
      <c r="C2352" s="45">
        <v>32.0</v>
      </c>
      <c r="D2352" s="45">
        <v>46047.0</v>
      </c>
      <c r="E2352" s="45" t="s">
        <v>3982</v>
      </c>
      <c r="F2352" s="45" t="s">
        <v>3983</v>
      </c>
      <c r="G2352" s="45" t="s">
        <v>4009</v>
      </c>
    </row>
    <row r="2353">
      <c r="A2353" s="45" t="s">
        <v>1591</v>
      </c>
      <c r="B2353" s="45" t="s">
        <v>3458</v>
      </c>
      <c r="C2353" s="45">
        <v>38.0</v>
      </c>
      <c r="D2353" s="45">
        <v>46049.0</v>
      </c>
      <c r="E2353" s="45" t="s">
        <v>3995</v>
      </c>
      <c r="F2353" s="45" t="s">
        <v>3999</v>
      </c>
      <c r="G2353" s="45" t="s">
        <v>4009</v>
      </c>
    </row>
    <row r="2354">
      <c r="A2354" s="45" t="s">
        <v>242</v>
      </c>
      <c r="B2354" s="45" t="s">
        <v>3458</v>
      </c>
      <c r="C2354" s="45">
        <v>38.0</v>
      </c>
      <c r="D2354" s="45">
        <v>46051.0</v>
      </c>
      <c r="E2354" s="45" t="s">
        <v>3995</v>
      </c>
      <c r="F2354" s="45" t="s">
        <v>3999</v>
      </c>
      <c r="G2354" s="45" t="s">
        <v>4009</v>
      </c>
    </row>
    <row r="2355">
      <c r="A2355" s="45" t="s">
        <v>1592</v>
      </c>
      <c r="B2355" s="45" t="s">
        <v>3458</v>
      </c>
      <c r="C2355" s="45">
        <v>38.0</v>
      </c>
      <c r="D2355" s="45">
        <v>46053.0</v>
      </c>
      <c r="E2355" s="45" t="s">
        <v>3995</v>
      </c>
      <c r="F2355" s="45" t="s">
        <v>3999</v>
      </c>
      <c r="G2355" s="45" t="s">
        <v>4009</v>
      </c>
    </row>
    <row r="2356">
      <c r="A2356" s="45" t="s">
        <v>1593</v>
      </c>
      <c r="B2356" s="45" t="s">
        <v>3458</v>
      </c>
      <c r="C2356" s="45">
        <v>38.0</v>
      </c>
      <c r="D2356" s="45">
        <v>46055.0</v>
      </c>
      <c r="E2356" s="45" t="s">
        <v>3995</v>
      </c>
      <c r="F2356" s="45" t="s">
        <v>3999</v>
      </c>
      <c r="G2356" s="45" t="s">
        <v>4009</v>
      </c>
    </row>
    <row r="2357">
      <c r="A2357" s="45" t="s">
        <v>1594</v>
      </c>
      <c r="B2357" s="45" t="s">
        <v>3458</v>
      </c>
      <c r="C2357" s="45">
        <v>38.0</v>
      </c>
      <c r="D2357" s="45">
        <v>46057.0</v>
      </c>
      <c r="E2357" s="45" t="s">
        <v>3995</v>
      </c>
      <c r="F2357" s="45" t="s">
        <v>3999</v>
      </c>
      <c r="G2357" s="45" t="s">
        <v>4009</v>
      </c>
    </row>
    <row r="2358">
      <c r="A2358" s="45" t="s">
        <v>1595</v>
      </c>
      <c r="B2358" s="45" t="s">
        <v>3458</v>
      </c>
      <c r="C2358" s="45">
        <v>38.0</v>
      </c>
      <c r="D2358" s="45">
        <v>46059.0</v>
      </c>
      <c r="E2358" s="45" t="s">
        <v>3995</v>
      </c>
      <c r="F2358" s="45" t="s">
        <v>3999</v>
      </c>
      <c r="G2358" s="45" t="s">
        <v>4009</v>
      </c>
    </row>
    <row r="2359">
      <c r="A2359" s="45" t="s">
        <v>1596</v>
      </c>
      <c r="B2359" s="45" t="s">
        <v>3458</v>
      </c>
      <c r="C2359" s="45">
        <v>38.0</v>
      </c>
      <c r="D2359" s="45">
        <v>46061.0</v>
      </c>
      <c r="E2359" s="45" t="s">
        <v>3995</v>
      </c>
      <c r="F2359" s="45" t="s">
        <v>3999</v>
      </c>
      <c r="G2359" s="45" t="s">
        <v>4009</v>
      </c>
    </row>
    <row r="2360">
      <c r="A2360" s="45" t="s">
        <v>1280</v>
      </c>
      <c r="B2360" s="45" t="s">
        <v>3458</v>
      </c>
      <c r="C2360" s="45">
        <v>38.0</v>
      </c>
      <c r="D2360" s="45">
        <v>46063.0</v>
      </c>
      <c r="E2360" s="45" t="s">
        <v>3995</v>
      </c>
      <c r="F2360" s="45" t="s">
        <v>3999</v>
      </c>
      <c r="G2360" s="45" t="s">
        <v>4009</v>
      </c>
    </row>
    <row r="2361">
      <c r="A2361" s="45" t="s">
        <v>1472</v>
      </c>
      <c r="B2361" s="45" t="s">
        <v>3458</v>
      </c>
      <c r="C2361" s="45">
        <v>38.0</v>
      </c>
      <c r="D2361" s="45">
        <v>46065.0</v>
      </c>
      <c r="E2361" s="45" t="s">
        <v>3995</v>
      </c>
      <c r="F2361" s="45" t="s">
        <v>3999</v>
      </c>
      <c r="G2361" s="45" t="s">
        <v>4009</v>
      </c>
    </row>
    <row r="2362">
      <c r="A2362" s="45" t="s">
        <v>1597</v>
      </c>
      <c r="B2362" s="45" t="s">
        <v>3458</v>
      </c>
      <c r="C2362" s="45">
        <v>38.0</v>
      </c>
      <c r="D2362" s="45">
        <v>46067.0</v>
      </c>
      <c r="E2362" s="45" t="s">
        <v>3995</v>
      </c>
      <c r="F2362" s="45" t="s">
        <v>3999</v>
      </c>
      <c r="G2362" s="45" t="s">
        <v>4009</v>
      </c>
    </row>
    <row r="2363">
      <c r="A2363" s="45" t="s">
        <v>1359</v>
      </c>
      <c r="B2363" s="45" t="s">
        <v>3458</v>
      </c>
      <c r="C2363" s="45">
        <v>38.0</v>
      </c>
      <c r="D2363" s="45">
        <v>46069.0</v>
      </c>
      <c r="E2363" s="45" t="s">
        <v>3995</v>
      </c>
      <c r="F2363" s="45" t="s">
        <v>3999</v>
      </c>
      <c r="G2363" s="45" t="s">
        <v>4009</v>
      </c>
    </row>
    <row r="2364">
      <c r="A2364" s="45" t="s">
        <v>138</v>
      </c>
      <c r="B2364" s="45" t="s">
        <v>3458</v>
      </c>
      <c r="C2364" s="45">
        <v>38.0</v>
      </c>
      <c r="D2364" s="45">
        <v>46071.0</v>
      </c>
      <c r="E2364" s="45" t="s">
        <v>3995</v>
      </c>
      <c r="F2364" s="45" t="s">
        <v>3999</v>
      </c>
      <c r="G2364" s="45" t="s">
        <v>3999</v>
      </c>
    </row>
    <row r="2365">
      <c r="A2365" s="45" t="s">
        <v>1598</v>
      </c>
      <c r="B2365" s="45" t="s">
        <v>3458</v>
      </c>
      <c r="C2365" s="45">
        <v>38.0</v>
      </c>
      <c r="D2365" s="45">
        <v>46073.0</v>
      </c>
      <c r="E2365" s="45" t="s">
        <v>3995</v>
      </c>
      <c r="F2365" s="45" t="s">
        <v>3999</v>
      </c>
      <c r="G2365" s="45" t="s">
        <v>3999</v>
      </c>
    </row>
    <row r="2366">
      <c r="A2366" s="45" t="s">
        <v>521</v>
      </c>
      <c r="B2366" s="45" t="s">
        <v>3458</v>
      </c>
      <c r="C2366" s="45">
        <v>38.0</v>
      </c>
      <c r="D2366" s="45">
        <v>46075.0</v>
      </c>
      <c r="E2366" s="45" t="s">
        <v>3995</v>
      </c>
      <c r="F2366" s="45" t="s">
        <v>3999</v>
      </c>
      <c r="G2366" s="45" t="s">
        <v>3999</v>
      </c>
    </row>
    <row r="2367">
      <c r="A2367" s="45" t="s">
        <v>1599</v>
      </c>
      <c r="B2367" s="45" t="s">
        <v>3458</v>
      </c>
      <c r="C2367" s="45">
        <v>38.0</v>
      </c>
      <c r="D2367" s="45">
        <v>46077.0</v>
      </c>
      <c r="E2367" s="45" t="s">
        <v>3995</v>
      </c>
      <c r="F2367" s="45" t="s">
        <v>3999</v>
      </c>
      <c r="G2367" s="45" t="s">
        <v>3999</v>
      </c>
    </row>
    <row r="2368">
      <c r="A2368" s="45" t="s">
        <v>298</v>
      </c>
      <c r="B2368" s="45" t="s">
        <v>3458</v>
      </c>
      <c r="C2368" s="45">
        <v>38.0</v>
      </c>
      <c r="D2368" s="45">
        <v>46079.0</v>
      </c>
      <c r="E2368" s="45" t="s">
        <v>3995</v>
      </c>
      <c r="F2368" s="45" t="s">
        <v>3999</v>
      </c>
      <c r="G2368" s="45" t="s">
        <v>3999</v>
      </c>
    </row>
    <row r="2369">
      <c r="A2369" s="45" t="s">
        <v>142</v>
      </c>
      <c r="B2369" s="45" t="s">
        <v>3458</v>
      </c>
      <c r="C2369" s="45">
        <v>32.0</v>
      </c>
      <c r="D2369" s="45">
        <v>46081.0</v>
      </c>
      <c r="E2369" s="45" t="s">
        <v>3982</v>
      </c>
      <c r="F2369" s="45" t="s">
        <v>3983</v>
      </c>
      <c r="G2369" s="45" t="s">
        <v>3999</v>
      </c>
    </row>
    <row r="2370">
      <c r="A2370" s="45" t="s">
        <v>250</v>
      </c>
      <c r="B2370" s="45" t="s">
        <v>3458</v>
      </c>
      <c r="C2370" s="45">
        <v>38.0</v>
      </c>
      <c r="D2370" s="45">
        <v>46083.0</v>
      </c>
      <c r="E2370" s="45" t="s">
        <v>3995</v>
      </c>
      <c r="F2370" s="45" t="s">
        <v>3999</v>
      </c>
      <c r="G2370" s="45" t="s">
        <v>3999</v>
      </c>
    </row>
    <row r="2371">
      <c r="A2371" s="45" t="s">
        <v>1600</v>
      </c>
      <c r="B2371" s="45" t="s">
        <v>3458</v>
      </c>
      <c r="C2371" s="45">
        <v>38.0</v>
      </c>
      <c r="D2371" s="45">
        <v>46085.0</v>
      </c>
      <c r="E2371" s="45" t="s">
        <v>3995</v>
      </c>
      <c r="F2371" s="45" t="s">
        <v>3999</v>
      </c>
      <c r="G2371" s="45" t="s">
        <v>3999</v>
      </c>
    </row>
    <row r="2372">
      <c r="A2372" s="45" t="s">
        <v>1601</v>
      </c>
      <c r="B2372" s="45" t="s">
        <v>3458</v>
      </c>
      <c r="C2372" s="45">
        <v>38.0</v>
      </c>
      <c r="D2372" s="45">
        <v>46087.0</v>
      </c>
      <c r="E2372" s="45" t="s">
        <v>3995</v>
      </c>
      <c r="F2372" s="45" t="s">
        <v>3999</v>
      </c>
      <c r="G2372" s="45" t="s">
        <v>3999</v>
      </c>
    </row>
    <row r="2373">
      <c r="A2373" s="45" t="s">
        <v>782</v>
      </c>
      <c r="B2373" s="45" t="s">
        <v>3458</v>
      </c>
      <c r="C2373" s="45">
        <v>38.0</v>
      </c>
      <c r="D2373" s="45">
        <v>46089.0</v>
      </c>
      <c r="E2373" s="45" t="s">
        <v>3995</v>
      </c>
      <c r="F2373" s="45" t="s">
        <v>3999</v>
      </c>
      <c r="G2373" s="45" t="s">
        <v>3999</v>
      </c>
    </row>
    <row r="2374">
      <c r="A2374" s="45" t="s">
        <v>150</v>
      </c>
      <c r="B2374" s="45" t="s">
        <v>3458</v>
      </c>
      <c r="C2374" s="45">
        <v>38.0</v>
      </c>
      <c r="D2374" s="45">
        <v>46091.0</v>
      </c>
      <c r="E2374" s="45" t="s">
        <v>3995</v>
      </c>
      <c r="F2374" s="45" t="s">
        <v>3999</v>
      </c>
      <c r="G2374" s="45" t="s">
        <v>3999</v>
      </c>
    </row>
    <row r="2375">
      <c r="A2375" s="45" t="s">
        <v>783</v>
      </c>
      <c r="B2375" s="45" t="s">
        <v>3458</v>
      </c>
      <c r="C2375" s="45">
        <v>38.0</v>
      </c>
      <c r="D2375" s="45">
        <v>46093.0</v>
      </c>
      <c r="E2375" s="45" t="s">
        <v>3995</v>
      </c>
      <c r="F2375" s="45" t="s">
        <v>3999</v>
      </c>
      <c r="G2375" s="45" t="s">
        <v>3999</v>
      </c>
    </row>
    <row r="2376">
      <c r="A2376" s="45" t="s">
        <v>1602</v>
      </c>
      <c r="B2376" s="45" t="s">
        <v>3458</v>
      </c>
      <c r="C2376" s="45">
        <v>38.0</v>
      </c>
      <c r="D2376" s="45">
        <v>46095.0</v>
      </c>
      <c r="E2376" s="45" t="s">
        <v>3995</v>
      </c>
      <c r="F2376" s="45" t="s">
        <v>3999</v>
      </c>
      <c r="G2376" s="45" t="s">
        <v>3999</v>
      </c>
    </row>
    <row r="2377">
      <c r="A2377" s="45" t="s">
        <v>1603</v>
      </c>
      <c r="B2377" s="45" t="s">
        <v>3458</v>
      </c>
      <c r="C2377" s="45">
        <v>38.0</v>
      </c>
      <c r="D2377" s="45">
        <v>46097.0</v>
      </c>
      <c r="E2377" s="45" t="s">
        <v>3995</v>
      </c>
      <c r="F2377" s="45" t="s">
        <v>3999</v>
      </c>
      <c r="G2377" s="45" t="s">
        <v>3999</v>
      </c>
    </row>
    <row r="2378">
      <c r="A2378" s="45" t="s">
        <v>1604</v>
      </c>
      <c r="B2378" s="45" t="s">
        <v>3458</v>
      </c>
      <c r="C2378" s="45">
        <v>38.0</v>
      </c>
      <c r="D2378" s="45">
        <v>46099.0</v>
      </c>
      <c r="E2378" s="45" t="s">
        <v>3995</v>
      </c>
      <c r="F2378" s="45" t="s">
        <v>3999</v>
      </c>
      <c r="G2378" s="45" t="s">
        <v>3999</v>
      </c>
    </row>
    <row r="2379">
      <c r="A2379" s="45" t="s">
        <v>1605</v>
      </c>
      <c r="B2379" s="45" t="s">
        <v>3458</v>
      </c>
      <c r="C2379" s="45">
        <v>38.0</v>
      </c>
      <c r="D2379" s="45">
        <v>46101.0</v>
      </c>
      <c r="E2379" s="45" t="s">
        <v>3995</v>
      </c>
      <c r="F2379" s="45" t="s">
        <v>3999</v>
      </c>
      <c r="G2379" s="45" t="s">
        <v>3999</v>
      </c>
    </row>
    <row r="2380">
      <c r="A2380" s="45" t="s">
        <v>1606</v>
      </c>
      <c r="B2380" s="45" t="s">
        <v>3458</v>
      </c>
      <c r="C2380" s="45">
        <v>38.0</v>
      </c>
      <c r="D2380" s="45">
        <v>46102.0</v>
      </c>
      <c r="E2380" s="45" t="s">
        <v>3995</v>
      </c>
      <c r="F2380" s="45" t="s">
        <v>3999</v>
      </c>
      <c r="G2380" s="45" t="s">
        <v>3999</v>
      </c>
    </row>
    <row r="2381">
      <c r="A2381" s="45" t="s">
        <v>1064</v>
      </c>
      <c r="B2381" s="45" t="s">
        <v>3458</v>
      </c>
      <c r="C2381" s="45">
        <v>32.0</v>
      </c>
      <c r="D2381" s="45">
        <v>46103.0</v>
      </c>
      <c r="E2381" s="45" t="s">
        <v>3982</v>
      </c>
      <c r="F2381" s="45" t="s">
        <v>3999</v>
      </c>
      <c r="G2381" s="45" t="s">
        <v>3999</v>
      </c>
    </row>
    <row r="2382">
      <c r="A2382" s="45" t="s">
        <v>1231</v>
      </c>
      <c r="B2382" s="45" t="s">
        <v>3458</v>
      </c>
      <c r="C2382" s="45">
        <v>38.0</v>
      </c>
      <c r="D2382" s="45">
        <v>46105.0</v>
      </c>
      <c r="E2382" s="45" t="s">
        <v>3995</v>
      </c>
      <c r="F2382" s="45" t="s">
        <v>3999</v>
      </c>
      <c r="G2382" s="45" t="s">
        <v>3999</v>
      </c>
    </row>
    <row r="2383">
      <c r="A2383" s="45" t="s">
        <v>1540</v>
      </c>
      <c r="B2383" s="45" t="s">
        <v>3458</v>
      </c>
      <c r="C2383" s="45">
        <v>38.0</v>
      </c>
      <c r="D2383" s="45">
        <v>46107.0</v>
      </c>
      <c r="E2383" s="45" t="s">
        <v>3995</v>
      </c>
      <c r="F2383" s="45" t="s">
        <v>3999</v>
      </c>
      <c r="G2383" s="45" t="s">
        <v>3999</v>
      </c>
    </row>
    <row r="2384">
      <c r="A2384" s="45" t="s">
        <v>1607</v>
      </c>
      <c r="B2384" s="45" t="s">
        <v>3458</v>
      </c>
      <c r="C2384" s="45">
        <v>38.0</v>
      </c>
      <c r="D2384" s="45">
        <v>46109.0</v>
      </c>
      <c r="E2384" s="45" t="s">
        <v>3995</v>
      </c>
      <c r="F2384" s="45" t="s">
        <v>3999</v>
      </c>
      <c r="G2384" s="45" t="s">
        <v>3999</v>
      </c>
    </row>
    <row r="2385">
      <c r="A2385" s="45" t="s">
        <v>1608</v>
      </c>
      <c r="B2385" s="45" t="s">
        <v>3458</v>
      </c>
      <c r="C2385" s="45">
        <v>38.0</v>
      </c>
      <c r="D2385" s="45">
        <v>46111.0</v>
      </c>
      <c r="E2385" s="45" t="s">
        <v>3995</v>
      </c>
      <c r="F2385" s="45" t="s">
        <v>3999</v>
      </c>
      <c r="G2385" s="45" t="s">
        <v>3999</v>
      </c>
    </row>
    <row r="2386">
      <c r="A2386" s="45" t="s">
        <v>1609</v>
      </c>
      <c r="B2386" s="45" t="s">
        <v>3458</v>
      </c>
      <c r="C2386" s="45">
        <v>38.0</v>
      </c>
      <c r="D2386" s="45">
        <v>46115.0</v>
      </c>
      <c r="E2386" s="45" t="s">
        <v>3995</v>
      </c>
      <c r="F2386" s="45" t="s">
        <v>3999</v>
      </c>
      <c r="G2386" s="45" t="s">
        <v>3999</v>
      </c>
    </row>
    <row r="2387">
      <c r="A2387" s="45" t="s">
        <v>1610</v>
      </c>
      <c r="B2387" s="45" t="s">
        <v>3458</v>
      </c>
      <c r="C2387" s="45">
        <v>38.0</v>
      </c>
      <c r="D2387" s="45">
        <v>46117.0</v>
      </c>
      <c r="E2387" s="45" t="s">
        <v>3995</v>
      </c>
      <c r="F2387" s="45" t="s">
        <v>3999</v>
      </c>
      <c r="G2387" s="45" t="s">
        <v>3999</v>
      </c>
    </row>
    <row r="2388">
      <c r="A2388" s="45" t="s">
        <v>1611</v>
      </c>
      <c r="B2388" s="45" t="s">
        <v>3458</v>
      </c>
      <c r="C2388" s="45">
        <v>38.0</v>
      </c>
      <c r="D2388" s="45">
        <v>46119.0</v>
      </c>
      <c r="E2388" s="45" t="s">
        <v>3995</v>
      </c>
      <c r="F2388" s="45" t="s">
        <v>3999</v>
      </c>
      <c r="G2388" s="45" t="s">
        <v>3999</v>
      </c>
    </row>
    <row r="2389">
      <c r="A2389" s="45" t="s">
        <v>870</v>
      </c>
      <c r="B2389" s="45" t="s">
        <v>3458</v>
      </c>
      <c r="C2389" s="45">
        <v>38.0</v>
      </c>
      <c r="D2389" s="45">
        <v>46121.0</v>
      </c>
      <c r="E2389" s="45" t="s">
        <v>3995</v>
      </c>
      <c r="F2389" s="45" t="s">
        <v>3999</v>
      </c>
      <c r="G2389" s="45" t="s">
        <v>3999</v>
      </c>
    </row>
    <row r="2390">
      <c r="A2390" s="45" t="s">
        <v>1612</v>
      </c>
      <c r="B2390" s="45" t="s">
        <v>3458</v>
      </c>
      <c r="C2390" s="45">
        <v>38.0</v>
      </c>
      <c r="D2390" s="45">
        <v>46123.0</v>
      </c>
      <c r="E2390" s="45" t="s">
        <v>3995</v>
      </c>
      <c r="F2390" s="45" t="s">
        <v>3999</v>
      </c>
      <c r="G2390" s="45" t="s">
        <v>3999</v>
      </c>
    </row>
    <row r="2391">
      <c r="A2391" s="45" t="s">
        <v>557</v>
      </c>
      <c r="B2391" s="45" t="s">
        <v>3458</v>
      </c>
      <c r="C2391" s="45">
        <v>38.0</v>
      </c>
      <c r="D2391" s="45">
        <v>46125.0</v>
      </c>
      <c r="E2391" s="45" t="s">
        <v>3995</v>
      </c>
      <c r="F2391" s="45" t="s">
        <v>3999</v>
      </c>
      <c r="G2391" s="45" t="s">
        <v>3999</v>
      </c>
    </row>
    <row r="2392">
      <c r="A2392" s="45" t="s">
        <v>273</v>
      </c>
      <c r="B2392" s="45" t="s">
        <v>3458</v>
      </c>
      <c r="C2392" s="45">
        <v>38.0</v>
      </c>
      <c r="D2392" s="45">
        <v>46127.0</v>
      </c>
      <c r="E2392" s="45" t="s">
        <v>3995</v>
      </c>
      <c r="F2392" s="45" t="s">
        <v>3999</v>
      </c>
      <c r="G2392" s="45" t="s">
        <v>3999</v>
      </c>
    </row>
    <row r="2393">
      <c r="A2393" s="45" t="s">
        <v>1613</v>
      </c>
      <c r="B2393" s="45" t="s">
        <v>3458</v>
      </c>
      <c r="C2393" s="45">
        <v>38.0</v>
      </c>
      <c r="D2393" s="45">
        <v>46129.0</v>
      </c>
      <c r="E2393" s="45" t="s">
        <v>3995</v>
      </c>
      <c r="F2393" s="45" t="s">
        <v>3999</v>
      </c>
      <c r="G2393" s="45" t="s">
        <v>3999</v>
      </c>
    </row>
    <row r="2394">
      <c r="A2394" s="45" t="s">
        <v>1614</v>
      </c>
      <c r="B2394" s="45" t="s">
        <v>3458</v>
      </c>
      <c r="C2394" s="45">
        <v>38.0</v>
      </c>
      <c r="D2394" s="45">
        <v>46135.0</v>
      </c>
      <c r="E2394" s="45" t="s">
        <v>3995</v>
      </c>
      <c r="F2394" s="45" t="s">
        <v>3999</v>
      </c>
      <c r="G2394" s="45" t="s">
        <v>3999</v>
      </c>
    </row>
    <row r="2395">
      <c r="A2395" s="45" t="s">
        <v>1615</v>
      </c>
      <c r="B2395" s="45" t="s">
        <v>3458</v>
      </c>
      <c r="C2395" s="45">
        <v>38.0</v>
      </c>
      <c r="D2395" s="45">
        <v>46137.0</v>
      </c>
      <c r="E2395" s="45" t="s">
        <v>3995</v>
      </c>
      <c r="F2395" s="45" t="s">
        <v>3999</v>
      </c>
      <c r="G2395" s="45" t="s">
        <v>3999</v>
      </c>
    </row>
    <row r="2396">
      <c r="A2396" s="45" t="s">
        <v>751</v>
      </c>
      <c r="B2396" s="45" t="s">
        <v>3497</v>
      </c>
      <c r="C2396" s="45">
        <v>92.0</v>
      </c>
      <c r="D2396" s="45">
        <v>47001.0</v>
      </c>
      <c r="E2396" s="45" t="s">
        <v>3970</v>
      </c>
      <c r="F2396" s="45" t="s">
        <v>3970</v>
      </c>
      <c r="G2396" s="45" t="s">
        <v>3999</v>
      </c>
    </row>
    <row r="2397">
      <c r="A2397" s="45" t="s">
        <v>1517</v>
      </c>
      <c r="B2397" s="45" t="s">
        <v>3497</v>
      </c>
      <c r="C2397" s="45">
        <v>92.0</v>
      </c>
      <c r="D2397" s="45">
        <v>47003.0</v>
      </c>
      <c r="E2397" s="45" t="s">
        <v>3970</v>
      </c>
      <c r="F2397" s="45" t="s">
        <v>3970</v>
      </c>
      <c r="G2397" s="45" t="s">
        <v>3999</v>
      </c>
    </row>
    <row r="2398">
      <c r="A2398" s="45" t="s">
        <v>224</v>
      </c>
      <c r="B2398" s="45" t="s">
        <v>3497</v>
      </c>
      <c r="C2398" s="45">
        <v>92.0</v>
      </c>
      <c r="D2398" s="45">
        <v>47005.0</v>
      </c>
      <c r="E2398" s="45" t="s">
        <v>3970</v>
      </c>
      <c r="F2398" s="45" t="s">
        <v>3970</v>
      </c>
      <c r="G2398" s="45" t="s">
        <v>3999</v>
      </c>
    </row>
    <row r="2399">
      <c r="A2399" s="45" t="s">
        <v>1617</v>
      </c>
      <c r="B2399" s="45" t="s">
        <v>3497</v>
      </c>
      <c r="C2399" s="45">
        <v>92.0</v>
      </c>
      <c r="D2399" s="45">
        <v>47007.0</v>
      </c>
      <c r="E2399" s="45" t="s">
        <v>3970</v>
      </c>
      <c r="F2399" s="45" t="s">
        <v>3970</v>
      </c>
      <c r="G2399" s="45" t="s">
        <v>3999</v>
      </c>
    </row>
    <row r="2400">
      <c r="A2400" s="45" t="s">
        <v>107</v>
      </c>
      <c r="B2400" s="45" t="s">
        <v>3497</v>
      </c>
      <c r="C2400" s="45">
        <v>92.0</v>
      </c>
      <c r="D2400" s="45">
        <v>47009.0</v>
      </c>
      <c r="E2400" s="45" t="s">
        <v>3970</v>
      </c>
      <c r="F2400" s="45" t="s">
        <v>3970</v>
      </c>
      <c r="G2400" s="45" t="s">
        <v>3999</v>
      </c>
    </row>
    <row r="2401">
      <c r="A2401" s="45" t="s">
        <v>226</v>
      </c>
      <c r="B2401" s="45" t="s">
        <v>3497</v>
      </c>
      <c r="C2401" s="45">
        <v>92.0</v>
      </c>
      <c r="D2401" s="45">
        <v>47011.0</v>
      </c>
      <c r="E2401" s="45" t="s">
        <v>3970</v>
      </c>
      <c r="F2401" s="45" t="s">
        <v>3970</v>
      </c>
      <c r="G2401" s="45" t="s">
        <v>3999</v>
      </c>
    </row>
    <row r="2402">
      <c r="A2402" s="45" t="s">
        <v>831</v>
      </c>
      <c r="B2402" s="45" t="s">
        <v>3497</v>
      </c>
      <c r="C2402" s="45">
        <v>92.0</v>
      </c>
      <c r="D2402" s="45">
        <v>47013.0</v>
      </c>
      <c r="E2402" s="45" t="s">
        <v>3970</v>
      </c>
      <c r="F2402" s="45" t="s">
        <v>3970</v>
      </c>
      <c r="G2402" s="45" t="s">
        <v>3999</v>
      </c>
    </row>
    <row r="2403">
      <c r="A2403" s="45" t="s">
        <v>1618</v>
      </c>
      <c r="B2403" s="45" t="s">
        <v>3497</v>
      </c>
      <c r="C2403" s="45">
        <v>92.0</v>
      </c>
      <c r="D2403" s="45">
        <v>47015.0</v>
      </c>
      <c r="E2403" s="45" t="s">
        <v>3970</v>
      </c>
      <c r="F2403" s="45" t="s">
        <v>3970</v>
      </c>
      <c r="G2403" s="45" t="s">
        <v>3999</v>
      </c>
    </row>
    <row r="2404">
      <c r="A2404" s="45" t="s">
        <v>227</v>
      </c>
      <c r="B2404" s="45" t="s">
        <v>3497</v>
      </c>
      <c r="C2404" s="45">
        <v>92.0</v>
      </c>
      <c r="D2404" s="45">
        <v>47017.0</v>
      </c>
      <c r="E2404" s="45" t="s">
        <v>3970</v>
      </c>
      <c r="F2404" s="45" t="s">
        <v>3970</v>
      </c>
      <c r="G2404" s="45" t="s">
        <v>3999</v>
      </c>
    </row>
    <row r="2405">
      <c r="A2405" s="45" t="s">
        <v>833</v>
      </c>
      <c r="B2405" s="45" t="s">
        <v>3497</v>
      </c>
      <c r="C2405" s="45">
        <v>92.0</v>
      </c>
      <c r="D2405" s="45">
        <v>47019.0</v>
      </c>
      <c r="E2405" s="45" t="s">
        <v>3970</v>
      </c>
      <c r="F2405" s="45" t="s">
        <v>3970</v>
      </c>
      <c r="G2405" s="45" t="s">
        <v>3999</v>
      </c>
    </row>
    <row r="2406">
      <c r="A2406" s="45" t="s">
        <v>1619</v>
      </c>
      <c r="B2406" s="45" t="s">
        <v>3497</v>
      </c>
      <c r="C2406" s="45">
        <v>92.0</v>
      </c>
      <c r="D2406" s="45">
        <v>47021.0</v>
      </c>
      <c r="E2406" s="45" t="s">
        <v>3970</v>
      </c>
      <c r="F2406" s="45" t="s">
        <v>3970</v>
      </c>
      <c r="G2406" s="45" t="s">
        <v>3999</v>
      </c>
    </row>
    <row r="2407">
      <c r="A2407" s="45" t="s">
        <v>1523</v>
      </c>
      <c r="B2407" s="45" t="s">
        <v>3497</v>
      </c>
      <c r="C2407" s="45">
        <v>92.0</v>
      </c>
      <c r="D2407" s="45">
        <v>47023.0</v>
      </c>
      <c r="E2407" s="45" t="s">
        <v>3970</v>
      </c>
      <c r="F2407" s="45" t="s">
        <v>3970</v>
      </c>
      <c r="G2407" s="45" t="s">
        <v>3999</v>
      </c>
    </row>
    <row r="2408">
      <c r="A2408" s="45" t="s">
        <v>886</v>
      </c>
      <c r="B2408" s="45" t="s">
        <v>3497</v>
      </c>
      <c r="C2408" s="45">
        <v>92.0</v>
      </c>
      <c r="D2408" s="45">
        <v>47025.0</v>
      </c>
      <c r="E2408" s="45" t="s">
        <v>3970</v>
      </c>
      <c r="F2408" s="45" t="s">
        <v>3970</v>
      </c>
      <c r="G2408" s="45" t="s">
        <v>3999</v>
      </c>
    </row>
    <row r="2409">
      <c r="A2409" s="45" t="s">
        <v>116</v>
      </c>
      <c r="B2409" s="45" t="s">
        <v>3497</v>
      </c>
      <c r="C2409" s="45">
        <v>92.0</v>
      </c>
      <c r="D2409" s="45">
        <v>47027.0</v>
      </c>
      <c r="E2409" s="45" t="s">
        <v>3970</v>
      </c>
      <c r="F2409" s="45" t="s">
        <v>3970</v>
      </c>
      <c r="G2409" s="45" t="s">
        <v>3999</v>
      </c>
    </row>
    <row r="2410">
      <c r="A2410" s="45" t="s">
        <v>1620</v>
      </c>
      <c r="B2410" s="45" t="s">
        <v>3497</v>
      </c>
      <c r="C2410" s="45">
        <v>92.0</v>
      </c>
      <c r="D2410" s="45">
        <v>47029.0</v>
      </c>
      <c r="E2410" s="45" t="s">
        <v>3970</v>
      </c>
      <c r="F2410" s="45" t="s">
        <v>3970</v>
      </c>
      <c r="G2410" s="45" t="s">
        <v>3999</v>
      </c>
    </row>
    <row r="2411">
      <c r="A2411" s="45" t="s">
        <v>118</v>
      </c>
      <c r="B2411" s="45" t="s">
        <v>3497</v>
      </c>
      <c r="C2411" s="45">
        <v>92.0</v>
      </c>
      <c r="D2411" s="45">
        <v>47031.0</v>
      </c>
      <c r="E2411" s="45" t="s">
        <v>3970</v>
      </c>
      <c r="F2411" s="45" t="s">
        <v>3970</v>
      </c>
      <c r="G2411" s="45" t="s">
        <v>3999</v>
      </c>
    </row>
    <row r="2412">
      <c r="A2412" s="45" t="s">
        <v>1621</v>
      </c>
      <c r="B2412" s="45" t="s">
        <v>3497</v>
      </c>
      <c r="C2412" s="45">
        <v>92.0</v>
      </c>
      <c r="D2412" s="45">
        <v>47033.0</v>
      </c>
      <c r="E2412" s="45" t="s">
        <v>3970</v>
      </c>
      <c r="F2412" s="45" t="s">
        <v>3970</v>
      </c>
      <c r="G2412" s="45" t="s">
        <v>3999</v>
      </c>
    </row>
    <row r="2413">
      <c r="A2413" s="45" t="s">
        <v>618</v>
      </c>
      <c r="B2413" s="45" t="s">
        <v>3497</v>
      </c>
      <c r="C2413" s="45">
        <v>92.0</v>
      </c>
      <c r="D2413" s="45">
        <v>47035.0</v>
      </c>
      <c r="E2413" s="45" t="s">
        <v>3970</v>
      </c>
      <c r="F2413" s="45" t="s">
        <v>3970</v>
      </c>
      <c r="G2413" s="45" t="s">
        <v>3999</v>
      </c>
    </row>
    <row r="2414">
      <c r="A2414" s="45" t="s">
        <v>1345</v>
      </c>
      <c r="B2414" s="45" t="s">
        <v>3497</v>
      </c>
      <c r="C2414" s="45">
        <v>92.0</v>
      </c>
      <c r="D2414" s="45">
        <v>47037.0</v>
      </c>
      <c r="E2414" s="45" t="s">
        <v>3970</v>
      </c>
      <c r="F2414" s="45" t="s">
        <v>3970</v>
      </c>
      <c r="G2414" s="45" t="s">
        <v>3999</v>
      </c>
    </row>
    <row r="2415">
      <c r="A2415" s="45" t="s">
        <v>492</v>
      </c>
      <c r="B2415" s="45" t="s">
        <v>3497</v>
      </c>
      <c r="C2415" s="45">
        <v>92.0</v>
      </c>
      <c r="D2415" s="45">
        <v>47039.0</v>
      </c>
      <c r="E2415" s="45" t="s">
        <v>3970</v>
      </c>
      <c r="F2415" s="45" t="s">
        <v>3970</v>
      </c>
      <c r="G2415" s="45" t="s">
        <v>3999</v>
      </c>
    </row>
    <row r="2416">
      <c r="A2416" s="45" t="s">
        <v>127</v>
      </c>
      <c r="B2416" s="45" t="s">
        <v>3497</v>
      </c>
      <c r="C2416" s="45">
        <v>92.0</v>
      </c>
      <c r="D2416" s="45">
        <v>47041.0</v>
      </c>
      <c r="E2416" s="45" t="s">
        <v>3970</v>
      </c>
      <c r="F2416" s="45" t="s">
        <v>3970</v>
      </c>
      <c r="G2416" s="45" t="s">
        <v>3999</v>
      </c>
    </row>
    <row r="2417">
      <c r="A2417" s="45" t="s">
        <v>1622</v>
      </c>
      <c r="B2417" s="45" t="s">
        <v>3497</v>
      </c>
      <c r="C2417" s="45">
        <v>92.0</v>
      </c>
      <c r="D2417" s="45">
        <v>47043.0</v>
      </c>
      <c r="E2417" s="45" t="s">
        <v>3970</v>
      </c>
      <c r="F2417" s="45" t="s">
        <v>3970</v>
      </c>
      <c r="G2417" s="45" t="s">
        <v>3999</v>
      </c>
    </row>
    <row r="2418">
      <c r="A2418" s="45" t="s">
        <v>1623</v>
      </c>
      <c r="B2418" s="45" t="s">
        <v>3497</v>
      </c>
      <c r="C2418" s="45">
        <v>92.0</v>
      </c>
      <c r="D2418" s="45">
        <v>47045.0</v>
      </c>
      <c r="E2418" s="45" t="s">
        <v>3970</v>
      </c>
      <c r="F2418" s="45" t="s">
        <v>3970</v>
      </c>
      <c r="G2418" s="45" t="s">
        <v>3999</v>
      </c>
    </row>
    <row r="2419">
      <c r="A2419" s="45" t="s">
        <v>131</v>
      </c>
      <c r="B2419" s="45" t="s">
        <v>3497</v>
      </c>
      <c r="C2419" s="45">
        <v>92.0</v>
      </c>
      <c r="D2419" s="45">
        <v>47047.0</v>
      </c>
      <c r="E2419" s="45" t="s">
        <v>3970</v>
      </c>
      <c r="F2419" s="45" t="s">
        <v>3970</v>
      </c>
      <c r="G2419" s="45" t="s">
        <v>3999</v>
      </c>
    </row>
    <row r="2420">
      <c r="A2420" s="45" t="s">
        <v>1624</v>
      </c>
      <c r="B2420" s="45" t="s">
        <v>3497</v>
      </c>
      <c r="C2420" s="45">
        <v>92.0</v>
      </c>
      <c r="D2420" s="45">
        <v>47049.0</v>
      </c>
      <c r="E2420" s="45" t="s">
        <v>3970</v>
      </c>
      <c r="F2420" s="45" t="s">
        <v>3970</v>
      </c>
      <c r="G2420" s="45" t="s">
        <v>3999</v>
      </c>
    </row>
    <row r="2421">
      <c r="A2421" s="45" t="s">
        <v>132</v>
      </c>
      <c r="B2421" s="45" t="s">
        <v>3497</v>
      </c>
      <c r="C2421" s="45">
        <v>92.0</v>
      </c>
      <c r="D2421" s="45">
        <v>47051.0</v>
      </c>
      <c r="E2421" s="45" t="s">
        <v>3970</v>
      </c>
      <c r="F2421" s="45" t="s">
        <v>3970</v>
      </c>
      <c r="G2421" s="45" t="s">
        <v>3999</v>
      </c>
    </row>
    <row r="2422">
      <c r="A2422" s="45" t="s">
        <v>672</v>
      </c>
      <c r="B2422" s="45" t="s">
        <v>3497</v>
      </c>
      <c r="C2422" s="45">
        <v>92.0</v>
      </c>
      <c r="D2422" s="45">
        <v>47053.0</v>
      </c>
      <c r="E2422" s="45" t="s">
        <v>3970</v>
      </c>
      <c r="F2422" s="45" t="s">
        <v>3970</v>
      </c>
      <c r="G2422" s="45" t="s">
        <v>3999</v>
      </c>
    </row>
    <row r="2423">
      <c r="A2423" s="45" t="s">
        <v>1625</v>
      </c>
      <c r="B2423" s="45" t="s">
        <v>3497</v>
      </c>
      <c r="C2423" s="45">
        <v>92.0</v>
      </c>
      <c r="D2423" s="45">
        <v>47055.0</v>
      </c>
      <c r="E2423" s="45" t="s">
        <v>3970</v>
      </c>
      <c r="F2423" s="45" t="s">
        <v>3970</v>
      </c>
      <c r="G2423" s="45" t="s">
        <v>3999</v>
      </c>
    </row>
    <row r="2424">
      <c r="A2424" s="45" t="s">
        <v>1626</v>
      </c>
      <c r="B2424" s="45" t="s">
        <v>3497</v>
      </c>
      <c r="C2424" s="45">
        <v>92.0</v>
      </c>
      <c r="D2424" s="45">
        <v>47057.0</v>
      </c>
      <c r="E2424" s="45" t="s">
        <v>3970</v>
      </c>
      <c r="F2424" s="45" t="s">
        <v>3970</v>
      </c>
      <c r="G2424" s="45" t="s">
        <v>3999</v>
      </c>
    </row>
    <row r="2425">
      <c r="A2425" s="45" t="s">
        <v>134</v>
      </c>
      <c r="B2425" s="45" t="s">
        <v>3497</v>
      </c>
      <c r="C2425" s="45">
        <v>92.0</v>
      </c>
      <c r="D2425" s="45">
        <v>47059.0</v>
      </c>
      <c r="E2425" s="45" t="s">
        <v>3970</v>
      </c>
      <c r="F2425" s="45" t="s">
        <v>3970</v>
      </c>
      <c r="G2425" s="45" t="s">
        <v>3983</v>
      </c>
    </row>
    <row r="2426">
      <c r="A2426" s="45" t="s">
        <v>625</v>
      </c>
      <c r="B2426" s="45" t="s">
        <v>3497</v>
      </c>
      <c r="C2426" s="45">
        <v>92.0</v>
      </c>
      <c r="D2426" s="45">
        <v>47061.0</v>
      </c>
      <c r="E2426" s="45" t="s">
        <v>3970</v>
      </c>
      <c r="F2426" s="45" t="s">
        <v>3970</v>
      </c>
      <c r="G2426" s="45" t="s">
        <v>3983</v>
      </c>
    </row>
    <row r="2427">
      <c r="A2427" s="45" t="s">
        <v>1627</v>
      </c>
      <c r="B2427" s="45" t="s">
        <v>3497</v>
      </c>
      <c r="C2427" s="45">
        <v>92.0</v>
      </c>
      <c r="D2427" s="45">
        <v>47063.0</v>
      </c>
      <c r="E2427" s="45" t="s">
        <v>3970</v>
      </c>
      <c r="F2427" s="45" t="s">
        <v>3970</v>
      </c>
      <c r="G2427" s="45" t="s">
        <v>3983</v>
      </c>
    </row>
    <row r="2428">
      <c r="A2428" s="45" t="s">
        <v>428</v>
      </c>
      <c r="B2428" s="45" t="s">
        <v>3497</v>
      </c>
      <c r="C2428" s="45">
        <v>92.0</v>
      </c>
      <c r="D2428" s="45">
        <v>47065.0</v>
      </c>
      <c r="E2428" s="45" t="s">
        <v>3970</v>
      </c>
      <c r="F2428" s="45" t="s">
        <v>3970</v>
      </c>
      <c r="G2428" s="45" t="s">
        <v>3983</v>
      </c>
    </row>
    <row r="2429">
      <c r="A2429" s="45" t="s">
        <v>512</v>
      </c>
      <c r="B2429" s="45" t="s">
        <v>3497</v>
      </c>
      <c r="C2429" s="45">
        <v>92.0</v>
      </c>
      <c r="D2429" s="45">
        <v>47067.0</v>
      </c>
      <c r="E2429" s="45" t="s">
        <v>3970</v>
      </c>
      <c r="F2429" s="45" t="s">
        <v>3970</v>
      </c>
      <c r="G2429" s="45" t="s">
        <v>3983</v>
      </c>
    </row>
    <row r="2430">
      <c r="A2430" s="45" t="s">
        <v>1628</v>
      </c>
      <c r="B2430" s="45" t="s">
        <v>3497</v>
      </c>
      <c r="C2430" s="45">
        <v>92.0</v>
      </c>
      <c r="D2430" s="45">
        <v>47069.0</v>
      </c>
      <c r="E2430" s="45" t="s">
        <v>3970</v>
      </c>
      <c r="F2430" s="45" t="s">
        <v>3970</v>
      </c>
      <c r="G2430" s="45" t="s">
        <v>3970</v>
      </c>
    </row>
    <row r="2431">
      <c r="A2431" s="45" t="s">
        <v>626</v>
      </c>
      <c r="B2431" s="45" t="s">
        <v>3497</v>
      </c>
      <c r="C2431" s="45">
        <v>92.0</v>
      </c>
      <c r="D2431" s="45">
        <v>47071.0</v>
      </c>
      <c r="E2431" s="45" t="s">
        <v>3970</v>
      </c>
      <c r="F2431" s="45" t="s">
        <v>3970</v>
      </c>
      <c r="G2431" s="45" t="s">
        <v>3970</v>
      </c>
    </row>
    <row r="2432">
      <c r="A2432" s="45" t="s">
        <v>1629</v>
      </c>
      <c r="B2432" s="45" t="s">
        <v>3497</v>
      </c>
      <c r="C2432" s="45">
        <v>92.0</v>
      </c>
      <c r="D2432" s="45">
        <v>47073.0</v>
      </c>
      <c r="E2432" s="45" t="s">
        <v>3970</v>
      </c>
      <c r="F2432" s="45" t="s">
        <v>3970</v>
      </c>
      <c r="G2432" s="45" t="s">
        <v>3970</v>
      </c>
    </row>
    <row r="2433">
      <c r="A2433" s="45" t="s">
        <v>1356</v>
      </c>
      <c r="B2433" s="45" t="s">
        <v>3497</v>
      </c>
      <c r="C2433" s="45">
        <v>92.0</v>
      </c>
      <c r="D2433" s="45">
        <v>47075.0</v>
      </c>
      <c r="E2433" s="45" t="s">
        <v>3970</v>
      </c>
      <c r="F2433" s="45" t="s">
        <v>3970</v>
      </c>
      <c r="G2433" s="45" t="s">
        <v>3970</v>
      </c>
    </row>
    <row r="2434">
      <c r="A2434" s="45" t="s">
        <v>627</v>
      </c>
      <c r="B2434" s="45" t="s">
        <v>3497</v>
      </c>
      <c r="C2434" s="45">
        <v>92.0</v>
      </c>
      <c r="D2434" s="45">
        <v>47077.0</v>
      </c>
      <c r="E2434" s="45" t="s">
        <v>3970</v>
      </c>
      <c r="F2434" s="45" t="s">
        <v>3970</v>
      </c>
      <c r="G2434" s="45" t="s">
        <v>3970</v>
      </c>
    </row>
    <row r="2435">
      <c r="A2435" s="45" t="s">
        <v>136</v>
      </c>
      <c r="B2435" s="45" t="s">
        <v>3497</v>
      </c>
      <c r="C2435" s="45">
        <v>92.0</v>
      </c>
      <c r="D2435" s="45">
        <v>47079.0</v>
      </c>
      <c r="E2435" s="45" t="s">
        <v>3970</v>
      </c>
      <c r="F2435" s="45" t="s">
        <v>3970</v>
      </c>
      <c r="G2435" s="45" t="s">
        <v>3970</v>
      </c>
    </row>
    <row r="2436">
      <c r="A2436" s="45" t="s">
        <v>845</v>
      </c>
      <c r="B2436" s="45" t="s">
        <v>3497</v>
      </c>
      <c r="C2436" s="45">
        <v>92.0</v>
      </c>
      <c r="D2436" s="45">
        <v>47081.0</v>
      </c>
      <c r="E2436" s="45" t="s">
        <v>3970</v>
      </c>
      <c r="F2436" s="45" t="s">
        <v>3970</v>
      </c>
      <c r="G2436" s="45" t="s">
        <v>3970</v>
      </c>
    </row>
    <row r="2437">
      <c r="A2437" s="45" t="s">
        <v>137</v>
      </c>
      <c r="B2437" s="45" t="s">
        <v>3497</v>
      </c>
      <c r="C2437" s="45">
        <v>92.0</v>
      </c>
      <c r="D2437" s="45">
        <v>47083.0</v>
      </c>
      <c r="E2437" s="45" t="s">
        <v>3970</v>
      </c>
      <c r="F2437" s="45" t="s">
        <v>3970</v>
      </c>
      <c r="G2437" s="45" t="s">
        <v>3970</v>
      </c>
    </row>
    <row r="2438">
      <c r="A2438" s="45" t="s">
        <v>1097</v>
      </c>
      <c r="B2438" s="45" t="s">
        <v>3497</v>
      </c>
      <c r="C2438" s="45">
        <v>92.0</v>
      </c>
      <c r="D2438" s="45">
        <v>47085.0</v>
      </c>
      <c r="E2438" s="45" t="s">
        <v>3970</v>
      </c>
      <c r="F2438" s="45" t="s">
        <v>3970</v>
      </c>
      <c r="G2438" s="45" t="s">
        <v>3970</v>
      </c>
    </row>
    <row r="2439">
      <c r="A2439" s="45" t="s">
        <v>138</v>
      </c>
      <c r="B2439" s="45" t="s">
        <v>3497</v>
      </c>
      <c r="C2439" s="45">
        <v>92.0</v>
      </c>
      <c r="D2439" s="45">
        <v>47087.0</v>
      </c>
      <c r="E2439" s="45" t="s">
        <v>3970</v>
      </c>
      <c r="F2439" s="45" t="s">
        <v>3970</v>
      </c>
      <c r="G2439" s="45" t="s">
        <v>3970</v>
      </c>
    </row>
    <row r="2440">
      <c r="A2440" s="45" t="s">
        <v>139</v>
      </c>
      <c r="B2440" s="45" t="s">
        <v>3497</v>
      </c>
      <c r="C2440" s="45">
        <v>92.0</v>
      </c>
      <c r="D2440" s="45">
        <v>47089.0</v>
      </c>
      <c r="E2440" s="45" t="s">
        <v>3970</v>
      </c>
      <c r="F2440" s="45" t="s">
        <v>3970</v>
      </c>
      <c r="G2440" s="45" t="s">
        <v>3970</v>
      </c>
    </row>
    <row r="2441">
      <c r="A2441" s="45" t="s">
        <v>248</v>
      </c>
      <c r="B2441" s="45" t="s">
        <v>3497</v>
      </c>
      <c r="C2441" s="45">
        <v>92.0</v>
      </c>
      <c r="D2441" s="45">
        <v>47091.0</v>
      </c>
      <c r="E2441" s="45" t="s">
        <v>3970</v>
      </c>
      <c r="F2441" s="45" t="s">
        <v>3970</v>
      </c>
      <c r="G2441" s="45" t="s">
        <v>3970</v>
      </c>
    </row>
    <row r="2442">
      <c r="A2442" s="45" t="s">
        <v>634</v>
      </c>
      <c r="B2442" s="45" t="s">
        <v>3497</v>
      </c>
      <c r="C2442" s="45">
        <v>92.0</v>
      </c>
      <c r="D2442" s="45">
        <v>47093.0</v>
      </c>
      <c r="E2442" s="45" t="s">
        <v>3970</v>
      </c>
      <c r="F2442" s="45" t="s">
        <v>3970</v>
      </c>
      <c r="G2442" s="45" t="s">
        <v>3970</v>
      </c>
    </row>
    <row r="2443">
      <c r="A2443" s="45" t="s">
        <v>298</v>
      </c>
      <c r="B2443" s="45" t="s">
        <v>3497</v>
      </c>
      <c r="C2443" s="45">
        <v>92.0</v>
      </c>
      <c r="D2443" s="45">
        <v>47095.0</v>
      </c>
      <c r="E2443" s="45" t="s">
        <v>3970</v>
      </c>
      <c r="F2443" s="45" t="s">
        <v>3970</v>
      </c>
      <c r="G2443" s="45" t="s">
        <v>3970</v>
      </c>
    </row>
    <row r="2444">
      <c r="A2444" s="45" t="s">
        <v>141</v>
      </c>
      <c r="B2444" s="45" t="s">
        <v>3497</v>
      </c>
      <c r="C2444" s="45">
        <v>92.0</v>
      </c>
      <c r="D2444" s="45">
        <v>47097.0</v>
      </c>
      <c r="E2444" s="45" t="s">
        <v>3970</v>
      </c>
      <c r="F2444" s="45" t="s">
        <v>3970</v>
      </c>
      <c r="G2444" s="45" t="s">
        <v>3970</v>
      </c>
    </row>
    <row r="2445">
      <c r="A2445" s="45" t="s">
        <v>142</v>
      </c>
      <c r="B2445" s="45" t="s">
        <v>3497</v>
      </c>
      <c r="C2445" s="45">
        <v>92.0</v>
      </c>
      <c r="D2445" s="45">
        <v>47099.0</v>
      </c>
      <c r="E2445" s="45" t="s">
        <v>3970</v>
      </c>
      <c r="F2445" s="45" t="s">
        <v>3970</v>
      </c>
      <c r="G2445" s="45" t="s">
        <v>3970</v>
      </c>
    </row>
    <row r="2446">
      <c r="A2446" s="45" t="s">
        <v>597</v>
      </c>
      <c r="B2446" s="45" t="s">
        <v>3497</v>
      </c>
      <c r="C2446" s="45">
        <v>92.0</v>
      </c>
      <c r="D2446" s="45">
        <v>47101.0</v>
      </c>
      <c r="E2446" s="45" t="s">
        <v>3970</v>
      </c>
      <c r="F2446" s="45" t="s">
        <v>3970</v>
      </c>
      <c r="G2446" s="45" t="s">
        <v>3970</v>
      </c>
    </row>
    <row r="2447">
      <c r="A2447" s="45" t="s">
        <v>250</v>
      </c>
      <c r="B2447" s="45" t="s">
        <v>3497</v>
      </c>
      <c r="C2447" s="45">
        <v>92.0</v>
      </c>
      <c r="D2447" s="45">
        <v>47103.0</v>
      </c>
      <c r="E2447" s="45" t="s">
        <v>3970</v>
      </c>
      <c r="F2447" s="45" t="s">
        <v>3970</v>
      </c>
      <c r="G2447" s="45" t="s">
        <v>3970</v>
      </c>
    </row>
    <row r="2448">
      <c r="A2448" s="45" t="s">
        <v>1630</v>
      </c>
      <c r="B2448" s="45" t="s">
        <v>3497</v>
      </c>
      <c r="C2448" s="45">
        <v>92.0</v>
      </c>
      <c r="D2448" s="45">
        <v>47105.0</v>
      </c>
      <c r="E2448" s="45" t="s">
        <v>3970</v>
      </c>
      <c r="F2448" s="45" t="s">
        <v>3970</v>
      </c>
      <c r="G2448" s="45" t="s">
        <v>3970</v>
      </c>
    </row>
    <row r="2449">
      <c r="A2449" s="45" t="s">
        <v>1631</v>
      </c>
      <c r="B2449" s="45" t="s">
        <v>3497</v>
      </c>
      <c r="C2449" s="45">
        <v>92.0</v>
      </c>
      <c r="D2449" s="45">
        <v>47107.0</v>
      </c>
      <c r="E2449" s="45" t="s">
        <v>3970</v>
      </c>
      <c r="F2449" s="45" t="s">
        <v>3970</v>
      </c>
      <c r="G2449" s="45" t="s">
        <v>3970</v>
      </c>
    </row>
    <row r="2450">
      <c r="A2450" s="45" t="s">
        <v>1632</v>
      </c>
      <c r="B2450" s="45" t="s">
        <v>3497</v>
      </c>
      <c r="C2450" s="45">
        <v>92.0</v>
      </c>
      <c r="D2450" s="45">
        <v>47109.0</v>
      </c>
      <c r="E2450" s="45" t="s">
        <v>3970</v>
      </c>
      <c r="F2450" s="45" t="s">
        <v>3970</v>
      </c>
      <c r="G2450" s="45" t="s">
        <v>3970</v>
      </c>
    </row>
    <row r="2451">
      <c r="A2451" s="45" t="s">
        <v>146</v>
      </c>
      <c r="B2451" s="45" t="s">
        <v>3497</v>
      </c>
      <c r="C2451" s="45">
        <v>92.0</v>
      </c>
      <c r="D2451" s="45">
        <v>47111.0</v>
      </c>
      <c r="E2451" s="45" t="s">
        <v>3970</v>
      </c>
      <c r="F2451" s="45" t="s">
        <v>3970</v>
      </c>
      <c r="G2451" s="45" t="s">
        <v>3970</v>
      </c>
    </row>
    <row r="2452">
      <c r="A2452" s="45" t="s">
        <v>147</v>
      </c>
      <c r="B2452" s="45" t="s">
        <v>3497</v>
      </c>
      <c r="C2452" s="45">
        <v>92.0</v>
      </c>
      <c r="D2452" s="45">
        <v>47113.0</v>
      </c>
      <c r="E2452" s="45" t="s">
        <v>3970</v>
      </c>
      <c r="F2452" s="45" t="s">
        <v>3970</v>
      </c>
      <c r="G2452" s="45" t="s">
        <v>3970</v>
      </c>
    </row>
    <row r="2453">
      <c r="A2453" s="45" t="s">
        <v>149</v>
      </c>
      <c r="B2453" s="45" t="s">
        <v>3497</v>
      </c>
      <c r="C2453" s="45">
        <v>92.0</v>
      </c>
      <c r="D2453" s="45">
        <v>47115.0</v>
      </c>
      <c r="E2453" s="45" t="s">
        <v>3969</v>
      </c>
      <c r="F2453" s="45" t="s">
        <v>3970</v>
      </c>
      <c r="G2453" s="45" t="s">
        <v>3970</v>
      </c>
    </row>
    <row r="2454">
      <c r="A2454" s="45" t="s">
        <v>150</v>
      </c>
      <c r="B2454" s="45" t="s">
        <v>3497</v>
      </c>
      <c r="C2454" s="45">
        <v>92.0</v>
      </c>
      <c r="D2454" s="45">
        <v>47117.0</v>
      </c>
      <c r="E2454" s="45" t="s">
        <v>3970</v>
      </c>
      <c r="F2454" s="45" t="s">
        <v>3970</v>
      </c>
      <c r="G2454" s="45" t="s">
        <v>3970</v>
      </c>
    </row>
    <row r="2455">
      <c r="A2455" s="45" t="s">
        <v>1633</v>
      </c>
      <c r="B2455" s="45" t="s">
        <v>3497</v>
      </c>
      <c r="C2455" s="45">
        <v>92.0</v>
      </c>
      <c r="D2455" s="45">
        <v>47119.0</v>
      </c>
      <c r="E2455" s="45" t="s">
        <v>3970</v>
      </c>
      <c r="F2455" s="45" t="s">
        <v>3970</v>
      </c>
      <c r="G2455" s="45" t="s">
        <v>3970</v>
      </c>
    </row>
    <row r="2456">
      <c r="A2456" s="45" t="s">
        <v>1442</v>
      </c>
      <c r="B2456" s="45" t="s">
        <v>3497</v>
      </c>
      <c r="C2456" s="45">
        <v>92.0</v>
      </c>
      <c r="D2456" s="45">
        <v>47121.0</v>
      </c>
      <c r="E2456" s="45" t="s">
        <v>3970</v>
      </c>
      <c r="F2456" s="45" t="s">
        <v>3970</v>
      </c>
      <c r="G2456" s="45" t="s">
        <v>3970</v>
      </c>
    </row>
    <row r="2457">
      <c r="A2457" s="45" t="s">
        <v>152</v>
      </c>
      <c r="B2457" s="45" t="s">
        <v>3497</v>
      </c>
      <c r="C2457" s="45">
        <v>92.0</v>
      </c>
      <c r="D2457" s="45">
        <v>47123.0</v>
      </c>
      <c r="E2457" s="45" t="s">
        <v>3970</v>
      </c>
      <c r="F2457" s="45" t="s">
        <v>3970</v>
      </c>
      <c r="G2457" s="45" t="s">
        <v>3970</v>
      </c>
    </row>
    <row r="2458">
      <c r="A2458" s="45" t="s">
        <v>153</v>
      </c>
      <c r="B2458" s="45" t="s">
        <v>3497</v>
      </c>
      <c r="C2458" s="45">
        <v>92.0</v>
      </c>
      <c r="D2458" s="45">
        <v>47125.0</v>
      </c>
      <c r="E2458" s="45" t="s">
        <v>3970</v>
      </c>
      <c r="F2458" s="45" t="s">
        <v>3970</v>
      </c>
      <c r="G2458" s="45" t="s">
        <v>3970</v>
      </c>
    </row>
    <row r="2459">
      <c r="A2459" s="45" t="s">
        <v>1365</v>
      </c>
      <c r="B2459" s="45" t="s">
        <v>3497</v>
      </c>
      <c r="C2459" s="45">
        <v>92.0</v>
      </c>
      <c r="D2459" s="45">
        <v>47127.0</v>
      </c>
      <c r="E2459" s="45" t="s">
        <v>3970</v>
      </c>
      <c r="F2459" s="45" t="s">
        <v>3970</v>
      </c>
      <c r="G2459" s="45" t="s">
        <v>3970</v>
      </c>
    </row>
    <row r="2460">
      <c r="A2460" s="45" t="s">
        <v>154</v>
      </c>
      <c r="B2460" s="45" t="s">
        <v>3497</v>
      </c>
      <c r="C2460" s="45">
        <v>92.0</v>
      </c>
      <c r="D2460" s="45">
        <v>47129.0</v>
      </c>
      <c r="E2460" s="45" t="s">
        <v>3970</v>
      </c>
      <c r="F2460" s="45" t="s">
        <v>3970</v>
      </c>
      <c r="G2460" s="45" t="s">
        <v>3970</v>
      </c>
    </row>
    <row r="2461">
      <c r="A2461" s="45" t="s">
        <v>1634</v>
      </c>
      <c r="B2461" s="45" t="s">
        <v>3497</v>
      </c>
      <c r="C2461" s="45">
        <v>92.0</v>
      </c>
      <c r="D2461" s="45">
        <v>47131.0</v>
      </c>
      <c r="E2461" s="45" t="s">
        <v>3970</v>
      </c>
      <c r="F2461" s="45" t="s">
        <v>3970</v>
      </c>
      <c r="G2461" s="45" t="s">
        <v>3970</v>
      </c>
    </row>
    <row r="2462">
      <c r="A2462" s="45" t="s">
        <v>1635</v>
      </c>
      <c r="B2462" s="45" t="s">
        <v>3497</v>
      </c>
      <c r="C2462" s="45">
        <v>92.0</v>
      </c>
      <c r="D2462" s="45">
        <v>47133.0</v>
      </c>
      <c r="E2462" s="45" t="s">
        <v>3970</v>
      </c>
      <c r="F2462" s="45" t="s">
        <v>3970</v>
      </c>
      <c r="G2462" s="45" t="s">
        <v>3970</v>
      </c>
    </row>
    <row r="2463">
      <c r="A2463" s="45" t="s">
        <v>155</v>
      </c>
      <c r="B2463" s="45" t="s">
        <v>3497</v>
      </c>
      <c r="C2463" s="45">
        <v>92.0</v>
      </c>
      <c r="D2463" s="45">
        <v>47135.0</v>
      </c>
      <c r="E2463" s="45" t="s">
        <v>3970</v>
      </c>
      <c r="F2463" s="45" t="s">
        <v>3970</v>
      </c>
      <c r="G2463" s="45" t="s">
        <v>3970</v>
      </c>
    </row>
    <row r="2464">
      <c r="A2464" s="45" t="s">
        <v>1636</v>
      </c>
      <c r="B2464" s="45" t="s">
        <v>3497</v>
      </c>
      <c r="C2464" s="45">
        <v>92.0</v>
      </c>
      <c r="D2464" s="45">
        <v>47137.0</v>
      </c>
      <c r="E2464" s="45" t="s">
        <v>3970</v>
      </c>
      <c r="F2464" s="45" t="s">
        <v>3970</v>
      </c>
      <c r="G2464" s="45" t="s">
        <v>3970</v>
      </c>
    </row>
    <row r="2465">
      <c r="A2465" s="45" t="s">
        <v>261</v>
      </c>
      <c r="B2465" s="45" t="s">
        <v>3497</v>
      </c>
      <c r="C2465" s="45">
        <v>92.0</v>
      </c>
      <c r="D2465" s="45">
        <v>47139.0</v>
      </c>
      <c r="E2465" s="45" t="s">
        <v>3970</v>
      </c>
      <c r="F2465" s="45" t="s">
        <v>3970</v>
      </c>
      <c r="G2465" s="45" t="s">
        <v>3970</v>
      </c>
    </row>
    <row r="2466">
      <c r="A2466" s="45" t="s">
        <v>449</v>
      </c>
      <c r="B2466" s="45" t="s">
        <v>3497</v>
      </c>
      <c r="C2466" s="45">
        <v>92.0</v>
      </c>
      <c r="D2466" s="45">
        <v>47141.0</v>
      </c>
      <c r="E2466" s="45" t="s">
        <v>3970</v>
      </c>
      <c r="F2466" s="45" t="s">
        <v>3970</v>
      </c>
      <c r="G2466" s="45" t="s">
        <v>3970</v>
      </c>
    </row>
    <row r="2467">
      <c r="A2467" s="45" t="s">
        <v>1637</v>
      </c>
      <c r="B2467" s="45" t="s">
        <v>3497</v>
      </c>
      <c r="C2467" s="45">
        <v>92.0</v>
      </c>
      <c r="D2467" s="45">
        <v>47143.0</v>
      </c>
      <c r="E2467" s="45" t="s">
        <v>3970</v>
      </c>
      <c r="F2467" s="45" t="s">
        <v>3970</v>
      </c>
      <c r="G2467" s="45" t="s">
        <v>3970</v>
      </c>
    </row>
    <row r="2468">
      <c r="A2468" s="45" t="s">
        <v>1638</v>
      </c>
      <c r="B2468" s="45" t="s">
        <v>3497</v>
      </c>
      <c r="C2468" s="45">
        <v>92.0</v>
      </c>
      <c r="D2468" s="45">
        <v>47145.0</v>
      </c>
      <c r="E2468" s="45" t="s">
        <v>3970</v>
      </c>
      <c r="F2468" s="45" t="s">
        <v>3970</v>
      </c>
      <c r="G2468" s="45" t="s">
        <v>3970</v>
      </c>
    </row>
    <row r="2469">
      <c r="A2469" s="45" t="s">
        <v>866</v>
      </c>
      <c r="B2469" s="45" t="s">
        <v>3497</v>
      </c>
      <c r="C2469" s="45">
        <v>92.0</v>
      </c>
      <c r="D2469" s="45">
        <v>47147.0</v>
      </c>
      <c r="E2469" s="45" t="s">
        <v>3970</v>
      </c>
      <c r="F2469" s="45" t="s">
        <v>3970</v>
      </c>
      <c r="G2469" s="45" t="s">
        <v>3970</v>
      </c>
    </row>
    <row r="2470">
      <c r="A2470" s="45" t="s">
        <v>1377</v>
      </c>
      <c r="B2470" s="45" t="s">
        <v>3497</v>
      </c>
      <c r="C2470" s="45">
        <v>92.0</v>
      </c>
      <c r="D2470" s="45">
        <v>47149.0</v>
      </c>
      <c r="E2470" s="45" t="s">
        <v>3970</v>
      </c>
      <c r="F2470" s="45" t="s">
        <v>3970</v>
      </c>
      <c r="G2470" s="45" t="s">
        <v>3970</v>
      </c>
    </row>
    <row r="2471">
      <c r="A2471" s="45" t="s">
        <v>267</v>
      </c>
      <c r="B2471" s="45" t="s">
        <v>3497</v>
      </c>
      <c r="C2471" s="45">
        <v>92.0</v>
      </c>
      <c r="D2471" s="45">
        <v>47151.0</v>
      </c>
      <c r="E2471" s="45" t="s">
        <v>3970</v>
      </c>
      <c r="F2471" s="45" t="s">
        <v>3970</v>
      </c>
      <c r="G2471" s="45" t="s">
        <v>3970</v>
      </c>
    </row>
    <row r="2472">
      <c r="A2472" s="45" t="s">
        <v>1639</v>
      </c>
      <c r="B2472" s="45" t="s">
        <v>3497</v>
      </c>
      <c r="C2472" s="45">
        <v>92.0</v>
      </c>
      <c r="D2472" s="45">
        <v>47153.0</v>
      </c>
      <c r="E2472" s="45" t="s">
        <v>3970</v>
      </c>
      <c r="F2472" s="45" t="s">
        <v>3970</v>
      </c>
      <c r="G2472" s="45" t="s">
        <v>3970</v>
      </c>
    </row>
    <row r="2473">
      <c r="A2473" s="45" t="s">
        <v>270</v>
      </c>
      <c r="B2473" s="45" t="s">
        <v>3497</v>
      </c>
      <c r="C2473" s="45">
        <v>92.0</v>
      </c>
      <c r="D2473" s="45">
        <v>47155.0</v>
      </c>
      <c r="E2473" s="45" t="s">
        <v>3970</v>
      </c>
      <c r="F2473" s="45" t="s">
        <v>3970</v>
      </c>
      <c r="G2473" s="45" t="s">
        <v>3970</v>
      </c>
    </row>
    <row r="2474">
      <c r="A2474" s="45" t="s">
        <v>161</v>
      </c>
      <c r="B2474" s="45" t="s">
        <v>3497</v>
      </c>
      <c r="C2474" s="45">
        <v>92.0</v>
      </c>
      <c r="D2474" s="45">
        <v>47157.0</v>
      </c>
      <c r="E2474" s="45" t="s">
        <v>3970</v>
      </c>
      <c r="F2474" s="45" t="s">
        <v>3970</v>
      </c>
      <c r="G2474" s="45" t="s">
        <v>3970</v>
      </c>
    </row>
    <row r="2475">
      <c r="A2475" s="45" t="s">
        <v>806</v>
      </c>
      <c r="B2475" s="45" t="s">
        <v>3497</v>
      </c>
      <c r="C2475" s="45">
        <v>92.0</v>
      </c>
      <c r="D2475" s="45">
        <v>47159.0</v>
      </c>
      <c r="E2475" s="45" t="s">
        <v>3970</v>
      </c>
      <c r="F2475" s="45" t="s">
        <v>3970</v>
      </c>
      <c r="G2475" s="45" t="s">
        <v>3970</v>
      </c>
    </row>
    <row r="2476">
      <c r="A2476" s="45" t="s">
        <v>545</v>
      </c>
      <c r="B2476" s="45" t="s">
        <v>3497</v>
      </c>
      <c r="C2476" s="45">
        <v>92.0</v>
      </c>
      <c r="D2476" s="45">
        <v>47161.0</v>
      </c>
      <c r="E2476" s="45" t="s">
        <v>3970</v>
      </c>
      <c r="F2476" s="45" t="s">
        <v>3970</v>
      </c>
      <c r="G2476" s="45" t="s">
        <v>3970</v>
      </c>
    </row>
    <row r="2477">
      <c r="A2477" s="45" t="s">
        <v>694</v>
      </c>
      <c r="B2477" s="45" t="s">
        <v>3497</v>
      </c>
      <c r="C2477" s="45">
        <v>92.0</v>
      </c>
      <c r="D2477" s="45">
        <v>47163.0</v>
      </c>
      <c r="E2477" s="45" t="s">
        <v>3970</v>
      </c>
      <c r="F2477" s="45" t="s">
        <v>3970</v>
      </c>
      <c r="G2477" s="45" t="s">
        <v>3970</v>
      </c>
    </row>
    <row r="2478">
      <c r="A2478" s="45" t="s">
        <v>810</v>
      </c>
      <c r="B2478" s="45" t="s">
        <v>3497</v>
      </c>
      <c r="C2478" s="45">
        <v>92.0</v>
      </c>
      <c r="D2478" s="45">
        <v>47165.0</v>
      </c>
      <c r="E2478" s="45" t="s">
        <v>3970</v>
      </c>
      <c r="F2478" s="45" t="s">
        <v>3970</v>
      </c>
      <c r="G2478" s="45" t="s">
        <v>3970</v>
      </c>
    </row>
    <row r="2479">
      <c r="A2479" s="45" t="s">
        <v>697</v>
      </c>
      <c r="B2479" s="45" t="s">
        <v>3497</v>
      </c>
      <c r="C2479" s="45">
        <v>92.0</v>
      </c>
      <c r="D2479" s="45">
        <v>47167.0</v>
      </c>
      <c r="E2479" s="45" t="s">
        <v>3970</v>
      </c>
      <c r="F2479" s="45" t="s">
        <v>3970</v>
      </c>
      <c r="G2479" s="45" t="s">
        <v>3970</v>
      </c>
    </row>
    <row r="2480">
      <c r="A2480" s="45" t="s">
        <v>1640</v>
      </c>
      <c r="B2480" s="45" t="s">
        <v>3497</v>
      </c>
      <c r="C2480" s="45">
        <v>92.0</v>
      </c>
      <c r="D2480" s="45">
        <v>47169.0</v>
      </c>
      <c r="E2480" s="45" t="s">
        <v>3970</v>
      </c>
      <c r="F2480" s="45" t="s">
        <v>3970</v>
      </c>
      <c r="G2480" s="45" t="s">
        <v>3970</v>
      </c>
    </row>
    <row r="2481">
      <c r="A2481" s="45" t="s">
        <v>1641</v>
      </c>
      <c r="B2481" s="45" t="s">
        <v>3497</v>
      </c>
      <c r="C2481" s="45">
        <v>92.0</v>
      </c>
      <c r="D2481" s="45">
        <v>47171.0</v>
      </c>
      <c r="E2481" s="45" t="s">
        <v>3970</v>
      </c>
      <c r="F2481" s="45" t="s">
        <v>3970</v>
      </c>
      <c r="G2481" s="45" t="s">
        <v>3970</v>
      </c>
    </row>
    <row r="2482">
      <c r="A2482" s="45" t="s">
        <v>273</v>
      </c>
      <c r="B2482" s="45" t="s">
        <v>3497</v>
      </c>
      <c r="C2482" s="45">
        <v>92.0</v>
      </c>
      <c r="D2482" s="45">
        <v>47173.0</v>
      </c>
      <c r="E2482" s="45" t="s">
        <v>3970</v>
      </c>
      <c r="F2482" s="45" t="s">
        <v>3970</v>
      </c>
      <c r="G2482" s="45" t="s">
        <v>3970</v>
      </c>
    </row>
    <row r="2483">
      <c r="A2483" s="45" t="s">
        <v>274</v>
      </c>
      <c r="B2483" s="45" t="s">
        <v>3497</v>
      </c>
      <c r="C2483" s="45">
        <v>92.0</v>
      </c>
      <c r="D2483" s="45">
        <v>47175.0</v>
      </c>
      <c r="E2483" s="45" t="s">
        <v>3970</v>
      </c>
      <c r="F2483" s="45" t="s">
        <v>3970</v>
      </c>
      <c r="G2483" s="45" t="s">
        <v>3970</v>
      </c>
    </row>
    <row r="2484">
      <c r="A2484" s="45" t="s">
        <v>561</v>
      </c>
      <c r="B2484" s="45" t="s">
        <v>3497</v>
      </c>
      <c r="C2484" s="45">
        <v>92.0</v>
      </c>
      <c r="D2484" s="45">
        <v>47177.0</v>
      </c>
      <c r="E2484" s="45" t="s">
        <v>3970</v>
      </c>
      <c r="F2484" s="45" t="s">
        <v>3970</v>
      </c>
      <c r="G2484" s="45" t="s">
        <v>3970</v>
      </c>
    </row>
    <row r="2485">
      <c r="A2485" s="45" t="s">
        <v>167</v>
      </c>
      <c r="B2485" s="45" t="s">
        <v>3497</v>
      </c>
      <c r="C2485" s="45">
        <v>92.0</v>
      </c>
      <c r="D2485" s="45">
        <v>47179.0</v>
      </c>
      <c r="E2485" s="45" t="s">
        <v>3970</v>
      </c>
      <c r="F2485" s="45" t="s">
        <v>3970</v>
      </c>
      <c r="G2485" s="45" t="s">
        <v>3970</v>
      </c>
    </row>
    <row r="2486">
      <c r="A2486" s="45" t="s">
        <v>562</v>
      </c>
      <c r="B2486" s="45" t="s">
        <v>3497</v>
      </c>
      <c r="C2486" s="45">
        <v>92.0</v>
      </c>
      <c r="D2486" s="45">
        <v>47181.0</v>
      </c>
      <c r="E2486" s="45" t="s">
        <v>3970</v>
      </c>
      <c r="F2486" s="45" t="s">
        <v>3970</v>
      </c>
      <c r="G2486" s="45" t="s">
        <v>3970</v>
      </c>
    </row>
    <row r="2487">
      <c r="A2487" s="45" t="s">
        <v>1642</v>
      </c>
      <c r="B2487" s="45" t="s">
        <v>3497</v>
      </c>
      <c r="C2487" s="45">
        <v>92.0</v>
      </c>
      <c r="D2487" s="45">
        <v>47183.0</v>
      </c>
      <c r="E2487" s="45" t="s">
        <v>3970</v>
      </c>
      <c r="F2487" s="45" t="s">
        <v>3970</v>
      </c>
      <c r="G2487" s="45" t="s">
        <v>3970</v>
      </c>
    </row>
    <row r="2488">
      <c r="A2488" s="45" t="s">
        <v>275</v>
      </c>
      <c r="B2488" s="45" t="s">
        <v>3497</v>
      </c>
      <c r="C2488" s="45">
        <v>92.0</v>
      </c>
      <c r="D2488" s="45">
        <v>47185.0</v>
      </c>
      <c r="E2488" s="45" t="s">
        <v>3970</v>
      </c>
      <c r="F2488" s="45" t="s">
        <v>3970</v>
      </c>
      <c r="G2488" s="45" t="s">
        <v>3970</v>
      </c>
    </row>
    <row r="2489">
      <c r="A2489" s="45" t="s">
        <v>660</v>
      </c>
      <c r="B2489" s="45" t="s">
        <v>3497</v>
      </c>
      <c r="C2489" s="45">
        <v>92.0</v>
      </c>
      <c r="D2489" s="45">
        <v>47187.0</v>
      </c>
      <c r="E2489" s="45" t="s">
        <v>3970</v>
      </c>
      <c r="F2489" s="45" t="s">
        <v>3970</v>
      </c>
      <c r="G2489" s="45" t="s">
        <v>3970</v>
      </c>
    </row>
    <row r="2490">
      <c r="A2490" s="45" t="s">
        <v>815</v>
      </c>
      <c r="B2490" s="45" t="s">
        <v>3497</v>
      </c>
      <c r="C2490" s="45">
        <v>92.0</v>
      </c>
      <c r="D2490" s="45">
        <v>47189.0</v>
      </c>
      <c r="E2490" s="45" t="s">
        <v>3970</v>
      </c>
      <c r="F2490" s="45" t="s">
        <v>3970</v>
      </c>
      <c r="G2490" s="45" t="s">
        <v>3970</v>
      </c>
    </row>
    <row r="2491">
      <c r="A2491" s="45" t="s">
        <v>751</v>
      </c>
      <c r="B2491" s="45" t="s">
        <v>3524</v>
      </c>
      <c r="C2491" s="45">
        <v>63.0</v>
      </c>
      <c r="D2491" s="45">
        <v>48001.0</v>
      </c>
      <c r="E2491" s="45" t="s">
        <v>4002</v>
      </c>
      <c r="F2491" s="45" t="s">
        <v>4010</v>
      </c>
      <c r="G2491" s="45" t="s">
        <v>3970</v>
      </c>
    </row>
    <row r="2492">
      <c r="A2492" s="45" t="s">
        <v>1643</v>
      </c>
      <c r="B2492" s="45" t="s">
        <v>3524</v>
      </c>
      <c r="C2492" s="45">
        <v>62.0</v>
      </c>
      <c r="D2492" s="45">
        <v>48003.0</v>
      </c>
      <c r="E2492" s="45" t="s">
        <v>4002</v>
      </c>
      <c r="F2492" s="45" t="s">
        <v>4010</v>
      </c>
      <c r="G2492" s="45" t="s">
        <v>3970</v>
      </c>
    </row>
    <row r="2493">
      <c r="A2493" s="45" t="s">
        <v>1644</v>
      </c>
      <c r="B2493" s="45" t="s">
        <v>3524</v>
      </c>
      <c r="C2493" s="45">
        <v>63.0</v>
      </c>
      <c r="D2493" s="45">
        <v>48005.0</v>
      </c>
      <c r="E2493" s="45" t="s">
        <v>4002</v>
      </c>
      <c r="F2493" s="45" t="s">
        <v>4010</v>
      </c>
      <c r="G2493" s="45" t="s">
        <v>3970</v>
      </c>
    </row>
    <row r="2494">
      <c r="A2494" s="45" t="s">
        <v>1645</v>
      </c>
      <c r="B2494" s="45" t="s">
        <v>3524</v>
      </c>
      <c r="C2494" s="45">
        <v>65.0</v>
      </c>
      <c r="D2494" s="45">
        <v>48007.0</v>
      </c>
      <c r="E2494" s="45" t="s">
        <v>4002</v>
      </c>
      <c r="F2494" s="45" t="s">
        <v>4010</v>
      </c>
      <c r="G2494" s="45" t="s">
        <v>3970</v>
      </c>
    </row>
    <row r="2495">
      <c r="A2495" s="45" t="s">
        <v>1646</v>
      </c>
      <c r="B2495" s="45" t="s">
        <v>3524</v>
      </c>
      <c r="C2495" s="45">
        <v>63.0</v>
      </c>
      <c r="D2495" s="45">
        <v>48009.0</v>
      </c>
      <c r="E2495" s="45" t="s">
        <v>4002</v>
      </c>
      <c r="F2495" s="45" t="s">
        <v>4010</v>
      </c>
      <c r="G2495" s="45" t="s">
        <v>3970</v>
      </c>
    </row>
    <row r="2496">
      <c r="A2496" s="45" t="s">
        <v>1516</v>
      </c>
      <c r="B2496" s="45" t="s">
        <v>3524</v>
      </c>
      <c r="C2496" s="45">
        <v>48.0</v>
      </c>
      <c r="D2496" s="45">
        <v>48011.0</v>
      </c>
      <c r="E2496" s="45" t="s">
        <v>3977</v>
      </c>
      <c r="F2496" s="45" t="s">
        <v>3976</v>
      </c>
      <c r="G2496" s="45" t="s">
        <v>3970</v>
      </c>
    </row>
    <row r="2497">
      <c r="A2497" s="45" t="s">
        <v>1647</v>
      </c>
      <c r="B2497" s="45" t="s">
        <v>3524</v>
      </c>
      <c r="C2497" s="45">
        <v>65.0</v>
      </c>
      <c r="D2497" s="45">
        <v>48013.0</v>
      </c>
      <c r="E2497" s="45" t="s">
        <v>4002</v>
      </c>
      <c r="F2497" s="45" t="s">
        <v>4010</v>
      </c>
      <c r="G2497" s="45" t="s">
        <v>3970</v>
      </c>
    </row>
    <row r="2498">
      <c r="A2498" s="45" t="s">
        <v>1648</v>
      </c>
      <c r="B2498" s="45" t="s">
        <v>3524</v>
      </c>
      <c r="C2498" s="45">
        <v>64.0</v>
      </c>
      <c r="D2498" s="45">
        <v>48015.0</v>
      </c>
      <c r="E2498" s="45" t="s">
        <v>4002</v>
      </c>
      <c r="F2498" s="45" t="s">
        <v>4010</v>
      </c>
      <c r="G2498" s="45" t="s">
        <v>3970</v>
      </c>
    </row>
    <row r="2499">
      <c r="A2499" s="45" t="s">
        <v>1649</v>
      </c>
      <c r="B2499" s="45" t="s">
        <v>3524</v>
      </c>
      <c r="C2499" s="45">
        <v>48.0</v>
      </c>
      <c r="D2499" s="45">
        <v>48017.0</v>
      </c>
      <c r="E2499" s="45" t="s">
        <v>3977</v>
      </c>
      <c r="F2499" s="45" t="s">
        <v>3976</v>
      </c>
      <c r="G2499" s="45" t="s">
        <v>3970</v>
      </c>
    </row>
    <row r="2500">
      <c r="A2500" s="45" t="s">
        <v>1650</v>
      </c>
      <c r="B2500" s="45" t="s">
        <v>3524</v>
      </c>
      <c r="C2500" s="45">
        <v>64.0</v>
      </c>
      <c r="D2500" s="45">
        <v>48019.0</v>
      </c>
      <c r="E2500" s="45" t="s">
        <v>4002</v>
      </c>
      <c r="F2500" s="45" t="s">
        <v>4010</v>
      </c>
      <c r="G2500" s="45" t="s">
        <v>3970</v>
      </c>
    </row>
    <row r="2501">
      <c r="A2501" s="45" t="s">
        <v>1651</v>
      </c>
      <c r="B2501" s="45" t="s">
        <v>3524</v>
      </c>
      <c r="C2501" s="45">
        <v>64.0</v>
      </c>
      <c r="D2501" s="45">
        <v>48021.0</v>
      </c>
      <c r="E2501" s="45" t="s">
        <v>4002</v>
      </c>
      <c r="F2501" s="45" t="s">
        <v>4010</v>
      </c>
      <c r="G2501" s="45" t="s">
        <v>3970</v>
      </c>
    </row>
    <row r="2502">
      <c r="A2502" s="45" t="s">
        <v>1652</v>
      </c>
      <c r="B2502" s="45" t="s">
        <v>3524</v>
      </c>
      <c r="C2502" s="45">
        <v>60.0</v>
      </c>
      <c r="D2502" s="45">
        <v>48023.0</v>
      </c>
      <c r="E2502" s="45" t="s">
        <v>4002</v>
      </c>
      <c r="F2502" s="45" t="s">
        <v>4010</v>
      </c>
      <c r="G2502" s="45" t="s">
        <v>3970</v>
      </c>
    </row>
    <row r="2503">
      <c r="A2503" s="45" t="s">
        <v>1653</v>
      </c>
      <c r="B2503" s="45" t="s">
        <v>3524</v>
      </c>
      <c r="C2503" s="45">
        <v>65.0</v>
      </c>
      <c r="D2503" s="45">
        <v>48025.0</v>
      </c>
      <c r="E2503" s="45" t="s">
        <v>4002</v>
      </c>
      <c r="F2503" s="45" t="s">
        <v>4010</v>
      </c>
      <c r="G2503" s="45" t="s">
        <v>3970</v>
      </c>
    </row>
    <row r="2504">
      <c r="A2504" s="45" t="s">
        <v>822</v>
      </c>
      <c r="B2504" s="45" t="s">
        <v>3524</v>
      </c>
      <c r="C2504" s="45">
        <v>63.0</v>
      </c>
      <c r="D2504" s="45">
        <v>48027.0</v>
      </c>
      <c r="E2504" s="45" t="s">
        <v>4002</v>
      </c>
      <c r="F2504" s="45" t="s">
        <v>4010</v>
      </c>
      <c r="G2504" s="45" t="s">
        <v>3970</v>
      </c>
    </row>
    <row r="2505">
      <c r="A2505" s="45" t="s">
        <v>1654</v>
      </c>
      <c r="B2505" s="45" t="s">
        <v>3524</v>
      </c>
      <c r="C2505" s="45">
        <v>65.0</v>
      </c>
      <c r="D2505" s="45">
        <v>48029.0</v>
      </c>
      <c r="E2505" s="45" t="s">
        <v>4002</v>
      </c>
      <c r="F2505" s="45" t="s">
        <v>4010</v>
      </c>
      <c r="G2505" s="45" t="s">
        <v>3970</v>
      </c>
    </row>
    <row r="2506">
      <c r="A2506" s="45" t="s">
        <v>1655</v>
      </c>
      <c r="B2506" s="45" t="s">
        <v>3524</v>
      </c>
      <c r="C2506" s="45">
        <v>64.0</v>
      </c>
      <c r="D2506" s="45">
        <v>48031.0</v>
      </c>
      <c r="E2506" s="45" t="s">
        <v>4002</v>
      </c>
      <c r="F2506" s="45" t="s">
        <v>4010</v>
      </c>
      <c r="G2506" s="45" t="s">
        <v>3970</v>
      </c>
    </row>
    <row r="2507">
      <c r="A2507" s="45" t="s">
        <v>1656</v>
      </c>
      <c r="B2507" s="45" t="s">
        <v>3524</v>
      </c>
      <c r="C2507" s="45">
        <v>60.0</v>
      </c>
      <c r="D2507" s="45">
        <v>48033.0</v>
      </c>
      <c r="E2507" s="45" t="s">
        <v>4002</v>
      </c>
      <c r="F2507" s="45" t="s">
        <v>4010</v>
      </c>
      <c r="G2507" s="45" t="s">
        <v>3970</v>
      </c>
    </row>
    <row r="2508">
      <c r="A2508" s="45" t="s">
        <v>1657</v>
      </c>
      <c r="B2508" s="45" t="s">
        <v>3524</v>
      </c>
      <c r="C2508" s="45">
        <v>63.0</v>
      </c>
      <c r="D2508" s="45">
        <v>48035.0</v>
      </c>
      <c r="E2508" s="45" t="s">
        <v>4002</v>
      </c>
      <c r="F2508" s="45" t="s">
        <v>4010</v>
      </c>
      <c r="G2508" s="45" t="s">
        <v>3970</v>
      </c>
    </row>
    <row r="2509">
      <c r="A2509" s="45" t="s">
        <v>1658</v>
      </c>
      <c r="B2509" s="45" t="s">
        <v>3524</v>
      </c>
      <c r="C2509" s="45">
        <v>57.0</v>
      </c>
      <c r="D2509" s="45">
        <v>48037.0</v>
      </c>
      <c r="E2509" s="45" t="s">
        <v>3977</v>
      </c>
      <c r="F2509" s="45" t="s">
        <v>3976</v>
      </c>
      <c r="G2509" s="45" t="s">
        <v>3970</v>
      </c>
    </row>
    <row r="2510">
      <c r="A2510" s="45" t="s">
        <v>1659</v>
      </c>
      <c r="B2510" s="45" t="s">
        <v>3524</v>
      </c>
      <c r="C2510" s="45">
        <v>67.0</v>
      </c>
      <c r="D2510" s="45">
        <v>48039.0</v>
      </c>
      <c r="E2510" s="45" t="s">
        <v>4002</v>
      </c>
      <c r="F2510" s="45" t="s">
        <v>4010</v>
      </c>
      <c r="G2510" s="45" t="s">
        <v>3970</v>
      </c>
    </row>
    <row r="2511">
      <c r="A2511" s="45" t="s">
        <v>1660</v>
      </c>
      <c r="B2511" s="45" t="s">
        <v>3524</v>
      </c>
      <c r="C2511" s="45">
        <v>64.0</v>
      </c>
      <c r="D2511" s="45">
        <v>48041.0</v>
      </c>
      <c r="E2511" s="45" t="s">
        <v>4002</v>
      </c>
      <c r="F2511" s="45" t="s">
        <v>3974</v>
      </c>
      <c r="G2511" s="45" t="s">
        <v>3970</v>
      </c>
    </row>
    <row r="2512">
      <c r="A2512" s="45" t="s">
        <v>1661</v>
      </c>
      <c r="B2512" s="45" t="s">
        <v>3524</v>
      </c>
      <c r="C2512" s="45">
        <v>61.0</v>
      </c>
      <c r="D2512" s="45">
        <v>48043.0</v>
      </c>
      <c r="E2512" s="45" t="s">
        <v>4002</v>
      </c>
      <c r="F2512" s="45" t="s">
        <v>4010</v>
      </c>
      <c r="G2512" s="45" t="s">
        <v>3970</v>
      </c>
    </row>
    <row r="2513">
      <c r="A2513" s="45" t="s">
        <v>1662</v>
      </c>
      <c r="B2513" s="45" t="s">
        <v>3524</v>
      </c>
      <c r="C2513" s="45">
        <v>60.0</v>
      </c>
      <c r="D2513" s="45">
        <v>48045.0</v>
      </c>
      <c r="E2513" s="45" t="s">
        <v>3977</v>
      </c>
      <c r="F2513" s="45" t="s">
        <v>3976</v>
      </c>
      <c r="G2513" s="45" t="s">
        <v>3970</v>
      </c>
    </row>
    <row r="2514">
      <c r="A2514" s="45" t="s">
        <v>471</v>
      </c>
      <c r="B2514" s="45" t="s">
        <v>3524</v>
      </c>
      <c r="C2514" s="45">
        <v>65.0</v>
      </c>
      <c r="D2514" s="45">
        <v>48047.0</v>
      </c>
      <c r="E2514" s="45" t="s">
        <v>4002</v>
      </c>
      <c r="F2514" s="45" t="s">
        <v>4010</v>
      </c>
      <c r="G2514" s="45" t="s">
        <v>3970</v>
      </c>
    </row>
    <row r="2515">
      <c r="A2515" s="45" t="s">
        <v>611</v>
      </c>
      <c r="B2515" s="45" t="s">
        <v>3524</v>
      </c>
      <c r="C2515" s="45">
        <v>63.0</v>
      </c>
      <c r="D2515" s="45">
        <v>48049.0</v>
      </c>
      <c r="E2515" s="45" t="s">
        <v>4002</v>
      </c>
      <c r="F2515" s="45" t="s">
        <v>4010</v>
      </c>
      <c r="G2515" s="45" t="s">
        <v>3970</v>
      </c>
    </row>
    <row r="2516">
      <c r="A2516" s="45" t="s">
        <v>1663</v>
      </c>
      <c r="B2516" s="45" t="s">
        <v>3524</v>
      </c>
      <c r="C2516" s="45">
        <v>64.0</v>
      </c>
      <c r="D2516" s="45">
        <v>48051.0</v>
      </c>
      <c r="E2516" s="45" t="s">
        <v>4002</v>
      </c>
      <c r="F2516" s="45" t="s">
        <v>3974</v>
      </c>
      <c r="G2516" s="45" t="s">
        <v>3970</v>
      </c>
    </row>
    <row r="2517">
      <c r="A2517" s="45" t="s">
        <v>1664</v>
      </c>
      <c r="B2517" s="45" t="s">
        <v>3524</v>
      </c>
      <c r="C2517" s="45">
        <v>64.0</v>
      </c>
      <c r="D2517" s="45">
        <v>48053.0</v>
      </c>
      <c r="E2517" s="45" t="s">
        <v>4002</v>
      </c>
      <c r="F2517" s="45" t="s">
        <v>4010</v>
      </c>
      <c r="G2517" s="45" t="s">
        <v>3970</v>
      </c>
    </row>
    <row r="2518">
      <c r="A2518" s="45" t="s">
        <v>829</v>
      </c>
      <c r="B2518" s="45" t="s">
        <v>3524</v>
      </c>
      <c r="C2518" s="45">
        <v>64.0</v>
      </c>
      <c r="D2518" s="45">
        <v>48055.0</v>
      </c>
      <c r="E2518" s="45" t="s">
        <v>4002</v>
      </c>
      <c r="F2518" s="45" t="s">
        <v>4010</v>
      </c>
      <c r="G2518" s="45" t="s">
        <v>3970</v>
      </c>
    </row>
    <row r="2519">
      <c r="A2519" s="45" t="s">
        <v>110</v>
      </c>
      <c r="B2519" s="45" t="s">
        <v>3524</v>
      </c>
      <c r="C2519" s="45">
        <v>65.0</v>
      </c>
      <c r="D2519" s="45">
        <v>48057.0</v>
      </c>
      <c r="E2519" s="45" t="s">
        <v>4002</v>
      </c>
      <c r="F2519" s="45" t="s">
        <v>4010</v>
      </c>
      <c r="G2519" s="45" t="s">
        <v>3970</v>
      </c>
    </row>
    <row r="2520">
      <c r="A2520" s="45" t="s">
        <v>1665</v>
      </c>
      <c r="B2520" s="45" t="s">
        <v>3524</v>
      </c>
      <c r="C2520" s="45">
        <v>61.0</v>
      </c>
      <c r="D2520" s="45">
        <v>48059.0</v>
      </c>
      <c r="E2520" s="45" t="s">
        <v>4002</v>
      </c>
      <c r="F2520" s="45" t="s">
        <v>4010</v>
      </c>
      <c r="G2520" s="45" t="s">
        <v>3970</v>
      </c>
    </row>
    <row r="2521">
      <c r="A2521" s="45" t="s">
        <v>884</v>
      </c>
      <c r="B2521" s="45" t="s">
        <v>3524</v>
      </c>
      <c r="C2521" s="45">
        <v>65.0</v>
      </c>
      <c r="D2521" s="45">
        <v>48061.0</v>
      </c>
      <c r="E2521" s="45" t="s">
        <v>4002</v>
      </c>
      <c r="F2521" s="45" t="s">
        <v>4010</v>
      </c>
      <c r="G2521" s="45" t="s">
        <v>3970</v>
      </c>
    </row>
    <row r="2522">
      <c r="A2522" s="45" t="s">
        <v>1666</v>
      </c>
      <c r="B2522" s="45" t="s">
        <v>3524</v>
      </c>
      <c r="C2522" s="45">
        <v>57.0</v>
      </c>
      <c r="D2522" s="45">
        <v>48063.0</v>
      </c>
      <c r="E2522" s="45" t="s">
        <v>3977</v>
      </c>
      <c r="F2522" s="45" t="s">
        <v>3976</v>
      </c>
      <c r="G2522" s="45" t="s">
        <v>3970</v>
      </c>
    </row>
    <row r="2523">
      <c r="A2523" s="45" t="s">
        <v>1667</v>
      </c>
      <c r="B2523" s="45" t="s">
        <v>3524</v>
      </c>
      <c r="C2523" s="45">
        <v>48.0</v>
      </c>
      <c r="D2523" s="45">
        <v>48065.0</v>
      </c>
      <c r="E2523" s="45" t="s">
        <v>3977</v>
      </c>
      <c r="F2523" s="45" t="s">
        <v>3976</v>
      </c>
      <c r="G2523" s="45" t="s">
        <v>3970</v>
      </c>
    </row>
    <row r="2524">
      <c r="A2524" s="45" t="s">
        <v>613</v>
      </c>
      <c r="B2524" s="45" t="s">
        <v>3524</v>
      </c>
      <c r="C2524" s="45">
        <v>57.0</v>
      </c>
      <c r="D2524" s="45">
        <v>48067.0</v>
      </c>
      <c r="E2524" s="45" t="s">
        <v>3977</v>
      </c>
      <c r="F2524" s="45" t="s">
        <v>3976</v>
      </c>
      <c r="G2524" s="45" t="s">
        <v>3970</v>
      </c>
    </row>
    <row r="2525">
      <c r="A2525" s="45" t="s">
        <v>1668</v>
      </c>
      <c r="B2525" s="45" t="s">
        <v>3524</v>
      </c>
      <c r="C2525" s="45">
        <v>48.0</v>
      </c>
      <c r="D2525" s="45">
        <v>48069.0</v>
      </c>
      <c r="E2525" s="45" t="s">
        <v>3977</v>
      </c>
      <c r="F2525" s="45" t="s">
        <v>3976</v>
      </c>
      <c r="G2525" s="45" t="s">
        <v>4010</v>
      </c>
    </row>
    <row r="2526">
      <c r="A2526" s="45" t="s">
        <v>111</v>
      </c>
      <c r="B2526" s="45" t="s">
        <v>3524</v>
      </c>
      <c r="C2526" s="45">
        <v>66.0</v>
      </c>
      <c r="D2526" s="45">
        <v>48071.0</v>
      </c>
      <c r="E2526" s="45" t="s">
        <v>3973</v>
      </c>
      <c r="F2526" s="45" t="s">
        <v>4010</v>
      </c>
      <c r="G2526" s="45" t="s">
        <v>4010</v>
      </c>
    </row>
    <row r="2527">
      <c r="A2527" s="45" t="s">
        <v>112</v>
      </c>
      <c r="B2527" s="45" t="s">
        <v>3524</v>
      </c>
      <c r="C2527" s="45">
        <v>63.0</v>
      </c>
      <c r="D2527" s="45">
        <v>48073.0</v>
      </c>
      <c r="E2527" s="45" t="s">
        <v>4002</v>
      </c>
      <c r="F2527" s="45" t="s">
        <v>4010</v>
      </c>
      <c r="G2527" s="45" t="s">
        <v>4010</v>
      </c>
    </row>
    <row r="2528">
      <c r="A2528" s="45" t="s">
        <v>1669</v>
      </c>
      <c r="B2528" s="45" t="s">
        <v>3524</v>
      </c>
      <c r="C2528" s="45">
        <v>60.0</v>
      </c>
      <c r="D2528" s="45">
        <v>48075.0</v>
      </c>
      <c r="E2528" s="45" t="s">
        <v>4002</v>
      </c>
      <c r="F2528" s="45" t="s">
        <v>4010</v>
      </c>
      <c r="G2528" s="45" t="s">
        <v>4010</v>
      </c>
    </row>
    <row r="2529">
      <c r="A2529" s="45" t="s">
        <v>116</v>
      </c>
      <c r="B2529" s="45" t="s">
        <v>3524</v>
      </c>
      <c r="C2529" s="45">
        <v>63.0</v>
      </c>
      <c r="D2529" s="45">
        <v>48077.0</v>
      </c>
      <c r="E2529" s="45" t="s">
        <v>4002</v>
      </c>
      <c r="F2529" s="45" t="s">
        <v>4010</v>
      </c>
      <c r="G2529" s="45" t="s">
        <v>4010</v>
      </c>
    </row>
    <row r="2530">
      <c r="A2530" s="45" t="s">
        <v>1670</v>
      </c>
      <c r="B2530" s="45" t="s">
        <v>3524</v>
      </c>
      <c r="C2530" s="45">
        <v>48.0</v>
      </c>
      <c r="D2530" s="45">
        <v>48079.0</v>
      </c>
      <c r="E2530" s="45" t="s">
        <v>3977</v>
      </c>
      <c r="F2530" s="45" t="s">
        <v>3976</v>
      </c>
      <c r="G2530" s="45" t="s">
        <v>4010</v>
      </c>
    </row>
    <row r="2531">
      <c r="A2531" s="45" t="s">
        <v>1671</v>
      </c>
      <c r="B2531" s="45" t="s">
        <v>3524</v>
      </c>
      <c r="C2531" s="45">
        <v>61.0</v>
      </c>
      <c r="D2531" s="45">
        <v>48081.0</v>
      </c>
      <c r="E2531" s="45" t="s">
        <v>4002</v>
      </c>
      <c r="F2531" s="45" t="s">
        <v>4010</v>
      </c>
      <c r="G2531" s="45" t="s">
        <v>4010</v>
      </c>
    </row>
    <row r="2532">
      <c r="A2532" s="45" t="s">
        <v>1672</v>
      </c>
      <c r="B2532" s="45" t="s">
        <v>3524</v>
      </c>
      <c r="C2532" s="45">
        <v>61.0</v>
      </c>
      <c r="D2532" s="45">
        <v>48083.0</v>
      </c>
      <c r="E2532" s="45" t="s">
        <v>4002</v>
      </c>
      <c r="F2532" s="45" t="s">
        <v>4010</v>
      </c>
      <c r="G2532" s="45" t="s">
        <v>4010</v>
      </c>
    </row>
    <row r="2533">
      <c r="A2533" s="45" t="s">
        <v>1673</v>
      </c>
      <c r="B2533" s="45" t="s">
        <v>3524</v>
      </c>
      <c r="C2533" s="45">
        <v>63.0</v>
      </c>
      <c r="D2533" s="45">
        <v>48085.0</v>
      </c>
      <c r="E2533" s="45" t="s">
        <v>4002</v>
      </c>
      <c r="F2533" s="45" t="s">
        <v>4010</v>
      </c>
      <c r="G2533" s="45" t="s">
        <v>4010</v>
      </c>
    </row>
    <row r="2534">
      <c r="A2534" s="45" t="s">
        <v>1674</v>
      </c>
      <c r="B2534" s="45" t="s">
        <v>3524</v>
      </c>
      <c r="C2534" s="45">
        <v>48.0</v>
      </c>
      <c r="D2534" s="45">
        <v>48087.0</v>
      </c>
      <c r="E2534" s="45" t="s">
        <v>3977</v>
      </c>
      <c r="F2534" s="45" t="s">
        <v>4010</v>
      </c>
      <c r="G2534" s="45" t="s">
        <v>4010</v>
      </c>
    </row>
    <row r="2535">
      <c r="A2535" s="45" t="s">
        <v>339</v>
      </c>
      <c r="B2535" s="45" t="s">
        <v>3524</v>
      </c>
      <c r="C2535" s="45">
        <v>64.0</v>
      </c>
      <c r="D2535" s="45">
        <v>48089.0</v>
      </c>
      <c r="E2535" s="45" t="s">
        <v>4002</v>
      </c>
      <c r="F2535" s="45" t="s">
        <v>4010</v>
      </c>
      <c r="G2535" s="45" t="s">
        <v>4010</v>
      </c>
    </row>
    <row r="2536">
      <c r="A2536" s="45" t="s">
        <v>1675</v>
      </c>
      <c r="B2536" s="45" t="s">
        <v>3524</v>
      </c>
      <c r="C2536" s="45">
        <v>64.0</v>
      </c>
      <c r="D2536" s="45">
        <v>48091.0</v>
      </c>
      <c r="E2536" s="45" t="s">
        <v>4002</v>
      </c>
      <c r="F2536" s="45" t="s">
        <v>4010</v>
      </c>
      <c r="G2536" s="45" t="s">
        <v>4010</v>
      </c>
    </row>
    <row r="2537">
      <c r="A2537" s="45" t="s">
        <v>760</v>
      </c>
      <c r="B2537" s="45" t="s">
        <v>3524</v>
      </c>
      <c r="C2537" s="45">
        <v>63.0</v>
      </c>
      <c r="D2537" s="45">
        <v>48093.0</v>
      </c>
      <c r="E2537" s="45" t="s">
        <v>4002</v>
      </c>
      <c r="F2537" s="45" t="s">
        <v>4010</v>
      </c>
      <c r="G2537" s="45" t="s">
        <v>4010</v>
      </c>
    </row>
    <row r="2538">
      <c r="A2538" s="45" t="s">
        <v>1676</v>
      </c>
      <c r="B2538" s="45" t="s">
        <v>3524</v>
      </c>
      <c r="C2538" s="45">
        <v>61.0</v>
      </c>
      <c r="D2538" s="45">
        <v>48095.0</v>
      </c>
      <c r="E2538" s="45" t="s">
        <v>4002</v>
      </c>
      <c r="F2538" s="45" t="s">
        <v>4010</v>
      </c>
      <c r="G2538" s="45" t="s">
        <v>4010</v>
      </c>
    </row>
    <row r="2539">
      <c r="A2539" s="45" t="s">
        <v>1677</v>
      </c>
      <c r="B2539" s="45" t="s">
        <v>3524</v>
      </c>
      <c r="C2539" s="45">
        <v>63.0</v>
      </c>
      <c r="D2539" s="45">
        <v>48097.0</v>
      </c>
      <c r="E2539" s="45" t="s">
        <v>4002</v>
      </c>
      <c r="F2539" s="45" t="s">
        <v>4010</v>
      </c>
      <c r="G2539" s="45" t="s">
        <v>4010</v>
      </c>
    </row>
    <row r="2540">
      <c r="A2540" s="45" t="s">
        <v>1678</v>
      </c>
      <c r="B2540" s="45" t="s">
        <v>3524</v>
      </c>
      <c r="C2540" s="45">
        <v>63.0</v>
      </c>
      <c r="D2540" s="45">
        <v>48099.0</v>
      </c>
      <c r="E2540" s="45" t="s">
        <v>4002</v>
      </c>
      <c r="F2540" s="45" t="s">
        <v>4010</v>
      </c>
      <c r="G2540" s="45" t="s">
        <v>4010</v>
      </c>
    </row>
    <row r="2541">
      <c r="A2541" s="45" t="s">
        <v>1679</v>
      </c>
      <c r="B2541" s="45" t="s">
        <v>3524</v>
      </c>
      <c r="C2541" s="45">
        <v>60.0</v>
      </c>
      <c r="D2541" s="45">
        <v>48101.0</v>
      </c>
      <c r="E2541" s="45" t="s">
        <v>4002</v>
      </c>
      <c r="F2541" s="45" t="s">
        <v>4010</v>
      </c>
      <c r="G2541" s="45" t="s">
        <v>4010</v>
      </c>
    </row>
    <row r="2542">
      <c r="A2542" s="45" t="s">
        <v>1680</v>
      </c>
      <c r="B2542" s="45" t="s">
        <v>3524</v>
      </c>
      <c r="C2542" s="45">
        <v>62.0</v>
      </c>
      <c r="D2542" s="45">
        <v>48103.0</v>
      </c>
      <c r="E2542" s="45" t="s">
        <v>4002</v>
      </c>
      <c r="F2542" s="45" t="s">
        <v>4010</v>
      </c>
      <c r="G2542" s="45" t="s">
        <v>4010</v>
      </c>
    </row>
    <row r="2543">
      <c r="A2543" s="45" t="s">
        <v>1621</v>
      </c>
      <c r="B2543" s="45" t="s">
        <v>3524</v>
      </c>
      <c r="C2543" s="45">
        <v>61.0</v>
      </c>
      <c r="D2543" s="45">
        <v>48105.0</v>
      </c>
      <c r="E2543" s="45" t="s">
        <v>4002</v>
      </c>
      <c r="F2543" s="45" t="s">
        <v>4010</v>
      </c>
      <c r="G2543" s="45" t="s">
        <v>4010</v>
      </c>
    </row>
    <row r="2544">
      <c r="A2544" s="45" t="s">
        <v>1681</v>
      </c>
      <c r="B2544" s="45" t="s">
        <v>3524</v>
      </c>
      <c r="C2544" s="45">
        <v>60.0</v>
      </c>
      <c r="D2544" s="45">
        <v>48107.0</v>
      </c>
      <c r="E2544" s="45" t="s">
        <v>3977</v>
      </c>
      <c r="F2544" s="45" t="s">
        <v>3976</v>
      </c>
      <c r="G2544" s="45" t="s">
        <v>4010</v>
      </c>
    </row>
    <row r="2545">
      <c r="A2545" s="45" t="s">
        <v>1682</v>
      </c>
      <c r="B2545" s="45" t="s">
        <v>3524</v>
      </c>
      <c r="C2545" s="45">
        <v>61.0</v>
      </c>
      <c r="D2545" s="45">
        <v>48109.0</v>
      </c>
      <c r="E2545" s="45" t="s">
        <v>4002</v>
      </c>
      <c r="F2545" s="45" t="s">
        <v>4010</v>
      </c>
      <c r="G2545" s="45" t="s">
        <v>4010</v>
      </c>
    </row>
    <row r="2546">
      <c r="A2546" s="45" t="s">
        <v>1683</v>
      </c>
      <c r="B2546" s="45" t="s">
        <v>3524</v>
      </c>
      <c r="C2546" s="45">
        <v>48.0</v>
      </c>
      <c r="D2546" s="45">
        <v>48111.0</v>
      </c>
      <c r="E2546" s="45" t="s">
        <v>3977</v>
      </c>
      <c r="F2546" s="45" t="s">
        <v>3976</v>
      </c>
      <c r="G2546" s="45" t="s">
        <v>4010</v>
      </c>
    </row>
    <row r="2547">
      <c r="A2547" s="45" t="s">
        <v>126</v>
      </c>
      <c r="B2547" s="45" t="s">
        <v>3524</v>
      </c>
      <c r="C2547" s="45">
        <v>63.0</v>
      </c>
      <c r="D2547" s="45">
        <v>48113.0</v>
      </c>
      <c r="E2547" s="45" t="s">
        <v>4002</v>
      </c>
      <c r="F2547" s="45" t="s">
        <v>4010</v>
      </c>
      <c r="G2547" s="45" t="s">
        <v>4010</v>
      </c>
    </row>
    <row r="2548">
      <c r="A2548" s="45" t="s">
        <v>491</v>
      </c>
      <c r="B2548" s="45" t="s">
        <v>3524</v>
      </c>
      <c r="C2548" s="45">
        <v>60.0</v>
      </c>
      <c r="D2548" s="45">
        <v>48115.0</v>
      </c>
      <c r="E2548" s="45" t="s">
        <v>4002</v>
      </c>
      <c r="F2548" s="45" t="s">
        <v>4010</v>
      </c>
      <c r="G2548" s="45" t="s">
        <v>4010</v>
      </c>
    </row>
    <row r="2549">
      <c r="A2549" s="45" t="s">
        <v>1684</v>
      </c>
      <c r="B2549" s="45" t="s">
        <v>3524</v>
      </c>
      <c r="C2549" s="45">
        <v>48.0</v>
      </c>
      <c r="D2549" s="45">
        <v>48117.0</v>
      </c>
      <c r="E2549" s="45" t="s">
        <v>3977</v>
      </c>
      <c r="F2549" s="45" t="s">
        <v>3976</v>
      </c>
      <c r="G2549" s="45" t="s">
        <v>4010</v>
      </c>
    </row>
    <row r="2550">
      <c r="A2550" s="45" t="s">
        <v>354</v>
      </c>
      <c r="B2550" s="45" t="s">
        <v>3524</v>
      </c>
      <c r="C2550" s="45">
        <v>63.0</v>
      </c>
      <c r="D2550" s="45">
        <v>48119.0</v>
      </c>
      <c r="E2550" s="45" t="s">
        <v>3977</v>
      </c>
      <c r="F2550" s="45" t="s">
        <v>4010</v>
      </c>
      <c r="G2550" s="45" t="s">
        <v>4010</v>
      </c>
    </row>
    <row r="2551">
      <c r="A2551" s="45" t="s">
        <v>1685</v>
      </c>
      <c r="B2551" s="45" t="s">
        <v>3524</v>
      </c>
      <c r="C2551" s="45">
        <v>63.0</v>
      </c>
      <c r="D2551" s="45">
        <v>48121.0</v>
      </c>
      <c r="E2551" s="45" t="s">
        <v>4002</v>
      </c>
      <c r="F2551" s="45" t="s">
        <v>4010</v>
      </c>
      <c r="G2551" s="45" t="s">
        <v>4010</v>
      </c>
    </row>
    <row r="2552">
      <c r="A2552" s="45" t="s">
        <v>1686</v>
      </c>
      <c r="B2552" s="45" t="s">
        <v>3524</v>
      </c>
      <c r="C2552" s="45">
        <v>64.0</v>
      </c>
      <c r="D2552" s="45">
        <v>48123.0</v>
      </c>
      <c r="E2552" s="45" t="s">
        <v>4002</v>
      </c>
      <c r="F2552" s="45" t="s">
        <v>4010</v>
      </c>
      <c r="G2552" s="45" t="s">
        <v>4010</v>
      </c>
    </row>
    <row r="2553">
      <c r="A2553" s="45" t="s">
        <v>1687</v>
      </c>
      <c r="B2553" s="45" t="s">
        <v>3524</v>
      </c>
      <c r="C2553" s="45">
        <v>60.0</v>
      </c>
      <c r="D2553" s="45">
        <v>48125.0</v>
      </c>
      <c r="E2553" s="45" t="s">
        <v>4002</v>
      </c>
      <c r="F2553" s="45" t="s">
        <v>4010</v>
      </c>
      <c r="G2553" s="45" t="s">
        <v>4010</v>
      </c>
    </row>
    <row r="2554">
      <c r="A2554" s="45" t="s">
        <v>1688</v>
      </c>
      <c r="B2554" s="45" t="s">
        <v>3524</v>
      </c>
      <c r="C2554" s="45">
        <v>65.0</v>
      </c>
      <c r="D2554" s="45">
        <v>48127.0</v>
      </c>
      <c r="E2554" s="45" t="s">
        <v>4002</v>
      </c>
      <c r="F2554" s="45" t="s">
        <v>4010</v>
      </c>
      <c r="G2554" s="45" t="s">
        <v>4010</v>
      </c>
    </row>
    <row r="2555">
      <c r="A2555" s="45" t="s">
        <v>1689</v>
      </c>
      <c r="B2555" s="45" t="s">
        <v>3524</v>
      </c>
      <c r="C2555" s="45">
        <v>48.0</v>
      </c>
      <c r="D2555" s="45">
        <v>48129.0</v>
      </c>
      <c r="E2555" s="45" t="s">
        <v>4002</v>
      </c>
      <c r="F2555" s="45" t="s">
        <v>4010</v>
      </c>
      <c r="G2555" s="45" t="s">
        <v>4010</v>
      </c>
    </row>
    <row r="2556">
      <c r="A2556" s="45" t="s">
        <v>422</v>
      </c>
      <c r="B2556" s="45" t="s">
        <v>3524</v>
      </c>
      <c r="C2556" s="45">
        <v>65.0</v>
      </c>
      <c r="D2556" s="45">
        <v>48131.0</v>
      </c>
      <c r="E2556" s="45" t="s">
        <v>4002</v>
      </c>
      <c r="F2556" s="45" t="s">
        <v>4010</v>
      </c>
      <c r="G2556" s="45" t="s">
        <v>4010</v>
      </c>
    </row>
    <row r="2557">
      <c r="A2557" s="45" t="s">
        <v>1690</v>
      </c>
      <c r="B2557" s="45" t="s">
        <v>3524</v>
      </c>
      <c r="C2557" s="45">
        <v>63.0</v>
      </c>
      <c r="D2557" s="45">
        <v>48133.0</v>
      </c>
      <c r="E2557" s="45" t="s">
        <v>4002</v>
      </c>
      <c r="F2557" s="45" t="s">
        <v>4010</v>
      </c>
      <c r="G2557" s="45" t="s">
        <v>4010</v>
      </c>
    </row>
    <row r="2558">
      <c r="A2558" s="45" t="s">
        <v>1691</v>
      </c>
      <c r="B2558" s="45" t="s">
        <v>3524</v>
      </c>
      <c r="C2558" s="45">
        <v>62.0</v>
      </c>
      <c r="D2558" s="45">
        <v>48135.0</v>
      </c>
      <c r="E2558" s="45" t="s">
        <v>4002</v>
      </c>
      <c r="F2558" s="45" t="s">
        <v>4010</v>
      </c>
      <c r="G2558" s="45" t="s">
        <v>4010</v>
      </c>
    </row>
    <row r="2559">
      <c r="A2559" s="45" t="s">
        <v>622</v>
      </c>
      <c r="B2559" s="45" t="s">
        <v>3524</v>
      </c>
      <c r="C2559" s="45">
        <v>64.0</v>
      </c>
      <c r="D2559" s="45">
        <v>48137.0</v>
      </c>
      <c r="E2559" s="45" t="s">
        <v>4002</v>
      </c>
      <c r="F2559" s="45" t="s">
        <v>4010</v>
      </c>
      <c r="G2559" s="45" t="s">
        <v>4010</v>
      </c>
    </row>
    <row r="2560">
      <c r="A2560" s="45" t="s">
        <v>764</v>
      </c>
      <c r="B2560" s="45" t="s">
        <v>3524</v>
      </c>
      <c r="C2560" s="45">
        <v>63.0</v>
      </c>
      <c r="D2560" s="45">
        <v>48139.0</v>
      </c>
      <c r="E2560" s="45" t="s">
        <v>4002</v>
      </c>
      <c r="F2560" s="45" t="s">
        <v>4010</v>
      </c>
      <c r="G2560" s="45" t="s">
        <v>4010</v>
      </c>
    </row>
    <row r="2561">
      <c r="A2561" s="45" t="s">
        <v>360</v>
      </c>
      <c r="B2561" s="45" t="s">
        <v>3524</v>
      </c>
      <c r="C2561" s="45">
        <v>59.0</v>
      </c>
      <c r="D2561" s="45">
        <v>48141.0</v>
      </c>
      <c r="E2561" s="45" t="s">
        <v>3971</v>
      </c>
      <c r="F2561" s="45" t="s">
        <v>3972</v>
      </c>
      <c r="G2561" s="45" t="s">
        <v>4010</v>
      </c>
    </row>
    <row r="2562">
      <c r="A2562" s="45" t="s">
        <v>1692</v>
      </c>
      <c r="B2562" s="45" t="s">
        <v>3524</v>
      </c>
      <c r="C2562" s="45">
        <v>63.0</v>
      </c>
      <c r="D2562" s="45">
        <v>48143.0</v>
      </c>
      <c r="E2562" s="45" t="s">
        <v>4002</v>
      </c>
      <c r="F2562" s="45" t="s">
        <v>4010</v>
      </c>
      <c r="G2562" s="45" t="s">
        <v>4010</v>
      </c>
    </row>
    <row r="2563">
      <c r="A2563" s="45" t="s">
        <v>1693</v>
      </c>
      <c r="B2563" s="45" t="s">
        <v>3524</v>
      </c>
      <c r="C2563" s="45">
        <v>63.0</v>
      </c>
      <c r="D2563" s="45">
        <v>48145.0</v>
      </c>
      <c r="E2563" s="45" t="s">
        <v>4002</v>
      </c>
      <c r="F2563" s="45" t="s">
        <v>4010</v>
      </c>
      <c r="G2563" s="45" t="s">
        <v>4010</v>
      </c>
    </row>
    <row r="2564">
      <c r="A2564" s="45" t="s">
        <v>501</v>
      </c>
      <c r="B2564" s="45" t="s">
        <v>3524</v>
      </c>
      <c r="C2564" s="45">
        <v>63.0</v>
      </c>
      <c r="D2564" s="45">
        <v>48147.0</v>
      </c>
      <c r="E2564" s="45" t="s">
        <v>4002</v>
      </c>
      <c r="F2564" s="45" t="s">
        <v>4010</v>
      </c>
      <c r="G2564" s="45" t="s">
        <v>4010</v>
      </c>
    </row>
    <row r="2565">
      <c r="A2565" s="45" t="s">
        <v>131</v>
      </c>
      <c r="B2565" s="45" t="s">
        <v>3524</v>
      </c>
      <c r="C2565" s="45">
        <v>64.0</v>
      </c>
      <c r="D2565" s="45">
        <v>48149.0</v>
      </c>
      <c r="E2565" s="45" t="s">
        <v>4002</v>
      </c>
      <c r="F2565" s="45" t="s">
        <v>4010</v>
      </c>
      <c r="G2565" s="45" t="s">
        <v>4010</v>
      </c>
    </row>
    <row r="2566">
      <c r="A2566" s="45" t="s">
        <v>1694</v>
      </c>
      <c r="B2566" s="45" t="s">
        <v>3524</v>
      </c>
      <c r="C2566" s="45">
        <v>60.0</v>
      </c>
      <c r="D2566" s="45">
        <v>48151.0</v>
      </c>
      <c r="E2566" s="45" t="s">
        <v>4002</v>
      </c>
      <c r="F2566" s="45" t="s">
        <v>4010</v>
      </c>
      <c r="G2566" s="45" t="s">
        <v>4010</v>
      </c>
    </row>
    <row r="2567">
      <c r="A2567" s="45" t="s">
        <v>502</v>
      </c>
      <c r="B2567" s="45" t="s">
        <v>3524</v>
      </c>
      <c r="C2567" s="45">
        <v>48.0</v>
      </c>
      <c r="D2567" s="45">
        <v>48153.0</v>
      </c>
      <c r="E2567" s="45" t="s">
        <v>3977</v>
      </c>
      <c r="F2567" s="45" t="s">
        <v>3976</v>
      </c>
      <c r="G2567" s="45" t="s">
        <v>4010</v>
      </c>
    </row>
    <row r="2568">
      <c r="A2568" s="45" t="s">
        <v>1695</v>
      </c>
      <c r="B2568" s="45" t="s">
        <v>3524</v>
      </c>
      <c r="C2568" s="45">
        <v>60.0</v>
      </c>
      <c r="D2568" s="45">
        <v>48155.0</v>
      </c>
      <c r="E2568" s="45" t="s">
        <v>4002</v>
      </c>
      <c r="F2568" s="45" t="s">
        <v>4010</v>
      </c>
      <c r="G2568" s="45" t="s">
        <v>4010</v>
      </c>
    </row>
    <row r="2569">
      <c r="A2569" s="45" t="s">
        <v>1696</v>
      </c>
      <c r="B2569" s="45" t="s">
        <v>3524</v>
      </c>
      <c r="C2569" s="45">
        <v>67.0</v>
      </c>
      <c r="D2569" s="45">
        <v>48157.0</v>
      </c>
      <c r="E2569" s="45" t="s">
        <v>4002</v>
      </c>
      <c r="F2569" s="45" t="s">
        <v>4010</v>
      </c>
      <c r="G2569" s="45" t="s">
        <v>4010</v>
      </c>
    </row>
    <row r="2570">
      <c r="A2570" s="45" t="s">
        <v>132</v>
      </c>
      <c r="B2570" s="45" t="s">
        <v>3524</v>
      </c>
      <c r="C2570" s="45">
        <v>63.0</v>
      </c>
      <c r="D2570" s="45">
        <v>48159.0</v>
      </c>
      <c r="E2570" s="45" t="s">
        <v>3977</v>
      </c>
      <c r="F2570" s="45" t="s">
        <v>3976</v>
      </c>
      <c r="G2570" s="45" t="s">
        <v>4010</v>
      </c>
    </row>
    <row r="2571">
      <c r="A2571" s="45" t="s">
        <v>1697</v>
      </c>
      <c r="B2571" s="45" t="s">
        <v>3524</v>
      </c>
      <c r="C2571" s="45">
        <v>63.0</v>
      </c>
      <c r="D2571" s="45">
        <v>48161.0</v>
      </c>
      <c r="E2571" s="45" t="s">
        <v>4002</v>
      </c>
      <c r="F2571" s="45" t="s">
        <v>4010</v>
      </c>
      <c r="G2571" s="45" t="s">
        <v>4010</v>
      </c>
    </row>
    <row r="2572">
      <c r="A2572" s="45" t="s">
        <v>1698</v>
      </c>
      <c r="B2572" s="45" t="s">
        <v>3524</v>
      </c>
      <c r="C2572" s="45">
        <v>65.0</v>
      </c>
      <c r="D2572" s="45">
        <v>48163.0</v>
      </c>
      <c r="E2572" s="45" t="s">
        <v>4002</v>
      </c>
      <c r="F2572" s="45" t="s">
        <v>4010</v>
      </c>
      <c r="G2572" s="45" t="s">
        <v>4010</v>
      </c>
    </row>
    <row r="2573">
      <c r="A2573" s="45" t="s">
        <v>1699</v>
      </c>
      <c r="B2573" s="45" t="s">
        <v>3524</v>
      </c>
      <c r="C2573" s="45">
        <v>48.0</v>
      </c>
      <c r="D2573" s="45">
        <v>48165.0</v>
      </c>
      <c r="E2573" s="45" t="s">
        <v>3977</v>
      </c>
      <c r="F2573" s="45" t="s">
        <v>3976</v>
      </c>
      <c r="G2573" s="45" t="s">
        <v>4010</v>
      </c>
    </row>
    <row r="2574">
      <c r="A2574" s="45" t="s">
        <v>1700</v>
      </c>
      <c r="B2574" s="45" t="s">
        <v>3524</v>
      </c>
      <c r="C2574" s="45">
        <v>67.0</v>
      </c>
      <c r="D2574" s="45">
        <v>48167.0</v>
      </c>
      <c r="E2574" s="45" t="s">
        <v>4002</v>
      </c>
      <c r="F2574" s="45" t="s">
        <v>4010</v>
      </c>
      <c r="G2574" s="45" t="s">
        <v>4010</v>
      </c>
    </row>
    <row r="2575">
      <c r="A2575" s="45" t="s">
        <v>1701</v>
      </c>
      <c r="B2575" s="45" t="s">
        <v>3524</v>
      </c>
      <c r="C2575" s="45">
        <v>48.0</v>
      </c>
      <c r="D2575" s="45">
        <v>48169.0</v>
      </c>
      <c r="E2575" s="45" t="s">
        <v>4002</v>
      </c>
      <c r="F2575" s="45" t="s">
        <v>4010</v>
      </c>
      <c r="G2575" s="45" t="s">
        <v>4010</v>
      </c>
    </row>
    <row r="2576">
      <c r="A2576" s="45" t="s">
        <v>1702</v>
      </c>
      <c r="B2576" s="45" t="s">
        <v>3524</v>
      </c>
      <c r="C2576" s="45">
        <v>64.0</v>
      </c>
      <c r="D2576" s="45">
        <v>48171.0</v>
      </c>
      <c r="E2576" s="45" t="s">
        <v>4002</v>
      </c>
      <c r="F2576" s="45" t="s">
        <v>4010</v>
      </c>
      <c r="G2576" s="45" t="s">
        <v>4010</v>
      </c>
    </row>
    <row r="2577">
      <c r="A2577" s="45" t="s">
        <v>1703</v>
      </c>
      <c r="B2577" s="45" t="s">
        <v>3524</v>
      </c>
      <c r="C2577" s="45">
        <v>62.0</v>
      </c>
      <c r="D2577" s="45">
        <v>48173.0</v>
      </c>
      <c r="E2577" s="45" t="s">
        <v>4002</v>
      </c>
      <c r="F2577" s="45" t="s">
        <v>4010</v>
      </c>
      <c r="G2577" s="45" t="s">
        <v>4010</v>
      </c>
    </row>
    <row r="2578">
      <c r="A2578" s="45" t="s">
        <v>1704</v>
      </c>
      <c r="B2578" s="45" t="s">
        <v>3524</v>
      </c>
      <c r="C2578" s="45">
        <v>65.0</v>
      </c>
      <c r="D2578" s="45">
        <v>48175.0</v>
      </c>
      <c r="E2578" s="45" t="s">
        <v>4002</v>
      </c>
      <c r="F2578" s="45" t="s">
        <v>4010</v>
      </c>
      <c r="G2578" s="45" t="s">
        <v>4010</v>
      </c>
    </row>
    <row r="2579">
      <c r="A2579" s="45" t="s">
        <v>1705</v>
      </c>
      <c r="B2579" s="45" t="s">
        <v>3524</v>
      </c>
      <c r="C2579" s="45">
        <v>64.0</v>
      </c>
      <c r="D2579" s="45">
        <v>48177.0</v>
      </c>
      <c r="E2579" s="45" t="s">
        <v>4002</v>
      </c>
      <c r="F2579" s="45" t="s">
        <v>4010</v>
      </c>
      <c r="G2579" s="45" t="s">
        <v>4010</v>
      </c>
    </row>
    <row r="2580">
      <c r="A2580" s="45" t="s">
        <v>769</v>
      </c>
      <c r="B2580" s="45" t="s">
        <v>3524</v>
      </c>
      <c r="C2580" s="45">
        <v>48.0</v>
      </c>
      <c r="D2580" s="45">
        <v>48179.0</v>
      </c>
      <c r="E2580" s="45" t="s">
        <v>3977</v>
      </c>
      <c r="F2580" s="45" t="s">
        <v>3976</v>
      </c>
      <c r="G2580" s="45" t="s">
        <v>4010</v>
      </c>
    </row>
    <row r="2581">
      <c r="A2581" s="45" t="s">
        <v>841</v>
      </c>
      <c r="B2581" s="45" t="s">
        <v>3524</v>
      </c>
      <c r="C2581" s="45">
        <v>63.0</v>
      </c>
      <c r="D2581" s="45">
        <v>48181.0</v>
      </c>
      <c r="E2581" s="45" t="s">
        <v>4002</v>
      </c>
      <c r="F2581" s="45" t="s">
        <v>4010</v>
      </c>
      <c r="G2581" s="45" t="s">
        <v>4010</v>
      </c>
    </row>
    <row r="2582">
      <c r="A2582" s="45" t="s">
        <v>1706</v>
      </c>
      <c r="B2582" s="45" t="s">
        <v>3524</v>
      </c>
      <c r="C2582" s="45">
        <v>57.0</v>
      </c>
      <c r="D2582" s="45">
        <v>48183.0</v>
      </c>
      <c r="E2582" s="45" t="s">
        <v>3977</v>
      </c>
      <c r="F2582" s="45" t="s">
        <v>3976</v>
      </c>
      <c r="G2582" s="45" t="s">
        <v>4010</v>
      </c>
    </row>
    <row r="2583">
      <c r="A2583" s="45" t="s">
        <v>1707</v>
      </c>
      <c r="B2583" s="45" t="s">
        <v>3524</v>
      </c>
      <c r="C2583" s="45">
        <v>64.0</v>
      </c>
      <c r="D2583" s="45">
        <v>48185.0</v>
      </c>
      <c r="E2583" s="45" t="s">
        <v>4002</v>
      </c>
      <c r="F2583" s="45" t="s">
        <v>3974</v>
      </c>
      <c r="G2583" s="45" t="s">
        <v>4010</v>
      </c>
    </row>
    <row r="2584">
      <c r="A2584" s="45" t="s">
        <v>1279</v>
      </c>
      <c r="B2584" s="45" t="s">
        <v>3524</v>
      </c>
      <c r="C2584" s="45">
        <v>64.0</v>
      </c>
      <c r="D2584" s="45">
        <v>48187.0</v>
      </c>
      <c r="E2584" s="45" t="s">
        <v>4002</v>
      </c>
      <c r="F2584" s="45" t="s">
        <v>4010</v>
      </c>
      <c r="G2584" s="45" t="s">
        <v>4010</v>
      </c>
    </row>
    <row r="2585">
      <c r="A2585" s="45" t="s">
        <v>135</v>
      </c>
      <c r="B2585" s="45" t="s">
        <v>3524</v>
      </c>
      <c r="C2585" s="45">
        <v>48.0</v>
      </c>
      <c r="D2585" s="45">
        <v>48189.0</v>
      </c>
      <c r="E2585" s="45" t="s">
        <v>3977</v>
      </c>
      <c r="F2585" s="45" t="s">
        <v>3976</v>
      </c>
      <c r="G2585" s="45" t="s">
        <v>4010</v>
      </c>
    </row>
    <row r="2586">
      <c r="A2586" s="45" t="s">
        <v>511</v>
      </c>
      <c r="B2586" s="45" t="s">
        <v>3524</v>
      </c>
      <c r="C2586" s="45">
        <v>60.0</v>
      </c>
      <c r="D2586" s="45">
        <v>48191.0</v>
      </c>
      <c r="E2586" s="45" t="s">
        <v>4002</v>
      </c>
      <c r="F2586" s="45" t="s">
        <v>4010</v>
      </c>
      <c r="G2586" s="45" t="s">
        <v>4010</v>
      </c>
    </row>
    <row r="2587">
      <c r="A2587" s="45" t="s">
        <v>428</v>
      </c>
      <c r="B2587" s="45" t="s">
        <v>3524</v>
      </c>
      <c r="C2587" s="45">
        <v>63.0</v>
      </c>
      <c r="D2587" s="45">
        <v>48193.0</v>
      </c>
      <c r="E2587" s="45" t="s">
        <v>4002</v>
      </c>
      <c r="F2587" s="45" t="s">
        <v>4010</v>
      </c>
      <c r="G2587" s="45" t="s">
        <v>4010</v>
      </c>
    </row>
    <row r="2588">
      <c r="A2588" s="45" t="s">
        <v>1708</v>
      </c>
      <c r="B2588" s="45" t="s">
        <v>3524</v>
      </c>
      <c r="C2588" s="45">
        <v>48.0</v>
      </c>
      <c r="D2588" s="45">
        <v>48195.0</v>
      </c>
      <c r="E2588" s="45" t="s">
        <v>3977</v>
      </c>
      <c r="F2588" s="45" t="s">
        <v>3976</v>
      </c>
      <c r="G2588" s="45" t="s">
        <v>4010</v>
      </c>
    </row>
    <row r="2589">
      <c r="A2589" s="45" t="s">
        <v>1628</v>
      </c>
      <c r="B2589" s="45" t="s">
        <v>3524</v>
      </c>
      <c r="C2589" s="45">
        <v>60.0</v>
      </c>
      <c r="D2589" s="45">
        <v>48197.0</v>
      </c>
      <c r="E2589" s="45" t="s">
        <v>4002</v>
      </c>
      <c r="F2589" s="45" t="s">
        <v>4010</v>
      </c>
      <c r="G2589" s="45" t="s">
        <v>4010</v>
      </c>
    </row>
    <row r="2590">
      <c r="A2590" s="45" t="s">
        <v>626</v>
      </c>
      <c r="B2590" s="45" t="s">
        <v>3524</v>
      </c>
      <c r="C2590" s="45">
        <v>66.0</v>
      </c>
      <c r="D2590" s="45">
        <v>48199.0</v>
      </c>
      <c r="E2590" s="45" t="s">
        <v>3973</v>
      </c>
      <c r="F2590" s="45" t="s">
        <v>3974</v>
      </c>
      <c r="G2590" s="45" t="s">
        <v>4010</v>
      </c>
    </row>
    <row r="2591">
      <c r="A2591" s="45" t="s">
        <v>514</v>
      </c>
      <c r="B2591" s="45" t="s">
        <v>3524</v>
      </c>
      <c r="C2591" s="45">
        <v>67.0</v>
      </c>
      <c r="D2591" s="45">
        <v>48201.0</v>
      </c>
      <c r="E2591" s="45" t="s">
        <v>4002</v>
      </c>
      <c r="F2591" s="45" t="s">
        <v>4010</v>
      </c>
      <c r="G2591" s="45" t="s">
        <v>4010</v>
      </c>
    </row>
    <row r="2592">
      <c r="A2592" s="45" t="s">
        <v>673</v>
      </c>
      <c r="B2592" s="45" t="s">
        <v>3524</v>
      </c>
      <c r="C2592" s="45">
        <v>57.0</v>
      </c>
      <c r="D2592" s="45">
        <v>48203.0</v>
      </c>
      <c r="E2592" s="45" t="s">
        <v>3977</v>
      </c>
      <c r="F2592" s="45" t="s">
        <v>3976</v>
      </c>
      <c r="G2592" s="45" t="s">
        <v>4010</v>
      </c>
    </row>
    <row r="2593">
      <c r="A2593" s="45" t="s">
        <v>1709</v>
      </c>
      <c r="B2593" s="45" t="s">
        <v>3524</v>
      </c>
      <c r="C2593" s="45">
        <v>48.0</v>
      </c>
      <c r="D2593" s="45">
        <v>48205.0</v>
      </c>
      <c r="E2593" s="45" t="s">
        <v>3977</v>
      </c>
      <c r="F2593" s="45" t="s">
        <v>3976</v>
      </c>
      <c r="G2593" s="45" t="s">
        <v>4010</v>
      </c>
    </row>
    <row r="2594">
      <c r="A2594" s="45" t="s">
        <v>774</v>
      </c>
      <c r="B2594" s="45" t="s">
        <v>3524</v>
      </c>
      <c r="C2594" s="45">
        <v>60.0</v>
      </c>
      <c r="D2594" s="45">
        <v>48207.0</v>
      </c>
      <c r="E2594" s="45" t="s">
        <v>4002</v>
      </c>
      <c r="F2594" s="45" t="s">
        <v>4010</v>
      </c>
      <c r="G2594" s="45" t="s">
        <v>4010</v>
      </c>
    </row>
    <row r="2595">
      <c r="A2595" s="45" t="s">
        <v>1710</v>
      </c>
      <c r="B2595" s="45" t="s">
        <v>3524</v>
      </c>
      <c r="C2595" s="45">
        <v>64.0</v>
      </c>
      <c r="D2595" s="45">
        <v>48209.0</v>
      </c>
      <c r="E2595" s="45" t="s">
        <v>4002</v>
      </c>
      <c r="F2595" s="45" t="s">
        <v>4010</v>
      </c>
      <c r="G2595" s="45" t="s">
        <v>4010</v>
      </c>
    </row>
    <row r="2596">
      <c r="A2596" s="45" t="s">
        <v>1711</v>
      </c>
      <c r="B2596" s="45" t="s">
        <v>3524</v>
      </c>
      <c r="C2596" s="45">
        <v>48.0</v>
      </c>
      <c r="D2596" s="45">
        <v>48211.0</v>
      </c>
      <c r="E2596" s="45" t="s">
        <v>3977</v>
      </c>
      <c r="F2596" s="45" t="s">
        <v>3976</v>
      </c>
      <c r="G2596" s="45" t="s">
        <v>4010</v>
      </c>
    </row>
    <row r="2597">
      <c r="A2597" s="45" t="s">
        <v>627</v>
      </c>
      <c r="B2597" s="45" t="s">
        <v>3524</v>
      </c>
      <c r="C2597" s="45">
        <v>63.0</v>
      </c>
      <c r="D2597" s="45">
        <v>48213.0</v>
      </c>
      <c r="E2597" s="45" t="s">
        <v>4002</v>
      </c>
      <c r="F2597" s="45" t="s">
        <v>4010</v>
      </c>
      <c r="G2597" s="45" t="s">
        <v>4010</v>
      </c>
    </row>
    <row r="2598">
      <c r="A2598" s="45" t="s">
        <v>1281</v>
      </c>
      <c r="B2598" s="45" t="s">
        <v>3524</v>
      </c>
      <c r="C2598" s="45">
        <v>65.0</v>
      </c>
      <c r="D2598" s="45">
        <v>48215.0</v>
      </c>
      <c r="E2598" s="45" t="s">
        <v>4002</v>
      </c>
      <c r="F2598" s="45" t="s">
        <v>4010</v>
      </c>
      <c r="G2598" s="45" t="s">
        <v>4010</v>
      </c>
    </row>
    <row r="2599">
      <c r="A2599" s="45" t="s">
        <v>1176</v>
      </c>
      <c r="B2599" s="45" t="s">
        <v>3524</v>
      </c>
      <c r="C2599" s="45">
        <v>63.0</v>
      </c>
      <c r="D2599" s="45">
        <v>48217.0</v>
      </c>
      <c r="E2599" s="45" t="s">
        <v>4002</v>
      </c>
      <c r="F2599" s="45" t="s">
        <v>4010</v>
      </c>
      <c r="G2599" s="45" t="s">
        <v>4010</v>
      </c>
    </row>
    <row r="2600">
      <c r="A2600" s="45" t="s">
        <v>1712</v>
      </c>
      <c r="B2600" s="45" t="s">
        <v>3524</v>
      </c>
      <c r="C2600" s="45">
        <v>48.0</v>
      </c>
      <c r="D2600" s="45">
        <v>48219.0</v>
      </c>
      <c r="E2600" s="45" t="s">
        <v>3977</v>
      </c>
      <c r="F2600" s="45" t="s">
        <v>3976</v>
      </c>
      <c r="G2600" s="45" t="s">
        <v>4010</v>
      </c>
    </row>
    <row r="2601">
      <c r="A2601" s="45" t="s">
        <v>1713</v>
      </c>
      <c r="B2601" s="45" t="s">
        <v>3524</v>
      </c>
      <c r="C2601" s="45">
        <v>63.0</v>
      </c>
      <c r="D2601" s="45">
        <v>48221.0</v>
      </c>
      <c r="E2601" s="45" t="s">
        <v>4002</v>
      </c>
      <c r="F2601" s="45" t="s">
        <v>4010</v>
      </c>
      <c r="G2601" s="45" t="s">
        <v>4010</v>
      </c>
    </row>
    <row r="2602">
      <c r="A2602" s="45" t="s">
        <v>846</v>
      </c>
      <c r="B2602" s="45" t="s">
        <v>3524</v>
      </c>
      <c r="C2602" s="45">
        <v>63.0</v>
      </c>
      <c r="D2602" s="45">
        <v>48223.0</v>
      </c>
      <c r="E2602" s="45" t="s">
        <v>3977</v>
      </c>
      <c r="F2602" s="45" t="s">
        <v>4010</v>
      </c>
      <c r="G2602" s="45" t="s">
        <v>4010</v>
      </c>
    </row>
    <row r="2603">
      <c r="A2603" s="45" t="s">
        <v>137</v>
      </c>
      <c r="B2603" s="45" t="s">
        <v>3524</v>
      </c>
      <c r="C2603" s="45">
        <v>63.0</v>
      </c>
      <c r="D2603" s="45">
        <v>48225.0</v>
      </c>
      <c r="E2603" s="45" t="s">
        <v>4002</v>
      </c>
      <c r="F2603" s="45" t="s">
        <v>4010</v>
      </c>
      <c r="G2603" s="45" t="s">
        <v>4010</v>
      </c>
    </row>
    <row r="2604">
      <c r="A2604" s="45" t="s">
        <v>245</v>
      </c>
      <c r="B2604" s="45" t="s">
        <v>3524</v>
      </c>
      <c r="C2604" s="45">
        <v>60.0</v>
      </c>
      <c r="D2604" s="45">
        <v>48227.0</v>
      </c>
      <c r="E2604" s="45" t="s">
        <v>4002</v>
      </c>
      <c r="F2604" s="45" t="s">
        <v>4010</v>
      </c>
      <c r="G2604" s="45" t="s">
        <v>4010</v>
      </c>
    </row>
    <row r="2605">
      <c r="A2605" s="45" t="s">
        <v>1714</v>
      </c>
      <c r="B2605" s="45" t="s">
        <v>3524</v>
      </c>
      <c r="C2605" s="45">
        <v>61.0</v>
      </c>
      <c r="D2605" s="45">
        <v>48229.0</v>
      </c>
      <c r="E2605" s="45" t="s">
        <v>3971</v>
      </c>
      <c r="F2605" s="45" t="s">
        <v>3972</v>
      </c>
      <c r="G2605" s="45" t="s">
        <v>4010</v>
      </c>
    </row>
    <row r="2606">
      <c r="A2606" s="45" t="s">
        <v>1715</v>
      </c>
      <c r="B2606" s="45" t="s">
        <v>3524</v>
      </c>
      <c r="C2606" s="45">
        <v>63.0</v>
      </c>
      <c r="D2606" s="45">
        <v>48231.0</v>
      </c>
      <c r="E2606" s="45" t="s">
        <v>4002</v>
      </c>
      <c r="F2606" s="45" t="s">
        <v>4010</v>
      </c>
      <c r="G2606" s="45" t="s">
        <v>4010</v>
      </c>
    </row>
    <row r="2607">
      <c r="A2607" s="45" t="s">
        <v>1597</v>
      </c>
      <c r="B2607" s="45" t="s">
        <v>3524</v>
      </c>
      <c r="C2607" s="45">
        <v>48.0</v>
      </c>
      <c r="D2607" s="45">
        <v>48233.0</v>
      </c>
      <c r="E2607" s="45" t="s">
        <v>3977</v>
      </c>
      <c r="F2607" s="45" t="s">
        <v>3976</v>
      </c>
      <c r="G2607" s="45" t="s">
        <v>4010</v>
      </c>
    </row>
    <row r="2608">
      <c r="A2608" s="45" t="s">
        <v>1716</v>
      </c>
      <c r="B2608" s="45" t="s">
        <v>3524</v>
      </c>
      <c r="C2608" s="45">
        <v>61.0</v>
      </c>
      <c r="D2608" s="45">
        <v>48235.0</v>
      </c>
      <c r="E2608" s="45" t="s">
        <v>4002</v>
      </c>
      <c r="F2608" s="45" t="s">
        <v>4010</v>
      </c>
      <c r="G2608" s="45" t="s">
        <v>4010</v>
      </c>
    </row>
    <row r="2609">
      <c r="A2609" s="45" t="s">
        <v>1717</v>
      </c>
      <c r="B2609" s="45" t="s">
        <v>3524</v>
      </c>
      <c r="C2609" s="45">
        <v>63.0</v>
      </c>
      <c r="D2609" s="45">
        <v>48237.0</v>
      </c>
      <c r="E2609" s="45" t="s">
        <v>4002</v>
      </c>
      <c r="F2609" s="45" t="s">
        <v>4010</v>
      </c>
      <c r="G2609" s="45" t="s">
        <v>4010</v>
      </c>
    </row>
    <row r="2610">
      <c r="A2610" s="45" t="s">
        <v>138</v>
      </c>
      <c r="B2610" s="45" t="s">
        <v>3524</v>
      </c>
      <c r="C2610" s="45">
        <v>65.0</v>
      </c>
      <c r="D2610" s="45">
        <v>48239.0</v>
      </c>
      <c r="E2610" s="45" t="s">
        <v>4002</v>
      </c>
      <c r="F2610" s="45" t="s">
        <v>4010</v>
      </c>
      <c r="G2610" s="45" t="s">
        <v>4010</v>
      </c>
    </row>
    <row r="2611">
      <c r="A2611" s="45" t="s">
        <v>518</v>
      </c>
      <c r="B2611" s="45" t="s">
        <v>3524</v>
      </c>
      <c r="C2611" s="45">
        <v>66.0</v>
      </c>
      <c r="D2611" s="45">
        <v>48241.0</v>
      </c>
      <c r="E2611" s="45" t="s">
        <v>4002</v>
      </c>
      <c r="F2611" s="45" t="s">
        <v>3974</v>
      </c>
      <c r="G2611" s="45" t="s">
        <v>4010</v>
      </c>
    </row>
    <row r="2612">
      <c r="A2612" s="45" t="s">
        <v>519</v>
      </c>
      <c r="B2612" s="45" t="s">
        <v>3524</v>
      </c>
      <c r="C2612" s="45">
        <v>61.0</v>
      </c>
      <c r="D2612" s="45">
        <v>48243.0</v>
      </c>
      <c r="E2612" s="45" t="s">
        <v>4002</v>
      </c>
      <c r="F2612" s="45" t="s">
        <v>4010</v>
      </c>
      <c r="G2612" s="45" t="s">
        <v>4010</v>
      </c>
    </row>
    <row r="2613">
      <c r="A2613" s="45" t="s">
        <v>139</v>
      </c>
      <c r="B2613" s="45" t="s">
        <v>3524</v>
      </c>
      <c r="C2613" s="45">
        <v>66.0</v>
      </c>
      <c r="D2613" s="45">
        <v>48245.0</v>
      </c>
      <c r="E2613" s="45" t="s">
        <v>3973</v>
      </c>
      <c r="F2613" s="45" t="s">
        <v>3974</v>
      </c>
      <c r="G2613" s="45" t="s">
        <v>4010</v>
      </c>
    </row>
    <row r="2614">
      <c r="A2614" s="45" t="s">
        <v>1718</v>
      </c>
      <c r="B2614" s="45" t="s">
        <v>3524</v>
      </c>
      <c r="C2614" s="45">
        <v>65.0</v>
      </c>
      <c r="D2614" s="45">
        <v>48247.0</v>
      </c>
      <c r="E2614" s="45" t="s">
        <v>4002</v>
      </c>
      <c r="F2614" s="45" t="s">
        <v>4010</v>
      </c>
      <c r="G2614" s="45" t="s">
        <v>4010</v>
      </c>
    </row>
    <row r="2615">
      <c r="A2615" s="45" t="s">
        <v>1719</v>
      </c>
      <c r="B2615" s="45" t="s">
        <v>3524</v>
      </c>
      <c r="C2615" s="45">
        <v>65.0</v>
      </c>
      <c r="D2615" s="45">
        <v>48249.0</v>
      </c>
      <c r="E2615" s="45" t="s">
        <v>4002</v>
      </c>
      <c r="F2615" s="45" t="s">
        <v>4010</v>
      </c>
      <c r="G2615" s="45" t="s">
        <v>4010</v>
      </c>
    </row>
    <row r="2616">
      <c r="A2616" s="45" t="s">
        <v>248</v>
      </c>
      <c r="B2616" s="45" t="s">
        <v>3524</v>
      </c>
      <c r="C2616" s="45">
        <v>63.0</v>
      </c>
      <c r="D2616" s="45">
        <v>48251.0</v>
      </c>
      <c r="E2616" s="45" t="s">
        <v>4002</v>
      </c>
      <c r="F2616" s="45" t="s">
        <v>4010</v>
      </c>
      <c r="G2616" s="45" t="s">
        <v>4010</v>
      </c>
    </row>
    <row r="2617">
      <c r="A2617" s="45" t="s">
        <v>521</v>
      </c>
      <c r="B2617" s="45" t="s">
        <v>3524</v>
      </c>
      <c r="C2617" s="45">
        <v>60.0</v>
      </c>
      <c r="D2617" s="45">
        <v>48253.0</v>
      </c>
      <c r="E2617" s="45" t="s">
        <v>4002</v>
      </c>
      <c r="F2617" s="45" t="s">
        <v>4010</v>
      </c>
      <c r="G2617" s="45" t="s">
        <v>4010</v>
      </c>
    </row>
    <row r="2618">
      <c r="A2618" s="45" t="s">
        <v>1720</v>
      </c>
      <c r="B2618" s="45" t="s">
        <v>3524</v>
      </c>
      <c r="C2618" s="45">
        <v>65.0</v>
      </c>
      <c r="D2618" s="45">
        <v>48255.0</v>
      </c>
      <c r="E2618" s="45" t="s">
        <v>4002</v>
      </c>
      <c r="F2618" s="45" t="s">
        <v>4010</v>
      </c>
      <c r="G2618" s="45" t="s">
        <v>4010</v>
      </c>
    </row>
    <row r="2619">
      <c r="A2619" s="45" t="s">
        <v>1721</v>
      </c>
      <c r="B2619" s="45" t="s">
        <v>3524</v>
      </c>
      <c r="C2619" s="45">
        <v>63.0</v>
      </c>
      <c r="D2619" s="45">
        <v>48257.0</v>
      </c>
      <c r="E2619" s="45" t="s">
        <v>4002</v>
      </c>
      <c r="F2619" s="45" t="s">
        <v>4010</v>
      </c>
      <c r="G2619" s="45" t="s">
        <v>4010</v>
      </c>
    </row>
    <row r="2620">
      <c r="A2620" s="45" t="s">
        <v>633</v>
      </c>
      <c r="B2620" s="45" t="s">
        <v>3524</v>
      </c>
      <c r="C2620" s="45">
        <v>64.0</v>
      </c>
      <c r="D2620" s="45">
        <v>48259.0</v>
      </c>
      <c r="E2620" s="45" t="s">
        <v>4002</v>
      </c>
      <c r="F2620" s="45" t="s">
        <v>4010</v>
      </c>
      <c r="G2620" s="45" t="s">
        <v>4010</v>
      </c>
    </row>
    <row r="2621">
      <c r="A2621" s="45" t="s">
        <v>1722</v>
      </c>
      <c r="B2621" s="45" t="s">
        <v>3524</v>
      </c>
      <c r="C2621" s="45">
        <v>65.0</v>
      </c>
      <c r="D2621" s="45">
        <v>48261.0</v>
      </c>
      <c r="E2621" s="45" t="s">
        <v>4002</v>
      </c>
      <c r="F2621" s="45" t="s">
        <v>4010</v>
      </c>
      <c r="G2621" s="45" t="s">
        <v>4010</v>
      </c>
    </row>
    <row r="2622">
      <c r="A2622" s="45" t="s">
        <v>404</v>
      </c>
      <c r="B2622" s="45" t="s">
        <v>3524</v>
      </c>
      <c r="C2622" s="45">
        <v>60.0</v>
      </c>
      <c r="D2622" s="45">
        <v>48263.0</v>
      </c>
      <c r="E2622" s="45" t="s">
        <v>4002</v>
      </c>
      <c r="F2622" s="45" t="s">
        <v>4010</v>
      </c>
      <c r="G2622" s="45" t="s">
        <v>4010</v>
      </c>
    </row>
    <row r="2623">
      <c r="A2623" s="45" t="s">
        <v>1723</v>
      </c>
      <c r="B2623" s="45" t="s">
        <v>3524</v>
      </c>
      <c r="C2623" s="45">
        <v>64.0</v>
      </c>
      <c r="D2623" s="45">
        <v>48265.0</v>
      </c>
      <c r="E2623" s="45" t="s">
        <v>4002</v>
      </c>
      <c r="F2623" s="45" t="s">
        <v>4010</v>
      </c>
      <c r="G2623" s="45" t="s">
        <v>4010</v>
      </c>
    </row>
    <row r="2624">
      <c r="A2624" s="45" t="s">
        <v>1724</v>
      </c>
      <c r="B2624" s="45" t="s">
        <v>3524</v>
      </c>
      <c r="C2624" s="45">
        <v>64.0</v>
      </c>
      <c r="D2624" s="45">
        <v>48267.0</v>
      </c>
      <c r="E2624" s="45" t="s">
        <v>4002</v>
      </c>
      <c r="F2624" s="45" t="s">
        <v>4010</v>
      </c>
      <c r="G2624" s="45" t="s">
        <v>4010</v>
      </c>
    </row>
    <row r="2625">
      <c r="A2625" s="45" t="s">
        <v>1725</v>
      </c>
      <c r="B2625" s="45" t="s">
        <v>3524</v>
      </c>
      <c r="C2625" s="45">
        <v>60.0</v>
      </c>
      <c r="D2625" s="45">
        <v>48269.0</v>
      </c>
      <c r="E2625" s="45" t="s">
        <v>4002</v>
      </c>
      <c r="F2625" s="45" t="s">
        <v>4010</v>
      </c>
      <c r="G2625" s="45" t="s">
        <v>4010</v>
      </c>
    </row>
    <row r="2626">
      <c r="A2626" s="45" t="s">
        <v>1726</v>
      </c>
      <c r="B2626" s="45" t="s">
        <v>3524</v>
      </c>
      <c r="C2626" s="45">
        <v>61.0</v>
      </c>
      <c r="D2626" s="45">
        <v>48271.0</v>
      </c>
      <c r="E2626" s="45" t="s">
        <v>4002</v>
      </c>
      <c r="F2626" s="45" t="s">
        <v>4010</v>
      </c>
      <c r="G2626" s="45" t="s">
        <v>4010</v>
      </c>
    </row>
    <row r="2627">
      <c r="A2627" s="45" t="s">
        <v>1727</v>
      </c>
      <c r="B2627" s="45" t="s">
        <v>3524</v>
      </c>
      <c r="C2627" s="45">
        <v>65.0</v>
      </c>
      <c r="D2627" s="45">
        <v>48273.0</v>
      </c>
      <c r="E2627" s="45" t="s">
        <v>4002</v>
      </c>
      <c r="F2627" s="45" t="s">
        <v>4010</v>
      </c>
      <c r="G2627" s="45" t="s">
        <v>4010</v>
      </c>
    </row>
    <row r="2628">
      <c r="A2628" s="45" t="s">
        <v>634</v>
      </c>
      <c r="B2628" s="45" t="s">
        <v>3524</v>
      </c>
      <c r="C2628" s="45">
        <v>60.0</v>
      </c>
      <c r="D2628" s="45">
        <v>48275.0</v>
      </c>
      <c r="E2628" s="45" t="s">
        <v>4002</v>
      </c>
      <c r="F2628" s="45" t="s">
        <v>4010</v>
      </c>
      <c r="G2628" s="45" t="s">
        <v>4010</v>
      </c>
    </row>
    <row r="2629">
      <c r="A2629" s="45" t="s">
        <v>140</v>
      </c>
      <c r="B2629" s="45" t="s">
        <v>3524</v>
      </c>
      <c r="C2629" s="45">
        <v>63.0</v>
      </c>
      <c r="D2629" s="45">
        <v>48277.0</v>
      </c>
      <c r="E2629" s="45" t="s">
        <v>4002</v>
      </c>
      <c r="F2629" s="45" t="s">
        <v>4010</v>
      </c>
      <c r="G2629" s="45" t="s">
        <v>4010</v>
      </c>
    </row>
    <row r="2630">
      <c r="A2630" s="45" t="s">
        <v>1728</v>
      </c>
      <c r="B2630" s="45" t="s">
        <v>3524</v>
      </c>
      <c r="C2630" s="45">
        <v>48.0</v>
      </c>
      <c r="D2630" s="45">
        <v>48279.0</v>
      </c>
      <c r="E2630" s="45" t="s">
        <v>3977</v>
      </c>
      <c r="F2630" s="45" t="s">
        <v>3976</v>
      </c>
      <c r="G2630" s="45" t="s">
        <v>4010</v>
      </c>
    </row>
    <row r="2631">
      <c r="A2631" s="45" t="s">
        <v>1729</v>
      </c>
      <c r="B2631" s="45" t="s">
        <v>3524</v>
      </c>
      <c r="C2631" s="45">
        <v>63.0</v>
      </c>
      <c r="D2631" s="45">
        <v>48281.0</v>
      </c>
      <c r="E2631" s="45" t="s">
        <v>4002</v>
      </c>
      <c r="F2631" s="45" t="s">
        <v>4010</v>
      </c>
      <c r="G2631" s="45" t="s">
        <v>4010</v>
      </c>
    </row>
    <row r="2632">
      <c r="A2632" s="45" t="s">
        <v>1730</v>
      </c>
      <c r="B2632" s="45" t="s">
        <v>3524</v>
      </c>
      <c r="C2632" s="45">
        <v>65.0</v>
      </c>
      <c r="D2632" s="45">
        <v>48283.0</v>
      </c>
      <c r="E2632" s="45" t="s">
        <v>4002</v>
      </c>
      <c r="F2632" s="45" t="s">
        <v>4010</v>
      </c>
      <c r="G2632" s="45" t="s">
        <v>4010</v>
      </c>
    </row>
    <row r="2633">
      <c r="A2633" s="45" t="s">
        <v>1731</v>
      </c>
      <c r="B2633" s="45" t="s">
        <v>3524</v>
      </c>
      <c r="C2633" s="45">
        <v>64.0</v>
      </c>
      <c r="D2633" s="45">
        <v>48285.0</v>
      </c>
      <c r="E2633" s="45" t="s">
        <v>4002</v>
      </c>
      <c r="F2633" s="45" t="s">
        <v>4010</v>
      </c>
      <c r="G2633" s="45" t="s">
        <v>4010</v>
      </c>
    </row>
    <row r="2634">
      <c r="A2634" s="45" t="s">
        <v>143</v>
      </c>
      <c r="B2634" s="45" t="s">
        <v>3524</v>
      </c>
      <c r="C2634" s="45">
        <v>64.0</v>
      </c>
      <c r="D2634" s="45">
        <v>48287.0</v>
      </c>
      <c r="E2634" s="45" t="s">
        <v>4002</v>
      </c>
      <c r="F2634" s="45" t="s">
        <v>4010</v>
      </c>
      <c r="G2634" s="45" t="s">
        <v>4010</v>
      </c>
    </row>
    <row r="2635">
      <c r="A2635" s="45" t="s">
        <v>436</v>
      </c>
      <c r="B2635" s="45" t="s">
        <v>3524</v>
      </c>
      <c r="C2635" s="45">
        <v>63.0</v>
      </c>
      <c r="D2635" s="45">
        <v>48289.0</v>
      </c>
      <c r="E2635" s="45" t="s">
        <v>4002</v>
      </c>
      <c r="F2635" s="45" t="s">
        <v>4010</v>
      </c>
      <c r="G2635" s="45" t="s">
        <v>3976</v>
      </c>
    </row>
    <row r="2636">
      <c r="A2636" s="45" t="s">
        <v>438</v>
      </c>
      <c r="B2636" s="45" t="s">
        <v>3524</v>
      </c>
      <c r="C2636" s="45">
        <v>66.0</v>
      </c>
      <c r="D2636" s="45">
        <v>48291.0</v>
      </c>
      <c r="E2636" s="45" t="s">
        <v>3973</v>
      </c>
      <c r="F2636" s="45" t="s">
        <v>3974</v>
      </c>
      <c r="G2636" s="45" t="s">
        <v>3976</v>
      </c>
    </row>
    <row r="2637">
      <c r="A2637" s="45" t="s">
        <v>144</v>
      </c>
      <c r="B2637" s="45" t="s">
        <v>3524</v>
      </c>
      <c r="C2637" s="45">
        <v>63.0</v>
      </c>
      <c r="D2637" s="45">
        <v>48293.0</v>
      </c>
      <c r="E2637" s="45" t="s">
        <v>4002</v>
      </c>
      <c r="F2637" s="45" t="s">
        <v>4010</v>
      </c>
      <c r="G2637" s="45" t="s">
        <v>3976</v>
      </c>
    </row>
    <row r="2638">
      <c r="A2638" s="45" t="s">
        <v>1732</v>
      </c>
      <c r="B2638" s="45" t="s">
        <v>3524</v>
      </c>
      <c r="C2638" s="45">
        <v>48.0</v>
      </c>
      <c r="D2638" s="45">
        <v>48295.0</v>
      </c>
      <c r="E2638" s="45" t="s">
        <v>3977</v>
      </c>
      <c r="F2638" s="45" t="s">
        <v>3976</v>
      </c>
      <c r="G2638" s="45" t="s">
        <v>3976</v>
      </c>
    </row>
    <row r="2639">
      <c r="A2639" s="45" t="s">
        <v>1733</v>
      </c>
      <c r="B2639" s="45" t="s">
        <v>3524</v>
      </c>
      <c r="C2639" s="45">
        <v>65.0</v>
      </c>
      <c r="D2639" s="45">
        <v>48297.0</v>
      </c>
      <c r="E2639" s="45" t="s">
        <v>4002</v>
      </c>
      <c r="F2639" s="45" t="s">
        <v>4010</v>
      </c>
      <c r="G2639" s="45" t="s">
        <v>3976</v>
      </c>
    </row>
    <row r="2640">
      <c r="A2640" s="45" t="s">
        <v>1734</v>
      </c>
      <c r="B2640" s="45" t="s">
        <v>3524</v>
      </c>
      <c r="C2640" s="45">
        <v>64.0</v>
      </c>
      <c r="D2640" s="45">
        <v>48299.0</v>
      </c>
      <c r="E2640" s="45" t="s">
        <v>4002</v>
      </c>
      <c r="F2640" s="45" t="s">
        <v>4010</v>
      </c>
      <c r="G2640" s="45" t="s">
        <v>3976</v>
      </c>
    </row>
    <row r="2641">
      <c r="A2641" s="45" t="s">
        <v>1735</v>
      </c>
      <c r="B2641" s="45" t="s">
        <v>3524</v>
      </c>
      <c r="C2641" s="45">
        <v>62.0</v>
      </c>
      <c r="D2641" s="45">
        <v>48301.0</v>
      </c>
      <c r="E2641" s="45" t="s">
        <v>4002</v>
      </c>
      <c r="F2641" s="45" t="s">
        <v>4010</v>
      </c>
      <c r="G2641" s="45" t="s">
        <v>3976</v>
      </c>
    </row>
    <row r="2642">
      <c r="A2642" s="45" t="s">
        <v>1736</v>
      </c>
      <c r="B2642" s="45" t="s">
        <v>3524</v>
      </c>
      <c r="C2642" s="45">
        <v>48.0</v>
      </c>
      <c r="D2642" s="45">
        <v>48303.0</v>
      </c>
      <c r="E2642" s="45" t="s">
        <v>3977</v>
      </c>
      <c r="F2642" s="45" t="s">
        <v>3976</v>
      </c>
      <c r="G2642" s="45" t="s">
        <v>3976</v>
      </c>
    </row>
    <row r="2643">
      <c r="A2643" s="45" t="s">
        <v>1737</v>
      </c>
      <c r="B2643" s="45" t="s">
        <v>3524</v>
      </c>
      <c r="C2643" s="45">
        <v>48.0</v>
      </c>
      <c r="D2643" s="45">
        <v>48305.0</v>
      </c>
      <c r="E2643" s="45" t="s">
        <v>4002</v>
      </c>
      <c r="F2643" s="45" t="s">
        <v>3976</v>
      </c>
      <c r="G2643" s="45" t="s">
        <v>3976</v>
      </c>
    </row>
    <row r="2644">
      <c r="A2644" s="45" t="s">
        <v>1738</v>
      </c>
      <c r="B2644" s="45" t="s">
        <v>3524</v>
      </c>
      <c r="C2644" s="45">
        <v>63.0</v>
      </c>
      <c r="D2644" s="45">
        <v>48307.0</v>
      </c>
      <c r="E2644" s="45" t="s">
        <v>4002</v>
      </c>
      <c r="F2644" s="45" t="s">
        <v>4010</v>
      </c>
      <c r="G2644" s="45" t="s">
        <v>3976</v>
      </c>
    </row>
    <row r="2645">
      <c r="A2645" s="45" t="s">
        <v>1739</v>
      </c>
      <c r="B2645" s="45" t="s">
        <v>3524</v>
      </c>
      <c r="C2645" s="45">
        <v>63.0</v>
      </c>
      <c r="D2645" s="45">
        <v>48309.0</v>
      </c>
      <c r="E2645" s="45" t="s">
        <v>4002</v>
      </c>
      <c r="F2645" s="45" t="s">
        <v>4010</v>
      </c>
      <c r="G2645" s="45" t="s">
        <v>3976</v>
      </c>
    </row>
    <row r="2646">
      <c r="A2646" s="45" t="s">
        <v>1740</v>
      </c>
      <c r="B2646" s="45" t="s">
        <v>3524</v>
      </c>
      <c r="C2646" s="45">
        <v>65.0</v>
      </c>
      <c r="D2646" s="45">
        <v>48311.0</v>
      </c>
      <c r="E2646" s="45" t="s">
        <v>4002</v>
      </c>
      <c r="F2646" s="45" t="s">
        <v>4010</v>
      </c>
      <c r="G2646" s="45" t="s">
        <v>3976</v>
      </c>
    </row>
    <row r="2647">
      <c r="A2647" s="45" t="s">
        <v>147</v>
      </c>
      <c r="B2647" s="45" t="s">
        <v>3524</v>
      </c>
      <c r="C2647" s="45">
        <v>63.0</v>
      </c>
      <c r="D2647" s="45">
        <v>48313.0</v>
      </c>
      <c r="E2647" s="45" t="s">
        <v>4002</v>
      </c>
      <c r="F2647" s="45" t="s">
        <v>3974</v>
      </c>
      <c r="G2647" s="45" t="s">
        <v>3976</v>
      </c>
    </row>
    <row r="2648">
      <c r="A2648" s="45" t="s">
        <v>149</v>
      </c>
      <c r="B2648" s="45" t="s">
        <v>3524</v>
      </c>
      <c r="C2648" s="45">
        <v>57.0</v>
      </c>
      <c r="D2648" s="45">
        <v>48315.0</v>
      </c>
      <c r="E2648" s="45" t="s">
        <v>3977</v>
      </c>
      <c r="F2648" s="45" t="s">
        <v>3976</v>
      </c>
      <c r="G2648" s="45" t="s">
        <v>3976</v>
      </c>
    </row>
    <row r="2649">
      <c r="A2649" s="45" t="s">
        <v>440</v>
      </c>
      <c r="B2649" s="45" t="s">
        <v>3524</v>
      </c>
      <c r="C2649" s="45">
        <v>62.0</v>
      </c>
      <c r="D2649" s="45">
        <v>48317.0</v>
      </c>
      <c r="E2649" s="45" t="s">
        <v>4002</v>
      </c>
      <c r="F2649" s="45" t="s">
        <v>4010</v>
      </c>
      <c r="G2649" s="45" t="s">
        <v>3976</v>
      </c>
    </row>
    <row r="2650">
      <c r="A2650" s="45" t="s">
        <v>641</v>
      </c>
      <c r="B2650" s="45" t="s">
        <v>3524</v>
      </c>
      <c r="C2650" s="45">
        <v>64.0</v>
      </c>
      <c r="D2650" s="45">
        <v>48319.0</v>
      </c>
      <c r="E2650" s="45" t="s">
        <v>4002</v>
      </c>
      <c r="F2650" s="45" t="s">
        <v>4010</v>
      </c>
      <c r="G2650" s="45" t="s">
        <v>3976</v>
      </c>
    </row>
    <row r="2651">
      <c r="A2651" s="45" t="s">
        <v>1741</v>
      </c>
      <c r="B2651" s="45" t="s">
        <v>3524</v>
      </c>
      <c r="C2651" s="45">
        <v>65.0</v>
      </c>
      <c r="D2651" s="45">
        <v>48321.0</v>
      </c>
      <c r="E2651" s="45" t="s">
        <v>4002</v>
      </c>
      <c r="F2651" s="45" t="s">
        <v>4010</v>
      </c>
      <c r="G2651" s="45" t="s">
        <v>3976</v>
      </c>
    </row>
    <row r="2652">
      <c r="A2652" s="45" t="s">
        <v>1742</v>
      </c>
      <c r="B2652" s="45" t="s">
        <v>3524</v>
      </c>
      <c r="C2652" s="45">
        <v>65.0</v>
      </c>
      <c r="D2652" s="45">
        <v>48323.0</v>
      </c>
      <c r="E2652" s="45" t="s">
        <v>4002</v>
      </c>
      <c r="F2652" s="45" t="s">
        <v>4010</v>
      </c>
      <c r="G2652" s="45" t="s">
        <v>3976</v>
      </c>
    </row>
    <row r="2653">
      <c r="A2653" s="45" t="s">
        <v>1441</v>
      </c>
      <c r="B2653" s="45" t="s">
        <v>3524</v>
      </c>
      <c r="C2653" s="45">
        <v>65.0</v>
      </c>
      <c r="D2653" s="45">
        <v>48325.0</v>
      </c>
      <c r="E2653" s="45" t="s">
        <v>4002</v>
      </c>
      <c r="F2653" s="45" t="s">
        <v>4010</v>
      </c>
      <c r="G2653" s="45" t="s">
        <v>3976</v>
      </c>
    </row>
    <row r="2654">
      <c r="A2654" s="45" t="s">
        <v>643</v>
      </c>
      <c r="B2654" s="45" t="s">
        <v>3524</v>
      </c>
      <c r="C2654" s="45">
        <v>64.0</v>
      </c>
      <c r="D2654" s="45">
        <v>48327.0</v>
      </c>
      <c r="E2654" s="45" t="s">
        <v>4002</v>
      </c>
      <c r="F2654" s="45" t="s">
        <v>4010</v>
      </c>
      <c r="G2654" s="45" t="s">
        <v>3976</v>
      </c>
    </row>
    <row r="2655">
      <c r="A2655" s="45" t="s">
        <v>1004</v>
      </c>
      <c r="B2655" s="45" t="s">
        <v>3524</v>
      </c>
      <c r="C2655" s="45">
        <v>62.0</v>
      </c>
      <c r="D2655" s="45">
        <v>48329.0</v>
      </c>
      <c r="E2655" s="45" t="s">
        <v>4002</v>
      </c>
      <c r="F2655" s="45" t="s">
        <v>4010</v>
      </c>
      <c r="G2655" s="45" t="s">
        <v>3976</v>
      </c>
    </row>
    <row r="2656">
      <c r="A2656" s="45" t="s">
        <v>1743</v>
      </c>
      <c r="B2656" s="45" t="s">
        <v>3524</v>
      </c>
      <c r="C2656" s="45">
        <v>63.0</v>
      </c>
      <c r="D2656" s="45">
        <v>48331.0</v>
      </c>
      <c r="E2656" s="45" t="s">
        <v>4002</v>
      </c>
      <c r="F2656" s="45" t="s">
        <v>3974</v>
      </c>
      <c r="G2656" s="45" t="s">
        <v>3976</v>
      </c>
    </row>
    <row r="2657">
      <c r="A2657" s="45" t="s">
        <v>731</v>
      </c>
      <c r="B2657" s="45" t="s">
        <v>3524</v>
      </c>
      <c r="C2657" s="45">
        <v>63.0</v>
      </c>
      <c r="D2657" s="45">
        <v>48333.0</v>
      </c>
      <c r="E2657" s="45" t="s">
        <v>4002</v>
      </c>
      <c r="F2657" s="45" t="s">
        <v>4010</v>
      </c>
      <c r="G2657" s="45" t="s">
        <v>3976</v>
      </c>
    </row>
    <row r="2658">
      <c r="A2658" s="45" t="s">
        <v>529</v>
      </c>
      <c r="B2658" s="45" t="s">
        <v>3524</v>
      </c>
      <c r="C2658" s="45">
        <v>60.0</v>
      </c>
      <c r="D2658" s="45">
        <v>48335.0</v>
      </c>
      <c r="E2658" s="45" t="s">
        <v>4002</v>
      </c>
      <c r="F2658" s="45" t="s">
        <v>4010</v>
      </c>
      <c r="G2658" s="45" t="s">
        <v>3976</v>
      </c>
    </row>
    <row r="2659">
      <c r="A2659" s="45" t="s">
        <v>1744</v>
      </c>
      <c r="B2659" s="45" t="s">
        <v>3524</v>
      </c>
      <c r="C2659" s="45">
        <v>63.0</v>
      </c>
      <c r="D2659" s="45">
        <v>48337.0</v>
      </c>
      <c r="E2659" s="45" t="s">
        <v>4002</v>
      </c>
      <c r="F2659" s="45" t="s">
        <v>4010</v>
      </c>
      <c r="G2659" s="45" t="s">
        <v>3976</v>
      </c>
    </row>
    <row r="2660">
      <c r="A2660" s="45" t="s">
        <v>153</v>
      </c>
      <c r="B2660" s="45" t="s">
        <v>3524</v>
      </c>
      <c r="C2660" s="45">
        <v>66.0</v>
      </c>
      <c r="D2660" s="45">
        <v>48339.0</v>
      </c>
      <c r="E2660" s="45" t="s">
        <v>4002</v>
      </c>
      <c r="F2660" s="45" t="s">
        <v>3974</v>
      </c>
      <c r="G2660" s="45" t="s">
        <v>3976</v>
      </c>
    </row>
    <row r="2661">
      <c r="A2661" s="45" t="s">
        <v>1365</v>
      </c>
      <c r="B2661" s="45" t="s">
        <v>3524</v>
      </c>
      <c r="C2661" s="45">
        <v>48.0</v>
      </c>
      <c r="D2661" s="45">
        <v>48341.0</v>
      </c>
      <c r="E2661" s="45" t="s">
        <v>3977</v>
      </c>
      <c r="F2661" s="45" t="s">
        <v>3976</v>
      </c>
      <c r="G2661" s="45" t="s">
        <v>3976</v>
      </c>
    </row>
    <row r="2662">
      <c r="A2662" s="45" t="s">
        <v>784</v>
      </c>
      <c r="B2662" s="45" t="s">
        <v>3524</v>
      </c>
      <c r="C2662" s="45">
        <v>57.0</v>
      </c>
      <c r="D2662" s="45">
        <v>48343.0</v>
      </c>
      <c r="E2662" s="45" t="s">
        <v>3977</v>
      </c>
      <c r="F2662" s="45" t="s">
        <v>3976</v>
      </c>
      <c r="G2662" s="45" t="s">
        <v>3976</v>
      </c>
    </row>
    <row r="2663">
      <c r="A2663" s="45" t="s">
        <v>1745</v>
      </c>
      <c r="B2663" s="45" t="s">
        <v>3524</v>
      </c>
      <c r="C2663" s="45">
        <v>60.0</v>
      </c>
      <c r="D2663" s="45">
        <v>48345.0</v>
      </c>
      <c r="E2663" s="45" t="s">
        <v>4002</v>
      </c>
      <c r="F2663" s="45" t="s">
        <v>4010</v>
      </c>
      <c r="G2663" s="45" t="s">
        <v>3976</v>
      </c>
    </row>
    <row r="2664">
      <c r="A2664" s="45" t="s">
        <v>1746</v>
      </c>
      <c r="B2664" s="45" t="s">
        <v>3524</v>
      </c>
      <c r="C2664" s="45">
        <v>66.0</v>
      </c>
      <c r="D2664" s="45">
        <v>48347.0</v>
      </c>
      <c r="E2664" s="45" t="s">
        <v>4002</v>
      </c>
      <c r="F2664" s="45" t="s">
        <v>4010</v>
      </c>
      <c r="G2664" s="45" t="s">
        <v>3976</v>
      </c>
    </row>
    <row r="2665">
      <c r="A2665" s="45" t="s">
        <v>1747</v>
      </c>
      <c r="B2665" s="45" t="s">
        <v>3524</v>
      </c>
      <c r="C2665" s="45">
        <v>63.0</v>
      </c>
      <c r="D2665" s="45">
        <v>48349.0</v>
      </c>
      <c r="E2665" s="45" t="s">
        <v>4002</v>
      </c>
      <c r="F2665" s="45" t="s">
        <v>4010</v>
      </c>
      <c r="G2665" s="45" t="s">
        <v>3976</v>
      </c>
    </row>
    <row r="2666">
      <c r="A2666" s="45" t="s">
        <v>257</v>
      </c>
      <c r="B2666" s="45" t="s">
        <v>3524</v>
      </c>
      <c r="C2666" s="45">
        <v>66.0</v>
      </c>
      <c r="D2666" s="45">
        <v>48351.0</v>
      </c>
      <c r="E2666" s="45" t="s">
        <v>4002</v>
      </c>
      <c r="F2666" s="45" t="s">
        <v>3974</v>
      </c>
      <c r="G2666" s="45" t="s">
        <v>3976</v>
      </c>
    </row>
    <row r="2667">
      <c r="A2667" s="45" t="s">
        <v>1748</v>
      </c>
      <c r="B2667" s="45" t="s">
        <v>3524</v>
      </c>
      <c r="C2667" s="45">
        <v>60.0</v>
      </c>
      <c r="D2667" s="45">
        <v>48353.0</v>
      </c>
      <c r="E2667" s="45" t="s">
        <v>4002</v>
      </c>
      <c r="F2667" s="45" t="s">
        <v>4010</v>
      </c>
      <c r="G2667" s="45" t="s">
        <v>3976</v>
      </c>
    </row>
    <row r="2668">
      <c r="A2668" s="45" t="s">
        <v>1749</v>
      </c>
      <c r="B2668" s="45" t="s">
        <v>3524</v>
      </c>
      <c r="C2668" s="45">
        <v>65.0</v>
      </c>
      <c r="D2668" s="45">
        <v>48355.0</v>
      </c>
      <c r="E2668" s="45" t="s">
        <v>4002</v>
      </c>
      <c r="F2668" s="45" t="s">
        <v>4010</v>
      </c>
      <c r="G2668" s="45" t="s">
        <v>3976</v>
      </c>
    </row>
    <row r="2669">
      <c r="A2669" s="45" t="s">
        <v>1750</v>
      </c>
      <c r="B2669" s="45" t="s">
        <v>3524</v>
      </c>
      <c r="C2669" s="45">
        <v>48.0</v>
      </c>
      <c r="D2669" s="45">
        <v>48357.0</v>
      </c>
      <c r="E2669" s="45" t="s">
        <v>3977</v>
      </c>
      <c r="F2669" s="45" t="s">
        <v>3976</v>
      </c>
      <c r="G2669" s="45" t="s">
        <v>3976</v>
      </c>
    </row>
    <row r="2670">
      <c r="A2670" s="45" t="s">
        <v>862</v>
      </c>
      <c r="B2670" s="45" t="s">
        <v>3524</v>
      </c>
      <c r="C2670" s="45">
        <v>48.0</v>
      </c>
      <c r="D2670" s="45">
        <v>48359.0</v>
      </c>
      <c r="E2670" s="45" t="s">
        <v>3977</v>
      </c>
      <c r="F2670" s="45" t="s">
        <v>3976</v>
      </c>
      <c r="G2670" s="45" t="s">
        <v>4010</v>
      </c>
    </row>
    <row r="2671">
      <c r="A2671" s="45" t="s">
        <v>310</v>
      </c>
      <c r="B2671" s="45" t="s">
        <v>3524</v>
      </c>
      <c r="C2671" s="45">
        <v>66.0</v>
      </c>
      <c r="D2671" s="45">
        <v>48361.0</v>
      </c>
      <c r="E2671" s="45" t="s">
        <v>3973</v>
      </c>
      <c r="F2671" s="45" t="s">
        <v>3974</v>
      </c>
      <c r="G2671" s="45" t="s">
        <v>4010</v>
      </c>
    </row>
    <row r="2672">
      <c r="A2672" s="45" t="s">
        <v>1751</v>
      </c>
      <c r="B2672" s="45" t="s">
        <v>3524</v>
      </c>
      <c r="C2672" s="45">
        <v>63.0</v>
      </c>
      <c r="D2672" s="45">
        <v>48363.0</v>
      </c>
      <c r="E2672" s="45" t="s">
        <v>4002</v>
      </c>
      <c r="F2672" s="45" t="s">
        <v>4010</v>
      </c>
      <c r="G2672" s="45" t="s">
        <v>4010</v>
      </c>
    </row>
    <row r="2673">
      <c r="A2673" s="45" t="s">
        <v>1106</v>
      </c>
      <c r="B2673" s="45" t="s">
        <v>3524</v>
      </c>
      <c r="C2673" s="45">
        <v>57.0</v>
      </c>
      <c r="D2673" s="45">
        <v>48365.0</v>
      </c>
      <c r="E2673" s="45" t="s">
        <v>3977</v>
      </c>
      <c r="F2673" s="45" t="s">
        <v>3976</v>
      </c>
      <c r="G2673" s="45" t="s">
        <v>4010</v>
      </c>
    </row>
    <row r="2674">
      <c r="A2674" s="45" t="s">
        <v>1752</v>
      </c>
      <c r="B2674" s="45" t="s">
        <v>3524</v>
      </c>
      <c r="C2674" s="45">
        <v>63.0</v>
      </c>
      <c r="D2674" s="45">
        <v>48367.0</v>
      </c>
      <c r="E2674" s="45" t="s">
        <v>4002</v>
      </c>
      <c r="F2674" s="45" t="s">
        <v>4010</v>
      </c>
      <c r="G2674" s="45" t="s">
        <v>4010</v>
      </c>
    </row>
    <row r="2675">
      <c r="A2675" s="45" t="s">
        <v>1753</v>
      </c>
      <c r="B2675" s="45" t="s">
        <v>3524</v>
      </c>
      <c r="C2675" s="45">
        <v>48.0</v>
      </c>
      <c r="D2675" s="45">
        <v>48369.0</v>
      </c>
      <c r="E2675" s="45" t="s">
        <v>3977</v>
      </c>
      <c r="F2675" s="45" t="s">
        <v>3976</v>
      </c>
      <c r="G2675" s="45" t="s">
        <v>4010</v>
      </c>
    </row>
    <row r="2676">
      <c r="A2676" s="45" t="s">
        <v>1754</v>
      </c>
      <c r="B2676" s="45" t="s">
        <v>3524</v>
      </c>
      <c r="C2676" s="45">
        <v>61.0</v>
      </c>
      <c r="D2676" s="45">
        <v>48371.0</v>
      </c>
      <c r="E2676" s="45" t="s">
        <v>4002</v>
      </c>
      <c r="F2676" s="45" t="s">
        <v>4010</v>
      </c>
      <c r="G2676" s="45" t="s">
        <v>4010</v>
      </c>
    </row>
    <row r="2677">
      <c r="A2677" s="45" t="s">
        <v>261</v>
      </c>
      <c r="B2677" s="45" t="s">
        <v>3524</v>
      </c>
      <c r="C2677" s="45">
        <v>66.0</v>
      </c>
      <c r="D2677" s="45">
        <v>48373.0</v>
      </c>
      <c r="E2677" s="45" t="s">
        <v>3973</v>
      </c>
      <c r="F2677" s="45" t="s">
        <v>3974</v>
      </c>
      <c r="G2677" s="45" t="s">
        <v>4010</v>
      </c>
    </row>
    <row r="2678">
      <c r="A2678" s="45" t="s">
        <v>1540</v>
      </c>
      <c r="B2678" s="45" t="s">
        <v>3524</v>
      </c>
      <c r="C2678" s="45">
        <v>48.0</v>
      </c>
      <c r="D2678" s="45">
        <v>48375.0</v>
      </c>
      <c r="E2678" s="45" t="s">
        <v>3977</v>
      </c>
      <c r="F2678" s="45" t="s">
        <v>3976</v>
      </c>
      <c r="G2678" s="45" t="s">
        <v>4010</v>
      </c>
    </row>
    <row r="2679">
      <c r="A2679" s="45" t="s">
        <v>1755</v>
      </c>
      <c r="B2679" s="45" t="s">
        <v>3524</v>
      </c>
      <c r="C2679" s="45">
        <v>61.0</v>
      </c>
      <c r="D2679" s="45">
        <v>48377.0</v>
      </c>
      <c r="E2679" s="45" t="s">
        <v>4002</v>
      </c>
      <c r="F2679" s="45" t="s">
        <v>4010</v>
      </c>
      <c r="G2679" s="45" t="s">
        <v>4010</v>
      </c>
    </row>
    <row r="2680">
      <c r="A2680" s="45" t="s">
        <v>1756</v>
      </c>
      <c r="B2680" s="45" t="s">
        <v>3524</v>
      </c>
      <c r="C2680" s="45">
        <v>63.0</v>
      </c>
      <c r="D2680" s="45">
        <v>48379.0</v>
      </c>
      <c r="E2680" s="45" t="s">
        <v>4002</v>
      </c>
      <c r="F2680" s="45" t="s">
        <v>4010</v>
      </c>
      <c r="G2680" s="45" t="s">
        <v>4010</v>
      </c>
    </row>
    <row r="2681">
      <c r="A2681" s="45" t="s">
        <v>1757</v>
      </c>
      <c r="B2681" s="45" t="s">
        <v>3524</v>
      </c>
      <c r="C2681" s="45">
        <v>48.0</v>
      </c>
      <c r="D2681" s="45">
        <v>48381.0</v>
      </c>
      <c r="E2681" s="45" t="s">
        <v>3977</v>
      </c>
      <c r="F2681" s="45" t="s">
        <v>3976</v>
      </c>
      <c r="G2681" s="45" t="s">
        <v>4010</v>
      </c>
    </row>
    <row r="2682">
      <c r="A2682" s="45" t="s">
        <v>1758</v>
      </c>
      <c r="B2682" s="45" t="s">
        <v>3524</v>
      </c>
      <c r="C2682" s="45">
        <v>62.0</v>
      </c>
      <c r="D2682" s="45">
        <v>48383.0</v>
      </c>
      <c r="E2682" s="45" t="s">
        <v>4002</v>
      </c>
      <c r="F2682" s="45" t="s">
        <v>4010</v>
      </c>
      <c r="G2682" s="45" t="s">
        <v>4010</v>
      </c>
    </row>
    <row r="2683">
      <c r="A2683" s="45" t="s">
        <v>1759</v>
      </c>
      <c r="B2683" s="45" t="s">
        <v>3524</v>
      </c>
      <c r="C2683" s="45">
        <v>64.0</v>
      </c>
      <c r="D2683" s="45">
        <v>48385.0</v>
      </c>
      <c r="E2683" s="45" t="s">
        <v>4002</v>
      </c>
      <c r="F2683" s="45" t="s">
        <v>4010</v>
      </c>
      <c r="G2683" s="45" t="s">
        <v>4010</v>
      </c>
    </row>
    <row r="2684">
      <c r="A2684" s="45" t="s">
        <v>903</v>
      </c>
      <c r="B2684" s="45" t="s">
        <v>3524</v>
      </c>
      <c r="C2684" s="45">
        <v>63.0</v>
      </c>
      <c r="D2684" s="45">
        <v>48387.0</v>
      </c>
      <c r="E2684" s="45" t="s">
        <v>4002</v>
      </c>
      <c r="F2684" s="45" t="s">
        <v>4010</v>
      </c>
      <c r="G2684" s="45" t="s">
        <v>4010</v>
      </c>
    </row>
    <row r="2685">
      <c r="A2685" s="45" t="s">
        <v>1760</v>
      </c>
      <c r="B2685" s="45" t="s">
        <v>3524</v>
      </c>
      <c r="C2685" s="45">
        <v>61.0</v>
      </c>
      <c r="D2685" s="45">
        <v>48389.0</v>
      </c>
      <c r="E2685" s="45" t="s">
        <v>4002</v>
      </c>
      <c r="F2685" s="45" t="s">
        <v>4010</v>
      </c>
      <c r="G2685" s="45" t="s">
        <v>4010</v>
      </c>
    </row>
    <row r="2686">
      <c r="A2686" s="45" t="s">
        <v>1761</v>
      </c>
      <c r="B2686" s="45" t="s">
        <v>3524</v>
      </c>
      <c r="C2686" s="45">
        <v>65.0</v>
      </c>
      <c r="D2686" s="45">
        <v>48391.0</v>
      </c>
      <c r="E2686" s="45" t="s">
        <v>4002</v>
      </c>
      <c r="F2686" s="45" t="s">
        <v>4010</v>
      </c>
      <c r="G2686" s="45" t="s">
        <v>4010</v>
      </c>
    </row>
    <row r="2687">
      <c r="A2687" s="45" t="s">
        <v>1607</v>
      </c>
      <c r="B2687" s="45" t="s">
        <v>3524</v>
      </c>
      <c r="C2687" s="45">
        <v>48.0</v>
      </c>
      <c r="D2687" s="45">
        <v>48393.0</v>
      </c>
      <c r="E2687" s="45" t="s">
        <v>3977</v>
      </c>
      <c r="F2687" s="45" t="s">
        <v>3976</v>
      </c>
      <c r="G2687" s="45" t="s">
        <v>4010</v>
      </c>
    </row>
    <row r="2688">
      <c r="A2688" s="45" t="s">
        <v>866</v>
      </c>
      <c r="B2688" s="45" t="s">
        <v>3524</v>
      </c>
      <c r="C2688" s="45">
        <v>63.0</v>
      </c>
      <c r="D2688" s="45">
        <v>48395.0</v>
      </c>
      <c r="E2688" s="45" t="s">
        <v>4002</v>
      </c>
      <c r="F2688" s="45" t="s">
        <v>3974</v>
      </c>
      <c r="G2688" s="45" t="s">
        <v>4010</v>
      </c>
    </row>
    <row r="2689">
      <c r="A2689" s="45" t="s">
        <v>1762</v>
      </c>
      <c r="B2689" s="45" t="s">
        <v>3524</v>
      </c>
      <c r="C2689" s="45">
        <v>63.0</v>
      </c>
      <c r="D2689" s="45">
        <v>48397.0</v>
      </c>
      <c r="E2689" s="45" t="s">
        <v>4002</v>
      </c>
      <c r="F2689" s="45" t="s">
        <v>4010</v>
      </c>
      <c r="G2689" s="45" t="s">
        <v>4010</v>
      </c>
    </row>
    <row r="2690">
      <c r="A2690" s="45" t="s">
        <v>1763</v>
      </c>
      <c r="B2690" s="45" t="s">
        <v>3524</v>
      </c>
      <c r="C2690" s="45">
        <v>61.0</v>
      </c>
      <c r="D2690" s="45">
        <v>48399.0</v>
      </c>
      <c r="E2690" s="45" t="s">
        <v>4002</v>
      </c>
      <c r="F2690" s="45" t="s">
        <v>4010</v>
      </c>
      <c r="G2690" s="45" t="s">
        <v>4010</v>
      </c>
    </row>
    <row r="2691">
      <c r="A2691" s="45" t="s">
        <v>1764</v>
      </c>
      <c r="B2691" s="45" t="s">
        <v>3524</v>
      </c>
      <c r="C2691" s="45">
        <v>63.0</v>
      </c>
      <c r="D2691" s="45">
        <v>48401.0</v>
      </c>
      <c r="E2691" s="45" t="s">
        <v>3977</v>
      </c>
      <c r="F2691" s="45" t="s">
        <v>3976</v>
      </c>
      <c r="G2691" s="45" t="s">
        <v>4010</v>
      </c>
    </row>
    <row r="2692">
      <c r="A2692" s="45" t="s">
        <v>904</v>
      </c>
      <c r="B2692" s="45" t="s">
        <v>3524</v>
      </c>
      <c r="C2692" s="45">
        <v>66.0</v>
      </c>
      <c r="D2692" s="45">
        <v>48403.0</v>
      </c>
      <c r="E2692" s="45" t="s">
        <v>4002</v>
      </c>
      <c r="F2692" s="45" t="s">
        <v>4010</v>
      </c>
      <c r="G2692" s="45" t="s">
        <v>4010</v>
      </c>
    </row>
    <row r="2693">
      <c r="A2693" s="45" t="s">
        <v>1765</v>
      </c>
      <c r="B2693" s="45" t="s">
        <v>3524</v>
      </c>
      <c r="C2693" s="45">
        <v>66.0</v>
      </c>
      <c r="D2693" s="45">
        <v>48405.0</v>
      </c>
      <c r="E2693" s="45" t="s">
        <v>4002</v>
      </c>
      <c r="F2693" s="45" t="s">
        <v>4010</v>
      </c>
      <c r="G2693" s="45" t="s">
        <v>4010</v>
      </c>
    </row>
    <row r="2694">
      <c r="A2694" s="45" t="s">
        <v>1766</v>
      </c>
      <c r="B2694" s="45" t="s">
        <v>3524</v>
      </c>
      <c r="C2694" s="45">
        <v>66.0</v>
      </c>
      <c r="D2694" s="45">
        <v>48407.0</v>
      </c>
      <c r="E2694" s="45" t="s">
        <v>3973</v>
      </c>
      <c r="F2694" s="45" t="s">
        <v>3974</v>
      </c>
      <c r="G2694" s="45" t="s">
        <v>4010</v>
      </c>
    </row>
    <row r="2695">
      <c r="A2695" s="45" t="s">
        <v>1767</v>
      </c>
      <c r="B2695" s="45" t="s">
        <v>3524</v>
      </c>
      <c r="C2695" s="45">
        <v>65.0</v>
      </c>
      <c r="D2695" s="45">
        <v>48409.0</v>
      </c>
      <c r="E2695" s="45" t="s">
        <v>4002</v>
      </c>
      <c r="F2695" s="45" t="s">
        <v>4010</v>
      </c>
      <c r="G2695" s="45" t="s">
        <v>4010</v>
      </c>
    </row>
    <row r="2696">
      <c r="A2696" s="45" t="s">
        <v>1768</v>
      </c>
      <c r="B2696" s="45" t="s">
        <v>3524</v>
      </c>
      <c r="C2696" s="45">
        <v>63.0</v>
      </c>
      <c r="D2696" s="45">
        <v>48411.0</v>
      </c>
      <c r="E2696" s="45" t="s">
        <v>4002</v>
      </c>
      <c r="F2696" s="45" t="s">
        <v>4010</v>
      </c>
      <c r="G2696" s="45" t="s">
        <v>4010</v>
      </c>
    </row>
    <row r="2697">
      <c r="A2697" s="45" t="s">
        <v>1769</v>
      </c>
      <c r="B2697" s="45" t="s">
        <v>3524</v>
      </c>
      <c r="C2697" s="45">
        <v>61.0</v>
      </c>
      <c r="D2697" s="45">
        <v>48413.0</v>
      </c>
      <c r="E2697" s="45" t="s">
        <v>4002</v>
      </c>
      <c r="F2697" s="45" t="s">
        <v>4010</v>
      </c>
      <c r="G2697" s="45" t="s">
        <v>4010</v>
      </c>
    </row>
    <row r="2698">
      <c r="A2698" s="45" t="s">
        <v>1770</v>
      </c>
      <c r="B2698" s="45" t="s">
        <v>3524</v>
      </c>
      <c r="C2698" s="45">
        <v>60.0</v>
      </c>
      <c r="D2698" s="45">
        <v>48415.0</v>
      </c>
      <c r="E2698" s="45" t="s">
        <v>4002</v>
      </c>
      <c r="F2698" s="45" t="s">
        <v>4010</v>
      </c>
      <c r="G2698" s="45" t="s">
        <v>4010</v>
      </c>
    </row>
    <row r="2699">
      <c r="A2699" s="45" t="s">
        <v>1771</v>
      </c>
      <c r="B2699" s="45" t="s">
        <v>3524</v>
      </c>
      <c r="C2699" s="45">
        <v>63.0</v>
      </c>
      <c r="D2699" s="45">
        <v>48417.0</v>
      </c>
      <c r="E2699" s="45" t="s">
        <v>4002</v>
      </c>
      <c r="F2699" s="45" t="s">
        <v>4010</v>
      </c>
      <c r="G2699" s="45" t="s">
        <v>4010</v>
      </c>
    </row>
    <row r="2700">
      <c r="A2700" s="45" t="s">
        <v>161</v>
      </c>
      <c r="B2700" s="45" t="s">
        <v>3524</v>
      </c>
      <c r="C2700" s="45">
        <v>66.0</v>
      </c>
      <c r="D2700" s="45">
        <v>48419.0</v>
      </c>
      <c r="E2700" s="45" t="s">
        <v>4002</v>
      </c>
      <c r="F2700" s="45" t="s">
        <v>3976</v>
      </c>
      <c r="G2700" s="45" t="s">
        <v>4010</v>
      </c>
    </row>
    <row r="2701">
      <c r="A2701" s="45" t="s">
        <v>805</v>
      </c>
      <c r="B2701" s="45" t="s">
        <v>3524</v>
      </c>
      <c r="C2701" s="45">
        <v>48.0</v>
      </c>
      <c r="D2701" s="45">
        <v>48421.0</v>
      </c>
      <c r="E2701" s="45" t="s">
        <v>3977</v>
      </c>
      <c r="F2701" s="45" t="s">
        <v>3976</v>
      </c>
      <c r="G2701" s="45" t="s">
        <v>4010</v>
      </c>
    </row>
    <row r="2702">
      <c r="A2702" s="45" t="s">
        <v>806</v>
      </c>
      <c r="B2702" s="45" t="s">
        <v>3524</v>
      </c>
      <c r="C2702" s="45">
        <v>63.0</v>
      </c>
      <c r="D2702" s="45">
        <v>48423.0</v>
      </c>
      <c r="E2702" s="45" t="s">
        <v>3977</v>
      </c>
      <c r="F2702" s="45" t="s">
        <v>4010</v>
      </c>
      <c r="G2702" s="45" t="s">
        <v>4010</v>
      </c>
    </row>
    <row r="2703">
      <c r="A2703" s="45" t="s">
        <v>1772</v>
      </c>
      <c r="B2703" s="45" t="s">
        <v>3524</v>
      </c>
      <c r="C2703" s="45">
        <v>63.0</v>
      </c>
      <c r="D2703" s="45">
        <v>48425.0</v>
      </c>
      <c r="E2703" s="45" t="s">
        <v>4002</v>
      </c>
      <c r="F2703" s="45" t="s">
        <v>4010</v>
      </c>
      <c r="G2703" s="45" t="s">
        <v>4010</v>
      </c>
    </row>
    <row r="2704">
      <c r="A2704" s="45" t="s">
        <v>1773</v>
      </c>
      <c r="B2704" s="45" t="s">
        <v>3524</v>
      </c>
      <c r="C2704" s="45">
        <v>65.0</v>
      </c>
      <c r="D2704" s="45">
        <v>48427.0</v>
      </c>
      <c r="E2704" s="45" t="s">
        <v>4002</v>
      </c>
      <c r="F2704" s="45" t="s">
        <v>4010</v>
      </c>
      <c r="G2704" s="45" t="s">
        <v>4010</v>
      </c>
    </row>
    <row r="2705">
      <c r="A2705" s="45" t="s">
        <v>544</v>
      </c>
      <c r="B2705" s="45" t="s">
        <v>3524</v>
      </c>
      <c r="C2705" s="45">
        <v>63.0</v>
      </c>
      <c r="D2705" s="45">
        <v>48429.0</v>
      </c>
      <c r="E2705" s="45" t="s">
        <v>4002</v>
      </c>
      <c r="F2705" s="45" t="s">
        <v>4010</v>
      </c>
      <c r="G2705" s="45" t="s">
        <v>4010</v>
      </c>
    </row>
    <row r="2706">
      <c r="A2706" s="45" t="s">
        <v>1774</v>
      </c>
      <c r="B2706" s="45" t="s">
        <v>3524</v>
      </c>
      <c r="C2706" s="45">
        <v>61.0</v>
      </c>
      <c r="D2706" s="45">
        <v>48431.0</v>
      </c>
      <c r="E2706" s="45" t="s">
        <v>4002</v>
      </c>
      <c r="F2706" s="45" t="s">
        <v>4010</v>
      </c>
      <c r="G2706" s="45" t="s">
        <v>4010</v>
      </c>
    </row>
    <row r="2707">
      <c r="A2707" s="45" t="s">
        <v>1775</v>
      </c>
      <c r="B2707" s="45" t="s">
        <v>3524</v>
      </c>
      <c r="C2707" s="45">
        <v>60.0</v>
      </c>
      <c r="D2707" s="45">
        <v>48433.0</v>
      </c>
      <c r="E2707" s="45" t="s">
        <v>4002</v>
      </c>
      <c r="F2707" s="45" t="s">
        <v>4010</v>
      </c>
      <c r="G2707" s="45" t="s">
        <v>4010</v>
      </c>
    </row>
    <row r="2708">
      <c r="A2708" s="45" t="s">
        <v>1776</v>
      </c>
      <c r="B2708" s="45" t="s">
        <v>3524</v>
      </c>
      <c r="C2708" s="45">
        <v>61.0</v>
      </c>
      <c r="D2708" s="45">
        <v>48435.0</v>
      </c>
      <c r="E2708" s="45" t="s">
        <v>4002</v>
      </c>
      <c r="F2708" s="45" t="s">
        <v>4010</v>
      </c>
      <c r="G2708" s="45" t="s">
        <v>4010</v>
      </c>
    </row>
    <row r="2709">
      <c r="A2709" s="45" t="s">
        <v>1777</v>
      </c>
      <c r="B2709" s="45" t="s">
        <v>3524</v>
      </c>
      <c r="C2709" s="45">
        <v>48.0</v>
      </c>
      <c r="D2709" s="45">
        <v>48437.0</v>
      </c>
      <c r="E2709" s="45" t="s">
        <v>3977</v>
      </c>
      <c r="F2709" s="45" t="s">
        <v>3976</v>
      </c>
      <c r="G2709" s="45" t="s">
        <v>4010</v>
      </c>
    </row>
    <row r="2710">
      <c r="A2710" s="45" t="s">
        <v>1778</v>
      </c>
      <c r="B2710" s="45" t="s">
        <v>3524</v>
      </c>
      <c r="C2710" s="45">
        <v>63.0</v>
      </c>
      <c r="D2710" s="45">
        <v>48439.0</v>
      </c>
      <c r="E2710" s="45" t="s">
        <v>4002</v>
      </c>
      <c r="F2710" s="45" t="s">
        <v>4010</v>
      </c>
      <c r="G2710" s="45" t="s">
        <v>4010</v>
      </c>
    </row>
    <row r="2711">
      <c r="A2711" s="45" t="s">
        <v>456</v>
      </c>
      <c r="B2711" s="45" t="s">
        <v>3524</v>
      </c>
      <c r="C2711" s="45">
        <v>61.0</v>
      </c>
      <c r="D2711" s="45">
        <v>48441.0</v>
      </c>
      <c r="E2711" s="45" t="s">
        <v>4002</v>
      </c>
      <c r="F2711" s="45" t="s">
        <v>4010</v>
      </c>
      <c r="G2711" s="45" t="s">
        <v>4010</v>
      </c>
    </row>
    <row r="2712">
      <c r="A2712" s="45" t="s">
        <v>550</v>
      </c>
      <c r="B2712" s="45" t="s">
        <v>3524</v>
      </c>
      <c r="C2712" s="45">
        <v>61.0</v>
      </c>
      <c r="D2712" s="45">
        <v>48443.0</v>
      </c>
      <c r="E2712" s="45" t="s">
        <v>4002</v>
      </c>
      <c r="F2712" s="45" t="s">
        <v>4010</v>
      </c>
      <c r="G2712" s="45" t="s">
        <v>4010</v>
      </c>
    </row>
    <row r="2713">
      <c r="A2713" s="45" t="s">
        <v>1779</v>
      </c>
      <c r="B2713" s="45" t="s">
        <v>3524</v>
      </c>
      <c r="C2713" s="45">
        <v>48.0</v>
      </c>
      <c r="D2713" s="45">
        <v>48445.0</v>
      </c>
      <c r="E2713" s="45" t="s">
        <v>3977</v>
      </c>
      <c r="F2713" s="45" t="s">
        <v>3976</v>
      </c>
      <c r="G2713" s="45" t="s">
        <v>4010</v>
      </c>
    </row>
    <row r="2714">
      <c r="A2714" s="45" t="s">
        <v>1780</v>
      </c>
      <c r="B2714" s="45" t="s">
        <v>3524</v>
      </c>
      <c r="C2714" s="45">
        <v>63.0</v>
      </c>
      <c r="D2714" s="45">
        <v>48447.0</v>
      </c>
      <c r="E2714" s="45" t="s">
        <v>4002</v>
      </c>
      <c r="F2714" s="45" t="s">
        <v>4010</v>
      </c>
      <c r="G2714" s="45" t="s">
        <v>4010</v>
      </c>
    </row>
    <row r="2715">
      <c r="A2715" s="45" t="s">
        <v>1781</v>
      </c>
      <c r="B2715" s="45" t="s">
        <v>3524</v>
      </c>
      <c r="C2715" s="45">
        <v>57.0</v>
      </c>
      <c r="D2715" s="45">
        <v>48449.0</v>
      </c>
      <c r="E2715" s="45" t="s">
        <v>3977</v>
      </c>
      <c r="F2715" s="45" t="s">
        <v>3976</v>
      </c>
      <c r="G2715" s="45" t="s">
        <v>4010</v>
      </c>
    </row>
    <row r="2716">
      <c r="A2716" s="45" t="s">
        <v>1782</v>
      </c>
      <c r="B2716" s="45" t="s">
        <v>3524</v>
      </c>
      <c r="C2716" s="45">
        <v>61.0</v>
      </c>
      <c r="D2716" s="45">
        <v>48451.0</v>
      </c>
      <c r="E2716" s="45" t="s">
        <v>4002</v>
      </c>
      <c r="F2716" s="45" t="s">
        <v>4010</v>
      </c>
      <c r="G2716" s="45" t="s">
        <v>4010</v>
      </c>
    </row>
    <row r="2717">
      <c r="A2717" s="45" t="s">
        <v>1783</v>
      </c>
      <c r="B2717" s="45" t="s">
        <v>3524</v>
      </c>
      <c r="C2717" s="45">
        <v>64.0</v>
      </c>
      <c r="D2717" s="45">
        <v>48453.0</v>
      </c>
      <c r="E2717" s="45" t="s">
        <v>4002</v>
      </c>
      <c r="F2717" s="45" t="s">
        <v>4010</v>
      </c>
      <c r="G2717" s="45" t="s">
        <v>4010</v>
      </c>
    </row>
    <row r="2718">
      <c r="A2718" s="45" t="s">
        <v>332</v>
      </c>
      <c r="B2718" s="45" t="s">
        <v>3524</v>
      </c>
      <c r="C2718" s="45">
        <v>66.0</v>
      </c>
      <c r="D2718" s="45">
        <v>48455.0</v>
      </c>
      <c r="E2718" s="45" t="s">
        <v>3973</v>
      </c>
      <c r="F2718" s="45" t="s">
        <v>3974</v>
      </c>
      <c r="G2718" s="45" t="s">
        <v>4010</v>
      </c>
    </row>
    <row r="2719">
      <c r="A2719" s="45" t="s">
        <v>1784</v>
      </c>
      <c r="B2719" s="45" t="s">
        <v>3524</v>
      </c>
      <c r="C2719" s="45">
        <v>66.0</v>
      </c>
      <c r="D2719" s="45">
        <v>48457.0</v>
      </c>
      <c r="E2719" s="45" t="s">
        <v>4002</v>
      </c>
      <c r="F2719" s="45" t="s">
        <v>3974</v>
      </c>
      <c r="G2719" s="45" t="s">
        <v>4010</v>
      </c>
    </row>
    <row r="2720">
      <c r="A2720" s="45" t="s">
        <v>1785</v>
      </c>
      <c r="B2720" s="45" t="s">
        <v>3524</v>
      </c>
      <c r="C2720" s="45">
        <v>57.0</v>
      </c>
      <c r="D2720" s="45">
        <v>48459.0</v>
      </c>
      <c r="E2720" s="45" t="s">
        <v>3977</v>
      </c>
      <c r="F2720" s="45" t="s">
        <v>3976</v>
      </c>
      <c r="G2720" s="45" t="s">
        <v>4010</v>
      </c>
    </row>
    <row r="2721">
      <c r="A2721" s="45" t="s">
        <v>1786</v>
      </c>
      <c r="B2721" s="45" t="s">
        <v>3524</v>
      </c>
      <c r="C2721" s="45">
        <v>62.0</v>
      </c>
      <c r="D2721" s="45">
        <v>48461.0</v>
      </c>
      <c r="E2721" s="45" t="s">
        <v>4002</v>
      </c>
      <c r="F2721" s="45" t="s">
        <v>4010</v>
      </c>
      <c r="G2721" s="45" t="s">
        <v>4010</v>
      </c>
    </row>
    <row r="2722">
      <c r="A2722" s="45" t="s">
        <v>1787</v>
      </c>
      <c r="B2722" s="45" t="s">
        <v>3524</v>
      </c>
      <c r="C2722" s="45">
        <v>65.0</v>
      </c>
      <c r="D2722" s="45">
        <v>48463.0</v>
      </c>
      <c r="E2722" s="45" t="s">
        <v>4002</v>
      </c>
      <c r="F2722" s="45" t="s">
        <v>4010</v>
      </c>
      <c r="G2722" s="45" t="s">
        <v>4010</v>
      </c>
    </row>
    <row r="2723">
      <c r="A2723" s="45" t="s">
        <v>1788</v>
      </c>
      <c r="B2723" s="45" t="s">
        <v>3524</v>
      </c>
      <c r="C2723" s="45">
        <v>61.0</v>
      </c>
      <c r="D2723" s="45">
        <v>48465.0</v>
      </c>
      <c r="E2723" s="45" t="s">
        <v>4002</v>
      </c>
      <c r="F2723" s="45" t="s">
        <v>4010</v>
      </c>
      <c r="G2723" s="45" t="s">
        <v>4010</v>
      </c>
    </row>
    <row r="2724">
      <c r="A2724" s="45" t="s">
        <v>1789</v>
      </c>
      <c r="B2724" s="45" t="s">
        <v>3524</v>
      </c>
      <c r="C2724" s="45">
        <v>63.0</v>
      </c>
      <c r="D2724" s="45">
        <v>48467.0</v>
      </c>
      <c r="E2724" s="45" t="s">
        <v>4002</v>
      </c>
      <c r="F2724" s="45" t="s">
        <v>4010</v>
      </c>
      <c r="G2724" s="45" t="s">
        <v>4010</v>
      </c>
    </row>
    <row r="2725">
      <c r="A2725" s="45" t="s">
        <v>1790</v>
      </c>
      <c r="B2725" s="45" t="s">
        <v>3524</v>
      </c>
      <c r="C2725" s="45">
        <v>65.0</v>
      </c>
      <c r="D2725" s="45">
        <v>48469.0</v>
      </c>
      <c r="E2725" s="45" t="s">
        <v>4002</v>
      </c>
      <c r="F2725" s="45" t="s">
        <v>4010</v>
      </c>
      <c r="G2725" s="45" t="s">
        <v>4010</v>
      </c>
    </row>
    <row r="2726">
      <c r="A2726" s="45" t="s">
        <v>166</v>
      </c>
      <c r="B2726" s="45" t="s">
        <v>3524</v>
      </c>
      <c r="C2726" s="45">
        <v>64.0</v>
      </c>
      <c r="D2726" s="45">
        <v>48471.0</v>
      </c>
      <c r="E2726" s="45" t="s">
        <v>3973</v>
      </c>
      <c r="F2726" s="45" t="s">
        <v>3974</v>
      </c>
      <c r="G2726" s="45" t="s">
        <v>3976</v>
      </c>
    </row>
    <row r="2727">
      <c r="A2727" s="45" t="s">
        <v>1791</v>
      </c>
      <c r="B2727" s="45" t="s">
        <v>3524</v>
      </c>
      <c r="C2727" s="45">
        <v>64.0</v>
      </c>
      <c r="D2727" s="45">
        <v>48473.0</v>
      </c>
      <c r="E2727" s="45" t="s">
        <v>4002</v>
      </c>
      <c r="F2727" s="45" t="s">
        <v>4010</v>
      </c>
      <c r="G2727" s="45" t="s">
        <v>3976</v>
      </c>
    </row>
    <row r="2728">
      <c r="A2728" s="45" t="s">
        <v>1420</v>
      </c>
      <c r="B2728" s="45" t="s">
        <v>3524</v>
      </c>
      <c r="C2728" s="45">
        <v>62.0</v>
      </c>
      <c r="D2728" s="45">
        <v>48475.0</v>
      </c>
      <c r="E2728" s="45" t="s">
        <v>4002</v>
      </c>
      <c r="F2728" s="45" t="s">
        <v>4010</v>
      </c>
      <c r="G2728" s="45" t="s">
        <v>3976</v>
      </c>
    </row>
    <row r="2729">
      <c r="A2729" s="45" t="s">
        <v>167</v>
      </c>
      <c r="B2729" s="45" t="s">
        <v>3524</v>
      </c>
      <c r="C2729" s="45">
        <v>64.0</v>
      </c>
      <c r="D2729" s="45">
        <v>48477.0</v>
      </c>
      <c r="E2729" s="45" t="s">
        <v>4002</v>
      </c>
      <c r="F2729" s="45" t="s">
        <v>4010</v>
      </c>
      <c r="G2729" s="45" t="s">
        <v>3976</v>
      </c>
    </row>
    <row r="2730">
      <c r="A2730" s="45" t="s">
        <v>1792</v>
      </c>
      <c r="B2730" s="45" t="s">
        <v>3524</v>
      </c>
      <c r="C2730" s="45">
        <v>65.0</v>
      </c>
      <c r="D2730" s="45">
        <v>48479.0</v>
      </c>
      <c r="E2730" s="45" t="s">
        <v>4002</v>
      </c>
      <c r="F2730" s="45" t="s">
        <v>4010</v>
      </c>
      <c r="G2730" s="45" t="s">
        <v>3976</v>
      </c>
    </row>
    <row r="2731">
      <c r="A2731" s="45" t="s">
        <v>1793</v>
      </c>
      <c r="B2731" s="45" t="s">
        <v>3524</v>
      </c>
      <c r="C2731" s="45">
        <v>65.0</v>
      </c>
      <c r="D2731" s="45">
        <v>48481.0</v>
      </c>
      <c r="E2731" s="45" t="s">
        <v>4002</v>
      </c>
      <c r="F2731" s="45" t="s">
        <v>4010</v>
      </c>
      <c r="G2731" s="45" t="s">
        <v>3976</v>
      </c>
    </row>
    <row r="2732">
      <c r="A2732" s="45" t="s">
        <v>564</v>
      </c>
      <c r="B2732" s="45" t="s">
        <v>3524</v>
      </c>
      <c r="C2732" s="45">
        <v>48.0</v>
      </c>
      <c r="D2732" s="45">
        <v>48483.0</v>
      </c>
      <c r="E2732" s="45" t="s">
        <v>3977</v>
      </c>
      <c r="F2732" s="45" t="s">
        <v>3976</v>
      </c>
      <c r="G2732" s="45" t="s">
        <v>3976</v>
      </c>
    </row>
    <row r="2733">
      <c r="A2733" s="45" t="s">
        <v>814</v>
      </c>
      <c r="B2733" s="45" t="s">
        <v>3524</v>
      </c>
      <c r="C2733" s="45">
        <v>63.0</v>
      </c>
      <c r="D2733" s="45">
        <v>48485.0</v>
      </c>
      <c r="E2733" s="45" t="s">
        <v>4002</v>
      </c>
      <c r="F2733" s="45" t="s">
        <v>4010</v>
      </c>
      <c r="G2733" s="45" t="s">
        <v>3976</v>
      </c>
    </row>
    <row r="2734">
      <c r="A2734" s="45" t="s">
        <v>1794</v>
      </c>
      <c r="B2734" s="45" t="s">
        <v>3524</v>
      </c>
      <c r="C2734" s="45">
        <v>60.0</v>
      </c>
      <c r="D2734" s="45">
        <v>48487.0</v>
      </c>
      <c r="E2734" s="45" t="s">
        <v>4002</v>
      </c>
      <c r="F2734" s="45" t="s">
        <v>4010</v>
      </c>
      <c r="G2734" s="45" t="s">
        <v>3976</v>
      </c>
    </row>
    <row r="2735">
      <c r="A2735" s="45" t="s">
        <v>1795</v>
      </c>
      <c r="B2735" s="45" t="s">
        <v>3524</v>
      </c>
      <c r="C2735" s="45">
        <v>65.0</v>
      </c>
      <c r="D2735" s="45">
        <v>48489.0</v>
      </c>
      <c r="E2735" s="45" t="s">
        <v>4002</v>
      </c>
      <c r="F2735" s="45" t="s">
        <v>4010</v>
      </c>
      <c r="G2735" s="45" t="s">
        <v>3976</v>
      </c>
    </row>
    <row r="2736">
      <c r="A2736" s="45" t="s">
        <v>660</v>
      </c>
      <c r="B2736" s="45" t="s">
        <v>3524</v>
      </c>
      <c r="C2736" s="45">
        <v>64.0</v>
      </c>
      <c r="D2736" s="45">
        <v>48491.0</v>
      </c>
      <c r="E2736" s="45" t="s">
        <v>4002</v>
      </c>
      <c r="F2736" s="45" t="s">
        <v>4010</v>
      </c>
      <c r="G2736" s="45" t="s">
        <v>4010</v>
      </c>
    </row>
    <row r="2737">
      <c r="A2737" s="45" t="s">
        <v>815</v>
      </c>
      <c r="B2737" s="45" t="s">
        <v>3524</v>
      </c>
      <c r="C2737" s="45">
        <v>65.0</v>
      </c>
      <c r="D2737" s="45">
        <v>48493.0</v>
      </c>
      <c r="E2737" s="45" t="s">
        <v>4002</v>
      </c>
      <c r="F2737" s="45" t="s">
        <v>4010</v>
      </c>
      <c r="G2737" s="45" t="s">
        <v>4010</v>
      </c>
    </row>
    <row r="2738">
      <c r="A2738" s="45" t="s">
        <v>1796</v>
      </c>
      <c r="B2738" s="45" t="s">
        <v>3524</v>
      </c>
      <c r="C2738" s="45">
        <v>62.0</v>
      </c>
      <c r="D2738" s="45">
        <v>48495.0</v>
      </c>
      <c r="E2738" s="45" t="s">
        <v>4002</v>
      </c>
      <c r="F2738" s="45" t="s">
        <v>4010</v>
      </c>
      <c r="G2738" s="45" t="s">
        <v>4010</v>
      </c>
    </row>
    <row r="2739">
      <c r="A2739" s="45" t="s">
        <v>1797</v>
      </c>
      <c r="B2739" s="45" t="s">
        <v>3524</v>
      </c>
      <c r="C2739" s="45">
        <v>63.0</v>
      </c>
      <c r="D2739" s="45">
        <v>48497.0</v>
      </c>
      <c r="E2739" s="45" t="s">
        <v>4002</v>
      </c>
      <c r="F2739" s="45" t="s">
        <v>4010</v>
      </c>
      <c r="G2739" s="45" t="s">
        <v>4010</v>
      </c>
    </row>
    <row r="2740">
      <c r="A2740" s="45" t="s">
        <v>1455</v>
      </c>
      <c r="B2740" s="45" t="s">
        <v>3524</v>
      </c>
      <c r="C2740" s="45">
        <v>63.0</v>
      </c>
      <c r="D2740" s="45">
        <v>48499.0</v>
      </c>
      <c r="E2740" s="45" t="s">
        <v>3977</v>
      </c>
      <c r="F2740" s="45" t="s">
        <v>3976</v>
      </c>
      <c r="G2740" s="45" t="s">
        <v>4010</v>
      </c>
    </row>
    <row r="2741">
      <c r="A2741" s="45" t="s">
        <v>1798</v>
      </c>
      <c r="B2741" s="45" t="s">
        <v>3524</v>
      </c>
      <c r="C2741" s="45">
        <v>48.0</v>
      </c>
      <c r="D2741" s="45">
        <v>48501.0</v>
      </c>
      <c r="E2741" s="45" t="s">
        <v>3977</v>
      </c>
      <c r="F2741" s="45" t="s">
        <v>3976</v>
      </c>
      <c r="G2741" s="45" t="s">
        <v>4010</v>
      </c>
    </row>
    <row r="2742">
      <c r="A2742" s="45" t="s">
        <v>1799</v>
      </c>
      <c r="B2742" s="45" t="s">
        <v>3524</v>
      </c>
      <c r="C2742" s="45">
        <v>63.0</v>
      </c>
      <c r="D2742" s="45">
        <v>48503.0</v>
      </c>
      <c r="E2742" s="45" t="s">
        <v>4002</v>
      </c>
      <c r="F2742" s="45" t="s">
        <v>4010</v>
      </c>
      <c r="G2742" s="45" t="s">
        <v>4010</v>
      </c>
    </row>
    <row r="2743">
      <c r="A2743" s="45" t="s">
        <v>1800</v>
      </c>
      <c r="B2743" s="45" t="s">
        <v>3524</v>
      </c>
      <c r="C2743" s="45">
        <v>65.0</v>
      </c>
      <c r="D2743" s="45">
        <v>48505.0</v>
      </c>
      <c r="E2743" s="45" t="s">
        <v>4002</v>
      </c>
      <c r="F2743" s="45" t="s">
        <v>4010</v>
      </c>
      <c r="G2743" s="45" t="s">
        <v>4010</v>
      </c>
    </row>
    <row r="2744">
      <c r="A2744" s="45" t="s">
        <v>1801</v>
      </c>
      <c r="B2744" s="45" t="s">
        <v>3524</v>
      </c>
      <c r="C2744" s="45">
        <v>65.0</v>
      </c>
      <c r="D2744" s="45">
        <v>48507.0</v>
      </c>
      <c r="E2744" s="45" t="s">
        <v>4002</v>
      </c>
      <c r="F2744" s="45" t="s">
        <v>4010</v>
      </c>
      <c r="G2744" s="45" t="s">
        <v>4010</v>
      </c>
    </row>
    <row r="2745">
      <c r="A2745" s="45" t="s">
        <v>1460</v>
      </c>
      <c r="B2745" s="45" t="s">
        <v>3687</v>
      </c>
      <c r="C2745" s="45">
        <v>25.0</v>
      </c>
      <c r="D2745" s="45">
        <v>49001.0</v>
      </c>
      <c r="E2745" s="45" t="s">
        <v>3980</v>
      </c>
      <c r="F2745" s="45" t="s">
        <v>3990</v>
      </c>
      <c r="G2745" s="45" t="s">
        <v>4010</v>
      </c>
    </row>
    <row r="2746">
      <c r="A2746" s="45" t="s">
        <v>1803</v>
      </c>
      <c r="B2746" s="45" t="s">
        <v>3687</v>
      </c>
      <c r="C2746" s="45">
        <v>25.0</v>
      </c>
      <c r="D2746" s="45">
        <v>49003.0</v>
      </c>
      <c r="E2746" s="45" t="s">
        <v>3980</v>
      </c>
      <c r="F2746" s="45" t="s">
        <v>3990</v>
      </c>
      <c r="G2746" s="45" t="s">
        <v>4010</v>
      </c>
    </row>
    <row r="2747">
      <c r="A2747" s="45" t="s">
        <v>1804</v>
      </c>
      <c r="B2747" s="45" t="s">
        <v>3687</v>
      </c>
      <c r="C2747" s="45">
        <v>25.0</v>
      </c>
      <c r="D2747" s="45">
        <v>49005.0</v>
      </c>
      <c r="E2747" s="45" t="s">
        <v>3980</v>
      </c>
      <c r="F2747" s="45" t="s">
        <v>3990</v>
      </c>
      <c r="G2747" s="45" t="s">
        <v>4010</v>
      </c>
    </row>
    <row r="2748">
      <c r="A2748" s="45" t="s">
        <v>1165</v>
      </c>
      <c r="B2748" s="45" t="s">
        <v>3687</v>
      </c>
      <c r="C2748" s="45">
        <v>25.0</v>
      </c>
      <c r="D2748" s="45">
        <v>49007.0</v>
      </c>
      <c r="E2748" s="45" t="s">
        <v>3980</v>
      </c>
      <c r="F2748" s="45" t="s">
        <v>3990</v>
      </c>
      <c r="G2748" s="45" t="s">
        <v>4010</v>
      </c>
    </row>
    <row r="2749">
      <c r="A2749" s="45" t="s">
        <v>1805</v>
      </c>
      <c r="B2749" s="45" t="s">
        <v>3687</v>
      </c>
      <c r="C2749" s="45">
        <v>26.0</v>
      </c>
      <c r="D2749" s="45">
        <v>49009.0</v>
      </c>
      <c r="E2749" s="45" t="s">
        <v>3980</v>
      </c>
      <c r="F2749" s="45" t="s">
        <v>3990</v>
      </c>
      <c r="G2749" s="45" t="s">
        <v>4010</v>
      </c>
    </row>
    <row r="2750">
      <c r="A2750" s="45" t="s">
        <v>717</v>
      </c>
      <c r="B2750" s="45" t="s">
        <v>3687</v>
      </c>
      <c r="C2750" s="45">
        <v>25.0</v>
      </c>
      <c r="D2750" s="45">
        <v>49011.0</v>
      </c>
      <c r="E2750" s="45" t="s">
        <v>3980</v>
      </c>
      <c r="F2750" s="45" t="s">
        <v>3990</v>
      </c>
      <c r="G2750" s="45" t="s">
        <v>4010</v>
      </c>
    </row>
    <row r="2751">
      <c r="A2751" s="45" t="s">
        <v>1806</v>
      </c>
      <c r="B2751" s="45" t="s">
        <v>3687</v>
      </c>
      <c r="C2751" s="45">
        <v>26.0</v>
      </c>
      <c r="D2751" s="45">
        <v>49013.0</v>
      </c>
      <c r="E2751" s="45" t="s">
        <v>3980</v>
      </c>
      <c r="F2751" s="45" t="s">
        <v>3990</v>
      </c>
      <c r="G2751" s="45" t="s">
        <v>4010</v>
      </c>
    </row>
    <row r="2752">
      <c r="A2752" s="45" t="s">
        <v>1807</v>
      </c>
      <c r="B2752" s="45" t="s">
        <v>3687</v>
      </c>
      <c r="C2752" s="45">
        <v>25.0</v>
      </c>
      <c r="D2752" s="45">
        <v>49015.0</v>
      </c>
      <c r="E2752" s="45" t="s">
        <v>3980</v>
      </c>
      <c r="F2752" s="45" t="s">
        <v>3990</v>
      </c>
      <c r="G2752" s="45" t="s">
        <v>4010</v>
      </c>
    </row>
    <row r="2753">
      <c r="A2753" s="45" t="s">
        <v>362</v>
      </c>
      <c r="B2753" s="45" t="s">
        <v>3687</v>
      </c>
      <c r="C2753" s="45">
        <v>25.0</v>
      </c>
      <c r="D2753" s="45">
        <v>49017.0</v>
      </c>
      <c r="E2753" s="45" t="s">
        <v>3980</v>
      </c>
      <c r="F2753" s="45" t="s">
        <v>3990</v>
      </c>
      <c r="G2753" s="45" t="s">
        <v>4010</v>
      </c>
    </row>
    <row r="2754">
      <c r="A2754" s="45" t="s">
        <v>364</v>
      </c>
      <c r="B2754" s="45" t="s">
        <v>3687</v>
      </c>
      <c r="C2754" s="45">
        <v>25.0</v>
      </c>
      <c r="D2754" s="45">
        <v>49019.0</v>
      </c>
      <c r="E2754" s="45" t="s">
        <v>3980</v>
      </c>
      <c r="F2754" s="45" t="s">
        <v>3990</v>
      </c>
      <c r="G2754" s="45" t="s">
        <v>4010</v>
      </c>
    </row>
    <row r="2755">
      <c r="A2755" s="45" t="s">
        <v>989</v>
      </c>
      <c r="B2755" s="45" t="s">
        <v>3687</v>
      </c>
      <c r="C2755" s="45">
        <v>25.0</v>
      </c>
      <c r="D2755" s="45">
        <v>49021.0</v>
      </c>
      <c r="E2755" s="45" t="s">
        <v>3980</v>
      </c>
      <c r="F2755" s="45" t="s">
        <v>3990</v>
      </c>
      <c r="G2755" s="45" t="s">
        <v>4010</v>
      </c>
    </row>
    <row r="2756">
      <c r="A2756" s="45" t="s">
        <v>1808</v>
      </c>
      <c r="B2756" s="45" t="s">
        <v>3687</v>
      </c>
      <c r="C2756" s="45">
        <v>25.0</v>
      </c>
      <c r="D2756" s="45">
        <v>49023.0</v>
      </c>
      <c r="E2756" s="45" t="s">
        <v>3980</v>
      </c>
      <c r="F2756" s="45" t="s">
        <v>3990</v>
      </c>
      <c r="G2756" s="45" t="s">
        <v>4010</v>
      </c>
    </row>
    <row r="2757">
      <c r="A2757" s="45" t="s">
        <v>631</v>
      </c>
      <c r="B2757" s="45" t="s">
        <v>3687</v>
      </c>
      <c r="C2757" s="45">
        <v>25.0</v>
      </c>
      <c r="D2757" s="45">
        <v>49025.0</v>
      </c>
      <c r="E2757" s="45" t="s">
        <v>3980</v>
      </c>
      <c r="F2757" s="45" t="s">
        <v>3990</v>
      </c>
      <c r="G2757" s="45" t="s">
        <v>4010</v>
      </c>
    </row>
    <row r="2758">
      <c r="A2758" s="45" t="s">
        <v>1809</v>
      </c>
      <c r="B2758" s="45" t="s">
        <v>3687</v>
      </c>
      <c r="C2758" s="45">
        <v>25.0</v>
      </c>
      <c r="D2758" s="45">
        <v>49027.0</v>
      </c>
      <c r="E2758" s="45" t="s">
        <v>3980</v>
      </c>
      <c r="F2758" s="45" t="s">
        <v>3990</v>
      </c>
      <c r="G2758" s="45" t="s">
        <v>4010</v>
      </c>
    </row>
    <row r="2759">
      <c r="A2759" s="45" t="s">
        <v>154</v>
      </c>
      <c r="B2759" s="45" t="s">
        <v>3687</v>
      </c>
      <c r="C2759" s="45">
        <v>26.0</v>
      </c>
      <c r="D2759" s="45">
        <v>49029.0</v>
      </c>
      <c r="E2759" s="45" t="s">
        <v>3980</v>
      </c>
      <c r="F2759" s="45" t="s">
        <v>3990</v>
      </c>
      <c r="G2759" s="45" t="s">
        <v>4010</v>
      </c>
    </row>
    <row r="2760">
      <c r="A2760" s="45" t="s">
        <v>1810</v>
      </c>
      <c r="B2760" s="45" t="s">
        <v>3687</v>
      </c>
      <c r="C2760" s="45">
        <v>25.0</v>
      </c>
      <c r="D2760" s="45">
        <v>49031.0</v>
      </c>
      <c r="E2760" s="45" t="s">
        <v>3980</v>
      </c>
      <c r="F2760" s="45" t="s">
        <v>3990</v>
      </c>
      <c r="G2760" s="45" t="s">
        <v>4010</v>
      </c>
    </row>
    <row r="2761">
      <c r="A2761" s="45" t="s">
        <v>1811</v>
      </c>
      <c r="B2761" s="45" t="s">
        <v>3687</v>
      </c>
      <c r="C2761" s="45">
        <v>26.0</v>
      </c>
      <c r="D2761" s="45">
        <v>49033.0</v>
      </c>
      <c r="E2761" s="45" t="s">
        <v>3980</v>
      </c>
      <c r="F2761" s="45" t="s">
        <v>3990</v>
      </c>
      <c r="G2761" s="45" t="s">
        <v>4010</v>
      </c>
    </row>
    <row r="2762">
      <c r="A2762" s="45" t="s">
        <v>1812</v>
      </c>
      <c r="B2762" s="45" t="s">
        <v>3687</v>
      </c>
      <c r="C2762" s="45">
        <v>25.0</v>
      </c>
      <c r="D2762" s="45">
        <v>49035.0</v>
      </c>
      <c r="E2762" s="45" t="s">
        <v>3980</v>
      </c>
      <c r="F2762" s="45" t="s">
        <v>3990</v>
      </c>
      <c r="G2762" s="45" t="s">
        <v>3974</v>
      </c>
    </row>
    <row r="2763">
      <c r="A2763" s="45" t="s">
        <v>388</v>
      </c>
      <c r="B2763" s="45" t="s">
        <v>3687</v>
      </c>
      <c r="C2763" s="45">
        <v>25.0</v>
      </c>
      <c r="D2763" s="45">
        <v>49037.0</v>
      </c>
      <c r="E2763" s="45" t="s">
        <v>3980</v>
      </c>
      <c r="F2763" s="45" t="s">
        <v>3990</v>
      </c>
      <c r="G2763" s="45" t="s">
        <v>3974</v>
      </c>
    </row>
    <row r="2764">
      <c r="A2764" s="45" t="s">
        <v>1813</v>
      </c>
      <c r="B2764" s="45" t="s">
        <v>3687</v>
      </c>
      <c r="C2764" s="45">
        <v>25.0</v>
      </c>
      <c r="D2764" s="45">
        <v>49039.0</v>
      </c>
      <c r="E2764" s="45" t="s">
        <v>3980</v>
      </c>
      <c r="F2764" s="45" t="s">
        <v>3990</v>
      </c>
      <c r="G2764" s="45" t="s">
        <v>3974</v>
      </c>
    </row>
    <row r="2765">
      <c r="A2765" s="45" t="s">
        <v>270</v>
      </c>
      <c r="B2765" s="45" t="s">
        <v>3687</v>
      </c>
      <c r="C2765" s="45">
        <v>25.0</v>
      </c>
      <c r="D2765" s="45">
        <v>49041.0</v>
      </c>
      <c r="E2765" s="45" t="s">
        <v>3980</v>
      </c>
      <c r="F2765" s="45" t="s">
        <v>3990</v>
      </c>
      <c r="G2765" s="45" t="s">
        <v>3974</v>
      </c>
    </row>
    <row r="2766">
      <c r="A2766" s="45" t="s">
        <v>391</v>
      </c>
      <c r="B2766" s="45" t="s">
        <v>3687</v>
      </c>
      <c r="C2766" s="45">
        <v>26.0</v>
      </c>
      <c r="D2766" s="45">
        <v>49043.0</v>
      </c>
      <c r="E2766" s="45" t="s">
        <v>3980</v>
      </c>
      <c r="F2766" s="45" t="s">
        <v>3990</v>
      </c>
      <c r="G2766" s="45" t="s">
        <v>3974</v>
      </c>
    </row>
    <row r="2767">
      <c r="A2767" s="45" t="s">
        <v>1814</v>
      </c>
      <c r="B2767" s="45" t="s">
        <v>3687</v>
      </c>
      <c r="C2767" s="45">
        <v>25.0</v>
      </c>
      <c r="D2767" s="45">
        <v>49045.0</v>
      </c>
      <c r="E2767" s="45" t="s">
        <v>3980</v>
      </c>
      <c r="F2767" s="45" t="s">
        <v>3990</v>
      </c>
      <c r="G2767" s="45" t="s">
        <v>3974</v>
      </c>
    </row>
    <row r="2768">
      <c r="A2768" s="45" t="s">
        <v>1815</v>
      </c>
      <c r="B2768" s="45" t="s">
        <v>3687</v>
      </c>
      <c r="C2768" s="45">
        <v>26.0</v>
      </c>
      <c r="D2768" s="45">
        <v>49047.0</v>
      </c>
      <c r="E2768" s="45" t="s">
        <v>3980</v>
      </c>
      <c r="F2768" s="45" t="s">
        <v>3990</v>
      </c>
      <c r="G2768" s="45" t="s">
        <v>3974</v>
      </c>
    </row>
    <row r="2769">
      <c r="A2769" s="45" t="s">
        <v>1802</v>
      </c>
      <c r="B2769" s="45" t="s">
        <v>3687</v>
      </c>
      <c r="C2769" s="45">
        <v>25.0</v>
      </c>
      <c r="D2769" s="45">
        <v>49049.0</v>
      </c>
      <c r="E2769" s="45" t="s">
        <v>3980</v>
      </c>
      <c r="F2769" s="45" t="s">
        <v>3990</v>
      </c>
      <c r="G2769" s="45" t="s">
        <v>3974</v>
      </c>
    </row>
    <row r="2770">
      <c r="A2770" s="45" t="s">
        <v>1816</v>
      </c>
      <c r="B2770" s="45" t="s">
        <v>3687</v>
      </c>
      <c r="C2770" s="45">
        <v>26.0</v>
      </c>
      <c r="D2770" s="45">
        <v>49051.0</v>
      </c>
      <c r="E2770" s="45" t="s">
        <v>3980</v>
      </c>
      <c r="F2770" s="45" t="s">
        <v>3990</v>
      </c>
      <c r="G2770" s="45" t="s">
        <v>3974</v>
      </c>
    </row>
    <row r="2771">
      <c r="A2771" s="45" t="s">
        <v>167</v>
      </c>
      <c r="B2771" s="45" t="s">
        <v>3687</v>
      </c>
      <c r="C2771" s="45">
        <v>25.0</v>
      </c>
      <c r="D2771" s="45">
        <v>49053.0</v>
      </c>
      <c r="E2771" s="45" t="s">
        <v>3980</v>
      </c>
      <c r="F2771" s="45" t="s">
        <v>3990</v>
      </c>
      <c r="G2771" s="45" t="s">
        <v>3974</v>
      </c>
    </row>
    <row r="2772">
      <c r="A2772" s="45" t="s">
        <v>562</v>
      </c>
      <c r="B2772" s="45" t="s">
        <v>3687</v>
      </c>
      <c r="C2772" s="45">
        <v>25.0</v>
      </c>
      <c r="D2772" s="45">
        <v>49055.0</v>
      </c>
      <c r="E2772" s="45" t="s">
        <v>3980</v>
      </c>
      <c r="F2772" s="45" t="s">
        <v>3990</v>
      </c>
      <c r="G2772" s="45" t="s">
        <v>3974</v>
      </c>
    </row>
    <row r="2773">
      <c r="A2773" s="45" t="s">
        <v>1817</v>
      </c>
      <c r="B2773" s="45" t="s">
        <v>3687</v>
      </c>
      <c r="C2773" s="45">
        <v>25.0</v>
      </c>
      <c r="D2773" s="45">
        <v>49057.0</v>
      </c>
      <c r="E2773" s="45" t="s">
        <v>3980</v>
      </c>
      <c r="F2773" s="45" t="s">
        <v>3990</v>
      </c>
      <c r="G2773" s="45" t="s">
        <v>3974</v>
      </c>
    </row>
    <row r="2774">
      <c r="A2774" s="45" t="s">
        <v>1818</v>
      </c>
      <c r="B2774" s="45" t="s">
        <v>3704</v>
      </c>
      <c r="C2774" s="45">
        <v>129.0</v>
      </c>
      <c r="D2774" s="45">
        <v>50001.0</v>
      </c>
      <c r="E2774" s="45" t="s">
        <v>3984</v>
      </c>
      <c r="F2774" s="45" t="s">
        <v>3985</v>
      </c>
      <c r="G2774" s="45" t="s">
        <v>3974</v>
      </c>
    </row>
    <row r="2775">
      <c r="A2775" s="45" t="s">
        <v>1820</v>
      </c>
      <c r="B2775" s="45" t="s">
        <v>3704</v>
      </c>
      <c r="C2775" s="45">
        <v>129.0</v>
      </c>
      <c r="D2775" s="45">
        <v>50003.0</v>
      </c>
      <c r="E2775" s="45" t="s">
        <v>3984</v>
      </c>
      <c r="F2775" s="45" t="s">
        <v>3985</v>
      </c>
      <c r="G2775" s="45" t="s">
        <v>3974</v>
      </c>
    </row>
    <row r="2776">
      <c r="A2776" s="45" t="s">
        <v>1821</v>
      </c>
      <c r="B2776" s="45" t="s">
        <v>3704</v>
      </c>
      <c r="C2776" s="45">
        <v>129.0</v>
      </c>
      <c r="D2776" s="45">
        <v>50005.0</v>
      </c>
      <c r="E2776" s="45" t="s">
        <v>3984</v>
      </c>
      <c r="F2776" s="45" t="s">
        <v>3985</v>
      </c>
      <c r="G2776" s="45" t="s">
        <v>3974</v>
      </c>
    </row>
    <row r="2777">
      <c r="A2777" s="45" t="s">
        <v>1822</v>
      </c>
      <c r="B2777" s="45" t="s">
        <v>3704</v>
      </c>
      <c r="C2777" s="45">
        <v>129.0</v>
      </c>
      <c r="D2777" s="45">
        <v>50007.0</v>
      </c>
      <c r="E2777" s="45" t="s">
        <v>3984</v>
      </c>
      <c r="F2777" s="45" t="s">
        <v>3985</v>
      </c>
      <c r="G2777" s="45" t="s">
        <v>3974</v>
      </c>
    </row>
    <row r="2778">
      <c r="A2778" s="45" t="s">
        <v>956</v>
      </c>
      <c r="B2778" s="45" t="s">
        <v>3704</v>
      </c>
      <c r="C2778" s="45">
        <v>129.0</v>
      </c>
      <c r="D2778" s="45">
        <v>50009.0</v>
      </c>
      <c r="E2778" s="45" t="s">
        <v>3984</v>
      </c>
      <c r="F2778" s="45" t="s">
        <v>3985</v>
      </c>
      <c r="G2778" s="45" t="s">
        <v>3972</v>
      </c>
    </row>
    <row r="2779">
      <c r="A2779" s="45" t="s">
        <v>132</v>
      </c>
      <c r="B2779" s="45" t="s">
        <v>3704</v>
      </c>
      <c r="C2779" s="45">
        <v>129.0</v>
      </c>
      <c r="D2779" s="45">
        <v>50011.0</v>
      </c>
      <c r="E2779" s="45" t="s">
        <v>3984</v>
      </c>
      <c r="F2779" s="45" t="s">
        <v>3985</v>
      </c>
      <c r="G2779" s="45" t="s">
        <v>3990</v>
      </c>
    </row>
    <row r="2780">
      <c r="A2780" s="45" t="s">
        <v>1823</v>
      </c>
      <c r="B2780" s="45" t="s">
        <v>3704</v>
      </c>
      <c r="C2780" s="45">
        <v>129.0</v>
      </c>
      <c r="D2780" s="45">
        <v>50013.0</v>
      </c>
      <c r="E2780" s="45" t="s">
        <v>3984</v>
      </c>
      <c r="F2780" s="45" t="s">
        <v>3985</v>
      </c>
      <c r="G2780" s="45" t="s">
        <v>3990</v>
      </c>
    </row>
    <row r="2781">
      <c r="A2781" s="45" t="s">
        <v>1824</v>
      </c>
      <c r="B2781" s="45" t="s">
        <v>3704</v>
      </c>
      <c r="C2781" s="45">
        <v>129.0</v>
      </c>
      <c r="D2781" s="45">
        <v>50015.0</v>
      </c>
      <c r="E2781" s="45" t="s">
        <v>3984</v>
      </c>
      <c r="F2781" s="45" t="s">
        <v>3985</v>
      </c>
      <c r="G2781" s="45" t="s">
        <v>3990</v>
      </c>
    </row>
    <row r="2782">
      <c r="A2782" s="45" t="s">
        <v>310</v>
      </c>
      <c r="B2782" s="45" t="s">
        <v>3704</v>
      </c>
      <c r="C2782" s="45">
        <v>129.0</v>
      </c>
      <c r="D2782" s="45">
        <v>50017.0</v>
      </c>
      <c r="E2782" s="45" t="s">
        <v>3984</v>
      </c>
      <c r="F2782" s="45" t="s">
        <v>3985</v>
      </c>
      <c r="G2782" s="45" t="s">
        <v>3990</v>
      </c>
    </row>
    <row r="2783">
      <c r="A2783" s="45" t="s">
        <v>899</v>
      </c>
      <c r="B2783" s="45" t="s">
        <v>3704</v>
      </c>
      <c r="C2783" s="45">
        <v>129.0</v>
      </c>
      <c r="D2783" s="45">
        <v>50019.0</v>
      </c>
      <c r="E2783" s="45" t="s">
        <v>3984</v>
      </c>
      <c r="F2783" s="45" t="s">
        <v>3985</v>
      </c>
      <c r="G2783" s="45" t="s">
        <v>3990</v>
      </c>
    </row>
    <row r="2784">
      <c r="A2784" s="45" t="s">
        <v>1825</v>
      </c>
      <c r="B2784" s="45" t="s">
        <v>3704</v>
      </c>
      <c r="C2784" s="45">
        <v>129.0</v>
      </c>
      <c r="D2784" s="45">
        <v>50021.0</v>
      </c>
      <c r="E2784" s="45" t="s">
        <v>3984</v>
      </c>
      <c r="F2784" s="45" t="s">
        <v>3985</v>
      </c>
      <c r="G2784" s="45" t="s">
        <v>3990</v>
      </c>
    </row>
    <row r="2785">
      <c r="A2785" s="45" t="s">
        <v>167</v>
      </c>
      <c r="B2785" s="45" t="s">
        <v>3704</v>
      </c>
      <c r="C2785" s="45">
        <v>129.0</v>
      </c>
      <c r="D2785" s="45">
        <v>50023.0</v>
      </c>
      <c r="E2785" s="45" t="s">
        <v>3984</v>
      </c>
      <c r="F2785" s="45" t="s">
        <v>3985</v>
      </c>
      <c r="G2785" s="45" t="s">
        <v>3990</v>
      </c>
    </row>
    <row r="2786">
      <c r="A2786" s="45" t="s">
        <v>403</v>
      </c>
      <c r="B2786" s="45" t="s">
        <v>3704</v>
      </c>
      <c r="C2786" s="45">
        <v>129.0</v>
      </c>
      <c r="D2786" s="45">
        <v>50025.0</v>
      </c>
      <c r="E2786" s="45" t="s">
        <v>3984</v>
      </c>
      <c r="F2786" s="45" t="s">
        <v>3985</v>
      </c>
      <c r="G2786" s="45" t="s">
        <v>3990</v>
      </c>
    </row>
    <row r="2787">
      <c r="A2787" s="45" t="s">
        <v>1826</v>
      </c>
      <c r="B2787" s="45" t="s">
        <v>3704</v>
      </c>
      <c r="C2787" s="45">
        <v>129.0</v>
      </c>
      <c r="D2787" s="45">
        <v>50027.0</v>
      </c>
      <c r="E2787" s="45" t="s">
        <v>3984</v>
      </c>
      <c r="F2787" s="45" t="s">
        <v>3985</v>
      </c>
      <c r="G2787" s="45" t="s">
        <v>3990</v>
      </c>
    </row>
    <row r="2788">
      <c r="A2788" s="45" t="s">
        <v>1827</v>
      </c>
      <c r="B2788" s="45" t="s">
        <v>3713</v>
      </c>
      <c r="C2788" s="45">
        <v>124.0</v>
      </c>
      <c r="D2788" s="45">
        <v>51001.0</v>
      </c>
      <c r="E2788" s="45" t="s">
        <v>3986</v>
      </c>
      <c r="F2788" s="45" t="s">
        <v>3987</v>
      </c>
      <c r="G2788" s="45" t="s">
        <v>3990</v>
      </c>
    </row>
    <row r="2789">
      <c r="A2789" s="45" t="s">
        <v>1829</v>
      </c>
      <c r="B2789" s="45" t="s">
        <v>3713</v>
      </c>
      <c r="C2789" s="45">
        <v>99.0</v>
      </c>
      <c r="D2789" s="45">
        <v>51003.0</v>
      </c>
      <c r="E2789" s="45" t="s">
        <v>4008</v>
      </c>
      <c r="F2789" s="45" t="s">
        <v>3988</v>
      </c>
      <c r="G2789" s="45" t="s">
        <v>3990</v>
      </c>
    </row>
    <row r="2790">
      <c r="A2790" s="45" t="s">
        <v>1327</v>
      </c>
      <c r="B2790" s="45" t="s">
        <v>3713</v>
      </c>
      <c r="C2790" s="45">
        <v>99.0</v>
      </c>
      <c r="D2790" s="45">
        <v>51005.0</v>
      </c>
      <c r="E2790" s="45" t="s">
        <v>4008</v>
      </c>
      <c r="F2790" s="45" t="s">
        <v>3988</v>
      </c>
      <c r="G2790" s="45" t="s">
        <v>3990</v>
      </c>
    </row>
    <row r="2791">
      <c r="A2791" s="45" t="s">
        <v>1830</v>
      </c>
      <c r="B2791" s="45" t="s">
        <v>3713</v>
      </c>
      <c r="C2791" s="45">
        <v>99.0</v>
      </c>
      <c r="D2791" s="45">
        <v>51007.0</v>
      </c>
      <c r="E2791" s="45" t="s">
        <v>4008</v>
      </c>
      <c r="F2791" s="45" t="s">
        <v>3988</v>
      </c>
      <c r="G2791" s="45" t="s">
        <v>3990</v>
      </c>
    </row>
    <row r="2792">
      <c r="A2792" s="45" t="s">
        <v>1831</v>
      </c>
      <c r="B2792" s="45" t="s">
        <v>3713</v>
      </c>
      <c r="C2792" s="45">
        <v>118.0</v>
      </c>
      <c r="D2792" s="45">
        <v>51009.0</v>
      </c>
      <c r="E2792" s="45" t="s">
        <v>3993</v>
      </c>
      <c r="F2792" s="45" t="s">
        <v>3988</v>
      </c>
      <c r="G2792" s="45" t="s">
        <v>3990</v>
      </c>
    </row>
    <row r="2793">
      <c r="A2793" s="45" t="s">
        <v>1832</v>
      </c>
      <c r="B2793" s="45" t="s">
        <v>3713</v>
      </c>
      <c r="C2793" s="45">
        <v>99.0</v>
      </c>
      <c r="D2793" s="45">
        <v>51011.0</v>
      </c>
      <c r="E2793" s="45" t="s">
        <v>4008</v>
      </c>
      <c r="F2793" s="45" t="s">
        <v>3988</v>
      </c>
      <c r="G2793" s="45" t="s">
        <v>3990</v>
      </c>
    </row>
    <row r="2794">
      <c r="A2794" s="45" t="s">
        <v>1833</v>
      </c>
      <c r="B2794" s="45" t="s">
        <v>3713</v>
      </c>
      <c r="C2794" s="45">
        <v>99.0</v>
      </c>
      <c r="D2794" s="45">
        <v>51013.0</v>
      </c>
      <c r="E2794" s="45" t="s">
        <v>4008</v>
      </c>
      <c r="F2794" s="45" t="s">
        <v>3988</v>
      </c>
      <c r="G2794" s="45" t="s">
        <v>3990</v>
      </c>
    </row>
    <row r="2795">
      <c r="A2795" s="45" t="s">
        <v>1834</v>
      </c>
      <c r="B2795" s="45" t="s">
        <v>3713</v>
      </c>
      <c r="C2795" s="45">
        <v>99.0</v>
      </c>
      <c r="D2795" s="45">
        <v>51015.0</v>
      </c>
      <c r="E2795" s="45" t="s">
        <v>4008</v>
      </c>
      <c r="F2795" s="45" t="s">
        <v>3988</v>
      </c>
      <c r="G2795" s="45" t="s">
        <v>3990</v>
      </c>
    </row>
    <row r="2796">
      <c r="A2796" s="45" t="s">
        <v>821</v>
      </c>
      <c r="B2796" s="45" t="s">
        <v>3713</v>
      </c>
      <c r="C2796" s="45">
        <v>99.0</v>
      </c>
      <c r="D2796" s="45">
        <v>51017.0</v>
      </c>
      <c r="E2796" s="45" t="s">
        <v>4008</v>
      </c>
      <c r="F2796" s="45" t="s">
        <v>3988</v>
      </c>
      <c r="G2796" s="45" t="s">
        <v>3990</v>
      </c>
    </row>
    <row r="2797">
      <c r="A2797" s="45" t="s">
        <v>1517</v>
      </c>
      <c r="B2797" s="45" t="s">
        <v>3713</v>
      </c>
      <c r="C2797" s="45">
        <v>118.0</v>
      </c>
      <c r="D2797" s="45">
        <v>51019.0</v>
      </c>
      <c r="E2797" s="45" t="s">
        <v>3993</v>
      </c>
      <c r="F2797" s="45" t="s">
        <v>3997</v>
      </c>
      <c r="G2797" s="45" t="s">
        <v>3990</v>
      </c>
    </row>
    <row r="2798">
      <c r="A2798" s="45" t="s">
        <v>1835</v>
      </c>
      <c r="B2798" s="45" t="s">
        <v>3713</v>
      </c>
      <c r="C2798" s="45">
        <v>118.0</v>
      </c>
      <c r="D2798" s="45">
        <v>51021.0</v>
      </c>
      <c r="E2798" s="45" t="s">
        <v>3993</v>
      </c>
      <c r="F2798" s="45" t="s">
        <v>3997</v>
      </c>
      <c r="G2798" s="45" t="s">
        <v>3990</v>
      </c>
    </row>
    <row r="2799">
      <c r="A2799" s="45" t="s">
        <v>1836</v>
      </c>
      <c r="B2799" s="45" t="s">
        <v>3713</v>
      </c>
      <c r="C2799" s="45">
        <v>118.0</v>
      </c>
      <c r="D2799" s="45">
        <v>51023.0</v>
      </c>
      <c r="E2799" s="45" t="s">
        <v>4008</v>
      </c>
      <c r="F2799" s="45" t="s">
        <v>3988</v>
      </c>
      <c r="G2799" s="45" t="s">
        <v>3990</v>
      </c>
    </row>
    <row r="2800">
      <c r="A2800" s="45" t="s">
        <v>1334</v>
      </c>
      <c r="B2800" s="45" t="s">
        <v>3713</v>
      </c>
      <c r="C2800" s="45">
        <v>99.0</v>
      </c>
      <c r="D2800" s="45">
        <v>51025.0</v>
      </c>
      <c r="E2800" s="45" t="s">
        <v>4008</v>
      </c>
      <c r="F2800" s="45" t="s">
        <v>3988</v>
      </c>
      <c r="G2800" s="45" t="s">
        <v>3990</v>
      </c>
    </row>
    <row r="2801">
      <c r="A2801" s="45" t="s">
        <v>712</v>
      </c>
      <c r="B2801" s="45" t="s">
        <v>3713</v>
      </c>
      <c r="C2801" s="45">
        <v>118.0</v>
      </c>
      <c r="D2801" s="45">
        <v>51027.0</v>
      </c>
      <c r="E2801" s="45" t="s">
        <v>3993</v>
      </c>
      <c r="F2801" s="45" t="s">
        <v>3997</v>
      </c>
      <c r="G2801" s="45" t="s">
        <v>3990</v>
      </c>
    </row>
    <row r="2802">
      <c r="A2802" s="45" t="s">
        <v>1837</v>
      </c>
      <c r="B2802" s="45" t="s">
        <v>3713</v>
      </c>
      <c r="C2802" s="45">
        <v>99.0</v>
      </c>
      <c r="D2802" s="45">
        <v>51029.0</v>
      </c>
      <c r="E2802" s="45" t="s">
        <v>4008</v>
      </c>
      <c r="F2802" s="45" t="s">
        <v>3988</v>
      </c>
      <c r="G2802" s="45" t="s">
        <v>3990</v>
      </c>
    </row>
    <row r="2803">
      <c r="A2803" s="45" t="s">
        <v>831</v>
      </c>
      <c r="B2803" s="45" t="s">
        <v>3713</v>
      </c>
      <c r="C2803" s="45">
        <v>99.0</v>
      </c>
      <c r="D2803" s="45">
        <v>51031.0</v>
      </c>
      <c r="E2803" s="45" t="s">
        <v>4008</v>
      </c>
      <c r="F2803" s="45" t="s">
        <v>3997</v>
      </c>
      <c r="G2803" s="45" t="s">
        <v>3990</v>
      </c>
    </row>
    <row r="2804">
      <c r="A2804" s="45" t="s">
        <v>938</v>
      </c>
      <c r="B2804" s="45" t="s">
        <v>3713</v>
      </c>
      <c r="C2804" s="45">
        <v>99.0</v>
      </c>
      <c r="D2804" s="45">
        <v>51033.0</v>
      </c>
      <c r="E2804" s="45" t="s">
        <v>4008</v>
      </c>
      <c r="F2804" s="45" t="s">
        <v>3988</v>
      </c>
      <c r="G2804" s="45" t="s">
        <v>3990</v>
      </c>
    </row>
    <row r="2805">
      <c r="A2805" s="45" t="s">
        <v>227</v>
      </c>
      <c r="B2805" s="45" t="s">
        <v>3713</v>
      </c>
      <c r="C2805" s="45">
        <v>118.0</v>
      </c>
      <c r="D2805" s="45">
        <v>51035.0</v>
      </c>
      <c r="E2805" s="45" t="s">
        <v>3993</v>
      </c>
      <c r="F2805" s="45" t="s">
        <v>3997</v>
      </c>
      <c r="G2805" s="45" t="s">
        <v>3990</v>
      </c>
    </row>
    <row r="2806">
      <c r="A2806" s="45" t="s">
        <v>1838</v>
      </c>
      <c r="B2806" s="45" t="s">
        <v>3713</v>
      </c>
      <c r="C2806" s="45">
        <v>99.0</v>
      </c>
      <c r="D2806" s="45">
        <v>51036.0</v>
      </c>
      <c r="E2806" s="45" t="s">
        <v>4008</v>
      </c>
      <c r="F2806" s="45" t="s">
        <v>3988</v>
      </c>
      <c r="G2806" s="45" t="s">
        <v>3990</v>
      </c>
    </row>
    <row r="2807">
      <c r="A2807" s="45" t="s">
        <v>417</v>
      </c>
      <c r="B2807" s="45" t="s">
        <v>3713</v>
      </c>
      <c r="C2807" s="45">
        <v>99.0</v>
      </c>
      <c r="D2807" s="45">
        <v>51037.0</v>
      </c>
      <c r="E2807" s="45" t="s">
        <v>4008</v>
      </c>
      <c r="F2807" s="45" t="s">
        <v>3988</v>
      </c>
      <c r="G2807" s="45" t="s">
        <v>3990</v>
      </c>
    </row>
    <row r="2808">
      <c r="A2808" s="45" t="s">
        <v>1557</v>
      </c>
      <c r="B2808" s="45" t="s">
        <v>3713</v>
      </c>
      <c r="C2808" s="45">
        <v>99.0</v>
      </c>
      <c r="D2808" s="45">
        <v>51041.0</v>
      </c>
      <c r="E2808" s="45" t="s">
        <v>4008</v>
      </c>
      <c r="F2808" s="45" t="s">
        <v>3988</v>
      </c>
      <c r="G2808" s="45" t="s">
        <v>3985</v>
      </c>
    </row>
    <row r="2809">
      <c r="A2809" s="45" t="s">
        <v>115</v>
      </c>
      <c r="B2809" s="45" t="s">
        <v>3713</v>
      </c>
      <c r="C2809" s="45">
        <v>100.0</v>
      </c>
      <c r="D2809" s="45">
        <v>51043.0</v>
      </c>
      <c r="E2809" s="45" t="s">
        <v>3993</v>
      </c>
      <c r="F2809" s="45" t="s">
        <v>3997</v>
      </c>
      <c r="G2809" s="45" t="s">
        <v>3985</v>
      </c>
    </row>
    <row r="2810">
      <c r="A2810" s="45" t="s">
        <v>1466</v>
      </c>
      <c r="B2810" s="45" t="s">
        <v>3713</v>
      </c>
      <c r="C2810" s="45">
        <v>118.0</v>
      </c>
      <c r="D2810" s="45">
        <v>51045.0</v>
      </c>
      <c r="E2810" s="45" t="s">
        <v>4008</v>
      </c>
      <c r="F2810" s="45" t="s">
        <v>3988</v>
      </c>
      <c r="G2810" s="45" t="s">
        <v>3985</v>
      </c>
    </row>
    <row r="2811">
      <c r="A2811" s="45" t="s">
        <v>1839</v>
      </c>
      <c r="B2811" s="45" t="s">
        <v>3713</v>
      </c>
      <c r="C2811" s="45">
        <v>99.0</v>
      </c>
      <c r="D2811" s="45">
        <v>51047.0</v>
      </c>
      <c r="E2811" s="45" t="s">
        <v>4008</v>
      </c>
      <c r="F2811" s="45" t="s">
        <v>3997</v>
      </c>
      <c r="G2811" s="45" t="s">
        <v>3985</v>
      </c>
    </row>
    <row r="2812">
      <c r="A2812" s="45" t="s">
        <v>618</v>
      </c>
      <c r="B2812" s="45" t="s">
        <v>3713</v>
      </c>
      <c r="C2812" s="45">
        <v>99.0</v>
      </c>
      <c r="D2812" s="45">
        <v>51049.0</v>
      </c>
      <c r="E2812" s="45" t="s">
        <v>4008</v>
      </c>
      <c r="F2812" s="45" t="s">
        <v>3988</v>
      </c>
      <c r="G2812" s="45" t="s">
        <v>3985</v>
      </c>
    </row>
    <row r="2813">
      <c r="A2813" s="45" t="s">
        <v>1840</v>
      </c>
      <c r="B2813" s="45" t="s">
        <v>3713</v>
      </c>
      <c r="C2813" s="45">
        <v>118.0</v>
      </c>
      <c r="D2813" s="45">
        <v>51051.0</v>
      </c>
      <c r="E2813" s="45" t="s">
        <v>3993</v>
      </c>
      <c r="F2813" s="45" t="s">
        <v>3997</v>
      </c>
      <c r="G2813" s="45" t="s">
        <v>3985</v>
      </c>
    </row>
    <row r="2814">
      <c r="A2814" s="45" t="s">
        <v>1841</v>
      </c>
      <c r="B2814" s="45" t="s">
        <v>3713</v>
      </c>
      <c r="C2814" s="45">
        <v>99.0</v>
      </c>
      <c r="D2814" s="45">
        <v>51053.0</v>
      </c>
      <c r="E2814" s="45" t="s">
        <v>4008</v>
      </c>
      <c r="F2814" s="45" t="s">
        <v>3988</v>
      </c>
      <c r="G2814" s="45" t="s">
        <v>3985</v>
      </c>
    </row>
    <row r="2815">
      <c r="A2815" s="45" t="s">
        <v>956</v>
      </c>
      <c r="B2815" s="45" t="s">
        <v>3713</v>
      </c>
      <c r="C2815" s="45">
        <v>99.0</v>
      </c>
      <c r="D2815" s="45">
        <v>51057.0</v>
      </c>
      <c r="E2815" s="45" t="s">
        <v>4008</v>
      </c>
      <c r="F2815" s="45" t="s">
        <v>3988</v>
      </c>
      <c r="G2815" s="45" t="s">
        <v>3985</v>
      </c>
    </row>
    <row r="2816">
      <c r="A2816" s="45" t="s">
        <v>1842</v>
      </c>
      <c r="B2816" s="45" t="s">
        <v>3713</v>
      </c>
      <c r="C2816" s="45">
        <v>99.0</v>
      </c>
      <c r="D2816" s="45">
        <v>51059.0</v>
      </c>
      <c r="E2816" s="45" t="s">
        <v>4008</v>
      </c>
      <c r="F2816" s="45" t="s">
        <v>3988</v>
      </c>
      <c r="G2816" s="45" t="s">
        <v>3985</v>
      </c>
    </row>
    <row r="2817">
      <c r="A2817" s="45" t="s">
        <v>1843</v>
      </c>
      <c r="B2817" s="45" t="s">
        <v>3713</v>
      </c>
      <c r="C2817" s="45">
        <v>99.0</v>
      </c>
      <c r="D2817" s="45">
        <v>51061.0</v>
      </c>
      <c r="E2817" s="45" t="s">
        <v>4008</v>
      </c>
      <c r="F2817" s="45" t="s">
        <v>3997</v>
      </c>
      <c r="G2817" s="45" t="s">
        <v>3985</v>
      </c>
    </row>
    <row r="2818">
      <c r="A2818" s="45" t="s">
        <v>502</v>
      </c>
      <c r="B2818" s="45" t="s">
        <v>3713</v>
      </c>
      <c r="C2818" s="45">
        <v>118.0</v>
      </c>
      <c r="D2818" s="45">
        <v>51063.0</v>
      </c>
      <c r="E2818" s="45" t="s">
        <v>3993</v>
      </c>
      <c r="F2818" s="45" t="s">
        <v>3997</v>
      </c>
      <c r="G2818" s="45" t="s">
        <v>3985</v>
      </c>
    </row>
    <row r="2819">
      <c r="A2819" s="45" t="s">
        <v>1844</v>
      </c>
      <c r="B2819" s="45" t="s">
        <v>3713</v>
      </c>
      <c r="C2819" s="45">
        <v>99.0</v>
      </c>
      <c r="D2819" s="45">
        <v>51065.0</v>
      </c>
      <c r="E2819" s="45" t="s">
        <v>4008</v>
      </c>
      <c r="F2819" s="45" t="s">
        <v>3988</v>
      </c>
      <c r="G2819" s="45" t="s">
        <v>3985</v>
      </c>
    </row>
    <row r="2820">
      <c r="A2820" s="45" t="s">
        <v>132</v>
      </c>
      <c r="B2820" s="45" t="s">
        <v>3713</v>
      </c>
      <c r="C2820" s="45">
        <v>118.0</v>
      </c>
      <c r="D2820" s="45">
        <v>51067.0</v>
      </c>
      <c r="E2820" s="45" t="s">
        <v>3993</v>
      </c>
      <c r="F2820" s="45" t="s">
        <v>3997</v>
      </c>
      <c r="G2820" s="45" t="s">
        <v>3985</v>
      </c>
    </row>
    <row r="2821">
      <c r="A2821" s="45" t="s">
        <v>942</v>
      </c>
      <c r="B2821" s="45" t="s">
        <v>3713</v>
      </c>
      <c r="C2821" s="45">
        <v>100.0</v>
      </c>
      <c r="D2821" s="45">
        <v>51069.0</v>
      </c>
      <c r="E2821" s="45" t="s">
        <v>3993</v>
      </c>
      <c r="F2821" s="45" t="s">
        <v>3997</v>
      </c>
      <c r="G2821" s="45" t="s">
        <v>3985</v>
      </c>
    </row>
    <row r="2822">
      <c r="A2822" s="45" t="s">
        <v>1625</v>
      </c>
      <c r="B2822" s="45" t="s">
        <v>3713</v>
      </c>
      <c r="C2822" s="45">
        <v>118.0</v>
      </c>
      <c r="D2822" s="45">
        <v>51071.0</v>
      </c>
      <c r="E2822" s="45" t="s">
        <v>3993</v>
      </c>
      <c r="F2822" s="45" t="s">
        <v>3997</v>
      </c>
      <c r="G2822" s="45" t="s">
        <v>3987</v>
      </c>
    </row>
    <row r="2823">
      <c r="A2823" s="45" t="s">
        <v>1263</v>
      </c>
      <c r="B2823" s="45" t="s">
        <v>3713</v>
      </c>
      <c r="C2823" s="45">
        <v>99.0</v>
      </c>
      <c r="D2823" s="45">
        <v>51073.0</v>
      </c>
      <c r="E2823" s="45" t="s">
        <v>4008</v>
      </c>
      <c r="F2823" s="45" t="s">
        <v>3988</v>
      </c>
      <c r="G2823" s="45" t="s">
        <v>3987</v>
      </c>
    </row>
    <row r="2824">
      <c r="A2824" s="45" t="s">
        <v>1845</v>
      </c>
      <c r="B2824" s="45" t="s">
        <v>3713</v>
      </c>
      <c r="C2824" s="45">
        <v>99.0</v>
      </c>
      <c r="D2824" s="45">
        <v>51075.0</v>
      </c>
      <c r="E2824" s="45" t="s">
        <v>4008</v>
      </c>
      <c r="F2824" s="45" t="s">
        <v>3988</v>
      </c>
      <c r="G2824" s="45" t="s">
        <v>3988</v>
      </c>
    </row>
    <row r="2825">
      <c r="A2825" s="45" t="s">
        <v>841</v>
      </c>
      <c r="B2825" s="45" t="s">
        <v>3713</v>
      </c>
      <c r="C2825" s="45">
        <v>118.0</v>
      </c>
      <c r="D2825" s="45">
        <v>51077.0</v>
      </c>
      <c r="E2825" s="45" t="s">
        <v>3993</v>
      </c>
      <c r="F2825" s="45" t="s">
        <v>3997</v>
      </c>
      <c r="G2825" s="45" t="s">
        <v>3988</v>
      </c>
    </row>
    <row r="2826">
      <c r="A2826" s="45" t="s">
        <v>134</v>
      </c>
      <c r="B2826" s="45" t="s">
        <v>3713</v>
      </c>
      <c r="C2826" s="45">
        <v>100.0</v>
      </c>
      <c r="D2826" s="45">
        <v>51079.0</v>
      </c>
      <c r="E2826" s="45" t="s">
        <v>4008</v>
      </c>
      <c r="F2826" s="45" t="s">
        <v>3988</v>
      </c>
      <c r="G2826" s="45" t="s">
        <v>3988</v>
      </c>
    </row>
    <row r="2827">
      <c r="A2827" s="45" t="s">
        <v>1846</v>
      </c>
      <c r="B2827" s="45" t="s">
        <v>3713</v>
      </c>
      <c r="C2827" s="45">
        <v>99.0</v>
      </c>
      <c r="D2827" s="45">
        <v>51081.0</v>
      </c>
      <c r="E2827" s="45" t="s">
        <v>4008</v>
      </c>
      <c r="F2827" s="45" t="s">
        <v>3988</v>
      </c>
      <c r="G2827" s="45" t="s">
        <v>3988</v>
      </c>
    </row>
    <row r="2828">
      <c r="A2828" s="45" t="s">
        <v>1354</v>
      </c>
      <c r="B2828" s="45" t="s">
        <v>3713</v>
      </c>
      <c r="C2828" s="45">
        <v>99.0</v>
      </c>
      <c r="D2828" s="45">
        <v>51083.0</v>
      </c>
      <c r="E2828" s="45" t="s">
        <v>4008</v>
      </c>
      <c r="F2828" s="45" t="s">
        <v>3988</v>
      </c>
      <c r="G2828" s="45" t="s">
        <v>3988</v>
      </c>
    </row>
    <row r="2829">
      <c r="A2829" s="45" t="s">
        <v>1847</v>
      </c>
      <c r="B2829" s="45" t="s">
        <v>3713</v>
      </c>
      <c r="C2829" s="45">
        <v>99.0</v>
      </c>
      <c r="D2829" s="45">
        <v>51085.0</v>
      </c>
      <c r="E2829" s="45" t="s">
        <v>4008</v>
      </c>
      <c r="F2829" s="45" t="s">
        <v>3988</v>
      </c>
      <c r="G2829" s="45" t="s">
        <v>3988</v>
      </c>
    </row>
    <row r="2830">
      <c r="A2830" s="45" t="s">
        <v>1848</v>
      </c>
      <c r="B2830" s="45" t="s">
        <v>3713</v>
      </c>
      <c r="C2830" s="45">
        <v>99.0</v>
      </c>
      <c r="D2830" s="45">
        <v>51087.0</v>
      </c>
      <c r="E2830" s="45" t="s">
        <v>4008</v>
      </c>
      <c r="F2830" s="45" t="s">
        <v>3988</v>
      </c>
      <c r="G2830" s="45" t="s">
        <v>3988</v>
      </c>
    </row>
    <row r="2831">
      <c r="A2831" s="45" t="s">
        <v>136</v>
      </c>
      <c r="B2831" s="45" t="s">
        <v>3713</v>
      </c>
      <c r="C2831" s="45">
        <v>118.0</v>
      </c>
      <c r="D2831" s="45">
        <v>51089.0</v>
      </c>
      <c r="E2831" s="45" t="s">
        <v>3993</v>
      </c>
      <c r="F2831" s="45" t="s">
        <v>3997</v>
      </c>
      <c r="G2831" s="45" t="s">
        <v>3988</v>
      </c>
    </row>
    <row r="2832">
      <c r="A2832" s="45" t="s">
        <v>1436</v>
      </c>
      <c r="B2832" s="45" t="s">
        <v>3713</v>
      </c>
      <c r="C2832" s="45">
        <v>99.0</v>
      </c>
      <c r="D2832" s="45">
        <v>51091.0</v>
      </c>
      <c r="E2832" s="45" t="s">
        <v>4008</v>
      </c>
      <c r="F2832" s="45" t="s">
        <v>3988</v>
      </c>
      <c r="G2832" s="45" t="s">
        <v>3988</v>
      </c>
    </row>
    <row r="2833">
      <c r="A2833" s="45" t="s">
        <v>1849</v>
      </c>
      <c r="B2833" s="45" t="s">
        <v>3713</v>
      </c>
      <c r="C2833" s="45">
        <v>99.0</v>
      </c>
      <c r="D2833" s="45">
        <v>51093.0</v>
      </c>
      <c r="E2833" s="45" t="s">
        <v>4008</v>
      </c>
      <c r="F2833" s="45" t="s">
        <v>3988</v>
      </c>
      <c r="G2833" s="45" t="s">
        <v>3988</v>
      </c>
    </row>
    <row r="2834">
      <c r="A2834" s="45" t="s">
        <v>1850</v>
      </c>
      <c r="B2834" s="45" t="s">
        <v>3713</v>
      </c>
      <c r="C2834" s="45">
        <v>99.0</v>
      </c>
      <c r="D2834" s="45">
        <v>51095.0</v>
      </c>
      <c r="E2834" s="45" t="s">
        <v>4008</v>
      </c>
      <c r="F2834" s="45" t="s">
        <v>3988</v>
      </c>
      <c r="G2834" s="45" t="s">
        <v>3988</v>
      </c>
    </row>
    <row r="2835">
      <c r="A2835" s="45" t="s">
        <v>1851</v>
      </c>
      <c r="B2835" s="45" t="s">
        <v>3713</v>
      </c>
      <c r="C2835" s="45">
        <v>99.0</v>
      </c>
      <c r="D2835" s="45">
        <v>51097.0</v>
      </c>
      <c r="E2835" s="45" t="s">
        <v>4008</v>
      </c>
      <c r="F2835" s="45" t="s">
        <v>3988</v>
      </c>
      <c r="G2835" s="45" t="s">
        <v>3988</v>
      </c>
    </row>
    <row r="2836">
      <c r="A2836" s="45" t="s">
        <v>1852</v>
      </c>
      <c r="B2836" s="45" t="s">
        <v>3713</v>
      </c>
      <c r="C2836" s="45">
        <v>99.0</v>
      </c>
      <c r="D2836" s="45">
        <v>51099.0</v>
      </c>
      <c r="E2836" s="45" t="s">
        <v>4008</v>
      </c>
      <c r="F2836" s="45" t="s">
        <v>3988</v>
      </c>
      <c r="G2836" s="45" t="s">
        <v>3988</v>
      </c>
    </row>
    <row r="2837">
      <c r="A2837" s="45" t="s">
        <v>1853</v>
      </c>
      <c r="B2837" s="45" t="s">
        <v>3713</v>
      </c>
      <c r="C2837" s="45">
        <v>99.0</v>
      </c>
      <c r="D2837" s="45">
        <v>51101.0</v>
      </c>
      <c r="E2837" s="45" t="s">
        <v>4008</v>
      </c>
      <c r="F2837" s="45" t="s">
        <v>3988</v>
      </c>
      <c r="G2837" s="45" t="s">
        <v>3988</v>
      </c>
    </row>
    <row r="2838">
      <c r="A2838" s="45" t="s">
        <v>1224</v>
      </c>
      <c r="B2838" s="45" t="s">
        <v>3713</v>
      </c>
      <c r="C2838" s="45">
        <v>99.0</v>
      </c>
      <c r="D2838" s="45">
        <v>51103.0</v>
      </c>
      <c r="E2838" s="45" t="s">
        <v>4008</v>
      </c>
      <c r="F2838" s="45" t="s">
        <v>3988</v>
      </c>
      <c r="G2838" s="45" t="s">
        <v>3988</v>
      </c>
    </row>
    <row r="2839">
      <c r="A2839" s="45" t="s">
        <v>143</v>
      </c>
      <c r="B2839" s="45" t="s">
        <v>3713</v>
      </c>
      <c r="C2839" s="45">
        <v>118.0</v>
      </c>
      <c r="D2839" s="45">
        <v>51105.0</v>
      </c>
      <c r="E2839" s="45" t="s">
        <v>3970</v>
      </c>
      <c r="F2839" s="45" t="s">
        <v>3970</v>
      </c>
      <c r="G2839" s="45" t="s">
        <v>3988</v>
      </c>
    </row>
    <row r="2840">
      <c r="A2840" s="45" t="s">
        <v>1854</v>
      </c>
      <c r="B2840" s="45" t="s">
        <v>3713</v>
      </c>
      <c r="C2840" s="45">
        <v>99.0</v>
      </c>
      <c r="D2840" s="45">
        <v>51107.0</v>
      </c>
      <c r="E2840" s="45" t="s">
        <v>4008</v>
      </c>
      <c r="F2840" s="45" t="s">
        <v>3988</v>
      </c>
      <c r="G2840" s="45" t="s">
        <v>3988</v>
      </c>
    </row>
    <row r="2841">
      <c r="A2841" s="45" t="s">
        <v>727</v>
      </c>
      <c r="B2841" s="45" t="s">
        <v>3713</v>
      </c>
      <c r="C2841" s="45">
        <v>99.0</v>
      </c>
      <c r="D2841" s="45">
        <v>51109.0</v>
      </c>
      <c r="E2841" s="45" t="s">
        <v>4008</v>
      </c>
      <c r="F2841" s="45" t="s">
        <v>3988</v>
      </c>
      <c r="G2841" s="45" t="s">
        <v>3988</v>
      </c>
    </row>
    <row r="2842">
      <c r="A2842" s="45" t="s">
        <v>1855</v>
      </c>
      <c r="B2842" s="45" t="s">
        <v>3713</v>
      </c>
      <c r="C2842" s="45">
        <v>99.0</v>
      </c>
      <c r="D2842" s="45">
        <v>51111.0</v>
      </c>
      <c r="E2842" s="45" t="s">
        <v>4008</v>
      </c>
      <c r="F2842" s="45" t="s">
        <v>3988</v>
      </c>
      <c r="G2842" s="45" t="s">
        <v>3988</v>
      </c>
    </row>
    <row r="2843">
      <c r="A2843" s="45" t="s">
        <v>147</v>
      </c>
      <c r="B2843" s="45" t="s">
        <v>3713</v>
      </c>
      <c r="C2843" s="45">
        <v>100.0</v>
      </c>
      <c r="D2843" s="45">
        <v>51113.0</v>
      </c>
      <c r="E2843" s="45" t="s">
        <v>4008</v>
      </c>
      <c r="F2843" s="45" t="s">
        <v>3988</v>
      </c>
      <c r="G2843" s="45" t="s">
        <v>3988</v>
      </c>
    </row>
    <row r="2844">
      <c r="A2844" s="45" t="s">
        <v>1856</v>
      </c>
      <c r="B2844" s="45" t="s">
        <v>3713</v>
      </c>
      <c r="C2844" s="45">
        <v>99.0</v>
      </c>
      <c r="D2844" s="45">
        <v>51115.0</v>
      </c>
      <c r="E2844" s="45" t="s">
        <v>4008</v>
      </c>
      <c r="F2844" s="45" t="s">
        <v>3988</v>
      </c>
      <c r="G2844" s="45" t="s">
        <v>3988</v>
      </c>
    </row>
    <row r="2845">
      <c r="A2845" s="45" t="s">
        <v>1364</v>
      </c>
      <c r="B2845" s="45" t="s">
        <v>3713</v>
      </c>
      <c r="C2845" s="45">
        <v>99.0</v>
      </c>
      <c r="D2845" s="45">
        <v>51117.0</v>
      </c>
      <c r="E2845" s="45" t="s">
        <v>4008</v>
      </c>
      <c r="F2845" s="45" t="s">
        <v>3988</v>
      </c>
      <c r="G2845" s="45" t="s">
        <v>3988</v>
      </c>
    </row>
    <row r="2846">
      <c r="A2846" s="45" t="s">
        <v>399</v>
      </c>
      <c r="B2846" s="45" t="s">
        <v>3713</v>
      </c>
      <c r="C2846" s="45">
        <v>99.0</v>
      </c>
      <c r="D2846" s="45">
        <v>51119.0</v>
      </c>
      <c r="E2846" s="45" t="s">
        <v>4008</v>
      </c>
      <c r="F2846" s="45" t="s">
        <v>3988</v>
      </c>
      <c r="G2846" s="45" t="s">
        <v>3988</v>
      </c>
    </row>
    <row r="2847">
      <c r="A2847" s="45" t="s">
        <v>153</v>
      </c>
      <c r="B2847" s="45" t="s">
        <v>3713</v>
      </c>
      <c r="C2847" s="45">
        <v>118.0</v>
      </c>
      <c r="D2847" s="45">
        <v>51121.0</v>
      </c>
      <c r="E2847" s="45" t="s">
        <v>3993</v>
      </c>
      <c r="F2847" s="45" t="s">
        <v>3997</v>
      </c>
      <c r="G2847" s="45" t="s">
        <v>3988</v>
      </c>
    </row>
    <row r="2848">
      <c r="A2848" s="45" t="s">
        <v>860</v>
      </c>
      <c r="B2848" s="45" t="s">
        <v>3713</v>
      </c>
      <c r="C2848" s="45">
        <v>118.0</v>
      </c>
      <c r="D2848" s="45">
        <v>51125.0</v>
      </c>
      <c r="E2848" s="45" t="s">
        <v>3993</v>
      </c>
      <c r="F2848" s="45" t="s">
        <v>3988</v>
      </c>
      <c r="G2848" s="45" t="s">
        <v>3988</v>
      </c>
    </row>
    <row r="2849">
      <c r="A2849" s="45" t="s">
        <v>1857</v>
      </c>
      <c r="B2849" s="45" t="s">
        <v>3713</v>
      </c>
      <c r="C2849" s="45">
        <v>99.0</v>
      </c>
      <c r="D2849" s="45">
        <v>51127.0</v>
      </c>
      <c r="E2849" s="45" t="s">
        <v>4008</v>
      </c>
      <c r="F2849" s="45" t="s">
        <v>3988</v>
      </c>
      <c r="G2849" s="45" t="s">
        <v>3988</v>
      </c>
    </row>
    <row r="2850">
      <c r="A2850" s="45" t="s">
        <v>1368</v>
      </c>
      <c r="B2850" s="45" t="s">
        <v>3713</v>
      </c>
      <c r="C2850" s="45">
        <v>124.0</v>
      </c>
      <c r="D2850" s="45">
        <v>51131.0</v>
      </c>
      <c r="E2850" s="45" t="s">
        <v>3986</v>
      </c>
      <c r="F2850" s="45" t="s">
        <v>3987</v>
      </c>
      <c r="G2850" s="45" t="s">
        <v>3988</v>
      </c>
    </row>
    <row r="2851">
      <c r="A2851" s="45" t="s">
        <v>1538</v>
      </c>
      <c r="B2851" s="45" t="s">
        <v>3713</v>
      </c>
      <c r="C2851" s="45">
        <v>99.0</v>
      </c>
      <c r="D2851" s="45">
        <v>51133.0</v>
      </c>
      <c r="E2851" s="45" t="s">
        <v>4008</v>
      </c>
      <c r="F2851" s="45" t="s">
        <v>3988</v>
      </c>
      <c r="G2851" s="45" t="s">
        <v>3988</v>
      </c>
    </row>
    <row r="2852">
      <c r="A2852" s="45" t="s">
        <v>1858</v>
      </c>
      <c r="B2852" s="45" t="s">
        <v>3713</v>
      </c>
      <c r="C2852" s="45">
        <v>99.0</v>
      </c>
      <c r="D2852" s="45">
        <v>51135.0</v>
      </c>
      <c r="E2852" s="45" t="s">
        <v>4008</v>
      </c>
      <c r="F2852" s="45" t="s">
        <v>3988</v>
      </c>
      <c r="G2852" s="45" t="s">
        <v>3988</v>
      </c>
    </row>
    <row r="2853">
      <c r="A2853" s="45" t="s">
        <v>310</v>
      </c>
      <c r="B2853" s="45" t="s">
        <v>3713</v>
      </c>
      <c r="C2853" s="45">
        <v>99.0</v>
      </c>
      <c r="D2853" s="45">
        <v>51137.0</v>
      </c>
      <c r="E2853" s="45" t="s">
        <v>4008</v>
      </c>
      <c r="F2853" s="45" t="s">
        <v>3988</v>
      </c>
      <c r="G2853" s="45" t="s">
        <v>3988</v>
      </c>
    </row>
    <row r="2854">
      <c r="A2854" s="45" t="s">
        <v>735</v>
      </c>
      <c r="B2854" s="45" t="s">
        <v>3713</v>
      </c>
      <c r="C2854" s="45">
        <v>100.0</v>
      </c>
      <c r="D2854" s="45">
        <v>51139.0</v>
      </c>
      <c r="E2854" s="45" t="s">
        <v>3993</v>
      </c>
      <c r="F2854" s="45" t="s">
        <v>3988</v>
      </c>
      <c r="G2854" s="45" t="s">
        <v>3988</v>
      </c>
    </row>
    <row r="2855">
      <c r="A2855" s="45" t="s">
        <v>1859</v>
      </c>
      <c r="B2855" s="45" t="s">
        <v>3713</v>
      </c>
      <c r="C2855" s="45">
        <v>118.0</v>
      </c>
      <c r="D2855" s="45">
        <v>51141.0</v>
      </c>
      <c r="E2855" s="45" t="s">
        <v>3993</v>
      </c>
      <c r="F2855" s="45" t="s">
        <v>3997</v>
      </c>
      <c r="G2855" s="45" t="s">
        <v>3988</v>
      </c>
    </row>
    <row r="2856">
      <c r="A2856" s="45" t="s">
        <v>1860</v>
      </c>
      <c r="B2856" s="45" t="s">
        <v>3713</v>
      </c>
      <c r="C2856" s="45">
        <v>99.0</v>
      </c>
      <c r="D2856" s="45">
        <v>51143.0</v>
      </c>
      <c r="E2856" s="45" t="s">
        <v>4008</v>
      </c>
      <c r="F2856" s="45" t="s">
        <v>3988</v>
      </c>
      <c r="G2856" s="45" t="s">
        <v>3988</v>
      </c>
    </row>
    <row r="2857">
      <c r="A2857" s="45" t="s">
        <v>1861</v>
      </c>
      <c r="B2857" s="45" t="s">
        <v>3713</v>
      </c>
      <c r="C2857" s="45">
        <v>99.0</v>
      </c>
      <c r="D2857" s="45">
        <v>51145.0</v>
      </c>
      <c r="E2857" s="45" t="s">
        <v>4008</v>
      </c>
      <c r="F2857" s="45" t="s">
        <v>3988</v>
      </c>
      <c r="G2857" s="45" t="s">
        <v>3988</v>
      </c>
    </row>
    <row r="2858">
      <c r="A2858" s="45" t="s">
        <v>1862</v>
      </c>
      <c r="B2858" s="45" t="s">
        <v>3713</v>
      </c>
      <c r="C2858" s="45">
        <v>99.0</v>
      </c>
      <c r="D2858" s="45">
        <v>51147.0</v>
      </c>
      <c r="E2858" s="45" t="s">
        <v>4008</v>
      </c>
      <c r="F2858" s="45" t="s">
        <v>3988</v>
      </c>
      <c r="G2858" s="45" t="s">
        <v>3988</v>
      </c>
    </row>
    <row r="2859">
      <c r="A2859" s="45" t="s">
        <v>1863</v>
      </c>
      <c r="B2859" s="45" t="s">
        <v>3713</v>
      </c>
      <c r="C2859" s="45">
        <v>99.0</v>
      </c>
      <c r="D2859" s="45">
        <v>51149.0</v>
      </c>
      <c r="E2859" s="45" t="s">
        <v>4008</v>
      </c>
      <c r="F2859" s="45" t="s">
        <v>3988</v>
      </c>
      <c r="G2859" s="45" t="s">
        <v>3988</v>
      </c>
    </row>
    <row r="2860">
      <c r="A2860" s="45" t="s">
        <v>1864</v>
      </c>
      <c r="B2860" s="45" t="s">
        <v>3713</v>
      </c>
      <c r="C2860" s="45">
        <v>99.0</v>
      </c>
      <c r="D2860" s="45">
        <v>51153.0</v>
      </c>
      <c r="E2860" s="45" t="s">
        <v>4008</v>
      </c>
      <c r="F2860" s="45" t="s">
        <v>3988</v>
      </c>
      <c r="G2860" s="45" t="s">
        <v>3988</v>
      </c>
    </row>
    <row r="2861">
      <c r="A2861" s="45" t="s">
        <v>264</v>
      </c>
      <c r="B2861" s="45" t="s">
        <v>3713</v>
      </c>
      <c r="C2861" s="45">
        <v>118.0</v>
      </c>
      <c r="D2861" s="45">
        <v>51155.0</v>
      </c>
      <c r="E2861" s="45" t="s">
        <v>3993</v>
      </c>
      <c r="F2861" s="45" t="s">
        <v>3997</v>
      </c>
      <c r="G2861" s="45" t="s">
        <v>3988</v>
      </c>
    </row>
    <row r="2862">
      <c r="A2862" s="45" t="s">
        <v>1865</v>
      </c>
      <c r="B2862" s="45" t="s">
        <v>3713</v>
      </c>
      <c r="C2862" s="45">
        <v>100.0</v>
      </c>
      <c r="D2862" s="45">
        <v>51157.0</v>
      </c>
      <c r="E2862" s="45" t="s">
        <v>4008</v>
      </c>
      <c r="F2862" s="45" t="s">
        <v>3997</v>
      </c>
      <c r="G2862" s="45" t="s">
        <v>3988</v>
      </c>
    </row>
    <row r="2863">
      <c r="A2863" s="45" t="s">
        <v>539</v>
      </c>
      <c r="B2863" s="45" t="s">
        <v>3713</v>
      </c>
      <c r="C2863" s="45">
        <v>99.0</v>
      </c>
      <c r="D2863" s="45">
        <v>51159.0</v>
      </c>
      <c r="E2863" s="45" t="s">
        <v>4008</v>
      </c>
      <c r="F2863" s="45" t="s">
        <v>3988</v>
      </c>
      <c r="G2863" s="45" t="s">
        <v>3988</v>
      </c>
    </row>
    <row r="2864">
      <c r="A2864" s="45" t="s">
        <v>1866</v>
      </c>
      <c r="B2864" s="45" t="s">
        <v>3713</v>
      </c>
      <c r="C2864" s="45">
        <v>118.0</v>
      </c>
      <c r="D2864" s="45">
        <v>51161.0</v>
      </c>
      <c r="E2864" s="45" t="s">
        <v>3993</v>
      </c>
      <c r="F2864" s="45" t="s">
        <v>3997</v>
      </c>
      <c r="G2864" s="45" t="s">
        <v>3988</v>
      </c>
    </row>
    <row r="2865">
      <c r="A2865" s="45" t="s">
        <v>1867</v>
      </c>
      <c r="B2865" s="45" t="s">
        <v>3713</v>
      </c>
      <c r="C2865" s="45">
        <v>99.0</v>
      </c>
      <c r="D2865" s="45">
        <v>51163.0</v>
      </c>
      <c r="E2865" s="45" t="s">
        <v>4008</v>
      </c>
      <c r="F2865" s="45" t="s">
        <v>3988</v>
      </c>
      <c r="G2865" s="45" t="s">
        <v>3988</v>
      </c>
    </row>
    <row r="2866">
      <c r="A2866" s="45" t="s">
        <v>1256</v>
      </c>
      <c r="B2866" s="45" t="s">
        <v>3713</v>
      </c>
      <c r="C2866" s="45">
        <v>99.0</v>
      </c>
      <c r="D2866" s="45">
        <v>51165.0</v>
      </c>
      <c r="E2866" s="45" t="s">
        <v>4008</v>
      </c>
      <c r="F2866" s="45" t="s">
        <v>3988</v>
      </c>
      <c r="G2866" s="45" t="s">
        <v>3988</v>
      </c>
    </row>
    <row r="2867">
      <c r="A2867" s="45" t="s">
        <v>159</v>
      </c>
      <c r="B2867" s="45" t="s">
        <v>3713</v>
      </c>
      <c r="C2867" s="45">
        <v>118.0</v>
      </c>
      <c r="D2867" s="45">
        <v>51167.0</v>
      </c>
      <c r="E2867" s="45" t="s">
        <v>3993</v>
      </c>
      <c r="F2867" s="45" t="s">
        <v>3997</v>
      </c>
      <c r="G2867" s="45" t="s">
        <v>3988</v>
      </c>
    </row>
    <row r="2868">
      <c r="A2868" s="45" t="s">
        <v>267</v>
      </c>
      <c r="B2868" s="45" t="s">
        <v>3713</v>
      </c>
      <c r="C2868" s="45">
        <v>118.0</v>
      </c>
      <c r="D2868" s="45">
        <v>51169.0</v>
      </c>
      <c r="E2868" s="45" t="s">
        <v>3993</v>
      </c>
      <c r="F2868" s="45" t="s">
        <v>3970</v>
      </c>
      <c r="G2868" s="45" t="s">
        <v>3988</v>
      </c>
    </row>
    <row r="2869">
      <c r="A2869" s="45" t="s">
        <v>1868</v>
      </c>
      <c r="B2869" s="45" t="s">
        <v>3713</v>
      </c>
      <c r="C2869" s="45">
        <v>99.0</v>
      </c>
      <c r="D2869" s="45">
        <v>51171.0</v>
      </c>
      <c r="E2869" s="45" t="s">
        <v>3993</v>
      </c>
      <c r="F2869" s="45" t="s">
        <v>3988</v>
      </c>
      <c r="G2869" s="45" t="s">
        <v>3988</v>
      </c>
    </row>
    <row r="2870">
      <c r="A2870" s="45" t="s">
        <v>1869</v>
      </c>
      <c r="B2870" s="45" t="s">
        <v>3713</v>
      </c>
      <c r="C2870" s="45">
        <v>118.0</v>
      </c>
      <c r="D2870" s="45">
        <v>51173.0</v>
      </c>
      <c r="E2870" s="45" t="s">
        <v>3993</v>
      </c>
      <c r="F2870" s="45" t="s">
        <v>3997</v>
      </c>
      <c r="G2870" s="45" t="s">
        <v>3988</v>
      </c>
    </row>
    <row r="2871">
      <c r="A2871" s="45" t="s">
        <v>1870</v>
      </c>
      <c r="B2871" s="45" t="s">
        <v>3713</v>
      </c>
      <c r="C2871" s="45">
        <v>99.0</v>
      </c>
      <c r="D2871" s="45">
        <v>51175.0</v>
      </c>
      <c r="E2871" s="45" t="s">
        <v>4008</v>
      </c>
      <c r="F2871" s="45" t="s">
        <v>3988</v>
      </c>
      <c r="G2871" s="45" t="s">
        <v>3988</v>
      </c>
    </row>
    <row r="2872">
      <c r="A2872" s="45" t="s">
        <v>1871</v>
      </c>
      <c r="B2872" s="45" t="s">
        <v>3713</v>
      </c>
      <c r="C2872" s="45">
        <v>99.0</v>
      </c>
      <c r="D2872" s="45">
        <v>51177.0</v>
      </c>
      <c r="E2872" s="45" t="s">
        <v>4008</v>
      </c>
      <c r="F2872" s="45" t="s">
        <v>3988</v>
      </c>
      <c r="G2872" s="45" t="s">
        <v>3988</v>
      </c>
    </row>
    <row r="2873">
      <c r="A2873" s="45" t="s">
        <v>807</v>
      </c>
      <c r="B2873" s="45" t="s">
        <v>3713</v>
      </c>
      <c r="C2873" s="45">
        <v>99.0</v>
      </c>
      <c r="D2873" s="45">
        <v>51179.0</v>
      </c>
      <c r="E2873" s="45" t="s">
        <v>4008</v>
      </c>
      <c r="F2873" s="45" t="s">
        <v>3988</v>
      </c>
      <c r="G2873" s="45" t="s">
        <v>3988</v>
      </c>
    </row>
    <row r="2874">
      <c r="A2874" s="45" t="s">
        <v>1381</v>
      </c>
      <c r="B2874" s="45" t="s">
        <v>3713</v>
      </c>
      <c r="C2874" s="45">
        <v>99.0</v>
      </c>
      <c r="D2874" s="45">
        <v>51181.0</v>
      </c>
      <c r="E2874" s="45" t="s">
        <v>4008</v>
      </c>
      <c r="F2874" s="45" t="s">
        <v>3988</v>
      </c>
      <c r="G2874" s="45" t="s">
        <v>3988</v>
      </c>
    </row>
    <row r="2875">
      <c r="A2875" s="45" t="s">
        <v>407</v>
      </c>
      <c r="B2875" s="45" t="s">
        <v>3713</v>
      </c>
      <c r="C2875" s="45">
        <v>99.0</v>
      </c>
      <c r="D2875" s="45">
        <v>51183.0</v>
      </c>
      <c r="E2875" s="45" t="s">
        <v>4008</v>
      </c>
      <c r="F2875" s="45" t="s">
        <v>3988</v>
      </c>
      <c r="G2875" s="45" t="s">
        <v>3988</v>
      </c>
    </row>
    <row r="2876">
      <c r="A2876" s="45" t="s">
        <v>655</v>
      </c>
      <c r="B2876" s="45" t="s">
        <v>3713</v>
      </c>
      <c r="C2876" s="45">
        <v>118.0</v>
      </c>
      <c r="D2876" s="45">
        <v>51185.0</v>
      </c>
      <c r="E2876" s="45" t="s">
        <v>3993</v>
      </c>
      <c r="F2876" s="45" t="s">
        <v>3997</v>
      </c>
      <c r="G2876" s="45" t="s">
        <v>3988</v>
      </c>
    </row>
    <row r="2877">
      <c r="A2877" s="45" t="s">
        <v>561</v>
      </c>
      <c r="B2877" s="45" t="s">
        <v>3713</v>
      </c>
      <c r="C2877" s="45">
        <v>100.0</v>
      </c>
      <c r="D2877" s="45">
        <v>51187.0</v>
      </c>
      <c r="E2877" s="45" t="s">
        <v>3993</v>
      </c>
      <c r="F2877" s="45" t="s">
        <v>3997</v>
      </c>
      <c r="G2877" s="45" t="s">
        <v>3988</v>
      </c>
    </row>
    <row r="2878">
      <c r="A2878" s="45" t="s">
        <v>167</v>
      </c>
      <c r="B2878" s="45" t="s">
        <v>3713</v>
      </c>
      <c r="C2878" s="45">
        <v>118.0</v>
      </c>
      <c r="D2878" s="45">
        <v>51191.0</v>
      </c>
      <c r="E2878" s="45" t="s">
        <v>3993</v>
      </c>
      <c r="F2878" s="45" t="s">
        <v>3997</v>
      </c>
      <c r="G2878" s="45" t="s">
        <v>3988</v>
      </c>
    </row>
    <row r="2879">
      <c r="A2879" s="45" t="s">
        <v>1545</v>
      </c>
      <c r="B2879" s="45" t="s">
        <v>3713</v>
      </c>
      <c r="C2879" s="45">
        <v>99.0</v>
      </c>
      <c r="D2879" s="45">
        <v>51193.0</v>
      </c>
      <c r="E2879" s="45" t="s">
        <v>4008</v>
      </c>
      <c r="F2879" s="45" t="s">
        <v>3988</v>
      </c>
      <c r="G2879" s="45" t="s">
        <v>3988</v>
      </c>
    </row>
    <row r="2880">
      <c r="A2880" s="45" t="s">
        <v>1797</v>
      </c>
      <c r="B2880" s="45" t="s">
        <v>3713</v>
      </c>
      <c r="C2880" s="45">
        <v>118.0</v>
      </c>
      <c r="D2880" s="45">
        <v>51195.0</v>
      </c>
      <c r="E2880" s="45" t="s">
        <v>3993</v>
      </c>
      <c r="F2880" s="45" t="s">
        <v>3970</v>
      </c>
      <c r="G2880" s="45" t="s">
        <v>3988</v>
      </c>
    </row>
    <row r="2881">
      <c r="A2881" s="45" t="s">
        <v>1872</v>
      </c>
      <c r="B2881" s="45" t="s">
        <v>3713</v>
      </c>
      <c r="C2881" s="45">
        <v>118.0</v>
      </c>
      <c r="D2881" s="45">
        <v>51197.0</v>
      </c>
      <c r="E2881" s="45" t="s">
        <v>3993</v>
      </c>
      <c r="F2881" s="45" t="s">
        <v>3997</v>
      </c>
      <c r="G2881" s="45" t="s">
        <v>3988</v>
      </c>
    </row>
    <row r="2882">
      <c r="A2882" s="45" t="s">
        <v>932</v>
      </c>
      <c r="B2882" s="45" t="s">
        <v>3713</v>
      </c>
      <c r="C2882" s="45">
        <v>99.0</v>
      </c>
      <c r="D2882" s="45">
        <v>51199.0</v>
      </c>
      <c r="E2882" s="45" t="s">
        <v>4008</v>
      </c>
      <c r="F2882" s="45" t="s">
        <v>3988</v>
      </c>
      <c r="G2882" s="45" t="s">
        <v>3988</v>
      </c>
    </row>
    <row r="2883">
      <c r="A2883" s="45" t="s">
        <v>1873</v>
      </c>
      <c r="B2883" s="45" t="s">
        <v>3713</v>
      </c>
      <c r="C2883" s="45">
        <v>99.0</v>
      </c>
      <c r="D2883" s="45">
        <v>51510.0</v>
      </c>
      <c r="E2883" s="45" t="s">
        <v>4008</v>
      </c>
      <c r="F2883" s="45" t="s">
        <v>3988</v>
      </c>
      <c r="G2883" s="45" t="s">
        <v>3988</v>
      </c>
    </row>
    <row r="2884">
      <c r="A2884" s="45" t="s">
        <v>954</v>
      </c>
      <c r="B2884" s="45" t="s">
        <v>3713</v>
      </c>
      <c r="C2884" s="45">
        <v>118.0</v>
      </c>
      <c r="D2884" s="45">
        <v>51520.0</v>
      </c>
      <c r="E2884" s="45" t="s">
        <v>3993</v>
      </c>
      <c r="F2884" s="45" t="s">
        <v>3970</v>
      </c>
      <c r="G2884" s="45" t="s">
        <v>3988</v>
      </c>
    </row>
    <row r="2885">
      <c r="A2885" s="45" t="s">
        <v>713</v>
      </c>
      <c r="B2885" s="45" t="s">
        <v>3713</v>
      </c>
      <c r="C2885" s="45">
        <v>99.0</v>
      </c>
      <c r="D2885" s="45">
        <v>51530.0</v>
      </c>
      <c r="E2885" s="45" t="s">
        <v>4008</v>
      </c>
      <c r="F2885" s="45" t="s">
        <v>3988</v>
      </c>
      <c r="G2885" s="45" t="s">
        <v>3988</v>
      </c>
    </row>
    <row r="2886">
      <c r="A2886" s="45" t="s">
        <v>1874</v>
      </c>
      <c r="B2886" s="45" t="s">
        <v>3713</v>
      </c>
      <c r="C2886" s="45">
        <v>99.0</v>
      </c>
      <c r="D2886" s="45">
        <v>51540.0</v>
      </c>
      <c r="E2886" s="45" t="s">
        <v>3993</v>
      </c>
      <c r="F2886" s="45" t="s">
        <v>3988</v>
      </c>
      <c r="G2886" s="45" t="s">
        <v>3988</v>
      </c>
    </row>
    <row r="2887">
      <c r="A2887" s="45" t="s">
        <v>1875</v>
      </c>
      <c r="B2887" s="45" t="s">
        <v>3713</v>
      </c>
      <c r="C2887" s="45">
        <v>99.0</v>
      </c>
      <c r="D2887" s="45">
        <v>51550.0</v>
      </c>
      <c r="E2887" s="45" t="s">
        <v>4008</v>
      </c>
      <c r="F2887" s="45" t="s">
        <v>3988</v>
      </c>
      <c r="G2887" s="45" t="s">
        <v>3988</v>
      </c>
    </row>
    <row r="2888">
      <c r="A2888" s="45" t="s">
        <v>1876</v>
      </c>
      <c r="B2888" s="45" t="s">
        <v>3713</v>
      </c>
      <c r="C2888" s="45">
        <v>99.0</v>
      </c>
      <c r="D2888" s="45">
        <v>51570.0</v>
      </c>
      <c r="E2888" s="45" t="s">
        <v>4008</v>
      </c>
      <c r="F2888" s="45" t="s">
        <v>3988</v>
      </c>
      <c r="G2888" s="45" t="s">
        <v>3988</v>
      </c>
    </row>
    <row r="2889">
      <c r="A2889" s="45" t="s">
        <v>122</v>
      </c>
      <c r="B2889" s="45" t="s">
        <v>3713</v>
      </c>
      <c r="C2889" s="45">
        <v>99.0</v>
      </c>
      <c r="D2889" s="45">
        <v>51580.0</v>
      </c>
      <c r="E2889" s="45" t="s">
        <v>4008</v>
      </c>
      <c r="F2889" s="45" t="s">
        <v>3988</v>
      </c>
      <c r="G2889" s="45" t="s">
        <v>3988</v>
      </c>
    </row>
    <row r="2890">
      <c r="A2890" s="45" t="s">
        <v>1877</v>
      </c>
      <c r="B2890" s="45" t="s">
        <v>3713</v>
      </c>
      <c r="C2890" s="45">
        <v>99.0</v>
      </c>
      <c r="D2890" s="45">
        <v>51590.0</v>
      </c>
      <c r="E2890" s="45" t="s">
        <v>3993</v>
      </c>
      <c r="F2890" s="45" t="s">
        <v>3988</v>
      </c>
      <c r="G2890" s="45" t="s">
        <v>3988</v>
      </c>
    </row>
    <row r="2891">
      <c r="A2891" s="45" t="s">
        <v>1878</v>
      </c>
      <c r="B2891" s="45" t="s">
        <v>3713</v>
      </c>
      <c r="C2891" s="45">
        <v>99.0</v>
      </c>
      <c r="D2891" s="45">
        <v>51595.0</v>
      </c>
      <c r="E2891" s="45" t="s">
        <v>4008</v>
      </c>
      <c r="F2891" s="45" t="s">
        <v>3988</v>
      </c>
      <c r="G2891" s="45" t="s">
        <v>3988</v>
      </c>
    </row>
    <row r="2892">
      <c r="A2892" s="45" t="s">
        <v>1879</v>
      </c>
      <c r="B2892" s="45" t="s">
        <v>3713</v>
      </c>
      <c r="C2892" s="45">
        <v>99.0</v>
      </c>
      <c r="D2892" s="45">
        <v>51600.0</v>
      </c>
      <c r="E2892" s="45" t="s">
        <v>4008</v>
      </c>
      <c r="F2892" s="45" t="s">
        <v>3988</v>
      </c>
      <c r="G2892" s="45" t="s">
        <v>3988</v>
      </c>
    </row>
    <row r="2893">
      <c r="A2893" s="45" t="s">
        <v>1880</v>
      </c>
      <c r="B2893" s="45" t="s">
        <v>3713</v>
      </c>
      <c r="C2893" s="45">
        <v>99.0</v>
      </c>
      <c r="D2893" s="45">
        <v>51610.0</v>
      </c>
      <c r="E2893" s="45" t="s">
        <v>4008</v>
      </c>
      <c r="F2893" s="45" t="s">
        <v>3988</v>
      </c>
      <c r="G2893" s="45" t="s">
        <v>3988</v>
      </c>
    </row>
    <row r="2894">
      <c r="A2894" s="45" t="s">
        <v>1881</v>
      </c>
      <c r="B2894" s="45" t="s">
        <v>3713</v>
      </c>
      <c r="C2894" s="45">
        <v>99.0</v>
      </c>
      <c r="D2894" s="45">
        <v>51620.0</v>
      </c>
      <c r="E2894" s="45" t="s">
        <v>4008</v>
      </c>
      <c r="F2894" s="45" t="s">
        <v>3988</v>
      </c>
      <c r="G2894" s="45" t="s">
        <v>3988</v>
      </c>
    </row>
    <row r="2895">
      <c r="A2895" s="45" t="s">
        <v>1882</v>
      </c>
      <c r="B2895" s="45" t="s">
        <v>3713</v>
      </c>
      <c r="C2895" s="45">
        <v>99.0</v>
      </c>
      <c r="D2895" s="45">
        <v>51630.0</v>
      </c>
      <c r="E2895" s="45" t="s">
        <v>4008</v>
      </c>
      <c r="F2895" s="45" t="s">
        <v>3988</v>
      </c>
      <c r="G2895" s="45" t="s">
        <v>3988</v>
      </c>
    </row>
    <row r="2896">
      <c r="A2896" s="45" t="s">
        <v>1883</v>
      </c>
      <c r="B2896" s="45" t="s">
        <v>3713</v>
      </c>
      <c r="C2896" s="45">
        <v>118.0</v>
      </c>
      <c r="D2896" s="45">
        <v>51640.0</v>
      </c>
      <c r="E2896" s="45" t="s">
        <v>3993</v>
      </c>
      <c r="F2896" s="45" t="s">
        <v>3997</v>
      </c>
      <c r="G2896" s="45" t="s">
        <v>3988</v>
      </c>
    </row>
    <row r="2897">
      <c r="A2897" s="45" t="s">
        <v>1566</v>
      </c>
      <c r="B2897" s="45" t="s">
        <v>3713</v>
      </c>
      <c r="C2897" s="45">
        <v>99.0</v>
      </c>
      <c r="D2897" s="45">
        <v>51650.0</v>
      </c>
      <c r="E2897" s="45" t="s">
        <v>4008</v>
      </c>
      <c r="F2897" s="45" t="s">
        <v>3988</v>
      </c>
      <c r="G2897" s="45" t="s">
        <v>3988</v>
      </c>
    </row>
    <row r="2898">
      <c r="A2898" s="45" t="s">
        <v>1884</v>
      </c>
      <c r="B2898" s="45" t="s">
        <v>3713</v>
      </c>
      <c r="C2898" s="45">
        <v>99.0</v>
      </c>
      <c r="D2898" s="45">
        <v>51660.0</v>
      </c>
      <c r="E2898" s="45" t="s">
        <v>3993</v>
      </c>
      <c r="F2898" s="45" t="s">
        <v>3988</v>
      </c>
      <c r="G2898" s="45" t="s">
        <v>3988</v>
      </c>
    </row>
    <row r="2899">
      <c r="A2899" s="45" t="s">
        <v>1885</v>
      </c>
      <c r="B2899" s="45" t="s">
        <v>3713</v>
      </c>
      <c r="C2899" s="45">
        <v>99.0</v>
      </c>
      <c r="D2899" s="45">
        <v>51670.0</v>
      </c>
      <c r="E2899" s="45" t="s">
        <v>4008</v>
      </c>
      <c r="F2899" s="45" t="s">
        <v>3988</v>
      </c>
      <c r="G2899" s="45" t="s">
        <v>3988</v>
      </c>
    </row>
    <row r="2900">
      <c r="A2900" s="45" t="s">
        <v>1569</v>
      </c>
      <c r="B2900" s="45" t="s">
        <v>3713</v>
      </c>
      <c r="C2900" s="45">
        <v>99.0</v>
      </c>
      <c r="D2900" s="45">
        <v>51678.0</v>
      </c>
      <c r="E2900" s="45" t="s">
        <v>4008</v>
      </c>
      <c r="F2900" s="45" t="s">
        <v>3988</v>
      </c>
      <c r="G2900" s="45" t="s">
        <v>3988</v>
      </c>
    </row>
    <row r="2901">
      <c r="A2901" s="45" t="s">
        <v>1886</v>
      </c>
      <c r="B2901" s="45" t="s">
        <v>3713</v>
      </c>
      <c r="C2901" s="45">
        <v>118.0</v>
      </c>
      <c r="D2901" s="45">
        <v>51680.0</v>
      </c>
      <c r="E2901" s="45" t="s">
        <v>3993</v>
      </c>
      <c r="F2901" s="45" t="s">
        <v>3997</v>
      </c>
      <c r="G2901" s="45" t="s">
        <v>3988</v>
      </c>
    </row>
    <row r="2902">
      <c r="A2902" s="45" t="s">
        <v>1887</v>
      </c>
      <c r="B2902" s="45" t="s">
        <v>3713</v>
      </c>
      <c r="C2902" s="45">
        <v>99.0</v>
      </c>
      <c r="D2902" s="45">
        <v>51683.0</v>
      </c>
      <c r="E2902" s="45" t="s">
        <v>4008</v>
      </c>
      <c r="F2902" s="45" t="s">
        <v>3988</v>
      </c>
      <c r="G2902" s="45" t="s">
        <v>3988</v>
      </c>
    </row>
    <row r="2903">
      <c r="A2903" s="45" t="s">
        <v>1888</v>
      </c>
      <c r="B2903" s="45" t="s">
        <v>3713</v>
      </c>
      <c r="C2903" s="45">
        <v>99.0</v>
      </c>
      <c r="D2903" s="45">
        <v>51685.0</v>
      </c>
      <c r="E2903" s="45" t="s">
        <v>4008</v>
      </c>
      <c r="F2903" s="45" t="s">
        <v>3988</v>
      </c>
      <c r="G2903" s="45" t="s">
        <v>3988</v>
      </c>
    </row>
    <row r="2904">
      <c r="A2904" s="45" t="s">
        <v>1889</v>
      </c>
      <c r="B2904" s="45" t="s">
        <v>3713</v>
      </c>
      <c r="C2904" s="45">
        <v>118.0</v>
      </c>
      <c r="D2904" s="45">
        <v>51690.0</v>
      </c>
      <c r="E2904" s="45" t="s">
        <v>3993</v>
      </c>
      <c r="F2904" s="45" t="s">
        <v>3997</v>
      </c>
      <c r="G2904" s="45" t="s">
        <v>3988</v>
      </c>
    </row>
    <row r="2905">
      <c r="A2905" s="45" t="s">
        <v>1890</v>
      </c>
      <c r="B2905" s="45" t="s">
        <v>3713</v>
      </c>
      <c r="C2905" s="45">
        <v>99.0</v>
      </c>
      <c r="D2905" s="45">
        <v>51700.0</v>
      </c>
      <c r="E2905" s="45" t="s">
        <v>4008</v>
      </c>
      <c r="F2905" s="45" t="s">
        <v>3988</v>
      </c>
      <c r="G2905" s="45" t="s">
        <v>3988</v>
      </c>
    </row>
    <row r="2906">
      <c r="A2906" s="45" t="s">
        <v>960</v>
      </c>
      <c r="B2906" s="45" t="s">
        <v>3713</v>
      </c>
      <c r="C2906" s="45">
        <v>99.0</v>
      </c>
      <c r="D2906" s="45">
        <v>51710.0</v>
      </c>
      <c r="E2906" s="45" t="s">
        <v>4008</v>
      </c>
      <c r="F2906" s="45" t="s">
        <v>3988</v>
      </c>
      <c r="G2906" s="45" t="s">
        <v>3988</v>
      </c>
    </row>
    <row r="2907">
      <c r="A2907" s="45" t="s">
        <v>789</v>
      </c>
      <c r="B2907" s="45" t="s">
        <v>3713</v>
      </c>
      <c r="C2907" s="45">
        <v>118.0</v>
      </c>
      <c r="D2907" s="45">
        <v>51720.0</v>
      </c>
      <c r="E2907" s="45" t="s">
        <v>3993</v>
      </c>
      <c r="F2907" s="45" t="s">
        <v>3970</v>
      </c>
      <c r="G2907" s="45" t="s">
        <v>3988</v>
      </c>
    </row>
    <row r="2908">
      <c r="A2908" s="45" t="s">
        <v>1891</v>
      </c>
      <c r="B2908" s="45" t="s">
        <v>3713</v>
      </c>
      <c r="C2908" s="45">
        <v>99.0</v>
      </c>
      <c r="D2908" s="45">
        <v>51730.0</v>
      </c>
      <c r="E2908" s="45" t="s">
        <v>4008</v>
      </c>
      <c r="F2908" s="45" t="s">
        <v>3988</v>
      </c>
      <c r="G2908" s="45" t="s">
        <v>3988</v>
      </c>
    </row>
    <row r="2909">
      <c r="A2909" s="45" t="s">
        <v>1892</v>
      </c>
      <c r="B2909" s="45" t="s">
        <v>3713</v>
      </c>
      <c r="C2909" s="45">
        <v>99.0</v>
      </c>
      <c r="D2909" s="45">
        <v>51735.0</v>
      </c>
      <c r="E2909" s="45" t="s">
        <v>4008</v>
      </c>
      <c r="F2909" s="45" t="s">
        <v>3988</v>
      </c>
      <c r="G2909" s="45" t="s">
        <v>3988</v>
      </c>
    </row>
    <row r="2910">
      <c r="A2910" s="45" t="s">
        <v>1893</v>
      </c>
      <c r="B2910" s="45" t="s">
        <v>3713</v>
      </c>
      <c r="C2910" s="45">
        <v>99.0</v>
      </c>
      <c r="D2910" s="45">
        <v>51740.0</v>
      </c>
      <c r="E2910" s="45" t="s">
        <v>4008</v>
      </c>
      <c r="F2910" s="45" t="s">
        <v>3988</v>
      </c>
      <c r="G2910" s="45" t="s">
        <v>3988</v>
      </c>
    </row>
    <row r="2911">
      <c r="A2911" s="45" t="s">
        <v>1894</v>
      </c>
      <c r="B2911" s="45" t="s">
        <v>3713</v>
      </c>
      <c r="C2911" s="45">
        <v>118.0</v>
      </c>
      <c r="D2911" s="45">
        <v>51750.0</v>
      </c>
      <c r="E2911" s="45" t="s">
        <v>3993</v>
      </c>
      <c r="F2911" s="45" t="s">
        <v>3997</v>
      </c>
      <c r="G2911" s="45" t="s">
        <v>3988</v>
      </c>
    </row>
    <row r="2912">
      <c r="A2912" s="45" t="s">
        <v>1895</v>
      </c>
      <c r="B2912" s="45" t="s">
        <v>3713</v>
      </c>
      <c r="C2912" s="45">
        <v>99.0</v>
      </c>
      <c r="D2912" s="45">
        <v>51760.0</v>
      </c>
      <c r="E2912" s="45" t="s">
        <v>4008</v>
      </c>
      <c r="F2912" s="45" t="s">
        <v>3988</v>
      </c>
      <c r="G2912" s="45" t="s">
        <v>3988</v>
      </c>
    </row>
    <row r="2913">
      <c r="A2913" s="45" t="s">
        <v>1896</v>
      </c>
      <c r="B2913" s="45" t="s">
        <v>3713</v>
      </c>
      <c r="C2913" s="45">
        <v>118.0</v>
      </c>
      <c r="D2913" s="45">
        <v>51770.0</v>
      </c>
      <c r="E2913" s="45" t="s">
        <v>3993</v>
      </c>
      <c r="F2913" s="45" t="s">
        <v>3997</v>
      </c>
      <c r="G2913" s="45" t="s">
        <v>3997</v>
      </c>
    </row>
    <row r="2914">
      <c r="A2914" s="45" t="s">
        <v>1269</v>
      </c>
      <c r="B2914" s="45" t="s">
        <v>3713</v>
      </c>
      <c r="C2914" s="45">
        <v>118.0</v>
      </c>
      <c r="D2914" s="45">
        <v>51775.0</v>
      </c>
      <c r="E2914" s="45" t="s">
        <v>3993</v>
      </c>
      <c r="F2914" s="45" t="s">
        <v>3997</v>
      </c>
      <c r="G2914" s="45" t="s">
        <v>3997</v>
      </c>
    </row>
    <row r="2915">
      <c r="A2915" s="45" t="s">
        <v>1897</v>
      </c>
      <c r="B2915" s="45" t="s">
        <v>3713</v>
      </c>
      <c r="C2915" s="45">
        <v>99.0</v>
      </c>
      <c r="D2915" s="45">
        <v>51790.0</v>
      </c>
      <c r="E2915" s="45" t="s">
        <v>4008</v>
      </c>
      <c r="F2915" s="45" t="s">
        <v>3988</v>
      </c>
      <c r="G2915" s="45" t="s">
        <v>3997</v>
      </c>
    </row>
    <row r="2916">
      <c r="A2916" s="45" t="s">
        <v>961</v>
      </c>
      <c r="B2916" s="45" t="s">
        <v>3713</v>
      </c>
      <c r="C2916" s="45">
        <v>99.0</v>
      </c>
      <c r="D2916" s="45">
        <v>51800.0</v>
      </c>
      <c r="E2916" s="45" t="s">
        <v>4008</v>
      </c>
      <c r="F2916" s="45" t="s">
        <v>3988</v>
      </c>
      <c r="G2916" s="45" t="s">
        <v>3997</v>
      </c>
    </row>
    <row r="2917">
      <c r="A2917" s="45" t="s">
        <v>1898</v>
      </c>
      <c r="B2917" s="45" t="s">
        <v>3713</v>
      </c>
      <c r="C2917" s="45">
        <v>99.0</v>
      </c>
      <c r="D2917" s="45">
        <v>51810.0</v>
      </c>
      <c r="E2917" s="45" t="s">
        <v>4008</v>
      </c>
      <c r="F2917" s="45" t="s">
        <v>3988</v>
      </c>
      <c r="G2917" s="45" t="s">
        <v>3997</v>
      </c>
    </row>
    <row r="2918">
      <c r="A2918" s="45" t="s">
        <v>1899</v>
      </c>
      <c r="B2918" s="45" t="s">
        <v>3713</v>
      </c>
      <c r="C2918" s="45">
        <v>99.0</v>
      </c>
      <c r="D2918" s="45">
        <v>51820.0</v>
      </c>
      <c r="E2918" s="45" t="s">
        <v>3993</v>
      </c>
      <c r="F2918" s="45" t="s">
        <v>3988</v>
      </c>
      <c r="G2918" s="45" t="s">
        <v>3997</v>
      </c>
    </row>
    <row r="2919">
      <c r="A2919" s="45" t="s">
        <v>1576</v>
      </c>
      <c r="B2919" s="45" t="s">
        <v>3713</v>
      </c>
      <c r="C2919" s="45">
        <v>99.0</v>
      </c>
      <c r="D2919" s="45">
        <v>51830.0</v>
      </c>
      <c r="E2919" s="45" t="s">
        <v>4008</v>
      </c>
      <c r="F2919" s="45" t="s">
        <v>3988</v>
      </c>
      <c r="G2919" s="45" t="s">
        <v>3997</v>
      </c>
    </row>
    <row r="2920">
      <c r="A2920" s="45" t="s">
        <v>1900</v>
      </c>
      <c r="B2920" s="45" t="s">
        <v>3713</v>
      </c>
      <c r="C2920" s="45">
        <v>100.0</v>
      </c>
      <c r="D2920" s="45">
        <v>51840.0</v>
      </c>
      <c r="E2920" s="45" t="s">
        <v>3993</v>
      </c>
      <c r="F2920" s="45" t="s">
        <v>3997</v>
      </c>
      <c r="G2920" s="45" t="s">
        <v>3997</v>
      </c>
    </row>
    <row r="2921">
      <c r="A2921" s="45" t="s">
        <v>338</v>
      </c>
      <c r="B2921" s="45" t="s">
        <v>3797</v>
      </c>
      <c r="C2921" s="45">
        <v>3.0</v>
      </c>
      <c r="D2921" s="45">
        <v>53001.0</v>
      </c>
      <c r="E2921" s="45" t="s">
        <v>3980</v>
      </c>
      <c r="F2921" s="45" t="s">
        <v>3980</v>
      </c>
      <c r="G2921" s="45" t="s">
        <v>3997</v>
      </c>
    </row>
    <row r="2922">
      <c r="A2922" s="45" t="s">
        <v>1901</v>
      </c>
      <c r="B2922" s="45" t="s">
        <v>3797</v>
      </c>
      <c r="C2922" s="45">
        <v>2.0</v>
      </c>
      <c r="D2922" s="45">
        <v>53003.0</v>
      </c>
      <c r="E2922" s="45" t="s">
        <v>3980</v>
      </c>
      <c r="F2922" s="45" t="s">
        <v>3980</v>
      </c>
      <c r="G2922" s="45" t="s">
        <v>3997</v>
      </c>
    </row>
    <row r="2923">
      <c r="A2923" s="45" t="s">
        <v>224</v>
      </c>
      <c r="B2923" s="45" t="s">
        <v>3797</v>
      </c>
      <c r="C2923" s="45">
        <v>2.0</v>
      </c>
      <c r="D2923" s="45">
        <v>53005.0</v>
      </c>
      <c r="E2923" s="45" t="s">
        <v>3980</v>
      </c>
      <c r="F2923" s="45" t="s">
        <v>3980</v>
      </c>
      <c r="G2923" s="45" t="s">
        <v>3997</v>
      </c>
    </row>
    <row r="2924">
      <c r="A2924" s="45" t="s">
        <v>1902</v>
      </c>
      <c r="B2924" s="45" t="s">
        <v>3797</v>
      </c>
      <c r="C2924" s="45">
        <v>1.0</v>
      </c>
      <c r="D2924" s="45">
        <v>53007.0</v>
      </c>
      <c r="E2924" s="45" t="s">
        <v>3980</v>
      </c>
      <c r="F2924" s="45" t="s">
        <v>3980</v>
      </c>
      <c r="G2924" s="45" t="s">
        <v>3997</v>
      </c>
    </row>
    <row r="2925">
      <c r="A2925" s="45" t="s">
        <v>1903</v>
      </c>
      <c r="B2925" s="45" t="s">
        <v>3797</v>
      </c>
      <c r="C2925" s="45">
        <v>2.0</v>
      </c>
      <c r="D2925" s="45">
        <v>53009.0</v>
      </c>
      <c r="E2925" s="45" t="s">
        <v>3980</v>
      </c>
      <c r="F2925" s="45" t="s">
        <v>3980</v>
      </c>
      <c r="G2925" s="45" t="s">
        <v>3997</v>
      </c>
    </row>
    <row r="2926">
      <c r="A2926" s="45" t="s">
        <v>229</v>
      </c>
      <c r="B2926" s="45" t="s">
        <v>3797</v>
      </c>
      <c r="C2926" s="45">
        <v>2.0</v>
      </c>
      <c r="D2926" s="45">
        <v>53011.0</v>
      </c>
      <c r="E2926" s="45" t="s">
        <v>3980</v>
      </c>
      <c r="F2926" s="45" t="s">
        <v>3980</v>
      </c>
      <c r="G2926" s="45" t="s">
        <v>3997</v>
      </c>
    </row>
    <row r="2927">
      <c r="A2927" s="45" t="s">
        <v>231</v>
      </c>
      <c r="B2927" s="45" t="s">
        <v>3797</v>
      </c>
      <c r="C2927" s="45">
        <v>2.0</v>
      </c>
      <c r="D2927" s="45">
        <v>53013.0</v>
      </c>
      <c r="E2927" s="45" t="s">
        <v>3980</v>
      </c>
      <c r="F2927" s="45" t="s">
        <v>3980</v>
      </c>
      <c r="G2927" s="45" t="s">
        <v>3997</v>
      </c>
    </row>
    <row r="2928">
      <c r="A2928" s="45" t="s">
        <v>1904</v>
      </c>
      <c r="B2928" s="45" t="s">
        <v>3797</v>
      </c>
      <c r="C2928" s="45">
        <v>2.0</v>
      </c>
      <c r="D2928" s="45">
        <v>53015.0</v>
      </c>
      <c r="E2928" s="45" t="s">
        <v>3980</v>
      </c>
      <c r="F2928" s="45" t="s">
        <v>3980</v>
      </c>
      <c r="G2928" s="45" t="s">
        <v>3997</v>
      </c>
    </row>
    <row r="2929">
      <c r="A2929" s="45" t="s">
        <v>357</v>
      </c>
      <c r="B2929" s="45" t="s">
        <v>3797</v>
      </c>
      <c r="C2929" s="45">
        <v>4.0</v>
      </c>
      <c r="D2929" s="45">
        <v>53017.0</v>
      </c>
      <c r="E2929" s="45" t="s">
        <v>3980</v>
      </c>
      <c r="F2929" s="45" t="s">
        <v>3980</v>
      </c>
      <c r="G2929" s="45" t="s">
        <v>3997</v>
      </c>
    </row>
    <row r="2930">
      <c r="A2930" s="45" t="s">
        <v>1905</v>
      </c>
      <c r="B2930" s="45" t="s">
        <v>3797</v>
      </c>
      <c r="C2930" s="45">
        <v>3.0</v>
      </c>
      <c r="D2930" s="45">
        <v>53019.0</v>
      </c>
      <c r="E2930" s="45" t="s">
        <v>3980</v>
      </c>
      <c r="F2930" s="45" t="s">
        <v>3980</v>
      </c>
      <c r="G2930" s="45" t="s">
        <v>3997</v>
      </c>
    </row>
    <row r="2931">
      <c r="A2931" s="45" t="s">
        <v>132</v>
      </c>
      <c r="B2931" s="45" t="s">
        <v>3797</v>
      </c>
      <c r="C2931" s="45">
        <v>3.0</v>
      </c>
      <c r="D2931" s="45">
        <v>53021.0</v>
      </c>
      <c r="E2931" s="45" t="s">
        <v>3980</v>
      </c>
      <c r="F2931" s="45" t="s">
        <v>3980</v>
      </c>
      <c r="G2931" s="45" t="s">
        <v>3997</v>
      </c>
    </row>
    <row r="2932">
      <c r="A2932" s="45" t="s">
        <v>362</v>
      </c>
      <c r="B2932" s="45" t="s">
        <v>3797</v>
      </c>
      <c r="C2932" s="45">
        <v>2.0</v>
      </c>
      <c r="D2932" s="45">
        <v>53023.0</v>
      </c>
      <c r="E2932" s="45" t="s">
        <v>3980</v>
      </c>
      <c r="F2932" s="45" t="s">
        <v>3980</v>
      </c>
      <c r="G2932" s="45" t="s">
        <v>3997</v>
      </c>
    </row>
    <row r="2933">
      <c r="A2933" s="45" t="s">
        <v>242</v>
      </c>
      <c r="B2933" s="45" t="s">
        <v>3797</v>
      </c>
      <c r="C2933" s="45">
        <v>4.0</v>
      </c>
      <c r="D2933" s="45">
        <v>53025.0</v>
      </c>
      <c r="E2933" s="45" t="s">
        <v>3980</v>
      </c>
      <c r="F2933" s="45" t="s">
        <v>3980</v>
      </c>
      <c r="G2933" s="45" t="s">
        <v>3997</v>
      </c>
    </row>
    <row r="2934">
      <c r="A2934" s="45" t="s">
        <v>1906</v>
      </c>
      <c r="B2934" s="45" t="s">
        <v>3797</v>
      </c>
      <c r="C2934" s="45">
        <v>2.0</v>
      </c>
      <c r="D2934" s="45">
        <v>53027.0</v>
      </c>
      <c r="E2934" s="45" t="s">
        <v>3980</v>
      </c>
      <c r="F2934" s="45" t="s">
        <v>3980</v>
      </c>
      <c r="G2934" s="45" t="s">
        <v>3997</v>
      </c>
    </row>
    <row r="2935">
      <c r="A2935" s="45" t="s">
        <v>1907</v>
      </c>
      <c r="B2935" s="45" t="s">
        <v>3797</v>
      </c>
      <c r="C2935" s="45">
        <v>1.0</v>
      </c>
      <c r="D2935" s="45">
        <v>53029.0</v>
      </c>
      <c r="E2935" s="45" t="s">
        <v>3980</v>
      </c>
      <c r="F2935" s="45" t="s">
        <v>3980</v>
      </c>
      <c r="G2935" s="45" t="s">
        <v>3997</v>
      </c>
    </row>
    <row r="2936">
      <c r="A2936" s="45" t="s">
        <v>139</v>
      </c>
      <c r="B2936" s="45" t="s">
        <v>3797</v>
      </c>
      <c r="C2936" s="45">
        <v>2.0</v>
      </c>
      <c r="D2936" s="45">
        <v>53031.0</v>
      </c>
      <c r="E2936" s="45" t="s">
        <v>3980</v>
      </c>
      <c r="F2936" s="45" t="s">
        <v>3980</v>
      </c>
      <c r="G2936" s="45" t="s">
        <v>3997</v>
      </c>
    </row>
    <row r="2937">
      <c r="A2937" s="45" t="s">
        <v>1725</v>
      </c>
      <c r="B2937" s="45" t="s">
        <v>3797</v>
      </c>
      <c r="C2937" s="45">
        <v>1.0</v>
      </c>
      <c r="D2937" s="45">
        <v>53033.0</v>
      </c>
      <c r="E2937" s="45" t="s">
        <v>3980</v>
      </c>
      <c r="F2937" s="45" t="s">
        <v>3980</v>
      </c>
      <c r="G2937" s="45" t="s">
        <v>3997</v>
      </c>
    </row>
    <row r="2938">
      <c r="A2938" s="45" t="s">
        <v>1908</v>
      </c>
      <c r="B2938" s="45" t="s">
        <v>3797</v>
      </c>
      <c r="C2938" s="45">
        <v>1.0</v>
      </c>
      <c r="D2938" s="45">
        <v>53035.0</v>
      </c>
      <c r="E2938" s="45" t="s">
        <v>3980</v>
      </c>
      <c r="F2938" s="45" t="s">
        <v>3980</v>
      </c>
      <c r="G2938" s="45" t="s">
        <v>3997</v>
      </c>
    </row>
    <row r="2939">
      <c r="A2939" s="45" t="s">
        <v>1909</v>
      </c>
      <c r="B2939" s="45" t="s">
        <v>3797</v>
      </c>
      <c r="C2939" s="45">
        <v>1.0</v>
      </c>
      <c r="D2939" s="45">
        <v>53037.0</v>
      </c>
      <c r="E2939" s="45" t="s">
        <v>3980</v>
      </c>
      <c r="F2939" s="45" t="s">
        <v>3980</v>
      </c>
      <c r="G2939" s="45" t="s">
        <v>3997</v>
      </c>
    </row>
    <row r="2940">
      <c r="A2940" s="45" t="s">
        <v>1910</v>
      </c>
      <c r="B2940" s="45" t="s">
        <v>3797</v>
      </c>
      <c r="C2940" s="45">
        <v>2.0</v>
      </c>
      <c r="D2940" s="45">
        <v>53039.0</v>
      </c>
      <c r="E2940" s="45" t="s">
        <v>3980</v>
      </c>
      <c r="F2940" s="45" t="s">
        <v>3980</v>
      </c>
      <c r="G2940" s="45" t="s">
        <v>3997</v>
      </c>
    </row>
    <row r="2941">
      <c r="A2941" s="45" t="s">
        <v>597</v>
      </c>
      <c r="B2941" s="45" t="s">
        <v>3797</v>
      </c>
      <c r="C2941" s="45">
        <v>2.0</v>
      </c>
      <c r="D2941" s="45">
        <v>53041.0</v>
      </c>
      <c r="E2941" s="45" t="s">
        <v>3980</v>
      </c>
      <c r="F2941" s="45" t="s">
        <v>3980</v>
      </c>
      <c r="G2941" s="45" t="s">
        <v>3997</v>
      </c>
    </row>
    <row r="2942">
      <c r="A2942" s="45" t="s">
        <v>250</v>
      </c>
      <c r="B2942" s="45" t="s">
        <v>3797</v>
      </c>
      <c r="C2942" s="45">
        <v>3.0</v>
      </c>
      <c r="D2942" s="45">
        <v>53043.0</v>
      </c>
      <c r="E2942" s="45" t="s">
        <v>3980</v>
      </c>
      <c r="F2942" s="45" t="s">
        <v>3980</v>
      </c>
      <c r="G2942" s="45" t="s">
        <v>3997</v>
      </c>
    </row>
    <row r="2943">
      <c r="A2943" s="45" t="s">
        <v>641</v>
      </c>
      <c r="B2943" s="45" t="s">
        <v>3797</v>
      </c>
      <c r="C2943" s="45">
        <v>2.0</v>
      </c>
      <c r="D2943" s="45">
        <v>53045.0</v>
      </c>
      <c r="E2943" s="45" t="s">
        <v>3980</v>
      </c>
      <c r="F2943" s="45" t="s">
        <v>3980</v>
      </c>
      <c r="G2943" s="45" t="s">
        <v>3997</v>
      </c>
    </row>
    <row r="2944">
      <c r="A2944" s="45" t="s">
        <v>1911</v>
      </c>
      <c r="B2944" s="45" t="s">
        <v>3797</v>
      </c>
      <c r="C2944" s="45">
        <v>3.0</v>
      </c>
      <c r="D2944" s="45">
        <v>53047.0</v>
      </c>
      <c r="E2944" s="45" t="s">
        <v>3980</v>
      </c>
      <c r="F2944" s="45" t="s">
        <v>3980</v>
      </c>
      <c r="G2944" s="45" t="s">
        <v>3997</v>
      </c>
    </row>
    <row r="2945">
      <c r="A2945" s="45" t="s">
        <v>1912</v>
      </c>
      <c r="B2945" s="45" t="s">
        <v>3797</v>
      </c>
      <c r="C2945" s="45">
        <v>2.0</v>
      </c>
      <c r="D2945" s="45">
        <v>53049.0</v>
      </c>
      <c r="E2945" s="45" t="s">
        <v>3980</v>
      </c>
      <c r="F2945" s="45" t="s">
        <v>3980</v>
      </c>
      <c r="G2945" s="45" t="s">
        <v>3997</v>
      </c>
    </row>
    <row r="2946">
      <c r="A2946" s="45" t="s">
        <v>1913</v>
      </c>
      <c r="B2946" s="45" t="s">
        <v>3797</v>
      </c>
      <c r="C2946" s="45">
        <v>3.0</v>
      </c>
      <c r="D2946" s="45">
        <v>53051.0</v>
      </c>
      <c r="E2946" s="45" t="s">
        <v>3980</v>
      </c>
      <c r="F2946" s="45" t="s">
        <v>3980</v>
      </c>
      <c r="G2946" s="45" t="s">
        <v>3997</v>
      </c>
    </row>
    <row r="2947">
      <c r="A2947" s="45" t="s">
        <v>536</v>
      </c>
      <c r="B2947" s="45" t="s">
        <v>3797</v>
      </c>
      <c r="C2947" s="45">
        <v>1.0</v>
      </c>
      <c r="D2947" s="45">
        <v>53053.0</v>
      </c>
      <c r="E2947" s="45" t="s">
        <v>3980</v>
      </c>
      <c r="F2947" s="45" t="s">
        <v>3980</v>
      </c>
      <c r="G2947" s="45" t="s">
        <v>3997</v>
      </c>
    </row>
    <row r="2948">
      <c r="A2948" s="45" t="s">
        <v>388</v>
      </c>
      <c r="B2948" s="45" t="s">
        <v>3797</v>
      </c>
      <c r="C2948" s="45">
        <v>1.0</v>
      </c>
      <c r="D2948" s="45">
        <v>53055.0</v>
      </c>
      <c r="E2948" s="45" t="s">
        <v>3980</v>
      </c>
      <c r="F2948" s="45" t="s">
        <v>3980</v>
      </c>
      <c r="G2948" s="45" t="s">
        <v>3997</v>
      </c>
    </row>
    <row r="2949">
      <c r="A2949" s="45" t="s">
        <v>1914</v>
      </c>
      <c r="B2949" s="45" t="s">
        <v>3797</v>
      </c>
      <c r="C2949" s="45">
        <v>1.0</v>
      </c>
      <c r="D2949" s="45">
        <v>53057.0</v>
      </c>
      <c r="E2949" s="45" t="s">
        <v>3980</v>
      </c>
      <c r="F2949" s="45" t="s">
        <v>3980</v>
      </c>
      <c r="G2949" s="45" t="s">
        <v>3997</v>
      </c>
    </row>
    <row r="2950">
      <c r="A2950" s="45" t="s">
        <v>1915</v>
      </c>
      <c r="B2950" s="45" t="s">
        <v>3797</v>
      </c>
      <c r="C2950" s="45">
        <v>2.0</v>
      </c>
      <c r="D2950" s="45">
        <v>53059.0</v>
      </c>
      <c r="E2950" s="45" t="s">
        <v>3980</v>
      </c>
      <c r="F2950" s="45" t="s">
        <v>3980</v>
      </c>
      <c r="G2950" s="45" t="s">
        <v>3997</v>
      </c>
    </row>
    <row r="2951">
      <c r="A2951" s="45" t="s">
        <v>1916</v>
      </c>
      <c r="B2951" s="45" t="s">
        <v>3797</v>
      </c>
      <c r="C2951" s="45">
        <v>1.0</v>
      </c>
      <c r="D2951" s="45">
        <v>53061.0</v>
      </c>
      <c r="E2951" s="45" t="s">
        <v>3980</v>
      </c>
      <c r="F2951" s="45" t="s">
        <v>3980</v>
      </c>
      <c r="G2951" s="45" t="s">
        <v>3997</v>
      </c>
    </row>
    <row r="2952">
      <c r="A2952" s="45" t="s">
        <v>1917</v>
      </c>
      <c r="B2952" s="45" t="s">
        <v>3797</v>
      </c>
      <c r="C2952" s="45">
        <v>3.0</v>
      </c>
      <c r="D2952" s="45">
        <v>53063.0</v>
      </c>
      <c r="E2952" s="45" t="s">
        <v>3980</v>
      </c>
      <c r="F2952" s="45" t="s">
        <v>3980</v>
      </c>
      <c r="G2952" s="45" t="s">
        <v>3997</v>
      </c>
    </row>
    <row r="2953">
      <c r="A2953" s="45" t="s">
        <v>809</v>
      </c>
      <c r="B2953" s="45" t="s">
        <v>3797</v>
      </c>
      <c r="C2953" s="45">
        <v>3.0</v>
      </c>
      <c r="D2953" s="45">
        <v>53065.0</v>
      </c>
      <c r="E2953" s="45" t="s">
        <v>3980</v>
      </c>
      <c r="F2953" s="45" t="s">
        <v>3980</v>
      </c>
      <c r="G2953" s="45" t="s">
        <v>3997</v>
      </c>
    </row>
    <row r="2954">
      <c r="A2954" s="45" t="s">
        <v>1238</v>
      </c>
      <c r="B2954" s="45" t="s">
        <v>3797</v>
      </c>
      <c r="C2954" s="45">
        <v>1.0</v>
      </c>
      <c r="D2954" s="45">
        <v>53067.0</v>
      </c>
      <c r="E2954" s="45" t="s">
        <v>3980</v>
      </c>
      <c r="F2954" s="45" t="s">
        <v>3980</v>
      </c>
      <c r="G2954" s="45" t="s">
        <v>3997</v>
      </c>
    </row>
    <row r="2955">
      <c r="A2955" s="45" t="s">
        <v>1918</v>
      </c>
      <c r="B2955" s="45" t="s">
        <v>3797</v>
      </c>
      <c r="C2955" s="45">
        <v>2.0</v>
      </c>
      <c r="D2955" s="45">
        <v>53069.0</v>
      </c>
      <c r="E2955" s="45" t="s">
        <v>3980</v>
      </c>
      <c r="F2955" s="45" t="s">
        <v>3980</v>
      </c>
      <c r="G2955" s="45" t="s">
        <v>3980</v>
      </c>
    </row>
    <row r="2956">
      <c r="A2956" s="45" t="s">
        <v>1919</v>
      </c>
      <c r="B2956" s="45" t="s">
        <v>3797</v>
      </c>
      <c r="C2956" s="45">
        <v>2.0</v>
      </c>
      <c r="D2956" s="45">
        <v>53071.0</v>
      </c>
      <c r="E2956" s="45" t="s">
        <v>3980</v>
      </c>
      <c r="F2956" s="45" t="s">
        <v>3980</v>
      </c>
      <c r="G2956" s="45" t="s">
        <v>3980</v>
      </c>
    </row>
    <row r="2957">
      <c r="A2957" s="45" t="s">
        <v>1920</v>
      </c>
      <c r="B2957" s="45" t="s">
        <v>3797</v>
      </c>
      <c r="C2957" s="45">
        <v>1.0</v>
      </c>
      <c r="D2957" s="45">
        <v>53073.0</v>
      </c>
      <c r="E2957" s="45" t="s">
        <v>3980</v>
      </c>
      <c r="F2957" s="45" t="s">
        <v>3980</v>
      </c>
      <c r="G2957" s="45" t="s">
        <v>3980</v>
      </c>
    </row>
    <row r="2958">
      <c r="A2958" s="45" t="s">
        <v>1921</v>
      </c>
      <c r="B2958" s="45" t="s">
        <v>3797</v>
      </c>
      <c r="C2958" s="45">
        <v>3.0</v>
      </c>
      <c r="D2958" s="45">
        <v>53075.0</v>
      </c>
      <c r="E2958" s="45" t="s">
        <v>3980</v>
      </c>
      <c r="F2958" s="45" t="s">
        <v>3980</v>
      </c>
      <c r="G2958" s="45" t="s">
        <v>3980</v>
      </c>
    </row>
    <row r="2959">
      <c r="A2959" s="45" t="s">
        <v>1922</v>
      </c>
      <c r="B2959" s="45" t="s">
        <v>3797</v>
      </c>
      <c r="C2959" s="45">
        <v>2.0</v>
      </c>
      <c r="D2959" s="45">
        <v>53077.0</v>
      </c>
      <c r="E2959" s="45" t="s">
        <v>3980</v>
      </c>
      <c r="F2959" s="45" t="s">
        <v>3980</v>
      </c>
      <c r="G2959" s="45" t="s">
        <v>3980</v>
      </c>
    </row>
    <row r="2960">
      <c r="A2960" s="45" t="s">
        <v>105</v>
      </c>
      <c r="B2960" s="45" t="s">
        <v>3820</v>
      </c>
      <c r="C2960" s="45">
        <v>116.0</v>
      </c>
      <c r="D2960" s="45">
        <v>54001.0</v>
      </c>
      <c r="E2960" s="45" t="s">
        <v>3993</v>
      </c>
      <c r="F2960" s="45" t="s">
        <v>3997</v>
      </c>
      <c r="G2960" s="45" t="s">
        <v>3980</v>
      </c>
    </row>
    <row r="2961">
      <c r="A2961" s="45" t="s">
        <v>1555</v>
      </c>
      <c r="B2961" s="45" t="s">
        <v>3820</v>
      </c>
      <c r="C2961" s="45">
        <v>116.0</v>
      </c>
      <c r="D2961" s="45">
        <v>54003.0</v>
      </c>
      <c r="E2961" s="45" t="s">
        <v>3993</v>
      </c>
      <c r="F2961" s="45" t="s">
        <v>3997</v>
      </c>
      <c r="G2961" s="45" t="s">
        <v>3980</v>
      </c>
    </row>
    <row r="2962">
      <c r="A2962" s="45" t="s">
        <v>225</v>
      </c>
      <c r="B2962" s="45" t="s">
        <v>3820</v>
      </c>
      <c r="C2962" s="45">
        <v>117.0</v>
      </c>
      <c r="D2962" s="45">
        <v>54005.0</v>
      </c>
      <c r="E2962" s="45" t="s">
        <v>3993</v>
      </c>
      <c r="F2962" s="45" t="s">
        <v>3997</v>
      </c>
      <c r="G2962" s="45" t="s">
        <v>3980</v>
      </c>
    </row>
    <row r="2963">
      <c r="A2963" s="45" t="s">
        <v>1925</v>
      </c>
      <c r="B2963" s="45" t="s">
        <v>3820</v>
      </c>
      <c r="C2963" s="45">
        <v>116.0</v>
      </c>
      <c r="D2963" s="45">
        <v>54007.0</v>
      </c>
      <c r="E2963" s="45" t="s">
        <v>3993</v>
      </c>
      <c r="F2963" s="45" t="s">
        <v>3997</v>
      </c>
      <c r="G2963" s="45" t="s">
        <v>3980</v>
      </c>
    </row>
    <row r="2964">
      <c r="A2964" s="45" t="s">
        <v>1926</v>
      </c>
      <c r="B2964" s="45" t="s">
        <v>3820</v>
      </c>
      <c r="C2964" s="45">
        <v>116.0</v>
      </c>
      <c r="D2964" s="45">
        <v>54009.0</v>
      </c>
      <c r="E2964" s="45" t="s">
        <v>3993</v>
      </c>
      <c r="F2964" s="45" t="s">
        <v>3997</v>
      </c>
      <c r="G2964" s="45" t="s">
        <v>3980</v>
      </c>
    </row>
    <row r="2965">
      <c r="A2965" s="45" t="s">
        <v>1927</v>
      </c>
      <c r="B2965" s="45" t="s">
        <v>3820</v>
      </c>
      <c r="C2965" s="45">
        <v>117.0</v>
      </c>
      <c r="D2965" s="45">
        <v>54011.0</v>
      </c>
      <c r="E2965" s="45" t="s">
        <v>3993</v>
      </c>
      <c r="F2965" s="45" t="s">
        <v>3997</v>
      </c>
      <c r="G2965" s="45" t="s">
        <v>3980</v>
      </c>
    </row>
    <row r="2966">
      <c r="A2966" s="45" t="s">
        <v>110</v>
      </c>
      <c r="B2966" s="45" t="s">
        <v>3820</v>
      </c>
      <c r="C2966" s="45">
        <v>116.0</v>
      </c>
      <c r="D2966" s="45">
        <v>54013.0</v>
      </c>
      <c r="E2966" s="45" t="s">
        <v>3993</v>
      </c>
      <c r="F2966" s="45" t="s">
        <v>3997</v>
      </c>
      <c r="G2966" s="45" t="s">
        <v>3980</v>
      </c>
    </row>
    <row r="2967">
      <c r="A2967" s="45" t="s">
        <v>116</v>
      </c>
      <c r="B2967" s="45" t="s">
        <v>3820</v>
      </c>
      <c r="C2967" s="45">
        <v>116.0</v>
      </c>
      <c r="D2967" s="45">
        <v>54015.0</v>
      </c>
      <c r="E2967" s="45" t="s">
        <v>3993</v>
      </c>
      <c r="F2967" s="45" t="s">
        <v>3997</v>
      </c>
      <c r="G2967" s="45" t="s">
        <v>3980</v>
      </c>
    </row>
    <row r="2968">
      <c r="A2968" s="45" t="s">
        <v>1928</v>
      </c>
      <c r="B2968" s="45" t="s">
        <v>3820</v>
      </c>
      <c r="C2968" s="45">
        <v>116.0</v>
      </c>
      <c r="D2968" s="45">
        <v>54017.0</v>
      </c>
      <c r="E2968" s="45" t="s">
        <v>3993</v>
      </c>
      <c r="F2968" s="45" t="s">
        <v>3997</v>
      </c>
      <c r="G2968" s="45" t="s">
        <v>3980</v>
      </c>
    </row>
    <row r="2969">
      <c r="A2969" s="45" t="s">
        <v>131</v>
      </c>
      <c r="B2969" s="45" t="s">
        <v>3820</v>
      </c>
      <c r="C2969" s="45">
        <v>117.0</v>
      </c>
      <c r="D2969" s="45">
        <v>54019.0</v>
      </c>
      <c r="E2969" s="45" t="s">
        <v>3993</v>
      </c>
      <c r="F2969" s="45" t="s">
        <v>3997</v>
      </c>
      <c r="G2969" s="45" t="s">
        <v>3980</v>
      </c>
    </row>
    <row r="2970">
      <c r="A2970" s="45" t="s">
        <v>504</v>
      </c>
      <c r="B2970" s="45" t="s">
        <v>3820</v>
      </c>
      <c r="C2970" s="45">
        <v>116.0</v>
      </c>
      <c r="D2970" s="45">
        <v>54021.0</v>
      </c>
      <c r="E2970" s="45" t="s">
        <v>3993</v>
      </c>
      <c r="F2970" s="45" t="s">
        <v>3997</v>
      </c>
      <c r="G2970" s="45" t="s">
        <v>3980</v>
      </c>
    </row>
    <row r="2971">
      <c r="A2971" s="45" t="s">
        <v>242</v>
      </c>
      <c r="B2971" s="45" t="s">
        <v>3820</v>
      </c>
      <c r="C2971" s="45">
        <v>116.0</v>
      </c>
      <c r="D2971" s="45">
        <v>54023.0</v>
      </c>
      <c r="E2971" s="45" t="s">
        <v>3993</v>
      </c>
      <c r="F2971" s="45" t="s">
        <v>3997</v>
      </c>
      <c r="G2971" s="45" t="s">
        <v>3980</v>
      </c>
    </row>
    <row r="2972">
      <c r="A2972" s="45" t="s">
        <v>1929</v>
      </c>
      <c r="B2972" s="45" t="s">
        <v>3820</v>
      </c>
      <c r="C2972" s="45">
        <v>116.0</v>
      </c>
      <c r="D2972" s="45">
        <v>54025.0</v>
      </c>
      <c r="E2972" s="45" t="s">
        <v>3993</v>
      </c>
      <c r="F2972" s="45" t="s">
        <v>3997</v>
      </c>
      <c r="G2972" s="45" t="s">
        <v>3980</v>
      </c>
    </row>
    <row r="2973">
      <c r="A2973" s="45" t="s">
        <v>958</v>
      </c>
      <c r="B2973" s="45" t="s">
        <v>3820</v>
      </c>
      <c r="C2973" s="45">
        <v>116.0</v>
      </c>
      <c r="D2973" s="45">
        <v>54027.0</v>
      </c>
      <c r="E2973" s="45" t="s">
        <v>3993</v>
      </c>
      <c r="F2973" s="45" t="s">
        <v>3997</v>
      </c>
      <c r="G2973" s="45" t="s">
        <v>3980</v>
      </c>
    </row>
    <row r="2974">
      <c r="A2974" s="45" t="s">
        <v>512</v>
      </c>
      <c r="B2974" s="45" t="s">
        <v>3820</v>
      </c>
      <c r="C2974" s="45">
        <v>116.0</v>
      </c>
      <c r="D2974" s="45">
        <v>54029.0</v>
      </c>
      <c r="E2974" s="45" t="s">
        <v>3993</v>
      </c>
      <c r="F2974" s="45" t="s">
        <v>3997</v>
      </c>
      <c r="G2974" s="45" t="s">
        <v>3980</v>
      </c>
    </row>
    <row r="2975">
      <c r="A2975" s="45" t="s">
        <v>1930</v>
      </c>
      <c r="B2975" s="45" t="s">
        <v>3820</v>
      </c>
      <c r="C2975" s="45">
        <v>116.0</v>
      </c>
      <c r="D2975" s="45">
        <v>54031.0</v>
      </c>
      <c r="E2975" s="45" t="s">
        <v>3993</v>
      </c>
      <c r="F2975" s="45" t="s">
        <v>3997</v>
      </c>
      <c r="G2975" s="45" t="s">
        <v>3980</v>
      </c>
    </row>
    <row r="2976">
      <c r="A2976" s="45" t="s">
        <v>673</v>
      </c>
      <c r="B2976" s="45" t="s">
        <v>3820</v>
      </c>
      <c r="C2976" s="45">
        <v>116.0</v>
      </c>
      <c r="D2976" s="45">
        <v>54033.0</v>
      </c>
      <c r="E2976" s="45" t="s">
        <v>3993</v>
      </c>
      <c r="F2976" s="45" t="s">
        <v>3997</v>
      </c>
      <c r="G2976" s="45" t="s">
        <v>3980</v>
      </c>
    </row>
    <row r="2977">
      <c r="A2977" s="45" t="s">
        <v>138</v>
      </c>
      <c r="B2977" s="45" t="s">
        <v>3820</v>
      </c>
      <c r="C2977" s="45">
        <v>116.0</v>
      </c>
      <c r="D2977" s="45">
        <v>54035.0</v>
      </c>
      <c r="E2977" s="45" t="s">
        <v>3993</v>
      </c>
      <c r="F2977" s="45" t="s">
        <v>3997</v>
      </c>
      <c r="G2977" s="45" t="s">
        <v>3980</v>
      </c>
    </row>
    <row r="2978">
      <c r="A2978" s="45" t="s">
        <v>139</v>
      </c>
      <c r="B2978" s="45" t="s">
        <v>3820</v>
      </c>
      <c r="C2978" s="45">
        <v>116.0</v>
      </c>
      <c r="D2978" s="45">
        <v>54037.0</v>
      </c>
      <c r="E2978" s="45" t="s">
        <v>3993</v>
      </c>
      <c r="F2978" s="45" t="s">
        <v>3997</v>
      </c>
      <c r="G2978" s="45" t="s">
        <v>3980</v>
      </c>
    </row>
    <row r="2979">
      <c r="A2979" s="45" t="s">
        <v>1931</v>
      </c>
      <c r="B2979" s="45" t="s">
        <v>3820</v>
      </c>
      <c r="C2979" s="45">
        <v>117.0</v>
      </c>
      <c r="D2979" s="45">
        <v>54039.0</v>
      </c>
      <c r="E2979" s="45" t="s">
        <v>3993</v>
      </c>
      <c r="F2979" s="45" t="s">
        <v>3997</v>
      </c>
      <c r="G2979" s="45" t="s">
        <v>3980</v>
      </c>
    </row>
    <row r="2980">
      <c r="A2980" s="45" t="s">
        <v>597</v>
      </c>
      <c r="B2980" s="45" t="s">
        <v>3820</v>
      </c>
      <c r="C2980" s="45">
        <v>116.0</v>
      </c>
      <c r="D2980" s="45">
        <v>54041.0</v>
      </c>
      <c r="E2980" s="45" t="s">
        <v>3993</v>
      </c>
      <c r="F2980" s="45" t="s">
        <v>3997</v>
      </c>
      <c r="G2980" s="45" t="s">
        <v>3980</v>
      </c>
    </row>
    <row r="2981">
      <c r="A2981" s="45" t="s">
        <v>250</v>
      </c>
      <c r="B2981" s="45" t="s">
        <v>3820</v>
      </c>
      <c r="C2981" s="45">
        <v>117.0</v>
      </c>
      <c r="D2981" s="45">
        <v>54043.0</v>
      </c>
      <c r="E2981" s="45" t="s">
        <v>3993</v>
      </c>
      <c r="F2981" s="45" t="s">
        <v>3997</v>
      </c>
      <c r="G2981" s="45" t="s">
        <v>3980</v>
      </c>
    </row>
    <row r="2982">
      <c r="A2982" s="45" t="s">
        <v>252</v>
      </c>
      <c r="B2982" s="45" t="s">
        <v>3820</v>
      </c>
      <c r="C2982" s="45">
        <v>117.0</v>
      </c>
      <c r="D2982" s="45">
        <v>54045.0</v>
      </c>
      <c r="E2982" s="45" t="s">
        <v>3993</v>
      </c>
      <c r="F2982" s="45" t="s">
        <v>3997</v>
      </c>
      <c r="G2982" s="45" t="s">
        <v>3980</v>
      </c>
    </row>
    <row r="2983">
      <c r="A2983" s="45" t="s">
        <v>1363</v>
      </c>
      <c r="B2983" s="45" t="s">
        <v>3820</v>
      </c>
      <c r="C2983" s="45">
        <v>117.0</v>
      </c>
      <c r="D2983" s="45">
        <v>54047.0</v>
      </c>
      <c r="E2983" s="45" t="s">
        <v>3993</v>
      </c>
      <c r="F2983" s="45" t="s">
        <v>3997</v>
      </c>
      <c r="G2983" s="45" t="s">
        <v>3980</v>
      </c>
    </row>
    <row r="2984">
      <c r="A2984" s="45" t="s">
        <v>149</v>
      </c>
      <c r="B2984" s="45" t="s">
        <v>3820</v>
      </c>
      <c r="C2984" s="45">
        <v>116.0</v>
      </c>
      <c r="D2984" s="45">
        <v>54049.0</v>
      </c>
      <c r="E2984" s="45" t="s">
        <v>3993</v>
      </c>
      <c r="F2984" s="45" t="s">
        <v>3997</v>
      </c>
      <c r="G2984" s="45" t="s">
        <v>3980</v>
      </c>
    </row>
    <row r="2985">
      <c r="A2985" s="45" t="s">
        <v>150</v>
      </c>
      <c r="B2985" s="45" t="s">
        <v>3820</v>
      </c>
      <c r="C2985" s="45">
        <v>116.0</v>
      </c>
      <c r="D2985" s="45">
        <v>54051.0</v>
      </c>
      <c r="E2985" s="45" t="s">
        <v>3993</v>
      </c>
      <c r="F2985" s="45" t="s">
        <v>3997</v>
      </c>
      <c r="G2985" s="45" t="s">
        <v>3980</v>
      </c>
    </row>
    <row r="2986">
      <c r="A2986" s="45" t="s">
        <v>641</v>
      </c>
      <c r="B2986" s="45" t="s">
        <v>3820</v>
      </c>
      <c r="C2986" s="45">
        <v>117.0</v>
      </c>
      <c r="D2986" s="45">
        <v>54053.0</v>
      </c>
      <c r="E2986" s="45" t="s">
        <v>3993</v>
      </c>
      <c r="F2986" s="45" t="s">
        <v>3997</v>
      </c>
      <c r="G2986" s="45" t="s">
        <v>3980</v>
      </c>
    </row>
    <row r="2987">
      <c r="A2987" s="45" t="s">
        <v>644</v>
      </c>
      <c r="B2987" s="45" t="s">
        <v>3820</v>
      </c>
      <c r="C2987" s="45">
        <v>117.0</v>
      </c>
      <c r="D2987" s="45">
        <v>54055.0</v>
      </c>
      <c r="E2987" s="45" t="s">
        <v>3993</v>
      </c>
      <c r="F2987" s="45" t="s">
        <v>3997</v>
      </c>
      <c r="G2987" s="45" t="s">
        <v>3980</v>
      </c>
    </row>
    <row r="2988">
      <c r="A2988" s="45" t="s">
        <v>374</v>
      </c>
      <c r="B2988" s="45" t="s">
        <v>3820</v>
      </c>
      <c r="C2988" s="45">
        <v>116.0</v>
      </c>
      <c r="D2988" s="45">
        <v>54057.0</v>
      </c>
      <c r="E2988" s="45" t="s">
        <v>3993</v>
      </c>
      <c r="F2988" s="45" t="s">
        <v>3997</v>
      </c>
      <c r="G2988" s="45" t="s">
        <v>3980</v>
      </c>
    </row>
    <row r="2989">
      <c r="A2989" s="45" t="s">
        <v>1932</v>
      </c>
      <c r="B2989" s="45" t="s">
        <v>3820</v>
      </c>
      <c r="C2989" s="45">
        <v>117.0</v>
      </c>
      <c r="D2989" s="45">
        <v>54059.0</v>
      </c>
      <c r="E2989" s="45" t="s">
        <v>3993</v>
      </c>
      <c r="F2989" s="45" t="s">
        <v>3997</v>
      </c>
      <c r="G2989" s="45" t="s">
        <v>3980</v>
      </c>
    </row>
    <row r="2990">
      <c r="A2990" s="45" t="s">
        <v>1933</v>
      </c>
      <c r="B2990" s="45" t="s">
        <v>3820</v>
      </c>
      <c r="C2990" s="45">
        <v>116.0</v>
      </c>
      <c r="D2990" s="45">
        <v>54061.0</v>
      </c>
      <c r="E2990" s="45" t="s">
        <v>3993</v>
      </c>
      <c r="F2990" s="45" t="s">
        <v>3997</v>
      </c>
      <c r="G2990" s="45" t="s">
        <v>3980</v>
      </c>
    </row>
    <row r="2991">
      <c r="A2991" s="45" t="s">
        <v>152</v>
      </c>
      <c r="B2991" s="45" t="s">
        <v>3820</v>
      </c>
      <c r="C2991" s="45">
        <v>116.0</v>
      </c>
      <c r="D2991" s="45">
        <v>54063.0</v>
      </c>
      <c r="E2991" s="45" t="s">
        <v>3993</v>
      </c>
      <c r="F2991" s="45" t="s">
        <v>3997</v>
      </c>
      <c r="G2991" s="45" t="s">
        <v>3980</v>
      </c>
    </row>
    <row r="2992">
      <c r="A2992" s="45" t="s">
        <v>154</v>
      </c>
      <c r="B2992" s="45" t="s">
        <v>3820</v>
      </c>
      <c r="C2992" s="45">
        <v>116.0</v>
      </c>
      <c r="D2992" s="45">
        <v>54065.0</v>
      </c>
      <c r="E2992" s="45" t="s">
        <v>3993</v>
      </c>
      <c r="F2992" s="45" t="s">
        <v>3997</v>
      </c>
      <c r="G2992" s="45" t="s">
        <v>3980</v>
      </c>
    </row>
    <row r="2993">
      <c r="A2993" s="45" t="s">
        <v>861</v>
      </c>
      <c r="B2993" s="45" t="s">
        <v>3820</v>
      </c>
      <c r="C2993" s="45">
        <v>116.0</v>
      </c>
      <c r="D2993" s="45">
        <v>54067.0</v>
      </c>
      <c r="E2993" s="45" t="s">
        <v>3993</v>
      </c>
      <c r="F2993" s="45" t="s">
        <v>3997</v>
      </c>
      <c r="G2993" s="45" t="s">
        <v>3980</v>
      </c>
    </row>
    <row r="2994">
      <c r="A2994" s="45" t="s">
        <v>683</v>
      </c>
      <c r="B2994" s="45" t="s">
        <v>3820</v>
      </c>
      <c r="C2994" s="45">
        <v>116.0</v>
      </c>
      <c r="D2994" s="45">
        <v>54069.0</v>
      </c>
      <c r="E2994" s="45" t="s">
        <v>3993</v>
      </c>
      <c r="F2994" s="45" t="s">
        <v>3997</v>
      </c>
      <c r="G2994" s="45" t="s">
        <v>3997</v>
      </c>
    </row>
    <row r="2995">
      <c r="A2995" s="45" t="s">
        <v>864</v>
      </c>
      <c r="B2995" s="45" t="s">
        <v>3820</v>
      </c>
      <c r="C2995" s="45">
        <v>116.0</v>
      </c>
      <c r="D2995" s="45">
        <v>54071.0</v>
      </c>
      <c r="E2995" s="45" t="s">
        <v>3993</v>
      </c>
      <c r="F2995" s="45" t="s">
        <v>3997</v>
      </c>
      <c r="G2995" s="45" t="s">
        <v>3997</v>
      </c>
    </row>
    <row r="2996">
      <c r="A2996" s="45" t="s">
        <v>1934</v>
      </c>
      <c r="B2996" s="45" t="s">
        <v>3820</v>
      </c>
      <c r="C2996" s="45">
        <v>116.0</v>
      </c>
      <c r="D2996" s="45">
        <v>54073.0</v>
      </c>
      <c r="E2996" s="45" t="s">
        <v>3993</v>
      </c>
      <c r="F2996" s="45" t="s">
        <v>3997</v>
      </c>
      <c r="G2996" s="45" t="s">
        <v>3997</v>
      </c>
    </row>
    <row r="2997">
      <c r="A2997" s="45" t="s">
        <v>738</v>
      </c>
      <c r="B2997" s="45" t="s">
        <v>3820</v>
      </c>
      <c r="C2997" s="45">
        <v>116.0</v>
      </c>
      <c r="D2997" s="45">
        <v>54075.0</v>
      </c>
      <c r="E2997" s="45" t="s">
        <v>3993</v>
      </c>
      <c r="F2997" s="45" t="s">
        <v>3997</v>
      </c>
      <c r="G2997" s="45" t="s">
        <v>3997</v>
      </c>
    </row>
    <row r="2998">
      <c r="A2998" s="45" t="s">
        <v>1935</v>
      </c>
      <c r="B2998" s="45" t="s">
        <v>3820</v>
      </c>
      <c r="C2998" s="45">
        <v>116.0</v>
      </c>
      <c r="D2998" s="45">
        <v>54077.0</v>
      </c>
      <c r="E2998" s="45" t="s">
        <v>3993</v>
      </c>
      <c r="F2998" s="45" t="s">
        <v>3997</v>
      </c>
      <c r="G2998" s="45" t="s">
        <v>3997</v>
      </c>
    </row>
    <row r="2999">
      <c r="A2999" s="45" t="s">
        <v>449</v>
      </c>
      <c r="B2999" s="45" t="s">
        <v>3820</v>
      </c>
      <c r="C2999" s="45">
        <v>117.0</v>
      </c>
      <c r="D2999" s="45">
        <v>54079.0</v>
      </c>
      <c r="E2999" s="45" t="s">
        <v>3993</v>
      </c>
      <c r="F2999" s="45" t="s">
        <v>3997</v>
      </c>
      <c r="G2999" s="45" t="s">
        <v>3997</v>
      </c>
    </row>
    <row r="3000">
      <c r="A3000" s="45" t="s">
        <v>1936</v>
      </c>
      <c r="B3000" s="45" t="s">
        <v>3820</v>
      </c>
      <c r="C3000" s="45">
        <v>117.0</v>
      </c>
      <c r="D3000" s="45">
        <v>54081.0</v>
      </c>
      <c r="E3000" s="45" t="s">
        <v>3993</v>
      </c>
      <c r="F3000" s="45" t="s">
        <v>3997</v>
      </c>
      <c r="G3000" s="45" t="s">
        <v>3997</v>
      </c>
    </row>
    <row r="3001">
      <c r="A3001" s="45" t="s">
        <v>158</v>
      </c>
      <c r="B3001" s="45" t="s">
        <v>3820</v>
      </c>
      <c r="C3001" s="45">
        <v>116.0</v>
      </c>
      <c r="D3001" s="45">
        <v>54083.0</v>
      </c>
      <c r="E3001" s="45" t="s">
        <v>3993</v>
      </c>
      <c r="F3001" s="45" t="s">
        <v>3997</v>
      </c>
      <c r="G3001" s="45" t="s">
        <v>3997</v>
      </c>
    </row>
    <row r="3002">
      <c r="A3002" s="45" t="s">
        <v>1937</v>
      </c>
      <c r="B3002" s="45" t="s">
        <v>3820</v>
      </c>
      <c r="C3002" s="45">
        <v>116.0</v>
      </c>
      <c r="D3002" s="45">
        <v>54085.0</v>
      </c>
      <c r="E3002" s="45" t="s">
        <v>3993</v>
      </c>
      <c r="F3002" s="45" t="s">
        <v>3997</v>
      </c>
      <c r="G3002" s="45" t="s">
        <v>3997</v>
      </c>
    </row>
    <row r="3003">
      <c r="A3003" s="45" t="s">
        <v>1638</v>
      </c>
      <c r="B3003" s="45" t="s">
        <v>3820</v>
      </c>
      <c r="C3003" s="45">
        <v>116.0</v>
      </c>
      <c r="D3003" s="45">
        <v>54087.0</v>
      </c>
      <c r="E3003" s="45" t="s">
        <v>3993</v>
      </c>
      <c r="F3003" s="45" t="s">
        <v>3997</v>
      </c>
      <c r="G3003" s="45" t="s">
        <v>3997</v>
      </c>
    </row>
    <row r="3004">
      <c r="A3004" s="45" t="s">
        <v>1938</v>
      </c>
      <c r="B3004" s="45" t="s">
        <v>3820</v>
      </c>
      <c r="C3004" s="45">
        <v>116.0</v>
      </c>
      <c r="D3004" s="45">
        <v>54089.0</v>
      </c>
      <c r="E3004" s="45" t="s">
        <v>3993</v>
      </c>
      <c r="F3004" s="45" t="s">
        <v>3997</v>
      </c>
      <c r="G3004" s="45" t="s">
        <v>3997</v>
      </c>
    </row>
    <row r="3005">
      <c r="A3005" s="45" t="s">
        <v>456</v>
      </c>
      <c r="B3005" s="45" t="s">
        <v>3820</v>
      </c>
      <c r="C3005" s="45">
        <v>116.0</v>
      </c>
      <c r="D3005" s="45">
        <v>54091.0</v>
      </c>
      <c r="E3005" s="45" t="s">
        <v>3993</v>
      </c>
      <c r="F3005" s="45" t="s">
        <v>3997</v>
      </c>
      <c r="G3005" s="45" t="s">
        <v>3997</v>
      </c>
    </row>
    <row r="3006">
      <c r="A3006" s="45" t="s">
        <v>1939</v>
      </c>
      <c r="B3006" s="45" t="s">
        <v>3820</v>
      </c>
      <c r="C3006" s="45">
        <v>116.0</v>
      </c>
      <c r="D3006" s="45">
        <v>54093.0</v>
      </c>
      <c r="E3006" s="45" t="s">
        <v>3993</v>
      </c>
      <c r="F3006" s="45" t="s">
        <v>3997</v>
      </c>
      <c r="G3006" s="45" t="s">
        <v>3997</v>
      </c>
    </row>
    <row r="3007">
      <c r="A3007" s="45" t="s">
        <v>1784</v>
      </c>
      <c r="B3007" s="45" t="s">
        <v>3820</v>
      </c>
      <c r="C3007" s="45">
        <v>116.0</v>
      </c>
      <c r="D3007" s="45">
        <v>54095.0</v>
      </c>
      <c r="E3007" s="45" t="s">
        <v>3993</v>
      </c>
      <c r="F3007" s="45" t="s">
        <v>3997</v>
      </c>
      <c r="G3007" s="45" t="s">
        <v>3997</v>
      </c>
    </row>
    <row r="3008">
      <c r="A3008" s="45" t="s">
        <v>1785</v>
      </c>
      <c r="B3008" s="45" t="s">
        <v>3820</v>
      </c>
      <c r="C3008" s="45">
        <v>116.0</v>
      </c>
      <c r="D3008" s="45">
        <v>54097.0</v>
      </c>
      <c r="E3008" s="45" t="s">
        <v>3993</v>
      </c>
      <c r="F3008" s="45" t="s">
        <v>3997</v>
      </c>
      <c r="G3008" s="45" t="s">
        <v>3997</v>
      </c>
    </row>
    <row r="3009">
      <c r="A3009" s="45" t="s">
        <v>562</v>
      </c>
      <c r="B3009" s="45" t="s">
        <v>3820</v>
      </c>
      <c r="C3009" s="45">
        <v>117.0</v>
      </c>
      <c r="D3009" s="45">
        <v>54099.0</v>
      </c>
      <c r="E3009" s="45" t="s">
        <v>3993</v>
      </c>
      <c r="F3009" s="45" t="s">
        <v>3997</v>
      </c>
      <c r="G3009" s="45" t="s">
        <v>3997</v>
      </c>
    </row>
    <row r="3010">
      <c r="A3010" s="45" t="s">
        <v>563</v>
      </c>
      <c r="B3010" s="45" t="s">
        <v>3820</v>
      </c>
      <c r="C3010" s="45">
        <v>116.0</v>
      </c>
      <c r="D3010" s="45">
        <v>54101.0</v>
      </c>
      <c r="E3010" s="45" t="s">
        <v>3993</v>
      </c>
      <c r="F3010" s="45" t="s">
        <v>3997</v>
      </c>
      <c r="G3010" s="45" t="s">
        <v>3997</v>
      </c>
    </row>
    <row r="3011">
      <c r="A3011" s="45" t="s">
        <v>1940</v>
      </c>
      <c r="B3011" s="45" t="s">
        <v>3820</v>
      </c>
      <c r="C3011" s="45">
        <v>116.0</v>
      </c>
      <c r="D3011" s="45">
        <v>54103.0</v>
      </c>
      <c r="E3011" s="45" t="s">
        <v>3993</v>
      </c>
      <c r="F3011" s="45" t="s">
        <v>3997</v>
      </c>
      <c r="G3011" s="45" t="s">
        <v>3997</v>
      </c>
    </row>
    <row r="3012">
      <c r="A3012" s="45" t="s">
        <v>1941</v>
      </c>
      <c r="B3012" s="45" t="s">
        <v>3820</v>
      </c>
      <c r="C3012" s="45">
        <v>116.0</v>
      </c>
      <c r="D3012" s="45">
        <v>54105.0</v>
      </c>
      <c r="E3012" s="45" t="s">
        <v>3993</v>
      </c>
      <c r="F3012" s="45" t="s">
        <v>3997</v>
      </c>
      <c r="G3012" s="45" t="s">
        <v>3997</v>
      </c>
    </row>
    <row r="3013">
      <c r="A3013" s="45" t="s">
        <v>1455</v>
      </c>
      <c r="B3013" s="45" t="s">
        <v>3820</v>
      </c>
      <c r="C3013" s="45">
        <v>116.0</v>
      </c>
      <c r="D3013" s="45">
        <v>54107.0</v>
      </c>
      <c r="E3013" s="45" t="s">
        <v>3993</v>
      </c>
      <c r="F3013" s="45" t="s">
        <v>3997</v>
      </c>
      <c r="G3013" s="45" t="s">
        <v>3997</v>
      </c>
    </row>
    <row r="3014">
      <c r="A3014" s="45" t="s">
        <v>1323</v>
      </c>
      <c r="B3014" s="45" t="s">
        <v>3820</v>
      </c>
      <c r="C3014" s="45">
        <v>117.0</v>
      </c>
      <c r="D3014" s="45">
        <v>54109.0</v>
      </c>
      <c r="E3014" s="45" t="s">
        <v>3993</v>
      </c>
      <c r="F3014" s="45" t="s">
        <v>3997</v>
      </c>
      <c r="G3014" s="45" t="s">
        <v>3997</v>
      </c>
    </row>
    <row r="3015">
      <c r="A3015" s="45" t="s">
        <v>338</v>
      </c>
      <c r="B3015" s="45" t="s">
        <v>3838</v>
      </c>
      <c r="C3015" s="45">
        <v>76.0</v>
      </c>
      <c r="D3015" s="45">
        <v>55001.0</v>
      </c>
      <c r="E3015" s="45" t="s">
        <v>4000</v>
      </c>
      <c r="F3015" s="45" t="s">
        <v>3996</v>
      </c>
      <c r="G3015" s="45" t="s">
        <v>3997</v>
      </c>
    </row>
    <row r="3016">
      <c r="A3016" s="45" t="s">
        <v>1422</v>
      </c>
      <c r="B3016" s="45" t="s">
        <v>3838</v>
      </c>
      <c r="C3016" s="45">
        <v>46.0</v>
      </c>
      <c r="D3016" s="45">
        <v>55003.0</v>
      </c>
      <c r="E3016" s="45" t="s">
        <v>4000</v>
      </c>
      <c r="F3016" s="45" t="s">
        <v>3996</v>
      </c>
      <c r="G3016" s="45" t="s">
        <v>3997</v>
      </c>
    </row>
    <row r="3017">
      <c r="A3017" s="45" t="s">
        <v>1943</v>
      </c>
      <c r="B3017" s="45" t="s">
        <v>3838</v>
      </c>
      <c r="C3017" s="45">
        <v>46.0</v>
      </c>
      <c r="D3017" s="45">
        <v>55005.0</v>
      </c>
      <c r="E3017" s="45" t="s">
        <v>3995</v>
      </c>
      <c r="F3017" s="45" t="s">
        <v>3996</v>
      </c>
      <c r="G3017" s="45" t="s">
        <v>3997</v>
      </c>
    </row>
    <row r="3018">
      <c r="A3018" s="45" t="s">
        <v>1944</v>
      </c>
      <c r="B3018" s="45" t="s">
        <v>3838</v>
      </c>
      <c r="C3018" s="45">
        <v>46.0</v>
      </c>
      <c r="D3018" s="45">
        <v>55007.0</v>
      </c>
      <c r="E3018" s="45" t="s">
        <v>3995</v>
      </c>
      <c r="F3018" s="45" t="s">
        <v>3996</v>
      </c>
      <c r="G3018" s="45" t="s">
        <v>3997</v>
      </c>
    </row>
    <row r="3019">
      <c r="A3019" s="45" t="s">
        <v>611</v>
      </c>
      <c r="B3019" s="45" t="s">
        <v>3838</v>
      </c>
      <c r="C3019" s="45">
        <v>75.0</v>
      </c>
      <c r="D3019" s="45">
        <v>55009.0</v>
      </c>
      <c r="E3019" s="45" t="s">
        <v>4000</v>
      </c>
      <c r="F3019" s="45" t="s">
        <v>3996</v>
      </c>
      <c r="G3019" s="45" t="s">
        <v>3997</v>
      </c>
    </row>
    <row r="3020">
      <c r="A3020" s="45" t="s">
        <v>1203</v>
      </c>
      <c r="B3020" s="45" t="s">
        <v>3838</v>
      </c>
      <c r="C3020" s="45">
        <v>46.0</v>
      </c>
      <c r="D3020" s="45">
        <v>55011.0</v>
      </c>
      <c r="E3020" s="45" t="s">
        <v>3995</v>
      </c>
      <c r="F3020" s="45" t="s">
        <v>3996</v>
      </c>
      <c r="G3020" s="45" t="s">
        <v>3997</v>
      </c>
    </row>
    <row r="3021">
      <c r="A3021" s="45" t="s">
        <v>1945</v>
      </c>
      <c r="B3021" s="45" t="s">
        <v>3838</v>
      </c>
      <c r="C3021" s="45">
        <v>46.0</v>
      </c>
      <c r="D3021" s="45">
        <v>55013.0</v>
      </c>
      <c r="E3021" s="45" t="s">
        <v>3995</v>
      </c>
      <c r="F3021" s="45" t="s">
        <v>3996</v>
      </c>
      <c r="G3021" s="45" t="s">
        <v>3997</v>
      </c>
    </row>
    <row r="3022">
      <c r="A3022" s="45" t="s">
        <v>1946</v>
      </c>
      <c r="B3022" s="45" t="s">
        <v>3838</v>
      </c>
      <c r="C3022" s="45">
        <v>76.0</v>
      </c>
      <c r="D3022" s="45">
        <v>55015.0</v>
      </c>
      <c r="E3022" s="45" t="s">
        <v>4000</v>
      </c>
      <c r="F3022" s="45" t="s">
        <v>3996</v>
      </c>
      <c r="G3022" s="45" t="s">
        <v>3997</v>
      </c>
    </row>
    <row r="3023">
      <c r="A3023" s="45" t="s">
        <v>975</v>
      </c>
      <c r="B3023" s="45" t="s">
        <v>3838</v>
      </c>
      <c r="C3023" s="45">
        <v>46.0</v>
      </c>
      <c r="D3023" s="45">
        <v>55017.0</v>
      </c>
      <c r="E3023" s="45" t="s">
        <v>3995</v>
      </c>
      <c r="F3023" s="45" t="s">
        <v>3996</v>
      </c>
      <c r="G3023" s="45" t="s">
        <v>3997</v>
      </c>
    </row>
    <row r="3024">
      <c r="A3024" s="45" t="s">
        <v>229</v>
      </c>
      <c r="B3024" s="45" t="s">
        <v>3838</v>
      </c>
      <c r="C3024" s="45">
        <v>46.0</v>
      </c>
      <c r="D3024" s="45">
        <v>55019.0</v>
      </c>
      <c r="E3024" s="45" t="s">
        <v>4000</v>
      </c>
      <c r="F3024" s="45" t="s">
        <v>3996</v>
      </c>
      <c r="G3024" s="45" t="s">
        <v>3997</v>
      </c>
    </row>
    <row r="3025">
      <c r="A3025" s="45" t="s">
        <v>231</v>
      </c>
      <c r="B3025" s="45" t="s">
        <v>3838</v>
      </c>
      <c r="C3025" s="45">
        <v>76.0</v>
      </c>
      <c r="D3025" s="45">
        <v>55021.0</v>
      </c>
      <c r="E3025" s="45" t="s">
        <v>4000</v>
      </c>
      <c r="F3025" s="45" t="s">
        <v>3996</v>
      </c>
      <c r="G3025" s="45" t="s">
        <v>3997</v>
      </c>
    </row>
    <row r="3026">
      <c r="A3026" s="45" t="s">
        <v>234</v>
      </c>
      <c r="B3026" s="45" t="s">
        <v>3838</v>
      </c>
      <c r="C3026" s="45">
        <v>77.0</v>
      </c>
      <c r="D3026" s="45">
        <v>55023.0</v>
      </c>
      <c r="E3026" s="45" t="s">
        <v>4000</v>
      </c>
      <c r="F3026" s="45" t="s">
        <v>3996</v>
      </c>
      <c r="G3026" s="45" t="s">
        <v>3997</v>
      </c>
    </row>
    <row r="3027">
      <c r="A3027" s="45" t="s">
        <v>1947</v>
      </c>
      <c r="B3027" s="45" t="s">
        <v>3838</v>
      </c>
      <c r="C3027" s="45">
        <v>78.0</v>
      </c>
      <c r="D3027" s="45">
        <v>55025.0</v>
      </c>
      <c r="E3027" s="45" t="s">
        <v>4000</v>
      </c>
      <c r="F3027" s="45" t="s">
        <v>3996</v>
      </c>
      <c r="G3027" s="45" t="s">
        <v>3997</v>
      </c>
    </row>
    <row r="3028">
      <c r="A3028" s="45" t="s">
        <v>493</v>
      </c>
      <c r="B3028" s="45" t="s">
        <v>3838</v>
      </c>
      <c r="C3028" s="45">
        <v>76.0</v>
      </c>
      <c r="D3028" s="45">
        <v>55027.0</v>
      </c>
      <c r="E3028" s="45" t="s">
        <v>4000</v>
      </c>
      <c r="F3028" s="45" t="s">
        <v>3996</v>
      </c>
      <c r="G3028" s="45" t="s">
        <v>3997</v>
      </c>
    </row>
    <row r="3029">
      <c r="A3029" s="45" t="s">
        <v>1948</v>
      </c>
      <c r="B3029" s="45" t="s">
        <v>3838</v>
      </c>
      <c r="C3029" s="45">
        <v>75.0</v>
      </c>
      <c r="D3029" s="45">
        <v>55029.0</v>
      </c>
      <c r="E3029" s="45" t="s">
        <v>4000</v>
      </c>
      <c r="F3029" s="45" t="s">
        <v>3996</v>
      </c>
      <c r="G3029" s="45" t="s">
        <v>3997</v>
      </c>
    </row>
    <row r="3030">
      <c r="A3030" s="45" t="s">
        <v>357</v>
      </c>
      <c r="B3030" s="45" t="s">
        <v>3838</v>
      </c>
      <c r="C3030" s="45">
        <v>46.0</v>
      </c>
      <c r="D3030" s="45">
        <v>55031.0</v>
      </c>
      <c r="E3030" s="45" t="s">
        <v>3995</v>
      </c>
      <c r="F3030" s="45" t="s">
        <v>3996</v>
      </c>
      <c r="G3030" s="45" t="s">
        <v>3997</v>
      </c>
    </row>
    <row r="3031">
      <c r="A3031" s="45" t="s">
        <v>1400</v>
      </c>
      <c r="B3031" s="45" t="s">
        <v>3838</v>
      </c>
      <c r="C3031" s="45">
        <v>46.0</v>
      </c>
      <c r="D3031" s="45">
        <v>55033.0</v>
      </c>
      <c r="E3031" s="45" t="s">
        <v>3995</v>
      </c>
      <c r="F3031" s="45" t="s">
        <v>3996</v>
      </c>
      <c r="G3031" s="45" t="s">
        <v>3997</v>
      </c>
    </row>
    <row r="3032">
      <c r="A3032" s="45" t="s">
        <v>1949</v>
      </c>
      <c r="B3032" s="45" t="s">
        <v>3838</v>
      </c>
      <c r="C3032" s="45">
        <v>46.0</v>
      </c>
      <c r="D3032" s="45">
        <v>55035.0</v>
      </c>
      <c r="E3032" s="45" t="s">
        <v>3995</v>
      </c>
      <c r="F3032" s="45" t="s">
        <v>3996</v>
      </c>
      <c r="G3032" s="45" t="s">
        <v>3997</v>
      </c>
    </row>
    <row r="3033">
      <c r="A3033" s="45" t="s">
        <v>1563</v>
      </c>
      <c r="B3033" s="45" t="s">
        <v>3838</v>
      </c>
      <c r="C3033" s="45">
        <v>75.0</v>
      </c>
      <c r="D3033" s="45">
        <v>55037.0</v>
      </c>
      <c r="E3033" s="45" t="s">
        <v>3993</v>
      </c>
      <c r="F3033" s="45" t="s">
        <v>3996</v>
      </c>
      <c r="G3033" s="45" t="s">
        <v>3997</v>
      </c>
    </row>
    <row r="3034">
      <c r="A3034" s="45" t="s">
        <v>1950</v>
      </c>
      <c r="B3034" s="45" t="s">
        <v>3838</v>
      </c>
      <c r="C3034" s="45">
        <v>76.0</v>
      </c>
      <c r="D3034" s="45">
        <v>55039.0</v>
      </c>
      <c r="E3034" s="45" t="s">
        <v>4000</v>
      </c>
      <c r="F3034" s="45" t="s">
        <v>3996</v>
      </c>
      <c r="G3034" s="45" t="s">
        <v>3997</v>
      </c>
    </row>
    <row r="3035">
      <c r="A3035" s="45" t="s">
        <v>1527</v>
      </c>
      <c r="B3035" s="45" t="s">
        <v>3838</v>
      </c>
      <c r="C3035" s="45">
        <v>75.0</v>
      </c>
      <c r="D3035" s="45">
        <v>55041.0</v>
      </c>
      <c r="E3035" s="45" t="s">
        <v>4000</v>
      </c>
      <c r="F3035" s="45" t="s">
        <v>3996</v>
      </c>
      <c r="G3035" s="45" t="s">
        <v>3997</v>
      </c>
    </row>
    <row r="3036">
      <c r="A3036" s="45" t="s">
        <v>242</v>
      </c>
      <c r="B3036" s="45" t="s">
        <v>3838</v>
      </c>
      <c r="C3036" s="45">
        <v>77.0</v>
      </c>
      <c r="D3036" s="45">
        <v>55043.0</v>
      </c>
      <c r="E3036" s="45" t="s">
        <v>4000</v>
      </c>
      <c r="F3036" s="45" t="s">
        <v>3996</v>
      </c>
      <c r="G3036" s="45" t="s">
        <v>3997</v>
      </c>
    </row>
    <row r="3037">
      <c r="A3037" s="45" t="s">
        <v>842</v>
      </c>
      <c r="B3037" s="45" t="s">
        <v>3838</v>
      </c>
      <c r="C3037" s="45">
        <v>78.0</v>
      </c>
      <c r="D3037" s="45">
        <v>55045.0</v>
      </c>
      <c r="E3037" s="45" t="s">
        <v>4000</v>
      </c>
      <c r="F3037" s="45" t="s">
        <v>3996</v>
      </c>
      <c r="G3037" s="45" t="s">
        <v>3997</v>
      </c>
    </row>
    <row r="3038">
      <c r="A3038" s="45" t="s">
        <v>1951</v>
      </c>
      <c r="B3038" s="45" t="s">
        <v>3838</v>
      </c>
      <c r="C3038" s="45">
        <v>76.0</v>
      </c>
      <c r="D3038" s="45">
        <v>55047.0</v>
      </c>
      <c r="E3038" s="45" t="s">
        <v>4000</v>
      </c>
      <c r="F3038" s="45" t="s">
        <v>3996</v>
      </c>
      <c r="G3038" s="45" t="s">
        <v>3997</v>
      </c>
    </row>
    <row r="3039">
      <c r="A3039" s="45" t="s">
        <v>705</v>
      </c>
      <c r="B3039" s="45" t="s">
        <v>3838</v>
      </c>
      <c r="C3039" s="45">
        <v>77.0</v>
      </c>
      <c r="D3039" s="45">
        <v>55049.0</v>
      </c>
      <c r="E3039" s="45" t="s">
        <v>4000</v>
      </c>
      <c r="F3039" s="45" t="s">
        <v>3996</v>
      </c>
      <c r="G3039" s="45" t="s">
        <v>3997</v>
      </c>
    </row>
    <row r="3040">
      <c r="A3040" s="45" t="s">
        <v>989</v>
      </c>
      <c r="B3040" s="45" t="s">
        <v>3838</v>
      </c>
      <c r="C3040" s="45">
        <v>46.0</v>
      </c>
      <c r="D3040" s="45">
        <v>55051.0</v>
      </c>
      <c r="E3040" s="45" t="s">
        <v>4000</v>
      </c>
      <c r="F3040" s="45" t="s">
        <v>3996</v>
      </c>
      <c r="G3040" s="45" t="s">
        <v>3997</v>
      </c>
    </row>
    <row r="3041">
      <c r="A3041" s="45" t="s">
        <v>138</v>
      </c>
      <c r="B3041" s="45" t="s">
        <v>3838</v>
      </c>
      <c r="C3041" s="45">
        <v>77.0</v>
      </c>
      <c r="D3041" s="45">
        <v>55053.0</v>
      </c>
      <c r="E3041" s="45" t="s">
        <v>4000</v>
      </c>
      <c r="F3041" s="45" t="s">
        <v>3996</v>
      </c>
      <c r="G3041" s="45" t="s">
        <v>3997</v>
      </c>
    </row>
    <row r="3042">
      <c r="A3042" s="45" t="s">
        <v>139</v>
      </c>
      <c r="B3042" s="45" t="s">
        <v>3838</v>
      </c>
      <c r="C3042" s="45">
        <v>79.0</v>
      </c>
      <c r="D3042" s="45">
        <v>55055.0</v>
      </c>
      <c r="E3042" s="45" t="s">
        <v>3993</v>
      </c>
      <c r="F3042" s="45" t="s">
        <v>3996</v>
      </c>
      <c r="G3042" s="45" t="s">
        <v>3997</v>
      </c>
    </row>
    <row r="3043">
      <c r="A3043" s="45" t="s">
        <v>1952</v>
      </c>
      <c r="B3043" s="45" t="s">
        <v>3838</v>
      </c>
      <c r="C3043" s="45">
        <v>76.0</v>
      </c>
      <c r="D3043" s="45">
        <v>55057.0</v>
      </c>
      <c r="E3043" s="45" t="s">
        <v>4000</v>
      </c>
      <c r="F3043" s="45" t="s">
        <v>3996</v>
      </c>
      <c r="G3043" s="45" t="s">
        <v>3997</v>
      </c>
    </row>
    <row r="3044">
      <c r="A3044" s="45" t="s">
        <v>1953</v>
      </c>
      <c r="B3044" s="45" t="s">
        <v>3838</v>
      </c>
      <c r="C3044" s="45">
        <v>79.0</v>
      </c>
      <c r="D3044" s="45">
        <v>55059.0</v>
      </c>
      <c r="E3044" s="45" t="s">
        <v>3993</v>
      </c>
      <c r="F3044" s="45" t="s">
        <v>3996</v>
      </c>
      <c r="G3044" s="45" t="s">
        <v>3997</v>
      </c>
    </row>
    <row r="3045">
      <c r="A3045" s="45" t="s">
        <v>1954</v>
      </c>
      <c r="B3045" s="45" t="s">
        <v>3838</v>
      </c>
      <c r="C3045" s="45">
        <v>75.0</v>
      </c>
      <c r="D3045" s="45">
        <v>55061.0</v>
      </c>
      <c r="E3045" s="45" t="s">
        <v>4000</v>
      </c>
      <c r="F3045" s="45" t="s">
        <v>3996</v>
      </c>
      <c r="G3045" s="45" t="s">
        <v>3997</v>
      </c>
    </row>
    <row r="3046">
      <c r="A3046" s="45" t="s">
        <v>1955</v>
      </c>
      <c r="B3046" s="45" t="s">
        <v>3838</v>
      </c>
      <c r="C3046" s="45">
        <v>46.0</v>
      </c>
      <c r="D3046" s="45">
        <v>55063.0</v>
      </c>
      <c r="E3046" s="45" t="s">
        <v>4000</v>
      </c>
      <c r="F3046" s="45" t="s">
        <v>3996</v>
      </c>
      <c r="G3046" s="45" t="s">
        <v>3997</v>
      </c>
    </row>
    <row r="3047">
      <c r="A3047" s="45" t="s">
        <v>249</v>
      </c>
      <c r="B3047" s="45" t="s">
        <v>3838</v>
      </c>
      <c r="C3047" s="45">
        <v>77.0</v>
      </c>
      <c r="D3047" s="45">
        <v>55065.0</v>
      </c>
      <c r="E3047" s="45" t="s">
        <v>4000</v>
      </c>
      <c r="F3047" s="45" t="s">
        <v>3996</v>
      </c>
      <c r="G3047" s="45" t="s">
        <v>3997</v>
      </c>
    </row>
    <row r="3048">
      <c r="A3048" s="45" t="s">
        <v>1956</v>
      </c>
      <c r="B3048" s="45" t="s">
        <v>3838</v>
      </c>
      <c r="C3048" s="45">
        <v>75.0</v>
      </c>
      <c r="D3048" s="45">
        <v>55067.0</v>
      </c>
      <c r="E3048" s="45" t="s">
        <v>4000</v>
      </c>
      <c r="F3048" s="45" t="s">
        <v>3996</v>
      </c>
      <c r="G3048" s="45" t="s">
        <v>3997</v>
      </c>
    </row>
    <row r="3049">
      <c r="A3049" s="45" t="s">
        <v>250</v>
      </c>
      <c r="B3049" s="45" t="s">
        <v>3838</v>
      </c>
      <c r="C3049" s="45">
        <v>75.0</v>
      </c>
      <c r="D3049" s="45">
        <v>55069.0</v>
      </c>
      <c r="E3049" s="45" t="s">
        <v>4000</v>
      </c>
      <c r="F3049" s="45" t="s">
        <v>3996</v>
      </c>
      <c r="G3049" s="45" t="s">
        <v>3996</v>
      </c>
    </row>
    <row r="3050">
      <c r="A3050" s="45" t="s">
        <v>1957</v>
      </c>
      <c r="B3050" s="45" t="s">
        <v>3838</v>
      </c>
      <c r="C3050" s="45">
        <v>75.0</v>
      </c>
      <c r="D3050" s="45">
        <v>55071.0</v>
      </c>
      <c r="E3050" s="45" t="s">
        <v>4000</v>
      </c>
      <c r="F3050" s="45" t="s">
        <v>3996</v>
      </c>
      <c r="G3050" s="45" t="s">
        <v>3996</v>
      </c>
    </row>
    <row r="3051">
      <c r="A3051" s="45" t="s">
        <v>1958</v>
      </c>
      <c r="B3051" s="45" t="s">
        <v>3838</v>
      </c>
      <c r="C3051" s="45">
        <v>75.0</v>
      </c>
      <c r="D3051" s="45">
        <v>55073.0</v>
      </c>
      <c r="E3051" s="45" t="s">
        <v>4000</v>
      </c>
      <c r="F3051" s="45" t="s">
        <v>3996</v>
      </c>
      <c r="G3051" s="45" t="s">
        <v>3996</v>
      </c>
    </row>
    <row r="3052">
      <c r="A3052" s="45" t="s">
        <v>1959</v>
      </c>
      <c r="B3052" s="45" t="s">
        <v>3838</v>
      </c>
      <c r="C3052" s="45">
        <v>75.0</v>
      </c>
      <c r="D3052" s="45">
        <v>55075.0</v>
      </c>
      <c r="E3052" s="45" t="s">
        <v>4000</v>
      </c>
      <c r="F3052" s="45" t="s">
        <v>3996</v>
      </c>
      <c r="G3052" s="45" t="s">
        <v>3996</v>
      </c>
    </row>
    <row r="3053">
      <c r="A3053" s="45" t="s">
        <v>1001</v>
      </c>
      <c r="B3053" s="45" t="s">
        <v>3838</v>
      </c>
      <c r="C3053" s="45">
        <v>76.0</v>
      </c>
      <c r="D3053" s="45">
        <v>55077.0</v>
      </c>
      <c r="E3053" s="45" t="s">
        <v>4000</v>
      </c>
      <c r="F3053" s="45" t="s">
        <v>3996</v>
      </c>
      <c r="G3053" s="45" t="s">
        <v>3996</v>
      </c>
    </row>
    <row r="3054">
      <c r="A3054" s="45" t="s">
        <v>1003</v>
      </c>
      <c r="B3054" s="45" t="s">
        <v>3838</v>
      </c>
      <c r="C3054" s="45">
        <v>76.0</v>
      </c>
      <c r="D3054" s="45">
        <v>55078.0</v>
      </c>
      <c r="E3054" s="45" t="s">
        <v>4000</v>
      </c>
      <c r="F3054" s="45" t="s">
        <v>3996</v>
      </c>
      <c r="G3054" s="45" t="s">
        <v>3996</v>
      </c>
    </row>
    <row r="3055">
      <c r="A3055" s="45" t="s">
        <v>1960</v>
      </c>
      <c r="B3055" s="45" t="s">
        <v>3838</v>
      </c>
      <c r="C3055" s="45">
        <v>79.0</v>
      </c>
      <c r="D3055" s="45">
        <v>55079.0</v>
      </c>
      <c r="E3055" s="45" t="s">
        <v>3993</v>
      </c>
      <c r="F3055" s="45" t="s">
        <v>3996</v>
      </c>
      <c r="G3055" s="45" t="s">
        <v>3996</v>
      </c>
    </row>
    <row r="3056">
      <c r="A3056" s="45" t="s">
        <v>152</v>
      </c>
      <c r="B3056" s="45" t="s">
        <v>3838</v>
      </c>
      <c r="C3056" s="45">
        <v>77.0</v>
      </c>
      <c r="D3056" s="45">
        <v>55081.0</v>
      </c>
      <c r="E3056" s="45" t="s">
        <v>4000</v>
      </c>
      <c r="F3056" s="45" t="s">
        <v>3996</v>
      </c>
      <c r="G3056" s="45" t="s">
        <v>3996</v>
      </c>
    </row>
    <row r="3057">
      <c r="A3057" s="45" t="s">
        <v>1961</v>
      </c>
      <c r="B3057" s="45" t="s">
        <v>3838</v>
      </c>
      <c r="C3057" s="45">
        <v>75.0</v>
      </c>
      <c r="D3057" s="45">
        <v>55083.0</v>
      </c>
      <c r="E3057" s="45" t="s">
        <v>4000</v>
      </c>
      <c r="F3057" s="45" t="s">
        <v>3996</v>
      </c>
      <c r="G3057" s="45" t="s">
        <v>3996</v>
      </c>
    </row>
    <row r="3058">
      <c r="A3058" s="45" t="s">
        <v>600</v>
      </c>
      <c r="B3058" s="45" t="s">
        <v>3838</v>
      </c>
      <c r="C3058" s="45">
        <v>75.0</v>
      </c>
      <c r="D3058" s="45">
        <v>55085.0</v>
      </c>
      <c r="E3058" s="45" t="s">
        <v>4000</v>
      </c>
      <c r="F3058" s="45" t="s">
        <v>3996</v>
      </c>
      <c r="G3058" s="45" t="s">
        <v>3996</v>
      </c>
    </row>
    <row r="3059">
      <c r="A3059" s="45" t="s">
        <v>1962</v>
      </c>
      <c r="B3059" s="45" t="s">
        <v>3838</v>
      </c>
      <c r="C3059" s="45">
        <v>76.0</v>
      </c>
      <c r="D3059" s="45">
        <v>55087.0</v>
      </c>
      <c r="E3059" s="45" t="s">
        <v>3993</v>
      </c>
      <c r="F3059" s="45" t="s">
        <v>3996</v>
      </c>
      <c r="G3059" s="45" t="s">
        <v>3996</v>
      </c>
    </row>
    <row r="3060">
      <c r="A3060" s="45" t="s">
        <v>1963</v>
      </c>
      <c r="B3060" s="45" t="s">
        <v>3838</v>
      </c>
      <c r="C3060" s="45">
        <v>79.0</v>
      </c>
      <c r="D3060" s="45">
        <v>55089.0</v>
      </c>
      <c r="E3060" s="45" t="s">
        <v>3993</v>
      </c>
      <c r="F3060" s="45" t="s">
        <v>3996</v>
      </c>
      <c r="G3060" s="45" t="s">
        <v>3996</v>
      </c>
    </row>
    <row r="3061">
      <c r="A3061" s="45" t="s">
        <v>1964</v>
      </c>
      <c r="B3061" s="45" t="s">
        <v>3838</v>
      </c>
      <c r="C3061" s="45">
        <v>46.0</v>
      </c>
      <c r="D3061" s="45">
        <v>55091.0</v>
      </c>
      <c r="E3061" s="45" t="s">
        <v>3995</v>
      </c>
      <c r="F3061" s="45" t="s">
        <v>3996</v>
      </c>
      <c r="G3061" s="45" t="s">
        <v>3996</v>
      </c>
    </row>
    <row r="3062">
      <c r="A3062" s="45" t="s">
        <v>536</v>
      </c>
      <c r="B3062" s="45" t="s">
        <v>3838</v>
      </c>
      <c r="C3062" s="45">
        <v>46.0</v>
      </c>
      <c r="D3062" s="45">
        <v>55093.0</v>
      </c>
      <c r="E3062" s="45" t="s">
        <v>3995</v>
      </c>
      <c r="F3062" s="45" t="s">
        <v>3996</v>
      </c>
      <c r="G3062" s="45" t="s">
        <v>3996</v>
      </c>
    </row>
    <row r="3063">
      <c r="A3063" s="45" t="s">
        <v>261</v>
      </c>
      <c r="B3063" s="45" t="s">
        <v>3838</v>
      </c>
      <c r="C3063" s="45">
        <v>46.0</v>
      </c>
      <c r="D3063" s="45">
        <v>55095.0</v>
      </c>
      <c r="E3063" s="45" t="s">
        <v>3995</v>
      </c>
      <c r="F3063" s="45" t="s">
        <v>3996</v>
      </c>
      <c r="G3063" s="45" t="s">
        <v>3996</v>
      </c>
    </row>
    <row r="3064">
      <c r="A3064" s="45" t="s">
        <v>1446</v>
      </c>
      <c r="B3064" s="45" t="s">
        <v>3838</v>
      </c>
      <c r="C3064" s="45">
        <v>75.0</v>
      </c>
      <c r="D3064" s="45">
        <v>55097.0</v>
      </c>
      <c r="E3064" s="45" t="s">
        <v>4000</v>
      </c>
      <c r="F3064" s="45" t="s">
        <v>3996</v>
      </c>
      <c r="G3064" s="45" t="s">
        <v>3996</v>
      </c>
    </row>
    <row r="3065">
      <c r="A3065" s="45" t="s">
        <v>1965</v>
      </c>
      <c r="B3065" s="45" t="s">
        <v>3838</v>
      </c>
      <c r="C3065" s="45">
        <v>46.0</v>
      </c>
      <c r="D3065" s="45">
        <v>55099.0</v>
      </c>
      <c r="E3065" s="45" t="s">
        <v>4000</v>
      </c>
      <c r="F3065" s="45" t="s">
        <v>3996</v>
      </c>
      <c r="G3065" s="45" t="s">
        <v>3996</v>
      </c>
    </row>
    <row r="3066">
      <c r="A3066" s="45" t="s">
        <v>1966</v>
      </c>
      <c r="B3066" s="45" t="s">
        <v>3838</v>
      </c>
      <c r="C3066" s="45">
        <v>79.0</v>
      </c>
      <c r="D3066" s="45">
        <v>55101.0</v>
      </c>
      <c r="E3066" s="45" t="s">
        <v>3993</v>
      </c>
      <c r="F3066" s="45" t="s">
        <v>3996</v>
      </c>
      <c r="G3066" s="45" t="s">
        <v>3996</v>
      </c>
    </row>
    <row r="3067">
      <c r="A3067" s="45" t="s">
        <v>649</v>
      </c>
      <c r="B3067" s="45" t="s">
        <v>3838</v>
      </c>
      <c r="C3067" s="45">
        <v>77.0</v>
      </c>
      <c r="D3067" s="45">
        <v>55103.0</v>
      </c>
      <c r="E3067" s="45" t="s">
        <v>4000</v>
      </c>
      <c r="F3067" s="45" t="s">
        <v>3996</v>
      </c>
      <c r="G3067" s="45" t="s">
        <v>3996</v>
      </c>
    </row>
    <row r="3068">
      <c r="A3068" s="45" t="s">
        <v>1071</v>
      </c>
      <c r="B3068" s="45" t="s">
        <v>3838</v>
      </c>
      <c r="C3068" s="45">
        <v>78.0</v>
      </c>
      <c r="D3068" s="45">
        <v>55105.0</v>
      </c>
      <c r="E3068" s="45" t="s">
        <v>4000</v>
      </c>
      <c r="F3068" s="45" t="s">
        <v>3996</v>
      </c>
      <c r="G3068" s="45" t="s">
        <v>3996</v>
      </c>
    </row>
    <row r="3069">
      <c r="A3069" s="45" t="s">
        <v>1764</v>
      </c>
      <c r="B3069" s="45" t="s">
        <v>3838</v>
      </c>
      <c r="C3069" s="45">
        <v>46.0</v>
      </c>
      <c r="D3069" s="45">
        <v>55107.0</v>
      </c>
      <c r="E3069" s="45" t="s">
        <v>3995</v>
      </c>
      <c r="F3069" s="45" t="s">
        <v>3996</v>
      </c>
      <c r="G3069" s="45" t="s">
        <v>3996</v>
      </c>
    </row>
    <row r="3070">
      <c r="A3070" s="45" t="s">
        <v>1967</v>
      </c>
      <c r="B3070" s="45" t="s">
        <v>3838</v>
      </c>
      <c r="C3070" s="45">
        <v>46.0</v>
      </c>
      <c r="D3070" s="45">
        <v>55109.0</v>
      </c>
      <c r="E3070" s="45" t="s">
        <v>3995</v>
      </c>
      <c r="F3070" s="45" t="s">
        <v>3996</v>
      </c>
      <c r="G3070" s="45" t="s">
        <v>3996</v>
      </c>
    </row>
    <row r="3071">
      <c r="A3071" s="45" t="s">
        <v>1968</v>
      </c>
      <c r="B3071" s="45" t="s">
        <v>3838</v>
      </c>
      <c r="C3071" s="45">
        <v>77.0</v>
      </c>
      <c r="D3071" s="45">
        <v>55111.0</v>
      </c>
      <c r="E3071" s="45" t="s">
        <v>4000</v>
      </c>
      <c r="F3071" s="45" t="s">
        <v>3996</v>
      </c>
      <c r="G3071" s="45" t="s">
        <v>3996</v>
      </c>
    </row>
    <row r="3072">
      <c r="A3072" s="45" t="s">
        <v>1969</v>
      </c>
      <c r="B3072" s="45" t="s">
        <v>3838</v>
      </c>
      <c r="C3072" s="45">
        <v>46.0</v>
      </c>
      <c r="D3072" s="45">
        <v>55113.0</v>
      </c>
      <c r="E3072" s="45" t="s">
        <v>4000</v>
      </c>
      <c r="F3072" s="45" t="s">
        <v>3996</v>
      </c>
      <c r="G3072" s="45" t="s">
        <v>3996</v>
      </c>
    </row>
    <row r="3073">
      <c r="A3073" s="45" t="s">
        <v>1970</v>
      </c>
      <c r="B3073" s="45" t="s">
        <v>3838</v>
      </c>
      <c r="C3073" s="45">
        <v>76.0</v>
      </c>
      <c r="D3073" s="45">
        <v>55115.0</v>
      </c>
      <c r="E3073" s="45" t="s">
        <v>4000</v>
      </c>
      <c r="F3073" s="45" t="s">
        <v>3996</v>
      </c>
      <c r="G3073" s="45" t="s">
        <v>3996</v>
      </c>
    </row>
    <row r="3074">
      <c r="A3074" s="45" t="s">
        <v>1971</v>
      </c>
      <c r="B3074" s="45" t="s">
        <v>3838</v>
      </c>
      <c r="C3074" s="45">
        <v>79.0</v>
      </c>
      <c r="D3074" s="45">
        <v>55117.0</v>
      </c>
      <c r="E3074" s="45" t="s">
        <v>3993</v>
      </c>
      <c r="F3074" s="45" t="s">
        <v>3996</v>
      </c>
      <c r="G3074" s="45" t="s">
        <v>3996</v>
      </c>
    </row>
    <row r="3075">
      <c r="A3075" s="45" t="s">
        <v>456</v>
      </c>
      <c r="B3075" s="45" t="s">
        <v>3838</v>
      </c>
      <c r="C3075" s="45">
        <v>46.0</v>
      </c>
      <c r="D3075" s="45">
        <v>55119.0</v>
      </c>
      <c r="E3075" s="45" t="s">
        <v>4000</v>
      </c>
      <c r="F3075" s="45" t="s">
        <v>3996</v>
      </c>
      <c r="G3075" s="45" t="s">
        <v>3996</v>
      </c>
    </row>
    <row r="3076">
      <c r="A3076" s="45" t="s">
        <v>1972</v>
      </c>
      <c r="B3076" s="45" t="s">
        <v>3838</v>
      </c>
      <c r="C3076" s="45">
        <v>46.0</v>
      </c>
      <c r="D3076" s="45">
        <v>55121.0</v>
      </c>
      <c r="E3076" s="45" t="s">
        <v>3995</v>
      </c>
      <c r="F3076" s="45" t="s">
        <v>3996</v>
      </c>
      <c r="G3076" s="45" t="s">
        <v>3996</v>
      </c>
    </row>
    <row r="3077">
      <c r="A3077" s="45" t="s">
        <v>917</v>
      </c>
      <c r="B3077" s="45" t="s">
        <v>3838</v>
      </c>
      <c r="C3077" s="45">
        <v>77.0</v>
      </c>
      <c r="D3077" s="45">
        <v>55123.0</v>
      </c>
      <c r="E3077" s="45" t="s">
        <v>4000</v>
      </c>
      <c r="F3077" s="45" t="s">
        <v>3996</v>
      </c>
      <c r="G3077" s="45" t="s">
        <v>3996</v>
      </c>
    </row>
    <row r="3078">
      <c r="A3078" s="45" t="s">
        <v>1973</v>
      </c>
      <c r="B3078" s="45" t="s">
        <v>3838</v>
      </c>
      <c r="C3078" s="45">
        <v>75.0</v>
      </c>
      <c r="D3078" s="45">
        <v>55125.0</v>
      </c>
      <c r="E3078" s="45" t="s">
        <v>4000</v>
      </c>
      <c r="F3078" s="45" t="s">
        <v>3996</v>
      </c>
      <c r="G3078" s="45" t="s">
        <v>3996</v>
      </c>
    </row>
    <row r="3079">
      <c r="A3079" s="45" t="s">
        <v>1613</v>
      </c>
      <c r="B3079" s="45" t="s">
        <v>3838</v>
      </c>
      <c r="C3079" s="45">
        <v>79.0</v>
      </c>
      <c r="D3079" s="45">
        <v>55127.0</v>
      </c>
      <c r="E3079" s="45" t="s">
        <v>3993</v>
      </c>
      <c r="F3079" s="45" t="s">
        <v>3996</v>
      </c>
      <c r="G3079" s="45" t="s">
        <v>3996</v>
      </c>
    </row>
    <row r="3080">
      <c r="A3080" s="45" t="s">
        <v>1974</v>
      </c>
      <c r="B3080" s="45" t="s">
        <v>3838</v>
      </c>
      <c r="C3080" s="45">
        <v>46.0</v>
      </c>
      <c r="D3080" s="45">
        <v>55129.0</v>
      </c>
      <c r="E3080" s="45" t="s">
        <v>3995</v>
      </c>
      <c r="F3080" s="45" t="s">
        <v>3996</v>
      </c>
      <c r="G3080" s="45" t="s">
        <v>3996</v>
      </c>
    </row>
    <row r="3081">
      <c r="A3081" s="45" t="s">
        <v>167</v>
      </c>
      <c r="B3081" s="45" t="s">
        <v>3838</v>
      </c>
      <c r="C3081" s="45">
        <v>79.0</v>
      </c>
      <c r="D3081" s="45">
        <v>55131.0</v>
      </c>
      <c r="E3081" s="45" t="s">
        <v>3993</v>
      </c>
      <c r="F3081" s="45" t="s">
        <v>3996</v>
      </c>
      <c r="G3081" s="45" t="s">
        <v>3996</v>
      </c>
    </row>
    <row r="3082">
      <c r="A3082" s="45" t="s">
        <v>1975</v>
      </c>
      <c r="B3082" s="45" t="s">
        <v>3838</v>
      </c>
      <c r="C3082" s="45">
        <v>79.0</v>
      </c>
      <c r="D3082" s="45">
        <v>55133.0</v>
      </c>
      <c r="E3082" s="45" t="s">
        <v>3993</v>
      </c>
      <c r="F3082" s="45" t="s">
        <v>3996</v>
      </c>
      <c r="G3082" s="45" t="s">
        <v>3996</v>
      </c>
    </row>
    <row r="3083">
      <c r="A3083" s="45" t="s">
        <v>1976</v>
      </c>
      <c r="B3083" s="45" t="s">
        <v>3838</v>
      </c>
      <c r="C3083" s="45">
        <v>76.0</v>
      </c>
      <c r="D3083" s="45">
        <v>55135.0</v>
      </c>
      <c r="E3083" s="45" t="s">
        <v>4000</v>
      </c>
      <c r="F3083" s="45" t="s">
        <v>3996</v>
      </c>
      <c r="G3083" s="45" t="s">
        <v>3996</v>
      </c>
    </row>
    <row r="3084">
      <c r="A3084" s="45" t="s">
        <v>1977</v>
      </c>
      <c r="B3084" s="45" t="s">
        <v>3838</v>
      </c>
      <c r="C3084" s="45">
        <v>76.0</v>
      </c>
      <c r="D3084" s="45">
        <v>55137.0</v>
      </c>
      <c r="E3084" s="45" t="s">
        <v>4000</v>
      </c>
      <c r="F3084" s="45" t="s">
        <v>3996</v>
      </c>
      <c r="G3084" s="45" t="s">
        <v>3996</v>
      </c>
    </row>
    <row r="3085">
      <c r="A3085" s="45" t="s">
        <v>661</v>
      </c>
      <c r="B3085" s="45" t="s">
        <v>3838</v>
      </c>
      <c r="C3085" s="45">
        <v>76.0</v>
      </c>
      <c r="D3085" s="45">
        <v>55139.0</v>
      </c>
      <c r="E3085" s="45" t="s">
        <v>4000</v>
      </c>
      <c r="F3085" s="45" t="s">
        <v>3996</v>
      </c>
      <c r="G3085" s="45" t="s">
        <v>3996</v>
      </c>
    </row>
    <row r="3086">
      <c r="A3086" s="45" t="s">
        <v>1455</v>
      </c>
      <c r="B3086" s="45" t="s">
        <v>3838</v>
      </c>
      <c r="C3086" s="45">
        <v>76.0</v>
      </c>
      <c r="D3086" s="45">
        <v>55141.0</v>
      </c>
      <c r="E3086" s="45" t="s">
        <v>4000</v>
      </c>
      <c r="F3086" s="45" t="s">
        <v>3996</v>
      </c>
      <c r="G3086" s="45" t="s">
        <v>3996</v>
      </c>
    </row>
    <row r="3087">
      <c r="A3087" s="45" t="s">
        <v>1295</v>
      </c>
      <c r="B3087" s="45" t="s">
        <v>3874</v>
      </c>
      <c r="C3087" s="45">
        <v>24.0</v>
      </c>
      <c r="D3087" s="45">
        <v>56001.0</v>
      </c>
      <c r="E3087" s="45" t="s">
        <v>3980</v>
      </c>
      <c r="F3087" s="45" t="s">
        <v>3983</v>
      </c>
      <c r="G3087" s="45" t="s">
        <v>3996</v>
      </c>
    </row>
    <row r="3088">
      <c r="A3088" s="45" t="s">
        <v>1163</v>
      </c>
      <c r="B3088" s="45" t="s">
        <v>3874</v>
      </c>
      <c r="C3088" s="45">
        <v>21.0</v>
      </c>
      <c r="D3088" s="45">
        <v>56003.0</v>
      </c>
      <c r="E3088" s="45" t="s">
        <v>3980</v>
      </c>
      <c r="F3088" s="45" t="s">
        <v>3990</v>
      </c>
      <c r="G3088" s="45" t="s">
        <v>3996</v>
      </c>
    </row>
    <row r="3089">
      <c r="A3089" s="45" t="s">
        <v>831</v>
      </c>
      <c r="B3089" s="45" t="s">
        <v>3874</v>
      </c>
      <c r="C3089" s="45">
        <v>23.0</v>
      </c>
      <c r="D3089" s="45">
        <v>56005.0</v>
      </c>
      <c r="E3089" s="45" t="s">
        <v>3982</v>
      </c>
      <c r="F3089" s="45" t="s">
        <v>3983</v>
      </c>
      <c r="G3089" s="45" t="s">
        <v>3996</v>
      </c>
    </row>
    <row r="3090">
      <c r="A3090" s="45" t="s">
        <v>1165</v>
      </c>
      <c r="B3090" s="45" t="s">
        <v>3874</v>
      </c>
      <c r="C3090" s="45">
        <v>24.0</v>
      </c>
      <c r="D3090" s="45">
        <v>56007.0</v>
      </c>
      <c r="E3090" s="45" t="s">
        <v>3980</v>
      </c>
      <c r="F3090" s="45" t="s">
        <v>3990</v>
      </c>
      <c r="G3090" s="45" t="s">
        <v>3996</v>
      </c>
    </row>
    <row r="3091">
      <c r="A3091" s="45" t="s">
        <v>1978</v>
      </c>
      <c r="B3091" s="45" t="s">
        <v>3874</v>
      </c>
      <c r="C3091" s="45">
        <v>24.0</v>
      </c>
      <c r="D3091" s="45">
        <v>56009.0</v>
      </c>
      <c r="E3091" s="45" t="s">
        <v>3980</v>
      </c>
      <c r="F3091" s="45" t="s">
        <v>3983</v>
      </c>
      <c r="G3091" s="45" t="s">
        <v>3996</v>
      </c>
    </row>
    <row r="3092">
      <c r="A3092" s="45" t="s">
        <v>1500</v>
      </c>
      <c r="B3092" s="45" t="s">
        <v>3874</v>
      </c>
      <c r="C3092" s="45">
        <v>23.0</v>
      </c>
      <c r="D3092" s="45">
        <v>56011.0</v>
      </c>
      <c r="E3092" s="45" t="s">
        <v>3982</v>
      </c>
      <c r="F3092" s="45" t="s">
        <v>3983</v>
      </c>
      <c r="G3092" s="45" t="s">
        <v>3996</v>
      </c>
    </row>
    <row r="3093">
      <c r="A3093" s="45" t="s">
        <v>361</v>
      </c>
      <c r="B3093" s="45" t="s">
        <v>3874</v>
      </c>
      <c r="C3093" s="45">
        <v>21.0</v>
      </c>
      <c r="D3093" s="45">
        <v>56013.0</v>
      </c>
      <c r="E3093" s="45" t="s">
        <v>3980</v>
      </c>
      <c r="F3093" s="45" t="s">
        <v>3990</v>
      </c>
      <c r="G3093" s="45" t="s">
        <v>3996</v>
      </c>
    </row>
    <row r="3094">
      <c r="A3094" s="45" t="s">
        <v>1979</v>
      </c>
      <c r="B3094" s="45" t="s">
        <v>3874</v>
      </c>
      <c r="C3094" s="45">
        <v>24.0</v>
      </c>
      <c r="D3094" s="45">
        <v>56015.0</v>
      </c>
      <c r="E3094" s="45" t="s">
        <v>3982</v>
      </c>
      <c r="F3094" s="45" t="s">
        <v>3983</v>
      </c>
      <c r="G3094" s="45" t="s">
        <v>3996</v>
      </c>
    </row>
    <row r="3095">
      <c r="A3095" s="45" t="s">
        <v>1980</v>
      </c>
      <c r="B3095" s="45" t="s">
        <v>3874</v>
      </c>
      <c r="C3095" s="45">
        <v>21.0</v>
      </c>
      <c r="D3095" s="45">
        <v>56017.0</v>
      </c>
      <c r="E3095" s="45" t="s">
        <v>3980</v>
      </c>
      <c r="F3095" s="45" t="s">
        <v>3990</v>
      </c>
      <c r="G3095" s="45" t="s">
        <v>3996</v>
      </c>
    </row>
    <row r="3096">
      <c r="A3096" s="45" t="s">
        <v>248</v>
      </c>
      <c r="B3096" s="45" t="s">
        <v>3874</v>
      </c>
      <c r="C3096" s="45">
        <v>22.0</v>
      </c>
      <c r="D3096" s="45">
        <v>56019.0</v>
      </c>
      <c r="E3096" s="45" t="s">
        <v>3982</v>
      </c>
      <c r="F3096" s="45" t="s">
        <v>3983</v>
      </c>
      <c r="G3096" s="45" t="s">
        <v>3996</v>
      </c>
    </row>
    <row r="3097">
      <c r="A3097" s="45" t="s">
        <v>1981</v>
      </c>
      <c r="B3097" s="45" t="s">
        <v>3874</v>
      </c>
      <c r="C3097" s="45">
        <v>24.0</v>
      </c>
      <c r="D3097" s="45">
        <v>56021.0</v>
      </c>
      <c r="E3097" s="45" t="s">
        <v>3980</v>
      </c>
      <c r="F3097" s="45" t="s">
        <v>3983</v>
      </c>
      <c r="G3097" s="45" t="s">
        <v>3996</v>
      </c>
    </row>
    <row r="3098">
      <c r="A3098" s="45" t="s">
        <v>250</v>
      </c>
      <c r="B3098" s="45" t="s">
        <v>3874</v>
      </c>
      <c r="C3098" s="45">
        <v>21.0</v>
      </c>
      <c r="D3098" s="45">
        <v>56023.0</v>
      </c>
      <c r="E3098" s="45" t="s">
        <v>3980</v>
      </c>
      <c r="F3098" s="45" t="s">
        <v>3990</v>
      </c>
      <c r="G3098" s="45" t="s">
        <v>3996</v>
      </c>
    </row>
    <row r="3099">
      <c r="A3099" s="45" t="s">
        <v>1982</v>
      </c>
      <c r="B3099" s="45" t="s">
        <v>3874</v>
      </c>
      <c r="C3099" s="45">
        <v>24.0</v>
      </c>
      <c r="D3099" s="45">
        <v>56025.0</v>
      </c>
      <c r="E3099" s="45" t="s">
        <v>3980</v>
      </c>
      <c r="F3099" s="45" t="s">
        <v>3990</v>
      </c>
      <c r="G3099" s="45" t="s">
        <v>3996</v>
      </c>
    </row>
    <row r="3100">
      <c r="A3100" s="45" t="s">
        <v>1983</v>
      </c>
      <c r="B3100" s="45" t="s">
        <v>3874</v>
      </c>
      <c r="C3100" s="45">
        <v>24.0</v>
      </c>
      <c r="D3100" s="45">
        <v>56027.0</v>
      </c>
      <c r="E3100" s="45" t="s">
        <v>3982</v>
      </c>
      <c r="F3100" s="45" t="s">
        <v>3983</v>
      </c>
      <c r="G3100" s="45" t="s">
        <v>3996</v>
      </c>
    </row>
    <row r="3101">
      <c r="A3101" s="45" t="s">
        <v>380</v>
      </c>
      <c r="B3101" s="45" t="s">
        <v>3874</v>
      </c>
      <c r="C3101" s="45">
        <v>21.0</v>
      </c>
      <c r="D3101" s="45">
        <v>56029.0</v>
      </c>
      <c r="E3101" s="45" t="s">
        <v>3980</v>
      </c>
      <c r="F3101" s="45" t="s">
        <v>3990</v>
      </c>
      <c r="G3101" s="45" t="s">
        <v>3996</v>
      </c>
    </row>
    <row r="3102">
      <c r="A3102" s="45" t="s">
        <v>1149</v>
      </c>
      <c r="B3102" s="45" t="s">
        <v>3874</v>
      </c>
      <c r="C3102" s="45">
        <v>24.0</v>
      </c>
      <c r="D3102" s="45">
        <v>56031.0</v>
      </c>
      <c r="E3102" s="45" t="s">
        <v>3982</v>
      </c>
      <c r="F3102" s="45" t="s">
        <v>3983</v>
      </c>
      <c r="G3102" s="45" t="s">
        <v>3996</v>
      </c>
    </row>
    <row r="3103">
      <c r="A3103" s="45" t="s">
        <v>804</v>
      </c>
      <c r="B3103" s="45" t="s">
        <v>3874</v>
      </c>
      <c r="C3103" s="45">
        <v>22.0</v>
      </c>
      <c r="D3103" s="45">
        <v>56033.0</v>
      </c>
      <c r="E3103" s="45" t="s">
        <v>3982</v>
      </c>
      <c r="F3103" s="45" t="s">
        <v>3983</v>
      </c>
      <c r="G3103" s="45" t="s">
        <v>3996</v>
      </c>
    </row>
    <row r="3104">
      <c r="A3104" s="45" t="s">
        <v>1984</v>
      </c>
      <c r="B3104" s="45" t="s">
        <v>3874</v>
      </c>
      <c r="C3104" s="45">
        <v>21.0</v>
      </c>
      <c r="D3104" s="45">
        <v>56035.0</v>
      </c>
      <c r="E3104" s="45" t="s">
        <v>3980</v>
      </c>
      <c r="F3104" s="45" t="s">
        <v>3990</v>
      </c>
      <c r="G3104" s="45" t="s">
        <v>3996</v>
      </c>
    </row>
    <row r="3105">
      <c r="A3105" s="45" t="s">
        <v>1985</v>
      </c>
      <c r="B3105" s="45" t="s">
        <v>3874</v>
      </c>
      <c r="C3105" s="45">
        <v>21.0</v>
      </c>
      <c r="D3105" s="45">
        <v>56037.0</v>
      </c>
      <c r="E3105" s="45" t="s">
        <v>3980</v>
      </c>
      <c r="F3105" s="45" t="s">
        <v>3990</v>
      </c>
      <c r="G3105" s="45" t="s">
        <v>3996</v>
      </c>
    </row>
    <row r="3106">
      <c r="A3106" s="45" t="s">
        <v>605</v>
      </c>
      <c r="B3106" s="45" t="s">
        <v>3874</v>
      </c>
      <c r="C3106" s="45">
        <v>21.0</v>
      </c>
      <c r="D3106" s="45">
        <v>56039.0</v>
      </c>
      <c r="E3106" s="45" t="s">
        <v>3980</v>
      </c>
      <c r="F3106" s="45" t="s">
        <v>3990</v>
      </c>
      <c r="G3106" s="45" t="s">
        <v>3996</v>
      </c>
    </row>
    <row r="3107">
      <c r="A3107" s="45" t="s">
        <v>1986</v>
      </c>
      <c r="B3107" s="45" t="s">
        <v>3874</v>
      </c>
      <c r="C3107" s="45">
        <v>21.0</v>
      </c>
      <c r="D3107" s="45">
        <v>56041.0</v>
      </c>
      <c r="E3107" s="45" t="s">
        <v>3980</v>
      </c>
      <c r="F3107" s="45" t="s">
        <v>3990</v>
      </c>
      <c r="G3107" s="45" t="s">
        <v>3996</v>
      </c>
    </row>
    <row r="3108">
      <c r="A3108" s="45" t="s">
        <v>1987</v>
      </c>
      <c r="B3108" s="45" t="s">
        <v>3874</v>
      </c>
      <c r="C3108" s="45">
        <v>21.0</v>
      </c>
      <c r="D3108" s="45">
        <v>56043.0</v>
      </c>
      <c r="E3108" s="45" t="s">
        <v>3980</v>
      </c>
      <c r="F3108" s="45" t="s">
        <v>3990</v>
      </c>
      <c r="G3108" s="45" t="s">
        <v>3996</v>
      </c>
    </row>
    <row r="3109">
      <c r="A3109" s="45" t="s">
        <v>1988</v>
      </c>
      <c r="B3109" s="45" t="s">
        <v>3874</v>
      </c>
      <c r="C3109" s="45">
        <v>23.0</v>
      </c>
      <c r="D3109" s="45">
        <v>56045.0</v>
      </c>
      <c r="E3109" s="45" t="s">
        <v>3982</v>
      </c>
      <c r="F3109" s="45" t="s">
        <v>3983</v>
      </c>
      <c r="G3109" s="45" t="s">
        <v>3996</v>
      </c>
    </row>
    <row r="3110">
      <c r="A3110" s="45" t="s">
        <v>170</v>
      </c>
      <c r="B3110" s="45" t="s">
        <v>2062</v>
      </c>
      <c r="G3110" s="45" t="s">
        <v>3996</v>
      </c>
    </row>
    <row r="3111">
      <c r="A3111" s="45" t="s">
        <v>172</v>
      </c>
      <c r="B3111" s="45" t="s">
        <v>2062</v>
      </c>
      <c r="G3111" s="45" t="s">
        <v>3996</v>
      </c>
    </row>
    <row r="3112">
      <c r="A3112" s="45" t="s">
        <v>173</v>
      </c>
      <c r="B3112" s="45" t="s">
        <v>2062</v>
      </c>
      <c r="G3112" s="45" t="s">
        <v>3996</v>
      </c>
    </row>
    <row r="3113">
      <c r="A3113" s="45" t="s">
        <v>174</v>
      </c>
      <c r="B3113" s="45" t="s">
        <v>2062</v>
      </c>
      <c r="G3113" s="45" t="s">
        <v>3996</v>
      </c>
    </row>
    <row r="3114">
      <c r="A3114" s="45" t="s">
        <v>175</v>
      </c>
      <c r="B3114" s="45" t="s">
        <v>2062</v>
      </c>
      <c r="G3114" s="45" t="s">
        <v>3996</v>
      </c>
    </row>
    <row r="3115">
      <c r="A3115" s="45" t="s">
        <v>176</v>
      </c>
      <c r="B3115" s="45" t="s">
        <v>2062</v>
      </c>
      <c r="G3115" s="45" t="s">
        <v>3996</v>
      </c>
    </row>
    <row r="3116">
      <c r="A3116" s="45" t="s">
        <v>177</v>
      </c>
      <c r="B3116" s="45" t="s">
        <v>2062</v>
      </c>
      <c r="G3116" s="45" t="s">
        <v>3996</v>
      </c>
    </row>
    <row r="3117">
      <c r="A3117" s="45" t="s">
        <v>178</v>
      </c>
      <c r="B3117" s="45" t="s">
        <v>2062</v>
      </c>
      <c r="G3117" s="45" t="s">
        <v>3996</v>
      </c>
    </row>
    <row r="3118">
      <c r="A3118" s="45" t="s">
        <v>179</v>
      </c>
      <c r="B3118" s="45" t="s">
        <v>2062</v>
      </c>
      <c r="G3118" s="45" t="s">
        <v>3996</v>
      </c>
    </row>
    <row r="3119">
      <c r="A3119" s="45" t="s">
        <v>180</v>
      </c>
      <c r="B3119" s="45" t="s">
        <v>2062</v>
      </c>
      <c r="G3119" s="45" t="s">
        <v>3996</v>
      </c>
    </row>
    <row r="3120">
      <c r="A3120" s="45" t="s">
        <v>181</v>
      </c>
      <c r="B3120" s="45" t="s">
        <v>2062</v>
      </c>
      <c r="G3120" s="45" t="s">
        <v>3996</v>
      </c>
    </row>
    <row r="3121">
      <c r="A3121" s="45" t="s">
        <v>182</v>
      </c>
      <c r="B3121" s="45" t="s">
        <v>2062</v>
      </c>
      <c r="G3121" s="45" t="s">
        <v>3983</v>
      </c>
    </row>
    <row r="3122">
      <c r="A3122" s="45" t="s">
        <v>183</v>
      </c>
      <c r="B3122" s="45" t="s">
        <v>2062</v>
      </c>
      <c r="G3122" s="45" t="s">
        <v>3983</v>
      </c>
    </row>
    <row r="3123">
      <c r="A3123" s="45" t="s">
        <v>184</v>
      </c>
      <c r="B3123" s="45" t="s">
        <v>2062</v>
      </c>
      <c r="G3123" s="45" t="s">
        <v>3983</v>
      </c>
    </row>
    <row r="3124">
      <c r="A3124" s="45" t="s">
        <v>185</v>
      </c>
      <c r="B3124" s="45" t="s">
        <v>2062</v>
      </c>
      <c r="G3124" s="45" t="s">
        <v>3983</v>
      </c>
    </row>
    <row r="3125">
      <c r="A3125" s="45" t="s">
        <v>186</v>
      </c>
      <c r="B3125" s="45" t="s">
        <v>2062</v>
      </c>
      <c r="G3125" s="45" t="s">
        <v>3983</v>
      </c>
    </row>
    <row r="3126">
      <c r="A3126" s="45" t="s">
        <v>187</v>
      </c>
      <c r="B3126" s="45" t="s">
        <v>2062</v>
      </c>
      <c r="G3126" s="45" t="s">
        <v>3983</v>
      </c>
    </row>
    <row r="3127">
      <c r="A3127" s="45" t="s">
        <v>188</v>
      </c>
      <c r="B3127" s="45" t="s">
        <v>2062</v>
      </c>
      <c r="G3127" s="45" t="s">
        <v>3983</v>
      </c>
    </row>
    <row r="3128">
      <c r="A3128" s="45" t="s">
        <v>189</v>
      </c>
      <c r="B3128" s="45" t="s">
        <v>2062</v>
      </c>
      <c r="G3128" s="45" t="s">
        <v>3983</v>
      </c>
    </row>
    <row r="3129">
      <c r="A3129" s="45" t="s">
        <v>190</v>
      </c>
      <c r="B3129" s="45" t="s">
        <v>2062</v>
      </c>
      <c r="G3129" s="45" t="s">
        <v>3990</v>
      </c>
    </row>
    <row r="3130">
      <c r="A3130" s="45" t="s">
        <v>191</v>
      </c>
      <c r="B3130" s="45" t="s">
        <v>2062</v>
      </c>
      <c r="G3130" s="45" t="s">
        <v>3990</v>
      </c>
    </row>
    <row r="3131">
      <c r="A3131" s="45" t="s">
        <v>192</v>
      </c>
      <c r="B3131" s="45" t="s">
        <v>2062</v>
      </c>
      <c r="G3131" s="45" t="s">
        <v>3990</v>
      </c>
    </row>
    <row r="3132">
      <c r="A3132" s="45" t="s">
        <v>193</v>
      </c>
      <c r="B3132" s="45" t="s">
        <v>2062</v>
      </c>
      <c r="G3132" s="45" t="s">
        <v>3990</v>
      </c>
    </row>
    <row r="3133">
      <c r="A3133" s="45" t="s">
        <v>194</v>
      </c>
      <c r="B3133" s="45" t="s">
        <v>2062</v>
      </c>
      <c r="G3133" s="45" t="s">
        <v>3990</v>
      </c>
    </row>
    <row r="3134">
      <c r="A3134" s="45" t="s">
        <v>195</v>
      </c>
      <c r="B3134" s="45" t="s">
        <v>2062</v>
      </c>
      <c r="G3134" s="45" t="s">
        <v>3990</v>
      </c>
    </row>
    <row r="3135">
      <c r="A3135" s="45" t="s">
        <v>196</v>
      </c>
      <c r="B3135" s="45" t="s">
        <v>2062</v>
      </c>
      <c r="G3135" s="45" t="s">
        <v>3990</v>
      </c>
    </row>
    <row r="3136">
      <c r="A3136" s="45" t="s">
        <v>197</v>
      </c>
      <c r="B3136" s="45" t="s">
        <v>2062</v>
      </c>
      <c r="G3136" s="45" t="s">
        <v>3990</v>
      </c>
    </row>
    <row r="3137">
      <c r="A3137" s="45" t="s">
        <v>198</v>
      </c>
      <c r="B3137" s="45" t="s">
        <v>2062</v>
      </c>
      <c r="G3137" s="45" t="s">
        <v>3990</v>
      </c>
    </row>
    <row r="3138">
      <c r="A3138" s="45" t="s">
        <v>199</v>
      </c>
      <c r="B3138" s="45" t="s">
        <v>2062</v>
      </c>
      <c r="G3138" s="45" t="s">
        <v>3990</v>
      </c>
    </row>
    <row r="3139">
      <c r="A3139" s="45" t="s">
        <v>569</v>
      </c>
      <c r="B3139" s="45" t="s">
        <v>2423</v>
      </c>
      <c r="G3139" s="45" t="s">
        <v>3983</v>
      </c>
    </row>
    <row r="3140">
      <c r="A3140" s="45" t="s">
        <v>571</v>
      </c>
      <c r="B3140" s="45" t="s">
        <v>2423</v>
      </c>
      <c r="G3140" s="45" t="s">
        <v>3983</v>
      </c>
    </row>
    <row r="3141">
      <c r="A3141" s="45" t="s">
        <v>572</v>
      </c>
      <c r="B3141" s="45" t="s">
        <v>2423</v>
      </c>
      <c r="G3141" s="45" t="s">
        <v>3983</v>
      </c>
    </row>
    <row r="3142">
      <c r="A3142" s="45" t="s">
        <v>573</v>
      </c>
      <c r="B3142" s="45" t="s">
        <v>2423</v>
      </c>
      <c r="G3142" s="45" t="s">
        <v>3983</v>
      </c>
    </row>
    <row r="3143">
      <c r="A3143" s="45" t="s">
        <v>574</v>
      </c>
      <c r="B3143" s="45" t="s">
        <v>2423</v>
      </c>
      <c r="G3143" s="45" t="s">
        <v>3983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5.63"/>
    <col customWidth="1" min="2" max="3" width="18.25"/>
    <col customWidth="1" min="4" max="4" width="21.5"/>
    <col customWidth="1" min="5" max="6" width="16.13"/>
    <col customWidth="1" min="7" max="7" width="20.88"/>
  </cols>
  <sheetData>
    <row r="1">
      <c r="A1" s="31" t="s">
        <v>48</v>
      </c>
      <c r="B1" s="31" t="s">
        <v>1989</v>
      </c>
      <c r="C1" s="31" t="s">
        <v>4011</v>
      </c>
      <c r="D1" s="31" t="s">
        <v>4012</v>
      </c>
      <c r="E1" s="31" t="s">
        <v>4013</v>
      </c>
      <c r="F1" s="31" t="s">
        <v>99</v>
      </c>
      <c r="G1" s="31" t="s">
        <v>1991</v>
      </c>
      <c r="H1" s="28" t="s">
        <v>90</v>
      </c>
    </row>
    <row r="2">
      <c r="A2" s="47" t="s">
        <v>2062</v>
      </c>
      <c r="B2" s="47">
        <v>2013.0</v>
      </c>
      <c r="C2" s="47">
        <v>7.0</v>
      </c>
      <c r="D2" s="47" t="s">
        <v>4014</v>
      </c>
      <c r="E2" s="47">
        <f t="shared" ref="E2:E3236" si="1">if(D2="N/A", C2,concat(C2,D2))</f>
        <v>7</v>
      </c>
      <c r="F2" s="47" t="s">
        <v>4015</v>
      </c>
      <c r="G2" s="47" t="s">
        <v>4016</v>
      </c>
      <c r="H2" s="48">
        <f>IF(NOT(ISBLANK(vlookup(B2,Pop_Census_2023!$A$2:$E$3220,4,FALSE))),vlookup(B2,Pop_Census_2023!$A$2:$E$3220,4,FALSE), vlookup(B2,Pop_Census_2023!$A$2:$E$3220,5,FALSE))</f>
        <v>3461</v>
      </c>
    </row>
    <row r="3">
      <c r="A3" s="47" t="s">
        <v>2062</v>
      </c>
      <c r="B3" s="47">
        <v>2016.0</v>
      </c>
      <c r="C3" s="47">
        <v>7.0</v>
      </c>
      <c r="D3" s="47" t="s">
        <v>4014</v>
      </c>
      <c r="E3" s="47">
        <f t="shared" si="1"/>
        <v>7</v>
      </c>
      <c r="F3" s="47" t="s">
        <v>4015</v>
      </c>
      <c r="G3" s="47" t="s">
        <v>4017</v>
      </c>
      <c r="H3" s="48">
        <f>IF(NOT(ISBLANK(vlookup(B3,Pop_Census_2023!$A$2:$E$3220,4,FALSE))),vlookup(B3,Pop_Census_2023!$A$2:$E$3220,4,FALSE), vlookup(B3,Pop_Census_2023!$A$2:$E$3220,5,FALSE))</f>
        <v>5160</v>
      </c>
    </row>
    <row r="4">
      <c r="A4" s="47" t="s">
        <v>2062</v>
      </c>
      <c r="B4" s="47">
        <v>2020.0</v>
      </c>
      <c r="C4" s="47">
        <v>7.0</v>
      </c>
      <c r="D4" s="47" t="s">
        <v>4014</v>
      </c>
      <c r="E4" s="47">
        <f t="shared" si="1"/>
        <v>7</v>
      </c>
      <c r="F4" s="47" t="s">
        <v>4015</v>
      </c>
      <c r="G4" s="47" t="s">
        <v>4018</v>
      </c>
      <c r="H4" s="48">
        <f>IF(NOT(ISBLANK(vlookup(B4,Pop_Census_2023!$A$2:$E$3220,4,FALSE))),vlookup(B4,Pop_Census_2023!$A$2:$E$3220,4,FALSE), vlookup(B4,Pop_Census_2023!$A$2:$E$3220,5,FALSE))</f>
        <v>286075</v>
      </c>
    </row>
    <row r="5">
      <c r="A5" s="47" t="s">
        <v>2062</v>
      </c>
      <c r="B5" s="47">
        <v>2050.0</v>
      </c>
      <c r="C5" s="47">
        <v>8.0</v>
      </c>
      <c r="D5" s="47" t="s">
        <v>4014</v>
      </c>
      <c r="E5" s="47">
        <f t="shared" si="1"/>
        <v>8</v>
      </c>
      <c r="F5" s="47" t="s">
        <v>4019</v>
      </c>
      <c r="G5" s="47" t="s">
        <v>4020</v>
      </c>
      <c r="H5" s="48">
        <f>IF(NOT(ISBLANK(vlookup(B5,Pop_Census_2023!$A$2:$E$3220,4,FALSE))),vlookup(B5,Pop_Census_2023!$A$2:$E$3220,4,FALSE), vlookup(B5,Pop_Census_2023!$A$2:$E$3220,5,FALSE))</f>
        <v>18224</v>
      </c>
    </row>
    <row r="6">
      <c r="A6" s="47" t="s">
        <v>2062</v>
      </c>
      <c r="B6" s="47">
        <v>2060.0</v>
      </c>
      <c r="C6" s="47">
        <v>7.0</v>
      </c>
      <c r="D6" s="47" t="s">
        <v>4014</v>
      </c>
      <c r="E6" s="47">
        <f t="shared" si="1"/>
        <v>7</v>
      </c>
      <c r="F6" s="47" t="s">
        <v>4015</v>
      </c>
      <c r="G6" s="47" t="s">
        <v>4021</v>
      </c>
      <c r="H6" s="34">
        <f>IF(NOT(ISBLANK(vlookup(B6,Pop_Census_2023!$A$2:$E$3220,4,FALSE))),vlookup(B6,Pop_Census_2023!$A$2:$E$3220,4,FALSE), vlookup(B6,Pop_Census_2023!$A$2:$E$3220,5,FALSE))</f>
        <v>844</v>
      </c>
    </row>
    <row r="7">
      <c r="A7" s="47" t="s">
        <v>2062</v>
      </c>
      <c r="B7" s="47">
        <v>2068.0</v>
      </c>
      <c r="C7" s="47">
        <v>7.0</v>
      </c>
      <c r="D7" s="47" t="s">
        <v>4014</v>
      </c>
      <c r="E7" s="47">
        <f t="shared" si="1"/>
        <v>7</v>
      </c>
      <c r="F7" s="47" t="s">
        <v>4015</v>
      </c>
      <c r="G7" s="47" t="s">
        <v>4022</v>
      </c>
      <c r="H7" s="48">
        <f>IF(NOT(ISBLANK(vlookup(B7,Pop_Census_2023!$A$2:$E$3220,4,FALSE))),vlookup(B7,Pop_Census_2023!$A$2:$E$3220,4,FALSE), vlookup(B7,Pop_Census_2023!$A$2:$E$3220,5,FALSE))</f>
        <v>1584</v>
      </c>
    </row>
    <row r="8">
      <c r="A8" s="47" t="s">
        <v>2062</v>
      </c>
      <c r="B8" s="47">
        <v>2070.0</v>
      </c>
      <c r="C8" s="47">
        <v>8.0</v>
      </c>
      <c r="D8" s="47" t="s">
        <v>4014</v>
      </c>
      <c r="E8" s="47">
        <f t="shared" si="1"/>
        <v>8</v>
      </c>
      <c r="F8" s="47" t="s">
        <v>4019</v>
      </c>
      <c r="G8" s="47" t="s">
        <v>4023</v>
      </c>
      <c r="H8" s="48">
        <f>IF(NOT(ISBLANK(vlookup(B8,Pop_Census_2023!$A$2:$E$3220,4,FALSE))),vlookup(B8,Pop_Census_2023!$A$2:$E$3220,4,FALSE), vlookup(B8,Pop_Census_2023!$A$2:$E$3220,5,FALSE))</f>
        <v>4607</v>
      </c>
    </row>
    <row r="9">
      <c r="A9" s="47" t="s">
        <v>2062</v>
      </c>
      <c r="B9" s="47">
        <v>2090.0</v>
      </c>
      <c r="C9" s="47">
        <v>8.0</v>
      </c>
      <c r="D9" s="47" t="s">
        <v>4014</v>
      </c>
      <c r="E9" s="47">
        <f t="shared" si="1"/>
        <v>8</v>
      </c>
      <c r="F9" s="47" t="s">
        <v>4019</v>
      </c>
      <c r="G9" s="47" t="s">
        <v>4024</v>
      </c>
      <c r="H9" s="48">
        <f>IF(NOT(ISBLANK(vlookup(B9,Pop_Census_2023!$A$2:$E$3220,4,FALSE))),vlookup(B9,Pop_Census_2023!$A$2:$E$3220,4,FALSE), vlookup(B9,Pop_Census_2023!$A$2:$E$3220,5,FALSE))</f>
        <v>94840</v>
      </c>
    </row>
    <row r="10">
      <c r="A10" s="47" t="s">
        <v>2062</v>
      </c>
      <c r="B10" s="47">
        <v>2100.0</v>
      </c>
      <c r="C10" s="47">
        <v>7.0</v>
      </c>
      <c r="D10" s="47" t="s">
        <v>4014</v>
      </c>
      <c r="E10" s="47">
        <f t="shared" si="1"/>
        <v>7</v>
      </c>
      <c r="F10" s="47" t="s">
        <v>4015</v>
      </c>
      <c r="G10" s="47" t="s">
        <v>4025</v>
      </c>
      <c r="H10" s="48">
        <f>IF(NOT(ISBLANK(vlookup(B10,Pop_Census_2023!$A$2:$E$3220,4,FALSE))),vlookup(B10,Pop_Census_2023!$A$2:$E$3220,4,FALSE), vlookup(B10,Pop_Census_2023!$A$2:$E$3220,5,FALSE))</f>
        <v>2070</v>
      </c>
    </row>
    <row r="11">
      <c r="A11" s="47" t="s">
        <v>2062</v>
      </c>
      <c r="B11" s="47">
        <v>2105.0</v>
      </c>
      <c r="C11" s="47">
        <v>7.0</v>
      </c>
      <c r="D11" s="47" t="s">
        <v>4014</v>
      </c>
      <c r="E11" s="47">
        <f t="shared" si="1"/>
        <v>7</v>
      </c>
      <c r="F11" s="47" t="s">
        <v>4015</v>
      </c>
      <c r="G11" s="47" t="s">
        <v>4026</v>
      </c>
      <c r="H11" s="48">
        <f>IF(NOT(ISBLANK(vlookup(B11,Pop_Census_2023!$A$2:$E$3220,4,FALSE))),vlookup(B11,Pop_Census_2023!$A$2:$E$3220,4,FALSE), vlookup(B11,Pop_Census_2023!$A$2:$E$3220,5,FALSE))</f>
        <v>2262</v>
      </c>
    </row>
    <row r="12">
      <c r="A12" s="47" t="s">
        <v>2062</v>
      </c>
      <c r="B12" s="47">
        <v>2110.0</v>
      </c>
      <c r="C12" s="47">
        <v>7.0</v>
      </c>
      <c r="D12" s="47" t="s">
        <v>4014</v>
      </c>
      <c r="E12" s="47">
        <f t="shared" si="1"/>
        <v>7</v>
      </c>
      <c r="F12" s="47" t="s">
        <v>4015</v>
      </c>
      <c r="G12" s="47" t="s">
        <v>1952</v>
      </c>
      <c r="H12" s="48">
        <f>IF(NOT(ISBLANK(vlookup(B12,Pop_Census_2023!$A$2:$E$3220,4,FALSE))),vlookup(B12,Pop_Census_2023!$A$2:$E$3220,4,FALSE), vlookup(B12,Pop_Census_2023!$A$2:$E$3220,5,FALSE))</f>
        <v>31555</v>
      </c>
    </row>
    <row r="13">
      <c r="A13" s="47" t="s">
        <v>2062</v>
      </c>
      <c r="B13" s="47">
        <v>2122.0</v>
      </c>
      <c r="C13" s="47">
        <v>7.0</v>
      </c>
      <c r="D13" s="47" t="s">
        <v>4014</v>
      </c>
      <c r="E13" s="47">
        <f t="shared" si="1"/>
        <v>7</v>
      </c>
      <c r="F13" s="47" t="s">
        <v>4015</v>
      </c>
      <c r="G13" s="47" t="s">
        <v>4027</v>
      </c>
      <c r="H13" s="48">
        <f>IF(NOT(ISBLANK(vlookup(B13,Pop_Census_2023!$A$2:$E$3220,4,FALSE))),vlookup(B13,Pop_Census_2023!$A$2:$E$3220,4,FALSE), vlookup(B13,Pop_Census_2023!$A$2:$E$3220,5,FALSE))</f>
        <v>61223</v>
      </c>
    </row>
    <row r="14">
      <c r="A14" s="47" t="s">
        <v>2062</v>
      </c>
      <c r="B14" s="47">
        <v>2130.0</v>
      </c>
      <c r="C14" s="47">
        <v>7.0</v>
      </c>
      <c r="D14" s="47" t="s">
        <v>4014</v>
      </c>
      <c r="E14" s="47">
        <f t="shared" si="1"/>
        <v>7</v>
      </c>
      <c r="F14" s="47" t="s">
        <v>4015</v>
      </c>
      <c r="G14" s="47" t="s">
        <v>4028</v>
      </c>
      <c r="H14" s="48">
        <f>IF(NOT(ISBLANK(vlookup(B14,Pop_Census_2023!$A$2:$E$3220,4,FALSE))),vlookup(B14,Pop_Census_2023!$A$2:$E$3220,4,FALSE), vlookup(B14,Pop_Census_2023!$A$2:$E$3220,5,FALSE))</f>
        <v>13738</v>
      </c>
    </row>
    <row r="15">
      <c r="A15" s="47" t="s">
        <v>2062</v>
      </c>
      <c r="B15" s="47">
        <v>2150.0</v>
      </c>
      <c r="C15" s="47">
        <v>7.0</v>
      </c>
      <c r="D15" s="47" t="s">
        <v>4014</v>
      </c>
      <c r="E15" s="47">
        <f t="shared" si="1"/>
        <v>7</v>
      </c>
      <c r="F15" s="47" t="s">
        <v>4015</v>
      </c>
      <c r="G15" s="47" t="s">
        <v>4029</v>
      </c>
      <c r="H15" s="48">
        <f>IF(NOT(ISBLANK(vlookup(B15,Pop_Census_2023!$A$2:$E$3220,4,FALSE))),vlookup(B15,Pop_Census_2023!$A$2:$E$3220,4,FALSE), vlookup(B15,Pop_Census_2023!$A$2:$E$3220,5,FALSE))</f>
        <v>12565</v>
      </c>
    </row>
    <row r="16">
      <c r="A16" s="47" t="s">
        <v>2062</v>
      </c>
      <c r="B16" s="47">
        <v>2158.0</v>
      </c>
      <c r="C16" s="47">
        <v>8.0</v>
      </c>
      <c r="D16" s="47" t="s">
        <v>4014</v>
      </c>
      <c r="E16" s="47">
        <f t="shared" si="1"/>
        <v>8</v>
      </c>
      <c r="F16" s="47" t="s">
        <v>4019</v>
      </c>
      <c r="G16" s="47" t="s">
        <v>4030</v>
      </c>
      <c r="H16" s="48">
        <f>IF(NOT(ISBLANK(vlookup(B16,Pop_Census_2023!$A$2:$E$3220,4,FALSE))),vlookup(B16,Pop_Census_2023!$A$2:$E$3220,4,FALSE), vlookup(B16,Pop_Census_2023!$A$2:$E$3220,5,FALSE))</f>
        <v>8001</v>
      </c>
    </row>
    <row r="17">
      <c r="A17" s="47" t="s">
        <v>2062</v>
      </c>
      <c r="B17" s="47">
        <v>2164.0</v>
      </c>
      <c r="C17" s="47">
        <v>7.0</v>
      </c>
      <c r="D17" s="47" t="s">
        <v>4014</v>
      </c>
      <c r="E17" s="47">
        <f t="shared" si="1"/>
        <v>7</v>
      </c>
      <c r="F17" s="47" t="s">
        <v>4015</v>
      </c>
      <c r="G17" s="47" t="s">
        <v>4031</v>
      </c>
      <c r="H17" s="48">
        <f>IF(NOT(ISBLANK(vlookup(B17,Pop_Census_2023!$A$2:$E$3220,4,FALSE))),vlookup(B17,Pop_Census_2023!$A$2:$E$3220,4,FALSE), vlookup(B17,Pop_Census_2023!$A$2:$E$3220,5,FALSE))</f>
        <v>1331</v>
      </c>
    </row>
    <row r="18">
      <c r="A18" s="47" t="s">
        <v>2062</v>
      </c>
      <c r="B18" s="47">
        <v>2170.0</v>
      </c>
      <c r="C18" s="47">
        <v>7.0</v>
      </c>
      <c r="D18" s="47" t="s">
        <v>4014</v>
      </c>
      <c r="E18" s="47">
        <f t="shared" si="1"/>
        <v>7</v>
      </c>
      <c r="F18" s="47" t="s">
        <v>4015</v>
      </c>
      <c r="G18" s="47" t="s">
        <v>4032</v>
      </c>
      <c r="H18" s="48">
        <f>IF(NOT(ISBLANK(vlookup(B18,Pop_Census_2023!$A$2:$E$3220,4,FALSE))),vlookup(B18,Pop_Census_2023!$A$2:$E$3220,4,FALSE), vlookup(B18,Pop_Census_2023!$A$2:$E$3220,5,FALSE))</f>
        <v>115239</v>
      </c>
    </row>
    <row r="19">
      <c r="A19" s="47" t="s">
        <v>2062</v>
      </c>
      <c r="B19" s="47">
        <v>2180.0</v>
      </c>
      <c r="C19" s="47">
        <v>8.0</v>
      </c>
      <c r="D19" s="47" t="s">
        <v>4014</v>
      </c>
      <c r="E19" s="47">
        <f t="shared" si="1"/>
        <v>8</v>
      </c>
      <c r="F19" s="47" t="s">
        <v>4019</v>
      </c>
      <c r="G19" s="47" t="s">
        <v>4033</v>
      </c>
      <c r="H19" s="48">
        <f>IF(NOT(ISBLANK(vlookup(B19,Pop_Census_2023!$A$2:$E$3220,4,FALSE))),vlookup(B19,Pop_Census_2023!$A$2:$E$3220,4,FALSE), vlookup(B19,Pop_Census_2023!$A$2:$E$3220,5,FALSE))</f>
        <v>9763</v>
      </c>
    </row>
    <row r="20">
      <c r="A20" s="47" t="s">
        <v>2062</v>
      </c>
      <c r="B20" s="47">
        <v>2185.0</v>
      </c>
      <c r="C20" s="47">
        <v>8.0</v>
      </c>
      <c r="D20" s="47" t="s">
        <v>4014</v>
      </c>
      <c r="E20" s="47">
        <f t="shared" si="1"/>
        <v>8</v>
      </c>
      <c r="F20" s="47" t="s">
        <v>4019</v>
      </c>
      <c r="G20" s="47" t="s">
        <v>4034</v>
      </c>
      <c r="H20" s="48">
        <f>IF(NOT(ISBLANK(vlookup(B20,Pop_Census_2023!$A$2:$E$3220,4,FALSE))),vlookup(B20,Pop_Census_2023!$A$2:$E$3220,4,FALSE), vlookup(B20,Pop_Census_2023!$A$2:$E$3220,5,FALSE))</f>
        <v>10603</v>
      </c>
    </row>
    <row r="21">
      <c r="A21" s="47" t="s">
        <v>2062</v>
      </c>
      <c r="B21" s="47">
        <v>2188.0</v>
      </c>
      <c r="C21" s="47">
        <v>8.0</v>
      </c>
      <c r="D21" s="47" t="s">
        <v>4014</v>
      </c>
      <c r="E21" s="47">
        <f t="shared" si="1"/>
        <v>8</v>
      </c>
      <c r="F21" s="47" t="s">
        <v>4019</v>
      </c>
      <c r="G21" s="47" t="s">
        <v>4035</v>
      </c>
      <c r="H21" s="48">
        <f>IF(NOT(ISBLANK(vlookup(B21,Pop_Census_2023!$A$2:$E$3220,4,FALSE))),vlookup(B21,Pop_Census_2023!$A$2:$E$3220,4,FALSE), vlookup(B21,Pop_Census_2023!$A$2:$E$3220,5,FALSE))</f>
        <v>7361</v>
      </c>
    </row>
    <row r="22">
      <c r="A22" s="47" t="s">
        <v>2062</v>
      </c>
      <c r="B22" s="47">
        <v>2195.0</v>
      </c>
      <c r="C22" s="47">
        <v>7.0</v>
      </c>
      <c r="D22" s="47" t="s">
        <v>4014</v>
      </c>
      <c r="E22" s="47">
        <f t="shared" si="1"/>
        <v>7</v>
      </c>
      <c r="F22" s="47" t="s">
        <v>4015</v>
      </c>
      <c r="G22" s="47" t="s">
        <v>1891</v>
      </c>
      <c r="H22" s="48">
        <f>IF(NOT(ISBLANK(vlookup(B22,Pop_Census_2023!$A$2:$E$3220,4,FALSE))),vlookup(B22,Pop_Census_2023!$A$2:$E$3220,4,FALSE), vlookup(B22,Pop_Census_2023!$A$2:$E$3220,5,FALSE))</f>
        <v>3427</v>
      </c>
    </row>
    <row r="23">
      <c r="A23" s="47" t="s">
        <v>2062</v>
      </c>
      <c r="B23" s="47">
        <v>2198.0</v>
      </c>
      <c r="C23" s="47">
        <v>7.0</v>
      </c>
      <c r="D23" s="47" t="s">
        <v>4014</v>
      </c>
      <c r="E23" s="47">
        <f t="shared" si="1"/>
        <v>7</v>
      </c>
      <c r="F23" s="47" t="s">
        <v>4015</v>
      </c>
      <c r="G23" s="47" t="s">
        <v>4036</v>
      </c>
      <c r="H23" s="48">
        <f>IF(NOT(ISBLANK(vlookup(B23,Pop_Census_2023!$A$2:$E$3220,4,FALSE))),vlookup(B23,Pop_Census_2023!$A$2:$E$3220,4,FALSE), vlookup(B23,Pop_Census_2023!$A$2:$E$3220,5,FALSE))</f>
        <v>5696</v>
      </c>
    </row>
    <row r="24">
      <c r="A24" s="47" t="s">
        <v>2062</v>
      </c>
      <c r="B24" s="47">
        <v>2220.0</v>
      </c>
      <c r="C24" s="47">
        <v>7.0</v>
      </c>
      <c r="D24" s="47" t="s">
        <v>4014</v>
      </c>
      <c r="E24" s="47">
        <f t="shared" si="1"/>
        <v>7</v>
      </c>
      <c r="F24" s="47" t="s">
        <v>4015</v>
      </c>
      <c r="G24" s="47" t="s">
        <v>4037</v>
      </c>
      <c r="H24" s="48">
        <f>IF(NOT(ISBLANK(vlookup(B24,Pop_Census_2023!$A$2:$E$3220,4,FALSE))),vlookup(B24,Pop_Census_2023!$A$2:$E$3220,4,FALSE), vlookup(B24,Pop_Census_2023!$A$2:$E$3220,5,FALSE))</f>
        <v>8282</v>
      </c>
    </row>
    <row r="25">
      <c r="A25" s="47" t="s">
        <v>2062</v>
      </c>
      <c r="B25" s="47">
        <v>2230.0</v>
      </c>
      <c r="C25" s="47">
        <v>7.0</v>
      </c>
      <c r="D25" s="47" t="s">
        <v>4014</v>
      </c>
      <c r="E25" s="47">
        <f t="shared" si="1"/>
        <v>7</v>
      </c>
      <c r="F25" s="47" t="s">
        <v>4015</v>
      </c>
      <c r="G25" s="47" t="s">
        <v>4038</v>
      </c>
      <c r="H25" s="48">
        <f>IF(NOT(ISBLANK(vlookup(B25,Pop_Census_2023!$A$2:$E$3220,4,FALSE))),vlookup(B25,Pop_Census_2023!$A$2:$E$3220,4,FALSE), vlookup(B25,Pop_Census_2023!$A$2:$E$3220,5,FALSE))</f>
        <v>1095</v>
      </c>
    </row>
    <row r="26">
      <c r="A26" s="47" t="s">
        <v>2062</v>
      </c>
      <c r="B26" s="47">
        <v>2240.0</v>
      </c>
      <c r="C26" s="47">
        <v>8.0</v>
      </c>
      <c r="D26" s="47" t="s">
        <v>4014</v>
      </c>
      <c r="E26" s="47">
        <f t="shared" si="1"/>
        <v>8</v>
      </c>
      <c r="F26" s="47" t="s">
        <v>4019</v>
      </c>
      <c r="G26" s="47" t="s">
        <v>4039</v>
      </c>
      <c r="H26" s="48">
        <f>IF(NOT(ISBLANK(vlookup(B26,Pop_Census_2023!$A$2:$E$3220,4,FALSE))),vlookup(B26,Pop_Census_2023!$A$2:$E$3220,4,FALSE), vlookup(B26,Pop_Census_2023!$A$2:$E$3220,5,FALSE))</f>
        <v>7077</v>
      </c>
    </row>
    <row r="27">
      <c r="A27" s="47" t="s">
        <v>2062</v>
      </c>
      <c r="B27" s="47">
        <v>2261.0</v>
      </c>
      <c r="C27" s="47">
        <v>7.0</v>
      </c>
      <c r="D27" s="47" t="s">
        <v>4014</v>
      </c>
      <c r="E27" s="47">
        <f t="shared" si="1"/>
        <v>7</v>
      </c>
      <c r="F27" s="47" t="s">
        <v>4015</v>
      </c>
      <c r="G27" s="47" t="s">
        <v>4040</v>
      </c>
      <c r="H27" s="34" t="str">
        <f>IF(NOT(ISBLANK(vlookup(B27,Pop_Census_2023!$A$2:$E$3220,4,FALSE))),vlookup(B27,Pop_Census_2023!$A$2:$E$3220,4,FALSE), vlookup(B27,Pop_Census_2023!$A$2:$E$3220,5,FALSE))</f>
        <v>#N/A</v>
      </c>
    </row>
    <row r="28">
      <c r="A28" s="47" t="s">
        <v>2062</v>
      </c>
      <c r="B28" s="47">
        <v>2275.0</v>
      </c>
      <c r="C28" s="47">
        <v>7.0</v>
      </c>
      <c r="D28" s="47" t="s">
        <v>4014</v>
      </c>
      <c r="E28" s="47">
        <f t="shared" si="1"/>
        <v>7</v>
      </c>
      <c r="F28" s="47" t="s">
        <v>4015</v>
      </c>
      <c r="G28" s="47" t="s">
        <v>4041</v>
      </c>
      <c r="H28" s="48">
        <f>IF(NOT(ISBLANK(vlookup(B28,Pop_Census_2023!$A$2:$E$3220,4,FALSE))),vlookup(B28,Pop_Census_2023!$A$2:$E$3220,4,FALSE), vlookup(B28,Pop_Census_2023!$A$2:$E$3220,5,FALSE))</f>
        <v>2064</v>
      </c>
    </row>
    <row r="29">
      <c r="A29" s="47" t="s">
        <v>2062</v>
      </c>
      <c r="B29" s="47">
        <v>2282.0</v>
      </c>
      <c r="C29" s="47">
        <v>7.0</v>
      </c>
      <c r="D29" s="47" t="s">
        <v>4014</v>
      </c>
      <c r="E29" s="47">
        <f t="shared" si="1"/>
        <v>7</v>
      </c>
      <c r="F29" s="47" t="s">
        <v>4015</v>
      </c>
      <c r="G29" s="47" t="s">
        <v>4042</v>
      </c>
      <c r="H29" s="34">
        <f>IF(NOT(ISBLANK(vlookup(B29,Pop_Census_2023!$A$2:$E$3220,4,FALSE))),vlookup(B29,Pop_Census_2023!$A$2:$E$3220,4,FALSE), vlookup(B29,Pop_Census_2023!$A$2:$E$3220,5,FALSE))</f>
        <v>687</v>
      </c>
    </row>
    <row r="30">
      <c r="A30" s="47" t="s">
        <v>2062</v>
      </c>
      <c r="B30" s="47">
        <v>2290.0</v>
      </c>
      <c r="C30" s="47">
        <v>8.0</v>
      </c>
      <c r="D30" s="47" t="s">
        <v>4014</v>
      </c>
      <c r="E30" s="47">
        <f t="shared" si="1"/>
        <v>8</v>
      </c>
      <c r="F30" s="47" t="s">
        <v>4019</v>
      </c>
      <c r="G30" s="47" t="s">
        <v>4043</v>
      </c>
      <c r="H30" s="48">
        <f>IF(NOT(ISBLANK(vlookup(B30,Pop_Census_2023!$A$2:$E$3220,4,FALSE))),vlookup(B30,Pop_Census_2023!$A$2:$E$3220,4,FALSE), vlookup(B30,Pop_Census_2023!$A$2:$E$3220,5,FALSE))</f>
        <v>5129</v>
      </c>
    </row>
    <row r="31">
      <c r="A31" s="47" t="s">
        <v>1994</v>
      </c>
      <c r="B31" s="47">
        <v>1001.0</v>
      </c>
      <c r="C31" s="47">
        <v>3.0</v>
      </c>
      <c r="D31" s="47" t="s">
        <v>4044</v>
      </c>
      <c r="E31" s="47" t="str">
        <f t="shared" si="1"/>
        <v>3A</v>
      </c>
      <c r="F31" s="47" t="s">
        <v>4045</v>
      </c>
      <c r="G31" s="47" t="s">
        <v>100</v>
      </c>
      <c r="H31" s="48">
        <f>IF(NOT(ISBLANK(vlookup(B31,Pop_Census_2023!$A$2:$E$3220,4,FALSE))),vlookup(B31,Pop_Census_2023!$A$2:$E$3220,4,FALSE), vlookup(B31,Pop_Census_2023!$A$2:$E$3220,5,FALSE))</f>
        <v>60342</v>
      </c>
    </row>
    <row r="32">
      <c r="A32" s="47" t="s">
        <v>1994</v>
      </c>
      <c r="B32" s="47">
        <v>1003.0</v>
      </c>
      <c r="C32" s="47">
        <v>2.0</v>
      </c>
      <c r="D32" s="47" t="s">
        <v>4044</v>
      </c>
      <c r="E32" s="47" t="str">
        <f t="shared" si="1"/>
        <v>2A</v>
      </c>
      <c r="F32" s="47" t="s">
        <v>4045</v>
      </c>
      <c r="G32" s="47" t="s">
        <v>103</v>
      </c>
      <c r="H32" s="48">
        <f>IF(NOT(ISBLANK(vlookup(B32,Pop_Census_2023!$A$2:$E$3220,4,FALSE))),vlookup(B32,Pop_Census_2023!$A$2:$E$3220,4,FALSE), vlookup(B32,Pop_Census_2023!$A$2:$E$3220,5,FALSE))</f>
        <v>253507</v>
      </c>
    </row>
    <row r="33">
      <c r="A33" s="47" t="s">
        <v>1994</v>
      </c>
      <c r="B33" s="47">
        <v>1005.0</v>
      </c>
      <c r="C33" s="47">
        <v>3.0</v>
      </c>
      <c r="D33" s="47" t="s">
        <v>4044</v>
      </c>
      <c r="E33" s="47" t="str">
        <f t="shared" si="1"/>
        <v>3A</v>
      </c>
      <c r="F33" s="47" t="s">
        <v>4045</v>
      </c>
      <c r="G33" s="47" t="s">
        <v>105</v>
      </c>
      <c r="H33" s="48">
        <f>IF(NOT(ISBLANK(vlookup(B33,Pop_Census_2023!$A$2:$E$3220,4,FALSE))),vlookup(B33,Pop_Census_2023!$A$2:$E$3220,4,FALSE), vlookup(B33,Pop_Census_2023!$A$2:$E$3220,5,FALSE))</f>
        <v>24585</v>
      </c>
    </row>
    <row r="34">
      <c r="A34" s="47" t="s">
        <v>1994</v>
      </c>
      <c r="B34" s="47">
        <v>1007.0</v>
      </c>
      <c r="C34" s="47">
        <v>3.0</v>
      </c>
      <c r="D34" s="47" t="s">
        <v>4044</v>
      </c>
      <c r="E34" s="47" t="str">
        <f t="shared" si="1"/>
        <v>3A</v>
      </c>
      <c r="F34" s="47" t="s">
        <v>4046</v>
      </c>
      <c r="G34" s="47" t="s">
        <v>106</v>
      </c>
      <c r="H34" s="48">
        <f>IF(NOT(ISBLANK(vlookup(B34,Pop_Census_2023!$A$2:$E$3220,4,FALSE))),vlookup(B34,Pop_Census_2023!$A$2:$E$3220,4,FALSE), vlookup(B34,Pop_Census_2023!$A$2:$E$3220,5,FALSE))</f>
        <v>21868</v>
      </c>
    </row>
    <row r="35">
      <c r="A35" s="47" t="s">
        <v>1994</v>
      </c>
      <c r="B35" s="47">
        <v>1009.0</v>
      </c>
      <c r="C35" s="47">
        <v>3.0</v>
      </c>
      <c r="D35" s="47" t="s">
        <v>4044</v>
      </c>
      <c r="E35" s="47" t="str">
        <f t="shared" si="1"/>
        <v>3A</v>
      </c>
      <c r="F35" s="47" t="s">
        <v>4046</v>
      </c>
      <c r="G35" s="47" t="s">
        <v>107</v>
      </c>
      <c r="H35" s="48">
        <f>IF(NOT(ISBLANK(vlookup(B35,Pop_Census_2023!$A$2:$E$3220,4,FALSE))),vlookup(B35,Pop_Census_2023!$A$2:$E$3220,4,FALSE), vlookup(B35,Pop_Census_2023!$A$2:$E$3220,5,FALSE))</f>
        <v>59816</v>
      </c>
    </row>
    <row r="36">
      <c r="A36" s="47" t="s">
        <v>1994</v>
      </c>
      <c r="B36" s="47">
        <v>1011.0</v>
      </c>
      <c r="C36" s="47">
        <v>3.0</v>
      </c>
      <c r="D36" s="47" t="s">
        <v>4044</v>
      </c>
      <c r="E36" s="47" t="str">
        <f t="shared" si="1"/>
        <v>3A</v>
      </c>
      <c r="F36" s="47" t="s">
        <v>4045</v>
      </c>
      <c r="G36" s="47" t="s">
        <v>108</v>
      </c>
      <c r="H36" s="48">
        <f>IF(NOT(ISBLANK(vlookup(B36,Pop_Census_2023!$A$2:$E$3220,4,FALSE))),vlookup(B36,Pop_Census_2023!$A$2:$E$3220,4,FALSE), vlookup(B36,Pop_Census_2023!$A$2:$E$3220,5,FALSE))</f>
        <v>9897</v>
      </c>
    </row>
    <row r="37">
      <c r="A37" s="47" t="s">
        <v>1994</v>
      </c>
      <c r="B37" s="47">
        <v>1013.0</v>
      </c>
      <c r="C37" s="47">
        <v>3.0</v>
      </c>
      <c r="D37" s="47" t="s">
        <v>4044</v>
      </c>
      <c r="E37" s="47" t="str">
        <f t="shared" si="1"/>
        <v>3A</v>
      </c>
      <c r="F37" s="47" t="s">
        <v>4045</v>
      </c>
      <c r="G37" s="47" t="s">
        <v>109</v>
      </c>
      <c r="H37" s="48">
        <f>IF(NOT(ISBLANK(vlookup(B37,Pop_Census_2023!$A$2:$E$3220,4,FALSE))),vlookup(B37,Pop_Census_2023!$A$2:$E$3220,4,FALSE), vlookup(B37,Pop_Census_2023!$A$2:$E$3220,5,FALSE))</f>
        <v>18382</v>
      </c>
    </row>
    <row r="38">
      <c r="A38" s="47" t="s">
        <v>1994</v>
      </c>
      <c r="B38" s="47">
        <v>1015.0</v>
      </c>
      <c r="C38" s="47">
        <v>3.0</v>
      </c>
      <c r="D38" s="47" t="s">
        <v>4044</v>
      </c>
      <c r="E38" s="47" t="str">
        <f t="shared" si="1"/>
        <v>3A</v>
      </c>
      <c r="F38" s="47" t="s">
        <v>4046</v>
      </c>
      <c r="G38" s="47" t="s">
        <v>110</v>
      </c>
      <c r="H38" s="48">
        <f>IF(NOT(ISBLANK(vlookup(B38,Pop_Census_2023!$A$2:$E$3220,4,FALSE))),vlookup(B38,Pop_Census_2023!$A$2:$E$3220,4,FALSE), vlookup(B38,Pop_Census_2023!$A$2:$E$3220,5,FALSE))</f>
        <v>116429</v>
      </c>
    </row>
    <row r="39">
      <c r="A39" s="47" t="s">
        <v>1994</v>
      </c>
      <c r="B39" s="47">
        <v>1017.0</v>
      </c>
      <c r="C39" s="47">
        <v>3.0</v>
      </c>
      <c r="D39" s="47" t="s">
        <v>4044</v>
      </c>
      <c r="E39" s="47" t="str">
        <f t="shared" si="1"/>
        <v>3A</v>
      </c>
      <c r="F39" s="47" t="s">
        <v>4046</v>
      </c>
      <c r="G39" s="47" t="s">
        <v>111</v>
      </c>
      <c r="H39" s="48">
        <f>IF(NOT(ISBLANK(vlookup(B39,Pop_Census_2023!$A$2:$E$3220,4,FALSE))),vlookup(B39,Pop_Census_2023!$A$2:$E$3220,4,FALSE), vlookup(B39,Pop_Census_2023!$A$2:$E$3220,5,FALSE))</f>
        <v>34079</v>
      </c>
    </row>
    <row r="40">
      <c r="A40" s="47" t="s">
        <v>1994</v>
      </c>
      <c r="B40" s="47">
        <v>1019.0</v>
      </c>
      <c r="C40" s="47">
        <v>3.0</v>
      </c>
      <c r="D40" s="47" t="s">
        <v>4044</v>
      </c>
      <c r="E40" s="47" t="str">
        <f t="shared" si="1"/>
        <v>3A</v>
      </c>
      <c r="F40" s="47" t="s">
        <v>4046</v>
      </c>
      <c r="G40" s="47" t="s">
        <v>112</v>
      </c>
      <c r="H40" s="48">
        <f>IF(NOT(ISBLANK(vlookup(B40,Pop_Census_2023!$A$2:$E$3220,4,FALSE))),vlookup(B40,Pop_Census_2023!$A$2:$E$3220,4,FALSE), vlookup(B40,Pop_Census_2023!$A$2:$E$3220,5,FALSE))</f>
        <v>25666</v>
      </c>
    </row>
    <row r="41">
      <c r="A41" s="47" t="s">
        <v>1994</v>
      </c>
      <c r="B41" s="47">
        <v>1021.0</v>
      </c>
      <c r="C41" s="47">
        <v>3.0</v>
      </c>
      <c r="D41" s="47" t="s">
        <v>4044</v>
      </c>
      <c r="E41" s="47" t="str">
        <f t="shared" si="1"/>
        <v>3A</v>
      </c>
      <c r="F41" s="47" t="s">
        <v>4046</v>
      </c>
      <c r="G41" s="47" t="s">
        <v>113</v>
      </c>
      <c r="H41" s="48">
        <f>IF(NOT(ISBLANK(vlookup(B41,Pop_Census_2023!$A$2:$E$3220,4,FALSE))),vlookup(B41,Pop_Census_2023!$A$2:$E$3220,4,FALSE), vlookup(B41,Pop_Census_2023!$A$2:$E$3220,5,FALSE))</f>
        <v>46431</v>
      </c>
    </row>
    <row r="42">
      <c r="A42" s="47" t="s">
        <v>1994</v>
      </c>
      <c r="B42" s="47">
        <v>1023.0</v>
      </c>
      <c r="C42" s="47">
        <v>3.0</v>
      </c>
      <c r="D42" s="47" t="s">
        <v>4044</v>
      </c>
      <c r="E42" s="47" t="str">
        <f t="shared" si="1"/>
        <v>3A</v>
      </c>
      <c r="F42" s="47" t="s">
        <v>4045</v>
      </c>
      <c r="G42" s="47" t="s">
        <v>114</v>
      </c>
      <c r="H42" s="48">
        <f>IF(NOT(ISBLANK(vlookup(B42,Pop_Census_2023!$A$2:$E$3220,4,FALSE))),vlookup(B42,Pop_Census_2023!$A$2:$E$3220,4,FALSE), vlookup(B42,Pop_Census_2023!$A$2:$E$3220,5,FALSE))</f>
        <v>12252</v>
      </c>
    </row>
    <row r="43">
      <c r="A43" s="47" t="s">
        <v>1994</v>
      </c>
      <c r="B43" s="47">
        <v>1025.0</v>
      </c>
      <c r="C43" s="47">
        <v>3.0</v>
      </c>
      <c r="D43" s="47" t="s">
        <v>4044</v>
      </c>
      <c r="E43" s="47" t="str">
        <f t="shared" si="1"/>
        <v>3A</v>
      </c>
      <c r="F43" s="47" t="s">
        <v>4045</v>
      </c>
      <c r="G43" s="47" t="s">
        <v>115</v>
      </c>
      <c r="H43" s="48">
        <f>IF(NOT(ISBLANK(vlookup(B43,Pop_Census_2023!$A$2:$E$3220,4,FALSE))),vlookup(B43,Pop_Census_2023!$A$2:$E$3220,4,FALSE), vlookup(B43,Pop_Census_2023!$A$2:$E$3220,5,FALSE))</f>
        <v>22337</v>
      </c>
    </row>
    <row r="44">
      <c r="A44" s="47" t="s">
        <v>1994</v>
      </c>
      <c r="B44" s="47">
        <v>1027.0</v>
      </c>
      <c r="C44" s="47">
        <v>3.0</v>
      </c>
      <c r="D44" s="47" t="s">
        <v>4044</v>
      </c>
      <c r="E44" s="47" t="str">
        <f t="shared" si="1"/>
        <v>3A</v>
      </c>
      <c r="F44" s="47" t="s">
        <v>4046</v>
      </c>
      <c r="G44" s="47" t="s">
        <v>116</v>
      </c>
      <c r="H44" s="48">
        <f>IF(NOT(ISBLANK(vlookup(B44,Pop_Census_2023!$A$2:$E$3220,4,FALSE))),vlookup(B44,Pop_Census_2023!$A$2:$E$3220,4,FALSE), vlookup(B44,Pop_Census_2023!$A$2:$E$3220,5,FALSE))</f>
        <v>14111</v>
      </c>
    </row>
    <row r="45">
      <c r="A45" s="47" t="s">
        <v>1994</v>
      </c>
      <c r="B45" s="47">
        <v>1029.0</v>
      </c>
      <c r="C45" s="47">
        <v>3.0</v>
      </c>
      <c r="D45" s="47" t="s">
        <v>4044</v>
      </c>
      <c r="E45" s="47" t="str">
        <f t="shared" si="1"/>
        <v>3A</v>
      </c>
      <c r="F45" s="47" t="s">
        <v>4046</v>
      </c>
      <c r="G45" s="47" t="s">
        <v>117</v>
      </c>
      <c r="H45" s="48">
        <f>IF(NOT(ISBLANK(vlookup(B45,Pop_Census_2023!$A$2:$E$3220,4,FALSE))),vlookup(B45,Pop_Census_2023!$A$2:$E$3220,4,FALSE), vlookup(B45,Pop_Census_2023!$A$2:$E$3220,5,FALSE))</f>
        <v>15639</v>
      </c>
    </row>
    <row r="46">
      <c r="A46" s="47" t="s">
        <v>1994</v>
      </c>
      <c r="B46" s="47">
        <v>1031.0</v>
      </c>
      <c r="C46" s="47">
        <v>3.0</v>
      </c>
      <c r="D46" s="47" t="s">
        <v>4044</v>
      </c>
      <c r="E46" s="47" t="str">
        <f t="shared" si="1"/>
        <v>3A</v>
      </c>
      <c r="F46" s="47" t="s">
        <v>4045</v>
      </c>
      <c r="G46" s="47" t="s">
        <v>118</v>
      </c>
      <c r="H46" s="48">
        <f>IF(NOT(ISBLANK(vlookup(B46,Pop_Census_2023!$A$2:$E$3220,4,FALSE))),vlookup(B46,Pop_Census_2023!$A$2:$E$3220,4,FALSE), vlookup(B46,Pop_Census_2023!$A$2:$E$3220,5,FALSE))</f>
        <v>55643</v>
      </c>
    </row>
    <row r="47">
      <c r="A47" s="47" t="s">
        <v>1994</v>
      </c>
      <c r="B47" s="47">
        <v>1033.0</v>
      </c>
      <c r="C47" s="47">
        <v>3.0</v>
      </c>
      <c r="D47" s="47" t="s">
        <v>4044</v>
      </c>
      <c r="E47" s="47" t="str">
        <f t="shared" si="1"/>
        <v>3A</v>
      </c>
      <c r="F47" s="47" t="s">
        <v>4046</v>
      </c>
      <c r="G47" s="47" t="s">
        <v>119</v>
      </c>
      <c r="H47" s="48">
        <f>IF(NOT(ISBLANK(vlookup(B47,Pop_Census_2023!$A$2:$E$3220,4,FALSE))),vlookup(B47,Pop_Census_2023!$A$2:$E$3220,4,FALSE), vlookup(B47,Pop_Census_2023!$A$2:$E$3220,5,FALSE))</f>
        <v>58361</v>
      </c>
    </row>
    <row r="48">
      <c r="A48" s="47" t="s">
        <v>1994</v>
      </c>
      <c r="B48" s="47">
        <v>1035.0</v>
      </c>
      <c r="C48" s="47">
        <v>3.0</v>
      </c>
      <c r="D48" s="47" t="s">
        <v>4044</v>
      </c>
      <c r="E48" s="47" t="str">
        <f t="shared" si="1"/>
        <v>3A</v>
      </c>
      <c r="F48" s="47" t="s">
        <v>4045</v>
      </c>
      <c r="G48" s="47" t="s">
        <v>120</v>
      </c>
      <c r="H48" s="48">
        <f>IF(NOT(ISBLANK(vlookup(B48,Pop_Census_2023!$A$2:$E$3220,4,FALSE))),vlookup(B48,Pop_Census_2023!$A$2:$E$3220,4,FALSE), vlookup(B48,Pop_Census_2023!$A$2:$E$3220,5,FALSE))</f>
        <v>11174</v>
      </c>
    </row>
    <row r="49">
      <c r="A49" s="47" t="s">
        <v>1994</v>
      </c>
      <c r="B49" s="47">
        <v>1037.0</v>
      </c>
      <c r="C49" s="47">
        <v>3.0</v>
      </c>
      <c r="D49" s="47" t="s">
        <v>4044</v>
      </c>
      <c r="E49" s="47" t="str">
        <f t="shared" si="1"/>
        <v>3A</v>
      </c>
      <c r="F49" s="47" t="s">
        <v>4046</v>
      </c>
      <c r="G49" s="47" t="s">
        <v>121</v>
      </c>
      <c r="H49" s="48">
        <f>IF(NOT(ISBLANK(vlookup(B49,Pop_Census_2023!$A$2:$E$3220,4,FALSE))),vlookup(B49,Pop_Census_2023!$A$2:$E$3220,4,FALSE), vlookup(B49,Pop_Census_2023!$A$2:$E$3220,5,FALSE))</f>
        <v>10268</v>
      </c>
    </row>
    <row r="50">
      <c r="A50" s="47" t="s">
        <v>1994</v>
      </c>
      <c r="B50" s="47">
        <v>1039.0</v>
      </c>
      <c r="C50" s="47">
        <v>3.0</v>
      </c>
      <c r="D50" s="47" t="s">
        <v>4044</v>
      </c>
      <c r="E50" s="47" t="str">
        <f t="shared" si="1"/>
        <v>3A</v>
      </c>
      <c r="F50" s="47" t="s">
        <v>4045</v>
      </c>
      <c r="G50" s="47" t="s">
        <v>122</v>
      </c>
      <c r="H50" s="48">
        <f>IF(NOT(ISBLANK(vlookup(B50,Pop_Census_2023!$A$2:$E$3220,4,FALSE))),vlookup(B50,Pop_Census_2023!$A$2:$E$3220,4,FALSE), vlookup(B50,Pop_Census_2023!$A$2:$E$3220,5,FALSE))</f>
        <v>37952</v>
      </c>
    </row>
    <row r="51">
      <c r="A51" s="47" t="s">
        <v>1994</v>
      </c>
      <c r="B51" s="47">
        <v>1041.0</v>
      </c>
      <c r="C51" s="47">
        <v>3.0</v>
      </c>
      <c r="D51" s="47" t="s">
        <v>4044</v>
      </c>
      <c r="E51" s="47" t="str">
        <f t="shared" si="1"/>
        <v>3A</v>
      </c>
      <c r="F51" s="47" t="s">
        <v>4045</v>
      </c>
      <c r="G51" s="47" t="s">
        <v>123</v>
      </c>
      <c r="H51" s="48">
        <f>IF(NOT(ISBLANK(vlookup(B51,Pop_Census_2023!$A$2:$E$3220,4,FALSE))),vlookup(B51,Pop_Census_2023!$A$2:$E$3220,4,FALSE), vlookup(B51,Pop_Census_2023!$A$2:$E$3220,5,FALSE))</f>
        <v>13101</v>
      </c>
    </row>
    <row r="52">
      <c r="A52" s="47" t="s">
        <v>1994</v>
      </c>
      <c r="B52" s="47">
        <v>1043.0</v>
      </c>
      <c r="C52" s="47">
        <v>3.0</v>
      </c>
      <c r="D52" s="47" t="s">
        <v>4044</v>
      </c>
      <c r="E52" s="47" t="str">
        <f t="shared" si="1"/>
        <v>3A</v>
      </c>
      <c r="F52" s="47" t="s">
        <v>4046</v>
      </c>
      <c r="G52" s="47" t="s">
        <v>124</v>
      </c>
      <c r="H52" s="48">
        <f>IF(NOT(ISBLANK(vlookup(B52,Pop_Census_2023!$A$2:$E$3220,4,FALSE))),vlookup(B52,Pop_Census_2023!$A$2:$E$3220,4,FALSE), vlookup(B52,Pop_Census_2023!$A$2:$E$3220,5,FALSE))</f>
        <v>92016</v>
      </c>
    </row>
    <row r="53">
      <c r="A53" s="47" t="s">
        <v>1994</v>
      </c>
      <c r="B53" s="47">
        <v>1045.0</v>
      </c>
      <c r="C53" s="47">
        <v>3.0</v>
      </c>
      <c r="D53" s="47" t="s">
        <v>4044</v>
      </c>
      <c r="E53" s="47" t="str">
        <f t="shared" si="1"/>
        <v>3A</v>
      </c>
      <c r="F53" s="47" t="s">
        <v>4045</v>
      </c>
      <c r="G53" s="47" t="s">
        <v>125</v>
      </c>
      <c r="H53" s="48">
        <f>IF(NOT(ISBLANK(vlookup(B53,Pop_Census_2023!$A$2:$E$3220,4,FALSE))),vlookup(B53,Pop_Census_2023!$A$2:$E$3220,4,FALSE), vlookup(B53,Pop_Census_2023!$A$2:$E$3220,5,FALSE))</f>
        <v>49871</v>
      </c>
    </row>
    <row r="54">
      <c r="A54" s="47" t="s">
        <v>1994</v>
      </c>
      <c r="B54" s="47">
        <v>1047.0</v>
      </c>
      <c r="C54" s="47">
        <v>3.0</v>
      </c>
      <c r="D54" s="47" t="s">
        <v>4044</v>
      </c>
      <c r="E54" s="47" t="str">
        <f t="shared" si="1"/>
        <v>3A</v>
      </c>
      <c r="F54" s="47" t="s">
        <v>4045</v>
      </c>
      <c r="G54" s="47" t="s">
        <v>126</v>
      </c>
      <c r="H54" s="48">
        <f>IF(NOT(ISBLANK(vlookup(B54,Pop_Census_2023!$A$2:$E$3220,4,FALSE))),vlookup(B54,Pop_Census_2023!$A$2:$E$3220,4,FALSE), vlookup(B54,Pop_Census_2023!$A$2:$E$3220,5,FALSE))</f>
        <v>36165</v>
      </c>
    </row>
    <row r="55">
      <c r="A55" s="47" t="s">
        <v>1994</v>
      </c>
      <c r="B55" s="47">
        <v>1049.0</v>
      </c>
      <c r="C55" s="47">
        <v>3.0</v>
      </c>
      <c r="D55" s="47" t="s">
        <v>4044</v>
      </c>
      <c r="E55" s="47" t="str">
        <f t="shared" si="1"/>
        <v>3A</v>
      </c>
      <c r="F55" s="47" t="s">
        <v>4046</v>
      </c>
      <c r="G55" s="47" t="s">
        <v>127</v>
      </c>
      <c r="H55" s="48">
        <f>IF(NOT(ISBLANK(vlookup(B55,Pop_Census_2023!$A$2:$E$3220,4,FALSE))),vlookup(B55,Pop_Census_2023!$A$2:$E$3220,4,FALSE), vlookup(B55,Pop_Census_2023!$A$2:$E$3220,5,FALSE))</f>
        <v>72569</v>
      </c>
    </row>
    <row r="56">
      <c r="A56" s="47" t="s">
        <v>1994</v>
      </c>
      <c r="B56" s="47">
        <v>1051.0</v>
      </c>
      <c r="C56" s="47">
        <v>3.0</v>
      </c>
      <c r="D56" s="47" t="s">
        <v>4044</v>
      </c>
      <c r="E56" s="47" t="str">
        <f t="shared" si="1"/>
        <v>3A</v>
      </c>
      <c r="F56" s="47" t="s">
        <v>4045</v>
      </c>
      <c r="G56" s="47" t="s">
        <v>128</v>
      </c>
      <c r="H56" s="48">
        <f>IF(NOT(ISBLANK(vlookup(B56,Pop_Census_2023!$A$2:$E$3220,4,FALSE))),vlookup(B56,Pop_Census_2023!$A$2:$E$3220,4,FALSE), vlookup(B56,Pop_Census_2023!$A$2:$E$3220,5,FALSE))</f>
        <v>90441</v>
      </c>
    </row>
    <row r="57">
      <c r="A57" s="47" t="s">
        <v>1994</v>
      </c>
      <c r="B57" s="47">
        <v>1053.0</v>
      </c>
      <c r="C57" s="47">
        <v>3.0</v>
      </c>
      <c r="D57" s="47" t="s">
        <v>4044</v>
      </c>
      <c r="E57" s="47" t="str">
        <f t="shared" si="1"/>
        <v>3A</v>
      </c>
      <c r="F57" s="47" t="s">
        <v>4045</v>
      </c>
      <c r="G57" s="47" t="s">
        <v>129</v>
      </c>
      <c r="H57" s="48">
        <f>IF(NOT(ISBLANK(vlookup(B57,Pop_Census_2023!$A$2:$E$3220,4,FALSE))),vlookup(B57,Pop_Census_2023!$A$2:$E$3220,4,FALSE), vlookup(B57,Pop_Census_2023!$A$2:$E$3220,5,FALSE))</f>
        <v>36558</v>
      </c>
    </row>
    <row r="58">
      <c r="A58" s="47" t="s">
        <v>1994</v>
      </c>
      <c r="B58" s="47">
        <v>1055.0</v>
      </c>
      <c r="C58" s="47">
        <v>3.0</v>
      </c>
      <c r="D58" s="47" t="s">
        <v>4044</v>
      </c>
      <c r="E58" s="47" t="str">
        <f t="shared" si="1"/>
        <v>3A</v>
      </c>
      <c r="F58" s="47" t="s">
        <v>4046</v>
      </c>
      <c r="G58" s="47" t="s">
        <v>130</v>
      </c>
      <c r="H58" s="48">
        <f>IF(NOT(ISBLANK(vlookup(B58,Pop_Census_2023!$A$2:$E$3220,4,FALSE))),vlookup(B58,Pop_Census_2023!$A$2:$E$3220,4,FALSE), vlookup(B58,Pop_Census_2023!$A$2:$E$3220,5,FALSE))</f>
        <v>103241</v>
      </c>
    </row>
    <row r="59">
      <c r="A59" s="47" t="s">
        <v>1994</v>
      </c>
      <c r="B59" s="47">
        <v>1057.0</v>
      </c>
      <c r="C59" s="47">
        <v>3.0</v>
      </c>
      <c r="D59" s="47" t="s">
        <v>4044</v>
      </c>
      <c r="E59" s="47" t="str">
        <f t="shared" si="1"/>
        <v>3A</v>
      </c>
      <c r="F59" s="47" t="s">
        <v>4046</v>
      </c>
      <c r="G59" s="47" t="s">
        <v>131</v>
      </c>
      <c r="H59" s="48">
        <f>IF(NOT(ISBLANK(vlookup(B59,Pop_Census_2023!$A$2:$E$3220,4,FALSE))),vlookup(B59,Pop_Census_2023!$A$2:$E$3220,4,FALSE), vlookup(B59,Pop_Census_2023!$A$2:$E$3220,5,FALSE))</f>
        <v>15967</v>
      </c>
    </row>
    <row r="60">
      <c r="A60" s="47" t="s">
        <v>1994</v>
      </c>
      <c r="B60" s="47">
        <v>1059.0</v>
      </c>
      <c r="C60" s="47">
        <v>3.0</v>
      </c>
      <c r="D60" s="47" t="s">
        <v>4044</v>
      </c>
      <c r="E60" s="47" t="str">
        <f t="shared" si="1"/>
        <v>3A</v>
      </c>
      <c r="F60" s="47" t="s">
        <v>4046</v>
      </c>
      <c r="G60" s="47" t="s">
        <v>132</v>
      </c>
      <c r="H60" s="48">
        <f>IF(NOT(ISBLANK(vlookup(B60,Pop_Census_2023!$A$2:$E$3220,4,FALSE))),vlookup(B60,Pop_Census_2023!$A$2:$E$3220,4,FALSE), vlookup(B60,Pop_Census_2023!$A$2:$E$3220,5,FALSE))</f>
        <v>31802</v>
      </c>
    </row>
    <row r="61">
      <c r="A61" s="47" t="s">
        <v>1994</v>
      </c>
      <c r="B61" s="47">
        <v>1061.0</v>
      </c>
      <c r="C61" s="47">
        <v>3.0</v>
      </c>
      <c r="D61" s="47" t="s">
        <v>4044</v>
      </c>
      <c r="E61" s="47" t="str">
        <f t="shared" si="1"/>
        <v>3A</v>
      </c>
      <c r="F61" s="47" t="s">
        <v>4045</v>
      </c>
      <c r="G61" s="47" t="s">
        <v>133</v>
      </c>
      <c r="H61" s="48">
        <f>IF(NOT(ISBLANK(vlookup(B61,Pop_Census_2023!$A$2:$E$3220,4,FALSE))),vlookup(B61,Pop_Census_2023!$A$2:$E$3220,4,FALSE), vlookup(B61,Pop_Census_2023!$A$2:$E$3220,5,FALSE))</f>
        <v>26988</v>
      </c>
    </row>
    <row r="62">
      <c r="A62" s="47" t="s">
        <v>1994</v>
      </c>
      <c r="B62" s="47">
        <v>1063.0</v>
      </c>
      <c r="C62" s="47">
        <v>3.0</v>
      </c>
      <c r="D62" s="47" t="s">
        <v>4044</v>
      </c>
      <c r="E62" s="47" t="str">
        <f t="shared" si="1"/>
        <v>3A</v>
      </c>
      <c r="F62" s="47" t="s">
        <v>4046</v>
      </c>
      <c r="G62" s="47" t="s">
        <v>134</v>
      </c>
      <c r="H62" s="48">
        <f>IF(NOT(ISBLANK(vlookup(B62,Pop_Census_2023!$A$2:$E$3220,4,FALSE))),vlookup(B62,Pop_Census_2023!$A$2:$E$3220,4,FALSE), vlookup(B62,Pop_Census_2023!$A$2:$E$3220,5,FALSE))</f>
        <v>7341</v>
      </c>
    </row>
    <row r="63">
      <c r="A63" s="47" t="s">
        <v>1994</v>
      </c>
      <c r="B63" s="47">
        <v>1065.0</v>
      </c>
      <c r="C63" s="47">
        <v>3.0</v>
      </c>
      <c r="D63" s="47" t="s">
        <v>4044</v>
      </c>
      <c r="E63" s="47" t="str">
        <f t="shared" si="1"/>
        <v>3A</v>
      </c>
      <c r="F63" s="47" t="s">
        <v>4046</v>
      </c>
      <c r="G63" s="47" t="s">
        <v>135</v>
      </c>
      <c r="H63" s="48">
        <f>IF(NOT(ISBLANK(vlookup(B63,Pop_Census_2023!$A$2:$E$3220,4,FALSE))),vlookup(B63,Pop_Census_2023!$A$2:$E$3220,4,FALSE), vlookup(B63,Pop_Census_2023!$A$2:$E$3220,5,FALSE))</f>
        <v>14888</v>
      </c>
    </row>
    <row r="64">
      <c r="A64" s="47" t="s">
        <v>1994</v>
      </c>
      <c r="B64" s="47">
        <v>1067.0</v>
      </c>
      <c r="C64" s="47">
        <v>3.0</v>
      </c>
      <c r="D64" s="47" t="s">
        <v>4044</v>
      </c>
      <c r="E64" s="47" t="str">
        <f t="shared" si="1"/>
        <v>3A</v>
      </c>
      <c r="F64" s="47" t="s">
        <v>4045</v>
      </c>
      <c r="G64" s="47" t="s">
        <v>136</v>
      </c>
      <c r="H64" s="48">
        <f>IF(NOT(ISBLANK(vlookup(B64,Pop_Census_2023!$A$2:$E$3220,4,FALSE))),vlookup(B64,Pop_Census_2023!$A$2:$E$3220,4,FALSE), vlookup(B64,Pop_Census_2023!$A$2:$E$3220,5,FALSE))</f>
        <v>17899</v>
      </c>
    </row>
    <row r="65">
      <c r="A65" s="47" t="s">
        <v>1994</v>
      </c>
      <c r="B65" s="47">
        <v>1069.0</v>
      </c>
      <c r="C65" s="47">
        <v>3.0</v>
      </c>
      <c r="D65" s="47" t="s">
        <v>4044</v>
      </c>
      <c r="E65" s="47" t="str">
        <f t="shared" si="1"/>
        <v>3A</v>
      </c>
      <c r="F65" s="47" t="s">
        <v>4045</v>
      </c>
      <c r="G65" s="47" t="s">
        <v>137</v>
      </c>
      <c r="H65" s="48">
        <f>IF(NOT(ISBLANK(vlookup(B65,Pop_Census_2023!$A$2:$E$3220,4,FALSE))),vlookup(B65,Pop_Census_2023!$A$2:$E$3220,4,FALSE), vlookup(B65,Pop_Census_2023!$A$2:$E$3220,5,FALSE))</f>
        <v>108462</v>
      </c>
    </row>
    <row r="66">
      <c r="A66" s="47" t="s">
        <v>1994</v>
      </c>
      <c r="B66" s="47">
        <v>1071.0</v>
      </c>
      <c r="C66" s="47">
        <v>3.0</v>
      </c>
      <c r="D66" s="47" t="s">
        <v>4044</v>
      </c>
      <c r="E66" s="47" t="str">
        <f t="shared" si="1"/>
        <v>3A</v>
      </c>
      <c r="F66" s="47" t="s">
        <v>4046</v>
      </c>
      <c r="G66" s="47" t="s">
        <v>138</v>
      </c>
      <c r="H66" s="48">
        <f>IF(NOT(ISBLANK(vlookup(B66,Pop_Census_2023!$A$2:$E$3220,4,FALSE))),vlookup(B66,Pop_Census_2023!$A$2:$E$3220,4,FALSE), vlookup(B66,Pop_Census_2023!$A$2:$E$3220,5,FALSE))</f>
        <v>53467</v>
      </c>
    </row>
    <row r="67">
      <c r="A67" s="47" t="s">
        <v>1994</v>
      </c>
      <c r="B67" s="47">
        <v>1073.0</v>
      </c>
      <c r="C67" s="47">
        <v>3.0</v>
      </c>
      <c r="D67" s="47" t="s">
        <v>4044</v>
      </c>
      <c r="E67" s="47" t="str">
        <f t="shared" si="1"/>
        <v>3A</v>
      </c>
      <c r="F67" s="47" t="s">
        <v>4046</v>
      </c>
      <c r="G67" s="47" t="s">
        <v>139</v>
      </c>
      <c r="H67" s="48">
        <f>IF(NOT(ISBLANK(vlookup(B67,Pop_Census_2023!$A$2:$E$3220,4,FALSE))),vlookup(B67,Pop_Census_2023!$A$2:$E$3220,4,FALSE), vlookup(B67,Pop_Census_2023!$A$2:$E$3220,5,FALSE))</f>
        <v>662895</v>
      </c>
    </row>
    <row r="68">
      <c r="A68" s="47" t="s">
        <v>1994</v>
      </c>
      <c r="B68" s="47">
        <v>1075.0</v>
      </c>
      <c r="C68" s="47">
        <v>3.0</v>
      </c>
      <c r="D68" s="47" t="s">
        <v>4044</v>
      </c>
      <c r="E68" s="47" t="str">
        <f t="shared" si="1"/>
        <v>3A</v>
      </c>
      <c r="F68" s="47" t="s">
        <v>4046</v>
      </c>
      <c r="G68" s="47" t="s">
        <v>140</v>
      </c>
      <c r="H68" s="48">
        <f>IF(NOT(ISBLANK(vlookup(B68,Pop_Census_2023!$A$2:$E$3220,4,FALSE))),vlookup(B68,Pop_Census_2023!$A$2:$E$3220,4,FALSE), vlookup(B68,Pop_Census_2023!$A$2:$E$3220,5,FALSE))</f>
        <v>13661</v>
      </c>
    </row>
    <row r="69">
      <c r="A69" s="47" t="s">
        <v>1994</v>
      </c>
      <c r="B69" s="47">
        <v>1077.0</v>
      </c>
      <c r="C69" s="47">
        <v>3.0</v>
      </c>
      <c r="D69" s="47" t="s">
        <v>4044</v>
      </c>
      <c r="E69" s="47" t="str">
        <f t="shared" si="1"/>
        <v>3A</v>
      </c>
      <c r="F69" s="47" t="s">
        <v>4046</v>
      </c>
      <c r="G69" s="47" t="s">
        <v>141</v>
      </c>
      <c r="H69" s="48">
        <f>IF(NOT(ISBLANK(vlookup(B69,Pop_Census_2023!$A$2:$E$3220,4,FALSE))),vlookup(B69,Pop_Census_2023!$A$2:$E$3220,4,FALSE), vlookup(B69,Pop_Census_2023!$A$2:$E$3220,5,FALSE))</f>
        <v>96814</v>
      </c>
    </row>
    <row r="70">
      <c r="A70" s="47" t="s">
        <v>1994</v>
      </c>
      <c r="B70" s="47">
        <v>1079.0</v>
      </c>
      <c r="C70" s="47">
        <v>3.0</v>
      </c>
      <c r="D70" s="47" t="s">
        <v>4044</v>
      </c>
      <c r="E70" s="47" t="str">
        <f t="shared" si="1"/>
        <v>3A</v>
      </c>
      <c r="F70" s="47" t="s">
        <v>4046</v>
      </c>
      <c r="G70" s="47" t="s">
        <v>142</v>
      </c>
      <c r="H70" s="48">
        <f>IF(NOT(ISBLANK(vlookup(B70,Pop_Census_2023!$A$2:$E$3220,4,FALSE))),vlookup(B70,Pop_Census_2023!$A$2:$E$3220,4,FALSE), vlookup(B70,Pop_Census_2023!$A$2:$E$3220,5,FALSE))</f>
        <v>33502</v>
      </c>
    </row>
    <row r="71">
      <c r="A71" s="47" t="s">
        <v>1994</v>
      </c>
      <c r="B71" s="47">
        <v>1081.0</v>
      </c>
      <c r="C71" s="47">
        <v>3.0</v>
      </c>
      <c r="D71" s="47" t="s">
        <v>4044</v>
      </c>
      <c r="E71" s="47" t="str">
        <f t="shared" si="1"/>
        <v>3A</v>
      </c>
      <c r="F71" s="47" t="s">
        <v>4046</v>
      </c>
      <c r="G71" s="47" t="s">
        <v>143</v>
      </c>
      <c r="H71" s="48">
        <f>IF(NOT(ISBLANK(vlookup(B71,Pop_Census_2023!$A$2:$E$3220,4,FALSE))),vlookup(B71,Pop_Census_2023!$A$2:$E$3220,4,FALSE), vlookup(B71,Pop_Census_2023!$A$2:$E$3220,5,FALSE))</f>
        <v>183215</v>
      </c>
    </row>
    <row r="72">
      <c r="A72" s="47" t="s">
        <v>1994</v>
      </c>
      <c r="B72" s="47">
        <v>1083.0</v>
      </c>
      <c r="C72" s="47">
        <v>3.0</v>
      </c>
      <c r="D72" s="47" t="s">
        <v>4044</v>
      </c>
      <c r="E72" s="47" t="str">
        <f t="shared" si="1"/>
        <v>3A</v>
      </c>
      <c r="F72" s="47" t="s">
        <v>4046</v>
      </c>
      <c r="G72" s="47" t="s">
        <v>144</v>
      </c>
      <c r="H72" s="48">
        <f>IF(NOT(ISBLANK(vlookup(B72,Pop_Census_2023!$A$2:$E$3220,4,FALSE))),vlookup(B72,Pop_Census_2023!$A$2:$E$3220,4,FALSE), vlookup(B72,Pop_Census_2023!$A$2:$E$3220,5,FALSE))</f>
        <v>114654</v>
      </c>
    </row>
    <row r="73">
      <c r="A73" s="47" t="s">
        <v>1994</v>
      </c>
      <c r="B73" s="47">
        <v>1085.0</v>
      </c>
      <c r="C73" s="47">
        <v>3.0</v>
      </c>
      <c r="D73" s="47" t="s">
        <v>4044</v>
      </c>
      <c r="E73" s="47" t="str">
        <f t="shared" si="1"/>
        <v>3A</v>
      </c>
      <c r="F73" s="47" t="s">
        <v>4045</v>
      </c>
      <c r="G73" s="47" t="s">
        <v>145</v>
      </c>
      <c r="H73" s="48">
        <f>IF(NOT(ISBLANK(vlookup(B73,Pop_Census_2023!$A$2:$E$3220,4,FALSE))),vlookup(B73,Pop_Census_2023!$A$2:$E$3220,4,FALSE), vlookup(B73,Pop_Census_2023!$A$2:$E$3220,5,FALSE))</f>
        <v>9717</v>
      </c>
    </row>
    <row r="74">
      <c r="A74" s="47" t="s">
        <v>1994</v>
      </c>
      <c r="B74" s="47">
        <v>1087.0</v>
      </c>
      <c r="C74" s="47">
        <v>3.0</v>
      </c>
      <c r="D74" s="47" t="s">
        <v>4044</v>
      </c>
      <c r="E74" s="47" t="str">
        <f t="shared" si="1"/>
        <v>3A</v>
      </c>
      <c r="F74" s="47" t="s">
        <v>4045</v>
      </c>
      <c r="G74" s="47" t="s">
        <v>146</v>
      </c>
      <c r="H74" s="48">
        <f>IF(NOT(ISBLANK(vlookup(B74,Pop_Census_2023!$A$2:$E$3220,4,FALSE))),vlookup(B74,Pop_Census_2023!$A$2:$E$3220,4,FALSE), vlookup(B74,Pop_Census_2023!$A$2:$E$3220,5,FALSE))</f>
        <v>18370</v>
      </c>
    </row>
    <row r="75">
      <c r="A75" s="47" t="s">
        <v>1994</v>
      </c>
      <c r="B75" s="47">
        <v>1089.0</v>
      </c>
      <c r="C75" s="47">
        <v>3.0</v>
      </c>
      <c r="D75" s="47" t="s">
        <v>4044</v>
      </c>
      <c r="E75" s="47" t="str">
        <f t="shared" si="1"/>
        <v>3A</v>
      </c>
      <c r="F75" s="47" t="s">
        <v>4046</v>
      </c>
      <c r="G75" s="47" t="s">
        <v>147</v>
      </c>
      <c r="H75" s="48">
        <f>IF(NOT(ISBLANK(vlookup(B75,Pop_Census_2023!$A$2:$E$3220,4,FALSE))),vlookup(B75,Pop_Census_2023!$A$2:$E$3220,4,FALSE), vlookup(B75,Pop_Census_2023!$A$2:$E$3220,5,FALSE))</f>
        <v>412600</v>
      </c>
    </row>
    <row r="76">
      <c r="A76" s="47" t="s">
        <v>1994</v>
      </c>
      <c r="B76" s="47">
        <v>1091.0</v>
      </c>
      <c r="C76" s="47">
        <v>3.0</v>
      </c>
      <c r="D76" s="47" t="s">
        <v>4044</v>
      </c>
      <c r="E76" s="47" t="str">
        <f t="shared" si="1"/>
        <v>3A</v>
      </c>
      <c r="F76" s="47" t="s">
        <v>4045</v>
      </c>
      <c r="G76" s="47" t="s">
        <v>148</v>
      </c>
      <c r="H76" s="48">
        <f>IF(NOT(ISBLANK(vlookup(B76,Pop_Census_2023!$A$2:$E$3220,4,FALSE))),vlookup(B76,Pop_Census_2023!$A$2:$E$3220,4,FALSE), vlookup(B76,Pop_Census_2023!$A$2:$E$3220,5,FALSE))</f>
        <v>18684</v>
      </c>
    </row>
    <row r="77">
      <c r="A77" s="47" t="s">
        <v>1994</v>
      </c>
      <c r="B77" s="47">
        <v>1093.0</v>
      </c>
      <c r="C77" s="47">
        <v>3.0</v>
      </c>
      <c r="D77" s="47" t="s">
        <v>4044</v>
      </c>
      <c r="E77" s="47" t="str">
        <f t="shared" si="1"/>
        <v>3A</v>
      </c>
      <c r="F77" s="47" t="s">
        <v>4046</v>
      </c>
      <c r="G77" s="47" t="s">
        <v>149</v>
      </c>
      <c r="H77" s="48">
        <f>IF(NOT(ISBLANK(vlookup(B77,Pop_Census_2023!$A$2:$E$3220,4,FALSE))),vlookup(B77,Pop_Census_2023!$A$2:$E$3220,4,FALSE), vlookup(B77,Pop_Census_2023!$A$2:$E$3220,5,FALSE))</f>
        <v>29244</v>
      </c>
    </row>
    <row r="78">
      <c r="A78" s="47" t="s">
        <v>1994</v>
      </c>
      <c r="B78" s="47">
        <v>1095.0</v>
      </c>
      <c r="C78" s="47">
        <v>3.0</v>
      </c>
      <c r="D78" s="47" t="s">
        <v>4044</v>
      </c>
      <c r="E78" s="47" t="str">
        <f t="shared" si="1"/>
        <v>3A</v>
      </c>
      <c r="F78" s="47" t="s">
        <v>4046</v>
      </c>
      <c r="G78" s="47" t="s">
        <v>150</v>
      </c>
      <c r="H78" s="48">
        <f>IF(NOT(ISBLANK(vlookup(B78,Pop_Census_2023!$A$2:$E$3220,4,FALSE))),vlookup(B78,Pop_Census_2023!$A$2:$E$3220,4,FALSE), vlookup(B78,Pop_Census_2023!$A$2:$E$3220,5,FALSE))</f>
        <v>100756</v>
      </c>
    </row>
    <row r="79">
      <c r="A79" s="47" t="s">
        <v>1994</v>
      </c>
      <c r="B79" s="47">
        <v>1097.0</v>
      </c>
      <c r="C79" s="47">
        <v>2.0</v>
      </c>
      <c r="D79" s="47" t="s">
        <v>4044</v>
      </c>
      <c r="E79" s="47" t="str">
        <f t="shared" si="1"/>
        <v>2A</v>
      </c>
      <c r="F79" s="47" t="s">
        <v>4045</v>
      </c>
      <c r="G79" s="47" t="s">
        <v>151</v>
      </c>
      <c r="H79" s="48">
        <f>IF(NOT(ISBLANK(vlookup(B79,Pop_Census_2023!$A$2:$E$3220,4,FALSE))),vlookup(B79,Pop_Census_2023!$A$2:$E$3220,4,FALSE), vlookup(B79,Pop_Census_2023!$A$2:$E$3220,5,FALSE))</f>
        <v>411640</v>
      </c>
    </row>
    <row r="80">
      <c r="A80" s="47" t="s">
        <v>1994</v>
      </c>
      <c r="B80" s="47">
        <v>1099.0</v>
      </c>
      <c r="C80" s="47">
        <v>3.0</v>
      </c>
      <c r="D80" s="47" t="s">
        <v>4044</v>
      </c>
      <c r="E80" s="47" t="str">
        <f t="shared" si="1"/>
        <v>3A</v>
      </c>
      <c r="F80" s="47" t="s">
        <v>4045</v>
      </c>
      <c r="G80" s="47" t="s">
        <v>152</v>
      </c>
      <c r="H80" s="48">
        <f>IF(NOT(ISBLANK(vlookup(B80,Pop_Census_2023!$A$2:$E$3220,4,FALSE))),vlookup(B80,Pop_Census_2023!$A$2:$E$3220,4,FALSE), vlookup(B80,Pop_Census_2023!$A$2:$E$3220,5,FALSE))</f>
        <v>19229</v>
      </c>
    </row>
    <row r="81">
      <c r="A81" s="47" t="s">
        <v>1994</v>
      </c>
      <c r="B81" s="47">
        <v>1101.0</v>
      </c>
      <c r="C81" s="47">
        <v>3.0</v>
      </c>
      <c r="D81" s="47" t="s">
        <v>4044</v>
      </c>
      <c r="E81" s="47" t="str">
        <f t="shared" si="1"/>
        <v>3A</v>
      </c>
      <c r="F81" s="47" t="s">
        <v>4045</v>
      </c>
      <c r="G81" s="47" t="s">
        <v>153</v>
      </c>
      <c r="H81" s="48">
        <f>IF(NOT(ISBLANK(vlookup(B81,Pop_Census_2023!$A$2:$E$3220,4,FALSE))),vlookup(B81,Pop_Census_2023!$A$2:$E$3220,4,FALSE), vlookup(B81,Pop_Census_2023!$A$2:$E$3220,5,FALSE))</f>
        <v>224980</v>
      </c>
    </row>
    <row r="82">
      <c r="A82" s="47" t="s">
        <v>1994</v>
      </c>
      <c r="B82" s="47">
        <v>1103.0</v>
      </c>
      <c r="C82" s="47">
        <v>3.0</v>
      </c>
      <c r="D82" s="47" t="s">
        <v>4044</v>
      </c>
      <c r="E82" s="47" t="str">
        <f t="shared" si="1"/>
        <v>3A</v>
      </c>
      <c r="F82" s="47" t="s">
        <v>4046</v>
      </c>
      <c r="G82" s="47" t="s">
        <v>154</v>
      </c>
      <c r="H82" s="48">
        <f>IF(NOT(ISBLANK(vlookup(B82,Pop_Census_2023!$A$2:$E$3220,4,FALSE))),vlookup(B82,Pop_Census_2023!$A$2:$E$3220,4,FALSE), vlookup(B82,Pop_Census_2023!$A$2:$E$3220,5,FALSE))</f>
        <v>125133</v>
      </c>
    </row>
    <row r="83">
      <c r="A83" s="47" t="s">
        <v>1994</v>
      </c>
      <c r="B83" s="47">
        <v>1105.0</v>
      </c>
      <c r="C83" s="47">
        <v>3.0</v>
      </c>
      <c r="D83" s="47" t="s">
        <v>4044</v>
      </c>
      <c r="E83" s="47" t="str">
        <f t="shared" si="1"/>
        <v>3A</v>
      </c>
      <c r="F83" s="47" t="s">
        <v>4045</v>
      </c>
      <c r="G83" s="47" t="s">
        <v>155</v>
      </c>
      <c r="H83" s="48">
        <f>IF(NOT(ISBLANK(vlookup(B83,Pop_Census_2023!$A$2:$E$3220,4,FALSE))),vlookup(B83,Pop_Census_2023!$A$2:$E$3220,4,FALSE), vlookup(B83,Pop_Census_2023!$A$2:$E$3220,5,FALSE))</f>
        <v>7738</v>
      </c>
    </row>
    <row r="84">
      <c r="A84" s="47" t="s">
        <v>1994</v>
      </c>
      <c r="B84" s="47">
        <v>1107.0</v>
      </c>
      <c r="C84" s="47">
        <v>3.0</v>
      </c>
      <c r="D84" s="47" t="s">
        <v>4044</v>
      </c>
      <c r="E84" s="47" t="str">
        <f t="shared" si="1"/>
        <v>3A</v>
      </c>
      <c r="F84" s="47" t="s">
        <v>4046</v>
      </c>
      <c r="G84" s="47" t="s">
        <v>156</v>
      </c>
      <c r="H84" s="48">
        <f>IF(NOT(ISBLANK(vlookup(B84,Pop_Census_2023!$A$2:$E$3220,4,FALSE))),vlookup(B84,Pop_Census_2023!$A$2:$E$3220,4,FALSE), vlookup(B84,Pop_Census_2023!$A$2:$E$3220,5,FALSE))</f>
        <v>18688</v>
      </c>
    </row>
    <row r="85">
      <c r="A85" s="47" t="s">
        <v>1994</v>
      </c>
      <c r="B85" s="47">
        <v>1109.0</v>
      </c>
      <c r="C85" s="47">
        <v>3.0</v>
      </c>
      <c r="D85" s="47" t="s">
        <v>4044</v>
      </c>
      <c r="E85" s="47" t="str">
        <f t="shared" si="1"/>
        <v>3A</v>
      </c>
      <c r="F85" s="47" t="s">
        <v>4045</v>
      </c>
      <c r="G85" s="47" t="s">
        <v>157</v>
      </c>
      <c r="H85" s="48">
        <f>IF(NOT(ISBLANK(vlookup(B85,Pop_Census_2023!$A$2:$E$3220,4,FALSE))),vlookup(B85,Pop_Census_2023!$A$2:$E$3220,4,FALSE), vlookup(B85,Pop_Census_2023!$A$2:$E$3220,5,FALSE))</f>
        <v>33137</v>
      </c>
    </row>
    <row r="86">
      <c r="A86" s="47" t="s">
        <v>1994</v>
      </c>
      <c r="B86" s="47">
        <v>1111.0</v>
      </c>
      <c r="C86" s="47">
        <v>3.0</v>
      </c>
      <c r="D86" s="47" t="s">
        <v>4044</v>
      </c>
      <c r="E86" s="47" t="str">
        <f t="shared" si="1"/>
        <v>3A</v>
      </c>
      <c r="F86" s="47" t="s">
        <v>4046</v>
      </c>
      <c r="G86" s="47" t="s">
        <v>158</v>
      </c>
      <c r="H86" s="48">
        <f>IF(NOT(ISBLANK(vlookup(B86,Pop_Census_2023!$A$2:$E$3220,4,FALSE))),vlookup(B86,Pop_Census_2023!$A$2:$E$3220,4,FALSE), vlookup(B86,Pop_Census_2023!$A$2:$E$3220,5,FALSE))</f>
        <v>22786</v>
      </c>
    </row>
    <row r="87">
      <c r="A87" s="47" t="s">
        <v>1994</v>
      </c>
      <c r="B87" s="47">
        <v>1113.0</v>
      </c>
      <c r="C87" s="47">
        <v>3.0</v>
      </c>
      <c r="D87" s="47" t="s">
        <v>4044</v>
      </c>
      <c r="E87" s="47" t="str">
        <f t="shared" si="1"/>
        <v>3A</v>
      </c>
      <c r="F87" s="47" t="s">
        <v>4045</v>
      </c>
      <c r="G87" s="47" t="s">
        <v>159</v>
      </c>
      <c r="H87" s="48">
        <f>IF(NOT(ISBLANK(vlookup(B87,Pop_Census_2023!$A$2:$E$3220,4,FALSE))),vlookup(B87,Pop_Census_2023!$A$2:$E$3220,4,FALSE), vlookup(B87,Pop_Census_2023!$A$2:$E$3220,5,FALSE))</f>
        <v>58744</v>
      </c>
    </row>
    <row r="88">
      <c r="A88" s="47" t="s">
        <v>1994</v>
      </c>
      <c r="B88" s="47">
        <v>1117.0</v>
      </c>
      <c r="C88" s="47">
        <v>3.0</v>
      </c>
      <c r="D88" s="47" t="s">
        <v>4044</v>
      </c>
      <c r="E88" s="47" t="str">
        <f t="shared" si="1"/>
        <v>3A</v>
      </c>
      <c r="F88" s="47" t="s">
        <v>4046</v>
      </c>
      <c r="G88" s="47" t="s">
        <v>161</v>
      </c>
      <c r="H88" s="48">
        <f>IF(NOT(ISBLANK(vlookup(B88,Pop_Census_2023!$A$2:$E$3220,4,FALSE))),vlookup(B88,Pop_Census_2023!$A$2:$E$3220,4,FALSE), vlookup(B88,Pop_Census_2023!$A$2:$E$3220,5,FALSE))</f>
        <v>233000</v>
      </c>
    </row>
    <row r="89">
      <c r="A89" s="47" t="s">
        <v>1994</v>
      </c>
      <c r="B89" s="47">
        <v>1115.0</v>
      </c>
      <c r="C89" s="47">
        <v>3.0</v>
      </c>
      <c r="D89" s="47" t="s">
        <v>4044</v>
      </c>
      <c r="E89" s="47" t="str">
        <f t="shared" si="1"/>
        <v>3A</v>
      </c>
      <c r="F89" s="47" t="s">
        <v>4046</v>
      </c>
      <c r="G89" s="47" t="s">
        <v>160</v>
      </c>
      <c r="H89" s="48">
        <f>IF(NOT(ISBLANK(vlookup(B89,Pop_Census_2023!$A$2:$E$3220,4,FALSE))),vlookup(B89,Pop_Census_2023!$A$2:$E$3220,4,FALSE), vlookup(B89,Pop_Census_2023!$A$2:$E$3220,5,FALSE))</f>
        <v>95552</v>
      </c>
    </row>
    <row r="90">
      <c r="A90" s="47" t="s">
        <v>1994</v>
      </c>
      <c r="B90" s="47">
        <v>1119.0</v>
      </c>
      <c r="C90" s="47">
        <v>3.0</v>
      </c>
      <c r="D90" s="47" t="s">
        <v>4044</v>
      </c>
      <c r="E90" s="47" t="str">
        <f t="shared" si="1"/>
        <v>3A</v>
      </c>
      <c r="F90" s="47" t="s">
        <v>4046</v>
      </c>
      <c r="G90" s="47" t="s">
        <v>162</v>
      </c>
      <c r="H90" s="48">
        <f>IF(NOT(ISBLANK(vlookup(B90,Pop_Census_2023!$A$2:$E$3220,4,FALSE))),vlookup(B90,Pop_Census_2023!$A$2:$E$3220,4,FALSE), vlookup(B90,Pop_Census_2023!$A$2:$E$3220,5,FALSE))</f>
        <v>11727</v>
      </c>
    </row>
    <row r="91">
      <c r="A91" s="47" t="s">
        <v>1994</v>
      </c>
      <c r="B91" s="47">
        <v>1121.0</v>
      </c>
      <c r="C91" s="47">
        <v>3.0</v>
      </c>
      <c r="D91" s="47" t="s">
        <v>4044</v>
      </c>
      <c r="E91" s="47" t="str">
        <f t="shared" si="1"/>
        <v>3A</v>
      </c>
      <c r="F91" s="47" t="s">
        <v>4046</v>
      </c>
      <c r="G91" s="47" t="s">
        <v>163</v>
      </c>
      <c r="H91" s="48">
        <f>IF(NOT(ISBLANK(vlookup(B91,Pop_Census_2023!$A$2:$E$3220,4,FALSE))),vlookup(B91,Pop_Census_2023!$A$2:$E$3220,4,FALSE), vlookup(B91,Pop_Census_2023!$A$2:$E$3220,5,FALSE))</f>
        <v>81132</v>
      </c>
    </row>
    <row r="92">
      <c r="A92" s="47" t="s">
        <v>1994</v>
      </c>
      <c r="B92" s="47">
        <v>1123.0</v>
      </c>
      <c r="C92" s="47">
        <v>3.0</v>
      </c>
      <c r="D92" s="47" t="s">
        <v>4044</v>
      </c>
      <c r="E92" s="47" t="str">
        <f t="shared" si="1"/>
        <v>3A</v>
      </c>
      <c r="F92" s="47" t="s">
        <v>4046</v>
      </c>
      <c r="G92" s="47" t="s">
        <v>164</v>
      </c>
      <c r="H92" s="48">
        <f>IF(NOT(ISBLANK(vlookup(B92,Pop_Census_2023!$A$2:$E$3220,4,FALSE))),vlookup(B92,Pop_Census_2023!$A$2:$E$3220,4,FALSE), vlookup(B92,Pop_Census_2023!$A$2:$E$3220,5,FALSE))</f>
        <v>40677</v>
      </c>
    </row>
    <row r="93">
      <c r="A93" s="47" t="s">
        <v>1994</v>
      </c>
      <c r="B93" s="47">
        <v>1125.0</v>
      </c>
      <c r="C93" s="47">
        <v>3.0</v>
      </c>
      <c r="D93" s="47" t="s">
        <v>4044</v>
      </c>
      <c r="E93" s="47" t="str">
        <f t="shared" si="1"/>
        <v>3A</v>
      </c>
      <c r="F93" s="47" t="s">
        <v>4046</v>
      </c>
      <c r="G93" s="47" t="s">
        <v>165</v>
      </c>
      <c r="H93" s="48">
        <f>IF(NOT(ISBLANK(vlookup(B93,Pop_Census_2023!$A$2:$E$3220,4,FALSE))),vlookup(B93,Pop_Census_2023!$A$2:$E$3220,4,FALSE), vlookup(B93,Pop_Census_2023!$A$2:$E$3220,5,FALSE))</f>
        <v>237373</v>
      </c>
    </row>
    <row r="94">
      <c r="A94" s="47" t="s">
        <v>1994</v>
      </c>
      <c r="B94" s="47">
        <v>1127.0</v>
      </c>
      <c r="C94" s="47">
        <v>3.0</v>
      </c>
      <c r="D94" s="47" t="s">
        <v>4044</v>
      </c>
      <c r="E94" s="47" t="str">
        <f t="shared" si="1"/>
        <v>3A</v>
      </c>
      <c r="F94" s="47" t="s">
        <v>4046</v>
      </c>
      <c r="G94" s="47" t="s">
        <v>166</v>
      </c>
      <c r="H94" s="48">
        <f>IF(NOT(ISBLANK(vlookup(B94,Pop_Census_2023!$A$2:$E$3220,4,FALSE))),vlookup(B94,Pop_Census_2023!$A$2:$E$3220,4,FALSE), vlookup(B94,Pop_Census_2023!$A$2:$E$3220,5,FALSE))</f>
        <v>64728</v>
      </c>
    </row>
    <row r="95">
      <c r="A95" s="47" t="s">
        <v>1994</v>
      </c>
      <c r="B95" s="47">
        <v>1129.0</v>
      </c>
      <c r="C95" s="47">
        <v>3.0</v>
      </c>
      <c r="D95" s="47" t="s">
        <v>4044</v>
      </c>
      <c r="E95" s="47" t="str">
        <f t="shared" si="1"/>
        <v>3A</v>
      </c>
      <c r="F95" s="47" t="s">
        <v>4045</v>
      </c>
      <c r="G95" s="47" t="s">
        <v>167</v>
      </c>
      <c r="H95" s="48">
        <f>IF(NOT(ISBLANK(vlookup(B95,Pop_Census_2023!$A$2:$E$3220,4,FALSE))),vlookup(B95,Pop_Census_2023!$A$2:$E$3220,4,FALSE), vlookup(B95,Pop_Census_2023!$A$2:$E$3220,5,FALSE))</f>
        <v>15022</v>
      </c>
    </row>
    <row r="96">
      <c r="A96" s="47" t="s">
        <v>1994</v>
      </c>
      <c r="B96" s="47">
        <v>1131.0</v>
      </c>
      <c r="C96" s="47">
        <v>3.0</v>
      </c>
      <c r="D96" s="47" t="s">
        <v>4044</v>
      </c>
      <c r="E96" s="47" t="str">
        <f t="shared" si="1"/>
        <v>3A</v>
      </c>
      <c r="F96" s="47" t="s">
        <v>4045</v>
      </c>
      <c r="G96" s="47" t="s">
        <v>168</v>
      </c>
      <c r="H96" s="48">
        <f>IF(NOT(ISBLANK(vlookup(B96,Pop_Census_2023!$A$2:$E$3220,4,FALSE))),vlookup(B96,Pop_Census_2023!$A$2:$E$3220,4,FALSE), vlookup(B96,Pop_Census_2023!$A$2:$E$3220,5,FALSE))</f>
        <v>9944</v>
      </c>
    </row>
    <row r="97">
      <c r="A97" s="47" t="s">
        <v>1994</v>
      </c>
      <c r="B97" s="47">
        <v>1133.0</v>
      </c>
      <c r="C97" s="47">
        <v>3.0</v>
      </c>
      <c r="D97" s="47" t="s">
        <v>4044</v>
      </c>
      <c r="E97" s="47" t="str">
        <f t="shared" si="1"/>
        <v>3A</v>
      </c>
      <c r="F97" s="47" t="s">
        <v>4046</v>
      </c>
      <c r="G97" s="47" t="s">
        <v>169</v>
      </c>
      <c r="H97" s="48">
        <f>IF(NOT(ISBLANK(vlookup(B97,Pop_Census_2023!$A$2:$E$3220,4,FALSE))),vlookup(B97,Pop_Census_2023!$A$2:$E$3220,4,FALSE), vlookup(B97,Pop_Census_2023!$A$2:$E$3220,5,FALSE))</f>
        <v>23611</v>
      </c>
    </row>
    <row r="98">
      <c r="A98" s="47" t="s">
        <v>2079</v>
      </c>
      <c r="B98" s="47">
        <v>5001.0</v>
      </c>
      <c r="C98" s="47">
        <v>3.0</v>
      </c>
      <c r="D98" s="47" t="s">
        <v>4044</v>
      </c>
      <c r="E98" s="47" t="str">
        <f t="shared" si="1"/>
        <v>3A</v>
      </c>
      <c r="F98" s="47" t="s">
        <v>4046</v>
      </c>
      <c r="G98" s="47" t="s">
        <v>220</v>
      </c>
      <c r="H98" s="48">
        <f>IF(NOT(ISBLANK(vlookup(B98,Pop_Census_2023!$A$2:$E$3220,4,FALSE))),vlookup(B98,Pop_Census_2023!$A$2:$E$3220,4,FALSE), vlookup(B98,Pop_Census_2023!$A$2:$E$3220,5,FALSE))</f>
        <v>16307</v>
      </c>
    </row>
    <row r="99">
      <c r="A99" s="47" t="s">
        <v>2079</v>
      </c>
      <c r="B99" s="47">
        <v>5003.0</v>
      </c>
      <c r="C99" s="47">
        <v>3.0</v>
      </c>
      <c r="D99" s="47" t="s">
        <v>4044</v>
      </c>
      <c r="E99" s="47" t="str">
        <f t="shared" si="1"/>
        <v>3A</v>
      </c>
      <c r="F99" s="47" t="s">
        <v>4046</v>
      </c>
      <c r="G99" s="47" t="s">
        <v>221</v>
      </c>
      <c r="H99" s="48">
        <f>IF(NOT(ISBLANK(vlookup(B99,Pop_Census_2023!$A$2:$E$3220,4,FALSE))),vlookup(B99,Pop_Census_2023!$A$2:$E$3220,4,FALSE), vlookup(B99,Pop_Census_2023!$A$2:$E$3220,5,FALSE))</f>
        <v>18262</v>
      </c>
    </row>
    <row r="100">
      <c r="A100" s="47" t="s">
        <v>2079</v>
      </c>
      <c r="B100" s="47">
        <v>5005.0</v>
      </c>
      <c r="C100" s="47">
        <v>4.0</v>
      </c>
      <c r="D100" s="47" t="s">
        <v>4044</v>
      </c>
      <c r="E100" s="47" t="str">
        <f t="shared" si="1"/>
        <v>4A</v>
      </c>
      <c r="F100" s="47" t="s">
        <v>4046</v>
      </c>
      <c r="G100" s="47" t="s">
        <v>222</v>
      </c>
      <c r="H100" s="48">
        <f>IF(NOT(ISBLANK(vlookup(B100,Pop_Census_2023!$A$2:$E$3220,4,FALSE))),vlookup(B100,Pop_Census_2023!$A$2:$E$3220,4,FALSE), vlookup(B100,Pop_Census_2023!$A$2:$E$3220,5,FALSE))</f>
        <v>42875</v>
      </c>
    </row>
    <row r="101">
      <c r="A101" s="47" t="s">
        <v>2079</v>
      </c>
      <c r="B101" s="47">
        <v>5007.0</v>
      </c>
      <c r="C101" s="47">
        <v>4.0</v>
      </c>
      <c r="D101" s="47" t="s">
        <v>4044</v>
      </c>
      <c r="E101" s="47" t="str">
        <f t="shared" si="1"/>
        <v>4A</v>
      </c>
      <c r="F101" s="47" t="s">
        <v>4046</v>
      </c>
      <c r="G101" s="47" t="s">
        <v>224</v>
      </c>
      <c r="H101" s="48">
        <f>IF(NOT(ISBLANK(vlookup(B101,Pop_Census_2023!$A$2:$E$3220,4,FALSE))),vlookup(B101,Pop_Census_2023!$A$2:$E$3220,4,FALSE), vlookup(B101,Pop_Census_2023!$A$2:$E$3220,5,FALSE))</f>
        <v>311013</v>
      </c>
    </row>
    <row r="102">
      <c r="A102" s="47" t="s">
        <v>2079</v>
      </c>
      <c r="B102" s="47">
        <v>5009.0</v>
      </c>
      <c r="C102" s="47">
        <v>4.0</v>
      </c>
      <c r="D102" s="47" t="s">
        <v>4044</v>
      </c>
      <c r="E102" s="47" t="str">
        <f t="shared" si="1"/>
        <v>4A</v>
      </c>
      <c r="F102" s="47" t="s">
        <v>4046</v>
      </c>
      <c r="G102" s="47" t="s">
        <v>225</v>
      </c>
      <c r="H102" s="48">
        <f>IF(NOT(ISBLANK(vlookup(B102,Pop_Census_2023!$A$2:$E$3220,4,FALSE))),vlookup(B102,Pop_Census_2023!$A$2:$E$3220,4,FALSE), vlookup(B102,Pop_Census_2023!$A$2:$E$3220,5,FALSE))</f>
        <v>38530</v>
      </c>
    </row>
    <row r="103">
      <c r="A103" s="47" t="s">
        <v>2079</v>
      </c>
      <c r="B103" s="47">
        <v>5011.0</v>
      </c>
      <c r="C103" s="47">
        <v>3.0</v>
      </c>
      <c r="D103" s="47" t="s">
        <v>4044</v>
      </c>
      <c r="E103" s="47" t="str">
        <f t="shared" si="1"/>
        <v>3A</v>
      </c>
      <c r="F103" s="47" t="s">
        <v>4046</v>
      </c>
      <c r="G103" s="47" t="s">
        <v>226</v>
      </c>
      <c r="H103" s="48">
        <f>IF(NOT(ISBLANK(vlookup(B103,Pop_Census_2023!$A$2:$E$3220,4,FALSE))),vlookup(B103,Pop_Census_2023!$A$2:$E$3220,4,FALSE), vlookup(B103,Pop_Census_2023!$A$2:$E$3220,5,FALSE))</f>
        <v>10104</v>
      </c>
    </row>
    <row r="104">
      <c r="A104" s="47" t="s">
        <v>2079</v>
      </c>
      <c r="B104" s="47">
        <v>5013.0</v>
      </c>
      <c r="C104" s="47">
        <v>3.0</v>
      </c>
      <c r="D104" s="47" t="s">
        <v>4044</v>
      </c>
      <c r="E104" s="47" t="str">
        <f t="shared" si="1"/>
        <v>3A</v>
      </c>
      <c r="F104" s="47" t="s">
        <v>4046</v>
      </c>
      <c r="G104" s="47" t="s">
        <v>110</v>
      </c>
      <c r="H104" s="48">
        <f>IF(NOT(ISBLANK(vlookup(B104,Pop_Census_2023!$A$2:$E$3220,4,FALSE))),vlookup(B104,Pop_Census_2023!$A$2:$E$3220,4,FALSE), vlookup(B104,Pop_Census_2023!$A$2:$E$3220,5,FALSE))</f>
        <v>4641</v>
      </c>
    </row>
    <row r="105">
      <c r="A105" s="47" t="s">
        <v>2079</v>
      </c>
      <c r="B105" s="47">
        <v>5015.0</v>
      </c>
      <c r="C105" s="47">
        <v>4.0</v>
      </c>
      <c r="D105" s="47" t="s">
        <v>4044</v>
      </c>
      <c r="E105" s="47" t="str">
        <f t="shared" si="1"/>
        <v>4A</v>
      </c>
      <c r="F105" s="47" t="s">
        <v>4046</v>
      </c>
      <c r="G105" s="47" t="s">
        <v>227</v>
      </c>
      <c r="H105" s="48">
        <f>IF(NOT(ISBLANK(vlookup(B105,Pop_Census_2023!$A$2:$E$3220,4,FALSE))),vlookup(B105,Pop_Census_2023!$A$2:$E$3220,4,FALSE), vlookup(B105,Pop_Census_2023!$A$2:$E$3220,5,FALSE))</f>
        <v>28814</v>
      </c>
    </row>
    <row r="106">
      <c r="A106" s="47" t="s">
        <v>2079</v>
      </c>
      <c r="B106" s="47">
        <v>5017.0</v>
      </c>
      <c r="C106" s="47">
        <v>3.0</v>
      </c>
      <c r="D106" s="47" t="s">
        <v>4044</v>
      </c>
      <c r="E106" s="47" t="str">
        <f t="shared" si="1"/>
        <v>3A</v>
      </c>
      <c r="F106" s="47" t="s">
        <v>4046</v>
      </c>
      <c r="G106" s="47" t="s">
        <v>228</v>
      </c>
      <c r="H106" s="48">
        <f>IF(NOT(ISBLANK(vlookup(B106,Pop_Census_2023!$A$2:$E$3220,4,FALSE))),vlookup(B106,Pop_Census_2023!$A$2:$E$3220,4,FALSE), vlookup(B106,Pop_Census_2023!$A$2:$E$3220,5,FALSE))</f>
        <v>9538</v>
      </c>
    </row>
    <row r="107">
      <c r="A107" s="47" t="s">
        <v>2079</v>
      </c>
      <c r="B107" s="47">
        <v>5019.0</v>
      </c>
      <c r="C107" s="47">
        <v>3.0</v>
      </c>
      <c r="D107" s="47" t="s">
        <v>4044</v>
      </c>
      <c r="E107" s="47" t="str">
        <f t="shared" si="1"/>
        <v>3A</v>
      </c>
      <c r="F107" s="47" t="s">
        <v>4046</v>
      </c>
      <c r="G107" s="47" t="s">
        <v>229</v>
      </c>
      <c r="H107" s="48">
        <f>IF(NOT(ISBLANK(vlookup(B107,Pop_Census_2023!$A$2:$E$3220,4,FALSE))),vlookup(B107,Pop_Census_2023!$A$2:$E$3220,4,FALSE), vlookup(B107,Pop_Census_2023!$A$2:$E$3220,5,FALSE))</f>
        <v>21274</v>
      </c>
    </row>
    <row r="108">
      <c r="A108" s="47" t="s">
        <v>2079</v>
      </c>
      <c r="B108" s="47">
        <v>5021.0</v>
      </c>
      <c r="C108" s="47">
        <v>3.0</v>
      </c>
      <c r="D108" s="47" t="s">
        <v>4044</v>
      </c>
      <c r="E108" s="47" t="str">
        <f t="shared" si="1"/>
        <v>3A</v>
      </c>
      <c r="F108" s="47" t="s">
        <v>4046</v>
      </c>
      <c r="G108" s="47" t="s">
        <v>116</v>
      </c>
      <c r="H108" s="48">
        <f>IF(NOT(ISBLANK(vlookup(B108,Pop_Census_2023!$A$2:$E$3220,4,FALSE))),vlookup(B108,Pop_Census_2023!$A$2:$E$3220,4,FALSE), vlookup(B108,Pop_Census_2023!$A$2:$E$3220,5,FALSE))</f>
        <v>14201</v>
      </c>
    </row>
    <row r="109">
      <c r="A109" s="47" t="s">
        <v>2079</v>
      </c>
      <c r="B109" s="47">
        <v>5023.0</v>
      </c>
      <c r="C109" s="47">
        <v>3.0</v>
      </c>
      <c r="D109" s="47" t="s">
        <v>4044</v>
      </c>
      <c r="E109" s="47" t="str">
        <f t="shared" si="1"/>
        <v>3A</v>
      </c>
      <c r="F109" s="47" t="s">
        <v>4046</v>
      </c>
      <c r="G109" s="47" t="s">
        <v>117</v>
      </c>
      <c r="H109" s="48">
        <f>IF(NOT(ISBLANK(vlookup(B109,Pop_Census_2023!$A$2:$E$3220,4,FALSE))),vlookup(B109,Pop_Census_2023!$A$2:$E$3220,4,FALSE), vlookup(B109,Pop_Census_2023!$A$2:$E$3220,5,FALSE))</f>
        <v>25445</v>
      </c>
    </row>
    <row r="110">
      <c r="A110" s="47" t="s">
        <v>2079</v>
      </c>
      <c r="B110" s="47">
        <v>5025.0</v>
      </c>
      <c r="C110" s="47">
        <v>3.0</v>
      </c>
      <c r="D110" s="47" t="s">
        <v>4044</v>
      </c>
      <c r="E110" s="47" t="str">
        <f t="shared" si="1"/>
        <v>3A</v>
      </c>
      <c r="F110" s="47" t="s">
        <v>4046</v>
      </c>
      <c r="G110" s="47" t="s">
        <v>230</v>
      </c>
      <c r="H110" s="48">
        <f>IF(NOT(ISBLANK(vlookup(B110,Pop_Census_2023!$A$2:$E$3220,4,FALSE))),vlookup(B110,Pop_Census_2023!$A$2:$E$3220,4,FALSE), vlookup(B110,Pop_Census_2023!$A$2:$E$3220,5,FALSE))</f>
        <v>7378</v>
      </c>
    </row>
    <row r="111">
      <c r="A111" s="47" t="s">
        <v>2079</v>
      </c>
      <c r="B111" s="47">
        <v>5027.0</v>
      </c>
      <c r="C111" s="47">
        <v>3.0</v>
      </c>
      <c r="D111" s="47" t="s">
        <v>4044</v>
      </c>
      <c r="E111" s="47" t="str">
        <f t="shared" si="1"/>
        <v>3A</v>
      </c>
      <c r="F111" s="47" t="s">
        <v>4045</v>
      </c>
      <c r="G111" s="47" t="s">
        <v>231</v>
      </c>
      <c r="H111" s="48">
        <f>IF(NOT(ISBLANK(vlookup(B111,Pop_Census_2023!$A$2:$E$3220,4,FALSE))),vlookup(B111,Pop_Census_2023!$A$2:$E$3220,4,FALSE), vlookup(B111,Pop_Census_2023!$A$2:$E$3220,5,FALSE))</f>
        <v>22150</v>
      </c>
    </row>
    <row r="112">
      <c r="A112" s="47" t="s">
        <v>2079</v>
      </c>
      <c r="B112" s="47">
        <v>5029.0</v>
      </c>
      <c r="C112" s="47">
        <v>3.0</v>
      </c>
      <c r="D112" s="47" t="s">
        <v>4044</v>
      </c>
      <c r="E112" s="47" t="str">
        <f t="shared" si="1"/>
        <v>3A</v>
      </c>
      <c r="F112" s="47" t="s">
        <v>4046</v>
      </c>
      <c r="G112" s="47" t="s">
        <v>232</v>
      </c>
      <c r="H112" s="48">
        <f>IF(NOT(ISBLANK(vlookup(B112,Pop_Census_2023!$A$2:$E$3220,4,FALSE))),vlookup(B112,Pop_Census_2023!$A$2:$E$3220,4,FALSE), vlookup(B112,Pop_Census_2023!$A$2:$E$3220,5,FALSE))</f>
        <v>21077</v>
      </c>
    </row>
    <row r="113">
      <c r="A113" s="47" t="s">
        <v>2079</v>
      </c>
      <c r="B113" s="47">
        <v>5031.0</v>
      </c>
      <c r="C113" s="47">
        <v>3.0</v>
      </c>
      <c r="D113" s="47" t="s">
        <v>4044</v>
      </c>
      <c r="E113" s="47" t="str">
        <f t="shared" si="1"/>
        <v>3A</v>
      </c>
      <c r="F113" s="47" t="s">
        <v>4046</v>
      </c>
      <c r="G113" s="47" t="s">
        <v>233</v>
      </c>
      <c r="H113" s="48">
        <f>IF(NOT(ISBLANK(vlookup(B113,Pop_Census_2023!$A$2:$E$3220,4,FALSE))),vlookup(B113,Pop_Census_2023!$A$2:$E$3220,4,FALSE), vlookup(B113,Pop_Census_2023!$A$2:$E$3220,5,FALSE))</f>
        <v>113993</v>
      </c>
    </row>
    <row r="114">
      <c r="A114" s="47" t="s">
        <v>2079</v>
      </c>
      <c r="B114" s="47">
        <v>5033.0</v>
      </c>
      <c r="C114" s="47">
        <v>3.0</v>
      </c>
      <c r="D114" s="47" t="s">
        <v>4044</v>
      </c>
      <c r="E114" s="47" t="str">
        <f t="shared" si="1"/>
        <v>3A</v>
      </c>
      <c r="F114" s="47" t="s">
        <v>4046</v>
      </c>
      <c r="G114" s="47" t="s">
        <v>234</v>
      </c>
      <c r="H114" s="48">
        <f>IF(NOT(ISBLANK(vlookup(B114,Pop_Census_2023!$A$2:$E$3220,4,FALSE))),vlookup(B114,Pop_Census_2023!$A$2:$E$3220,4,FALSE), vlookup(B114,Pop_Census_2023!$A$2:$E$3220,5,FALSE))</f>
        <v>61891</v>
      </c>
    </row>
    <row r="115">
      <c r="A115" s="47" t="s">
        <v>2079</v>
      </c>
      <c r="B115" s="47">
        <v>5035.0</v>
      </c>
      <c r="C115" s="47">
        <v>3.0</v>
      </c>
      <c r="D115" s="47" t="s">
        <v>4044</v>
      </c>
      <c r="E115" s="47" t="str">
        <f t="shared" si="1"/>
        <v>3A</v>
      </c>
      <c r="F115" s="47" t="s">
        <v>4046</v>
      </c>
      <c r="G115" s="47" t="s">
        <v>235</v>
      </c>
      <c r="H115" s="48">
        <f>IF(NOT(ISBLANK(vlookup(B115,Pop_Census_2023!$A$2:$E$3220,4,FALSE))),vlookup(B115,Pop_Census_2023!$A$2:$E$3220,4,FALSE), vlookup(B115,Pop_Census_2023!$A$2:$E$3220,5,FALSE))</f>
        <v>47139</v>
      </c>
    </row>
    <row r="116">
      <c r="A116" s="47" t="s">
        <v>2079</v>
      </c>
      <c r="B116" s="47">
        <v>5037.0</v>
      </c>
      <c r="C116" s="47">
        <v>3.0</v>
      </c>
      <c r="D116" s="47" t="s">
        <v>4044</v>
      </c>
      <c r="E116" s="47" t="str">
        <f t="shared" si="1"/>
        <v>3A</v>
      </c>
      <c r="F116" s="47" t="s">
        <v>4046</v>
      </c>
      <c r="G116" s="47" t="s">
        <v>236</v>
      </c>
      <c r="H116" s="48">
        <f>IF(NOT(ISBLANK(vlookup(B116,Pop_Census_2023!$A$2:$E$3220,4,FALSE))),vlookup(B116,Pop_Census_2023!$A$2:$E$3220,4,FALSE), vlookup(B116,Pop_Census_2023!$A$2:$E$3220,5,FALSE))</f>
        <v>16420</v>
      </c>
    </row>
    <row r="117">
      <c r="A117" s="47" t="s">
        <v>2079</v>
      </c>
      <c r="B117" s="47">
        <v>5039.0</v>
      </c>
      <c r="C117" s="47">
        <v>3.0</v>
      </c>
      <c r="D117" s="47" t="s">
        <v>4044</v>
      </c>
      <c r="E117" s="47" t="str">
        <f t="shared" si="1"/>
        <v>3A</v>
      </c>
      <c r="F117" s="47" t="s">
        <v>4046</v>
      </c>
      <c r="G117" s="47" t="s">
        <v>126</v>
      </c>
      <c r="H117" s="48">
        <f>IF(NOT(ISBLANK(vlookup(B117,Pop_Census_2023!$A$2:$E$3220,4,FALSE))),vlookup(B117,Pop_Census_2023!$A$2:$E$3220,4,FALSE), vlookup(B117,Pop_Census_2023!$A$2:$E$3220,5,FALSE))</f>
        <v>6185</v>
      </c>
    </row>
    <row r="118">
      <c r="A118" s="47" t="s">
        <v>2079</v>
      </c>
      <c r="B118" s="47">
        <v>5041.0</v>
      </c>
      <c r="C118" s="47">
        <v>3.0</v>
      </c>
      <c r="D118" s="47" t="s">
        <v>4044</v>
      </c>
      <c r="E118" s="47" t="str">
        <f t="shared" si="1"/>
        <v>3A</v>
      </c>
      <c r="F118" s="47" t="s">
        <v>4046</v>
      </c>
      <c r="G118" s="47" t="s">
        <v>237</v>
      </c>
      <c r="H118" s="48">
        <f>IF(NOT(ISBLANK(vlookup(B118,Pop_Census_2023!$A$2:$E$3220,4,FALSE))),vlookup(B118,Pop_Census_2023!$A$2:$E$3220,4,FALSE), vlookup(B118,Pop_Census_2023!$A$2:$E$3220,5,FALSE))</f>
        <v>10479</v>
      </c>
    </row>
    <row r="119">
      <c r="A119" s="47" t="s">
        <v>2079</v>
      </c>
      <c r="B119" s="47">
        <v>5043.0</v>
      </c>
      <c r="C119" s="47">
        <v>3.0</v>
      </c>
      <c r="D119" s="47" t="s">
        <v>4044</v>
      </c>
      <c r="E119" s="47" t="str">
        <f t="shared" si="1"/>
        <v>3A</v>
      </c>
      <c r="F119" s="47" t="s">
        <v>4046</v>
      </c>
      <c r="G119" s="47" t="s">
        <v>238</v>
      </c>
      <c r="H119" s="48">
        <f>IF(NOT(ISBLANK(vlookup(B119,Pop_Census_2023!$A$2:$E$3220,4,FALSE))),vlookup(B119,Pop_Census_2023!$A$2:$E$3220,4,FALSE), vlookup(B119,Pop_Census_2023!$A$2:$E$3220,5,FALSE))</f>
        <v>16945</v>
      </c>
    </row>
    <row r="120">
      <c r="A120" s="47" t="s">
        <v>2079</v>
      </c>
      <c r="B120" s="47">
        <v>5045.0</v>
      </c>
      <c r="C120" s="47">
        <v>3.0</v>
      </c>
      <c r="D120" s="47" t="s">
        <v>4044</v>
      </c>
      <c r="E120" s="47" t="str">
        <f t="shared" si="1"/>
        <v>3A</v>
      </c>
      <c r="F120" s="47" t="s">
        <v>4046</v>
      </c>
      <c r="G120" s="47" t="s">
        <v>239</v>
      </c>
      <c r="H120" s="48">
        <f>IF(NOT(ISBLANK(vlookup(B120,Pop_Census_2023!$A$2:$E$3220,4,FALSE))),vlookup(B120,Pop_Census_2023!$A$2:$E$3220,4,FALSE), vlookup(B120,Pop_Census_2023!$A$2:$E$3220,5,FALSE))</f>
        <v>129951</v>
      </c>
    </row>
    <row r="121">
      <c r="A121" s="47" t="s">
        <v>2079</v>
      </c>
      <c r="B121" s="47">
        <v>5047.0</v>
      </c>
      <c r="C121" s="47">
        <v>3.0</v>
      </c>
      <c r="D121" s="47" t="s">
        <v>4044</v>
      </c>
      <c r="E121" s="47" t="str">
        <f t="shared" si="1"/>
        <v>3A</v>
      </c>
      <c r="F121" s="47" t="s">
        <v>4046</v>
      </c>
      <c r="G121" s="47" t="s">
        <v>132</v>
      </c>
      <c r="H121" s="48">
        <f>IF(NOT(ISBLANK(vlookup(B121,Pop_Census_2023!$A$2:$E$3220,4,FALSE))),vlookup(B121,Pop_Census_2023!$A$2:$E$3220,4,FALSE), vlookup(B121,Pop_Census_2023!$A$2:$E$3220,5,FALSE))</f>
        <v>17468</v>
      </c>
    </row>
    <row r="122">
      <c r="A122" s="47" t="s">
        <v>2079</v>
      </c>
      <c r="B122" s="47">
        <v>5049.0</v>
      </c>
      <c r="C122" s="47">
        <v>4.0</v>
      </c>
      <c r="D122" s="47" t="s">
        <v>4044</v>
      </c>
      <c r="E122" s="47" t="str">
        <f t="shared" si="1"/>
        <v>4A</v>
      </c>
      <c r="F122" s="47" t="s">
        <v>4046</v>
      </c>
      <c r="G122" s="47" t="s">
        <v>240</v>
      </c>
      <c r="H122" s="48">
        <f>IF(NOT(ISBLANK(vlookup(B122,Pop_Census_2023!$A$2:$E$3220,4,FALSE))),vlookup(B122,Pop_Census_2023!$A$2:$E$3220,4,FALSE), vlookup(B122,Pop_Census_2023!$A$2:$E$3220,5,FALSE))</f>
        <v>12421</v>
      </c>
    </row>
    <row r="123">
      <c r="A123" s="47" t="s">
        <v>2079</v>
      </c>
      <c r="B123" s="47">
        <v>5051.0</v>
      </c>
      <c r="C123" s="47">
        <v>3.0</v>
      </c>
      <c r="D123" s="47" t="s">
        <v>4044</v>
      </c>
      <c r="E123" s="47" t="str">
        <f t="shared" si="1"/>
        <v>3A</v>
      </c>
      <c r="F123" s="47" t="s">
        <v>4046</v>
      </c>
      <c r="G123" s="47" t="s">
        <v>241</v>
      </c>
      <c r="H123" s="48">
        <f>IF(NOT(ISBLANK(vlookup(B123,Pop_Census_2023!$A$2:$E$3220,4,FALSE))),vlookup(B123,Pop_Census_2023!$A$2:$E$3220,4,FALSE), vlookup(B123,Pop_Census_2023!$A$2:$E$3220,5,FALSE))</f>
        <v>99784</v>
      </c>
    </row>
    <row r="124">
      <c r="A124" s="47" t="s">
        <v>2079</v>
      </c>
      <c r="B124" s="47">
        <v>5053.0</v>
      </c>
      <c r="C124" s="47">
        <v>3.0</v>
      </c>
      <c r="D124" s="47" t="s">
        <v>4044</v>
      </c>
      <c r="E124" s="47" t="str">
        <f t="shared" si="1"/>
        <v>3A</v>
      </c>
      <c r="F124" s="47" t="s">
        <v>4046</v>
      </c>
      <c r="G124" s="47" t="s">
        <v>242</v>
      </c>
      <c r="H124" s="48">
        <f>IF(NOT(ISBLANK(vlookup(B124,Pop_Census_2023!$A$2:$E$3220,4,FALSE))),vlookup(B124,Pop_Census_2023!$A$2:$E$3220,4,FALSE), vlookup(B124,Pop_Census_2023!$A$2:$E$3220,5,FALSE))</f>
        <v>18383</v>
      </c>
    </row>
    <row r="125">
      <c r="A125" s="47" t="s">
        <v>2079</v>
      </c>
      <c r="B125" s="47">
        <v>5055.0</v>
      </c>
      <c r="C125" s="47">
        <v>3.0</v>
      </c>
      <c r="D125" s="47" t="s">
        <v>4044</v>
      </c>
      <c r="E125" s="47" t="str">
        <f t="shared" si="1"/>
        <v>3A</v>
      </c>
      <c r="F125" s="47" t="s">
        <v>4046</v>
      </c>
      <c r="G125" s="47" t="s">
        <v>134</v>
      </c>
      <c r="H125" s="48">
        <f>IF(NOT(ISBLANK(vlookup(B125,Pop_Census_2023!$A$2:$E$3220,4,FALSE))),vlookup(B125,Pop_Census_2023!$A$2:$E$3220,4,FALSE), vlookup(B125,Pop_Census_2023!$A$2:$E$3220,5,FALSE))</f>
        <v>46743</v>
      </c>
    </row>
    <row r="126">
      <c r="A126" s="47" t="s">
        <v>2079</v>
      </c>
      <c r="B126" s="47">
        <v>5057.0</v>
      </c>
      <c r="C126" s="47">
        <v>3.0</v>
      </c>
      <c r="D126" s="47" t="s">
        <v>4044</v>
      </c>
      <c r="E126" s="47" t="str">
        <f t="shared" si="1"/>
        <v>3A</v>
      </c>
      <c r="F126" s="47" t="s">
        <v>4046</v>
      </c>
      <c r="G126" s="47" t="s">
        <v>243</v>
      </c>
      <c r="H126" s="48">
        <f>IF(NOT(ISBLANK(vlookup(B126,Pop_Census_2023!$A$2:$E$3220,4,FALSE))),vlookup(B126,Pop_Census_2023!$A$2:$E$3220,4,FALSE), vlookup(B126,Pop_Census_2023!$A$2:$E$3220,5,FALSE))</f>
        <v>19343</v>
      </c>
    </row>
    <row r="127">
      <c r="A127" s="47" t="s">
        <v>2079</v>
      </c>
      <c r="B127" s="47">
        <v>5059.0</v>
      </c>
      <c r="C127" s="47">
        <v>3.0</v>
      </c>
      <c r="D127" s="47" t="s">
        <v>4044</v>
      </c>
      <c r="E127" s="47" t="str">
        <f t="shared" si="1"/>
        <v>3A</v>
      </c>
      <c r="F127" s="47" t="s">
        <v>4046</v>
      </c>
      <c r="G127" s="47" t="s">
        <v>244</v>
      </c>
      <c r="H127" s="48">
        <f>IF(NOT(ISBLANK(vlookup(B127,Pop_Census_2023!$A$2:$E$3220,4,FALSE))),vlookup(B127,Pop_Census_2023!$A$2:$E$3220,4,FALSE), vlookup(B127,Pop_Census_2023!$A$2:$E$3220,5,FALSE))</f>
        <v>33258</v>
      </c>
    </row>
    <row r="128">
      <c r="A128" s="47" t="s">
        <v>2079</v>
      </c>
      <c r="B128" s="47">
        <v>5061.0</v>
      </c>
      <c r="C128" s="47">
        <v>3.0</v>
      </c>
      <c r="D128" s="47" t="s">
        <v>4044</v>
      </c>
      <c r="E128" s="47" t="str">
        <f t="shared" si="1"/>
        <v>3A</v>
      </c>
      <c r="F128" s="47" t="s">
        <v>4046</v>
      </c>
      <c r="G128" s="47" t="s">
        <v>245</v>
      </c>
      <c r="H128" s="48">
        <f>IF(NOT(ISBLANK(vlookup(B128,Pop_Census_2023!$A$2:$E$3220,4,FALSE))),vlookup(B128,Pop_Census_2023!$A$2:$E$3220,4,FALSE), vlookup(B128,Pop_Census_2023!$A$2:$E$3220,5,FALSE))</f>
        <v>12533</v>
      </c>
    </row>
    <row r="129">
      <c r="A129" s="47" t="s">
        <v>2079</v>
      </c>
      <c r="B129" s="47">
        <v>5063.0</v>
      </c>
      <c r="C129" s="47">
        <v>3.0</v>
      </c>
      <c r="D129" s="47" t="s">
        <v>4044</v>
      </c>
      <c r="E129" s="47" t="str">
        <f t="shared" si="1"/>
        <v>3A</v>
      </c>
      <c r="F129" s="47" t="s">
        <v>4046</v>
      </c>
      <c r="G129" s="47" t="s">
        <v>246</v>
      </c>
      <c r="H129" s="48">
        <f>IF(NOT(ISBLANK(vlookup(B129,Pop_Census_2023!$A$2:$E$3220,4,FALSE))),vlookup(B129,Pop_Census_2023!$A$2:$E$3220,4,FALSE), vlookup(B129,Pop_Census_2023!$A$2:$E$3220,5,FALSE))</f>
        <v>38320</v>
      </c>
    </row>
    <row r="130">
      <c r="A130" s="47" t="s">
        <v>2079</v>
      </c>
      <c r="B130" s="47">
        <v>5065.0</v>
      </c>
      <c r="C130" s="47">
        <v>4.0</v>
      </c>
      <c r="D130" s="47" t="s">
        <v>4044</v>
      </c>
      <c r="E130" s="47" t="str">
        <f t="shared" si="1"/>
        <v>4A</v>
      </c>
      <c r="F130" s="47" t="s">
        <v>4046</v>
      </c>
      <c r="G130" s="47" t="s">
        <v>247</v>
      </c>
      <c r="H130" s="48">
        <f>IF(NOT(ISBLANK(vlookup(B130,Pop_Census_2023!$A$2:$E$3220,4,FALSE))),vlookup(B130,Pop_Census_2023!$A$2:$E$3220,4,FALSE), vlookup(B130,Pop_Census_2023!$A$2:$E$3220,5,FALSE))</f>
        <v>14169</v>
      </c>
    </row>
    <row r="131">
      <c r="A131" s="47" t="s">
        <v>2079</v>
      </c>
      <c r="B131" s="47">
        <v>5067.0</v>
      </c>
      <c r="C131" s="47">
        <v>3.0</v>
      </c>
      <c r="D131" s="47" t="s">
        <v>4044</v>
      </c>
      <c r="E131" s="47" t="str">
        <f t="shared" si="1"/>
        <v>3A</v>
      </c>
      <c r="F131" s="47" t="s">
        <v>4046</v>
      </c>
      <c r="G131" s="47" t="s">
        <v>138</v>
      </c>
      <c r="H131" s="48">
        <f>IF(NOT(ISBLANK(vlookup(B131,Pop_Census_2023!$A$2:$E$3220,4,FALSE))),vlookup(B131,Pop_Census_2023!$A$2:$E$3220,4,FALSE), vlookup(B131,Pop_Census_2023!$A$2:$E$3220,5,FALSE))</f>
        <v>16784</v>
      </c>
    </row>
    <row r="132">
      <c r="A132" s="47" t="s">
        <v>2079</v>
      </c>
      <c r="B132" s="47">
        <v>5069.0</v>
      </c>
      <c r="C132" s="47">
        <v>3.0</v>
      </c>
      <c r="D132" s="47" t="s">
        <v>4044</v>
      </c>
      <c r="E132" s="47" t="str">
        <f t="shared" si="1"/>
        <v>3A</v>
      </c>
      <c r="F132" s="47" t="s">
        <v>4046</v>
      </c>
      <c r="G132" s="47" t="s">
        <v>139</v>
      </c>
      <c r="H132" s="48">
        <f>IF(NOT(ISBLANK(vlookup(B132,Pop_Census_2023!$A$2:$E$3220,4,FALSE))),vlookup(B132,Pop_Census_2023!$A$2:$E$3220,4,FALSE), vlookup(B132,Pop_Census_2023!$A$2:$E$3220,5,FALSE))</f>
        <v>63661</v>
      </c>
    </row>
    <row r="133">
      <c r="A133" s="47" t="s">
        <v>2079</v>
      </c>
      <c r="B133" s="47">
        <v>5071.0</v>
      </c>
      <c r="C133" s="47">
        <v>3.0</v>
      </c>
      <c r="D133" s="47" t="s">
        <v>4044</v>
      </c>
      <c r="E133" s="47" t="str">
        <f t="shared" si="1"/>
        <v>3A</v>
      </c>
      <c r="F133" s="47" t="s">
        <v>4046</v>
      </c>
      <c r="G133" s="47" t="s">
        <v>248</v>
      </c>
      <c r="H133" s="48">
        <f>IF(NOT(ISBLANK(vlookup(B133,Pop_Census_2023!$A$2:$E$3220,4,FALSE))),vlookup(B133,Pop_Census_2023!$A$2:$E$3220,4,FALSE), vlookup(B133,Pop_Census_2023!$A$2:$E$3220,5,FALSE))</f>
        <v>26129</v>
      </c>
    </row>
    <row r="134">
      <c r="A134" s="47" t="s">
        <v>2079</v>
      </c>
      <c r="B134" s="47">
        <v>5073.0</v>
      </c>
      <c r="C134" s="47">
        <v>3.0</v>
      </c>
      <c r="D134" s="47" t="s">
        <v>4044</v>
      </c>
      <c r="E134" s="47" t="str">
        <f t="shared" si="1"/>
        <v>3A</v>
      </c>
      <c r="F134" s="47" t="s">
        <v>4045</v>
      </c>
      <c r="G134" s="47" t="s">
        <v>249</v>
      </c>
      <c r="H134" s="48">
        <f>IF(NOT(ISBLANK(vlookup(B134,Pop_Census_2023!$A$2:$E$3220,4,FALSE))),vlookup(B134,Pop_Census_2023!$A$2:$E$3220,4,FALSE), vlookup(B134,Pop_Census_2023!$A$2:$E$3220,5,FALSE))</f>
        <v>6095</v>
      </c>
    </row>
    <row r="135">
      <c r="A135" s="47" t="s">
        <v>2079</v>
      </c>
      <c r="B135" s="47">
        <v>5075.0</v>
      </c>
      <c r="C135" s="47">
        <v>3.0</v>
      </c>
      <c r="D135" s="47" t="s">
        <v>4044</v>
      </c>
      <c r="E135" s="47" t="str">
        <f t="shared" si="1"/>
        <v>3A</v>
      </c>
      <c r="F135" s="47" t="s">
        <v>4046</v>
      </c>
      <c r="G135" s="47" t="s">
        <v>142</v>
      </c>
      <c r="H135" s="48">
        <f>IF(NOT(ISBLANK(vlookup(B135,Pop_Census_2023!$A$2:$E$3220,4,FALSE))),vlookup(B135,Pop_Census_2023!$A$2:$E$3220,4,FALSE), vlookup(B135,Pop_Census_2023!$A$2:$E$3220,5,FALSE))</f>
        <v>16318</v>
      </c>
    </row>
    <row r="136">
      <c r="A136" s="47" t="s">
        <v>2079</v>
      </c>
      <c r="B136" s="47">
        <v>5077.0</v>
      </c>
      <c r="C136" s="47">
        <v>3.0</v>
      </c>
      <c r="D136" s="47" t="s">
        <v>4044</v>
      </c>
      <c r="E136" s="47" t="str">
        <f t="shared" si="1"/>
        <v>3A</v>
      </c>
      <c r="F136" s="47" t="s">
        <v>4046</v>
      </c>
      <c r="G136" s="47" t="s">
        <v>143</v>
      </c>
      <c r="H136" s="48">
        <f>IF(NOT(ISBLANK(vlookup(B136,Pop_Census_2023!$A$2:$E$3220,4,FALSE))),vlookup(B136,Pop_Census_2023!$A$2:$E$3220,4,FALSE), vlookup(B136,Pop_Census_2023!$A$2:$E$3220,5,FALSE))</f>
        <v>8201</v>
      </c>
    </row>
    <row r="137">
      <c r="A137" s="47" t="s">
        <v>2079</v>
      </c>
      <c r="B137" s="47">
        <v>5079.0</v>
      </c>
      <c r="C137" s="47">
        <v>3.0</v>
      </c>
      <c r="D137" s="47" t="s">
        <v>4044</v>
      </c>
      <c r="E137" s="47" t="str">
        <f t="shared" si="1"/>
        <v>3A</v>
      </c>
      <c r="F137" s="47" t="s">
        <v>4046</v>
      </c>
      <c r="G137" s="47" t="s">
        <v>250</v>
      </c>
      <c r="H137" s="48">
        <f>IF(NOT(ISBLANK(vlookup(B137,Pop_Census_2023!$A$2:$E$3220,4,FALSE))),vlookup(B137,Pop_Census_2023!$A$2:$E$3220,4,FALSE), vlookup(B137,Pop_Census_2023!$A$2:$E$3220,5,FALSE))</f>
        <v>12898</v>
      </c>
    </row>
    <row r="138">
      <c r="A138" s="47" t="s">
        <v>2079</v>
      </c>
      <c r="B138" s="47">
        <v>5081.0</v>
      </c>
      <c r="C138" s="47">
        <v>3.0</v>
      </c>
      <c r="D138" s="47" t="s">
        <v>4044</v>
      </c>
      <c r="E138" s="47" t="str">
        <f t="shared" si="1"/>
        <v>3A</v>
      </c>
      <c r="F138" s="47" t="s">
        <v>4045</v>
      </c>
      <c r="G138" s="47" t="s">
        <v>251</v>
      </c>
      <c r="H138" s="48">
        <f>IF(NOT(ISBLANK(vlookup(B138,Pop_Census_2023!$A$2:$E$3220,4,FALSE))),vlookup(B138,Pop_Census_2023!$A$2:$E$3220,4,FALSE), vlookup(B138,Pop_Census_2023!$A$2:$E$3220,5,FALSE))</f>
        <v>11805</v>
      </c>
    </row>
    <row r="139">
      <c r="A139" s="47" t="s">
        <v>2079</v>
      </c>
      <c r="B139" s="47">
        <v>5083.0</v>
      </c>
      <c r="C139" s="47">
        <v>3.0</v>
      </c>
      <c r="D139" s="47" t="s">
        <v>4044</v>
      </c>
      <c r="E139" s="47" t="str">
        <f t="shared" si="1"/>
        <v>3A</v>
      </c>
      <c r="F139" s="47" t="s">
        <v>4046</v>
      </c>
      <c r="G139" s="47" t="s">
        <v>252</v>
      </c>
      <c r="H139" s="48">
        <f>IF(NOT(ISBLANK(vlookup(B139,Pop_Census_2023!$A$2:$E$3220,4,FALSE))),vlookup(B139,Pop_Census_2023!$A$2:$E$3220,4,FALSE), vlookup(B139,Pop_Census_2023!$A$2:$E$3220,5,FALSE))</f>
        <v>21400</v>
      </c>
    </row>
    <row r="140">
      <c r="A140" s="47" t="s">
        <v>2079</v>
      </c>
      <c r="B140" s="47">
        <v>5085.0</v>
      </c>
      <c r="C140" s="47">
        <v>3.0</v>
      </c>
      <c r="D140" s="47" t="s">
        <v>4044</v>
      </c>
      <c r="E140" s="47" t="str">
        <f t="shared" si="1"/>
        <v>3A</v>
      </c>
      <c r="F140" s="47" t="s">
        <v>4046</v>
      </c>
      <c r="G140" s="47" t="s">
        <v>253</v>
      </c>
      <c r="H140" s="48">
        <f>IF(NOT(ISBLANK(vlookup(B140,Pop_Census_2023!$A$2:$E$3220,4,FALSE))),vlookup(B140,Pop_Census_2023!$A$2:$E$3220,4,FALSE), vlookup(B140,Pop_Census_2023!$A$2:$E$3220,5,FALSE))</f>
        <v>75944</v>
      </c>
    </row>
    <row r="141">
      <c r="A141" s="47" t="s">
        <v>2079</v>
      </c>
      <c r="B141" s="47">
        <v>5087.0</v>
      </c>
      <c r="C141" s="47">
        <v>4.0</v>
      </c>
      <c r="D141" s="47" t="s">
        <v>4044</v>
      </c>
      <c r="E141" s="47" t="str">
        <f t="shared" si="1"/>
        <v>4A</v>
      </c>
      <c r="F141" s="47" t="s">
        <v>4046</v>
      </c>
      <c r="G141" s="47" t="s">
        <v>147</v>
      </c>
      <c r="H141" s="48">
        <f>IF(NOT(ISBLANK(vlookup(B141,Pop_Census_2023!$A$2:$E$3220,4,FALSE))),vlookup(B141,Pop_Census_2023!$A$2:$E$3220,4,FALSE), vlookup(B141,Pop_Census_2023!$A$2:$E$3220,5,FALSE))</f>
        <v>17775</v>
      </c>
    </row>
    <row r="142">
      <c r="A142" s="47" t="s">
        <v>2079</v>
      </c>
      <c r="B142" s="47">
        <v>5089.0</v>
      </c>
      <c r="C142" s="47">
        <v>4.0</v>
      </c>
      <c r="D142" s="47" t="s">
        <v>4044</v>
      </c>
      <c r="E142" s="47" t="str">
        <f t="shared" si="1"/>
        <v>4A</v>
      </c>
      <c r="F142" s="47" t="s">
        <v>4046</v>
      </c>
      <c r="G142" s="47" t="s">
        <v>149</v>
      </c>
      <c r="H142" s="48">
        <f>IF(NOT(ISBLANK(vlookup(B142,Pop_Census_2023!$A$2:$E$3220,4,FALSE))),vlookup(B142,Pop_Census_2023!$A$2:$E$3220,4,FALSE), vlookup(B142,Pop_Census_2023!$A$2:$E$3220,5,FALSE))</f>
        <v>17514</v>
      </c>
    </row>
    <row r="143">
      <c r="A143" s="47" t="s">
        <v>2079</v>
      </c>
      <c r="B143" s="47">
        <v>5091.0</v>
      </c>
      <c r="C143" s="47">
        <v>3.0</v>
      </c>
      <c r="D143" s="47" t="s">
        <v>4044</v>
      </c>
      <c r="E143" s="47" t="str">
        <f t="shared" si="1"/>
        <v>3A</v>
      </c>
      <c r="F143" s="47" t="s">
        <v>4045</v>
      </c>
      <c r="G143" s="47" t="s">
        <v>254</v>
      </c>
      <c r="H143" s="48">
        <f>IF(NOT(ISBLANK(vlookup(B143,Pop_Census_2023!$A$2:$E$3220,4,FALSE))),vlookup(B143,Pop_Census_2023!$A$2:$E$3220,4,FALSE), vlookup(B143,Pop_Census_2023!$A$2:$E$3220,5,FALSE))</f>
        <v>42415</v>
      </c>
    </row>
    <row r="144">
      <c r="A144" s="47" t="s">
        <v>2079</v>
      </c>
      <c r="B144" s="47">
        <v>5093.0</v>
      </c>
      <c r="C144" s="47">
        <v>3.0</v>
      </c>
      <c r="D144" s="47" t="s">
        <v>4044</v>
      </c>
      <c r="E144" s="47" t="str">
        <f t="shared" si="1"/>
        <v>3A</v>
      </c>
      <c r="F144" s="47" t="s">
        <v>4046</v>
      </c>
      <c r="G144" s="47" t="s">
        <v>255</v>
      </c>
      <c r="H144" s="48">
        <f>IF(NOT(ISBLANK(vlookup(B144,Pop_Census_2023!$A$2:$E$3220,4,FALSE))),vlookup(B144,Pop_Census_2023!$A$2:$E$3220,4,FALSE), vlookup(B144,Pop_Census_2023!$A$2:$E$3220,5,FALSE))</f>
        <v>38663</v>
      </c>
    </row>
    <row r="145">
      <c r="A145" s="47" t="s">
        <v>2079</v>
      </c>
      <c r="B145" s="47">
        <v>5095.0</v>
      </c>
      <c r="C145" s="47">
        <v>3.0</v>
      </c>
      <c r="D145" s="47" t="s">
        <v>4044</v>
      </c>
      <c r="E145" s="47" t="str">
        <f t="shared" si="1"/>
        <v>3A</v>
      </c>
      <c r="F145" s="47" t="s">
        <v>4046</v>
      </c>
      <c r="G145" s="47" t="s">
        <v>152</v>
      </c>
      <c r="H145" s="48">
        <f>IF(NOT(ISBLANK(vlookup(B145,Pop_Census_2023!$A$2:$E$3220,4,FALSE))),vlookup(B145,Pop_Census_2023!$A$2:$E$3220,4,FALSE), vlookup(B145,Pop_Census_2023!$A$2:$E$3220,5,FALSE))</f>
        <v>6512</v>
      </c>
    </row>
    <row r="146">
      <c r="A146" s="47" t="s">
        <v>2079</v>
      </c>
      <c r="B146" s="47">
        <v>5097.0</v>
      </c>
      <c r="C146" s="47">
        <v>3.0</v>
      </c>
      <c r="D146" s="47" t="s">
        <v>4044</v>
      </c>
      <c r="E146" s="47" t="str">
        <f t="shared" si="1"/>
        <v>3A</v>
      </c>
      <c r="F146" s="47" t="s">
        <v>4046</v>
      </c>
      <c r="G146" s="47" t="s">
        <v>153</v>
      </c>
      <c r="H146" s="48">
        <f>IF(NOT(ISBLANK(vlookup(B146,Pop_Census_2023!$A$2:$E$3220,4,FALSE))),vlookup(B146,Pop_Census_2023!$A$2:$E$3220,4,FALSE), vlookup(B146,Pop_Census_2023!$A$2:$E$3220,5,FALSE))</f>
        <v>8620</v>
      </c>
    </row>
    <row r="147">
      <c r="A147" s="47" t="s">
        <v>2079</v>
      </c>
      <c r="B147" s="47">
        <v>5099.0</v>
      </c>
      <c r="C147" s="47">
        <v>3.0</v>
      </c>
      <c r="D147" s="47" t="s">
        <v>4044</v>
      </c>
      <c r="E147" s="47" t="str">
        <f t="shared" si="1"/>
        <v>3A</v>
      </c>
      <c r="F147" s="47" t="s">
        <v>4046</v>
      </c>
      <c r="G147" s="47" t="s">
        <v>256</v>
      </c>
      <c r="H147" s="48">
        <f>IF(NOT(ISBLANK(vlookup(B147,Pop_Census_2023!$A$2:$E$3220,4,FALSE))),vlookup(B147,Pop_Census_2023!$A$2:$E$3220,4,FALSE), vlookup(B147,Pop_Census_2023!$A$2:$E$3220,5,FALSE))</f>
        <v>8120</v>
      </c>
    </row>
    <row r="148">
      <c r="A148" s="47" t="s">
        <v>2079</v>
      </c>
      <c r="B148" s="47">
        <v>5101.0</v>
      </c>
      <c r="C148" s="47">
        <v>4.0</v>
      </c>
      <c r="D148" s="47" t="s">
        <v>4044</v>
      </c>
      <c r="E148" s="47" t="str">
        <f t="shared" si="1"/>
        <v>4A</v>
      </c>
      <c r="F148" s="47" t="s">
        <v>4046</v>
      </c>
      <c r="G148" s="47" t="s">
        <v>257</v>
      </c>
      <c r="H148" s="48">
        <f>IF(NOT(ISBLANK(vlookup(B148,Pop_Census_2023!$A$2:$E$3220,4,FALSE))),vlookup(B148,Pop_Census_2023!$A$2:$E$3220,4,FALSE), vlookup(B148,Pop_Census_2023!$A$2:$E$3220,5,FALSE))</f>
        <v>7071</v>
      </c>
    </row>
    <row r="149">
      <c r="A149" s="47" t="s">
        <v>2079</v>
      </c>
      <c r="B149" s="47">
        <v>5103.0</v>
      </c>
      <c r="C149" s="47">
        <v>3.0</v>
      </c>
      <c r="D149" s="47" t="s">
        <v>4044</v>
      </c>
      <c r="E149" s="47" t="str">
        <f t="shared" si="1"/>
        <v>3A</v>
      </c>
      <c r="F149" s="47" t="s">
        <v>4046</v>
      </c>
      <c r="G149" s="47" t="s">
        <v>258</v>
      </c>
      <c r="H149" s="48">
        <f>IF(NOT(ISBLANK(vlookup(B149,Pop_Census_2023!$A$2:$E$3220,4,FALSE))),vlookup(B149,Pop_Census_2023!$A$2:$E$3220,4,FALSE), vlookup(B149,Pop_Census_2023!$A$2:$E$3220,5,FALSE))</f>
        <v>21793</v>
      </c>
    </row>
    <row r="150">
      <c r="A150" s="47" t="s">
        <v>2079</v>
      </c>
      <c r="B150" s="47">
        <v>5105.0</v>
      </c>
      <c r="C150" s="47">
        <v>3.0</v>
      </c>
      <c r="D150" s="47" t="s">
        <v>4044</v>
      </c>
      <c r="E150" s="47" t="str">
        <f t="shared" si="1"/>
        <v>3A</v>
      </c>
      <c r="F150" s="47" t="s">
        <v>4046</v>
      </c>
      <c r="G150" s="47" t="s">
        <v>155</v>
      </c>
      <c r="H150" s="48">
        <f>IF(NOT(ISBLANK(vlookup(B150,Pop_Census_2023!$A$2:$E$3220,4,FALSE))),vlookup(B150,Pop_Census_2023!$A$2:$E$3220,4,FALSE), vlookup(B150,Pop_Census_2023!$A$2:$E$3220,5,FALSE))</f>
        <v>10184</v>
      </c>
    </row>
    <row r="151">
      <c r="A151" s="47" t="s">
        <v>2079</v>
      </c>
      <c r="B151" s="47">
        <v>5107.0</v>
      </c>
      <c r="C151" s="47">
        <v>3.0</v>
      </c>
      <c r="D151" s="47" t="s">
        <v>4044</v>
      </c>
      <c r="E151" s="47" t="str">
        <f t="shared" si="1"/>
        <v>3A</v>
      </c>
      <c r="F151" s="47" t="s">
        <v>4046</v>
      </c>
      <c r="G151" s="47" t="s">
        <v>259</v>
      </c>
      <c r="H151" s="48">
        <f>IF(NOT(ISBLANK(vlookup(B151,Pop_Census_2023!$A$2:$E$3220,4,FALSE))),vlookup(B151,Pop_Census_2023!$A$2:$E$3220,4,FALSE), vlookup(B151,Pop_Census_2023!$A$2:$E$3220,5,FALSE))</f>
        <v>14961</v>
      </c>
    </row>
    <row r="152">
      <c r="A152" s="47" t="s">
        <v>2079</v>
      </c>
      <c r="B152" s="47">
        <v>5109.0</v>
      </c>
      <c r="C152" s="47">
        <v>3.0</v>
      </c>
      <c r="D152" s="47" t="s">
        <v>4044</v>
      </c>
      <c r="E152" s="47" t="str">
        <f t="shared" si="1"/>
        <v>3A</v>
      </c>
      <c r="F152" s="47" t="s">
        <v>4046</v>
      </c>
      <c r="G152" s="47" t="s">
        <v>157</v>
      </c>
      <c r="H152" s="48">
        <f>IF(NOT(ISBLANK(vlookup(B152,Pop_Census_2023!$A$2:$E$3220,4,FALSE))),vlookup(B152,Pop_Census_2023!$A$2:$E$3220,4,FALSE), vlookup(B152,Pop_Census_2023!$A$2:$E$3220,5,FALSE))</f>
        <v>10208</v>
      </c>
    </row>
    <row r="153">
      <c r="A153" s="47" t="s">
        <v>2079</v>
      </c>
      <c r="B153" s="47">
        <v>5111.0</v>
      </c>
      <c r="C153" s="47">
        <v>3.0</v>
      </c>
      <c r="D153" s="47" t="s">
        <v>4044</v>
      </c>
      <c r="E153" s="47" t="str">
        <f t="shared" si="1"/>
        <v>3A</v>
      </c>
      <c r="F153" s="47" t="s">
        <v>4046</v>
      </c>
      <c r="G153" s="47" t="s">
        <v>260</v>
      </c>
      <c r="H153" s="48">
        <f>IF(NOT(ISBLANK(vlookup(B153,Pop_Census_2023!$A$2:$E$3220,4,FALSE))),vlookup(B153,Pop_Census_2023!$A$2:$E$3220,4,FALSE), vlookup(B153,Pop_Census_2023!$A$2:$E$3220,5,FALSE))</f>
        <v>22397</v>
      </c>
    </row>
    <row r="154">
      <c r="A154" s="47" t="s">
        <v>2079</v>
      </c>
      <c r="B154" s="47">
        <v>5113.0</v>
      </c>
      <c r="C154" s="47">
        <v>3.0</v>
      </c>
      <c r="D154" s="47" t="s">
        <v>4044</v>
      </c>
      <c r="E154" s="47" t="str">
        <f t="shared" si="1"/>
        <v>3A</v>
      </c>
      <c r="F154" s="47" t="s">
        <v>4046</v>
      </c>
      <c r="G154" s="47" t="s">
        <v>261</v>
      </c>
      <c r="H154" s="48">
        <f>IF(NOT(ISBLANK(vlookup(B154,Pop_Census_2023!$A$2:$E$3220,4,FALSE))),vlookup(B154,Pop_Census_2023!$A$2:$E$3220,4,FALSE), vlookup(B154,Pop_Census_2023!$A$2:$E$3220,5,FALSE))</f>
        <v>19436</v>
      </c>
    </row>
    <row r="155">
      <c r="A155" s="47" t="s">
        <v>2079</v>
      </c>
      <c r="B155" s="47">
        <v>5115.0</v>
      </c>
      <c r="C155" s="47">
        <v>3.0</v>
      </c>
      <c r="D155" s="47" t="s">
        <v>4044</v>
      </c>
      <c r="E155" s="47" t="str">
        <f t="shared" si="1"/>
        <v>3A</v>
      </c>
      <c r="F155" s="47" t="s">
        <v>4046</v>
      </c>
      <c r="G155" s="47" t="s">
        <v>262</v>
      </c>
      <c r="H155" s="48">
        <f>IF(NOT(ISBLANK(vlookup(B155,Pop_Census_2023!$A$2:$E$3220,4,FALSE))),vlookup(B155,Pop_Census_2023!$A$2:$E$3220,4,FALSE), vlookup(B155,Pop_Census_2023!$A$2:$E$3220,5,FALSE))</f>
        <v>64593</v>
      </c>
    </row>
    <row r="156">
      <c r="A156" s="47" t="s">
        <v>2079</v>
      </c>
      <c r="B156" s="47">
        <v>5117.0</v>
      </c>
      <c r="C156" s="47">
        <v>3.0</v>
      </c>
      <c r="D156" s="47" t="s">
        <v>4044</v>
      </c>
      <c r="E156" s="47" t="str">
        <f t="shared" si="1"/>
        <v>3A</v>
      </c>
      <c r="F156" s="47" t="s">
        <v>4046</v>
      </c>
      <c r="G156" s="47" t="s">
        <v>263</v>
      </c>
      <c r="H156" s="48">
        <f>IF(NOT(ISBLANK(vlookup(B156,Pop_Census_2023!$A$2:$E$3220,4,FALSE))),vlookup(B156,Pop_Census_2023!$A$2:$E$3220,4,FALSE), vlookup(B156,Pop_Census_2023!$A$2:$E$3220,5,FALSE))</f>
        <v>8036</v>
      </c>
    </row>
    <row r="157">
      <c r="A157" s="47" t="s">
        <v>2079</v>
      </c>
      <c r="B157" s="47">
        <v>5119.0</v>
      </c>
      <c r="C157" s="47">
        <v>3.0</v>
      </c>
      <c r="D157" s="47" t="s">
        <v>4044</v>
      </c>
      <c r="E157" s="47" t="str">
        <f t="shared" si="1"/>
        <v>3A</v>
      </c>
      <c r="F157" s="47" t="s">
        <v>4046</v>
      </c>
      <c r="G157" s="47" t="s">
        <v>264</v>
      </c>
      <c r="H157" s="48">
        <f>IF(NOT(ISBLANK(vlookup(B157,Pop_Census_2023!$A$2:$E$3220,4,FALSE))),vlookup(B157,Pop_Census_2023!$A$2:$E$3220,4,FALSE), vlookup(B157,Pop_Census_2023!$A$2:$E$3220,5,FALSE))</f>
        <v>400009</v>
      </c>
    </row>
    <row r="158">
      <c r="A158" s="47" t="s">
        <v>2079</v>
      </c>
      <c r="B158" s="47">
        <v>5121.0</v>
      </c>
      <c r="C158" s="47">
        <v>3.0</v>
      </c>
      <c r="D158" s="47" t="s">
        <v>4044</v>
      </c>
      <c r="E158" s="47" t="str">
        <f t="shared" si="1"/>
        <v>3A</v>
      </c>
      <c r="F158" s="47" t="s">
        <v>4046</v>
      </c>
      <c r="G158" s="47" t="s">
        <v>158</v>
      </c>
      <c r="H158" s="48">
        <f>IF(NOT(ISBLANK(vlookup(B158,Pop_Census_2023!$A$2:$E$3220,4,FALSE))),vlookup(B158,Pop_Census_2023!$A$2:$E$3220,4,FALSE), vlookup(B158,Pop_Census_2023!$A$2:$E$3220,5,FALSE))</f>
        <v>18907</v>
      </c>
    </row>
    <row r="159">
      <c r="A159" s="47" t="s">
        <v>2079</v>
      </c>
      <c r="B159" s="47">
        <v>5125.0</v>
      </c>
      <c r="C159" s="47">
        <v>3.0</v>
      </c>
      <c r="D159" s="47" t="s">
        <v>4044</v>
      </c>
      <c r="E159" s="47" t="str">
        <f t="shared" si="1"/>
        <v>3A</v>
      </c>
      <c r="F159" s="47" t="s">
        <v>4046</v>
      </c>
      <c r="G159" s="47" t="s">
        <v>266</v>
      </c>
      <c r="H159" s="48">
        <f>IF(NOT(ISBLANK(vlookup(B159,Pop_Census_2023!$A$2:$E$3220,4,FALSE))),vlookup(B159,Pop_Census_2023!$A$2:$E$3220,4,FALSE), vlookup(B159,Pop_Census_2023!$A$2:$E$3220,5,FALSE))</f>
        <v>129574</v>
      </c>
    </row>
    <row r="160">
      <c r="A160" s="47" t="s">
        <v>2079</v>
      </c>
      <c r="B160" s="47">
        <v>5127.0</v>
      </c>
      <c r="C160" s="47">
        <v>3.0</v>
      </c>
      <c r="D160" s="47" t="s">
        <v>4044</v>
      </c>
      <c r="E160" s="47" t="str">
        <f t="shared" si="1"/>
        <v>3A</v>
      </c>
      <c r="F160" s="47" t="s">
        <v>4046</v>
      </c>
      <c r="G160" s="47" t="s">
        <v>267</v>
      </c>
      <c r="H160" s="48">
        <f>IF(NOT(ISBLANK(vlookup(B160,Pop_Census_2023!$A$2:$E$3220,4,FALSE))),vlookup(B160,Pop_Census_2023!$A$2:$E$3220,4,FALSE), vlookup(B160,Pop_Census_2023!$A$2:$E$3220,5,FALSE))</f>
        <v>9851</v>
      </c>
    </row>
    <row r="161">
      <c r="A161" s="47" t="s">
        <v>2079</v>
      </c>
      <c r="B161" s="47">
        <v>5129.0</v>
      </c>
      <c r="C161" s="47">
        <v>4.0</v>
      </c>
      <c r="D161" s="47" t="s">
        <v>4044</v>
      </c>
      <c r="E161" s="47" t="str">
        <f t="shared" si="1"/>
        <v>4A</v>
      </c>
      <c r="F161" s="47" t="s">
        <v>4046</v>
      </c>
      <c r="G161" s="47" t="s">
        <v>268</v>
      </c>
      <c r="H161" s="48">
        <f>IF(NOT(ISBLANK(vlookup(B161,Pop_Census_2023!$A$2:$E$3220,4,FALSE))),vlookup(B161,Pop_Census_2023!$A$2:$E$3220,4,FALSE), vlookup(B161,Pop_Census_2023!$A$2:$E$3220,5,FALSE))</f>
        <v>7806</v>
      </c>
    </row>
    <row r="162">
      <c r="A162" s="47" t="s">
        <v>2079</v>
      </c>
      <c r="B162" s="47">
        <v>5131.0</v>
      </c>
      <c r="C162" s="47">
        <v>3.0</v>
      </c>
      <c r="D162" s="47" t="s">
        <v>4044</v>
      </c>
      <c r="E162" s="47" t="str">
        <f t="shared" si="1"/>
        <v>3A</v>
      </c>
      <c r="F162" s="47" t="s">
        <v>4046</v>
      </c>
      <c r="G162" s="47" t="s">
        <v>269</v>
      </c>
      <c r="H162" s="48">
        <f>IF(NOT(ISBLANK(vlookup(B162,Pop_Census_2023!$A$2:$E$3220,4,FALSE))),vlookup(B162,Pop_Census_2023!$A$2:$E$3220,4,FALSE), vlookup(B162,Pop_Census_2023!$A$2:$E$3220,5,FALSE))</f>
        <v>129098</v>
      </c>
    </row>
    <row r="163">
      <c r="A163" s="47" t="s">
        <v>2079</v>
      </c>
      <c r="B163" s="47">
        <v>5133.0</v>
      </c>
      <c r="C163" s="47">
        <v>3.0</v>
      </c>
      <c r="D163" s="47" t="s">
        <v>4044</v>
      </c>
      <c r="E163" s="47" t="str">
        <f t="shared" si="1"/>
        <v>3A</v>
      </c>
      <c r="F163" s="47" t="s">
        <v>4046</v>
      </c>
      <c r="G163" s="47" t="s">
        <v>270</v>
      </c>
      <c r="H163" s="48">
        <f>IF(NOT(ISBLANK(vlookup(B163,Pop_Census_2023!$A$2:$E$3220,4,FALSE))),vlookup(B163,Pop_Census_2023!$A$2:$E$3220,4,FALSE), vlookup(B163,Pop_Census_2023!$A$2:$E$3220,5,FALSE))</f>
        <v>15632</v>
      </c>
    </row>
    <row r="164">
      <c r="A164" s="47" t="s">
        <v>2079</v>
      </c>
      <c r="B164" s="47">
        <v>5135.0</v>
      </c>
      <c r="C164" s="47">
        <v>3.0</v>
      </c>
      <c r="D164" s="47" t="s">
        <v>4044</v>
      </c>
      <c r="E164" s="47" t="str">
        <f t="shared" si="1"/>
        <v>3A</v>
      </c>
      <c r="F164" s="47" t="s">
        <v>4046</v>
      </c>
      <c r="G164" s="47" t="s">
        <v>271</v>
      </c>
      <c r="H164" s="48">
        <f>IF(NOT(ISBLANK(vlookup(B164,Pop_Census_2023!$A$2:$E$3220,4,FALSE))),vlookup(B164,Pop_Census_2023!$A$2:$E$3220,4,FALSE), vlookup(B164,Pop_Census_2023!$A$2:$E$3220,5,FALSE))</f>
        <v>17968</v>
      </c>
    </row>
    <row r="165">
      <c r="A165" s="47" t="s">
        <v>2079</v>
      </c>
      <c r="B165" s="47">
        <v>5123.0</v>
      </c>
      <c r="C165" s="47">
        <v>3.0</v>
      </c>
      <c r="D165" s="47" t="s">
        <v>4044</v>
      </c>
      <c r="E165" s="47" t="str">
        <f t="shared" si="1"/>
        <v>3A</v>
      </c>
      <c r="F165" s="47" t="s">
        <v>4046</v>
      </c>
      <c r="G165" s="47" t="s">
        <v>265</v>
      </c>
      <c r="H165" s="48">
        <f>IF(NOT(ISBLANK(vlookup(B165,Pop_Census_2023!$A$2:$E$3220,4,FALSE))),vlookup(B165,Pop_Census_2023!$A$2:$E$3220,4,FALSE), vlookup(B165,Pop_Census_2023!$A$2:$E$3220,5,FALSE))</f>
        <v>22101</v>
      </c>
    </row>
    <row r="166">
      <c r="A166" s="47" t="s">
        <v>2079</v>
      </c>
      <c r="B166" s="47">
        <v>5137.0</v>
      </c>
      <c r="C166" s="47">
        <v>4.0</v>
      </c>
      <c r="D166" s="47" t="s">
        <v>4044</v>
      </c>
      <c r="E166" s="47" t="str">
        <f t="shared" si="1"/>
        <v>4A</v>
      </c>
      <c r="F166" s="47" t="s">
        <v>4046</v>
      </c>
      <c r="G166" s="47" t="s">
        <v>272</v>
      </c>
      <c r="H166" s="48">
        <f>IF(NOT(ISBLANK(vlookup(B166,Pop_Census_2023!$A$2:$E$3220,4,FALSE))),vlookup(B166,Pop_Census_2023!$A$2:$E$3220,4,FALSE), vlookup(B166,Pop_Census_2023!$A$2:$E$3220,5,FALSE))</f>
        <v>12671</v>
      </c>
    </row>
    <row r="167">
      <c r="A167" s="47" t="s">
        <v>2079</v>
      </c>
      <c r="B167" s="47">
        <v>5139.0</v>
      </c>
      <c r="C167" s="47">
        <v>3.0</v>
      </c>
      <c r="D167" s="47" t="s">
        <v>4044</v>
      </c>
      <c r="E167" s="47" t="str">
        <f t="shared" si="1"/>
        <v>3A</v>
      </c>
      <c r="F167" s="47" t="s">
        <v>4045</v>
      </c>
      <c r="G167" s="47" t="s">
        <v>273</v>
      </c>
      <c r="H167" s="48">
        <f>IF(NOT(ISBLANK(vlookup(B167,Pop_Census_2023!$A$2:$E$3220,4,FALSE))),vlookup(B167,Pop_Census_2023!$A$2:$E$3220,4,FALSE), vlookup(B167,Pop_Census_2023!$A$2:$E$3220,5,FALSE))</f>
        <v>37397</v>
      </c>
    </row>
    <row r="168">
      <c r="A168" s="47" t="s">
        <v>2079</v>
      </c>
      <c r="B168" s="47">
        <v>5141.0</v>
      </c>
      <c r="C168" s="47">
        <v>3.0</v>
      </c>
      <c r="D168" s="47" t="s">
        <v>4044</v>
      </c>
      <c r="E168" s="47" t="str">
        <f t="shared" si="1"/>
        <v>3A</v>
      </c>
      <c r="F168" s="47" t="s">
        <v>4046</v>
      </c>
      <c r="G168" s="47" t="s">
        <v>274</v>
      </c>
      <c r="H168" s="48">
        <f>IF(NOT(ISBLANK(vlookup(B168,Pop_Census_2023!$A$2:$E$3220,4,FALSE))),vlookup(B168,Pop_Census_2023!$A$2:$E$3220,4,FALSE), vlookup(B168,Pop_Census_2023!$A$2:$E$3220,5,FALSE))</f>
        <v>16142</v>
      </c>
    </row>
    <row r="169">
      <c r="A169" s="47" t="s">
        <v>2079</v>
      </c>
      <c r="B169" s="47">
        <v>5143.0</v>
      </c>
      <c r="C169" s="47">
        <v>4.0</v>
      </c>
      <c r="D169" s="47" t="s">
        <v>4044</v>
      </c>
      <c r="E169" s="47" t="str">
        <f t="shared" si="1"/>
        <v>4A</v>
      </c>
      <c r="F169" s="47" t="s">
        <v>4046</v>
      </c>
      <c r="G169" s="47" t="s">
        <v>167</v>
      </c>
      <c r="H169" s="48">
        <f>IF(NOT(ISBLANK(vlookup(B169,Pop_Census_2023!$A$2:$E$3220,4,FALSE))),vlookup(B169,Pop_Census_2023!$A$2:$E$3220,4,FALSE), vlookup(B169,Pop_Census_2023!$A$2:$E$3220,5,FALSE))</f>
        <v>261549</v>
      </c>
    </row>
    <row r="170">
      <c r="A170" s="47" t="s">
        <v>2079</v>
      </c>
      <c r="B170" s="47">
        <v>5145.0</v>
      </c>
      <c r="C170" s="47">
        <v>3.0</v>
      </c>
      <c r="D170" s="47" t="s">
        <v>4044</v>
      </c>
      <c r="E170" s="47" t="str">
        <f t="shared" si="1"/>
        <v>3A</v>
      </c>
      <c r="F170" s="47" t="s">
        <v>4046</v>
      </c>
      <c r="G170" s="47" t="s">
        <v>275</v>
      </c>
      <c r="H170" s="48">
        <f>IF(NOT(ISBLANK(vlookup(B170,Pop_Census_2023!$A$2:$E$3220,4,FALSE))),vlookup(B170,Pop_Census_2023!$A$2:$E$3220,4,FALSE), vlookup(B170,Pop_Census_2023!$A$2:$E$3220,5,FALSE))</f>
        <v>78452</v>
      </c>
    </row>
    <row r="171">
      <c r="A171" s="47" t="s">
        <v>2079</v>
      </c>
      <c r="B171" s="47">
        <v>5147.0</v>
      </c>
      <c r="C171" s="47">
        <v>3.0</v>
      </c>
      <c r="D171" s="47" t="s">
        <v>4044</v>
      </c>
      <c r="E171" s="47" t="str">
        <f t="shared" si="1"/>
        <v>3A</v>
      </c>
      <c r="F171" s="47" t="s">
        <v>4046</v>
      </c>
      <c r="G171" s="47" t="s">
        <v>276</v>
      </c>
      <c r="H171" s="48">
        <f>IF(NOT(ISBLANK(vlookup(B171,Pop_Census_2023!$A$2:$E$3220,4,FALSE))),vlookup(B171,Pop_Census_2023!$A$2:$E$3220,4,FALSE), vlookup(B171,Pop_Census_2023!$A$2:$E$3220,5,FALSE))</f>
        <v>5964</v>
      </c>
    </row>
    <row r="172">
      <c r="A172" s="47" t="s">
        <v>2079</v>
      </c>
      <c r="B172" s="47">
        <v>5149.0</v>
      </c>
      <c r="C172" s="47">
        <v>3.0</v>
      </c>
      <c r="D172" s="47" t="s">
        <v>4044</v>
      </c>
      <c r="E172" s="47" t="str">
        <f t="shared" si="1"/>
        <v>3A</v>
      </c>
      <c r="F172" s="47" t="s">
        <v>4046</v>
      </c>
      <c r="G172" s="47" t="s">
        <v>277</v>
      </c>
      <c r="H172" s="48">
        <f>IF(NOT(ISBLANK(vlookup(B172,Pop_Census_2023!$A$2:$E$3220,4,FALSE))),vlookup(B172,Pop_Census_2023!$A$2:$E$3220,4,FALSE), vlookup(B172,Pop_Census_2023!$A$2:$E$3220,5,FALSE))</f>
        <v>20044</v>
      </c>
    </row>
    <row r="173">
      <c r="A173" s="47" t="s">
        <v>4047</v>
      </c>
      <c r="B173" s="47">
        <v>60010.0</v>
      </c>
      <c r="C173" s="47">
        <v>1.0</v>
      </c>
      <c r="D173" s="47" t="s">
        <v>4044</v>
      </c>
      <c r="E173" s="47" t="str">
        <f t="shared" si="1"/>
        <v>1A</v>
      </c>
      <c r="F173" s="47" t="s">
        <v>4045</v>
      </c>
      <c r="G173" s="47" t="s">
        <v>4048</v>
      </c>
      <c r="H173" s="34" t="str">
        <f>IF(NOT(ISBLANK(vlookup(B173,Pop_Census_2023!$A$2:$E$3220,4,FALSE))),vlookup(B173,Pop_Census_2023!$A$2:$E$3220,4,FALSE), vlookup(B173,Pop_Census_2023!$A$2:$E$3220,5,FALSE))</f>
        <v>#N/A</v>
      </c>
    </row>
    <row r="174">
      <c r="A174" s="47" t="s">
        <v>4047</v>
      </c>
      <c r="B174" s="47">
        <v>60020.0</v>
      </c>
      <c r="C174" s="47">
        <v>1.0</v>
      </c>
      <c r="D174" s="47" t="s">
        <v>4044</v>
      </c>
      <c r="E174" s="47" t="str">
        <f t="shared" si="1"/>
        <v>1A</v>
      </c>
      <c r="F174" s="47" t="s">
        <v>4045</v>
      </c>
      <c r="G174" s="47" t="s">
        <v>4049</v>
      </c>
      <c r="H174" s="34" t="str">
        <f>IF(NOT(ISBLANK(vlookup(B174,Pop_Census_2023!$A$2:$E$3220,4,FALSE))),vlookup(B174,Pop_Census_2023!$A$2:$E$3220,4,FALSE), vlookup(B174,Pop_Census_2023!$A$2:$E$3220,5,FALSE))</f>
        <v>#N/A</v>
      </c>
    </row>
    <row r="175">
      <c r="A175" s="47" t="s">
        <v>4047</v>
      </c>
      <c r="B175" s="47">
        <v>60030.0</v>
      </c>
      <c r="C175" s="47">
        <v>1.0</v>
      </c>
      <c r="D175" s="47" t="s">
        <v>4044</v>
      </c>
      <c r="E175" s="47" t="str">
        <f t="shared" si="1"/>
        <v>1A</v>
      </c>
      <c r="F175" s="47" t="s">
        <v>4045</v>
      </c>
      <c r="G175" s="47" t="s">
        <v>4050</v>
      </c>
      <c r="H175" s="34" t="str">
        <f>IF(NOT(ISBLANK(vlookup(B175,Pop_Census_2023!$A$2:$E$3220,4,FALSE))),vlookup(B175,Pop_Census_2023!$A$2:$E$3220,4,FALSE), vlookup(B175,Pop_Census_2023!$A$2:$E$3220,5,FALSE))</f>
        <v>#N/A</v>
      </c>
    </row>
    <row r="176">
      <c r="A176" s="47" t="s">
        <v>4047</v>
      </c>
      <c r="B176" s="47">
        <v>60040.0</v>
      </c>
      <c r="C176" s="47">
        <v>1.0</v>
      </c>
      <c r="D176" s="47" t="s">
        <v>4044</v>
      </c>
      <c r="E176" s="47" t="str">
        <f t="shared" si="1"/>
        <v>1A</v>
      </c>
      <c r="F176" s="47" t="s">
        <v>4045</v>
      </c>
      <c r="G176" s="47" t="s">
        <v>4051</v>
      </c>
      <c r="H176" s="34" t="str">
        <f>IF(NOT(ISBLANK(vlookup(B176,Pop_Census_2023!$A$2:$E$3220,4,FALSE))),vlookup(B176,Pop_Census_2023!$A$2:$E$3220,4,FALSE), vlookup(B176,Pop_Census_2023!$A$2:$E$3220,5,FALSE))</f>
        <v>#N/A</v>
      </c>
    </row>
    <row r="177">
      <c r="A177" s="47" t="s">
        <v>4047</v>
      </c>
      <c r="B177" s="47">
        <v>60050.0</v>
      </c>
      <c r="C177" s="47">
        <v>1.0</v>
      </c>
      <c r="D177" s="47" t="s">
        <v>4044</v>
      </c>
      <c r="E177" s="47" t="str">
        <f t="shared" si="1"/>
        <v>1A</v>
      </c>
      <c r="F177" s="47" t="s">
        <v>4045</v>
      </c>
      <c r="G177" s="47" t="s">
        <v>4052</v>
      </c>
      <c r="H177" s="34" t="str">
        <f>IF(NOT(ISBLANK(vlookup(B177,Pop_Census_2023!$A$2:$E$3220,4,FALSE))),vlookup(B177,Pop_Census_2023!$A$2:$E$3220,4,FALSE), vlookup(B177,Pop_Census_2023!$A$2:$E$3220,5,FALSE))</f>
        <v>#N/A</v>
      </c>
    </row>
    <row r="178">
      <c r="A178" s="47" t="s">
        <v>2063</v>
      </c>
      <c r="B178" s="47">
        <v>4001.0</v>
      </c>
      <c r="C178" s="47">
        <v>5.0</v>
      </c>
      <c r="D178" s="47" t="s">
        <v>4053</v>
      </c>
      <c r="E178" s="47" t="str">
        <f t="shared" si="1"/>
        <v>5B</v>
      </c>
      <c r="F178" s="47" t="s">
        <v>4054</v>
      </c>
      <c r="G178" s="47" t="s">
        <v>200</v>
      </c>
      <c r="H178" s="48">
        <f>IF(NOT(ISBLANK(vlookup(B178,Pop_Census_2023!$A$2:$E$3220,4,FALSE))),vlookup(B178,Pop_Census_2023!$A$2:$E$3220,4,FALSE), vlookup(B178,Pop_Census_2023!$A$2:$E$3220,5,FALSE))</f>
        <v>65036</v>
      </c>
    </row>
    <row r="179">
      <c r="A179" s="47" t="s">
        <v>2063</v>
      </c>
      <c r="B179" s="47">
        <v>4003.0</v>
      </c>
      <c r="C179" s="47">
        <v>3.0</v>
      </c>
      <c r="D179" s="47" t="s">
        <v>4053</v>
      </c>
      <c r="E179" s="47" t="str">
        <f t="shared" si="1"/>
        <v>3B</v>
      </c>
      <c r="F179" s="47" t="s">
        <v>4055</v>
      </c>
      <c r="G179" s="47" t="s">
        <v>203</v>
      </c>
      <c r="H179" s="48">
        <f>IF(NOT(ISBLANK(vlookup(B179,Pop_Census_2023!$A$2:$E$3220,4,FALSE))),vlookup(B179,Pop_Census_2023!$A$2:$E$3220,4,FALSE), vlookup(B179,Pop_Census_2023!$A$2:$E$3220,5,FALSE))</f>
        <v>124640</v>
      </c>
    </row>
    <row r="180">
      <c r="A180" s="47" t="s">
        <v>2063</v>
      </c>
      <c r="B180" s="47">
        <v>4005.0</v>
      </c>
      <c r="C180" s="47">
        <v>5.0</v>
      </c>
      <c r="D180" s="47" t="s">
        <v>4053</v>
      </c>
      <c r="E180" s="47" t="str">
        <f t="shared" si="1"/>
        <v>5B</v>
      </c>
      <c r="F180" s="47" t="s">
        <v>4054</v>
      </c>
      <c r="G180" s="47" t="s">
        <v>205</v>
      </c>
      <c r="H180" s="48">
        <f>IF(NOT(ISBLANK(vlookup(B180,Pop_Census_2023!$A$2:$E$3220,4,FALSE))),vlookup(B180,Pop_Census_2023!$A$2:$E$3220,4,FALSE), vlookup(B180,Pop_Census_2023!$A$2:$E$3220,5,FALSE))</f>
        <v>144472</v>
      </c>
    </row>
    <row r="181">
      <c r="A181" s="47" t="s">
        <v>2063</v>
      </c>
      <c r="B181" s="47">
        <v>4007.0</v>
      </c>
      <c r="C181" s="47">
        <v>4.0</v>
      </c>
      <c r="D181" s="47" t="s">
        <v>4053</v>
      </c>
      <c r="E181" s="47" t="str">
        <f t="shared" si="1"/>
        <v>4B</v>
      </c>
      <c r="F181" s="47" t="s">
        <v>4056</v>
      </c>
      <c r="G181" s="47" t="s">
        <v>206</v>
      </c>
      <c r="H181" s="48">
        <f>IF(NOT(ISBLANK(vlookup(B181,Pop_Census_2023!$A$2:$E$3220,4,FALSE))),vlookup(B181,Pop_Census_2023!$A$2:$E$3220,4,FALSE), vlookup(B181,Pop_Census_2023!$A$2:$E$3220,5,FALSE))</f>
        <v>54003</v>
      </c>
    </row>
    <row r="182">
      <c r="A182" s="47" t="s">
        <v>2063</v>
      </c>
      <c r="B182" s="47">
        <v>4009.0</v>
      </c>
      <c r="C182" s="47">
        <v>3.0</v>
      </c>
      <c r="D182" s="47" t="s">
        <v>4053</v>
      </c>
      <c r="E182" s="47" t="str">
        <f t="shared" si="1"/>
        <v>3B</v>
      </c>
      <c r="F182" s="47" t="s">
        <v>4055</v>
      </c>
      <c r="G182" s="47" t="s">
        <v>208</v>
      </c>
      <c r="H182" s="48">
        <f>IF(NOT(ISBLANK(vlookup(B182,Pop_Census_2023!$A$2:$E$3220,4,FALSE))),vlookup(B182,Pop_Census_2023!$A$2:$E$3220,4,FALSE), vlookup(B182,Pop_Census_2023!$A$2:$E$3220,5,FALSE))</f>
        <v>39525</v>
      </c>
    </row>
    <row r="183">
      <c r="A183" s="47" t="s">
        <v>2063</v>
      </c>
      <c r="B183" s="47">
        <v>4011.0</v>
      </c>
      <c r="C183" s="47">
        <v>3.0</v>
      </c>
      <c r="D183" s="47" t="s">
        <v>4053</v>
      </c>
      <c r="E183" s="47" t="str">
        <f t="shared" si="1"/>
        <v>3B</v>
      </c>
      <c r="F183" s="47" t="s">
        <v>4055</v>
      </c>
      <c r="G183" s="47" t="s">
        <v>209</v>
      </c>
      <c r="H183" s="48">
        <f>IF(NOT(ISBLANK(vlookup(B183,Pop_Census_2023!$A$2:$E$3220,4,FALSE))),vlookup(B183,Pop_Census_2023!$A$2:$E$3220,4,FALSE), vlookup(B183,Pop_Census_2023!$A$2:$E$3220,5,FALSE))</f>
        <v>9369</v>
      </c>
    </row>
    <row r="184">
      <c r="A184" s="47" t="s">
        <v>2063</v>
      </c>
      <c r="B184" s="47">
        <v>4012.0</v>
      </c>
      <c r="C184" s="47">
        <v>2.0</v>
      </c>
      <c r="D184" s="47" t="s">
        <v>4053</v>
      </c>
      <c r="E184" s="47" t="str">
        <f t="shared" si="1"/>
        <v>2B</v>
      </c>
      <c r="F184" s="47" t="s">
        <v>4055</v>
      </c>
      <c r="G184" s="47" t="s">
        <v>210</v>
      </c>
      <c r="H184" s="48">
        <f>IF(NOT(ISBLANK(vlookup(B184,Pop_Census_2023!$A$2:$E$3220,4,FALSE))),vlookup(B184,Pop_Census_2023!$A$2:$E$3220,4,FALSE), vlookup(B184,Pop_Census_2023!$A$2:$E$3220,5,FALSE))</f>
        <v>16710</v>
      </c>
    </row>
    <row r="185">
      <c r="A185" s="47" t="s">
        <v>2063</v>
      </c>
      <c r="B185" s="47">
        <v>4013.0</v>
      </c>
      <c r="C185" s="47">
        <v>2.0</v>
      </c>
      <c r="D185" s="47" t="s">
        <v>4053</v>
      </c>
      <c r="E185" s="47" t="str">
        <f t="shared" si="1"/>
        <v>2B</v>
      </c>
      <c r="F185" s="47" t="s">
        <v>4055</v>
      </c>
      <c r="G185" s="47" t="s">
        <v>212</v>
      </c>
      <c r="H185" s="48">
        <f>IF(NOT(ISBLANK(vlookup(B185,Pop_Census_2023!$A$2:$E$3220,4,FALSE))),vlookup(B185,Pop_Census_2023!$A$2:$E$3220,4,FALSE), vlookup(B185,Pop_Census_2023!$A$2:$E$3220,5,FALSE))</f>
        <v>4585871</v>
      </c>
    </row>
    <row r="186">
      <c r="A186" s="47" t="s">
        <v>2063</v>
      </c>
      <c r="B186" s="47">
        <v>4015.0</v>
      </c>
      <c r="C186" s="47">
        <v>3.0</v>
      </c>
      <c r="D186" s="47" t="s">
        <v>4053</v>
      </c>
      <c r="E186" s="47" t="str">
        <f t="shared" si="1"/>
        <v>3B</v>
      </c>
      <c r="F186" s="47" t="s">
        <v>4055</v>
      </c>
      <c r="G186" s="47" t="s">
        <v>213</v>
      </c>
      <c r="H186" s="48">
        <f>IF(NOT(ISBLANK(vlookup(B186,Pop_Census_2023!$A$2:$E$3220,4,FALSE))),vlookup(B186,Pop_Census_2023!$A$2:$E$3220,4,FALSE), vlookup(B186,Pop_Census_2023!$A$2:$E$3220,5,FALSE))</f>
        <v>223682</v>
      </c>
    </row>
    <row r="187">
      <c r="A187" s="47" t="s">
        <v>2063</v>
      </c>
      <c r="B187" s="47">
        <v>4017.0</v>
      </c>
      <c r="C187" s="47">
        <v>5.0</v>
      </c>
      <c r="D187" s="47" t="s">
        <v>4053</v>
      </c>
      <c r="E187" s="47" t="str">
        <f t="shared" si="1"/>
        <v>5B</v>
      </c>
      <c r="F187" s="47" t="s">
        <v>4054</v>
      </c>
      <c r="G187" s="47" t="s">
        <v>214</v>
      </c>
      <c r="H187" s="48">
        <f>IF(NOT(ISBLANK(vlookup(B187,Pop_Census_2023!$A$2:$E$3220,4,FALSE))),vlookup(B187,Pop_Census_2023!$A$2:$E$3220,4,FALSE), vlookup(B187,Pop_Census_2023!$A$2:$E$3220,5,FALSE))</f>
        <v>109175</v>
      </c>
    </row>
    <row r="188">
      <c r="A188" s="47" t="s">
        <v>2063</v>
      </c>
      <c r="B188" s="47">
        <v>4019.0</v>
      </c>
      <c r="C188" s="47">
        <v>2.0</v>
      </c>
      <c r="D188" s="47" t="s">
        <v>4053</v>
      </c>
      <c r="E188" s="47" t="str">
        <f t="shared" si="1"/>
        <v>2B</v>
      </c>
      <c r="F188" s="47" t="s">
        <v>4055</v>
      </c>
      <c r="G188" s="47" t="s">
        <v>215</v>
      </c>
      <c r="H188" s="48">
        <f>IF(NOT(ISBLANK(vlookup(B188,Pop_Census_2023!$A$2:$E$3220,4,FALSE))),vlookup(B188,Pop_Census_2023!$A$2:$E$3220,4,FALSE), vlookup(B188,Pop_Census_2023!$A$2:$E$3220,5,FALSE))</f>
        <v>1063162</v>
      </c>
    </row>
    <row r="189">
      <c r="A189" s="47" t="s">
        <v>2063</v>
      </c>
      <c r="B189" s="47">
        <v>4021.0</v>
      </c>
      <c r="C189" s="47">
        <v>2.0</v>
      </c>
      <c r="D189" s="47" t="s">
        <v>4053</v>
      </c>
      <c r="E189" s="47" t="str">
        <f t="shared" si="1"/>
        <v>2B</v>
      </c>
      <c r="F189" s="47" t="s">
        <v>4055</v>
      </c>
      <c r="G189" s="47" t="s">
        <v>216</v>
      </c>
      <c r="H189" s="48">
        <f>IF(NOT(ISBLANK(vlookup(B189,Pop_Census_2023!$A$2:$E$3220,4,FALSE))),vlookup(B189,Pop_Census_2023!$A$2:$E$3220,4,FALSE), vlookup(B189,Pop_Census_2023!$A$2:$E$3220,5,FALSE))</f>
        <v>484239</v>
      </c>
    </row>
    <row r="190">
      <c r="A190" s="47" t="s">
        <v>2063</v>
      </c>
      <c r="B190" s="47">
        <v>4023.0</v>
      </c>
      <c r="C190" s="47">
        <v>3.0</v>
      </c>
      <c r="D190" s="47" t="s">
        <v>4053</v>
      </c>
      <c r="E190" s="47" t="str">
        <f t="shared" si="1"/>
        <v>3B</v>
      </c>
      <c r="F190" s="47" t="s">
        <v>4055</v>
      </c>
      <c r="G190" s="47" t="s">
        <v>217</v>
      </c>
      <c r="H190" s="48">
        <f>IF(NOT(ISBLANK(vlookup(B190,Pop_Census_2023!$A$2:$E$3220,4,FALSE))),vlookup(B190,Pop_Census_2023!$A$2:$E$3220,4,FALSE), vlookup(B190,Pop_Census_2023!$A$2:$E$3220,5,FALSE))</f>
        <v>49158</v>
      </c>
    </row>
    <row r="191">
      <c r="A191" s="47" t="s">
        <v>2063</v>
      </c>
      <c r="B191" s="47">
        <v>4025.0</v>
      </c>
      <c r="C191" s="47">
        <v>4.0</v>
      </c>
      <c r="D191" s="47" t="s">
        <v>4053</v>
      </c>
      <c r="E191" s="47" t="str">
        <f t="shared" si="1"/>
        <v>4B</v>
      </c>
      <c r="F191" s="47" t="s">
        <v>4056</v>
      </c>
      <c r="G191" s="47" t="s">
        <v>218</v>
      </c>
      <c r="H191" s="48">
        <f>IF(NOT(ISBLANK(vlookup(B191,Pop_Census_2023!$A$2:$E$3220,4,FALSE))),vlookup(B191,Pop_Census_2023!$A$2:$E$3220,4,FALSE), vlookup(B191,Pop_Census_2023!$A$2:$E$3220,5,FALSE))</f>
        <v>249081</v>
      </c>
    </row>
    <row r="192">
      <c r="A192" s="47" t="s">
        <v>2063</v>
      </c>
      <c r="B192" s="47">
        <v>4027.0</v>
      </c>
      <c r="C192" s="47">
        <v>2.0</v>
      </c>
      <c r="D192" s="47" t="s">
        <v>4053</v>
      </c>
      <c r="E192" s="47" t="str">
        <f t="shared" si="1"/>
        <v>2B</v>
      </c>
      <c r="F192" s="47" t="s">
        <v>4055</v>
      </c>
      <c r="G192" s="47" t="s">
        <v>219</v>
      </c>
      <c r="H192" s="48">
        <f>IF(NOT(ISBLANK(vlookup(B192,Pop_Census_2023!$A$2:$E$3220,4,FALSE))),vlookup(B192,Pop_Census_2023!$A$2:$E$3220,4,FALSE), vlookup(B192,Pop_Census_2023!$A$2:$E$3220,5,FALSE))</f>
        <v>213221</v>
      </c>
    </row>
    <row r="193">
      <c r="A193" s="47" t="s">
        <v>2137</v>
      </c>
      <c r="B193" s="47">
        <v>6001.0</v>
      </c>
      <c r="C193" s="47">
        <v>3.0</v>
      </c>
      <c r="D193" s="47" t="s">
        <v>4057</v>
      </c>
      <c r="E193" s="47" t="str">
        <f t="shared" si="1"/>
        <v>3C</v>
      </c>
      <c r="F193" s="47" t="s">
        <v>4058</v>
      </c>
      <c r="G193" s="47" t="s">
        <v>278</v>
      </c>
      <c r="H193" s="48">
        <f>IF(NOT(ISBLANK(vlookup(B193,Pop_Census_2023!$A$2:$E$3220,4,FALSE))),vlookup(B193,Pop_Census_2023!$A$2:$E$3220,4,FALSE), vlookup(B193,Pop_Census_2023!$A$2:$E$3220,5,FALSE))</f>
        <v>1622188</v>
      </c>
    </row>
    <row r="194">
      <c r="A194" s="47" t="s">
        <v>2137</v>
      </c>
      <c r="B194" s="47">
        <v>6003.0</v>
      </c>
      <c r="C194" s="47">
        <v>6.0</v>
      </c>
      <c r="D194" s="47" t="s">
        <v>4053</v>
      </c>
      <c r="E194" s="47" t="str">
        <f t="shared" si="1"/>
        <v>6B</v>
      </c>
      <c r="F194" s="47" t="s">
        <v>4054</v>
      </c>
      <c r="G194" s="47" t="s">
        <v>281</v>
      </c>
      <c r="H194" s="48">
        <f>IF(NOT(ISBLANK(vlookup(B194,Pop_Census_2023!$A$2:$E$3220,4,FALSE))),vlookup(B194,Pop_Census_2023!$A$2:$E$3220,4,FALSE), vlookup(B194,Pop_Census_2023!$A$2:$E$3220,5,FALSE))</f>
        <v>1141</v>
      </c>
    </row>
    <row r="195">
      <c r="A195" s="47" t="s">
        <v>2137</v>
      </c>
      <c r="B195" s="47">
        <v>6005.0</v>
      </c>
      <c r="C195" s="47">
        <v>4.0</v>
      </c>
      <c r="D195" s="47" t="s">
        <v>4053</v>
      </c>
      <c r="E195" s="47" t="str">
        <f t="shared" si="1"/>
        <v>4B</v>
      </c>
      <c r="F195" s="47" t="s">
        <v>4056</v>
      </c>
      <c r="G195" s="47" t="s">
        <v>283</v>
      </c>
      <c r="H195" s="48">
        <f>IF(NOT(ISBLANK(vlookup(B195,Pop_Census_2023!$A$2:$E$3220,4,FALSE))),vlookup(B195,Pop_Census_2023!$A$2:$E$3220,4,FALSE), vlookup(B195,Pop_Census_2023!$A$2:$E$3220,5,FALSE))</f>
        <v>41811</v>
      </c>
    </row>
    <row r="196">
      <c r="A196" s="47" t="s">
        <v>2137</v>
      </c>
      <c r="B196" s="47">
        <v>6007.0</v>
      </c>
      <c r="C196" s="47">
        <v>3.0</v>
      </c>
      <c r="D196" s="47" t="s">
        <v>4053</v>
      </c>
      <c r="E196" s="47" t="str">
        <f t="shared" si="1"/>
        <v>3B</v>
      </c>
      <c r="F196" s="47" t="s">
        <v>4055</v>
      </c>
      <c r="G196" s="47" t="s">
        <v>284</v>
      </c>
      <c r="H196" s="48">
        <f>IF(NOT(ISBLANK(vlookup(B196,Pop_Census_2023!$A$2:$E$3220,4,FALSE))),vlookup(B196,Pop_Census_2023!$A$2:$E$3220,4,FALSE), vlookup(B196,Pop_Census_2023!$A$2:$E$3220,5,FALSE))</f>
        <v>207172</v>
      </c>
    </row>
    <row r="197">
      <c r="A197" s="47" t="s">
        <v>2137</v>
      </c>
      <c r="B197" s="47">
        <v>6009.0</v>
      </c>
      <c r="C197" s="47">
        <v>4.0</v>
      </c>
      <c r="D197" s="47" t="s">
        <v>4053</v>
      </c>
      <c r="E197" s="47" t="str">
        <f t="shared" si="1"/>
        <v>4B</v>
      </c>
      <c r="F197" s="47" t="s">
        <v>4056</v>
      </c>
      <c r="G197" s="47" t="s">
        <v>285</v>
      </c>
      <c r="H197" s="48">
        <f>IF(NOT(ISBLANK(vlookup(B197,Pop_Census_2023!$A$2:$E$3220,4,FALSE))),vlookup(B197,Pop_Census_2023!$A$2:$E$3220,4,FALSE), vlookup(B197,Pop_Census_2023!$A$2:$E$3220,5,FALSE))</f>
        <v>46565</v>
      </c>
    </row>
    <row r="198">
      <c r="A198" s="47" t="s">
        <v>2137</v>
      </c>
      <c r="B198" s="47">
        <v>6011.0</v>
      </c>
      <c r="C198" s="47">
        <v>3.0</v>
      </c>
      <c r="D198" s="47" t="s">
        <v>4053</v>
      </c>
      <c r="E198" s="47" t="str">
        <f t="shared" si="1"/>
        <v>3B</v>
      </c>
      <c r="F198" s="47" t="s">
        <v>4055</v>
      </c>
      <c r="G198" s="47" t="s">
        <v>286</v>
      </c>
      <c r="H198" s="48">
        <f>IF(NOT(ISBLANK(vlookup(B198,Pop_Census_2023!$A$2:$E$3220,4,FALSE))),vlookup(B198,Pop_Census_2023!$A$2:$E$3220,4,FALSE), vlookup(B198,Pop_Census_2023!$A$2:$E$3220,5,FALSE))</f>
        <v>22037</v>
      </c>
    </row>
    <row r="199">
      <c r="A199" s="47" t="s">
        <v>2137</v>
      </c>
      <c r="B199" s="47">
        <v>6013.0</v>
      </c>
      <c r="C199" s="47">
        <v>3.0</v>
      </c>
      <c r="D199" s="47" t="s">
        <v>4053</v>
      </c>
      <c r="E199" s="47" t="str">
        <f t="shared" si="1"/>
        <v>3B</v>
      </c>
      <c r="F199" s="47" t="s">
        <v>4055</v>
      </c>
      <c r="G199" s="47" t="s">
        <v>287</v>
      </c>
      <c r="H199" s="48">
        <f>IF(NOT(ISBLANK(vlookup(B199,Pop_Census_2023!$A$2:$E$3220,4,FALSE))),vlookup(B199,Pop_Census_2023!$A$2:$E$3220,4,FALSE), vlookup(B199,Pop_Census_2023!$A$2:$E$3220,5,FALSE))</f>
        <v>1155025</v>
      </c>
    </row>
    <row r="200">
      <c r="A200" s="47" t="s">
        <v>2137</v>
      </c>
      <c r="B200" s="47">
        <v>6015.0</v>
      </c>
      <c r="C200" s="47">
        <v>4.0</v>
      </c>
      <c r="D200" s="47" t="s">
        <v>4057</v>
      </c>
      <c r="E200" s="47" t="str">
        <f t="shared" si="1"/>
        <v>4C</v>
      </c>
      <c r="F200" s="47" t="s">
        <v>4058</v>
      </c>
      <c r="G200" s="47" t="s">
        <v>288</v>
      </c>
      <c r="H200" s="48">
        <f>IF(NOT(ISBLANK(vlookup(B200,Pop_Census_2023!$A$2:$E$3220,4,FALSE))),vlookup(B200,Pop_Census_2023!$A$2:$E$3220,4,FALSE), vlookup(B200,Pop_Census_2023!$A$2:$E$3220,5,FALSE))</f>
        <v>26589</v>
      </c>
    </row>
    <row r="201">
      <c r="A201" s="47" t="s">
        <v>2137</v>
      </c>
      <c r="B201" s="47">
        <v>6017.0</v>
      </c>
      <c r="C201" s="47">
        <v>4.0</v>
      </c>
      <c r="D201" s="47" t="s">
        <v>4053</v>
      </c>
      <c r="E201" s="47" t="str">
        <f t="shared" si="1"/>
        <v>4B</v>
      </c>
      <c r="F201" s="47" t="s">
        <v>4056</v>
      </c>
      <c r="G201" s="47" t="s">
        <v>290</v>
      </c>
      <c r="H201" s="48">
        <f>IF(NOT(ISBLANK(vlookup(B201,Pop_Census_2023!$A$2:$E$3220,4,FALSE))),vlookup(B201,Pop_Census_2023!$A$2:$E$3220,4,FALSE), vlookup(B201,Pop_Census_2023!$A$2:$E$3220,5,FALSE))</f>
        <v>192215</v>
      </c>
    </row>
    <row r="202">
      <c r="A202" s="47" t="s">
        <v>2137</v>
      </c>
      <c r="B202" s="47">
        <v>6019.0</v>
      </c>
      <c r="C202" s="47">
        <v>3.0</v>
      </c>
      <c r="D202" s="47" t="s">
        <v>4053</v>
      </c>
      <c r="E202" s="47" t="str">
        <f t="shared" si="1"/>
        <v>3B</v>
      </c>
      <c r="F202" s="47" t="s">
        <v>4055</v>
      </c>
      <c r="G202" s="47" t="s">
        <v>291</v>
      </c>
      <c r="H202" s="48">
        <f>IF(NOT(ISBLANK(vlookup(B202,Pop_Census_2023!$A$2:$E$3220,4,FALSE))),vlookup(B202,Pop_Census_2023!$A$2:$E$3220,4,FALSE), vlookup(B202,Pop_Census_2023!$A$2:$E$3220,5,FALSE))</f>
        <v>1017162</v>
      </c>
    </row>
    <row r="203">
      <c r="A203" s="47" t="s">
        <v>2137</v>
      </c>
      <c r="B203" s="47">
        <v>6021.0</v>
      </c>
      <c r="C203" s="47">
        <v>3.0</v>
      </c>
      <c r="D203" s="47" t="s">
        <v>4053</v>
      </c>
      <c r="E203" s="47" t="str">
        <f t="shared" si="1"/>
        <v>3B</v>
      </c>
      <c r="F203" s="47" t="s">
        <v>4055</v>
      </c>
      <c r="G203" s="47" t="s">
        <v>292</v>
      </c>
      <c r="H203" s="48">
        <f>IF(NOT(ISBLANK(vlookup(B203,Pop_Census_2023!$A$2:$E$3220,4,FALSE))),vlookup(B203,Pop_Census_2023!$A$2:$E$3220,4,FALSE), vlookup(B203,Pop_Census_2023!$A$2:$E$3220,5,FALSE))</f>
        <v>28129</v>
      </c>
    </row>
    <row r="204">
      <c r="A204" s="47" t="s">
        <v>2137</v>
      </c>
      <c r="B204" s="47">
        <v>6023.0</v>
      </c>
      <c r="C204" s="47">
        <v>4.0</v>
      </c>
      <c r="D204" s="47" t="s">
        <v>4057</v>
      </c>
      <c r="E204" s="47" t="str">
        <f t="shared" si="1"/>
        <v>4C</v>
      </c>
      <c r="F204" s="47" t="s">
        <v>4058</v>
      </c>
      <c r="G204" s="47" t="s">
        <v>293</v>
      </c>
      <c r="H204" s="48">
        <f>IF(NOT(ISBLANK(vlookup(B204,Pop_Census_2023!$A$2:$E$3220,4,FALSE))),vlookup(B204,Pop_Census_2023!$A$2:$E$3220,4,FALSE), vlookup(B204,Pop_Census_2023!$A$2:$E$3220,5,FALSE))</f>
        <v>133985</v>
      </c>
    </row>
    <row r="205">
      <c r="A205" s="47" t="s">
        <v>2137</v>
      </c>
      <c r="B205" s="47">
        <v>6025.0</v>
      </c>
      <c r="C205" s="47">
        <v>2.0</v>
      </c>
      <c r="D205" s="47" t="s">
        <v>4053</v>
      </c>
      <c r="E205" s="47" t="str">
        <f t="shared" si="1"/>
        <v>2B</v>
      </c>
      <c r="F205" s="47" t="s">
        <v>4055</v>
      </c>
      <c r="G205" s="47" t="s">
        <v>294</v>
      </c>
      <c r="H205" s="48">
        <f>IF(NOT(ISBLANK(vlookup(B205,Pop_Census_2023!$A$2:$E$3220,4,FALSE))),vlookup(B205,Pop_Census_2023!$A$2:$E$3220,4,FALSE), vlookup(B205,Pop_Census_2023!$A$2:$E$3220,5,FALSE))</f>
        <v>179057</v>
      </c>
    </row>
    <row r="206">
      <c r="A206" s="47" t="s">
        <v>2137</v>
      </c>
      <c r="B206" s="47">
        <v>6027.0</v>
      </c>
      <c r="C206" s="47">
        <v>4.0</v>
      </c>
      <c r="D206" s="47" t="s">
        <v>4053</v>
      </c>
      <c r="E206" s="47" t="str">
        <f t="shared" si="1"/>
        <v>4B</v>
      </c>
      <c r="F206" s="47" t="s">
        <v>4056</v>
      </c>
      <c r="G206" s="47" t="s">
        <v>295</v>
      </c>
      <c r="H206" s="48">
        <f>IF(NOT(ISBLANK(vlookup(B206,Pop_Census_2023!$A$2:$E$3220,4,FALSE))),vlookup(B206,Pop_Census_2023!$A$2:$E$3220,4,FALSE), vlookup(B206,Pop_Census_2023!$A$2:$E$3220,5,FALSE))</f>
        <v>18527</v>
      </c>
    </row>
    <row r="207">
      <c r="A207" s="47" t="s">
        <v>2137</v>
      </c>
      <c r="B207" s="47">
        <v>6029.0</v>
      </c>
      <c r="C207" s="47">
        <v>3.0</v>
      </c>
      <c r="D207" s="47" t="s">
        <v>4053</v>
      </c>
      <c r="E207" s="47" t="str">
        <f t="shared" si="1"/>
        <v>3B</v>
      </c>
      <c r="F207" s="47" t="s">
        <v>4055</v>
      </c>
      <c r="G207" s="47" t="s">
        <v>296</v>
      </c>
      <c r="H207" s="48">
        <f>IF(NOT(ISBLANK(vlookup(B207,Pop_Census_2023!$A$2:$E$3220,4,FALSE))),vlookup(B207,Pop_Census_2023!$A$2:$E$3220,4,FALSE), vlookup(B207,Pop_Census_2023!$A$2:$E$3220,5,FALSE))</f>
        <v>913820</v>
      </c>
    </row>
    <row r="208">
      <c r="A208" s="47" t="s">
        <v>2137</v>
      </c>
      <c r="B208" s="47">
        <v>6031.0</v>
      </c>
      <c r="C208" s="47">
        <v>3.0</v>
      </c>
      <c r="D208" s="47" t="s">
        <v>4053</v>
      </c>
      <c r="E208" s="47" t="str">
        <f t="shared" si="1"/>
        <v>3B</v>
      </c>
      <c r="F208" s="47" t="s">
        <v>4055</v>
      </c>
      <c r="G208" s="47" t="s">
        <v>297</v>
      </c>
      <c r="H208" s="48">
        <f>IF(NOT(ISBLANK(vlookup(B208,Pop_Census_2023!$A$2:$E$3220,4,FALSE))),vlookup(B208,Pop_Census_2023!$A$2:$E$3220,4,FALSE), vlookup(B208,Pop_Census_2023!$A$2:$E$3220,5,FALSE))</f>
        <v>152682</v>
      </c>
    </row>
    <row r="209">
      <c r="A209" s="47" t="s">
        <v>2137</v>
      </c>
      <c r="B209" s="47">
        <v>6033.0</v>
      </c>
      <c r="C209" s="47">
        <v>4.0</v>
      </c>
      <c r="D209" s="47" t="s">
        <v>4053</v>
      </c>
      <c r="E209" s="47" t="str">
        <f t="shared" si="1"/>
        <v>4B</v>
      </c>
      <c r="F209" s="47" t="s">
        <v>4056</v>
      </c>
      <c r="G209" s="47" t="s">
        <v>298</v>
      </c>
      <c r="H209" s="48">
        <f>IF(NOT(ISBLANK(vlookup(B209,Pop_Census_2023!$A$2:$E$3220,4,FALSE))),vlookup(B209,Pop_Census_2023!$A$2:$E$3220,4,FALSE), vlookup(B209,Pop_Census_2023!$A$2:$E$3220,5,FALSE))</f>
        <v>67878</v>
      </c>
    </row>
    <row r="210">
      <c r="A210" s="47" t="s">
        <v>2137</v>
      </c>
      <c r="B210" s="47">
        <v>6035.0</v>
      </c>
      <c r="C210" s="47">
        <v>5.0</v>
      </c>
      <c r="D210" s="47" t="s">
        <v>4053</v>
      </c>
      <c r="E210" s="47" t="str">
        <f t="shared" si="1"/>
        <v>5B</v>
      </c>
      <c r="F210" s="47" t="s">
        <v>4054</v>
      </c>
      <c r="G210" s="47" t="s">
        <v>299</v>
      </c>
      <c r="H210" s="48">
        <f>IF(NOT(ISBLANK(vlookup(B210,Pop_Census_2023!$A$2:$E$3220,4,FALSE))),vlookup(B210,Pop_Census_2023!$A$2:$E$3220,4,FALSE), vlookup(B210,Pop_Census_2023!$A$2:$E$3220,5,FALSE))</f>
        <v>28861</v>
      </c>
    </row>
    <row r="211">
      <c r="A211" s="47" t="s">
        <v>2137</v>
      </c>
      <c r="B211" s="47">
        <v>6037.0</v>
      </c>
      <c r="C211" s="47">
        <v>3.0</v>
      </c>
      <c r="D211" s="47" t="s">
        <v>4053</v>
      </c>
      <c r="E211" s="47" t="str">
        <f t="shared" si="1"/>
        <v>3B</v>
      </c>
      <c r="F211" s="47" t="s">
        <v>4055</v>
      </c>
      <c r="G211" s="47" t="s">
        <v>300</v>
      </c>
      <c r="H211" s="48">
        <f>IF(NOT(ISBLANK(vlookup(B211,Pop_Census_2023!$A$2:$E$3220,4,FALSE))),vlookup(B211,Pop_Census_2023!$A$2:$E$3220,4,FALSE), vlookup(B211,Pop_Census_2023!$A$2:$E$3220,5,FALSE))</f>
        <v>9663345</v>
      </c>
    </row>
    <row r="212">
      <c r="A212" s="47" t="s">
        <v>2137</v>
      </c>
      <c r="B212" s="47">
        <v>6039.0</v>
      </c>
      <c r="C212" s="47">
        <v>3.0</v>
      </c>
      <c r="D212" s="47" t="s">
        <v>4053</v>
      </c>
      <c r="E212" s="47" t="str">
        <f t="shared" si="1"/>
        <v>3B</v>
      </c>
      <c r="F212" s="47" t="s">
        <v>4055</v>
      </c>
      <c r="G212" s="47" t="s">
        <v>301</v>
      </c>
      <c r="H212" s="48">
        <f>IF(NOT(ISBLANK(vlookup(B212,Pop_Census_2023!$A$2:$E$3220,4,FALSE))),vlookup(B212,Pop_Census_2023!$A$2:$E$3220,4,FALSE), vlookup(B212,Pop_Census_2023!$A$2:$E$3220,5,FALSE))</f>
        <v>162858</v>
      </c>
    </row>
    <row r="213">
      <c r="A213" s="47" t="s">
        <v>2137</v>
      </c>
      <c r="B213" s="47">
        <v>6041.0</v>
      </c>
      <c r="C213" s="47">
        <v>3.0</v>
      </c>
      <c r="D213" s="47" t="s">
        <v>4057</v>
      </c>
      <c r="E213" s="47" t="str">
        <f t="shared" si="1"/>
        <v>3C</v>
      </c>
      <c r="F213" s="47" t="s">
        <v>4058</v>
      </c>
      <c r="G213" s="47" t="s">
        <v>302</v>
      </c>
      <c r="H213" s="48">
        <f>IF(NOT(ISBLANK(vlookup(B213,Pop_Census_2023!$A$2:$E$3220,4,FALSE))),vlookup(B213,Pop_Census_2023!$A$2:$E$3220,4,FALSE), vlookup(B213,Pop_Census_2023!$A$2:$E$3220,5,FALSE))</f>
        <v>254407</v>
      </c>
    </row>
    <row r="214">
      <c r="A214" s="47" t="s">
        <v>2137</v>
      </c>
      <c r="B214" s="47">
        <v>6043.0</v>
      </c>
      <c r="C214" s="47">
        <v>4.0</v>
      </c>
      <c r="D214" s="47" t="s">
        <v>4053</v>
      </c>
      <c r="E214" s="47" t="str">
        <f t="shared" si="1"/>
        <v>4B</v>
      </c>
      <c r="F214" s="47" t="s">
        <v>4056</v>
      </c>
      <c r="G214" s="47" t="s">
        <v>303</v>
      </c>
      <c r="H214" s="48">
        <f>IF(NOT(ISBLANK(vlookup(B214,Pop_Census_2023!$A$2:$E$3220,4,FALSE))),vlookup(B214,Pop_Census_2023!$A$2:$E$3220,4,FALSE), vlookup(B214,Pop_Census_2023!$A$2:$E$3220,5,FALSE))</f>
        <v>16919</v>
      </c>
    </row>
    <row r="215">
      <c r="A215" s="47" t="s">
        <v>2137</v>
      </c>
      <c r="B215" s="47">
        <v>6045.0</v>
      </c>
      <c r="C215" s="47">
        <v>3.0</v>
      </c>
      <c r="D215" s="47" t="s">
        <v>4057</v>
      </c>
      <c r="E215" s="47" t="str">
        <f t="shared" si="1"/>
        <v>3C</v>
      </c>
      <c r="F215" s="47" t="s">
        <v>4058</v>
      </c>
      <c r="G215" s="47" t="s">
        <v>304</v>
      </c>
      <c r="H215" s="48">
        <f>IF(NOT(ISBLANK(vlookup(B215,Pop_Census_2023!$A$2:$E$3220,4,FALSE))),vlookup(B215,Pop_Census_2023!$A$2:$E$3220,4,FALSE), vlookup(B215,Pop_Census_2023!$A$2:$E$3220,5,FALSE))</f>
        <v>89108</v>
      </c>
    </row>
    <row r="216">
      <c r="A216" s="47" t="s">
        <v>2137</v>
      </c>
      <c r="B216" s="47">
        <v>6047.0</v>
      </c>
      <c r="C216" s="47">
        <v>3.0</v>
      </c>
      <c r="D216" s="47" t="s">
        <v>4053</v>
      </c>
      <c r="E216" s="47" t="str">
        <f t="shared" si="1"/>
        <v>3B</v>
      </c>
      <c r="F216" s="47" t="s">
        <v>4055</v>
      </c>
      <c r="G216" s="47" t="s">
        <v>305</v>
      </c>
      <c r="H216" s="48">
        <f>IF(NOT(ISBLANK(vlookup(B216,Pop_Census_2023!$A$2:$E$3220,4,FALSE))),vlookup(B216,Pop_Census_2023!$A$2:$E$3220,4,FALSE), vlookup(B216,Pop_Census_2023!$A$2:$E$3220,5,FALSE))</f>
        <v>291920</v>
      </c>
    </row>
    <row r="217">
      <c r="A217" s="47" t="s">
        <v>2137</v>
      </c>
      <c r="B217" s="47">
        <v>6049.0</v>
      </c>
      <c r="C217" s="47">
        <v>5.0</v>
      </c>
      <c r="D217" s="47" t="s">
        <v>4053</v>
      </c>
      <c r="E217" s="47" t="str">
        <f t="shared" si="1"/>
        <v>5B</v>
      </c>
      <c r="F217" s="47" t="s">
        <v>4054</v>
      </c>
      <c r="G217" s="47" t="s">
        <v>306</v>
      </c>
      <c r="H217" s="48">
        <f>IF(NOT(ISBLANK(vlookup(B217,Pop_Census_2023!$A$2:$E$3220,4,FALSE))),vlookup(B217,Pop_Census_2023!$A$2:$E$3220,4,FALSE), vlookup(B217,Pop_Census_2023!$A$2:$E$3220,5,FALSE))</f>
        <v>8500</v>
      </c>
    </row>
    <row r="218">
      <c r="A218" s="47" t="s">
        <v>2137</v>
      </c>
      <c r="B218" s="47">
        <v>6051.0</v>
      </c>
      <c r="C218" s="47">
        <v>6.0</v>
      </c>
      <c r="D218" s="47" t="s">
        <v>4053</v>
      </c>
      <c r="E218" s="47" t="str">
        <f t="shared" si="1"/>
        <v>6B</v>
      </c>
      <c r="F218" s="47" t="s">
        <v>4054</v>
      </c>
      <c r="G218" s="47" t="s">
        <v>307</v>
      </c>
      <c r="H218" s="48">
        <f>IF(NOT(ISBLANK(vlookup(B218,Pop_Census_2023!$A$2:$E$3220,4,FALSE))),vlookup(B218,Pop_Census_2023!$A$2:$E$3220,4,FALSE), vlookup(B218,Pop_Census_2023!$A$2:$E$3220,5,FALSE))</f>
        <v>13066</v>
      </c>
    </row>
    <row r="219">
      <c r="A219" s="47" t="s">
        <v>2137</v>
      </c>
      <c r="B219" s="47">
        <v>6053.0</v>
      </c>
      <c r="C219" s="47">
        <v>3.0</v>
      </c>
      <c r="D219" s="47" t="s">
        <v>4057</v>
      </c>
      <c r="E219" s="47" t="str">
        <f t="shared" si="1"/>
        <v>3C</v>
      </c>
      <c r="F219" s="47" t="s">
        <v>4058</v>
      </c>
      <c r="G219" s="47" t="s">
        <v>308</v>
      </c>
      <c r="H219" s="48">
        <f>IF(NOT(ISBLANK(vlookup(B219,Pop_Census_2023!$A$2:$E$3220,4,FALSE))),vlookup(B219,Pop_Census_2023!$A$2:$E$3220,4,FALSE), vlookup(B219,Pop_Census_2023!$A$2:$E$3220,5,FALSE))</f>
        <v>430723</v>
      </c>
    </row>
    <row r="220">
      <c r="A220" s="47" t="s">
        <v>2137</v>
      </c>
      <c r="B220" s="47">
        <v>6055.0</v>
      </c>
      <c r="C220" s="47">
        <v>3.0</v>
      </c>
      <c r="D220" s="47" t="s">
        <v>4057</v>
      </c>
      <c r="E220" s="47" t="str">
        <f t="shared" si="1"/>
        <v>3C</v>
      </c>
      <c r="F220" s="47" t="s">
        <v>4058</v>
      </c>
      <c r="G220" s="47" t="s">
        <v>309</v>
      </c>
      <c r="H220" s="48">
        <f>IF(NOT(ISBLANK(vlookup(B220,Pop_Census_2023!$A$2:$E$3220,4,FALSE))),vlookup(B220,Pop_Census_2023!$A$2:$E$3220,4,FALSE), vlookup(B220,Pop_Census_2023!$A$2:$E$3220,5,FALSE))</f>
        <v>133216</v>
      </c>
    </row>
    <row r="221">
      <c r="A221" s="47" t="s">
        <v>2137</v>
      </c>
      <c r="B221" s="47">
        <v>6057.0</v>
      </c>
      <c r="C221" s="47">
        <v>5.0</v>
      </c>
      <c r="D221" s="47" t="s">
        <v>4053</v>
      </c>
      <c r="E221" s="47" t="str">
        <f t="shared" si="1"/>
        <v>5B</v>
      </c>
      <c r="F221" s="47" t="s">
        <v>4054</v>
      </c>
      <c r="G221" s="47" t="s">
        <v>256</v>
      </c>
      <c r="H221" s="48">
        <f>IF(NOT(ISBLANK(vlookup(B221,Pop_Census_2023!$A$2:$E$3220,4,FALSE))),vlookup(B221,Pop_Census_2023!$A$2:$E$3220,4,FALSE), vlookup(B221,Pop_Census_2023!$A$2:$E$3220,5,FALSE))</f>
        <v>102037</v>
      </c>
    </row>
    <row r="222">
      <c r="A222" s="47" t="s">
        <v>2137</v>
      </c>
      <c r="B222" s="47">
        <v>6059.0</v>
      </c>
      <c r="C222" s="47">
        <v>3.0</v>
      </c>
      <c r="D222" s="47" t="s">
        <v>4053</v>
      </c>
      <c r="E222" s="47" t="str">
        <f t="shared" si="1"/>
        <v>3B</v>
      </c>
      <c r="F222" s="47" t="s">
        <v>4055</v>
      </c>
      <c r="G222" s="47" t="s">
        <v>310</v>
      </c>
      <c r="H222" s="48">
        <f>IF(NOT(ISBLANK(vlookup(B222,Pop_Census_2023!$A$2:$E$3220,4,FALSE))),vlookup(B222,Pop_Census_2023!$A$2:$E$3220,4,FALSE), vlookup(B222,Pop_Census_2023!$A$2:$E$3220,5,FALSE))</f>
        <v>3135755</v>
      </c>
    </row>
    <row r="223">
      <c r="A223" s="47" t="s">
        <v>2137</v>
      </c>
      <c r="B223" s="47">
        <v>6061.0</v>
      </c>
      <c r="C223" s="47">
        <v>3.0</v>
      </c>
      <c r="D223" s="47" t="s">
        <v>4053</v>
      </c>
      <c r="E223" s="47" t="str">
        <f t="shared" si="1"/>
        <v>3B</v>
      </c>
      <c r="F223" s="47" t="s">
        <v>4055</v>
      </c>
      <c r="G223" s="47" t="s">
        <v>311</v>
      </c>
      <c r="H223" s="48">
        <f>IF(NOT(ISBLANK(vlookup(B223,Pop_Census_2023!$A$2:$E$3220,4,FALSE))),vlookup(B223,Pop_Census_2023!$A$2:$E$3220,4,FALSE), vlookup(B223,Pop_Census_2023!$A$2:$E$3220,5,FALSE))</f>
        <v>423561</v>
      </c>
    </row>
    <row r="224">
      <c r="A224" s="47" t="s">
        <v>2137</v>
      </c>
      <c r="B224" s="47">
        <v>6063.0</v>
      </c>
      <c r="C224" s="47">
        <v>5.0</v>
      </c>
      <c r="D224" s="47" t="s">
        <v>4053</v>
      </c>
      <c r="E224" s="47" t="str">
        <f t="shared" si="1"/>
        <v>5B</v>
      </c>
      <c r="F224" s="47" t="s">
        <v>4054</v>
      </c>
      <c r="G224" s="47" t="s">
        <v>312</v>
      </c>
      <c r="H224" s="48">
        <f>IF(NOT(ISBLANK(vlookup(B224,Pop_Census_2023!$A$2:$E$3220,4,FALSE))),vlookup(B224,Pop_Census_2023!$A$2:$E$3220,4,FALSE), vlookup(B224,Pop_Census_2023!$A$2:$E$3220,5,FALSE))</f>
        <v>19131</v>
      </c>
    </row>
    <row r="225">
      <c r="A225" s="47" t="s">
        <v>2137</v>
      </c>
      <c r="B225" s="47">
        <v>6065.0</v>
      </c>
      <c r="C225" s="47">
        <v>3.0</v>
      </c>
      <c r="D225" s="47" t="s">
        <v>4053</v>
      </c>
      <c r="E225" s="47" t="str">
        <f t="shared" si="1"/>
        <v>3B</v>
      </c>
      <c r="F225" s="47" t="s">
        <v>4055</v>
      </c>
      <c r="G225" s="47" t="s">
        <v>313</v>
      </c>
      <c r="H225" s="48">
        <f>IF(NOT(ISBLANK(vlookup(B225,Pop_Census_2023!$A$2:$E$3220,4,FALSE))),vlookup(B225,Pop_Census_2023!$A$2:$E$3220,4,FALSE), vlookup(B225,Pop_Census_2023!$A$2:$E$3220,5,FALSE))</f>
        <v>2492442</v>
      </c>
    </row>
    <row r="226">
      <c r="A226" s="47" t="s">
        <v>2137</v>
      </c>
      <c r="B226" s="47">
        <v>6067.0</v>
      </c>
      <c r="C226" s="47">
        <v>3.0</v>
      </c>
      <c r="D226" s="47" t="s">
        <v>4053</v>
      </c>
      <c r="E226" s="47" t="str">
        <f t="shared" si="1"/>
        <v>3B</v>
      </c>
      <c r="F226" s="47" t="s">
        <v>4055</v>
      </c>
      <c r="G226" s="47" t="s">
        <v>314</v>
      </c>
      <c r="H226" s="48">
        <f>IF(NOT(ISBLANK(vlookup(B226,Pop_Census_2023!$A$2:$E$3220,4,FALSE))),vlookup(B226,Pop_Census_2023!$A$2:$E$3220,4,FALSE), vlookup(B226,Pop_Census_2023!$A$2:$E$3220,5,FALSE))</f>
        <v>1584288</v>
      </c>
    </row>
    <row r="227">
      <c r="A227" s="47" t="s">
        <v>2137</v>
      </c>
      <c r="B227" s="47">
        <v>6069.0</v>
      </c>
      <c r="C227" s="47">
        <v>3.0</v>
      </c>
      <c r="D227" s="47" t="s">
        <v>4057</v>
      </c>
      <c r="E227" s="47" t="str">
        <f t="shared" si="1"/>
        <v>3C</v>
      </c>
      <c r="F227" s="47" t="s">
        <v>4058</v>
      </c>
      <c r="G227" s="47" t="s">
        <v>315</v>
      </c>
      <c r="H227" s="48">
        <f>IF(NOT(ISBLANK(vlookup(B227,Pop_Census_2023!$A$2:$E$3220,4,FALSE))),vlookup(B227,Pop_Census_2023!$A$2:$E$3220,4,FALSE), vlookup(B227,Pop_Census_2023!$A$2:$E$3220,5,FALSE))</f>
        <v>68175</v>
      </c>
    </row>
    <row r="228">
      <c r="A228" s="47" t="s">
        <v>2137</v>
      </c>
      <c r="B228" s="47">
        <v>6071.0</v>
      </c>
      <c r="C228" s="47">
        <v>3.0</v>
      </c>
      <c r="D228" s="47" t="s">
        <v>4053</v>
      </c>
      <c r="E228" s="47" t="str">
        <f t="shared" si="1"/>
        <v>3B</v>
      </c>
      <c r="F228" s="47" t="s">
        <v>4055</v>
      </c>
      <c r="G228" s="47" t="s">
        <v>316</v>
      </c>
      <c r="H228" s="48">
        <f>IF(NOT(ISBLANK(vlookup(B228,Pop_Census_2023!$A$2:$E$3220,4,FALSE))),vlookup(B228,Pop_Census_2023!$A$2:$E$3220,4,FALSE), vlookup(B228,Pop_Census_2023!$A$2:$E$3220,5,FALSE))</f>
        <v>2195611</v>
      </c>
    </row>
    <row r="229">
      <c r="A229" s="47" t="s">
        <v>2137</v>
      </c>
      <c r="B229" s="47">
        <v>6073.0</v>
      </c>
      <c r="C229" s="47">
        <v>3.0</v>
      </c>
      <c r="D229" s="47" t="s">
        <v>4053</v>
      </c>
      <c r="E229" s="47" t="str">
        <f t="shared" si="1"/>
        <v>3B</v>
      </c>
      <c r="F229" s="47" t="s">
        <v>4055</v>
      </c>
      <c r="G229" s="47" t="s">
        <v>317</v>
      </c>
      <c r="H229" s="48">
        <f>IF(NOT(ISBLANK(vlookup(B229,Pop_Census_2023!$A$2:$E$3220,4,FALSE))),vlookup(B229,Pop_Census_2023!$A$2:$E$3220,4,FALSE), vlookup(B229,Pop_Census_2023!$A$2:$E$3220,5,FALSE))</f>
        <v>3269973</v>
      </c>
    </row>
    <row r="230">
      <c r="A230" s="47" t="s">
        <v>2137</v>
      </c>
      <c r="B230" s="47">
        <v>6075.0</v>
      </c>
      <c r="C230" s="47">
        <v>3.0</v>
      </c>
      <c r="D230" s="47" t="s">
        <v>4057</v>
      </c>
      <c r="E230" s="47" t="str">
        <f t="shared" si="1"/>
        <v>3C</v>
      </c>
      <c r="F230" s="47" t="s">
        <v>4058</v>
      </c>
      <c r="G230" s="47" t="s">
        <v>318</v>
      </c>
      <c r="H230" s="48">
        <f>IF(NOT(ISBLANK(vlookup(B230,Pop_Census_2023!$A$2:$E$3220,4,FALSE))),vlookup(B230,Pop_Census_2023!$A$2:$E$3220,4,FALSE), vlookup(B230,Pop_Census_2023!$A$2:$E$3220,5,FALSE))</f>
        <v>808988</v>
      </c>
    </row>
    <row r="231">
      <c r="A231" s="47" t="s">
        <v>2137</v>
      </c>
      <c r="B231" s="47">
        <v>6077.0</v>
      </c>
      <c r="C231" s="47">
        <v>3.0</v>
      </c>
      <c r="D231" s="47" t="s">
        <v>4053</v>
      </c>
      <c r="E231" s="47" t="str">
        <f t="shared" si="1"/>
        <v>3B</v>
      </c>
      <c r="F231" s="47" t="s">
        <v>4055</v>
      </c>
      <c r="G231" s="47" t="s">
        <v>319</v>
      </c>
      <c r="H231" s="48">
        <f>IF(NOT(ISBLANK(vlookup(B231,Pop_Census_2023!$A$2:$E$3220,4,FALSE))),vlookup(B231,Pop_Census_2023!$A$2:$E$3220,4,FALSE), vlookup(B231,Pop_Census_2023!$A$2:$E$3220,5,FALSE))</f>
        <v>800965</v>
      </c>
    </row>
    <row r="232">
      <c r="A232" s="47" t="s">
        <v>2137</v>
      </c>
      <c r="B232" s="47">
        <v>6079.0</v>
      </c>
      <c r="C232" s="47">
        <v>3.0</v>
      </c>
      <c r="D232" s="47" t="s">
        <v>4057</v>
      </c>
      <c r="E232" s="47" t="str">
        <f t="shared" si="1"/>
        <v>3C</v>
      </c>
      <c r="F232" s="47" t="s">
        <v>4058</v>
      </c>
      <c r="G232" s="47" t="s">
        <v>320</v>
      </c>
      <c r="H232" s="48">
        <f>IF(NOT(ISBLANK(vlookup(B232,Pop_Census_2023!$A$2:$E$3220,4,FALSE))),vlookup(B232,Pop_Census_2023!$A$2:$E$3220,4,FALSE), vlookup(B232,Pop_Census_2023!$A$2:$E$3220,5,FALSE))</f>
        <v>281639</v>
      </c>
    </row>
    <row r="233">
      <c r="A233" s="47" t="s">
        <v>2137</v>
      </c>
      <c r="B233" s="47">
        <v>6081.0</v>
      </c>
      <c r="C233" s="47">
        <v>3.0</v>
      </c>
      <c r="D233" s="47" t="s">
        <v>4057</v>
      </c>
      <c r="E233" s="47" t="str">
        <f t="shared" si="1"/>
        <v>3C</v>
      </c>
      <c r="F233" s="47" t="s">
        <v>4058</v>
      </c>
      <c r="G233" s="47" t="s">
        <v>321</v>
      </c>
      <c r="H233" s="48">
        <f>IF(NOT(ISBLANK(vlookup(B233,Pop_Census_2023!$A$2:$E$3220,4,FALSE))),vlookup(B233,Pop_Census_2023!$A$2:$E$3220,4,FALSE), vlookup(B233,Pop_Census_2023!$A$2:$E$3220,5,FALSE))</f>
        <v>726353</v>
      </c>
    </row>
    <row r="234">
      <c r="A234" s="47" t="s">
        <v>2137</v>
      </c>
      <c r="B234" s="47">
        <v>6083.0</v>
      </c>
      <c r="C234" s="47">
        <v>3.0</v>
      </c>
      <c r="D234" s="47" t="s">
        <v>4057</v>
      </c>
      <c r="E234" s="47" t="str">
        <f t="shared" si="1"/>
        <v>3C</v>
      </c>
      <c r="F234" s="47" t="s">
        <v>4058</v>
      </c>
      <c r="G234" s="47" t="s">
        <v>322</v>
      </c>
      <c r="H234" s="48">
        <f>IF(NOT(ISBLANK(vlookup(B234,Pop_Census_2023!$A$2:$E$3220,4,FALSE))),vlookup(B234,Pop_Census_2023!$A$2:$E$3220,4,FALSE), vlookup(B234,Pop_Census_2023!$A$2:$E$3220,5,FALSE))</f>
        <v>441257</v>
      </c>
    </row>
    <row r="235">
      <c r="A235" s="47" t="s">
        <v>2137</v>
      </c>
      <c r="B235" s="47">
        <v>6085.0</v>
      </c>
      <c r="C235" s="47">
        <v>3.0</v>
      </c>
      <c r="D235" s="47" t="s">
        <v>4057</v>
      </c>
      <c r="E235" s="47" t="str">
        <f t="shared" si="1"/>
        <v>3C</v>
      </c>
      <c r="F235" s="47" t="s">
        <v>4058</v>
      </c>
      <c r="G235" s="47" t="s">
        <v>323</v>
      </c>
      <c r="H235" s="48">
        <f>IF(NOT(ISBLANK(vlookup(B235,Pop_Census_2023!$A$2:$E$3220,4,FALSE))),vlookup(B235,Pop_Census_2023!$A$2:$E$3220,4,FALSE), vlookup(B235,Pop_Census_2023!$A$2:$E$3220,5,FALSE))</f>
        <v>1877592</v>
      </c>
    </row>
    <row r="236">
      <c r="A236" s="47" t="s">
        <v>2137</v>
      </c>
      <c r="B236" s="47">
        <v>6087.0</v>
      </c>
      <c r="C236" s="47">
        <v>3.0</v>
      </c>
      <c r="D236" s="47" t="s">
        <v>4057</v>
      </c>
      <c r="E236" s="47" t="str">
        <f t="shared" si="1"/>
        <v>3C</v>
      </c>
      <c r="F236" s="47" t="s">
        <v>4058</v>
      </c>
      <c r="G236" s="47" t="s">
        <v>217</v>
      </c>
      <c r="H236" s="48">
        <f>IF(NOT(ISBLANK(vlookup(B236,Pop_Census_2023!$A$2:$E$3220,4,FALSE))),vlookup(B236,Pop_Census_2023!$A$2:$E$3220,4,FALSE), vlookup(B236,Pop_Census_2023!$A$2:$E$3220,5,FALSE))</f>
        <v>261547</v>
      </c>
    </row>
    <row r="237">
      <c r="A237" s="47" t="s">
        <v>2137</v>
      </c>
      <c r="B237" s="47">
        <v>6089.0</v>
      </c>
      <c r="C237" s="47">
        <v>3.0</v>
      </c>
      <c r="D237" s="47" t="s">
        <v>4053</v>
      </c>
      <c r="E237" s="47" t="str">
        <f t="shared" si="1"/>
        <v>3B</v>
      </c>
      <c r="F237" s="47" t="s">
        <v>4055</v>
      </c>
      <c r="G237" s="47" t="s">
        <v>324</v>
      </c>
      <c r="H237" s="48">
        <f>IF(NOT(ISBLANK(vlookup(B237,Pop_Census_2023!$A$2:$E$3220,4,FALSE))),vlookup(B237,Pop_Census_2023!$A$2:$E$3220,4,FALSE), vlookup(B237,Pop_Census_2023!$A$2:$E$3220,5,FALSE))</f>
        <v>180366</v>
      </c>
    </row>
    <row r="238">
      <c r="A238" s="47" t="s">
        <v>2137</v>
      </c>
      <c r="B238" s="47">
        <v>6091.0</v>
      </c>
      <c r="C238" s="47">
        <v>5.0</v>
      </c>
      <c r="D238" s="47" t="s">
        <v>4053</v>
      </c>
      <c r="E238" s="47" t="str">
        <f t="shared" si="1"/>
        <v>5B</v>
      </c>
      <c r="F238" s="47" t="s">
        <v>4054</v>
      </c>
      <c r="G238" s="47" t="s">
        <v>325</v>
      </c>
      <c r="H238" s="48">
        <f>IF(NOT(ISBLANK(vlookup(B238,Pop_Census_2023!$A$2:$E$3220,4,FALSE))),vlookup(B238,Pop_Census_2023!$A$2:$E$3220,4,FALSE), vlookup(B238,Pop_Census_2023!$A$2:$E$3220,5,FALSE))</f>
        <v>3200</v>
      </c>
    </row>
    <row r="239">
      <c r="A239" s="47" t="s">
        <v>2137</v>
      </c>
      <c r="B239" s="47">
        <v>6093.0</v>
      </c>
      <c r="C239" s="47">
        <v>5.0</v>
      </c>
      <c r="D239" s="47" t="s">
        <v>4053</v>
      </c>
      <c r="E239" s="47" t="str">
        <f t="shared" si="1"/>
        <v>5B</v>
      </c>
      <c r="F239" s="47" t="s">
        <v>4054</v>
      </c>
      <c r="G239" s="47" t="s">
        <v>326</v>
      </c>
      <c r="H239" s="48">
        <f>IF(NOT(ISBLANK(vlookup(B239,Pop_Census_2023!$A$2:$E$3220,4,FALSE))),vlookup(B239,Pop_Census_2023!$A$2:$E$3220,4,FALSE), vlookup(B239,Pop_Census_2023!$A$2:$E$3220,5,FALSE))</f>
        <v>42905</v>
      </c>
    </row>
    <row r="240">
      <c r="A240" s="47" t="s">
        <v>2137</v>
      </c>
      <c r="B240" s="47">
        <v>6095.0</v>
      </c>
      <c r="C240" s="47">
        <v>3.0</v>
      </c>
      <c r="D240" s="47" t="s">
        <v>4053</v>
      </c>
      <c r="E240" s="47" t="str">
        <f t="shared" si="1"/>
        <v>3B</v>
      </c>
      <c r="F240" s="47" t="s">
        <v>4055</v>
      </c>
      <c r="G240" s="47" t="s">
        <v>327</v>
      </c>
      <c r="H240" s="48">
        <f>IF(NOT(ISBLANK(vlookup(B240,Pop_Census_2023!$A$2:$E$3220,4,FALSE))),vlookup(B240,Pop_Census_2023!$A$2:$E$3220,4,FALSE), vlookup(B240,Pop_Census_2023!$A$2:$E$3220,5,FALSE))</f>
        <v>449218</v>
      </c>
    </row>
    <row r="241">
      <c r="A241" s="47" t="s">
        <v>2137</v>
      </c>
      <c r="B241" s="47">
        <v>6097.0</v>
      </c>
      <c r="C241" s="47">
        <v>3.0</v>
      </c>
      <c r="D241" s="47" t="s">
        <v>4057</v>
      </c>
      <c r="E241" s="47" t="str">
        <f t="shared" si="1"/>
        <v>3C</v>
      </c>
      <c r="F241" s="47" t="s">
        <v>4058</v>
      </c>
      <c r="G241" s="47" t="s">
        <v>328</v>
      </c>
      <c r="H241" s="48">
        <f>IF(NOT(ISBLANK(vlookup(B241,Pop_Census_2023!$A$2:$E$3220,4,FALSE))),vlookup(B241,Pop_Census_2023!$A$2:$E$3220,4,FALSE), vlookup(B241,Pop_Census_2023!$A$2:$E$3220,5,FALSE))</f>
        <v>481812</v>
      </c>
    </row>
    <row r="242">
      <c r="A242" s="47" t="s">
        <v>2137</v>
      </c>
      <c r="B242" s="47">
        <v>6099.0</v>
      </c>
      <c r="C242" s="47">
        <v>3.0</v>
      </c>
      <c r="D242" s="47" t="s">
        <v>4053</v>
      </c>
      <c r="E242" s="47" t="str">
        <f t="shared" si="1"/>
        <v>3B</v>
      </c>
      <c r="F242" s="47" t="s">
        <v>4055</v>
      </c>
      <c r="G242" s="47" t="s">
        <v>329</v>
      </c>
      <c r="H242" s="48">
        <f>IF(NOT(ISBLANK(vlookup(B242,Pop_Census_2023!$A$2:$E$3220,4,FALSE))),vlookup(B242,Pop_Census_2023!$A$2:$E$3220,4,FALSE), vlookup(B242,Pop_Census_2023!$A$2:$E$3220,5,FALSE))</f>
        <v>551430</v>
      </c>
    </row>
    <row r="243">
      <c r="A243" s="47" t="s">
        <v>2137</v>
      </c>
      <c r="B243" s="47">
        <v>6101.0</v>
      </c>
      <c r="C243" s="47">
        <v>3.0</v>
      </c>
      <c r="D243" s="47" t="s">
        <v>4053</v>
      </c>
      <c r="E243" s="47" t="str">
        <f t="shared" si="1"/>
        <v>3B</v>
      </c>
      <c r="F243" s="47" t="s">
        <v>4055</v>
      </c>
      <c r="G243" s="47" t="s">
        <v>330</v>
      </c>
      <c r="H243" s="48">
        <f>IF(NOT(ISBLANK(vlookup(B243,Pop_Census_2023!$A$2:$E$3220,4,FALSE))),vlookup(B243,Pop_Census_2023!$A$2:$E$3220,4,FALSE), vlookup(B243,Pop_Census_2023!$A$2:$E$3220,5,FALSE))</f>
        <v>97948</v>
      </c>
    </row>
    <row r="244">
      <c r="A244" s="47" t="s">
        <v>2137</v>
      </c>
      <c r="B244" s="47">
        <v>6103.0</v>
      </c>
      <c r="C244" s="47">
        <v>3.0</v>
      </c>
      <c r="D244" s="47" t="s">
        <v>4053</v>
      </c>
      <c r="E244" s="47" t="str">
        <f t="shared" si="1"/>
        <v>3B</v>
      </c>
      <c r="F244" s="47" t="s">
        <v>4055</v>
      </c>
      <c r="G244" s="47" t="s">
        <v>331</v>
      </c>
      <c r="H244" s="48">
        <f>IF(NOT(ISBLANK(vlookup(B244,Pop_Census_2023!$A$2:$E$3220,4,FALSE))),vlookup(B244,Pop_Census_2023!$A$2:$E$3220,4,FALSE), vlookup(B244,Pop_Census_2023!$A$2:$E$3220,5,FALSE))</f>
        <v>64896</v>
      </c>
    </row>
    <row r="245">
      <c r="A245" s="47" t="s">
        <v>2137</v>
      </c>
      <c r="B245" s="47">
        <v>6105.0</v>
      </c>
      <c r="C245" s="47">
        <v>4.0</v>
      </c>
      <c r="D245" s="47" t="s">
        <v>4053</v>
      </c>
      <c r="E245" s="47" t="str">
        <f t="shared" si="1"/>
        <v>4B</v>
      </c>
      <c r="F245" s="47" t="s">
        <v>4056</v>
      </c>
      <c r="G245" s="47" t="s">
        <v>332</v>
      </c>
      <c r="H245" s="48">
        <f>IF(NOT(ISBLANK(vlookup(B245,Pop_Census_2023!$A$2:$E$3220,4,FALSE))),vlookup(B245,Pop_Census_2023!$A$2:$E$3220,4,FALSE), vlookup(B245,Pop_Census_2023!$A$2:$E$3220,5,FALSE))</f>
        <v>15670</v>
      </c>
    </row>
    <row r="246">
      <c r="A246" s="47" t="s">
        <v>2137</v>
      </c>
      <c r="B246" s="47">
        <v>6107.0</v>
      </c>
      <c r="C246" s="47">
        <v>3.0</v>
      </c>
      <c r="D246" s="47" t="s">
        <v>4053</v>
      </c>
      <c r="E246" s="47" t="str">
        <f t="shared" si="1"/>
        <v>3B</v>
      </c>
      <c r="F246" s="47" t="s">
        <v>4055</v>
      </c>
      <c r="G246" s="47" t="s">
        <v>333</v>
      </c>
      <c r="H246" s="48">
        <f>IF(NOT(ISBLANK(vlookup(B246,Pop_Census_2023!$A$2:$E$3220,4,FALSE))),vlookup(B246,Pop_Census_2023!$A$2:$E$3220,4,FALSE), vlookup(B246,Pop_Census_2023!$A$2:$E$3220,5,FALSE))</f>
        <v>479468</v>
      </c>
    </row>
    <row r="247">
      <c r="A247" s="47" t="s">
        <v>2137</v>
      </c>
      <c r="B247" s="47">
        <v>6109.0</v>
      </c>
      <c r="C247" s="47">
        <v>4.0</v>
      </c>
      <c r="D247" s="47" t="s">
        <v>4053</v>
      </c>
      <c r="E247" s="47" t="str">
        <f t="shared" si="1"/>
        <v>4B</v>
      </c>
      <c r="F247" s="47" t="s">
        <v>4056</v>
      </c>
      <c r="G247" s="47" t="s">
        <v>334</v>
      </c>
      <c r="H247" s="48">
        <f>IF(NOT(ISBLANK(vlookup(B247,Pop_Census_2023!$A$2:$E$3220,4,FALSE))),vlookup(B247,Pop_Census_2023!$A$2:$E$3220,4,FALSE), vlookup(B247,Pop_Census_2023!$A$2:$E$3220,5,FALSE))</f>
        <v>54204</v>
      </c>
    </row>
    <row r="248">
      <c r="A248" s="47" t="s">
        <v>2137</v>
      </c>
      <c r="B248" s="47">
        <v>6111.0</v>
      </c>
      <c r="C248" s="47">
        <v>3.0</v>
      </c>
      <c r="D248" s="47" t="s">
        <v>4057</v>
      </c>
      <c r="E248" s="47" t="str">
        <f t="shared" si="1"/>
        <v>3C</v>
      </c>
      <c r="F248" s="47" t="s">
        <v>4058</v>
      </c>
      <c r="G248" s="47" t="s">
        <v>335</v>
      </c>
      <c r="H248" s="48">
        <f>IF(NOT(ISBLANK(vlookup(B248,Pop_Census_2023!$A$2:$E$3220,4,FALSE))),vlookup(B248,Pop_Census_2023!$A$2:$E$3220,4,FALSE), vlookup(B248,Pop_Census_2023!$A$2:$E$3220,5,FALSE))</f>
        <v>829590</v>
      </c>
    </row>
    <row r="249">
      <c r="A249" s="47" t="s">
        <v>2137</v>
      </c>
      <c r="B249" s="47">
        <v>6113.0</v>
      </c>
      <c r="C249" s="47">
        <v>3.0</v>
      </c>
      <c r="D249" s="47" t="s">
        <v>4053</v>
      </c>
      <c r="E249" s="47" t="str">
        <f t="shared" si="1"/>
        <v>3B</v>
      </c>
      <c r="F249" s="47" t="s">
        <v>4055</v>
      </c>
      <c r="G249" s="47" t="s">
        <v>336</v>
      </c>
      <c r="H249" s="48">
        <f>IF(NOT(ISBLANK(vlookup(B249,Pop_Census_2023!$A$2:$E$3220,4,FALSE))),vlookup(B249,Pop_Census_2023!$A$2:$E$3220,4,FALSE), vlookup(B249,Pop_Census_2023!$A$2:$E$3220,5,FALSE))</f>
        <v>220544</v>
      </c>
    </row>
    <row r="250">
      <c r="A250" s="47" t="s">
        <v>2137</v>
      </c>
      <c r="B250" s="47">
        <v>6115.0</v>
      </c>
      <c r="C250" s="47">
        <v>3.0</v>
      </c>
      <c r="D250" s="47" t="s">
        <v>4053</v>
      </c>
      <c r="E250" s="47" t="str">
        <f t="shared" si="1"/>
        <v>3B</v>
      </c>
      <c r="F250" s="47" t="s">
        <v>4055</v>
      </c>
      <c r="G250" s="47" t="s">
        <v>337</v>
      </c>
      <c r="H250" s="48">
        <f>IF(NOT(ISBLANK(vlookup(B250,Pop_Census_2023!$A$2:$E$3220,4,FALSE))),vlookup(B250,Pop_Census_2023!$A$2:$E$3220,4,FALSE), vlookup(B250,Pop_Census_2023!$A$2:$E$3220,5,FALSE))</f>
        <v>85722</v>
      </c>
    </row>
    <row r="251">
      <c r="A251" s="47" t="s">
        <v>2194</v>
      </c>
      <c r="B251" s="47">
        <v>8001.0</v>
      </c>
      <c r="C251" s="47">
        <v>5.0</v>
      </c>
      <c r="D251" s="47" t="s">
        <v>4053</v>
      </c>
      <c r="E251" s="47" t="str">
        <f t="shared" si="1"/>
        <v>5B</v>
      </c>
      <c r="F251" s="47" t="s">
        <v>4054</v>
      </c>
      <c r="G251" s="47" t="s">
        <v>338</v>
      </c>
      <c r="H251" s="48">
        <f>IF(NOT(ISBLANK(vlookup(B251,Pop_Census_2023!$A$2:$E$3220,4,FALSE))),vlookup(B251,Pop_Census_2023!$A$2:$E$3220,4,FALSE), vlookup(B251,Pop_Census_2023!$A$2:$E$3220,5,FALSE))</f>
        <v>533365</v>
      </c>
    </row>
    <row r="252">
      <c r="A252" s="47" t="s">
        <v>2194</v>
      </c>
      <c r="B252" s="47">
        <v>8003.0</v>
      </c>
      <c r="C252" s="47">
        <v>6.0</v>
      </c>
      <c r="D252" s="47" t="s">
        <v>4053</v>
      </c>
      <c r="E252" s="47" t="str">
        <f t="shared" si="1"/>
        <v>6B</v>
      </c>
      <c r="F252" s="47" t="s">
        <v>4054</v>
      </c>
      <c r="G252" s="47" t="s">
        <v>340</v>
      </c>
      <c r="H252" s="48">
        <f>IF(NOT(ISBLANK(vlookup(B252,Pop_Census_2023!$A$2:$E$3220,4,FALSE))),vlookup(B252,Pop_Census_2023!$A$2:$E$3220,4,FALSE), vlookup(B252,Pop_Census_2023!$A$2:$E$3220,5,FALSE))</f>
        <v>16655</v>
      </c>
    </row>
    <row r="253">
      <c r="A253" s="47" t="s">
        <v>2194</v>
      </c>
      <c r="B253" s="47">
        <v>8005.0</v>
      </c>
      <c r="C253" s="47">
        <v>5.0</v>
      </c>
      <c r="D253" s="47" t="s">
        <v>4053</v>
      </c>
      <c r="E253" s="47" t="str">
        <f t="shared" si="1"/>
        <v>5B</v>
      </c>
      <c r="F253" s="47" t="s">
        <v>4054</v>
      </c>
      <c r="G253" s="47" t="s">
        <v>341</v>
      </c>
      <c r="H253" s="48">
        <f>IF(NOT(ISBLANK(vlookup(B253,Pop_Census_2023!$A$2:$E$3220,4,FALSE))),vlookup(B253,Pop_Census_2023!$A$2:$E$3220,4,FALSE), vlookup(B253,Pop_Census_2023!$A$2:$E$3220,5,FALSE))</f>
        <v>656061</v>
      </c>
    </row>
    <row r="254">
      <c r="A254" s="47" t="s">
        <v>2194</v>
      </c>
      <c r="B254" s="47">
        <v>8007.0</v>
      </c>
      <c r="C254" s="47">
        <v>6.0</v>
      </c>
      <c r="D254" s="47" t="s">
        <v>4053</v>
      </c>
      <c r="E254" s="47" t="str">
        <f t="shared" si="1"/>
        <v>6B</v>
      </c>
      <c r="F254" s="47" t="s">
        <v>4054</v>
      </c>
      <c r="G254" s="47" t="s">
        <v>342</v>
      </c>
      <c r="H254" s="48">
        <f>IF(NOT(ISBLANK(vlookup(B254,Pop_Census_2023!$A$2:$E$3220,4,FALSE))),vlookup(B254,Pop_Census_2023!$A$2:$E$3220,4,FALSE), vlookup(B254,Pop_Census_2023!$A$2:$E$3220,5,FALSE))</f>
        <v>14189</v>
      </c>
    </row>
    <row r="255">
      <c r="A255" s="47" t="s">
        <v>2194</v>
      </c>
      <c r="B255" s="47">
        <v>8009.0</v>
      </c>
      <c r="C255" s="47">
        <v>4.0</v>
      </c>
      <c r="D255" s="47" t="s">
        <v>4053</v>
      </c>
      <c r="E255" s="47" t="str">
        <f t="shared" si="1"/>
        <v>4B</v>
      </c>
      <c r="F255" s="47" t="s">
        <v>4056</v>
      </c>
      <c r="G255" s="47" t="s">
        <v>343</v>
      </c>
      <c r="H255" s="48">
        <f>IF(NOT(ISBLANK(vlookup(B255,Pop_Census_2023!$A$2:$E$3220,4,FALSE))),vlookup(B255,Pop_Census_2023!$A$2:$E$3220,4,FALSE), vlookup(B255,Pop_Census_2023!$A$2:$E$3220,5,FALSE))</f>
        <v>3344</v>
      </c>
    </row>
    <row r="256">
      <c r="A256" s="47" t="s">
        <v>2194</v>
      </c>
      <c r="B256" s="47">
        <v>8011.0</v>
      </c>
      <c r="C256" s="47">
        <v>5.0</v>
      </c>
      <c r="D256" s="47" t="s">
        <v>4053</v>
      </c>
      <c r="E256" s="47" t="str">
        <f t="shared" si="1"/>
        <v>5B</v>
      </c>
      <c r="F256" s="47" t="s">
        <v>4054</v>
      </c>
      <c r="G256" s="47" t="s">
        <v>344</v>
      </c>
      <c r="H256" s="48">
        <f>IF(NOT(ISBLANK(vlookup(B256,Pop_Census_2023!$A$2:$E$3220,4,FALSE))),vlookup(B256,Pop_Census_2023!$A$2:$E$3220,4,FALSE), vlookup(B256,Pop_Census_2023!$A$2:$E$3220,5,FALSE))</f>
        <v>5681</v>
      </c>
    </row>
    <row r="257">
      <c r="A257" s="47" t="s">
        <v>2194</v>
      </c>
      <c r="B257" s="47">
        <v>8013.0</v>
      </c>
      <c r="C257" s="47">
        <v>5.0</v>
      </c>
      <c r="D257" s="47" t="s">
        <v>4053</v>
      </c>
      <c r="E257" s="47" t="str">
        <f t="shared" si="1"/>
        <v>5B</v>
      </c>
      <c r="F257" s="47" t="s">
        <v>4054</v>
      </c>
      <c r="G257" s="47" t="s">
        <v>345</v>
      </c>
      <c r="H257" s="48">
        <f>IF(NOT(ISBLANK(vlookup(B257,Pop_Census_2023!$A$2:$E$3220,4,FALSE))),vlookup(B257,Pop_Census_2023!$A$2:$E$3220,4,FALSE), vlookup(B257,Pop_Census_2023!$A$2:$E$3220,5,FALSE))</f>
        <v>326831</v>
      </c>
    </row>
    <row r="258">
      <c r="A258" s="47" t="s">
        <v>2194</v>
      </c>
      <c r="B258" s="47">
        <v>8014.0</v>
      </c>
      <c r="C258" s="47">
        <v>5.0</v>
      </c>
      <c r="D258" s="47" t="s">
        <v>4053</v>
      </c>
      <c r="E258" s="47" t="str">
        <f t="shared" si="1"/>
        <v>5B</v>
      </c>
      <c r="F258" s="47" t="s">
        <v>4054</v>
      </c>
      <c r="G258" s="47" t="s">
        <v>346</v>
      </c>
      <c r="H258" s="48">
        <f>IF(NOT(ISBLANK(vlookup(B258,Pop_Census_2023!$A$2:$E$3220,4,FALSE))),vlookup(B258,Pop_Census_2023!$A$2:$E$3220,4,FALSE), vlookup(B258,Pop_Census_2023!$A$2:$E$3220,5,FALSE))</f>
        <v>76860</v>
      </c>
    </row>
    <row r="259">
      <c r="A259" s="47" t="s">
        <v>2194</v>
      </c>
      <c r="B259" s="47">
        <v>8015.0</v>
      </c>
      <c r="C259" s="47">
        <v>6.0</v>
      </c>
      <c r="D259" s="47" t="s">
        <v>4053</v>
      </c>
      <c r="E259" s="47" t="str">
        <f t="shared" si="1"/>
        <v>6B</v>
      </c>
      <c r="F259" s="47" t="s">
        <v>4054</v>
      </c>
      <c r="G259" s="47" t="s">
        <v>347</v>
      </c>
      <c r="H259" s="48">
        <f>IF(NOT(ISBLANK(vlookup(B259,Pop_Census_2023!$A$2:$E$3220,4,FALSE))),vlookup(B259,Pop_Census_2023!$A$2:$E$3220,4,FALSE), vlookup(B259,Pop_Census_2023!$A$2:$E$3220,5,FALSE))</f>
        <v>20617</v>
      </c>
    </row>
    <row r="260">
      <c r="A260" s="47" t="s">
        <v>2194</v>
      </c>
      <c r="B260" s="47">
        <v>8017.0</v>
      </c>
      <c r="C260" s="47">
        <v>5.0</v>
      </c>
      <c r="D260" s="47" t="s">
        <v>4053</v>
      </c>
      <c r="E260" s="47" t="str">
        <f t="shared" si="1"/>
        <v>5B</v>
      </c>
      <c r="F260" s="47" t="s">
        <v>4054</v>
      </c>
      <c r="G260" s="47" t="s">
        <v>348</v>
      </c>
      <c r="H260" s="48">
        <f>IF(NOT(ISBLANK(vlookup(B260,Pop_Census_2023!$A$2:$E$3220,4,FALSE))),vlookup(B260,Pop_Census_2023!$A$2:$E$3220,4,FALSE), vlookup(B260,Pop_Census_2023!$A$2:$E$3220,5,FALSE))</f>
        <v>1727</v>
      </c>
    </row>
    <row r="261">
      <c r="A261" s="47" t="s">
        <v>2194</v>
      </c>
      <c r="B261" s="47">
        <v>8019.0</v>
      </c>
      <c r="C261" s="47">
        <v>7.0</v>
      </c>
      <c r="D261" s="47" t="s">
        <v>4014</v>
      </c>
      <c r="E261" s="47">
        <f t="shared" si="1"/>
        <v>7</v>
      </c>
      <c r="F261" s="47" t="s">
        <v>4015</v>
      </c>
      <c r="G261" s="47" t="s">
        <v>349</v>
      </c>
      <c r="H261" s="48">
        <f>IF(NOT(ISBLANK(vlookup(B261,Pop_Census_2023!$A$2:$E$3220,4,FALSE))),vlookup(B261,Pop_Census_2023!$A$2:$E$3220,4,FALSE), vlookup(B261,Pop_Census_2023!$A$2:$E$3220,5,FALSE))</f>
        <v>9147</v>
      </c>
    </row>
    <row r="262">
      <c r="A262" s="47" t="s">
        <v>2194</v>
      </c>
      <c r="B262" s="47">
        <v>8021.0</v>
      </c>
      <c r="C262" s="47">
        <v>6.0</v>
      </c>
      <c r="D262" s="47" t="s">
        <v>4053</v>
      </c>
      <c r="E262" s="47" t="str">
        <f t="shared" si="1"/>
        <v>6B</v>
      </c>
      <c r="F262" s="47" t="s">
        <v>4054</v>
      </c>
      <c r="G262" s="47" t="s">
        <v>350</v>
      </c>
      <c r="H262" s="48">
        <f>IF(NOT(ISBLANK(vlookup(B262,Pop_Census_2023!$A$2:$E$3220,4,FALSE))),vlookup(B262,Pop_Census_2023!$A$2:$E$3220,4,FALSE), vlookup(B262,Pop_Census_2023!$A$2:$E$3220,5,FALSE))</f>
        <v>7521</v>
      </c>
    </row>
    <row r="263">
      <c r="A263" s="47" t="s">
        <v>2194</v>
      </c>
      <c r="B263" s="47">
        <v>8023.0</v>
      </c>
      <c r="C263" s="47">
        <v>6.0</v>
      </c>
      <c r="D263" s="47" t="s">
        <v>4053</v>
      </c>
      <c r="E263" s="47" t="str">
        <f t="shared" si="1"/>
        <v>6B</v>
      </c>
      <c r="F263" s="47" t="s">
        <v>4054</v>
      </c>
      <c r="G263" s="47" t="s">
        <v>351</v>
      </c>
      <c r="H263" s="48">
        <f>IF(NOT(ISBLANK(vlookup(B263,Pop_Census_2023!$A$2:$E$3220,4,FALSE))),vlookup(B263,Pop_Census_2023!$A$2:$E$3220,4,FALSE), vlookup(B263,Pop_Census_2023!$A$2:$E$3220,5,FALSE))</f>
        <v>3628</v>
      </c>
    </row>
    <row r="264">
      <c r="A264" s="47" t="s">
        <v>2194</v>
      </c>
      <c r="B264" s="47">
        <v>8025.0</v>
      </c>
      <c r="C264" s="47">
        <v>5.0</v>
      </c>
      <c r="D264" s="47" t="s">
        <v>4053</v>
      </c>
      <c r="E264" s="47" t="str">
        <f t="shared" si="1"/>
        <v>5B</v>
      </c>
      <c r="F264" s="47" t="s">
        <v>4054</v>
      </c>
      <c r="G264" s="47" t="s">
        <v>352</v>
      </c>
      <c r="H264" s="48">
        <f>IF(NOT(ISBLANK(vlookup(B264,Pop_Census_2023!$A$2:$E$3220,4,FALSE))),vlookup(B264,Pop_Census_2023!$A$2:$E$3220,4,FALSE), vlookup(B264,Pop_Census_2023!$A$2:$E$3220,5,FALSE))</f>
        <v>5636</v>
      </c>
    </row>
    <row r="265">
      <c r="A265" s="47" t="s">
        <v>2194</v>
      </c>
      <c r="B265" s="47">
        <v>8027.0</v>
      </c>
      <c r="C265" s="47">
        <v>6.0</v>
      </c>
      <c r="D265" s="47" t="s">
        <v>4053</v>
      </c>
      <c r="E265" s="47" t="str">
        <f t="shared" si="1"/>
        <v>6B</v>
      </c>
      <c r="F265" s="47" t="s">
        <v>4054</v>
      </c>
      <c r="G265" s="47" t="s">
        <v>353</v>
      </c>
      <c r="H265" s="48">
        <f>IF(NOT(ISBLANK(vlookup(B265,Pop_Census_2023!$A$2:$E$3220,4,FALSE))),vlookup(B265,Pop_Census_2023!$A$2:$E$3220,4,FALSE), vlookup(B265,Pop_Census_2023!$A$2:$E$3220,5,FALSE))</f>
        <v>5534</v>
      </c>
    </row>
    <row r="266">
      <c r="A266" s="47" t="s">
        <v>2194</v>
      </c>
      <c r="B266" s="47">
        <v>8029.0</v>
      </c>
      <c r="C266" s="47">
        <v>5.0</v>
      </c>
      <c r="D266" s="47" t="s">
        <v>4053</v>
      </c>
      <c r="E266" s="47" t="str">
        <f t="shared" si="1"/>
        <v>5B</v>
      </c>
      <c r="F266" s="47" t="s">
        <v>4054</v>
      </c>
      <c r="G266" s="47" t="s">
        <v>354</v>
      </c>
      <c r="H266" s="48">
        <f>IF(NOT(ISBLANK(vlookup(B266,Pop_Census_2023!$A$2:$E$3220,4,FALSE))),vlookup(B266,Pop_Census_2023!$A$2:$E$3220,4,FALSE), vlookup(B266,Pop_Census_2023!$A$2:$E$3220,5,FALSE))</f>
        <v>31746</v>
      </c>
    </row>
    <row r="267">
      <c r="A267" s="47" t="s">
        <v>2194</v>
      </c>
      <c r="B267" s="47">
        <v>8031.0</v>
      </c>
      <c r="C267" s="47">
        <v>5.0</v>
      </c>
      <c r="D267" s="47" t="s">
        <v>4053</v>
      </c>
      <c r="E267" s="47" t="str">
        <f t="shared" si="1"/>
        <v>5B</v>
      </c>
      <c r="F267" s="47" t="s">
        <v>4054</v>
      </c>
      <c r="G267" s="47" t="s">
        <v>355</v>
      </c>
      <c r="H267" s="48">
        <f>IF(NOT(ISBLANK(vlookup(B267,Pop_Census_2023!$A$2:$E$3220,4,FALSE))),vlookup(B267,Pop_Census_2023!$A$2:$E$3220,4,FALSE), vlookup(B267,Pop_Census_2023!$A$2:$E$3220,5,FALSE))</f>
        <v>716577</v>
      </c>
    </row>
    <row r="268">
      <c r="A268" s="47" t="s">
        <v>2194</v>
      </c>
      <c r="B268" s="47">
        <v>8033.0</v>
      </c>
      <c r="C268" s="47">
        <v>6.0</v>
      </c>
      <c r="D268" s="47" t="s">
        <v>4053</v>
      </c>
      <c r="E268" s="47" t="str">
        <f t="shared" si="1"/>
        <v>6B</v>
      </c>
      <c r="F268" s="47" t="s">
        <v>4054</v>
      </c>
      <c r="G268" s="47" t="s">
        <v>356</v>
      </c>
      <c r="H268" s="48">
        <f>IF(NOT(ISBLANK(vlookup(B268,Pop_Census_2023!$A$2:$E$3220,4,FALSE))),vlookup(B268,Pop_Census_2023!$A$2:$E$3220,4,FALSE), vlookup(B268,Pop_Census_2023!$A$2:$E$3220,5,FALSE))</f>
        <v>2513</v>
      </c>
    </row>
    <row r="269">
      <c r="A269" s="47" t="s">
        <v>2194</v>
      </c>
      <c r="B269" s="47">
        <v>8035.0</v>
      </c>
      <c r="C269" s="47">
        <v>5.0</v>
      </c>
      <c r="D269" s="47" t="s">
        <v>4053</v>
      </c>
      <c r="E269" s="47" t="str">
        <f t="shared" si="1"/>
        <v>5B</v>
      </c>
      <c r="F269" s="47" t="s">
        <v>4054</v>
      </c>
      <c r="G269" s="47" t="s">
        <v>357</v>
      </c>
      <c r="H269" s="48">
        <f>IF(NOT(ISBLANK(vlookup(B269,Pop_Census_2023!$A$2:$E$3220,4,FALSE))),vlookup(B269,Pop_Census_2023!$A$2:$E$3220,4,FALSE), vlookup(B269,Pop_Census_2023!$A$2:$E$3220,5,FALSE))</f>
        <v>383906</v>
      </c>
    </row>
    <row r="270">
      <c r="A270" s="47" t="s">
        <v>2194</v>
      </c>
      <c r="B270" s="47">
        <v>8037.0</v>
      </c>
      <c r="C270" s="47">
        <v>6.0</v>
      </c>
      <c r="D270" s="47" t="s">
        <v>4053</v>
      </c>
      <c r="E270" s="47" t="str">
        <f t="shared" si="1"/>
        <v>6B</v>
      </c>
      <c r="F270" s="47" t="s">
        <v>4054</v>
      </c>
      <c r="G270" s="47" t="s">
        <v>358</v>
      </c>
      <c r="H270" s="48">
        <f>IF(NOT(ISBLANK(vlookup(B270,Pop_Census_2023!$A$2:$E$3220,4,FALSE))),vlookup(B270,Pop_Census_2023!$A$2:$E$3220,4,FALSE), vlookup(B270,Pop_Census_2023!$A$2:$E$3220,5,FALSE))</f>
        <v>54381</v>
      </c>
    </row>
    <row r="271">
      <c r="A271" s="47" t="s">
        <v>2194</v>
      </c>
      <c r="B271" s="47">
        <v>8041.0</v>
      </c>
      <c r="C271" s="47">
        <v>5.0</v>
      </c>
      <c r="D271" s="47" t="s">
        <v>4053</v>
      </c>
      <c r="E271" s="47" t="str">
        <f t="shared" si="1"/>
        <v>5B</v>
      </c>
      <c r="F271" s="47" t="s">
        <v>4054</v>
      </c>
      <c r="G271" s="47" t="s">
        <v>360</v>
      </c>
      <c r="H271" s="48">
        <f>IF(NOT(ISBLANK(vlookup(B271,Pop_Census_2023!$A$2:$E$3220,4,FALSE))),vlookup(B271,Pop_Census_2023!$A$2:$E$3220,4,FALSE), vlookup(B271,Pop_Census_2023!$A$2:$E$3220,5,FALSE))</f>
        <v>744215</v>
      </c>
    </row>
    <row r="272">
      <c r="A272" s="47" t="s">
        <v>2194</v>
      </c>
      <c r="B272" s="47">
        <v>8039.0</v>
      </c>
      <c r="C272" s="47">
        <v>5.0</v>
      </c>
      <c r="D272" s="47" t="s">
        <v>4053</v>
      </c>
      <c r="E272" s="47" t="str">
        <f t="shared" si="1"/>
        <v>5B</v>
      </c>
      <c r="F272" s="47" t="s">
        <v>4054</v>
      </c>
      <c r="G272" s="47" t="s">
        <v>359</v>
      </c>
      <c r="H272" s="48">
        <f>IF(NOT(ISBLANK(vlookup(B272,Pop_Census_2023!$A$2:$E$3220,4,FALSE))),vlookup(B272,Pop_Census_2023!$A$2:$E$3220,4,FALSE), vlookup(B272,Pop_Census_2023!$A$2:$E$3220,5,FALSE))</f>
        <v>28806</v>
      </c>
    </row>
    <row r="273">
      <c r="A273" s="47" t="s">
        <v>2194</v>
      </c>
      <c r="B273" s="47">
        <v>8043.0</v>
      </c>
      <c r="C273" s="47">
        <v>5.0</v>
      </c>
      <c r="D273" s="47" t="s">
        <v>4053</v>
      </c>
      <c r="E273" s="47" t="str">
        <f t="shared" si="1"/>
        <v>5B</v>
      </c>
      <c r="F273" s="47" t="s">
        <v>4054</v>
      </c>
      <c r="G273" s="47" t="s">
        <v>361</v>
      </c>
      <c r="H273" s="48">
        <f>IF(NOT(ISBLANK(vlookup(B273,Pop_Census_2023!$A$2:$E$3220,4,FALSE))),vlookup(B273,Pop_Census_2023!$A$2:$E$3220,4,FALSE), vlookup(B273,Pop_Census_2023!$A$2:$E$3220,5,FALSE))</f>
        <v>50318</v>
      </c>
    </row>
    <row r="274">
      <c r="A274" s="47" t="s">
        <v>2194</v>
      </c>
      <c r="B274" s="47">
        <v>8045.0</v>
      </c>
      <c r="C274" s="47">
        <v>5.0</v>
      </c>
      <c r="D274" s="47" t="s">
        <v>4053</v>
      </c>
      <c r="E274" s="47" t="str">
        <f t="shared" si="1"/>
        <v>5B</v>
      </c>
      <c r="F274" s="47" t="s">
        <v>4054</v>
      </c>
      <c r="G274" s="47" t="s">
        <v>362</v>
      </c>
      <c r="H274" s="48">
        <f>IF(NOT(ISBLANK(vlookup(B274,Pop_Census_2023!$A$2:$E$3220,4,FALSE))),vlookup(B274,Pop_Census_2023!$A$2:$E$3220,4,FALSE), vlookup(B274,Pop_Census_2023!$A$2:$E$3220,5,FALSE))</f>
        <v>62707</v>
      </c>
    </row>
    <row r="275">
      <c r="A275" s="47" t="s">
        <v>2194</v>
      </c>
      <c r="B275" s="47">
        <v>8047.0</v>
      </c>
      <c r="C275" s="47">
        <v>5.0</v>
      </c>
      <c r="D275" s="47" t="s">
        <v>4053</v>
      </c>
      <c r="E275" s="47" t="str">
        <f t="shared" si="1"/>
        <v>5B</v>
      </c>
      <c r="F275" s="47" t="s">
        <v>4054</v>
      </c>
      <c r="G275" s="47" t="s">
        <v>363</v>
      </c>
      <c r="H275" s="48">
        <f>IF(NOT(ISBLANK(vlookup(B275,Pop_Census_2023!$A$2:$E$3220,4,FALSE))),vlookup(B275,Pop_Census_2023!$A$2:$E$3220,4,FALSE), vlookup(B275,Pop_Census_2023!$A$2:$E$3220,5,FALSE))</f>
        <v>5926</v>
      </c>
    </row>
    <row r="276">
      <c r="A276" s="47" t="s">
        <v>2194</v>
      </c>
      <c r="B276" s="47">
        <v>8049.0</v>
      </c>
      <c r="C276" s="47">
        <v>7.0</v>
      </c>
      <c r="D276" s="47" t="s">
        <v>4014</v>
      </c>
      <c r="E276" s="47">
        <f t="shared" si="1"/>
        <v>7</v>
      </c>
      <c r="F276" s="47" t="s">
        <v>4015</v>
      </c>
      <c r="G276" s="47" t="s">
        <v>364</v>
      </c>
      <c r="H276" s="48">
        <f>IF(NOT(ISBLANK(vlookup(B276,Pop_Census_2023!$A$2:$E$3220,4,FALSE))),vlookup(B276,Pop_Census_2023!$A$2:$E$3220,4,FALSE), vlookup(B276,Pop_Census_2023!$A$2:$E$3220,5,FALSE))</f>
        <v>15935</v>
      </c>
    </row>
    <row r="277">
      <c r="A277" s="47" t="s">
        <v>2194</v>
      </c>
      <c r="B277" s="47">
        <v>8051.0</v>
      </c>
      <c r="C277" s="47">
        <v>7.0</v>
      </c>
      <c r="D277" s="47" t="s">
        <v>4014</v>
      </c>
      <c r="E277" s="47">
        <f t="shared" si="1"/>
        <v>7</v>
      </c>
      <c r="F277" s="47" t="s">
        <v>4015</v>
      </c>
      <c r="G277" s="47" t="s">
        <v>365</v>
      </c>
      <c r="H277" s="48">
        <f>IF(NOT(ISBLANK(vlookup(B277,Pop_Census_2023!$A$2:$E$3220,4,FALSE))),vlookup(B277,Pop_Census_2023!$A$2:$E$3220,4,FALSE), vlookup(B277,Pop_Census_2023!$A$2:$E$3220,5,FALSE))</f>
        <v>17321</v>
      </c>
    </row>
    <row r="278">
      <c r="A278" s="47" t="s">
        <v>2194</v>
      </c>
      <c r="B278" s="47">
        <v>8053.0</v>
      </c>
      <c r="C278" s="47">
        <v>7.0</v>
      </c>
      <c r="D278" s="47" t="s">
        <v>4014</v>
      </c>
      <c r="E278" s="47">
        <f t="shared" si="1"/>
        <v>7</v>
      </c>
      <c r="F278" s="47" t="s">
        <v>4015</v>
      </c>
      <c r="G278" s="47" t="s">
        <v>366</v>
      </c>
      <c r="H278" s="34">
        <f>IF(NOT(ISBLANK(vlookup(B278,Pop_Census_2023!$A$2:$E$3220,4,FALSE))),vlookup(B278,Pop_Census_2023!$A$2:$E$3220,4,FALSE), vlookup(B278,Pop_Census_2023!$A$2:$E$3220,5,FALSE))</f>
        <v>765</v>
      </c>
    </row>
    <row r="279">
      <c r="A279" s="47" t="s">
        <v>2194</v>
      </c>
      <c r="B279" s="47">
        <v>8055.0</v>
      </c>
      <c r="C279" s="47">
        <v>5.0</v>
      </c>
      <c r="D279" s="47" t="s">
        <v>4053</v>
      </c>
      <c r="E279" s="47" t="str">
        <f t="shared" si="1"/>
        <v>5B</v>
      </c>
      <c r="F279" s="47" t="s">
        <v>4054</v>
      </c>
      <c r="G279" s="47" t="s">
        <v>367</v>
      </c>
      <c r="H279" s="48">
        <f>IF(NOT(ISBLANK(vlookup(B279,Pop_Census_2023!$A$2:$E$3220,4,FALSE))),vlookup(B279,Pop_Census_2023!$A$2:$E$3220,4,FALSE), vlookup(B279,Pop_Census_2023!$A$2:$E$3220,5,FALSE))</f>
        <v>7055</v>
      </c>
    </row>
    <row r="280">
      <c r="A280" s="47" t="s">
        <v>2194</v>
      </c>
      <c r="B280" s="47">
        <v>8057.0</v>
      </c>
      <c r="C280" s="47">
        <v>7.0</v>
      </c>
      <c r="D280" s="47" t="s">
        <v>4014</v>
      </c>
      <c r="E280" s="47">
        <f t="shared" si="1"/>
        <v>7</v>
      </c>
      <c r="F280" s="47" t="s">
        <v>4015</v>
      </c>
      <c r="G280" s="47" t="s">
        <v>138</v>
      </c>
      <c r="H280" s="48">
        <f>IF(NOT(ISBLANK(vlookup(B280,Pop_Census_2023!$A$2:$E$3220,4,FALSE))),vlookup(B280,Pop_Census_2023!$A$2:$E$3220,4,FALSE), vlookup(B280,Pop_Census_2023!$A$2:$E$3220,5,FALSE))</f>
        <v>1309</v>
      </c>
    </row>
    <row r="281">
      <c r="A281" s="47" t="s">
        <v>2194</v>
      </c>
      <c r="B281" s="47">
        <v>8059.0</v>
      </c>
      <c r="C281" s="47">
        <v>5.0</v>
      </c>
      <c r="D281" s="47" t="s">
        <v>4053</v>
      </c>
      <c r="E281" s="47" t="str">
        <f t="shared" si="1"/>
        <v>5B</v>
      </c>
      <c r="F281" s="47" t="s">
        <v>4054</v>
      </c>
      <c r="G281" s="47" t="s">
        <v>139</v>
      </c>
      <c r="H281" s="48">
        <f>IF(NOT(ISBLANK(vlookup(B281,Pop_Census_2023!$A$2:$E$3220,4,FALSE))),vlookup(B281,Pop_Census_2023!$A$2:$E$3220,4,FALSE), vlookup(B281,Pop_Census_2023!$A$2:$E$3220,5,FALSE))</f>
        <v>576366</v>
      </c>
    </row>
    <row r="282">
      <c r="A282" s="47" t="s">
        <v>2194</v>
      </c>
      <c r="B282" s="47">
        <v>8061.0</v>
      </c>
      <c r="C282" s="47">
        <v>5.0</v>
      </c>
      <c r="D282" s="47" t="s">
        <v>4053</v>
      </c>
      <c r="E282" s="47" t="str">
        <f t="shared" si="1"/>
        <v>5B</v>
      </c>
      <c r="F282" s="47" t="s">
        <v>4054</v>
      </c>
      <c r="G282" s="47" t="s">
        <v>368</v>
      </c>
      <c r="H282" s="48">
        <f>IF(NOT(ISBLANK(vlookup(B282,Pop_Census_2023!$A$2:$E$3220,4,FALSE))),vlookup(B282,Pop_Census_2023!$A$2:$E$3220,4,FALSE), vlookup(B282,Pop_Census_2023!$A$2:$E$3220,5,FALSE))</f>
        <v>1384</v>
      </c>
    </row>
    <row r="283">
      <c r="A283" s="47" t="s">
        <v>2194</v>
      </c>
      <c r="B283" s="47">
        <v>8063.0</v>
      </c>
      <c r="C283" s="47">
        <v>5.0</v>
      </c>
      <c r="D283" s="47" t="s">
        <v>4053</v>
      </c>
      <c r="E283" s="47" t="str">
        <f t="shared" si="1"/>
        <v>5B</v>
      </c>
      <c r="F283" s="47" t="s">
        <v>4054</v>
      </c>
      <c r="G283" s="47" t="s">
        <v>369</v>
      </c>
      <c r="H283" s="48">
        <f>IF(NOT(ISBLANK(vlookup(B283,Pop_Census_2023!$A$2:$E$3220,4,FALSE))),vlookup(B283,Pop_Census_2023!$A$2:$E$3220,4,FALSE), vlookup(B283,Pop_Census_2023!$A$2:$E$3220,5,FALSE))</f>
        <v>6994</v>
      </c>
    </row>
    <row r="284">
      <c r="A284" s="47" t="s">
        <v>2194</v>
      </c>
      <c r="B284" s="47">
        <v>8067.0</v>
      </c>
      <c r="C284" s="47">
        <v>5.0</v>
      </c>
      <c r="D284" s="47" t="s">
        <v>4053</v>
      </c>
      <c r="E284" s="47" t="str">
        <f t="shared" si="1"/>
        <v>5B</v>
      </c>
      <c r="F284" s="47" t="s">
        <v>4054</v>
      </c>
      <c r="G284" s="47" t="s">
        <v>370</v>
      </c>
      <c r="H284" s="48">
        <f>IF(NOT(ISBLANK(vlookup(B284,Pop_Census_2023!$A$2:$E$3220,4,FALSE))),vlookup(B284,Pop_Census_2023!$A$2:$E$3220,4,FALSE), vlookup(B284,Pop_Census_2023!$A$2:$E$3220,5,FALSE))</f>
        <v>56407</v>
      </c>
    </row>
    <row r="285">
      <c r="A285" s="47" t="s">
        <v>2194</v>
      </c>
      <c r="B285" s="47">
        <v>8065.0</v>
      </c>
      <c r="C285" s="47">
        <v>7.0</v>
      </c>
      <c r="D285" s="47" t="s">
        <v>4014</v>
      </c>
      <c r="E285" s="47">
        <f t="shared" si="1"/>
        <v>7</v>
      </c>
      <c r="F285" s="47" t="s">
        <v>4015</v>
      </c>
      <c r="G285" s="47" t="s">
        <v>298</v>
      </c>
      <c r="H285" s="48">
        <f>IF(NOT(ISBLANK(vlookup(B285,Pop_Census_2023!$A$2:$E$3220,4,FALSE))),vlookup(B285,Pop_Census_2023!$A$2:$E$3220,4,FALSE), vlookup(B285,Pop_Census_2023!$A$2:$E$3220,5,FALSE))</f>
        <v>7365</v>
      </c>
    </row>
    <row r="286">
      <c r="A286" s="47" t="s">
        <v>2194</v>
      </c>
      <c r="B286" s="47">
        <v>8069.0</v>
      </c>
      <c r="C286" s="47">
        <v>5.0</v>
      </c>
      <c r="D286" s="47" t="s">
        <v>4053</v>
      </c>
      <c r="E286" s="47" t="str">
        <f t="shared" si="1"/>
        <v>5B</v>
      </c>
      <c r="F286" s="47" t="s">
        <v>4054</v>
      </c>
      <c r="G286" s="47" t="s">
        <v>371</v>
      </c>
      <c r="H286" s="48">
        <f>IF(NOT(ISBLANK(vlookup(B286,Pop_Census_2023!$A$2:$E$3220,4,FALSE))),vlookup(B286,Pop_Census_2023!$A$2:$E$3220,4,FALSE), vlookup(B286,Pop_Census_2023!$A$2:$E$3220,5,FALSE))</f>
        <v>370771</v>
      </c>
    </row>
    <row r="287">
      <c r="A287" s="47" t="s">
        <v>2194</v>
      </c>
      <c r="B287" s="47">
        <v>8071.0</v>
      </c>
      <c r="C287" s="47">
        <v>4.0</v>
      </c>
      <c r="D287" s="47" t="s">
        <v>4053</v>
      </c>
      <c r="E287" s="47" t="str">
        <f t="shared" si="1"/>
        <v>4B</v>
      </c>
      <c r="F287" s="47" t="s">
        <v>4056</v>
      </c>
      <c r="G287" s="47" t="s">
        <v>372</v>
      </c>
      <c r="H287" s="48">
        <f>IF(NOT(ISBLANK(vlookup(B287,Pop_Census_2023!$A$2:$E$3220,4,FALSE))),vlookup(B287,Pop_Census_2023!$A$2:$E$3220,4,FALSE), vlookup(B287,Pop_Census_2023!$A$2:$E$3220,5,FALSE))</f>
        <v>14348</v>
      </c>
    </row>
    <row r="288">
      <c r="A288" s="47" t="s">
        <v>2194</v>
      </c>
      <c r="B288" s="47">
        <v>8073.0</v>
      </c>
      <c r="C288" s="47">
        <v>5.0</v>
      </c>
      <c r="D288" s="47" t="s">
        <v>4053</v>
      </c>
      <c r="E288" s="47" t="str">
        <f t="shared" si="1"/>
        <v>5B</v>
      </c>
      <c r="F288" s="47" t="s">
        <v>4054</v>
      </c>
      <c r="G288" s="47" t="s">
        <v>250</v>
      </c>
      <c r="H288" s="48">
        <f>IF(NOT(ISBLANK(vlookup(B288,Pop_Census_2023!$A$2:$E$3220,4,FALSE))),vlookup(B288,Pop_Census_2023!$A$2:$E$3220,4,FALSE), vlookup(B288,Pop_Census_2023!$A$2:$E$3220,5,FALSE))</f>
        <v>5480</v>
      </c>
    </row>
    <row r="289">
      <c r="A289" s="47" t="s">
        <v>2194</v>
      </c>
      <c r="B289" s="47">
        <v>8075.0</v>
      </c>
      <c r="C289" s="47">
        <v>5.0</v>
      </c>
      <c r="D289" s="47" t="s">
        <v>4053</v>
      </c>
      <c r="E289" s="47" t="str">
        <f t="shared" si="1"/>
        <v>5B</v>
      </c>
      <c r="F289" s="47" t="s">
        <v>4054</v>
      </c>
      <c r="G289" s="47" t="s">
        <v>252</v>
      </c>
      <c r="H289" s="48">
        <f>IF(NOT(ISBLANK(vlookup(B289,Pop_Census_2023!$A$2:$E$3220,4,FALSE))),vlookup(B289,Pop_Census_2023!$A$2:$E$3220,4,FALSE), vlookup(B289,Pop_Census_2023!$A$2:$E$3220,5,FALSE))</f>
        <v>20619</v>
      </c>
    </row>
    <row r="290">
      <c r="A290" s="47" t="s">
        <v>2194</v>
      </c>
      <c r="B290" s="47">
        <v>8077.0</v>
      </c>
      <c r="C290" s="47">
        <v>5.0</v>
      </c>
      <c r="D290" s="47" t="s">
        <v>4053</v>
      </c>
      <c r="E290" s="47" t="str">
        <f t="shared" si="1"/>
        <v>5B</v>
      </c>
      <c r="F290" s="47" t="s">
        <v>4054</v>
      </c>
      <c r="G290" s="47" t="s">
        <v>373</v>
      </c>
      <c r="H290" s="48">
        <f>IF(NOT(ISBLANK(vlookup(B290,Pop_Census_2023!$A$2:$E$3220,4,FALSE))),vlookup(B290,Pop_Census_2023!$A$2:$E$3220,4,FALSE), vlookup(B290,Pop_Census_2023!$A$2:$E$3220,5,FALSE))</f>
        <v>159681</v>
      </c>
    </row>
    <row r="291">
      <c r="A291" s="47" t="s">
        <v>2194</v>
      </c>
      <c r="B291" s="47">
        <v>8079.0</v>
      </c>
      <c r="C291" s="47">
        <v>7.0</v>
      </c>
      <c r="D291" s="47" t="s">
        <v>4014</v>
      </c>
      <c r="E291" s="47">
        <f t="shared" si="1"/>
        <v>7</v>
      </c>
      <c r="F291" s="47" t="s">
        <v>4015</v>
      </c>
      <c r="G291" s="47" t="s">
        <v>374</v>
      </c>
      <c r="H291" s="34">
        <f>IF(NOT(ISBLANK(vlookup(B291,Pop_Census_2023!$A$2:$E$3220,4,FALSE))),vlookup(B291,Pop_Census_2023!$A$2:$E$3220,4,FALSE), vlookup(B291,Pop_Census_2023!$A$2:$E$3220,5,FALSE))</f>
        <v>944</v>
      </c>
    </row>
    <row r="292">
      <c r="A292" s="47" t="s">
        <v>2194</v>
      </c>
      <c r="B292" s="47">
        <v>8081.0</v>
      </c>
      <c r="C292" s="47">
        <v>6.0</v>
      </c>
      <c r="D292" s="47" t="s">
        <v>4053</v>
      </c>
      <c r="E292" s="47" t="str">
        <f t="shared" si="1"/>
        <v>6B</v>
      </c>
      <c r="F292" s="47" t="s">
        <v>4054</v>
      </c>
      <c r="G292" s="47" t="s">
        <v>375</v>
      </c>
      <c r="H292" s="48">
        <f>IF(NOT(ISBLANK(vlookup(B292,Pop_Census_2023!$A$2:$E$3220,4,FALSE))),vlookup(B292,Pop_Census_2023!$A$2:$E$3220,4,FALSE), vlookup(B292,Pop_Census_2023!$A$2:$E$3220,5,FALSE))</f>
        <v>13327</v>
      </c>
    </row>
    <row r="293">
      <c r="A293" s="47" t="s">
        <v>2194</v>
      </c>
      <c r="B293" s="47">
        <v>8083.0</v>
      </c>
      <c r="C293" s="47">
        <v>5.0</v>
      </c>
      <c r="D293" s="47" t="s">
        <v>4053</v>
      </c>
      <c r="E293" s="47" t="str">
        <f t="shared" si="1"/>
        <v>5B</v>
      </c>
      <c r="F293" s="47" t="s">
        <v>4054</v>
      </c>
      <c r="G293" s="47" t="s">
        <v>376</v>
      </c>
      <c r="H293" s="48">
        <f>IF(NOT(ISBLANK(vlookup(B293,Pop_Census_2023!$A$2:$E$3220,4,FALSE))),vlookup(B293,Pop_Census_2023!$A$2:$E$3220,4,FALSE), vlookup(B293,Pop_Census_2023!$A$2:$E$3220,5,FALSE))</f>
        <v>26531</v>
      </c>
    </row>
    <row r="294">
      <c r="A294" s="47" t="s">
        <v>2194</v>
      </c>
      <c r="B294" s="47">
        <v>8085.0</v>
      </c>
      <c r="C294" s="47">
        <v>5.0</v>
      </c>
      <c r="D294" s="47" t="s">
        <v>4053</v>
      </c>
      <c r="E294" s="47" t="str">
        <f t="shared" si="1"/>
        <v>5B</v>
      </c>
      <c r="F294" s="47" t="s">
        <v>4054</v>
      </c>
      <c r="G294" s="47" t="s">
        <v>377</v>
      </c>
      <c r="H294" s="48">
        <f>IF(NOT(ISBLANK(vlookup(B294,Pop_Census_2023!$A$2:$E$3220,4,FALSE))),vlookup(B294,Pop_Census_2023!$A$2:$E$3220,4,FALSE), vlookup(B294,Pop_Census_2023!$A$2:$E$3220,5,FALSE))</f>
        <v>44156</v>
      </c>
    </row>
    <row r="295">
      <c r="A295" s="47" t="s">
        <v>2194</v>
      </c>
      <c r="B295" s="47">
        <v>8087.0</v>
      </c>
      <c r="C295" s="47">
        <v>5.0</v>
      </c>
      <c r="D295" s="47" t="s">
        <v>4053</v>
      </c>
      <c r="E295" s="47" t="str">
        <f t="shared" si="1"/>
        <v>5B</v>
      </c>
      <c r="F295" s="47" t="s">
        <v>4054</v>
      </c>
      <c r="G295" s="47" t="s">
        <v>154</v>
      </c>
      <c r="H295" s="48">
        <f>IF(NOT(ISBLANK(vlookup(B295,Pop_Census_2023!$A$2:$E$3220,4,FALSE))),vlookup(B295,Pop_Census_2023!$A$2:$E$3220,4,FALSE), vlookup(B295,Pop_Census_2023!$A$2:$E$3220,5,FALSE))</f>
        <v>29524</v>
      </c>
    </row>
    <row r="296">
      <c r="A296" s="47" t="s">
        <v>2194</v>
      </c>
      <c r="B296" s="47">
        <v>8089.0</v>
      </c>
      <c r="C296" s="47">
        <v>4.0</v>
      </c>
      <c r="D296" s="47" t="s">
        <v>4053</v>
      </c>
      <c r="E296" s="47" t="str">
        <f t="shared" si="1"/>
        <v>4B</v>
      </c>
      <c r="F296" s="47" t="s">
        <v>4056</v>
      </c>
      <c r="G296" s="47" t="s">
        <v>378</v>
      </c>
      <c r="H296" s="48">
        <f>IF(NOT(ISBLANK(vlookup(B296,Pop_Census_2023!$A$2:$E$3220,4,FALSE))),vlookup(B296,Pop_Census_2023!$A$2:$E$3220,4,FALSE), vlookup(B296,Pop_Census_2023!$A$2:$E$3220,5,FALSE))</f>
        <v>18136</v>
      </c>
    </row>
    <row r="297">
      <c r="A297" s="47" t="s">
        <v>2194</v>
      </c>
      <c r="B297" s="47">
        <v>8091.0</v>
      </c>
      <c r="C297" s="47">
        <v>6.0</v>
      </c>
      <c r="D297" s="47" t="s">
        <v>4053</v>
      </c>
      <c r="E297" s="47" t="str">
        <f t="shared" si="1"/>
        <v>6B</v>
      </c>
      <c r="F297" s="47" t="s">
        <v>4054</v>
      </c>
      <c r="G297" s="47" t="s">
        <v>379</v>
      </c>
      <c r="H297" s="48">
        <f>IF(NOT(ISBLANK(vlookup(B297,Pop_Census_2023!$A$2:$E$3220,4,FALSE))),vlookup(B297,Pop_Census_2023!$A$2:$E$3220,4,FALSE), vlookup(B297,Pop_Census_2023!$A$2:$E$3220,5,FALSE))</f>
        <v>5176</v>
      </c>
    </row>
    <row r="298">
      <c r="A298" s="47" t="s">
        <v>2194</v>
      </c>
      <c r="B298" s="47">
        <v>8093.0</v>
      </c>
      <c r="C298" s="47">
        <v>7.0</v>
      </c>
      <c r="D298" s="47" t="s">
        <v>4014</v>
      </c>
      <c r="E298" s="47">
        <f t="shared" si="1"/>
        <v>7</v>
      </c>
      <c r="F298" s="47" t="s">
        <v>4015</v>
      </c>
      <c r="G298" s="47" t="s">
        <v>380</v>
      </c>
      <c r="H298" s="48">
        <f>IF(NOT(ISBLANK(vlookup(B298,Pop_Census_2023!$A$2:$E$3220,4,FALSE))),vlookup(B298,Pop_Census_2023!$A$2:$E$3220,4,FALSE), vlookup(B298,Pop_Census_2023!$A$2:$E$3220,5,FALSE))</f>
        <v>18117</v>
      </c>
    </row>
    <row r="299">
      <c r="A299" s="47" t="s">
        <v>2194</v>
      </c>
      <c r="B299" s="47">
        <v>8095.0</v>
      </c>
      <c r="C299" s="47">
        <v>5.0</v>
      </c>
      <c r="D299" s="47" t="s">
        <v>4053</v>
      </c>
      <c r="E299" s="47" t="str">
        <f t="shared" si="1"/>
        <v>5B</v>
      </c>
      <c r="F299" s="47" t="s">
        <v>4054</v>
      </c>
      <c r="G299" s="47" t="s">
        <v>259</v>
      </c>
      <c r="H299" s="48">
        <f>IF(NOT(ISBLANK(vlookup(B299,Pop_Census_2023!$A$2:$E$3220,4,FALSE))),vlookup(B299,Pop_Census_2023!$A$2:$E$3220,4,FALSE), vlookup(B299,Pop_Census_2023!$A$2:$E$3220,5,FALSE))</f>
        <v>4476</v>
      </c>
    </row>
    <row r="300">
      <c r="A300" s="47" t="s">
        <v>2194</v>
      </c>
      <c r="B300" s="47">
        <v>8097.0</v>
      </c>
      <c r="C300" s="47">
        <v>7.0</v>
      </c>
      <c r="D300" s="47" t="s">
        <v>4014</v>
      </c>
      <c r="E300" s="47">
        <f t="shared" si="1"/>
        <v>7</v>
      </c>
      <c r="F300" s="47" t="s">
        <v>4015</v>
      </c>
      <c r="G300" s="47" t="s">
        <v>381</v>
      </c>
      <c r="H300" s="48">
        <f>IF(NOT(ISBLANK(vlookup(B300,Pop_Census_2023!$A$2:$E$3220,4,FALSE))),vlookup(B300,Pop_Census_2023!$A$2:$E$3220,4,FALSE), vlookup(B300,Pop_Census_2023!$A$2:$E$3220,5,FALSE))</f>
        <v>16640</v>
      </c>
    </row>
    <row r="301">
      <c r="A301" s="47" t="s">
        <v>2194</v>
      </c>
      <c r="B301" s="47">
        <v>8099.0</v>
      </c>
      <c r="C301" s="47">
        <v>5.0</v>
      </c>
      <c r="D301" s="47" t="s">
        <v>4053</v>
      </c>
      <c r="E301" s="47" t="str">
        <f t="shared" si="1"/>
        <v>5B</v>
      </c>
      <c r="F301" s="47" t="s">
        <v>4054</v>
      </c>
      <c r="G301" s="47" t="s">
        <v>382</v>
      </c>
      <c r="H301" s="48">
        <f>IF(NOT(ISBLANK(vlookup(B301,Pop_Census_2023!$A$2:$E$3220,4,FALSE))),vlookup(B301,Pop_Census_2023!$A$2:$E$3220,4,FALSE), vlookup(B301,Pop_Census_2023!$A$2:$E$3220,5,FALSE))</f>
        <v>11751</v>
      </c>
    </row>
    <row r="302">
      <c r="A302" s="47" t="s">
        <v>2194</v>
      </c>
      <c r="B302" s="47">
        <v>8101.0</v>
      </c>
      <c r="C302" s="47">
        <v>5.0</v>
      </c>
      <c r="D302" s="47" t="s">
        <v>4053</v>
      </c>
      <c r="E302" s="47" t="str">
        <f t="shared" si="1"/>
        <v>5B</v>
      </c>
      <c r="F302" s="47" t="s">
        <v>4054</v>
      </c>
      <c r="G302" s="47" t="s">
        <v>383</v>
      </c>
      <c r="H302" s="48">
        <f>IF(NOT(ISBLANK(vlookup(B302,Pop_Census_2023!$A$2:$E$3220,4,FALSE))),vlookup(B302,Pop_Census_2023!$A$2:$E$3220,4,FALSE), vlookup(B302,Pop_Census_2023!$A$2:$E$3220,5,FALSE))</f>
        <v>169422</v>
      </c>
    </row>
    <row r="303">
      <c r="A303" s="47" t="s">
        <v>2194</v>
      </c>
      <c r="B303" s="47">
        <v>8103.0</v>
      </c>
      <c r="C303" s="47">
        <v>6.0</v>
      </c>
      <c r="D303" s="47" t="s">
        <v>4053</v>
      </c>
      <c r="E303" s="47" t="str">
        <f t="shared" si="1"/>
        <v>6B</v>
      </c>
      <c r="F303" s="47" t="s">
        <v>4054</v>
      </c>
      <c r="G303" s="47" t="s">
        <v>384</v>
      </c>
      <c r="H303" s="48">
        <f>IF(NOT(ISBLANK(vlookup(B303,Pop_Census_2023!$A$2:$E$3220,4,FALSE))),vlookup(B303,Pop_Census_2023!$A$2:$E$3220,4,FALSE), vlookup(B303,Pop_Census_2023!$A$2:$E$3220,5,FALSE))</f>
        <v>6569</v>
      </c>
    </row>
    <row r="304">
      <c r="A304" s="47" t="s">
        <v>2194</v>
      </c>
      <c r="B304" s="47">
        <v>8105.0</v>
      </c>
      <c r="C304" s="47">
        <v>7.0</v>
      </c>
      <c r="D304" s="47" t="s">
        <v>4014</v>
      </c>
      <c r="E304" s="47">
        <f t="shared" si="1"/>
        <v>7</v>
      </c>
      <c r="F304" s="47" t="s">
        <v>4015</v>
      </c>
      <c r="G304" s="47" t="s">
        <v>385</v>
      </c>
      <c r="H304" s="48">
        <f>IF(NOT(ISBLANK(vlookup(B304,Pop_Census_2023!$A$2:$E$3220,4,FALSE))),vlookup(B304,Pop_Census_2023!$A$2:$E$3220,4,FALSE), vlookup(B304,Pop_Census_2023!$A$2:$E$3220,5,FALSE))</f>
        <v>11188</v>
      </c>
    </row>
    <row r="305">
      <c r="A305" s="47" t="s">
        <v>2194</v>
      </c>
      <c r="B305" s="47">
        <v>8107.0</v>
      </c>
      <c r="C305" s="47">
        <v>7.0</v>
      </c>
      <c r="D305" s="47" t="s">
        <v>4014</v>
      </c>
      <c r="E305" s="47">
        <f t="shared" si="1"/>
        <v>7</v>
      </c>
      <c r="F305" s="47" t="s">
        <v>4015</v>
      </c>
      <c r="G305" s="47" t="s">
        <v>386</v>
      </c>
      <c r="H305" s="48">
        <f>IF(NOT(ISBLANK(vlookup(B305,Pop_Census_2023!$A$2:$E$3220,4,FALSE))),vlookup(B305,Pop_Census_2023!$A$2:$E$3220,4,FALSE), vlookup(B305,Pop_Census_2023!$A$2:$E$3220,5,FALSE))</f>
        <v>25064</v>
      </c>
    </row>
    <row r="306">
      <c r="A306" s="47" t="s">
        <v>2194</v>
      </c>
      <c r="B306" s="47">
        <v>8109.0</v>
      </c>
      <c r="C306" s="47">
        <v>6.0</v>
      </c>
      <c r="D306" s="47" t="s">
        <v>4053</v>
      </c>
      <c r="E306" s="47" t="str">
        <f t="shared" si="1"/>
        <v>6B</v>
      </c>
      <c r="F306" s="47" t="s">
        <v>4054</v>
      </c>
      <c r="G306" s="47" t="s">
        <v>387</v>
      </c>
      <c r="H306" s="48">
        <f>IF(NOT(ISBLANK(vlookup(B306,Pop_Census_2023!$A$2:$E$3220,4,FALSE))),vlookup(B306,Pop_Census_2023!$A$2:$E$3220,4,FALSE), vlookup(B306,Pop_Census_2023!$A$2:$E$3220,5,FALSE))</f>
        <v>6688</v>
      </c>
    </row>
    <row r="307">
      <c r="A307" s="47" t="s">
        <v>2194</v>
      </c>
      <c r="B307" s="47">
        <v>8111.0</v>
      </c>
      <c r="C307" s="47">
        <v>7.0</v>
      </c>
      <c r="D307" s="47" t="s">
        <v>4014</v>
      </c>
      <c r="E307" s="47">
        <f t="shared" si="1"/>
        <v>7</v>
      </c>
      <c r="F307" s="47" t="s">
        <v>4015</v>
      </c>
      <c r="G307" s="47" t="s">
        <v>388</v>
      </c>
      <c r="H307" s="34">
        <f>IF(NOT(ISBLANK(vlookup(B307,Pop_Census_2023!$A$2:$E$3220,4,FALSE))),vlookup(B307,Pop_Census_2023!$A$2:$E$3220,4,FALSE), vlookup(B307,Pop_Census_2023!$A$2:$E$3220,5,FALSE))</f>
        <v>802</v>
      </c>
    </row>
    <row r="308">
      <c r="A308" s="47" t="s">
        <v>2194</v>
      </c>
      <c r="B308" s="47">
        <v>8113.0</v>
      </c>
      <c r="C308" s="47">
        <v>6.0</v>
      </c>
      <c r="D308" s="47" t="s">
        <v>4053</v>
      </c>
      <c r="E308" s="47" t="str">
        <f t="shared" si="1"/>
        <v>6B</v>
      </c>
      <c r="F308" s="47" t="s">
        <v>4054</v>
      </c>
      <c r="G308" s="47" t="s">
        <v>389</v>
      </c>
      <c r="H308" s="48">
        <f>IF(NOT(ISBLANK(vlookup(B308,Pop_Census_2023!$A$2:$E$3220,4,FALSE))),vlookup(B308,Pop_Census_2023!$A$2:$E$3220,4,FALSE), vlookup(B308,Pop_Census_2023!$A$2:$E$3220,5,FALSE))</f>
        <v>7868</v>
      </c>
    </row>
    <row r="309">
      <c r="A309" s="47" t="s">
        <v>2194</v>
      </c>
      <c r="B309" s="47">
        <v>8115.0</v>
      </c>
      <c r="C309" s="47">
        <v>5.0</v>
      </c>
      <c r="D309" s="47" t="s">
        <v>4053</v>
      </c>
      <c r="E309" s="47" t="str">
        <f t="shared" si="1"/>
        <v>5B</v>
      </c>
      <c r="F309" s="47" t="s">
        <v>4054</v>
      </c>
      <c r="G309" s="47" t="s">
        <v>390</v>
      </c>
      <c r="H309" s="48">
        <f>IF(NOT(ISBLANK(vlookup(B309,Pop_Census_2023!$A$2:$E$3220,4,FALSE))),vlookup(B309,Pop_Census_2023!$A$2:$E$3220,4,FALSE), vlookup(B309,Pop_Census_2023!$A$2:$E$3220,5,FALSE))</f>
        <v>2299</v>
      </c>
    </row>
    <row r="310">
      <c r="A310" s="47" t="s">
        <v>2194</v>
      </c>
      <c r="B310" s="47">
        <v>8117.0</v>
      </c>
      <c r="C310" s="47">
        <v>7.0</v>
      </c>
      <c r="D310" s="47" t="s">
        <v>4014</v>
      </c>
      <c r="E310" s="47">
        <f t="shared" si="1"/>
        <v>7</v>
      </c>
      <c r="F310" s="47" t="s">
        <v>4015</v>
      </c>
      <c r="G310" s="47" t="s">
        <v>391</v>
      </c>
      <c r="H310" s="48">
        <f>IF(NOT(ISBLANK(vlookup(B310,Pop_Census_2023!$A$2:$E$3220,4,FALSE))),vlookup(B310,Pop_Census_2023!$A$2:$E$3220,4,FALSE), vlookup(B310,Pop_Census_2023!$A$2:$E$3220,5,FALSE))</f>
        <v>30465</v>
      </c>
    </row>
    <row r="311">
      <c r="A311" s="47" t="s">
        <v>2194</v>
      </c>
      <c r="B311" s="47">
        <v>8119.0</v>
      </c>
      <c r="C311" s="47">
        <v>5.0</v>
      </c>
      <c r="D311" s="47" t="s">
        <v>4053</v>
      </c>
      <c r="E311" s="47" t="str">
        <f t="shared" si="1"/>
        <v>5B</v>
      </c>
      <c r="F311" s="47" t="s">
        <v>4054</v>
      </c>
      <c r="G311" s="47" t="s">
        <v>392</v>
      </c>
      <c r="H311" s="48">
        <f>IF(NOT(ISBLANK(vlookup(B311,Pop_Census_2023!$A$2:$E$3220,4,FALSE))),vlookup(B311,Pop_Census_2023!$A$2:$E$3220,4,FALSE), vlookup(B311,Pop_Census_2023!$A$2:$E$3220,5,FALSE))</f>
        <v>24617</v>
      </c>
    </row>
    <row r="312">
      <c r="A312" s="47" t="s">
        <v>2194</v>
      </c>
      <c r="B312" s="47">
        <v>8121.0</v>
      </c>
      <c r="C312" s="47">
        <v>5.0</v>
      </c>
      <c r="D312" s="47" t="s">
        <v>4053</v>
      </c>
      <c r="E312" s="47" t="str">
        <f t="shared" si="1"/>
        <v>5B</v>
      </c>
      <c r="F312" s="47" t="s">
        <v>4054</v>
      </c>
      <c r="G312" s="47" t="s">
        <v>167</v>
      </c>
      <c r="H312" s="48">
        <f>IF(NOT(ISBLANK(vlookup(B312,Pop_Census_2023!$A$2:$E$3220,4,FALSE))),vlookup(B312,Pop_Census_2023!$A$2:$E$3220,4,FALSE), vlookup(B312,Pop_Census_2023!$A$2:$E$3220,5,FALSE))</f>
        <v>4855</v>
      </c>
    </row>
    <row r="313">
      <c r="A313" s="47" t="s">
        <v>2194</v>
      </c>
      <c r="B313" s="47">
        <v>8123.0</v>
      </c>
      <c r="C313" s="47">
        <v>5.0</v>
      </c>
      <c r="D313" s="47" t="s">
        <v>4053</v>
      </c>
      <c r="E313" s="47" t="str">
        <f t="shared" si="1"/>
        <v>5B</v>
      </c>
      <c r="F313" s="47" t="s">
        <v>4054</v>
      </c>
      <c r="G313" s="47" t="s">
        <v>393</v>
      </c>
      <c r="H313" s="48">
        <f>IF(NOT(ISBLANK(vlookup(B313,Pop_Census_2023!$A$2:$E$3220,4,FALSE))),vlookup(B313,Pop_Census_2023!$A$2:$E$3220,4,FALSE), vlookup(B313,Pop_Census_2023!$A$2:$E$3220,5,FALSE))</f>
        <v>359442</v>
      </c>
    </row>
    <row r="314">
      <c r="A314" s="47" t="s">
        <v>2194</v>
      </c>
      <c r="B314" s="47">
        <v>8125.0</v>
      </c>
      <c r="C314" s="47">
        <v>5.0</v>
      </c>
      <c r="D314" s="47" t="s">
        <v>4053</v>
      </c>
      <c r="E314" s="47" t="str">
        <f t="shared" si="1"/>
        <v>5B</v>
      </c>
      <c r="F314" s="47" t="s">
        <v>4054</v>
      </c>
      <c r="G314" s="47" t="s">
        <v>219</v>
      </c>
      <c r="H314" s="48">
        <f>IF(NOT(ISBLANK(vlookup(B314,Pop_Census_2023!$A$2:$E$3220,4,FALSE))),vlookup(B314,Pop_Census_2023!$A$2:$E$3220,4,FALSE), vlookup(B314,Pop_Census_2023!$A$2:$E$3220,5,FALSE))</f>
        <v>9862</v>
      </c>
    </row>
    <row r="315">
      <c r="A315" s="47" t="s">
        <v>2250</v>
      </c>
      <c r="B315" s="47">
        <v>9001.0</v>
      </c>
      <c r="C315" s="47">
        <v>5.0</v>
      </c>
      <c r="D315" s="47" t="s">
        <v>4044</v>
      </c>
      <c r="E315" s="47" t="str">
        <f t="shared" si="1"/>
        <v>5A</v>
      </c>
      <c r="F315" s="47" t="s">
        <v>4054</v>
      </c>
      <c r="G315" s="47" t="s">
        <v>394</v>
      </c>
      <c r="H315" s="48">
        <f>IF(NOT(ISBLANK(vlookup(B315,Pop_Census_2023!$A$2:$E$3220,4,FALSE))),vlookup(B315,Pop_Census_2023!$A$2:$E$3220,4,FALSE), vlookup(B315,Pop_Census_2023!$A$2:$E$3220,5,FALSE))</f>
        <v>957419</v>
      </c>
    </row>
    <row r="316">
      <c r="A316" s="47" t="s">
        <v>2250</v>
      </c>
      <c r="B316" s="47">
        <v>9003.0</v>
      </c>
      <c r="C316" s="47">
        <v>5.0</v>
      </c>
      <c r="D316" s="47" t="s">
        <v>4044</v>
      </c>
      <c r="E316" s="47" t="str">
        <f t="shared" si="1"/>
        <v>5A</v>
      </c>
      <c r="F316" s="47" t="s">
        <v>4054</v>
      </c>
      <c r="G316" s="47" t="s">
        <v>397</v>
      </c>
      <c r="H316" s="48">
        <f>IF(NOT(ISBLANK(vlookup(B316,Pop_Census_2023!$A$2:$E$3220,4,FALSE))),vlookup(B316,Pop_Census_2023!$A$2:$E$3220,4,FALSE), vlookup(B316,Pop_Census_2023!$A$2:$E$3220,5,FALSE))</f>
        <v>899498</v>
      </c>
    </row>
    <row r="317">
      <c r="A317" s="47" t="s">
        <v>2250</v>
      </c>
      <c r="B317" s="47">
        <v>9005.0</v>
      </c>
      <c r="C317" s="47">
        <v>5.0</v>
      </c>
      <c r="D317" s="47" t="s">
        <v>4044</v>
      </c>
      <c r="E317" s="47" t="str">
        <f t="shared" si="1"/>
        <v>5A</v>
      </c>
      <c r="F317" s="47" t="s">
        <v>4054</v>
      </c>
      <c r="G317" s="47" t="s">
        <v>398</v>
      </c>
      <c r="H317" s="48">
        <f>IF(NOT(ISBLANK(vlookup(B317,Pop_Census_2023!$A$2:$E$3220,4,FALSE))),vlookup(B317,Pop_Census_2023!$A$2:$E$3220,4,FALSE), vlookup(B317,Pop_Census_2023!$A$2:$E$3220,5,FALSE))</f>
        <v>185186</v>
      </c>
    </row>
    <row r="318">
      <c r="A318" s="47" t="s">
        <v>2250</v>
      </c>
      <c r="B318" s="47">
        <v>9007.0</v>
      </c>
      <c r="C318" s="47">
        <v>5.0</v>
      </c>
      <c r="D318" s="47" t="s">
        <v>4044</v>
      </c>
      <c r="E318" s="47" t="str">
        <f t="shared" si="1"/>
        <v>5A</v>
      </c>
      <c r="F318" s="47" t="s">
        <v>4054</v>
      </c>
      <c r="G318" s="47" t="s">
        <v>399</v>
      </c>
      <c r="H318" s="48">
        <f>IF(NOT(ISBLANK(vlookup(B318,Pop_Census_2023!$A$2:$E$3220,4,FALSE))),vlookup(B318,Pop_Census_2023!$A$2:$E$3220,4,FALSE), vlookup(B318,Pop_Census_2023!$A$2:$E$3220,5,FALSE))</f>
        <v>164245</v>
      </c>
    </row>
    <row r="319">
      <c r="A319" s="47" t="s">
        <v>2250</v>
      </c>
      <c r="B319" s="47">
        <v>9009.0</v>
      </c>
      <c r="C319" s="47">
        <v>5.0</v>
      </c>
      <c r="D319" s="47" t="s">
        <v>4044</v>
      </c>
      <c r="E319" s="47" t="str">
        <f t="shared" si="1"/>
        <v>5A</v>
      </c>
      <c r="F319" s="47" t="s">
        <v>4054</v>
      </c>
      <c r="G319" s="47" t="s">
        <v>400</v>
      </c>
      <c r="H319" s="48">
        <f>IF(NOT(ISBLANK(vlookup(B319,Pop_Census_2023!$A$2:$E$3220,4,FALSE))),vlookup(B319,Pop_Census_2023!$A$2:$E$3220,4,FALSE), vlookup(B319,Pop_Census_2023!$A$2:$E$3220,5,FALSE))</f>
        <v>864835</v>
      </c>
    </row>
    <row r="320">
      <c r="A320" s="47" t="s">
        <v>2250</v>
      </c>
      <c r="B320" s="47">
        <v>9011.0</v>
      </c>
      <c r="C320" s="47">
        <v>5.0</v>
      </c>
      <c r="D320" s="47" t="s">
        <v>4044</v>
      </c>
      <c r="E320" s="47" t="str">
        <f t="shared" si="1"/>
        <v>5A</v>
      </c>
      <c r="F320" s="47" t="s">
        <v>4054</v>
      </c>
      <c r="G320" s="47" t="s">
        <v>401</v>
      </c>
      <c r="H320" s="48">
        <f>IF(NOT(ISBLANK(vlookup(B320,Pop_Census_2023!$A$2:$E$3220,4,FALSE))),vlookup(B320,Pop_Census_2023!$A$2:$E$3220,4,FALSE), vlookup(B320,Pop_Census_2023!$A$2:$E$3220,5,FALSE))</f>
        <v>268555</v>
      </c>
    </row>
    <row r="321">
      <c r="A321" s="47" t="s">
        <v>2250</v>
      </c>
      <c r="B321" s="47">
        <v>9013.0</v>
      </c>
      <c r="C321" s="47">
        <v>5.0</v>
      </c>
      <c r="D321" s="47" t="s">
        <v>4044</v>
      </c>
      <c r="E321" s="47" t="str">
        <f t="shared" si="1"/>
        <v>5A</v>
      </c>
      <c r="F321" s="47" t="s">
        <v>4054</v>
      </c>
      <c r="G321" s="47" t="s">
        <v>402</v>
      </c>
      <c r="H321" s="48">
        <f>IF(NOT(ISBLANK(vlookup(B321,Pop_Census_2023!$A$2:$E$3220,4,FALSE))),vlookup(B321,Pop_Census_2023!$A$2:$E$3220,4,FALSE), vlookup(B321,Pop_Census_2023!$A$2:$E$3220,5,FALSE))</f>
        <v>149788</v>
      </c>
    </row>
    <row r="322">
      <c r="A322" s="47" t="s">
        <v>2250</v>
      </c>
      <c r="B322" s="47">
        <v>9015.0</v>
      </c>
      <c r="C322" s="47">
        <v>5.0</v>
      </c>
      <c r="D322" s="47" t="s">
        <v>4044</v>
      </c>
      <c r="E322" s="47" t="str">
        <f t="shared" si="1"/>
        <v>5A</v>
      </c>
      <c r="F322" s="47" t="s">
        <v>4054</v>
      </c>
      <c r="G322" s="47" t="s">
        <v>403</v>
      </c>
      <c r="H322" s="48">
        <f>IF(NOT(ISBLANK(vlookup(B322,Pop_Census_2023!$A$2:$E$3220,4,FALSE))),vlookup(B322,Pop_Census_2023!$A$2:$E$3220,4,FALSE), vlookup(B322,Pop_Census_2023!$A$2:$E$3220,5,FALSE))</f>
        <v>116418</v>
      </c>
    </row>
    <row r="323">
      <c r="A323" s="47" t="s">
        <v>2263</v>
      </c>
      <c r="B323" s="47">
        <v>11001.0</v>
      </c>
      <c r="C323" s="47">
        <v>4.0</v>
      </c>
      <c r="D323" s="47" t="s">
        <v>4044</v>
      </c>
      <c r="E323" s="47" t="str">
        <f t="shared" si="1"/>
        <v>4A</v>
      </c>
      <c r="F323" s="47" t="s">
        <v>4046</v>
      </c>
      <c r="G323" s="47" t="s">
        <v>408</v>
      </c>
      <c r="H323" s="48">
        <f>IF(NOT(ISBLANK(vlookup(B323,Pop_Census_2023!$A$2:$E$3220,4,FALSE))),vlookup(B323,Pop_Census_2023!$A$2:$E$3220,4,FALSE), vlookup(B323,Pop_Census_2023!$A$2:$E$3220,5,FALSE))</f>
        <v>678972</v>
      </c>
    </row>
    <row r="324">
      <c r="A324" s="47" t="s">
        <v>2259</v>
      </c>
      <c r="B324" s="47">
        <v>10001.0</v>
      </c>
      <c r="C324" s="47">
        <v>4.0</v>
      </c>
      <c r="D324" s="47" t="s">
        <v>4044</v>
      </c>
      <c r="E324" s="47" t="str">
        <f t="shared" si="1"/>
        <v>4A</v>
      </c>
      <c r="F324" s="47" t="s">
        <v>4046</v>
      </c>
      <c r="G324" s="47" t="s">
        <v>404</v>
      </c>
      <c r="H324" s="48">
        <f>IF(NOT(ISBLANK(vlookup(B324,Pop_Census_2023!$A$2:$E$3220,4,FALSE))),vlookup(B324,Pop_Census_2023!$A$2:$E$3220,4,FALSE), vlookup(B324,Pop_Census_2023!$A$2:$E$3220,5,FALSE))</f>
        <v>189789</v>
      </c>
    </row>
    <row r="325">
      <c r="A325" s="47" t="s">
        <v>2259</v>
      </c>
      <c r="B325" s="47">
        <v>10003.0</v>
      </c>
      <c r="C325" s="47">
        <v>4.0</v>
      </c>
      <c r="D325" s="47" t="s">
        <v>4044</v>
      </c>
      <c r="E325" s="47" t="str">
        <f t="shared" si="1"/>
        <v>4A</v>
      </c>
      <c r="F325" s="47" t="s">
        <v>4046</v>
      </c>
      <c r="G325" s="47" t="s">
        <v>406</v>
      </c>
      <c r="H325" s="48">
        <f>IF(NOT(ISBLANK(vlookup(B325,Pop_Census_2023!$A$2:$E$3220,4,FALSE))),vlookup(B325,Pop_Census_2023!$A$2:$E$3220,4,FALSE), vlookup(B325,Pop_Census_2023!$A$2:$E$3220,5,FALSE))</f>
        <v>578592</v>
      </c>
    </row>
    <row r="326">
      <c r="A326" s="47" t="s">
        <v>2259</v>
      </c>
      <c r="B326" s="47">
        <v>10005.0</v>
      </c>
      <c r="C326" s="47">
        <v>4.0</v>
      </c>
      <c r="D326" s="47" t="s">
        <v>4044</v>
      </c>
      <c r="E326" s="47" t="str">
        <f t="shared" si="1"/>
        <v>4A</v>
      </c>
      <c r="F326" s="47" t="s">
        <v>4046</v>
      </c>
      <c r="G326" s="47" t="s">
        <v>407</v>
      </c>
      <c r="H326" s="48">
        <f>IF(NOT(ISBLANK(vlookup(B326,Pop_Census_2023!$A$2:$E$3220,4,FALSE))),vlookup(B326,Pop_Census_2023!$A$2:$E$3220,4,FALSE), vlookup(B326,Pop_Census_2023!$A$2:$E$3220,5,FALSE))</f>
        <v>263509</v>
      </c>
    </row>
    <row r="327">
      <c r="A327" s="47" t="s">
        <v>2264</v>
      </c>
      <c r="B327" s="47">
        <v>12001.0</v>
      </c>
      <c r="C327" s="47">
        <v>2.0</v>
      </c>
      <c r="D327" s="47" t="s">
        <v>4044</v>
      </c>
      <c r="E327" s="47" t="str">
        <f t="shared" si="1"/>
        <v>2A</v>
      </c>
      <c r="F327" s="47" t="s">
        <v>4045</v>
      </c>
      <c r="G327" s="47" t="s">
        <v>409</v>
      </c>
      <c r="H327" s="48">
        <f>IF(NOT(ISBLANK(vlookup(B327,Pop_Census_2023!$A$2:$E$3220,4,FALSE))),vlookup(B327,Pop_Census_2023!$A$2:$E$3220,4,FALSE), vlookup(B327,Pop_Census_2023!$A$2:$E$3220,5,FALSE))</f>
        <v>285994</v>
      </c>
    </row>
    <row r="328">
      <c r="A328" s="47" t="s">
        <v>2264</v>
      </c>
      <c r="B328" s="47">
        <v>12003.0</v>
      </c>
      <c r="C328" s="47">
        <v>2.0</v>
      </c>
      <c r="D328" s="47" t="s">
        <v>4044</v>
      </c>
      <c r="E328" s="47" t="str">
        <f t="shared" si="1"/>
        <v>2A</v>
      </c>
      <c r="F328" s="47" t="s">
        <v>4045</v>
      </c>
      <c r="G328" s="47" t="s">
        <v>411</v>
      </c>
      <c r="H328" s="48">
        <f>IF(NOT(ISBLANK(vlookup(B328,Pop_Census_2023!$A$2:$E$3220,4,FALSE))),vlookup(B328,Pop_Census_2023!$A$2:$E$3220,4,FALSE), vlookup(B328,Pop_Census_2023!$A$2:$E$3220,5,FALSE))</f>
        <v>28368</v>
      </c>
    </row>
    <row r="329">
      <c r="A329" s="47" t="s">
        <v>2264</v>
      </c>
      <c r="B329" s="47">
        <v>12005.0</v>
      </c>
      <c r="C329" s="47">
        <v>2.0</v>
      </c>
      <c r="D329" s="47" t="s">
        <v>4044</v>
      </c>
      <c r="E329" s="47" t="str">
        <f t="shared" si="1"/>
        <v>2A</v>
      </c>
      <c r="F329" s="47" t="s">
        <v>4045</v>
      </c>
      <c r="G329" s="47" t="s">
        <v>412</v>
      </c>
      <c r="H329" s="48">
        <f>IF(NOT(ISBLANK(vlookup(B329,Pop_Census_2023!$A$2:$E$3220,4,FALSE))),vlookup(B329,Pop_Census_2023!$A$2:$E$3220,4,FALSE), vlookup(B329,Pop_Census_2023!$A$2:$E$3220,5,FALSE))</f>
        <v>190769</v>
      </c>
    </row>
    <row r="330">
      <c r="A330" s="47" t="s">
        <v>2264</v>
      </c>
      <c r="B330" s="47">
        <v>12007.0</v>
      </c>
      <c r="C330" s="47">
        <v>2.0</v>
      </c>
      <c r="D330" s="47" t="s">
        <v>4044</v>
      </c>
      <c r="E330" s="47" t="str">
        <f t="shared" si="1"/>
        <v>2A</v>
      </c>
      <c r="F330" s="47" t="s">
        <v>4045</v>
      </c>
      <c r="G330" s="47" t="s">
        <v>413</v>
      </c>
      <c r="H330" s="48">
        <f>IF(NOT(ISBLANK(vlookup(B330,Pop_Census_2023!$A$2:$E$3220,4,FALSE))),vlookup(B330,Pop_Census_2023!$A$2:$E$3220,4,FALSE), vlookup(B330,Pop_Census_2023!$A$2:$E$3220,5,FALSE))</f>
        <v>27858</v>
      </c>
    </row>
    <row r="331">
      <c r="A331" s="47" t="s">
        <v>2264</v>
      </c>
      <c r="B331" s="47">
        <v>12009.0</v>
      </c>
      <c r="C331" s="47">
        <v>2.0</v>
      </c>
      <c r="D331" s="47" t="s">
        <v>4044</v>
      </c>
      <c r="E331" s="47" t="str">
        <f t="shared" si="1"/>
        <v>2A</v>
      </c>
      <c r="F331" s="47" t="s">
        <v>4045</v>
      </c>
      <c r="G331" s="47" t="s">
        <v>414</v>
      </c>
      <c r="H331" s="48">
        <f>IF(NOT(ISBLANK(vlookup(B331,Pop_Census_2023!$A$2:$E$3220,4,FALSE))),vlookup(B331,Pop_Census_2023!$A$2:$E$3220,4,FALSE), vlookup(B331,Pop_Census_2023!$A$2:$E$3220,5,FALSE))</f>
        <v>643979</v>
      </c>
    </row>
    <row r="332">
      <c r="A332" s="47" t="s">
        <v>2264</v>
      </c>
      <c r="B332" s="47">
        <v>12011.0</v>
      </c>
      <c r="C332" s="47">
        <v>1.0</v>
      </c>
      <c r="D332" s="47" t="s">
        <v>4044</v>
      </c>
      <c r="E332" s="47" t="str">
        <f t="shared" si="1"/>
        <v>1A</v>
      </c>
      <c r="F332" s="47" t="s">
        <v>4045</v>
      </c>
      <c r="G332" s="47" t="s">
        <v>415</v>
      </c>
      <c r="H332" s="48">
        <f>IF(NOT(ISBLANK(vlookup(B332,Pop_Census_2023!$A$2:$E$3220,4,FALSE))),vlookup(B332,Pop_Census_2023!$A$2:$E$3220,4,FALSE), vlookup(B332,Pop_Census_2023!$A$2:$E$3220,5,FALSE))</f>
        <v>1962531</v>
      </c>
    </row>
    <row r="333">
      <c r="A333" s="47" t="s">
        <v>2264</v>
      </c>
      <c r="B333" s="47">
        <v>12013.0</v>
      </c>
      <c r="C333" s="47">
        <v>2.0</v>
      </c>
      <c r="D333" s="47" t="s">
        <v>4044</v>
      </c>
      <c r="E333" s="47" t="str">
        <f t="shared" si="1"/>
        <v>2A</v>
      </c>
      <c r="F333" s="47" t="s">
        <v>4045</v>
      </c>
      <c r="G333" s="47" t="s">
        <v>110</v>
      </c>
      <c r="H333" s="48">
        <f>IF(NOT(ISBLANK(vlookup(B333,Pop_Census_2023!$A$2:$E$3220,4,FALSE))),vlookup(B333,Pop_Census_2023!$A$2:$E$3220,4,FALSE), vlookup(B333,Pop_Census_2023!$A$2:$E$3220,5,FALSE))</f>
        <v>13470</v>
      </c>
    </row>
    <row r="334">
      <c r="A334" s="47" t="s">
        <v>2264</v>
      </c>
      <c r="B334" s="47">
        <v>12015.0</v>
      </c>
      <c r="C334" s="47">
        <v>2.0</v>
      </c>
      <c r="D334" s="47" t="s">
        <v>4044</v>
      </c>
      <c r="E334" s="47" t="str">
        <f t="shared" si="1"/>
        <v>2A</v>
      </c>
      <c r="F334" s="47" t="s">
        <v>4045</v>
      </c>
      <c r="G334" s="47" t="s">
        <v>417</v>
      </c>
      <c r="H334" s="48">
        <f>IF(NOT(ISBLANK(vlookup(B334,Pop_Census_2023!$A$2:$E$3220,4,FALSE))),vlookup(B334,Pop_Census_2023!$A$2:$E$3220,4,FALSE), vlookup(B334,Pop_Census_2023!$A$2:$E$3220,5,FALSE))</f>
        <v>206134</v>
      </c>
    </row>
    <row r="335">
      <c r="A335" s="47" t="s">
        <v>2264</v>
      </c>
      <c r="B335" s="47">
        <v>12017.0</v>
      </c>
      <c r="C335" s="47">
        <v>2.0</v>
      </c>
      <c r="D335" s="47" t="s">
        <v>4044</v>
      </c>
      <c r="E335" s="47" t="str">
        <f t="shared" si="1"/>
        <v>2A</v>
      </c>
      <c r="F335" s="47" t="s">
        <v>4045</v>
      </c>
      <c r="G335" s="47" t="s">
        <v>418</v>
      </c>
      <c r="H335" s="48">
        <f>IF(NOT(ISBLANK(vlookup(B335,Pop_Census_2023!$A$2:$E$3220,4,FALSE))),vlookup(B335,Pop_Census_2023!$A$2:$E$3220,4,FALSE), vlookup(B335,Pop_Census_2023!$A$2:$E$3220,5,FALSE))</f>
        <v>166696</v>
      </c>
    </row>
    <row r="336">
      <c r="A336" s="47" t="s">
        <v>2264</v>
      </c>
      <c r="B336" s="47">
        <v>12019.0</v>
      </c>
      <c r="C336" s="47">
        <v>2.0</v>
      </c>
      <c r="D336" s="47" t="s">
        <v>4044</v>
      </c>
      <c r="E336" s="47" t="str">
        <f t="shared" si="1"/>
        <v>2A</v>
      </c>
      <c r="F336" s="47" t="s">
        <v>4045</v>
      </c>
      <c r="G336" s="47" t="s">
        <v>116</v>
      </c>
      <c r="H336" s="48">
        <f>IF(NOT(ISBLANK(vlookup(B336,Pop_Census_2023!$A$2:$E$3220,4,FALSE))),vlookup(B336,Pop_Census_2023!$A$2:$E$3220,4,FALSE), vlookup(B336,Pop_Census_2023!$A$2:$E$3220,5,FALSE))</f>
        <v>232439</v>
      </c>
    </row>
    <row r="337">
      <c r="A337" s="47" t="s">
        <v>2264</v>
      </c>
      <c r="B337" s="47">
        <v>12021.0</v>
      </c>
      <c r="C337" s="47">
        <v>2.0</v>
      </c>
      <c r="D337" s="47" t="s">
        <v>4044</v>
      </c>
      <c r="E337" s="47" t="str">
        <f t="shared" si="1"/>
        <v>2A</v>
      </c>
      <c r="F337" s="47" t="s">
        <v>4045</v>
      </c>
      <c r="G337" s="47" t="s">
        <v>419</v>
      </c>
      <c r="H337" s="48">
        <f>IF(NOT(ISBLANK(vlookup(B337,Pop_Census_2023!$A$2:$E$3220,4,FALSE))),vlookup(B337,Pop_Census_2023!$A$2:$E$3220,4,FALSE), vlookup(B337,Pop_Census_2023!$A$2:$E$3220,5,FALSE))</f>
        <v>404310</v>
      </c>
    </row>
    <row r="338">
      <c r="A338" s="47" t="s">
        <v>2264</v>
      </c>
      <c r="B338" s="47">
        <v>12023.0</v>
      </c>
      <c r="C338" s="47">
        <v>2.0</v>
      </c>
      <c r="D338" s="47" t="s">
        <v>4044</v>
      </c>
      <c r="E338" s="47" t="str">
        <f t="shared" si="1"/>
        <v>2A</v>
      </c>
      <c r="F338" s="47" t="s">
        <v>4045</v>
      </c>
      <c r="G338" s="47" t="s">
        <v>231</v>
      </c>
      <c r="H338" s="48">
        <f>IF(NOT(ISBLANK(vlookup(B338,Pop_Census_2023!$A$2:$E$3220,4,FALSE))),vlookup(B338,Pop_Census_2023!$A$2:$E$3220,4,FALSE), vlookup(B338,Pop_Census_2023!$A$2:$E$3220,5,FALSE))</f>
        <v>73063</v>
      </c>
    </row>
    <row r="339">
      <c r="A339" s="47" t="s">
        <v>2264</v>
      </c>
      <c r="B339" s="47">
        <v>12027.0</v>
      </c>
      <c r="C339" s="47">
        <v>2.0</v>
      </c>
      <c r="D339" s="47" t="s">
        <v>4044</v>
      </c>
      <c r="E339" s="47" t="str">
        <f t="shared" si="1"/>
        <v>2A</v>
      </c>
      <c r="F339" s="47" t="s">
        <v>4045</v>
      </c>
      <c r="G339" s="47" t="s">
        <v>420</v>
      </c>
      <c r="H339" s="48">
        <f>IF(NOT(ISBLANK(vlookup(B339,Pop_Census_2023!$A$2:$E$3220,4,FALSE))),vlookup(B339,Pop_Census_2023!$A$2:$E$3220,4,FALSE), vlookup(B339,Pop_Census_2023!$A$2:$E$3220,5,FALSE))</f>
        <v>35979</v>
      </c>
    </row>
    <row r="340">
      <c r="A340" s="47" t="s">
        <v>2264</v>
      </c>
      <c r="B340" s="47">
        <v>12029.0</v>
      </c>
      <c r="C340" s="47">
        <v>2.0</v>
      </c>
      <c r="D340" s="47" t="s">
        <v>4044</v>
      </c>
      <c r="E340" s="47" t="str">
        <f t="shared" si="1"/>
        <v>2A</v>
      </c>
      <c r="F340" s="47" t="s">
        <v>4045</v>
      </c>
      <c r="G340" s="47" t="s">
        <v>421</v>
      </c>
      <c r="H340" s="48">
        <f>IF(NOT(ISBLANK(vlookup(B340,Pop_Census_2023!$A$2:$E$3220,4,FALSE))),vlookup(B340,Pop_Census_2023!$A$2:$E$3220,4,FALSE), vlookup(B340,Pop_Census_2023!$A$2:$E$3220,5,FALSE))</f>
        <v>17465</v>
      </c>
    </row>
    <row r="341">
      <c r="A341" s="47" t="s">
        <v>2264</v>
      </c>
      <c r="B341" s="47">
        <v>12031.0</v>
      </c>
      <c r="C341" s="47">
        <v>2.0</v>
      </c>
      <c r="D341" s="47" t="s">
        <v>4044</v>
      </c>
      <c r="E341" s="47" t="str">
        <f t="shared" si="1"/>
        <v>2A</v>
      </c>
      <c r="F341" s="47" t="s">
        <v>4045</v>
      </c>
      <c r="G341" s="47" t="s">
        <v>422</v>
      </c>
      <c r="H341" s="48">
        <f>IF(NOT(ISBLANK(vlookup(B341,Pop_Census_2023!$A$2:$E$3220,4,FALSE))),vlookup(B341,Pop_Census_2023!$A$2:$E$3220,4,FALSE), vlookup(B341,Pop_Census_2023!$A$2:$E$3220,5,FALSE))</f>
        <v>1030822</v>
      </c>
    </row>
    <row r="342">
      <c r="A342" s="47" t="s">
        <v>2264</v>
      </c>
      <c r="B342" s="47">
        <v>12033.0</v>
      </c>
      <c r="C342" s="47">
        <v>2.0</v>
      </c>
      <c r="D342" s="47" t="s">
        <v>4044</v>
      </c>
      <c r="E342" s="47" t="str">
        <f t="shared" si="1"/>
        <v>2A</v>
      </c>
      <c r="F342" s="47" t="s">
        <v>4045</v>
      </c>
      <c r="G342" s="47" t="s">
        <v>129</v>
      </c>
      <c r="H342" s="48">
        <f>IF(NOT(ISBLANK(vlookup(B342,Pop_Census_2023!$A$2:$E$3220,4,FALSE))),vlookup(B342,Pop_Census_2023!$A$2:$E$3220,4,FALSE), vlookup(B342,Pop_Census_2023!$A$2:$E$3220,5,FALSE))</f>
        <v>326928</v>
      </c>
    </row>
    <row r="343">
      <c r="A343" s="47" t="s">
        <v>2264</v>
      </c>
      <c r="B343" s="47">
        <v>12035.0</v>
      </c>
      <c r="C343" s="47">
        <v>2.0</v>
      </c>
      <c r="D343" s="47" t="s">
        <v>4044</v>
      </c>
      <c r="E343" s="47" t="str">
        <f t="shared" si="1"/>
        <v>2A</v>
      </c>
      <c r="F343" s="47" t="s">
        <v>4045</v>
      </c>
      <c r="G343" s="47" t="s">
        <v>423</v>
      </c>
      <c r="H343" s="48">
        <f>IF(NOT(ISBLANK(vlookup(B343,Pop_Census_2023!$A$2:$E$3220,4,FALSE))),vlookup(B343,Pop_Census_2023!$A$2:$E$3220,4,FALSE), vlookup(B343,Pop_Census_2023!$A$2:$E$3220,5,FALSE))</f>
        <v>131439</v>
      </c>
    </row>
    <row r="344">
      <c r="A344" s="47" t="s">
        <v>2264</v>
      </c>
      <c r="B344" s="47">
        <v>12037.0</v>
      </c>
      <c r="C344" s="47">
        <v>2.0</v>
      </c>
      <c r="D344" s="47" t="s">
        <v>4044</v>
      </c>
      <c r="E344" s="47" t="str">
        <f t="shared" si="1"/>
        <v>2A</v>
      </c>
      <c r="F344" s="47" t="s">
        <v>4045</v>
      </c>
      <c r="G344" s="47" t="s">
        <v>132</v>
      </c>
      <c r="H344" s="48">
        <f>IF(NOT(ISBLANK(vlookup(B344,Pop_Census_2023!$A$2:$E$3220,4,FALSE))),vlookup(B344,Pop_Census_2023!$A$2:$E$3220,4,FALSE), vlookup(B344,Pop_Census_2023!$A$2:$E$3220,5,FALSE))</f>
        <v>12594</v>
      </c>
    </row>
    <row r="345">
      <c r="A345" s="47" t="s">
        <v>2264</v>
      </c>
      <c r="B345" s="47">
        <v>12039.0</v>
      </c>
      <c r="C345" s="47">
        <v>2.0</v>
      </c>
      <c r="D345" s="47" t="s">
        <v>4044</v>
      </c>
      <c r="E345" s="47" t="str">
        <f t="shared" si="1"/>
        <v>2A</v>
      </c>
      <c r="F345" s="47" t="s">
        <v>4045</v>
      </c>
      <c r="G345" s="47" t="s">
        <v>424</v>
      </c>
      <c r="H345" s="48">
        <f>IF(NOT(ISBLANK(vlookup(B345,Pop_Census_2023!$A$2:$E$3220,4,FALSE))),vlookup(B345,Pop_Census_2023!$A$2:$E$3220,4,FALSE), vlookup(B345,Pop_Census_2023!$A$2:$E$3220,5,FALSE))</f>
        <v>43833</v>
      </c>
    </row>
    <row r="346">
      <c r="A346" s="47" t="s">
        <v>2264</v>
      </c>
      <c r="B346" s="47">
        <v>12041.0</v>
      </c>
      <c r="C346" s="47">
        <v>2.0</v>
      </c>
      <c r="D346" s="47" t="s">
        <v>4044</v>
      </c>
      <c r="E346" s="47" t="str">
        <f t="shared" si="1"/>
        <v>2A</v>
      </c>
      <c r="F346" s="47" t="s">
        <v>4045</v>
      </c>
      <c r="G346" s="47" t="s">
        <v>425</v>
      </c>
      <c r="H346" s="48">
        <f>IF(NOT(ISBLANK(vlookup(B346,Pop_Census_2023!$A$2:$E$3220,4,FALSE))),vlookup(B346,Pop_Census_2023!$A$2:$E$3220,4,FALSE), vlookup(B346,Pop_Census_2023!$A$2:$E$3220,5,FALSE))</f>
        <v>19587</v>
      </c>
    </row>
    <row r="347">
      <c r="A347" s="47" t="s">
        <v>2264</v>
      </c>
      <c r="B347" s="47">
        <v>12043.0</v>
      </c>
      <c r="C347" s="47">
        <v>2.0</v>
      </c>
      <c r="D347" s="47" t="s">
        <v>4044</v>
      </c>
      <c r="E347" s="47" t="str">
        <f t="shared" si="1"/>
        <v>2A</v>
      </c>
      <c r="F347" s="47" t="s">
        <v>4045</v>
      </c>
      <c r="G347" s="47" t="s">
        <v>426</v>
      </c>
      <c r="H347" s="48">
        <f>IF(NOT(ISBLANK(vlookup(B347,Pop_Census_2023!$A$2:$E$3220,4,FALSE))),vlookup(B347,Pop_Census_2023!$A$2:$E$3220,4,FALSE), vlookup(B347,Pop_Census_2023!$A$2:$E$3220,5,FALSE))</f>
        <v>12786</v>
      </c>
    </row>
    <row r="348">
      <c r="A348" s="47" t="s">
        <v>2264</v>
      </c>
      <c r="B348" s="47">
        <v>12045.0</v>
      </c>
      <c r="C348" s="47">
        <v>2.0</v>
      </c>
      <c r="D348" s="47" t="s">
        <v>4044</v>
      </c>
      <c r="E348" s="47" t="str">
        <f t="shared" si="1"/>
        <v>2A</v>
      </c>
      <c r="F348" s="47" t="s">
        <v>4045</v>
      </c>
      <c r="G348" s="47" t="s">
        <v>427</v>
      </c>
      <c r="H348" s="48">
        <f>IF(NOT(ISBLANK(vlookup(B348,Pop_Census_2023!$A$2:$E$3220,4,FALSE))),vlookup(B348,Pop_Census_2023!$A$2:$E$3220,4,FALSE), vlookup(B348,Pop_Census_2023!$A$2:$E$3220,5,FALSE))</f>
        <v>15693</v>
      </c>
    </row>
    <row r="349">
      <c r="A349" s="47" t="s">
        <v>2264</v>
      </c>
      <c r="B349" s="47">
        <v>12047.0</v>
      </c>
      <c r="C349" s="47">
        <v>2.0</v>
      </c>
      <c r="D349" s="47" t="s">
        <v>4044</v>
      </c>
      <c r="E349" s="47" t="str">
        <f t="shared" si="1"/>
        <v>2A</v>
      </c>
      <c r="F349" s="47" t="s">
        <v>4045</v>
      </c>
      <c r="G349" s="47" t="s">
        <v>428</v>
      </c>
      <c r="H349" s="48">
        <f>IF(NOT(ISBLANK(vlookup(B349,Pop_Census_2023!$A$2:$E$3220,4,FALSE))),vlookup(B349,Pop_Census_2023!$A$2:$E$3220,4,FALSE), vlookup(B349,Pop_Census_2023!$A$2:$E$3220,5,FALSE))</f>
        <v>13471</v>
      </c>
    </row>
    <row r="350">
      <c r="A350" s="47" t="s">
        <v>2264</v>
      </c>
      <c r="B350" s="47">
        <v>12049.0</v>
      </c>
      <c r="C350" s="47">
        <v>2.0</v>
      </c>
      <c r="D350" s="47" t="s">
        <v>4044</v>
      </c>
      <c r="E350" s="47" t="str">
        <f t="shared" si="1"/>
        <v>2A</v>
      </c>
      <c r="F350" s="47" t="s">
        <v>4045</v>
      </c>
      <c r="G350" s="47" t="s">
        <v>429</v>
      </c>
      <c r="H350" s="48">
        <f>IF(NOT(ISBLANK(vlookup(B350,Pop_Census_2023!$A$2:$E$3220,4,FALSE))),vlookup(B350,Pop_Census_2023!$A$2:$E$3220,4,FALSE), vlookup(B350,Pop_Census_2023!$A$2:$E$3220,5,FALSE))</f>
        <v>25760</v>
      </c>
    </row>
    <row r="351">
      <c r="A351" s="47" t="s">
        <v>2264</v>
      </c>
      <c r="B351" s="47">
        <v>12051.0</v>
      </c>
      <c r="C351" s="47">
        <v>2.0</v>
      </c>
      <c r="D351" s="47" t="s">
        <v>4044</v>
      </c>
      <c r="E351" s="47" t="str">
        <f t="shared" si="1"/>
        <v>2A</v>
      </c>
      <c r="F351" s="47" t="s">
        <v>4045</v>
      </c>
      <c r="G351" s="47" t="s">
        <v>430</v>
      </c>
      <c r="H351" s="48">
        <f>IF(NOT(ISBLANK(vlookup(B351,Pop_Census_2023!$A$2:$E$3220,4,FALSE))),vlookup(B351,Pop_Census_2023!$A$2:$E$3220,4,FALSE), vlookup(B351,Pop_Census_2023!$A$2:$E$3220,5,FALSE))</f>
        <v>43333</v>
      </c>
    </row>
    <row r="352">
      <c r="A352" s="47" t="s">
        <v>2264</v>
      </c>
      <c r="B352" s="47">
        <v>12053.0</v>
      </c>
      <c r="C352" s="47">
        <v>2.0</v>
      </c>
      <c r="D352" s="47" t="s">
        <v>4044</v>
      </c>
      <c r="E352" s="47" t="str">
        <f t="shared" si="1"/>
        <v>2A</v>
      </c>
      <c r="F352" s="47" t="s">
        <v>4045</v>
      </c>
      <c r="G352" s="47" t="s">
        <v>431</v>
      </c>
      <c r="H352" s="48">
        <f>IF(NOT(ISBLANK(vlookup(B352,Pop_Census_2023!$A$2:$E$3220,4,FALSE))),vlookup(B352,Pop_Census_2023!$A$2:$E$3220,4,FALSE), vlookup(B352,Pop_Census_2023!$A$2:$E$3220,5,FALSE))</f>
        <v>212807</v>
      </c>
    </row>
    <row r="353">
      <c r="A353" s="47" t="s">
        <v>2264</v>
      </c>
      <c r="B353" s="47">
        <v>12055.0</v>
      </c>
      <c r="C353" s="47">
        <v>2.0</v>
      </c>
      <c r="D353" s="47" t="s">
        <v>4044</v>
      </c>
      <c r="E353" s="47" t="str">
        <f t="shared" si="1"/>
        <v>2A</v>
      </c>
      <c r="F353" s="47" t="s">
        <v>4045</v>
      </c>
      <c r="G353" s="47" t="s">
        <v>432</v>
      </c>
      <c r="H353" s="48">
        <f>IF(NOT(ISBLANK(vlookup(B353,Pop_Census_2023!$A$2:$E$3220,4,FALSE))),vlookup(B353,Pop_Census_2023!$A$2:$E$3220,4,FALSE), vlookup(B353,Pop_Census_2023!$A$2:$E$3220,5,FALSE))</f>
        <v>107614</v>
      </c>
    </row>
    <row r="354">
      <c r="A354" s="47" t="s">
        <v>2264</v>
      </c>
      <c r="B354" s="47">
        <v>12057.0</v>
      </c>
      <c r="C354" s="47">
        <v>2.0</v>
      </c>
      <c r="D354" s="47" t="s">
        <v>4044</v>
      </c>
      <c r="E354" s="47" t="str">
        <f t="shared" si="1"/>
        <v>2A</v>
      </c>
      <c r="F354" s="47" t="s">
        <v>4045</v>
      </c>
      <c r="G354" s="47" t="s">
        <v>433</v>
      </c>
      <c r="H354" s="48">
        <f>IF(NOT(ISBLANK(vlookup(B354,Pop_Census_2023!$A$2:$E$3220,4,FALSE))),vlookup(B354,Pop_Census_2023!$A$2:$E$3220,4,FALSE), vlookup(B354,Pop_Census_2023!$A$2:$E$3220,5,FALSE))</f>
        <v>1535564</v>
      </c>
    </row>
    <row r="355">
      <c r="A355" s="47" t="s">
        <v>2264</v>
      </c>
      <c r="B355" s="47">
        <v>12059.0</v>
      </c>
      <c r="C355" s="47">
        <v>2.0</v>
      </c>
      <c r="D355" s="47" t="s">
        <v>4044</v>
      </c>
      <c r="E355" s="47" t="str">
        <f t="shared" si="1"/>
        <v>2A</v>
      </c>
      <c r="F355" s="47" t="s">
        <v>4045</v>
      </c>
      <c r="G355" s="47" t="s">
        <v>434</v>
      </c>
      <c r="H355" s="48">
        <f>IF(NOT(ISBLANK(vlookup(B355,Pop_Census_2023!$A$2:$E$3220,4,FALSE))),vlookup(B355,Pop_Census_2023!$A$2:$E$3220,4,FALSE), vlookup(B355,Pop_Census_2023!$A$2:$E$3220,5,FALSE))</f>
        <v>19944</v>
      </c>
    </row>
    <row r="356">
      <c r="A356" s="47" t="s">
        <v>2264</v>
      </c>
      <c r="B356" s="47">
        <v>12061.0</v>
      </c>
      <c r="C356" s="47">
        <v>2.0</v>
      </c>
      <c r="D356" s="47" t="s">
        <v>4044</v>
      </c>
      <c r="E356" s="47" t="str">
        <f t="shared" si="1"/>
        <v>2A</v>
      </c>
      <c r="F356" s="47" t="s">
        <v>4045</v>
      </c>
      <c r="G356" s="47" t="s">
        <v>435</v>
      </c>
      <c r="H356" s="48">
        <f>IF(NOT(ISBLANK(vlookup(B356,Pop_Census_2023!$A$2:$E$3220,4,FALSE))),vlookup(B356,Pop_Census_2023!$A$2:$E$3220,4,FALSE), vlookup(B356,Pop_Census_2023!$A$2:$E$3220,5,FALSE))</f>
        <v>169795</v>
      </c>
    </row>
    <row r="357">
      <c r="A357" s="47" t="s">
        <v>2264</v>
      </c>
      <c r="B357" s="47">
        <v>12063.0</v>
      </c>
      <c r="C357" s="47">
        <v>2.0</v>
      </c>
      <c r="D357" s="47" t="s">
        <v>4044</v>
      </c>
      <c r="E357" s="47" t="str">
        <f t="shared" si="1"/>
        <v>2A</v>
      </c>
      <c r="F357" s="47" t="s">
        <v>4045</v>
      </c>
      <c r="G357" s="47" t="s">
        <v>138</v>
      </c>
      <c r="H357" s="48">
        <f>IF(NOT(ISBLANK(vlookup(B357,Pop_Census_2023!$A$2:$E$3220,4,FALSE))),vlookup(B357,Pop_Census_2023!$A$2:$E$3220,4,FALSE), vlookup(B357,Pop_Census_2023!$A$2:$E$3220,5,FALSE))</f>
        <v>48622</v>
      </c>
    </row>
    <row r="358">
      <c r="A358" s="47" t="s">
        <v>2264</v>
      </c>
      <c r="B358" s="47">
        <v>12065.0</v>
      </c>
      <c r="C358" s="47">
        <v>2.0</v>
      </c>
      <c r="D358" s="47" t="s">
        <v>4044</v>
      </c>
      <c r="E358" s="47" t="str">
        <f t="shared" si="1"/>
        <v>2A</v>
      </c>
      <c r="F358" s="47" t="s">
        <v>4045</v>
      </c>
      <c r="G358" s="47" t="s">
        <v>139</v>
      </c>
      <c r="H358" s="48">
        <f>IF(NOT(ISBLANK(vlookup(B358,Pop_Census_2023!$A$2:$E$3220,4,FALSE))),vlookup(B358,Pop_Census_2023!$A$2:$E$3220,4,FALSE), vlookup(B358,Pop_Census_2023!$A$2:$E$3220,5,FALSE))</f>
        <v>15450</v>
      </c>
    </row>
    <row r="359">
      <c r="A359" s="47" t="s">
        <v>2264</v>
      </c>
      <c r="B359" s="47">
        <v>12067.0</v>
      </c>
      <c r="C359" s="47">
        <v>2.0</v>
      </c>
      <c r="D359" s="47" t="s">
        <v>4044</v>
      </c>
      <c r="E359" s="47" t="str">
        <f t="shared" si="1"/>
        <v>2A</v>
      </c>
      <c r="F359" s="47" t="s">
        <v>4045</v>
      </c>
      <c r="G359" s="47" t="s">
        <v>249</v>
      </c>
      <c r="H359" s="48">
        <f>IF(NOT(ISBLANK(vlookup(B359,Pop_Census_2023!$A$2:$E$3220,4,FALSE))),vlookup(B359,Pop_Census_2023!$A$2:$E$3220,4,FALSE), vlookup(B359,Pop_Census_2023!$A$2:$E$3220,5,FALSE))</f>
        <v>8078</v>
      </c>
    </row>
    <row r="360">
      <c r="A360" s="47" t="s">
        <v>2264</v>
      </c>
      <c r="B360" s="47">
        <v>12069.0</v>
      </c>
      <c r="C360" s="47">
        <v>2.0</v>
      </c>
      <c r="D360" s="47" t="s">
        <v>4044</v>
      </c>
      <c r="E360" s="47" t="str">
        <f t="shared" si="1"/>
        <v>2A</v>
      </c>
      <c r="F360" s="47" t="s">
        <v>4045</v>
      </c>
      <c r="G360" s="47" t="s">
        <v>298</v>
      </c>
      <c r="H360" s="48">
        <f>IF(NOT(ISBLANK(vlookup(B360,Pop_Census_2023!$A$2:$E$3220,4,FALSE))),vlookup(B360,Pop_Census_2023!$A$2:$E$3220,4,FALSE), vlookup(B360,Pop_Census_2023!$A$2:$E$3220,5,FALSE))</f>
        <v>424462</v>
      </c>
    </row>
    <row r="361">
      <c r="A361" s="47" t="s">
        <v>2264</v>
      </c>
      <c r="B361" s="47">
        <v>12071.0</v>
      </c>
      <c r="C361" s="47">
        <v>2.0</v>
      </c>
      <c r="D361" s="47" t="s">
        <v>4044</v>
      </c>
      <c r="E361" s="47" t="str">
        <f t="shared" si="1"/>
        <v>2A</v>
      </c>
      <c r="F361" s="47" t="s">
        <v>4045</v>
      </c>
      <c r="G361" s="47" t="s">
        <v>143</v>
      </c>
      <c r="H361" s="48">
        <f>IF(NOT(ISBLANK(vlookup(B361,Pop_Census_2023!$A$2:$E$3220,4,FALSE))),vlookup(B361,Pop_Census_2023!$A$2:$E$3220,4,FALSE), vlookup(B361,Pop_Census_2023!$A$2:$E$3220,5,FALSE))</f>
        <v>834573</v>
      </c>
    </row>
    <row r="362">
      <c r="A362" s="47" t="s">
        <v>2264</v>
      </c>
      <c r="B362" s="47">
        <v>12073.0</v>
      </c>
      <c r="C362" s="47">
        <v>2.0</v>
      </c>
      <c r="D362" s="47" t="s">
        <v>4044</v>
      </c>
      <c r="E362" s="47" t="str">
        <f t="shared" si="1"/>
        <v>2A</v>
      </c>
      <c r="F362" s="47" t="s">
        <v>4045</v>
      </c>
      <c r="G362" s="47" t="s">
        <v>436</v>
      </c>
      <c r="H362" s="48">
        <f>IF(NOT(ISBLANK(vlookup(B362,Pop_Census_2023!$A$2:$E$3220,4,FALSE))),vlookup(B362,Pop_Census_2023!$A$2:$E$3220,4,FALSE), vlookup(B362,Pop_Census_2023!$A$2:$E$3220,5,FALSE))</f>
        <v>296913</v>
      </c>
    </row>
    <row r="363">
      <c r="A363" s="47" t="s">
        <v>2264</v>
      </c>
      <c r="B363" s="47">
        <v>12075.0</v>
      </c>
      <c r="C363" s="47">
        <v>2.0</v>
      </c>
      <c r="D363" s="47" t="s">
        <v>4044</v>
      </c>
      <c r="E363" s="47" t="str">
        <f t="shared" si="1"/>
        <v>2A</v>
      </c>
      <c r="F363" s="47" t="s">
        <v>4045</v>
      </c>
      <c r="G363" s="47" t="s">
        <v>437</v>
      </c>
      <c r="H363" s="48">
        <f>IF(NOT(ISBLANK(vlookup(B363,Pop_Census_2023!$A$2:$E$3220,4,FALSE))),vlookup(B363,Pop_Census_2023!$A$2:$E$3220,4,FALSE), vlookup(B363,Pop_Census_2023!$A$2:$E$3220,5,FALSE))</f>
        <v>46545</v>
      </c>
    </row>
    <row r="364">
      <c r="A364" s="47" t="s">
        <v>2264</v>
      </c>
      <c r="B364" s="47">
        <v>12077.0</v>
      </c>
      <c r="C364" s="47">
        <v>2.0</v>
      </c>
      <c r="D364" s="47" t="s">
        <v>4044</v>
      </c>
      <c r="E364" s="47" t="str">
        <f t="shared" si="1"/>
        <v>2A</v>
      </c>
      <c r="F364" s="47" t="s">
        <v>4045</v>
      </c>
      <c r="G364" s="47" t="s">
        <v>438</v>
      </c>
      <c r="H364" s="48">
        <f>IF(NOT(ISBLANK(vlookup(B364,Pop_Census_2023!$A$2:$E$3220,4,FALSE))),vlookup(B364,Pop_Census_2023!$A$2:$E$3220,4,FALSE), vlookup(B364,Pop_Census_2023!$A$2:$E$3220,5,FALSE))</f>
        <v>7706</v>
      </c>
    </row>
    <row r="365">
      <c r="A365" s="47" t="s">
        <v>2264</v>
      </c>
      <c r="B365" s="47">
        <v>12079.0</v>
      </c>
      <c r="C365" s="47">
        <v>2.0</v>
      </c>
      <c r="D365" s="47" t="s">
        <v>4044</v>
      </c>
      <c r="E365" s="47" t="str">
        <f t="shared" si="1"/>
        <v>2A</v>
      </c>
      <c r="F365" s="47" t="s">
        <v>4045</v>
      </c>
      <c r="G365" s="47" t="s">
        <v>147</v>
      </c>
      <c r="H365" s="48">
        <f>IF(NOT(ISBLANK(vlookup(B365,Pop_Census_2023!$A$2:$E$3220,4,FALSE))),vlookup(B365,Pop_Census_2023!$A$2:$E$3220,4,FALSE), vlookup(B365,Pop_Census_2023!$A$2:$E$3220,5,FALSE))</f>
        <v>18519</v>
      </c>
    </row>
    <row r="366">
      <c r="A366" s="47" t="s">
        <v>2264</v>
      </c>
      <c r="B366" s="47">
        <v>12081.0</v>
      </c>
      <c r="C366" s="47">
        <v>2.0</v>
      </c>
      <c r="D366" s="47" t="s">
        <v>4044</v>
      </c>
      <c r="E366" s="47" t="str">
        <f t="shared" si="1"/>
        <v>2A</v>
      </c>
      <c r="F366" s="47" t="s">
        <v>4045</v>
      </c>
      <c r="G366" s="47" t="s">
        <v>439</v>
      </c>
      <c r="H366" s="48">
        <f>IF(NOT(ISBLANK(vlookup(B366,Pop_Census_2023!$A$2:$E$3220,4,FALSE))),vlookup(B366,Pop_Census_2023!$A$2:$E$3220,4,FALSE), vlookup(B366,Pop_Census_2023!$A$2:$E$3220,5,FALSE))</f>
        <v>441095</v>
      </c>
    </row>
    <row r="367">
      <c r="A367" s="47" t="s">
        <v>2264</v>
      </c>
      <c r="B367" s="47">
        <v>12083.0</v>
      </c>
      <c r="C367" s="47">
        <v>2.0</v>
      </c>
      <c r="D367" s="47" t="s">
        <v>4044</v>
      </c>
      <c r="E367" s="47" t="str">
        <f t="shared" si="1"/>
        <v>2A</v>
      </c>
      <c r="F367" s="47" t="s">
        <v>4045</v>
      </c>
      <c r="G367" s="47" t="s">
        <v>149</v>
      </c>
      <c r="H367" s="48">
        <f>IF(NOT(ISBLANK(vlookup(B367,Pop_Census_2023!$A$2:$E$3220,4,FALSE))),vlookup(B367,Pop_Census_2023!$A$2:$E$3220,4,FALSE), vlookup(B367,Pop_Census_2023!$A$2:$E$3220,5,FALSE))</f>
        <v>409959</v>
      </c>
    </row>
    <row r="368">
      <c r="A368" s="47" t="s">
        <v>2264</v>
      </c>
      <c r="B368" s="47">
        <v>12085.0</v>
      </c>
      <c r="C368" s="47">
        <v>2.0</v>
      </c>
      <c r="D368" s="47" t="s">
        <v>4044</v>
      </c>
      <c r="E368" s="47" t="str">
        <f t="shared" si="1"/>
        <v>2A</v>
      </c>
      <c r="F368" s="47" t="s">
        <v>4045</v>
      </c>
      <c r="G368" s="47" t="s">
        <v>440</v>
      </c>
      <c r="H368" s="48">
        <f>IF(NOT(ISBLANK(vlookup(B368,Pop_Census_2023!$A$2:$E$3220,4,FALSE))),vlookup(B368,Pop_Census_2023!$A$2:$E$3220,4,FALSE), vlookup(B368,Pop_Census_2023!$A$2:$E$3220,5,FALSE))</f>
        <v>163315</v>
      </c>
    </row>
    <row r="369">
      <c r="A369" s="47" t="s">
        <v>2264</v>
      </c>
      <c r="B369" s="47">
        <v>12086.0</v>
      </c>
      <c r="C369" s="47">
        <v>1.0</v>
      </c>
      <c r="D369" s="47" t="s">
        <v>4044</v>
      </c>
      <c r="E369" s="47" t="str">
        <f t="shared" si="1"/>
        <v>1A</v>
      </c>
      <c r="F369" s="47" t="s">
        <v>4045</v>
      </c>
      <c r="G369" s="47" t="s">
        <v>441</v>
      </c>
      <c r="H369" s="48">
        <f>IF(NOT(ISBLANK(vlookup(B369,Pop_Census_2023!$A$2:$E$3220,4,FALSE))),vlookup(B369,Pop_Census_2023!$A$2:$E$3220,4,FALSE), vlookup(B369,Pop_Census_2023!$A$2:$E$3220,5,FALSE))</f>
        <v>2686867</v>
      </c>
    </row>
    <row r="370">
      <c r="A370" s="47" t="s">
        <v>2264</v>
      </c>
      <c r="B370" s="47">
        <v>12087.0</v>
      </c>
      <c r="C370" s="47">
        <v>1.0</v>
      </c>
      <c r="D370" s="47" t="s">
        <v>4044</v>
      </c>
      <c r="E370" s="47" t="str">
        <f t="shared" si="1"/>
        <v>1A</v>
      </c>
      <c r="F370" s="47" t="s">
        <v>4045</v>
      </c>
      <c r="G370" s="47" t="s">
        <v>152</v>
      </c>
      <c r="H370" s="48">
        <f>IF(NOT(ISBLANK(vlookup(B370,Pop_Census_2023!$A$2:$E$3220,4,FALSE))),vlookup(B370,Pop_Census_2023!$A$2:$E$3220,4,FALSE), vlookup(B370,Pop_Census_2023!$A$2:$E$3220,5,FALSE))</f>
        <v>80614</v>
      </c>
    </row>
    <row r="371">
      <c r="A371" s="47" t="s">
        <v>2264</v>
      </c>
      <c r="B371" s="47">
        <v>12089.0</v>
      </c>
      <c r="C371" s="47">
        <v>2.0</v>
      </c>
      <c r="D371" s="47" t="s">
        <v>4044</v>
      </c>
      <c r="E371" s="47" t="str">
        <f t="shared" si="1"/>
        <v>2A</v>
      </c>
      <c r="F371" s="47" t="s">
        <v>4045</v>
      </c>
      <c r="G371" s="47" t="s">
        <v>442</v>
      </c>
      <c r="H371" s="48">
        <f>IF(NOT(ISBLANK(vlookup(B371,Pop_Census_2023!$A$2:$E$3220,4,FALSE))),vlookup(B371,Pop_Census_2023!$A$2:$E$3220,4,FALSE), vlookup(B371,Pop_Census_2023!$A$2:$E$3220,5,FALSE))</f>
        <v>101501</v>
      </c>
    </row>
    <row r="372">
      <c r="A372" s="47" t="s">
        <v>2264</v>
      </c>
      <c r="B372" s="47">
        <v>12091.0</v>
      </c>
      <c r="C372" s="47">
        <v>2.0</v>
      </c>
      <c r="D372" s="47" t="s">
        <v>4044</v>
      </c>
      <c r="E372" s="47" t="str">
        <f t="shared" si="1"/>
        <v>2A</v>
      </c>
      <c r="F372" s="47" t="s">
        <v>4045</v>
      </c>
      <c r="G372" s="47" t="s">
        <v>443</v>
      </c>
      <c r="H372" s="48">
        <f>IF(NOT(ISBLANK(vlookup(B372,Pop_Census_2023!$A$2:$E$3220,4,FALSE))),vlookup(B372,Pop_Census_2023!$A$2:$E$3220,4,FALSE), vlookup(B372,Pop_Census_2023!$A$2:$E$3220,5,FALSE))</f>
        <v>218464</v>
      </c>
    </row>
    <row r="373">
      <c r="A373" s="47" t="s">
        <v>2264</v>
      </c>
      <c r="B373" s="47">
        <v>12093.0</v>
      </c>
      <c r="C373" s="47">
        <v>2.0</v>
      </c>
      <c r="D373" s="47" t="s">
        <v>4044</v>
      </c>
      <c r="E373" s="47" t="str">
        <f t="shared" si="1"/>
        <v>2A</v>
      </c>
      <c r="F373" s="47" t="s">
        <v>4045</v>
      </c>
      <c r="G373" s="47" t="s">
        <v>444</v>
      </c>
      <c r="H373" s="48">
        <f>IF(NOT(ISBLANK(vlookup(B373,Pop_Census_2023!$A$2:$E$3220,4,FALSE))),vlookup(B373,Pop_Census_2023!$A$2:$E$3220,4,FALSE), vlookup(B373,Pop_Census_2023!$A$2:$E$3220,5,FALSE))</f>
        <v>41427</v>
      </c>
    </row>
    <row r="374">
      <c r="A374" s="47" t="s">
        <v>2264</v>
      </c>
      <c r="B374" s="47">
        <v>12095.0</v>
      </c>
      <c r="C374" s="47">
        <v>2.0</v>
      </c>
      <c r="D374" s="47" t="s">
        <v>4044</v>
      </c>
      <c r="E374" s="47" t="str">
        <f t="shared" si="1"/>
        <v>2A</v>
      </c>
      <c r="F374" s="47" t="s">
        <v>4045</v>
      </c>
      <c r="G374" s="47" t="s">
        <v>310</v>
      </c>
      <c r="H374" s="48">
        <f>IF(NOT(ISBLANK(vlookup(B374,Pop_Census_2023!$A$2:$E$3220,4,FALSE))),vlookup(B374,Pop_Census_2023!$A$2:$E$3220,4,FALSE), vlookup(B374,Pop_Census_2023!$A$2:$E$3220,5,FALSE))</f>
        <v>1471416</v>
      </c>
    </row>
    <row r="375">
      <c r="A375" s="47" t="s">
        <v>2264</v>
      </c>
      <c r="B375" s="47">
        <v>12097.0</v>
      </c>
      <c r="C375" s="47">
        <v>2.0</v>
      </c>
      <c r="D375" s="47" t="s">
        <v>4044</v>
      </c>
      <c r="E375" s="47" t="str">
        <f t="shared" si="1"/>
        <v>2A</v>
      </c>
      <c r="F375" s="47" t="s">
        <v>4045</v>
      </c>
      <c r="G375" s="47" t="s">
        <v>445</v>
      </c>
      <c r="H375" s="48">
        <f>IF(NOT(ISBLANK(vlookup(B375,Pop_Census_2023!$A$2:$E$3220,4,FALSE))),vlookup(B375,Pop_Census_2023!$A$2:$E$3220,4,FALSE), vlookup(B375,Pop_Census_2023!$A$2:$E$3220,5,FALSE))</f>
        <v>437784</v>
      </c>
    </row>
    <row r="376">
      <c r="A376" s="47" t="s">
        <v>2264</v>
      </c>
      <c r="B376" s="47">
        <v>12099.0</v>
      </c>
      <c r="C376" s="47">
        <v>2.0</v>
      </c>
      <c r="D376" s="47" t="s">
        <v>4044</v>
      </c>
      <c r="E376" s="47" t="str">
        <f t="shared" si="1"/>
        <v>2A</v>
      </c>
      <c r="F376" s="47" t="s">
        <v>4045</v>
      </c>
      <c r="G376" s="47" t="s">
        <v>446</v>
      </c>
      <c r="H376" s="48">
        <f>IF(NOT(ISBLANK(vlookup(B376,Pop_Census_2023!$A$2:$E$3220,4,FALSE))),vlookup(B376,Pop_Census_2023!$A$2:$E$3220,4,FALSE), vlookup(B376,Pop_Census_2023!$A$2:$E$3220,5,FALSE))</f>
        <v>1533801</v>
      </c>
    </row>
    <row r="377">
      <c r="A377" s="47" t="s">
        <v>2264</v>
      </c>
      <c r="B377" s="47">
        <v>12101.0</v>
      </c>
      <c r="C377" s="47">
        <v>2.0</v>
      </c>
      <c r="D377" s="47" t="s">
        <v>4044</v>
      </c>
      <c r="E377" s="47" t="str">
        <f t="shared" si="1"/>
        <v>2A</v>
      </c>
      <c r="F377" s="47" t="s">
        <v>4045</v>
      </c>
      <c r="G377" s="47" t="s">
        <v>447</v>
      </c>
      <c r="H377" s="48">
        <f>IF(NOT(ISBLANK(vlookup(B377,Pop_Census_2023!$A$2:$E$3220,4,FALSE))),vlookup(B377,Pop_Census_2023!$A$2:$E$3220,4,FALSE), vlookup(B377,Pop_Census_2023!$A$2:$E$3220,5,FALSE))</f>
        <v>632996</v>
      </c>
    </row>
    <row r="378">
      <c r="A378" s="47" t="s">
        <v>2264</v>
      </c>
      <c r="B378" s="47">
        <v>12103.0</v>
      </c>
      <c r="C378" s="47">
        <v>2.0</v>
      </c>
      <c r="D378" s="47" t="s">
        <v>4044</v>
      </c>
      <c r="E378" s="47" t="str">
        <f t="shared" si="1"/>
        <v>2A</v>
      </c>
      <c r="F378" s="47" t="s">
        <v>4045</v>
      </c>
      <c r="G378" s="47" t="s">
        <v>448</v>
      </c>
      <c r="H378" s="48">
        <f>IF(NOT(ISBLANK(vlookup(B378,Pop_Census_2023!$A$2:$E$3220,4,FALSE))),vlookup(B378,Pop_Census_2023!$A$2:$E$3220,4,FALSE), vlookup(B378,Pop_Census_2023!$A$2:$E$3220,5,FALSE))</f>
        <v>961596</v>
      </c>
    </row>
    <row r="379">
      <c r="A379" s="47" t="s">
        <v>2264</v>
      </c>
      <c r="B379" s="47">
        <v>12105.0</v>
      </c>
      <c r="C379" s="47">
        <v>2.0</v>
      </c>
      <c r="D379" s="47" t="s">
        <v>4044</v>
      </c>
      <c r="E379" s="47" t="str">
        <f t="shared" si="1"/>
        <v>2A</v>
      </c>
      <c r="F379" s="47" t="s">
        <v>4045</v>
      </c>
      <c r="G379" s="47" t="s">
        <v>261</v>
      </c>
      <c r="H379" s="48">
        <f>IF(NOT(ISBLANK(vlookup(B379,Pop_Census_2023!$A$2:$E$3220,4,FALSE))),vlookup(B379,Pop_Census_2023!$A$2:$E$3220,4,FALSE), vlookup(B379,Pop_Census_2023!$A$2:$E$3220,5,FALSE))</f>
        <v>818330</v>
      </c>
    </row>
    <row r="380">
      <c r="A380" s="47" t="s">
        <v>2264</v>
      </c>
      <c r="B380" s="47">
        <v>12107.0</v>
      </c>
      <c r="C380" s="47">
        <v>2.0</v>
      </c>
      <c r="D380" s="47" t="s">
        <v>4044</v>
      </c>
      <c r="E380" s="47" t="str">
        <f t="shared" si="1"/>
        <v>2A</v>
      </c>
      <c r="F380" s="47" t="s">
        <v>4045</v>
      </c>
      <c r="G380" s="47" t="s">
        <v>449</v>
      </c>
      <c r="H380" s="48">
        <f>IF(NOT(ISBLANK(vlookup(B380,Pop_Census_2023!$A$2:$E$3220,4,FALSE))),vlookup(B380,Pop_Census_2023!$A$2:$E$3220,4,FALSE), vlookup(B380,Pop_Census_2023!$A$2:$E$3220,5,FALSE))</f>
        <v>75955</v>
      </c>
    </row>
    <row r="381">
      <c r="A381" s="47" t="s">
        <v>2264</v>
      </c>
      <c r="B381" s="47">
        <v>12113.0</v>
      </c>
      <c r="C381" s="47">
        <v>2.0</v>
      </c>
      <c r="D381" s="47" t="s">
        <v>4044</v>
      </c>
      <c r="E381" s="47" t="str">
        <f t="shared" si="1"/>
        <v>2A</v>
      </c>
      <c r="F381" s="47" t="s">
        <v>4045</v>
      </c>
      <c r="G381" s="47" t="s">
        <v>452</v>
      </c>
      <c r="H381" s="48">
        <f>IF(NOT(ISBLANK(vlookup(B381,Pop_Census_2023!$A$2:$E$3220,4,FALSE))),vlookup(B381,Pop_Census_2023!$A$2:$E$3220,4,FALSE), vlookup(B381,Pop_Census_2023!$A$2:$E$3220,5,FALSE))</f>
        <v>203162</v>
      </c>
    </row>
    <row r="382">
      <c r="A382" s="47" t="s">
        <v>2264</v>
      </c>
      <c r="B382" s="47">
        <v>12115.0</v>
      </c>
      <c r="C382" s="47">
        <v>2.0</v>
      </c>
      <c r="D382" s="47" t="s">
        <v>4044</v>
      </c>
      <c r="E382" s="47" t="str">
        <f t="shared" si="1"/>
        <v>2A</v>
      </c>
      <c r="F382" s="47" t="s">
        <v>4045</v>
      </c>
      <c r="G382" s="47" t="s">
        <v>453</v>
      </c>
      <c r="H382" s="48">
        <f>IF(NOT(ISBLANK(vlookup(B382,Pop_Census_2023!$A$2:$E$3220,4,FALSE))),vlookup(B382,Pop_Census_2023!$A$2:$E$3220,4,FALSE), vlookup(B382,Pop_Census_2023!$A$2:$E$3220,5,FALSE))</f>
        <v>469013</v>
      </c>
    </row>
    <row r="383">
      <c r="A383" s="47" t="s">
        <v>2264</v>
      </c>
      <c r="B383" s="47">
        <v>12117.0</v>
      </c>
      <c r="C383" s="47">
        <v>2.0</v>
      </c>
      <c r="D383" s="47" t="s">
        <v>4044</v>
      </c>
      <c r="E383" s="47" t="str">
        <f t="shared" si="1"/>
        <v>2A</v>
      </c>
      <c r="F383" s="47" t="s">
        <v>4045</v>
      </c>
      <c r="G383" s="47" t="s">
        <v>454</v>
      </c>
      <c r="H383" s="48">
        <f>IF(NOT(ISBLANK(vlookup(B383,Pop_Census_2023!$A$2:$E$3220,4,FALSE))),vlookup(B383,Pop_Census_2023!$A$2:$E$3220,4,FALSE), vlookup(B383,Pop_Census_2023!$A$2:$E$3220,5,FALSE))</f>
        <v>484271</v>
      </c>
    </row>
    <row r="384">
      <c r="A384" s="47" t="s">
        <v>2264</v>
      </c>
      <c r="B384" s="47">
        <v>12109.0</v>
      </c>
      <c r="C384" s="47">
        <v>2.0</v>
      </c>
      <c r="D384" s="47" t="s">
        <v>4044</v>
      </c>
      <c r="E384" s="47" t="str">
        <f t="shared" si="1"/>
        <v>2A</v>
      </c>
      <c r="F384" s="47" t="s">
        <v>4045</v>
      </c>
      <c r="G384" s="47" t="s">
        <v>450</v>
      </c>
      <c r="H384" s="48">
        <f>IF(NOT(ISBLANK(vlookup(B384,Pop_Census_2023!$A$2:$E$3220,4,FALSE))),vlookup(B384,Pop_Census_2023!$A$2:$E$3220,4,FALSE), vlookup(B384,Pop_Census_2023!$A$2:$E$3220,5,FALSE))</f>
        <v>320110</v>
      </c>
    </row>
    <row r="385">
      <c r="A385" s="47" t="s">
        <v>2264</v>
      </c>
      <c r="B385" s="47">
        <v>12111.0</v>
      </c>
      <c r="C385" s="47">
        <v>2.0</v>
      </c>
      <c r="D385" s="47" t="s">
        <v>4044</v>
      </c>
      <c r="E385" s="47" t="str">
        <f t="shared" si="1"/>
        <v>2A</v>
      </c>
      <c r="F385" s="47" t="s">
        <v>4045</v>
      </c>
      <c r="G385" s="47" t="s">
        <v>451</v>
      </c>
      <c r="H385" s="48">
        <f>IF(NOT(ISBLANK(vlookup(B385,Pop_Census_2023!$A$2:$E$3220,4,FALSE))),vlookup(B385,Pop_Census_2023!$A$2:$E$3220,4,FALSE), vlookup(B385,Pop_Census_2023!$A$2:$E$3220,5,FALSE))</f>
        <v>373586</v>
      </c>
    </row>
    <row r="386">
      <c r="A386" s="47" t="s">
        <v>2264</v>
      </c>
      <c r="B386" s="47">
        <v>12119.0</v>
      </c>
      <c r="C386" s="47">
        <v>2.0</v>
      </c>
      <c r="D386" s="47" t="s">
        <v>4044</v>
      </c>
      <c r="E386" s="47" t="str">
        <f t="shared" si="1"/>
        <v>2A</v>
      </c>
      <c r="F386" s="47" t="s">
        <v>4045</v>
      </c>
      <c r="G386" s="47" t="s">
        <v>162</v>
      </c>
      <c r="H386" s="48">
        <f>IF(NOT(ISBLANK(vlookup(B386,Pop_Census_2023!$A$2:$E$3220,4,FALSE))),vlookup(B386,Pop_Census_2023!$A$2:$E$3220,4,FALSE), vlookup(B386,Pop_Census_2023!$A$2:$E$3220,5,FALSE))</f>
        <v>151565</v>
      </c>
    </row>
    <row r="387">
      <c r="A387" s="47" t="s">
        <v>2264</v>
      </c>
      <c r="B387" s="47">
        <v>12121.0</v>
      </c>
      <c r="C387" s="47">
        <v>2.0</v>
      </c>
      <c r="D387" s="47" t="s">
        <v>4044</v>
      </c>
      <c r="E387" s="47" t="str">
        <f t="shared" si="1"/>
        <v>2A</v>
      </c>
      <c r="F387" s="47" t="s">
        <v>4045</v>
      </c>
      <c r="G387" s="47" t="s">
        <v>455</v>
      </c>
      <c r="H387" s="48">
        <f>IF(NOT(ISBLANK(vlookup(B387,Pop_Census_2023!$A$2:$E$3220,4,FALSE))),vlookup(B387,Pop_Census_2023!$A$2:$E$3220,4,FALSE), vlookup(B387,Pop_Census_2023!$A$2:$E$3220,5,FALSE))</f>
        <v>46130</v>
      </c>
    </row>
    <row r="388">
      <c r="A388" s="47" t="s">
        <v>2264</v>
      </c>
      <c r="B388" s="47">
        <v>12123.0</v>
      </c>
      <c r="C388" s="47">
        <v>2.0</v>
      </c>
      <c r="D388" s="47" t="s">
        <v>4044</v>
      </c>
      <c r="E388" s="47" t="str">
        <f t="shared" si="1"/>
        <v>2A</v>
      </c>
      <c r="F388" s="47" t="s">
        <v>4045</v>
      </c>
      <c r="G388" s="47" t="s">
        <v>456</v>
      </c>
      <c r="H388" s="48">
        <f>IF(NOT(ISBLANK(vlookup(B388,Pop_Census_2023!$A$2:$E$3220,4,FALSE))),vlookup(B388,Pop_Census_2023!$A$2:$E$3220,4,FALSE), vlookup(B388,Pop_Census_2023!$A$2:$E$3220,5,FALSE))</f>
        <v>21582</v>
      </c>
    </row>
    <row r="389">
      <c r="A389" s="47" t="s">
        <v>2264</v>
      </c>
      <c r="B389" s="47">
        <v>12125.0</v>
      </c>
      <c r="C389" s="47">
        <v>2.0</v>
      </c>
      <c r="D389" s="47" t="s">
        <v>4044</v>
      </c>
      <c r="E389" s="47" t="str">
        <f t="shared" si="1"/>
        <v>2A</v>
      </c>
      <c r="F389" s="47" t="s">
        <v>4045</v>
      </c>
      <c r="G389" s="47" t="s">
        <v>273</v>
      </c>
      <c r="H389" s="48">
        <f>IF(NOT(ISBLANK(vlookup(B389,Pop_Census_2023!$A$2:$E$3220,4,FALSE))),vlookup(B389,Pop_Census_2023!$A$2:$E$3220,4,FALSE), vlookup(B389,Pop_Census_2023!$A$2:$E$3220,5,FALSE))</f>
        <v>15532</v>
      </c>
    </row>
    <row r="390">
      <c r="A390" s="47" t="s">
        <v>2264</v>
      </c>
      <c r="B390" s="47">
        <v>12127.0</v>
      </c>
      <c r="C390" s="47">
        <v>2.0</v>
      </c>
      <c r="D390" s="47" t="s">
        <v>4044</v>
      </c>
      <c r="E390" s="47" t="str">
        <f t="shared" si="1"/>
        <v>2A</v>
      </c>
      <c r="F390" s="47" t="s">
        <v>4045</v>
      </c>
      <c r="G390" s="47" t="s">
        <v>457</v>
      </c>
      <c r="H390" s="48">
        <f>IF(NOT(ISBLANK(vlookup(B390,Pop_Census_2023!$A$2:$E$3220,4,FALSE))),vlookup(B390,Pop_Census_2023!$A$2:$E$3220,4,FALSE), vlookup(B390,Pop_Census_2023!$A$2:$E$3220,5,FALSE))</f>
        <v>590357</v>
      </c>
    </row>
    <row r="391">
      <c r="A391" s="47" t="s">
        <v>2264</v>
      </c>
      <c r="B391" s="47">
        <v>12129.0</v>
      </c>
      <c r="C391" s="47">
        <v>2.0</v>
      </c>
      <c r="D391" s="47" t="s">
        <v>4044</v>
      </c>
      <c r="E391" s="47" t="str">
        <f t="shared" si="1"/>
        <v>2A</v>
      </c>
      <c r="F391" s="47" t="s">
        <v>4045</v>
      </c>
      <c r="G391" s="47" t="s">
        <v>458</v>
      </c>
      <c r="H391" s="48">
        <f>IF(NOT(ISBLANK(vlookup(B391,Pop_Census_2023!$A$2:$E$3220,4,FALSE))),vlookup(B391,Pop_Census_2023!$A$2:$E$3220,4,FALSE), vlookup(B391,Pop_Census_2023!$A$2:$E$3220,5,FALSE))</f>
        <v>36449</v>
      </c>
    </row>
    <row r="392">
      <c r="A392" s="47" t="s">
        <v>2264</v>
      </c>
      <c r="B392" s="47">
        <v>12131.0</v>
      </c>
      <c r="C392" s="47">
        <v>2.0</v>
      </c>
      <c r="D392" s="47" t="s">
        <v>4044</v>
      </c>
      <c r="E392" s="47" t="str">
        <f t="shared" si="1"/>
        <v>2A</v>
      </c>
      <c r="F392" s="47" t="s">
        <v>4045</v>
      </c>
      <c r="G392" s="47" t="s">
        <v>459</v>
      </c>
      <c r="H392" s="48">
        <f>IF(NOT(ISBLANK(vlookup(B392,Pop_Census_2023!$A$2:$E$3220,4,FALSE))),vlookup(B392,Pop_Census_2023!$A$2:$E$3220,4,FALSE), vlookup(B392,Pop_Census_2023!$A$2:$E$3220,5,FALSE))</f>
        <v>86354</v>
      </c>
    </row>
    <row r="393">
      <c r="A393" s="47" t="s">
        <v>2264</v>
      </c>
      <c r="B393" s="47">
        <v>12133.0</v>
      </c>
      <c r="C393" s="47">
        <v>2.0</v>
      </c>
      <c r="D393" s="47" t="s">
        <v>4044</v>
      </c>
      <c r="E393" s="47" t="str">
        <f t="shared" si="1"/>
        <v>2A</v>
      </c>
      <c r="F393" s="47" t="s">
        <v>4045</v>
      </c>
      <c r="G393" s="47" t="s">
        <v>167</v>
      </c>
      <c r="H393" s="48">
        <f>IF(NOT(ISBLANK(vlookup(B393,Pop_Census_2023!$A$2:$E$3220,4,FALSE))),vlookup(B393,Pop_Census_2023!$A$2:$E$3220,4,FALSE), vlookup(B393,Pop_Census_2023!$A$2:$E$3220,5,FALSE))</f>
        <v>25602</v>
      </c>
    </row>
    <row r="394">
      <c r="A394" s="47" t="s">
        <v>2314</v>
      </c>
      <c r="B394" s="47">
        <v>13001.0</v>
      </c>
      <c r="C394" s="47">
        <v>2.0</v>
      </c>
      <c r="D394" s="47" t="s">
        <v>4044</v>
      </c>
      <c r="E394" s="47" t="str">
        <f t="shared" si="1"/>
        <v>2A</v>
      </c>
      <c r="F394" s="47" t="s">
        <v>4045</v>
      </c>
      <c r="G394" s="47" t="s">
        <v>460</v>
      </c>
      <c r="H394" s="48">
        <f>IF(NOT(ISBLANK(vlookup(B394,Pop_Census_2023!$A$2:$E$3220,4,FALSE))),vlookup(B394,Pop_Census_2023!$A$2:$E$3220,4,FALSE), vlookup(B394,Pop_Census_2023!$A$2:$E$3220,5,FALSE))</f>
        <v>18457</v>
      </c>
    </row>
    <row r="395">
      <c r="A395" s="47" t="s">
        <v>2314</v>
      </c>
      <c r="B395" s="47">
        <v>13003.0</v>
      </c>
      <c r="C395" s="47">
        <v>2.0</v>
      </c>
      <c r="D395" s="47" t="s">
        <v>4044</v>
      </c>
      <c r="E395" s="47" t="str">
        <f t="shared" si="1"/>
        <v>2A</v>
      </c>
      <c r="F395" s="47" t="s">
        <v>4045</v>
      </c>
      <c r="G395" s="47" t="s">
        <v>462</v>
      </c>
      <c r="H395" s="48">
        <f>IF(NOT(ISBLANK(vlookup(B395,Pop_Census_2023!$A$2:$E$3220,4,FALSE))),vlookup(B395,Pop_Census_2023!$A$2:$E$3220,4,FALSE), vlookup(B395,Pop_Census_2023!$A$2:$E$3220,5,FALSE))</f>
        <v>8293</v>
      </c>
    </row>
    <row r="396">
      <c r="A396" s="47" t="s">
        <v>2314</v>
      </c>
      <c r="B396" s="47">
        <v>13005.0</v>
      </c>
      <c r="C396" s="47">
        <v>2.0</v>
      </c>
      <c r="D396" s="47" t="s">
        <v>4044</v>
      </c>
      <c r="E396" s="47" t="str">
        <f t="shared" si="1"/>
        <v>2A</v>
      </c>
      <c r="F396" s="47" t="s">
        <v>4045</v>
      </c>
      <c r="G396" s="47" t="s">
        <v>463</v>
      </c>
      <c r="H396" s="48">
        <f>IF(NOT(ISBLANK(vlookup(B396,Pop_Census_2023!$A$2:$E$3220,4,FALSE))),vlookup(B396,Pop_Census_2023!$A$2:$E$3220,4,FALSE), vlookup(B396,Pop_Census_2023!$A$2:$E$3220,5,FALSE))</f>
        <v>11124</v>
      </c>
    </row>
    <row r="397">
      <c r="A397" s="47" t="s">
        <v>2314</v>
      </c>
      <c r="B397" s="47">
        <v>13007.0</v>
      </c>
      <c r="C397" s="47">
        <v>2.0</v>
      </c>
      <c r="D397" s="47" t="s">
        <v>4044</v>
      </c>
      <c r="E397" s="47" t="str">
        <f t="shared" si="1"/>
        <v>2A</v>
      </c>
      <c r="F397" s="47" t="s">
        <v>4045</v>
      </c>
      <c r="G397" s="47" t="s">
        <v>411</v>
      </c>
      <c r="H397" s="48">
        <f>IF(NOT(ISBLANK(vlookup(B397,Pop_Census_2023!$A$2:$E$3220,4,FALSE))),vlookup(B397,Pop_Census_2023!$A$2:$E$3220,4,FALSE), vlookup(B397,Pop_Census_2023!$A$2:$E$3220,5,FALSE))</f>
        <v>2743</v>
      </c>
    </row>
    <row r="398">
      <c r="A398" s="47" t="s">
        <v>2314</v>
      </c>
      <c r="B398" s="47">
        <v>13009.0</v>
      </c>
      <c r="C398" s="47">
        <v>3.0</v>
      </c>
      <c r="D398" s="47" t="s">
        <v>4044</v>
      </c>
      <c r="E398" s="47" t="str">
        <f t="shared" si="1"/>
        <v>3A</v>
      </c>
      <c r="F398" s="47" t="s">
        <v>4046</v>
      </c>
      <c r="G398" s="47" t="s">
        <v>103</v>
      </c>
      <c r="H398" s="48">
        <f>IF(NOT(ISBLANK(vlookup(B398,Pop_Census_2023!$A$2:$E$3220,4,FALSE))),vlookup(B398,Pop_Census_2023!$A$2:$E$3220,4,FALSE), vlookup(B398,Pop_Census_2023!$A$2:$E$3220,5,FALSE))</f>
        <v>43396</v>
      </c>
    </row>
    <row r="399">
      <c r="A399" s="47" t="s">
        <v>2314</v>
      </c>
      <c r="B399" s="47">
        <v>13011.0</v>
      </c>
      <c r="C399" s="47">
        <v>4.0</v>
      </c>
      <c r="D399" s="47" t="s">
        <v>4044</v>
      </c>
      <c r="E399" s="47" t="str">
        <f t="shared" si="1"/>
        <v>4A</v>
      </c>
      <c r="F399" s="47" t="s">
        <v>4046</v>
      </c>
      <c r="G399" s="47" t="s">
        <v>464</v>
      </c>
      <c r="H399" s="48">
        <f>IF(NOT(ISBLANK(vlookup(B399,Pop_Census_2023!$A$2:$E$3220,4,FALSE))),vlookup(B399,Pop_Census_2023!$A$2:$E$3220,4,FALSE), vlookup(B399,Pop_Census_2023!$A$2:$E$3220,5,FALSE))</f>
        <v>19789</v>
      </c>
    </row>
    <row r="400">
      <c r="A400" s="47" t="s">
        <v>2314</v>
      </c>
      <c r="B400" s="47">
        <v>13013.0</v>
      </c>
      <c r="C400" s="47">
        <v>3.0</v>
      </c>
      <c r="D400" s="47" t="s">
        <v>4044</v>
      </c>
      <c r="E400" s="47" t="str">
        <f t="shared" si="1"/>
        <v>3A</v>
      </c>
      <c r="F400" s="47" t="s">
        <v>4046</v>
      </c>
      <c r="G400" s="47" t="s">
        <v>465</v>
      </c>
      <c r="H400" s="48">
        <f>IF(NOT(ISBLANK(vlookup(B400,Pop_Census_2023!$A$2:$E$3220,4,FALSE))),vlookup(B400,Pop_Census_2023!$A$2:$E$3220,4,FALSE), vlookup(B400,Pop_Census_2023!$A$2:$E$3220,5,FALSE))</f>
        <v>92792</v>
      </c>
    </row>
    <row r="401">
      <c r="A401" s="47" t="s">
        <v>2314</v>
      </c>
      <c r="B401" s="47">
        <v>13015.0</v>
      </c>
      <c r="C401" s="47">
        <v>3.0</v>
      </c>
      <c r="D401" s="47" t="s">
        <v>4044</v>
      </c>
      <c r="E401" s="47" t="str">
        <f t="shared" si="1"/>
        <v>3A</v>
      </c>
      <c r="F401" s="47" t="s">
        <v>4046</v>
      </c>
      <c r="G401" s="47" t="s">
        <v>466</v>
      </c>
      <c r="H401" s="48">
        <f>IF(NOT(ISBLANK(vlookup(B401,Pop_Census_2023!$A$2:$E$3220,4,FALSE))),vlookup(B401,Pop_Census_2023!$A$2:$E$3220,4,FALSE), vlookup(B401,Pop_Census_2023!$A$2:$E$3220,5,FALSE))</f>
        <v>115041</v>
      </c>
    </row>
    <row r="402">
      <c r="A402" s="47" t="s">
        <v>2314</v>
      </c>
      <c r="B402" s="47">
        <v>13017.0</v>
      </c>
      <c r="C402" s="47">
        <v>3.0</v>
      </c>
      <c r="D402" s="47" t="s">
        <v>4044</v>
      </c>
      <c r="E402" s="47" t="str">
        <f t="shared" si="1"/>
        <v>3A</v>
      </c>
      <c r="F402" s="47" t="s">
        <v>4045</v>
      </c>
      <c r="G402" s="47" t="s">
        <v>467</v>
      </c>
      <c r="H402" s="48">
        <f>IF(NOT(ISBLANK(vlookup(B402,Pop_Census_2023!$A$2:$E$3220,4,FALSE))),vlookup(B402,Pop_Census_2023!$A$2:$E$3220,4,FALSE), vlookup(B402,Pop_Census_2023!$A$2:$E$3220,5,FALSE))</f>
        <v>17128</v>
      </c>
    </row>
    <row r="403">
      <c r="A403" s="47" t="s">
        <v>2314</v>
      </c>
      <c r="B403" s="47">
        <v>13019.0</v>
      </c>
      <c r="C403" s="47">
        <v>2.0</v>
      </c>
      <c r="D403" s="47" t="s">
        <v>4044</v>
      </c>
      <c r="E403" s="47" t="str">
        <f t="shared" si="1"/>
        <v>2A</v>
      </c>
      <c r="F403" s="47" t="s">
        <v>4045</v>
      </c>
      <c r="G403" s="47" t="s">
        <v>468</v>
      </c>
      <c r="H403" s="48">
        <f>IF(NOT(ISBLANK(vlookup(B403,Pop_Census_2023!$A$2:$E$3220,4,FALSE))),vlookup(B403,Pop_Census_2023!$A$2:$E$3220,4,FALSE), vlookup(B403,Pop_Census_2023!$A$2:$E$3220,5,FALSE))</f>
        <v>18570</v>
      </c>
    </row>
    <row r="404">
      <c r="A404" s="47" t="s">
        <v>2314</v>
      </c>
      <c r="B404" s="47">
        <v>13021.0</v>
      </c>
      <c r="C404" s="47">
        <v>3.0</v>
      </c>
      <c r="D404" s="47" t="s">
        <v>4044</v>
      </c>
      <c r="E404" s="47" t="str">
        <f t="shared" si="1"/>
        <v>3A</v>
      </c>
      <c r="F404" s="47" t="s">
        <v>4046</v>
      </c>
      <c r="G404" s="47" t="s">
        <v>106</v>
      </c>
      <c r="H404" s="48">
        <f>IF(NOT(ISBLANK(vlookup(B404,Pop_Census_2023!$A$2:$E$3220,4,FALSE))),vlookup(B404,Pop_Census_2023!$A$2:$E$3220,4,FALSE), vlookup(B404,Pop_Census_2023!$A$2:$E$3220,5,FALSE))</f>
        <v>156512</v>
      </c>
    </row>
    <row r="405">
      <c r="A405" s="47" t="s">
        <v>2314</v>
      </c>
      <c r="B405" s="47">
        <v>13023.0</v>
      </c>
      <c r="C405" s="47">
        <v>3.0</v>
      </c>
      <c r="D405" s="47" t="s">
        <v>4044</v>
      </c>
      <c r="E405" s="47" t="str">
        <f t="shared" si="1"/>
        <v>3A</v>
      </c>
      <c r="F405" s="47" t="s">
        <v>4045</v>
      </c>
      <c r="G405" s="47" t="s">
        <v>469</v>
      </c>
      <c r="H405" s="48">
        <f>IF(NOT(ISBLANK(vlookup(B405,Pop_Census_2023!$A$2:$E$3220,4,FALSE))),vlookup(B405,Pop_Census_2023!$A$2:$E$3220,4,FALSE), vlookup(B405,Pop_Census_2023!$A$2:$E$3220,5,FALSE))</f>
        <v>12465</v>
      </c>
    </row>
    <row r="406">
      <c r="A406" s="47" t="s">
        <v>2314</v>
      </c>
      <c r="B406" s="47">
        <v>13025.0</v>
      </c>
      <c r="C406" s="47">
        <v>2.0</v>
      </c>
      <c r="D406" s="47" t="s">
        <v>4044</v>
      </c>
      <c r="E406" s="47" t="str">
        <f t="shared" si="1"/>
        <v>2A</v>
      </c>
      <c r="F406" s="47" t="s">
        <v>4045</v>
      </c>
      <c r="G406" s="47" t="s">
        <v>470</v>
      </c>
      <c r="H406" s="48">
        <f>IF(NOT(ISBLANK(vlookup(B406,Pop_Census_2023!$A$2:$E$3220,4,FALSE))),vlookup(B406,Pop_Census_2023!$A$2:$E$3220,4,FALSE), vlookup(B406,Pop_Census_2023!$A$2:$E$3220,5,FALSE))</f>
        <v>18401</v>
      </c>
    </row>
    <row r="407">
      <c r="A407" s="47" t="s">
        <v>2314</v>
      </c>
      <c r="B407" s="47">
        <v>13027.0</v>
      </c>
      <c r="C407" s="47">
        <v>2.0</v>
      </c>
      <c r="D407" s="47" t="s">
        <v>4044</v>
      </c>
      <c r="E407" s="47" t="str">
        <f t="shared" si="1"/>
        <v>2A</v>
      </c>
      <c r="F407" s="47" t="s">
        <v>4045</v>
      </c>
      <c r="G407" s="47" t="s">
        <v>471</v>
      </c>
      <c r="H407" s="48">
        <f>IF(NOT(ISBLANK(vlookup(B407,Pop_Census_2023!$A$2:$E$3220,4,FALSE))),vlookup(B407,Pop_Census_2023!$A$2:$E$3220,4,FALSE), vlookup(B407,Pop_Census_2023!$A$2:$E$3220,5,FALSE))</f>
        <v>16245</v>
      </c>
    </row>
    <row r="408">
      <c r="A408" s="47" t="s">
        <v>2314</v>
      </c>
      <c r="B408" s="47">
        <v>13029.0</v>
      </c>
      <c r="C408" s="47">
        <v>2.0</v>
      </c>
      <c r="D408" s="47" t="s">
        <v>4044</v>
      </c>
      <c r="E408" s="47" t="str">
        <f t="shared" si="1"/>
        <v>2A</v>
      </c>
      <c r="F408" s="47" t="s">
        <v>4045</v>
      </c>
      <c r="G408" s="47" t="s">
        <v>472</v>
      </c>
      <c r="H408" s="48">
        <f>IF(NOT(ISBLANK(vlookup(B408,Pop_Census_2023!$A$2:$E$3220,4,FALSE))),vlookup(B408,Pop_Census_2023!$A$2:$E$3220,4,FALSE), vlookup(B408,Pop_Census_2023!$A$2:$E$3220,5,FALSE))</f>
        <v>49739</v>
      </c>
    </row>
    <row r="409">
      <c r="A409" s="47" t="s">
        <v>2314</v>
      </c>
      <c r="B409" s="47">
        <v>13031.0</v>
      </c>
      <c r="C409" s="47">
        <v>3.0</v>
      </c>
      <c r="D409" s="47" t="s">
        <v>4044</v>
      </c>
      <c r="E409" s="47" t="str">
        <f t="shared" si="1"/>
        <v>3A</v>
      </c>
      <c r="F409" s="47" t="s">
        <v>4045</v>
      </c>
      <c r="G409" s="47" t="s">
        <v>473</v>
      </c>
      <c r="H409" s="48">
        <f>IF(NOT(ISBLANK(vlookup(B409,Pop_Census_2023!$A$2:$E$3220,4,FALSE))),vlookup(B409,Pop_Census_2023!$A$2:$E$3220,4,FALSE), vlookup(B409,Pop_Census_2023!$A$2:$E$3220,5,FALSE))</f>
        <v>84327</v>
      </c>
    </row>
    <row r="410">
      <c r="A410" s="47" t="s">
        <v>2314</v>
      </c>
      <c r="B410" s="47">
        <v>13033.0</v>
      </c>
      <c r="C410" s="47">
        <v>3.0</v>
      </c>
      <c r="D410" s="47" t="s">
        <v>4044</v>
      </c>
      <c r="E410" s="47" t="str">
        <f t="shared" si="1"/>
        <v>3A</v>
      </c>
      <c r="F410" s="47" t="s">
        <v>4046</v>
      </c>
      <c r="G410" s="47" t="s">
        <v>474</v>
      </c>
      <c r="H410" s="48">
        <f>IF(NOT(ISBLANK(vlookup(B410,Pop_Census_2023!$A$2:$E$3220,4,FALSE))),vlookup(B410,Pop_Census_2023!$A$2:$E$3220,4,FALSE), vlookup(B410,Pop_Census_2023!$A$2:$E$3220,5,FALSE))</f>
        <v>24438</v>
      </c>
    </row>
    <row r="411">
      <c r="A411" s="47" t="s">
        <v>2314</v>
      </c>
      <c r="B411" s="47">
        <v>13035.0</v>
      </c>
      <c r="C411" s="47">
        <v>3.0</v>
      </c>
      <c r="D411" s="47" t="s">
        <v>4044</v>
      </c>
      <c r="E411" s="47" t="str">
        <f t="shared" si="1"/>
        <v>3A</v>
      </c>
      <c r="F411" s="47" t="s">
        <v>4046</v>
      </c>
      <c r="G411" s="47" t="s">
        <v>475</v>
      </c>
      <c r="H411" s="48">
        <f>IF(NOT(ISBLANK(vlookup(B411,Pop_Census_2023!$A$2:$E$3220,4,FALSE))),vlookup(B411,Pop_Census_2023!$A$2:$E$3220,4,FALSE), vlookup(B411,Pop_Census_2023!$A$2:$E$3220,5,FALSE))</f>
        <v>26887</v>
      </c>
    </row>
    <row r="412">
      <c r="A412" s="47" t="s">
        <v>2314</v>
      </c>
      <c r="B412" s="47">
        <v>13037.0</v>
      </c>
      <c r="C412" s="47">
        <v>3.0</v>
      </c>
      <c r="D412" s="47" t="s">
        <v>4044</v>
      </c>
      <c r="E412" s="47" t="str">
        <f t="shared" si="1"/>
        <v>3A</v>
      </c>
      <c r="F412" s="47" t="s">
        <v>4045</v>
      </c>
      <c r="G412" s="47" t="s">
        <v>110</v>
      </c>
      <c r="H412" s="48">
        <f>IF(NOT(ISBLANK(vlookup(B412,Pop_Census_2023!$A$2:$E$3220,4,FALSE))),vlookup(B412,Pop_Census_2023!$A$2:$E$3220,4,FALSE), vlookup(B412,Pop_Census_2023!$A$2:$E$3220,5,FALSE))</f>
        <v>5457</v>
      </c>
    </row>
    <row r="413">
      <c r="A413" s="47" t="s">
        <v>2314</v>
      </c>
      <c r="B413" s="47">
        <v>13039.0</v>
      </c>
      <c r="C413" s="47">
        <v>2.0</v>
      </c>
      <c r="D413" s="47" t="s">
        <v>4044</v>
      </c>
      <c r="E413" s="47" t="str">
        <f t="shared" si="1"/>
        <v>2A</v>
      </c>
      <c r="F413" s="47" t="s">
        <v>4045</v>
      </c>
      <c r="G413" s="47" t="s">
        <v>476</v>
      </c>
      <c r="H413" s="48">
        <f>IF(NOT(ISBLANK(vlookup(B413,Pop_Census_2023!$A$2:$E$3220,4,FALSE))),vlookup(B413,Pop_Census_2023!$A$2:$E$3220,4,FALSE), vlookup(B413,Pop_Census_2023!$A$2:$E$3220,5,FALSE))</f>
        <v>58118</v>
      </c>
    </row>
    <row r="414">
      <c r="A414" s="47" t="s">
        <v>2314</v>
      </c>
      <c r="B414" s="47">
        <v>13043.0</v>
      </c>
      <c r="C414" s="47">
        <v>3.0</v>
      </c>
      <c r="D414" s="47" t="s">
        <v>4044</v>
      </c>
      <c r="E414" s="47" t="str">
        <f t="shared" si="1"/>
        <v>3A</v>
      </c>
      <c r="F414" s="47" t="s">
        <v>4045</v>
      </c>
      <c r="G414" s="47" t="s">
        <v>477</v>
      </c>
      <c r="H414" s="48">
        <f>IF(NOT(ISBLANK(vlookup(B414,Pop_Census_2023!$A$2:$E$3220,4,FALSE))),vlookup(B414,Pop_Census_2023!$A$2:$E$3220,4,FALSE), vlookup(B414,Pop_Census_2023!$A$2:$E$3220,5,FALSE))</f>
        <v>11059</v>
      </c>
    </row>
    <row r="415">
      <c r="A415" s="47" t="s">
        <v>2314</v>
      </c>
      <c r="B415" s="47">
        <v>13045.0</v>
      </c>
      <c r="C415" s="47">
        <v>3.0</v>
      </c>
      <c r="D415" s="47" t="s">
        <v>4044</v>
      </c>
      <c r="E415" s="47" t="str">
        <f t="shared" si="1"/>
        <v>3A</v>
      </c>
      <c r="F415" s="47" t="s">
        <v>4046</v>
      </c>
      <c r="G415" s="47" t="s">
        <v>227</v>
      </c>
      <c r="H415" s="48">
        <f>IF(NOT(ISBLANK(vlookup(B415,Pop_Census_2023!$A$2:$E$3220,4,FALSE))),vlookup(B415,Pop_Census_2023!$A$2:$E$3220,4,FALSE), vlookup(B415,Pop_Census_2023!$A$2:$E$3220,5,FALSE))</f>
        <v>127098</v>
      </c>
    </row>
    <row r="416">
      <c r="A416" s="47" t="s">
        <v>2314</v>
      </c>
      <c r="B416" s="47">
        <v>13047.0</v>
      </c>
      <c r="C416" s="47">
        <v>4.0</v>
      </c>
      <c r="D416" s="47" t="s">
        <v>4044</v>
      </c>
      <c r="E416" s="47" t="str">
        <f t="shared" si="1"/>
        <v>4A</v>
      </c>
      <c r="F416" s="47" t="s">
        <v>4046</v>
      </c>
      <c r="G416" s="47" t="s">
        <v>478</v>
      </c>
      <c r="H416" s="48">
        <f>IF(NOT(ISBLANK(vlookup(B416,Pop_Census_2023!$A$2:$E$3220,4,FALSE))),vlookup(B416,Pop_Census_2023!$A$2:$E$3220,4,FALSE), vlookup(B416,Pop_Census_2023!$A$2:$E$3220,5,FALSE))</f>
        <v>68910</v>
      </c>
    </row>
    <row r="417">
      <c r="A417" s="47" t="s">
        <v>2314</v>
      </c>
      <c r="B417" s="47">
        <v>13049.0</v>
      </c>
      <c r="C417" s="47">
        <v>2.0</v>
      </c>
      <c r="D417" s="47" t="s">
        <v>4044</v>
      </c>
      <c r="E417" s="47" t="str">
        <f t="shared" si="1"/>
        <v>2A</v>
      </c>
      <c r="F417" s="47" t="s">
        <v>4045</v>
      </c>
      <c r="G417" s="47" t="s">
        <v>479</v>
      </c>
      <c r="H417" s="48">
        <f>IF(NOT(ISBLANK(vlookup(B417,Pop_Census_2023!$A$2:$E$3220,4,FALSE))),vlookup(B417,Pop_Census_2023!$A$2:$E$3220,4,FALSE), vlookup(B417,Pop_Census_2023!$A$2:$E$3220,5,FALSE))</f>
        <v>12934</v>
      </c>
    </row>
    <row r="418">
      <c r="A418" s="47" t="s">
        <v>2314</v>
      </c>
      <c r="B418" s="47">
        <v>13051.0</v>
      </c>
      <c r="C418" s="47">
        <v>2.0</v>
      </c>
      <c r="D418" s="47" t="s">
        <v>4044</v>
      </c>
      <c r="E418" s="47" t="str">
        <f t="shared" si="1"/>
        <v>2A</v>
      </c>
      <c r="F418" s="47" t="s">
        <v>4045</v>
      </c>
      <c r="G418" s="47" t="s">
        <v>480</v>
      </c>
      <c r="H418" s="48">
        <f>IF(NOT(ISBLANK(vlookup(B418,Pop_Census_2023!$A$2:$E$3220,4,FALSE))),vlookup(B418,Pop_Census_2023!$A$2:$E$3220,4,FALSE), vlookup(B418,Pop_Census_2023!$A$2:$E$3220,5,FALSE))</f>
        <v>303655</v>
      </c>
    </row>
    <row r="419">
      <c r="A419" s="47" t="s">
        <v>2314</v>
      </c>
      <c r="B419" s="47">
        <v>13053.0</v>
      </c>
      <c r="C419" s="47">
        <v>3.0</v>
      </c>
      <c r="D419" s="47" t="s">
        <v>4044</v>
      </c>
      <c r="E419" s="47" t="str">
        <f t="shared" si="1"/>
        <v>3A</v>
      </c>
      <c r="F419" s="47" t="s">
        <v>4045</v>
      </c>
      <c r="G419" s="47" t="s">
        <v>481</v>
      </c>
      <c r="H419" s="48">
        <f>IF(NOT(ISBLANK(vlookup(B419,Pop_Census_2023!$A$2:$E$3220,4,FALSE))),vlookup(B419,Pop_Census_2023!$A$2:$E$3220,4,FALSE), vlookup(B419,Pop_Census_2023!$A$2:$E$3220,5,FALSE))</f>
        <v>8661</v>
      </c>
    </row>
    <row r="420">
      <c r="A420" s="47" t="s">
        <v>2314</v>
      </c>
      <c r="B420" s="47">
        <v>13055.0</v>
      </c>
      <c r="C420" s="47">
        <v>4.0</v>
      </c>
      <c r="D420" s="47" t="s">
        <v>4044</v>
      </c>
      <c r="E420" s="47" t="str">
        <f t="shared" si="1"/>
        <v>4A</v>
      </c>
      <c r="F420" s="47" t="s">
        <v>4046</v>
      </c>
      <c r="G420" s="47" t="s">
        <v>482</v>
      </c>
      <c r="H420" s="48">
        <f>IF(NOT(ISBLANK(vlookup(B420,Pop_Census_2023!$A$2:$E$3220,4,FALSE))),vlookup(B420,Pop_Census_2023!$A$2:$E$3220,4,FALSE), vlookup(B420,Pop_Census_2023!$A$2:$E$3220,5,FALSE))</f>
        <v>25222</v>
      </c>
    </row>
    <row r="421">
      <c r="A421" s="47" t="s">
        <v>2314</v>
      </c>
      <c r="B421" s="47">
        <v>13057.0</v>
      </c>
      <c r="C421" s="47">
        <v>3.0</v>
      </c>
      <c r="D421" s="47" t="s">
        <v>4044</v>
      </c>
      <c r="E421" s="47" t="str">
        <f t="shared" si="1"/>
        <v>3A</v>
      </c>
      <c r="F421" s="47" t="s">
        <v>4046</v>
      </c>
      <c r="G421" s="47" t="s">
        <v>112</v>
      </c>
      <c r="H421" s="48">
        <f>IF(NOT(ISBLANK(vlookup(B421,Pop_Census_2023!$A$2:$E$3220,4,FALSE))),vlookup(B421,Pop_Census_2023!$A$2:$E$3220,4,FALSE), vlookup(B421,Pop_Census_2023!$A$2:$E$3220,5,FALSE))</f>
        <v>286602</v>
      </c>
    </row>
    <row r="422">
      <c r="A422" s="47" t="s">
        <v>2314</v>
      </c>
      <c r="B422" s="47">
        <v>13059.0</v>
      </c>
      <c r="C422" s="47">
        <v>3.0</v>
      </c>
      <c r="D422" s="47" t="s">
        <v>4044</v>
      </c>
      <c r="E422" s="47" t="str">
        <f t="shared" si="1"/>
        <v>3A</v>
      </c>
      <c r="F422" s="47" t="s">
        <v>4046</v>
      </c>
      <c r="G422" s="47" t="s">
        <v>115</v>
      </c>
      <c r="H422" s="48">
        <f>IF(NOT(ISBLANK(vlookup(B422,Pop_Census_2023!$A$2:$E$3220,4,FALSE))),vlookup(B422,Pop_Census_2023!$A$2:$E$3220,4,FALSE), vlookup(B422,Pop_Census_2023!$A$2:$E$3220,5,FALSE))</f>
        <v>129933</v>
      </c>
    </row>
    <row r="423">
      <c r="A423" s="47" t="s">
        <v>2314</v>
      </c>
      <c r="B423" s="47">
        <v>13061.0</v>
      </c>
      <c r="C423" s="47">
        <v>3.0</v>
      </c>
      <c r="D423" s="47" t="s">
        <v>4044</v>
      </c>
      <c r="E423" s="47" t="str">
        <f t="shared" si="1"/>
        <v>3A</v>
      </c>
      <c r="F423" s="47" t="s">
        <v>4045</v>
      </c>
      <c r="G423" s="47" t="s">
        <v>116</v>
      </c>
      <c r="H423" s="48">
        <f>IF(NOT(ISBLANK(vlookup(B423,Pop_Census_2023!$A$2:$E$3220,4,FALSE))),vlookup(B423,Pop_Census_2023!$A$2:$E$3220,4,FALSE), vlookup(B423,Pop_Census_2023!$A$2:$E$3220,5,FALSE))</f>
        <v>2853</v>
      </c>
    </row>
    <row r="424">
      <c r="A424" s="47" t="s">
        <v>2314</v>
      </c>
      <c r="B424" s="47">
        <v>13063.0</v>
      </c>
      <c r="C424" s="47">
        <v>3.0</v>
      </c>
      <c r="D424" s="47" t="s">
        <v>4044</v>
      </c>
      <c r="E424" s="47" t="str">
        <f t="shared" si="1"/>
        <v>3A</v>
      </c>
      <c r="F424" s="47" t="s">
        <v>4046</v>
      </c>
      <c r="G424" s="47" t="s">
        <v>483</v>
      </c>
      <c r="H424" s="48">
        <f>IF(NOT(ISBLANK(vlookup(B424,Pop_Census_2023!$A$2:$E$3220,4,FALSE))),vlookup(B424,Pop_Census_2023!$A$2:$E$3220,4,FALSE), vlookup(B424,Pop_Census_2023!$A$2:$E$3220,5,FALSE))</f>
        <v>298300</v>
      </c>
    </row>
    <row r="425">
      <c r="A425" s="47" t="s">
        <v>2314</v>
      </c>
      <c r="B425" s="47">
        <v>13065.0</v>
      </c>
      <c r="C425" s="47">
        <v>2.0</v>
      </c>
      <c r="D425" s="47" t="s">
        <v>4044</v>
      </c>
      <c r="E425" s="47" t="str">
        <f t="shared" si="1"/>
        <v>2A</v>
      </c>
      <c r="F425" s="47" t="s">
        <v>4045</v>
      </c>
      <c r="G425" s="47" t="s">
        <v>484</v>
      </c>
      <c r="H425" s="48">
        <f>IF(NOT(ISBLANK(vlookup(B425,Pop_Census_2023!$A$2:$E$3220,4,FALSE))),vlookup(B425,Pop_Census_2023!$A$2:$E$3220,4,FALSE), vlookup(B425,Pop_Census_2023!$A$2:$E$3220,5,FALSE))</f>
        <v>6746</v>
      </c>
    </row>
    <row r="426">
      <c r="A426" s="47" t="s">
        <v>2314</v>
      </c>
      <c r="B426" s="47">
        <v>13067.0</v>
      </c>
      <c r="C426" s="47">
        <v>3.0</v>
      </c>
      <c r="D426" s="47" t="s">
        <v>4044</v>
      </c>
      <c r="E426" s="47" t="str">
        <f t="shared" si="1"/>
        <v>3A</v>
      </c>
      <c r="F426" s="47" t="s">
        <v>4046</v>
      </c>
      <c r="G426" s="47" t="s">
        <v>485</v>
      </c>
      <c r="H426" s="48">
        <f>IF(NOT(ISBLANK(vlookup(B426,Pop_Census_2023!$A$2:$E$3220,4,FALSE))),vlookup(B426,Pop_Census_2023!$A$2:$E$3220,4,FALSE), vlookup(B426,Pop_Census_2023!$A$2:$E$3220,5,FALSE))</f>
        <v>776743</v>
      </c>
    </row>
    <row r="427">
      <c r="A427" s="47" t="s">
        <v>2314</v>
      </c>
      <c r="B427" s="47">
        <v>13069.0</v>
      </c>
      <c r="C427" s="47">
        <v>3.0</v>
      </c>
      <c r="D427" s="47" t="s">
        <v>4044</v>
      </c>
      <c r="E427" s="47" t="str">
        <f t="shared" si="1"/>
        <v>3A</v>
      </c>
      <c r="F427" s="47" t="s">
        <v>4045</v>
      </c>
      <c r="G427" s="47" t="s">
        <v>118</v>
      </c>
      <c r="H427" s="48">
        <f>IF(NOT(ISBLANK(vlookup(B427,Pop_Census_2023!$A$2:$E$3220,4,FALSE))),vlookup(B427,Pop_Census_2023!$A$2:$E$3220,4,FALSE), vlookup(B427,Pop_Census_2023!$A$2:$E$3220,5,FALSE))</f>
        <v>43317</v>
      </c>
    </row>
    <row r="428">
      <c r="A428" s="47" t="s">
        <v>2314</v>
      </c>
      <c r="B428" s="47">
        <v>13071.0</v>
      </c>
      <c r="C428" s="47">
        <v>2.0</v>
      </c>
      <c r="D428" s="47" t="s">
        <v>4044</v>
      </c>
      <c r="E428" s="47" t="str">
        <f t="shared" si="1"/>
        <v>2A</v>
      </c>
      <c r="F428" s="47" t="s">
        <v>4045</v>
      </c>
      <c r="G428" s="47" t="s">
        <v>486</v>
      </c>
      <c r="H428" s="48">
        <f>IF(NOT(ISBLANK(vlookup(B428,Pop_Census_2023!$A$2:$E$3220,4,FALSE))),vlookup(B428,Pop_Census_2023!$A$2:$E$3220,4,FALSE), vlookup(B428,Pop_Census_2023!$A$2:$E$3220,5,FALSE))</f>
        <v>46167</v>
      </c>
    </row>
    <row r="429">
      <c r="A429" s="47" t="s">
        <v>2314</v>
      </c>
      <c r="B429" s="47">
        <v>13073.0</v>
      </c>
      <c r="C429" s="47">
        <v>3.0</v>
      </c>
      <c r="D429" s="47" t="s">
        <v>4044</v>
      </c>
      <c r="E429" s="47" t="str">
        <f t="shared" si="1"/>
        <v>3A</v>
      </c>
      <c r="F429" s="47" t="s">
        <v>4046</v>
      </c>
      <c r="G429" s="47" t="s">
        <v>231</v>
      </c>
      <c r="H429" s="48">
        <f>IF(NOT(ISBLANK(vlookup(B429,Pop_Census_2023!$A$2:$E$3220,4,FALSE))),vlookup(B429,Pop_Census_2023!$A$2:$E$3220,4,FALSE), vlookup(B429,Pop_Census_2023!$A$2:$E$3220,5,FALSE))</f>
        <v>165162</v>
      </c>
    </row>
    <row r="430">
      <c r="A430" s="47" t="s">
        <v>2314</v>
      </c>
      <c r="B430" s="47">
        <v>13075.0</v>
      </c>
      <c r="C430" s="47">
        <v>2.0</v>
      </c>
      <c r="D430" s="47" t="s">
        <v>4044</v>
      </c>
      <c r="E430" s="47" t="str">
        <f t="shared" si="1"/>
        <v>2A</v>
      </c>
      <c r="F430" s="47" t="s">
        <v>4045</v>
      </c>
      <c r="G430" s="47" t="s">
        <v>487</v>
      </c>
      <c r="H430" s="48">
        <f>IF(NOT(ISBLANK(vlookup(B430,Pop_Census_2023!$A$2:$E$3220,4,FALSE))),vlookup(B430,Pop_Census_2023!$A$2:$E$3220,4,FALSE), vlookup(B430,Pop_Census_2023!$A$2:$E$3220,5,FALSE))</f>
        <v>17714</v>
      </c>
    </row>
    <row r="431">
      <c r="A431" s="47" t="s">
        <v>2314</v>
      </c>
      <c r="B431" s="47">
        <v>13077.0</v>
      </c>
      <c r="C431" s="47">
        <v>3.0</v>
      </c>
      <c r="D431" s="47" t="s">
        <v>4044</v>
      </c>
      <c r="E431" s="47" t="str">
        <f t="shared" si="1"/>
        <v>3A</v>
      </c>
      <c r="F431" s="47" t="s">
        <v>4046</v>
      </c>
      <c r="G431" s="47" t="s">
        <v>488</v>
      </c>
      <c r="H431" s="48">
        <f>IF(NOT(ISBLANK(vlookup(B431,Pop_Census_2023!$A$2:$E$3220,4,FALSE))),vlookup(B431,Pop_Census_2023!$A$2:$E$3220,4,FALSE), vlookup(B431,Pop_Census_2023!$A$2:$E$3220,5,FALSE))</f>
        <v>155892</v>
      </c>
    </row>
    <row r="432">
      <c r="A432" s="47" t="s">
        <v>2314</v>
      </c>
      <c r="B432" s="47">
        <v>13079.0</v>
      </c>
      <c r="C432" s="47">
        <v>3.0</v>
      </c>
      <c r="D432" s="47" t="s">
        <v>4044</v>
      </c>
      <c r="E432" s="47" t="str">
        <f t="shared" si="1"/>
        <v>3A</v>
      </c>
      <c r="F432" s="47" t="s">
        <v>4046</v>
      </c>
      <c r="G432" s="47" t="s">
        <v>234</v>
      </c>
      <c r="H432" s="48">
        <f>IF(NOT(ISBLANK(vlookup(B432,Pop_Census_2023!$A$2:$E$3220,4,FALSE))),vlookup(B432,Pop_Census_2023!$A$2:$E$3220,4,FALSE), vlookup(B432,Pop_Census_2023!$A$2:$E$3220,5,FALSE))</f>
        <v>12277</v>
      </c>
    </row>
    <row r="433">
      <c r="A433" s="47" t="s">
        <v>2314</v>
      </c>
      <c r="B433" s="47">
        <v>13081.0</v>
      </c>
      <c r="C433" s="47">
        <v>3.0</v>
      </c>
      <c r="D433" s="47" t="s">
        <v>4044</v>
      </c>
      <c r="E433" s="47" t="str">
        <f t="shared" si="1"/>
        <v>3A</v>
      </c>
      <c r="F433" s="47" t="s">
        <v>4045</v>
      </c>
      <c r="G433" s="47" t="s">
        <v>489</v>
      </c>
      <c r="H433" s="48">
        <f>IF(NOT(ISBLANK(vlookup(B433,Pop_Census_2023!$A$2:$E$3220,4,FALSE))),vlookup(B433,Pop_Census_2023!$A$2:$E$3220,4,FALSE), vlookup(B433,Pop_Census_2023!$A$2:$E$3220,5,FALSE))</f>
        <v>19631</v>
      </c>
    </row>
    <row r="434">
      <c r="A434" s="47" t="s">
        <v>2314</v>
      </c>
      <c r="B434" s="47">
        <v>13083.0</v>
      </c>
      <c r="C434" s="47">
        <v>4.0</v>
      </c>
      <c r="D434" s="47" t="s">
        <v>4044</v>
      </c>
      <c r="E434" s="47" t="str">
        <f t="shared" si="1"/>
        <v>4A</v>
      </c>
      <c r="F434" s="47" t="s">
        <v>4046</v>
      </c>
      <c r="G434" s="47" t="s">
        <v>490</v>
      </c>
      <c r="H434" s="48">
        <f>IF(NOT(ISBLANK(vlookup(B434,Pop_Census_2023!$A$2:$E$3220,4,FALSE))),vlookup(B434,Pop_Census_2023!$A$2:$E$3220,4,FALSE), vlookup(B434,Pop_Census_2023!$A$2:$E$3220,5,FALSE))</f>
        <v>16165</v>
      </c>
    </row>
    <row r="435">
      <c r="A435" s="47" t="s">
        <v>2314</v>
      </c>
      <c r="B435" s="47">
        <v>13085.0</v>
      </c>
      <c r="C435" s="47">
        <v>4.0</v>
      </c>
      <c r="D435" s="47" t="s">
        <v>4044</v>
      </c>
      <c r="E435" s="47" t="str">
        <f t="shared" si="1"/>
        <v>4A</v>
      </c>
      <c r="F435" s="47" t="s">
        <v>4046</v>
      </c>
      <c r="G435" s="47" t="s">
        <v>491</v>
      </c>
      <c r="H435" s="48">
        <f>IF(NOT(ISBLANK(vlookup(B435,Pop_Census_2023!$A$2:$E$3220,4,FALSE))),vlookup(B435,Pop_Census_2023!$A$2:$E$3220,4,FALSE), vlookup(B435,Pop_Census_2023!$A$2:$E$3220,5,FALSE))</f>
        <v>31732</v>
      </c>
    </row>
    <row r="436">
      <c r="A436" s="47" t="s">
        <v>2314</v>
      </c>
      <c r="B436" s="47">
        <v>13087.0</v>
      </c>
      <c r="C436" s="47">
        <v>2.0</v>
      </c>
      <c r="D436" s="47" t="s">
        <v>4044</v>
      </c>
      <c r="E436" s="47" t="str">
        <f t="shared" si="1"/>
        <v>2A</v>
      </c>
      <c r="F436" s="47" t="s">
        <v>4045</v>
      </c>
      <c r="G436" s="47" t="s">
        <v>492</v>
      </c>
      <c r="H436" s="48">
        <f>IF(NOT(ISBLANK(vlookup(B436,Pop_Census_2023!$A$2:$E$3220,4,FALSE))),vlookup(B436,Pop_Census_2023!$A$2:$E$3220,4,FALSE), vlookup(B436,Pop_Census_2023!$A$2:$E$3220,5,FALSE))</f>
        <v>29087</v>
      </c>
    </row>
    <row r="437">
      <c r="A437" s="47" t="s">
        <v>2314</v>
      </c>
      <c r="B437" s="47">
        <v>13089.0</v>
      </c>
      <c r="C437" s="47">
        <v>3.0</v>
      </c>
      <c r="D437" s="47" t="s">
        <v>4044</v>
      </c>
      <c r="E437" s="47" t="str">
        <f t="shared" si="1"/>
        <v>3A</v>
      </c>
      <c r="F437" s="47" t="s">
        <v>4046</v>
      </c>
      <c r="G437" s="47" t="s">
        <v>127</v>
      </c>
      <c r="H437" s="48">
        <f>IF(NOT(ISBLANK(vlookup(B437,Pop_Census_2023!$A$2:$E$3220,4,FALSE))),vlookup(B437,Pop_Census_2023!$A$2:$E$3220,4,FALSE), vlookup(B437,Pop_Census_2023!$A$2:$E$3220,5,FALSE))</f>
        <v>762992</v>
      </c>
    </row>
    <row r="438">
      <c r="A438" s="47" t="s">
        <v>2314</v>
      </c>
      <c r="B438" s="47">
        <v>13091.0</v>
      </c>
      <c r="C438" s="47">
        <v>3.0</v>
      </c>
      <c r="D438" s="47" t="s">
        <v>4044</v>
      </c>
      <c r="E438" s="47" t="str">
        <f t="shared" si="1"/>
        <v>3A</v>
      </c>
      <c r="F438" s="47" t="s">
        <v>4045</v>
      </c>
      <c r="G438" s="47" t="s">
        <v>493</v>
      </c>
      <c r="H438" s="48">
        <f>IF(NOT(ISBLANK(vlookup(B438,Pop_Census_2023!$A$2:$E$3220,4,FALSE))),vlookup(B438,Pop_Census_2023!$A$2:$E$3220,4,FALSE), vlookup(B438,Pop_Census_2023!$A$2:$E$3220,5,FALSE))</f>
        <v>19776</v>
      </c>
    </row>
    <row r="439">
      <c r="A439" s="47" t="s">
        <v>2314</v>
      </c>
      <c r="B439" s="47">
        <v>13093.0</v>
      </c>
      <c r="C439" s="47">
        <v>3.0</v>
      </c>
      <c r="D439" s="47" t="s">
        <v>4044</v>
      </c>
      <c r="E439" s="47" t="str">
        <f t="shared" si="1"/>
        <v>3A</v>
      </c>
      <c r="F439" s="47" t="s">
        <v>4045</v>
      </c>
      <c r="G439" s="47" t="s">
        <v>494</v>
      </c>
      <c r="H439" s="48">
        <f>IF(NOT(ISBLANK(vlookup(B439,Pop_Census_2023!$A$2:$E$3220,4,FALSE))),vlookup(B439,Pop_Census_2023!$A$2:$E$3220,4,FALSE), vlookup(B439,Pop_Census_2023!$A$2:$E$3220,5,FALSE))</f>
        <v>10981</v>
      </c>
    </row>
    <row r="440">
      <c r="A440" s="47" t="s">
        <v>2314</v>
      </c>
      <c r="B440" s="47">
        <v>13095.0</v>
      </c>
      <c r="C440" s="47">
        <v>3.0</v>
      </c>
      <c r="D440" s="47" t="s">
        <v>4044</v>
      </c>
      <c r="E440" s="47" t="str">
        <f t="shared" si="1"/>
        <v>3A</v>
      </c>
      <c r="F440" s="47" t="s">
        <v>4045</v>
      </c>
      <c r="G440" s="47" t="s">
        <v>495</v>
      </c>
      <c r="H440" s="48">
        <f>IF(NOT(ISBLANK(vlookup(B440,Pop_Census_2023!$A$2:$E$3220,4,FALSE))),vlookup(B440,Pop_Census_2023!$A$2:$E$3220,4,FALSE), vlookup(B440,Pop_Census_2023!$A$2:$E$3220,5,FALSE))</f>
        <v>82645</v>
      </c>
    </row>
    <row r="441">
      <c r="A441" s="47" t="s">
        <v>2314</v>
      </c>
      <c r="B441" s="47">
        <v>13097.0</v>
      </c>
      <c r="C441" s="47">
        <v>3.0</v>
      </c>
      <c r="D441" s="47" t="s">
        <v>4044</v>
      </c>
      <c r="E441" s="47" t="str">
        <f t="shared" si="1"/>
        <v>3A</v>
      </c>
      <c r="F441" s="47" t="s">
        <v>4046</v>
      </c>
      <c r="G441" s="47" t="s">
        <v>357</v>
      </c>
      <c r="H441" s="48">
        <f>IF(NOT(ISBLANK(vlookup(B441,Pop_Census_2023!$A$2:$E$3220,4,FALSE))),vlookup(B441,Pop_Census_2023!$A$2:$E$3220,4,FALSE), vlookup(B441,Pop_Census_2023!$A$2:$E$3220,5,FALSE))</f>
        <v>149160</v>
      </c>
    </row>
    <row r="442">
      <c r="A442" s="47" t="s">
        <v>2314</v>
      </c>
      <c r="B442" s="47">
        <v>13099.0</v>
      </c>
      <c r="C442" s="47">
        <v>3.0</v>
      </c>
      <c r="D442" s="47" t="s">
        <v>4044</v>
      </c>
      <c r="E442" s="47" t="str">
        <f t="shared" si="1"/>
        <v>3A</v>
      </c>
      <c r="F442" s="47" t="s">
        <v>4045</v>
      </c>
      <c r="G442" s="47" t="s">
        <v>496</v>
      </c>
      <c r="H442" s="48">
        <f>IF(NOT(ISBLANK(vlookup(B442,Pop_Census_2023!$A$2:$E$3220,4,FALSE))),vlookup(B442,Pop_Census_2023!$A$2:$E$3220,4,FALSE), vlookup(B442,Pop_Census_2023!$A$2:$E$3220,5,FALSE))</f>
        <v>10563</v>
      </c>
    </row>
    <row r="443">
      <c r="A443" s="47" t="s">
        <v>2314</v>
      </c>
      <c r="B443" s="47">
        <v>13101.0</v>
      </c>
      <c r="C443" s="47">
        <v>2.0</v>
      </c>
      <c r="D443" s="47" t="s">
        <v>4044</v>
      </c>
      <c r="E443" s="47" t="str">
        <f t="shared" si="1"/>
        <v>2A</v>
      </c>
      <c r="F443" s="47" t="s">
        <v>4045</v>
      </c>
      <c r="G443" s="47" t="s">
        <v>497</v>
      </c>
      <c r="H443" s="48">
        <f>IF(NOT(ISBLANK(vlookup(B443,Pop_Census_2023!$A$2:$E$3220,4,FALSE))),vlookup(B443,Pop_Census_2023!$A$2:$E$3220,4,FALSE), vlookup(B443,Pop_Census_2023!$A$2:$E$3220,5,FALSE))</f>
        <v>3709</v>
      </c>
    </row>
    <row r="444">
      <c r="A444" s="47" t="s">
        <v>2314</v>
      </c>
      <c r="B444" s="47">
        <v>13103.0</v>
      </c>
      <c r="C444" s="47">
        <v>2.0</v>
      </c>
      <c r="D444" s="47" t="s">
        <v>4044</v>
      </c>
      <c r="E444" s="47" t="str">
        <f t="shared" si="1"/>
        <v>2A</v>
      </c>
      <c r="F444" s="47" t="s">
        <v>4045</v>
      </c>
      <c r="G444" s="47" t="s">
        <v>498</v>
      </c>
      <c r="H444" s="48">
        <f>IF(NOT(ISBLANK(vlookup(B444,Pop_Census_2023!$A$2:$E$3220,4,FALSE))),vlookup(B444,Pop_Census_2023!$A$2:$E$3220,4,FALSE), vlookup(B444,Pop_Census_2023!$A$2:$E$3220,5,FALSE))</f>
        <v>71541</v>
      </c>
    </row>
    <row r="445">
      <c r="A445" s="47" t="s">
        <v>2314</v>
      </c>
      <c r="B445" s="47">
        <v>13105.0</v>
      </c>
      <c r="C445" s="47">
        <v>3.0</v>
      </c>
      <c r="D445" s="47" t="s">
        <v>4044</v>
      </c>
      <c r="E445" s="47" t="str">
        <f t="shared" si="1"/>
        <v>3A</v>
      </c>
      <c r="F445" s="47" t="s">
        <v>4046</v>
      </c>
      <c r="G445" s="47" t="s">
        <v>359</v>
      </c>
      <c r="H445" s="48">
        <f>IF(NOT(ISBLANK(vlookup(B445,Pop_Census_2023!$A$2:$E$3220,4,FALSE))),vlookup(B445,Pop_Census_2023!$A$2:$E$3220,4,FALSE), vlookup(B445,Pop_Census_2023!$A$2:$E$3220,5,FALSE))</f>
        <v>20013</v>
      </c>
    </row>
    <row r="446">
      <c r="A446" s="47" t="s">
        <v>2314</v>
      </c>
      <c r="B446" s="47">
        <v>13107.0</v>
      </c>
      <c r="C446" s="47">
        <v>3.0</v>
      </c>
      <c r="D446" s="47" t="s">
        <v>4044</v>
      </c>
      <c r="E446" s="47" t="str">
        <f t="shared" si="1"/>
        <v>3A</v>
      </c>
      <c r="F446" s="47" t="s">
        <v>4045</v>
      </c>
      <c r="G446" s="47" t="s">
        <v>499</v>
      </c>
      <c r="H446" s="48">
        <f>IF(NOT(ISBLANK(vlookup(B446,Pop_Census_2023!$A$2:$E$3220,4,FALSE))),vlookup(B446,Pop_Census_2023!$A$2:$E$3220,4,FALSE), vlookup(B446,Pop_Census_2023!$A$2:$E$3220,5,FALSE))</f>
        <v>23119</v>
      </c>
    </row>
    <row r="447">
      <c r="A447" s="47" t="s">
        <v>2314</v>
      </c>
      <c r="B447" s="47">
        <v>13109.0</v>
      </c>
      <c r="C447" s="47">
        <v>2.0</v>
      </c>
      <c r="D447" s="47" t="s">
        <v>4044</v>
      </c>
      <c r="E447" s="47" t="str">
        <f t="shared" si="1"/>
        <v>2A</v>
      </c>
      <c r="F447" s="47" t="s">
        <v>4045</v>
      </c>
      <c r="G447" s="47" t="s">
        <v>500</v>
      </c>
      <c r="H447" s="48">
        <f>IF(NOT(ISBLANK(vlookup(B447,Pop_Census_2023!$A$2:$E$3220,4,FALSE))),vlookup(B447,Pop_Census_2023!$A$2:$E$3220,4,FALSE), vlookup(B447,Pop_Census_2023!$A$2:$E$3220,5,FALSE))</f>
        <v>10754</v>
      </c>
    </row>
    <row r="448">
      <c r="A448" s="47" t="s">
        <v>2314</v>
      </c>
      <c r="B448" s="47">
        <v>13111.0</v>
      </c>
      <c r="C448" s="47">
        <v>4.0</v>
      </c>
      <c r="D448" s="47" t="s">
        <v>4044</v>
      </c>
      <c r="E448" s="47" t="str">
        <f t="shared" si="1"/>
        <v>4A</v>
      </c>
      <c r="F448" s="47" t="s">
        <v>4046</v>
      </c>
      <c r="G448" s="47" t="s">
        <v>501</v>
      </c>
      <c r="H448" s="48">
        <f>IF(NOT(ISBLANK(vlookup(B448,Pop_Census_2023!$A$2:$E$3220,4,FALSE))),vlookup(B448,Pop_Census_2023!$A$2:$E$3220,4,FALSE), vlookup(B448,Pop_Census_2023!$A$2:$E$3220,5,FALSE))</f>
        <v>25955</v>
      </c>
    </row>
    <row r="449">
      <c r="A449" s="47" t="s">
        <v>2314</v>
      </c>
      <c r="B449" s="47">
        <v>13113.0</v>
      </c>
      <c r="C449" s="47">
        <v>3.0</v>
      </c>
      <c r="D449" s="47" t="s">
        <v>4044</v>
      </c>
      <c r="E449" s="47" t="str">
        <f t="shared" si="1"/>
        <v>3A</v>
      </c>
      <c r="F449" s="47" t="s">
        <v>4046</v>
      </c>
      <c r="G449" s="47" t="s">
        <v>131</v>
      </c>
      <c r="H449" s="48">
        <f>IF(NOT(ISBLANK(vlookup(B449,Pop_Census_2023!$A$2:$E$3220,4,FALSE))),vlookup(B449,Pop_Census_2023!$A$2:$E$3220,4,FALSE), vlookup(B449,Pop_Census_2023!$A$2:$E$3220,5,FALSE))</f>
        <v>123351</v>
      </c>
    </row>
    <row r="450">
      <c r="A450" s="47" t="s">
        <v>2314</v>
      </c>
      <c r="B450" s="47">
        <v>13115.0</v>
      </c>
      <c r="C450" s="47">
        <v>4.0</v>
      </c>
      <c r="D450" s="47" t="s">
        <v>4044</v>
      </c>
      <c r="E450" s="47" t="str">
        <f t="shared" si="1"/>
        <v>4A</v>
      </c>
      <c r="F450" s="47" t="s">
        <v>4046</v>
      </c>
      <c r="G450" s="47" t="s">
        <v>502</v>
      </c>
      <c r="H450" s="48">
        <f>IF(NOT(ISBLANK(vlookup(B450,Pop_Census_2023!$A$2:$E$3220,4,FALSE))),vlookup(B450,Pop_Census_2023!$A$2:$E$3220,4,FALSE), vlookup(B450,Pop_Census_2023!$A$2:$E$3220,5,FALSE))</f>
        <v>100113</v>
      </c>
    </row>
    <row r="451">
      <c r="A451" s="47" t="s">
        <v>2314</v>
      </c>
      <c r="B451" s="47">
        <v>13117.0</v>
      </c>
      <c r="C451" s="47">
        <v>3.0</v>
      </c>
      <c r="D451" s="47" t="s">
        <v>4044</v>
      </c>
      <c r="E451" s="47" t="str">
        <f t="shared" si="1"/>
        <v>3A</v>
      </c>
      <c r="F451" s="47" t="s">
        <v>4046</v>
      </c>
      <c r="G451" s="47" t="s">
        <v>503</v>
      </c>
      <c r="H451" s="48">
        <f>IF(NOT(ISBLANK(vlookup(B451,Pop_Census_2023!$A$2:$E$3220,4,FALSE))),vlookup(B451,Pop_Census_2023!$A$2:$E$3220,4,FALSE), vlookup(B451,Pop_Census_2023!$A$2:$E$3220,5,FALSE))</f>
        <v>272887</v>
      </c>
    </row>
    <row r="452">
      <c r="A452" s="47" t="s">
        <v>2314</v>
      </c>
      <c r="B452" s="47">
        <v>13119.0</v>
      </c>
      <c r="C452" s="47">
        <v>4.0</v>
      </c>
      <c r="D452" s="47" t="s">
        <v>4044</v>
      </c>
      <c r="E452" s="47" t="str">
        <f t="shared" si="1"/>
        <v>4A</v>
      </c>
      <c r="F452" s="47" t="s">
        <v>4046</v>
      </c>
      <c r="G452" s="47" t="s">
        <v>132</v>
      </c>
      <c r="H452" s="48">
        <f>IF(NOT(ISBLANK(vlookup(B452,Pop_Census_2023!$A$2:$E$3220,4,FALSE))),vlookup(B452,Pop_Census_2023!$A$2:$E$3220,4,FALSE), vlookup(B452,Pop_Census_2023!$A$2:$E$3220,5,FALSE))</f>
        <v>24782</v>
      </c>
    </row>
    <row r="453">
      <c r="A453" s="47" t="s">
        <v>2314</v>
      </c>
      <c r="B453" s="47">
        <v>13121.0</v>
      </c>
      <c r="C453" s="47">
        <v>3.0</v>
      </c>
      <c r="D453" s="47" t="s">
        <v>4044</v>
      </c>
      <c r="E453" s="47" t="str">
        <f t="shared" si="1"/>
        <v>3A</v>
      </c>
      <c r="F453" s="47" t="s">
        <v>4046</v>
      </c>
      <c r="G453" s="47" t="s">
        <v>240</v>
      </c>
      <c r="H453" s="48">
        <f>IF(NOT(ISBLANK(vlookup(B453,Pop_Census_2023!$A$2:$E$3220,4,FALSE))),vlookup(B453,Pop_Census_2023!$A$2:$E$3220,4,FALSE), vlookup(B453,Pop_Census_2023!$A$2:$E$3220,5,FALSE))</f>
        <v>1079105</v>
      </c>
    </row>
    <row r="454">
      <c r="A454" s="47" t="s">
        <v>2314</v>
      </c>
      <c r="B454" s="47">
        <v>13123.0</v>
      </c>
      <c r="C454" s="47">
        <v>4.0</v>
      </c>
      <c r="D454" s="47" t="s">
        <v>4044</v>
      </c>
      <c r="E454" s="47" t="str">
        <f t="shared" si="1"/>
        <v>4A</v>
      </c>
      <c r="F454" s="47" t="s">
        <v>4046</v>
      </c>
      <c r="G454" s="47" t="s">
        <v>504</v>
      </c>
      <c r="H454" s="48">
        <f>IF(NOT(ISBLANK(vlookup(B454,Pop_Census_2023!$A$2:$E$3220,4,FALSE))),vlookup(B454,Pop_Census_2023!$A$2:$E$3220,4,FALSE), vlookup(B454,Pop_Census_2023!$A$2:$E$3220,5,FALSE))</f>
        <v>32860</v>
      </c>
    </row>
    <row r="455">
      <c r="A455" s="47" t="s">
        <v>2314</v>
      </c>
      <c r="B455" s="47">
        <v>13125.0</v>
      </c>
      <c r="C455" s="47">
        <v>3.0</v>
      </c>
      <c r="D455" s="47" t="s">
        <v>4044</v>
      </c>
      <c r="E455" s="47" t="str">
        <f t="shared" si="1"/>
        <v>3A</v>
      </c>
      <c r="F455" s="47" t="s">
        <v>4046</v>
      </c>
      <c r="G455" s="47" t="s">
        <v>505</v>
      </c>
      <c r="H455" s="48">
        <f>IF(NOT(ISBLANK(vlookup(B455,Pop_Census_2023!$A$2:$E$3220,4,FALSE))),vlookup(B455,Pop_Census_2023!$A$2:$E$3220,4,FALSE), vlookup(B455,Pop_Census_2023!$A$2:$E$3220,5,FALSE))</f>
        <v>2954</v>
      </c>
    </row>
    <row r="456">
      <c r="A456" s="47" t="s">
        <v>2314</v>
      </c>
      <c r="B456" s="47">
        <v>13127.0</v>
      </c>
      <c r="C456" s="47">
        <v>2.0</v>
      </c>
      <c r="D456" s="47" t="s">
        <v>4044</v>
      </c>
      <c r="E456" s="47" t="str">
        <f t="shared" si="1"/>
        <v>2A</v>
      </c>
      <c r="F456" s="47" t="s">
        <v>4045</v>
      </c>
      <c r="G456" s="47" t="s">
        <v>506</v>
      </c>
      <c r="H456" s="48">
        <f>IF(NOT(ISBLANK(vlookup(B456,Pop_Census_2023!$A$2:$E$3220,4,FALSE))),vlookup(B456,Pop_Census_2023!$A$2:$E$3220,4,FALSE), vlookup(B456,Pop_Census_2023!$A$2:$E$3220,5,FALSE))</f>
        <v>86172</v>
      </c>
    </row>
    <row r="457">
      <c r="A457" s="47" t="s">
        <v>2314</v>
      </c>
      <c r="B457" s="47">
        <v>13129.0</v>
      </c>
      <c r="C457" s="47">
        <v>4.0</v>
      </c>
      <c r="D457" s="47" t="s">
        <v>4044</v>
      </c>
      <c r="E457" s="47" t="str">
        <f t="shared" si="1"/>
        <v>4A</v>
      </c>
      <c r="F457" s="47" t="s">
        <v>4046</v>
      </c>
      <c r="G457" s="47" t="s">
        <v>507</v>
      </c>
      <c r="H457" s="48">
        <f>IF(NOT(ISBLANK(vlookup(B457,Pop_Census_2023!$A$2:$E$3220,4,FALSE))),vlookup(B457,Pop_Census_2023!$A$2:$E$3220,4,FALSE), vlookup(B457,Pop_Census_2023!$A$2:$E$3220,5,FALSE))</f>
        <v>59757</v>
      </c>
    </row>
    <row r="458">
      <c r="A458" s="47" t="s">
        <v>2314</v>
      </c>
      <c r="B458" s="47">
        <v>13131.0</v>
      </c>
      <c r="C458" s="47">
        <v>2.0</v>
      </c>
      <c r="D458" s="47" t="s">
        <v>4044</v>
      </c>
      <c r="E458" s="47" t="str">
        <f t="shared" si="1"/>
        <v>2A</v>
      </c>
      <c r="F458" s="47" t="s">
        <v>4045</v>
      </c>
      <c r="G458" s="47" t="s">
        <v>508</v>
      </c>
      <c r="H458" s="48">
        <f>IF(NOT(ISBLANK(vlookup(B458,Pop_Census_2023!$A$2:$E$3220,4,FALSE))),vlookup(B458,Pop_Census_2023!$A$2:$E$3220,4,FALSE), vlookup(B458,Pop_Census_2023!$A$2:$E$3220,5,FALSE))</f>
        <v>26066</v>
      </c>
    </row>
    <row r="459">
      <c r="A459" s="47" t="s">
        <v>2314</v>
      </c>
      <c r="B459" s="47">
        <v>13133.0</v>
      </c>
      <c r="C459" s="47">
        <v>3.0</v>
      </c>
      <c r="D459" s="47" t="s">
        <v>4044</v>
      </c>
      <c r="E459" s="47" t="str">
        <f t="shared" si="1"/>
        <v>3A</v>
      </c>
      <c r="F459" s="47" t="s">
        <v>4046</v>
      </c>
      <c r="G459" s="47" t="s">
        <v>134</v>
      </c>
      <c r="H459" s="48">
        <f>IF(NOT(ISBLANK(vlookup(B459,Pop_Census_2023!$A$2:$E$3220,4,FALSE))),vlookup(B459,Pop_Census_2023!$A$2:$E$3220,4,FALSE), vlookup(B459,Pop_Census_2023!$A$2:$E$3220,5,FALSE))</f>
        <v>20722</v>
      </c>
    </row>
    <row r="460">
      <c r="A460" s="47" t="s">
        <v>2314</v>
      </c>
      <c r="B460" s="47">
        <v>13135.0</v>
      </c>
      <c r="C460" s="47">
        <v>3.0</v>
      </c>
      <c r="D460" s="47" t="s">
        <v>4044</v>
      </c>
      <c r="E460" s="47" t="str">
        <f t="shared" si="1"/>
        <v>3A</v>
      </c>
      <c r="F460" s="47" t="s">
        <v>4046</v>
      </c>
      <c r="G460" s="47" t="s">
        <v>509</v>
      </c>
      <c r="H460" s="48">
        <f>IF(NOT(ISBLANK(vlookup(B460,Pop_Census_2023!$A$2:$E$3220,4,FALSE))),vlookup(B460,Pop_Census_2023!$A$2:$E$3220,4,FALSE), vlookup(B460,Pop_Census_2023!$A$2:$E$3220,5,FALSE))</f>
        <v>983526</v>
      </c>
    </row>
    <row r="461">
      <c r="A461" s="47" t="s">
        <v>2314</v>
      </c>
      <c r="B461" s="47">
        <v>13137.0</v>
      </c>
      <c r="C461" s="47">
        <v>4.0</v>
      </c>
      <c r="D461" s="47" t="s">
        <v>4044</v>
      </c>
      <c r="E461" s="47" t="str">
        <f t="shared" si="1"/>
        <v>4A</v>
      </c>
      <c r="F461" s="47" t="s">
        <v>4046</v>
      </c>
      <c r="G461" s="47" t="s">
        <v>510</v>
      </c>
      <c r="H461" s="48">
        <f>IF(NOT(ISBLANK(vlookup(B461,Pop_Census_2023!$A$2:$E$3220,4,FALSE))),vlookup(B461,Pop_Census_2023!$A$2:$E$3220,4,FALSE), vlookup(B461,Pop_Census_2023!$A$2:$E$3220,5,FALSE))</f>
        <v>48757</v>
      </c>
    </row>
    <row r="462">
      <c r="A462" s="47" t="s">
        <v>2314</v>
      </c>
      <c r="B462" s="47">
        <v>13139.0</v>
      </c>
      <c r="C462" s="47">
        <v>4.0</v>
      </c>
      <c r="D462" s="47" t="s">
        <v>4044</v>
      </c>
      <c r="E462" s="47" t="str">
        <f t="shared" si="1"/>
        <v>4A</v>
      </c>
      <c r="F462" s="47" t="s">
        <v>4046</v>
      </c>
      <c r="G462" s="47" t="s">
        <v>511</v>
      </c>
      <c r="H462" s="48">
        <f>IF(NOT(ISBLANK(vlookup(B462,Pop_Census_2023!$A$2:$E$3220,4,FALSE))),vlookup(B462,Pop_Census_2023!$A$2:$E$3220,4,FALSE), vlookup(B462,Pop_Census_2023!$A$2:$E$3220,5,FALSE))</f>
        <v>217267</v>
      </c>
    </row>
    <row r="463">
      <c r="A463" s="47" t="s">
        <v>2314</v>
      </c>
      <c r="B463" s="47">
        <v>13141.0</v>
      </c>
      <c r="C463" s="47">
        <v>3.0</v>
      </c>
      <c r="D463" s="47" t="s">
        <v>4044</v>
      </c>
      <c r="E463" s="47" t="str">
        <f t="shared" si="1"/>
        <v>3A</v>
      </c>
      <c r="F463" s="47" t="s">
        <v>4046</v>
      </c>
      <c r="G463" s="47" t="s">
        <v>512</v>
      </c>
      <c r="H463" s="48">
        <f>IF(NOT(ISBLANK(vlookup(B463,Pop_Census_2023!$A$2:$E$3220,4,FALSE))),vlookup(B463,Pop_Census_2023!$A$2:$E$3220,4,FALSE), vlookup(B463,Pop_Census_2023!$A$2:$E$3220,5,FALSE))</f>
        <v>8676</v>
      </c>
    </row>
    <row r="464">
      <c r="A464" s="47" t="s">
        <v>2314</v>
      </c>
      <c r="B464" s="47">
        <v>13143.0</v>
      </c>
      <c r="C464" s="47">
        <v>3.0</v>
      </c>
      <c r="D464" s="47" t="s">
        <v>4044</v>
      </c>
      <c r="E464" s="47" t="str">
        <f t="shared" si="1"/>
        <v>3A</v>
      </c>
      <c r="F464" s="47" t="s">
        <v>4046</v>
      </c>
      <c r="G464" s="47" t="s">
        <v>513</v>
      </c>
      <c r="H464" s="48">
        <f>IF(NOT(ISBLANK(vlookup(B464,Pop_Census_2023!$A$2:$E$3220,4,FALSE))),vlookup(B464,Pop_Census_2023!$A$2:$E$3220,4,FALSE), vlookup(B464,Pop_Census_2023!$A$2:$E$3220,5,FALSE))</f>
        <v>32038</v>
      </c>
    </row>
    <row r="465">
      <c r="A465" s="47" t="s">
        <v>2314</v>
      </c>
      <c r="B465" s="47">
        <v>13145.0</v>
      </c>
      <c r="C465" s="47">
        <v>3.0</v>
      </c>
      <c r="D465" s="47" t="s">
        <v>4044</v>
      </c>
      <c r="E465" s="47" t="str">
        <f t="shared" si="1"/>
        <v>3A</v>
      </c>
      <c r="F465" s="47" t="s">
        <v>4046</v>
      </c>
      <c r="G465" s="47" t="s">
        <v>514</v>
      </c>
      <c r="H465" s="48">
        <f>IF(NOT(ISBLANK(vlookup(B465,Pop_Census_2023!$A$2:$E$3220,4,FALSE))),vlookup(B465,Pop_Census_2023!$A$2:$E$3220,4,FALSE), vlookup(B465,Pop_Census_2023!$A$2:$E$3220,5,FALSE))</f>
        <v>36654</v>
      </c>
    </row>
    <row r="466">
      <c r="A466" s="47" t="s">
        <v>2314</v>
      </c>
      <c r="B466" s="47">
        <v>13147.0</v>
      </c>
      <c r="C466" s="47">
        <v>3.0</v>
      </c>
      <c r="D466" s="47" t="s">
        <v>4044</v>
      </c>
      <c r="E466" s="47" t="str">
        <f t="shared" si="1"/>
        <v>3A</v>
      </c>
      <c r="F466" s="47" t="s">
        <v>4046</v>
      </c>
      <c r="G466" s="47" t="s">
        <v>515</v>
      </c>
      <c r="H466" s="48">
        <f>IF(NOT(ISBLANK(vlookup(B466,Pop_Census_2023!$A$2:$E$3220,4,FALSE))),vlookup(B466,Pop_Census_2023!$A$2:$E$3220,4,FALSE), vlookup(B466,Pop_Census_2023!$A$2:$E$3220,5,FALSE))</f>
        <v>27556</v>
      </c>
    </row>
    <row r="467">
      <c r="A467" s="47" t="s">
        <v>2314</v>
      </c>
      <c r="B467" s="47">
        <v>13149.0</v>
      </c>
      <c r="C467" s="47">
        <v>3.0</v>
      </c>
      <c r="D467" s="47" t="s">
        <v>4044</v>
      </c>
      <c r="E467" s="47" t="str">
        <f t="shared" si="1"/>
        <v>3A</v>
      </c>
      <c r="F467" s="47" t="s">
        <v>4046</v>
      </c>
      <c r="G467" s="47" t="s">
        <v>516</v>
      </c>
      <c r="H467" s="48">
        <f>IF(NOT(ISBLANK(vlookup(B467,Pop_Census_2023!$A$2:$E$3220,4,FALSE))),vlookup(B467,Pop_Census_2023!$A$2:$E$3220,4,FALSE), vlookup(B467,Pop_Census_2023!$A$2:$E$3220,5,FALSE))</f>
        <v>12034</v>
      </c>
    </row>
    <row r="468">
      <c r="A468" s="47" t="s">
        <v>2314</v>
      </c>
      <c r="B468" s="47">
        <v>13151.0</v>
      </c>
      <c r="C468" s="47">
        <v>3.0</v>
      </c>
      <c r="D468" s="47" t="s">
        <v>4044</v>
      </c>
      <c r="E468" s="47" t="str">
        <f t="shared" si="1"/>
        <v>3A</v>
      </c>
      <c r="F468" s="47" t="s">
        <v>4046</v>
      </c>
      <c r="G468" s="47" t="s">
        <v>136</v>
      </c>
      <c r="H468" s="48">
        <f>IF(NOT(ISBLANK(vlookup(B468,Pop_Census_2023!$A$2:$E$3220,4,FALSE))),vlookup(B468,Pop_Census_2023!$A$2:$E$3220,4,FALSE), vlookup(B468,Pop_Census_2023!$A$2:$E$3220,5,FALSE))</f>
        <v>254613</v>
      </c>
    </row>
    <row r="469">
      <c r="A469" s="47" t="s">
        <v>2314</v>
      </c>
      <c r="B469" s="47">
        <v>13153.0</v>
      </c>
      <c r="C469" s="47">
        <v>3.0</v>
      </c>
      <c r="D469" s="47" t="s">
        <v>4044</v>
      </c>
      <c r="E469" s="47" t="str">
        <f t="shared" si="1"/>
        <v>3A</v>
      </c>
      <c r="F469" s="47" t="s">
        <v>4045</v>
      </c>
      <c r="G469" s="47" t="s">
        <v>137</v>
      </c>
      <c r="H469" s="48">
        <f>IF(NOT(ISBLANK(vlookup(B469,Pop_Census_2023!$A$2:$E$3220,4,FALSE))),vlookup(B469,Pop_Census_2023!$A$2:$E$3220,4,FALSE), vlookup(B469,Pop_Census_2023!$A$2:$E$3220,5,FALSE))</f>
        <v>171974</v>
      </c>
    </row>
    <row r="470">
      <c r="A470" s="47" t="s">
        <v>2314</v>
      </c>
      <c r="B470" s="47">
        <v>13155.0</v>
      </c>
      <c r="C470" s="47">
        <v>3.0</v>
      </c>
      <c r="D470" s="47" t="s">
        <v>4044</v>
      </c>
      <c r="E470" s="47" t="str">
        <f t="shared" si="1"/>
        <v>3A</v>
      </c>
      <c r="F470" s="47" t="s">
        <v>4045</v>
      </c>
      <c r="G470" s="47" t="s">
        <v>517</v>
      </c>
      <c r="H470" s="48">
        <f>IF(NOT(ISBLANK(vlookup(B470,Pop_Census_2023!$A$2:$E$3220,4,FALSE))),vlookup(B470,Pop_Census_2023!$A$2:$E$3220,4,FALSE), vlookup(B470,Pop_Census_2023!$A$2:$E$3220,5,FALSE))</f>
        <v>9120</v>
      </c>
    </row>
    <row r="471">
      <c r="A471" s="47" t="s">
        <v>2314</v>
      </c>
      <c r="B471" s="47">
        <v>13157.0</v>
      </c>
      <c r="C471" s="47">
        <v>3.0</v>
      </c>
      <c r="D471" s="47" t="s">
        <v>4044</v>
      </c>
      <c r="E471" s="47" t="str">
        <f t="shared" si="1"/>
        <v>3A</v>
      </c>
      <c r="F471" s="47" t="s">
        <v>4046</v>
      </c>
      <c r="G471" s="47" t="s">
        <v>138</v>
      </c>
      <c r="H471" s="48">
        <f>IF(NOT(ISBLANK(vlookup(B471,Pop_Census_2023!$A$2:$E$3220,4,FALSE))),vlookup(B471,Pop_Census_2023!$A$2:$E$3220,4,FALSE), vlookup(B471,Pop_Census_2023!$A$2:$E$3220,5,FALSE))</f>
        <v>88615</v>
      </c>
    </row>
    <row r="472">
      <c r="A472" s="47" t="s">
        <v>2314</v>
      </c>
      <c r="B472" s="47">
        <v>13159.0</v>
      </c>
      <c r="C472" s="47">
        <v>3.0</v>
      </c>
      <c r="D472" s="47" t="s">
        <v>4044</v>
      </c>
      <c r="E472" s="47" t="str">
        <f t="shared" si="1"/>
        <v>3A</v>
      </c>
      <c r="F472" s="47" t="s">
        <v>4046</v>
      </c>
      <c r="G472" s="47" t="s">
        <v>518</v>
      </c>
      <c r="H472" s="48">
        <f>IF(NOT(ISBLANK(vlookup(B472,Pop_Census_2023!$A$2:$E$3220,4,FALSE))),vlookup(B472,Pop_Census_2023!$A$2:$E$3220,4,FALSE), vlookup(B472,Pop_Census_2023!$A$2:$E$3220,5,FALSE))</f>
        <v>16455</v>
      </c>
    </row>
    <row r="473">
      <c r="A473" s="47" t="s">
        <v>2314</v>
      </c>
      <c r="B473" s="47">
        <v>13161.0</v>
      </c>
      <c r="C473" s="47">
        <v>2.0</v>
      </c>
      <c r="D473" s="47" t="s">
        <v>4044</v>
      </c>
      <c r="E473" s="47" t="str">
        <f t="shared" si="1"/>
        <v>2A</v>
      </c>
      <c r="F473" s="47" t="s">
        <v>4045</v>
      </c>
      <c r="G473" s="47" t="s">
        <v>519</v>
      </c>
      <c r="H473" s="48">
        <f>IF(NOT(ISBLANK(vlookup(B473,Pop_Census_2023!$A$2:$E$3220,4,FALSE))),vlookup(B473,Pop_Census_2023!$A$2:$E$3220,4,FALSE), vlookup(B473,Pop_Census_2023!$A$2:$E$3220,5,FALSE))</f>
        <v>14906</v>
      </c>
    </row>
    <row r="474">
      <c r="A474" s="47" t="s">
        <v>2314</v>
      </c>
      <c r="B474" s="47">
        <v>13163.0</v>
      </c>
      <c r="C474" s="47">
        <v>3.0</v>
      </c>
      <c r="D474" s="47" t="s">
        <v>4044</v>
      </c>
      <c r="E474" s="47" t="str">
        <f t="shared" si="1"/>
        <v>3A</v>
      </c>
      <c r="F474" s="47" t="s">
        <v>4046</v>
      </c>
      <c r="G474" s="47" t="s">
        <v>139</v>
      </c>
      <c r="H474" s="48">
        <f>IF(NOT(ISBLANK(vlookup(B474,Pop_Census_2023!$A$2:$E$3220,4,FALSE))),vlookup(B474,Pop_Census_2023!$A$2:$E$3220,4,FALSE), vlookup(B474,Pop_Census_2023!$A$2:$E$3220,5,FALSE))</f>
        <v>15183</v>
      </c>
    </row>
    <row r="475">
      <c r="A475" s="47" t="s">
        <v>2314</v>
      </c>
      <c r="B475" s="47">
        <v>13165.0</v>
      </c>
      <c r="C475" s="47">
        <v>3.0</v>
      </c>
      <c r="D475" s="47" t="s">
        <v>4044</v>
      </c>
      <c r="E475" s="47" t="str">
        <f t="shared" si="1"/>
        <v>3A</v>
      </c>
      <c r="F475" s="47" t="s">
        <v>4045</v>
      </c>
      <c r="G475" s="47" t="s">
        <v>520</v>
      </c>
      <c r="H475" s="48">
        <f>IF(NOT(ISBLANK(vlookup(B475,Pop_Census_2023!$A$2:$E$3220,4,FALSE))),vlookup(B475,Pop_Census_2023!$A$2:$E$3220,4,FALSE), vlookup(B475,Pop_Census_2023!$A$2:$E$3220,5,FALSE))</f>
        <v>8627</v>
      </c>
    </row>
    <row r="476">
      <c r="A476" s="47" t="s">
        <v>2314</v>
      </c>
      <c r="B476" s="47">
        <v>13167.0</v>
      </c>
      <c r="C476" s="47">
        <v>3.0</v>
      </c>
      <c r="D476" s="47" t="s">
        <v>4044</v>
      </c>
      <c r="E476" s="47" t="str">
        <f t="shared" si="1"/>
        <v>3A</v>
      </c>
      <c r="F476" s="47" t="s">
        <v>4045</v>
      </c>
      <c r="G476" s="47" t="s">
        <v>248</v>
      </c>
      <c r="H476" s="48">
        <f>IF(NOT(ISBLANK(vlookup(B476,Pop_Census_2023!$A$2:$E$3220,4,FALSE))),vlookup(B476,Pop_Census_2023!$A$2:$E$3220,4,FALSE), vlookup(B476,Pop_Census_2023!$A$2:$E$3220,5,FALSE))</f>
        <v>9282</v>
      </c>
    </row>
    <row r="477">
      <c r="A477" s="47" t="s">
        <v>2314</v>
      </c>
      <c r="B477" s="47">
        <v>13169.0</v>
      </c>
      <c r="C477" s="47">
        <v>3.0</v>
      </c>
      <c r="D477" s="47" t="s">
        <v>4044</v>
      </c>
      <c r="E477" s="47" t="str">
        <f t="shared" si="1"/>
        <v>3A</v>
      </c>
      <c r="F477" s="47" t="s">
        <v>4046</v>
      </c>
      <c r="G477" s="47" t="s">
        <v>521</v>
      </c>
      <c r="H477" s="48">
        <f>IF(NOT(ISBLANK(vlookup(B477,Pop_Census_2023!$A$2:$E$3220,4,FALSE))),vlookup(B477,Pop_Census_2023!$A$2:$E$3220,4,FALSE), vlookup(B477,Pop_Census_2023!$A$2:$E$3220,5,FALSE))</f>
        <v>28969</v>
      </c>
    </row>
    <row r="478">
      <c r="A478" s="47" t="s">
        <v>2314</v>
      </c>
      <c r="B478" s="47">
        <v>13171.0</v>
      </c>
      <c r="C478" s="47">
        <v>3.0</v>
      </c>
      <c r="D478" s="47" t="s">
        <v>4044</v>
      </c>
      <c r="E478" s="47" t="str">
        <f t="shared" si="1"/>
        <v>3A</v>
      </c>
      <c r="F478" s="47" t="s">
        <v>4046</v>
      </c>
      <c r="G478" s="47" t="s">
        <v>140</v>
      </c>
      <c r="H478" s="48">
        <f>IF(NOT(ISBLANK(vlookup(B478,Pop_Census_2023!$A$2:$E$3220,4,FALSE))),vlookup(B478,Pop_Census_2023!$A$2:$E$3220,4,FALSE), vlookup(B478,Pop_Census_2023!$A$2:$E$3220,5,FALSE))</f>
        <v>20401</v>
      </c>
    </row>
    <row r="479">
      <c r="A479" s="47" t="s">
        <v>2314</v>
      </c>
      <c r="B479" s="47">
        <v>13173.0</v>
      </c>
      <c r="C479" s="47">
        <v>2.0</v>
      </c>
      <c r="D479" s="47" t="s">
        <v>4044</v>
      </c>
      <c r="E479" s="47" t="str">
        <f t="shared" si="1"/>
        <v>2A</v>
      </c>
      <c r="F479" s="47" t="s">
        <v>4045</v>
      </c>
      <c r="G479" s="47" t="s">
        <v>522</v>
      </c>
      <c r="H479" s="48">
        <f>IF(NOT(ISBLANK(vlookup(B479,Pop_Census_2023!$A$2:$E$3220,4,FALSE))),vlookup(B479,Pop_Census_2023!$A$2:$E$3220,4,FALSE), vlookup(B479,Pop_Census_2023!$A$2:$E$3220,5,FALSE))</f>
        <v>10452</v>
      </c>
    </row>
    <row r="480">
      <c r="A480" s="47" t="s">
        <v>2314</v>
      </c>
      <c r="B480" s="47">
        <v>13175.0</v>
      </c>
      <c r="C480" s="47">
        <v>3.0</v>
      </c>
      <c r="D480" s="47" t="s">
        <v>4044</v>
      </c>
      <c r="E480" s="47" t="str">
        <f t="shared" si="1"/>
        <v>3A</v>
      </c>
      <c r="F480" s="47" t="s">
        <v>4045</v>
      </c>
      <c r="G480" s="47" t="s">
        <v>523</v>
      </c>
      <c r="H480" s="48">
        <f>IF(NOT(ISBLANK(vlookup(B480,Pop_Census_2023!$A$2:$E$3220,4,FALSE))),vlookup(B480,Pop_Census_2023!$A$2:$E$3220,4,FALSE), vlookup(B480,Pop_Census_2023!$A$2:$E$3220,5,FALSE))</f>
        <v>49941</v>
      </c>
    </row>
    <row r="481">
      <c r="A481" s="47" t="s">
        <v>2314</v>
      </c>
      <c r="B481" s="47">
        <v>13177.0</v>
      </c>
      <c r="C481" s="47">
        <v>3.0</v>
      </c>
      <c r="D481" s="47" t="s">
        <v>4044</v>
      </c>
      <c r="E481" s="47" t="str">
        <f t="shared" si="1"/>
        <v>3A</v>
      </c>
      <c r="F481" s="47" t="s">
        <v>4045</v>
      </c>
      <c r="G481" s="47" t="s">
        <v>143</v>
      </c>
      <c r="H481" s="48">
        <f>IF(NOT(ISBLANK(vlookup(B481,Pop_Census_2023!$A$2:$E$3220,4,FALSE))),vlookup(B481,Pop_Census_2023!$A$2:$E$3220,4,FALSE), vlookup(B481,Pop_Census_2023!$A$2:$E$3220,5,FALSE))</f>
        <v>33872</v>
      </c>
    </row>
    <row r="482">
      <c r="A482" s="47" t="s">
        <v>2314</v>
      </c>
      <c r="B482" s="47">
        <v>13179.0</v>
      </c>
      <c r="C482" s="47">
        <v>2.0</v>
      </c>
      <c r="D482" s="47" t="s">
        <v>4044</v>
      </c>
      <c r="E482" s="47" t="str">
        <f t="shared" si="1"/>
        <v>2A</v>
      </c>
      <c r="F482" s="47" t="s">
        <v>4045</v>
      </c>
      <c r="G482" s="47" t="s">
        <v>438</v>
      </c>
      <c r="H482" s="48">
        <f>IF(NOT(ISBLANK(vlookup(B482,Pop_Census_2023!$A$2:$E$3220,4,FALSE))),vlookup(B482,Pop_Census_2023!$A$2:$E$3220,4,FALSE), vlookup(B482,Pop_Census_2023!$A$2:$E$3220,5,FALSE))</f>
        <v>69210</v>
      </c>
    </row>
    <row r="483">
      <c r="A483" s="47" t="s">
        <v>2314</v>
      </c>
      <c r="B483" s="47">
        <v>13181.0</v>
      </c>
      <c r="C483" s="47">
        <v>3.0</v>
      </c>
      <c r="D483" s="47" t="s">
        <v>4044</v>
      </c>
      <c r="E483" s="47" t="str">
        <f t="shared" si="1"/>
        <v>3A</v>
      </c>
      <c r="F483" s="47" t="s">
        <v>4046</v>
      </c>
      <c r="G483" s="47" t="s">
        <v>250</v>
      </c>
      <c r="H483" s="48">
        <f>IF(NOT(ISBLANK(vlookup(B483,Pop_Census_2023!$A$2:$E$3220,4,FALSE))),vlookup(B483,Pop_Census_2023!$A$2:$E$3220,4,FALSE), vlookup(B483,Pop_Census_2023!$A$2:$E$3220,5,FALSE))</f>
        <v>7879</v>
      </c>
    </row>
    <row r="484">
      <c r="A484" s="47" t="s">
        <v>2314</v>
      </c>
      <c r="B484" s="47">
        <v>13183.0</v>
      </c>
      <c r="C484" s="47">
        <v>2.0</v>
      </c>
      <c r="D484" s="47" t="s">
        <v>4044</v>
      </c>
      <c r="E484" s="47" t="str">
        <f t="shared" si="1"/>
        <v>2A</v>
      </c>
      <c r="F484" s="47" t="s">
        <v>4045</v>
      </c>
      <c r="G484" s="47" t="s">
        <v>524</v>
      </c>
      <c r="H484" s="48">
        <f>IF(NOT(ISBLANK(vlookup(B484,Pop_Census_2023!$A$2:$E$3220,4,FALSE))),vlookup(B484,Pop_Census_2023!$A$2:$E$3220,4,FALSE), vlookup(B484,Pop_Census_2023!$A$2:$E$3220,5,FALSE))</f>
        <v>19594</v>
      </c>
    </row>
    <row r="485">
      <c r="A485" s="47" t="s">
        <v>2314</v>
      </c>
      <c r="B485" s="47">
        <v>13185.0</v>
      </c>
      <c r="C485" s="47">
        <v>2.0</v>
      </c>
      <c r="D485" s="47" t="s">
        <v>4044</v>
      </c>
      <c r="E485" s="47" t="str">
        <f t="shared" si="1"/>
        <v>2A</v>
      </c>
      <c r="F485" s="47" t="s">
        <v>4045</v>
      </c>
      <c r="G485" s="47" t="s">
        <v>145</v>
      </c>
      <c r="H485" s="48">
        <f>IF(NOT(ISBLANK(vlookup(B485,Pop_Census_2023!$A$2:$E$3220,4,FALSE))),vlookup(B485,Pop_Census_2023!$A$2:$E$3220,4,FALSE), vlookup(B485,Pop_Census_2023!$A$2:$E$3220,5,FALSE))</f>
        <v>120712</v>
      </c>
    </row>
    <row r="486">
      <c r="A486" s="47" t="s">
        <v>2314</v>
      </c>
      <c r="B486" s="47">
        <v>13187.0</v>
      </c>
      <c r="C486" s="47">
        <v>4.0</v>
      </c>
      <c r="D486" s="47" t="s">
        <v>4044</v>
      </c>
      <c r="E486" s="47" t="str">
        <f t="shared" si="1"/>
        <v>4A</v>
      </c>
      <c r="F486" s="47" t="s">
        <v>4046</v>
      </c>
      <c r="G486" s="47" t="s">
        <v>525</v>
      </c>
      <c r="H486" s="48">
        <f>IF(NOT(ISBLANK(vlookup(B486,Pop_Census_2023!$A$2:$E$3220,4,FALSE))),vlookup(B486,Pop_Census_2023!$A$2:$E$3220,4,FALSE), vlookup(B486,Pop_Census_2023!$A$2:$E$3220,5,FALSE))</f>
        <v>35258</v>
      </c>
    </row>
    <row r="487">
      <c r="A487" s="47" t="s">
        <v>2314</v>
      </c>
      <c r="B487" s="47">
        <v>13193.0</v>
      </c>
      <c r="C487" s="47">
        <v>3.0</v>
      </c>
      <c r="D487" s="47" t="s">
        <v>4044</v>
      </c>
      <c r="E487" s="47" t="str">
        <f t="shared" si="1"/>
        <v>3A</v>
      </c>
      <c r="F487" s="47" t="s">
        <v>4045</v>
      </c>
      <c r="G487" s="47" t="s">
        <v>146</v>
      </c>
      <c r="H487" s="48">
        <f>IF(NOT(ISBLANK(vlookup(B487,Pop_Census_2023!$A$2:$E$3220,4,FALSE))),vlookup(B487,Pop_Census_2023!$A$2:$E$3220,4,FALSE), vlookup(B487,Pop_Census_2023!$A$2:$E$3220,5,FALSE))</f>
        <v>11817</v>
      </c>
    </row>
    <row r="488">
      <c r="A488" s="47" t="s">
        <v>2314</v>
      </c>
      <c r="B488" s="47">
        <v>13195.0</v>
      </c>
      <c r="C488" s="47">
        <v>3.0</v>
      </c>
      <c r="D488" s="47" t="s">
        <v>4044</v>
      </c>
      <c r="E488" s="47" t="str">
        <f t="shared" si="1"/>
        <v>3A</v>
      </c>
      <c r="F488" s="47" t="s">
        <v>4046</v>
      </c>
      <c r="G488" s="47" t="s">
        <v>147</v>
      </c>
      <c r="H488" s="48">
        <f>IF(NOT(ISBLANK(vlookup(B488,Pop_Census_2023!$A$2:$E$3220,4,FALSE))),vlookup(B488,Pop_Census_2023!$A$2:$E$3220,4,FALSE), vlookup(B488,Pop_Census_2023!$A$2:$E$3220,5,FALSE))</f>
        <v>32191</v>
      </c>
    </row>
    <row r="489">
      <c r="A489" s="47" t="s">
        <v>2314</v>
      </c>
      <c r="B489" s="47">
        <v>13197.0</v>
      </c>
      <c r="C489" s="47">
        <v>3.0</v>
      </c>
      <c r="D489" s="47" t="s">
        <v>4044</v>
      </c>
      <c r="E489" s="47" t="str">
        <f t="shared" si="1"/>
        <v>3A</v>
      </c>
      <c r="F489" s="47" t="s">
        <v>4045</v>
      </c>
      <c r="G489" s="47" t="s">
        <v>149</v>
      </c>
      <c r="H489" s="48">
        <f>IF(NOT(ISBLANK(vlookup(B489,Pop_Census_2023!$A$2:$E$3220,4,FALSE))),vlookup(B489,Pop_Census_2023!$A$2:$E$3220,4,FALSE), vlookup(B489,Pop_Census_2023!$A$2:$E$3220,5,FALSE))</f>
        <v>7440</v>
      </c>
    </row>
    <row r="490">
      <c r="A490" s="47" t="s">
        <v>2314</v>
      </c>
      <c r="B490" s="47">
        <v>13189.0</v>
      </c>
      <c r="C490" s="47">
        <v>3.0</v>
      </c>
      <c r="D490" s="47" t="s">
        <v>4044</v>
      </c>
      <c r="E490" s="47" t="str">
        <f t="shared" si="1"/>
        <v>3A</v>
      </c>
      <c r="F490" s="47" t="s">
        <v>4046</v>
      </c>
      <c r="G490" s="47" t="s">
        <v>526</v>
      </c>
      <c r="H490" s="48">
        <f>IF(NOT(ISBLANK(vlookup(B490,Pop_Census_2023!$A$2:$E$3220,4,FALSE))),vlookup(B490,Pop_Census_2023!$A$2:$E$3220,4,FALSE), vlookup(B490,Pop_Census_2023!$A$2:$E$3220,5,FALSE))</f>
        <v>21799</v>
      </c>
    </row>
    <row r="491">
      <c r="A491" s="47" t="s">
        <v>2314</v>
      </c>
      <c r="B491" s="47">
        <v>13191.0</v>
      </c>
      <c r="C491" s="47">
        <v>2.0</v>
      </c>
      <c r="D491" s="47" t="s">
        <v>4044</v>
      </c>
      <c r="E491" s="47" t="str">
        <f t="shared" si="1"/>
        <v>2A</v>
      </c>
      <c r="F491" s="47" t="s">
        <v>4045</v>
      </c>
      <c r="G491" s="47" t="s">
        <v>527</v>
      </c>
      <c r="H491" s="48">
        <f>IF(NOT(ISBLANK(vlookup(B491,Pop_Census_2023!$A$2:$E$3220,4,FALSE))),vlookup(B491,Pop_Census_2023!$A$2:$E$3220,4,FALSE), vlookup(B491,Pop_Census_2023!$A$2:$E$3220,5,FALSE))</f>
        <v>11501</v>
      </c>
    </row>
    <row r="492">
      <c r="A492" s="47" t="s">
        <v>2314</v>
      </c>
      <c r="B492" s="47">
        <v>13199.0</v>
      </c>
      <c r="C492" s="47">
        <v>3.0</v>
      </c>
      <c r="D492" s="47" t="s">
        <v>4044</v>
      </c>
      <c r="E492" s="47" t="str">
        <f t="shared" si="1"/>
        <v>3A</v>
      </c>
      <c r="F492" s="47" t="s">
        <v>4046</v>
      </c>
      <c r="G492" s="47" t="s">
        <v>528</v>
      </c>
      <c r="H492" s="48">
        <f>IF(NOT(ISBLANK(vlookup(B492,Pop_Census_2023!$A$2:$E$3220,4,FALSE))),vlookup(B492,Pop_Census_2023!$A$2:$E$3220,4,FALSE), vlookup(B492,Pop_Census_2023!$A$2:$E$3220,5,FALSE))</f>
        <v>20931</v>
      </c>
    </row>
    <row r="493">
      <c r="A493" s="47" t="s">
        <v>2314</v>
      </c>
      <c r="B493" s="47">
        <v>13201.0</v>
      </c>
      <c r="C493" s="47">
        <v>2.0</v>
      </c>
      <c r="D493" s="47" t="s">
        <v>4044</v>
      </c>
      <c r="E493" s="47" t="str">
        <f t="shared" si="1"/>
        <v>2A</v>
      </c>
      <c r="F493" s="47" t="s">
        <v>4045</v>
      </c>
      <c r="G493" s="47" t="s">
        <v>254</v>
      </c>
      <c r="H493" s="48">
        <f>IF(NOT(ISBLANK(vlookup(B493,Pop_Census_2023!$A$2:$E$3220,4,FALSE))),vlookup(B493,Pop_Census_2023!$A$2:$E$3220,4,FALSE), vlookup(B493,Pop_Census_2023!$A$2:$E$3220,5,FALSE))</f>
        <v>5747</v>
      </c>
    </row>
    <row r="494">
      <c r="A494" s="47" t="s">
        <v>2314</v>
      </c>
      <c r="B494" s="47">
        <v>13205.0</v>
      </c>
      <c r="C494" s="47">
        <v>2.0</v>
      </c>
      <c r="D494" s="47" t="s">
        <v>4044</v>
      </c>
      <c r="E494" s="47" t="str">
        <f t="shared" si="1"/>
        <v>2A</v>
      </c>
      <c r="F494" s="47" t="s">
        <v>4045</v>
      </c>
      <c r="G494" s="47" t="s">
        <v>529</v>
      </c>
      <c r="H494" s="48">
        <f>IF(NOT(ISBLANK(vlookup(B494,Pop_Census_2023!$A$2:$E$3220,4,FALSE))),vlookup(B494,Pop_Census_2023!$A$2:$E$3220,4,FALSE), vlookup(B494,Pop_Census_2023!$A$2:$E$3220,5,FALSE))</f>
        <v>21114</v>
      </c>
    </row>
    <row r="495">
      <c r="A495" s="47" t="s">
        <v>2314</v>
      </c>
      <c r="B495" s="47">
        <v>13207.0</v>
      </c>
      <c r="C495" s="47">
        <v>3.0</v>
      </c>
      <c r="D495" s="47" t="s">
        <v>4044</v>
      </c>
      <c r="E495" s="47" t="str">
        <f t="shared" si="1"/>
        <v>3A</v>
      </c>
      <c r="F495" s="47" t="s">
        <v>4046</v>
      </c>
      <c r="G495" s="47" t="s">
        <v>152</v>
      </c>
      <c r="H495" s="48">
        <f>IF(NOT(ISBLANK(vlookup(B495,Pop_Census_2023!$A$2:$E$3220,4,FALSE))),vlookup(B495,Pop_Census_2023!$A$2:$E$3220,4,FALSE), vlookup(B495,Pop_Census_2023!$A$2:$E$3220,5,FALSE))</f>
        <v>30625</v>
      </c>
    </row>
    <row r="496">
      <c r="A496" s="47" t="s">
        <v>2314</v>
      </c>
      <c r="B496" s="47">
        <v>13209.0</v>
      </c>
      <c r="C496" s="47">
        <v>3.0</v>
      </c>
      <c r="D496" s="47" t="s">
        <v>4044</v>
      </c>
      <c r="E496" s="47" t="str">
        <f t="shared" si="1"/>
        <v>3A</v>
      </c>
      <c r="F496" s="47" t="s">
        <v>4045</v>
      </c>
      <c r="G496" s="47" t="s">
        <v>153</v>
      </c>
      <c r="H496" s="48">
        <f>IF(NOT(ISBLANK(vlookup(B496,Pop_Census_2023!$A$2:$E$3220,4,FALSE))),vlookup(B496,Pop_Census_2023!$A$2:$E$3220,4,FALSE), vlookup(B496,Pop_Census_2023!$A$2:$E$3220,5,FALSE))</f>
        <v>8761</v>
      </c>
    </row>
    <row r="497">
      <c r="A497" s="47" t="s">
        <v>2314</v>
      </c>
      <c r="B497" s="47">
        <v>13211.0</v>
      </c>
      <c r="C497" s="47">
        <v>3.0</v>
      </c>
      <c r="D497" s="47" t="s">
        <v>4044</v>
      </c>
      <c r="E497" s="47" t="str">
        <f t="shared" si="1"/>
        <v>3A</v>
      </c>
      <c r="F497" s="47" t="s">
        <v>4046</v>
      </c>
      <c r="G497" s="47" t="s">
        <v>154</v>
      </c>
      <c r="H497" s="48">
        <f>IF(NOT(ISBLANK(vlookup(B497,Pop_Census_2023!$A$2:$E$3220,4,FALSE))),vlookup(B497,Pop_Census_2023!$A$2:$E$3220,4,FALSE), vlookup(B497,Pop_Census_2023!$A$2:$E$3220,5,FALSE))</f>
        <v>21460</v>
      </c>
    </row>
    <row r="498">
      <c r="A498" s="47" t="s">
        <v>2314</v>
      </c>
      <c r="B498" s="47">
        <v>13213.0</v>
      </c>
      <c r="C498" s="47">
        <v>4.0</v>
      </c>
      <c r="D498" s="47" t="s">
        <v>4044</v>
      </c>
      <c r="E498" s="47" t="str">
        <f t="shared" si="1"/>
        <v>4A</v>
      </c>
      <c r="F498" s="47" t="s">
        <v>4046</v>
      </c>
      <c r="G498" s="47" t="s">
        <v>530</v>
      </c>
      <c r="H498" s="48">
        <f>IF(NOT(ISBLANK(vlookup(B498,Pop_Census_2023!$A$2:$E$3220,4,FALSE))),vlookup(B498,Pop_Census_2023!$A$2:$E$3220,4,FALSE), vlookup(B498,Pop_Census_2023!$A$2:$E$3220,5,FALSE))</f>
        <v>41035</v>
      </c>
    </row>
    <row r="499">
      <c r="A499" s="47" t="s">
        <v>2314</v>
      </c>
      <c r="B499" s="47">
        <v>13215.0</v>
      </c>
      <c r="C499" s="47">
        <v>3.0</v>
      </c>
      <c r="D499" s="47" t="s">
        <v>4044</v>
      </c>
      <c r="E499" s="47" t="str">
        <f t="shared" si="1"/>
        <v>3A</v>
      </c>
      <c r="F499" s="47" t="s">
        <v>4046</v>
      </c>
      <c r="G499" s="47" t="s">
        <v>531</v>
      </c>
      <c r="H499" s="48">
        <f>IF(NOT(ISBLANK(vlookup(B499,Pop_Census_2023!$A$2:$E$3220,4,FALSE))),vlookup(B499,Pop_Census_2023!$A$2:$E$3220,4,FALSE), vlookup(B499,Pop_Census_2023!$A$2:$E$3220,5,FALSE))</f>
        <v>201877</v>
      </c>
    </row>
    <row r="500">
      <c r="A500" s="47" t="s">
        <v>2314</v>
      </c>
      <c r="B500" s="47">
        <v>13217.0</v>
      </c>
      <c r="C500" s="47">
        <v>3.0</v>
      </c>
      <c r="D500" s="47" t="s">
        <v>4044</v>
      </c>
      <c r="E500" s="47" t="str">
        <f t="shared" si="1"/>
        <v>3A</v>
      </c>
      <c r="F500" s="47" t="s">
        <v>4046</v>
      </c>
      <c r="G500" s="47" t="s">
        <v>257</v>
      </c>
      <c r="H500" s="48">
        <f>IF(NOT(ISBLANK(vlookup(B500,Pop_Census_2023!$A$2:$E$3220,4,FALSE))),vlookup(B500,Pop_Census_2023!$A$2:$E$3220,4,FALSE), vlookup(B500,Pop_Census_2023!$A$2:$E$3220,5,FALSE))</f>
        <v>120135</v>
      </c>
    </row>
    <row r="501">
      <c r="A501" s="47" t="s">
        <v>2314</v>
      </c>
      <c r="B501" s="47">
        <v>13219.0</v>
      </c>
      <c r="C501" s="47">
        <v>3.0</v>
      </c>
      <c r="D501" s="47" t="s">
        <v>4044</v>
      </c>
      <c r="E501" s="47" t="str">
        <f t="shared" si="1"/>
        <v>3A</v>
      </c>
      <c r="F501" s="47" t="s">
        <v>4046</v>
      </c>
      <c r="G501" s="47" t="s">
        <v>532</v>
      </c>
      <c r="H501" s="48">
        <f>IF(NOT(ISBLANK(vlookup(B501,Pop_Census_2023!$A$2:$E$3220,4,FALSE))),vlookup(B501,Pop_Census_2023!$A$2:$E$3220,4,FALSE), vlookup(B501,Pop_Census_2023!$A$2:$E$3220,5,FALSE))</f>
        <v>44182</v>
      </c>
    </row>
    <row r="502">
      <c r="A502" s="47" t="s">
        <v>2314</v>
      </c>
      <c r="B502" s="47">
        <v>13221.0</v>
      </c>
      <c r="C502" s="47">
        <v>3.0</v>
      </c>
      <c r="D502" s="47" t="s">
        <v>4044</v>
      </c>
      <c r="E502" s="47" t="str">
        <f t="shared" si="1"/>
        <v>3A</v>
      </c>
      <c r="F502" s="47" t="s">
        <v>4046</v>
      </c>
      <c r="G502" s="47" t="s">
        <v>533</v>
      </c>
      <c r="H502" s="48">
        <f>IF(NOT(ISBLANK(vlookup(B502,Pop_Census_2023!$A$2:$E$3220,4,FALSE))),vlookup(B502,Pop_Census_2023!$A$2:$E$3220,4,FALSE), vlookup(B502,Pop_Census_2023!$A$2:$E$3220,5,FALSE))</f>
        <v>15754</v>
      </c>
    </row>
    <row r="503">
      <c r="A503" s="47" t="s">
        <v>2314</v>
      </c>
      <c r="B503" s="47">
        <v>13223.0</v>
      </c>
      <c r="C503" s="47">
        <v>3.0</v>
      </c>
      <c r="D503" s="47" t="s">
        <v>4044</v>
      </c>
      <c r="E503" s="47" t="str">
        <f t="shared" si="1"/>
        <v>3A</v>
      </c>
      <c r="F503" s="47" t="s">
        <v>4046</v>
      </c>
      <c r="G503" s="47" t="s">
        <v>534</v>
      </c>
      <c r="H503" s="48">
        <f>IF(NOT(ISBLANK(vlookup(B503,Pop_Census_2023!$A$2:$E$3220,4,FALSE))),vlookup(B503,Pop_Census_2023!$A$2:$E$3220,4,FALSE), vlookup(B503,Pop_Census_2023!$A$2:$E$3220,5,FALSE))</f>
        <v>183164</v>
      </c>
    </row>
    <row r="504">
      <c r="A504" s="47" t="s">
        <v>2314</v>
      </c>
      <c r="B504" s="47">
        <v>13225.0</v>
      </c>
      <c r="C504" s="47">
        <v>3.0</v>
      </c>
      <c r="D504" s="47" t="s">
        <v>4044</v>
      </c>
      <c r="E504" s="47" t="str">
        <f t="shared" si="1"/>
        <v>3A</v>
      </c>
      <c r="F504" s="47" t="s">
        <v>4045</v>
      </c>
      <c r="G504" s="47" t="s">
        <v>535</v>
      </c>
      <c r="H504" s="48">
        <f>IF(NOT(ISBLANK(vlookup(B504,Pop_Census_2023!$A$2:$E$3220,4,FALSE))),vlookup(B504,Pop_Census_2023!$A$2:$E$3220,4,FALSE), vlookup(B504,Pop_Census_2023!$A$2:$E$3220,5,FALSE))</f>
        <v>28805</v>
      </c>
    </row>
    <row r="505">
      <c r="A505" s="47" t="s">
        <v>2314</v>
      </c>
      <c r="B505" s="47">
        <v>13227.0</v>
      </c>
      <c r="C505" s="47">
        <v>4.0</v>
      </c>
      <c r="D505" s="47" t="s">
        <v>4044</v>
      </c>
      <c r="E505" s="47" t="str">
        <f t="shared" si="1"/>
        <v>4A</v>
      </c>
      <c r="F505" s="47" t="s">
        <v>4046</v>
      </c>
      <c r="G505" s="47" t="s">
        <v>156</v>
      </c>
      <c r="H505" s="48">
        <f>IF(NOT(ISBLANK(vlookup(B505,Pop_Census_2023!$A$2:$E$3220,4,FALSE))),vlookup(B505,Pop_Census_2023!$A$2:$E$3220,4,FALSE), vlookup(B505,Pop_Census_2023!$A$2:$E$3220,5,FALSE))</f>
        <v>35969</v>
      </c>
    </row>
    <row r="506">
      <c r="A506" s="47" t="s">
        <v>2314</v>
      </c>
      <c r="B506" s="47">
        <v>13229.0</v>
      </c>
      <c r="C506" s="47">
        <v>2.0</v>
      </c>
      <c r="D506" s="47" t="s">
        <v>4044</v>
      </c>
      <c r="E506" s="47" t="str">
        <f t="shared" si="1"/>
        <v>2A</v>
      </c>
      <c r="F506" s="47" t="s">
        <v>4045</v>
      </c>
      <c r="G506" s="47" t="s">
        <v>536</v>
      </c>
      <c r="H506" s="48">
        <f>IF(NOT(ISBLANK(vlookup(B506,Pop_Census_2023!$A$2:$E$3220,4,FALSE))),vlookup(B506,Pop_Census_2023!$A$2:$E$3220,4,FALSE), vlookup(B506,Pop_Census_2023!$A$2:$E$3220,5,FALSE))</f>
        <v>20425</v>
      </c>
    </row>
    <row r="507">
      <c r="A507" s="47" t="s">
        <v>2314</v>
      </c>
      <c r="B507" s="47">
        <v>13231.0</v>
      </c>
      <c r="C507" s="47">
        <v>3.0</v>
      </c>
      <c r="D507" s="47" t="s">
        <v>4044</v>
      </c>
      <c r="E507" s="47" t="str">
        <f t="shared" si="1"/>
        <v>3A</v>
      </c>
      <c r="F507" s="47" t="s">
        <v>4046</v>
      </c>
      <c r="G507" s="47" t="s">
        <v>157</v>
      </c>
      <c r="H507" s="48">
        <f>IF(NOT(ISBLANK(vlookup(B507,Pop_Census_2023!$A$2:$E$3220,4,FALSE))),vlookup(B507,Pop_Census_2023!$A$2:$E$3220,4,FALSE), vlookup(B507,Pop_Census_2023!$A$2:$E$3220,5,FALSE))</f>
        <v>20461</v>
      </c>
    </row>
    <row r="508">
      <c r="A508" s="47" t="s">
        <v>2314</v>
      </c>
      <c r="B508" s="47">
        <v>13233.0</v>
      </c>
      <c r="C508" s="47">
        <v>3.0</v>
      </c>
      <c r="D508" s="47" t="s">
        <v>4044</v>
      </c>
      <c r="E508" s="47" t="str">
        <f t="shared" si="1"/>
        <v>3A</v>
      </c>
      <c r="F508" s="47" t="s">
        <v>4046</v>
      </c>
      <c r="G508" s="47" t="s">
        <v>261</v>
      </c>
      <c r="H508" s="48">
        <f>IF(NOT(ISBLANK(vlookup(B508,Pop_Census_2023!$A$2:$E$3220,4,FALSE))),vlookup(B508,Pop_Census_2023!$A$2:$E$3220,4,FALSE), vlookup(B508,Pop_Census_2023!$A$2:$E$3220,5,FALSE))</f>
        <v>44223</v>
      </c>
    </row>
    <row r="509">
      <c r="A509" s="47" t="s">
        <v>2314</v>
      </c>
      <c r="B509" s="47">
        <v>13235.0</v>
      </c>
      <c r="C509" s="47">
        <v>3.0</v>
      </c>
      <c r="D509" s="47" t="s">
        <v>4044</v>
      </c>
      <c r="E509" s="47" t="str">
        <f t="shared" si="1"/>
        <v>3A</v>
      </c>
      <c r="F509" s="47" t="s">
        <v>4045</v>
      </c>
      <c r="G509" s="47" t="s">
        <v>264</v>
      </c>
      <c r="H509" s="48">
        <f>IF(NOT(ISBLANK(vlookup(B509,Pop_Census_2023!$A$2:$E$3220,4,FALSE))),vlookup(B509,Pop_Census_2023!$A$2:$E$3220,4,FALSE), vlookup(B509,Pop_Census_2023!$A$2:$E$3220,5,FALSE))</f>
        <v>10095</v>
      </c>
    </row>
    <row r="510">
      <c r="A510" s="47" t="s">
        <v>2314</v>
      </c>
      <c r="B510" s="47">
        <v>13237.0</v>
      </c>
      <c r="C510" s="47">
        <v>3.0</v>
      </c>
      <c r="D510" s="47" t="s">
        <v>4044</v>
      </c>
      <c r="E510" s="47" t="str">
        <f t="shared" si="1"/>
        <v>3A</v>
      </c>
      <c r="F510" s="47" t="s">
        <v>4046</v>
      </c>
      <c r="G510" s="47" t="s">
        <v>449</v>
      </c>
      <c r="H510" s="48">
        <f>IF(NOT(ISBLANK(vlookup(B510,Pop_Census_2023!$A$2:$E$3220,4,FALSE))),vlookup(B510,Pop_Census_2023!$A$2:$E$3220,4,FALSE), vlookup(B510,Pop_Census_2023!$A$2:$E$3220,5,FALSE))</f>
        <v>23129</v>
      </c>
    </row>
    <row r="511">
      <c r="A511" s="47" t="s">
        <v>2314</v>
      </c>
      <c r="B511" s="47">
        <v>13239.0</v>
      </c>
      <c r="C511" s="47">
        <v>3.0</v>
      </c>
      <c r="D511" s="47" t="s">
        <v>4044</v>
      </c>
      <c r="E511" s="47" t="str">
        <f t="shared" si="1"/>
        <v>3A</v>
      </c>
      <c r="F511" s="47" t="s">
        <v>4045</v>
      </c>
      <c r="G511" s="47" t="s">
        <v>537</v>
      </c>
      <c r="H511" s="48">
        <f>IF(NOT(ISBLANK(vlookup(B511,Pop_Census_2023!$A$2:$E$3220,4,FALSE))),vlookup(B511,Pop_Census_2023!$A$2:$E$3220,4,FALSE), vlookup(B511,Pop_Census_2023!$A$2:$E$3220,5,FALSE))</f>
        <v>2280</v>
      </c>
    </row>
    <row r="512">
      <c r="A512" s="47" t="s">
        <v>2314</v>
      </c>
      <c r="B512" s="47">
        <v>13241.0</v>
      </c>
      <c r="C512" s="47">
        <v>4.0</v>
      </c>
      <c r="D512" s="47" t="s">
        <v>4044</v>
      </c>
      <c r="E512" s="47" t="str">
        <f t="shared" si="1"/>
        <v>4A</v>
      </c>
      <c r="F512" s="47" t="s">
        <v>4046</v>
      </c>
      <c r="G512" s="47" t="s">
        <v>538</v>
      </c>
      <c r="H512" s="48">
        <f>IF(NOT(ISBLANK(vlookup(B512,Pop_Census_2023!$A$2:$E$3220,4,FALSE))),vlookup(B512,Pop_Census_2023!$A$2:$E$3220,4,FALSE), vlookup(B512,Pop_Census_2023!$A$2:$E$3220,5,FALSE))</f>
        <v>17442</v>
      </c>
    </row>
    <row r="513">
      <c r="A513" s="47" t="s">
        <v>2314</v>
      </c>
      <c r="B513" s="47">
        <v>13243.0</v>
      </c>
      <c r="C513" s="47">
        <v>3.0</v>
      </c>
      <c r="D513" s="47" t="s">
        <v>4044</v>
      </c>
      <c r="E513" s="47" t="str">
        <f t="shared" si="1"/>
        <v>3A</v>
      </c>
      <c r="F513" s="47" t="s">
        <v>4045</v>
      </c>
      <c r="G513" s="47" t="s">
        <v>158</v>
      </c>
      <c r="H513" s="48">
        <f>IF(NOT(ISBLANK(vlookup(B513,Pop_Census_2023!$A$2:$E$3220,4,FALSE))),vlookup(B513,Pop_Census_2023!$A$2:$E$3220,4,FALSE), vlookup(B513,Pop_Census_2023!$A$2:$E$3220,5,FALSE))</f>
        <v>6078</v>
      </c>
    </row>
    <row r="514">
      <c r="A514" s="47" t="s">
        <v>2314</v>
      </c>
      <c r="B514" s="47">
        <v>13245.0</v>
      </c>
      <c r="C514" s="47">
        <v>3.0</v>
      </c>
      <c r="D514" s="47" t="s">
        <v>4044</v>
      </c>
      <c r="E514" s="47" t="str">
        <f t="shared" si="1"/>
        <v>3A</v>
      </c>
      <c r="F514" s="47" t="s">
        <v>4046</v>
      </c>
      <c r="G514" s="47" t="s">
        <v>539</v>
      </c>
      <c r="H514" s="48">
        <f>IF(NOT(ISBLANK(vlookup(B514,Pop_Census_2023!$A$2:$E$3220,4,FALSE))),vlookup(B514,Pop_Census_2023!$A$2:$E$3220,4,FALSE), vlookup(B514,Pop_Census_2023!$A$2:$E$3220,5,FALSE))</f>
        <v>205414</v>
      </c>
    </row>
    <row r="515">
      <c r="A515" s="47" t="s">
        <v>2314</v>
      </c>
      <c r="B515" s="47">
        <v>13247.0</v>
      </c>
      <c r="C515" s="47">
        <v>3.0</v>
      </c>
      <c r="D515" s="47" t="s">
        <v>4044</v>
      </c>
      <c r="E515" s="47" t="str">
        <f t="shared" si="1"/>
        <v>3A</v>
      </c>
      <c r="F515" s="47" t="s">
        <v>4046</v>
      </c>
      <c r="G515" s="47" t="s">
        <v>540</v>
      </c>
      <c r="H515" s="48">
        <f>IF(NOT(ISBLANK(vlookup(B515,Pop_Census_2023!$A$2:$E$3220,4,FALSE))),vlookup(B515,Pop_Census_2023!$A$2:$E$3220,4,FALSE), vlookup(B515,Pop_Census_2023!$A$2:$E$3220,5,FALSE))</f>
        <v>95987</v>
      </c>
    </row>
    <row r="516">
      <c r="A516" s="47" t="s">
        <v>2314</v>
      </c>
      <c r="B516" s="47">
        <v>13249.0</v>
      </c>
      <c r="C516" s="47">
        <v>3.0</v>
      </c>
      <c r="D516" s="47" t="s">
        <v>4044</v>
      </c>
      <c r="E516" s="47" t="str">
        <f t="shared" si="1"/>
        <v>3A</v>
      </c>
      <c r="F516" s="47" t="s">
        <v>4045</v>
      </c>
      <c r="G516" s="47" t="s">
        <v>541</v>
      </c>
      <c r="H516" s="48">
        <f>IF(NOT(ISBLANK(vlookup(B516,Pop_Census_2023!$A$2:$E$3220,4,FALSE))),vlookup(B516,Pop_Census_2023!$A$2:$E$3220,4,FALSE), vlookup(B516,Pop_Census_2023!$A$2:$E$3220,5,FALSE))</f>
        <v>4526</v>
      </c>
    </row>
    <row r="517">
      <c r="A517" s="47" t="s">
        <v>2314</v>
      </c>
      <c r="B517" s="47">
        <v>13251.0</v>
      </c>
      <c r="C517" s="47">
        <v>3.0</v>
      </c>
      <c r="D517" s="47" t="s">
        <v>4044</v>
      </c>
      <c r="E517" s="47" t="str">
        <f t="shared" si="1"/>
        <v>3A</v>
      </c>
      <c r="F517" s="47" t="s">
        <v>4045</v>
      </c>
      <c r="G517" s="47" t="s">
        <v>542</v>
      </c>
      <c r="H517" s="48">
        <f>IF(NOT(ISBLANK(vlookup(B517,Pop_Census_2023!$A$2:$E$3220,4,FALSE))),vlookup(B517,Pop_Census_2023!$A$2:$E$3220,4,FALSE), vlookup(B517,Pop_Census_2023!$A$2:$E$3220,5,FALSE))</f>
        <v>14174</v>
      </c>
    </row>
    <row r="518">
      <c r="A518" s="47" t="s">
        <v>2314</v>
      </c>
      <c r="B518" s="47">
        <v>13253.0</v>
      </c>
      <c r="C518" s="47">
        <v>2.0</v>
      </c>
      <c r="D518" s="47" t="s">
        <v>4044</v>
      </c>
      <c r="E518" s="47" t="str">
        <f t="shared" si="1"/>
        <v>2A</v>
      </c>
      <c r="F518" s="47" t="s">
        <v>4045</v>
      </c>
      <c r="G518" s="47" t="s">
        <v>454</v>
      </c>
      <c r="H518" s="48">
        <f>IF(NOT(ISBLANK(vlookup(B518,Pop_Census_2023!$A$2:$E$3220,4,FALSE))),vlookup(B518,Pop_Census_2023!$A$2:$E$3220,4,FALSE), vlookup(B518,Pop_Census_2023!$A$2:$E$3220,5,FALSE))</f>
        <v>9092</v>
      </c>
    </row>
    <row r="519">
      <c r="A519" s="47" t="s">
        <v>2314</v>
      </c>
      <c r="B519" s="47">
        <v>13255.0</v>
      </c>
      <c r="C519" s="47">
        <v>3.0</v>
      </c>
      <c r="D519" s="47" t="s">
        <v>4044</v>
      </c>
      <c r="E519" s="47" t="str">
        <f t="shared" si="1"/>
        <v>3A</v>
      </c>
      <c r="F519" s="47" t="s">
        <v>4046</v>
      </c>
      <c r="G519" s="47" t="s">
        <v>543</v>
      </c>
      <c r="H519" s="48">
        <f>IF(NOT(ISBLANK(vlookup(B519,Pop_Census_2023!$A$2:$E$3220,4,FALSE))),vlookup(B519,Pop_Census_2023!$A$2:$E$3220,4,FALSE), vlookup(B519,Pop_Census_2023!$A$2:$E$3220,5,FALSE))</f>
        <v>69946</v>
      </c>
    </row>
    <row r="520">
      <c r="A520" s="47" t="s">
        <v>2314</v>
      </c>
      <c r="B520" s="47">
        <v>13257.0</v>
      </c>
      <c r="C520" s="47">
        <v>4.0</v>
      </c>
      <c r="D520" s="47" t="s">
        <v>4044</v>
      </c>
      <c r="E520" s="47" t="str">
        <f t="shared" si="1"/>
        <v>4A</v>
      </c>
      <c r="F520" s="47" t="s">
        <v>4046</v>
      </c>
      <c r="G520" s="47" t="s">
        <v>544</v>
      </c>
      <c r="H520" s="48">
        <f>IF(NOT(ISBLANK(vlookup(B520,Pop_Census_2023!$A$2:$E$3220,4,FALSE))),vlookup(B520,Pop_Census_2023!$A$2:$E$3220,4,FALSE), vlookup(B520,Pop_Census_2023!$A$2:$E$3220,5,FALSE))</f>
        <v>27228</v>
      </c>
    </row>
    <row r="521">
      <c r="A521" s="47" t="s">
        <v>2314</v>
      </c>
      <c r="B521" s="47">
        <v>13259.0</v>
      </c>
      <c r="C521" s="47">
        <v>3.0</v>
      </c>
      <c r="D521" s="47" t="s">
        <v>4044</v>
      </c>
      <c r="E521" s="47" t="str">
        <f t="shared" si="1"/>
        <v>3A</v>
      </c>
      <c r="F521" s="47" t="s">
        <v>4045</v>
      </c>
      <c r="G521" s="47" t="s">
        <v>545</v>
      </c>
      <c r="H521" s="48">
        <f>IF(NOT(ISBLANK(vlookup(B521,Pop_Census_2023!$A$2:$E$3220,4,FALSE))),vlookup(B521,Pop_Census_2023!$A$2:$E$3220,4,FALSE), vlookup(B521,Pop_Census_2023!$A$2:$E$3220,5,FALSE))</f>
        <v>4674</v>
      </c>
    </row>
    <row r="522">
      <c r="A522" s="47" t="s">
        <v>2314</v>
      </c>
      <c r="B522" s="47">
        <v>13261.0</v>
      </c>
      <c r="C522" s="47">
        <v>3.0</v>
      </c>
      <c r="D522" s="47" t="s">
        <v>4044</v>
      </c>
      <c r="E522" s="47" t="str">
        <f t="shared" si="1"/>
        <v>3A</v>
      </c>
      <c r="F522" s="47" t="s">
        <v>4045</v>
      </c>
      <c r="G522" s="47" t="s">
        <v>162</v>
      </c>
      <c r="H522" s="48">
        <f>IF(NOT(ISBLANK(vlookup(B522,Pop_Census_2023!$A$2:$E$3220,4,FALSE))),vlookup(B522,Pop_Census_2023!$A$2:$E$3220,4,FALSE), vlookup(B522,Pop_Census_2023!$A$2:$E$3220,5,FALSE))</f>
        <v>28890</v>
      </c>
    </row>
    <row r="523">
      <c r="A523" s="47" t="s">
        <v>2314</v>
      </c>
      <c r="B523" s="47">
        <v>13263.0</v>
      </c>
      <c r="C523" s="47">
        <v>3.0</v>
      </c>
      <c r="D523" s="47" t="s">
        <v>4044</v>
      </c>
      <c r="E523" s="47" t="str">
        <f t="shared" si="1"/>
        <v>3A</v>
      </c>
      <c r="F523" s="47" t="s">
        <v>4046</v>
      </c>
      <c r="G523" s="47" t="s">
        <v>546</v>
      </c>
      <c r="H523" s="48">
        <f>IF(NOT(ISBLANK(vlookup(B523,Pop_Census_2023!$A$2:$E$3220,4,FALSE))),vlookup(B523,Pop_Census_2023!$A$2:$E$3220,4,FALSE), vlookup(B523,Pop_Census_2023!$A$2:$E$3220,5,FALSE))</f>
        <v>5718</v>
      </c>
    </row>
    <row r="524">
      <c r="A524" s="47" t="s">
        <v>2314</v>
      </c>
      <c r="B524" s="47">
        <v>13265.0</v>
      </c>
      <c r="C524" s="47">
        <v>3.0</v>
      </c>
      <c r="D524" s="47" t="s">
        <v>4044</v>
      </c>
      <c r="E524" s="47" t="str">
        <f t="shared" si="1"/>
        <v>3A</v>
      </c>
      <c r="F524" s="47" t="s">
        <v>4046</v>
      </c>
      <c r="G524" s="47" t="s">
        <v>547</v>
      </c>
      <c r="H524" s="48">
        <f>IF(NOT(ISBLANK(vlookup(B524,Pop_Census_2023!$A$2:$E$3220,4,FALSE))),vlookup(B524,Pop_Census_2023!$A$2:$E$3220,4,FALSE), vlookup(B524,Pop_Census_2023!$A$2:$E$3220,5,FALSE))</f>
        <v>1609</v>
      </c>
    </row>
    <row r="525">
      <c r="A525" s="47" t="s">
        <v>2314</v>
      </c>
      <c r="B525" s="47">
        <v>13267.0</v>
      </c>
      <c r="C525" s="47">
        <v>2.0</v>
      </c>
      <c r="D525" s="47" t="s">
        <v>4044</v>
      </c>
      <c r="E525" s="47" t="str">
        <f t="shared" si="1"/>
        <v>2A</v>
      </c>
      <c r="F525" s="47" t="s">
        <v>4045</v>
      </c>
      <c r="G525" s="47" t="s">
        <v>548</v>
      </c>
      <c r="H525" s="48">
        <f>IF(NOT(ISBLANK(vlookup(B525,Pop_Census_2023!$A$2:$E$3220,4,FALSE))),vlookup(B525,Pop_Census_2023!$A$2:$E$3220,4,FALSE), vlookup(B525,Pop_Census_2023!$A$2:$E$3220,5,FALSE))</f>
        <v>24296</v>
      </c>
    </row>
    <row r="526">
      <c r="A526" s="47" t="s">
        <v>2314</v>
      </c>
      <c r="B526" s="47">
        <v>13269.0</v>
      </c>
      <c r="C526" s="47">
        <v>3.0</v>
      </c>
      <c r="D526" s="47" t="s">
        <v>4044</v>
      </c>
      <c r="E526" s="47" t="str">
        <f t="shared" si="1"/>
        <v>3A</v>
      </c>
      <c r="F526" s="47" t="s">
        <v>4045</v>
      </c>
      <c r="G526" s="47" t="s">
        <v>456</v>
      </c>
      <c r="H526" s="48">
        <f>IF(NOT(ISBLANK(vlookup(B526,Pop_Census_2023!$A$2:$E$3220,4,FALSE))),vlookup(B526,Pop_Census_2023!$A$2:$E$3220,4,FALSE), vlookup(B526,Pop_Census_2023!$A$2:$E$3220,5,FALSE))</f>
        <v>7758</v>
      </c>
    </row>
    <row r="527">
      <c r="A527" s="47" t="s">
        <v>2314</v>
      </c>
      <c r="B527" s="47">
        <v>13271.0</v>
      </c>
      <c r="C527" s="47">
        <v>3.0</v>
      </c>
      <c r="D527" s="47" t="s">
        <v>4044</v>
      </c>
      <c r="E527" s="47" t="str">
        <f t="shared" si="1"/>
        <v>3A</v>
      </c>
      <c r="F527" s="47" t="s">
        <v>4045</v>
      </c>
      <c r="G527" s="47" t="s">
        <v>549</v>
      </c>
      <c r="H527" s="48">
        <f>IF(NOT(ISBLANK(vlookup(B527,Pop_Census_2023!$A$2:$E$3220,4,FALSE))),vlookup(B527,Pop_Census_2023!$A$2:$E$3220,4,FALSE), vlookup(B527,Pop_Census_2023!$A$2:$E$3220,5,FALSE))</f>
        <v>10920</v>
      </c>
    </row>
    <row r="528">
      <c r="A528" s="47" t="s">
        <v>2314</v>
      </c>
      <c r="B528" s="47">
        <v>13273.0</v>
      </c>
      <c r="C528" s="47">
        <v>3.0</v>
      </c>
      <c r="D528" s="47" t="s">
        <v>4044</v>
      </c>
      <c r="E528" s="47" t="str">
        <f t="shared" si="1"/>
        <v>3A</v>
      </c>
      <c r="F528" s="47" t="s">
        <v>4045</v>
      </c>
      <c r="G528" s="47" t="s">
        <v>550</v>
      </c>
      <c r="H528" s="48">
        <f>IF(NOT(ISBLANK(vlookup(B528,Pop_Census_2023!$A$2:$E$3220,4,FALSE))),vlookup(B528,Pop_Census_2023!$A$2:$E$3220,4,FALSE), vlookup(B528,Pop_Census_2023!$A$2:$E$3220,5,FALSE))</f>
        <v>8718</v>
      </c>
    </row>
    <row r="529">
      <c r="A529" s="47" t="s">
        <v>2314</v>
      </c>
      <c r="B529" s="47">
        <v>13275.0</v>
      </c>
      <c r="C529" s="47">
        <v>2.0</v>
      </c>
      <c r="D529" s="47" t="s">
        <v>4044</v>
      </c>
      <c r="E529" s="47" t="str">
        <f t="shared" si="1"/>
        <v>2A</v>
      </c>
      <c r="F529" s="47" t="s">
        <v>4045</v>
      </c>
      <c r="G529" s="47" t="s">
        <v>551</v>
      </c>
      <c r="H529" s="48">
        <f>IF(NOT(ISBLANK(vlookup(B529,Pop_Census_2023!$A$2:$E$3220,4,FALSE))),vlookup(B529,Pop_Census_2023!$A$2:$E$3220,4,FALSE), vlookup(B529,Pop_Census_2023!$A$2:$E$3220,5,FALSE))</f>
        <v>45649</v>
      </c>
    </row>
    <row r="530">
      <c r="A530" s="47" t="s">
        <v>2314</v>
      </c>
      <c r="B530" s="47">
        <v>13277.0</v>
      </c>
      <c r="C530" s="47">
        <v>3.0</v>
      </c>
      <c r="D530" s="47" t="s">
        <v>4044</v>
      </c>
      <c r="E530" s="47" t="str">
        <f t="shared" si="1"/>
        <v>3A</v>
      </c>
      <c r="F530" s="47" t="s">
        <v>4045</v>
      </c>
      <c r="G530" s="47" t="s">
        <v>552</v>
      </c>
      <c r="H530" s="48">
        <f>IF(NOT(ISBLANK(vlookup(B530,Pop_Census_2023!$A$2:$E$3220,4,FALSE))),vlookup(B530,Pop_Census_2023!$A$2:$E$3220,4,FALSE), vlookup(B530,Pop_Census_2023!$A$2:$E$3220,5,FALSE))</f>
        <v>41554</v>
      </c>
    </row>
    <row r="531">
      <c r="A531" s="47" t="s">
        <v>2314</v>
      </c>
      <c r="B531" s="47">
        <v>13279.0</v>
      </c>
      <c r="C531" s="47">
        <v>2.0</v>
      </c>
      <c r="D531" s="47" t="s">
        <v>4044</v>
      </c>
      <c r="E531" s="47" t="str">
        <f t="shared" si="1"/>
        <v>2A</v>
      </c>
      <c r="F531" s="47" t="s">
        <v>4045</v>
      </c>
      <c r="G531" s="47" t="s">
        <v>553</v>
      </c>
      <c r="H531" s="48">
        <f>IF(NOT(ISBLANK(vlookup(B531,Pop_Census_2023!$A$2:$E$3220,4,FALSE))),vlookup(B531,Pop_Census_2023!$A$2:$E$3220,4,FALSE), vlookup(B531,Pop_Census_2023!$A$2:$E$3220,5,FALSE))</f>
        <v>27040</v>
      </c>
    </row>
    <row r="532">
      <c r="A532" s="47" t="s">
        <v>2314</v>
      </c>
      <c r="B532" s="47">
        <v>13281.0</v>
      </c>
      <c r="C532" s="47">
        <v>4.0</v>
      </c>
      <c r="D532" s="47" t="s">
        <v>4044</v>
      </c>
      <c r="E532" s="47" t="str">
        <f t="shared" si="1"/>
        <v>4A</v>
      </c>
      <c r="F532" s="47" t="s">
        <v>4046</v>
      </c>
      <c r="G532" s="47" t="s">
        <v>554</v>
      </c>
      <c r="H532" s="48">
        <f>IF(NOT(ISBLANK(vlookup(B532,Pop_Census_2023!$A$2:$E$3220,4,FALSE))),vlookup(B532,Pop_Census_2023!$A$2:$E$3220,4,FALSE), vlookup(B532,Pop_Census_2023!$A$2:$E$3220,5,FALSE))</f>
        <v>13035</v>
      </c>
    </row>
    <row r="533">
      <c r="A533" s="47" t="s">
        <v>2314</v>
      </c>
      <c r="B533" s="47">
        <v>13283.0</v>
      </c>
      <c r="C533" s="47">
        <v>3.0</v>
      </c>
      <c r="D533" s="47" t="s">
        <v>4044</v>
      </c>
      <c r="E533" s="47" t="str">
        <f t="shared" si="1"/>
        <v>3A</v>
      </c>
      <c r="F533" s="47" t="s">
        <v>4045</v>
      </c>
      <c r="G533" s="47" t="s">
        <v>555</v>
      </c>
      <c r="H533" s="48">
        <f>IF(NOT(ISBLANK(vlookup(B533,Pop_Census_2023!$A$2:$E$3220,4,FALSE))),vlookup(B533,Pop_Census_2023!$A$2:$E$3220,4,FALSE), vlookup(B533,Pop_Census_2023!$A$2:$E$3220,5,FALSE))</f>
        <v>6341</v>
      </c>
    </row>
    <row r="534">
      <c r="A534" s="47" t="s">
        <v>2314</v>
      </c>
      <c r="B534" s="47">
        <v>13285.0</v>
      </c>
      <c r="C534" s="47">
        <v>3.0</v>
      </c>
      <c r="D534" s="47" t="s">
        <v>4044</v>
      </c>
      <c r="E534" s="47" t="str">
        <f t="shared" si="1"/>
        <v>3A</v>
      </c>
      <c r="F534" s="47" t="s">
        <v>4046</v>
      </c>
      <c r="G534" s="47" t="s">
        <v>556</v>
      </c>
      <c r="H534" s="48">
        <f>IF(NOT(ISBLANK(vlookup(B534,Pop_Census_2023!$A$2:$E$3220,4,FALSE))),vlookup(B534,Pop_Census_2023!$A$2:$E$3220,4,FALSE), vlookup(B534,Pop_Census_2023!$A$2:$E$3220,5,FALSE))</f>
        <v>70742</v>
      </c>
    </row>
    <row r="535">
      <c r="A535" s="47" t="s">
        <v>2314</v>
      </c>
      <c r="B535" s="47">
        <v>13287.0</v>
      </c>
      <c r="C535" s="47">
        <v>3.0</v>
      </c>
      <c r="D535" s="47" t="s">
        <v>4044</v>
      </c>
      <c r="E535" s="47" t="str">
        <f t="shared" si="1"/>
        <v>3A</v>
      </c>
      <c r="F535" s="47" t="s">
        <v>4045</v>
      </c>
      <c r="G535" s="47" t="s">
        <v>557</v>
      </c>
      <c r="H535" s="48">
        <f>IF(NOT(ISBLANK(vlookup(B535,Pop_Census_2023!$A$2:$E$3220,4,FALSE))),vlookup(B535,Pop_Census_2023!$A$2:$E$3220,4,FALSE), vlookup(B535,Pop_Census_2023!$A$2:$E$3220,5,FALSE))</f>
        <v>8909</v>
      </c>
    </row>
    <row r="536">
      <c r="A536" s="47" t="s">
        <v>2314</v>
      </c>
      <c r="B536" s="47">
        <v>13289.0</v>
      </c>
      <c r="C536" s="47">
        <v>3.0</v>
      </c>
      <c r="D536" s="47" t="s">
        <v>4044</v>
      </c>
      <c r="E536" s="47" t="str">
        <f t="shared" si="1"/>
        <v>3A</v>
      </c>
      <c r="F536" s="47" t="s">
        <v>4045</v>
      </c>
      <c r="G536" s="47" t="s">
        <v>558</v>
      </c>
      <c r="H536" s="48">
        <f>IF(NOT(ISBLANK(vlookup(B536,Pop_Census_2023!$A$2:$E$3220,4,FALSE))),vlookup(B536,Pop_Census_2023!$A$2:$E$3220,4,FALSE), vlookup(B536,Pop_Census_2023!$A$2:$E$3220,5,FALSE))</f>
        <v>7691</v>
      </c>
    </row>
    <row r="537">
      <c r="A537" s="47" t="s">
        <v>2314</v>
      </c>
      <c r="B537" s="47">
        <v>13291.0</v>
      </c>
      <c r="C537" s="47">
        <v>4.0</v>
      </c>
      <c r="D537" s="47" t="s">
        <v>4044</v>
      </c>
      <c r="E537" s="47" t="str">
        <f t="shared" si="1"/>
        <v>4A</v>
      </c>
      <c r="F537" s="47" t="s">
        <v>4046</v>
      </c>
      <c r="G537" s="47" t="s">
        <v>273</v>
      </c>
      <c r="H537" s="48">
        <f>IF(NOT(ISBLANK(vlookup(B537,Pop_Census_2023!$A$2:$E$3220,4,FALSE))),vlookup(B537,Pop_Census_2023!$A$2:$E$3220,4,FALSE), vlookup(B537,Pop_Census_2023!$A$2:$E$3220,5,FALSE))</f>
        <v>27124</v>
      </c>
    </row>
    <row r="538">
      <c r="A538" s="47" t="s">
        <v>2314</v>
      </c>
      <c r="B538" s="47">
        <v>13293.0</v>
      </c>
      <c r="C538" s="47">
        <v>3.0</v>
      </c>
      <c r="D538" s="47" t="s">
        <v>4044</v>
      </c>
      <c r="E538" s="47" t="str">
        <f t="shared" si="1"/>
        <v>3A</v>
      </c>
      <c r="F538" s="47" t="s">
        <v>4046</v>
      </c>
      <c r="G538" s="47" t="s">
        <v>559</v>
      </c>
      <c r="H538" s="48">
        <f>IF(NOT(ISBLANK(vlookup(B538,Pop_Census_2023!$A$2:$E$3220,4,FALSE))),vlookup(B538,Pop_Census_2023!$A$2:$E$3220,4,FALSE), vlookup(B538,Pop_Census_2023!$A$2:$E$3220,5,FALSE))</f>
        <v>28263</v>
      </c>
    </row>
    <row r="539">
      <c r="A539" s="47" t="s">
        <v>2314</v>
      </c>
      <c r="B539" s="47">
        <v>13295.0</v>
      </c>
      <c r="C539" s="47">
        <v>4.0</v>
      </c>
      <c r="D539" s="47" t="s">
        <v>4044</v>
      </c>
      <c r="E539" s="47" t="str">
        <f t="shared" si="1"/>
        <v>4A</v>
      </c>
      <c r="F539" s="47" t="s">
        <v>4046</v>
      </c>
      <c r="G539" s="47" t="s">
        <v>166</v>
      </c>
      <c r="H539" s="48">
        <f>IF(NOT(ISBLANK(vlookup(B539,Pop_Census_2023!$A$2:$E$3220,4,FALSE))),vlookup(B539,Pop_Census_2023!$A$2:$E$3220,4,FALSE), vlookup(B539,Pop_Census_2023!$A$2:$E$3220,5,FALSE))</f>
        <v>69489</v>
      </c>
    </row>
    <row r="540">
      <c r="A540" s="47" t="s">
        <v>2314</v>
      </c>
      <c r="B540" s="47">
        <v>13297.0</v>
      </c>
      <c r="C540" s="47">
        <v>3.0</v>
      </c>
      <c r="D540" s="47" t="s">
        <v>4044</v>
      </c>
      <c r="E540" s="47" t="str">
        <f t="shared" si="1"/>
        <v>3A</v>
      </c>
      <c r="F540" s="47" t="s">
        <v>4046</v>
      </c>
      <c r="G540" s="47" t="s">
        <v>459</v>
      </c>
      <c r="H540" s="48">
        <f>IF(NOT(ISBLANK(vlookup(B540,Pop_Census_2023!$A$2:$E$3220,4,FALSE))),vlookup(B540,Pop_Census_2023!$A$2:$E$3220,4,FALSE), vlookup(B540,Pop_Census_2023!$A$2:$E$3220,5,FALSE))</f>
        <v>106702</v>
      </c>
    </row>
    <row r="541">
      <c r="A541" s="47" t="s">
        <v>2314</v>
      </c>
      <c r="B541" s="47">
        <v>13299.0</v>
      </c>
      <c r="C541" s="47">
        <v>2.0</v>
      </c>
      <c r="D541" s="47" t="s">
        <v>4044</v>
      </c>
      <c r="E541" s="47" t="str">
        <f t="shared" si="1"/>
        <v>2A</v>
      </c>
      <c r="F541" s="47" t="s">
        <v>4045</v>
      </c>
      <c r="G541" s="47" t="s">
        <v>560</v>
      </c>
      <c r="H541" s="48">
        <f>IF(NOT(ISBLANK(vlookup(B541,Pop_Census_2023!$A$2:$E$3220,4,FALSE))),vlookup(B541,Pop_Census_2023!$A$2:$E$3220,4,FALSE), vlookup(B541,Pop_Census_2023!$A$2:$E$3220,5,FALSE))</f>
        <v>36243</v>
      </c>
    </row>
    <row r="542">
      <c r="A542" s="47" t="s">
        <v>2314</v>
      </c>
      <c r="B542" s="47">
        <v>13301.0</v>
      </c>
      <c r="C542" s="47">
        <v>3.0</v>
      </c>
      <c r="D542" s="47" t="s">
        <v>4044</v>
      </c>
      <c r="E542" s="47" t="str">
        <f t="shared" si="1"/>
        <v>3A</v>
      </c>
      <c r="F542" s="47" t="s">
        <v>4046</v>
      </c>
      <c r="G542" s="47" t="s">
        <v>561</v>
      </c>
      <c r="H542" s="48">
        <f>IF(NOT(ISBLANK(vlookup(B542,Pop_Census_2023!$A$2:$E$3220,4,FALSE))),vlookup(B542,Pop_Census_2023!$A$2:$E$3220,4,FALSE), vlookup(B542,Pop_Census_2023!$A$2:$E$3220,5,FALSE))</f>
        <v>5106</v>
      </c>
    </row>
    <row r="543">
      <c r="A543" s="47" t="s">
        <v>2314</v>
      </c>
      <c r="B543" s="47">
        <v>13303.0</v>
      </c>
      <c r="C543" s="47">
        <v>3.0</v>
      </c>
      <c r="D543" s="47" t="s">
        <v>4044</v>
      </c>
      <c r="E543" s="47" t="str">
        <f t="shared" si="1"/>
        <v>3A</v>
      </c>
      <c r="F543" s="47" t="s">
        <v>4046</v>
      </c>
      <c r="G543" s="47" t="s">
        <v>167</v>
      </c>
      <c r="H543" s="48">
        <f>IF(NOT(ISBLANK(vlookup(B543,Pop_Census_2023!$A$2:$E$3220,4,FALSE))),vlookup(B543,Pop_Census_2023!$A$2:$E$3220,4,FALSE), vlookup(B543,Pop_Census_2023!$A$2:$E$3220,5,FALSE))</f>
        <v>19820</v>
      </c>
    </row>
    <row r="544">
      <c r="A544" s="47" t="s">
        <v>2314</v>
      </c>
      <c r="B544" s="47">
        <v>13305.0</v>
      </c>
      <c r="C544" s="47">
        <v>2.0</v>
      </c>
      <c r="D544" s="47" t="s">
        <v>4044</v>
      </c>
      <c r="E544" s="47" t="str">
        <f t="shared" si="1"/>
        <v>2A</v>
      </c>
      <c r="F544" s="47" t="s">
        <v>4045</v>
      </c>
      <c r="G544" s="47" t="s">
        <v>562</v>
      </c>
      <c r="H544" s="48">
        <f>IF(NOT(ISBLANK(vlookup(B544,Pop_Census_2023!$A$2:$E$3220,4,FALSE))),vlookup(B544,Pop_Census_2023!$A$2:$E$3220,4,FALSE), vlookup(B544,Pop_Census_2023!$A$2:$E$3220,5,FALSE))</f>
        <v>31373</v>
      </c>
    </row>
    <row r="545">
      <c r="A545" s="47" t="s">
        <v>2314</v>
      </c>
      <c r="B545" s="47">
        <v>13307.0</v>
      </c>
      <c r="C545" s="47">
        <v>3.0</v>
      </c>
      <c r="D545" s="47" t="s">
        <v>4044</v>
      </c>
      <c r="E545" s="47" t="str">
        <f t="shared" si="1"/>
        <v>3A</v>
      </c>
      <c r="F545" s="47" t="s">
        <v>4045</v>
      </c>
      <c r="G545" s="47" t="s">
        <v>563</v>
      </c>
      <c r="H545" s="48">
        <f>IF(NOT(ISBLANK(vlookup(B545,Pop_Census_2023!$A$2:$E$3220,4,FALSE))),vlookup(B545,Pop_Census_2023!$A$2:$E$3220,4,FALSE), vlookup(B545,Pop_Census_2023!$A$2:$E$3220,5,FALSE))</f>
        <v>2337</v>
      </c>
    </row>
    <row r="546">
      <c r="A546" s="47" t="s">
        <v>2314</v>
      </c>
      <c r="B546" s="47">
        <v>13309.0</v>
      </c>
      <c r="C546" s="47">
        <v>3.0</v>
      </c>
      <c r="D546" s="47" t="s">
        <v>4044</v>
      </c>
      <c r="E546" s="47" t="str">
        <f t="shared" si="1"/>
        <v>3A</v>
      </c>
      <c r="F546" s="47" t="s">
        <v>4045</v>
      </c>
      <c r="G546" s="47" t="s">
        <v>564</v>
      </c>
      <c r="H546" s="48">
        <f>IF(NOT(ISBLANK(vlookup(B546,Pop_Census_2023!$A$2:$E$3220,4,FALSE))),vlookup(B546,Pop_Census_2023!$A$2:$E$3220,4,FALSE), vlookup(B546,Pop_Census_2023!$A$2:$E$3220,5,FALSE))</f>
        <v>7081</v>
      </c>
    </row>
    <row r="547">
      <c r="A547" s="47" t="s">
        <v>2314</v>
      </c>
      <c r="B547" s="47">
        <v>13311.0</v>
      </c>
      <c r="C547" s="47">
        <v>4.0</v>
      </c>
      <c r="D547" s="47" t="s">
        <v>4044</v>
      </c>
      <c r="E547" s="47" t="str">
        <f t="shared" si="1"/>
        <v>4A</v>
      </c>
      <c r="F547" s="47" t="s">
        <v>4046</v>
      </c>
      <c r="G547" s="47" t="s">
        <v>275</v>
      </c>
      <c r="H547" s="48">
        <f>IF(NOT(ISBLANK(vlookup(B547,Pop_Census_2023!$A$2:$E$3220,4,FALSE))),vlookup(B547,Pop_Census_2023!$A$2:$E$3220,4,FALSE), vlookup(B547,Pop_Census_2023!$A$2:$E$3220,5,FALSE))</f>
        <v>29026</v>
      </c>
    </row>
    <row r="548">
      <c r="A548" s="47" t="s">
        <v>2314</v>
      </c>
      <c r="B548" s="47">
        <v>13313.0</v>
      </c>
      <c r="C548" s="47">
        <v>4.0</v>
      </c>
      <c r="D548" s="47" t="s">
        <v>4044</v>
      </c>
      <c r="E548" s="47" t="str">
        <f t="shared" si="1"/>
        <v>4A</v>
      </c>
      <c r="F548" s="47" t="s">
        <v>4046</v>
      </c>
      <c r="G548" s="47" t="s">
        <v>565</v>
      </c>
      <c r="H548" s="48">
        <f>IF(NOT(ISBLANK(vlookup(B548,Pop_Census_2023!$A$2:$E$3220,4,FALSE))),vlookup(B548,Pop_Census_2023!$A$2:$E$3220,4,FALSE), vlookup(B548,Pop_Census_2023!$A$2:$E$3220,5,FALSE))</f>
        <v>103687</v>
      </c>
    </row>
    <row r="549">
      <c r="A549" s="47" t="s">
        <v>2314</v>
      </c>
      <c r="B549" s="47">
        <v>13315.0</v>
      </c>
      <c r="C549" s="47">
        <v>3.0</v>
      </c>
      <c r="D549" s="47" t="s">
        <v>4044</v>
      </c>
      <c r="E549" s="47" t="str">
        <f t="shared" si="1"/>
        <v>3A</v>
      </c>
      <c r="F549" s="47" t="s">
        <v>4045</v>
      </c>
      <c r="G549" s="47" t="s">
        <v>168</v>
      </c>
      <c r="H549" s="48">
        <f>IF(NOT(ISBLANK(vlookup(B549,Pop_Census_2023!$A$2:$E$3220,4,FALSE))),vlookup(B549,Pop_Census_2023!$A$2:$E$3220,4,FALSE), vlookup(B549,Pop_Census_2023!$A$2:$E$3220,5,FALSE))</f>
        <v>8779</v>
      </c>
    </row>
    <row r="550">
      <c r="A550" s="47" t="s">
        <v>2314</v>
      </c>
      <c r="B550" s="47">
        <v>13317.0</v>
      </c>
      <c r="C550" s="47">
        <v>3.0</v>
      </c>
      <c r="D550" s="47" t="s">
        <v>4044</v>
      </c>
      <c r="E550" s="47" t="str">
        <f t="shared" si="1"/>
        <v>3A</v>
      </c>
      <c r="F550" s="47" t="s">
        <v>4046</v>
      </c>
      <c r="G550" s="47" t="s">
        <v>566</v>
      </c>
      <c r="H550" s="48">
        <f>IF(NOT(ISBLANK(vlookup(B550,Pop_Census_2023!$A$2:$E$3220,4,FALSE))),vlookup(B550,Pop_Census_2023!$A$2:$E$3220,4,FALSE), vlookup(B550,Pop_Census_2023!$A$2:$E$3220,5,FALSE))</f>
        <v>9518</v>
      </c>
    </row>
    <row r="551">
      <c r="A551" s="47" t="s">
        <v>2314</v>
      </c>
      <c r="B551" s="47">
        <v>13319.0</v>
      </c>
      <c r="C551" s="47">
        <v>3.0</v>
      </c>
      <c r="D551" s="47" t="s">
        <v>4044</v>
      </c>
      <c r="E551" s="47" t="str">
        <f t="shared" si="1"/>
        <v>3A</v>
      </c>
      <c r="F551" s="47" t="s">
        <v>4046</v>
      </c>
      <c r="G551" s="47" t="s">
        <v>567</v>
      </c>
      <c r="H551" s="48">
        <f>IF(NOT(ISBLANK(vlookup(B551,Pop_Census_2023!$A$2:$E$3220,4,FALSE))),vlookup(B551,Pop_Census_2023!$A$2:$E$3220,4,FALSE), vlookup(B551,Pop_Census_2023!$A$2:$E$3220,5,FALSE))</f>
        <v>8725</v>
      </c>
    </row>
    <row r="552">
      <c r="A552" s="47" t="s">
        <v>2314</v>
      </c>
      <c r="B552" s="47">
        <v>13321.0</v>
      </c>
      <c r="C552" s="47">
        <v>3.0</v>
      </c>
      <c r="D552" s="47" t="s">
        <v>4044</v>
      </c>
      <c r="E552" s="47" t="str">
        <f t="shared" si="1"/>
        <v>3A</v>
      </c>
      <c r="F552" s="47" t="s">
        <v>4045</v>
      </c>
      <c r="G552" s="47" t="s">
        <v>568</v>
      </c>
      <c r="H552" s="48">
        <f>IF(NOT(ISBLANK(vlookup(B552,Pop_Census_2023!$A$2:$E$3220,4,FALSE))),vlookup(B552,Pop_Census_2023!$A$2:$E$3220,4,FALSE), vlookup(B552,Pop_Census_2023!$A$2:$E$3220,5,FALSE))</f>
        <v>20273</v>
      </c>
    </row>
    <row r="553">
      <c r="A553" s="47" t="s">
        <v>4059</v>
      </c>
      <c r="B553" s="47">
        <v>66010.0</v>
      </c>
      <c r="C553" s="47">
        <v>1.0</v>
      </c>
      <c r="D553" s="47" t="s">
        <v>4044</v>
      </c>
      <c r="E553" s="47" t="str">
        <f t="shared" si="1"/>
        <v>1A</v>
      </c>
      <c r="F553" s="47" t="s">
        <v>4045</v>
      </c>
      <c r="G553" s="47" t="s">
        <v>4060</v>
      </c>
      <c r="H553" s="34" t="str">
        <f>IF(NOT(ISBLANK(vlookup(B553,Pop_Census_2023!$A$2:$E$3220,4,FALSE))),vlookup(B553,Pop_Census_2023!$A$2:$E$3220,4,FALSE), vlookup(B553,Pop_Census_2023!$A$2:$E$3220,5,FALSE))</f>
        <v>#N/A</v>
      </c>
    </row>
    <row r="554">
      <c r="A554" s="47" t="s">
        <v>2423</v>
      </c>
      <c r="B554" s="47">
        <v>15001.0</v>
      </c>
      <c r="C554" s="47">
        <v>1.0</v>
      </c>
      <c r="D554" s="47" t="s">
        <v>4044</v>
      </c>
      <c r="E554" s="47" t="str">
        <f t="shared" si="1"/>
        <v>1A</v>
      </c>
      <c r="F554" s="47" t="s">
        <v>4045</v>
      </c>
      <c r="G554" s="47" t="s">
        <v>570</v>
      </c>
      <c r="H554" s="48">
        <f>IF(NOT(ISBLANK(vlookup(B554,Pop_Census_2023!$A$2:$E$3220,4,FALSE))),vlookup(B554,Pop_Census_2023!$A$2:$E$3220,4,FALSE), vlookup(B554,Pop_Census_2023!$A$2:$E$3220,5,FALSE))</f>
        <v>207615</v>
      </c>
    </row>
    <row r="555">
      <c r="A555" s="47" t="s">
        <v>2423</v>
      </c>
      <c r="B555" s="47">
        <v>15003.0</v>
      </c>
      <c r="C555" s="47">
        <v>1.0</v>
      </c>
      <c r="D555" s="47" t="s">
        <v>4044</v>
      </c>
      <c r="E555" s="47" t="str">
        <f t="shared" si="1"/>
        <v>1A</v>
      </c>
      <c r="F555" s="47" t="s">
        <v>4045</v>
      </c>
      <c r="G555" s="47" t="s">
        <v>4061</v>
      </c>
      <c r="H555" s="48">
        <f>IF(NOT(ISBLANK(vlookup(B555,Pop_Census_2023!$A$2:$E$3220,4,FALSE))),vlookup(B555,Pop_Census_2023!$A$2:$E$3220,4,FALSE), vlookup(B555,Pop_Census_2023!$A$2:$E$3220,5,FALSE))</f>
        <v>989408</v>
      </c>
    </row>
    <row r="556">
      <c r="A556" s="47" t="s">
        <v>2423</v>
      </c>
      <c r="B556" s="47">
        <v>15005.0</v>
      </c>
      <c r="C556" s="47">
        <v>1.0</v>
      </c>
      <c r="D556" s="47" t="s">
        <v>4044</v>
      </c>
      <c r="E556" s="47" t="str">
        <f t="shared" si="1"/>
        <v>1A</v>
      </c>
      <c r="F556" s="47" t="s">
        <v>4045</v>
      </c>
      <c r="G556" s="47" t="s">
        <v>4062</v>
      </c>
      <c r="H556" s="34">
        <f>IF(NOT(ISBLANK(vlookup(B556,Pop_Census_2023!$A$2:$E$3220,4,FALSE))),vlookup(B556,Pop_Census_2023!$A$2:$E$3220,4,FALSE), vlookup(B556,Pop_Census_2023!$A$2:$E$3220,5,FALSE))</f>
        <v>81</v>
      </c>
    </row>
    <row r="557">
      <c r="A557" s="47" t="s">
        <v>2423</v>
      </c>
      <c r="B557" s="47">
        <v>15007.0</v>
      </c>
      <c r="C557" s="47">
        <v>1.0</v>
      </c>
      <c r="D557" s="47" t="s">
        <v>4044</v>
      </c>
      <c r="E557" s="47" t="str">
        <f t="shared" si="1"/>
        <v>1A</v>
      </c>
      <c r="F557" s="47" t="s">
        <v>4045</v>
      </c>
      <c r="G557" s="47" t="s">
        <v>4063</v>
      </c>
      <c r="H557" s="48">
        <f>IF(NOT(ISBLANK(vlookup(B557,Pop_Census_2023!$A$2:$E$3220,4,FALSE))),vlookup(B557,Pop_Census_2023!$A$2:$E$3220,4,FALSE), vlookup(B557,Pop_Census_2023!$A$2:$E$3220,5,FALSE))</f>
        <v>73851</v>
      </c>
    </row>
    <row r="558">
      <c r="A558" s="47" t="s">
        <v>2423</v>
      </c>
      <c r="B558" s="47">
        <v>15009.0</v>
      </c>
      <c r="C558" s="47">
        <v>1.0</v>
      </c>
      <c r="D558" s="47" t="s">
        <v>4044</v>
      </c>
      <c r="E558" s="47" t="str">
        <f t="shared" si="1"/>
        <v>1A</v>
      </c>
      <c r="F558" s="47" t="s">
        <v>4045</v>
      </c>
      <c r="G558" s="47" t="s">
        <v>4064</v>
      </c>
      <c r="H558" s="48">
        <f>IF(NOT(ISBLANK(vlookup(B558,Pop_Census_2023!$A$2:$E$3220,4,FALSE))),vlookup(B558,Pop_Census_2023!$A$2:$E$3220,4,FALSE), vlookup(B558,Pop_Census_2023!$A$2:$E$3220,5,FALSE))</f>
        <v>164183</v>
      </c>
    </row>
    <row r="559">
      <c r="A559" s="47" t="s">
        <v>2555</v>
      </c>
      <c r="B559" s="47">
        <v>19001.0</v>
      </c>
      <c r="C559" s="47">
        <v>5.0</v>
      </c>
      <c r="D559" s="47" t="s">
        <v>4044</v>
      </c>
      <c r="E559" s="47" t="str">
        <f t="shared" si="1"/>
        <v>5A</v>
      </c>
      <c r="F559" s="47" t="s">
        <v>4054</v>
      </c>
      <c r="G559" s="47" t="s">
        <v>704</v>
      </c>
      <c r="H559" s="48">
        <f>IF(NOT(ISBLANK(vlookup(B559,Pop_Census_2023!$A$2:$E$3220,4,FALSE))),vlookup(B559,Pop_Census_2023!$A$2:$E$3220,4,FALSE), vlookup(B559,Pop_Census_2023!$A$2:$E$3220,5,FALSE))</f>
        <v>7389</v>
      </c>
    </row>
    <row r="560">
      <c r="A560" s="47" t="s">
        <v>2555</v>
      </c>
      <c r="B560" s="47">
        <v>19003.0</v>
      </c>
      <c r="C560" s="47">
        <v>5.0</v>
      </c>
      <c r="D560" s="47" t="s">
        <v>4044</v>
      </c>
      <c r="E560" s="47" t="str">
        <f t="shared" si="1"/>
        <v>5A</v>
      </c>
      <c r="F560" s="47" t="s">
        <v>4054</v>
      </c>
      <c r="G560" s="47" t="s">
        <v>338</v>
      </c>
      <c r="H560" s="48">
        <f>IF(NOT(ISBLANK(vlookup(B560,Pop_Census_2023!$A$2:$E$3220,4,FALSE))),vlookup(B560,Pop_Census_2023!$A$2:$E$3220,4,FALSE), vlookup(B560,Pop_Census_2023!$A$2:$E$3220,5,FALSE))</f>
        <v>3544</v>
      </c>
    </row>
    <row r="561">
      <c r="A561" s="47" t="s">
        <v>2555</v>
      </c>
      <c r="B561" s="47">
        <v>19005.0</v>
      </c>
      <c r="C561" s="47">
        <v>6.0</v>
      </c>
      <c r="D561" s="47" t="s">
        <v>4044</v>
      </c>
      <c r="E561" s="47" t="str">
        <f t="shared" si="1"/>
        <v>6A</v>
      </c>
      <c r="F561" s="47" t="s">
        <v>4054</v>
      </c>
      <c r="G561" s="47" t="s">
        <v>706</v>
      </c>
      <c r="H561" s="48">
        <f>IF(NOT(ISBLANK(vlookup(B561,Pop_Census_2023!$A$2:$E$3220,4,FALSE))),vlookup(B561,Pop_Census_2023!$A$2:$E$3220,4,FALSE), vlookup(B561,Pop_Census_2023!$A$2:$E$3220,5,FALSE))</f>
        <v>14074</v>
      </c>
    </row>
    <row r="562">
      <c r="A562" s="47" t="s">
        <v>2555</v>
      </c>
      <c r="B562" s="47">
        <v>19007.0</v>
      </c>
      <c r="C562" s="47">
        <v>5.0</v>
      </c>
      <c r="D562" s="47" t="s">
        <v>4044</v>
      </c>
      <c r="E562" s="47" t="str">
        <f t="shared" si="1"/>
        <v>5A</v>
      </c>
      <c r="F562" s="47" t="s">
        <v>4054</v>
      </c>
      <c r="G562" s="47" t="s">
        <v>708</v>
      </c>
      <c r="H562" s="48">
        <f>IF(NOT(ISBLANK(vlookup(B562,Pop_Census_2023!$A$2:$E$3220,4,FALSE))),vlookup(B562,Pop_Census_2023!$A$2:$E$3220,4,FALSE), vlookup(B562,Pop_Census_2023!$A$2:$E$3220,5,FALSE))</f>
        <v>12119</v>
      </c>
    </row>
    <row r="563">
      <c r="A563" s="47" t="s">
        <v>2555</v>
      </c>
      <c r="B563" s="47">
        <v>19009.0</v>
      </c>
      <c r="C563" s="47">
        <v>5.0</v>
      </c>
      <c r="D563" s="47" t="s">
        <v>4044</v>
      </c>
      <c r="E563" s="47" t="str">
        <f t="shared" si="1"/>
        <v>5A</v>
      </c>
      <c r="F563" s="47" t="s">
        <v>4054</v>
      </c>
      <c r="G563" s="47" t="s">
        <v>709</v>
      </c>
      <c r="H563" s="48">
        <f>IF(NOT(ISBLANK(vlookup(B563,Pop_Census_2023!$A$2:$E$3220,4,FALSE))),vlookup(B563,Pop_Census_2023!$A$2:$E$3220,4,FALSE), vlookup(B563,Pop_Census_2023!$A$2:$E$3220,5,FALSE))</f>
        <v>5534</v>
      </c>
    </row>
    <row r="564">
      <c r="A564" s="47" t="s">
        <v>2555</v>
      </c>
      <c r="B564" s="47">
        <v>19011.0</v>
      </c>
      <c r="C564" s="47">
        <v>5.0</v>
      </c>
      <c r="D564" s="47" t="s">
        <v>4044</v>
      </c>
      <c r="E564" s="47" t="str">
        <f t="shared" si="1"/>
        <v>5A</v>
      </c>
      <c r="F564" s="47" t="s">
        <v>4054</v>
      </c>
      <c r="G564" s="47" t="s">
        <v>224</v>
      </c>
      <c r="H564" s="48">
        <f>IF(NOT(ISBLANK(vlookup(B564,Pop_Census_2023!$A$2:$E$3220,4,FALSE))),vlookup(B564,Pop_Census_2023!$A$2:$E$3220,4,FALSE), vlookup(B564,Pop_Census_2023!$A$2:$E$3220,5,FALSE))</f>
        <v>25796</v>
      </c>
    </row>
    <row r="565">
      <c r="A565" s="47" t="s">
        <v>2555</v>
      </c>
      <c r="B565" s="47">
        <v>19013.0</v>
      </c>
      <c r="C565" s="47">
        <v>6.0</v>
      </c>
      <c r="D565" s="47" t="s">
        <v>4044</v>
      </c>
      <c r="E565" s="47" t="str">
        <f t="shared" si="1"/>
        <v>6A</v>
      </c>
      <c r="F565" s="47" t="s">
        <v>4054</v>
      </c>
      <c r="G565" s="47" t="s">
        <v>710</v>
      </c>
      <c r="H565" s="48">
        <f>IF(NOT(ISBLANK(vlookup(B565,Pop_Census_2023!$A$2:$E$3220,4,FALSE))),vlookup(B565,Pop_Census_2023!$A$2:$E$3220,4,FALSE), vlookup(B565,Pop_Census_2023!$A$2:$E$3220,5,FALSE))</f>
        <v>130471</v>
      </c>
    </row>
    <row r="566">
      <c r="A566" s="47" t="s">
        <v>2555</v>
      </c>
      <c r="B566" s="47">
        <v>19015.0</v>
      </c>
      <c r="C566" s="47">
        <v>5.0</v>
      </c>
      <c r="D566" s="47" t="s">
        <v>4044</v>
      </c>
      <c r="E566" s="47" t="str">
        <f t="shared" si="1"/>
        <v>5A</v>
      </c>
      <c r="F566" s="47" t="s">
        <v>4054</v>
      </c>
      <c r="G566" s="47" t="s">
        <v>225</v>
      </c>
      <c r="H566" s="48">
        <f>IF(NOT(ISBLANK(vlookup(B566,Pop_Census_2023!$A$2:$E$3220,4,FALSE))),vlookup(B566,Pop_Census_2023!$A$2:$E$3220,4,FALSE), vlookup(B566,Pop_Census_2023!$A$2:$E$3220,5,FALSE))</f>
        <v>26590</v>
      </c>
    </row>
    <row r="567">
      <c r="A567" s="47" t="s">
        <v>2555</v>
      </c>
      <c r="B567" s="47">
        <v>19017.0</v>
      </c>
      <c r="C567" s="47">
        <v>6.0</v>
      </c>
      <c r="D567" s="47" t="s">
        <v>4044</v>
      </c>
      <c r="E567" s="47" t="str">
        <f t="shared" si="1"/>
        <v>6A</v>
      </c>
      <c r="F567" s="47" t="s">
        <v>4054</v>
      </c>
      <c r="G567" s="47" t="s">
        <v>711</v>
      </c>
      <c r="H567" s="48">
        <f>IF(NOT(ISBLANK(vlookup(B567,Pop_Census_2023!$A$2:$E$3220,4,FALSE))),vlookup(B567,Pop_Census_2023!$A$2:$E$3220,4,FALSE), vlookup(B567,Pop_Census_2023!$A$2:$E$3220,5,FALSE))</f>
        <v>25307</v>
      </c>
    </row>
    <row r="568">
      <c r="A568" s="47" t="s">
        <v>2555</v>
      </c>
      <c r="B568" s="47">
        <v>19019.0</v>
      </c>
      <c r="C568" s="47">
        <v>6.0</v>
      </c>
      <c r="D568" s="47" t="s">
        <v>4044</v>
      </c>
      <c r="E568" s="47" t="str">
        <f t="shared" si="1"/>
        <v>6A</v>
      </c>
      <c r="F568" s="47" t="s">
        <v>4054</v>
      </c>
      <c r="G568" s="47" t="s">
        <v>712</v>
      </c>
      <c r="H568" s="48">
        <f>IF(NOT(ISBLANK(vlookup(B568,Pop_Census_2023!$A$2:$E$3220,4,FALSE))),vlookup(B568,Pop_Census_2023!$A$2:$E$3220,4,FALSE), vlookup(B568,Pop_Census_2023!$A$2:$E$3220,5,FALSE))</f>
        <v>20691</v>
      </c>
    </row>
    <row r="569">
      <c r="A569" s="47" t="s">
        <v>2555</v>
      </c>
      <c r="B569" s="47">
        <v>19021.0</v>
      </c>
      <c r="C569" s="47">
        <v>6.0</v>
      </c>
      <c r="D569" s="47" t="s">
        <v>4044</v>
      </c>
      <c r="E569" s="47" t="str">
        <f t="shared" si="1"/>
        <v>6A</v>
      </c>
      <c r="F569" s="47" t="s">
        <v>4054</v>
      </c>
      <c r="G569" s="47" t="s">
        <v>713</v>
      </c>
      <c r="H569" s="48">
        <f>IF(NOT(ISBLANK(vlookup(B569,Pop_Census_2023!$A$2:$E$3220,4,FALSE))),vlookup(B569,Pop_Census_2023!$A$2:$E$3220,4,FALSE), vlookup(B569,Pop_Census_2023!$A$2:$E$3220,5,FALSE))</f>
        <v>20567</v>
      </c>
    </row>
    <row r="570">
      <c r="A570" s="47" t="s">
        <v>2555</v>
      </c>
      <c r="B570" s="47">
        <v>19023.0</v>
      </c>
      <c r="C570" s="47">
        <v>6.0</v>
      </c>
      <c r="D570" s="47" t="s">
        <v>4044</v>
      </c>
      <c r="E570" s="47" t="str">
        <f t="shared" si="1"/>
        <v>6A</v>
      </c>
      <c r="F570" s="47" t="s">
        <v>4054</v>
      </c>
      <c r="G570" s="47" t="s">
        <v>109</v>
      </c>
      <c r="H570" s="48">
        <f>IF(NOT(ISBLANK(vlookup(B570,Pop_Census_2023!$A$2:$E$3220,4,FALSE))),vlookup(B570,Pop_Census_2023!$A$2:$E$3220,4,FALSE), vlookup(B570,Pop_Census_2023!$A$2:$E$3220,5,FALSE))</f>
        <v>14172</v>
      </c>
    </row>
    <row r="571">
      <c r="A571" s="47" t="s">
        <v>2555</v>
      </c>
      <c r="B571" s="47">
        <v>19025.0</v>
      </c>
      <c r="C571" s="47">
        <v>6.0</v>
      </c>
      <c r="D571" s="47" t="s">
        <v>4044</v>
      </c>
      <c r="E571" s="47" t="str">
        <f t="shared" si="1"/>
        <v>6A</v>
      </c>
      <c r="F571" s="47" t="s">
        <v>4054</v>
      </c>
      <c r="G571" s="47" t="s">
        <v>110</v>
      </c>
      <c r="H571" s="48">
        <f>IF(NOT(ISBLANK(vlookup(B571,Pop_Census_2023!$A$2:$E$3220,4,FALSE))),vlookup(B571,Pop_Census_2023!$A$2:$E$3220,4,FALSE), vlookup(B571,Pop_Census_2023!$A$2:$E$3220,5,FALSE))</f>
        <v>9763</v>
      </c>
    </row>
    <row r="572">
      <c r="A572" s="47" t="s">
        <v>2555</v>
      </c>
      <c r="B572" s="47">
        <v>19027.0</v>
      </c>
      <c r="C572" s="47">
        <v>5.0</v>
      </c>
      <c r="D572" s="47" t="s">
        <v>4044</v>
      </c>
      <c r="E572" s="47" t="str">
        <f t="shared" si="1"/>
        <v>5A</v>
      </c>
      <c r="F572" s="47" t="s">
        <v>4054</v>
      </c>
      <c r="G572" s="47" t="s">
        <v>227</v>
      </c>
      <c r="H572" s="48">
        <f>IF(NOT(ISBLANK(vlookup(B572,Pop_Census_2023!$A$2:$E$3220,4,FALSE))),vlookup(B572,Pop_Census_2023!$A$2:$E$3220,4,FALSE), vlookup(B572,Pop_Census_2023!$A$2:$E$3220,5,FALSE))</f>
        <v>20522</v>
      </c>
    </row>
    <row r="573">
      <c r="A573" s="47" t="s">
        <v>2555</v>
      </c>
      <c r="B573" s="47">
        <v>19029.0</v>
      </c>
      <c r="C573" s="47">
        <v>5.0</v>
      </c>
      <c r="D573" s="47" t="s">
        <v>4044</v>
      </c>
      <c r="E573" s="47" t="str">
        <f t="shared" si="1"/>
        <v>5A</v>
      </c>
      <c r="F573" s="47" t="s">
        <v>4054</v>
      </c>
      <c r="G573" s="47" t="s">
        <v>613</v>
      </c>
      <c r="H573" s="48">
        <f>IF(NOT(ISBLANK(vlookup(B573,Pop_Census_2023!$A$2:$E$3220,4,FALSE))),vlookup(B573,Pop_Census_2023!$A$2:$E$3220,4,FALSE), vlookup(B573,Pop_Census_2023!$A$2:$E$3220,5,FALSE))</f>
        <v>13130</v>
      </c>
    </row>
    <row r="574">
      <c r="A574" s="47" t="s">
        <v>2555</v>
      </c>
      <c r="B574" s="47">
        <v>19031.0</v>
      </c>
      <c r="C574" s="47">
        <v>5.0</v>
      </c>
      <c r="D574" s="47" t="s">
        <v>4044</v>
      </c>
      <c r="E574" s="47" t="str">
        <f t="shared" si="1"/>
        <v>5A</v>
      </c>
      <c r="F574" s="47" t="s">
        <v>4054</v>
      </c>
      <c r="G574" s="47" t="s">
        <v>714</v>
      </c>
      <c r="H574" s="48">
        <f>IF(NOT(ISBLANK(vlookup(B574,Pop_Census_2023!$A$2:$E$3220,4,FALSE))),vlookup(B574,Pop_Census_2023!$A$2:$E$3220,4,FALSE), vlookup(B574,Pop_Census_2023!$A$2:$E$3220,5,FALSE))</f>
        <v>18302</v>
      </c>
    </row>
    <row r="575">
      <c r="A575" s="47" t="s">
        <v>2555</v>
      </c>
      <c r="B575" s="47">
        <v>19033.0</v>
      </c>
      <c r="C575" s="47">
        <v>6.0</v>
      </c>
      <c r="D575" s="47" t="s">
        <v>4044</v>
      </c>
      <c r="E575" s="47" t="str">
        <f t="shared" si="1"/>
        <v>6A</v>
      </c>
      <c r="F575" s="47" t="s">
        <v>4054</v>
      </c>
      <c r="G575" s="47" t="s">
        <v>715</v>
      </c>
      <c r="H575" s="48">
        <f>IF(NOT(ISBLANK(vlookup(B575,Pop_Census_2023!$A$2:$E$3220,4,FALSE))),vlookup(B575,Pop_Census_2023!$A$2:$E$3220,4,FALSE), vlookup(B575,Pop_Census_2023!$A$2:$E$3220,5,FALSE))</f>
        <v>42406</v>
      </c>
    </row>
    <row r="576">
      <c r="A576" s="47" t="s">
        <v>2555</v>
      </c>
      <c r="B576" s="47">
        <v>19035.0</v>
      </c>
      <c r="C576" s="47">
        <v>6.0</v>
      </c>
      <c r="D576" s="47" t="s">
        <v>4044</v>
      </c>
      <c r="E576" s="47" t="str">
        <f t="shared" si="1"/>
        <v>6A</v>
      </c>
      <c r="F576" s="47" t="s">
        <v>4054</v>
      </c>
      <c r="G576" s="47" t="s">
        <v>112</v>
      </c>
      <c r="H576" s="48">
        <f>IF(NOT(ISBLANK(vlookup(B576,Pop_Census_2023!$A$2:$E$3220,4,FALSE))),vlookup(B576,Pop_Census_2023!$A$2:$E$3220,4,FALSE), vlookup(B576,Pop_Census_2023!$A$2:$E$3220,5,FALSE))</f>
        <v>11605</v>
      </c>
    </row>
    <row r="577">
      <c r="A577" s="47" t="s">
        <v>2555</v>
      </c>
      <c r="B577" s="47">
        <v>19037.0</v>
      </c>
      <c r="C577" s="47">
        <v>6.0</v>
      </c>
      <c r="D577" s="47" t="s">
        <v>4044</v>
      </c>
      <c r="E577" s="47" t="str">
        <f t="shared" si="1"/>
        <v>6A</v>
      </c>
      <c r="F577" s="47" t="s">
        <v>4054</v>
      </c>
      <c r="G577" s="47" t="s">
        <v>716</v>
      </c>
      <c r="H577" s="48">
        <f>IF(NOT(ISBLANK(vlookup(B577,Pop_Census_2023!$A$2:$E$3220,4,FALSE))),vlookup(B577,Pop_Census_2023!$A$2:$E$3220,4,FALSE), vlookup(B577,Pop_Census_2023!$A$2:$E$3220,5,FALSE))</f>
        <v>11658</v>
      </c>
    </row>
    <row r="578">
      <c r="A578" s="47" t="s">
        <v>2555</v>
      </c>
      <c r="B578" s="47">
        <v>19039.0</v>
      </c>
      <c r="C578" s="47">
        <v>5.0</v>
      </c>
      <c r="D578" s="47" t="s">
        <v>4044</v>
      </c>
      <c r="E578" s="47" t="str">
        <f t="shared" si="1"/>
        <v>5A</v>
      </c>
      <c r="F578" s="47" t="s">
        <v>4054</v>
      </c>
      <c r="G578" s="47" t="s">
        <v>115</v>
      </c>
      <c r="H578" s="48">
        <f>IF(NOT(ISBLANK(vlookup(B578,Pop_Census_2023!$A$2:$E$3220,4,FALSE))),vlookup(B578,Pop_Census_2023!$A$2:$E$3220,4,FALSE), vlookup(B578,Pop_Census_2023!$A$2:$E$3220,5,FALSE))</f>
        <v>9588</v>
      </c>
    </row>
    <row r="579">
      <c r="A579" s="47" t="s">
        <v>2555</v>
      </c>
      <c r="B579" s="47">
        <v>19041.0</v>
      </c>
      <c r="C579" s="47">
        <v>6.0</v>
      </c>
      <c r="D579" s="47" t="s">
        <v>4044</v>
      </c>
      <c r="E579" s="47" t="str">
        <f t="shared" si="1"/>
        <v>6A</v>
      </c>
      <c r="F579" s="47" t="s">
        <v>4054</v>
      </c>
      <c r="G579" s="47" t="s">
        <v>116</v>
      </c>
      <c r="H579" s="48">
        <f>IF(NOT(ISBLANK(vlookup(B579,Pop_Census_2023!$A$2:$E$3220,4,FALSE))),vlookup(B579,Pop_Census_2023!$A$2:$E$3220,4,FALSE), vlookup(B579,Pop_Census_2023!$A$2:$E$3220,5,FALSE))</f>
        <v>16511</v>
      </c>
    </row>
    <row r="580">
      <c r="A580" s="47" t="s">
        <v>2555</v>
      </c>
      <c r="B580" s="47">
        <v>19043.0</v>
      </c>
      <c r="C580" s="47">
        <v>6.0</v>
      </c>
      <c r="D580" s="47" t="s">
        <v>4044</v>
      </c>
      <c r="E580" s="47" t="str">
        <f t="shared" si="1"/>
        <v>6A</v>
      </c>
      <c r="F580" s="47" t="s">
        <v>4054</v>
      </c>
      <c r="G580" s="47" t="s">
        <v>483</v>
      </c>
      <c r="H580" s="48">
        <f>IF(NOT(ISBLANK(vlookup(B580,Pop_Census_2023!$A$2:$E$3220,4,FALSE))),vlookup(B580,Pop_Census_2023!$A$2:$E$3220,4,FALSE), vlookup(B580,Pop_Census_2023!$A$2:$E$3220,5,FALSE))</f>
        <v>16969</v>
      </c>
    </row>
    <row r="581">
      <c r="A581" s="47" t="s">
        <v>2555</v>
      </c>
      <c r="B581" s="47">
        <v>19045.0</v>
      </c>
      <c r="C581" s="47">
        <v>5.0</v>
      </c>
      <c r="D581" s="47" t="s">
        <v>4044</v>
      </c>
      <c r="E581" s="47" t="str">
        <f t="shared" si="1"/>
        <v>5A</v>
      </c>
      <c r="F581" s="47" t="s">
        <v>4054</v>
      </c>
      <c r="G581" s="47" t="s">
        <v>616</v>
      </c>
      <c r="H581" s="48">
        <f>IF(NOT(ISBLANK(vlookup(B581,Pop_Census_2023!$A$2:$E$3220,4,FALSE))),vlookup(B581,Pop_Census_2023!$A$2:$E$3220,4,FALSE), vlookup(B581,Pop_Census_2023!$A$2:$E$3220,5,FALSE))</f>
        <v>46158</v>
      </c>
    </row>
    <row r="582">
      <c r="A582" s="47" t="s">
        <v>2555</v>
      </c>
      <c r="B582" s="47">
        <v>19047.0</v>
      </c>
      <c r="C582" s="47">
        <v>6.0</v>
      </c>
      <c r="D582" s="47" t="s">
        <v>4044</v>
      </c>
      <c r="E582" s="47" t="str">
        <f t="shared" si="1"/>
        <v>6A</v>
      </c>
      <c r="F582" s="47" t="s">
        <v>4054</v>
      </c>
      <c r="G582" s="47" t="s">
        <v>234</v>
      </c>
      <c r="H582" s="48">
        <f>IF(NOT(ISBLANK(vlookup(B582,Pop_Census_2023!$A$2:$E$3220,4,FALSE))),vlookup(B582,Pop_Census_2023!$A$2:$E$3220,4,FALSE), vlookup(B582,Pop_Census_2023!$A$2:$E$3220,5,FALSE))</f>
        <v>16013</v>
      </c>
    </row>
    <row r="583">
      <c r="A583" s="47" t="s">
        <v>2555</v>
      </c>
      <c r="B583" s="47">
        <v>19049.0</v>
      </c>
      <c r="C583" s="47">
        <v>5.0</v>
      </c>
      <c r="D583" s="47" t="s">
        <v>4044</v>
      </c>
      <c r="E583" s="47" t="str">
        <f t="shared" si="1"/>
        <v>5A</v>
      </c>
      <c r="F583" s="47" t="s">
        <v>4054</v>
      </c>
      <c r="G583" s="47" t="s">
        <v>126</v>
      </c>
      <c r="H583" s="48">
        <f>IF(NOT(ISBLANK(vlookup(B583,Pop_Census_2023!$A$2:$E$3220,4,FALSE))),vlookup(B583,Pop_Census_2023!$A$2:$E$3220,4,FALSE), vlookup(B583,Pop_Census_2023!$A$2:$E$3220,5,FALSE))</f>
        <v>111092</v>
      </c>
    </row>
    <row r="584">
      <c r="A584" s="47" t="s">
        <v>2555</v>
      </c>
      <c r="B584" s="47">
        <v>19051.0</v>
      </c>
      <c r="C584" s="47">
        <v>5.0</v>
      </c>
      <c r="D584" s="47" t="s">
        <v>4044</v>
      </c>
      <c r="E584" s="47" t="str">
        <f t="shared" si="1"/>
        <v>5A</v>
      </c>
      <c r="F584" s="47" t="s">
        <v>4054</v>
      </c>
      <c r="G584" s="47" t="s">
        <v>717</v>
      </c>
      <c r="H584" s="48">
        <f>IF(NOT(ISBLANK(vlookup(B584,Pop_Census_2023!$A$2:$E$3220,4,FALSE))),vlookup(B584,Pop_Census_2023!$A$2:$E$3220,4,FALSE), vlookup(B584,Pop_Census_2023!$A$2:$E$3220,5,FALSE))</f>
        <v>9169</v>
      </c>
    </row>
    <row r="585">
      <c r="A585" s="47" t="s">
        <v>2555</v>
      </c>
      <c r="B585" s="47">
        <v>19053.0</v>
      </c>
      <c r="C585" s="47">
        <v>5.0</v>
      </c>
      <c r="D585" s="47" t="s">
        <v>4044</v>
      </c>
      <c r="E585" s="47" t="str">
        <f t="shared" si="1"/>
        <v>5A</v>
      </c>
      <c r="F585" s="47" t="s">
        <v>4054</v>
      </c>
      <c r="G585" s="47" t="s">
        <v>492</v>
      </c>
      <c r="H585" s="48">
        <f>IF(NOT(ISBLANK(vlookup(B585,Pop_Census_2023!$A$2:$E$3220,4,FALSE))),vlookup(B585,Pop_Census_2023!$A$2:$E$3220,4,FALSE), vlookup(B585,Pop_Census_2023!$A$2:$E$3220,5,FALSE))</f>
        <v>7665</v>
      </c>
    </row>
    <row r="586">
      <c r="A586" s="47" t="s">
        <v>2555</v>
      </c>
      <c r="B586" s="47">
        <v>19055.0</v>
      </c>
      <c r="C586" s="47">
        <v>6.0</v>
      </c>
      <c r="D586" s="47" t="s">
        <v>4044</v>
      </c>
      <c r="E586" s="47" t="str">
        <f t="shared" si="1"/>
        <v>6A</v>
      </c>
      <c r="F586" s="47" t="s">
        <v>4054</v>
      </c>
      <c r="G586" s="47" t="s">
        <v>405</v>
      </c>
      <c r="H586" s="48">
        <f>IF(NOT(ISBLANK(vlookup(B586,Pop_Census_2023!$A$2:$E$3220,4,FALSE))),vlookup(B586,Pop_Census_2023!$A$2:$E$3220,4,FALSE), vlookup(B586,Pop_Census_2023!$A$2:$E$3220,5,FALSE))</f>
        <v>17600</v>
      </c>
    </row>
    <row r="587">
      <c r="A587" s="47" t="s">
        <v>2555</v>
      </c>
      <c r="B587" s="47">
        <v>19057.0</v>
      </c>
      <c r="C587" s="47">
        <v>5.0</v>
      </c>
      <c r="D587" s="47" t="s">
        <v>4044</v>
      </c>
      <c r="E587" s="47" t="str">
        <f t="shared" si="1"/>
        <v>5A</v>
      </c>
      <c r="F587" s="47" t="s">
        <v>4054</v>
      </c>
      <c r="G587" s="47" t="s">
        <v>718</v>
      </c>
      <c r="H587" s="48">
        <f>IF(NOT(ISBLANK(vlookup(B587,Pop_Census_2023!$A$2:$E$3220,4,FALSE))),vlookup(B587,Pop_Census_2023!$A$2:$E$3220,4,FALSE), vlookup(B587,Pop_Census_2023!$A$2:$E$3220,5,FALSE))</f>
        <v>38253</v>
      </c>
    </row>
    <row r="588">
      <c r="A588" s="47" t="s">
        <v>2555</v>
      </c>
      <c r="B588" s="47">
        <v>19059.0</v>
      </c>
      <c r="C588" s="47">
        <v>6.0</v>
      </c>
      <c r="D588" s="47" t="s">
        <v>4044</v>
      </c>
      <c r="E588" s="47" t="str">
        <f t="shared" si="1"/>
        <v>6A</v>
      </c>
      <c r="F588" s="47" t="s">
        <v>4054</v>
      </c>
      <c r="G588" s="47" t="s">
        <v>719</v>
      </c>
      <c r="H588" s="48">
        <f>IF(NOT(ISBLANK(vlookup(B588,Pop_Census_2023!$A$2:$E$3220,4,FALSE))),vlookup(B588,Pop_Census_2023!$A$2:$E$3220,4,FALSE), vlookup(B588,Pop_Census_2023!$A$2:$E$3220,5,FALSE))</f>
        <v>18056</v>
      </c>
    </row>
    <row r="589">
      <c r="A589" s="47" t="s">
        <v>2555</v>
      </c>
      <c r="B589" s="47">
        <v>19061.0</v>
      </c>
      <c r="C589" s="47">
        <v>5.0</v>
      </c>
      <c r="D589" s="47" t="s">
        <v>4044</v>
      </c>
      <c r="E589" s="47" t="str">
        <f t="shared" si="1"/>
        <v>5A</v>
      </c>
      <c r="F589" s="47" t="s">
        <v>4054</v>
      </c>
      <c r="G589" s="47" t="s">
        <v>720</v>
      </c>
      <c r="H589" s="48">
        <f>IF(NOT(ISBLANK(vlookup(B589,Pop_Census_2023!$A$2:$E$3220,4,FALSE))),vlookup(B589,Pop_Census_2023!$A$2:$E$3220,4,FALSE), vlookup(B589,Pop_Census_2023!$A$2:$E$3220,5,FALSE))</f>
        <v>98887</v>
      </c>
    </row>
    <row r="590">
      <c r="A590" s="47" t="s">
        <v>2555</v>
      </c>
      <c r="B590" s="47">
        <v>19063.0</v>
      </c>
      <c r="C590" s="47">
        <v>6.0</v>
      </c>
      <c r="D590" s="47" t="s">
        <v>4044</v>
      </c>
      <c r="E590" s="47" t="str">
        <f t="shared" si="1"/>
        <v>6A</v>
      </c>
      <c r="F590" s="47" t="s">
        <v>4054</v>
      </c>
      <c r="G590" s="47" t="s">
        <v>721</v>
      </c>
      <c r="H590" s="48">
        <f>IF(NOT(ISBLANK(vlookup(B590,Pop_Census_2023!$A$2:$E$3220,4,FALSE))),vlookup(B590,Pop_Census_2023!$A$2:$E$3220,4,FALSE), vlookup(B590,Pop_Census_2023!$A$2:$E$3220,5,FALSE))</f>
        <v>9229</v>
      </c>
    </row>
    <row r="591">
      <c r="A591" s="47" t="s">
        <v>2555</v>
      </c>
      <c r="B591" s="47">
        <v>19065.0</v>
      </c>
      <c r="C591" s="47">
        <v>6.0</v>
      </c>
      <c r="D591" s="47" t="s">
        <v>4044</v>
      </c>
      <c r="E591" s="47" t="str">
        <f t="shared" si="1"/>
        <v>6A</v>
      </c>
      <c r="F591" s="47" t="s">
        <v>4054</v>
      </c>
      <c r="G591" s="47" t="s">
        <v>131</v>
      </c>
      <c r="H591" s="48">
        <f>IF(NOT(ISBLANK(vlookup(B591,Pop_Census_2023!$A$2:$E$3220,4,FALSE))),vlookup(B591,Pop_Census_2023!$A$2:$E$3220,4,FALSE), vlookup(B591,Pop_Census_2023!$A$2:$E$3220,5,FALSE))</f>
        <v>19210</v>
      </c>
    </row>
    <row r="592">
      <c r="A592" s="47" t="s">
        <v>2555</v>
      </c>
      <c r="B592" s="47">
        <v>19067.0</v>
      </c>
      <c r="C592" s="47">
        <v>6.0</v>
      </c>
      <c r="D592" s="47" t="s">
        <v>4044</v>
      </c>
      <c r="E592" s="47" t="str">
        <f t="shared" si="1"/>
        <v>6A</v>
      </c>
      <c r="F592" s="47" t="s">
        <v>4054</v>
      </c>
      <c r="G592" s="47" t="s">
        <v>502</v>
      </c>
      <c r="H592" s="48">
        <f>IF(NOT(ISBLANK(vlookup(B592,Pop_Census_2023!$A$2:$E$3220,4,FALSE))),vlookup(B592,Pop_Census_2023!$A$2:$E$3220,4,FALSE), vlookup(B592,Pop_Census_2023!$A$2:$E$3220,5,FALSE))</f>
        <v>15326</v>
      </c>
    </row>
    <row r="593">
      <c r="A593" s="47" t="s">
        <v>2555</v>
      </c>
      <c r="B593" s="47">
        <v>19069.0</v>
      </c>
      <c r="C593" s="47">
        <v>6.0</v>
      </c>
      <c r="D593" s="47" t="s">
        <v>4044</v>
      </c>
      <c r="E593" s="47" t="str">
        <f t="shared" si="1"/>
        <v>6A</v>
      </c>
      <c r="F593" s="47" t="s">
        <v>4054</v>
      </c>
      <c r="G593" s="47" t="s">
        <v>132</v>
      </c>
      <c r="H593" s="48">
        <f>IF(NOT(ISBLANK(vlookup(B593,Pop_Census_2023!$A$2:$E$3220,4,FALSE))),vlookup(B593,Pop_Census_2023!$A$2:$E$3220,4,FALSE), vlookup(B593,Pop_Census_2023!$A$2:$E$3220,5,FALSE))</f>
        <v>9875</v>
      </c>
    </row>
    <row r="594">
      <c r="A594" s="47" t="s">
        <v>2555</v>
      </c>
      <c r="B594" s="47">
        <v>19071.0</v>
      </c>
      <c r="C594" s="47">
        <v>5.0</v>
      </c>
      <c r="D594" s="47" t="s">
        <v>4044</v>
      </c>
      <c r="E594" s="47" t="str">
        <f t="shared" si="1"/>
        <v>5A</v>
      </c>
      <c r="F594" s="47" t="s">
        <v>4054</v>
      </c>
      <c r="G594" s="47" t="s">
        <v>361</v>
      </c>
      <c r="H594" s="48">
        <f>IF(NOT(ISBLANK(vlookup(B594,Pop_Census_2023!$A$2:$E$3220,4,FALSE))),vlookup(B594,Pop_Census_2023!$A$2:$E$3220,4,FALSE), vlookup(B594,Pop_Census_2023!$A$2:$E$3220,5,FALSE))</f>
        <v>6458</v>
      </c>
    </row>
    <row r="595">
      <c r="A595" s="47" t="s">
        <v>2555</v>
      </c>
      <c r="B595" s="47">
        <v>19073.0</v>
      </c>
      <c r="C595" s="47">
        <v>5.0</v>
      </c>
      <c r="D595" s="47" t="s">
        <v>4044</v>
      </c>
      <c r="E595" s="47" t="str">
        <f t="shared" si="1"/>
        <v>5A</v>
      </c>
      <c r="F595" s="47" t="s">
        <v>4054</v>
      </c>
      <c r="G595" s="47" t="s">
        <v>134</v>
      </c>
      <c r="H595" s="48">
        <f>IF(NOT(ISBLANK(vlookup(B595,Pop_Census_2023!$A$2:$E$3220,4,FALSE))),vlookup(B595,Pop_Census_2023!$A$2:$E$3220,4,FALSE), vlookup(B595,Pop_Census_2023!$A$2:$E$3220,5,FALSE))</f>
        <v>8584</v>
      </c>
    </row>
    <row r="596">
      <c r="A596" s="47" t="s">
        <v>2555</v>
      </c>
      <c r="B596" s="47">
        <v>19075.0</v>
      </c>
      <c r="C596" s="47">
        <v>6.0</v>
      </c>
      <c r="D596" s="47" t="s">
        <v>4044</v>
      </c>
      <c r="E596" s="47" t="str">
        <f t="shared" si="1"/>
        <v>6A</v>
      </c>
      <c r="F596" s="47" t="s">
        <v>4054</v>
      </c>
      <c r="G596" s="47" t="s">
        <v>625</v>
      </c>
      <c r="H596" s="48">
        <f>IF(NOT(ISBLANK(vlookup(B596,Pop_Census_2023!$A$2:$E$3220,4,FALSE))),vlookup(B596,Pop_Census_2023!$A$2:$E$3220,4,FALSE), vlookup(B596,Pop_Census_2023!$A$2:$E$3220,5,FALSE))</f>
        <v>12384</v>
      </c>
    </row>
    <row r="597">
      <c r="A597" s="47" t="s">
        <v>2555</v>
      </c>
      <c r="B597" s="47">
        <v>19077.0</v>
      </c>
      <c r="C597" s="47">
        <v>5.0</v>
      </c>
      <c r="D597" s="47" t="s">
        <v>4044</v>
      </c>
      <c r="E597" s="47" t="str">
        <f t="shared" si="1"/>
        <v>5A</v>
      </c>
      <c r="F597" s="47" t="s">
        <v>4054</v>
      </c>
      <c r="G597" s="47" t="s">
        <v>722</v>
      </c>
      <c r="H597" s="48">
        <f>IF(NOT(ISBLANK(vlookup(B597,Pop_Census_2023!$A$2:$E$3220,4,FALSE))),vlookup(B597,Pop_Census_2023!$A$2:$E$3220,4,FALSE), vlookup(B597,Pop_Census_2023!$A$2:$E$3220,5,FALSE))</f>
        <v>10722</v>
      </c>
    </row>
    <row r="598">
      <c r="A598" s="47" t="s">
        <v>2555</v>
      </c>
      <c r="B598" s="47">
        <v>19079.0</v>
      </c>
      <c r="C598" s="47">
        <v>6.0</v>
      </c>
      <c r="D598" s="47" t="s">
        <v>4044</v>
      </c>
      <c r="E598" s="47" t="str">
        <f t="shared" si="1"/>
        <v>6A</v>
      </c>
      <c r="F598" s="47" t="s">
        <v>4054</v>
      </c>
      <c r="G598" s="47" t="s">
        <v>428</v>
      </c>
      <c r="H598" s="48">
        <f>IF(NOT(ISBLANK(vlookup(B598,Pop_Census_2023!$A$2:$E$3220,4,FALSE))),vlookup(B598,Pop_Census_2023!$A$2:$E$3220,4,FALSE), vlookup(B598,Pop_Census_2023!$A$2:$E$3220,5,FALSE))</f>
        <v>14729</v>
      </c>
    </row>
    <row r="599">
      <c r="A599" s="47" t="s">
        <v>2555</v>
      </c>
      <c r="B599" s="47">
        <v>19081.0</v>
      </c>
      <c r="C599" s="47">
        <v>6.0</v>
      </c>
      <c r="D599" s="47" t="s">
        <v>4044</v>
      </c>
      <c r="E599" s="47" t="str">
        <f t="shared" si="1"/>
        <v>6A</v>
      </c>
      <c r="F599" s="47" t="s">
        <v>4054</v>
      </c>
      <c r="G599" s="47" t="s">
        <v>512</v>
      </c>
      <c r="H599" s="48">
        <f>IF(NOT(ISBLANK(vlookup(B599,Pop_Census_2023!$A$2:$E$3220,4,FALSE))),vlookup(B599,Pop_Census_2023!$A$2:$E$3220,4,FALSE), vlookup(B599,Pop_Census_2023!$A$2:$E$3220,5,FALSE))</f>
        <v>10615</v>
      </c>
    </row>
    <row r="600">
      <c r="A600" s="47" t="s">
        <v>2555</v>
      </c>
      <c r="B600" s="47">
        <v>19083.0</v>
      </c>
      <c r="C600" s="47">
        <v>6.0</v>
      </c>
      <c r="D600" s="47" t="s">
        <v>4044</v>
      </c>
      <c r="E600" s="47" t="str">
        <f t="shared" si="1"/>
        <v>6A</v>
      </c>
      <c r="F600" s="47" t="s">
        <v>4054</v>
      </c>
      <c r="G600" s="47" t="s">
        <v>626</v>
      </c>
      <c r="H600" s="48">
        <f>IF(NOT(ISBLANK(vlookup(B600,Pop_Census_2023!$A$2:$E$3220,4,FALSE))),vlookup(B600,Pop_Census_2023!$A$2:$E$3220,4,FALSE), vlookup(B600,Pop_Census_2023!$A$2:$E$3220,5,FALSE))</f>
        <v>16463</v>
      </c>
    </row>
    <row r="601">
      <c r="A601" s="47" t="s">
        <v>2555</v>
      </c>
      <c r="B601" s="47">
        <v>19085.0</v>
      </c>
      <c r="C601" s="47">
        <v>5.0</v>
      </c>
      <c r="D601" s="47" t="s">
        <v>4044</v>
      </c>
      <c r="E601" s="47" t="str">
        <f t="shared" si="1"/>
        <v>5A</v>
      </c>
      <c r="F601" s="47" t="s">
        <v>4054</v>
      </c>
      <c r="G601" s="47" t="s">
        <v>673</v>
      </c>
      <c r="H601" s="48">
        <f>IF(NOT(ISBLANK(vlookup(B601,Pop_Census_2023!$A$2:$E$3220,4,FALSE))),vlookup(B601,Pop_Census_2023!$A$2:$E$3220,4,FALSE), vlookup(B601,Pop_Census_2023!$A$2:$E$3220,5,FALSE))</f>
        <v>14670</v>
      </c>
    </row>
    <row r="602">
      <c r="A602" s="47" t="s">
        <v>2555</v>
      </c>
      <c r="B602" s="47">
        <v>19087.0</v>
      </c>
      <c r="C602" s="47">
        <v>5.0</v>
      </c>
      <c r="D602" s="47" t="s">
        <v>4044</v>
      </c>
      <c r="E602" s="47" t="str">
        <f t="shared" si="1"/>
        <v>5A</v>
      </c>
      <c r="F602" s="47" t="s">
        <v>4054</v>
      </c>
      <c r="G602" s="47" t="s">
        <v>136</v>
      </c>
      <c r="H602" s="48">
        <f>IF(NOT(ISBLANK(vlookup(B602,Pop_Census_2023!$A$2:$E$3220,4,FALSE))),vlookup(B602,Pop_Census_2023!$A$2:$E$3220,4,FALSE), vlookup(B602,Pop_Census_2023!$A$2:$E$3220,5,FALSE))</f>
        <v>19547</v>
      </c>
    </row>
    <row r="603">
      <c r="A603" s="47" t="s">
        <v>2555</v>
      </c>
      <c r="B603" s="47">
        <v>19089.0</v>
      </c>
      <c r="C603" s="47">
        <v>6.0</v>
      </c>
      <c r="D603" s="47" t="s">
        <v>4044</v>
      </c>
      <c r="E603" s="47" t="str">
        <f t="shared" si="1"/>
        <v>6A</v>
      </c>
      <c r="F603" s="47" t="s">
        <v>4054</v>
      </c>
      <c r="G603" s="47" t="s">
        <v>245</v>
      </c>
      <c r="H603" s="48">
        <f>IF(NOT(ISBLANK(vlookup(B603,Pop_Census_2023!$A$2:$E$3220,4,FALSE))),vlookup(B603,Pop_Census_2023!$A$2:$E$3220,4,FALSE), vlookup(B603,Pop_Census_2023!$A$2:$E$3220,5,FALSE))</f>
        <v>9376</v>
      </c>
    </row>
    <row r="604">
      <c r="A604" s="47" t="s">
        <v>2555</v>
      </c>
      <c r="B604" s="47">
        <v>19091.0</v>
      </c>
      <c r="C604" s="47">
        <v>6.0</v>
      </c>
      <c r="D604" s="47" t="s">
        <v>4044</v>
      </c>
      <c r="E604" s="47" t="str">
        <f t="shared" si="1"/>
        <v>6A</v>
      </c>
      <c r="F604" s="47" t="s">
        <v>4054</v>
      </c>
      <c r="G604" s="47" t="s">
        <v>293</v>
      </c>
      <c r="H604" s="48">
        <f>IF(NOT(ISBLANK(vlookup(B604,Pop_Census_2023!$A$2:$E$3220,4,FALSE))),vlookup(B604,Pop_Census_2023!$A$2:$E$3220,4,FALSE), vlookup(B604,Pop_Census_2023!$A$2:$E$3220,5,FALSE))</f>
        <v>9500</v>
      </c>
    </row>
    <row r="605">
      <c r="A605" s="47" t="s">
        <v>2555</v>
      </c>
      <c r="B605" s="47">
        <v>19093.0</v>
      </c>
      <c r="C605" s="47">
        <v>6.0</v>
      </c>
      <c r="D605" s="47" t="s">
        <v>4044</v>
      </c>
      <c r="E605" s="47" t="str">
        <f t="shared" si="1"/>
        <v>6A</v>
      </c>
      <c r="F605" s="47" t="s">
        <v>4054</v>
      </c>
      <c r="G605" s="47" t="s">
        <v>723</v>
      </c>
      <c r="H605" s="48">
        <f>IF(NOT(ISBLANK(vlookup(B605,Pop_Census_2023!$A$2:$E$3220,4,FALSE))),vlookup(B605,Pop_Census_2023!$A$2:$E$3220,4,FALSE), vlookup(B605,Pop_Census_2023!$A$2:$E$3220,5,FALSE))</f>
        <v>6833</v>
      </c>
    </row>
    <row r="606">
      <c r="A606" s="47" t="s">
        <v>2555</v>
      </c>
      <c r="B606" s="47">
        <v>19095.0</v>
      </c>
      <c r="C606" s="47">
        <v>5.0</v>
      </c>
      <c r="D606" s="47" t="s">
        <v>4044</v>
      </c>
      <c r="E606" s="47" t="str">
        <f t="shared" si="1"/>
        <v>5A</v>
      </c>
      <c r="F606" s="47" t="s">
        <v>4054</v>
      </c>
      <c r="G606" s="47" t="s">
        <v>705</v>
      </c>
      <c r="H606" s="48">
        <f>IF(NOT(ISBLANK(vlookup(B606,Pop_Census_2023!$A$2:$E$3220,4,FALSE))),vlookup(B606,Pop_Census_2023!$A$2:$E$3220,4,FALSE), vlookup(B606,Pop_Census_2023!$A$2:$E$3220,5,FALSE))</f>
        <v>16381</v>
      </c>
    </row>
    <row r="607">
      <c r="A607" s="47" t="s">
        <v>2555</v>
      </c>
      <c r="B607" s="47">
        <v>19097.0</v>
      </c>
      <c r="C607" s="47">
        <v>5.0</v>
      </c>
      <c r="D607" s="47" t="s">
        <v>4044</v>
      </c>
      <c r="E607" s="47" t="str">
        <f t="shared" si="1"/>
        <v>5A</v>
      </c>
      <c r="F607" s="47" t="s">
        <v>4054</v>
      </c>
      <c r="G607" s="47" t="s">
        <v>138</v>
      </c>
      <c r="H607" s="48">
        <f>IF(NOT(ISBLANK(vlookup(B607,Pop_Census_2023!$A$2:$E$3220,4,FALSE))),vlookup(B607,Pop_Census_2023!$A$2:$E$3220,4,FALSE), vlookup(B607,Pop_Census_2023!$A$2:$E$3220,5,FALSE))</f>
        <v>19342</v>
      </c>
    </row>
    <row r="608">
      <c r="A608" s="47" t="s">
        <v>2555</v>
      </c>
      <c r="B608" s="47">
        <v>19099.0</v>
      </c>
      <c r="C608" s="47">
        <v>5.0</v>
      </c>
      <c r="D608" s="47" t="s">
        <v>4044</v>
      </c>
      <c r="E608" s="47" t="str">
        <f t="shared" si="1"/>
        <v>5A</v>
      </c>
      <c r="F608" s="47" t="s">
        <v>4054</v>
      </c>
      <c r="G608" s="47" t="s">
        <v>518</v>
      </c>
      <c r="H608" s="48">
        <f>IF(NOT(ISBLANK(vlookup(B608,Pop_Census_2023!$A$2:$E$3220,4,FALSE))),vlookup(B608,Pop_Census_2023!$A$2:$E$3220,4,FALSE), vlookup(B608,Pop_Census_2023!$A$2:$E$3220,5,FALSE))</f>
        <v>37919</v>
      </c>
    </row>
    <row r="609">
      <c r="A609" s="47" t="s">
        <v>2555</v>
      </c>
      <c r="B609" s="47">
        <v>19101.0</v>
      </c>
      <c r="C609" s="47">
        <v>5.0</v>
      </c>
      <c r="D609" s="47" t="s">
        <v>4044</v>
      </c>
      <c r="E609" s="47" t="str">
        <f t="shared" si="1"/>
        <v>5A</v>
      </c>
      <c r="F609" s="47" t="s">
        <v>4054</v>
      </c>
      <c r="G609" s="47" t="s">
        <v>139</v>
      </c>
      <c r="H609" s="48">
        <f>IF(NOT(ISBLANK(vlookup(B609,Pop_Census_2023!$A$2:$E$3220,4,FALSE))),vlookup(B609,Pop_Census_2023!$A$2:$E$3220,4,FALSE), vlookup(B609,Pop_Census_2023!$A$2:$E$3220,5,FALSE))</f>
        <v>15440</v>
      </c>
    </row>
    <row r="610">
      <c r="A610" s="47" t="s">
        <v>2555</v>
      </c>
      <c r="B610" s="47">
        <v>19103.0</v>
      </c>
      <c r="C610" s="47">
        <v>5.0</v>
      </c>
      <c r="D610" s="47" t="s">
        <v>4044</v>
      </c>
      <c r="E610" s="47" t="str">
        <f t="shared" si="1"/>
        <v>5A</v>
      </c>
      <c r="F610" s="47" t="s">
        <v>4054</v>
      </c>
      <c r="G610" s="47" t="s">
        <v>248</v>
      </c>
      <c r="H610" s="48">
        <f>IF(NOT(ISBLANK(vlookup(B610,Pop_Census_2023!$A$2:$E$3220,4,FALSE))),vlookup(B610,Pop_Census_2023!$A$2:$E$3220,4,FALSE), vlookup(B610,Pop_Census_2023!$A$2:$E$3220,5,FALSE))</f>
        <v>157528</v>
      </c>
    </row>
    <row r="611">
      <c r="A611" s="47" t="s">
        <v>2555</v>
      </c>
      <c r="B611" s="47">
        <v>19105.0</v>
      </c>
      <c r="C611" s="47">
        <v>5.0</v>
      </c>
      <c r="D611" s="47" t="s">
        <v>4044</v>
      </c>
      <c r="E611" s="47" t="str">
        <f t="shared" si="1"/>
        <v>5A</v>
      </c>
      <c r="F611" s="47" t="s">
        <v>4054</v>
      </c>
      <c r="G611" s="47" t="s">
        <v>521</v>
      </c>
      <c r="H611" s="48">
        <f>IF(NOT(ISBLANK(vlookup(B611,Pop_Census_2023!$A$2:$E$3220,4,FALSE))),vlookup(B611,Pop_Census_2023!$A$2:$E$3220,4,FALSE), vlookup(B611,Pop_Census_2023!$A$2:$E$3220,5,FALSE))</f>
        <v>20900</v>
      </c>
    </row>
    <row r="612">
      <c r="A612" s="47" t="s">
        <v>2555</v>
      </c>
      <c r="B612" s="47">
        <v>19107.0</v>
      </c>
      <c r="C612" s="47">
        <v>5.0</v>
      </c>
      <c r="D612" s="47" t="s">
        <v>4044</v>
      </c>
      <c r="E612" s="47" t="str">
        <f t="shared" si="1"/>
        <v>5A</v>
      </c>
      <c r="F612" s="47" t="s">
        <v>4054</v>
      </c>
      <c r="G612" s="47" t="s">
        <v>724</v>
      </c>
      <c r="H612" s="48">
        <f>IF(NOT(ISBLANK(vlookup(B612,Pop_Census_2023!$A$2:$E$3220,4,FALSE))),vlookup(B612,Pop_Census_2023!$A$2:$E$3220,4,FALSE), vlookup(B612,Pop_Census_2023!$A$2:$E$3220,5,FALSE))</f>
        <v>9914</v>
      </c>
    </row>
    <row r="613">
      <c r="A613" s="47" t="s">
        <v>2555</v>
      </c>
      <c r="B613" s="47">
        <v>19109.0</v>
      </c>
      <c r="C613" s="47">
        <v>6.0</v>
      </c>
      <c r="D613" s="47" t="s">
        <v>4044</v>
      </c>
      <c r="E613" s="47" t="str">
        <f t="shared" si="1"/>
        <v>6A</v>
      </c>
      <c r="F613" s="47" t="s">
        <v>4054</v>
      </c>
      <c r="G613" s="47" t="s">
        <v>725</v>
      </c>
      <c r="H613" s="48">
        <f>IF(NOT(ISBLANK(vlookup(B613,Pop_Census_2023!$A$2:$E$3220,4,FALSE))),vlookup(B613,Pop_Census_2023!$A$2:$E$3220,4,FALSE), vlookup(B613,Pop_Census_2023!$A$2:$E$3220,5,FALSE))</f>
        <v>14396</v>
      </c>
    </row>
    <row r="614">
      <c r="A614" s="47" t="s">
        <v>2555</v>
      </c>
      <c r="B614" s="47">
        <v>19111.0</v>
      </c>
      <c r="C614" s="47">
        <v>5.0</v>
      </c>
      <c r="D614" s="47" t="s">
        <v>4044</v>
      </c>
      <c r="E614" s="47" t="str">
        <f t="shared" si="1"/>
        <v>5A</v>
      </c>
      <c r="F614" s="47" t="s">
        <v>4054</v>
      </c>
      <c r="G614" s="47" t="s">
        <v>143</v>
      </c>
      <c r="H614" s="48">
        <f>IF(NOT(ISBLANK(vlookup(B614,Pop_Census_2023!$A$2:$E$3220,4,FALSE))),vlookup(B614,Pop_Census_2023!$A$2:$E$3220,4,FALSE), vlookup(B614,Pop_Census_2023!$A$2:$E$3220,5,FALSE))</f>
        <v>32565</v>
      </c>
    </row>
    <row r="615">
      <c r="A615" s="47" t="s">
        <v>2555</v>
      </c>
      <c r="B615" s="47">
        <v>19113.0</v>
      </c>
      <c r="C615" s="47">
        <v>5.0</v>
      </c>
      <c r="D615" s="47" t="s">
        <v>4044</v>
      </c>
      <c r="E615" s="47" t="str">
        <f t="shared" si="1"/>
        <v>5A</v>
      </c>
      <c r="F615" s="47" t="s">
        <v>4054</v>
      </c>
      <c r="G615" s="47" t="s">
        <v>726</v>
      </c>
      <c r="H615" s="48">
        <f>IF(NOT(ISBLANK(vlookup(B615,Pop_Census_2023!$A$2:$E$3220,4,FALSE))),vlookup(B615,Pop_Census_2023!$A$2:$E$3220,4,FALSE), vlookup(B615,Pop_Census_2023!$A$2:$E$3220,5,FALSE))</f>
        <v>228972</v>
      </c>
    </row>
    <row r="616">
      <c r="A616" s="47" t="s">
        <v>2555</v>
      </c>
      <c r="B616" s="47">
        <v>19115.0</v>
      </c>
      <c r="C616" s="47">
        <v>5.0</v>
      </c>
      <c r="D616" s="47" t="s">
        <v>4044</v>
      </c>
      <c r="E616" s="47" t="str">
        <f t="shared" si="1"/>
        <v>5A</v>
      </c>
      <c r="F616" s="47" t="s">
        <v>4054</v>
      </c>
      <c r="G616" s="47" t="s">
        <v>727</v>
      </c>
      <c r="H616" s="48">
        <f>IF(NOT(ISBLANK(vlookup(B616,Pop_Census_2023!$A$2:$E$3220,4,FALSE))),vlookup(B616,Pop_Census_2023!$A$2:$E$3220,4,FALSE), vlookup(B616,Pop_Census_2023!$A$2:$E$3220,5,FALSE))</f>
        <v>10513</v>
      </c>
    </row>
    <row r="617">
      <c r="A617" s="47" t="s">
        <v>2555</v>
      </c>
      <c r="B617" s="47">
        <v>19117.0</v>
      </c>
      <c r="C617" s="47">
        <v>5.0</v>
      </c>
      <c r="D617" s="47" t="s">
        <v>4044</v>
      </c>
      <c r="E617" s="47" t="str">
        <f t="shared" si="1"/>
        <v>5A</v>
      </c>
      <c r="F617" s="47" t="s">
        <v>4054</v>
      </c>
      <c r="G617" s="47" t="s">
        <v>728</v>
      </c>
      <c r="H617" s="48">
        <f>IF(NOT(ISBLANK(vlookup(B617,Pop_Census_2023!$A$2:$E$3220,4,FALSE))),vlookup(B617,Pop_Census_2023!$A$2:$E$3220,4,FALSE), vlookup(B617,Pop_Census_2023!$A$2:$E$3220,5,FALSE))</f>
        <v>8747</v>
      </c>
    </row>
    <row r="618">
      <c r="A618" s="47" t="s">
        <v>2555</v>
      </c>
      <c r="B618" s="47">
        <v>19119.0</v>
      </c>
      <c r="C618" s="47">
        <v>6.0</v>
      </c>
      <c r="D618" s="47" t="s">
        <v>4044</v>
      </c>
      <c r="E618" s="47" t="str">
        <f t="shared" si="1"/>
        <v>6A</v>
      </c>
      <c r="F618" s="47" t="s">
        <v>4054</v>
      </c>
      <c r="G618" s="47" t="s">
        <v>729</v>
      </c>
      <c r="H618" s="48">
        <f>IF(NOT(ISBLANK(vlookup(B618,Pop_Census_2023!$A$2:$E$3220,4,FALSE))),vlookup(B618,Pop_Census_2023!$A$2:$E$3220,4,FALSE), vlookup(B618,Pop_Census_2023!$A$2:$E$3220,5,FALSE))</f>
        <v>12324</v>
      </c>
    </row>
    <row r="619">
      <c r="A619" s="47" t="s">
        <v>2555</v>
      </c>
      <c r="B619" s="47">
        <v>19121.0</v>
      </c>
      <c r="C619" s="47">
        <v>5.0</v>
      </c>
      <c r="D619" s="47" t="s">
        <v>4044</v>
      </c>
      <c r="E619" s="47" t="str">
        <f t="shared" si="1"/>
        <v>5A</v>
      </c>
      <c r="F619" s="47" t="s">
        <v>4054</v>
      </c>
      <c r="G619" s="47" t="s">
        <v>147</v>
      </c>
      <c r="H619" s="48">
        <f>IF(NOT(ISBLANK(vlookup(B619,Pop_Census_2023!$A$2:$E$3220,4,FALSE))),vlookup(B619,Pop_Census_2023!$A$2:$E$3220,4,FALSE), vlookup(B619,Pop_Census_2023!$A$2:$E$3220,5,FALSE))</f>
        <v>16971</v>
      </c>
    </row>
    <row r="620">
      <c r="A620" s="47" t="s">
        <v>2555</v>
      </c>
      <c r="B620" s="47">
        <v>19123.0</v>
      </c>
      <c r="C620" s="47">
        <v>5.0</v>
      </c>
      <c r="D620" s="47" t="s">
        <v>4044</v>
      </c>
      <c r="E620" s="47" t="str">
        <f t="shared" si="1"/>
        <v>5A</v>
      </c>
      <c r="F620" s="47" t="s">
        <v>4054</v>
      </c>
      <c r="G620" s="47" t="s">
        <v>730</v>
      </c>
      <c r="H620" s="48">
        <f>IF(NOT(ISBLANK(vlookup(B620,Pop_Census_2023!$A$2:$E$3220,4,FALSE))),vlookup(B620,Pop_Census_2023!$A$2:$E$3220,4,FALSE), vlookup(B620,Pop_Census_2023!$A$2:$E$3220,5,FALSE))</f>
        <v>21874</v>
      </c>
    </row>
    <row r="621">
      <c r="A621" s="47" t="s">
        <v>2555</v>
      </c>
      <c r="B621" s="47">
        <v>19125.0</v>
      </c>
      <c r="C621" s="47">
        <v>5.0</v>
      </c>
      <c r="D621" s="47" t="s">
        <v>4044</v>
      </c>
      <c r="E621" s="47" t="str">
        <f t="shared" si="1"/>
        <v>5A</v>
      </c>
      <c r="F621" s="47" t="s">
        <v>4054</v>
      </c>
      <c r="G621" s="47" t="s">
        <v>149</v>
      </c>
      <c r="H621" s="48">
        <f>IF(NOT(ISBLANK(vlookup(B621,Pop_Census_2023!$A$2:$E$3220,4,FALSE))),vlookup(B621,Pop_Census_2023!$A$2:$E$3220,4,FALSE), vlookup(B621,Pop_Census_2023!$A$2:$E$3220,5,FALSE))</f>
        <v>33770</v>
      </c>
    </row>
    <row r="622">
      <c r="A622" s="47" t="s">
        <v>2555</v>
      </c>
      <c r="B622" s="47">
        <v>19127.0</v>
      </c>
      <c r="C622" s="47">
        <v>5.0</v>
      </c>
      <c r="D622" s="47" t="s">
        <v>4044</v>
      </c>
      <c r="E622" s="47" t="str">
        <f t="shared" si="1"/>
        <v>5A</v>
      </c>
      <c r="F622" s="47" t="s">
        <v>4054</v>
      </c>
      <c r="G622" s="47" t="s">
        <v>150</v>
      </c>
      <c r="H622" s="48">
        <f>IF(NOT(ISBLANK(vlookup(B622,Pop_Census_2023!$A$2:$E$3220,4,FALSE))),vlookup(B622,Pop_Census_2023!$A$2:$E$3220,4,FALSE), vlookup(B622,Pop_Census_2023!$A$2:$E$3220,5,FALSE))</f>
        <v>40014</v>
      </c>
    </row>
    <row r="623">
      <c r="A623" s="47" t="s">
        <v>2555</v>
      </c>
      <c r="B623" s="47">
        <v>19129.0</v>
      </c>
      <c r="C623" s="47">
        <v>5.0</v>
      </c>
      <c r="D623" s="47" t="s">
        <v>4044</v>
      </c>
      <c r="E623" s="47" t="str">
        <f t="shared" si="1"/>
        <v>5A</v>
      </c>
      <c r="F623" s="47" t="s">
        <v>4054</v>
      </c>
      <c r="G623" s="47" t="s">
        <v>731</v>
      </c>
      <c r="H623" s="48">
        <f>IF(NOT(ISBLANK(vlookup(B623,Pop_Census_2023!$A$2:$E$3220,4,FALSE))),vlookup(B623,Pop_Census_2023!$A$2:$E$3220,4,FALSE), vlookup(B623,Pop_Census_2023!$A$2:$E$3220,5,FALSE))</f>
        <v>14633</v>
      </c>
    </row>
    <row r="624">
      <c r="A624" s="47" t="s">
        <v>2555</v>
      </c>
      <c r="B624" s="47">
        <v>19131.0</v>
      </c>
      <c r="C624" s="47">
        <v>6.0</v>
      </c>
      <c r="D624" s="47" t="s">
        <v>4044</v>
      </c>
      <c r="E624" s="47" t="str">
        <f t="shared" si="1"/>
        <v>6A</v>
      </c>
      <c r="F624" s="47" t="s">
        <v>4054</v>
      </c>
      <c r="G624" s="47" t="s">
        <v>529</v>
      </c>
      <c r="H624" s="48">
        <f>IF(NOT(ISBLANK(vlookup(B624,Pop_Census_2023!$A$2:$E$3220,4,FALSE))),vlookup(B624,Pop_Census_2023!$A$2:$E$3220,4,FALSE), vlookup(B624,Pop_Census_2023!$A$2:$E$3220,5,FALSE))</f>
        <v>10518</v>
      </c>
    </row>
    <row r="625">
      <c r="A625" s="47" t="s">
        <v>2555</v>
      </c>
      <c r="B625" s="47">
        <v>19133.0</v>
      </c>
      <c r="C625" s="47">
        <v>5.0</v>
      </c>
      <c r="D625" s="47" t="s">
        <v>4044</v>
      </c>
      <c r="E625" s="47" t="str">
        <f t="shared" si="1"/>
        <v>5A</v>
      </c>
      <c r="F625" s="47" t="s">
        <v>4054</v>
      </c>
      <c r="G625" s="47" t="s">
        <v>732</v>
      </c>
      <c r="H625" s="48">
        <f>IF(NOT(ISBLANK(vlookup(B625,Pop_Census_2023!$A$2:$E$3220,4,FALSE))),vlookup(B625,Pop_Census_2023!$A$2:$E$3220,4,FALSE), vlookup(B625,Pop_Census_2023!$A$2:$E$3220,5,FALSE))</f>
        <v>8493</v>
      </c>
    </row>
    <row r="626">
      <c r="A626" s="47" t="s">
        <v>2555</v>
      </c>
      <c r="B626" s="47">
        <v>19135.0</v>
      </c>
      <c r="C626" s="47">
        <v>5.0</v>
      </c>
      <c r="D626" s="47" t="s">
        <v>4044</v>
      </c>
      <c r="E626" s="47" t="str">
        <f t="shared" si="1"/>
        <v>5A</v>
      </c>
      <c r="F626" s="47" t="s">
        <v>4054</v>
      </c>
      <c r="G626" s="47" t="s">
        <v>152</v>
      </c>
      <c r="H626" s="48">
        <f>IF(NOT(ISBLANK(vlookup(B626,Pop_Census_2023!$A$2:$E$3220,4,FALSE))),vlookup(B626,Pop_Census_2023!$A$2:$E$3220,4,FALSE), vlookup(B626,Pop_Census_2023!$A$2:$E$3220,5,FALSE))</f>
        <v>7504</v>
      </c>
    </row>
    <row r="627">
      <c r="A627" s="47" t="s">
        <v>2555</v>
      </c>
      <c r="B627" s="47">
        <v>19137.0</v>
      </c>
      <c r="C627" s="47">
        <v>5.0</v>
      </c>
      <c r="D627" s="47" t="s">
        <v>4044</v>
      </c>
      <c r="E627" s="47" t="str">
        <f t="shared" si="1"/>
        <v>5A</v>
      </c>
      <c r="F627" s="47" t="s">
        <v>4054</v>
      </c>
      <c r="G627" s="47" t="s">
        <v>153</v>
      </c>
      <c r="H627" s="48">
        <f>IF(NOT(ISBLANK(vlookup(B627,Pop_Census_2023!$A$2:$E$3220,4,FALSE))),vlookup(B627,Pop_Census_2023!$A$2:$E$3220,4,FALSE), vlookup(B627,Pop_Census_2023!$A$2:$E$3220,5,FALSE))</f>
        <v>10139</v>
      </c>
    </row>
    <row r="628">
      <c r="A628" s="47" t="s">
        <v>2555</v>
      </c>
      <c r="B628" s="47">
        <v>19139.0</v>
      </c>
      <c r="C628" s="47">
        <v>5.0</v>
      </c>
      <c r="D628" s="47" t="s">
        <v>4044</v>
      </c>
      <c r="E628" s="47" t="str">
        <f t="shared" si="1"/>
        <v>5A</v>
      </c>
      <c r="F628" s="47" t="s">
        <v>4054</v>
      </c>
      <c r="G628" s="47" t="s">
        <v>733</v>
      </c>
      <c r="H628" s="48">
        <f>IF(NOT(ISBLANK(vlookup(B628,Pop_Census_2023!$A$2:$E$3220,4,FALSE))),vlookup(B628,Pop_Census_2023!$A$2:$E$3220,4,FALSE), vlookup(B628,Pop_Census_2023!$A$2:$E$3220,5,FALSE))</f>
        <v>42218</v>
      </c>
    </row>
    <row r="629">
      <c r="A629" s="47" t="s">
        <v>2555</v>
      </c>
      <c r="B629" s="47">
        <v>19141.0</v>
      </c>
      <c r="C629" s="47">
        <v>6.0</v>
      </c>
      <c r="D629" s="47" t="s">
        <v>4044</v>
      </c>
      <c r="E629" s="47" t="str">
        <f t="shared" si="1"/>
        <v>6A</v>
      </c>
      <c r="F629" s="47" t="s">
        <v>4054</v>
      </c>
      <c r="G629" s="47" t="s">
        <v>734</v>
      </c>
      <c r="H629" s="48">
        <f>IF(NOT(ISBLANK(vlookup(B629,Pop_Census_2023!$A$2:$E$3220,4,FALSE))),vlookup(B629,Pop_Census_2023!$A$2:$E$3220,4,FALSE), vlookup(B629,Pop_Census_2023!$A$2:$E$3220,5,FALSE))</f>
        <v>14012</v>
      </c>
    </row>
    <row r="630">
      <c r="A630" s="47" t="s">
        <v>2555</v>
      </c>
      <c r="B630" s="47">
        <v>19143.0</v>
      </c>
      <c r="C630" s="47">
        <v>6.0</v>
      </c>
      <c r="D630" s="47" t="s">
        <v>4044</v>
      </c>
      <c r="E630" s="47" t="str">
        <f t="shared" si="1"/>
        <v>6A</v>
      </c>
      <c r="F630" s="47" t="s">
        <v>4054</v>
      </c>
      <c r="G630" s="47" t="s">
        <v>445</v>
      </c>
      <c r="H630" s="48">
        <f>IF(NOT(ISBLANK(vlookup(B630,Pop_Census_2023!$A$2:$E$3220,4,FALSE))),vlookup(B630,Pop_Census_2023!$A$2:$E$3220,4,FALSE), vlookup(B630,Pop_Census_2023!$A$2:$E$3220,5,FALSE))</f>
        <v>5978</v>
      </c>
    </row>
    <row r="631">
      <c r="A631" s="47" t="s">
        <v>2555</v>
      </c>
      <c r="B631" s="47">
        <v>19145.0</v>
      </c>
      <c r="C631" s="47">
        <v>5.0</v>
      </c>
      <c r="D631" s="47" t="s">
        <v>4044</v>
      </c>
      <c r="E631" s="47" t="str">
        <f t="shared" si="1"/>
        <v>5A</v>
      </c>
      <c r="F631" s="47" t="s">
        <v>4054</v>
      </c>
      <c r="G631" s="47" t="s">
        <v>735</v>
      </c>
      <c r="H631" s="48">
        <f>IF(NOT(ISBLANK(vlookup(B631,Pop_Census_2023!$A$2:$E$3220,4,FALSE))),vlookup(B631,Pop_Census_2023!$A$2:$E$3220,4,FALSE), vlookup(B631,Pop_Census_2023!$A$2:$E$3220,5,FALSE))</f>
        <v>15014</v>
      </c>
    </row>
    <row r="632">
      <c r="A632" s="47" t="s">
        <v>2555</v>
      </c>
      <c r="B632" s="47">
        <v>19147.0</v>
      </c>
      <c r="C632" s="47">
        <v>6.0</v>
      </c>
      <c r="D632" s="47" t="s">
        <v>4044</v>
      </c>
      <c r="E632" s="47" t="str">
        <f t="shared" si="1"/>
        <v>6A</v>
      </c>
      <c r="F632" s="47" t="s">
        <v>4054</v>
      </c>
      <c r="G632" s="47" t="s">
        <v>736</v>
      </c>
      <c r="H632" s="48">
        <f>IF(NOT(ISBLANK(vlookup(B632,Pop_Census_2023!$A$2:$E$3220,4,FALSE))),vlookup(B632,Pop_Census_2023!$A$2:$E$3220,4,FALSE), vlookup(B632,Pop_Census_2023!$A$2:$E$3220,5,FALSE))</f>
        <v>8810</v>
      </c>
    </row>
    <row r="633">
      <c r="A633" s="47" t="s">
        <v>2555</v>
      </c>
      <c r="B633" s="47">
        <v>19149.0</v>
      </c>
      <c r="C633" s="47">
        <v>6.0</v>
      </c>
      <c r="D633" s="47" t="s">
        <v>4044</v>
      </c>
      <c r="E633" s="47" t="str">
        <f t="shared" si="1"/>
        <v>6A</v>
      </c>
      <c r="F633" s="47" t="s">
        <v>4054</v>
      </c>
      <c r="G633" s="47" t="s">
        <v>737</v>
      </c>
      <c r="H633" s="48">
        <f>IF(NOT(ISBLANK(vlookup(B633,Pop_Census_2023!$A$2:$E$3220,4,FALSE))),vlookup(B633,Pop_Census_2023!$A$2:$E$3220,4,FALSE), vlookup(B633,Pop_Census_2023!$A$2:$E$3220,5,FALSE))</f>
        <v>25722</v>
      </c>
    </row>
    <row r="634">
      <c r="A634" s="47" t="s">
        <v>2555</v>
      </c>
      <c r="B634" s="47">
        <v>19151.0</v>
      </c>
      <c r="C634" s="47">
        <v>6.0</v>
      </c>
      <c r="D634" s="47" t="s">
        <v>4044</v>
      </c>
      <c r="E634" s="47" t="str">
        <f t="shared" si="1"/>
        <v>6A</v>
      </c>
      <c r="F634" s="47" t="s">
        <v>4054</v>
      </c>
      <c r="G634" s="47" t="s">
        <v>738</v>
      </c>
      <c r="H634" s="48">
        <f>IF(NOT(ISBLANK(vlookup(B634,Pop_Census_2023!$A$2:$E$3220,4,FALSE))),vlookup(B634,Pop_Census_2023!$A$2:$E$3220,4,FALSE), vlookup(B634,Pop_Census_2023!$A$2:$E$3220,5,FALSE))</f>
        <v>6976</v>
      </c>
    </row>
    <row r="635">
      <c r="A635" s="47" t="s">
        <v>2555</v>
      </c>
      <c r="B635" s="47">
        <v>19153.0</v>
      </c>
      <c r="C635" s="47">
        <v>5.0</v>
      </c>
      <c r="D635" s="47" t="s">
        <v>4044</v>
      </c>
      <c r="E635" s="47" t="str">
        <f t="shared" si="1"/>
        <v>5A</v>
      </c>
      <c r="F635" s="47" t="s">
        <v>4054</v>
      </c>
      <c r="G635" s="47" t="s">
        <v>2120</v>
      </c>
      <c r="H635" s="48">
        <f>IF(NOT(ISBLANK(vlookup(B635,Pop_Census_2023!$A$2:$E$3220,4,FALSE))),vlookup(B635,Pop_Census_2023!$A$2:$E$3220,4,FALSE), vlookup(B635,Pop_Census_2023!$A$2:$E$3220,5,FALSE))</f>
        <v>505255</v>
      </c>
    </row>
    <row r="636">
      <c r="A636" s="47" t="s">
        <v>2555</v>
      </c>
      <c r="B636" s="47">
        <v>19155.0</v>
      </c>
      <c r="C636" s="47">
        <v>5.0</v>
      </c>
      <c r="D636" s="47" t="s">
        <v>4044</v>
      </c>
      <c r="E636" s="47" t="str">
        <f t="shared" si="1"/>
        <v>5A</v>
      </c>
      <c r="F636" s="47" t="s">
        <v>4054</v>
      </c>
      <c r="G636" s="47" t="s">
        <v>739</v>
      </c>
      <c r="H636" s="48">
        <f>IF(NOT(ISBLANK(vlookup(B636,Pop_Census_2023!$A$2:$E$3220,4,FALSE))),vlookup(B636,Pop_Census_2023!$A$2:$E$3220,4,FALSE), vlookup(B636,Pop_Census_2023!$A$2:$E$3220,5,FALSE))</f>
        <v>93179</v>
      </c>
    </row>
    <row r="637">
      <c r="A637" s="47" t="s">
        <v>2555</v>
      </c>
      <c r="B637" s="47">
        <v>19157.0</v>
      </c>
      <c r="C637" s="47">
        <v>5.0</v>
      </c>
      <c r="D637" s="47" t="s">
        <v>4044</v>
      </c>
      <c r="E637" s="47" t="str">
        <f t="shared" si="1"/>
        <v>5A</v>
      </c>
      <c r="F637" s="47" t="s">
        <v>4054</v>
      </c>
      <c r="G637" s="47" t="s">
        <v>740</v>
      </c>
      <c r="H637" s="48">
        <f>IF(NOT(ISBLANK(vlookup(B637,Pop_Census_2023!$A$2:$E$3220,4,FALSE))),vlookup(B637,Pop_Census_2023!$A$2:$E$3220,4,FALSE), vlookup(B637,Pop_Census_2023!$A$2:$E$3220,5,FALSE))</f>
        <v>18453</v>
      </c>
    </row>
    <row r="638">
      <c r="A638" s="47" t="s">
        <v>2555</v>
      </c>
      <c r="B638" s="47">
        <v>19159.0</v>
      </c>
      <c r="C638" s="47">
        <v>5.0</v>
      </c>
      <c r="D638" s="47" t="s">
        <v>4044</v>
      </c>
      <c r="E638" s="47" t="str">
        <f t="shared" si="1"/>
        <v>5A</v>
      </c>
      <c r="F638" s="47" t="s">
        <v>4054</v>
      </c>
      <c r="G638" s="47" t="s">
        <v>741</v>
      </c>
      <c r="H638" s="48">
        <f>IF(NOT(ISBLANK(vlookup(B638,Pop_Census_2023!$A$2:$E$3220,4,FALSE))),vlookup(B638,Pop_Census_2023!$A$2:$E$3220,4,FALSE), vlookup(B638,Pop_Census_2023!$A$2:$E$3220,5,FALSE))</f>
        <v>4642</v>
      </c>
    </row>
    <row r="639">
      <c r="A639" s="47" t="s">
        <v>2555</v>
      </c>
      <c r="B639" s="47">
        <v>19161.0</v>
      </c>
      <c r="C639" s="47">
        <v>6.0</v>
      </c>
      <c r="D639" s="47" t="s">
        <v>4044</v>
      </c>
      <c r="E639" s="47" t="str">
        <f t="shared" si="1"/>
        <v>6A</v>
      </c>
      <c r="F639" s="47" t="s">
        <v>4054</v>
      </c>
      <c r="G639" s="47" t="s">
        <v>742</v>
      </c>
      <c r="H639" s="48">
        <f>IF(NOT(ISBLANK(vlookup(B639,Pop_Census_2023!$A$2:$E$3220,4,FALSE))),vlookup(B639,Pop_Census_2023!$A$2:$E$3220,4,FALSE), vlookup(B639,Pop_Census_2023!$A$2:$E$3220,5,FALSE))</f>
        <v>9686</v>
      </c>
    </row>
    <row r="640">
      <c r="A640" s="47" t="s">
        <v>2555</v>
      </c>
      <c r="B640" s="47">
        <v>19163.0</v>
      </c>
      <c r="C640" s="47">
        <v>5.0</v>
      </c>
      <c r="D640" s="47" t="s">
        <v>4044</v>
      </c>
      <c r="E640" s="47" t="str">
        <f t="shared" si="1"/>
        <v>5A</v>
      </c>
      <c r="F640" s="47" t="s">
        <v>4054</v>
      </c>
      <c r="G640" s="47" t="s">
        <v>267</v>
      </c>
      <c r="H640" s="48">
        <f>IF(NOT(ISBLANK(vlookup(B640,Pop_Census_2023!$A$2:$E$3220,4,FALSE))),vlookup(B640,Pop_Census_2023!$A$2:$E$3220,4,FALSE), vlookup(B640,Pop_Census_2023!$A$2:$E$3220,5,FALSE))</f>
        <v>174270</v>
      </c>
    </row>
    <row r="641">
      <c r="A641" s="47" t="s">
        <v>2555</v>
      </c>
      <c r="B641" s="47">
        <v>19165.0</v>
      </c>
      <c r="C641" s="47">
        <v>5.0</v>
      </c>
      <c r="D641" s="47" t="s">
        <v>4044</v>
      </c>
      <c r="E641" s="47" t="str">
        <f t="shared" si="1"/>
        <v>5A</v>
      </c>
      <c r="F641" s="47" t="s">
        <v>4054</v>
      </c>
      <c r="G641" s="47" t="s">
        <v>161</v>
      </c>
      <c r="H641" s="48">
        <f>IF(NOT(ISBLANK(vlookup(B641,Pop_Census_2023!$A$2:$E$3220,4,FALSE))),vlookup(B641,Pop_Census_2023!$A$2:$E$3220,4,FALSE), vlookup(B641,Pop_Census_2023!$A$2:$E$3220,5,FALSE))</f>
        <v>11806</v>
      </c>
    </row>
    <row r="642">
      <c r="A642" s="47" t="s">
        <v>2555</v>
      </c>
      <c r="B642" s="47">
        <v>19167.0</v>
      </c>
      <c r="C642" s="47">
        <v>6.0</v>
      </c>
      <c r="D642" s="47" t="s">
        <v>4044</v>
      </c>
      <c r="E642" s="47" t="str">
        <f t="shared" si="1"/>
        <v>6A</v>
      </c>
      <c r="F642" s="47" t="s">
        <v>4054</v>
      </c>
      <c r="G642" s="47" t="s">
        <v>743</v>
      </c>
      <c r="H642" s="48">
        <f>IF(NOT(ISBLANK(vlookup(B642,Pop_Census_2023!$A$2:$E$3220,4,FALSE))),vlookup(B642,Pop_Census_2023!$A$2:$E$3220,4,FALSE), vlookup(B642,Pop_Census_2023!$A$2:$E$3220,5,FALSE))</f>
        <v>36246</v>
      </c>
    </row>
    <row r="643">
      <c r="A643" s="47" t="s">
        <v>2555</v>
      </c>
      <c r="B643" s="47">
        <v>19169.0</v>
      </c>
      <c r="C643" s="47">
        <v>5.0</v>
      </c>
      <c r="D643" s="47" t="s">
        <v>4044</v>
      </c>
      <c r="E643" s="47" t="str">
        <f t="shared" si="1"/>
        <v>5A</v>
      </c>
      <c r="F643" s="47" t="s">
        <v>4054</v>
      </c>
      <c r="G643" s="47" t="s">
        <v>744</v>
      </c>
      <c r="H643" s="48">
        <f>IF(NOT(ISBLANK(vlookup(B643,Pop_Census_2023!$A$2:$E$3220,4,FALSE))),vlookup(B643,Pop_Census_2023!$A$2:$E$3220,4,FALSE), vlookup(B643,Pop_Census_2023!$A$2:$E$3220,5,FALSE))</f>
        <v>98566</v>
      </c>
    </row>
    <row r="644">
      <c r="A644" s="47" t="s">
        <v>2555</v>
      </c>
      <c r="B644" s="47">
        <v>19171.0</v>
      </c>
      <c r="C644" s="47">
        <v>5.0</v>
      </c>
      <c r="D644" s="47" t="s">
        <v>4044</v>
      </c>
      <c r="E644" s="47" t="str">
        <f t="shared" si="1"/>
        <v>5A</v>
      </c>
      <c r="F644" s="47" t="s">
        <v>4054</v>
      </c>
      <c r="G644" s="47" t="s">
        <v>745</v>
      </c>
      <c r="H644" s="48">
        <f>IF(NOT(ISBLANK(vlookup(B644,Pop_Census_2023!$A$2:$E$3220,4,FALSE))),vlookup(B644,Pop_Census_2023!$A$2:$E$3220,4,FALSE), vlookup(B644,Pop_Census_2023!$A$2:$E$3220,5,FALSE))</f>
        <v>16833</v>
      </c>
    </row>
    <row r="645">
      <c r="A645" s="47" t="s">
        <v>2555</v>
      </c>
      <c r="B645" s="47">
        <v>19173.0</v>
      </c>
      <c r="C645" s="47">
        <v>5.0</v>
      </c>
      <c r="D645" s="47" t="s">
        <v>4044</v>
      </c>
      <c r="E645" s="47" t="str">
        <f t="shared" si="1"/>
        <v>5A</v>
      </c>
      <c r="F645" s="47" t="s">
        <v>4054</v>
      </c>
      <c r="G645" s="47" t="s">
        <v>456</v>
      </c>
      <c r="H645" s="48">
        <f>IF(NOT(ISBLANK(vlookup(B645,Pop_Census_2023!$A$2:$E$3220,4,FALSE))),vlookup(B645,Pop_Census_2023!$A$2:$E$3220,4,FALSE), vlookup(B645,Pop_Census_2023!$A$2:$E$3220,5,FALSE))</f>
        <v>5924</v>
      </c>
    </row>
    <row r="646">
      <c r="A646" s="47" t="s">
        <v>2555</v>
      </c>
      <c r="B646" s="47">
        <v>19175.0</v>
      </c>
      <c r="C646" s="47">
        <v>5.0</v>
      </c>
      <c r="D646" s="47" t="s">
        <v>4044</v>
      </c>
      <c r="E646" s="47" t="str">
        <f t="shared" si="1"/>
        <v>5A</v>
      </c>
      <c r="F646" s="47" t="s">
        <v>4054</v>
      </c>
      <c r="G646" s="47" t="s">
        <v>273</v>
      </c>
      <c r="H646" s="48">
        <f>IF(NOT(ISBLANK(vlookup(B646,Pop_Census_2023!$A$2:$E$3220,4,FALSE))),vlookup(B646,Pop_Census_2023!$A$2:$E$3220,4,FALSE), vlookup(B646,Pop_Census_2023!$A$2:$E$3220,5,FALSE))</f>
        <v>11906</v>
      </c>
    </row>
    <row r="647">
      <c r="A647" s="47" t="s">
        <v>2555</v>
      </c>
      <c r="B647" s="47">
        <v>19177.0</v>
      </c>
      <c r="C647" s="47">
        <v>5.0</v>
      </c>
      <c r="D647" s="47" t="s">
        <v>4044</v>
      </c>
      <c r="E647" s="47" t="str">
        <f t="shared" si="1"/>
        <v>5A</v>
      </c>
      <c r="F647" s="47" t="s">
        <v>4054</v>
      </c>
      <c r="G647" s="47" t="s">
        <v>274</v>
      </c>
      <c r="H647" s="48">
        <f>IF(NOT(ISBLANK(vlookup(B647,Pop_Census_2023!$A$2:$E$3220,4,FALSE))),vlookup(B647,Pop_Census_2023!$A$2:$E$3220,4,FALSE), vlookup(B647,Pop_Census_2023!$A$2:$E$3220,5,FALSE))</f>
        <v>7266</v>
      </c>
    </row>
    <row r="648">
      <c r="A648" s="47" t="s">
        <v>2555</v>
      </c>
      <c r="B648" s="47">
        <v>19179.0</v>
      </c>
      <c r="C648" s="47">
        <v>5.0</v>
      </c>
      <c r="D648" s="47" t="s">
        <v>4044</v>
      </c>
      <c r="E648" s="47" t="str">
        <f t="shared" si="1"/>
        <v>5A</v>
      </c>
      <c r="F648" s="47" t="s">
        <v>4054</v>
      </c>
      <c r="G648" s="47" t="s">
        <v>746</v>
      </c>
      <c r="H648" s="48">
        <f>IF(NOT(ISBLANK(vlookup(B648,Pop_Census_2023!$A$2:$E$3220,4,FALSE))),vlookup(B648,Pop_Census_2023!$A$2:$E$3220,4,FALSE), vlookup(B648,Pop_Census_2023!$A$2:$E$3220,5,FALSE))</f>
        <v>35166</v>
      </c>
    </row>
    <row r="649">
      <c r="A649" s="47" t="s">
        <v>2555</v>
      </c>
      <c r="B649" s="47">
        <v>19181.0</v>
      </c>
      <c r="C649" s="47">
        <v>5.0</v>
      </c>
      <c r="D649" s="47" t="s">
        <v>4044</v>
      </c>
      <c r="E649" s="47" t="str">
        <f t="shared" si="1"/>
        <v>5A</v>
      </c>
      <c r="F649" s="47" t="s">
        <v>4054</v>
      </c>
      <c r="G649" s="47" t="s">
        <v>561</v>
      </c>
      <c r="H649" s="48">
        <f>IF(NOT(ISBLANK(vlookup(B649,Pop_Census_2023!$A$2:$E$3220,4,FALSE))),vlookup(B649,Pop_Census_2023!$A$2:$E$3220,4,FALSE), vlookup(B649,Pop_Census_2023!$A$2:$E$3220,5,FALSE))</f>
        <v>55205</v>
      </c>
    </row>
    <row r="650">
      <c r="A650" s="47" t="s">
        <v>2555</v>
      </c>
      <c r="B650" s="47">
        <v>19183.0</v>
      </c>
      <c r="C650" s="47">
        <v>5.0</v>
      </c>
      <c r="D650" s="47" t="s">
        <v>4044</v>
      </c>
      <c r="E650" s="47" t="str">
        <f t="shared" si="1"/>
        <v>5A</v>
      </c>
      <c r="F650" s="47" t="s">
        <v>4054</v>
      </c>
      <c r="G650" s="47" t="s">
        <v>167</v>
      </c>
      <c r="H650" s="48">
        <f>IF(NOT(ISBLANK(vlookup(B650,Pop_Census_2023!$A$2:$E$3220,4,FALSE))),vlookup(B650,Pop_Census_2023!$A$2:$E$3220,4,FALSE), vlookup(B650,Pop_Census_2023!$A$2:$E$3220,5,FALSE))</f>
        <v>22560</v>
      </c>
    </row>
    <row r="651">
      <c r="A651" s="47" t="s">
        <v>2555</v>
      </c>
      <c r="B651" s="47">
        <v>19185.0</v>
      </c>
      <c r="C651" s="47">
        <v>5.0</v>
      </c>
      <c r="D651" s="47" t="s">
        <v>4044</v>
      </c>
      <c r="E651" s="47" t="str">
        <f t="shared" si="1"/>
        <v>5A</v>
      </c>
      <c r="F651" s="47" t="s">
        <v>4054</v>
      </c>
      <c r="G651" s="47" t="s">
        <v>562</v>
      </c>
      <c r="H651" s="48">
        <f>IF(NOT(ISBLANK(vlookup(B651,Pop_Census_2023!$A$2:$E$3220,4,FALSE))),vlookup(B651,Pop_Census_2023!$A$2:$E$3220,4,FALSE), vlookup(B651,Pop_Census_2023!$A$2:$E$3220,5,FALSE))</f>
        <v>6557</v>
      </c>
    </row>
    <row r="652">
      <c r="A652" s="47" t="s">
        <v>2555</v>
      </c>
      <c r="B652" s="47">
        <v>19187.0</v>
      </c>
      <c r="C652" s="47">
        <v>6.0</v>
      </c>
      <c r="D652" s="47" t="s">
        <v>4044</v>
      </c>
      <c r="E652" s="47" t="str">
        <f t="shared" si="1"/>
        <v>6A</v>
      </c>
      <c r="F652" s="47" t="s">
        <v>4054</v>
      </c>
      <c r="G652" s="47" t="s">
        <v>563</v>
      </c>
      <c r="H652" s="48">
        <f>IF(NOT(ISBLANK(vlookup(B652,Pop_Census_2023!$A$2:$E$3220,4,FALSE))),vlookup(B652,Pop_Census_2023!$A$2:$E$3220,4,FALSE), vlookup(B652,Pop_Census_2023!$A$2:$E$3220,5,FALSE))</f>
        <v>36485</v>
      </c>
    </row>
    <row r="653">
      <c r="A653" s="47" t="s">
        <v>2555</v>
      </c>
      <c r="B653" s="47">
        <v>19189.0</v>
      </c>
      <c r="C653" s="47">
        <v>6.0</v>
      </c>
      <c r="D653" s="47" t="s">
        <v>4044</v>
      </c>
      <c r="E653" s="47" t="str">
        <f t="shared" si="1"/>
        <v>6A</v>
      </c>
      <c r="F653" s="47" t="s">
        <v>4054</v>
      </c>
      <c r="G653" s="47" t="s">
        <v>661</v>
      </c>
      <c r="H653" s="48">
        <f>IF(NOT(ISBLANK(vlookup(B653,Pop_Census_2023!$A$2:$E$3220,4,FALSE))),vlookup(B653,Pop_Census_2023!$A$2:$E$3220,4,FALSE), vlookup(B653,Pop_Census_2023!$A$2:$E$3220,5,FALSE))</f>
        <v>10571</v>
      </c>
    </row>
    <row r="654">
      <c r="A654" s="47" t="s">
        <v>2555</v>
      </c>
      <c r="B654" s="47">
        <v>19191.0</v>
      </c>
      <c r="C654" s="47">
        <v>6.0</v>
      </c>
      <c r="D654" s="47" t="s">
        <v>4044</v>
      </c>
      <c r="E654" s="47" t="str">
        <f t="shared" si="1"/>
        <v>6A</v>
      </c>
      <c r="F654" s="47" t="s">
        <v>4054</v>
      </c>
      <c r="G654" s="47" t="s">
        <v>747</v>
      </c>
      <c r="H654" s="48">
        <f>IF(NOT(ISBLANK(vlookup(B654,Pop_Census_2023!$A$2:$E$3220,4,FALSE))),vlookup(B654,Pop_Census_2023!$A$2:$E$3220,4,FALSE), vlookup(B654,Pop_Census_2023!$A$2:$E$3220,5,FALSE))</f>
        <v>19815</v>
      </c>
    </row>
    <row r="655">
      <c r="A655" s="47" t="s">
        <v>2555</v>
      </c>
      <c r="B655" s="47">
        <v>19193.0</v>
      </c>
      <c r="C655" s="47">
        <v>5.0</v>
      </c>
      <c r="D655" s="47" t="s">
        <v>4044</v>
      </c>
      <c r="E655" s="47" t="str">
        <f t="shared" si="1"/>
        <v>5A</v>
      </c>
      <c r="F655" s="47" t="s">
        <v>4054</v>
      </c>
      <c r="G655" s="47" t="s">
        <v>748</v>
      </c>
      <c r="H655" s="48">
        <f>IF(NOT(ISBLANK(vlookup(B655,Pop_Census_2023!$A$2:$E$3220,4,FALSE))),vlookup(B655,Pop_Census_2023!$A$2:$E$3220,4,FALSE), vlookup(B655,Pop_Census_2023!$A$2:$E$3220,5,FALSE))</f>
        <v>105951</v>
      </c>
    </row>
    <row r="656">
      <c r="A656" s="47" t="s">
        <v>2555</v>
      </c>
      <c r="B656" s="47">
        <v>19195.0</v>
      </c>
      <c r="C656" s="47">
        <v>6.0</v>
      </c>
      <c r="D656" s="47" t="s">
        <v>4044</v>
      </c>
      <c r="E656" s="47" t="str">
        <f t="shared" si="1"/>
        <v>6A</v>
      </c>
      <c r="F656" s="47" t="s">
        <v>4054</v>
      </c>
      <c r="G656" s="47" t="s">
        <v>568</v>
      </c>
      <c r="H656" s="48">
        <f>IF(NOT(ISBLANK(vlookup(B656,Pop_Census_2023!$A$2:$E$3220,4,FALSE))),vlookup(B656,Pop_Census_2023!$A$2:$E$3220,4,FALSE), vlookup(B656,Pop_Census_2023!$A$2:$E$3220,5,FALSE))</f>
        <v>7297</v>
      </c>
    </row>
    <row r="657">
      <c r="A657" s="47" t="s">
        <v>2555</v>
      </c>
      <c r="B657" s="47">
        <v>19197.0</v>
      </c>
      <c r="C657" s="47">
        <v>6.0</v>
      </c>
      <c r="D657" s="47" t="s">
        <v>4044</v>
      </c>
      <c r="E657" s="47" t="str">
        <f t="shared" si="1"/>
        <v>6A</v>
      </c>
      <c r="F657" s="47" t="s">
        <v>4054</v>
      </c>
      <c r="G657" s="47" t="s">
        <v>749</v>
      </c>
      <c r="H657" s="48">
        <f>IF(NOT(ISBLANK(vlookup(B657,Pop_Census_2023!$A$2:$E$3220,4,FALSE))),vlookup(B657,Pop_Census_2023!$A$2:$E$3220,4,FALSE), vlookup(B657,Pop_Census_2023!$A$2:$E$3220,5,FALSE))</f>
        <v>12656</v>
      </c>
    </row>
    <row r="658">
      <c r="A658" s="47" t="s">
        <v>2424</v>
      </c>
      <c r="B658" s="47">
        <v>16001.0</v>
      </c>
      <c r="C658" s="47">
        <v>5.0</v>
      </c>
      <c r="D658" s="47" t="s">
        <v>4053</v>
      </c>
      <c r="E658" s="47" t="str">
        <f t="shared" si="1"/>
        <v>5B</v>
      </c>
      <c r="F658" s="47" t="s">
        <v>4054</v>
      </c>
      <c r="G658" s="47" t="s">
        <v>575</v>
      </c>
      <c r="H658" s="48">
        <f>IF(NOT(ISBLANK(vlookup(B658,Pop_Census_2023!$A$2:$E$3220,4,FALSE))),vlookup(B658,Pop_Census_2023!$A$2:$E$3220,4,FALSE), vlookup(B658,Pop_Census_2023!$A$2:$E$3220,5,FALSE))</f>
        <v>524673</v>
      </c>
    </row>
    <row r="659">
      <c r="A659" s="47" t="s">
        <v>2424</v>
      </c>
      <c r="B659" s="47">
        <v>16003.0</v>
      </c>
      <c r="C659" s="47">
        <v>6.0</v>
      </c>
      <c r="D659" s="47" t="s">
        <v>4053</v>
      </c>
      <c r="E659" s="47" t="str">
        <f t="shared" si="1"/>
        <v>6B</v>
      </c>
      <c r="F659" s="47" t="s">
        <v>4054</v>
      </c>
      <c r="G659" s="47" t="s">
        <v>338</v>
      </c>
      <c r="H659" s="48">
        <f>IF(NOT(ISBLANK(vlookup(B659,Pop_Census_2023!$A$2:$E$3220,4,FALSE))),vlookup(B659,Pop_Census_2023!$A$2:$E$3220,4,FALSE), vlookup(B659,Pop_Census_2023!$A$2:$E$3220,5,FALSE))</f>
        <v>4903</v>
      </c>
    </row>
    <row r="660">
      <c r="A660" s="47" t="s">
        <v>2424</v>
      </c>
      <c r="B660" s="47">
        <v>16005.0</v>
      </c>
      <c r="C660" s="47">
        <v>6.0</v>
      </c>
      <c r="D660" s="47" t="s">
        <v>4053</v>
      </c>
      <c r="E660" s="47" t="str">
        <f t="shared" si="1"/>
        <v>6B</v>
      </c>
      <c r="F660" s="47" t="s">
        <v>4054</v>
      </c>
      <c r="G660" s="47" t="s">
        <v>577</v>
      </c>
      <c r="H660" s="48">
        <f>IF(NOT(ISBLANK(vlookup(B660,Pop_Census_2023!$A$2:$E$3220,4,FALSE))),vlookup(B660,Pop_Census_2023!$A$2:$E$3220,4,FALSE), vlookup(B660,Pop_Census_2023!$A$2:$E$3220,5,FALSE))</f>
        <v>90400</v>
      </c>
    </row>
    <row r="661">
      <c r="A661" s="47" t="s">
        <v>2424</v>
      </c>
      <c r="B661" s="47">
        <v>16007.0</v>
      </c>
      <c r="C661" s="47">
        <v>6.0</v>
      </c>
      <c r="D661" s="47" t="s">
        <v>4053</v>
      </c>
      <c r="E661" s="47" t="str">
        <f t="shared" si="1"/>
        <v>6B</v>
      </c>
      <c r="F661" s="47" t="s">
        <v>4054</v>
      </c>
      <c r="G661" s="47" t="s">
        <v>578</v>
      </c>
      <c r="H661" s="48">
        <f>IF(NOT(ISBLANK(vlookup(B661,Pop_Census_2023!$A$2:$E$3220,4,FALSE))),vlookup(B661,Pop_Census_2023!$A$2:$E$3220,4,FALSE), vlookup(B661,Pop_Census_2023!$A$2:$E$3220,5,FALSE))</f>
        <v>6766</v>
      </c>
    </row>
    <row r="662">
      <c r="A662" s="47" t="s">
        <v>2424</v>
      </c>
      <c r="B662" s="47">
        <v>16009.0</v>
      </c>
      <c r="C662" s="47">
        <v>5.0</v>
      </c>
      <c r="D662" s="47" t="s">
        <v>4053</v>
      </c>
      <c r="E662" s="47" t="str">
        <f t="shared" si="1"/>
        <v>5B</v>
      </c>
      <c r="F662" s="47" t="s">
        <v>4054</v>
      </c>
      <c r="G662" s="47" t="s">
        <v>579</v>
      </c>
      <c r="H662" s="48">
        <f>IF(NOT(ISBLANK(vlookup(B662,Pop_Census_2023!$A$2:$E$3220,4,FALSE))),vlookup(B662,Pop_Census_2023!$A$2:$E$3220,4,FALSE), vlookup(B662,Pop_Census_2023!$A$2:$E$3220,5,FALSE))</f>
        <v>10369</v>
      </c>
    </row>
    <row r="663">
      <c r="A663" s="47" t="s">
        <v>2424</v>
      </c>
      <c r="B663" s="47">
        <v>16011.0</v>
      </c>
      <c r="C663" s="47">
        <v>6.0</v>
      </c>
      <c r="D663" s="47" t="s">
        <v>4053</v>
      </c>
      <c r="E663" s="47" t="str">
        <f t="shared" si="1"/>
        <v>6B</v>
      </c>
      <c r="F663" s="47" t="s">
        <v>4054</v>
      </c>
      <c r="G663" s="47" t="s">
        <v>580</v>
      </c>
      <c r="H663" s="48">
        <f>IF(NOT(ISBLANK(vlookup(B663,Pop_Census_2023!$A$2:$E$3220,4,FALSE))),vlookup(B663,Pop_Census_2023!$A$2:$E$3220,4,FALSE), vlookup(B663,Pop_Census_2023!$A$2:$E$3220,5,FALSE))</f>
        <v>50395</v>
      </c>
    </row>
    <row r="664">
      <c r="A664" s="47" t="s">
        <v>2424</v>
      </c>
      <c r="B664" s="47">
        <v>16013.0</v>
      </c>
      <c r="C664" s="47">
        <v>6.0</v>
      </c>
      <c r="D664" s="47" t="s">
        <v>4053</v>
      </c>
      <c r="E664" s="47" t="str">
        <f t="shared" si="1"/>
        <v>6B</v>
      </c>
      <c r="F664" s="47" t="s">
        <v>4054</v>
      </c>
      <c r="G664" s="47" t="s">
        <v>581</v>
      </c>
      <c r="H664" s="48">
        <f>IF(NOT(ISBLANK(vlookup(B664,Pop_Census_2023!$A$2:$E$3220,4,FALSE))),vlookup(B664,Pop_Census_2023!$A$2:$E$3220,4,FALSE), vlookup(B664,Pop_Census_2023!$A$2:$E$3220,5,FALSE))</f>
        <v>25041</v>
      </c>
    </row>
    <row r="665">
      <c r="A665" s="47" t="s">
        <v>2424</v>
      </c>
      <c r="B665" s="47">
        <v>16015.0</v>
      </c>
      <c r="C665" s="47">
        <v>6.0</v>
      </c>
      <c r="D665" s="47" t="s">
        <v>4053</v>
      </c>
      <c r="E665" s="47" t="str">
        <f t="shared" si="1"/>
        <v>6B</v>
      </c>
      <c r="F665" s="47" t="s">
        <v>4054</v>
      </c>
      <c r="G665" s="47" t="s">
        <v>582</v>
      </c>
      <c r="H665" s="48">
        <f>IF(NOT(ISBLANK(vlookup(B665,Pop_Census_2023!$A$2:$E$3220,4,FALSE))),vlookup(B665,Pop_Census_2023!$A$2:$E$3220,4,FALSE), vlookup(B665,Pop_Census_2023!$A$2:$E$3220,5,FALSE))</f>
        <v>8517</v>
      </c>
    </row>
    <row r="666">
      <c r="A666" s="47" t="s">
        <v>2424</v>
      </c>
      <c r="B666" s="47">
        <v>16017.0</v>
      </c>
      <c r="C666" s="47">
        <v>6.0</v>
      </c>
      <c r="D666" s="47" t="s">
        <v>4053</v>
      </c>
      <c r="E666" s="47" t="str">
        <f t="shared" si="1"/>
        <v>6B</v>
      </c>
      <c r="F666" s="47" t="s">
        <v>4054</v>
      </c>
      <c r="G666" s="47" t="s">
        <v>583</v>
      </c>
      <c r="H666" s="48">
        <f>IF(NOT(ISBLANK(vlookup(B666,Pop_Census_2023!$A$2:$E$3220,4,FALSE))),vlookup(B666,Pop_Census_2023!$A$2:$E$3220,4,FALSE), vlookup(B666,Pop_Census_2023!$A$2:$E$3220,5,FALSE))</f>
        <v>52547</v>
      </c>
    </row>
    <row r="667">
      <c r="A667" s="47" t="s">
        <v>2424</v>
      </c>
      <c r="B667" s="47">
        <v>16019.0</v>
      </c>
      <c r="C667" s="47">
        <v>6.0</v>
      </c>
      <c r="D667" s="47" t="s">
        <v>4053</v>
      </c>
      <c r="E667" s="47" t="str">
        <f t="shared" si="1"/>
        <v>6B</v>
      </c>
      <c r="F667" s="47" t="s">
        <v>4054</v>
      </c>
      <c r="G667" s="47" t="s">
        <v>584</v>
      </c>
      <c r="H667" s="48">
        <f>IF(NOT(ISBLANK(vlookup(B667,Pop_Census_2023!$A$2:$E$3220,4,FALSE))),vlookup(B667,Pop_Census_2023!$A$2:$E$3220,4,FALSE), vlookup(B667,Pop_Census_2023!$A$2:$E$3220,5,FALSE))</f>
        <v>131366</v>
      </c>
    </row>
    <row r="668">
      <c r="A668" s="47" t="s">
        <v>2424</v>
      </c>
      <c r="B668" s="47">
        <v>16021.0</v>
      </c>
      <c r="C668" s="47">
        <v>6.0</v>
      </c>
      <c r="D668" s="47" t="s">
        <v>4053</v>
      </c>
      <c r="E668" s="47" t="str">
        <f t="shared" si="1"/>
        <v>6B</v>
      </c>
      <c r="F668" s="47" t="s">
        <v>4054</v>
      </c>
      <c r="G668" s="47" t="s">
        <v>585</v>
      </c>
      <c r="H668" s="48">
        <f>IF(NOT(ISBLANK(vlookup(B668,Pop_Census_2023!$A$2:$E$3220,4,FALSE))),vlookup(B668,Pop_Census_2023!$A$2:$E$3220,4,FALSE), vlookup(B668,Pop_Census_2023!$A$2:$E$3220,5,FALSE))</f>
        <v>13557</v>
      </c>
    </row>
    <row r="669">
      <c r="A669" s="47" t="s">
        <v>2424</v>
      </c>
      <c r="B669" s="47">
        <v>16023.0</v>
      </c>
      <c r="C669" s="47">
        <v>6.0</v>
      </c>
      <c r="D669" s="47" t="s">
        <v>4053</v>
      </c>
      <c r="E669" s="47" t="str">
        <f t="shared" si="1"/>
        <v>6B</v>
      </c>
      <c r="F669" s="47" t="s">
        <v>4054</v>
      </c>
      <c r="G669" s="47" t="s">
        <v>284</v>
      </c>
      <c r="H669" s="48">
        <f>IF(NOT(ISBLANK(vlookup(B669,Pop_Census_2023!$A$2:$E$3220,4,FALSE))),vlookup(B669,Pop_Census_2023!$A$2:$E$3220,4,FALSE), vlookup(B669,Pop_Census_2023!$A$2:$E$3220,5,FALSE))</f>
        <v>2758</v>
      </c>
    </row>
    <row r="670">
      <c r="A670" s="47" t="s">
        <v>2424</v>
      </c>
      <c r="B670" s="47">
        <v>16025.0</v>
      </c>
      <c r="C670" s="47">
        <v>6.0</v>
      </c>
      <c r="D670" s="47" t="s">
        <v>4053</v>
      </c>
      <c r="E670" s="47" t="str">
        <f t="shared" si="1"/>
        <v>6B</v>
      </c>
      <c r="F670" s="47" t="s">
        <v>4054</v>
      </c>
      <c r="G670" s="47" t="s">
        <v>586</v>
      </c>
      <c r="H670" s="48">
        <f>IF(NOT(ISBLANK(vlookup(B670,Pop_Census_2023!$A$2:$E$3220,4,FALSE))),vlookup(B670,Pop_Census_2023!$A$2:$E$3220,4,FALSE), vlookup(B670,Pop_Census_2023!$A$2:$E$3220,5,FALSE))</f>
        <v>1232</v>
      </c>
    </row>
    <row r="671">
      <c r="A671" s="47" t="s">
        <v>2424</v>
      </c>
      <c r="B671" s="47">
        <v>16027.0</v>
      </c>
      <c r="C671" s="47">
        <v>5.0</v>
      </c>
      <c r="D671" s="47" t="s">
        <v>4053</v>
      </c>
      <c r="E671" s="47" t="str">
        <f t="shared" si="1"/>
        <v>5B</v>
      </c>
      <c r="F671" s="47" t="s">
        <v>4054</v>
      </c>
      <c r="G671" s="47" t="s">
        <v>587</v>
      </c>
      <c r="H671" s="48">
        <f>IF(NOT(ISBLANK(vlookup(B671,Pop_Census_2023!$A$2:$E$3220,4,FALSE))),vlookup(B671,Pop_Census_2023!$A$2:$E$3220,4,FALSE), vlookup(B671,Pop_Census_2023!$A$2:$E$3220,5,FALSE))</f>
        <v>257674</v>
      </c>
    </row>
    <row r="672">
      <c r="A672" s="47" t="s">
        <v>2424</v>
      </c>
      <c r="B672" s="47">
        <v>16029.0</v>
      </c>
      <c r="C672" s="47">
        <v>6.0</v>
      </c>
      <c r="D672" s="47" t="s">
        <v>4053</v>
      </c>
      <c r="E672" s="47" t="str">
        <f t="shared" si="1"/>
        <v>6B</v>
      </c>
      <c r="F672" s="47" t="s">
        <v>4054</v>
      </c>
      <c r="G672" s="47" t="s">
        <v>588</v>
      </c>
      <c r="H672" s="48">
        <f>IF(NOT(ISBLANK(vlookup(B672,Pop_Census_2023!$A$2:$E$3220,4,FALSE))),vlookup(B672,Pop_Census_2023!$A$2:$E$3220,4,FALSE), vlookup(B672,Pop_Census_2023!$A$2:$E$3220,5,FALSE))</f>
        <v>7219</v>
      </c>
    </row>
    <row r="673">
      <c r="A673" s="47" t="s">
        <v>2424</v>
      </c>
      <c r="B673" s="47">
        <v>16031.0</v>
      </c>
      <c r="C673" s="47">
        <v>5.0</v>
      </c>
      <c r="D673" s="47" t="s">
        <v>4053</v>
      </c>
      <c r="E673" s="47" t="str">
        <f t="shared" si="1"/>
        <v>5B</v>
      </c>
      <c r="F673" s="47" t="s">
        <v>4054</v>
      </c>
      <c r="G673" s="47" t="s">
        <v>589</v>
      </c>
      <c r="H673" s="48">
        <f>IF(NOT(ISBLANK(vlookup(B673,Pop_Census_2023!$A$2:$E$3220,4,FALSE))),vlookup(B673,Pop_Census_2023!$A$2:$E$3220,4,FALSE), vlookup(B673,Pop_Census_2023!$A$2:$E$3220,5,FALSE))</f>
        <v>25696</v>
      </c>
    </row>
    <row r="674">
      <c r="A674" s="47" t="s">
        <v>2424</v>
      </c>
      <c r="B674" s="47">
        <v>16033.0</v>
      </c>
      <c r="C674" s="47">
        <v>6.0</v>
      </c>
      <c r="D674" s="47" t="s">
        <v>4053</v>
      </c>
      <c r="E674" s="47" t="str">
        <f t="shared" si="1"/>
        <v>6B</v>
      </c>
      <c r="F674" s="47" t="s">
        <v>4054</v>
      </c>
      <c r="G674" s="47" t="s">
        <v>229</v>
      </c>
      <c r="H674" s="34">
        <f>IF(NOT(ISBLANK(vlookup(B674,Pop_Census_2023!$A$2:$E$3220,4,FALSE))),vlookup(B674,Pop_Census_2023!$A$2:$E$3220,4,FALSE), vlookup(B674,Pop_Census_2023!$A$2:$E$3220,5,FALSE))</f>
        <v>801</v>
      </c>
    </row>
    <row r="675">
      <c r="A675" s="47" t="s">
        <v>2424</v>
      </c>
      <c r="B675" s="47">
        <v>16035.0</v>
      </c>
      <c r="C675" s="47">
        <v>5.0</v>
      </c>
      <c r="D675" s="47" t="s">
        <v>4053</v>
      </c>
      <c r="E675" s="47" t="str">
        <f t="shared" si="1"/>
        <v>5B</v>
      </c>
      <c r="F675" s="47" t="s">
        <v>4054</v>
      </c>
      <c r="G675" s="47" t="s">
        <v>590</v>
      </c>
      <c r="H675" s="48">
        <f>IF(NOT(ISBLANK(vlookup(B675,Pop_Census_2023!$A$2:$E$3220,4,FALSE))),vlookup(B675,Pop_Census_2023!$A$2:$E$3220,4,FALSE), vlookup(B675,Pop_Census_2023!$A$2:$E$3220,5,FALSE))</f>
        <v>9214</v>
      </c>
    </row>
    <row r="676">
      <c r="A676" s="47" t="s">
        <v>2424</v>
      </c>
      <c r="B676" s="47">
        <v>16037.0</v>
      </c>
      <c r="C676" s="47">
        <v>6.0</v>
      </c>
      <c r="D676" s="47" t="s">
        <v>4053</v>
      </c>
      <c r="E676" s="47" t="str">
        <f t="shared" si="1"/>
        <v>6B</v>
      </c>
      <c r="F676" s="47" t="s">
        <v>4054</v>
      </c>
      <c r="G676" s="47" t="s">
        <v>353</v>
      </c>
      <c r="H676" s="48">
        <f>IF(NOT(ISBLANK(vlookup(B676,Pop_Census_2023!$A$2:$E$3220,4,FALSE))),vlookup(B676,Pop_Census_2023!$A$2:$E$3220,4,FALSE), vlookup(B676,Pop_Census_2023!$A$2:$E$3220,5,FALSE))</f>
        <v>4523</v>
      </c>
    </row>
    <row r="677">
      <c r="A677" s="47" t="s">
        <v>2424</v>
      </c>
      <c r="B677" s="47">
        <v>16039.0</v>
      </c>
      <c r="C677" s="47">
        <v>5.0</v>
      </c>
      <c r="D677" s="47" t="s">
        <v>4053</v>
      </c>
      <c r="E677" s="47" t="str">
        <f t="shared" si="1"/>
        <v>5B</v>
      </c>
      <c r="F677" s="47" t="s">
        <v>4054</v>
      </c>
      <c r="G677" s="47" t="s">
        <v>128</v>
      </c>
      <c r="H677" s="48">
        <f>IF(NOT(ISBLANK(vlookup(B677,Pop_Census_2023!$A$2:$E$3220,4,FALSE))),vlookup(B677,Pop_Census_2023!$A$2:$E$3220,4,FALSE), vlookup(B677,Pop_Census_2023!$A$2:$E$3220,5,FALSE))</f>
        <v>29724</v>
      </c>
    </row>
    <row r="678">
      <c r="A678" s="47" t="s">
        <v>2424</v>
      </c>
      <c r="B678" s="47">
        <v>16041.0</v>
      </c>
      <c r="C678" s="47">
        <v>6.0</v>
      </c>
      <c r="D678" s="47" t="s">
        <v>4053</v>
      </c>
      <c r="E678" s="47" t="str">
        <f t="shared" si="1"/>
        <v>6B</v>
      </c>
      <c r="F678" s="47" t="s">
        <v>4054</v>
      </c>
      <c r="G678" s="47" t="s">
        <v>132</v>
      </c>
      <c r="H678" s="48">
        <f>IF(NOT(ISBLANK(vlookup(B678,Pop_Census_2023!$A$2:$E$3220,4,FALSE))),vlookup(B678,Pop_Census_2023!$A$2:$E$3220,4,FALSE), vlookup(B678,Pop_Census_2023!$A$2:$E$3220,5,FALSE))</f>
        <v>15494</v>
      </c>
    </row>
    <row r="679">
      <c r="A679" s="47" t="s">
        <v>2424</v>
      </c>
      <c r="B679" s="47">
        <v>16043.0</v>
      </c>
      <c r="C679" s="47">
        <v>6.0</v>
      </c>
      <c r="D679" s="47" t="s">
        <v>4053</v>
      </c>
      <c r="E679" s="47" t="str">
        <f t="shared" si="1"/>
        <v>6B</v>
      </c>
      <c r="F679" s="47" t="s">
        <v>4054</v>
      </c>
      <c r="G679" s="47" t="s">
        <v>361</v>
      </c>
      <c r="H679" s="48">
        <f>IF(NOT(ISBLANK(vlookup(B679,Pop_Census_2023!$A$2:$E$3220,4,FALSE))),vlookup(B679,Pop_Census_2023!$A$2:$E$3220,4,FALSE), vlookup(B679,Pop_Census_2023!$A$2:$E$3220,5,FALSE))</f>
        <v>14196</v>
      </c>
    </row>
    <row r="680">
      <c r="A680" s="47" t="s">
        <v>2424</v>
      </c>
      <c r="B680" s="47">
        <v>16045.0</v>
      </c>
      <c r="C680" s="47">
        <v>5.0</v>
      </c>
      <c r="D680" s="47" t="s">
        <v>4053</v>
      </c>
      <c r="E680" s="47" t="str">
        <f t="shared" si="1"/>
        <v>5B</v>
      </c>
      <c r="F680" s="47" t="s">
        <v>4054</v>
      </c>
      <c r="G680" s="47" t="s">
        <v>591</v>
      </c>
      <c r="H680" s="48">
        <f>IF(NOT(ISBLANK(vlookup(B680,Pop_Census_2023!$A$2:$E$3220,4,FALSE))),vlookup(B680,Pop_Census_2023!$A$2:$E$3220,4,FALSE), vlookup(B680,Pop_Census_2023!$A$2:$E$3220,5,FALSE))</f>
        <v>21071</v>
      </c>
    </row>
    <row r="681">
      <c r="A681" s="47" t="s">
        <v>2424</v>
      </c>
      <c r="B681" s="47">
        <v>16047.0</v>
      </c>
      <c r="C681" s="47">
        <v>5.0</v>
      </c>
      <c r="D681" s="47" t="s">
        <v>4053</v>
      </c>
      <c r="E681" s="47" t="str">
        <f t="shared" si="1"/>
        <v>5B</v>
      </c>
      <c r="F681" s="47" t="s">
        <v>4054</v>
      </c>
      <c r="G681" s="47" t="s">
        <v>592</v>
      </c>
      <c r="H681" s="48">
        <f>IF(NOT(ISBLANK(vlookup(B681,Pop_Census_2023!$A$2:$E$3220,4,FALSE))),vlookup(B681,Pop_Census_2023!$A$2:$E$3220,4,FALSE), vlookup(B681,Pop_Census_2023!$A$2:$E$3220,5,FALSE))</f>
        <v>16061</v>
      </c>
    </row>
    <row r="682">
      <c r="A682" s="47" t="s">
        <v>2424</v>
      </c>
      <c r="B682" s="47">
        <v>16049.0</v>
      </c>
      <c r="C682" s="47">
        <v>5.0</v>
      </c>
      <c r="D682" s="47" t="s">
        <v>4053</v>
      </c>
      <c r="E682" s="47" t="str">
        <f t="shared" si="1"/>
        <v>5B</v>
      </c>
      <c r="F682" s="47" t="s">
        <v>4054</v>
      </c>
      <c r="G682" s="47" t="s">
        <v>576</v>
      </c>
      <c r="H682" s="48">
        <f>IF(NOT(ISBLANK(vlookup(B682,Pop_Census_2023!$A$2:$E$3220,4,FALSE))),vlookup(B682,Pop_Census_2023!$A$2:$E$3220,4,FALSE), vlookup(B682,Pop_Census_2023!$A$2:$E$3220,5,FALSE))</f>
        <v>17890</v>
      </c>
    </row>
    <row r="683">
      <c r="A683" s="47" t="s">
        <v>2424</v>
      </c>
      <c r="B683" s="47">
        <v>16051.0</v>
      </c>
      <c r="C683" s="47">
        <v>6.0</v>
      </c>
      <c r="D683" s="47" t="s">
        <v>4053</v>
      </c>
      <c r="E683" s="47" t="str">
        <f t="shared" si="1"/>
        <v>6B</v>
      </c>
      <c r="F683" s="47" t="s">
        <v>4054</v>
      </c>
      <c r="G683" s="47" t="s">
        <v>139</v>
      </c>
      <c r="H683" s="48">
        <f>IF(NOT(ISBLANK(vlookup(B683,Pop_Census_2023!$A$2:$E$3220,4,FALSE))),vlookup(B683,Pop_Census_2023!$A$2:$E$3220,4,FALSE), vlookup(B683,Pop_Census_2023!$A$2:$E$3220,5,FALSE))</f>
        <v>34198</v>
      </c>
    </row>
    <row r="684">
      <c r="A684" s="47" t="s">
        <v>2424</v>
      </c>
      <c r="B684" s="47">
        <v>16053.0</v>
      </c>
      <c r="C684" s="47">
        <v>5.0</v>
      </c>
      <c r="D684" s="47" t="s">
        <v>4053</v>
      </c>
      <c r="E684" s="47" t="str">
        <f t="shared" si="1"/>
        <v>5B</v>
      </c>
      <c r="F684" s="47" t="s">
        <v>4054</v>
      </c>
      <c r="G684" s="47" t="s">
        <v>593</v>
      </c>
      <c r="H684" s="48">
        <f>IF(NOT(ISBLANK(vlookup(B684,Pop_Census_2023!$A$2:$E$3220,4,FALSE))),vlookup(B684,Pop_Census_2023!$A$2:$E$3220,4,FALSE), vlookup(B684,Pop_Census_2023!$A$2:$E$3220,5,FALSE))</f>
        <v>25479</v>
      </c>
    </row>
    <row r="685">
      <c r="A685" s="47" t="s">
        <v>2424</v>
      </c>
      <c r="B685" s="47">
        <v>16055.0</v>
      </c>
      <c r="C685" s="47">
        <v>5.0</v>
      </c>
      <c r="D685" s="47" t="s">
        <v>4053</v>
      </c>
      <c r="E685" s="47" t="str">
        <f t="shared" si="1"/>
        <v>5B</v>
      </c>
      <c r="F685" s="47" t="s">
        <v>4054</v>
      </c>
      <c r="G685" s="47" t="s">
        <v>594</v>
      </c>
      <c r="H685" s="48">
        <f>IF(NOT(ISBLANK(vlookup(B685,Pop_Census_2023!$A$2:$E$3220,4,FALSE))),vlookup(B685,Pop_Census_2023!$A$2:$E$3220,4,FALSE), vlookup(B685,Pop_Census_2023!$A$2:$E$3220,5,FALSE))</f>
        <v>185010</v>
      </c>
    </row>
    <row r="686">
      <c r="A686" s="47" t="s">
        <v>2424</v>
      </c>
      <c r="B686" s="47">
        <v>16057.0</v>
      </c>
      <c r="C686" s="47">
        <v>5.0</v>
      </c>
      <c r="D686" s="47" t="s">
        <v>4053</v>
      </c>
      <c r="E686" s="47" t="str">
        <f t="shared" si="1"/>
        <v>5B</v>
      </c>
      <c r="F686" s="47" t="s">
        <v>4054</v>
      </c>
      <c r="G686" s="47" t="s">
        <v>595</v>
      </c>
      <c r="H686" s="48">
        <f>IF(NOT(ISBLANK(vlookup(B686,Pop_Census_2023!$A$2:$E$3220,4,FALSE))),vlookup(B686,Pop_Census_2023!$A$2:$E$3220,4,FALSE), vlookup(B686,Pop_Census_2023!$A$2:$E$3220,5,FALSE))</f>
        <v>41301</v>
      </c>
    </row>
    <row r="687">
      <c r="A687" s="47" t="s">
        <v>2424</v>
      </c>
      <c r="B687" s="47">
        <v>16059.0</v>
      </c>
      <c r="C687" s="47">
        <v>6.0</v>
      </c>
      <c r="D687" s="47" t="s">
        <v>4053</v>
      </c>
      <c r="E687" s="47" t="str">
        <f t="shared" si="1"/>
        <v>6B</v>
      </c>
      <c r="F687" s="47" t="s">
        <v>4054</v>
      </c>
      <c r="G687" s="47" t="s">
        <v>596</v>
      </c>
      <c r="H687" s="48">
        <f>IF(NOT(ISBLANK(vlookup(B687,Pop_Census_2023!$A$2:$E$3220,4,FALSE))),vlookup(B687,Pop_Census_2023!$A$2:$E$3220,4,FALSE), vlookup(B687,Pop_Census_2023!$A$2:$E$3220,5,FALSE))</f>
        <v>8441</v>
      </c>
    </row>
    <row r="688">
      <c r="A688" s="47" t="s">
        <v>2424</v>
      </c>
      <c r="B688" s="47">
        <v>16061.0</v>
      </c>
      <c r="C688" s="47">
        <v>5.0</v>
      </c>
      <c r="D688" s="47" t="s">
        <v>4053</v>
      </c>
      <c r="E688" s="47" t="str">
        <f t="shared" si="1"/>
        <v>5B</v>
      </c>
      <c r="F688" s="47" t="s">
        <v>4054</v>
      </c>
      <c r="G688" s="47" t="s">
        <v>597</v>
      </c>
      <c r="H688" s="48">
        <f>IF(NOT(ISBLANK(vlookup(B688,Pop_Census_2023!$A$2:$E$3220,4,FALSE))),vlookup(B688,Pop_Census_2023!$A$2:$E$3220,4,FALSE), vlookup(B688,Pop_Census_2023!$A$2:$E$3220,5,FALSE))</f>
        <v>3739</v>
      </c>
    </row>
    <row r="689">
      <c r="A689" s="47" t="s">
        <v>2424</v>
      </c>
      <c r="B689" s="47">
        <v>16063.0</v>
      </c>
      <c r="C689" s="47">
        <v>5.0</v>
      </c>
      <c r="D689" s="47" t="s">
        <v>4053</v>
      </c>
      <c r="E689" s="47" t="str">
        <f t="shared" si="1"/>
        <v>5B</v>
      </c>
      <c r="F689" s="47" t="s">
        <v>4054</v>
      </c>
      <c r="G689" s="47" t="s">
        <v>250</v>
      </c>
      <c r="H689" s="48">
        <f>IF(NOT(ISBLANK(vlookup(B689,Pop_Census_2023!$A$2:$E$3220,4,FALSE))),vlookup(B689,Pop_Census_2023!$A$2:$E$3220,4,FALSE), vlookup(B689,Pop_Census_2023!$A$2:$E$3220,5,FALSE))</f>
        <v>5450</v>
      </c>
    </row>
    <row r="690">
      <c r="A690" s="47" t="s">
        <v>2424</v>
      </c>
      <c r="B690" s="47">
        <v>16065.0</v>
      </c>
      <c r="C690" s="47">
        <v>6.0</v>
      </c>
      <c r="D690" s="47" t="s">
        <v>4053</v>
      </c>
      <c r="E690" s="47" t="str">
        <f t="shared" si="1"/>
        <v>6B</v>
      </c>
      <c r="F690" s="47" t="s">
        <v>4054</v>
      </c>
      <c r="G690" s="47" t="s">
        <v>147</v>
      </c>
      <c r="H690" s="48">
        <f>IF(NOT(ISBLANK(vlookup(B690,Pop_Census_2023!$A$2:$E$3220,4,FALSE))),vlookup(B690,Pop_Census_2023!$A$2:$E$3220,4,FALSE), vlookup(B690,Pop_Census_2023!$A$2:$E$3220,5,FALSE))</f>
        <v>54547</v>
      </c>
    </row>
    <row r="691">
      <c r="A691" s="47" t="s">
        <v>2424</v>
      </c>
      <c r="B691" s="47">
        <v>16067.0</v>
      </c>
      <c r="C691" s="47">
        <v>5.0</v>
      </c>
      <c r="D691" s="47" t="s">
        <v>4053</v>
      </c>
      <c r="E691" s="47" t="str">
        <f t="shared" si="1"/>
        <v>5B</v>
      </c>
      <c r="F691" s="47" t="s">
        <v>4054</v>
      </c>
      <c r="G691" s="47" t="s">
        <v>598</v>
      </c>
      <c r="H691" s="48">
        <f>IF(NOT(ISBLANK(vlookup(B691,Pop_Census_2023!$A$2:$E$3220,4,FALSE))),vlookup(B691,Pop_Census_2023!$A$2:$E$3220,4,FALSE), vlookup(B691,Pop_Census_2023!$A$2:$E$3220,5,FALSE))</f>
        <v>22480</v>
      </c>
    </row>
    <row r="692">
      <c r="A692" s="47" t="s">
        <v>2424</v>
      </c>
      <c r="B692" s="47">
        <v>16069.0</v>
      </c>
      <c r="C692" s="47">
        <v>5.0</v>
      </c>
      <c r="D692" s="47" t="s">
        <v>4053</v>
      </c>
      <c r="E692" s="47" t="str">
        <f t="shared" si="1"/>
        <v>5B</v>
      </c>
      <c r="F692" s="47" t="s">
        <v>4054</v>
      </c>
      <c r="G692" s="47" t="s">
        <v>599</v>
      </c>
      <c r="H692" s="48">
        <f>IF(NOT(ISBLANK(vlookup(B692,Pop_Census_2023!$A$2:$E$3220,4,FALSE))),vlookup(B692,Pop_Census_2023!$A$2:$E$3220,4,FALSE), vlookup(B692,Pop_Census_2023!$A$2:$E$3220,5,FALSE))</f>
        <v>42987</v>
      </c>
    </row>
    <row r="693">
      <c r="A693" s="47" t="s">
        <v>2424</v>
      </c>
      <c r="B693" s="47">
        <v>16071.0</v>
      </c>
      <c r="C693" s="47">
        <v>6.0</v>
      </c>
      <c r="D693" s="47" t="s">
        <v>4053</v>
      </c>
      <c r="E693" s="47" t="str">
        <f t="shared" si="1"/>
        <v>6B</v>
      </c>
      <c r="F693" s="47" t="s">
        <v>4054</v>
      </c>
      <c r="G693" s="47" t="s">
        <v>600</v>
      </c>
      <c r="H693" s="48">
        <f>IF(NOT(ISBLANK(vlookup(B693,Pop_Census_2023!$A$2:$E$3220,4,FALSE))),vlookup(B693,Pop_Census_2023!$A$2:$E$3220,4,FALSE), vlookup(B693,Pop_Census_2023!$A$2:$E$3220,5,FALSE))</f>
        <v>4953</v>
      </c>
    </row>
    <row r="694">
      <c r="A694" s="47" t="s">
        <v>2424</v>
      </c>
      <c r="B694" s="47">
        <v>16073.0</v>
      </c>
      <c r="C694" s="47">
        <v>5.0</v>
      </c>
      <c r="D694" s="47" t="s">
        <v>4053</v>
      </c>
      <c r="E694" s="47" t="str">
        <f t="shared" si="1"/>
        <v>5B</v>
      </c>
      <c r="F694" s="47" t="s">
        <v>4054</v>
      </c>
      <c r="G694" s="47" t="s">
        <v>601</v>
      </c>
      <c r="H694" s="48">
        <f>IF(NOT(ISBLANK(vlookup(B694,Pop_Census_2023!$A$2:$E$3220,4,FALSE))),vlookup(B694,Pop_Census_2023!$A$2:$E$3220,4,FALSE), vlookup(B694,Pop_Census_2023!$A$2:$E$3220,5,FALSE))</f>
        <v>12722</v>
      </c>
    </row>
    <row r="695">
      <c r="A695" s="47" t="s">
        <v>2424</v>
      </c>
      <c r="B695" s="47">
        <v>16075.0</v>
      </c>
      <c r="C695" s="47">
        <v>5.0</v>
      </c>
      <c r="D695" s="47" t="s">
        <v>4053</v>
      </c>
      <c r="E695" s="47" t="str">
        <f t="shared" si="1"/>
        <v>5B</v>
      </c>
      <c r="F695" s="47" t="s">
        <v>4054</v>
      </c>
      <c r="G695" s="47" t="s">
        <v>602</v>
      </c>
      <c r="H695" s="48">
        <f>IF(NOT(ISBLANK(vlookup(B695,Pop_Census_2023!$A$2:$E$3220,4,FALSE))),vlookup(B695,Pop_Census_2023!$A$2:$E$3220,4,FALSE), vlookup(B695,Pop_Census_2023!$A$2:$E$3220,5,FALSE))</f>
        <v>27279</v>
      </c>
    </row>
    <row r="696">
      <c r="A696" s="47" t="s">
        <v>2424</v>
      </c>
      <c r="B696" s="47">
        <v>16077.0</v>
      </c>
      <c r="C696" s="47">
        <v>5.0</v>
      </c>
      <c r="D696" s="47" t="s">
        <v>4053</v>
      </c>
      <c r="E696" s="47" t="str">
        <f t="shared" si="1"/>
        <v>5B</v>
      </c>
      <c r="F696" s="47" t="s">
        <v>4054</v>
      </c>
      <c r="G696" s="47" t="s">
        <v>603</v>
      </c>
      <c r="H696" s="48">
        <f>IF(NOT(ISBLANK(vlookup(B696,Pop_Census_2023!$A$2:$E$3220,4,FALSE))),vlookup(B696,Pop_Census_2023!$A$2:$E$3220,4,FALSE), vlookup(B696,Pop_Census_2023!$A$2:$E$3220,5,FALSE))</f>
        <v>8253</v>
      </c>
    </row>
    <row r="697">
      <c r="A697" s="47" t="s">
        <v>2424</v>
      </c>
      <c r="B697" s="47">
        <v>16079.0</v>
      </c>
      <c r="C697" s="47">
        <v>5.0</v>
      </c>
      <c r="D697" s="47" t="s">
        <v>4053</v>
      </c>
      <c r="E697" s="47" t="str">
        <f t="shared" si="1"/>
        <v>5B</v>
      </c>
      <c r="F697" s="47" t="s">
        <v>4054</v>
      </c>
      <c r="G697" s="47" t="s">
        <v>604</v>
      </c>
      <c r="H697" s="48">
        <f>IF(NOT(ISBLANK(vlookup(B697,Pop_Census_2023!$A$2:$E$3220,4,FALSE))),vlookup(B697,Pop_Census_2023!$A$2:$E$3220,4,FALSE), vlookup(B697,Pop_Census_2023!$A$2:$E$3220,5,FALSE))</f>
        <v>14026</v>
      </c>
    </row>
    <row r="698">
      <c r="A698" s="47" t="s">
        <v>2424</v>
      </c>
      <c r="B698" s="47">
        <v>16081.0</v>
      </c>
      <c r="C698" s="47">
        <v>6.0</v>
      </c>
      <c r="D698" s="47" t="s">
        <v>4053</v>
      </c>
      <c r="E698" s="47" t="str">
        <f t="shared" si="1"/>
        <v>6B</v>
      </c>
      <c r="F698" s="47" t="s">
        <v>4054</v>
      </c>
      <c r="G698" s="47" t="s">
        <v>605</v>
      </c>
      <c r="H698" s="48">
        <f>IF(NOT(ISBLANK(vlookup(B698,Pop_Census_2023!$A$2:$E$3220,4,FALSE))),vlookup(B698,Pop_Census_2023!$A$2:$E$3220,4,FALSE), vlookup(B698,Pop_Census_2023!$A$2:$E$3220,5,FALSE))</f>
        <v>12549</v>
      </c>
    </row>
    <row r="699">
      <c r="A699" s="47" t="s">
        <v>2424</v>
      </c>
      <c r="B699" s="47">
        <v>16083.0</v>
      </c>
      <c r="C699" s="47">
        <v>5.0</v>
      </c>
      <c r="D699" s="47" t="s">
        <v>4053</v>
      </c>
      <c r="E699" s="47" t="str">
        <f t="shared" si="1"/>
        <v>5B</v>
      </c>
      <c r="F699" s="47" t="s">
        <v>4054</v>
      </c>
      <c r="G699" s="47" t="s">
        <v>606</v>
      </c>
      <c r="H699" s="48">
        <f>IF(NOT(ISBLANK(vlookup(B699,Pop_Census_2023!$A$2:$E$3220,4,FALSE))),vlookup(B699,Pop_Census_2023!$A$2:$E$3220,4,FALSE), vlookup(B699,Pop_Census_2023!$A$2:$E$3220,5,FALSE))</f>
        <v>95156</v>
      </c>
    </row>
    <row r="700">
      <c r="A700" s="47" t="s">
        <v>2424</v>
      </c>
      <c r="B700" s="47">
        <v>16085.0</v>
      </c>
      <c r="C700" s="47">
        <v>6.0</v>
      </c>
      <c r="D700" s="47" t="s">
        <v>4053</v>
      </c>
      <c r="E700" s="47" t="str">
        <f t="shared" si="1"/>
        <v>6B</v>
      </c>
      <c r="F700" s="47" t="s">
        <v>4054</v>
      </c>
      <c r="G700" s="47" t="s">
        <v>607</v>
      </c>
      <c r="H700" s="48">
        <f>IF(NOT(ISBLANK(vlookup(B700,Pop_Census_2023!$A$2:$E$3220,4,FALSE))),vlookup(B700,Pop_Census_2023!$A$2:$E$3220,4,FALSE), vlookup(B700,Pop_Census_2023!$A$2:$E$3220,5,FALSE))</f>
        <v>12644</v>
      </c>
    </row>
    <row r="701">
      <c r="A701" s="47" t="s">
        <v>2424</v>
      </c>
      <c r="B701" s="47">
        <v>16087.0</v>
      </c>
      <c r="C701" s="47">
        <v>5.0</v>
      </c>
      <c r="D701" s="47" t="s">
        <v>4053</v>
      </c>
      <c r="E701" s="47" t="str">
        <f t="shared" si="1"/>
        <v>5B</v>
      </c>
      <c r="F701" s="47" t="s">
        <v>4054</v>
      </c>
      <c r="G701" s="47" t="s">
        <v>167</v>
      </c>
      <c r="H701" s="48">
        <f>IF(NOT(ISBLANK(vlookup(B701,Pop_Census_2023!$A$2:$E$3220,4,FALSE))),vlookup(B701,Pop_Census_2023!$A$2:$E$3220,4,FALSE), vlookup(B701,Pop_Census_2023!$A$2:$E$3220,5,FALSE))</f>
        <v>11425</v>
      </c>
    </row>
    <row r="702">
      <c r="A702" s="47" t="s">
        <v>2458</v>
      </c>
      <c r="B702" s="47">
        <v>17001.0</v>
      </c>
      <c r="C702" s="47">
        <v>5.0</v>
      </c>
      <c r="D702" s="47" t="s">
        <v>4044</v>
      </c>
      <c r="E702" s="47" t="str">
        <f t="shared" si="1"/>
        <v>5A</v>
      </c>
      <c r="F702" s="47" t="s">
        <v>4054</v>
      </c>
      <c r="G702" s="47" t="s">
        <v>338</v>
      </c>
      <c r="H702" s="48">
        <f>IF(NOT(ISBLANK(vlookup(B702,Pop_Census_2023!$A$2:$E$3220,4,FALSE))),vlookup(B702,Pop_Census_2023!$A$2:$E$3220,4,FALSE), vlookup(B702,Pop_Census_2023!$A$2:$E$3220,5,FALSE))</f>
        <v>64441</v>
      </c>
    </row>
    <row r="703">
      <c r="A703" s="47" t="s">
        <v>2458</v>
      </c>
      <c r="B703" s="47">
        <v>17003.0</v>
      </c>
      <c r="C703" s="47">
        <v>4.0</v>
      </c>
      <c r="D703" s="47" t="s">
        <v>4044</v>
      </c>
      <c r="E703" s="47" t="str">
        <f t="shared" si="1"/>
        <v>4A</v>
      </c>
      <c r="F703" s="47" t="s">
        <v>4046</v>
      </c>
      <c r="G703" s="47" t="s">
        <v>609</v>
      </c>
      <c r="H703" s="48">
        <f>IF(NOT(ISBLANK(vlookup(B703,Pop_Census_2023!$A$2:$E$3220,4,FALSE))),vlookup(B703,Pop_Census_2023!$A$2:$E$3220,4,FALSE), vlookup(B703,Pop_Census_2023!$A$2:$E$3220,5,FALSE))</f>
        <v>4695</v>
      </c>
    </row>
    <row r="704">
      <c r="A704" s="47" t="s">
        <v>2458</v>
      </c>
      <c r="B704" s="47">
        <v>17005.0</v>
      </c>
      <c r="C704" s="47">
        <v>4.0</v>
      </c>
      <c r="D704" s="47" t="s">
        <v>4044</v>
      </c>
      <c r="E704" s="47" t="str">
        <f t="shared" si="1"/>
        <v>4A</v>
      </c>
      <c r="F704" s="47" t="s">
        <v>4046</v>
      </c>
      <c r="G704" s="47" t="s">
        <v>610</v>
      </c>
      <c r="H704" s="48">
        <f>IF(NOT(ISBLANK(vlookup(B704,Pop_Census_2023!$A$2:$E$3220,4,FALSE))),vlookup(B704,Pop_Census_2023!$A$2:$E$3220,4,FALSE), vlookup(B704,Pop_Census_2023!$A$2:$E$3220,5,FALSE))</f>
        <v>16450</v>
      </c>
    </row>
    <row r="705">
      <c r="A705" s="47" t="s">
        <v>2458</v>
      </c>
      <c r="B705" s="47">
        <v>17007.0</v>
      </c>
      <c r="C705" s="47">
        <v>5.0</v>
      </c>
      <c r="D705" s="47" t="s">
        <v>4044</v>
      </c>
      <c r="E705" s="47" t="str">
        <f t="shared" si="1"/>
        <v>5A</v>
      </c>
      <c r="F705" s="47" t="s">
        <v>4054</v>
      </c>
      <c r="G705" s="47" t="s">
        <v>225</v>
      </c>
      <c r="H705" s="48">
        <f>IF(NOT(ISBLANK(vlookup(B705,Pop_Census_2023!$A$2:$E$3220,4,FALSE))),vlookup(B705,Pop_Census_2023!$A$2:$E$3220,4,FALSE), vlookup(B705,Pop_Census_2023!$A$2:$E$3220,5,FALSE))</f>
        <v>53202</v>
      </c>
    </row>
    <row r="706">
      <c r="A706" s="47" t="s">
        <v>2458</v>
      </c>
      <c r="B706" s="47">
        <v>17009.0</v>
      </c>
      <c r="C706" s="47">
        <v>5.0</v>
      </c>
      <c r="D706" s="47" t="s">
        <v>4044</v>
      </c>
      <c r="E706" s="47" t="str">
        <f t="shared" si="1"/>
        <v>5A</v>
      </c>
      <c r="F706" s="47" t="s">
        <v>4054</v>
      </c>
      <c r="G706" s="47" t="s">
        <v>611</v>
      </c>
      <c r="H706" s="48">
        <f>IF(NOT(ISBLANK(vlookup(B706,Pop_Census_2023!$A$2:$E$3220,4,FALSE))),vlookup(B706,Pop_Census_2023!$A$2:$E$3220,4,FALSE), vlookup(B706,Pop_Census_2023!$A$2:$E$3220,5,FALSE))</f>
        <v>6294</v>
      </c>
    </row>
    <row r="707">
      <c r="A707" s="47" t="s">
        <v>2458</v>
      </c>
      <c r="B707" s="47">
        <v>17011.0</v>
      </c>
      <c r="C707" s="47">
        <v>5.0</v>
      </c>
      <c r="D707" s="47" t="s">
        <v>4044</v>
      </c>
      <c r="E707" s="47" t="str">
        <f t="shared" si="1"/>
        <v>5A</v>
      </c>
      <c r="F707" s="47" t="s">
        <v>4054</v>
      </c>
      <c r="G707" s="47" t="s">
        <v>612</v>
      </c>
      <c r="H707" s="48">
        <f>IF(NOT(ISBLANK(vlookup(B707,Pop_Census_2023!$A$2:$E$3220,4,FALSE))),vlookup(B707,Pop_Census_2023!$A$2:$E$3220,4,FALSE), vlookup(B707,Pop_Census_2023!$A$2:$E$3220,5,FALSE))</f>
        <v>32729</v>
      </c>
    </row>
    <row r="708">
      <c r="A708" s="47" t="s">
        <v>2458</v>
      </c>
      <c r="B708" s="47">
        <v>17013.0</v>
      </c>
      <c r="C708" s="47">
        <v>5.0</v>
      </c>
      <c r="D708" s="47" t="s">
        <v>4044</v>
      </c>
      <c r="E708" s="47" t="str">
        <f t="shared" si="1"/>
        <v>5A</v>
      </c>
      <c r="F708" s="47" t="s">
        <v>4054</v>
      </c>
      <c r="G708" s="47" t="s">
        <v>110</v>
      </c>
      <c r="H708" s="48">
        <f>IF(NOT(ISBLANK(vlookup(B708,Pop_Census_2023!$A$2:$E$3220,4,FALSE))),vlookup(B708,Pop_Census_2023!$A$2:$E$3220,4,FALSE), vlookup(B708,Pop_Census_2023!$A$2:$E$3220,5,FALSE))</f>
        <v>4317</v>
      </c>
    </row>
    <row r="709">
      <c r="A709" s="47" t="s">
        <v>2458</v>
      </c>
      <c r="B709" s="47">
        <v>17015.0</v>
      </c>
      <c r="C709" s="47">
        <v>5.0</v>
      </c>
      <c r="D709" s="47" t="s">
        <v>4044</v>
      </c>
      <c r="E709" s="47" t="str">
        <f t="shared" si="1"/>
        <v>5A</v>
      </c>
      <c r="F709" s="47" t="s">
        <v>4054</v>
      </c>
      <c r="G709" s="47" t="s">
        <v>227</v>
      </c>
      <c r="H709" s="48">
        <f>IF(NOT(ISBLANK(vlookup(B709,Pop_Census_2023!$A$2:$E$3220,4,FALSE))),vlookup(B709,Pop_Census_2023!$A$2:$E$3220,4,FALSE), vlookup(B709,Pop_Census_2023!$A$2:$E$3220,5,FALSE))</f>
        <v>15526</v>
      </c>
    </row>
    <row r="710">
      <c r="A710" s="47" t="s">
        <v>2458</v>
      </c>
      <c r="B710" s="47">
        <v>17017.0</v>
      </c>
      <c r="C710" s="47">
        <v>5.0</v>
      </c>
      <c r="D710" s="47" t="s">
        <v>4044</v>
      </c>
      <c r="E710" s="47" t="str">
        <f t="shared" si="1"/>
        <v>5A</v>
      </c>
      <c r="F710" s="47" t="s">
        <v>4054</v>
      </c>
      <c r="G710" s="47" t="s">
        <v>613</v>
      </c>
      <c r="H710" s="48">
        <f>IF(NOT(ISBLANK(vlookup(B710,Pop_Census_2023!$A$2:$E$3220,4,FALSE))),vlookup(B710,Pop_Census_2023!$A$2:$E$3220,4,FALSE), vlookup(B710,Pop_Census_2023!$A$2:$E$3220,5,FALSE))</f>
        <v>12596</v>
      </c>
    </row>
    <row r="711">
      <c r="A711" s="47" t="s">
        <v>2458</v>
      </c>
      <c r="B711" s="47">
        <v>17019.0</v>
      </c>
      <c r="C711" s="47">
        <v>5.0</v>
      </c>
      <c r="D711" s="47" t="s">
        <v>4044</v>
      </c>
      <c r="E711" s="47" t="str">
        <f t="shared" si="1"/>
        <v>5A</v>
      </c>
      <c r="F711" s="47" t="s">
        <v>4054</v>
      </c>
      <c r="G711" s="47" t="s">
        <v>614</v>
      </c>
      <c r="H711" s="48">
        <f>IF(NOT(ISBLANK(vlookup(B711,Pop_Census_2023!$A$2:$E$3220,4,FALSE))),vlookup(B711,Pop_Census_2023!$A$2:$E$3220,4,FALSE), vlookup(B711,Pop_Census_2023!$A$2:$E$3220,5,FALSE))</f>
        <v>205644</v>
      </c>
    </row>
    <row r="712">
      <c r="A712" s="47" t="s">
        <v>2458</v>
      </c>
      <c r="B712" s="47">
        <v>17021.0</v>
      </c>
      <c r="C712" s="47">
        <v>4.0</v>
      </c>
      <c r="D712" s="47" t="s">
        <v>4044</v>
      </c>
      <c r="E712" s="47" t="str">
        <f t="shared" si="1"/>
        <v>4A</v>
      </c>
      <c r="F712" s="47" t="s">
        <v>4046</v>
      </c>
      <c r="G712" s="47" t="s">
        <v>615</v>
      </c>
      <c r="H712" s="48">
        <f>IF(NOT(ISBLANK(vlookup(B712,Pop_Census_2023!$A$2:$E$3220,4,FALSE))),vlookup(B712,Pop_Census_2023!$A$2:$E$3220,4,FALSE), vlookup(B712,Pop_Census_2023!$A$2:$E$3220,5,FALSE))</f>
        <v>33228</v>
      </c>
    </row>
    <row r="713">
      <c r="A713" s="47" t="s">
        <v>2458</v>
      </c>
      <c r="B713" s="47">
        <v>17023.0</v>
      </c>
      <c r="C713" s="47">
        <v>5.0</v>
      </c>
      <c r="D713" s="47" t="s">
        <v>4044</v>
      </c>
      <c r="E713" s="47" t="str">
        <f t="shared" si="1"/>
        <v>5A</v>
      </c>
      <c r="F713" s="47" t="s">
        <v>4054</v>
      </c>
      <c r="G713" s="47" t="s">
        <v>229</v>
      </c>
      <c r="H713" s="48">
        <f>IF(NOT(ISBLANK(vlookup(B713,Pop_Census_2023!$A$2:$E$3220,4,FALSE))),vlookup(B713,Pop_Census_2023!$A$2:$E$3220,4,FALSE), vlookup(B713,Pop_Census_2023!$A$2:$E$3220,5,FALSE))</f>
        <v>15088</v>
      </c>
    </row>
    <row r="714">
      <c r="A714" s="47" t="s">
        <v>2458</v>
      </c>
      <c r="B714" s="47">
        <v>17025.0</v>
      </c>
      <c r="C714" s="47">
        <v>4.0</v>
      </c>
      <c r="D714" s="47" t="s">
        <v>4044</v>
      </c>
      <c r="E714" s="47" t="str">
        <f t="shared" si="1"/>
        <v>4A</v>
      </c>
      <c r="F714" s="47" t="s">
        <v>4046</v>
      </c>
      <c r="G714" s="47" t="s">
        <v>116</v>
      </c>
      <c r="H714" s="48">
        <f>IF(NOT(ISBLANK(vlookup(B714,Pop_Census_2023!$A$2:$E$3220,4,FALSE))),vlookup(B714,Pop_Census_2023!$A$2:$E$3220,4,FALSE), vlookup(B714,Pop_Census_2023!$A$2:$E$3220,5,FALSE))</f>
        <v>12999</v>
      </c>
    </row>
    <row r="715">
      <c r="A715" s="47" t="s">
        <v>2458</v>
      </c>
      <c r="B715" s="47">
        <v>17027.0</v>
      </c>
      <c r="C715" s="47">
        <v>4.0</v>
      </c>
      <c r="D715" s="47" t="s">
        <v>4044</v>
      </c>
      <c r="E715" s="47" t="str">
        <f t="shared" si="1"/>
        <v>4A</v>
      </c>
      <c r="F715" s="47" t="s">
        <v>4046</v>
      </c>
      <c r="G715" s="47" t="s">
        <v>616</v>
      </c>
      <c r="H715" s="48">
        <f>IF(NOT(ISBLANK(vlookup(B715,Pop_Census_2023!$A$2:$E$3220,4,FALSE))),vlookup(B715,Pop_Census_2023!$A$2:$E$3220,4,FALSE), vlookup(B715,Pop_Census_2023!$A$2:$E$3220,5,FALSE))</f>
        <v>36785</v>
      </c>
    </row>
    <row r="716">
      <c r="A716" s="47" t="s">
        <v>2458</v>
      </c>
      <c r="B716" s="47">
        <v>17029.0</v>
      </c>
      <c r="C716" s="47">
        <v>5.0</v>
      </c>
      <c r="D716" s="47" t="s">
        <v>4044</v>
      </c>
      <c r="E716" s="47" t="str">
        <f t="shared" si="1"/>
        <v>5A</v>
      </c>
      <c r="F716" s="47" t="s">
        <v>4054</v>
      </c>
      <c r="G716" s="47" t="s">
        <v>617</v>
      </c>
      <c r="H716" s="48">
        <f>IF(NOT(ISBLANK(vlookup(B716,Pop_Census_2023!$A$2:$E$3220,4,FALSE))),vlookup(B716,Pop_Census_2023!$A$2:$E$3220,4,FALSE), vlookup(B716,Pop_Census_2023!$A$2:$E$3220,5,FALSE))</f>
        <v>46060</v>
      </c>
    </row>
    <row r="717">
      <c r="A717" s="47" t="s">
        <v>2458</v>
      </c>
      <c r="B717" s="47">
        <v>17031.0</v>
      </c>
      <c r="C717" s="47">
        <v>5.0</v>
      </c>
      <c r="D717" s="47" t="s">
        <v>4044</v>
      </c>
      <c r="E717" s="47" t="str">
        <f t="shared" si="1"/>
        <v>5A</v>
      </c>
      <c r="F717" s="47" t="s">
        <v>4054</v>
      </c>
      <c r="G717" s="47" t="s">
        <v>487</v>
      </c>
      <c r="H717" s="48">
        <f>IF(NOT(ISBLANK(vlookup(B717,Pop_Census_2023!$A$2:$E$3220,4,FALSE))),vlookup(B717,Pop_Census_2023!$A$2:$E$3220,4,FALSE), vlookup(B717,Pop_Census_2023!$A$2:$E$3220,5,FALSE))</f>
        <v>5087072</v>
      </c>
    </row>
    <row r="718">
      <c r="A718" s="47" t="s">
        <v>2458</v>
      </c>
      <c r="B718" s="47">
        <v>17033.0</v>
      </c>
      <c r="C718" s="47">
        <v>4.0</v>
      </c>
      <c r="D718" s="47" t="s">
        <v>4044</v>
      </c>
      <c r="E718" s="47" t="str">
        <f t="shared" si="1"/>
        <v>4A</v>
      </c>
      <c r="F718" s="47" t="s">
        <v>4046</v>
      </c>
      <c r="G718" s="47" t="s">
        <v>234</v>
      </c>
      <c r="H718" s="48">
        <f>IF(NOT(ISBLANK(vlookup(B718,Pop_Census_2023!$A$2:$E$3220,4,FALSE))),vlookup(B718,Pop_Census_2023!$A$2:$E$3220,4,FALSE), vlookup(B718,Pop_Census_2023!$A$2:$E$3220,5,FALSE))</f>
        <v>18300</v>
      </c>
    </row>
    <row r="719">
      <c r="A719" s="47" t="s">
        <v>2458</v>
      </c>
      <c r="B719" s="47">
        <v>17035.0</v>
      </c>
      <c r="C719" s="47">
        <v>5.0</v>
      </c>
      <c r="D719" s="47" t="s">
        <v>4044</v>
      </c>
      <c r="E719" s="47" t="str">
        <f t="shared" si="1"/>
        <v>5A</v>
      </c>
      <c r="F719" s="47" t="s">
        <v>4054</v>
      </c>
      <c r="G719" s="47" t="s">
        <v>618</v>
      </c>
      <c r="H719" s="48">
        <f>IF(NOT(ISBLANK(vlookup(B719,Pop_Census_2023!$A$2:$E$3220,4,FALSE))),vlookup(B719,Pop_Census_2023!$A$2:$E$3220,4,FALSE), vlookup(B719,Pop_Census_2023!$A$2:$E$3220,5,FALSE))</f>
        <v>10261</v>
      </c>
    </row>
    <row r="720">
      <c r="A720" s="47" t="s">
        <v>2458</v>
      </c>
      <c r="B720" s="47">
        <v>17037.0</v>
      </c>
      <c r="C720" s="47">
        <v>5.0</v>
      </c>
      <c r="D720" s="47" t="s">
        <v>4044</v>
      </c>
      <c r="E720" s="47" t="str">
        <f t="shared" si="1"/>
        <v>5A</v>
      </c>
      <c r="F720" s="47" t="s">
        <v>4054</v>
      </c>
      <c r="G720" s="47" t="s">
        <v>127</v>
      </c>
      <c r="H720" s="48">
        <f>IF(NOT(ISBLANK(vlookup(B720,Pop_Census_2023!$A$2:$E$3220,4,FALSE))),vlookup(B720,Pop_Census_2023!$A$2:$E$3220,4,FALSE), vlookup(B720,Pop_Census_2023!$A$2:$E$3220,5,FALSE))</f>
        <v>100288</v>
      </c>
    </row>
    <row r="721">
      <c r="A721" s="47" t="s">
        <v>2458</v>
      </c>
      <c r="B721" s="47">
        <v>17039.0</v>
      </c>
      <c r="C721" s="47">
        <v>5.0</v>
      </c>
      <c r="D721" s="47" t="s">
        <v>4044</v>
      </c>
      <c r="E721" s="47" t="str">
        <f t="shared" si="1"/>
        <v>5A</v>
      </c>
      <c r="F721" s="47" t="s">
        <v>4054</v>
      </c>
      <c r="G721" s="47" t="s">
        <v>1686</v>
      </c>
      <c r="H721" s="48">
        <f>IF(NOT(ISBLANK(vlookup(B721,Pop_Census_2023!$A$2:$E$3220,4,FALSE))),vlookup(B721,Pop_Census_2023!$A$2:$E$3220,4,FALSE), vlookup(B721,Pop_Census_2023!$A$2:$E$3220,5,FALSE))</f>
        <v>15365</v>
      </c>
    </row>
    <row r="722">
      <c r="A722" s="47" t="s">
        <v>2458</v>
      </c>
      <c r="B722" s="47">
        <v>17041.0</v>
      </c>
      <c r="C722" s="47">
        <v>5.0</v>
      </c>
      <c r="D722" s="47" t="s">
        <v>4044</v>
      </c>
      <c r="E722" s="47" t="str">
        <f t="shared" si="1"/>
        <v>5A</v>
      </c>
      <c r="F722" s="47" t="s">
        <v>4054</v>
      </c>
      <c r="G722" s="47" t="s">
        <v>357</v>
      </c>
      <c r="H722" s="48">
        <f>IF(NOT(ISBLANK(vlookup(B722,Pop_Census_2023!$A$2:$E$3220,4,FALSE))),vlookup(B722,Pop_Census_2023!$A$2:$E$3220,4,FALSE), vlookup(B722,Pop_Census_2023!$A$2:$E$3220,5,FALSE))</f>
        <v>19629</v>
      </c>
    </row>
    <row r="723">
      <c r="A723" s="47" t="s">
        <v>2458</v>
      </c>
      <c r="B723" s="47">
        <v>17043.0</v>
      </c>
      <c r="C723" s="47">
        <v>5.0</v>
      </c>
      <c r="D723" s="47" t="s">
        <v>4044</v>
      </c>
      <c r="E723" s="47" t="str">
        <f t="shared" si="1"/>
        <v>5A</v>
      </c>
      <c r="F723" s="47" t="s">
        <v>4054</v>
      </c>
      <c r="G723" s="47" t="s">
        <v>620</v>
      </c>
      <c r="H723" s="48">
        <f>IF(NOT(ISBLANK(vlookup(B723,Pop_Census_2023!$A$2:$E$3220,4,FALSE))),vlookup(B723,Pop_Census_2023!$A$2:$E$3220,4,FALSE), vlookup(B723,Pop_Census_2023!$A$2:$E$3220,5,FALSE))</f>
        <v>921213</v>
      </c>
    </row>
    <row r="724">
      <c r="A724" s="47" t="s">
        <v>2458</v>
      </c>
      <c r="B724" s="47">
        <v>17045.0</v>
      </c>
      <c r="C724" s="47">
        <v>5.0</v>
      </c>
      <c r="D724" s="47" t="s">
        <v>4044</v>
      </c>
      <c r="E724" s="47" t="str">
        <f t="shared" si="1"/>
        <v>5A</v>
      </c>
      <c r="F724" s="47" t="s">
        <v>4054</v>
      </c>
      <c r="G724" s="47" t="s">
        <v>621</v>
      </c>
      <c r="H724" s="48">
        <f>IF(NOT(ISBLANK(vlookup(B724,Pop_Census_2023!$A$2:$E$3220,4,FALSE))),vlookup(B724,Pop_Census_2023!$A$2:$E$3220,4,FALSE), vlookup(B724,Pop_Census_2023!$A$2:$E$3220,5,FALSE))</f>
        <v>16334</v>
      </c>
    </row>
    <row r="725">
      <c r="A725" s="47" t="s">
        <v>2458</v>
      </c>
      <c r="B725" s="47">
        <v>17047.0</v>
      </c>
      <c r="C725" s="47">
        <v>4.0</v>
      </c>
      <c r="D725" s="47" t="s">
        <v>4044</v>
      </c>
      <c r="E725" s="47" t="str">
        <f t="shared" si="1"/>
        <v>4A</v>
      </c>
      <c r="F725" s="47" t="s">
        <v>4046</v>
      </c>
      <c r="G725" s="47" t="s">
        <v>622</v>
      </c>
      <c r="H725" s="48">
        <f>IF(NOT(ISBLANK(vlookup(B725,Pop_Census_2023!$A$2:$E$3220,4,FALSE))),vlookup(B725,Pop_Census_2023!$A$2:$E$3220,4,FALSE), vlookup(B725,Pop_Census_2023!$A$2:$E$3220,5,FALSE))</f>
        <v>5968</v>
      </c>
    </row>
    <row r="726">
      <c r="A726" s="47" t="s">
        <v>2458</v>
      </c>
      <c r="B726" s="47">
        <v>17049.0</v>
      </c>
      <c r="C726" s="47">
        <v>4.0</v>
      </c>
      <c r="D726" s="47" t="s">
        <v>4044</v>
      </c>
      <c r="E726" s="47" t="str">
        <f t="shared" si="1"/>
        <v>4A</v>
      </c>
      <c r="F726" s="47" t="s">
        <v>4046</v>
      </c>
      <c r="G726" s="47" t="s">
        <v>498</v>
      </c>
      <c r="H726" s="48">
        <f>IF(NOT(ISBLANK(vlookup(B726,Pop_Census_2023!$A$2:$E$3220,4,FALSE))),vlookup(B726,Pop_Census_2023!$A$2:$E$3220,4,FALSE), vlookup(B726,Pop_Census_2023!$A$2:$E$3220,5,FALSE))</f>
        <v>34331</v>
      </c>
    </row>
    <row r="727">
      <c r="A727" s="47" t="s">
        <v>2458</v>
      </c>
      <c r="B727" s="47">
        <v>17051.0</v>
      </c>
      <c r="C727" s="47">
        <v>4.0</v>
      </c>
      <c r="D727" s="47" t="s">
        <v>4044</v>
      </c>
      <c r="E727" s="47" t="str">
        <f t="shared" si="1"/>
        <v>4A</v>
      </c>
      <c r="F727" s="47" t="s">
        <v>4046</v>
      </c>
      <c r="G727" s="47" t="s">
        <v>131</v>
      </c>
      <c r="H727" s="48">
        <f>IF(NOT(ISBLANK(vlookup(B727,Pop_Census_2023!$A$2:$E$3220,4,FALSE))),vlookup(B727,Pop_Census_2023!$A$2:$E$3220,4,FALSE), vlookup(B727,Pop_Census_2023!$A$2:$E$3220,5,FALSE))</f>
        <v>21164</v>
      </c>
    </row>
    <row r="728">
      <c r="A728" s="47" t="s">
        <v>2458</v>
      </c>
      <c r="B728" s="47">
        <v>17053.0</v>
      </c>
      <c r="C728" s="47">
        <v>5.0</v>
      </c>
      <c r="D728" s="47" t="s">
        <v>4044</v>
      </c>
      <c r="E728" s="47" t="str">
        <f t="shared" si="1"/>
        <v>5A</v>
      </c>
      <c r="F728" s="47" t="s">
        <v>4054</v>
      </c>
      <c r="G728" s="47" t="s">
        <v>623</v>
      </c>
      <c r="H728" s="48">
        <f>IF(NOT(ISBLANK(vlookup(B728,Pop_Census_2023!$A$2:$E$3220,4,FALSE))),vlookup(B728,Pop_Census_2023!$A$2:$E$3220,4,FALSE), vlookup(B728,Pop_Census_2023!$A$2:$E$3220,5,FALSE))</f>
        <v>13250</v>
      </c>
    </row>
    <row r="729">
      <c r="A729" s="47" t="s">
        <v>2458</v>
      </c>
      <c r="B729" s="47">
        <v>17055.0</v>
      </c>
      <c r="C729" s="47">
        <v>4.0</v>
      </c>
      <c r="D729" s="47" t="s">
        <v>4044</v>
      </c>
      <c r="E729" s="47" t="str">
        <f t="shared" si="1"/>
        <v>4A</v>
      </c>
      <c r="F729" s="47" t="s">
        <v>4046</v>
      </c>
      <c r="G729" s="47" t="s">
        <v>132</v>
      </c>
      <c r="H729" s="48">
        <f>IF(NOT(ISBLANK(vlookup(B729,Pop_Census_2023!$A$2:$E$3220,4,FALSE))),vlookup(B729,Pop_Census_2023!$A$2:$E$3220,4,FALSE), vlookup(B729,Pop_Census_2023!$A$2:$E$3220,5,FALSE))</f>
        <v>37138</v>
      </c>
    </row>
    <row r="730">
      <c r="A730" s="47" t="s">
        <v>2458</v>
      </c>
      <c r="B730" s="47">
        <v>17057.0</v>
      </c>
      <c r="C730" s="47">
        <v>5.0</v>
      </c>
      <c r="D730" s="47" t="s">
        <v>4044</v>
      </c>
      <c r="E730" s="47" t="str">
        <f t="shared" si="1"/>
        <v>5A</v>
      </c>
      <c r="F730" s="47" t="s">
        <v>4054</v>
      </c>
      <c r="G730" s="47" t="s">
        <v>240</v>
      </c>
      <c r="H730" s="48">
        <f>IF(NOT(ISBLANK(vlookup(B730,Pop_Census_2023!$A$2:$E$3220,4,FALSE))),vlookup(B730,Pop_Census_2023!$A$2:$E$3220,4,FALSE), vlookup(B730,Pop_Census_2023!$A$2:$E$3220,5,FALSE))</f>
        <v>32541</v>
      </c>
    </row>
    <row r="731">
      <c r="A731" s="47" t="s">
        <v>2458</v>
      </c>
      <c r="B731" s="47">
        <v>17059.0</v>
      </c>
      <c r="C731" s="47">
        <v>4.0</v>
      </c>
      <c r="D731" s="47" t="s">
        <v>4044</v>
      </c>
      <c r="E731" s="47" t="str">
        <f t="shared" si="1"/>
        <v>4A</v>
      </c>
      <c r="F731" s="47" t="s">
        <v>4046</v>
      </c>
      <c r="G731" s="47" t="s">
        <v>624</v>
      </c>
      <c r="H731" s="48">
        <f>IF(NOT(ISBLANK(vlookup(B731,Pop_Census_2023!$A$2:$E$3220,4,FALSE))),vlookup(B731,Pop_Census_2023!$A$2:$E$3220,4,FALSE), vlookup(B731,Pop_Census_2023!$A$2:$E$3220,5,FALSE))</f>
        <v>4670</v>
      </c>
    </row>
    <row r="732">
      <c r="A732" s="47" t="s">
        <v>2458</v>
      </c>
      <c r="B732" s="47">
        <v>17061.0</v>
      </c>
      <c r="C732" s="47">
        <v>5.0</v>
      </c>
      <c r="D732" s="47" t="s">
        <v>4044</v>
      </c>
      <c r="E732" s="47" t="str">
        <f t="shared" si="1"/>
        <v>5A</v>
      </c>
      <c r="F732" s="47" t="s">
        <v>4054</v>
      </c>
      <c r="G732" s="47" t="s">
        <v>134</v>
      </c>
      <c r="H732" s="48">
        <f>IF(NOT(ISBLANK(vlookup(B732,Pop_Census_2023!$A$2:$E$3220,4,FALSE))),vlookup(B732,Pop_Census_2023!$A$2:$E$3220,4,FALSE), vlookup(B732,Pop_Census_2023!$A$2:$E$3220,5,FALSE))</f>
        <v>11543</v>
      </c>
    </row>
    <row r="733">
      <c r="A733" s="47" t="s">
        <v>2458</v>
      </c>
      <c r="B733" s="47">
        <v>17063.0</v>
      </c>
      <c r="C733" s="47">
        <v>5.0</v>
      </c>
      <c r="D733" s="47" t="s">
        <v>4044</v>
      </c>
      <c r="E733" s="47" t="str">
        <f t="shared" si="1"/>
        <v>5A</v>
      </c>
      <c r="F733" s="47" t="s">
        <v>4054</v>
      </c>
      <c r="G733" s="47" t="s">
        <v>625</v>
      </c>
      <c r="H733" s="48">
        <f>IF(NOT(ISBLANK(vlookup(B733,Pop_Census_2023!$A$2:$E$3220,4,FALSE))),vlookup(B733,Pop_Census_2023!$A$2:$E$3220,4,FALSE), vlookup(B733,Pop_Census_2023!$A$2:$E$3220,5,FALSE))</f>
        <v>53578</v>
      </c>
    </row>
    <row r="734">
      <c r="A734" s="47" t="s">
        <v>2458</v>
      </c>
      <c r="B734" s="47">
        <v>17065.0</v>
      </c>
      <c r="C734" s="47">
        <v>4.0</v>
      </c>
      <c r="D734" s="47" t="s">
        <v>4044</v>
      </c>
      <c r="E734" s="47" t="str">
        <f t="shared" si="1"/>
        <v>4A</v>
      </c>
      <c r="F734" s="47" t="s">
        <v>4046</v>
      </c>
      <c r="G734" s="47" t="s">
        <v>428</v>
      </c>
      <c r="H734" s="48">
        <f>IF(NOT(ISBLANK(vlookup(B734,Pop_Census_2023!$A$2:$E$3220,4,FALSE))),vlookup(B734,Pop_Census_2023!$A$2:$E$3220,4,FALSE), vlookup(B734,Pop_Census_2023!$A$2:$E$3220,5,FALSE))</f>
        <v>7911</v>
      </c>
    </row>
    <row r="735">
      <c r="A735" s="47" t="s">
        <v>2458</v>
      </c>
      <c r="B735" s="47">
        <v>17067.0</v>
      </c>
      <c r="C735" s="47">
        <v>5.0</v>
      </c>
      <c r="D735" s="47" t="s">
        <v>4044</v>
      </c>
      <c r="E735" s="47" t="str">
        <f t="shared" si="1"/>
        <v>5A</v>
      </c>
      <c r="F735" s="47" t="s">
        <v>4054</v>
      </c>
      <c r="G735" s="47" t="s">
        <v>512</v>
      </c>
      <c r="H735" s="48">
        <f>IF(NOT(ISBLANK(vlookup(B735,Pop_Census_2023!$A$2:$E$3220,4,FALSE))),vlookup(B735,Pop_Census_2023!$A$2:$E$3220,4,FALSE), vlookup(B735,Pop_Census_2023!$A$2:$E$3220,5,FALSE))</f>
        <v>17186</v>
      </c>
    </row>
    <row r="736">
      <c r="A736" s="47" t="s">
        <v>2458</v>
      </c>
      <c r="B736" s="47">
        <v>17069.0</v>
      </c>
      <c r="C736" s="47">
        <v>4.0</v>
      </c>
      <c r="D736" s="47" t="s">
        <v>4044</v>
      </c>
      <c r="E736" s="47" t="str">
        <f t="shared" si="1"/>
        <v>4A</v>
      </c>
      <c r="F736" s="47" t="s">
        <v>4046</v>
      </c>
      <c r="G736" s="47" t="s">
        <v>626</v>
      </c>
      <c r="H736" s="48">
        <f>IF(NOT(ISBLANK(vlookup(B736,Pop_Census_2023!$A$2:$E$3220,4,FALSE))),vlookup(B736,Pop_Census_2023!$A$2:$E$3220,4,FALSE), vlookup(B736,Pop_Census_2023!$A$2:$E$3220,5,FALSE))</f>
        <v>3569</v>
      </c>
    </row>
    <row r="737">
      <c r="A737" s="47" t="s">
        <v>2458</v>
      </c>
      <c r="B737" s="47">
        <v>17071.0</v>
      </c>
      <c r="C737" s="47">
        <v>5.0</v>
      </c>
      <c r="D737" s="47" t="s">
        <v>4044</v>
      </c>
      <c r="E737" s="47" t="str">
        <f t="shared" si="1"/>
        <v>5A</v>
      </c>
      <c r="F737" s="47" t="s">
        <v>4054</v>
      </c>
      <c r="G737" s="47" t="s">
        <v>627</v>
      </c>
      <c r="H737" s="48">
        <f>IF(NOT(ISBLANK(vlookup(B737,Pop_Census_2023!$A$2:$E$3220,4,FALSE))),vlookup(B737,Pop_Census_2023!$A$2:$E$3220,4,FALSE), vlookup(B737,Pop_Census_2023!$A$2:$E$3220,5,FALSE))</f>
        <v>6088</v>
      </c>
    </row>
    <row r="738">
      <c r="A738" s="47" t="s">
        <v>2458</v>
      </c>
      <c r="B738" s="47">
        <v>17073.0</v>
      </c>
      <c r="C738" s="47">
        <v>5.0</v>
      </c>
      <c r="D738" s="47" t="s">
        <v>4044</v>
      </c>
      <c r="E738" s="47" t="str">
        <f t="shared" si="1"/>
        <v>5A</v>
      </c>
      <c r="F738" s="47" t="s">
        <v>4054</v>
      </c>
      <c r="G738" s="47" t="s">
        <v>136</v>
      </c>
      <c r="H738" s="48">
        <f>IF(NOT(ISBLANK(vlookup(B738,Pop_Census_2023!$A$2:$E$3220,4,FALSE))),vlookup(B738,Pop_Census_2023!$A$2:$E$3220,4,FALSE), vlookup(B738,Pop_Census_2023!$A$2:$E$3220,5,FALSE))</f>
        <v>48448</v>
      </c>
    </row>
    <row r="739">
      <c r="A739" s="47" t="s">
        <v>2458</v>
      </c>
      <c r="B739" s="47">
        <v>17075.0</v>
      </c>
      <c r="C739" s="47">
        <v>5.0</v>
      </c>
      <c r="D739" s="47" t="s">
        <v>4044</v>
      </c>
      <c r="E739" s="47" t="str">
        <f t="shared" si="1"/>
        <v>5A</v>
      </c>
      <c r="F739" s="47" t="s">
        <v>4054</v>
      </c>
      <c r="G739" s="47" t="s">
        <v>628</v>
      </c>
      <c r="H739" s="48">
        <f>IF(NOT(ISBLANK(vlookup(B739,Pop_Census_2023!$A$2:$E$3220,4,FALSE))),vlookup(B739,Pop_Census_2023!$A$2:$E$3220,4,FALSE), vlookup(B739,Pop_Census_2023!$A$2:$E$3220,5,FALSE))</f>
        <v>26136</v>
      </c>
    </row>
    <row r="740">
      <c r="A740" s="47" t="s">
        <v>2458</v>
      </c>
      <c r="B740" s="47">
        <v>17077.0</v>
      </c>
      <c r="C740" s="47">
        <v>4.0</v>
      </c>
      <c r="D740" s="47" t="s">
        <v>4044</v>
      </c>
      <c r="E740" s="47" t="str">
        <f t="shared" si="1"/>
        <v>4A</v>
      </c>
      <c r="F740" s="47" t="s">
        <v>4046</v>
      </c>
      <c r="G740" s="47" t="s">
        <v>138</v>
      </c>
      <c r="H740" s="48">
        <f>IF(NOT(ISBLANK(vlookup(B740,Pop_Census_2023!$A$2:$E$3220,4,FALSE))),vlookup(B740,Pop_Census_2023!$A$2:$E$3220,4,FALSE), vlookup(B740,Pop_Census_2023!$A$2:$E$3220,5,FALSE))</f>
        <v>52141</v>
      </c>
    </row>
    <row r="741">
      <c r="A741" s="47" t="s">
        <v>2458</v>
      </c>
      <c r="B741" s="47">
        <v>17079.0</v>
      </c>
      <c r="C741" s="47">
        <v>4.0</v>
      </c>
      <c r="D741" s="47" t="s">
        <v>4044</v>
      </c>
      <c r="E741" s="47" t="str">
        <f t="shared" si="1"/>
        <v>4A</v>
      </c>
      <c r="F741" s="47" t="s">
        <v>4046</v>
      </c>
      <c r="G741" s="47" t="s">
        <v>518</v>
      </c>
      <c r="H741" s="48">
        <f>IF(NOT(ISBLANK(vlookup(B741,Pop_Census_2023!$A$2:$E$3220,4,FALSE))),vlookup(B741,Pop_Census_2023!$A$2:$E$3220,4,FALSE), vlookup(B741,Pop_Census_2023!$A$2:$E$3220,5,FALSE))</f>
        <v>9144</v>
      </c>
    </row>
    <row r="742">
      <c r="A742" s="47" t="s">
        <v>2458</v>
      </c>
      <c r="B742" s="47">
        <v>17081.0</v>
      </c>
      <c r="C742" s="47">
        <v>4.0</v>
      </c>
      <c r="D742" s="47" t="s">
        <v>4044</v>
      </c>
      <c r="E742" s="47" t="str">
        <f t="shared" si="1"/>
        <v>4A</v>
      </c>
      <c r="F742" s="47" t="s">
        <v>4046</v>
      </c>
      <c r="G742" s="47" t="s">
        <v>139</v>
      </c>
      <c r="H742" s="48">
        <f>IF(NOT(ISBLANK(vlookup(B742,Pop_Census_2023!$A$2:$E$3220,4,FALSE))),vlookup(B742,Pop_Census_2023!$A$2:$E$3220,4,FALSE), vlookup(B742,Pop_Census_2023!$A$2:$E$3220,5,FALSE))</f>
        <v>36320</v>
      </c>
    </row>
    <row r="743">
      <c r="A743" s="47" t="s">
        <v>2458</v>
      </c>
      <c r="B743" s="47">
        <v>17083.0</v>
      </c>
      <c r="C743" s="47">
        <v>5.0</v>
      </c>
      <c r="D743" s="47" t="s">
        <v>4044</v>
      </c>
      <c r="E743" s="47" t="str">
        <f t="shared" si="1"/>
        <v>5A</v>
      </c>
      <c r="F743" s="47" t="s">
        <v>4054</v>
      </c>
      <c r="G743" s="47" t="s">
        <v>629</v>
      </c>
      <c r="H743" s="48">
        <f>IF(NOT(ISBLANK(vlookup(B743,Pop_Census_2023!$A$2:$E$3220,4,FALSE))),vlookup(B743,Pop_Census_2023!$A$2:$E$3220,4,FALSE), vlookup(B743,Pop_Census_2023!$A$2:$E$3220,5,FALSE))</f>
        <v>21091</v>
      </c>
    </row>
    <row r="744">
      <c r="A744" s="47" t="s">
        <v>2458</v>
      </c>
      <c r="B744" s="47">
        <v>17085.0</v>
      </c>
      <c r="C744" s="47">
        <v>5.0</v>
      </c>
      <c r="D744" s="47" t="s">
        <v>4044</v>
      </c>
      <c r="E744" s="47" t="str">
        <f t="shared" si="1"/>
        <v>5A</v>
      </c>
      <c r="F744" s="47" t="s">
        <v>4054</v>
      </c>
      <c r="G744" s="47" t="s">
        <v>630</v>
      </c>
      <c r="H744" s="48">
        <f>IF(NOT(ISBLANK(vlookup(B744,Pop_Census_2023!$A$2:$E$3220,4,FALSE))),vlookup(B744,Pop_Census_2023!$A$2:$E$3220,4,FALSE), vlookup(B744,Pop_Census_2023!$A$2:$E$3220,5,FALSE))</f>
        <v>21756</v>
      </c>
    </row>
    <row r="745">
      <c r="A745" s="47" t="s">
        <v>2458</v>
      </c>
      <c r="B745" s="47">
        <v>17087.0</v>
      </c>
      <c r="C745" s="47">
        <v>4.0</v>
      </c>
      <c r="D745" s="47" t="s">
        <v>4044</v>
      </c>
      <c r="E745" s="47" t="str">
        <f t="shared" si="1"/>
        <v>4A</v>
      </c>
      <c r="F745" s="47" t="s">
        <v>4046</v>
      </c>
      <c r="G745" s="47" t="s">
        <v>248</v>
      </c>
      <c r="H745" s="48">
        <f>IF(NOT(ISBLANK(vlookup(B745,Pop_Census_2023!$A$2:$E$3220,4,FALSE))),vlookup(B745,Pop_Census_2023!$A$2:$E$3220,4,FALSE), vlookup(B745,Pop_Census_2023!$A$2:$E$3220,5,FALSE))</f>
        <v>13326</v>
      </c>
    </row>
    <row r="746">
      <c r="A746" s="47" t="s">
        <v>2458</v>
      </c>
      <c r="B746" s="47">
        <v>17089.0</v>
      </c>
      <c r="C746" s="47">
        <v>5.0</v>
      </c>
      <c r="D746" s="47" t="s">
        <v>4044</v>
      </c>
      <c r="E746" s="47" t="str">
        <f t="shared" si="1"/>
        <v>5A</v>
      </c>
      <c r="F746" s="47" t="s">
        <v>4054</v>
      </c>
      <c r="G746" s="47" t="s">
        <v>631</v>
      </c>
      <c r="H746" s="48">
        <f>IF(NOT(ISBLANK(vlookup(B746,Pop_Census_2023!$A$2:$E$3220,4,FALSE))),vlookup(B746,Pop_Census_2023!$A$2:$E$3220,4,FALSE), vlookup(B746,Pop_Census_2023!$A$2:$E$3220,5,FALSE))</f>
        <v>514982</v>
      </c>
    </row>
    <row r="747">
      <c r="A747" s="47" t="s">
        <v>2458</v>
      </c>
      <c r="B747" s="47">
        <v>17091.0</v>
      </c>
      <c r="C747" s="47">
        <v>5.0</v>
      </c>
      <c r="D747" s="47" t="s">
        <v>4044</v>
      </c>
      <c r="E747" s="47" t="str">
        <f t="shared" si="1"/>
        <v>5A</v>
      </c>
      <c r="F747" s="47" t="s">
        <v>4054</v>
      </c>
      <c r="G747" s="47" t="s">
        <v>632</v>
      </c>
      <c r="H747" s="48">
        <f>IF(NOT(ISBLANK(vlookup(B747,Pop_Census_2023!$A$2:$E$3220,4,FALSE))),vlookup(B747,Pop_Census_2023!$A$2:$E$3220,4,FALSE), vlookup(B747,Pop_Census_2023!$A$2:$E$3220,5,FALSE))</f>
        <v>105940</v>
      </c>
    </row>
    <row r="748">
      <c r="A748" s="47" t="s">
        <v>2458</v>
      </c>
      <c r="B748" s="47">
        <v>17093.0</v>
      </c>
      <c r="C748" s="47">
        <v>5.0</v>
      </c>
      <c r="D748" s="47" t="s">
        <v>4044</v>
      </c>
      <c r="E748" s="47" t="str">
        <f t="shared" si="1"/>
        <v>5A</v>
      </c>
      <c r="F748" s="47" t="s">
        <v>4054</v>
      </c>
      <c r="G748" s="47" t="s">
        <v>633</v>
      </c>
      <c r="H748" s="48">
        <f>IF(NOT(ISBLANK(vlookup(B748,Pop_Census_2023!$A$2:$E$3220,4,FALSE))),vlookup(B748,Pop_Census_2023!$A$2:$E$3220,4,FALSE), vlookup(B748,Pop_Census_2023!$A$2:$E$3220,5,FALSE))</f>
        <v>139976</v>
      </c>
    </row>
    <row r="749">
      <c r="A749" s="47" t="s">
        <v>2458</v>
      </c>
      <c r="B749" s="47">
        <v>17095.0</v>
      </c>
      <c r="C749" s="47">
        <v>5.0</v>
      </c>
      <c r="D749" s="47" t="s">
        <v>4044</v>
      </c>
      <c r="E749" s="47" t="str">
        <f t="shared" si="1"/>
        <v>5A</v>
      </c>
      <c r="F749" s="47" t="s">
        <v>4054</v>
      </c>
      <c r="G749" s="47" t="s">
        <v>634</v>
      </c>
      <c r="H749" s="48">
        <f>IF(NOT(ISBLANK(vlookup(B749,Pop_Census_2023!$A$2:$E$3220,4,FALSE))),vlookup(B749,Pop_Census_2023!$A$2:$E$3220,4,FALSE), vlookup(B749,Pop_Census_2023!$A$2:$E$3220,5,FALSE))</f>
        <v>48411</v>
      </c>
    </row>
    <row r="750">
      <c r="A750" s="47" t="s">
        <v>2458</v>
      </c>
      <c r="B750" s="47">
        <v>17097.0</v>
      </c>
      <c r="C750" s="47">
        <v>5.0</v>
      </c>
      <c r="D750" s="47" t="s">
        <v>4044</v>
      </c>
      <c r="E750" s="47" t="str">
        <f t="shared" si="1"/>
        <v>5A</v>
      </c>
      <c r="F750" s="47" t="s">
        <v>4054</v>
      </c>
      <c r="G750" s="47" t="s">
        <v>298</v>
      </c>
      <c r="H750" s="48">
        <f>IF(NOT(ISBLANK(vlookup(B750,Pop_Census_2023!$A$2:$E$3220,4,FALSE))),vlookup(B750,Pop_Census_2023!$A$2:$E$3220,4,FALSE), vlookup(B750,Pop_Census_2023!$A$2:$E$3220,5,FALSE))</f>
        <v>708760</v>
      </c>
    </row>
    <row r="751">
      <c r="A751" s="47" t="s">
        <v>2458</v>
      </c>
      <c r="B751" s="47">
        <v>17099.0</v>
      </c>
      <c r="C751" s="47">
        <v>5.0</v>
      </c>
      <c r="D751" s="47" t="s">
        <v>4044</v>
      </c>
      <c r="E751" s="47" t="str">
        <f t="shared" si="1"/>
        <v>5A</v>
      </c>
      <c r="F751" s="47" t="s">
        <v>4054</v>
      </c>
      <c r="G751" s="47" t="s">
        <v>635</v>
      </c>
      <c r="H751" s="48">
        <f>IF(NOT(ISBLANK(vlookup(B751,Pop_Census_2023!$A$2:$E$3220,4,FALSE))),vlookup(B751,Pop_Census_2023!$A$2:$E$3220,4,FALSE), vlookup(B751,Pop_Census_2023!$A$2:$E$3220,5,FALSE))</f>
        <v>108309</v>
      </c>
    </row>
    <row r="752">
      <c r="A752" s="47" t="s">
        <v>2458</v>
      </c>
      <c r="B752" s="47">
        <v>17101.0</v>
      </c>
      <c r="C752" s="47">
        <v>4.0</v>
      </c>
      <c r="D752" s="47" t="s">
        <v>4044</v>
      </c>
      <c r="E752" s="47" t="str">
        <f t="shared" si="1"/>
        <v>4A</v>
      </c>
      <c r="F752" s="47" t="s">
        <v>4046</v>
      </c>
      <c r="G752" s="47" t="s">
        <v>142</v>
      </c>
      <c r="H752" s="48">
        <f>IF(NOT(ISBLANK(vlookup(B752,Pop_Census_2023!$A$2:$E$3220,4,FALSE))),vlookup(B752,Pop_Census_2023!$A$2:$E$3220,4,FALSE), vlookup(B752,Pop_Census_2023!$A$2:$E$3220,5,FALSE))</f>
        <v>14813</v>
      </c>
    </row>
    <row r="753">
      <c r="A753" s="47" t="s">
        <v>2458</v>
      </c>
      <c r="B753" s="47">
        <v>17103.0</v>
      </c>
      <c r="C753" s="47">
        <v>5.0</v>
      </c>
      <c r="D753" s="47" t="s">
        <v>4044</v>
      </c>
      <c r="E753" s="47" t="str">
        <f t="shared" si="1"/>
        <v>5A</v>
      </c>
      <c r="F753" s="47" t="s">
        <v>4054</v>
      </c>
      <c r="G753" s="47" t="s">
        <v>143</v>
      </c>
      <c r="H753" s="48">
        <f>IF(NOT(ISBLANK(vlookup(B753,Pop_Census_2023!$A$2:$E$3220,4,FALSE))),vlookup(B753,Pop_Census_2023!$A$2:$E$3220,4,FALSE), vlookup(B753,Pop_Census_2023!$A$2:$E$3220,5,FALSE))</f>
        <v>33654</v>
      </c>
    </row>
    <row r="754">
      <c r="A754" s="47" t="s">
        <v>2458</v>
      </c>
      <c r="B754" s="47">
        <v>17105.0</v>
      </c>
      <c r="C754" s="47">
        <v>5.0</v>
      </c>
      <c r="D754" s="47" t="s">
        <v>4044</v>
      </c>
      <c r="E754" s="47" t="str">
        <f t="shared" si="1"/>
        <v>5A</v>
      </c>
      <c r="F754" s="47" t="s">
        <v>4054</v>
      </c>
      <c r="G754" s="47" t="s">
        <v>636</v>
      </c>
      <c r="H754" s="48">
        <f>IF(NOT(ISBLANK(vlookup(B754,Pop_Census_2023!$A$2:$E$3220,4,FALSE))),vlookup(B754,Pop_Census_2023!$A$2:$E$3220,4,FALSE), vlookup(B754,Pop_Census_2023!$A$2:$E$3220,5,FALSE))</f>
        <v>35320</v>
      </c>
    </row>
    <row r="755">
      <c r="A755" s="47" t="s">
        <v>2458</v>
      </c>
      <c r="B755" s="47">
        <v>17107.0</v>
      </c>
      <c r="C755" s="47">
        <v>5.0</v>
      </c>
      <c r="D755" s="47" t="s">
        <v>4044</v>
      </c>
      <c r="E755" s="47" t="str">
        <f t="shared" si="1"/>
        <v>5A</v>
      </c>
      <c r="F755" s="47" t="s">
        <v>4054</v>
      </c>
      <c r="G755" s="47" t="s">
        <v>252</v>
      </c>
      <c r="H755" s="48">
        <f>IF(NOT(ISBLANK(vlookup(B755,Pop_Census_2023!$A$2:$E$3220,4,FALSE))),vlookup(B755,Pop_Census_2023!$A$2:$E$3220,4,FALSE), vlookup(B755,Pop_Census_2023!$A$2:$E$3220,5,FALSE))</f>
        <v>27590</v>
      </c>
    </row>
    <row r="756">
      <c r="A756" s="47" t="s">
        <v>2458</v>
      </c>
      <c r="B756" s="47">
        <v>17115.0</v>
      </c>
      <c r="C756" s="47">
        <v>5.0</v>
      </c>
      <c r="D756" s="47" t="s">
        <v>4044</v>
      </c>
      <c r="E756" s="47" t="str">
        <f t="shared" si="1"/>
        <v>5A</v>
      </c>
      <c r="F756" s="47" t="s">
        <v>4054</v>
      </c>
      <c r="G756" s="47" t="s">
        <v>146</v>
      </c>
      <c r="H756" s="48">
        <f>IF(NOT(ISBLANK(vlookup(B756,Pop_Census_2023!$A$2:$E$3220,4,FALSE))),vlookup(B756,Pop_Census_2023!$A$2:$E$3220,4,FALSE), vlookup(B756,Pop_Census_2023!$A$2:$E$3220,5,FALSE))</f>
        <v>100591</v>
      </c>
    </row>
    <row r="757">
      <c r="A757" s="47" t="s">
        <v>2458</v>
      </c>
      <c r="B757" s="47">
        <v>17117.0</v>
      </c>
      <c r="C757" s="47">
        <v>4.0</v>
      </c>
      <c r="D757" s="47" t="s">
        <v>4044</v>
      </c>
      <c r="E757" s="47" t="str">
        <f t="shared" si="1"/>
        <v>4A</v>
      </c>
      <c r="F757" s="47" t="s">
        <v>4046</v>
      </c>
      <c r="G757" s="47" t="s">
        <v>640</v>
      </c>
      <c r="H757" s="48">
        <f>IF(NOT(ISBLANK(vlookup(B757,Pop_Census_2023!$A$2:$E$3220,4,FALSE))),vlookup(B757,Pop_Census_2023!$A$2:$E$3220,4,FALSE), vlookup(B757,Pop_Census_2023!$A$2:$E$3220,5,FALSE))</f>
        <v>44018</v>
      </c>
    </row>
    <row r="758">
      <c r="A758" s="47" t="s">
        <v>2458</v>
      </c>
      <c r="B758" s="47">
        <v>17119.0</v>
      </c>
      <c r="C758" s="47">
        <v>4.0</v>
      </c>
      <c r="D758" s="47" t="s">
        <v>4044</v>
      </c>
      <c r="E758" s="47" t="str">
        <f t="shared" si="1"/>
        <v>4A</v>
      </c>
      <c r="F758" s="47" t="s">
        <v>4046</v>
      </c>
      <c r="G758" s="47" t="s">
        <v>147</v>
      </c>
      <c r="H758" s="48">
        <f>IF(NOT(ISBLANK(vlookup(B758,Pop_Census_2023!$A$2:$E$3220,4,FALSE))),vlookup(B758,Pop_Census_2023!$A$2:$E$3220,4,FALSE), vlookup(B758,Pop_Census_2023!$A$2:$E$3220,5,FALSE))</f>
        <v>262752</v>
      </c>
    </row>
    <row r="759">
      <c r="A759" s="47" t="s">
        <v>2458</v>
      </c>
      <c r="B759" s="47">
        <v>17121.0</v>
      </c>
      <c r="C759" s="47">
        <v>4.0</v>
      </c>
      <c r="D759" s="47" t="s">
        <v>4044</v>
      </c>
      <c r="E759" s="47" t="str">
        <f t="shared" si="1"/>
        <v>4A</v>
      </c>
      <c r="F759" s="47" t="s">
        <v>4046</v>
      </c>
      <c r="G759" s="47" t="s">
        <v>149</v>
      </c>
      <c r="H759" s="48">
        <f>IF(NOT(ISBLANK(vlookup(B759,Pop_Census_2023!$A$2:$E$3220,4,FALSE))),vlookup(B759,Pop_Census_2023!$A$2:$E$3220,4,FALSE), vlookup(B759,Pop_Census_2023!$A$2:$E$3220,5,FALSE))</f>
        <v>36673</v>
      </c>
    </row>
    <row r="760">
      <c r="A760" s="47" t="s">
        <v>2458</v>
      </c>
      <c r="B760" s="47">
        <v>17123.0</v>
      </c>
      <c r="C760" s="47">
        <v>5.0</v>
      </c>
      <c r="D760" s="47" t="s">
        <v>4044</v>
      </c>
      <c r="E760" s="47" t="str">
        <f t="shared" si="1"/>
        <v>5A</v>
      </c>
      <c r="F760" s="47" t="s">
        <v>4054</v>
      </c>
      <c r="G760" s="47" t="s">
        <v>150</v>
      </c>
      <c r="H760" s="48">
        <f>IF(NOT(ISBLANK(vlookup(B760,Pop_Census_2023!$A$2:$E$3220,4,FALSE))),vlookup(B760,Pop_Census_2023!$A$2:$E$3220,4,FALSE), vlookup(B760,Pop_Census_2023!$A$2:$E$3220,5,FALSE))</f>
        <v>11683</v>
      </c>
    </row>
    <row r="761">
      <c r="A761" s="47" t="s">
        <v>2458</v>
      </c>
      <c r="B761" s="47">
        <v>17125.0</v>
      </c>
      <c r="C761" s="47">
        <v>5.0</v>
      </c>
      <c r="D761" s="47" t="s">
        <v>4044</v>
      </c>
      <c r="E761" s="47" t="str">
        <f t="shared" si="1"/>
        <v>5A</v>
      </c>
      <c r="F761" s="47" t="s">
        <v>4054</v>
      </c>
      <c r="G761" s="47" t="s">
        <v>641</v>
      </c>
      <c r="H761" s="48">
        <f>IF(NOT(ISBLANK(vlookup(B761,Pop_Census_2023!$A$2:$E$3220,4,FALSE))),vlookup(B761,Pop_Census_2023!$A$2:$E$3220,4,FALSE), vlookup(B761,Pop_Census_2023!$A$2:$E$3220,5,FALSE))</f>
        <v>12523</v>
      </c>
    </row>
    <row r="762">
      <c r="A762" s="47" t="s">
        <v>2458</v>
      </c>
      <c r="B762" s="47">
        <v>17127.0</v>
      </c>
      <c r="C762" s="47">
        <v>4.0</v>
      </c>
      <c r="D762" s="47" t="s">
        <v>4044</v>
      </c>
      <c r="E762" s="47" t="str">
        <f t="shared" si="1"/>
        <v>4A</v>
      </c>
      <c r="F762" s="47" t="s">
        <v>4046</v>
      </c>
      <c r="G762" s="47" t="s">
        <v>642</v>
      </c>
      <c r="H762" s="48">
        <f>IF(NOT(ISBLANK(vlookup(B762,Pop_Census_2023!$A$2:$E$3220,4,FALSE))),vlookup(B762,Pop_Census_2023!$A$2:$E$3220,4,FALSE), vlookup(B762,Pop_Census_2023!$A$2:$E$3220,5,FALSE))</f>
        <v>13661</v>
      </c>
    </row>
    <row r="763">
      <c r="A763" s="47" t="s">
        <v>2458</v>
      </c>
      <c r="B763" s="47">
        <v>17109.0</v>
      </c>
      <c r="C763" s="47">
        <v>5.0</v>
      </c>
      <c r="D763" s="47" t="s">
        <v>4044</v>
      </c>
      <c r="E763" s="47" t="str">
        <f t="shared" si="1"/>
        <v>5A</v>
      </c>
      <c r="F763" s="47" t="s">
        <v>4054</v>
      </c>
      <c r="G763" s="47" t="s">
        <v>637</v>
      </c>
      <c r="H763" s="48">
        <f>IF(NOT(ISBLANK(vlookup(B763,Pop_Census_2023!$A$2:$E$3220,4,FALSE))),vlookup(B763,Pop_Census_2023!$A$2:$E$3220,4,FALSE), vlookup(B763,Pop_Census_2023!$A$2:$E$3220,5,FALSE))</f>
        <v>26839</v>
      </c>
    </row>
    <row r="764">
      <c r="A764" s="47" t="s">
        <v>2458</v>
      </c>
      <c r="B764" s="47">
        <v>17111.0</v>
      </c>
      <c r="C764" s="47">
        <v>5.0</v>
      </c>
      <c r="D764" s="47" t="s">
        <v>4044</v>
      </c>
      <c r="E764" s="47" t="str">
        <f t="shared" si="1"/>
        <v>5A</v>
      </c>
      <c r="F764" s="47" t="s">
        <v>4054</v>
      </c>
      <c r="G764" s="47" t="s">
        <v>638</v>
      </c>
      <c r="H764" s="48">
        <f>IF(NOT(ISBLANK(vlookup(B764,Pop_Census_2023!$A$2:$E$3220,4,FALSE))),vlookup(B764,Pop_Census_2023!$A$2:$E$3220,4,FALSE), vlookup(B764,Pop_Census_2023!$A$2:$E$3220,5,FALSE))</f>
        <v>312800</v>
      </c>
    </row>
    <row r="765">
      <c r="A765" s="47" t="s">
        <v>2458</v>
      </c>
      <c r="B765" s="47">
        <v>17113.0</v>
      </c>
      <c r="C765" s="47">
        <v>5.0</v>
      </c>
      <c r="D765" s="47" t="s">
        <v>4044</v>
      </c>
      <c r="E765" s="47" t="str">
        <f t="shared" si="1"/>
        <v>5A</v>
      </c>
      <c r="F765" s="47" t="s">
        <v>4054</v>
      </c>
      <c r="G765" s="47" t="s">
        <v>639</v>
      </c>
      <c r="H765" s="48">
        <f>IF(NOT(ISBLANK(vlookup(B765,Pop_Census_2023!$A$2:$E$3220,4,FALSE))),vlookup(B765,Pop_Census_2023!$A$2:$E$3220,4,FALSE), vlookup(B765,Pop_Census_2023!$A$2:$E$3220,5,FALSE))</f>
        <v>170441</v>
      </c>
    </row>
    <row r="766">
      <c r="A766" s="47" t="s">
        <v>2458</v>
      </c>
      <c r="B766" s="47">
        <v>17129.0</v>
      </c>
      <c r="C766" s="47">
        <v>5.0</v>
      </c>
      <c r="D766" s="47" t="s">
        <v>4044</v>
      </c>
      <c r="E766" s="47" t="str">
        <f t="shared" si="1"/>
        <v>5A</v>
      </c>
      <c r="F766" s="47" t="s">
        <v>4054</v>
      </c>
      <c r="G766" s="47" t="s">
        <v>643</v>
      </c>
      <c r="H766" s="48">
        <f>IF(NOT(ISBLANK(vlookup(B766,Pop_Census_2023!$A$2:$E$3220,4,FALSE))),vlookup(B766,Pop_Census_2023!$A$2:$E$3220,4,FALSE), vlookup(B766,Pop_Census_2023!$A$2:$E$3220,5,FALSE))</f>
        <v>11954</v>
      </c>
    </row>
    <row r="767">
      <c r="A767" s="47" t="s">
        <v>2458</v>
      </c>
      <c r="B767" s="47">
        <v>17131.0</v>
      </c>
      <c r="C767" s="47">
        <v>5.0</v>
      </c>
      <c r="D767" s="47" t="s">
        <v>4044</v>
      </c>
      <c r="E767" s="47" t="str">
        <f t="shared" si="1"/>
        <v>5A</v>
      </c>
      <c r="F767" s="47" t="s">
        <v>4054</v>
      </c>
      <c r="G767" s="47" t="s">
        <v>644</v>
      </c>
      <c r="H767" s="48">
        <f>IF(NOT(ISBLANK(vlookup(B767,Pop_Census_2023!$A$2:$E$3220,4,FALSE))),vlookup(B767,Pop_Census_2023!$A$2:$E$3220,4,FALSE), vlookup(B767,Pop_Census_2023!$A$2:$E$3220,5,FALSE))</f>
        <v>15487</v>
      </c>
    </row>
    <row r="768">
      <c r="A768" s="47" t="s">
        <v>2458</v>
      </c>
      <c r="B768" s="47">
        <v>17133.0</v>
      </c>
      <c r="C768" s="47">
        <v>4.0</v>
      </c>
      <c r="D768" s="47" t="s">
        <v>4044</v>
      </c>
      <c r="E768" s="47" t="str">
        <f t="shared" si="1"/>
        <v>4A</v>
      </c>
      <c r="F768" s="47" t="s">
        <v>4046</v>
      </c>
      <c r="G768" s="47" t="s">
        <v>152</v>
      </c>
      <c r="H768" s="48">
        <f>IF(NOT(ISBLANK(vlookup(B768,Pop_Census_2023!$A$2:$E$3220,4,FALSE))),vlookup(B768,Pop_Census_2023!$A$2:$E$3220,4,FALSE), vlookup(B768,Pop_Census_2023!$A$2:$E$3220,5,FALSE))</f>
        <v>34957</v>
      </c>
    </row>
    <row r="769">
      <c r="A769" s="47" t="s">
        <v>2458</v>
      </c>
      <c r="B769" s="47">
        <v>17135.0</v>
      </c>
      <c r="C769" s="47">
        <v>4.0</v>
      </c>
      <c r="D769" s="47" t="s">
        <v>4044</v>
      </c>
      <c r="E769" s="47" t="str">
        <f t="shared" si="1"/>
        <v>4A</v>
      </c>
      <c r="F769" s="47" t="s">
        <v>4046</v>
      </c>
      <c r="G769" s="47" t="s">
        <v>153</v>
      </c>
      <c r="H769" s="48">
        <f>IF(NOT(ISBLANK(vlookup(B769,Pop_Census_2023!$A$2:$E$3220,4,FALSE))),vlookup(B769,Pop_Census_2023!$A$2:$E$3220,4,FALSE), vlookup(B769,Pop_Census_2023!$A$2:$E$3220,5,FALSE))</f>
        <v>27663</v>
      </c>
    </row>
    <row r="770">
      <c r="A770" s="47" t="s">
        <v>2458</v>
      </c>
      <c r="B770" s="47">
        <v>17137.0</v>
      </c>
      <c r="C770" s="47">
        <v>5.0</v>
      </c>
      <c r="D770" s="47" t="s">
        <v>4044</v>
      </c>
      <c r="E770" s="47" t="str">
        <f t="shared" si="1"/>
        <v>5A</v>
      </c>
      <c r="F770" s="47" t="s">
        <v>4054</v>
      </c>
      <c r="G770" s="47" t="s">
        <v>154</v>
      </c>
      <c r="H770" s="48">
        <f>IF(NOT(ISBLANK(vlookup(B770,Pop_Census_2023!$A$2:$E$3220,4,FALSE))),vlookup(B770,Pop_Census_2023!$A$2:$E$3220,4,FALSE), vlookup(B770,Pop_Census_2023!$A$2:$E$3220,5,FALSE))</f>
        <v>32140</v>
      </c>
    </row>
    <row r="771">
      <c r="A771" s="47" t="s">
        <v>2458</v>
      </c>
      <c r="B771" s="47">
        <v>17139.0</v>
      </c>
      <c r="C771" s="47">
        <v>5.0</v>
      </c>
      <c r="D771" s="47" t="s">
        <v>4044</v>
      </c>
      <c r="E771" s="47" t="str">
        <f t="shared" si="1"/>
        <v>5A</v>
      </c>
      <c r="F771" s="47" t="s">
        <v>4054</v>
      </c>
      <c r="G771" s="47" t="s">
        <v>645</v>
      </c>
      <c r="H771" s="48">
        <f>IF(NOT(ISBLANK(vlookup(B771,Pop_Census_2023!$A$2:$E$3220,4,FALSE))),vlookup(B771,Pop_Census_2023!$A$2:$E$3220,4,FALSE), vlookup(B771,Pop_Census_2023!$A$2:$E$3220,5,FALSE))</f>
        <v>14342</v>
      </c>
    </row>
    <row r="772">
      <c r="A772" s="47" t="s">
        <v>2458</v>
      </c>
      <c r="B772" s="47">
        <v>17141.0</v>
      </c>
      <c r="C772" s="47">
        <v>5.0</v>
      </c>
      <c r="D772" s="47" t="s">
        <v>4044</v>
      </c>
      <c r="E772" s="47" t="str">
        <f t="shared" si="1"/>
        <v>5A</v>
      </c>
      <c r="F772" s="47" t="s">
        <v>4054</v>
      </c>
      <c r="G772" s="47" t="s">
        <v>646</v>
      </c>
      <c r="H772" s="48">
        <f>IF(NOT(ISBLANK(vlookup(B772,Pop_Census_2023!$A$2:$E$3220,4,FALSE))),vlookup(B772,Pop_Census_2023!$A$2:$E$3220,4,FALSE), vlookup(B772,Pop_Census_2023!$A$2:$E$3220,5,FALSE))</f>
        <v>51265</v>
      </c>
    </row>
    <row r="773">
      <c r="A773" s="47" t="s">
        <v>2458</v>
      </c>
      <c r="B773" s="47">
        <v>17143.0</v>
      </c>
      <c r="C773" s="47">
        <v>5.0</v>
      </c>
      <c r="D773" s="47" t="s">
        <v>4044</v>
      </c>
      <c r="E773" s="47" t="str">
        <f t="shared" si="1"/>
        <v>5A</v>
      </c>
      <c r="F773" s="47" t="s">
        <v>4054</v>
      </c>
      <c r="G773" s="47" t="s">
        <v>647</v>
      </c>
      <c r="H773" s="48">
        <f>IF(NOT(ISBLANK(vlookup(B773,Pop_Census_2023!$A$2:$E$3220,4,FALSE))),vlookup(B773,Pop_Census_2023!$A$2:$E$3220,4,FALSE), vlookup(B773,Pop_Census_2023!$A$2:$E$3220,5,FALSE))</f>
        <v>177513</v>
      </c>
    </row>
    <row r="774">
      <c r="A774" s="47" t="s">
        <v>2458</v>
      </c>
      <c r="B774" s="47">
        <v>17145.0</v>
      </c>
      <c r="C774" s="47">
        <v>4.0</v>
      </c>
      <c r="D774" s="47" t="s">
        <v>4044</v>
      </c>
      <c r="E774" s="47" t="str">
        <f t="shared" si="1"/>
        <v>4A</v>
      </c>
      <c r="F774" s="47" t="s">
        <v>4046</v>
      </c>
      <c r="G774" s="47" t="s">
        <v>155</v>
      </c>
      <c r="H774" s="48">
        <f>IF(NOT(ISBLANK(vlookup(B774,Pop_Census_2023!$A$2:$E$3220,4,FALSE))),vlookup(B774,Pop_Census_2023!$A$2:$E$3220,4,FALSE), vlookup(B774,Pop_Census_2023!$A$2:$E$3220,5,FALSE))</f>
        <v>20503</v>
      </c>
    </row>
    <row r="775">
      <c r="A775" s="47" t="s">
        <v>2458</v>
      </c>
      <c r="B775" s="47">
        <v>17147.0</v>
      </c>
      <c r="C775" s="47">
        <v>5.0</v>
      </c>
      <c r="D775" s="47" t="s">
        <v>4044</v>
      </c>
      <c r="E775" s="47" t="str">
        <f t="shared" si="1"/>
        <v>5A</v>
      </c>
      <c r="F775" s="47" t="s">
        <v>4054</v>
      </c>
      <c r="G775" s="47" t="s">
        <v>648</v>
      </c>
      <c r="H775" s="48">
        <f>IF(NOT(ISBLANK(vlookup(B775,Pop_Census_2023!$A$2:$E$3220,4,FALSE))),vlookup(B775,Pop_Census_2023!$A$2:$E$3220,4,FALSE), vlookup(B775,Pop_Census_2023!$A$2:$E$3220,5,FALSE))</f>
        <v>16714</v>
      </c>
    </row>
    <row r="776">
      <c r="A776" s="47" t="s">
        <v>2458</v>
      </c>
      <c r="B776" s="47">
        <v>17149.0</v>
      </c>
      <c r="C776" s="47">
        <v>5.0</v>
      </c>
      <c r="D776" s="47" t="s">
        <v>4044</v>
      </c>
      <c r="E776" s="47" t="str">
        <f t="shared" si="1"/>
        <v>5A</v>
      </c>
      <c r="F776" s="47" t="s">
        <v>4054</v>
      </c>
      <c r="G776" s="47" t="s">
        <v>157</v>
      </c>
      <c r="H776" s="48">
        <f>IF(NOT(ISBLANK(vlookup(B776,Pop_Census_2023!$A$2:$E$3220,4,FALSE))),vlookup(B776,Pop_Census_2023!$A$2:$E$3220,4,FALSE), vlookup(B776,Pop_Census_2023!$A$2:$E$3220,5,FALSE))</f>
        <v>14342</v>
      </c>
    </row>
    <row r="777">
      <c r="A777" s="47" t="s">
        <v>2458</v>
      </c>
      <c r="B777" s="47">
        <v>17151.0</v>
      </c>
      <c r="C777" s="47">
        <v>4.0</v>
      </c>
      <c r="D777" s="47" t="s">
        <v>4044</v>
      </c>
      <c r="E777" s="47" t="str">
        <f t="shared" si="1"/>
        <v>4A</v>
      </c>
      <c r="F777" s="47" t="s">
        <v>4046</v>
      </c>
      <c r="G777" s="47" t="s">
        <v>262</v>
      </c>
      <c r="H777" s="48">
        <f>IF(NOT(ISBLANK(vlookup(B777,Pop_Census_2023!$A$2:$E$3220,4,FALSE))),vlookup(B777,Pop_Census_2023!$A$2:$E$3220,4,FALSE), vlookup(B777,Pop_Census_2023!$A$2:$E$3220,5,FALSE))</f>
        <v>3707</v>
      </c>
    </row>
    <row r="778">
      <c r="A778" s="47" t="s">
        <v>2458</v>
      </c>
      <c r="B778" s="47">
        <v>17153.0</v>
      </c>
      <c r="C778" s="47">
        <v>4.0</v>
      </c>
      <c r="D778" s="47" t="s">
        <v>4044</v>
      </c>
      <c r="E778" s="47" t="str">
        <f t="shared" si="1"/>
        <v>4A</v>
      </c>
      <c r="F778" s="47" t="s">
        <v>4046</v>
      </c>
      <c r="G778" s="47" t="s">
        <v>264</v>
      </c>
      <c r="H778" s="48">
        <f>IF(NOT(ISBLANK(vlookup(B778,Pop_Census_2023!$A$2:$E$3220,4,FALSE))),vlookup(B778,Pop_Census_2023!$A$2:$E$3220,4,FALSE), vlookup(B778,Pop_Census_2023!$A$2:$E$3220,5,FALSE))</f>
        <v>4911</v>
      </c>
    </row>
    <row r="779">
      <c r="A779" s="47" t="s">
        <v>2458</v>
      </c>
      <c r="B779" s="47">
        <v>17155.0</v>
      </c>
      <c r="C779" s="47">
        <v>5.0</v>
      </c>
      <c r="D779" s="47" t="s">
        <v>4044</v>
      </c>
      <c r="E779" s="47" t="str">
        <f t="shared" si="1"/>
        <v>5A</v>
      </c>
      <c r="F779" s="47" t="s">
        <v>4054</v>
      </c>
      <c r="G779" s="47" t="s">
        <v>449</v>
      </c>
      <c r="H779" s="48">
        <f>IF(NOT(ISBLANK(vlookup(B779,Pop_Census_2023!$A$2:$E$3220,4,FALSE))),vlookup(B779,Pop_Census_2023!$A$2:$E$3220,4,FALSE), vlookup(B779,Pop_Census_2023!$A$2:$E$3220,5,FALSE))</f>
        <v>5561</v>
      </c>
    </row>
    <row r="780">
      <c r="A780" s="47" t="s">
        <v>2458</v>
      </c>
      <c r="B780" s="47">
        <v>17157.0</v>
      </c>
      <c r="C780" s="47">
        <v>4.0</v>
      </c>
      <c r="D780" s="47" t="s">
        <v>4044</v>
      </c>
      <c r="E780" s="47" t="str">
        <f t="shared" si="1"/>
        <v>4A</v>
      </c>
      <c r="F780" s="47" t="s">
        <v>4046</v>
      </c>
      <c r="G780" s="47" t="s">
        <v>158</v>
      </c>
      <c r="H780" s="48">
        <f>IF(NOT(ISBLANK(vlookup(B780,Pop_Census_2023!$A$2:$E$3220,4,FALSE))),vlookup(B780,Pop_Census_2023!$A$2:$E$3220,4,FALSE), vlookup(B780,Pop_Census_2023!$A$2:$E$3220,5,FALSE))</f>
        <v>29815</v>
      </c>
    </row>
    <row r="781">
      <c r="A781" s="47" t="s">
        <v>2458</v>
      </c>
      <c r="B781" s="47">
        <v>17159.0</v>
      </c>
      <c r="C781" s="47">
        <v>4.0</v>
      </c>
      <c r="D781" s="47" t="s">
        <v>4044</v>
      </c>
      <c r="E781" s="47" t="str">
        <f t="shared" si="1"/>
        <v>4A</v>
      </c>
      <c r="F781" s="47" t="s">
        <v>4046</v>
      </c>
      <c r="G781" s="47" t="s">
        <v>649</v>
      </c>
      <c r="H781" s="48">
        <f>IF(NOT(ISBLANK(vlookup(B781,Pop_Census_2023!$A$2:$E$3220,4,FALSE))),vlookup(B781,Pop_Census_2023!$A$2:$E$3220,4,FALSE), vlookup(B781,Pop_Census_2023!$A$2:$E$3220,5,FALSE))</f>
        <v>15488</v>
      </c>
    </row>
    <row r="782">
      <c r="A782" s="47" t="s">
        <v>2458</v>
      </c>
      <c r="B782" s="47">
        <v>17161.0</v>
      </c>
      <c r="C782" s="47">
        <v>5.0</v>
      </c>
      <c r="D782" s="47" t="s">
        <v>4044</v>
      </c>
      <c r="E782" s="47" t="str">
        <f t="shared" si="1"/>
        <v>5A</v>
      </c>
      <c r="F782" s="47" t="s">
        <v>4054</v>
      </c>
      <c r="G782" s="47" t="s">
        <v>650</v>
      </c>
      <c r="H782" s="48">
        <f>IF(NOT(ISBLANK(vlookup(B782,Pop_Census_2023!$A$2:$E$3220,4,FALSE))),vlookup(B782,Pop_Census_2023!$A$2:$E$3220,4,FALSE), vlookup(B782,Pop_Census_2023!$A$2:$E$3220,5,FALSE))</f>
        <v>141236</v>
      </c>
    </row>
    <row r="783">
      <c r="A783" s="47" t="s">
        <v>2458</v>
      </c>
      <c r="B783" s="47">
        <v>17165.0</v>
      </c>
      <c r="C783" s="47">
        <v>4.0</v>
      </c>
      <c r="D783" s="47" t="s">
        <v>4044</v>
      </c>
      <c r="E783" s="47" t="str">
        <f t="shared" si="1"/>
        <v>4A</v>
      </c>
      <c r="F783" s="47" t="s">
        <v>4046</v>
      </c>
      <c r="G783" s="47" t="s">
        <v>266</v>
      </c>
      <c r="H783" s="48">
        <f>IF(NOT(ISBLANK(vlookup(B783,Pop_Census_2023!$A$2:$E$3220,4,FALSE))),vlookup(B783,Pop_Census_2023!$A$2:$E$3220,4,FALSE), vlookup(B783,Pop_Census_2023!$A$2:$E$3220,5,FALSE))</f>
        <v>22873</v>
      </c>
    </row>
    <row r="784">
      <c r="A784" s="47" t="s">
        <v>2458</v>
      </c>
      <c r="B784" s="47">
        <v>17167.0</v>
      </c>
      <c r="C784" s="47">
        <v>5.0</v>
      </c>
      <c r="D784" s="47" t="s">
        <v>4044</v>
      </c>
      <c r="E784" s="47" t="str">
        <f t="shared" si="1"/>
        <v>5A</v>
      </c>
      <c r="F784" s="47" t="s">
        <v>4054</v>
      </c>
      <c r="G784" s="47" t="s">
        <v>651</v>
      </c>
      <c r="H784" s="48">
        <f>IF(NOT(ISBLANK(vlookup(B784,Pop_Census_2023!$A$2:$E$3220,4,FALSE))),vlookup(B784,Pop_Census_2023!$A$2:$E$3220,4,FALSE), vlookup(B784,Pop_Census_2023!$A$2:$E$3220,5,FALSE))</f>
        <v>193491</v>
      </c>
    </row>
    <row r="785">
      <c r="A785" s="47" t="s">
        <v>2458</v>
      </c>
      <c r="B785" s="47">
        <v>17169.0</v>
      </c>
      <c r="C785" s="47">
        <v>5.0</v>
      </c>
      <c r="D785" s="47" t="s">
        <v>4044</v>
      </c>
      <c r="E785" s="47" t="str">
        <f t="shared" si="1"/>
        <v>5A</v>
      </c>
      <c r="F785" s="47" t="s">
        <v>4054</v>
      </c>
      <c r="G785" s="47" t="s">
        <v>652</v>
      </c>
      <c r="H785" s="48">
        <f>IF(NOT(ISBLANK(vlookup(B785,Pop_Census_2023!$A$2:$E$3220,4,FALSE))),vlookup(B785,Pop_Census_2023!$A$2:$E$3220,4,FALSE), vlookup(B785,Pop_Census_2023!$A$2:$E$3220,5,FALSE))</f>
        <v>6733</v>
      </c>
    </row>
    <row r="786">
      <c r="A786" s="47" t="s">
        <v>2458</v>
      </c>
      <c r="B786" s="47">
        <v>17171.0</v>
      </c>
      <c r="C786" s="47">
        <v>5.0</v>
      </c>
      <c r="D786" s="47" t="s">
        <v>4044</v>
      </c>
      <c r="E786" s="47" t="str">
        <f t="shared" si="1"/>
        <v>5A</v>
      </c>
      <c r="F786" s="47" t="s">
        <v>4054</v>
      </c>
      <c r="G786" s="47" t="s">
        <v>267</v>
      </c>
      <c r="H786" s="48">
        <f>IF(NOT(ISBLANK(vlookup(B786,Pop_Census_2023!$A$2:$E$3220,4,FALSE))),vlookup(B786,Pop_Census_2023!$A$2:$E$3220,4,FALSE), vlookup(B786,Pop_Census_2023!$A$2:$E$3220,5,FALSE))</f>
        <v>4710</v>
      </c>
    </row>
    <row r="787">
      <c r="A787" s="47" t="s">
        <v>2458</v>
      </c>
      <c r="B787" s="47">
        <v>17173.0</v>
      </c>
      <c r="C787" s="47">
        <v>4.0</v>
      </c>
      <c r="D787" s="47" t="s">
        <v>4044</v>
      </c>
      <c r="E787" s="47" t="str">
        <f t="shared" si="1"/>
        <v>4A</v>
      </c>
      <c r="F787" s="47" t="s">
        <v>4046</v>
      </c>
      <c r="G787" s="47" t="s">
        <v>161</v>
      </c>
      <c r="H787" s="48">
        <f>IF(NOT(ISBLANK(vlookup(B787,Pop_Census_2023!$A$2:$E$3220,4,FALSE))),vlookup(B787,Pop_Census_2023!$A$2:$E$3220,4,FALSE), vlookup(B787,Pop_Census_2023!$A$2:$E$3220,5,FALSE))</f>
        <v>20568</v>
      </c>
    </row>
    <row r="788">
      <c r="A788" s="47" t="s">
        <v>2458</v>
      </c>
      <c r="B788" s="47">
        <v>17163.0</v>
      </c>
      <c r="C788" s="47">
        <v>4.0</v>
      </c>
      <c r="D788" s="47" t="s">
        <v>4044</v>
      </c>
      <c r="E788" s="47" t="str">
        <f t="shared" si="1"/>
        <v>4A</v>
      </c>
      <c r="F788" s="47" t="s">
        <v>4046</v>
      </c>
      <c r="G788" s="47" t="s">
        <v>160</v>
      </c>
      <c r="H788" s="48">
        <f>IF(NOT(ISBLANK(vlookup(B788,Pop_Census_2023!$A$2:$E$3220,4,FALSE))),vlookup(B788,Pop_Census_2023!$A$2:$E$3220,4,FALSE), vlookup(B788,Pop_Census_2023!$A$2:$E$3220,5,FALSE))</f>
        <v>251018</v>
      </c>
    </row>
    <row r="789">
      <c r="A789" s="47" t="s">
        <v>2458</v>
      </c>
      <c r="B789" s="47">
        <v>17175.0</v>
      </c>
      <c r="C789" s="47">
        <v>5.0</v>
      </c>
      <c r="D789" s="47" t="s">
        <v>4044</v>
      </c>
      <c r="E789" s="47" t="str">
        <f t="shared" si="1"/>
        <v>5A</v>
      </c>
      <c r="F789" s="47" t="s">
        <v>4054</v>
      </c>
      <c r="G789" s="47" t="s">
        <v>653</v>
      </c>
      <c r="H789" s="48">
        <f>IF(NOT(ISBLANK(vlookup(B789,Pop_Census_2023!$A$2:$E$3220,4,FALSE))),vlookup(B789,Pop_Census_2023!$A$2:$E$3220,4,FALSE), vlookup(B789,Pop_Census_2023!$A$2:$E$3220,5,FALSE))</f>
        <v>5218</v>
      </c>
    </row>
    <row r="790">
      <c r="A790" s="47" t="s">
        <v>2458</v>
      </c>
      <c r="B790" s="47">
        <v>17177.0</v>
      </c>
      <c r="C790" s="47">
        <v>5.0</v>
      </c>
      <c r="D790" s="47" t="s">
        <v>4044</v>
      </c>
      <c r="E790" s="47" t="str">
        <f t="shared" si="1"/>
        <v>5A</v>
      </c>
      <c r="F790" s="47" t="s">
        <v>4054</v>
      </c>
      <c r="G790" s="47" t="s">
        <v>654</v>
      </c>
      <c r="H790" s="48">
        <f>IF(NOT(ISBLANK(vlookup(B790,Pop_Census_2023!$A$2:$E$3220,4,FALSE))),vlookup(B790,Pop_Census_2023!$A$2:$E$3220,4,FALSE), vlookup(B790,Pop_Census_2023!$A$2:$E$3220,5,FALSE))</f>
        <v>43105</v>
      </c>
    </row>
    <row r="791">
      <c r="A791" s="47" t="s">
        <v>2458</v>
      </c>
      <c r="B791" s="47">
        <v>17179.0</v>
      </c>
      <c r="C791" s="47">
        <v>5.0</v>
      </c>
      <c r="D791" s="47" t="s">
        <v>4044</v>
      </c>
      <c r="E791" s="47" t="str">
        <f t="shared" si="1"/>
        <v>5A</v>
      </c>
      <c r="F791" s="47" t="s">
        <v>4054</v>
      </c>
      <c r="G791" s="47" t="s">
        <v>655</v>
      </c>
      <c r="H791" s="48">
        <f>IF(NOT(ISBLANK(vlookup(B791,Pop_Census_2023!$A$2:$E$3220,4,FALSE))),vlookup(B791,Pop_Census_2023!$A$2:$E$3220,4,FALSE), vlookup(B791,Pop_Census_2023!$A$2:$E$3220,5,FALSE))</f>
        <v>129541</v>
      </c>
    </row>
    <row r="792">
      <c r="A792" s="47" t="s">
        <v>2458</v>
      </c>
      <c r="B792" s="47">
        <v>17181.0</v>
      </c>
      <c r="C792" s="47">
        <v>4.0</v>
      </c>
      <c r="D792" s="47" t="s">
        <v>4044</v>
      </c>
      <c r="E792" s="47" t="str">
        <f t="shared" si="1"/>
        <v>4A</v>
      </c>
      <c r="F792" s="47" t="s">
        <v>4046</v>
      </c>
      <c r="G792" s="47" t="s">
        <v>273</v>
      </c>
      <c r="H792" s="48">
        <f>IF(NOT(ISBLANK(vlookup(B792,Pop_Census_2023!$A$2:$E$3220,4,FALSE))),vlookup(B792,Pop_Census_2023!$A$2:$E$3220,4,FALSE), vlookup(B792,Pop_Census_2023!$A$2:$E$3220,5,FALSE))</f>
        <v>16667</v>
      </c>
    </row>
    <row r="793">
      <c r="A793" s="47" t="s">
        <v>2458</v>
      </c>
      <c r="B793" s="47">
        <v>17183.0</v>
      </c>
      <c r="C793" s="47">
        <v>5.0</v>
      </c>
      <c r="D793" s="47" t="s">
        <v>4044</v>
      </c>
      <c r="E793" s="47" t="str">
        <f t="shared" si="1"/>
        <v>5A</v>
      </c>
      <c r="F793" s="47" t="s">
        <v>4054</v>
      </c>
      <c r="G793" s="47" t="s">
        <v>656</v>
      </c>
      <c r="H793" s="48">
        <f>IF(NOT(ISBLANK(vlookup(B793,Pop_Census_2023!$A$2:$E$3220,4,FALSE))),vlookup(B793,Pop_Census_2023!$A$2:$E$3220,4,FALSE), vlookup(B793,Pop_Census_2023!$A$2:$E$3220,5,FALSE))</f>
        <v>71652</v>
      </c>
    </row>
    <row r="794">
      <c r="A794" s="47" t="s">
        <v>2458</v>
      </c>
      <c r="B794" s="47">
        <v>17185.0</v>
      </c>
      <c r="C794" s="47">
        <v>4.0</v>
      </c>
      <c r="D794" s="47" t="s">
        <v>4044</v>
      </c>
      <c r="E794" s="47" t="str">
        <f t="shared" si="1"/>
        <v>4A</v>
      </c>
      <c r="F794" s="47" t="s">
        <v>4046</v>
      </c>
      <c r="G794" s="47" t="s">
        <v>657</v>
      </c>
      <c r="H794" s="48">
        <f>IF(NOT(ISBLANK(vlookup(B794,Pop_Census_2023!$A$2:$E$3220,4,FALSE))),vlookup(B794,Pop_Census_2023!$A$2:$E$3220,4,FALSE), vlookup(B794,Pop_Census_2023!$A$2:$E$3220,5,FALSE))</f>
        <v>10942</v>
      </c>
    </row>
    <row r="795">
      <c r="A795" s="47" t="s">
        <v>2458</v>
      </c>
      <c r="B795" s="47">
        <v>17187.0</v>
      </c>
      <c r="C795" s="47">
        <v>5.0</v>
      </c>
      <c r="D795" s="47" t="s">
        <v>4044</v>
      </c>
      <c r="E795" s="47" t="str">
        <f t="shared" si="1"/>
        <v>5A</v>
      </c>
      <c r="F795" s="47" t="s">
        <v>4054</v>
      </c>
      <c r="G795" s="47" t="s">
        <v>561</v>
      </c>
      <c r="H795" s="48">
        <f>IF(NOT(ISBLANK(vlookup(B795,Pop_Census_2023!$A$2:$E$3220,4,FALSE))),vlookup(B795,Pop_Census_2023!$A$2:$E$3220,4,FALSE), vlookup(B795,Pop_Census_2023!$A$2:$E$3220,5,FALSE))</f>
        <v>16185</v>
      </c>
    </row>
    <row r="796">
      <c r="A796" s="47" t="s">
        <v>2458</v>
      </c>
      <c r="B796" s="47">
        <v>17189.0</v>
      </c>
      <c r="C796" s="47">
        <v>4.0</v>
      </c>
      <c r="D796" s="47" t="s">
        <v>4044</v>
      </c>
      <c r="E796" s="47" t="str">
        <f t="shared" si="1"/>
        <v>4A</v>
      </c>
      <c r="F796" s="47" t="s">
        <v>4046</v>
      </c>
      <c r="G796" s="47" t="s">
        <v>167</v>
      </c>
      <c r="H796" s="48">
        <f>IF(NOT(ISBLANK(vlookup(B796,Pop_Census_2023!$A$2:$E$3220,4,FALSE))),vlookup(B796,Pop_Census_2023!$A$2:$E$3220,4,FALSE), vlookup(B796,Pop_Census_2023!$A$2:$E$3220,5,FALSE))</f>
        <v>13536</v>
      </c>
    </row>
    <row r="797">
      <c r="A797" s="47" t="s">
        <v>2458</v>
      </c>
      <c r="B797" s="47">
        <v>17191.0</v>
      </c>
      <c r="C797" s="47">
        <v>4.0</v>
      </c>
      <c r="D797" s="47" t="s">
        <v>4044</v>
      </c>
      <c r="E797" s="47" t="str">
        <f t="shared" si="1"/>
        <v>4A</v>
      </c>
      <c r="F797" s="47" t="s">
        <v>4046</v>
      </c>
      <c r="G797" s="47" t="s">
        <v>562</v>
      </c>
      <c r="H797" s="48">
        <f>IF(NOT(ISBLANK(vlookup(B797,Pop_Census_2023!$A$2:$E$3220,4,FALSE))),vlookup(B797,Pop_Census_2023!$A$2:$E$3220,4,FALSE), vlookup(B797,Pop_Census_2023!$A$2:$E$3220,5,FALSE))</f>
        <v>15761</v>
      </c>
    </row>
    <row r="798">
      <c r="A798" s="47" t="s">
        <v>2458</v>
      </c>
      <c r="B798" s="47">
        <v>17193.0</v>
      </c>
      <c r="C798" s="47">
        <v>4.0</v>
      </c>
      <c r="D798" s="47" t="s">
        <v>4044</v>
      </c>
      <c r="E798" s="47" t="str">
        <f t="shared" si="1"/>
        <v>4A</v>
      </c>
      <c r="F798" s="47" t="s">
        <v>4046</v>
      </c>
      <c r="G798" s="47" t="s">
        <v>275</v>
      </c>
      <c r="H798" s="48">
        <f>IF(NOT(ISBLANK(vlookup(B798,Pop_Census_2023!$A$2:$E$3220,4,FALSE))),vlookup(B798,Pop_Census_2023!$A$2:$E$3220,4,FALSE), vlookup(B798,Pop_Census_2023!$A$2:$E$3220,5,FALSE))</f>
        <v>13401</v>
      </c>
    </row>
    <row r="799">
      <c r="A799" s="47" t="s">
        <v>2458</v>
      </c>
      <c r="B799" s="47">
        <v>17195.0</v>
      </c>
      <c r="C799" s="47">
        <v>5.0</v>
      </c>
      <c r="D799" s="47" t="s">
        <v>4044</v>
      </c>
      <c r="E799" s="47" t="str">
        <f t="shared" si="1"/>
        <v>5A</v>
      </c>
      <c r="F799" s="47" t="s">
        <v>4054</v>
      </c>
      <c r="G799" s="47" t="s">
        <v>658</v>
      </c>
      <c r="H799" s="48">
        <f>IF(NOT(ISBLANK(vlookup(B799,Pop_Census_2023!$A$2:$E$3220,4,FALSE))),vlookup(B799,Pop_Census_2023!$A$2:$E$3220,4,FALSE), vlookup(B799,Pop_Census_2023!$A$2:$E$3220,5,FALSE))</f>
        <v>54498</v>
      </c>
    </row>
    <row r="800">
      <c r="A800" s="47" t="s">
        <v>2458</v>
      </c>
      <c r="B800" s="47">
        <v>17197.0</v>
      </c>
      <c r="C800" s="47">
        <v>5.0</v>
      </c>
      <c r="D800" s="47" t="s">
        <v>4044</v>
      </c>
      <c r="E800" s="47" t="str">
        <f t="shared" si="1"/>
        <v>5A</v>
      </c>
      <c r="F800" s="47" t="s">
        <v>4054</v>
      </c>
      <c r="G800" s="47" t="s">
        <v>659</v>
      </c>
      <c r="H800" s="48">
        <f>IF(NOT(ISBLANK(vlookup(B800,Pop_Census_2023!$A$2:$E$3220,4,FALSE))),vlookup(B800,Pop_Census_2023!$A$2:$E$3220,4,FALSE), vlookup(B800,Pop_Census_2023!$A$2:$E$3220,5,FALSE))</f>
        <v>700728</v>
      </c>
    </row>
    <row r="801">
      <c r="A801" s="47" t="s">
        <v>2458</v>
      </c>
      <c r="B801" s="47">
        <v>17199.0</v>
      </c>
      <c r="C801" s="47">
        <v>4.0</v>
      </c>
      <c r="D801" s="47" t="s">
        <v>4044</v>
      </c>
      <c r="E801" s="47" t="str">
        <f t="shared" si="1"/>
        <v>4A</v>
      </c>
      <c r="F801" s="47" t="s">
        <v>4046</v>
      </c>
      <c r="G801" s="47" t="s">
        <v>660</v>
      </c>
      <c r="H801" s="48">
        <f>IF(NOT(ISBLANK(vlookup(B801,Pop_Census_2023!$A$2:$E$3220,4,FALSE))),vlookup(B801,Pop_Census_2023!$A$2:$E$3220,4,FALSE), vlookup(B801,Pop_Census_2023!$A$2:$E$3220,5,FALSE))</f>
        <v>66706</v>
      </c>
    </row>
    <row r="802">
      <c r="A802" s="47" t="s">
        <v>2458</v>
      </c>
      <c r="B802" s="47">
        <v>17201.0</v>
      </c>
      <c r="C802" s="47">
        <v>5.0</v>
      </c>
      <c r="D802" s="47" t="s">
        <v>4044</v>
      </c>
      <c r="E802" s="47" t="str">
        <f t="shared" si="1"/>
        <v>5A</v>
      </c>
      <c r="F802" s="47" t="s">
        <v>4054</v>
      </c>
      <c r="G802" s="47" t="s">
        <v>661</v>
      </c>
      <c r="H802" s="48">
        <f>IF(NOT(ISBLANK(vlookup(B802,Pop_Census_2023!$A$2:$E$3220,4,FALSE))),vlookup(B802,Pop_Census_2023!$A$2:$E$3220,4,FALSE), vlookup(B802,Pop_Census_2023!$A$2:$E$3220,5,FALSE))</f>
        <v>280922</v>
      </c>
    </row>
    <row r="803">
      <c r="A803" s="47" t="s">
        <v>2458</v>
      </c>
      <c r="B803" s="47">
        <v>17203.0</v>
      </c>
      <c r="C803" s="47">
        <v>5.0</v>
      </c>
      <c r="D803" s="47" t="s">
        <v>4044</v>
      </c>
      <c r="E803" s="47" t="str">
        <f t="shared" si="1"/>
        <v>5A</v>
      </c>
      <c r="F803" s="47" t="s">
        <v>4054</v>
      </c>
      <c r="G803" s="47" t="s">
        <v>662</v>
      </c>
      <c r="H803" s="48">
        <f>IF(NOT(ISBLANK(vlookup(B803,Pop_Census_2023!$A$2:$E$3220,4,FALSE))),vlookup(B803,Pop_Census_2023!$A$2:$E$3220,4,FALSE), vlookup(B803,Pop_Census_2023!$A$2:$E$3220,5,FALSE))</f>
        <v>38285</v>
      </c>
    </row>
    <row r="804">
      <c r="A804" s="47" t="s">
        <v>2513</v>
      </c>
      <c r="B804" s="47">
        <v>18001.0</v>
      </c>
      <c r="C804" s="47">
        <v>5.0</v>
      </c>
      <c r="D804" s="47" t="s">
        <v>4044</v>
      </c>
      <c r="E804" s="47" t="str">
        <f t="shared" si="1"/>
        <v>5A</v>
      </c>
      <c r="F804" s="47" t="s">
        <v>4054</v>
      </c>
      <c r="G804" s="47" t="s">
        <v>338</v>
      </c>
      <c r="H804" s="48">
        <f>IF(NOT(ISBLANK(vlookup(B804,Pop_Census_2023!$A$2:$E$3220,4,FALSE))),vlookup(B804,Pop_Census_2023!$A$2:$E$3220,4,FALSE), vlookup(B804,Pop_Census_2023!$A$2:$E$3220,5,FALSE))</f>
        <v>36288</v>
      </c>
    </row>
    <row r="805">
      <c r="A805" s="47" t="s">
        <v>2513</v>
      </c>
      <c r="B805" s="47">
        <v>18003.0</v>
      </c>
      <c r="C805" s="47">
        <v>5.0</v>
      </c>
      <c r="D805" s="47" t="s">
        <v>4044</v>
      </c>
      <c r="E805" s="47" t="str">
        <f t="shared" si="1"/>
        <v>5A</v>
      </c>
      <c r="F805" s="47" t="s">
        <v>4054</v>
      </c>
      <c r="G805" s="47" t="s">
        <v>664</v>
      </c>
      <c r="H805" s="48">
        <f>IF(NOT(ISBLANK(vlookup(B805,Pop_Census_2023!$A$2:$E$3220,4,FALSE))),vlookup(B805,Pop_Census_2023!$A$2:$E$3220,4,FALSE), vlookup(B805,Pop_Census_2023!$A$2:$E$3220,5,FALSE))</f>
        <v>394545</v>
      </c>
    </row>
    <row r="806">
      <c r="A806" s="47" t="s">
        <v>2513</v>
      </c>
      <c r="B806" s="47">
        <v>18005.0</v>
      </c>
      <c r="C806" s="47">
        <v>5.0</v>
      </c>
      <c r="D806" s="47" t="s">
        <v>4044</v>
      </c>
      <c r="E806" s="47" t="str">
        <f t="shared" si="1"/>
        <v>5A</v>
      </c>
      <c r="F806" s="47" t="s">
        <v>4054</v>
      </c>
      <c r="G806" s="47" t="s">
        <v>665</v>
      </c>
      <c r="H806" s="48">
        <f>IF(NOT(ISBLANK(vlookup(B806,Pop_Census_2023!$A$2:$E$3220,4,FALSE))),vlookup(B806,Pop_Census_2023!$A$2:$E$3220,4,FALSE), vlookup(B806,Pop_Census_2023!$A$2:$E$3220,5,FALSE))</f>
        <v>84003</v>
      </c>
    </row>
    <row r="807">
      <c r="A807" s="47" t="s">
        <v>2513</v>
      </c>
      <c r="B807" s="47">
        <v>18007.0</v>
      </c>
      <c r="C807" s="47">
        <v>5.0</v>
      </c>
      <c r="D807" s="47" t="s">
        <v>4044</v>
      </c>
      <c r="E807" s="47" t="str">
        <f t="shared" si="1"/>
        <v>5A</v>
      </c>
      <c r="F807" s="47" t="s">
        <v>4054</v>
      </c>
      <c r="G807" s="47" t="s">
        <v>224</v>
      </c>
      <c r="H807" s="48">
        <f>IF(NOT(ISBLANK(vlookup(B807,Pop_Census_2023!$A$2:$E$3220,4,FALSE))),vlookup(B807,Pop_Census_2023!$A$2:$E$3220,4,FALSE), vlookup(B807,Pop_Census_2023!$A$2:$E$3220,5,FALSE))</f>
        <v>8729</v>
      </c>
    </row>
    <row r="808">
      <c r="A808" s="47" t="s">
        <v>2513</v>
      </c>
      <c r="B808" s="47">
        <v>18009.0</v>
      </c>
      <c r="C808" s="47">
        <v>5.0</v>
      </c>
      <c r="D808" s="47" t="s">
        <v>4044</v>
      </c>
      <c r="E808" s="47" t="str">
        <f t="shared" si="1"/>
        <v>5A</v>
      </c>
      <c r="F808" s="47" t="s">
        <v>4054</v>
      </c>
      <c r="G808" s="47" t="s">
        <v>666</v>
      </c>
      <c r="H808" s="48">
        <f>IF(NOT(ISBLANK(vlookup(B808,Pop_Census_2023!$A$2:$E$3220,4,FALSE))),vlookup(B808,Pop_Census_2023!$A$2:$E$3220,4,FALSE), vlookup(B808,Pop_Census_2023!$A$2:$E$3220,5,FALSE))</f>
        <v>11893</v>
      </c>
    </row>
    <row r="809">
      <c r="A809" s="47" t="s">
        <v>2513</v>
      </c>
      <c r="B809" s="47">
        <v>18011.0</v>
      </c>
      <c r="C809" s="47">
        <v>5.0</v>
      </c>
      <c r="D809" s="47" t="s">
        <v>4044</v>
      </c>
      <c r="E809" s="47" t="str">
        <f t="shared" si="1"/>
        <v>5A</v>
      </c>
      <c r="F809" s="47" t="s">
        <v>4054</v>
      </c>
      <c r="G809" s="47" t="s">
        <v>225</v>
      </c>
      <c r="H809" s="48">
        <f>IF(NOT(ISBLANK(vlookup(B809,Pop_Census_2023!$A$2:$E$3220,4,FALSE))),vlookup(B809,Pop_Census_2023!$A$2:$E$3220,4,FALSE), vlookup(B809,Pop_Census_2023!$A$2:$E$3220,5,FALSE))</f>
        <v>76120</v>
      </c>
    </row>
    <row r="810">
      <c r="A810" s="47" t="s">
        <v>2513</v>
      </c>
      <c r="B810" s="47">
        <v>18013.0</v>
      </c>
      <c r="C810" s="47">
        <v>4.0</v>
      </c>
      <c r="D810" s="47" t="s">
        <v>4044</v>
      </c>
      <c r="E810" s="47" t="str">
        <f t="shared" si="1"/>
        <v>4A</v>
      </c>
      <c r="F810" s="47" t="s">
        <v>4046</v>
      </c>
      <c r="G810" s="47" t="s">
        <v>611</v>
      </c>
      <c r="H810" s="48">
        <f>IF(NOT(ISBLANK(vlookup(B810,Pop_Census_2023!$A$2:$E$3220,4,FALSE))),vlookup(B810,Pop_Census_2023!$A$2:$E$3220,4,FALSE), vlookup(B810,Pop_Census_2023!$A$2:$E$3220,5,FALSE))</f>
        <v>15653</v>
      </c>
    </row>
    <row r="811">
      <c r="A811" s="47" t="s">
        <v>2513</v>
      </c>
      <c r="B811" s="47">
        <v>18015.0</v>
      </c>
      <c r="C811" s="47">
        <v>5.0</v>
      </c>
      <c r="D811" s="47" t="s">
        <v>4044</v>
      </c>
      <c r="E811" s="47" t="str">
        <f t="shared" si="1"/>
        <v>5A</v>
      </c>
      <c r="F811" s="47" t="s">
        <v>4054</v>
      </c>
      <c r="G811" s="47" t="s">
        <v>227</v>
      </c>
      <c r="H811" s="48">
        <f>IF(NOT(ISBLANK(vlookup(B811,Pop_Census_2023!$A$2:$E$3220,4,FALSE))),vlookup(B811,Pop_Census_2023!$A$2:$E$3220,4,FALSE), vlookup(B811,Pop_Census_2023!$A$2:$E$3220,5,FALSE))</f>
        <v>20525</v>
      </c>
    </row>
    <row r="812">
      <c r="A812" s="47" t="s">
        <v>2513</v>
      </c>
      <c r="B812" s="47">
        <v>18017.0</v>
      </c>
      <c r="C812" s="47">
        <v>5.0</v>
      </c>
      <c r="D812" s="47" t="s">
        <v>4044</v>
      </c>
      <c r="E812" s="47" t="str">
        <f t="shared" si="1"/>
        <v>5A</v>
      </c>
      <c r="F812" s="47" t="s">
        <v>4054</v>
      </c>
      <c r="G812" s="47" t="s">
        <v>613</v>
      </c>
      <c r="H812" s="48">
        <f>IF(NOT(ISBLANK(vlookup(B812,Pop_Census_2023!$A$2:$E$3220,4,FALSE))),vlookup(B812,Pop_Census_2023!$A$2:$E$3220,4,FALSE), vlookup(B812,Pop_Census_2023!$A$2:$E$3220,5,FALSE))</f>
        <v>37666</v>
      </c>
    </row>
    <row r="813">
      <c r="A813" s="47" t="s">
        <v>2513</v>
      </c>
      <c r="B813" s="47">
        <v>18019.0</v>
      </c>
      <c r="C813" s="47">
        <v>4.0</v>
      </c>
      <c r="D813" s="47" t="s">
        <v>4044</v>
      </c>
      <c r="E813" s="47" t="str">
        <f t="shared" si="1"/>
        <v>4A</v>
      </c>
      <c r="F813" s="47" t="s">
        <v>4046</v>
      </c>
      <c r="G813" s="47" t="s">
        <v>229</v>
      </c>
      <c r="H813" s="48">
        <f>IF(NOT(ISBLANK(vlookup(B813,Pop_Census_2023!$A$2:$E$3220,4,FALSE))),vlookup(B813,Pop_Census_2023!$A$2:$E$3220,4,FALSE), vlookup(B813,Pop_Census_2023!$A$2:$E$3220,5,FALSE))</f>
        <v>125467</v>
      </c>
    </row>
    <row r="814">
      <c r="A814" s="47" t="s">
        <v>2513</v>
      </c>
      <c r="B814" s="47">
        <v>18021.0</v>
      </c>
      <c r="C814" s="47">
        <v>5.0</v>
      </c>
      <c r="D814" s="47" t="s">
        <v>4044</v>
      </c>
      <c r="E814" s="47" t="str">
        <f t="shared" si="1"/>
        <v>5A</v>
      </c>
      <c r="F814" s="47" t="s">
        <v>4054</v>
      </c>
      <c r="G814" s="47" t="s">
        <v>116</v>
      </c>
      <c r="H814" s="48">
        <f>IF(NOT(ISBLANK(vlookup(B814,Pop_Census_2023!$A$2:$E$3220,4,FALSE))),vlookup(B814,Pop_Census_2023!$A$2:$E$3220,4,FALSE), vlookup(B814,Pop_Census_2023!$A$2:$E$3220,5,FALSE))</f>
        <v>26460</v>
      </c>
    </row>
    <row r="815">
      <c r="A815" s="47" t="s">
        <v>2513</v>
      </c>
      <c r="B815" s="47">
        <v>18023.0</v>
      </c>
      <c r="C815" s="47">
        <v>5.0</v>
      </c>
      <c r="D815" s="47" t="s">
        <v>4044</v>
      </c>
      <c r="E815" s="47" t="str">
        <f t="shared" si="1"/>
        <v>5A</v>
      </c>
      <c r="F815" s="47" t="s">
        <v>4054</v>
      </c>
      <c r="G815" s="47" t="s">
        <v>616</v>
      </c>
      <c r="H815" s="48">
        <f>IF(NOT(ISBLANK(vlookup(B815,Pop_Census_2023!$A$2:$E$3220,4,FALSE))),vlookup(B815,Pop_Census_2023!$A$2:$E$3220,4,FALSE), vlookup(B815,Pop_Census_2023!$A$2:$E$3220,5,FALSE))</f>
        <v>32730</v>
      </c>
    </row>
    <row r="816">
      <c r="A816" s="47" t="s">
        <v>2513</v>
      </c>
      <c r="B816" s="47">
        <v>18025.0</v>
      </c>
      <c r="C816" s="47">
        <v>4.0</v>
      </c>
      <c r="D816" s="47" t="s">
        <v>4044</v>
      </c>
      <c r="E816" s="47" t="str">
        <f t="shared" si="1"/>
        <v>4A</v>
      </c>
      <c r="F816" s="47" t="s">
        <v>4046</v>
      </c>
      <c r="G816" s="47" t="s">
        <v>234</v>
      </c>
      <c r="H816" s="48">
        <f>IF(NOT(ISBLANK(vlookup(B816,Pop_Census_2023!$A$2:$E$3220,4,FALSE))),vlookup(B816,Pop_Census_2023!$A$2:$E$3220,4,FALSE), vlookup(B816,Pop_Census_2023!$A$2:$E$3220,5,FALSE))</f>
        <v>10438</v>
      </c>
    </row>
    <row r="817">
      <c r="A817" s="47" t="s">
        <v>2513</v>
      </c>
      <c r="B817" s="47">
        <v>18027.0</v>
      </c>
      <c r="C817" s="47">
        <v>4.0</v>
      </c>
      <c r="D817" s="47" t="s">
        <v>4044</v>
      </c>
      <c r="E817" s="47" t="str">
        <f t="shared" si="1"/>
        <v>4A</v>
      </c>
      <c r="F817" s="47" t="s">
        <v>4046</v>
      </c>
      <c r="G817" s="47" t="s">
        <v>667</v>
      </c>
      <c r="H817" s="48">
        <f>IF(NOT(ISBLANK(vlookup(B817,Pop_Census_2023!$A$2:$E$3220,4,FALSE))),vlookup(B817,Pop_Census_2023!$A$2:$E$3220,4,FALSE), vlookup(B817,Pop_Census_2023!$A$2:$E$3220,5,FALSE))</f>
        <v>33656</v>
      </c>
    </row>
    <row r="818">
      <c r="A818" s="47" t="s">
        <v>2513</v>
      </c>
      <c r="B818" s="47">
        <v>18029.0</v>
      </c>
      <c r="C818" s="47">
        <v>4.0</v>
      </c>
      <c r="D818" s="47" t="s">
        <v>4044</v>
      </c>
      <c r="E818" s="47" t="str">
        <f t="shared" si="1"/>
        <v>4A</v>
      </c>
      <c r="F818" s="47" t="s">
        <v>4046</v>
      </c>
      <c r="G818" s="47" t="s">
        <v>668</v>
      </c>
      <c r="H818" s="48">
        <f>IF(NOT(ISBLANK(vlookup(B818,Pop_Census_2023!$A$2:$E$3220,4,FALSE))),vlookup(B818,Pop_Census_2023!$A$2:$E$3220,4,FALSE), vlookup(B818,Pop_Census_2023!$A$2:$E$3220,5,FALSE))</f>
        <v>51215</v>
      </c>
    </row>
    <row r="819">
      <c r="A819" s="47" t="s">
        <v>2513</v>
      </c>
      <c r="B819" s="47">
        <v>18031.0</v>
      </c>
      <c r="C819" s="47">
        <v>5.0</v>
      </c>
      <c r="D819" s="47" t="s">
        <v>4044</v>
      </c>
      <c r="E819" s="47" t="str">
        <f t="shared" si="1"/>
        <v>5A</v>
      </c>
      <c r="F819" s="47" t="s">
        <v>4054</v>
      </c>
      <c r="G819" s="47" t="s">
        <v>492</v>
      </c>
      <c r="H819" s="48">
        <f>IF(NOT(ISBLANK(vlookup(B819,Pop_Census_2023!$A$2:$E$3220,4,FALSE))),vlookup(B819,Pop_Census_2023!$A$2:$E$3220,4,FALSE), vlookup(B819,Pop_Census_2023!$A$2:$E$3220,5,FALSE))</f>
        <v>26399</v>
      </c>
    </row>
    <row r="820">
      <c r="A820" s="47" t="s">
        <v>2513</v>
      </c>
      <c r="B820" s="47">
        <v>18033.0</v>
      </c>
      <c r="C820" s="47">
        <v>5.0</v>
      </c>
      <c r="D820" s="47" t="s">
        <v>4044</v>
      </c>
      <c r="E820" s="47" t="str">
        <f t="shared" si="1"/>
        <v>5A</v>
      </c>
      <c r="F820" s="47" t="s">
        <v>4054</v>
      </c>
      <c r="G820" s="47" t="s">
        <v>127</v>
      </c>
      <c r="H820" s="48">
        <f>IF(NOT(ISBLANK(vlookup(B820,Pop_Census_2023!$A$2:$E$3220,4,FALSE))),vlookup(B820,Pop_Census_2023!$A$2:$E$3220,4,FALSE), vlookup(B820,Pop_Census_2023!$A$2:$E$3220,5,FALSE))</f>
        <v>44198</v>
      </c>
    </row>
    <row r="821">
      <c r="A821" s="47" t="s">
        <v>2513</v>
      </c>
      <c r="B821" s="47">
        <v>18035.0</v>
      </c>
      <c r="C821" s="47">
        <v>5.0</v>
      </c>
      <c r="D821" s="47" t="s">
        <v>4044</v>
      </c>
      <c r="E821" s="47" t="str">
        <f t="shared" si="1"/>
        <v>5A</v>
      </c>
      <c r="F821" s="47" t="s">
        <v>4054</v>
      </c>
      <c r="G821" s="47" t="s">
        <v>405</v>
      </c>
      <c r="H821" s="48">
        <f>IF(NOT(ISBLANK(vlookup(B821,Pop_Census_2023!$A$2:$E$3220,4,FALSE))),vlookup(B821,Pop_Census_2023!$A$2:$E$3220,4,FALSE), vlookup(B821,Pop_Census_2023!$A$2:$E$3220,5,FALSE))</f>
        <v>112321</v>
      </c>
    </row>
    <row r="822">
      <c r="A822" s="47" t="s">
        <v>2513</v>
      </c>
      <c r="B822" s="47">
        <v>18037.0</v>
      </c>
      <c r="C822" s="47">
        <v>4.0</v>
      </c>
      <c r="D822" s="47" t="s">
        <v>4044</v>
      </c>
      <c r="E822" s="47" t="str">
        <f t="shared" si="1"/>
        <v>4A</v>
      </c>
      <c r="F822" s="47" t="s">
        <v>4046</v>
      </c>
      <c r="G822" s="47" t="s">
        <v>669</v>
      </c>
      <c r="H822" s="48">
        <f>IF(NOT(ISBLANK(vlookup(B822,Pop_Census_2023!$A$2:$E$3220,4,FALSE))),vlookup(B822,Pop_Census_2023!$A$2:$E$3220,4,FALSE), vlookup(B822,Pop_Census_2023!$A$2:$E$3220,5,FALSE))</f>
        <v>43546</v>
      </c>
    </row>
    <row r="823">
      <c r="A823" s="47" t="s">
        <v>2513</v>
      </c>
      <c r="B823" s="47">
        <v>18039.0</v>
      </c>
      <c r="C823" s="47">
        <v>5.0</v>
      </c>
      <c r="D823" s="47" t="s">
        <v>4044</v>
      </c>
      <c r="E823" s="47" t="str">
        <f t="shared" si="1"/>
        <v>5A</v>
      </c>
      <c r="F823" s="47" t="s">
        <v>4054</v>
      </c>
      <c r="G823" s="47" t="s">
        <v>670</v>
      </c>
      <c r="H823" s="48">
        <f>IF(NOT(ISBLANK(vlookup(B823,Pop_Census_2023!$A$2:$E$3220,4,FALSE))),vlookup(B823,Pop_Census_2023!$A$2:$E$3220,4,FALSE), vlookup(B823,Pop_Census_2023!$A$2:$E$3220,5,FALSE))</f>
        <v>206409</v>
      </c>
    </row>
    <row r="824">
      <c r="A824" s="47" t="s">
        <v>2513</v>
      </c>
      <c r="B824" s="47">
        <v>18041.0</v>
      </c>
      <c r="C824" s="47">
        <v>5.0</v>
      </c>
      <c r="D824" s="47" t="s">
        <v>4044</v>
      </c>
      <c r="E824" s="47" t="str">
        <f t="shared" si="1"/>
        <v>5A</v>
      </c>
      <c r="F824" s="47" t="s">
        <v>4054</v>
      </c>
      <c r="G824" s="47" t="s">
        <v>131</v>
      </c>
      <c r="H824" s="48">
        <f>IF(NOT(ISBLANK(vlookup(B824,Pop_Census_2023!$A$2:$E$3220,4,FALSE))),vlookup(B824,Pop_Census_2023!$A$2:$E$3220,4,FALSE), vlookup(B824,Pop_Census_2023!$A$2:$E$3220,5,FALSE))</f>
        <v>23362</v>
      </c>
    </row>
    <row r="825">
      <c r="A825" s="47" t="s">
        <v>2513</v>
      </c>
      <c r="B825" s="47">
        <v>18043.0</v>
      </c>
      <c r="C825" s="47">
        <v>4.0</v>
      </c>
      <c r="D825" s="47" t="s">
        <v>4044</v>
      </c>
      <c r="E825" s="47" t="str">
        <f t="shared" si="1"/>
        <v>4A</v>
      </c>
      <c r="F825" s="47" t="s">
        <v>4046</v>
      </c>
      <c r="G825" s="47" t="s">
        <v>502</v>
      </c>
      <c r="H825" s="48">
        <f>IF(NOT(ISBLANK(vlookup(B825,Pop_Census_2023!$A$2:$E$3220,4,FALSE))),vlookup(B825,Pop_Census_2023!$A$2:$E$3220,4,FALSE), vlookup(B825,Pop_Census_2023!$A$2:$E$3220,5,FALSE))</f>
        <v>80809</v>
      </c>
    </row>
    <row r="826">
      <c r="A826" s="47" t="s">
        <v>2513</v>
      </c>
      <c r="B826" s="47">
        <v>18045.0</v>
      </c>
      <c r="C826" s="47">
        <v>5.0</v>
      </c>
      <c r="D826" s="47" t="s">
        <v>4044</v>
      </c>
      <c r="E826" s="47" t="str">
        <f t="shared" si="1"/>
        <v>5A</v>
      </c>
      <c r="F826" s="47" t="s">
        <v>4054</v>
      </c>
      <c r="G826" s="47" t="s">
        <v>671</v>
      </c>
      <c r="H826" s="48">
        <f>IF(NOT(ISBLANK(vlookup(B826,Pop_Census_2023!$A$2:$E$3220,4,FALSE))),vlookup(B826,Pop_Census_2023!$A$2:$E$3220,4,FALSE), vlookup(B826,Pop_Census_2023!$A$2:$E$3220,5,FALSE))</f>
        <v>16731</v>
      </c>
    </row>
    <row r="827">
      <c r="A827" s="47" t="s">
        <v>2513</v>
      </c>
      <c r="B827" s="47">
        <v>18047.0</v>
      </c>
      <c r="C827" s="47">
        <v>5.0</v>
      </c>
      <c r="D827" s="47" t="s">
        <v>4044</v>
      </c>
      <c r="E827" s="47" t="str">
        <f t="shared" si="1"/>
        <v>5A</v>
      </c>
      <c r="F827" s="47" t="s">
        <v>4054</v>
      </c>
      <c r="G827" s="47" t="s">
        <v>132</v>
      </c>
      <c r="H827" s="48">
        <f>IF(NOT(ISBLANK(vlookup(B827,Pop_Census_2023!$A$2:$E$3220,4,FALSE))),vlookup(B827,Pop_Census_2023!$A$2:$E$3220,4,FALSE), vlookup(B827,Pop_Census_2023!$A$2:$E$3220,5,FALSE))</f>
        <v>23096</v>
      </c>
    </row>
    <row r="828">
      <c r="A828" s="47" t="s">
        <v>2513</v>
      </c>
      <c r="B828" s="47">
        <v>18049.0</v>
      </c>
      <c r="C828" s="47">
        <v>5.0</v>
      </c>
      <c r="D828" s="47" t="s">
        <v>4044</v>
      </c>
      <c r="E828" s="47" t="str">
        <f t="shared" si="1"/>
        <v>5A</v>
      </c>
      <c r="F828" s="47" t="s">
        <v>4054</v>
      </c>
      <c r="G828" s="47" t="s">
        <v>240</v>
      </c>
      <c r="H828" s="48">
        <f>IF(NOT(ISBLANK(vlookup(B828,Pop_Census_2023!$A$2:$E$3220,4,FALSE))),vlookup(B828,Pop_Census_2023!$A$2:$E$3220,4,FALSE), vlookup(B828,Pop_Census_2023!$A$2:$E$3220,5,FALSE))</f>
        <v>20358</v>
      </c>
    </row>
    <row r="829">
      <c r="A829" s="47" t="s">
        <v>2513</v>
      </c>
      <c r="B829" s="47">
        <v>18051.0</v>
      </c>
      <c r="C829" s="47">
        <v>4.0</v>
      </c>
      <c r="D829" s="47" t="s">
        <v>4044</v>
      </c>
      <c r="E829" s="47" t="str">
        <f t="shared" si="1"/>
        <v>4A</v>
      </c>
      <c r="F829" s="47" t="s">
        <v>4046</v>
      </c>
      <c r="G829" s="47" t="s">
        <v>672</v>
      </c>
      <c r="H829" s="48">
        <f>IF(NOT(ISBLANK(vlookup(B829,Pop_Census_2023!$A$2:$E$3220,4,FALSE))),vlookup(B829,Pop_Census_2023!$A$2:$E$3220,4,FALSE), vlookup(B829,Pop_Census_2023!$A$2:$E$3220,5,FALSE))</f>
        <v>32904</v>
      </c>
    </row>
    <row r="830">
      <c r="A830" s="47" t="s">
        <v>2513</v>
      </c>
      <c r="B830" s="47">
        <v>18053.0</v>
      </c>
      <c r="C830" s="47">
        <v>5.0</v>
      </c>
      <c r="D830" s="47" t="s">
        <v>4044</v>
      </c>
      <c r="E830" s="47" t="str">
        <f t="shared" si="1"/>
        <v>5A</v>
      </c>
      <c r="F830" s="47" t="s">
        <v>4054</v>
      </c>
      <c r="G830" s="47" t="s">
        <v>242</v>
      </c>
      <c r="H830" s="48">
        <f>IF(NOT(ISBLANK(vlookup(B830,Pop_Census_2023!$A$2:$E$3220,4,FALSE))),vlookup(B830,Pop_Census_2023!$A$2:$E$3220,4,FALSE), vlookup(B830,Pop_Census_2023!$A$2:$E$3220,5,FALSE))</f>
        <v>66200</v>
      </c>
    </row>
    <row r="831">
      <c r="A831" s="47" t="s">
        <v>2513</v>
      </c>
      <c r="B831" s="47">
        <v>18055.0</v>
      </c>
      <c r="C831" s="47">
        <v>4.0</v>
      </c>
      <c r="D831" s="47" t="s">
        <v>4044</v>
      </c>
      <c r="E831" s="47" t="str">
        <f t="shared" si="1"/>
        <v>4A</v>
      </c>
      <c r="F831" s="47" t="s">
        <v>4046</v>
      </c>
      <c r="G831" s="47" t="s">
        <v>134</v>
      </c>
      <c r="H831" s="48">
        <f>IF(NOT(ISBLANK(vlookup(B831,Pop_Census_2023!$A$2:$E$3220,4,FALSE))),vlookup(B831,Pop_Census_2023!$A$2:$E$3220,4,FALSE), vlookup(B831,Pop_Census_2023!$A$2:$E$3220,5,FALSE))</f>
        <v>31196</v>
      </c>
    </row>
    <row r="832">
      <c r="A832" s="47" t="s">
        <v>2513</v>
      </c>
      <c r="B832" s="47">
        <v>18057.0</v>
      </c>
      <c r="C832" s="47">
        <v>5.0</v>
      </c>
      <c r="D832" s="47" t="s">
        <v>4044</v>
      </c>
      <c r="E832" s="47" t="str">
        <f t="shared" si="1"/>
        <v>5A</v>
      </c>
      <c r="F832" s="47" t="s">
        <v>4054</v>
      </c>
      <c r="G832" s="47" t="s">
        <v>428</v>
      </c>
      <c r="H832" s="48">
        <f>IF(NOT(ISBLANK(vlookup(B832,Pop_Census_2023!$A$2:$E$3220,4,FALSE))),vlookup(B832,Pop_Census_2023!$A$2:$E$3220,4,FALSE), vlookup(B832,Pop_Census_2023!$A$2:$E$3220,5,FALSE))</f>
        <v>371645</v>
      </c>
    </row>
    <row r="833">
      <c r="A833" s="47" t="s">
        <v>2513</v>
      </c>
      <c r="B833" s="47">
        <v>18059.0</v>
      </c>
      <c r="C833" s="47">
        <v>5.0</v>
      </c>
      <c r="D833" s="47" t="s">
        <v>4044</v>
      </c>
      <c r="E833" s="47" t="str">
        <f t="shared" si="1"/>
        <v>5A</v>
      </c>
      <c r="F833" s="47" t="s">
        <v>4054</v>
      </c>
      <c r="G833" s="47" t="s">
        <v>512</v>
      </c>
      <c r="H833" s="48">
        <f>IF(NOT(ISBLANK(vlookup(B833,Pop_Census_2023!$A$2:$E$3220,4,FALSE))),vlookup(B833,Pop_Census_2023!$A$2:$E$3220,4,FALSE), vlookup(B833,Pop_Census_2023!$A$2:$E$3220,5,FALSE))</f>
        <v>86166</v>
      </c>
    </row>
    <row r="834">
      <c r="A834" s="47" t="s">
        <v>2513</v>
      </c>
      <c r="B834" s="47">
        <v>18061.0</v>
      </c>
      <c r="C834" s="47">
        <v>4.0</v>
      </c>
      <c r="D834" s="47" t="s">
        <v>4044</v>
      </c>
      <c r="E834" s="47" t="str">
        <f t="shared" si="1"/>
        <v>4A</v>
      </c>
      <c r="F834" s="47" t="s">
        <v>4046</v>
      </c>
      <c r="G834" s="47" t="s">
        <v>673</v>
      </c>
      <c r="H834" s="48">
        <f>IF(NOT(ISBLANK(vlookup(B834,Pop_Census_2023!$A$2:$E$3220,4,FALSE))),vlookup(B834,Pop_Census_2023!$A$2:$E$3220,4,FALSE), vlookup(B834,Pop_Census_2023!$A$2:$E$3220,5,FALSE))</f>
        <v>40006</v>
      </c>
    </row>
    <row r="835">
      <c r="A835" s="47" t="s">
        <v>2513</v>
      </c>
      <c r="B835" s="47">
        <v>18063.0</v>
      </c>
      <c r="C835" s="47">
        <v>5.0</v>
      </c>
      <c r="D835" s="47" t="s">
        <v>4044</v>
      </c>
      <c r="E835" s="47" t="str">
        <f t="shared" si="1"/>
        <v>5A</v>
      </c>
      <c r="F835" s="47" t="s">
        <v>4054</v>
      </c>
      <c r="G835" s="47" t="s">
        <v>674</v>
      </c>
      <c r="H835" s="48">
        <f>IF(NOT(ISBLANK(vlookup(B835,Pop_Census_2023!$A$2:$E$3220,4,FALSE))),vlookup(B835,Pop_Census_2023!$A$2:$E$3220,4,FALSE), vlookup(B835,Pop_Census_2023!$A$2:$E$3220,5,FALSE))</f>
        <v>186387</v>
      </c>
    </row>
    <row r="836">
      <c r="A836" s="47" t="s">
        <v>2513</v>
      </c>
      <c r="B836" s="47">
        <v>18065.0</v>
      </c>
      <c r="C836" s="47">
        <v>5.0</v>
      </c>
      <c r="D836" s="47" t="s">
        <v>4044</v>
      </c>
      <c r="E836" s="47" t="str">
        <f t="shared" si="1"/>
        <v>5A</v>
      </c>
      <c r="F836" s="47" t="s">
        <v>4054</v>
      </c>
      <c r="G836" s="47" t="s">
        <v>136</v>
      </c>
      <c r="H836" s="48">
        <f>IF(NOT(ISBLANK(vlookup(B836,Pop_Census_2023!$A$2:$E$3220,4,FALSE))),vlookup(B836,Pop_Census_2023!$A$2:$E$3220,4,FALSE), vlookup(B836,Pop_Census_2023!$A$2:$E$3220,5,FALSE))</f>
        <v>48929</v>
      </c>
    </row>
    <row r="837">
      <c r="A837" s="47" t="s">
        <v>2513</v>
      </c>
      <c r="B837" s="47">
        <v>18067.0</v>
      </c>
      <c r="C837" s="47">
        <v>5.0</v>
      </c>
      <c r="D837" s="47" t="s">
        <v>4044</v>
      </c>
      <c r="E837" s="47" t="str">
        <f t="shared" si="1"/>
        <v>5A</v>
      </c>
      <c r="F837" s="47" t="s">
        <v>4054</v>
      </c>
      <c r="G837" s="47" t="s">
        <v>245</v>
      </c>
      <c r="H837" s="48">
        <f>IF(NOT(ISBLANK(vlookup(B837,Pop_Census_2023!$A$2:$E$3220,4,FALSE))),vlookup(B837,Pop_Census_2023!$A$2:$E$3220,4,FALSE), vlookup(B837,Pop_Census_2023!$A$2:$E$3220,5,FALSE))</f>
        <v>83831</v>
      </c>
    </row>
    <row r="838">
      <c r="A838" s="47" t="s">
        <v>2513</v>
      </c>
      <c r="B838" s="47">
        <v>18069.0</v>
      </c>
      <c r="C838" s="47">
        <v>5.0</v>
      </c>
      <c r="D838" s="47" t="s">
        <v>4044</v>
      </c>
      <c r="E838" s="47" t="str">
        <f t="shared" si="1"/>
        <v>5A</v>
      </c>
      <c r="F838" s="47" t="s">
        <v>4054</v>
      </c>
      <c r="G838" s="47" t="s">
        <v>675</v>
      </c>
      <c r="H838" s="48">
        <f>IF(NOT(ISBLANK(vlookup(B838,Pop_Census_2023!$A$2:$E$3220,4,FALSE))),vlookup(B838,Pop_Census_2023!$A$2:$E$3220,4,FALSE), vlookup(B838,Pop_Census_2023!$A$2:$E$3220,5,FALSE))</f>
        <v>36781</v>
      </c>
    </row>
    <row r="839">
      <c r="A839" s="47" t="s">
        <v>2513</v>
      </c>
      <c r="B839" s="47">
        <v>18071.0</v>
      </c>
      <c r="C839" s="47">
        <v>4.0</v>
      </c>
      <c r="D839" s="47" t="s">
        <v>4044</v>
      </c>
      <c r="E839" s="47" t="str">
        <f t="shared" si="1"/>
        <v>4A</v>
      </c>
      <c r="F839" s="47" t="s">
        <v>4046</v>
      </c>
      <c r="G839" s="47" t="s">
        <v>138</v>
      </c>
      <c r="H839" s="48">
        <f>IF(NOT(ISBLANK(vlookup(B839,Pop_Census_2023!$A$2:$E$3220,4,FALSE))),vlookup(B839,Pop_Census_2023!$A$2:$E$3220,4,FALSE), vlookup(B839,Pop_Census_2023!$A$2:$E$3220,5,FALSE))</f>
        <v>46460</v>
      </c>
    </row>
    <row r="840">
      <c r="A840" s="47" t="s">
        <v>2513</v>
      </c>
      <c r="B840" s="47">
        <v>18073.0</v>
      </c>
      <c r="C840" s="47">
        <v>5.0</v>
      </c>
      <c r="D840" s="47" t="s">
        <v>4044</v>
      </c>
      <c r="E840" s="47" t="str">
        <f t="shared" si="1"/>
        <v>5A</v>
      </c>
      <c r="F840" s="47" t="s">
        <v>4054</v>
      </c>
      <c r="G840" s="47" t="s">
        <v>518</v>
      </c>
      <c r="H840" s="48">
        <f>IF(NOT(ISBLANK(vlookup(B840,Pop_Census_2023!$A$2:$E$3220,4,FALSE))),vlookup(B840,Pop_Census_2023!$A$2:$E$3220,4,FALSE), vlookup(B840,Pop_Census_2023!$A$2:$E$3220,5,FALSE))</f>
        <v>33535</v>
      </c>
    </row>
    <row r="841">
      <c r="A841" s="47" t="s">
        <v>2513</v>
      </c>
      <c r="B841" s="47">
        <v>18075.0</v>
      </c>
      <c r="C841" s="47">
        <v>5.0</v>
      </c>
      <c r="D841" s="47" t="s">
        <v>4044</v>
      </c>
      <c r="E841" s="47" t="str">
        <f t="shared" si="1"/>
        <v>5A</v>
      </c>
      <c r="F841" s="47" t="s">
        <v>4054</v>
      </c>
      <c r="G841" s="47" t="s">
        <v>676</v>
      </c>
      <c r="H841" s="48">
        <f>IF(NOT(ISBLANK(vlookup(B841,Pop_Census_2023!$A$2:$E$3220,4,FALSE))),vlookup(B841,Pop_Census_2023!$A$2:$E$3220,4,FALSE), vlookup(B841,Pop_Census_2023!$A$2:$E$3220,5,FALSE))</f>
        <v>20032</v>
      </c>
    </row>
    <row r="842">
      <c r="A842" s="47" t="s">
        <v>2513</v>
      </c>
      <c r="B842" s="47">
        <v>18077.0</v>
      </c>
      <c r="C842" s="47">
        <v>4.0</v>
      </c>
      <c r="D842" s="47" t="s">
        <v>4044</v>
      </c>
      <c r="E842" s="47" t="str">
        <f t="shared" si="1"/>
        <v>4A</v>
      </c>
      <c r="F842" s="47" t="s">
        <v>4046</v>
      </c>
      <c r="G842" s="47" t="s">
        <v>139</v>
      </c>
      <c r="H842" s="48">
        <f>IF(NOT(ISBLANK(vlookup(B842,Pop_Census_2023!$A$2:$E$3220,4,FALSE))),vlookup(B842,Pop_Census_2023!$A$2:$E$3220,4,FALSE), vlookup(B842,Pop_Census_2023!$A$2:$E$3220,5,FALSE))</f>
        <v>33056</v>
      </c>
    </row>
    <row r="843">
      <c r="A843" s="47" t="s">
        <v>2513</v>
      </c>
      <c r="B843" s="47">
        <v>18079.0</v>
      </c>
      <c r="C843" s="47">
        <v>4.0</v>
      </c>
      <c r="D843" s="47" t="s">
        <v>4044</v>
      </c>
      <c r="E843" s="47" t="str">
        <f t="shared" si="1"/>
        <v>4A</v>
      </c>
      <c r="F843" s="47" t="s">
        <v>4046</v>
      </c>
      <c r="G843" s="47" t="s">
        <v>677</v>
      </c>
      <c r="H843" s="48">
        <f>IF(NOT(ISBLANK(vlookup(B843,Pop_Census_2023!$A$2:$E$3220,4,FALSE))),vlookup(B843,Pop_Census_2023!$A$2:$E$3220,4,FALSE), vlookup(B843,Pop_Census_2023!$A$2:$E$3220,5,FALSE))</f>
        <v>27622</v>
      </c>
    </row>
    <row r="844">
      <c r="A844" s="47" t="s">
        <v>2513</v>
      </c>
      <c r="B844" s="47">
        <v>18081.0</v>
      </c>
      <c r="C844" s="47">
        <v>5.0</v>
      </c>
      <c r="D844" s="47" t="s">
        <v>4044</v>
      </c>
      <c r="E844" s="47" t="str">
        <f t="shared" si="1"/>
        <v>5A</v>
      </c>
      <c r="F844" s="47" t="s">
        <v>4054</v>
      </c>
      <c r="G844" s="47" t="s">
        <v>248</v>
      </c>
      <c r="H844" s="48">
        <f>IF(NOT(ISBLANK(vlookup(B844,Pop_Census_2023!$A$2:$E$3220,4,FALSE))),vlookup(B844,Pop_Census_2023!$A$2:$E$3220,4,FALSE), vlookup(B844,Pop_Census_2023!$A$2:$E$3220,5,FALSE))</f>
        <v>167819</v>
      </c>
    </row>
    <row r="845">
      <c r="A845" s="47" t="s">
        <v>2513</v>
      </c>
      <c r="B845" s="47">
        <v>18083.0</v>
      </c>
      <c r="C845" s="47">
        <v>4.0</v>
      </c>
      <c r="D845" s="47" t="s">
        <v>4044</v>
      </c>
      <c r="E845" s="47" t="str">
        <f t="shared" si="1"/>
        <v>4A</v>
      </c>
      <c r="F845" s="47" t="s">
        <v>4046</v>
      </c>
      <c r="G845" s="47" t="s">
        <v>634</v>
      </c>
      <c r="H845" s="48">
        <f>IF(NOT(ISBLANK(vlookup(B845,Pop_Census_2023!$A$2:$E$3220,4,FALSE))),vlookup(B845,Pop_Census_2023!$A$2:$E$3220,4,FALSE), vlookup(B845,Pop_Census_2023!$A$2:$E$3220,5,FALSE))</f>
        <v>36070</v>
      </c>
    </row>
    <row r="846">
      <c r="A846" s="47" t="s">
        <v>2513</v>
      </c>
      <c r="B846" s="47">
        <v>18085.0</v>
      </c>
      <c r="C846" s="47">
        <v>5.0</v>
      </c>
      <c r="D846" s="47" t="s">
        <v>4044</v>
      </c>
      <c r="E846" s="47" t="str">
        <f t="shared" si="1"/>
        <v>5A</v>
      </c>
      <c r="F846" s="47" t="s">
        <v>4054</v>
      </c>
      <c r="G846" s="47" t="s">
        <v>678</v>
      </c>
      <c r="H846" s="48">
        <f>IF(NOT(ISBLANK(vlookup(B846,Pop_Census_2023!$A$2:$E$3220,4,FALSE))),vlookup(B846,Pop_Census_2023!$A$2:$E$3220,4,FALSE), vlookup(B846,Pop_Census_2023!$A$2:$E$3220,5,FALSE))</f>
        <v>80364</v>
      </c>
    </row>
    <row r="847">
      <c r="A847" s="47" t="s">
        <v>2513</v>
      </c>
      <c r="B847" s="47">
        <v>18087.0</v>
      </c>
      <c r="C847" s="47">
        <v>5.0</v>
      </c>
      <c r="D847" s="47" t="s">
        <v>4044</v>
      </c>
      <c r="E847" s="47" t="str">
        <f t="shared" si="1"/>
        <v>5A</v>
      </c>
      <c r="F847" s="47" t="s">
        <v>4054</v>
      </c>
      <c r="G847" s="47" t="s">
        <v>679</v>
      </c>
      <c r="H847" s="48">
        <f>IF(NOT(ISBLANK(vlookup(B847,Pop_Census_2023!$A$2:$E$3220,4,FALSE))),vlookup(B847,Pop_Census_2023!$A$2:$E$3220,4,FALSE), vlookup(B847,Pop_Census_2023!$A$2:$E$3220,5,FALSE))</f>
        <v>40907</v>
      </c>
    </row>
    <row r="848">
      <c r="A848" s="47" t="s">
        <v>2513</v>
      </c>
      <c r="B848" s="47">
        <v>18089.0</v>
      </c>
      <c r="C848" s="47">
        <v>5.0</v>
      </c>
      <c r="D848" s="47" t="s">
        <v>4044</v>
      </c>
      <c r="E848" s="47" t="str">
        <f t="shared" si="1"/>
        <v>5A</v>
      </c>
      <c r="F848" s="47" t="s">
        <v>4054</v>
      </c>
      <c r="G848" s="47" t="s">
        <v>298</v>
      </c>
      <c r="H848" s="48">
        <f>IF(NOT(ISBLANK(vlookup(B848,Pop_Census_2023!$A$2:$E$3220,4,FALSE))),vlookup(B848,Pop_Census_2023!$A$2:$E$3220,4,FALSE), vlookup(B848,Pop_Census_2023!$A$2:$E$3220,5,FALSE))</f>
        <v>500598</v>
      </c>
    </row>
    <row r="849">
      <c r="A849" s="47" t="s">
        <v>2513</v>
      </c>
      <c r="B849" s="47">
        <v>18091.0</v>
      </c>
      <c r="C849" s="47">
        <v>5.0</v>
      </c>
      <c r="D849" s="47" t="s">
        <v>4044</v>
      </c>
      <c r="E849" s="47" t="str">
        <f t="shared" si="1"/>
        <v>5A</v>
      </c>
      <c r="F849" s="47" t="s">
        <v>4054</v>
      </c>
      <c r="G849" s="47" t="s">
        <v>680</v>
      </c>
      <c r="H849" s="48">
        <f>IF(NOT(ISBLANK(vlookup(B849,Pop_Census_2023!$A$2:$E$3220,4,FALSE))),vlookup(B849,Pop_Census_2023!$A$2:$E$3220,4,FALSE), vlookup(B849,Pop_Census_2023!$A$2:$E$3220,5,FALSE))</f>
        <v>111706</v>
      </c>
    </row>
    <row r="850">
      <c r="A850" s="47" t="s">
        <v>2513</v>
      </c>
      <c r="B850" s="47">
        <v>18093.0</v>
      </c>
      <c r="C850" s="47">
        <v>4.0</v>
      </c>
      <c r="D850" s="47" t="s">
        <v>4044</v>
      </c>
      <c r="E850" s="47" t="str">
        <f t="shared" si="1"/>
        <v>4A</v>
      </c>
      <c r="F850" s="47" t="s">
        <v>4046</v>
      </c>
      <c r="G850" s="47" t="s">
        <v>142</v>
      </c>
      <c r="H850" s="48">
        <f>IF(NOT(ISBLANK(vlookup(B850,Pop_Census_2023!$A$2:$E$3220,4,FALSE))),vlookup(B850,Pop_Census_2023!$A$2:$E$3220,4,FALSE), vlookup(B850,Pop_Census_2023!$A$2:$E$3220,5,FALSE))</f>
        <v>45084</v>
      </c>
    </row>
    <row r="851">
      <c r="A851" s="47" t="s">
        <v>2513</v>
      </c>
      <c r="B851" s="47">
        <v>18095.0</v>
      </c>
      <c r="C851" s="47">
        <v>5.0</v>
      </c>
      <c r="D851" s="47" t="s">
        <v>4044</v>
      </c>
      <c r="E851" s="47" t="str">
        <f t="shared" si="1"/>
        <v>5A</v>
      </c>
      <c r="F851" s="47" t="s">
        <v>4054</v>
      </c>
      <c r="G851" s="47" t="s">
        <v>147</v>
      </c>
      <c r="H851" s="48">
        <f>IF(NOT(ISBLANK(vlookup(B851,Pop_Census_2023!$A$2:$E$3220,4,FALSE))),vlookup(B851,Pop_Census_2023!$A$2:$E$3220,4,FALSE), vlookup(B851,Pop_Census_2023!$A$2:$E$3220,5,FALSE))</f>
        <v>132504</v>
      </c>
    </row>
    <row r="852">
      <c r="A852" s="47" t="s">
        <v>2513</v>
      </c>
      <c r="B852" s="47">
        <v>18097.0</v>
      </c>
      <c r="C852" s="47">
        <v>5.0</v>
      </c>
      <c r="D852" s="47" t="s">
        <v>4044</v>
      </c>
      <c r="E852" s="47" t="str">
        <f t="shared" si="1"/>
        <v>5A</v>
      </c>
      <c r="F852" s="47" t="s">
        <v>4054</v>
      </c>
      <c r="G852" s="47" t="s">
        <v>149</v>
      </c>
      <c r="H852" s="48">
        <f>IF(NOT(ISBLANK(vlookup(B852,Pop_Census_2023!$A$2:$E$3220,4,FALSE))),vlookup(B852,Pop_Census_2023!$A$2:$E$3220,4,FALSE), vlookup(B852,Pop_Census_2023!$A$2:$E$3220,5,FALSE))</f>
        <v>968460</v>
      </c>
    </row>
    <row r="853">
      <c r="A853" s="47" t="s">
        <v>2513</v>
      </c>
      <c r="B853" s="47">
        <v>18099.0</v>
      </c>
      <c r="C853" s="47">
        <v>5.0</v>
      </c>
      <c r="D853" s="47" t="s">
        <v>4044</v>
      </c>
      <c r="E853" s="47" t="str">
        <f t="shared" si="1"/>
        <v>5A</v>
      </c>
      <c r="F853" s="47" t="s">
        <v>4054</v>
      </c>
      <c r="G853" s="47" t="s">
        <v>150</v>
      </c>
      <c r="H853" s="48">
        <f>IF(NOT(ISBLANK(vlookup(B853,Pop_Census_2023!$A$2:$E$3220,4,FALSE))),vlookup(B853,Pop_Census_2023!$A$2:$E$3220,4,FALSE), vlookup(B853,Pop_Census_2023!$A$2:$E$3220,5,FALSE))</f>
        <v>46352</v>
      </c>
    </row>
    <row r="854">
      <c r="A854" s="47" t="s">
        <v>2513</v>
      </c>
      <c r="B854" s="47">
        <v>18101.0</v>
      </c>
      <c r="C854" s="47">
        <v>4.0</v>
      </c>
      <c r="D854" s="47" t="s">
        <v>4044</v>
      </c>
      <c r="E854" s="47" t="str">
        <f t="shared" si="1"/>
        <v>4A</v>
      </c>
      <c r="F854" s="47" t="s">
        <v>4046</v>
      </c>
      <c r="G854" s="47" t="s">
        <v>440</v>
      </c>
      <c r="H854" s="48">
        <f>IF(NOT(ISBLANK(vlookup(B854,Pop_Census_2023!$A$2:$E$3220,4,FALSE))),vlookup(B854,Pop_Census_2023!$A$2:$E$3220,4,FALSE), vlookup(B854,Pop_Census_2023!$A$2:$E$3220,5,FALSE))</f>
        <v>9897</v>
      </c>
    </row>
    <row r="855">
      <c r="A855" s="47" t="s">
        <v>2513</v>
      </c>
      <c r="B855" s="47">
        <v>18103.0</v>
      </c>
      <c r="C855" s="47">
        <v>5.0</v>
      </c>
      <c r="D855" s="47" t="s">
        <v>4044</v>
      </c>
      <c r="E855" s="47" t="str">
        <f t="shared" si="1"/>
        <v>5A</v>
      </c>
      <c r="F855" s="47" t="s">
        <v>4054</v>
      </c>
      <c r="G855" s="47" t="s">
        <v>681</v>
      </c>
      <c r="H855" s="48">
        <f>IF(NOT(ISBLANK(vlookup(B855,Pop_Census_2023!$A$2:$E$3220,4,FALSE))),vlookup(B855,Pop_Census_2023!$A$2:$E$3220,4,FALSE), vlookup(B855,Pop_Census_2023!$A$2:$E$3220,5,FALSE))</f>
        <v>35402</v>
      </c>
    </row>
    <row r="856">
      <c r="A856" s="47" t="s">
        <v>2513</v>
      </c>
      <c r="B856" s="47">
        <v>18105.0</v>
      </c>
      <c r="C856" s="47">
        <v>4.0</v>
      </c>
      <c r="D856" s="47" t="s">
        <v>4044</v>
      </c>
      <c r="E856" s="47" t="str">
        <f t="shared" si="1"/>
        <v>4A</v>
      </c>
      <c r="F856" s="47" t="s">
        <v>4046</v>
      </c>
      <c r="G856" s="47" t="s">
        <v>152</v>
      </c>
      <c r="H856" s="48">
        <f>IF(NOT(ISBLANK(vlookup(B856,Pop_Census_2023!$A$2:$E$3220,4,FALSE))),vlookup(B856,Pop_Census_2023!$A$2:$E$3220,4,FALSE), vlookup(B856,Pop_Census_2023!$A$2:$E$3220,5,FALSE))</f>
        <v>139342</v>
      </c>
    </row>
    <row r="857">
      <c r="A857" s="47" t="s">
        <v>2513</v>
      </c>
      <c r="B857" s="47">
        <v>18107.0</v>
      </c>
      <c r="C857" s="47">
        <v>5.0</v>
      </c>
      <c r="D857" s="47" t="s">
        <v>4044</v>
      </c>
      <c r="E857" s="47" t="str">
        <f t="shared" si="1"/>
        <v>5A</v>
      </c>
      <c r="F857" s="47" t="s">
        <v>4054</v>
      </c>
      <c r="G857" s="47" t="s">
        <v>153</v>
      </c>
      <c r="H857" s="48">
        <f>IF(NOT(ISBLANK(vlookup(B857,Pop_Census_2023!$A$2:$E$3220,4,FALSE))),vlookup(B857,Pop_Census_2023!$A$2:$E$3220,4,FALSE), vlookup(B857,Pop_Census_2023!$A$2:$E$3220,5,FALSE))</f>
        <v>38573</v>
      </c>
    </row>
    <row r="858">
      <c r="A858" s="47" t="s">
        <v>2513</v>
      </c>
      <c r="B858" s="47">
        <v>18109.0</v>
      </c>
      <c r="C858" s="47">
        <v>5.0</v>
      </c>
      <c r="D858" s="47" t="s">
        <v>4044</v>
      </c>
      <c r="E858" s="47" t="str">
        <f t="shared" si="1"/>
        <v>5A</v>
      </c>
      <c r="F858" s="47" t="s">
        <v>4054</v>
      </c>
      <c r="G858" s="47" t="s">
        <v>154</v>
      </c>
      <c r="H858" s="48">
        <f>IF(NOT(ISBLANK(vlookup(B858,Pop_Census_2023!$A$2:$E$3220,4,FALSE))),vlookup(B858,Pop_Census_2023!$A$2:$E$3220,4,FALSE), vlookup(B858,Pop_Census_2023!$A$2:$E$3220,5,FALSE))</f>
        <v>73227</v>
      </c>
    </row>
    <row r="859">
      <c r="A859" s="47" t="s">
        <v>2513</v>
      </c>
      <c r="B859" s="47">
        <v>18111.0</v>
      </c>
      <c r="C859" s="47">
        <v>5.0</v>
      </c>
      <c r="D859" s="47" t="s">
        <v>4044</v>
      </c>
      <c r="E859" s="47" t="str">
        <f t="shared" si="1"/>
        <v>5A</v>
      </c>
      <c r="F859" s="47" t="s">
        <v>4054</v>
      </c>
      <c r="G859" s="47" t="s">
        <v>257</v>
      </c>
      <c r="H859" s="48">
        <f>IF(NOT(ISBLANK(vlookup(B859,Pop_Census_2023!$A$2:$E$3220,4,FALSE))),vlookup(B859,Pop_Census_2023!$A$2:$E$3220,4,FALSE), vlookup(B859,Pop_Census_2023!$A$2:$E$3220,5,FALSE))</f>
        <v>13960</v>
      </c>
    </row>
    <row r="860">
      <c r="A860" s="47" t="s">
        <v>2513</v>
      </c>
      <c r="B860" s="47">
        <v>18113.0</v>
      </c>
      <c r="C860" s="47">
        <v>5.0</v>
      </c>
      <c r="D860" s="47" t="s">
        <v>4044</v>
      </c>
      <c r="E860" s="47" t="str">
        <f t="shared" si="1"/>
        <v>5A</v>
      </c>
      <c r="F860" s="47" t="s">
        <v>4054</v>
      </c>
      <c r="G860" s="47" t="s">
        <v>682</v>
      </c>
      <c r="H860" s="48">
        <f>IF(NOT(ISBLANK(vlookup(B860,Pop_Census_2023!$A$2:$E$3220,4,FALSE))),vlookup(B860,Pop_Census_2023!$A$2:$E$3220,4,FALSE), vlookup(B860,Pop_Census_2023!$A$2:$E$3220,5,FALSE))</f>
        <v>47430</v>
      </c>
    </row>
    <row r="861">
      <c r="A861" s="47" t="s">
        <v>2513</v>
      </c>
      <c r="B861" s="47">
        <v>18115.0</v>
      </c>
      <c r="C861" s="47">
        <v>4.0</v>
      </c>
      <c r="D861" s="47" t="s">
        <v>4044</v>
      </c>
      <c r="E861" s="47" t="str">
        <f t="shared" si="1"/>
        <v>4A</v>
      </c>
      <c r="F861" s="47" t="s">
        <v>4046</v>
      </c>
      <c r="G861" s="47" t="s">
        <v>683</v>
      </c>
      <c r="H861" s="48">
        <f>IF(NOT(ISBLANK(vlookup(B861,Pop_Census_2023!$A$2:$E$3220,4,FALSE))),vlookup(B861,Pop_Census_2023!$A$2:$E$3220,4,FALSE), vlookup(B861,Pop_Census_2023!$A$2:$E$3220,5,FALSE))</f>
        <v>6004</v>
      </c>
    </row>
    <row r="862">
      <c r="A862" s="47" t="s">
        <v>2513</v>
      </c>
      <c r="B862" s="47">
        <v>18117.0</v>
      </c>
      <c r="C862" s="47">
        <v>4.0</v>
      </c>
      <c r="D862" s="47" t="s">
        <v>4044</v>
      </c>
      <c r="E862" s="47" t="str">
        <f t="shared" si="1"/>
        <v>4A</v>
      </c>
      <c r="F862" s="47" t="s">
        <v>4046</v>
      </c>
      <c r="G862" s="47" t="s">
        <v>310</v>
      </c>
      <c r="H862" s="48">
        <f>IF(NOT(ISBLANK(vlookup(B862,Pop_Census_2023!$A$2:$E$3220,4,FALSE))),vlookup(B862,Pop_Census_2023!$A$2:$E$3220,4,FALSE), vlookup(B862,Pop_Census_2023!$A$2:$E$3220,5,FALSE))</f>
        <v>19638</v>
      </c>
    </row>
    <row r="863">
      <c r="A863" s="47" t="s">
        <v>2513</v>
      </c>
      <c r="B863" s="47">
        <v>18119.0</v>
      </c>
      <c r="C863" s="47">
        <v>5.0</v>
      </c>
      <c r="D863" s="47" t="s">
        <v>4044</v>
      </c>
      <c r="E863" s="47" t="str">
        <f t="shared" si="1"/>
        <v>5A</v>
      </c>
      <c r="F863" s="47" t="s">
        <v>4054</v>
      </c>
      <c r="G863" s="47" t="s">
        <v>684</v>
      </c>
      <c r="H863" s="48">
        <f>IF(NOT(ISBLANK(vlookup(B863,Pop_Census_2023!$A$2:$E$3220,4,FALSE))),vlookup(B863,Pop_Census_2023!$A$2:$E$3220,4,FALSE), vlookup(B863,Pop_Census_2023!$A$2:$E$3220,5,FALSE))</f>
        <v>21532</v>
      </c>
    </row>
    <row r="864">
      <c r="A864" s="47" t="s">
        <v>2513</v>
      </c>
      <c r="B864" s="47">
        <v>18121.0</v>
      </c>
      <c r="C864" s="47">
        <v>5.0</v>
      </c>
      <c r="D864" s="47" t="s">
        <v>4044</v>
      </c>
      <c r="E864" s="47" t="str">
        <f t="shared" si="1"/>
        <v>5A</v>
      </c>
      <c r="F864" s="47" t="s">
        <v>4054</v>
      </c>
      <c r="G864" s="47" t="s">
        <v>685</v>
      </c>
      <c r="H864" s="48">
        <f>IF(NOT(ISBLANK(vlookup(B864,Pop_Census_2023!$A$2:$E$3220,4,FALSE))),vlookup(B864,Pop_Census_2023!$A$2:$E$3220,4,FALSE), vlookup(B864,Pop_Census_2023!$A$2:$E$3220,5,FALSE))</f>
        <v>16484</v>
      </c>
    </row>
    <row r="865">
      <c r="A865" s="47" t="s">
        <v>2513</v>
      </c>
      <c r="B865" s="47">
        <v>18123.0</v>
      </c>
      <c r="C865" s="47">
        <v>4.0</v>
      </c>
      <c r="D865" s="47" t="s">
        <v>4044</v>
      </c>
      <c r="E865" s="47" t="str">
        <f t="shared" si="1"/>
        <v>4A</v>
      </c>
      <c r="F865" s="47" t="s">
        <v>4046</v>
      </c>
      <c r="G865" s="47" t="s">
        <v>155</v>
      </c>
      <c r="H865" s="48">
        <f>IF(NOT(ISBLANK(vlookup(B865,Pop_Census_2023!$A$2:$E$3220,4,FALSE))),vlookup(B865,Pop_Census_2023!$A$2:$E$3220,4,FALSE), vlookup(B865,Pop_Census_2023!$A$2:$E$3220,5,FALSE))</f>
        <v>19209</v>
      </c>
    </row>
    <row r="866">
      <c r="A866" s="47" t="s">
        <v>2513</v>
      </c>
      <c r="B866" s="47">
        <v>18125.0</v>
      </c>
      <c r="C866" s="47">
        <v>4.0</v>
      </c>
      <c r="D866" s="47" t="s">
        <v>4044</v>
      </c>
      <c r="E866" s="47" t="str">
        <f t="shared" si="1"/>
        <v>4A</v>
      </c>
      <c r="F866" s="47" t="s">
        <v>4046</v>
      </c>
      <c r="G866" s="47" t="s">
        <v>157</v>
      </c>
      <c r="H866" s="48">
        <f>IF(NOT(ISBLANK(vlookup(B866,Pop_Census_2023!$A$2:$E$3220,4,FALSE))),vlookup(B866,Pop_Census_2023!$A$2:$E$3220,4,FALSE), vlookup(B866,Pop_Census_2023!$A$2:$E$3220,5,FALSE))</f>
        <v>12106</v>
      </c>
    </row>
    <row r="867">
      <c r="A867" s="47" t="s">
        <v>2513</v>
      </c>
      <c r="B867" s="47">
        <v>18127.0</v>
      </c>
      <c r="C867" s="47">
        <v>5.0</v>
      </c>
      <c r="D867" s="47" t="s">
        <v>4044</v>
      </c>
      <c r="E867" s="47" t="str">
        <f t="shared" si="1"/>
        <v>5A</v>
      </c>
      <c r="F867" s="47" t="s">
        <v>4054</v>
      </c>
      <c r="G867" s="47" t="s">
        <v>686</v>
      </c>
      <c r="H867" s="48">
        <f>IF(NOT(ISBLANK(vlookup(B867,Pop_Census_2023!$A$2:$E$3220,4,FALSE))),vlookup(B867,Pop_Census_2023!$A$2:$E$3220,4,FALSE), vlookup(B867,Pop_Census_2023!$A$2:$E$3220,5,FALSE))</f>
        <v>175335</v>
      </c>
    </row>
    <row r="868">
      <c r="A868" s="47" t="s">
        <v>2513</v>
      </c>
      <c r="B868" s="47">
        <v>18129.0</v>
      </c>
      <c r="C868" s="47">
        <v>4.0</v>
      </c>
      <c r="D868" s="47" t="s">
        <v>4044</v>
      </c>
      <c r="E868" s="47" t="str">
        <f t="shared" si="1"/>
        <v>4A</v>
      </c>
      <c r="F868" s="47" t="s">
        <v>4046</v>
      </c>
      <c r="G868" s="47" t="s">
        <v>687</v>
      </c>
      <c r="H868" s="48">
        <f>IF(NOT(ISBLANK(vlookup(B868,Pop_Census_2023!$A$2:$E$3220,4,FALSE))),vlookup(B868,Pop_Census_2023!$A$2:$E$3220,4,FALSE), vlookup(B868,Pop_Census_2023!$A$2:$E$3220,5,FALSE))</f>
        <v>25040</v>
      </c>
    </row>
    <row r="869">
      <c r="A869" s="47" t="s">
        <v>2513</v>
      </c>
      <c r="B869" s="47">
        <v>18131.0</v>
      </c>
      <c r="C869" s="47">
        <v>5.0</v>
      </c>
      <c r="D869" s="47" t="s">
        <v>4044</v>
      </c>
      <c r="E869" s="47" t="str">
        <f t="shared" si="1"/>
        <v>5A</v>
      </c>
      <c r="F869" s="47" t="s">
        <v>4054</v>
      </c>
      <c r="G869" s="47" t="s">
        <v>264</v>
      </c>
      <c r="H869" s="48">
        <f>IF(NOT(ISBLANK(vlookup(B869,Pop_Census_2023!$A$2:$E$3220,4,FALSE))),vlookup(B869,Pop_Census_2023!$A$2:$E$3220,4,FALSE), vlookup(B869,Pop_Census_2023!$A$2:$E$3220,5,FALSE))</f>
        <v>12385</v>
      </c>
    </row>
    <row r="870">
      <c r="A870" s="47" t="s">
        <v>2513</v>
      </c>
      <c r="B870" s="47">
        <v>18133.0</v>
      </c>
      <c r="C870" s="47">
        <v>5.0</v>
      </c>
      <c r="D870" s="47" t="s">
        <v>4044</v>
      </c>
      <c r="E870" s="47" t="str">
        <f t="shared" si="1"/>
        <v>5A</v>
      </c>
      <c r="F870" s="47" t="s">
        <v>4054</v>
      </c>
      <c r="G870" s="47" t="s">
        <v>449</v>
      </c>
      <c r="H870" s="48">
        <f>IF(NOT(ISBLANK(vlookup(B870,Pop_Census_2023!$A$2:$E$3220,4,FALSE))),vlookup(B870,Pop_Census_2023!$A$2:$E$3220,4,FALSE), vlookup(B870,Pop_Census_2023!$A$2:$E$3220,5,FALSE))</f>
        <v>37567</v>
      </c>
    </row>
    <row r="871">
      <c r="A871" s="47" t="s">
        <v>2513</v>
      </c>
      <c r="B871" s="47">
        <v>18135.0</v>
      </c>
      <c r="C871" s="47">
        <v>5.0</v>
      </c>
      <c r="D871" s="47" t="s">
        <v>4044</v>
      </c>
      <c r="E871" s="47" t="str">
        <f t="shared" si="1"/>
        <v>5A</v>
      </c>
      <c r="F871" s="47" t="s">
        <v>4054</v>
      </c>
      <c r="G871" s="47" t="s">
        <v>158</v>
      </c>
      <c r="H871" s="48">
        <f>IF(NOT(ISBLANK(vlookup(B871,Pop_Census_2023!$A$2:$E$3220,4,FALSE))),vlookup(B871,Pop_Census_2023!$A$2:$E$3220,4,FALSE), vlookup(B871,Pop_Census_2023!$A$2:$E$3220,5,FALSE))</f>
        <v>24216</v>
      </c>
    </row>
    <row r="872">
      <c r="A872" s="47" t="s">
        <v>2513</v>
      </c>
      <c r="B872" s="47">
        <v>18137.0</v>
      </c>
      <c r="C872" s="47">
        <v>4.0</v>
      </c>
      <c r="D872" s="47" t="s">
        <v>4044</v>
      </c>
      <c r="E872" s="47" t="str">
        <f t="shared" si="1"/>
        <v>4A</v>
      </c>
      <c r="F872" s="47" t="s">
        <v>4046</v>
      </c>
      <c r="G872" s="47" t="s">
        <v>688</v>
      </c>
      <c r="H872" s="48">
        <f>IF(NOT(ISBLANK(vlookup(B872,Pop_Census_2023!$A$2:$E$3220,4,FALSE))),vlookup(B872,Pop_Census_2023!$A$2:$E$3220,4,FALSE), vlookup(B872,Pop_Census_2023!$A$2:$E$3220,5,FALSE))</f>
        <v>29227</v>
      </c>
    </row>
    <row r="873">
      <c r="A873" s="47" t="s">
        <v>2513</v>
      </c>
      <c r="B873" s="47">
        <v>18139.0</v>
      </c>
      <c r="C873" s="47">
        <v>5.0</v>
      </c>
      <c r="D873" s="47" t="s">
        <v>4044</v>
      </c>
      <c r="E873" s="47" t="str">
        <f t="shared" si="1"/>
        <v>5A</v>
      </c>
      <c r="F873" s="47" t="s">
        <v>4054</v>
      </c>
      <c r="G873" s="47" t="s">
        <v>689</v>
      </c>
      <c r="H873" s="48">
        <f>IF(NOT(ISBLANK(vlookup(B873,Pop_Census_2023!$A$2:$E$3220,4,FALSE))),vlookup(B873,Pop_Census_2023!$A$2:$E$3220,4,FALSE), vlookup(B873,Pop_Census_2023!$A$2:$E$3220,5,FALSE))</f>
        <v>16847</v>
      </c>
    </row>
    <row r="874">
      <c r="A874" s="47" t="s">
        <v>2513</v>
      </c>
      <c r="B874" s="47">
        <v>18143.0</v>
      </c>
      <c r="C874" s="47">
        <v>4.0</v>
      </c>
      <c r="D874" s="47" t="s">
        <v>4044</v>
      </c>
      <c r="E874" s="47" t="str">
        <f t="shared" si="1"/>
        <v>4A</v>
      </c>
      <c r="F874" s="47" t="s">
        <v>4046</v>
      </c>
      <c r="G874" s="47" t="s">
        <v>267</v>
      </c>
      <c r="H874" s="48">
        <f>IF(NOT(ISBLANK(vlookup(B874,Pop_Census_2023!$A$2:$E$3220,4,FALSE))),vlookup(B874,Pop_Census_2023!$A$2:$E$3220,4,FALSE), vlookup(B874,Pop_Census_2023!$A$2:$E$3220,5,FALSE))</f>
        <v>24657</v>
      </c>
    </row>
    <row r="875">
      <c r="A875" s="47" t="s">
        <v>2513</v>
      </c>
      <c r="B875" s="47">
        <v>18145.0</v>
      </c>
      <c r="C875" s="47">
        <v>5.0</v>
      </c>
      <c r="D875" s="47" t="s">
        <v>4044</v>
      </c>
      <c r="E875" s="47" t="str">
        <f t="shared" si="1"/>
        <v>5A</v>
      </c>
      <c r="F875" s="47" t="s">
        <v>4054</v>
      </c>
      <c r="G875" s="47" t="s">
        <v>161</v>
      </c>
      <c r="H875" s="48">
        <f>IF(NOT(ISBLANK(vlookup(B875,Pop_Census_2023!$A$2:$E$3220,4,FALSE))),vlookup(B875,Pop_Census_2023!$A$2:$E$3220,4,FALSE), vlookup(B875,Pop_Census_2023!$A$2:$E$3220,5,FALSE))</f>
        <v>45231</v>
      </c>
    </row>
    <row r="876">
      <c r="A876" s="47" t="s">
        <v>2513</v>
      </c>
      <c r="B876" s="47">
        <v>18147.0</v>
      </c>
      <c r="C876" s="47">
        <v>4.0</v>
      </c>
      <c r="D876" s="47" t="s">
        <v>4044</v>
      </c>
      <c r="E876" s="47" t="str">
        <f t="shared" si="1"/>
        <v>4A</v>
      </c>
      <c r="F876" s="47" t="s">
        <v>4046</v>
      </c>
      <c r="G876" s="47" t="s">
        <v>691</v>
      </c>
      <c r="H876" s="48">
        <f>IF(NOT(ISBLANK(vlookup(B876,Pop_Census_2023!$A$2:$E$3220,4,FALSE))),vlookup(B876,Pop_Census_2023!$A$2:$E$3220,4,FALSE), vlookup(B876,Pop_Census_2023!$A$2:$E$3220,5,FALSE))</f>
        <v>19910</v>
      </c>
    </row>
    <row r="877">
      <c r="A877" s="47" t="s">
        <v>2513</v>
      </c>
      <c r="B877" s="47">
        <v>18141.0</v>
      </c>
      <c r="C877" s="47">
        <v>5.0</v>
      </c>
      <c r="D877" s="47" t="s">
        <v>4044</v>
      </c>
      <c r="E877" s="47" t="str">
        <f t="shared" si="1"/>
        <v>5A</v>
      </c>
      <c r="F877" s="47" t="s">
        <v>4054</v>
      </c>
      <c r="G877" s="47" t="s">
        <v>690</v>
      </c>
      <c r="H877" s="48">
        <f>IF(NOT(ISBLANK(vlookup(B877,Pop_Census_2023!$A$2:$E$3220,4,FALSE))),vlookup(B877,Pop_Census_2023!$A$2:$E$3220,4,FALSE), vlookup(B877,Pop_Census_2023!$A$2:$E$3220,5,FALSE))</f>
        <v>272848</v>
      </c>
    </row>
    <row r="878">
      <c r="A878" s="47" t="s">
        <v>2513</v>
      </c>
      <c r="B878" s="47">
        <v>18149.0</v>
      </c>
      <c r="C878" s="47">
        <v>5.0</v>
      </c>
      <c r="D878" s="47" t="s">
        <v>4044</v>
      </c>
      <c r="E878" s="47" t="str">
        <f t="shared" si="1"/>
        <v>5A</v>
      </c>
      <c r="F878" s="47" t="s">
        <v>4054</v>
      </c>
      <c r="G878" s="47" t="s">
        <v>692</v>
      </c>
      <c r="H878" s="48">
        <f>IF(NOT(ISBLANK(vlookup(B878,Pop_Census_2023!$A$2:$E$3220,4,FALSE))),vlookup(B878,Pop_Census_2023!$A$2:$E$3220,4,FALSE), vlookup(B878,Pop_Census_2023!$A$2:$E$3220,5,FALSE))</f>
        <v>23206</v>
      </c>
    </row>
    <row r="879">
      <c r="A879" s="47" t="s">
        <v>2513</v>
      </c>
      <c r="B879" s="47">
        <v>18151.0</v>
      </c>
      <c r="C879" s="47">
        <v>5.0</v>
      </c>
      <c r="D879" s="47" t="s">
        <v>4044</v>
      </c>
      <c r="E879" s="47" t="str">
        <f t="shared" si="1"/>
        <v>5A</v>
      </c>
      <c r="F879" s="47" t="s">
        <v>4054</v>
      </c>
      <c r="G879" s="47" t="s">
        <v>693</v>
      </c>
      <c r="H879" s="48">
        <f>IF(NOT(ISBLANK(vlookup(B879,Pop_Census_2023!$A$2:$E$3220,4,FALSE))),vlookup(B879,Pop_Census_2023!$A$2:$E$3220,4,FALSE), vlookup(B879,Pop_Census_2023!$A$2:$E$3220,5,FALSE))</f>
        <v>34917</v>
      </c>
    </row>
    <row r="880">
      <c r="A880" s="47" t="s">
        <v>2513</v>
      </c>
      <c r="B880" s="47">
        <v>18153.0</v>
      </c>
      <c r="C880" s="47">
        <v>4.0</v>
      </c>
      <c r="D880" s="47" t="s">
        <v>4044</v>
      </c>
      <c r="E880" s="47" t="str">
        <f t="shared" si="1"/>
        <v>4A</v>
      </c>
      <c r="F880" s="47" t="s">
        <v>4046</v>
      </c>
      <c r="G880" s="47" t="s">
        <v>694</v>
      </c>
      <c r="H880" s="48">
        <f>IF(NOT(ISBLANK(vlookup(B880,Pop_Census_2023!$A$2:$E$3220,4,FALSE))),vlookup(B880,Pop_Census_2023!$A$2:$E$3220,4,FALSE), vlookup(B880,Pop_Census_2023!$A$2:$E$3220,5,FALSE))</f>
        <v>20757</v>
      </c>
    </row>
    <row r="881">
      <c r="A881" s="47" t="s">
        <v>2513</v>
      </c>
      <c r="B881" s="47">
        <v>18155.0</v>
      </c>
      <c r="C881" s="47">
        <v>4.0</v>
      </c>
      <c r="D881" s="47" t="s">
        <v>4044</v>
      </c>
      <c r="E881" s="47" t="str">
        <f t="shared" si="1"/>
        <v>4A</v>
      </c>
      <c r="F881" s="47" t="s">
        <v>4046</v>
      </c>
      <c r="G881" s="47" t="s">
        <v>695</v>
      </c>
      <c r="H881" s="48">
        <f>IF(NOT(ISBLANK(vlookup(B881,Pop_Census_2023!$A$2:$E$3220,4,FALSE))),vlookup(B881,Pop_Census_2023!$A$2:$E$3220,4,FALSE), vlookup(B881,Pop_Census_2023!$A$2:$E$3220,5,FALSE))</f>
        <v>10019</v>
      </c>
    </row>
    <row r="882">
      <c r="A882" s="47" t="s">
        <v>2513</v>
      </c>
      <c r="B882" s="47">
        <v>18157.0</v>
      </c>
      <c r="C882" s="47">
        <v>5.0</v>
      </c>
      <c r="D882" s="47" t="s">
        <v>4044</v>
      </c>
      <c r="E882" s="47" t="str">
        <f t="shared" si="1"/>
        <v>5A</v>
      </c>
      <c r="F882" s="47" t="s">
        <v>4054</v>
      </c>
      <c r="G882" s="47" t="s">
        <v>696</v>
      </c>
      <c r="H882" s="48">
        <f>IF(NOT(ISBLANK(vlookup(B882,Pop_Census_2023!$A$2:$E$3220,4,FALSE))),vlookup(B882,Pop_Census_2023!$A$2:$E$3220,4,FALSE), vlookup(B882,Pop_Census_2023!$A$2:$E$3220,5,FALSE))</f>
        <v>188792</v>
      </c>
    </row>
    <row r="883">
      <c r="A883" s="47" t="s">
        <v>2513</v>
      </c>
      <c r="B883" s="47">
        <v>18159.0</v>
      </c>
      <c r="C883" s="47">
        <v>5.0</v>
      </c>
      <c r="D883" s="47" t="s">
        <v>4044</v>
      </c>
      <c r="E883" s="47" t="str">
        <f t="shared" si="1"/>
        <v>5A</v>
      </c>
      <c r="F883" s="47" t="s">
        <v>4054</v>
      </c>
      <c r="G883" s="47" t="s">
        <v>697</v>
      </c>
      <c r="H883" s="48">
        <f>IF(NOT(ISBLANK(vlookup(B883,Pop_Census_2023!$A$2:$E$3220,4,FALSE))),vlookup(B883,Pop_Census_2023!$A$2:$E$3220,4,FALSE), vlookup(B883,Pop_Census_2023!$A$2:$E$3220,5,FALSE))</f>
        <v>15256</v>
      </c>
    </row>
    <row r="884">
      <c r="A884" s="47" t="s">
        <v>2513</v>
      </c>
      <c r="B884" s="47">
        <v>18161.0</v>
      </c>
      <c r="C884" s="47">
        <v>5.0</v>
      </c>
      <c r="D884" s="47" t="s">
        <v>4044</v>
      </c>
      <c r="E884" s="47" t="str">
        <f t="shared" si="1"/>
        <v>5A</v>
      </c>
      <c r="F884" s="47" t="s">
        <v>4054</v>
      </c>
      <c r="G884" s="47" t="s">
        <v>273</v>
      </c>
      <c r="H884" s="48">
        <f>IF(NOT(ISBLANK(vlookup(B884,Pop_Census_2023!$A$2:$E$3220,4,FALSE))),vlookup(B884,Pop_Census_2023!$A$2:$E$3220,4,FALSE), vlookup(B884,Pop_Census_2023!$A$2:$E$3220,5,FALSE))</f>
        <v>6973</v>
      </c>
    </row>
    <row r="885">
      <c r="A885" s="47" t="s">
        <v>2513</v>
      </c>
      <c r="B885" s="47">
        <v>18163.0</v>
      </c>
      <c r="C885" s="47">
        <v>4.0</v>
      </c>
      <c r="D885" s="47" t="s">
        <v>4044</v>
      </c>
      <c r="E885" s="47" t="str">
        <f t="shared" si="1"/>
        <v>4A</v>
      </c>
      <c r="F885" s="47" t="s">
        <v>4046</v>
      </c>
      <c r="G885" s="47" t="s">
        <v>698</v>
      </c>
      <c r="H885" s="48">
        <f>IF(NOT(ISBLANK(vlookup(B885,Pop_Census_2023!$A$2:$E$3220,4,FALSE))),vlookup(B885,Pop_Census_2023!$A$2:$E$3220,4,FALSE), vlookup(B885,Pop_Census_2023!$A$2:$E$3220,5,FALSE))</f>
        <v>179810</v>
      </c>
    </row>
    <row r="886">
      <c r="A886" s="47" t="s">
        <v>2513</v>
      </c>
      <c r="B886" s="47">
        <v>18165.0</v>
      </c>
      <c r="C886" s="47">
        <v>5.0</v>
      </c>
      <c r="D886" s="47" t="s">
        <v>4044</v>
      </c>
      <c r="E886" s="47" t="str">
        <f t="shared" si="1"/>
        <v>5A</v>
      </c>
      <c r="F886" s="47" t="s">
        <v>4054</v>
      </c>
      <c r="G886" s="47" t="s">
        <v>699</v>
      </c>
      <c r="H886" s="48">
        <f>IF(NOT(ISBLANK(vlookup(B886,Pop_Census_2023!$A$2:$E$3220,4,FALSE))),vlookup(B886,Pop_Census_2023!$A$2:$E$3220,4,FALSE), vlookup(B886,Pop_Census_2023!$A$2:$E$3220,5,FALSE))</f>
        <v>15417</v>
      </c>
    </row>
    <row r="887">
      <c r="A887" s="47" t="s">
        <v>2513</v>
      </c>
      <c r="B887" s="47">
        <v>18167.0</v>
      </c>
      <c r="C887" s="47">
        <v>5.0</v>
      </c>
      <c r="D887" s="47" t="s">
        <v>4044</v>
      </c>
      <c r="E887" s="47" t="str">
        <f t="shared" si="1"/>
        <v>5A</v>
      </c>
      <c r="F887" s="47" t="s">
        <v>4054</v>
      </c>
      <c r="G887" s="47" t="s">
        <v>700</v>
      </c>
      <c r="H887" s="48">
        <f>IF(NOT(ISBLANK(vlookup(B887,Pop_Census_2023!$A$2:$E$3220,4,FALSE))),vlookup(B887,Pop_Census_2023!$A$2:$E$3220,4,FALSE), vlookup(B887,Pop_Census_2023!$A$2:$E$3220,5,FALSE))</f>
        <v>106153</v>
      </c>
    </row>
    <row r="888">
      <c r="A888" s="47" t="s">
        <v>2513</v>
      </c>
      <c r="B888" s="47">
        <v>18169.0</v>
      </c>
      <c r="C888" s="47">
        <v>5.0</v>
      </c>
      <c r="D888" s="47" t="s">
        <v>4044</v>
      </c>
      <c r="E888" s="47" t="str">
        <f t="shared" si="1"/>
        <v>5A</v>
      </c>
      <c r="F888" s="47" t="s">
        <v>4054</v>
      </c>
      <c r="G888" s="47" t="s">
        <v>657</v>
      </c>
      <c r="H888" s="48">
        <f>IF(NOT(ISBLANK(vlookup(B888,Pop_Census_2023!$A$2:$E$3220,4,FALSE))),vlookup(B888,Pop_Census_2023!$A$2:$E$3220,4,FALSE), vlookup(B888,Pop_Census_2023!$A$2:$E$3220,5,FALSE))</f>
        <v>30670</v>
      </c>
    </row>
    <row r="889">
      <c r="A889" s="47" t="s">
        <v>2513</v>
      </c>
      <c r="B889" s="47">
        <v>18171.0</v>
      </c>
      <c r="C889" s="47">
        <v>5.0</v>
      </c>
      <c r="D889" s="47" t="s">
        <v>4044</v>
      </c>
      <c r="E889" s="47" t="str">
        <f t="shared" si="1"/>
        <v>5A</v>
      </c>
      <c r="F889" s="47" t="s">
        <v>4054</v>
      </c>
      <c r="G889" s="47" t="s">
        <v>561</v>
      </c>
      <c r="H889" s="48">
        <f>IF(NOT(ISBLANK(vlookup(B889,Pop_Census_2023!$A$2:$E$3220,4,FALSE))),vlookup(B889,Pop_Census_2023!$A$2:$E$3220,4,FALSE), vlookup(B889,Pop_Census_2023!$A$2:$E$3220,5,FALSE))</f>
        <v>8518</v>
      </c>
    </row>
    <row r="890">
      <c r="A890" s="47" t="s">
        <v>2513</v>
      </c>
      <c r="B890" s="47">
        <v>18173.0</v>
      </c>
      <c r="C890" s="47">
        <v>4.0</v>
      </c>
      <c r="D890" s="47" t="s">
        <v>4044</v>
      </c>
      <c r="E890" s="47" t="str">
        <f t="shared" si="1"/>
        <v>4A</v>
      </c>
      <c r="F890" s="47" t="s">
        <v>4046</v>
      </c>
      <c r="G890" s="47" t="s">
        <v>701</v>
      </c>
      <c r="H890" s="48">
        <f>IF(NOT(ISBLANK(vlookup(B890,Pop_Census_2023!$A$2:$E$3220,4,FALSE))),vlookup(B890,Pop_Census_2023!$A$2:$E$3220,4,FALSE), vlookup(B890,Pop_Census_2023!$A$2:$E$3220,5,FALSE))</f>
        <v>65867</v>
      </c>
    </row>
    <row r="891">
      <c r="A891" s="47" t="s">
        <v>2513</v>
      </c>
      <c r="B891" s="47">
        <v>18175.0</v>
      </c>
      <c r="C891" s="47">
        <v>4.0</v>
      </c>
      <c r="D891" s="47" t="s">
        <v>4044</v>
      </c>
      <c r="E891" s="47" t="str">
        <f t="shared" si="1"/>
        <v>4A</v>
      </c>
      <c r="F891" s="47" t="s">
        <v>4046</v>
      </c>
      <c r="G891" s="47" t="s">
        <v>167</v>
      </c>
      <c r="H891" s="48">
        <f>IF(NOT(ISBLANK(vlookup(B891,Pop_Census_2023!$A$2:$E$3220,4,FALSE))),vlookup(B891,Pop_Census_2023!$A$2:$E$3220,4,FALSE), vlookup(B891,Pop_Census_2023!$A$2:$E$3220,5,FALSE))</f>
        <v>28205</v>
      </c>
    </row>
    <row r="892">
      <c r="A892" s="47" t="s">
        <v>2513</v>
      </c>
      <c r="B892" s="47">
        <v>18177.0</v>
      </c>
      <c r="C892" s="47">
        <v>5.0</v>
      </c>
      <c r="D892" s="47" t="s">
        <v>4044</v>
      </c>
      <c r="E892" s="47" t="str">
        <f t="shared" si="1"/>
        <v>5A</v>
      </c>
      <c r="F892" s="47" t="s">
        <v>4054</v>
      </c>
      <c r="G892" s="47" t="s">
        <v>562</v>
      </c>
      <c r="H892" s="48">
        <f>IF(NOT(ISBLANK(vlookup(B892,Pop_Census_2023!$A$2:$E$3220,4,FALSE))),vlookup(B892,Pop_Census_2023!$A$2:$E$3220,4,FALSE), vlookup(B892,Pop_Census_2023!$A$2:$E$3220,5,FALSE))</f>
        <v>66127</v>
      </c>
    </row>
    <row r="893">
      <c r="A893" s="47" t="s">
        <v>2513</v>
      </c>
      <c r="B893" s="47">
        <v>18179.0</v>
      </c>
      <c r="C893" s="47">
        <v>5.0</v>
      </c>
      <c r="D893" s="47" t="s">
        <v>4044</v>
      </c>
      <c r="E893" s="47" t="str">
        <f t="shared" si="1"/>
        <v>5A</v>
      </c>
      <c r="F893" s="47" t="s">
        <v>4054</v>
      </c>
      <c r="G893" s="47" t="s">
        <v>702</v>
      </c>
      <c r="H893" s="48">
        <f>IF(NOT(ISBLANK(vlookup(B893,Pop_Census_2023!$A$2:$E$3220,4,FALSE))),vlookup(B893,Pop_Census_2023!$A$2:$E$3220,4,FALSE), vlookup(B893,Pop_Census_2023!$A$2:$E$3220,5,FALSE))</f>
        <v>28555</v>
      </c>
    </row>
    <row r="894">
      <c r="A894" s="47" t="s">
        <v>2513</v>
      </c>
      <c r="B894" s="47">
        <v>18181.0</v>
      </c>
      <c r="C894" s="47">
        <v>5.0</v>
      </c>
      <c r="D894" s="47" t="s">
        <v>4044</v>
      </c>
      <c r="E894" s="47" t="str">
        <f t="shared" si="1"/>
        <v>5A</v>
      </c>
      <c r="F894" s="47" t="s">
        <v>4054</v>
      </c>
      <c r="G894" s="47" t="s">
        <v>275</v>
      </c>
      <c r="H894" s="48">
        <f>IF(NOT(ISBLANK(vlookup(B894,Pop_Census_2023!$A$2:$E$3220,4,FALSE))),vlookup(B894,Pop_Census_2023!$A$2:$E$3220,4,FALSE), vlookup(B894,Pop_Census_2023!$A$2:$E$3220,5,FALSE))</f>
        <v>24917</v>
      </c>
    </row>
    <row r="895">
      <c r="A895" s="47" t="s">
        <v>2513</v>
      </c>
      <c r="B895" s="47">
        <v>18183.0</v>
      </c>
      <c r="C895" s="47">
        <v>5.0</v>
      </c>
      <c r="D895" s="47" t="s">
        <v>4044</v>
      </c>
      <c r="E895" s="47" t="str">
        <f t="shared" si="1"/>
        <v>5A</v>
      </c>
      <c r="F895" s="47" t="s">
        <v>4054</v>
      </c>
      <c r="G895" s="47" t="s">
        <v>703</v>
      </c>
      <c r="H895" s="48">
        <f>IF(NOT(ISBLANK(vlookup(B895,Pop_Census_2023!$A$2:$E$3220,4,FALSE))),vlookup(B895,Pop_Census_2023!$A$2:$E$3220,4,FALSE), vlookup(B895,Pop_Census_2023!$A$2:$E$3220,5,FALSE))</f>
        <v>34742</v>
      </c>
    </row>
    <row r="896">
      <c r="A896" s="47" t="s">
        <v>2601</v>
      </c>
      <c r="B896" s="47">
        <v>20001.0</v>
      </c>
      <c r="C896" s="47">
        <v>4.0</v>
      </c>
      <c r="D896" s="47" t="s">
        <v>4044</v>
      </c>
      <c r="E896" s="47" t="str">
        <f t="shared" si="1"/>
        <v>4A</v>
      </c>
      <c r="F896" s="47" t="s">
        <v>4046</v>
      </c>
      <c r="G896" s="47" t="s">
        <v>664</v>
      </c>
      <c r="H896" s="48">
        <f>IF(NOT(ISBLANK(vlookup(B896,Pop_Census_2023!$A$2:$E$3220,4,FALSE))),vlookup(B896,Pop_Census_2023!$A$2:$E$3220,4,FALSE), vlookup(B896,Pop_Census_2023!$A$2:$E$3220,5,FALSE))</f>
        <v>12412</v>
      </c>
    </row>
    <row r="897">
      <c r="A897" s="47" t="s">
        <v>2601</v>
      </c>
      <c r="B897" s="47">
        <v>20003.0</v>
      </c>
      <c r="C897" s="47">
        <v>4.0</v>
      </c>
      <c r="D897" s="47" t="s">
        <v>4044</v>
      </c>
      <c r="E897" s="47" t="str">
        <f t="shared" si="1"/>
        <v>4A</v>
      </c>
      <c r="F897" s="47" t="s">
        <v>4046</v>
      </c>
      <c r="G897" s="47" t="s">
        <v>751</v>
      </c>
      <c r="H897" s="48">
        <f>IF(NOT(ISBLANK(vlookup(B897,Pop_Census_2023!$A$2:$E$3220,4,FALSE))),vlookup(B897,Pop_Census_2023!$A$2:$E$3220,4,FALSE), vlookup(B897,Pop_Census_2023!$A$2:$E$3220,5,FALSE))</f>
        <v>7838</v>
      </c>
    </row>
    <row r="898">
      <c r="A898" s="47" t="s">
        <v>2601</v>
      </c>
      <c r="B898" s="47">
        <v>20005.0</v>
      </c>
      <c r="C898" s="47">
        <v>4.0</v>
      </c>
      <c r="D898" s="47" t="s">
        <v>4044</v>
      </c>
      <c r="E898" s="47" t="str">
        <f t="shared" si="1"/>
        <v>4A</v>
      </c>
      <c r="F898" s="47" t="s">
        <v>4046</v>
      </c>
      <c r="G898" s="47" t="s">
        <v>752</v>
      </c>
      <c r="H898" s="48">
        <f>IF(NOT(ISBLANK(vlookup(B898,Pop_Census_2023!$A$2:$E$3220,4,FALSE))),vlookup(B898,Pop_Census_2023!$A$2:$E$3220,4,FALSE), vlookup(B898,Pop_Census_2023!$A$2:$E$3220,5,FALSE))</f>
        <v>16016</v>
      </c>
    </row>
    <row r="899">
      <c r="A899" s="47" t="s">
        <v>2601</v>
      </c>
      <c r="B899" s="47">
        <v>20007.0</v>
      </c>
      <c r="C899" s="47">
        <v>4.0</v>
      </c>
      <c r="D899" s="47" t="s">
        <v>4044</v>
      </c>
      <c r="E899" s="47" t="str">
        <f t="shared" si="1"/>
        <v>4A</v>
      </c>
      <c r="F899" s="47" t="s">
        <v>4046</v>
      </c>
      <c r="G899" s="47" t="s">
        <v>753</v>
      </c>
      <c r="H899" s="48">
        <f>IF(NOT(ISBLANK(vlookup(B899,Pop_Census_2023!$A$2:$E$3220,4,FALSE))),vlookup(B899,Pop_Census_2023!$A$2:$E$3220,4,FALSE), vlookup(B899,Pop_Census_2023!$A$2:$E$3220,5,FALSE))</f>
        <v>4071</v>
      </c>
    </row>
    <row r="900">
      <c r="A900" s="47" t="s">
        <v>2601</v>
      </c>
      <c r="B900" s="47">
        <v>20009.0</v>
      </c>
      <c r="C900" s="47">
        <v>4.0</v>
      </c>
      <c r="D900" s="47" t="s">
        <v>4044</v>
      </c>
      <c r="E900" s="47" t="str">
        <f t="shared" si="1"/>
        <v>4A</v>
      </c>
      <c r="F900" s="47" t="s">
        <v>4046</v>
      </c>
      <c r="G900" s="47" t="s">
        <v>754</v>
      </c>
      <c r="H900" s="48">
        <f>IF(NOT(ISBLANK(vlookup(B900,Pop_Census_2023!$A$2:$E$3220,4,FALSE))),vlookup(B900,Pop_Census_2023!$A$2:$E$3220,4,FALSE), vlookup(B900,Pop_Census_2023!$A$2:$E$3220,5,FALSE))</f>
        <v>24899</v>
      </c>
    </row>
    <row r="901">
      <c r="A901" s="47" t="s">
        <v>2601</v>
      </c>
      <c r="B901" s="47">
        <v>20011.0</v>
      </c>
      <c r="C901" s="47">
        <v>4.0</v>
      </c>
      <c r="D901" s="47" t="s">
        <v>4044</v>
      </c>
      <c r="E901" s="47" t="str">
        <f t="shared" si="1"/>
        <v>4A</v>
      </c>
      <c r="F901" s="47" t="s">
        <v>4046</v>
      </c>
      <c r="G901" s="47" t="s">
        <v>755</v>
      </c>
      <c r="H901" s="48">
        <f>IF(NOT(ISBLANK(vlookup(B901,Pop_Census_2023!$A$2:$E$3220,4,FALSE))),vlookup(B901,Pop_Census_2023!$A$2:$E$3220,4,FALSE), vlookup(B901,Pop_Census_2023!$A$2:$E$3220,5,FALSE))</f>
        <v>14408</v>
      </c>
    </row>
    <row r="902">
      <c r="A902" s="47" t="s">
        <v>2601</v>
      </c>
      <c r="B902" s="47">
        <v>20013.0</v>
      </c>
      <c r="C902" s="47">
        <v>4.0</v>
      </c>
      <c r="D902" s="47" t="s">
        <v>4044</v>
      </c>
      <c r="E902" s="47" t="str">
        <f t="shared" si="1"/>
        <v>4A</v>
      </c>
      <c r="F902" s="47" t="s">
        <v>4046</v>
      </c>
      <c r="G902" s="47" t="s">
        <v>611</v>
      </c>
      <c r="H902" s="48">
        <f>IF(NOT(ISBLANK(vlookup(B902,Pop_Census_2023!$A$2:$E$3220,4,FALSE))),vlookup(B902,Pop_Census_2023!$A$2:$E$3220,4,FALSE), vlookup(B902,Pop_Census_2023!$A$2:$E$3220,5,FALSE))</f>
        <v>9250</v>
      </c>
    </row>
    <row r="903">
      <c r="A903" s="47" t="s">
        <v>2601</v>
      </c>
      <c r="B903" s="47">
        <v>20015.0</v>
      </c>
      <c r="C903" s="47">
        <v>4.0</v>
      </c>
      <c r="D903" s="47" t="s">
        <v>4044</v>
      </c>
      <c r="E903" s="47" t="str">
        <f t="shared" si="1"/>
        <v>4A</v>
      </c>
      <c r="F903" s="47" t="s">
        <v>4046</v>
      </c>
      <c r="G903" s="47" t="s">
        <v>109</v>
      </c>
      <c r="H903" s="48">
        <f>IF(NOT(ISBLANK(vlookup(B903,Pop_Census_2023!$A$2:$E$3220,4,FALSE))),vlookup(B903,Pop_Census_2023!$A$2:$E$3220,4,FALSE), vlookup(B903,Pop_Census_2023!$A$2:$E$3220,5,FALSE))</f>
        <v>68632</v>
      </c>
    </row>
    <row r="904">
      <c r="A904" s="47" t="s">
        <v>2601</v>
      </c>
      <c r="B904" s="47">
        <v>20017.0</v>
      </c>
      <c r="C904" s="47">
        <v>4.0</v>
      </c>
      <c r="D904" s="47" t="s">
        <v>4044</v>
      </c>
      <c r="E904" s="47" t="str">
        <f t="shared" si="1"/>
        <v>4A</v>
      </c>
      <c r="F904" s="47" t="s">
        <v>4046</v>
      </c>
      <c r="G904" s="47" t="s">
        <v>756</v>
      </c>
      <c r="H904" s="48">
        <f>IF(NOT(ISBLANK(vlookup(B904,Pop_Census_2023!$A$2:$E$3220,4,FALSE))),vlookup(B904,Pop_Census_2023!$A$2:$E$3220,4,FALSE), vlookup(B904,Pop_Census_2023!$A$2:$E$3220,5,FALSE))</f>
        <v>2579</v>
      </c>
    </row>
    <row r="905">
      <c r="A905" s="47" t="s">
        <v>2601</v>
      </c>
      <c r="B905" s="47">
        <v>20019.0</v>
      </c>
      <c r="C905" s="47">
        <v>4.0</v>
      </c>
      <c r="D905" s="47" t="s">
        <v>4044</v>
      </c>
      <c r="E905" s="47" t="str">
        <f t="shared" si="1"/>
        <v>4A</v>
      </c>
      <c r="F905" s="47" t="s">
        <v>4046</v>
      </c>
      <c r="G905" s="47" t="s">
        <v>757</v>
      </c>
      <c r="H905" s="48">
        <f>IF(NOT(ISBLANK(vlookup(B905,Pop_Census_2023!$A$2:$E$3220,4,FALSE))),vlookup(B905,Pop_Census_2023!$A$2:$E$3220,4,FALSE), vlookup(B905,Pop_Census_2023!$A$2:$E$3220,5,FALSE))</f>
        <v>3347</v>
      </c>
    </row>
    <row r="906">
      <c r="A906" s="47" t="s">
        <v>2601</v>
      </c>
      <c r="B906" s="47">
        <v>20021.0</v>
      </c>
      <c r="C906" s="47">
        <v>4.0</v>
      </c>
      <c r="D906" s="47" t="s">
        <v>4044</v>
      </c>
      <c r="E906" s="47" t="str">
        <f t="shared" si="1"/>
        <v>4A</v>
      </c>
      <c r="F906" s="47" t="s">
        <v>4046</v>
      </c>
      <c r="G906" s="47" t="s">
        <v>112</v>
      </c>
      <c r="H906" s="48">
        <f>IF(NOT(ISBLANK(vlookup(B906,Pop_Census_2023!$A$2:$E$3220,4,FALSE))),vlookup(B906,Pop_Census_2023!$A$2:$E$3220,4,FALSE), vlookup(B906,Pop_Census_2023!$A$2:$E$3220,5,FALSE))</f>
        <v>19054</v>
      </c>
    </row>
    <row r="907">
      <c r="A907" s="47" t="s">
        <v>2601</v>
      </c>
      <c r="B907" s="47">
        <v>20023.0</v>
      </c>
      <c r="C907" s="47">
        <v>5.0</v>
      </c>
      <c r="D907" s="47" t="s">
        <v>4044</v>
      </c>
      <c r="E907" s="47" t="str">
        <f t="shared" si="1"/>
        <v>5A</v>
      </c>
      <c r="F907" s="47" t="s">
        <v>4054</v>
      </c>
      <c r="G907" s="47" t="s">
        <v>348</v>
      </c>
      <c r="H907" s="48">
        <f>IF(NOT(ISBLANK(vlookup(B907,Pop_Census_2023!$A$2:$E$3220,4,FALSE))),vlookup(B907,Pop_Census_2023!$A$2:$E$3220,4,FALSE), vlookup(B907,Pop_Census_2023!$A$2:$E$3220,5,FALSE))</f>
        <v>2636</v>
      </c>
    </row>
    <row r="908">
      <c r="A908" s="47" t="s">
        <v>2601</v>
      </c>
      <c r="B908" s="47">
        <v>20025.0</v>
      </c>
      <c r="C908" s="47">
        <v>4.0</v>
      </c>
      <c r="D908" s="47" t="s">
        <v>4044</v>
      </c>
      <c r="E908" s="47" t="str">
        <f t="shared" si="1"/>
        <v>4A</v>
      </c>
      <c r="F908" s="47" t="s">
        <v>4046</v>
      </c>
      <c r="G908" s="47" t="s">
        <v>229</v>
      </c>
      <c r="H908" s="48">
        <f>IF(NOT(ISBLANK(vlookup(B908,Pop_Census_2023!$A$2:$E$3220,4,FALSE))),vlookup(B908,Pop_Census_2023!$A$2:$E$3220,4,FALSE), vlookup(B908,Pop_Census_2023!$A$2:$E$3220,5,FALSE))</f>
        <v>1847</v>
      </c>
    </row>
    <row r="909">
      <c r="A909" s="47" t="s">
        <v>2601</v>
      </c>
      <c r="B909" s="47">
        <v>20027.0</v>
      </c>
      <c r="C909" s="47">
        <v>4.0</v>
      </c>
      <c r="D909" s="47" t="s">
        <v>4044</v>
      </c>
      <c r="E909" s="47" t="str">
        <f t="shared" si="1"/>
        <v>4A</v>
      </c>
      <c r="F909" s="47" t="s">
        <v>4046</v>
      </c>
      <c r="G909" s="47" t="s">
        <v>116</v>
      </c>
      <c r="H909" s="48">
        <f>IF(NOT(ISBLANK(vlookup(B909,Pop_Census_2023!$A$2:$E$3220,4,FALSE))),vlookup(B909,Pop_Census_2023!$A$2:$E$3220,4,FALSE), vlookup(B909,Pop_Census_2023!$A$2:$E$3220,5,FALSE))</f>
        <v>8007</v>
      </c>
    </row>
    <row r="910">
      <c r="A910" s="47" t="s">
        <v>2601</v>
      </c>
      <c r="B910" s="47">
        <v>20029.0</v>
      </c>
      <c r="C910" s="47">
        <v>5.0</v>
      </c>
      <c r="D910" s="47" t="s">
        <v>4044</v>
      </c>
      <c r="E910" s="47" t="str">
        <f t="shared" si="1"/>
        <v>5A</v>
      </c>
      <c r="F910" s="47" t="s">
        <v>4054</v>
      </c>
      <c r="G910" s="47" t="s">
        <v>758</v>
      </c>
      <c r="H910" s="48">
        <f>IF(NOT(ISBLANK(vlookup(B910,Pop_Census_2023!$A$2:$E$3220,4,FALSE))),vlookup(B910,Pop_Census_2023!$A$2:$E$3220,4,FALSE), vlookup(B910,Pop_Census_2023!$A$2:$E$3220,5,FALSE))</f>
        <v>8854</v>
      </c>
    </row>
    <row r="911">
      <c r="A911" s="47" t="s">
        <v>2601</v>
      </c>
      <c r="B911" s="47">
        <v>20031.0</v>
      </c>
      <c r="C911" s="47">
        <v>4.0</v>
      </c>
      <c r="D911" s="47" t="s">
        <v>4044</v>
      </c>
      <c r="E911" s="47" t="str">
        <f t="shared" si="1"/>
        <v>4A</v>
      </c>
      <c r="F911" s="47" t="s">
        <v>4046</v>
      </c>
      <c r="G911" s="47" t="s">
        <v>759</v>
      </c>
      <c r="H911" s="48">
        <f>IF(NOT(ISBLANK(vlookup(B911,Pop_Census_2023!$A$2:$E$3220,4,FALSE))),vlookup(B911,Pop_Census_2023!$A$2:$E$3220,4,FALSE), vlookup(B911,Pop_Census_2023!$A$2:$E$3220,5,FALSE))</f>
        <v>8251</v>
      </c>
    </row>
    <row r="912">
      <c r="A912" s="47" t="s">
        <v>2601</v>
      </c>
      <c r="B912" s="47">
        <v>20033.0</v>
      </c>
      <c r="C912" s="47">
        <v>4.0</v>
      </c>
      <c r="D912" s="47" t="s">
        <v>4044</v>
      </c>
      <c r="E912" s="47" t="str">
        <f t="shared" si="1"/>
        <v>4A</v>
      </c>
      <c r="F912" s="47" t="s">
        <v>4046</v>
      </c>
      <c r="G912" s="47" t="s">
        <v>760</v>
      </c>
      <c r="H912" s="48">
        <f>IF(NOT(ISBLANK(vlookup(B912,Pop_Census_2023!$A$2:$E$3220,4,FALSE))),vlookup(B912,Pop_Census_2023!$A$2:$E$3220,4,FALSE), vlookup(B912,Pop_Census_2023!$A$2:$E$3220,5,FALSE))</f>
        <v>1655</v>
      </c>
    </row>
    <row r="913">
      <c r="A913" s="47" t="s">
        <v>2601</v>
      </c>
      <c r="B913" s="47">
        <v>20035.0</v>
      </c>
      <c r="C913" s="47">
        <v>4.0</v>
      </c>
      <c r="D913" s="47" t="s">
        <v>4044</v>
      </c>
      <c r="E913" s="47" t="str">
        <f t="shared" si="1"/>
        <v>4A</v>
      </c>
      <c r="F913" s="47" t="s">
        <v>4046</v>
      </c>
      <c r="G913" s="47" t="s">
        <v>761</v>
      </c>
      <c r="H913" s="48">
        <f>IF(NOT(ISBLANK(vlookup(B913,Pop_Census_2023!$A$2:$E$3220,4,FALSE))),vlookup(B913,Pop_Census_2023!$A$2:$E$3220,4,FALSE), vlookup(B913,Pop_Census_2023!$A$2:$E$3220,5,FALSE))</f>
        <v>34157</v>
      </c>
    </row>
    <row r="914">
      <c r="A914" s="47" t="s">
        <v>2601</v>
      </c>
      <c r="B914" s="47">
        <v>20037.0</v>
      </c>
      <c r="C914" s="47">
        <v>4.0</v>
      </c>
      <c r="D914" s="47" t="s">
        <v>4044</v>
      </c>
      <c r="E914" s="47" t="str">
        <f t="shared" si="1"/>
        <v>4A</v>
      </c>
      <c r="F914" s="47" t="s">
        <v>4046</v>
      </c>
      <c r="G914" s="47" t="s">
        <v>234</v>
      </c>
      <c r="H914" s="48">
        <f>IF(NOT(ISBLANK(vlookup(B914,Pop_Census_2023!$A$2:$E$3220,4,FALSE))),vlookup(B914,Pop_Census_2023!$A$2:$E$3220,4,FALSE), vlookup(B914,Pop_Census_2023!$A$2:$E$3220,5,FALSE))</f>
        <v>38764</v>
      </c>
    </row>
    <row r="915">
      <c r="A915" s="47" t="s">
        <v>2601</v>
      </c>
      <c r="B915" s="47">
        <v>20039.0</v>
      </c>
      <c r="C915" s="47">
        <v>5.0</v>
      </c>
      <c r="D915" s="47" t="s">
        <v>4044</v>
      </c>
      <c r="E915" s="47" t="str">
        <f t="shared" si="1"/>
        <v>5A</v>
      </c>
      <c r="F915" s="47" t="s">
        <v>4054</v>
      </c>
      <c r="G915" s="47" t="s">
        <v>492</v>
      </c>
      <c r="H915" s="48">
        <f>IF(NOT(ISBLANK(vlookup(B915,Pop_Census_2023!$A$2:$E$3220,4,FALSE))),vlookup(B915,Pop_Census_2023!$A$2:$E$3220,4,FALSE), vlookup(B915,Pop_Census_2023!$A$2:$E$3220,5,FALSE))</f>
        <v>2712</v>
      </c>
    </row>
    <row r="916">
      <c r="A916" s="47" t="s">
        <v>2601</v>
      </c>
      <c r="B916" s="47">
        <v>20041.0</v>
      </c>
      <c r="C916" s="47">
        <v>4.0</v>
      </c>
      <c r="D916" s="47" t="s">
        <v>4044</v>
      </c>
      <c r="E916" s="47" t="str">
        <f t="shared" si="1"/>
        <v>4A</v>
      </c>
      <c r="F916" s="47" t="s">
        <v>4046</v>
      </c>
      <c r="G916" s="47" t="s">
        <v>719</v>
      </c>
      <c r="H916" s="48">
        <f>IF(NOT(ISBLANK(vlookup(B916,Pop_Census_2023!$A$2:$E$3220,4,FALSE))),vlookup(B916,Pop_Census_2023!$A$2:$E$3220,4,FALSE), vlookup(B916,Pop_Census_2023!$A$2:$E$3220,5,FALSE))</f>
        <v>18445</v>
      </c>
    </row>
    <row r="917">
      <c r="A917" s="47" t="s">
        <v>2601</v>
      </c>
      <c r="B917" s="47">
        <v>20043.0</v>
      </c>
      <c r="C917" s="47">
        <v>4.0</v>
      </c>
      <c r="D917" s="47" t="s">
        <v>4044</v>
      </c>
      <c r="E917" s="47" t="str">
        <f t="shared" si="1"/>
        <v>4A</v>
      </c>
      <c r="F917" s="47" t="s">
        <v>4046</v>
      </c>
      <c r="G917" s="47" t="s">
        <v>762</v>
      </c>
      <c r="H917" s="48">
        <f>IF(NOT(ISBLANK(vlookup(B917,Pop_Census_2023!$A$2:$E$3220,4,FALSE))),vlookup(B917,Pop_Census_2023!$A$2:$E$3220,4,FALSE), vlookup(B917,Pop_Census_2023!$A$2:$E$3220,5,FALSE))</f>
        <v>7493</v>
      </c>
    </row>
    <row r="918">
      <c r="A918" s="47" t="s">
        <v>2601</v>
      </c>
      <c r="B918" s="47">
        <v>20045.0</v>
      </c>
      <c r="C918" s="47">
        <v>4.0</v>
      </c>
      <c r="D918" s="47" t="s">
        <v>4044</v>
      </c>
      <c r="E918" s="47" t="str">
        <f t="shared" si="1"/>
        <v>4A</v>
      </c>
      <c r="F918" s="47" t="s">
        <v>4046</v>
      </c>
      <c r="G918" s="47" t="s">
        <v>357</v>
      </c>
      <c r="H918" s="48">
        <f>IF(NOT(ISBLANK(vlookup(B918,Pop_Census_2023!$A$2:$E$3220,4,FALSE))),vlookup(B918,Pop_Census_2023!$A$2:$E$3220,4,FALSE), vlookup(B918,Pop_Census_2023!$A$2:$E$3220,5,FALSE))</f>
        <v>120553</v>
      </c>
    </row>
    <row r="919">
      <c r="A919" s="47" t="s">
        <v>2601</v>
      </c>
      <c r="B919" s="47">
        <v>20047.0</v>
      </c>
      <c r="C919" s="47">
        <v>4.0</v>
      </c>
      <c r="D919" s="47" t="s">
        <v>4044</v>
      </c>
      <c r="E919" s="47" t="str">
        <f t="shared" si="1"/>
        <v>4A</v>
      </c>
      <c r="F919" s="47" t="s">
        <v>4046</v>
      </c>
      <c r="G919" s="47" t="s">
        <v>622</v>
      </c>
      <c r="H919" s="48">
        <f>IF(NOT(ISBLANK(vlookup(B919,Pop_Census_2023!$A$2:$E$3220,4,FALSE))),vlookup(B919,Pop_Census_2023!$A$2:$E$3220,4,FALSE), vlookup(B919,Pop_Census_2023!$A$2:$E$3220,5,FALSE))</f>
        <v>2733</v>
      </c>
    </row>
    <row r="920">
      <c r="A920" s="47" t="s">
        <v>2601</v>
      </c>
      <c r="B920" s="47">
        <v>20049.0</v>
      </c>
      <c r="C920" s="47">
        <v>4.0</v>
      </c>
      <c r="D920" s="47" t="s">
        <v>4044</v>
      </c>
      <c r="E920" s="47" t="str">
        <f t="shared" si="1"/>
        <v>4A</v>
      </c>
      <c r="F920" s="47" t="s">
        <v>4046</v>
      </c>
      <c r="G920" s="47" t="s">
        <v>763</v>
      </c>
      <c r="H920" s="48">
        <f>IF(NOT(ISBLANK(vlookup(B920,Pop_Census_2023!$A$2:$E$3220,4,FALSE))),vlookup(B920,Pop_Census_2023!$A$2:$E$3220,4,FALSE), vlookup(B920,Pop_Census_2023!$A$2:$E$3220,5,FALSE))</f>
        <v>2467</v>
      </c>
    </row>
    <row r="921">
      <c r="A921" s="47" t="s">
        <v>2601</v>
      </c>
      <c r="B921" s="47">
        <v>20051.0</v>
      </c>
      <c r="C921" s="47">
        <v>5.0</v>
      </c>
      <c r="D921" s="47" t="s">
        <v>4044</v>
      </c>
      <c r="E921" s="47" t="str">
        <f t="shared" si="1"/>
        <v>5A</v>
      </c>
      <c r="F921" s="47" t="s">
        <v>4054</v>
      </c>
      <c r="G921" s="47" t="s">
        <v>764</v>
      </c>
      <c r="H921" s="48">
        <f>IF(NOT(ISBLANK(vlookup(B921,Pop_Census_2023!$A$2:$E$3220,4,FALSE))),vlookup(B921,Pop_Census_2023!$A$2:$E$3220,4,FALSE), vlookup(B921,Pop_Census_2023!$A$2:$E$3220,5,FALSE))</f>
        <v>28810</v>
      </c>
    </row>
    <row r="922">
      <c r="A922" s="47" t="s">
        <v>2601</v>
      </c>
      <c r="B922" s="47">
        <v>20053.0</v>
      </c>
      <c r="C922" s="47">
        <v>4.0</v>
      </c>
      <c r="D922" s="47" t="s">
        <v>4044</v>
      </c>
      <c r="E922" s="47" t="str">
        <f t="shared" si="1"/>
        <v>4A</v>
      </c>
      <c r="F922" s="47" t="s">
        <v>4046</v>
      </c>
      <c r="G922" s="47" t="s">
        <v>765</v>
      </c>
      <c r="H922" s="48">
        <f>IF(NOT(ISBLANK(vlookup(B922,Pop_Census_2023!$A$2:$E$3220,4,FALSE))),vlookup(B922,Pop_Census_2023!$A$2:$E$3220,4,FALSE), vlookup(B922,Pop_Census_2023!$A$2:$E$3220,5,FALSE))</f>
        <v>6357</v>
      </c>
    </row>
    <row r="923">
      <c r="A923" s="47" t="s">
        <v>2601</v>
      </c>
      <c r="B923" s="47">
        <v>20055.0</v>
      </c>
      <c r="C923" s="47">
        <v>4.0</v>
      </c>
      <c r="D923" s="47" t="s">
        <v>4044</v>
      </c>
      <c r="E923" s="47" t="str">
        <f t="shared" si="1"/>
        <v>4A</v>
      </c>
      <c r="F923" s="47" t="s">
        <v>4046</v>
      </c>
      <c r="G923" s="47" t="s">
        <v>766</v>
      </c>
      <c r="H923" s="48">
        <f>IF(NOT(ISBLANK(vlookup(B923,Pop_Census_2023!$A$2:$E$3220,4,FALSE))),vlookup(B923,Pop_Census_2023!$A$2:$E$3220,4,FALSE), vlookup(B923,Pop_Census_2023!$A$2:$E$3220,5,FALSE))</f>
        <v>37466</v>
      </c>
    </row>
    <row r="924">
      <c r="A924" s="47" t="s">
        <v>2601</v>
      </c>
      <c r="B924" s="47">
        <v>20057.0</v>
      </c>
      <c r="C924" s="47">
        <v>4.0</v>
      </c>
      <c r="D924" s="47" t="s">
        <v>4044</v>
      </c>
      <c r="E924" s="47" t="str">
        <f t="shared" si="1"/>
        <v>4A</v>
      </c>
      <c r="F924" s="47" t="s">
        <v>4046</v>
      </c>
      <c r="G924" s="47" t="s">
        <v>623</v>
      </c>
      <c r="H924" s="48">
        <f>IF(NOT(ISBLANK(vlookup(B924,Pop_Census_2023!$A$2:$E$3220,4,FALSE))),vlookup(B924,Pop_Census_2023!$A$2:$E$3220,4,FALSE), vlookup(B924,Pop_Census_2023!$A$2:$E$3220,5,FALSE))</f>
        <v>33980</v>
      </c>
    </row>
    <row r="925">
      <c r="A925" s="47" t="s">
        <v>2601</v>
      </c>
      <c r="B925" s="47">
        <v>20059.0</v>
      </c>
      <c r="C925" s="47">
        <v>4.0</v>
      </c>
      <c r="D925" s="47" t="s">
        <v>4044</v>
      </c>
      <c r="E925" s="47" t="str">
        <f t="shared" si="1"/>
        <v>4A</v>
      </c>
      <c r="F925" s="47" t="s">
        <v>4046</v>
      </c>
      <c r="G925" s="47" t="s">
        <v>132</v>
      </c>
      <c r="H925" s="48">
        <f>IF(NOT(ISBLANK(vlookup(B925,Pop_Census_2023!$A$2:$E$3220,4,FALSE))),vlookup(B925,Pop_Census_2023!$A$2:$E$3220,4,FALSE), vlookup(B925,Pop_Census_2023!$A$2:$E$3220,5,FALSE))</f>
        <v>26125</v>
      </c>
    </row>
    <row r="926">
      <c r="A926" s="47" t="s">
        <v>2601</v>
      </c>
      <c r="B926" s="47">
        <v>20061.0</v>
      </c>
      <c r="C926" s="47">
        <v>4.0</v>
      </c>
      <c r="D926" s="47" t="s">
        <v>4044</v>
      </c>
      <c r="E926" s="47" t="str">
        <f t="shared" si="1"/>
        <v>4A</v>
      </c>
      <c r="F926" s="47" t="s">
        <v>4046</v>
      </c>
      <c r="G926" s="47" t="s">
        <v>767</v>
      </c>
      <c r="H926" s="48">
        <f>IF(NOT(ISBLANK(vlookup(B926,Pop_Census_2023!$A$2:$E$3220,4,FALSE))),vlookup(B926,Pop_Census_2023!$A$2:$E$3220,4,FALSE), vlookup(B926,Pop_Census_2023!$A$2:$E$3220,5,FALSE))</f>
        <v>35047</v>
      </c>
    </row>
    <row r="927">
      <c r="A927" s="47" t="s">
        <v>2601</v>
      </c>
      <c r="B927" s="47">
        <v>20063.0</v>
      </c>
      <c r="C927" s="47">
        <v>5.0</v>
      </c>
      <c r="D927" s="47" t="s">
        <v>4044</v>
      </c>
      <c r="E927" s="47" t="str">
        <f t="shared" si="1"/>
        <v>5A</v>
      </c>
      <c r="F927" s="47" t="s">
        <v>4054</v>
      </c>
      <c r="G927" s="47" t="s">
        <v>768</v>
      </c>
      <c r="H927" s="48">
        <f>IF(NOT(ISBLANK(vlookup(B927,Pop_Census_2023!$A$2:$E$3220,4,FALSE))),vlookup(B927,Pop_Census_2023!$A$2:$E$3220,4,FALSE), vlookup(B927,Pop_Census_2023!$A$2:$E$3220,5,FALSE))</f>
        <v>2735</v>
      </c>
    </row>
    <row r="928">
      <c r="A928" s="47" t="s">
        <v>2601</v>
      </c>
      <c r="B928" s="47">
        <v>20065.0</v>
      </c>
      <c r="C928" s="47">
        <v>5.0</v>
      </c>
      <c r="D928" s="47" t="s">
        <v>4044</v>
      </c>
      <c r="E928" s="47" t="str">
        <f t="shared" si="1"/>
        <v>5A</v>
      </c>
      <c r="F928" s="47" t="s">
        <v>4054</v>
      </c>
      <c r="G928" s="47" t="s">
        <v>208</v>
      </c>
      <c r="H928" s="48">
        <f>IF(NOT(ISBLANK(vlookup(B928,Pop_Census_2023!$A$2:$E$3220,4,FALSE))),vlookup(B928,Pop_Census_2023!$A$2:$E$3220,4,FALSE), vlookup(B928,Pop_Census_2023!$A$2:$E$3220,5,FALSE))</f>
        <v>2376</v>
      </c>
    </row>
    <row r="929">
      <c r="A929" s="47" t="s">
        <v>2601</v>
      </c>
      <c r="B929" s="47">
        <v>20067.0</v>
      </c>
      <c r="C929" s="47">
        <v>4.0</v>
      </c>
      <c r="D929" s="47" t="s">
        <v>4044</v>
      </c>
      <c r="E929" s="47" t="str">
        <f t="shared" si="1"/>
        <v>4A</v>
      </c>
      <c r="F929" s="47" t="s">
        <v>4046</v>
      </c>
      <c r="G929" s="47" t="s">
        <v>242</v>
      </c>
      <c r="H929" s="48">
        <f>IF(NOT(ISBLANK(vlookup(B929,Pop_Census_2023!$A$2:$E$3220,4,FALSE))),vlookup(B929,Pop_Census_2023!$A$2:$E$3220,4,FALSE), vlookup(B929,Pop_Census_2023!$A$2:$E$3220,5,FALSE))</f>
        <v>7147</v>
      </c>
    </row>
    <row r="930">
      <c r="A930" s="47" t="s">
        <v>2601</v>
      </c>
      <c r="B930" s="47">
        <v>20069.0</v>
      </c>
      <c r="C930" s="47">
        <v>4.0</v>
      </c>
      <c r="D930" s="47" t="s">
        <v>4044</v>
      </c>
      <c r="E930" s="47" t="str">
        <f t="shared" si="1"/>
        <v>4A</v>
      </c>
      <c r="F930" s="47" t="s">
        <v>4046</v>
      </c>
      <c r="G930" s="47" t="s">
        <v>769</v>
      </c>
      <c r="H930" s="48">
        <f>IF(NOT(ISBLANK(vlookup(B930,Pop_Census_2023!$A$2:$E$3220,4,FALSE))),vlookup(B930,Pop_Census_2023!$A$2:$E$3220,4,FALSE), vlookup(B930,Pop_Census_2023!$A$2:$E$3220,5,FALSE))</f>
        <v>5743</v>
      </c>
    </row>
    <row r="931">
      <c r="A931" s="47" t="s">
        <v>2601</v>
      </c>
      <c r="B931" s="47">
        <v>20071.0</v>
      </c>
      <c r="C931" s="47">
        <v>5.0</v>
      </c>
      <c r="D931" s="47" t="s">
        <v>4044</v>
      </c>
      <c r="E931" s="47" t="str">
        <f t="shared" si="1"/>
        <v>5A</v>
      </c>
      <c r="F931" s="47" t="s">
        <v>4054</v>
      </c>
      <c r="G931" s="47" t="s">
        <v>770</v>
      </c>
      <c r="H931" s="48">
        <f>IF(NOT(ISBLANK(vlookup(B931,Pop_Census_2023!$A$2:$E$3220,4,FALSE))),vlookup(B931,Pop_Census_2023!$A$2:$E$3220,4,FALSE), vlookup(B931,Pop_Census_2023!$A$2:$E$3220,5,FALSE))</f>
        <v>1181</v>
      </c>
    </row>
    <row r="932">
      <c r="A932" s="47" t="s">
        <v>2601</v>
      </c>
      <c r="B932" s="47">
        <v>20073.0</v>
      </c>
      <c r="C932" s="47">
        <v>4.0</v>
      </c>
      <c r="D932" s="47" t="s">
        <v>4044</v>
      </c>
      <c r="E932" s="47" t="str">
        <f t="shared" si="1"/>
        <v>4A</v>
      </c>
      <c r="F932" s="47" t="s">
        <v>4046</v>
      </c>
      <c r="G932" s="47" t="s">
        <v>771</v>
      </c>
      <c r="H932" s="48">
        <f>IF(NOT(ISBLANK(vlookup(B932,Pop_Census_2023!$A$2:$E$3220,4,FALSE))),vlookup(B932,Pop_Census_2023!$A$2:$E$3220,4,FALSE), vlookup(B932,Pop_Census_2023!$A$2:$E$3220,5,FALSE))</f>
        <v>5870</v>
      </c>
    </row>
    <row r="933">
      <c r="A933" s="47" t="s">
        <v>2601</v>
      </c>
      <c r="B933" s="47">
        <v>20075.0</v>
      </c>
      <c r="C933" s="47">
        <v>5.0</v>
      </c>
      <c r="D933" s="47" t="s">
        <v>4044</v>
      </c>
      <c r="E933" s="47" t="str">
        <f t="shared" si="1"/>
        <v>5A</v>
      </c>
      <c r="F933" s="47" t="s">
        <v>4054</v>
      </c>
      <c r="G933" s="47" t="s">
        <v>428</v>
      </c>
      <c r="H933" s="48">
        <f>IF(NOT(ISBLANK(vlookup(B933,Pop_Census_2023!$A$2:$E$3220,4,FALSE))),vlookup(B933,Pop_Census_2023!$A$2:$E$3220,4,FALSE), vlookup(B933,Pop_Census_2023!$A$2:$E$3220,5,FALSE))</f>
        <v>2437</v>
      </c>
    </row>
    <row r="934">
      <c r="A934" s="47" t="s">
        <v>2601</v>
      </c>
      <c r="B934" s="47">
        <v>20077.0</v>
      </c>
      <c r="C934" s="47">
        <v>4.0</v>
      </c>
      <c r="D934" s="47" t="s">
        <v>4044</v>
      </c>
      <c r="E934" s="47" t="str">
        <f t="shared" si="1"/>
        <v>4A</v>
      </c>
      <c r="F934" s="47" t="s">
        <v>4046</v>
      </c>
      <c r="G934" s="47" t="s">
        <v>772</v>
      </c>
      <c r="H934" s="48">
        <f>IF(NOT(ISBLANK(vlookup(B934,Pop_Census_2023!$A$2:$E$3220,4,FALSE))),vlookup(B934,Pop_Census_2023!$A$2:$E$3220,4,FALSE), vlookup(B934,Pop_Census_2023!$A$2:$E$3220,5,FALSE))</f>
        <v>5435</v>
      </c>
    </row>
    <row r="935">
      <c r="A935" s="47" t="s">
        <v>2601</v>
      </c>
      <c r="B935" s="47">
        <v>20079.0</v>
      </c>
      <c r="C935" s="47">
        <v>4.0</v>
      </c>
      <c r="D935" s="47" t="s">
        <v>4044</v>
      </c>
      <c r="E935" s="47" t="str">
        <f t="shared" si="1"/>
        <v>4A</v>
      </c>
      <c r="F935" s="47" t="s">
        <v>4046</v>
      </c>
      <c r="G935" s="47" t="s">
        <v>773</v>
      </c>
      <c r="H935" s="48">
        <f>IF(NOT(ISBLANK(vlookup(B935,Pop_Census_2023!$A$2:$E$3220,4,FALSE))),vlookup(B935,Pop_Census_2023!$A$2:$E$3220,4,FALSE), vlookup(B935,Pop_Census_2023!$A$2:$E$3220,5,FALSE))</f>
        <v>33504</v>
      </c>
    </row>
    <row r="936">
      <c r="A936" s="47" t="s">
        <v>2601</v>
      </c>
      <c r="B936" s="47">
        <v>20081.0</v>
      </c>
      <c r="C936" s="47">
        <v>4.0</v>
      </c>
      <c r="D936" s="47" t="s">
        <v>4044</v>
      </c>
      <c r="E936" s="47" t="str">
        <f t="shared" si="1"/>
        <v>4A</v>
      </c>
      <c r="F936" s="47" t="s">
        <v>4046</v>
      </c>
      <c r="G936" s="47" t="s">
        <v>774</v>
      </c>
      <c r="H936" s="48">
        <f>IF(NOT(ISBLANK(vlookup(B936,Pop_Census_2023!$A$2:$E$3220,4,FALSE))),vlookup(B936,Pop_Census_2023!$A$2:$E$3220,4,FALSE), vlookup(B936,Pop_Census_2023!$A$2:$E$3220,5,FALSE))</f>
        <v>3630</v>
      </c>
    </row>
    <row r="937">
      <c r="A937" s="47" t="s">
        <v>2601</v>
      </c>
      <c r="B937" s="47">
        <v>20083.0</v>
      </c>
      <c r="C937" s="47">
        <v>4.0</v>
      </c>
      <c r="D937" s="47" t="s">
        <v>4044</v>
      </c>
      <c r="E937" s="47" t="str">
        <f t="shared" si="1"/>
        <v>4A</v>
      </c>
      <c r="F937" s="47" t="s">
        <v>4046</v>
      </c>
      <c r="G937" s="47" t="s">
        <v>775</v>
      </c>
      <c r="H937" s="48">
        <f>IF(NOT(ISBLANK(vlookup(B937,Pop_Census_2023!$A$2:$E$3220,4,FALSE))),vlookup(B937,Pop_Census_2023!$A$2:$E$3220,4,FALSE), vlookup(B937,Pop_Census_2023!$A$2:$E$3220,5,FALSE))</f>
        <v>1655</v>
      </c>
    </row>
    <row r="938">
      <c r="A938" s="47" t="s">
        <v>2601</v>
      </c>
      <c r="B938" s="47">
        <v>20085.0</v>
      </c>
      <c r="C938" s="47">
        <v>4.0</v>
      </c>
      <c r="D938" s="47" t="s">
        <v>4044</v>
      </c>
      <c r="E938" s="47" t="str">
        <f t="shared" si="1"/>
        <v>4A</v>
      </c>
      <c r="F938" s="47" t="s">
        <v>4046</v>
      </c>
      <c r="G938" s="47" t="s">
        <v>138</v>
      </c>
      <c r="H938" s="48">
        <f>IF(NOT(ISBLANK(vlookup(B938,Pop_Census_2023!$A$2:$E$3220,4,FALSE))),vlookup(B938,Pop_Census_2023!$A$2:$E$3220,4,FALSE), vlookup(B938,Pop_Census_2023!$A$2:$E$3220,5,FALSE))</f>
        <v>13368</v>
      </c>
    </row>
    <row r="939">
      <c r="A939" s="47" t="s">
        <v>2601</v>
      </c>
      <c r="B939" s="47">
        <v>20087.0</v>
      </c>
      <c r="C939" s="47">
        <v>4.0</v>
      </c>
      <c r="D939" s="47" t="s">
        <v>4044</v>
      </c>
      <c r="E939" s="47" t="str">
        <f t="shared" si="1"/>
        <v>4A</v>
      </c>
      <c r="F939" s="47" t="s">
        <v>4046</v>
      </c>
      <c r="G939" s="47" t="s">
        <v>139</v>
      </c>
      <c r="H939" s="48">
        <f>IF(NOT(ISBLANK(vlookup(B939,Pop_Census_2023!$A$2:$E$3220,4,FALSE))),vlookup(B939,Pop_Census_2023!$A$2:$E$3220,4,FALSE), vlookup(B939,Pop_Census_2023!$A$2:$E$3220,5,FALSE))</f>
        <v>18327</v>
      </c>
    </row>
    <row r="940">
      <c r="A940" s="47" t="s">
        <v>2601</v>
      </c>
      <c r="B940" s="47">
        <v>20089.0</v>
      </c>
      <c r="C940" s="47">
        <v>5.0</v>
      </c>
      <c r="D940" s="47" t="s">
        <v>4044</v>
      </c>
      <c r="E940" s="47" t="str">
        <f t="shared" si="1"/>
        <v>5A</v>
      </c>
      <c r="F940" s="47" t="s">
        <v>4054</v>
      </c>
      <c r="G940" s="47" t="s">
        <v>776</v>
      </c>
      <c r="H940" s="48">
        <f>IF(NOT(ISBLANK(vlookup(B940,Pop_Census_2023!$A$2:$E$3220,4,FALSE))),vlookup(B940,Pop_Census_2023!$A$2:$E$3220,4,FALSE), vlookup(B940,Pop_Census_2023!$A$2:$E$3220,5,FALSE))</f>
        <v>2847</v>
      </c>
    </row>
    <row r="941">
      <c r="A941" s="47" t="s">
        <v>2601</v>
      </c>
      <c r="B941" s="47">
        <v>20091.0</v>
      </c>
      <c r="C941" s="47">
        <v>4.0</v>
      </c>
      <c r="D941" s="47" t="s">
        <v>4044</v>
      </c>
      <c r="E941" s="47" t="str">
        <f t="shared" si="1"/>
        <v>4A</v>
      </c>
      <c r="F941" s="47" t="s">
        <v>4046</v>
      </c>
      <c r="G941" s="47" t="s">
        <v>248</v>
      </c>
      <c r="H941" s="48">
        <f>IF(NOT(ISBLANK(vlookup(B941,Pop_Census_2023!$A$2:$E$3220,4,FALSE))),vlookup(B941,Pop_Census_2023!$A$2:$E$3220,4,FALSE), vlookup(B941,Pop_Census_2023!$A$2:$E$3220,5,FALSE))</f>
        <v>622237</v>
      </c>
    </row>
    <row r="942">
      <c r="A942" s="47" t="s">
        <v>2601</v>
      </c>
      <c r="B942" s="47">
        <v>20093.0</v>
      </c>
      <c r="C942" s="47">
        <v>4.0</v>
      </c>
      <c r="D942" s="47" t="s">
        <v>4044</v>
      </c>
      <c r="E942" s="47" t="str">
        <f t="shared" si="1"/>
        <v>4A</v>
      </c>
      <c r="F942" s="47" t="s">
        <v>4046</v>
      </c>
      <c r="G942" s="47" t="s">
        <v>777</v>
      </c>
      <c r="H942" s="48">
        <f>IF(NOT(ISBLANK(vlookup(B942,Pop_Census_2023!$A$2:$E$3220,4,FALSE))),vlookup(B942,Pop_Census_2023!$A$2:$E$3220,4,FALSE), vlookup(B942,Pop_Census_2023!$A$2:$E$3220,5,FALSE))</f>
        <v>3823</v>
      </c>
    </row>
    <row r="943">
      <c r="A943" s="47" t="s">
        <v>2601</v>
      </c>
      <c r="B943" s="47">
        <v>20095.0</v>
      </c>
      <c r="C943" s="47">
        <v>4.0</v>
      </c>
      <c r="D943" s="47" t="s">
        <v>4044</v>
      </c>
      <c r="E943" s="47" t="str">
        <f t="shared" si="1"/>
        <v>4A</v>
      </c>
      <c r="F943" s="47" t="s">
        <v>4046</v>
      </c>
      <c r="G943" s="47" t="s">
        <v>778</v>
      </c>
      <c r="H943" s="48">
        <f>IF(NOT(ISBLANK(vlookup(B943,Pop_Census_2023!$A$2:$E$3220,4,FALSE))),vlookup(B943,Pop_Census_2023!$A$2:$E$3220,4,FALSE), vlookup(B943,Pop_Census_2023!$A$2:$E$3220,5,FALSE))</f>
        <v>7066</v>
      </c>
    </row>
    <row r="944">
      <c r="A944" s="47" t="s">
        <v>2601</v>
      </c>
      <c r="B944" s="47">
        <v>20097.0</v>
      </c>
      <c r="C944" s="47">
        <v>4.0</v>
      </c>
      <c r="D944" s="47" t="s">
        <v>4044</v>
      </c>
      <c r="E944" s="47" t="str">
        <f t="shared" si="1"/>
        <v>4A</v>
      </c>
      <c r="F944" s="47" t="s">
        <v>4046</v>
      </c>
      <c r="G944" s="47" t="s">
        <v>368</v>
      </c>
      <c r="H944" s="48">
        <f>IF(NOT(ISBLANK(vlookup(B944,Pop_Census_2023!$A$2:$E$3220,4,FALSE))),vlookup(B944,Pop_Census_2023!$A$2:$E$3220,4,FALSE), vlookup(B944,Pop_Census_2023!$A$2:$E$3220,5,FALSE))</f>
        <v>2374</v>
      </c>
    </row>
    <row r="945">
      <c r="A945" s="47" t="s">
        <v>2601</v>
      </c>
      <c r="B945" s="47">
        <v>20099.0</v>
      </c>
      <c r="C945" s="47">
        <v>4.0</v>
      </c>
      <c r="D945" s="47" t="s">
        <v>4044</v>
      </c>
      <c r="E945" s="47" t="str">
        <f t="shared" si="1"/>
        <v>4A</v>
      </c>
      <c r="F945" s="47" t="s">
        <v>4046</v>
      </c>
      <c r="G945" s="47" t="s">
        <v>779</v>
      </c>
      <c r="H945" s="48">
        <f>IF(NOT(ISBLANK(vlookup(B945,Pop_Census_2023!$A$2:$E$3220,4,FALSE))),vlookup(B945,Pop_Census_2023!$A$2:$E$3220,4,FALSE), vlookup(B945,Pop_Census_2023!$A$2:$E$3220,5,FALSE))</f>
        <v>19728</v>
      </c>
    </row>
    <row r="946">
      <c r="A946" s="47" t="s">
        <v>2601</v>
      </c>
      <c r="B946" s="47">
        <v>20101.0</v>
      </c>
      <c r="C946" s="47">
        <v>5.0</v>
      </c>
      <c r="D946" s="47" t="s">
        <v>4044</v>
      </c>
      <c r="E946" s="47" t="str">
        <f t="shared" si="1"/>
        <v>5A</v>
      </c>
      <c r="F946" s="47" t="s">
        <v>4054</v>
      </c>
      <c r="G946" s="47" t="s">
        <v>780</v>
      </c>
      <c r="H946" s="48">
        <f>IF(NOT(ISBLANK(vlookup(B946,Pop_Census_2023!$A$2:$E$3220,4,FALSE))),vlookup(B946,Pop_Census_2023!$A$2:$E$3220,4,FALSE), vlookup(B946,Pop_Census_2023!$A$2:$E$3220,5,FALSE))</f>
        <v>1529</v>
      </c>
    </row>
    <row r="947">
      <c r="A947" s="47" t="s">
        <v>2601</v>
      </c>
      <c r="B947" s="47">
        <v>20103.0</v>
      </c>
      <c r="C947" s="47">
        <v>4.0</v>
      </c>
      <c r="D947" s="47" t="s">
        <v>4044</v>
      </c>
      <c r="E947" s="47" t="str">
        <f t="shared" si="1"/>
        <v>4A</v>
      </c>
      <c r="F947" s="47" t="s">
        <v>4046</v>
      </c>
      <c r="G947" s="47" t="s">
        <v>781</v>
      </c>
      <c r="H947" s="48">
        <f>IF(NOT(ISBLANK(vlookup(B947,Pop_Census_2023!$A$2:$E$3220,4,FALSE))),vlookup(B947,Pop_Census_2023!$A$2:$E$3220,4,FALSE), vlookup(B947,Pop_Census_2023!$A$2:$E$3220,5,FALSE))</f>
        <v>83518</v>
      </c>
    </row>
    <row r="948">
      <c r="A948" s="47" t="s">
        <v>2601</v>
      </c>
      <c r="B948" s="47">
        <v>20105.0</v>
      </c>
      <c r="C948" s="47">
        <v>4.0</v>
      </c>
      <c r="D948" s="47" t="s">
        <v>4044</v>
      </c>
      <c r="E948" s="47" t="str">
        <f t="shared" si="1"/>
        <v>4A</v>
      </c>
      <c r="F948" s="47" t="s">
        <v>4046</v>
      </c>
      <c r="G948" s="47" t="s">
        <v>250</v>
      </c>
      <c r="H948" s="48">
        <f>IF(NOT(ISBLANK(vlookup(B948,Pop_Census_2023!$A$2:$E$3220,4,FALSE))),vlookup(B948,Pop_Census_2023!$A$2:$E$3220,4,FALSE), vlookup(B948,Pop_Census_2023!$A$2:$E$3220,5,FALSE))</f>
        <v>2920</v>
      </c>
    </row>
    <row r="949">
      <c r="A949" s="47" t="s">
        <v>2601</v>
      </c>
      <c r="B949" s="47">
        <v>20107.0</v>
      </c>
      <c r="C949" s="47">
        <v>4.0</v>
      </c>
      <c r="D949" s="47" t="s">
        <v>4044</v>
      </c>
      <c r="E949" s="47" t="str">
        <f t="shared" si="1"/>
        <v>4A</v>
      </c>
      <c r="F949" s="47" t="s">
        <v>4046</v>
      </c>
      <c r="G949" s="47" t="s">
        <v>726</v>
      </c>
      <c r="H949" s="48">
        <f>IF(NOT(ISBLANK(vlookup(B949,Pop_Census_2023!$A$2:$E$3220,4,FALSE))),vlookup(B949,Pop_Census_2023!$A$2:$E$3220,4,FALSE), vlookup(B949,Pop_Census_2023!$A$2:$E$3220,5,FALSE))</f>
        <v>9860</v>
      </c>
    </row>
    <row r="950">
      <c r="A950" s="47" t="s">
        <v>2601</v>
      </c>
      <c r="B950" s="47">
        <v>20109.0</v>
      </c>
      <c r="C950" s="47">
        <v>5.0</v>
      </c>
      <c r="D950" s="47" t="s">
        <v>4044</v>
      </c>
      <c r="E950" s="47" t="str">
        <f t="shared" si="1"/>
        <v>5A</v>
      </c>
      <c r="F950" s="47" t="s">
        <v>4054</v>
      </c>
      <c r="G950" s="47" t="s">
        <v>252</v>
      </c>
      <c r="H950" s="48">
        <f>IF(NOT(ISBLANK(vlookup(B950,Pop_Census_2023!$A$2:$E$3220,4,FALSE))),vlookup(B950,Pop_Census_2023!$A$2:$E$3220,4,FALSE), vlookup(B950,Pop_Census_2023!$A$2:$E$3220,5,FALSE))</f>
        <v>2665</v>
      </c>
    </row>
    <row r="951">
      <c r="A951" s="47" t="s">
        <v>2601</v>
      </c>
      <c r="B951" s="47">
        <v>20111.0</v>
      </c>
      <c r="C951" s="47">
        <v>4.0</v>
      </c>
      <c r="D951" s="47" t="s">
        <v>4044</v>
      </c>
      <c r="E951" s="47" t="str">
        <f t="shared" si="1"/>
        <v>4A</v>
      </c>
      <c r="F951" s="47" t="s">
        <v>4046</v>
      </c>
      <c r="G951" s="47" t="s">
        <v>729</v>
      </c>
      <c r="H951" s="48">
        <f>IF(NOT(ISBLANK(vlookup(B951,Pop_Census_2023!$A$2:$E$3220,4,FALSE))),vlookup(B951,Pop_Census_2023!$A$2:$E$3220,4,FALSE), vlookup(B951,Pop_Census_2023!$A$2:$E$3220,5,FALSE))</f>
        <v>32172</v>
      </c>
    </row>
    <row r="952">
      <c r="A952" s="47" t="s">
        <v>2601</v>
      </c>
      <c r="B952" s="47">
        <v>20113.0</v>
      </c>
      <c r="C952" s="47">
        <v>4.0</v>
      </c>
      <c r="D952" s="47" t="s">
        <v>4044</v>
      </c>
      <c r="E952" s="47" t="str">
        <f t="shared" si="1"/>
        <v>4A</v>
      </c>
      <c r="F952" s="47" t="s">
        <v>4046</v>
      </c>
      <c r="G952" s="47" t="s">
        <v>782</v>
      </c>
      <c r="H952" s="48">
        <f>IF(NOT(ISBLANK(vlookup(B952,Pop_Census_2023!$A$2:$E$3220,4,FALSE))),vlookup(B952,Pop_Census_2023!$A$2:$E$3220,4,FALSE), vlookup(B952,Pop_Census_2023!$A$2:$E$3220,5,FALSE))</f>
        <v>30091</v>
      </c>
    </row>
    <row r="953">
      <c r="A953" s="47" t="s">
        <v>2601</v>
      </c>
      <c r="B953" s="47">
        <v>20115.0</v>
      </c>
      <c r="C953" s="47">
        <v>4.0</v>
      </c>
      <c r="D953" s="47" t="s">
        <v>4044</v>
      </c>
      <c r="E953" s="47" t="str">
        <f t="shared" si="1"/>
        <v>4A</v>
      </c>
      <c r="F953" s="47" t="s">
        <v>4046</v>
      </c>
      <c r="G953" s="47" t="s">
        <v>149</v>
      </c>
      <c r="H953" s="48">
        <f>IF(NOT(ISBLANK(vlookup(B953,Pop_Census_2023!$A$2:$E$3220,4,FALSE))),vlookup(B953,Pop_Census_2023!$A$2:$E$3220,4,FALSE), vlookup(B953,Pop_Census_2023!$A$2:$E$3220,5,FALSE))</f>
        <v>11690</v>
      </c>
    </row>
    <row r="954">
      <c r="A954" s="47" t="s">
        <v>2601</v>
      </c>
      <c r="B954" s="47">
        <v>20117.0</v>
      </c>
      <c r="C954" s="47">
        <v>4.0</v>
      </c>
      <c r="D954" s="47" t="s">
        <v>4044</v>
      </c>
      <c r="E954" s="47" t="str">
        <f t="shared" si="1"/>
        <v>4A</v>
      </c>
      <c r="F954" s="47" t="s">
        <v>4046</v>
      </c>
      <c r="G954" s="47" t="s">
        <v>150</v>
      </c>
      <c r="H954" s="48">
        <f>IF(NOT(ISBLANK(vlookup(B954,Pop_Census_2023!$A$2:$E$3220,4,FALSE))),vlookup(B954,Pop_Census_2023!$A$2:$E$3220,4,FALSE), vlookup(B954,Pop_Census_2023!$A$2:$E$3220,5,FALSE))</f>
        <v>9933</v>
      </c>
    </row>
    <row r="955">
      <c r="A955" s="47" t="s">
        <v>2601</v>
      </c>
      <c r="B955" s="47">
        <v>20119.0</v>
      </c>
      <c r="C955" s="47">
        <v>4.0</v>
      </c>
      <c r="D955" s="47" t="s">
        <v>4044</v>
      </c>
      <c r="E955" s="47" t="str">
        <f t="shared" si="1"/>
        <v>4A</v>
      </c>
      <c r="F955" s="47" t="s">
        <v>4046</v>
      </c>
      <c r="G955" s="47" t="s">
        <v>783</v>
      </c>
      <c r="H955" s="48">
        <f>IF(NOT(ISBLANK(vlookup(B955,Pop_Census_2023!$A$2:$E$3220,4,FALSE))),vlookup(B955,Pop_Census_2023!$A$2:$E$3220,4,FALSE), vlookup(B955,Pop_Census_2023!$A$2:$E$3220,5,FALSE))</f>
        <v>3911</v>
      </c>
    </row>
    <row r="956">
      <c r="A956" s="47" t="s">
        <v>2601</v>
      </c>
      <c r="B956" s="47">
        <v>20121.0</v>
      </c>
      <c r="C956" s="47">
        <v>4.0</v>
      </c>
      <c r="D956" s="47" t="s">
        <v>4044</v>
      </c>
      <c r="E956" s="47" t="str">
        <f t="shared" si="1"/>
        <v>4A</v>
      </c>
      <c r="F956" s="47" t="s">
        <v>4046</v>
      </c>
      <c r="G956" s="47" t="s">
        <v>681</v>
      </c>
      <c r="H956" s="48">
        <f>IF(NOT(ISBLANK(vlookup(B956,Pop_Census_2023!$A$2:$E$3220,4,FALSE))),vlookup(B956,Pop_Census_2023!$A$2:$E$3220,4,FALSE), vlookup(B956,Pop_Census_2023!$A$2:$E$3220,5,FALSE))</f>
        <v>35320</v>
      </c>
    </row>
    <row r="957">
      <c r="A957" s="47" t="s">
        <v>2601</v>
      </c>
      <c r="B957" s="47">
        <v>20123.0</v>
      </c>
      <c r="C957" s="47">
        <v>5.0</v>
      </c>
      <c r="D957" s="47" t="s">
        <v>4044</v>
      </c>
      <c r="E957" s="47" t="str">
        <f t="shared" si="1"/>
        <v>5A</v>
      </c>
      <c r="F957" s="47" t="s">
        <v>4054</v>
      </c>
      <c r="G957" s="47" t="s">
        <v>529</v>
      </c>
      <c r="H957" s="48">
        <f>IF(NOT(ISBLANK(vlookup(B957,Pop_Census_2023!$A$2:$E$3220,4,FALSE))),vlookup(B957,Pop_Census_2023!$A$2:$E$3220,4,FALSE), vlookup(B957,Pop_Census_2023!$A$2:$E$3220,5,FALSE))</f>
        <v>5719</v>
      </c>
    </row>
    <row r="958">
      <c r="A958" s="47" t="s">
        <v>2601</v>
      </c>
      <c r="B958" s="47">
        <v>20125.0</v>
      </c>
      <c r="C958" s="47">
        <v>4.0</v>
      </c>
      <c r="D958" s="47" t="s">
        <v>4044</v>
      </c>
      <c r="E958" s="47" t="str">
        <f t="shared" si="1"/>
        <v>4A</v>
      </c>
      <c r="F958" s="47" t="s">
        <v>4046</v>
      </c>
      <c r="G958" s="47" t="s">
        <v>153</v>
      </c>
      <c r="H958" s="48">
        <f>IF(NOT(ISBLANK(vlookup(B958,Pop_Census_2023!$A$2:$E$3220,4,FALSE))),vlookup(B958,Pop_Census_2023!$A$2:$E$3220,4,FALSE), vlookup(B958,Pop_Census_2023!$A$2:$E$3220,5,FALSE))</f>
        <v>30568</v>
      </c>
    </row>
    <row r="959">
      <c r="A959" s="47" t="s">
        <v>2601</v>
      </c>
      <c r="B959" s="47">
        <v>20127.0</v>
      </c>
      <c r="C959" s="47">
        <v>4.0</v>
      </c>
      <c r="D959" s="47" t="s">
        <v>4044</v>
      </c>
      <c r="E959" s="47" t="str">
        <f t="shared" si="1"/>
        <v>4A</v>
      </c>
      <c r="F959" s="47" t="s">
        <v>4046</v>
      </c>
      <c r="G959" s="47" t="s">
        <v>784</v>
      </c>
      <c r="H959" s="48">
        <f>IF(NOT(ISBLANK(vlookup(B959,Pop_Census_2023!$A$2:$E$3220,4,FALSE))),vlookup(B959,Pop_Census_2023!$A$2:$E$3220,4,FALSE), vlookup(B959,Pop_Census_2023!$A$2:$E$3220,5,FALSE))</f>
        <v>5334</v>
      </c>
    </row>
    <row r="960">
      <c r="A960" s="47" t="s">
        <v>2601</v>
      </c>
      <c r="B960" s="47">
        <v>20129.0</v>
      </c>
      <c r="C960" s="47">
        <v>4.0</v>
      </c>
      <c r="D960" s="47" t="s">
        <v>4044</v>
      </c>
      <c r="E960" s="47" t="str">
        <f t="shared" si="1"/>
        <v>4A</v>
      </c>
      <c r="F960" s="47" t="s">
        <v>4046</v>
      </c>
      <c r="G960" s="47" t="s">
        <v>785</v>
      </c>
      <c r="H960" s="48">
        <f>IF(NOT(ISBLANK(vlookup(B960,Pop_Census_2023!$A$2:$E$3220,4,FALSE))),vlookup(B960,Pop_Census_2023!$A$2:$E$3220,4,FALSE), vlookup(B960,Pop_Census_2023!$A$2:$E$3220,5,FALSE))</f>
        <v>2580</v>
      </c>
    </row>
    <row r="961">
      <c r="A961" s="47" t="s">
        <v>2601</v>
      </c>
      <c r="B961" s="47">
        <v>20131.0</v>
      </c>
      <c r="C961" s="47">
        <v>4.0</v>
      </c>
      <c r="D961" s="47" t="s">
        <v>4044</v>
      </c>
      <c r="E961" s="47" t="str">
        <f t="shared" si="1"/>
        <v>4A</v>
      </c>
      <c r="F961" s="47" t="s">
        <v>4046</v>
      </c>
      <c r="G961" s="47" t="s">
        <v>786</v>
      </c>
      <c r="H961" s="48">
        <f>IF(NOT(ISBLANK(vlookup(B961,Pop_Census_2023!$A$2:$E$3220,4,FALSE))),vlookup(B961,Pop_Census_2023!$A$2:$E$3220,4,FALSE), vlookup(B961,Pop_Census_2023!$A$2:$E$3220,5,FALSE))</f>
        <v>10114</v>
      </c>
    </row>
    <row r="962">
      <c r="A962" s="47" t="s">
        <v>2601</v>
      </c>
      <c r="B962" s="47">
        <v>20133.0</v>
      </c>
      <c r="C962" s="47">
        <v>4.0</v>
      </c>
      <c r="D962" s="47" t="s">
        <v>4044</v>
      </c>
      <c r="E962" s="47" t="str">
        <f t="shared" si="1"/>
        <v>4A</v>
      </c>
      <c r="F962" s="47" t="s">
        <v>4046</v>
      </c>
      <c r="G962" s="47" t="s">
        <v>787</v>
      </c>
      <c r="H962" s="48">
        <f>IF(NOT(ISBLANK(vlookup(B962,Pop_Census_2023!$A$2:$E$3220,4,FALSE))),vlookup(B962,Pop_Census_2023!$A$2:$E$3220,4,FALSE), vlookup(B962,Pop_Census_2023!$A$2:$E$3220,5,FALSE))</f>
        <v>15420</v>
      </c>
    </row>
    <row r="963">
      <c r="A963" s="47" t="s">
        <v>2601</v>
      </c>
      <c r="B963" s="47">
        <v>20135.0</v>
      </c>
      <c r="C963" s="47">
        <v>5.0</v>
      </c>
      <c r="D963" s="47" t="s">
        <v>4044</v>
      </c>
      <c r="E963" s="47" t="str">
        <f t="shared" si="1"/>
        <v>5A</v>
      </c>
      <c r="F963" s="47" t="s">
        <v>4054</v>
      </c>
      <c r="G963" s="47" t="s">
        <v>788</v>
      </c>
      <c r="H963" s="48">
        <f>IF(NOT(ISBLANK(vlookup(B963,Pop_Census_2023!$A$2:$E$3220,4,FALSE))),vlookup(B963,Pop_Census_2023!$A$2:$E$3220,4,FALSE), vlookup(B963,Pop_Census_2023!$A$2:$E$3220,5,FALSE))</f>
        <v>2618</v>
      </c>
    </row>
    <row r="964">
      <c r="A964" s="47" t="s">
        <v>2601</v>
      </c>
      <c r="B964" s="47">
        <v>20137.0</v>
      </c>
      <c r="C964" s="47">
        <v>5.0</v>
      </c>
      <c r="D964" s="47" t="s">
        <v>4044</v>
      </c>
      <c r="E964" s="47" t="str">
        <f t="shared" si="1"/>
        <v>5A</v>
      </c>
      <c r="F964" s="47" t="s">
        <v>4054</v>
      </c>
      <c r="G964" s="47" t="s">
        <v>789</v>
      </c>
      <c r="H964" s="48">
        <f>IF(NOT(ISBLANK(vlookup(B964,Pop_Census_2023!$A$2:$E$3220,4,FALSE))),vlookup(B964,Pop_Census_2023!$A$2:$E$3220,4,FALSE), vlookup(B964,Pop_Census_2023!$A$2:$E$3220,5,FALSE))</f>
        <v>5330</v>
      </c>
    </row>
    <row r="965">
      <c r="A965" s="47" t="s">
        <v>2601</v>
      </c>
      <c r="B965" s="47">
        <v>20139.0</v>
      </c>
      <c r="C965" s="47">
        <v>4.0</v>
      </c>
      <c r="D965" s="47" t="s">
        <v>4044</v>
      </c>
      <c r="E965" s="47" t="str">
        <f t="shared" si="1"/>
        <v>4A</v>
      </c>
      <c r="F965" s="47" t="s">
        <v>4046</v>
      </c>
      <c r="G965" s="47" t="s">
        <v>790</v>
      </c>
      <c r="H965" s="48">
        <f>IF(NOT(ISBLANK(vlookup(B965,Pop_Census_2023!$A$2:$E$3220,4,FALSE))),vlookup(B965,Pop_Census_2023!$A$2:$E$3220,4,FALSE), vlookup(B965,Pop_Census_2023!$A$2:$E$3220,5,FALSE))</f>
        <v>15824</v>
      </c>
    </row>
    <row r="966">
      <c r="A966" s="47" t="s">
        <v>2601</v>
      </c>
      <c r="B966" s="47">
        <v>20141.0</v>
      </c>
      <c r="C966" s="47">
        <v>5.0</v>
      </c>
      <c r="D966" s="47" t="s">
        <v>4044</v>
      </c>
      <c r="E966" s="47" t="str">
        <f t="shared" si="1"/>
        <v>5A</v>
      </c>
      <c r="F966" s="47" t="s">
        <v>4054</v>
      </c>
      <c r="G966" s="47" t="s">
        <v>791</v>
      </c>
      <c r="H966" s="48">
        <f>IF(NOT(ISBLANK(vlookup(B966,Pop_Census_2023!$A$2:$E$3220,4,FALSE))),vlookup(B966,Pop_Census_2023!$A$2:$E$3220,4,FALSE), vlookup(B966,Pop_Census_2023!$A$2:$E$3220,5,FALSE))</f>
        <v>3427</v>
      </c>
    </row>
    <row r="967">
      <c r="A967" s="47" t="s">
        <v>2601</v>
      </c>
      <c r="B967" s="47">
        <v>20143.0</v>
      </c>
      <c r="C967" s="47">
        <v>4.0</v>
      </c>
      <c r="D967" s="47" t="s">
        <v>4044</v>
      </c>
      <c r="E967" s="47" t="str">
        <f t="shared" si="1"/>
        <v>4A</v>
      </c>
      <c r="F967" s="47" t="s">
        <v>4046</v>
      </c>
      <c r="G967" s="47" t="s">
        <v>792</v>
      </c>
      <c r="H967" s="48">
        <f>IF(NOT(ISBLANK(vlookup(B967,Pop_Census_2023!$A$2:$E$3220,4,FALSE))),vlookup(B967,Pop_Census_2023!$A$2:$E$3220,4,FALSE), vlookup(B967,Pop_Census_2023!$A$2:$E$3220,5,FALSE))</f>
        <v>5818</v>
      </c>
    </row>
    <row r="968">
      <c r="A968" s="47" t="s">
        <v>2601</v>
      </c>
      <c r="B968" s="47">
        <v>20145.0</v>
      </c>
      <c r="C968" s="47">
        <v>4.0</v>
      </c>
      <c r="D968" s="47" t="s">
        <v>4044</v>
      </c>
      <c r="E968" s="47" t="str">
        <f t="shared" si="1"/>
        <v>4A</v>
      </c>
      <c r="F968" s="47" t="s">
        <v>4046</v>
      </c>
      <c r="G968" s="47" t="s">
        <v>793</v>
      </c>
      <c r="H968" s="48">
        <f>IF(NOT(ISBLANK(vlookup(B968,Pop_Census_2023!$A$2:$E$3220,4,FALSE))),vlookup(B968,Pop_Census_2023!$A$2:$E$3220,4,FALSE), vlookup(B968,Pop_Census_2023!$A$2:$E$3220,5,FALSE))</f>
        <v>6126</v>
      </c>
    </row>
    <row r="969">
      <c r="A969" s="47" t="s">
        <v>2601</v>
      </c>
      <c r="B969" s="47">
        <v>20147.0</v>
      </c>
      <c r="C969" s="47">
        <v>5.0</v>
      </c>
      <c r="D969" s="47" t="s">
        <v>4044</v>
      </c>
      <c r="E969" s="47" t="str">
        <f t="shared" si="1"/>
        <v>5A</v>
      </c>
      <c r="F969" s="47" t="s">
        <v>4054</v>
      </c>
      <c r="G969" s="47" t="s">
        <v>259</v>
      </c>
      <c r="H969" s="48">
        <f>IF(NOT(ISBLANK(vlookup(B969,Pop_Census_2023!$A$2:$E$3220,4,FALSE))),vlookup(B969,Pop_Census_2023!$A$2:$E$3220,4,FALSE), vlookup(B969,Pop_Census_2023!$A$2:$E$3220,5,FALSE))</f>
        <v>4761</v>
      </c>
    </row>
    <row r="970">
      <c r="A970" s="47" t="s">
        <v>2601</v>
      </c>
      <c r="B970" s="47">
        <v>20149.0</v>
      </c>
      <c r="C970" s="47">
        <v>4.0</v>
      </c>
      <c r="D970" s="47" t="s">
        <v>4044</v>
      </c>
      <c r="E970" s="47" t="str">
        <f t="shared" si="1"/>
        <v>4A</v>
      </c>
      <c r="F970" s="47" t="s">
        <v>4046</v>
      </c>
      <c r="G970" s="47" t="s">
        <v>794</v>
      </c>
      <c r="H970" s="48">
        <f>IF(NOT(ISBLANK(vlookup(B970,Pop_Census_2023!$A$2:$E$3220,4,FALSE))),vlookup(B970,Pop_Census_2023!$A$2:$E$3220,4,FALSE), vlookup(B970,Pop_Census_2023!$A$2:$E$3220,5,FALSE))</f>
        <v>26382</v>
      </c>
    </row>
    <row r="971">
      <c r="A971" s="47" t="s">
        <v>2601</v>
      </c>
      <c r="B971" s="47">
        <v>20151.0</v>
      </c>
      <c r="C971" s="47">
        <v>4.0</v>
      </c>
      <c r="D971" s="47" t="s">
        <v>4044</v>
      </c>
      <c r="E971" s="47" t="str">
        <f t="shared" si="1"/>
        <v>4A</v>
      </c>
      <c r="F971" s="47" t="s">
        <v>4046</v>
      </c>
      <c r="G971" s="47" t="s">
        <v>795</v>
      </c>
      <c r="H971" s="48">
        <f>IF(NOT(ISBLANK(vlookup(B971,Pop_Census_2023!$A$2:$E$3220,4,FALSE))),vlookup(B971,Pop_Census_2023!$A$2:$E$3220,4,FALSE), vlookup(B971,Pop_Census_2023!$A$2:$E$3220,5,FALSE))</f>
        <v>9082</v>
      </c>
    </row>
    <row r="972">
      <c r="A972" s="47" t="s">
        <v>2601</v>
      </c>
      <c r="B972" s="47">
        <v>20153.0</v>
      </c>
      <c r="C972" s="47">
        <v>5.0</v>
      </c>
      <c r="D972" s="47" t="s">
        <v>4044</v>
      </c>
      <c r="E972" s="47" t="str">
        <f t="shared" si="1"/>
        <v>5A</v>
      </c>
      <c r="F972" s="47" t="s">
        <v>4054</v>
      </c>
      <c r="G972" s="47" t="s">
        <v>796</v>
      </c>
      <c r="H972" s="48">
        <f>IF(NOT(ISBLANK(vlookup(B972,Pop_Census_2023!$A$2:$E$3220,4,FALSE))),vlookup(B972,Pop_Census_2023!$A$2:$E$3220,4,FALSE), vlookup(B972,Pop_Census_2023!$A$2:$E$3220,5,FALSE))</f>
        <v>2463</v>
      </c>
    </row>
    <row r="973">
      <c r="A973" s="47" t="s">
        <v>2601</v>
      </c>
      <c r="B973" s="47">
        <v>20155.0</v>
      </c>
      <c r="C973" s="47">
        <v>4.0</v>
      </c>
      <c r="D973" s="47" t="s">
        <v>4044</v>
      </c>
      <c r="E973" s="47" t="str">
        <f t="shared" si="1"/>
        <v>4A</v>
      </c>
      <c r="F973" s="47" t="s">
        <v>4046</v>
      </c>
      <c r="G973" s="47" t="s">
        <v>797</v>
      </c>
      <c r="H973" s="48">
        <f>IF(NOT(ISBLANK(vlookup(B973,Pop_Census_2023!$A$2:$E$3220,4,FALSE))),vlookup(B973,Pop_Census_2023!$A$2:$E$3220,4,FALSE), vlookup(B973,Pop_Census_2023!$A$2:$E$3220,5,FALSE))</f>
        <v>61497</v>
      </c>
    </row>
    <row r="974">
      <c r="A974" s="47" t="s">
        <v>2601</v>
      </c>
      <c r="B974" s="47">
        <v>20157.0</v>
      </c>
      <c r="C974" s="47">
        <v>5.0</v>
      </c>
      <c r="D974" s="47" t="s">
        <v>4044</v>
      </c>
      <c r="E974" s="47" t="str">
        <f t="shared" si="1"/>
        <v>5A</v>
      </c>
      <c r="F974" s="47" t="s">
        <v>4054</v>
      </c>
      <c r="G974" s="47" t="s">
        <v>798</v>
      </c>
      <c r="H974" s="48">
        <f>IF(NOT(ISBLANK(vlookup(B974,Pop_Census_2023!$A$2:$E$3220,4,FALSE))),vlookup(B974,Pop_Census_2023!$A$2:$E$3220,4,FALSE), vlookup(B974,Pop_Census_2023!$A$2:$E$3220,5,FALSE))</f>
        <v>4627</v>
      </c>
    </row>
    <row r="975">
      <c r="A975" s="47" t="s">
        <v>2601</v>
      </c>
      <c r="B975" s="47">
        <v>20159.0</v>
      </c>
      <c r="C975" s="47">
        <v>4.0</v>
      </c>
      <c r="D975" s="47" t="s">
        <v>4044</v>
      </c>
      <c r="E975" s="47" t="str">
        <f t="shared" si="1"/>
        <v>4A</v>
      </c>
      <c r="F975" s="47" t="s">
        <v>4046</v>
      </c>
      <c r="G975" s="47" t="s">
        <v>799</v>
      </c>
      <c r="H975" s="48">
        <f>IF(NOT(ISBLANK(vlookup(B975,Pop_Census_2023!$A$2:$E$3220,4,FALSE))),vlookup(B975,Pop_Census_2023!$A$2:$E$3220,4,FALSE), vlookup(B975,Pop_Census_2023!$A$2:$E$3220,5,FALSE))</f>
        <v>9260</v>
      </c>
    </row>
    <row r="976">
      <c r="A976" s="47" t="s">
        <v>2601</v>
      </c>
      <c r="B976" s="47">
        <v>20161.0</v>
      </c>
      <c r="C976" s="47">
        <v>4.0</v>
      </c>
      <c r="D976" s="47" t="s">
        <v>4044</v>
      </c>
      <c r="E976" s="47" t="str">
        <f t="shared" si="1"/>
        <v>4A</v>
      </c>
      <c r="F976" s="47" t="s">
        <v>4046</v>
      </c>
      <c r="G976" s="47" t="s">
        <v>800</v>
      </c>
      <c r="H976" s="48">
        <f>IF(NOT(ISBLANK(vlookup(B976,Pop_Census_2023!$A$2:$E$3220,4,FALSE))),vlookup(B976,Pop_Census_2023!$A$2:$E$3220,4,FALSE), vlookup(B976,Pop_Census_2023!$A$2:$E$3220,5,FALSE))</f>
        <v>71402</v>
      </c>
    </row>
    <row r="977">
      <c r="A977" s="47" t="s">
        <v>2601</v>
      </c>
      <c r="B977" s="47">
        <v>20163.0</v>
      </c>
      <c r="C977" s="47">
        <v>5.0</v>
      </c>
      <c r="D977" s="47" t="s">
        <v>4044</v>
      </c>
      <c r="E977" s="47" t="str">
        <f t="shared" si="1"/>
        <v>5A</v>
      </c>
      <c r="F977" s="47" t="s">
        <v>4054</v>
      </c>
      <c r="G977" s="47" t="s">
        <v>801</v>
      </c>
      <c r="H977" s="48">
        <f>IF(NOT(ISBLANK(vlookup(B977,Pop_Census_2023!$A$2:$E$3220,4,FALSE))),vlookup(B977,Pop_Census_2023!$A$2:$E$3220,4,FALSE), vlookup(B977,Pop_Census_2023!$A$2:$E$3220,5,FALSE))</f>
        <v>4778</v>
      </c>
    </row>
    <row r="978">
      <c r="A978" s="47" t="s">
        <v>2601</v>
      </c>
      <c r="B978" s="47">
        <v>20165.0</v>
      </c>
      <c r="C978" s="47">
        <v>4.0</v>
      </c>
      <c r="D978" s="47" t="s">
        <v>4044</v>
      </c>
      <c r="E978" s="47" t="str">
        <f t="shared" si="1"/>
        <v>4A</v>
      </c>
      <c r="F978" s="47" t="s">
        <v>4046</v>
      </c>
      <c r="G978" s="47" t="s">
        <v>689</v>
      </c>
      <c r="H978" s="48">
        <f>IF(NOT(ISBLANK(vlookup(B978,Pop_Census_2023!$A$2:$E$3220,4,FALSE))),vlookup(B978,Pop_Census_2023!$A$2:$E$3220,4,FALSE), vlookup(B978,Pop_Census_2023!$A$2:$E$3220,5,FALSE))</f>
        <v>2830</v>
      </c>
    </row>
    <row r="979">
      <c r="A979" s="47" t="s">
        <v>2601</v>
      </c>
      <c r="B979" s="47">
        <v>20167.0</v>
      </c>
      <c r="C979" s="47">
        <v>4.0</v>
      </c>
      <c r="D979" s="47" t="s">
        <v>4044</v>
      </c>
      <c r="E979" s="47" t="str">
        <f t="shared" si="1"/>
        <v>4A</v>
      </c>
      <c r="F979" s="47" t="s">
        <v>4046</v>
      </c>
      <c r="G979" s="47" t="s">
        <v>159</v>
      </c>
      <c r="H979" s="48">
        <f>IF(NOT(ISBLANK(vlookup(B979,Pop_Census_2023!$A$2:$E$3220,4,FALSE))),vlookup(B979,Pop_Census_2023!$A$2:$E$3220,4,FALSE), vlookup(B979,Pop_Census_2023!$A$2:$E$3220,5,FALSE))</f>
        <v>6723</v>
      </c>
    </row>
    <row r="980">
      <c r="A980" s="47" t="s">
        <v>2601</v>
      </c>
      <c r="B980" s="47">
        <v>20169.0</v>
      </c>
      <c r="C980" s="47">
        <v>4.0</v>
      </c>
      <c r="D980" s="47" t="s">
        <v>4044</v>
      </c>
      <c r="E980" s="47" t="str">
        <f t="shared" si="1"/>
        <v>4A</v>
      </c>
      <c r="F980" s="47" t="s">
        <v>4046</v>
      </c>
      <c r="G980" s="47" t="s">
        <v>266</v>
      </c>
      <c r="H980" s="48">
        <f>IF(NOT(ISBLANK(vlookup(B980,Pop_Census_2023!$A$2:$E$3220,4,FALSE))),vlookup(B980,Pop_Census_2023!$A$2:$E$3220,4,FALSE), vlookup(B980,Pop_Census_2023!$A$2:$E$3220,5,FALSE))</f>
        <v>53098</v>
      </c>
    </row>
    <row r="981">
      <c r="A981" s="47" t="s">
        <v>2601</v>
      </c>
      <c r="B981" s="47">
        <v>20171.0</v>
      </c>
      <c r="C981" s="47">
        <v>5.0</v>
      </c>
      <c r="D981" s="47" t="s">
        <v>4044</v>
      </c>
      <c r="E981" s="47" t="str">
        <f t="shared" si="1"/>
        <v>5A</v>
      </c>
      <c r="F981" s="47" t="s">
        <v>4054</v>
      </c>
      <c r="G981" s="47" t="s">
        <v>267</v>
      </c>
      <c r="H981" s="48">
        <f>IF(NOT(ISBLANK(vlookup(B981,Pop_Census_2023!$A$2:$E$3220,4,FALSE))),vlookup(B981,Pop_Census_2023!$A$2:$E$3220,4,FALSE), vlookup(B981,Pop_Census_2023!$A$2:$E$3220,5,FALSE))</f>
        <v>4922</v>
      </c>
    </row>
    <row r="982">
      <c r="A982" s="47" t="s">
        <v>2601</v>
      </c>
      <c r="B982" s="47">
        <v>20173.0</v>
      </c>
      <c r="C982" s="47">
        <v>4.0</v>
      </c>
      <c r="D982" s="47" t="s">
        <v>4044</v>
      </c>
      <c r="E982" s="47" t="str">
        <f t="shared" si="1"/>
        <v>4A</v>
      </c>
      <c r="F982" s="47" t="s">
        <v>4046</v>
      </c>
      <c r="G982" s="47" t="s">
        <v>390</v>
      </c>
      <c r="H982" s="48">
        <f>IF(NOT(ISBLANK(vlookup(B982,Pop_Census_2023!$A$2:$E$3220,4,FALSE))),vlookup(B982,Pop_Census_2023!$A$2:$E$3220,4,FALSE), vlookup(B982,Pop_Census_2023!$A$2:$E$3220,5,FALSE))</f>
        <v>528469</v>
      </c>
    </row>
    <row r="983">
      <c r="A983" s="47" t="s">
        <v>2601</v>
      </c>
      <c r="B983" s="47">
        <v>20175.0</v>
      </c>
      <c r="C983" s="47">
        <v>4.0</v>
      </c>
      <c r="D983" s="47" t="s">
        <v>4044</v>
      </c>
      <c r="E983" s="47" t="str">
        <f t="shared" si="1"/>
        <v>4A</v>
      </c>
      <c r="F983" s="47" t="s">
        <v>4046</v>
      </c>
      <c r="G983" s="47" t="s">
        <v>802</v>
      </c>
      <c r="H983" s="48">
        <f>IF(NOT(ISBLANK(vlookup(B983,Pop_Census_2023!$A$2:$E$3220,4,FALSE))),vlookup(B983,Pop_Census_2023!$A$2:$E$3220,4,FALSE), vlookup(B983,Pop_Census_2023!$A$2:$E$3220,5,FALSE))</f>
        <v>21067</v>
      </c>
    </row>
    <row r="984">
      <c r="A984" s="47" t="s">
        <v>2601</v>
      </c>
      <c r="B984" s="47">
        <v>20177.0</v>
      </c>
      <c r="C984" s="47">
        <v>4.0</v>
      </c>
      <c r="D984" s="47" t="s">
        <v>4044</v>
      </c>
      <c r="E984" s="47" t="str">
        <f t="shared" si="1"/>
        <v>4A</v>
      </c>
      <c r="F984" s="47" t="s">
        <v>4046</v>
      </c>
      <c r="G984" s="47" t="s">
        <v>803</v>
      </c>
      <c r="H984" s="48">
        <f>IF(NOT(ISBLANK(vlookup(B984,Pop_Census_2023!$A$2:$E$3220,4,FALSE))),vlookup(B984,Pop_Census_2023!$A$2:$E$3220,4,FALSE), vlookup(B984,Pop_Census_2023!$A$2:$E$3220,5,FALSE))</f>
        <v>177746</v>
      </c>
    </row>
    <row r="985">
      <c r="A985" s="47" t="s">
        <v>2601</v>
      </c>
      <c r="B985" s="47">
        <v>20179.0</v>
      </c>
      <c r="C985" s="47">
        <v>5.0</v>
      </c>
      <c r="D985" s="47" t="s">
        <v>4044</v>
      </c>
      <c r="E985" s="47" t="str">
        <f t="shared" si="1"/>
        <v>5A</v>
      </c>
      <c r="F985" s="47" t="s">
        <v>4054</v>
      </c>
      <c r="G985" s="47" t="s">
        <v>804</v>
      </c>
      <c r="H985" s="48">
        <f>IF(NOT(ISBLANK(vlookup(B985,Pop_Census_2023!$A$2:$E$3220,4,FALSE))),vlookup(B985,Pop_Census_2023!$A$2:$E$3220,4,FALSE), vlookup(B985,Pop_Census_2023!$A$2:$E$3220,5,FALSE))</f>
        <v>2423</v>
      </c>
    </row>
    <row r="986">
      <c r="A986" s="47" t="s">
        <v>2601</v>
      </c>
      <c r="B986" s="47">
        <v>20181.0</v>
      </c>
      <c r="C986" s="47">
        <v>5.0</v>
      </c>
      <c r="D986" s="47" t="s">
        <v>4044</v>
      </c>
      <c r="E986" s="47" t="str">
        <f t="shared" si="1"/>
        <v>5A</v>
      </c>
      <c r="F986" s="47" t="s">
        <v>4054</v>
      </c>
      <c r="G986" s="47" t="s">
        <v>805</v>
      </c>
      <c r="H986" s="48">
        <f>IF(NOT(ISBLANK(vlookup(B986,Pop_Census_2023!$A$2:$E$3220,4,FALSE))),vlookup(B986,Pop_Census_2023!$A$2:$E$3220,4,FALSE), vlookup(B986,Pop_Census_2023!$A$2:$E$3220,5,FALSE))</f>
        <v>5844</v>
      </c>
    </row>
    <row r="987">
      <c r="A987" s="47" t="s">
        <v>2601</v>
      </c>
      <c r="B987" s="47">
        <v>20183.0</v>
      </c>
      <c r="C987" s="47">
        <v>5.0</v>
      </c>
      <c r="D987" s="47" t="s">
        <v>4044</v>
      </c>
      <c r="E987" s="47" t="str">
        <f t="shared" si="1"/>
        <v>5A</v>
      </c>
      <c r="F987" s="47" t="s">
        <v>4054</v>
      </c>
      <c r="G987" s="47" t="s">
        <v>806</v>
      </c>
      <c r="H987" s="48">
        <f>IF(NOT(ISBLANK(vlookup(B987,Pop_Census_2023!$A$2:$E$3220,4,FALSE))),vlookup(B987,Pop_Census_2023!$A$2:$E$3220,4,FALSE), vlookup(B987,Pop_Census_2023!$A$2:$E$3220,5,FALSE))</f>
        <v>3590</v>
      </c>
    </row>
    <row r="988">
      <c r="A988" s="47" t="s">
        <v>2601</v>
      </c>
      <c r="B988" s="47">
        <v>20185.0</v>
      </c>
      <c r="C988" s="47">
        <v>4.0</v>
      </c>
      <c r="D988" s="47" t="s">
        <v>4044</v>
      </c>
      <c r="E988" s="47" t="str">
        <f t="shared" si="1"/>
        <v>4A</v>
      </c>
      <c r="F988" s="47" t="s">
        <v>4046</v>
      </c>
      <c r="G988" s="47" t="s">
        <v>807</v>
      </c>
      <c r="H988" s="48">
        <f>IF(NOT(ISBLANK(vlookup(B988,Pop_Census_2023!$A$2:$E$3220,4,FALSE))),vlookup(B988,Pop_Census_2023!$A$2:$E$3220,4,FALSE), vlookup(B988,Pop_Census_2023!$A$2:$E$3220,5,FALSE))</f>
        <v>3909</v>
      </c>
    </row>
    <row r="989">
      <c r="A989" s="47" t="s">
        <v>2601</v>
      </c>
      <c r="B989" s="47">
        <v>20187.0</v>
      </c>
      <c r="C989" s="47">
        <v>4.0</v>
      </c>
      <c r="D989" s="47" t="s">
        <v>4044</v>
      </c>
      <c r="E989" s="47" t="str">
        <f t="shared" si="1"/>
        <v>4A</v>
      </c>
      <c r="F989" s="47" t="s">
        <v>4046</v>
      </c>
      <c r="G989" s="47" t="s">
        <v>808</v>
      </c>
      <c r="H989" s="48">
        <f>IF(NOT(ISBLANK(vlookup(B989,Pop_Census_2023!$A$2:$E$3220,4,FALSE))),vlookup(B989,Pop_Census_2023!$A$2:$E$3220,4,FALSE), vlookup(B989,Pop_Census_2023!$A$2:$E$3220,5,FALSE))</f>
        <v>1901</v>
      </c>
    </row>
    <row r="990">
      <c r="A990" s="47" t="s">
        <v>2601</v>
      </c>
      <c r="B990" s="47">
        <v>20189.0</v>
      </c>
      <c r="C990" s="47">
        <v>4.0</v>
      </c>
      <c r="D990" s="47" t="s">
        <v>4044</v>
      </c>
      <c r="E990" s="47" t="str">
        <f t="shared" si="1"/>
        <v>4A</v>
      </c>
      <c r="F990" s="47" t="s">
        <v>4046</v>
      </c>
      <c r="G990" s="47" t="s">
        <v>809</v>
      </c>
      <c r="H990" s="48">
        <f>IF(NOT(ISBLANK(vlookup(B990,Pop_Census_2023!$A$2:$E$3220,4,FALSE))),vlookup(B990,Pop_Census_2023!$A$2:$E$3220,4,FALSE), vlookup(B990,Pop_Census_2023!$A$2:$E$3220,5,FALSE))</f>
        <v>5077</v>
      </c>
    </row>
    <row r="991">
      <c r="A991" s="47" t="s">
        <v>2601</v>
      </c>
      <c r="B991" s="47">
        <v>20191.0</v>
      </c>
      <c r="C991" s="47">
        <v>4.0</v>
      </c>
      <c r="D991" s="47" t="s">
        <v>4044</v>
      </c>
      <c r="E991" s="47" t="str">
        <f t="shared" si="1"/>
        <v>4A</v>
      </c>
      <c r="F991" s="47" t="s">
        <v>4046</v>
      </c>
      <c r="G991" s="47" t="s">
        <v>810</v>
      </c>
      <c r="H991" s="48">
        <f>IF(NOT(ISBLANK(vlookup(B991,Pop_Census_2023!$A$2:$E$3220,4,FALSE))),vlookup(B991,Pop_Census_2023!$A$2:$E$3220,4,FALSE), vlookup(B991,Pop_Census_2023!$A$2:$E$3220,5,FALSE))</f>
        <v>22334</v>
      </c>
    </row>
    <row r="992">
      <c r="A992" s="47" t="s">
        <v>2601</v>
      </c>
      <c r="B992" s="47">
        <v>20193.0</v>
      </c>
      <c r="C992" s="47">
        <v>5.0</v>
      </c>
      <c r="D992" s="47" t="s">
        <v>4044</v>
      </c>
      <c r="E992" s="47" t="str">
        <f t="shared" si="1"/>
        <v>5A</v>
      </c>
      <c r="F992" s="47" t="s">
        <v>4054</v>
      </c>
      <c r="G992" s="47" t="s">
        <v>551</v>
      </c>
      <c r="H992" s="48">
        <f>IF(NOT(ISBLANK(vlookup(B992,Pop_Census_2023!$A$2:$E$3220,4,FALSE))),vlookup(B992,Pop_Census_2023!$A$2:$E$3220,4,FALSE), vlookup(B992,Pop_Census_2023!$A$2:$E$3220,5,FALSE))</f>
        <v>7865</v>
      </c>
    </row>
    <row r="993">
      <c r="A993" s="47" t="s">
        <v>2601</v>
      </c>
      <c r="B993" s="47">
        <v>20195.0</v>
      </c>
      <c r="C993" s="47">
        <v>5.0</v>
      </c>
      <c r="D993" s="47" t="s">
        <v>4044</v>
      </c>
      <c r="E993" s="47" t="str">
        <f t="shared" si="1"/>
        <v>5A</v>
      </c>
      <c r="F993" s="47" t="s">
        <v>4054</v>
      </c>
      <c r="G993" s="47" t="s">
        <v>811</v>
      </c>
      <c r="H993" s="48">
        <f>IF(NOT(ISBLANK(vlookup(B993,Pop_Census_2023!$A$2:$E$3220,4,FALSE))),vlookup(B993,Pop_Census_2023!$A$2:$E$3220,4,FALSE), vlookup(B993,Pop_Census_2023!$A$2:$E$3220,5,FALSE))</f>
        <v>2731</v>
      </c>
    </row>
    <row r="994">
      <c r="A994" s="47" t="s">
        <v>2601</v>
      </c>
      <c r="B994" s="47">
        <v>20197.0</v>
      </c>
      <c r="C994" s="47">
        <v>4.0</v>
      </c>
      <c r="D994" s="47" t="s">
        <v>4044</v>
      </c>
      <c r="E994" s="47" t="str">
        <f t="shared" si="1"/>
        <v>4A</v>
      </c>
      <c r="F994" s="47" t="s">
        <v>4046</v>
      </c>
      <c r="G994" s="47" t="s">
        <v>812</v>
      </c>
      <c r="H994" s="48">
        <f>IF(NOT(ISBLANK(vlookup(B994,Pop_Census_2023!$A$2:$E$3220,4,FALSE))),vlookup(B994,Pop_Census_2023!$A$2:$E$3220,4,FALSE), vlookup(B994,Pop_Census_2023!$A$2:$E$3220,5,FALSE))</f>
        <v>7057</v>
      </c>
    </row>
    <row r="995">
      <c r="A995" s="47" t="s">
        <v>2601</v>
      </c>
      <c r="B995" s="47">
        <v>20199.0</v>
      </c>
      <c r="C995" s="47">
        <v>5.0</v>
      </c>
      <c r="D995" s="47" t="s">
        <v>4044</v>
      </c>
      <c r="E995" s="47" t="str">
        <f t="shared" si="1"/>
        <v>5A</v>
      </c>
      <c r="F995" s="47" t="s">
        <v>4054</v>
      </c>
      <c r="G995" s="47" t="s">
        <v>813</v>
      </c>
      <c r="H995" s="48">
        <f>IF(NOT(ISBLANK(vlookup(B995,Pop_Census_2023!$A$2:$E$3220,4,FALSE))),vlookup(B995,Pop_Census_2023!$A$2:$E$3220,4,FALSE), vlookup(B995,Pop_Census_2023!$A$2:$E$3220,5,FALSE))</f>
        <v>1509</v>
      </c>
    </row>
    <row r="996">
      <c r="A996" s="47" t="s">
        <v>2601</v>
      </c>
      <c r="B996" s="47">
        <v>20201.0</v>
      </c>
      <c r="C996" s="47">
        <v>4.0</v>
      </c>
      <c r="D996" s="47" t="s">
        <v>4044</v>
      </c>
      <c r="E996" s="47" t="str">
        <f t="shared" si="1"/>
        <v>4A</v>
      </c>
      <c r="F996" s="47" t="s">
        <v>4046</v>
      </c>
      <c r="G996" s="47" t="s">
        <v>167</v>
      </c>
      <c r="H996" s="48">
        <f>IF(NOT(ISBLANK(vlookup(B996,Pop_Census_2023!$A$2:$E$3220,4,FALSE))),vlookup(B996,Pop_Census_2023!$A$2:$E$3220,4,FALSE), vlookup(B996,Pop_Census_2023!$A$2:$E$3220,5,FALSE))</f>
        <v>5504</v>
      </c>
    </row>
    <row r="997">
      <c r="A997" s="47" t="s">
        <v>2601</v>
      </c>
      <c r="B997" s="47">
        <v>20203.0</v>
      </c>
      <c r="C997" s="47">
        <v>5.0</v>
      </c>
      <c r="D997" s="47" t="s">
        <v>4044</v>
      </c>
      <c r="E997" s="47" t="str">
        <f t="shared" si="1"/>
        <v>5A</v>
      </c>
      <c r="F997" s="47" t="s">
        <v>4054</v>
      </c>
      <c r="G997" s="47" t="s">
        <v>814</v>
      </c>
      <c r="H997" s="48">
        <f>IF(NOT(ISBLANK(vlookup(B997,Pop_Census_2023!$A$2:$E$3220,4,FALSE))),vlookup(B997,Pop_Census_2023!$A$2:$E$3220,4,FALSE), vlookup(B997,Pop_Census_2023!$A$2:$E$3220,5,FALSE))</f>
        <v>2082</v>
      </c>
    </row>
    <row r="998">
      <c r="A998" s="47" t="s">
        <v>2601</v>
      </c>
      <c r="B998" s="47">
        <v>20205.0</v>
      </c>
      <c r="C998" s="47">
        <v>4.0</v>
      </c>
      <c r="D998" s="47" t="s">
        <v>4044</v>
      </c>
      <c r="E998" s="47" t="str">
        <f t="shared" si="1"/>
        <v>4A</v>
      </c>
      <c r="F998" s="47" t="s">
        <v>4046</v>
      </c>
      <c r="G998" s="47" t="s">
        <v>815</v>
      </c>
      <c r="H998" s="48">
        <f>IF(NOT(ISBLANK(vlookup(B998,Pop_Census_2023!$A$2:$E$3220,4,FALSE))),vlookup(B998,Pop_Census_2023!$A$2:$E$3220,4,FALSE), vlookup(B998,Pop_Census_2023!$A$2:$E$3220,5,FALSE))</f>
        <v>8382</v>
      </c>
    </row>
    <row r="999">
      <c r="A999" s="47" t="s">
        <v>2601</v>
      </c>
      <c r="B999" s="47">
        <v>20207.0</v>
      </c>
      <c r="C999" s="47">
        <v>4.0</v>
      </c>
      <c r="D999" s="47" t="s">
        <v>4044</v>
      </c>
      <c r="E999" s="47" t="str">
        <f t="shared" si="1"/>
        <v>4A</v>
      </c>
      <c r="F999" s="47" t="s">
        <v>4046</v>
      </c>
      <c r="G999" s="47" t="s">
        <v>816</v>
      </c>
      <c r="H999" s="48">
        <f>IF(NOT(ISBLANK(vlookup(B999,Pop_Census_2023!$A$2:$E$3220,4,FALSE))),vlookup(B999,Pop_Census_2023!$A$2:$E$3220,4,FALSE), vlookup(B999,Pop_Census_2023!$A$2:$E$3220,5,FALSE))</f>
        <v>3115</v>
      </c>
    </row>
    <row r="1000">
      <c r="A1000" s="47" t="s">
        <v>2601</v>
      </c>
      <c r="B1000" s="47">
        <v>20209.0</v>
      </c>
      <c r="C1000" s="47">
        <v>4.0</v>
      </c>
      <c r="D1000" s="47" t="s">
        <v>4044</v>
      </c>
      <c r="E1000" s="47" t="str">
        <f t="shared" si="1"/>
        <v>4A</v>
      </c>
      <c r="F1000" s="47" t="s">
        <v>4046</v>
      </c>
      <c r="G1000" s="47" t="s">
        <v>817</v>
      </c>
      <c r="H1000" s="48">
        <f>IF(NOT(ISBLANK(vlookup(B1000,Pop_Census_2023!$A$2:$E$3220,4,FALSE))),vlookup(B1000,Pop_Census_2023!$A$2:$E$3220,4,FALSE), vlookup(B1000,Pop_Census_2023!$A$2:$E$3220,5,FALSE))</f>
        <v>165281</v>
      </c>
    </row>
    <row r="1001">
      <c r="A1001" s="47" t="s">
        <v>2669</v>
      </c>
      <c r="B1001" s="47">
        <v>21001.0</v>
      </c>
      <c r="C1001" s="47">
        <v>4.0</v>
      </c>
      <c r="D1001" s="47" t="s">
        <v>4044</v>
      </c>
      <c r="E1001" s="47" t="str">
        <f t="shared" si="1"/>
        <v>4A</v>
      </c>
      <c r="F1001" s="47" t="s">
        <v>4046</v>
      </c>
      <c r="G1001" s="47" t="s">
        <v>704</v>
      </c>
      <c r="H1001" s="48">
        <f>IF(NOT(ISBLANK(vlookup(B1001,Pop_Census_2023!$A$2:$E$3220,4,FALSE))),vlookup(B1001,Pop_Census_2023!$A$2:$E$3220,4,FALSE), vlookup(B1001,Pop_Census_2023!$A$2:$E$3220,5,FALSE))</f>
        <v>19264</v>
      </c>
    </row>
    <row r="1002">
      <c r="A1002" s="47" t="s">
        <v>2669</v>
      </c>
      <c r="B1002" s="47">
        <v>21003.0</v>
      </c>
      <c r="C1002" s="47">
        <v>4.0</v>
      </c>
      <c r="D1002" s="47" t="s">
        <v>4044</v>
      </c>
      <c r="E1002" s="47" t="str">
        <f t="shared" si="1"/>
        <v>4A</v>
      </c>
      <c r="F1002" s="47" t="s">
        <v>4046</v>
      </c>
      <c r="G1002" s="47" t="s">
        <v>664</v>
      </c>
      <c r="H1002" s="48">
        <f>IF(NOT(ISBLANK(vlookup(B1002,Pop_Census_2023!$A$2:$E$3220,4,FALSE))),vlookup(B1002,Pop_Census_2023!$A$2:$E$3220,4,FALSE), vlookup(B1002,Pop_Census_2023!$A$2:$E$3220,5,FALSE))</f>
        <v>21788</v>
      </c>
    </row>
    <row r="1003">
      <c r="A1003" s="47" t="s">
        <v>2669</v>
      </c>
      <c r="B1003" s="47">
        <v>21005.0</v>
      </c>
      <c r="C1003" s="47">
        <v>4.0</v>
      </c>
      <c r="D1003" s="47" t="s">
        <v>4044</v>
      </c>
      <c r="E1003" s="47" t="str">
        <f t="shared" si="1"/>
        <v>4A</v>
      </c>
      <c r="F1003" s="47" t="s">
        <v>4046</v>
      </c>
      <c r="G1003" s="47" t="s">
        <v>751</v>
      </c>
      <c r="H1003" s="48">
        <f>IF(NOT(ISBLANK(vlookup(B1003,Pop_Census_2023!$A$2:$E$3220,4,FALSE))),vlookup(B1003,Pop_Census_2023!$A$2:$E$3220,4,FALSE), vlookup(B1003,Pop_Census_2023!$A$2:$E$3220,5,FALSE))</f>
        <v>24613</v>
      </c>
    </row>
    <row r="1004">
      <c r="A1004" s="47" t="s">
        <v>2669</v>
      </c>
      <c r="B1004" s="47">
        <v>21007.0</v>
      </c>
      <c r="C1004" s="47">
        <v>4.0</v>
      </c>
      <c r="D1004" s="47" t="s">
        <v>4044</v>
      </c>
      <c r="E1004" s="47" t="str">
        <f t="shared" si="1"/>
        <v>4A</v>
      </c>
      <c r="F1004" s="47" t="s">
        <v>4046</v>
      </c>
      <c r="G1004" s="47" t="s">
        <v>819</v>
      </c>
      <c r="H1004" s="48">
        <f>IF(NOT(ISBLANK(vlookup(B1004,Pop_Census_2023!$A$2:$E$3220,4,FALSE))),vlookup(B1004,Pop_Census_2023!$A$2:$E$3220,4,FALSE), vlookup(B1004,Pop_Census_2023!$A$2:$E$3220,5,FALSE))</f>
        <v>7582</v>
      </c>
    </row>
    <row r="1005">
      <c r="A1005" s="47" t="s">
        <v>2669</v>
      </c>
      <c r="B1005" s="47">
        <v>21009.0</v>
      </c>
      <c r="C1005" s="47">
        <v>4.0</v>
      </c>
      <c r="D1005" s="47" t="s">
        <v>4044</v>
      </c>
      <c r="E1005" s="47" t="str">
        <f t="shared" si="1"/>
        <v>4A</v>
      </c>
      <c r="F1005" s="47" t="s">
        <v>4046</v>
      </c>
      <c r="G1005" s="47" t="s">
        <v>820</v>
      </c>
      <c r="H1005" s="48">
        <f>IF(NOT(ISBLANK(vlookup(B1005,Pop_Census_2023!$A$2:$E$3220,4,FALSE))),vlookup(B1005,Pop_Census_2023!$A$2:$E$3220,4,FALSE), vlookup(B1005,Pop_Census_2023!$A$2:$E$3220,5,FALSE))</f>
        <v>45008</v>
      </c>
    </row>
    <row r="1006">
      <c r="A1006" s="47" t="s">
        <v>2669</v>
      </c>
      <c r="B1006" s="47">
        <v>21011.0</v>
      </c>
      <c r="C1006" s="47">
        <v>4.0</v>
      </c>
      <c r="D1006" s="47" t="s">
        <v>4044</v>
      </c>
      <c r="E1006" s="47" t="str">
        <f t="shared" si="1"/>
        <v>4A</v>
      </c>
      <c r="F1006" s="47" t="s">
        <v>4046</v>
      </c>
      <c r="G1006" s="47" t="s">
        <v>821</v>
      </c>
      <c r="H1006" s="48">
        <f>IF(NOT(ISBLANK(vlookup(B1006,Pop_Census_2023!$A$2:$E$3220,4,FALSE))),vlookup(B1006,Pop_Census_2023!$A$2:$E$3220,4,FALSE), vlookup(B1006,Pop_Census_2023!$A$2:$E$3220,5,FALSE))</f>
        <v>12975</v>
      </c>
    </row>
    <row r="1007">
      <c r="A1007" s="47" t="s">
        <v>2669</v>
      </c>
      <c r="B1007" s="47">
        <v>21013.0</v>
      </c>
      <c r="C1007" s="47">
        <v>4.0</v>
      </c>
      <c r="D1007" s="47" t="s">
        <v>4044</v>
      </c>
      <c r="E1007" s="47" t="str">
        <f t="shared" si="1"/>
        <v>4A</v>
      </c>
      <c r="F1007" s="47" t="s">
        <v>4046</v>
      </c>
      <c r="G1007" s="47" t="s">
        <v>822</v>
      </c>
      <c r="H1007" s="48">
        <f>IF(NOT(ISBLANK(vlookup(B1007,Pop_Census_2023!$A$2:$E$3220,4,FALSE))),vlookup(B1007,Pop_Census_2023!$A$2:$E$3220,4,FALSE), vlookup(B1007,Pop_Census_2023!$A$2:$E$3220,5,FALSE))</f>
        <v>23317</v>
      </c>
    </row>
    <row r="1008">
      <c r="A1008" s="47" t="s">
        <v>2669</v>
      </c>
      <c r="B1008" s="47">
        <v>21015.0</v>
      </c>
      <c r="C1008" s="47">
        <v>4.0</v>
      </c>
      <c r="D1008" s="47" t="s">
        <v>4044</v>
      </c>
      <c r="E1008" s="47" t="str">
        <f t="shared" si="1"/>
        <v>4A</v>
      </c>
      <c r="F1008" s="47" t="s">
        <v>4046</v>
      </c>
      <c r="G1008" s="47" t="s">
        <v>225</v>
      </c>
      <c r="H1008" s="48">
        <f>IF(NOT(ISBLANK(vlookup(B1008,Pop_Census_2023!$A$2:$E$3220,4,FALSE))),vlookup(B1008,Pop_Census_2023!$A$2:$E$3220,4,FALSE), vlookup(B1008,Pop_Census_2023!$A$2:$E$3220,5,FALSE))</f>
        <v>140496</v>
      </c>
    </row>
    <row r="1009">
      <c r="A1009" s="47" t="s">
        <v>2669</v>
      </c>
      <c r="B1009" s="47">
        <v>21017.0</v>
      </c>
      <c r="C1009" s="47">
        <v>4.0</v>
      </c>
      <c r="D1009" s="47" t="s">
        <v>4044</v>
      </c>
      <c r="E1009" s="47" t="str">
        <f t="shared" si="1"/>
        <v>4A</v>
      </c>
      <c r="F1009" s="47" t="s">
        <v>4046</v>
      </c>
      <c r="G1009" s="47" t="s">
        <v>755</v>
      </c>
      <c r="H1009" s="48">
        <f>IF(NOT(ISBLANK(vlookup(B1009,Pop_Census_2023!$A$2:$E$3220,4,FALSE))),vlookup(B1009,Pop_Census_2023!$A$2:$E$3220,4,FALSE), vlookup(B1009,Pop_Census_2023!$A$2:$E$3220,5,FALSE))</f>
        <v>20134</v>
      </c>
    </row>
    <row r="1010">
      <c r="A1010" s="47" t="s">
        <v>2669</v>
      </c>
      <c r="B1010" s="47">
        <v>21019.0</v>
      </c>
      <c r="C1010" s="47">
        <v>4.0</v>
      </c>
      <c r="D1010" s="47" t="s">
        <v>4044</v>
      </c>
      <c r="E1010" s="47" t="str">
        <f t="shared" si="1"/>
        <v>4A</v>
      </c>
      <c r="F1010" s="47" t="s">
        <v>4046</v>
      </c>
      <c r="G1010" s="47" t="s">
        <v>823</v>
      </c>
      <c r="H1010" s="48">
        <f>IF(NOT(ISBLANK(vlookup(B1010,Pop_Census_2023!$A$2:$E$3220,4,FALSE))),vlookup(B1010,Pop_Census_2023!$A$2:$E$3220,4,FALSE), vlookup(B1010,Pop_Census_2023!$A$2:$E$3220,5,FALSE))</f>
        <v>47826</v>
      </c>
    </row>
    <row r="1011">
      <c r="A1011" s="47" t="s">
        <v>2669</v>
      </c>
      <c r="B1011" s="47">
        <v>21021.0</v>
      </c>
      <c r="C1011" s="47">
        <v>4.0</v>
      </c>
      <c r="D1011" s="47" t="s">
        <v>4044</v>
      </c>
      <c r="E1011" s="47" t="str">
        <f t="shared" si="1"/>
        <v>4A</v>
      </c>
      <c r="F1011" s="47" t="s">
        <v>4046</v>
      </c>
      <c r="G1011" s="47" t="s">
        <v>824</v>
      </c>
      <c r="H1011" s="48">
        <f>IF(NOT(ISBLANK(vlookup(B1011,Pop_Census_2023!$A$2:$E$3220,4,FALSE))),vlookup(B1011,Pop_Census_2023!$A$2:$E$3220,4,FALSE), vlookup(B1011,Pop_Census_2023!$A$2:$E$3220,5,FALSE))</f>
        <v>30988</v>
      </c>
    </row>
    <row r="1012">
      <c r="A1012" s="47" t="s">
        <v>2669</v>
      </c>
      <c r="B1012" s="47">
        <v>21023.0</v>
      </c>
      <c r="C1012" s="47">
        <v>4.0</v>
      </c>
      <c r="D1012" s="47" t="s">
        <v>4044</v>
      </c>
      <c r="E1012" s="47" t="str">
        <f t="shared" si="1"/>
        <v>4A</v>
      </c>
      <c r="F1012" s="47" t="s">
        <v>4046</v>
      </c>
      <c r="G1012" s="47" t="s">
        <v>825</v>
      </c>
      <c r="H1012" s="48">
        <f>IF(NOT(ISBLANK(vlookup(B1012,Pop_Census_2023!$A$2:$E$3220,4,FALSE))),vlookup(B1012,Pop_Census_2023!$A$2:$E$3220,4,FALSE), vlookup(B1012,Pop_Census_2023!$A$2:$E$3220,5,FALSE))</f>
        <v>8426</v>
      </c>
    </row>
    <row r="1013">
      <c r="A1013" s="47" t="s">
        <v>2669</v>
      </c>
      <c r="B1013" s="47">
        <v>21025.0</v>
      </c>
      <c r="C1013" s="47">
        <v>4.0</v>
      </c>
      <c r="D1013" s="47" t="s">
        <v>4044</v>
      </c>
      <c r="E1013" s="47" t="str">
        <f t="shared" si="1"/>
        <v>4A</v>
      </c>
      <c r="F1013" s="47" t="s">
        <v>4046</v>
      </c>
      <c r="G1013" s="47" t="s">
        <v>826</v>
      </c>
      <c r="H1013" s="48">
        <f>IF(NOT(ISBLANK(vlookup(B1013,Pop_Census_2023!$A$2:$E$3220,4,FALSE))),vlookup(B1013,Pop_Census_2023!$A$2:$E$3220,4,FALSE), vlookup(B1013,Pop_Census_2023!$A$2:$E$3220,5,FALSE))</f>
        <v>12953</v>
      </c>
    </row>
    <row r="1014">
      <c r="A1014" s="47" t="s">
        <v>2669</v>
      </c>
      <c r="B1014" s="47">
        <v>21027.0</v>
      </c>
      <c r="C1014" s="47">
        <v>4.0</v>
      </c>
      <c r="D1014" s="47" t="s">
        <v>4044</v>
      </c>
      <c r="E1014" s="47" t="str">
        <f t="shared" si="1"/>
        <v>4A</v>
      </c>
      <c r="F1014" s="47" t="s">
        <v>4046</v>
      </c>
      <c r="G1014" s="47" t="s">
        <v>827</v>
      </c>
      <c r="H1014" s="48">
        <f>IF(NOT(ISBLANK(vlookup(B1014,Pop_Census_2023!$A$2:$E$3220,4,FALSE))),vlookup(B1014,Pop_Census_2023!$A$2:$E$3220,4,FALSE), vlookup(B1014,Pop_Census_2023!$A$2:$E$3220,5,FALSE))</f>
        <v>21124</v>
      </c>
    </row>
    <row r="1015">
      <c r="A1015" s="47" t="s">
        <v>2669</v>
      </c>
      <c r="B1015" s="47">
        <v>21029.0</v>
      </c>
      <c r="C1015" s="47">
        <v>4.0</v>
      </c>
      <c r="D1015" s="47" t="s">
        <v>4044</v>
      </c>
      <c r="E1015" s="47" t="str">
        <f t="shared" si="1"/>
        <v>4A</v>
      </c>
      <c r="F1015" s="47" t="s">
        <v>4046</v>
      </c>
      <c r="G1015" s="47" t="s">
        <v>828</v>
      </c>
      <c r="H1015" s="48">
        <f>IF(NOT(ISBLANK(vlookup(B1015,Pop_Census_2023!$A$2:$E$3220,4,FALSE))),vlookup(B1015,Pop_Census_2023!$A$2:$E$3220,4,FALSE), vlookup(B1015,Pop_Census_2023!$A$2:$E$3220,5,FALSE))</f>
        <v>84863</v>
      </c>
    </row>
    <row r="1016">
      <c r="A1016" s="47" t="s">
        <v>2669</v>
      </c>
      <c r="B1016" s="47">
        <v>21031.0</v>
      </c>
      <c r="C1016" s="47">
        <v>4.0</v>
      </c>
      <c r="D1016" s="47" t="s">
        <v>4044</v>
      </c>
      <c r="E1016" s="47" t="str">
        <f t="shared" si="1"/>
        <v>4A</v>
      </c>
      <c r="F1016" s="47" t="s">
        <v>4046</v>
      </c>
      <c r="G1016" s="47" t="s">
        <v>109</v>
      </c>
      <c r="H1016" s="48">
        <f>IF(NOT(ISBLANK(vlookup(B1016,Pop_Census_2023!$A$2:$E$3220,4,FALSE))),vlookup(B1016,Pop_Census_2023!$A$2:$E$3220,4,FALSE), vlookup(B1016,Pop_Census_2023!$A$2:$E$3220,5,FALSE))</f>
        <v>12375</v>
      </c>
    </row>
    <row r="1017">
      <c r="A1017" s="47" t="s">
        <v>2669</v>
      </c>
      <c r="B1017" s="47">
        <v>21033.0</v>
      </c>
      <c r="C1017" s="47">
        <v>4.0</v>
      </c>
      <c r="D1017" s="47" t="s">
        <v>4044</v>
      </c>
      <c r="E1017" s="47" t="str">
        <f t="shared" si="1"/>
        <v>4A</v>
      </c>
      <c r="F1017" s="47" t="s">
        <v>4046</v>
      </c>
      <c r="G1017" s="47" t="s">
        <v>829</v>
      </c>
      <c r="H1017" s="48">
        <f>IF(NOT(ISBLANK(vlookup(B1017,Pop_Census_2023!$A$2:$E$3220,4,FALSE))),vlookup(B1017,Pop_Census_2023!$A$2:$E$3220,4,FALSE), vlookup(B1017,Pop_Census_2023!$A$2:$E$3220,5,FALSE))</f>
        <v>12551</v>
      </c>
    </row>
    <row r="1018">
      <c r="A1018" s="47" t="s">
        <v>2669</v>
      </c>
      <c r="B1018" s="47">
        <v>21035.0</v>
      </c>
      <c r="C1018" s="47">
        <v>4.0</v>
      </c>
      <c r="D1018" s="47" t="s">
        <v>4044</v>
      </c>
      <c r="E1018" s="47" t="str">
        <f t="shared" si="1"/>
        <v>4A</v>
      </c>
      <c r="F1018" s="47" t="s">
        <v>4046</v>
      </c>
      <c r="G1018" s="47" t="s">
        <v>830</v>
      </c>
      <c r="H1018" s="48">
        <f>IF(NOT(ISBLANK(vlookup(B1018,Pop_Census_2023!$A$2:$E$3220,4,FALSE))),vlookup(B1018,Pop_Census_2023!$A$2:$E$3220,4,FALSE), vlookup(B1018,Pop_Census_2023!$A$2:$E$3220,5,FALSE))</f>
        <v>38280</v>
      </c>
    </row>
    <row r="1019">
      <c r="A1019" s="47" t="s">
        <v>2669</v>
      </c>
      <c r="B1019" s="47">
        <v>21037.0</v>
      </c>
      <c r="C1019" s="47">
        <v>4.0</v>
      </c>
      <c r="D1019" s="47" t="s">
        <v>4044</v>
      </c>
      <c r="E1019" s="47" t="str">
        <f t="shared" si="1"/>
        <v>4A</v>
      </c>
      <c r="F1019" s="47" t="s">
        <v>4046</v>
      </c>
      <c r="G1019" s="47" t="s">
        <v>831</v>
      </c>
      <c r="H1019" s="48">
        <f>IF(NOT(ISBLANK(vlookup(B1019,Pop_Census_2023!$A$2:$E$3220,4,FALSE))),vlookup(B1019,Pop_Census_2023!$A$2:$E$3220,4,FALSE), vlookup(B1019,Pop_Census_2023!$A$2:$E$3220,5,FALSE))</f>
        <v>93702</v>
      </c>
    </row>
    <row r="1020">
      <c r="A1020" s="47" t="s">
        <v>2669</v>
      </c>
      <c r="B1020" s="47">
        <v>21039.0</v>
      </c>
      <c r="C1020" s="47">
        <v>4.0</v>
      </c>
      <c r="D1020" s="47" t="s">
        <v>4044</v>
      </c>
      <c r="E1020" s="47" t="str">
        <f t="shared" si="1"/>
        <v>4A</v>
      </c>
      <c r="F1020" s="47" t="s">
        <v>4046</v>
      </c>
      <c r="G1020" s="47" t="s">
        <v>832</v>
      </c>
      <c r="H1020" s="48">
        <f>IF(NOT(ISBLANK(vlookup(B1020,Pop_Census_2023!$A$2:$E$3220,4,FALSE))),vlookup(B1020,Pop_Census_2023!$A$2:$E$3220,4,FALSE), vlookup(B1020,Pop_Census_2023!$A$2:$E$3220,5,FALSE))</f>
        <v>4704</v>
      </c>
    </row>
    <row r="1021">
      <c r="A1021" s="47" t="s">
        <v>2669</v>
      </c>
      <c r="B1021" s="47">
        <v>21041.0</v>
      </c>
      <c r="C1021" s="47">
        <v>4.0</v>
      </c>
      <c r="D1021" s="47" t="s">
        <v>4044</v>
      </c>
      <c r="E1021" s="47" t="str">
        <f t="shared" si="1"/>
        <v>4A</v>
      </c>
      <c r="F1021" s="47" t="s">
        <v>4046</v>
      </c>
      <c r="G1021" s="47" t="s">
        <v>227</v>
      </c>
      <c r="H1021" s="48">
        <f>IF(NOT(ISBLANK(vlookup(B1021,Pop_Census_2023!$A$2:$E$3220,4,FALSE))),vlookup(B1021,Pop_Census_2023!$A$2:$E$3220,4,FALSE), vlookup(B1021,Pop_Census_2023!$A$2:$E$3220,5,FALSE))</f>
        <v>10987</v>
      </c>
    </row>
    <row r="1022">
      <c r="A1022" s="47" t="s">
        <v>2669</v>
      </c>
      <c r="B1022" s="47">
        <v>21043.0</v>
      </c>
      <c r="C1022" s="47">
        <v>4.0</v>
      </c>
      <c r="D1022" s="47" t="s">
        <v>4044</v>
      </c>
      <c r="E1022" s="47" t="str">
        <f t="shared" si="1"/>
        <v>4A</v>
      </c>
      <c r="F1022" s="47" t="s">
        <v>4046</v>
      </c>
      <c r="G1022" s="47" t="s">
        <v>833</v>
      </c>
      <c r="H1022" s="48">
        <f>IF(NOT(ISBLANK(vlookup(B1022,Pop_Census_2023!$A$2:$E$3220,4,FALSE))),vlookup(B1022,Pop_Census_2023!$A$2:$E$3220,4,FALSE), vlookup(B1022,Pop_Census_2023!$A$2:$E$3220,5,FALSE))</f>
        <v>26366</v>
      </c>
    </row>
    <row r="1023">
      <c r="A1023" s="47" t="s">
        <v>2669</v>
      </c>
      <c r="B1023" s="47">
        <v>21045.0</v>
      </c>
      <c r="C1023" s="47">
        <v>4.0</v>
      </c>
      <c r="D1023" s="47" t="s">
        <v>4044</v>
      </c>
      <c r="E1023" s="47" t="str">
        <f t="shared" si="1"/>
        <v>4A</v>
      </c>
      <c r="F1023" s="47" t="s">
        <v>4046</v>
      </c>
      <c r="G1023" s="47" t="s">
        <v>834</v>
      </c>
      <c r="H1023" s="48">
        <f>IF(NOT(ISBLANK(vlookup(B1023,Pop_Census_2023!$A$2:$E$3220,4,FALSE))),vlookup(B1023,Pop_Census_2023!$A$2:$E$3220,4,FALSE), vlookup(B1023,Pop_Census_2023!$A$2:$E$3220,5,FALSE))</f>
        <v>15918</v>
      </c>
    </row>
    <row r="1024">
      <c r="A1024" s="47" t="s">
        <v>2669</v>
      </c>
      <c r="B1024" s="47">
        <v>21047.0</v>
      </c>
      <c r="C1024" s="47">
        <v>4.0</v>
      </c>
      <c r="D1024" s="47" t="s">
        <v>4044</v>
      </c>
      <c r="E1024" s="47" t="str">
        <f t="shared" si="1"/>
        <v>4A</v>
      </c>
      <c r="F1024" s="47" t="s">
        <v>4046</v>
      </c>
      <c r="G1024" s="47" t="s">
        <v>615</v>
      </c>
      <c r="H1024" s="48">
        <f>IF(NOT(ISBLANK(vlookup(B1024,Pop_Census_2023!$A$2:$E$3220,4,FALSE))),vlookup(B1024,Pop_Census_2023!$A$2:$E$3220,4,FALSE), vlookup(B1024,Pop_Census_2023!$A$2:$E$3220,5,FALSE))</f>
        <v>72032</v>
      </c>
    </row>
    <row r="1025">
      <c r="A1025" s="47" t="s">
        <v>2669</v>
      </c>
      <c r="B1025" s="47">
        <v>21049.0</v>
      </c>
      <c r="C1025" s="47">
        <v>4.0</v>
      </c>
      <c r="D1025" s="47" t="s">
        <v>4044</v>
      </c>
      <c r="E1025" s="47" t="str">
        <f t="shared" si="1"/>
        <v>4A</v>
      </c>
      <c r="F1025" s="47" t="s">
        <v>4046</v>
      </c>
      <c r="G1025" s="47" t="s">
        <v>229</v>
      </c>
      <c r="H1025" s="48">
        <f>IF(NOT(ISBLANK(vlookup(B1025,Pop_Census_2023!$A$2:$E$3220,4,FALSE))),vlookup(B1025,Pop_Census_2023!$A$2:$E$3220,4,FALSE), vlookup(B1025,Pop_Census_2023!$A$2:$E$3220,5,FALSE))</f>
        <v>37304</v>
      </c>
    </row>
    <row r="1026">
      <c r="A1026" s="47" t="s">
        <v>2669</v>
      </c>
      <c r="B1026" s="47">
        <v>21051.0</v>
      </c>
      <c r="C1026" s="47">
        <v>4.0</v>
      </c>
      <c r="D1026" s="47" t="s">
        <v>4044</v>
      </c>
      <c r="E1026" s="47" t="str">
        <f t="shared" si="1"/>
        <v>4A</v>
      </c>
      <c r="F1026" s="47" t="s">
        <v>4046</v>
      </c>
      <c r="G1026" s="47" t="s">
        <v>116</v>
      </c>
      <c r="H1026" s="48">
        <f>IF(NOT(ISBLANK(vlookup(B1026,Pop_Census_2023!$A$2:$E$3220,4,FALSE))),vlookup(B1026,Pop_Census_2023!$A$2:$E$3220,4,FALSE), vlookup(B1026,Pop_Census_2023!$A$2:$E$3220,5,FALSE))</f>
        <v>19648</v>
      </c>
    </row>
    <row r="1027">
      <c r="A1027" s="47" t="s">
        <v>2669</v>
      </c>
      <c r="B1027" s="47">
        <v>21053.0</v>
      </c>
      <c r="C1027" s="47">
        <v>4.0</v>
      </c>
      <c r="D1027" s="47" t="s">
        <v>4044</v>
      </c>
      <c r="E1027" s="47" t="str">
        <f t="shared" si="1"/>
        <v>4A</v>
      </c>
      <c r="F1027" s="47" t="s">
        <v>4046</v>
      </c>
      <c r="G1027" s="47" t="s">
        <v>616</v>
      </c>
      <c r="H1027" s="48">
        <f>IF(NOT(ISBLANK(vlookup(B1027,Pop_Census_2023!$A$2:$E$3220,4,FALSE))),vlookup(B1027,Pop_Census_2023!$A$2:$E$3220,4,FALSE), vlookup(B1027,Pop_Census_2023!$A$2:$E$3220,5,FALSE))</f>
        <v>9148</v>
      </c>
    </row>
    <row r="1028">
      <c r="A1028" s="47" t="s">
        <v>2669</v>
      </c>
      <c r="B1028" s="47">
        <v>21055.0</v>
      </c>
      <c r="C1028" s="47">
        <v>4.0</v>
      </c>
      <c r="D1028" s="47" t="s">
        <v>4044</v>
      </c>
      <c r="E1028" s="47" t="str">
        <f t="shared" si="1"/>
        <v>4A</v>
      </c>
      <c r="F1028" s="47" t="s">
        <v>4046</v>
      </c>
      <c r="G1028" s="47" t="s">
        <v>235</v>
      </c>
      <c r="H1028" s="48">
        <f>IF(NOT(ISBLANK(vlookup(B1028,Pop_Census_2023!$A$2:$E$3220,4,FALSE))),vlookup(B1028,Pop_Census_2023!$A$2:$E$3220,4,FALSE), vlookup(B1028,Pop_Census_2023!$A$2:$E$3220,5,FALSE))</f>
        <v>8974</v>
      </c>
    </row>
    <row r="1029">
      <c r="A1029" s="47" t="s">
        <v>2669</v>
      </c>
      <c r="B1029" s="47">
        <v>21057.0</v>
      </c>
      <c r="C1029" s="47">
        <v>4.0</v>
      </c>
      <c r="D1029" s="47" t="s">
        <v>4044</v>
      </c>
      <c r="E1029" s="47" t="str">
        <f t="shared" si="1"/>
        <v>4A</v>
      </c>
      <c r="F1029" s="47" t="s">
        <v>4046</v>
      </c>
      <c r="G1029" s="47" t="s">
        <v>618</v>
      </c>
      <c r="H1029" s="48">
        <f>IF(NOT(ISBLANK(vlookup(B1029,Pop_Census_2023!$A$2:$E$3220,4,FALSE))),vlookup(B1029,Pop_Census_2023!$A$2:$E$3220,4,FALSE), vlookup(B1029,Pop_Census_2023!$A$2:$E$3220,5,FALSE))</f>
        <v>6000</v>
      </c>
    </row>
    <row r="1030">
      <c r="A1030" s="47" t="s">
        <v>2669</v>
      </c>
      <c r="B1030" s="47">
        <v>21059.0</v>
      </c>
      <c r="C1030" s="47">
        <v>4.0</v>
      </c>
      <c r="D1030" s="47" t="s">
        <v>4044</v>
      </c>
      <c r="E1030" s="47" t="str">
        <f t="shared" si="1"/>
        <v>4A</v>
      </c>
      <c r="F1030" s="47" t="s">
        <v>4046</v>
      </c>
      <c r="G1030" s="47" t="s">
        <v>667</v>
      </c>
      <c r="H1030" s="48">
        <f>IF(NOT(ISBLANK(vlookup(B1030,Pop_Census_2023!$A$2:$E$3220,4,FALSE))),vlookup(B1030,Pop_Census_2023!$A$2:$E$3220,4,FALSE), vlookup(B1030,Pop_Census_2023!$A$2:$E$3220,5,FALSE))</f>
        <v>103458</v>
      </c>
    </row>
    <row r="1031">
      <c r="A1031" s="47" t="s">
        <v>2669</v>
      </c>
      <c r="B1031" s="47">
        <v>21061.0</v>
      </c>
      <c r="C1031" s="47">
        <v>4.0</v>
      </c>
      <c r="D1031" s="47" t="s">
        <v>4044</v>
      </c>
      <c r="E1031" s="47" t="str">
        <f t="shared" si="1"/>
        <v>4A</v>
      </c>
      <c r="F1031" s="47" t="s">
        <v>4046</v>
      </c>
      <c r="G1031" s="47" t="s">
        <v>835</v>
      </c>
      <c r="H1031" s="48">
        <f>IF(NOT(ISBLANK(vlookup(B1031,Pop_Census_2023!$A$2:$E$3220,4,FALSE))),vlookup(B1031,Pop_Census_2023!$A$2:$E$3220,4,FALSE), vlookup(B1031,Pop_Census_2023!$A$2:$E$3220,5,FALSE))</f>
        <v>12448</v>
      </c>
    </row>
    <row r="1032">
      <c r="A1032" s="47" t="s">
        <v>2669</v>
      </c>
      <c r="B1032" s="47">
        <v>21063.0</v>
      </c>
      <c r="C1032" s="47">
        <v>4.0</v>
      </c>
      <c r="D1032" s="47" t="s">
        <v>4044</v>
      </c>
      <c r="E1032" s="47" t="str">
        <f t="shared" si="1"/>
        <v>4A</v>
      </c>
      <c r="F1032" s="47" t="s">
        <v>4046</v>
      </c>
      <c r="G1032" s="47" t="s">
        <v>836</v>
      </c>
      <c r="H1032" s="48">
        <f>IF(NOT(ISBLANK(vlookup(B1032,Pop_Census_2023!$A$2:$E$3220,4,FALSE))),vlookup(B1032,Pop_Census_2023!$A$2:$E$3220,4,FALSE), vlookup(B1032,Pop_Census_2023!$A$2:$E$3220,5,FALSE))</f>
        <v>7245</v>
      </c>
    </row>
    <row r="1033">
      <c r="A1033" s="47" t="s">
        <v>2669</v>
      </c>
      <c r="B1033" s="47">
        <v>21065.0</v>
      </c>
      <c r="C1033" s="47">
        <v>4.0</v>
      </c>
      <c r="D1033" s="47" t="s">
        <v>4044</v>
      </c>
      <c r="E1033" s="47" t="str">
        <f t="shared" si="1"/>
        <v>4A</v>
      </c>
      <c r="F1033" s="47" t="s">
        <v>4046</v>
      </c>
      <c r="G1033" s="47" t="s">
        <v>837</v>
      </c>
      <c r="H1033" s="48">
        <f>IF(NOT(ISBLANK(vlookup(B1033,Pop_Census_2023!$A$2:$E$3220,4,FALSE))),vlookup(B1033,Pop_Census_2023!$A$2:$E$3220,4,FALSE), vlookup(B1033,Pop_Census_2023!$A$2:$E$3220,5,FALSE))</f>
        <v>13936</v>
      </c>
    </row>
    <row r="1034">
      <c r="A1034" s="47" t="s">
        <v>2669</v>
      </c>
      <c r="B1034" s="47">
        <v>21067.0</v>
      </c>
      <c r="C1034" s="47">
        <v>4.0</v>
      </c>
      <c r="D1034" s="47" t="s">
        <v>4044</v>
      </c>
      <c r="E1034" s="47" t="str">
        <f t="shared" si="1"/>
        <v>4A</v>
      </c>
      <c r="F1034" s="47" t="s">
        <v>4046</v>
      </c>
      <c r="G1034" s="47" t="s">
        <v>131</v>
      </c>
      <c r="H1034" s="48">
        <f>IF(NOT(ISBLANK(vlookup(B1034,Pop_Census_2023!$A$2:$E$3220,4,FALSE))),vlookup(B1034,Pop_Census_2023!$A$2:$E$3220,4,FALSE), vlookup(B1034,Pop_Census_2023!$A$2:$E$3220,5,FALSE))</f>
        <v>320154</v>
      </c>
    </row>
    <row r="1035">
      <c r="A1035" s="47" t="s">
        <v>2669</v>
      </c>
      <c r="B1035" s="47">
        <v>21069.0</v>
      </c>
      <c r="C1035" s="47">
        <v>4.0</v>
      </c>
      <c r="D1035" s="47" t="s">
        <v>4044</v>
      </c>
      <c r="E1035" s="47" t="str">
        <f t="shared" si="1"/>
        <v>4A</v>
      </c>
      <c r="F1035" s="47" t="s">
        <v>4046</v>
      </c>
      <c r="G1035" s="47" t="s">
        <v>838</v>
      </c>
      <c r="H1035" s="48">
        <f>IF(NOT(ISBLANK(vlookup(B1035,Pop_Census_2023!$A$2:$E$3220,4,FALSE))),vlookup(B1035,Pop_Census_2023!$A$2:$E$3220,4,FALSE), vlookup(B1035,Pop_Census_2023!$A$2:$E$3220,5,FALSE))</f>
        <v>15442</v>
      </c>
    </row>
    <row r="1036">
      <c r="A1036" s="47" t="s">
        <v>2669</v>
      </c>
      <c r="B1036" s="47">
        <v>21071.0</v>
      </c>
      <c r="C1036" s="47">
        <v>4.0</v>
      </c>
      <c r="D1036" s="47" t="s">
        <v>4044</v>
      </c>
      <c r="E1036" s="47" t="str">
        <f t="shared" si="1"/>
        <v>4A</v>
      </c>
      <c r="F1036" s="47" t="s">
        <v>4046</v>
      </c>
      <c r="G1036" s="47" t="s">
        <v>502</v>
      </c>
      <c r="H1036" s="48">
        <f>IF(NOT(ISBLANK(vlookup(B1036,Pop_Census_2023!$A$2:$E$3220,4,FALSE))),vlookup(B1036,Pop_Census_2023!$A$2:$E$3220,4,FALSE), vlookup(B1036,Pop_Census_2023!$A$2:$E$3220,5,FALSE))</f>
        <v>34423</v>
      </c>
    </row>
    <row r="1037">
      <c r="A1037" s="47" t="s">
        <v>2669</v>
      </c>
      <c r="B1037" s="47">
        <v>21073.0</v>
      </c>
      <c r="C1037" s="47">
        <v>4.0</v>
      </c>
      <c r="D1037" s="47" t="s">
        <v>4044</v>
      </c>
      <c r="E1037" s="47" t="str">
        <f t="shared" si="1"/>
        <v>4A</v>
      </c>
      <c r="F1037" s="47" t="s">
        <v>4046</v>
      </c>
      <c r="G1037" s="47" t="s">
        <v>132</v>
      </c>
      <c r="H1037" s="48">
        <f>IF(NOT(ISBLANK(vlookup(B1037,Pop_Census_2023!$A$2:$E$3220,4,FALSE))),vlookup(B1037,Pop_Census_2023!$A$2:$E$3220,4,FALSE), vlookup(B1037,Pop_Census_2023!$A$2:$E$3220,5,FALSE))</f>
        <v>51644</v>
      </c>
    </row>
    <row r="1038">
      <c r="A1038" s="47" t="s">
        <v>2669</v>
      </c>
      <c r="B1038" s="47">
        <v>21075.0</v>
      </c>
      <c r="C1038" s="47">
        <v>4.0</v>
      </c>
      <c r="D1038" s="47" t="s">
        <v>4044</v>
      </c>
      <c r="E1038" s="47" t="str">
        <f t="shared" si="1"/>
        <v>4A</v>
      </c>
      <c r="F1038" s="47" t="s">
        <v>4046</v>
      </c>
      <c r="G1038" s="47" t="s">
        <v>240</v>
      </c>
      <c r="H1038" s="48">
        <f>IF(NOT(ISBLANK(vlookup(B1038,Pop_Census_2023!$A$2:$E$3220,4,FALSE))),vlookup(B1038,Pop_Census_2023!$A$2:$E$3220,4,FALSE), vlookup(B1038,Pop_Census_2023!$A$2:$E$3220,5,FALSE))</f>
        <v>6338</v>
      </c>
    </row>
    <row r="1039">
      <c r="A1039" s="47" t="s">
        <v>2669</v>
      </c>
      <c r="B1039" s="47">
        <v>21077.0</v>
      </c>
      <c r="C1039" s="47">
        <v>4.0</v>
      </c>
      <c r="D1039" s="47" t="s">
        <v>4044</v>
      </c>
      <c r="E1039" s="47" t="str">
        <f t="shared" si="1"/>
        <v>4A</v>
      </c>
      <c r="F1039" s="47" t="s">
        <v>4046</v>
      </c>
      <c r="G1039" s="47" t="s">
        <v>624</v>
      </c>
      <c r="H1039" s="48">
        <f>IF(NOT(ISBLANK(vlookup(B1039,Pop_Census_2023!$A$2:$E$3220,4,FALSE))),vlookup(B1039,Pop_Census_2023!$A$2:$E$3220,4,FALSE), vlookup(B1039,Pop_Census_2023!$A$2:$E$3220,5,FALSE))</f>
        <v>8792</v>
      </c>
    </row>
    <row r="1040">
      <c r="A1040" s="47" t="s">
        <v>2669</v>
      </c>
      <c r="B1040" s="47">
        <v>21079.0</v>
      </c>
      <c r="C1040" s="47">
        <v>4.0</v>
      </c>
      <c r="D1040" s="47" t="s">
        <v>4044</v>
      </c>
      <c r="E1040" s="47" t="str">
        <f t="shared" si="1"/>
        <v>4A</v>
      </c>
      <c r="F1040" s="47" t="s">
        <v>4046</v>
      </c>
      <c r="G1040" s="47" t="s">
        <v>839</v>
      </c>
      <c r="H1040" s="48">
        <f>IF(NOT(ISBLANK(vlookup(B1040,Pop_Census_2023!$A$2:$E$3220,4,FALSE))),vlookup(B1040,Pop_Census_2023!$A$2:$E$3220,4,FALSE), vlookup(B1040,Pop_Census_2023!$A$2:$E$3220,5,FALSE))</f>
        <v>17829</v>
      </c>
    </row>
    <row r="1041">
      <c r="A1041" s="47" t="s">
        <v>2669</v>
      </c>
      <c r="B1041" s="47">
        <v>21081.0</v>
      </c>
      <c r="C1041" s="47">
        <v>4.0</v>
      </c>
      <c r="D1041" s="47" t="s">
        <v>4044</v>
      </c>
      <c r="E1041" s="47" t="str">
        <f t="shared" si="1"/>
        <v>4A</v>
      </c>
      <c r="F1041" s="47" t="s">
        <v>4046</v>
      </c>
      <c r="G1041" s="47" t="s">
        <v>242</v>
      </c>
      <c r="H1041" s="48">
        <f>IF(NOT(ISBLANK(vlookup(B1041,Pop_Census_2023!$A$2:$E$3220,4,FALSE))),vlookup(B1041,Pop_Census_2023!$A$2:$E$3220,4,FALSE), vlookup(B1041,Pop_Census_2023!$A$2:$E$3220,5,FALSE))</f>
        <v>25619</v>
      </c>
    </row>
    <row r="1042">
      <c r="A1042" s="47" t="s">
        <v>2669</v>
      </c>
      <c r="B1042" s="47">
        <v>21083.0</v>
      </c>
      <c r="C1042" s="47">
        <v>4.0</v>
      </c>
      <c r="D1042" s="47" t="s">
        <v>4044</v>
      </c>
      <c r="E1042" s="47" t="str">
        <f t="shared" si="1"/>
        <v>4A</v>
      </c>
      <c r="F1042" s="47" t="s">
        <v>4046</v>
      </c>
      <c r="G1042" s="47" t="s">
        <v>840</v>
      </c>
      <c r="H1042" s="48">
        <f>IF(NOT(ISBLANK(vlookup(B1042,Pop_Census_2023!$A$2:$E$3220,4,FALSE))),vlookup(B1042,Pop_Census_2023!$A$2:$E$3220,4,FALSE), vlookup(B1042,Pop_Census_2023!$A$2:$E$3220,5,FALSE))</f>
        <v>36461</v>
      </c>
    </row>
    <row r="1043">
      <c r="A1043" s="47" t="s">
        <v>2669</v>
      </c>
      <c r="B1043" s="47">
        <v>21085.0</v>
      </c>
      <c r="C1043" s="47">
        <v>4.0</v>
      </c>
      <c r="D1043" s="47" t="s">
        <v>4044</v>
      </c>
      <c r="E1043" s="47" t="str">
        <f t="shared" si="1"/>
        <v>4A</v>
      </c>
      <c r="F1043" s="47" t="s">
        <v>4046</v>
      </c>
      <c r="G1043" s="47" t="s">
        <v>841</v>
      </c>
      <c r="H1043" s="48">
        <f>IF(NOT(ISBLANK(vlookup(B1043,Pop_Census_2023!$A$2:$E$3220,4,FALSE))),vlookup(B1043,Pop_Census_2023!$A$2:$E$3220,4,FALSE), vlookup(B1043,Pop_Census_2023!$A$2:$E$3220,5,FALSE))</f>
        <v>26825</v>
      </c>
    </row>
    <row r="1044">
      <c r="A1044" s="47" t="s">
        <v>2669</v>
      </c>
      <c r="B1044" s="47">
        <v>21087.0</v>
      </c>
      <c r="C1044" s="47">
        <v>4.0</v>
      </c>
      <c r="D1044" s="47" t="s">
        <v>4044</v>
      </c>
      <c r="E1044" s="47" t="str">
        <f t="shared" si="1"/>
        <v>4A</v>
      </c>
      <c r="F1044" s="47" t="s">
        <v>4046</v>
      </c>
      <c r="G1044" s="47" t="s">
        <v>842</v>
      </c>
      <c r="H1044" s="48">
        <f>IF(NOT(ISBLANK(vlookup(B1044,Pop_Census_2023!$A$2:$E$3220,4,FALSE))),vlookup(B1044,Pop_Census_2023!$A$2:$E$3220,4,FALSE), vlookup(B1044,Pop_Census_2023!$A$2:$E$3220,5,FALSE))</f>
        <v>11468</v>
      </c>
    </row>
    <row r="1045">
      <c r="A1045" s="47" t="s">
        <v>2669</v>
      </c>
      <c r="B1045" s="47">
        <v>21089.0</v>
      </c>
      <c r="C1045" s="47">
        <v>4.0</v>
      </c>
      <c r="D1045" s="47" t="s">
        <v>4044</v>
      </c>
      <c r="E1045" s="47" t="str">
        <f t="shared" si="1"/>
        <v>4A</v>
      </c>
      <c r="F1045" s="47" t="s">
        <v>4046</v>
      </c>
      <c r="G1045" s="47" t="s">
        <v>843</v>
      </c>
      <c r="H1045" s="48">
        <f>IF(NOT(ISBLANK(vlookup(B1045,Pop_Census_2023!$A$2:$E$3220,4,FALSE))),vlookup(B1045,Pop_Census_2023!$A$2:$E$3220,4,FALSE), vlookup(B1045,Pop_Census_2023!$A$2:$E$3220,5,FALSE))</f>
        <v>35221</v>
      </c>
    </row>
    <row r="1046">
      <c r="A1046" s="47" t="s">
        <v>2669</v>
      </c>
      <c r="B1046" s="47">
        <v>21091.0</v>
      </c>
      <c r="C1046" s="47">
        <v>4.0</v>
      </c>
      <c r="D1046" s="47" t="s">
        <v>4044</v>
      </c>
      <c r="E1046" s="47" t="str">
        <f t="shared" si="1"/>
        <v>4A</v>
      </c>
      <c r="F1046" s="47" t="s">
        <v>4046</v>
      </c>
      <c r="G1046" s="47" t="s">
        <v>512</v>
      </c>
      <c r="H1046" s="48">
        <f>IF(NOT(ISBLANK(vlookup(B1046,Pop_Census_2023!$A$2:$E$3220,4,FALSE))),vlookup(B1046,Pop_Census_2023!$A$2:$E$3220,4,FALSE), vlookup(B1046,Pop_Census_2023!$A$2:$E$3220,5,FALSE))</f>
        <v>8920</v>
      </c>
    </row>
    <row r="1047">
      <c r="A1047" s="47" t="s">
        <v>2669</v>
      </c>
      <c r="B1047" s="47">
        <v>21093.0</v>
      </c>
      <c r="C1047" s="47">
        <v>4.0</v>
      </c>
      <c r="D1047" s="47" t="s">
        <v>4044</v>
      </c>
      <c r="E1047" s="47" t="str">
        <f t="shared" si="1"/>
        <v>4A</v>
      </c>
      <c r="F1047" s="47" t="s">
        <v>4046</v>
      </c>
      <c r="G1047" s="47" t="s">
        <v>626</v>
      </c>
      <c r="H1047" s="48">
        <f>IF(NOT(ISBLANK(vlookup(B1047,Pop_Census_2023!$A$2:$E$3220,4,FALSE))),vlookup(B1047,Pop_Census_2023!$A$2:$E$3220,4,FALSE), vlookup(B1047,Pop_Census_2023!$A$2:$E$3220,5,FALSE))</f>
        <v>112273</v>
      </c>
    </row>
    <row r="1048">
      <c r="A1048" s="47" t="s">
        <v>2669</v>
      </c>
      <c r="B1048" s="47">
        <v>21095.0</v>
      </c>
      <c r="C1048" s="47">
        <v>4.0</v>
      </c>
      <c r="D1048" s="47" t="s">
        <v>4044</v>
      </c>
      <c r="E1048" s="47" t="str">
        <f t="shared" si="1"/>
        <v>4A</v>
      </c>
      <c r="F1048" s="47" t="s">
        <v>4046</v>
      </c>
      <c r="G1048" s="47" t="s">
        <v>844</v>
      </c>
      <c r="H1048" s="48">
        <f>IF(NOT(ISBLANK(vlookup(B1048,Pop_Census_2023!$A$2:$E$3220,4,FALSE))),vlookup(B1048,Pop_Census_2023!$A$2:$E$3220,4,FALSE), vlookup(B1048,Pop_Census_2023!$A$2:$E$3220,5,FALSE))</f>
        <v>25324</v>
      </c>
    </row>
    <row r="1049">
      <c r="A1049" s="47" t="s">
        <v>2669</v>
      </c>
      <c r="B1049" s="47">
        <v>21097.0</v>
      </c>
      <c r="C1049" s="47">
        <v>4.0</v>
      </c>
      <c r="D1049" s="47" t="s">
        <v>4044</v>
      </c>
      <c r="E1049" s="47" t="str">
        <f t="shared" si="1"/>
        <v>4A</v>
      </c>
      <c r="F1049" s="47" t="s">
        <v>4046</v>
      </c>
      <c r="G1049" s="47" t="s">
        <v>673</v>
      </c>
      <c r="H1049" s="48">
        <f>IF(NOT(ISBLANK(vlookup(B1049,Pop_Census_2023!$A$2:$E$3220,4,FALSE))),vlookup(B1049,Pop_Census_2023!$A$2:$E$3220,4,FALSE), vlookup(B1049,Pop_Census_2023!$A$2:$E$3220,5,FALSE))</f>
        <v>19415</v>
      </c>
    </row>
    <row r="1050">
      <c r="A1050" s="47" t="s">
        <v>2669</v>
      </c>
      <c r="B1050" s="47">
        <v>21099.0</v>
      </c>
      <c r="C1050" s="47">
        <v>4.0</v>
      </c>
      <c r="D1050" s="47" t="s">
        <v>4044</v>
      </c>
      <c r="E1050" s="47" t="str">
        <f t="shared" si="1"/>
        <v>4A</v>
      </c>
      <c r="F1050" s="47" t="s">
        <v>4046</v>
      </c>
      <c r="G1050" s="47" t="s">
        <v>515</v>
      </c>
      <c r="H1050" s="48">
        <f>IF(NOT(ISBLANK(vlookup(B1050,Pop_Census_2023!$A$2:$E$3220,4,FALSE))),vlookup(B1050,Pop_Census_2023!$A$2:$E$3220,4,FALSE), vlookup(B1050,Pop_Census_2023!$A$2:$E$3220,5,FALSE))</f>
        <v>19724</v>
      </c>
    </row>
    <row r="1051">
      <c r="A1051" s="47" t="s">
        <v>2669</v>
      </c>
      <c r="B1051" s="47">
        <v>21101.0</v>
      </c>
      <c r="C1051" s="47">
        <v>4.0</v>
      </c>
      <c r="D1051" s="47" t="s">
        <v>4044</v>
      </c>
      <c r="E1051" s="47" t="str">
        <f t="shared" si="1"/>
        <v>4A</v>
      </c>
      <c r="F1051" s="47" t="s">
        <v>4046</v>
      </c>
      <c r="G1051" s="47" t="s">
        <v>627</v>
      </c>
      <c r="H1051" s="48">
        <f>IF(NOT(ISBLANK(vlookup(B1051,Pop_Census_2023!$A$2:$E$3220,4,FALSE))),vlookup(B1051,Pop_Census_2023!$A$2:$E$3220,4,FALSE), vlookup(B1051,Pop_Census_2023!$A$2:$E$3220,5,FALSE))</f>
        <v>44119</v>
      </c>
    </row>
    <row r="1052">
      <c r="A1052" s="47" t="s">
        <v>2669</v>
      </c>
      <c r="B1052" s="47">
        <v>21103.0</v>
      </c>
      <c r="C1052" s="47">
        <v>4.0</v>
      </c>
      <c r="D1052" s="47" t="s">
        <v>4044</v>
      </c>
      <c r="E1052" s="47" t="str">
        <f t="shared" si="1"/>
        <v>4A</v>
      </c>
      <c r="F1052" s="47" t="s">
        <v>4046</v>
      </c>
      <c r="G1052" s="47" t="s">
        <v>136</v>
      </c>
      <c r="H1052" s="48">
        <f>IF(NOT(ISBLANK(vlookup(B1052,Pop_Census_2023!$A$2:$E$3220,4,FALSE))),vlookup(B1052,Pop_Census_2023!$A$2:$E$3220,4,FALSE), vlookup(B1052,Pop_Census_2023!$A$2:$E$3220,5,FALSE))</f>
        <v>15973</v>
      </c>
    </row>
    <row r="1053">
      <c r="A1053" s="47" t="s">
        <v>2669</v>
      </c>
      <c r="B1053" s="47">
        <v>21105.0</v>
      </c>
      <c r="C1053" s="47">
        <v>4.0</v>
      </c>
      <c r="D1053" s="47" t="s">
        <v>4044</v>
      </c>
      <c r="E1053" s="47" t="str">
        <f t="shared" si="1"/>
        <v>4A</v>
      </c>
      <c r="F1053" s="47" t="s">
        <v>4046</v>
      </c>
      <c r="G1053" s="47" t="s">
        <v>845</v>
      </c>
      <c r="H1053" s="48">
        <f>IF(NOT(ISBLANK(vlookup(B1053,Pop_Census_2023!$A$2:$E$3220,4,FALSE))),vlookup(B1053,Pop_Census_2023!$A$2:$E$3220,4,FALSE), vlookup(B1053,Pop_Census_2023!$A$2:$E$3220,5,FALSE))</f>
        <v>4447</v>
      </c>
    </row>
    <row r="1054">
      <c r="A1054" s="47" t="s">
        <v>2669</v>
      </c>
      <c r="B1054" s="47">
        <v>21107.0</v>
      </c>
      <c r="C1054" s="47">
        <v>4.0</v>
      </c>
      <c r="D1054" s="47" t="s">
        <v>4044</v>
      </c>
      <c r="E1054" s="47" t="str">
        <f t="shared" si="1"/>
        <v>4A</v>
      </c>
      <c r="F1054" s="47" t="s">
        <v>4046</v>
      </c>
      <c r="G1054" s="47" t="s">
        <v>846</v>
      </c>
      <c r="H1054" s="48">
        <f>IF(NOT(ISBLANK(vlookup(B1054,Pop_Census_2023!$A$2:$E$3220,4,FALSE))),vlookup(B1054,Pop_Census_2023!$A$2:$E$3220,4,FALSE), vlookup(B1054,Pop_Census_2023!$A$2:$E$3220,5,FALSE))</f>
        <v>44929</v>
      </c>
    </row>
    <row r="1055">
      <c r="A1055" s="47" t="s">
        <v>2669</v>
      </c>
      <c r="B1055" s="47">
        <v>21109.0</v>
      </c>
      <c r="C1055" s="47">
        <v>4.0</v>
      </c>
      <c r="D1055" s="47" t="s">
        <v>4044</v>
      </c>
      <c r="E1055" s="47" t="str">
        <f t="shared" si="1"/>
        <v>4A</v>
      </c>
      <c r="F1055" s="47" t="s">
        <v>4046</v>
      </c>
      <c r="G1055" s="47" t="s">
        <v>138</v>
      </c>
      <c r="H1055" s="48">
        <f>IF(NOT(ISBLANK(vlookup(B1055,Pop_Census_2023!$A$2:$E$3220,4,FALSE))),vlookup(B1055,Pop_Census_2023!$A$2:$E$3220,4,FALSE), vlookup(B1055,Pop_Census_2023!$A$2:$E$3220,5,FALSE))</f>
        <v>13104</v>
      </c>
    </row>
    <row r="1056">
      <c r="A1056" s="47" t="s">
        <v>2669</v>
      </c>
      <c r="B1056" s="47">
        <v>21111.0</v>
      </c>
      <c r="C1056" s="47">
        <v>4.0</v>
      </c>
      <c r="D1056" s="47" t="s">
        <v>4044</v>
      </c>
      <c r="E1056" s="47" t="str">
        <f t="shared" si="1"/>
        <v>4A</v>
      </c>
      <c r="F1056" s="47" t="s">
        <v>4046</v>
      </c>
      <c r="G1056" s="47" t="s">
        <v>139</v>
      </c>
      <c r="H1056" s="48">
        <f>IF(NOT(ISBLANK(vlookup(B1056,Pop_Census_2023!$A$2:$E$3220,4,FALSE))),vlookup(B1056,Pop_Census_2023!$A$2:$E$3220,4,FALSE), vlookup(B1056,Pop_Census_2023!$A$2:$E$3220,5,FALSE))</f>
        <v>772144</v>
      </c>
    </row>
    <row r="1057">
      <c r="A1057" s="47" t="s">
        <v>2669</v>
      </c>
      <c r="B1057" s="47">
        <v>21113.0</v>
      </c>
      <c r="C1057" s="47">
        <v>4.0</v>
      </c>
      <c r="D1057" s="47" t="s">
        <v>4044</v>
      </c>
      <c r="E1057" s="47" t="str">
        <f t="shared" si="1"/>
        <v>4A</v>
      </c>
      <c r="F1057" s="47" t="s">
        <v>4046</v>
      </c>
      <c r="G1057" s="47" t="s">
        <v>847</v>
      </c>
      <c r="H1057" s="48">
        <f>IF(NOT(ISBLANK(vlookup(B1057,Pop_Census_2023!$A$2:$E$3220,4,FALSE))),vlookup(B1057,Pop_Census_2023!$A$2:$E$3220,4,FALSE), vlookup(B1057,Pop_Census_2023!$A$2:$E$3220,5,FALSE))</f>
        <v>55017</v>
      </c>
    </row>
    <row r="1058">
      <c r="A1058" s="47" t="s">
        <v>2669</v>
      </c>
      <c r="B1058" s="47">
        <v>21115.0</v>
      </c>
      <c r="C1058" s="47">
        <v>4.0</v>
      </c>
      <c r="D1058" s="47" t="s">
        <v>4044</v>
      </c>
      <c r="E1058" s="47" t="str">
        <f t="shared" si="1"/>
        <v>4A</v>
      </c>
      <c r="F1058" s="47" t="s">
        <v>4046</v>
      </c>
      <c r="G1058" s="47" t="s">
        <v>248</v>
      </c>
      <c r="H1058" s="48">
        <f>IF(NOT(ISBLANK(vlookup(B1058,Pop_Census_2023!$A$2:$E$3220,4,FALSE))),vlookup(B1058,Pop_Census_2023!$A$2:$E$3220,4,FALSE), vlookup(B1058,Pop_Census_2023!$A$2:$E$3220,5,FALSE))</f>
        <v>22116</v>
      </c>
    </row>
    <row r="1059">
      <c r="A1059" s="47" t="s">
        <v>2669</v>
      </c>
      <c r="B1059" s="47">
        <v>21117.0</v>
      </c>
      <c r="C1059" s="47">
        <v>4.0</v>
      </c>
      <c r="D1059" s="47" t="s">
        <v>4044</v>
      </c>
      <c r="E1059" s="47" t="str">
        <f t="shared" si="1"/>
        <v>4A</v>
      </c>
      <c r="F1059" s="47" t="s">
        <v>4046</v>
      </c>
      <c r="G1059" s="47" t="s">
        <v>848</v>
      </c>
      <c r="H1059" s="48">
        <f>IF(NOT(ISBLANK(vlookup(B1059,Pop_Census_2023!$A$2:$E$3220,4,FALSE))),vlookup(B1059,Pop_Census_2023!$A$2:$E$3220,4,FALSE), vlookup(B1059,Pop_Census_2023!$A$2:$E$3220,5,FALSE))</f>
        <v>171321</v>
      </c>
    </row>
    <row r="1060">
      <c r="A1060" s="47" t="s">
        <v>2669</v>
      </c>
      <c r="B1060" s="47">
        <v>21119.0</v>
      </c>
      <c r="C1060" s="47">
        <v>4.0</v>
      </c>
      <c r="D1060" s="47" t="s">
        <v>4044</v>
      </c>
      <c r="E1060" s="47" t="str">
        <f t="shared" si="1"/>
        <v>4A</v>
      </c>
      <c r="F1060" s="47" t="s">
        <v>4046</v>
      </c>
      <c r="G1060" s="47" t="s">
        <v>849</v>
      </c>
      <c r="H1060" s="48">
        <f>IF(NOT(ISBLANK(vlookup(B1060,Pop_Census_2023!$A$2:$E$3220,4,FALSE))),vlookup(B1060,Pop_Census_2023!$A$2:$E$3220,4,FALSE), vlookup(B1060,Pop_Census_2023!$A$2:$E$3220,5,FALSE))</f>
        <v>13659</v>
      </c>
    </row>
    <row r="1061">
      <c r="A1061" s="47" t="s">
        <v>2669</v>
      </c>
      <c r="B1061" s="47">
        <v>21121.0</v>
      </c>
      <c r="C1061" s="47">
        <v>4.0</v>
      </c>
      <c r="D1061" s="47" t="s">
        <v>4044</v>
      </c>
      <c r="E1061" s="47" t="str">
        <f t="shared" si="1"/>
        <v>4A</v>
      </c>
      <c r="F1061" s="47" t="s">
        <v>4046</v>
      </c>
      <c r="G1061" s="47" t="s">
        <v>634</v>
      </c>
      <c r="H1061" s="48">
        <f>IF(NOT(ISBLANK(vlookup(B1061,Pop_Census_2023!$A$2:$E$3220,4,FALSE))),vlookup(B1061,Pop_Census_2023!$A$2:$E$3220,4,FALSE), vlookup(B1061,Pop_Census_2023!$A$2:$E$3220,5,FALSE))</f>
        <v>29794</v>
      </c>
    </row>
    <row r="1062">
      <c r="A1062" s="47" t="s">
        <v>2669</v>
      </c>
      <c r="B1062" s="47">
        <v>21123.0</v>
      </c>
      <c r="C1062" s="47">
        <v>4.0</v>
      </c>
      <c r="D1062" s="47" t="s">
        <v>4044</v>
      </c>
      <c r="E1062" s="47" t="str">
        <f t="shared" si="1"/>
        <v>4A</v>
      </c>
      <c r="F1062" s="47" t="s">
        <v>4046</v>
      </c>
      <c r="G1062" s="47" t="s">
        <v>850</v>
      </c>
      <c r="H1062" s="48">
        <f>IF(NOT(ISBLANK(vlookup(B1062,Pop_Census_2023!$A$2:$E$3220,4,FALSE))),vlookup(B1062,Pop_Census_2023!$A$2:$E$3220,4,FALSE), vlookup(B1062,Pop_Census_2023!$A$2:$E$3220,5,FALSE))</f>
        <v>15303</v>
      </c>
    </row>
    <row r="1063">
      <c r="A1063" s="47" t="s">
        <v>2669</v>
      </c>
      <c r="B1063" s="47">
        <v>21125.0</v>
      </c>
      <c r="C1063" s="47">
        <v>4.0</v>
      </c>
      <c r="D1063" s="47" t="s">
        <v>4044</v>
      </c>
      <c r="E1063" s="47" t="str">
        <f t="shared" si="1"/>
        <v>4A</v>
      </c>
      <c r="F1063" s="47" t="s">
        <v>4046</v>
      </c>
      <c r="G1063" s="47" t="s">
        <v>851</v>
      </c>
      <c r="H1063" s="48">
        <f>IF(NOT(ISBLANK(vlookup(B1063,Pop_Census_2023!$A$2:$E$3220,4,FALSE))),vlookup(B1063,Pop_Census_2023!$A$2:$E$3220,4,FALSE), vlookup(B1063,Pop_Census_2023!$A$2:$E$3220,5,FALSE))</f>
        <v>63296</v>
      </c>
    </row>
    <row r="1064">
      <c r="A1064" s="47" t="s">
        <v>2669</v>
      </c>
      <c r="B1064" s="47">
        <v>21127.0</v>
      </c>
      <c r="C1064" s="47">
        <v>4.0</v>
      </c>
      <c r="D1064" s="47" t="s">
        <v>4044</v>
      </c>
      <c r="E1064" s="47" t="str">
        <f t="shared" si="1"/>
        <v>4A</v>
      </c>
      <c r="F1064" s="47" t="s">
        <v>4046</v>
      </c>
      <c r="G1064" s="47" t="s">
        <v>142</v>
      </c>
      <c r="H1064" s="48">
        <f>IF(NOT(ISBLANK(vlookup(B1064,Pop_Census_2023!$A$2:$E$3220,4,FALSE))),vlookup(B1064,Pop_Census_2023!$A$2:$E$3220,4,FALSE), vlookup(B1064,Pop_Census_2023!$A$2:$E$3220,5,FALSE))</f>
        <v>16000</v>
      </c>
    </row>
    <row r="1065">
      <c r="A1065" s="47" t="s">
        <v>2669</v>
      </c>
      <c r="B1065" s="47">
        <v>21129.0</v>
      </c>
      <c r="C1065" s="47">
        <v>4.0</v>
      </c>
      <c r="D1065" s="47" t="s">
        <v>4044</v>
      </c>
      <c r="E1065" s="47" t="str">
        <f t="shared" si="1"/>
        <v>4A</v>
      </c>
      <c r="F1065" s="47" t="s">
        <v>4046</v>
      </c>
      <c r="G1065" s="47" t="s">
        <v>143</v>
      </c>
      <c r="H1065" s="48">
        <f>IF(NOT(ISBLANK(vlookup(B1065,Pop_Census_2023!$A$2:$E$3220,4,FALSE))),vlookup(B1065,Pop_Census_2023!$A$2:$E$3220,4,FALSE), vlookup(B1065,Pop_Census_2023!$A$2:$E$3220,5,FALSE))</f>
        <v>7293</v>
      </c>
    </row>
    <row r="1066">
      <c r="A1066" s="47" t="s">
        <v>2669</v>
      </c>
      <c r="B1066" s="47">
        <v>21131.0</v>
      </c>
      <c r="C1066" s="47">
        <v>4.0</v>
      </c>
      <c r="D1066" s="47" t="s">
        <v>4044</v>
      </c>
      <c r="E1066" s="47" t="str">
        <f t="shared" si="1"/>
        <v>4A</v>
      </c>
      <c r="F1066" s="47" t="s">
        <v>4046</v>
      </c>
      <c r="G1066" s="47" t="s">
        <v>852</v>
      </c>
      <c r="H1066" s="48">
        <f>IF(NOT(ISBLANK(vlookup(B1066,Pop_Census_2023!$A$2:$E$3220,4,FALSE))),vlookup(B1066,Pop_Census_2023!$A$2:$E$3220,4,FALSE), vlookup(B1066,Pop_Census_2023!$A$2:$E$3220,5,FALSE))</f>
        <v>9864</v>
      </c>
    </row>
    <row r="1067">
      <c r="A1067" s="47" t="s">
        <v>2669</v>
      </c>
      <c r="B1067" s="47">
        <v>21133.0</v>
      </c>
      <c r="C1067" s="47">
        <v>4.0</v>
      </c>
      <c r="D1067" s="47" t="s">
        <v>4044</v>
      </c>
      <c r="E1067" s="47" t="str">
        <f t="shared" si="1"/>
        <v>4A</v>
      </c>
      <c r="F1067" s="47" t="s">
        <v>4046</v>
      </c>
      <c r="G1067" s="47" t="s">
        <v>853</v>
      </c>
      <c r="H1067" s="48">
        <f>IF(NOT(ISBLANK(vlookup(B1067,Pop_Census_2023!$A$2:$E$3220,4,FALSE))),vlookup(B1067,Pop_Census_2023!$A$2:$E$3220,4,FALSE), vlookup(B1067,Pop_Census_2023!$A$2:$E$3220,5,FALSE))</f>
        <v>20423</v>
      </c>
    </row>
    <row r="1068">
      <c r="A1068" s="47" t="s">
        <v>2669</v>
      </c>
      <c r="B1068" s="47">
        <v>21135.0</v>
      </c>
      <c r="C1068" s="47">
        <v>4.0</v>
      </c>
      <c r="D1068" s="47" t="s">
        <v>4044</v>
      </c>
      <c r="E1068" s="47" t="str">
        <f t="shared" si="1"/>
        <v>4A</v>
      </c>
      <c r="F1068" s="47" t="s">
        <v>4046</v>
      </c>
      <c r="G1068" s="47" t="s">
        <v>597</v>
      </c>
      <c r="H1068" s="48">
        <f>IF(NOT(ISBLANK(vlookup(B1068,Pop_Census_2023!$A$2:$E$3220,4,FALSE))),vlookup(B1068,Pop_Census_2023!$A$2:$E$3220,4,FALSE), vlookup(B1068,Pop_Census_2023!$A$2:$E$3220,5,FALSE))</f>
        <v>12973</v>
      </c>
    </row>
    <row r="1069">
      <c r="A1069" s="47" t="s">
        <v>2669</v>
      </c>
      <c r="B1069" s="47">
        <v>21137.0</v>
      </c>
      <c r="C1069" s="47">
        <v>4.0</v>
      </c>
      <c r="D1069" s="47" t="s">
        <v>4044</v>
      </c>
      <c r="E1069" s="47" t="str">
        <f t="shared" si="1"/>
        <v>4A</v>
      </c>
      <c r="F1069" s="47" t="s">
        <v>4046</v>
      </c>
      <c r="G1069" s="47" t="s">
        <v>250</v>
      </c>
      <c r="H1069" s="48">
        <f>IF(NOT(ISBLANK(vlookup(B1069,Pop_Census_2023!$A$2:$E$3220,4,FALSE))),vlookup(B1069,Pop_Census_2023!$A$2:$E$3220,4,FALSE), vlookup(B1069,Pop_Census_2023!$A$2:$E$3220,5,FALSE))</f>
        <v>24776</v>
      </c>
    </row>
    <row r="1070">
      <c r="A1070" s="47" t="s">
        <v>2669</v>
      </c>
      <c r="B1070" s="47">
        <v>21139.0</v>
      </c>
      <c r="C1070" s="47">
        <v>4.0</v>
      </c>
      <c r="D1070" s="47" t="s">
        <v>4044</v>
      </c>
      <c r="E1070" s="47" t="str">
        <f t="shared" si="1"/>
        <v>4A</v>
      </c>
      <c r="F1070" s="47" t="s">
        <v>4046</v>
      </c>
      <c r="G1070" s="47" t="s">
        <v>636</v>
      </c>
      <c r="H1070" s="48">
        <f>IF(NOT(ISBLANK(vlookup(B1070,Pop_Census_2023!$A$2:$E$3220,4,FALSE))),vlookup(B1070,Pop_Census_2023!$A$2:$E$3220,4,FALSE), vlookup(B1070,Pop_Census_2023!$A$2:$E$3220,5,FALSE))</f>
        <v>8892</v>
      </c>
    </row>
    <row r="1071">
      <c r="A1071" s="47" t="s">
        <v>2669</v>
      </c>
      <c r="B1071" s="47">
        <v>21141.0</v>
      </c>
      <c r="C1071" s="47">
        <v>4.0</v>
      </c>
      <c r="D1071" s="47" t="s">
        <v>4044</v>
      </c>
      <c r="E1071" s="47" t="str">
        <f t="shared" si="1"/>
        <v>4A</v>
      </c>
      <c r="F1071" s="47" t="s">
        <v>4046</v>
      </c>
      <c r="G1071" s="47" t="s">
        <v>252</v>
      </c>
      <c r="H1071" s="48">
        <f>IF(NOT(ISBLANK(vlookup(B1071,Pop_Census_2023!$A$2:$E$3220,4,FALSE))),vlookup(B1071,Pop_Census_2023!$A$2:$E$3220,4,FALSE), vlookup(B1071,Pop_Census_2023!$A$2:$E$3220,5,FALSE))</f>
        <v>28283</v>
      </c>
    </row>
    <row r="1072">
      <c r="A1072" s="47" t="s">
        <v>2669</v>
      </c>
      <c r="B1072" s="47">
        <v>21143.0</v>
      </c>
      <c r="C1072" s="47">
        <v>4.0</v>
      </c>
      <c r="D1072" s="47" t="s">
        <v>4044</v>
      </c>
      <c r="E1072" s="47" t="str">
        <f t="shared" si="1"/>
        <v>4A</v>
      </c>
      <c r="F1072" s="47" t="s">
        <v>4046</v>
      </c>
      <c r="G1072" s="47" t="s">
        <v>729</v>
      </c>
      <c r="H1072" s="48">
        <f>IF(NOT(ISBLANK(vlookup(B1072,Pop_Census_2023!$A$2:$E$3220,4,FALSE))),vlookup(B1072,Pop_Census_2023!$A$2:$E$3220,4,FALSE), vlookup(B1072,Pop_Census_2023!$A$2:$E$3220,5,FALSE))</f>
        <v>9187</v>
      </c>
    </row>
    <row r="1073">
      <c r="A1073" s="47" t="s">
        <v>2669</v>
      </c>
      <c r="B1073" s="47">
        <v>21145.0</v>
      </c>
      <c r="C1073" s="47">
        <v>4.0</v>
      </c>
      <c r="D1073" s="47" t="s">
        <v>4044</v>
      </c>
      <c r="E1073" s="47" t="str">
        <f t="shared" si="1"/>
        <v>4A</v>
      </c>
      <c r="F1073" s="47" t="s">
        <v>4046</v>
      </c>
      <c r="G1073" s="47" t="s">
        <v>854</v>
      </c>
      <c r="H1073" s="48">
        <f>IF(NOT(ISBLANK(vlookup(B1073,Pop_Census_2023!$A$2:$E$3220,4,FALSE))),vlookup(B1073,Pop_Census_2023!$A$2:$E$3220,4,FALSE), vlookup(B1073,Pop_Census_2023!$A$2:$E$3220,5,FALSE))</f>
        <v>67428</v>
      </c>
    </row>
    <row r="1074">
      <c r="A1074" s="47" t="s">
        <v>2669</v>
      </c>
      <c r="B1074" s="47">
        <v>21147.0</v>
      </c>
      <c r="C1074" s="47">
        <v>4.0</v>
      </c>
      <c r="D1074" s="47" t="s">
        <v>4044</v>
      </c>
      <c r="E1074" s="47" t="str">
        <f t="shared" si="1"/>
        <v>4A</v>
      </c>
      <c r="F1074" s="47" t="s">
        <v>4046</v>
      </c>
      <c r="G1074" s="47" t="s">
        <v>855</v>
      </c>
      <c r="H1074" s="48">
        <f>IF(NOT(ISBLANK(vlookup(B1074,Pop_Census_2023!$A$2:$E$3220,4,FALSE))),vlookup(B1074,Pop_Census_2023!$A$2:$E$3220,4,FALSE), vlookup(B1074,Pop_Census_2023!$A$2:$E$3220,5,FALSE))</f>
        <v>17050</v>
      </c>
    </row>
    <row r="1075">
      <c r="A1075" s="47" t="s">
        <v>2669</v>
      </c>
      <c r="B1075" s="47">
        <v>21149.0</v>
      </c>
      <c r="C1075" s="47">
        <v>4.0</v>
      </c>
      <c r="D1075" s="47" t="s">
        <v>4044</v>
      </c>
      <c r="E1075" s="47" t="str">
        <f t="shared" si="1"/>
        <v>4A</v>
      </c>
      <c r="F1075" s="47" t="s">
        <v>4046</v>
      </c>
      <c r="G1075" s="47" t="s">
        <v>639</v>
      </c>
      <c r="H1075" s="48">
        <f>IF(NOT(ISBLANK(vlookup(B1075,Pop_Census_2023!$A$2:$E$3220,4,FALSE))),vlookup(B1075,Pop_Census_2023!$A$2:$E$3220,4,FALSE), vlookup(B1075,Pop_Census_2023!$A$2:$E$3220,5,FALSE))</f>
        <v>9054</v>
      </c>
    </row>
    <row r="1076">
      <c r="A1076" s="47" t="s">
        <v>2669</v>
      </c>
      <c r="B1076" s="47">
        <v>21151.0</v>
      </c>
      <c r="C1076" s="47">
        <v>4.0</v>
      </c>
      <c r="D1076" s="47" t="s">
        <v>4044</v>
      </c>
      <c r="E1076" s="47" t="str">
        <f t="shared" si="1"/>
        <v>4A</v>
      </c>
      <c r="F1076" s="47" t="s">
        <v>4046</v>
      </c>
      <c r="G1076" s="47" t="s">
        <v>147</v>
      </c>
      <c r="H1076" s="48">
        <f>IF(NOT(ISBLANK(vlookup(B1076,Pop_Census_2023!$A$2:$E$3220,4,FALSE))),vlookup(B1076,Pop_Census_2023!$A$2:$E$3220,4,FALSE), vlookup(B1076,Pop_Census_2023!$A$2:$E$3220,5,FALSE))</f>
        <v>96735</v>
      </c>
    </row>
    <row r="1077">
      <c r="A1077" s="47" t="s">
        <v>2669</v>
      </c>
      <c r="B1077" s="47">
        <v>21153.0</v>
      </c>
      <c r="C1077" s="47">
        <v>4.0</v>
      </c>
      <c r="D1077" s="47" t="s">
        <v>4044</v>
      </c>
      <c r="E1077" s="47" t="str">
        <f t="shared" si="1"/>
        <v>4A</v>
      </c>
      <c r="F1077" s="47" t="s">
        <v>4046</v>
      </c>
      <c r="G1077" s="47" t="s">
        <v>856</v>
      </c>
      <c r="H1077" s="48">
        <f>IF(NOT(ISBLANK(vlookup(B1077,Pop_Census_2023!$A$2:$E$3220,4,FALSE))),vlookup(B1077,Pop_Census_2023!$A$2:$E$3220,4,FALSE), vlookup(B1077,Pop_Census_2023!$A$2:$E$3220,5,FALSE))</f>
        <v>11228</v>
      </c>
    </row>
    <row r="1078">
      <c r="A1078" s="47" t="s">
        <v>2669</v>
      </c>
      <c r="B1078" s="47">
        <v>21155.0</v>
      </c>
      <c r="C1078" s="47">
        <v>4.0</v>
      </c>
      <c r="D1078" s="47" t="s">
        <v>4044</v>
      </c>
      <c r="E1078" s="47" t="str">
        <f t="shared" si="1"/>
        <v>4A</v>
      </c>
      <c r="F1078" s="47" t="s">
        <v>4046</v>
      </c>
      <c r="G1078" s="47" t="s">
        <v>149</v>
      </c>
      <c r="H1078" s="48">
        <f>IF(NOT(ISBLANK(vlookup(B1078,Pop_Census_2023!$A$2:$E$3220,4,FALSE))),vlookup(B1078,Pop_Census_2023!$A$2:$E$3220,4,FALSE), vlookup(B1078,Pop_Census_2023!$A$2:$E$3220,5,FALSE))</f>
        <v>19834</v>
      </c>
    </row>
    <row r="1079">
      <c r="A1079" s="47" t="s">
        <v>2669</v>
      </c>
      <c r="B1079" s="47">
        <v>21157.0</v>
      </c>
      <c r="C1079" s="47">
        <v>4.0</v>
      </c>
      <c r="D1079" s="47" t="s">
        <v>4044</v>
      </c>
      <c r="E1079" s="47" t="str">
        <f t="shared" si="1"/>
        <v>4A</v>
      </c>
      <c r="F1079" s="47" t="s">
        <v>4046</v>
      </c>
      <c r="G1079" s="47" t="s">
        <v>150</v>
      </c>
      <c r="H1079" s="48">
        <f>IF(NOT(ISBLANK(vlookup(B1079,Pop_Census_2023!$A$2:$E$3220,4,FALSE))),vlookup(B1079,Pop_Census_2023!$A$2:$E$3220,4,FALSE), vlookup(B1079,Pop_Census_2023!$A$2:$E$3220,5,FALSE))</f>
        <v>31744</v>
      </c>
    </row>
    <row r="1080">
      <c r="A1080" s="47" t="s">
        <v>2669</v>
      </c>
      <c r="B1080" s="47">
        <v>21159.0</v>
      </c>
      <c r="C1080" s="47">
        <v>4.0</v>
      </c>
      <c r="D1080" s="47" t="s">
        <v>4044</v>
      </c>
      <c r="E1080" s="47" t="str">
        <f t="shared" si="1"/>
        <v>4A</v>
      </c>
      <c r="F1080" s="47" t="s">
        <v>4046</v>
      </c>
      <c r="G1080" s="47" t="s">
        <v>440</v>
      </c>
      <c r="H1080" s="48">
        <f>IF(NOT(ISBLANK(vlookup(B1080,Pop_Census_2023!$A$2:$E$3220,4,FALSE))),vlookup(B1080,Pop_Census_2023!$A$2:$E$3220,4,FALSE), vlookup(B1080,Pop_Census_2023!$A$2:$E$3220,5,FALSE))</f>
        <v>10928</v>
      </c>
    </row>
    <row r="1081">
      <c r="A1081" s="47" t="s">
        <v>2669</v>
      </c>
      <c r="B1081" s="47">
        <v>21161.0</v>
      </c>
      <c r="C1081" s="47">
        <v>4.0</v>
      </c>
      <c r="D1081" s="47" t="s">
        <v>4044</v>
      </c>
      <c r="E1081" s="47" t="str">
        <f t="shared" si="1"/>
        <v>4A</v>
      </c>
      <c r="F1081" s="47" t="s">
        <v>4046</v>
      </c>
      <c r="G1081" s="47" t="s">
        <v>641</v>
      </c>
      <c r="H1081" s="48">
        <f>IF(NOT(ISBLANK(vlookup(B1081,Pop_Census_2023!$A$2:$E$3220,4,FALSE))),vlookup(B1081,Pop_Census_2023!$A$2:$E$3220,4,FALSE), vlookup(B1081,Pop_Census_2023!$A$2:$E$3220,5,FALSE))</f>
        <v>16841</v>
      </c>
    </row>
    <row r="1082">
      <c r="A1082" s="47" t="s">
        <v>2669</v>
      </c>
      <c r="B1082" s="47">
        <v>21163.0</v>
      </c>
      <c r="C1082" s="47">
        <v>4.0</v>
      </c>
      <c r="D1082" s="47" t="s">
        <v>4044</v>
      </c>
      <c r="E1082" s="47" t="str">
        <f t="shared" si="1"/>
        <v>4A</v>
      </c>
      <c r="F1082" s="47" t="s">
        <v>4046</v>
      </c>
      <c r="G1082" s="47" t="s">
        <v>783</v>
      </c>
      <c r="H1082" s="48">
        <f>IF(NOT(ISBLANK(vlookup(B1082,Pop_Census_2023!$A$2:$E$3220,4,FALSE))),vlookup(B1082,Pop_Census_2023!$A$2:$E$3220,4,FALSE), vlookup(B1082,Pop_Census_2023!$A$2:$E$3220,5,FALSE))</f>
        <v>30131</v>
      </c>
    </row>
    <row r="1083">
      <c r="A1083" s="47" t="s">
        <v>2669</v>
      </c>
      <c r="B1083" s="47">
        <v>21165.0</v>
      </c>
      <c r="C1083" s="47">
        <v>4.0</v>
      </c>
      <c r="D1083" s="47" t="s">
        <v>4044</v>
      </c>
      <c r="E1083" s="47" t="str">
        <f t="shared" si="1"/>
        <v>4A</v>
      </c>
      <c r="F1083" s="47" t="s">
        <v>4046</v>
      </c>
      <c r="G1083" s="47" t="s">
        <v>857</v>
      </c>
      <c r="H1083" s="48">
        <f>IF(NOT(ISBLANK(vlookup(B1083,Pop_Census_2023!$A$2:$E$3220,4,FALSE))),vlookup(B1083,Pop_Census_2023!$A$2:$E$3220,4,FALSE), vlookup(B1083,Pop_Census_2023!$A$2:$E$3220,5,FALSE))</f>
        <v>6286</v>
      </c>
    </row>
    <row r="1084">
      <c r="A1084" s="47" t="s">
        <v>2669</v>
      </c>
      <c r="B1084" s="47">
        <v>21167.0</v>
      </c>
      <c r="C1084" s="47">
        <v>4.0</v>
      </c>
      <c r="D1084" s="47" t="s">
        <v>4044</v>
      </c>
      <c r="E1084" s="47" t="str">
        <f t="shared" si="1"/>
        <v>4A</v>
      </c>
      <c r="F1084" s="47" t="s">
        <v>4046</v>
      </c>
      <c r="G1084" s="47" t="s">
        <v>644</v>
      </c>
      <c r="H1084" s="48">
        <f>IF(NOT(ISBLANK(vlookup(B1084,Pop_Census_2023!$A$2:$E$3220,4,FALSE))),vlookup(B1084,Pop_Census_2023!$A$2:$E$3220,4,FALSE), vlookup(B1084,Pop_Census_2023!$A$2:$E$3220,5,FALSE))</f>
        <v>23097</v>
      </c>
    </row>
    <row r="1085">
      <c r="A1085" s="47" t="s">
        <v>2669</v>
      </c>
      <c r="B1085" s="47">
        <v>21169.0</v>
      </c>
      <c r="C1085" s="47">
        <v>4.0</v>
      </c>
      <c r="D1085" s="47" t="s">
        <v>4044</v>
      </c>
      <c r="E1085" s="47" t="str">
        <f t="shared" si="1"/>
        <v>4A</v>
      </c>
      <c r="F1085" s="47" t="s">
        <v>4046</v>
      </c>
      <c r="G1085" s="47" t="s">
        <v>858</v>
      </c>
      <c r="H1085" s="48">
        <f>IF(NOT(ISBLANK(vlookup(B1085,Pop_Census_2023!$A$2:$E$3220,4,FALSE))),vlookup(B1085,Pop_Census_2023!$A$2:$E$3220,4,FALSE), vlookup(B1085,Pop_Census_2023!$A$2:$E$3220,5,FALSE))</f>
        <v>10482</v>
      </c>
    </row>
    <row r="1086">
      <c r="A1086" s="47" t="s">
        <v>2669</v>
      </c>
      <c r="B1086" s="47">
        <v>21171.0</v>
      </c>
      <c r="C1086" s="47">
        <v>4.0</v>
      </c>
      <c r="D1086" s="47" t="s">
        <v>4044</v>
      </c>
      <c r="E1086" s="47" t="str">
        <f t="shared" si="1"/>
        <v>4A</v>
      </c>
      <c r="F1086" s="47" t="s">
        <v>4046</v>
      </c>
      <c r="G1086" s="47" t="s">
        <v>152</v>
      </c>
      <c r="H1086" s="48">
        <f>IF(NOT(ISBLANK(vlookup(B1086,Pop_Census_2023!$A$2:$E$3220,4,FALSE))),vlookup(B1086,Pop_Census_2023!$A$2:$E$3220,4,FALSE), vlookup(B1086,Pop_Census_2023!$A$2:$E$3220,5,FALSE))</f>
        <v>11306</v>
      </c>
    </row>
    <row r="1087">
      <c r="A1087" s="47" t="s">
        <v>2669</v>
      </c>
      <c r="B1087" s="47">
        <v>21173.0</v>
      </c>
      <c r="C1087" s="47">
        <v>4.0</v>
      </c>
      <c r="D1087" s="47" t="s">
        <v>4044</v>
      </c>
      <c r="E1087" s="47" t="str">
        <f t="shared" si="1"/>
        <v>4A</v>
      </c>
      <c r="F1087" s="47" t="s">
        <v>4046</v>
      </c>
      <c r="G1087" s="47" t="s">
        <v>153</v>
      </c>
      <c r="H1087" s="48">
        <f>IF(NOT(ISBLANK(vlookup(B1087,Pop_Census_2023!$A$2:$E$3220,4,FALSE))),vlookup(B1087,Pop_Census_2023!$A$2:$E$3220,4,FALSE), vlookup(B1087,Pop_Census_2023!$A$2:$E$3220,5,FALSE))</f>
        <v>28527</v>
      </c>
    </row>
    <row r="1088">
      <c r="A1088" s="47" t="s">
        <v>2669</v>
      </c>
      <c r="B1088" s="47">
        <v>21175.0</v>
      </c>
      <c r="C1088" s="47">
        <v>4.0</v>
      </c>
      <c r="D1088" s="47" t="s">
        <v>4044</v>
      </c>
      <c r="E1088" s="47" t="str">
        <f t="shared" si="1"/>
        <v>4A</v>
      </c>
      <c r="F1088" s="47" t="s">
        <v>4046</v>
      </c>
      <c r="G1088" s="47" t="s">
        <v>154</v>
      </c>
      <c r="H1088" s="48">
        <f>IF(NOT(ISBLANK(vlookup(B1088,Pop_Census_2023!$A$2:$E$3220,4,FALSE))),vlookup(B1088,Pop_Census_2023!$A$2:$E$3220,4,FALSE), vlookup(B1088,Pop_Census_2023!$A$2:$E$3220,5,FALSE))</f>
        <v>14283</v>
      </c>
    </row>
    <row r="1089">
      <c r="A1089" s="47" t="s">
        <v>2669</v>
      </c>
      <c r="B1089" s="47">
        <v>21177.0</v>
      </c>
      <c r="C1089" s="47">
        <v>4.0</v>
      </c>
      <c r="D1089" s="47" t="s">
        <v>4044</v>
      </c>
      <c r="E1089" s="47" t="str">
        <f t="shared" si="1"/>
        <v>4A</v>
      </c>
      <c r="F1089" s="47" t="s">
        <v>4046</v>
      </c>
      <c r="G1089" s="47" t="s">
        <v>859</v>
      </c>
      <c r="H1089" s="48">
        <f>IF(NOT(ISBLANK(vlookup(B1089,Pop_Census_2023!$A$2:$E$3220,4,FALSE))),vlookup(B1089,Pop_Census_2023!$A$2:$E$3220,4,FALSE), vlookup(B1089,Pop_Census_2023!$A$2:$E$3220,5,FALSE))</f>
        <v>30568</v>
      </c>
    </row>
    <row r="1090">
      <c r="A1090" s="47" t="s">
        <v>2669</v>
      </c>
      <c r="B1090" s="47">
        <v>21179.0</v>
      </c>
      <c r="C1090" s="47">
        <v>4.0</v>
      </c>
      <c r="D1090" s="47" t="s">
        <v>4044</v>
      </c>
      <c r="E1090" s="47" t="str">
        <f t="shared" si="1"/>
        <v>4A</v>
      </c>
      <c r="F1090" s="47" t="s">
        <v>4046</v>
      </c>
      <c r="G1090" s="47" t="s">
        <v>860</v>
      </c>
      <c r="H1090" s="48">
        <f>IF(NOT(ISBLANK(vlookup(B1090,Pop_Census_2023!$A$2:$E$3220,4,FALSE))),vlookup(B1090,Pop_Census_2023!$A$2:$E$3220,4,FALSE), vlookup(B1090,Pop_Census_2023!$A$2:$E$3220,5,FALSE))</f>
        <v>47730</v>
      </c>
    </row>
    <row r="1091">
      <c r="A1091" s="47" t="s">
        <v>2669</v>
      </c>
      <c r="B1091" s="47">
        <v>21181.0</v>
      </c>
      <c r="C1091" s="47">
        <v>4.0</v>
      </c>
      <c r="D1091" s="47" t="s">
        <v>4044</v>
      </c>
      <c r="E1091" s="47" t="str">
        <f t="shared" si="1"/>
        <v>4A</v>
      </c>
      <c r="F1091" s="47" t="s">
        <v>4046</v>
      </c>
      <c r="G1091" s="47" t="s">
        <v>861</v>
      </c>
      <c r="H1091" s="48">
        <f>IF(NOT(ISBLANK(vlookup(B1091,Pop_Census_2023!$A$2:$E$3220,4,FALSE))),vlookup(B1091,Pop_Census_2023!$A$2:$E$3220,4,FALSE), vlookup(B1091,Pop_Census_2023!$A$2:$E$3220,5,FALSE))</f>
        <v>7686</v>
      </c>
    </row>
    <row r="1092">
      <c r="A1092" s="47" t="s">
        <v>2669</v>
      </c>
      <c r="B1092" s="47">
        <v>21183.0</v>
      </c>
      <c r="C1092" s="47">
        <v>4.0</v>
      </c>
      <c r="D1092" s="47" t="s">
        <v>4044</v>
      </c>
      <c r="E1092" s="47" t="str">
        <f t="shared" si="1"/>
        <v>4A</v>
      </c>
      <c r="F1092" s="47" t="s">
        <v>4046</v>
      </c>
      <c r="G1092" s="47" t="s">
        <v>683</v>
      </c>
      <c r="H1092" s="48">
        <f>IF(NOT(ISBLANK(vlookup(B1092,Pop_Census_2023!$A$2:$E$3220,4,FALSE))),vlookup(B1092,Pop_Census_2023!$A$2:$E$3220,4,FALSE), vlookup(B1092,Pop_Census_2023!$A$2:$E$3220,5,FALSE))</f>
        <v>23626</v>
      </c>
    </row>
    <row r="1093">
      <c r="A1093" s="47" t="s">
        <v>2669</v>
      </c>
      <c r="B1093" s="47">
        <v>21185.0</v>
      </c>
      <c r="C1093" s="47">
        <v>4.0</v>
      </c>
      <c r="D1093" s="47" t="s">
        <v>4044</v>
      </c>
      <c r="E1093" s="47" t="str">
        <f t="shared" si="1"/>
        <v>4A</v>
      </c>
      <c r="F1093" s="47" t="s">
        <v>4046</v>
      </c>
      <c r="G1093" s="47" t="s">
        <v>862</v>
      </c>
      <c r="H1093" s="48">
        <f>IF(NOT(ISBLANK(vlookup(B1093,Pop_Census_2023!$A$2:$E$3220,4,FALSE))),vlookup(B1093,Pop_Census_2023!$A$2:$E$3220,4,FALSE), vlookup(B1093,Pop_Census_2023!$A$2:$E$3220,5,FALSE))</f>
        <v>70183</v>
      </c>
    </row>
    <row r="1094">
      <c r="A1094" s="47" t="s">
        <v>2669</v>
      </c>
      <c r="B1094" s="47">
        <v>21187.0</v>
      </c>
      <c r="C1094" s="47">
        <v>4.0</v>
      </c>
      <c r="D1094" s="47" t="s">
        <v>4044</v>
      </c>
      <c r="E1094" s="47" t="str">
        <f t="shared" si="1"/>
        <v>4A</v>
      </c>
      <c r="F1094" s="47" t="s">
        <v>4046</v>
      </c>
      <c r="G1094" s="47" t="s">
        <v>684</v>
      </c>
      <c r="H1094" s="48">
        <f>IF(NOT(ISBLANK(vlookup(B1094,Pop_Census_2023!$A$2:$E$3220,4,FALSE))),vlookup(B1094,Pop_Census_2023!$A$2:$E$3220,4,FALSE), vlookup(B1094,Pop_Census_2023!$A$2:$E$3220,5,FALSE))</f>
        <v>11313</v>
      </c>
    </row>
    <row r="1095">
      <c r="A1095" s="47" t="s">
        <v>2669</v>
      </c>
      <c r="B1095" s="47">
        <v>21189.0</v>
      </c>
      <c r="C1095" s="47">
        <v>4.0</v>
      </c>
      <c r="D1095" s="47" t="s">
        <v>4044</v>
      </c>
      <c r="E1095" s="47" t="str">
        <f t="shared" si="1"/>
        <v>4A</v>
      </c>
      <c r="F1095" s="47" t="s">
        <v>4046</v>
      </c>
      <c r="G1095" s="47" t="s">
        <v>863</v>
      </c>
      <c r="H1095" s="48">
        <f>IF(NOT(ISBLANK(vlookup(B1095,Pop_Census_2023!$A$2:$E$3220,4,FALSE))),vlookup(B1095,Pop_Census_2023!$A$2:$E$3220,4,FALSE), vlookup(B1095,Pop_Census_2023!$A$2:$E$3220,5,FALSE))</f>
        <v>4001</v>
      </c>
    </row>
    <row r="1096">
      <c r="A1096" s="47" t="s">
        <v>2669</v>
      </c>
      <c r="B1096" s="47">
        <v>21191.0</v>
      </c>
      <c r="C1096" s="47">
        <v>4.0</v>
      </c>
      <c r="D1096" s="47" t="s">
        <v>4044</v>
      </c>
      <c r="E1096" s="47" t="str">
        <f t="shared" si="1"/>
        <v>4A</v>
      </c>
      <c r="F1096" s="47" t="s">
        <v>4046</v>
      </c>
      <c r="G1096" s="47" t="s">
        <v>864</v>
      </c>
      <c r="H1096" s="48">
        <f>IF(NOT(ISBLANK(vlookup(B1096,Pop_Census_2023!$A$2:$E$3220,4,FALSE))),vlookup(B1096,Pop_Census_2023!$A$2:$E$3220,4,FALSE), vlookup(B1096,Pop_Census_2023!$A$2:$E$3220,5,FALSE))</f>
        <v>14810</v>
      </c>
    </row>
    <row r="1097">
      <c r="A1097" s="47" t="s">
        <v>2669</v>
      </c>
      <c r="B1097" s="47">
        <v>21193.0</v>
      </c>
      <c r="C1097" s="47">
        <v>4.0</v>
      </c>
      <c r="D1097" s="47" t="s">
        <v>4044</v>
      </c>
      <c r="E1097" s="47" t="str">
        <f t="shared" si="1"/>
        <v>4A</v>
      </c>
      <c r="F1097" s="47" t="s">
        <v>4046</v>
      </c>
      <c r="G1097" s="47" t="s">
        <v>155</v>
      </c>
      <c r="H1097" s="48">
        <f>IF(NOT(ISBLANK(vlookup(B1097,Pop_Census_2023!$A$2:$E$3220,4,FALSE))),vlookup(B1097,Pop_Census_2023!$A$2:$E$3220,4,FALSE), vlookup(B1097,Pop_Census_2023!$A$2:$E$3220,5,FALSE))</f>
        <v>27133</v>
      </c>
    </row>
    <row r="1098">
      <c r="A1098" s="47" t="s">
        <v>2669</v>
      </c>
      <c r="B1098" s="47">
        <v>21195.0</v>
      </c>
      <c r="C1098" s="47">
        <v>4.0</v>
      </c>
      <c r="D1098" s="47" t="s">
        <v>4044</v>
      </c>
      <c r="E1098" s="47" t="str">
        <f t="shared" si="1"/>
        <v>4A</v>
      </c>
      <c r="F1098" s="47" t="s">
        <v>4046</v>
      </c>
      <c r="G1098" s="47" t="s">
        <v>157</v>
      </c>
      <c r="H1098" s="48">
        <f>IF(NOT(ISBLANK(vlookup(B1098,Pop_Census_2023!$A$2:$E$3220,4,FALSE))),vlookup(B1098,Pop_Census_2023!$A$2:$E$3220,4,FALSE), vlookup(B1098,Pop_Census_2023!$A$2:$E$3220,5,FALSE))</f>
        <v>55973</v>
      </c>
    </row>
    <row r="1099">
      <c r="A1099" s="47" t="s">
        <v>2669</v>
      </c>
      <c r="B1099" s="47">
        <v>21197.0</v>
      </c>
      <c r="C1099" s="47">
        <v>4.0</v>
      </c>
      <c r="D1099" s="47" t="s">
        <v>4044</v>
      </c>
      <c r="E1099" s="47" t="str">
        <f t="shared" si="1"/>
        <v>4A</v>
      </c>
      <c r="F1099" s="47" t="s">
        <v>4046</v>
      </c>
      <c r="G1099" s="47" t="s">
        <v>865</v>
      </c>
      <c r="H1099" s="48">
        <f>IF(NOT(ISBLANK(vlookup(B1099,Pop_Census_2023!$A$2:$E$3220,4,FALSE))),vlookup(B1099,Pop_Census_2023!$A$2:$E$3220,4,FALSE), vlookup(B1099,Pop_Census_2023!$A$2:$E$3220,5,FALSE))</f>
        <v>12972</v>
      </c>
    </row>
    <row r="1100">
      <c r="A1100" s="47" t="s">
        <v>2669</v>
      </c>
      <c r="B1100" s="47">
        <v>21199.0</v>
      </c>
      <c r="C1100" s="47">
        <v>4.0</v>
      </c>
      <c r="D1100" s="47" t="s">
        <v>4044</v>
      </c>
      <c r="E1100" s="47" t="str">
        <f t="shared" si="1"/>
        <v>4A</v>
      </c>
      <c r="F1100" s="47" t="s">
        <v>4046</v>
      </c>
      <c r="G1100" s="47" t="s">
        <v>264</v>
      </c>
      <c r="H1100" s="48">
        <f>IF(NOT(ISBLANK(vlookup(B1100,Pop_Census_2023!$A$2:$E$3220,4,FALSE))),vlookup(B1100,Pop_Census_2023!$A$2:$E$3220,4,FALSE), vlookup(B1100,Pop_Census_2023!$A$2:$E$3220,5,FALSE))</f>
        <v>66191</v>
      </c>
    </row>
    <row r="1101">
      <c r="A1101" s="47" t="s">
        <v>2669</v>
      </c>
      <c r="B1101" s="47">
        <v>21201.0</v>
      </c>
      <c r="C1101" s="47">
        <v>4.0</v>
      </c>
      <c r="D1101" s="47" t="s">
        <v>4044</v>
      </c>
      <c r="E1101" s="47" t="str">
        <f t="shared" si="1"/>
        <v>4A</v>
      </c>
      <c r="F1101" s="47" t="s">
        <v>4046</v>
      </c>
      <c r="G1101" s="47" t="s">
        <v>866</v>
      </c>
      <c r="H1101" s="48">
        <f>IF(NOT(ISBLANK(vlookup(B1101,Pop_Census_2023!$A$2:$E$3220,4,FALSE))),vlookup(B1101,Pop_Census_2023!$A$2:$E$3220,4,FALSE), vlookup(B1101,Pop_Census_2023!$A$2:$E$3220,5,FALSE))</f>
        <v>2313</v>
      </c>
    </row>
    <row r="1102">
      <c r="A1102" s="47" t="s">
        <v>2669</v>
      </c>
      <c r="B1102" s="47">
        <v>21203.0</v>
      </c>
      <c r="C1102" s="47">
        <v>4.0</v>
      </c>
      <c r="D1102" s="47" t="s">
        <v>4044</v>
      </c>
      <c r="E1102" s="47" t="str">
        <f t="shared" si="1"/>
        <v>4A</v>
      </c>
      <c r="F1102" s="47" t="s">
        <v>4046</v>
      </c>
      <c r="G1102" s="47" t="s">
        <v>867</v>
      </c>
      <c r="H1102" s="48">
        <f>IF(NOT(ISBLANK(vlookup(B1102,Pop_Census_2023!$A$2:$E$3220,4,FALSE))),vlookup(B1102,Pop_Census_2023!$A$2:$E$3220,4,FALSE), vlookup(B1102,Pop_Census_2023!$A$2:$E$3220,5,FALSE))</f>
        <v>16190</v>
      </c>
    </row>
    <row r="1103">
      <c r="A1103" s="47" t="s">
        <v>2669</v>
      </c>
      <c r="B1103" s="47">
        <v>21205.0</v>
      </c>
      <c r="C1103" s="47">
        <v>4.0</v>
      </c>
      <c r="D1103" s="47" t="s">
        <v>4044</v>
      </c>
      <c r="E1103" s="47" t="str">
        <f t="shared" si="1"/>
        <v>4A</v>
      </c>
      <c r="F1103" s="47" t="s">
        <v>4046</v>
      </c>
      <c r="G1103" s="47" t="s">
        <v>868</v>
      </c>
      <c r="H1103" s="48">
        <f>IF(NOT(ISBLANK(vlookup(B1103,Pop_Census_2023!$A$2:$E$3220,4,FALSE))),vlookup(B1103,Pop_Census_2023!$A$2:$E$3220,4,FALSE), vlookup(B1103,Pop_Census_2023!$A$2:$E$3220,5,FALSE))</f>
        <v>24409</v>
      </c>
    </row>
    <row r="1104">
      <c r="A1104" s="47" t="s">
        <v>2669</v>
      </c>
      <c r="B1104" s="47">
        <v>21207.0</v>
      </c>
      <c r="C1104" s="47">
        <v>4.0</v>
      </c>
      <c r="D1104" s="47" t="s">
        <v>4044</v>
      </c>
      <c r="E1104" s="47" t="str">
        <f t="shared" si="1"/>
        <v>4A</v>
      </c>
      <c r="F1104" s="47" t="s">
        <v>4046</v>
      </c>
      <c r="G1104" s="47" t="s">
        <v>159</v>
      </c>
      <c r="H1104" s="48">
        <f>IF(NOT(ISBLANK(vlookup(B1104,Pop_Census_2023!$A$2:$E$3220,4,FALSE))),vlookup(B1104,Pop_Census_2023!$A$2:$E$3220,4,FALSE), vlookup(B1104,Pop_Census_2023!$A$2:$E$3220,5,FALSE))</f>
        <v>18279</v>
      </c>
    </row>
    <row r="1105">
      <c r="A1105" s="47" t="s">
        <v>2669</v>
      </c>
      <c r="B1105" s="47">
        <v>21209.0</v>
      </c>
      <c r="C1105" s="47">
        <v>4.0</v>
      </c>
      <c r="D1105" s="47" t="s">
        <v>4044</v>
      </c>
      <c r="E1105" s="47" t="str">
        <f t="shared" si="1"/>
        <v>4A</v>
      </c>
      <c r="F1105" s="47" t="s">
        <v>4046</v>
      </c>
      <c r="G1105" s="47" t="s">
        <v>267</v>
      </c>
      <c r="H1105" s="48">
        <f>IF(NOT(ISBLANK(vlookup(B1105,Pop_Census_2023!$A$2:$E$3220,4,FALSE))),vlookup(B1105,Pop_Census_2023!$A$2:$E$3220,4,FALSE), vlookup(B1105,Pop_Census_2023!$A$2:$E$3220,5,FALSE))</f>
        <v>60168</v>
      </c>
    </row>
    <row r="1106">
      <c r="A1106" s="47" t="s">
        <v>2669</v>
      </c>
      <c r="B1106" s="47">
        <v>21211.0</v>
      </c>
      <c r="C1106" s="47">
        <v>4.0</v>
      </c>
      <c r="D1106" s="47" t="s">
        <v>4044</v>
      </c>
      <c r="E1106" s="47" t="str">
        <f t="shared" si="1"/>
        <v>4A</v>
      </c>
      <c r="F1106" s="47" t="s">
        <v>4046</v>
      </c>
      <c r="G1106" s="47" t="s">
        <v>161</v>
      </c>
      <c r="H1106" s="48">
        <f>IF(NOT(ISBLANK(vlookup(B1106,Pop_Census_2023!$A$2:$E$3220,4,FALSE))),vlookup(B1106,Pop_Census_2023!$A$2:$E$3220,4,FALSE), vlookup(B1106,Pop_Census_2023!$A$2:$E$3220,5,FALSE))</f>
        <v>49515</v>
      </c>
    </row>
    <row r="1107">
      <c r="A1107" s="47" t="s">
        <v>2669</v>
      </c>
      <c r="B1107" s="47">
        <v>21213.0</v>
      </c>
      <c r="C1107" s="47">
        <v>4.0</v>
      </c>
      <c r="D1107" s="47" t="s">
        <v>4044</v>
      </c>
      <c r="E1107" s="47" t="str">
        <f t="shared" si="1"/>
        <v>4A</v>
      </c>
      <c r="F1107" s="47" t="s">
        <v>4046</v>
      </c>
      <c r="G1107" s="47" t="s">
        <v>869</v>
      </c>
      <c r="H1107" s="48">
        <f>IF(NOT(ISBLANK(vlookup(B1107,Pop_Census_2023!$A$2:$E$3220,4,FALSE))),vlookup(B1107,Pop_Census_2023!$A$2:$E$3220,4,FALSE), vlookup(B1107,Pop_Census_2023!$A$2:$E$3220,5,FALSE))</f>
        <v>20195</v>
      </c>
    </row>
    <row r="1108">
      <c r="A1108" s="47" t="s">
        <v>2669</v>
      </c>
      <c r="B1108" s="47">
        <v>21215.0</v>
      </c>
      <c r="C1108" s="47">
        <v>4.0</v>
      </c>
      <c r="D1108" s="47" t="s">
        <v>4044</v>
      </c>
      <c r="E1108" s="47" t="str">
        <f t="shared" si="1"/>
        <v>4A</v>
      </c>
      <c r="F1108" s="47" t="s">
        <v>4046</v>
      </c>
      <c r="G1108" s="47" t="s">
        <v>691</v>
      </c>
      <c r="H1108" s="48">
        <f>IF(NOT(ISBLANK(vlookup(B1108,Pop_Census_2023!$A$2:$E$3220,4,FALSE))),vlookup(B1108,Pop_Census_2023!$A$2:$E$3220,4,FALSE), vlookup(B1108,Pop_Census_2023!$A$2:$E$3220,5,FALSE))</f>
        <v>20531</v>
      </c>
    </row>
    <row r="1109">
      <c r="A1109" s="47" t="s">
        <v>2669</v>
      </c>
      <c r="B1109" s="47">
        <v>21217.0</v>
      </c>
      <c r="C1109" s="47">
        <v>4.0</v>
      </c>
      <c r="D1109" s="47" t="s">
        <v>4044</v>
      </c>
      <c r="E1109" s="47" t="str">
        <f t="shared" si="1"/>
        <v>4A</v>
      </c>
      <c r="F1109" s="47" t="s">
        <v>4046</v>
      </c>
      <c r="G1109" s="47" t="s">
        <v>456</v>
      </c>
      <c r="H1109" s="48">
        <f>IF(NOT(ISBLANK(vlookup(B1109,Pop_Census_2023!$A$2:$E$3220,4,FALSE))),vlookup(B1109,Pop_Census_2023!$A$2:$E$3220,4,FALSE), vlookup(B1109,Pop_Census_2023!$A$2:$E$3220,5,FALSE))</f>
        <v>26443</v>
      </c>
    </row>
    <row r="1110">
      <c r="A1110" s="47" t="s">
        <v>2669</v>
      </c>
      <c r="B1110" s="47">
        <v>21219.0</v>
      </c>
      <c r="C1110" s="47">
        <v>4.0</v>
      </c>
      <c r="D1110" s="47" t="s">
        <v>4044</v>
      </c>
      <c r="E1110" s="47" t="str">
        <f t="shared" si="1"/>
        <v>4A</v>
      </c>
      <c r="F1110" s="47" t="s">
        <v>4046</v>
      </c>
      <c r="G1110" s="47" t="s">
        <v>870</v>
      </c>
      <c r="H1110" s="48">
        <f>IF(NOT(ISBLANK(vlookup(B1110,Pop_Census_2023!$A$2:$E$3220,4,FALSE))),vlookup(B1110,Pop_Census_2023!$A$2:$E$3220,4,FALSE), vlookup(B1110,Pop_Census_2023!$A$2:$E$3220,5,FALSE))</f>
        <v>12494</v>
      </c>
    </row>
    <row r="1111">
      <c r="A1111" s="47" t="s">
        <v>2669</v>
      </c>
      <c r="B1111" s="47">
        <v>21221.0</v>
      </c>
      <c r="C1111" s="47">
        <v>4.0</v>
      </c>
      <c r="D1111" s="47" t="s">
        <v>4044</v>
      </c>
      <c r="E1111" s="47" t="str">
        <f t="shared" si="1"/>
        <v>4A</v>
      </c>
      <c r="F1111" s="47" t="s">
        <v>4046</v>
      </c>
      <c r="G1111" s="47" t="s">
        <v>871</v>
      </c>
      <c r="H1111" s="48">
        <f>IF(NOT(ISBLANK(vlookup(B1111,Pop_Census_2023!$A$2:$E$3220,4,FALSE))),vlookup(B1111,Pop_Census_2023!$A$2:$E$3220,4,FALSE), vlookup(B1111,Pop_Census_2023!$A$2:$E$3220,5,FALSE))</f>
        <v>14369</v>
      </c>
    </row>
    <row r="1112">
      <c r="A1112" s="47" t="s">
        <v>2669</v>
      </c>
      <c r="B1112" s="47">
        <v>21223.0</v>
      </c>
      <c r="C1112" s="47">
        <v>4.0</v>
      </c>
      <c r="D1112" s="47" t="s">
        <v>4044</v>
      </c>
      <c r="E1112" s="47" t="str">
        <f t="shared" si="1"/>
        <v>4A</v>
      </c>
      <c r="F1112" s="47" t="s">
        <v>4046</v>
      </c>
      <c r="G1112" s="47" t="s">
        <v>872</v>
      </c>
      <c r="H1112" s="48">
        <f>IF(NOT(ISBLANK(vlookup(B1112,Pop_Census_2023!$A$2:$E$3220,4,FALSE))),vlookup(B1112,Pop_Census_2023!$A$2:$E$3220,4,FALSE), vlookup(B1112,Pop_Census_2023!$A$2:$E$3220,5,FALSE))</f>
        <v>8607</v>
      </c>
    </row>
    <row r="1113">
      <c r="A1113" s="47" t="s">
        <v>2669</v>
      </c>
      <c r="B1113" s="47">
        <v>21225.0</v>
      </c>
      <c r="C1113" s="47">
        <v>4.0</v>
      </c>
      <c r="D1113" s="47" t="s">
        <v>4044</v>
      </c>
      <c r="E1113" s="47" t="str">
        <f t="shared" si="1"/>
        <v>4A</v>
      </c>
      <c r="F1113" s="47" t="s">
        <v>4046</v>
      </c>
      <c r="G1113" s="47" t="s">
        <v>273</v>
      </c>
      <c r="H1113" s="48">
        <f>IF(NOT(ISBLANK(vlookup(B1113,Pop_Census_2023!$A$2:$E$3220,4,FALSE))),vlookup(B1113,Pop_Census_2023!$A$2:$E$3220,4,FALSE), vlookup(B1113,Pop_Census_2023!$A$2:$E$3220,5,FALSE))</f>
        <v>13106</v>
      </c>
    </row>
    <row r="1114">
      <c r="A1114" s="47" t="s">
        <v>2669</v>
      </c>
      <c r="B1114" s="47">
        <v>21227.0</v>
      </c>
      <c r="C1114" s="47">
        <v>4.0</v>
      </c>
      <c r="D1114" s="47" t="s">
        <v>4044</v>
      </c>
      <c r="E1114" s="47" t="str">
        <f t="shared" si="1"/>
        <v>4A</v>
      </c>
      <c r="F1114" s="47" t="s">
        <v>4046</v>
      </c>
      <c r="G1114" s="47" t="s">
        <v>561</v>
      </c>
      <c r="H1114" s="48">
        <f>IF(NOT(ISBLANK(vlookup(B1114,Pop_Census_2023!$A$2:$E$3220,4,FALSE))),vlookup(B1114,Pop_Census_2023!$A$2:$E$3220,4,FALSE), vlookup(B1114,Pop_Census_2023!$A$2:$E$3220,5,FALSE))</f>
        <v>142229</v>
      </c>
    </row>
    <row r="1115">
      <c r="A1115" s="47" t="s">
        <v>2669</v>
      </c>
      <c r="B1115" s="47">
        <v>21229.0</v>
      </c>
      <c r="C1115" s="47">
        <v>4.0</v>
      </c>
      <c r="D1115" s="47" t="s">
        <v>4044</v>
      </c>
      <c r="E1115" s="47" t="str">
        <f t="shared" si="1"/>
        <v>4A</v>
      </c>
      <c r="F1115" s="47" t="s">
        <v>4046</v>
      </c>
      <c r="G1115" s="47" t="s">
        <v>167</v>
      </c>
      <c r="H1115" s="48">
        <f>IF(NOT(ISBLANK(vlookup(B1115,Pop_Census_2023!$A$2:$E$3220,4,FALSE))),vlookup(B1115,Pop_Census_2023!$A$2:$E$3220,4,FALSE), vlookup(B1115,Pop_Census_2023!$A$2:$E$3220,5,FALSE))</f>
        <v>12267</v>
      </c>
    </row>
    <row r="1116">
      <c r="A1116" s="47" t="s">
        <v>2669</v>
      </c>
      <c r="B1116" s="47">
        <v>21231.0</v>
      </c>
      <c r="C1116" s="47">
        <v>4.0</v>
      </c>
      <c r="D1116" s="47" t="s">
        <v>4044</v>
      </c>
      <c r="E1116" s="47" t="str">
        <f t="shared" si="1"/>
        <v>4A</v>
      </c>
      <c r="F1116" s="47" t="s">
        <v>4046</v>
      </c>
      <c r="G1116" s="47" t="s">
        <v>562</v>
      </c>
      <c r="H1116" s="48">
        <f>IF(NOT(ISBLANK(vlookup(B1116,Pop_Census_2023!$A$2:$E$3220,4,FALSE))),vlookup(B1116,Pop_Census_2023!$A$2:$E$3220,4,FALSE), vlookup(B1116,Pop_Census_2023!$A$2:$E$3220,5,FALSE))</f>
        <v>19580</v>
      </c>
    </row>
    <row r="1117">
      <c r="A1117" s="47" t="s">
        <v>2669</v>
      </c>
      <c r="B1117" s="47">
        <v>21233.0</v>
      </c>
      <c r="C1117" s="47">
        <v>4.0</v>
      </c>
      <c r="D1117" s="47" t="s">
        <v>4044</v>
      </c>
      <c r="E1117" s="47" t="str">
        <f t="shared" si="1"/>
        <v>4A</v>
      </c>
      <c r="F1117" s="47" t="s">
        <v>4046</v>
      </c>
      <c r="G1117" s="47" t="s">
        <v>563</v>
      </c>
      <c r="H1117" s="48">
        <f>IF(NOT(ISBLANK(vlookup(B1117,Pop_Census_2023!$A$2:$E$3220,4,FALSE))),vlookup(B1117,Pop_Census_2023!$A$2:$E$3220,4,FALSE), vlookup(B1117,Pop_Census_2023!$A$2:$E$3220,5,FALSE))</f>
        <v>12726</v>
      </c>
    </row>
    <row r="1118">
      <c r="A1118" s="47" t="s">
        <v>2669</v>
      </c>
      <c r="B1118" s="47">
        <v>21235.0</v>
      </c>
      <c r="C1118" s="47">
        <v>4.0</v>
      </c>
      <c r="D1118" s="47" t="s">
        <v>4044</v>
      </c>
      <c r="E1118" s="47" t="str">
        <f t="shared" si="1"/>
        <v>4A</v>
      </c>
      <c r="F1118" s="47" t="s">
        <v>4046</v>
      </c>
      <c r="G1118" s="47" t="s">
        <v>703</v>
      </c>
      <c r="H1118" s="48">
        <f>IF(NOT(ISBLANK(vlookup(B1118,Pop_Census_2023!$A$2:$E$3220,4,FALSE))),vlookup(B1118,Pop_Census_2023!$A$2:$E$3220,4,FALSE), vlookup(B1118,Pop_Census_2023!$A$2:$E$3220,5,FALSE))</f>
        <v>36825</v>
      </c>
    </row>
    <row r="1119">
      <c r="A1119" s="47" t="s">
        <v>2669</v>
      </c>
      <c r="B1119" s="47">
        <v>21237.0</v>
      </c>
      <c r="C1119" s="47">
        <v>4.0</v>
      </c>
      <c r="D1119" s="47" t="s">
        <v>4044</v>
      </c>
      <c r="E1119" s="47" t="str">
        <f t="shared" si="1"/>
        <v>4A</v>
      </c>
      <c r="F1119" s="47" t="s">
        <v>4046</v>
      </c>
      <c r="G1119" s="47" t="s">
        <v>873</v>
      </c>
      <c r="H1119" s="48">
        <f>IF(NOT(ISBLANK(vlookup(B1119,Pop_Census_2023!$A$2:$E$3220,4,FALSE))),vlookup(B1119,Pop_Census_2023!$A$2:$E$3220,4,FALSE), vlookup(B1119,Pop_Census_2023!$A$2:$E$3220,5,FALSE))</f>
        <v>6282</v>
      </c>
    </row>
    <row r="1120">
      <c r="A1120" s="47" t="s">
        <v>2669</v>
      </c>
      <c r="B1120" s="47">
        <v>21239.0</v>
      </c>
      <c r="C1120" s="47">
        <v>4.0</v>
      </c>
      <c r="D1120" s="47" t="s">
        <v>4044</v>
      </c>
      <c r="E1120" s="47" t="str">
        <f t="shared" si="1"/>
        <v>4A</v>
      </c>
      <c r="F1120" s="47" t="s">
        <v>4046</v>
      </c>
      <c r="G1120" s="47" t="s">
        <v>662</v>
      </c>
      <c r="H1120" s="48">
        <f>IF(NOT(ISBLANK(vlookup(B1120,Pop_Census_2023!$A$2:$E$3220,4,FALSE))),vlookup(B1120,Pop_Census_2023!$A$2:$E$3220,4,FALSE), vlookup(B1120,Pop_Census_2023!$A$2:$E$3220,5,FALSE))</f>
        <v>27268</v>
      </c>
    </row>
    <row r="1121">
      <c r="A1121" s="47" t="s">
        <v>2725</v>
      </c>
      <c r="B1121" s="47">
        <v>22001.0</v>
      </c>
      <c r="C1121" s="47">
        <v>2.0</v>
      </c>
      <c r="D1121" s="47" t="s">
        <v>4044</v>
      </c>
      <c r="E1121" s="47" t="str">
        <f t="shared" si="1"/>
        <v>2A</v>
      </c>
      <c r="F1121" s="47" t="s">
        <v>4045</v>
      </c>
      <c r="G1121" s="47" t="s">
        <v>874</v>
      </c>
      <c r="H1121" s="48">
        <f>IF(NOT(ISBLANK(vlookup(B1121,Pop_Census_2023!$A$2:$E$3220,4,FALSE))),vlookup(B1121,Pop_Census_2023!$A$2:$E$3220,4,FALSE), vlookup(B1121,Pop_Census_2023!$A$2:$E$3220,5,FALSE))</f>
        <v>56489</v>
      </c>
    </row>
    <row r="1122">
      <c r="A1122" s="47" t="s">
        <v>2725</v>
      </c>
      <c r="B1122" s="47">
        <v>22003.0</v>
      </c>
      <c r="C1122" s="47">
        <v>2.0</v>
      </c>
      <c r="D1122" s="47" t="s">
        <v>4044</v>
      </c>
      <c r="E1122" s="47" t="str">
        <f t="shared" si="1"/>
        <v>2A</v>
      </c>
      <c r="F1122" s="47" t="s">
        <v>4045</v>
      </c>
      <c r="G1122" s="47" t="s">
        <v>664</v>
      </c>
      <c r="H1122" s="48">
        <f>IF(NOT(ISBLANK(vlookup(B1122,Pop_Census_2023!$A$2:$E$3220,4,FALSE))),vlookup(B1122,Pop_Census_2023!$A$2:$E$3220,4,FALSE), vlookup(B1122,Pop_Census_2023!$A$2:$E$3220,5,FALSE))</f>
        <v>22112</v>
      </c>
    </row>
    <row r="1123">
      <c r="A1123" s="47" t="s">
        <v>2725</v>
      </c>
      <c r="B1123" s="47">
        <v>22005.0</v>
      </c>
      <c r="C1123" s="47">
        <v>2.0</v>
      </c>
      <c r="D1123" s="47" t="s">
        <v>4044</v>
      </c>
      <c r="E1123" s="47" t="str">
        <f t="shared" si="1"/>
        <v>2A</v>
      </c>
      <c r="F1123" s="47" t="s">
        <v>4045</v>
      </c>
      <c r="G1123" s="47" t="s">
        <v>876</v>
      </c>
      <c r="H1123" s="48">
        <f>IF(NOT(ISBLANK(vlookup(B1123,Pop_Census_2023!$A$2:$E$3220,4,FALSE))),vlookup(B1123,Pop_Census_2023!$A$2:$E$3220,4,FALSE), vlookup(B1123,Pop_Census_2023!$A$2:$E$3220,5,FALSE))</f>
        <v>131632</v>
      </c>
    </row>
    <row r="1124">
      <c r="A1124" s="47" t="s">
        <v>2725</v>
      </c>
      <c r="B1124" s="47">
        <v>22007.0</v>
      </c>
      <c r="C1124" s="47">
        <v>2.0</v>
      </c>
      <c r="D1124" s="47" t="s">
        <v>4044</v>
      </c>
      <c r="E1124" s="47" t="str">
        <f t="shared" si="1"/>
        <v>2A</v>
      </c>
      <c r="F1124" s="47" t="s">
        <v>4045</v>
      </c>
      <c r="G1124" s="47" t="s">
        <v>877</v>
      </c>
      <c r="H1124" s="48">
        <f>IF(NOT(ISBLANK(vlookup(B1124,Pop_Census_2023!$A$2:$E$3220,4,FALSE))),vlookup(B1124,Pop_Census_2023!$A$2:$E$3220,4,FALSE), vlookup(B1124,Pop_Census_2023!$A$2:$E$3220,5,FALSE))</f>
        <v>20160</v>
      </c>
    </row>
    <row r="1125">
      <c r="A1125" s="47" t="s">
        <v>2725</v>
      </c>
      <c r="B1125" s="47">
        <v>22009.0</v>
      </c>
      <c r="C1125" s="47">
        <v>2.0</v>
      </c>
      <c r="D1125" s="47" t="s">
        <v>4044</v>
      </c>
      <c r="E1125" s="47" t="str">
        <f t="shared" si="1"/>
        <v>2A</v>
      </c>
      <c r="F1125" s="47" t="s">
        <v>4045</v>
      </c>
      <c r="G1125" s="47" t="s">
        <v>878</v>
      </c>
      <c r="H1125" s="48">
        <f>IF(NOT(ISBLANK(vlookup(B1125,Pop_Census_2023!$A$2:$E$3220,4,FALSE))),vlookup(B1125,Pop_Census_2023!$A$2:$E$3220,4,FALSE), vlookup(B1125,Pop_Census_2023!$A$2:$E$3220,5,FALSE))</f>
        <v>38408</v>
      </c>
    </row>
    <row r="1126">
      <c r="A1126" s="47" t="s">
        <v>2725</v>
      </c>
      <c r="B1126" s="47">
        <v>22011.0</v>
      </c>
      <c r="C1126" s="47">
        <v>2.0</v>
      </c>
      <c r="D1126" s="47" t="s">
        <v>4044</v>
      </c>
      <c r="E1126" s="47" t="str">
        <f t="shared" si="1"/>
        <v>2A</v>
      </c>
      <c r="F1126" s="47" t="s">
        <v>4045</v>
      </c>
      <c r="G1126" s="47" t="s">
        <v>879</v>
      </c>
      <c r="H1126" s="48">
        <f>IF(NOT(ISBLANK(vlookup(B1126,Pop_Census_2023!$A$2:$E$3220,4,FALSE))),vlookup(B1126,Pop_Census_2023!$A$2:$E$3220,4,FALSE), vlookup(B1126,Pop_Census_2023!$A$2:$E$3220,5,FALSE))</f>
        <v>36827</v>
      </c>
    </row>
    <row r="1127">
      <c r="A1127" s="47" t="s">
        <v>2725</v>
      </c>
      <c r="B1127" s="47">
        <v>22013.0</v>
      </c>
      <c r="C1127" s="47">
        <v>3.0</v>
      </c>
      <c r="D1127" s="47" t="s">
        <v>4044</v>
      </c>
      <c r="E1127" s="47" t="str">
        <f t="shared" si="1"/>
        <v>3A</v>
      </c>
      <c r="F1127" s="47" t="s">
        <v>4045</v>
      </c>
      <c r="G1127" s="47" t="s">
        <v>880</v>
      </c>
      <c r="H1127" s="48">
        <f>IF(NOT(ISBLANK(vlookup(B1127,Pop_Census_2023!$A$2:$E$3220,4,FALSE))),vlookup(B1127,Pop_Census_2023!$A$2:$E$3220,4,FALSE), vlookup(B1127,Pop_Census_2023!$A$2:$E$3220,5,FALSE))</f>
        <v>12366</v>
      </c>
    </row>
    <row r="1128">
      <c r="A1128" s="47" t="s">
        <v>2725</v>
      </c>
      <c r="B1128" s="47">
        <v>22015.0</v>
      </c>
      <c r="C1128" s="47">
        <v>3.0</v>
      </c>
      <c r="D1128" s="47" t="s">
        <v>4044</v>
      </c>
      <c r="E1128" s="47" t="str">
        <f t="shared" si="1"/>
        <v>3A</v>
      </c>
      <c r="F1128" s="47" t="s">
        <v>4045</v>
      </c>
      <c r="G1128" s="47" t="s">
        <v>881</v>
      </c>
      <c r="H1128" s="48">
        <f>IF(NOT(ISBLANK(vlookup(B1128,Pop_Census_2023!$A$2:$E$3220,4,FALSE))),vlookup(B1128,Pop_Census_2023!$A$2:$E$3220,4,FALSE), vlookup(B1128,Pop_Census_2023!$A$2:$E$3220,5,FALSE))</f>
        <v>129795</v>
      </c>
    </row>
    <row r="1129">
      <c r="A1129" s="47" t="s">
        <v>2725</v>
      </c>
      <c r="B1129" s="47">
        <v>22017.0</v>
      </c>
      <c r="C1129" s="47">
        <v>3.0</v>
      </c>
      <c r="D1129" s="47" t="s">
        <v>4044</v>
      </c>
      <c r="E1129" s="47" t="str">
        <f t="shared" si="1"/>
        <v>3A</v>
      </c>
      <c r="F1129" s="47" t="s">
        <v>4045</v>
      </c>
      <c r="G1129" s="47" t="s">
        <v>882</v>
      </c>
      <c r="H1129" s="48">
        <f>IF(NOT(ISBLANK(vlookup(B1129,Pop_Census_2023!$A$2:$E$3220,4,FALSE))),vlookup(B1129,Pop_Census_2023!$A$2:$E$3220,4,FALSE), vlookup(B1129,Pop_Census_2023!$A$2:$E$3220,5,FALSE))</f>
        <v>226386</v>
      </c>
    </row>
    <row r="1130">
      <c r="A1130" s="47" t="s">
        <v>2725</v>
      </c>
      <c r="B1130" s="47">
        <v>22019.0</v>
      </c>
      <c r="C1130" s="47">
        <v>2.0</v>
      </c>
      <c r="D1130" s="47" t="s">
        <v>4044</v>
      </c>
      <c r="E1130" s="47" t="str">
        <f t="shared" si="1"/>
        <v>2A</v>
      </c>
      <c r="F1130" s="47" t="s">
        <v>4045</v>
      </c>
      <c r="G1130" s="47" t="s">
        <v>883</v>
      </c>
      <c r="H1130" s="48">
        <f>IF(NOT(ISBLANK(vlookup(B1130,Pop_Census_2023!$A$2:$E$3220,4,FALSE))),vlookup(B1130,Pop_Census_2023!$A$2:$E$3220,4,FALSE), vlookup(B1130,Pop_Census_2023!$A$2:$E$3220,5,FALSE))</f>
        <v>203761</v>
      </c>
    </row>
    <row r="1131">
      <c r="A1131" s="47" t="s">
        <v>2725</v>
      </c>
      <c r="B1131" s="47">
        <v>22021.0</v>
      </c>
      <c r="C1131" s="47">
        <v>3.0</v>
      </c>
      <c r="D1131" s="47" t="s">
        <v>4044</v>
      </c>
      <c r="E1131" s="47" t="str">
        <f t="shared" si="1"/>
        <v>3A</v>
      </c>
      <c r="F1131" s="47" t="s">
        <v>4045</v>
      </c>
      <c r="G1131" s="47" t="s">
        <v>829</v>
      </c>
      <c r="H1131" s="48">
        <f>IF(NOT(ISBLANK(vlookup(B1131,Pop_Census_2023!$A$2:$E$3220,4,FALSE))),vlookup(B1131,Pop_Census_2023!$A$2:$E$3220,4,FALSE), vlookup(B1131,Pop_Census_2023!$A$2:$E$3220,5,FALSE))</f>
        <v>9389</v>
      </c>
    </row>
    <row r="1132">
      <c r="A1132" s="47" t="s">
        <v>2725</v>
      </c>
      <c r="B1132" s="47">
        <v>22023.0</v>
      </c>
      <c r="C1132" s="47">
        <v>2.0</v>
      </c>
      <c r="D1132" s="47" t="s">
        <v>4044</v>
      </c>
      <c r="E1132" s="47" t="str">
        <f t="shared" si="1"/>
        <v>2A</v>
      </c>
      <c r="F1132" s="47" t="s">
        <v>4045</v>
      </c>
      <c r="G1132" s="47" t="s">
        <v>884</v>
      </c>
      <c r="H1132" s="48">
        <f>IF(NOT(ISBLANK(vlookup(B1132,Pop_Census_2023!$A$2:$E$3220,4,FALSE))),vlookup(B1132,Pop_Census_2023!$A$2:$E$3220,4,FALSE), vlookup(B1132,Pop_Census_2023!$A$2:$E$3220,5,FALSE))</f>
        <v>4768</v>
      </c>
    </row>
    <row r="1133">
      <c r="A1133" s="47" t="s">
        <v>2725</v>
      </c>
      <c r="B1133" s="47">
        <v>22025.0</v>
      </c>
      <c r="C1133" s="47">
        <v>3.0</v>
      </c>
      <c r="D1133" s="47" t="s">
        <v>4044</v>
      </c>
      <c r="E1133" s="47" t="str">
        <f t="shared" si="1"/>
        <v>3A</v>
      </c>
      <c r="F1133" s="47" t="s">
        <v>4045</v>
      </c>
      <c r="G1133" s="47" t="s">
        <v>885</v>
      </c>
      <c r="H1133" s="48">
        <f>IF(NOT(ISBLANK(vlookup(B1133,Pop_Census_2023!$A$2:$E$3220,4,FALSE))),vlookup(B1133,Pop_Census_2023!$A$2:$E$3220,4,FALSE), vlookup(B1133,Pop_Census_2023!$A$2:$E$3220,5,FALSE))</f>
        <v>8414</v>
      </c>
    </row>
    <row r="1134">
      <c r="A1134" s="47" t="s">
        <v>2725</v>
      </c>
      <c r="B1134" s="47">
        <v>22027.0</v>
      </c>
      <c r="C1134" s="47">
        <v>3.0</v>
      </c>
      <c r="D1134" s="47" t="s">
        <v>4044</v>
      </c>
      <c r="E1134" s="47" t="str">
        <f t="shared" si="1"/>
        <v>3A</v>
      </c>
      <c r="F1134" s="47" t="s">
        <v>4045</v>
      </c>
      <c r="G1134" s="47" t="s">
        <v>886</v>
      </c>
      <c r="H1134" s="48">
        <f>IF(NOT(ISBLANK(vlookup(B1134,Pop_Census_2023!$A$2:$E$3220,4,FALSE))),vlookup(B1134,Pop_Census_2023!$A$2:$E$3220,4,FALSE), vlookup(B1134,Pop_Census_2023!$A$2:$E$3220,5,FALSE))</f>
        <v>13670</v>
      </c>
    </row>
    <row r="1135">
      <c r="A1135" s="47" t="s">
        <v>2725</v>
      </c>
      <c r="B1135" s="47">
        <v>22029.0</v>
      </c>
      <c r="C1135" s="47">
        <v>3.0</v>
      </c>
      <c r="D1135" s="47" t="s">
        <v>4044</v>
      </c>
      <c r="E1135" s="47" t="str">
        <f t="shared" si="1"/>
        <v>3A</v>
      </c>
      <c r="F1135" s="47" t="s">
        <v>4045</v>
      </c>
      <c r="G1135" s="47" t="s">
        <v>887</v>
      </c>
      <c r="H1135" s="48">
        <f>IF(NOT(ISBLANK(vlookup(B1135,Pop_Census_2023!$A$2:$E$3220,4,FALSE))),vlookup(B1135,Pop_Census_2023!$A$2:$E$3220,4,FALSE), vlookup(B1135,Pop_Census_2023!$A$2:$E$3220,5,FALSE))</f>
        <v>17688</v>
      </c>
    </row>
    <row r="1136">
      <c r="A1136" s="47" t="s">
        <v>2725</v>
      </c>
      <c r="B1136" s="47">
        <v>22031.0</v>
      </c>
      <c r="C1136" s="47">
        <v>3.0</v>
      </c>
      <c r="D1136" s="47" t="s">
        <v>4044</v>
      </c>
      <c r="E1136" s="47" t="str">
        <f t="shared" si="1"/>
        <v>3A</v>
      </c>
      <c r="F1136" s="47" t="s">
        <v>4045</v>
      </c>
      <c r="G1136" s="47" t="s">
        <v>888</v>
      </c>
      <c r="H1136" s="48">
        <f>IF(NOT(ISBLANK(vlookup(B1136,Pop_Census_2023!$A$2:$E$3220,4,FALSE))),vlookup(B1136,Pop_Census_2023!$A$2:$E$3220,4,FALSE), vlookup(B1136,Pop_Census_2023!$A$2:$E$3220,5,FALSE))</f>
        <v>27114</v>
      </c>
    </row>
    <row r="1137">
      <c r="A1137" s="47" t="s">
        <v>2725</v>
      </c>
      <c r="B1137" s="47">
        <v>22033.0</v>
      </c>
      <c r="C1137" s="47">
        <v>2.0</v>
      </c>
      <c r="D1137" s="47" t="s">
        <v>4044</v>
      </c>
      <c r="E1137" s="47" t="str">
        <f t="shared" si="1"/>
        <v>2A</v>
      </c>
      <c r="F1137" s="47" t="s">
        <v>4045</v>
      </c>
      <c r="G1137" s="47" t="s">
        <v>889</v>
      </c>
      <c r="H1137" s="48">
        <f>IF(NOT(ISBLANK(vlookup(B1137,Pop_Census_2023!$A$2:$E$3220,4,FALSE))),vlookup(B1137,Pop_Census_2023!$A$2:$E$3220,4,FALSE), vlookup(B1137,Pop_Census_2023!$A$2:$E$3220,5,FALSE))</f>
        <v>448467</v>
      </c>
    </row>
    <row r="1138">
      <c r="A1138" s="47" t="s">
        <v>2725</v>
      </c>
      <c r="B1138" s="47">
        <v>22035.0</v>
      </c>
      <c r="C1138" s="47">
        <v>3.0</v>
      </c>
      <c r="D1138" s="47" t="s">
        <v>4044</v>
      </c>
      <c r="E1138" s="47" t="str">
        <f t="shared" si="1"/>
        <v>3A</v>
      </c>
      <c r="F1138" s="47" t="s">
        <v>4046</v>
      </c>
      <c r="G1138" s="47" t="s">
        <v>890</v>
      </c>
      <c r="H1138" s="48">
        <f>IF(NOT(ISBLANK(vlookup(B1138,Pop_Census_2023!$A$2:$E$3220,4,FALSE))),vlookup(B1138,Pop_Census_2023!$A$2:$E$3220,4,FALSE), vlookup(B1138,Pop_Census_2023!$A$2:$E$3220,5,FALSE))</f>
        <v>6829</v>
      </c>
    </row>
    <row r="1139">
      <c r="A1139" s="47" t="s">
        <v>2725</v>
      </c>
      <c r="B1139" s="47">
        <v>22037.0</v>
      </c>
      <c r="C1139" s="47">
        <v>2.0</v>
      </c>
      <c r="D1139" s="47" t="s">
        <v>4044</v>
      </c>
      <c r="E1139" s="47" t="str">
        <f t="shared" si="1"/>
        <v>2A</v>
      </c>
      <c r="F1139" s="47" t="s">
        <v>4045</v>
      </c>
      <c r="G1139" s="47" t="s">
        <v>891</v>
      </c>
      <c r="H1139" s="48">
        <f>IF(NOT(ISBLANK(vlookup(B1139,Pop_Census_2023!$A$2:$E$3220,4,FALSE))),vlookup(B1139,Pop_Census_2023!$A$2:$E$3220,4,FALSE), vlookup(B1139,Pop_Census_2023!$A$2:$E$3220,5,FALSE))</f>
        <v>19229</v>
      </c>
    </row>
    <row r="1140">
      <c r="A1140" s="47" t="s">
        <v>2725</v>
      </c>
      <c r="B1140" s="47">
        <v>22039.0</v>
      </c>
      <c r="C1140" s="47">
        <v>2.0</v>
      </c>
      <c r="D1140" s="47" t="s">
        <v>4044</v>
      </c>
      <c r="E1140" s="47" t="str">
        <f t="shared" si="1"/>
        <v>2A</v>
      </c>
      <c r="F1140" s="47" t="s">
        <v>4045</v>
      </c>
      <c r="G1140" s="47" t="s">
        <v>892</v>
      </c>
      <c r="H1140" s="48">
        <f>IF(NOT(ISBLANK(vlookup(B1140,Pop_Census_2023!$A$2:$E$3220,4,FALSE))),vlookup(B1140,Pop_Census_2023!$A$2:$E$3220,4,FALSE), vlookup(B1140,Pop_Census_2023!$A$2:$E$3220,5,FALSE))</f>
        <v>31754</v>
      </c>
    </row>
    <row r="1141">
      <c r="A1141" s="47" t="s">
        <v>2725</v>
      </c>
      <c r="B1141" s="47">
        <v>22041.0</v>
      </c>
      <c r="C1141" s="47">
        <v>3.0</v>
      </c>
      <c r="D1141" s="47" t="s">
        <v>4044</v>
      </c>
      <c r="E1141" s="47" t="str">
        <f t="shared" si="1"/>
        <v>3A</v>
      </c>
      <c r="F1141" s="47" t="s">
        <v>4045</v>
      </c>
      <c r="G1141" s="47" t="s">
        <v>132</v>
      </c>
      <c r="H1141" s="48">
        <f>IF(NOT(ISBLANK(vlookup(B1141,Pop_Census_2023!$A$2:$E$3220,4,FALSE))),vlookup(B1141,Pop_Census_2023!$A$2:$E$3220,4,FALSE), vlookup(B1141,Pop_Census_2023!$A$2:$E$3220,5,FALSE))</f>
        <v>19285</v>
      </c>
    </row>
    <row r="1142">
      <c r="A1142" s="47" t="s">
        <v>2725</v>
      </c>
      <c r="B1142" s="47">
        <v>22043.0</v>
      </c>
      <c r="C1142" s="47">
        <v>3.0</v>
      </c>
      <c r="D1142" s="47" t="s">
        <v>4044</v>
      </c>
      <c r="E1142" s="47" t="str">
        <f t="shared" si="1"/>
        <v>3A</v>
      </c>
      <c r="F1142" s="47" t="s">
        <v>4045</v>
      </c>
      <c r="G1142" s="47" t="s">
        <v>242</v>
      </c>
      <c r="H1142" s="48">
        <f>IF(NOT(ISBLANK(vlookup(B1142,Pop_Census_2023!$A$2:$E$3220,4,FALSE))),vlookup(B1142,Pop_Census_2023!$A$2:$E$3220,4,FALSE), vlookup(B1142,Pop_Census_2023!$A$2:$E$3220,5,FALSE))</f>
        <v>21911</v>
      </c>
    </row>
    <row r="1143">
      <c r="A1143" s="47" t="s">
        <v>2725</v>
      </c>
      <c r="B1143" s="47">
        <v>22045.0</v>
      </c>
      <c r="C1143" s="47">
        <v>2.0</v>
      </c>
      <c r="D1143" s="47" t="s">
        <v>4044</v>
      </c>
      <c r="E1143" s="47" t="str">
        <f t="shared" si="1"/>
        <v>2A</v>
      </c>
      <c r="F1143" s="47" t="s">
        <v>4045</v>
      </c>
      <c r="G1143" s="47" t="s">
        <v>893</v>
      </c>
      <c r="H1143" s="48">
        <f>IF(NOT(ISBLANK(vlookup(B1143,Pop_Census_2023!$A$2:$E$3220,4,FALSE))),vlookup(B1143,Pop_Census_2023!$A$2:$E$3220,4,FALSE), vlookup(B1143,Pop_Census_2023!$A$2:$E$3220,5,FALSE))</f>
        <v>67659</v>
      </c>
    </row>
    <row r="1144">
      <c r="A1144" s="47" t="s">
        <v>2725</v>
      </c>
      <c r="B1144" s="47">
        <v>22047.0</v>
      </c>
      <c r="C1144" s="47">
        <v>2.0</v>
      </c>
      <c r="D1144" s="47" t="s">
        <v>4044</v>
      </c>
      <c r="E1144" s="47" t="str">
        <f t="shared" si="1"/>
        <v>2A</v>
      </c>
      <c r="F1144" s="47" t="s">
        <v>4045</v>
      </c>
      <c r="G1144" s="47" t="s">
        <v>894</v>
      </c>
      <c r="H1144" s="48">
        <f>IF(NOT(ISBLANK(vlookup(B1144,Pop_Census_2023!$A$2:$E$3220,4,FALSE))),vlookup(B1144,Pop_Census_2023!$A$2:$E$3220,4,FALSE), vlookup(B1144,Pop_Census_2023!$A$2:$E$3220,5,FALSE))</f>
        <v>29617</v>
      </c>
    </row>
    <row r="1145">
      <c r="A1145" s="47" t="s">
        <v>2725</v>
      </c>
      <c r="B1145" s="47">
        <v>22049.0</v>
      </c>
      <c r="C1145" s="47">
        <v>3.0</v>
      </c>
      <c r="D1145" s="47" t="s">
        <v>4044</v>
      </c>
      <c r="E1145" s="47" t="str">
        <f t="shared" si="1"/>
        <v>3A</v>
      </c>
      <c r="F1145" s="47" t="s">
        <v>4045</v>
      </c>
      <c r="G1145" s="47" t="s">
        <v>138</v>
      </c>
      <c r="H1145" s="48">
        <f>IF(NOT(ISBLANK(vlookup(B1145,Pop_Census_2023!$A$2:$E$3220,4,FALSE))),vlookup(B1145,Pop_Census_2023!$A$2:$E$3220,4,FALSE), vlookup(B1145,Pop_Census_2023!$A$2:$E$3220,5,FALSE))</f>
        <v>14746</v>
      </c>
    </row>
    <row r="1146">
      <c r="A1146" s="47" t="s">
        <v>2725</v>
      </c>
      <c r="B1146" s="47">
        <v>22051.0</v>
      </c>
      <c r="C1146" s="47">
        <v>2.0</v>
      </c>
      <c r="D1146" s="47" t="s">
        <v>4044</v>
      </c>
      <c r="E1146" s="47" t="str">
        <f t="shared" si="1"/>
        <v>2A</v>
      </c>
      <c r="F1146" s="47" t="s">
        <v>4045</v>
      </c>
      <c r="G1146" s="47" t="s">
        <v>139</v>
      </c>
      <c r="H1146" s="48">
        <f>IF(NOT(ISBLANK(vlookup(B1146,Pop_Census_2023!$A$2:$E$3220,4,FALSE))),vlookup(B1146,Pop_Census_2023!$A$2:$E$3220,4,FALSE), vlookup(B1146,Pop_Census_2023!$A$2:$E$3220,5,FALSE))</f>
        <v>421777</v>
      </c>
    </row>
    <row r="1147">
      <c r="A1147" s="47" t="s">
        <v>2725</v>
      </c>
      <c r="B1147" s="47">
        <v>22053.0</v>
      </c>
      <c r="C1147" s="47">
        <v>2.0</v>
      </c>
      <c r="D1147" s="47" t="s">
        <v>4044</v>
      </c>
      <c r="E1147" s="47" t="str">
        <f t="shared" si="1"/>
        <v>2A</v>
      </c>
      <c r="F1147" s="47" t="s">
        <v>4045</v>
      </c>
      <c r="G1147" s="47" t="s">
        <v>895</v>
      </c>
      <c r="H1147" s="48">
        <f>IF(NOT(ISBLANK(vlookup(B1147,Pop_Census_2023!$A$2:$E$3220,4,FALSE))),vlookup(B1147,Pop_Census_2023!$A$2:$E$3220,4,FALSE), vlookup(B1147,Pop_Census_2023!$A$2:$E$3220,5,FALSE))</f>
        <v>31553</v>
      </c>
    </row>
    <row r="1148">
      <c r="A1148" s="47" t="s">
        <v>2725</v>
      </c>
      <c r="B1148" s="47">
        <v>22059.0</v>
      </c>
      <c r="C1148" s="47">
        <v>3.0</v>
      </c>
      <c r="D1148" s="47" t="s">
        <v>4044</v>
      </c>
      <c r="E1148" s="47" t="str">
        <f t="shared" si="1"/>
        <v>3A</v>
      </c>
      <c r="F1148" s="47" t="s">
        <v>4045</v>
      </c>
      <c r="G1148" s="47" t="s">
        <v>1730</v>
      </c>
      <c r="H1148" s="48">
        <f>IF(NOT(ISBLANK(vlookup(B1148,Pop_Census_2023!$A$2:$E$3220,4,FALSE))),vlookup(B1148,Pop_Census_2023!$A$2:$E$3220,4,FALSE), vlookup(B1148,Pop_Census_2023!$A$2:$E$3220,5,FALSE))</f>
        <v>14800</v>
      </c>
    </row>
    <row r="1149">
      <c r="A1149" s="47" t="s">
        <v>2725</v>
      </c>
      <c r="B1149" s="47">
        <v>22055.0</v>
      </c>
      <c r="C1149" s="47">
        <v>2.0</v>
      </c>
      <c r="D1149" s="47" t="s">
        <v>4044</v>
      </c>
      <c r="E1149" s="47" t="str">
        <f t="shared" si="1"/>
        <v>2A</v>
      </c>
      <c r="F1149" s="47" t="s">
        <v>4045</v>
      </c>
      <c r="G1149" s="47" t="s">
        <v>249</v>
      </c>
      <c r="H1149" s="48">
        <f>IF(NOT(ISBLANK(vlookup(B1149,Pop_Census_2023!$A$2:$E$3220,4,FALSE))),vlookup(B1149,Pop_Census_2023!$A$2:$E$3220,4,FALSE), vlookup(B1149,Pop_Census_2023!$A$2:$E$3220,5,FALSE))</f>
        <v>249750</v>
      </c>
    </row>
    <row r="1150">
      <c r="A1150" s="47" t="s">
        <v>2725</v>
      </c>
      <c r="B1150" s="47">
        <v>22057.0</v>
      </c>
      <c r="C1150" s="47">
        <v>2.0</v>
      </c>
      <c r="D1150" s="47" t="s">
        <v>4044</v>
      </c>
      <c r="E1150" s="47" t="str">
        <f t="shared" si="1"/>
        <v>2A</v>
      </c>
      <c r="F1150" s="47" t="s">
        <v>4045</v>
      </c>
      <c r="G1150" s="47" t="s">
        <v>896</v>
      </c>
      <c r="H1150" s="48">
        <f>IF(NOT(ISBLANK(vlookup(B1150,Pop_Census_2023!$A$2:$E$3220,4,FALSE))),vlookup(B1150,Pop_Census_2023!$A$2:$E$3220,4,FALSE), vlookup(B1150,Pop_Census_2023!$A$2:$E$3220,5,FALSE))</f>
        <v>95056</v>
      </c>
    </row>
    <row r="1151">
      <c r="A1151" s="47" t="s">
        <v>2725</v>
      </c>
      <c r="B1151" s="47">
        <v>22061.0</v>
      </c>
      <c r="C1151" s="47">
        <v>3.0</v>
      </c>
      <c r="D1151" s="47" t="s">
        <v>4044</v>
      </c>
      <c r="E1151" s="47" t="str">
        <f t="shared" si="1"/>
        <v>3A</v>
      </c>
      <c r="F1151" s="47" t="s">
        <v>4045</v>
      </c>
      <c r="G1151" s="47" t="s">
        <v>250</v>
      </c>
      <c r="H1151" s="48">
        <f>IF(NOT(ISBLANK(vlookup(B1151,Pop_Census_2023!$A$2:$E$3220,4,FALSE))),vlookup(B1151,Pop_Census_2023!$A$2:$E$3220,4,FALSE), vlookup(B1151,Pop_Census_2023!$A$2:$E$3220,5,FALSE))</f>
        <v>47962</v>
      </c>
    </row>
    <row r="1152">
      <c r="A1152" s="47" t="s">
        <v>2725</v>
      </c>
      <c r="B1152" s="47">
        <v>22063.0</v>
      </c>
      <c r="C1152" s="47">
        <v>2.0</v>
      </c>
      <c r="D1152" s="47" t="s">
        <v>4044</v>
      </c>
      <c r="E1152" s="47" t="str">
        <f t="shared" si="1"/>
        <v>2A</v>
      </c>
      <c r="F1152" s="47" t="s">
        <v>4045</v>
      </c>
      <c r="G1152" s="47" t="s">
        <v>636</v>
      </c>
      <c r="H1152" s="48">
        <f>IF(NOT(ISBLANK(vlookup(B1152,Pop_Census_2023!$A$2:$E$3220,4,FALSE))),vlookup(B1152,Pop_Census_2023!$A$2:$E$3220,4,FALSE), vlookup(B1152,Pop_Census_2023!$A$2:$E$3220,5,FALSE))</f>
        <v>150145</v>
      </c>
    </row>
    <row r="1153">
      <c r="A1153" s="47" t="s">
        <v>2725</v>
      </c>
      <c r="B1153" s="47">
        <v>22065.0</v>
      </c>
      <c r="C1153" s="47">
        <v>3.0</v>
      </c>
      <c r="D1153" s="47" t="s">
        <v>4044</v>
      </c>
      <c r="E1153" s="47" t="str">
        <f t="shared" si="1"/>
        <v>3A</v>
      </c>
      <c r="F1153" s="47" t="s">
        <v>4045</v>
      </c>
      <c r="G1153" s="47" t="s">
        <v>147</v>
      </c>
      <c r="H1153" s="48">
        <f>IF(NOT(ISBLANK(vlookup(B1153,Pop_Census_2023!$A$2:$E$3220,4,FALSE))),vlookup(B1153,Pop_Census_2023!$A$2:$E$3220,4,FALSE), vlookup(B1153,Pop_Census_2023!$A$2:$E$3220,5,FALSE))</f>
        <v>9246</v>
      </c>
    </row>
    <row r="1154">
      <c r="A1154" s="47" t="s">
        <v>2725</v>
      </c>
      <c r="B1154" s="47">
        <v>22067.0</v>
      </c>
      <c r="C1154" s="47">
        <v>3.0</v>
      </c>
      <c r="D1154" s="47" t="s">
        <v>4044</v>
      </c>
      <c r="E1154" s="47" t="str">
        <f t="shared" si="1"/>
        <v>3A</v>
      </c>
      <c r="F1154" s="47" t="s">
        <v>4046</v>
      </c>
      <c r="G1154" s="47" t="s">
        <v>897</v>
      </c>
      <c r="H1154" s="48">
        <f>IF(NOT(ISBLANK(vlookup(B1154,Pop_Census_2023!$A$2:$E$3220,4,FALSE))),vlookup(B1154,Pop_Census_2023!$A$2:$E$3220,4,FALSE), vlookup(B1154,Pop_Census_2023!$A$2:$E$3220,5,FALSE))</f>
        <v>23955</v>
      </c>
    </row>
    <row r="1155">
      <c r="A1155" s="47" t="s">
        <v>2725</v>
      </c>
      <c r="B1155" s="47">
        <v>22069.0</v>
      </c>
      <c r="C1155" s="47">
        <v>3.0</v>
      </c>
      <c r="D1155" s="47" t="s">
        <v>4044</v>
      </c>
      <c r="E1155" s="47" t="str">
        <f t="shared" si="1"/>
        <v>3A</v>
      </c>
      <c r="F1155" s="47" t="s">
        <v>4045</v>
      </c>
      <c r="G1155" s="47" t="s">
        <v>898</v>
      </c>
      <c r="H1155" s="48">
        <f>IF(NOT(ISBLANK(vlookup(B1155,Pop_Census_2023!$A$2:$E$3220,4,FALSE))),vlookup(B1155,Pop_Census_2023!$A$2:$E$3220,4,FALSE), vlookup(B1155,Pop_Census_2023!$A$2:$E$3220,5,FALSE))</f>
        <v>36291</v>
      </c>
    </row>
    <row r="1156">
      <c r="A1156" s="47" t="s">
        <v>2725</v>
      </c>
      <c r="B1156" s="47">
        <v>22071.0</v>
      </c>
      <c r="C1156" s="47">
        <v>2.0</v>
      </c>
      <c r="D1156" s="47" t="s">
        <v>4044</v>
      </c>
      <c r="E1156" s="47" t="str">
        <f t="shared" si="1"/>
        <v>2A</v>
      </c>
      <c r="F1156" s="47" t="s">
        <v>4045</v>
      </c>
      <c r="G1156" s="47" t="s">
        <v>899</v>
      </c>
      <c r="H1156" s="48">
        <f>IF(NOT(ISBLANK(vlookup(B1156,Pop_Census_2023!$A$2:$E$3220,4,FALSE))),vlookup(B1156,Pop_Census_2023!$A$2:$E$3220,4,FALSE), vlookup(B1156,Pop_Census_2023!$A$2:$E$3220,5,FALSE))</f>
        <v>364136</v>
      </c>
    </row>
    <row r="1157">
      <c r="A1157" s="47" t="s">
        <v>2725</v>
      </c>
      <c r="B1157" s="47">
        <v>22073.0</v>
      </c>
      <c r="C1157" s="47">
        <v>3.0</v>
      </c>
      <c r="D1157" s="47" t="s">
        <v>4044</v>
      </c>
      <c r="E1157" s="47" t="str">
        <f t="shared" si="1"/>
        <v>3A</v>
      </c>
      <c r="F1157" s="47" t="s">
        <v>4045</v>
      </c>
      <c r="G1157" s="47" t="s">
        <v>258</v>
      </c>
      <c r="H1157" s="48">
        <f>IF(NOT(ISBLANK(vlookup(B1157,Pop_Census_2023!$A$2:$E$3220,4,FALSE))),vlookup(B1157,Pop_Census_2023!$A$2:$E$3220,4,FALSE), vlookup(B1157,Pop_Census_2023!$A$2:$E$3220,5,FALSE))</f>
        <v>157568</v>
      </c>
    </row>
    <row r="1158">
      <c r="A1158" s="47" t="s">
        <v>2725</v>
      </c>
      <c r="B1158" s="47">
        <v>22075.0</v>
      </c>
      <c r="C1158" s="47">
        <v>2.0</v>
      </c>
      <c r="D1158" s="47" t="s">
        <v>4044</v>
      </c>
      <c r="E1158" s="47" t="str">
        <f t="shared" si="1"/>
        <v>2A</v>
      </c>
      <c r="F1158" s="47" t="s">
        <v>4045</v>
      </c>
      <c r="G1158" s="47" t="s">
        <v>900</v>
      </c>
      <c r="H1158" s="48">
        <f>IF(NOT(ISBLANK(vlookup(B1158,Pop_Census_2023!$A$2:$E$3220,4,FALSE))),vlookup(B1158,Pop_Census_2023!$A$2:$E$3220,4,FALSE), vlookup(B1158,Pop_Census_2023!$A$2:$E$3220,5,FALSE))</f>
        <v>22386</v>
      </c>
    </row>
    <row r="1159">
      <c r="A1159" s="47" t="s">
        <v>2725</v>
      </c>
      <c r="B1159" s="47">
        <v>22077.0</v>
      </c>
      <c r="C1159" s="47">
        <v>2.0</v>
      </c>
      <c r="D1159" s="47" t="s">
        <v>4044</v>
      </c>
      <c r="E1159" s="47" t="str">
        <f t="shared" si="1"/>
        <v>2A</v>
      </c>
      <c r="F1159" s="47" t="s">
        <v>4045</v>
      </c>
      <c r="G1159" s="47" t="s">
        <v>901</v>
      </c>
      <c r="H1159" s="48">
        <f>IF(NOT(ISBLANK(vlookup(B1159,Pop_Census_2023!$A$2:$E$3220,4,FALSE))),vlookup(B1159,Pop_Census_2023!$A$2:$E$3220,4,FALSE), vlookup(B1159,Pop_Census_2023!$A$2:$E$3220,5,FALSE))</f>
        <v>20000</v>
      </c>
    </row>
    <row r="1160">
      <c r="A1160" s="47" t="s">
        <v>2725</v>
      </c>
      <c r="B1160" s="47">
        <v>22079.0</v>
      </c>
      <c r="C1160" s="47">
        <v>2.0</v>
      </c>
      <c r="D1160" s="47" t="s">
        <v>4044</v>
      </c>
      <c r="E1160" s="47" t="str">
        <f t="shared" si="1"/>
        <v>2A</v>
      </c>
      <c r="F1160" s="47" t="s">
        <v>4045</v>
      </c>
      <c r="G1160" s="47" t="s">
        <v>902</v>
      </c>
      <c r="H1160" s="48">
        <f>IF(NOT(ISBLANK(vlookup(B1160,Pop_Census_2023!$A$2:$E$3220,4,FALSE))),vlookup(B1160,Pop_Census_2023!$A$2:$E$3220,4,FALSE), vlookup(B1160,Pop_Census_2023!$A$2:$E$3220,5,FALSE))</f>
        <v>126260</v>
      </c>
    </row>
    <row r="1161">
      <c r="A1161" s="47" t="s">
        <v>2725</v>
      </c>
      <c r="B1161" s="47">
        <v>22081.0</v>
      </c>
      <c r="C1161" s="47">
        <v>3.0</v>
      </c>
      <c r="D1161" s="47" t="s">
        <v>4044</v>
      </c>
      <c r="E1161" s="47" t="str">
        <f t="shared" si="1"/>
        <v>3A</v>
      </c>
      <c r="F1161" s="47" t="s">
        <v>4045</v>
      </c>
      <c r="G1161" s="47" t="s">
        <v>903</v>
      </c>
      <c r="H1161" s="48">
        <f>IF(NOT(ISBLANK(vlookup(B1161,Pop_Census_2023!$A$2:$E$3220,4,FALSE))),vlookup(B1161,Pop_Census_2023!$A$2:$E$3220,4,FALSE), vlookup(B1161,Pop_Census_2023!$A$2:$E$3220,5,FALSE))</f>
        <v>7356</v>
      </c>
    </row>
    <row r="1162">
      <c r="A1162" s="47" t="s">
        <v>2725</v>
      </c>
      <c r="B1162" s="47">
        <v>22083.0</v>
      </c>
      <c r="C1162" s="47">
        <v>3.0</v>
      </c>
      <c r="D1162" s="47" t="s">
        <v>4044</v>
      </c>
      <c r="E1162" s="47" t="str">
        <f t="shared" si="1"/>
        <v>3A</v>
      </c>
      <c r="F1162" s="47" t="s">
        <v>4045</v>
      </c>
      <c r="G1162" s="47" t="s">
        <v>649</v>
      </c>
      <c r="H1162" s="48">
        <f>IF(NOT(ISBLANK(vlookup(B1162,Pop_Census_2023!$A$2:$E$3220,4,FALSE))),vlookup(B1162,Pop_Census_2023!$A$2:$E$3220,4,FALSE), vlookup(B1162,Pop_Census_2023!$A$2:$E$3220,5,FALSE))</f>
        <v>19712</v>
      </c>
    </row>
    <row r="1163">
      <c r="A1163" s="47" t="s">
        <v>2725</v>
      </c>
      <c r="B1163" s="47">
        <v>22085.0</v>
      </c>
      <c r="C1163" s="47">
        <v>3.0</v>
      </c>
      <c r="D1163" s="47" t="s">
        <v>4044</v>
      </c>
      <c r="E1163" s="47" t="str">
        <f t="shared" si="1"/>
        <v>3A</v>
      </c>
      <c r="F1163" s="47" t="s">
        <v>4045</v>
      </c>
      <c r="G1163" s="47" t="s">
        <v>904</v>
      </c>
      <c r="H1163" s="48">
        <f>IF(NOT(ISBLANK(vlookup(B1163,Pop_Census_2023!$A$2:$E$3220,4,FALSE))),vlookup(B1163,Pop_Census_2023!$A$2:$E$3220,4,FALSE), vlookup(B1163,Pop_Census_2023!$A$2:$E$3220,5,FALSE))</f>
        <v>21906</v>
      </c>
    </row>
    <row r="1164">
      <c r="A1164" s="47" t="s">
        <v>2725</v>
      </c>
      <c r="B1164" s="47">
        <v>22087.0</v>
      </c>
      <c r="C1164" s="47">
        <v>2.0</v>
      </c>
      <c r="D1164" s="47" t="s">
        <v>4044</v>
      </c>
      <c r="E1164" s="47" t="str">
        <f t="shared" si="1"/>
        <v>2A</v>
      </c>
      <c r="F1164" s="47" t="s">
        <v>4045</v>
      </c>
      <c r="G1164" s="47" t="s">
        <v>905</v>
      </c>
      <c r="H1164" s="48">
        <f>IF(NOT(ISBLANK(vlookup(B1164,Pop_Census_2023!$A$2:$E$3220,4,FALSE))),vlookup(B1164,Pop_Census_2023!$A$2:$E$3220,4,FALSE), vlookup(B1164,Pop_Census_2023!$A$2:$E$3220,5,FALSE))</f>
        <v>44463</v>
      </c>
    </row>
    <row r="1165">
      <c r="A1165" s="47" t="s">
        <v>2725</v>
      </c>
      <c r="B1165" s="47">
        <v>22089.0</v>
      </c>
      <c r="C1165" s="47">
        <v>2.0</v>
      </c>
      <c r="D1165" s="47" t="s">
        <v>4044</v>
      </c>
      <c r="E1165" s="47" t="str">
        <f t="shared" si="1"/>
        <v>2A</v>
      </c>
      <c r="F1165" s="47" t="s">
        <v>4045</v>
      </c>
      <c r="G1165" s="47" t="s">
        <v>906</v>
      </c>
      <c r="H1165" s="48">
        <f>IF(NOT(ISBLANK(vlookup(B1165,Pop_Census_2023!$A$2:$E$3220,4,FALSE))),vlookup(B1165,Pop_Census_2023!$A$2:$E$3220,4,FALSE), vlookup(B1165,Pop_Census_2023!$A$2:$E$3220,5,FALSE))</f>
        <v>50620</v>
      </c>
    </row>
    <row r="1166">
      <c r="A1166" s="47" t="s">
        <v>2725</v>
      </c>
      <c r="B1166" s="47">
        <v>22091.0</v>
      </c>
      <c r="C1166" s="47">
        <v>2.0</v>
      </c>
      <c r="D1166" s="47" t="s">
        <v>4044</v>
      </c>
      <c r="E1166" s="47" t="str">
        <f t="shared" si="1"/>
        <v>2A</v>
      </c>
      <c r="F1166" s="47" t="s">
        <v>4045</v>
      </c>
      <c r="G1166" s="47" t="s">
        <v>907</v>
      </c>
      <c r="H1166" s="48">
        <f>IF(NOT(ISBLANK(vlookup(B1166,Pop_Census_2023!$A$2:$E$3220,4,FALSE))),vlookup(B1166,Pop_Census_2023!$A$2:$E$3220,4,FALSE), vlookup(B1166,Pop_Census_2023!$A$2:$E$3220,5,FALSE))</f>
        <v>10774</v>
      </c>
    </row>
    <row r="1167">
      <c r="A1167" s="47" t="s">
        <v>2725</v>
      </c>
      <c r="B1167" s="47">
        <v>22093.0</v>
      </c>
      <c r="C1167" s="47">
        <v>2.0</v>
      </c>
      <c r="D1167" s="47" t="s">
        <v>4044</v>
      </c>
      <c r="E1167" s="47" t="str">
        <f t="shared" si="1"/>
        <v>2A</v>
      </c>
      <c r="F1167" s="47" t="s">
        <v>4045</v>
      </c>
      <c r="G1167" s="47" t="s">
        <v>908</v>
      </c>
      <c r="H1167" s="48">
        <f>IF(NOT(ISBLANK(vlookup(B1167,Pop_Census_2023!$A$2:$E$3220,4,FALSE))),vlookup(B1167,Pop_Census_2023!$A$2:$E$3220,4,FALSE), vlookup(B1167,Pop_Census_2023!$A$2:$E$3220,5,FALSE))</f>
        <v>19191</v>
      </c>
    </row>
    <row r="1168">
      <c r="A1168" s="47" t="s">
        <v>2725</v>
      </c>
      <c r="B1168" s="47">
        <v>22095.0</v>
      </c>
      <c r="C1168" s="47">
        <v>2.0</v>
      </c>
      <c r="D1168" s="47" t="s">
        <v>4044</v>
      </c>
      <c r="E1168" s="47" t="str">
        <f t="shared" si="1"/>
        <v>2A</v>
      </c>
      <c r="F1168" s="47" t="s">
        <v>4045</v>
      </c>
      <c r="G1168" s="47" t="s">
        <v>909</v>
      </c>
      <c r="H1168" s="48">
        <f>IF(NOT(ISBLANK(vlookup(B1168,Pop_Census_2023!$A$2:$E$3220,4,FALSE))),vlookup(B1168,Pop_Census_2023!$A$2:$E$3220,4,FALSE), vlookup(B1168,Pop_Census_2023!$A$2:$E$3220,5,FALSE))</f>
        <v>39592</v>
      </c>
    </row>
    <row r="1169">
      <c r="A1169" s="47" t="s">
        <v>2725</v>
      </c>
      <c r="B1169" s="47">
        <v>22097.0</v>
      </c>
      <c r="C1169" s="47">
        <v>2.0</v>
      </c>
      <c r="D1169" s="47" t="s">
        <v>4044</v>
      </c>
      <c r="E1169" s="47" t="str">
        <f t="shared" si="1"/>
        <v>2A</v>
      </c>
      <c r="F1169" s="47" t="s">
        <v>4045</v>
      </c>
      <c r="G1169" s="47" t="s">
        <v>910</v>
      </c>
      <c r="H1169" s="48">
        <f>IF(NOT(ISBLANK(vlookup(B1169,Pop_Census_2023!$A$2:$E$3220,4,FALSE))),vlookup(B1169,Pop_Census_2023!$A$2:$E$3220,4,FALSE), vlookup(B1169,Pop_Census_2023!$A$2:$E$3220,5,FALSE))</f>
        <v>81464</v>
      </c>
    </row>
    <row r="1170">
      <c r="A1170" s="47" t="s">
        <v>2725</v>
      </c>
      <c r="B1170" s="47">
        <v>22099.0</v>
      </c>
      <c r="C1170" s="47">
        <v>2.0</v>
      </c>
      <c r="D1170" s="47" t="s">
        <v>4044</v>
      </c>
      <c r="E1170" s="47" t="str">
        <f t="shared" si="1"/>
        <v>2A</v>
      </c>
      <c r="F1170" s="47" t="s">
        <v>4045</v>
      </c>
      <c r="G1170" s="47" t="s">
        <v>911</v>
      </c>
      <c r="H1170" s="48">
        <f>IF(NOT(ISBLANK(vlookup(B1170,Pop_Census_2023!$A$2:$E$3220,4,FALSE))),vlookup(B1170,Pop_Census_2023!$A$2:$E$3220,4,FALSE), vlookup(B1170,Pop_Census_2023!$A$2:$E$3220,5,FALSE))</f>
        <v>51057</v>
      </c>
    </row>
    <row r="1171">
      <c r="A1171" s="47" t="s">
        <v>2725</v>
      </c>
      <c r="B1171" s="47">
        <v>22101.0</v>
      </c>
      <c r="C1171" s="47">
        <v>2.0</v>
      </c>
      <c r="D1171" s="47" t="s">
        <v>4044</v>
      </c>
      <c r="E1171" s="47" t="str">
        <f t="shared" si="1"/>
        <v>2A</v>
      </c>
      <c r="F1171" s="47" t="s">
        <v>4045</v>
      </c>
      <c r="G1171" s="47" t="s">
        <v>912</v>
      </c>
      <c r="H1171" s="48">
        <f>IF(NOT(ISBLANK(vlookup(B1171,Pop_Census_2023!$A$2:$E$3220,4,FALSE))),vlookup(B1171,Pop_Census_2023!$A$2:$E$3220,4,FALSE), vlookup(B1171,Pop_Census_2023!$A$2:$E$3220,5,FALSE))</f>
        <v>47055</v>
      </c>
    </row>
    <row r="1172">
      <c r="A1172" s="47" t="s">
        <v>2725</v>
      </c>
      <c r="B1172" s="47">
        <v>22103.0</v>
      </c>
      <c r="C1172" s="47">
        <v>2.0</v>
      </c>
      <c r="D1172" s="47" t="s">
        <v>4044</v>
      </c>
      <c r="E1172" s="47" t="str">
        <f t="shared" si="1"/>
        <v>2A</v>
      </c>
      <c r="F1172" s="47" t="s">
        <v>4045</v>
      </c>
      <c r="G1172" s="47" t="s">
        <v>913</v>
      </c>
      <c r="H1172" s="48">
        <f>IF(NOT(ISBLANK(vlookup(B1172,Pop_Census_2023!$A$2:$E$3220,4,FALSE))),vlookup(B1172,Pop_Census_2023!$A$2:$E$3220,4,FALSE), vlookup(B1172,Pop_Census_2023!$A$2:$E$3220,5,FALSE))</f>
        <v>275583</v>
      </c>
    </row>
    <row r="1173">
      <c r="A1173" s="47" t="s">
        <v>2725</v>
      </c>
      <c r="B1173" s="47">
        <v>22105.0</v>
      </c>
      <c r="C1173" s="47">
        <v>2.0</v>
      </c>
      <c r="D1173" s="47" t="s">
        <v>4044</v>
      </c>
      <c r="E1173" s="47" t="str">
        <f t="shared" si="1"/>
        <v>2A</v>
      </c>
      <c r="F1173" s="47" t="s">
        <v>4045</v>
      </c>
      <c r="G1173" s="47" t="s">
        <v>914</v>
      </c>
      <c r="H1173" s="48">
        <f>IF(NOT(ISBLANK(vlookup(B1173,Pop_Census_2023!$A$2:$E$3220,4,FALSE))),vlookup(B1173,Pop_Census_2023!$A$2:$E$3220,4,FALSE), vlookup(B1173,Pop_Census_2023!$A$2:$E$3220,5,FALSE))</f>
        <v>138064</v>
      </c>
    </row>
    <row r="1174">
      <c r="A1174" s="47" t="s">
        <v>2725</v>
      </c>
      <c r="B1174" s="47">
        <v>22107.0</v>
      </c>
      <c r="C1174" s="47">
        <v>3.0</v>
      </c>
      <c r="D1174" s="47" t="s">
        <v>4044</v>
      </c>
      <c r="E1174" s="47" t="str">
        <f t="shared" si="1"/>
        <v>3A</v>
      </c>
      <c r="F1174" s="47" t="s">
        <v>4045</v>
      </c>
      <c r="G1174" s="47" t="s">
        <v>915</v>
      </c>
      <c r="H1174" s="48">
        <f>IF(NOT(ISBLANK(vlookup(B1174,Pop_Census_2023!$A$2:$E$3220,4,FALSE))),vlookup(B1174,Pop_Census_2023!$A$2:$E$3220,4,FALSE), vlookup(B1174,Pop_Census_2023!$A$2:$E$3220,5,FALSE))</f>
        <v>3764</v>
      </c>
    </row>
    <row r="1175">
      <c r="A1175" s="47" t="s">
        <v>2725</v>
      </c>
      <c r="B1175" s="47">
        <v>22109.0</v>
      </c>
      <c r="C1175" s="47">
        <v>2.0</v>
      </c>
      <c r="D1175" s="47" t="s">
        <v>4044</v>
      </c>
      <c r="E1175" s="47" t="str">
        <f t="shared" si="1"/>
        <v>2A</v>
      </c>
      <c r="F1175" s="47" t="s">
        <v>4045</v>
      </c>
      <c r="G1175" s="47" t="s">
        <v>916</v>
      </c>
      <c r="H1175" s="48">
        <f>IF(NOT(ISBLANK(vlookup(B1175,Pop_Census_2023!$A$2:$E$3220,4,FALSE))),vlookup(B1175,Pop_Census_2023!$A$2:$E$3220,4,FALSE), vlookup(B1175,Pop_Census_2023!$A$2:$E$3220,5,FALSE))</f>
        <v>103616</v>
      </c>
    </row>
    <row r="1176">
      <c r="A1176" s="47" t="s">
        <v>2725</v>
      </c>
      <c r="B1176" s="47">
        <v>22111.0</v>
      </c>
      <c r="C1176" s="47">
        <v>3.0</v>
      </c>
      <c r="D1176" s="47" t="s">
        <v>4044</v>
      </c>
      <c r="E1176" s="47" t="str">
        <f t="shared" si="1"/>
        <v>3A</v>
      </c>
      <c r="F1176" s="47" t="s">
        <v>4045</v>
      </c>
      <c r="G1176" s="47" t="s">
        <v>273</v>
      </c>
      <c r="H1176" s="48">
        <f>IF(NOT(ISBLANK(vlookup(B1176,Pop_Census_2023!$A$2:$E$3220,4,FALSE))),vlookup(B1176,Pop_Census_2023!$A$2:$E$3220,4,FALSE), vlookup(B1176,Pop_Census_2023!$A$2:$E$3220,5,FALSE))</f>
        <v>20650</v>
      </c>
    </row>
    <row r="1177">
      <c r="A1177" s="47" t="s">
        <v>2725</v>
      </c>
      <c r="B1177" s="47">
        <v>22113.0</v>
      </c>
      <c r="C1177" s="47">
        <v>2.0</v>
      </c>
      <c r="D1177" s="47" t="s">
        <v>4044</v>
      </c>
      <c r="E1177" s="47" t="str">
        <f t="shared" si="1"/>
        <v>2A</v>
      </c>
      <c r="F1177" s="47" t="s">
        <v>4045</v>
      </c>
      <c r="G1177" s="47" t="s">
        <v>656</v>
      </c>
      <c r="H1177" s="48">
        <f>IF(NOT(ISBLANK(vlookup(B1177,Pop_Census_2023!$A$2:$E$3220,4,FALSE))),vlookup(B1177,Pop_Census_2023!$A$2:$E$3220,4,FALSE), vlookup(B1177,Pop_Census_2023!$A$2:$E$3220,5,FALSE))</f>
        <v>56992</v>
      </c>
    </row>
    <row r="1178">
      <c r="A1178" s="47" t="s">
        <v>2725</v>
      </c>
      <c r="B1178" s="47">
        <v>22115.0</v>
      </c>
      <c r="C1178" s="47">
        <v>3.0</v>
      </c>
      <c r="D1178" s="47" t="s">
        <v>4044</v>
      </c>
      <c r="E1178" s="47" t="str">
        <f t="shared" si="1"/>
        <v>3A</v>
      </c>
      <c r="F1178" s="47" t="s">
        <v>4045</v>
      </c>
      <c r="G1178" s="47" t="s">
        <v>917</v>
      </c>
      <c r="H1178" s="48">
        <f>IF(NOT(ISBLANK(vlookup(B1178,Pop_Census_2023!$A$2:$E$3220,4,FALSE))),vlookup(B1178,Pop_Census_2023!$A$2:$E$3220,4,FALSE), vlookup(B1178,Pop_Census_2023!$A$2:$E$3220,5,FALSE))</f>
        <v>46250</v>
      </c>
    </row>
    <row r="1179">
      <c r="A1179" s="47" t="s">
        <v>2725</v>
      </c>
      <c r="B1179" s="47">
        <v>22117.0</v>
      </c>
      <c r="C1179" s="47">
        <v>2.0</v>
      </c>
      <c r="D1179" s="47" t="s">
        <v>4044</v>
      </c>
      <c r="E1179" s="47" t="str">
        <f t="shared" si="1"/>
        <v>2A</v>
      </c>
      <c r="F1179" s="47" t="s">
        <v>4045</v>
      </c>
      <c r="G1179" s="47" t="s">
        <v>167</v>
      </c>
      <c r="H1179" s="48">
        <f>IF(NOT(ISBLANK(vlookup(B1179,Pop_Census_2023!$A$2:$E$3220,4,FALSE))),vlookup(B1179,Pop_Census_2023!$A$2:$E$3220,4,FALSE), vlookup(B1179,Pop_Census_2023!$A$2:$E$3220,5,FALSE))</f>
        <v>44865</v>
      </c>
    </row>
    <row r="1180">
      <c r="A1180" s="47" t="s">
        <v>2725</v>
      </c>
      <c r="B1180" s="47">
        <v>22119.0</v>
      </c>
      <c r="C1180" s="47">
        <v>3.0</v>
      </c>
      <c r="D1180" s="47" t="s">
        <v>4044</v>
      </c>
      <c r="E1180" s="47" t="str">
        <f t="shared" si="1"/>
        <v>3A</v>
      </c>
      <c r="F1180" s="47" t="s">
        <v>4045</v>
      </c>
      <c r="G1180" s="47" t="s">
        <v>563</v>
      </c>
      <c r="H1180" s="48">
        <f>IF(NOT(ISBLANK(vlookup(B1180,Pop_Census_2023!$A$2:$E$3220,4,FALSE))),vlookup(B1180,Pop_Census_2023!$A$2:$E$3220,4,FALSE), vlookup(B1180,Pop_Census_2023!$A$2:$E$3220,5,FALSE))</f>
        <v>35238</v>
      </c>
    </row>
    <row r="1181">
      <c r="A1181" s="47" t="s">
        <v>2725</v>
      </c>
      <c r="B1181" s="47">
        <v>22121.0</v>
      </c>
      <c r="C1181" s="47">
        <v>2.0</v>
      </c>
      <c r="D1181" s="47" t="s">
        <v>4044</v>
      </c>
      <c r="E1181" s="47" t="str">
        <f t="shared" si="1"/>
        <v>2A</v>
      </c>
      <c r="F1181" s="47" t="s">
        <v>4045</v>
      </c>
      <c r="G1181" s="47" t="s">
        <v>918</v>
      </c>
      <c r="H1181" s="48">
        <f>IF(NOT(ISBLANK(vlookup(B1181,Pop_Census_2023!$A$2:$E$3220,4,FALSE))),vlookup(B1181,Pop_Census_2023!$A$2:$E$3220,4,FALSE), vlookup(B1181,Pop_Census_2023!$A$2:$E$3220,5,FALSE))</f>
        <v>28266</v>
      </c>
    </row>
    <row r="1182">
      <c r="A1182" s="47" t="s">
        <v>2725</v>
      </c>
      <c r="B1182" s="47">
        <v>22123.0</v>
      </c>
      <c r="C1182" s="47">
        <v>3.0</v>
      </c>
      <c r="D1182" s="47" t="s">
        <v>4044</v>
      </c>
      <c r="E1182" s="47" t="str">
        <f t="shared" si="1"/>
        <v>3A</v>
      </c>
      <c r="F1182" s="47" t="s">
        <v>4046</v>
      </c>
      <c r="G1182" s="47" t="s">
        <v>919</v>
      </c>
      <c r="H1182" s="48">
        <f>IF(NOT(ISBLANK(vlookup(B1182,Pop_Census_2023!$A$2:$E$3220,4,FALSE))),vlookup(B1182,Pop_Census_2023!$A$2:$E$3220,4,FALSE), vlookup(B1182,Pop_Census_2023!$A$2:$E$3220,5,FALSE))</f>
        <v>9323</v>
      </c>
    </row>
    <row r="1183">
      <c r="A1183" s="47" t="s">
        <v>2725</v>
      </c>
      <c r="B1183" s="47">
        <v>22125.0</v>
      </c>
      <c r="C1183" s="47">
        <v>2.0</v>
      </c>
      <c r="D1183" s="47" t="s">
        <v>4044</v>
      </c>
      <c r="E1183" s="47" t="str">
        <f t="shared" si="1"/>
        <v>2A</v>
      </c>
      <c r="F1183" s="47" t="s">
        <v>4045</v>
      </c>
      <c r="G1183" s="47" t="s">
        <v>920</v>
      </c>
      <c r="H1183" s="48">
        <f>IF(NOT(ISBLANK(vlookup(B1183,Pop_Census_2023!$A$2:$E$3220,4,FALSE))),vlookup(B1183,Pop_Census_2023!$A$2:$E$3220,4,FALSE), vlookup(B1183,Pop_Census_2023!$A$2:$E$3220,5,FALSE))</f>
        <v>15371</v>
      </c>
    </row>
    <row r="1184">
      <c r="A1184" s="47" t="s">
        <v>2725</v>
      </c>
      <c r="B1184" s="47">
        <v>22127.0</v>
      </c>
      <c r="C1184" s="47">
        <v>3.0</v>
      </c>
      <c r="D1184" s="47" t="s">
        <v>4044</v>
      </c>
      <c r="E1184" s="47" t="str">
        <f t="shared" si="1"/>
        <v>3A</v>
      </c>
      <c r="F1184" s="47" t="s">
        <v>4045</v>
      </c>
      <c r="G1184" s="47" t="s">
        <v>921</v>
      </c>
      <c r="H1184" s="48">
        <f>IF(NOT(ISBLANK(vlookup(B1184,Pop_Census_2023!$A$2:$E$3220,4,FALSE))),vlookup(B1184,Pop_Census_2023!$A$2:$E$3220,4,FALSE), vlookup(B1184,Pop_Census_2023!$A$2:$E$3220,5,FALSE))</f>
        <v>13216</v>
      </c>
    </row>
    <row r="1185">
      <c r="A1185" s="47" t="s">
        <v>2819</v>
      </c>
      <c r="B1185" s="47">
        <v>25001.0</v>
      </c>
      <c r="C1185" s="47">
        <v>5.0</v>
      </c>
      <c r="D1185" s="47" t="s">
        <v>4044</v>
      </c>
      <c r="E1185" s="47" t="str">
        <f t="shared" si="1"/>
        <v>5A</v>
      </c>
      <c r="F1185" s="47" t="s">
        <v>4054</v>
      </c>
      <c r="G1185" s="47" t="s">
        <v>951</v>
      </c>
      <c r="H1185" s="48">
        <f>IF(NOT(ISBLANK(vlookup(B1185,Pop_Census_2023!$A$2:$E$3220,4,FALSE))),vlookup(B1185,Pop_Census_2023!$A$2:$E$3220,4,FALSE), vlookup(B1185,Pop_Census_2023!$A$2:$E$3220,5,FALSE))</f>
        <v>231735</v>
      </c>
    </row>
    <row r="1186">
      <c r="A1186" s="47" t="s">
        <v>2819</v>
      </c>
      <c r="B1186" s="47">
        <v>25003.0</v>
      </c>
      <c r="C1186" s="47">
        <v>5.0</v>
      </c>
      <c r="D1186" s="47" t="s">
        <v>4044</v>
      </c>
      <c r="E1186" s="47" t="str">
        <f t="shared" si="1"/>
        <v>5A</v>
      </c>
      <c r="F1186" s="47" t="s">
        <v>4054</v>
      </c>
      <c r="G1186" s="47" t="s">
        <v>953</v>
      </c>
      <c r="H1186" s="48">
        <f>IF(NOT(ISBLANK(vlookup(B1186,Pop_Census_2023!$A$2:$E$3220,4,FALSE))),vlookup(B1186,Pop_Census_2023!$A$2:$E$3220,4,FALSE), vlookup(B1186,Pop_Census_2023!$A$2:$E$3220,5,FALSE))</f>
        <v>126818</v>
      </c>
    </row>
    <row r="1187">
      <c r="A1187" s="47" t="s">
        <v>2819</v>
      </c>
      <c r="B1187" s="47">
        <v>25005.0</v>
      </c>
      <c r="C1187" s="47">
        <v>5.0</v>
      </c>
      <c r="D1187" s="47" t="s">
        <v>4044</v>
      </c>
      <c r="E1187" s="47" t="str">
        <f t="shared" si="1"/>
        <v>5A</v>
      </c>
      <c r="F1187" s="47" t="s">
        <v>4054</v>
      </c>
      <c r="G1187" s="47" t="s">
        <v>954</v>
      </c>
      <c r="H1187" s="48">
        <f>IF(NOT(ISBLANK(vlookup(B1187,Pop_Census_2023!$A$2:$E$3220,4,FALSE))),vlookup(B1187,Pop_Census_2023!$A$2:$E$3220,4,FALSE), vlookup(B1187,Pop_Census_2023!$A$2:$E$3220,5,FALSE))</f>
        <v>581841</v>
      </c>
    </row>
    <row r="1188">
      <c r="A1188" s="47" t="s">
        <v>2819</v>
      </c>
      <c r="B1188" s="47">
        <v>25007.0</v>
      </c>
      <c r="C1188" s="47">
        <v>5.0</v>
      </c>
      <c r="D1188" s="47" t="s">
        <v>4044</v>
      </c>
      <c r="E1188" s="47" t="str">
        <f t="shared" si="1"/>
        <v>5A</v>
      </c>
      <c r="F1188" s="47" t="s">
        <v>4054</v>
      </c>
      <c r="G1188" s="47" t="s">
        <v>955</v>
      </c>
      <c r="H1188" s="48">
        <f>IF(NOT(ISBLANK(vlookup(B1188,Pop_Census_2023!$A$2:$E$3220,4,FALSE))),vlookup(B1188,Pop_Census_2023!$A$2:$E$3220,4,FALSE), vlookup(B1188,Pop_Census_2023!$A$2:$E$3220,5,FALSE))</f>
        <v>20819</v>
      </c>
    </row>
    <row r="1189">
      <c r="A1189" s="47" t="s">
        <v>2819</v>
      </c>
      <c r="B1189" s="47">
        <v>25009.0</v>
      </c>
      <c r="C1189" s="47">
        <v>5.0</v>
      </c>
      <c r="D1189" s="47" t="s">
        <v>4044</v>
      </c>
      <c r="E1189" s="47" t="str">
        <f t="shared" si="1"/>
        <v>5A</v>
      </c>
      <c r="F1189" s="47" t="s">
        <v>4054</v>
      </c>
      <c r="G1189" s="47" t="s">
        <v>956</v>
      </c>
      <c r="H1189" s="48">
        <f>IF(NOT(ISBLANK(vlookup(B1189,Pop_Census_2023!$A$2:$E$3220,4,FALSE))),vlookup(B1189,Pop_Census_2023!$A$2:$E$3220,4,FALSE), vlookup(B1189,Pop_Census_2023!$A$2:$E$3220,5,FALSE))</f>
        <v>810089</v>
      </c>
    </row>
    <row r="1190">
      <c r="A1190" s="47" t="s">
        <v>2819</v>
      </c>
      <c r="B1190" s="47">
        <v>25011.0</v>
      </c>
      <c r="C1190" s="47">
        <v>5.0</v>
      </c>
      <c r="D1190" s="47" t="s">
        <v>4044</v>
      </c>
      <c r="E1190" s="47" t="str">
        <f t="shared" si="1"/>
        <v>5A</v>
      </c>
      <c r="F1190" s="47" t="s">
        <v>4054</v>
      </c>
      <c r="G1190" s="47" t="s">
        <v>132</v>
      </c>
      <c r="H1190" s="48">
        <f>IF(NOT(ISBLANK(vlookup(B1190,Pop_Census_2023!$A$2:$E$3220,4,FALSE))),vlookup(B1190,Pop_Census_2023!$A$2:$E$3220,4,FALSE), vlookup(B1190,Pop_Census_2023!$A$2:$E$3220,5,FALSE))</f>
        <v>70836</v>
      </c>
    </row>
    <row r="1191">
      <c r="A1191" s="47" t="s">
        <v>2819</v>
      </c>
      <c r="B1191" s="47">
        <v>25013.0</v>
      </c>
      <c r="C1191" s="47">
        <v>5.0</v>
      </c>
      <c r="D1191" s="47" t="s">
        <v>4044</v>
      </c>
      <c r="E1191" s="47" t="str">
        <f t="shared" si="1"/>
        <v>5A</v>
      </c>
      <c r="F1191" s="47" t="s">
        <v>4054</v>
      </c>
      <c r="G1191" s="47" t="s">
        <v>957</v>
      </c>
      <c r="H1191" s="48">
        <f>IF(NOT(ISBLANK(vlookup(B1191,Pop_Census_2023!$A$2:$E$3220,4,FALSE))),vlookup(B1191,Pop_Census_2023!$A$2:$E$3220,4,FALSE), vlookup(B1191,Pop_Census_2023!$A$2:$E$3220,5,FALSE))</f>
        <v>460291</v>
      </c>
    </row>
    <row r="1192">
      <c r="A1192" s="47" t="s">
        <v>2819</v>
      </c>
      <c r="B1192" s="47">
        <v>25015.0</v>
      </c>
      <c r="C1192" s="47">
        <v>5.0</v>
      </c>
      <c r="D1192" s="47" t="s">
        <v>4044</v>
      </c>
      <c r="E1192" s="47" t="str">
        <f t="shared" si="1"/>
        <v>5A</v>
      </c>
      <c r="F1192" s="47" t="s">
        <v>4054</v>
      </c>
      <c r="G1192" s="47" t="s">
        <v>958</v>
      </c>
      <c r="H1192" s="48">
        <f>IF(NOT(ISBLANK(vlookup(B1192,Pop_Census_2023!$A$2:$E$3220,4,FALSE))),vlookup(B1192,Pop_Census_2023!$A$2:$E$3220,4,FALSE), vlookup(B1192,Pop_Census_2023!$A$2:$E$3220,5,FALSE))</f>
        <v>162502</v>
      </c>
    </row>
    <row r="1193">
      <c r="A1193" s="47" t="s">
        <v>2819</v>
      </c>
      <c r="B1193" s="47">
        <v>25017.0</v>
      </c>
      <c r="C1193" s="47">
        <v>5.0</v>
      </c>
      <c r="D1193" s="47" t="s">
        <v>4044</v>
      </c>
      <c r="E1193" s="47" t="str">
        <f t="shared" si="1"/>
        <v>5A</v>
      </c>
      <c r="F1193" s="47" t="s">
        <v>4054</v>
      </c>
      <c r="G1193" s="47" t="s">
        <v>399</v>
      </c>
      <c r="H1193" s="48">
        <f>IF(NOT(ISBLANK(vlookup(B1193,Pop_Census_2023!$A$2:$E$3220,4,FALSE))),vlookup(B1193,Pop_Census_2023!$A$2:$E$3220,4,FALSE), vlookup(B1193,Pop_Census_2023!$A$2:$E$3220,5,FALSE))</f>
        <v>1623952</v>
      </c>
    </row>
    <row r="1194">
      <c r="A1194" s="47" t="s">
        <v>2819</v>
      </c>
      <c r="B1194" s="47">
        <v>25019.0</v>
      </c>
      <c r="C1194" s="47">
        <v>5.0</v>
      </c>
      <c r="D1194" s="47" t="s">
        <v>4044</v>
      </c>
      <c r="E1194" s="47" t="str">
        <f t="shared" si="1"/>
        <v>5A</v>
      </c>
      <c r="F1194" s="47" t="s">
        <v>4054</v>
      </c>
      <c r="G1194" s="47" t="s">
        <v>959</v>
      </c>
      <c r="H1194" s="48">
        <f>IF(NOT(ISBLANK(vlookup(B1194,Pop_Census_2023!$A$2:$E$3220,4,FALSE))),vlookup(B1194,Pop_Census_2023!$A$2:$E$3220,4,FALSE), vlookup(B1194,Pop_Census_2023!$A$2:$E$3220,5,FALSE))</f>
        <v>14444</v>
      </c>
    </row>
    <row r="1195">
      <c r="A1195" s="47" t="s">
        <v>2819</v>
      </c>
      <c r="B1195" s="47">
        <v>25021.0</v>
      </c>
      <c r="C1195" s="47">
        <v>5.0</v>
      </c>
      <c r="D1195" s="47" t="s">
        <v>4044</v>
      </c>
      <c r="E1195" s="47" t="str">
        <f t="shared" si="1"/>
        <v>5A</v>
      </c>
      <c r="F1195" s="47" t="s">
        <v>4054</v>
      </c>
      <c r="G1195" s="47" t="s">
        <v>960</v>
      </c>
      <c r="H1195" s="48">
        <f>IF(NOT(ISBLANK(vlookup(B1195,Pop_Census_2023!$A$2:$E$3220,4,FALSE))),vlookup(B1195,Pop_Census_2023!$A$2:$E$3220,4,FALSE), vlookup(B1195,Pop_Census_2023!$A$2:$E$3220,5,FALSE))</f>
        <v>727473</v>
      </c>
    </row>
    <row r="1196">
      <c r="A1196" s="47" t="s">
        <v>2819</v>
      </c>
      <c r="B1196" s="47">
        <v>25023.0</v>
      </c>
      <c r="C1196" s="47">
        <v>5.0</v>
      </c>
      <c r="D1196" s="47" t="s">
        <v>4044</v>
      </c>
      <c r="E1196" s="47" t="str">
        <f t="shared" si="1"/>
        <v>5A</v>
      </c>
      <c r="F1196" s="47" t="s">
        <v>4054</v>
      </c>
      <c r="G1196" s="47" t="s">
        <v>737</v>
      </c>
      <c r="H1196" s="48">
        <f>IF(NOT(ISBLANK(vlookup(B1196,Pop_Census_2023!$A$2:$E$3220,4,FALSE))),vlookup(B1196,Pop_Census_2023!$A$2:$E$3220,4,FALSE), vlookup(B1196,Pop_Census_2023!$A$2:$E$3220,5,FALSE))</f>
        <v>535308</v>
      </c>
    </row>
    <row r="1197">
      <c r="A1197" s="47" t="s">
        <v>2819</v>
      </c>
      <c r="B1197" s="47">
        <v>25025.0</v>
      </c>
      <c r="C1197" s="47">
        <v>5.0</v>
      </c>
      <c r="D1197" s="47" t="s">
        <v>4044</v>
      </c>
      <c r="E1197" s="47" t="str">
        <f t="shared" si="1"/>
        <v>5A</v>
      </c>
      <c r="F1197" s="47" t="s">
        <v>4054</v>
      </c>
      <c r="G1197" s="47" t="s">
        <v>961</v>
      </c>
      <c r="H1197" s="48">
        <f>IF(NOT(ISBLANK(vlookup(B1197,Pop_Census_2023!$A$2:$E$3220,4,FALSE))),vlookup(B1197,Pop_Census_2023!$A$2:$E$3220,4,FALSE), vlookup(B1197,Pop_Census_2023!$A$2:$E$3220,5,FALSE))</f>
        <v>768425</v>
      </c>
    </row>
    <row r="1198">
      <c r="A1198" s="47" t="s">
        <v>2819</v>
      </c>
      <c r="B1198" s="47">
        <v>25027.0</v>
      </c>
      <c r="C1198" s="47">
        <v>5.0</v>
      </c>
      <c r="D1198" s="47" t="s">
        <v>4044</v>
      </c>
      <c r="E1198" s="47" t="str">
        <f t="shared" si="1"/>
        <v>5A</v>
      </c>
      <c r="F1198" s="47" t="s">
        <v>4054</v>
      </c>
      <c r="G1198" s="47" t="s">
        <v>949</v>
      </c>
      <c r="H1198" s="48">
        <f>IF(NOT(ISBLANK(vlookup(B1198,Pop_Census_2023!$A$2:$E$3220,4,FALSE))),vlookup(B1198,Pop_Census_2023!$A$2:$E$3220,4,FALSE), vlookup(B1198,Pop_Census_2023!$A$2:$E$3220,5,FALSE))</f>
        <v>866866</v>
      </c>
    </row>
    <row r="1199">
      <c r="A1199" s="47" t="s">
        <v>2801</v>
      </c>
      <c r="B1199" s="47">
        <v>24001.0</v>
      </c>
      <c r="C1199" s="47">
        <v>4.0</v>
      </c>
      <c r="D1199" s="47" t="s">
        <v>4044</v>
      </c>
      <c r="E1199" s="47" t="str">
        <f t="shared" si="1"/>
        <v>4A</v>
      </c>
      <c r="F1199" s="47" t="s">
        <v>4046</v>
      </c>
      <c r="G1199" s="47" t="s">
        <v>933</v>
      </c>
      <c r="H1199" s="48">
        <f>IF(NOT(ISBLANK(vlookup(B1199,Pop_Census_2023!$A$2:$E$3220,4,FALSE))),vlookup(B1199,Pop_Census_2023!$A$2:$E$3220,4,FALSE), vlookup(B1199,Pop_Census_2023!$A$2:$E$3220,5,FALSE))</f>
        <v>67273</v>
      </c>
    </row>
    <row r="1200">
      <c r="A1200" s="47" t="s">
        <v>2801</v>
      </c>
      <c r="B1200" s="47">
        <v>24003.0</v>
      </c>
      <c r="C1200" s="47">
        <v>4.0</v>
      </c>
      <c r="D1200" s="47" t="s">
        <v>4044</v>
      </c>
      <c r="E1200" s="47" t="str">
        <f t="shared" si="1"/>
        <v>4A</v>
      </c>
      <c r="F1200" s="47" t="s">
        <v>4046</v>
      </c>
      <c r="G1200" s="47" t="s">
        <v>935</v>
      </c>
      <c r="H1200" s="48">
        <f>IF(NOT(ISBLANK(vlookup(B1200,Pop_Census_2023!$A$2:$E$3220,4,FALSE))),vlookup(B1200,Pop_Census_2023!$A$2:$E$3220,4,FALSE), vlookup(B1200,Pop_Census_2023!$A$2:$E$3220,5,FALSE))</f>
        <v>594582</v>
      </c>
    </row>
    <row r="1201">
      <c r="A1201" s="47" t="s">
        <v>2801</v>
      </c>
      <c r="B1201" s="47">
        <v>24005.0</v>
      </c>
      <c r="C1201" s="47">
        <v>4.0</v>
      </c>
      <c r="D1201" s="47" t="s">
        <v>4044</v>
      </c>
      <c r="E1201" s="47" t="str">
        <f t="shared" si="1"/>
        <v>4A</v>
      </c>
      <c r="F1201" s="47" t="s">
        <v>4046</v>
      </c>
      <c r="G1201" s="47" t="s">
        <v>936</v>
      </c>
      <c r="H1201" s="48">
        <f>IF(NOT(ISBLANK(vlookup(B1201,Pop_Census_2023!$A$2:$E$3220,4,FALSE))),vlookup(B1201,Pop_Census_2023!$A$2:$E$3220,4,FALSE), vlookup(B1201,Pop_Census_2023!$A$2:$E$3220,5,FALSE))</f>
        <v>844703</v>
      </c>
    </row>
    <row r="1202">
      <c r="A1202" s="47" t="s">
        <v>2801</v>
      </c>
      <c r="B1202" s="47">
        <v>24009.0</v>
      </c>
      <c r="C1202" s="47">
        <v>4.0</v>
      </c>
      <c r="D1202" s="47" t="s">
        <v>4044</v>
      </c>
      <c r="E1202" s="47" t="str">
        <f t="shared" si="1"/>
        <v>4A</v>
      </c>
      <c r="F1202" s="47" t="s">
        <v>4046</v>
      </c>
      <c r="G1202" s="47" t="s">
        <v>937</v>
      </c>
      <c r="H1202" s="48">
        <f>IF(NOT(ISBLANK(vlookup(B1202,Pop_Census_2023!$A$2:$E$3220,4,FALSE))),vlookup(B1202,Pop_Census_2023!$A$2:$E$3220,4,FALSE), vlookup(B1202,Pop_Census_2023!$A$2:$E$3220,5,FALSE))</f>
        <v>94728</v>
      </c>
    </row>
    <row r="1203">
      <c r="A1203" s="47" t="s">
        <v>2801</v>
      </c>
      <c r="B1203" s="47">
        <v>24011.0</v>
      </c>
      <c r="C1203" s="47">
        <v>4.0</v>
      </c>
      <c r="D1203" s="47" t="s">
        <v>4044</v>
      </c>
      <c r="E1203" s="47" t="str">
        <f t="shared" si="1"/>
        <v>4A</v>
      </c>
      <c r="F1203" s="47" t="s">
        <v>4046</v>
      </c>
      <c r="G1203" s="47" t="s">
        <v>938</v>
      </c>
      <c r="H1203" s="48">
        <f>IF(NOT(ISBLANK(vlookup(B1203,Pop_Census_2023!$A$2:$E$3220,4,FALSE))),vlookup(B1203,Pop_Census_2023!$A$2:$E$3220,4,FALSE), vlookup(B1203,Pop_Census_2023!$A$2:$E$3220,5,FALSE))</f>
        <v>33593</v>
      </c>
    </row>
    <row r="1204">
      <c r="A1204" s="47" t="s">
        <v>2801</v>
      </c>
      <c r="B1204" s="47">
        <v>24013.0</v>
      </c>
      <c r="C1204" s="47">
        <v>4.0</v>
      </c>
      <c r="D1204" s="47" t="s">
        <v>4044</v>
      </c>
      <c r="E1204" s="47" t="str">
        <f t="shared" si="1"/>
        <v>4A</v>
      </c>
      <c r="F1204" s="47" t="s">
        <v>4046</v>
      </c>
      <c r="G1204" s="47" t="s">
        <v>227</v>
      </c>
      <c r="H1204" s="48">
        <f>IF(NOT(ISBLANK(vlookup(B1204,Pop_Census_2023!$A$2:$E$3220,4,FALSE))),vlookup(B1204,Pop_Census_2023!$A$2:$E$3220,4,FALSE), vlookup(B1204,Pop_Census_2023!$A$2:$E$3220,5,FALSE))</f>
        <v>176639</v>
      </c>
    </row>
    <row r="1205">
      <c r="A1205" s="47" t="s">
        <v>2801</v>
      </c>
      <c r="B1205" s="47">
        <v>24015.0</v>
      </c>
      <c r="C1205" s="47">
        <v>4.0</v>
      </c>
      <c r="D1205" s="47" t="s">
        <v>4044</v>
      </c>
      <c r="E1205" s="47" t="str">
        <f t="shared" si="1"/>
        <v>4A</v>
      </c>
      <c r="F1205" s="47" t="s">
        <v>4046</v>
      </c>
      <c r="G1205" s="47" t="s">
        <v>939</v>
      </c>
      <c r="H1205" s="48">
        <f>IF(NOT(ISBLANK(vlookup(B1205,Pop_Census_2023!$A$2:$E$3220,4,FALSE))),vlookup(B1205,Pop_Census_2023!$A$2:$E$3220,4,FALSE), vlookup(B1205,Pop_Census_2023!$A$2:$E$3220,5,FALSE))</f>
        <v>105672</v>
      </c>
    </row>
    <row r="1206">
      <c r="A1206" s="47" t="s">
        <v>2801</v>
      </c>
      <c r="B1206" s="47">
        <v>24017.0</v>
      </c>
      <c r="C1206" s="47">
        <v>4.0</v>
      </c>
      <c r="D1206" s="47" t="s">
        <v>4044</v>
      </c>
      <c r="E1206" s="47" t="str">
        <f t="shared" si="1"/>
        <v>4A</v>
      </c>
      <c r="F1206" s="47" t="s">
        <v>4046</v>
      </c>
      <c r="G1206" s="47" t="s">
        <v>940</v>
      </c>
      <c r="H1206" s="48">
        <f>IF(NOT(ISBLANK(vlookup(B1206,Pop_Census_2023!$A$2:$E$3220,4,FALSE))),vlookup(B1206,Pop_Census_2023!$A$2:$E$3220,4,FALSE), vlookup(B1206,Pop_Census_2023!$A$2:$E$3220,5,FALSE))</f>
        <v>171973</v>
      </c>
    </row>
    <row r="1207">
      <c r="A1207" s="47" t="s">
        <v>2801</v>
      </c>
      <c r="B1207" s="47">
        <v>24019.0</v>
      </c>
      <c r="C1207" s="47">
        <v>4.0</v>
      </c>
      <c r="D1207" s="47" t="s">
        <v>4044</v>
      </c>
      <c r="E1207" s="47" t="str">
        <f t="shared" si="1"/>
        <v>4A</v>
      </c>
      <c r="F1207" s="47" t="s">
        <v>4046</v>
      </c>
      <c r="G1207" s="47" t="s">
        <v>941</v>
      </c>
      <c r="H1207" s="48">
        <f>IF(NOT(ISBLANK(vlookup(B1207,Pop_Census_2023!$A$2:$E$3220,4,FALSE))),vlookup(B1207,Pop_Census_2023!$A$2:$E$3220,4,FALSE), vlookup(B1207,Pop_Census_2023!$A$2:$E$3220,5,FALSE))</f>
        <v>32879</v>
      </c>
    </row>
    <row r="1208">
      <c r="A1208" s="47" t="s">
        <v>2801</v>
      </c>
      <c r="B1208" s="47">
        <v>24021.0</v>
      </c>
      <c r="C1208" s="47">
        <v>4.0</v>
      </c>
      <c r="D1208" s="47" t="s">
        <v>4044</v>
      </c>
      <c r="E1208" s="47" t="str">
        <f t="shared" si="1"/>
        <v>4A</v>
      </c>
      <c r="F1208" s="47" t="s">
        <v>4046</v>
      </c>
      <c r="G1208" s="47" t="s">
        <v>942</v>
      </c>
      <c r="H1208" s="48">
        <f>IF(NOT(ISBLANK(vlookup(B1208,Pop_Census_2023!$A$2:$E$3220,4,FALSE))),vlookup(B1208,Pop_Census_2023!$A$2:$E$3220,4,FALSE), vlookup(B1208,Pop_Census_2023!$A$2:$E$3220,5,FALSE))</f>
        <v>293391</v>
      </c>
    </row>
    <row r="1209">
      <c r="A1209" s="47" t="s">
        <v>2801</v>
      </c>
      <c r="B1209" s="47">
        <v>24023.0</v>
      </c>
      <c r="C1209" s="47">
        <v>5.0</v>
      </c>
      <c r="D1209" s="47" t="s">
        <v>4044</v>
      </c>
      <c r="E1209" s="47" t="str">
        <f t="shared" si="1"/>
        <v>5A</v>
      </c>
      <c r="F1209" s="47" t="s">
        <v>4054</v>
      </c>
      <c r="G1209" s="47" t="s">
        <v>943</v>
      </c>
      <c r="H1209" s="48">
        <f>IF(NOT(ISBLANK(vlookup(B1209,Pop_Census_2023!$A$2:$E$3220,4,FALSE))),vlookup(B1209,Pop_Census_2023!$A$2:$E$3220,4,FALSE), vlookup(B1209,Pop_Census_2023!$A$2:$E$3220,5,FALSE))</f>
        <v>28423</v>
      </c>
    </row>
    <row r="1210">
      <c r="A1210" s="47" t="s">
        <v>2801</v>
      </c>
      <c r="B1210" s="47">
        <v>24025.0</v>
      </c>
      <c r="C1210" s="47">
        <v>4.0</v>
      </c>
      <c r="D1210" s="47" t="s">
        <v>4044</v>
      </c>
      <c r="E1210" s="47" t="str">
        <f t="shared" si="1"/>
        <v>4A</v>
      </c>
      <c r="F1210" s="47" t="s">
        <v>4046</v>
      </c>
      <c r="G1210" s="47" t="s">
        <v>944</v>
      </c>
      <c r="H1210" s="48">
        <f>IF(NOT(ISBLANK(vlookup(B1210,Pop_Census_2023!$A$2:$E$3220,4,FALSE))),vlookup(B1210,Pop_Census_2023!$A$2:$E$3220,4,FALSE), vlookup(B1210,Pop_Census_2023!$A$2:$E$3220,5,FALSE))</f>
        <v>264644</v>
      </c>
    </row>
    <row r="1211">
      <c r="A1211" s="47" t="s">
        <v>2801</v>
      </c>
      <c r="B1211" s="47">
        <v>24027.0</v>
      </c>
      <c r="C1211" s="47">
        <v>4.0</v>
      </c>
      <c r="D1211" s="47" t="s">
        <v>4044</v>
      </c>
      <c r="E1211" s="47" t="str">
        <f t="shared" si="1"/>
        <v>4A</v>
      </c>
      <c r="F1211" s="47" t="s">
        <v>4046</v>
      </c>
      <c r="G1211" s="47" t="s">
        <v>245</v>
      </c>
      <c r="H1211" s="48">
        <f>IF(NOT(ISBLANK(vlookup(B1211,Pop_Census_2023!$A$2:$E$3220,4,FALSE))),vlookup(B1211,Pop_Census_2023!$A$2:$E$3220,4,FALSE), vlookup(B1211,Pop_Census_2023!$A$2:$E$3220,5,FALSE))</f>
        <v>336001</v>
      </c>
    </row>
    <row r="1212">
      <c r="A1212" s="47" t="s">
        <v>2801</v>
      </c>
      <c r="B1212" s="47">
        <v>24029.0</v>
      </c>
      <c r="C1212" s="47">
        <v>4.0</v>
      </c>
      <c r="D1212" s="47" t="s">
        <v>4044</v>
      </c>
      <c r="E1212" s="47" t="str">
        <f t="shared" si="1"/>
        <v>4A</v>
      </c>
      <c r="F1212" s="47" t="s">
        <v>4046</v>
      </c>
      <c r="G1212" s="47" t="s">
        <v>404</v>
      </c>
      <c r="H1212" s="48">
        <f>IF(NOT(ISBLANK(vlookup(B1212,Pop_Census_2023!$A$2:$E$3220,4,FALSE))),vlookup(B1212,Pop_Census_2023!$A$2:$E$3220,4,FALSE), vlookup(B1212,Pop_Census_2023!$A$2:$E$3220,5,FALSE))</f>
        <v>19303</v>
      </c>
    </row>
    <row r="1213">
      <c r="A1213" s="47" t="s">
        <v>2801</v>
      </c>
      <c r="B1213" s="47">
        <v>24031.0</v>
      </c>
      <c r="C1213" s="47">
        <v>4.0</v>
      </c>
      <c r="D1213" s="47" t="s">
        <v>4044</v>
      </c>
      <c r="E1213" s="47" t="str">
        <f t="shared" si="1"/>
        <v>4A</v>
      </c>
      <c r="F1213" s="47" t="s">
        <v>4046</v>
      </c>
      <c r="G1213" s="47" t="s">
        <v>153</v>
      </c>
      <c r="H1213" s="48">
        <f>IF(NOT(ISBLANK(vlookup(B1213,Pop_Census_2023!$A$2:$E$3220,4,FALSE))),vlookup(B1213,Pop_Census_2023!$A$2:$E$3220,4,FALSE), vlookup(B1213,Pop_Census_2023!$A$2:$E$3220,5,FALSE))</f>
        <v>1058474</v>
      </c>
    </row>
    <row r="1214">
      <c r="A1214" s="47" t="s">
        <v>2801</v>
      </c>
      <c r="B1214" s="47">
        <v>24033.0</v>
      </c>
      <c r="C1214" s="47">
        <v>4.0</v>
      </c>
      <c r="D1214" s="47" t="s">
        <v>4044</v>
      </c>
      <c r="E1214" s="47" t="str">
        <f t="shared" si="1"/>
        <v>4A</v>
      </c>
      <c r="F1214" s="47" t="s">
        <v>4046</v>
      </c>
      <c r="G1214" s="47" t="s">
        <v>945</v>
      </c>
      <c r="H1214" s="48">
        <f>IF(NOT(ISBLANK(vlookup(B1214,Pop_Census_2023!$A$2:$E$3220,4,FALSE))),vlookup(B1214,Pop_Census_2023!$A$2:$E$3220,4,FALSE), vlookup(B1214,Pop_Census_2023!$A$2:$E$3220,5,FALSE))</f>
        <v>947430</v>
      </c>
    </row>
    <row r="1215">
      <c r="A1215" s="47" t="s">
        <v>2801</v>
      </c>
      <c r="B1215" s="47">
        <v>24035.0</v>
      </c>
      <c r="C1215" s="47">
        <v>4.0</v>
      </c>
      <c r="D1215" s="47" t="s">
        <v>4044</v>
      </c>
      <c r="E1215" s="47" t="str">
        <f t="shared" si="1"/>
        <v>4A</v>
      </c>
      <c r="F1215" s="47" t="s">
        <v>4046</v>
      </c>
      <c r="G1215" s="47" t="s">
        <v>946</v>
      </c>
      <c r="H1215" s="48">
        <f>IF(NOT(ISBLANK(vlookup(B1215,Pop_Census_2023!$A$2:$E$3220,4,FALSE))),vlookup(B1215,Pop_Census_2023!$A$2:$E$3220,4,FALSE), vlookup(B1215,Pop_Census_2023!$A$2:$E$3220,5,FALSE))</f>
        <v>52508</v>
      </c>
    </row>
    <row r="1216">
      <c r="A1216" s="47" t="s">
        <v>2801</v>
      </c>
      <c r="B1216" s="47">
        <v>24037.0</v>
      </c>
      <c r="C1216" s="47">
        <v>4.0</v>
      </c>
      <c r="D1216" s="47" t="s">
        <v>4044</v>
      </c>
      <c r="E1216" s="47" t="str">
        <f t="shared" si="1"/>
        <v>4A</v>
      </c>
      <c r="F1216" s="47" t="s">
        <v>4046</v>
      </c>
      <c r="G1216" s="47" t="s">
        <v>947</v>
      </c>
      <c r="H1216" s="48">
        <f>IF(NOT(ISBLANK(vlookup(B1216,Pop_Census_2023!$A$2:$E$3220,4,FALSE))),vlookup(B1216,Pop_Census_2023!$A$2:$E$3220,4,FALSE), vlookup(B1216,Pop_Census_2023!$A$2:$E$3220,5,FALSE))</f>
        <v>115281</v>
      </c>
    </row>
    <row r="1217">
      <c r="A1217" s="47" t="s">
        <v>2801</v>
      </c>
      <c r="B1217" s="47">
        <v>24039.0</v>
      </c>
      <c r="C1217" s="47">
        <v>4.0</v>
      </c>
      <c r="D1217" s="47" t="s">
        <v>4044</v>
      </c>
      <c r="E1217" s="47" t="str">
        <f t="shared" si="1"/>
        <v>4A</v>
      </c>
      <c r="F1217" s="47" t="s">
        <v>4046</v>
      </c>
      <c r="G1217" s="47" t="s">
        <v>930</v>
      </c>
      <c r="H1217" s="48">
        <f>IF(NOT(ISBLANK(vlookup(B1217,Pop_Census_2023!$A$2:$E$3220,4,FALSE))),vlookup(B1217,Pop_Census_2023!$A$2:$E$3220,4,FALSE), vlookup(B1217,Pop_Census_2023!$A$2:$E$3220,5,FALSE))</f>
        <v>24910</v>
      </c>
    </row>
    <row r="1218">
      <c r="A1218" s="47" t="s">
        <v>2801</v>
      </c>
      <c r="B1218" s="47">
        <v>24041.0</v>
      </c>
      <c r="C1218" s="47">
        <v>4.0</v>
      </c>
      <c r="D1218" s="47" t="s">
        <v>4044</v>
      </c>
      <c r="E1218" s="47" t="str">
        <f t="shared" si="1"/>
        <v>4A</v>
      </c>
      <c r="F1218" s="47" t="s">
        <v>4046</v>
      </c>
      <c r="G1218" s="47" t="s">
        <v>546</v>
      </c>
      <c r="H1218" s="48">
        <f>IF(NOT(ISBLANK(vlookup(B1218,Pop_Census_2023!$A$2:$E$3220,4,FALSE))),vlookup(B1218,Pop_Census_2023!$A$2:$E$3220,4,FALSE), vlookup(B1218,Pop_Census_2023!$A$2:$E$3220,5,FALSE))</f>
        <v>37823</v>
      </c>
    </row>
    <row r="1219">
      <c r="A1219" s="47" t="s">
        <v>2801</v>
      </c>
      <c r="B1219" s="47">
        <v>24043.0</v>
      </c>
      <c r="C1219" s="47">
        <v>4.0</v>
      </c>
      <c r="D1219" s="47" t="s">
        <v>4044</v>
      </c>
      <c r="E1219" s="47" t="str">
        <f t="shared" si="1"/>
        <v>4A</v>
      </c>
      <c r="F1219" s="47" t="s">
        <v>4046</v>
      </c>
      <c r="G1219" s="47" t="s">
        <v>167</v>
      </c>
      <c r="H1219" s="48">
        <f>IF(NOT(ISBLANK(vlookup(B1219,Pop_Census_2023!$A$2:$E$3220,4,FALSE))),vlookup(B1219,Pop_Census_2023!$A$2:$E$3220,4,FALSE), vlookup(B1219,Pop_Census_2023!$A$2:$E$3220,5,FALSE))</f>
        <v>155813</v>
      </c>
    </row>
    <row r="1220">
      <c r="A1220" s="47" t="s">
        <v>2801</v>
      </c>
      <c r="B1220" s="47">
        <v>24045.0</v>
      </c>
      <c r="C1220" s="47">
        <v>4.0</v>
      </c>
      <c r="D1220" s="47" t="s">
        <v>4044</v>
      </c>
      <c r="E1220" s="47" t="str">
        <f t="shared" si="1"/>
        <v>4A</v>
      </c>
      <c r="F1220" s="47" t="s">
        <v>4046</v>
      </c>
      <c r="G1220" s="47" t="s">
        <v>948</v>
      </c>
      <c r="H1220" s="48">
        <f>IF(NOT(ISBLANK(vlookup(B1220,Pop_Census_2023!$A$2:$E$3220,4,FALSE))),vlookup(B1220,Pop_Census_2023!$A$2:$E$3220,4,FALSE), vlookup(B1220,Pop_Census_2023!$A$2:$E$3220,5,FALSE))</f>
        <v>104800</v>
      </c>
    </row>
    <row r="1221">
      <c r="A1221" s="47" t="s">
        <v>2801</v>
      </c>
      <c r="B1221" s="47">
        <v>24047.0</v>
      </c>
      <c r="C1221" s="47">
        <v>4.0</v>
      </c>
      <c r="D1221" s="47" t="s">
        <v>4044</v>
      </c>
      <c r="E1221" s="47" t="str">
        <f t="shared" si="1"/>
        <v>4A</v>
      </c>
      <c r="F1221" s="47" t="s">
        <v>4046</v>
      </c>
      <c r="G1221" s="47" t="s">
        <v>949</v>
      </c>
      <c r="H1221" s="48">
        <f>IF(NOT(ISBLANK(vlookup(B1221,Pop_Census_2023!$A$2:$E$3220,4,FALSE))),vlookup(B1221,Pop_Census_2023!$A$2:$E$3220,4,FALSE), vlookup(B1221,Pop_Census_2023!$A$2:$E$3220,5,FALSE))</f>
        <v>54171</v>
      </c>
    </row>
    <row r="1222">
      <c r="A1222" s="47" t="s">
        <v>2801</v>
      </c>
      <c r="B1222" s="47">
        <v>24510.0</v>
      </c>
      <c r="C1222" s="47">
        <v>4.0</v>
      </c>
      <c r="D1222" s="47" t="s">
        <v>4044</v>
      </c>
      <c r="E1222" s="47" t="str">
        <f t="shared" si="1"/>
        <v>4A</v>
      </c>
      <c r="F1222" s="47" t="s">
        <v>4046</v>
      </c>
      <c r="G1222" s="47" t="s">
        <v>936</v>
      </c>
      <c r="H1222" s="48">
        <f>IF(NOT(ISBLANK(vlookup(B1222,Pop_Census_2023!$A$2:$E$3220,4,FALSE))),vlookup(B1222,Pop_Census_2023!$A$2:$E$3220,4,FALSE), vlookup(B1222,Pop_Census_2023!$A$2:$E$3220,5,FALSE))</f>
        <v>565239</v>
      </c>
    </row>
    <row r="1223">
      <c r="A1223" s="47" t="s">
        <v>2790</v>
      </c>
      <c r="B1223" s="47">
        <v>23001.0</v>
      </c>
      <c r="C1223" s="47">
        <v>6.0</v>
      </c>
      <c r="D1223" s="47" t="s">
        <v>4044</v>
      </c>
      <c r="E1223" s="47" t="str">
        <f t="shared" si="1"/>
        <v>6A</v>
      </c>
      <c r="F1223" s="47" t="s">
        <v>4054</v>
      </c>
      <c r="G1223" s="47" t="s">
        <v>922</v>
      </c>
      <c r="H1223" s="48">
        <f>IF(NOT(ISBLANK(vlookup(B1223,Pop_Census_2023!$A$2:$E$3220,4,FALSE))),vlookup(B1223,Pop_Census_2023!$A$2:$E$3220,4,FALSE), vlookup(B1223,Pop_Census_2023!$A$2:$E$3220,5,FALSE))</f>
        <v>113765</v>
      </c>
    </row>
    <row r="1224">
      <c r="A1224" s="47" t="s">
        <v>2790</v>
      </c>
      <c r="B1224" s="47">
        <v>23003.0</v>
      </c>
      <c r="C1224" s="47">
        <v>7.0</v>
      </c>
      <c r="D1224" s="47" t="s">
        <v>4014</v>
      </c>
      <c r="E1224" s="47">
        <f t="shared" si="1"/>
        <v>7</v>
      </c>
      <c r="F1224" s="47" t="s">
        <v>4015</v>
      </c>
      <c r="G1224" s="47" t="s">
        <v>924</v>
      </c>
      <c r="H1224" s="48">
        <f>IF(NOT(ISBLANK(vlookup(B1224,Pop_Census_2023!$A$2:$E$3220,4,FALSE))),vlookup(B1224,Pop_Census_2023!$A$2:$E$3220,4,FALSE), vlookup(B1224,Pop_Census_2023!$A$2:$E$3220,5,FALSE))</f>
        <v>67351</v>
      </c>
    </row>
    <row r="1225">
      <c r="A1225" s="47" t="s">
        <v>2790</v>
      </c>
      <c r="B1225" s="47">
        <v>23005.0</v>
      </c>
      <c r="C1225" s="47">
        <v>6.0</v>
      </c>
      <c r="D1225" s="47" t="s">
        <v>4044</v>
      </c>
      <c r="E1225" s="47" t="str">
        <f t="shared" si="1"/>
        <v>6A</v>
      </c>
      <c r="F1225" s="47" t="s">
        <v>4054</v>
      </c>
      <c r="G1225" s="47" t="s">
        <v>618</v>
      </c>
      <c r="H1225" s="48">
        <f>IF(NOT(ISBLANK(vlookup(B1225,Pop_Census_2023!$A$2:$E$3220,4,FALSE))),vlookup(B1225,Pop_Census_2023!$A$2:$E$3220,4,FALSE), vlookup(B1225,Pop_Census_2023!$A$2:$E$3220,5,FALSE))</f>
        <v>310230</v>
      </c>
    </row>
    <row r="1226">
      <c r="A1226" s="47" t="s">
        <v>2790</v>
      </c>
      <c r="B1226" s="47">
        <v>23007.0</v>
      </c>
      <c r="C1226" s="47">
        <v>6.0</v>
      </c>
      <c r="D1226" s="47" t="s">
        <v>4044</v>
      </c>
      <c r="E1226" s="47" t="str">
        <f t="shared" si="1"/>
        <v>6A</v>
      </c>
      <c r="F1226" s="47" t="s">
        <v>4054</v>
      </c>
      <c r="G1226" s="47" t="s">
        <v>132</v>
      </c>
      <c r="H1226" s="48">
        <f>IF(NOT(ISBLANK(vlookup(B1226,Pop_Census_2023!$A$2:$E$3220,4,FALSE))),vlookup(B1226,Pop_Census_2023!$A$2:$E$3220,4,FALSE), vlookup(B1226,Pop_Census_2023!$A$2:$E$3220,5,FALSE))</f>
        <v>30828</v>
      </c>
    </row>
    <row r="1227">
      <c r="A1227" s="47" t="s">
        <v>2790</v>
      </c>
      <c r="B1227" s="47">
        <v>23009.0</v>
      </c>
      <c r="C1227" s="47">
        <v>6.0</v>
      </c>
      <c r="D1227" s="47" t="s">
        <v>4044</v>
      </c>
      <c r="E1227" s="47" t="str">
        <f t="shared" si="1"/>
        <v>6A</v>
      </c>
      <c r="F1227" s="47" t="s">
        <v>4054</v>
      </c>
      <c r="G1227" s="47" t="s">
        <v>512</v>
      </c>
      <c r="H1227" s="48">
        <f>IF(NOT(ISBLANK(vlookup(B1227,Pop_Census_2023!$A$2:$E$3220,4,FALSE))),vlookup(B1227,Pop_Census_2023!$A$2:$E$3220,4,FALSE), vlookup(B1227,Pop_Census_2023!$A$2:$E$3220,5,FALSE))</f>
        <v>56526</v>
      </c>
    </row>
    <row r="1228">
      <c r="A1228" s="47" t="s">
        <v>2790</v>
      </c>
      <c r="B1228" s="47">
        <v>23011.0</v>
      </c>
      <c r="C1228" s="47">
        <v>6.0</v>
      </c>
      <c r="D1228" s="47" t="s">
        <v>4044</v>
      </c>
      <c r="E1228" s="47" t="str">
        <f t="shared" si="1"/>
        <v>6A</v>
      </c>
      <c r="F1228" s="47" t="s">
        <v>4054</v>
      </c>
      <c r="G1228" s="47" t="s">
        <v>925</v>
      </c>
      <c r="H1228" s="48">
        <f>IF(NOT(ISBLANK(vlookup(B1228,Pop_Census_2023!$A$2:$E$3220,4,FALSE))),vlookup(B1228,Pop_Census_2023!$A$2:$E$3220,4,FALSE), vlookup(B1228,Pop_Census_2023!$A$2:$E$3220,5,FALSE))</f>
        <v>127259</v>
      </c>
    </row>
    <row r="1229">
      <c r="A1229" s="47" t="s">
        <v>2790</v>
      </c>
      <c r="B1229" s="47">
        <v>23013.0</v>
      </c>
      <c r="C1229" s="47">
        <v>6.0</v>
      </c>
      <c r="D1229" s="47" t="s">
        <v>4044</v>
      </c>
      <c r="E1229" s="47" t="str">
        <f t="shared" si="1"/>
        <v>6A</v>
      </c>
      <c r="F1229" s="47" t="s">
        <v>4054</v>
      </c>
      <c r="G1229" s="47" t="s">
        <v>634</v>
      </c>
      <c r="H1229" s="48">
        <f>IF(NOT(ISBLANK(vlookup(B1229,Pop_Census_2023!$A$2:$E$3220,4,FALSE))),vlookup(B1229,Pop_Census_2023!$A$2:$E$3220,4,FALSE), vlookup(B1229,Pop_Census_2023!$A$2:$E$3220,5,FALSE))</f>
        <v>40977</v>
      </c>
    </row>
    <row r="1230">
      <c r="A1230" s="47" t="s">
        <v>2790</v>
      </c>
      <c r="B1230" s="47">
        <v>23015.0</v>
      </c>
      <c r="C1230" s="47">
        <v>6.0</v>
      </c>
      <c r="D1230" s="47" t="s">
        <v>4044</v>
      </c>
      <c r="E1230" s="47" t="str">
        <f t="shared" si="1"/>
        <v>6A</v>
      </c>
      <c r="F1230" s="47" t="s">
        <v>4054</v>
      </c>
      <c r="G1230" s="47" t="s">
        <v>250</v>
      </c>
      <c r="H1230" s="48">
        <f>IF(NOT(ISBLANK(vlookup(B1230,Pop_Census_2023!$A$2:$E$3220,4,FALSE))),vlookup(B1230,Pop_Census_2023!$A$2:$E$3220,4,FALSE), vlookup(B1230,Pop_Census_2023!$A$2:$E$3220,5,FALSE))</f>
        <v>36507</v>
      </c>
    </row>
    <row r="1231">
      <c r="A1231" s="47" t="s">
        <v>2790</v>
      </c>
      <c r="B1231" s="47">
        <v>23017.0</v>
      </c>
      <c r="C1231" s="47">
        <v>6.0</v>
      </c>
      <c r="D1231" s="47" t="s">
        <v>4044</v>
      </c>
      <c r="E1231" s="47" t="str">
        <f t="shared" si="1"/>
        <v>6A</v>
      </c>
      <c r="F1231" s="47" t="s">
        <v>4054</v>
      </c>
      <c r="G1231" s="47" t="s">
        <v>926</v>
      </c>
      <c r="H1231" s="48">
        <f>IF(NOT(ISBLANK(vlookup(B1231,Pop_Census_2023!$A$2:$E$3220,4,FALSE))),vlookup(B1231,Pop_Census_2023!$A$2:$E$3220,4,FALSE), vlookup(B1231,Pop_Census_2023!$A$2:$E$3220,5,FALSE))</f>
        <v>59905</v>
      </c>
    </row>
    <row r="1232">
      <c r="A1232" s="47" t="s">
        <v>2790</v>
      </c>
      <c r="B1232" s="47">
        <v>23019.0</v>
      </c>
      <c r="C1232" s="47">
        <v>6.0</v>
      </c>
      <c r="D1232" s="47" t="s">
        <v>4044</v>
      </c>
      <c r="E1232" s="47" t="str">
        <f t="shared" si="1"/>
        <v>6A</v>
      </c>
      <c r="F1232" s="47" t="s">
        <v>4054</v>
      </c>
      <c r="G1232" s="47" t="s">
        <v>927</v>
      </c>
      <c r="H1232" s="48">
        <f>IF(NOT(ISBLANK(vlookup(B1232,Pop_Census_2023!$A$2:$E$3220,4,FALSE))),vlookup(B1232,Pop_Census_2023!$A$2:$E$3220,4,FALSE), vlookup(B1232,Pop_Census_2023!$A$2:$E$3220,5,FALSE))</f>
        <v>155312</v>
      </c>
    </row>
    <row r="1233">
      <c r="A1233" s="47" t="s">
        <v>2790</v>
      </c>
      <c r="B1233" s="47">
        <v>23021.0</v>
      </c>
      <c r="C1233" s="47">
        <v>6.0</v>
      </c>
      <c r="D1233" s="47" t="s">
        <v>4044</v>
      </c>
      <c r="E1233" s="47" t="str">
        <f t="shared" si="1"/>
        <v>6A</v>
      </c>
      <c r="F1233" s="47" t="s">
        <v>4054</v>
      </c>
      <c r="G1233" s="47" t="s">
        <v>928</v>
      </c>
      <c r="H1233" s="48">
        <f>IF(NOT(ISBLANK(vlookup(B1233,Pop_Census_2023!$A$2:$E$3220,4,FALSE))),vlookup(B1233,Pop_Census_2023!$A$2:$E$3220,4,FALSE), vlookup(B1233,Pop_Census_2023!$A$2:$E$3220,5,FALSE))</f>
        <v>17486</v>
      </c>
    </row>
    <row r="1234">
      <c r="A1234" s="47" t="s">
        <v>2790</v>
      </c>
      <c r="B1234" s="47">
        <v>23023.0</v>
      </c>
      <c r="C1234" s="47">
        <v>6.0</v>
      </c>
      <c r="D1234" s="47" t="s">
        <v>4044</v>
      </c>
      <c r="E1234" s="47" t="str">
        <f t="shared" si="1"/>
        <v>6A</v>
      </c>
      <c r="F1234" s="47" t="s">
        <v>4054</v>
      </c>
      <c r="G1234" s="47" t="s">
        <v>929</v>
      </c>
      <c r="H1234" s="48">
        <f>IF(NOT(ISBLANK(vlookup(B1234,Pop_Census_2023!$A$2:$E$3220,4,FALSE))),vlookup(B1234,Pop_Census_2023!$A$2:$E$3220,4,FALSE), vlookup(B1234,Pop_Census_2023!$A$2:$E$3220,5,FALSE))</f>
        <v>37513</v>
      </c>
    </row>
    <row r="1235">
      <c r="A1235" s="47" t="s">
        <v>2790</v>
      </c>
      <c r="B1235" s="47">
        <v>23025.0</v>
      </c>
      <c r="C1235" s="47">
        <v>6.0</v>
      </c>
      <c r="D1235" s="47" t="s">
        <v>4044</v>
      </c>
      <c r="E1235" s="47" t="str">
        <f t="shared" si="1"/>
        <v>6A</v>
      </c>
      <c r="F1235" s="47" t="s">
        <v>4054</v>
      </c>
      <c r="G1235" s="47" t="s">
        <v>930</v>
      </c>
      <c r="H1235" s="48">
        <f>IF(NOT(ISBLANK(vlookup(B1235,Pop_Census_2023!$A$2:$E$3220,4,FALSE))),vlookup(B1235,Pop_Census_2023!$A$2:$E$3220,4,FALSE), vlookup(B1235,Pop_Census_2023!$A$2:$E$3220,5,FALSE))</f>
        <v>51302</v>
      </c>
    </row>
    <row r="1236">
      <c r="A1236" s="47" t="s">
        <v>2790</v>
      </c>
      <c r="B1236" s="47">
        <v>23027.0</v>
      </c>
      <c r="C1236" s="47">
        <v>6.0</v>
      </c>
      <c r="D1236" s="47" t="s">
        <v>4044</v>
      </c>
      <c r="E1236" s="47" t="str">
        <f t="shared" si="1"/>
        <v>6A</v>
      </c>
      <c r="F1236" s="47" t="s">
        <v>4054</v>
      </c>
      <c r="G1236" s="47" t="s">
        <v>931</v>
      </c>
      <c r="H1236" s="48">
        <f>IF(NOT(ISBLANK(vlookup(B1236,Pop_Census_2023!$A$2:$E$3220,4,FALSE))),vlookup(B1236,Pop_Census_2023!$A$2:$E$3220,4,FALSE), vlookup(B1236,Pop_Census_2023!$A$2:$E$3220,5,FALSE))</f>
        <v>40620</v>
      </c>
    </row>
    <row r="1237">
      <c r="A1237" s="47" t="s">
        <v>2790</v>
      </c>
      <c r="B1237" s="47">
        <v>23029.0</v>
      </c>
      <c r="C1237" s="47">
        <v>6.0</v>
      </c>
      <c r="D1237" s="47" t="s">
        <v>4044</v>
      </c>
      <c r="E1237" s="47" t="str">
        <f t="shared" si="1"/>
        <v>6A</v>
      </c>
      <c r="F1237" s="47" t="s">
        <v>4054</v>
      </c>
      <c r="G1237" s="47" t="s">
        <v>167</v>
      </c>
      <c r="H1237" s="48">
        <f>IF(NOT(ISBLANK(vlookup(B1237,Pop_Census_2023!$A$2:$E$3220,4,FALSE))),vlookup(B1237,Pop_Census_2023!$A$2:$E$3220,4,FALSE), vlookup(B1237,Pop_Census_2023!$A$2:$E$3220,5,FALSE))</f>
        <v>31555</v>
      </c>
    </row>
    <row r="1238">
      <c r="A1238" s="47" t="s">
        <v>2790</v>
      </c>
      <c r="B1238" s="47">
        <v>23031.0</v>
      </c>
      <c r="C1238" s="47">
        <v>6.0</v>
      </c>
      <c r="D1238" s="47" t="s">
        <v>4044</v>
      </c>
      <c r="E1238" s="47" t="str">
        <f t="shared" si="1"/>
        <v>6A</v>
      </c>
      <c r="F1238" s="47" t="s">
        <v>4054</v>
      </c>
      <c r="G1238" s="47" t="s">
        <v>932</v>
      </c>
      <c r="H1238" s="48">
        <f>IF(NOT(ISBLANK(vlookup(B1238,Pop_Census_2023!$A$2:$E$3220,4,FALSE))),vlookup(B1238,Pop_Census_2023!$A$2:$E$3220,4,FALSE), vlookup(B1238,Pop_Census_2023!$A$2:$E$3220,5,FALSE))</f>
        <v>218586</v>
      </c>
    </row>
    <row r="1239">
      <c r="A1239" s="47" t="s">
        <v>2830</v>
      </c>
      <c r="B1239" s="47">
        <v>26001.0</v>
      </c>
      <c r="C1239" s="47">
        <v>6.0</v>
      </c>
      <c r="D1239" s="47" t="s">
        <v>4044</v>
      </c>
      <c r="E1239" s="47" t="str">
        <f t="shared" si="1"/>
        <v>6A</v>
      </c>
      <c r="F1239" s="47" t="s">
        <v>4054</v>
      </c>
      <c r="G1239" s="47" t="s">
        <v>962</v>
      </c>
      <c r="H1239" s="48">
        <f>IF(NOT(ISBLANK(vlookup(B1239,Pop_Census_2023!$A$2:$E$3220,4,FALSE))),vlookup(B1239,Pop_Census_2023!$A$2:$E$3220,4,FALSE), vlookup(B1239,Pop_Census_2023!$A$2:$E$3220,5,FALSE))</f>
        <v>10489</v>
      </c>
    </row>
    <row r="1240">
      <c r="A1240" s="47" t="s">
        <v>2830</v>
      </c>
      <c r="B1240" s="47">
        <v>26003.0</v>
      </c>
      <c r="C1240" s="47">
        <v>6.0</v>
      </c>
      <c r="D1240" s="47" t="s">
        <v>4044</v>
      </c>
      <c r="E1240" s="47" t="str">
        <f t="shared" si="1"/>
        <v>6A</v>
      </c>
      <c r="F1240" s="47" t="s">
        <v>4054</v>
      </c>
      <c r="G1240" s="47" t="s">
        <v>964</v>
      </c>
      <c r="H1240" s="48">
        <f>IF(NOT(ISBLANK(vlookup(B1240,Pop_Census_2023!$A$2:$E$3220,4,FALSE))),vlookup(B1240,Pop_Census_2023!$A$2:$E$3220,4,FALSE), vlookup(B1240,Pop_Census_2023!$A$2:$E$3220,5,FALSE))</f>
        <v>8757</v>
      </c>
    </row>
    <row r="1241">
      <c r="A1241" s="47" t="s">
        <v>2830</v>
      </c>
      <c r="B1241" s="47">
        <v>26005.0</v>
      </c>
      <c r="C1241" s="47">
        <v>5.0</v>
      </c>
      <c r="D1241" s="47" t="s">
        <v>4044</v>
      </c>
      <c r="E1241" s="47" t="str">
        <f t="shared" si="1"/>
        <v>5A</v>
      </c>
      <c r="F1241" s="47" t="s">
        <v>4054</v>
      </c>
      <c r="G1241" s="47" t="s">
        <v>965</v>
      </c>
      <c r="H1241" s="48">
        <f>IF(NOT(ISBLANK(vlookup(B1241,Pop_Census_2023!$A$2:$E$3220,4,FALSE))),vlookup(B1241,Pop_Census_2023!$A$2:$E$3220,4,FALSE), vlookup(B1241,Pop_Census_2023!$A$2:$E$3220,5,FALSE))</f>
        <v>121939</v>
      </c>
    </row>
    <row r="1242">
      <c r="A1242" s="47" t="s">
        <v>2830</v>
      </c>
      <c r="B1242" s="47">
        <v>26007.0</v>
      </c>
      <c r="C1242" s="47">
        <v>6.0</v>
      </c>
      <c r="D1242" s="47" t="s">
        <v>4044</v>
      </c>
      <c r="E1242" s="47" t="str">
        <f t="shared" si="1"/>
        <v>6A</v>
      </c>
      <c r="F1242" s="47" t="s">
        <v>4054</v>
      </c>
      <c r="G1242" s="47" t="s">
        <v>966</v>
      </c>
      <c r="H1242" s="48">
        <f>IF(NOT(ISBLANK(vlookup(B1242,Pop_Census_2023!$A$2:$E$3220,4,FALSE))),vlookup(B1242,Pop_Census_2023!$A$2:$E$3220,4,FALSE), vlookup(B1242,Pop_Census_2023!$A$2:$E$3220,5,FALSE))</f>
        <v>28904</v>
      </c>
    </row>
    <row r="1243">
      <c r="A1243" s="47" t="s">
        <v>2830</v>
      </c>
      <c r="B1243" s="47">
        <v>26009.0</v>
      </c>
      <c r="C1243" s="47">
        <v>6.0</v>
      </c>
      <c r="D1243" s="47" t="s">
        <v>4044</v>
      </c>
      <c r="E1243" s="47" t="str">
        <f t="shared" si="1"/>
        <v>6A</v>
      </c>
      <c r="F1243" s="47" t="s">
        <v>4054</v>
      </c>
      <c r="G1243" s="47" t="s">
        <v>967</v>
      </c>
      <c r="H1243" s="48">
        <f>IF(NOT(ISBLANK(vlookup(B1243,Pop_Census_2023!$A$2:$E$3220,4,FALSE))),vlookup(B1243,Pop_Census_2023!$A$2:$E$3220,4,FALSE), vlookup(B1243,Pop_Census_2023!$A$2:$E$3220,5,FALSE))</f>
        <v>24409</v>
      </c>
    </row>
    <row r="1244">
      <c r="A1244" s="47" t="s">
        <v>2830</v>
      </c>
      <c r="B1244" s="47">
        <v>26011.0</v>
      </c>
      <c r="C1244" s="47">
        <v>6.0</v>
      </c>
      <c r="D1244" s="47" t="s">
        <v>4044</v>
      </c>
      <c r="E1244" s="47" t="str">
        <f t="shared" si="1"/>
        <v>6A</v>
      </c>
      <c r="F1244" s="47" t="s">
        <v>4054</v>
      </c>
      <c r="G1244" s="47" t="s">
        <v>968</v>
      </c>
      <c r="H1244" s="48">
        <f>IF(NOT(ISBLANK(vlookup(B1244,Pop_Census_2023!$A$2:$E$3220,4,FALSE))),vlookup(B1244,Pop_Census_2023!$A$2:$E$3220,4,FALSE), vlookup(B1244,Pop_Census_2023!$A$2:$E$3220,5,FALSE))</f>
        <v>15145</v>
      </c>
    </row>
    <row r="1245">
      <c r="A1245" s="47" t="s">
        <v>2830</v>
      </c>
      <c r="B1245" s="47">
        <v>26013.0</v>
      </c>
      <c r="C1245" s="47">
        <v>7.0</v>
      </c>
      <c r="D1245" s="47" t="s">
        <v>4014</v>
      </c>
      <c r="E1245" s="47">
        <f t="shared" si="1"/>
        <v>7</v>
      </c>
      <c r="F1245" s="47" t="s">
        <v>4015</v>
      </c>
      <c r="G1245" s="47" t="s">
        <v>969</v>
      </c>
      <c r="H1245" s="48">
        <f>IF(NOT(ISBLANK(vlookup(B1245,Pop_Census_2023!$A$2:$E$3220,4,FALSE))),vlookup(B1245,Pop_Census_2023!$A$2:$E$3220,4,FALSE), vlookup(B1245,Pop_Census_2023!$A$2:$E$3220,5,FALSE))</f>
        <v>8310</v>
      </c>
    </row>
    <row r="1246">
      <c r="A1246" s="47" t="s">
        <v>2830</v>
      </c>
      <c r="B1246" s="47">
        <v>26015.0</v>
      </c>
      <c r="C1246" s="47">
        <v>5.0</v>
      </c>
      <c r="D1246" s="47" t="s">
        <v>4044</v>
      </c>
      <c r="E1246" s="47" t="str">
        <f t="shared" si="1"/>
        <v>5A</v>
      </c>
      <c r="F1246" s="47" t="s">
        <v>4054</v>
      </c>
      <c r="G1246" s="47" t="s">
        <v>970</v>
      </c>
      <c r="H1246" s="48">
        <f>IF(NOT(ISBLANK(vlookup(B1246,Pop_Census_2023!$A$2:$E$3220,4,FALSE))),vlookup(B1246,Pop_Census_2023!$A$2:$E$3220,4,FALSE), vlookup(B1246,Pop_Census_2023!$A$2:$E$3220,5,FALSE))</f>
        <v>63808</v>
      </c>
    </row>
    <row r="1247">
      <c r="A1247" s="47" t="s">
        <v>2830</v>
      </c>
      <c r="B1247" s="47">
        <v>26017.0</v>
      </c>
      <c r="C1247" s="47">
        <v>5.0</v>
      </c>
      <c r="D1247" s="47" t="s">
        <v>4044</v>
      </c>
      <c r="E1247" s="47" t="str">
        <f t="shared" si="1"/>
        <v>5A</v>
      </c>
      <c r="F1247" s="47" t="s">
        <v>4054</v>
      </c>
      <c r="G1247" s="47" t="s">
        <v>412</v>
      </c>
      <c r="H1247" s="48">
        <f>IF(NOT(ISBLANK(vlookup(B1247,Pop_Census_2023!$A$2:$E$3220,4,FALSE))),vlookup(B1247,Pop_Census_2023!$A$2:$E$3220,4,FALSE), vlookup(B1247,Pop_Census_2023!$A$2:$E$3220,5,FALSE))</f>
        <v>102500</v>
      </c>
    </row>
    <row r="1248">
      <c r="A1248" s="47" t="s">
        <v>2830</v>
      </c>
      <c r="B1248" s="47">
        <v>26019.0</v>
      </c>
      <c r="C1248" s="47">
        <v>6.0</v>
      </c>
      <c r="D1248" s="47" t="s">
        <v>4044</v>
      </c>
      <c r="E1248" s="47" t="str">
        <f t="shared" si="1"/>
        <v>6A</v>
      </c>
      <c r="F1248" s="47" t="s">
        <v>4054</v>
      </c>
      <c r="G1248" s="47" t="s">
        <v>971</v>
      </c>
      <c r="H1248" s="48">
        <f>IF(NOT(ISBLANK(vlookup(B1248,Pop_Census_2023!$A$2:$E$3220,4,FALSE))),vlookup(B1248,Pop_Census_2023!$A$2:$E$3220,4,FALSE), vlookup(B1248,Pop_Census_2023!$A$2:$E$3220,5,FALSE))</f>
        <v>18441</v>
      </c>
    </row>
    <row r="1249">
      <c r="A1249" s="47" t="s">
        <v>2830</v>
      </c>
      <c r="B1249" s="47">
        <v>26021.0</v>
      </c>
      <c r="C1249" s="47">
        <v>5.0</v>
      </c>
      <c r="D1249" s="47" t="s">
        <v>4044</v>
      </c>
      <c r="E1249" s="47" t="str">
        <f t="shared" si="1"/>
        <v>5A</v>
      </c>
      <c r="F1249" s="47" t="s">
        <v>4054</v>
      </c>
      <c r="G1249" s="47" t="s">
        <v>468</v>
      </c>
      <c r="H1249" s="48">
        <f>IF(NOT(ISBLANK(vlookup(B1249,Pop_Census_2023!$A$2:$E$3220,4,FALSE))),vlookup(B1249,Pop_Census_2023!$A$2:$E$3220,4,FALSE), vlookup(B1249,Pop_Census_2023!$A$2:$E$3220,5,FALSE))</f>
        <v>152261</v>
      </c>
    </row>
    <row r="1250">
      <c r="A1250" s="47" t="s">
        <v>2830</v>
      </c>
      <c r="B1250" s="47">
        <v>26023.0</v>
      </c>
      <c r="C1250" s="47">
        <v>5.0</v>
      </c>
      <c r="D1250" s="47" t="s">
        <v>4044</v>
      </c>
      <c r="E1250" s="47" t="str">
        <f t="shared" si="1"/>
        <v>5A</v>
      </c>
      <c r="F1250" s="47" t="s">
        <v>4054</v>
      </c>
      <c r="G1250" s="47" t="s">
        <v>972</v>
      </c>
      <c r="H1250" s="48">
        <f>IF(NOT(ISBLANK(vlookup(B1250,Pop_Census_2023!$A$2:$E$3220,4,FALSE))),vlookup(B1250,Pop_Census_2023!$A$2:$E$3220,4,FALSE), vlookup(B1250,Pop_Census_2023!$A$2:$E$3220,5,FALSE))</f>
        <v>45215</v>
      </c>
    </row>
    <row r="1251">
      <c r="A1251" s="47" t="s">
        <v>2830</v>
      </c>
      <c r="B1251" s="47">
        <v>26025.0</v>
      </c>
      <c r="C1251" s="47">
        <v>5.0</v>
      </c>
      <c r="D1251" s="47" t="s">
        <v>4044</v>
      </c>
      <c r="E1251" s="47" t="str">
        <f t="shared" si="1"/>
        <v>5A</v>
      </c>
      <c r="F1251" s="47" t="s">
        <v>4054</v>
      </c>
      <c r="G1251" s="47" t="s">
        <v>110</v>
      </c>
      <c r="H1251" s="48">
        <f>IF(NOT(ISBLANK(vlookup(B1251,Pop_Census_2023!$A$2:$E$3220,4,FALSE))),vlookup(B1251,Pop_Census_2023!$A$2:$E$3220,4,FALSE), vlookup(B1251,Pop_Census_2023!$A$2:$E$3220,5,FALSE))</f>
        <v>133366</v>
      </c>
    </row>
    <row r="1252">
      <c r="A1252" s="47" t="s">
        <v>2830</v>
      </c>
      <c r="B1252" s="47">
        <v>26027.0</v>
      </c>
      <c r="C1252" s="47">
        <v>5.0</v>
      </c>
      <c r="D1252" s="47" t="s">
        <v>4044</v>
      </c>
      <c r="E1252" s="47" t="str">
        <f t="shared" si="1"/>
        <v>5A</v>
      </c>
      <c r="F1252" s="47" t="s">
        <v>4054</v>
      </c>
      <c r="G1252" s="47" t="s">
        <v>613</v>
      </c>
      <c r="H1252" s="48">
        <f>IF(NOT(ISBLANK(vlookup(B1252,Pop_Census_2023!$A$2:$E$3220,4,FALSE))),vlookup(B1252,Pop_Census_2023!$A$2:$E$3220,4,FALSE), vlookup(B1252,Pop_Census_2023!$A$2:$E$3220,5,FALSE))</f>
        <v>51642</v>
      </c>
    </row>
    <row r="1253">
      <c r="A1253" s="47" t="s">
        <v>2830</v>
      </c>
      <c r="B1253" s="47">
        <v>26029.0</v>
      </c>
      <c r="C1253" s="47">
        <v>6.0</v>
      </c>
      <c r="D1253" s="47" t="s">
        <v>4044</v>
      </c>
      <c r="E1253" s="47" t="str">
        <f t="shared" si="1"/>
        <v>6A</v>
      </c>
      <c r="F1253" s="47" t="s">
        <v>4054</v>
      </c>
      <c r="G1253" s="47" t="s">
        <v>973</v>
      </c>
      <c r="H1253" s="48">
        <f>IF(NOT(ISBLANK(vlookup(B1253,Pop_Census_2023!$A$2:$E$3220,4,FALSE))),vlookup(B1253,Pop_Census_2023!$A$2:$E$3220,4,FALSE), vlookup(B1253,Pop_Census_2023!$A$2:$E$3220,5,FALSE))</f>
        <v>26159</v>
      </c>
    </row>
    <row r="1254">
      <c r="A1254" s="47" t="s">
        <v>2830</v>
      </c>
      <c r="B1254" s="47">
        <v>26031.0</v>
      </c>
      <c r="C1254" s="47">
        <v>6.0</v>
      </c>
      <c r="D1254" s="47" t="s">
        <v>4044</v>
      </c>
      <c r="E1254" s="47" t="str">
        <f t="shared" si="1"/>
        <v>6A</v>
      </c>
      <c r="F1254" s="47" t="s">
        <v>4054</v>
      </c>
      <c r="G1254" s="47" t="s">
        <v>974</v>
      </c>
      <c r="H1254" s="48">
        <f>IF(NOT(ISBLANK(vlookup(B1254,Pop_Census_2023!$A$2:$E$3220,4,FALSE))),vlookup(B1254,Pop_Census_2023!$A$2:$E$3220,4,FALSE), vlookup(B1254,Pop_Census_2023!$A$2:$E$3220,5,FALSE))</f>
        <v>26048</v>
      </c>
    </row>
    <row r="1255">
      <c r="A1255" s="47" t="s">
        <v>2830</v>
      </c>
      <c r="B1255" s="47">
        <v>26033.0</v>
      </c>
      <c r="C1255" s="47">
        <v>7.0</v>
      </c>
      <c r="D1255" s="47" t="s">
        <v>4014</v>
      </c>
      <c r="E1255" s="47">
        <f t="shared" si="1"/>
        <v>7</v>
      </c>
      <c r="F1255" s="47" t="s">
        <v>4015</v>
      </c>
      <c r="G1255" s="47" t="s">
        <v>975</v>
      </c>
      <c r="H1255" s="48">
        <f>IF(NOT(ISBLANK(vlookup(B1255,Pop_Census_2023!$A$2:$E$3220,4,FALSE))),vlookup(B1255,Pop_Census_2023!$A$2:$E$3220,4,FALSE), vlookup(B1255,Pop_Census_2023!$A$2:$E$3220,5,FALSE))</f>
        <v>36264</v>
      </c>
    </row>
    <row r="1256">
      <c r="A1256" s="47" t="s">
        <v>2830</v>
      </c>
      <c r="B1256" s="47">
        <v>26035.0</v>
      </c>
      <c r="C1256" s="47">
        <v>6.0</v>
      </c>
      <c r="D1256" s="47" t="s">
        <v>4044</v>
      </c>
      <c r="E1256" s="47" t="str">
        <f t="shared" si="1"/>
        <v>6A</v>
      </c>
      <c r="F1256" s="47" t="s">
        <v>4054</v>
      </c>
      <c r="G1256" s="47" t="s">
        <v>976</v>
      </c>
      <c r="H1256" s="48">
        <f>IF(NOT(ISBLANK(vlookup(B1256,Pop_Census_2023!$A$2:$E$3220,4,FALSE))),vlookup(B1256,Pop_Census_2023!$A$2:$E$3220,4,FALSE), vlookup(B1256,Pop_Census_2023!$A$2:$E$3220,5,FALSE))</f>
        <v>31316</v>
      </c>
    </row>
    <row r="1257">
      <c r="A1257" s="47" t="s">
        <v>2830</v>
      </c>
      <c r="B1257" s="47">
        <v>26037.0</v>
      </c>
      <c r="C1257" s="47">
        <v>5.0</v>
      </c>
      <c r="D1257" s="47" t="s">
        <v>4044</v>
      </c>
      <c r="E1257" s="47" t="str">
        <f t="shared" si="1"/>
        <v>5A</v>
      </c>
      <c r="F1257" s="47" t="s">
        <v>4054</v>
      </c>
      <c r="G1257" s="47" t="s">
        <v>616</v>
      </c>
      <c r="H1257" s="48">
        <f>IF(NOT(ISBLANK(vlookup(B1257,Pop_Census_2023!$A$2:$E$3220,4,FALSE))),vlookup(B1257,Pop_Census_2023!$A$2:$E$3220,4,FALSE), vlookup(B1257,Pop_Census_2023!$A$2:$E$3220,5,FALSE))</f>
        <v>79720</v>
      </c>
    </row>
    <row r="1258">
      <c r="A1258" s="47" t="s">
        <v>2830</v>
      </c>
      <c r="B1258" s="47">
        <v>26039.0</v>
      </c>
      <c r="C1258" s="47">
        <v>6.0</v>
      </c>
      <c r="D1258" s="47" t="s">
        <v>4044</v>
      </c>
      <c r="E1258" s="47" t="str">
        <f t="shared" si="1"/>
        <v>6A</v>
      </c>
      <c r="F1258" s="47" t="s">
        <v>4054</v>
      </c>
      <c r="G1258" s="47" t="s">
        <v>234</v>
      </c>
      <c r="H1258" s="48">
        <f>IF(NOT(ISBLANK(vlookup(B1258,Pop_Census_2023!$A$2:$E$3220,4,FALSE))),vlookup(B1258,Pop_Census_2023!$A$2:$E$3220,4,FALSE), vlookup(B1258,Pop_Census_2023!$A$2:$E$3220,5,FALSE))</f>
        <v>13538</v>
      </c>
    </row>
    <row r="1259">
      <c r="A1259" s="47" t="s">
        <v>2830</v>
      </c>
      <c r="B1259" s="47">
        <v>26041.0</v>
      </c>
      <c r="C1259" s="47">
        <v>6.0</v>
      </c>
      <c r="D1259" s="47" t="s">
        <v>4044</v>
      </c>
      <c r="E1259" s="47" t="str">
        <f t="shared" si="1"/>
        <v>6A</v>
      </c>
      <c r="F1259" s="47" t="s">
        <v>4054</v>
      </c>
      <c r="G1259" s="47" t="s">
        <v>354</v>
      </c>
      <c r="H1259" s="48">
        <f>IF(NOT(ISBLANK(vlookup(B1259,Pop_Census_2023!$A$2:$E$3220,4,FALSE))),vlookup(B1259,Pop_Census_2023!$A$2:$E$3220,4,FALSE), vlookup(B1259,Pop_Census_2023!$A$2:$E$3220,5,FALSE))</f>
        <v>36790</v>
      </c>
    </row>
    <row r="1260">
      <c r="A1260" s="47" t="s">
        <v>2830</v>
      </c>
      <c r="B1260" s="47">
        <v>26043.0</v>
      </c>
      <c r="C1260" s="47">
        <v>6.0</v>
      </c>
      <c r="D1260" s="47" t="s">
        <v>4044</v>
      </c>
      <c r="E1260" s="47" t="str">
        <f t="shared" si="1"/>
        <v>6A</v>
      </c>
      <c r="F1260" s="47" t="s">
        <v>4054</v>
      </c>
      <c r="G1260" s="47" t="s">
        <v>719</v>
      </c>
      <c r="H1260" s="48">
        <f>IF(NOT(ISBLANK(vlookup(B1260,Pop_Census_2023!$A$2:$E$3220,4,FALSE))),vlookup(B1260,Pop_Census_2023!$A$2:$E$3220,4,FALSE), vlookup(B1260,Pop_Census_2023!$A$2:$E$3220,5,FALSE))</f>
        <v>25982</v>
      </c>
    </row>
    <row r="1261">
      <c r="A1261" s="47" t="s">
        <v>2830</v>
      </c>
      <c r="B1261" s="47">
        <v>26045.0</v>
      </c>
      <c r="C1261" s="47">
        <v>5.0</v>
      </c>
      <c r="D1261" s="47" t="s">
        <v>4044</v>
      </c>
      <c r="E1261" s="47" t="str">
        <f t="shared" si="1"/>
        <v>5A</v>
      </c>
      <c r="F1261" s="47" t="s">
        <v>4054</v>
      </c>
      <c r="G1261" s="47" t="s">
        <v>977</v>
      </c>
      <c r="H1261" s="48">
        <f>IF(NOT(ISBLANK(vlookup(B1261,Pop_Census_2023!$A$2:$E$3220,4,FALSE))),vlookup(B1261,Pop_Census_2023!$A$2:$E$3220,4,FALSE), vlookup(B1261,Pop_Census_2023!$A$2:$E$3220,5,FALSE))</f>
        <v>108820</v>
      </c>
    </row>
    <row r="1262">
      <c r="A1262" s="47" t="s">
        <v>2830</v>
      </c>
      <c r="B1262" s="47">
        <v>26047.0</v>
      </c>
      <c r="C1262" s="47">
        <v>6.0</v>
      </c>
      <c r="D1262" s="47" t="s">
        <v>4044</v>
      </c>
      <c r="E1262" s="47" t="str">
        <f t="shared" si="1"/>
        <v>6A</v>
      </c>
      <c r="F1262" s="47" t="s">
        <v>4054</v>
      </c>
      <c r="G1262" s="47" t="s">
        <v>721</v>
      </c>
      <c r="H1262" s="48">
        <f>IF(NOT(ISBLANK(vlookup(B1262,Pop_Census_2023!$A$2:$E$3220,4,FALSE))),vlookup(B1262,Pop_Census_2023!$A$2:$E$3220,4,FALSE), vlookup(B1262,Pop_Census_2023!$A$2:$E$3220,5,FALSE))</f>
        <v>34123</v>
      </c>
    </row>
    <row r="1263">
      <c r="A1263" s="47" t="s">
        <v>2830</v>
      </c>
      <c r="B1263" s="47">
        <v>26049.0</v>
      </c>
      <c r="C1263" s="47">
        <v>5.0</v>
      </c>
      <c r="D1263" s="47" t="s">
        <v>4044</v>
      </c>
      <c r="E1263" s="47" t="str">
        <f t="shared" si="1"/>
        <v>5A</v>
      </c>
      <c r="F1263" s="47" t="s">
        <v>4054</v>
      </c>
      <c r="G1263" s="47" t="s">
        <v>978</v>
      </c>
      <c r="H1263" s="48">
        <f>IF(NOT(ISBLANK(vlookup(B1263,Pop_Census_2023!$A$2:$E$3220,4,FALSE))),vlookup(B1263,Pop_Census_2023!$A$2:$E$3220,4,FALSE), vlookup(B1263,Pop_Census_2023!$A$2:$E$3220,5,FALSE))</f>
        <v>401522</v>
      </c>
    </row>
    <row r="1264">
      <c r="A1264" s="47" t="s">
        <v>2830</v>
      </c>
      <c r="B1264" s="47">
        <v>26051.0</v>
      </c>
      <c r="C1264" s="47">
        <v>6.0</v>
      </c>
      <c r="D1264" s="47" t="s">
        <v>4044</v>
      </c>
      <c r="E1264" s="47" t="str">
        <f t="shared" si="1"/>
        <v>6A</v>
      </c>
      <c r="F1264" s="47" t="s">
        <v>4054</v>
      </c>
      <c r="G1264" s="47" t="s">
        <v>979</v>
      </c>
      <c r="H1264" s="48">
        <f>IF(NOT(ISBLANK(vlookup(B1264,Pop_Census_2023!$A$2:$E$3220,4,FALSE))),vlookup(B1264,Pop_Census_2023!$A$2:$E$3220,4,FALSE), vlookup(B1264,Pop_Census_2023!$A$2:$E$3220,5,FALSE))</f>
        <v>25853</v>
      </c>
    </row>
    <row r="1265">
      <c r="A1265" s="47" t="s">
        <v>2830</v>
      </c>
      <c r="B1265" s="47">
        <v>26053.0</v>
      </c>
      <c r="C1265" s="47">
        <v>7.0</v>
      </c>
      <c r="D1265" s="47" t="s">
        <v>4014</v>
      </c>
      <c r="E1265" s="47">
        <f t="shared" si="1"/>
        <v>7</v>
      </c>
      <c r="F1265" s="47" t="s">
        <v>4015</v>
      </c>
      <c r="G1265" s="47" t="s">
        <v>980</v>
      </c>
      <c r="H1265" s="48">
        <f>IF(NOT(ISBLANK(vlookup(B1265,Pop_Census_2023!$A$2:$E$3220,4,FALSE))),vlookup(B1265,Pop_Census_2023!$A$2:$E$3220,4,FALSE), vlookup(B1265,Pop_Census_2023!$A$2:$E$3220,5,FALSE))</f>
        <v>14224</v>
      </c>
    </row>
    <row r="1266">
      <c r="A1266" s="47" t="s">
        <v>2830</v>
      </c>
      <c r="B1266" s="47">
        <v>26055.0</v>
      </c>
      <c r="C1266" s="47">
        <v>6.0</v>
      </c>
      <c r="D1266" s="47" t="s">
        <v>4044</v>
      </c>
      <c r="E1266" s="47" t="str">
        <f t="shared" si="1"/>
        <v>6A</v>
      </c>
      <c r="F1266" s="47" t="s">
        <v>4054</v>
      </c>
      <c r="G1266" s="47" t="s">
        <v>981</v>
      </c>
      <c r="H1266" s="48">
        <f>IF(NOT(ISBLANK(vlookup(B1266,Pop_Census_2023!$A$2:$E$3220,4,FALSE))),vlookup(B1266,Pop_Census_2023!$A$2:$E$3220,4,FALSE), vlookup(B1266,Pop_Census_2023!$A$2:$E$3220,5,FALSE))</f>
        <v>96421</v>
      </c>
    </row>
    <row r="1267">
      <c r="A1267" s="47" t="s">
        <v>2830</v>
      </c>
      <c r="B1267" s="47">
        <v>26057.0</v>
      </c>
      <c r="C1267" s="47">
        <v>5.0</v>
      </c>
      <c r="D1267" s="47" t="s">
        <v>4044</v>
      </c>
      <c r="E1267" s="47" t="str">
        <f t="shared" si="1"/>
        <v>5A</v>
      </c>
      <c r="F1267" s="47" t="s">
        <v>4054</v>
      </c>
      <c r="G1267" s="47" t="s">
        <v>982</v>
      </c>
      <c r="H1267" s="48">
        <f>IF(NOT(ISBLANK(vlookup(B1267,Pop_Census_2023!$A$2:$E$3220,4,FALSE))),vlookup(B1267,Pop_Census_2023!$A$2:$E$3220,4,FALSE), vlookup(B1267,Pop_Census_2023!$A$2:$E$3220,5,FALSE))</f>
        <v>41368</v>
      </c>
    </row>
    <row r="1268">
      <c r="A1268" s="47" t="s">
        <v>2830</v>
      </c>
      <c r="B1268" s="47">
        <v>26059.0</v>
      </c>
      <c r="C1268" s="47">
        <v>5.0</v>
      </c>
      <c r="D1268" s="47" t="s">
        <v>4044</v>
      </c>
      <c r="E1268" s="47" t="str">
        <f t="shared" si="1"/>
        <v>5A</v>
      </c>
      <c r="F1268" s="47" t="s">
        <v>4054</v>
      </c>
      <c r="G1268" s="47" t="s">
        <v>983</v>
      </c>
      <c r="H1268" s="48">
        <f>IF(NOT(ISBLANK(vlookup(B1268,Pop_Census_2023!$A$2:$E$3220,4,FALSE))),vlookup(B1268,Pop_Census_2023!$A$2:$E$3220,4,FALSE), vlookup(B1268,Pop_Census_2023!$A$2:$E$3220,5,FALSE))</f>
        <v>45587</v>
      </c>
    </row>
    <row r="1269">
      <c r="A1269" s="47" t="s">
        <v>2830</v>
      </c>
      <c r="B1269" s="47">
        <v>26061.0</v>
      </c>
      <c r="C1269" s="47">
        <v>7.0</v>
      </c>
      <c r="D1269" s="47" t="s">
        <v>4014</v>
      </c>
      <c r="E1269" s="47">
        <f t="shared" si="1"/>
        <v>7</v>
      </c>
      <c r="F1269" s="47" t="s">
        <v>4015</v>
      </c>
      <c r="G1269" s="47" t="s">
        <v>984</v>
      </c>
      <c r="H1269" s="48">
        <f>IF(NOT(ISBLANK(vlookup(B1269,Pop_Census_2023!$A$2:$E$3220,4,FALSE))),vlookup(B1269,Pop_Census_2023!$A$2:$E$3220,4,FALSE), vlookup(B1269,Pop_Census_2023!$A$2:$E$3220,5,FALSE))</f>
        <v>37599</v>
      </c>
    </row>
    <row r="1270">
      <c r="A1270" s="47" t="s">
        <v>2830</v>
      </c>
      <c r="B1270" s="47">
        <v>26063.0</v>
      </c>
      <c r="C1270" s="47">
        <v>6.0</v>
      </c>
      <c r="D1270" s="47" t="s">
        <v>4044</v>
      </c>
      <c r="E1270" s="47" t="str">
        <f t="shared" si="1"/>
        <v>6A</v>
      </c>
      <c r="F1270" s="47" t="s">
        <v>4054</v>
      </c>
      <c r="G1270" s="47" t="s">
        <v>985</v>
      </c>
      <c r="H1270" s="48">
        <f>IF(NOT(ISBLANK(vlookup(B1270,Pop_Census_2023!$A$2:$E$3220,4,FALSE))),vlookup(B1270,Pop_Census_2023!$A$2:$E$3220,4,FALSE), vlookup(B1270,Pop_Census_2023!$A$2:$E$3220,5,FALSE))</f>
        <v>30927</v>
      </c>
    </row>
    <row r="1271">
      <c r="A1271" s="47" t="s">
        <v>2830</v>
      </c>
      <c r="B1271" s="47">
        <v>26065.0</v>
      </c>
      <c r="C1271" s="47">
        <v>5.0</v>
      </c>
      <c r="D1271" s="47" t="s">
        <v>4044</v>
      </c>
      <c r="E1271" s="47" t="str">
        <f t="shared" si="1"/>
        <v>5A</v>
      </c>
      <c r="F1271" s="47" t="s">
        <v>4054</v>
      </c>
      <c r="G1271" s="47" t="s">
        <v>986</v>
      </c>
      <c r="H1271" s="48">
        <f>IF(NOT(ISBLANK(vlookup(B1271,Pop_Census_2023!$A$2:$E$3220,4,FALSE))),vlookup(B1271,Pop_Census_2023!$A$2:$E$3220,4,FALSE), vlookup(B1271,Pop_Census_2023!$A$2:$E$3220,5,FALSE))</f>
        <v>284637</v>
      </c>
    </row>
    <row r="1272">
      <c r="A1272" s="47" t="s">
        <v>2830</v>
      </c>
      <c r="B1272" s="47">
        <v>26067.0</v>
      </c>
      <c r="C1272" s="47">
        <v>5.0</v>
      </c>
      <c r="D1272" s="47" t="s">
        <v>4044</v>
      </c>
      <c r="E1272" s="47" t="str">
        <f t="shared" si="1"/>
        <v>5A</v>
      </c>
      <c r="F1272" s="47" t="s">
        <v>4054</v>
      </c>
      <c r="G1272" s="47" t="s">
        <v>987</v>
      </c>
      <c r="H1272" s="48">
        <f>IF(NOT(ISBLANK(vlookup(B1272,Pop_Census_2023!$A$2:$E$3220,4,FALSE))),vlookup(B1272,Pop_Census_2023!$A$2:$E$3220,4,FALSE), vlookup(B1272,Pop_Census_2023!$A$2:$E$3220,5,FALSE))</f>
        <v>66262</v>
      </c>
    </row>
    <row r="1273">
      <c r="A1273" s="47" t="s">
        <v>2830</v>
      </c>
      <c r="B1273" s="47">
        <v>26069.0</v>
      </c>
      <c r="C1273" s="47">
        <v>6.0</v>
      </c>
      <c r="D1273" s="47" t="s">
        <v>4044</v>
      </c>
      <c r="E1273" s="47" t="str">
        <f t="shared" si="1"/>
        <v>6A</v>
      </c>
      <c r="F1273" s="47" t="s">
        <v>4054</v>
      </c>
      <c r="G1273" s="47" t="s">
        <v>988</v>
      </c>
      <c r="H1273" s="48">
        <f>IF(NOT(ISBLANK(vlookup(B1273,Pop_Census_2023!$A$2:$E$3220,4,FALSE))),vlookup(B1273,Pop_Census_2023!$A$2:$E$3220,4,FALSE), vlookup(B1273,Pop_Census_2023!$A$2:$E$3220,5,FALSE))</f>
        <v>25373</v>
      </c>
    </row>
    <row r="1274">
      <c r="A1274" s="47" t="s">
        <v>2830</v>
      </c>
      <c r="B1274" s="47">
        <v>26071.0</v>
      </c>
      <c r="C1274" s="47">
        <v>7.0</v>
      </c>
      <c r="D1274" s="47" t="s">
        <v>4014</v>
      </c>
      <c r="E1274" s="47">
        <f t="shared" si="1"/>
        <v>7</v>
      </c>
      <c r="F1274" s="47" t="s">
        <v>4015</v>
      </c>
      <c r="G1274" s="47" t="s">
        <v>989</v>
      </c>
      <c r="H1274" s="48">
        <f>IF(NOT(ISBLANK(vlookup(B1274,Pop_Census_2023!$A$2:$E$3220,4,FALSE))),vlookup(B1274,Pop_Census_2023!$A$2:$E$3220,4,FALSE), vlookup(B1274,Pop_Census_2023!$A$2:$E$3220,5,FALSE))</f>
        <v>11740</v>
      </c>
    </row>
    <row r="1275">
      <c r="A1275" s="47" t="s">
        <v>2830</v>
      </c>
      <c r="B1275" s="47">
        <v>26073.0</v>
      </c>
      <c r="C1275" s="47">
        <v>6.0</v>
      </c>
      <c r="D1275" s="47" t="s">
        <v>4044</v>
      </c>
      <c r="E1275" s="47" t="str">
        <f t="shared" si="1"/>
        <v>6A</v>
      </c>
      <c r="F1275" s="47" t="s">
        <v>4054</v>
      </c>
      <c r="G1275" s="47" t="s">
        <v>990</v>
      </c>
      <c r="H1275" s="48">
        <f>IF(NOT(ISBLANK(vlookup(B1275,Pop_Census_2023!$A$2:$E$3220,4,FALSE))),vlookup(B1275,Pop_Census_2023!$A$2:$E$3220,4,FALSE), vlookup(B1275,Pop_Census_2023!$A$2:$E$3220,5,FALSE))</f>
        <v>64118</v>
      </c>
    </row>
    <row r="1276">
      <c r="A1276" s="47" t="s">
        <v>2830</v>
      </c>
      <c r="B1276" s="47">
        <v>26075.0</v>
      </c>
      <c r="C1276" s="47">
        <v>5.0</v>
      </c>
      <c r="D1276" s="47" t="s">
        <v>4044</v>
      </c>
      <c r="E1276" s="47" t="str">
        <f t="shared" si="1"/>
        <v>5A</v>
      </c>
      <c r="F1276" s="47" t="s">
        <v>4054</v>
      </c>
      <c r="G1276" s="47" t="s">
        <v>138</v>
      </c>
      <c r="H1276" s="48">
        <f>IF(NOT(ISBLANK(vlookup(B1276,Pop_Census_2023!$A$2:$E$3220,4,FALSE))),vlookup(B1276,Pop_Census_2023!$A$2:$E$3220,4,FALSE), vlookup(B1276,Pop_Census_2023!$A$2:$E$3220,5,FALSE))</f>
        <v>159424</v>
      </c>
    </row>
    <row r="1277">
      <c r="A1277" s="47" t="s">
        <v>2830</v>
      </c>
      <c r="B1277" s="47">
        <v>26077.0</v>
      </c>
      <c r="C1277" s="47">
        <v>5.0</v>
      </c>
      <c r="D1277" s="47" t="s">
        <v>4044</v>
      </c>
      <c r="E1277" s="47" t="str">
        <f t="shared" si="1"/>
        <v>5A</v>
      </c>
      <c r="F1277" s="47" t="s">
        <v>4054</v>
      </c>
      <c r="G1277" s="47" t="s">
        <v>991</v>
      </c>
      <c r="H1277" s="48">
        <f>IF(NOT(ISBLANK(vlookup(B1277,Pop_Census_2023!$A$2:$E$3220,4,FALSE))),vlookup(B1277,Pop_Census_2023!$A$2:$E$3220,4,FALSE), vlookup(B1277,Pop_Census_2023!$A$2:$E$3220,5,FALSE))</f>
        <v>262215</v>
      </c>
    </row>
    <row r="1278">
      <c r="A1278" s="47" t="s">
        <v>2830</v>
      </c>
      <c r="B1278" s="47">
        <v>26079.0</v>
      </c>
      <c r="C1278" s="47">
        <v>6.0</v>
      </c>
      <c r="D1278" s="47" t="s">
        <v>4044</v>
      </c>
      <c r="E1278" s="47" t="str">
        <f t="shared" si="1"/>
        <v>6A</v>
      </c>
      <c r="F1278" s="47" t="s">
        <v>4054</v>
      </c>
      <c r="G1278" s="47" t="s">
        <v>992</v>
      </c>
      <c r="H1278" s="48">
        <f>IF(NOT(ISBLANK(vlookup(B1278,Pop_Census_2023!$A$2:$E$3220,4,FALSE))),vlookup(B1278,Pop_Census_2023!$A$2:$E$3220,4,FALSE), vlookup(B1278,Pop_Census_2023!$A$2:$E$3220,5,FALSE))</f>
        <v>18490</v>
      </c>
    </row>
    <row r="1279">
      <c r="A1279" s="47" t="s">
        <v>2830</v>
      </c>
      <c r="B1279" s="47">
        <v>26081.0</v>
      </c>
      <c r="C1279" s="47">
        <v>5.0</v>
      </c>
      <c r="D1279" s="47" t="s">
        <v>4044</v>
      </c>
      <c r="E1279" s="47" t="str">
        <f t="shared" si="1"/>
        <v>5A</v>
      </c>
      <c r="F1279" s="47" t="s">
        <v>4054</v>
      </c>
      <c r="G1279" s="47" t="s">
        <v>404</v>
      </c>
      <c r="H1279" s="48">
        <f>IF(NOT(ISBLANK(vlookup(B1279,Pop_Census_2023!$A$2:$E$3220,4,FALSE))),vlookup(B1279,Pop_Census_2023!$A$2:$E$3220,4,FALSE), vlookup(B1279,Pop_Census_2023!$A$2:$E$3220,5,FALSE))</f>
        <v>661354</v>
      </c>
    </row>
    <row r="1280">
      <c r="A1280" s="47" t="s">
        <v>2830</v>
      </c>
      <c r="B1280" s="47">
        <v>26083.0</v>
      </c>
      <c r="C1280" s="47">
        <v>7.0</v>
      </c>
      <c r="D1280" s="47" t="s">
        <v>4014</v>
      </c>
      <c r="E1280" s="47">
        <f t="shared" si="1"/>
        <v>7</v>
      </c>
      <c r="F1280" s="47" t="s">
        <v>4015</v>
      </c>
      <c r="G1280" s="47" t="s">
        <v>993</v>
      </c>
      <c r="H1280" s="48">
        <f>IF(NOT(ISBLANK(vlookup(B1280,Pop_Census_2023!$A$2:$E$3220,4,FALSE))),vlookup(B1280,Pop_Census_2023!$A$2:$E$3220,4,FALSE), vlookup(B1280,Pop_Census_2023!$A$2:$E$3220,5,FALSE))</f>
        <v>2172</v>
      </c>
    </row>
    <row r="1281">
      <c r="A1281" s="47" t="s">
        <v>2830</v>
      </c>
      <c r="B1281" s="47">
        <v>26085.0</v>
      </c>
      <c r="C1281" s="47">
        <v>6.0</v>
      </c>
      <c r="D1281" s="47" t="s">
        <v>4044</v>
      </c>
      <c r="E1281" s="47" t="str">
        <f t="shared" si="1"/>
        <v>6A</v>
      </c>
      <c r="F1281" s="47" t="s">
        <v>4054</v>
      </c>
      <c r="G1281" s="47" t="s">
        <v>298</v>
      </c>
      <c r="H1281" s="48">
        <f>IF(NOT(ISBLANK(vlookup(B1281,Pop_Census_2023!$A$2:$E$3220,4,FALSE))),vlookup(B1281,Pop_Census_2023!$A$2:$E$3220,4,FALSE), vlookup(B1281,Pop_Census_2023!$A$2:$E$3220,5,FALSE))</f>
        <v>12734</v>
      </c>
    </row>
    <row r="1282">
      <c r="A1282" s="47" t="s">
        <v>2830</v>
      </c>
      <c r="B1282" s="47">
        <v>26087.0</v>
      </c>
      <c r="C1282" s="47">
        <v>5.0</v>
      </c>
      <c r="D1282" s="47" t="s">
        <v>4044</v>
      </c>
      <c r="E1282" s="47" t="str">
        <f t="shared" si="1"/>
        <v>5A</v>
      </c>
      <c r="F1282" s="47" t="s">
        <v>4054</v>
      </c>
      <c r="G1282" s="47" t="s">
        <v>994</v>
      </c>
      <c r="H1282" s="48">
        <f>IF(NOT(ISBLANK(vlookup(B1282,Pop_Census_2023!$A$2:$E$3220,4,FALSE))),vlookup(B1282,Pop_Census_2023!$A$2:$E$3220,4,FALSE), vlookup(B1282,Pop_Census_2023!$A$2:$E$3220,5,FALSE))</f>
        <v>88977</v>
      </c>
    </row>
    <row r="1283">
      <c r="A1283" s="47" t="s">
        <v>2830</v>
      </c>
      <c r="B1283" s="47">
        <v>26089.0</v>
      </c>
      <c r="C1283" s="47">
        <v>6.0</v>
      </c>
      <c r="D1283" s="47" t="s">
        <v>4044</v>
      </c>
      <c r="E1283" s="47" t="str">
        <f t="shared" si="1"/>
        <v>6A</v>
      </c>
      <c r="F1283" s="47" t="s">
        <v>4054</v>
      </c>
      <c r="G1283" s="47" t="s">
        <v>995</v>
      </c>
      <c r="H1283" s="48">
        <f>IF(NOT(ISBLANK(vlookup(B1283,Pop_Census_2023!$A$2:$E$3220,4,FALSE))),vlookup(B1283,Pop_Census_2023!$A$2:$E$3220,4,FALSE), vlookup(B1283,Pop_Census_2023!$A$2:$E$3220,5,FALSE))</f>
        <v>23019</v>
      </c>
    </row>
    <row r="1284">
      <c r="A1284" s="47" t="s">
        <v>2830</v>
      </c>
      <c r="B1284" s="47">
        <v>26091.0</v>
      </c>
      <c r="C1284" s="47">
        <v>5.0</v>
      </c>
      <c r="D1284" s="47" t="s">
        <v>4044</v>
      </c>
      <c r="E1284" s="47" t="str">
        <f t="shared" si="1"/>
        <v>5A</v>
      </c>
      <c r="F1284" s="47" t="s">
        <v>4054</v>
      </c>
      <c r="G1284" s="47" t="s">
        <v>996</v>
      </c>
      <c r="H1284" s="48">
        <f>IF(NOT(ISBLANK(vlookup(B1284,Pop_Census_2023!$A$2:$E$3220,4,FALSE))),vlookup(B1284,Pop_Census_2023!$A$2:$E$3220,4,FALSE), vlookup(B1284,Pop_Census_2023!$A$2:$E$3220,5,FALSE))</f>
        <v>97520</v>
      </c>
    </row>
    <row r="1285">
      <c r="A1285" s="47" t="s">
        <v>2830</v>
      </c>
      <c r="B1285" s="47">
        <v>26093.0</v>
      </c>
      <c r="C1285" s="47">
        <v>5.0</v>
      </c>
      <c r="D1285" s="47" t="s">
        <v>4044</v>
      </c>
      <c r="E1285" s="47" t="str">
        <f t="shared" si="1"/>
        <v>5A</v>
      </c>
      <c r="F1285" s="47" t="s">
        <v>4054</v>
      </c>
      <c r="G1285" s="47" t="s">
        <v>636</v>
      </c>
      <c r="H1285" s="48">
        <f>IF(NOT(ISBLANK(vlookup(B1285,Pop_Census_2023!$A$2:$E$3220,4,FALSE))),vlookup(B1285,Pop_Census_2023!$A$2:$E$3220,4,FALSE), vlookup(B1285,Pop_Census_2023!$A$2:$E$3220,5,FALSE))</f>
        <v>196757</v>
      </c>
    </row>
    <row r="1286">
      <c r="A1286" s="47" t="s">
        <v>2830</v>
      </c>
      <c r="B1286" s="47">
        <v>26095.0</v>
      </c>
      <c r="C1286" s="47">
        <v>7.0</v>
      </c>
      <c r="D1286" s="47" t="s">
        <v>4014</v>
      </c>
      <c r="E1286" s="47">
        <f t="shared" si="1"/>
        <v>7</v>
      </c>
      <c r="F1286" s="47" t="s">
        <v>4015</v>
      </c>
      <c r="G1286" s="47" t="s">
        <v>997</v>
      </c>
      <c r="H1286" s="48">
        <f>IF(NOT(ISBLANK(vlookup(B1286,Pop_Census_2023!$A$2:$E$3220,4,FALSE))),vlookup(B1286,Pop_Census_2023!$A$2:$E$3220,4,FALSE), vlookup(B1286,Pop_Census_2023!$A$2:$E$3220,5,FALSE))</f>
        <v>6435</v>
      </c>
    </row>
    <row r="1287">
      <c r="A1287" s="47" t="s">
        <v>2830</v>
      </c>
      <c r="B1287" s="47">
        <v>26097.0</v>
      </c>
      <c r="C1287" s="47">
        <v>7.0</v>
      </c>
      <c r="D1287" s="47" t="s">
        <v>4014</v>
      </c>
      <c r="E1287" s="47">
        <f t="shared" si="1"/>
        <v>7</v>
      </c>
      <c r="F1287" s="47" t="s">
        <v>4015</v>
      </c>
      <c r="G1287" s="47" t="s">
        <v>998</v>
      </c>
      <c r="H1287" s="48">
        <f>IF(NOT(ISBLANK(vlookup(B1287,Pop_Census_2023!$A$2:$E$3220,4,FALSE))),vlookup(B1287,Pop_Census_2023!$A$2:$E$3220,4,FALSE), vlookup(B1287,Pop_Census_2023!$A$2:$E$3220,5,FALSE))</f>
        <v>10851</v>
      </c>
    </row>
    <row r="1288">
      <c r="A1288" s="47" t="s">
        <v>2830</v>
      </c>
      <c r="B1288" s="47">
        <v>26099.0</v>
      </c>
      <c r="C1288" s="47">
        <v>5.0</v>
      </c>
      <c r="D1288" s="47" t="s">
        <v>4044</v>
      </c>
      <c r="E1288" s="47" t="str">
        <f t="shared" si="1"/>
        <v>5A</v>
      </c>
      <c r="F1288" s="47" t="s">
        <v>4054</v>
      </c>
      <c r="G1288" s="47" t="s">
        <v>999</v>
      </c>
      <c r="H1288" s="48">
        <f>IF(NOT(ISBLANK(vlookup(B1288,Pop_Census_2023!$A$2:$E$3220,4,FALSE))),vlookup(B1288,Pop_Census_2023!$A$2:$E$3220,4,FALSE), vlookup(B1288,Pop_Census_2023!$A$2:$E$3220,5,FALSE))</f>
        <v>875101</v>
      </c>
    </row>
    <row r="1289">
      <c r="A1289" s="47" t="s">
        <v>2830</v>
      </c>
      <c r="B1289" s="47">
        <v>26101.0</v>
      </c>
      <c r="C1289" s="47">
        <v>6.0</v>
      </c>
      <c r="D1289" s="47" t="s">
        <v>4044</v>
      </c>
      <c r="E1289" s="47" t="str">
        <f t="shared" si="1"/>
        <v>6A</v>
      </c>
      <c r="F1289" s="47" t="s">
        <v>4054</v>
      </c>
      <c r="G1289" s="47" t="s">
        <v>1000</v>
      </c>
      <c r="H1289" s="48">
        <f>IF(NOT(ISBLANK(vlookup(B1289,Pop_Census_2023!$A$2:$E$3220,4,FALSE))),vlookup(B1289,Pop_Census_2023!$A$2:$E$3220,4,FALSE), vlookup(B1289,Pop_Census_2023!$A$2:$E$3220,5,FALSE))</f>
        <v>25562</v>
      </c>
    </row>
    <row r="1290">
      <c r="A1290" s="47" t="s">
        <v>2830</v>
      </c>
      <c r="B1290" s="47">
        <v>26103.0</v>
      </c>
      <c r="C1290" s="47">
        <v>6.0</v>
      </c>
      <c r="D1290" s="47" t="s">
        <v>4044</v>
      </c>
      <c r="E1290" s="47" t="str">
        <f t="shared" si="1"/>
        <v>6A</v>
      </c>
      <c r="F1290" s="47" t="s">
        <v>4054</v>
      </c>
      <c r="G1290" s="47" t="s">
        <v>1001</v>
      </c>
      <c r="H1290" s="48">
        <f>IF(NOT(ISBLANK(vlookup(B1290,Pop_Census_2023!$A$2:$E$3220,4,FALSE))),vlookup(B1290,Pop_Census_2023!$A$2:$E$3220,4,FALSE), vlookup(B1290,Pop_Census_2023!$A$2:$E$3220,5,FALSE))</f>
        <v>66999</v>
      </c>
    </row>
    <row r="1291">
      <c r="A1291" s="47" t="s">
        <v>2830</v>
      </c>
      <c r="B1291" s="47">
        <v>26105.0</v>
      </c>
      <c r="C1291" s="47">
        <v>6.0</v>
      </c>
      <c r="D1291" s="47" t="s">
        <v>4044</v>
      </c>
      <c r="E1291" s="47" t="str">
        <f t="shared" si="1"/>
        <v>6A</v>
      </c>
      <c r="F1291" s="47" t="s">
        <v>4054</v>
      </c>
      <c r="G1291" s="47" t="s">
        <v>641</v>
      </c>
      <c r="H1291" s="48">
        <f>IF(NOT(ISBLANK(vlookup(B1291,Pop_Census_2023!$A$2:$E$3220,4,FALSE))),vlookup(B1291,Pop_Census_2023!$A$2:$E$3220,4,FALSE), vlookup(B1291,Pop_Census_2023!$A$2:$E$3220,5,FALSE))</f>
        <v>29159</v>
      </c>
    </row>
    <row r="1292">
      <c r="A1292" s="47" t="s">
        <v>2830</v>
      </c>
      <c r="B1292" s="47">
        <v>26107.0</v>
      </c>
      <c r="C1292" s="47">
        <v>6.0</v>
      </c>
      <c r="D1292" s="47" t="s">
        <v>4044</v>
      </c>
      <c r="E1292" s="47" t="str">
        <f t="shared" si="1"/>
        <v>6A</v>
      </c>
      <c r="F1292" s="47" t="s">
        <v>4054</v>
      </c>
      <c r="G1292" s="47" t="s">
        <v>1002</v>
      </c>
      <c r="H1292" s="48">
        <f>IF(NOT(ISBLANK(vlookup(B1292,Pop_Census_2023!$A$2:$E$3220,4,FALSE))),vlookup(B1292,Pop_Census_2023!$A$2:$E$3220,4,FALSE), vlookup(B1292,Pop_Census_2023!$A$2:$E$3220,5,FALSE))</f>
        <v>41099</v>
      </c>
    </row>
    <row r="1293">
      <c r="A1293" s="47" t="s">
        <v>2830</v>
      </c>
      <c r="B1293" s="47">
        <v>26109.0</v>
      </c>
      <c r="C1293" s="47">
        <v>6.0</v>
      </c>
      <c r="D1293" s="47" t="s">
        <v>4044</v>
      </c>
      <c r="E1293" s="47" t="str">
        <f t="shared" si="1"/>
        <v>6A</v>
      </c>
      <c r="F1293" s="47" t="s">
        <v>4054</v>
      </c>
      <c r="G1293" s="47" t="s">
        <v>1003</v>
      </c>
      <c r="H1293" s="48">
        <f>IF(NOT(ISBLANK(vlookup(B1293,Pop_Census_2023!$A$2:$E$3220,4,FALSE))),vlookup(B1293,Pop_Census_2023!$A$2:$E$3220,4,FALSE), vlookup(B1293,Pop_Census_2023!$A$2:$E$3220,5,FALSE))</f>
        <v>22945</v>
      </c>
    </row>
    <row r="1294">
      <c r="A1294" s="47" t="s">
        <v>2830</v>
      </c>
      <c r="B1294" s="47">
        <v>26111.0</v>
      </c>
      <c r="C1294" s="47">
        <v>5.0</v>
      </c>
      <c r="D1294" s="47" t="s">
        <v>4044</v>
      </c>
      <c r="E1294" s="47" t="str">
        <f t="shared" si="1"/>
        <v>5A</v>
      </c>
      <c r="F1294" s="47" t="s">
        <v>4054</v>
      </c>
      <c r="G1294" s="47" t="s">
        <v>1004</v>
      </c>
      <c r="H1294" s="48">
        <f>IF(NOT(ISBLANK(vlookup(B1294,Pop_Census_2023!$A$2:$E$3220,4,FALSE))),vlookup(B1294,Pop_Census_2023!$A$2:$E$3220,4,FALSE), vlookup(B1294,Pop_Census_2023!$A$2:$E$3220,5,FALSE))</f>
        <v>84039</v>
      </c>
    </row>
    <row r="1295">
      <c r="A1295" s="47" t="s">
        <v>2830</v>
      </c>
      <c r="B1295" s="47">
        <v>26113.0</v>
      </c>
      <c r="C1295" s="47">
        <v>6.0</v>
      </c>
      <c r="D1295" s="47" t="s">
        <v>4044</v>
      </c>
      <c r="E1295" s="47" t="str">
        <f t="shared" si="1"/>
        <v>6A</v>
      </c>
      <c r="F1295" s="47" t="s">
        <v>4054</v>
      </c>
      <c r="G1295" s="47" t="s">
        <v>1005</v>
      </c>
      <c r="H1295" s="48">
        <f>IF(NOT(ISBLANK(vlookup(B1295,Pop_Census_2023!$A$2:$E$3220,4,FALSE))),vlookup(B1295,Pop_Census_2023!$A$2:$E$3220,4,FALSE), vlookup(B1295,Pop_Census_2023!$A$2:$E$3220,5,FALSE))</f>
        <v>15311</v>
      </c>
    </row>
    <row r="1296">
      <c r="A1296" s="47" t="s">
        <v>2830</v>
      </c>
      <c r="B1296" s="47">
        <v>26115.0</v>
      </c>
      <c r="C1296" s="47">
        <v>5.0</v>
      </c>
      <c r="D1296" s="47" t="s">
        <v>4044</v>
      </c>
      <c r="E1296" s="47" t="str">
        <f t="shared" si="1"/>
        <v>5A</v>
      </c>
      <c r="F1296" s="47" t="s">
        <v>4054</v>
      </c>
      <c r="G1296" s="47" t="s">
        <v>152</v>
      </c>
      <c r="H1296" s="48">
        <f>IF(NOT(ISBLANK(vlookup(B1296,Pop_Census_2023!$A$2:$E$3220,4,FALSE))),vlookup(B1296,Pop_Census_2023!$A$2:$E$3220,4,FALSE), vlookup(B1296,Pop_Census_2023!$A$2:$E$3220,5,FALSE))</f>
        <v>155045</v>
      </c>
    </row>
    <row r="1297">
      <c r="A1297" s="47" t="s">
        <v>2830</v>
      </c>
      <c r="B1297" s="47">
        <v>26117.0</v>
      </c>
      <c r="C1297" s="47">
        <v>5.0</v>
      </c>
      <c r="D1297" s="47" t="s">
        <v>4044</v>
      </c>
      <c r="E1297" s="47" t="str">
        <f t="shared" si="1"/>
        <v>5A</v>
      </c>
      <c r="F1297" s="47" t="s">
        <v>4054</v>
      </c>
      <c r="G1297" s="47" t="s">
        <v>1006</v>
      </c>
      <c r="H1297" s="48">
        <f>IF(NOT(ISBLANK(vlookup(B1297,Pop_Census_2023!$A$2:$E$3220,4,FALSE))),vlookup(B1297,Pop_Census_2023!$A$2:$E$3220,4,FALSE), vlookup(B1297,Pop_Census_2023!$A$2:$E$3220,5,FALSE))</f>
        <v>68154</v>
      </c>
    </row>
    <row r="1298">
      <c r="A1298" s="47" t="s">
        <v>2830</v>
      </c>
      <c r="B1298" s="47">
        <v>26119.0</v>
      </c>
      <c r="C1298" s="47">
        <v>6.0</v>
      </c>
      <c r="D1298" s="47" t="s">
        <v>4044</v>
      </c>
      <c r="E1298" s="47" t="str">
        <f t="shared" si="1"/>
        <v>6A</v>
      </c>
      <c r="F1298" s="47" t="s">
        <v>4054</v>
      </c>
      <c r="G1298" s="47" t="s">
        <v>1007</v>
      </c>
      <c r="H1298" s="48">
        <f>IF(NOT(ISBLANK(vlookup(B1298,Pop_Census_2023!$A$2:$E$3220,4,FALSE))),vlookup(B1298,Pop_Census_2023!$A$2:$E$3220,4,FALSE), vlookup(B1298,Pop_Census_2023!$A$2:$E$3220,5,FALSE))</f>
        <v>9678</v>
      </c>
    </row>
    <row r="1299">
      <c r="A1299" s="47" t="s">
        <v>2830</v>
      </c>
      <c r="B1299" s="47">
        <v>26121.0</v>
      </c>
      <c r="C1299" s="47">
        <v>5.0</v>
      </c>
      <c r="D1299" s="47" t="s">
        <v>4044</v>
      </c>
      <c r="E1299" s="47" t="str">
        <f t="shared" si="1"/>
        <v>5A</v>
      </c>
      <c r="F1299" s="47" t="s">
        <v>4054</v>
      </c>
      <c r="G1299" s="47" t="s">
        <v>1008</v>
      </c>
      <c r="H1299" s="48">
        <f>IF(NOT(ISBLANK(vlookup(B1299,Pop_Census_2023!$A$2:$E$3220,4,FALSE))),vlookup(B1299,Pop_Census_2023!$A$2:$E$3220,4,FALSE), vlookup(B1299,Pop_Census_2023!$A$2:$E$3220,5,FALSE))</f>
        <v>176564</v>
      </c>
    </row>
    <row r="1300">
      <c r="A1300" s="47" t="s">
        <v>2830</v>
      </c>
      <c r="B1300" s="47">
        <v>26123.0</v>
      </c>
      <c r="C1300" s="47">
        <v>6.0</v>
      </c>
      <c r="D1300" s="47" t="s">
        <v>4044</v>
      </c>
      <c r="E1300" s="47" t="str">
        <f t="shared" si="1"/>
        <v>6A</v>
      </c>
      <c r="F1300" s="47" t="s">
        <v>4054</v>
      </c>
      <c r="G1300" s="47" t="s">
        <v>1009</v>
      </c>
      <c r="H1300" s="48">
        <f>IF(NOT(ISBLANK(vlookup(B1300,Pop_Census_2023!$A$2:$E$3220,4,FALSE))),vlookup(B1300,Pop_Census_2023!$A$2:$E$3220,4,FALSE), vlookup(B1300,Pop_Census_2023!$A$2:$E$3220,5,FALSE))</f>
        <v>51108</v>
      </c>
    </row>
    <row r="1301">
      <c r="A1301" s="47" t="s">
        <v>2830</v>
      </c>
      <c r="B1301" s="47">
        <v>26125.0</v>
      </c>
      <c r="C1301" s="47">
        <v>5.0</v>
      </c>
      <c r="D1301" s="47" t="s">
        <v>4044</v>
      </c>
      <c r="E1301" s="47" t="str">
        <f t="shared" si="1"/>
        <v>5A</v>
      </c>
      <c r="F1301" s="47" t="s">
        <v>4054</v>
      </c>
      <c r="G1301" s="47" t="s">
        <v>1010</v>
      </c>
      <c r="H1301" s="48">
        <f>IF(NOT(ISBLANK(vlookup(B1301,Pop_Census_2023!$A$2:$E$3220,4,FALSE))),vlookup(B1301,Pop_Census_2023!$A$2:$E$3220,4,FALSE), vlookup(B1301,Pop_Census_2023!$A$2:$E$3220,5,FALSE))</f>
        <v>1270426</v>
      </c>
    </row>
    <row r="1302">
      <c r="A1302" s="47" t="s">
        <v>2830</v>
      </c>
      <c r="B1302" s="47">
        <v>26127.0</v>
      </c>
      <c r="C1302" s="47">
        <v>6.0</v>
      </c>
      <c r="D1302" s="47" t="s">
        <v>4044</v>
      </c>
      <c r="E1302" s="47" t="str">
        <f t="shared" si="1"/>
        <v>6A</v>
      </c>
      <c r="F1302" s="47" t="s">
        <v>4054</v>
      </c>
      <c r="G1302" s="47" t="s">
        <v>1011</v>
      </c>
      <c r="H1302" s="48">
        <f>IF(NOT(ISBLANK(vlookup(B1302,Pop_Census_2023!$A$2:$E$3220,4,FALSE))),vlookup(B1302,Pop_Census_2023!$A$2:$E$3220,4,FALSE), vlookup(B1302,Pop_Census_2023!$A$2:$E$3220,5,FALSE))</f>
        <v>26981</v>
      </c>
    </row>
    <row r="1303">
      <c r="A1303" s="47" t="s">
        <v>2830</v>
      </c>
      <c r="B1303" s="47">
        <v>26129.0</v>
      </c>
      <c r="C1303" s="47">
        <v>6.0</v>
      </c>
      <c r="D1303" s="47" t="s">
        <v>4044</v>
      </c>
      <c r="E1303" s="47" t="str">
        <f t="shared" si="1"/>
        <v>6A</v>
      </c>
      <c r="F1303" s="47" t="s">
        <v>4054</v>
      </c>
      <c r="G1303" s="47" t="s">
        <v>1012</v>
      </c>
      <c r="H1303" s="48">
        <f>IF(NOT(ISBLANK(vlookup(B1303,Pop_Census_2023!$A$2:$E$3220,4,FALSE))),vlookup(B1303,Pop_Census_2023!$A$2:$E$3220,4,FALSE), vlookup(B1303,Pop_Census_2023!$A$2:$E$3220,5,FALSE))</f>
        <v>20990</v>
      </c>
    </row>
    <row r="1304">
      <c r="A1304" s="47" t="s">
        <v>2830</v>
      </c>
      <c r="B1304" s="47">
        <v>26131.0</v>
      </c>
      <c r="C1304" s="47">
        <v>7.0</v>
      </c>
      <c r="D1304" s="47" t="s">
        <v>4014</v>
      </c>
      <c r="E1304" s="47">
        <f t="shared" si="1"/>
        <v>7</v>
      </c>
      <c r="F1304" s="47" t="s">
        <v>4015</v>
      </c>
      <c r="G1304" s="47" t="s">
        <v>1013</v>
      </c>
      <c r="H1304" s="48">
        <f>IF(NOT(ISBLANK(vlookup(B1304,Pop_Census_2023!$A$2:$E$3220,4,FALSE))),vlookup(B1304,Pop_Census_2023!$A$2:$E$3220,4,FALSE), vlookup(B1304,Pop_Census_2023!$A$2:$E$3220,5,FALSE))</f>
        <v>5906</v>
      </c>
    </row>
    <row r="1305">
      <c r="A1305" s="47" t="s">
        <v>2830</v>
      </c>
      <c r="B1305" s="47">
        <v>26133.0</v>
      </c>
      <c r="C1305" s="47">
        <v>6.0</v>
      </c>
      <c r="D1305" s="47" t="s">
        <v>4044</v>
      </c>
      <c r="E1305" s="47" t="str">
        <f t="shared" si="1"/>
        <v>6A</v>
      </c>
      <c r="F1305" s="47" t="s">
        <v>4054</v>
      </c>
      <c r="G1305" s="47" t="s">
        <v>445</v>
      </c>
      <c r="H1305" s="48">
        <f>IF(NOT(ISBLANK(vlookup(B1305,Pop_Census_2023!$A$2:$E$3220,4,FALSE))),vlookup(B1305,Pop_Census_2023!$A$2:$E$3220,4,FALSE), vlookup(B1305,Pop_Census_2023!$A$2:$E$3220,5,FALSE))</f>
        <v>23330</v>
      </c>
    </row>
    <row r="1306">
      <c r="A1306" s="47" t="s">
        <v>2830</v>
      </c>
      <c r="B1306" s="47">
        <v>26135.0</v>
      </c>
      <c r="C1306" s="47">
        <v>6.0</v>
      </c>
      <c r="D1306" s="47" t="s">
        <v>4044</v>
      </c>
      <c r="E1306" s="47" t="str">
        <f t="shared" si="1"/>
        <v>6A</v>
      </c>
      <c r="F1306" s="47" t="s">
        <v>4054</v>
      </c>
      <c r="G1306" s="47" t="s">
        <v>1014</v>
      </c>
      <c r="H1306" s="48">
        <f>IF(NOT(ISBLANK(vlookup(B1306,Pop_Census_2023!$A$2:$E$3220,4,FALSE))),vlookup(B1306,Pop_Census_2023!$A$2:$E$3220,4,FALSE), vlookup(B1306,Pop_Census_2023!$A$2:$E$3220,5,FALSE))</f>
        <v>8545</v>
      </c>
    </row>
    <row r="1307">
      <c r="A1307" s="47" t="s">
        <v>2830</v>
      </c>
      <c r="B1307" s="47">
        <v>26137.0</v>
      </c>
      <c r="C1307" s="47">
        <v>6.0</v>
      </c>
      <c r="D1307" s="47" t="s">
        <v>4044</v>
      </c>
      <c r="E1307" s="47" t="str">
        <f t="shared" si="1"/>
        <v>6A</v>
      </c>
      <c r="F1307" s="47" t="s">
        <v>4054</v>
      </c>
      <c r="G1307" s="47" t="s">
        <v>1015</v>
      </c>
      <c r="H1307" s="48">
        <f>IF(NOT(ISBLANK(vlookup(B1307,Pop_Census_2023!$A$2:$E$3220,4,FALSE))),vlookup(B1307,Pop_Census_2023!$A$2:$E$3220,4,FALSE), vlookup(B1307,Pop_Census_2023!$A$2:$E$3220,5,FALSE))</f>
        <v>25747</v>
      </c>
    </row>
    <row r="1308">
      <c r="A1308" s="47" t="s">
        <v>2830</v>
      </c>
      <c r="B1308" s="47">
        <v>26139.0</v>
      </c>
      <c r="C1308" s="47">
        <v>5.0</v>
      </c>
      <c r="D1308" s="47" t="s">
        <v>4044</v>
      </c>
      <c r="E1308" s="47" t="str">
        <f t="shared" si="1"/>
        <v>5A</v>
      </c>
      <c r="F1308" s="47" t="s">
        <v>4054</v>
      </c>
      <c r="G1308" s="47" t="s">
        <v>792</v>
      </c>
      <c r="H1308" s="48">
        <f>IF(NOT(ISBLANK(vlookup(B1308,Pop_Census_2023!$A$2:$E$3220,4,FALSE))),vlookup(B1308,Pop_Census_2023!$A$2:$E$3220,4,FALSE), vlookup(B1308,Pop_Census_2023!$A$2:$E$3220,5,FALSE))</f>
        <v>303372</v>
      </c>
    </row>
    <row r="1309">
      <c r="A1309" s="47" t="s">
        <v>2830</v>
      </c>
      <c r="B1309" s="47">
        <v>26141.0</v>
      </c>
      <c r="C1309" s="47">
        <v>6.0</v>
      </c>
      <c r="D1309" s="47" t="s">
        <v>4044</v>
      </c>
      <c r="E1309" s="47" t="str">
        <f t="shared" si="1"/>
        <v>6A</v>
      </c>
      <c r="F1309" s="47" t="s">
        <v>4054</v>
      </c>
      <c r="G1309" s="47" t="s">
        <v>1016</v>
      </c>
      <c r="H1309" s="48">
        <f>IF(NOT(ISBLANK(vlookup(B1309,Pop_Census_2023!$A$2:$E$3220,4,FALSE))),vlookup(B1309,Pop_Census_2023!$A$2:$E$3220,4,FALSE), vlookup(B1309,Pop_Census_2023!$A$2:$E$3220,5,FALSE))</f>
        <v>13285</v>
      </c>
    </row>
    <row r="1310">
      <c r="A1310" s="47" t="s">
        <v>2830</v>
      </c>
      <c r="B1310" s="47">
        <v>26143.0</v>
      </c>
      <c r="C1310" s="47">
        <v>6.0</v>
      </c>
      <c r="D1310" s="47" t="s">
        <v>4044</v>
      </c>
      <c r="E1310" s="47" t="str">
        <f t="shared" si="1"/>
        <v>6A</v>
      </c>
      <c r="F1310" s="47" t="s">
        <v>4054</v>
      </c>
      <c r="G1310" s="47" t="s">
        <v>1017</v>
      </c>
      <c r="H1310" s="48">
        <f>IF(NOT(ISBLANK(vlookup(B1310,Pop_Census_2023!$A$2:$E$3220,4,FALSE))),vlookup(B1310,Pop_Census_2023!$A$2:$E$3220,4,FALSE), vlookup(B1310,Pop_Census_2023!$A$2:$E$3220,5,FALSE))</f>
        <v>23863</v>
      </c>
    </row>
    <row r="1311">
      <c r="A1311" s="47" t="s">
        <v>2830</v>
      </c>
      <c r="B1311" s="47">
        <v>26145.0</v>
      </c>
      <c r="C1311" s="47">
        <v>5.0</v>
      </c>
      <c r="D1311" s="47" t="s">
        <v>4044</v>
      </c>
      <c r="E1311" s="47" t="str">
        <f t="shared" si="1"/>
        <v>5A</v>
      </c>
      <c r="F1311" s="47" t="s">
        <v>4054</v>
      </c>
      <c r="G1311" s="47" t="s">
        <v>1018</v>
      </c>
      <c r="H1311" s="48">
        <f>IF(NOT(ISBLANK(vlookup(B1311,Pop_Census_2023!$A$2:$E$3220,4,FALSE))),vlookup(B1311,Pop_Census_2023!$A$2:$E$3220,4,FALSE), vlookup(B1311,Pop_Census_2023!$A$2:$E$3220,5,FALSE))</f>
        <v>187782</v>
      </c>
    </row>
    <row r="1312">
      <c r="A1312" s="47" t="s">
        <v>2830</v>
      </c>
      <c r="B1312" s="47">
        <v>26151.0</v>
      </c>
      <c r="C1312" s="47">
        <v>6.0</v>
      </c>
      <c r="D1312" s="47" t="s">
        <v>4044</v>
      </c>
      <c r="E1312" s="47" t="str">
        <f t="shared" si="1"/>
        <v>6A</v>
      </c>
      <c r="F1312" s="47" t="s">
        <v>4054</v>
      </c>
      <c r="G1312" s="47" t="s">
        <v>1019</v>
      </c>
      <c r="H1312" s="48">
        <f>IF(NOT(ISBLANK(vlookup(B1312,Pop_Census_2023!$A$2:$E$3220,4,FALSE))),vlookup(B1312,Pop_Census_2023!$A$2:$E$3220,4,FALSE), vlookup(B1312,Pop_Census_2023!$A$2:$E$3220,5,FALSE))</f>
        <v>40368</v>
      </c>
    </row>
    <row r="1313">
      <c r="A1313" s="47" t="s">
        <v>2830</v>
      </c>
      <c r="B1313" s="47">
        <v>26153.0</v>
      </c>
      <c r="C1313" s="47">
        <v>7.0</v>
      </c>
      <c r="D1313" s="47" t="s">
        <v>4014</v>
      </c>
      <c r="E1313" s="47">
        <f t="shared" si="1"/>
        <v>7</v>
      </c>
      <c r="F1313" s="47" t="s">
        <v>4015</v>
      </c>
      <c r="G1313" s="47" t="s">
        <v>1020</v>
      </c>
      <c r="H1313" s="48">
        <f>IF(NOT(ISBLANK(vlookup(B1313,Pop_Census_2023!$A$2:$E$3220,4,FALSE))),vlookup(B1313,Pop_Census_2023!$A$2:$E$3220,4,FALSE), vlookup(B1313,Pop_Census_2023!$A$2:$E$3220,5,FALSE))</f>
        <v>8149</v>
      </c>
    </row>
    <row r="1314">
      <c r="A1314" s="47" t="s">
        <v>2830</v>
      </c>
      <c r="B1314" s="47">
        <v>26155.0</v>
      </c>
      <c r="C1314" s="47">
        <v>5.0</v>
      </c>
      <c r="D1314" s="47" t="s">
        <v>4044</v>
      </c>
      <c r="E1314" s="47" t="str">
        <f t="shared" si="1"/>
        <v>5A</v>
      </c>
      <c r="F1314" s="47" t="s">
        <v>4054</v>
      </c>
      <c r="G1314" s="47" t="s">
        <v>1021</v>
      </c>
      <c r="H1314" s="48">
        <f>IF(NOT(ISBLANK(vlookup(B1314,Pop_Census_2023!$A$2:$E$3220,4,FALSE))),vlookup(B1314,Pop_Census_2023!$A$2:$E$3220,4,FALSE), vlookup(B1314,Pop_Census_2023!$A$2:$E$3220,5,FALSE))</f>
        <v>68025</v>
      </c>
    </row>
    <row r="1315">
      <c r="A1315" s="47" t="s">
        <v>2830</v>
      </c>
      <c r="B1315" s="47">
        <v>26147.0</v>
      </c>
      <c r="C1315" s="47">
        <v>5.0</v>
      </c>
      <c r="D1315" s="47" t="s">
        <v>4044</v>
      </c>
      <c r="E1315" s="47" t="str">
        <f t="shared" si="1"/>
        <v>5A</v>
      </c>
      <c r="F1315" s="47" t="s">
        <v>4054</v>
      </c>
      <c r="G1315" s="47" t="s">
        <v>160</v>
      </c>
      <c r="H1315" s="48">
        <f>IF(NOT(ISBLANK(vlookup(B1315,Pop_Census_2023!$A$2:$E$3220,4,FALSE))),vlookup(B1315,Pop_Census_2023!$A$2:$E$3220,4,FALSE), vlookup(B1315,Pop_Census_2023!$A$2:$E$3220,5,FALSE))</f>
        <v>159874</v>
      </c>
    </row>
    <row r="1316">
      <c r="A1316" s="47" t="s">
        <v>2830</v>
      </c>
      <c r="B1316" s="47">
        <v>26149.0</v>
      </c>
      <c r="C1316" s="47">
        <v>5.0</v>
      </c>
      <c r="D1316" s="47" t="s">
        <v>4044</v>
      </c>
      <c r="E1316" s="47" t="str">
        <f t="shared" si="1"/>
        <v>5A</v>
      </c>
      <c r="F1316" s="47" t="s">
        <v>4054</v>
      </c>
      <c r="G1316" s="47" t="s">
        <v>690</v>
      </c>
      <c r="H1316" s="48">
        <f>IF(NOT(ISBLANK(vlookup(B1316,Pop_Census_2023!$A$2:$E$3220,4,FALSE))),vlookup(B1316,Pop_Census_2023!$A$2:$E$3220,4,FALSE), vlookup(B1316,Pop_Census_2023!$A$2:$E$3220,5,FALSE))</f>
        <v>60878</v>
      </c>
    </row>
    <row r="1317">
      <c r="A1317" s="47" t="s">
        <v>2830</v>
      </c>
      <c r="B1317" s="47">
        <v>26157.0</v>
      </c>
      <c r="C1317" s="47">
        <v>5.0</v>
      </c>
      <c r="D1317" s="47" t="s">
        <v>4044</v>
      </c>
      <c r="E1317" s="47" t="str">
        <f t="shared" si="1"/>
        <v>5A</v>
      </c>
      <c r="F1317" s="47" t="s">
        <v>4054</v>
      </c>
      <c r="G1317" s="47" t="s">
        <v>1022</v>
      </c>
      <c r="H1317" s="48">
        <f>IF(NOT(ISBLANK(vlookup(B1317,Pop_Census_2023!$A$2:$E$3220,4,FALSE))),vlookup(B1317,Pop_Census_2023!$A$2:$E$3220,4,FALSE), vlookup(B1317,Pop_Census_2023!$A$2:$E$3220,5,FALSE))</f>
        <v>52826</v>
      </c>
    </row>
    <row r="1318">
      <c r="A1318" s="47" t="s">
        <v>2830</v>
      </c>
      <c r="B1318" s="47">
        <v>26159.0</v>
      </c>
      <c r="C1318" s="47">
        <v>5.0</v>
      </c>
      <c r="D1318" s="47" t="s">
        <v>4044</v>
      </c>
      <c r="E1318" s="47" t="str">
        <f t="shared" si="1"/>
        <v>5A</v>
      </c>
      <c r="F1318" s="47" t="s">
        <v>4054</v>
      </c>
      <c r="G1318" s="47" t="s">
        <v>274</v>
      </c>
      <c r="H1318" s="48">
        <f>IF(NOT(ISBLANK(vlookup(B1318,Pop_Census_2023!$A$2:$E$3220,4,FALSE))),vlookup(B1318,Pop_Census_2023!$A$2:$E$3220,4,FALSE), vlookup(B1318,Pop_Census_2023!$A$2:$E$3220,5,FALSE))</f>
        <v>75798</v>
      </c>
    </row>
    <row r="1319">
      <c r="A1319" s="47" t="s">
        <v>2830</v>
      </c>
      <c r="B1319" s="47">
        <v>26161.0</v>
      </c>
      <c r="C1319" s="47">
        <v>5.0</v>
      </c>
      <c r="D1319" s="47" t="s">
        <v>4044</v>
      </c>
      <c r="E1319" s="47" t="str">
        <f t="shared" si="1"/>
        <v>5A</v>
      </c>
      <c r="F1319" s="47" t="s">
        <v>4054</v>
      </c>
      <c r="G1319" s="47" t="s">
        <v>1023</v>
      </c>
      <c r="H1319" s="48">
        <f>IF(NOT(ISBLANK(vlookup(B1319,Pop_Census_2023!$A$2:$E$3220,4,FALSE))),vlookup(B1319,Pop_Census_2023!$A$2:$E$3220,4,FALSE), vlookup(B1319,Pop_Census_2023!$A$2:$E$3220,5,FALSE))</f>
        <v>365536</v>
      </c>
    </row>
    <row r="1320">
      <c r="A1320" s="47" t="s">
        <v>2830</v>
      </c>
      <c r="B1320" s="47">
        <v>26163.0</v>
      </c>
      <c r="C1320" s="47">
        <v>5.0</v>
      </c>
      <c r="D1320" s="47" t="s">
        <v>4044</v>
      </c>
      <c r="E1320" s="47" t="str">
        <f t="shared" si="1"/>
        <v>5A</v>
      </c>
      <c r="F1320" s="47" t="s">
        <v>4054</v>
      </c>
      <c r="G1320" s="47" t="s">
        <v>562</v>
      </c>
      <c r="H1320" s="48">
        <f>IF(NOT(ISBLANK(vlookup(B1320,Pop_Census_2023!$A$2:$E$3220,4,FALSE))),vlookup(B1320,Pop_Census_2023!$A$2:$E$3220,4,FALSE), vlookup(B1320,Pop_Census_2023!$A$2:$E$3220,5,FALSE))</f>
        <v>1751169</v>
      </c>
    </row>
    <row r="1321">
      <c r="A1321" s="47" t="s">
        <v>2830</v>
      </c>
      <c r="B1321" s="47">
        <v>26165.0</v>
      </c>
      <c r="C1321" s="47">
        <v>6.0</v>
      </c>
      <c r="D1321" s="47" t="s">
        <v>4044</v>
      </c>
      <c r="E1321" s="47" t="str">
        <f t="shared" si="1"/>
        <v>6A</v>
      </c>
      <c r="F1321" s="47" t="s">
        <v>4054</v>
      </c>
      <c r="G1321" s="47" t="s">
        <v>1024</v>
      </c>
      <c r="H1321" s="48">
        <f>IF(NOT(ISBLANK(vlookup(B1321,Pop_Census_2023!$A$2:$E$3220,4,FALSE))),vlookup(B1321,Pop_Census_2023!$A$2:$E$3220,4,FALSE), vlookup(B1321,Pop_Census_2023!$A$2:$E$3220,5,FALSE))</f>
        <v>34122</v>
      </c>
    </row>
    <row r="1322">
      <c r="A1322" s="47" t="s">
        <v>2893</v>
      </c>
      <c r="B1322" s="47">
        <v>27001.0</v>
      </c>
      <c r="C1322" s="47">
        <v>7.0</v>
      </c>
      <c r="D1322" s="47" t="s">
        <v>4014</v>
      </c>
      <c r="E1322" s="47">
        <f t="shared" si="1"/>
        <v>7</v>
      </c>
      <c r="F1322" s="47" t="s">
        <v>4015</v>
      </c>
      <c r="G1322" s="47" t="s">
        <v>1025</v>
      </c>
      <c r="H1322" s="48">
        <f>IF(NOT(ISBLANK(vlookup(B1322,Pop_Census_2023!$A$2:$E$3220,4,FALSE))),vlookup(B1322,Pop_Census_2023!$A$2:$E$3220,4,FALSE), vlookup(B1322,Pop_Census_2023!$A$2:$E$3220,5,FALSE))</f>
        <v>16102</v>
      </c>
    </row>
    <row r="1323">
      <c r="A1323" s="47" t="s">
        <v>2893</v>
      </c>
      <c r="B1323" s="47">
        <v>27003.0</v>
      </c>
      <c r="C1323" s="47">
        <v>6.0</v>
      </c>
      <c r="D1323" s="47" t="s">
        <v>4044</v>
      </c>
      <c r="E1323" s="47" t="str">
        <f t="shared" si="1"/>
        <v>6A</v>
      </c>
      <c r="F1323" s="47" t="s">
        <v>4054</v>
      </c>
      <c r="G1323" s="47" t="s">
        <v>1027</v>
      </c>
      <c r="H1323" s="48">
        <f>IF(NOT(ISBLANK(vlookup(B1323,Pop_Census_2023!$A$2:$E$3220,4,FALSE))),vlookup(B1323,Pop_Census_2023!$A$2:$E$3220,4,FALSE), vlookup(B1323,Pop_Census_2023!$A$2:$E$3220,5,FALSE))</f>
        <v>372441</v>
      </c>
    </row>
    <row r="1324">
      <c r="A1324" s="47" t="s">
        <v>2893</v>
      </c>
      <c r="B1324" s="47">
        <v>27005.0</v>
      </c>
      <c r="C1324" s="47">
        <v>7.0</v>
      </c>
      <c r="D1324" s="47" t="s">
        <v>4014</v>
      </c>
      <c r="E1324" s="47">
        <f t="shared" si="1"/>
        <v>7</v>
      </c>
      <c r="F1324" s="47" t="s">
        <v>4015</v>
      </c>
      <c r="G1324" s="47" t="s">
        <v>1028</v>
      </c>
      <c r="H1324" s="48">
        <f>IF(NOT(ISBLANK(vlookup(B1324,Pop_Census_2023!$A$2:$E$3220,4,FALSE))),vlookup(B1324,Pop_Census_2023!$A$2:$E$3220,4,FALSE), vlookup(B1324,Pop_Census_2023!$A$2:$E$3220,5,FALSE))</f>
        <v>35283</v>
      </c>
    </row>
    <row r="1325">
      <c r="A1325" s="47" t="s">
        <v>2893</v>
      </c>
      <c r="B1325" s="47">
        <v>27007.0</v>
      </c>
      <c r="C1325" s="47">
        <v>7.0</v>
      </c>
      <c r="D1325" s="47" t="s">
        <v>4014</v>
      </c>
      <c r="E1325" s="47">
        <f t="shared" si="1"/>
        <v>7</v>
      </c>
      <c r="F1325" s="47" t="s">
        <v>4015</v>
      </c>
      <c r="G1325" s="47" t="s">
        <v>1029</v>
      </c>
      <c r="H1325" s="48">
        <f>IF(NOT(ISBLANK(vlookup(B1325,Pop_Census_2023!$A$2:$E$3220,4,FALSE))),vlookup(B1325,Pop_Census_2023!$A$2:$E$3220,4,FALSE), vlookup(B1325,Pop_Census_2023!$A$2:$E$3220,5,FALSE))</f>
        <v>46718</v>
      </c>
    </row>
    <row r="1326">
      <c r="A1326" s="47" t="s">
        <v>2893</v>
      </c>
      <c r="B1326" s="47">
        <v>27009.0</v>
      </c>
      <c r="C1326" s="47">
        <v>6.0</v>
      </c>
      <c r="D1326" s="47" t="s">
        <v>4044</v>
      </c>
      <c r="E1326" s="47" t="str">
        <f t="shared" si="1"/>
        <v>6A</v>
      </c>
      <c r="F1326" s="47" t="s">
        <v>4054</v>
      </c>
      <c r="G1326" s="47" t="s">
        <v>224</v>
      </c>
      <c r="H1326" s="48">
        <f>IF(NOT(ISBLANK(vlookup(B1326,Pop_Census_2023!$A$2:$E$3220,4,FALSE))),vlookup(B1326,Pop_Census_2023!$A$2:$E$3220,4,FALSE), vlookup(B1326,Pop_Census_2023!$A$2:$E$3220,5,FALSE))</f>
        <v>41600</v>
      </c>
    </row>
    <row r="1327">
      <c r="A1327" s="47" t="s">
        <v>2893</v>
      </c>
      <c r="B1327" s="47">
        <v>27011.0</v>
      </c>
      <c r="C1327" s="47">
        <v>6.0</v>
      </c>
      <c r="D1327" s="47" t="s">
        <v>4044</v>
      </c>
      <c r="E1327" s="47" t="str">
        <f t="shared" si="1"/>
        <v>6A</v>
      </c>
      <c r="F1327" s="47" t="s">
        <v>4054</v>
      </c>
      <c r="G1327" s="47" t="s">
        <v>1030</v>
      </c>
      <c r="H1327" s="48">
        <f>IF(NOT(ISBLANK(vlookup(B1327,Pop_Census_2023!$A$2:$E$3220,4,FALSE))),vlookup(B1327,Pop_Census_2023!$A$2:$E$3220,4,FALSE), vlookup(B1327,Pop_Census_2023!$A$2:$E$3220,5,FALSE))</f>
        <v>5105</v>
      </c>
    </row>
    <row r="1328">
      <c r="A1328" s="47" t="s">
        <v>2893</v>
      </c>
      <c r="B1328" s="47">
        <v>27013.0</v>
      </c>
      <c r="C1328" s="47">
        <v>6.0</v>
      </c>
      <c r="D1328" s="47" t="s">
        <v>4044</v>
      </c>
      <c r="E1328" s="47" t="str">
        <f t="shared" si="1"/>
        <v>6A</v>
      </c>
      <c r="F1328" s="47" t="s">
        <v>4054</v>
      </c>
      <c r="G1328" s="47" t="s">
        <v>1031</v>
      </c>
      <c r="H1328" s="48">
        <f>IF(NOT(ISBLANK(vlookup(B1328,Pop_Census_2023!$A$2:$E$3220,4,FALSE))),vlookup(B1328,Pop_Census_2023!$A$2:$E$3220,4,FALSE), vlookup(B1328,Pop_Census_2023!$A$2:$E$3220,5,FALSE))</f>
        <v>70006</v>
      </c>
    </row>
    <row r="1329">
      <c r="A1329" s="47" t="s">
        <v>2893</v>
      </c>
      <c r="B1329" s="47">
        <v>27015.0</v>
      </c>
      <c r="C1329" s="47">
        <v>6.0</v>
      </c>
      <c r="D1329" s="47" t="s">
        <v>4044</v>
      </c>
      <c r="E1329" s="47" t="str">
        <f t="shared" si="1"/>
        <v>6A</v>
      </c>
      <c r="F1329" s="47" t="s">
        <v>4054</v>
      </c>
      <c r="G1329" s="47" t="s">
        <v>611</v>
      </c>
      <c r="H1329" s="48">
        <f>IF(NOT(ISBLANK(vlookup(B1329,Pop_Census_2023!$A$2:$E$3220,4,FALSE))),vlookup(B1329,Pop_Census_2023!$A$2:$E$3220,4,FALSE), vlookup(B1329,Pop_Census_2023!$A$2:$E$3220,5,FALSE))</f>
        <v>25628</v>
      </c>
    </row>
    <row r="1330">
      <c r="A1330" s="47" t="s">
        <v>2893</v>
      </c>
      <c r="B1330" s="47">
        <v>27017.0</v>
      </c>
      <c r="C1330" s="47">
        <v>7.0</v>
      </c>
      <c r="D1330" s="47" t="s">
        <v>4014</v>
      </c>
      <c r="E1330" s="47">
        <f t="shared" si="1"/>
        <v>7</v>
      </c>
      <c r="F1330" s="47" t="s">
        <v>4015</v>
      </c>
      <c r="G1330" s="47" t="s">
        <v>1032</v>
      </c>
      <c r="H1330" s="48">
        <f>IF(NOT(ISBLANK(vlookup(B1330,Pop_Census_2023!$A$2:$E$3220,4,FALSE))),vlookup(B1330,Pop_Census_2023!$A$2:$E$3220,4,FALSE), vlookup(B1330,Pop_Census_2023!$A$2:$E$3220,5,FALSE))</f>
        <v>36825</v>
      </c>
    </row>
    <row r="1331">
      <c r="A1331" s="47" t="s">
        <v>2893</v>
      </c>
      <c r="B1331" s="47">
        <v>27019.0</v>
      </c>
      <c r="C1331" s="47">
        <v>6.0</v>
      </c>
      <c r="D1331" s="47" t="s">
        <v>4044</v>
      </c>
      <c r="E1331" s="47" t="str">
        <f t="shared" si="1"/>
        <v>6A</v>
      </c>
      <c r="F1331" s="47" t="s">
        <v>4054</v>
      </c>
      <c r="G1331" s="47" t="s">
        <v>1033</v>
      </c>
      <c r="H1331" s="48">
        <f>IF(NOT(ISBLANK(vlookup(B1331,Pop_Census_2023!$A$2:$E$3220,4,FALSE))),vlookup(B1331,Pop_Census_2023!$A$2:$E$3220,4,FALSE), vlookup(B1331,Pop_Census_2023!$A$2:$E$3220,5,FALSE))</f>
        <v>111057</v>
      </c>
    </row>
    <row r="1332">
      <c r="A1332" s="47" t="s">
        <v>2893</v>
      </c>
      <c r="B1332" s="47">
        <v>27021.0</v>
      </c>
      <c r="C1332" s="47">
        <v>7.0</v>
      </c>
      <c r="D1332" s="47" t="s">
        <v>4014</v>
      </c>
      <c r="E1332" s="47">
        <f t="shared" si="1"/>
        <v>7</v>
      </c>
      <c r="F1332" s="47" t="s">
        <v>4015</v>
      </c>
      <c r="G1332" s="47" t="s">
        <v>613</v>
      </c>
      <c r="H1332" s="48">
        <f>IF(NOT(ISBLANK(vlookup(B1332,Pop_Census_2023!$A$2:$E$3220,4,FALSE))),vlookup(B1332,Pop_Census_2023!$A$2:$E$3220,4,FALSE), vlookup(B1332,Pop_Census_2023!$A$2:$E$3220,5,FALSE))</f>
        <v>31446</v>
      </c>
    </row>
    <row r="1333">
      <c r="A1333" s="47" t="s">
        <v>2893</v>
      </c>
      <c r="B1333" s="47">
        <v>27023.0</v>
      </c>
      <c r="C1333" s="47">
        <v>6.0</v>
      </c>
      <c r="D1333" s="47" t="s">
        <v>4044</v>
      </c>
      <c r="E1333" s="47" t="str">
        <f t="shared" si="1"/>
        <v>6A</v>
      </c>
      <c r="F1333" s="47" t="s">
        <v>4054</v>
      </c>
      <c r="G1333" s="47" t="s">
        <v>975</v>
      </c>
      <c r="H1333" s="48">
        <f>IF(NOT(ISBLANK(vlookup(B1333,Pop_Census_2023!$A$2:$E$3220,4,FALSE))),vlookup(B1333,Pop_Census_2023!$A$2:$E$3220,4,FALSE), vlookup(B1333,Pop_Census_2023!$A$2:$E$3220,5,FALSE))</f>
        <v>12172</v>
      </c>
    </row>
    <row r="1334">
      <c r="A1334" s="47" t="s">
        <v>2893</v>
      </c>
      <c r="B1334" s="47">
        <v>27025.0</v>
      </c>
      <c r="C1334" s="47">
        <v>6.0</v>
      </c>
      <c r="D1334" s="47" t="s">
        <v>4044</v>
      </c>
      <c r="E1334" s="47" t="str">
        <f t="shared" si="1"/>
        <v>6A</v>
      </c>
      <c r="F1334" s="47" t="s">
        <v>4054</v>
      </c>
      <c r="G1334" s="47" t="s">
        <v>1034</v>
      </c>
      <c r="H1334" s="48">
        <f>IF(NOT(ISBLANK(vlookup(B1334,Pop_Census_2023!$A$2:$E$3220,4,FALSE))),vlookup(B1334,Pop_Census_2023!$A$2:$E$3220,4,FALSE), vlookup(B1334,Pop_Census_2023!$A$2:$E$3220,5,FALSE))</f>
        <v>58535</v>
      </c>
    </row>
    <row r="1335">
      <c r="A1335" s="47" t="s">
        <v>2893</v>
      </c>
      <c r="B1335" s="47">
        <v>27027.0</v>
      </c>
      <c r="C1335" s="47">
        <v>7.0</v>
      </c>
      <c r="D1335" s="47" t="s">
        <v>4014</v>
      </c>
      <c r="E1335" s="47">
        <f t="shared" si="1"/>
        <v>7</v>
      </c>
      <c r="F1335" s="47" t="s">
        <v>4015</v>
      </c>
      <c r="G1335" s="47" t="s">
        <v>116</v>
      </c>
      <c r="H1335" s="48">
        <f>IF(NOT(ISBLANK(vlookup(B1335,Pop_Census_2023!$A$2:$E$3220,4,FALSE))),vlookup(B1335,Pop_Census_2023!$A$2:$E$3220,4,FALSE), vlookup(B1335,Pop_Census_2023!$A$2:$E$3220,5,FALSE))</f>
        <v>66258</v>
      </c>
    </row>
    <row r="1336">
      <c r="A1336" s="47" t="s">
        <v>2893</v>
      </c>
      <c r="B1336" s="47">
        <v>27029.0</v>
      </c>
      <c r="C1336" s="47">
        <v>7.0</v>
      </c>
      <c r="D1336" s="47" t="s">
        <v>4014</v>
      </c>
      <c r="E1336" s="47">
        <f t="shared" si="1"/>
        <v>7</v>
      </c>
      <c r="F1336" s="47" t="s">
        <v>4015</v>
      </c>
      <c r="G1336" s="47" t="s">
        <v>590</v>
      </c>
      <c r="H1336" s="48">
        <f>IF(NOT(ISBLANK(vlookup(B1336,Pop_Census_2023!$A$2:$E$3220,4,FALSE))),vlookup(B1336,Pop_Census_2023!$A$2:$E$3220,4,FALSE), vlookup(B1336,Pop_Census_2023!$A$2:$E$3220,5,FALSE))</f>
        <v>8644</v>
      </c>
    </row>
    <row r="1337">
      <c r="A1337" s="47" t="s">
        <v>2893</v>
      </c>
      <c r="B1337" s="47">
        <v>27031.0</v>
      </c>
      <c r="C1337" s="47">
        <v>7.0</v>
      </c>
      <c r="D1337" s="47" t="s">
        <v>4014</v>
      </c>
      <c r="E1337" s="47">
        <f t="shared" si="1"/>
        <v>7</v>
      </c>
      <c r="F1337" s="47" t="s">
        <v>4015</v>
      </c>
      <c r="G1337" s="47" t="s">
        <v>487</v>
      </c>
      <c r="H1337" s="48">
        <f>IF(NOT(ISBLANK(vlookup(B1337,Pop_Census_2023!$A$2:$E$3220,4,FALSE))),vlookup(B1337,Pop_Census_2023!$A$2:$E$3220,4,FALSE), vlookup(B1337,Pop_Census_2023!$A$2:$E$3220,5,FALSE))</f>
        <v>5639</v>
      </c>
    </row>
    <row r="1338">
      <c r="A1338" s="47" t="s">
        <v>2893</v>
      </c>
      <c r="B1338" s="47">
        <v>27033.0</v>
      </c>
      <c r="C1338" s="47">
        <v>6.0</v>
      </c>
      <c r="D1338" s="47" t="s">
        <v>4044</v>
      </c>
      <c r="E1338" s="47" t="str">
        <f t="shared" si="1"/>
        <v>6A</v>
      </c>
      <c r="F1338" s="47" t="s">
        <v>4054</v>
      </c>
      <c r="G1338" s="47" t="s">
        <v>1035</v>
      </c>
      <c r="H1338" s="48">
        <f>IF(NOT(ISBLANK(vlookup(B1338,Pop_Census_2023!$A$2:$E$3220,4,FALSE))),vlookup(B1338,Pop_Census_2023!$A$2:$E$3220,4,FALSE), vlookup(B1338,Pop_Census_2023!$A$2:$E$3220,5,FALSE))</f>
        <v>11319</v>
      </c>
    </row>
    <row r="1339">
      <c r="A1339" s="47" t="s">
        <v>2893</v>
      </c>
      <c r="B1339" s="47">
        <v>27035.0</v>
      </c>
      <c r="C1339" s="47">
        <v>7.0</v>
      </c>
      <c r="D1339" s="47" t="s">
        <v>4014</v>
      </c>
      <c r="E1339" s="47">
        <f t="shared" si="1"/>
        <v>7</v>
      </c>
      <c r="F1339" s="47" t="s">
        <v>4015</v>
      </c>
      <c r="G1339" s="47" t="s">
        <v>1036</v>
      </c>
      <c r="H1339" s="48">
        <f>IF(NOT(ISBLANK(vlookup(B1339,Pop_Census_2023!$A$2:$E$3220,4,FALSE))),vlookup(B1339,Pop_Census_2023!$A$2:$E$3220,4,FALSE), vlookup(B1339,Pop_Census_2023!$A$2:$E$3220,5,FALSE))</f>
        <v>68304</v>
      </c>
    </row>
    <row r="1340">
      <c r="A1340" s="47" t="s">
        <v>2893</v>
      </c>
      <c r="B1340" s="47">
        <v>27037.0</v>
      </c>
      <c r="C1340" s="47">
        <v>6.0</v>
      </c>
      <c r="D1340" s="47" t="s">
        <v>4044</v>
      </c>
      <c r="E1340" s="47" t="str">
        <f t="shared" si="1"/>
        <v>6A</v>
      </c>
      <c r="F1340" s="47" t="s">
        <v>4054</v>
      </c>
      <c r="G1340" s="47" t="s">
        <v>1037</v>
      </c>
      <c r="H1340" s="48">
        <f>IF(NOT(ISBLANK(vlookup(B1340,Pop_Census_2023!$A$2:$E$3220,4,FALSE))),vlookup(B1340,Pop_Census_2023!$A$2:$E$3220,4,FALSE), vlookup(B1340,Pop_Census_2023!$A$2:$E$3220,5,FALSE))</f>
        <v>447440</v>
      </c>
    </row>
    <row r="1341">
      <c r="A1341" s="47" t="s">
        <v>2893</v>
      </c>
      <c r="B1341" s="47">
        <v>27039.0</v>
      </c>
      <c r="C1341" s="47">
        <v>6.0</v>
      </c>
      <c r="D1341" s="47" t="s">
        <v>4044</v>
      </c>
      <c r="E1341" s="47" t="str">
        <f t="shared" si="1"/>
        <v>6A</v>
      </c>
      <c r="F1341" s="47" t="s">
        <v>4054</v>
      </c>
      <c r="G1341" s="47" t="s">
        <v>493</v>
      </c>
      <c r="H1341" s="48">
        <f>IF(NOT(ISBLANK(vlookup(B1341,Pop_Census_2023!$A$2:$E$3220,4,FALSE))),vlookup(B1341,Pop_Census_2023!$A$2:$E$3220,4,FALSE), vlookup(B1341,Pop_Census_2023!$A$2:$E$3220,5,FALSE))</f>
        <v>21088</v>
      </c>
    </row>
    <row r="1342">
      <c r="A1342" s="47" t="s">
        <v>2893</v>
      </c>
      <c r="B1342" s="47">
        <v>27041.0</v>
      </c>
      <c r="C1342" s="47">
        <v>6.0</v>
      </c>
      <c r="D1342" s="47" t="s">
        <v>4044</v>
      </c>
      <c r="E1342" s="47" t="str">
        <f t="shared" si="1"/>
        <v>6A</v>
      </c>
      <c r="F1342" s="47" t="s">
        <v>4054</v>
      </c>
      <c r="G1342" s="47" t="s">
        <v>357</v>
      </c>
      <c r="H1342" s="48">
        <f>IF(NOT(ISBLANK(vlookup(B1342,Pop_Census_2023!$A$2:$E$3220,4,FALSE))),vlookup(B1342,Pop_Census_2023!$A$2:$E$3220,4,FALSE), vlookup(B1342,Pop_Census_2023!$A$2:$E$3220,5,FALSE))</f>
        <v>39953</v>
      </c>
    </row>
    <row r="1343">
      <c r="A1343" s="47" t="s">
        <v>2893</v>
      </c>
      <c r="B1343" s="47">
        <v>27043.0</v>
      </c>
      <c r="C1343" s="47">
        <v>6.0</v>
      </c>
      <c r="D1343" s="47" t="s">
        <v>4044</v>
      </c>
      <c r="E1343" s="47" t="str">
        <f t="shared" si="1"/>
        <v>6A</v>
      </c>
      <c r="F1343" s="47" t="s">
        <v>4054</v>
      </c>
      <c r="G1343" s="47" t="s">
        <v>1038</v>
      </c>
      <c r="H1343" s="48">
        <f>IF(NOT(ISBLANK(vlookup(B1343,Pop_Census_2023!$A$2:$E$3220,4,FALSE))),vlookup(B1343,Pop_Census_2023!$A$2:$E$3220,4,FALSE), vlookup(B1343,Pop_Census_2023!$A$2:$E$3220,5,FALSE))</f>
        <v>13873</v>
      </c>
    </row>
    <row r="1344">
      <c r="A1344" s="47" t="s">
        <v>2893</v>
      </c>
      <c r="B1344" s="47">
        <v>27045.0</v>
      </c>
      <c r="C1344" s="47">
        <v>6.0</v>
      </c>
      <c r="D1344" s="47" t="s">
        <v>4044</v>
      </c>
      <c r="E1344" s="47" t="str">
        <f t="shared" si="1"/>
        <v>6A</v>
      </c>
      <c r="F1344" s="47" t="s">
        <v>4054</v>
      </c>
      <c r="G1344" s="47" t="s">
        <v>1039</v>
      </c>
      <c r="H1344" s="48">
        <f>IF(NOT(ISBLANK(vlookup(B1344,Pop_Census_2023!$A$2:$E$3220,4,FALSE))),vlookup(B1344,Pop_Census_2023!$A$2:$E$3220,4,FALSE), vlookup(B1344,Pop_Census_2023!$A$2:$E$3220,5,FALSE))</f>
        <v>21522</v>
      </c>
    </row>
    <row r="1345">
      <c r="A1345" s="47" t="s">
        <v>2893</v>
      </c>
      <c r="B1345" s="47">
        <v>27047.0</v>
      </c>
      <c r="C1345" s="47">
        <v>6.0</v>
      </c>
      <c r="D1345" s="47" t="s">
        <v>4044</v>
      </c>
      <c r="E1345" s="47" t="str">
        <f t="shared" si="1"/>
        <v>6A</v>
      </c>
      <c r="F1345" s="47" t="s">
        <v>4054</v>
      </c>
      <c r="G1345" s="47" t="s">
        <v>1040</v>
      </c>
      <c r="H1345" s="48">
        <f>IF(NOT(ISBLANK(vlookup(B1345,Pop_Census_2023!$A$2:$E$3220,4,FALSE))),vlookup(B1345,Pop_Census_2023!$A$2:$E$3220,4,FALSE), vlookup(B1345,Pop_Census_2023!$A$2:$E$3220,5,FALSE))</f>
        <v>30515</v>
      </c>
    </row>
    <row r="1346">
      <c r="A1346" s="47" t="s">
        <v>2893</v>
      </c>
      <c r="B1346" s="47">
        <v>27049.0</v>
      </c>
      <c r="C1346" s="47">
        <v>6.0</v>
      </c>
      <c r="D1346" s="47" t="s">
        <v>4044</v>
      </c>
      <c r="E1346" s="47" t="str">
        <f t="shared" si="1"/>
        <v>6A</v>
      </c>
      <c r="F1346" s="47" t="s">
        <v>4054</v>
      </c>
      <c r="G1346" s="47" t="s">
        <v>1041</v>
      </c>
      <c r="H1346" s="48">
        <f>IF(NOT(ISBLANK(vlookup(B1346,Pop_Census_2023!$A$2:$E$3220,4,FALSE))),vlookup(B1346,Pop_Census_2023!$A$2:$E$3220,4,FALSE), vlookup(B1346,Pop_Census_2023!$A$2:$E$3220,5,FALSE))</f>
        <v>48035</v>
      </c>
    </row>
    <row r="1347">
      <c r="A1347" s="47" t="s">
        <v>2893</v>
      </c>
      <c r="B1347" s="47">
        <v>27051.0</v>
      </c>
      <c r="C1347" s="47">
        <v>7.0</v>
      </c>
      <c r="D1347" s="47" t="s">
        <v>4014</v>
      </c>
      <c r="E1347" s="47">
        <f t="shared" si="1"/>
        <v>7</v>
      </c>
      <c r="F1347" s="47" t="s">
        <v>4015</v>
      </c>
      <c r="G1347" s="47" t="s">
        <v>242</v>
      </c>
      <c r="H1347" s="48">
        <f>IF(NOT(ISBLANK(vlookup(B1347,Pop_Census_2023!$A$2:$E$3220,4,FALSE))),vlookup(B1347,Pop_Census_2023!$A$2:$E$3220,4,FALSE), vlookup(B1347,Pop_Census_2023!$A$2:$E$3220,5,FALSE))</f>
        <v>6139</v>
      </c>
    </row>
    <row r="1348">
      <c r="A1348" s="47" t="s">
        <v>2893</v>
      </c>
      <c r="B1348" s="47">
        <v>27053.0</v>
      </c>
      <c r="C1348" s="47">
        <v>6.0</v>
      </c>
      <c r="D1348" s="47" t="s">
        <v>4044</v>
      </c>
      <c r="E1348" s="47" t="str">
        <f t="shared" si="1"/>
        <v>6A</v>
      </c>
      <c r="F1348" s="47" t="s">
        <v>4054</v>
      </c>
      <c r="G1348" s="47" t="s">
        <v>1042</v>
      </c>
      <c r="H1348" s="48">
        <f>IF(NOT(ISBLANK(vlookup(B1348,Pop_Census_2023!$A$2:$E$3220,4,FALSE))),vlookup(B1348,Pop_Census_2023!$A$2:$E$3220,4,FALSE), vlookup(B1348,Pop_Census_2023!$A$2:$E$3220,5,FALSE))</f>
        <v>1258713</v>
      </c>
    </row>
    <row r="1349">
      <c r="A1349" s="47" t="s">
        <v>2893</v>
      </c>
      <c r="B1349" s="47">
        <v>27055.0</v>
      </c>
      <c r="C1349" s="47">
        <v>6.0</v>
      </c>
      <c r="D1349" s="47" t="s">
        <v>4044</v>
      </c>
      <c r="E1349" s="47" t="str">
        <f t="shared" si="1"/>
        <v>6A</v>
      </c>
      <c r="F1349" s="47" t="s">
        <v>4054</v>
      </c>
      <c r="G1349" s="47" t="s">
        <v>137</v>
      </c>
      <c r="H1349" s="48">
        <f>IF(NOT(ISBLANK(vlookup(B1349,Pop_Census_2023!$A$2:$E$3220,4,FALSE))),vlookup(B1349,Pop_Census_2023!$A$2:$E$3220,4,FALSE), vlookup(B1349,Pop_Census_2023!$A$2:$E$3220,5,FALSE))</f>
        <v>18582</v>
      </c>
    </row>
    <row r="1350">
      <c r="A1350" s="47" t="s">
        <v>2893</v>
      </c>
      <c r="B1350" s="47">
        <v>27057.0</v>
      </c>
      <c r="C1350" s="47">
        <v>7.0</v>
      </c>
      <c r="D1350" s="47" t="s">
        <v>4014</v>
      </c>
      <c r="E1350" s="47">
        <f t="shared" si="1"/>
        <v>7</v>
      </c>
      <c r="F1350" s="47" t="s">
        <v>4015</v>
      </c>
      <c r="G1350" s="47" t="s">
        <v>1043</v>
      </c>
      <c r="H1350" s="48">
        <f>IF(NOT(ISBLANK(vlookup(B1350,Pop_Census_2023!$A$2:$E$3220,4,FALSE))),vlookup(B1350,Pop_Census_2023!$A$2:$E$3220,4,FALSE), vlookup(B1350,Pop_Census_2023!$A$2:$E$3220,5,FALSE))</f>
        <v>22132</v>
      </c>
    </row>
    <row r="1351">
      <c r="A1351" s="47" t="s">
        <v>2893</v>
      </c>
      <c r="B1351" s="47">
        <v>27059.0</v>
      </c>
      <c r="C1351" s="47">
        <v>6.0</v>
      </c>
      <c r="D1351" s="47" t="s">
        <v>4044</v>
      </c>
      <c r="E1351" s="47" t="str">
        <f t="shared" si="1"/>
        <v>6A</v>
      </c>
      <c r="F1351" s="47" t="s">
        <v>4054</v>
      </c>
      <c r="G1351" s="47" t="s">
        <v>1044</v>
      </c>
      <c r="H1351" s="48">
        <f>IF(NOT(ISBLANK(vlookup(B1351,Pop_Census_2023!$A$2:$E$3220,4,FALSE))),vlookup(B1351,Pop_Census_2023!$A$2:$E$3220,4,FALSE), vlookup(B1351,Pop_Census_2023!$A$2:$E$3220,5,FALSE))</f>
        <v>43182</v>
      </c>
    </row>
    <row r="1352">
      <c r="A1352" s="47" t="s">
        <v>2893</v>
      </c>
      <c r="B1352" s="47">
        <v>27061.0</v>
      </c>
      <c r="C1352" s="47">
        <v>7.0</v>
      </c>
      <c r="D1352" s="47" t="s">
        <v>4014</v>
      </c>
      <c r="E1352" s="47">
        <f t="shared" si="1"/>
        <v>7</v>
      </c>
      <c r="F1352" s="47" t="s">
        <v>4015</v>
      </c>
      <c r="G1352" s="47" t="s">
        <v>1045</v>
      </c>
      <c r="H1352" s="48">
        <f>IF(NOT(ISBLANK(vlookup(B1352,Pop_Census_2023!$A$2:$E$3220,4,FALSE))),vlookup(B1352,Pop_Census_2023!$A$2:$E$3220,4,FALSE), vlookup(B1352,Pop_Census_2023!$A$2:$E$3220,5,FALSE))</f>
        <v>45365</v>
      </c>
    </row>
    <row r="1353">
      <c r="A1353" s="47" t="s">
        <v>2893</v>
      </c>
      <c r="B1353" s="47">
        <v>27063.0</v>
      </c>
      <c r="C1353" s="47">
        <v>6.0</v>
      </c>
      <c r="D1353" s="47" t="s">
        <v>4044</v>
      </c>
      <c r="E1353" s="47" t="str">
        <f t="shared" si="1"/>
        <v>6A</v>
      </c>
      <c r="F1353" s="47" t="s">
        <v>4054</v>
      </c>
      <c r="G1353" s="47" t="s">
        <v>138</v>
      </c>
      <c r="H1353" s="48">
        <f>IF(NOT(ISBLANK(vlookup(B1353,Pop_Census_2023!$A$2:$E$3220,4,FALSE))),vlookup(B1353,Pop_Census_2023!$A$2:$E$3220,4,FALSE), vlookup(B1353,Pop_Census_2023!$A$2:$E$3220,5,FALSE))</f>
        <v>9919</v>
      </c>
    </row>
    <row r="1354">
      <c r="A1354" s="47" t="s">
        <v>2893</v>
      </c>
      <c r="B1354" s="47">
        <v>27065.0</v>
      </c>
      <c r="C1354" s="47">
        <v>7.0</v>
      </c>
      <c r="D1354" s="47" t="s">
        <v>4014</v>
      </c>
      <c r="E1354" s="47">
        <f t="shared" si="1"/>
        <v>7</v>
      </c>
      <c r="F1354" s="47" t="s">
        <v>4015</v>
      </c>
      <c r="G1354" s="47" t="s">
        <v>1046</v>
      </c>
      <c r="H1354" s="48">
        <f>IF(NOT(ISBLANK(vlookup(B1354,Pop_Census_2023!$A$2:$E$3220,4,FALSE))),vlookup(B1354,Pop_Census_2023!$A$2:$E$3220,4,FALSE), vlookup(B1354,Pop_Census_2023!$A$2:$E$3220,5,FALSE))</f>
        <v>16602</v>
      </c>
    </row>
    <row r="1355">
      <c r="A1355" s="47" t="s">
        <v>2893</v>
      </c>
      <c r="B1355" s="47">
        <v>27067.0</v>
      </c>
      <c r="C1355" s="47">
        <v>6.0</v>
      </c>
      <c r="D1355" s="47" t="s">
        <v>4044</v>
      </c>
      <c r="E1355" s="47" t="str">
        <f t="shared" si="1"/>
        <v>6A</v>
      </c>
      <c r="F1355" s="47" t="s">
        <v>4054</v>
      </c>
      <c r="G1355" s="47" t="s">
        <v>1047</v>
      </c>
      <c r="H1355" s="48">
        <f>IF(NOT(ISBLANK(vlookup(B1355,Pop_Census_2023!$A$2:$E$3220,4,FALSE))),vlookup(B1355,Pop_Census_2023!$A$2:$E$3220,4,FALSE), vlookup(B1355,Pop_Census_2023!$A$2:$E$3220,5,FALSE))</f>
        <v>43813</v>
      </c>
    </row>
    <row r="1356">
      <c r="A1356" s="47" t="s">
        <v>2893</v>
      </c>
      <c r="B1356" s="47">
        <v>27069.0</v>
      </c>
      <c r="C1356" s="47">
        <v>7.0</v>
      </c>
      <c r="D1356" s="47" t="s">
        <v>4014</v>
      </c>
      <c r="E1356" s="47">
        <f t="shared" si="1"/>
        <v>7</v>
      </c>
      <c r="F1356" s="47" t="s">
        <v>4015</v>
      </c>
      <c r="G1356" s="47" t="s">
        <v>1048</v>
      </c>
      <c r="H1356" s="48">
        <f>IF(NOT(ISBLANK(vlookup(B1356,Pop_Census_2023!$A$2:$E$3220,4,FALSE))),vlookup(B1356,Pop_Census_2023!$A$2:$E$3220,4,FALSE), vlookup(B1356,Pop_Census_2023!$A$2:$E$3220,5,FALSE))</f>
        <v>4060</v>
      </c>
    </row>
    <row r="1357">
      <c r="A1357" s="47" t="s">
        <v>2893</v>
      </c>
      <c r="B1357" s="47">
        <v>27071.0</v>
      </c>
      <c r="C1357" s="47">
        <v>7.0</v>
      </c>
      <c r="D1357" s="47" t="s">
        <v>4014</v>
      </c>
      <c r="E1357" s="47">
        <f t="shared" si="1"/>
        <v>7</v>
      </c>
      <c r="F1357" s="47" t="s">
        <v>4015</v>
      </c>
      <c r="G1357" s="47" t="s">
        <v>1049</v>
      </c>
      <c r="H1357" s="48">
        <f>IF(NOT(ISBLANK(vlookup(B1357,Pop_Census_2023!$A$2:$E$3220,4,FALSE))),vlookup(B1357,Pop_Census_2023!$A$2:$E$3220,4,FALSE), vlookup(B1357,Pop_Census_2023!$A$2:$E$3220,5,FALSE))</f>
        <v>11751</v>
      </c>
    </row>
    <row r="1358">
      <c r="A1358" s="47" t="s">
        <v>2893</v>
      </c>
      <c r="B1358" s="47">
        <v>27073.0</v>
      </c>
      <c r="C1358" s="47">
        <v>6.0</v>
      </c>
      <c r="D1358" s="47" t="s">
        <v>4044</v>
      </c>
      <c r="E1358" s="47" t="str">
        <f t="shared" si="1"/>
        <v>6A</v>
      </c>
      <c r="F1358" s="47" t="s">
        <v>4054</v>
      </c>
      <c r="G1358" s="47" t="s">
        <v>1050</v>
      </c>
      <c r="H1358" s="48">
        <f>IF(NOT(ISBLANK(vlookup(B1358,Pop_Census_2023!$A$2:$E$3220,4,FALSE))),vlookup(B1358,Pop_Census_2023!$A$2:$E$3220,4,FALSE), vlookup(B1358,Pop_Census_2023!$A$2:$E$3220,5,FALSE))</f>
        <v>6630</v>
      </c>
    </row>
    <row r="1359">
      <c r="A1359" s="47" t="s">
        <v>2893</v>
      </c>
      <c r="B1359" s="47">
        <v>27075.0</v>
      </c>
      <c r="C1359" s="47">
        <v>7.0</v>
      </c>
      <c r="D1359" s="47" t="s">
        <v>4014</v>
      </c>
      <c r="E1359" s="47">
        <f t="shared" si="1"/>
        <v>7</v>
      </c>
      <c r="F1359" s="47" t="s">
        <v>4015</v>
      </c>
      <c r="G1359" s="47" t="s">
        <v>298</v>
      </c>
      <c r="H1359" s="48">
        <f>IF(NOT(ISBLANK(vlookup(B1359,Pop_Census_2023!$A$2:$E$3220,4,FALSE))),vlookup(B1359,Pop_Census_2023!$A$2:$E$3220,4,FALSE), vlookup(B1359,Pop_Census_2023!$A$2:$E$3220,5,FALSE))</f>
        <v>10855</v>
      </c>
    </row>
    <row r="1360">
      <c r="A1360" s="47" t="s">
        <v>2893</v>
      </c>
      <c r="B1360" s="47">
        <v>27077.0</v>
      </c>
      <c r="C1360" s="47">
        <v>7.0</v>
      </c>
      <c r="D1360" s="47" t="s">
        <v>4014</v>
      </c>
      <c r="E1360" s="47">
        <f t="shared" si="1"/>
        <v>7</v>
      </c>
      <c r="F1360" s="47" t="s">
        <v>4015</v>
      </c>
      <c r="G1360" s="47" t="s">
        <v>1051</v>
      </c>
      <c r="H1360" s="48">
        <f>IF(NOT(ISBLANK(vlookup(B1360,Pop_Census_2023!$A$2:$E$3220,4,FALSE))),vlookup(B1360,Pop_Census_2023!$A$2:$E$3220,4,FALSE), vlookup(B1360,Pop_Census_2023!$A$2:$E$3220,5,FALSE))</f>
        <v>3778</v>
      </c>
    </row>
    <row r="1361">
      <c r="A1361" s="47" t="s">
        <v>2893</v>
      </c>
      <c r="B1361" s="47">
        <v>27079.0</v>
      </c>
      <c r="C1361" s="47">
        <v>6.0</v>
      </c>
      <c r="D1361" s="47" t="s">
        <v>4044</v>
      </c>
      <c r="E1361" s="47" t="str">
        <f t="shared" si="1"/>
        <v>6A</v>
      </c>
      <c r="F1361" s="47" t="s">
        <v>4054</v>
      </c>
      <c r="G1361" s="47" t="s">
        <v>1052</v>
      </c>
      <c r="H1361" s="48">
        <f>IF(NOT(ISBLANK(vlookup(B1361,Pop_Census_2023!$A$2:$E$3220,4,FALSE))),vlookup(B1361,Pop_Census_2023!$A$2:$E$3220,4,FALSE), vlookup(B1361,Pop_Census_2023!$A$2:$E$3220,5,FALSE))</f>
        <v>29255</v>
      </c>
    </row>
    <row r="1362">
      <c r="A1362" s="47" t="s">
        <v>2893</v>
      </c>
      <c r="B1362" s="47">
        <v>27081.0</v>
      </c>
      <c r="C1362" s="47">
        <v>6.0</v>
      </c>
      <c r="D1362" s="47" t="s">
        <v>4044</v>
      </c>
      <c r="E1362" s="47" t="str">
        <f t="shared" si="1"/>
        <v>6A</v>
      </c>
      <c r="F1362" s="47" t="s">
        <v>4054</v>
      </c>
      <c r="G1362" s="47" t="s">
        <v>250</v>
      </c>
      <c r="H1362" s="48">
        <f>IF(NOT(ISBLANK(vlookup(B1362,Pop_Census_2023!$A$2:$E$3220,4,FALSE))),vlookup(B1362,Pop_Census_2023!$A$2:$E$3220,4,FALSE), vlookup(B1362,Pop_Census_2023!$A$2:$E$3220,5,FALSE))</f>
        <v>5521</v>
      </c>
    </row>
    <row r="1363">
      <c r="A1363" s="47" t="s">
        <v>2893</v>
      </c>
      <c r="B1363" s="47">
        <v>27083.0</v>
      </c>
      <c r="C1363" s="47">
        <v>6.0</v>
      </c>
      <c r="D1363" s="47" t="s">
        <v>4044</v>
      </c>
      <c r="E1363" s="47" t="str">
        <f t="shared" si="1"/>
        <v>6A</v>
      </c>
      <c r="F1363" s="47" t="s">
        <v>4054</v>
      </c>
      <c r="G1363" s="47" t="s">
        <v>729</v>
      </c>
      <c r="H1363" s="48">
        <f>IF(NOT(ISBLANK(vlookup(B1363,Pop_Census_2023!$A$2:$E$3220,4,FALSE))),vlookup(B1363,Pop_Census_2023!$A$2:$E$3220,4,FALSE), vlookup(B1363,Pop_Census_2023!$A$2:$E$3220,5,FALSE))</f>
        <v>25427</v>
      </c>
    </row>
    <row r="1364">
      <c r="A1364" s="47" t="s">
        <v>2893</v>
      </c>
      <c r="B1364" s="47">
        <v>27087.0</v>
      </c>
      <c r="C1364" s="47">
        <v>7.0</v>
      </c>
      <c r="D1364" s="47" t="s">
        <v>4014</v>
      </c>
      <c r="E1364" s="47">
        <f t="shared" si="1"/>
        <v>7</v>
      </c>
      <c r="F1364" s="47" t="s">
        <v>4015</v>
      </c>
      <c r="G1364" s="47" t="s">
        <v>1054</v>
      </c>
      <c r="H1364" s="48">
        <f>IF(NOT(ISBLANK(vlookup(B1364,Pop_Census_2023!$A$2:$E$3220,4,FALSE))),vlookup(B1364,Pop_Census_2023!$A$2:$E$3220,4,FALSE), vlookup(B1364,Pop_Census_2023!$A$2:$E$3220,5,FALSE))</f>
        <v>5280</v>
      </c>
    </row>
    <row r="1365">
      <c r="A1365" s="47" t="s">
        <v>2893</v>
      </c>
      <c r="B1365" s="47">
        <v>27089.0</v>
      </c>
      <c r="C1365" s="47">
        <v>7.0</v>
      </c>
      <c r="D1365" s="47" t="s">
        <v>4014</v>
      </c>
      <c r="E1365" s="47">
        <f t="shared" si="1"/>
        <v>7</v>
      </c>
      <c r="F1365" s="47" t="s">
        <v>4015</v>
      </c>
      <c r="G1365" s="47" t="s">
        <v>150</v>
      </c>
      <c r="H1365" s="48">
        <f>IF(NOT(ISBLANK(vlookup(B1365,Pop_Census_2023!$A$2:$E$3220,4,FALSE))),vlookup(B1365,Pop_Census_2023!$A$2:$E$3220,4,FALSE), vlookup(B1365,Pop_Census_2023!$A$2:$E$3220,5,FALSE))</f>
        <v>8810</v>
      </c>
    </row>
    <row r="1366">
      <c r="A1366" s="47" t="s">
        <v>2893</v>
      </c>
      <c r="B1366" s="47">
        <v>27091.0</v>
      </c>
      <c r="C1366" s="47">
        <v>6.0</v>
      </c>
      <c r="D1366" s="47" t="s">
        <v>4044</v>
      </c>
      <c r="E1366" s="47" t="str">
        <f t="shared" si="1"/>
        <v>6A</v>
      </c>
      <c r="F1366" s="47" t="s">
        <v>4054</v>
      </c>
      <c r="G1366" s="47" t="s">
        <v>440</v>
      </c>
      <c r="H1366" s="48">
        <f>IF(NOT(ISBLANK(vlookup(B1366,Pop_Census_2023!$A$2:$E$3220,4,FALSE))),vlookup(B1366,Pop_Census_2023!$A$2:$E$3220,4,FALSE), vlookup(B1366,Pop_Census_2023!$A$2:$E$3220,5,FALSE))</f>
        <v>19657</v>
      </c>
    </row>
    <row r="1367">
      <c r="A1367" s="47" t="s">
        <v>2893</v>
      </c>
      <c r="B1367" s="47">
        <v>27085.0</v>
      </c>
      <c r="C1367" s="47">
        <v>6.0</v>
      </c>
      <c r="D1367" s="47" t="s">
        <v>4044</v>
      </c>
      <c r="E1367" s="47" t="str">
        <f t="shared" si="1"/>
        <v>6A</v>
      </c>
      <c r="F1367" s="47" t="s">
        <v>4054</v>
      </c>
      <c r="G1367" s="47" t="s">
        <v>1053</v>
      </c>
      <c r="H1367" s="48">
        <f>IF(NOT(ISBLANK(vlookup(B1367,Pop_Census_2023!$A$2:$E$3220,4,FALSE))),vlookup(B1367,Pop_Census_2023!$A$2:$E$3220,4,FALSE), vlookup(B1367,Pop_Census_2023!$A$2:$E$3220,5,FALSE))</f>
        <v>36785</v>
      </c>
    </row>
    <row r="1368">
      <c r="A1368" s="47" t="s">
        <v>2893</v>
      </c>
      <c r="B1368" s="47">
        <v>27093.0</v>
      </c>
      <c r="C1368" s="47">
        <v>6.0</v>
      </c>
      <c r="D1368" s="47" t="s">
        <v>4044</v>
      </c>
      <c r="E1368" s="47" t="str">
        <f t="shared" si="1"/>
        <v>6A</v>
      </c>
      <c r="F1368" s="47" t="s">
        <v>4054</v>
      </c>
      <c r="G1368" s="47" t="s">
        <v>1055</v>
      </c>
      <c r="H1368" s="48">
        <f>IF(NOT(ISBLANK(vlookup(B1368,Pop_Census_2023!$A$2:$E$3220,4,FALSE))),vlookup(B1368,Pop_Census_2023!$A$2:$E$3220,4,FALSE), vlookup(B1368,Pop_Census_2023!$A$2:$E$3220,5,FALSE))</f>
        <v>23490</v>
      </c>
    </row>
    <row r="1369">
      <c r="A1369" s="47" t="s">
        <v>2893</v>
      </c>
      <c r="B1369" s="47">
        <v>27095.0</v>
      </c>
      <c r="C1369" s="47">
        <v>7.0</v>
      </c>
      <c r="D1369" s="47" t="s">
        <v>4014</v>
      </c>
      <c r="E1369" s="47">
        <f t="shared" si="1"/>
        <v>7</v>
      </c>
      <c r="F1369" s="47" t="s">
        <v>4015</v>
      </c>
      <c r="G1369" s="47" t="s">
        <v>1056</v>
      </c>
      <c r="H1369" s="48">
        <f>IF(NOT(ISBLANK(vlookup(B1369,Pop_Census_2023!$A$2:$E$3220,4,FALSE))),vlookup(B1369,Pop_Census_2023!$A$2:$E$3220,4,FALSE), vlookup(B1369,Pop_Census_2023!$A$2:$E$3220,5,FALSE))</f>
        <v>27427</v>
      </c>
    </row>
    <row r="1370">
      <c r="A1370" s="47" t="s">
        <v>2893</v>
      </c>
      <c r="B1370" s="47">
        <v>27097.0</v>
      </c>
      <c r="C1370" s="47">
        <v>6.0</v>
      </c>
      <c r="D1370" s="47" t="s">
        <v>4044</v>
      </c>
      <c r="E1370" s="47" t="str">
        <f t="shared" si="1"/>
        <v>6A</v>
      </c>
      <c r="F1370" s="47" t="s">
        <v>4054</v>
      </c>
      <c r="G1370" s="47" t="s">
        <v>1057</v>
      </c>
      <c r="H1370" s="48">
        <f>IF(NOT(ISBLANK(vlookup(B1370,Pop_Census_2023!$A$2:$E$3220,4,FALSE))),vlookup(B1370,Pop_Census_2023!$A$2:$E$3220,4,FALSE), vlookup(B1370,Pop_Census_2023!$A$2:$E$3220,5,FALSE))</f>
        <v>34250</v>
      </c>
    </row>
    <row r="1371">
      <c r="A1371" s="47" t="s">
        <v>2893</v>
      </c>
      <c r="B1371" s="47">
        <v>27099.0</v>
      </c>
      <c r="C1371" s="47">
        <v>6.0</v>
      </c>
      <c r="D1371" s="47" t="s">
        <v>4044</v>
      </c>
      <c r="E1371" s="47" t="str">
        <f t="shared" si="1"/>
        <v>6A</v>
      </c>
      <c r="F1371" s="47" t="s">
        <v>4054</v>
      </c>
      <c r="G1371" s="47" t="s">
        <v>1058</v>
      </c>
      <c r="H1371" s="48">
        <f>IF(NOT(ISBLANK(vlookup(B1371,Pop_Census_2023!$A$2:$E$3220,4,FALSE))),vlookup(B1371,Pop_Census_2023!$A$2:$E$3220,4,FALSE), vlookup(B1371,Pop_Census_2023!$A$2:$E$3220,5,FALSE))</f>
        <v>40058</v>
      </c>
    </row>
    <row r="1372">
      <c r="A1372" s="47" t="s">
        <v>2893</v>
      </c>
      <c r="B1372" s="47">
        <v>27101.0</v>
      </c>
      <c r="C1372" s="47">
        <v>6.0</v>
      </c>
      <c r="D1372" s="47" t="s">
        <v>4044</v>
      </c>
      <c r="E1372" s="47" t="str">
        <f t="shared" si="1"/>
        <v>6A</v>
      </c>
      <c r="F1372" s="47" t="s">
        <v>4054</v>
      </c>
      <c r="G1372" s="47" t="s">
        <v>530</v>
      </c>
      <c r="H1372" s="48">
        <f>IF(NOT(ISBLANK(vlookup(B1372,Pop_Census_2023!$A$2:$E$3220,4,FALSE))),vlookup(B1372,Pop_Census_2023!$A$2:$E$3220,4,FALSE), vlookup(B1372,Pop_Census_2023!$A$2:$E$3220,5,FALSE))</f>
        <v>8049</v>
      </c>
    </row>
    <row r="1373">
      <c r="A1373" s="47" t="s">
        <v>2893</v>
      </c>
      <c r="B1373" s="47">
        <v>27103.0</v>
      </c>
      <c r="C1373" s="47">
        <v>6.0</v>
      </c>
      <c r="D1373" s="47" t="s">
        <v>4044</v>
      </c>
      <c r="E1373" s="47" t="str">
        <f t="shared" si="1"/>
        <v>6A</v>
      </c>
      <c r="F1373" s="47" t="s">
        <v>4054</v>
      </c>
      <c r="G1373" s="47" t="s">
        <v>1059</v>
      </c>
      <c r="H1373" s="48">
        <f>IF(NOT(ISBLANK(vlookup(B1373,Pop_Census_2023!$A$2:$E$3220,4,FALSE))),vlookup(B1373,Pop_Census_2023!$A$2:$E$3220,4,FALSE), vlookup(B1373,Pop_Census_2023!$A$2:$E$3220,5,FALSE))</f>
        <v>34242</v>
      </c>
    </row>
    <row r="1374">
      <c r="A1374" s="47" t="s">
        <v>2893</v>
      </c>
      <c r="B1374" s="47">
        <v>27105.0</v>
      </c>
      <c r="C1374" s="47">
        <v>6.0</v>
      </c>
      <c r="D1374" s="47" t="s">
        <v>4044</v>
      </c>
      <c r="E1374" s="47" t="str">
        <f t="shared" si="1"/>
        <v>6A</v>
      </c>
      <c r="F1374" s="47" t="s">
        <v>4054</v>
      </c>
      <c r="G1374" s="47" t="s">
        <v>1060</v>
      </c>
      <c r="H1374" s="48">
        <f>IF(NOT(ISBLANK(vlookup(B1374,Pop_Census_2023!$A$2:$E$3220,4,FALSE))),vlookup(B1374,Pop_Census_2023!$A$2:$E$3220,4,FALSE), vlookup(B1374,Pop_Census_2023!$A$2:$E$3220,5,FALSE))</f>
        <v>21727</v>
      </c>
    </row>
    <row r="1375">
      <c r="A1375" s="47" t="s">
        <v>2893</v>
      </c>
      <c r="B1375" s="47">
        <v>27107.0</v>
      </c>
      <c r="C1375" s="47">
        <v>7.0</v>
      </c>
      <c r="D1375" s="47" t="s">
        <v>4014</v>
      </c>
      <c r="E1375" s="47">
        <f t="shared" si="1"/>
        <v>7</v>
      </c>
      <c r="F1375" s="47" t="s">
        <v>4015</v>
      </c>
      <c r="G1375" s="47" t="s">
        <v>1061</v>
      </c>
      <c r="H1375" s="48">
        <f>IF(NOT(ISBLANK(vlookup(B1375,Pop_Census_2023!$A$2:$E$3220,4,FALSE))),vlookup(B1375,Pop_Census_2023!$A$2:$E$3220,4,FALSE), vlookup(B1375,Pop_Census_2023!$A$2:$E$3220,5,FALSE))</f>
        <v>6329</v>
      </c>
    </row>
    <row r="1376">
      <c r="A1376" s="47" t="s">
        <v>2893</v>
      </c>
      <c r="B1376" s="47">
        <v>27109.0</v>
      </c>
      <c r="C1376" s="47">
        <v>6.0</v>
      </c>
      <c r="D1376" s="47" t="s">
        <v>4044</v>
      </c>
      <c r="E1376" s="47" t="str">
        <f t="shared" si="1"/>
        <v>6A</v>
      </c>
      <c r="F1376" s="47" t="s">
        <v>4054</v>
      </c>
      <c r="G1376" s="47" t="s">
        <v>1062</v>
      </c>
      <c r="H1376" s="48">
        <f>IF(NOT(ISBLANK(vlookup(B1376,Pop_Census_2023!$A$2:$E$3220,4,FALSE))),vlookup(B1376,Pop_Census_2023!$A$2:$E$3220,4,FALSE), vlookup(B1376,Pop_Census_2023!$A$2:$E$3220,5,FALSE))</f>
        <v>164784</v>
      </c>
    </row>
    <row r="1377">
      <c r="A1377" s="47" t="s">
        <v>2893</v>
      </c>
      <c r="B1377" s="47">
        <v>27111.0</v>
      </c>
      <c r="C1377" s="47">
        <v>7.0</v>
      </c>
      <c r="D1377" s="47" t="s">
        <v>4014</v>
      </c>
      <c r="E1377" s="47">
        <f t="shared" si="1"/>
        <v>7</v>
      </c>
      <c r="F1377" s="47" t="s">
        <v>4015</v>
      </c>
      <c r="G1377" s="47" t="s">
        <v>1063</v>
      </c>
      <c r="H1377" s="48">
        <f>IF(NOT(ISBLANK(vlookup(B1377,Pop_Census_2023!$A$2:$E$3220,4,FALSE))),vlookup(B1377,Pop_Census_2023!$A$2:$E$3220,4,FALSE), vlookup(B1377,Pop_Census_2023!$A$2:$E$3220,5,FALSE))</f>
        <v>60626</v>
      </c>
    </row>
    <row r="1378">
      <c r="A1378" s="47" t="s">
        <v>2893</v>
      </c>
      <c r="B1378" s="47">
        <v>27113.0</v>
      </c>
      <c r="C1378" s="47">
        <v>7.0</v>
      </c>
      <c r="D1378" s="47" t="s">
        <v>4014</v>
      </c>
      <c r="E1378" s="47">
        <f t="shared" si="1"/>
        <v>7</v>
      </c>
      <c r="F1378" s="47" t="s">
        <v>4015</v>
      </c>
      <c r="G1378" s="47" t="s">
        <v>1064</v>
      </c>
      <c r="H1378" s="48">
        <f>IF(NOT(ISBLANK(vlookup(B1378,Pop_Census_2023!$A$2:$E$3220,4,FALSE))),vlookup(B1378,Pop_Census_2023!$A$2:$E$3220,4,FALSE), vlookup(B1378,Pop_Census_2023!$A$2:$E$3220,5,FALSE))</f>
        <v>13714</v>
      </c>
    </row>
    <row r="1379">
      <c r="A1379" s="47" t="s">
        <v>2893</v>
      </c>
      <c r="B1379" s="47">
        <v>27115.0</v>
      </c>
      <c r="C1379" s="47">
        <v>7.0</v>
      </c>
      <c r="D1379" s="47" t="s">
        <v>4014</v>
      </c>
      <c r="E1379" s="47">
        <f t="shared" si="1"/>
        <v>7</v>
      </c>
      <c r="F1379" s="47" t="s">
        <v>4015</v>
      </c>
      <c r="G1379" s="47" t="s">
        <v>1065</v>
      </c>
      <c r="H1379" s="48">
        <f>IF(NOT(ISBLANK(vlookup(B1379,Pop_Census_2023!$A$2:$E$3220,4,FALSE))),vlookup(B1379,Pop_Census_2023!$A$2:$E$3220,4,FALSE), vlookup(B1379,Pop_Census_2023!$A$2:$E$3220,5,FALSE))</f>
        <v>30197</v>
      </c>
    </row>
    <row r="1380">
      <c r="A1380" s="47" t="s">
        <v>2893</v>
      </c>
      <c r="B1380" s="47">
        <v>27117.0</v>
      </c>
      <c r="C1380" s="47">
        <v>6.0</v>
      </c>
      <c r="D1380" s="47" t="s">
        <v>4044</v>
      </c>
      <c r="E1380" s="47" t="str">
        <f t="shared" si="1"/>
        <v>6A</v>
      </c>
      <c r="F1380" s="47" t="s">
        <v>4054</v>
      </c>
      <c r="G1380" s="47" t="s">
        <v>1066</v>
      </c>
      <c r="H1380" s="48">
        <f>IF(NOT(ISBLANK(vlookup(B1380,Pop_Census_2023!$A$2:$E$3220,4,FALSE))),vlookup(B1380,Pop_Census_2023!$A$2:$E$3220,4,FALSE), vlookup(B1380,Pop_Census_2023!$A$2:$E$3220,5,FALSE))</f>
        <v>9245</v>
      </c>
    </row>
    <row r="1381">
      <c r="A1381" s="47" t="s">
        <v>2893</v>
      </c>
      <c r="B1381" s="47">
        <v>27119.0</v>
      </c>
      <c r="C1381" s="47">
        <v>7.0</v>
      </c>
      <c r="D1381" s="47" t="s">
        <v>4014</v>
      </c>
      <c r="E1381" s="47">
        <f t="shared" si="1"/>
        <v>7</v>
      </c>
      <c r="F1381" s="47" t="s">
        <v>4015</v>
      </c>
      <c r="G1381" s="47" t="s">
        <v>261</v>
      </c>
      <c r="H1381" s="48">
        <f>IF(NOT(ISBLANK(vlookup(B1381,Pop_Census_2023!$A$2:$E$3220,4,FALSE))),vlookup(B1381,Pop_Census_2023!$A$2:$E$3220,4,FALSE), vlookup(B1381,Pop_Census_2023!$A$2:$E$3220,5,FALSE))</f>
        <v>30412</v>
      </c>
    </row>
    <row r="1382">
      <c r="A1382" s="47" t="s">
        <v>2893</v>
      </c>
      <c r="B1382" s="47">
        <v>27121.0</v>
      </c>
      <c r="C1382" s="47">
        <v>6.0</v>
      </c>
      <c r="D1382" s="47" t="s">
        <v>4044</v>
      </c>
      <c r="E1382" s="47" t="str">
        <f t="shared" si="1"/>
        <v>6A</v>
      </c>
      <c r="F1382" s="47" t="s">
        <v>4054</v>
      </c>
      <c r="G1382" s="47" t="s">
        <v>262</v>
      </c>
      <c r="H1382" s="48">
        <f>IF(NOT(ISBLANK(vlookup(B1382,Pop_Census_2023!$A$2:$E$3220,4,FALSE))),vlookup(B1382,Pop_Census_2023!$A$2:$E$3220,4,FALSE), vlookup(B1382,Pop_Census_2023!$A$2:$E$3220,5,FALSE))</f>
        <v>11400</v>
      </c>
    </row>
    <row r="1383">
      <c r="A1383" s="47" t="s">
        <v>2893</v>
      </c>
      <c r="B1383" s="47">
        <v>27123.0</v>
      </c>
      <c r="C1383" s="47">
        <v>6.0</v>
      </c>
      <c r="D1383" s="47" t="s">
        <v>4044</v>
      </c>
      <c r="E1383" s="47" t="str">
        <f t="shared" si="1"/>
        <v>6A</v>
      </c>
      <c r="F1383" s="47" t="s">
        <v>4054</v>
      </c>
      <c r="G1383" s="47" t="s">
        <v>1067</v>
      </c>
      <c r="H1383" s="48">
        <f>IF(NOT(ISBLANK(vlookup(B1383,Pop_Census_2023!$A$2:$E$3220,4,FALSE))),vlookup(B1383,Pop_Census_2023!$A$2:$E$3220,4,FALSE), vlookup(B1383,Pop_Census_2023!$A$2:$E$3220,5,FALSE))</f>
        <v>536075</v>
      </c>
    </row>
    <row r="1384">
      <c r="A1384" s="47" t="s">
        <v>2893</v>
      </c>
      <c r="B1384" s="47">
        <v>27125.0</v>
      </c>
      <c r="C1384" s="47">
        <v>7.0</v>
      </c>
      <c r="D1384" s="47" t="s">
        <v>4014</v>
      </c>
      <c r="E1384" s="47">
        <f t="shared" si="1"/>
        <v>7</v>
      </c>
      <c r="F1384" s="47" t="s">
        <v>4015</v>
      </c>
      <c r="G1384" s="47" t="s">
        <v>1068</v>
      </c>
      <c r="H1384" s="48">
        <f>IF(NOT(ISBLANK(vlookup(B1384,Pop_Census_2023!$A$2:$E$3220,4,FALSE))),vlookup(B1384,Pop_Census_2023!$A$2:$E$3220,4,FALSE), vlookup(B1384,Pop_Census_2023!$A$2:$E$3220,5,FALSE))</f>
        <v>3911</v>
      </c>
    </row>
    <row r="1385">
      <c r="A1385" s="47" t="s">
        <v>2893</v>
      </c>
      <c r="B1385" s="47">
        <v>27127.0</v>
      </c>
      <c r="C1385" s="47">
        <v>6.0</v>
      </c>
      <c r="D1385" s="47" t="s">
        <v>4044</v>
      </c>
      <c r="E1385" s="47" t="str">
        <f t="shared" si="1"/>
        <v>6A</v>
      </c>
      <c r="F1385" s="47" t="s">
        <v>4054</v>
      </c>
      <c r="G1385" s="47" t="s">
        <v>1069</v>
      </c>
      <c r="H1385" s="48">
        <f>IF(NOT(ISBLANK(vlookup(B1385,Pop_Census_2023!$A$2:$E$3220,4,FALSE))),vlookup(B1385,Pop_Census_2023!$A$2:$E$3220,4,FALSE), vlookup(B1385,Pop_Census_2023!$A$2:$E$3220,5,FALSE))</f>
        <v>15288</v>
      </c>
    </row>
    <row r="1386">
      <c r="A1386" s="47" t="s">
        <v>2893</v>
      </c>
      <c r="B1386" s="47">
        <v>27129.0</v>
      </c>
      <c r="C1386" s="47">
        <v>6.0</v>
      </c>
      <c r="D1386" s="47" t="s">
        <v>4044</v>
      </c>
      <c r="E1386" s="47" t="str">
        <f t="shared" si="1"/>
        <v>6A</v>
      </c>
      <c r="F1386" s="47" t="s">
        <v>4054</v>
      </c>
      <c r="G1386" s="47" t="s">
        <v>1070</v>
      </c>
      <c r="H1386" s="48">
        <f>IF(NOT(ISBLANK(vlookup(B1386,Pop_Census_2023!$A$2:$E$3220,4,FALSE))),vlookup(B1386,Pop_Census_2023!$A$2:$E$3220,4,FALSE), vlookup(B1386,Pop_Census_2023!$A$2:$E$3220,5,FALSE))</f>
        <v>14348</v>
      </c>
    </row>
    <row r="1387">
      <c r="A1387" s="47" t="s">
        <v>2893</v>
      </c>
      <c r="B1387" s="47">
        <v>27131.0</v>
      </c>
      <c r="C1387" s="47">
        <v>6.0</v>
      </c>
      <c r="D1387" s="47" t="s">
        <v>4044</v>
      </c>
      <c r="E1387" s="47" t="str">
        <f t="shared" si="1"/>
        <v>6A</v>
      </c>
      <c r="F1387" s="47" t="s">
        <v>4054</v>
      </c>
      <c r="G1387" s="47" t="s">
        <v>799</v>
      </c>
      <c r="H1387" s="48">
        <f>IF(NOT(ISBLANK(vlookup(B1387,Pop_Census_2023!$A$2:$E$3220,4,FALSE))),vlookup(B1387,Pop_Census_2023!$A$2:$E$3220,4,FALSE), vlookup(B1387,Pop_Census_2023!$A$2:$E$3220,5,FALSE))</f>
        <v>67948</v>
      </c>
    </row>
    <row r="1388">
      <c r="A1388" s="47" t="s">
        <v>2893</v>
      </c>
      <c r="B1388" s="47">
        <v>27133.0</v>
      </c>
      <c r="C1388" s="47">
        <v>6.0</v>
      </c>
      <c r="D1388" s="47" t="s">
        <v>4044</v>
      </c>
      <c r="E1388" s="47" t="str">
        <f t="shared" si="1"/>
        <v>6A</v>
      </c>
      <c r="F1388" s="47" t="s">
        <v>4054</v>
      </c>
      <c r="G1388" s="47" t="s">
        <v>1071</v>
      </c>
      <c r="H1388" s="48">
        <f>IF(NOT(ISBLANK(vlookup(B1388,Pop_Census_2023!$A$2:$E$3220,4,FALSE))),vlookup(B1388,Pop_Census_2023!$A$2:$E$3220,4,FALSE), vlookup(B1388,Pop_Census_2023!$A$2:$E$3220,5,FALSE))</f>
        <v>9551</v>
      </c>
    </row>
    <row r="1389">
      <c r="A1389" s="47" t="s">
        <v>2893</v>
      </c>
      <c r="B1389" s="47">
        <v>27135.0</v>
      </c>
      <c r="C1389" s="47">
        <v>7.0</v>
      </c>
      <c r="D1389" s="47" t="s">
        <v>4014</v>
      </c>
      <c r="E1389" s="47">
        <f t="shared" si="1"/>
        <v>7</v>
      </c>
      <c r="F1389" s="47" t="s">
        <v>4015</v>
      </c>
      <c r="G1389" s="47" t="s">
        <v>1072</v>
      </c>
      <c r="H1389" s="48">
        <f>IF(NOT(ISBLANK(vlookup(B1389,Pop_Census_2023!$A$2:$E$3220,4,FALSE))),vlookup(B1389,Pop_Census_2023!$A$2:$E$3220,4,FALSE), vlookup(B1389,Pop_Census_2023!$A$2:$E$3220,5,FALSE))</f>
        <v>15252</v>
      </c>
    </row>
    <row r="1390">
      <c r="A1390" s="47" t="s">
        <v>2893</v>
      </c>
      <c r="B1390" s="47">
        <v>27139.0</v>
      </c>
      <c r="C1390" s="47">
        <v>6.0</v>
      </c>
      <c r="D1390" s="47" t="s">
        <v>4044</v>
      </c>
      <c r="E1390" s="47" t="str">
        <f t="shared" si="1"/>
        <v>6A</v>
      </c>
      <c r="F1390" s="47" t="s">
        <v>4054</v>
      </c>
      <c r="G1390" s="47" t="s">
        <v>267</v>
      </c>
      <c r="H1390" s="48">
        <f>IF(NOT(ISBLANK(vlookup(B1390,Pop_Census_2023!$A$2:$E$3220,4,FALSE))),vlookup(B1390,Pop_Census_2023!$A$2:$E$3220,4,FALSE), vlookup(B1390,Pop_Census_2023!$A$2:$E$3220,5,FALSE))</f>
        <v>155814</v>
      </c>
    </row>
    <row r="1391">
      <c r="A1391" s="47" t="s">
        <v>2893</v>
      </c>
      <c r="B1391" s="47">
        <v>27141.0</v>
      </c>
      <c r="C1391" s="47">
        <v>6.0</v>
      </c>
      <c r="D1391" s="47" t="s">
        <v>4044</v>
      </c>
      <c r="E1391" s="47" t="str">
        <f t="shared" si="1"/>
        <v>6A</v>
      </c>
      <c r="F1391" s="47" t="s">
        <v>4054</v>
      </c>
      <c r="G1391" s="47" t="s">
        <v>1074</v>
      </c>
      <c r="H1391" s="48">
        <f>IF(NOT(ISBLANK(vlookup(B1391,Pop_Census_2023!$A$2:$E$3220,4,FALSE))),vlookup(B1391,Pop_Census_2023!$A$2:$E$3220,4,FALSE), vlookup(B1391,Pop_Census_2023!$A$2:$E$3220,5,FALSE))</f>
        <v>102206</v>
      </c>
    </row>
    <row r="1392">
      <c r="A1392" s="47" t="s">
        <v>2893</v>
      </c>
      <c r="B1392" s="47">
        <v>27143.0</v>
      </c>
      <c r="C1392" s="47">
        <v>6.0</v>
      </c>
      <c r="D1392" s="47" t="s">
        <v>4044</v>
      </c>
      <c r="E1392" s="47" t="str">
        <f t="shared" si="1"/>
        <v>6A</v>
      </c>
      <c r="F1392" s="47" t="s">
        <v>4054</v>
      </c>
      <c r="G1392" s="47" t="s">
        <v>1075</v>
      </c>
      <c r="H1392" s="48">
        <f>IF(NOT(ISBLANK(vlookup(B1392,Pop_Census_2023!$A$2:$E$3220,4,FALSE))),vlookup(B1392,Pop_Census_2023!$A$2:$E$3220,4,FALSE), vlookup(B1392,Pop_Census_2023!$A$2:$E$3220,5,FALSE))</f>
        <v>15084</v>
      </c>
    </row>
    <row r="1393">
      <c r="A1393" s="47" t="s">
        <v>2893</v>
      </c>
      <c r="B1393" s="47">
        <v>27137.0</v>
      </c>
      <c r="C1393" s="47">
        <v>7.0</v>
      </c>
      <c r="D1393" s="47" t="s">
        <v>4014</v>
      </c>
      <c r="E1393" s="47">
        <f t="shared" si="1"/>
        <v>7</v>
      </c>
      <c r="F1393" s="47" t="s">
        <v>4015</v>
      </c>
      <c r="G1393" s="47" t="s">
        <v>1073</v>
      </c>
      <c r="H1393" s="48">
        <f>IF(NOT(ISBLANK(vlookup(B1393,Pop_Census_2023!$A$2:$E$3220,4,FALSE))),vlookup(B1393,Pop_Census_2023!$A$2:$E$3220,4,FALSE), vlookup(B1393,Pop_Census_2023!$A$2:$E$3220,5,FALSE))</f>
        <v>200514</v>
      </c>
    </row>
    <row r="1394">
      <c r="A1394" s="47" t="s">
        <v>2893</v>
      </c>
      <c r="B1394" s="47">
        <v>27145.0</v>
      </c>
      <c r="C1394" s="47">
        <v>6.0</v>
      </c>
      <c r="D1394" s="47" t="s">
        <v>4044</v>
      </c>
      <c r="E1394" s="47" t="str">
        <f t="shared" si="1"/>
        <v>6A</v>
      </c>
      <c r="F1394" s="47" t="s">
        <v>4054</v>
      </c>
      <c r="G1394" s="47" t="s">
        <v>1076</v>
      </c>
      <c r="H1394" s="48">
        <f>IF(NOT(ISBLANK(vlookup(B1394,Pop_Census_2023!$A$2:$E$3220,4,FALSE))),vlookup(B1394,Pop_Census_2023!$A$2:$E$3220,4,FALSE), vlookup(B1394,Pop_Census_2023!$A$2:$E$3220,5,FALSE))</f>
        <v>160977</v>
      </c>
    </row>
    <row r="1395">
      <c r="A1395" s="47" t="s">
        <v>2893</v>
      </c>
      <c r="B1395" s="47">
        <v>27147.0</v>
      </c>
      <c r="C1395" s="47">
        <v>6.0</v>
      </c>
      <c r="D1395" s="47" t="s">
        <v>4044</v>
      </c>
      <c r="E1395" s="47" t="str">
        <f t="shared" si="1"/>
        <v>6A</v>
      </c>
      <c r="F1395" s="47" t="s">
        <v>4054</v>
      </c>
      <c r="G1395" s="47" t="s">
        <v>1077</v>
      </c>
      <c r="H1395" s="48">
        <f>IF(NOT(ISBLANK(vlookup(B1395,Pop_Census_2023!$A$2:$E$3220,4,FALSE))),vlookup(B1395,Pop_Census_2023!$A$2:$E$3220,4,FALSE), vlookup(B1395,Pop_Census_2023!$A$2:$E$3220,5,FALSE))</f>
        <v>37421</v>
      </c>
    </row>
    <row r="1396">
      <c r="A1396" s="47" t="s">
        <v>2893</v>
      </c>
      <c r="B1396" s="47">
        <v>27149.0</v>
      </c>
      <c r="C1396" s="47">
        <v>6.0</v>
      </c>
      <c r="D1396" s="47" t="s">
        <v>4044</v>
      </c>
      <c r="E1396" s="47" t="str">
        <f t="shared" si="1"/>
        <v>6A</v>
      </c>
      <c r="F1396" s="47" t="s">
        <v>4054</v>
      </c>
      <c r="G1396" s="47" t="s">
        <v>809</v>
      </c>
      <c r="H1396" s="48">
        <f>IF(NOT(ISBLANK(vlookup(B1396,Pop_Census_2023!$A$2:$E$3220,4,FALSE))),vlookup(B1396,Pop_Census_2023!$A$2:$E$3220,4,FALSE), vlookup(B1396,Pop_Census_2023!$A$2:$E$3220,5,FALSE))</f>
        <v>9728</v>
      </c>
    </row>
    <row r="1397">
      <c r="A1397" s="47" t="s">
        <v>2893</v>
      </c>
      <c r="B1397" s="47">
        <v>27151.0</v>
      </c>
      <c r="C1397" s="47">
        <v>6.0</v>
      </c>
      <c r="D1397" s="47" t="s">
        <v>4044</v>
      </c>
      <c r="E1397" s="47" t="str">
        <f t="shared" si="1"/>
        <v>6A</v>
      </c>
      <c r="F1397" s="47" t="s">
        <v>4054</v>
      </c>
      <c r="G1397" s="47" t="s">
        <v>1078</v>
      </c>
      <c r="H1397" s="48">
        <f>IF(NOT(ISBLANK(vlookup(B1397,Pop_Census_2023!$A$2:$E$3220,4,FALSE))),vlookup(B1397,Pop_Census_2023!$A$2:$E$3220,4,FALSE), vlookup(B1397,Pop_Census_2023!$A$2:$E$3220,5,FALSE))</f>
        <v>9719</v>
      </c>
    </row>
    <row r="1398">
      <c r="A1398" s="47" t="s">
        <v>2893</v>
      </c>
      <c r="B1398" s="47">
        <v>27153.0</v>
      </c>
      <c r="C1398" s="47">
        <v>6.0</v>
      </c>
      <c r="D1398" s="47" t="s">
        <v>4044</v>
      </c>
      <c r="E1398" s="47" t="str">
        <f t="shared" si="1"/>
        <v>6A</v>
      </c>
      <c r="F1398" s="47" t="s">
        <v>4054</v>
      </c>
      <c r="G1398" s="47" t="s">
        <v>870</v>
      </c>
      <c r="H1398" s="48">
        <f>IF(NOT(ISBLANK(vlookup(B1398,Pop_Census_2023!$A$2:$E$3220,4,FALSE))),vlookup(B1398,Pop_Census_2023!$A$2:$E$3220,4,FALSE), vlookup(B1398,Pop_Census_2023!$A$2:$E$3220,5,FALSE))</f>
        <v>25667</v>
      </c>
    </row>
    <row r="1399">
      <c r="A1399" s="47" t="s">
        <v>2893</v>
      </c>
      <c r="B1399" s="47">
        <v>27155.0</v>
      </c>
      <c r="C1399" s="47">
        <v>6.0</v>
      </c>
      <c r="D1399" s="47" t="s">
        <v>4044</v>
      </c>
      <c r="E1399" s="47" t="str">
        <f t="shared" si="1"/>
        <v>6A</v>
      </c>
      <c r="F1399" s="47" t="s">
        <v>4054</v>
      </c>
      <c r="G1399" s="47" t="s">
        <v>1079</v>
      </c>
      <c r="H1399" s="48">
        <f>IF(NOT(ISBLANK(vlookup(B1399,Pop_Census_2023!$A$2:$E$3220,4,FALSE))),vlookup(B1399,Pop_Census_2023!$A$2:$E$3220,4,FALSE), vlookup(B1399,Pop_Census_2023!$A$2:$E$3220,5,FALSE))</f>
        <v>3136</v>
      </c>
    </row>
    <row r="1400">
      <c r="A1400" s="47" t="s">
        <v>2893</v>
      </c>
      <c r="B1400" s="47">
        <v>27157.0</v>
      </c>
      <c r="C1400" s="47">
        <v>6.0</v>
      </c>
      <c r="D1400" s="47" t="s">
        <v>4044</v>
      </c>
      <c r="E1400" s="47" t="str">
        <f t="shared" si="1"/>
        <v>6A</v>
      </c>
      <c r="F1400" s="47" t="s">
        <v>4054</v>
      </c>
      <c r="G1400" s="47" t="s">
        <v>1080</v>
      </c>
      <c r="H1400" s="48">
        <f>IF(NOT(ISBLANK(vlookup(B1400,Pop_Census_2023!$A$2:$E$3220,4,FALSE))),vlookup(B1400,Pop_Census_2023!$A$2:$E$3220,4,FALSE), vlookup(B1400,Pop_Census_2023!$A$2:$E$3220,5,FALSE))</f>
        <v>21683</v>
      </c>
    </row>
    <row r="1401">
      <c r="A1401" s="47" t="s">
        <v>2893</v>
      </c>
      <c r="B1401" s="47">
        <v>27159.0</v>
      </c>
      <c r="C1401" s="47">
        <v>7.0</v>
      </c>
      <c r="D1401" s="47" t="s">
        <v>4014</v>
      </c>
      <c r="E1401" s="47">
        <f t="shared" si="1"/>
        <v>7</v>
      </c>
      <c r="F1401" s="47" t="s">
        <v>4015</v>
      </c>
      <c r="G1401" s="47" t="s">
        <v>1081</v>
      </c>
      <c r="H1401" s="48">
        <f>IF(NOT(ISBLANK(vlookup(B1401,Pop_Census_2023!$A$2:$E$3220,4,FALSE))),vlookup(B1401,Pop_Census_2023!$A$2:$E$3220,4,FALSE), vlookup(B1401,Pop_Census_2023!$A$2:$E$3220,5,FALSE))</f>
        <v>14241</v>
      </c>
    </row>
    <row r="1402">
      <c r="A1402" s="47" t="s">
        <v>2893</v>
      </c>
      <c r="B1402" s="47">
        <v>27161.0</v>
      </c>
      <c r="C1402" s="47">
        <v>6.0</v>
      </c>
      <c r="D1402" s="47" t="s">
        <v>4044</v>
      </c>
      <c r="E1402" s="47" t="str">
        <f t="shared" si="1"/>
        <v>6A</v>
      </c>
      <c r="F1402" s="47" t="s">
        <v>4054</v>
      </c>
      <c r="G1402" s="47" t="s">
        <v>1082</v>
      </c>
      <c r="H1402" s="48">
        <f>IF(NOT(ISBLANK(vlookup(B1402,Pop_Census_2023!$A$2:$E$3220,4,FALSE))),vlookup(B1402,Pop_Census_2023!$A$2:$E$3220,4,FALSE), vlookup(B1402,Pop_Census_2023!$A$2:$E$3220,5,FALSE))</f>
        <v>18981</v>
      </c>
    </row>
    <row r="1403">
      <c r="A1403" s="47" t="s">
        <v>2893</v>
      </c>
      <c r="B1403" s="47">
        <v>27163.0</v>
      </c>
      <c r="C1403" s="47">
        <v>6.0</v>
      </c>
      <c r="D1403" s="47" t="s">
        <v>4044</v>
      </c>
      <c r="E1403" s="47" t="str">
        <f t="shared" si="1"/>
        <v>6A</v>
      </c>
      <c r="F1403" s="47" t="s">
        <v>4054</v>
      </c>
      <c r="G1403" s="47" t="s">
        <v>167</v>
      </c>
      <c r="H1403" s="48">
        <f>IF(NOT(ISBLANK(vlookup(B1403,Pop_Census_2023!$A$2:$E$3220,4,FALSE))),vlookup(B1403,Pop_Census_2023!$A$2:$E$3220,4,FALSE), vlookup(B1403,Pop_Census_2023!$A$2:$E$3220,5,FALSE))</f>
        <v>278936</v>
      </c>
    </row>
    <row r="1404">
      <c r="A1404" s="47" t="s">
        <v>2893</v>
      </c>
      <c r="B1404" s="47">
        <v>27165.0</v>
      </c>
      <c r="C1404" s="47">
        <v>6.0</v>
      </c>
      <c r="D1404" s="47" t="s">
        <v>4044</v>
      </c>
      <c r="E1404" s="47" t="str">
        <f t="shared" si="1"/>
        <v>6A</v>
      </c>
      <c r="F1404" s="47" t="s">
        <v>4054</v>
      </c>
      <c r="G1404" s="47" t="s">
        <v>1083</v>
      </c>
      <c r="H1404" s="48">
        <f>IF(NOT(ISBLANK(vlookup(B1404,Pop_Census_2023!$A$2:$E$3220,4,FALSE))),vlookup(B1404,Pop_Census_2023!$A$2:$E$3220,4,FALSE), vlookup(B1404,Pop_Census_2023!$A$2:$E$3220,5,FALSE))</f>
        <v>11077</v>
      </c>
    </row>
    <row r="1405">
      <c r="A1405" s="47" t="s">
        <v>2893</v>
      </c>
      <c r="B1405" s="47">
        <v>27167.0</v>
      </c>
      <c r="C1405" s="47">
        <v>7.0</v>
      </c>
      <c r="D1405" s="47" t="s">
        <v>4014</v>
      </c>
      <c r="E1405" s="47">
        <f t="shared" si="1"/>
        <v>7</v>
      </c>
      <c r="F1405" s="47" t="s">
        <v>4015</v>
      </c>
      <c r="G1405" s="47" t="s">
        <v>1084</v>
      </c>
      <c r="H1405" s="48">
        <f>IF(NOT(ISBLANK(vlookup(B1405,Pop_Census_2023!$A$2:$E$3220,4,FALSE))),vlookup(B1405,Pop_Census_2023!$A$2:$E$3220,4,FALSE), vlookup(B1405,Pop_Census_2023!$A$2:$E$3220,5,FALSE))</f>
        <v>6306</v>
      </c>
    </row>
    <row r="1406">
      <c r="A1406" s="47" t="s">
        <v>2893</v>
      </c>
      <c r="B1406" s="47">
        <v>27169.0</v>
      </c>
      <c r="C1406" s="47">
        <v>6.0</v>
      </c>
      <c r="D1406" s="47" t="s">
        <v>4044</v>
      </c>
      <c r="E1406" s="47" t="str">
        <f t="shared" si="1"/>
        <v>6A</v>
      </c>
      <c r="F1406" s="47" t="s">
        <v>4054</v>
      </c>
      <c r="G1406" s="47" t="s">
        <v>1085</v>
      </c>
      <c r="H1406" s="48">
        <f>IF(NOT(ISBLANK(vlookup(B1406,Pop_Census_2023!$A$2:$E$3220,4,FALSE))),vlookup(B1406,Pop_Census_2023!$A$2:$E$3220,4,FALSE), vlookup(B1406,Pop_Census_2023!$A$2:$E$3220,5,FALSE))</f>
        <v>49721</v>
      </c>
    </row>
    <row r="1407">
      <c r="A1407" s="47" t="s">
        <v>2893</v>
      </c>
      <c r="B1407" s="47">
        <v>27171.0</v>
      </c>
      <c r="C1407" s="47">
        <v>6.0</v>
      </c>
      <c r="D1407" s="47" t="s">
        <v>4044</v>
      </c>
      <c r="E1407" s="47" t="str">
        <f t="shared" si="1"/>
        <v>6A</v>
      </c>
      <c r="F1407" s="47" t="s">
        <v>4054</v>
      </c>
      <c r="G1407" s="47" t="s">
        <v>749</v>
      </c>
      <c r="H1407" s="48">
        <f>IF(NOT(ISBLANK(vlookup(B1407,Pop_Census_2023!$A$2:$E$3220,4,FALSE))),vlookup(B1407,Pop_Census_2023!$A$2:$E$3220,4,FALSE), vlookup(B1407,Pop_Census_2023!$A$2:$E$3220,5,FALSE))</f>
        <v>151150</v>
      </c>
    </row>
    <row r="1408">
      <c r="A1408" s="47" t="s">
        <v>2893</v>
      </c>
      <c r="B1408" s="47">
        <v>27173.0</v>
      </c>
      <c r="C1408" s="47">
        <v>6.0</v>
      </c>
      <c r="D1408" s="47" t="s">
        <v>4044</v>
      </c>
      <c r="E1408" s="47" t="str">
        <f t="shared" si="1"/>
        <v>6A</v>
      </c>
      <c r="F1408" s="47" t="s">
        <v>4054</v>
      </c>
      <c r="G1408" s="47" t="s">
        <v>1086</v>
      </c>
      <c r="H1408" s="48">
        <f>IF(NOT(ISBLANK(vlookup(B1408,Pop_Census_2023!$A$2:$E$3220,4,FALSE))),vlookup(B1408,Pop_Census_2023!$A$2:$E$3220,4,FALSE), vlookup(B1408,Pop_Census_2023!$A$2:$E$3220,5,FALSE))</f>
        <v>9467</v>
      </c>
    </row>
    <row r="1409">
      <c r="A1409" s="47" t="s">
        <v>2992</v>
      </c>
      <c r="B1409" s="47">
        <v>29001.0</v>
      </c>
      <c r="C1409" s="47">
        <v>5.0</v>
      </c>
      <c r="D1409" s="47" t="s">
        <v>4044</v>
      </c>
      <c r="E1409" s="47" t="str">
        <f t="shared" si="1"/>
        <v>5A</v>
      </c>
      <c r="F1409" s="47" t="s">
        <v>4054</v>
      </c>
      <c r="G1409" s="47" t="s">
        <v>704</v>
      </c>
      <c r="H1409" s="48">
        <f>IF(NOT(ISBLANK(vlookup(B1409,Pop_Census_2023!$A$2:$E$3220,4,FALSE))),vlookup(B1409,Pop_Census_2023!$A$2:$E$3220,4,FALSE), vlookup(B1409,Pop_Census_2023!$A$2:$E$3220,5,FALSE))</f>
        <v>25122</v>
      </c>
    </row>
    <row r="1410">
      <c r="A1410" s="47" t="s">
        <v>2992</v>
      </c>
      <c r="B1410" s="47">
        <v>29003.0</v>
      </c>
      <c r="C1410" s="47">
        <v>5.0</v>
      </c>
      <c r="D1410" s="47" t="s">
        <v>4044</v>
      </c>
      <c r="E1410" s="47" t="str">
        <f t="shared" si="1"/>
        <v>5A</v>
      </c>
      <c r="F1410" s="47" t="s">
        <v>4054</v>
      </c>
      <c r="G1410" s="47" t="s">
        <v>1122</v>
      </c>
      <c r="H1410" s="48">
        <f>IF(NOT(ISBLANK(vlookup(B1410,Pop_Census_2023!$A$2:$E$3220,4,FALSE))),vlookup(B1410,Pop_Census_2023!$A$2:$E$3220,4,FALSE), vlookup(B1410,Pop_Census_2023!$A$2:$E$3220,5,FALSE))</f>
        <v>18127</v>
      </c>
    </row>
    <row r="1411">
      <c r="A1411" s="47" t="s">
        <v>2992</v>
      </c>
      <c r="B1411" s="47">
        <v>29005.0</v>
      </c>
      <c r="C1411" s="47">
        <v>5.0</v>
      </c>
      <c r="D1411" s="47" t="s">
        <v>4044</v>
      </c>
      <c r="E1411" s="47" t="str">
        <f t="shared" si="1"/>
        <v>5A</v>
      </c>
      <c r="F1411" s="47" t="s">
        <v>4054</v>
      </c>
      <c r="G1411" s="47" t="s">
        <v>752</v>
      </c>
      <c r="H1411" s="48">
        <f>IF(NOT(ISBLANK(vlookup(B1411,Pop_Census_2023!$A$2:$E$3220,4,FALSE))),vlookup(B1411,Pop_Census_2023!$A$2:$E$3220,4,FALSE), vlookup(B1411,Pop_Census_2023!$A$2:$E$3220,5,FALSE))</f>
        <v>5107</v>
      </c>
    </row>
    <row r="1412">
      <c r="A1412" s="47" t="s">
        <v>2992</v>
      </c>
      <c r="B1412" s="47">
        <v>29007.0</v>
      </c>
      <c r="C1412" s="47">
        <v>4.0</v>
      </c>
      <c r="D1412" s="47" t="s">
        <v>4044</v>
      </c>
      <c r="E1412" s="47" t="str">
        <f t="shared" si="1"/>
        <v>4A</v>
      </c>
      <c r="F1412" s="47" t="s">
        <v>4046</v>
      </c>
      <c r="G1412" s="47" t="s">
        <v>1123</v>
      </c>
      <c r="H1412" s="48">
        <f>IF(NOT(ISBLANK(vlookup(B1412,Pop_Census_2023!$A$2:$E$3220,4,FALSE))),vlookup(B1412,Pop_Census_2023!$A$2:$E$3220,4,FALSE), vlookup(B1412,Pop_Census_2023!$A$2:$E$3220,5,FALSE))</f>
        <v>24394</v>
      </c>
    </row>
    <row r="1413">
      <c r="A1413" s="47" t="s">
        <v>2992</v>
      </c>
      <c r="B1413" s="47">
        <v>29009.0</v>
      </c>
      <c r="C1413" s="47">
        <v>4.0</v>
      </c>
      <c r="D1413" s="47" t="s">
        <v>4044</v>
      </c>
      <c r="E1413" s="47" t="str">
        <f t="shared" si="1"/>
        <v>4A</v>
      </c>
      <c r="F1413" s="47" t="s">
        <v>4046</v>
      </c>
      <c r="G1413" s="47" t="s">
        <v>970</v>
      </c>
      <c r="H1413" s="48">
        <f>IF(NOT(ISBLANK(vlookup(B1413,Pop_Census_2023!$A$2:$E$3220,4,FALSE))),vlookup(B1413,Pop_Census_2023!$A$2:$E$3220,4,FALSE), vlookup(B1413,Pop_Census_2023!$A$2:$E$3220,5,FALSE))</f>
        <v>35265</v>
      </c>
    </row>
    <row r="1414">
      <c r="A1414" s="47" t="s">
        <v>2992</v>
      </c>
      <c r="B1414" s="47">
        <v>29011.0</v>
      </c>
      <c r="C1414" s="47">
        <v>4.0</v>
      </c>
      <c r="D1414" s="47" t="s">
        <v>4044</v>
      </c>
      <c r="E1414" s="47" t="str">
        <f t="shared" si="1"/>
        <v>4A</v>
      </c>
      <c r="F1414" s="47" t="s">
        <v>4046</v>
      </c>
      <c r="G1414" s="47" t="s">
        <v>754</v>
      </c>
      <c r="H1414" s="48">
        <f>IF(NOT(ISBLANK(vlookup(B1414,Pop_Census_2023!$A$2:$E$3220,4,FALSE))),vlookup(B1414,Pop_Census_2023!$A$2:$E$3220,4,FALSE), vlookup(B1414,Pop_Census_2023!$A$2:$E$3220,5,FALSE))</f>
        <v>11731</v>
      </c>
    </row>
    <row r="1415">
      <c r="A1415" s="47" t="s">
        <v>2992</v>
      </c>
      <c r="B1415" s="47">
        <v>29013.0</v>
      </c>
      <c r="C1415" s="47">
        <v>4.0</v>
      </c>
      <c r="D1415" s="47" t="s">
        <v>4044</v>
      </c>
      <c r="E1415" s="47" t="str">
        <f t="shared" si="1"/>
        <v>4A</v>
      </c>
      <c r="F1415" s="47" t="s">
        <v>4046</v>
      </c>
      <c r="G1415" s="47" t="s">
        <v>1124</v>
      </c>
      <c r="H1415" s="48">
        <f>IF(NOT(ISBLANK(vlookup(B1415,Pop_Census_2023!$A$2:$E$3220,4,FALSE))),vlookup(B1415,Pop_Census_2023!$A$2:$E$3220,4,FALSE), vlookup(B1415,Pop_Census_2023!$A$2:$E$3220,5,FALSE))</f>
        <v>16242</v>
      </c>
    </row>
    <row r="1416">
      <c r="A1416" s="47" t="s">
        <v>2992</v>
      </c>
      <c r="B1416" s="47">
        <v>29015.0</v>
      </c>
      <c r="C1416" s="47">
        <v>4.0</v>
      </c>
      <c r="D1416" s="47" t="s">
        <v>4044</v>
      </c>
      <c r="E1416" s="47" t="str">
        <f t="shared" si="1"/>
        <v>4A</v>
      </c>
      <c r="F1416" s="47" t="s">
        <v>4046</v>
      </c>
      <c r="G1416" s="47" t="s">
        <v>224</v>
      </c>
      <c r="H1416" s="48">
        <f>IF(NOT(ISBLANK(vlookup(B1416,Pop_Census_2023!$A$2:$E$3220,4,FALSE))),vlookup(B1416,Pop_Census_2023!$A$2:$E$3220,4,FALSE), vlookup(B1416,Pop_Census_2023!$A$2:$E$3220,5,FALSE))</f>
        <v>20552</v>
      </c>
    </row>
    <row r="1417">
      <c r="A1417" s="47" t="s">
        <v>2992</v>
      </c>
      <c r="B1417" s="47">
        <v>29017.0</v>
      </c>
      <c r="C1417" s="47">
        <v>4.0</v>
      </c>
      <c r="D1417" s="47" t="s">
        <v>4044</v>
      </c>
      <c r="E1417" s="47" t="str">
        <f t="shared" si="1"/>
        <v>4A</v>
      </c>
      <c r="F1417" s="47" t="s">
        <v>4046</v>
      </c>
      <c r="G1417" s="47" t="s">
        <v>1125</v>
      </c>
      <c r="H1417" s="48">
        <f>IF(NOT(ISBLANK(vlookup(B1417,Pop_Census_2023!$A$2:$E$3220,4,FALSE))),vlookup(B1417,Pop_Census_2023!$A$2:$E$3220,4,FALSE), vlookup(B1417,Pop_Census_2023!$A$2:$E$3220,5,FALSE))</f>
        <v>10544</v>
      </c>
    </row>
    <row r="1418">
      <c r="A1418" s="47" t="s">
        <v>2992</v>
      </c>
      <c r="B1418" s="47">
        <v>29019.0</v>
      </c>
      <c r="C1418" s="47">
        <v>4.0</v>
      </c>
      <c r="D1418" s="47" t="s">
        <v>4044</v>
      </c>
      <c r="E1418" s="47" t="str">
        <f t="shared" si="1"/>
        <v>4A</v>
      </c>
      <c r="F1418" s="47" t="s">
        <v>4046</v>
      </c>
      <c r="G1418" s="47" t="s">
        <v>225</v>
      </c>
      <c r="H1418" s="48">
        <f>IF(NOT(ISBLANK(vlookup(B1418,Pop_Census_2023!$A$2:$E$3220,4,FALSE))),vlookup(B1418,Pop_Census_2023!$A$2:$E$3220,4,FALSE), vlookup(B1418,Pop_Census_2023!$A$2:$E$3220,5,FALSE))</f>
        <v>189463</v>
      </c>
    </row>
    <row r="1419">
      <c r="A1419" s="47" t="s">
        <v>2992</v>
      </c>
      <c r="B1419" s="47">
        <v>29021.0</v>
      </c>
      <c r="C1419" s="47">
        <v>5.0</v>
      </c>
      <c r="D1419" s="47" t="s">
        <v>4044</v>
      </c>
      <c r="E1419" s="47" t="str">
        <f t="shared" si="1"/>
        <v>5A</v>
      </c>
      <c r="F1419" s="47" t="s">
        <v>4054</v>
      </c>
      <c r="G1419" s="47" t="s">
        <v>712</v>
      </c>
      <c r="H1419" s="48">
        <f>IF(NOT(ISBLANK(vlookup(B1419,Pop_Census_2023!$A$2:$E$3220,4,FALSE))),vlookup(B1419,Pop_Census_2023!$A$2:$E$3220,4,FALSE), vlookup(B1419,Pop_Census_2023!$A$2:$E$3220,5,FALSE))</f>
        <v>82956</v>
      </c>
    </row>
    <row r="1420">
      <c r="A1420" s="47" t="s">
        <v>2992</v>
      </c>
      <c r="B1420" s="47">
        <v>29023.0</v>
      </c>
      <c r="C1420" s="47">
        <v>4.0</v>
      </c>
      <c r="D1420" s="47" t="s">
        <v>4044</v>
      </c>
      <c r="E1420" s="47" t="str">
        <f t="shared" si="1"/>
        <v>4A</v>
      </c>
      <c r="F1420" s="47" t="s">
        <v>4046</v>
      </c>
      <c r="G1420" s="47" t="s">
        <v>109</v>
      </c>
      <c r="H1420" s="48">
        <f>IF(NOT(ISBLANK(vlookup(B1420,Pop_Census_2023!$A$2:$E$3220,4,FALSE))),vlookup(B1420,Pop_Census_2023!$A$2:$E$3220,4,FALSE), vlookup(B1420,Pop_Census_2023!$A$2:$E$3220,5,FALSE))</f>
        <v>41948</v>
      </c>
    </row>
    <row r="1421">
      <c r="A1421" s="47" t="s">
        <v>2992</v>
      </c>
      <c r="B1421" s="47">
        <v>29025.0</v>
      </c>
      <c r="C1421" s="47">
        <v>5.0</v>
      </c>
      <c r="D1421" s="47" t="s">
        <v>4044</v>
      </c>
      <c r="E1421" s="47" t="str">
        <f t="shared" si="1"/>
        <v>5A</v>
      </c>
      <c r="F1421" s="47" t="s">
        <v>4054</v>
      </c>
      <c r="G1421" s="47" t="s">
        <v>829</v>
      </c>
      <c r="H1421" s="48">
        <f>IF(NOT(ISBLANK(vlookup(B1421,Pop_Census_2023!$A$2:$E$3220,4,FALSE))),vlookup(B1421,Pop_Census_2023!$A$2:$E$3220,4,FALSE), vlookup(B1421,Pop_Census_2023!$A$2:$E$3220,5,FALSE))</f>
        <v>8955</v>
      </c>
    </row>
    <row r="1422">
      <c r="A1422" s="47" t="s">
        <v>2992</v>
      </c>
      <c r="B1422" s="47">
        <v>29027.0</v>
      </c>
      <c r="C1422" s="47">
        <v>4.0</v>
      </c>
      <c r="D1422" s="47" t="s">
        <v>4044</v>
      </c>
      <c r="E1422" s="47" t="str">
        <f t="shared" si="1"/>
        <v>4A</v>
      </c>
      <c r="F1422" s="47" t="s">
        <v>4046</v>
      </c>
      <c r="G1422" s="47" t="s">
        <v>1126</v>
      </c>
      <c r="H1422" s="48">
        <f>IF(NOT(ISBLANK(vlookup(B1422,Pop_Census_2023!$A$2:$E$3220,4,FALSE))),vlookup(B1422,Pop_Census_2023!$A$2:$E$3220,4,FALSE), vlookup(B1422,Pop_Census_2023!$A$2:$E$3220,5,FALSE))</f>
        <v>44731</v>
      </c>
    </row>
    <row r="1423">
      <c r="A1423" s="47" t="s">
        <v>2992</v>
      </c>
      <c r="B1423" s="47">
        <v>29029.0</v>
      </c>
      <c r="C1423" s="47">
        <v>4.0</v>
      </c>
      <c r="D1423" s="47" t="s">
        <v>4044</v>
      </c>
      <c r="E1423" s="47" t="str">
        <f t="shared" si="1"/>
        <v>4A</v>
      </c>
      <c r="F1423" s="47" t="s">
        <v>4046</v>
      </c>
      <c r="G1423" s="47" t="s">
        <v>476</v>
      </c>
      <c r="H1423" s="48">
        <f>IF(NOT(ISBLANK(vlookup(B1423,Pop_Census_2023!$A$2:$E$3220,4,FALSE))),vlookup(B1423,Pop_Census_2023!$A$2:$E$3220,4,FALSE), vlookup(B1423,Pop_Census_2023!$A$2:$E$3220,5,FALSE))</f>
        <v>44044</v>
      </c>
    </row>
    <row r="1424">
      <c r="A1424" s="47" t="s">
        <v>2992</v>
      </c>
      <c r="B1424" s="47">
        <v>29031.0</v>
      </c>
      <c r="C1424" s="47">
        <v>4.0</v>
      </c>
      <c r="D1424" s="47" t="s">
        <v>4044</v>
      </c>
      <c r="E1424" s="47" t="str">
        <f t="shared" si="1"/>
        <v>4A</v>
      </c>
      <c r="F1424" s="47" t="s">
        <v>4046</v>
      </c>
      <c r="G1424" s="47" t="s">
        <v>1127</v>
      </c>
      <c r="H1424" s="48">
        <f>IF(NOT(ISBLANK(vlookup(B1424,Pop_Census_2023!$A$2:$E$3220,4,FALSE))),vlookup(B1424,Pop_Census_2023!$A$2:$E$3220,4,FALSE), vlookup(B1424,Pop_Census_2023!$A$2:$E$3220,5,FALSE))</f>
        <v>82984</v>
      </c>
    </row>
    <row r="1425">
      <c r="A1425" s="47" t="s">
        <v>2992</v>
      </c>
      <c r="B1425" s="47">
        <v>29033.0</v>
      </c>
      <c r="C1425" s="47">
        <v>4.0</v>
      </c>
      <c r="D1425" s="47" t="s">
        <v>4044</v>
      </c>
      <c r="E1425" s="47" t="str">
        <f t="shared" si="1"/>
        <v>4A</v>
      </c>
      <c r="F1425" s="47" t="s">
        <v>4046</v>
      </c>
      <c r="G1425" s="47" t="s">
        <v>227</v>
      </c>
      <c r="H1425" s="48">
        <f>IF(NOT(ISBLANK(vlookup(B1425,Pop_Census_2023!$A$2:$E$3220,4,FALSE))),vlookup(B1425,Pop_Census_2023!$A$2:$E$3220,4,FALSE), vlookup(B1425,Pop_Census_2023!$A$2:$E$3220,5,FALSE))</f>
        <v>8391</v>
      </c>
    </row>
    <row r="1426">
      <c r="A1426" s="47" t="s">
        <v>2992</v>
      </c>
      <c r="B1426" s="47">
        <v>29035.0</v>
      </c>
      <c r="C1426" s="47">
        <v>4.0</v>
      </c>
      <c r="D1426" s="47" t="s">
        <v>4044</v>
      </c>
      <c r="E1426" s="47" t="str">
        <f t="shared" si="1"/>
        <v>4A</v>
      </c>
      <c r="F1426" s="47" t="s">
        <v>4046</v>
      </c>
      <c r="G1426" s="47" t="s">
        <v>833</v>
      </c>
      <c r="H1426" s="48">
        <f>IF(NOT(ISBLANK(vlookup(B1426,Pop_Census_2023!$A$2:$E$3220,4,FALSE))),vlookup(B1426,Pop_Census_2023!$A$2:$E$3220,4,FALSE), vlookup(B1426,Pop_Census_2023!$A$2:$E$3220,5,FALSE))</f>
        <v>5303</v>
      </c>
    </row>
    <row r="1427">
      <c r="A1427" s="47" t="s">
        <v>2992</v>
      </c>
      <c r="B1427" s="47">
        <v>29037.0</v>
      </c>
      <c r="C1427" s="47">
        <v>4.0</v>
      </c>
      <c r="D1427" s="47" t="s">
        <v>4044</v>
      </c>
      <c r="E1427" s="47" t="str">
        <f t="shared" si="1"/>
        <v>4A</v>
      </c>
      <c r="F1427" s="47" t="s">
        <v>4046</v>
      </c>
      <c r="G1427" s="47" t="s">
        <v>613</v>
      </c>
      <c r="H1427" s="48">
        <f>IF(NOT(ISBLANK(vlookup(B1427,Pop_Census_2023!$A$2:$E$3220,4,FALSE))),vlookup(B1427,Pop_Census_2023!$A$2:$E$3220,4,FALSE), vlookup(B1427,Pop_Census_2023!$A$2:$E$3220,5,FALSE))</f>
        <v>111732</v>
      </c>
    </row>
    <row r="1428">
      <c r="A1428" s="47" t="s">
        <v>2992</v>
      </c>
      <c r="B1428" s="47">
        <v>29039.0</v>
      </c>
      <c r="C1428" s="47">
        <v>4.0</v>
      </c>
      <c r="D1428" s="47" t="s">
        <v>4044</v>
      </c>
      <c r="E1428" s="47" t="str">
        <f t="shared" si="1"/>
        <v>4A</v>
      </c>
      <c r="F1428" s="47" t="s">
        <v>4046</v>
      </c>
      <c r="G1428" s="47" t="s">
        <v>714</v>
      </c>
      <c r="H1428" s="48">
        <f>IF(NOT(ISBLANK(vlookup(B1428,Pop_Census_2023!$A$2:$E$3220,4,FALSE))),vlookup(B1428,Pop_Census_2023!$A$2:$E$3220,4,FALSE), vlookup(B1428,Pop_Census_2023!$A$2:$E$3220,5,FALSE))</f>
        <v>14672</v>
      </c>
    </row>
    <row r="1429">
      <c r="A1429" s="47" t="s">
        <v>2992</v>
      </c>
      <c r="B1429" s="47">
        <v>29041.0</v>
      </c>
      <c r="C1429" s="47">
        <v>5.0</v>
      </c>
      <c r="D1429" s="47" t="s">
        <v>4044</v>
      </c>
      <c r="E1429" s="47" t="str">
        <f t="shared" si="1"/>
        <v>5A</v>
      </c>
      <c r="F1429" s="47" t="s">
        <v>4054</v>
      </c>
      <c r="G1429" s="47" t="s">
        <v>1128</v>
      </c>
      <c r="H1429" s="48">
        <f>IF(NOT(ISBLANK(vlookup(B1429,Pop_Census_2023!$A$2:$E$3220,4,FALSE))),vlookup(B1429,Pop_Census_2023!$A$2:$E$3220,4,FALSE), vlookup(B1429,Pop_Census_2023!$A$2:$E$3220,5,FALSE))</f>
        <v>7399</v>
      </c>
    </row>
    <row r="1430">
      <c r="A1430" s="47" t="s">
        <v>2992</v>
      </c>
      <c r="B1430" s="47">
        <v>29043.0</v>
      </c>
      <c r="C1430" s="47">
        <v>4.0</v>
      </c>
      <c r="D1430" s="47" t="s">
        <v>4044</v>
      </c>
      <c r="E1430" s="47" t="str">
        <f t="shared" si="1"/>
        <v>4A</v>
      </c>
      <c r="F1430" s="47" t="s">
        <v>4046</v>
      </c>
      <c r="G1430" s="47" t="s">
        <v>615</v>
      </c>
      <c r="H1430" s="48">
        <f>IF(NOT(ISBLANK(vlookup(B1430,Pop_Census_2023!$A$2:$E$3220,4,FALSE))),vlookup(B1430,Pop_Census_2023!$A$2:$E$3220,4,FALSE), vlookup(B1430,Pop_Census_2023!$A$2:$E$3220,5,FALSE))</f>
        <v>94422</v>
      </c>
    </row>
    <row r="1431">
      <c r="A1431" s="47" t="s">
        <v>2992</v>
      </c>
      <c r="B1431" s="47">
        <v>29045.0</v>
      </c>
      <c r="C1431" s="47">
        <v>5.0</v>
      </c>
      <c r="D1431" s="47" t="s">
        <v>4044</v>
      </c>
      <c r="E1431" s="47" t="str">
        <f t="shared" si="1"/>
        <v>5A</v>
      </c>
      <c r="F1431" s="47" t="s">
        <v>4054</v>
      </c>
      <c r="G1431" s="47" t="s">
        <v>229</v>
      </c>
      <c r="H1431" s="48">
        <f>IF(NOT(ISBLANK(vlookup(B1431,Pop_Census_2023!$A$2:$E$3220,4,FALSE))),vlookup(B1431,Pop_Census_2023!$A$2:$E$3220,4,FALSE), vlookup(B1431,Pop_Census_2023!$A$2:$E$3220,5,FALSE))</f>
        <v>6641</v>
      </c>
    </row>
    <row r="1432">
      <c r="A1432" s="47" t="s">
        <v>2992</v>
      </c>
      <c r="B1432" s="47">
        <v>29047.0</v>
      </c>
      <c r="C1432" s="47">
        <v>4.0</v>
      </c>
      <c r="D1432" s="47" t="s">
        <v>4044</v>
      </c>
      <c r="E1432" s="47" t="str">
        <f t="shared" si="1"/>
        <v>4A</v>
      </c>
      <c r="F1432" s="47" t="s">
        <v>4046</v>
      </c>
      <c r="G1432" s="47" t="s">
        <v>116</v>
      </c>
      <c r="H1432" s="48">
        <f>IF(NOT(ISBLANK(vlookup(B1432,Pop_Census_2023!$A$2:$E$3220,4,FALSE))),vlookup(B1432,Pop_Census_2023!$A$2:$E$3220,4,FALSE), vlookup(B1432,Pop_Census_2023!$A$2:$E$3220,5,FALSE))</f>
        <v>259772</v>
      </c>
    </row>
    <row r="1433">
      <c r="A1433" s="47" t="s">
        <v>2992</v>
      </c>
      <c r="B1433" s="47">
        <v>29049.0</v>
      </c>
      <c r="C1433" s="47">
        <v>5.0</v>
      </c>
      <c r="D1433" s="47" t="s">
        <v>4044</v>
      </c>
      <c r="E1433" s="47" t="str">
        <f t="shared" si="1"/>
        <v>5A</v>
      </c>
      <c r="F1433" s="47" t="s">
        <v>4054</v>
      </c>
      <c r="G1433" s="47" t="s">
        <v>616</v>
      </c>
      <c r="H1433" s="48">
        <f>IF(NOT(ISBLANK(vlookup(B1433,Pop_Census_2023!$A$2:$E$3220,4,FALSE))),vlookup(B1433,Pop_Census_2023!$A$2:$E$3220,4,FALSE), vlookup(B1433,Pop_Census_2023!$A$2:$E$3220,5,FALSE))</f>
        <v>21548</v>
      </c>
    </row>
    <row r="1434">
      <c r="A1434" s="47" t="s">
        <v>2992</v>
      </c>
      <c r="B1434" s="47">
        <v>29051.0</v>
      </c>
      <c r="C1434" s="47">
        <v>4.0</v>
      </c>
      <c r="D1434" s="47" t="s">
        <v>4044</v>
      </c>
      <c r="E1434" s="47" t="str">
        <f t="shared" si="1"/>
        <v>4A</v>
      </c>
      <c r="F1434" s="47" t="s">
        <v>4046</v>
      </c>
      <c r="G1434" s="47" t="s">
        <v>1129</v>
      </c>
      <c r="H1434" s="48">
        <f>IF(NOT(ISBLANK(vlookup(B1434,Pop_Census_2023!$A$2:$E$3220,4,FALSE))),vlookup(B1434,Pop_Census_2023!$A$2:$E$3220,4,FALSE), vlookup(B1434,Pop_Census_2023!$A$2:$E$3220,5,FALSE))</f>
        <v>77278</v>
      </c>
    </row>
    <row r="1435">
      <c r="A1435" s="47" t="s">
        <v>2992</v>
      </c>
      <c r="B1435" s="47">
        <v>29053.0</v>
      </c>
      <c r="C1435" s="47">
        <v>4.0</v>
      </c>
      <c r="D1435" s="47" t="s">
        <v>4044</v>
      </c>
      <c r="E1435" s="47" t="str">
        <f t="shared" si="1"/>
        <v>4A</v>
      </c>
      <c r="F1435" s="47" t="s">
        <v>4046</v>
      </c>
      <c r="G1435" s="47" t="s">
        <v>1130</v>
      </c>
      <c r="H1435" s="48">
        <f>IF(NOT(ISBLANK(vlookup(B1435,Pop_Census_2023!$A$2:$E$3220,4,FALSE))),vlookup(B1435,Pop_Census_2023!$A$2:$E$3220,4,FALSE), vlookup(B1435,Pop_Census_2023!$A$2:$E$3220,5,FALSE))</f>
        <v>16947</v>
      </c>
    </row>
    <row r="1436">
      <c r="A1436" s="47" t="s">
        <v>2992</v>
      </c>
      <c r="B1436" s="47">
        <v>29055.0</v>
      </c>
      <c r="C1436" s="47">
        <v>4.0</v>
      </c>
      <c r="D1436" s="47" t="s">
        <v>4044</v>
      </c>
      <c r="E1436" s="47" t="str">
        <f t="shared" si="1"/>
        <v>4A</v>
      </c>
      <c r="F1436" s="47" t="s">
        <v>4046</v>
      </c>
      <c r="G1436" s="47" t="s">
        <v>234</v>
      </c>
      <c r="H1436" s="48">
        <f>IF(NOT(ISBLANK(vlookup(B1436,Pop_Census_2023!$A$2:$E$3220,4,FALSE))),vlookup(B1436,Pop_Census_2023!$A$2:$E$3220,4,FALSE), vlookup(B1436,Pop_Census_2023!$A$2:$E$3220,5,FALSE))</f>
        <v>22719</v>
      </c>
    </row>
    <row r="1437">
      <c r="A1437" s="47" t="s">
        <v>2992</v>
      </c>
      <c r="B1437" s="47">
        <v>29057.0</v>
      </c>
      <c r="C1437" s="47">
        <v>4.0</v>
      </c>
      <c r="D1437" s="47" t="s">
        <v>4044</v>
      </c>
      <c r="E1437" s="47" t="str">
        <f t="shared" si="1"/>
        <v>4A</v>
      </c>
      <c r="F1437" s="47" t="s">
        <v>4046</v>
      </c>
      <c r="G1437" s="47" t="s">
        <v>490</v>
      </c>
      <c r="H1437" s="48">
        <f>IF(NOT(ISBLANK(vlookup(B1437,Pop_Census_2023!$A$2:$E$3220,4,FALSE))),vlookup(B1437,Pop_Census_2023!$A$2:$E$3220,4,FALSE), vlookup(B1437,Pop_Census_2023!$A$2:$E$3220,5,FALSE))</f>
        <v>7716</v>
      </c>
    </row>
    <row r="1438">
      <c r="A1438" s="47" t="s">
        <v>2992</v>
      </c>
      <c r="B1438" s="47">
        <v>29059.0</v>
      </c>
      <c r="C1438" s="47">
        <v>4.0</v>
      </c>
      <c r="D1438" s="47" t="s">
        <v>4044</v>
      </c>
      <c r="E1438" s="47" t="str">
        <f t="shared" si="1"/>
        <v>4A</v>
      </c>
      <c r="F1438" s="47" t="s">
        <v>4046</v>
      </c>
      <c r="G1438" s="47" t="s">
        <v>126</v>
      </c>
      <c r="H1438" s="48">
        <f>IF(NOT(ISBLANK(vlookup(B1438,Pop_Census_2023!$A$2:$E$3220,4,FALSE))),vlookup(B1438,Pop_Census_2023!$A$2:$E$3220,4,FALSE), vlookup(B1438,Pop_Census_2023!$A$2:$E$3220,5,FALSE))</f>
        <v>17768</v>
      </c>
    </row>
    <row r="1439">
      <c r="A1439" s="47" t="s">
        <v>2992</v>
      </c>
      <c r="B1439" s="47">
        <v>29061.0</v>
      </c>
      <c r="C1439" s="47">
        <v>5.0</v>
      </c>
      <c r="D1439" s="47" t="s">
        <v>4044</v>
      </c>
      <c r="E1439" s="47" t="str">
        <f t="shared" si="1"/>
        <v>5A</v>
      </c>
      <c r="F1439" s="47" t="s">
        <v>4054</v>
      </c>
      <c r="G1439" s="47" t="s">
        <v>667</v>
      </c>
      <c r="H1439" s="48">
        <f>IF(NOT(ISBLANK(vlookup(B1439,Pop_Census_2023!$A$2:$E$3220,4,FALSE))),vlookup(B1439,Pop_Census_2023!$A$2:$E$3220,4,FALSE), vlookup(B1439,Pop_Census_2023!$A$2:$E$3220,5,FALSE))</f>
        <v>8551</v>
      </c>
    </row>
    <row r="1440">
      <c r="A1440" s="47" t="s">
        <v>2992</v>
      </c>
      <c r="B1440" s="47">
        <v>29063.0</v>
      </c>
      <c r="C1440" s="47">
        <v>5.0</v>
      </c>
      <c r="D1440" s="47" t="s">
        <v>4044</v>
      </c>
      <c r="E1440" s="47" t="str">
        <f t="shared" si="1"/>
        <v>5A</v>
      </c>
      <c r="F1440" s="47" t="s">
        <v>4054</v>
      </c>
      <c r="G1440" s="47" t="s">
        <v>127</v>
      </c>
      <c r="H1440" s="48">
        <f>IF(NOT(ISBLANK(vlookup(B1440,Pop_Census_2023!$A$2:$E$3220,4,FALSE))),vlookup(B1440,Pop_Census_2023!$A$2:$E$3220,4,FALSE), vlookup(B1440,Pop_Census_2023!$A$2:$E$3220,5,FALSE))</f>
        <v>9899</v>
      </c>
    </row>
    <row r="1441">
      <c r="A1441" s="47" t="s">
        <v>2992</v>
      </c>
      <c r="B1441" s="47">
        <v>29065.0</v>
      </c>
      <c r="C1441" s="47">
        <v>4.0</v>
      </c>
      <c r="D1441" s="47" t="s">
        <v>4044</v>
      </c>
      <c r="E1441" s="47" t="str">
        <f t="shared" si="1"/>
        <v>4A</v>
      </c>
      <c r="F1441" s="47" t="s">
        <v>4046</v>
      </c>
      <c r="G1441" s="47" t="s">
        <v>1131</v>
      </c>
      <c r="H1441" s="48">
        <f>IF(NOT(ISBLANK(vlookup(B1441,Pop_Census_2023!$A$2:$E$3220,4,FALSE))),vlookup(B1441,Pop_Census_2023!$A$2:$E$3220,4,FALSE), vlookup(B1441,Pop_Census_2023!$A$2:$E$3220,5,FALSE))</f>
        <v>14647</v>
      </c>
    </row>
    <row r="1442">
      <c r="A1442" s="47" t="s">
        <v>2992</v>
      </c>
      <c r="B1442" s="47">
        <v>29067.0</v>
      </c>
      <c r="C1442" s="47">
        <v>4.0</v>
      </c>
      <c r="D1442" s="47" t="s">
        <v>4044</v>
      </c>
      <c r="E1442" s="47" t="str">
        <f t="shared" si="1"/>
        <v>4A</v>
      </c>
      <c r="F1442" s="47" t="s">
        <v>4046</v>
      </c>
      <c r="G1442" s="47" t="s">
        <v>357</v>
      </c>
      <c r="H1442" s="48">
        <f>IF(NOT(ISBLANK(vlookup(B1442,Pop_Census_2023!$A$2:$E$3220,4,FALSE))),vlookup(B1442,Pop_Census_2023!$A$2:$E$3220,4,FALSE), vlookup(B1442,Pop_Census_2023!$A$2:$E$3220,5,FALSE))</f>
        <v>12228</v>
      </c>
    </row>
    <row r="1443">
      <c r="A1443" s="47" t="s">
        <v>2992</v>
      </c>
      <c r="B1443" s="47">
        <v>29069.0</v>
      </c>
      <c r="C1443" s="47">
        <v>4.0</v>
      </c>
      <c r="D1443" s="47" t="s">
        <v>4044</v>
      </c>
      <c r="E1443" s="47" t="str">
        <f t="shared" si="1"/>
        <v>4A</v>
      </c>
      <c r="F1443" s="47" t="s">
        <v>4046</v>
      </c>
      <c r="G1443" s="47" t="s">
        <v>1132</v>
      </c>
      <c r="H1443" s="48">
        <f>IF(NOT(ISBLANK(vlookup(B1443,Pop_Census_2023!$A$2:$E$3220,4,FALSE))),vlookup(B1443,Pop_Census_2023!$A$2:$E$3220,4,FALSE), vlookup(B1443,Pop_Census_2023!$A$2:$E$3220,5,FALSE))</f>
        <v>27032</v>
      </c>
    </row>
    <row r="1444">
      <c r="A1444" s="47" t="s">
        <v>2992</v>
      </c>
      <c r="B1444" s="47">
        <v>29071.0</v>
      </c>
      <c r="C1444" s="47">
        <v>4.0</v>
      </c>
      <c r="D1444" s="47" t="s">
        <v>4044</v>
      </c>
      <c r="E1444" s="47" t="str">
        <f t="shared" si="1"/>
        <v>4A</v>
      </c>
      <c r="F1444" s="47" t="s">
        <v>4046</v>
      </c>
      <c r="G1444" s="47" t="s">
        <v>132</v>
      </c>
      <c r="H1444" s="48">
        <f>IF(NOT(ISBLANK(vlookup(B1444,Pop_Census_2023!$A$2:$E$3220,4,FALSE))),vlookup(B1444,Pop_Census_2023!$A$2:$E$3220,4,FALSE), vlookup(B1444,Pop_Census_2023!$A$2:$E$3220,5,FALSE))</f>
        <v>106404</v>
      </c>
    </row>
    <row r="1445">
      <c r="A1445" s="47" t="s">
        <v>2992</v>
      </c>
      <c r="B1445" s="47">
        <v>29073.0</v>
      </c>
      <c r="C1445" s="47">
        <v>4.0</v>
      </c>
      <c r="D1445" s="47" t="s">
        <v>4044</v>
      </c>
      <c r="E1445" s="47" t="str">
        <f t="shared" si="1"/>
        <v>4A</v>
      </c>
      <c r="F1445" s="47" t="s">
        <v>4046</v>
      </c>
      <c r="G1445" s="47" t="s">
        <v>1133</v>
      </c>
      <c r="H1445" s="48">
        <f>IF(NOT(ISBLANK(vlookup(B1445,Pop_Census_2023!$A$2:$E$3220,4,FALSE))),vlookup(B1445,Pop_Census_2023!$A$2:$E$3220,4,FALSE), vlookup(B1445,Pop_Census_2023!$A$2:$E$3220,5,FALSE))</f>
        <v>14705</v>
      </c>
    </row>
    <row r="1446">
      <c r="A1446" s="47" t="s">
        <v>2992</v>
      </c>
      <c r="B1446" s="47">
        <v>29075.0</v>
      </c>
      <c r="C1446" s="47">
        <v>5.0</v>
      </c>
      <c r="D1446" s="47" t="s">
        <v>4044</v>
      </c>
      <c r="E1446" s="47" t="str">
        <f t="shared" si="1"/>
        <v>5A</v>
      </c>
      <c r="F1446" s="47" t="s">
        <v>4054</v>
      </c>
      <c r="G1446" s="47" t="s">
        <v>1134</v>
      </c>
      <c r="H1446" s="48">
        <f>IF(NOT(ISBLANK(vlookup(B1446,Pop_Census_2023!$A$2:$E$3220,4,FALSE))),vlookup(B1446,Pop_Census_2023!$A$2:$E$3220,4,FALSE), vlookup(B1446,Pop_Census_2023!$A$2:$E$3220,5,FALSE))</f>
        <v>6287</v>
      </c>
    </row>
    <row r="1447">
      <c r="A1447" s="47" t="s">
        <v>2992</v>
      </c>
      <c r="B1447" s="47">
        <v>29077.0</v>
      </c>
      <c r="C1447" s="47">
        <v>4.0</v>
      </c>
      <c r="D1447" s="47" t="s">
        <v>4044</v>
      </c>
      <c r="E1447" s="47" t="str">
        <f t="shared" si="1"/>
        <v>4A</v>
      </c>
      <c r="F1447" s="47" t="s">
        <v>4046</v>
      </c>
      <c r="G1447" s="47" t="s">
        <v>134</v>
      </c>
      <c r="H1447" s="48">
        <f>IF(NOT(ISBLANK(vlookup(B1447,Pop_Census_2023!$A$2:$E$3220,4,FALSE))),vlookup(B1447,Pop_Census_2023!$A$2:$E$3220,4,FALSE), vlookup(B1447,Pop_Census_2023!$A$2:$E$3220,5,FALSE))</f>
        <v>304611</v>
      </c>
    </row>
    <row r="1448">
      <c r="A1448" s="47" t="s">
        <v>2992</v>
      </c>
      <c r="B1448" s="47">
        <v>29079.0</v>
      </c>
      <c r="C1448" s="47">
        <v>5.0</v>
      </c>
      <c r="D1448" s="47" t="s">
        <v>4044</v>
      </c>
      <c r="E1448" s="47" t="str">
        <f t="shared" si="1"/>
        <v>5A</v>
      </c>
      <c r="F1448" s="47" t="s">
        <v>4054</v>
      </c>
      <c r="G1448" s="47" t="s">
        <v>625</v>
      </c>
      <c r="H1448" s="48">
        <f>IF(NOT(ISBLANK(vlookup(B1448,Pop_Census_2023!$A$2:$E$3220,4,FALSE))),vlookup(B1448,Pop_Census_2023!$A$2:$E$3220,4,FALSE), vlookup(B1448,Pop_Census_2023!$A$2:$E$3220,5,FALSE))</f>
        <v>9815</v>
      </c>
    </row>
    <row r="1449">
      <c r="A1449" s="47" t="s">
        <v>2992</v>
      </c>
      <c r="B1449" s="47">
        <v>29081.0</v>
      </c>
      <c r="C1449" s="47">
        <v>5.0</v>
      </c>
      <c r="D1449" s="47" t="s">
        <v>4044</v>
      </c>
      <c r="E1449" s="47" t="str">
        <f t="shared" si="1"/>
        <v>5A</v>
      </c>
      <c r="F1449" s="47" t="s">
        <v>4054</v>
      </c>
      <c r="G1449" s="47" t="s">
        <v>673</v>
      </c>
      <c r="H1449" s="48">
        <f>IF(NOT(ISBLANK(vlookup(B1449,Pop_Census_2023!$A$2:$E$3220,4,FALSE))),vlookup(B1449,Pop_Census_2023!$A$2:$E$3220,4,FALSE), vlookup(B1449,Pop_Census_2023!$A$2:$E$3220,5,FALSE))</f>
        <v>8220</v>
      </c>
    </row>
    <row r="1450">
      <c r="A1450" s="47" t="s">
        <v>2992</v>
      </c>
      <c r="B1450" s="47">
        <v>29083.0</v>
      </c>
      <c r="C1450" s="47">
        <v>4.0</v>
      </c>
      <c r="D1450" s="47" t="s">
        <v>4044</v>
      </c>
      <c r="E1450" s="47" t="str">
        <f t="shared" si="1"/>
        <v>4A</v>
      </c>
      <c r="F1450" s="47" t="s">
        <v>4046</v>
      </c>
      <c r="G1450" s="47" t="s">
        <v>136</v>
      </c>
      <c r="H1450" s="48">
        <f>IF(NOT(ISBLANK(vlookup(B1450,Pop_Census_2023!$A$2:$E$3220,4,FALSE))),vlookup(B1450,Pop_Census_2023!$A$2:$E$3220,4,FALSE), vlookup(B1450,Pop_Census_2023!$A$2:$E$3220,5,FALSE))</f>
        <v>22485</v>
      </c>
    </row>
    <row r="1451">
      <c r="A1451" s="47" t="s">
        <v>2992</v>
      </c>
      <c r="B1451" s="47">
        <v>29085.0</v>
      </c>
      <c r="C1451" s="47">
        <v>4.0</v>
      </c>
      <c r="D1451" s="47" t="s">
        <v>4044</v>
      </c>
      <c r="E1451" s="47" t="str">
        <f t="shared" si="1"/>
        <v>4A</v>
      </c>
      <c r="F1451" s="47" t="s">
        <v>4046</v>
      </c>
      <c r="G1451" s="47" t="s">
        <v>1135</v>
      </c>
      <c r="H1451" s="48">
        <f>IF(NOT(ISBLANK(vlookup(B1451,Pop_Census_2023!$A$2:$E$3220,4,FALSE))),vlookup(B1451,Pop_Census_2023!$A$2:$E$3220,4,FALSE), vlookup(B1451,Pop_Census_2023!$A$2:$E$3220,5,FALSE))</f>
        <v>8718</v>
      </c>
    </row>
    <row r="1452">
      <c r="A1452" s="47" t="s">
        <v>2992</v>
      </c>
      <c r="B1452" s="47">
        <v>29087.0</v>
      </c>
      <c r="C1452" s="47">
        <v>5.0</v>
      </c>
      <c r="D1452" s="47" t="s">
        <v>4044</v>
      </c>
      <c r="E1452" s="47" t="str">
        <f t="shared" si="1"/>
        <v>5A</v>
      </c>
      <c r="F1452" s="47" t="s">
        <v>4054</v>
      </c>
      <c r="G1452" s="47" t="s">
        <v>1136</v>
      </c>
      <c r="H1452" s="48">
        <f>IF(NOT(ISBLANK(vlookup(B1452,Pop_Census_2023!$A$2:$E$3220,4,FALSE))),vlookup(B1452,Pop_Census_2023!$A$2:$E$3220,4,FALSE), vlookup(B1452,Pop_Census_2023!$A$2:$E$3220,5,FALSE))</f>
        <v>4248</v>
      </c>
    </row>
    <row r="1453">
      <c r="A1453" s="47" t="s">
        <v>2992</v>
      </c>
      <c r="B1453" s="47">
        <v>29089.0</v>
      </c>
      <c r="C1453" s="47">
        <v>4.0</v>
      </c>
      <c r="D1453" s="47" t="s">
        <v>4044</v>
      </c>
      <c r="E1453" s="47" t="str">
        <f t="shared" si="1"/>
        <v>4A</v>
      </c>
      <c r="F1453" s="47" t="s">
        <v>4046</v>
      </c>
      <c r="G1453" s="47" t="s">
        <v>245</v>
      </c>
      <c r="H1453" s="48">
        <f>IF(NOT(ISBLANK(vlookup(B1453,Pop_Census_2023!$A$2:$E$3220,4,FALSE))),vlookup(B1453,Pop_Census_2023!$A$2:$E$3220,4,FALSE), vlookup(B1453,Pop_Census_2023!$A$2:$E$3220,5,FALSE))</f>
        <v>10101</v>
      </c>
    </row>
    <row r="1454">
      <c r="A1454" s="47" t="s">
        <v>2992</v>
      </c>
      <c r="B1454" s="47">
        <v>29091.0</v>
      </c>
      <c r="C1454" s="47">
        <v>4.0</v>
      </c>
      <c r="D1454" s="47" t="s">
        <v>4044</v>
      </c>
      <c r="E1454" s="47" t="str">
        <f t="shared" si="1"/>
        <v>4A</v>
      </c>
      <c r="F1454" s="47" t="s">
        <v>4046</v>
      </c>
      <c r="G1454" s="47" t="s">
        <v>1137</v>
      </c>
      <c r="H1454" s="48">
        <f>IF(NOT(ISBLANK(vlookup(B1454,Pop_Census_2023!$A$2:$E$3220,4,FALSE))),vlookup(B1454,Pop_Census_2023!$A$2:$E$3220,4,FALSE), vlookup(B1454,Pop_Census_2023!$A$2:$E$3220,5,FALSE))</f>
        <v>40735</v>
      </c>
    </row>
    <row r="1455">
      <c r="A1455" s="47" t="s">
        <v>2992</v>
      </c>
      <c r="B1455" s="47">
        <v>29093.0</v>
      </c>
      <c r="C1455" s="47">
        <v>4.0</v>
      </c>
      <c r="D1455" s="47" t="s">
        <v>4044</v>
      </c>
      <c r="E1455" s="47" t="str">
        <f t="shared" si="1"/>
        <v>4A</v>
      </c>
      <c r="F1455" s="47" t="s">
        <v>4046</v>
      </c>
      <c r="G1455" s="47" t="s">
        <v>989</v>
      </c>
      <c r="H1455" s="48">
        <f>IF(NOT(ISBLANK(vlookup(B1455,Pop_Census_2023!$A$2:$E$3220,4,FALSE))),vlookup(B1455,Pop_Census_2023!$A$2:$E$3220,4,FALSE), vlookup(B1455,Pop_Census_2023!$A$2:$E$3220,5,FALSE))</f>
        <v>9440</v>
      </c>
    </row>
    <row r="1456">
      <c r="A1456" s="47" t="s">
        <v>2992</v>
      </c>
      <c r="B1456" s="47">
        <v>29095.0</v>
      </c>
      <c r="C1456" s="47">
        <v>4.0</v>
      </c>
      <c r="D1456" s="47" t="s">
        <v>4044</v>
      </c>
      <c r="E1456" s="47" t="str">
        <f t="shared" si="1"/>
        <v>4A</v>
      </c>
      <c r="F1456" s="47" t="s">
        <v>4046</v>
      </c>
      <c r="G1456" s="47" t="s">
        <v>138</v>
      </c>
      <c r="H1456" s="48">
        <f>IF(NOT(ISBLANK(vlookup(B1456,Pop_Census_2023!$A$2:$E$3220,4,FALSE))),vlookup(B1456,Pop_Census_2023!$A$2:$E$3220,4,FALSE), vlookup(B1456,Pop_Census_2023!$A$2:$E$3220,5,FALSE))</f>
        <v>718560</v>
      </c>
    </row>
    <row r="1457">
      <c r="A1457" s="47" t="s">
        <v>2992</v>
      </c>
      <c r="B1457" s="47">
        <v>29097.0</v>
      </c>
      <c r="C1457" s="47">
        <v>4.0</v>
      </c>
      <c r="D1457" s="47" t="s">
        <v>4044</v>
      </c>
      <c r="E1457" s="47" t="str">
        <f t="shared" si="1"/>
        <v>4A</v>
      </c>
      <c r="F1457" s="47" t="s">
        <v>4046</v>
      </c>
      <c r="G1457" s="47" t="s">
        <v>518</v>
      </c>
      <c r="H1457" s="48">
        <f>IF(NOT(ISBLANK(vlookup(B1457,Pop_Census_2023!$A$2:$E$3220,4,FALSE))),vlookup(B1457,Pop_Census_2023!$A$2:$E$3220,4,FALSE), vlookup(B1457,Pop_Census_2023!$A$2:$E$3220,5,FALSE))</f>
        <v>125056</v>
      </c>
    </row>
    <row r="1458">
      <c r="A1458" s="47" t="s">
        <v>2992</v>
      </c>
      <c r="B1458" s="47">
        <v>29099.0</v>
      </c>
      <c r="C1458" s="47">
        <v>4.0</v>
      </c>
      <c r="D1458" s="47" t="s">
        <v>4044</v>
      </c>
      <c r="E1458" s="47" t="str">
        <f t="shared" si="1"/>
        <v>4A</v>
      </c>
      <c r="F1458" s="47" t="s">
        <v>4046</v>
      </c>
      <c r="G1458" s="47" t="s">
        <v>139</v>
      </c>
      <c r="H1458" s="48">
        <f>IF(NOT(ISBLANK(vlookup(B1458,Pop_Census_2023!$A$2:$E$3220,4,FALSE))),vlookup(B1458,Pop_Census_2023!$A$2:$E$3220,4,FALSE), vlookup(B1458,Pop_Census_2023!$A$2:$E$3220,5,FALSE))</f>
        <v>231230</v>
      </c>
    </row>
    <row r="1459">
      <c r="A1459" s="47" t="s">
        <v>2992</v>
      </c>
      <c r="B1459" s="47">
        <v>29101.0</v>
      </c>
      <c r="C1459" s="47">
        <v>4.0</v>
      </c>
      <c r="D1459" s="47" t="s">
        <v>4044</v>
      </c>
      <c r="E1459" s="47" t="str">
        <f t="shared" si="1"/>
        <v>4A</v>
      </c>
      <c r="F1459" s="47" t="s">
        <v>4046</v>
      </c>
      <c r="G1459" s="47" t="s">
        <v>248</v>
      </c>
      <c r="H1459" s="48">
        <f>IF(NOT(ISBLANK(vlookup(B1459,Pop_Census_2023!$A$2:$E$3220,4,FALSE))),vlookup(B1459,Pop_Census_2023!$A$2:$E$3220,4,FALSE), vlookup(B1459,Pop_Census_2023!$A$2:$E$3220,5,FALSE))</f>
        <v>54962</v>
      </c>
    </row>
    <row r="1460">
      <c r="A1460" s="47" t="s">
        <v>2992</v>
      </c>
      <c r="B1460" s="47">
        <v>29103.0</v>
      </c>
      <c r="C1460" s="47">
        <v>5.0</v>
      </c>
      <c r="D1460" s="47" t="s">
        <v>4044</v>
      </c>
      <c r="E1460" s="47" t="str">
        <f t="shared" si="1"/>
        <v>5A</v>
      </c>
      <c r="F1460" s="47" t="s">
        <v>4054</v>
      </c>
      <c r="G1460" s="47" t="s">
        <v>634</v>
      </c>
      <c r="H1460" s="48">
        <f>IF(NOT(ISBLANK(vlookup(B1460,Pop_Census_2023!$A$2:$E$3220,4,FALSE))),vlookup(B1460,Pop_Census_2023!$A$2:$E$3220,4,FALSE), vlookup(B1460,Pop_Census_2023!$A$2:$E$3220,5,FALSE))</f>
        <v>3723</v>
      </c>
    </row>
    <row r="1461">
      <c r="A1461" s="47" t="s">
        <v>2992</v>
      </c>
      <c r="B1461" s="47">
        <v>29105.0</v>
      </c>
      <c r="C1461" s="47">
        <v>4.0</v>
      </c>
      <c r="D1461" s="47" t="s">
        <v>4044</v>
      </c>
      <c r="E1461" s="47" t="str">
        <f t="shared" si="1"/>
        <v>4A</v>
      </c>
      <c r="F1461" s="47" t="s">
        <v>4046</v>
      </c>
      <c r="G1461" s="47" t="s">
        <v>1138</v>
      </c>
      <c r="H1461" s="48">
        <f>IF(NOT(ISBLANK(vlookup(B1461,Pop_Census_2023!$A$2:$E$3220,4,FALSE))),vlookup(B1461,Pop_Census_2023!$A$2:$E$3220,4,FALSE), vlookup(B1461,Pop_Census_2023!$A$2:$E$3220,5,FALSE))</f>
        <v>36680</v>
      </c>
    </row>
    <row r="1462">
      <c r="A1462" s="47" t="s">
        <v>2992</v>
      </c>
      <c r="B1462" s="47">
        <v>29107.0</v>
      </c>
      <c r="C1462" s="47">
        <v>4.0</v>
      </c>
      <c r="D1462" s="47" t="s">
        <v>4044</v>
      </c>
      <c r="E1462" s="47" t="str">
        <f t="shared" si="1"/>
        <v>4A</v>
      </c>
      <c r="F1462" s="47" t="s">
        <v>4046</v>
      </c>
      <c r="G1462" s="47" t="s">
        <v>249</v>
      </c>
      <c r="H1462" s="48">
        <f>IF(NOT(ISBLANK(vlookup(B1462,Pop_Census_2023!$A$2:$E$3220,4,FALSE))),vlookup(B1462,Pop_Census_2023!$A$2:$E$3220,4,FALSE), vlookup(B1462,Pop_Census_2023!$A$2:$E$3220,5,FALSE))</f>
        <v>33196</v>
      </c>
    </row>
    <row r="1463">
      <c r="A1463" s="47" t="s">
        <v>2992</v>
      </c>
      <c r="B1463" s="47">
        <v>29109.0</v>
      </c>
      <c r="C1463" s="47">
        <v>4.0</v>
      </c>
      <c r="D1463" s="47" t="s">
        <v>4044</v>
      </c>
      <c r="E1463" s="47" t="str">
        <f t="shared" si="1"/>
        <v>4A</v>
      </c>
      <c r="F1463" s="47" t="s">
        <v>4046</v>
      </c>
      <c r="G1463" s="47" t="s">
        <v>142</v>
      </c>
      <c r="H1463" s="48">
        <f>IF(NOT(ISBLANK(vlookup(B1463,Pop_Census_2023!$A$2:$E$3220,4,FALSE))),vlookup(B1463,Pop_Census_2023!$A$2:$E$3220,4,FALSE), vlookup(B1463,Pop_Census_2023!$A$2:$E$3220,5,FALSE))</f>
        <v>38872</v>
      </c>
    </row>
    <row r="1464">
      <c r="A1464" s="47" t="s">
        <v>2992</v>
      </c>
      <c r="B1464" s="47">
        <v>29111.0</v>
      </c>
      <c r="C1464" s="47">
        <v>5.0</v>
      </c>
      <c r="D1464" s="47" t="s">
        <v>4044</v>
      </c>
      <c r="E1464" s="47" t="str">
        <f t="shared" si="1"/>
        <v>5A</v>
      </c>
      <c r="F1464" s="47" t="s">
        <v>4054</v>
      </c>
      <c r="G1464" s="47" t="s">
        <v>597</v>
      </c>
      <c r="H1464" s="48">
        <f>IF(NOT(ISBLANK(vlookup(B1464,Pop_Census_2023!$A$2:$E$3220,4,FALSE))),vlookup(B1464,Pop_Census_2023!$A$2:$E$3220,4,FALSE), vlookup(B1464,Pop_Census_2023!$A$2:$E$3220,5,FALSE))</f>
        <v>9818</v>
      </c>
    </row>
    <row r="1465">
      <c r="A1465" s="47" t="s">
        <v>2992</v>
      </c>
      <c r="B1465" s="47">
        <v>29113.0</v>
      </c>
      <c r="C1465" s="47">
        <v>4.0</v>
      </c>
      <c r="D1465" s="47" t="s">
        <v>4044</v>
      </c>
      <c r="E1465" s="47" t="str">
        <f t="shared" si="1"/>
        <v>4A</v>
      </c>
      <c r="F1465" s="47" t="s">
        <v>4046</v>
      </c>
      <c r="G1465" s="47" t="s">
        <v>250</v>
      </c>
      <c r="H1465" s="48">
        <f>IF(NOT(ISBLANK(vlookup(B1465,Pop_Census_2023!$A$2:$E$3220,4,FALSE))),vlookup(B1465,Pop_Census_2023!$A$2:$E$3220,4,FALSE), vlookup(B1465,Pop_Census_2023!$A$2:$E$3220,5,FALSE))</f>
        <v>64699</v>
      </c>
    </row>
    <row r="1466">
      <c r="A1466" s="47" t="s">
        <v>2992</v>
      </c>
      <c r="B1466" s="47">
        <v>29115.0</v>
      </c>
      <c r="C1466" s="47">
        <v>5.0</v>
      </c>
      <c r="D1466" s="47" t="s">
        <v>4044</v>
      </c>
      <c r="E1466" s="47" t="str">
        <f t="shared" si="1"/>
        <v>5A</v>
      </c>
      <c r="F1466" s="47" t="s">
        <v>4054</v>
      </c>
      <c r="G1466" s="47" t="s">
        <v>726</v>
      </c>
      <c r="H1466" s="48">
        <f>IF(NOT(ISBLANK(vlookup(B1466,Pop_Census_2023!$A$2:$E$3220,4,FALSE))),vlookup(B1466,Pop_Census_2023!$A$2:$E$3220,4,FALSE), vlookup(B1466,Pop_Census_2023!$A$2:$E$3220,5,FALSE))</f>
        <v>11791</v>
      </c>
    </row>
    <row r="1467">
      <c r="A1467" s="47" t="s">
        <v>2992</v>
      </c>
      <c r="B1467" s="47">
        <v>29117.0</v>
      </c>
      <c r="C1467" s="47">
        <v>5.0</v>
      </c>
      <c r="D1467" s="47" t="s">
        <v>4044</v>
      </c>
      <c r="E1467" s="47" t="str">
        <f t="shared" si="1"/>
        <v>5A</v>
      </c>
      <c r="F1467" s="47" t="s">
        <v>4054</v>
      </c>
      <c r="G1467" s="47" t="s">
        <v>636</v>
      </c>
      <c r="H1467" s="48">
        <f>IF(NOT(ISBLANK(vlookup(B1467,Pop_Census_2023!$A$2:$E$3220,4,FALSE))),vlookup(B1467,Pop_Census_2023!$A$2:$E$3220,4,FALSE), vlookup(B1467,Pop_Census_2023!$A$2:$E$3220,5,FALSE))</f>
        <v>14557</v>
      </c>
    </row>
    <row r="1468">
      <c r="A1468" s="47" t="s">
        <v>2992</v>
      </c>
      <c r="B1468" s="47">
        <v>29121.0</v>
      </c>
      <c r="C1468" s="47">
        <v>5.0</v>
      </c>
      <c r="D1468" s="47" t="s">
        <v>4044</v>
      </c>
      <c r="E1468" s="47" t="str">
        <f t="shared" si="1"/>
        <v>5A</v>
      </c>
      <c r="F1468" s="47" t="s">
        <v>4054</v>
      </c>
      <c r="G1468" s="47" t="s">
        <v>146</v>
      </c>
      <c r="H1468" s="48">
        <f>IF(NOT(ISBLANK(vlookup(B1468,Pop_Census_2023!$A$2:$E$3220,4,FALSE))),vlookup(B1468,Pop_Census_2023!$A$2:$E$3220,4,FALSE), vlookup(B1468,Pop_Census_2023!$A$2:$E$3220,5,FALSE))</f>
        <v>15161</v>
      </c>
    </row>
    <row r="1469">
      <c r="A1469" s="47" t="s">
        <v>2992</v>
      </c>
      <c r="B1469" s="47">
        <v>29123.0</v>
      </c>
      <c r="C1469" s="47">
        <v>4.0</v>
      </c>
      <c r="D1469" s="47" t="s">
        <v>4044</v>
      </c>
      <c r="E1469" s="47" t="str">
        <f t="shared" si="1"/>
        <v>4A</v>
      </c>
      <c r="F1469" s="47" t="s">
        <v>4046</v>
      </c>
      <c r="G1469" s="47" t="s">
        <v>147</v>
      </c>
      <c r="H1469" s="48">
        <f>IF(NOT(ISBLANK(vlookup(B1469,Pop_Census_2023!$A$2:$E$3220,4,FALSE))),vlookup(B1469,Pop_Census_2023!$A$2:$E$3220,4,FALSE), vlookup(B1469,Pop_Census_2023!$A$2:$E$3220,5,FALSE))</f>
        <v>12698</v>
      </c>
    </row>
    <row r="1470">
      <c r="A1470" s="47" t="s">
        <v>2992</v>
      </c>
      <c r="B1470" s="47">
        <v>29125.0</v>
      </c>
      <c r="C1470" s="47">
        <v>4.0</v>
      </c>
      <c r="D1470" s="47" t="s">
        <v>4044</v>
      </c>
      <c r="E1470" s="47" t="str">
        <f t="shared" si="1"/>
        <v>4A</v>
      </c>
      <c r="F1470" s="47" t="s">
        <v>4046</v>
      </c>
      <c r="G1470" s="47" t="s">
        <v>1140</v>
      </c>
      <c r="H1470" s="48">
        <f>IF(NOT(ISBLANK(vlookup(B1470,Pop_Census_2023!$A$2:$E$3220,4,FALSE))),vlookup(B1470,Pop_Census_2023!$A$2:$E$3220,4,FALSE), vlookup(B1470,Pop_Census_2023!$A$2:$E$3220,5,FALSE))</f>
        <v>8430</v>
      </c>
    </row>
    <row r="1471">
      <c r="A1471" s="47" t="s">
        <v>2992</v>
      </c>
      <c r="B1471" s="47">
        <v>29127.0</v>
      </c>
      <c r="C1471" s="47">
        <v>5.0</v>
      </c>
      <c r="D1471" s="47" t="s">
        <v>4044</v>
      </c>
      <c r="E1471" s="47" t="str">
        <f t="shared" si="1"/>
        <v>5A</v>
      </c>
      <c r="F1471" s="47" t="s">
        <v>4054</v>
      </c>
      <c r="G1471" s="47" t="s">
        <v>149</v>
      </c>
      <c r="H1471" s="48">
        <f>IF(NOT(ISBLANK(vlookup(B1471,Pop_Census_2023!$A$2:$E$3220,4,FALSE))),vlookup(B1471,Pop_Census_2023!$A$2:$E$3220,4,FALSE), vlookup(B1471,Pop_Census_2023!$A$2:$E$3220,5,FALSE))</f>
        <v>28336</v>
      </c>
    </row>
    <row r="1472">
      <c r="A1472" s="47" t="s">
        <v>2992</v>
      </c>
      <c r="B1472" s="47">
        <v>29119.0</v>
      </c>
      <c r="C1472" s="47">
        <v>4.0</v>
      </c>
      <c r="D1472" s="47" t="s">
        <v>4044</v>
      </c>
      <c r="E1472" s="47" t="str">
        <f t="shared" si="1"/>
        <v>4A</v>
      </c>
      <c r="F1472" s="47" t="s">
        <v>4046</v>
      </c>
      <c r="G1472" s="47" t="s">
        <v>1139</v>
      </c>
      <c r="H1472" s="48">
        <f>IF(NOT(ISBLANK(vlookup(B1472,Pop_Census_2023!$A$2:$E$3220,4,FALSE))),vlookup(B1472,Pop_Census_2023!$A$2:$E$3220,4,FALSE), vlookup(B1472,Pop_Census_2023!$A$2:$E$3220,5,FALSE))</f>
        <v>23903</v>
      </c>
    </row>
    <row r="1473">
      <c r="A1473" s="47" t="s">
        <v>2992</v>
      </c>
      <c r="B1473" s="47">
        <v>29129.0</v>
      </c>
      <c r="C1473" s="47">
        <v>5.0</v>
      </c>
      <c r="D1473" s="47" t="s">
        <v>4044</v>
      </c>
      <c r="E1473" s="47" t="str">
        <f t="shared" si="1"/>
        <v>5A</v>
      </c>
      <c r="F1473" s="47" t="s">
        <v>4054</v>
      </c>
      <c r="G1473" s="47" t="s">
        <v>644</v>
      </c>
      <c r="H1473" s="48">
        <f>IF(NOT(ISBLANK(vlookup(B1473,Pop_Census_2023!$A$2:$E$3220,4,FALSE))),vlookup(B1473,Pop_Census_2023!$A$2:$E$3220,4,FALSE), vlookup(B1473,Pop_Census_2023!$A$2:$E$3220,5,FALSE))</f>
        <v>3469</v>
      </c>
    </row>
    <row r="1474">
      <c r="A1474" s="47" t="s">
        <v>2992</v>
      </c>
      <c r="B1474" s="47">
        <v>29131.0</v>
      </c>
      <c r="C1474" s="47">
        <v>4.0</v>
      </c>
      <c r="D1474" s="47" t="s">
        <v>4044</v>
      </c>
      <c r="E1474" s="47" t="str">
        <f t="shared" si="1"/>
        <v>4A</v>
      </c>
      <c r="F1474" s="47" t="s">
        <v>4046</v>
      </c>
      <c r="G1474" s="47" t="s">
        <v>254</v>
      </c>
      <c r="H1474" s="48">
        <f>IF(NOT(ISBLANK(vlookup(B1474,Pop_Census_2023!$A$2:$E$3220,4,FALSE))),vlookup(B1474,Pop_Census_2023!$A$2:$E$3220,4,FALSE), vlookup(B1474,Pop_Census_2023!$A$2:$E$3220,5,FALSE))</f>
        <v>25590</v>
      </c>
    </row>
    <row r="1475">
      <c r="A1475" s="47" t="s">
        <v>2992</v>
      </c>
      <c r="B1475" s="47">
        <v>29133.0</v>
      </c>
      <c r="C1475" s="47">
        <v>4.0</v>
      </c>
      <c r="D1475" s="47" t="s">
        <v>4044</v>
      </c>
      <c r="E1475" s="47" t="str">
        <f t="shared" si="1"/>
        <v>4A</v>
      </c>
      <c r="F1475" s="47" t="s">
        <v>4046</v>
      </c>
      <c r="G1475" s="47" t="s">
        <v>255</v>
      </c>
      <c r="H1475" s="48">
        <f>IF(NOT(ISBLANK(vlookup(B1475,Pop_Census_2023!$A$2:$E$3220,4,FALSE))),vlookup(B1475,Pop_Census_2023!$A$2:$E$3220,4,FALSE), vlookup(B1475,Pop_Census_2023!$A$2:$E$3220,5,FALSE))</f>
        <v>11822</v>
      </c>
    </row>
    <row r="1476">
      <c r="A1476" s="47" t="s">
        <v>2992</v>
      </c>
      <c r="B1476" s="47">
        <v>29135.0</v>
      </c>
      <c r="C1476" s="47">
        <v>4.0</v>
      </c>
      <c r="D1476" s="47" t="s">
        <v>4044</v>
      </c>
      <c r="E1476" s="47" t="str">
        <f t="shared" si="1"/>
        <v>4A</v>
      </c>
      <c r="F1476" s="47" t="s">
        <v>4046</v>
      </c>
      <c r="G1476" s="47" t="s">
        <v>1141</v>
      </c>
      <c r="H1476" s="48">
        <f>IF(NOT(ISBLANK(vlookup(B1476,Pop_Census_2023!$A$2:$E$3220,4,FALSE))),vlookup(B1476,Pop_Census_2023!$A$2:$E$3220,4,FALSE), vlookup(B1476,Pop_Census_2023!$A$2:$E$3220,5,FALSE))</f>
        <v>15256</v>
      </c>
    </row>
    <row r="1477">
      <c r="A1477" s="47" t="s">
        <v>2992</v>
      </c>
      <c r="B1477" s="47">
        <v>29137.0</v>
      </c>
      <c r="C1477" s="47">
        <v>4.0</v>
      </c>
      <c r="D1477" s="47" t="s">
        <v>4044</v>
      </c>
      <c r="E1477" s="47" t="str">
        <f t="shared" si="1"/>
        <v>4A</v>
      </c>
      <c r="F1477" s="47" t="s">
        <v>4046</v>
      </c>
      <c r="G1477" s="47" t="s">
        <v>152</v>
      </c>
      <c r="H1477" s="48">
        <f>IF(NOT(ISBLANK(vlookup(B1477,Pop_Census_2023!$A$2:$E$3220,4,FALSE))),vlookup(B1477,Pop_Census_2023!$A$2:$E$3220,4,FALSE), vlookup(B1477,Pop_Census_2023!$A$2:$E$3220,5,FALSE))</f>
        <v>8698</v>
      </c>
    </row>
    <row r="1478">
      <c r="A1478" s="47" t="s">
        <v>2992</v>
      </c>
      <c r="B1478" s="47">
        <v>29139.0</v>
      </c>
      <c r="C1478" s="47">
        <v>4.0</v>
      </c>
      <c r="D1478" s="47" t="s">
        <v>4044</v>
      </c>
      <c r="E1478" s="47" t="str">
        <f t="shared" si="1"/>
        <v>4A</v>
      </c>
      <c r="F1478" s="47" t="s">
        <v>4046</v>
      </c>
      <c r="G1478" s="47" t="s">
        <v>153</v>
      </c>
      <c r="H1478" s="48">
        <f>IF(NOT(ISBLANK(vlookup(B1478,Pop_Census_2023!$A$2:$E$3220,4,FALSE))),vlookup(B1478,Pop_Census_2023!$A$2:$E$3220,4,FALSE), vlookup(B1478,Pop_Census_2023!$A$2:$E$3220,5,FALSE))</f>
        <v>11459</v>
      </c>
    </row>
    <row r="1479">
      <c r="A1479" s="47" t="s">
        <v>2992</v>
      </c>
      <c r="B1479" s="47">
        <v>29141.0</v>
      </c>
      <c r="C1479" s="47">
        <v>4.0</v>
      </c>
      <c r="D1479" s="47" t="s">
        <v>4044</v>
      </c>
      <c r="E1479" s="47" t="str">
        <f t="shared" si="1"/>
        <v>4A</v>
      </c>
      <c r="F1479" s="47" t="s">
        <v>4046</v>
      </c>
      <c r="G1479" s="47" t="s">
        <v>154</v>
      </c>
      <c r="H1479" s="48">
        <f>IF(NOT(ISBLANK(vlookup(B1479,Pop_Census_2023!$A$2:$E$3220,4,FALSE))),vlookup(B1479,Pop_Census_2023!$A$2:$E$3220,4,FALSE), vlookup(B1479,Pop_Census_2023!$A$2:$E$3220,5,FALSE))</f>
        <v>21970</v>
      </c>
    </row>
    <row r="1480">
      <c r="A1480" s="47" t="s">
        <v>2992</v>
      </c>
      <c r="B1480" s="47">
        <v>29143.0</v>
      </c>
      <c r="C1480" s="47">
        <v>4.0</v>
      </c>
      <c r="D1480" s="47" t="s">
        <v>4044</v>
      </c>
      <c r="E1480" s="47" t="str">
        <f t="shared" si="1"/>
        <v>4A</v>
      </c>
      <c r="F1480" s="47" t="s">
        <v>4046</v>
      </c>
      <c r="G1480" s="47" t="s">
        <v>1142</v>
      </c>
      <c r="H1480" s="48">
        <f>IF(NOT(ISBLANK(vlookup(B1480,Pop_Census_2023!$A$2:$E$3220,4,FALSE))),vlookup(B1480,Pop_Census_2023!$A$2:$E$3220,4,FALSE), vlookup(B1480,Pop_Census_2023!$A$2:$E$3220,5,FALSE))</f>
        <v>15424</v>
      </c>
    </row>
    <row r="1481">
      <c r="A1481" s="47" t="s">
        <v>2992</v>
      </c>
      <c r="B1481" s="47">
        <v>29145.0</v>
      </c>
      <c r="C1481" s="47">
        <v>4.0</v>
      </c>
      <c r="D1481" s="47" t="s">
        <v>4044</v>
      </c>
      <c r="E1481" s="47" t="str">
        <f t="shared" si="1"/>
        <v>4A</v>
      </c>
      <c r="F1481" s="47" t="s">
        <v>4046</v>
      </c>
      <c r="G1481" s="47" t="s">
        <v>257</v>
      </c>
      <c r="H1481" s="48">
        <f>IF(NOT(ISBLANK(vlookup(B1481,Pop_Census_2023!$A$2:$E$3220,4,FALSE))),vlookup(B1481,Pop_Census_2023!$A$2:$E$3220,4,FALSE), vlookup(B1481,Pop_Census_2023!$A$2:$E$3220,5,FALSE))</f>
        <v>60677</v>
      </c>
    </row>
    <row r="1482">
      <c r="A1482" s="47" t="s">
        <v>2992</v>
      </c>
      <c r="B1482" s="47">
        <v>29147.0</v>
      </c>
      <c r="C1482" s="47">
        <v>5.0</v>
      </c>
      <c r="D1482" s="47" t="s">
        <v>4044</v>
      </c>
      <c r="E1482" s="47" t="str">
        <f t="shared" si="1"/>
        <v>5A</v>
      </c>
      <c r="F1482" s="47" t="s">
        <v>4054</v>
      </c>
      <c r="G1482" s="47" t="s">
        <v>1143</v>
      </c>
      <c r="H1482" s="48">
        <f>IF(NOT(ISBLANK(vlookup(B1482,Pop_Census_2023!$A$2:$E$3220,4,FALSE))),vlookup(B1482,Pop_Census_2023!$A$2:$E$3220,4,FALSE), vlookup(B1482,Pop_Census_2023!$A$2:$E$3220,5,FALSE))</f>
        <v>20695</v>
      </c>
    </row>
    <row r="1483">
      <c r="A1483" s="47" t="s">
        <v>2992</v>
      </c>
      <c r="B1483" s="47">
        <v>29149.0</v>
      </c>
      <c r="C1483" s="47">
        <v>4.0</v>
      </c>
      <c r="D1483" s="47" t="s">
        <v>4044</v>
      </c>
      <c r="E1483" s="47" t="str">
        <f t="shared" si="1"/>
        <v>4A</v>
      </c>
      <c r="F1483" s="47" t="s">
        <v>4046</v>
      </c>
      <c r="G1483" s="47" t="s">
        <v>1144</v>
      </c>
      <c r="H1483" s="48">
        <f>IF(NOT(ISBLANK(vlookup(B1483,Pop_Census_2023!$A$2:$E$3220,4,FALSE))),vlookup(B1483,Pop_Census_2023!$A$2:$E$3220,4,FALSE), vlookup(B1483,Pop_Census_2023!$A$2:$E$3220,5,FALSE))</f>
        <v>8720</v>
      </c>
    </row>
    <row r="1484">
      <c r="A1484" s="47" t="s">
        <v>2992</v>
      </c>
      <c r="B1484" s="47">
        <v>29151.0</v>
      </c>
      <c r="C1484" s="47">
        <v>4.0</v>
      </c>
      <c r="D1484" s="47" t="s">
        <v>4044</v>
      </c>
      <c r="E1484" s="47" t="str">
        <f t="shared" si="1"/>
        <v>4A</v>
      </c>
      <c r="F1484" s="47" t="s">
        <v>4046</v>
      </c>
      <c r="G1484" s="47" t="s">
        <v>790</v>
      </c>
      <c r="H1484" s="48">
        <f>IF(NOT(ISBLANK(vlookup(B1484,Pop_Census_2023!$A$2:$E$3220,4,FALSE))),vlookup(B1484,Pop_Census_2023!$A$2:$E$3220,4,FALSE), vlookup(B1484,Pop_Census_2023!$A$2:$E$3220,5,FALSE))</f>
        <v>13468</v>
      </c>
    </row>
    <row r="1485">
      <c r="A1485" s="47" t="s">
        <v>2992</v>
      </c>
      <c r="B1485" s="47">
        <v>29153.0</v>
      </c>
      <c r="C1485" s="47">
        <v>4.0</v>
      </c>
      <c r="D1485" s="47" t="s">
        <v>4044</v>
      </c>
      <c r="E1485" s="47" t="str">
        <f t="shared" si="1"/>
        <v>4A</v>
      </c>
      <c r="F1485" s="47" t="s">
        <v>4046</v>
      </c>
      <c r="G1485" s="47" t="s">
        <v>1145</v>
      </c>
      <c r="H1485" s="48">
        <f>IF(NOT(ISBLANK(vlookup(B1485,Pop_Census_2023!$A$2:$E$3220,4,FALSE))),vlookup(B1485,Pop_Census_2023!$A$2:$E$3220,4,FALSE), vlookup(B1485,Pop_Census_2023!$A$2:$E$3220,5,FALSE))</f>
        <v>8970</v>
      </c>
    </row>
    <row r="1486">
      <c r="A1486" s="47" t="s">
        <v>2992</v>
      </c>
      <c r="B1486" s="47">
        <v>29155.0</v>
      </c>
      <c r="C1486" s="47">
        <v>4.0</v>
      </c>
      <c r="D1486" s="47" t="s">
        <v>4044</v>
      </c>
      <c r="E1486" s="47" t="str">
        <f t="shared" si="1"/>
        <v>4A</v>
      </c>
      <c r="F1486" s="47" t="s">
        <v>4046</v>
      </c>
      <c r="G1486" s="47" t="s">
        <v>1146</v>
      </c>
      <c r="H1486" s="48">
        <f>IF(NOT(ISBLANK(vlookup(B1486,Pop_Census_2023!$A$2:$E$3220,4,FALSE))),vlookup(B1486,Pop_Census_2023!$A$2:$E$3220,4,FALSE), vlookup(B1486,Pop_Census_2023!$A$2:$E$3220,5,FALSE))</f>
        <v>14613</v>
      </c>
    </row>
    <row r="1487">
      <c r="A1487" s="47" t="s">
        <v>2992</v>
      </c>
      <c r="B1487" s="47">
        <v>29157.0</v>
      </c>
      <c r="C1487" s="47">
        <v>4.0</v>
      </c>
      <c r="D1487" s="47" t="s">
        <v>4044</v>
      </c>
      <c r="E1487" s="47" t="str">
        <f t="shared" si="1"/>
        <v>4A</v>
      </c>
      <c r="F1487" s="47" t="s">
        <v>4046</v>
      </c>
      <c r="G1487" s="47" t="s">
        <v>155</v>
      </c>
      <c r="H1487" s="48">
        <f>IF(NOT(ISBLANK(vlookup(B1487,Pop_Census_2023!$A$2:$E$3220,4,FALSE))),vlookup(B1487,Pop_Census_2023!$A$2:$E$3220,4,FALSE), vlookup(B1487,Pop_Census_2023!$A$2:$E$3220,5,FALSE))</f>
        <v>18950</v>
      </c>
    </row>
    <row r="1488">
      <c r="A1488" s="47" t="s">
        <v>2992</v>
      </c>
      <c r="B1488" s="47">
        <v>29159.0</v>
      </c>
      <c r="C1488" s="47">
        <v>4.0</v>
      </c>
      <c r="D1488" s="47" t="s">
        <v>4044</v>
      </c>
      <c r="E1488" s="47" t="str">
        <f t="shared" si="1"/>
        <v>4A</v>
      </c>
      <c r="F1488" s="47" t="s">
        <v>4046</v>
      </c>
      <c r="G1488" s="47" t="s">
        <v>1147</v>
      </c>
      <c r="H1488" s="48">
        <f>IF(NOT(ISBLANK(vlookup(B1488,Pop_Census_2023!$A$2:$E$3220,4,FALSE))),vlookup(B1488,Pop_Census_2023!$A$2:$E$3220,4,FALSE), vlookup(B1488,Pop_Census_2023!$A$2:$E$3220,5,FALSE))</f>
        <v>43530</v>
      </c>
    </row>
    <row r="1489">
      <c r="A1489" s="47" t="s">
        <v>2992</v>
      </c>
      <c r="B1489" s="47">
        <v>29161.0</v>
      </c>
      <c r="C1489" s="47">
        <v>4.0</v>
      </c>
      <c r="D1489" s="47" t="s">
        <v>4044</v>
      </c>
      <c r="E1489" s="47" t="str">
        <f t="shared" si="1"/>
        <v>4A</v>
      </c>
      <c r="F1489" s="47" t="s">
        <v>4046</v>
      </c>
      <c r="G1489" s="47" t="s">
        <v>1148</v>
      </c>
      <c r="H1489" s="48">
        <f>IF(NOT(ISBLANK(vlookup(B1489,Pop_Census_2023!$A$2:$E$3220,4,FALSE))),vlookup(B1489,Pop_Census_2023!$A$2:$E$3220,4,FALSE), vlookup(B1489,Pop_Census_2023!$A$2:$E$3220,5,FALSE))</f>
        <v>45284</v>
      </c>
    </row>
    <row r="1490">
      <c r="A1490" s="47" t="s">
        <v>2992</v>
      </c>
      <c r="B1490" s="47">
        <v>29163.0</v>
      </c>
      <c r="C1490" s="47">
        <v>5.0</v>
      </c>
      <c r="D1490" s="47" t="s">
        <v>4044</v>
      </c>
      <c r="E1490" s="47" t="str">
        <f t="shared" si="1"/>
        <v>5A</v>
      </c>
      <c r="F1490" s="47" t="s">
        <v>4054</v>
      </c>
      <c r="G1490" s="47" t="s">
        <v>157</v>
      </c>
      <c r="H1490" s="48">
        <f>IF(NOT(ISBLANK(vlookup(B1490,Pop_Census_2023!$A$2:$E$3220,4,FALSE))),vlookup(B1490,Pop_Census_2023!$A$2:$E$3220,4,FALSE), vlookup(B1490,Pop_Census_2023!$A$2:$E$3220,5,FALSE))</f>
        <v>17935</v>
      </c>
    </row>
    <row r="1491">
      <c r="A1491" s="47" t="s">
        <v>2992</v>
      </c>
      <c r="B1491" s="47">
        <v>29165.0</v>
      </c>
      <c r="C1491" s="47">
        <v>4.0</v>
      </c>
      <c r="D1491" s="47" t="s">
        <v>4044</v>
      </c>
      <c r="E1491" s="47" t="str">
        <f t="shared" si="1"/>
        <v>4A</v>
      </c>
      <c r="F1491" s="47" t="s">
        <v>4046</v>
      </c>
      <c r="G1491" s="47" t="s">
        <v>1149</v>
      </c>
      <c r="H1491" s="48">
        <f>IF(NOT(ISBLANK(vlookup(B1491,Pop_Census_2023!$A$2:$E$3220,4,FALSE))),vlookup(B1491,Pop_Census_2023!$A$2:$E$3220,4,FALSE), vlookup(B1491,Pop_Census_2023!$A$2:$E$3220,5,FALSE))</f>
        <v>111940</v>
      </c>
    </row>
    <row r="1492">
      <c r="A1492" s="47" t="s">
        <v>2992</v>
      </c>
      <c r="B1492" s="47">
        <v>29167.0</v>
      </c>
      <c r="C1492" s="47">
        <v>4.0</v>
      </c>
      <c r="D1492" s="47" t="s">
        <v>4044</v>
      </c>
      <c r="E1492" s="47" t="str">
        <f t="shared" si="1"/>
        <v>4A</v>
      </c>
      <c r="F1492" s="47" t="s">
        <v>4046</v>
      </c>
      <c r="G1492" s="47" t="s">
        <v>261</v>
      </c>
      <c r="H1492" s="48">
        <f>IF(NOT(ISBLANK(vlookup(B1492,Pop_Census_2023!$A$2:$E$3220,4,FALSE))),vlookup(B1492,Pop_Census_2023!$A$2:$E$3220,4,FALSE), vlookup(B1492,Pop_Census_2023!$A$2:$E$3220,5,FALSE))</f>
        <v>32780</v>
      </c>
    </row>
    <row r="1493">
      <c r="A1493" s="47" t="s">
        <v>2992</v>
      </c>
      <c r="B1493" s="47">
        <v>29169.0</v>
      </c>
      <c r="C1493" s="47">
        <v>4.0</v>
      </c>
      <c r="D1493" s="47" t="s">
        <v>4044</v>
      </c>
      <c r="E1493" s="47" t="str">
        <f t="shared" si="1"/>
        <v>4A</v>
      </c>
      <c r="F1493" s="47" t="s">
        <v>4046</v>
      </c>
      <c r="G1493" s="47" t="s">
        <v>264</v>
      </c>
      <c r="H1493" s="48">
        <f>IF(NOT(ISBLANK(vlookup(B1493,Pop_Census_2023!$A$2:$E$3220,4,FALSE))),vlookup(B1493,Pop_Census_2023!$A$2:$E$3220,4,FALSE), vlookup(B1493,Pop_Census_2023!$A$2:$E$3220,5,FALSE))</f>
        <v>53812</v>
      </c>
    </row>
    <row r="1494">
      <c r="A1494" s="47" t="s">
        <v>2992</v>
      </c>
      <c r="B1494" s="47">
        <v>29171.0</v>
      </c>
      <c r="C1494" s="47">
        <v>5.0</v>
      </c>
      <c r="D1494" s="47" t="s">
        <v>4044</v>
      </c>
      <c r="E1494" s="47" t="str">
        <f t="shared" si="1"/>
        <v>5A</v>
      </c>
      <c r="F1494" s="47" t="s">
        <v>4054</v>
      </c>
      <c r="G1494" s="47" t="s">
        <v>449</v>
      </c>
      <c r="H1494" s="48">
        <f>IF(NOT(ISBLANK(vlookup(B1494,Pop_Census_2023!$A$2:$E$3220,4,FALSE))),vlookup(B1494,Pop_Census_2023!$A$2:$E$3220,4,FALSE), vlookup(B1494,Pop_Census_2023!$A$2:$E$3220,5,FALSE))</f>
        <v>4638</v>
      </c>
    </row>
    <row r="1495">
      <c r="A1495" s="47" t="s">
        <v>2992</v>
      </c>
      <c r="B1495" s="47">
        <v>29173.0</v>
      </c>
      <c r="C1495" s="47">
        <v>5.0</v>
      </c>
      <c r="D1495" s="47" t="s">
        <v>4044</v>
      </c>
      <c r="E1495" s="47" t="str">
        <f t="shared" si="1"/>
        <v>5A</v>
      </c>
      <c r="F1495" s="47" t="s">
        <v>4054</v>
      </c>
      <c r="G1495" s="47" t="s">
        <v>1150</v>
      </c>
      <c r="H1495" s="48">
        <f>IF(NOT(ISBLANK(vlookup(B1495,Pop_Census_2023!$A$2:$E$3220,4,FALSE))),vlookup(B1495,Pop_Census_2023!$A$2:$E$3220,4,FALSE), vlookup(B1495,Pop_Census_2023!$A$2:$E$3220,5,FALSE))</f>
        <v>10489</v>
      </c>
    </row>
    <row r="1496">
      <c r="A1496" s="47" t="s">
        <v>2992</v>
      </c>
      <c r="B1496" s="47">
        <v>29175.0</v>
      </c>
      <c r="C1496" s="47">
        <v>4.0</v>
      </c>
      <c r="D1496" s="47" t="s">
        <v>4044</v>
      </c>
      <c r="E1496" s="47" t="str">
        <f t="shared" si="1"/>
        <v>4A</v>
      </c>
      <c r="F1496" s="47" t="s">
        <v>4046</v>
      </c>
      <c r="G1496" s="47" t="s">
        <v>158</v>
      </c>
      <c r="H1496" s="48">
        <f>IF(NOT(ISBLANK(vlookup(B1496,Pop_Census_2023!$A$2:$E$3220,4,FALSE))),vlookup(B1496,Pop_Census_2023!$A$2:$E$3220,4,FALSE), vlookup(B1496,Pop_Census_2023!$A$2:$E$3220,5,FALSE))</f>
        <v>24109</v>
      </c>
    </row>
    <row r="1497">
      <c r="A1497" s="47" t="s">
        <v>2992</v>
      </c>
      <c r="B1497" s="47">
        <v>29177.0</v>
      </c>
      <c r="C1497" s="47">
        <v>4.0</v>
      </c>
      <c r="D1497" s="47" t="s">
        <v>4044</v>
      </c>
      <c r="E1497" s="47" t="str">
        <f t="shared" si="1"/>
        <v>4A</v>
      </c>
      <c r="F1497" s="47" t="s">
        <v>4046</v>
      </c>
      <c r="G1497" s="47" t="s">
        <v>1151</v>
      </c>
      <c r="H1497" s="48">
        <f>IF(NOT(ISBLANK(vlookup(B1497,Pop_Census_2023!$A$2:$E$3220,4,FALSE))),vlookup(B1497,Pop_Census_2023!$A$2:$E$3220,4,FALSE), vlookup(B1497,Pop_Census_2023!$A$2:$E$3220,5,FALSE))</f>
        <v>23182</v>
      </c>
    </row>
    <row r="1498">
      <c r="A1498" s="47" t="s">
        <v>2992</v>
      </c>
      <c r="B1498" s="47">
        <v>29179.0</v>
      </c>
      <c r="C1498" s="47">
        <v>4.0</v>
      </c>
      <c r="D1498" s="47" t="s">
        <v>4044</v>
      </c>
      <c r="E1498" s="47" t="str">
        <f t="shared" si="1"/>
        <v>4A</v>
      </c>
      <c r="F1498" s="47" t="s">
        <v>4046</v>
      </c>
      <c r="G1498" s="47" t="s">
        <v>1152</v>
      </c>
      <c r="H1498" s="48">
        <f>IF(NOT(ISBLANK(vlookup(B1498,Pop_Census_2023!$A$2:$E$3220,4,FALSE))),vlookup(B1498,Pop_Census_2023!$A$2:$E$3220,4,FALSE), vlookup(B1498,Pop_Census_2023!$A$2:$E$3220,5,FALSE))</f>
        <v>5950</v>
      </c>
    </row>
    <row r="1499">
      <c r="A1499" s="47" t="s">
        <v>2992</v>
      </c>
      <c r="B1499" s="47">
        <v>29181.0</v>
      </c>
      <c r="C1499" s="47">
        <v>4.0</v>
      </c>
      <c r="D1499" s="47" t="s">
        <v>4044</v>
      </c>
      <c r="E1499" s="47" t="str">
        <f t="shared" si="1"/>
        <v>4A</v>
      </c>
      <c r="F1499" s="47" t="s">
        <v>4046</v>
      </c>
      <c r="G1499" s="47" t="s">
        <v>688</v>
      </c>
      <c r="H1499" s="48">
        <f>IF(NOT(ISBLANK(vlookup(B1499,Pop_Census_2023!$A$2:$E$3220,4,FALSE))),vlookup(B1499,Pop_Census_2023!$A$2:$E$3220,4,FALSE), vlookup(B1499,Pop_Census_2023!$A$2:$E$3220,5,FALSE))</f>
        <v>10806</v>
      </c>
    </row>
    <row r="1500">
      <c r="A1500" s="47" t="s">
        <v>2992</v>
      </c>
      <c r="B1500" s="47">
        <v>29195.0</v>
      </c>
      <c r="C1500" s="47">
        <v>4.0</v>
      </c>
      <c r="D1500" s="47" t="s">
        <v>4044</v>
      </c>
      <c r="E1500" s="47" t="str">
        <f t="shared" si="1"/>
        <v>4A</v>
      </c>
      <c r="F1500" s="47" t="s">
        <v>4046</v>
      </c>
      <c r="G1500" s="47" t="s">
        <v>266</v>
      </c>
      <c r="H1500" s="48">
        <f>IF(NOT(ISBLANK(vlookup(B1500,Pop_Census_2023!$A$2:$E$3220,4,FALSE))),vlookup(B1500,Pop_Census_2023!$A$2:$E$3220,4,FALSE), vlookup(B1500,Pop_Census_2023!$A$2:$E$3220,5,FALSE))</f>
        <v>23049</v>
      </c>
    </row>
    <row r="1501">
      <c r="A1501" s="47" t="s">
        <v>2992</v>
      </c>
      <c r="B1501" s="47">
        <v>29197.0</v>
      </c>
      <c r="C1501" s="47">
        <v>5.0</v>
      </c>
      <c r="D1501" s="47" t="s">
        <v>4044</v>
      </c>
      <c r="E1501" s="47" t="str">
        <f t="shared" si="1"/>
        <v>5A</v>
      </c>
      <c r="F1501" s="47" t="s">
        <v>4054</v>
      </c>
      <c r="G1501" s="47" t="s">
        <v>652</v>
      </c>
      <c r="H1501" s="48">
        <f>IF(NOT(ISBLANK(vlookup(B1501,Pop_Census_2023!$A$2:$E$3220,4,FALSE))),vlookup(B1501,Pop_Census_2023!$A$2:$E$3220,4,FALSE), vlookup(B1501,Pop_Census_2023!$A$2:$E$3220,5,FALSE))</f>
        <v>4053</v>
      </c>
    </row>
    <row r="1502">
      <c r="A1502" s="47" t="s">
        <v>2992</v>
      </c>
      <c r="B1502" s="47">
        <v>29199.0</v>
      </c>
      <c r="C1502" s="47">
        <v>5.0</v>
      </c>
      <c r="D1502" s="47" t="s">
        <v>4044</v>
      </c>
      <c r="E1502" s="47" t="str">
        <f t="shared" si="1"/>
        <v>5A</v>
      </c>
      <c r="F1502" s="47" t="s">
        <v>4054</v>
      </c>
      <c r="G1502" s="47" t="s">
        <v>1155</v>
      </c>
      <c r="H1502" s="48">
        <f>IF(NOT(ISBLANK(vlookup(B1502,Pop_Census_2023!$A$2:$E$3220,4,FALSE))),vlookup(B1502,Pop_Census_2023!$A$2:$E$3220,4,FALSE), vlookup(B1502,Pop_Census_2023!$A$2:$E$3220,5,FALSE))</f>
        <v>4676</v>
      </c>
    </row>
    <row r="1503">
      <c r="A1503" s="47" t="s">
        <v>2992</v>
      </c>
      <c r="B1503" s="47">
        <v>29201.0</v>
      </c>
      <c r="C1503" s="47">
        <v>4.0</v>
      </c>
      <c r="D1503" s="47" t="s">
        <v>4044</v>
      </c>
      <c r="E1503" s="47" t="str">
        <f t="shared" si="1"/>
        <v>4A</v>
      </c>
      <c r="F1503" s="47" t="s">
        <v>4046</v>
      </c>
      <c r="G1503" s="47" t="s">
        <v>267</v>
      </c>
      <c r="H1503" s="48">
        <f>IF(NOT(ISBLANK(vlookup(B1503,Pop_Census_2023!$A$2:$E$3220,4,FALSE))),vlookup(B1503,Pop_Census_2023!$A$2:$E$3220,4,FALSE), vlookup(B1503,Pop_Census_2023!$A$2:$E$3220,5,FALSE))</f>
        <v>37889</v>
      </c>
    </row>
    <row r="1504">
      <c r="A1504" s="47" t="s">
        <v>2992</v>
      </c>
      <c r="B1504" s="47">
        <v>29203.0</v>
      </c>
      <c r="C1504" s="47">
        <v>4.0</v>
      </c>
      <c r="D1504" s="47" t="s">
        <v>4044</v>
      </c>
      <c r="E1504" s="47" t="str">
        <f t="shared" si="1"/>
        <v>4A</v>
      </c>
      <c r="F1504" s="47" t="s">
        <v>4046</v>
      </c>
      <c r="G1504" s="47" t="s">
        <v>1156</v>
      </c>
      <c r="H1504" s="48">
        <f>IF(NOT(ISBLANK(vlookup(B1504,Pop_Census_2023!$A$2:$E$3220,4,FALSE))),vlookup(B1504,Pop_Census_2023!$A$2:$E$3220,4,FALSE), vlookup(B1504,Pop_Census_2023!$A$2:$E$3220,5,FALSE))</f>
        <v>7238</v>
      </c>
    </row>
    <row r="1505">
      <c r="A1505" s="47" t="s">
        <v>2992</v>
      </c>
      <c r="B1505" s="47">
        <v>29205.0</v>
      </c>
      <c r="C1505" s="47">
        <v>5.0</v>
      </c>
      <c r="D1505" s="47" t="s">
        <v>4044</v>
      </c>
      <c r="E1505" s="47" t="str">
        <f t="shared" si="1"/>
        <v>5A</v>
      </c>
      <c r="F1505" s="47" t="s">
        <v>4054</v>
      </c>
      <c r="G1505" s="47" t="s">
        <v>161</v>
      </c>
      <c r="H1505" s="48">
        <f>IF(NOT(ISBLANK(vlookup(B1505,Pop_Census_2023!$A$2:$E$3220,4,FALSE))),vlookup(B1505,Pop_Census_2023!$A$2:$E$3220,4,FALSE), vlookup(B1505,Pop_Census_2023!$A$2:$E$3220,5,FALSE))</f>
        <v>5931</v>
      </c>
    </row>
    <row r="1506">
      <c r="A1506" s="47" t="s">
        <v>2992</v>
      </c>
      <c r="B1506" s="47">
        <v>29183.0</v>
      </c>
      <c r="C1506" s="47">
        <v>4.0</v>
      </c>
      <c r="D1506" s="47" t="s">
        <v>4044</v>
      </c>
      <c r="E1506" s="47" t="str">
        <f t="shared" si="1"/>
        <v>4A</v>
      </c>
      <c r="F1506" s="47" t="s">
        <v>4046</v>
      </c>
      <c r="G1506" s="47" t="s">
        <v>906</v>
      </c>
      <c r="H1506" s="48">
        <f>IF(NOT(ISBLANK(vlookup(B1506,Pop_Census_2023!$A$2:$E$3220,4,FALSE))),vlookup(B1506,Pop_Census_2023!$A$2:$E$3220,4,FALSE), vlookup(B1506,Pop_Census_2023!$A$2:$E$3220,5,FALSE))</f>
        <v>416659</v>
      </c>
    </row>
    <row r="1507">
      <c r="A1507" s="47" t="s">
        <v>2992</v>
      </c>
      <c r="B1507" s="47">
        <v>29185.0</v>
      </c>
      <c r="C1507" s="47">
        <v>4.0</v>
      </c>
      <c r="D1507" s="47" t="s">
        <v>4044</v>
      </c>
      <c r="E1507" s="47" t="str">
        <f t="shared" si="1"/>
        <v>4A</v>
      </c>
      <c r="F1507" s="47" t="s">
        <v>4046</v>
      </c>
      <c r="G1507" s="47" t="s">
        <v>160</v>
      </c>
      <c r="H1507" s="48">
        <f>IF(NOT(ISBLANK(vlookup(B1507,Pop_Census_2023!$A$2:$E$3220,4,FALSE))),vlookup(B1507,Pop_Census_2023!$A$2:$E$3220,4,FALSE), vlookup(B1507,Pop_Census_2023!$A$2:$E$3220,5,FALSE))</f>
        <v>9752</v>
      </c>
    </row>
    <row r="1508">
      <c r="A1508" s="47" t="s">
        <v>2992</v>
      </c>
      <c r="B1508" s="47">
        <v>29187.0</v>
      </c>
      <c r="C1508" s="47">
        <v>4.0</v>
      </c>
      <c r="D1508" s="47" t="s">
        <v>4044</v>
      </c>
      <c r="E1508" s="47" t="str">
        <f t="shared" si="1"/>
        <v>4A</v>
      </c>
      <c r="F1508" s="47" t="s">
        <v>4046</v>
      </c>
      <c r="G1508" s="47" t="s">
        <v>1154</v>
      </c>
      <c r="H1508" s="48">
        <f>IF(NOT(ISBLANK(vlookup(B1508,Pop_Census_2023!$A$2:$E$3220,4,FALSE))),vlookup(B1508,Pop_Census_2023!$A$2:$E$3220,4,FALSE), vlookup(B1508,Pop_Census_2023!$A$2:$E$3220,5,FALSE))</f>
        <v>67058</v>
      </c>
    </row>
    <row r="1509">
      <c r="A1509" s="47" t="s">
        <v>2992</v>
      </c>
      <c r="B1509" s="47">
        <v>29189.0</v>
      </c>
      <c r="C1509" s="47">
        <v>4.0</v>
      </c>
      <c r="D1509" s="47" t="s">
        <v>4044</v>
      </c>
      <c r="E1509" s="47" t="str">
        <f t="shared" si="1"/>
        <v>4A</v>
      </c>
      <c r="F1509" s="47" t="s">
        <v>4046</v>
      </c>
      <c r="G1509" s="47" t="s">
        <v>1073</v>
      </c>
      <c r="H1509" s="48">
        <f>IF(NOT(ISBLANK(vlookup(B1509,Pop_Census_2023!$A$2:$E$3220,4,FALSE))),vlookup(B1509,Pop_Census_2023!$A$2:$E$3220,4,FALSE), vlookup(B1509,Pop_Census_2023!$A$2:$E$3220,5,FALSE))</f>
        <v>987059</v>
      </c>
    </row>
    <row r="1510">
      <c r="A1510" s="47" t="s">
        <v>2992</v>
      </c>
      <c r="B1510" s="47">
        <v>29510.0</v>
      </c>
      <c r="C1510" s="47">
        <v>4.0</v>
      </c>
      <c r="D1510" s="47" t="s">
        <v>4044</v>
      </c>
      <c r="E1510" s="47" t="str">
        <f t="shared" si="1"/>
        <v>4A</v>
      </c>
      <c r="F1510" s="47" t="s">
        <v>4046</v>
      </c>
      <c r="G1510" s="47" t="s">
        <v>4065</v>
      </c>
      <c r="H1510" s="48">
        <f>IF(NOT(ISBLANK(vlookup(B1510,Pop_Census_2023!$A$2:$E$3220,4,FALSE))),vlookup(B1510,Pop_Census_2023!$A$2:$E$3220,4,FALSE), vlookup(B1510,Pop_Census_2023!$A$2:$E$3220,5,FALSE))</f>
        <v>281754</v>
      </c>
    </row>
    <row r="1511">
      <c r="A1511" s="47" t="s">
        <v>2992</v>
      </c>
      <c r="B1511" s="47">
        <v>29186.0</v>
      </c>
      <c r="C1511" s="47">
        <v>4.0</v>
      </c>
      <c r="D1511" s="47" t="s">
        <v>4044</v>
      </c>
      <c r="E1511" s="47" t="str">
        <f t="shared" si="1"/>
        <v>4A</v>
      </c>
      <c r="F1511" s="47" t="s">
        <v>4046</v>
      </c>
      <c r="G1511" s="47" t="s">
        <v>1153</v>
      </c>
      <c r="H1511" s="48">
        <f>IF(NOT(ISBLANK(vlookup(B1511,Pop_Census_2023!$A$2:$E$3220,4,FALSE))),vlookup(B1511,Pop_Census_2023!$A$2:$E$3220,4,FALSE), vlookup(B1511,Pop_Census_2023!$A$2:$E$3220,5,FALSE))</f>
        <v>18642</v>
      </c>
    </row>
    <row r="1512">
      <c r="A1512" s="47" t="s">
        <v>2992</v>
      </c>
      <c r="B1512" s="47">
        <v>29207.0</v>
      </c>
      <c r="C1512" s="47">
        <v>4.0</v>
      </c>
      <c r="D1512" s="47" t="s">
        <v>4044</v>
      </c>
      <c r="E1512" s="47" t="str">
        <f t="shared" si="1"/>
        <v>4A</v>
      </c>
      <c r="F1512" s="47" t="s">
        <v>4046</v>
      </c>
      <c r="G1512" s="47" t="s">
        <v>1157</v>
      </c>
      <c r="H1512" s="48">
        <f>IF(NOT(ISBLANK(vlookup(B1512,Pop_Census_2023!$A$2:$E$3220,4,FALSE))),vlookup(B1512,Pop_Census_2023!$A$2:$E$3220,4,FALSE), vlookup(B1512,Pop_Census_2023!$A$2:$E$3220,5,FALSE))</f>
        <v>28397</v>
      </c>
    </row>
    <row r="1513">
      <c r="A1513" s="47" t="s">
        <v>2992</v>
      </c>
      <c r="B1513" s="47">
        <v>29209.0</v>
      </c>
      <c r="C1513" s="47">
        <v>4.0</v>
      </c>
      <c r="D1513" s="47" t="s">
        <v>4044</v>
      </c>
      <c r="E1513" s="47" t="str">
        <f t="shared" si="1"/>
        <v>4A</v>
      </c>
      <c r="F1513" s="47" t="s">
        <v>4046</v>
      </c>
      <c r="G1513" s="47" t="s">
        <v>272</v>
      </c>
      <c r="H1513" s="48">
        <f>IF(NOT(ISBLANK(vlookup(B1513,Pop_Census_2023!$A$2:$E$3220,4,FALSE))),vlookup(B1513,Pop_Census_2023!$A$2:$E$3220,4,FALSE), vlookup(B1513,Pop_Census_2023!$A$2:$E$3220,5,FALSE))</f>
        <v>32658</v>
      </c>
    </row>
    <row r="1514">
      <c r="A1514" s="47" t="s">
        <v>2992</v>
      </c>
      <c r="B1514" s="47">
        <v>29211.0</v>
      </c>
      <c r="C1514" s="47">
        <v>5.0</v>
      </c>
      <c r="D1514" s="47" t="s">
        <v>4044</v>
      </c>
      <c r="E1514" s="47" t="str">
        <f t="shared" si="1"/>
        <v>5A</v>
      </c>
      <c r="F1514" s="47" t="s">
        <v>4054</v>
      </c>
      <c r="G1514" s="47" t="s">
        <v>694</v>
      </c>
      <c r="H1514" s="48">
        <f>IF(NOT(ISBLANK(vlookup(B1514,Pop_Census_2023!$A$2:$E$3220,4,FALSE))),vlookup(B1514,Pop_Census_2023!$A$2:$E$3220,4,FALSE), vlookup(B1514,Pop_Census_2023!$A$2:$E$3220,5,FALSE))</f>
        <v>5797</v>
      </c>
    </row>
    <row r="1515">
      <c r="A1515" s="47" t="s">
        <v>2992</v>
      </c>
      <c r="B1515" s="47">
        <v>29213.0</v>
      </c>
      <c r="C1515" s="47">
        <v>4.0</v>
      </c>
      <c r="D1515" s="47" t="s">
        <v>4044</v>
      </c>
      <c r="E1515" s="47" t="str">
        <f t="shared" si="1"/>
        <v>4A</v>
      </c>
      <c r="F1515" s="47" t="s">
        <v>4046</v>
      </c>
      <c r="G1515" s="47" t="s">
        <v>1158</v>
      </c>
      <c r="H1515" s="48">
        <f>IF(NOT(ISBLANK(vlookup(B1515,Pop_Census_2023!$A$2:$E$3220,4,FALSE))),vlookup(B1515,Pop_Census_2023!$A$2:$E$3220,4,FALSE), vlookup(B1515,Pop_Census_2023!$A$2:$E$3220,5,FALSE))</f>
        <v>56775</v>
      </c>
    </row>
    <row r="1516">
      <c r="A1516" s="47" t="s">
        <v>2992</v>
      </c>
      <c r="B1516" s="47">
        <v>29215.0</v>
      </c>
      <c r="C1516" s="47">
        <v>4.0</v>
      </c>
      <c r="D1516" s="47" t="s">
        <v>4044</v>
      </c>
      <c r="E1516" s="47" t="str">
        <f t="shared" si="1"/>
        <v>4A</v>
      </c>
      <c r="F1516" s="47" t="s">
        <v>4046</v>
      </c>
      <c r="G1516" s="47" t="s">
        <v>1159</v>
      </c>
      <c r="H1516" s="48">
        <f>IF(NOT(ISBLANK(vlookup(B1516,Pop_Census_2023!$A$2:$E$3220,4,FALSE))),vlookup(B1516,Pop_Census_2023!$A$2:$E$3220,4,FALSE), vlookup(B1516,Pop_Census_2023!$A$2:$E$3220,5,FALSE))</f>
        <v>25619</v>
      </c>
    </row>
    <row r="1517">
      <c r="A1517" s="47" t="s">
        <v>2992</v>
      </c>
      <c r="B1517" s="47">
        <v>29217.0</v>
      </c>
      <c r="C1517" s="47">
        <v>4.0</v>
      </c>
      <c r="D1517" s="47" t="s">
        <v>4044</v>
      </c>
      <c r="E1517" s="47" t="str">
        <f t="shared" si="1"/>
        <v>4A</v>
      </c>
      <c r="F1517" s="47" t="s">
        <v>4046</v>
      </c>
      <c r="G1517" s="47" t="s">
        <v>917</v>
      </c>
      <c r="H1517" s="48">
        <f>IF(NOT(ISBLANK(vlookup(B1517,Pop_Census_2023!$A$2:$E$3220,4,FALSE))),vlookup(B1517,Pop_Census_2023!$A$2:$E$3220,4,FALSE), vlookup(B1517,Pop_Census_2023!$A$2:$E$3220,5,FALSE))</f>
        <v>19710</v>
      </c>
    </row>
    <row r="1518">
      <c r="A1518" s="47" t="s">
        <v>2992</v>
      </c>
      <c r="B1518" s="47">
        <v>29219.0</v>
      </c>
      <c r="C1518" s="47">
        <v>4.0</v>
      </c>
      <c r="D1518" s="47" t="s">
        <v>4044</v>
      </c>
      <c r="E1518" s="47" t="str">
        <f t="shared" si="1"/>
        <v>4A</v>
      </c>
      <c r="F1518" s="47" t="s">
        <v>4046</v>
      </c>
      <c r="G1518" s="47" t="s">
        <v>561</v>
      </c>
      <c r="H1518" s="48">
        <f>IF(NOT(ISBLANK(vlookup(B1518,Pop_Census_2023!$A$2:$E$3220,4,FALSE))),vlookup(B1518,Pop_Census_2023!$A$2:$E$3220,4,FALSE), vlookup(B1518,Pop_Census_2023!$A$2:$E$3220,5,FALSE))</f>
        <v>37806</v>
      </c>
    </row>
    <row r="1519">
      <c r="A1519" s="47" t="s">
        <v>2992</v>
      </c>
      <c r="B1519" s="47">
        <v>29221.0</v>
      </c>
      <c r="C1519" s="47">
        <v>4.0</v>
      </c>
      <c r="D1519" s="47" t="s">
        <v>4044</v>
      </c>
      <c r="E1519" s="47" t="str">
        <f t="shared" si="1"/>
        <v>4A</v>
      </c>
      <c r="F1519" s="47" t="s">
        <v>4046</v>
      </c>
      <c r="G1519" s="47" t="s">
        <v>167</v>
      </c>
      <c r="H1519" s="48">
        <f>IF(NOT(ISBLANK(vlookup(B1519,Pop_Census_2023!$A$2:$E$3220,4,FALSE))),vlookup(B1519,Pop_Census_2023!$A$2:$E$3220,4,FALSE), vlookup(B1519,Pop_Census_2023!$A$2:$E$3220,5,FALSE))</f>
        <v>23534</v>
      </c>
    </row>
    <row r="1520">
      <c r="A1520" s="47" t="s">
        <v>2992</v>
      </c>
      <c r="B1520" s="47">
        <v>29223.0</v>
      </c>
      <c r="C1520" s="47">
        <v>4.0</v>
      </c>
      <c r="D1520" s="47" t="s">
        <v>4044</v>
      </c>
      <c r="E1520" s="47" t="str">
        <f t="shared" si="1"/>
        <v>4A</v>
      </c>
      <c r="F1520" s="47" t="s">
        <v>4046</v>
      </c>
      <c r="G1520" s="47" t="s">
        <v>562</v>
      </c>
      <c r="H1520" s="48">
        <f>IF(NOT(ISBLANK(vlookup(B1520,Pop_Census_2023!$A$2:$E$3220,4,FALSE))),vlookup(B1520,Pop_Census_2023!$A$2:$E$3220,4,FALSE), vlookup(B1520,Pop_Census_2023!$A$2:$E$3220,5,FALSE))</f>
        <v>10811</v>
      </c>
    </row>
    <row r="1521">
      <c r="A1521" s="47" t="s">
        <v>2992</v>
      </c>
      <c r="B1521" s="47">
        <v>29225.0</v>
      </c>
      <c r="C1521" s="47">
        <v>4.0</v>
      </c>
      <c r="D1521" s="47" t="s">
        <v>4044</v>
      </c>
      <c r="E1521" s="47" t="str">
        <f t="shared" si="1"/>
        <v>4A</v>
      </c>
      <c r="F1521" s="47" t="s">
        <v>4046</v>
      </c>
      <c r="G1521" s="47" t="s">
        <v>563</v>
      </c>
      <c r="H1521" s="48">
        <f>IF(NOT(ISBLANK(vlookup(B1521,Pop_Census_2023!$A$2:$E$3220,4,FALSE))),vlookup(B1521,Pop_Census_2023!$A$2:$E$3220,4,FALSE), vlookup(B1521,Pop_Census_2023!$A$2:$E$3220,5,FALSE))</f>
        <v>41472</v>
      </c>
    </row>
    <row r="1522">
      <c r="A1522" s="47" t="s">
        <v>2992</v>
      </c>
      <c r="B1522" s="47">
        <v>29227.0</v>
      </c>
      <c r="C1522" s="47">
        <v>5.0</v>
      </c>
      <c r="D1522" s="47" t="s">
        <v>4044</v>
      </c>
      <c r="E1522" s="47" t="str">
        <f t="shared" si="1"/>
        <v>5A</v>
      </c>
      <c r="F1522" s="47" t="s">
        <v>4054</v>
      </c>
      <c r="G1522" s="47" t="s">
        <v>568</v>
      </c>
      <c r="H1522" s="48">
        <f>IF(NOT(ISBLANK(vlookup(B1522,Pop_Census_2023!$A$2:$E$3220,4,FALSE))),vlookup(B1522,Pop_Census_2023!$A$2:$E$3220,4,FALSE), vlookup(B1522,Pop_Census_2023!$A$2:$E$3220,5,FALSE))</f>
        <v>1907</v>
      </c>
    </row>
    <row r="1523">
      <c r="A1523" s="47" t="s">
        <v>2992</v>
      </c>
      <c r="B1523" s="47">
        <v>29229.0</v>
      </c>
      <c r="C1523" s="47">
        <v>4.0</v>
      </c>
      <c r="D1523" s="47" t="s">
        <v>4044</v>
      </c>
      <c r="E1523" s="47" t="str">
        <f t="shared" si="1"/>
        <v>4A</v>
      </c>
      <c r="F1523" s="47" t="s">
        <v>4046</v>
      </c>
      <c r="G1523" s="47" t="s">
        <v>749</v>
      </c>
      <c r="H1523" s="48">
        <f>IF(NOT(ISBLANK(vlookup(B1523,Pop_Census_2023!$A$2:$E$3220,4,FALSE))),vlookup(B1523,Pop_Census_2023!$A$2:$E$3220,4,FALSE), vlookup(B1523,Pop_Census_2023!$A$2:$E$3220,5,FALSE))</f>
        <v>19403</v>
      </c>
    </row>
    <row r="1524">
      <c r="A1524" s="47" t="s">
        <v>4066</v>
      </c>
      <c r="B1524" s="47">
        <v>69085.0</v>
      </c>
      <c r="C1524" s="47">
        <v>1.0</v>
      </c>
      <c r="D1524" s="47" t="s">
        <v>4044</v>
      </c>
      <c r="E1524" s="47" t="str">
        <f t="shared" si="1"/>
        <v>1A</v>
      </c>
      <c r="F1524" s="47" t="s">
        <v>4045</v>
      </c>
      <c r="G1524" s="47" t="s">
        <v>4067</v>
      </c>
      <c r="H1524" s="34" t="str">
        <f>IF(NOT(ISBLANK(vlookup(B1524,Pop_Census_2023!$A$2:$E$3220,4,FALSE))),vlookup(B1524,Pop_Census_2023!$A$2:$E$3220,4,FALSE), vlookup(B1524,Pop_Census_2023!$A$2:$E$3220,5,FALSE))</f>
        <v>#N/A</v>
      </c>
    </row>
    <row r="1525">
      <c r="A1525" s="47" t="s">
        <v>4066</v>
      </c>
      <c r="B1525" s="47">
        <v>69100.0</v>
      </c>
      <c r="C1525" s="47">
        <v>1.0</v>
      </c>
      <c r="D1525" s="47" t="s">
        <v>4044</v>
      </c>
      <c r="E1525" s="47" t="str">
        <f t="shared" si="1"/>
        <v>1A</v>
      </c>
      <c r="F1525" s="47" t="s">
        <v>4045</v>
      </c>
      <c r="G1525" s="47" t="s">
        <v>4068</v>
      </c>
      <c r="H1525" s="34" t="str">
        <f>IF(NOT(ISBLANK(vlookup(B1525,Pop_Census_2023!$A$2:$E$3220,4,FALSE))),vlookup(B1525,Pop_Census_2023!$A$2:$E$3220,4,FALSE), vlookup(B1525,Pop_Census_2023!$A$2:$E$3220,5,FALSE))</f>
        <v>#N/A</v>
      </c>
    </row>
    <row r="1526">
      <c r="A1526" s="47" t="s">
        <v>4066</v>
      </c>
      <c r="B1526" s="47">
        <v>69110.0</v>
      </c>
      <c r="C1526" s="47">
        <v>1.0</v>
      </c>
      <c r="D1526" s="47" t="s">
        <v>4044</v>
      </c>
      <c r="E1526" s="47" t="str">
        <f t="shared" si="1"/>
        <v>1A</v>
      </c>
      <c r="F1526" s="47" t="s">
        <v>4045</v>
      </c>
      <c r="G1526" s="47" t="s">
        <v>4069</v>
      </c>
      <c r="H1526" s="34" t="str">
        <f>IF(NOT(ISBLANK(vlookup(B1526,Pop_Census_2023!$A$2:$E$3220,4,FALSE))),vlookup(B1526,Pop_Census_2023!$A$2:$E$3220,4,FALSE), vlookup(B1526,Pop_Census_2023!$A$2:$E$3220,5,FALSE))</f>
        <v>#N/A</v>
      </c>
    </row>
    <row r="1527">
      <c r="A1527" s="47" t="s">
        <v>4066</v>
      </c>
      <c r="B1527" s="47">
        <v>69120.0</v>
      </c>
      <c r="C1527" s="47">
        <v>1.0</v>
      </c>
      <c r="D1527" s="47" t="s">
        <v>4044</v>
      </c>
      <c r="E1527" s="47" t="str">
        <f t="shared" si="1"/>
        <v>1A</v>
      </c>
      <c r="F1527" s="47" t="s">
        <v>4045</v>
      </c>
      <c r="G1527" s="47" t="s">
        <v>4070</v>
      </c>
      <c r="H1527" s="34" t="str">
        <f>IF(NOT(ISBLANK(vlookup(B1527,Pop_Census_2023!$A$2:$E$3220,4,FALSE))),vlookup(B1527,Pop_Census_2023!$A$2:$E$3220,4,FALSE), vlookup(B1527,Pop_Census_2023!$A$2:$E$3220,5,FALSE))</f>
        <v>#N/A</v>
      </c>
    </row>
    <row r="1528">
      <c r="A1528" s="47" t="s">
        <v>2955</v>
      </c>
      <c r="B1528" s="47">
        <v>28001.0</v>
      </c>
      <c r="C1528" s="47">
        <v>3.0</v>
      </c>
      <c r="D1528" s="47" t="s">
        <v>4044</v>
      </c>
      <c r="E1528" s="47" t="str">
        <f t="shared" si="1"/>
        <v>3A</v>
      </c>
      <c r="F1528" s="47" t="s">
        <v>4045</v>
      </c>
      <c r="G1528" s="47" t="s">
        <v>338</v>
      </c>
      <c r="H1528" s="48">
        <f>IF(NOT(ISBLANK(vlookup(B1528,Pop_Census_2023!$A$2:$E$3220,4,FALSE))),vlookup(B1528,Pop_Census_2023!$A$2:$E$3220,4,FALSE), vlookup(B1528,Pop_Census_2023!$A$2:$E$3220,5,FALSE))</f>
        <v>28746</v>
      </c>
    </row>
    <row r="1529">
      <c r="A1529" s="47" t="s">
        <v>2955</v>
      </c>
      <c r="B1529" s="47">
        <v>28003.0</v>
      </c>
      <c r="C1529" s="47">
        <v>3.0</v>
      </c>
      <c r="D1529" s="47" t="s">
        <v>4044</v>
      </c>
      <c r="E1529" s="47" t="str">
        <f t="shared" si="1"/>
        <v>3A</v>
      </c>
      <c r="F1529" s="47" t="s">
        <v>4046</v>
      </c>
      <c r="G1529" s="47" t="s">
        <v>1087</v>
      </c>
      <c r="H1529" s="48">
        <f>IF(NOT(ISBLANK(vlookup(B1529,Pop_Census_2023!$A$2:$E$3220,4,FALSE))),vlookup(B1529,Pop_Census_2023!$A$2:$E$3220,4,FALSE), vlookup(B1529,Pop_Census_2023!$A$2:$E$3220,5,FALSE))</f>
        <v>34135</v>
      </c>
    </row>
    <row r="1530">
      <c r="A1530" s="47" t="s">
        <v>2955</v>
      </c>
      <c r="B1530" s="47">
        <v>28005.0</v>
      </c>
      <c r="C1530" s="47">
        <v>3.0</v>
      </c>
      <c r="D1530" s="47" t="s">
        <v>4044</v>
      </c>
      <c r="E1530" s="47" t="str">
        <f t="shared" si="1"/>
        <v>3A</v>
      </c>
      <c r="F1530" s="47" t="s">
        <v>4045</v>
      </c>
      <c r="G1530" s="47" t="s">
        <v>1088</v>
      </c>
      <c r="H1530" s="48">
        <f>IF(NOT(ISBLANK(vlookup(B1530,Pop_Census_2023!$A$2:$E$3220,4,FALSE))),vlookup(B1530,Pop_Census_2023!$A$2:$E$3220,4,FALSE), vlookup(B1530,Pop_Census_2023!$A$2:$E$3220,5,FALSE))</f>
        <v>12442</v>
      </c>
    </row>
    <row r="1531">
      <c r="A1531" s="47" t="s">
        <v>2955</v>
      </c>
      <c r="B1531" s="47">
        <v>28007.0</v>
      </c>
      <c r="C1531" s="47">
        <v>3.0</v>
      </c>
      <c r="D1531" s="47" t="s">
        <v>4044</v>
      </c>
      <c r="E1531" s="47" t="str">
        <f t="shared" si="1"/>
        <v>3A</v>
      </c>
      <c r="F1531" s="47" t="s">
        <v>4046</v>
      </c>
      <c r="G1531" s="47" t="s">
        <v>1089</v>
      </c>
      <c r="H1531" s="48">
        <f>IF(NOT(ISBLANK(vlookup(B1531,Pop_Census_2023!$A$2:$E$3220,4,FALSE))),vlookup(B1531,Pop_Census_2023!$A$2:$E$3220,4,FALSE), vlookup(B1531,Pop_Census_2023!$A$2:$E$3220,5,FALSE))</f>
        <v>17359</v>
      </c>
    </row>
    <row r="1532">
      <c r="A1532" s="47" t="s">
        <v>2955</v>
      </c>
      <c r="B1532" s="47">
        <v>28009.0</v>
      </c>
      <c r="C1532" s="47">
        <v>3.0</v>
      </c>
      <c r="D1532" s="47" t="s">
        <v>4044</v>
      </c>
      <c r="E1532" s="47" t="str">
        <f t="shared" si="1"/>
        <v>3A</v>
      </c>
      <c r="F1532" s="47" t="s">
        <v>4046</v>
      </c>
      <c r="G1532" s="47" t="s">
        <v>224</v>
      </c>
      <c r="H1532" s="48">
        <f>IF(NOT(ISBLANK(vlookup(B1532,Pop_Census_2023!$A$2:$E$3220,4,FALSE))),vlookup(B1532,Pop_Census_2023!$A$2:$E$3220,4,FALSE), vlookup(B1532,Pop_Census_2023!$A$2:$E$3220,5,FALSE))</f>
        <v>7438</v>
      </c>
    </row>
    <row r="1533">
      <c r="A1533" s="47" t="s">
        <v>2955</v>
      </c>
      <c r="B1533" s="47">
        <v>28011.0</v>
      </c>
      <c r="C1533" s="47">
        <v>3.0</v>
      </c>
      <c r="D1533" s="47" t="s">
        <v>4044</v>
      </c>
      <c r="E1533" s="47" t="str">
        <f t="shared" si="1"/>
        <v>3A</v>
      </c>
      <c r="F1533" s="47" t="s">
        <v>4046</v>
      </c>
      <c r="G1533" s="47" t="s">
        <v>1090</v>
      </c>
      <c r="H1533" s="48">
        <f>IF(NOT(ISBLANK(vlookup(B1533,Pop_Census_2023!$A$2:$E$3220,4,FALSE))),vlookup(B1533,Pop_Census_2023!$A$2:$E$3220,4,FALSE), vlookup(B1533,Pop_Census_2023!$A$2:$E$3220,5,FALSE))</f>
        <v>28968</v>
      </c>
    </row>
    <row r="1534">
      <c r="A1534" s="47" t="s">
        <v>2955</v>
      </c>
      <c r="B1534" s="47">
        <v>28013.0</v>
      </c>
      <c r="C1534" s="47">
        <v>3.0</v>
      </c>
      <c r="D1534" s="47" t="s">
        <v>4044</v>
      </c>
      <c r="E1534" s="47" t="str">
        <f t="shared" si="1"/>
        <v>3A</v>
      </c>
      <c r="F1534" s="47" t="s">
        <v>4046</v>
      </c>
      <c r="G1534" s="47" t="s">
        <v>110</v>
      </c>
      <c r="H1534" s="48">
        <f>IF(NOT(ISBLANK(vlookup(B1534,Pop_Census_2023!$A$2:$E$3220,4,FALSE))),vlookup(B1534,Pop_Census_2023!$A$2:$E$3220,4,FALSE), vlookup(B1534,Pop_Census_2023!$A$2:$E$3220,5,FALSE))</f>
        <v>12685</v>
      </c>
    </row>
    <row r="1535">
      <c r="A1535" s="47" t="s">
        <v>2955</v>
      </c>
      <c r="B1535" s="47">
        <v>28015.0</v>
      </c>
      <c r="C1535" s="47">
        <v>3.0</v>
      </c>
      <c r="D1535" s="47" t="s">
        <v>4044</v>
      </c>
      <c r="E1535" s="47" t="str">
        <f t="shared" si="1"/>
        <v>3A</v>
      </c>
      <c r="F1535" s="47" t="s">
        <v>4046</v>
      </c>
      <c r="G1535" s="47" t="s">
        <v>227</v>
      </c>
      <c r="H1535" s="48">
        <f>IF(NOT(ISBLANK(vlookup(B1535,Pop_Census_2023!$A$2:$E$3220,4,FALSE))),vlookup(B1535,Pop_Census_2023!$A$2:$E$3220,4,FALSE), vlookup(B1535,Pop_Census_2023!$A$2:$E$3220,5,FALSE))</f>
        <v>9535</v>
      </c>
    </row>
    <row r="1536">
      <c r="A1536" s="47" t="s">
        <v>2955</v>
      </c>
      <c r="B1536" s="47">
        <v>28017.0</v>
      </c>
      <c r="C1536" s="47">
        <v>3.0</v>
      </c>
      <c r="D1536" s="47" t="s">
        <v>4044</v>
      </c>
      <c r="E1536" s="47" t="str">
        <f t="shared" si="1"/>
        <v>3A</v>
      </c>
      <c r="F1536" s="47" t="s">
        <v>4046</v>
      </c>
      <c r="G1536" s="47" t="s">
        <v>716</v>
      </c>
      <c r="H1536" s="48">
        <f>IF(NOT(ISBLANK(vlookup(B1536,Pop_Census_2023!$A$2:$E$3220,4,FALSE))),vlookup(B1536,Pop_Census_2023!$A$2:$E$3220,4,FALSE), vlookup(B1536,Pop_Census_2023!$A$2:$E$3220,5,FALSE))</f>
        <v>16866</v>
      </c>
    </row>
    <row r="1537">
      <c r="A1537" s="47" t="s">
        <v>2955</v>
      </c>
      <c r="B1537" s="47">
        <v>28019.0</v>
      </c>
      <c r="C1537" s="47">
        <v>3.0</v>
      </c>
      <c r="D1537" s="47" t="s">
        <v>4044</v>
      </c>
      <c r="E1537" s="47" t="str">
        <f t="shared" si="1"/>
        <v>3A</v>
      </c>
      <c r="F1537" s="47" t="s">
        <v>4046</v>
      </c>
      <c r="G1537" s="47" t="s">
        <v>114</v>
      </c>
      <c r="H1537" s="48">
        <f>IF(NOT(ISBLANK(vlookup(B1537,Pop_Census_2023!$A$2:$E$3220,4,FALSE))),vlookup(B1537,Pop_Census_2023!$A$2:$E$3220,4,FALSE), vlookup(B1537,Pop_Census_2023!$A$2:$E$3220,5,FALSE))</f>
        <v>8088</v>
      </c>
    </row>
    <row r="1538">
      <c r="A1538" s="47" t="s">
        <v>2955</v>
      </c>
      <c r="B1538" s="47">
        <v>28021.0</v>
      </c>
      <c r="C1538" s="47">
        <v>3.0</v>
      </c>
      <c r="D1538" s="47" t="s">
        <v>4044</v>
      </c>
      <c r="E1538" s="47" t="str">
        <f t="shared" si="1"/>
        <v>3A</v>
      </c>
      <c r="F1538" s="47" t="s">
        <v>4045</v>
      </c>
      <c r="G1538" s="47" t="s">
        <v>886</v>
      </c>
      <c r="H1538" s="48">
        <f>IF(NOT(ISBLANK(vlookup(B1538,Pop_Census_2023!$A$2:$E$3220,4,FALSE))),vlookup(B1538,Pop_Census_2023!$A$2:$E$3220,4,FALSE), vlookup(B1538,Pop_Census_2023!$A$2:$E$3220,5,FALSE))</f>
        <v>8617</v>
      </c>
    </row>
    <row r="1539">
      <c r="A1539" s="47" t="s">
        <v>2955</v>
      </c>
      <c r="B1539" s="47">
        <v>28023.0</v>
      </c>
      <c r="C1539" s="47">
        <v>3.0</v>
      </c>
      <c r="D1539" s="47" t="s">
        <v>4044</v>
      </c>
      <c r="E1539" s="47" t="str">
        <f t="shared" si="1"/>
        <v>3A</v>
      </c>
      <c r="F1539" s="47" t="s">
        <v>4046</v>
      </c>
      <c r="G1539" s="47" t="s">
        <v>115</v>
      </c>
      <c r="H1539" s="48">
        <f>IF(NOT(ISBLANK(vlookup(B1539,Pop_Census_2023!$A$2:$E$3220,4,FALSE))),vlookup(B1539,Pop_Census_2023!$A$2:$E$3220,4,FALSE), vlookup(B1539,Pop_Census_2023!$A$2:$E$3220,5,FALSE))</f>
        <v>15228</v>
      </c>
    </row>
    <row r="1540">
      <c r="A1540" s="47" t="s">
        <v>2955</v>
      </c>
      <c r="B1540" s="47">
        <v>28025.0</v>
      </c>
      <c r="C1540" s="47">
        <v>3.0</v>
      </c>
      <c r="D1540" s="47" t="s">
        <v>4044</v>
      </c>
      <c r="E1540" s="47" t="str">
        <f t="shared" si="1"/>
        <v>3A</v>
      </c>
      <c r="F1540" s="47" t="s">
        <v>4046</v>
      </c>
      <c r="G1540" s="47" t="s">
        <v>116</v>
      </c>
      <c r="H1540" s="48">
        <f>IF(NOT(ISBLANK(vlookup(B1540,Pop_Census_2023!$A$2:$E$3220,4,FALSE))),vlookup(B1540,Pop_Census_2023!$A$2:$E$3220,4,FALSE), vlookup(B1540,Pop_Census_2023!$A$2:$E$3220,5,FALSE))</f>
        <v>18206</v>
      </c>
    </row>
    <row r="1541">
      <c r="A1541" s="47" t="s">
        <v>2955</v>
      </c>
      <c r="B1541" s="47">
        <v>28027.0</v>
      </c>
      <c r="C1541" s="47">
        <v>3.0</v>
      </c>
      <c r="D1541" s="47" t="s">
        <v>4044</v>
      </c>
      <c r="E1541" s="47" t="str">
        <f t="shared" si="1"/>
        <v>3A</v>
      </c>
      <c r="F1541" s="47" t="s">
        <v>4046</v>
      </c>
      <c r="G1541" s="47" t="s">
        <v>1091</v>
      </c>
      <c r="H1541" s="48">
        <f>IF(NOT(ISBLANK(vlookup(B1541,Pop_Census_2023!$A$2:$E$3220,4,FALSE))),vlookup(B1541,Pop_Census_2023!$A$2:$E$3220,4,FALSE), vlookup(B1541,Pop_Census_2023!$A$2:$E$3220,5,FALSE))</f>
        <v>20077</v>
      </c>
    </row>
    <row r="1542">
      <c r="A1542" s="47" t="s">
        <v>2955</v>
      </c>
      <c r="B1542" s="47">
        <v>28029.0</v>
      </c>
      <c r="C1542" s="47">
        <v>3.0</v>
      </c>
      <c r="D1542" s="47" t="s">
        <v>4044</v>
      </c>
      <c r="E1542" s="47" t="str">
        <f t="shared" si="1"/>
        <v>3A</v>
      </c>
      <c r="F1542" s="47" t="s">
        <v>4045</v>
      </c>
      <c r="G1542" s="47" t="s">
        <v>1092</v>
      </c>
      <c r="H1542" s="48">
        <f>IF(NOT(ISBLANK(vlookup(B1542,Pop_Census_2023!$A$2:$E$3220,4,FALSE))),vlookup(B1542,Pop_Census_2023!$A$2:$E$3220,4,FALSE), vlookup(B1542,Pop_Census_2023!$A$2:$E$3220,5,FALSE))</f>
        <v>27664</v>
      </c>
    </row>
    <row r="1543">
      <c r="A1543" s="47" t="s">
        <v>2955</v>
      </c>
      <c r="B1543" s="47">
        <v>28031.0</v>
      </c>
      <c r="C1543" s="47">
        <v>3.0</v>
      </c>
      <c r="D1543" s="47" t="s">
        <v>4044</v>
      </c>
      <c r="E1543" s="47" t="str">
        <f t="shared" si="1"/>
        <v>3A</v>
      </c>
      <c r="F1543" s="47" t="s">
        <v>4045</v>
      </c>
      <c r="G1543" s="47" t="s">
        <v>122</v>
      </c>
      <c r="H1543" s="48">
        <f>IF(NOT(ISBLANK(vlookup(B1543,Pop_Census_2023!$A$2:$E$3220,4,FALSE))),vlookup(B1543,Pop_Census_2023!$A$2:$E$3220,4,FALSE), vlookup(B1543,Pop_Census_2023!$A$2:$E$3220,5,FALSE))</f>
        <v>18059</v>
      </c>
    </row>
    <row r="1544">
      <c r="A1544" s="47" t="s">
        <v>2955</v>
      </c>
      <c r="B1544" s="47">
        <v>28033.0</v>
      </c>
      <c r="C1544" s="47">
        <v>3.0</v>
      </c>
      <c r="D1544" s="47" t="s">
        <v>4044</v>
      </c>
      <c r="E1544" s="47" t="str">
        <f t="shared" si="1"/>
        <v>3A</v>
      </c>
      <c r="F1544" s="47" t="s">
        <v>4046</v>
      </c>
      <c r="G1544" s="47" t="s">
        <v>420</v>
      </c>
      <c r="H1544" s="48">
        <f>IF(NOT(ISBLANK(vlookup(B1544,Pop_Census_2023!$A$2:$E$3220,4,FALSE))),vlookup(B1544,Pop_Census_2023!$A$2:$E$3220,4,FALSE), vlookup(B1544,Pop_Census_2023!$A$2:$E$3220,5,FALSE))</f>
        <v>193247</v>
      </c>
    </row>
    <row r="1545">
      <c r="A1545" s="47" t="s">
        <v>2955</v>
      </c>
      <c r="B1545" s="47">
        <v>28035.0</v>
      </c>
      <c r="C1545" s="47">
        <v>3.0</v>
      </c>
      <c r="D1545" s="47" t="s">
        <v>4044</v>
      </c>
      <c r="E1545" s="47" t="str">
        <f t="shared" si="1"/>
        <v>3A</v>
      </c>
      <c r="F1545" s="47" t="s">
        <v>4045</v>
      </c>
      <c r="G1545" s="47" t="s">
        <v>1093</v>
      </c>
      <c r="H1545" s="48">
        <f>IF(NOT(ISBLANK(vlookup(B1545,Pop_Census_2023!$A$2:$E$3220,4,FALSE))),vlookup(B1545,Pop_Census_2023!$A$2:$E$3220,4,FALSE), vlookup(B1545,Pop_Census_2023!$A$2:$E$3220,5,FALSE))</f>
        <v>78208</v>
      </c>
    </row>
    <row r="1546">
      <c r="A1546" s="47" t="s">
        <v>2955</v>
      </c>
      <c r="B1546" s="47">
        <v>28037.0</v>
      </c>
      <c r="C1546" s="47">
        <v>3.0</v>
      </c>
      <c r="D1546" s="47" t="s">
        <v>4044</v>
      </c>
      <c r="E1546" s="47" t="str">
        <f t="shared" si="1"/>
        <v>3A</v>
      </c>
      <c r="F1546" s="47" t="s">
        <v>4045</v>
      </c>
      <c r="G1546" s="47" t="s">
        <v>132</v>
      </c>
      <c r="H1546" s="48">
        <f>IF(NOT(ISBLANK(vlookup(B1546,Pop_Census_2023!$A$2:$E$3220,4,FALSE))),vlookup(B1546,Pop_Census_2023!$A$2:$E$3220,4,FALSE), vlookup(B1546,Pop_Census_2023!$A$2:$E$3220,5,FALSE))</f>
        <v>7610</v>
      </c>
    </row>
    <row r="1547">
      <c r="A1547" s="47" t="s">
        <v>2955</v>
      </c>
      <c r="B1547" s="47">
        <v>28039.0</v>
      </c>
      <c r="C1547" s="47">
        <v>3.0</v>
      </c>
      <c r="D1547" s="47" t="s">
        <v>4044</v>
      </c>
      <c r="E1547" s="47" t="str">
        <f t="shared" si="1"/>
        <v>3A</v>
      </c>
      <c r="F1547" s="47" t="s">
        <v>4045</v>
      </c>
      <c r="G1547" s="47" t="s">
        <v>1094</v>
      </c>
      <c r="H1547" s="48">
        <f>IF(NOT(ISBLANK(vlookup(B1547,Pop_Census_2023!$A$2:$E$3220,4,FALSE))),vlookup(B1547,Pop_Census_2023!$A$2:$E$3220,4,FALSE), vlookup(B1547,Pop_Census_2023!$A$2:$E$3220,5,FALSE))</f>
        <v>25619</v>
      </c>
    </row>
    <row r="1548">
      <c r="A1548" s="47" t="s">
        <v>2955</v>
      </c>
      <c r="B1548" s="47">
        <v>28041.0</v>
      </c>
      <c r="C1548" s="47">
        <v>3.0</v>
      </c>
      <c r="D1548" s="47" t="s">
        <v>4044</v>
      </c>
      <c r="E1548" s="47" t="str">
        <f t="shared" si="1"/>
        <v>3A</v>
      </c>
      <c r="F1548" s="47" t="s">
        <v>4045</v>
      </c>
      <c r="G1548" s="47" t="s">
        <v>134</v>
      </c>
      <c r="H1548" s="48">
        <f>IF(NOT(ISBLANK(vlookup(B1548,Pop_Census_2023!$A$2:$E$3220,4,FALSE))),vlookup(B1548,Pop_Census_2023!$A$2:$E$3220,4,FALSE), vlookup(B1548,Pop_Census_2023!$A$2:$E$3220,5,FALSE))</f>
        <v>13601</v>
      </c>
    </row>
    <row r="1549">
      <c r="A1549" s="47" t="s">
        <v>2955</v>
      </c>
      <c r="B1549" s="47">
        <v>28043.0</v>
      </c>
      <c r="C1549" s="47">
        <v>3.0</v>
      </c>
      <c r="D1549" s="47" t="s">
        <v>4044</v>
      </c>
      <c r="E1549" s="47" t="str">
        <f t="shared" si="1"/>
        <v>3A</v>
      </c>
      <c r="F1549" s="47" t="s">
        <v>4046</v>
      </c>
      <c r="G1549" s="47" t="s">
        <v>1095</v>
      </c>
      <c r="H1549" s="48">
        <f>IF(NOT(ISBLANK(vlookup(B1549,Pop_Census_2023!$A$2:$E$3220,4,FALSE))),vlookup(B1549,Pop_Census_2023!$A$2:$E$3220,4,FALSE), vlookup(B1549,Pop_Census_2023!$A$2:$E$3220,5,FALSE))</f>
        <v>21065</v>
      </c>
    </row>
    <row r="1550">
      <c r="A1550" s="47" t="s">
        <v>2955</v>
      </c>
      <c r="B1550" s="47">
        <v>28045.0</v>
      </c>
      <c r="C1550" s="47">
        <v>2.0</v>
      </c>
      <c r="D1550" s="47" t="s">
        <v>4044</v>
      </c>
      <c r="E1550" s="47" t="str">
        <f t="shared" si="1"/>
        <v>2A</v>
      </c>
      <c r="F1550" s="47" t="s">
        <v>4045</v>
      </c>
      <c r="G1550" s="47" t="s">
        <v>512</v>
      </c>
      <c r="H1550" s="48">
        <f>IF(NOT(ISBLANK(vlookup(B1550,Pop_Census_2023!$A$2:$E$3220,4,FALSE))),vlookup(B1550,Pop_Census_2023!$A$2:$E$3220,4,FALSE), vlookup(B1550,Pop_Census_2023!$A$2:$E$3220,5,FALSE))</f>
        <v>46159</v>
      </c>
    </row>
    <row r="1551">
      <c r="A1551" s="47" t="s">
        <v>2955</v>
      </c>
      <c r="B1551" s="47">
        <v>28047.0</v>
      </c>
      <c r="C1551" s="47">
        <v>2.0</v>
      </c>
      <c r="D1551" s="47" t="s">
        <v>4044</v>
      </c>
      <c r="E1551" s="47" t="str">
        <f t="shared" si="1"/>
        <v>2A</v>
      </c>
      <c r="F1551" s="47" t="s">
        <v>4045</v>
      </c>
      <c r="G1551" s="47" t="s">
        <v>673</v>
      </c>
      <c r="H1551" s="48">
        <f>IF(NOT(ISBLANK(vlookup(B1551,Pop_Census_2023!$A$2:$E$3220,4,FALSE))),vlookup(B1551,Pop_Census_2023!$A$2:$E$3220,4,FALSE), vlookup(B1551,Pop_Census_2023!$A$2:$E$3220,5,FALSE))</f>
        <v>210612</v>
      </c>
    </row>
    <row r="1552">
      <c r="A1552" s="47" t="s">
        <v>2955</v>
      </c>
      <c r="B1552" s="47">
        <v>28049.0</v>
      </c>
      <c r="C1552" s="47">
        <v>3.0</v>
      </c>
      <c r="D1552" s="47" t="s">
        <v>4044</v>
      </c>
      <c r="E1552" s="47" t="str">
        <f t="shared" si="1"/>
        <v>3A</v>
      </c>
      <c r="F1552" s="47" t="s">
        <v>4045</v>
      </c>
      <c r="G1552" s="47" t="s">
        <v>1096</v>
      </c>
      <c r="H1552" s="48">
        <f>IF(NOT(ISBLANK(vlookup(B1552,Pop_Census_2023!$A$2:$E$3220,4,FALSE))),vlookup(B1552,Pop_Census_2023!$A$2:$E$3220,4,FALSE), vlookup(B1552,Pop_Census_2023!$A$2:$E$3220,5,FALSE))</f>
        <v>214870</v>
      </c>
    </row>
    <row r="1553">
      <c r="A1553" s="47" t="s">
        <v>2955</v>
      </c>
      <c r="B1553" s="47">
        <v>28051.0</v>
      </c>
      <c r="C1553" s="47">
        <v>3.0</v>
      </c>
      <c r="D1553" s="47" t="s">
        <v>4044</v>
      </c>
      <c r="E1553" s="47" t="str">
        <f t="shared" si="1"/>
        <v>3A</v>
      </c>
      <c r="F1553" s="47" t="s">
        <v>4046</v>
      </c>
      <c r="G1553" s="47" t="s">
        <v>434</v>
      </c>
      <c r="H1553" s="48">
        <f>IF(NOT(ISBLANK(vlookup(B1553,Pop_Census_2023!$A$2:$E$3220,4,FALSE))),vlookup(B1553,Pop_Census_2023!$A$2:$E$3220,4,FALSE), vlookup(B1553,Pop_Census_2023!$A$2:$E$3220,5,FALSE))</f>
        <v>15777</v>
      </c>
    </row>
    <row r="1554">
      <c r="A1554" s="47" t="s">
        <v>2955</v>
      </c>
      <c r="B1554" s="47">
        <v>28053.0</v>
      </c>
      <c r="C1554" s="47">
        <v>3.0</v>
      </c>
      <c r="D1554" s="47" t="s">
        <v>4044</v>
      </c>
      <c r="E1554" s="47" t="str">
        <f t="shared" si="1"/>
        <v>3A</v>
      </c>
      <c r="F1554" s="47" t="s">
        <v>4046</v>
      </c>
      <c r="G1554" s="47" t="s">
        <v>1097</v>
      </c>
      <c r="H1554" s="48">
        <f>IF(NOT(ISBLANK(vlookup(B1554,Pop_Census_2023!$A$2:$E$3220,4,FALSE))),vlookup(B1554,Pop_Census_2023!$A$2:$E$3220,4,FALSE), vlookup(B1554,Pop_Census_2023!$A$2:$E$3220,5,FALSE))</f>
        <v>7216</v>
      </c>
    </row>
    <row r="1555">
      <c r="A1555" s="47" t="s">
        <v>2955</v>
      </c>
      <c r="B1555" s="47">
        <v>28055.0</v>
      </c>
      <c r="C1555" s="47">
        <v>3.0</v>
      </c>
      <c r="D1555" s="47" t="s">
        <v>4044</v>
      </c>
      <c r="E1555" s="47" t="str">
        <f t="shared" si="1"/>
        <v>3A</v>
      </c>
      <c r="F1555" s="47" t="s">
        <v>4046</v>
      </c>
      <c r="G1555" s="47" t="s">
        <v>1098</v>
      </c>
      <c r="H1555" s="48">
        <f>IF(NOT(ISBLANK(vlookup(B1555,Pop_Census_2023!$A$2:$E$3220,4,FALSE))),vlookup(B1555,Pop_Census_2023!$A$2:$E$3220,4,FALSE), vlookup(B1555,Pop_Census_2023!$A$2:$E$3220,5,FALSE))</f>
        <v>1256</v>
      </c>
    </row>
    <row r="1556">
      <c r="A1556" s="47" t="s">
        <v>2955</v>
      </c>
      <c r="B1556" s="47">
        <v>28057.0</v>
      </c>
      <c r="C1556" s="47">
        <v>3.0</v>
      </c>
      <c r="D1556" s="47" t="s">
        <v>4044</v>
      </c>
      <c r="E1556" s="47" t="str">
        <f t="shared" si="1"/>
        <v>3A</v>
      </c>
      <c r="F1556" s="47" t="s">
        <v>4046</v>
      </c>
      <c r="G1556" s="47" t="s">
        <v>1099</v>
      </c>
      <c r="H1556" s="48">
        <f>IF(NOT(ISBLANK(vlookup(B1556,Pop_Census_2023!$A$2:$E$3220,4,FALSE))),vlookup(B1556,Pop_Census_2023!$A$2:$E$3220,4,FALSE), vlookup(B1556,Pop_Census_2023!$A$2:$E$3220,5,FALSE))</f>
        <v>24093</v>
      </c>
    </row>
    <row r="1557">
      <c r="A1557" s="47" t="s">
        <v>2955</v>
      </c>
      <c r="B1557" s="47">
        <v>28059.0</v>
      </c>
      <c r="C1557" s="47">
        <v>2.0</v>
      </c>
      <c r="D1557" s="47" t="s">
        <v>4044</v>
      </c>
      <c r="E1557" s="47" t="str">
        <f t="shared" si="1"/>
        <v>2A</v>
      </c>
      <c r="F1557" s="47" t="s">
        <v>4045</v>
      </c>
      <c r="G1557" s="47" t="s">
        <v>138</v>
      </c>
      <c r="H1557" s="48">
        <f>IF(NOT(ISBLANK(vlookup(B1557,Pop_Census_2023!$A$2:$E$3220,4,FALSE))),vlookup(B1557,Pop_Census_2023!$A$2:$E$3220,4,FALSE), vlookup(B1557,Pop_Census_2023!$A$2:$E$3220,5,FALSE))</f>
        <v>146389</v>
      </c>
    </row>
    <row r="1558">
      <c r="A1558" s="47" t="s">
        <v>2955</v>
      </c>
      <c r="B1558" s="47">
        <v>28061.0</v>
      </c>
      <c r="C1558" s="47">
        <v>3.0</v>
      </c>
      <c r="D1558" s="47" t="s">
        <v>4044</v>
      </c>
      <c r="E1558" s="47" t="str">
        <f t="shared" si="1"/>
        <v>3A</v>
      </c>
      <c r="F1558" s="47" t="s">
        <v>4046</v>
      </c>
      <c r="G1558" s="47" t="s">
        <v>518</v>
      </c>
      <c r="H1558" s="48">
        <f>IF(NOT(ISBLANK(vlookup(B1558,Pop_Census_2023!$A$2:$E$3220,4,FALSE))),vlookup(B1558,Pop_Census_2023!$A$2:$E$3220,4,FALSE), vlookup(B1558,Pop_Census_2023!$A$2:$E$3220,5,FALSE))</f>
        <v>16013</v>
      </c>
    </row>
    <row r="1559">
      <c r="A1559" s="47" t="s">
        <v>2955</v>
      </c>
      <c r="B1559" s="47">
        <v>28063.0</v>
      </c>
      <c r="C1559" s="47">
        <v>3.0</v>
      </c>
      <c r="D1559" s="47" t="s">
        <v>4044</v>
      </c>
      <c r="E1559" s="47" t="str">
        <f t="shared" si="1"/>
        <v>3A</v>
      </c>
      <c r="F1559" s="47" t="s">
        <v>4045</v>
      </c>
      <c r="G1559" s="47" t="s">
        <v>139</v>
      </c>
      <c r="H1559" s="48">
        <f>IF(NOT(ISBLANK(vlookup(B1559,Pop_Census_2023!$A$2:$E$3220,4,FALSE))),vlookup(B1559,Pop_Census_2023!$A$2:$E$3220,4,FALSE), vlookup(B1559,Pop_Census_2023!$A$2:$E$3220,5,FALSE))</f>
        <v>6941</v>
      </c>
    </row>
    <row r="1560">
      <c r="A1560" s="47" t="s">
        <v>2955</v>
      </c>
      <c r="B1560" s="47">
        <v>28065.0</v>
      </c>
      <c r="C1560" s="47">
        <v>3.0</v>
      </c>
      <c r="D1560" s="47" t="s">
        <v>4044</v>
      </c>
      <c r="E1560" s="47" t="str">
        <f t="shared" si="1"/>
        <v>3A</v>
      </c>
      <c r="F1560" s="47" t="s">
        <v>4045</v>
      </c>
      <c r="G1560" s="47" t="s">
        <v>895</v>
      </c>
      <c r="H1560" s="48">
        <f>IF(NOT(ISBLANK(vlookup(B1560,Pop_Census_2023!$A$2:$E$3220,4,FALSE))),vlookup(B1560,Pop_Census_2023!$A$2:$E$3220,4,FALSE), vlookup(B1560,Pop_Census_2023!$A$2:$E$3220,5,FALSE))</f>
        <v>10969</v>
      </c>
    </row>
    <row r="1561">
      <c r="A1561" s="47" t="s">
        <v>2955</v>
      </c>
      <c r="B1561" s="47">
        <v>28067.0</v>
      </c>
      <c r="C1561" s="47">
        <v>3.0</v>
      </c>
      <c r="D1561" s="47" t="s">
        <v>4044</v>
      </c>
      <c r="E1561" s="47" t="str">
        <f t="shared" si="1"/>
        <v>3A</v>
      </c>
      <c r="F1561" s="47" t="s">
        <v>4045</v>
      </c>
      <c r="G1561" s="47" t="s">
        <v>521</v>
      </c>
      <c r="H1561" s="48">
        <f>IF(NOT(ISBLANK(vlookup(B1561,Pop_Census_2023!$A$2:$E$3220,4,FALSE))),vlookup(B1561,Pop_Census_2023!$A$2:$E$3220,4,FALSE), vlookup(B1561,Pop_Census_2023!$A$2:$E$3220,5,FALSE))</f>
        <v>66250</v>
      </c>
    </row>
    <row r="1562">
      <c r="A1562" s="47" t="s">
        <v>2955</v>
      </c>
      <c r="B1562" s="47">
        <v>28069.0</v>
      </c>
      <c r="C1562" s="47">
        <v>3.0</v>
      </c>
      <c r="D1562" s="47" t="s">
        <v>4044</v>
      </c>
      <c r="E1562" s="47" t="str">
        <f t="shared" si="1"/>
        <v>3A</v>
      </c>
      <c r="F1562" s="47" t="s">
        <v>4046</v>
      </c>
      <c r="G1562" s="47" t="s">
        <v>1100</v>
      </c>
      <c r="H1562" s="48">
        <f>IF(NOT(ISBLANK(vlookup(B1562,Pop_Census_2023!$A$2:$E$3220,4,FALSE))),vlookup(B1562,Pop_Census_2023!$A$2:$E$3220,4,FALSE), vlookup(B1562,Pop_Census_2023!$A$2:$E$3220,5,FALSE))</f>
        <v>8584</v>
      </c>
    </row>
    <row r="1563">
      <c r="A1563" s="47" t="s">
        <v>2955</v>
      </c>
      <c r="B1563" s="47">
        <v>28071.0</v>
      </c>
      <c r="C1563" s="47">
        <v>3.0</v>
      </c>
      <c r="D1563" s="47" t="s">
        <v>4044</v>
      </c>
      <c r="E1563" s="47" t="str">
        <f t="shared" si="1"/>
        <v>3A</v>
      </c>
      <c r="F1563" s="47" t="s">
        <v>4046</v>
      </c>
      <c r="G1563" s="47" t="s">
        <v>249</v>
      </c>
      <c r="H1563" s="48">
        <f>IF(NOT(ISBLANK(vlookup(B1563,Pop_Census_2023!$A$2:$E$3220,4,FALSE))),vlookup(B1563,Pop_Census_2023!$A$2:$E$3220,4,FALSE), vlookup(B1563,Pop_Census_2023!$A$2:$E$3220,5,FALSE))</f>
        <v>58467</v>
      </c>
    </row>
    <row r="1564">
      <c r="A1564" s="47" t="s">
        <v>2955</v>
      </c>
      <c r="B1564" s="47">
        <v>28073.0</v>
      </c>
      <c r="C1564" s="47">
        <v>3.0</v>
      </c>
      <c r="D1564" s="47" t="s">
        <v>4044</v>
      </c>
      <c r="E1564" s="47" t="str">
        <f t="shared" si="1"/>
        <v>3A</v>
      </c>
      <c r="F1564" s="47" t="s">
        <v>4045</v>
      </c>
      <c r="G1564" s="47" t="s">
        <v>140</v>
      </c>
      <c r="H1564" s="48">
        <f>IF(NOT(ISBLANK(vlookup(B1564,Pop_Census_2023!$A$2:$E$3220,4,FALSE))),vlookup(B1564,Pop_Census_2023!$A$2:$E$3220,4,FALSE), vlookup(B1564,Pop_Census_2023!$A$2:$E$3220,5,FALSE))</f>
        <v>66217</v>
      </c>
    </row>
    <row r="1565">
      <c r="A1565" s="47" t="s">
        <v>2955</v>
      </c>
      <c r="B1565" s="47">
        <v>28075.0</v>
      </c>
      <c r="C1565" s="47">
        <v>3.0</v>
      </c>
      <c r="D1565" s="47" t="s">
        <v>4044</v>
      </c>
      <c r="E1565" s="47" t="str">
        <f t="shared" si="1"/>
        <v>3A</v>
      </c>
      <c r="F1565" s="47" t="s">
        <v>4046</v>
      </c>
      <c r="G1565" s="47" t="s">
        <v>141</v>
      </c>
      <c r="H1565" s="48">
        <f>IF(NOT(ISBLANK(vlookup(B1565,Pop_Census_2023!$A$2:$E$3220,4,FALSE))),vlookup(B1565,Pop_Census_2023!$A$2:$E$3220,4,FALSE), vlookup(B1565,Pop_Census_2023!$A$2:$E$3220,5,FALSE))</f>
        <v>70527</v>
      </c>
    </row>
    <row r="1566">
      <c r="A1566" s="47" t="s">
        <v>2955</v>
      </c>
      <c r="B1566" s="47">
        <v>28077.0</v>
      </c>
      <c r="C1566" s="47">
        <v>3.0</v>
      </c>
      <c r="D1566" s="47" t="s">
        <v>4044</v>
      </c>
      <c r="E1566" s="47" t="str">
        <f t="shared" si="1"/>
        <v>3A</v>
      </c>
      <c r="F1566" s="47" t="s">
        <v>4045</v>
      </c>
      <c r="G1566" s="47" t="s">
        <v>142</v>
      </c>
      <c r="H1566" s="48">
        <f>IF(NOT(ISBLANK(vlookup(B1566,Pop_Census_2023!$A$2:$E$3220,4,FALSE))),vlookup(B1566,Pop_Census_2023!$A$2:$E$3220,4,FALSE), vlookup(B1566,Pop_Census_2023!$A$2:$E$3220,5,FALSE))</f>
        <v>11741</v>
      </c>
    </row>
    <row r="1567">
      <c r="A1567" s="47" t="s">
        <v>2955</v>
      </c>
      <c r="B1567" s="47">
        <v>28079.0</v>
      </c>
      <c r="C1567" s="47">
        <v>3.0</v>
      </c>
      <c r="D1567" s="47" t="s">
        <v>4044</v>
      </c>
      <c r="E1567" s="47" t="str">
        <f t="shared" si="1"/>
        <v>3A</v>
      </c>
      <c r="F1567" s="47" t="s">
        <v>4046</v>
      </c>
      <c r="G1567" s="47" t="s">
        <v>1101</v>
      </c>
      <c r="H1567" s="48">
        <f>IF(NOT(ISBLANK(vlookup(B1567,Pop_Census_2023!$A$2:$E$3220,4,FALSE))),vlookup(B1567,Pop_Census_2023!$A$2:$E$3220,4,FALSE), vlookup(B1567,Pop_Census_2023!$A$2:$E$3220,5,FALSE))</f>
        <v>21258</v>
      </c>
    </row>
    <row r="1568">
      <c r="A1568" s="47" t="s">
        <v>2955</v>
      </c>
      <c r="B1568" s="47">
        <v>28081.0</v>
      </c>
      <c r="C1568" s="47">
        <v>3.0</v>
      </c>
      <c r="D1568" s="47" t="s">
        <v>4044</v>
      </c>
      <c r="E1568" s="47" t="str">
        <f t="shared" si="1"/>
        <v>3A</v>
      </c>
      <c r="F1568" s="47" t="s">
        <v>4046</v>
      </c>
      <c r="G1568" s="47" t="s">
        <v>143</v>
      </c>
      <c r="H1568" s="48">
        <f>IF(NOT(ISBLANK(vlookup(B1568,Pop_Census_2023!$A$2:$E$3220,4,FALSE))),vlookup(B1568,Pop_Census_2023!$A$2:$E$3220,4,FALSE), vlookup(B1568,Pop_Census_2023!$A$2:$E$3220,5,FALSE))</f>
        <v>82799</v>
      </c>
    </row>
    <row r="1569">
      <c r="A1569" s="47" t="s">
        <v>2955</v>
      </c>
      <c r="B1569" s="47">
        <v>28083.0</v>
      </c>
      <c r="C1569" s="47">
        <v>3.0</v>
      </c>
      <c r="D1569" s="47" t="s">
        <v>4044</v>
      </c>
      <c r="E1569" s="47" t="str">
        <f t="shared" si="1"/>
        <v>3A</v>
      </c>
      <c r="F1569" s="47" t="s">
        <v>4046</v>
      </c>
      <c r="G1569" s="47" t="s">
        <v>1102</v>
      </c>
      <c r="H1569" s="48">
        <f>IF(NOT(ISBLANK(vlookup(B1569,Pop_Census_2023!$A$2:$E$3220,4,FALSE))),vlookup(B1569,Pop_Census_2023!$A$2:$E$3220,4,FALSE), vlookup(B1569,Pop_Census_2023!$A$2:$E$3220,5,FALSE))</f>
        <v>26378</v>
      </c>
    </row>
    <row r="1570">
      <c r="A1570" s="47" t="s">
        <v>2955</v>
      </c>
      <c r="B1570" s="47">
        <v>28085.0</v>
      </c>
      <c r="C1570" s="47">
        <v>3.0</v>
      </c>
      <c r="D1570" s="47" t="s">
        <v>4044</v>
      </c>
      <c r="E1570" s="47" t="str">
        <f t="shared" si="1"/>
        <v>3A</v>
      </c>
      <c r="F1570" s="47" t="s">
        <v>4045</v>
      </c>
      <c r="G1570" s="47" t="s">
        <v>250</v>
      </c>
      <c r="H1570" s="48">
        <f>IF(NOT(ISBLANK(vlookup(B1570,Pop_Census_2023!$A$2:$E$3220,4,FALSE))),vlookup(B1570,Pop_Census_2023!$A$2:$E$3220,4,FALSE), vlookup(B1570,Pop_Census_2023!$A$2:$E$3220,5,FALSE))</f>
        <v>34702</v>
      </c>
    </row>
    <row r="1571">
      <c r="A1571" s="47" t="s">
        <v>2955</v>
      </c>
      <c r="B1571" s="47">
        <v>28087.0</v>
      </c>
      <c r="C1571" s="47">
        <v>3.0</v>
      </c>
      <c r="D1571" s="47" t="s">
        <v>4044</v>
      </c>
      <c r="E1571" s="47" t="str">
        <f t="shared" si="1"/>
        <v>3A</v>
      </c>
      <c r="F1571" s="47" t="s">
        <v>4046</v>
      </c>
      <c r="G1571" s="47" t="s">
        <v>145</v>
      </c>
      <c r="H1571" s="48">
        <f>IF(NOT(ISBLANK(vlookup(B1571,Pop_Census_2023!$A$2:$E$3220,4,FALSE))),vlookup(B1571,Pop_Census_2023!$A$2:$E$3220,4,FALSE), vlookup(B1571,Pop_Census_2023!$A$2:$E$3220,5,FALSE))</f>
        <v>57283</v>
      </c>
    </row>
    <row r="1572">
      <c r="A1572" s="47" t="s">
        <v>2955</v>
      </c>
      <c r="B1572" s="47">
        <v>28089.0</v>
      </c>
      <c r="C1572" s="47">
        <v>3.0</v>
      </c>
      <c r="D1572" s="47" t="s">
        <v>4044</v>
      </c>
      <c r="E1572" s="47" t="str">
        <f t="shared" si="1"/>
        <v>3A</v>
      </c>
      <c r="F1572" s="47" t="s">
        <v>4046</v>
      </c>
      <c r="G1572" s="47" t="s">
        <v>147</v>
      </c>
      <c r="H1572" s="48">
        <f>IF(NOT(ISBLANK(vlookup(B1572,Pop_Census_2023!$A$2:$E$3220,4,FALSE))),vlookup(B1572,Pop_Census_2023!$A$2:$E$3220,4,FALSE), vlookup(B1572,Pop_Census_2023!$A$2:$E$3220,5,FALSE))</f>
        <v>112511</v>
      </c>
    </row>
    <row r="1573">
      <c r="A1573" s="47" t="s">
        <v>2955</v>
      </c>
      <c r="B1573" s="47">
        <v>28091.0</v>
      </c>
      <c r="C1573" s="47">
        <v>3.0</v>
      </c>
      <c r="D1573" s="47" t="s">
        <v>4044</v>
      </c>
      <c r="E1573" s="47" t="str">
        <f t="shared" si="1"/>
        <v>3A</v>
      </c>
      <c r="F1573" s="47" t="s">
        <v>4045</v>
      </c>
      <c r="G1573" s="47" t="s">
        <v>149</v>
      </c>
      <c r="H1573" s="48">
        <f>IF(NOT(ISBLANK(vlookup(B1573,Pop_Census_2023!$A$2:$E$3220,4,FALSE))),vlookup(B1573,Pop_Census_2023!$A$2:$E$3220,4,FALSE), vlookup(B1573,Pop_Census_2023!$A$2:$E$3220,5,FALSE))</f>
        <v>24224</v>
      </c>
    </row>
    <row r="1574">
      <c r="A1574" s="47" t="s">
        <v>2955</v>
      </c>
      <c r="B1574" s="47">
        <v>28093.0</v>
      </c>
      <c r="C1574" s="47">
        <v>3.0</v>
      </c>
      <c r="D1574" s="47" t="s">
        <v>4044</v>
      </c>
      <c r="E1574" s="47" t="str">
        <f t="shared" si="1"/>
        <v>3A</v>
      </c>
      <c r="F1574" s="47" t="s">
        <v>4046</v>
      </c>
      <c r="G1574" s="47" t="s">
        <v>150</v>
      </c>
      <c r="H1574" s="48">
        <f>IF(NOT(ISBLANK(vlookup(B1574,Pop_Census_2023!$A$2:$E$3220,4,FALSE))),vlookup(B1574,Pop_Census_2023!$A$2:$E$3220,4,FALSE), vlookup(B1574,Pop_Census_2023!$A$2:$E$3220,5,FALSE))</f>
        <v>34123</v>
      </c>
    </row>
    <row r="1575">
      <c r="A1575" s="47" t="s">
        <v>2955</v>
      </c>
      <c r="B1575" s="47">
        <v>28095.0</v>
      </c>
      <c r="C1575" s="47">
        <v>3.0</v>
      </c>
      <c r="D1575" s="47" t="s">
        <v>4044</v>
      </c>
      <c r="E1575" s="47" t="str">
        <f t="shared" si="1"/>
        <v>3A</v>
      </c>
      <c r="F1575" s="47" t="s">
        <v>4046</v>
      </c>
      <c r="G1575" s="47" t="s">
        <v>152</v>
      </c>
      <c r="H1575" s="48">
        <f>IF(NOT(ISBLANK(vlookup(B1575,Pop_Census_2023!$A$2:$E$3220,4,FALSE))),vlookup(B1575,Pop_Census_2023!$A$2:$E$3220,4,FALSE), vlookup(B1575,Pop_Census_2023!$A$2:$E$3220,5,FALSE))</f>
        <v>33609</v>
      </c>
    </row>
    <row r="1576">
      <c r="A1576" s="47" t="s">
        <v>2955</v>
      </c>
      <c r="B1576" s="47">
        <v>28097.0</v>
      </c>
      <c r="C1576" s="47">
        <v>3.0</v>
      </c>
      <c r="D1576" s="47" t="s">
        <v>4044</v>
      </c>
      <c r="E1576" s="47" t="str">
        <f t="shared" si="1"/>
        <v>3A</v>
      </c>
      <c r="F1576" s="47" t="s">
        <v>4046</v>
      </c>
      <c r="G1576" s="47" t="s">
        <v>153</v>
      </c>
      <c r="H1576" s="48">
        <f>IF(NOT(ISBLANK(vlookup(B1576,Pop_Census_2023!$A$2:$E$3220,4,FALSE))),vlookup(B1576,Pop_Census_2023!$A$2:$E$3220,4,FALSE), vlookup(B1576,Pop_Census_2023!$A$2:$E$3220,5,FALSE))</f>
        <v>9600</v>
      </c>
    </row>
    <row r="1577">
      <c r="A1577" s="47" t="s">
        <v>2955</v>
      </c>
      <c r="B1577" s="47">
        <v>28099.0</v>
      </c>
      <c r="C1577" s="47">
        <v>3.0</v>
      </c>
      <c r="D1577" s="47" t="s">
        <v>4044</v>
      </c>
      <c r="E1577" s="47" t="str">
        <f t="shared" si="1"/>
        <v>3A</v>
      </c>
      <c r="F1577" s="47" t="s">
        <v>4046</v>
      </c>
      <c r="G1577" s="47" t="s">
        <v>1103</v>
      </c>
      <c r="H1577" s="48">
        <f>IF(NOT(ISBLANK(vlookup(B1577,Pop_Census_2023!$A$2:$E$3220,4,FALSE))),vlookup(B1577,Pop_Census_2023!$A$2:$E$3220,4,FALSE), vlookup(B1577,Pop_Census_2023!$A$2:$E$3220,5,FALSE))</f>
        <v>28789</v>
      </c>
    </row>
    <row r="1578">
      <c r="A1578" s="47" t="s">
        <v>2955</v>
      </c>
      <c r="B1578" s="47">
        <v>28101.0</v>
      </c>
      <c r="C1578" s="47">
        <v>3.0</v>
      </c>
      <c r="D1578" s="47" t="s">
        <v>4044</v>
      </c>
      <c r="E1578" s="47" t="str">
        <f t="shared" si="1"/>
        <v>3A</v>
      </c>
      <c r="F1578" s="47" t="s">
        <v>4046</v>
      </c>
      <c r="G1578" s="47" t="s">
        <v>257</v>
      </c>
      <c r="H1578" s="48">
        <f>IF(NOT(ISBLANK(vlookup(B1578,Pop_Census_2023!$A$2:$E$3220,4,FALSE))),vlookup(B1578,Pop_Census_2023!$A$2:$E$3220,4,FALSE), vlookup(B1578,Pop_Census_2023!$A$2:$E$3220,5,FALSE))</f>
        <v>21019</v>
      </c>
    </row>
    <row r="1579">
      <c r="A1579" s="47" t="s">
        <v>2955</v>
      </c>
      <c r="B1579" s="47">
        <v>28103.0</v>
      </c>
      <c r="C1579" s="47">
        <v>3.0</v>
      </c>
      <c r="D1579" s="47" t="s">
        <v>4044</v>
      </c>
      <c r="E1579" s="47" t="str">
        <f t="shared" si="1"/>
        <v>3A</v>
      </c>
      <c r="F1579" s="47" t="s">
        <v>4046</v>
      </c>
      <c r="G1579" s="47" t="s">
        <v>1104</v>
      </c>
      <c r="H1579" s="48">
        <f>IF(NOT(ISBLANK(vlookup(B1579,Pop_Census_2023!$A$2:$E$3220,4,FALSE))),vlookup(B1579,Pop_Census_2023!$A$2:$E$3220,4,FALSE), vlookup(B1579,Pop_Census_2023!$A$2:$E$3220,5,FALSE))</f>
        <v>9914</v>
      </c>
    </row>
    <row r="1580">
      <c r="A1580" s="47" t="s">
        <v>2955</v>
      </c>
      <c r="B1580" s="47">
        <v>28105.0</v>
      </c>
      <c r="C1580" s="47">
        <v>3.0</v>
      </c>
      <c r="D1580" s="47" t="s">
        <v>4044</v>
      </c>
      <c r="E1580" s="47" t="str">
        <f t="shared" si="1"/>
        <v>3A</v>
      </c>
      <c r="F1580" s="47" t="s">
        <v>4046</v>
      </c>
      <c r="G1580" s="47" t="s">
        <v>1105</v>
      </c>
      <c r="H1580" s="48">
        <f>IF(NOT(ISBLANK(vlookup(B1580,Pop_Census_2023!$A$2:$E$3220,4,FALSE))),vlookup(B1580,Pop_Census_2023!$A$2:$E$3220,4,FALSE), vlookup(B1580,Pop_Census_2023!$A$2:$E$3220,5,FALSE))</f>
        <v>51203</v>
      </c>
    </row>
    <row r="1581">
      <c r="A1581" s="47" t="s">
        <v>2955</v>
      </c>
      <c r="B1581" s="47">
        <v>28107.0</v>
      </c>
      <c r="C1581" s="47">
        <v>3.0</v>
      </c>
      <c r="D1581" s="47" t="s">
        <v>4044</v>
      </c>
      <c r="E1581" s="47" t="str">
        <f t="shared" si="1"/>
        <v>3A</v>
      </c>
      <c r="F1581" s="47" t="s">
        <v>4046</v>
      </c>
      <c r="G1581" s="47" t="s">
        <v>1106</v>
      </c>
      <c r="H1581" s="48">
        <f>IF(NOT(ISBLANK(vlookup(B1581,Pop_Census_2023!$A$2:$E$3220,4,FALSE))),vlookup(B1581,Pop_Census_2023!$A$2:$E$3220,4,FALSE), vlookup(B1581,Pop_Census_2023!$A$2:$E$3220,5,FALSE))</f>
        <v>32669</v>
      </c>
    </row>
    <row r="1582">
      <c r="A1582" s="47" t="s">
        <v>2955</v>
      </c>
      <c r="B1582" s="47">
        <v>28109.0</v>
      </c>
      <c r="C1582" s="47">
        <v>2.0</v>
      </c>
      <c r="D1582" s="47" t="s">
        <v>4044</v>
      </c>
      <c r="E1582" s="47" t="str">
        <f t="shared" si="1"/>
        <v>2A</v>
      </c>
      <c r="F1582" s="47" t="s">
        <v>4045</v>
      </c>
      <c r="G1582" s="47" t="s">
        <v>1107</v>
      </c>
      <c r="H1582" s="48">
        <f>IF(NOT(ISBLANK(vlookup(B1582,Pop_Census_2023!$A$2:$E$3220,4,FALSE))),vlookup(B1582,Pop_Census_2023!$A$2:$E$3220,4,FALSE), vlookup(B1582,Pop_Census_2023!$A$2:$E$3220,5,FALSE))</f>
        <v>57978</v>
      </c>
    </row>
    <row r="1583">
      <c r="A1583" s="47" t="s">
        <v>2955</v>
      </c>
      <c r="B1583" s="47">
        <v>28111.0</v>
      </c>
      <c r="C1583" s="47">
        <v>3.0</v>
      </c>
      <c r="D1583" s="47" t="s">
        <v>4044</v>
      </c>
      <c r="E1583" s="47" t="str">
        <f t="shared" si="1"/>
        <v>3A</v>
      </c>
      <c r="F1583" s="47" t="s">
        <v>4045</v>
      </c>
      <c r="G1583" s="47" t="s">
        <v>155</v>
      </c>
      <c r="H1583" s="48">
        <f>IF(NOT(ISBLANK(vlookup(B1583,Pop_Census_2023!$A$2:$E$3220,4,FALSE))),vlookup(B1583,Pop_Census_2023!$A$2:$E$3220,4,FALSE), vlookup(B1583,Pop_Census_2023!$A$2:$E$3220,5,FALSE))</f>
        <v>11315</v>
      </c>
    </row>
    <row r="1584">
      <c r="A1584" s="47" t="s">
        <v>2955</v>
      </c>
      <c r="B1584" s="47">
        <v>28113.0</v>
      </c>
      <c r="C1584" s="47">
        <v>3.0</v>
      </c>
      <c r="D1584" s="47" t="s">
        <v>4044</v>
      </c>
      <c r="E1584" s="47" t="str">
        <f t="shared" si="1"/>
        <v>3A</v>
      </c>
      <c r="F1584" s="47" t="s">
        <v>4045</v>
      </c>
      <c r="G1584" s="47" t="s">
        <v>157</v>
      </c>
      <c r="H1584" s="48">
        <f>IF(NOT(ISBLANK(vlookup(B1584,Pop_Census_2023!$A$2:$E$3220,4,FALSE))),vlookup(B1584,Pop_Census_2023!$A$2:$E$3220,4,FALSE), vlookup(B1584,Pop_Census_2023!$A$2:$E$3220,5,FALSE))</f>
        <v>39394</v>
      </c>
    </row>
    <row r="1585">
      <c r="A1585" s="47" t="s">
        <v>2955</v>
      </c>
      <c r="B1585" s="47">
        <v>28115.0</v>
      </c>
      <c r="C1585" s="47">
        <v>3.0</v>
      </c>
      <c r="D1585" s="47" t="s">
        <v>4044</v>
      </c>
      <c r="E1585" s="47" t="str">
        <f t="shared" si="1"/>
        <v>3A</v>
      </c>
      <c r="F1585" s="47" t="s">
        <v>4046</v>
      </c>
      <c r="G1585" s="47" t="s">
        <v>1108</v>
      </c>
      <c r="H1585" s="48">
        <f>IF(NOT(ISBLANK(vlookup(B1585,Pop_Census_2023!$A$2:$E$3220,4,FALSE))),vlookup(B1585,Pop_Census_2023!$A$2:$E$3220,4,FALSE), vlookup(B1585,Pop_Census_2023!$A$2:$E$3220,5,FALSE))</f>
        <v>31535</v>
      </c>
    </row>
    <row r="1586">
      <c r="A1586" s="47" t="s">
        <v>2955</v>
      </c>
      <c r="B1586" s="47">
        <v>28117.0</v>
      </c>
      <c r="C1586" s="47">
        <v>3.0</v>
      </c>
      <c r="D1586" s="47" t="s">
        <v>4044</v>
      </c>
      <c r="E1586" s="47" t="str">
        <f t="shared" si="1"/>
        <v>3A</v>
      </c>
      <c r="F1586" s="47" t="s">
        <v>4046</v>
      </c>
      <c r="G1586" s="47" t="s">
        <v>1109</v>
      </c>
      <c r="H1586" s="48">
        <f>IF(NOT(ISBLANK(vlookup(B1586,Pop_Census_2023!$A$2:$E$3220,4,FALSE))),vlookup(B1586,Pop_Census_2023!$A$2:$E$3220,4,FALSE), vlookup(B1586,Pop_Census_2023!$A$2:$E$3220,5,FALSE))</f>
        <v>25135</v>
      </c>
    </row>
    <row r="1587">
      <c r="A1587" s="47" t="s">
        <v>2955</v>
      </c>
      <c r="B1587" s="47">
        <v>28119.0</v>
      </c>
      <c r="C1587" s="47">
        <v>3.0</v>
      </c>
      <c r="D1587" s="47" t="s">
        <v>4044</v>
      </c>
      <c r="E1587" s="47" t="str">
        <f t="shared" si="1"/>
        <v>3A</v>
      </c>
      <c r="F1587" s="47" t="s">
        <v>4046</v>
      </c>
      <c r="G1587" s="47" t="s">
        <v>537</v>
      </c>
      <c r="H1587" s="48">
        <f>IF(NOT(ISBLANK(vlookup(B1587,Pop_Census_2023!$A$2:$E$3220,4,FALSE))),vlookup(B1587,Pop_Census_2023!$A$2:$E$3220,4,FALSE), vlookup(B1587,Pop_Census_2023!$A$2:$E$3220,5,FALSE))</f>
        <v>5546</v>
      </c>
    </row>
    <row r="1588">
      <c r="A1588" s="47" t="s">
        <v>2955</v>
      </c>
      <c r="B1588" s="47">
        <v>28121.0</v>
      </c>
      <c r="C1588" s="47">
        <v>3.0</v>
      </c>
      <c r="D1588" s="47" t="s">
        <v>4044</v>
      </c>
      <c r="E1588" s="47" t="str">
        <f t="shared" si="1"/>
        <v>3A</v>
      </c>
      <c r="F1588" s="47" t="s">
        <v>4045</v>
      </c>
      <c r="G1588" s="47" t="s">
        <v>1110</v>
      </c>
      <c r="H1588" s="48">
        <f>IF(NOT(ISBLANK(vlookup(B1588,Pop_Census_2023!$A$2:$E$3220,4,FALSE))),vlookup(B1588,Pop_Census_2023!$A$2:$E$3220,4,FALSE), vlookup(B1588,Pop_Census_2023!$A$2:$E$3220,5,FALSE))</f>
        <v>160417</v>
      </c>
    </row>
    <row r="1589">
      <c r="A1589" s="47" t="s">
        <v>2955</v>
      </c>
      <c r="B1589" s="47">
        <v>28123.0</v>
      </c>
      <c r="C1589" s="47">
        <v>3.0</v>
      </c>
      <c r="D1589" s="47" t="s">
        <v>4044</v>
      </c>
      <c r="E1589" s="47" t="str">
        <f t="shared" si="1"/>
        <v>3A</v>
      </c>
      <c r="F1589" s="47" t="s">
        <v>4046</v>
      </c>
      <c r="G1589" s="47" t="s">
        <v>267</v>
      </c>
      <c r="H1589" s="48">
        <f>IF(NOT(ISBLANK(vlookup(B1589,Pop_Census_2023!$A$2:$E$3220,4,FALSE))),vlookup(B1589,Pop_Census_2023!$A$2:$E$3220,4,FALSE), vlookup(B1589,Pop_Census_2023!$A$2:$E$3220,5,FALSE))</f>
        <v>27507</v>
      </c>
    </row>
    <row r="1590">
      <c r="A1590" s="47" t="s">
        <v>2955</v>
      </c>
      <c r="B1590" s="47">
        <v>28125.0</v>
      </c>
      <c r="C1590" s="47">
        <v>3.0</v>
      </c>
      <c r="D1590" s="47" t="s">
        <v>4044</v>
      </c>
      <c r="E1590" s="47" t="str">
        <f t="shared" si="1"/>
        <v>3A</v>
      </c>
      <c r="F1590" s="47" t="s">
        <v>4046</v>
      </c>
      <c r="G1590" s="47" t="s">
        <v>1111</v>
      </c>
      <c r="H1590" s="48">
        <f>IF(NOT(ISBLANK(vlookup(B1590,Pop_Census_2023!$A$2:$E$3220,4,FALSE))),vlookup(B1590,Pop_Census_2023!$A$2:$E$3220,4,FALSE), vlookup(B1590,Pop_Census_2023!$A$2:$E$3220,5,FALSE))</f>
        <v>3336</v>
      </c>
    </row>
    <row r="1591">
      <c r="A1591" s="47" t="s">
        <v>2955</v>
      </c>
      <c r="B1591" s="47">
        <v>28127.0</v>
      </c>
      <c r="C1591" s="47">
        <v>3.0</v>
      </c>
      <c r="D1591" s="47" t="s">
        <v>4044</v>
      </c>
      <c r="E1591" s="47" t="str">
        <f t="shared" si="1"/>
        <v>3A</v>
      </c>
      <c r="F1591" s="47" t="s">
        <v>4045</v>
      </c>
      <c r="G1591" s="47" t="s">
        <v>869</v>
      </c>
      <c r="H1591" s="48">
        <f>IF(NOT(ISBLANK(vlookup(B1591,Pop_Census_2023!$A$2:$E$3220,4,FALSE))),vlookup(B1591,Pop_Census_2023!$A$2:$E$3220,4,FALSE), vlookup(B1591,Pop_Census_2023!$A$2:$E$3220,5,FALSE))</f>
        <v>25715</v>
      </c>
    </row>
    <row r="1592">
      <c r="A1592" s="47" t="s">
        <v>2955</v>
      </c>
      <c r="B1592" s="47">
        <v>28129.0</v>
      </c>
      <c r="C1592" s="47">
        <v>3.0</v>
      </c>
      <c r="D1592" s="47" t="s">
        <v>4044</v>
      </c>
      <c r="E1592" s="47" t="str">
        <f t="shared" si="1"/>
        <v>3A</v>
      </c>
      <c r="F1592" s="47" t="s">
        <v>4045</v>
      </c>
      <c r="G1592" s="47" t="s">
        <v>806</v>
      </c>
      <c r="H1592" s="48">
        <f>IF(NOT(ISBLANK(vlookup(B1592,Pop_Census_2023!$A$2:$E$3220,4,FALSE))),vlookup(B1592,Pop_Census_2023!$A$2:$E$3220,4,FALSE), vlookup(B1592,Pop_Census_2023!$A$2:$E$3220,5,FALSE))</f>
        <v>14099</v>
      </c>
    </row>
    <row r="1593">
      <c r="A1593" s="47" t="s">
        <v>2955</v>
      </c>
      <c r="B1593" s="47">
        <v>28131.0</v>
      </c>
      <c r="C1593" s="47">
        <v>2.0</v>
      </c>
      <c r="D1593" s="47" t="s">
        <v>4044</v>
      </c>
      <c r="E1593" s="47" t="str">
        <f t="shared" si="1"/>
        <v>2A</v>
      </c>
      <c r="F1593" s="47" t="s">
        <v>4045</v>
      </c>
      <c r="G1593" s="47" t="s">
        <v>272</v>
      </c>
      <c r="H1593" s="48">
        <f>IF(NOT(ISBLANK(vlookup(B1593,Pop_Census_2023!$A$2:$E$3220,4,FALSE))),vlookup(B1593,Pop_Census_2023!$A$2:$E$3220,4,FALSE), vlookup(B1593,Pop_Census_2023!$A$2:$E$3220,5,FALSE))</f>
        <v>18756</v>
      </c>
    </row>
    <row r="1594">
      <c r="A1594" s="47" t="s">
        <v>2955</v>
      </c>
      <c r="B1594" s="47">
        <v>28133.0</v>
      </c>
      <c r="C1594" s="47">
        <v>3.0</v>
      </c>
      <c r="D1594" s="47" t="s">
        <v>4044</v>
      </c>
      <c r="E1594" s="47" t="str">
        <f t="shared" si="1"/>
        <v>3A</v>
      </c>
      <c r="F1594" s="47" t="s">
        <v>4046</v>
      </c>
      <c r="G1594" s="47" t="s">
        <v>1112</v>
      </c>
      <c r="H1594" s="48">
        <f>IF(NOT(ISBLANK(vlookup(B1594,Pop_Census_2023!$A$2:$E$3220,4,FALSE))),vlookup(B1594,Pop_Census_2023!$A$2:$E$3220,4,FALSE), vlookup(B1594,Pop_Census_2023!$A$2:$E$3220,5,FALSE))</f>
        <v>24468</v>
      </c>
    </row>
    <row r="1595">
      <c r="A1595" s="47" t="s">
        <v>2955</v>
      </c>
      <c r="B1595" s="47">
        <v>28135.0</v>
      </c>
      <c r="C1595" s="47">
        <v>3.0</v>
      </c>
      <c r="D1595" s="47" t="s">
        <v>4044</v>
      </c>
      <c r="E1595" s="47" t="str">
        <f t="shared" si="1"/>
        <v>3A</v>
      </c>
      <c r="F1595" s="47" t="s">
        <v>4046</v>
      </c>
      <c r="G1595" s="47" t="s">
        <v>1113</v>
      </c>
      <c r="H1595" s="48">
        <f>IF(NOT(ISBLANK(vlookup(B1595,Pop_Census_2023!$A$2:$E$3220,4,FALSE))),vlookup(B1595,Pop_Census_2023!$A$2:$E$3220,4,FALSE), vlookup(B1595,Pop_Census_2023!$A$2:$E$3220,5,FALSE))</f>
        <v>11837</v>
      </c>
    </row>
    <row r="1596">
      <c r="A1596" s="47" t="s">
        <v>2955</v>
      </c>
      <c r="B1596" s="47">
        <v>28137.0</v>
      </c>
      <c r="C1596" s="47">
        <v>3.0</v>
      </c>
      <c r="D1596" s="47" t="s">
        <v>4044</v>
      </c>
      <c r="E1596" s="47" t="str">
        <f t="shared" si="1"/>
        <v>3A</v>
      </c>
      <c r="F1596" s="47" t="s">
        <v>4046</v>
      </c>
      <c r="G1596" s="47" t="s">
        <v>1114</v>
      </c>
      <c r="H1596" s="48">
        <f>IF(NOT(ISBLANK(vlookup(B1596,Pop_Census_2023!$A$2:$E$3220,4,FALSE))),vlookup(B1596,Pop_Census_2023!$A$2:$E$3220,4,FALSE), vlookup(B1596,Pop_Census_2023!$A$2:$E$3220,5,FALSE))</f>
        <v>28261</v>
      </c>
    </row>
    <row r="1597">
      <c r="A1597" s="47" t="s">
        <v>2955</v>
      </c>
      <c r="B1597" s="47">
        <v>28139.0</v>
      </c>
      <c r="C1597" s="47">
        <v>3.0</v>
      </c>
      <c r="D1597" s="47" t="s">
        <v>4044</v>
      </c>
      <c r="E1597" s="47" t="str">
        <f t="shared" si="1"/>
        <v>3A</v>
      </c>
      <c r="F1597" s="47" t="s">
        <v>4046</v>
      </c>
      <c r="G1597" s="47" t="s">
        <v>1115</v>
      </c>
      <c r="H1597" s="48">
        <f>IF(NOT(ISBLANK(vlookup(B1597,Pop_Census_2023!$A$2:$E$3220,4,FALSE))),vlookup(B1597,Pop_Census_2023!$A$2:$E$3220,4,FALSE), vlookup(B1597,Pop_Census_2023!$A$2:$E$3220,5,FALSE))</f>
        <v>21287</v>
      </c>
    </row>
    <row r="1598">
      <c r="A1598" s="47" t="s">
        <v>2955</v>
      </c>
      <c r="B1598" s="47">
        <v>28141.0</v>
      </c>
      <c r="C1598" s="47">
        <v>3.0</v>
      </c>
      <c r="D1598" s="47" t="s">
        <v>4044</v>
      </c>
      <c r="E1598" s="47" t="str">
        <f t="shared" si="1"/>
        <v>3A</v>
      </c>
      <c r="F1598" s="47" t="s">
        <v>4046</v>
      </c>
      <c r="G1598" s="47" t="s">
        <v>1116</v>
      </c>
      <c r="H1598" s="48">
        <f>IF(NOT(ISBLANK(vlookup(B1598,Pop_Census_2023!$A$2:$E$3220,4,FALSE))),vlookup(B1598,Pop_Census_2023!$A$2:$E$3220,4,FALSE), vlookup(B1598,Pop_Census_2023!$A$2:$E$3220,5,FALSE))</f>
        <v>18507</v>
      </c>
    </row>
    <row r="1599">
      <c r="A1599" s="47" t="s">
        <v>2955</v>
      </c>
      <c r="B1599" s="47">
        <v>28143.0</v>
      </c>
      <c r="C1599" s="47">
        <v>3.0</v>
      </c>
      <c r="D1599" s="47" t="s">
        <v>4044</v>
      </c>
      <c r="E1599" s="47" t="str">
        <f t="shared" si="1"/>
        <v>3A</v>
      </c>
      <c r="F1599" s="47" t="s">
        <v>4046</v>
      </c>
      <c r="G1599" s="47" t="s">
        <v>1117</v>
      </c>
      <c r="H1599" s="48">
        <f>IF(NOT(ISBLANK(vlookup(B1599,Pop_Census_2023!$A$2:$E$3220,4,FALSE))),vlookup(B1599,Pop_Census_2023!$A$2:$E$3220,4,FALSE), vlookup(B1599,Pop_Census_2023!$A$2:$E$3220,5,FALSE))</f>
        <v>9234</v>
      </c>
    </row>
    <row r="1600">
      <c r="A1600" s="47" t="s">
        <v>2955</v>
      </c>
      <c r="B1600" s="47">
        <v>28145.0</v>
      </c>
      <c r="C1600" s="47">
        <v>3.0</v>
      </c>
      <c r="D1600" s="47" t="s">
        <v>4044</v>
      </c>
      <c r="E1600" s="47" t="str">
        <f t="shared" si="1"/>
        <v>3A</v>
      </c>
      <c r="F1600" s="47" t="s">
        <v>4046</v>
      </c>
      <c r="G1600" s="47" t="s">
        <v>273</v>
      </c>
      <c r="H1600" s="48">
        <f>IF(NOT(ISBLANK(vlookup(B1600,Pop_Census_2023!$A$2:$E$3220,4,FALSE))),vlookup(B1600,Pop_Census_2023!$A$2:$E$3220,4,FALSE), vlookup(B1600,Pop_Census_2023!$A$2:$E$3220,5,FALSE))</f>
        <v>28284</v>
      </c>
    </row>
    <row r="1601">
      <c r="A1601" s="47" t="s">
        <v>2955</v>
      </c>
      <c r="B1601" s="47">
        <v>28147.0</v>
      </c>
      <c r="C1601" s="47">
        <v>3.0</v>
      </c>
      <c r="D1601" s="47" t="s">
        <v>4044</v>
      </c>
      <c r="E1601" s="47" t="str">
        <f t="shared" si="1"/>
        <v>3A</v>
      </c>
      <c r="F1601" s="47" t="s">
        <v>4045</v>
      </c>
      <c r="G1601" s="47" t="s">
        <v>1118</v>
      </c>
      <c r="H1601" s="48">
        <f>IF(NOT(ISBLANK(vlookup(B1601,Pop_Census_2023!$A$2:$E$3220,4,FALSE))),vlookup(B1601,Pop_Census_2023!$A$2:$E$3220,4,FALSE), vlookup(B1601,Pop_Census_2023!$A$2:$E$3220,5,FALSE))</f>
        <v>13863</v>
      </c>
    </row>
    <row r="1602">
      <c r="A1602" s="47" t="s">
        <v>2955</v>
      </c>
      <c r="B1602" s="47">
        <v>28149.0</v>
      </c>
      <c r="C1602" s="47">
        <v>3.0</v>
      </c>
      <c r="D1602" s="47" t="s">
        <v>4044</v>
      </c>
      <c r="E1602" s="47" t="str">
        <f t="shared" si="1"/>
        <v>3A</v>
      </c>
      <c r="F1602" s="47" t="s">
        <v>4045</v>
      </c>
      <c r="G1602" s="47" t="s">
        <v>561</v>
      </c>
      <c r="H1602" s="48">
        <f>IF(NOT(ISBLANK(vlookup(B1602,Pop_Census_2023!$A$2:$E$3220,4,FALSE))),vlookup(B1602,Pop_Census_2023!$A$2:$E$3220,4,FALSE), vlookup(B1602,Pop_Census_2023!$A$2:$E$3220,5,FALSE))</f>
        <v>42298</v>
      </c>
    </row>
    <row r="1603">
      <c r="A1603" s="47" t="s">
        <v>2955</v>
      </c>
      <c r="B1603" s="47">
        <v>28151.0</v>
      </c>
      <c r="C1603" s="47">
        <v>3.0</v>
      </c>
      <c r="D1603" s="47" t="s">
        <v>4044</v>
      </c>
      <c r="E1603" s="47" t="str">
        <f t="shared" si="1"/>
        <v>3A</v>
      </c>
      <c r="F1603" s="47" t="s">
        <v>4046</v>
      </c>
      <c r="G1603" s="47" t="s">
        <v>167</v>
      </c>
      <c r="H1603" s="48">
        <f>IF(NOT(ISBLANK(vlookup(B1603,Pop_Census_2023!$A$2:$E$3220,4,FALSE))),vlookup(B1603,Pop_Census_2023!$A$2:$E$3220,4,FALSE), vlookup(B1603,Pop_Census_2023!$A$2:$E$3220,5,FALSE))</f>
        <v>41946</v>
      </c>
    </row>
    <row r="1604">
      <c r="A1604" s="47" t="s">
        <v>2955</v>
      </c>
      <c r="B1604" s="47">
        <v>28153.0</v>
      </c>
      <c r="C1604" s="47">
        <v>3.0</v>
      </c>
      <c r="D1604" s="47" t="s">
        <v>4044</v>
      </c>
      <c r="E1604" s="47" t="str">
        <f t="shared" si="1"/>
        <v>3A</v>
      </c>
      <c r="F1604" s="47" t="s">
        <v>4045</v>
      </c>
      <c r="G1604" s="47" t="s">
        <v>562</v>
      </c>
      <c r="H1604" s="48">
        <f>IF(NOT(ISBLANK(vlookup(B1604,Pop_Census_2023!$A$2:$E$3220,4,FALSE))),vlookup(B1604,Pop_Census_2023!$A$2:$E$3220,4,FALSE), vlookup(B1604,Pop_Census_2023!$A$2:$E$3220,5,FALSE))</f>
        <v>19703</v>
      </c>
    </row>
    <row r="1605">
      <c r="A1605" s="47" t="s">
        <v>2955</v>
      </c>
      <c r="B1605" s="47">
        <v>28155.0</v>
      </c>
      <c r="C1605" s="47">
        <v>3.0</v>
      </c>
      <c r="D1605" s="47" t="s">
        <v>4044</v>
      </c>
      <c r="E1605" s="47" t="str">
        <f t="shared" si="1"/>
        <v>3A</v>
      </c>
      <c r="F1605" s="47" t="s">
        <v>4046</v>
      </c>
      <c r="G1605" s="47" t="s">
        <v>563</v>
      </c>
      <c r="H1605" s="48">
        <f>IF(NOT(ISBLANK(vlookup(B1605,Pop_Census_2023!$A$2:$E$3220,4,FALSE))),vlookup(B1605,Pop_Census_2023!$A$2:$E$3220,4,FALSE), vlookup(B1605,Pop_Census_2023!$A$2:$E$3220,5,FALSE))</f>
        <v>9988</v>
      </c>
    </row>
    <row r="1606">
      <c r="A1606" s="47" t="s">
        <v>2955</v>
      </c>
      <c r="B1606" s="47">
        <v>28157.0</v>
      </c>
      <c r="C1606" s="47">
        <v>3.0</v>
      </c>
      <c r="D1606" s="47" t="s">
        <v>4044</v>
      </c>
      <c r="E1606" s="47" t="str">
        <f t="shared" si="1"/>
        <v>3A</v>
      </c>
      <c r="F1606" s="47" t="s">
        <v>4045</v>
      </c>
      <c r="G1606" s="47" t="s">
        <v>567</v>
      </c>
      <c r="H1606" s="48">
        <f>IF(NOT(ISBLANK(vlookup(B1606,Pop_Census_2023!$A$2:$E$3220,4,FALSE))),vlookup(B1606,Pop_Census_2023!$A$2:$E$3220,4,FALSE), vlookup(B1606,Pop_Census_2023!$A$2:$E$3220,5,FALSE))</f>
        <v>8058</v>
      </c>
    </row>
    <row r="1607">
      <c r="A1607" s="47" t="s">
        <v>2955</v>
      </c>
      <c r="B1607" s="47">
        <v>28159.0</v>
      </c>
      <c r="C1607" s="47">
        <v>3.0</v>
      </c>
      <c r="D1607" s="47" t="s">
        <v>4044</v>
      </c>
      <c r="E1607" s="47" t="str">
        <f t="shared" si="1"/>
        <v>3A</v>
      </c>
      <c r="F1607" s="47" t="s">
        <v>4046</v>
      </c>
      <c r="G1607" s="47" t="s">
        <v>169</v>
      </c>
      <c r="H1607" s="48">
        <f>IF(NOT(ISBLANK(vlookup(B1607,Pop_Census_2023!$A$2:$E$3220,4,FALSE))),vlookup(B1607,Pop_Census_2023!$A$2:$E$3220,4,FALSE), vlookup(B1607,Pop_Census_2023!$A$2:$E$3220,5,FALSE))</f>
        <v>17416</v>
      </c>
    </row>
    <row r="1608">
      <c r="A1608" s="47" t="s">
        <v>2955</v>
      </c>
      <c r="B1608" s="47">
        <v>28161.0</v>
      </c>
      <c r="C1608" s="47">
        <v>3.0</v>
      </c>
      <c r="D1608" s="47" t="s">
        <v>4044</v>
      </c>
      <c r="E1608" s="47" t="str">
        <f t="shared" si="1"/>
        <v>3A</v>
      </c>
      <c r="F1608" s="47" t="s">
        <v>4046</v>
      </c>
      <c r="G1608" s="47" t="s">
        <v>1119</v>
      </c>
      <c r="H1608" s="48">
        <f>IF(NOT(ISBLANK(vlookup(B1608,Pop_Census_2023!$A$2:$E$3220,4,FALSE))),vlookup(B1608,Pop_Census_2023!$A$2:$E$3220,4,FALSE), vlookup(B1608,Pop_Census_2023!$A$2:$E$3220,5,FALSE))</f>
        <v>12386</v>
      </c>
    </row>
    <row r="1609">
      <c r="A1609" s="47" t="s">
        <v>2955</v>
      </c>
      <c r="B1609" s="47">
        <v>28163.0</v>
      </c>
      <c r="C1609" s="47">
        <v>3.0</v>
      </c>
      <c r="D1609" s="47" t="s">
        <v>4044</v>
      </c>
      <c r="E1609" s="47" t="str">
        <f t="shared" si="1"/>
        <v>3A</v>
      </c>
      <c r="F1609" s="47" t="s">
        <v>4046</v>
      </c>
      <c r="G1609" s="47" t="s">
        <v>1120</v>
      </c>
      <c r="H1609" s="48">
        <f>IF(NOT(ISBLANK(vlookup(B1609,Pop_Census_2023!$A$2:$E$3220,4,FALSE))),vlookup(B1609,Pop_Census_2023!$A$2:$E$3220,4,FALSE), vlookup(B1609,Pop_Census_2023!$A$2:$E$3220,5,FALSE))</f>
        <v>25796</v>
      </c>
    </row>
    <row r="1610">
      <c r="A1610" s="47" t="s">
        <v>3034</v>
      </c>
      <c r="B1610" s="47">
        <v>30001.0</v>
      </c>
      <c r="C1610" s="47">
        <v>6.0</v>
      </c>
      <c r="D1610" s="47" t="s">
        <v>4053</v>
      </c>
      <c r="E1610" s="47" t="str">
        <f t="shared" si="1"/>
        <v>6B</v>
      </c>
      <c r="F1610" s="47" t="s">
        <v>4054</v>
      </c>
      <c r="G1610" s="47" t="s">
        <v>1161</v>
      </c>
      <c r="H1610" s="48">
        <f>IF(NOT(ISBLANK(vlookup(B1610,Pop_Census_2023!$A$2:$E$3220,4,FALSE))),vlookup(B1610,Pop_Census_2023!$A$2:$E$3220,4,FALSE), vlookup(B1610,Pop_Census_2023!$A$2:$E$3220,5,FALSE))</f>
        <v>9885</v>
      </c>
    </row>
    <row r="1611">
      <c r="A1611" s="47" t="s">
        <v>3034</v>
      </c>
      <c r="B1611" s="47">
        <v>30003.0</v>
      </c>
      <c r="C1611" s="47">
        <v>6.0</v>
      </c>
      <c r="D1611" s="47" t="s">
        <v>4053</v>
      </c>
      <c r="E1611" s="47" t="str">
        <f t="shared" si="1"/>
        <v>6B</v>
      </c>
      <c r="F1611" s="47" t="s">
        <v>4054</v>
      </c>
      <c r="G1611" s="47" t="s">
        <v>1163</v>
      </c>
      <c r="H1611" s="48">
        <f>IF(NOT(ISBLANK(vlookup(B1611,Pop_Census_2023!$A$2:$E$3220,4,FALSE))),vlookup(B1611,Pop_Census_2023!$A$2:$E$3220,4,FALSE), vlookup(B1611,Pop_Census_2023!$A$2:$E$3220,5,FALSE))</f>
        <v>12751</v>
      </c>
    </row>
    <row r="1612">
      <c r="A1612" s="47" t="s">
        <v>3034</v>
      </c>
      <c r="B1612" s="47">
        <v>30005.0</v>
      </c>
      <c r="C1612" s="47">
        <v>6.0</v>
      </c>
      <c r="D1612" s="47" t="s">
        <v>4053</v>
      </c>
      <c r="E1612" s="47" t="str">
        <f t="shared" si="1"/>
        <v>6B</v>
      </c>
      <c r="F1612" s="47" t="s">
        <v>4054</v>
      </c>
      <c r="G1612" s="47" t="s">
        <v>581</v>
      </c>
      <c r="H1612" s="48">
        <f>IF(NOT(ISBLANK(vlookup(B1612,Pop_Census_2023!$A$2:$E$3220,4,FALSE))),vlookup(B1612,Pop_Census_2023!$A$2:$E$3220,4,FALSE), vlookup(B1612,Pop_Census_2023!$A$2:$E$3220,5,FALSE))</f>
        <v>6899</v>
      </c>
    </row>
    <row r="1613">
      <c r="A1613" s="47" t="s">
        <v>3034</v>
      </c>
      <c r="B1613" s="47">
        <v>30007.0</v>
      </c>
      <c r="C1613" s="47">
        <v>6.0</v>
      </c>
      <c r="D1613" s="47" t="s">
        <v>4053</v>
      </c>
      <c r="E1613" s="47" t="str">
        <f t="shared" si="1"/>
        <v>6B</v>
      </c>
      <c r="F1613" s="47" t="s">
        <v>4054</v>
      </c>
      <c r="G1613" s="47" t="s">
        <v>1164</v>
      </c>
      <c r="H1613" s="48">
        <f>IF(NOT(ISBLANK(vlookup(B1613,Pop_Census_2023!$A$2:$E$3220,4,FALSE))),vlookup(B1613,Pop_Census_2023!$A$2:$E$3220,4,FALSE), vlookup(B1613,Pop_Census_2023!$A$2:$E$3220,5,FALSE))</f>
        <v>8032</v>
      </c>
    </row>
    <row r="1614">
      <c r="A1614" s="47" t="s">
        <v>3034</v>
      </c>
      <c r="B1614" s="47">
        <v>30009.0</v>
      </c>
      <c r="C1614" s="47">
        <v>6.0</v>
      </c>
      <c r="D1614" s="47" t="s">
        <v>4053</v>
      </c>
      <c r="E1614" s="47" t="str">
        <f t="shared" si="1"/>
        <v>6B</v>
      </c>
      <c r="F1614" s="47" t="s">
        <v>4054</v>
      </c>
      <c r="G1614" s="47" t="s">
        <v>1165</v>
      </c>
      <c r="H1614" s="48">
        <f>IF(NOT(ISBLANK(vlookup(B1614,Pop_Census_2023!$A$2:$E$3220,4,FALSE))),vlookup(B1614,Pop_Census_2023!$A$2:$E$3220,4,FALSE), vlookup(B1614,Pop_Census_2023!$A$2:$E$3220,5,FALSE))</f>
        <v>11419</v>
      </c>
    </row>
    <row r="1615">
      <c r="A1615" s="47" t="s">
        <v>3034</v>
      </c>
      <c r="B1615" s="47">
        <v>30011.0</v>
      </c>
      <c r="C1615" s="47">
        <v>6.0</v>
      </c>
      <c r="D1615" s="47" t="s">
        <v>4053</v>
      </c>
      <c r="E1615" s="47" t="str">
        <f t="shared" si="1"/>
        <v>6B</v>
      </c>
      <c r="F1615" s="47" t="s">
        <v>4054</v>
      </c>
      <c r="G1615" s="47" t="s">
        <v>833</v>
      </c>
      <c r="H1615" s="48">
        <f>IF(NOT(ISBLANK(vlookup(B1615,Pop_Census_2023!$A$2:$E$3220,4,FALSE))),vlookup(B1615,Pop_Census_2023!$A$2:$E$3220,4,FALSE), vlookup(B1615,Pop_Census_2023!$A$2:$E$3220,5,FALSE))</f>
        <v>1418</v>
      </c>
    </row>
    <row r="1616">
      <c r="A1616" s="47" t="s">
        <v>3034</v>
      </c>
      <c r="B1616" s="47">
        <v>30013.0</v>
      </c>
      <c r="C1616" s="47">
        <v>6.0</v>
      </c>
      <c r="D1616" s="47" t="s">
        <v>4053</v>
      </c>
      <c r="E1616" s="47" t="str">
        <f t="shared" si="1"/>
        <v>6B</v>
      </c>
      <c r="F1616" s="47" t="s">
        <v>4054</v>
      </c>
      <c r="G1616" s="47" t="s">
        <v>1166</v>
      </c>
      <c r="H1616" s="48">
        <f>IF(NOT(ISBLANK(vlookup(B1616,Pop_Census_2023!$A$2:$E$3220,4,FALSE))),vlookup(B1616,Pop_Census_2023!$A$2:$E$3220,4,FALSE), vlookup(B1616,Pop_Census_2023!$A$2:$E$3220,5,FALSE))</f>
        <v>84900</v>
      </c>
    </row>
    <row r="1617">
      <c r="A1617" s="47" t="s">
        <v>3034</v>
      </c>
      <c r="B1617" s="47">
        <v>30015.0</v>
      </c>
      <c r="C1617" s="47">
        <v>6.0</v>
      </c>
      <c r="D1617" s="47" t="s">
        <v>4053</v>
      </c>
      <c r="E1617" s="47" t="str">
        <f t="shared" si="1"/>
        <v>6B</v>
      </c>
      <c r="F1617" s="47" t="s">
        <v>4054</v>
      </c>
      <c r="G1617" s="47" t="s">
        <v>1167</v>
      </c>
      <c r="H1617" s="48">
        <f>IF(NOT(ISBLANK(vlookup(B1617,Pop_Census_2023!$A$2:$E$3220,4,FALSE))),vlookup(B1617,Pop_Census_2023!$A$2:$E$3220,4,FALSE), vlookup(B1617,Pop_Census_2023!$A$2:$E$3220,5,FALSE))</f>
        <v>5847</v>
      </c>
    </row>
    <row r="1618">
      <c r="A1618" s="47" t="s">
        <v>3034</v>
      </c>
      <c r="B1618" s="47">
        <v>30017.0</v>
      </c>
      <c r="C1618" s="47">
        <v>6.0</v>
      </c>
      <c r="D1618" s="47" t="s">
        <v>4053</v>
      </c>
      <c r="E1618" s="47" t="str">
        <f t="shared" si="1"/>
        <v>6B</v>
      </c>
      <c r="F1618" s="47" t="s">
        <v>4054</v>
      </c>
      <c r="G1618" s="47" t="s">
        <v>353</v>
      </c>
      <c r="H1618" s="48">
        <f>IF(NOT(ISBLANK(vlookup(B1618,Pop_Census_2023!$A$2:$E$3220,4,FALSE))),vlookup(B1618,Pop_Census_2023!$A$2:$E$3220,4,FALSE), vlookup(B1618,Pop_Census_2023!$A$2:$E$3220,5,FALSE))</f>
        <v>11985</v>
      </c>
    </row>
    <row r="1619">
      <c r="A1619" s="47" t="s">
        <v>3034</v>
      </c>
      <c r="B1619" s="47">
        <v>30019.0</v>
      </c>
      <c r="C1619" s="47">
        <v>6.0</v>
      </c>
      <c r="D1619" s="47" t="s">
        <v>4053</v>
      </c>
      <c r="E1619" s="47" t="str">
        <f t="shared" si="1"/>
        <v>6B</v>
      </c>
      <c r="F1619" s="47" t="s">
        <v>4054</v>
      </c>
      <c r="G1619" s="47" t="s">
        <v>1168</v>
      </c>
      <c r="H1619" s="48">
        <f>IF(NOT(ISBLANK(vlookup(B1619,Pop_Census_2023!$A$2:$E$3220,4,FALSE))),vlookup(B1619,Pop_Census_2023!$A$2:$E$3220,4,FALSE), vlookup(B1619,Pop_Census_2023!$A$2:$E$3220,5,FALSE))</f>
        <v>1633</v>
      </c>
    </row>
    <row r="1620">
      <c r="A1620" s="47" t="s">
        <v>3034</v>
      </c>
      <c r="B1620" s="47">
        <v>30021.0</v>
      </c>
      <c r="C1620" s="47">
        <v>6.0</v>
      </c>
      <c r="D1620" s="47" t="s">
        <v>4053</v>
      </c>
      <c r="E1620" s="47" t="str">
        <f t="shared" si="1"/>
        <v>6B</v>
      </c>
      <c r="F1620" s="47" t="s">
        <v>4054</v>
      </c>
      <c r="G1620" s="47" t="s">
        <v>491</v>
      </c>
      <c r="H1620" s="48">
        <f>IF(NOT(ISBLANK(vlookup(B1620,Pop_Census_2023!$A$2:$E$3220,4,FALSE))),vlookup(B1620,Pop_Census_2023!$A$2:$E$3220,4,FALSE), vlookup(B1620,Pop_Census_2023!$A$2:$E$3220,5,FALSE))</f>
        <v>8810</v>
      </c>
    </row>
    <row r="1621">
      <c r="A1621" s="47" t="s">
        <v>3034</v>
      </c>
      <c r="B1621" s="47">
        <v>30023.0</v>
      </c>
      <c r="C1621" s="47">
        <v>6.0</v>
      </c>
      <c r="D1621" s="47" t="s">
        <v>4053</v>
      </c>
      <c r="E1621" s="47" t="str">
        <f t="shared" si="1"/>
        <v>6B</v>
      </c>
      <c r="F1621" s="47" t="s">
        <v>4054</v>
      </c>
      <c r="G1621" s="47" t="s">
        <v>1169</v>
      </c>
      <c r="H1621" s="48">
        <f>IF(NOT(ISBLANK(vlookup(B1621,Pop_Census_2023!$A$2:$E$3220,4,FALSE))),vlookup(B1621,Pop_Census_2023!$A$2:$E$3220,4,FALSE), vlookup(B1621,Pop_Census_2023!$A$2:$E$3220,5,FALSE))</f>
        <v>9673</v>
      </c>
    </row>
    <row r="1622">
      <c r="A1622" s="47" t="s">
        <v>3034</v>
      </c>
      <c r="B1622" s="47">
        <v>30025.0</v>
      </c>
      <c r="C1622" s="47">
        <v>6.0</v>
      </c>
      <c r="D1622" s="47" t="s">
        <v>4053</v>
      </c>
      <c r="E1622" s="47" t="str">
        <f t="shared" si="1"/>
        <v>6B</v>
      </c>
      <c r="F1622" s="47" t="s">
        <v>4054</v>
      </c>
      <c r="G1622" s="47" t="s">
        <v>1170</v>
      </c>
      <c r="H1622" s="48">
        <f>IF(NOT(ISBLANK(vlookup(B1622,Pop_Census_2023!$A$2:$E$3220,4,FALSE))),vlookup(B1622,Pop_Census_2023!$A$2:$E$3220,4,FALSE), vlookup(B1622,Pop_Census_2023!$A$2:$E$3220,5,FALSE))</f>
        <v>2994</v>
      </c>
    </row>
    <row r="1623">
      <c r="A1623" s="47" t="s">
        <v>3034</v>
      </c>
      <c r="B1623" s="47">
        <v>30027.0</v>
      </c>
      <c r="C1623" s="47">
        <v>6.0</v>
      </c>
      <c r="D1623" s="47" t="s">
        <v>4053</v>
      </c>
      <c r="E1623" s="47" t="str">
        <f t="shared" si="1"/>
        <v>6B</v>
      </c>
      <c r="F1623" s="47" t="s">
        <v>4054</v>
      </c>
      <c r="G1623" s="47" t="s">
        <v>1171</v>
      </c>
      <c r="H1623" s="48">
        <f>IF(NOT(ISBLANK(vlookup(B1623,Pop_Census_2023!$A$2:$E$3220,4,FALSE))),vlookup(B1623,Pop_Census_2023!$A$2:$E$3220,4,FALSE), vlookup(B1623,Pop_Census_2023!$A$2:$E$3220,5,FALSE))</f>
        <v>11772</v>
      </c>
    </row>
    <row r="1624">
      <c r="A1624" s="47" t="s">
        <v>3034</v>
      </c>
      <c r="B1624" s="47">
        <v>30029.0</v>
      </c>
      <c r="C1624" s="47">
        <v>6.0</v>
      </c>
      <c r="D1624" s="47" t="s">
        <v>4053</v>
      </c>
      <c r="E1624" s="47" t="str">
        <f t="shared" si="1"/>
        <v>6B</v>
      </c>
      <c r="F1624" s="47" t="s">
        <v>4054</v>
      </c>
      <c r="G1624" s="47" t="s">
        <v>1172</v>
      </c>
      <c r="H1624" s="48">
        <f>IF(NOT(ISBLANK(vlookup(B1624,Pop_Census_2023!$A$2:$E$3220,4,FALSE))),vlookup(B1624,Pop_Census_2023!$A$2:$E$3220,4,FALSE), vlookup(B1624,Pop_Census_2023!$A$2:$E$3220,5,FALSE))</f>
        <v>113679</v>
      </c>
    </row>
    <row r="1625">
      <c r="A1625" s="47" t="s">
        <v>3034</v>
      </c>
      <c r="B1625" s="47">
        <v>30031.0</v>
      </c>
      <c r="C1625" s="47">
        <v>6.0</v>
      </c>
      <c r="D1625" s="47" t="s">
        <v>4053</v>
      </c>
      <c r="E1625" s="47" t="str">
        <f t="shared" si="1"/>
        <v>6B</v>
      </c>
      <c r="F1625" s="47" t="s">
        <v>4054</v>
      </c>
      <c r="G1625" s="47" t="s">
        <v>624</v>
      </c>
      <c r="H1625" s="48">
        <f>IF(NOT(ISBLANK(vlookup(B1625,Pop_Census_2023!$A$2:$E$3220,4,FALSE))),vlookup(B1625,Pop_Census_2023!$A$2:$E$3220,4,FALSE), vlookup(B1625,Pop_Census_2023!$A$2:$E$3220,5,FALSE))</f>
        <v>126409</v>
      </c>
    </row>
    <row r="1626">
      <c r="A1626" s="47" t="s">
        <v>3034</v>
      </c>
      <c r="B1626" s="47">
        <v>30033.0</v>
      </c>
      <c r="C1626" s="47">
        <v>6.0</v>
      </c>
      <c r="D1626" s="47" t="s">
        <v>4053</v>
      </c>
      <c r="E1626" s="47" t="str">
        <f t="shared" si="1"/>
        <v>6B</v>
      </c>
      <c r="F1626" s="47" t="s">
        <v>4054</v>
      </c>
      <c r="G1626" s="47" t="s">
        <v>362</v>
      </c>
      <c r="H1626" s="48">
        <f>IF(NOT(ISBLANK(vlookup(B1626,Pop_Census_2023!$A$2:$E$3220,4,FALSE))),vlookup(B1626,Pop_Census_2023!$A$2:$E$3220,4,FALSE), vlookup(B1626,Pop_Census_2023!$A$2:$E$3220,5,FALSE))</f>
        <v>1211</v>
      </c>
    </row>
    <row r="1627">
      <c r="A1627" s="47" t="s">
        <v>3034</v>
      </c>
      <c r="B1627" s="47">
        <v>30035.0</v>
      </c>
      <c r="C1627" s="47">
        <v>6.0</v>
      </c>
      <c r="D1627" s="47" t="s">
        <v>4053</v>
      </c>
      <c r="E1627" s="47" t="str">
        <f t="shared" si="1"/>
        <v>6B</v>
      </c>
      <c r="F1627" s="47" t="s">
        <v>4054</v>
      </c>
      <c r="G1627" s="47" t="s">
        <v>1173</v>
      </c>
      <c r="H1627" s="48">
        <f>IF(NOT(ISBLANK(vlookup(B1627,Pop_Census_2023!$A$2:$E$3220,4,FALSE))),vlookup(B1627,Pop_Census_2023!$A$2:$E$3220,4,FALSE), vlookup(B1627,Pop_Census_2023!$A$2:$E$3220,5,FALSE))</f>
        <v>13609</v>
      </c>
    </row>
    <row r="1628">
      <c r="A1628" s="47" t="s">
        <v>3034</v>
      </c>
      <c r="B1628" s="47">
        <v>30037.0</v>
      </c>
      <c r="C1628" s="47">
        <v>6.0</v>
      </c>
      <c r="D1628" s="47" t="s">
        <v>4053</v>
      </c>
      <c r="E1628" s="47" t="str">
        <f t="shared" si="1"/>
        <v>6B</v>
      </c>
      <c r="F1628" s="47" t="s">
        <v>4054</v>
      </c>
      <c r="G1628" s="47" t="s">
        <v>1174</v>
      </c>
      <c r="H1628" s="34">
        <f>IF(NOT(ISBLANK(vlookup(B1628,Pop_Census_2023!$A$2:$E$3220,4,FALSE))),vlookup(B1628,Pop_Census_2023!$A$2:$E$3220,4,FALSE), vlookup(B1628,Pop_Census_2023!$A$2:$E$3220,5,FALSE))</f>
        <v>835</v>
      </c>
    </row>
    <row r="1629">
      <c r="A1629" s="47" t="s">
        <v>3034</v>
      </c>
      <c r="B1629" s="47">
        <v>30039.0</v>
      </c>
      <c r="C1629" s="47">
        <v>6.0</v>
      </c>
      <c r="D1629" s="47" t="s">
        <v>4053</v>
      </c>
      <c r="E1629" s="47" t="str">
        <f t="shared" si="1"/>
        <v>6B</v>
      </c>
      <c r="F1629" s="47" t="s">
        <v>4054</v>
      </c>
      <c r="G1629" s="47" t="s">
        <v>1175</v>
      </c>
      <c r="H1629" s="48">
        <f>IF(NOT(ISBLANK(vlookup(B1629,Pop_Census_2023!$A$2:$E$3220,4,FALSE))),vlookup(B1629,Pop_Census_2023!$A$2:$E$3220,4,FALSE), vlookup(B1629,Pop_Census_2023!$A$2:$E$3220,5,FALSE))</f>
        <v>3595</v>
      </c>
    </row>
    <row r="1630">
      <c r="A1630" s="47" t="s">
        <v>3034</v>
      </c>
      <c r="B1630" s="47">
        <v>30041.0</v>
      </c>
      <c r="C1630" s="47">
        <v>6.0</v>
      </c>
      <c r="D1630" s="47" t="s">
        <v>4053</v>
      </c>
      <c r="E1630" s="47" t="str">
        <f t="shared" si="1"/>
        <v>6B</v>
      </c>
      <c r="F1630" s="47" t="s">
        <v>4054</v>
      </c>
      <c r="G1630" s="47" t="s">
        <v>1176</v>
      </c>
      <c r="H1630" s="48">
        <f>IF(NOT(ISBLANK(vlookup(B1630,Pop_Census_2023!$A$2:$E$3220,4,FALSE))),vlookup(B1630,Pop_Census_2023!$A$2:$E$3220,4,FALSE), vlookup(B1630,Pop_Census_2023!$A$2:$E$3220,5,FALSE))</f>
        <v>16276</v>
      </c>
    </row>
    <row r="1631">
      <c r="A1631" s="47" t="s">
        <v>3034</v>
      </c>
      <c r="B1631" s="47">
        <v>30043.0</v>
      </c>
      <c r="C1631" s="47">
        <v>6.0</v>
      </c>
      <c r="D1631" s="47" t="s">
        <v>4053</v>
      </c>
      <c r="E1631" s="47" t="str">
        <f t="shared" si="1"/>
        <v>6B</v>
      </c>
      <c r="F1631" s="47" t="s">
        <v>4054</v>
      </c>
      <c r="G1631" s="47" t="s">
        <v>139</v>
      </c>
      <c r="H1631" s="48">
        <f>IF(NOT(ISBLANK(vlookup(B1631,Pop_Census_2023!$A$2:$E$3220,4,FALSE))),vlookup(B1631,Pop_Census_2023!$A$2:$E$3220,4,FALSE), vlookup(B1631,Pop_Census_2023!$A$2:$E$3220,5,FALSE))</f>
        <v>13048</v>
      </c>
    </row>
    <row r="1632">
      <c r="A1632" s="47" t="s">
        <v>3034</v>
      </c>
      <c r="B1632" s="47">
        <v>30045.0</v>
      </c>
      <c r="C1632" s="47">
        <v>6.0</v>
      </c>
      <c r="D1632" s="47" t="s">
        <v>4053</v>
      </c>
      <c r="E1632" s="47" t="str">
        <f t="shared" si="1"/>
        <v>6B</v>
      </c>
      <c r="F1632" s="47" t="s">
        <v>4054</v>
      </c>
      <c r="G1632" s="47" t="s">
        <v>4071</v>
      </c>
      <c r="H1632" s="48">
        <f>IF(NOT(ISBLANK(vlookup(B1632,Pop_Census_2023!$A$2:$E$3220,4,FALSE))),vlookup(B1632,Pop_Census_2023!$A$2:$E$3220,4,FALSE), vlookup(B1632,Pop_Census_2023!$A$2:$E$3220,5,FALSE))</f>
        <v>2093</v>
      </c>
    </row>
    <row r="1633">
      <c r="A1633" s="47" t="s">
        <v>3034</v>
      </c>
      <c r="B1633" s="47">
        <v>30047.0</v>
      </c>
      <c r="C1633" s="47">
        <v>6.0</v>
      </c>
      <c r="D1633" s="47" t="s">
        <v>4053</v>
      </c>
      <c r="E1633" s="47" t="str">
        <f t="shared" si="1"/>
        <v>6B</v>
      </c>
      <c r="F1633" s="47" t="s">
        <v>4054</v>
      </c>
      <c r="G1633" s="47" t="s">
        <v>298</v>
      </c>
      <c r="H1633" s="48">
        <f>IF(NOT(ISBLANK(vlookup(B1633,Pop_Census_2023!$A$2:$E$3220,4,FALSE))),vlookup(B1633,Pop_Census_2023!$A$2:$E$3220,4,FALSE), vlookup(B1633,Pop_Census_2023!$A$2:$E$3220,5,FALSE))</f>
        <v>33338</v>
      </c>
    </row>
    <row r="1634">
      <c r="A1634" s="47" t="s">
        <v>3034</v>
      </c>
      <c r="B1634" s="47">
        <v>30049.0</v>
      </c>
      <c r="C1634" s="47">
        <v>6.0</v>
      </c>
      <c r="D1634" s="47" t="s">
        <v>4053</v>
      </c>
      <c r="E1634" s="47" t="str">
        <f t="shared" si="1"/>
        <v>6B</v>
      </c>
      <c r="F1634" s="47" t="s">
        <v>4054</v>
      </c>
      <c r="G1634" s="47" t="s">
        <v>1178</v>
      </c>
      <c r="H1634" s="48">
        <f>IF(NOT(ISBLANK(vlookup(B1634,Pop_Census_2023!$A$2:$E$3220,4,FALSE))),vlookup(B1634,Pop_Census_2023!$A$2:$E$3220,4,FALSE), vlookup(B1634,Pop_Census_2023!$A$2:$E$3220,5,FALSE))</f>
        <v>75011</v>
      </c>
    </row>
    <row r="1635">
      <c r="A1635" s="47" t="s">
        <v>3034</v>
      </c>
      <c r="B1635" s="47">
        <v>30051.0</v>
      </c>
      <c r="C1635" s="47">
        <v>6.0</v>
      </c>
      <c r="D1635" s="47" t="s">
        <v>4053</v>
      </c>
      <c r="E1635" s="47" t="str">
        <f t="shared" si="1"/>
        <v>6B</v>
      </c>
      <c r="F1635" s="47" t="s">
        <v>4054</v>
      </c>
      <c r="G1635" s="47" t="s">
        <v>438</v>
      </c>
      <c r="H1635" s="48">
        <f>IF(NOT(ISBLANK(vlookup(B1635,Pop_Census_2023!$A$2:$E$3220,4,FALSE))),vlookup(B1635,Pop_Census_2023!$A$2:$E$3220,4,FALSE), vlookup(B1635,Pop_Census_2023!$A$2:$E$3220,5,FALSE))</f>
        <v>1974</v>
      </c>
    </row>
    <row r="1636">
      <c r="A1636" s="47" t="s">
        <v>3034</v>
      </c>
      <c r="B1636" s="47">
        <v>30053.0</v>
      </c>
      <c r="C1636" s="47">
        <v>6.0</v>
      </c>
      <c r="D1636" s="47" t="s">
        <v>4053</v>
      </c>
      <c r="E1636" s="47" t="str">
        <f t="shared" si="1"/>
        <v>6B</v>
      </c>
      <c r="F1636" s="47" t="s">
        <v>4054</v>
      </c>
      <c r="G1636" s="47" t="s">
        <v>250</v>
      </c>
      <c r="H1636" s="48">
        <f>IF(NOT(ISBLANK(vlookup(B1636,Pop_Census_2023!$A$2:$E$3220,4,FALSE))),vlookup(B1636,Pop_Census_2023!$A$2:$E$3220,4,FALSE), vlookup(B1636,Pop_Census_2023!$A$2:$E$3220,5,FALSE))</f>
        <v>21895</v>
      </c>
    </row>
    <row r="1637">
      <c r="A1637" s="47" t="s">
        <v>3034</v>
      </c>
      <c r="B1637" s="47">
        <v>30057.0</v>
      </c>
      <c r="C1637" s="47">
        <v>6.0</v>
      </c>
      <c r="D1637" s="47" t="s">
        <v>4053</v>
      </c>
      <c r="E1637" s="47" t="str">
        <f t="shared" si="1"/>
        <v>6B</v>
      </c>
      <c r="F1637" s="47" t="s">
        <v>4054</v>
      </c>
      <c r="G1637" s="47" t="s">
        <v>147</v>
      </c>
      <c r="H1637" s="48">
        <f>IF(NOT(ISBLANK(vlookup(B1637,Pop_Census_2023!$A$2:$E$3220,4,FALSE))),vlookup(B1637,Pop_Census_2023!$A$2:$E$3220,4,FALSE), vlookup(B1637,Pop_Census_2023!$A$2:$E$3220,5,FALSE))</f>
        <v>9521</v>
      </c>
    </row>
    <row r="1638">
      <c r="A1638" s="47" t="s">
        <v>3034</v>
      </c>
      <c r="B1638" s="47">
        <v>30055.0</v>
      </c>
      <c r="C1638" s="47">
        <v>6.0</v>
      </c>
      <c r="D1638" s="47" t="s">
        <v>4053</v>
      </c>
      <c r="E1638" s="47" t="str">
        <f t="shared" si="1"/>
        <v>6B</v>
      </c>
      <c r="F1638" s="47" t="s">
        <v>4054</v>
      </c>
      <c r="G1638" s="47" t="s">
        <v>1179</v>
      </c>
      <c r="H1638" s="48">
        <f>IF(NOT(ISBLANK(vlookup(B1638,Pop_Census_2023!$A$2:$E$3220,4,FALSE))),vlookup(B1638,Pop_Census_2023!$A$2:$E$3220,4,FALSE), vlookup(B1638,Pop_Census_2023!$A$2:$E$3220,5,FALSE))</f>
        <v>1676</v>
      </c>
    </row>
    <row r="1639">
      <c r="A1639" s="47" t="s">
        <v>3034</v>
      </c>
      <c r="B1639" s="47">
        <v>30059.0</v>
      </c>
      <c r="C1639" s="47">
        <v>6.0</v>
      </c>
      <c r="D1639" s="47" t="s">
        <v>4053</v>
      </c>
      <c r="E1639" s="47" t="str">
        <f t="shared" si="1"/>
        <v>6B</v>
      </c>
      <c r="F1639" s="47" t="s">
        <v>4054</v>
      </c>
      <c r="G1639" s="47" t="s">
        <v>1180</v>
      </c>
      <c r="H1639" s="48">
        <f>IF(NOT(ISBLANK(vlookup(B1639,Pop_Census_2023!$A$2:$E$3220,4,FALSE))),vlookup(B1639,Pop_Census_2023!$A$2:$E$3220,4,FALSE), vlookup(B1639,Pop_Census_2023!$A$2:$E$3220,5,FALSE))</f>
        <v>2071</v>
      </c>
    </row>
    <row r="1640">
      <c r="A1640" s="47" t="s">
        <v>3034</v>
      </c>
      <c r="B1640" s="47">
        <v>30061.0</v>
      </c>
      <c r="C1640" s="47">
        <v>6.0</v>
      </c>
      <c r="D1640" s="47" t="s">
        <v>4053</v>
      </c>
      <c r="E1640" s="47" t="str">
        <f t="shared" si="1"/>
        <v>6B</v>
      </c>
      <c r="F1640" s="47" t="s">
        <v>4054</v>
      </c>
      <c r="G1640" s="47" t="s">
        <v>374</v>
      </c>
      <c r="H1640" s="48">
        <f>IF(NOT(ISBLANK(vlookup(B1640,Pop_Census_2023!$A$2:$E$3220,4,FALSE))),vlookup(B1640,Pop_Census_2023!$A$2:$E$3220,4,FALSE), vlookup(B1640,Pop_Census_2023!$A$2:$E$3220,5,FALSE))</f>
        <v>5090</v>
      </c>
    </row>
    <row r="1641">
      <c r="A1641" s="47" t="s">
        <v>3034</v>
      </c>
      <c r="B1641" s="47">
        <v>30063.0</v>
      </c>
      <c r="C1641" s="47">
        <v>6.0</v>
      </c>
      <c r="D1641" s="47" t="s">
        <v>4053</v>
      </c>
      <c r="E1641" s="47" t="str">
        <f t="shared" si="1"/>
        <v>6B</v>
      </c>
      <c r="F1641" s="47" t="s">
        <v>4054</v>
      </c>
      <c r="G1641" s="47" t="s">
        <v>1181</v>
      </c>
      <c r="H1641" s="48">
        <f>IF(NOT(ISBLANK(vlookup(B1641,Pop_Census_2023!$A$2:$E$3220,4,FALSE))),vlookup(B1641,Pop_Census_2023!$A$2:$E$3220,4,FALSE), vlookup(B1641,Pop_Census_2023!$A$2:$E$3220,5,FALSE))</f>
        <v>121849</v>
      </c>
    </row>
    <row r="1642">
      <c r="A1642" s="47" t="s">
        <v>3034</v>
      </c>
      <c r="B1642" s="47">
        <v>30065.0</v>
      </c>
      <c r="C1642" s="47">
        <v>6.0</v>
      </c>
      <c r="D1642" s="47" t="s">
        <v>4053</v>
      </c>
      <c r="E1642" s="47" t="str">
        <f t="shared" si="1"/>
        <v>6B</v>
      </c>
      <c r="F1642" s="47" t="s">
        <v>4054</v>
      </c>
      <c r="G1642" s="47" t="s">
        <v>1182</v>
      </c>
      <c r="H1642" s="48">
        <f>IF(NOT(ISBLANK(vlookup(B1642,Pop_Census_2023!$A$2:$E$3220,4,FALSE))),vlookup(B1642,Pop_Census_2023!$A$2:$E$3220,4,FALSE), vlookup(B1642,Pop_Census_2023!$A$2:$E$3220,5,FALSE))</f>
        <v>5308</v>
      </c>
    </row>
    <row r="1643">
      <c r="A1643" s="47" t="s">
        <v>3034</v>
      </c>
      <c r="B1643" s="47">
        <v>30067.0</v>
      </c>
      <c r="C1643" s="47">
        <v>6.0</v>
      </c>
      <c r="D1643" s="47" t="s">
        <v>4053</v>
      </c>
      <c r="E1643" s="47" t="str">
        <f t="shared" si="1"/>
        <v>6B</v>
      </c>
      <c r="F1643" s="47" t="s">
        <v>4054</v>
      </c>
      <c r="G1643" s="47" t="s">
        <v>380</v>
      </c>
      <c r="H1643" s="48">
        <f>IF(NOT(ISBLANK(vlookup(B1643,Pop_Census_2023!$A$2:$E$3220,4,FALSE))),vlookup(B1643,Pop_Census_2023!$A$2:$E$3220,4,FALSE), vlookup(B1643,Pop_Census_2023!$A$2:$E$3220,5,FALSE))</f>
        <v>17903</v>
      </c>
    </row>
    <row r="1644">
      <c r="A1644" s="47" t="s">
        <v>3034</v>
      </c>
      <c r="B1644" s="47">
        <v>30069.0</v>
      </c>
      <c r="C1644" s="47">
        <v>6.0</v>
      </c>
      <c r="D1644" s="47" t="s">
        <v>4053</v>
      </c>
      <c r="E1644" s="47" t="str">
        <f t="shared" si="1"/>
        <v>6B</v>
      </c>
      <c r="F1644" s="47" t="s">
        <v>4054</v>
      </c>
      <c r="G1644" s="47" t="s">
        <v>1183</v>
      </c>
      <c r="H1644" s="34">
        <f>IF(NOT(ISBLANK(vlookup(B1644,Pop_Census_2023!$A$2:$E$3220,4,FALSE))),vlookup(B1644,Pop_Census_2023!$A$2:$E$3220,4,FALSE), vlookup(B1644,Pop_Census_2023!$A$2:$E$3220,5,FALSE))</f>
        <v>554</v>
      </c>
    </row>
    <row r="1645">
      <c r="A1645" s="47" t="s">
        <v>3034</v>
      </c>
      <c r="B1645" s="47">
        <v>30071.0</v>
      </c>
      <c r="C1645" s="47">
        <v>6.0</v>
      </c>
      <c r="D1645" s="47" t="s">
        <v>4053</v>
      </c>
      <c r="E1645" s="47" t="str">
        <f t="shared" si="1"/>
        <v>6B</v>
      </c>
      <c r="F1645" s="47" t="s">
        <v>4054</v>
      </c>
      <c r="G1645" s="47" t="s">
        <v>259</v>
      </c>
      <c r="H1645" s="48">
        <f>IF(NOT(ISBLANK(vlookup(B1645,Pop_Census_2023!$A$2:$E$3220,4,FALSE))),vlookup(B1645,Pop_Census_2023!$A$2:$E$3220,4,FALSE), vlookup(B1645,Pop_Census_2023!$A$2:$E$3220,5,FALSE))</f>
        <v>4249</v>
      </c>
    </row>
    <row r="1646">
      <c r="A1646" s="47" t="s">
        <v>3034</v>
      </c>
      <c r="B1646" s="47">
        <v>30073.0</v>
      </c>
      <c r="C1646" s="47">
        <v>6.0</v>
      </c>
      <c r="D1646" s="47" t="s">
        <v>4053</v>
      </c>
      <c r="E1646" s="47" t="str">
        <f t="shared" si="1"/>
        <v>6B</v>
      </c>
      <c r="F1646" s="47" t="s">
        <v>4054</v>
      </c>
      <c r="G1646" s="47" t="s">
        <v>1184</v>
      </c>
      <c r="H1646" s="48">
        <f>IF(NOT(ISBLANK(vlookup(B1646,Pop_Census_2023!$A$2:$E$3220,4,FALSE))),vlookup(B1646,Pop_Census_2023!$A$2:$E$3220,4,FALSE), vlookup(B1646,Pop_Census_2023!$A$2:$E$3220,5,FALSE))</f>
        <v>6125</v>
      </c>
    </row>
    <row r="1647">
      <c r="A1647" s="47" t="s">
        <v>3034</v>
      </c>
      <c r="B1647" s="47">
        <v>30075.0</v>
      </c>
      <c r="C1647" s="47">
        <v>6.0</v>
      </c>
      <c r="D1647" s="47" t="s">
        <v>4053</v>
      </c>
      <c r="E1647" s="47" t="str">
        <f t="shared" si="1"/>
        <v>6B</v>
      </c>
      <c r="F1647" s="47" t="s">
        <v>4054</v>
      </c>
      <c r="G1647" s="47" t="s">
        <v>1185</v>
      </c>
      <c r="H1647" s="48">
        <f>IF(NOT(ISBLANK(vlookup(B1647,Pop_Census_2023!$A$2:$E$3220,4,FALSE))),vlookup(B1647,Pop_Census_2023!$A$2:$E$3220,4,FALSE), vlookup(B1647,Pop_Census_2023!$A$2:$E$3220,5,FALSE))</f>
        <v>1743</v>
      </c>
    </row>
    <row r="1648">
      <c r="A1648" s="47" t="s">
        <v>3034</v>
      </c>
      <c r="B1648" s="47">
        <v>30077.0</v>
      </c>
      <c r="C1648" s="47">
        <v>6.0</v>
      </c>
      <c r="D1648" s="47" t="s">
        <v>4053</v>
      </c>
      <c r="E1648" s="47" t="str">
        <f t="shared" si="1"/>
        <v>6B</v>
      </c>
      <c r="F1648" s="47" t="s">
        <v>4054</v>
      </c>
      <c r="G1648" s="47" t="s">
        <v>865</v>
      </c>
      <c r="H1648" s="48">
        <f>IF(NOT(ISBLANK(vlookup(B1648,Pop_Census_2023!$A$2:$E$3220,4,FALSE))),vlookup(B1648,Pop_Census_2023!$A$2:$E$3220,4,FALSE), vlookup(B1648,Pop_Census_2023!$A$2:$E$3220,5,FALSE))</f>
        <v>7133</v>
      </c>
    </row>
    <row r="1649">
      <c r="A1649" s="47" t="s">
        <v>3034</v>
      </c>
      <c r="B1649" s="47">
        <v>30079.0</v>
      </c>
      <c r="C1649" s="47">
        <v>6.0</v>
      </c>
      <c r="D1649" s="47" t="s">
        <v>4053</v>
      </c>
      <c r="E1649" s="47" t="str">
        <f t="shared" si="1"/>
        <v>6B</v>
      </c>
      <c r="F1649" s="47" t="s">
        <v>4054</v>
      </c>
      <c r="G1649" s="47" t="s">
        <v>263</v>
      </c>
      <c r="H1649" s="48">
        <f>IF(NOT(ISBLANK(vlookup(B1649,Pop_Census_2023!$A$2:$E$3220,4,FALSE))),vlookup(B1649,Pop_Census_2023!$A$2:$E$3220,4,FALSE), vlookup(B1649,Pop_Census_2023!$A$2:$E$3220,5,FALSE))</f>
        <v>1112</v>
      </c>
    </row>
    <row r="1650">
      <c r="A1650" s="47" t="s">
        <v>3034</v>
      </c>
      <c r="B1650" s="47">
        <v>30081.0</v>
      </c>
      <c r="C1650" s="47">
        <v>6.0</v>
      </c>
      <c r="D1650" s="47" t="s">
        <v>4053</v>
      </c>
      <c r="E1650" s="47" t="str">
        <f t="shared" si="1"/>
        <v>6B</v>
      </c>
      <c r="F1650" s="47" t="s">
        <v>4054</v>
      </c>
      <c r="G1650" s="47" t="s">
        <v>1186</v>
      </c>
      <c r="H1650" s="48">
        <f>IF(NOT(ISBLANK(vlookup(B1650,Pop_Census_2023!$A$2:$E$3220,4,FALSE))),vlookup(B1650,Pop_Census_2023!$A$2:$E$3220,4,FALSE), vlookup(B1650,Pop_Census_2023!$A$2:$E$3220,5,FALSE))</f>
        <v>47738</v>
      </c>
    </row>
    <row r="1651">
      <c r="A1651" s="47" t="s">
        <v>3034</v>
      </c>
      <c r="B1651" s="47">
        <v>30083.0</v>
      </c>
      <c r="C1651" s="47">
        <v>6.0</v>
      </c>
      <c r="D1651" s="47" t="s">
        <v>4053</v>
      </c>
      <c r="E1651" s="47" t="str">
        <f t="shared" si="1"/>
        <v>6B</v>
      </c>
      <c r="F1651" s="47" t="s">
        <v>4054</v>
      </c>
      <c r="G1651" s="47" t="s">
        <v>649</v>
      </c>
      <c r="H1651" s="48">
        <f>IF(NOT(ISBLANK(vlookup(B1651,Pop_Census_2023!$A$2:$E$3220,4,FALSE))),vlookup(B1651,Pop_Census_2023!$A$2:$E$3220,4,FALSE), vlookup(B1651,Pop_Census_2023!$A$2:$E$3220,5,FALSE))</f>
        <v>11173</v>
      </c>
    </row>
    <row r="1652">
      <c r="A1652" s="47" t="s">
        <v>3034</v>
      </c>
      <c r="B1652" s="47">
        <v>30085.0</v>
      </c>
      <c r="C1652" s="47">
        <v>6.0</v>
      </c>
      <c r="D1652" s="47" t="s">
        <v>4053</v>
      </c>
      <c r="E1652" s="47" t="str">
        <f t="shared" si="1"/>
        <v>6B</v>
      </c>
      <c r="F1652" s="47" t="s">
        <v>4054</v>
      </c>
      <c r="G1652" s="47" t="s">
        <v>1187</v>
      </c>
      <c r="H1652" s="48">
        <f>IF(NOT(ISBLANK(vlookup(B1652,Pop_Census_2023!$A$2:$E$3220,4,FALSE))),vlookup(B1652,Pop_Census_2023!$A$2:$E$3220,4,FALSE), vlookup(B1652,Pop_Census_2023!$A$2:$E$3220,5,FALSE))</f>
        <v>10319</v>
      </c>
    </row>
    <row r="1653">
      <c r="A1653" s="47" t="s">
        <v>3034</v>
      </c>
      <c r="B1653" s="47">
        <v>30087.0</v>
      </c>
      <c r="C1653" s="47">
        <v>6.0</v>
      </c>
      <c r="D1653" s="47" t="s">
        <v>4053</v>
      </c>
      <c r="E1653" s="47" t="str">
        <f t="shared" si="1"/>
        <v>6B</v>
      </c>
      <c r="F1653" s="47" t="s">
        <v>4054</v>
      </c>
      <c r="G1653" s="47" t="s">
        <v>1188</v>
      </c>
      <c r="H1653" s="48">
        <f>IF(NOT(ISBLANK(vlookup(B1653,Pop_Census_2023!$A$2:$E$3220,4,FALSE))),vlookup(B1653,Pop_Census_2023!$A$2:$E$3220,4,FALSE), vlookup(B1653,Pop_Census_2023!$A$2:$E$3220,5,FALSE))</f>
        <v>8160</v>
      </c>
    </row>
    <row r="1654">
      <c r="A1654" s="47" t="s">
        <v>3034</v>
      </c>
      <c r="B1654" s="47">
        <v>30089.0</v>
      </c>
      <c r="C1654" s="47">
        <v>6.0</v>
      </c>
      <c r="D1654" s="47" t="s">
        <v>4053</v>
      </c>
      <c r="E1654" s="47" t="str">
        <f t="shared" si="1"/>
        <v>6B</v>
      </c>
      <c r="F1654" s="47" t="s">
        <v>4054</v>
      </c>
      <c r="G1654" s="47" t="s">
        <v>1189</v>
      </c>
      <c r="H1654" s="48">
        <f>IF(NOT(ISBLANK(vlookup(B1654,Pop_Census_2023!$A$2:$E$3220,4,FALSE))),vlookup(B1654,Pop_Census_2023!$A$2:$E$3220,4,FALSE), vlookup(B1654,Pop_Census_2023!$A$2:$E$3220,5,FALSE))</f>
        <v>13684</v>
      </c>
    </row>
    <row r="1655">
      <c r="A1655" s="47" t="s">
        <v>3034</v>
      </c>
      <c r="B1655" s="47">
        <v>30091.0</v>
      </c>
      <c r="C1655" s="47">
        <v>6.0</v>
      </c>
      <c r="D1655" s="47" t="s">
        <v>4053</v>
      </c>
      <c r="E1655" s="47" t="str">
        <f t="shared" si="1"/>
        <v>6B</v>
      </c>
      <c r="F1655" s="47" t="s">
        <v>4054</v>
      </c>
      <c r="G1655" s="47" t="s">
        <v>804</v>
      </c>
      <c r="H1655" s="48">
        <f>IF(NOT(ISBLANK(vlookup(B1655,Pop_Census_2023!$A$2:$E$3220,4,FALSE))),vlookup(B1655,Pop_Census_2023!$A$2:$E$3220,4,FALSE), vlookup(B1655,Pop_Census_2023!$A$2:$E$3220,5,FALSE))</f>
        <v>3498</v>
      </c>
    </row>
    <row r="1656">
      <c r="A1656" s="47" t="s">
        <v>3034</v>
      </c>
      <c r="B1656" s="47">
        <v>30093.0</v>
      </c>
      <c r="C1656" s="47">
        <v>6.0</v>
      </c>
      <c r="D1656" s="47" t="s">
        <v>4053</v>
      </c>
      <c r="E1656" s="47" t="str">
        <f t="shared" si="1"/>
        <v>6B</v>
      </c>
      <c r="F1656" s="47" t="s">
        <v>4054</v>
      </c>
      <c r="G1656" s="47" t="s">
        <v>1190</v>
      </c>
      <c r="H1656" s="48">
        <f>IF(NOT(ISBLANK(vlookup(B1656,Pop_Census_2023!$A$2:$E$3220,4,FALSE))),vlookup(B1656,Pop_Census_2023!$A$2:$E$3220,4,FALSE), vlookup(B1656,Pop_Census_2023!$A$2:$E$3220,5,FALSE))</f>
        <v>36360</v>
      </c>
    </row>
    <row r="1657">
      <c r="A1657" s="47" t="s">
        <v>3034</v>
      </c>
      <c r="B1657" s="47">
        <v>30095.0</v>
      </c>
      <c r="C1657" s="47">
        <v>6.0</v>
      </c>
      <c r="D1657" s="47" t="s">
        <v>4053</v>
      </c>
      <c r="E1657" s="47" t="str">
        <f t="shared" si="1"/>
        <v>6B</v>
      </c>
      <c r="F1657" s="47" t="s">
        <v>4054</v>
      </c>
      <c r="G1657" s="47" t="s">
        <v>1191</v>
      </c>
      <c r="H1657" s="48">
        <f>IF(NOT(ISBLANK(vlookup(B1657,Pop_Census_2023!$A$2:$E$3220,4,FALSE))),vlookup(B1657,Pop_Census_2023!$A$2:$E$3220,4,FALSE), vlookup(B1657,Pop_Census_2023!$A$2:$E$3220,5,FALSE))</f>
        <v>9173</v>
      </c>
    </row>
    <row r="1658">
      <c r="A1658" s="47" t="s">
        <v>3034</v>
      </c>
      <c r="B1658" s="47">
        <v>30097.0</v>
      </c>
      <c r="C1658" s="47">
        <v>6.0</v>
      </c>
      <c r="D1658" s="47" t="s">
        <v>4053</v>
      </c>
      <c r="E1658" s="47" t="str">
        <f t="shared" si="1"/>
        <v>6B</v>
      </c>
      <c r="F1658" s="47" t="s">
        <v>4054</v>
      </c>
      <c r="G1658" s="47" t="s">
        <v>1192</v>
      </c>
      <c r="H1658" s="48">
        <f>IF(NOT(ISBLANK(vlookup(B1658,Pop_Census_2023!$A$2:$E$3220,4,FALSE))),vlookup(B1658,Pop_Census_2023!$A$2:$E$3220,4,FALSE), vlookup(B1658,Pop_Census_2023!$A$2:$E$3220,5,FALSE))</f>
        <v>3763</v>
      </c>
    </row>
    <row r="1659">
      <c r="A1659" s="47" t="s">
        <v>3034</v>
      </c>
      <c r="B1659" s="47">
        <v>30099.0</v>
      </c>
      <c r="C1659" s="47">
        <v>6.0</v>
      </c>
      <c r="D1659" s="47" t="s">
        <v>4053</v>
      </c>
      <c r="E1659" s="47" t="str">
        <f t="shared" si="1"/>
        <v>6B</v>
      </c>
      <c r="F1659" s="47" t="s">
        <v>4054</v>
      </c>
      <c r="G1659" s="47" t="s">
        <v>605</v>
      </c>
      <c r="H1659" s="48">
        <f>IF(NOT(ISBLANK(vlookup(B1659,Pop_Census_2023!$A$2:$E$3220,4,FALSE))),vlookup(B1659,Pop_Census_2023!$A$2:$E$3220,4,FALSE), vlookup(B1659,Pop_Census_2023!$A$2:$E$3220,5,FALSE))</f>
        <v>6430</v>
      </c>
    </row>
    <row r="1660">
      <c r="A1660" s="47" t="s">
        <v>3034</v>
      </c>
      <c r="B1660" s="47">
        <v>30101.0</v>
      </c>
      <c r="C1660" s="47">
        <v>6.0</v>
      </c>
      <c r="D1660" s="47" t="s">
        <v>4053</v>
      </c>
      <c r="E1660" s="47" t="str">
        <f t="shared" si="1"/>
        <v>6B</v>
      </c>
      <c r="F1660" s="47" t="s">
        <v>4054</v>
      </c>
      <c r="G1660" s="47" t="s">
        <v>1193</v>
      </c>
      <c r="H1660" s="48">
        <f>IF(NOT(ISBLANK(vlookup(B1660,Pop_Census_2023!$A$2:$E$3220,4,FALSE))),vlookup(B1660,Pop_Census_2023!$A$2:$E$3220,4,FALSE), vlookup(B1660,Pop_Census_2023!$A$2:$E$3220,5,FALSE))</f>
        <v>5133</v>
      </c>
    </row>
    <row r="1661">
      <c r="A1661" s="47" t="s">
        <v>3034</v>
      </c>
      <c r="B1661" s="47">
        <v>30103.0</v>
      </c>
      <c r="C1661" s="47">
        <v>6.0</v>
      </c>
      <c r="D1661" s="47" t="s">
        <v>4053</v>
      </c>
      <c r="E1661" s="47" t="str">
        <f t="shared" si="1"/>
        <v>6B</v>
      </c>
      <c r="F1661" s="47" t="s">
        <v>4054</v>
      </c>
      <c r="G1661" s="47" t="s">
        <v>1194</v>
      </c>
      <c r="H1661" s="34">
        <f>IF(NOT(ISBLANK(vlookup(B1661,Pop_Census_2023!$A$2:$E$3220,4,FALSE))),vlookup(B1661,Pop_Census_2023!$A$2:$E$3220,4,FALSE), vlookup(B1661,Pop_Census_2023!$A$2:$E$3220,5,FALSE))</f>
        <v>772</v>
      </c>
    </row>
    <row r="1662">
      <c r="A1662" s="47" t="s">
        <v>3034</v>
      </c>
      <c r="B1662" s="47">
        <v>30105.0</v>
      </c>
      <c r="C1662" s="47">
        <v>6.0</v>
      </c>
      <c r="D1662" s="47" t="s">
        <v>4053</v>
      </c>
      <c r="E1662" s="47" t="str">
        <f t="shared" si="1"/>
        <v>6B</v>
      </c>
      <c r="F1662" s="47" t="s">
        <v>4054</v>
      </c>
      <c r="G1662" s="47" t="s">
        <v>607</v>
      </c>
      <c r="H1662" s="48">
        <f>IF(NOT(ISBLANK(vlookup(B1662,Pop_Census_2023!$A$2:$E$3220,4,FALSE))),vlookup(B1662,Pop_Census_2023!$A$2:$E$3220,4,FALSE), vlookup(B1662,Pop_Census_2023!$A$2:$E$3220,5,FALSE))</f>
        <v>7474</v>
      </c>
    </row>
    <row r="1663">
      <c r="A1663" s="47" t="s">
        <v>3034</v>
      </c>
      <c r="B1663" s="47">
        <v>30107.0</v>
      </c>
      <c r="C1663" s="47">
        <v>6.0</v>
      </c>
      <c r="D1663" s="47" t="s">
        <v>4053</v>
      </c>
      <c r="E1663" s="47" t="str">
        <f t="shared" si="1"/>
        <v>6B</v>
      </c>
      <c r="F1663" s="47" t="s">
        <v>4054</v>
      </c>
      <c r="G1663" s="47" t="s">
        <v>1195</v>
      </c>
      <c r="H1663" s="48">
        <f>IF(NOT(ISBLANK(vlookup(B1663,Pop_Census_2023!$A$2:$E$3220,4,FALSE))),vlookup(B1663,Pop_Census_2023!$A$2:$E$3220,4,FALSE), vlookup(B1663,Pop_Census_2023!$A$2:$E$3220,5,FALSE))</f>
        <v>2057</v>
      </c>
    </row>
    <row r="1664">
      <c r="A1664" s="47" t="s">
        <v>3034</v>
      </c>
      <c r="B1664" s="47">
        <v>30109.0</v>
      </c>
      <c r="C1664" s="47">
        <v>6.0</v>
      </c>
      <c r="D1664" s="47" t="s">
        <v>4053</v>
      </c>
      <c r="E1664" s="47" t="str">
        <f t="shared" si="1"/>
        <v>6B</v>
      </c>
      <c r="F1664" s="47" t="s">
        <v>4054</v>
      </c>
      <c r="G1664" s="47" t="s">
        <v>1196</v>
      </c>
      <c r="H1664" s="34">
        <f>IF(NOT(ISBLANK(vlookup(B1664,Pop_Census_2023!$A$2:$E$3220,4,FALSE))),vlookup(B1664,Pop_Census_2023!$A$2:$E$3220,4,FALSE), vlookup(B1664,Pop_Census_2023!$A$2:$E$3220,5,FALSE))</f>
        <v>910</v>
      </c>
    </row>
    <row r="1665">
      <c r="A1665" s="47" t="s">
        <v>3034</v>
      </c>
      <c r="B1665" s="47">
        <v>30111.0</v>
      </c>
      <c r="C1665" s="47">
        <v>6.0</v>
      </c>
      <c r="D1665" s="47" t="s">
        <v>4053</v>
      </c>
      <c r="E1665" s="47" t="str">
        <f t="shared" si="1"/>
        <v>6B</v>
      </c>
      <c r="F1665" s="47" t="s">
        <v>4054</v>
      </c>
      <c r="G1665" s="47" t="s">
        <v>1197</v>
      </c>
      <c r="H1665" s="48">
        <f>IF(NOT(ISBLANK(vlookup(B1665,Pop_Census_2023!$A$2:$E$3220,4,FALSE))),vlookup(B1665,Pop_Census_2023!$A$2:$E$3220,4,FALSE), vlookup(B1665,Pop_Census_2023!$A$2:$E$3220,5,FALSE))</f>
        <v>170843</v>
      </c>
    </row>
    <row r="1666">
      <c r="A1666" s="47" t="s">
        <v>3200</v>
      </c>
      <c r="B1666" s="47">
        <v>37001.0</v>
      </c>
      <c r="C1666" s="47">
        <v>4.0</v>
      </c>
      <c r="D1666" s="47" t="s">
        <v>4044</v>
      </c>
      <c r="E1666" s="47" t="str">
        <f t="shared" si="1"/>
        <v>4A</v>
      </c>
      <c r="F1666" s="47" t="s">
        <v>4046</v>
      </c>
      <c r="G1666" s="47" t="s">
        <v>1325</v>
      </c>
      <c r="H1666" s="48">
        <f>IF(NOT(ISBLANK(vlookup(B1666,Pop_Census_2023!$A$2:$E$3220,4,FALSE))),vlookup(B1666,Pop_Census_2023!$A$2:$E$3220,4,FALSE), vlookup(B1666,Pop_Census_2023!$A$2:$E$3220,5,FALSE))</f>
        <v>179165</v>
      </c>
    </row>
    <row r="1667">
      <c r="A1667" s="47" t="s">
        <v>3200</v>
      </c>
      <c r="B1667" s="47">
        <v>37003.0</v>
      </c>
      <c r="C1667" s="47">
        <v>4.0</v>
      </c>
      <c r="D1667" s="47" t="s">
        <v>4044</v>
      </c>
      <c r="E1667" s="47" t="str">
        <f t="shared" si="1"/>
        <v>4A</v>
      </c>
      <c r="F1667" s="47" t="s">
        <v>4046</v>
      </c>
      <c r="G1667" s="47" t="s">
        <v>609</v>
      </c>
      <c r="H1667" s="48">
        <f>IF(NOT(ISBLANK(vlookup(B1667,Pop_Census_2023!$A$2:$E$3220,4,FALSE))),vlookup(B1667,Pop_Census_2023!$A$2:$E$3220,4,FALSE), vlookup(B1667,Pop_Census_2023!$A$2:$E$3220,5,FALSE))</f>
        <v>36473</v>
      </c>
    </row>
    <row r="1668">
      <c r="A1668" s="47" t="s">
        <v>3200</v>
      </c>
      <c r="B1668" s="47">
        <v>37005.0</v>
      </c>
      <c r="C1668" s="47">
        <v>5.0</v>
      </c>
      <c r="D1668" s="47" t="s">
        <v>4044</v>
      </c>
      <c r="E1668" s="47" t="str">
        <f t="shared" si="1"/>
        <v>5A</v>
      </c>
      <c r="F1668" s="47" t="s">
        <v>4054</v>
      </c>
      <c r="G1668" s="47" t="s">
        <v>1327</v>
      </c>
      <c r="H1668" s="48">
        <f>IF(NOT(ISBLANK(vlookup(B1668,Pop_Census_2023!$A$2:$E$3220,4,FALSE))),vlookup(B1668,Pop_Census_2023!$A$2:$E$3220,4,FALSE), vlookup(B1668,Pop_Census_2023!$A$2:$E$3220,5,FALSE))</f>
        <v>11342</v>
      </c>
    </row>
    <row r="1669">
      <c r="A1669" s="47" t="s">
        <v>3200</v>
      </c>
      <c r="B1669" s="47">
        <v>37007.0</v>
      </c>
      <c r="C1669" s="47">
        <v>3.0</v>
      </c>
      <c r="D1669" s="47" t="s">
        <v>4044</v>
      </c>
      <c r="E1669" s="47" t="str">
        <f t="shared" si="1"/>
        <v>3A</v>
      </c>
      <c r="F1669" s="47" t="s">
        <v>4046</v>
      </c>
      <c r="G1669" s="47" t="s">
        <v>1328</v>
      </c>
      <c r="H1669" s="48">
        <f>IF(NOT(ISBLANK(vlookup(B1669,Pop_Census_2023!$A$2:$E$3220,4,FALSE))),vlookup(B1669,Pop_Census_2023!$A$2:$E$3220,4,FALSE), vlookup(B1669,Pop_Census_2023!$A$2:$E$3220,5,FALSE))</f>
        <v>21897</v>
      </c>
    </row>
    <row r="1670">
      <c r="A1670" s="47" t="s">
        <v>3200</v>
      </c>
      <c r="B1670" s="47">
        <v>37009.0</v>
      </c>
      <c r="C1670" s="47">
        <v>5.0</v>
      </c>
      <c r="D1670" s="47" t="s">
        <v>4044</v>
      </c>
      <c r="E1670" s="47" t="str">
        <f t="shared" si="1"/>
        <v>5A</v>
      </c>
      <c r="F1670" s="47" t="s">
        <v>4054</v>
      </c>
      <c r="G1670" s="47" t="s">
        <v>1329</v>
      </c>
      <c r="H1670" s="48">
        <f>IF(NOT(ISBLANK(vlookup(B1670,Pop_Census_2023!$A$2:$E$3220,4,FALSE))),vlookup(B1670,Pop_Census_2023!$A$2:$E$3220,4,FALSE), vlookup(B1670,Pop_Census_2023!$A$2:$E$3220,5,FALSE))</f>
        <v>27063</v>
      </c>
    </row>
    <row r="1671">
      <c r="A1671" s="47" t="s">
        <v>3200</v>
      </c>
      <c r="B1671" s="47">
        <v>37011.0</v>
      </c>
      <c r="C1671" s="47">
        <v>5.0</v>
      </c>
      <c r="D1671" s="47" t="s">
        <v>4044</v>
      </c>
      <c r="E1671" s="47" t="str">
        <f t="shared" si="1"/>
        <v>5A</v>
      </c>
      <c r="F1671" s="47" t="s">
        <v>4054</v>
      </c>
      <c r="G1671" s="47" t="s">
        <v>1330</v>
      </c>
      <c r="H1671" s="48">
        <f>IF(NOT(ISBLANK(vlookup(B1671,Pop_Census_2023!$A$2:$E$3220,4,FALSE))),vlookup(B1671,Pop_Census_2023!$A$2:$E$3220,4,FALSE), vlookup(B1671,Pop_Census_2023!$A$2:$E$3220,5,FALSE))</f>
        <v>17561</v>
      </c>
    </row>
    <row r="1672">
      <c r="A1672" s="47" t="s">
        <v>3200</v>
      </c>
      <c r="B1672" s="47">
        <v>37013.0</v>
      </c>
      <c r="C1672" s="47">
        <v>3.0</v>
      </c>
      <c r="D1672" s="47" t="s">
        <v>4044</v>
      </c>
      <c r="E1672" s="47" t="str">
        <f t="shared" si="1"/>
        <v>3A</v>
      </c>
      <c r="F1672" s="47" t="s">
        <v>4046</v>
      </c>
      <c r="G1672" s="47" t="s">
        <v>1331</v>
      </c>
      <c r="H1672" s="48">
        <f>IF(NOT(ISBLANK(vlookup(B1672,Pop_Census_2023!$A$2:$E$3220,4,FALSE))),vlookup(B1672,Pop_Census_2023!$A$2:$E$3220,4,FALSE), vlookup(B1672,Pop_Census_2023!$A$2:$E$3220,5,FALSE))</f>
        <v>44481</v>
      </c>
    </row>
    <row r="1673">
      <c r="A1673" s="47" t="s">
        <v>3200</v>
      </c>
      <c r="B1673" s="47">
        <v>37015.0</v>
      </c>
      <c r="C1673" s="47">
        <v>4.0</v>
      </c>
      <c r="D1673" s="47" t="s">
        <v>4044</v>
      </c>
      <c r="E1673" s="47" t="str">
        <f t="shared" si="1"/>
        <v>4A</v>
      </c>
      <c r="F1673" s="47" t="s">
        <v>4046</v>
      </c>
      <c r="G1673" s="47" t="s">
        <v>1332</v>
      </c>
      <c r="H1673" s="48">
        <f>IF(NOT(ISBLANK(vlookup(B1673,Pop_Census_2023!$A$2:$E$3220,4,FALSE))),vlookup(B1673,Pop_Census_2023!$A$2:$E$3220,4,FALSE), vlookup(B1673,Pop_Census_2023!$A$2:$E$3220,5,FALSE))</f>
        <v>16922</v>
      </c>
    </row>
    <row r="1674">
      <c r="A1674" s="47" t="s">
        <v>3200</v>
      </c>
      <c r="B1674" s="47">
        <v>37017.0</v>
      </c>
      <c r="C1674" s="47">
        <v>3.0</v>
      </c>
      <c r="D1674" s="47" t="s">
        <v>4044</v>
      </c>
      <c r="E1674" s="47" t="str">
        <f t="shared" si="1"/>
        <v>3A</v>
      </c>
      <c r="F1674" s="47" t="s">
        <v>4046</v>
      </c>
      <c r="G1674" s="47" t="s">
        <v>1333</v>
      </c>
      <c r="H1674" s="48">
        <f>IF(NOT(ISBLANK(vlookup(B1674,Pop_Census_2023!$A$2:$E$3220,4,FALSE))),vlookup(B1674,Pop_Census_2023!$A$2:$E$3220,4,FALSE), vlookup(B1674,Pop_Census_2023!$A$2:$E$3220,5,FALSE))</f>
        <v>29484</v>
      </c>
    </row>
    <row r="1675">
      <c r="A1675" s="47" t="s">
        <v>3200</v>
      </c>
      <c r="B1675" s="47">
        <v>37019.0</v>
      </c>
      <c r="C1675" s="47">
        <v>3.0</v>
      </c>
      <c r="D1675" s="47" t="s">
        <v>4044</v>
      </c>
      <c r="E1675" s="47" t="str">
        <f t="shared" si="1"/>
        <v>3A</v>
      </c>
      <c r="F1675" s="47" t="s">
        <v>4045</v>
      </c>
      <c r="G1675" s="47" t="s">
        <v>1334</v>
      </c>
      <c r="H1675" s="48">
        <f>IF(NOT(ISBLANK(vlookup(B1675,Pop_Census_2023!$A$2:$E$3220,4,FALSE))),vlookup(B1675,Pop_Census_2023!$A$2:$E$3220,4,FALSE), vlookup(B1675,Pop_Census_2023!$A$2:$E$3220,5,FALSE))</f>
        <v>159964</v>
      </c>
    </row>
    <row r="1676">
      <c r="A1676" s="47" t="s">
        <v>3200</v>
      </c>
      <c r="B1676" s="47">
        <v>37021.0</v>
      </c>
      <c r="C1676" s="47">
        <v>4.0</v>
      </c>
      <c r="D1676" s="47" t="s">
        <v>4044</v>
      </c>
      <c r="E1676" s="47" t="str">
        <f t="shared" si="1"/>
        <v>4A</v>
      </c>
      <c r="F1676" s="47" t="s">
        <v>4046</v>
      </c>
      <c r="G1676" s="47" t="s">
        <v>1335</v>
      </c>
      <c r="H1676" s="48">
        <f>IF(NOT(ISBLANK(vlookup(B1676,Pop_Census_2023!$A$2:$E$3220,4,FALSE))),vlookup(B1676,Pop_Census_2023!$A$2:$E$3220,4,FALSE), vlookup(B1676,Pop_Census_2023!$A$2:$E$3220,5,FALSE))</f>
        <v>275901</v>
      </c>
    </row>
    <row r="1677">
      <c r="A1677" s="47" t="s">
        <v>3200</v>
      </c>
      <c r="B1677" s="47">
        <v>37023.0</v>
      </c>
      <c r="C1677" s="47">
        <v>4.0</v>
      </c>
      <c r="D1677" s="47" t="s">
        <v>4044</v>
      </c>
      <c r="E1677" s="47" t="str">
        <f t="shared" si="1"/>
        <v>4A</v>
      </c>
      <c r="F1677" s="47" t="s">
        <v>4046</v>
      </c>
      <c r="G1677" s="47" t="s">
        <v>474</v>
      </c>
      <c r="H1677" s="48">
        <f>IF(NOT(ISBLANK(vlookup(B1677,Pop_Census_2023!$A$2:$E$3220,4,FALSE))),vlookup(B1677,Pop_Census_2023!$A$2:$E$3220,4,FALSE), vlookup(B1677,Pop_Census_2023!$A$2:$E$3220,5,FALSE))</f>
        <v>88338</v>
      </c>
    </row>
    <row r="1678">
      <c r="A1678" s="47" t="s">
        <v>3200</v>
      </c>
      <c r="B1678" s="47">
        <v>37025.0</v>
      </c>
      <c r="C1678" s="47">
        <v>3.0</v>
      </c>
      <c r="D1678" s="47" t="s">
        <v>4044</v>
      </c>
      <c r="E1678" s="47" t="str">
        <f t="shared" si="1"/>
        <v>3A</v>
      </c>
      <c r="F1678" s="47" t="s">
        <v>4046</v>
      </c>
      <c r="G1678" s="47" t="s">
        <v>1336</v>
      </c>
      <c r="H1678" s="48">
        <f>IF(NOT(ISBLANK(vlookup(B1678,Pop_Census_2023!$A$2:$E$3220,4,FALSE))),vlookup(B1678,Pop_Census_2023!$A$2:$E$3220,4,FALSE), vlookup(B1678,Pop_Census_2023!$A$2:$E$3220,5,FALSE))</f>
        <v>240016</v>
      </c>
    </row>
    <row r="1679">
      <c r="A1679" s="47" t="s">
        <v>3200</v>
      </c>
      <c r="B1679" s="47">
        <v>37027.0</v>
      </c>
      <c r="C1679" s="47">
        <v>4.0</v>
      </c>
      <c r="D1679" s="47" t="s">
        <v>4044</v>
      </c>
      <c r="E1679" s="47" t="str">
        <f t="shared" si="1"/>
        <v>4A</v>
      </c>
      <c r="F1679" s="47" t="s">
        <v>4046</v>
      </c>
      <c r="G1679" s="47" t="s">
        <v>829</v>
      </c>
      <c r="H1679" s="48">
        <f>IF(NOT(ISBLANK(vlookup(B1679,Pop_Census_2023!$A$2:$E$3220,4,FALSE))),vlookup(B1679,Pop_Census_2023!$A$2:$E$3220,4,FALSE), vlookup(B1679,Pop_Census_2023!$A$2:$E$3220,5,FALSE))</f>
        <v>80574</v>
      </c>
    </row>
    <row r="1680">
      <c r="A1680" s="47" t="s">
        <v>3200</v>
      </c>
      <c r="B1680" s="47">
        <v>37029.0</v>
      </c>
      <c r="C1680" s="47">
        <v>3.0</v>
      </c>
      <c r="D1680" s="47" t="s">
        <v>4044</v>
      </c>
      <c r="E1680" s="47" t="str">
        <f t="shared" si="1"/>
        <v>3A</v>
      </c>
      <c r="F1680" s="47" t="s">
        <v>4046</v>
      </c>
      <c r="G1680" s="47" t="s">
        <v>476</v>
      </c>
      <c r="H1680" s="48">
        <f>IF(NOT(ISBLANK(vlookup(B1680,Pop_Census_2023!$A$2:$E$3220,4,FALSE))),vlookup(B1680,Pop_Census_2023!$A$2:$E$3220,4,FALSE), vlookup(B1680,Pop_Census_2023!$A$2:$E$3220,5,FALSE))</f>
        <v>11137</v>
      </c>
    </row>
    <row r="1681">
      <c r="A1681" s="47" t="s">
        <v>3200</v>
      </c>
      <c r="B1681" s="47">
        <v>37031.0</v>
      </c>
      <c r="C1681" s="47">
        <v>3.0</v>
      </c>
      <c r="D1681" s="47" t="s">
        <v>4044</v>
      </c>
      <c r="E1681" s="47" t="str">
        <f t="shared" si="1"/>
        <v>3A</v>
      </c>
      <c r="F1681" s="47" t="s">
        <v>4045</v>
      </c>
      <c r="G1681" s="47" t="s">
        <v>1337</v>
      </c>
      <c r="H1681" s="48">
        <f>IF(NOT(ISBLANK(vlookup(B1681,Pop_Census_2023!$A$2:$E$3220,4,FALSE))),vlookup(B1681,Pop_Census_2023!$A$2:$E$3220,4,FALSE), vlookup(B1681,Pop_Census_2023!$A$2:$E$3220,5,FALSE))</f>
        <v>69615</v>
      </c>
    </row>
    <row r="1682">
      <c r="A1682" s="47" t="s">
        <v>3200</v>
      </c>
      <c r="B1682" s="47">
        <v>37033.0</v>
      </c>
      <c r="C1682" s="47">
        <v>4.0</v>
      </c>
      <c r="D1682" s="47" t="s">
        <v>4044</v>
      </c>
      <c r="E1682" s="47" t="str">
        <f t="shared" si="1"/>
        <v>4A</v>
      </c>
      <c r="F1682" s="47" t="s">
        <v>4046</v>
      </c>
      <c r="G1682" s="47" t="s">
        <v>1338</v>
      </c>
      <c r="H1682" s="48">
        <f>IF(NOT(ISBLANK(vlookup(B1682,Pop_Census_2023!$A$2:$E$3220,4,FALSE))),vlookup(B1682,Pop_Census_2023!$A$2:$E$3220,4,FALSE), vlookup(B1682,Pop_Census_2023!$A$2:$E$3220,5,FALSE))</f>
        <v>22807</v>
      </c>
    </row>
    <row r="1683">
      <c r="A1683" s="47" t="s">
        <v>3200</v>
      </c>
      <c r="B1683" s="47">
        <v>37035.0</v>
      </c>
      <c r="C1683" s="47">
        <v>4.0</v>
      </c>
      <c r="D1683" s="47" t="s">
        <v>4044</v>
      </c>
      <c r="E1683" s="47" t="str">
        <f t="shared" si="1"/>
        <v>4A</v>
      </c>
      <c r="F1683" s="47" t="s">
        <v>4046</v>
      </c>
      <c r="G1683" s="47" t="s">
        <v>1339</v>
      </c>
      <c r="H1683" s="48">
        <f>IF(NOT(ISBLANK(vlookup(B1683,Pop_Census_2023!$A$2:$E$3220,4,FALSE))),vlookup(B1683,Pop_Census_2023!$A$2:$E$3220,4,FALSE), vlookup(B1683,Pop_Census_2023!$A$2:$E$3220,5,FALSE))</f>
        <v>164645</v>
      </c>
    </row>
    <row r="1684">
      <c r="A1684" s="47" t="s">
        <v>3200</v>
      </c>
      <c r="B1684" s="47">
        <v>37037.0</v>
      </c>
      <c r="C1684" s="47">
        <v>4.0</v>
      </c>
      <c r="D1684" s="47" t="s">
        <v>4044</v>
      </c>
      <c r="E1684" s="47" t="str">
        <f t="shared" si="1"/>
        <v>4A</v>
      </c>
      <c r="F1684" s="47" t="s">
        <v>4046</v>
      </c>
      <c r="G1684" s="47" t="s">
        <v>480</v>
      </c>
      <c r="H1684" s="48">
        <f>IF(NOT(ISBLANK(vlookup(B1684,Pop_Census_2023!$A$2:$E$3220,4,FALSE))),vlookup(B1684,Pop_Census_2023!$A$2:$E$3220,4,FALSE), vlookup(B1684,Pop_Census_2023!$A$2:$E$3220,5,FALSE))</f>
        <v>81624</v>
      </c>
    </row>
    <row r="1685">
      <c r="A1685" s="47" t="s">
        <v>3200</v>
      </c>
      <c r="B1685" s="47">
        <v>37039.0</v>
      </c>
      <c r="C1685" s="47">
        <v>4.0</v>
      </c>
      <c r="D1685" s="47" t="s">
        <v>4044</v>
      </c>
      <c r="E1685" s="47" t="str">
        <f t="shared" si="1"/>
        <v>4A</v>
      </c>
      <c r="F1685" s="47" t="s">
        <v>4046</v>
      </c>
      <c r="G1685" s="47" t="s">
        <v>112</v>
      </c>
      <c r="H1685" s="48">
        <f>IF(NOT(ISBLANK(vlookup(B1685,Pop_Census_2023!$A$2:$E$3220,4,FALSE))),vlookup(B1685,Pop_Census_2023!$A$2:$E$3220,4,FALSE), vlookup(B1685,Pop_Census_2023!$A$2:$E$3220,5,FALSE))</f>
        <v>29959</v>
      </c>
    </row>
    <row r="1686">
      <c r="A1686" s="47" t="s">
        <v>3200</v>
      </c>
      <c r="B1686" s="47">
        <v>37041.0</v>
      </c>
      <c r="C1686" s="47">
        <v>3.0</v>
      </c>
      <c r="D1686" s="47" t="s">
        <v>4044</v>
      </c>
      <c r="E1686" s="47" t="str">
        <f t="shared" si="1"/>
        <v>3A</v>
      </c>
      <c r="F1686" s="47" t="s">
        <v>4046</v>
      </c>
      <c r="G1686" s="47" t="s">
        <v>1340</v>
      </c>
      <c r="H1686" s="48">
        <f>IF(NOT(ISBLANK(vlookup(B1686,Pop_Census_2023!$A$2:$E$3220,4,FALSE))),vlookup(B1686,Pop_Census_2023!$A$2:$E$3220,4,FALSE), vlookup(B1686,Pop_Census_2023!$A$2:$E$3220,5,FALSE))</f>
        <v>13891</v>
      </c>
    </row>
    <row r="1687">
      <c r="A1687" s="47" t="s">
        <v>3200</v>
      </c>
      <c r="B1687" s="47">
        <v>37043.0</v>
      </c>
      <c r="C1687" s="47">
        <v>4.0</v>
      </c>
      <c r="D1687" s="47" t="s">
        <v>4044</v>
      </c>
      <c r="E1687" s="47" t="str">
        <f t="shared" si="1"/>
        <v>4A</v>
      </c>
      <c r="F1687" s="47" t="s">
        <v>4046</v>
      </c>
      <c r="G1687" s="47" t="s">
        <v>116</v>
      </c>
      <c r="H1687" s="48">
        <f>IF(NOT(ISBLANK(vlookup(B1687,Pop_Census_2023!$A$2:$E$3220,4,FALSE))),vlookup(B1687,Pop_Census_2023!$A$2:$E$3220,4,FALSE), vlookup(B1687,Pop_Census_2023!$A$2:$E$3220,5,FALSE))</f>
        <v>11864</v>
      </c>
    </row>
    <row r="1688">
      <c r="A1688" s="47" t="s">
        <v>3200</v>
      </c>
      <c r="B1688" s="47">
        <v>37045.0</v>
      </c>
      <c r="C1688" s="47">
        <v>4.0</v>
      </c>
      <c r="D1688" s="47" t="s">
        <v>4044</v>
      </c>
      <c r="E1688" s="47" t="str">
        <f t="shared" si="1"/>
        <v>4A</v>
      </c>
      <c r="F1688" s="47" t="s">
        <v>4046</v>
      </c>
      <c r="G1688" s="47" t="s">
        <v>230</v>
      </c>
      <c r="H1688" s="48">
        <f>IF(NOT(ISBLANK(vlookup(B1688,Pop_Census_2023!$A$2:$E$3220,4,FALSE))),vlookup(B1688,Pop_Census_2023!$A$2:$E$3220,4,FALSE), vlookup(B1688,Pop_Census_2023!$A$2:$E$3220,5,FALSE))</f>
        <v>101378</v>
      </c>
    </row>
    <row r="1689">
      <c r="A1689" s="47" t="s">
        <v>3200</v>
      </c>
      <c r="B1689" s="47">
        <v>37047.0</v>
      </c>
      <c r="C1689" s="47">
        <v>3.0</v>
      </c>
      <c r="D1689" s="47" t="s">
        <v>4044</v>
      </c>
      <c r="E1689" s="47" t="str">
        <f t="shared" si="1"/>
        <v>3A</v>
      </c>
      <c r="F1689" s="47" t="s">
        <v>4045</v>
      </c>
      <c r="G1689" s="47" t="s">
        <v>1341</v>
      </c>
      <c r="H1689" s="48">
        <f>IF(NOT(ISBLANK(vlookup(B1689,Pop_Census_2023!$A$2:$E$3220,4,FALSE))),vlookup(B1689,Pop_Census_2023!$A$2:$E$3220,4,FALSE), vlookup(B1689,Pop_Census_2023!$A$2:$E$3220,5,FALSE))</f>
        <v>50121</v>
      </c>
    </row>
    <row r="1690">
      <c r="A1690" s="47" t="s">
        <v>3200</v>
      </c>
      <c r="B1690" s="47">
        <v>37049.0</v>
      </c>
      <c r="C1690" s="47">
        <v>3.0</v>
      </c>
      <c r="D1690" s="47" t="s">
        <v>4044</v>
      </c>
      <c r="E1690" s="47" t="str">
        <f t="shared" si="1"/>
        <v>3A</v>
      </c>
      <c r="F1690" s="47" t="s">
        <v>4046</v>
      </c>
      <c r="G1690" s="47" t="s">
        <v>1342</v>
      </c>
      <c r="H1690" s="48">
        <f>IF(NOT(ISBLANK(vlookup(B1690,Pop_Census_2023!$A$2:$E$3220,4,FALSE))),vlookup(B1690,Pop_Census_2023!$A$2:$E$3220,4,FALSE), vlookup(B1690,Pop_Census_2023!$A$2:$E$3220,5,FALSE))</f>
        <v>102391</v>
      </c>
    </row>
    <row r="1691">
      <c r="A1691" s="47" t="s">
        <v>3200</v>
      </c>
      <c r="B1691" s="47">
        <v>37051.0</v>
      </c>
      <c r="C1691" s="47">
        <v>3.0</v>
      </c>
      <c r="D1691" s="47" t="s">
        <v>4044</v>
      </c>
      <c r="E1691" s="47" t="str">
        <f t="shared" si="1"/>
        <v>3A</v>
      </c>
      <c r="F1691" s="47" t="s">
        <v>4046</v>
      </c>
      <c r="G1691" s="47" t="s">
        <v>618</v>
      </c>
      <c r="H1691" s="48">
        <f>IF(NOT(ISBLANK(vlookup(B1691,Pop_Census_2023!$A$2:$E$3220,4,FALSE))),vlookup(B1691,Pop_Census_2023!$A$2:$E$3220,4,FALSE), vlookup(B1691,Pop_Census_2023!$A$2:$E$3220,5,FALSE))</f>
        <v>337890</v>
      </c>
    </row>
    <row r="1692">
      <c r="A1692" s="47" t="s">
        <v>3200</v>
      </c>
      <c r="B1692" s="47">
        <v>37053.0</v>
      </c>
      <c r="C1692" s="47">
        <v>3.0</v>
      </c>
      <c r="D1692" s="47" t="s">
        <v>4044</v>
      </c>
      <c r="E1692" s="47" t="str">
        <f t="shared" si="1"/>
        <v>3A</v>
      </c>
      <c r="F1692" s="47" t="s">
        <v>4046</v>
      </c>
      <c r="G1692" s="47" t="s">
        <v>1343</v>
      </c>
      <c r="H1692" s="48">
        <f>IF(NOT(ISBLANK(vlookup(B1692,Pop_Census_2023!$A$2:$E$3220,4,FALSE))),vlookup(B1692,Pop_Census_2023!$A$2:$E$3220,4,FALSE), vlookup(B1692,Pop_Census_2023!$A$2:$E$3220,5,FALSE))</f>
        <v>31593</v>
      </c>
    </row>
    <row r="1693">
      <c r="A1693" s="47" t="s">
        <v>3200</v>
      </c>
      <c r="B1693" s="47">
        <v>37055.0</v>
      </c>
      <c r="C1693" s="47">
        <v>3.0</v>
      </c>
      <c r="D1693" s="47" t="s">
        <v>4044</v>
      </c>
      <c r="E1693" s="47" t="str">
        <f t="shared" si="1"/>
        <v>3A</v>
      </c>
      <c r="F1693" s="47" t="s">
        <v>4046</v>
      </c>
      <c r="G1693" s="47" t="s">
        <v>1344</v>
      </c>
      <c r="H1693" s="48">
        <f>IF(NOT(ISBLANK(vlookup(B1693,Pop_Census_2023!$A$2:$E$3220,4,FALSE))),vlookup(B1693,Pop_Census_2023!$A$2:$E$3220,4,FALSE), vlookup(B1693,Pop_Census_2023!$A$2:$E$3220,5,FALSE))</f>
        <v>38110</v>
      </c>
    </row>
    <row r="1694">
      <c r="A1694" s="47" t="s">
        <v>3200</v>
      </c>
      <c r="B1694" s="47">
        <v>37057.0</v>
      </c>
      <c r="C1694" s="47">
        <v>3.0</v>
      </c>
      <c r="D1694" s="47" t="s">
        <v>4044</v>
      </c>
      <c r="E1694" s="47" t="str">
        <f t="shared" si="1"/>
        <v>3A</v>
      </c>
      <c r="F1694" s="47" t="s">
        <v>4046</v>
      </c>
      <c r="G1694" s="47" t="s">
        <v>1345</v>
      </c>
      <c r="H1694" s="48">
        <f>IF(NOT(ISBLANK(vlookup(B1694,Pop_Census_2023!$A$2:$E$3220,4,FALSE))),vlookup(B1694,Pop_Census_2023!$A$2:$E$3220,4,FALSE), vlookup(B1694,Pop_Census_2023!$A$2:$E$3220,5,FALSE))</f>
        <v>174804</v>
      </c>
    </row>
    <row r="1695">
      <c r="A1695" s="47" t="s">
        <v>3200</v>
      </c>
      <c r="B1695" s="47">
        <v>37059.0</v>
      </c>
      <c r="C1695" s="47">
        <v>4.0</v>
      </c>
      <c r="D1695" s="47" t="s">
        <v>4044</v>
      </c>
      <c r="E1695" s="47" t="str">
        <f t="shared" si="1"/>
        <v>4A</v>
      </c>
      <c r="F1695" s="47" t="s">
        <v>4046</v>
      </c>
      <c r="G1695" s="47" t="s">
        <v>1346</v>
      </c>
      <c r="H1695" s="48">
        <f>IF(NOT(ISBLANK(vlookup(B1695,Pop_Census_2023!$A$2:$E$3220,4,FALSE))),vlookup(B1695,Pop_Census_2023!$A$2:$E$3220,4,FALSE), vlookup(B1695,Pop_Census_2023!$A$2:$E$3220,5,FALSE))</f>
        <v>44599</v>
      </c>
    </row>
    <row r="1696">
      <c r="A1696" s="47" t="s">
        <v>3200</v>
      </c>
      <c r="B1696" s="47">
        <v>37061.0</v>
      </c>
      <c r="C1696" s="47">
        <v>3.0</v>
      </c>
      <c r="D1696" s="47" t="s">
        <v>4044</v>
      </c>
      <c r="E1696" s="47" t="str">
        <f t="shared" si="1"/>
        <v>3A</v>
      </c>
      <c r="F1696" s="47" t="s">
        <v>4046</v>
      </c>
      <c r="G1696" s="47" t="s">
        <v>1347</v>
      </c>
      <c r="H1696" s="48">
        <f>IF(NOT(ISBLANK(vlookup(B1696,Pop_Census_2023!$A$2:$E$3220,4,FALSE))),vlookup(B1696,Pop_Census_2023!$A$2:$E$3220,4,FALSE), vlookup(B1696,Pop_Census_2023!$A$2:$E$3220,5,FALSE))</f>
        <v>49520</v>
      </c>
    </row>
    <row r="1697">
      <c r="A1697" s="47" t="s">
        <v>3200</v>
      </c>
      <c r="B1697" s="47">
        <v>37063.0</v>
      </c>
      <c r="C1697" s="47">
        <v>4.0</v>
      </c>
      <c r="D1697" s="47" t="s">
        <v>4044</v>
      </c>
      <c r="E1697" s="47" t="str">
        <f t="shared" si="1"/>
        <v>4A</v>
      </c>
      <c r="F1697" s="47" t="s">
        <v>4046</v>
      </c>
      <c r="G1697" s="47" t="s">
        <v>1348</v>
      </c>
      <c r="H1697" s="48">
        <f>IF(NOT(ISBLANK(vlookup(B1697,Pop_Census_2023!$A$2:$E$3220,4,FALSE))),vlookup(B1697,Pop_Census_2023!$A$2:$E$3220,4,FALSE), vlookup(B1697,Pop_Census_2023!$A$2:$E$3220,5,FALSE))</f>
        <v>336892</v>
      </c>
    </row>
    <row r="1698">
      <c r="A1698" s="47" t="s">
        <v>3200</v>
      </c>
      <c r="B1698" s="47">
        <v>37065.0</v>
      </c>
      <c r="C1698" s="47">
        <v>3.0</v>
      </c>
      <c r="D1698" s="47" t="s">
        <v>4044</v>
      </c>
      <c r="E1698" s="47" t="str">
        <f t="shared" si="1"/>
        <v>3A</v>
      </c>
      <c r="F1698" s="47" t="s">
        <v>4046</v>
      </c>
      <c r="G1698" s="47" t="s">
        <v>1349</v>
      </c>
      <c r="H1698" s="48">
        <f>IF(NOT(ISBLANK(vlookup(B1698,Pop_Census_2023!$A$2:$E$3220,4,FALSE))),vlookup(B1698,Pop_Census_2023!$A$2:$E$3220,4,FALSE), vlookup(B1698,Pop_Census_2023!$A$2:$E$3220,5,FALSE))</f>
        <v>48832</v>
      </c>
    </row>
    <row r="1699">
      <c r="A1699" s="47" t="s">
        <v>3200</v>
      </c>
      <c r="B1699" s="47">
        <v>37067.0</v>
      </c>
      <c r="C1699" s="47">
        <v>4.0</v>
      </c>
      <c r="D1699" s="47" t="s">
        <v>4044</v>
      </c>
      <c r="E1699" s="47" t="str">
        <f t="shared" si="1"/>
        <v>4A</v>
      </c>
      <c r="F1699" s="47" t="s">
        <v>4046</v>
      </c>
      <c r="G1699" s="47" t="s">
        <v>503</v>
      </c>
      <c r="H1699" s="48">
        <f>IF(NOT(ISBLANK(vlookup(B1699,Pop_Census_2023!$A$2:$E$3220,4,FALSE))),vlookup(B1699,Pop_Census_2023!$A$2:$E$3220,4,FALSE), vlookup(B1699,Pop_Census_2023!$A$2:$E$3220,5,FALSE))</f>
        <v>392921</v>
      </c>
    </row>
    <row r="1700">
      <c r="A1700" s="47" t="s">
        <v>3200</v>
      </c>
      <c r="B1700" s="47">
        <v>37069.0</v>
      </c>
      <c r="C1700" s="47">
        <v>4.0</v>
      </c>
      <c r="D1700" s="47" t="s">
        <v>4044</v>
      </c>
      <c r="E1700" s="47" t="str">
        <f t="shared" si="1"/>
        <v>4A</v>
      </c>
      <c r="F1700" s="47" t="s">
        <v>4046</v>
      </c>
      <c r="G1700" s="47" t="s">
        <v>132</v>
      </c>
      <c r="H1700" s="48">
        <f>IF(NOT(ISBLANK(vlookup(B1700,Pop_Census_2023!$A$2:$E$3220,4,FALSE))),vlookup(B1700,Pop_Census_2023!$A$2:$E$3220,4,FALSE), vlookup(B1700,Pop_Census_2023!$A$2:$E$3220,5,FALSE))</f>
        <v>77001</v>
      </c>
    </row>
    <row r="1701">
      <c r="A1701" s="47" t="s">
        <v>3200</v>
      </c>
      <c r="B1701" s="47">
        <v>37071.0</v>
      </c>
      <c r="C1701" s="47">
        <v>3.0</v>
      </c>
      <c r="D1701" s="47" t="s">
        <v>4044</v>
      </c>
      <c r="E1701" s="47" t="str">
        <f t="shared" si="1"/>
        <v>3A</v>
      </c>
      <c r="F1701" s="47" t="s">
        <v>4046</v>
      </c>
      <c r="G1701" s="47" t="s">
        <v>1350</v>
      </c>
      <c r="H1701" s="48">
        <f>IF(NOT(ISBLANK(vlookup(B1701,Pop_Census_2023!$A$2:$E$3220,4,FALSE))),vlookup(B1701,Pop_Census_2023!$A$2:$E$3220,4,FALSE), vlookup(B1701,Pop_Census_2023!$A$2:$E$3220,5,FALSE))</f>
        <v>237242</v>
      </c>
    </row>
    <row r="1702">
      <c r="A1702" s="47" t="s">
        <v>3200</v>
      </c>
      <c r="B1702" s="47">
        <v>37073.0</v>
      </c>
      <c r="C1702" s="47">
        <v>4.0</v>
      </c>
      <c r="D1702" s="47" t="s">
        <v>4044</v>
      </c>
      <c r="E1702" s="47" t="str">
        <f t="shared" si="1"/>
        <v>4A</v>
      </c>
      <c r="F1702" s="47" t="s">
        <v>4046</v>
      </c>
      <c r="G1702" s="47" t="s">
        <v>1351</v>
      </c>
      <c r="H1702" s="48">
        <f>IF(NOT(ISBLANK(vlookup(B1702,Pop_Census_2023!$A$2:$E$3220,4,FALSE))),vlookup(B1702,Pop_Census_2023!$A$2:$E$3220,4,FALSE), vlookup(B1702,Pop_Census_2023!$A$2:$E$3220,5,FALSE))</f>
        <v>10343</v>
      </c>
    </row>
    <row r="1703">
      <c r="A1703" s="47" t="s">
        <v>3200</v>
      </c>
      <c r="B1703" s="47">
        <v>37075.0</v>
      </c>
      <c r="C1703" s="47">
        <v>4.0</v>
      </c>
      <c r="D1703" s="47" t="s">
        <v>4044</v>
      </c>
      <c r="E1703" s="47" t="str">
        <f t="shared" si="1"/>
        <v>4A</v>
      </c>
      <c r="F1703" s="47" t="s">
        <v>4046</v>
      </c>
      <c r="G1703" s="47" t="s">
        <v>208</v>
      </c>
      <c r="H1703" s="48">
        <f>IF(NOT(ISBLANK(vlookup(B1703,Pop_Census_2023!$A$2:$E$3220,4,FALSE))),vlookup(B1703,Pop_Census_2023!$A$2:$E$3220,4,FALSE), vlookup(B1703,Pop_Census_2023!$A$2:$E$3220,5,FALSE))</f>
        <v>8052</v>
      </c>
    </row>
    <row r="1704">
      <c r="A1704" s="47" t="s">
        <v>3200</v>
      </c>
      <c r="B1704" s="47">
        <v>37077.0</v>
      </c>
      <c r="C1704" s="47">
        <v>4.0</v>
      </c>
      <c r="D1704" s="47" t="s">
        <v>4044</v>
      </c>
      <c r="E1704" s="47" t="str">
        <f t="shared" si="1"/>
        <v>4A</v>
      </c>
      <c r="F1704" s="47" t="s">
        <v>4046</v>
      </c>
      <c r="G1704" s="47" t="s">
        <v>1352</v>
      </c>
      <c r="H1704" s="48">
        <f>IF(NOT(ISBLANK(vlookup(B1704,Pop_Census_2023!$A$2:$E$3220,4,FALSE))),vlookup(B1704,Pop_Census_2023!$A$2:$E$3220,4,FALSE), vlookup(B1704,Pop_Census_2023!$A$2:$E$3220,5,FALSE))</f>
        <v>62192</v>
      </c>
    </row>
    <row r="1705">
      <c r="A1705" s="47" t="s">
        <v>3200</v>
      </c>
      <c r="B1705" s="47">
        <v>37079.0</v>
      </c>
      <c r="C1705" s="47">
        <v>3.0</v>
      </c>
      <c r="D1705" s="47" t="s">
        <v>4044</v>
      </c>
      <c r="E1705" s="47" t="str">
        <f t="shared" si="1"/>
        <v>3A</v>
      </c>
      <c r="F1705" s="47" t="s">
        <v>4046</v>
      </c>
      <c r="G1705" s="47" t="s">
        <v>134</v>
      </c>
      <c r="H1705" s="48">
        <f>IF(NOT(ISBLANK(vlookup(B1705,Pop_Census_2023!$A$2:$E$3220,4,FALSE))),vlookup(B1705,Pop_Census_2023!$A$2:$E$3220,4,FALSE), vlookup(B1705,Pop_Census_2023!$A$2:$E$3220,5,FALSE))</f>
        <v>20530</v>
      </c>
    </row>
    <row r="1706">
      <c r="A1706" s="47" t="s">
        <v>3200</v>
      </c>
      <c r="B1706" s="47">
        <v>37081.0</v>
      </c>
      <c r="C1706" s="47">
        <v>4.0</v>
      </c>
      <c r="D1706" s="47" t="s">
        <v>4044</v>
      </c>
      <c r="E1706" s="47" t="str">
        <f t="shared" si="1"/>
        <v>4A</v>
      </c>
      <c r="F1706" s="47" t="s">
        <v>4046</v>
      </c>
      <c r="G1706" s="47" t="s">
        <v>1353</v>
      </c>
      <c r="H1706" s="48">
        <f>IF(NOT(ISBLANK(vlookup(B1706,Pop_Census_2023!$A$2:$E$3220,4,FALSE))),vlookup(B1706,Pop_Census_2023!$A$2:$E$3220,4,FALSE), vlookup(B1706,Pop_Census_2023!$A$2:$E$3220,5,FALSE))</f>
        <v>549866</v>
      </c>
    </row>
    <row r="1707">
      <c r="A1707" s="47" t="s">
        <v>3200</v>
      </c>
      <c r="B1707" s="47">
        <v>37083.0</v>
      </c>
      <c r="C1707" s="47">
        <v>4.0</v>
      </c>
      <c r="D1707" s="47" t="s">
        <v>4044</v>
      </c>
      <c r="E1707" s="47" t="str">
        <f t="shared" si="1"/>
        <v>4A</v>
      </c>
      <c r="F1707" s="47" t="s">
        <v>4046</v>
      </c>
      <c r="G1707" s="47" t="s">
        <v>1354</v>
      </c>
      <c r="H1707" s="48">
        <f>IF(NOT(ISBLANK(vlookup(B1707,Pop_Census_2023!$A$2:$E$3220,4,FALSE))),vlookup(B1707,Pop_Census_2023!$A$2:$E$3220,4,FALSE), vlookup(B1707,Pop_Census_2023!$A$2:$E$3220,5,FALSE))</f>
        <v>47298</v>
      </c>
    </row>
    <row r="1708">
      <c r="A1708" s="47" t="s">
        <v>3200</v>
      </c>
      <c r="B1708" s="47">
        <v>37085.0</v>
      </c>
      <c r="C1708" s="47">
        <v>4.0</v>
      </c>
      <c r="D1708" s="47" t="s">
        <v>4044</v>
      </c>
      <c r="E1708" s="47" t="str">
        <f t="shared" si="1"/>
        <v>4A</v>
      </c>
      <c r="F1708" s="47" t="s">
        <v>4046</v>
      </c>
      <c r="G1708" s="47" t="s">
        <v>1355</v>
      </c>
      <c r="H1708" s="48">
        <f>IF(NOT(ISBLANK(vlookup(B1708,Pop_Census_2023!$A$2:$E$3220,4,FALSE))),vlookup(B1708,Pop_Census_2023!$A$2:$E$3220,4,FALSE), vlookup(B1708,Pop_Census_2023!$A$2:$E$3220,5,FALSE))</f>
        <v>141477</v>
      </c>
    </row>
    <row r="1709">
      <c r="A1709" s="47" t="s">
        <v>3200</v>
      </c>
      <c r="B1709" s="47">
        <v>37087.0</v>
      </c>
      <c r="C1709" s="47">
        <v>4.0</v>
      </c>
      <c r="D1709" s="47" t="s">
        <v>4044</v>
      </c>
      <c r="E1709" s="47" t="str">
        <f t="shared" si="1"/>
        <v>4A</v>
      </c>
      <c r="F1709" s="47" t="s">
        <v>4046</v>
      </c>
      <c r="G1709" s="47" t="s">
        <v>1356</v>
      </c>
      <c r="H1709" s="48">
        <f>IF(NOT(ISBLANK(vlookup(B1709,Pop_Census_2023!$A$2:$E$3220,4,FALSE))),vlookup(B1709,Pop_Census_2023!$A$2:$E$3220,4,FALSE), vlookup(B1709,Pop_Census_2023!$A$2:$E$3220,5,FALSE))</f>
        <v>62969</v>
      </c>
    </row>
    <row r="1710">
      <c r="A1710" s="47" t="s">
        <v>3200</v>
      </c>
      <c r="B1710" s="47">
        <v>37089.0</v>
      </c>
      <c r="C1710" s="47">
        <v>4.0</v>
      </c>
      <c r="D1710" s="47" t="s">
        <v>4044</v>
      </c>
      <c r="E1710" s="47" t="str">
        <f t="shared" si="1"/>
        <v>4A</v>
      </c>
      <c r="F1710" s="47" t="s">
        <v>4046</v>
      </c>
      <c r="G1710" s="47" t="s">
        <v>627</v>
      </c>
      <c r="H1710" s="48">
        <f>IF(NOT(ISBLANK(vlookup(B1710,Pop_Census_2023!$A$2:$E$3220,4,FALSE))),vlookup(B1710,Pop_Census_2023!$A$2:$E$3220,4,FALSE), vlookup(B1710,Pop_Census_2023!$A$2:$E$3220,5,FALSE))</f>
        <v>119230</v>
      </c>
    </row>
    <row r="1711">
      <c r="A1711" s="47" t="s">
        <v>3200</v>
      </c>
      <c r="B1711" s="47">
        <v>37091.0</v>
      </c>
      <c r="C1711" s="47">
        <v>4.0</v>
      </c>
      <c r="D1711" s="47" t="s">
        <v>4044</v>
      </c>
      <c r="E1711" s="47" t="str">
        <f t="shared" si="1"/>
        <v>4A</v>
      </c>
      <c r="F1711" s="47" t="s">
        <v>4046</v>
      </c>
      <c r="G1711" s="47" t="s">
        <v>1357</v>
      </c>
      <c r="H1711" s="48">
        <f>IF(NOT(ISBLANK(vlookup(B1711,Pop_Census_2023!$A$2:$E$3220,4,FALSE))),vlookup(B1711,Pop_Census_2023!$A$2:$E$3220,4,FALSE), vlookup(B1711,Pop_Census_2023!$A$2:$E$3220,5,FALSE))</f>
        <v>19453</v>
      </c>
    </row>
    <row r="1712">
      <c r="A1712" s="47" t="s">
        <v>3200</v>
      </c>
      <c r="B1712" s="47">
        <v>37093.0</v>
      </c>
      <c r="C1712" s="47">
        <v>3.0</v>
      </c>
      <c r="D1712" s="47" t="s">
        <v>4044</v>
      </c>
      <c r="E1712" s="47" t="str">
        <f t="shared" si="1"/>
        <v>3A</v>
      </c>
      <c r="F1712" s="47" t="s">
        <v>4046</v>
      </c>
      <c r="G1712" s="47" t="s">
        <v>1358</v>
      </c>
      <c r="H1712" s="48">
        <f>IF(NOT(ISBLANK(vlookup(B1712,Pop_Census_2023!$A$2:$E$3220,4,FALSE))),vlookup(B1712,Pop_Census_2023!$A$2:$E$3220,4,FALSE), vlookup(B1712,Pop_Census_2023!$A$2:$E$3220,5,FALSE))</f>
        <v>54446</v>
      </c>
    </row>
    <row r="1713">
      <c r="A1713" s="47" t="s">
        <v>3200</v>
      </c>
      <c r="B1713" s="47">
        <v>37095.0</v>
      </c>
      <c r="C1713" s="47">
        <v>3.0</v>
      </c>
      <c r="D1713" s="47" t="s">
        <v>4044</v>
      </c>
      <c r="E1713" s="47" t="str">
        <f t="shared" si="1"/>
        <v>3A</v>
      </c>
      <c r="F1713" s="47" t="s">
        <v>4046</v>
      </c>
      <c r="G1713" s="47" t="s">
        <v>1359</v>
      </c>
      <c r="H1713" s="48">
        <f>IF(NOT(ISBLANK(vlookup(B1713,Pop_Census_2023!$A$2:$E$3220,4,FALSE))),vlookup(B1713,Pop_Census_2023!$A$2:$E$3220,4,FALSE), vlookup(B1713,Pop_Census_2023!$A$2:$E$3220,5,FALSE))</f>
        <v>4607</v>
      </c>
    </row>
    <row r="1714">
      <c r="A1714" s="47" t="s">
        <v>3200</v>
      </c>
      <c r="B1714" s="47">
        <v>37097.0</v>
      </c>
      <c r="C1714" s="47">
        <v>4.0</v>
      </c>
      <c r="D1714" s="47" t="s">
        <v>4044</v>
      </c>
      <c r="E1714" s="47" t="str">
        <f t="shared" si="1"/>
        <v>4A</v>
      </c>
      <c r="F1714" s="47" t="s">
        <v>4046</v>
      </c>
      <c r="G1714" s="47" t="s">
        <v>1360</v>
      </c>
      <c r="H1714" s="48">
        <f>IF(NOT(ISBLANK(vlookup(B1714,Pop_Census_2023!$A$2:$E$3220,4,FALSE))),vlookup(B1714,Pop_Census_2023!$A$2:$E$3220,4,FALSE), vlookup(B1714,Pop_Census_2023!$A$2:$E$3220,5,FALSE))</f>
        <v>199710</v>
      </c>
    </row>
    <row r="1715">
      <c r="A1715" s="47" t="s">
        <v>3200</v>
      </c>
      <c r="B1715" s="47">
        <v>37099.0</v>
      </c>
      <c r="C1715" s="47">
        <v>4.0</v>
      </c>
      <c r="D1715" s="47" t="s">
        <v>4044</v>
      </c>
      <c r="E1715" s="47" t="str">
        <f t="shared" si="1"/>
        <v>4A</v>
      </c>
      <c r="F1715" s="47" t="s">
        <v>4046</v>
      </c>
      <c r="G1715" s="47" t="s">
        <v>138</v>
      </c>
      <c r="H1715" s="48">
        <f>IF(NOT(ISBLANK(vlookup(B1715,Pop_Census_2023!$A$2:$E$3220,4,FALSE))),vlookup(B1715,Pop_Census_2023!$A$2:$E$3220,4,FALSE), vlookup(B1715,Pop_Census_2023!$A$2:$E$3220,5,FALSE))</f>
        <v>44574</v>
      </c>
    </row>
    <row r="1716">
      <c r="A1716" s="47" t="s">
        <v>3200</v>
      </c>
      <c r="B1716" s="47">
        <v>37101.0</v>
      </c>
      <c r="C1716" s="47">
        <v>3.0</v>
      </c>
      <c r="D1716" s="47" t="s">
        <v>4044</v>
      </c>
      <c r="E1716" s="47" t="str">
        <f t="shared" si="1"/>
        <v>3A</v>
      </c>
      <c r="F1716" s="47" t="s">
        <v>4046</v>
      </c>
      <c r="G1716" s="47" t="s">
        <v>1361</v>
      </c>
      <c r="H1716" s="48">
        <f>IF(NOT(ISBLANK(vlookup(B1716,Pop_Census_2023!$A$2:$E$3220,4,FALSE))),vlookup(B1716,Pop_Census_2023!$A$2:$E$3220,4,FALSE), vlookup(B1716,Pop_Census_2023!$A$2:$E$3220,5,FALSE))</f>
        <v>241955</v>
      </c>
    </row>
    <row r="1717">
      <c r="A1717" s="47" t="s">
        <v>3200</v>
      </c>
      <c r="B1717" s="47">
        <v>37103.0</v>
      </c>
      <c r="C1717" s="47">
        <v>3.0</v>
      </c>
      <c r="D1717" s="47" t="s">
        <v>4044</v>
      </c>
      <c r="E1717" s="47" t="str">
        <f t="shared" si="1"/>
        <v>3A</v>
      </c>
      <c r="F1717" s="47" t="s">
        <v>4046</v>
      </c>
      <c r="G1717" s="47" t="s">
        <v>521</v>
      </c>
      <c r="H1717" s="48">
        <f>IF(NOT(ISBLANK(vlookup(B1717,Pop_Census_2023!$A$2:$E$3220,4,FALSE))),vlookup(B1717,Pop_Census_2023!$A$2:$E$3220,4,FALSE), vlookup(B1717,Pop_Census_2023!$A$2:$E$3220,5,FALSE))</f>
        <v>9401</v>
      </c>
    </row>
    <row r="1718">
      <c r="A1718" s="47" t="s">
        <v>3200</v>
      </c>
      <c r="B1718" s="47">
        <v>37105.0</v>
      </c>
      <c r="C1718" s="47">
        <v>4.0</v>
      </c>
      <c r="D1718" s="47" t="s">
        <v>4044</v>
      </c>
      <c r="E1718" s="47" t="str">
        <f t="shared" si="1"/>
        <v>4A</v>
      </c>
      <c r="F1718" s="47" t="s">
        <v>4046</v>
      </c>
      <c r="G1718" s="47" t="s">
        <v>143</v>
      </c>
      <c r="H1718" s="48">
        <f>IF(NOT(ISBLANK(vlookup(B1718,Pop_Census_2023!$A$2:$E$3220,4,FALSE))),vlookup(B1718,Pop_Census_2023!$A$2:$E$3220,4,FALSE), vlookup(B1718,Pop_Census_2023!$A$2:$E$3220,5,FALSE))</f>
        <v>67059</v>
      </c>
    </row>
    <row r="1719">
      <c r="A1719" s="47" t="s">
        <v>3200</v>
      </c>
      <c r="B1719" s="47">
        <v>37107.0</v>
      </c>
      <c r="C1719" s="47">
        <v>3.0</v>
      </c>
      <c r="D1719" s="47" t="s">
        <v>4044</v>
      </c>
      <c r="E1719" s="47" t="str">
        <f t="shared" si="1"/>
        <v>3A</v>
      </c>
      <c r="F1719" s="47" t="s">
        <v>4046</v>
      </c>
      <c r="G1719" s="47" t="s">
        <v>1362</v>
      </c>
      <c r="H1719" s="48">
        <f>IF(NOT(ISBLANK(vlookup(B1719,Pop_Census_2023!$A$2:$E$3220,4,FALSE))),vlookup(B1719,Pop_Census_2023!$A$2:$E$3220,4,FALSE), vlookup(B1719,Pop_Census_2023!$A$2:$E$3220,5,FALSE))</f>
        <v>54895</v>
      </c>
    </row>
    <row r="1720">
      <c r="A1720" s="47" t="s">
        <v>3200</v>
      </c>
      <c r="B1720" s="47">
        <v>37109.0</v>
      </c>
      <c r="C1720" s="47">
        <v>4.0</v>
      </c>
      <c r="D1720" s="47" t="s">
        <v>4044</v>
      </c>
      <c r="E1720" s="47" t="str">
        <f t="shared" si="1"/>
        <v>4A</v>
      </c>
      <c r="F1720" s="47" t="s">
        <v>4046</v>
      </c>
      <c r="G1720" s="47" t="s">
        <v>250</v>
      </c>
      <c r="H1720" s="48">
        <f>IF(NOT(ISBLANK(vlookup(B1720,Pop_Census_2023!$A$2:$E$3220,4,FALSE))),vlookup(B1720,Pop_Census_2023!$A$2:$E$3220,4,FALSE), vlookup(B1720,Pop_Census_2023!$A$2:$E$3220,5,FALSE))</f>
        <v>95675</v>
      </c>
    </row>
    <row r="1721">
      <c r="A1721" s="47" t="s">
        <v>3200</v>
      </c>
      <c r="B1721" s="47">
        <v>37113.0</v>
      </c>
      <c r="C1721" s="47">
        <v>4.0</v>
      </c>
      <c r="D1721" s="47" t="s">
        <v>4044</v>
      </c>
      <c r="E1721" s="47" t="str">
        <f t="shared" si="1"/>
        <v>4A</v>
      </c>
      <c r="F1721" s="47" t="s">
        <v>4046</v>
      </c>
      <c r="G1721" s="47" t="s">
        <v>146</v>
      </c>
      <c r="H1721" s="48">
        <f>IF(NOT(ISBLANK(vlookup(B1721,Pop_Census_2023!$A$2:$E$3220,4,FALSE))),vlookup(B1721,Pop_Census_2023!$A$2:$E$3220,4,FALSE), vlookup(B1721,Pop_Census_2023!$A$2:$E$3220,5,FALSE))</f>
        <v>38412</v>
      </c>
    </row>
    <row r="1722">
      <c r="A1722" s="47" t="s">
        <v>3200</v>
      </c>
      <c r="B1722" s="47">
        <v>37115.0</v>
      </c>
      <c r="C1722" s="47">
        <v>4.0</v>
      </c>
      <c r="D1722" s="47" t="s">
        <v>4044</v>
      </c>
      <c r="E1722" s="47" t="str">
        <f t="shared" si="1"/>
        <v>4A</v>
      </c>
      <c r="F1722" s="47" t="s">
        <v>4046</v>
      </c>
      <c r="G1722" s="47" t="s">
        <v>147</v>
      </c>
      <c r="H1722" s="48">
        <f>IF(NOT(ISBLANK(vlookup(B1722,Pop_Census_2023!$A$2:$E$3220,4,FALSE))),vlookup(B1722,Pop_Census_2023!$A$2:$E$3220,4,FALSE), vlookup(B1722,Pop_Census_2023!$A$2:$E$3220,5,FALSE))</f>
        <v>22071</v>
      </c>
    </row>
    <row r="1723">
      <c r="A1723" s="47" t="s">
        <v>3200</v>
      </c>
      <c r="B1723" s="47">
        <v>37117.0</v>
      </c>
      <c r="C1723" s="47">
        <v>3.0</v>
      </c>
      <c r="D1723" s="47" t="s">
        <v>4044</v>
      </c>
      <c r="E1723" s="47" t="str">
        <f t="shared" si="1"/>
        <v>3A</v>
      </c>
      <c r="F1723" s="47" t="s">
        <v>4046</v>
      </c>
      <c r="G1723" s="47" t="s">
        <v>440</v>
      </c>
      <c r="H1723" s="48">
        <f>IF(NOT(ISBLANK(vlookup(B1723,Pop_Census_2023!$A$2:$E$3220,4,FALSE))),vlookup(B1723,Pop_Census_2023!$A$2:$E$3220,4,FALSE), vlookup(B1723,Pop_Census_2023!$A$2:$E$3220,5,FALSE))</f>
        <v>21447</v>
      </c>
    </row>
    <row r="1724">
      <c r="A1724" s="47" t="s">
        <v>3200</v>
      </c>
      <c r="B1724" s="47">
        <v>37111.0</v>
      </c>
      <c r="C1724" s="47">
        <v>4.0</v>
      </c>
      <c r="D1724" s="47" t="s">
        <v>4044</v>
      </c>
      <c r="E1724" s="47" t="str">
        <f t="shared" si="1"/>
        <v>4A</v>
      </c>
      <c r="F1724" s="47" t="s">
        <v>4046</v>
      </c>
      <c r="G1724" s="47" t="s">
        <v>1363</v>
      </c>
      <c r="H1724" s="48">
        <f>IF(NOT(ISBLANK(vlookup(B1724,Pop_Census_2023!$A$2:$E$3220,4,FALSE))),vlookup(B1724,Pop_Census_2023!$A$2:$E$3220,4,FALSE), vlookup(B1724,Pop_Census_2023!$A$2:$E$3220,5,FALSE))</f>
        <v>44893</v>
      </c>
    </row>
    <row r="1725">
      <c r="A1725" s="47" t="s">
        <v>3200</v>
      </c>
      <c r="B1725" s="47">
        <v>37119.0</v>
      </c>
      <c r="C1725" s="47">
        <v>3.0</v>
      </c>
      <c r="D1725" s="47" t="s">
        <v>4044</v>
      </c>
      <c r="E1725" s="47" t="str">
        <f t="shared" si="1"/>
        <v>3A</v>
      </c>
      <c r="F1725" s="47" t="s">
        <v>4046</v>
      </c>
      <c r="G1725" s="47" t="s">
        <v>1364</v>
      </c>
      <c r="H1725" s="48">
        <f>IF(NOT(ISBLANK(vlookup(B1725,Pop_Census_2023!$A$2:$E$3220,4,FALSE))),vlookup(B1725,Pop_Census_2023!$A$2:$E$3220,4,FALSE), vlookup(B1725,Pop_Census_2023!$A$2:$E$3220,5,FALSE))</f>
        <v>1163701</v>
      </c>
    </row>
    <row r="1726">
      <c r="A1726" s="47" t="s">
        <v>3200</v>
      </c>
      <c r="B1726" s="47">
        <v>37121.0</v>
      </c>
      <c r="C1726" s="47">
        <v>5.0</v>
      </c>
      <c r="D1726" s="47" t="s">
        <v>4044</v>
      </c>
      <c r="E1726" s="47" t="str">
        <f t="shared" si="1"/>
        <v>5A</v>
      </c>
      <c r="F1726" s="47" t="s">
        <v>4054</v>
      </c>
      <c r="G1726" s="47" t="s">
        <v>529</v>
      </c>
      <c r="H1726" s="48">
        <f>IF(NOT(ISBLANK(vlookup(B1726,Pop_Census_2023!$A$2:$E$3220,4,FALSE))),vlookup(B1726,Pop_Census_2023!$A$2:$E$3220,4,FALSE), vlookup(B1726,Pop_Census_2023!$A$2:$E$3220,5,FALSE))</f>
        <v>14999</v>
      </c>
    </row>
    <row r="1727">
      <c r="A1727" s="47" t="s">
        <v>3200</v>
      </c>
      <c r="B1727" s="47">
        <v>37123.0</v>
      </c>
      <c r="C1727" s="47">
        <v>3.0</v>
      </c>
      <c r="D1727" s="47" t="s">
        <v>4044</v>
      </c>
      <c r="E1727" s="47" t="str">
        <f t="shared" si="1"/>
        <v>3A</v>
      </c>
      <c r="F1727" s="47" t="s">
        <v>4046</v>
      </c>
      <c r="G1727" s="47" t="s">
        <v>153</v>
      </c>
      <c r="H1727" s="48">
        <f>IF(NOT(ISBLANK(vlookup(B1727,Pop_Census_2023!$A$2:$E$3220,4,FALSE))),vlookup(B1727,Pop_Census_2023!$A$2:$E$3220,4,FALSE), vlookup(B1727,Pop_Census_2023!$A$2:$E$3220,5,FALSE))</f>
        <v>26085</v>
      </c>
    </row>
    <row r="1728">
      <c r="A1728" s="47" t="s">
        <v>3200</v>
      </c>
      <c r="B1728" s="47">
        <v>37125.0</v>
      </c>
      <c r="C1728" s="47">
        <v>3.0</v>
      </c>
      <c r="D1728" s="47" t="s">
        <v>4044</v>
      </c>
      <c r="E1728" s="47" t="str">
        <f t="shared" si="1"/>
        <v>3A</v>
      </c>
      <c r="F1728" s="47" t="s">
        <v>4046</v>
      </c>
      <c r="G1728" s="47" t="s">
        <v>1365</v>
      </c>
      <c r="H1728" s="48">
        <f>IF(NOT(ISBLANK(vlookup(B1728,Pop_Census_2023!$A$2:$E$3220,4,FALSE))),vlookup(B1728,Pop_Census_2023!$A$2:$E$3220,4,FALSE), vlookup(B1728,Pop_Census_2023!$A$2:$E$3220,5,FALSE))</f>
        <v>106898</v>
      </c>
    </row>
    <row r="1729">
      <c r="A1729" s="47" t="s">
        <v>3200</v>
      </c>
      <c r="B1729" s="47">
        <v>37127.0</v>
      </c>
      <c r="C1729" s="47">
        <v>4.0</v>
      </c>
      <c r="D1729" s="47" t="s">
        <v>4044</v>
      </c>
      <c r="E1729" s="47" t="str">
        <f t="shared" si="1"/>
        <v>4A</v>
      </c>
      <c r="F1729" s="47" t="s">
        <v>4046</v>
      </c>
      <c r="G1729" s="47" t="s">
        <v>1366</v>
      </c>
      <c r="H1729" s="48">
        <f>IF(NOT(ISBLANK(vlookup(B1729,Pop_Census_2023!$A$2:$E$3220,4,FALSE))),vlookup(B1729,Pop_Census_2023!$A$2:$E$3220,4,FALSE), vlookup(B1729,Pop_Census_2023!$A$2:$E$3220,5,FALSE))</f>
        <v>96551</v>
      </c>
    </row>
    <row r="1730">
      <c r="A1730" s="47" t="s">
        <v>3200</v>
      </c>
      <c r="B1730" s="47">
        <v>37129.0</v>
      </c>
      <c r="C1730" s="47">
        <v>3.0</v>
      </c>
      <c r="D1730" s="47" t="s">
        <v>4044</v>
      </c>
      <c r="E1730" s="47" t="str">
        <f t="shared" si="1"/>
        <v>3A</v>
      </c>
      <c r="F1730" s="47" t="s">
        <v>4045</v>
      </c>
      <c r="G1730" s="47" t="s">
        <v>1367</v>
      </c>
      <c r="H1730" s="48">
        <f>IF(NOT(ISBLANK(vlookup(B1730,Pop_Census_2023!$A$2:$E$3220,4,FALSE))),vlookup(B1730,Pop_Census_2023!$A$2:$E$3220,4,FALSE), vlookup(B1730,Pop_Census_2023!$A$2:$E$3220,5,FALSE))</f>
        <v>238852</v>
      </c>
    </row>
    <row r="1731">
      <c r="A1731" s="47" t="s">
        <v>3200</v>
      </c>
      <c r="B1731" s="47">
        <v>37131.0</v>
      </c>
      <c r="C1731" s="47">
        <v>4.0</v>
      </c>
      <c r="D1731" s="47" t="s">
        <v>4044</v>
      </c>
      <c r="E1731" s="47" t="str">
        <f t="shared" si="1"/>
        <v>4A</v>
      </c>
      <c r="F1731" s="47" t="s">
        <v>4046</v>
      </c>
      <c r="G1731" s="47" t="s">
        <v>1368</v>
      </c>
      <c r="H1731" s="48">
        <f>IF(NOT(ISBLANK(vlookup(B1731,Pop_Census_2023!$A$2:$E$3220,4,FALSE))),vlookup(B1731,Pop_Census_2023!$A$2:$E$3220,4,FALSE), vlookup(B1731,Pop_Census_2023!$A$2:$E$3220,5,FALSE))</f>
        <v>16715</v>
      </c>
    </row>
    <row r="1732">
      <c r="A1732" s="47" t="s">
        <v>3200</v>
      </c>
      <c r="B1732" s="47">
        <v>37133.0</v>
      </c>
      <c r="C1732" s="47">
        <v>3.0</v>
      </c>
      <c r="D1732" s="47" t="s">
        <v>4044</v>
      </c>
      <c r="E1732" s="47" t="str">
        <f t="shared" si="1"/>
        <v>3A</v>
      </c>
      <c r="F1732" s="47" t="s">
        <v>4045</v>
      </c>
      <c r="G1732" s="47" t="s">
        <v>1369</v>
      </c>
      <c r="H1732" s="48">
        <f>IF(NOT(ISBLANK(vlookup(B1732,Pop_Census_2023!$A$2:$E$3220,4,FALSE))),vlookup(B1732,Pop_Census_2023!$A$2:$E$3220,4,FALSE), vlookup(B1732,Pop_Census_2023!$A$2:$E$3220,5,FALSE))</f>
        <v>213676</v>
      </c>
    </row>
    <row r="1733">
      <c r="A1733" s="47" t="s">
        <v>3200</v>
      </c>
      <c r="B1733" s="47">
        <v>37135.0</v>
      </c>
      <c r="C1733" s="47">
        <v>4.0</v>
      </c>
      <c r="D1733" s="47" t="s">
        <v>4044</v>
      </c>
      <c r="E1733" s="47" t="str">
        <f t="shared" si="1"/>
        <v>4A</v>
      </c>
      <c r="F1733" s="47" t="s">
        <v>4046</v>
      </c>
      <c r="G1733" s="47" t="s">
        <v>310</v>
      </c>
      <c r="H1733" s="48">
        <f>IF(NOT(ISBLANK(vlookup(B1733,Pop_Census_2023!$A$2:$E$3220,4,FALSE))),vlookup(B1733,Pop_Census_2023!$A$2:$E$3220,4,FALSE), vlookup(B1733,Pop_Census_2023!$A$2:$E$3220,5,FALSE))</f>
        <v>150626</v>
      </c>
    </row>
    <row r="1734">
      <c r="A1734" s="47" t="s">
        <v>3200</v>
      </c>
      <c r="B1734" s="47">
        <v>37137.0</v>
      </c>
      <c r="C1734" s="47">
        <v>3.0</v>
      </c>
      <c r="D1734" s="47" t="s">
        <v>4044</v>
      </c>
      <c r="E1734" s="47" t="str">
        <f t="shared" si="1"/>
        <v>3A</v>
      </c>
      <c r="F1734" s="47" t="s">
        <v>4046</v>
      </c>
      <c r="G1734" s="47" t="s">
        <v>1370</v>
      </c>
      <c r="H1734" s="48">
        <f>IF(NOT(ISBLANK(vlookup(B1734,Pop_Census_2023!$A$2:$E$3220,4,FALSE))),vlookup(B1734,Pop_Census_2023!$A$2:$E$3220,4,FALSE), vlookup(B1734,Pop_Census_2023!$A$2:$E$3220,5,FALSE))</f>
        <v>12423</v>
      </c>
    </row>
    <row r="1735">
      <c r="A1735" s="47" t="s">
        <v>3200</v>
      </c>
      <c r="B1735" s="47">
        <v>37139.0</v>
      </c>
      <c r="C1735" s="47">
        <v>3.0</v>
      </c>
      <c r="D1735" s="47" t="s">
        <v>4044</v>
      </c>
      <c r="E1735" s="47" t="str">
        <f t="shared" si="1"/>
        <v>3A</v>
      </c>
      <c r="F1735" s="47" t="s">
        <v>4046</v>
      </c>
      <c r="G1735" s="47" t="s">
        <v>1371</v>
      </c>
      <c r="H1735" s="48">
        <f>IF(NOT(ISBLANK(vlookup(B1735,Pop_Census_2023!$A$2:$E$3220,4,FALSE))),vlookup(B1735,Pop_Census_2023!$A$2:$E$3220,4,FALSE), vlookup(B1735,Pop_Census_2023!$A$2:$E$3220,5,FALSE))</f>
        <v>41444</v>
      </c>
    </row>
    <row r="1736">
      <c r="A1736" s="47" t="s">
        <v>3200</v>
      </c>
      <c r="B1736" s="47">
        <v>37141.0</v>
      </c>
      <c r="C1736" s="47">
        <v>3.0</v>
      </c>
      <c r="D1736" s="47" t="s">
        <v>4044</v>
      </c>
      <c r="E1736" s="47" t="str">
        <f t="shared" si="1"/>
        <v>3A</v>
      </c>
      <c r="F1736" s="47" t="s">
        <v>4045</v>
      </c>
      <c r="G1736" s="47" t="s">
        <v>1372</v>
      </c>
      <c r="H1736" s="48">
        <f>IF(NOT(ISBLANK(vlookup(B1736,Pop_Census_2023!$A$2:$E$3220,4,FALSE))),vlookup(B1736,Pop_Census_2023!$A$2:$E$3220,4,FALSE), vlookup(B1736,Pop_Census_2023!$A$2:$E$3220,5,FALSE))</f>
        <v>68521</v>
      </c>
    </row>
    <row r="1737">
      <c r="A1737" s="47" t="s">
        <v>3200</v>
      </c>
      <c r="B1737" s="47">
        <v>37143.0</v>
      </c>
      <c r="C1737" s="47">
        <v>3.0</v>
      </c>
      <c r="D1737" s="47" t="s">
        <v>4044</v>
      </c>
      <c r="E1737" s="47" t="str">
        <f t="shared" si="1"/>
        <v>3A</v>
      </c>
      <c r="F1737" s="47" t="s">
        <v>4046</v>
      </c>
      <c r="G1737" s="47" t="s">
        <v>1373</v>
      </c>
      <c r="H1737" s="48">
        <f>IF(NOT(ISBLANK(vlookup(B1737,Pop_Census_2023!$A$2:$E$3220,4,FALSE))),vlookup(B1737,Pop_Census_2023!$A$2:$E$3220,4,FALSE), vlookup(B1737,Pop_Census_2023!$A$2:$E$3220,5,FALSE))</f>
        <v>13377</v>
      </c>
    </row>
    <row r="1738">
      <c r="A1738" s="47" t="s">
        <v>3200</v>
      </c>
      <c r="B1738" s="47">
        <v>37145.0</v>
      </c>
      <c r="C1738" s="47">
        <v>4.0</v>
      </c>
      <c r="D1738" s="47" t="s">
        <v>4044</v>
      </c>
      <c r="E1738" s="47" t="str">
        <f t="shared" si="1"/>
        <v>4A</v>
      </c>
      <c r="F1738" s="47" t="s">
        <v>4046</v>
      </c>
      <c r="G1738" s="47" t="s">
        <v>1374</v>
      </c>
      <c r="H1738" s="48">
        <f>IF(NOT(ISBLANK(vlookup(B1738,Pop_Census_2023!$A$2:$E$3220,4,FALSE))),vlookup(B1738,Pop_Census_2023!$A$2:$E$3220,4,FALSE), vlookup(B1738,Pop_Census_2023!$A$2:$E$3220,5,FALSE))</f>
        <v>39737</v>
      </c>
    </row>
    <row r="1739">
      <c r="A1739" s="47" t="s">
        <v>3200</v>
      </c>
      <c r="B1739" s="47">
        <v>37147.0</v>
      </c>
      <c r="C1739" s="47">
        <v>3.0</v>
      </c>
      <c r="D1739" s="47" t="s">
        <v>4044</v>
      </c>
      <c r="E1739" s="47" t="str">
        <f t="shared" si="1"/>
        <v>3A</v>
      </c>
      <c r="F1739" s="47" t="s">
        <v>4046</v>
      </c>
      <c r="G1739" s="47" t="s">
        <v>1375</v>
      </c>
      <c r="H1739" s="48">
        <f>IF(NOT(ISBLANK(vlookup(B1739,Pop_Census_2023!$A$2:$E$3220,4,FALSE))),vlookup(B1739,Pop_Census_2023!$A$2:$E$3220,4,FALSE), vlookup(B1739,Pop_Census_2023!$A$2:$E$3220,5,FALSE))</f>
        <v>175119</v>
      </c>
    </row>
    <row r="1740">
      <c r="A1740" s="47" t="s">
        <v>3200</v>
      </c>
      <c r="B1740" s="47">
        <v>37149.0</v>
      </c>
      <c r="C1740" s="47">
        <v>4.0</v>
      </c>
      <c r="D1740" s="47" t="s">
        <v>4044</v>
      </c>
      <c r="E1740" s="47" t="str">
        <f t="shared" si="1"/>
        <v>4A</v>
      </c>
      <c r="F1740" s="47" t="s">
        <v>4046</v>
      </c>
      <c r="G1740" s="47" t="s">
        <v>261</v>
      </c>
      <c r="H1740" s="48">
        <f>IF(NOT(ISBLANK(vlookup(B1740,Pop_Census_2023!$A$2:$E$3220,4,FALSE))),vlookup(B1740,Pop_Census_2023!$A$2:$E$3220,4,FALSE), vlookup(B1740,Pop_Census_2023!$A$2:$E$3220,5,FALSE))</f>
        <v>20060</v>
      </c>
    </row>
    <row r="1741">
      <c r="A1741" s="47" t="s">
        <v>3200</v>
      </c>
      <c r="B1741" s="47">
        <v>37151.0</v>
      </c>
      <c r="C1741" s="47">
        <v>3.0</v>
      </c>
      <c r="D1741" s="47" t="s">
        <v>4044</v>
      </c>
      <c r="E1741" s="47" t="str">
        <f t="shared" si="1"/>
        <v>3A</v>
      </c>
      <c r="F1741" s="47" t="s">
        <v>4046</v>
      </c>
      <c r="G1741" s="47" t="s">
        <v>158</v>
      </c>
      <c r="H1741" s="48">
        <f>IF(NOT(ISBLANK(vlookup(B1741,Pop_Census_2023!$A$2:$E$3220,4,FALSE))),vlookup(B1741,Pop_Census_2023!$A$2:$E$3220,4,FALSE), vlookup(B1741,Pop_Census_2023!$A$2:$E$3220,5,FALSE))</f>
        <v>147458</v>
      </c>
    </row>
    <row r="1742">
      <c r="A1742" s="47" t="s">
        <v>3200</v>
      </c>
      <c r="B1742" s="47">
        <v>37153.0</v>
      </c>
      <c r="C1742" s="47">
        <v>3.0</v>
      </c>
      <c r="D1742" s="47" t="s">
        <v>4044</v>
      </c>
      <c r="E1742" s="47" t="str">
        <f t="shared" si="1"/>
        <v>3A</v>
      </c>
      <c r="F1742" s="47" t="s">
        <v>4046</v>
      </c>
      <c r="G1742" s="47" t="s">
        <v>539</v>
      </c>
      <c r="H1742" s="48">
        <f>IF(NOT(ISBLANK(vlookup(B1742,Pop_Census_2023!$A$2:$E$3220,4,FALSE))),vlookup(B1742,Pop_Census_2023!$A$2:$E$3220,4,FALSE), vlookup(B1742,Pop_Census_2023!$A$2:$E$3220,5,FALSE))</f>
        <v>42324</v>
      </c>
    </row>
    <row r="1743">
      <c r="A1743" s="47" t="s">
        <v>3200</v>
      </c>
      <c r="B1743" s="47">
        <v>37155.0</v>
      </c>
      <c r="C1743" s="47">
        <v>3.0</v>
      </c>
      <c r="D1743" s="47" t="s">
        <v>4044</v>
      </c>
      <c r="E1743" s="47" t="str">
        <f t="shared" si="1"/>
        <v>3A</v>
      </c>
      <c r="F1743" s="47" t="s">
        <v>4046</v>
      </c>
      <c r="G1743" s="47" t="s">
        <v>1376</v>
      </c>
      <c r="H1743" s="48">
        <f>IF(NOT(ISBLANK(vlookup(B1743,Pop_Census_2023!$A$2:$E$3220,4,FALSE))),vlookup(B1743,Pop_Census_2023!$A$2:$E$3220,4,FALSE), vlookup(B1743,Pop_Census_2023!$A$2:$E$3220,5,FALSE))</f>
        <v>117365</v>
      </c>
    </row>
    <row r="1744">
      <c r="A1744" s="47" t="s">
        <v>3200</v>
      </c>
      <c r="B1744" s="47">
        <v>37157.0</v>
      </c>
      <c r="C1744" s="47">
        <v>4.0</v>
      </c>
      <c r="D1744" s="47" t="s">
        <v>4044</v>
      </c>
      <c r="E1744" s="47" t="str">
        <f t="shared" si="1"/>
        <v>4A</v>
      </c>
      <c r="F1744" s="47" t="s">
        <v>4046</v>
      </c>
      <c r="G1744" s="47" t="s">
        <v>1256</v>
      </c>
      <c r="H1744" s="48">
        <f>IF(NOT(ISBLANK(vlookup(B1744,Pop_Census_2023!$A$2:$E$3220,4,FALSE))),vlookup(B1744,Pop_Census_2023!$A$2:$E$3220,4,FALSE), vlookup(B1744,Pop_Census_2023!$A$2:$E$3220,5,FALSE))</f>
        <v>92518</v>
      </c>
    </row>
    <row r="1745">
      <c r="A1745" s="47" t="s">
        <v>3200</v>
      </c>
      <c r="B1745" s="47">
        <v>37159.0</v>
      </c>
      <c r="C1745" s="47">
        <v>3.0</v>
      </c>
      <c r="D1745" s="47" t="s">
        <v>4044</v>
      </c>
      <c r="E1745" s="47" t="str">
        <f t="shared" si="1"/>
        <v>3A</v>
      </c>
      <c r="F1745" s="47" t="s">
        <v>4046</v>
      </c>
      <c r="G1745" s="47" t="s">
        <v>868</v>
      </c>
      <c r="H1745" s="48">
        <f>IF(NOT(ISBLANK(vlookup(B1745,Pop_Census_2023!$A$2:$E$3220,4,FALSE))),vlookup(B1745,Pop_Census_2023!$A$2:$E$3220,4,FALSE), vlookup(B1745,Pop_Census_2023!$A$2:$E$3220,5,FALSE))</f>
        <v>151661</v>
      </c>
    </row>
    <row r="1746">
      <c r="A1746" s="47" t="s">
        <v>3200</v>
      </c>
      <c r="B1746" s="47">
        <v>37161.0</v>
      </c>
      <c r="C1746" s="47">
        <v>4.0</v>
      </c>
      <c r="D1746" s="47" t="s">
        <v>4044</v>
      </c>
      <c r="E1746" s="47" t="str">
        <f t="shared" si="1"/>
        <v>4A</v>
      </c>
      <c r="F1746" s="47" t="s">
        <v>4046</v>
      </c>
      <c r="G1746" s="47" t="s">
        <v>1377</v>
      </c>
      <c r="H1746" s="48">
        <f>IF(NOT(ISBLANK(vlookup(B1746,Pop_Census_2023!$A$2:$E$3220,4,FALSE))),vlookup(B1746,Pop_Census_2023!$A$2:$E$3220,4,FALSE), vlookup(B1746,Pop_Census_2023!$A$2:$E$3220,5,FALSE))</f>
        <v>65507</v>
      </c>
    </row>
    <row r="1747">
      <c r="A1747" s="47" t="s">
        <v>3200</v>
      </c>
      <c r="B1747" s="47">
        <v>37163.0</v>
      </c>
      <c r="C1747" s="47">
        <v>3.0</v>
      </c>
      <c r="D1747" s="47" t="s">
        <v>4044</v>
      </c>
      <c r="E1747" s="47" t="str">
        <f t="shared" si="1"/>
        <v>3A</v>
      </c>
      <c r="F1747" s="47" t="s">
        <v>4046</v>
      </c>
      <c r="G1747" s="47" t="s">
        <v>1378</v>
      </c>
      <c r="H1747" s="48">
        <f>IF(NOT(ISBLANK(vlookup(B1747,Pop_Census_2023!$A$2:$E$3220,4,FALSE))),vlookup(B1747,Pop_Census_2023!$A$2:$E$3220,4,FALSE), vlookup(B1747,Pop_Census_2023!$A$2:$E$3220,5,FALSE))</f>
        <v>59601</v>
      </c>
    </row>
    <row r="1748">
      <c r="A1748" s="47" t="s">
        <v>3200</v>
      </c>
      <c r="B1748" s="47">
        <v>37165.0</v>
      </c>
      <c r="C1748" s="47">
        <v>3.0</v>
      </c>
      <c r="D1748" s="47" t="s">
        <v>4044</v>
      </c>
      <c r="E1748" s="47" t="str">
        <f t="shared" si="1"/>
        <v>3A</v>
      </c>
      <c r="F1748" s="47" t="s">
        <v>4046</v>
      </c>
      <c r="G1748" s="47" t="s">
        <v>1155</v>
      </c>
      <c r="H1748" s="48">
        <f>IF(NOT(ISBLANK(vlookup(B1748,Pop_Census_2023!$A$2:$E$3220,4,FALSE))),vlookup(B1748,Pop_Census_2023!$A$2:$E$3220,4,FALSE), vlookup(B1748,Pop_Census_2023!$A$2:$E$3220,5,FALSE))</f>
        <v>34376</v>
      </c>
    </row>
    <row r="1749">
      <c r="A1749" s="47" t="s">
        <v>3200</v>
      </c>
      <c r="B1749" s="47">
        <v>37167.0</v>
      </c>
      <c r="C1749" s="47">
        <v>3.0</v>
      </c>
      <c r="D1749" s="47" t="s">
        <v>4044</v>
      </c>
      <c r="E1749" s="47" t="str">
        <f t="shared" si="1"/>
        <v>3A</v>
      </c>
      <c r="F1749" s="47" t="s">
        <v>4046</v>
      </c>
      <c r="G1749" s="47" t="s">
        <v>1379</v>
      </c>
      <c r="H1749" s="48">
        <f>IF(NOT(ISBLANK(vlookup(B1749,Pop_Census_2023!$A$2:$E$3220,4,FALSE))),vlookup(B1749,Pop_Census_2023!$A$2:$E$3220,4,FALSE), vlookup(B1749,Pop_Census_2023!$A$2:$E$3220,5,FALSE))</f>
        <v>65699</v>
      </c>
    </row>
    <row r="1750">
      <c r="A1750" s="47" t="s">
        <v>3200</v>
      </c>
      <c r="B1750" s="47">
        <v>37169.0</v>
      </c>
      <c r="C1750" s="47">
        <v>4.0</v>
      </c>
      <c r="D1750" s="47" t="s">
        <v>4044</v>
      </c>
      <c r="E1750" s="47" t="str">
        <f t="shared" si="1"/>
        <v>4A</v>
      </c>
      <c r="F1750" s="47" t="s">
        <v>4046</v>
      </c>
      <c r="G1750" s="47" t="s">
        <v>1380</v>
      </c>
      <c r="H1750" s="48">
        <f>IF(NOT(ISBLANK(vlookup(B1750,Pop_Census_2023!$A$2:$E$3220,4,FALSE))),vlookup(B1750,Pop_Census_2023!$A$2:$E$3220,4,FALSE), vlookup(B1750,Pop_Census_2023!$A$2:$E$3220,5,FALSE))</f>
        <v>45532</v>
      </c>
    </row>
    <row r="1751">
      <c r="A1751" s="47" t="s">
        <v>3200</v>
      </c>
      <c r="B1751" s="47">
        <v>37171.0</v>
      </c>
      <c r="C1751" s="47">
        <v>4.0</v>
      </c>
      <c r="D1751" s="47" t="s">
        <v>4044</v>
      </c>
      <c r="E1751" s="47" t="str">
        <f t="shared" si="1"/>
        <v>4A</v>
      </c>
      <c r="F1751" s="47" t="s">
        <v>4046</v>
      </c>
      <c r="G1751" s="47" t="s">
        <v>1381</v>
      </c>
      <c r="H1751" s="48">
        <f>IF(NOT(ISBLANK(vlookup(B1751,Pop_Census_2023!$A$2:$E$3220,4,FALSE))),vlookup(B1751,Pop_Census_2023!$A$2:$E$3220,4,FALSE), vlookup(B1751,Pop_Census_2023!$A$2:$E$3220,5,FALSE))</f>
        <v>71462</v>
      </c>
    </row>
    <row r="1752">
      <c r="A1752" s="47" t="s">
        <v>3200</v>
      </c>
      <c r="B1752" s="47">
        <v>37173.0</v>
      </c>
      <c r="C1752" s="47">
        <v>4.0</v>
      </c>
      <c r="D1752" s="47" t="s">
        <v>4044</v>
      </c>
      <c r="E1752" s="47" t="str">
        <f t="shared" si="1"/>
        <v>4A</v>
      </c>
      <c r="F1752" s="47" t="s">
        <v>4046</v>
      </c>
      <c r="G1752" s="47" t="s">
        <v>1382</v>
      </c>
      <c r="H1752" s="48">
        <f>IF(NOT(ISBLANK(vlookup(B1752,Pop_Census_2023!$A$2:$E$3220,4,FALSE))),vlookup(B1752,Pop_Census_2023!$A$2:$E$3220,4,FALSE), vlookup(B1752,Pop_Census_2023!$A$2:$E$3220,5,FALSE))</f>
        <v>13916</v>
      </c>
    </row>
    <row r="1753">
      <c r="A1753" s="47" t="s">
        <v>3200</v>
      </c>
      <c r="B1753" s="47">
        <v>37175.0</v>
      </c>
      <c r="C1753" s="47">
        <v>4.0</v>
      </c>
      <c r="D1753" s="47" t="s">
        <v>4044</v>
      </c>
      <c r="E1753" s="47" t="str">
        <f t="shared" si="1"/>
        <v>4A</v>
      </c>
      <c r="F1753" s="47" t="s">
        <v>4046</v>
      </c>
      <c r="G1753" s="47" t="s">
        <v>1383</v>
      </c>
      <c r="H1753" s="48">
        <f>IF(NOT(ISBLANK(vlookup(B1753,Pop_Census_2023!$A$2:$E$3220,4,FALSE))),vlookup(B1753,Pop_Census_2023!$A$2:$E$3220,4,FALSE), vlookup(B1753,Pop_Census_2023!$A$2:$E$3220,5,FALSE))</f>
        <v>33549</v>
      </c>
    </row>
    <row r="1754">
      <c r="A1754" s="47" t="s">
        <v>3200</v>
      </c>
      <c r="B1754" s="47">
        <v>37177.0</v>
      </c>
      <c r="C1754" s="47">
        <v>3.0</v>
      </c>
      <c r="D1754" s="47" t="s">
        <v>4044</v>
      </c>
      <c r="E1754" s="47" t="str">
        <f t="shared" si="1"/>
        <v>3A</v>
      </c>
      <c r="F1754" s="47" t="s">
        <v>4046</v>
      </c>
      <c r="G1754" s="47" t="s">
        <v>1384</v>
      </c>
      <c r="H1754" s="48">
        <f>IF(NOT(ISBLANK(vlookup(B1754,Pop_Census_2023!$A$2:$E$3220,4,FALSE))),vlookup(B1754,Pop_Census_2023!$A$2:$E$3220,4,FALSE), vlookup(B1754,Pop_Census_2023!$A$2:$E$3220,5,FALSE))</f>
        <v>3461</v>
      </c>
    </row>
    <row r="1755">
      <c r="A1755" s="47" t="s">
        <v>3200</v>
      </c>
      <c r="B1755" s="47">
        <v>37179.0</v>
      </c>
      <c r="C1755" s="47">
        <v>3.0</v>
      </c>
      <c r="D1755" s="47" t="s">
        <v>4044</v>
      </c>
      <c r="E1755" s="47" t="str">
        <f t="shared" si="1"/>
        <v>3A</v>
      </c>
      <c r="F1755" s="47" t="s">
        <v>4046</v>
      </c>
      <c r="G1755" s="47" t="s">
        <v>273</v>
      </c>
      <c r="H1755" s="48">
        <f>IF(NOT(ISBLANK(vlookup(B1755,Pop_Census_2023!$A$2:$E$3220,4,FALSE))),vlookup(B1755,Pop_Census_2023!$A$2:$E$3220,4,FALSE), vlookup(B1755,Pop_Census_2023!$A$2:$E$3220,5,FALSE))</f>
        <v>256452</v>
      </c>
    </row>
    <row r="1756">
      <c r="A1756" s="47" t="s">
        <v>3200</v>
      </c>
      <c r="B1756" s="47">
        <v>37181.0</v>
      </c>
      <c r="C1756" s="47">
        <v>4.0</v>
      </c>
      <c r="D1756" s="47" t="s">
        <v>4044</v>
      </c>
      <c r="E1756" s="47" t="str">
        <f t="shared" si="1"/>
        <v>4A</v>
      </c>
      <c r="F1756" s="47" t="s">
        <v>4046</v>
      </c>
      <c r="G1756" s="47" t="s">
        <v>1385</v>
      </c>
      <c r="H1756" s="48">
        <f>IF(NOT(ISBLANK(vlookup(B1756,Pop_Census_2023!$A$2:$E$3220,4,FALSE))),vlookup(B1756,Pop_Census_2023!$A$2:$E$3220,4,FALSE), vlookup(B1756,Pop_Census_2023!$A$2:$E$3220,5,FALSE))</f>
        <v>42301</v>
      </c>
    </row>
    <row r="1757">
      <c r="A1757" s="47" t="s">
        <v>3200</v>
      </c>
      <c r="B1757" s="47">
        <v>37183.0</v>
      </c>
      <c r="C1757" s="47">
        <v>4.0</v>
      </c>
      <c r="D1757" s="47" t="s">
        <v>4044</v>
      </c>
      <c r="E1757" s="47" t="str">
        <f t="shared" si="1"/>
        <v>4A</v>
      </c>
      <c r="F1757" s="47" t="s">
        <v>4046</v>
      </c>
      <c r="G1757" s="47" t="s">
        <v>1386</v>
      </c>
      <c r="H1757" s="48">
        <f>IF(NOT(ISBLANK(vlookup(B1757,Pop_Census_2023!$A$2:$E$3220,4,FALSE))),vlookup(B1757,Pop_Census_2023!$A$2:$E$3220,4,FALSE), vlookup(B1757,Pop_Census_2023!$A$2:$E$3220,5,FALSE))</f>
        <v>1190275</v>
      </c>
    </row>
    <row r="1758">
      <c r="A1758" s="47" t="s">
        <v>3200</v>
      </c>
      <c r="B1758" s="47">
        <v>37185.0</v>
      </c>
      <c r="C1758" s="47">
        <v>4.0</v>
      </c>
      <c r="D1758" s="47" t="s">
        <v>4044</v>
      </c>
      <c r="E1758" s="47" t="str">
        <f t="shared" si="1"/>
        <v>4A</v>
      </c>
      <c r="F1758" s="47" t="s">
        <v>4046</v>
      </c>
      <c r="G1758" s="47" t="s">
        <v>561</v>
      </c>
      <c r="H1758" s="48">
        <f>IF(NOT(ISBLANK(vlookup(B1758,Pop_Census_2023!$A$2:$E$3220,4,FALSE))),vlookup(B1758,Pop_Census_2023!$A$2:$E$3220,4,FALSE), vlookup(B1758,Pop_Census_2023!$A$2:$E$3220,5,FALSE))</f>
        <v>18836</v>
      </c>
    </row>
    <row r="1759">
      <c r="A1759" s="47" t="s">
        <v>3200</v>
      </c>
      <c r="B1759" s="47">
        <v>37187.0</v>
      </c>
      <c r="C1759" s="47">
        <v>3.0</v>
      </c>
      <c r="D1759" s="47" t="s">
        <v>4044</v>
      </c>
      <c r="E1759" s="47" t="str">
        <f t="shared" si="1"/>
        <v>3A</v>
      </c>
      <c r="F1759" s="47" t="s">
        <v>4046</v>
      </c>
      <c r="G1759" s="47" t="s">
        <v>167</v>
      </c>
      <c r="H1759" s="48">
        <f>IF(NOT(ISBLANK(vlookup(B1759,Pop_Census_2023!$A$2:$E$3220,4,FALSE))),vlookup(B1759,Pop_Census_2023!$A$2:$E$3220,4,FALSE), vlookup(B1759,Pop_Census_2023!$A$2:$E$3220,5,FALSE))</f>
        <v>10713</v>
      </c>
    </row>
    <row r="1760">
      <c r="A1760" s="47" t="s">
        <v>3200</v>
      </c>
      <c r="B1760" s="47">
        <v>37189.0</v>
      </c>
      <c r="C1760" s="47">
        <v>5.0</v>
      </c>
      <c r="D1760" s="47" t="s">
        <v>4044</v>
      </c>
      <c r="E1760" s="47" t="str">
        <f t="shared" si="1"/>
        <v>5A</v>
      </c>
      <c r="F1760" s="47" t="s">
        <v>4054</v>
      </c>
      <c r="G1760" s="47" t="s">
        <v>1387</v>
      </c>
      <c r="H1760" s="48">
        <f>IF(NOT(ISBLANK(vlookup(B1760,Pop_Census_2023!$A$2:$E$3220,4,FALSE))),vlookup(B1760,Pop_Census_2023!$A$2:$E$3220,4,FALSE), vlookup(B1760,Pop_Census_2023!$A$2:$E$3220,5,FALSE))</f>
        <v>54748</v>
      </c>
    </row>
    <row r="1761">
      <c r="A1761" s="47" t="s">
        <v>3200</v>
      </c>
      <c r="B1761" s="47">
        <v>37191.0</v>
      </c>
      <c r="C1761" s="47">
        <v>3.0</v>
      </c>
      <c r="D1761" s="47" t="s">
        <v>4044</v>
      </c>
      <c r="E1761" s="47" t="str">
        <f t="shared" si="1"/>
        <v>3A</v>
      </c>
      <c r="F1761" s="47" t="s">
        <v>4046</v>
      </c>
      <c r="G1761" s="47" t="s">
        <v>562</v>
      </c>
      <c r="H1761" s="48">
        <f>IF(NOT(ISBLANK(vlookup(B1761,Pop_Census_2023!$A$2:$E$3220,4,FALSE))),vlookup(B1761,Pop_Census_2023!$A$2:$E$3220,4,FALSE), vlookup(B1761,Pop_Census_2023!$A$2:$E$3220,5,FALSE))</f>
        <v>118686</v>
      </c>
    </row>
    <row r="1762">
      <c r="A1762" s="47" t="s">
        <v>3200</v>
      </c>
      <c r="B1762" s="47">
        <v>37193.0</v>
      </c>
      <c r="C1762" s="47">
        <v>4.0</v>
      </c>
      <c r="D1762" s="47" t="s">
        <v>4044</v>
      </c>
      <c r="E1762" s="47" t="str">
        <f t="shared" si="1"/>
        <v>4A</v>
      </c>
      <c r="F1762" s="47" t="s">
        <v>4046</v>
      </c>
      <c r="G1762" s="47" t="s">
        <v>566</v>
      </c>
      <c r="H1762" s="48">
        <f>IF(NOT(ISBLANK(vlookup(B1762,Pop_Census_2023!$A$2:$E$3220,4,FALSE))),vlookup(B1762,Pop_Census_2023!$A$2:$E$3220,4,FALSE), vlookup(B1762,Pop_Census_2023!$A$2:$E$3220,5,FALSE))</f>
        <v>66013</v>
      </c>
    </row>
    <row r="1763">
      <c r="A1763" s="47" t="s">
        <v>3200</v>
      </c>
      <c r="B1763" s="47">
        <v>37195.0</v>
      </c>
      <c r="C1763" s="47">
        <v>3.0</v>
      </c>
      <c r="D1763" s="47" t="s">
        <v>4044</v>
      </c>
      <c r="E1763" s="47" t="str">
        <f t="shared" si="1"/>
        <v>3A</v>
      </c>
      <c r="F1763" s="47" t="s">
        <v>4046</v>
      </c>
      <c r="G1763" s="47" t="s">
        <v>815</v>
      </c>
      <c r="H1763" s="48">
        <f>IF(NOT(ISBLANK(vlookup(B1763,Pop_Census_2023!$A$2:$E$3220,4,FALSE))),vlookup(B1763,Pop_Census_2023!$A$2:$E$3220,4,FALSE), vlookup(B1763,Pop_Census_2023!$A$2:$E$3220,5,FALSE))</f>
        <v>78970</v>
      </c>
    </row>
    <row r="1764">
      <c r="A1764" s="47" t="s">
        <v>3200</v>
      </c>
      <c r="B1764" s="47">
        <v>37197.0</v>
      </c>
      <c r="C1764" s="47">
        <v>4.0</v>
      </c>
      <c r="D1764" s="47" t="s">
        <v>4044</v>
      </c>
      <c r="E1764" s="47" t="str">
        <f t="shared" si="1"/>
        <v>4A</v>
      </c>
      <c r="F1764" s="47" t="s">
        <v>4046</v>
      </c>
      <c r="G1764" s="47" t="s">
        <v>1388</v>
      </c>
      <c r="H1764" s="48">
        <f>IF(NOT(ISBLANK(vlookup(B1764,Pop_Census_2023!$A$2:$E$3220,4,FALSE))),vlookup(B1764,Pop_Census_2023!$A$2:$E$3220,4,FALSE), vlookup(B1764,Pop_Census_2023!$A$2:$E$3220,5,FALSE))</f>
        <v>37774</v>
      </c>
    </row>
    <row r="1765">
      <c r="A1765" s="47" t="s">
        <v>3200</v>
      </c>
      <c r="B1765" s="47">
        <v>37199.0</v>
      </c>
      <c r="C1765" s="47">
        <v>5.0</v>
      </c>
      <c r="D1765" s="47" t="s">
        <v>4044</v>
      </c>
      <c r="E1765" s="47" t="str">
        <f t="shared" si="1"/>
        <v>5A</v>
      </c>
      <c r="F1765" s="47" t="s">
        <v>4054</v>
      </c>
      <c r="G1765" s="47" t="s">
        <v>1389</v>
      </c>
      <c r="H1765" s="48">
        <f>IF(NOT(ISBLANK(vlookup(B1765,Pop_Census_2023!$A$2:$E$3220,4,FALSE))),vlookup(B1765,Pop_Census_2023!$A$2:$E$3220,4,FALSE), vlookup(B1765,Pop_Census_2023!$A$2:$E$3220,5,FALSE))</f>
        <v>18938</v>
      </c>
    </row>
    <row r="1766">
      <c r="A1766" s="47" t="s">
        <v>3265</v>
      </c>
      <c r="B1766" s="47">
        <v>38001.0</v>
      </c>
      <c r="C1766" s="47">
        <v>6.0</v>
      </c>
      <c r="D1766" s="47" t="s">
        <v>4044</v>
      </c>
      <c r="E1766" s="47" t="str">
        <f t="shared" si="1"/>
        <v>6A</v>
      </c>
      <c r="F1766" s="47" t="s">
        <v>4054</v>
      </c>
      <c r="G1766" s="47" t="s">
        <v>338</v>
      </c>
      <c r="H1766" s="48">
        <f>IF(NOT(ISBLANK(vlookup(B1766,Pop_Census_2023!$A$2:$E$3220,4,FALSE))),vlookup(B1766,Pop_Census_2023!$A$2:$E$3220,4,FALSE), vlookup(B1766,Pop_Census_2023!$A$2:$E$3220,5,FALSE))</f>
        <v>2163</v>
      </c>
    </row>
    <row r="1767">
      <c r="A1767" s="47" t="s">
        <v>3265</v>
      </c>
      <c r="B1767" s="47">
        <v>38003.0</v>
      </c>
      <c r="C1767" s="47">
        <v>7.0</v>
      </c>
      <c r="D1767" s="47" t="s">
        <v>4014</v>
      </c>
      <c r="E1767" s="47">
        <f t="shared" si="1"/>
        <v>7</v>
      </c>
      <c r="F1767" s="47" t="s">
        <v>4015</v>
      </c>
      <c r="G1767" s="47" t="s">
        <v>1391</v>
      </c>
      <c r="H1767" s="48">
        <f>IF(NOT(ISBLANK(vlookup(B1767,Pop_Census_2023!$A$2:$E$3220,4,FALSE))),vlookup(B1767,Pop_Census_2023!$A$2:$E$3220,4,FALSE), vlookup(B1767,Pop_Census_2023!$A$2:$E$3220,5,FALSE))</f>
        <v>10726</v>
      </c>
    </row>
    <row r="1768">
      <c r="A1768" s="47" t="s">
        <v>3265</v>
      </c>
      <c r="B1768" s="47">
        <v>38005.0</v>
      </c>
      <c r="C1768" s="47">
        <v>7.0</v>
      </c>
      <c r="D1768" s="47" t="s">
        <v>4014</v>
      </c>
      <c r="E1768" s="47">
        <f t="shared" si="1"/>
        <v>7</v>
      </c>
      <c r="F1768" s="47" t="s">
        <v>4015</v>
      </c>
      <c r="G1768" s="47" t="s">
        <v>1392</v>
      </c>
      <c r="H1768" s="48">
        <f>IF(NOT(ISBLANK(vlookup(B1768,Pop_Census_2023!$A$2:$E$3220,4,FALSE))),vlookup(B1768,Pop_Census_2023!$A$2:$E$3220,4,FALSE), vlookup(B1768,Pop_Census_2023!$A$2:$E$3220,5,FALSE))</f>
        <v>5745</v>
      </c>
    </row>
    <row r="1769">
      <c r="A1769" s="47" t="s">
        <v>3265</v>
      </c>
      <c r="B1769" s="47">
        <v>38007.0</v>
      </c>
      <c r="C1769" s="47">
        <v>6.0</v>
      </c>
      <c r="D1769" s="47" t="s">
        <v>4044</v>
      </c>
      <c r="E1769" s="47" t="str">
        <f t="shared" si="1"/>
        <v>6A</v>
      </c>
      <c r="F1769" s="47" t="s">
        <v>4054</v>
      </c>
      <c r="G1769" s="47" t="s">
        <v>1393</v>
      </c>
      <c r="H1769" s="48">
        <f>IF(NOT(ISBLANK(vlookup(B1769,Pop_Census_2023!$A$2:$E$3220,4,FALSE))),vlookup(B1769,Pop_Census_2023!$A$2:$E$3220,4,FALSE), vlookup(B1769,Pop_Census_2023!$A$2:$E$3220,5,FALSE))</f>
        <v>1034</v>
      </c>
    </row>
    <row r="1770">
      <c r="A1770" s="47" t="s">
        <v>3265</v>
      </c>
      <c r="B1770" s="47">
        <v>38009.0</v>
      </c>
      <c r="C1770" s="47">
        <v>7.0</v>
      </c>
      <c r="D1770" s="47" t="s">
        <v>4014</v>
      </c>
      <c r="E1770" s="47">
        <f t="shared" si="1"/>
        <v>7</v>
      </c>
      <c r="F1770" s="47" t="s">
        <v>4015</v>
      </c>
      <c r="G1770" s="47" t="s">
        <v>1394</v>
      </c>
      <c r="H1770" s="48">
        <f>IF(NOT(ISBLANK(vlookup(B1770,Pop_Census_2023!$A$2:$E$3220,4,FALSE))),vlookup(B1770,Pop_Census_2023!$A$2:$E$3220,4,FALSE), vlookup(B1770,Pop_Census_2023!$A$2:$E$3220,5,FALSE))</f>
        <v>6349</v>
      </c>
    </row>
    <row r="1771">
      <c r="A1771" s="47" t="s">
        <v>3265</v>
      </c>
      <c r="B1771" s="47">
        <v>38011.0</v>
      </c>
      <c r="C1771" s="47">
        <v>6.0</v>
      </c>
      <c r="D1771" s="47" t="s">
        <v>4044</v>
      </c>
      <c r="E1771" s="47" t="str">
        <f t="shared" si="1"/>
        <v>6A</v>
      </c>
      <c r="F1771" s="47" t="s">
        <v>4054</v>
      </c>
      <c r="G1771" s="47" t="s">
        <v>1395</v>
      </c>
      <c r="H1771" s="48">
        <f>IF(NOT(ISBLANK(vlookup(B1771,Pop_Census_2023!$A$2:$E$3220,4,FALSE))),vlookup(B1771,Pop_Census_2023!$A$2:$E$3220,4,FALSE), vlookup(B1771,Pop_Census_2023!$A$2:$E$3220,5,FALSE))</f>
        <v>2867</v>
      </c>
    </row>
    <row r="1772">
      <c r="A1772" s="47" t="s">
        <v>3265</v>
      </c>
      <c r="B1772" s="47">
        <v>38013.0</v>
      </c>
      <c r="C1772" s="47">
        <v>7.0</v>
      </c>
      <c r="D1772" s="47" t="s">
        <v>4014</v>
      </c>
      <c r="E1772" s="47">
        <f t="shared" si="1"/>
        <v>7</v>
      </c>
      <c r="F1772" s="47" t="s">
        <v>4015</v>
      </c>
      <c r="G1772" s="47" t="s">
        <v>474</v>
      </c>
      <c r="H1772" s="48">
        <f>IF(NOT(ISBLANK(vlookup(B1772,Pop_Census_2023!$A$2:$E$3220,4,FALSE))),vlookup(B1772,Pop_Census_2023!$A$2:$E$3220,4,FALSE), vlookup(B1772,Pop_Census_2023!$A$2:$E$3220,5,FALSE))</f>
        <v>2134</v>
      </c>
    </row>
    <row r="1773">
      <c r="A1773" s="47" t="s">
        <v>3265</v>
      </c>
      <c r="B1773" s="47">
        <v>38015.0</v>
      </c>
      <c r="C1773" s="47">
        <v>6.0</v>
      </c>
      <c r="D1773" s="47" t="s">
        <v>4044</v>
      </c>
      <c r="E1773" s="47" t="str">
        <f t="shared" si="1"/>
        <v>6A</v>
      </c>
      <c r="F1773" s="47" t="s">
        <v>4054</v>
      </c>
      <c r="G1773" s="47" t="s">
        <v>1396</v>
      </c>
      <c r="H1773" s="48">
        <f>IF(NOT(ISBLANK(vlookup(B1773,Pop_Census_2023!$A$2:$E$3220,4,FALSE))),vlookup(B1773,Pop_Census_2023!$A$2:$E$3220,4,FALSE), vlookup(B1773,Pop_Census_2023!$A$2:$E$3220,5,FALSE))</f>
        <v>100012</v>
      </c>
    </row>
    <row r="1774">
      <c r="A1774" s="47" t="s">
        <v>3265</v>
      </c>
      <c r="B1774" s="47">
        <v>38017.0</v>
      </c>
      <c r="C1774" s="47">
        <v>7.0</v>
      </c>
      <c r="D1774" s="47" t="s">
        <v>4014</v>
      </c>
      <c r="E1774" s="47">
        <f t="shared" si="1"/>
        <v>7</v>
      </c>
      <c r="F1774" s="47" t="s">
        <v>4015</v>
      </c>
      <c r="G1774" s="47" t="s">
        <v>613</v>
      </c>
      <c r="H1774" s="48">
        <f>IF(NOT(ISBLANK(vlookup(B1774,Pop_Census_2023!$A$2:$E$3220,4,FALSE))),vlookup(B1774,Pop_Census_2023!$A$2:$E$3220,4,FALSE), vlookup(B1774,Pop_Census_2023!$A$2:$E$3220,5,FALSE))</f>
        <v>196362</v>
      </c>
    </row>
    <row r="1775">
      <c r="A1775" s="47" t="s">
        <v>3265</v>
      </c>
      <c r="B1775" s="47">
        <v>38019.0</v>
      </c>
      <c r="C1775" s="47">
        <v>7.0</v>
      </c>
      <c r="D1775" s="47" t="s">
        <v>4014</v>
      </c>
      <c r="E1775" s="47">
        <f t="shared" si="1"/>
        <v>7</v>
      </c>
      <c r="F1775" s="47" t="s">
        <v>4015</v>
      </c>
      <c r="G1775" s="47" t="s">
        <v>1397</v>
      </c>
      <c r="H1775" s="48">
        <f>IF(NOT(ISBLANK(vlookup(B1775,Pop_Census_2023!$A$2:$E$3220,4,FALSE))),vlookup(B1775,Pop_Census_2023!$A$2:$E$3220,4,FALSE), vlookup(B1775,Pop_Census_2023!$A$2:$E$3220,5,FALSE))</f>
        <v>3596</v>
      </c>
    </row>
    <row r="1776">
      <c r="A1776" s="47" t="s">
        <v>3265</v>
      </c>
      <c r="B1776" s="47">
        <v>38021.0</v>
      </c>
      <c r="C1776" s="47">
        <v>6.0</v>
      </c>
      <c r="D1776" s="47" t="s">
        <v>4044</v>
      </c>
      <c r="E1776" s="47" t="str">
        <f t="shared" si="1"/>
        <v>6A</v>
      </c>
      <c r="F1776" s="47" t="s">
        <v>4054</v>
      </c>
      <c r="G1776" s="47" t="s">
        <v>1398</v>
      </c>
      <c r="H1776" s="48">
        <f>IF(NOT(ISBLANK(vlookup(B1776,Pop_Census_2023!$A$2:$E$3220,4,FALSE))),vlookup(B1776,Pop_Census_2023!$A$2:$E$3220,4,FALSE), vlookup(B1776,Pop_Census_2023!$A$2:$E$3220,5,FALSE))</f>
        <v>4900</v>
      </c>
    </row>
    <row r="1777">
      <c r="A1777" s="47" t="s">
        <v>3265</v>
      </c>
      <c r="B1777" s="47">
        <v>38023.0</v>
      </c>
      <c r="C1777" s="47">
        <v>7.0</v>
      </c>
      <c r="D1777" s="47" t="s">
        <v>4014</v>
      </c>
      <c r="E1777" s="47">
        <f t="shared" si="1"/>
        <v>7</v>
      </c>
      <c r="F1777" s="47" t="s">
        <v>4015</v>
      </c>
      <c r="G1777" s="47" t="s">
        <v>1399</v>
      </c>
      <c r="H1777" s="48">
        <f>IF(NOT(ISBLANK(vlookup(B1777,Pop_Census_2023!$A$2:$E$3220,4,FALSE))),vlookup(B1777,Pop_Census_2023!$A$2:$E$3220,4,FALSE), vlookup(B1777,Pop_Census_2023!$A$2:$E$3220,5,FALSE))</f>
        <v>2135</v>
      </c>
    </row>
    <row r="1778">
      <c r="A1778" s="47" t="s">
        <v>3265</v>
      </c>
      <c r="B1778" s="47">
        <v>38025.0</v>
      </c>
      <c r="C1778" s="47">
        <v>6.0</v>
      </c>
      <c r="D1778" s="47" t="s">
        <v>4044</v>
      </c>
      <c r="E1778" s="47" t="str">
        <f t="shared" si="1"/>
        <v>6A</v>
      </c>
      <c r="F1778" s="47" t="s">
        <v>4054</v>
      </c>
      <c r="G1778" s="47" t="s">
        <v>1400</v>
      </c>
      <c r="H1778" s="48">
        <f>IF(NOT(ISBLANK(vlookup(B1778,Pop_Census_2023!$A$2:$E$3220,4,FALSE))),vlookup(B1778,Pop_Census_2023!$A$2:$E$3220,4,FALSE), vlookup(B1778,Pop_Census_2023!$A$2:$E$3220,5,FALSE))</f>
        <v>4019</v>
      </c>
    </row>
    <row r="1779">
      <c r="A1779" s="47" t="s">
        <v>3265</v>
      </c>
      <c r="B1779" s="47">
        <v>38027.0</v>
      </c>
      <c r="C1779" s="47">
        <v>7.0</v>
      </c>
      <c r="D1779" s="47" t="s">
        <v>4014</v>
      </c>
      <c r="E1779" s="47">
        <f t="shared" si="1"/>
        <v>7</v>
      </c>
      <c r="F1779" s="47" t="s">
        <v>4015</v>
      </c>
      <c r="G1779" s="47" t="s">
        <v>1278</v>
      </c>
      <c r="H1779" s="48">
        <f>IF(NOT(ISBLANK(vlookup(B1779,Pop_Census_2023!$A$2:$E$3220,4,FALSE))),vlookup(B1779,Pop_Census_2023!$A$2:$E$3220,4,FALSE), vlookup(B1779,Pop_Census_2023!$A$2:$E$3220,5,FALSE))</f>
        <v>2263</v>
      </c>
    </row>
    <row r="1780">
      <c r="A1780" s="47" t="s">
        <v>3265</v>
      </c>
      <c r="B1780" s="47">
        <v>38029.0</v>
      </c>
      <c r="C1780" s="47">
        <v>6.0</v>
      </c>
      <c r="D1780" s="47" t="s">
        <v>4044</v>
      </c>
      <c r="E1780" s="47" t="str">
        <f t="shared" si="1"/>
        <v>6A</v>
      </c>
      <c r="F1780" s="47" t="s">
        <v>4054</v>
      </c>
      <c r="G1780" s="47" t="s">
        <v>1401</v>
      </c>
      <c r="H1780" s="48">
        <f>IF(NOT(ISBLANK(vlookup(B1780,Pop_Census_2023!$A$2:$E$3220,4,FALSE))),vlookup(B1780,Pop_Census_2023!$A$2:$E$3220,4,FALSE), vlookup(B1780,Pop_Census_2023!$A$2:$E$3220,5,FALSE))</f>
        <v>3224</v>
      </c>
    </row>
    <row r="1781">
      <c r="A1781" s="47" t="s">
        <v>3265</v>
      </c>
      <c r="B1781" s="47">
        <v>38031.0</v>
      </c>
      <c r="C1781" s="47">
        <v>7.0</v>
      </c>
      <c r="D1781" s="47" t="s">
        <v>4014</v>
      </c>
      <c r="E1781" s="47">
        <f t="shared" si="1"/>
        <v>7</v>
      </c>
      <c r="F1781" s="47" t="s">
        <v>4015</v>
      </c>
      <c r="G1781" s="47" t="s">
        <v>1402</v>
      </c>
      <c r="H1781" s="48">
        <f>IF(NOT(ISBLANK(vlookup(B1781,Pop_Census_2023!$A$2:$E$3220,4,FALSE))),vlookup(B1781,Pop_Census_2023!$A$2:$E$3220,4,FALSE), vlookup(B1781,Pop_Census_2023!$A$2:$E$3220,5,FALSE))</f>
        <v>3309</v>
      </c>
    </row>
    <row r="1782">
      <c r="A1782" s="47" t="s">
        <v>3265</v>
      </c>
      <c r="B1782" s="47">
        <v>38033.0</v>
      </c>
      <c r="C1782" s="47">
        <v>6.0</v>
      </c>
      <c r="D1782" s="47" t="s">
        <v>4044</v>
      </c>
      <c r="E1782" s="47" t="str">
        <f t="shared" si="1"/>
        <v>6A</v>
      </c>
      <c r="F1782" s="47" t="s">
        <v>4054</v>
      </c>
      <c r="G1782" s="47" t="s">
        <v>1174</v>
      </c>
      <c r="H1782" s="48">
        <f>IF(NOT(ISBLANK(vlookup(B1782,Pop_Census_2023!$A$2:$E$3220,4,FALSE))),vlookup(B1782,Pop_Census_2023!$A$2:$E$3220,4,FALSE), vlookup(B1782,Pop_Census_2023!$A$2:$E$3220,5,FALSE))</f>
        <v>1743</v>
      </c>
    </row>
    <row r="1783">
      <c r="A1783" s="47" t="s">
        <v>3265</v>
      </c>
      <c r="B1783" s="47">
        <v>38035.0</v>
      </c>
      <c r="C1783" s="47">
        <v>7.0</v>
      </c>
      <c r="D1783" s="47" t="s">
        <v>4014</v>
      </c>
      <c r="E1783" s="47">
        <f t="shared" si="1"/>
        <v>7</v>
      </c>
      <c r="F1783" s="47" t="s">
        <v>4015</v>
      </c>
      <c r="G1783" s="47" t="s">
        <v>1403</v>
      </c>
      <c r="H1783" s="48">
        <f>IF(NOT(ISBLANK(vlookup(B1783,Pop_Census_2023!$A$2:$E$3220,4,FALSE))),vlookup(B1783,Pop_Census_2023!$A$2:$E$3220,4,FALSE), vlookup(B1783,Pop_Census_2023!$A$2:$E$3220,5,FALSE))</f>
        <v>72708</v>
      </c>
    </row>
    <row r="1784">
      <c r="A1784" s="47" t="s">
        <v>3265</v>
      </c>
      <c r="B1784" s="47">
        <v>38037.0</v>
      </c>
      <c r="C1784" s="47">
        <v>6.0</v>
      </c>
      <c r="D1784" s="47" t="s">
        <v>4044</v>
      </c>
      <c r="E1784" s="47" t="str">
        <f t="shared" si="1"/>
        <v>6A</v>
      </c>
      <c r="F1784" s="47" t="s">
        <v>4054</v>
      </c>
      <c r="G1784" s="47" t="s">
        <v>242</v>
      </c>
      <c r="H1784" s="48">
        <f>IF(NOT(ISBLANK(vlookup(B1784,Pop_Census_2023!$A$2:$E$3220,4,FALSE))),vlookup(B1784,Pop_Census_2023!$A$2:$E$3220,4,FALSE), vlookup(B1784,Pop_Census_2023!$A$2:$E$3220,5,FALSE))</f>
        <v>2215</v>
      </c>
    </row>
    <row r="1785">
      <c r="A1785" s="47" t="s">
        <v>3265</v>
      </c>
      <c r="B1785" s="47">
        <v>38039.0</v>
      </c>
      <c r="C1785" s="47">
        <v>7.0</v>
      </c>
      <c r="D1785" s="47" t="s">
        <v>4014</v>
      </c>
      <c r="E1785" s="47">
        <f t="shared" si="1"/>
        <v>7</v>
      </c>
      <c r="F1785" s="47" t="s">
        <v>4015</v>
      </c>
      <c r="G1785" s="47" t="s">
        <v>1404</v>
      </c>
      <c r="H1785" s="48">
        <f>IF(NOT(ISBLANK(vlookup(B1785,Pop_Census_2023!$A$2:$E$3220,4,FALSE))),vlookup(B1785,Pop_Census_2023!$A$2:$E$3220,4,FALSE), vlookup(B1785,Pop_Census_2023!$A$2:$E$3220,5,FALSE))</f>
        <v>2248</v>
      </c>
    </row>
    <row r="1786">
      <c r="A1786" s="47" t="s">
        <v>3265</v>
      </c>
      <c r="B1786" s="47">
        <v>38041.0</v>
      </c>
      <c r="C1786" s="47">
        <v>6.0</v>
      </c>
      <c r="D1786" s="47" t="s">
        <v>4044</v>
      </c>
      <c r="E1786" s="47" t="str">
        <f t="shared" si="1"/>
        <v>6A</v>
      </c>
      <c r="F1786" s="47" t="s">
        <v>4054</v>
      </c>
      <c r="G1786" s="47" t="s">
        <v>1405</v>
      </c>
      <c r="H1786" s="48">
        <f>IF(NOT(ISBLANK(vlookup(B1786,Pop_Census_2023!$A$2:$E$3220,4,FALSE))),vlookup(B1786,Pop_Census_2023!$A$2:$E$3220,4,FALSE), vlookup(B1786,Pop_Census_2023!$A$2:$E$3220,5,FALSE))</f>
        <v>2415</v>
      </c>
    </row>
    <row r="1787">
      <c r="A1787" s="47" t="s">
        <v>3265</v>
      </c>
      <c r="B1787" s="47">
        <v>38043.0</v>
      </c>
      <c r="C1787" s="47">
        <v>7.0</v>
      </c>
      <c r="D1787" s="47" t="s">
        <v>4014</v>
      </c>
      <c r="E1787" s="47">
        <f t="shared" si="1"/>
        <v>7</v>
      </c>
      <c r="F1787" s="47" t="s">
        <v>4015</v>
      </c>
      <c r="G1787" s="47" t="s">
        <v>1406</v>
      </c>
      <c r="H1787" s="48">
        <f>IF(NOT(ISBLANK(vlookup(B1787,Pop_Census_2023!$A$2:$E$3220,4,FALSE))),vlookup(B1787,Pop_Census_2023!$A$2:$E$3220,4,FALSE), vlookup(B1787,Pop_Census_2023!$A$2:$E$3220,5,FALSE))</f>
        <v>2342</v>
      </c>
    </row>
    <row r="1788">
      <c r="A1788" s="47" t="s">
        <v>3265</v>
      </c>
      <c r="B1788" s="47">
        <v>38045.0</v>
      </c>
      <c r="C1788" s="47">
        <v>6.0</v>
      </c>
      <c r="D1788" s="47" t="s">
        <v>4044</v>
      </c>
      <c r="E1788" s="47" t="str">
        <f t="shared" si="1"/>
        <v>6A</v>
      </c>
      <c r="F1788" s="47" t="s">
        <v>4054</v>
      </c>
      <c r="G1788" s="47" t="s">
        <v>1407</v>
      </c>
      <c r="H1788" s="48">
        <f>IF(NOT(ISBLANK(vlookup(B1788,Pop_Census_2023!$A$2:$E$3220,4,FALSE))),vlookup(B1788,Pop_Census_2023!$A$2:$E$3220,4,FALSE), vlookup(B1788,Pop_Census_2023!$A$2:$E$3220,5,FALSE))</f>
        <v>4096</v>
      </c>
    </row>
    <row r="1789">
      <c r="A1789" s="47" t="s">
        <v>3265</v>
      </c>
      <c r="B1789" s="47">
        <v>38047.0</v>
      </c>
      <c r="C1789" s="47">
        <v>6.0</v>
      </c>
      <c r="D1789" s="47" t="s">
        <v>4044</v>
      </c>
      <c r="E1789" s="47" t="str">
        <f t="shared" si="1"/>
        <v>6A</v>
      </c>
      <c r="F1789" s="47" t="s">
        <v>4054</v>
      </c>
      <c r="G1789" s="47" t="s">
        <v>252</v>
      </c>
      <c r="H1789" s="48">
        <f>IF(NOT(ISBLANK(vlookup(B1789,Pop_Census_2023!$A$2:$E$3220,4,FALSE))),vlookup(B1789,Pop_Census_2023!$A$2:$E$3220,4,FALSE), vlookup(B1789,Pop_Census_2023!$A$2:$E$3220,5,FALSE))</f>
        <v>1869</v>
      </c>
    </row>
    <row r="1790">
      <c r="A1790" s="47" t="s">
        <v>3265</v>
      </c>
      <c r="B1790" s="47">
        <v>38049.0</v>
      </c>
      <c r="C1790" s="47">
        <v>7.0</v>
      </c>
      <c r="D1790" s="47" t="s">
        <v>4014</v>
      </c>
      <c r="E1790" s="47">
        <f t="shared" si="1"/>
        <v>7</v>
      </c>
      <c r="F1790" s="47" t="s">
        <v>4015</v>
      </c>
      <c r="G1790" s="47" t="s">
        <v>638</v>
      </c>
      <c r="H1790" s="48">
        <f>IF(NOT(ISBLANK(vlookup(B1790,Pop_Census_2023!$A$2:$E$3220,4,FALSE))),vlookup(B1790,Pop_Census_2023!$A$2:$E$3220,4,FALSE), vlookup(B1790,Pop_Census_2023!$A$2:$E$3220,5,FALSE))</f>
        <v>5131</v>
      </c>
    </row>
    <row r="1791">
      <c r="A1791" s="47" t="s">
        <v>3265</v>
      </c>
      <c r="B1791" s="47">
        <v>38051.0</v>
      </c>
      <c r="C1791" s="47">
        <v>6.0</v>
      </c>
      <c r="D1791" s="47" t="s">
        <v>4044</v>
      </c>
      <c r="E1791" s="47" t="str">
        <f t="shared" si="1"/>
        <v>6A</v>
      </c>
      <c r="F1791" s="47" t="s">
        <v>4054</v>
      </c>
      <c r="G1791" s="47" t="s">
        <v>527</v>
      </c>
      <c r="H1791" s="48">
        <f>IF(NOT(ISBLANK(vlookup(B1791,Pop_Census_2023!$A$2:$E$3220,4,FALSE))),vlookup(B1791,Pop_Census_2023!$A$2:$E$3220,4,FALSE), vlookup(B1791,Pop_Census_2023!$A$2:$E$3220,5,FALSE))</f>
        <v>2488</v>
      </c>
    </row>
    <row r="1792">
      <c r="A1792" s="47" t="s">
        <v>3265</v>
      </c>
      <c r="B1792" s="47">
        <v>38053.0</v>
      </c>
      <c r="C1792" s="47">
        <v>6.0</v>
      </c>
      <c r="D1792" s="47" t="s">
        <v>4044</v>
      </c>
      <c r="E1792" s="47" t="str">
        <f t="shared" si="1"/>
        <v>6A</v>
      </c>
      <c r="F1792" s="47" t="s">
        <v>4054</v>
      </c>
      <c r="G1792" s="47" t="s">
        <v>1408</v>
      </c>
      <c r="H1792" s="48">
        <f>IF(NOT(ISBLANK(vlookup(B1792,Pop_Census_2023!$A$2:$E$3220,4,FALSE))),vlookup(B1792,Pop_Census_2023!$A$2:$E$3220,4,FALSE), vlookup(B1792,Pop_Census_2023!$A$2:$E$3220,5,FALSE))</f>
        <v>14252</v>
      </c>
    </row>
    <row r="1793">
      <c r="A1793" s="47" t="s">
        <v>3265</v>
      </c>
      <c r="B1793" s="47">
        <v>38055.0</v>
      </c>
      <c r="C1793" s="47">
        <v>7.0</v>
      </c>
      <c r="D1793" s="47" t="s">
        <v>4014</v>
      </c>
      <c r="E1793" s="47">
        <f t="shared" si="1"/>
        <v>7</v>
      </c>
      <c r="F1793" s="47" t="s">
        <v>4015</v>
      </c>
      <c r="G1793" s="47" t="s">
        <v>639</v>
      </c>
      <c r="H1793" s="48">
        <f>IF(NOT(ISBLANK(vlookup(B1793,Pop_Census_2023!$A$2:$E$3220,4,FALSE))),vlookup(B1793,Pop_Census_2023!$A$2:$E$3220,4,FALSE), vlookup(B1793,Pop_Census_2023!$A$2:$E$3220,5,FALSE))</f>
        <v>9832</v>
      </c>
    </row>
    <row r="1794">
      <c r="A1794" s="47" t="s">
        <v>3265</v>
      </c>
      <c r="B1794" s="47">
        <v>38057.0</v>
      </c>
      <c r="C1794" s="47">
        <v>6.0</v>
      </c>
      <c r="D1794" s="47" t="s">
        <v>4044</v>
      </c>
      <c r="E1794" s="47" t="str">
        <f t="shared" si="1"/>
        <v>6A</v>
      </c>
      <c r="F1794" s="47" t="s">
        <v>4054</v>
      </c>
      <c r="G1794" s="47" t="s">
        <v>644</v>
      </c>
      <c r="H1794" s="48">
        <f>IF(NOT(ISBLANK(vlookup(B1794,Pop_Census_2023!$A$2:$E$3220,4,FALSE))),vlookup(B1794,Pop_Census_2023!$A$2:$E$3220,4,FALSE), vlookup(B1794,Pop_Census_2023!$A$2:$E$3220,5,FALSE))</f>
        <v>8309</v>
      </c>
    </row>
    <row r="1795">
      <c r="A1795" s="47" t="s">
        <v>3265</v>
      </c>
      <c r="B1795" s="47">
        <v>38059.0</v>
      </c>
      <c r="C1795" s="47">
        <v>6.0</v>
      </c>
      <c r="D1795" s="47" t="s">
        <v>4044</v>
      </c>
      <c r="E1795" s="47" t="str">
        <f t="shared" si="1"/>
        <v>6A</v>
      </c>
      <c r="F1795" s="47" t="s">
        <v>4054</v>
      </c>
      <c r="G1795" s="47" t="s">
        <v>785</v>
      </c>
      <c r="H1795" s="48">
        <f>IF(NOT(ISBLANK(vlookup(B1795,Pop_Census_2023!$A$2:$E$3220,4,FALSE))),vlookup(B1795,Pop_Census_2023!$A$2:$E$3220,4,FALSE), vlookup(B1795,Pop_Census_2023!$A$2:$E$3220,5,FALSE))</f>
        <v>33895</v>
      </c>
    </row>
    <row r="1796">
      <c r="A1796" s="47" t="s">
        <v>3265</v>
      </c>
      <c r="B1796" s="47">
        <v>38061.0</v>
      </c>
      <c r="C1796" s="47">
        <v>7.0</v>
      </c>
      <c r="D1796" s="47" t="s">
        <v>4014</v>
      </c>
      <c r="E1796" s="47">
        <f t="shared" si="1"/>
        <v>7</v>
      </c>
      <c r="F1796" s="47" t="s">
        <v>4015</v>
      </c>
      <c r="G1796" s="47" t="s">
        <v>1409</v>
      </c>
      <c r="H1796" s="48">
        <f>IF(NOT(ISBLANK(vlookup(B1796,Pop_Census_2023!$A$2:$E$3220,4,FALSE))),vlookup(B1796,Pop_Census_2023!$A$2:$E$3220,4,FALSE), vlookup(B1796,Pop_Census_2023!$A$2:$E$3220,5,FALSE))</f>
        <v>9383</v>
      </c>
    </row>
    <row r="1797">
      <c r="A1797" s="47" t="s">
        <v>3265</v>
      </c>
      <c r="B1797" s="47">
        <v>38063.0</v>
      </c>
      <c r="C1797" s="47">
        <v>7.0</v>
      </c>
      <c r="D1797" s="47" t="s">
        <v>4014</v>
      </c>
      <c r="E1797" s="47">
        <f t="shared" si="1"/>
        <v>7</v>
      </c>
      <c r="F1797" s="47" t="s">
        <v>4015</v>
      </c>
      <c r="G1797" s="47" t="s">
        <v>860</v>
      </c>
      <c r="H1797" s="48">
        <f>IF(NOT(ISBLANK(vlookup(B1797,Pop_Census_2023!$A$2:$E$3220,4,FALSE))),vlookup(B1797,Pop_Census_2023!$A$2:$E$3220,4,FALSE), vlookup(B1797,Pop_Census_2023!$A$2:$E$3220,5,FALSE))</f>
        <v>2991</v>
      </c>
    </row>
    <row r="1798">
      <c r="A1798" s="47" t="s">
        <v>3265</v>
      </c>
      <c r="B1798" s="47">
        <v>38065.0</v>
      </c>
      <c r="C1798" s="47">
        <v>6.0</v>
      </c>
      <c r="D1798" s="47" t="s">
        <v>4044</v>
      </c>
      <c r="E1798" s="47" t="str">
        <f t="shared" si="1"/>
        <v>6A</v>
      </c>
      <c r="F1798" s="47" t="s">
        <v>4054</v>
      </c>
      <c r="G1798" s="47" t="s">
        <v>1410</v>
      </c>
      <c r="H1798" s="48">
        <f>IF(NOT(ISBLANK(vlookup(B1798,Pop_Census_2023!$A$2:$E$3220,4,FALSE))),vlookup(B1798,Pop_Census_2023!$A$2:$E$3220,4,FALSE), vlookup(B1798,Pop_Census_2023!$A$2:$E$3220,5,FALSE))</f>
        <v>1879</v>
      </c>
    </row>
    <row r="1799">
      <c r="A1799" s="47" t="s">
        <v>3265</v>
      </c>
      <c r="B1799" s="47">
        <v>38067.0</v>
      </c>
      <c r="C1799" s="47">
        <v>7.0</v>
      </c>
      <c r="D1799" s="47" t="s">
        <v>4014</v>
      </c>
      <c r="E1799" s="47">
        <f t="shared" si="1"/>
        <v>7</v>
      </c>
      <c r="F1799" s="47" t="s">
        <v>4015</v>
      </c>
      <c r="G1799" s="47" t="s">
        <v>1411</v>
      </c>
      <c r="H1799" s="48">
        <f>IF(NOT(ISBLANK(vlookup(B1799,Pop_Census_2023!$A$2:$E$3220,4,FALSE))),vlookup(B1799,Pop_Census_2023!$A$2:$E$3220,4,FALSE), vlookup(B1799,Pop_Census_2023!$A$2:$E$3220,5,FALSE))</f>
        <v>6661</v>
      </c>
    </row>
    <row r="1800">
      <c r="A1800" s="47" t="s">
        <v>3265</v>
      </c>
      <c r="B1800" s="47">
        <v>38069.0</v>
      </c>
      <c r="C1800" s="47">
        <v>7.0</v>
      </c>
      <c r="D1800" s="47" t="s">
        <v>4014</v>
      </c>
      <c r="E1800" s="47">
        <f t="shared" si="1"/>
        <v>7</v>
      </c>
      <c r="F1800" s="47" t="s">
        <v>4015</v>
      </c>
      <c r="G1800" s="47" t="s">
        <v>536</v>
      </c>
      <c r="H1800" s="48">
        <f>IF(NOT(ISBLANK(vlookup(B1800,Pop_Census_2023!$A$2:$E$3220,4,FALSE))),vlookup(B1800,Pop_Census_2023!$A$2:$E$3220,4,FALSE), vlookup(B1800,Pop_Census_2023!$A$2:$E$3220,5,FALSE))</f>
        <v>3902</v>
      </c>
    </row>
    <row r="1801">
      <c r="A1801" s="47" t="s">
        <v>3265</v>
      </c>
      <c r="B1801" s="47">
        <v>38071.0</v>
      </c>
      <c r="C1801" s="47">
        <v>7.0</v>
      </c>
      <c r="D1801" s="47" t="s">
        <v>4014</v>
      </c>
      <c r="E1801" s="47">
        <f t="shared" si="1"/>
        <v>7</v>
      </c>
      <c r="F1801" s="47" t="s">
        <v>4015</v>
      </c>
      <c r="G1801" s="47" t="s">
        <v>1067</v>
      </c>
      <c r="H1801" s="48">
        <f>IF(NOT(ISBLANK(vlookup(B1801,Pop_Census_2023!$A$2:$E$3220,4,FALSE))),vlookup(B1801,Pop_Census_2023!$A$2:$E$3220,4,FALSE), vlookup(B1801,Pop_Census_2023!$A$2:$E$3220,5,FALSE))</f>
        <v>11463</v>
      </c>
    </row>
    <row r="1802">
      <c r="A1802" s="47" t="s">
        <v>3265</v>
      </c>
      <c r="B1802" s="47">
        <v>38073.0</v>
      </c>
      <c r="C1802" s="47">
        <v>6.0</v>
      </c>
      <c r="D1802" s="47" t="s">
        <v>4044</v>
      </c>
      <c r="E1802" s="47" t="str">
        <f t="shared" si="1"/>
        <v>6A</v>
      </c>
      <c r="F1802" s="47" t="s">
        <v>4054</v>
      </c>
      <c r="G1802" s="47" t="s">
        <v>1412</v>
      </c>
      <c r="H1802" s="48">
        <f>IF(NOT(ISBLANK(vlookup(B1802,Pop_Census_2023!$A$2:$E$3220,4,FALSE))),vlookup(B1802,Pop_Census_2023!$A$2:$E$3220,4,FALSE), vlookup(B1802,Pop_Census_2023!$A$2:$E$3220,5,FALSE))</f>
        <v>5603</v>
      </c>
    </row>
    <row r="1803">
      <c r="A1803" s="47" t="s">
        <v>3265</v>
      </c>
      <c r="B1803" s="47">
        <v>38075.0</v>
      </c>
      <c r="C1803" s="47">
        <v>7.0</v>
      </c>
      <c r="D1803" s="47" t="s">
        <v>4014</v>
      </c>
      <c r="E1803" s="47">
        <f t="shared" si="1"/>
        <v>7</v>
      </c>
      <c r="F1803" s="47" t="s">
        <v>4015</v>
      </c>
      <c r="G1803" s="47" t="s">
        <v>1070</v>
      </c>
      <c r="H1803" s="48">
        <f>IF(NOT(ISBLANK(vlookup(B1803,Pop_Census_2023!$A$2:$E$3220,4,FALSE))),vlookup(B1803,Pop_Census_2023!$A$2:$E$3220,4,FALSE), vlookup(B1803,Pop_Census_2023!$A$2:$E$3220,5,FALSE))</f>
        <v>2279</v>
      </c>
    </row>
    <row r="1804">
      <c r="A1804" s="47" t="s">
        <v>3265</v>
      </c>
      <c r="B1804" s="47">
        <v>38077.0</v>
      </c>
      <c r="C1804" s="47">
        <v>6.0</v>
      </c>
      <c r="D1804" s="47" t="s">
        <v>4044</v>
      </c>
      <c r="E1804" s="47" t="str">
        <f t="shared" si="1"/>
        <v>6A</v>
      </c>
      <c r="F1804" s="47" t="s">
        <v>4054</v>
      </c>
      <c r="G1804" s="47" t="s">
        <v>649</v>
      </c>
      <c r="H1804" s="48">
        <f>IF(NOT(ISBLANK(vlookup(B1804,Pop_Census_2023!$A$2:$E$3220,4,FALSE))),vlookup(B1804,Pop_Census_2023!$A$2:$E$3220,4,FALSE), vlookup(B1804,Pop_Census_2023!$A$2:$E$3220,5,FALSE))</f>
        <v>16558</v>
      </c>
    </row>
    <row r="1805">
      <c r="A1805" s="47" t="s">
        <v>3265</v>
      </c>
      <c r="B1805" s="47">
        <v>38079.0</v>
      </c>
      <c r="C1805" s="47">
        <v>7.0</v>
      </c>
      <c r="D1805" s="47" t="s">
        <v>4014</v>
      </c>
      <c r="E1805" s="47">
        <f t="shared" si="1"/>
        <v>7</v>
      </c>
      <c r="F1805" s="47" t="s">
        <v>4015</v>
      </c>
      <c r="G1805" s="47" t="s">
        <v>1413</v>
      </c>
      <c r="H1805" s="48">
        <f>IF(NOT(ISBLANK(vlookup(B1805,Pop_Census_2023!$A$2:$E$3220,4,FALSE))),vlookup(B1805,Pop_Census_2023!$A$2:$E$3220,4,FALSE), vlookup(B1805,Pop_Census_2023!$A$2:$E$3220,5,FALSE))</f>
        <v>11728</v>
      </c>
    </row>
    <row r="1806">
      <c r="A1806" s="47" t="s">
        <v>3265</v>
      </c>
      <c r="B1806" s="47">
        <v>38081.0</v>
      </c>
      <c r="C1806" s="47">
        <v>6.0</v>
      </c>
      <c r="D1806" s="47" t="s">
        <v>4044</v>
      </c>
      <c r="E1806" s="47" t="str">
        <f t="shared" si="1"/>
        <v>6A</v>
      </c>
      <c r="F1806" s="47" t="s">
        <v>4054</v>
      </c>
      <c r="G1806" s="47" t="s">
        <v>1414</v>
      </c>
      <c r="H1806" s="48">
        <f>IF(NOT(ISBLANK(vlookup(B1806,Pop_Census_2023!$A$2:$E$3220,4,FALSE))),vlookup(B1806,Pop_Census_2023!$A$2:$E$3220,4,FALSE), vlookup(B1806,Pop_Census_2023!$A$2:$E$3220,5,FALSE))</f>
        <v>3776</v>
      </c>
    </row>
    <row r="1807">
      <c r="A1807" s="47" t="s">
        <v>3265</v>
      </c>
      <c r="B1807" s="47">
        <v>38083.0</v>
      </c>
      <c r="C1807" s="47">
        <v>7.0</v>
      </c>
      <c r="D1807" s="47" t="s">
        <v>4014</v>
      </c>
      <c r="E1807" s="47">
        <f t="shared" si="1"/>
        <v>7</v>
      </c>
      <c r="F1807" s="47" t="s">
        <v>4015</v>
      </c>
      <c r="G1807" s="47" t="s">
        <v>804</v>
      </c>
      <c r="H1807" s="48">
        <f>IF(NOT(ISBLANK(vlookup(B1807,Pop_Census_2023!$A$2:$E$3220,4,FALSE))),vlookup(B1807,Pop_Census_2023!$A$2:$E$3220,4,FALSE), vlookup(B1807,Pop_Census_2023!$A$2:$E$3220,5,FALSE))</f>
        <v>1266</v>
      </c>
    </row>
    <row r="1808">
      <c r="A1808" s="47" t="s">
        <v>3265</v>
      </c>
      <c r="B1808" s="47">
        <v>38085.0</v>
      </c>
      <c r="C1808" s="47">
        <v>6.0</v>
      </c>
      <c r="D1808" s="47" t="s">
        <v>4044</v>
      </c>
      <c r="E1808" s="47" t="str">
        <f t="shared" si="1"/>
        <v>6A</v>
      </c>
      <c r="F1808" s="47" t="s">
        <v>4054</v>
      </c>
      <c r="G1808" s="47" t="s">
        <v>743</v>
      </c>
      <c r="H1808" s="48">
        <f>IF(NOT(ISBLANK(vlookup(B1808,Pop_Census_2023!$A$2:$E$3220,4,FALSE))),vlookup(B1808,Pop_Census_2023!$A$2:$E$3220,4,FALSE), vlookup(B1808,Pop_Census_2023!$A$2:$E$3220,5,FALSE))</f>
        <v>3643</v>
      </c>
    </row>
    <row r="1809">
      <c r="A1809" s="47" t="s">
        <v>3265</v>
      </c>
      <c r="B1809" s="47">
        <v>38087.0</v>
      </c>
      <c r="C1809" s="47">
        <v>6.0</v>
      </c>
      <c r="D1809" s="47" t="s">
        <v>4044</v>
      </c>
      <c r="E1809" s="47" t="str">
        <f t="shared" si="1"/>
        <v>6A</v>
      </c>
      <c r="F1809" s="47" t="s">
        <v>4054</v>
      </c>
      <c r="G1809" s="47" t="s">
        <v>1415</v>
      </c>
      <c r="H1809" s="34">
        <f>IF(NOT(ISBLANK(vlookup(B1809,Pop_Census_2023!$A$2:$E$3220,4,FALSE))),vlookup(B1809,Pop_Census_2023!$A$2:$E$3220,4,FALSE), vlookup(B1809,Pop_Census_2023!$A$2:$E$3220,5,FALSE))</f>
        <v>674</v>
      </c>
    </row>
    <row r="1810">
      <c r="A1810" s="47" t="s">
        <v>3265</v>
      </c>
      <c r="B1810" s="47">
        <v>38089.0</v>
      </c>
      <c r="C1810" s="47">
        <v>6.0</v>
      </c>
      <c r="D1810" s="47" t="s">
        <v>4044</v>
      </c>
      <c r="E1810" s="47" t="str">
        <f t="shared" si="1"/>
        <v>6A</v>
      </c>
      <c r="F1810" s="47" t="s">
        <v>4054</v>
      </c>
      <c r="G1810" s="47" t="s">
        <v>653</v>
      </c>
      <c r="H1810" s="48">
        <f>IF(NOT(ISBLANK(vlookup(B1810,Pop_Census_2023!$A$2:$E$3220,4,FALSE))),vlookup(B1810,Pop_Census_2023!$A$2:$E$3220,4,FALSE), vlookup(B1810,Pop_Census_2023!$A$2:$E$3220,5,FALSE))</f>
        <v>33001</v>
      </c>
    </row>
    <row r="1811">
      <c r="A1811" s="47" t="s">
        <v>3265</v>
      </c>
      <c r="B1811" s="47">
        <v>38091.0</v>
      </c>
      <c r="C1811" s="47">
        <v>7.0</v>
      </c>
      <c r="D1811" s="47" t="s">
        <v>4014</v>
      </c>
      <c r="E1811" s="47">
        <f t="shared" si="1"/>
        <v>7</v>
      </c>
      <c r="F1811" s="47" t="s">
        <v>4015</v>
      </c>
      <c r="G1811" s="47" t="s">
        <v>1077</v>
      </c>
      <c r="H1811" s="48">
        <f>IF(NOT(ISBLANK(vlookup(B1811,Pop_Census_2023!$A$2:$E$3220,4,FALSE))),vlookup(B1811,Pop_Census_2023!$A$2:$E$3220,4,FALSE), vlookup(B1811,Pop_Census_2023!$A$2:$E$3220,5,FALSE))</f>
        <v>1782</v>
      </c>
    </row>
    <row r="1812">
      <c r="A1812" s="47" t="s">
        <v>3265</v>
      </c>
      <c r="B1812" s="47">
        <v>38093.0</v>
      </c>
      <c r="C1812" s="47">
        <v>7.0</v>
      </c>
      <c r="D1812" s="47" t="s">
        <v>4014</v>
      </c>
      <c r="E1812" s="47">
        <f t="shared" si="1"/>
        <v>7</v>
      </c>
      <c r="F1812" s="47" t="s">
        <v>4015</v>
      </c>
      <c r="G1812" s="47" t="s">
        <v>1416</v>
      </c>
      <c r="H1812" s="48">
        <f>IF(NOT(ISBLANK(vlookup(B1812,Pop_Census_2023!$A$2:$E$3220,4,FALSE))),vlookup(B1812,Pop_Census_2023!$A$2:$E$3220,4,FALSE), vlookup(B1812,Pop_Census_2023!$A$2:$E$3220,5,FALSE))</f>
        <v>21392</v>
      </c>
    </row>
    <row r="1813">
      <c r="A1813" s="47" t="s">
        <v>3265</v>
      </c>
      <c r="B1813" s="47">
        <v>38095.0</v>
      </c>
      <c r="C1813" s="47">
        <v>7.0</v>
      </c>
      <c r="D1813" s="47" t="s">
        <v>4014</v>
      </c>
      <c r="E1813" s="47">
        <f t="shared" si="1"/>
        <v>7</v>
      </c>
      <c r="F1813" s="47" t="s">
        <v>4015</v>
      </c>
      <c r="G1813" s="47" t="s">
        <v>1417</v>
      </c>
      <c r="H1813" s="48">
        <f>IF(NOT(ISBLANK(vlookup(B1813,Pop_Census_2023!$A$2:$E$3220,4,FALSE))),vlookup(B1813,Pop_Census_2023!$A$2:$E$3220,4,FALSE), vlookup(B1813,Pop_Census_2023!$A$2:$E$3220,5,FALSE))</f>
        <v>2030</v>
      </c>
    </row>
    <row r="1814">
      <c r="A1814" s="47" t="s">
        <v>3265</v>
      </c>
      <c r="B1814" s="47">
        <v>38097.0</v>
      </c>
      <c r="C1814" s="47">
        <v>7.0</v>
      </c>
      <c r="D1814" s="47" t="s">
        <v>4014</v>
      </c>
      <c r="E1814" s="47">
        <f t="shared" si="1"/>
        <v>7</v>
      </c>
      <c r="F1814" s="47" t="s">
        <v>4015</v>
      </c>
      <c r="G1814" s="47" t="s">
        <v>1418</v>
      </c>
      <c r="H1814" s="48">
        <f>IF(NOT(ISBLANK(vlookup(B1814,Pop_Census_2023!$A$2:$E$3220,4,FALSE))),vlookup(B1814,Pop_Census_2023!$A$2:$E$3220,4,FALSE), vlookup(B1814,Pop_Census_2023!$A$2:$E$3220,5,FALSE))</f>
        <v>7908</v>
      </c>
    </row>
    <row r="1815">
      <c r="A1815" s="47" t="s">
        <v>3265</v>
      </c>
      <c r="B1815" s="47">
        <v>38099.0</v>
      </c>
      <c r="C1815" s="47">
        <v>7.0</v>
      </c>
      <c r="D1815" s="47" t="s">
        <v>4014</v>
      </c>
      <c r="E1815" s="47">
        <f t="shared" si="1"/>
        <v>7</v>
      </c>
      <c r="F1815" s="47" t="s">
        <v>4015</v>
      </c>
      <c r="G1815" s="47" t="s">
        <v>1419</v>
      </c>
      <c r="H1815" s="48">
        <f>IF(NOT(ISBLANK(vlookup(B1815,Pop_Census_2023!$A$2:$E$3220,4,FALSE))),vlookup(B1815,Pop_Census_2023!$A$2:$E$3220,4,FALSE), vlookup(B1815,Pop_Census_2023!$A$2:$E$3220,5,FALSE))</f>
        <v>10305</v>
      </c>
    </row>
    <row r="1816">
      <c r="A1816" s="47" t="s">
        <v>3265</v>
      </c>
      <c r="B1816" s="47">
        <v>38101.0</v>
      </c>
      <c r="C1816" s="47">
        <v>7.0</v>
      </c>
      <c r="D1816" s="47" t="s">
        <v>4014</v>
      </c>
      <c r="E1816" s="47">
        <f t="shared" si="1"/>
        <v>7</v>
      </c>
      <c r="F1816" s="47" t="s">
        <v>4015</v>
      </c>
      <c r="G1816" s="47" t="s">
        <v>1420</v>
      </c>
      <c r="H1816" s="48">
        <f>IF(NOT(ISBLANK(vlookup(B1816,Pop_Census_2023!$A$2:$E$3220,4,FALSE))),vlookup(B1816,Pop_Census_2023!$A$2:$E$3220,4,FALSE), vlookup(B1816,Pop_Census_2023!$A$2:$E$3220,5,FALSE))</f>
        <v>68332</v>
      </c>
    </row>
    <row r="1817">
      <c r="A1817" s="47" t="s">
        <v>3265</v>
      </c>
      <c r="B1817" s="47">
        <v>38103.0</v>
      </c>
      <c r="C1817" s="47">
        <v>7.0</v>
      </c>
      <c r="D1817" s="47" t="s">
        <v>4014</v>
      </c>
      <c r="E1817" s="47">
        <f t="shared" si="1"/>
        <v>7</v>
      </c>
      <c r="F1817" s="47" t="s">
        <v>4015</v>
      </c>
      <c r="G1817" s="47" t="s">
        <v>702</v>
      </c>
      <c r="H1817" s="48">
        <f>IF(NOT(ISBLANK(vlookup(B1817,Pop_Census_2023!$A$2:$E$3220,4,FALSE))),vlookup(B1817,Pop_Census_2023!$A$2:$E$3220,4,FALSE), vlookup(B1817,Pop_Census_2023!$A$2:$E$3220,5,FALSE))</f>
        <v>3876</v>
      </c>
    </row>
    <row r="1818">
      <c r="A1818" s="47" t="s">
        <v>3265</v>
      </c>
      <c r="B1818" s="47">
        <v>38105.0</v>
      </c>
      <c r="C1818" s="47">
        <v>7.0</v>
      </c>
      <c r="D1818" s="47" t="s">
        <v>4014</v>
      </c>
      <c r="E1818" s="47">
        <f t="shared" si="1"/>
        <v>7</v>
      </c>
      <c r="F1818" s="47" t="s">
        <v>4015</v>
      </c>
      <c r="G1818" s="47" t="s">
        <v>1421</v>
      </c>
      <c r="H1818" s="48">
        <f>IF(NOT(ISBLANK(vlookup(B1818,Pop_Census_2023!$A$2:$E$3220,4,FALSE))),vlookup(B1818,Pop_Census_2023!$A$2:$E$3220,4,FALSE), vlookup(B1818,Pop_Census_2023!$A$2:$E$3220,5,FALSE))</f>
        <v>39113</v>
      </c>
    </row>
    <row r="1819">
      <c r="A1819" s="47" t="s">
        <v>3071</v>
      </c>
      <c r="B1819" s="47">
        <v>31001.0</v>
      </c>
      <c r="C1819" s="47">
        <v>5.0</v>
      </c>
      <c r="D1819" s="47" t="s">
        <v>4044</v>
      </c>
      <c r="E1819" s="47" t="str">
        <f t="shared" si="1"/>
        <v>5A</v>
      </c>
      <c r="F1819" s="47" t="s">
        <v>4054</v>
      </c>
      <c r="G1819" s="47" t="s">
        <v>338</v>
      </c>
      <c r="H1819" s="48">
        <f>IF(NOT(ISBLANK(vlookup(B1819,Pop_Census_2023!$A$2:$E$3220,4,FALSE))),vlookup(B1819,Pop_Census_2023!$A$2:$E$3220,4,FALSE), vlookup(B1819,Pop_Census_2023!$A$2:$E$3220,5,FALSE))</f>
        <v>30899</v>
      </c>
    </row>
    <row r="1820">
      <c r="A1820" s="47" t="s">
        <v>3071</v>
      </c>
      <c r="B1820" s="47">
        <v>31003.0</v>
      </c>
      <c r="C1820" s="47">
        <v>5.0</v>
      </c>
      <c r="D1820" s="47" t="s">
        <v>4044</v>
      </c>
      <c r="E1820" s="47" t="str">
        <f t="shared" si="1"/>
        <v>5A</v>
      </c>
      <c r="F1820" s="47" t="s">
        <v>4054</v>
      </c>
      <c r="G1820" s="47" t="s">
        <v>1199</v>
      </c>
      <c r="H1820" s="48">
        <f>IF(NOT(ISBLANK(vlookup(B1820,Pop_Census_2023!$A$2:$E$3220,4,FALSE))),vlookup(B1820,Pop_Census_2023!$A$2:$E$3220,4,FALSE), vlookup(B1820,Pop_Census_2023!$A$2:$E$3220,5,FALSE))</f>
        <v>6302</v>
      </c>
    </row>
    <row r="1821">
      <c r="A1821" s="47" t="s">
        <v>3071</v>
      </c>
      <c r="B1821" s="47">
        <v>31005.0</v>
      </c>
      <c r="C1821" s="47">
        <v>5.0</v>
      </c>
      <c r="D1821" s="47" t="s">
        <v>4044</v>
      </c>
      <c r="E1821" s="47" t="str">
        <f t="shared" si="1"/>
        <v>5A</v>
      </c>
      <c r="F1821" s="47" t="s">
        <v>4054</v>
      </c>
      <c r="G1821" s="47" t="s">
        <v>1200</v>
      </c>
      <c r="H1821" s="34">
        <f>IF(NOT(ISBLANK(vlookup(B1821,Pop_Census_2023!$A$2:$E$3220,4,FALSE))),vlookup(B1821,Pop_Census_2023!$A$2:$E$3220,4,FALSE), vlookup(B1821,Pop_Census_2023!$A$2:$E$3220,5,FALSE))</f>
        <v>412</v>
      </c>
    </row>
    <row r="1822">
      <c r="A1822" s="47" t="s">
        <v>3071</v>
      </c>
      <c r="B1822" s="47">
        <v>31007.0</v>
      </c>
      <c r="C1822" s="47">
        <v>5.0</v>
      </c>
      <c r="D1822" s="47" t="s">
        <v>4044</v>
      </c>
      <c r="E1822" s="47" t="str">
        <f t="shared" si="1"/>
        <v>5A</v>
      </c>
      <c r="F1822" s="47" t="s">
        <v>4054</v>
      </c>
      <c r="G1822" s="47" t="s">
        <v>1201</v>
      </c>
      <c r="H1822" s="34">
        <f>IF(NOT(ISBLANK(vlookup(B1822,Pop_Census_2023!$A$2:$E$3220,4,FALSE))),vlookup(B1822,Pop_Census_2023!$A$2:$E$3220,4,FALSE), vlookup(B1822,Pop_Census_2023!$A$2:$E$3220,5,FALSE))</f>
        <v>674</v>
      </c>
    </row>
    <row r="1823">
      <c r="A1823" s="47" t="s">
        <v>3071</v>
      </c>
      <c r="B1823" s="47">
        <v>31009.0</v>
      </c>
      <c r="C1823" s="47">
        <v>5.0</v>
      </c>
      <c r="D1823" s="47" t="s">
        <v>4044</v>
      </c>
      <c r="E1823" s="47" t="str">
        <f t="shared" si="1"/>
        <v>5A</v>
      </c>
      <c r="F1823" s="47" t="s">
        <v>4054</v>
      </c>
      <c r="G1823" s="47" t="s">
        <v>581</v>
      </c>
      <c r="H1823" s="34">
        <f>IF(NOT(ISBLANK(vlookup(B1823,Pop_Census_2023!$A$2:$E$3220,4,FALSE))),vlookup(B1823,Pop_Census_2023!$A$2:$E$3220,4,FALSE), vlookup(B1823,Pop_Census_2023!$A$2:$E$3220,5,FALSE))</f>
        <v>436</v>
      </c>
    </row>
    <row r="1824">
      <c r="A1824" s="47" t="s">
        <v>3071</v>
      </c>
      <c r="B1824" s="47">
        <v>31011.0</v>
      </c>
      <c r="C1824" s="47">
        <v>5.0</v>
      </c>
      <c r="D1824" s="47" t="s">
        <v>4044</v>
      </c>
      <c r="E1824" s="47" t="str">
        <f t="shared" si="1"/>
        <v>5A</v>
      </c>
      <c r="F1824" s="47" t="s">
        <v>4054</v>
      </c>
      <c r="G1824" s="47" t="s">
        <v>225</v>
      </c>
      <c r="H1824" s="48">
        <f>IF(NOT(ISBLANK(vlookup(B1824,Pop_Census_2023!$A$2:$E$3220,4,FALSE))),vlookup(B1824,Pop_Census_2023!$A$2:$E$3220,4,FALSE), vlookup(B1824,Pop_Census_2023!$A$2:$E$3220,5,FALSE))</f>
        <v>5310</v>
      </c>
    </row>
    <row r="1825">
      <c r="A1825" s="47" t="s">
        <v>3071</v>
      </c>
      <c r="B1825" s="47">
        <v>31013.0</v>
      </c>
      <c r="C1825" s="47">
        <v>5.0</v>
      </c>
      <c r="D1825" s="47" t="s">
        <v>4044</v>
      </c>
      <c r="E1825" s="47" t="str">
        <f t="shared" si="1"/>
        <v>5A</v>
      </c>
      <c r="F1825" s="47" t="s">
        <v>4054</v>
      </c>
      <c r="G1825" s="47" t="s">
        <v>1202</v>
      </c>
      <c r="H1825" s="48">
        <f>IF(NOT(ISBLANK(vlookup(B1825,Pop_Census_2023!$A$2:$E$3220,4,FALSE))),vlookup(B1825,Pop_Census_2023!$A$2:$E$3220,4,FALSE), vlookup(B1825,Pop_Census_2023!$A$2:$E$3220,5,FALSE))</f>
        <v>10692</v>
      </c>
    </row>
    <row r="1826">
      <c r="A1826" s="47" t="s">
        <v>3071</v>
      </c>
      <c r="B1826" s="47">
        <v>31015.0</v>
      </c>
      <c r="C1826" s="47">
        <v>5.0</v>
      </c>
      <c r="D1826" s="47" t="s">
        <v>4044</v>
      </c>
      <c r="E1826" s="47" t="str">
        <f t="shared" si="1"/>
        <v>5A</v>
      </c>
      <c r="F1826" s="47" t="s">
        <v>4054</v>
      </c>
      <c r="G1826" s="47" t="s">
        <v>823</v>
      </c>
      <c r="H1826" s="48">
        <f>IF(NOT(ISBLANK(vlookup(B1826,Pop_Census_2023!$A$2:$E$3220,4,FALSE))),vlookup(B1826,Pop_Census_2023!$A$2:$E$3220,4,FALSE), vlookup(B1826,Pop_Census_2023!$A$2:$E$3220,5,FALSE))</f>
        <v>1725</v>
      </c>
    </row>
    <row r="1827">
      <c r="A1827" s="47" t="s">
        <v>3071</v>
      </c>
      <c r="B1827" s="47">
        <v>31017.0</v>
      </c>
      <c r="C1827" s="47">
        <v>5.0</v>
      </c>
      <c r="D1827" s="47" t="s">
        <v>4044</v>
      </c>
      <c r="E1827" s="47" t="str">
        <f t="shared" si="1"/>
        <v>5A</v>
      </c>
      <c r="F1827" s="47" t="s">
        <v>4054</v>
      </c>
      <c r="G1827" s="47" t="s">
        <v>611</v>
      </c>
      <c r="H1827" s="48">
        <f>IF(NOT(ISBLANK(vlookup(B1827,Pop_Census_2023!$A$2:$E$3220,4,FALSE))),vlookup(B1827,Pop_Census_2023!$A$2:$E$3220,4,FALSE), vlookup(B1827,Pop_Census_2023!$A$2:$E$3220,5,FALSE))</f>
        <v>2853</v>
      </c>
    </row>
    <row r="1828">
      <c r="A1828" s="47" t="s">
        <v>3071</v>
      </c>
      <c r="B1828" s="47">
        <v>31019.0</v>
      </c>
      <c r="C1828" s="47">
        <v>5.0</v>
      </c>
      <c r="D1828" s="47" t="s">
        <v>4044</v>
      </c>
      <c r="E1828" s="47" t="str">
        <f t="shared" si="1"/>
        <v>5A</v>
      </c>
      <c r="F1828" s="47" t="s">
        <v>4054</v>
      </c>
      <c r="G1828" s="47" t="s">
        <v>1203</v>
      </c>
      <c r="H1828" s="48">
        <f>IF(NOT(ISBLANK(vlookup(B1828,Pop_Census_2023!$A$2:$E$3220,4,FALSE))),vlookup(B1828,Pop_Census_2023!$A$2:$E$3220,4,FALSE), vlookup(B1828,Pop_Census_2023!$A$2:$E$3220,5,FALSE))</f>
        <v>50697</v>
      </c>
    </row>
    <row r="1829">
      <c r="A1829" s="47" t="s">
        <v>3071</v>
      </c>
      <c r="B1829" s="47">
        <v>31021.0</v>
      </c>
      <c r="C1829" s="47">
        <v>5.0</v>
      </c>
      <c r="D1829" s="47" t="s">
        <v>4044</v>
      </c>
      <c r="E1829" s="47" t="str">
        <f t="shared" si="1"/>
        <v>5A</v>
      </c>
      <c r="F1829" s="47" t="s">
        <v>4054</v>
      </c>
      <c r="G1829" s="47" t="s">
        <v>1204</v>
      </c>
      <c r="H1829" s="48">
        <f>IF(NOT(ISBLANK(vlookup(B1829,Pop_Census_2023!$A$2:$E$3220,4,FALSE))),vlookup(B1829,Pop_Census_2023!$A$2:$E$3220,4,FALSE), vlookup(B1829,Pop_Census_2023!$A$2:$E$3220,5,FALSE))</f>
        <v>6727</v>
      </c>
    </row>
    <row r="1830">
      <c r="A1830" s="47" t="s">
        <v>3071</v>
      </c>
      <c r="B1830" s="47">
        <v>31023.0</v>
      </c>
      <c r="C1830" s="47">
        <v>5.0</v>
      </c>
      <c r="D1830" s="47" t="s">
        <v>4044</v>
      </c>
      <c r="E1830" s="47" t="str">
        <f t="shared" si="1"/>
        <v>5A</v>
      </c>
      <c r="F1830" s="47" t="s">
        <v>4054</v>
      </c>
      <c r="G1830" s="47" t="s">
        <v>109</v>
      </c>
      <c r="H1830" s="48">
        <f>IF(NOT(ISBLANK(vlookup(B1830,Pop_Census_2023!$A$2:$E$3220,4,FALSE))),vlookup(B1830,Pop_Census_2023!$A$2:$E$3220,4,FALSE), vlookup(B1830,Pop_Census_2023!$A$2:$E$3220,5,FALSE))</f>
        <v>8459</v>
      </c>
    </row>
    <row r="1831">
      <c r="A1831" s="47" t="s">
        <v>3071</v>
      </c>
      <c r="B1831" s="47">
        <v>31025.0</v>
      </c>
      <c r="C1831" s="47">
        <v>5.0</v>
      </c>
      <c r="D1831" s="47" t="s">
        <v>4044</v>
      </c>
      <c r="E1831" s="47" t="str">
        <f t="shared" si="1"/>
        <v>5A</v>
      </c>
      <c r="F1831" s="47" t="s">
        <v>4054</v>
      </c>
      <c r="G1831" s="47" t="s">
        <v>613</v>
      </c>
      <c r="H1831" s="48">
        <f>IF(NOT(ISBLANK(vlookup(B1831,Pop_Census_2023!$A$2:$E$3220,4,FALSE))),vlookup(B1831,Pop_Census_2023!$A$2:$E$3220,4,FALSE), vlookup(B1831,Pop_Census_2023!$A$2:$E$3220,5,FALSE))</f>
        <v>27446</v>
      </c>
    </row>
    <row r="1832">
      <c r="A1832" s="47" t="s">
        <v>3071</v>
      </c>
      <c r="B1832" s="47">
        <v>31027.0</v>
      </c>
      <c r="C1832" s="47">
        <v>5.0</v>
      </c>
      <c r="D1832" s="47" t="s">
        <v>4044</v>
      </c>
      <c r="E1832" s="47" t="str">
        <f t="shared" si="1"/>
        <v>5A</v>
      </c>
      <c r="F1832" s="47" t="s">
        <v>4054</v>
      </c>
      <c r="G1832" s="47" t="s">
        <v>714</v>
      </c>
      <c r="H1832" s="48">
        <f>IF(NOT(ISBLANK(vlookup(B1832,Pop_Census_2023!$A$2:$E$3220,4,FALSE))),vlookup(B1832,Pop_Census_2023!$A$2:$E$3220,4,FALSE), vlookup(B1832,Pop_Census_2023!$A$2:$E$3220,5,FALSE))</f>
        <v>8262</v>
      </c>
    </row>
    <row r="1833">
      <c r="A1833" s="47" t="s">
        <v>3071</v>
      </c>
      <c r="B1833" s="47">
        <v>31029.0</v>
      </c>
      <c r="C1833" s="47">
        <v>5.0</v>
      </c>
      <c r="D1833" s="47" t="s">
        <v>4044</v>
      </c>
      <c r="E1833" s="47" t="str">
        <f t="shared" si="1"/>
        <v>5A</v>
      </c>
      <c r="F1833" s="47" t="s">
        <v>4054</v>
      </c>
      <c r="G1833" s="47" t="s">
        <v>756</v>
      </c>
      <c r="H1833" s="48">
        <f>IF(NOT(ISBLANK(vlookup(B1833,Pop_Census_2023!$A$2:$E$3220,4,FALSE))),vlookup(B1833,Pop_Census_2023!$A$2:$E$3220,4,FALSE), vlookup(B1833,Pop_Census_2023!$A$2:$E$3220,5,FALSE))</f>
        <v>3724</v>
      </c>
    </row>
    <row r="1834">
      <c r="A1834" s="47" t="s">
        <v>3071</v>
      </c>
      <c r="B1834" s="47">
        <v>31031.0</v>
      </c>
      <c r="C1834" s="47">
        <v>5.0</v>
      </c>
      <c r="D1834" s="47" t="s">
        <v>4044</v>
      </c>
      <c r="E1834" s="47" t="str">
        <f t="shared" si="1"/>
        <v>5A</v>
      </c>
      <c r="F1834" s="47" t="s">
        <v>4054</v>
      </c>
      <c r="G1834" s="47" t="s">
        <v>1205</v>
      </c>
      <c r="H1834" s="48">
        <f>IF(NOT(ISBLANK(vlookup(B1834,Pop_Census_2023!$A$2:$E$3220,4,FALSE))),vlookup(B1834,Pop_Census_2023!$A$2:$E$3220,4,FALSE), vlookup(B1834,Pop_Census_2023!$A$2:$E$3220,5,FALSE))</f>
        <v>5492</v>
      </c>
    </row>
    <row r="1835">
      <c r="A1835" s="47" t="s">
        <v>3071</v>
      </c>
      <c r="B1835" s="47">
        <v>31033.0</v>
      </c>
      <c r="C1835" s="47">
        <v>5.0</v>
      </c>
      <c r="D1835" s="47" t="s">
        <v>4044</v>
      </c>
      <c r="E1835" s="47" t="str">
        <f t="shared" si="1"/>
        <v>5A</v>
      </c>
      <c r="F1835" s="47" t="s">
        <v>4054</v>
      </c>
      <c r="G1835" s="47" t="s">
        <v>348</v>
      </c>
      <c r="H1835" s="48">
        <f>IF(NOT(ISBLANK(vlookup(B1835,Pop_Census_2023!$A$2:$E$3220,4,FALSE))),vlookup(B1835,Pop_Census_2023!$A$2:$E$3220,4,FALSE), vlookup(B1835,Pop_Census_2023!$A$2:$E$3220,5,FALSE))</f>
        <v>9541</v>
      </c>
    </row>
    <row r="1836">
      <c r="A1836" s="47" t="s">
        <v>3071</v>
      </c>
      <c r="B1836" s="47">
        <v>31035.0</v>
      </c>
      <c r="C1836" s="47">
        <v>5.0</v>
      </c>
      <c r="D1836" s="47" t="s">
        <v>4044</v>
      </c>
      <c r="E1836" s="47" t="str">
        <f t="shared" si="1"/>
        <v>5A</v>
      </c>
      <c r="F1836" s="47" t="s">
        <v>4054</v>
      </c>
      <c r="G1836" s="47" t="s">
        <v>116</v>
      </c>
      <c r="H1836" s="48">
        <f>IF(NOT(ISBLANK(vlookup(B1836,Pop_Census_2023!$A$2:$E$3220,4,FALSE))),vlookup(B1836,Pop_Census_2023!$A$2:$E$3220,4,FALSE), vlookup(B1836,Pop_Census_2023!$A$2:$E$3220,5,FALSE))</f>
        <v>6116</v>
      </c>
    </row>
    <row r="1837">
      <c r="A1837" s="47" t="s">
        <v>3071</v>
      </c>
      <c r="B1837" s="47">
        <v>31037.0</v>
      </c>
      <c r="C1837" s="47">
        <v>5.0</v>
      </c>
      <c r="D1837" s="47" t="s">
        <v>4044</v>
      </c>
      <c r="E1837" s="47" t="str">
        <f t="shared" si="1"/>
        <v>5A</v>
      </c>
      <c r="F1837" s="47" t="s">
        <v>4054</v>
      </c>
      <c r="G1837" s="47" t="s">
        <v>1206</v>
      </c>
      <c r="H1837" s="48">
        <f>IF(NOT(ISBLANK(vlookup(B1837,Pop_Census_2023!$A$2:$E$3220,4,FALSE))),vlookup(B1837,Pop_Census_2023!$A$2:$E$3220,4,FALSE), vlookup(B1837,Pop_Census_2023!$A$2:$E$3220,5,FALSE))</f>
        <v>10566</v>
      </c>
    </row>
    <row r="1838">
      <c r="A1838" s="47" t="s">
        <v>3071</v>
      </c>
      <c r="B1838" s="47">
        <v>31039.0</v>
      </c>
      <c r="C1838" s="47">
        <v>5.0</v>
      </c>
      <c r="D1838" s="47" t="s">
        <v>4044</v>
      </c>
      <c r="E1838" s="47" t="str">
        <f t="shared" si="1"/>
        <v>5A</v>
      </c>
      <c r="F1838" s="47" t="s">
        <v>4054</v>
      </c>
      <c r="G1838" s="47" t="s">
        <v>1207</v>
      </c>
      <c r="H1838" s="48">
        <f>IF(NOT(ISBLANK(vlookup(B1838,Pop_Census_2023!$A$2:$E$3220,4,FALSE))),vlookup(B1838,Pop_Census_2023!$A$2:$E$3220,4,FALSE), vlookup(B1838,Pop_Census_2023!$A$2:$E$3220,5,FALSE))</f>
        <v>8918</v>
      </c>
    </row>
    <row r="1839">
      <c r="A1839" s="47" t="s">
        <v>3071</v>
      </c>
      <c r="B1839" s="47">
        <v>31041.0</v>
      </c>
      <c r="C1839" s="47">
        <v>5.0</v>
      </c>
      <c r="D1839" s="47" t="s">
        <v>4044</v>
      </c>
      <c r="E1839" s="47" t="str">
        <f t="shared" si="1"/>
        <v>5A</v>
      </c>
      <c r="F1839" s="47" t="s">
        <v>4054</v>
      </c>
      <c r="G1839" s="47" t="s">
        <v>353</v>
      </c>
      <c r="H1839" s="48">
        <f>IF(NOT(ISBLANK(vlookup(B1839,Pop_Census_2023!$A$2:$E$3220,4,FALSE))),vlookup(B1839,Pop_Census_2023!$A$2:$E$3220,4,FALSE), vlookup(B1839,Pop_Census_2023!$A$2:$E$3220,5,FALSE))</f>
        <v>10581</v>
      </c>
    </row>
    <row r="1840">
      <c r="A1840" s="47" t="s">
        <v>3071</v>
      </c>
      <c r="B1840" s="47">
        <v>31043.0</v>
      </c>
      <c r="C1840" s="47">
        <v>5.0</v>
      </c>
      <c r="D1840" s="47" t="s">
        <v>4044</v>
      </c>
      <c r="E1840" s="47" t="str">
        <f t="shared" si="1"/>
        <v>5A</v>
      </c>
      <c r="F1840" s="47" t="s">
        <v>4054</v>
      </c>
      <c r="G1840" s="47" t="s">
        <v>1037</v>
      </c>
      <c r="H1840" s="48">
        <f>IF(NOT(ISBLANK(vlookup(B1840,Pop_Census_2023!$A$2:$E$3220,4,FALSE))),vlookup(B1840,Pop_Census_2023!$A$2:$E$3220,4,FALSE), vlookup(B1840,Pop_Census_2023!$A$2:$E$3220,5,FALSE))</f>
        <v>21268</v>
      </c>
    </row>
    <row r="1841">
      <c r="A1841" s="47" t="s">
        <v>3071</v>
      </c>
      <c r="B1841" s="47">
        <v>31045.0</v>
      </c>
      <c r="C1841" s="47">
        <v>5.0</v>
      </c>
      <c r="D1841" s="47" t="s">
        <v>4044</v>
      </c>
      <c r="E1841" s="47" t="str">
        <f t="shared" si="1"/>
        <v>5A</v>
      </c>
      <c r="F1841" s="47" t="s">
        <v>4054</v>
      </c>
      <c r="G1841" s="47" t="s">
        <v>1208</v>
      </c>
      <c r="H1841" s="48">
        <f>IF(NOT(ISBLANK(vlookup(B1841,Pop_Census_2023!$A$2:$E$3220,4,FALSE))),vlookup(B1841,Pop_Census_2023!$A$2:$E$3220,4,FALSE), vlookup(B1841,Pop_Census_2023!$A$2:$E$3220,5,FALSE))</f>
        <v>8133</v>
      </c>
    </row>
    <row r="1842">
      <c r="A1842" s="47" t="s">
        <v>3071</v>
      </c>
      <c r="B1842" s="47">
        <v>31047.0</v>
      </c>
      <c r="C1842" s="47">
        <v>5.0</v>
      </c>
      <c r="D1842" s="47" t="s">
        <v>4044</v>
      </c>
      <c r="E1842" s="47" t="str">
        <f t="shared" si="1"/>
        <v>5A</v>
      </c>
      <c r="F1842" s="47" t="s">
        <v>4054</v>
      </c>
      <c r="G1842" s="47" t="s">
        <v>491</v>
      </c>
      <c r="H1842" s="48">
        <f>IF(NOT(ISBLANK(vlookup(B1842,Pop_Census_2023!$A$2:$E$3220,4,FALSE))),vlookup(B1842,Pop_Census_2023!$A$2:$E$3220,4,FALSE), vlookup(B1842,Pop_Census_2023!$A$2:$E$3220,5,FALSE))</f>
        <v>24085</v>
      </c>
    </row>
    <row r="1843">
      <c r="A1843" s="47" t="s">
        <v>3071</v>
      </c>
      <c r="B1843" s="47">
        <v>31049.0</v>
      </c>
      <c r="C1843" s="47">
        <v>5.0</v>
      </c>
      <c r="D1843" s="47" t="s">
        <v>4044</v>
      </c>
      <c r="E1843" s="47" t="str">
        <f t="shared" si="1"/>
        <v>5A</v>
      </c>
      <c r="F1843" s="47" t="s">
        <v>4054</v>
      </c>
      <c r="G1843" s="47" t="s">
        <v>1209</v>
      </c>
      <c r="H1843" s="48">
        <f>IF(NOT(ISBLANK(vlookup(B1843,Pop_Census_2023!$A$2:$E$3220,4,FALSE))),vlookup(B1843,Pop_Census_2023!$A$2:$E$3220,4,FALSE), vlookup(B1843,Pop_Census_2023!$A$2:$E$3220,5,FALSE))</f>
        <v>1871</v>
      </c>
    </row>
    <row r="1844">
      <c r="A1844" s="47" t="s">
        <v>3071</v>
      </c>
      <c r="B1844" s="47">
        <v>31051.0</v>
      </c>
      <c r="C1844" s="47">
        <v>5.0</v>
      </c>
      <c r="D1844" s="47" t="s">
        <v>4044</v>
      </c>
      <c r="E1844" s="47" t="str">
        <f t="shared" si="1"/>
        <v>5A</v>
      </c>
      <c r="F1844" s="47" t="s">
        <v>4054</v>
      </c>
      <c r="G1844" s="47" t="s">
        <v>1210</v>
      </c>
      <c r="H1844" s="48">
        <f>IF(NOT(ISBLANK(vlookup(B1844,Pop_Census_2023!$A$2:$E$3220,4,FALSE))),vlookup(B1844,Pop_Census_2023!$A$2:$E$3220,4,FALSE), vlookup(B1844,Pop_Census_2023!$A$2:$E$3220,5,FALSE))</f>
        <v>5491</v>
      </c>
    </row>
    <row r="1845">
      <c r="A1845" s="47" t="s">
        <v>3071</v>
      </c>
      <c r="B1845" s="47">
        <v>31053.0</v>
      </c>
      <c r="C1845" s="47">
        <v>5.0</v>
      </c>
      <c r="D1845" s="47" t="s">
        <v>4044</v>
      </c>
      <c r="E1845" s="47" t="str">
        <f t="shared" si="1"/>
        <v>5A</v>
      </c>
      <c r="F1845" s="47" t="s">
        <v>4054</v>
      </c>
      <c r="G1845" s="47" t="s">
        <v>493</v>
      </c>
      <c r="H1845" s="48">
        <f>IF(NOT(ISBLANK(vlookup(B1845,Pop_Census_2023!$A$2:$E$3220,4,FALSE))),vlookup(B1845,Pop_Census_2023!$A$2:$E$3220,4,FALSE), vlookup(B1845,Pop_Census_2023!$A$2:$E$3220,5,FALSE))</f>
        <v>37187</v>
      </c>
    </row>
    <row r="1846">
      <c r="A1846" s="47" t="s">
        <v>3071</v>
      </c>
      <c r="B1846" s="47">
        <v>31055.0</v>
      </c>
      <c r="C1846" s="47">
        <v>5.0</v>
      </c>
      <c r="D1846" s="47" t="s">
        <v>4044</v>
      </c>
      <c r="E1846" s="47" t="str">
        <f t="shared" si="1"/>
        <v>5A</v>
      </c>
      <c r="F1846" s="47" t="s">
        <v>4054</v>
      </c>
      <c r="G1846" s="47" t="s">
        <v>357</v>
      </c>
      <c r="H1846" s="48">
        <f>IF(NOT(ISBLANK(vlookup(B1846,Pop_Census_2023!$A$2:$E$3220,4,FALSE))),vlookup(B1846,Pop_Census_2023!$A$2:$E$3220,4,FALSE), vlookup(B1846,Pop_Census_2023!$A$2:$E$3220,5,FALSE))</f>
        <v>589540</v>
      </c>
    </row>
    <row r="1847">
      <c r="A1847" s="47" t="s">
        <v>3071</v>
      </c>
      <c r="B1847" s="47">
        <v>31057.0</v>
      </c>
      <c r="C1847" s="47">
        <v>5.0</v>
      </c>
      <c r="D1847" s="47" t="s">
        <v>4044</v>
      </c>
      <c r="E1847" s="47" t="str">
        <f t="shared" si="1"/>
        <v>5A</v>
      </c>
      <c r="F1847" s="47" t="s">
        <v>4054</v>
      </c>
      <c r="G1847" s="47" t="s">
        <v>1211</v>
      </c>
      <c r="H1847" s="48">
        <f>IF(NOT(ISBLANK(vlookup(B1847,Pop_Census_2023!$A$2:$E$3220,4,FALSE))),vlookup(B1847,Pop_Census_2023!$A$2:$E$3220,4,FALSE), vlookup(B1847,Pop_Census_2023!$A$2:$E$3220,5,FALSE))</f>
        <v>1561</v>
      </c>
    </row>
    <row r="1848">
      <c r="A1848" s="47" t="s">
        <v>3071</v>
      </c>
      <c r="B1848" s="47">
        <v>31059.0</v>
      </c>
      <c r="C1848" s="47">
        <v>5.0</v>
      </c>
      <c r="D1848" s="47" t="s">
        <v>4044</v>
      </c>
      <c r="E1848" s="47" t="str">
        <f t="shared" si="1"/>
        <v>5A</v>
      </c>
      <c r="F1848" s="47" t="s">
        <v>4054</v>
      </c>
      <c r="G1848" s="47" t="s">
        <v>1039</v>
      </c>
      <c r="H1848" s="48">
        <f>IF(NOT(ISBLANK(vlookup(B1848,Pop_Census_2023!$A$2:$E$3220,4,FALSE))),vlookup(B1848,Pop_Census_2023!$A$2:$E$3220,4,FALSE), vlookup(B1848,Pop_Census_2023!$A$2:$E$3220,5,FALSE))</f>
        <v>5548</v>
      </c>
    </row>
    <row r="1849">
      <c r="A1849" s="47" t="s">
        <v>3071</v>
      </c>
      <c r="B1849" s="47">
        <v>31061.0</v>
      </c>
      <c r="C1849" s="47">
        <v>5.0</v>
      </c>
      <c r="D1849" s="47" t="s">
        <v>4044</v>
      </c>
      <c r="E1849" s="47" t="str">
        <f t="shared" si="1"/>
        <v>5A</v>
      </c>
      <c r="F1849" s="47" t="s">
        <v>4054</v>
      </c>
      <c r="G1849" s="47" t="s">
        <v>132</v>
      </c>
      <c r="H1849" s="48">
        <f>IF(NOT(ISBLANK(vlookup(B1849,Pop_Census_2023!$A$2:$E$3220,4,FALSE))),vlookup(B1849,Pop_Census_2023!$A$2:$E$3220,4,FALSE), vlookup(B1849,Pop_Census_2023!$A$2:$E$3220,5,FALSE))</f>
        <v>2825</v>
      </c>
    </row>
    <row r="1850">
      <c r="A1850" s="47" t="s">
        <v>3071</v>
      </c>
      <c r="B1850" s="47">
        <v>31063.0</v>
      </c>
      <c r="C1850" s="47">
        <v>5.0</v>
      </c>
      <c r="D1850" s="47" t="s">
        <v>4044</v>
      </c>
      <c r="E1850" s="47" t="str">
        <f t="shared" si="1"/>
        <v>5A</v>
      </c>
      <c r="F1850" s="47" t="s">
        <v>4054</v>
      </c>
      <c r="G1850" s="47" t="s">
        <v>1212</v>
      </c>
      <c r="H1850" s="48">
        <f>IF(NOT(ISBLANK(vlookup(B1850,Pop_Census_2023!$A$2:$E$3220,4,FALSE))),vlookup(B1850,Pop_Census_2023!$A$2:$E$3220,4,FALSE), vlookup(B1850,Pop_Census_2023!$A$2:$E$3220,5,FALSE))</f>
        <v>2585</v>
      </c>
    </row>
    <row r="1851">
      <c r="A1851" s="47" t="s">
        <v>3071</v>
      </c>
      <c r="B1851" s="47">
        <v>31065.0</v>
      </c>
      <c r="C1851" s="47">
        <v>5.0</v>
      </c>
      <c r="D1851" s="47" t="s">
        <v>4044</v>
      </c>
      <c r="E1851" s="47" t="str">
        <f t="shared" si="1"/>
        <v>5A</v>
      </c>
      <c r="F1851" s="47" t="s">
        <v>4054</v>
      </c>
      <c r="G1851" s="47" t="s">
        <v>1213</v>
      </c>
      <c r="H1851" s="48">
        <f>IF(NOT(ISBLANK(vlookup(B1851,Pop_Census_2023!$A$2:$E$3220,4,FALSE))),vlookup(B1851,Pop_Census_2023!$A$2:$E$3220,4,FALSE), vlookup(B1851,Pop_Census_2023!$A$2:$E$3220,5,FALSE))</f>
        <v>4556</v>
      </c>
    </row>
    <row r="1852">
      <c r="A1852" s="47" t="s">
        <v>3071</v>
      </c>
      <c r="B1852" s="47">
        <v>31067.0</v>
      </c>
      <c r="C1852" s="47">
        <v>5.0</v>
      </c>
      <c r="D1852" s="47" t="s">
        <v>4044</v>
      </c>
      <c r="E1852" s="47" t="str">
        <f t="shared" si="1"/>
        <v>5A</v>
      </c>
      <c r="F1852" s="47" t="s">
        <v>4054</v>
      </c>
      <c r="G1852" s="47" t="s">
        <v>1214</v>
      </c>
      <c r="H1852" s="48">
        <f>IF(NOT(ISBLANK(vlookup(B1852,Pop_Census_2023!$A$2:$E$3220,4,FALSE))),vlookup(B1852,Pop_Census_2023!$A$2:$E$3220,4,FALSE), vlookup(B1852,Pop_Census_2023!$A$2:$E$3220,5,FALSE))</f>
        <v>21634</v>
      </c>
    </row>
    <row r="1853">
      <c r="A1853" s="47" t="s">
        <v>3071</v>
      </c>
      <c r="B1853" s="47">
        <v>31069.0</v>
      </c>
      <c r="C1853" s="47">
        <v>5.0</v>
      </c>
      <c r="D1853" s="47" t="s">
        <v>4044</v>
      </c>
      <c r="E1853" s="47" t="str">
        <f t="shared" si="1"/>
        <v>5A</v>
      </c>
      <c r="F1853" s="47" t="s">
        <v>4054</v>
      </c>
      <c r="G1853" s="47" t="s">
        <v>1215</v>
      </c>
      <c r="H1853" s="48">
        <f>IF(NOT(ISBLANK(vlookup(B1853,Pop_Census_2023!$A$2:$E$3220,4,FALSE))),vlookup(B1853,Pop_Census_2023!$A$2:$E$3220,4,FALSE), vlookup(B1853,Pop_Census_2023!$A$2:$E$3220,5,FALSE))</f>
        <v>1794</v>
      </c>
    </row>
    <row r="1854">
      <c r="A1854" s="47" t="s">
        <v>3071</v>
      </c>
      <c r="B1854" s="47">
        <v>31071.0</v>
      </c>
      <c r="C1854" s="47">
        <v>5.0</v>
      </c>
      <c r="D1854" s="47" t="s">
        <v>4044</v>
      </c>
      <c r="E1854" s="47" t="str">
        <f t="shared" si="1"/>
        <v>5A</v>
      </c>
      <c r="F1854" s="47" t="s">
        <v>4054</v>
      </c>
      <c r="G1854" s="47" t="s">
        <v>362</v>
      </c>
      <c r="H1854" s="48">
        <f>IF(NOT(ISBLANK(vlookup(B1854,Pop_Census_2023!$A$2:$E$3220,4,FALSE))),vlookup(B1854,Pop_Census_2023!$A$2:$E$3220,4,FALSE), vlookup(B1854,Pop_Census_2023!$A$2:$E$3220,5,FALSE))</f>
        <v>1763</v>
      </c>
    </row>
    <row r="1855">
      <c r="A1855" s="47" t="s">
        <v>3071</v>
      </c>
      <c r="B1855" s="47">
        <v>31073.0</v>
      </c>
      <c r="C1855" s="47">
        <v>5.0</v>
      </c>
      <c r="D1855" s="47" t="s">
        <v>4044</v>
      </c>
      <c r="E1855" s="47" t="str">
        <f t="shared" si="1"/>
        <v>5A</v>
      </c>
      <c r="F1855" s="47" t="s">
        <v>4054</v>
      </c>
      <c r="G1855" s="47" t="s">
        <v>1216</v>
      </c>
      <c r="H1855" s="48">
        <f>IF(NOT(ISBLANK(vlookup(B1855,Pop_Census_2023!$A$2:$E$3220,4,FALSE))),vlookup(B1855,Pop_Census_2023!$A$2:$E$3220,4,FALSE), vlookup(B1855,Pop_Census_2023!$A$2:$E$3220,5,FALSE))</f>
        <v>1847</v>
      </c>
    </row>
    <row r="1856">
      <c r="A1856" s="47" t="s">
        <v>3071</v>
      </c>
      <c r="B1856" s="47">
        <v>31075.0</v>
      </c>
      <c r="C1856" s="47">
        <v>5.0</v>
      </c>
      <c r="D1856" s="47" t="s">
        <v>4044</v>
      </c>
      <c r="E1856" s="47" t="str">
        <f t="shared" si="1"/>
        <v>5A</v>
      </c>
      <c r="F1856" s="47" t="s">
        <v>4054</v>
      </c>
      <c r="G1856" s="47" t="s">
        <v>242</v>
      </c>
      <c r="H1856" s="34">
        <f>IF(NOT(ISBLANK(vlookup(B1856,Pop_Census_2023!$A$2:$E$3220,4,FALSE))),vlookup(B1856,Pop_Census_2023!$A$2:$E$3220,4,FALSE), vlookup(B1856,Pop_Census_2023!$A$2:$E$3220,5,FALSE))</f>
        <v>565</v>
      </c>
    </row>
    <row r="1857">
      <c r="A1857" s="47" t="s">
        <v>3071</v>
      </c>
      <c r="B1857" s="47">
        <v>31077.0</v>
      </c>
      <c r="C1857" s="47">
        <v>5.0</v>
      </c>
      <c r="D1857" s="47" t="s">
        <v>4044</v>
      </c>
      <c r="E1857" s="47" t="str">
        <f t="shared" si="1"/>
        <v>5A</v>
      </c>
      <c r="F1857" s="47" t="s">
        <v>4054</v>
      </c>
      <c r="G1857" s="47" t="s">
        <v>770</v>
      </c>
      <c r="H1857" s="48">
        <f>IF(NOT(ISBLANK(vlookup(B1857,Pop_Census_2023!$A$2:$E$3220,4,FALSE))),vlookup(B1857,Pop_Census_2023!$A$2:$E$3220,4,FALSE), vlookup(B1857,Pop_Census_2023!$A$2:$E$3220,5,FALSE))</f>
        <v>2219</v>
      </c>
    </row>
    <row r="1858">
      <c r="A1858" s="47" t="s">
        <v>3071</v>
      </c>
      <c r="B1858" s="47">
        <v>31079.0</v>
      </c>
      <c r="C1858" s="47">
        <v>5.0</v>
      </c>
      <c r="D1858" s="47" t="s">
        <v>4044</v>
      </c>
      <c r="E1858" s="47" t="str">
        <f t="shared" si="1"/>
        <v>5A</v>
      </c>
      <c r="F1858" s="47" t="s">
        <v>4054</v>
      </c>
      <c r="G1858" s="47" t="s">
        <v>511</v>
      </c>
      <c r="H1858" s="48">
        <f>IF(NOT(ISBLANK(vlookup(B1858,Pop_Census_2023!$A$2:$E$3220,4,FALSE))),vlookup(B1858,Pop_Census_2023!$A$2:$E$3220,4,FALSE), vlookup(B1858,Pop_Census_2023!$A$2:$E$3220,5,FALSE))</f>
        <v>62197</v>
      </c>
    </row>
    <row r="1859">
      <c r="A1859" s="47" t="s">
        <v>3071</v>
      </c>
      <c r="B1859" s="47">
        <v>31081.0</v>
      </c>
      <c r="C1859" s="47">
        <v>5.0</v>
      </c>
      <c r="D1859" s="47" t="s">
        <v>4044</v>
      </c>
      <c r="E1859" s="47" t="str">
        <f t="shared" si="1"/>
        <v>5A</v>
      </c>
      <c r="F1859" s="47" t="s">
        <v>4054</v>
      </c>
      <c r="G1859" s="47" t="s">
        <v>428</v>
      </c>
      <c r="H1859" s="48">
        <f>IF(NOT(ISBLANK(vlookup(B1859,Pop_Census_2023!$A$2:$E$3220,4,FALSE))),vlookup(B1859,Pop_Census_2023!$A$2:$E$3220,4,FALSE), vlookup(B1859,Pop_Census_2023!$A$2:$E$3220,5,FALSE))</f>
        <v>9537</v>
      </c>
    </row>
    <row r="1860">
      <c r="A1860" s="47" t="s">
        <v>3071</v>
      </c>
      <c r="B1860" s="47">
        <v>31083.0</v>
      </c>
      <c r="C1860" s="47">
        <v>5.0</v>
      </c>
      <c r="D1860" s="47" t="s">
        <v>4044</v>
      </c>
      <c r="E1860" s="47" t="str">
        <f t="shared" si="1"/>
        <v>5A</v>
      </c>
      <c r="F1860" s="47" t="s">
        <v>4054</v>
      </c>
      <c r="G1860" s="47" t="s">
        <v>844</v>
      </c>
      <c r="H1860" s="48">
        <f>IF(NOT(ISBLANK(vlookup(B1860,Pop_Census_2023!$A$2:$E$3220,4,FALSE))),vlookup(B1860,Pop_Census_2023!$A$2:$E$3220,4,FALSE), vlookup(B1860,Pop_Census_2023!$A$2:$E$3220,5,FALSE))</f>
        <v>3045</v>
      </c>
    </row>
    <row r="1861">
      <c r="A1861" s="47" t="s">
        <v>3071</v>
      </c>
      <c r="B1861" s="47">
        <v>31085.0</v>
      </c>
      <c r="C1861" s="47">
        <v>5.0</v>
      </c>
      <c r="D1861" s="47" t="s">
        <v>4044</v>
      </c>
      <c r="E1861" s="47" t="str">
        <f t="shared" si="1"/>
        <v>5A</v>
      </c>
      <c r="F1861" s="47" t="s">
        <v>4054</v>
      </c>
      <c r="G1861" s="47" t="s">
        <v>1217</v>
      </c>
      <c r="H1861" s="34">
        <f>IF(NOT(ISBLANK(vlookup(B1861,Pop_Census_2023!$A$2:$E$3220,4,FALSE))),vlookup(B1861,Pop_Census_2023!$A$2:$E$3220,4,FALSE), vlookup(B1861,Pop_Census_2023!$A$2:$E$3220,5,FALSE))</f>
        <v>846</v>
      </c>
    </row>
    <row r="1862">
      <c r="A1862" s="47" t="s">
        <v>3071</v>
      </c>
      <c r="B1862" s="47">
        <v>31087.0</v>
      </c>
      <c r="C1862" s="47">
        <v>5.0</v>
      </c>
      <c r="D1862" s="47" t="s">
        <v>4044</v>
      </c>
      <c r="E1862" s="47" t="str">
        <f t="shared" si="1"/>
        <v>5A</v>
      </c>
      <c r="F1862" s="47" t="s">
        <v>4054</v>
      </c>
      <c r="G1862" s="47" t="s">
        <v>1218</v>
      </c>
      <c r="H1862" s="48">
        <f>IF(NOT(ISBLANK(vlookup(B1862,Pop_Census_2023!$A$2:$E$3220,4,FALSE))),vlookup(B1862,Pop_Census_2023!$A$2:$E$3220,4,FALSE), vlookup(B1862,Pop_Census_2023!$A$2:$E$3220,5,FALSE))</f>
        <v>2552</v>
      </c>
    </row>
    <row r="1863">
      <c r="A1863" s="47" t="s">
        <v>3071</v>
      </c>
      <c r="B1863" s="47">
        <v>31089.0</v>
      </c>
      <c r="C1863" s="47">
        <v>5.0</v>
      </c>
      <c r="D1863" s="47" t="s">
        <v>4044</v>
      </c>
      <c r="E1863" s="47" t="str">
        <f t="shared" si="1"/>
        <v>5A</v>
      </c>
      <c r="F1863" s="47" t="s">
        <v>4054</v>
      </c>
      <c r="G1863" s="47" t="s">
        <v>1136</v>
      </c>
      <c r="H1863" s="48">
        <f>IF(NOT(ISBLANK(vlookup(B1863,Pop_Census_2023!$A$2:$E$3220,4,FALSE))),vlookup(B1863,Pop_Census_2023!$A$2:$E$3220,4,FALSE), vlookup(B1863,Pop_Census_2023!$A$2:$E$3220,5,FALSE))</f>
        <v>10093</v>
      </c>
    </row>
    <row r="1864">
      <c r="A1864" s="47" t="s">
        <v>3071</v>
      </c>
      <c r="B1864" s="47">
        <v>31091.0</v>
      </c>
      <c r="C1864" s="47">
        <v>5.0</v>
      </c>
      <c r="D1864" s="47" t="s">
        <v>4044</v>
      </c>
      <c r="E1864" s="47" t="str">
        <f t="shared" si="1"/>
        <v>5A</v>
      </c>
      <c r="F1864" s="47" t="s">
        <v>4054</v>
      </c>
      <c r="G1864" s="47" t="s">
        <v>1219</v>
      </c>
      <c r="H1864" s="34">
        <f>IF(NOT(ISBLANK(vlookup(B1864,Pop_Census_2023!$A$2:$E$3220,4,FALSE))),vlookup(B1864,Pop_Census_2023!$A$2:$E$3220,4,FALSE), vlookup(B1864,Pop_Census_2023!$A$2:$E$3220,5,FALSE))</f>
        <v>679</v>
      </c>
    </row>
    <row r="1865">
      <c r="A1865" s="47" t="s">
        <v>3071</v>
      </c>
      <c r="B1865" s="47">
        <v>31093.0</v>
      </c>
      <c r="C1865" s="47">
        <v>5.0</v>
      </c>
      <c r="D1865" s="47" t="s">
        <v>4044</v>
      </c>
      <c r="E1865" s="47" t="str">
        <f t="shared" si="1"/>
        <v>5A</v>
      </c>
      <c r="F1865" s="47" t="s">
        <v>4054</v>
      </c>
      <c r="G1865" s="47" t="s">
        <v>245</v>
      </c>
      <c r="H1865" s="48">
        <f>IF(NOT(ISBLANK(vlookup(B1865,Pop_Census_2023!$A$2:$E$3220,4,FALSE))),vlookup(B1865,Pop_Census_2023!$A$2:$E$3220,4,FALSE), vlookup(B1865,Pop_Census_2023!$A$2:$E$3220,5,FALSE))</f>
        <v>6527</v>
      </c>
    </row>
    <row r="1866">
      <c r="A1866" s="47" t="s">
        <v>3071</v>
      </c>
      <c r="B1866" s="47">
        <v>31095.0</v>
      </c>
      <c r="C1866" s="47">
        <v>5.0</v>
      </c>
      <c r="D1866" s="47" t="s">
        <v>4044</v>
      </c>
      <c r="E1866" s="47" t="str">
        <f t="shared" si="1"/>
        <v>5A</v>
      </c>
      <c r="F1866" s="47" t="s">
        <v>4054</v>
      </c>
      <c r="G1866" s="47" t="s">
        <v>139</v>
      </c>
      <c r="H1866" s="48">
        <f>IF(NOT(ISBLANK(vlookup(B1866,Pop_Census_2023!$A$2:$E$3220,4,FALSE))),vlookup(B1866,Pop_Census_2023!$A$2:$E$3220,4,FALSE), vlookup(B1866,Pop_Census_2023!$A$2:$E$3220,5,FALSE))</f>
        <v>7054</v>
      </c>
    </row>
    <row r="1867">
      <c r="A1867" s="47" t="s">
        <v>3071</v>
      </c>
      <c r="B1867" s="47">
        <v>31097.0</v>
      </c>
      <c r="C1867" s="47">
        <v>5.0</v>
      </c>
      <c r="D1867" s="47" t="s">
        <v>4044</v>
      </c>
      <c r="E1867" s="47" t="str">
        <f t="shared" si="1"/>
        <v>5A</v>
      </c>
      <c r="F1867" s="47" t="s">
        <v>4054</v>
      </c>
      <c r="G1867" s="47" t="s">
        <v>248</v>
      </c>
      <c r="H1867" s="48">
        <f>IF(NOT(ISBLANK(vlookup(B1867,Pop_Census_2023!$A$2:$E$3220,4,FALSE))),vlookup(B1867,Pop_Census_2023!$A$2:$E$3220,4,FALSE), vlookup(B1867,Pop_Census_2023!$A$2:$E$3220,5,FALSE))</f>
        <v>5198</v>
      </c>
    </row>
    <row r="1868">
      <c r="A1868" s="47" t="s">
        <v>3071</v>
      </c>
      <c r="B1868" s="47">
        <v>31099.0</v>
      </c>
      <c r="C1868" s="47">
        <v>5.0</v>
      </c>
      <c r="D1868" s="47" t="s">
        <v>4044</v>
      </c>
      <c r="E1868" s="47" t="str">
        <f t="shared" si="1"/>
        <v>5A</v>
      </c>
      <c r="F1868" s="47" t="s">
        <v>4054</v>
      </c>
      <c r="G1868" s="47" t="s">
        <v>1220</v>
      </c>
      <c r="H1868" s="48">
        <f>IF(NOT(ISBLANK(vlookup(B1868,Pop_Census_2023!$A$2:$E$3220,4,FALSE))),vlookup(B1868,Pop_Census_2023!$A$2:$E$3220,4,FALSE), vlookup(B1868,Pop_Census_2023!$A$2:$E$3220,5,FALSE))</f>
        <v>6770</v>
      </c>
    </row>
    <row r="1869">
      <c r="A1869" s="47" t="s">
        <v>3071</v>
      </c>
      <c r="B1869" s="47">
        <v>31101.0</v>
      </c>
      <c r="C1869" s="47">
        <v>5.0</v>
      </c>
      <c r="D1869" s="47" t="s">
        <v>4044</v>
      </c>
      <c r="E1869" s="47" t="str">
        <f t="shared" si="1"/>
        <v>5A</v>
      </c>
      <c r="F1869" s="47" t="s">
        <v>4054</v>
      </c>
      <c r="G1869" s="47" t="s">
        <v>1221</v>
      </c>
      <c r="H1869" s="48">
        <f>IF(NOT(ISBLANK(vlookup(B1869,Pop_Census_2023!$A$2:$E$3220,4,FALSE))),vlookup(B1869,Pop_Census_2023!$A$2:$E$3220,4,FALSE), vlookup(B1869,Pop_Census_2023!$A$2:$E$3220,5,FALSE))</f>
        <v>8113</v>
      </c>
    </row>
    <row r="1870">
      <c r="A1870" s="47" t="s">
        <v>3071</v>
      </c>
      <c r="B1870" s="47">
        <v>31103.0</v>
      </c>
      <c r="C1870" s="47">
        <v>5.0</v>
      </c>
      <c r="D1870" s="47" t="s">
        <v>4044</v>
      </c>
      <c r="E1870" s="47" t="str">
        <f t="shared" si="1"/>
        <v>5A</v>
      </c>
      <c r="F1870" s="47" t="s">
        <v>4054</v>
      </c>
      <c r="G1870" s="47" t="s">
        <v>1222</v>
      </c>
      <c r="H1870" s="34">
        <f>IF(NOT(ISBLANK(vlookup(B1870,Pop_Census_2023!$A$2:$E$3220,4,FALSE))),vlookup(B1870,Pop_Census_2023!$A$2:$E$3220,4,FALSE), vlookup(B1870,Pop_Census_2023!$A$2:$E$3220,5,FALSE))</f>
        <v>805</v>
      </c>
    </row>
    <row r="1871">
      <c r="A1871" s="47" t="s">
        <v>3071</v>
      </c>
      <c r="B1871" s="47">
        <v>31105.0</v>
      </c>
      <c r="C1871" s="47">
        <v>5.0</v>
      </c>
      <c r="D1871" s="47" t="s">
        <v>4044</v>
      </c>
      <c r="E1871" s="47" t="str">
        <f t="shared" si="1"/>
        <v>5A</v>
      </c>
      <c r="F1871" s="47" t="s">
        <v>4054</v>
      </c>
      <c r="G1871" s="47" t="s">
        <v>1223</v>
      </c>
      <c r="H1871" s="48">
        <f>IF(NOT(ISBLANK(vlookup(B1871,Pop_Census_2023!$A$2:$E$3220,4,FALSE))),vlookup(B1871,Pop_Census_2023!$A$2:$E$3220,4,FALSE), vlookup(B1871,Pop_Census_2023!$A$2:$E$3220,5,FALSE))</f>
        <v>3289</v>
      </c>
    </row>
    <row r="1872">
      <c r="A1872" s="47" t="s">
        <v>3071</v>
      </c>
      <c r="B1872" s="47">
        <v>31107.0</v>
      </c>
      <c r="C1872" s="47">
        <v>5.0</v>
      </c>
      <c r="D1872" s="47" t="s">
        <v>4044</v>
      </c>
      <c r="E1872" s="47" t="str">
        <f t="shared" si="1"/>
        <v>5A</v>
      </c>
      <c r="F1872" s="47" t="s">
        <v>4054</v>
      </c>
      <c r="G1872" s="47" t="s">
        <v>634</v>
      </c>
      <c r="H1872" s="48">
        <f>IF(NOT(ISBLANK(vlookup(B1872,Pop_Census_2023!$A$2:$E$3220,4,FALSE))),vlookup(B1872,Pop_Census_2023!$A$2:$E$3220,4,FALSE), vlookup(B1872,Pop_Census_2023!$A$2:$E$3220,5,FALSE))</f>
        <v>8298</v>
      </c>
    </row>
    <row r="1873">
      <c r="A1873" s="47" t="s">
        <v>3071</v>
      </c>
      <c r="B1873" s="47">
        <v>31109.0</v>
      </c>
      <c r="C1873" s="47">
        <v>5.0</v>
      </c>
      <c r="D1873" s="47" t="s">
        <v>4044</v>
      </c>
      <c r="E1873" s="47" t="str">
        <f t="shared" si="1"/>
        <v>5A</v>
      </c>
      <c r="F1873" s="47" t="s">
        <v>4054</v>
      </c>
      <c r="G1873" s="47" t="s">
        <v>1224</v>
      </c>
      <c r="H1873" s="48">
        <f>IF(NOT(ISBLANK(vlookup(B1873,Pop_Census_2023!$A$2:$E$3220,4,FALSE))),vlookup(B1873,Pop_Census_2023!$A$2:$E$3220,4,FALSE), vlookup(B1873,Pop_Census_2023!$A$2:$E$3220,5,FALSE))</f>
        <v>326716</v>
      </c>
    </row>
    <row r="1874">
      <c r="A1874" s="47" t="s">
        <v>3071</v>
      </c>
      <c r="B1874" s="47">
        <v>31111.0</v>
      </c>
      <c r="C1874" s="47">
        <v>5.0</v>
      </c>
      <c r="D1874" s="47" t="s">
        <v>4044</v>
      </c>
      <c r="E1874" s="47" t="str">
        <f t="shared" si="1"/>
        <v>5A</v>
      </c>
      <c r="F1874" s="47" t="s">
        <v>4054</v>
      </c>
      <c r="G1874" s="47" t="s">
        <v>250</v>
      </c>
      <c r="H1874" s="48">
        <f>IF(NOT(ISBLANK(vlookup(B1874,Pop_Census_2023!$A$2:$E$3220,4,FALSE))),vlookup(B1874,Pop_Census_2023!$A$2:$E$3220,4,FALSE), vlookup(B1874,Pop_Census_2023!$A$2:$E$3220,5,FALSE))</f>
        <v>33365</v>
      </c>
    </row>
    <row r="1875">
      <c r="A1875" s="47" t="s">
        <v>3071</v>
      </c>
      <c r="B1875" s="47">
        <v>31113.0</v>
      </c>
      <c r="C1875" s="47">
        <v>5.0</v>
      </c>
      <c r="D1875" s="47" t="s">
        <v>4044</v>
      </c>
      <c r="E1875" s="47" t="str">
        <f t="shared" si="1"/>
        <v>5A</v>
      </c>
      <c r="F1875" s="47" t="s">
        <v>4054</v>
      </c>
      <c r="G1875" s="47" t="s">
        <v>252</v>
      </c>
      <c r="H1875" s="34">
        <f>IF(NOT(ISBLANK(vlookup(B1875,Pop_Census_2023!$A$2:$E$3220,4,FALSE))),vlookup(B1875,Pop_Census_2023!$A$2:$E$3220,4,FALSE), vlookup(B1875,Pop_Census_2023!$A$2:$E$3220,5,FALSE))</f>
        <v>655</v>
      </c>
    </row>
    <row r="1876">
      <c r="A1876" s="47" t="s">
        <v>3071</v>
      </c>
      <c r="B1876" s="47">
        <v>31115.0</v>
      </c>
      <c r="C1876" s="47">
        <v>5.0</v>
      </c>
      <c r="D1876" s="47" t="s">
        <v>4044</v>
      </c>
      <c r="E1876" s="47" t="str">
        <f t="shared" si="1"/>
        <v>5A</v>
      </c>
      <c r="F1876" s="47" t="s">
        <v>4054</v>
      </c>
      <c r="G1876" s="47" t="s">
        <v>1225</v>
      </c>
      <c r="H1876" s="34">
        <f>IF(NOT(ISBLANK(vlookup(B1876,Pop_Census_2023!$A$2:$E$3220,4,FALSE))),vlookup(B1876,Pop_Census_2023!$A$2:$E$3220,4,FALSE), vlookup(B1876,Pop_Census_2023!$A$2:$E$3220,5,FALSE))</f>
        <v>592</v>
      </c>
    </row>
    <row r="1877">
      <c r="A1877" s="47" t="s">
        <v>3071</v>
      </c>
      <c r="B1877" s="47">
        <v>31119.0</v>
      </c>
      <c r="C1877" s="47">
        <v>5.0</v>
      </c>
      <c r="D1877" s="47" t="s">
        <v>4044</v>
      </c>
      <c r="E1877" s="47" t="str">
        <f t="shared" si="1"/>
        <v>5A</v>
      </c>
      <c r="F1877" s="47" t="s">
        <v>4054</v>
      </c>
      <c r="G1877" s="47" t="s">
        <v>147</v>
      </c>
      <c r="H1877" s="48">
        <f>IF(NOT(ISBLANK(vlookup(B1877,Pop_Census_2023!$A$2:$E$3220,4,FALSE))),vlookup(B1877,Pop_Census_2023!$A$2:$E$3220,4,FALSE), vlookup(B1877,Pop_Census_2023!$A$2:$E$3220,5,FALSE))</f>
        <v>35627</v>
      </c>
    </row>
    <row r="1878">
      <c r="A1878" s="47" t="s">
        <v>3071</v>
      </c>
      <c r="B1878" s="47">
        <v>31117.0</v>
      </c>
      <c r="C1878" s="47">
        <v>5.0</v>
      </c>
      <c r="D1878" s="47" t="s">
        <v>4044</v>
      </c>
      <c r="E1878" s="47" t="str">
        <f t="shared" si="1"/>
        <v>5A</v>
      </c>
      <c r="F1878" s="47" t="s">
        <v>4054</v>
      </c>
      <c r="G1878" s="47" t="s">
        <v>782</v>
      </c>
      <c r="H1878" s="34">
        <f>IF(NOT(ISBLANK(vlookup(B1878,Pop_Census_2023!$A$2:$E$3220,4,FALSE))),vlookup(B1878,Pop_Census_2023!$A$2:$E$3220,4,FALSE), vlookup(B1878,Pop_Census_2023!$A$2:$E$3220,5,FALSE))</f>
        <v>383</v>
      </c>
    </row>
    <row r="1879">
      <c r="A1879" s="47" t="s">
        <v>3071</v>
      </c>
      <c r="B1879" s="47">
        <v>31121.0</v>
      </c>
      <c r="C1879" s="47">
        <v>5.0</v>
      </c>
      <c r="D1879" s="47" t="s">
        <v>4044</v>
      </c>
      <c r="E1879" s="47" t="str">
        <f t="shared" si="1"/>
        <v>5A</v>
      </c>
      <c r="F1879" s="47" t="s">
        <v>4054</v>
      </c>
      <c r="G1879" s="47" t="s">
        <v>1226</v>
      </c>
      <c r="H1879" s="48">
        <f>IF(NOT(ISBLANK(vlookup(B1879,Pop_Census_2023!$A$2:$E$3220,4,FALSE))),vlookup(B1879,Pop_Census_2023!$A$2:$E$3220,4,FALSE), vlookup(B1879,Pop_Census_2023!$A$2:$E$3220,5,FALSE))</f>
        <v>7755</v>
      </c>
    </row>
    <row r="1880">
      <c r="A1880" s="47" t="s">
        <v>3071</v>
      </c>
      <c r="B1880" s="47">
        <v>31123.0</v>
      </c>
      <c r="C1880" s="47">
        <v>5.0</v>
      </c>
      <c r="D1880" s="47" t="s">
        <v>4044</v>
      </c>
      <c r="E1880" s="47" t="str">
        <f t="shared" si="1"/>
        <v>5A</v>
      </c>
      <c r="F1880" s="47" t="s">
        <v>4054</v>
      </c>
      <c r="G1880" s="47" t="s">
        <v>1227</v>
      </c>
      <c r="H1880" s="48">
        <f>IF(NOT(ISBLANK(vlookup(B1880,Pop_Census_2023!$A$2:$E$3220,4,FALSE))),vlookup(B1880,Pop_Census_2023!$A$2:$E$3220,4,FALSE), vlookup(B1880,Pop_Census_2023!$A$2:$E$3220,5,FALSE))</f>
        <v>4504</v>
      </c>
    </row>
    <row r="1881">
      <c r="A1881" s="47" t="s">
        <v>3071</v>
      </c>
      <c r="B1881" s="47">
        <v>31125.0</v>
      </c>
      <c r="C1881" s="47">
        <v>5.0</v>
      </c>
      <c r="D1881" s="47" t="s">
        <v>4044</v>
      </c>
      <c r="E1881" s="47" t="str">
        <f t="shared" si="1"/>
        <v>5A</v>
      </c>
      <c r="F1881" s="47" t="s">
        <v>4054</v>
      </c>
      <c r="G1881" s="47" t="s">
        <v>1228</v>
      </c>
      <c r="H1881" s="48">
        <f>IF(NOT(ISBLANK(vlookup(B1881,Pop_Census_2023!$A$2:$E$3220,4,FALSE))),vlookup(B1881,Pop_Census_2023!$A$2:$E$3220,4,FALSE), vlookup(B1881,Pop_Census_2023!$A$2:$E$3220,5,FALSE))</f>
        <v>3274</v>
      </c>
    </row>
    <row r="1882">
      <c r="A1882" s="47" t="s">
        <v>3071</v>
      </c>
      <c r="B1882" s="47">
        <v>31127.0</v>
      </c>
      <c r="C1882" s="47">
        <v>5.0</v>
      </c>
      <c r="D1882" s="47" t="s">
        <v>4044</v>
      </c>
      <c r="E1882" s="47" t="str">
        <f t="shared" si="1"/>
        <v>5A</v>
      </c>
      <c r="F1882" s="47" t="s">
        <v>4054</v>
      </c>
      <c r="G1882" s="47" t="s">
        <v>786</v>
      </c>
      <c r="H1882" s="48">
        <f>IF(NOT(ISBLANK(vlookup(B1882,Pop_Census_2023!$A$2:$E$3220,4,FALSE))),vlookup(B1882,Pop_Census_2023!$A$2:$E$3220,4,FALSE), vlookup(B1882,Pop_Census_2023!$A$2:$E$3220,5,FALSE))</f>
        <v>7076</v>
      </c>
    </row>
    <row r="1883">
      <c r="A1883" s="47" t="s">
        <v>3071</v>
      </c>
      <c r="B1883" s="47">
        <v>31129.0</v>
      </c>
      <c r="C1883" s="47">
        <v>5.0</v>
      </c>
      <c r="D1883" s="47" t="s">
        <v>4044</v>
      </c>
      <c r="E1883" s="47" t="str">
        <f t="shared" si="1"/>
        <v>5A</v>
      </c>
      <c r="F1883" s="47" t="s">
        <v>4054</v>
      </c>
      <c r="G1883" s="47" t="s">
        <v>1229</v>
      </c>
      <c r="H1883" s="48">
        <f>IF(NOT(ISBLANK(vlookup(B1883,Pop_Census_2023!$A$2:$E$3220,4,FALSE))),vlookup(B1883,Pop_Census_2023!$A$2:$E$3220,4,FALSE), vlookup(B1883,Pop_Census_2023!$A$2:$E$3220,5,FALSE))</f>
        <v>4095</v>
      </c>
    </row>
    <row r="1884">
      <c r="A1884" s="47" t="s">
        <v>3071</v>
      </c>
      <c r="B1884" s="47">
        <v>31131.0</v>
      </c>
      <c r="C1884" s="47">
        <v>5.0</v>
      </c>
      <c r="D1884" s="47" t="s">
        <v>4044</v>
      </c>
      <c r="E1884" s="47" t="str">
        <f t="shared" si="1"/>
        <v>5A</v>
      </c>
      <c r="F1884" s="47" t="s">
        <v>4054</v>
      </c>
      <c r="G1884" s="47" t="s">
        <v>1230</v>
      </c>
      <c r="H1884" s="48">
        <f>IF(NOT(ISBLANK(vlookup(B1884,Pop_Census_2023!$A$2:$E$3220,4,FALSE))),vlookup(B1884,Pop_Census_2023!$A$2:$E$3220,4,FALSE), vlookup(B1884,Pop_Census_2023!$A$2:$E$3220,5,FALSE))</f>
        <v>16335</v>
      </c>
    </row>
    <row r="1885">
      <c r="A1885" s="47" t="s">
        <v>3071</v>
      </c>
      <c r="B1885" s="47">
        <v>31133.0</v>
      </c>
      <c r="C1885" s="47">
        <v>5.0</v>
      </c>
      <c r="D1885" s="47" t="s">
        <v>4044</v>
      </c>
      <c r="E1885" s="47" t="str">
        <f t="shared" si="1"/>
        <v>5A</v>
      </c>
      <c r="F1885" s="47" t="s">
        <v>4054</v>
      </c>
      <c r="G1885" s="47" t="s">
        <v>793</v>
      </c>
      <c r="H1885" s="48">
        <f>IF(NOT(ISBLANK(vlookup(B1885,Pop_Census_2023!$A$2:$E$3220,4,FALSE))),vlookup(B1885,Pop_Census_2023!$A$2:$E$3220,4,FALSE), vlookup(B1885,Pop_Census_2023!$A$2:$E$3220,5,FALSE))</f>
        <v>2512</v>
      </c>
    </row>
    <row r="1886">
      <c r="A1886" s="47" t="s">
        <v>3071</v>
      </c>
      <c r="B1886" s="47">
        <v>31135.0</v>
      </c>
      <c r="C1886" s="47">
        <v>5.0</v>
      </c>
      <c r="D1886" s="47" t="s">
        <v>4044</v>
      </c>
      <c r="E1886" s="47" t="str">
        <f t="shared" si="1"/>
        <v>5A</v>
      </c>
      <c r="F1886" s="47" t="s">
        <v>4054</v>
      </c>
      <c r="G1886" s="47" t="s">
        <v>1231</v>
      </c>
      <c r="H1886" s="48">
        <f>IF(NOT(ISBLANK(vlookup(B1886,Pop_Census_2023!$A$2:$E$3220,4,FALSE))),vlookup(B1886,Pop_Census_2023!$A$2:$E$3220,4,FALSE), vlookup(B1886,Pop_Census_2023!$A$2:$E$3220,5,FALSE))</f>
        <v>2795</v>
      </c>
    </row>
    <row r="1887">
      <c r="A1887" s="47" t="s">
        <v>3071</v>
      </c>
      <c r="B1887" s="47">
        <v>31137.0</v>
      </c>
      <c r="C1887" s="47">
        <v>5.0</v>
      </c>
      <c r="D1887" s="47" t="s">
        <v>4044</v>
      </c>
      <c r="E1887" s="47" t="str">
        <f t="shared" si="1"/>
        <v>5A</v>
      </c>
      <c r="F1887" s="47" t="s">
        <v>4054</v>
      </c>
      <c r="G1887" s="47" t="s">
        <v>1148</v>
      </c>
      <c r="H1887" s="48">
        <f>IF(NOT(ISBLANK(vlookup(B1887,Pop_Census_2023!$A$2:$E$3220,4,FALSE))),vlookup(B1887,Pop_Census_2023!$A$2:$E$3220,4,FALSE), vlookup(B1887,Pop_Census_2023!$A$2:$E$3220,5,FALSE))</f>
        <v>9057</v>
      </c>
    </row>
    <row r="1888">
      <c r="A1888" s="47" t="s">
        <v>3071</v>
      </c>
      <c r="B1888" s="47">
        <v>31139.0</v>
      </c>
      <c r="C1888" s="47">
        <v>5.0</v>
      </c>
      <c r="D1888" s="47" t="s">
        <v>4044</v>
      </c>
      <c r="E1888" s="47" t="str">
        <f t="shared" si="1"/>
        <v>5A</v>
      </c>
      <c r="F1888" s="47" t="s">
        <v>4054</v>
      </c>
      <c r="G1888" s="47" t="s">
        <v>536</v>
      </c>
      <c r="H1888" s="48">
        <f>IF(NOT(ISBLANK(vlookup(B1888,Pop_Census_2023!$A$2:$E$3220,4,FALSE))),vlookup(B1888,Pop_Census_2023!$A$2:$E$3220,4,FALSE), vlookup(B1888,Pop_Census_2023!$A$2:$E$3220,5,FALSE))</f>
        <v>7299</v>
      </c>
    </row>
    <row r="1889">
      <c r="A1889" s="47" t="s">
        <v>3071</v>
      </c>
      <c r="B1889" s="47">
        <v>31141.0</v>
      </c>
      <c r="C1889" s="47">
        <v>5.0</v>
      </c>
      <c r="D1889" s="47" t="s">
        <v>4044</v>
      </c>
      <c r="E1889" s="47" t="str">
        <f t="shared" si="1"/>
        <v>5A</v>
      </c>
      <c r="F1889" s="47" t="s">
        <v>4054</v>
      </c>
      <c r="G1889" s="47" t="s">
        <v>1149</v>
      </c>
      <c r="H1889" s="48">
        <f>IF(NOT(ISBLANK(vlookup(B1889,Pop_Census_2023!$A$2:$E$3220,4,FALSE))),vlookup(B1889,Pop_Census_2023!$A$2:$E$3220,4,FALSE), vlookup(B1889,Pop_Census_2023!$A$2:$E$3220,5,FALSE))</f>
        <v>34609</v>
      </c>
    </row>
    <row r="1890">
      <c r="A1890" s="47" t="s">
        <v>3071</v>
      </c>
      <c r="B1890" s="47">
        <v>31143.0</v>
      </c>
      <c r="C1890" s="47">
        <v>5.0</v>
      </c>
      <c r="D1890" s="47" t="s">
        <v>4044</v>
      </c>
      <c r="E1890" s="47" t="str">
        <f t="shared" si="1"/>
        <v>5A</v>
      </c>
      <c r="F1890" s="47" t="s">
        <v>4054</v>
      </c>
      <c r="G1890" s="47" t="s">
        <v>261</v>
      </c>
      <c r="H1890" s="48">
        <f>IF(NOT(ISBLANK(vlookup(B1890,Pop_Census_2023!$A$2:$E$3220,4,FALSE))),vlookup(B1890,Pop_Census_2023!$A$2:$E$3220,4,FALSE), vlookup(B1890,Pop_Census_2023!$A$2:$E$3220,5,FALSE))</f>
        <v>5228</v>
      </c>
    </row>
    <row r="1891">
      <c r="A1891" s="47" t="s">
        <v>3071</v>
      </c>
      <c r="B1891" s="47">
        <v>31145.0</v>
      </c>
      <c r="C1891" s="47">
        <v>5.0</v>
      </c>
      <c r="D1891" s="47" t="s">
        <v>4044</v>
      </c>
      <c r="E1891" s="47" t="str">
        <f t="shared" si="1"/>
        <v>5A</v>
      </c>
      <c r="F1891" s="47" t="s">
        <v>4054</v>
      </c>
      <c r="G1891" s="47" t="s">
        <v>1232</v>
      </c>
      <c r="H1891" s="48">
        <f>IF(NOT(ISBLANK(vlookup(B1891,Pop_Census_2023!$A$2:$E$3220,4,FALSE))),vlookup(B1891,Pop_Census_2023!$A$2:$E$3220,4,FALSE), vlookup(B1891,Pop_Census_2023!$A$2:$E$3220,5,FALSE))</f>
        <v>10457</v>
      </c>
    </row>
    <row r="1892">
      <c r="A1892" s="47" t="s">
        <v>3071</v>
      </c>
      <c r="B1892" s="47">
        <v>31147.0</v>
      </c>
      <c r="C1892" s="47">
        <v>5.0</v>
      </c>
      <c r="D1892" s="47" t="s">
        <v>4044</v>
      </c>
      <c r="E1892" s="47" t="str">
        <f t="shared" si="1"/>
        <v>5A</v>
      </c>
      <c r="F1892" s="47" t="s">
        <v>4054</v>
      </c>
      <c r="G1892" s="47" t="s">
        <v>1233</v>
      </c>
      <c r="H1892" s="48">
        <f>IF(NOT(ISBLANK(vlookup(B1892,Pop_Census_2023!$A$2:$E$3220,4,FALSE))),vlookup(B1892,Pop_Census_2023!$A$2:$E$3220,4,FALSE), vlookup(B1892,Pop_Census_2023!$A$2:$E$3220,5,FALSE))</f>
        <v>7689</v>
      </c>
    </row>
    <row r="1893">
      <c r="A1893" s="47" t="s">
        <v>3071</v>
      </c>
      <c r="B1893" s="47">
        <v>31149.0</v>
      </c>
      <c r="C1893" s="47">
        <v>5.0</v>
      </c>
      <c r="D1893" s="47" t="s">
        <v>4044</v>
      </c>
      <c r="E1893" s="47" t="str">
        <f t="shared" si="1"/>
        <v>5A</v>
      </c>
      <c r="F1893" s="47" t="s">
        <v>4054</v>
      </c>
      <c r="G1893" s="47" t="s">
        <v>1071</v>
      </c>
      <c r="H1893" s="48">
        <f>IF(NOT(ISBLANK(vlookup(B1893,Pop_Census_2023!$A$2:$E$3220,4,FALSE))),vlookup(B1893,Pop_Census_2023!$A$2:$E$3220,4,FALSE), vlookup(B1893,Pop_Census_2023!$A$2:$E$3220,5,FALSE))</f>
        <v>1271</v>
      </c>
    </row>
    <row r="1894">
      <c r="A1894" s="47" t="s">
        <v>3071</v>
      </c>
      <c r="B1894" s="47">
        <v>31151.0</v>
      </c>
      <c r="C1894" s="47">
        <v>5.0</v>
      </c>
      <c r="D1894" s="47" t="s">
        <v>4044</v>
      </c>
      <c r="E1894" s="47" t="str">
        <f t="shared" si="1"/>
        <v>5A</v>
      </c>
      <c r="F1894" s="47" t="s">
        <v>4054</v>
      </c>
      <c r="G1894" s="47" t="s">
        <v>266</v>
      </c>
      <c r="H1894" s="48">
        <f>IF(NOT(ISBLANK(vlookup(B1894,Pop_Census_2023!$A$2:$E$3220,4,FALSE))),vlookup(B1894,Pop_Census_2023!$A$2:$E$3220,4,FALSE), vlookup(B1894,Pop_Census_2023!$A$2:$E$3220,5,FALSE))</f>
        <v>14555</v>
      </c>
    </row>
    <row r="1895">
      <c r="A1895" s="47" t="s">
        <v>3071</v>
      </c>
      <c r="B1895" s="47">
        <v>31153.0</v>
      </c>
      <c r="C1895" s="47">
        <v>5.0</v>
      </c>
      <c r="D1895" s="47" t="s">
        <v>4044</v>
      </c>
      <c r="E1895" s="47" t="str">
        <f t="shared" si="1"/>
        <v>5A</v>
      </c>
      <c r="F1895" s="47" t="s">
        <v>4054</v>
      </c>
      <c r="G1895" s="47" t="s">
        <v>1234</v>
      </c>
      <c r="H1895" s="48">
        <f>IF(NOT(ISBLANK(vlookup(B1895,Pop_Census_2023!$A$2:$E$3220,4,FALSE))),vlookup(B1895,Pop_Census_2023!$A$2:$E$3220,4,FALSE), vlookup(B1895,Pop_Census_2023!$A$2:$E$3220,5,FALSE))</f>
        <v>199886</v>
      </c>
    </row>
    <row r="1896">
      <c r="A1896" s="47" t="s">
        <v>3071</v>
      </c>
      <c r="B1896" s="47">
        <v>31155.0</v>
      </c>
      <c r="C1896" s="47">
        <v>5.0</v>
      </c>
      <c r="D1896" s="47" t="s">
        <v>4044</v>
      </c>
      <c r="E1896" s="47" t="str">
        <f t="shared" si="1"/>
        <v>5A</v>
      </c>
      <c r="F1896" s="47" t="s">
        <v>4054</v>
      </c>
      <c r="G1896" s="47" t="s">
        <v>1235</v>
      </c>
      <c r="H1896" s="48">
        <f>IF(NOT(ISBLANK(vlookup(B1896,Pop_Census_2023!$A$2:$E$3220,4,FALSE))),vlookup(B1896,Pop_Census_2023!$A$2:$E$3220,4,FALSE), vlookup(B1896,Pop_Census_2023!$A$2:$E$3220,5,FALSE))</f>
        <v>23463</v>
      </c>
    </row>
    <row r="1897">
      <c r="A1897" s="47" t="s">
        <v>3071</v>
      </c>
      <c r="B1897" s="47">
        <v>31157.0</v>
      </c>
      <c r="C1897" s="47">
        <v>5.0</v>
      </c>
      <c r="D1897" s="47" t="s">
        <v>4044</v>
      </c>
      <c r="E1897" s="47" t="str">
        <f t="shared" si="1"/>
        <v>5A</v>
      </c>
      <c r="F1897" s="47" t="s">
        <v>4054</v>
      </c>
      <c r="G1897" s="47" t="s">
        <v>1236</v>
      </c>
      <c r="H1897" s="48">
        <f>IF(NOT(ISBLANK(vlookup(B1897,Pop_Census_2023!$A$2:$E$3220,4,FALSE))),vlookup(B1897,Pop_Census_2023!$A$2:$E$3220,4,FALSE), vlookup(B1897,Pop_Census_2023!$A$2:$E$3220,5,FALSE))</f>
        <v>35699</v>
      </c>
    </row>
    <row r="1898">
      <c r="A1898" s="47" t="s">
        <v>3071</v>
      </c>
      <c r="B1898" s="47">
        <v>31159.0</v>
      </c>
      <c r="C1898" s="47">
        <v>5.0</v>
      </c>
      <c r="D1898" s="47" t="s">
        <v>4044</v>
      </c>
      <c r="E1898" s="47" t="str">
        <f t="shared" si="1"/>
        <v>5A</v>
      </c>
      <c r="F1898" s="47" t="s">
        <v>4054</v>
      </c>
      <c r="G1898" s="47" t="s">
        <v>802</v>
      </c>
      <c r="H1898" s="48">
        <f>IF(NOT(ISBLANK(vlookup(B1898,Pop_Census_2023!$A$2:$E$3220,4,FALSE))),vlookup(B1898,Pop_Census_2023!$A$2:$E$3220,4,FALSE), vlookup(B1898,Pop_Census_2023!$A$2:$E$3220,5,FALSE))</f>
        <v>17671</v>
      </c>
    </row>
    <row r="1899">
      <c r="A1899" s="47" t="s">
        <v>3071</v>
      </c>
      <c r="B1899" s="47">
        <v>31161.0</v>
      </c>
      <c r="C1899" s="47">
        <v>5.0</v>
      </c>
      <c r="D1899" s="47" t="s">
        <v>4044</v>
      </c>
      <c r="E1899" s="47" t="str">
        <f t="shared" si="1"/>
        <v>5A</v>
      </c>
      <c r="F1899" s="47" t="s">
        <v>4054</v>
      </c>
      <c r="G1899" s="47" t="s">
        <v>804</v>
      </c>
      <c r="H1899" s="48">
        <f>IF(NOT(ISBLANK(vlookup(B1899,Pop_Census_2023!$A$2:$E$3220,4,FALSE))),vlookup(B1899,Pop_Census_2023!$A$2:$E$3220,4,FALSE), vlookup(B1899,Pop_Census_2023!$A$2:$E$3220,5,FALSE))</f>
        <v>4928</v>
      </c>
    </row>
    <row r="1900">
      <c r="A1900" s="47" t="s">
        <v>3071</v>
      </c>
      <c r="B1900" s="47">
        <v>31163.0</v>
      </c>
      <c r="C1900" s="47">
        <v>5.0</v>
      </c>
      <c r="D1900" s="47" t="s">
        <v>4044</v>
      </c>
      <c r="E1900" s="47" t="str">
        <f t="shared" si="1"/>
        <v>5A</v>
      </c>
      <c r="F1900" s="47" t="s">
        <v>4054</v>
      </c>
      <c r="G1900" s="47" t="s">
        <v>805</v>
      </c>
      <c r="H1900" s="48">
        <f>IF(NOT(ISBLANK(vlookup(B1900,Pop_Census_2023!$A$2:$E$3220,4,FALSE))),vlookup(B1900,Pop_Census_2023!$A$2:$E$3220,4,FALSE), vlookup(B1900,Pop_Census_2023!$A$2:$E$3220,5,FALSE))</f>
        <v>2983</v>
      </c>
    </row>
    <row r="1901">
      <c r="A1901" s="47" t="s">
        <v>3071</v>
      </c>
      <c r="B1901" s="47">
        <v>31165.0</v>
      </c>
      <c r="C1901" s="47">
        <v>5.0</v>
      </c>
      <c r="D1901" s="47" t="s">
        <v>4044</v>
      </c>
      <c r="E1901" s="47" t="str">
        <f t="shared" si="1"/>
        <v>5A</v>
      </c>
      <c r="F1901" s="47" t="s">
        <v>4054</v>
      </c>
      <c r="G1901" s="47" t="s">
        <v>743</v>
      </c>
      <c r="H1901" s="48">
        <f>IF(NOT(ISBLANK(vlookup(B1901,Pop_Census_2023!$A$2:$E$3220,4,FALSE))),vlookup(B1901,Pop_Census_2023!$A$2:$E$3220,4,FALSE), vlookup(B1901,Pop_Census_2023!$A$2:$E$3220,5,FALSE))</f>
        <v>1154</v>
      </c>
    </row>
    <row r="1902">
      <c r="A1902" s="47" t="s">
        <v>3071</v>
      </c>
      <c r="B1902" s="47">
        <v>31167.0</v>
      </c>
      <c r="C1902" s="47">
        <v>5.0</v>
      </c>
      <c r="D1902" s="47" t="s">
        <v>4044</v>
      </c>
      <c r="E1902" s="47" t="str">
        <f t="shared" si="1"/>
        <v>5A</v>
      </c>
      <c r="F1902" s="47" t="s">
        <v>4054</v>
      </c>
      <c r="G1902" s="47" t="s">
        <v>808</v>
      </c>
      <c r="H1902" s="48">
        <f>IF(NOT(ISBLANK(vlookup(B1902,Pop_Census_2023!$A$2:$E$3220,4,FALSE))),vlookup(B1902,Pop_Census_2023!$A$2:$E$3220,4,FALSE), vlookup(B1902,Pop_Census_2023!$A$2:$E$3220,5,FALSE))</f>
        <v>5856</v>
      </c>
    </row>
    <row r="1903">
      <c r="A1903" s="47" t="s">
        <v>3071</v>
      </c>
      <c r="B1903" s="47">
        <v>31169.0</v>
      </c>
      <c r="C1903" s="47">
        <v>5.0</v>
      </c>
      <c r="D1903" s="47" t="s">
        <v>4044</v>
      </c>
      <c r="E1903" s="47" t="str">
        <f t="shared" si="1"/>
        <v>5A</v>
      </c>
      <c r="F1903" s="47" t="s">
        <v>4054</v>
      </c>
      <c r="G1903" s="47" t="s">
        <v>1237</v>
      </c>
      <c r="H1903" s="48">
        <f>IF(NOT(ISBLANK(vlookup(B1903,Pop_Census_2023!$A$2:$E$3220,4,FALSE))),vlookup(B1903,Pop_Census_2023!$A$2:$E$3220,4,FALSE), vlookup(B1903,Pop_Census_2023!$A$2:$E$3220,5,FALSE))</f>
        <v>4829</v>
      </c>
    </row>
    <row r="1904">
      <c r="A1904" s="47" t="s">
        <v>3071</v>
      </c>
      <c r="B1904" s="47">
        <v>31171.0</v>
      </c>
      <c r="C1904" s="47">
        <v>5.0</v>
      </c>
      <c r="D1904" s="47" t="s">
        <v>4044</v>
      </c>
      <c r="E1904" s="47" t="str">
        <f t="shared" si="1"/>
        <v>5A</v>
      </c>
      <c r="F1904" s="47" t="s">
        <v>4054</v>
      </c>
      <c r="G1904" s="47" t="s">
        <v>551</v>
      </c>
      <c r="H1904" s="34">
        <f>IF(NOT(ISBLANK(vlookup(B1904,Pop_Census_2023!$A$2:$E$3220,4,FALSE))),vlookup(B1904,Pop_Census_2023!$A$2:$E$3220,4,FALSE), vlookup(B1904,Pop_Census_2023!$A$2:$E$3220,5,FALSE))</f>
        <v>677</v>
      </c>
    </row>
    <row r="1905">
      <c r="A1905" s="47" t="s">
        <v>3071</v>
      </c>
      <c r="B1905" s="47">
        <v>31173.0</v>
      </c>
      <c r="C1905" s="47">
        <v>5.0</v>
      </c>
      <c r="D1905" s="47" t="s">
        <v>4044</v>
      </c>
      <c r="E1905" s="47" t="str">
        <f t="shared" si="1"/>
        <v>5A</v>
      </c>
      <c r="F1905" s="47" t="s">
        <v>4054</v>
      </c>
      <c r="G1905" s="47" t="s">
        <v>1238</v>
      </c>
      <c r="H1905" s="48">
        <f>IF(NOT(ISBLANK(vlookup(B1905,Pop_Census_2023!$A$2:$E$3220,4,FALSE))),vlookup(B1905,Pop_Census_2023!$A$2:$E$3220,4,FALSE), vlookup(B1905,Pop_Census_2023!$A$2:$E$3220,5,FALSE))</f>
        <v>6557</v>
      </c>
    </row>
    <row r="1906">
      <c r="A1906" s="47" t="s">
        <v>3071</v>
      </c>
      <c r="B1906" s="47">
        <v>31175.0</v>
      </c>
      <c r="C1906" s="47">
        <v>5.0</v>
      </c>
      <c r="D1906" s="47" t="s">
        <v>4044</v>
      </c>
      <c r="E1906" s="47" t="str">
        <f t="shared" si="1"/>
        <v>5A</v>
      </c>
      <c r="F1906" s="47" t="s">
        <v>4054</v>
      </c>
      <c r="G1906" s="47" t="s">
        <v>607</v>
      </c>
      <c r="H1906" s="48">
        <f>IF(NOT(ISBLANK(vlookup(B1906,Pop_Census_2023!$A$2:$E$3220,4,FALSE))),vlookup(B1906,Pop_Census_2023!$A$2:$E$3220,4,FALSE), vlookup(B1906,Pop_Census_2023!$A$2:$E$3220,5,FALSE))</f>
        <v>4012</v>
      </c>
    </row>
    <row r="1907">
      <c r="A1907" s="47" t="s">
        <v>3071</v>
      </c>
      <c r="B1907" s="47">
        <v>31177.0</v>
      </c>
      <c r="C1907" s="47">
        <v>5.0</v>
      </c>
      <c r="D1907" s="47" t="s">
        <v>4044</v>
      </c>
      <c r="E1907" s="47" t="str">
        <f t="shared" si="1"/>
        <v>5A</v>
      </c>
      <c r="F1907" s="47" t="s">
        <v>4054</v>
      </c>
      <c r="G1907" s="47" t="s">
        <v>167</v>
      </c>
      <c r="H1907" s="48">
        <f>IF(NOT(ISBLANK(vlookup(B1907,Pop_Census_2023!$A$2:$E$3220,4,FALSE))),vlookup(B1907,Pop_Census_2023!$A$2:$E$3220,4,FALSE), vlookup(B1907,Pop_Census_2023!$A$2:$E$3220,5,FALSE))</f>
        <v>21152</v>
      </c>
    </row>
    <row r="1908">
      <c r="A1908" s="47" t="s">
        <v>3071</v>
      </c>
      <c r="B1908" s="47">
        <v>31179.0</v>
      </c>
      <c r="C1908" s="47">
        <v>5.0</v>
      </c>
      <c r="D1908" s="47" t="s">
        <v>4044</v>
      </c>
      <c r="E1908" s="47" t="str">
        <f t="shared" si="1"/>
        <v>5A</v>
      </c>
      <c r="F1908" s="47" t="s">
        <v>4054</v>
      </c>
      <c r="G1908" s="47" t="s">
        <v>562</v>
      </c>
      <c r="H1908" s="48">
        <f>IF(NOT(ISBLANK(vlookup(B1908,Pop_Census_2023!$A$2:$E$3220,4,FALSE))),vlookup(B1908,Pop_Census_2023!$A$2:$E$3220,4,FALSE), vlookup(B1908,Pop_Census_2023!$A$2:$E$3220,5,FALSE))</f>
        <v>9874</v>
      </c>
    </row>
    <row r="1909">
      <c r="A1909" s="47" t="s">
        <v>3071</v>
      </c>
      <c r="B1909" s="47">
        <v>31181.0</v>
      </c>
      <c r="C1909" s="47">
        <v>5.0</v>
      </c>
      <c r="D1909" s="47" t="s">
        <v>4044</v>
      </c>
      <c r="E1909" s="47" t="str">
        <f t="shared" si="1"/>
        <v>5A</v>
      </c>
      <c r="F1909" s="47" t="s">
        <v>4054</v>
      </c>
      <c r="G1909" s="47" t="s">
        <v>563</v>
      </c>
      <c r="H1909" s="48">
        <f>IF(NOT(ISBLANK(vlookup(B1909,Pop_Census_2023!$A$2:$E$3220,4,FALSE))),vlookup(B1909,Pop_Census_2023!$A$2:$E$3220,4,FALSE), vlookup(B1909,Pop_Census_2023!$A$2:$E$3220,5,FALSE))</f>
        <v>3351</v>
      </c>
    </row>
    <row r="1910">
      <c r="A1910" s="47" t="s">
        <v>3071</v>
      </c>
      <c r="B1910" s="47">
        <v>31183.0</v>
      </c>
      <c r="C1910" s="47">
        <v>5.0</v>
      </c>
      <c r="D1910" s="47" t="s">
        <v>4044</v>
      </c>
      <c r="E1910" s="47" t="str">
        <f t="shared" si="1"/>
        <v>5A</v>
      </c>
      <c r="F1910" s="47" t="s">
        <v>4054</v>
      </c>
      <c r="G1910" s="47" t="s">
        <v>564</v>
      </c>
      <c r="H1910" s="34">
        <f>IF(NOT(ISBLANK(vlookup(B1910,Pop_Census_2023!$A$2:$E$3220,4,FALSE))),vlookup(B1910,Pop_Census_2023!$A$2:$E$3220,4,FALSE), vlookup(B1910,Pop_Census_2023!$A$2:$E$3220,5,FALSE))</f>
        <v>775</v>
      </c>
    </row>
    <row r="1911">
      <c r="A1911" s="47" t="s">
        <v>3071</v>
      </c>
      <c r="B1911" s="47">
        <v>31185.0</v>
      </c>
      <c r="C1911" s="47">
        <v>5.0</v>
      </c>
      <c r="D1911" s="47" t="s">
        <v>4044</v>
      </c>
      <c r="E1911" s="47" t="str">
        <f t="shared" si="1"/>
        <v>5A</v>
      </c>
      <c r="F1911" s="47" t="s">
        <v>4054</v>
      </c>
      <c r="G1911" s="47" t="s">
        <v>932</v>
      </c>
      <c r="H1911" s="48">
        <f>IF(NOT(ISBLANK(vlookup(B1911,Pop_Census_2023!$A$2:$E$3220,4,FALSE))),vlookup(B1911,Pop_Census_2023!$A$2:$E$3220,4,FALSE), vlookup(B1911,Pop_Census_2023!$A$2:$E$3220,5,FALSE))</f>
        <v>14356</v>
      </c>
    </row>
    <row r="1912">
      <c r="A1912" s="47" t="s">
        <v>3123</v>
      </c>
      <c r="B1912" s="47">
        <v>33001.0</v>
      </c>
      <c r="C1912" s="47">
        <v>6.0</v>
      </c>
      <c r="D1912" s="47" t="s">
        <v>4044</v>
      </c>
      <c r="E1912" s="47" t="str">
        <f t="shared" si="1"/>
        <v>6A</v>
      </c>
      <c r="F1912" s="47" t="s">
        <v>4054</v>
      </c>
      <c r="G1912" s="47" t="s">
        <v>1250</v>
      </c>
      <c r="H1912" s="48">
        <f>IF(NOT(ISBLANK(vlookup(B1912,Pop_Census_2023!$A$2:$E$3220,4,FALSE))),vlookup(B1912,Pop_Census_2023!$A$2:$E$3220,4,FALSE), vlookup(B1912,Pop_Census_2023!$A$2:$E$3220,5,FALSE))</f>
        <v>65027</v>
      </c>
    </row>
    <row r="1913">
      <c r="A1913" s="47" t="s">
        <v>3123</v>
      </c>
      <c r="B1913" s="47">
        <v>33003.0</v>
      </c>
      <c r="C1913" s="47">
        <v>6.0</v>
      </c>
      <c r="D1913" s="47" t="s">
        <v>4044</v>
      </c>
      <c r="E1913" s="47" t="str">
        <f t="shared" si="1"/>
        <v>6A</v>
      </c>
      <c r="F1913" s="47" t="s">
        <v>4054</v>
      </c>
      <c r="G1913" s="47" t="s">
        <v>227</v>
      </c>
      <c r="H1913" s="48">
        <f>IF(NOT(ISBLANK(vlookup(B1913,Pop_Census_2023!$A$2:$E$3220,4,FALSE))),vlookup(B1913,Pop_Census_2023!$A$2:$E$3220,4,FALSE), vlookup(B1913,Pop_Census_2023!$A$2:$E$3220,5,FALSE))</f>
        <v>52448</v>
      </c>
    </row>
    <row r="1914">
      <c r="A1914" s="47" t="s">
        <v>3123</v>
      </c>
      <c r="B1914" s="47">
        <v>33005.0</v>
      </c>
      <c r="C1914" s="47">
        <v>5.0</v>
      </c>
      <c r="D1914" s="47" t="s">
        <v>4044</v>
      </c>
      <c r="E1914" s="47" t="str">
        <f t="shared" si="1"/>
        <v>5A</v>
      </c>
      <c r="F1914" s="47" t="s">
        <v>4054</v>
      </c>
      <c r="G1914" s="47" t="s">
        <v>1252</v>
      </c>
      <c r="H1914" s="48">
        <f>IF(NOT(ISBLANK(vlookup(B1914,Pop_Census_2023!$A$2:$E$3220,4,FALSE))),vlookup(B1914,Pop_Census_2023!$A$2:$E$3220,4,FALSE), vlookup(B1914,Pop_Census_2023!$A$2:$E$3220,5,FALSE))</f>
        <v>77703</v>
      </c>
    </row>
    <row r="1915">
      <c r="A1915" s="47" t="s">
        <v>3123</v>
      </c>
      <c r="B1915" s="47">
        <v>33007.0</v>
      </c>
      <c r="C1915" s="47">
        <v>6.0</v>
      </c>
      <c r="D1915" s="47" t="s">
        <v>4044</v>
      </c>
      <c r="E1915" s="47" t="str">
        <f t="shared" si="1"/>
        <v>6A</v>
      </c>
      <c r="F1915" s="47" t="s">
        <v>4054</v>
      </c>
      <c r="G1915" s="47" t="s">
        <v>1253</v>
      </c>
      <c r="H1915" s="48">
        <f>IF(NOT(ISBLANK(vlookup(B1915,Pop_Census_2023!$A$2:$E$3220,4,FALSE))),vlookup(B1915,Pop_Census_2023!$A$2:$E$3220,4,FALSE), vlookup(B1915,Pop_Census_2023!$A$2:$E$3220,5,FALSE))</f>
        <v>31372</v>
      </c>
    </row>
    <row r="1916">
      <c r="A1916" s="47" t="s">
        <v>3123</v>
      </c>
      <c r="B1916" s="47">
        <v>33009.0</v>
      </c>
      <c r="C1916" s="47">
        <v>6.0</v>
      </c>
      <c r="D1916" s="47" t="s">
        <v>4044</v>
      </c>
      <c r="E1916" s="47" t="str">
        <f t="shared" si="1"/>
        <v>6A</v>
      </c>
      <c r="F1916" s="47" t="s">
        <v>4054</v>
      </c>
      <c r="G1916" s="47" t="s">
        <v>1254</v>
      </c>
      <c r="H1916" s="48">
        <f>IF(NOT(ISBLANK(vlookup(B1916,Pop_Census_2023!$A$2:$E$3220,4,FALSE))),vlookup(B1916,Pop_Census_2023!$A$2:$E$3220,4,FALSE), vlookup(B1916,Pop_Census_2023!$A$2:$E$3220,5,FALSE))</f>
        <v>93146</v>
      </c>
    </row>
    <row r="1917">
      <c r="A1917" s="47" t="s">
        <v>3123</v>
      </c>
      <c r="B1917" s="47">
        <v>33011.0</v>
      </c>
      <c r="C1917" s="47">
        <v>5.0</v>
      </c>
      <c r="D1917" s="47" t="s">
        <v>4044</v>
      </c>
      <c r="E1917" s="47" t="str">
        <f t="shared" si="1"/>
        <v>5A</v>
      </c>
      <c r="F1917" s="47" t="s">
        <v>4054</v>
      </c>
      <c r="G1917" s="47" t="s">
        <v>433</v>
      </c>
      <c r="H1917" s="48">
        <f>IF(NOT(ISBLANK(vlookup(B1917,Pop_Census_2023!$A$2:$E$3220,4,FALSE))),vlookup(B1917,Pop_Census_2023!$A$2:$E$3220,4,FALSE), vlookup(B1917,Pop_Census_2023!$A$2:$E$3220,5,FALSE))</f>
        <v>427354</v>
      </c>
    </row>
    <row r="1918">
      <c r="A1918" s="47" t="s">
        <v>3123</v>
      </c>
      <c r="B1918" s="47">
        <v>33013.0</v>
      </c>
      <c r="C1918" s="47">
        <v>6.0</v>
      </c>
      <c r="D1918" s="47" t="s">
        <v>4044</v>
      </c>
      <c r="E1918" s="47" t="str">
        <f t="shared" si="1"/>
        <v>6A</v>
      </c>
      <c r="F1918" s="47" t="s">
        <v>4054</v>
      </c>
      <c r="G1918" s="47" t="s">
        <v>1255</v>
      </c>
      <c r="H1918" s="48">
        <f>IF(NOT(ISBLANK(vlookup(B1918,Pop_Census_2023!$A$2:$E$3220,4,FALSE))),vlookup(B1918,Pop_Census_2023!$A$2:$E$3220,4,FALSE), vlookup(B1918,Pop_Census_2023!$A$2:$E$3220,5,FALSE))</f>
        <v>157103</v>
      </c>
    </row>
    <row r="1919">
      <c r="A1919" s="47" t="s">
        <v>3123</v>
      </c>
      <c r="B1919" s="47">
        <v>33015.0</v>
      </c>
      <c r="C1919" s="47">
        <v>5.0</v>
      </c>
      <c r="D1919" s="47" t="s">
        <v>4044</v>
      </c>
      <c r="E1919" s="47" t="str">
        <f t="shared" si="1"/>
        <v>5A</v>
      </c>
      <c r="F1919" s="47" t="s">
        <v>4054</v>
      </c>
      <c r="G1919" s="47" t="s">
        <v>1256</v>
      </c>
      <c r="H1919" s="48">
        <f>IF(NOT(ISBLANK(vlookup(B1919,Pop_Census_2023!$A$2:$E$3220,4,FALSE))),vlookup(B1919,Pop_Census_2023!$A$2:$E$3220,4,FALSE), vlookup(B1919,Pop_Census_2023!$A$2:$E$3220,5,FALSE))</f>
        <v>320689</v>
      </c>
    </row>
    <row r="1920">
      <c r="A1920" s="47" t="s">
        <v>3123</v>
      </c>
      <c r="B1920" s="47">
        <v>33017.0</v>
      </c>
      <c r="C1920" s="47">
        <v>5.0</v>
      </c>
      <c r="D1920" s="47" t="s">
        <v>4044</v>
      </c>
      <c r="E1920" s="47" t="str">
        <f t="shared" si="1"/>
        <v>5A</v>
      </c>
      <c r="F1920" s="47" t="s">
        <v>4054</v>
      </c>
      <c r="G1920" s="47" t="s">
        <v>1257</v>
      </c>
      <c r="H1920" s="48">
        <f>IF(NOT(ISBLANK(vlookup(B1920,Pop_Census_2023!$A$2:$E$3220,4,FALSE))),vlookup(B1920,Pop_Census_2023!$A$2:$E$3220,4,FALSE), vlookup(B1920,Pop_Census_2023!$A$2:$E$3220,5,FALSE))</f>
        <v>133243</v>
      </c>
    </row>
    <row r="1921">
      <c r="A1921" s="47" t="s">
        <v>3123</v>
      </c>
      <c r="B1921" s="47">
        <v>33019.0</v>
      </c>
      <c r="C1921" s="47">
        <v>6.0</v>
      </c>
      <c r="D1921" s="47" t="s">
        <v>4044</v>
      </c>
      <c r="E1921" s="47" t="str">
        <f t="shared" si="1"/>
        <v>6A</v>
      </c>
      <c r="F1921" s="47" t="s">
        <v>4054</v>
      </c>
      <c r="G1921" s="47" t="s">
        <v>694</v>
      </c>
      <c r="H1921" s="48">
        <f>IF(NOT(ISBLANK(vlookup(B1921,Pop_Census_2023!$A$2:$E$3220,4,FALSE))),vlookup(B1921,Pop_Census_2023!$A$2:$E$3220,4,FALSE), vlookup(B1921,Pop_Census_2023!$A$2:$E$3220,5,FALSE))</f>
        <v>43969</v>
      </c>
    </row>
    <row r="1922">
      <c r="A1922" s="47" t="s">
        <v>3131</v>
      </c>
      <c r="B1922" s="47">
        <v>34001.0</v>
      </c>
      <c r="C1922" s="47">
        <v>4.0</v>
      </c>
      <c r="D1922" s="47" t="s">
        <v>4044</v>
      </c>
      <c r="E1922" s="47" t="str">
        <f t="shared" si="1"/>
        <v>4A</v>
      </c>
      <c r="F1922" s="47" t="s">
        <v>4046</v>
      </c>
      <c r="G1922" s="47" t="s">
        <v>1258</v>
      </c>
      <c r="H1922" s="48">
        <f>IF(NOT(ISBLANK(vlookup(B1922,Pop_Census_2023!$A$2:$E$3220,4,FALSE))),vlookup(B1922,Pop_Census_2023!$A$2:$E$3220,4,FALSE), vlookup(B1922,Pop_Census_2023!$A$2:$E$3220,5,FALSE))</f>
        <v>275213</v>
      </c>
    </row>
    <row r="1923">
      <c r="A1923" s="47" t="s">
        <v>3131</v>
      </c>
      <c r="B1923" s="47">
        <v>34003.0</v>
      </c>
      <c r="C1923" s="47">
        <v>5.0</v>
      </c>
      <c r="D1923" s="47" t="s">
        <v>4044</v>
      </c>
      <c r="E1923" s="47" t="str">
        <f t="shared" si="1"/>
        <v>5A</v>
      </c>
      <c r="F1923" s="47" t="s">
        <v>4054</v>
      </c>
      <c r="G1923" s="47" t="s">
        <v>1260</v>
      </c>
      <c r="H1923" s="48">
        <f>IF(NOT(ISBLANK(vlookup(B1923,Pop_Census_2023!$A$2:$E$3220,4,FALSE))),vlookup(B1923,Pop_Census_2023!$A$2:$E$3220,4,FALSE), vlookup(B1923,Pop_Census_2023!$A$2:$E$3220,5,FALSE))</f>
        <v>957736</v>
      </c>
    </row>
    <row r="1924">
      <c r="A1924" s="47" t="s">
        <v>3131</v>
      </c>
      <c r="B1924" s="47">
        <v>34005.0</v>
      </c>
      <c r="C1924" s="47">
        <v>4.0</v>
      </c>
      <c r="D1924" s="47" t="s">
        <v>4044</v>
      </c>
      <c r="E1924" s="47" t="str">
        <f t="shared" si="1"/>
        <v>4A</v>
      </c>
      <c r="F1924" s="47" t="s">
        <v>4046</v>
      </c>
      <c r="G1924" s="47" t="s">
        <v>1261</v>
      </c>
      <c r="H1924" s="48">
        <f>IF(NOT(ISBLANK(vlookup(B1924,Pop_Census_2023!$A$2:$E$3220,4,FALSE))),vlookup(B1924,Pop_Census_2023!$A$2:$E$3220,4,FALSE), vlookup(B1924,Pop_Census_2023!$A$2:$E$3220,5,FALSE))</f>
        <v>469167</v>
      </c>
    </row>
    <row r="1925">
      <c r="A1925" s="47" t="s">
        <v>3131</v>
      </c>
      <c r="B1925" s="47">
        <v>34007.0</v>
      </c>
      <c r="C1925" s="47">
        <v>4.0</v>
      </c>
      <c r="D1925" s="47" t="s">
        <v>4044</v>
      </c>
      <c r="E1925" s="47" t="str">
        <f t="shared" si="1"/>
        <v>4A</v>
      </c>
      <c r="F1925" s="47" t="s">
        <v>4046</v>
      </c>
      <c r="G1925" s="47" t="s">
        <v>476</v>
      </c>
      <c r="H1925" s="48">
        <f>IF(NOT(ISBLANK(vlookup(B1925,Pop_Census_2023!$A$2:$E$3220,4,FALSE))),vlookup(B1925,Pop_Census_2023!$A$2:$E$3220,4,FALSE), vlookup(B1925,Pop_Census_2023!$A$2:$E$3220,5,FALSE))</f>
        <v>527196</v>
      </c>
    </row>
    <row r="1926">
      <c r="A1926" s="47" t="s">
        <v>3131</v>
      </c>
      <c r="B1926" s="47">
        <v>34009.0</v>
      </c>
      <c r="C1926" s="47">
        <v>4.0</v>
      </c>
      <c r="D1926" s="47" t="s">
        <v>4044</v>
      </c>
      <c r="E1926" s="47" t="str">
        <f t="shared" si="1"/>
        <v>4A</v>
      </c>
      <c r="F1926" s="47" t="s">
        <v>4046</v>
      </c>
      <c r="G1926" s="47" t="s">
        <v>1262</v>
      </c>
      <c r="H1926" s="48">
        <f>IF(NOT(ISBLANK(vlookup(B1926,Pop_Census_2023!$A$2:$E$3220,4,FALSE))),vlookup(B1926,Pop_Census_2023!$A$2:$E$3220,4,FALSE), vlookup(B1926,Pop_Census_2023!$A$2:$E$3220,5,FALSE))</f>
        <v>94610</v>
      </c>
    </row>
    <row r="1927">
      <c r="A1927" s="47" t="s">
        <v>3131</v>
      </c>
      <c r="B1927" s="47">
        <v>34011.0</v>
      </c>
      <c r="C1927" s="47">
        <v>4.0</v>
      </c>
      <c r="D1927" s="47" t="s">
        <v>4044</v>
      </c>
      <c r="E1927" s="47" t="str">
        <f t="shared" si="1"/>
        <v>4A</v>
      </c>
      <c r="F1927" s="47" t="s">
        <v>4046</v>
      </c>
      <c r="G1927" s="47" t="s">
        <v>618</v>
      </c>
      <c r="H1927" s="48">
        <f>IF(NOT(ISBLANK(vlookup(B1927,Pop_Census_2023!$A$2:$E$3220,4,FALSE))),vlookup(B1927,Pop_Census_2023!$A$2:$E$3220,4,FALSE), vlookup(B1927,Pop_Census_2023!$A$2:$E$3220,5,FALSE))</f>
        <v>152326</v>
      </c>
    </row>
    <row r="1928">
      <c r="A1928" s="47" t="s">
        <v>3131</v>
      </c>
      <c r="B1928" s="47">
        <v>34013.0</v>
      </c>
      <c r="C1928" s="47">
        <v>4.0</v>
      </c>
      <c r="D1928" s="47" t="s">
        <v>4044</v>
      </c>
      <c r="E1928" s="47" t="str">
        <f t="shared" si="1"/>
        <v>4A</v>
      </c>
      <c r="F1928" s="47" t="s">
        <v>4046</v>
      </c>
      <c r="G1928" s="47" t="s">
        <v>956</v>
      </c>
      <c r="H1928" s="48">
        <f>IF(NOT(ISBLANK(vlookup(B1928,Pop_Census_2023!$A$2:$E$3220,4,FALSE))),vlookup(B1928,Pop_Census_2023!$A$2:$E$3220,4,FALSE), vlookup(B1928,Pop_Census_2023!$A$2:$E$3220,5,FALSE))</f>
        <v>851117</v>
      </c>
    </row>
    <row r="1929">
      <c r="A1929" s="47" t="s">
        <v>3131</v>
      </c>
      <c r="B1929" s="47">
        <v>34015.0</v>
      </c>
      <c r="C1929" s="47">
        <v>4.0</v>
      </c>
      <c r="D1929" s="47" t="s">
        <v>4044</v>
      </c>
      <c r="E1929" s="47" t="str">
        <f t="shared" si="1"/>
        <v>4A</v>
      </c>
      <c r="F1929" s="47" t="s">
        <v>4046</v>
      </c>
      <c r="G1929" s="47" t="s">
        <v>1263</v>
      </c>
      <c r="H1929" s="48">
        <f>IF(NOT(ISBLANK(vlookup(B1929,Pop_Census_2023!$A$2:$E$3220,4,FALSE))),vlookup(B1929,Pop_Census_2023!$A$2:$E$3220,4,FALSE), vlookup(B1929,Pop_Census_2023!$A$2:$E$3220,5,FALSE))</f>
        <v>308423</v>
      </c>
    </row>
    <row r="1930">
      <c r="A1930" s="47" t="s">
        <v>3131</v>
      </c>
      <c r="B1930" s="47">
        <v>34017.0</v>
      </c>
      <c r="C1930" s="47">
        <v>4.0</v>
      </c>
      <c r="D1930" s="47" t="s">
        <v>4044</v>
      </c>
      <c r="E1930" s="47" t="str">
        <f t="shared" si="1"/>
        <v>4A</v>
      </c>
      <c r="F1930" s="47" t="s">
        <v>4046</v>
      </c>
      <c r="G1930" s="47" t="s">
        <v>1264</v>
      </c>
      <c r="H1930" s="48">
        <f>IF(NOT(ISBLANK(vlookup(B1930,Pop_Census_2023!$A$2:$E$3220,4,FALSE))),vlookup(B1930,Pop_Census_2023!$A$2:$E$3220,4,FALSE), vlookup(B1930,Pop_Census_2023!$A$2:$E$3220,5,FALSE))</f>
        <v>705472</v>
      </c>
    </row>
    <row r="1931">
      <c r="A1931" s="47" t="s">
        <v>3131</v>
      </c>
      <c r="B1931" s="47">
        <v>34019.0</v>
      </c>
      <c r="C1931" s="47">
        <v>5.0</v>
      </c>
      <c r="D1931" s="47" t="s">
        <v>4044</v>
      </c>
      <c r="E1931" s="47" t="str">
        <f t="shared" si="1"/>
        <v>5A</v>
      </c>
      <c r="F1931" s="47" t="s">
        <v>4054</v>
      </c>
      <c r="G1931" s="47" t="s">
        <v>1265</v>
      </c>
      <c r="H1931" s="48">
        <f>IF(NOT(ISBLANK(vlookup(B1931,Pop_Census_2023!$A$2:$E$3220,4,FALSE))),vlookup(B1931,Pop_Census_2023!$A$2:$E$3220,4,FALSE), vlookup(B1931,Pop_Census_2023!$A$2:$E$3220,5,FALSE))</f>
        <v>130183</v>
      </c>
    </row>
    <row r="1932">
      <c r="A1932" s="47" t="s">
        <v>3131</v>
      </c>
      <c r="B1932" s="47">
        <v>34021.0</v>
      </c>
      <c r="C1932" s="47">
        <v>5.0</v>
      </c>
      <c r="D1932" s="47" t="s">
        <v>4044</v>
      </c>
      <c r="E1932" s="47" t="str">
        <f t="shared" si="1"/>
        <v>5A</v>
      </c>
      <c r="F1932" s="47" t="s">
        <v>4054</v>
      </c>
      <c r="G1932" s="47" t="s">
        <v>644</v>
      </c>
      <c r="H1932" s="48">
        <f>IF(NOT(ISBLANK(vlookup(B1932,Pop_Census_2023!$A$2:$E$3220,4,FALSE))),vlookup(B1932,Pop_Census_2023!$A$2:$E$3220,4,FALSE), vlookup(B1932,Pop_Census_2023!$A$2:$E$3220,5,FALSE))</f>
        <v>381671</v>
      </c>
    </row>
    <row r="1933">
      <c r="A1933" s="47" t="s">
        <v>3131</v>
      </c>
      <c r="B1933" s="47">
        <v>34023.0</v>
      </c>
      <c r="C1933" s="47">
        <v>4.0</v>
      </c>
      <c r="D1933" s="47" t="s">
        <v>4044</v>
      </c>
      <c r="E1933" s="47" t="str">
        <f t="shared" si="1"/>
        <v>4A</v>
      </c>
      <c r="F1933" s="47" t="s">
        <v>4046</v>
      </c>
      <c r="G1933" s="47" t="s">
        <v>399</v>
      </c>
      <c r="H1933" s="48">
        <f>IF(NOT(ISBLANK(vlookup(B1933,Pop_Census_2023!$A$2:$E$3220,4,FALSE))),vlookup(B1933,Pop_Census_2023!$A$2:$E$3220,4,FALSE), vlookup(B1933,Pop_Census_2023!$A$2:$E$3220,5,FALSE))</f>
        <v>863623</v>
      </c>
    </row>
    <row r="1934">
      <c r="A1934" s="47" t="s">
        <v>3131</v>
      </c>
      <c r="B1934" s="47">
        <v>34025.0</v>
      </c>
      <c r="C1934" s="47">
        <v>4.0</v>
      </c>
      <c r="D1934" s="47" t="s">
        <v>4044</v>
      </c>
      <c r="E1934" s="47" t="str">
        <f t="shared" si="1"/>
        <v>4A</v>
      </c>
      <c r="F1934" s="47" t="s">
        <v>4046</v>
      </c>
      <c r="G1934" s="47" t="s">
        <v>1266</v>
      </c>
      <c r="H1934" s="48">
        <f>IF(NOT(ISBLANK(vlookup(B1934,Pop_Census_2023!$A$2:$E$3220,4,FALSE))),vlookup(B1934,Pop_Census_2023!$A$2:$E$3220,4,FALSE), vlookup(B1934,Pop_Census_2023!$A$2:$E$3220,5,FALSE))</f>
        <v>642799</v>
      </c>
    </row>
    <row r="1935">
      <c r="A1935" s="47" t="s">
        <v>3131</v>
      </c>
      <c r="B1935" s="47">
        <v>34027.0</v>
      </c>
      <c r="C1935" s="47">
        <v>5.0</v>
      </c>
      <c r="D1935" s="47" t="s">
        <v>4044</v>
      </c>
      <c r="E1935" s="47" t="str">
        <f t="shared" si="1"/>
        <v>5A</v>
      </c>
      <c r="F1935" s="47" t="s">
        <v>4054</v>
      </c>
      <c r="G1935" s="47" t="s">
        <v>784</v>
      </c>
      <c r="H1935" s="48">
        <f>IF(NOT(ISBLANK(vlookup(B1935,Pop_Census_2023!$A$2:$E$3220,4,FALSE))),vlookup(B1935,Pop_Census_2023!$A$2:$E$3220,4,FALSE), vlookup(B1935,Pop_Census_2023!$A$2:$E$3220,5,FALSE))</f>
        <v>514423</v>
      </c>
    </row>
    <row r="1936">
      <c r="A1936" s="47" t="s">
        <v>3131</v>
      </c>
      <c r="B1936" s="47">
        <v>34029.0</v>
      </c>
      <c r="C1936" s="47">
        <v>4.0</v>
      </c>
      <c r="D1936" s="47" t="s">
        <v>4044</v>
      </c>
      <c r="E1936" s="47" t="str">
        <f t="shared" si="1"/>
        <v>4A</v>
      </c>
      <c r="F1936" s="47" t="s">
        <v>4046</v>
      </c>
      <c r="G1936" s="47" t="s">
        <v>1267</v>
      </c>
      <c r="H1936" s="48">
        <f>IF(NOT(ISBLANK(vlookup(B1936,Pop_Census_2023!$A$2:$E$3220,4,FALSE))),vlookup(B1936,Pop_Census_2023!$A$2:$E$3220,4,FALSE), vlookup(B1936,Pop_Census_2023!$A$2:$E$3220,5,FALSE))</f>
        <v>659197</v>
      </c>
    </row>
    <row r="1937">
      <c r="A1937" s="47" t="s">
        <v>3131</v>
      </c>
      <c r="B1937" s="47">
        <v>34031.0</v>
      </c>
      <c r="C1937" s="47">
        <v>5.0</v>
      </c>
      <c r="D1937" s="47" t="s">
        <v>4044</v>
      </c>
      <c r="E1937" s="47" t="str">
        <f t="shared" si="1"/>
        <v>5A</v>
      </c>
      <c r="F1937" s="47" t="s">
        <v>4054</v>
      </c>
      <c r="G1937" s="47" t="s">
        <v>1268</v>
      </c>
      <c r="H1937" s="48">
        <f>IF(NOT(ISBLANK(vlookup(B1937,Pop_Census_2023!$A$2:$E$3220,4,FALSE))),vlookup(B1937,Pop_Census_2023!$A$2:$E$3220,4,FALSE), vlookup(B1937,Pop_Census_2023!$A$2:$E$3220,5,FALSE))</f>
        <v>513395</v>
      </c>
    </row>
    <row r="1938">
      <c r="A1938" s="47" t="s">
        <v>3131</v>
      </c>
      <c r="B1938" s="47">
        <v>34033.0</v>
      </c>
      <c r="C1938" s="47">
        <v>4.0</v>
      </c>
      <c r="D1938" s="47" t="s">
        <v>4044</v>
      </c>
      <c r="E1938" s="47" t="str">
        <f t="shared" si="1"/>
        <v>4A</v>
      </c>
      <c r="F1938" s="47" t="s">
        <v>4046</v>
      </c>
      <c r="G1938" s="47" t="s">
        <v>1269</v>
      </c>
      <c r="H1938" s="48">
        <f>IF(NOT(ISBLANK(vlookup(B1938,Pop_Census_2023!$A$2:$E$3220,4,FALSE))),vlookup(B1938,Pop_Census_2023!$A$2:$E$3220,4,FALSE), vlookup(B1938,Pop_Census_2023!$A$2:$E$3220,5,FALSE))</f>
        <v>65338</v>
      </c>
    </row>
    <row r="1939">
      <c r="A1939" s="47" t="s">
        <v>3131</v>
      </c>
      <c r="B1939" s="47">
        <v>34035.0</v>
      </c>
      <c r="C1939" s="47">
        <v>5.0</v>
      </c>
      <c r="D1939" s="47" t="s">
        <v>4044</v>
      </c>
      <c r="E1939" s="47" t="str">
        <f t="shared" si="1"/>
        <v>5A</v>
      </c>
      <c r="F1939" s="47" t="s">
        <v>4054</v>
      </c>
      <c r="G1939" s="47" t="s">
        <v>930</v>
      </c>
      <c r="H1939" s="48">
        <f>IF(NOT(ISBLANK(vlookup(B1939,Pop_Census_2023!$A$2:$E$3220,4,FALSE))),vlookup(B1939,Pop_Census_2023!$A$2:$E$3220,4,FALSE), vlookup(B1939,Pop_Census_2023!$A$2:$E$3220,5,FALSE))</f>
        <v>348842</v>
      </c>
    </row>
    <row r="1940">
      <c r="A1940" s="47" t="s">
        <v>3131</v>
      </c>
      <c r="B1940" s="47">
        <v>34037.0</v>
      </c>
      <c r="C1940" s="47">
        <v>5.0</v>
      </c>
      <c r="D1940" s="47" t="s">
        <v>4044</v>
      </c>
      <c r="E1940" s="47" t="str">
        <f t="shared" si="1"/>
        <v>5A</v>
      </c>
      <c r="F1940" s="47" t="s">
        <v>4054</v>
      </c>
      <c r="G1940" s="47" t="s">
        <v>407</v>
      </c>
      <c r="H1940" s="48">
        <f>IF(NOT(ISBLANK(vlookup(B1940,Pop_Census_2023!$A$2:$E$3220,4,FALSE))),vlookup(B1940,Pop_Census_2023!$A$2:$E$3220,4,FALSE), vlookup(B1940,Pop_Census_2023!$A$2:$E$3220,5,FALSE))</f>
        <v>146132</v>
      </c>
    </row>
    <row r="1941">
      <c r="A1941" s="47" t="s">
        <v>3131</v>
      </c>
      <c r="B1941" s="47">
        <v>34039.0</v>
      </c>
      <c r="C1941" s="47">
        <v>4.0</v>
      </c>
      <c r="D1941" s="47" t="s">
        <v>4044</v>
      </c>
      <c r="E1941" s="47" t="str">
        <f t="shared" si="1"/>
        <v>4A</v>
      </c>
      <c r="F1941" s="47" t="s">
        <v>4046</v>
      </c>
      <c r="G1941" s="47" t="s">
        <v>273</v>
      </c>
      <c r="H1941" s="48">
        <f>IF(NOT(ISBLANK(vlookup(B1941,Pop_Census_2023!$A$2:$E$3220,4,FALSE))),vlookup(B1941,Pop_Census_2023!$A$2:$E$3220,4,FALSE), vlookup(B1941,Pop_Census_2023!$A$2:$E$3220,5,FALSE))</f>
        <v>572726</v>
      </c>
    </row>
    <row r="1942">
      <c r="A1942" s="47" t="s">
        <v>3131</v>
      </c>
      <c r="B1942" s="47">
        <v>34041.0</v>
      </c>
      <c r="C1942" s="47">
        <v>5.0</v>
      </c>
      <c r="D1942" s="47" t="s">
        <v>4044</v>
      </c>
      <c r="E1942" s="47" t="str">
        <f t="shared" si="1"/>
        <v>5A</v>
      </c>
      <c r="F1942" s="47" t="s">
        <v>4054</v>
      </c>
      <c r="G1942" s="47" t="s">
        <v>561</v>
      </c>
      <c r="H1942" s="48">
        <f>IF(NOT(ISBLANK(vlookup(B1942,Pop_Census_2023!$A$2:$E$3220,4,FALSE))),vlookup(B1942,Pop_Census_2023!$A$2:$E$3220,4,FALSE), vlookup(B1942,Pop_Census_2023!$A$2:$E$3220,5,FALSE))</f>
        <v>111252</v>
      </c>
    </row>
    <row r="1943">
      <c r="A1943" s="47" t="s">
        <v>3143</v>
      </c>
      <c r="B1943" s="47">
        <v>35001.0</v>
      </c>
      <c r="C1943" s="47">
        <v>4.0</v>
      </c>
      <c r="D1943" s="47" t="s">
        <v>4053</v>
      </c>
      <c r="E1943" s="47" t="str">
        <f t="shared" si="1"/>
        <v>4B</v>
      </c>
      <c r="F1943" s="47" t="s">
        <v>4056</v>
      </c>
      <c r="G1943" s="47" t="s">
        <v>1270</v>
      </c>
      <c r="H1943" s="48">
        <f>IF(NOT(ISBLANK(vlookup(B1943,Pop_Census_2023!$A$2:$E$3220,4,FALSE))),vlookup(B1943,Pop_Census_2023!$A$2:$E$3220,4,FALSE), vlookup(B1943,Pop_Census_2023!$A$2:$E$3220,5,FALSE))</f>
        <v>671586</v>
      </c>
    </row>
    <row r="1944">
      <c r="A1944" s="47" t="s">
        <v>3143</v>
      </c>
      <c r="B1944" s="47">
        <v>35003.0</v>
      </c>
      <c r="C1944" s="47">
        <v>5.0</v>
      </c>
      <c r="D1944" s="47" t="s">
        <v>4053</v>
      </c>
      <c r="E1944" s="47" t="str">
        <f t="shared" si="1"/>
        <v>5B</v>
      </c>
      <c r="F1944" s="47" t="s">
        <v>4054</v>
      </c>
      <c r="G1944" s="47" t="s">
        <v>1272</v>
      </c>
      <c r="H1944" s="48">
        <f>IF(NOT(ISBLANK(vlookup(B1944,Pop_Census_2023!$A$2:$E$3220,4,FALSE))),vlookup(B1944,Pop_Census_2023!$A$2:$E$3220,4,FALSE), vlookup(B1944,Pop_Census_2023!$A$2:$E$3220,5,FALSE))</f>
        <v>3825</v>
      </c>
    </row>
    <row r="1945">
      <c r="A1945" s="47" t="s">
        <v>3143</v>
      </c>
      <c r="B1945" s="47">
        <v>35005.0</v>
      </c>
      <c r="C1945" s="47">
        <v>3.0</v>
      </c>
      <c r="D1945" s="47" t="s">
        <v>4053</v>
      </c>
      <c r="E1945" s="47" t="str">
        <f t="shared" si="1"/>
        <v>3B</v>
      </c>
      <c r="F1945" s="47" t="s">
        <v>4055</v>
      </c>
      <c r="G1945" s="47" t="s">
        <v>1273</v>
      </c>
      <c r="H1945" s="48">
        <f>IF(NOT(ISBLANK(vlookup(B1945,Pop_Census_2023!$A$2:$E$3220,4,FALSE))),vlookup(B1945,Pop_Census_2023!$A$2:$E$3220,4,FALSE), vlookup(B1945,Pop_Census_2023!$A$2:$E$3220,5,FALSE))</f>
        <v>63561</v>
      </c>
    </row>
    <row r="1946">
      <c r="A1946" s="47" t="s">
        <v>3143</v>
      </c>
      <c r="B1946" s="47">
        <v>35006.0</v>
      </c>
      <c r="C1946" s="47">
        <v>4.0</v>
      </c>
      <c r="D1946" s="47" t="s">
        <v>4053</v>
      </c>
      <c r="E1946" s="47" t="str">
        <f t="shared" si="1"/>
        <v>4B</v>
      </c>
      <c r="F1946" s="47" t="s">
        <v>4054</v>
      </c>
      <c r="G1946" s="47" t="s">
        <v>1274</v>
      </c>
      <c r="H1946" s="48">
        <f>IF(NOT(ISBLANK(vlookup(B1946,Pop_Census_2023!$A$2:$E$3220,4,FALSE))),vlookup(B1946,Pop_Census_2023!$A$2:$E$3220,4,FALSE), vlookup(B1946,Pop_Census_2023!$A$2:$E$3220,5,FALSE))</f>
        <v>26780</v>
      </c>
    </row>
    <row r="1947">
      <c r="A1947" s="47" t="s">
        <v>3143</v>
      </c>
      <c r="B1947" s="47">
        <v>35007.0</v>
      </c>
      <c r="C1947" s="47">
        <v>5.0</v>
      </c>
      <c r="D1947" s="47" t="s">
        <v>4053</v>
      </c>
      <c r="E1947" s="47" t="str">
        <f t="shared" si="1"/>
        <v>5B</v>
      </c>
      <c r="F1947" s="47" t="s">
        <v>4054</v>
      </c>
      <c r="G1947" s="47" t="s">
        <v>1206</v>
      </c>
      <c r="H1947" s="48">
        <f>IF(NOT(ISBLANK(vlookup(B1947,Pop_Census_2023!$A$2:$E$3220,4,FALSE))),vlookup(B1947,Pop_Census_2023!$A$2:$E$3220,4,FALSE), vlookup(B1947,Pop_Census_2023!$A$2:$E$3220,5,FALSE))</f>
        <v>12255</v>
      </c>
    </row>
    <row r="1948">
      <c r="A1948" s="47" t="s">
        <v>3143</v>
      </c>
      <c r="B1948" s="47">
        <v>35009.0</v>
      </c>
      <c r="C1948" s="47">
        <v>4.0</v>
      </c>
      <c r="D1948" s="47" t="s">
        <v>4053</v>
      </c>
      <c r="E1948" s="47" t="str">
        <f t="shared" si="1"/>
        <v>4B</v>
      </c>
      <c r="F1948" s="47" t="s">
        <v>4056</v>
      </c>
      <c r="G1948" s="47" t="s">
        <v>1275</v>
      </c>
      <c r="H1948" s="48">
        <f>IF(NOT(ISBLANK(vlookup(B1948,Pop_Census_2023!$A$2:$E$3220,4,FALSE))),vlookup(B1948,Pop_Census_2023!$A$2:$E$3220,4,FALSE), vlookup(B1948,Pop_Census_2023!$A$2:$E$3220,5,FALSE))</f>
        <v>47222</v>
      </c>
    </row>
    <row r="1949">
      <c r="A1949" s="47" t="s">
        <v>3143</v>
      </c>
      <c r="B1949" s="47">
        <v>35011.0</v>
      </c>
      <c r="C1949" s="47">
        <v>4.0</v>
      </c>
      <c r="D1949" s="47" t="s">
        <v>4053</v>
      </c>
      <c r="E1949" s="47" t="str">
        <f t="shared" si="1"/>
        <v>4B</v>
      </c>
      <c r="F1949" s="47" t="s">
        <v>4056</v>
      </c>
      <c r="G1949" s="47" t="s">
        <v>1276</v>
      </c>
      <c r="H1949" s="48">
        <f>IF(NOT(ISBLANK(vlookup(B1949,Pop_Census_2023!$A$2:$E$3220,4,FALSE))),vlookup(B1949,Pop_Census_2023!$A$2:$E$3220,4,FALSE), vlookup(B1949,Pop_Census_2023!$A$2:$E$3220,5,FALSE))</f>
        <v>1657</v>
      </c>
    </row>
    <row r="1950">
      <c r="A1950" s="47" t="s">
        <v>3143</v>
      </c>
      <c r="B1950" s="47">
        <v>35013.0</v>
      </c>
      <c r="C1950" s="47">
        <v>3.0</v>
      </c>
      <c r="D1950" s="47" t="s">
        <v>4053</v>
      </c>
      <c r="E1950" s="47" t="str">
        <f t="shared" si="1"/>
        <v>3B</v>
      </c>
      <c r="F1950" s="47" t="s">
        <v>4055</v>
      </c>
      <c r="G1950" s="47" t="s">
        <v>4072</v>
      </c>
      <c r="H1950" s="48">
        <f>IF(NOT(ISBLANK(vlookup(B1950,Pop_Census_2023!$A$2:$E$3220,4,FALSE))),vlookup(B1950,Pop_Census_2023!$A$2:$E$3220,4,FALSE), vlookup(B1950,Pop_Census_2023!$A$2:$E$3220,5,FALSE))</f>
        <v>225210</v>
      </c>
    </row>
    <row r="1951">
      <c r="A1951" s="47" t="s">
        <v>3143</v>
      </c>
      <c r="B1951" s="47">
        <v>35015.0</v>
      </c>
      <c r="C1951" s="47">
        <v>3.0</v>
      </c>
      <c r="D1951" s="47" t="s">
        <v>4053</v>
      </c>
      <c r="E1951" s="47" t="str">
        <f t="shared" si="1"/>
        <v>3B</v>
      </c>
      <c r="F1951" s="47" t="s">
        <v>4055</v>
      </c>
      <c r="G1951" s="47" t="s">
        <v>1278</v>
      </c>
      <c r="H1951" s="48">
        <f>IF(NOT(ISBLANK(vlookup(B1951,Pop_Census_2023!$A$2:$E$3220,4,FALSE))),vlookup(B1951,Pop_Census_2023!$A$2:$E$3220,4,FALSE), vlookup(B1951,Pop_Census_2023!$A$2:$E$3220,5,FALSE))</f>
        <v>60275</v>
      </c>
    </row>
    <row r="1952">
      <c r="A1952" s="47" t="s">
        <v>3143</v>
      </c>
      <c r="B1952" s="47">
        <v>35017.0</v>
      </c>
      <c r="C1952" s="47">
        <v>4.0</v>
      </c>
      <c r="D1952" s="47" t="s">
        <v>4053</v>
      </c>
      <c r="E1952" s="47" t="str">
        <f t="shared" si="1"/>
        <v>4B</v>
      </c>
      <c r="F1952" s="47" t="s">
        <v>4056</v>
      </c>
      <c r="G1952" s="47" t="s">
        <v>242</v>
      </c>
      <c r="H1952" s="48">
        <f>IF(NOT(ISBLANK(vlookup(B1952,Pop_Census_2023!$A$2:$E$3220,4,FALSE))),vlookup(B1952,Pop_Census_2023!$A$2:$E$3220,4,FALSE), vlookup(B1952,Pop_Census_2023!$A$2:$E$3220,5,FALSE))</f>
        <v>27472</v>
      </c>
    </row>
    <row r="1953">
      <c r="A1953" s="47" t="s">
        <v>3143</v>
      </c>
      <c r="B1953" s="47">
        <v>35019.0</v>
      </c>
      <c r="C1953" s="47">
        <v>4.0</v>
      </c>
      <c r="D1953" s="47" t="s">
        <v>4053</v>
      </c>
      <c r="E1953" s="47" t="str">
        <f t="shared" si="1"/>
        <v>4B</v>
      </c>
      <c r="F1953" s="47" t="s">
        <v>4056</v>
      </c>
      <c r="G1953" s="47" t="s">
        <v>1279</v>
      </c>
      <c r="H1953" s="48">
        <f>IF(NOT(ISBLANK(vlookup(B1953,Pop_Census_2023!$A$2:$E$3220,4,FALSE))),vlookup(B1953,Pop_Census_2023!$A$2:$E$3220,4,FALSE), vlookup(B1953,Pop_Census_2023!$A$2:$E$3220,5,FALSE))</f>
        <v>4292</v>
      </c>
    </row>
    <row r="1954">
      <c r="A1954" s="47" t="s">
        <v>3143</v>
      </c>
      <c r="B1954" s="47">
        <v>35021.0</v>
      </c>
      <c r="C1954" s="47">
        <v>5.0</v>
      </c>
      <c r="D1954" s="47" t="s">
        <v>4053</v>
      </c>
      <c r="E1954" s="47" t="str">
        <f t="shared" si="1"/>
        <v>5B</v>
      </c>
      <c r="F1954" s="47" t="s">
        <v>4054</v>
      </c>
      <c r="G1954" s="47" t="s">
        <v>1280</v>
      </c>
      <c r="H1954" s="34">
        <f>IF(NOT(ISBLANK(vlookup(B1954,Pop_Census_2023!$A$2:$E$3220,4,FALSE))),vlookup(B1954,Pop_Census_2023!$A$2:$E$3220,4,FALSE), vlookup(B1954,Pop_Census_2023!$A$2:$E$3220,5,FALSE))</f>
        <v>624</v>
      </c>
    </row>
    <row r="1955">
      <c r="A1955" s="47" t="s">
        <v>3143</v>
      </c>
      <c r="B1955" s="47">
        <v>35023.0</v>
      </c>
      <c r="C1955" s="47">
        <v>3.0</v>
      </c>
      <c r="D1955" s="47" t="s">
        <v>4053</v>
      </c>
      <c r="E1955" s="47" t="str">
        <f t="shared" si="1"/>
        <v>3B</v>
      </c>
      <c r="F1955" s="47" t="s">
        <v>4055</v>
      </c>
      <c r="G1955" s="47" t="s">
        <v>1281</v>
      </c>
      <c r="H1955" s="48">
        <f>IF(NOT(ISBLANK(vlookup(B1955,Pop_Census_2023!$A$2:$E$3220,4,FALSE))),vlookup(B1955,Pop_Census_2023!$A$2:$E$3220,4,FALSE), vlookup(B1955,Pop_Census_2023!$A$2:$E$3220,5,FALSE))</f>
        <v>3965</v>
      </c>
    </row>
    <row r="1956">
      <c r="A1956" s="47" t="s">
        <v>3143</v>
      </c>
      <c r="B1956" s="47">
        <v>35025.0</v>
      </c>
      <c r="C1956" s="47">
        <v>3.0</v>
      </c>
      <c r="D1956" s="47" t="s">
        <v>4053</v>
      </c>
      <c r="E1956" s="47" t="str">
        <f t="shared" si="1"/>
        <v>3B</v>
      </c>
      <c r="F1956" s="47" t="s">
        <v>4055</v>
      </c>
      <c r="G1956" s="47" t="s">
        <v>1282</v>
      </c>
      <c r="H1956" s="48">
        <f>IF(NOT(ISBLANK(vlookup(B1956,Pop_Census_2023!$A$2:$E$3220,4,FALSE))),vlookup(B1956,Pop_Census_2023!$A$2:$E$3220,4,FALSE), vlookup(B1956,Pop_Census_2023!$A$2:$E$3220,5,FALSE))</f>
        <v>72101</v>
      </c>
    </row>
    <row r="1957">
      <c r="A1957" s="47" t="s">
        <v>3143</v>
      </c>
      <c r="B1957" s="47">
        <v>35027.0</v>
      </c>
      <c r="C1957" s="47">
        <v>4.0</v>
      </c>
      <c r="D1957" s="47" t="s">
        <v>4053</v>
      </c>
      <c r="E1957" s="47" t="str">
        <f t="shared" si="1"/>
        <v>4B</v>
      </c>
      <c r="F1957" s="47" t="s">
        <v>4056</v>
      </c>
      <c r="G1957" s="47" t="s">
        <v>250</v>
      </c>
      <c r="H1957" s="48">
        <f>IF(NOT(ISBLANK(vlookup(B1957,Pop_Census_2023!$A$2:$E$3220,4,FALSE))),vlookup(B1957,Pop_Census_2023!$A$2:$E$3220,4,FALSE), vlookup(B1957,Pop_Census_2023!$A$2:$E$3220,5,FALSE))</f>
        <v>20029</v>
      </c>
    </row>
    <row r="1958">
      <c r="A1958" s="47" t="s">
        <v>3143</v>
      </c>
      <c r="B1958" s="47">
        <v>35028.0</v>
      </c>
      <c r="C1958" s="47">
        <v>5.0</v>
      </c>
      <c r="D1958" s="47" t="s">
        <v>4053</v>
      </c>
      <c r="E1958" s="47" t="str">
        <f t="shared" si="1"/>
        <v>5B</v>
      </c>
      <c r="F1958" s="47" t="s">
        <v>4054</v>
      </c>
      <c r="G1958" s="47" t="s">
        <v>1283</v>
      </c>
      <c r="H1958" s="48">
        <f>IF(NOT(ISBLANK(vlookup(B1958,Pop_Census_2023!$A$2:$E$3220,4,FALSE))),vlookup(B1958,Pop_Census_2023!$A$2:$E$3220,4,FALSE), vlookup(B1958,Pop_Census_2023!$A$2:$E$3220,5,FALSE))</f>
        <v>19444</v>
      </c>
    </row>
    <row r="1959">
      <c r="A1959" s="47" t="s">
        <v>3143</v>
      </c>
      <c r="B1959" s="47">
        <v>35029.0</v>
      </c>
      <c r="C1959" s="47">
        <v>3.0</v>
      </c>
      <c r="D1959" s="47" t="s">
        <v>4053</v>
      </c>
      <c r="E1959" s="47" t="str">
        <f t="shared" si="1"/>
        <v>3B</v>
      </c>
      <c r="F1959" s="47" t="s">
        <v>4055</v>
      </c>
      <c r="G1959" s="47" t="s">
        <v>1284</v>
      </c>
      <c r="H1959" s="48">
        <f>IF(NOT(ISBLANK(vlookup(B1959,Pop_Census_2023!$A$2:$E$3220,4,FALSE))),vlookup(B1959,Pop_Census_2023!$A$2:$E$3220,4,FALSE), vlookup(B1959,Pop_Census_2023!$A$2:$E$3220,5,FALSE))</f>
        <v>25316</v>
      </c>
    </row>
    <row r="1960">
      <c r="A1960" s="47" t="s">
        <v>3143</v>
      </c>
      <c r="B1960" s="47">
        <v>35031.0</v>
      </c>
      <c r="C1960" s="47">
        <v>5.0</v>
      </c>
      <c r="D1960" s="47" t="s">
        <v>4053</v>
      </c>
      <c r="E1960" s="47" t="str">
        <f t="shared" si="1"/>
        <v>5B</v>
      </c>
      <c r="F1960" s="47" t="s">
        <v>4054</v>
      </c>
      <c r="G1960" s="47" t="s">
        <v>1285</v>
      </c>
      <c r="H1960" s="48">
        <f>IF(NOT(ISBLANK(vlookup(B1960,Pop_Census_2023!$A$2:$E$3220,4,FALSE))),vlookup(B1960,Pop_Census_2023!$A$2:$E$3220,4,FALSE), vlookup(B1960,Pop_Census_2023!$A$2:$E$3220,5,FALSE))</f>
        <v>68797</v>
      </c>
    </row>
    <row r="1961">
      <c r="A1961" s="47" t="s">
        <v>3143</v>
      </c>
      <c r="B1961" s="47">
        <v>35033.0</v>
      </c>
      <c r="C1961" s="47">
        <v>5.0</v>
      </c>
      <c r="D1961" s="47" t="s">
        <v>4053</v>
      </c>
      <c r="E1961" s="47" t="str">
        <f t="shared" si="1"/>
        <v>5B</v>
      </c>
      <c r="F1961" s="47" t="s">
        <v>4054</v>
      </c>
      <c r="G1961" s="47" t="s">
        <v>1286</v>
      </c>
      <c r="H1961" s="48">
        <f>IF(NOT(ISBLANK(vlookup(B1961,Pop_Census_2023!$A$2:$E$3220,4,FALSE))),vlookup(B1961,Pop_Census_2023!$A$2:$E$3220,4,FALSE), vlookup(B1961,Pop_Census_2023!$A$2:$E$3220,5,FALSE))</f>
        <v>4123</v>
      </c>
    </row>
    <row r="1962">
      <c r="A1962" s="47" t="s">
        <v>3143</v>
      </c>
      <c r="B1962" s="47">
        <v>35035.0</v>
      </c>
      <c r="C1962" s="47">
        <v>3.0</v>
      </c>
      <c r="D1962" s="47" t="s">
        <v>4053</v>
      </c>
      <c r="E1962" s="47" t="str">
        <f t="shared" si="1"/>
        <v>3B</v>
      </c>
      <c r="F1962" s="47" t="s">
        <v>4055</v>
      </c>
      <c r="G1962" s="47" t="s">
        <v>378</v>
      </c>
      <c r="H1962" s="48">
        <f>IF(NOT(ISBLANK(vlookup(B1962,Pop_Census_2023!$A$2:$E$3220,4,FALSE))),vlookup(B1962,Pop_Census_2023!$A$2:$E$3220,4,FALSE), vlookup(B1962,Pop_Census_2023!$A$2:$E$3220,5,FALSE))</f>
        <v>68835</v>
      </c>
    </row>
    <row r="1963">
      <c r="A1963" s="47" t="s">
        <v>3143</v>
      </c>
      <c r="B1963" s="47">
        <v>35037.0</v>
      </c>
      <c r="C1963" s="47">
        <v>4.0</v>
      </c>
      <c r="D1963" s="47" t="s">
        <v>4053</v>
      </c>
      <c r="E1963" s="47" t="str">
        <f t="shared" si="1"/>
        <v>4B</v>
      </c>
      <c r="F1963" s="47" t="s">
        <v>4056</v>
      </c>
      <c r="G1963" s="47" t="s">
        <v>1287</v>
      </c>
      <c r="H1963" s="48">
        <f>IF(NOT(ISBLANK(vlookup(B1963,Pop_Census_2023!$A$2:$E$3220,4,FALSE))),vlookup(B1963,Pop_Census_2023!$A$2:$E$3220,4,FALSE), vlookup(B1963,Pop_Census_2023!$A$2:$E$3220,5,FALSE))</f>
        <v>8510</v>
      </c>
    </row>
    <row r="1964">
      <c r="A1964" s="47" t="s">
        <v>3143</v>
      </c>
      <c r="B1964" s="47">
        <v>35039.0</v>
      </c>
      <c r="C1964" s="47">
        <v>5.0</v>
      </c>
      <c r="D1964" s="47" t="s">
        <v>4053</v>
      </c>
      <c r="E1964" s="47" t="str">
        <f t="shared" si="1"/>
        <v>5B</v>
      </c>
      <c r="F1964" s="47" t="s">
        <v>4054</v>
      </c>
      <c r="G1964" s="47" t="s">
        <v>1288</v>
      </c>
      <c r="H1964" s="48">
        <f>IF(NOT(ISBLANK(vlookup(B1964,Pop_Census_2023!$A$2:$E$3220,4,FALSE))),vlookup(B1964,Pop_Census_2023!$A$2:$E$3220,4,FALSE), vlookup(B1964,Pop_Census_2023!$A$2:$E$3220,5,FALSE))</f>
        <v>39876</v>
      </c>
    </row>
    <row r="1965">
      <c r="A1965" s="47" t="s">
        <v>3143</v>
      </c>
      <c r="B1965" s="47">
        <v>35041.0</v>
      </c>
      <c r="C1965" s="47">
        <v>4.0</v>
      </c>
      <c r="D1965" s="47" t="s">
        <v>4053</v>
      </c>
      <c r="E1965" s="47" t="str">
        <f t="shared" si="1"/>
        <v>4B</v>
      </c>
      <c r="F1965" s="47" t="s">
        <v>4056</v>
      </c>
      <c r="G1965" s="47" t="s">
        <v>1187</v>
      </c>
      <c r="H1965" s="48">
        <f>IF(NOT(ISBLANK(vlookup(B1965,Pop_Census_2023!$A$2:$E$3220,4,FALSE))),vlookup(B1965,Pop_Census_2023!$A$2:$E$3220,4,FALSE), vlookup(B1965,Pop_Census_2023!$A$2:$E$3220,5,FALSE))</f>
        <v>18787</v>
      </c>
    </row>
    <row r="1966">
      <c r="A1966" s="47" t="s">
        <v>3143</v>
      </c>
      <c r="B1966" s="47">
        <v>35045.0</v>
      </c>
      <c r="C1966" s="47">
        <v>5.0</v>
      </c>
      <c r="D1966" s="47" t="s">
        <v>4053</v>
      </c>
      <c r="E1966" s="47" t="str">
        <f t="shared" si="1"/>
        <v>5B</v>
      </c>
      <c r="F1966" s="47" t="s">
        <v>4054</v>
      </c>
      <c r="G1966" s="47" t="s">
        <v>388</v>
      </c>
      <c r="H1966" s="48">
        <f>IF(NOT(ISBLANK(vlookup(B1966,Pop_Census_2023!$A$2:$E$3220,4,FALSE))),vlookup(B1966,Pop_Census_2023!$A$2:$E$3220,4,FALSE), vlookup(B1966,Pop_Census_2023!$A$2:$E$3220,5,FALSE))</f>
        <v>120675</v>
      </c>
    </row>
    <row r="1967">
      <c r="A1967" s="47" t="s">
        <v>3143</v>
      </c>
      <c r="B1967" s="47">
        <v>35047.0</v>
      </c>
      <c r="C1967" s="47">
        <v>5.0</v>
      </c>
      <c r="D1967" s="47" t="s">
        <v>4053</v>
      </c>
      <c r="E1967" s="47" t="str">
        <f t="shared" si="1"/>
        <v>5B</v>
      </c>
      <c r="F1967" s="47" t="s">
        <v>4054</v>
      </c>
      <c r="G1967" s="47" t="s">
        <v>389</v>
      </c>
      <c r="H1967" s="48">
        <f>IF(NOT(ISBLANK(vlookup(B1967,Pop_Census_2023!$A$2:$E$3220,4,FALSE))),vlookup(B1967,Pop_Census_2023!$A$2:$E$3220,4,FALSE), vlookup(B1967,Pop_Census_2023!$A$2:$E$3220,5,FALSE))</f>
        <v>26668</v>
      </c>
    </row>
    <row r="1968">
      <c r="A1968" s="47" t="s">
        <v>3143</v>
      </c>
      <c r="B1968" s="47">
        <v>35043.0</v>
      </c>
      <c r="C1968" s="47">
        <v>5.0</v>
      </c>
      <c r="D1968" s="47" t="s">
        <v>4053</v>
      </c>
      <c r="E1968" s="47" t="str">
        <f t="shared" si="1"/>
        <v>5B</v>
      </c>
      <c r="F1968" s="47" t="s">
        <v>4054</v>
      </c>
      <c r="G1968" s="47" t="s">
        <v>1289</v>
      </c>
      <c r="H1968" s="48">
        <f>IF(NOT(ISBLANK(vlookup(B1968,Pop_Census_2023!$A$2:$E$3220,4,FALSE))),vlookup(B1968,Pop_Census_2023!$A$2:$E$3220,4,FALSE), vlookup(B1968,Pop_Census_2023!$A$2:$E$3220,5,FALSE))</f>
        <v>155936</v>
      </c>
    </row>
    <row r="1969">
      <c r="A1969" s="47" t="s">
        <v>3143</v>
      </c>
      <c r="B1969" s="47">
        <v>35049.0</v>
      </c>
      <c r="C1969" s="47">
        <v>5.0</v>
      </c>
      <c r="D1969" s="47" t="s">
        <v>4053</v>
      </c>
      <c r="E1969" s="47" t="str">
        <f t="shared" si="1"/>
        <v>5B</v>
      </c>
      <c r="F1969" s="47" t="s">
        <v>4054</v>
      </c>
      <c r="G1969" s="47" t="s">
        <v>1290</v>
      </c>
      <c r="H1969" s="48">
        <f>IF(NOT(ISBLANK(vlookup(B1969,Pop_Census_2023!$A$2:$E$3220,4,FALSE))),vlookup(B1969,Pop_Census_2023!$A$2:$E$3220,4,FALSE), vlookup(B1969,Pop_Census_2023!$A$2:$E$3220,5,FALSE))</f>
        <v>155956</v>
      </c>
    </row>
    <row r="1970">
      <c r="A1970" s="47" t="s">
        <v>3143</v>
      </c>
      <c r="B1970" s="47">
        <v>35051.0</v>
      </c>
      <c r="C1970" s="47">
        <v>4.0</v>
      </c>
      <c r="D1970" s="47" t="s">
        <v>4053</v>
      </c>
      <c r="E1970" s="47" t="str">
        <f t="shared" si="1"/>
        <v>4B</v>
      </c>
      <c r="F1970" s="47" t="s">
        <v>4056</v>
      </c>
      <c r="G1970" s="47" t="s">
        <v>325</v>
      </c>
      <c r="H1970" s="48">
        <f>IF(NOT(ISBLANK(vlookup(B1970,Pop_Census_2023!$A$2:$E$3220,4,FALSE))),vlookup(B1970,Pop_Census_2023!$A$2:$E$3220,4,FALSE), vlookup(B1970,Pop_Census_2023!$A$2:$E$3220,5,FALSE))</f>
        <v>11488</v>
      </c>
    </row>
    <row r="1971">
      <c r="A1971" s="47" t="s">
        <v>3143</v>
      </c>
      <c r="B1971" s="47">
        <v>35053.0</v>
      </c>
      <c r="C1971" s="47">
        <v>4.0</v>
      </c>
      <c r="D1971" s="47" t="s">
        <v>4053</v>
      </c>
      <c r="E1971" s="47" t="str">
        <f t="shared" si="1"/>
        <v>4B</v>
      </c>
      <c r="F1971" s="47" t="s">
        <v>4056</v>
      </c>
      <c r="G1971" s="47" t="s">
        <v>1291</v>
      </c>
      <c r="H1971" s="48">
        <f>IF(NOT(ISBLANK(vlookup(B1971,Pop_Census_2023!$A$2:$E$3220,4,FALSE))),vlookup(B1971,Pop_Census_2023!$A$2:$E$3220,4,FALSE), vlookup(B1971,Pop_Census_2023!$A$2:$E$3220,5,FALSE))</f>
        <v>15963</v>
      </c>
    </row>
    <row r="1972">
      <c r="A1972" s="47" t="s">
        <v>3143</v>
      </c>
      <c r="B1972" s="47">
        <v>35055.0</v>
      </c>
      <c r="C1972" s="47">
        <v>5.0</v>
      </c>
      <c r="D1972" s="47" t="s">
        <v>4053</v>
      </c>
      <c r="E1972" s="47" t="str">
        <f t="shared" si="1"/>
        <v>5B</v>
      </c>
      <c r="F1972" s="47" t="s">
        <v>4054</v>
      </c>
      <c r="G1972" s="47" t="s">
        <v>1292</v>
      </c>
      <c r="H1972" s="48">
        <f>IF(NOT(ISBLANK(vlookup(B1972,Pop_Census_2023!$A$2:$E$3220,4,FALSE))),vlookup(B1972,Pop_Census_2023!$A$2:$E$3220,4,FALSE), vlookup(B1972,Pop_Census_2023!$A$2:$E$3220,5,FALSE))</f>
        <v>34405</v>
      </c>
    </row>
    <row r="1973">
      <c r="A1973" s="47" t="s">
        <v>3143</v>
      </c>
      <c r="B1973" s="47">
        <v>35057.0</v>
      </c>
      <c r="C1973" s="47">
        <v>5.0</v>
      </c>
      <c r="D1973" s="47" t="s">
        <v>4053</v>
      </c>
      <c r="E1973" s="47" t="str">
        <f t="shared" si="1"/>
        <v>5B</v>
      </c>
      <c r="F1973" s="47" t="s">
        <v>4054</v>
      </c>
      <c r="G1973" s="47" t="s">
        <v>1293</v>
      </c>
      <c r="H1973" s="48">
        <f>IF(NOT(ISBLANK(vlookup(B1973,Pop_Census_2023!$A$2:$E$3220,4,FALSE))),vlookup(B1973,Pop_Census_2023!$A$2:$E$3220,4,FALSE), vlookup(B1973,Pop_Census_2023!$A$2:$E$3220,5,FALSE))</f>
        <v>15633</v>
      </c>
    </row>
    <row r="1974">
      <c r="A1974" s="47" t="s">
        <v>3143</v>
      </c>
      <c r="B1974" s="47">
        <v>35059.0</v>
      </c>
      <c r="C1974" s="47">
        <v>4.0</v>
      </c>
      <c r="D1974" s="47" t="s">
        <v>4053</v>
      </c>
      <c r="E1974" s="47" t="str">
        <f t="shared" si="1"/>
        <v>4B</v>
      </c>
      <c r="F1974" s="47" t="s">
        <v>4056</v>
      </c>
      <c r="G1974" s="47" t="s">
        <v>273</v>
      </c>
      <c r="H1974" s="48">
        <f>IF(NOT(ISBLANK(vlookup(B1974,Pop_Census_2023!$A$2:$E$3220,4,FALSE))),vlookup(B1974,Pop_Census_2023!$A$2:$E$3220,4,FALSE), vlookup(B1974,Pop_Census_2023!$A$2:$E$3220,5,FALSE))</f>
        <v>3964</v>
      </c>
    </row>
    <row r="1975">
      <c r="A1975" s="47" t="s">
        <v>3143</v>
      </c>
      <c r="B1975" s="47">
        <v>35061.0</v>
      </c>
      <c r="C1975" s="47">
        <v>4.0</v>
      </c>
      <c r="D1975" s="47" t="s">
        <v>4053</v>
      </c>
      <c r="E1975" s="47" t="str">
        <f t="shared" si="1"/>
        <v>4B</v>
      </c>
      <c r="F1975" s="47" t="s">
        <v>4056</v>
      </c>
      <c r="G1975" s="47" t="s">
        <v>1294</v>
      </c>
      <c r="H1975" s="48">
        <f>IF(NOT(ISBLANK(vlookup(B1975,Pop_Census_2023!$A$2:$E$3220,4,FALSE))),vlookup(B1975,Pop_Census_2023!$A$2:$E$3220,4,FALSE), vlookup(B1975,Pop_Census_2023!$A$2:$E$3220,5,FALSE))</f>
        <v>79141</v>
      </c>
    </row>
    <row r="1976">
      <c r="A1976" s="47" t="s">
        <v>3112</v>
      </c>
      <c r="B1976" s="47">
        <v>32510.0</v>
      </c>
      <c r="C1976" s="47">
        <v>5.0</v>
      </c>
      <c r="D1976" s="47" t="s">
        <v>4053</v>
      </c>
      <c r="E1976" s="47" t="str">
        <f t="shared" si="1"/>
        <v>5B</v>
      </c>
      <c r="F1976" s="47" t="s">
        <v>4054</v>
      </c>
      <c r="G1976" s="47" t="s">
        <v>4073</v>
      </c>
      <c r="H1976" s="48">
        <f>IF(NOT(ISBLANK(vlookup(B1976,Pop_Census_2023!$A$2:$E$3220,4,FALSE))),vlookup(B1976,Pop_Census_2023!$A$2:$E$3220,4,FALSE), vlookup(B1976,Pop_Census_2023!$A$2:$E$3220,5,FALSE))</f>
        <v>58036</v>
      </c>
    </row>
    <row r="1977">
      <c r="A1977" s="47" t="s">
        <v>3112</v>
      </c>
      <c r="B1977" s="47">
        <v>32001.0</v>
      </c>
      <c r="C1977" s="47">
        <v>5.0</v>
      </c>
      <c r="D1977" s="47" t="s">
        <v>4053</v>
      </c>
      <c r="E1977" s="47" t="str">
        <f t="shared" si="1"/>
        <v>5B</v>
      </c>
      <c r="F1977" s="47" t="s">
        <v>4054</v>
      </c>
      <c r="G1977" s="47" t="s">
        <v>1239</v>
      </c>
      <c r="H1977" s="48">
        <f>IF(NOT(ISBLANK(vlookup(B1977,Pop_Census_2023!$A$2:$E$3220,4,FALSE))),vlookup(B1977,Pop_Census_2023!$A$2:$E$3220,4,FALSE), vlookup(B1977,Pop_Census_2023!$A$2:$E$3220,5,FALSE))</f>
        <v>25803</v>
      </c>
    </row>
    <row r="1978">
      <c r="A1978" s="47" t="s">
        <v>3112</v>
      </c>
      <c r="B1978" s="47">
        <v>32003.0</v>
      </c>
      <c r="C1978" s="47">
        <v>3.0</v>
      </c>
      <c r="D1978" s="47" t="s">
        <v>4053</v>
      </c>
      <c r="E1978" s="47" t="str">
        <f t="shared" si="1"/>
        <v>3B</v>
      </c>
      <c r="F1978" s="47" t="s">
        <v>4055</v>
      </c>
      <c r="G1978" s="47" t="s">
        <v>229</v>
      </c>
      <c r="H1978" s="48">
        <f>IF(NOT(ISBLANK(vlookup(B1978,Pop_Census_2023!$A$2:$E$3220,4,FALSE))),vlookup(B1978,Pop_Census_2023!$A$2:$E$3220,4,FALSE), vlookup(B1978,Pop_Census_2023!$A$2:$E$3220,5,FALSE))</f>
        <v>2336573</v>
      </c>
    </row>
    <row r="1979">
      <c r="A1979" s="47" t="s">
        <v>3112</v>
      </c>
      <c r="B1979" s="47">
        <v>32005.0</v>
      </c>
      <c r="C1979" s="47">
        <v>5.0</v>
      </c>
      <c r="D1979" s="47" t="s">
        <v>4053</v>
      </c>
      <c r="E1979" s="47" t="str">
        <f t="shared" si="1"/>
        <v>5B</v>
      </c>
      <c r="F1979" s="47" t="s">
        <v>4054</v>
      </c>
      <c r="G1979" s="47" t="s">
        <v>357</v>
      </c>
      <c r="H1979" s="48">
        <f>IF(NOT(ISBLANK(vlookup(B1979,Pop_Census_2023!$A$2:$E$3220,4,FALSE))),vlookup(B1979,Pop_Census_2023!$A$2:$E$3220,4,FALSE), vlookup(B1979,Pop_Census_2023!$A$2:$E$3220,5,FALSE))</f>
        <v>49545</v>
      </c>
    </row>
    <row r="1980">
      <c r="A1980" s="47" t="s">
        <v>3112</v>
      </c>
      <c r="B1980" s="47">
        <v>32007.0</v>
      </c>
      <c r="C1980" s="47">
        <v>5.0</v>
      </c>
      <c r="D1980" s="47" t="s">
        <v>4053</v>
      </c>
      <c r="E1980" s="47" t="str">
        <f t="shared" si="1"/>
        <v>5B</v>
      </c>
      <c r="F1980" s="47" t="s">
        <v>4054</v>
      </c>
      <c r="G1980" s="47" t="s">
        <v>1240</v>
      </c>
      <c r="H1980" s="48">
        <f>IF(NOT(ISBLANK(vlookup(B1980,Pop_Census_2023!$A$2:$E$3220,4,FALSE))),vlookup(B1980,Pop_Census_2023!$A$2:$E$3220,4,FALSE), vlookup(B1980,Pop_Census_2023!$A$2:$E$3220,5,FALSE))</f>
        <v>54293</v>
      </c>
    </row>
    <row r="1981">
      <c r="A1981" s="47" t="s">
        <v>3112</v>
      </c>
      <c r="B1981" s="47">
        <v>32009.0</v>
      </c>
      <c r="C1981" s="47">
        <v>5.0</v>
      </c>
      <c r="D1981" s="47" t="s">
        <v>4053</v>
      </c>
      <c r="E1981" s="47" t="str">
        <f t="shared" si="1"/>
        <v>5B</v>
      </c>
      <c r="F1981" s="47" t="s">
        <v>4054</v>
      </c>
      <c r="G1981" s="47" t="s">
        <v>1241</v>
      </c>
      <c r="H1981" s="34">
        <f>IF(NOT(ISBLANK(vlookup(B1981,Pop_Census_2023!$A$2:$E$3220,4,FALSE))),vlookup(B1981,Pop_Census_2023!$A$2:$E$3220,4,FALSE), vlookup(B1981,Pop_Census_2023!$A$2:$E$3220,5,FALSE))</f>
        <v>736</v>
      </c>
    </row>
    <row r="1982">
      <c r="A1982" s="47" t="s">
        <v>3112</v>
      </c>
      <c r="B1982" s="47">
        <v>32011.0</v>
      </c>
      <c r="C1982" s="47">
        <v>5.0</v>
      </c>
      <c r="D1982" s="47" t="s">
        <v>4053</v>
      </c>
      <c r="E1982" s="47" t="str">
        <f t="shared" si="1"/>
        <v>5B</v>
      </c>
      <c r="F1982" s="47" t="s">
        <v>4054</v>
      </c>
      <c r="G1982" s="47" t="s">
        <v>1242</v>
      </c>
      <c r="H1982" s="48">
        <f>IF(NOT(ISBLANK(vlookup(B1982,Pop_Census_2023!$A$2:$E$3220,4,FALSE))),vlookup(B1982,Pop_Census_2023!$A$2:$E$3220,4,FALSE), vlookup(B1982,Pop_Census_2023!$A$2:$E$3220,5,FALSE))</f>
        <v>1917</v>
      </c>
    </row>
    <row r="1983">
      <c r="A1983" s="47" t="s">
        <v>3112</v>
      </c>
      <c r="B1983" s="47">
        <v>32013.0</v>
      </c>
      <c r="C1983" s="47">
        <v>5.0</v>
      </c>
      <c r="D1983" s="47" t="s">
        <v>4053</v>
      </c>
      <c r="E1983" s="47" t="str">
        <f t="shared" si="1"/>
        <v>5B</v>
      </c>
      <c r="F1983" s="47" t="s">
        <v>4054</v>
      </c>
      <c r="G1983" s="47" t="s">
        <v>293</v>
      </c>
      <c r="H1983" s="48">
        <f>IF(NOT(ISBLANK(vlookup(B1983,Pop_Census_2023!$A$2:$E$3220,4,FALSE))),vlookup(B1983,Pop_Census_2023!$A$2:$E$3220,4,FALSE), vlookup(B1983,Pop_Census_2023!$A$2:$E$3220,5,FALSE))</f>
        <v>17136</v>
      </c>
    </row>
    <row r="1984">
      <c r="A1984" s="47" t="s">
        <v>3112</v>
      </c>
      <c r="B1984" s="47">
        <v>32015.0</v>
      </c>
      <c r="C1984" s="47">
        <v>5.0</v>
      </c>
      <c r="D1984" s="47" t="s">
        <v>4053</v>
      </c>
      <c r="E1984" s="47" t="str">
        <f t="shared" si="1"/>
        <v>5B</v>
      </c>
      <c r="F1984" s="47" t="s">
        <v>4054</v>
      </c>
      <c r="G1984" s="47" t="s">
        <v>1243</v>
      </c>
      <c r="H1984" s="48">
        <f>IF(NOT(ISBLANK(vlookup(B1984,Pop_Census_2023!$A$2:$E$3220,4,FALSE))),vlookup(B1984,Pop_Census_2023!$A$2:$E$3220,4,FALSE), vlookup(B1984,Pop_Census_2023!$A$2:$E$3220,5,FALSE))</f>
        <v>5769</v>
      </c>
    </row>
    <row r="1985">
      <c r="A1985" s="47" t="s">
        <v>3112</v>
      </c>
      <c r="B1985" s="47">
        <v>32017.0</v>
      </c>
      <c r="C1985" s="47">
        <v>5.0</v>
      </c>
      <c r="D1985" s="47" t="s">
        <v>4053</v>
      </c>
      <c r="E1985" s="47" t="str">
        <f t="shared" si="1"/>
        <v>5B</v>
      </c>
      <c r="F1985" s="47" t="s">
        <v>4054</v>
      </c>
      <c r="G1985" s="47" t="s">
        <v>250</v>
      </c>
      <c r="H1985" s="48">
        <f>IF(NOT(ISBLANK(vlookup(B1985,Pop_Census_2023!$A$2:$E$3220,4,FALSE))),vlookup(B1985,Pop_Census_2023!$A$2:$E$3220,4,FALSE), vlookup(B1985,Pop_Census_2023!$A$2:$E$3220,5,FALSE))</f>
        <v>4452</v>
      </c>
    </row>
    <row r="1986">
      <c r="A1986" s="47" t="s">
        <v>3112</v>
      </c>
      <c r="B1986" s="47">
        <v>32019.0</v>
      </c>
      <c r="C1986" s="47">
        <v>5.0</v>
      </c>
      <c r="D1986" s="47" t="s">
        <v>4053</v>
      </c>
      <c r="E1986" s="47" t="str">
        <f t="shared" si="1"/>
        <v>5B</v>
      </c>
      <c r="F1986" s="47" t="s">
        <v>4054</v>
      </c>
      <c r="G1986" s="47" t="s">
        <v>729</v>
      </c>
      <c r="H1986" s="48">
        <f>IF(NOT(ISBLANK(vlookup(B1986,Pop_Census_2023!$A$2:$E$3220,4,FALSE))),vlookup(B1986,Pop_Census_2023!$A$2:$E$3220,4,FALSE), vlookup(B1986,Pop_Census_2023!$A$2:$E$3220,5,FALSE))</f>
        <v>62583</v>
      </c>
    </row>
    <row r="1987">
      <c r="A1987" s="47" t="s">
        <v>3112</v>
      </c>
      <c r="B1987" s="47">
        <v>32021.0</v>
      </c>
      <c r="C1987" s="47">
        <v>5.0</v>
      </c>
      <c r="D1987" s="47" t="s">
        <v>4053</v>
      </c>
      <c r="E1987" s="47" t="str">
        <f t="shared" si="1"/>
        <v>5B</v>
      </c>
      <c r="F1987" s="47" t="s">
        <v>4054</v>
      </c>
      <c r="G1987" s="47" t="s">
        <v>374</v>
      </c>
      <c r="H1987" s="48">
        <f>IF(NOT(ISBLANK(vlookup(B1987,Pop_Census_2023!$A$2:$E$3220,4,FALSE))),vlookup(B1987,Pop_Census_2023!$A$2:$E$3220,4,FALSE), vlookup(B1987,Pop_Census_2023!$A$2:$E$3220,5,FALSE))</f>
        <v>4528</v>
      </c>
    </row>
    <row r="1988">
      <c r="A1988" s="47" t="s">
        <v>3112</v>
      </c>
      <c r="B1988" s="47">
        <v>32023.0</v>
      </c>
      <c r="C1988" s="47">
        <v>5.0</v>
      </c>
      <c r="D1988" s="47" t="s">
        <v>4053</v>
      </c>
      <c r="E1988" s="47" t="str">
        <f t="shared" si="1"/>
        <v>5B</v>
      </c>
      <c r="F1988" s="47" t="s">
        <v>4054</v>
      </c>
      <c r="G1988" s="47" t="s">
        <v>1244</v>
      </c>
      <c r="H1988" s="48">
        <f>IF(NOT(ISBLANK(vlookup(B1988,Pop_Census_2023!$A$2:$E$3220,4,FALSE))),vlookup(B1988,Pop_Census_2023!$A$2:$E$3220,4,FALSE), vlookup(B1988,Pop_Census_2023!$A$2:$E$3220,5,FALSE))</f>
        <v>55720</v>
      </c>
    </row>
    <row r="1989">
      <c r="A1989" s="47" t="s">
        <v>3112</v>
      </c>
      <c r="B1989" s="47">
        <v>32027.0</v>
      </c>
      <c r="C1989" s="47">
        <v>5.0</v>
      </c>
      <c r="D1989" s="47" t="s">
        <v>4053</v>
      </c>
      <c r="E1989" s="47" t="str">
        <f t="shared" si="1"/>
        <v>5B</v>
      </c>
      <c r="F1989" s="47" t="s">
        <v>4054</v>
      </c>
      <c r="G1989" s="47" t="s">
        <v>1245</v>
      </c>
      <c r="H1989" s="48">
        <f>IF(NOT(ISBLANK(vlookup(B1989,Pop_Census_2023!$A$2:$E$3220,4,FALSE))),vlookup(B1989,Pop_Census_2023!$A$2:$E$3220,4,FALSE), vlookup(B1989,Pop_Census_2023!$A$2:$E$3220,5,FALSE))</f>
        <v>6364</v>
      </c>
    </row>
    <row r="1990">
      <c r="A1990" s="47" t="s">
        <v>3112</v>
      </c>
      <c r="B1990" s="47">
        <v>32029.0</v>
      </c>
      <c r="C1990" s="47">
        <v>5.0</v>
      </c>
      <c r="D1990" s="47" t="s">
        <v>4053</v>
      </c>
      <c r="E1990" s="47" t="str">
        <f t="shared" si="1"/>
        <v>5B</v>
      </c>
      <c r="F1990" s="47" t="s">
        <v>4054</v>
      </c>
      <c r="G1990" s="47" t="s">
        <v>1246</v>
      </c>
      <c r="H1990" s="48">
        <f>IF(NOT(ISBLANK(vlookup(B1990,Pop_Census_2023!$A$2:$E$3220,4,FALSE))),vlookup(B1990,Pop_Census_2023!$A$2:$E$3220,4,FALSE), vlookup(B1990,Pop_Census_2023!$A$2:$E$3220,5,FALSE))</f>
        <v>4177</v>
      </c>
    </row>
    <row r="1991">
      <c r="A1991" s="47" t="s">
        <v>3112</v>
      </c>
      <c r="B1991" s="47">
        <v>32031.0</v>
      </c>
      <c r="C1991" s="47">
        <v>5.0</v>
      </c>
      <c r="D1991" s="47" t="s">
        <v>4053</v>
      </c>
      <c r="E1991" s="47" t="str">
        <f t="shared" si="1"/>
        <v>5B</v>
      </c>
      <c r="F1991" s="47" t="s">
        <v>4054</v>
      </c>
      <c r="G1991" s="47" t="s">
        <v>1247</v>
      </c>
      <c r="H1991" s="48">
        <f>IF(NOT(ISBLANK(vlookup(B1991,Pop_Census_2023!$A$2:$E$3220,4,FALSE))),vlookup(B1991,Pop_Census_2023!$A$2:$E$3220,4,FALSE), vlookup(B1991,Pop_Census_2023!$A$2:$E$3220,5,FALSE))</f>
        <v>498022</v>
      </c>
    </row>
    <row r="1992">
      <c r="A1992" s="47" t="s">
        <v>3112</v>
      </c>
      <c r="B1992" s="47">
        <v>32033.0</v>
      </c>
      <c r="C1992" s="47">
        <v>5.0</v>
      </c>
      <c r="D1992" s="47" t="s">
        <v>4053</v>
      </c>
      <c r="E1992" s="47" t="str">
        <f t="shared" si="1"/>
        <v>5B</v>
      </c>
      <c r="F1992" s="47" t="s">
        <v>4054</v>
      </c>
      <c r="G1992" s="47" t="s">
        <v>1248</v>
      </c>
      <c r="H1992" s="48">
        <f>IF(NOT(ISBLANK(vlookup(B1992,Pop_Census_2023!$A$2:$E$3220,4,FALSE))),vlookup(B1992,Pop_Census_2023!$A$2:$E$3220,4,FALSE), vlookup(B1992,Pop_Census_2023!$A$2:$E$3220,5,FALSE))</f>
        <v>8522</v>
      </c>
    </row>
    <row r="1993">
      <c r="A1993" s="47" t="s">
        <v>3168</v>
      </c>
      <c r="B1993" s="47">
        <v>36001.0</v>
      </c>
      <c r="C1993" s="47">
        <v>5.0</v>
      </c>
      <c r="D1993" s="47" t="s">
        <v>4044</v>
      </c>
      <c r="E1993" s="47" t="str">
        <f t="shared" si="1"/>
        <v>5A</v>
      </c>
      <c r="F1993" s="47" t="s">
        <v>4054</v>
      </c>
      <c r="G1993" s="47" t="s">
        <v>1295</v>
      </c>
      <c r="H1993" s="48">
        <f>IF(NOT(ISBLANK(vlookup(B1993,Pop_Census_2023!$A$2:$E$3220,4,FALSE))),vlookup(B1993,Pop_Census_2023!$A$2:$E$3220,4,FALSE), vlookup(B1993,Pop_Census_2023!$A$2:$E$3220,5,FALSE))</f>
        <v>316659</v>
      </c>
    </row>
    <row r="1994">
      <c r="A1994" s="47" t="s">
        <v>3168</v>
      </c>
      <c r="B1994" s="47">
        <v>36003.0</v>
      </c>
      <c r="C1994" s="47">
        <v>6.0</v>
      </c>
      <c r="D1994" s="47" t="s">
        <v>4044</v>
      </c>
      <c r="E1994" s="47" t="str">
        <f t="shared" si="1"/>
        <v>6A</v>
      </c>
      <c r="F1994" s="47" t="s">
        <v>4054</v>
      </c>
      <c r="G1994" s="47" t="s">
        <v>933</v>
      </c>
      <c r="H1994" s="48">
        <f>IF(NOT(ISBLANK(vlookup(B1994,Pop_Census_2023!$A$2:$E$3220,4,FALSE))),vlookup(B1994,Pop_Census_2023!$A$2:$E$3220,4,FALSE), vlookup(B1994,Pop_Census_2023!$A$2:$E$3220,5,FALSE))</f>
        <v>46651</v>
      </c>
    </row>
    <row r="1995">
      <c r="A1995" s="47" t="s">
        <v>3168</v>
      </c>
      <c r="B1995" s="47">
        <v>36005.0</v>
      </c>
      <c r="C1995" s="47">
        <v>4.0</v>
      </c>
      <c r="D1995" s="47" t="s">
        <v>4044</v>
      </c>
      <c r="E1995" s="47" t="str">
        <f t="shared" si="1"/>
        <v>4A</v>
      </c>
      <c r="F1995" s="47" t="s">
        <v>4046</v>
      </c>
      <c r="G1995" s="47" t="s">
        <v>1297</v>
      </c>
      <c r="H1995" s="48">
        <f>IF(NOT(ISBLANK(vlookup(B1995,Pop_Census_2023!$A$2:$E$3220,4,FALSE))),vlookup(B1995,Pop_Census_2023!$A$2:$E$3220,4,FALSE), vlookup(B1995,Pop_Census_2023!$A$2:$E$3220,5,FALSE))</f>
        <v>1356476</v>
      </c>
    </row>
    <row r="1996">
      <c r="A1996" s="47" t="s">
        <v>3168</v>
      </c>
      <c r="B1996" s="47">
        <v>36007.0</v>
      </c>
      <c r="C1996" s="47">
        <v>6.0</v>
      </c>
      <c r="D1996" s="47" t="s">
        <v>4044</v>
      </c>
      <c r="E1996" s="47" t="str">
        <f t="shared" si="1"/>
        <v>6A</v>
      </c>
      <c r="F1996" s="47" t="s">
        <v>4054</v>
      </c>
      <c r="G1996" s="47" t="s">
        <v>1298</v>
      </c>
      <c r="H1996" s="48">
        <f>IF(NOT(ISBLANK(vlookup(B1996,Pop_Census_2023!$A$2:$E$3220,4,FALSE))),vlookup(B1996,Pop_Census_2023!$A$2:$E$3220,4,FALSE), vlookup(B1996,Pop_Census_2023!$A$2:$E$3220,5,FALSE))</f>
        <v>196077</v>
      </c>
    </row>
    <row r="1997">
      <c r="A1997" s="47" t="s">
        <v>3168</v>
      </c>
      <c r="B1997" s="47">
        <v>36009.0</v>
      </c>
      <c r="C1997" s="47">
        <v>6.0</v>
      </c>
      <c r="D1997" s="47" t="s">
        <v>4044</v>
      </c>
      <c r="E1997" s="47" t="str">
        <f t="shared" si="1"/>
        <v>6A</v>
      </c>
      <c r="F1997" s="47" t="s">
        <v>4054</v>
      </c>
      <c r="G1997" s="47" t="s">
        <v>1299</v>
      </c>
      <c r="H1997" s="48">
        <f>IF(NOT(ISBLANK(vlookup(B1997,Pop_Census_2023!$A$2:$E$3220,4,FALSE))),vlookup(B1997,Pop_Census_2023!$A$2:$E$3220,4,FALSE), vlookup(B1997,Pop_Census_2023!$A$2:$E$3220,5,FALSE))</f>
        <v>75600</v>
      </c>
    </row>
    <row r="1998">
      <c r="A1998" s="47" t="s">
        <v>3168</v>
      </c>
      <c r="B1998" s="47">
        <v>36011.0</v>
      </c>
      <c r="C1998" s="47">
        <v>5.0</v>
      </c>
      <c r="D1998" s="47" t="s">
        <v>4044</v>
      </c>
      <c r="E1998" s="47" t="str">
        <f t="shared" si="1"/>
        <v>5A</v>
      </c>
      <c r="F1998" s="47" t="s">
        <v>4054</v>
      </c>
      <c r="G1998" s="47" t="s">
        <v>1300</v>
      </c>
      <c r="H1998" s="48">
        <f>IF(NOT(ISBLANK(vlookup(B1998,Pop_Census_2023!$A$2:$E$3220,4,FALSE))),vlookup(B1998,Pop_Census_2023!$A$2:$E$3220,4,FALSE), vlookup(B1998,Pop_Census_2023!$A$2:$E$3220,5,FALSE))</f>
        <v>74485</v>
      </c>
    </row>
    <row r="1999">
      <c r="A1999" s="47" t="s">
        <v>3168</v>
      </c>
      <c r="B1999" s="47">
        <v>36013.0</v>
      </c>
      <c r="C1999" s="47">
        <v>5.0</v>
      </c>
      <c r="D1999" s="47" t="s">
        <v>4044</v>
      </c>
      <c r="E1999" s="47" t="str">
        <f t="shared" si="1"/>
        <v>5A</v>
      </c>
      <c r="F1999" s="47" t="s">
        <v>4054</v>
      </c>
      <c r="G1999" s="47" t="s">
        <v>757</v>
      </c>
      <c r="H1999" s="48">
        <f>IF(NOT(ISBLANK(vlookup(B1999,Pop_Census_2023!$A$2:$E$3220,4,FALSE))),vlookup(B1999,Pop_Census_2023!$A$2:$E$3220,4,FALSE), vlookup(B1999,Pop_Census_2023!$A$2:$E$3220,5,FALSE))</f>
        <v>124891</v>
      </c>
    </row>
    <row r="2000">
      <c r="A2000" s="47" t="s">
        <v>3168</v>
      </c>
      <c r="B2000" s="47">
        <v>36015.0</v>
      </c>
      <c r="C2000" s="47">
        <v>5.0</v>
      </c>
      <c r="D2000" s="47" t="s">
        <v>4044</v>
      </c>
      <c r="E2000" s="47" t="str">
        <f t="shared" si="1"/>
        <v>5A</v>
      </c>
      <c r="F2000" s="47" t="s">
        <v>4054</v>
      </c>
      <c r="G2000" s="47" t="s">
        <v>1301</v>
      </c>
      <c r="H2000" s="48">
        <f>IF(NOT(ISBLANK(vlookup(B2000,Pop_Census_2023!$A$2:$E$3220,4,FALSE))),vlookup(B2000,Pop_Census_2023!$A$2:$E$3220,4,FALSE), vlookup(B2000,Pop_Census_2023!$A$2:$E$3220,5,FALSE))</f>
        <v>81325</v>
      </c>
    </row>
    <row r="2001">
      <c r="A2001" s="47" t="s">
        <v>3168</v>
      </c>
      <c r="B2001" s="47">
        <v>36017.0</v>
      </c>
      <c r="C2001" s="47">
        <v>6.0</v>
      </c>
      <c r="D2001" s="47" t="s">
        <v>4044</v>
      </c>
      <c r="E2001" s="47" t="str">
        <f t="shared" si="1"/>
        <v>6A</v>
      </c>
      <c r="F2001" s="47" t="s">
        <v>4054</v>
      </c>
      <c r="G2001" s="47" t="s">
        <v>1302</v>
      </c>
      <c r="H2001" s="48">
        <f>IF(NOT(ISBLANK(vlookup(B2001,Pop_Census_2023!$A$2:$E$3220,4,FALSE))),vlookup(B2001,Pop_Census_2023!$A$2:$E$3220,4,FALSE), vlookup(B2001,Pop_Census_2023!$A$2:$E$3220,5,FALSE))</f>
        <v>45920</v>
      </c>
    </row>
    <row r="2002">
      <c r="A2002" s="47" t="s">
        <v>3168</v>
      </c>
      <c r="B2002" s="47">
        <v>36019.0</v>
      </c>
      <c r="C2002" s="47">
        <v>6.0</v>
      </c>
      <c r="D2002" s="47" t="s">
        <v>4044</v>
      </c>
      <c r="E2002" s="47" t="str">
        <f t="shared" si="1"/>
        <v>6A</v>
      </c>
      <c r="F2002" s="47" t="s">
        <v>4054</v>
      </c>
      <c r="G2002" s="47" t="s">
        <v>616</v>
      </c>
      <c r="H2002" s="48">
        <f>IF(NOT(ISBLANK(vlookup(B2002,Pop_Census_2023!$A$2:$E$3220,4,FALSE))),vlookup(B2002,Pop_Census_2023!$A$2:$E$3220,4,FALSE), vlookup(B2002,Pop_Census_2023!$A$2:$E$3220,5,FALSE))</f>
        <v>78115</v>
      </c>
    </row>
    <row r="2003">
      <c r="A2003" s="47" t="s">
        <v>3168</v>
      </c>
      <c r="B2003" s="47">
        <v>36021.0</v>
      </c>
      <c r="C2003" s="47">
        <v>5.0</v>
      </c>
      <c r="D2003" s="47" t="s">
        <v>4044</v>
      </c>
      <c r="E2003" s="47" t="str">
        <f t="shared" si="1"/>
        <v>5A</v>
      </c>
      <c r="F2003" s="47" t="s">
        <v>4054</v>
      </c>
      <c r="G2003" s="47" t="s">
        <v>231</v>
      </c>
      <c r="H2003" s="48">
        <f>IF(NOT(ISBLANK(vlookup(B2003,Pop_Census_2023!$A$2:$E$3220,4,FALSE))),vlookup(B2003,Pop_Census_2023!$A$2:$E$3220,4,FALSE), vlookup(B2003,Pop_Census_2023!$A$2:$E$3220,5,FALSE))</f>
        <v>60470</v>
      </c>
    </row>
    <row r="2004">
      <c r="A2004" s="47" t="s">
        <v>3168</v>
      </c>
      <c r="B2004" s="47">
        <v>36023.0</v>
      </c>
      <c r="C2004" s="47">
        <v>5.0</v>
      </c>
      <c r="D2004" s="47" t="s">
        <v>4044</v>
      </c>
      <c r="E2004" s="47" t="str">
        <f t="shared" si="1"/>
        <v>5A</v>
      </c>
      <c r="F2004" s="47" t="s">
        <v>4054</v>
      </c>
      <c r="G2004" s="47" t="s">
        <v>1303</v>
      </c>
      <c r="H2004" s="48">
        <f>IF(NOT(ISBLANK(vlookup(B2004,Pop_Census_2023!$A$2:$E$3220,4,FALSE))),vlookup(B2004,Pop_Census_2023!$A$2:$E$3220,4,FALSE), vlookup(B2004,Pop_Census_2023!$A$2:$E$3220,5,FALSE))</f>
        <v>45752</v>
      </c>
    </row>
    <row r="2005">
      <c r="A2005" s="47" t="s">
        <v>3168</v>
      </c>
      <c r="B2005" s="47">
        <v>36025.0</v>
      </c>
      <c r="C2005" s="47">
        <v>6.0</v>
      </c>
      <c r="D2005" s="47" t="s">
        <v>4044</v>
      </c>
      <c r="E2005" s="47" t="str">
        <f t="shared" si="1"/>
        <v>6A</v>
      </c>
      <c r="F2005" s="47" t="s">
        <v>4054</v>
      </c>
      <c r="G2005" s="47" t="s">
        <v>405</v>
      </c>
      <c r="H2005" s="48">
        <f>IF(NOT(ISBLANK(vlookup(B2005,Pop_Census_2023!$A$2:$E$3220,4,FALSE))),vlookup(B2005,Pop_Census_2023!$A$2:$E$3220,4,FALSE), vlookup(B2005,Pop_Census_2023!$A$2:$E$3220,5,FALSE))</f>
        <v>44410</v>
      </c>
    </row>
    <row r="2006">
      <c r="A2006" s="47" t="s">
        <v>3168</v>
      </c>
      <c r="B2006" s="47">
        <v>36027.0</v>
      </c>
      <c r="C2006" s="47">
        <v>5.0</v>
      </c>
      <c r="D2006" s="47" t="s">
        <v>4044</v>
      </c>
      <c r="E2006" s="47" t="str">
        <f t="shared" si="1"/>
        <v>5A</v>
      </c>
      <c r="F2006" s="47" t="s">
        <v>4054</v>
      </c>
      <c r="G2006" s="47" t="s">
        <v>1304</v>
      </c>
      <c r="H2006" s="48">
        <f>IF(NOT(ISBLANK(vlookup(B2006,Pop_Census_2023!$A$2:$E$3220,4,FALSE))),vlookup(B2006,Pop_Census_2023!$A$2:$E$3220,4,FALSE), vlookup(B2006,Pop_Census_2023!$A$2:$E$3220,5,FALSE))</f>
        <v>297150</v>
      </c>
    </row>
    <row r="2007">
      <c r="A2007" s="47" t="s">
        <v>3168</v>
      </c>
      <c r="B2007" s="47">
        <v>36029.0</v>
      </c>
      <c r="C2007" s="47">
        <v>5.0</v>
      </c>
      <c r="D2007" s="47" t="s">
        <v>4044</v>
      </c>
      <c r="E2007" s="47" t="str">
        <f t="shared" si="1"/>
        <v>5A</v>
      </c>
      <c r="F2007" s="47" t="s">
        <v>4054</v>
      </c>
      <c r="G2007" s="47" t="s">
        <v>1305</v>
      </c>
      <c r="H2007" s="48">
        <f>IF(NOT(ISBLANK(vlookup(B2007,Pop_Census_2023!$A$2:$E$3220,4,FALSE))),vlookup(B2007,Pop_Census_2023!$A$2:$E$3220,4,FALSE), vlookup(B2007,Pop_Census_2023!$A$2:$E$3220,5,FALSE))</f>
        <v>946147</v>
      </c>
    </row>
    <row r="2008">
      <c r="A2008" s="47" t="s">
        <v>3168</v>
      </c>
      <c r="B2008" s="47">
        <v>36031.0</v>
      </c>
      <c r="C2008" s="47">
        <v>6.0</v>
      </c>
      <c r="D2008" s="47" t="s">
        <v>4044</v>
      </c>
      <c r="E2008" s="47" t="str">
        <f t="shared" si="1"/>
        <v>6A</v>
      </c>
      <c r="F2008" s="47" t="s">
        <v>4054</v>
      </c>
      <c r="G2008" s="47" t="s">
        <v>956</v>
      </c>
      <c r="H2008" s="48">
        <f>IF(NOT(ISBLANK(vlookup(B2008,Pop_Census_2023!$A$2:$E$3220,4,FALSE))),vlookup(B2008,Pop_Census_2023!$A$2:$E$3220,4,FALSE), vlookup(B2008,Pop_Census_2023!$A$2:$E$3220,5,FALSE))</f>
        <v>36775</v>
      </c>
    </row>
    <row r="2009">
      <c r="A2009" s="47" t="s">
        <v>3168</v>
      </c>
      <c r="B2009" s="47">
        <v>36033.0</v>
      </c>
      <c r="C2009" s="47">
        <v>6.0</v>
      </c>
      <c r="D2009" s="47" t="s">
        <v>4044</v>
      </c>
      <c r="E2009" s="47" t="str">
        <f t="shared" si="1"/>
        <v>6A</v>
      </c>
      <c r="F2009" s="47" t="s">
        <v>4054</v>
      </c>
      <c r="G2009" s="47" t="s">
        <v>132</v>
      </c>
      <c r="H2009" s="48">
        <f>IF(NOT(ISBLANK(vlookup(B2009,Pop_Census_2023!$A$2:$E$3220,4,FALSE))),vlookup(B2009,Pop_Census_2023!$A$2:$E$3220,4,FALSE), vlookup(B2009,Pop_Census_2023!$A$2:$E$3220,5,FALSE))</f>
        <v>46502</v>
      </c>
    </row>
    <row r="2010">
      <c r="A2010" s="47" t="s">
        <v>3168</v>
      </c>
      <c r="B2010" s="47">
        <v>36035.0</v>
      </c>
      <c r="C2010" s="47">
        <v>6.0</v>
      </c>
      <c r="D2010" s="47" t="s">
        <v>4044</v>
      </c>
      <c r="E2010" s="47" t="str">
        <f t="shared" si="1"/>
        <v>6A</v>
      </c>
      <c r="F2010" s="47" t="s">
        <v>4054</v>
      </c>
      <c r="G2010" s="47" t="s">
        <v>240</v>
      </c>
      <c r="H2010" s="48">
        <f>IF(NOT(ISBLANK(vlookup(B2010,Pop_Census_2023!$A$2:$E$3220,4,FALSE))),vlookup(B2010,Pop_Census_2023!$A$2:$E$3220,4,FALSE), vlookup(B2010,Pop_Census_2023!$A$2:$E$3220,5,FALSE))</f>
        <v>52234</v>
      </c>
    </row>
    <row r="2011">
      <c r="A2011" s="47" t="s">
        <v>3168</v>
      </c>
      <c r="B2011" s="47">
        <v>36037.0</v>
      </c>
      <c r="C2011" s="47">
        <v>5.0</v>
      </c>
      <c r="D2011" s="47" t="s">
        <v>4044</v>
      </c>
      <c r="E2011" s="47" t="str">
        <f t="shared" si="1"/>
        <v>5A</v>
      </c>
      <c r="F2011" s="47" t="s">
        <v>4054</v>
      </c>
      <c r="G2011" s="47" t="s">
        <v>978</v>
      </c>
      <c r="H2011" s="48">
        <f>IF(NOT(ISBLANK(vlookup(B2011,Pop_Census_2023!$A$2:$E$3220,4,FALSE))),vlookup(B2011,Pop_Census_2023!$A$2:$E$3220,4,FALSE), vlookup(B2011,Pop_Census_2023!$A$2:$E$3220,5,FALSE))</f>
        <v>57529</v>
      </c>
    </row>
    <row r="2012">
      <c r="A2012" s="47" t="s">
        <v>3168</v>
      </c>
      <c r="B2012" s="47">
        <v>36039.0</v>
      </c>
      <c r="C2012" s="47">
        <v>5.0</v>
      </c>
      <c r="D2012" s="47" t="s">
        <v>4044</v>
      </c>
      <c r="E2012" s="47" t="str">
        <f t="shared" si="1"/>
        <v>5A</v>
      </c>
      <c r="F2012" s="47" t="s">
        <v>4054</v>
      </c>
      <c r="G2012" s="47" t="s">
        <v>134</v>
      </c>
      <c r="H2012" s="48">
        <f>IF(NOT(ISBLANK(vlookup(B2012,Pop_Census_2023!$A$2:$E$3220,4,FALSE))),vlookup(B2012,Pop_Census_2023!$A$2:$E$3220,4,FALSE), vlookup(B2012,Pop_Census_2023!$A$2:$E$3220,5,FALSE))</f>
        <v>47062</v>
      </c>
    </row>
    <row r="2013">
      <c r="A2013" s="47" t="s">
        <v>3168</v>
      </c>
      <c r="B2013" s="47">
        <v>36041.0</v>
      </c>
      <c r="C2013" s="47">
        <v>6.0</v>
      </c>
      <c r="D2013" s="47" t="s">
        <v>4044</v>
      </c>
      <c r="E2013" s="47" t="str">
        <f t="shared" si="1"/>
        <v>6A</v>
      </c>
      <c r="F2013" s="47" t="s">
        <v>4054</v>
      </c>
      <c r="G2013" s="47" t="s">
        <v>428</v>
      </c>
      <c r="H2013" s="48">
        <f>IF(NOT(ISBLANK(vlookup(B2013,Pop_Census_2023!$A$2:$E$3220,4,FALSE))),vlookup(B2013,Pop_Census_2023!$A$2:$E$3220,4,FALSE), vlookup(B2013,Pop_Census_2023!$A$2:$E$3220,5,FALSE))</f>
        <v>5082</v>
      </c>
    </row>
    <row r="2014">
      <c r="A2014" s="47" t="s">
        <v>3168</v>
      </c>
      <c r="B2014" s="47">
        <v>36043.0</v>
      </c>
      <c r="C2014" s="47">
        <v>6.0</v>
      </c>
      <c r="D2014" s="47" t="s">
        <v>4044</v>
      </c>
      <c r="E2014" s="47" t="str">
        <f t="shared" si="1"/>
        <v>6A</v>
      </c>
      <c r="F2014" s="47" t="s">
        <v>4054</v>
      </c>
      <c r="G2014" s="47" t="s">
        <v>1306</v>
      </c>
      <c r="H2014" s="48">
        <f>IF(NOT(ISBLANK(vlookup(B2014,Pop_Census_2023!$A$2:$E$3220,4,FALSE))),vlookup(B2014,Pop_Census_2023!$A$2:$E$3220,4,FALSE), vlookup(B2014,Pop_Census_2023!$A$2:$E$3220,5,FALSE))</f>
        <v>59484</v>
      </c>
    </row>
    <row r="2015">
      <c r="A2015" s="47" t="s">
        <v>3168</v>
      </c>
      <c r="B2015" s="47">
        <v>36045.0</v>
      </c>
      <c r="C2015" s="47">
        <v>6.0</v>
      </c>
      <c r="D2015" s="47" t="s">
        <v>4044</v>
      </c>
      <c r="E2015" s="47" t="str">
        <f t="shared" si="1"/>
        <v>6A</v>
      </c>
      <c r="F2015" s="47" t="s">
        <v>4054</v>
      </c>
      <c r="G2015" s="47" t="s">
        <v>139</v>
      </c>
      <c r="H2015" s="48">
        <f>IF(NOT(ISBLANK(vlookup(B2015,Pop_Census_2023!$A$2:$E$3220,4,FALSE))),vlookup(B2015,Pop_Census_2023!$A$2:$E$3220,4,FALSE), vlookup(B2015,Pop_Census_2023!$A$2:$E$3220,5,FALSE))</f>
        <v>114787</v>
      </c>
    </row>
    <row r="2016">
      <c r="A2016" s="47" t="s">
        <v>3168</v>
      </c>
      <c r="B2016" s="47">
        <v>36047.0</v>
      </c>
      <c r="C2016" s="47">
        <v>4.0</v>
      </c>
      <c r="D2016" s="47" t="s">
        <v>4044</v>
      </c>
      <c r="E2016" s="47" t="str">
        <f t="shared" si="1"/>
        <v>4A</v>
      </c>
      <c r="F2016" s="47" t="s">
        <v>4046</v>
      </c>
      <c r="G2016" s="47" t="s">
        <v>297</v>
      </c>
      <c r="H2016" s="48">
        <f>IF(NOT(ISBLANK(vlookup(B2016,Pop_Census_2023!$A$2:$E$3220,4,FALSE))),vlookup(B2016,Pop_Census_2023!$A$2:$E$3220,4,FALSE), vlookup(B2016,Pop_Census_2023!$A$2:$E$3220,5,FALSE))</f>
        <v>2561225</v>
      </c>
    </row>
    <row r="2017">
      <c r="A2017" s="47" t="s">
        <v>3168</v>
      </c>
      <c r="B2017" s="47">
        <v>36049.0</v>
      </c>
      <c r="C2017" s="47">
        <v>6.0</v>
      </c>
      <c r="D2017" s="47" t="s">
        <v>4044</v>
      </c>
      <c r="E2017" s="47" t="str">
        <f t="shared" si="1"/>
        <v>6A</v>
      </c>
      <c r="F2017" s="47" t="s">
        <v>4054</v>
      </c>
      <c r="G2017" s="47" t="s">
        <v>597</v>
      </c>
      <c r="H2017" s="48">
        <f>IF(NOT(ISBLANK(vlookup(B2017,Pop_Census_2023!$A$2:$E$3220,4,FALSE))),vlookup(B2017,Pop_Census_2023!$A$2:$E$3220,4,FALSE), vlookup(B2017,Pop_Census_2023!$A$2:$E$3220,5,FALSE))</f>
        <v>26548</v>
      </c>
    </row>
    <row r="2018">
      <c r="A2018" s="47" t="s">
        <v>3168</v>
      </c>
      <c r="B2018" s="47">
        <v>36051.0</v>
      </c>
      <c r="C2018" s="47">
        <v>5.0</v>
      </c>
      <c r="D2018" s="47" t="s">
        <v>4044</v>
      </c>
      <c r="E2018" s="47" t="str">
        <f t="shared" si="1"/>
        <v>5A</v>
      </c>
      <c r="F2018" s="47" t="s">
        <v>4054</v>
      </c>
      <c r="G2018" s="47" t="s">
        <v>636</v>
      </c>
      <c r="H2018" s="48">
        <f>IF(NOT(ISBLANK(vlookup(B2018,Pop_Census_2023!$A$2:$E$3220,4,FALSE))),vlookup(B2018,Pop_Census_2023!$A$2:$E$3220,4,FALSE), vlookup(B2018,Pop_Census_2023!$A$2:$E$3220,5,FALSE))</f>
        <v>61158</v>
      </c>
    </row>
    <row r="2019">
      <c r="A2019" s="47" t="s">
        <v>3168</v>
      </c>
      <c r="B2019" s="47">
        <v>36053.0</v>
      </c>
      <c r="C2019" s="47">
        <v>6.0</v>
      </c>
      <c r="D2019" s="47" t="s">
        <v>4044</v>
      </c>
      <c r="E2019" s="47" t="str">
        <f t="shared" si="1"/>
        <v>6A</v>
      </c>
      <c r="F2019" s="47" t="s">
        <v>4054</v>
      </c>
      <c r="G2019" s="47" t="s">
        <v>147</v>
      </c>
      <c r="H2019" s="48">
        <f>IF(NOT(ISBLANK(vlookup(B2019,Pop_Census_2023!$A$2:$E$3220,4,FALSE))),vlookup(B2019,Pop_Census_2023!$A$2:$E$3220,4,FALSE), vlookup(B2019,Pop_Census_2023!$A$2:$E$3220,5,FALSE))</f>
        <v>66921</v>
      </c>
    </row>
    <row r="2020">
      <c r="A2020" s="47" t="s">
        <v>3168</v>
      </c>
      <c r="B2020" s="47">
        <v>36055.0</v>
      </c>
      <c r="C2020" s="47">
        <v>5.0</v>
      </c>
      <c r="D2020" s="47" t="s">
        <v>4044</v>
      </c>
      <c r="E2020" s="47" t="str">
        <f t="shared" si="1"/>
        <v>5A</v>
      </c>
      <c r="F2020" s="47" t="s">
        <v>4054</v>
      </c>
      <c r="G2020" s="47" t="s">
        <v>152</v>
      </c>
      <c r="H2020" s="48">
        <f>IF(NOT(ISBLANK(vlookup(B2020,Pop_Census_2023!$A$2:$E$3220,4,FALSE))),vlookup(B2020,Pop_Census_2023!$A$2:$E$3220,4,FALSE), vlookup(B2020,Pop_Census_2023!$A$2:$E$3220,5,FALSE))</f>
        <v>748482</v>
      </c>
    </row>
    <row r="2021">
      <c r="A2021" s="47" t="s">
        <v>3168</v>
      </c>
      <c r="B2021" s="47">
        <v>36057.0</v>
      </c>
      <c r="C2021" s="47">
        <v>6.0</v>
      </c>
      <c r="D2021" s="47" t="s">
        <v>4044</v>
      </c>
      <c r="E2021" s="47" t="str">
        <f t="shared" si="1"/>
        <v>6A</v>
      </c>
      <c r="F2021" s="47" t="s">
        <v>4054</v>
      </c>
      <c r="G2021" s="47" t="s">
        <v>153</v>
      </c>
      <c r="H2021" s="48">
        <f>IF(NOT(ISBLANK(vlookup(B2021,Pop_Census_2023!$A$2:$E$3220,4,FALSE))),vlookup(B2021,Pop_Census_2023!$A$2:$E$3220,4,FALSE), vlookup(B2021,Pop_Census_2023!$A$2:$E$3220,5,FALSE))</f>
        <v>49368</v>
      </c>
    </row>
    <row r="2022">
      <c r="A2022" s="47" t="s">
        <v>3168</v>
      </c>
      <c r="B2022" s="47">
        <v>36059.0</v>
      </c>
      <c r="C2022" s="47">
        <v>4.0</v>
      </c>
      <c r="D2022" s="47" t="s">
        <v>4044</v>
      </c>
      <c r="E2022" s="47" t="str">
        <f t="shared" si="1"/>
        <v>4A</v>
      </c>
      <c r="F2022" s="47" t="s">
        <v>4046</v>
      </c>
      <c r="G2022" s="47" t="s">
        <v>442</v>
      </c>
      <c r="H2022" s="48">
        <f>IF(NOT(ISBLANK(vlookup(B2022,Pop_Census_2023!$A$2:$E$3220,4,FALSE))),vlookup(B2022,Pop_Census_2023!$A$2:$E$3220,4,FALSE), vlookup(B2022,Pop_Census_2023!$A$2:$E$3220,5,FALSE))</f>
        <v>1381715</v>
      </c>
    </row>
    <row r="2023">
      <c r="A2023" s="47" t="s">
        <v>3168</v>
      </c>
      <c r="B2023" s="47">
        <v>36061.0</v>
      </c>
      <c r="C2023" s="47">
        <v>4.0</v>
      </c>
      <c r="D2023" s="47" t="s">
        <v>4044</v>
      </c>
      <c r="E2023" s="47" t="str">
        <f t="shared" si="1"/>
        <v>4A</v>
      </c>
      <c r="F2023" s="47" t="s">
        <v>4046</v>
      </c>
      <c r="G2023" s="47" t="s">
        <v>1296</v>
      </c>
      <c r="H2023" s="48">
        <f>IF(NOT(ISBLANK(vlookup(B2023,Pop_Census_2023!$A$2:$E$3220,4,FALSE))),vlookup(B2023,Pop_Census_2023!$A$2:$E$3220,4,FALSE), vlookup(B2023,Pop_Census_2023!$A$2:$E$3220,5,FALSE))</f>
        <v>1597451</v>
      </c>
    </row>
    <row r="2024">
      <c r="A2024" s="47" t="s">
        <v>3168</v>
      </c>
      <c r="B2024" s="47">
        <v>36063.0</v>
      </c>
      <c r="C2024" s="47">
        <v>5.0</v>
      </c>
      <c r="D2024" s="47" t="s">
        <v>4044</v>
      </c>
      <c r="E2024" s="47" t="str">
        <f t="shared" si="1"/>
        <v>5A</v>
      </c>
      <c r="F2024" s="47" t="s">
        <v>4054</v>
      </c>
      <c r="G2024" s="47" t="s">
        <v>1307</v>
      </c>
      <c r="H2024" s="48">
        <f>IF(NOT(ISBLANK(vlookup(B2024,Pop_Census_2023!$A$2:$E$3220,4,FALSE))),vlookup(B2024,Pop_Census_2023!$A$2:$E$3220,4,FALSE), vlookup(B2024,Pop_Census_2023!$A$2:$E$3220,5,FALSE))</f>
        <v>209457</v>
      </c>
    </row>
    <row r="2025">
      <c r="A2025" s="47" t="s">
        <v>3168</v>
      </c>
      <c r="B2025" s="47">
        <v>36065.0</v>
      </c>
      <c r="C2025" s="47">
        <v>6.0</v>
      </c>
      <c r="D2025" s="47" t="s">
        <v>4044</v>
      </c>
      <c r="E2025" s="47" t="str">
        <f t="shared" si="1"/>
        <v>6A</v>
      </c>
      <c r="F2025" s="47" t="s">
        <v>4054</v>
      </c>
      <c r="G2025" s="47" t="s">
        <v>600</v>
      </c>
      <c r="H2025" s="48">
        <f>IF(NOT(ISBLANK(vlookup(B2025,Pop_Census_2023!$A$2:$E$3220,4,FALSE))),vlookup(B2025,Pop_Census_2023!$A$2:$E$3220,4,FALSE), vlookup(B2025,Pop_Census_2023!$A$2:$E$3220,5,FALSE))</f>
        <v>227555</v>
      </c>
    </row>
    <row r="2026">
      <c r="A2026" s="47" t="s">
        <v>3168</v>
      </c>
      <c r="B2026" s="47">
        <v>36067.0</v>
      </c>
      <c r="C2026" s="47">
        <v>5.0</v>
      </c>
      <c r="D2026" s="47" t="s">
        <v>4044</v>
      </c>
      <c r="E2026" s="47" t="str">
        <f t="shared" si="1"/>
        <v>5A</v>
      </c>
      <c r="F2026" s="47" t="s">
        <v>4054</v>
      </c>
      <c r="G2026" s="47" t="s">
        <v>1308</v>
      </c>
      <c r="H2026" s="48">
        <f>IF(NOT(ISBLANK(vlookup(B2026,Pop_Census_2023!$A$2:$E$3220,4,FALSE))),vlookup(B2026,Pop_Census_2023!$A$2:$E$3220,4,FALSE), vlookup(B2026,Pop_Census_2023!$A$2:$E$3220,5,FALSE))</f>
        <v>467873</v>
      </c>
    </row>
    <row r="2027">
      <c r="A2027" s="47" t="s">
        <v>3168</v>
      </c>
      <c r="B2027" s="47">
        <v>36069.0</v>
      </c>
      <c r="C2027" s="47">
        <v>5.0</v>
      </c>
      <c r="D2027" s="47" t="s">
        <v>4044</v>
      </c>
      <c r="E2027" s="47" t="str">
        <f t="shared" si="1"/>
        <v>5A</v>
      </c>
      <c r="F2027" s="47" t="s">
        <v>4054</v>
      </c>
      <c r="G2027" s="47" t="s">
        <v>1309</v>
      </c>
      <c r="H2027" s="48">
        <f>IF(NOT(ISBLANK(vlookup(B2027,Pop_Census_2023!$A$2:$E$3220,4,FALSE))),vlookup(B2027,Pop_Census_2023!$A$2:$E$3220,4,FALSE), vlookup(B2027,Pop_Census_2023!$A$2:$E$3220,5,FALSE))</f>
        <v>112494</v>
      </c>
    </row>
    <row r="2028">
      <c r="A2028" s="47" t="s">
        <v>3168</v>
      </c>
      <c r="B2028" s="47">
        <v>36071.0</v>
      </c>
      <c r="C2028" s="47">
        <v>5.0</v>
      </c>
      <c r="D2028" s="47" t="s">
        <v>4044</v>
      </c>
      <c r="E2028" s="47" t="str">
        <f t="shared" si="1"/>
        <v>5A</v>
      </c>
      <c r="F2028" s="47" t="s">
        <v>4054</v>
      </c>
      <c r="G2028" s="47" t="s">
        <v>310</v>
      </c>
      <c r="H2028" s="48">
        <f>IF(NOT(ISBLANK(vlookup(B2028,Pop_Census_2023!$A$2:$E$3220,4,FALSE))),vlookup(B2028,Pop_Census_2023!$A$2:$E$3220,4,FALSE), vlookup(B2028,Pop_Census_2023!$A$2:$E$3220,5,FALSE))</f>
        <v>407470</v>
      </c>
    </row>
    <row r="2029">
      <c r="A2029" s="47" t="s">
        <v>3168</v>
      </c>
      <c r="B2029" s="47">
        <v>36073.0</v>
      </c>
      <c r="C2029" s="47">
        <v>5.0</v>
      </c>
      <c r="D2029" s="47" t="s">
        <v>4044</v>
      </c>
      <c r="E2029" s="47" t="str">
        <f t="shared" si="1"/>
        <v>5A</v>
      </c>
      <c r="F2029" s="47" t="s">
        <v>4054</v>
      </c>
      <c r="G2029" s="47" t="s">
        <v>899</v>
      </c>
      <c r="H2029" s="48">
        <f>IF(NOT(ISBLANK(vlookup(B2029,Pop_Census_2023!$A$2:$E$3220,4,FALSE))),vlookup(B2029,Pop_Census_2023!$A$2:$E$3220,4,FALSE), vlookup(B2029,Pop_Census_2023!$A$2:$E$3220,5,FALSE))</f>
        <v>39124</v>
      </c>
    </row>
    <row r="2030">
      <c r="A2030" s="47" t="s">
        <v>3168</v>
      </c>
      <c r="B2030" s="47">
        <v>36075.0</v>
      </c>
      <c r="C2030" s="47">
        <v>5.0</v>
      </c>
      <c r="D2030" s="47" t="s">
        <v>4044</v>
      </c>
      <c r="E2030" s="47" t="str">
        <f t="shared" si="1"/>
        <v>5A</v>
      </c>
      <c r="F2030" s="47" t="s">
        <v>4054</v>
      </c>
      <c r="G2030" s="47" t="s">
        <v>1310</v>
      </c>
      <c r="H2030" s="48">
        <f>IF(NOT(ISBLANK(vlookup(B2030,Pop_Census_2023!$A$2:$E$3220,4,FALSE))),vlookup(B2030,Pop_Census_2023!$A$2:$E$3220,4,FALSE), vlookup(B2030,Pop_Census_2023!$A$2:$E$3220,5,FALSE))</f>
        <v>118162</v>
      </c>
    </row>
    <row r="2031">
      <c r="A2031" s="47" t="s">
        <v>3168</v>
      </c>
      <c r="B2031" s="47">
        <v>36077.0</v>
      </c>
      <c r="C2031" s="47">
        <v>6.0</v>
      </c>
      <c r="D2031" s="47" t="s">
        <v>4044</v>
      </c>
      <c r="E2031" s="47" t="str">
        <f t="shared" si="1"/>
        <v>6A</v>
      </c>
      <c r="F2031" s="47" t="s">
        <v>4054</v>
      </c>
      <c r="G2031" s="47" t="s">
        <v>1015</v>
      </c>
      <c r="H2031" s="48">
        <f>IF(NOT(ISBLANK(vlookup(B2031,Pop_Census_2023!$A$2:$E$3220,4,FALSE))),vlookup(B2031,Pop_Census_2023!$A$2:$E$3220,4,FALSE), vlookup(B2031,Pop_Census_2023!$A$2:$E$3220,5,FALSE))</f>
        <v>60126</v>
      </c>
    </row>
    <row r="2032">
      <c r="A2032" s="47" t="s">
        <v>3168</v>
      </c>
      <c r="B2032" s="47">
        <v>36079.0</v>
      </c>
      <c r="C2032" s="47">
        <v>5.0</v>
      </c>
      <c r="D2032" s="47" t="s">
        <v>4044</v>
      </c>
      <c r="E2032" s="47" t="str">
        <f t="shared" si="1"/>
        <v>5A</v>
      </c>
      <c r="F2032" s="47" t="s">
        <v>4054</v>
      </c>
      <c r="G2032" s="47" t="s">
        <v>449</v>
      </c>
      <c r="H2032" s="48">
        <f>IF(NOT(ISBLANK(vlookup(B2032,Pop_Census_2023!$A$2:$E$3220,4,FALSE))),vlookup(B2032,Pop_Census_2023!$A$2:$E$3220,4,FALSE), vlookup(B2032,Pop_Census_2023!$A$2:$E$3220,5,FALSE))</f>
        <v>98060</v>
      </c>
    </row>
    <row r="2033">
      <c r="A2033" s="47" t="s">
        <v>3168</v>
      </c>
      <c r="B2033" s="47">
        <v>36081.0</v>
      </c>
      <c r="C2033" s="47">
        <v>4.0</v>
      </c>
      <c r="D2033" s="47" t="s">
        <v>4044</v>
      </c>
      <c r="E2033" s="47" t="str">
        <f t="shared" si="1"/>
        <v>4A</v>
      </c>
      <c r="F2033" s="47" t="s">
        <v>4046</v>
      </c>
      <c r="G2033" s="47" t="s">
        <v>1311</v>
      </c>
      <c r="H2033" s="48">
        <f>IF(NOT(ISBLANK(vlookup(B2033,Pop_Census_2023!$A$2:$E$3220,4,FALSE))),vlookup(B2033,Pop_Census_2023!$A$2:$E$3220,4,FALSE), vlookup(B2033,Pop_Census_2023!$A$2:$E$3220,5,FALSE))</f>
        <v>2252196</v>
      </c>
    </row>
    <row r="2034">
      <c r="A2034" s="47" t="s">
        <v>3168</v>
      </c>
      <c r="B2034" s="47">
        <v>36083.0</v>
      </c>
      <c r="C2034" s="47">
        <v>5.0</v>
      </c>
      <c r="D2034" s="47" t="s">
        <v>4044</v>
      </c>
      <c r="E2034" s="47" t="str">
        <f t="shared" si="1"/>
        <v>5A</v>
      </c>
      <c r="F2034" s="47" t="s">
        <v>4054</v>
      </c>
      <c r="G2034" s="47" t="s">
        <v>1312</v>
      </c>
      <c r="H2034" s="48">
        <f>IF(NOT(ISBLANK(vlookup(B2034,Pop_Census_2023!$A$2:$E$3220,4,FALSE))),vlookup(B2034,Pop_Census_2023!$A$2:$E$3220,4,FALSE), vlookup(B2034,Pop_Census_2023!$A$2:$E$3220,5,FALSE))</f>
        <v>159305</v>
      </c>
    </row>
    <row r="2035">
      <c r="A2035" s="47" t="s">
        <v>3168</v>
      </c>
      <c r="B2035" s="47">
        <v>36085.0</v>
      </c>
      <c r="C2035" s="47">
        <v>4.0</v>
      </c>
      <c r="D2035" s="47" t="s">
        <v>4044</v>
      </c>
      <c r="E2035" s="47" t="str">
        <f t="shared" si="1"/>
        <v>4A</v>
      </c>
      <c r="F2035" s="47" t="s">
        <v>4046</v>
      </c>
      <c r="G2035" s="47" t="s">
        <v>539</v>
      </c>
      <c r="H2035" s="48">
        <f>IF(NOT(ISBLANK(vlookup(B2035,Pop_Census_2023!$A$2:$E$3220,4,FALSE))),vlookup(B2035,Pop_Census_2023!$A$2:$E$3220,4,FALSE), vlookup(B2035,Pop_Census_2023!$A$2:$E$3220,5,FALSE))</f>
        <v>490687</v>
      </c>
    </row>
    <row r="2036">
      <c r="A2036" s="47" t="s">
        <v>3168</v>
      </c>
      <c r="B2036" s="47">
        <v>36087.0</v>
      </c>
      <c r="C2036" s="47">
        <v>5.0</v>
      </c>
      <c r="D2036" s="47" t="s">
        <v>4044</v>
      </c>
      <c r="E2036" s="47" t="str">
        <f t="shared" si="1"/>
        <v>5A</v>
      </c>
      <c r="F2036" s="47" t="s">
        <v>4054</v>
      </c>
      <c r="G2036" s="47" t="s">
        <v>1313</v>
      </c>
      <c r="H2036" s="48">
        <f>IF(NOT(ISBLANK(vlookup(B2036,Pop_Census_2023!$A$2:$E$3220,4,FALSE))),vlookup(B2036,Pop_Census_2023!$A$2:$E$3220,4,FALSE), vlookup(B2036,Pop_Census_2023!$A$2:$E$3220,5,FALSE))</f>
        <v>340807</v>
      </c>
    </row>
    <row r="2037">
      <c r="A2037" s="47" t="s">
        <v>3168</v>
      </c>
      <c r="B2037" s="47">
        <v>36091.0</v>
      </c>
      <c r="C2037" s="47">
        <v>5.0</v>
      </c>
      <c r="D2037" s="47" t="s">
        <v>4044</v>
      </c>
      <c r="E2037" s="47" t="str">
        <f t="shared" si="1"/>
        <v>5A</v>
      </c>
      <c r="F2037" s="47" t="s">
        <v>4054</v>
      </c>
      <c r="G2037" s="47" t="s">
        <v>1315</v>
      </c>
      <c r="H2037" s="48">
        <f>IF(NOT(ISBLANK(vlookup(B2037,Pop_Census_2023!$A$2:$E$3220,4,FALSE))),vlookup(B2037,Pop_Census_2023!$A$2:$E$3220,4,FALSE), vlookup(B2037,Pop_Census_2023!$A$2:$E$3220,5,FALSE))</f>
        <v>238711</v>
      </c>
    </row>
    <row r="2038">
      <c r="A2038" s="47" t="s">
        <v>3168</v>
      </c>
      <c r="B2038" s="47">
        <v>36093.0</v>
      </c>
      <c r="C2038" s="47">
        <v>5.0</v>
      </c>
      <c r="D2038" s="47" t="s">
        <v>4044</v>
      </c>
      <c r="E2038" s="47" t="str">
        <f t="shared" si="1"/>
        <v>5A</v>
      </c>
      <c r="F2038" s="47" t="s">
        <v>4054</v>
      </c>
      <c r="G2038" s="47" t="s">
        <v>1316</v>
      </c>
      <c r="H2038" s="48">
        <f>IF(NOT(ISBLANK(vlookup(B2038,Pop_Census_2023!$A$2:$E$3220,4,FALSE))),vlookup(B2038,Pop_Census_2023!$A$2:$E$3220,4,FALSE), vlookup(B2038,Pop_Census_2023!$A$2:$E$3220,5,FALSE))</f>
        <v>159902</v>
      </c>
    </row>
    <row r="2039">
      <c r="A2039" s="47" t="s">
        <v>3168</v>
      </c>
      <c r="B2039" s="47">
        <v>36095.0</v>
      </c>
      <c r="C2039" s="47">
        <v>6.0</v>
      </c>
      <c r="D2039" s="47" t="s">
        <v>4044</v>
      </c>
      <c r="E2039" s="47" t="str">
        <f t="shared" si="1"/>
        <v>6A</v>
      </c>
      <c r="F2039" s="47" t="s">
        <v>4054</v>
      </c>
      <c r="G2039" s="47" t="s">
        <v>1317</v>
      </c>
      <c r="H2039" s="48">
        <f>IF(NOT(ISBLANK(vlookup(B2039,Pop_Census_2023!$A$2:$E$3220,4,FALSE))),vlookup(B2039,Pop_Census_2023!$A$2:$E$3220,4,FALSE), vlookup(B2039,Pop_Census_2023!$A$2:$E$3220,5,FALSE))</f>
        <v>30105</v>
      </c>
    </row>
    <row r="2040">
      <c r="A2040" s="47" t="s">
        <v>3168</v>
      </c>
      <c r="B2040" s="47">
        <v>36097.0</v>
      </c>
      <c r="C2040" s="47">
        <v>6.0</v>
      </c>
      <c r="D2040" s="47" t="s">
        <v>4044</v>
      </c>
      <c r="E2040" s="47" t="str">
        <f t="shared" si="1"/>
        <v>6A</v>
      </c>
      <c r="F2040" s="47" t="s">
        <v>4054</v>
      </c>
      <c r="G2040" s="47" t="s">
        <v>652</v>
      </c>
      <c r="H2040" s="48">
        <f>IF(NOT(ISBLANK(vlookup(B2040,Pop_Census_2023!$A$2:$E$3220,4,FALSE))),vlookup(B2040,Pop_Census_2023!$A$2:$E$3220,4,FALSE), vlookup(B2040,Pop_Census_2023!$A$2:$E$3220,5,FALSE))</f>
        <v>17507</v>
      </c>
    </row>
    <row r="2041">
      <c r="A2041" s="47" t="s">
        <v>3168</v>
      </c>
      <c r="B2041" s="47">
        <v>36099.0</v>
      </c>
      <c r="C2041" s="47">
        <v>5.0</v>
      </c>
      <c r="D2041" s="47" t="s">
        <v>4044</v>
      </c>
      <c r="E2041" s="47" t="str">
        <f t="shared" si="1"/>
        <v>5A</v>
      </c>
      <c r="F2041" s="47" t="s">
        <v>4054</v>
      </c>
      <c r="G2041" s="47" t="s">
        <v>1318</v>
      </c>
      <c r="H2041" s="48">
        <f>IF(NOT(ISBLANK(vlookup(B2041,Pop_Census_2023!$A$2:$E$3220,4,FALSE))),vlookup(B2041,Pop_Census_2023!$A$2:$E$3220,4,FALSE), vlookup(B2041,Pop_Census_2023!$A$2:$E$3220,5,FALSE))</f>
        <v>32349</v>
      </c>
    </row>
    <row r="2042">
      <c r="A2042" s="47" t="s">
        <v>3168</v>
      </c>
      <c r="B2042" s="47">
        <v>36089.0</v>
      </c>
      <c r="C2042" s="47">
        <v>6.0</v>
      </c>
      <c r="D2042" s="47" t="s">
        <v>4044</v>
      </c>
      <c r="E2042" s="47" t="str">
        <f t="shared" si="1"/>
        <v>6A</v>
      </c>
      <c r="F2042" s="47" t="s">
        <v>4054</v>
      </c>
      <c r="G2042" s="47" t="s">
        <v>1314</v>
      </c>
      <c r="H2042" s="48">
        <f>IF(NOT(ISBLANK(vlookup(B2042,Pop_Census_2023!$A$2:$E$3220,4,FALSE))),vlookup(B2042,Pop_Census_2023!$A$2:$E$3220,4,FALSE), vlookup(B2042,Pop_Census_2023!$A$2:$E$3220,5,FALSE))</f>
        <v>106940</v>
      </c>
    </row>
    <row r="2043">
      <c r="A2043" s="47" t="s">
        <v>3168</v>
      </c>
      <c r="B2043" s="47">
        <v>36101.0</v>
      </c>
      <c r="C2043" s="47">
        <v>6.0</v>
      </c>
      <c r="D2043" s="47" t="s">
        <v>4044</v>
      </c>
      <c r="E2043" s="47" t="str">
        <f t="shared" si="1"/>
        <v>6A</v>
      </c>
      <c r="F2043" s="47" t="s">
        <v>4054</v>
      </c>
      <c r="G2043" s="47" t="s">
        <v>693</v>
      </c>
      <c r="H2043" s="48">
        <f>IF(NOT(ISBLANK(vlookup(B2043,Pop_Census_2023!$A$2:$E$3220,4,FALSE))),vlookup(B2043,Pop_Census_2023!$A$2:$E$3220,4,FALSE), vlookup(B2043,Pop_Census_2023!$A$2:$E$3220,5,FALSE))</f>
        <v>92162</v>
      </c>
    </row>
    <row r="2044">
      <c r="A2044" s="47" t="s">
        <v>3168</v>
      </c>
      <c r="B2044" s="47">
        <v>36103.0</v>
      </c>
      <c r="C2044" s="47">
        <v>4.0</v>
      </c>
      <c r="D2044" s="47" t="s">
        <v>4044</v>
      </c>
      <c r="E2044" s="47" t="str">
        <f t="shared" si="1"/>
        <v>4A</v>
      </c>
      <c r="F2044" s="47" t="s">
        <v>4046</v>
      </c>
      <c r="G2044" s="47" t="s">
        <v>961</v>
      </c>
      <c r="H2044" s="48">
        <f>IF(NOT(ISBLANK(vlookup(B2044,Pop_Census_2023!$A$2:$E$3220,4,FALSE))),vlookup(B2044,Pop_Census_2023!$A$2:$E$3220,4,FALSE), vlookup(B2044,Pop_Census_2023!$A$2:$E$3220,5,FALSE))</f>
        <v>1523170</v>
      </c>
    </row>
    <row r="2045">
      <c r="A2045" s="47" t="s">
        <v>3168</v>
      </c>
      <c r="B2045" s="47">
        <v>36105.0</v>
      </c>
      <c r="C2045" s="47">
        <v>6.0</v>
      </c>
      <c r="D2045" s="47" t="s">
        <v>4044</v>
      </c>
      <c r="E2045" s="47" t="str">
        <f t="shared" si="1"/>
        <v>6A</v>
      </c>
      <c r="F2045" s="47" t="s">
        <v>4054</v>
      </c>
      <c r="G2045" s="47" t="s">
        <v>694</v>
      </c>
      <c r="H2045" s="48">
        <f>IF(NOT(ISBLANK(vlookup(B2045,Pop_Census_2023!$A$2:$E$3220,4,FALSE))),vlookup(B2045,Pop_Census_2023!$A$2:$E$3220,4,FALSE), vlookup(B2045,Pop_Census_2023!$A$2:$E$3220,5,FALSE))</f>
        <v>79920</v>
      </c>
    </row>
    <row r="2046">
      <c r="A2046" s="47" t="s">
        <v>3168</v>
      </c>
      <c r="B2046" s="47">
        <v>36107.0</v>
      </c>
      <c r="C2046" s="47">
        <v>5.0</v>
      </c>
      <c r="D2046" s="47" t="s">
        <v>4044</v>
      </c>
      <c r="E2046" s="47" t="str">
        <f t="shared" si="1"/>
        <v>5A</v>
      </c>
      <c r="F2046" s="47" t="s">
        <v>4054</v>
      </c>
      <c r="G2046" s="47" t="s">
        <v>1319</v>
      </c>
      <c r="H2046" s="48">
        <f>IF(NOT(ISBLANK(vlookup(B2046,Pop_Census_2023!$A$2:$E$3220,4,FALSE))),vlookup(B2046,Pop_Census_2023!$A$2:$E$3220,4,FALSE), vlookup(B2046,Pop_Census_2023!$A$2:$E$3220,5,FALSE))</f>
        <v>47715</v>
      </c>
    </row>
    <row r="2047">
      <c r="A2047" s="47" t="s">
        <v>3168</v>
      </c>
      <c r="B2047" s="47">
        <v>36109.0</v>
      </c>
      <c r="C2047" s="47">
        <v>6.0</v>
      </c>
      <c r="D2047" s="47" t="s">
        <v>4044</v>
      </c>
      <c r="E2047" s="47" t="str">
        <f t="shared" si="1"/>
        <v>6A</v>
      </c>
      <c r="F2047" s="47" t="s">
        <v>4054</v>
      </c>
      <c r="G2047" s="47" t="s">
        <v>1320</v>
      </c>
      <c r="H2047" s="48">
        <f>IF(NOT(ISBLANK(vlookup(B2047,Pop_Census_2023!$A$2:$E$3220,4,FALSE))),vlookup(B2047,Pop_Census_2023!$A$2:$E$3220,4,FALSE), vlookup(B2047,Pop_Census_2023!$A$2:$E$3220,5,FALSE))</f>
        <v>103558</v>
      </c>
    </row>
    <row r="2048">
      <c r="A2048" s="47" t="s">
        <v>3168</v>
      </c>
      <c r="B2048" s="47">
        <v>36111.0</v>
      </c>
      <c r="C2048" s="47">
        <v>6.0</v>
      </c>
      <c r="D2048" s="47" t="s">
        <v>4044</v>
      </c>
      <c r="E2048" s="47" t="str">
        <f t="shared" si="1"/>
        <v>6A</v>
      </c>
      <c r="F2048" s="47" t="s">
        <v>4054</v>
      </c>
      <c r="G2048" s="47" t="s">
        <v>1321</v>
      </c>
      <c r="H2048" s="48">
        <f>IF(NOT(ISBLANK(vlookup(B2048,Pop_Census_2023!$A$2:$E$3220,4,FALSE))),vlookup(B2048,Pop_Census_2023!$A$2:$E$3220,4,FALSE), vlookup(B2048,Pop_Census_2023!$A$2:$E$3220,5,FALSE))</f>
        <v>182333</v>
      </c>
    </row>
    <row r="2049">
      <c r="A2049" s="47" t="s">
        <v>3168</v>
      </c>
      <c r="B2049" s="47">
        <v>36113.0</v>
      </c>
      <c r="C2049" s="47">
        <v>6.0</v>
      </c>
      <c r="D2049" s="47" t="s">
        <v>4044</v>
      </c>
      <c r="E2049" s="47" t="str">
        <f t="shared" si="1"/>
        <v>6A</v>
      </c>
      <c r="F2049" s="47" t="s">
        <v>4054</v>
      </c>
      <c r="G2049" s="47" t="s">
        <v>561</v>
      </c>
      <c r="H2049" s="48">
        <f>IF(NOT(ISBLANK(vlookup(B2049,Pop_Census_2023!$A$2:$E$3220,4,FALSE))),vlookup(B2049,Pop_Census_2023!$A$2:$E$3220,4,FALSE), vlookup(B2049,Pop_Census_2023!$A$2:$E$3220,5,FALSE))</f>
        <v>65380</v>
      </c>
    </row>
    <row r="2050">
      <c r="A2050" s="47" t="s">
        <v>3168</v>
      </c>
      <c r="B2050" s="47">
        <v>36115.0</v>
      </c>
      <c r="C2050" s="47">
        <v>5.0</v>
      </c>
      <c r="D2050" s="47" t="s">
        <v>4044</v>
      </c>
      <c r="E2050" s="47" t="str">
        <f t="shared" si="1"/>
        <v>5A</v>
      </c>
      <c r="F2050" s="47" t="s">
        <v>4054</v>
      </c>
      <c r="G2050" s="47" t="s">
        <v>167</v>
      </c>
      <c r="H2050" s="48">
        <f>IF(NOT(ISBLANK(vlookup(B2050,Pop_Census_2023!$A$2:$E$3220,4,FALSE))),vlookup(B2050,Pop_Census_2023!$A$2:$E$3220,4,FALSE), vlookup(B2050,Pop_Census_2023!$A$2:$E$3220,5,FALSE))</f>
        <v>60047</v>
      </c>
    </row>
    <row r="2051">
      <c r="A2051" s="47" t="s">
        <v>3168</v>
      </c>
      <c r="B2051" s="47">
        <v>36117.0</v>
      </c>
      <c r="C2051" s="47">
        <v>5.0</v>
      </c>
      <c r="D2051" s="47" t="s">
        <v>4044</v>
      </c>
      <c r="E2051" s="47" t="str">
        <f t="shared" si="1"/>
        <v>5A</v>
      </c>
      <c r="F2051" s="47" t="s">
        <v>4054</v>
      </c>
      <c r="G2051" s="47" t="s">
        <v>562</v>
      </c>
      <c r="H2051" s="48">
        <f>IF(NOT(ISBLANK(vlookup(B2051,Pop_Census_2023!$A$2:$E$3220,4,FALSE))),vlookup(B2051,Pop_Census_2023!$A$2:$E$3220,4,FALSE), vlookup(B2051,Pop_Census_2023!$A$2:$E$3220,5,FALSE))</f>
        <v>90829</v>
      </c>
    </row>
    <row r="2052">
      <c r="A2052" s="47" t="s">
        <v>3168</v>
      </c>
      <c r="B2052" s="47">
        <v>36119.0</v>
      </c>
      <c r="C2052" s="47">
        <v>4.0</v>
      </c>
      <c r="D2052" s="47" t="s">
        <v>4044</v>
      </c>
      <c r="E2052" s="47" t="str">
        <f t="shared" si="1"/>
        <v>4A</v>
      </c>
      <c r="F2052" s="47" t="s">
        <v>4046</v>
      </c>
      <c r="G2052" s="47" t="s">
        <v>1322</v>
      </c>
      <c r="H2052" s="48">
        <f>IF(NOT(ISBLANK(vlookup(B2052,Pop_Census_2023!$A$2:$E$3220,4,FALSE))),vlookup(B2052,Pop_Census_2023!$A$2:$E$3220,4,FALSE), vlookup(B2052,Pop_Census_2023!$A$2:$E$3220,5,FALSE))</f>
        <v>990817</v>
      </c>
    </row>
    <row r="2053">
      <c r="A2053" s="47" t="s">
        <v>3168</v>
      </c>
      <c r="B2053" s="47">
        <v>36121.0</v>
      </c>
      <c r="C2053" s="47">
        <v>6.0</v>
      </c>
      <c r="D2053" s="47" t="s">
        <v>4044</v>
      </c>
      <c r="E2053" s="47" t="str">
        <f t="shared" si="1"/>
        <v>6A</v>
      </c>
      <c r="F2053" s="47" t="s">
        <v>4054</v>
      </c>
      <c r="G2053" s="47" t="s">
        <v>1323</v>
      </c>
      <c r="H2053" s="48">
        <f>IF(NOT(ISBLANK(vlookup(B2053,Pop_Census_2023!$A$2:$E$3220,4,FALSE))),vlookup(B2053,Pop_Census_2023!$A$2:$E$3220,4,FALSE), vlookup(B2053,Pop_Census_2023!$A$2:$E$3220,5,FALSE))</f>
        <v>39532</v>
      </c>
    </row>
    <row r="2054">
      <c r="A2054" s="47" t="s">
        <v>3168</v>
      </c>
      <c r="B2054" s="47">
        <v>36123.0</v>
      </c>
      <c r="C2054" s="47">
        <v>5.0</v>
      </c>
      <c r="D2054" s="47" t="s">
        <v>4044</v>
      </c>
      <c r="E2054" s="47" t="str">
        <f t="shared" si="1"/>
        <v>5A</v>
      </c>
      <c r="F2054" s="47" t="s">
        <v>4054</v>
      </c>
      <c r="G2054" s="47" t="s">
        <v>1324</v>
      </c>
      <c r="H2054" s="48">
        <f>IF(NOT(ISBLANK(vlookup(B2054,Pop_Census_2023!$A$2:$E$3220,4,FALSE))),vlookup(B2054,Pop_Census_2023!$A$2:$E$3220,4,FALSE), vlookup(B2054,Pop_Census_2023!$A$2:$E$3220,5,FALSE))</f>
        <v>24472</v>
      </c>
    </row>
    <row r="2055">
      <c r="A2055" s="47" t="s">
        <v>3297</v>
      </c>
      <c r="B2055" s="47">
        <v>39001.0</v>
      </c>
      <c r="C2055" s="47">
        <v>4.0</v>
      </c>
      <c r="D2055" s="47" t="s">
        <v>4044</v>
      </c>
      <c r="E2055" s="47" t="str">
        <f t="shared" si="1"/>
        <v>4A</v>
      </c>
      <c r="F2055" s="47" t="s">
        <v>4046</v>
      </c>
      <c r="G2055" s="47" t="s">
        <v>338</v>
      </c>
      <c r="H2055" s="48">
        <f>IF(NOT(ISBLANK(vlookup(B2055,Pop_Census_2023!$A$2:$E$3220,4,FALSE))),vlookup(B2055,Pop_Census_2023!$A$2:$E$3220,4,FALSE), vlookup(B2055,Pop_Census_2023!$A$2:$E$3220,5,FALSE))</f>
        <v>27521</v>
      </c>
    </row>
    <row r="2056">
      <c r="A2056" s="47" t="s">
        <v>3297</v>
      </c>
      <c r="B2056" s="47">
        <v>39003.0</v>
      </c>
      <c r="C2056" s="47">
        <v>5.0</v>
      </c>
      <c r="D2056" s="47" t="s">
        <v>4044</v>
      </c>
      <c r="E2056" s="47" t="str">
        <f t="shared" si="1"/>
        <v>5A</v>
      </c>
      <c r="F2056" s="47" t="s">
        <v>4054</v>
      </c>
      <c r="G2056" s="47" t="s">
        <v>664</v>
      </c>
      <c r="H2056" s="48">
        <f>IF(NOT(ISBLANK(vlookup(B2056,Pop_Census_2023!$A$2:$E$3220,4,FALSE))),vlookup(B2056,Pop_Census_2023!$A$2:$E$3220,4,FALSE), vlookup(B2056,Pop_Census_2023!$A$2:$E$3220,5,FALSE))</f>
        <v>100838</v>
      </c>
    </row>
    <row r="2057">
      <c r="A2057" s="47" t="s">
        <v>3297</v>
      </c>
      <c r="B2057" s="47">
        <v>39005.0</v>
      </c>
      <c r="C2057" s="47">
        <v>5.0</v>
      </c>
      <c r="D2057" s="47" t="s">
        <v>4044</v>
      </c>
      <c r="E2057" s="47" t="str">
        <f t="shared" si="1"/>
        <v>5A</v>
      </c>
      <c r="F2057" s="47" t="s">
        <v>4054</v>
      </c>
      <c r="G2057" s="47" t="s">
        <v>1422</v>
      </c>
      <c r="H2057" s="48">
        <f>IF(NOT(ISBLANK(vlookup(B2057,Pop_Census_2023!$A$2:$E$3220,4,FALSE))),vlookup(B2057,Pop_Census_2023!$A$2:$E$3220,4,FALSE), vlookup(B2057,Pop_Census_2023!$A$2:$E$3220,5,FALSE))</f>
        <v>52190</v>
      </c>
    </row>
    <row r="2058">
      <c r="A2058" s="47" t="s">
        <v>3297</v>
      </c>
      <c r="B2058" s="47">
        <v>39007.0</v>
      </c>
      <c r="C2058" s="47">
        <v>5.0</v>
      </c>
      <c r="D2058" s="47" t="s">
        <v>4044</v>
      </c>
      <c r="E2058" s="47" t="str">
        <f t="shared" si="1"/>
        <v>5A</v>
      </c>
      <c r="F2058" s="47" t="s">
        <v>4054</v>
      </c>
      <c r="G2058" s="47" t="s">
        <v>1423</v>
      </c>
      <c r="H2058" s="48">
        <f>IF(NOT(ISBLANK(vlookup(B2058,Pop_Census_2023!$A$2:$E$3220,4,FALSE))),vlookup(B2058,Pop_Census_2023!$A$2:$E$3220,4,FALSE), vlookup(B2058,Pop_Census_2023!$A$2:$E$3220,5,FALSE))</f>
        <v>96845</v>
      </c>
    </row>
    <row r="2059">
      <c r="A2059" s="47" t="s">
        <v>3297</v>
      </c>
      <c r="B2059" s="47">
        <v>39009.0</v>
      </c>
      <c r="C2059" s="47">
        <v>5.0</v>
      </c>
      <c r="D2059" s="47" t="s">
        <v>4044</v>
      </c>
      <c r="E2059" s="47" t="str">
        <f t="shared" si="1"/>
        <v>5A</v>
      </c>
      <c r="F2059" s="47" t="s">
        <v>4054</v>
      </c>
      <c r="G2059" s="47" t="s">
        <v>1424</v>
      </c>
      <c r="H2059" s="48">
        <f>IF(NOT(ISBLANK(vlookup(B2059,Pop_Census_2023!$A$2:$E$3220,4,FALSE))),vlookup(B2059,Pop_Census_2023!$A$2:$E$3220,4,FALSE), vlookup(B2059,Pop_Census_2023!$A$2:$E$3220,5,FALSE))</f>
        <v>62706</v>
      </c>
    </row>
    <row r="2060">
      <c r="A2060" s="47" t="s">
        <v>3297</v>
      </c>
      <c r="B2060" s="47">
        <v>39011.0</v>
      </c>
      <c r="C2060" s="47">
        <v>5.0</v>
      </c>
      <c r="D2060" s="47" t="s">
        <v>4044</v>
      </c>
      <c r="E2060" s="47" t="str">
        <f t="shared" si="1"/>
        <v>5A</v>
      </c>
      <c r="F2060" s="47" t="s">
        <v>4054</v>
      </c>
      <c r="G2060" s="47" t="s">
        <v>1425</v>
      </c>
      <c r="H2060" s="48">
        <f>IF(NOT(ISBLANK(vlookup(B2060,Pop_Census_2023!$A$2:$E$3220,4,FALSE))),vlookup(B2060,Pop_Census_2023!$A$2:$E$3220,4,FALSE), vlookup(B2060,Pop_Census_2023!$A$2:$E$3220,5,FALSE))</f>
        <v>46050</v>
      </c>
    </row>
    <row r="2061">
      <c r="A2061" s="47" t="s">
        <v>3297</v>
      </c>
      <c r="B2061" s="47">
        <v>39013.0</v>
      </c>
      <c r="C2061" s="47">
        <v>5.0</v>
      </c>
      <c r="D2061" s="47" t="s">
        <v>4044</v>
      </c>
      <c r="E2061" s="47" t="str">
        <f t="shared" si="1"/>
        <v>5A</v>
      </c>
      <c r="F2061" s="47" t="s">
        <v>4054</v>
      </c>
      <c r="G2061" s="47" t="s">
        <v>1426</v>
      </c>
      <c r="H2061" s="48">
        <f>IF(NOT(ISBLANK(vlookup(B2061,Pop_Census_2023!$A$2:$E$3220,4,FALSE))),vlookup(B2061,Pop_Census_2023!$A$2:$E$3220,4,FALSE), vlookup(B2061,Pop_Census_2023!$A$2:$E$3220,5,FALSE))</f>
        <v>64918</v>
      </c>
    </row>
    <row r="2062">
      <c r="A2062" s="47" t="s">
        <v>3297</v>
      </c>
      <c r="B2062" s="47">
        <v>39015.0</v>
      </c>
      <c r="C2062" s="47">
        <v>4.0</v>
      </c>
      <c r="D2062" s="47" t="s">
        <v>4044</v>
      </c>
      <c r="E2062" s="47" t="str">
        <f t="shared" si="1"/>
        <v>4A</v>
      </c>
      <c r="F2062" s="47" t="s">
        <v>4046</v>
      </c>
      <c r="G2062" s="47" t="s">
        <v>611</v>
      </c>
      <c r="H2062" s="48">
        <f>IF(NOT(ISBLANK(vlookup(B2062,Pop_Census_2023!$A$2:$E$3220,4,FALSE))),vlookup(B2062,Pop_Census_2023!$A$2:$E$3220,4,FALSE), vlookup(B2062,Pop_Census_2023!$A$2:$E$3220,5,FALSE))</f>
        <v>43777</v>
      </c>
    </row>
    <row r="2063">
      <c r="A2063" s="47" t="s">
        <v>3297</v>
      </c>
      <c r="B2063" s="47">
        <v>39017.0</v>
      </c>
      <c r="C2063" s="47">
        <v>5.0</v>
      </c>
      <c r="D2063" s="47" t="s">
        <v>4044</v>
      </c>
      <c r="E2063" s="47" t="str">
        <f t="shared" si="1"/>
        <v>5A</v>
      </c>
      <c r="F2063" s="47" t="s">
        <v>4054</v>
      </c>
      <c r="G2063" s="47" t="s">
        <v>109</v>
      </c>
      <c r="H2063" s="48">
        <f>IF(NOT(ISBLANK(vlookup(B2063,Pop_Census_2023!$A$2:$E$3220,4,FALSE))),vlookup(B2063,Pop_Census_2023!$A$2:$E$3220,4,FALSE), vlookup(B2063,Pop_Census_2023!$A$2:$E$3220,5,FALSE))</f>
        <v>393043</v>
      </c>
    </row>
    <row r="2064">
      <c r="A2064" s="47" t="s">
        <v>3297</v>
      </c>
      <c r="B2064" s="47">
        <v>39019.0</v>
      </c>
      <c r="C2064" s="47">
        <v>5.0</v>
      </c>
      <c r="D2064" s="47" t="s">
        <v>4044</v>
      </c>
      <c r="E2064" s="47" t="str">
        <f t="shared" si="1"/>
        <v>5A</v>
      </c>
      <c r="F2064" s="47" t="s">
        <v>4054</v>
      </c>
      <c r="G2064" s="47" t="s">
        <v>227</v>
      </c>
      <c r="H2064" s="48">
        <f>IF(NOT(ISBLANK(vlookup(B2064,Pop_Census_2023!$A$2:$E$3220,4,FALSE))),vlookup(B2064,Pop_Census_2023!$A$2:$E$3220,4,FALSE), vlookup(B2064,Pop_Census_2023!$A$2:$E$3220,5,FALSE))</f>
        <v>26758</v>
      </c>
    </row>
    <row r="2065">
      <c r="A2065" s="47" t="s">
        <v>3297</v>
      </c>
      <c r="B2065" s="47">
        <v>39021.0</v>
      </c>
      <c r="C2065" s="47">
        <v>5.0</v>
      </c>
      <c r="D2065" s="47" t="s">
        <v>4044</v>
      </c>
      <c r="E2065" s="47" t="str">
        <f t="shared" si="1"/>
        <v>5A</v>
      </c>
      <c r="F2065" s="47" t="s">
        <v>4054</v>
      </c>
      <c r="G2065" s="47" t="s">
        <v>614</v>
      </c>
      <c r="H2065" s="48">
        <f>IF(NOT(ISBLANK(vlookup(B2065,Pop_Census_2023!$A$2:$E$3220,4,FALSE))),vlookup(B2065,Pop_Census_2023!$A$2:$E$3220,4,FALSE), vlookup(B2065,Pop_Census_2023!$A$2:$E$3220,5,FALSE))</f>
        <v>38845</v>
      </c>
    </row>
    <row r="2066">
      <c r="A2066" s="47" t="s">
        <v>3297</v>
      </c>
      <c r="B2066" s="47">
        <v>39023.0</v>
      </c>
      <c r="C2066" s="47">
        <v>5.0</v>
      </c>
      <c r="D2066" s="47" t="s">
        <v>4044</v>
      </c>
      <c r="E2066" s="47" t="str">
        <f t="shared" si="1"/>
        <v>5A</v>
      </c>
      <c r="F2066" s="47" t="s">
        <v>4054</v>
      </c>
      <c r="G2066" s="47" t="s">
        <v>229</v>
      </c>
      <c r="H2066" s="48">
        <f>IF(NOT(ISBLANK(vlookup(B2066,Pop_Census_2023!$A$2:$E$3220,4,FALSE))),vlookup(B2066,Pop_Census_2023!$A$2:$E$3220,4,FALSE), vlookup(B2066,Pop_Census_2023!$A$2:$E$3220,5,FALSE))</f>
        <v>134610</v>
      </c>
    </row>
    <row r="2067">
      <c r="A2067" s="47" t="s">
        <v>3297</v>
      </c>
      <c r="B2067" s="47">
        <v>39025.0</v>
      </c>
      <c r="C2067" s="47">
        <v>4.0</v>
      </c>
      <c r="D2067" s="47" t="s">
        <v>4044</v>
      </c>
      <c r="E2067" s="47" t="str">
        <f t="shared" si="1"/>
        <v>4A</v>
      </c>
      <c r="F2067" s="47" t="s">
        <v>4046</v>
      </c>
      <c r="G2067" s="47" t="s">
        <v>1427</v>
      </c>
      <c r="H2067" s="48">
        <f>IF(NOT(ISBLANK(vlookup(B2067,Pop_Census_2023!$A$2:$E$3220,4,FALSE))),vlookup(B2067,Pop_Census_2023!$A$2:$E$3220,4,FALSE), vlookup(B2067,Pop_Census_2023!$A$2:$E$3220,5,FALSE))</f>
        <v>211972</v>
      </c>
    </row>
    <row r="2068">
      <c r="A2068" s="47" t="s">
        <v>3297</v>
      </c>
      <c r="B2068" s="47">
        <v>39027.0</v>
      </c>
      <c r="C2068" s="47">
        <v>5.0</v>
      </c>
      <c r="D2068" s="47" t="s">
        <v>4044</v>
      </c>
      <c r="E2068" s="47" t="str">
        <f t="shared" si="1"/>
        <v>5A</v>
      </c>
      <c r="F2068" s="47" t="s">
        <v>4054</v>
      </c>
      <c r="G2068" s="47" t="s">
        <v>616</v>
      </c>
      <c r="H2068" s="48">
        <f>IF(NOT(ISBLANK(vlookup(B2068,Pop_Census_2023!$A$2:$E$3220,4,FALSE))),vlookup(B2068,Pop_Census_2023!$A$2:$E$3220,4,FALSE), vlookup(B2068,Pop_Census_2023!$A$2:$E$3220,5,FALSE))</f>
        <v>41938</v>
      </c>
    </row>
    <row r="2069">
      <c r="A2069" s="47" t="s">
        <v>3297</v>
      </c>
      <c r="B2069" s="47">
        <v>39029.0</v>
      </c>
      <c r="C2069" s="47">
        <v>5.0</v>
      </c>
      <c r="D2069" s="47" t="s">
        <v>4044</v>
      </c>
      <c r="E2069" s="47" t="str">
        <f t="shared" si="1"/>
        <v>5A</v>
      </c>
      <c r="F2069" s="47" t="s">
        <v>4054</v>
      </c>
      <c r="G2069" s="47" t="s">
        <v>1428</v>
      </c>
      <c r="H2069" s="48">
        <f>IF(NOT(ISBLANK(vlookup(B2069,Pop_Census_2023!$A$2:$E$3220,4,FALSE))),vlookup(B2069,Pop_Census_2023!$A$2:$E$3220,4,FALSE), vlookup(B2069,Pop_Census_2023!$A$2:$E$3220,5,FALSE))</f>
        <v>100182</v>
      </c>
    </row>
    <row r="2070">
      <c r="A2070" s="47" t="s">
        <v>3297</v>
      </c>
      <c r="B2070" s="47">
        <v>39031.0</v>
      </c>
      <c r="C2070" s="47">
        <v>5.0</v>
      </c>
      <c r="D2070" s="47" t="s">
        <v>4044</v>
      </c>
      <c r="E2070" s="47" t="str">
        <f t="shared" si="1"/>
        <v>5A</v>
      </c>
      <c r="F2070" s="47" t="s">
        <v>4054</v>
      </c>
      <c r="G2070" s="47" t="s">
        <v>1429</v>
      </c>
      <c r="H2070" s="48">
        <f>IF(NOT(ISBLANK(vlookup(B2070,Pop_Census_2023!$A$2:$E$3220,4,FALSE))),vlookup(B2070,Pop_Census_2023!$A$2:$E$3220,4,FALSE), vlookup(B2070,Pop_Census_2023!$A$2:$E$3220,5,FALSE))</f>
        <v>36869</v>
      </c>
    </row>
    <row r="2071">
      <c r="A2071" s="47" t="s">
        <v>3297</v>
      </c>
      <c r="B2071" s="47">
        <v>39033.0</v>
      </c>
      <c r="C2071" s="47">
        <v>5.0</v>
      </c>
      <c r="D2071" s="47" t="s">
        <v>4044</v>
      </c>
      <c r="E2071" s="47" t="str">
        <f t="shared" si="1"/>
        <v>5A</v>
      </c>
      <c r="F2071" s="47" t="s">
        <v>4054</v>
      </c>
      <c r="G2071" s="47" t="s">
        <v>234</v>
      </c>
      <c r="H2071" s="48">
        <f>IF(NOT(ISBLANK(vlookup(B2071,Pop_Census_2023!$A$2:$E$3220,4,FALSE))),vlookup(B2071,Pop_Census_2023!$A$2:$E$3220,4,FALSE), vlookup(B2071,Pop_Census_2023!$A$2:$E$3220,5,FALSE))</f>
        <v>41529</v>
      </c>
    </row>
    <row r="2072">
      <c r="A2072" s="47" t="s">
        <v>3297</v>
      </c>
      <c r="B2072" s="47">
        <v>39035.0</v>
      </c>
      <c r="C2072" s="47">
        <v>5.0</v>
      </c>
      <c r="D2072" s="47" t="s">
        <v>4044</v>
      </c>
      <c r="E2072" s="47" t="str">
        <f t="shared" si="1"/>
        <v>5A</v>
      </c>
      <c r="F2072" s="47" t="s">
        <v>4054</v>
      </c>
      <c r="G2072" s="47" t="s">
        <v>1430</v>
      </c>
      <c r="H2072" s="48">
        <f>IF(NOT(ISBLANK(vlookup(B2072,Pop_Census_2023!$A$2:$E$3220,4,FALSE))),vlookup(B2072,Pop_Census_2023!$A$2:$E$3220,4,FALSE), vlookup(B2072,Pop_Census_2023!$A$2:$E$3220,5,FALSE))</f>
        <v>1233088</v>
      </c>
    </row>
    <row r="2073">
      <c r="A2073" s="47" t="s">
        <v>3297</v>
      </c>
      <c r="B2073" s="47">
        <v>39037.0</v>
      </c>
      <c r="C2073" s="47">
        <v>5.0</v>
      </c>
      <c r="D2073" s="47" t="s">
        <v>4044</v>
      </c>
      <c r="E2073" s="47" t="str">
        <f t="shared" si="1"/>
        <v>5A</v>
      </c>
      <c r="F2073" s="47" t="s">
        <v>4054</v>
      </c>
      <c r="G2073" s="47" t="s">
        <v>1431</v>
      </c>
      <c r="H2073" s="48">
        <f>IF(NOT(ISBLANK(vlookup(B2073,Pop_Census_2023!$A$2:$E$3220,4,FALSE))),vlookup(B2073,Pop_Census_2023!$A$2:$E$3220,4,FALSE), vlookup(B2073,Pop_Census_2023!$A$2:$E$3220,5,FALSE))</f>
        <v>51415</v>
      </c>
    </row>
    <row r="2074">
      <c r="A2074" s="47" t="s">
        <v>3297</v>
      </c>
      <c r="B2074" s="47">
        <v>39039.0</v>
      </c>
      <c r="C2074" s="47">
        <v>5.0</v>
      </c>
      <c r="D2074" s="47" t="s">
        <v>4044</v>
      </c>
      <c r="E2074" s="47" t="str">
        <f t="shared" si="1"/>
        <v>5A</v>
      </c>
      <c r="F2074" s="47" t="s">
        <v>4054</v>
      </c>
      <c r="G2074" s="47" t="s">
        <v>1432</v>
      </c>
      <c r="H2074" s="48">
        <f>IF(NOT(ISBLANK(vlookup(B2074,Pop_Census_2023!$A$2:$E$3220,4,FALSE))),vlookup(B2074,Pop_Census_2023!$A$2:$E$3220,4,FALSE), vlookup(B2074,Pop_Census_2023!$A$2:$E$3220,5,FALSE))</f>
        <v>38315</v>
      </c>
    </row>
    <row r="2075">
      <c r="A2075" s="47" t="s">
        <v>3297</v>
      </c>
      <c r="B2075" s="47">
        <v>39041.0</v>
      </c>
      <c r="C2075" s="47">
        <v>5.0</v>
      </c>
      <c r="D2075" s="47" t="s">
        <v>4044</v>
      </c>
      <c r="E2075" s="47" t="str">
        <f t="shared" si="1"/>
        <v>5A</v>
      </c>
      <c r="F2075" s="47" t="s">
        <v>4054</v>
      </c>
      <c r="G2075" s="47" t="s">
        <v>405</v>
      </c>
      <c r="H2075" s="48">
        <f>IF(NOT(ISBLANK(vlookup(B2075,Pop_Census_2023!$A$2:$E$3220,4,FALSE))),vlookup(B2075,Pop_Census_2023!$A$2:$E$3220,4,FALSE), vlookup(B2075,Pop_Census_2023!$A$2:$E$3220,5,FALSE))</f>
        <v>231636</v>
      </c>
    </row>
    <row r="2076">
      <c r="A2076" s="47" t="s">
        <v>3297</v>
      </c>
      <c r="B2076" s="47">
        <v>39043.0</v>
      </c>
      <c r="C2076" s="47">
        <v>5.0</v>
      </c>
      <c r="D2076" s="47" t="s">
        <v>4044</v>
      </c>
      <c r="E2076" s="47" t="str">
        <f t="shared" si="1"/>
        <v>5A</v>
      </c>
      <c r="F2076" s="47" t="s">
        <v>4054</v>
      </c>
      <c r="G2076" s="47" t="s">
        <v>1305</v>
      </c>
      <c r="H2076" s="48">
        <f>IF(NOT(ISBLANK(vlookup(B2076,Pop_Census_2023!$A$2:$E$3220,4,FALSE))),vlookup(B2076,Pop_Census_2023!$A$2:$E$3220,4,FALSE), vlookup(B2076,Pop_Census_2023!$A$2:$E$3220,5,FALSE))</f>
        <v>74035</v>
      </c>
    </row>
    <row r="2077">
      <c r="A2077" s="47" t="s">
        <v>3297</v>
      </c>
      <c r="B2077" s="47">
        <v>39045.0</v>
      </c>
      <c r="C2077" s="47">
        <v>5.0</v>
      </c>
      <c r="D2077" s="47" t="s">
        <v>4044</v>
      </c>
      <c r="E2077" s="47" t="str">
        <f t="shared" si="1"/>
        <v>5A</v>
      </c>
      <c r="F2077" s="47" t="s">
        <v>4054</v>
      </c>
      <c r="G2077" s="47" t="s">
        <v>394</v>
      </c>
      <c r="H2077" s="48">
        <f>IF(NOT(ISBLANK(vlookup(B2077,Pop_Census_2023!$A$2:$E$3220,4,FALSE))),vlookup(B2077,Pop_Census_2023!$A$2:$E$3220,4,FALSE), vlookup(B2077,Pop_Census_2023!$A$2:$E$3220,5,FALSE))</f>
        <v>165360</v>
      </c>
    </row>
    <row r="2078">
      <c r="A2078" s="47" t="s">
        <v>3297</v>
      </c>
      <c r="B2078" s="47">
        <v>39047.0</v>
      </c>
      <c r="C2078" s="47">
        <v>5.0</v>
      </c>
      <c r="D2078" s="47" t="s">
        <v>4044</v>
      </c>
      <c r="E2078" s="47" t="str">
        <f t="shared" si="1"/>
        <v>5A</v>
      </c>
      <c r="F2078" s="47" t="s">
        <v>4054</v>
      </c>
      <c r="G2078" s="47" t="s">
        <v>131</v>
      </c>
      <c r="H2078" s="48">
        <f>IF(NOT(ISBLANK(vlookup(B2078,Pop_Census_2023!$A$2:$E$3220,4,FALSE))),vlookup(B2078,Pop_Census_2023!$A$2:$E$3220,4,FALSE), vlookup(B2078,Pop_Census_2023!$A$2:$E$3220,5,FALSE))</f>
        <v>28817</v>
      </c>
    </row>
    <row r="2079">
      <c r="A2079" s="47" t="s">
        <v>3297</v>
      </c>
      <c r="B2079" s="47">
        <v>39049.0</v>
      </c>
      <c r="C2079" s="47">
        <v>5.0</v>
      </c>
      <c r="D2079" s="47" t="s">
        <v>4044</v>
      </c>
      <c r="E2079" s="47" t="str">
        <f t="shared" si="1"/>
        <v>5A</v>
      </c>
      <c r="F2079" s="47" t="s">
        <v>4054</v>
      </c>
      <c r="G2079" s="47" t="s">
        <v>132</v>
      </c>
      <c r="H2079" s="48">
        <f>IF(NOT(ISBLANK(vlookup(B2079,Pop_Census_2023!$A$2:$E$3220,4,FALSE))),vlookup(B2079,Pop_Census_2023!$A$2:$E$3220,4,FALSE), vlookup(B2079,Pop_Census_2023!$A$2:$E$3220,5,FALSE))</f>
        <v>1326063</v>
      </c>
    </row>
    <row r="2080">
      <c r="A2080" s="47" t="s">
        <v>3297</v>
      </c>
      <c r="B2080" s="47">
        <v>39051.0</v>
      </c>
      <c r="C2080" s="47">
        <v>5.0</v>
      </c>
      <c r="D2080" s="47" t="s">
        <v>4044</v>
      </c>
      <c r="E2080" s="47" t="str">
        <f t="shared" si="1"/>
        <v>5A</v>
      </c>
      <c r="F2080" s="47" t="s">
        <v>4054</v>
      </c>
      <c r="G2080" s="47" t="s">
        <v>240</v>
      </c>
      <c r="H2080" s="48">
        <f>IF(NOT(ISBLANK(vlookup(B2080,Pop_Census_2023!$A$2:$E$3220,4,FALSE))),vlookup(B2080,Pop_Census_2023!$A$2:$E$3220,4,FALSE), vlookup(B2080,Pop_Census_2023!$A$2:$E$3220,5,FALSE))</f>
        <v>42007</v>
      </c>
    </row>
    <row r="2081">
      <c r="A2081" s="47" t="s">
        <v>3297</v>
      </c>
      <c r="B2081" s="47">
        <v>39053.0</v>
      </c>
      <c r="C2081" s="47">
        <v>4.0</v>
      </c>
      <c r="D2081" s="47" t="s">
        <v>4044</v>
      </c>
      <c r="E2081" s="47" t="str">
        <f t="shared" si="1"/>
        <v>4A</v>
      </c>
      <c r="F2081" s="47" t="s">
        <v>4046</v>
      </c>
      <c r="G2081" s="47" t="s">
        <v>1433</v>
      </c>
      <c r="H2081" s="48">
        <f>IF(NOT(ISBLANK(vlookup(B2081,Pop_Census_2023!$A$2:$E$3220,4,FALSE))),vlookup(B2081,Pop_Census_2023!$A$2:$E$3220,4,FALSE), vlookup(B2081,Pop_Census_2023!$A$2:$E$3220,5,FALSE))</f>
        <v>28986</v>
      </c>
    </row>
    <row r="2082">
      <c r="A2082" s="47" t="s">
        <v>3297</v>
      </c>
      <c r="B2082" s="47">
        <v>39055.0</v>
      </c>
      <c r="C2082" s="47">
        <v>5.0</v>
      </c>
      <c r="D2082" s="47" t="s">
        <v>4044</v>
      </c>
      <c r="E2082" s="47" t="str">
        <f t="shared" si="1"/>
        <v>5A</v>
      </c>
      <c r="F2082" s="47" t="s">
        <v>4054</v>
      </c>
      <c r="G2082" s="47" t="s">
        <v>1434</v>
      </c>
      <c r="H2082" s="48">
        <f>IF(NOT(ISBLANK(vlookup(B2082,Pop_Census_2023!$A$2:$E$3220,4,FALSE))),vlookup(B2082,Pop_Census_2023!$A$2:$E$3220,4,FALSE), vlookup(B2082,Pop_Census_2023!$A$2:$E$3220,5,FALSE))</f>
        <v>95407</v>
      </c>
    </row>
    <row r="2083">
      <c r="A2083" s="47" t="s">
        <v>3297</v>
      </c>
      <c r="B2083" s="47">
        <v>39057.0</v>
      </c>
      <c r="C2083" s="47">
        <v>5.0</v>
      </c>
      <c r="D2083" s="47" t="s">
        <v>4044</v>
      </c>
      <c r="E2083" s="47" t="str">
        <f t="shared" si="1"/>
        <v>5A</v>
      </c>
      <c r="F2083" s="47" t="s">
        <v>4054</v>
      </c>
      <c r="G2083" s="47" t="s">
        <v>134</v>
      </c>
      <c r="H2083" s="48">
        <f>IF(NOT(ISBLANK(vlookup(B2083,Pop_Census_2023!$A$2:$E$3220,4,FALSE))),vlookup(B2083,Pop_Census_2023!$A$2:$E$3220,4,FALSE), vlookup(B2083,Pop_Census_2023!$A$2:$E$3220,5,FALSE))</f>
        <v>169691</v>
      </c>
    </row>
    <row r="2084">
      <c r="A2084" s="47" t="s">
        <v>3297</v>
      </c>
      <c r="B2084" s="47">
        <v>39059.0</v>
      </c>
      <c r="C2084" s="47">
        <v>5.0</v>
      </c>
      <c r="D2084" s="47" t="s">
        <v>4044</v>
      </c>
      <c r="E2084" s="47" t="str">
        <f t="shared" si="1"/>
        <v>5A</v>
      </c>
      <c r="F2084" s="47" t="s">
        <v>4054</v>
      </c>
      <c r="G2084" s="47" t="s">
        <v>1435</v>
      </c>
      <c r="H2084" s="48">
        <f>IF(NOT(ISBLANK(vlookup(B2084,Pop_Census_2023!$A$2:$E$3220,4,FALSE))),vlookup(B2084,Pop_Census_2023!$A$2:$E$3220,4,FALSE), vlookup(B2084,Pop_Census_2023!$A$2:$E$3220,5,FALSE))</f>
        <v>38089</v>
      </c>
    </row>
    <row r="2085">
      <c r="A2085" s="47" t="s">
        <v>3297</v>
      </c>
      <c r="B2085" s="47">
        <v>39061.0</v>
      </c>
      <c r="C2085" s="47">
        <v>4.0</v>
      </c>
      <c r="D2085" s="47" t="s">
        <v>4044</v>
      </c>
      <c r="E2085" s="47" t="str">
        <f t="shared" si="1"/>
        <v>4A</v>
      </c>
      <c r="F2085" s="47" t="s">
        <v>4046</v>
      </c>
      <c r="G2085" s="47" t="s">
        <v>428</v>
      </c>
      <c r="H2085" s="48">
        <f>IF(NOT(ISBLANK(vlookup(B2085,Pop_Census_2023!$A$2:$E$3220,4,FALSE))),vlookup(B2085,Pop_Census_2023!$A$2:$E$3220,4,FALSE), vlookup(B2085,Pop_Census_2023!$A$2:$E$3220,5,FALSE))</f>
        <v>827058</v>
      </c>
    </row>
    <row r="2086">
      <c r="A2086" s="47" t="s">
        <v>3297</v>
      </c>
      <c r="B2086" s="47">
        <v>39063.0</v>
      </c>
      <c r="C2086" s="47">
        <v>5.0</v>
      </c>
      <c r="D2086" s="47" t="s">
        <v>4044</v>
      </c>
      <c r="E2086" s="47" t="str">
        <f t="shared" si="1"/>
        <v>5A</v>
      </c>
      <c r="F2086" s="47" t="s">
        <v>4054</v>
      </c>
      <c r="G2086" s="47" t="s">
        <v>512</v>
      </c>
      <c r="H2086" s="48">
        <f>IF(NOT(ISBLANK(vlookup(B2086,Pop_Census_2023!$A$2:$E$3220,4,FALSE))),vlookup(B2086,Pop_Census_2023!$A$2:$E$3220,4,FALSE), vlookup(B2086,Pop_Census_2023!$A$2:$E$3220,5,FALSE))</f>
        <v>74704</v>
      </c>
    </row>
    <row r="2087">
      <c r="A2087" s="47" t="s">
        <v>3297</v>
      </c>
      <c r="B2087" s="47">
        <v>39065.0</v>
      </c>
      <c r="C2087" s="47">
        <v>5.0</v>
      </c>
      <c r="D2087" s="47" t="s">
        <v>4044</v>
      </c>
      <c r="E2087" s="47" t="str">
        <f t="shared" si="1"/>
        <v>5A</v>
      </c>
      <c r="F2087" s="47" t="s">
        <v>4054</v>
      </c>
      <c r="G2087" s="47" t="s">
        <v>626</v>
      </c>
      <c r="H2087" s="48">
        <f>IF(NOT(ISBLANK(vlookup(B2087,Pop_Census_2023!$A$2:$E$3220,4,FALSE))),vlookup(B2087,Pop_Census_2023!$A$2:$E$3220,4,FALSE), vlookup(B2087,Pop_Census_2023!$A$2:$E$3220,5,FALSE))</f>
        <v>30368</v>
      </c>
    </row>
    <row r="2088">
      <c r="A2088" s="47" t="s">
        <v>3297</v>
      </c>
      <c r="B2088" s="47">
        <v>39067.0</v>
      </c>
      <c r="C2088" s="47">
        <v>5.0</v>
      </c>
      <c r="D2088" s="47" t="s">
        <v>4044</v>
      </c>
      <c r="E2088" s="47" t="str">
        <f t="shared" si="1"/>
        <v>5A</v>
      </c>
      <c r="F2088" s="47" t="s">
        <v>4054</v>
      </c>
      <c r="G2088" s="47" t="s">
        <v>673</v>
      </c>
      <c r="H2088" s="48">
        <f>IF(NOT(ISBLANK(vlookup(B2088,Pop_Census_2023!$A$2:$E$3220,4,FALSE))),vlookup(B2088,Pop_Census_2023!$A$2:$E$3220,4,FALSE), vlookup(B2088,Pop_Census_2023!$A$2:$E$3220,5,FALSE))</f>
        <v>14159</v>
      </c>
    </row>
    <row r="2089">
      <c r="A2089" s="47" t="s">
        <v>3297</v>
      </c>
      <c r="B2089" s="47">
        <v>39069.0</v>
      </c>
      <c r="C2089" s="47">
        <v>5.0</v>
      </c>
      <c r="D2089" s="47" t="s">
        <v>4044</v>
      </c>
      <c r="E2089" s="47" t="str">
        <f t="shared" si="1"/>
        <v>5A</v>
      </c>
      <c r="F2089" s="47" t="s">
        <v>4054</v>
      </c>
      <c r="G2089" s="47" t="s">
        <v>136</v>
      </c>
      <c r="H2089" s="48">
        <f>IF(NOT(ISBLANK(vlookup(B2089,Pop_Census_2023!$A$2:$E$3220,4,FALSE))),vlookup(B2089,Pop_Census_2023!$A$2:$E$3220,4,FALSE), vlookup(B2089,Pop_Census_2023!$A$2:$E$3220,5,FALSE))</f>
        <v>27520</v>
      </c>
    </row>
    <row r="2090">
      <c r="A2090" s="47" t="s">
        <v>3297</v>
      </c>
      <c r="B2090" s="47">
        <v>39071.0</v>
      </c>
      <c r="C2090" s="47">
        <v>5.0</v>
      </c>
      <c r="D2090" s="47" t="s">
        <v>4044</v>
      </c>
      <c r="E2090" s="47" t="str">
        <f t="shared" si="1"/>
        <v>5A</v>
      </c>
      <c r="F2090" s="47" t="s">
        <v>4054</v>
      </c>
      <c r="G2090" s="47" t="s">
        <v>1436</v>
      </c>
      <c r="H2090" s="48">
        <f>IF(NOT(ISBLANK(vlookup(B2090,Pop_Census_2023!$A$2:$E$3220,4,FALSE))),vlookup(B2090,Pop_Census_2023!$A$2:$E$3220,4,FALSE), vlookup(B2090,Pop_Census_2023!$A$2:$E$3220,5,FALSE))</f>
        <v>43614</v>
      </c>
    </row>
    <row r="2091">
      <c r="A2091" s="47" t="s">
        <v>3297</v>
      </c>
      <c r="B2091" s="47">
        <v>39073.0</v>
      </c>
      <c r="C2091" s="47">
        <v>5.0</v>
      </c>
      <c r="D2091" s="47" t="s">
        <v>4044</v>
      </c>
      <c r="E2091" s="47" t="str">
        <f t="shared" si="1"/>
        <v>5A</v>
      </c>
      <c r="F2091" s="47" t="s">
        <v>4054</v>
      </c>
      <c r="G2091" s="47" t="s">
        <v>1437</v>
      </c>
      <c r="H2091" s="48">
        <f>IF(NOT(ISBLANK(vlookup(B2091,Pop_Census_2023!$A$2:$E$3220,4,FALSE))),vlookup(B2091,Pop_Census_2023!$A$2:$E$3220,4,FALSE), vlookup(B2091,Pop_Census_2023!$A$2:$E$3220,5,FALSE))</f>
        <v>27540</v>
      </c>
    </row>
    <row r="2092">
      <c r="A2092" s="47" t="s">
        <v>3297</v>
      </c>
      <c r="B2092" s="47">
        <v>39075.0</v>
      </c>
      <c r="C2092" s="47">
        <v>5.0</v>
      </c>
      <c r="D2092" s="47" t="s">
        <v>4044</v>
      </c>
      <c r="E2092" s="47" t="str">
        <f t="shared" si="1"/>
        <v>5A</v>
      </c>
      <c r="F2092" s="47" t="s">
        <v>4054</v>
      </c>
      <c r="G2092" s="47" t="s">
        <v>434</v>
      </c>
      <c r="H2092" s="48">
        <f>IF(NOT(ISBLANK(vlookup(B2092,Pop_Census_2023!$A$2:$E$3220,4,FALSE))),vlookup(B2092,Pop_Census_2023!$A$2:$E$3220,4,FALSE), vlookup(B2092,Pop_Census_2023!$A$2:$E$3220,5,FALSE))</f>
        <v>44386</v>
      </c>
    </row>
    <row r="2093">
      <c r="A2093" s="47" t="s">
        <v>3297</v>
      </c>
      <c r="B2093" s="47">
        <v>39077.0</v>
      </c>
      <c r="C2093" s="47">
        <v>5.0</v>
      </c>
      <c r="D2093" s="47" t="s">
        <v>4044</v>
      </c>
      <c r="E2093" s="47" t="str">
        <f t="shared" si="1"/>
        <v>5A</v>
      </c>
      <c r="F2093" s="47" t="s">
        <v>4054</v>
      </c>
      <c r="G2093" s="47" t="s">
        <v>985</v>
      </c>
      <c r="H2093" s="48">
        <f>IF(NOT(ISBLANK(vlookup(B2093,Pop_Census_2023!$A$2:$E$3220,4,FALSE))),vlookup(B2093,Pop_Census_2023!$A$2:$E$3220,4,FALSE), vlookup(B2093,Pop_Census_2023!$A$2:$E$3220,5,FALSE))</f>
        <v>58199</v>
      </c>
    </row>
    <row r="2094">
      <c r="A2094" s="47" t="s">
        <v>3297</v>
      </c>
      <c r="B2094" s="47">
        <v>39079.0</v>
      </c>
      <c r="C2094" s="47">
        <v>5.0</v>
      </c>
      <c r="D2094" s="47" t="s">
        <v>4044</v>
      </c>
      <c r="E2094" s="47" t="str">
        <f t="shared" si="1"/>
        <v>5A</v>
      </c>
      <c r="F2094" s="47" t="s">
        <v>4054</v>
      </c>
      <c r="G2094" s="47" t="s">
        <v>138</v>
      </c>
      <c r="H2094" s="48">
        <f>IF(NOT(ISBLANK(vlookup(B2094,Pop_Census_2023!$A$2:$E$3220,4,FALSE))),vlookup(B2094,Pop_Census_2023!$A$2:$E$3220,4,FALSE), vlookup(B2094,Pop_Census_2023!$A$2:$E$3220,5,FALSE))</f>
        <v>32606</v>
      </c>
    </row>
    <row r="2095">
      <c r="A2095" s="47" t="s">
        <v>3297</v>
      </c>
      <c r="B2095" s="47">
        <v>39081.0</v>
      </c>
      <c r="C2095" s="47">
        <v>5.0</v>
      </c>
      <c r="D2095" s="47" t="s">
        <v>4044</v>
      </c>
      <c r="E2095" s="47" t="str">
        <f t="shared" si="1"/>
        <v>5A</v>
      </c>
      <c r="F2095" s="47" t="s">
        <v>4054</v>
      </c>
      <c r="G2095" s="47" t="s">
        <v>139</v>
      </c>
      <c r="H2095" s="48">
        <f>IF(NOT(ISBLANK(vlookup(B2095,Pop_Census_2023!$A$2:$E$3220,4,FALSE))),vlookup(B2095,Pop_Census_2023!$A$2:$E$3220,4,FALSE), vlookup(B2095,Pop_Census_2023!$A$2:$E$3220,5,FALSE))</f>
        <v>64026</v>
      </c>
    </row>
    <row r="2096">
      <c r="A2096" s="47" t="s">
        <v>3297</v>
      </c>
      <c r="B2096" s="47">
        <v>39083.0</v>
      </c>
      <c r="C2096" s="47">
        <v>5.0</v>
      </c>
      <c r="D2096" s="47" t="s">
        <v>4044</v>
      </c>
      <c r="E2096" s="47" t="str">
        <f t="shared" si="1"/>
        <v>5A</v>
      </c>
      <c r="F2096" s="47" t="s">
        <v>4054</v>
      </c>
      <c r="G2096" s="47" t="s">
        <v>634</v>
      </c>
      <c r="H2096" s="48">
        <f>IF(NOT(ISBLANK(vlookup(B2096,Pop_Census_2023!$A$2:$E$3220,4,FALSE))),vlookup(B2096,Pop_Census_2023!$A$2:$E$3220,4,FALSE), vlookup(B2096,Pop_Census_2023!$A$2:$E$3220,5,FALSE))</f>
        <v>63320</v>
      </c>
    </row>
    <row r="2097">
      <c r="A2097" s="47" t="s">
        <v>3297</v>
      </c>
      <c r="B2097" s="47">
        <v>39085.0</v>
      </c>
      <c r="C2097" s="47">
        <v>5.0</v>
      </c>
      <c r="D2097" s="47" t="s">
        <v>4044</v>
      </c>
      <c r="E2097" s="47" t="str">
        <f t="shared" si="1"/>
        <v>5A</v>
      </c>
      <c r="F2097" s="47" t="s">
        <v>4054</v>
      </c>
      <c r="G2097" s="47" t="s">
        <v>298</v>
      </c>
      <c r="H2097" s="48">
        <f>IF(NOT(ISBLANK(vlookup(B2097,Pop_Census_2023!$A$2:$E$3220,4,FALSE))),vlookup(B2097,Pop_Census_2023!$A$2:$E$3220,4,FALSE), vlookup(B2097,Pop_Census_2023!$A$2:$E$3220,5,FALSE))</f>
        <v>231640</v>
      </c>
    </row>
    <row r="2098">
      <c r="A2098" s="47" t="s">
        <v>3297</v>
      </c>
      <c r="B2098" s="47">
        <v>39087.0</v>
      </c>
      <c r="C2098" s="47">
        <v>4.0</v>
      </c>
      <c r="D2098" s="47" t="s">
        <v>4044</v>
      </c>
      <c r="E2098" s="47" t="str">
        <f t="shared" si="1"/>
        <v>4A</v>
      </c>
      <c r="F2098" s="47" t="s">
        <v>4046</v>
      </c>
      <c r="G2098" s="47" t="s">
        <v>142</v>
      </c>
      <c r="H2098" s="48">
        <f>IF(NOT(ISBLANK(vlookup(B2098,Pop_Census_2023!$A$2:$E$3220,4,FALSE))),vlookup(B2098,Pop_Census_2023!$A$2:$E$3220,4,FALSE), vlookup(B2098,Pop_Census_2023!$A$2:$E$3220,5,FALSE))</f>
        <v>56118</v>
      </c>
    </row>
    <row r="2099">
      <c r="A2099" s="47" t="s">
        <v>3297</v>
      </c>
      <c r="B2099" s="47">
        <v>39089.0</v>
      </c>
      <c r="C2099" s="47">
        <v>5.0</v>
      </c>
      <c r="D2099" s="47" t="s">
        <v>4044</v>
      </c>
      <c r="E2099" s="47" t="str">
        <f t="shared" si="1"/>
        <v>5A</v>
      </c>
      <c r="F2099" s="47" t="s">
        <v>4054</v>
      </c>
      <c r="G2099" s="47" t="s">
        <v>1438</v>
      </c>
      <c r="H2099" s="48">
        <f>IF(NOT(ISBLANK(vlookup(B2099,Pop_Census_2023!$A$2:$E$3220,4,FALSE))),vlookup(B2099,Pop_Census_2023!$A$2:$E$3220,4,FALSE), vlookup(B2099,Pop_Census_2023!$A$2:$E$3220,5,FALSE))</f>
        <v>183201</v>
      </c>
    </row>
    <row r="2100">
      <c r="A2100" s="47" t="s">
        <v>3297</v>
      </c>
      <c r="B2100" s="47">
        <v>39091.0</v>
      </c>
      <c r="C2100" s="47">
        <v>5.0</v>
      </c>
      <c r="D2100" s="47" t="s">
        <v>4044</v>
      </c>
      <c r="E2100" s="47" t="str">
        <f t="shared" si="1"/>
        <v>5A</v>
      </c>
      <c r="F2100" s="47" t="s">
        <v>4054</v>
      </c>
      <c r="G2100" s="47" t="s">
        <v>252</v>
      </c>
      <c r="H2100" s="48">
        <f>IF(NOT(ISBLANK(vlookup(B2100,Pop_Census_2023!$A$2:$E$3220,4,FALSE))),vlookup(B2100,Pop_Census_2023!$A$2:$E$3220,4,FALSE), vlookup(B2100,Pop_Census_2023!$A$2:$E$3220,5,FALSE))</f>
        <v>46057</v>
      </c>
    </row>
    <row r="2101">
      <c r="A2101" s="47" t="s">
        <v>3297</v>
      </c>
      <c r="B2101" s="47">
        <v>39093.0</v>
      </c>
      <c r="C2101" s="47">
        <v>5.0</v>
      </c>
      <c r="D2101" s="47" t="s">
        <v>4044</v>
      </c>
      <c r="E2101" s="47" t="str">
        <f t="shared" si="1"/>
        <v>5A</v>
      </c>
      <c r="F2101" s="47" t="s">
        <v>4054</v>
      </c>
      <c r="G2101" s="47" t="s">
        <v>1439</v>
      </c>
      <c r="H2101" s="48">
        <f>IF(NOT(ISBLANK(vlookup(B2101,Pop_Census_2023!$A$2:$E$3220,4,FALSE))),vlookup(B2101,Pop_Census_2023!$A$2:$E$3220,4,FALSE), vlookup(B2101,Pop_Census_2023!$A$2:$E$3220,5,FALSE))</f>
        <v>317910</v>
      </c>
    </row>
    <row r="2102">
      <c r="A2102" s="47" t="s">
        <v>3297</v>
      </c>
      <c r="B2102" s="47">
        <v>39095.0</v>
      </c>
      <c r="C2102" s="47">
        <v>5.0</v>
      </c>
      <c r="D2102" s="47" t="s">
        <v>4044</v>
      </c>
      <c r="E2102" s="47" t="str">
        <f t="shared" si="1"/>
        <v>5A</v>
      </c>
      <c r="F2102" s="47" t="s">
        <v>4054</v>
      </c>
      <c r="G2102" s="47" t="s">
        <v>728</v>
      </c>
      <c r="H2102" s="48">
        <f>IF(NOT(ISBLANK(vlookup(B2102,Pop_Census_2023!$A$2:$E$3220,4,FALSE))),vlookup(B2102,Pop_Census_2023!$A$2:$E$3220,4,FALSE), vlookup(B2102,Pop_Census_2023!$A$2:$E$3220,5,FALSE))</f>
        <v>425484</v>
      </c>
    </row>
    <row r="2103">
      <c r="A2103" s="47" t="s">
        <v>3297</v>
      </c>
      <c r="B2103" s="47">
        <v>39097.0</v>
      </c>
      <c r="C2103" s="47">
        <v>5.0</v>
      </c>
      <c r="D2103" s="47" t="s">
        <v>4044</v>
      </c>
      <c r="E2103" s="47" t="str">
        <f t="shared" si="1"/>
        <v>5A</v>
      </c>
      <c r="F2103" s="47" t="s">
        <v>4054</v>
      </c>
      <c r="G2103" s="47" t="s">
        <v>147</v>
      </c>
      <c r="H2103" s="48">
        <f>IF(NOT(ISBLANK(vlookup(B2103,Pop_Census_2023!$A$2:$E$3220,4,FALSE))),vlookup(B2103,Pop_Census_2023!$A$2:$E$3220,4,FALSE), vlookup(B2103,Pop_Census_2023!$A$2:$E$3220,5,FALSE))</f>
        <v>44602</v>
      </c>
    </row>
    <row r="2104">
      <c r="A2104" s="47" t="s">
        <v>3297</v>
      </c>
      <c r="B2104" s="47">
        <v>39099.0</v>
      </c>
      <c r="C2104" s="47">
        <v>5.0</v>
      </c>
      <c r="D2104" s="47" t="s">
        <v>4044</v>
      </c>
      <c r="E2104" s="47" t="str">
        <f t="shared" si="1"/>
        <v>5A</v>
      </c>
      <c r="F2104" s="47" t="s">
        <v>4054</v>
      </c>
      <c r="G2104" s="47" t="s">
        <v>1440</v>
      </c>
      <c r="H2104" s="48">
        <f>IF(NOT(ISBLANK(vlookup(B2104,Pop_Census_2023!$A$2:$E$3220,4,FALSE))),vlookup(B2104,Pop_Census_2023!$A$2:$E$3220,4,FALSE), vlookup(B2104,Pop_Census_2023!$A$2:$E$3220,5,FALSE))</f>
        <v>225596</v>
      </c>
    </row>
    <row r="2105">
      <c r="A2105" s="47" t="s">
        <v>3297</v>
      </c>
      <c r="B2105" s="47">
        <v>39101.0</v>
      </c>
      <c r="C2105" s="47">
        <v>5.0</v>
      </c>
      <c r="D2105" s="47" t="s">
        <v>4044</v>
      </c>
      <c r="E2105" s="47" t="str">
        <f t="shared" si="1"/>
        <v>5A</v>
      </c>
      <c r="F2105" s="47" t="s">
        <v>4054</v>
      </c>
      <c r="G2105" s="47" t="s">
        <v>149</v>
      </c>
      <c r="H2105" s="48">
        <f>IF(NOT(ISBLANK(vlookup(B2105,Pop_Census_2023!$A$2:$E$3220,4,FALSE))),vlookup(B2105,Pop_Census_2023!$A$2:$E$3220,4,FALSE), vlookup(B2105,Pop_Census_2023!$A$2:$E$3220,5,FALSE))</f>
        <v>64851</v>
      </c>
    </row>
    <row r="2106">
      <c r="A2106" s="47" t="s">
        <v>3297</v>
      </c>
      <c r="B2106" s="47">
        <v>39103.0</v>
      </c>
      <c r="C2106" s="47">
        <v>5.0</v>
      </c>
      <c r="D2106" s="47" t="s">
        <v>4044</v>
      </c>
      <c r="E2106" s="47" t="str">
        <f t="shared" si="1"/>
        <v>5A</v>
      </c>
      <c r="F2106" s="47" t="s">
        <v>4054</v>
      </c>
      <c r="G2106" s="47" t="s">
        <v>1441</v>
      </c>
      <c r="H2106" s="48">
        <f>IF(NOT(ISBLANK(vlookup(B2106,Pop_Census_2023!$A$2:$E$3220,4,FALSE))),vlookup(B2106,Pop_Census_2023!$A$2:$E$3220,4,FALSE), vlookup(B2106,Pop_Census_2023!$A$2:$E$3220,5,FALSE))</f>
        <v>184042</v>
      </c>
    </row>
    <row r="2107">
      <c r="A2107" s="47" t="s">
        <v>3297</v>
      </c>
      <c r="B2107" s="47">
        <v>39105.0</v>
      </c>
      <c r="C2107" s="47">
        <v>5.0</v>
      </c>
      <c r="D2107" s="47" t="s">
        <v>4044</v>
      </c>
      <c r="E2107" s="47" t="str">
        <f t="shared" si="1"/>
        <v>5A</v>
      </c>
      <c r="F2107" s="47" t="s">
        <v>4054</v>
      </c>
      <c r="G2107" s="47" t="s">
        <v>1442</v>
      </c>
      <c r="H2107" s="48">
        <f>IF(NOT(ISBLANK(vlookup(B2107,Pop_Census_2023!$A$2:$E$3220,4,FALSE))),vlookup(B2107,Pop_Census_2023!$A$2:$E$3220,4,FALSE), vlookup(B2107,Pop_Census_2023!$A$2:$E$3220,5,FALSE))</f>
        <v>21767</v>
      </c>
    </row>
    <row r="2108">
      <c r="A2108" s="47" t="s">
        <v>3297</v>
      </c>
      <c r="B2108" s="47">
        <v>39107.0</v>
      </c>
      <c r="C2108" s="47">
        <v>5.0</v>
      </c>
      <c r="D2108" s="47" t="s">
        <v>4044</v>
      </c>
      <c r="E2108" s="47" t="str">
        <f t="shared" si="1"/>
        <v>5A</v>
      </c>
      <c r="F2108" s="47" t="s">
        <v>4054</v>
      </c>
      <c r="G2108" s="47" t="s">
        <v>644</v>
      </c>
      <c r="H2108" s="48">
        <f>IF(NOT(ISBLANK(vlookup(B2108,Pop_Census_2023!$A$2:$E$3220,4,FALSE))),vlookup(B2108,Pop_Census_2023!$A$2:$E$3220,4,FALSE), vlookup(B2108,Pop_Census_2023!$A$2:$E$3220,5,FALSE))</f>
        <v>42439</v>
      </c>
    </row>
    <row r="2109">
      <c r="A2109" s="47" t="s">
        <v>3297</v>
      </c>
      <c r="B2109" s="47">
        <v>39109.0</v>
      </c>
      <c r="C2109" s="47">
        <v>5.0</v>
      </c>
      <c r="D2109" s="47" t="s">
        <v>4044</v>
      </c>
      <c r="E2109" s="47" t="str">
        <f t="shared" si="1"/>
        <v>5A</v>
      </c>
      <c r="F2109" s="47" t="s">
        <v>4054</v>
      </c>
      <c r="G2109" s="47" t="s">
        <v>681</v>
      </c>
      <c r="H2109" s="48">
        <f>IF(NOT(ISBLANK(vlookup(B2109,Pop_Census_2023!$A$2:$E$3220,4,FALSE))),vlookup(B2109,Pop_Census_2023!$A$2:$E$3220,4,FALSE), vlookup(B2109,Pop_Census_2023!$A$2:$E$3220,5,FALSE))</f>
        <v>110876</v>
      </c>
    </row>
    <row r="2110">
      <c r="A2110" s="47" t="s">
        <v>3297</v>
      </c>
      <c r="B2110" s="47">
        <v>39111.0</v>
      </c>
      <c r="C2110" s="47">
        <v>5.0</v>
      </c>
      <c r="D2110" s="47" t="s">
        <v>4044</v>
      </c>
      <c r="E2110" s="47" t="str">
        <f t="shared" si="1"/>
        <v>5A</v>
      </c>
      <c r="F2110" s="47" t="s">
        <v>4054</v>
      </c>
      <c r="G2110" s="47" t="s">
        <v>152</v>
      </c>
      <c r="H2110" s="48">
        <f>IF(NOT(ISBLANK(vlookup(B2110,Pop_Census_2023!$A$2:$E$3220,4,FALSE))),vlookup(B2110,Pop_Census_2023!$A$2:$E$3220,4,FALSE), vlookup(B2110,Pop_Census_2023!$A$2:$E$3220,5,FALSE))</f>
        <v>13153</v>
      </c>
    </row>
    <row r="2111">
      <c r="A2111" s="47" t="s">
        <v>3297</v>
      </c>
      <c r="B2111" s="47">
        <v>39113.0</v>
      </c>
      <c r="C2111" s="47">
        <v>5.0</v>
      </c>
      <c r="D2111" s="47" t="s">
        <v>4044</v>
      </c>
      <c r="E2111" s="47" t="str">
        <f t="shared" si="1"/>
        <v>5A</v>
      </c>
      <c r="F2111" s="47" t="s">
        <v>4054</v>
      </c>
      <c r="G2111" s="47" t="s">
        <v>153</v>
      </c>
      <c r="H2111" s="48">
        <f>IF(NOT(ISBLANK(vlookup(B2111,Pop_Census_2023!$A$2:$E$3220,4,FALSE))),vlookup(B2111,Pop_Census_2023!$A$2:$E$3220,4,FALSE), vlookup(B2111,Pop_Census_2023!$A$2:$E$3220,5,FALSE))</f>
        <v>533796</v>
      </c>
    </row>
    <row r="2112">
      <c r="A2112" s="47" t="s">
        <v>3297</v>
      </c>
      <c r="B2112" s="47">
        <v>39115.0</v>
      </c>
      <c r="C2112" s="47">
        <v>5.0</v>
      </c>
      <c r="D2112" s="47" t="s">
        <v>4044</v>
      </c>
      <c r="E2112" s="47" t="str">
        <f t="shared" si="1"/>
        <v>5A</v>
      </c>
      <c r="F2112" s="47" t="s">
        <v>4054</v>
      </c>
      <c r="G2112" s="47" t="s">
        <v>154</v>
      </c>
      <c r="H2112" s="48">
        <f>IF(NOT(ISBLANK(vlookup(B2112,Pop_Census_2023!$A$2:$E$3220,4,FALSE))),vlookup(B2112,Pop_Census_2023!$A$2:$E$3220,4,FALSE), vlookup(B2112,Pop_Census_2023!$A$2:$E$3220,5,FALSE))</f>
        <v>13646</v>
      </c>
    </row>
    <row r="2113">
      <c r="A2113" s="47" t="s">
        <v>3297</v>
      </c>
      <c r="B2113" s="47">
        <v>39117.0</v>
      </c>
      <c r="C2113" s="47">
        <v>5.0</v>
      </c>
      <c r="D2113" s="47" t="s">
        <v>4044</v>
      </c>
      <c r="E2113" s="47" t="str">
        <f t="shared" si="1"/>
        <v>5A</v>
      </c>
      <c r="F2113" s="47" t="s">
        <v>4054</v>
      </c>
      <c r="G2113" s="47" t="s">
        <v>1443</v>
      </c>
      <c r="H2113" s="48">
        <f>IF(NOT(ISBLANK(vlookup(B2113,Pop_Census_2023!$A$2:$E$3220,4,FALSE))),vlookup(B2113,Pop_Census_2023!$A$2:$E$3220,4,FALSE), vlookup(B2113,Pop_Census_2023!$A$2:$E$3220,5,FALSE))</f>
        <v>35595</v>
      </c>
    </row>
    <row r="2114">
      <c r="A2114" s="47" t="s">
        <v>3297</v>
      </c>
      <c r="B2114" s="47">
        <v>39119.0</v>
      </c>
      <c r="C2114" s="47">
        <v>5.0</v>
      </c>
      <c r="D2114" s="47" t="s">
        <v>4044</v>
      </c>
      <c r="E2114" s="47" t="str">
        <f t="shared" si="1"/>
        <v>5A</v>
      </c>
      <c r="F2114" s="47" t="s">
        <v>4054</v>
      </c>
      <c r="G2114" s="47" t="s">
        <v>1444</v>
      </c>
      <c r="H2114" s="48">
        <f>IF(NOT(ISBLANK(vlookup(B2114,Pop_Census_2023!$A$2:$E$3220,4,FALSE))),vlookup(B2114,Pop_Census_2023!$A$2:$E$3220,4,FALSE), vlookup(B2114,Pop_Census_2023!$A$2:$E$3220,5,FALSE))</f>
        <v>86305</v>
      </c>
    </row>
    <row r="2115">
      <c r="A2115" s="47" t="s">
        <v>3297</v>
      </c>
      <c r="B2115" s="47">
        <v>39121.0</v>
      </c>
      <c r="C2115" s="47">
        <v>5.0</v>
      </c>
      <c r="D2115" s="47" t="s">
        <v>4044</v>
      </c>
      <c r="E2115" s="47" t="str">
        <f t="shared" si="1"/>
        <v>5A</v>
      </c>
      <c r="F2115" s="47" t="s">
        <v>4054</v>
      </c>
      <c r="G2115" s="47" t="s">
        <v>682</v>
      </c>
      <c r="H2115" s="48">
        <f>IF(NOT(ISBLANK(vlookup(B2115,Pop_Census_2023!$A$2:$E$3220,4,FALSE))),vlookup(B2115,Pop_Census_2023!$A$2:$E$3220,4,FALSE), vlookup(B2115,Pop_Census_2023!$A$2:$E$3220,5,FALSE))</f>
        <v>14311</v>
      </c>
    </row>
    <row r="2116">
      <c r="A2116" s="47" t="s">
        <v>3297</v>
      </c>
      <c r="B2116" s="47">
        <v>39123.0</v>
      </c>
      <c r="C2116" s="47">
        <v>5.0</v>
      </c>
      <c r="D2116" s="47" t="s">
        <v>4044</v>
      </c>
      <c r="E2116" s="47" t="str">
        <f t="shared" si="1"/>
        <v>5A</v>
      </c>
      <c r="F2116" s="47" t="s">
        <v>4054</v>
      </c>
      <c r="G2116" s="47" t="s">
        <v>792</v>
      </c>
      <c r="H2116" s="48">
        <f>IF(NOT(ISBLANK(vlookup(B2116,Pop_Census_2023!$A$2:$E$3220,4,FALSE))),vlookup(B2116,Pop_Census_2023!$A$2:$E$3220,4,FALSE), vlookup(B2116,Pop_Census_2023!$A$2:$E$3220,5,FALSE))</f>
        <v>39803</v>
      </c>
    </row>
    <row r="2117">
      <c r="A2117" s="47" t="s">
        <v>3297</v>
      </c>
      <c r="B2117" s="47">
        <v>39125.0</v>
      </c>
      <c r="C2117" s="47">
        <v>5.0</v>
      </c>
      <c r="D2117" s="47" t="s">
        <v>4044</v>
      </c>
      <c r="E2117" s="47" t="str">
        <f t="shared" si="1"/>
        <v>5A</v>
      </c>
      <c r="F2117" s="47" t="s">
        <v>4054</v>
      </c>
      <c r="G2117" s="47" t="s">
        <v>534</v>
      </c>
      <c r="H2117" s="48">
        <f>IF(NOT(ISBLANK(vlookup(B2117,Pop_Census_2023!$A$2:$E$3220,4,FALSE))),vlookup(B2117,Pop_Census_2023!$A$2:$E$3220,4,FALSE), vlookup(B2117,Pop_Census_2023!$A$2:$E$3220,5,FALSE))</f>
        <v>18706</v>
      </c>
    </row>
    <row r="2118">
      <c r="A2118" s="47" t="s">
        <v>3297</v>
      </c>
      <c r="B2118" s="47">
        <v>39127.0</v>
      </c>
      <c r="C2118" s="47">
        <v>5.0</v>
      </c>
      <c r="D2118" s="47" t="s">
        <v>4044</v>
      </c>
      <c r="E2118" s="47" t="str">
        <f t="shared" si="1"/>
        <v>5A</v>
      </c>
      <c r="F2118" s="47" t="s">
        <v>4054</v>
      </c>
      <c r="G2118" s="47" t="s">
        <v>155</v>
      </c>
      <c r="H2118" s="48">
        <f>IF(NOT(ISBLANK(vlookup(B2118,Pop_Census_2023!$A$2:$E$3220,4,FALSE))),vlookup(B2118,Pop_Census_2023!$A$2:$E$3220,4,FALSE), vlookup(B2118,Pop_Census_2023!$A$2:$E$3220,5,FALSE))</f>
        <v>35551</v>
      </c>
    </row>
    <row r="2119">
      <c r="A2119" s="47" t="s">
        <v>3297</v>
      </c>
      <c r="B2119" s="47">
        <v>39129.0</v>
      </c>
      <c r="C2119" s="47">
        <v>5.0</v>
      </c>
      <c r="D2119" s="47" t="s">
        <v>4044</v>
      </c>
      <c r="E2119" s="47" t="str">
        <f t="shared" si="1"/>
        <v>5A</v>
      </c>
      <c r="F2119" s="47" t="s">
        <v>4054</v>
      </c>
      <c r="G2119" s="47" t="s">
        <v>1445</v>
      </c>
      <c r="H2119" s="48">
        <f>IF(NOT(ISBLANK(vlookup(B2119,Pop_Census_2023!$A$2:$E$3220,4,FALSE))),vlookup(B2119,Pop_Census_2023!$A$2:$E$3220,4,FALSE), vlookup(B2119,Pop_Census_2023!$A$2:$E$3220,5,FALSE))</f>
        <v>61086</v>
      </c>
    </row>
    <row r="2120">
      <c r="A2120" s="47" t="s">
        <v>3297</v>
      </c>
      <c r="B2120" s="47">
        <v>39131.0</v>
      </c>
      <c r="C2120" s="47">
        <v>4.0</v>
      </c>
      <c r="D2120" s="47" t="s">
        <v>4044</v>
      </c>
      <c r="E2120" s="47" t="str">
        <f t="shared" si="1"/>
        <v>4A</v>
      </c>
      <c r="F2120" s="47" t="s">
        <v>4046</v>
      </c>
      <c r="G2120" s="47" t="s">
        <v>157</v>
      </c>
      <c r="H2120" s="48">
        <f>IF(NOT(ISBLANK(vlookup(B2120,Pop_Census_2023!$A$2:$E$3220,4,FALSE))),vlookup(B2120,Pop_Census_2023!$A$2:$E$3220,4,FALSE), vlookup(B2120,Pop_Census_2023!$A$2:$E$3220,5,FALSE))</f>
        <v>27001</v>
      </c>
    </row>
    <row r="2121">
      <c r="A2121" s="47" t="s">
        <v>3297</v>
      </c>
      <c r="B2121" s="47">
        <v>39133.0</v>
      </c>
      <c r="C2121" s="47">
        <v>5.0</v>
      </c>
      <c r="D2121" s="47" t="s">
        <v>4044</v>
      </c>
      <c r="E2121" s="47" t="str">
        <f t="shared" si="1"/>
        <v>5A</v>
      </c>
      <c r="F2121" s="47" t="s">
        <v>4054</v>
      </c>
      <c r="G2121" s="47" t="s">
        <v>1446</v>
      </c>
      <c r="H2121" s="48">
        <f>IF(NOT(ISBLANK(vlookup(B2121,Pop_Census_2023!$A$2:$E$3220,4,FALSE))),vlookup(B2121,Pop_Census_2023!$A$2:$E$3220,4,FALSE), vlookup(B2121,Pop_Census_2023!$A$2:$E$3220,5,FALSE))</f>
        <v>162665</v>
      </c>
    </row>
    <row r="2122">
      <c r="A2122" s="47" t="s">
        <v>3297</v>
      </c>
      <c r="B2122" s="47">
        <v>39135.0</v>
      </c>
      <c r="C2122" s="47">
        <v>5.0</v>
      </c>
      <c r="D2122" s="47" t="s">
        <v>4044</v>
      </c>
      <c r="E2122" s="47" t="str">
        <f t="shared" si="1"/>
        <v>5A</v>
      </c>
      <c r="F2122" s="47" t="s">
        <v>4054</v>
      </c>
      <c r="G2122" s="47" t="s">
        <v>1447</v>
      </c>
      <c r="H2122" s="48">
        <f>IF(NOT(ISBLANK(vlookup(B2122,Pop_Census_2023!$A$2:$E$3220,4,FALSE))),vlookup(B2122,Pop_Census_2023!$A$2:$E$3220,4,FALSE), vlookup(B2122,Pop_Census_2023!$A$2:$E$3220,5,FALSE))</f>
        <v>40556</v>
      </c>
    </row>
    <row r="2123">
      <c r="A2123" s="47" t="s">
        <v>3297</v>
      </c>
      <c r="B2123" s="47">
        <v>39137.0</v>
      </c>
      <c r="C2123" s="47">
        <v>5.0</v>
      </c>
      <c r="D2123" s="47" t="s">
        <v>4044</v>
      </c>
      <c r="E2123" s="47" t="str">
        <f t="shared" si="1"/>
        <v>5A</v>
      </c>
      <c r="F2123" s="47" t="s">
        <v>4054</v>
      </c>
      <c r="G2123" s="47" t="s">
        <v>449</v>
      </c>
      <c r="H2123" s="48">
        <f>IF(NOT(ISBLANK(vlookup(B2123,Pop_Census_2023!$A$2:$E$3220,4,FALSE))),vlookup(B2123,Pop_Census_2023!$A$2:$E$3220,4,FALSE), vlookup(B2123,Pop_Census_2023!$A$2:$E$3220,5,FALSE))</f>
        <v>34199</v>
      </c>
    </row>
    <row r="2124">
      <c r="A2124" s="47" t="s">
        <v>3297</v>
      </c>
      <c r="B2124" s="47">
        <v>39139.0</v>
      </c>
      <c r="C2124" s="47">
        <v>5.0</v>
      </c>
      <c r="D2124" s="47" t="s">
        <v>4044</v>
      </c>
      <c r="E2124" s="47" t="str">
        <f t="shared" si="1"/>
        <v>5A</v>
      </c>
      <c r="F2124" s="47" t="s">
        <v>4054</v>
      </c>
      <c r="G2124" s="47" t="s">
        <v>649</v>
      </c>
      <c r="H2124" s="48">
        <f>IF(NOT(ISBLANK(vlookup(B2124,Pop_Census_2023!$A$2:$E$3220,4,FALSE))),vlookup(B2124,Pop_Census_2023!$A$2:$E$3220,4,FALSE), vlookup(B2124,Pop_Census_2023!$A$2:$E$3220,5,FALSE))</f>
        <v>125064</v>
      </c>
    </row>
    <row r="2125">
      <c r="A2125" s="47" t="s">
        <v>3297</v>
      </c>
      <c r="B2125" s="47">
        <v>39141.0</v>
      </c>
      <c r="C2125" s="47">
        <v>5.0</v>
      </c>
      <c r="D2125" s="47" t="s">
        <v>4044</v>
      </c>
      <c r="E2125" s="47" t="str">
        <f t="shared" si="1"/>
        <v>5A</v>
      </c>
      <c r="F2125" s="47" t="s">
        <v>4054</v>
      </c>
      <c r="G2125" s="47" t="s">
        <v>1448</v>
      </c>
      <c r="H2125" s="48">
        <f>IF(NOT(ISBLANK(vlookup(B2125,Pop_Census_2023!$A$2:$E$3220,4,FALSE))),vlookup(B2125,Pop_Census_2023!$A$2:$E$3220,4,FALSE), vlookup(B2125,Pop_Census_2023!$A$2:$E$3220,5,FALSE))</f>
        <v>76501</v>
      </c>
    </row>
    <row r="2126">
      <c r="A2126" s="47" t="s">
        <v>3297</v>
      </c>
      <c r="B2126" s="47">
        <v>39143.0</v>
      </c>
      <c r="C2126" s="47">
        <v>5.0</v>
      </c>
      <c r="D2126" s="47" t="s">
        <v>4044</v>
      </c>
      <c r="E2126" s="47" t="str">
        <f t="shared" si="1"/>
        <v>5A</v>
      </c>
      <c r="F2126" s="47" t="s">
        <v>4054</v>
      </c>
      <c r="G2126" s="47" t="s">
        <v>1449</v>
      </c>
      <c r="H2126" s="48">
        <f>IF(NOT(ISBLANK(vlookup(B2126,Pop_Census_2023!$A$2:$E$3220,4,FALSE))),vlookup(B2126,Pop_Census_2023!$A$2:$E$3220,4,FALSE), vlookup(B2126,Pop_Census_2023!$A$2:$E$3220,5,FALSE))</f>
        <v>58709</v>
      </c>
    </row>
    <row r="2127">
      <c r="A2127" s="47" t="s">
        <v>3297</v>
      </c>
      <c r="B2127" s="47">
        <v>39145.0</v>
      </c>
      <c r="C2127" s="47">
        <v>4.0</v>
      </c>
      <c r="D2127" s="47" t="s">
        <v>4044</v>
      </c>
      <c r="E2127" s="47" t="str">
        <f t="shared" si="1"/>
        <v>4A</v>
      </c>
      <c r="F2127" s="47" t="s">
        <v>4046</v>
      </c>
      <c r="G2127" s="47" t="s">
        <v>1450</v>
      </c>
      <c r="H2127" s="48">
        <f>IF(NOT(ISBLANK(vlookup(B2127,Pop_Census_2023!$A$2:$E$3220,4,FALSE))),vlookup(B2127,Pop_Census_2023!$A$2:$E$3220,4,FALSE), vlookup(B2127,Pop_Census_2023!$A$2:$E$3220,5,FALSE))</f>
        <v>71969</v>
      </c>
    </row>
    <row r="2128">
      <c r="A2128" s="47" t="s">
        <v>3297</v>
      </c>
      <c r="B2128" s="47">
        <v>39147.0</v>
      </c>
      <c r="C2128" s="47">
        <v>5.0</v>
      </c>
      <c r="D2128" s="47" t="s">
        <v>4044</v>
      </c>
      <c r="E2128" s="47" t="str">
        <f t="shared" si="1"/>
        <v>5A</v>
      </c>
      <c r="F2128" s="47" t="s">
        <v>4054</v>
      </c>
      <c r="G2128" s="47" t="s">
        <v>1318</v>
      </c>
      <c r="H2128" s="48">
        <f>IF(NOT(ISBLANK(vlookup(B2128,Pop_Census_2023!$A$2:$E$3220,4,FALSE))),vlookup(B2128,Pop_Census_2023!$A$2:$E$3220,4,FALSE), vlookup(B2128,Pop_Census_2023!$A$2:$E$3220,5,FALSE))</f>
        <v>54527</v>
      </c>
    </row>
    <row r="2129">
      <c r="A2129" s="47" t="s">
        <v>3297</v>
      </c>
      <c r="B2129" s="47">
        <v>39149.0</v>
      </c>
      <c r="C2129" s="47">
        <v>5.0</v>
      </c>
      <c r="D2129" s="47" t="s">
        <v>4044</v>
      </c>
      <c r="E2129" s="47" t="str">
        <f t="shared" si="1"/>
        <v>5A</v>
      </c>
      <c r="F2129" s="47" t="s">
        <v>4054</v>
      </c>
      <c r="G2129" s="47" t="s">
        <v>161</v>
      </c>
      <c r="H2129" s="48">
        <f>IF(NOT(ISBLANK(vlookup(B2129,Pop_Census_2023!$A$2:$E$3220,4,FALSE))),vlookup(B2129,Pop_Census_2023!$A$2:$E$3220,4,FALSE), vlookup(B2129,Pop_Census_2023!$A$2:$E$3220,5,FALSE))</f>
        <v>47765</v>
      </c>
    </row>
    <row r="2130">
      <c r="A2130" s="47" t="s">
        <v>3297</v>
      </c>
      <c r="B2130" s="47">
        <v>39151.0</v>
      </c>
      <c r="C2130" s="47">
        <v>5.0</v>
      </c>
      <c r="D2130" s="47" t="s">
        <v>4044</v>
      </c>
      <c r="E2130" s="47" t="str">
        <f t="shared" si="1"/>
        <v>5A</v>
      </c>
      <c r="F2130" s="47" t="s">
        <v>4054</v>
      </c>
      <c r="G2130" s="47" t="s">
        <v>653</v>
      </c>
      <c r="H2130" s="48">
        <f>IF(NOT(ISBLANK(vlookup(B2130,Pop_Census_2023!$A$2:$E$3220,4,FALSE))),vlookup(B2130,Pop_Census_2023!$A$2:$E$3220,4,FALSE), vlookup(B2130,Pop_Census_2023!$A$2:$E$3220,5,FALSE))</f>
        <v>372716</v>
      </c>
    </row>
    <row r="2131">
      <c r="A2131" s="47" t="s">
        <v>3297</v>
      </c>
      <c r="B2131" s="47">
        <v>39153.0</v>
      </c>
      <c r="C2131" s="47">
        <v>5.0</v>
      </c>
      <c r="D2131" s="47" t="s">
        <v>4044</v>
      </c>
      <c r="E2131" s="47" t="str">
        <f t="shared" si="1"/>
        <v>5A</v>
      </c>
      <c r="F2131" s="47" t="s">
        <v>4054</v>
      </c>
      <c r="G2131" s="47" t="s">
        <v>391</v>
      </c>
      <c r="H2131" s="48">
        <f>IF(NOT(ISBLANK(vlookup(B2131,Pop_Census_2023!$A$2:$E$3220,4,FALSE))),vlookup(B2131,Pop_Census_2023!$A$2:$E$3220,4,FALSE), vlookup(B2131,Pop_Census_2023!$A$2:$E$3220,5,FALSE))</f>
        <v>535733</v>
      </c>
    </row>
    <row r="2132">
      <c r="A2132" s="47" t="s">
        <v>3297</v>
      </c>
      <c r="B2132" s="47">
        <v>39155.0</v>
      </c>
      <c r="C2132" s="47">
        <v>5.0</v>
      </c>
      <c r="D2132" s="47" t="s">
        <v>4044</v>
      </c>
      <c r="E2132" s="47" t="str">
        <f t="shared" si="1"/>
        <v>5A</v>
      </c>
      <c r="F2132" s="47" t="s">
        <v>4054</v>
      </c>
      <c r="G2132" s="47" t="s">
        <v>1451</v>
      </c>
      <c r="H2132" s="48">
        <f>IF(NOT(ISBLANK(vlookup(B2132,Pop_Census_2023!$A$2:$E$3220,4,FALSE))),vlookup(B2132,Pop_Census_2023!$A$2:$E$3220,4,FALSE), vlookup(B2132,Pop_Census_2023!$A$2:$E$3220,5,FALSE))</f>
        <v>200373</v>
      </c>
    </row>
    <row r="2133">
      <c r="A2133" s="47" t="s">
        <v>3297</v>
      </c>
      <c r="B2133" s="47">
        <v>39157.0</v>
      </c>
      <c r="C2133" s="47">
        <v>5.0</v>
      </c>
      <c r="D2133" s="47" t="s">
        <v>4044</v>
      </c>
      <c r="E2133" s="47" t="str">
        <f t="shared" si="1"/>
        <v>5A</v>
      </c>
      <c r="F2133" s="47" t="s">
        <v>4054</v>
      </c>
      <c r="G2133" s="47" t="s">
        <v>1452</v>
      </c>
      <c r="H2133" s="48">
        <f>IF(NOT(ISBLANK(vlookup(B2133,Pop_Census_2023!$A$2:$E$3220,4,FALSE))),vlookup(B2133,Pop_Census_2023!$A$2:$E$3220,4,FALSE), vlookup(B2133,Pop_Census_2023!$A$2:$E$3220,5,FALSE))</f>
        <v>91874</v>
      </c>
    </row>
    <row r="2134">
      <c r="A2134" s="47" t="s">
        <v>3297</v>
      </c>
      <c r="B2134" s="47">
        <v>39159.0</v>
      </c>
      <c r="C2134" s="47">
        <v>5.0</v>
      </c>
      <c r="D2134" s="47" t="s">
        <v>4044</v>
      </c>
      <c r="E2134" s="47" t="str">
        <f t="shared" si="1"/>
        <v>5A</v>
      </c>
      <c r="F2134" s="47" t="s">
        <v>4054</v>
      </c>
      <c r="G2134" s="47" t="s">
        <v>273</v>
      </c>
      <c r="H2134" s="48">
        <f>IF(NOT(ISBLANK(vlookup(B2134,Pop_Census_2023!$A$2:$E$3220,4,FALSE))),vlookup(B2134,Pop_Census_2023!$A$2:$E$3220,4,FALSE), vlookup(B2134,Pop_Census_2023!$A$2:$E$3220,5,FALSE))</f>
        <v>69637</v>
      </c>
    </row>
    <row r="2135">
      <c r="A2135" s="47" t="s">
        <v>3297</v>
      </c>
      <c r="B2135" s="47">
        <v>39161.0</v>
      </c>
      <c r="C2135" s="47">
        <v>5.0</v>
      </c>
      <c r="D2135" s="47" t="s">
        <v>4044</v>
      </c>
      <c r="E2135" s="47" t="str">
        <f t="shared" si="1"/>
        <v>5A</v>
      </c>
      <c r="F2135" s="47" t="s">
        <v>4054</v>
      </c>
      <c r="G2135" s="47" t="s">
        <v>1453</v>
      </c>
      <c r="H2135" s="48">
        <f>IF(NOT(ISBLANK(vlookup(B2135,Pop_Census_2023!$A$2:$E$3220,4,FALSE))),vlookup(B2135,Pop_Census_2023!$A$2:$E$3220,4,FALSE), vlookup(B2135,Pop_Census_2023!$A$2:$E$3220,5,FALSE))</f>
        <v>28704</v>
      </c>
    </row>
    <row r="2136">
      <c r="A2136" s="47" t="s">
        <v>3297</v>
      </c>
      <c r="B2136" s="47">
        <v>39163.0</v>
      </c>
      <c r="C2136" s="47">
        <v>5.0</v>
      </c>
      <c r="D2136" s="47" t="s">
        <v>4044</v>
      </c>
      <c r="E2136" s="47" t="str">
        <f t="shared" si="1"/>
        <v>5A</v>
      </c>
      <c r="F2136" s="47" t="s">
        <v>4054</v>
      </c>
      <c r="G2136" s="47" t="s">
        <v>1454</v>
      </c>
      <c r="H2136" s="48">
        <f>IF(NOT(ISBLANK(vlookup(B2136,Pop_Census_2023!$A$2:$E$3220,4,FALSE))),vlookup(B2136,Pop_Census_2023!$A$2:$E$3220,4,FALSE), vlookup(B2136,Pop_Census_2023!$A$2:$E$3220,5,FALSE))</f>
        <v>12474</v>
      </c>
    </row>
    <row r="2137">
      <c r="A2137" s="47" t="s">
        <v>3297</v>
      </c>
      <c r="B2137" s="47">
        <v>39165.0</v>
      </c>
      <c r="C2137" s="47">
        <v>5.0</v>
      </c>
      <c r="D2137" s="47" t="s">
        <v>4044</v>
      </c>
      <c r="E2137" s="47" t="str">
        <f t="shared" si="1"/>
        <v>5A</v>
      </c>
      <c r="F2137" s="47" t="s">
        <v>4054</v>
      </c>
      <c r="G2137" s="47" t="s">
        <v>561</v>
      </c>
      <c r="H2137" s="48">
        <f>IF(NOT(ISBLANK(vlookup(B2137,Pop_Census_2023!$A$2:$E$3220,4,FALSE))),vlookup(B2137,Pop_Census_2023!$A$2:$E$3220,4,FALSE), vlookup(B2137,Pop_Census_2023!$A$2:$E$3220,5,FALSE))</f>
        <v>252148</v>
      </c>
    </row>
    <row r="2138">
      <c r="A2138" s="47" t="s">
        <v>3297</v>
      </c>
      <c r="B2138" s="47">
        <v>39167.0</v>
      </c>
      <c r="C2138" s="47">
        <v>4.0</v>
      </c>
      <c r="D2138" s="47" t="s">
        <v>4044</v>
      </c>
      <c r="E2138" s="47" t="str">
        <f t="shared" si="1"/>
        <v>4A</v>
      </c>
      <c r="F2138" s="47" t="s">
        <v>4046</v>
      </c>
      <c r="G2138" s="47" t="s">
        <v>167</v>
      </c>
      <c r="H2138" s="48">
        <f>IF(NOT(ISBLANK(vlookup(B2138,Pop_Census_2023!$A$2:$E$3220,4,FALSE))),vlookup(B2138,Pop_Census_2023!$A$2:$E$3220,4,FALSE), vlookup(B2138,Pop_Census_2023!$A$2:$E$3220,5,FALSE))</f>
        <v>58577</v>
      </c>
    </row>
    <row r="2139">
      <c r="A2139" s="47" t="s">
        <v>3297</v>
      </c>
      <c r="B2139" s="47">
        <v>39169.0</v>
      </c>
      <c r="C2139" s="47">
        <v>5.0</v>
      </c>
      <c r="D2139" s="47" t="s">
        <v>4044</v>
      </c>
      <c r="E2139" s="47" t="str">
        <f t="shared" si="1"/>
        <v>5A</v>
      </c>
      <c r="F2139" s="47" t="s">
        <v>4054</v>
      </c>
      <c r="G2139" s="47" t="s">
        <v>562</v>
      </c>
      <c r="H2139" s="48">
        <f>IF(NOT(ISBLANK(vlookup(B2139,Pop_Census_2023!$A$2:$E$3220,4,FALSE))),vlookup(B2139,Pop_Census_2023!$A$2:$E$3220,4,FALSE), vlookup(B2139,Pop_Census_2023!$A$2:$E$3220,5,FALSE))</f>
        <v>116510</v>
      </c>
    </row>
    <row r="2140">
      <c r="A2140" s="47" t="s">
        <v>3297</v>
      </c>
      <c r="B2140" s="47">
        <v>39171.0</v>
      </c>
      <c r="C2140" s="47">
        <v>5.0</v>
      </c>
      <c r="D2140" s="47" t="s">
        <v>4044</v>
      </c>
      <c r="E2140" s="47" t="str">
        <f t="shared" si="1"/>
        <v>5A</v>
      </c>
      <c r="F2140" s="47" t="s">
        <v>4054</v>
      </c>
      <c r="G2140" s="47" t="s">
        <v>1421</v>
      </c>
      <c r="H2140" s="48">
        <f>IF(NOT(ISBLANK(vlookup(B2140,Pop_Census_2023!$A$2:$E$3220,4,FALSE))),vlookup(B2140,Pop_Census_2023!$A$2:$E$3220,4,FALSE), vlookup(B2140,Pop_Census_2023!$A$2:$E$3220,5,FALSE))</f>
        <v>36591</v>
      </c>
    </row>
    <row r="2141">
      <c r="A2141" s="47" t="s">
        <v>3297</v>
      </c>
      <c r="B2141" s="47">
        <v>39173.0</v>
      </c>
      <c r="C2141" s="47">
        <v>5.0</v>
      </c>
      <c r="D2141" s="47" t="s">
        <v>4044</v>
      </c>
      <c r="E2141" s="47" t="str">
        <f t="shared" si="1"/>
        <v>5A</v>
      </c>
      <c r="F2141" s="47" t="s">
        <v>4054</v>
      </c>
      <c r="G2141" s="47" t="s">
        <v>1455</v>
      </c>
      <c r="H2141" s="48">
        <f>IF(NOT(ISBLANK(vlookup(B2141,Pop_Census_2023!$A$2:$E$3220,4,FALSE))),vlookup(B2141,Pop_Census_2023!$A$2:$E$3220,4,FALSE), vlookup(B2141,Pop_Census_2023!$A$2:$E$3220,5,FALSE))</f>
        <v>132650</v>
      </c>
    </row>
    <row r="2142">
      <c r="A2142" s="47" t="s">
        <v>3297</v>
      </c>
      <c r="B2142" s="47">
        <v>39175.0</v>
      </c>
      <c r="C2142" s="47">
        <v>5.0</v>
      </c>
      <c r="D2142" s="47" t="s">
        <v>4044</v>
      </c>
      <c r="E2142" s="47" t="str">
        <f t="shared" si="1"/>
        <v>5A</v>
      </c>
      <c r="F2142" s="47" t="s">
        <v>4054</v>
      </c>
      <c r="G2142" s="47" t="s">
        <v>1456</v>
      </c>
      <c r="H2142" s="48">
        <f>IF(NOT(ISBLANK(vlookup(B2142,Pop_Census_2023!$A$2:$E$3220,4,FALSE))),vlookup(B2142,Pop_Census_2023!$A$2:$E$3220,4,FALSE), vlookup(B2142,Pop_Census_2023!$A$2:$E$3220,5,FALSE))</f>
        <v>21457</v>
      </c>
    </row>
    <row r="2143">
      <c r="A2143" s="47" t="s">
        <v>3333</v>
      </c>
      <c r="B2143" s="47">
        <v>40001.0</v>
      </c>
      <c r="C2143" s="47">
        <v>3.0</v>
      </c>
      <c r="D2143" s="47" t="s">
        <v>4044</v>
      </c>
      <c r="E2143" s="47" t="str">
        <f t="shared" si="1"/>
        <v>3A</v>
      </c>
      <c r="F2143" s="47" t="s">
        <v>4046</v>
      </c>
      <c r="G2143" s="47" t="s">
        <v>704</v>
      </c>
      <c r="H2143" s="48">
        <f>IF(NOT(ISBLANK(vlookup(B2143,Pop_Census_2023!$A$2:$E$3220,4,FALSE))),vlookup(B2143,Pop_Census_2023!$A$2:$E$3220,4,FALSE), vlookup(B2143,Pop_Census_2023!$A$2:$E$3220,5,FALSE))</f>
        <v>19627</v>
      </c>
    </row>
    <row r="2144">
      <c r="A2144" s="47" t="s">
        <v>3333</v>
      </c>
      <c r="B2144" s="47">
        <v>40003.0</v>
      </c>
      <c r="C2144" s="47">
        <v>3.0</v>
      </c>
      <c r="D2144" s="47" t="s">
        <v>4044</v>
      </c>
      <c r="E2144" s="47" t="str">
        <f t="shared" si="1"/>
        <v>3A</v>
      </c>
      <c r="F2144" s="47" t="s">
        <v>4046</v>
      </c>
      <c r="G2144" s="47" t="s">
        <v>1458</v>
      </c>
      <c r="H2144" s="48">
        <f>IF(NOT(ISBLANK(vlookup(B2144,Pop_Census_2023!$A$2:$E$3220,4,FALSE))),vlookup(B2144,Pop_Census_2023!$A$2:$E$3220,4,FALSE), vlookup(B2144,Pop_Census_2023!$A$2:$E$3220,5,FALSE))</f>
        <v>5673</v>
      </c>
    </row>
    <row r="2145">
      <c r="A2145" s="47" t="s">
        <v>3333</v>
      </c>
      <c r="B2145" s="47">
        <v>40005.0</v>
      </c>
      <c r="C2145" s="47">
        <v>3.0</v>
      </c>
      <c r="D2145" s="47" t="s">
        <v>4044</v>
      </c>
      <c r="E2145" s="47" t="str">
        <f t="shared" si="1"/>
        <v>3A</v>
      </c>
      <c r="F2145" s="47" t="s">
        <v>4046</v>
      </c>
      <c r="G2145" s="47" t="s">
        <v>1459</v>
      </c>
      <c r="H2145" s="48">
        <f>IF(NOT(ISBLANK(vlookup(B2145,Pop_Census_2023!$A$2:$E$3220,4,FALSE))),vlookup(B2145,Pop_Census_2023!$A$2:$E$3220,4,FALSE), vlookup(B2145,Pop_Census_2023!$A$2:$E$3220,5,FALSE))</f>
        <v>14525</v>
      </c>
    </row>
    <row r="2146">
      <c r="A2146" s="47" t="s">
        <v>3333</v>
      </c>
      <c r="B2146" s="47">
        <v>40007.0</v>
      </c>
      <c r="C2146" s="47">
        <v>4.0</v>
      </c>
      <c r="D2146" s="47" t="s">
        <v>4053</v>
      </c>
      <c r="E2146" s="47" t="str">
        <f t="shared" si="1"/>
        <v>4B</v>
      </c>
      <c r="F2146" s="47" t="s">
        <v>4056</v>
      </c>
      <c r="G2146" s="47" t="s">
        <v>1460</v>
      </c>
      <c r="H2146" s="48">
        <f>IF(NOT(ISBLANK(vlookup(B2146,Pop_Census_2023!$A$2:$E$3220,4,FALSE))),vlookup(B2146,Pop_Census_2023!$A$2:$E$3220,4,FALSE), vlookup(B2146,Pop_Census_2023!$A$2:$E$3220,5,FALSE))</f>
        <v>5018</v>
      </c>
    </row>
    <row r="2147">
      <c r="A2147" s="47" t="s">
        <v>3333</v>
      </c>
      <c r="B2147" s="47">
        <v>40009.0</v>
      </c>
      <c r="C2147" s="47">
        <v>3.0</v>
      </c>
      <c r="D2147" s="47" t="s">
        <v>4044</v>
      </c>
      <c r="E2147" s="47" t="str">
        <f t="shared" si="1"/>
        <v>3A</v>
      </c>
      <c r="F2147" s="47" t="s">
        <v>4046</v>
      </c>
      <c r="G2147" s="47" t="s">
        <v>1461</v>
      </c>
      <c r="H2147" s="48">
        <f>IF(NOT(ISBLANK(vlookup(B2147,Pop_Census_2023!$A$2:$E$3220,4,FALSE))),vlookup(B2147,Pop_Census_2023!$A$2:$E$3220,4,FALSE), vlookup(B2147,Pop_Census_2023!$A$2:$E$3220,5,FALSE))</f>
        <v>22042</v>
      </c>
    </row>
    <row r="2148">
      <c r="A2148" s="47" t="s">
        <v>3333</v>
      </c>
      <c r="B2148" s="47">
        <v>40011.0</v>
      </c>
      <c r="C2148" s="47">
        <v>3.0</v>
      </c>
      <c r="D2148" s="47" t="s">
        <v>4044</v>
      </c>
      <c r="E2148" s="47" t="str">
        <f t="shared" si="1"/>
        <v>3A</v>
      </c>
      <c r="F2148" s="47" t="s">
        <v>4046</v>
      </c>
      <c r="G2148" s="47" t="s">
        <v>581</v>
      </c>
      <c r="H2148" s="48">
        <f>IF(NOT(ISBLANK(vlookup(B2148,Pop_Census_2023!$A$2:$E$3220,4,FALSE))),vlookup(B2148,Pop_Census_2023!$A$2:$E$3220,4,FALSE), vlookup(B2148,Pop_Census_2023!$A$2:$E$3220,5,FALSE))</f>
        <v>8539</v>
      </c>
    </row>
    <row r="2149">
      <c r="A2149" s="47" t="s">
        <v>3333</v>
      </c>
      <c r="B2149" s="47">
        <v>40013.0</v>
      </c>
      <c r="C2149" s="47">
        <v>3.0</v>
      </c>
      <c r="D2149" s="47" t="s">
        <v>4044</v>
      </c>
      <c r="E2149" s="47" t="str">
        <f t="shared" si="1"/>
        <v>3A</v>
      </c>
      <c r="F2149" s="47" t="s">
        <v>4046</v>
      </c>
      <c r="G2149" s="47" t="s">
        <v>472</v>
      </c>
      <c r="H2149" s="48">
        <f>IF(NOT(ISBLANK(vlookup(B2149,Pop_Census_2023!$A$2:$E$3220,4,FALSE))),vlookup(B2149,Pop_Census_2023!$A$2:$E$3220,4,FALSE), vlookup(B2149,Pop_Census_2023!$A$2:$E$3220,5,FALSE))</f>
        <v>48967</v>
      </c>
    </row>
    <row r="2150">
      <c r="A2150" s="47" t="s">
        <v>3333</v>
      </c>
      <c r="B2150" s="47">
        <v>40015.0</v>
      </c>
      <c r="C2150" s="47">
        <v>3.0</v>
      </c>
      <c r="D2150" s="47" t="s">
        <v>4044</v>
      </c>
      <c r="E2150" s="47" t="str">
        <f t="shared" si="1"/>
        <v>3A</v>
      </c>
      <c r="F2150" s="47" t="s">
        <v>4046</v>
      </c>
      <c r="G2150" s="47" t="s">
        <v>882</v>
      </c>
      <c r="H2150" s="48">
        <f>IF(NOT(ISBLANK(vlookup(B2150,Pop_Census_2023!$A$2:$E$3220,4,FALSE))),vlookup(B2150,Pop_Census_2023!$A$2:$E$3220,4,FALSE), vlookup(B2150,Pop_Census_2023!$A$2:$E$3220,5,FALSE))</f>
        <v>26214</v>
      </c>
    </row>
    <row r="2151">
      <c r="A2151" s="47" t="s">
        <v>3333</v>
      </c>
      <c r="B2151" s="47">
        <v>40017.0</v>
      </c>
      <c r="C2151" s="47">
        <v>3.0</v>
      </c>
      <c r="D2151" s="47" t="s">
        <v>4044</v>
      </c>
      <c r="E2151" s="47" t="str">
        <f t="shared" si="1"/>
        <v>3A</v>
      </c>
      <c r="F2151" s="47" t="s">
        <v>4046</v>
      </c>
      <c r="G2151" s="47" t="s">
        <v>1462</v>
      </c>
      <c r="H2151" s="48">
        <f>IF(NOT(ISBLANK(vlookup(B2151,Pop_Census_2023!$A$2:$E$3220,4,FALSE))),vlookup(B2151,Pop_Census_2023!$A$2:$E$3220,4,FALSE), vlookup(B2151,Pop_Census_2023!$A$2:$E$3220,5,FALSE))</f>
        <v>175829</v>
      </c>
    </row>
    <row r="2152">
      <c r="A2152" s="47" t="s">
        <v>3333</v>
      </c>
      <c r="B2152" s="47">
        <v>40019.0</v>
      </c>
      <c r="C2152" s="47">
        <v>3.0</v>
      </c>
      <c r="D2152" s="47" t="s">
        <v>4044</v>
      </c>
      <c r="E2152" s="47" t="str">
        <f t="shared" si="1"/>
        <v>3A</v>
      </c>
      <c r="F2152" s="47" t="s">
        <v>4046</v>
      </c>
      <c r="G2152" s="47" t="s">
        <v>833</v>
      </c>
      <c r="H2152" s="48">
        <f>IF(NOT(ISBLANK(vlookup(B2152,Pop_Census_2023!$A$2:$E$3220,4,FALSE))),vlookup(B2152,Pop_Census_2023!$A$2:$E$3220,4,FALSE), vlookup(B2152,Pop_Census_2023!$A$2:$E$3220,5,FALSE))</f>
        <v>48596</v>
      </c>
    </row>
    <row r="2153">
      <c r="A2153" s="47" t="s">
        <v>3333</v>
      </c>
      <c r="B2153" s="47">
        <v>40021.0</v>
      </c>
      <c r="C2153" s="47">
        <v>3.0</v>
      </c>
      <c r="D2153" s="47" t="s">
        <v>4044</v>
      </c>
      <c r="E2153" s="47" t="str">
        <f t="shared" si="1"/>
        <v>3A</v>
      </c>
      <c r="F2153" s="47" t="s">
        <v>4046</v>
      </c>
      <c r="G2153" s="47" t="s">
        <v>112</v>
      </c>
      <c r="H2153" s="48">
        <f>IF(NOT(ISBLANK(vlookup(B2153,Pop_Census_2023!$A$2:$E$3220,4,FALSE))),vlookup(B2153,Pop_Census_2023!$A$2:$E$3220,4,FALSE), vlookup(B2153,Pop_Census_2023!$A$2:$E$3220,5,FALSE))</f>
        <v>48185</v>
      </c>
    </row>
    <row r="2154">
      <c r="A2154" s="47" t="s">
        <v>3333</v>
      </c>
      <c r="B2154" s="47">
        <v>40023.0</v>
      </c>
      <c r="C2154" s="47">
        <v>3.0</v>
      </c>
      <c r="D2154" s="47" t="s">
        <v>4044</v>
      </c>
      <c r="E2154" s="47" t="str">
        <f t="shared" si="1"/>
        <v>3A</v>
      </c>
      <c r="F2154" s="47" t="s">
        <v>4046</v>
      </c>
      <c r="G2154" s="47" t="s">
        <v>114</v>
      </c>
      <c r="H2154" s="48">
        <f>IF(NOT(ISBLANK(vlookup(B2154,Pop_Census_2023!$A$2:$E$3220,4,FALSE))),vlookup(B2154,Pop_Census_2023!$A$2:$E$3220,4,FALSE), vlookup(B2154,Pop_Census_2023!$A$2:$E$3220,5,FALSE))</f>
        <v>14276</v>
      </c>
    </row>
    <row r="2155">
      <c r="A2155" s="47" t="s">
        <v>3333</v>
      </c>
      <c r="B2155" s="47">
        <v>40025.0</v>
      </c>
      <c r="C2155" s="47">
        <v>4.0</v>
      </c>
      <c r="D2155" s="47" t="s">
        <v>4053</v>
      </c>
      <c r="E2155" s="47" t="str">
        <f t="shared" si="1"/>
        <v>4B</v>
      </c>
      <c r="F2155" s="47" t="s">
        <v>4056</v>
      </c>
      <c r="G2155" s="47" t="s">
        <v>1463</v>
      </c>
      <c r="H2155" s="48">
        <f>IF(NOT(ISBLANK(vlookup(B2155,Pop_Census_2023!$A$2:$E$3220,4,FALSE))),vlookup(B2155,Pop_Census_2023!$A$2:$E$3220,4,FALSE), vlookup(B2155,Pop_Census_2023!$A$2:$E$3220,5,FALSE))</f>
        <v>2191</v>
      </c>
    </row>
    <row r="2156">
      <c r="A2156" s="47" t="s">
        <v>3333</v>
      </c>
      <c r="B2156" s="47">
        <v>40027.0</v>
      </c>
      <c r="C2156" s="47">
        <v>3.0</v>
      </c>
      <c r="D2156" s="47" t="s">
        <v>4044</v>
      </c>
      <c r="E2156" s="47" t="str">
        <f t="shared" si="1"/>
        <v>3A</v>
      </c>
      <c r="F2156" s="47" t="s">
        <v>4046</v>
      </c>
      <c r="G2156" s="47" t="s">
        <v>230</v>
      </c>
      <c r="H2156" s="48">
        <f>IF(NOT(ISBLANK(vlookup(B2156,Pop_Census_2023!$A$2:$E$3220,4,FALSE))),vlookup(B2156,Pop_Census_2023!$A$2:$E$3220,4,FALSE), vlookup(B2156,Pop_Census_2023!$A$2:$E$3220,5,FALSE))</f>
        <v>301193</v>
      </c>
    </row>
    <row r="2157">
      <c r="A2157" s="47" t="s">
        <v>3333</v>
      </c>
      <c r="B2157" s="47">
        <v>40029.0</v>
      </c>
      <c r="C2157" s="47">
        <v>3.0</v>
      </c>
      <c r="D2157" s="47" t="s">
        <v>4044</v>
      </c>
      <c r="E2157" s="47" t="str">
        <f t="shared" si="1"/>
        <v>3A</v>
      </c>
      <c r="F2157" s="47" t="s">
        <v>4046</v>
      </c>
      <c r="G2157" s="47" t="s">
        <v>1464</v>
      </c>
      <c r="H2157" s="48">
        <f>IF(NOT(ISBLANK(vlookup(B2157,Pop_Census_2023!$A$2:$E$3220,4,FALSE))),vlookup(B2157,Pop_Census_2023!$A$2:$E$3220,4,FALSE), vlookup(B2157,Pop_Census_2023!$A$2:$E$3220,5,FALSE))</f>
        <v>5266</v>
      </c>
    </row>
    <row r="2158">
      <c r="A2158" s="47" t="s">
        <v>3333</v>
      </c>
      <c r="B2158" s="47">
        <v>40031.0</v>
      </c>
      <c r="C2158" s="47">
        <v>3.0</v>
      </c>
      <c r="D2158" s="47" t="s">
        <v>4044</v>
      </c>
      <c r="E2158" s="47" t="str">
        <f t="shared" si="1"/>
        <v>3A</v>
      </c>
      <c r="F2158" s="47" t="s">
        <v>4046</v>
      </c>
      <c r="G2158" s="47" t="s">
        <v>760</v>
      </c>
      <c r="H2158" s="48">
        <f>IF(NOT(ISBLANK(vlookup(B2158,Pop_Census_2023!$A$2:$E$3220,4,FALSE))),vlookup(B2158,Pop_Census_2023!$A$2:$E$3220,4,FALSE), vlookup(B2158,Pop_Census_2023!$A$2:$E$3220,5,FALSE))</f>
        <v>121574</v>
      </c>
    </row>
    <row r="2159">
      <c r="A2159" s="47" t="s">
        <v>3333</v>
      </c>
      <c r="B2159" s="47">
        <v>40033.0</v>
      </c>
      <c r="C2159" s="47">
        <v>3.0</v>
      </c>
      <c r="D2159" s="47" t="s">
        <v>4044</v>
      </c>
      <c r="E2159" s="47" t="str">
        <f t="shared" si="1"/>
        <v>3A</v>
      </c>
      <c r="F2159" s="47" t="s">
        <v>4046</v>
      </c>
      <c r="G2159" s="47" t="s">
        <v>1465</v>
      </c>
      <c r="H2159" s="48">
        <f>IF(NOT(ISBLANK(vlookup(B2159,Pop_Census_2023!$A$2:$E$3220,4,FALSE))),vlookup(B2159,Pop_Census_2023!$A$2:$E$3220,4,FALSE), vlookup(B2159,Pop_Census_2023!$A$2:$E$3220,5,FALSE))</f>
        <v>5427</v>
      </c>
    </row>
    <row r="2160">
      <c r="A2160" s="47" t="s">
        <v>3333</v>
      </c>
      <c r="B2160" s="47">
        <v>40035.0</v>
      </c>
      <c r="C2160" s="47">
        <v>3.0</v>
      </c>
      <c r="D2160" s="47" t="s">
        <v>4044</v>
      </c>
      <c r="E2160" s="47" t="str">
        <f t="shared" si="1"/>
        <v>3A</v>
      </c>
      <c r="F2160" s="47" t="s">
        <v>4046</v>
      </c>
      <c r="G2160" s="47" t="s">
        <v>1466</v>
      </c>
      <c r="H2160" s="48">
        <f>IF(NOT(ISBLANK(vlookup(B2160,Pop_Census_2023!$A$2:$E$3220,4,FALSE))),vlookup(B2160,Pop_Census_2023!$A$2:$E$3220,4,FALSE), vlookup(B2160,Pop_Census_2023!$A$2:$E$3220,5,FALSE))</f>
        <v>14494</v>
      </c>
    </row>
    <row r="2161">
      <c r="A2161" s="47" t="s">
        <v>3333</v>
      </c>
      <c r="B2161" s="47">
        <v>40037.0</v>
      </c>
      <c r="C2161" s="47">
        <v>3.0</v>
      </c>
      <c r="D2161" s="47" t="s">
        <v>4044</v>
      </c>
      <c r="E2161" s="47" t="str">
        <f t="shared" si="1"/>
        <v>3A</v>
      </c>
      <c r="F2161" s="47" t="s">
        <v>4046</v>
      </c>
      <c r="G2161" s="47" t="s">
        <v>1467</v>
      </c>
      <c r="H2161" s="48">
        <f>IF(NOT(ISBLANK(vlookup(B2161,Pop_Census_2023!$A$2:$E$3220,4,FALSE))),vlookup(B2161,Pop_Census_2023!$A$2:$E$3220,4,FALSE), vlookup(B2161,Pop_Census_2023!$A$2:$E$3220,5,FALSE))</f>
        <v>73332</v>
      </c>
    </row>
    <row r="2162">
      <c r="A2162" s="47" t="s">
        <v>3333</v>
      </c>
      <c r="B2162" s="47">
        <v>40039.0</v>
      </c>
      <c r="C2162" s="47">
        <v>3.0</v>
      </c>
      <c r="D2162" s="47" t="s">
        <v>4044</v>
      </c>
      <c r="E2162" s="47" t="str">
        <f t="shared" si="1"/>
        <v>3A</v>
      </c>
      <c r="F2162" s="47" t="s">
        <v>4046</v>
      </c>
      <c r="G2162" s="47" t="s">
        <v>353</v>
      </c>
      <c r="H2162" s="48">
        <f>IF(NOT(ISBLANK(vlookup(B2162,Pop_Census_2023!$A$2:$E$3220,4,FALSE))),vlookup(B2162,Pop_Census_2023!$A$2:$E$3220,4,FALSE), vlookup(B2162,Pop_Census_2023!$A$2:$E$3220,5,FALSE))</f>
        <v>28266</v>
      </c>
    </row>
    <row r="2163">
      <c r="A2163" s="47" t="s">
        <v>3333</v>
      </c>
      <c r="B2163" s="47">
        <v>40041.0</v>
      </c>
      <c r="C2163" s="47">
        <v>3.0</v>
      </c>
      <c r="D2163" s="47" t="s">
        <v>4044</v>
      </c>
      <c r="E2163" s="47" t="str">
        <f t="shared" si="1"/>
        <v>3A</v>
      </c>
      <c r="F2163" s="47" t="s">
        <v>4046</v>
      </c>
      <c r="G2163" s="47" t="s">
        <v>405</v>
      </c>
      <c r="H2163" s="48">
        <f>IF(NOT(ISBLANK(vlookup(B2163,Pop_Census_2023!$A$2:$E$3220,4,FALSE))),vlookup(B2163,Pop_Census_2023!$A$2:$E$3220,4,FALSE), vlookup(B2163,Pop_Census_2023!$A$2:$E$3220,5,FALSE))</f>
        <v>41703</v>
      </c>
    </row>
    <row r="2164">
      <c r="A2164" s="47" t="s">
        <v>3333</v>
      </c>
      <c r="B2164" s="47">
        <v>40043.0</v>
      </c>
      <c r="C2164" s="47">
        <v>3.0</v>
      </c>
      <c r="D2164" s="47" t="s">
        <v>4044</v>
      </c>
      <c r="E2164" s="47" t="str">
        <f t="shared" si="1"/>
        <v>3A</v>
      </c>
      <c r="F2164" s="47" t="s">
        <v>4046</v>
      </c>
      <c r="G2164" s="47" t="s">
        <v>1468</v>
      </c>
      <c r="H2164" s="48">
        <f>IF(NOT(ISBLANK(vlookup(B2164,Pop_Census_2023!$A$2:$E$3220,4,FALSE))),vlookup(B2164,Pop_Census_2023!$A$2:$E$3220,4,FALSE), vlookup(B2164,Pop_Census_2023!$A$2:$E$3220,5,FALSE))</f>
        <v>4286</v>
      </c>
    </row>
    <row r="2165">
      <c r="A2165" s="47" t="s">
        <v>3333</v>
      </c>
      <c r="B2165" s="47">
        <v>40045.0</v>
      </c>
      <c r="C2165" s="47">
        <v>3.0</v>
      </c>
      <c r="D2165" s="47" t="s">
        <v>4044</v>
      </c>
      <c r="E2165" s="47" t="str">
        <f t="shared" si="1"/>
        <v>3A</v>
      </c>
      <c r="F2165" s="47" t="s">
        <v>4046</v>
      </c>
      <c r="G2165" s="47" t="s">
        <v>764</v>
      </c>
      <c r="H2165" s="48">
        <f>IF(NOT(ISBLANK(vlookup(B2165,Pop_Census_2023!$A$2:$E$3220,4,FALSE))),vlookup(B2165,Pop_Census_2023!$A$2:$E$3220,4,FALSE), vlookup(B2165,Pop_Census_2023!$A$2:$E$3220,5,FALSE))</f>
        <v>3648</v>
      </c>
    </row>
    <row r="2166">
      <c r="A2166" s="47" t="s">
        <v>3333</v>
      </c>
      <c r="B2166" s="47">
        <v>40047.0</v>
      </c>
      <c r="C2166" s="47">
        <v>3.0</v>
      </c>
      <c r="D2166" s="47" t="s">
        <v>4044</v>
      </c>
      <c r="E2166" s="47" t="str">
        <f t="shared" si="1"/>
        <v>3A</v>
      </c>
      <c r="F2166" s="47" t="s">
        <v>4046</v>
      </c>
      <c r="G2166" s="47" t="s">
        <v>362</v>
      </c>
      <c r="H2166" s="48">
        <f>IF(NOT(ISBLANK(vlookup(B2166,Pop_Census_2023!$A$2:$E$3220,4,FALSE))),vlookup(B2166,Pop_Census_2023!$A$2:$E$3220,4,FALSE), vlookup(B2166,Pop_Census_2023!$A$2:$E$3220,5,FALSE))</f>
        <v>62023</v>
      </c>
    </row>
    <row r="2167">
      <c r="A2167" s="47" t="s">
        <v>3333</v>
      </c>
      <c r="B2167" s="47">
        <v>40049.0</v>
      </c>
      <c r="C2167" s="47">
        <v>3.0</v>
      </c>
      <c r="D2167" s="47" t="s">
        <v>4044</v>
      </c>
      <c r="E2167" s="47" t="str">
        <f t="shared" si="1"/>
        <v>3A</v>
      </c>
      <c r="F2167" s="47" t="s">
        <v>4046</v>
      </c>
      <c r="G2167" s="47" t="s">
        <v>1469</v>
      </c>
      <c r="H2167" s="48">
        <f>IF(NOT(ISBLANK(vlookup(B2167,Pop_Census_2023!$A$2:$E$3220,4,FALSE))),vlookup(B2167,Pop_Census_2023!$A$2:$E$3220,4,FALSE), vlookup(B2167,Pop_Census_2023!$A$2:$E$3220,5,FALSE))</f>
        <v>25865</v>
      </c>
    </row>
    <row r="2168">
      <c r="A2168" s="47" t="s">
        <v>3333</v>
      </c>
      <c r="B2168" s="47">
        <v>40051.0</v>
      </c>
      <c r="C2168" s="47">
        <v>3.0</v>
      </c>
      <c r="D2168" s="47" t="s">
        <v>4044</v>
      </c>
      <c r="E2168" s="47" t="str">
        <f t="shared" si="1"/>
        <v>3A</v>
      </c>
      <c r="F2168" s="47" t="s">
        <v>4046</v>
      </c>
      <c r="G2168" s="47" t="s">
        <v>508</v>
      </c>
      <c r="H2168" s="48">
        <f>IF(NOT(ISBLANK(vlookup(B2168,Pop_Census_2023!$A$2:$E$3220,4,FALSE))),vlookup(B2168,Pop_Census_2023!$A$2:$E$3220,4,FALSE), vlookup(B2168,Pop_Census_2023!$A$2:$E$3220,5,FALSE))</f>
        <v>57375</v>
      </c>
    </row>
    <row r="2169">
      <c r="A2169" s="47" t="s">
        <v>3333</v>
      </c>
      <c r="B2169" s="47">
        <v>40053.0</v>
      </c>
      <c r="C2169" s="47">
        <v>3.0</v>
      </c>
      <c r="D2169" s="47" t="s">
        <v>4044</v>
      </c>
      <c r="E2169" s="47" t="str">
        <f t="shared" si="1"/>
        <v>3A</v>
      </c>
      <c r="F2169" s="47" t="s">
        <v>4046</v>
      </c>
      <c r="G2169" s="47" t="s">
        <v>242</v>
      </c>
      <c r="H2169" s="48">
        <f>IF(NOT(ISBLANK(vlookup(B2169,Pop_Census_2023!$A$2:$E$3220,4,FALSE))),vlookup(B2169,Pop_Census_2023!$A$2:$E$3220,4,FALSE), vlookup(B2169,Pop_Census_2023!$A$2:$E$3220,5,FALSE))</f>
        <v>4083</v>
      </c>
    </row>
    <row r="2170">
      <c r="A2170" s="47" t="s">
        <v>3333</v>
      </c>
      <c r="B2170" s="47">
        <v>40055.0</v>
      </c>
      <c r="C2170" s="47">
        <v>3.0</v>
      </c>
      <c r="D2170" s="47" t="s">
        <v>4044</v>
      </c>
      <c r="E2170" s="47" t="str">
        <f t="shared" si="1"/>
        <v>3A</v>
      </c>
      <c r="F2170" s="47" t="s">
        <v>4046</v>
      </c>
      <c r="G2170" s="47" t="s">
        <v>1470</v>
      </c>
      <c r="H2170" s="48">
        <f>IF(NOT(ISBLANK(vlookup(B2170,Pop_Census_2023!$A$2:$E$3220,4,FALSE))),vlookup(B2170,Pop_Census_2023!$A$2:$E$3220,4,FALSE), vlookup(B2170,Pop_Census_2023!$A$2:$E$3220,5,FALSE))</f>
        <v>5466</v>
      </c>
    </row>
    <row r="2171">
      <c r="A2171" s="47" t="s">
        <v>3333</v>
      </c>
      <c r="B2171" s="47">
        <v>40057.0</v>
      </c>
      <c r="C2171" s="47">
        <v>3.0</v>
      </c>
      <c r="D2171" s="47" t="s">
        <v>4044</v>
      </c>
      <c r="E2171" s="47" t="str">
        <f t="shared" si="1"/>
        <v>3A</v>
      </c>
      <c r="F2171" s="47" t="s">
        <v>4046</v>
      </c>
      <c r="G2171" s="47" t="s">
        <v>1471</v>
      </c>
      <c r="H2171" s="48">
        <f>IF(NOT(ISBLANK(vlookup(B2171,Pop_Census_2023!$A$2:$E$3220,4,FALSE))),vlookup(B2171,Pop_Census_2023!$A$2:$E$3220,4,FALSE), vlookup(B2171,Pop_Census_2023!$A$2:$E$3220,5,FALSE))</f>
        <v>2392</v>
      </c>
    </row>
    <row r="2172">
      <c r="A2172" s="47" t="s">
        <v>3333</v>
      </c>
      <c r="B2172" s="47">
        <v>40059.0</v>
      </c>
      <c r="C2172" s="47">
        <v>3.0</v>
      </c>
      <c r="D2172" s="47" t="s">
        <v>4044</v>
      </c>
      <c r="E2172" s="47" t="str">
        <f t="shared" si="1"/>
        <v>3A</v>
      </c>
      <c r="F2172" s="47" t="s">
        <v>4046</v>
      </c>
      <c r="G2172" s="47" t="s">
        <v>772</v>
      </c>
      <c r="H2172" s="48">
        <f>IF(NOT(ISBLANK(vlookup(B2172,Pop_Census_2023!$A$2:$E$3220,4,FALSE))),vlookup(B2172,Pop_Census_2023!$A$2:$E$3220,4,FALSE), vlookup(B2172,Pop_Census_2023!$A$2:$E$3220,5,FALSE))</f>
        <v>3190</v>
      </c>
    </row>
    <row r="2173">
      <c r="A2173" s="47" t="s">
        <v>3333</v>
      </c>
      <c r="B2173" s="47">
        <v>40061.0</v>
      </c>
      <c r="C2173" s="47">
        <v>3.0</v>
      </c>
      <c r="D2173" s="47" t="s">
        <v>4044</v>
      </c>
      <c r="E2173" s="47" t="str">
        <f t="shared" si="1"/>
        <v>3A</v>
      </c>
      <c r="F2173" s="47" t="s">
        <v>4046</v>
      </c>
      <c r="G2173" s="47" t="s">
        <v>774</v>
      </c>
      <c r="H2173" s="48">
        <f>IF(NOT(ISBLANK(vlookup(B2173,Pop_Census_2023!$A$2:$E$3220,4,FALSE))),vlookup(B2173,Pop_Census_2023!$A$2:$E$3220,4,FALSE), vlookup(B2173,Pop_Census_2023!$A$2:$E$3220,5,FALSE))</f>
        <v>11832</v>
      </c>
    </row>
    <row r="2174">
      <c r="A2174" s="47" t="s">
        <v>3333</v>
      </c>
      <c r="B2174" s="47">
        <v>40063.0</v>
      </c>
      <c r="C2174" s="47">
        <v>3.0</v>
      </c>
      <c r="D2174" s="47" t="s">
        <v>4044</v>
      </c>
      <c r="E2174" s="47" t="str">
        <f t="shared" si="1"/>
        <v>3A</v>
      </c>
      <c r="F2174" s="47" t="s">
        <v>4046</v>
      </c>
      <c r="G2174" s="47" t="s">
        <v>1472</v>
      </c>
      <c r="H2174" s="48">
        <f>IF(NOT(ISBLANK(vlookup(B2174,Pop_Census_2023!$A$2:$E$3220,4,FALSE))),vlookup(B2174,Pop_Census_2023!$A$2:$E$3220,4,FALSE), vlookup(B2174,Pop_Census_2023!$A$2:$E$3220,5,FALSE))</f>
        <v>13436</v>
      </c>
    </row>
    <row r="2175">
      <c r="A2175" s="47" t="s">
        <v>3333</v>
      </c>
      <c r="B2175" s="47">
        <v>40065.0</v>
      </c>
      <c r="C2175" s="47">
        <v>3.0</v>
      </c>
      <c r="D2175" s="47" t="s">
        <v>4044</v>
      </c>
      <c r="E2175" s="47" t="str">
        <f t="shared" si="1"/>
        <v>3A</v>
      </c>
      <c r="F2175" s="47" t="s">
        <v>4046</v>
      </c>
      <c r="G2175" s="47" t="s">
        <v>138</v>
      </c>
      <c r="H2175" s="48">
        <f>IF(NOT(ISBLANK(vlookup(B2175,Pop_Census_2023!$A$2:$E$3220,4,FALSE))),vlookup(B2175,Pop_Census_2023!$A$2:$E$3220,4,FALSE), vlookup(B2175,Pop_Census_2023!$A$2:$E$3220,5,FALSE))</f>
        <v>24669</v>
      </c>
    </row>
    <row r="2176">
      <c r="A2176" s="47" t="s">
        <v>3333</v>
      </c>
      <c r="B2176" s="47">
        <v>40067.0</v>
      </c>
      <c r="C2176" s="47">
        <v>3.0</v>
      </c>
      <c r="D2176" s="47" t="s">
        <v>4044</v>
      </c>
      <c r="E2176" s="47" t="str">
        <f t="shared" si="1"/>
        <v>3A</v>
      </c>
      <c r="F2176" s="47" t="s">
        <v>4046</v>
      </c>
      <c r="G2176" s="47" t="s">
        <v>139</v>
      </c>
      <c r="H2176" s="48">
        <f>IF(NOT(ISBLANK(vlookup(B2176,Pop_Census_2023!$A$2:$E$3220,4,FALSE))),vlookup(B2176,Pop_Census_2023!$A$2:$E$3220,4,FALSE), vlookup(B2176,Pop_Census_2023!$A$2:$E$3220,5,FALSE))</f>
        <v>5347</v>
      </c>
    </row>
    <row r="2177">
      <c r="A2177" s="47" t="s">
        <v>3333</v>
      </c>
      <c r="B2177" s="47">
        <v>40069.0</v>
      </c>
      <c r="C2177" s="47">
        <v>3.0</v>
      </c>
      <c r="D2177" s="47" t="s">
        <v>4044</v>
      </c>
      <c r="E2177" s="47" t="str">
        <f t="shared" si="1"/>
        <v>3A</v>
      </c>
      <c r="F2177" s="47" t="s">
        <v>4046</v>
      </c>
      <c r="G2177" s="47" t="s">
        <v>1361</v>
      </c>
      <c r="H2177" s="48">
        <f>IF(NOT(ISBLANK(vlookup(B2177,Pop_Census_2023!$A$2:$E$3220,4,FALSE))),vlookup(B2177,Pop_Census_2023!$A$2:$E$3220,4,FALSE), vlookup(B2177,Pop_Census_2023!$A$2:$E$3220,5,FALSE))</f>
        <v>10216</v>
      </c>
    </row>
    <row r="2178">
      <c r="A2178" s="47" t="s">
        <v>3333</v>
      </c>
      <c r="B2178" s="47">
        <v>40071.0</v>
      </c>
      <c r="C2178" s="47">
        <v>3.0</v>
      </c>
      <c r="D2178" s="47" t="s">
        <v>4044</v>
      </c>
      <c r="E2178" s="47" t="str">
        <f t="shared" si="1"/>
        <v>3A</v>
      </c>
      <c r="F2178" s="47" t="s">
        <v>4046</v>
      </c>
      <c r="G2178" s="47" t="s">
        <v>1473</v>
      </c>
      <c r="H2178" s="48">
        <f>IF(NOT(ISBLANK(vlookup(B2178,Pop_Census_2023!$A$2:$E$3220,4,FALSE))),vlookup(B2178,Pop_Census_2023!$A$2:$E$3220,4,FALSE), vlookup(B2178,Pop_Census_2023!$A$2:$E$3220,5,FALSE))</f>
        <v>43641</v>
      </c>
    </row>
    <row r="2179">
      <c r="A2179" s="47" t="s">
        <v>3333</v>
      </c>
      <c r="B2179" s="47">
        <v>40073.0</v>
      </c>
      <c r="C2179" s="47">
        <v>3.0</v>
      </c>
      <c r="D2179" s="47" t="s">
        <v>4044</v>
      </c>
      <c r="E2179" s="47" t="str">
        <f t="shared" si="1"/>
        <v>3A</v>
      </c>
      <c r="F2179" s="47" t="s">
        <v>4046</v>
      </c>
      <c r="G2179" s="47" t="s">
        <v>1474</v>
      </c>
      <c r="H2179" s="48">
        <f>IF(NOT(ISBLANK(vlookup(B2179,Pop_Census_2023!$A$2:$E$3220,4,FALSE))),vlookup(B2179,Pop_Census_2023!$A$2:$E$3220,4,FALSE), vlookup(B2179,Pop_Census_2023!$A$2:$E$3220,5,FALSE))</f>
        <v>15481</v>
      </c>
    </row>
    <row r="2180">
      <c r="A2180" s="47" t="s">
        <v>3333</v>
      </c>
      <c r="B2180" s="47">
        <v>40075.0</v>
      </c>
      <c r="C2180" s="47">
        <v>3.0</v>
      </c>
      <c r="D2180" s="47" t="s">
        <v>4044</v>
      </c>
      <c r="E2180" s="47" t="str">
        <f t="shared" si="1"/>
        <v>3A</v>
      </c>
      <c r="F2180" s="47" t="s">
        <v>4046</v>
      </c>
      <c r="G2180" s="47" t="s">
        <v>368</v>
      </c>
      <c r="H2180" s="48">
        <f>IF(NOT(ISBLANK(vlookup(B2180,Pop_Census_2023!$A$2:$E$3220,4,FALSE))),vlookup(B2180,Pop_Census_2023!$A$2:$E$3220,4,FALSE), vlookup(B2180,Pop_Census_2023!$A$2:$E$3220,5,FALSE))</f>
        <v>8398</v>
      </c>
    </row>
    <row r="2181">
      <c r="A2181" s="47" t="s">
        <v>3333</v>
      </c>
      <c r="B2181" s="47">
        <v>40077.0</v>
      </c>
      <c r="C2181" s="47">
        <v>3.0</v>
      </c>
      <c r="D2181" s="47" t="s">
        <v>4044</v>
      </c>
      <c r="E2181" s="47" t="str">
        <f t="shared" si="1"/>
        <v>3A</v>
      </c>
      <c r="F2181" s="47" t="s">
        <v>4046</v>
      </c>
      <c r="G2181" s="47" t="s">
        <v>1475</v>
      </c>
      <c r="H2181" s="48">
        <f>IF(NOT(ISBLANK(vlookup(B2181,Pop_Census_2023!$A$2:$E$3220,4,FALSE))),vlookup(B2181,Pop_Census_2023!$A$2:$E$3220,4,FALSE), vlookup(B2181,Pop_Census_2023!$A$2:$E$3220,5,FALSE))</f>
        <v>9526</v>
      </c>
    </row>
    <row r="2182">
      <c r="A2182" s="47" t="s">
        <v>3333</v>
      </c>
      <c r="B2182" s="47">
        <v>40079.0</v>
      </c>
      <c r="C2182" s="47">
        <v>3.0</v>
      </c>
      <c r="D2182" s="47" t="s">
        <v>4044</v>
      </c>
      <c r="E2182" s="47" t="str">
        <f t="shared" si="1"/>
        <v>3A</v>
      </c>
      <c r="F2182" s="47" t="s">
        <v>4046</v>
      </c>
      <c r="G2182" s="47" t="s">
        <v>1476</v>
      </c>
      <c r="H2182" s="48">
        <f>IF(NOT(ISBLANK(vlookup(B2182,Pop_Census_2023!$A$2:$E$3220,4,FALSE))),vlookup(B2182,Pop_Census_2023!$A$2:$E$3220,4,FALSE), vlookup(B2182,Pop_Census_2023!$A$2:$E$3220,5,FALSE))</f>
        <v>49596</v>
      </c>
    </row>
    <row r="2183">
      <c r="A2183" s="47" t="s">
        <v>3333</v>
      </c>
      <c r="B2183" s="47">
        <v>40081.0</v>
      </c>
      <c r="C2183" s="47">
        <v>3.0</v>
      </c>
      <c r="D2183" s="47" t="s">
        <v>4044</v>
      </c>
      <c r="E2183" s="47" t="str">
        <f t="shared" si="1"/>
        <v>3A</v>
      </c>
      <c r="F2183" s="47" t="s">
        <v>4046</v>
      </c>
      <c r="G2183" s="47" t="s">
        <v>250</v>
      </c>
      <c r="H2183" s="48">
        <f>IF(NOT(ISBLANK(vlookup(B2183,Pop_Census_2023!$A$2:$E$3220,4,FALSE))),vlookup(B2183,Pop_Census_2023!$A$2:$E$3220,4,FALSE), vlookup(B2183,Pop_Census_2023!$A$2:$E$3220,5,FALSE))</f>
        <v>34562</v>
      </c>
    </row>
    <row r="2184">
      <c r="A2184" s="47" t="s">
        <v>3333</v>
      </c>
      <c r="B2184" s="47">
        <v>40083.0</v>
      </c>
      <c r="C2184" s="47">
        <v>3.0</v>
      </c>
      <c r="D2184" s="47" t="s">
        <v>4044</v>
      </c>
      <c r="E2184" s="47" t="str">
        <f t="shared" si="1"/>
        <v>3A</v>
      </c>
      <c r="F2184" s="47" t="s">
        <v>4046</v>
      </c>
      <c r="G2184" s="47" t="s">
        <v>252</v>
      </c>
      <c r="H2184" s="48">
        <f>IF(NOT(ISBLANK(vlookup(B2184,Pop_Census_2023!$A$2:$E$3220,4,FALSE))),vlookup(B2184,Pop_Census_2023!$A$2:$E$3220,4,FALSE), vlookup(B2184,Pop_Census_2023!$A$2:$E$3220,5,FALSE))</f>
        <v>53029</v>
      </c>
    </row>
    <row r="2185">
      <c r="A2185" s="47" t="s">
        <v>3333</v>
      </c>
      <c r="B2185" s="47">
        <v>40085.0</v>
      </c>
      <c r="C2185" s="47">
        <v>3.0</v>
      </c>
      <c r="D2185" s="47" t="s">
        <v>4044</v>
      </c>
      <c r="E2185" s="47" t="str">
        <f t="shared" si="1"/>
        <v>3A</v>
      </c>
      <c r="F2185" s="47" t="s">
        <v>4046</v>
      </c>
      <c r="G2185" s="47" t="s">
        <v>1477</v>
      </c>
      <c r="H2185" s="48">
        <f>IF(NOT(ISBLANK(vlookup(B2185,Pop_Census_2023!$A$2:$E$3220,4,FALSE))),vlookup(B2185,Pop_Census_2023!$A$2:$E$3220,4,FALSE), vlookup(B2185,Pop_Census_2023!$A$2:$E$3220,5,FALSE))</f>
        <v>10296</v>
      </c>
    </row>
    <row r="2186">
      <c r="A2186" s="47" t="s">
        <v>3333</v>
      </c>
      <c r="B2186" s="47">
        <v>40093.0</v>
      </c>
      <c r="C2186" s="47">
        <v>3.0</v>
      </c>
      <c r="D2186" s="47" t="s">
        <v>4044</v>
      </c>
      <c r="E2186" s="47" t="str">
        <f t="shared" si="1"/>
        <v>3A</v>
      </c>
      <c r="F2186" s="47" t="s">
        <v>4046</v>
      </c>
      <c r="G2186" s="47" t="s">
        <v>1480</v>
      </c>
      <c r="H2186" s="48">
        <f>IF(NOT(ISBLANK(vlookup(B2186,Pop_Census_2023!$A$2:$E$3220,4,FALSE))),vlookup(B2186,Pop_Census_2023!$A$2:$E$3220,4,FALSE), vlookup(B2186,Pop_Census_2023!$A$2:$E$3220,5,FALSE))</f>
        <v>7581</v>
      </c>
    </row>
    <row r="2187">
      <c r="A2187" s="47" t="s">
        <v>3333</v>
      </c>
      <c r="B2187" s="47">
        <v>40095.0</v>
      </c>
      <c r="C2187" s="47">
        <v>3.0</v>
      </c>
      <c r="D2187" s="47" t="s">
        <v>4044</v>
      </c>
      <c r="E2187" s="47" t="str">
        <f t="shared" si="1"/>
        <v>3A</v>
      </c>
      <c r="F2187" s="47" t="s">
        <v>4046</v>
      </c>
      <c r="G2187" s="47" t="s">
        <v>150</v>
      </c>
      <c r="H2187" s="48">
        <f>IF(NOT(ISBLANK(vlookup(B2187,Pop_Census_2023!$A$2:$E$3220,4,FALSE))),vlookup(B2187,Pop_Census_2023!$A$2:$E$3220,4,FALSE), vlookup(B2187,Pop_Census_2023!$A$2:$E$3220,5,FALSE))</f>
        <v>15970</v>
      </c>
    </row>
    <row r="2188">
      <c r="A2188" s="47" t="s">
        <v>3333</v>
      </c>
      <c r="B2188" s="47">
        <v>40097.0</v>
      </c>
      <c r="C2188" s="47">
        <v>3.0</v>
      </c>
      <c r="D2188" s="47" t="s">
        <v>4044</v>
      </c>
      <c r="E2188" s="47" t="str">
        <f t="shared" si="1"/>
        <v>3A</v>
      </c>
      <c r="F2188" s="47" t="s">
        <v>4046</v>
      </c>
      <c r="G2188" s="47" t="s">
        <v>1481</v>
      </c>
      <c r="H2188" s="48">
        <f>IF(NOT(ISBLANK(vlookup(B2188,Pop_Census_2023!$A$2:$E$3220,4,FALSE))),vlookup(B2188,Pop_Census_2023!$A$2:$E$3220,4,FALSE), vlookup(B2188,Pop_Census_2023!$A$2:$E$3220,5,FALSE))</f>
        <v>39889</v>
      </c>
    </row>
    <row r="2189">
      <c r="A2189" s="47" t="s">
        <v>3333</v>
      </c>
      <c r="B2189" s="47">
        <v>40087.0</v>
      </c>
      <c r="C2189" s="47">
        <v>3.0</v>
      </c>
      <c r="D2189" s="47" t="s">
        <v>4044</v>
      </c>
      <c r="E2189" s="47" t="str">
        <f t="shared" si="1"/>
        <v>3A</v>
      </c>
      <c r="F2189" s="47" t="s">
        <v>4046</v>
      </c>
      <c r="G2189" s="47" t="s">
        <v>1478</v>
      </c>
      <c r="H2189" s="48">
        <f>IF(NOT(ISBLANK(vlookup(B2189,Pop_Census_2023!$A$2:$E$3220,4,FALSE))),vlookup(B2189,Pop_Census_2023!$A$2:$E$3220,4,FALSE), vlookup(B2189,Pop_Census_2023!$A$2:$E$3220,5,FALSE))</f>
        <v>47072</v>
      </c>
    </row>
    <row r="2190">
      <c r="A2190" s="47" t="s">
        <v>3333</v>
      </c>
      <c r="B2190" s="47">
        <v>40089.0</v>
      </c>
      <c r="C2190" s="47">
        <v>3.0</v>
      </c>
      <c r="D2190" s="47" t="s">
        <v>4044</v>
      </c>
      <c r="E2190" s="47" t="str">
        <f t="shared" si="1"/>
        <v>3A</v>
      </c>
      <c r="F2190" s="47" t="s">
        <v>4046</v>
      </c>
      <c r="G2190" s="47" t="s">
        <v>1479</v>
      </c>
      <c r="H2190" s="48">
        <f>IF(NOT(ISBLANK(vlookup(B2190,Pop_Census_2023!$A$2:$E$3220,4,FALSE))),vlookup(B2190,Pop_Census_2023!$A$2:$E$3220,4,FALSE), vlookup(B2190,Pop_Census_2023!$A$2:$E$3220,5,FALSE))</f>
        <v>30660</v>
      </c>
    </row>
    <row r="2191">
      <c r="A2191" s="47" t="s">
        <v>3333</v>
      </c>
      <c r="B2191" s="47">
        <v>40091.0</v>
      </c>
      <c r="C2191" s="47">
        <v>3.0</v>
      </c>
      <c r="D2191" s="47" t="s">
        <v>4044</v>
      </c>
      <c r="E2191" s="47" t="str">
        <f t="shared" si="1"/>
        <v>3A</v>
      </c>
      <c r="F2191" s="47" t="s">
        <v>4046</v>
      </c>
      <c r="G2191" s="47" t="s">
        <v>527</v>
      </c>
      <c r="H2191" s="48">
        <f>IF(NOT(ISBLANK(vlookup(B2191,Pop_Census_2023!$A$2:$E$3220,4,FALSE))),vlookup(B2191,Pop_Census_2023!$A$2:$E$3220,4,FALSE), vlookup(B2191,Pop_Census_2023!$A$2:$E$3220,5,FALSE))</f>
        <v>19603</v>
      </c>
    </row>
    <row r="2192">
      <c r="A2192" s="47" t="s">
        <v>3333</v>
      </c>
      <c r="B2192" s="47">
        <v>40099.0</v>
      </c>
      <c r="C2192" s="47">
        <v>3.0</v>
      </c>
      <c r="D2192" s="47" t="s">
        <v>4044</v>
      </c>
      <c r="E2192" s="47" t="str">
        <f t="shared" si="1"/>
        <v>3A</v>
      </c>
      <c r="F2192" s="47" t="s">
        <v>4046</v>
      </c>
      <c r="G2192" s="47" t="s">
        <v>530</v>
      </c>
      <c r="H2192" s="48">
        <f>IF(NOT(ISBLANK(vlookup(B2192,Pop_Census_2023!$A$2:$E$3220,4,FALSE))),vlookup(B2192,Pop_Census_2023!$A$2:$E$3220,4,FALSE), vlookup(B2192,Pop_Census_2023!$A$2:$E$3220,5,FALSE))</f>
        <v>13754</v>
      </c>
    </row>
    <row r="2193">
      <c r="A2193" s="47" t="s">
        <v>3333</v>
      </c>
      <c r="B2193" s="47">
        <v>40101.0</v>
      </c>
      <c r="C2193" s="47">
        <v>3.0</v>
      </c>
      <c r="D2193" s="47" t="s">
        <v>4044</v>
      </c>
      <c r="E2193" s="47" t="str">
        <f t="shared" si="1"/>
        <v>3A</v>
      </c>
      <c r="F2193" s="47" t="s">
        <v>4046</v>
      </c>
      <c r="G2193" s="47" t="s">
        <v>1482</v>
      </c>
      <c r="H2193" s="48">
        <f>IF(NOT(ISBLANK(vlookup(B2193,Pop_Census_2023!$A$2:$E$3220,4,FALSE))),vlookup(B2193,Pop_Census_2023!$A$2:$E$3220,4,FALSE), vlookup(B2193,Pop_Census_2023!$A$2:$E$3220,5,FALSE))</f>
        <v>66677</v>
      </c>
    </row>
    <row r="2194">
      <c r="A2194" s="47" t="s">
        <v>3333</v>
      </c>
      <c r="B2194" s="47">
        <v>40103.0</v>
      </c>
      <c r="C2194" s="47">
        <v>3.0</v>
      </c>
      <c r="D2194" s="47" t="s">
        <v>4044</v>
      </c>
      <c r="E2194" s="47" t="str">
        <f t="shared" si="1"/>
        <v>3A</v>
      </c>
      <c r="F2194" s="47" t="s">
        <v>4046</v>
      </c>
      <c r="G2194" s="47" t="s">
        <v>682</v>
      </c>
      <c r="H2194" s="48">
        <f>IF(NOT(ISBLANK(vlookup(B2194,Pop_Census_2023!$A$2:$E$3220,4,FALSE))),vlookup(B2194,Pop_Census_2023!$A$2:$E$3220,4,FALSE), vlookup(B2194,Pop_Census_2023!$A$2:$E$3220,5,FALSE))</f>
        <v>10832</v>
      </c>
    </row>
    <row r="2195">
      <c r="A2195" s="47" t="s">
        <v>3333</v>
      </c>
      <c r="B2195" s="47">
        <v>40105.0</v>
      </c>
      <c r="C2195" s="47">
        <v>3.0</v>
      </c>
      <c r="D2195" s="47" t="s">
        <v>4044</v>
      </c>
      <c r="E2195" s="47" t="str">
        <f t="shared" si="1"/>
        <v>3A</v>
      </c>
      <c r="F2195" s="47" t="s">
        <v>4046</v>
      </c>
      <c r="G2195" s="47" t="s">
        <v>1483</v>
      </c>
      <c r="H2195" s="48">
        <f>IF(NOT(ISBLANK(vlookup(B2195,Pop_Census_2023!$A$2:$E$3220,4,FALSE))),vlookup(B2195,Pop_Census_2023!$A$2:$E$3220,4,FALSE), vlookup(B2195,Pop_Census_2023!$A$2:$E$3220,5,FALSE))</f>
        <v>9438</v>
      </c>
    </row>
    <row r="2196">
      <c r="A2196" s="47" t="s">
        <v>3333</v>
      </c>
      <c r="B2196" s="47">
        <v>40107.0</v>
      </c>
      <c r="C2196" s="47">
        <v>3.0</v>
      </c>
      <c r="D2196" s="47" t="s">
        <v>4044</v>
      </c>
      <c r="E2196" s="47" t="str">
        <f t="shared" si="1"/>
        <v>3A</v>
      </c>
      <c r="F2196" s="47" t="s">
        <v>4046</v>
      </c>
      <c r="G2196" s="47" t="s">
        <v>1484</v>
      </c>
      <c r="H2196" s="48">
        <f>IF(NOT(ISBLANK(vlookup(B2196,Pop_Census_2023!$A$2:$E$3220,4,FALSE))),vlookup(B2196,Pop_Census_2023!$A$2:$E$3220,4,FALSE), vlookup(B2196,Pop_Census_2023!$A$2:$E$3220,5,FALSE))</f>
        <v>11300</v>
      </c>
    </row>
    <row r="2197">
      <c r="A2197" s="47" t="s">
        <v>3333</v>
      </c>
      <c r="B2197" s="47">
        <v>40109.0</v>
      </c>
      <c r="C2197" s="47">
        <v>3.0</v>
      </c>
      <c r="D2197" s="47" t="s">
        <v>4044</v>
      </c>
      <c r="E2197" s="47" t="str">
        <f t="shared" si="1"/>
        <v>3A</v>
      </c>
      <c r="F2197" s="47" t="s">
        <v>4046</v>
      </c>
      <c r="G2197" s="47" t="s">
        <v>1457</v>
      </c>
      <c r="H2197" s="48">
        <f>IF(NOT(ISBLANK(vlookup(B2197,Pop_Census_2023!$A$2:$E$3220,4,FALSE))),vlookup(B2197,Pop_Census_2023!$A$2:$E$3220,4,FALSE), vlookup(B2197,Pop_Census_2023!$A$2:$E$3220,5,FALSE))</f>
        <v>808866</v>
      </c>
    </row>
    <row r="2198">
      <c r="A2198" s="47" t="s">
        <v>3333</v>
      </c>
      <c r="B2198" s="47">
        <v>40111.0</v>
      </c>
      <c r="C2198" s="47">
        <v>3.0</v>
      </c>
      <c r="D2198" s="47" t="s">
        <v>4044</v>
      </c>
      <c r="E2198" s="47" t="str">
        <f t="shared" si="1"/>
        <v>3A</v>
      </c>
      <c r="F2198" s="47" t="s">
        <v>4046</v>
      </c>
      <c r="G2198" s="47" t="s">
        <v>1485</v>
      </c>
      <c r="H2198" s="48">
        <f>IF(NOT(ISBLANK(vlookup(B2198,Pop_Census_2023!$A$2:$E$3220,4,FALSE))),vlookup(B2198,Pop_Census_2023!$A$2:$E$3220,4,FALSE), vlookup(B2198,Pop_Census_2023!$A$2:$E$3220,5,FALSE))</f>
        <v>37035</v>
      </c>
    </row>
    <row r="2199">
      <c r="A2199" s="47" t="s">
        <v>3333</v>
      </c>
      <c r="B2199" s="47">
        <v>40113.0</v>
      </c>
      <c r="C2199" s="47">
        <v>3.0</v>
      </c>
      <c r="D2199" s="47" t="s">
        <v>4044</v>
      </c>
      <c r="E2199" s="47" t="str">
        <f t="shared" si="1"/>
        <v>3A</v>
      </c>
      <c r="F2199" s="47" t="s">
        <v>4046</v>
      </c>
      <c r="G2199" s="47" t="s">
        <v>790</v>
      </c>
      <c r="H2199" s="48">
        <f>IF(NOT(ISBLANK(vlookup(B2199,Pop_Census_2023!$A$2:$E$3220,4,FALSE))),vlookup(B2199,Pop_Census_2023!$A$2:$E$3220,4,FALSE), vlookup(B2199,Pop_Census_2023!$A$2:$E$3220,5,FALSE))</f>
        <v>46130</v>
      </c>
    </row>
    <row r="2200">
      <c r="A2200" s="47" t="s">
        <v>3333</v>
      </c>
      <c r="B2200" s="47">
        <v>40115.0</v>
      </c>
      <c r="C2200" s="47">
        <v>3.0</v>
      </c>
      <c r="D2200" s="47" t="s">
        <v>4044</v>
      </c>
      <c r="E2200" s="47" t="str">
        <f t="shared" si="1"/>
        <v>3A</v>
      </c>
      <c r="F2200" s="47" t="s">
        <v>4046</v>
      </c>
      <c r="G2200" s="47" t="s">
        <v>792</v>
      </c>
      <c r="H2200" s="48">
        <f>IF(NOT(ISBLANK(vlookup(B2200,Pop_Census_2023!$A$2:$E$3220,4,FALSE))),vlookup(B2200,Pop_Census_2023!$A$2:$E$3220,4,FALSE), vlookup(B2200,Pop_Census_2023!$A$2:$E$3220,5,FALSE))</f>
        <v>30287</v>
      </c>
    </row>
    <row r="2201">
      <c r="A2201" s="47" t="s">
        <v>3333</v>
      </c>
      <c r="B2201" s="47">
        <v>40117.0</v>
      </c>
      <c r="C2201" s="47">
        <v>3.0</v>
      </c>
      <c r="D2201" s="47" t="s">
        <v>4044</v>
      </c>
      <c r="E2201" s="47" t="str">
        <f t="shared" si="1"/>
        <v>3A</v>
      </c>
      <c r="F2201" s="47" t="s">
        <v>4046</v>
      </c>
      <c r="G2201" s="47" t="s">
        <v>793</v>
      </c>
      <c r="H2201" s="48">
        <f>IF(NOT(ISBLANK(vlookup(B2201,Pop_Census_2023!$A$2:$E$3220,4,FALSE))),vlookup(B2201,Pop_Census_2023!$A$2:$E$3220,4,FALSE), vlookup(B2201,Pop_Census_2023!$A$2:$E$3220,5,FALSE))</f>
        <v>15864</v>
      </c>
    </row>
    <row r="2202">
      <c r="A2202" s="47" t="s">
        <v>3333</v>
      </c>
      <c r="B2202" s="47">
        <v>40119.0</v>
      </c>
      <c r="C2202" s="47">
        <v>3.0</v>
      </c>
      <c r="D2202" s="47" t="s">
        <v>4044</v>
      </c>
      <c r="E2202" s="47" t="str">
        <f t="shared" si="1"/>
        <v>3A</v>
      </c>
      <c r="F2202" s="47" t="s">
        <v>4046</v>
      </c>
      <c r="G2202" s="47" t="s">
        <v>1486</v>
      </c>
      <c r="H2202" s="48">
        <f>IF(NOT(ISBLANK(vlookup(B2202,Pop_Census_2023!$A$2:$E$3220,4,FALSE))),vlookup(B2202,Pop_Census_2023!$A$2:$E$3220,4,FALSE), vlookup(B2202,Pop_Census_2023!$A$2:$E$3220,5,FALSE))</f>
        <v>83352</v>
      </c>
    </row>
    <row r="2203">
      <c r="A2203" s="47" t="s">
        <v>3333</v>
      </c>
      <c r="B2203" s="47">
        <v>40121.0</v>
      </c>
      <c r="C2203" s="47">
        <v>3.0</v>
      </c>
      <c r="D2203" s="47" t="s">
        <v>4044</v>
      </c>
      <c r="E2203" s="47" t="str">
        <f t="shared" si="1"/>
        <v>3A</v>
      </c>
      <c r="F2203" s="47" t="s">
        <v>4046</v>
      </c>
      <c r="G2203" s="47" t="s">
        <v>1487</v>
      </c>
      <c r="H2203" s="48">
        <f>IF(NOT(ISBLANK(vlookup(B2203,Pop_Census_2023!$A$2:$E$3220,4,FALSE))),vlookup(B2203,Pop_Census_2023!$A$2:$E$3220,4,FALSE), vlookup(B2203,Pop_Census_2023!$A$2:$E$3220,5,FALSE))</f>
        <v>43479</v>
      </c>
    </row>
    <row r="2204">
      <c r="A2204" s="47" t="s">
        <v>3333</v>
      </c>
      <c r="B2204" s="47">
        <v>40123.0</v>
      </c>
      <c r="C2204" s="47">
        <v>3.0</v>
      </c>
      <c r="D2204" s="47" t="s">
        <v>4044</v>
      </c>
      <c r="E2204" s="47" t="str">
        <f t="shared" si="1"/>
        <v>3A</v>
      </c>
      <c r="F2204" s="47" t="s">
        <v>4046</v>
      </c>
      <c r="G2204" s="47" t="s">
        <v>1108</v>
      </c>
      <c r="H2204" s="48">
        <f>IF(NOT(ISBLANK(vlookup(B2204,Pop_Census_2023!$A$2:$E$3220,4,FALSE))),vlookup(B2204,Pop_Census_2023!$A$2:$E$3220,4,FALSE), vlookup(B2204,Pop_Census_2023!$A$2:$E$3220,5,FALSE))</f>
        <v>38396</v>
      </c>
    </row>
    <row r="2205">
      <c r="A2205" s="47" t="s">
        <v>3333</v>
      </c>
      <c r="B2205" s="47">
        <v>40125.0</v>
      </c>
      <c r="C2205" s="47">
        <v>3.0</v>
      </c>
      <c r="D2205" s="47" t="s">
        <v>4044</v>
      </c>
      <c r="E2205" s="47" t="str">
        <f t="shared" si="1"/>
        <v>3A</v>
      </c>
      <c r="F2205" s="47" t="s">
        <v>4046</v>
      </c>
      <c r="G2205" s="47" t="s">
        <v>794</v>
      </c>
      <c r="H2205" s="48">
        <f>IF(NOT(ISBLANK(vlookup(B2205,Pop_Census_2023!$A$2:$E$3220,4,FALSE))),vlookup(B2205,Pop_Census_2023!$A$2:$E$3220,4,FALSE), vlookup(B2205,Pop_Census_2023!$A$2:$E$3220,5,FALSE))</f>
        <v>73791</v>
      </c>
    </row>
    <row r="2206">
      <c r="A2206" s="47" t="s">
        <v>3333</v>
      </c>
      <c r="B2206" s="47">
        <v>40127.0</v>
      </c>
      <c r="C2206" s="47">
        <v>3.0</v>
      </c>
      <c r="D2206" s="47" t="s">
        <v>4044</v>
      </c>
      <c r="E2206" s="47" t="str">
        <f t="shared" si="1"/>
        <v>3A</v>
      </c>
      <c r="F2206" s="47" t="s">
        <v>4046</v>
      </c>
      <c r="G2206" s="47" t="s">
        <v>1488</v>
      </c>
      <c r="H2206" s="48">
        <f>IF(NOT(ISBLANK(vlookup(B2206,Pop_Census_2023!$A$2:$E$3220,4,FALSE))),vlookup(B2206,Pop_Census_2023!$A$2:$E$3220,4,FALSE), vlookup(B2206,Pop_Census_2023!$A$2:$E$3220,5,FALSE))</f>
        <v>10800</v>
      </c>
    </row>
    <row r="2207">
      <c r="A2207" s="47" t="s">
        <v>3333</v>
      </c>
      <c r="B2207" s="47">
        <v>40129.0</v>
      </c>
      <c r="C2207" s="47">
        <v>3.0</v>
      </c>
      <c r="D2207" s="47" t="s">
        <v>4044</v>
      </c>
      <c r="E2207" s="47" t="str">
        <f t="shared" si="1"/>
        <v>3A</v>
      </c>
      <c r="F2207" s="47" t="s">
        <v>4046</v>
      </c>
      <c r="G2207" s="47" t="s">
        <v>1489</v>
      </c>
      <c r="H2207" s="48">
        <f>IF(NOT(ISBLANK(vlookup(B2207,Pop_Census_2023!$A$2:$E$3220,4,FALSE))),vlookup(B2207,Pop_Census_2023!$A$2:$E$3220,4,FALSE), vlookup(B2207,Pop_Census_2023!$A$2:$E$3220,5,FALSE))</f>
        <v>3295</v>
      </c>
    </row>
    <row r="2208">
      <c r="A2208" s="47" t="s">
        <v>3333</v>
      </c>
      <c r="B2208" s="47">
        <v>40131.0</v>
      </c>
      <c r="C2208" s="47">
        <v>3.0</v>
      </c>
      <c r="D2208" s="47" t="s">
        <v>4044</v>
      </c>
      <c r="E2208" s="47" t="str">
        <f t="shared" si="1"/>
        <v>3A</v>
      </c>
      <c r="F2208" s="47" t="s">
        <v>4046</v>
      </c>
      <c r="G2208" s="47" t="s">
        <v>1490</v>
      </c>
      <c r="H2208" s="48">
        <f>IF(NOT(ISBLANK(vlookup(B2208,Pop_Census_2023!$A$2:$E$3220,4,FALSE))),vlookup(B2208,Pop_Census_2023!$A$2:$E$3220,4,FALSE), vlookup(B2208,Pop_Census_2023!$A$2:$E$3220,5,FALSE))</f>
        <v>100248</v>
      </c>
    </row>
    <row r="2209">
      <c r="A2209" s="47" t="s">
        <v>3333</v>
      </c>
      <c r="B2209" s="47">
        <v>40133.0</v>
      </c>
      <c r="C2209" s="47">
        <v>3.0</v>
      </c>
      <c r="D2209" s="47" t="s">
        <v>4044</v>
      </c>
      <c r="E2209" s="47" t="str">
        <f t="shared" si="1"/>
        <v>3A</v>
      </c>
      <c r="F2209" s="47" t="s">
        <v>4046</v>
      </c>
      <c r="G2209" s="47" t="s">
        <v>454</v>
      </c>
      <c r="H2209" s="48">
        <f>IF(NOT(ISBLANK(vlookup(B2209,Pop_Census_2023!$A$2:$E$3220,4,FALSE))),vlookup(B2209,Pop_Census_2023!$A$2:$E$3220,4,FALSE), vlookup(B2209,Pop_Census_2023!$A$2:$E$3220,5,FALSE))</f>
        <v>23565</v>
      </c>
    </row>
    <row r="2210">
      <c r="A2210" s="47" t="s">
        <v>3333</v>
      </c>
      <c r="B2210" s="47">
        <v>40135.0</v>
      </c>
      <c r="C2210" s="47">
        <v>3.0</v>
      </c>
      <c r="D2210" s="47" t="s">
        <v>4044</v>
      </c>
      <c r="E2210" s="47" t="str">
        <f t="shared" si="1"/>
        <v>3A</v>
      </c>
      <c r="F2210" s="47" t="s">
        <v>4046</v>
      </c>
      <c r="G2210" s="47" t="s">
        <v>1491</v>
      </c>
      <c r="H2210" s="48">
        <f>IF(NOT(ISBLANK(vlookup(B2210,Pop_Census_2023!$A$2:$E$3220,4,FALSE))),vlookup(B2210,Pop_Census_2023!$A$2:$E$3220,4,FALSE), vlookup(B2210,Pop_Census_2023!$A$2:$E$3220,5,FALSE))</f>
        <v>40291</v>
      </c>
    </row>
    <row r="2211">
      <c r="A2211" s="47" t="s">
        <v>3333</v>
      </c>
      <c r="B2211" s="47">
        <v>40137.0</v>
      </c>
      <c r="C2211" s="47">
        <v>3.0</v>
      </c>
      <c r="D2211" s="47" t="s">
        <v>4044</v>
      </c>
      <c r="E2211" s="47" t="str">
        <f t="shared" si="1"/>
        <v>3A</v>
      </c>
      <c r="F2211" s="47" t="s">
        <v>4046</v>
      </c>
      <c r="G2211" s="47" t="s">
        <v>544</v>
      </c>
      <c r="H2211" s="48">
        <f>IF(NOT(ISBLANK(vlookup(B2211,Pop_Census_2023!$A$2:$E$3220,4,FALSE))),vlookup(B2211,Pop_Census_2023!$A$2:$E$3220,4,FALSE), vlookup(B2211,Pop_Census_2023!$A$2:$E$3220,5,FALSE))</f>
        <v>44014</v>
      </c>
    </row>
    <row r="2212">
      <c r="A2212" s="47" t="s">
        <v>3333</v>
      </c>
      <c r="B2212" s="47">
        <v>40139.0</v>
      </c>
      <c r="C2212" s="47">
        <v>4.0</v>
      </c>
      <c r="D2212" s="47" t="s">
        <v>4053</v>
      </c>
      <c r="E2212" s="47" t="str">
        <f t="shared" si="1"/>
        <v>4B</v>
      </c>
      <c r="F2212" s="47" t="s">
        <v>4056</v>
      </c>
      <c r="G2212" s="47" t="s">
        <v>1159</v>
      </c>
      <c r="H2212" s="48">
        <f>IF(NOT(ISBLANK(vlookup(B2212,Pop_Census_2023!$A$2:$E$3220,4,FALSE))),vlookup(B2212,Pop_Census_2023!$A$2:$E$3220,4,FALSE), vlookup(B2212,Pop_Census_2023!$A$2:$E$3220,5,FALSE))</f>
        <v>20371</v>
      </c>
    </row>
    <row r="2213">
      <c r="A2213" s="47" t="s">
        <v>3333</v>
      </c>
      <c r="B2213" s="47">
        <v>40141.0</v>
      </c>
      <c r="C2213" s="47">
        <v>3.0</v>
      </c>
      <c r="D2213" s="47" t="s">
        <v>4044</v>
      </c>
      <c r="E2213" s="47" t="str">
        <f t="shared" si="1"/>
        <v>3A</v>
      </c>
      <c r="F2213" s="47" t="s">
        <v>4046</v>
      </c>
      <c r="G2213" s="47" t="s">
        <v>1492</v>
      </c>
      <c r="H2213" s="48">
        <f>IF(NOT(ISBLANK(vlookup(B2213,Pop_Census_2023!$A$2:$E$3220,4,FALSE))),vlookup(B2213,Pop_Census_2023!$A$2:$E$3220,4,FALSE), vlookup(B2213,Pop_Census_2023!$A$2:$E$3220,5,FALSE))</f>
        <v>6869</v>
      </c>
    </row>
    <row r="2214">
      <c r="A2214" s="47" t="s">
        <v>3333</v>
      </c>
      <c r="B2214" s="47">
        <v>40143.0</v>
      </c>
      <c r="C2214" s="47">
        <v>3.0</v>
      </c>
      <c r="D2214" s="47" t="s">
        <v>4044</v>
      </c>
      <c r="E2214" s="47" t="str">
        <f t="shared" si="1"/>
        <v>3A</v>
      </c>
      <c r="F2214" s="47" t="s">
        <v>4046</v>
      </c>
      <c r="G2214" s="47" t="s">
        <v>1493</v>
      </c>
      <c r="H2214" s="48">
        <f>IF(NOT(ISBLANK(vlookup(B2214,Pop_Census_2023!$A$2:$E$3220,4,FALSE))),vlookup(B2214,Pop_Census_2023!$A$2:$E$3220,4,FALSE), vlookup(B2214,Pop_Census_2023!$A$2:$E$3220,5,FALSE))</f>
        <v>682868</v>
      </c>
    </row>
    <row r="2215">
      <c r="A2215" s="47" t="s">
        <v>3333</v>
      </c>
      <c r="B2215" s="47">
        <v>40145.0</v>
      </c>
      <c r="C2215" s="47">
        <v>3.0</v>
      </c>
      <c r="D2215" s="47" t="s">
        <v>4044</v>
      </c>
      <c r="E2215" s="47" t="str">
        <f t="shared" si="1"/>
        <v>3A</v>
      </c>
      <c r="F2215" s="47" t="s">
        <v>4046</v>
      </c>
      <c r="G2215" s="47" t="s">
        <v>1494</v>
      </c>
      <c r="H2215" s="48">
        <f>IF(NOT(ISBLANK(vlookup(B2215,Pop_Census_2023!$A$2:$E$3220,4,FALSE))),vlookup(B2215,Pop_Census_2023!$A$2:$E$3220,4,FALSE), vlookup(B2215,Pop_Census_2023!$A$2:$E$3220,5,FALSE))</f>
        <v>89280</v>
      </c>
    </row>
    <row r="2216">
      <c r="A2216" s="47" t="s">
        <v>3333</v>
      </c>
      <c r="B2216" s="47">
        <v>40147.0</v>
      </c>
      <c r="C2216" s="47">
        <v>3.0</v>
      </c>
      <c r="D2216" s="47" t="s">
        <v>4044</v>
      </c>
      <c r="E2216" s="47" t="str">
        <f t="shared" si="1"/>
        <v>3A</v>
      </c>
      <c r="F2216" s="47" t="s">
        <v>4046</v>
      </c>
      <c r="G2216" s="47" t="s">
        <v>167</v>
      </c>
      <c r="H2216" s="48">
        <f>IF(NOT(ISBLANK(vlookup(B2216,Pop_Census_2023!$A$2:$E$3220,4,FALSE))),vlookup(B2216,Pop_Census_2023!$A$2:$E$3220,4,FALSE), vlookup(B2216,Pop_Census_2023!$A$2:$E$3220,5,FALSE))</f>
        <v>53706</v>
      </c>
    </row>
    <row r="2217">
      <c r="A2217" s="47" t="s">
        <v>3333</v>
      </c>
      <c r="B2217" s="47">
        <v>40149.0</v>
      </c>
      <c r="C2217" s="47">
        <v>3.0</v>
      </c>
      <c r="D2217" s="47" t="s">
        <v>4044</v>
      </c>
      <c r="E2217" s="47" t="str">
        <f t="shared" si="1"/>
        <v>3A</v>
      </c>
      <c r="F2217" s="47" t="s">
        <v>4046</v>
      </c>
      <c r="G2217" s="47" t="s">
        <v>1495</v>
      </c>
      <c r="H2217" s="48">
        <f>IF(NOT(ISBLANK(vlookup(B2217,Pop_Census_2023!$A$2:$E$3220,4,FALSE))),vlookup(B2217,Pop_Census_2023!$A$2:$E$3220,4,FALSE), vlookup(B2217,Pop_Census_2023!$A$2:$E$3220,5,FALSE))</f>
        <v>10736</v>
      </c>
    </row>
    <row r="2218">
      <c r="A2218" s="47" t="s">
        <v>3333</v>
      </c>
      <c r="B2218" s="47">
        <v>40151.0</v>
      </c>
      <c r="C2218" s="47">
        <v>3.0</v>
      </c>
      <c r="D2218" s="47" t="s">
        <v>4044</v>
      </c>
      <c r="E2218" s="47" t="str">
        <f t="shared" si="1"/>
        <v>3A</v>
      </c>
      <c r="F2218" s="47" t="s">
        <v>4046</v>
      </c>
      <c r="G2218" s="47" t="s">
        <v>1496</v>
      </c>
      <c r="H2218" s="48">
        <f>IF(NOT(ISBLANK(vlookup(B2218,Pop_Census_2023!$A$2:$E$3220,4,FALSE))),vlookup(B2218,Pop_Census_2023!$A$2:$E$3220,4,FALSE), vlookup(B2218,Pop_Census_2023!$A$2:$E$3220,5,FALSE))</f>
        <v>8564</v>
      </c>
    </row>
    <row r="2219">
      <c r="A2219" s="47" t="s">
        <v>3333</v>
      </c>
      <c r="B2219" s="47">
        <v>40153.0</v>
      </c>
      <c r="C2219" s="47">
        <v>3.0</v>
      </c>
      <c r="D2219" s="47" t="s">
        <v>4044</v>
      </c>
      <c r="E2219" s="47" t="str">
        <f t="shared" si="1"/>
        <v>3A</v>
      </c>
      <c r="F2219" s="47" t="s">
        <v>4046</v>
      </c>
      <c r="G2219" s="47" t="s">
        <v>1497</v>
      </c>
      <c r="H2219" s="48">
        <f>IF(NOT(ISBLANK(vlookup(B2219,Pop_Census_2023!$A$2:$E$3220,4,FALSE))),vlookup(B2219,Pop_Census_2023!$A$2:$E$3220,4,FALSE), vlookup(B2219,Pop_Census_2023!$A$2:$E$3220,5,FALSE))</f>
        <v>19947</v>
      </c>
    </row>
    <row r="2220">
      <c r="A2220" s="47" t="s">
        <v>3376</v>
      </c>
      <c r="B2220" s="47">
        <v>41001.0</v>
      </c>
      <c r="C2220" s="47">
        <v>5.0</v>
      </c>
      <c r="D2220" s="47" t="s">
        <v>4053</v>
      </c>
      <c r="E2220" s="47" t="str">
        <f t="shared" si="1"/>
        <v>5B</v>
      </c>
      <c r="F2220" s="47" t="s">
        <v>4054</v>
      </c>
      <c r="G2220" s="47" t="s">
        <v>411</v>
      </c>
      <c r="H2220" s="48">
        <f>IF(NOT(ISBLANK(vlookup(B2220,Pop_Census_2023!$A$2:$E$3220,4,FALSE))),vlookup(B2220,Pop_Census_2023!$A$2:$E$3220,4,FALSE), vlookup(B2220,Pop_Census_2023!$A$2:$E$3220,5,FALSE))</f>
        <v>16912</v>
      </c>
    </row>
    <row r="2221">
      <c r="A2221" s="47" t="s">
        <v>3376</v>
      </c>
      <c r="B2221" s="47">
        <v>41003.0</v>
      </c>
      <c r="C2221" s="47">
        <v>4.0</v>
      </c>
      <c r="D2221" s="47" t="s">
        <v>4057</v>
      </c>
      <c r="E2221" s="47" t="str">
        <f t="shared" si="1"/>
        <v>4C</v>
      </c>
      <c r="F2221" s="47" t="s">
        <v>4058</v>
      </c>
      <c r="G2221" s="47" t="s">
        <v>224</v>
      </c>
      <c r="H2221" s="48">
        <f>IF(NOT(ISBLANK(vlookup(B2221,Pop_Census_2023!$A$2:$E$3220,4,FALSE))),vlookup(B2221,Pop_Census_2023!$A$2:$E$3220,4,FALSE), vlookup(B2221,Pop_Census_2023!$A$2:$E$3220,5,FALSE))</f>
        <v>97713</v>
      </c>
    </row>
    <row r="2222">
      <c r="A2222" s="47" t="s">
        <v>3376</v>
      </c>
      <c r="B2222" s="47">
        <v>41005.0</v>
      </c>
      <c r="C2222" s="47">
        <v>4.0</v>
      </c>
      <c r="D2222" s="47" t="s">
        <v>4057</v>
      </c>
      <c r="E2222" s="47" t="str">
        <f t="shared" si="1"/>
        <v>4C</v>
      </c>
      <c r="F2222" s="47" t="s">
        <v>4058</v>
      </c>
      <c r="G2222" s="47" t="s">
        <v>1498</v>
      </c>
      <c r="H2222" s="48">
        <f>IF(NOT(ISBLANK(vlookup(B2222,Pop_Census_2023!$A$2:$E$3220,4,FALSE))),vlookup(B2222,Pop_Census_2023!$A$2:$E$3220,4,FALSE), vlookup(B2222,Pop_Census_2023!$A$2:$E$3220,5,FALSE))</f>
        <v>423173</v>
      </c>
    </row>
    <row r="2223">
      <c r="A2223" s="47" t="s">
        <v>3376</v>
      </c>
      <c r="B2223" s="47">
        <v>41007.0</v>
      </c>
      <c r="C2223" s="47">
        <v>4.0</v>
      </c>
      <c r="D2223" s="47" t="s">
        <v>4057</v>
      </c>
      <c r="E2223" s="47" t="str">
        <f t="shared" si="1"/>
        <v>4C</v>
      </c>
      <c r="F2223" s="47" t="s">
        <v>4058</v>
      </c>
      <c r="G2223" s="47" t="s">
        <v>1499</v>
      </c>
      <c r="H2223" s="48">
        <f>IF(NOT(ISBLANK(vlookup(B2223,Pop_Census_2023!$A$2:$E$3220,4,FALSE))),vlookup(B2223,Pop_Census_2023!$A$2:$E$3220,4,FALSE), vlookup(B2223,Pop_Census_2023!$A$2:$E$3220,5,FALSE))</f>
        <v>41102</v>
      </c>
    </row>
    <row r="2224">
      <c r="A2224" s="47" t="s">
        <v>3376</v>
      </c>
      <c r="B2224" s="47">
        <v>41009.0</v>
      </c>
      <c r="C2224" s="47">
        <v>4.0</v>
      </c>
      <c r="D2224" s="47" t="s">
        <v>4057</v>
      </c>
      <c r="E2224" s="47" t="str">
        <f t="shared" si="1"/>
        <v>4C</v>
      </c>
      <c r="F2224" s="47" t="s">
        <v>4058</v>
      </c>
      <c r="G2224" s="47" t="s">
        <v>231</v>
      </c>
      <c r="H2224" s="48">
        <f>IF(NOT(ISBLANK(vlookup(B2224,Pop_Census_2023!$A$2:$E$3220,4,FALSE))),vlookup(B2224,Pop_Census_2023!$A$2:$E$3220,4,FALSE), vlookup(B2224,Pop_Census_2023!$A$2:$E$3220,5,FALSE))</f>
        <v>53880</v>
      </c>
    </row>
    <row r="2225">
      <c r="A2225" s="47" t="s">
        <v>3376</v>
      </c>
      <c r="B2225" s="47">
        <v>41011.0</v>
      </c>
      <c r="C2225" s="47">
        <v>4.0</v>
      </c>
      <c r="D2225" s="47" t="s">
        <v>4057</v>
      </c>
      <c r="E2225" s="47" t="str">
        <f t="shared" si="1"/>
        <v>4C</v>
      </c>
      <c r="F2225" s="47" t="s">
        <v>4058</v>
      </c>
      <c r="G2225" s="47" t="s">
        <v>1253</v>
      </c>
      <c r="H2225" s="48">
        <f>IF(NOT(ISBLANK(vlookup(B2225,Pop_Census_2023!$A$2:$E$3220,4,FALSE))),vlookup(B2225,Pop_Census_2023!$A$2:$E$3220,4,FALSE), vlookup(B2225,Pop_Census_2023!$A$2:$E$3220,5,FALSE))</f>
        <v>64212</v>
      </c>
    </row>
    <row r="2226">
      <c r="A2226" s="47" t="s">
        <v>3376</v>
      </c>
      <c r="B2226" s="47">
        <v>41013.0</v>
      </c>
      <c r="C2226" s="47">
        <v>5.0</v>
      </c>
      <c r="D2226" s="47" t="s">
        <v>4053</v>
      </c>
      <c r="E2226" s="47" t="str">
        <f t="shared" si="1"/>
        <v>5B</v>
      </c>
      <c r="F2226" s="47" t="s">
        <v>4054</v>
      </c>
      <c r="G2226" s="47" t="s">
        <v>1500</v>
      </c>
      <c r="H2226" s="48">
        <f>IF(NOT(ISBLANK(vlookup(B2226,Pop_Census_2023!$A$2:$E$3220,4,FALSE))),vlookup(B2226,Pop_Census_2023!$A$2:$E$3220,4,FALSE), vlookup(B2226,Pop_Census_2023!$A$2:$E$3220,5,FALSE))</f>
        <v>26952</v>
      </c>
    </row>
    <row r="2227">
      <c r="A2227" s="47" t="s">
        <v>3376</v>
      </c>
      <c r="B2227" s="47">
        <v>41015.0</v>
      </c>
      <c r="C2227" s="47">
        <v>4.0</v>
      </c>
      <c r="D2227" s="47" t="s">
        <v>4057</v>
      </c>
      <c r="E2227" s="47" t="str">
        <f t="shared" si="1"/>
        <v>4C</v>
      </c>
      <c r="F2227" s="47" t="s">
        <v>4058</v>
      </c>
      <c r="G2227" s="47" t="s">
        <v>1275</v>
      </c>
      <c r="H2227" s="48">
        <f>IF(NOT(ISBLANK(vlookup(B2227,Pop_Census_2023!$A$2:$E$3220,4,FALSE))),vlookup(B2227,Pop_Census_2023!$A$2:$E$3220,4,FALSE), vlookup(B2227,Pop_Census_2023!$A$2:$E$3220,5,FALSE))</f>
        <v>23296</v>
      </c>
    </row>
    <row r="2228">
      <c r="A2228" s="47" t="s">
        <v>3376</v>
      </c>
      <c r="B2228" s="47">
        <v>41017.0</v>
      </c>
      <c r="C2228" s="47">
        <v>5.0</v>
      </c>
      <c r="D2228" s="47" t="s">
        <v>4053</v>
      </c>
      <c r="E2228" s="47" t="str">
        <f t="shared" si="1"/>
        <v>5B</v>
      </c>
      <c r="F2228" s="47" t="s">
        <v>4054</v>
      </c>
      <c r="G2228" s="47" t="s">
        <v>1501</v>
      </c>
      <c r="H2228" s="48">
        <f>IF(NOT(ISBLANK(vlookup(B2228,Pop_Census_2023!$A$2:$E$3220,4,FALSE))),vlookup(B2228,Pop_Census_2023!$A$2:$E$3220,4,FALSE), vlookup(B2228,Pop_Census_2023!$A$2:$E$3220,5,FALSE))</f>
        <v>208513</v>
      </c>
    </row>
    <row r="2229">
      <c r="A2229" s="47" t="s">
        <v>3376</v>
      </c>
      <c r="B2229" s="47">
        <v>41019.0</v>
      </c>
      <c r="C2229" s="47">
        <v>4.0</v>
      </c>
      <c r="D2229" s="47" t="s">
        <v>4057</v>
      </c>
      <c r="E2229" s="47" t="str">
        <f t="shared" si="1"/>
        <v>4C</v>
      </c>
      <c r="F2229" s="47" t="s">
        <v>4058</v>
      </c>
      <c r="G2229" s="47" t="s">
        <v>357</v>
      </c>
      <c r="H2229" s="48">
        <f>IF(NOT(ISBLANK(vlookup(B2229,Pop_Census_2023!$A$2:$E$3220,4,FALSE))),vlookup(B2229,Pop_Census_2023!$A$2:$E$3220,4,FALSE), vlookup(B2229,Pop_Census_2023!$A$2:$E$3220,5,FALSE))</f>
        <v>112435</v>
      </c>
    </row>
    <row r="2230">
      <c r="A2230" s="47" t="s">
        <v>3376</v>
      </c>
      <c r="B2230" s="47">
        <v>41021.0</v>
      </c>
      <c r="C2230" s="47">
        <v>5.0</v>
      </c>
      <c r="D2230" s="47" t="s">
        <v>4053</v>
      </c>
      <c r="E2230" s="47" t="str">
        <f t="shared" si="1"/>
        <v>5B</v>
      </c>
      <c r="F2230" s="47" t="s">
        <v>4054</v>
      </c>
      <c r="G2230" s="47" t="s">
        <v>1502</v>
      </c>
      <c r="H2230" s="48">
        <f>IF(NOT(ISBLANK(vlookup(B2230,Pop_Census_2023!$A$2:$E$3220,4,FALSE))),vlookup(B2230,Pop_Census_2023!$A$2:$E$3220,4,FALSE), vlookup(B2230,Pop_Census_2023!$A$2:$E$3220,5,FALSE))</f>
        <v>2026</v>
      </c>
    </row>
    <row r="2231">
      <c r="A2231" s="47" t="s">
        <v>3376</v>
      </c>
      <c r="B2231" s="47">
        <v>41023.0</v>
      </c>
      <c r="C2231" s="47">
        <v>5.0</v>
      </c>
      <c r="D2231" s="47" t="s">
        <v>4053</v>
      </c>
      <c r="E2231" s="47" t="str">
        <f t="shared" si="1"/>
        <v>5B</v>
      </c>
      <c r="F2231" s="47" t="s">
        <v>4054</v>
      </c>
      <c r="G2231" s="47" t="s">
        <v>242</v>
      </c>
      <c r="H2231" s="48">
        <f>IF(NOT(ISBLANK(vlookup(B2231,Pop_Census_2023!$A$2:$E$3220,4,FALSE))),vlookup(B2231,Pop_Census_2023!$A$2:$E$3220,4,FALSE), vlookup(B2231,Pop_Census_2023!$A$2:$E$3220,5,FALSE))</f>
        <v>7215</v>
      </c>
    </row>
    <row r="2232">
      <c r="A2232" s="47" t="s">
        <v>3376</v>
      </c>
      <c r="B2232" s="47">
        <v>41025.0</v>
      </c>
      <c r="C2232" s="47">
        <v>5.0</v>
      </c>
      <c r="D2232" s="47" t="s">
        <v>4053</v>
      </c>
      <c r="E2232" s="47" t="str">
        <f t="shared" si="1"/>
        <v>5B</v>
      </c>
      <c r="F2232" s="47" t="s">
        <v>4054</v>
      </c>
      <c r="G2232" s="47" t="s">
        <v>1503</v>
      </c>
      <c r="H2232" s="48">
        <f>IF(NOT(ISBLANK(vlookup(B2232,Pop_Census_2023!$A$2:$E$3220,4,FALSE))),vlookup(B2232,Pop_Census_2023!$A$2:$E$3220,4,FALSE), vlookup(B2232,Pop_Census_2023!$A$2:$E$3220,5,FALSE))</f>
        <v>7440</v>
      </c>
    </row>
    <row r="2233">
      <c r="A2233" s="47" t="s">
        <v>3376</v>
      </c>
      <c r="B2233" s="47">
        <v>41027.0</v>
      </c>
      <c r="C2233" s="47">
        <v>5.0</v>
      </c>
      <c r="D2233" s="47" t="s">
        <v>4053</v>
      </c>
      <c r="E2233" s="47" t="str">
        <f t="shared" si="1"/>
        <v>5B</v>
      </c>
      <c r="F2233" s="47" t="s">
        <v>4054</v>
      </c>
      <c r="G2233" s="47" t="s">
        <v>1504</v>
      </c>
      <c r="H2233" s="48">
        <f>IF(NOT(ISBLANK(vlookup(B2233,Pop_Census_2023!$A$2:$E$3220,4,FALSE))),vlookup(B2233,Pop_Census_2023!$A$2:$E$3220,4,FALSE), vlookup(B2233,Pop_Census_2023!$A$2:$E$3220,5,FALSE))</f>
        <v>23745</v>
      </c>
    </row>
    <row r="2234">
      <c r="A2234" s="47" t="s">
        <v>3376</v>
      </c>
      <c r="B2234" s="47">
        <v>41029.0</v>
      </c>
      <c r="C2234" s="47">
        <v>4.0</v>
      </c>
      <c r="D2234" s="47" t="s">
        <v>4057</v>
      </c>
      <c r="E2234" s="47" t="str">
        <f t="shared" si="1"/>
        <v>4C</v>
      </c>
      <c r="F2234" s="47" t="s">
        <v>4058</v>
      </c>
      <c r="G2234" s="47" t="s">
        <v>138</v>
      </c>
      <c r="H2234" s="48">
        <f>IF(NOT(ISBLANK(vlookup(B2234,Pop_Census_2023!$A$2:$E$3220,4,FALSE))),vlookup(B2234,Pop_Census_2023!$A$2:$E$3220,4,FALSE), vlookup(B2234,Pop_Census_2023!$A$2:$E$3220,5,FALSE))</f>
        <v>220768</v>
      </c>
    </row>
    <row r="2235">
      <c r="A2235" s="47" t="s">
        <v>3376</v>
      </c>
      <c r="B2235" s="47">
        <v>41031.0</v>
      </c>
      <c r="C2235" s="47">
        <v>5.0</v>
      </c>
      <c r="D2235" s="47" t="s">
        <v>4053</v>
      </c>
      <c r="E2235" s="47" t="str">
        <f t="shared" si="1"/>
        <v>5B</v>
      </c>
      <c r="F2235" s="47" t="s">
        <v>4054</v>
      </c>
      <c r="G2235" s="47" t="s">
        <v>139</v>
      </c>
      <c r="H2235" s="48">
        <f>IF(NOT(ISBLANK(vlookup(B2235,Pop_Census_2023!$A$2:$E$3220,4,FALSE))),vlookup(B2235,Pop_Census_2023!$A$2:$E$3220,4,FALSE), vlookup(B2235,Pop_Census_2023!$A$2:$E$3220,5,FALSE))</f>
        <v>25454</v>
      </c>
    </row>
    <row r="2236">
      <c r="A2236" s="47" t="s">
        <v>3376</v>
      </c>
      <c r="B2236" s="47">
        <v>41033.0</v>
      </c>
      <c r="C2236" s="47">
        <v>4.0</v>
      </c>
      <c r="D2236" s="47" t="s">
        <v>4057</v>
      </c>
      <c r="E2236" s="47" t="str">
        <f t="shared" si="1"/>
        <v>4C</v>
      </c>
      <c r="F2236" s="47" t="s">
        <v>4058</v>
      </c>
      <c r="G2236" s="47" t="s">
        <v>1505</v>
      </c>
      <c r="H2236" s="48">
        <f>IF(NOT(ISBLANK(vlookup(B2236,Pop_Census_2023!$A$2:$E$3220,4,FALSE))),vlookup(B2236,Pop_Census_2023!$A$2:$E$3220,4,FALSE), vlookup(B2236,Pop_Census_2023!$A$2:$E$3220,5,FALSE))</f>
        <v>87821</v>
      </c>
    </row>
    <row r="2237">
      <c r="A2237" s="47" t="s">
        <v>3376</v>
      </c>
      <c r="B2237" s="47">
        <v>41035.0</v>
      </c>
      <c r="C2237" s="47">
        <v>5.0</v>
      </c>
      <c r="D2237" s="47" t="s">
        <v>4053</v>
      </c>
      <c r="E2237" s="47" t="str">
        <f t="shared" si="1"/>
        <v>5B</v>
      </c>
      <c r="F2237" s="47" t="s">
        <v>4054</v>
      </c>
      <c r="G2237" s="47" t="s">
        <v>1506</v>
      </c>
      <c r="H2237" s="48">
        <f>IF(NOT(ISBLANK(vlookup(B2237,Pop_Census_2023!$A$2:$E$3220,4,FALSE))),vlookup(B2237,Pop_Census_2023!$A$2:$E$3220,4,FALSE), vlookup(B2237,Pop_Census_2023!$A$2:$E$3220,5,FALSE))</f>
        <v>70003</v>
      </c>
    </row>
    <row r="2238">
      <c r="A2238" s="47" t="s">
        <v>3376</v>
      </c>
      <c r="B2238" s="47">
        <v>41037.0</v>
      </c>
      <c r="C2238" s="47">
        <v>5.0</v>
      </c>
      <c r="D2238" s="47" t="s">
        <v>4053</v>
      </c>
      <c r="E2238" s="47" t="str">
        <f t="shared" si="1"/>
        <v>5B</v>
      </c>
      <c r="F2238" s="47" t="s">
        <v>4054</v>
      </c>
      <c r="G2238" s="47" t="s">
        <v>298</v>
      </c>
      <c r="H2238" s="48">
        <f>IF(NOT(ISBLANK(vlookup(B2238,Pop_Census_2023!$A$2:$E$3220,4,FALSE))),vlookup(B2238,Pop_Census_2023!$A$2:$E$3220,4,FALSE), vlookup(B2238,Pop_Census_2023!$A$2:$E$3220,5,FALSE))</f>
        <v>8293</v>
      </c>
    </row>
    <row r="2239">
      <c r="A2239" s="47" t="s">
        <v>3376</v>
      </c>
      <c r="B2239" s="47">
        <v>41039.0</v>
      </c>
      <c r="C2239" s="47">
        <v>4.0</v>
      </c>
      <c r="D2239" s="47" t="s">
        <v>4057</v>
      </c>
      <c r="E2239" s="47" t="str">
        <f t="shared" si="1"/>
        <v>4C</v>
      </c>
      <c r="F2239" s="47" t="s">
        <v>4058</v>
      </c>
      <c r="G2239" s="47" t="s">
        <v>780</v>
      </c>
      <c r="H2239" s="48">
        <f>IF(NOT(ISBLANK(vlookup(B2239,Pop_Census_2023!$A$2:$E$3220,4,FALSE))),vlookup(B2239,Pop_Census_2023!$A$2:$E$3220,4,FALSE), vlookup(B2239,Pop_Census_2023!$A$2:$E$3220,5,FALSE))</f>
        <v>381181</v>
      </c>
    </row>
    <row r="2240">
      <c r="A2240" s="47" t="s">
        <v>3376</v>
      </c>
      <c r="B2240" s="47">
        <v>41041.0</v>
      </c>
      <c r="C2240" s="47">
        <v>4.0</v>
      </c>
      <c r="D2240" s="47" t="s">
        <v>4057</v>
      </c>
      <c r="E2240" s="47" t="str">
        <f t="shared" si="1"/>
        <v>4C</v>
      </c>
      <c r="F2240" s="47" t="s">
        <v>4058</v>
      </c>
      <c r="G2240" s="47" t="s">
        <v>250</v>
      </c>
      <c r="H2240" s="48">
        <f>IF(NOT(ISBLANK(vlookup(B2240,Pop_Census_2023!$A$2:$E$3220,4,FALSE))),vlookup(B2240,Pop_Census_2023!$A$2:$E$3220,4,FALSE), vlookup(B2240,Pop_Census_2023!$A$2:$E$3220,5,FALSE))</f>
        <v>50821</v>
      </c>
    </row>
    <row r="2241">
      <c r="A2241" s="47" t="s">
        <v>3376</v>
      </c>
      <c r="B2241" s="47">
        <v>41043.0</v>
      </c>
      <c r="C2241" s="47">
        <v>4.0</v>
      </c>
      <c r="D2241" s="47" t="s">
        <v>4057</v>
      </c>
      <c r="E2241" s="47" t="str">
        <f t="shared" si="1"/>
        <v>4C</v>
      </c>
      <c r="F2241" s="47" t="s">
        <v>4058</v>
      </c>
      <c r="G2241" s="47" t="s">
        <v>726</v>
      </c>
      <c r="H2241" s="48">
        <f>IF(NOT(ISBLANK(vlookup(B2241,Pop_Census_2023!$A$2:$E$3220,4,FALSE))),vlookup(B2241,Pop_Census_2023!$A$2:$E$3220,4,FALSE), vlookup(B2241,Pop_Census_2023!$A$2:$E$3220,5,FALSE))</f>
        <v>131496</v>
      </c>
    </row>
    <row r="2242">
      <c r="A2242" s="47" t="s">
        <v>3376</v>
      </c>
      <c r="B2242" s="47">
        <v>41045.0</v>
      </c>
      <c r="C2242" s="47">
        <v>5.0</v>
      </c>
      <c r="D2242" s="47" t="s">
        <v>4053</v>
      </c>
      <c r="E2242" s="47" t="str">
        <f t="shared" si="1"/>
        <v>5B</v>
      </c>
      <c r="F2242" s="47" t="s">
        <v>4054</v>
      </c>
      <c r="G2242" s="47" t="s">
        <v>1507</v>
      </c>
      <c r="H2242" s="48">
        <f>IF(NOT(ISBLANK(vlookup(B2242,Pop_Census_2023!$A$2:$E$3220,4,FALSE))),vlookup(B2242,Pop_Census_2023!$A$2:$E$3220,4,FALSE), vlookup(B2242,Pop_Census_2023!$A$2:$E$3220,5,FALSE))</f>
        <v>32044</v>
      </c>
    </row>
    <row r="2243">
      <c r="A2243" s="47" t="s">
        <v>3376</v>
      </c>
      <c r="B2243" s="47">
        <v>41047.0</v>
      </c>
      <c r="C2243" s="47">
        <v>4.0</v>
      </c>
      <c r="D2243" s="47" t="s">
        <v>4057</v>
      </c>
      <c r="E2243" s="47" t="str">
        <f t="shared" si="1"/>
        <v>4C</v>
      </c>
      <c r="F2243" s="47" t="s">
        <v>4058</v>
      </c>
      <c r="G2243" s="47" t="s">
        <v>149</v>
      </c>
      <c r="H2243" s="48">
        <f>IF(NOT(ISBLANK(vlookup(B2243,Pop_Census_2023!$A$2:$E$3220,4,FALSE))),vlookup(B2243,Pop_Census_2023!$A$2:$E$3220,4,FALSE), vlookup(B2243,Pop_Census_2023!$A$2:$E$3220,5,FALSE))</f>
        <v>346741</v>
      </c>
    </row>
    <row r="2244">
      <c r="A2244" s="47" t="s">
        <v>3376</v>
      </c>
      <c r="B2244" s="47">
        <v>41049.0</v>
      </c>
      <c r="C2244" s="47">
        <v>5.0</v>
      </c>
      <c r="D2244" s="47" t="s">
        <v>4053</v>
      </c>
      <c r="E2244" s="47" t="str">
        <f t="shared" si="1"/>
        <v>5B</v>
      </c>
      <c r="F2244" s="47" t="s">
        <v>4054</v>
      </c>
      <c r="G2244" s="47" t="s">
        <v>1443</v>
      </c>
      <c r="H2244" s="48">
        <f>IF(NOT(ISBLANK(vlookup(B2244,Pop_Census_2023!$A$2:$E$3220,4,FALSE))),vlookup(B2244,Pop_Census_2023!$A$2:$E$3220,4,FALSE), vlookup(B2244,Pop_Census_2023!$A$2:$E$3220,5,FALSE))</f>
        <v>12302</v>
      </c>
    </row>
    <row r="2245">
      <c r="A2245" s="47" t="s">
        <v>3376</v>
      </c>
      <c r="B2245" s="47">
        <v>41051.0</v>
      </c>
      <c r="C2245" s="47">
        <v>4.0</v>
      </c>
      <c r="D2245" s="47" t="s">
        <v>4057</v>
      </c>
      <c r="E2245" s="47" t="str">
        <f t="shared" si="1"/>
        <v>4C</v>
      </c>
      <c r="F2245" s="47" t="s">
        <v>4058</v>
      </c>
      <c r="G2245" s="47" t="s">
        <v>1508</v>
      </c>
      <c r="H2245" s="48">
        <f>IF(NOT(ISBLANK(vlookup(B2245,Pop_Census_2023!$A$2:$E$3220,4,FALSE))),vlookup(B2245,Pop_Census_2023!$A$2:$E$3220,4,FALSE), vlookup(B2245,Pop_Census_2023!$A$2:$E$3220,5,FALSE))</f>
        <v>789698</v>
      </c>
    </row>
    <row r="2246">
      <c r="A2246" s="47" t="s">
        <v>3376</v>
      </c>
      <c r="B2246" s="47">
        <v>41053.0</v>
      </c>
      <c r="C2246" s="47">
        <v>4.0</v>
      </c>
      <c r="D2246" s="47" t="s">
        <v>4057</v>
      </c>
      <c r="E2246" s="47" t="str">
        <f t="shared" si="1"/>
        <v>4C</v>
      </c>
      <c r="F2246" s="47" t="s">
        <v>4058</v>
      </c>
      <c r="G2246" s="47" t="s">
        <v>261</v>
      </c>
      <c r="H2246" s="48">
        <f>IF(NOT(ISBLANK(vlookup(B2246,Pop_Census_2023!$A$2:$E$3220,4,FALSE))),vlookup(B2246,Pop_Census_2023!$A$2:$E$3220,4,FALSE), vlookup(B2246,Pop_Census_2023!$A$2:$E$3220,5,FALSE))</f>
        <v>89805</v>
      </c>
    </row>
    <row r="2247">
      <c r="A2247" s="47" t="s">
        <v>3376</v>
      </c>
      <c r="B2247" s="47">
        <v>41055.0</v>
      </c>
      <c r="C2247" s="47">
        <v>5.0</v>
      </c>
      <c r="D2247" s="47" t="s">
        <v>4053</v>
      </c>
      <c r="E2247" s="47" t="str">
        <f t="shared" si="1"/>
        <v>5B</v>
      </c>
      <c r="F2247" s="47" t="s">
        <v>4054</v>
      </c>
      <c r="G2247" s="47" t="s">
        <v>805</v>
      </c>
      <c r="H2247" s="48">
        <f>IF(NOT(ISBLANK(vlookup(B2247,Pop_Census_2023!$A$2:$E$3220,4,FALSE))),vlookup(B2247,Pop_Census_2023!$A$2:$E$3220,4,FALSE), vlookup(B2247,Pop_Census_2023!$A$2:$E$3220,5,FALSE))</f>
        <v>1951</v>
      </c>
    </row>
    <row r="2248">
      <c r="A2248" s="47" t="s">
        <v>3376</v>
      </c>
      <c r="B2248" s="47">
        <v>41057.0</v>
      </c>
      <c r="C2248" s="47">
        <v>4.0</v>
      </c>
      <c r="D2248" s="47" t="s">
        <v>4057</v>
      </c>
      <c r="E2248" s="47" t="str">
        <f t="shared" si="1"/>
        <v>4C</v>
      </c>
      <c r="F2248" s="47" t="s">
        <v>4058</v>
      </c>
      <c r="G2248" s="47" t="s">
        <v>1509</v>
      </c>
      <c r="H2248" s="48">
        <f>IF(NOT(ISBLANK(vlookup(B2248,Pop_Census_2023!$A$2:$E$3220,4,FALSE))),vlookup(B2248,Pop_Census_2023!$A$2:$E$3220,4,FALSE), vlookup(B2248,Pop_Census_2023!$A$2:$E$3220,5,FALSE))</f>
        <v>27417</v>
      </c>
    </row>
    <row r="2249">
      <c r="A2249" s="47" t="s">
        <v>3376</v>
      </c>
      <c r="B2249" s="47">
        <v>41059.0</v>
      </c>
      <c r="C2249" s="47">
        <v>5.0</v>
      </c>
      <c r="D2249" s="47" t="s">
        <v>4053</v>
      </c>
      <c r="E2249" s="47" t="str">
        <f t="shared" si="1"/>
        <v>5B</v>
      </c>
      <c r="F2249" s="47" t="s">
        <v>4054</v>
      </c>
      <c r="G2249" s="47" t="s">
        <v>1510</v>
      </c>
      <c r="H2249" s="48">
        <f>IF(NOT(ISBLANK(vlookup(B2249,Pop_Census_2023!$A$2:$E$3220,4,FALSE))),vlookup(B2249,Pop_Census_2023!$A$2:$E$3220,4,FALSE), vlookup(B2249,Pop_Census_2023!$A$2:$E$3220,5,FALSE))</f>
        <v>80053</v>
      </c>
    </row>
    <row r="2250">
      <c r="A2250" s="47" t="s">
        <v>3376</v>
      </c>
      <c r="B2250" s="47">
        <v>41061.0</v>
      </c>
      <c r="C2250" s="47">
        <v>5.0</v>
      </c>
      <c r="D2250" s="47" t="s">
        <v>4053</v>
      </c>
      <c r="E2250" s="47" t="str">
        <f t="shared" si="1"/>
        <v>5B</v>
      </c>
      <c r="F2250" s="47" t="s">
        <v>4054</v>
      </c>
      <c r="G2250" s="47" t="s">
        <v>273</v>
      </c>
      <c r="H2250" s="48">
        <f>IF(NOT(ISBLANK(vlookup(B2250,Pop_Census_2023!$A$2:$E$3220,4,FALSE))),vlookup(B2250,Pop_Census_2023!$A$2:$E$3220,4,FALSE), vlookup(B2250,Pop_Census_2023!$A$2:$E$3220,5,FALSE))</f>
        <v>25944</v>
      </c>
    </row>
    <row r="2251">
      <c r="A2251" s="47" t="s">
        <v>3376</v>
      </c>
      <c r="B2251" s="47">
        <v>41063.0</v>
      </c>
      <c r="C2251" s="47">
        <v>5.0</v>
      </c>
      <c r="D2251" s="47" t="s">
        <v>4053</v>
      </c>
      <c r="E2251" s="47" t="str">
        <f t="shared" si="1"/>
        <v>5B</v>
      </c>
      <c r="F2251" s="47" t="s">
        <v>4054</v>
      </c>
      <c r="G2251" s="47" t="s">
        <v>1511</v>
      </c>
      <c r="H2251" s="48">
        <f>IF(NOT(ISBLANK(vlookup(B2251,Pop_Census_2023!$A$2:$E$3220,4,FALSE))),vlookup(B2251,Pop_Census_2023!$A$2:$E$3220,4,FALSE), vlookup(B2251,Pop_Census_2023!$A$2:$E$3220,5,FALSE))</f>
        <v>7674</v>
      </c>
    </row>
    <row r="2252">
      <c r="A2252" s="47" t="s">
        <v>3376</v>
      </c>
      <c r="B2252" s="47">
        <v>41065.0</v>
      </c>
      <c r="C2252" s="47">
        <v>5.0</v>
      </c>
      <c r="D2252" s="47" t="s">
        <v>4053</v>
      </c>
      <c r="E2252" s="47" t="str">
        <f t="shared" si="1"/>
        <v>5B</v>
      </c>
      <c r="F2252" s="47" t="s">
        <v>4054</v>
      </c>
      <c r="G2252" s="47" t="s">
        <v>1512</v>
      </c>
      <c r="H2252" s="48">
        <f>IF(NOT(ISBLANK(vlookup(B2252,Pop_Census_2023!$A$2:$E$3220,4,FALSE))),vlookup(B2252,Pop_Census_2023!$A$2:$E$3220,4,FALSE), vlookup(B2252,Pop_Census_2023!$A$2:$E$3220,5,FALSE))</f>
        <v>26333</v>
      </c>
    </row>
    <row r="2253">
      <c r="A2253" s="47" t="s">
        <v>3376</v>
      </c>
      <c r="B2253" s="47">
        <v>41067.0</v>
      </c>
      <c r="C2253" s="47">
        <v>4.0</v>
      </c>
      <c r="D2253" s="47" t="s">
        <v>4057</v>
      </c>
      <c r="E2253" s="47" t="str">
        <f t="shared" si="1"/>
        <v>4C</v>
      </c>
      <c r="F2253" s="47" t="s">
        <v>4058</v>
      </c>
      <c r="G2253" s="47" t="s">
        <v>167</v>
      </c>
      <c r="H2253" s="48">
        <f>IF(NOT(ISBLANK(vlookup(B2253,Pop_Census_2023!$A$2:$E$3220,4,FALSE))),vlookup(B2253,Pop_Census_2023!$A$2:$E$3220,4,FALSE), vlookup(B2253,Pop_Census_2023!$A$2:$E$3220,5,FALSE))</f>
        <v>598865</v>
      </c>
    </row>
    <row r="2254">
      <c r="A2254" s="47" t="s">
        <v>3376</v>
      </c>
      <c r="B2254" s="47">
        <v>41069.0</v>
      </c>
      <c r="C2254" s="47">
        <v>5.0</v>
      </c>
      <c r="D2254" s="47" t="s">
        <v>4053</v>
      </c>
      <c r="E2254" s="47" t="str">
        <f t="shared" si="1"/>
        <v>5B</v>
      </c>
      <c r="F2254" s="47" t="s">
        <v>4054</v>
      </c>
      <c r="G2254" s="47" t="s">
        <v>564</v>
      </c>
      <c r="H2254" s="48">
        <f>IF(NOT(ISBLANK(vlookup(B2254,Pop_Census_2023!$A$2:$E$3220,4,FALSE))),vlookup(B2254,Pop_Census_2023!$A$2:$E$3220,4,FALSE), vlookup(B2254,Pop_Census_2023!$A$2:$E$3220,5,FALSE))</f>
        <v>1436</v>
      </c>
    </row>
    <row r="2255">
      <c r="A2255" s="47" t="s">
        <v>3376</v>
      </c>
      <c r="B2255" s="47">
        <v>41071.0</v>
      </c>
      <c r="C2255" s="47">
        <v>4.0</v>
      </c>
      <c r="D2255" s="47" t="s">
        <v>4057</v>
      </c>
      <c r="E2255" s="47" t="str">
        <f t="shared" si="1"/>
        <v>4C</v>
      </c>
      <c r="F2255" s="47" t="s">
        <v>4058</v>
      </c>
      <c r="G2255" s="47" t="s">
        <v>1513</v>
      </c>
      <c r="H2255" s="48">
        <f>IF(NOT(ISBLANK(vlookup(B2255,Pop_Census_2023!$A$2:$E$3220,4,FALSE))),vlookup(B2255,Pop_Census_2023!$A$2:$E$3220,4,FALSE), vlookup(B2255,Pop_Census_2023!$A$2:$E$3220,5,FALSE))</f>
        <v>108644</v>
      </c>
    </row>
    <row r="2256">
      <c r="A2256" s="47" t="s">
        <v>3393</v>
      </c>
      <c r="B2256" s="47">
        <v>42001.0</v>
      </c>
      <c r="C2256" s="47">
        <v>5.0</v>
      </c>
      <c r="D2256" s="47" t="s">
        <v>4044</v>
      </c>
      <c r="E2256" s="47" t="str">
        <f t="shared" si="1"/>
        <v>5A</v>
      </c>
      <c r="F2256" s="47" t="s">
        <v>4054</v>
      </c>
      <c r="G2256" s="47" t="s">
        <v>338</v>
      </c>
      <c r="H2256" s="48">
        <f>IF(NOT(ISBLANK(vlookup(B2256,Pop_Census_2023!$A$2:$E$3220,4,FALSE))),vlookup(B2256,Pop_Census_2023!$A$2:$E$3220,4,FALSE), vlookup(B2256,Pop_Census_2023!$A$2:$E$3220,5,FALSE))</f>
        <v>106748</v>
      </c>
    </row>
    <row r="2257">
      <c r="A2257" s="47" t="s">
        <v>3393</v>
      </c>
      <c r="B2257" s="47">
        <v>42003.0</v>
      </c>
      <c r="C2257" s="47">
        <v>5.0</v>
      </c>
      <c r="D2257" s="47" t="s">
        <v>4044</v>
      </c>
      <c r="E2257" s="47" t="str">
        <f t="shared" si="1"/>
        <v>5A</v>
      </c>
      <c r="F2257" s="47" t="s">
        <v>4054</v>
      </c>
      <c r="G2257" s="47" t="s">
        <v>1515</v>
      </c>
      <c r="H2257" s="48">
        <f>IF(NOT(ISBLANK(vlookup(B2257,Pop_Census_2023!$A$2:$E$3220,4,FALSE))),vlookup(B2257,Pop_Census_2023!$A$2:$E$3220,4,FALSE), vlookup(B2257,Pop_Census_2023!$A$2:$E$3220,5,FALSE))</f>
        <v>1224825</v>
      </c>
    </row>
    <row r="2258">
      <c r="A2258" s="47" t="s">
        <v>3393</v>
      </c>
      <c r="B2258" s="47">
        <v>42005.0</v>
      </c>
      <c r="C2258" s="47">
        <v>5.0</v>
      </c>
      <c r="D2258" s="47" t="s">
        <v>4044</v>
      </c>
      <c r="E2258" s="47" t="str">
        <f t="shared" si="1"/>
        <v>5A</v>
      </c>
      <c r="F2258" s="47" t="s">
        <v>4054</v>
      </c>
      <c r="G2258" s="47" t="s">
        <v>1516</v>
      </c>
      <c r="H2258" s="48">
        <f>IF(NOT(ISBLANK(vlookup(B2258,Pop_Census_2023!$A$2:$E$3220,4,FALSE))),vlookup(B2258,Pop_Census_2023!$A$2:$E$3220,4,FALSE), vlookup(B2258,Pop_Census_2023!$A$2:$E$3220,5,FALSE))</f>
        <v>64074</v>
      </c>
    </row>
    <row r="2259">
      <c r="A2259" s="47" t="s">
        <v>3393</v>
      </c>
      <c r="B2259" s="47">
        <v>42007.0</v>
      </c>
      <c r="C2259" s="47">
        <v>5.0</v>
      </c>
      <c r="D2259" s="47" t="s">
        <v>4044</v>
      </c>
      <c r="E2259" s="47" t="str">
        <f t="shared" si="1"/>
        <v>5A</v>
      </c>
      <c r="F2259" s="47" t="s">
        <v>4054</v>
      </c>
      <c r="G2259" s="47" t="s">
        <v>1460</v>
      </c>
      <c r="H2259" s="48">
        <f>IF(NOT(ISBLANK(vlookup(B2259,Pop_Census_2023!$A$2:$E$3220,4,FALSE))),vlookup(B2259,Pop_Census_2023!$A$2:$E$3220,4,FALSE), vlookup(B2259,Pop_Census_2023!$A$2:$E$3220,5,FALSE))</f>
        <v>165631</v>
      </c>
    </row>
    <row r="2260">
      <c r="A2260" s="47" t="s">
        <v>3393</v>
      </c>
      <c r="B2260" s="47">
        <v>42009.0</v>
      </c>
      <c r="C2260" s="47">
        <v>5.0</v>
      </c>
      <c r="D2260" s="47" t="s">
        <v>4044</v>
      </c>
      <c r="E2260" s="47" t="str">
        <f t="shared" si="1"/>
        <v>5A</v>
      </c>
      <c r="F2260" s="47" t="s">
        <v>4054</v>
      </c>
      <c r="G2260" s="47" t="s">
        <v>1517</v>
      </c>
      <c r="H2260" s="48">
        <f>IF(NOT(ISBLANK(vlookup(B2260,Pop_Census_2023!$A$2:$E$3220,4,FALSE))),vlookup(B2260,Pop_Census_2023!$A$2:$E$3220,4,FALSE), vlookup(B2260,Pop_Census_2023!$A$2:$E$3220,5,FALSE))</f>
        <v>47350</v>
      </c>
    </row>
    <row r="2261">
      <c r="A2261" s="47" t="s">
        <v>3393</v>
      </c>
      <c r="B2261" s="47">
        <v>42011.0</v>
      </c>
      <c r="C2261" s="47">
        <v>5.0</v>
      </c>
      <c r="D2261" s="47" t="s">
        <v>4044</v>
      </c>
      <c r="E2261" s="47" t="str">
        <f t="shared" si="1"/>
        <v>5A</v>
      </c>
      <c r="F2261" s="47" t="s">
        <v>4054</v>
      </c>
      <c r="G2261" s="47" t="s">
        <v>1518</v>
      </c>
      <c r="H2261" s="48">
        <f>IF(NOT(ISBLANK(vlookup(B2261,Pop_Census_2023!$A$2:$E$3220,4,FALSE))),vlookup(B2261,Pop_Census_2023!$A$2:$E$3220,4,FALSE), vlookup(B2261,Pop_Census_2023!$A$2:$E$3220,5,FALSE))</f>
        <v>432821</v>
      </c>
    </row>
    <row r="2262">
      <c r="A2262" s="47" t="s">
        <v>3393</v>
      </c>
      <c r="B2262" s="47">
        <v>42013.0</v>
      </c>
      <c r="C2262" s="47">
        <v>5.0</v>
      </c>
      <c r="D2262" s="47" t="s">
        <v>4044</v>
      </c>
      <c r="E2262" s="47" t="str">
        <f t="shared" si="1"/>
        <v>5A</v>
      </c>
      <c r="F2262" s="47" t="s">
        <v>4054</v>
      </c>
      <c r="G2262" s="47" t="s">
        <v>1519</v>
      </c>
      <c r="H2262" s="48">
        <f>IF(NOT(ISBLANK(vlookup(B2262,Pop_Census_2023!$A$2:$E$3220,4,FALSE))),vlookup(B2262,Pop_Census_2023!$A$2:$E$3220,4,FALSE), vlookup(B2262,Pop_Census_2023!$A$2:$E$3220,5,FALSE))</f>
        <v>120273</v>
      </c>
    </row>
    <row r="2263">
      <c r="A2263" s="47" t="s">
        <v>3393</v>
      </c>
      <c r="B2263" s="47">
        <v>42015.0</v>
      </c>
      <c r="C2263" s="47">
        <v>5.0</v>
      </c>
      <c r="D2263" s="47" t="s">
        <v>4044</v>
      </c>
      <c r="E2263" s="47" t="str">
        <f t="shared" si="1"/>
        <v>5A</v>
      </c>
      <c r="F2263" s="47" t="s">
        <v>4054</v>
      </c>
      <c r="G2263" s="47" t="s">
        <v>413</v>
      </c>
      <c r="H2263" s="48">
        <f>IF(NOT(ISBLANK(vlookup(B2263,Pop_Census_2023!$A$2:$E$3220,4,FALSE))),vlookup(B2263,Pop_Census_2023!$A$2:$E$3220,4,FALSE), vlookup(B2263,Pop_Census_2023!$A$2:$E$3220,5,FALSE))</f>
        <v>59695</v>
      </c>
    </row>
    <row r="2264">
      <c r="A2264" s="47" t="s">
        <v>3393</v>
      </c>
      <c r="B2264" s="47">
        <v>42017.0</v>
      </c>
      <c r="C2264" s="47">
        <v>4.0</v>
      </c>
      <c r="D2264" s="47" t="s">
        <v>4044</v>
      </c>
      <c r="E2264" s="47" t="str">
        <f t="shared" si="1"/>
        <v>4A</v>
      </c>
      <c r="F2264" s="47" t="s">
        <v>4046</v>
      </c>
      <c r="G2264" s="47" t="s">
        <v>1520</v>
      </c>
      <c r="H2264" s="48">
        <f>IF(NOT(ISBLANK(vlookup(B2264,Pop_Census_2023!$A$2:$E$3220,4,FALSE))),vlookup(B2264,Pop_Census_2023!$A$2:$E$3220,4,FALSE), vlookup(B2264,Pop_Census_2023!$A$2:$E$3220,5,FALSE))</f>
        <v>645984</v>
      </c>
    </row>
    <row r="2265">
      <c r="A2265" s="47" t="s">
        <v>3393</v>
      </c>
      <c r="B2265" s="47">
        <v>42019.0</v>
      </c>
      <c r="C2265" s="47">
        <v>5.0</v>
      </c>
      <c r="D2265" s="47" t="s">
        <v>4044</v>
      </c>
      <c r="E2265" s="47" t="str">
        <f t="shared" si="1"/>
        <v>5A</v>
      </c>
      <c r="F2265" s="47" t="s">
        <v>4054</v>
      </c>
      <c r="G2265" s="47" t="s">
        <v>109</v>
      </c>
      <c r="H2265" s="48">
        <f>IF(NOT(ISBLANK(vlookup(B2265,Pop_Census_2023!$A$2:$E$3220,4,FALSE))),vlookup(B2265,Pop_Census_2023!$A$2:$E$3220,4,FALSE), vlookup(B2265,Pop_Census_2023!$A$2:$E$3220,5,FALSE))</f>
        <v>198413</v>
      </c>
    </row>
    <row r="2266">
      <c r="A2266" s="47" t="s">
        <v>3393</v>
      </c>
      <c r="B2266" s="47">
        <v>42021.0</v>
      </c>
      <c r="C2266" s="47">
        <v>5.0</v>
      </c>
      <c r="D2266" s="47" t="s">
        <v>4044</v>
      </c>
      <c r="E2266" s="47" t="str">
        <f t="shared" si="1"/>
        <v>5A</v>
      </c>
      <c r="F2266" s="47" t="s">
        <v>4054</v>
      </c>
      <c r="G2266" s="47" t="s">
        <v>1521</v>
      </c>
      <c r="H2266" s="48">
        <f>IF(NOT(ISBLANK(vlookup(B2266,Pop_Census_2023!$A$2:$E$3220,4,FALSE))),vlookup(B2266,Pop_Census_2023!$A$2:$E$3220,4,FALSE), vlookup(B2266,Pop_Census_2023!$A$2:$E$3220,5,FALSE))</f>
        <v>130668</v>
      </c>
    </row>
    <row r="2267">
      <c r="A2267" s="47" t="s">
        <v>3393</v>
      </c>
      <c r="B2267" s="47">
        <v>42023.0</v>
      </c>
      <c r="C2267" s="47">
        <v>6.0</v>
      </c>
      <c r="D2267" s="47" t="s">
        <v>4044</v>
      </c>
      <c r="E2267" s="47" t="str">
        <f t="shared" si="1"/>
        <v>6A</v>
      </c>
      <c r="F2267" s="47" t="s">
        <v>4054</v>
      </c>
      <c r="G2267" s="47" t="s">
        <v>884</v>
      </c>
      <c r="H2267" s="48">
        <f>IF(NOT(ISBLANK(vlookup(B2267,Pop_Census_2023!$A$2:$E$3220,4,FALSE))),vlookup(B2267,Pop_Census_2023!$A$2:$E$3220,4,FALSE), vlookup(B2267,Pop_Census_2023!$A$2:$E$3220,5,FALSE))</f>
        <v>4380</v>
      </c>
    </row>
    <row r="2268">
      <c r="A2268" s="47" t="s">
        <v>3393</v>
      </c>
      <c r="B2268" s="47">
        <v>42025.0</v>
      </c>
      <c r="C2268" s="47">
        <v>5.0</v>
      </c>
      <c r="D2268" s="47" t="s">
        <v>4044</v>
      </c>
      <c r="E2268" s="47" t="str">
        <f t="shared" si="1"/>
        <v>5A</v>
      </c>
      <c r="F2268" s="47" t="s">
        <v>4054</v>
      </c>
      <c r="G2268" s="47" t="s">
        <v>1165</v>
      </c>
      <c r="H2268" s="48">
        <f>IF(NOT(ISBLANK(vlookup(B2268,Pop_Census_2023!$A$2:$E$3220,4,FALSE))),vlookup(B2268,Pop_Census_2023!$A$2:$E$3220,4,FALSE), vlookup(B2268,Pop_Census_2023!$A$2:$E$3220,5,FALSE))</f>
        <v>65458</v>
      </c>
    </row>
    <row r="2269">
      <c r="A2269" s="47" t="s">
        <v>3393</v>
      </c>
      <c r="B2269" s="47">
        <v>42027.0</v>
      </c>
      <c r="C2269" s="47">
        <v>5.0</v>
      </c>
      <c r="D2269" s="47" t="s">
        <v>4044</v>
      </c>
      <c r="E2269" s="47" t="str">
        <f t="shared" si="1"/>
        <v>5A</v>
      </c>
      <c r="F2269" s="47" t="s">
        <v>4054</v>
      </c>
      <c r="G2269" s="47" t="s">
        <v>1522</v>
      </c>
      <c r="H2269" s="48">
        <f>IF(NOT(ISBLANK(vlookup(B2269,Pop_Census_2023!$A$2:$E$3220,4,FALSE))),vlookup(B2269,Pop_Census_2023!$A$2:$E$3220,4,FALSE), vlookup(B2269,Pop_Census_2023!$A$2:$E$3220,5,FALSE))</f>
        <v>157795</v>
      </c>
    </row>
    <row r="2270">
      <c r="A2270" s="47" t="s">
        <v>3393</v>
      </c>
      <c r="B2270" s="47">
        <v>42029.0</v>
      </c>
      <c r="C2270" s="47">
        <v>4.0</v>
      </c>
      <c r="D2270" s="47" t="s">
        <v>4044</v>
      </c>
      <c r="E2270" s="47" t="str">
        <f t="shared" si="1"/>
        <v>4A</v>
      </c>
      <c r="F2270" s="47" t="s">
        <v>4046</v>
      </c>
      <c r="G2270" s="47" t="s">
        <v>1523</v>
      </c>
      <c r="H2270" s="48">
        <f>IF(NOT(ISBLANK(vlookup(B2270,Pop_Census_2023!$A$2:$E$3220,4,FALSE))),vlookup(B2270,Pop_Census_2023!$A$2:$E$3220,4,FALSE), vlookup(B2270,Pop_Census_2023!$A$2:$E$3220,5,FALSE))</f>
        <v>549784</v>
      </c>
    </row>
    <row r="2271">
      <c r="A2271" s="47" t="s">
        <v>3393</v>
      </c>
      <c r="B2271" s="47">
        <v>42031.0</v>
      </c>
      <c r="C2271" s="47">
        <v>5.0</v>
      </c>
      <c r="D2271" s="47" t="s">
        <v>4044</v>
      </c>
      <c r="E2271" s="47" t="str">
        <f t="shared" si="1"/>
        <v>5A</v>
      </c>
      <c r="F2271" s="47" t="s">
        <v>4054</v>
      </c>
      <c r="G2271" s="47" t="s">
        <v>1524</v>
      </c>
      <c r="H2271" s="48">
        <f>IF(NOT(ISBLANK(vlookup(B2271,Pop_Census_2023!$A$2:$E$3220,4,FALSE))),vlookup(B2271,Pop_Census_2023!$A$2:$E$3220,4,FALSE), vlookup(B2271,Pop_Census_2023!$A$2:$E$3220,5,FALSE))</f>
        <v>36970</v>
      </c>
    </row>
    <row r="2272">
      <c r="A2272" s="47" t="s">
        <v>3393</v>
      </c>
      <c r="B2272" s="47">
        <v>42033.0</v>
      </c>
      <c r="C2272" s="47">
        <v>6.0</v>
      </c>
      <c r="D2272" s="47" t="s">
        <v>4044</v>
      </c>
      <c r="E2272" s="47" t="str">
        <f t="shared" si="1"/>
        <v>6A</v>
      </c>
      <c r="F2272" s="47" t="s">
        <v>4054</v>
      </c>
      <c r="G2272" s="47" t="s">
        <v>1525</v>
      </c>
      <c r="H2272" s="48">
        <f>IF(NOT(ISBLANK(vlookup(B2272,Pop_Census_2023!$A$2:$E$3220,4,FALSE))),vlookup(B2272,Pop_Census_2023!$A$2:$E$3220,4,FALSE), vlookup(B2272,Pop_Census_2023!$A$2:$E$3220,5,FALSE))</f>
        <v>77090</v>
      </c>
    </row>
    <row r="2273">
      <c r="A2273" s="47" t="s">
        <v>3393</v>
      </c>
      <c r="B2273" s="47">
        <v>42035.0</v>
      </c>
      <c r="C2273" s="47">
        <v>5.0</v>
      </c>
      <c r="D2273" s="47" t="s">
        <v>4044</v>
      </c>
      <c r="E2273" s="47" t="str">
        <f t="shared" si="1"/>
        <v>5A</v>
      </c>
      <c r="F2273" s="47" t="s">
        <v>4054</v>
      </c>
      <c r="G2273" s="47" t="s">
        <v>616</v>
      </c>
      <c r="H2273" s="48">
        <f>IF(NOT(ISBLANK(vlookup(B2273,Pop_Census_2023!$A$2:$E$3220,4,FALSE))),vlookup(B2273,Pop_Census_2023!$A$2:$E$3220,4,FALSE), vlookup(B2273,Pop_Census_2023!$A$2:$E$3220,5,FALSE))</f>
        <v>37607</v>
      </c>
    </row>
    <row r="2274">
      <c r="A2274" s="47" t="s">
        <v>3393</v>
      </c>
      <c r="B2274" s="47">
        <v>42037.0</v>
      </c>
      <c r="C2274" s="47">
        <v>5.0</v>
      </c>
      <c r="D2274" s="47" t="s">
        <v>4044</v>
      </c>
      <c r="E2274" s="47" t="str">
        <f t="shared" si="1"/>
        <v>5A</v>
      </c>
      <c r="F2274" s="47" t="s">
        <v>4054</v>
      </c>
      <c r="G2274" s="47" t="s">
        <v>231</v>
      </c>
      <c r="H2274" s="48">
        <f>IF(NOT(ISBLANK(vlookup(B2274,Pop_Census_2023!$A$2:$E$3220,4,FALSE))),vlookup(B2274,Pop_Census_2023!$A$2:$E$3220,4,FALSE), vlookup(B2274,Pop_Census_2023!$A$2:$E$3220,5,FALSE))</f>
        <v>65439</v>
      </c>
    </row>
    <row r="2275">
      <c r="A2275" s="47" t="s">
        <v>3393</v>
      </c>
      <c r="B2275" s="47">
        <v>42039.0</v>
      </c>
      <c r="C2275" s="47">
        <v>5.0</v>
      </c>
      <c r="D2275" s="47" t="s">
        <v>4044</v>
      </c>
      <c r="E2275" s="47" t="str">
        <f t="shared" si="1"/>
        <v>5A</v>
      </c>
      <c r="F2275" s="47" t="s">
        <v>4054</v>
      </c>
      <c r="G2275" s="47" t="s">
        <v>234</v>
      </c>
      <c r="H2275" s="48">
        <f>IF(NOT(ISBLANK(vlookup(B2275,Pop_Census_2023!$A$2:$E$3220,4,FALSE))),vlookup(B2275,Pop_Census_2023!$A$2:$E$3220,4,FALSE), vlookup(B2275,Pop_Census_2023!$A$2:$E$3220,5,FALSE))</f>
        <v>82001</v>
      </c>
    </row>
    <row r="2276">
      <c r="A2276" s="47" t="s">
        <v>3393</v>
      </c>
      <c r="B2276" s="47">
        <v>42041.0</v>
      </c>
      <c r="C2276" s="47">
        <v>5.0</v>
      </c>
      <c r="D2276" s="47" t="s">
        <v>4044</v>
      </c>
      <c r="E2276" s="47" t="str">
        <f t="shared" si="1"/>
        <v>5A</v>
      </c>
      <c r="F2276" s="47" t="s">
        <v>4054</v>
      </c>
      <c r="G2276" s="47" t="s">
        <v>618</v>
      </c>
      <c r="H2276" s="48">
        <f>IF(NOT(ISBLANK(vlookup(B2276,Pop_Census_2023!$A$2:$E$3220,4,FALSE))),vlookup(B2276,Pop_Census_2023!$A$2:$E$3220,4,FALSE), vlookup(B2276,Pop_Census_2023!$A$2:$E$3220,5,FALSE))</f>
        <v>270738</v>
      </c>
    </row>
    <row r="2277">
      <c r="A2277" s="47" t="s">
        <v>3393</v>
      </c>
      <c r="B2277" s="47">
        <v>42043.0</v>
      </c>
      <c r="C2277" s="47">
        <v>5.0</v>
      </c>
      <c r="D2277" s="47" t="s">
        <v>4044</v>
      </c>
      <c r="E2277" s="47" t="str">
        <f t="shared" si="1"/>
        <v>5A</v>
      </c>
      <c r="F2277" s="47" t="s">
        <v>4054</v>
      </c>
      <c r="G2277" s="47" t="s">
        <v>1526</v>
      </c>
      <c r="H2277" s="48">
        <f>IF(NOT(ISBLANK(vlookup(B2277,Pop_Census_2023!$A$2:$E$3220,4,FALSE))),vlookup(B2277,Pop_Census_2023!$A$2:$E$3220,4,FALSE), vlookup(B2277,Pop_Census_2023!$A$2:$E$3220,5,FALSE))</f>
        <v>289234</v>
      </c>
    </row>
    <row r="2278">
      <c r="A2278" s="47" t="s">
        <v>3393</v>
      </c>
      <c r="B2278" s="47">
        <v>42045.0</v>
      </c>
      <c r="C2278" s="47">
        <v>4.0</v>
      </c>
      <c r="D2278" s="47" t="s">
        <v>4044</v>
      </c>
      <c r="E2278" s="47" t="str">
        <f t="shared" si="1"/>
        <v>4A</v>
      </c>
      <c r="F2278" s="47" t="s">
        <v>4046</v>
      </c>
      <c r="G2278" s="47" t="s">
        <v>405</v>
      </c>
      <c r="H2278" s="48">
        <f>IF(NOT(ISBLANK(vlookup(B2278,Pop_Census_2023!$A$2:$E$3220,4,FALSE))),vlookup(B2278,Pop_Census_2023!$A$2:$E$3220,4,FALSE), vlookup(B2278,Pop_Census_2023!$A$2:$E$3220,5,FALSE))</f>
        <v>576720</v>
      </c>
    </row>
    <row r="2279">
      <c r="A2279" s="47" t="s">
        <v>3393</v>
      </c>
      <c r="B2279" s="47">
        <v>42047.0</v>
      </c>
      <c r="C2279" s="47">
        <v>6.0</v>
      </c>
      <c r="D2279" s="47" t="s">
        <v>4044</v>
      </c>
      <c r="E2279" s="47" t="str">
        <f t="shared" si="1"/>
        <v>6A</v>
      </c>
      <c r="F2279" s="47" t="s">
        <v>4054</v>
      </c>
      <c r="G2279" s="47" t="s">
        <v>763</v>
      </c>
      <c r="H2279" s="48">
        <f>IF(NOT(ISBLANK(vlookup(B2279,Pop_Census_2023!$A$2:$E$3220,4,FALSE))),vlookup(B2279,Pop_Census_2023!$A$2:$E$3220,4,FALSE), vlookup(B2279,Pop_Census_2023!$A$2:$E$3220,5,FALSE))</f>
        <v>30198</v>
      </c>
    </row>
    <row r="2280">
      <c r="A2280" s="47" t="s">
        <v>3393</v>
      </c>
      <c r="B2280" s="47">
        <v>42049.0</v>
      </c>
      <c r="C2280" s="47">
        <v>5.0</v>
      </c>
      <c r="D2280" s="47" t="s">
        <v>4044</v>
      </c>
      <c r="E2280" s="47" t="str">
        <f t="shared" si="1"/>
        <v>5A</v>
      </c>
      <c r="F2280" s="47" t="s">
        <v>4054</v>
      </c>
      <c r="G2280" s="47" t="s">
        <v>1305</v>
      </c>
      <c r="H2280" s="48">
        <f>IF(NOT(ISBLANK(vlookup(B2280,Pop_Census_2023!$A$2:$E$3220,4,FALSE))),vlookup(B2280,Pop_Census_2023!$A$2:$E$3220,4,FALSE), vlookup(B2280,Pop_Census_2023!$A$2:$E$3220,5,FALSE))</f>
        <v>267571</v>
      </c>
    </row>
    <row r="2281">
      <c r="A2281" s="47" t="s">
        <v>3393</v>
      </c>
      <c r="B2281" s="47">
        <v>42051.0</v>
      </c>
      <c r="C2281" s="47">
        <v>5.0</v>
      </c>
      <c r="D2281" s="47" t="s">
        <v>4044</v>
      </c>
      <c r="E2281" s="47" t="str">
        <f t="shared" si="1"/>
        <v>5A</v>
      </c>
      <c r="F2281" s="47" t="s">
        <v>4054</v>
      </c>
      <c r="G2281" s="47" t="s">
        <v>131</v>
      </c>
      <c r="H2281" s="48">
        <f>IF(NOT(ISBLANK(vlookup(B2281,Pop_Census_2023!$A$2:$E$3220,4,FALSE))),vlookup(B2281,Pop_Census_2023!$A$2:$E$3220,4,FALSE), vlookup(B2281,Pop_Census_2023!$A$2:$E$3220,5,FALSE))</f>
        <v>123915</v>
      </c>
    </row>
    <row r="2282">
      <c r="A2282" s="47" t="s">
        <v>3393</v>
      </c>
      <c r="B2282" s="47">
        <v>42053.0</v>
      </c>
      <c r="C2282" s="47">
        <v>5.0</v>
      </c>
      <c r="D2282" s="47" t="s">
        <v>4044</v>
      </c>
      <c r="E2282" s="47" t="str">
        <f t="shared" si="1"/>
        <v>5A</v>
      </c>
      <c r="F2282" s="47" t="s">
        <v>4054</v>
      </c>
      <c r="G2282" s="47" t="s">
        <v>1527</v>
      </c>
      <c r="H2282" s="48">
        <f>IF(NOT(ISBLANK(vlookup(B2282,Pop_Census_2023!$A$2:$E$3220,4,FALSE))),vlookup(B2282,Pop_Census_2023!$A$2:$E$3220,4,FALSE), vlookup(B2282,Pop_Census_2023!$A$2:$E$3220,5,FALSE))</f>
        <v>6449</v>
      </c>
    </row>
    <row r="2283">
      <c r="A2283" s="47" t="s">
        <v>3393</v>
      </c>
      <c r="B2283" s="47">
        <v>42055.0</v>
      </c>
      <c r="C2283" s="47">
        <v>5.0</v>
      </c>
      <c r="D2283" s="47" t="s">
        <v>4044</v>
      </c>
      <c r="E2283" s="47" t="str">
        <f t="shared" si="1"/>
        <v>5A</v>
      </c>
      <c r="F2283" s="47" t="s">
        <v>4054</v>
      </c>
      <c r="G2283" s="47" t="s">
        <v>132</v>
      </c>
      <c r="H2283" s="48">
        <f>IF(NOT(ISBLANK(vlookup(B2283,Pop_Census_2023!$A$2:$E$3220,4,FALSE))),vlookup(B2283,Pop_Census_2023!$A$2:$E$3220,4,FALSE), vlookup(B2283,Pop_Census_2023!$A$2:$E$3220,5,FALSE))</f>
        <v>157854</v>
      </c>
    </row>
    <row r="2284">
      <c r="A2284" s="47" t="s">
        <v>3393</v>
      </c>
      <c r="B2284" s="47">
        <v>42057.0</v>
      </c>
      <c r="C2284" s="47">
        <v>5.0</v>
      </c>
      <c r="D2284" s="47" t="s">
        <v>4044</v>
      </c>
      <c r="E2284" s="47" t="str">
        <f t="shared" si="1"/>
        <v>5A</v>
      </c>
      <c r="F2284" s="47" t="s">
        <v>4054</v>
      </c>
      <c r="G2284" s="47" t="s">
        <v>240</v>
      </c>
      <c r="H2284" s="48">
        <f>IF(NOT(ISBLANK(vlookup(B2284,Pop_Census_2023!$A$2:$E$3220,4,FALSE))),vlookup(B2284,Pop_Census_2023!$A$2:$E$3220,4,FALSE), vlookup(B2284,Pop_Census_2023!$A$2:$E$3220,5,FALSE))</f>
        <v>14468</v>
      </c>
    </row>
    <row r="2285">
      <c r="A2285" s="47" t="s">
        <v>3393</v>
      </c>
      <c r="B2285" s="47">
        <v>42059.0</v>
      </c>
      <c r="C2285" s="47">
        <v>5.0</v>
      </c>
      <c r="D2285" s="47" t="s">
        <v>4044</v>
      </c>
      <c r="E2285" s="47" t="str">
        <f t="shared" si="1"/>
        <v>5A</v>
      </c>
      <c r="F2285" s="47" t="s">
        <v>4054</v>
      </c>
      <c r="G2285" s="47" t="s">
        <v>134</v>
      </c>
      <c r="H2285" s="48">
        <f>IF(NOT(ISBLANK(vlookup(B2285,Pop_Census_2023!$A$2:$E$3220,4,FALSE))),vlookup(B2285,Pop_Census_2023!$A$2:$E$3220,4,FALSE), vlookup(B2285,Pop_Census_2023!$A$2:$E$3220,5,FALSE))</f>
        <v>34357</v>
      </c>
    </row>
    <row r="2286">
      <c r="A2286" s="47" t="s">
        <v>3393</v>
      </c>
      <c r="B2286" s="47">
        <v>42061.0</v>
      </c>
      <c r="C2286" s="47">
        <v>5.0</v>
      </c>
      <c r="D2286" s="47" t="s">
        <v>4044</v>
      </c>
      <c r="E2286" s="47" t="str">
        <f t="shared" si="1"/>
        <v>5A</v>
      </c>
      <c r="F2286" s="47" t="s">
        <v>4054</v>
      </c>
      <c r="G2286" s="47" t="s">
        <v>1528</v>
      </c>
      <c r="H2286" s="48">
        <f>IF(NOT(ISBLANK(vlookup(B2286,Pop_Census_2023!$A$2:$E$3220,4,FALSE))),vlookup(B2286,Pop_Census_2023!$A$2:$E$3220,4,FALSE), vlookup(B2286,Pop_Census_2023!$A$2:$E$3220,5,FALSE))</f>
        <v>43514</v>
      </c>
    </row>
    <row r="2287">
      <c r="A2287" s="47" t="s">
        <v>3393</v>
      </c>
      <c r="B2287" s="47">
        <v>42063.0</v>
      </c>
      <c r="C2287" s="47">
        <v>5.0</v>
      </c>
      <c r="D2287" s="47" t="s">
        <v>4044</v>
      </c>
      <c r="E2287" s="47" t="str">
        <f t="shared" si="1"/>
        <v>5A</v>
      </c>
      <c r="F2287" s="47" t="s">
        <v>4054</v>
      </c>
      <c r="G2287" s="47" t="s">
        <v>663</v>
      </c>
      <c r="H2287" s="48">
        <f>IF(NOT(ISBLANK(vlookup(B2287,Pop_Census_2023!$A$2:$E$3220,4,FALSE))),vlookup(B2287,Pop_Census_2023!$A$2:$E$3220,4,FALSE), vlookup(B2287,Pop_Census_2023!$A$2:$E$3220,5,FALSE))</f>
        <v>83094</v>
      </c>
    </row>
    <row r="2288">
      <c r="A2288" s="47" t="s">
        <v>3393</v>
      </c>
      <c r="B2288" s="47">
        <v>42065.0</v>
      </c>
      <c r="C2288" s="47">
        <v>5.0</v>
      </c>
      <c r="D2288" s="47" t="s">
        <v>4044</v>
      </c>
      <c r="E2288" s="47" t="str">
        <f t="shared" si="1"/>
        <v>5A</v>
      </c>
      <c r="F2288" s="47" t="s">
        <v>4054</v>
      </c>
      <c r="G2288" s="47" t="s">
        <v>139</v>
      </c>
      <c r="H2288" s="48">
        <f>IF(NOT(ISBLANK(vlookup(B2288,Pop_Census_2023!$A$2:$E$3220,4,FALSE))),vlookup(B2288,Pop_Census_2023!$A$2:$E$3220,4,FALSE), vlookup(B2288,Pop_Census_2023!$A$2:$E$3220,5,FALSE))</f>
        <v>43612</v>
      </c>
    </row>
    <row r="2289">
      <c r="A2289" s="47" t="s">
        <v>3393</v>
      </c>
      <c r="B2289" s="47">
        <v>42067.0</v>
      </c>
      <c r="C2289" s="47">
        <v>5.0</v>
      </c>
      <c r="D2289" s="47" t="s">
        <v>4044</v>
      </c>
      <c r="E2289" s="47" t="str">
        <f t="shared" si="1"/>
        <v>5A</v>
      </c>
      <c r="F2289" s="47" t="s">
        <v>4054</v>
      </c>
      <c r="G2289" s="47" t="s">
        <v>1529</v>
      </c>
      <c r="H2289" s="48">
        <f>IF(NOT(ISBLANK(vlookup(B2289,Pop_Census_2023!$A$2:$E$3220,4,FALSE))),vlookup(B2289,Pop_Census_2023!$A$2:$E$3220,4,FALSE), vlookup(B2289,Pop_Census_2023!$A$2:$E$3220,5,FALSE))</f>
        <v>23243</v>
      </c>
    </row>
    <row r="2290">
      <c r="A2290" s="47" t="s">
        <v>3393</v>
      </c>
      <c r="B2290" s="47">
        <v>42069.0</v>
      </c>
      <c r="C2290" s="47">
        <v>5.0</v>
      </c>
      <c r="D2290" s="47" t="s">
        <v>4044</v>
      </c>
      <c r="E2290" s="47" t="str">
        <f t="shared" si="1"/>
        <v>5A</v>
      </c>
      <c r="F2290" s="47" t="s">
        <v>4054</v>
      </c>
      <c r="G2290" s="47" t="s">
        <v>1530</v>
      </c>
      <c r="H2290" s="48">
        <f>IF(NOT(ISBLANK(vlookup(B2290,Pop_Census_2023!$A$2:$E$3220,4,FALSE))),vlookup(B2290,Pop_Census_2023!$A$2:$E$3220,4,FALSE), vlookup(B2290,Pop_Census_2023!$A$2:$E$3220,5,FALSE))</f>
        <v>216123</v>
      </c>
    </row>
    <row r="2291">
      <c r="A2291" s="47" t="s">
        <v>3393</v>
      </c>
      <c r="B2291" s="47">
        <v>42071.0</v>
      </c>
      <c r="C2291" s="47">
        <v>5.0</v>
      </c>
      <c r="D2291" s="47" t="s">
        <v>4044</v>
      </c>
      <c r="E2291" s="47" t="str">
        <f t="shared" si="1"/>
        <v>5A</v>
      </c>
      <c r="F2291" s="47" t="s">
        <v>4054</v>
      </c>
      <c r="G2291" s="47" t="s">
        <v>1224</v>
      </c>
      <c r="H2291" s="48">
        <f>IF(NOT(ISBLANK(vlookup(B2291,Pop_Census_2023!$A$2:$E$3220,4,FALSE))),vlookup(B2291,Pop_Census_2023!$A$2:$E$3220,4,FALSE), vlookup(B2291,Pop_Census_2023!$A$2:$E$3220,5,FALSE))</f>
        <v>558589</v>
      </c>
    </row>
    <row r="2292">
      <c r="A2292" s="47" t="s">
        <v>3393</v>
      </c>
      <c r="B2292" s="47">
        <v>42073.0</v>
      </c>
      <c r="C2292" s="47">
        <v>5.0</v>
      </c>
      <c r="D2292" s="47" t="s">
        <v>4044</v>
      </c>
      <c r="E2292" s="47" t="str">
        <f t="shared" si="1"/>
        <v>5A</v>
      </c>
      <c r="F2292" s="47" t="s">
        <v>4054</v>
      </c>
      <c r="G2292" s="47" t="s">
        <v>142</v>
      </c>
      <c r="H2292" s="48">
        <f>IF(NOT(ISBLANK(vlookup(B2292,Pop_Census_2023!$A$2:$E$3220,4,FALSE))),vlookup(B2292,Pop_Census_2023!$A$2:$E$3220,4,FALSE), vlookup(B2292,Pop_Census_2023!$A$2:$E$3220,5,FALSE))</f>
        <v>84472</v>
      </c>
    </row>
    <row r="2293">
      <c r="A2293" s="47" t="s">
        <v>3393</v>
      </c>
      <c r="B2293" s="47">
        <v>42075.0</v>
      </c>
      <c r="C2293" s="47">
        <v>5.0</v>
      </c>
      <c r="D2293" s="47" t="s">
        <v>4044</v>
      </c>
      <c r="E2293" s="47" t="str">
        <f t="shared" si="1"/>
        <v>5A</v>
      </c>
      <c r="F2293" s="47" t="s">
        <v>4054</v>
      </c>
      <c r="G2293" s="47" t="s">
        <v>1531</v>
      </c>
      <c r="H2293" s="48">
        <f>IF(NOT(ISBLANK(vlookup(B2293,Pop_Census_2023!$A$2:$E$3220,4,FALSE))),vlookup(B2293,Pop_Census_2023!$A$2:$E$3220,4,FALSE), vlookup(B2293,Pop_Census_2023!$A$2:$E$3220,5,FALSE))</f>
        <v>144252</v>
      </c>
    </row>
    <row r="2294">
      <c r="A2294" s="47" t="s">
        <v>3393</v>
      </c>
      <c r="B2294" s="47">
        <v>42077.0</v>
      </c>
      <c r="C2294" s="47">
        <v>5.0</v>
      </c>
      <c r="D2294" s="47" t="s">
        <v>4044</v>
      </c>
      <c r="E2294" s="47" t="str">
        <f t="shared" si="1"/>
        <v>5A</v>
      </c>
      <c r="F2294" s="47" t="s">
        <v>4054</v>
      </c>
      <c r="G2294" s="47" t="s">
        <v>1532</v>
      </c>
      <c r="H2294" s="48">
        <f>IF(NOT(ISBLANK(vlookup(B2294,Pop_Census_2023!$A$2:$E$3220,4,FALSE))),vlookup(B2294,Pop_Census_2023!$A$2:$E$3220,4,FALSE), vlookup(B2294,Pop_Census_2023!$A$2:$E$3220,5,FALSE))</f>
        <v>377754</v>
      </c>
    </row>
    <row r="2295">
      <c r="A2295" s="47" t="s">
        <v>3393</v>
      </c>
      <c r="B2295" s="47">
        <v>42079.0</v>
      </c>
      <c r="C2295" s="47">
        <v>5.0</v>
      </c>
      <c r="D2295" s="47" t="s">
        <v>4044</v>
      </c>
      <c r="E2295" s="47" t="str">
        <f t="shared" si="1"/>
        <v>5A</v>
      </c>
      <c r="F2295" s="47" t="s">
        <v>4054</v>
      </c>
      <c r="G2295" s="47" t="s">
        <v>1533</v>
      </c>
      <c r="H2295" s="48">
        <f>IF(NOT(ISBLANK(vlookup(B2295,Pop_Census_2023!$A$2:$E$3220,4,FALSE))),vlookup(B2295,Pop_Census_2023!$A$2:$E$3220,4,FALSE), vlookup(B2295,Pop_Census_2023!$A$2:$E$3220,5,FALSE))</f>
        <v>327388</v>
      </c>
    </row>
    <row r="2296">
      <c r="A2296" s="47" t="s">
        <v>3393</v>
      </c>
      <c r="B2296" s="47">
        <v>42081.0</v>
      </c>
      <c r="C2296" s="47">
        <v>5.0</v>
      </c>
      <c r="D2296" s="47" t="s">
        <v>4044</v>
      </c>
      <c r="E2296" s="47" t="str">
        <f t="shared" si="1"/>
        <v>5A</v>
      </c>
      <c r="F2296" s="47" t="s">
        <v>4054</v>
      </c>
      <c r="G2296" s="47" t="s">
        <v>1534</v>
      </c>
      <c r="H2296" s="48">
        <f>IF(NOT(ISBLANK(vlookup(B2296,Pop_Census_2023!$A$2:$E$3220,4,FALSE))),vlookup(B2296,Pop_Census_2023!$A$2:$E$3220,4,FALSE), vlookup(B2296,Pop_Census_2023!$A$2:$E$3220,5,FALSE))</f>
        <v>112724</v>
      </c>
    </row>
    <row r="2297">
      <c r="A2297" s="47" t="s">
        <v>3393</v>
      </c>
      <c r="B2297" s="47">
        <v>42083.0</v>
      </c>
      <c r="C2297" s="47">
        <v>6.0</v>
      </c>
      <c r="D2297" s="47" t="s">
        <v>4044</v>
      </c>
      <c r="E2297" s="47" t="str">
        <f t="shared" si="1"/>
        <v>6A</v>
      </c>
      <c r="F2297" s="47" t="s">
        <v>4054</v>
      </c>
      <c r="G2297" s="47" t="s">
        <v>1535</v>
      </c>
      <c r="H2297" s="48">
        <f>IF(NOT(ISBLANK(vlookup(B2297,Pop_Census_2023!$A$2:$E$3220,4,FALSE))),vlookup(B2297,Pop_Census_2023!$A$2:$E$3220,4,FALSE), vlookup(B2297,Pop_Census_2023!$A$2:$E$3220,5,FALSE))</f>
        <v>39519</v>
      </c>
    </row>
    <row r="2298">
      <c r="A2298" s="47" t="s">
        <v>3393</v>
      </c>
      <c r="B2298" s="47">
        <v>42085.0</v>
      </c>
      <c r="C2298" s="47">
        <v>5.0</v>
      </c>
      <c r="D2298" s="47" t="s">
        <v>4044</v>
      </c>
      <c r="E2298" s="47" t="str">
        <f t="shared" si="1"/>
        <v>5A</v>
      </c>
      <c r="F2298" s="47" t="s">
        <v>4054</v>
      </c>
      <c r="G2298" s="47" t="s">
        <v>644</v>
      </c>
      <c r="H2298" s="48">
        <f>IF(NOT(ISBLANK(vlookup(B2298,Pop_Census_2023!$A$2:$E$3220,4,FALSE))),vlookup(B2298,Pop_Census_2023!$A$2:$E$3220,4,FALSE), vlookup(B2298,Pop_Census_2023!$A$2:$E$3220,5,FALSE))</f>
        <v>108503</v>
      </c>
    </row>
    <row r="2299">
      <c r="A2299" s="47" t="s">
        <v>3393</v>
      </c>
      <c r="B2299" s="47">
        <v>42087.0</v>
      </c>
      <c r="C2299" s="47">
        <v>5.0</v>
      </c>
      <c r="D2299" s="47" t="s">
        <v>4044</v>
      </c>
      <c r="E2299" s="47" t="str">
        <f t="shared" si="1"/>
        <v>5A</v>
      </c>
      <c r="F2299" s="47" t="s">
        <v>4054</v>
      </c>
      <c r="G2299" s="47" t="s">
        <v>1536</v>
      </c>
      <c r="H2299" s="48">
        <f>IF(NOT(ISBLANK(vlookup(B2299,Pop_Census_2023!$A$2:$E$3220,4,FALSE))),vlookup(B2299,Pop_Census_2023!$A$2:$E$3220,4,FALSE), vlookup(B2299,Pop_Census_2023!$A$2:$E$3220,5,FALSE))</f>
        <v>45922</v>
      </c>
    </row>
    <row r="2300">
      <c r="A2300" s="47" t="s">
        <v>3393</v>
      </c>
      <c r="B2300" s="47">
        <v>42089.0</v>
      </c>
      <c r="C2300" s="47">
        <v>5.0</v>
      </c>
      <c r="D2300" s="47" t="s">
        <v>4044</v>
      </c>
      <c r="E2300" s="47" t="str">
        <f t="shared" si="1"/>
        <v>5A</v>
      </c>
      <c r="F2300" s="47" t="s">
        <v>4054</v>
      </c>
      <c r="G2300" s="47" t="s">
        <v>152</v>
      </c>
      <c r="H2300" s="48">
        <f>IF(NOT(ISBLANK(vlookup(B2300,Pop_Census_2023!$A$2:$E$3220,4,FALSE))),vlookup(B2300,Pop_Census_2023!$A$2:$E$3220,4,FALSE), vlookup(B2300,Pop_Census_2023!$A$2:$E$3220,5,FALSE))</f>
        <v>166053</v>
      </c>
    </row>
    <row r="2301">
      <c r="A2301" s="47" t="s">
        <v>3393</v>
      </c>
      <c r="B2301" s="47">
        <v>42091.0</v>
      </c>
      <c r="C2301" s="47">
        <v>4.0</v>
      </c>
      <c r="D2301" s="47" t="s">
        <v>4044</v>
      </c>
      <c r="E2301" s="47" t="str">
        <f t="shared" si="1"/>
        <v>4A</v>
      </c>
      <c r="F2301" s="47" t="s">
        <v>4046</v>
      </c>
      <c r="G2301" s="47" t="s">
        <v>153</v>
      </c>
      <c r="H2301" s="48">
        <f>IF(NOT(ISBLANK(vlookup(B2301,Pop_Census_2023!$A$2:$E$3220,4,FALSE))),vlookup(B2301,Pop_Census_2023!$A$2:$E$3220,4,FALSE), vlookup(B2301,Pop_Census_2023!$A$2:$E$3220,5,FALSE))</f>
        <v>868742</v>
      </c>
    </row>
    <row r="2302">
      <c r="A2302" s="47" t="s">
        <v>3393</v>
      </c>
      <c r="B2302" s="47">
        <v>42093.0</v>
      </c>
      <c r="C2302" s="47">
        <v>5.0</v>
      </c>
      <c r="D2302" s="47" t="s">
        <v>4044</v>
      </c>
      <c r="E2302" s="47" t="str">
        <f t="shared" si="1"/>
        <v>5A</v>
      </c>
      <c r="F2302" s="47" t="s">
        <v>4054</v>
      </c>
      <c r="G2302" s="47" t="s">
        <v>1537</v>
      </c>
      <c r="H2302" s="48">
        <f>IF(NOT(ISBLANK(vlookup(B2302,Pop_Census_2023!$A$2:$E$3220,4,FALSE))),vlookup(B2302,Pop_Census_2023!$A$2:$E$3220,4,FALSE), vlookup(B2302,Pop_Census_2023!$A$2:$E$3220,5,FALSE))</f>
        <v>17860</v>
      </c>
    </row>
    <row r="2303">
      <c r="A2303" s="47" t="s">
        <v>3393</v>
      </c>
      <c r="B2303" s="47">
        <v>42095.0</v>
      </c>
      <c r="C2303" s="47">
        <v>5.0</v>
      </c>
      <c r="D2303" s="47" t="s">
        <v>4044</v>
      </c>
      <c r="E2303" s="47" t="str">
        <f t="shared" si="1"/>
        <v>5A</v>
      </c>
      <c r="F2303" s="47" t="s">
        <v>4054</v>
      </c>
      <c r="G2303" s="47" t="s">
        <v>1368</v>
      </c>
      <c r="H2303" s="48">
        <f>IF(NOT(ISBLANK(vlookup(B2303,Pop_Census_2023!$A$2:$E$3220,4,FALSE))),vlookup(B2303,Pop_Census_2023!$A$2:$E$3220,4,FALSE), vlookup(B2303,Pop_Census_2023!$A$2:$E$3220,5,FALSE))</f>
        <v>319091</v>
      </c>
    </row>
    <row r="2304">
      <c r="A2304" s="47" t="s">
        <v>3393</v>
      </c>
      <c r="B2304" s="47">
        <v>42097.0</v>
      </c>
      <c r="C2304" s="47">
        <v>5.0</v>
      </c>
      <c r="D2304" s="47" t="s">
        <v>4044</v>
      </c>
      <c r="E2304" s="47" t="str">
        <f t="shared" si="1"/>
        <v>5A</v>
      </c>
      <c r="F2304" s="47" t="s">
        <v>4054</v>
      </c>
      <c r="G2304" s="47" t="s">
        <v>1538</v>
      </c>
      <c r="H2304" s="48">
        <f>IF(NOT(ISBLANK(vlookup(B2304,Pop_Census_2023!$A$2:$E$3220,4,FALSE))),vlookup(B2304,Pop_Census_2023!$A$2:$E$3220,4,FALSE), vlookup(B2304,Pop_Census_2023!$A$2:$E$3220,5,FALSE))</f>
        <v>90120</v>
      </c>
    </row>
    <row r="2305">
      <c r="A2305" s="47" t="s">
        <v>3393</v>
      </c>
      <c r="B2305" s="47">
        <v>42099.0</v>
      </c>
      <c r="C2305" s="47">
        <v>5.0</v>
      </c>
      <c r="D2305" s="47" t="s">
        <v>4044</v>
      </c>
      <c r="E2305" s="47" t="str">
        <f t="shared" si="1"/>
        <v>5A</v>
      </c>
      <c r="F2305" s="47" t="s">
        <v>4054</v>
      </c>
      <c r="G2305" s="47" t="s">
        <v>155</v>
      </c>
      <c r="H2305" s="48">
        <f>IF(NOT(ISBLANK(vlookup(B2305,Pop_Census_2023!$A$2:$E$3220,4,FALSE))),vlookup(B2305,Pop_Census_2023!$A$2:$E$3220,4,FALSE), vlookup(B2305,Pop_Census_2023!$A$2:$E$3220,5,FALSE))</f>
        <v>46083</v>
      </c>
    </row>
    <row r="2306">
      <c r="A2306" s="47" t="s">
        <v>3393</v>
      </c>
      <c r="B2306" s="47">
        <v>42101.0</v>
      </c>
      <c r="C2306" s="47">
        <v>4.0</v>
      </c>
      <c r="D2306" s="47" t="s">
        <v>4044</v>
      </c>
      <c r="E2306" s="47" t="str">
        <f t="shared" si="1"/>
        <v>4A</v>
      </c>
      <c r="F2306" s="47" t="s">
        <v>4046</v>
      </c>
      <c r="G2306" s="47" t="s">
        <v>1539</v>
      </c>
      <c r="H2306" s="48">
        <f>IF(NOT(ISBLANK(vlookup(B2306,Pop_Census_2023!$A$2:$E$3220,4,FALSE))),vlookup(B2306,Pop_Census_2023!$A$2:$E$3220,4,FALSE), vlookup(B2306,Pop_Census_2023!$A$2:$E$3220,5,FALSE))</f>
        <v>1550542</v>
      </c>
    </row>
    <row r="2307">
      <c r="A2307" s="47" t="s">
        <v>3393</v>
      </c>
      <c r="B2307" s="47">
        <v>42103.0</v>
      </c>
      <c r="C2307" s="47">
        <v>5.0</v>
      </c>
      <c r="D2307" s="47" t="s">
        <v>4044</v>
      </c>
      <c r="E2307" s="47" t="str">
        <f t="shared" si="1"/>
        <v>5A</v>
      </c>
      <c r="F2307" s="47" t="s">
        <v>4054</v>
      </c>
      <c r="G2307" s="47" t="s">
        <v>157</v>
      </c>
      <c r="H2307" s="48">
        <f>IF(NOT(ISBLANK(vlookup(B2307,Pop_Census_2023!$A$2:$E$3220,4,FALSE))),vlookup(B2307,Pop_Census_2023!$A$2:$E$3220,4,FALSE), vlookup(B2307,Pop_Census_2023!$A$2:$E$3220,5,FALSE))</f>
        <v>61247</v>
      </c>
    </row>
    <row r="2308">
      <c r="A2308" s="47" t="s">
        <v>3393</v>
      </c>
      <c r="B2308" s="47">
        <v>42105.0</v>
      </c>
      <c r="C2308" s="47">
        <v>6.0</v>
      </c>
      <c r="D2308" s="47" t="s">
        <v>4044</v>
      </c>
      <c r="E2308" s="47" t="str">
        <f t="shared" si="1"/>
        <v>6A</v>
      </c>
      <c r="F2308" s="47" t="s">
        <v>4054</v>
      </c>
      <c r="G2308" s="47" t="s">
        <v>1540</v>
      </c>
      <c r="H2308" s="48">
        <f>IF(NOT(ISBLANK(vlookup(B2308,Pop_Census_2023!$A$2:$E$3220,4,FALSE))),vlookup(B2308,Pop_Census_2023!$A$2:$E$3220,4,FALSE), vlookup(B2308,Pop_Census_2023!$A$2:$E$3220,5,FALSE))</f>
        <v>15999</v>
      </c>
    </row>
    <row r="2309">
      <c r="A2309" s="47" t="s">
        <v>3393</v>
      </c>
      <c r="B2309" s="47">
        <v>42107.0</v>
      </c>
      <c r="C2309" s="47">
        <v>5.0</v>
      </c>
      <c r="D2309" s="47" t="s">
        <v>4044</v>
      </c>
      <c r="E2309" s="47" t="str">
        <f t="shared" si="1"/>
        <v>5A</v>
      </c>
      <c r="F2309" s="47" t="s">
        <v>4054</v>
      </c>
      <c r="G2309" s="47" t="s">
        <v>1541</v>
      </c>
      <c r="H2309" s="48">
        <f>IF(NOT(ISBLANK(vlookup(B2309,Pop_Census_2023!$A$2:$E$3220,4,FALSE))),vlookup(B2309,Pop_Census_2023!$A$2:$E$3220,4,FALSE), vlookup(B2309,Pop_Census_2023!$A$2:$E$3220,5,FALSE))</f>
        <v>143786</v>
      </c>
    </row>
    <row r="2310">
      <c r="A2310" s="47" t="s">
        <v>3393</v>
      </c>
      <c r="B2310" s="47">
        <v>42109.0</v>
      </c>
      <c r="C2310" s="47">
        <v>5.0</v>
      </c>
      <c r="D2310" s="47" t="s">
        <v>4044</v>
      </c>
      <c r="E2310" s="47" t="str">
        <f t="shared" si="1"/>
        <v>5A</v>
      </c>
      <c r="F2310" s="47" t="s">
        <v>4054</v>
      </c>
      <c r="G2310" s="47" t="s">
        <v>1542</v>
      </c>
      <c r="H2310" s="48">
        <f>IF(NOT(ISBLANK(vlookup(B2310,Pop_Census_2023!$A$2:$E$3220,4,FALSE))),vlookup(B2310,Pop_Census_2023!$A$2:$E$3220,4,FALSE), vlookup(B2310,Pop_Census_2023!$A$2:$E$3220,5,FALSE))</f>
        <v>39717</v>
      </c>
    </row>
    <row r="2311">
      <c r="A2311" s="47" t="s">
        <v>3393</v>
      </c>
      <c r="B2311" s="47">
        <v>42111.0</v>
      </c>
      <c r="C2311" s="47">
        <v>5.0</v>
      </c>
      <c r="D2311" s="47" t="s">
        <v>4044</v>
      </c>
      <c r="E2311" s="47" t="str">
        <f t="shared" si="1"/>
        <v>5A</v>
      </c>
      <c r="F2311" s="47" t="s">
        <v>4054</v>
      </c>
      <c r="G2311" s="47" t="s">
        <v>930</v>
      </c>
      <c r="H2311" s="48">
        <f>IF(NOT(ISBLANK(vlookup(B2311,Pop_Census_2023!$A$2:$E$3220,4,FALSE))),vlookup(B2311,Pop_Census_2023!$A$2:$E$3220,4,FALSE), vlookup(B2311,Pop_Census_2023!$A$2:$E$3220,5,FALSE))</f>
        <v>72197</v>
      </c>
    </row>
    <row r="2312">
      <c r="A2312" s="47" t="s">
        <v>3393</v>
      </c>
      <c r="B2312" s="47">
        <v>42113.0</v>
      </c>
      <c r="C2312" s="47">
        <v>5.0</v>
      </c>
      <c r="D2312" s="47" t="s">
        <v>4044</v>
      </c>
      <c r="E2312" s="47" t="str">
        <f t="shared" si="1"/>
        <v>5A</v>
      </c>
      <c r="F2312" s="47" t="s">
        <v>4054</v>
      </c>
      <c r="G2312" s="47" t="s">
        <v>694</v>
      </c>
      <c r="H2312" s="48">
        <f>IF(NOT(ISBLANK(vlookup(B2312,Pop_Census_2023!$A$2:$E$3220,4,FALSE))),vlookup(B2312,Pop_Census_2023!$A$2:$E$3220,4,FALSE), vlookup(B2312,Pop_Census_2023!$A$2:$E$3220,5,FALSE))</f>
        <v>5834</v>
      </c>
    </row>
    <row r="2313">
      <c r="A2313" s="47" t="s">
        <v>3393</v>
      </c>
      <c r="B2313" s="47">
        <v>42115.0</v>
      </c>
      <c r="C2313" s="47">
        <v>6.0</v>
      </c>
      <c r="D2313" s="47" t="s">
        <v>4044</v>
      </c>
      <c r="E2313" s="47" t="str">
        <f t="shared" si="1"/>
        <v>6A</v>
      </c>
      <c r="F2313" s="47" t="s">
        <v>4054</v>
      </c>
      <c r="G2313" s="47" t="s">
        <v>1543</v>
      </c>
      <c r="H2313" s="48">
        <f>IF(NOT(ISBLANK(vlookup(B2313,Pop_Census_2023!$A$2:$E$3220,4,FALSE))),vlookup(B2313,Pop_Census_2023!$A$2:$E$3220,4,FALSE), vlookup(B2313,Pop_Census_2023!$A$2:$E$3220,5,FALSE))</f>
        <v>38109</v>
      </c>
    </row>
    <row r="2314">
      <c r="A2314" s="47" t="s">
        <v>3393</v>
      </c>
      <c r="B2314" s="47">
        <v>42117.0</v>
      </c>
      <c r="C2314" s="47">
        <v>6.0</v>
      </c>
      <c r="D2314" s="47" t="s">
        <v>4044</v>
      </c>
      <c r="E2314" s="47" t="str">
        <f t="shared" si="1"/>
        <v>6A</v>
      </c>
      <c r="F2314" s="47" t="s">
        <v>4054</v>
      </c>
      <c r="G2314" s="47" t="s">
        <v>1319</v>
      </c>
      <c r="H2314" s="48">
        <f>IF(NOT(ISBLANK(vlookup(B2314,Pop_Census_2023!$A$2:$E$3220,4,FALSE))),vlookup(B2314,Pop_Census_2023!$A$2:$E$3220,4,FALSE), vlookup(B2314,Pop_Census_2023!$A$2:$E$3220,5,FALSE))</f>
        <v>40840</v>
      </c>
    </row>
    <row r="2315">
      <c r="A2315" s="47" t="s">
        <v>3393</v>
      </c>
      <c r="B2315" s="47">
        <v>42119.0</v>
      </c>
      <c r="C2315" s="47">
        <v>5.0</v>
      </c>
      <c r="D2315" s="47" t="s">
        <v>4044</v>
      </c>
      <c r="E2315" s="47" t="str">
        <f t="shared" si="1"/>
        <v>5A</v>
      </c>
      <c r="F2315" s="47" t="s">
        <v>4054</v>
      </c>
      <c r="G2315" s="47" t="s">
        <v>273</v>
      </c>
      <c r="H2315" s="48">
        <f>IF(NOT(ISBLANK(vlookup(B2315,Pop_Census_2023!$A$2:$E$3220,4,FALSE))),vlookup(B2315,Pop_Census_2023!$A$2:$E$3220,4,FALSE), vlookup(B2315,Pop_Census_2023!$A$2:$E$3220,5,FALSE))</f>
        <v>42042</v>
      </c>
    </row>
    <row r="2316">
      <c r="A2316" s="47" t="s">
        <v>3393</v>
      </c>
      <c r="B2316" s="47">
        <v>42121.0</v>
      </c>
      <c r="C2316" s="47">
        <v>5.0</v>
      </c>
      <c r="D2316" s="47" t="s">
        <v>4044</v>
      </c>
      <c r="E2316" s="47" t="str">
        <f t="shared" si="1"/>
        <v>5A</v>
      </c>
      <c r="F2316" s="47" t="s">
        <v>4054</v>
      </c>
      <c r="G2316" s="47" t="s">
        <v>1544</v>
      </c>
      <c r="H2316" s="48">
        <f>IF(NOT(ISBLANK(vlookup(B2316,Pop_Census_2023!$A$2:$E$3220,4,FALSE))),vlookup(B2316,Pop_Census_2023!$A$2:$E$3220,4,FALSE), vlookup(B2316,Pop_Census_2023!$A$2:$E$3220,5,FALSE))</f>
        <v>49431</v>
      </c>
    </row>
    <row r="2317">
      <c r="A2317" s="47" t="s">
        <v>3393</v>
      </c>
      <c r="B2317" s="47">
        <v>42123.0</v>
      </c>
      <c r="C2317" s="47">
        <v>5.0</v>
      </c>
      <c r="D2317" s="47" t="s">
        <v>4044</v>
      </c>
      <c r="E2317" s="47" t="str">
        <f t="shared" si="1"/>
        <v>5A</v>
      </c>
      <c r="F2317" s="47" t="s">
        <v>4054</v>
      </c>
      <c r="G2317" s="47" t="s">
        <v>561</v>
      </c>
      <c r="H2317" s="48">
        <f>IF(NOT(ISBLANK(vlookup(B2317,Pop_Census_2023!$A$2:$E$3220,4,FALSE))),vlookup(B2317,Pop_Census_2023!$A$2:$E$3220,4,FALSE), vlookup(B2317,Pop_Census_2023!$A$2:$E$3220,5,FALSE))</f>
        <v>37572</v>
      </c>
    </row>
    <row r="2318">
      <c r="A2318" s="47" t="s">
        <v>3393</v>
      </c>
      <c r="B2318" s="47">
        <v>42125.0</v>
      </c>
      <c r="C2318" s="47">
        <v>5.0</v>
      </c>
      <c r="D2318" s="47" t="s">
        <v>4044</v>
      </c>
      <c r="E2318" s="47" t="str">
        <f t="shared" si="1"/>
        <v>5A</v>
      </c>
      <c r="F2318" s="47" t="s">
        <v>4054</v>
      </c>
      <c r="G2318" s="47" t="s">
        <v>167</v>
      </c>
      <c r="H2318" s="48">
        <f>IF(NOT(ISBLANK(vlookup(B2318,Pop_Census_2023!$A$2:$E$3220,4,FALSE))),vlookup(B2318,Pop_Census_2023!$A$2:$E$3220,4,FALSE), vlookup(B2318,Pop_Census_2023!$A$2:$E$3220,5,FALSE))</f>
        <v>210232</v>
      </c>
    </row>
    <row r="2319">
      <c r="A2319" s="47" t="s">
        <v>3393</v>
      </c>
      <c r="B2319" s="47">
        <v>42127.0</v>
      </c>
      <c r="C2319" s="47">
        <v>6.0</v>
      </c>
      <c r="D2319" s="47" t="s">
        <v>4044</v>
      </c>
      <c r="E2319" s="47" t="str">
        <f t="shared" si="1"/>
        <v>6A</v>
      </c>
      <c r="F2319" s="47" t="s">
        <v>4054</v>
      </c>
      <c r="G2319" s="47" t="s">
        <v>562</v>
      </c>
      <c r="H2319" s="48">
        <f>IF(NOT(ISBLANK(vlookup(B2319,Pop_Census_2023!$A$2:$E$3220,4,FALSE))),vlookup(B2319,Pop_Census_2023!$A$2:$E$3220,4,FALSE), vlookup(B2319,Pop_Census_2023!$A$2:$E$3220,5,FALSE))</f>
        <v>51262</v>
      </c>
    </row>
    <row r="2320">
      <c r="A2320" s="47" t="s">
        <v>3393</v>
      </c>
      <c r="B2320" s="47">
        <v>42129.0</v>
      </c>
      <c r="C2320" s="47">
        <v>5.0</v>
      </c>
      <c r="D2320" s="47" t="s">
        <v>4044</v>
      </c>
      <c r="E2320" s="47" t="str">
        <f t="shared" si="1"/>
        <v>5A</v>
      </c>
      <c r="F2320" s="47" t="s">
        <v>4054</v>
      </c>
      <c r="G2320" s="47" t="s">
        <v>1545</v>
      </c>
      <c r="H2320" s="48">
        <f>IF(NOT(ISBLANK(vlookup(B2320,Pop_Census_2023!$A$2:$E$3220,4,FALSE))),vlookup(B2320,Pop_Census_2023!$A$2:$E$3220,4,FALSE), vlookup(B2320,Pop_Census_2023!$A$2:$E$3220,5,FALSE))</f>
        <v>351163</v>
      </c>
    </row>
    <row r="2321">
      <c r="A2321" s="47" t="s">
        <v>3393</v>
      </c>
      <c r="B2321" s="47">
        <v>42131.0</v>
      </c>
      <c r="C2321" s="47">
        <v>5.0</v>
      </c>
      <c r="D2321" s="47" t="s">
        <v>4044</v>
      </c>
      <c r="E2321" s="47" t="str">
        <f t="shared" si="1"/>
        <v>5A</v>
      </c>
      <c r="F2321" s="47" t="s">
        <v>4054</v>
      </c>
      <c r="G2321" s="47" t="s">
        <v>1323</v>
      </c>
      <c r="H2321" s="48">
        <f>IF(NOT(ISBLANK(vlookup(B2321,Pop_Census_2023!$A$2:$E$3220,4,FALSE))),vlookup(B2321,Pop_Census_2023!$A$2:$E$3220,4,FALSE), vlookup(B2321,Pop_Census_2023!$A$2:$E$3220,5,FALSE))</f>
        <v>25902</v>
      </c>
    </row>
    <row r="2322">
      <c r="A2322" s="47" t="s">
        <v>3393</v>
      </c>
      <c r="B2322" s="47">
        <v>42133.0</v>
      </c>
      <c r="C2322" s="47">
        <v>4.0</v>
      </c>
      <c r="D2322" s="47" t="s">
        <v>4044</v>
      </c>
      <c r="E2322" s="47" t="str">
        <f t="shared" si="1"/>
        <v>4A</v>
      </c>
      <c r="F2322" s="47" t="s">
        <v>4046</v>
      </c>
      <c r="G2322" s="47" t="s">
        <v>932</v>
      </c>
      <c r="H2322" s="48">
        <f>IF(NOT(ISBLANK(vlookup(B2322,Pop_Census_2023!$A$2:$E$3220,4,FALSE))),vlookup(B2322,Pop_Census_2023!$A$2:$E$3220,4,FALSE), vlookup(B2322,Pop_Census_2023!$A$2:$E$3220,5,FALSE))</f>
        <v>464640</v>
      </c>
    </row>
    <row r="2323">
      <c r="A2323" s="47" t="s">
        <v>3886</v>
      </c>
      <c r="B2323" s="47">
        <v>72001.0</v>
      </c>
      <c r="C2323" s="47">
        <v>1.0</v>
      </c>
      <c r="D2323" s="47" t="s">
        <v>4044</v>
      </c>
      <c r="E2323" s="47" t="str">
        <f t="shared" si="1"/>
        <v>1A</v>
      </c>
      <c r="F2323" s="47" t="s">
        <v>4045</v>
      </c>
      <c r="G2323" s="47" t="s">
        <v>4074</v>
      </c>
      <c r="H2323" s="48">
        <f>IF(NOT(ISBLANK(vlookup(B2323,Pop_Census_2023!$A$2:$E$3220,4,FALSE))),vlookup(B2323,Pop_Census_2023!$A$2:$E$3220,4,FALSE), vlookup(B2323,Pop_Census_2023!$A$2:$E$3220,5,FALSE))</f>
        <v>17900</v>
      </c>
    </row>
    <row r="2324">
      <c r="A2324" s="47" t="s">
        <v>3886</v>
      </c>
      <c r="B2324" s="47">
        <v>72003.0</v>
      </c>
      <c r="C2324" s="47">
        <v>1.0</v>
      </c>
      <c r="D2324" s="47" t="s">
        <v>4044</v>
      </c>
      <c r="E2324" s="47" t="str">
        <f t="shared" si="1"/>
        <v>1A</v>
      </c>
      <c r="F2324" s="47" t="s">
        <v>4045</v>
      </c>
      <c r="G2324" s="47" t="s">
        <v>4075</v>
      </c>
      <c r="H2324" s="48">
        <f>IF(NOT(ISBLANK(vlookup(B2324,Pop_Census_2023!$A$2:$E$3220,4,FALSE))),vlookup(B2324,Pop_Census_2023!$A$2:$E$3220,4,FALSE), vlookup(B2324,Pop_Census_2023!$A$2:$E$3220,5,FALSE))</f>
        <v>37528</v>
      </c>
    </row>
    <row r="2325">
      <c r="A2325" s="47" t="s">
        <v>3886</v>
      </c>
      <c r="B2325" s="47">
        <v>72005.0</v>
      </c>
      <c r="C2325" s="47">
        <v>1.0</v>
      </c>
      <c r="D2325" s="47" t="s">
        <v>4044</v>
      </c>
      <c r="E2325" s="47" t="str">
        <f t="shared" si="1"/>
        <v>1A</v>
      </c>
      <c r="F2325" s="47" t="s">
        <v>4045</v>
      </c>
      <c r="G2325" s="47" t="s">
        <v>4076</v>
      </c>
      <c r="H2325" s="48">
        <f>IF(NOT(ISBLANK(vlookup(B2325,Pop_Census_2023!$A$2:$E$3220,4,FALSE))),vlookup(B2325,Pop_Census_2023!$A$2:$E$3220,4,FALSE), vlookup(B2325,Pop_Census_2023!$A$2:$E$3220,5,FALSE))</f>
        <v>53622</v>
      </c>
    </row>
    <row r="2326">
      <c r="A2326" s="47" t="s">
        <v>3886</v>
      </c>
      <c r="B2326" s="47">
        <v>72007.0</v>
      </c>
      <c r="C2326" s="47">
        <v>1.0</v>
      </c>
      <c r="D2326" s="47" t="s">
        <v>4044</v>
      </c>
      <c r="E2326" s="47" t="str">
        <f t="shared" si="1"/>
        <v>1A</v>
      </c>
      <c r="F2326" s="47" t="s">
        <v>4045</v>
      </c>
      <c r="G2326" s="47" t="s">
        <v>4077</v>
      </c>
      <c r="H2326" s="48">
        <f>IF(NOT(ISBLANK(vlookup(B2326,Pop_Census_2023!$A$2:$E$3220,4,FALSE))),vlookup(B2326,Pop_Census_2023!$A$2:$E$3220,4,FALSE), vlookup(B2326,Pop_Census_2023!$A$2:$E$3220,5,FALSE))</f>
        <v>23274</v>
      </c>
    </row>
    <row r="2327">
      <c r="A2327" s="47" t="s">
        <v>3886</v>
      </c>
      <c r="B2327" s="47">
        <v>72009.0</v>
      </c>
      <c r="C2327" s="47">
        <v>1.0</v>
      </c>
      <c r="D2327" s="47" t="s">
        <v>4044</v>
      </c>
      <c r="E2327" s="47" t="str">
        <f t="shared" si="1"/>
        <v>1A</v>
      </c>
      <c r="F2327" s="47" t="s">
        <v>4045</v>
      </c>
      <c r="G2327" s="47" t="s">
        <v>4078</v>
      </c>
      <c r="H2327" s="48">
        <f>IF(NOT(ISBLANK(vlookup(B2327,Pop_Census_2023!$A$2:$E$3220,4,FALSE))),vlookup(B2327,Pop_Census_2023!$A$2:$E$3220,4,FALSE), vlookup(B2327,Pop_Census_2023!$A$2:$E$3220,5,FALSE))</f>
        <v>24602</v>
      </c>
    </row>
    <row r="2328">
      <c r="A2328" s="47" t="s">
        <v>3886</v>
      </c>
      <c r="B2328" s="47">
        <v>72011.0</v>
      </c>
      <c r="C2328" s="47">
        <v>1.0</v>
      </c>
      <c r="D2328" s="47" t="s">
        <v>4044</v>
      </c>
      <c r="E2328" s="47" t="str">
        <f t="shared" si="1"/>
        <v>1A</v>
      </c>
      <c r="F2328" s="47" t="s">
        <v>4045</v>
      </c>
      <c r="G2328" s="47" t="s">
        <v>4079</v>
      </c>
      <c r="H2328" s="48">
        <f>IF(NOT(ISBLANK(vlookup(B2328,Pop_Census_2023!$A$2:$E$3220,4,FALSE))),vlookup(B2328,Pop_Census_2023!$A$2:$E$3220,4,FALSE), vlookup(B2328,Pop_Census_2023!$A$2:$E$3220,5,FALSE))</f>
        <v>24815</v>
      </c>
    </row>
    <row r="2329">
      <c r="A2329" s="47" t="s">
        <v>3886</v>
      </c>
      <c r="B2329" s="47">
        <v>72013.0</v>
      </c>
      <c r="C2329" s="47">
        <v>1.0</v>
      </c>
      <c r="D2329" s="47" t="s">
        <v>4044</v>
      </c>
      <c r="E2329" s="47" t="str">
        <f t="shared" si="1"/>
        <v>1A</v>
      </c>
      <c r="F2329" s="47" t="s">
        <v>4045</v>
      </c>
      <c r="G2329" s="47" t="s">
        <v>4080</v>
      </c>
      <c r="H2329" s="48">
        <f>IF(NOT(ISBLANK(vlookup(B2329,Pop_Census_2023!$A$2:$E$3220,4,FALSE))),vlookup(B2329,Pop_Census_2023!$A$2:$E$3220,4,FALSE), vlookup(B2329,Pop_Census_2023!$A$2:$E$3220,5,FALSE))</f>
        <v>85641</v>
      </c>
    </row>
    <row r="2330">
      <c r="A2330" s="47" t="s">
        <v>3886</v>
      </c>
      <c r="B2330" s="47">
        <v>72015.0</v>
      </c>
      <c r="C2330" s="47">
        <v>1.0</v>
      </c>
      <c r="D2330" s="47" t="s">
        <v>4044</v>
      </c>
      <c r="E2330" s="47" t="str">
        <f t="shared" si="1"/>
        <v>1A</v>
      </c>
      <c r="F2330" s="47" t="s">
        <v>4045</v>
      </c>
      <c r="G2330" s="47" t="s">
        <v>4081</v>
      </c>
      <c r="H2330" s="48">
        <f>IF(NOT(ISBLANK(vlookup(B2330,Pop_Census_2023!$A$2:$E$3220,4,FALSE))),vlookup(B2330,Pop_Census_2023!$A$2:$E$3220,4,FALSE), vlookup(B2330,Pop_Census_2023!$A$2:$E$3220,5,FALSE))</f>
        <v>15078</v>
      </c>
    </row>
    <row r="2331">
      <c r="A2331" s="47" t="s">
        <v>3886</v>
      </c>
      <c r="B2331" s="47">
        <v>72017.0</v>
      </c>
      <c r="C2331" s="47">
        <v>1.0</v>
      </c>
      <c r="D2331" s="47" t="s">
        <v>4044</v>
      </c>
      <c r="E2331" s="47" t="str">
        <f t="shared" si="1"/>
        <v>1A</v>
      </c>
      <c r="F2331" s="47" t="s">
        <v>4045</v>
      </c>
      <c r="G2331" s="47" t="s">
        <v>4082</v>
      </c>
      <c r="H2331" s="48">
        <f>IF(NOT(ISBLANK(vlookup(B2331,Pop_Census_2023!$A$2:$E$3220,4,FALSE))),vlookup(B2331,Pop_Census_2023!$A$2:$E$3220,4,FALSE), vlookup(B2331,Pop_Census_2023!$A$2:$E$3220,5,FALSE))</f>
        <v>22376</v>
      </c>
    </row>
    <row r="2332">
      <c r="A2332" s="47" t="s">
        <v>3886</v>
      </c>
      <c r="B2332" s="47">
        <v>72019.0</v>
      </c>
      <c r="C2332" s="47">
        <v>1.0</v>
      </c>
      <c r="D2332" s="47" t="s">
        <v>4044</v>
      </c>
      <c r="E2332" s="47" t="str">
        <f t="shared" si="1"/>
        <v>1A</v>
      </c>
      <c r="F2332" s="47" t="s">
        <v>4045</v>
      </c>
      <c r="G2332" s="47" t="s">
        <v>4083</v>
      </c>
      <c r="H2332" s="48">
        <f>IF(NOT(ISBLANK(vlookup(B2332,Pop_Census_2023!$A$2:$E$3220,4,FALSE))),vlookup(B2332,Pop_Census_2023!$A$2:$E$3220,4,FALSE), vlookup(B2332,Pop_Census_2023!$A$2:$E$3220,5,FALSE))</f>
        <v>29020</v>
      </c>
    </row>
    <row r="2333">
      <c r="A2333" s="47" t="s">
        <v>3886</v>
      </c>
      <c r="B2333" s="47">
        <v>72021.0</v>
      </c>
      <c r="C2333" s="47">
        <v>1.0</v>
      </c>
      <c r="D2333" s="47" t="s">
        <v>4044</v>
      </c>
      <c r="E2333" s="47" t="str">
        <f t="shared" si="1"/>
        <v>1A</v>
      </c>
      <c r="F2333" s="47" t="s">
        <v>4045</v>
      </c>
      <c r="G2333" s="47" t="s">
        <v>4084</v>
      </c>
      <c r="H2333" s="48">
        <f>IF(NOT(ISBLANK(vlookup(B2333,Pop_Census_2023!$A$2:$E$3220,4,FALSE))),vlookup(B2333,Pop_Census_2023!$A$2:$E$3220,4,FALSE), vlookup(B2333,Pop_Census_2023!$A$2:$E$3220,5,FALSE))</f>
        <v>180835</v>
      </c>
    </row>
    <row r="2334">
      <c r="A2334" s="47" t="s">
        <v>3886</v>
      </c>
      <c r="B2334" s="47">
        <v>72023.0</v>
      </c>
      <c r="C2334" s="47">
        <v>1.0</v>
      </c>
      <c r="D2334" s="47" t="s">
        <v>4044</v>
      </c>
      <c r="E2334" s="47" t="str">
        <f t="shared" si="1"/>
        <v>1A</v>
      </c>
      <c r="F2334" s="47" t="s">
        <v>4045</v>
      </c>
      <c r="G2334" s="47" t="s">
        <v>4085</v>
      </c>
      <c r="H2334" s="48">
        <f>IF(NOT(ISBLANK(vlookup(B2334,Pop_Census_2023!$A$2:$E$3220,4,FALSE))),vlookup(B2334,Pop_Census_2023!$A$2:$E$3220,4,FALSE), vlookup(B2334,Pop_Census_2023!$A$2:$E$3220,5,FALSE))</f>
        <v>46665</v>
      </c>
    </row>
    <row r="2335">
      <c r="A2335" s="47" t="s">
        <v>3886</v>
      </c>
      <c r="B2335" s="47">
        <v>72025.0</v>
      </c>
      <c r="C2335" s="47">
        <v>1.0</v>
      </c>
      <c r="D2335" s="47" t="s">
        <v>4044</v>
      </c>
      <c r="E2335" s="47" t="str">
        <f t="shared" si="1"/>
        <v>1A</v>
      </c>
      <c r="F2335" s="47" t="s">
        <v>4045</v>
      </c>
      <c r="G2335" s="47" t="s">
        <v>4086</v>
      </c>
      <c r="H2335" s="48">
        <f>IF(NOT(ISBLANK(vlookup(B2335,Pop_Census_2023!$A$2:$E$3220,4,FALSE))),vlookup(B2335,Pop_Census_2023!$A$2:$E$3220,4,FALSE), vlookup(B2335,Pop_Census_2023!$A$2:$E$3220,5,FALSE))</f>
        <v>124608</v>
      </c>
    </row>
    <row r="2336">
      <c r="A2336" s="47" t="s">
        <v>3886</v>
      </c>
      <c r="B2336" s="47">
        <v>72027.0</v>
      </c>
      <c r="C2336" s="47">
        <v>1.0</v>
      </c>
      <c r="D2336" s="47" t="s">
        <v>4044</v>
      </c>
      <c r="E2336" s="47" t="str">
        <f t="shared" si="1"/>
        <v>1A</v>
      </c>
      <c r="F2336" s="47" t="s">
        <v>4045</v>
      </c>
      <c r="G2336" s="47" t="s">
        <v>4087</v>
      </c>
      <c r="H2336" s="48">
        <f>IF(NOT(ISBLANK(vlookup(B2336,Pop_Census_2023!$A$2:$E$3220,4,FALSE))),vlookup(B2336,Pop_Census_2023!$A$2:$E$3220,4,FALSE), vlookup(B2336,Pop_Census_2023!$A$2:$E$3220,5,FALSE))</f>
        <v>32625</v>
      </c>
    </row>
    <row r="2337">
      <c r="A2337" s="47" t="s">
        <v>3886</v>
      </c>
      <c r="B2337" s="47">
        <v>72029.0</v>
      </c>
      <c r="C2337" s="47">
        <v>1.0</v>
      </c>
      <c r="D2337" s="47" t="s">
        <v>4044</v>
      </c>
      <c r="E2337" s="47" t="str">
        <f t="shared" si="1"/>
        <v>1A</v>
      </c>
      <c r="F2337" s="47" t="s">
        <v>4045</v>
      </c>
      <c r="G2337" s="47" t="s">
        <v>4088</v>
      </c>
      <c r="H2337" s="48">
        <f>IF(NOT(ISBLANK(vlookup(B2337,Pop_Census_2023!$A$2:$E$3220,4,FALSE))),vlookup(B2337,Pop_Census_2023!$A$2:$E$3220,4,FALSE), vlookup(B2337,Pop_Census_2023!$A$2:$E$3220,5,FALSE))</f>
        <v>41513</v>
      </c>
    </row>
    <row r="2338">
      <c r="A2338" s="47" t="s">
        <v>3886</v>
      </c>
      <c r="B2338" s="47">
        <v>72031.0</v>
      </c>
      <c r="C2338" s="47">
        <v>1.0</v>
      </c>
      <c r="D2338" s="47" t="s">
        <v>4044</v>
      </c>
      <c r="E2338" s="47" t="str">
        <f t="shared" si="1"/>
        <v>1A</v>
      </c>
      <c r="F2338" s="47" t="s">
        <v>4045</v>
      </c>
      <c r="G2338" s="47" t="s">
        <v>4089</v>
      </c>
      <c r="H2338" s="48">
        <f>IF(NOT(ISBLANK(vlookup(B2338,Pop_Census_2023!$A$2:$E$3220,4,FALSE))),vlookup(B2338,Pop_Census_2023!$A$2:$E$3220,4,FALSE), vlookup(B2338,Pop_Census_2023!$A$2:$E$3220,5,FALSE))</f>
        <v>150843</v>
      </c>
    </row>
    <row r="2339">
      <c r="A2339" s="47" t="s">
        <v>3886</v>
      </c>
      <c r="B2339" s="47">
        <v>72033.0</v>
      </c>
      <c r="C2339" s="47">
        <v>1.0</v>
      </c>
      <c r="D2339" s="47" t="s">
        <v>4044</v>
      </c>
      <c r="E2339" s="47" t="str">
        <f t="shared" si="1"/>
        <v>1A</v>
      </c>
      <c r="F2339" s="47" t="s">
        <v>4045</v>
      </c>
      <c r="G2339" s="47" t="s">
        <v>4090</v>
      </c>
      <c r="H2339" s="48">
        <f>IF(NOT(ISBLANK(vlookup(B2339,Pop_Census_2023!$A$2:$E$3220,4,FALSE))),vlookup(B2339,Pop_Census_2023!$A$2:$E$3220,4,FALSE), vlookup(B2339,Pop_Census_2023!$A$2:$E$3220,5,FALSE))</f>
        <v>22108</v>
      </c>
    </row>
    <row r="2340">
      <c r="A2340" s="47" t="s">
        <v>3886</v>
      </c>
      <c r="B2340" s="47">
        <v>72035.0</v>
      </c>
      <c r="C2340" s="47">
        <v>1.0</v>
      </c>
      <c r="D2340" s="47" t="s">
        <v>4044</v>
      </c>
      <c r="E2340" s="47" t="str">
        <f t="shared" si="1"/>
        <v>1A</v>
      </c>
      <c r="F2340" s="47" t="s">
        <v>4045</v>
      </c>
      <c r="G2340" s="47" t="s">
        <v>4091</v>
      </c>
      <c r="H2340" s="48">
        <f>IF(NOT(ISBLANK(vlookup(B2340,Pop_Census_2023!$A$2:$E$3220,4,FALSE))),vlookup(B2340,Pop_Census_2023!$A$2:$E$3220,4,FALSE), vlookup(B2340,Pop_Census_2023!$A$2:$E$3220,5,FALSE))</f>
        <v>40525</v>
      </c>
    </row>
    <row r="2341">
      <c r="A2341" s="47" t="s">
        <v>3886</v>
      </c>
      <c r="B2341" s="47">
        <v>72037.0</v>
      </c>
      <c r="C2341" s="47">
        <v>1.0</v>
      </c>
      <c r="D2341" s="47" t="s">
        <v>4044</v>
      </c>
      <c r="E2341" s="47" t="str">
        <f t="shared" si="1"/>
        <v>1A</v>
      </c>
      <c r="F2341" s="47" t="s">
        <v>4045</v>
      </c>
      <c r="G2341" s="47" t="s">
        <v>4092</v>
      </c>
      <c r="H2341" s="48">
        <f>IF(NOT(ISBLANK(vlookup(B2341,Pop_Census_2023!$A$2:$E$3220,4,FALSE))),vlookup(B2341,Pop_Census_2023!$A$2:$E$3220,4,FALSE), vlookup(B2341,Pop_Census_2023!$A$2:$E$3220,5,FALSE))</f>
        <v>10843</v>
      </c>
    </row>
    <row r="2342">
      <c r="A2342" s="47" t="s">
        <v>3886</v>
      </c>
      <c r="B2342" s="47">
        <v>72039.0</v>
      </c>
      <c r="C2342" s="47">
        <v>1.0</v>
      </c>
      <c r="D2342" s="47" t="s">
        <v>4044</v>
      </c>
      <c r="E2342" s="47" t="str">
        <f t="shared" si="1"/>
        <v>1A</v>
      </c>
      <c r="F2342" s="47" t="s">
        <v>4045</v>
      </c>
      <c r="G2342" s="47" t="s">
        <v>4093</v>
      </c>
      <c r="H2342" s="48">
        <f>IF(NOT(ISBLANK(vlookup(B2342,Pop_Census_2023!$A$2:$E$3220,4,FALSE))),vlookup(B2342,Pop_Census_2023!$A$2:$E$3220,4,FALSE), vlookup(B2342,Pop_Census_2023!$A$2:$E$3220,5,FALSE))</f>
        <v>16691</v>
      </c>
    </row>
    <row r="2343">
      <c r="A2343" s="47" t="s">
        <v>3886</v>
      </c>
      <c r="B2343" s="47">
        <v>72041.0</v>
      </c>
      <c r="C2343" s="47">
        <v>1.0</v>
      </c>
      <c r="D2343" s="47" t="s">
        <v>4044</v>
      </c>
      <c r="E2343" s="47" t="str">
        <f t="shared" si="1"/>
        <v>1A</v>
      </c>
      <c r="F2343" s="47" t="s">
        <v>4045</v>
      </c>
      <c r="G2343" s="47" t="s">
        <v>4094</v>
      </c>
      <c r="H2343" s="48">
        <f>IF(NOT(ISBLANK(vlookup(B2343,Pop_Census_2023!$A$2:$E$3220,4,FALSE))),vlookup(B2343,Pop_Census_2023!$A$2:$E$3220,4,FALSE), vlookup(B2343,Pop_Census_2023!$A$2:$E$3220,5,FALSE))</f>
        <v>39418</v>
      </c>
    </row>
    <row r="2344">
      <c r="A2344" s="47" t="s">
        <v>3886</v>
      </c>
      <c r="B2344" s="47">
        <v>72043.0</v>
      </c>
      <c r="C2344" s="47">
        <v>1.0</v>
      </c>
      <c r="D2344" s="47" t="s">
        <v>4044</v>
      </c>
      <c r="E2344" s="47" t="str">
        <f t="shared" si="1"/>
        <v>1A</v>
      </c>
      <c r="F2344" s="47" t="s">
        <v>4045</v>
      </c>
      <c r="G2344" s="47" t="s">
        <v>4095</v>
      </c>
      <c r="H2344" s="48">
        <f>IF(NOT(ISBLANK(vlookup(B2344,Pop_Census_2023!$A$2:$E$3220,4,FALSE))),vlookup(B2344,Pop_Census_2023!$A$2:$E$3220,4,FALSE), vlookup(B2344,Pop_Census_2023!$A$2:$E$3220,5,FALSE))</f>
        <v>33662</v>
      </c>
    </row>
    <row r="2345">
      <c r="A2345" s="47" t="s">
        <v>3886</v>
      </c>
      <c r="B2345" s="47">
        <v>72045.0</v>
      </c>
      <c r="C2345" s="47">
        <v>1.0</v>
      </c>
      <c r="D2345" s="47" t="s">
        <v>4044</v>
      </c>
      <c r="E2345" s="47" t="str">
        <f t="shared" si="1"/>
        <v>1A</v>
      </c>
      <c r="F2345" s="47" t="s">
        <v>4045</v>
      </c>
      <c r="G2345" s="47" t="s">
        <v>4096</v>
      </c>
      <c r="H2345" s="48">
        <f>IF(NOT(ISBLANK(vlookup(B2345,Pop_Census_2023!$A$2:$E$3220,4,FALSE))),vlookup(B2345,Pop_Census_2023!$A$2:$E$3220,4,FALSE), vlookup(B2345,Pop_Census_2023!$A$2:$E$3220,5,FALSE))</f>
        <v>18601</v>
      </c>
    </row>
    <row r="2346">
      <c r="A2346" s="47" t="s">
        <v>3886</v>
      </c>
      <c r="B2346" s="47">
        <v>72047.0</v>
      </c>
      <c r="C2346" s="47">
        <v>1.0</v>
      </c>
      <c r="D2346" s="47" t="s">
        <v>4044</v>
      </c>
      <c r="E2346" s="47" t="str">
        <f t="shared" si="1"/>
        <v>1A</v>
      </c>
      <c r="F2346" s="47" t="s">
        <v>4045</v>
      </c>
      <c r="G2346" s="47" t="s">
        <v>4097</v>
      </c>
      <c r="H2346" s="48">
        <f>IF(NOT(ISBLANK(vlookup(B2346,Pop_Census_2023!$A$2:$E$3220,4,FALSE))),vlookup(B2346,Pop_Census_2023!$A$2:$E$3220,4,FALSE), vlookup(B2346,Pop_Census_2023!$A$2:$E$3220,5,FALSE))</f>
        <v>34348</v>
      </c>
    </row>
    <row r="2347">
      <c r="A2347" s="47" t="s">
        <v>3886</v>
      </c>
      <c r="B2347" s="47">
        <v>72049.0</v>
      </c>
      <c r="C2347" s="47">
        <v>1.0</v>
      </c>
      <c r="D2347" s="47" t="s">
        <v>4044</v>
      </c>
      <c r="E2347" s="47" t="str">
        <f t="shared" si="1"/>
        <v>1A</v>
      </c>
      <c r="F2347" s="47" t="s">
        <v>4045</v>
      </c>
      <c r="G2347" s="47" t="s">
        <v>4098</v>
      </c>
      <c r="H2347" s="48">
        <f>IF(NOT(ISBLANK(vlookup(B2347,Pop_Census_2023!$A$2:$E$3220,4,FALSE))),vlookup(B2347,Pop_Census_2023!$A$2:$E$3220,4,FALSE), vlookup(B2347,Pop_Census_2023!$A$2:$E$3220,5,FALSE))</f>
        <v>1761</v>
      </c>
    </row>
    <row r="2348">
      <c r="A2348" s="47" t="s">
        <v>3886</v>
      </c>
      <c r="B2348" s="47">
        <v>72051.0</v>
      </c>
      <c r="C2348" s="47">
        <v>1.0</v>
      </c>
      <c r="D2348" s="47" t="s">
        <v>4044</v>
      </c>
      <c r="E2348" s="47" t="str">
        <f t="shared" si="1"/>
        <v>1A</v>
      </c>
      <c r="F2348" s="47" t="s">
        <v>4045</v>
      </c>
      <c r="G2348" s="47" t="s">
        <v>4099</v>
      </c>
      <c r="H2348" s="48">
        <f>IF(NOT(ISBLANK(vlookup(B2348,Pop_Census_2023!$A$2:$E$3220,4,FALSE))),vlookup(B2348,Pop_Census_2023!$A$2:$E$3220,4,FALSE), vlookup(B2348,Pop_Census_2023!$A$2:$E$3220,5,FALSE))</f>
        <v>35702</v>
      </c>
    </row>
    <row r="2349">
      <c r="A2349" s="47" t="s">
        <v>3886</v>
      </c>
      <c r="B2349" s="47">
        <v>72053.0</v>
      </c>
      <c r="C2349" s="47">
        <v>1.0</v>
      </c>
      <c r="D2349" s="47" t="s">
        <v>4044</v>
      </c>
      <c r="E2349" s="47" t="str">
        <f t="shared" si="1"/>
        <v>1A</v>
      </c>
      <c r="F2349" s="47" t="s">
        <v>4045</v>
      </c>
      <c r="G2349" s="47" t="s">
        <v>4100</v>
      </c>
      <c r="H2349" s="48">
        <f>IF(NOT(ISBLANK(vlookup(B2349,Pop_Census_2023!$A$2:$E$3220,4,FALSE))),vlookup(B2349,Pop_Census_2023!$A$2:$E$3220,4,FALSE), vlookup(B2349,Pop_Census_2023!$A$2:$E$3220,5,FALSE))</f>
        <v>31166</v>
      </c>
    </row>
    <row r="2350">
      <c r="A2350" s="47" t="s">
        <v>3886</v>
      </c>
      <c r="B2350" s="47">
        <v>72054.0</v>
      </c>
      <c r="C2350" s="47">
        <v>1.0</v>
      </c>
      <c r="D2350" s="47" t="s">
        <v>4044</v>
      </c>
      <c r="E2350" s="47" t="str">
        <f t="shared" si="1"/>
        <v>1A</v>
      </c>
      <c r="F2350" s="47" t="s">
        <v>4045</v>
      </c>
      <c r="G2350" s="47" t="s">
        <v>410</v>
      </c>
      <c r="H2350" s="48">
        <f>IF(NOT(ISBLANK(vlookup(B2350,Pop_Census_2023!$A$2:$E$3220,4,FALSE))),vlookup(B2350,Pop_Census_2023!$A$2:$E$3220,4,FALSE), vlookup(B2350,Pop_Census_2023!$A$2:$E$3220,5,FALSE))</f>
        <v>11525</v>
      </c>
    </row>
    <row r="2351">
      <c r="A2351" s="47" t="s">
        <v>3886</v>
      </c>
      <c r="B2351" s="47">
        <v>72055.0</v>
      </c>
      <c r="C2351" s="47">
        <v>1.0</v>
      </c>
      <c r="D2351" s="47" t="s">
        <v>4044</v>
      </c>
      <c r="E2351" s="47" t="str">
        <f t="shared" si="1"/>
        <v>1A</v>
      </c>
      <c r="F2351" s="47" t="s">
        <v>4045</v>
      </c>
      <c r="G2351" s="47" t="s">
        <v>4101</v>
      </c>
      <c r="H2351" s="48">
        <f>IF(NOT(ISBLANK(vlookup(B2351,Pop_Census_2023!$A$2:$E$3220,4,FALSE))),vlookup(B2351,Pop_Census_2023!$A$2:$E$3220,4,FALSE), vlookup(B2351,Pop_Census_2023!$A$2:$E$3220,5,FALSE))</f>
        <v>12415</v>
      </c>
    </row>
    <row r="2352">
      <c r="A2352" s="47" t="s">
        <v>3886</v>
      </c>
      <c r="B2352" s="47">
        <v>72057.0</v>
      </c>
      <c r="C2352" s="47">
        <v>1.0</v>
      </c>
      <c r="D2352" s="47" t="s">
        <v>4044</v>
      </c>
      <c r="E2352" s="47" t="str">
        <f t="shared" si="1"/>
        <v>1A</v>
      </c>
      <c r="F2352" s="47" t="s">
        <v>4045</v>
      </c>
      <c r="G2352" s="47" t="s">
        <v>4102</v>
      </c>
      <c r="H2352" s="48">
        <f>IF(NOT(ISBLANK(vlookup(B2352,Pop_Census_2023!$A$2:$E$3220,4,FALSE))),vlookup(B2352,Pop_Census_2023!$A$2:$E$3220,4,FALSE), vlookup(B2352,Pop_Census_2023!$A$2:$E$3220,5,FALSE))</f>
        <v>34765</v>
      </c>
    </row>
    <row r="2353">
      <c r="A2353" s="47" t="s">
        <v>3886</v>
      </c>
      <c r="B2353" s="47">
        <v>72059.0</v>
      </c>
      <c r="C2353" s="47">
        <v>1.0</v>
      </c>
      <c r="D2353" s="47" t="s">
        <v>4044</v>
      </c>
      <c r="E2353" s="47" t="str">
        <f t="shared" si="1"/>
        <v>1A</v>
      </c>
      <c r="F2353" s="47" t="s">
        <v>4045</v>
      </c>
      <c r="G2353" s="47" t="s">
        <v>4103</v>
      </c>
      <c r="H2353" s="48">
        <f>IF(NOT(ISBLANK(vlookup(B2353,Pop_Census_2023!$A$2:$E$3220,4,FALSE))),vlookup(B2353,Pop_Census_2023!$A$2:$E$3220,4,FALSE), vlookup(B2353,Pop_Census_2023!$A$2:$E$3220,5,FALSE))</f>
        <v>16813</v>
      </c>
    </row>
    <row r="2354">
      <c r="A2354" s="47" t="s">
        <v>3886</v>
      </c>
      <c r="B2354" s="47">
        <v>72061.0</v>
      </c>
      <c r="C2354" s="47">
        <v>1.0</v>
      </c>
      <c r="D2354" s="47" t="s">
        <v>4044</v>
      </c>
      <c r="E2354" s="47" t="str">
        <f t="shared" si="1"/>
        <v>1A</v>
      </c>
      <c r="F2354" s="47" t="s">
        <v>4045</v>
      </c>
      <c r="G2354" s="47" t="s">
        <v>4104</v>
      </c>
      <c r="H2354" s="48">
        <f>IF(NOT(ISBLANK(vlookup(B2354,Pop_Census_2023!$A$2:$E$3220,4,FALSE))),vlookup(B2354,Pop_Census_2023!$A$2:$E$3220,4,FALSE), vlookup(B2354,Pop_Census_2023!$A$2:$E$3220,5,FALSE))</f>
        <v>89039</v>
      </c>
    </row>
    <row r="2355">
      <c r="A2355" s="47" t="s">
        <v>3886</v>
      </c>
      <c r="B2355" s="47">
        <v>72063.0</v>
      </c>
      <c r="C2355" s="47">
        <v>1.0</v>
      </c>
      <c r="D2355" s="47" t="s">
        <v>4044</v>
      </c>
      <c r="E2355" s="47" t="str">
        <f t="shared" si="1"/>
        <v>1A</v>
      </c>
      <c r="F2355" s="47" t="s">
        <v>4045</v>
      </c>
      <c r="G2355" s="47" t="s">
        <v>4105</v>
      </c>
      <c r="H2355" s="48">
        <f>IF(NOT(ISBLANK(vlookup(B2355,Pop_Census_2023!$A$2:$E$3220,4,FALSE))),vlookup(B2355,Pop_Census_2023!$A$2:$E$3220,4,FALSE), vlookup(B2355,Pop_Census_2023!$A$2:$E$3220,5,FALSE))</f>
        <v>39971</v>
      </c>
    </row>
    <row r="2356">
      <c r="A2356" s="47" t="s">
        <v>3886</v>
      </c>
      <c r="B2356" s="47">
        <v>72065.0</v>
      </c>
      <c r="C2356" s="47">
        <v>1.0</v>
      </c>
      <c r="D2356" s="47" t="s">
        <v>4044</v>
      </c>
      <c r="E2356" s="47" t="str">
        <f t="shared" si="1"/>
        <v>1A</v>
      </c>
      <c r="F2356" s="47" t="s">
        <v>4045</v>
      </c>
      <c r="G2356" s="47" t="s">
        <v>4106</v>
      </c>
      <c r="H2356" s="48">
        <f>IF(NOT(ISBLANK(vlookup(B2356,Pop_Census_2023!$A$2:$E$3220,4,FALSE))),vlookup(B2356,Pop_Census_2023!$A$2:$E$3220,4,FALSE), vlookup(B2356,Pop_Census_2023!$A$2:$E$3220,5,FALSE))</f>
        <v>37950</v>
      </c>
    </row>
    <row r="2357">
      <c r="A2357" s="47" t="s">
        <v>3886</v>
      </c>
      <c r="B2357" s="47">
        <v>72067.0</v>
      </c>
      <c r="C2357" s="47">
        <v>1.0</v>
      </c>
      <c r="D2357" s="47" t="s">
        <v>4044</v>
      </c>
      <c r="E2357" s="47" t="str">
        <f t="shared" si="1"/>
        <v>1A</v>
      </c>
      <c r="F2357" s="47" t="s">
        <v>4045</v>
      </c>
      <c r="G2357" s="47" t="s">
        <v>4107</v>
      </c>
      <c r="H2357" s="48">
        <f>IF(NOT(ISBLANK(vlookup(B2357,Pop_Census_2023!$A$2:$E$3220,4,FALSE))),vlookup(B2357,Pop_Census_2023!$A$2:$E$3220,4,FALSE), vlookup(B2357,Pop_Census_2023!$A$2:$E$3220,5,FALSE))</f>
        <v>15336</v>
      </c>
    </row>
    <row r="2358">
      <c r="A2358" s="47" t="s">
        <v>3886</v>
      </c>
      <c r="B2358" s="47">
        <v>72069.0</v>
      </c>
      <c r="C2358" s="47">
        <v>1.0</v>
      </c>
      <c r="D2358" s="47" t="s">
        <v>4044</v>
      </c>
      <c r="E2358" s="47" t="str">
        <f t="shared" si="1"/>
        <v>1A</v>
      </c>
      <c r="F2358" s="47" t="s">
        <v>4045</v>
      </c>
      <c r="G2358" s="47" t="s">
        <v>4108</v>
      </c>
      <c r="H2358" s="48">
        <f>IF(NOT(ISBLANK(vlookup(B2358,Pop_Census_2023!$A$2:$E$3220,4,FALSE))),vlookup(B2358,Pop_Census_2023!$A$2:$E$3220,4,FALSE), vlookup(B2358,Pop_Census_2023!$A$2:$E$3220,5,FALSE))</f>
        <v>49712</v>
      </c>
    </row>
    <row r="2359">
      <c r="A2359" s="47" t="s">
        <v>3886</v>
      </c>
      <c r="B2359" s="47">
        <v>72071.0</v>
      </c>
      <c r="C2359" s="47">
        <v>1.0</v>
      </c>
      <c r="D2359" s="47" t="s">
        <v>4044</v>
      </c>
      <c r="E2359" s="47" t="str">
        <f t="shared" si="1"/>
        <v>1A</v>
      </c>
      <c r="F2359" s="47" t="s">
        <v>4045</v>
      </c>
      <c r="G2359" s="47" t="s">
        <v>4109</v>
      </c>
      <c r="H2359" s="48">
        <f>IF(NOT(ISBLANK(vlookup(B2359,Pop_Census_2023!$A$2:$E$3220,4,FALSE))),vlookup(B2359,Pop_Census_2023!$A$2:$E$3220,4,FALSE), vlookup(B2359,Pop_Census_2023!$A$2:$E$3220,5,FALSE))</f>
        <v>42794</v>
      </c>
    </row>
    <row r="2360">
      <c r="A2360" s="47" t="s">
        <v>3886</v>
      </c>
      <c r="B2360" s="47">
        <v>72073.0</v>
      </c>
      <c r="C2360" s="47">
        <v>1.0</v>
      </c>
      <c r="D2360" s="47" t="s">
        <v>4044</v>
      </c>
      <c r="E2360" s="47" t="str">
        <f t="shared" si="1"/>
        <v>1A</v>
      </c>
      <c r="F2360" s="47" t="s">
        <v>4045</v>
      </c>
      <c r="G2360" s="47" t="s">
        <v>4110</v>
      </c>
      <c r="H2360" s="48">
        <f>IF(NOT(ISBLANK(vlookup(B2360,Pop_Census_2023!$A$2:$E$3220,4,FALSE))),vlookup(B2360,Pop_Census_2023!$A$2:$E$3220,4,FALSE), vlookup(B2360,Pop_Census_2023!$A$2:$E$3220,5,FALSE))</f>
        <v>14435</v>
      </c>
    </row>
    <row r="2361">
      <c r="A2361" s="47" t="s">
        <v>3886</v>
      </c>
      <c r="B2361" s="47">
        <v>72075.0</v>
      </c>
      <c r="C2361" s="47">
        <v>1.0</v>
      </c>
      <c r="D2361" s="47" t="s">
        <v>4044</v>
      </c>
      <c r="E2361" s="47" t="str">
        <f t="shared" si="1"/>
        <v>1A</v>
      </c>
      <c r="F2361" s="47" t="s">
        <v>4045</v>
      </c>
      <c r="G2361" s="47" t="s">
        <v>4111</v>
      </c>
      <c r="H2361" s="48">
        <f>IF(NOT(ISBLANK(vlookup(B2361,Pop_Census_2023!$A$2:$E$3220,4,FALSE))),vlookup(B2361,Pop_Census_2023!$A$2:$E$3220,4,FALSE), vlookup(B2361,Pop_Census_2023!$A$2:$E$3220,5,FALSE))</f>
        <v>45919</v>
      </c>
    </row>
    <row r="2362">
      <c r="A2362" s="47" t="s">
        <v>3886</v>
      </c>
      <c r="B2362" s="47">
        <v>72077.0</v>
      </c>
      <c r="C2362" s="47">
        <v>1.0</v>
      </c>
      <c r="D2362" s="47" t="s">
        <v>4044</v>
      </c>
      <c r="E2362" s="47" t="str">
        <f t="shared" si="1"/>
        <v>1A</v>
      </c>
      <c r="F2362" s="47" t="s">
        <v>4045</v>
      </c>
      <c r="G2362" s="47" t="s">
        <v>4112</v>
      </c>
      <c r="H2362" s="48">
        <f>IF(NOT(ISBLANK(vlookup(B2362,Pop_Census_2023!$A$2:$E$3220,4,FALSE))),vlookup(B2362,Pop_Census_2023!$A$2:$E$3220,4,FALSE), vlookup(B2362,Pop_Census_2023!$A$2:$E$3220,5,FALSE))</f>
        <v>36684</v>
      </c>
    </row>
    <row r="2363">
      <c r="A2363" s="47" t="s">
        <v>3886</v>
      </c>
      <c r="B2363" s="47">
        <v>72079.0</v>
      </c>
      <c r="C2363" s="47">
        <v>1.0</v>
      </c>
      <c r="D2363" s="47" t="s">
        <v>4044</v>
      </c>
      <c r="E2363" s="47" t="str">
        <f t="shared" si="1"/>
        <v>1A</v>
      </c>
      <c r="F2363" s="47" t="s">
        <v>4045</v>
      </c>
      <c r="G2363" s="47" t="s">
        <v>4113</v>
      </c>
      <c r="H2363" s="48">
        <f>IF(NOT(ISBLANK(vlookup(B2363,Pop_Census_2023!$A$2:$E$3220,4,FALSE))),vlookup(B2363,Pop_Census_2023!$A$2:$E$3220,4,FALSE), vlookup(B2363,Pop_Census_2023!$A$2:$E$3220,5,FALSE))</f>
        <v>22872</v>
      </c>
    </row>
    <row r="2364">
      <c r="A2364" s="47" t="s">
        <v>3886</v>
      </c>
      <c r="B2364" s="47">
        <v>72081.0</v>
      </c>
      <c r="C2364" s="47">
        <v>1.0</v>
      </c>
      <c r="D2364" s="47" t="s">
        <v>4044</v>
      </c>
      <c r="E2364" s="47" t="str">
        <f t="shared" si="1"/>
        <v>1A</v>
      </c>
      <c r="F2364" s="47" t="s">
        <v>4045</v>
      </c>
      <c r="G2364" s="47" t="s">
        <v>4114</v>
      </c>
      <c r="H2364" s="48">
        <f>IF(NOT(ISBLANK(vlookup(B2364,Pop_Census_2023!$A$2:$E$3220,4,FALSE))),vlookup(B2364,Pop_Census_2023!$A$2:$E$3220,4,FALSE), vlookup(B2364,Pop_Census_2023!$A$2:$E$3220,5,FALSE))</f>
        <v>27729</v>
      </c>
    </row>
    <row r="2365">
      <c r="A2365" s="47" t="s">
        <v>3886</v>
      </c>
      <c r="B2365" s="47">
        <v>72083.0</v>
      </c>
      <c r="C2365" s="47">
        <v>1.0</v>
      </c>
      <c r="D2365" s="47" t="s">
        <v>4044</v>
      </c>
      <c r="E2365" s="47" t="str">
        <f t="shared" si="1"/>
        <v>1A</v>
      </c>
      <c r="F2365" s="47" t="s">
        <v>4045</v>
      </c>
      <c r="G2365" s="47" t="s">
        <v>4115</v>
      </c>
      <c r="H2365" s="48">
        <f>IF(NOT(ISBLANK(vlookup(B2365,Pop_Census_2023!$A$2:$E$3220,4,FALSE))),vlookup(B2365,Pop_Census_2023!$A$2:$E$3220,4,FALSE), vlookup(B2365,Pop_Census_2023!$A$2:$E$3220,5,FALSE))</f>
        <v>8672</v>
      </c>
    </row>
    <row r="2366">
      <c r="A2366" s="47" t="s">
        <v>3886</v>
      </c>
      <c r="B2366" s="47">
        <v>72085.0</v>
      </c>
      <c r="C2366" s="47">
        <v>1.0</v>
      </c>
      <c r="D2366" s="47" t="s">
        <v>4044</v>
      </c>
      <c r="E2366" s="47" t="str">
        <f t="shared" si="1"/>
        <v>1A</v>
      </c>
      <c r="F2366" s="47" t="s">
        <v>4045</v>
      </c>
      <c r="G2366" s="47" t="s">
        <v>4116</v>
      </c>
      <c r="H2366" s="48">
        <f>IF(NOT(ISBLANK(vlookup(B2366,Pop_Census_2023!$A$2:$E$3220,4,FALSE))),vlookup(B2366,Pop_Census_2023!$A$2:$E$3220,4,FALSE), vlookup(B2366,Pop_Census_2023!$A$2:$E$3220,5,FALSE))</f>
        <v>34750</v>
      </c>
    </row>
    <row r="2367">
      <c r="A2367" s="47" t="s">
        <v>3886</v>
      </c>
      <c r="B2367" s="47">
        <v>72087.0</v>
      </c>
      <c r="C2367" s="47">
        <v>1.0</v>
      </c>
      <c r="D2367" s="47" t="s">
        <v>4044</v>
      </c>
      <c r="E2367" s="47" t="str">
        <f t="shared" si="1"/>
        <v>1A</v>
      </c>
      <c r="F2367" s="47" t="s">
        <v>4045</v>
      </c>
      <c r="G2367" s="47" t="s">
        <v>4117</v>
      </c>
      <c r="H2367" s="48">
        <f>IF(NOT(ISBLANK(vlookup(B2367,Pop_Census_2023!$A$2:$E$3220,4,FALSE))),vlookup(B2367,Pop_Census_2023!$A$2:$E$3220,4,FALSE), vlookup(B2367,Pop_Census_2023!$A$2:$E$3220,5,FALSE))</f>
        <v>22302</v>
      </c>
    </row>
    <row r="2368">
      <c r="A2368" s="47" t="s">
        <v>3886</v>
      </c>
      <c r="B2368" s="47">
        <v>72089.0</v>
      </c>
      <c r="C2368" s="47">
        <v>1.0</v>
      </c>
      <c r="D2368" s="47" t="s">
        <v>4044</v>
      </c>
      <c r="E2368" s="47" t="str">
        <f t="shared" si="1"/>
        <v>1A</v>
      </c>
      <c r="F2368" s="47" t="s">
        <v>4045</v>
      </c>
      <c r="G2368" s="47" t="s">
        <v>4118</v>
      </c>
      <c r="H2368" s="48">
        <f>IF(NOT(ISBLANK(vlookup(B2368,Pop_Census_2023!$A$2:$E$3220,4,FALSE))),vlookup(B2368,Pop_Census_2023!$A$2:$E$3220,4,FALSE), vlookup(B2368,Pop_Census_2023!$A$2:$E$3220,5,FALSE))</f>
        <v>17386</v>
      </c>
    </row>
    <row r="2369">
      <c r="A2369" s="47" t="s">
        <v>3886</v>
      </c>
      <c r="B2369" s="47">
        <v>72091.0</v>
      </c>
      <c r="C2369" s="47">
        <v>1.0</v>
      </c>
      <c r="D2369" s="47" t="s">
        <v>4044</v>
      </c>
      <c r="E2369" s="47" t="str">
        <f t="shared" si="1"/>
        <v>1A</v>
      </c>
      <c r="F2369" s="47" t="s">
        <v>4045</v>
      </c>
      <c r="G2369" s="47" t="s">
        <v>4119</v>
      </c>
      <c r="H2369" s="48">
        <f>IF(NOT(ISBLANK(vlookup(B2369,Pop_Census_2023!$A$2:$E$3220,4,FALSE))),vlookup(B2369,Pop_Census_2023!$A$2:$E$3220,4,FALSE), vlookup(B2369,Pop_Census_2023!$A$2:$E$3220,5,FALSE))</f>
        <v>38655</v>
      </c>
    </row>
    <row r="2370">
      <c r="A2370" s="47" t="s">
        <v>3886</v>
      </c>
      <c r="B2370" s="47">
        <v>72093.0</v>
      </c>
      <c r="C2370" s="47">
        <v>1.0</v>
      </c>
      <c r="D2370" s="47" t="s">
        <v>4044</v>
      </c>
      <c r="E2370" s="47" t="str">
        <f t="shared" si="1"/>
        <v>1A</v>
      </c>
      <c r="F2370" s="47" t="s">
        <v>4045</v>
      </c>
      <c r="G2370" s="47" t="s">
        <v>4120</v>
      </c>
      <c r="H2370" s="48">
        <f>IF(NOT(ISBLANK(vlookup(B2370,Pop_Census_2023!$A$2:$E$3220,4,FALSE))),vlookup(B2370,Pop_Census_2023!$A$2:$E$3220,4,FALSE), vlookup(B2370,Pop_Census_2023!$A$2:$E$3220,5,FALSE))</f>
        <v>4523</v>
      </c>
    </row>
    <row r="2371">
      <c r="A2371" s="47" t="s">
        <v>3886</v>
      </c>
      <c r="B2371" s="47">
        <v>72095.0</v>
      </c>
      <c r="C2371" s="47">
        <v>1.0</v>
      </c>
      <c r="D2371" s="47" t="s">
        <v>4044</v>
      </c>
      <c r="E2371" s="47" t="str">
        <f t="shared" si="1"/>
        <v>1A</v>
      </c>
      <c r="F2371" s="47" t="s">
        <v>4045</v>
      </c>
      <c r="G2371" s="47" t="s">
        <v>4121</v>
      </c>
      <c r="H2371" s="48">
        <f>IF(NOT(ISBLANK(vlookup(B2371,Pop_Census_2023!$A$2:$E$3220,4,FALSE))),vlookup(B2371,Pop_Census_2023!$A$2:$E$3220,4,FALSE), vlookup(B2371,Pop_Census_2023!$A$2:$E$3220,5,FALSE))</f>
        <v>10266</v>
      </c>
    </row>
    <row r="2372">
      <c r="A2372" s="47" t="s">
        <v>3886</v>
      </c>
      <c r="B2372" s="47">
        <v>72097.0</v>
      </c>
      <c r="C2372" s="47">
        <v>1.0</v>
      </c>
      <c r="D2372" s="47" t="s">
        <v>4044</v>
      </c>
      <c r="E2372" s="47" t="str">
        <f t="shared" si="1"/>
        <v>1A</v>
      </c>
      <c r="F2372" s="47" t="s">
        <v>4045</v>
      </c>
      <c r="G2372" s="47" t="s">
        <v>4122</v>
      </c>
      <c r="H2372" s="48">
        <f>IF(NOT(ISBLANK(vlookup(B2372,Pop_Census_2023!$A$2:$E$3220,4,FALSE))),vlookup(B2372,Pop_Census_2023!$A$2:$E$3220,4,FALSE), vlookup(B2372,Pop_Census_2023!$A$2:$E$3220,5,FALSE))</f>
        <v>69798</v>
      </c>
    </row>
    <row r="2373">
      <c r="A2373" s="47" t="s">
        <v>3886</v>
      </c>
      <c r="B2373" s="47">
        <v>72099.0</v>
      </c>
      <c r="C2373" s="47">
        <v>1.0</v>
      </c>
      <c r="D2373" s="47" t="s">
        <v>4044</v>
      </c>
      <c r="E2373" s="47" t="str">
        <f t="shared" si="1"/>
        <v>1A</v>
      </c>
      <c r="F2373" s="47" t="s">
        <v>4045</v>
      </c>
      <c r="G2373" s="47" t="s">
        <v>4123</v>
      </c>
      <c r="H2373" s="48">
        <f>IF(NOT(ISBLANK(vlookup(B2373,Pop_Census_2023!$A$2:$E$3220,4,FALSE))),vlookup(B2373,Pop_Census_2023!$A$2:$E$3220,4,FALSE), vlookup(B2373,Pop_Census_2023!$A$2:$E$3220,5,FALSE))</f>
        <v>37325</v>
      </c>
    </row>
    <row r="2374">
      <c r="A2374" s="47" t="s">
        <v>3886</v>
      </c>
      <c r="B2374" s="47">
        <v>72101.0</v>
      </c>
      <c r="C2374" s="47">
        <v>1.0</v>
      </c>
      <c r="D2374" s="47" t="s">
        <v>4044</v>
      </c>
      <c r="E2374" s="47" t="str">
        <f t="shared" si="1"/>
        <v>1A</v>
      </c>
      <c r="F2374" s="47" t="s">
        <v>4045</v>
      </c>
      <c r="G2374" s="47" t="s">
        <v>4124</v>
      </c>
      <c r="H2374" s="48">
        <f>IF(NOT(ISBLANK(vlookup(B2374,Pop_Census_2023!$A$2:$E$3220,4,FALSE))),vlookup(B2374,Pop_Census_2023!$A$2:$E$3220,4,FALSE), vlookup(B2374,Pop_Census_2023!$A$2:$E$3220,5,FALSE))</f>
        <v>28197</v>
      </c>
    </row>
    <row r="2375">
      <c r="A2375" s="47" t="s">
        <v>3886</v>
      </c>
      <c r="B2375" s="47">
        <v>72103.0</v>
      </c>
      <c r="C2375" s="47">
        <v>1.0</v>
      </c>
      <c r="D2375" s="47" t="s">
        <v>4044</v>
      </c>
      <c r="E2375" s="47" t="str">
        <f t="shared" si="1"/>
        <v>1A</v>
      </c>
      <c r="F2375" s="47" t="s">
        <v>4045</v>
      </c>
      <c r="G2375" s="47" t="s">
        <v>4125</v>
      </c>
      <c r="H2375" s="48">
        <f>IF(NOT(ISBLANK(vlookup(B2375,Pop_Census_2023!$A$2:$E$3220,4,FALSE))),vlookup(B2375,Pop_Census_2023!$A$2:$E$3220,4,FALSE), vlookup(B2375,Pop_Census_2023!$A$2:$E$3220,5,FALSE))</f>
        <v>22838</v>
      </c>
    </row>
    <row r="2376">
      <c r="A2376" s="47" t="s">
        <v>3886</v>
      </c>
      <c r="B2376" s="47">
        <v>72105.0</v>
      </c>
      <c r="C2376" s="47">
        <v>1.0</v>
      </c>
      <c r="D2376" s="47" t="s">
        <v>4044</v>
      </c>
      <c r="E2376" s="47" t="str">
        <f t="shared" si="1"/>
        <v>1A</v>
      </c>
      <c r="F2376" s="47" t="s">
        <v>4045</v>
      </c>
      <c r="G2376" s="47" t="s">
        <v>4126</v>
      </c>
      <c r="H2376" s="48">
        <f>IF(NOT(ISBLANK(vlookup(B2376,Pop_Census_2023!$A$2:$E$3220,4,FALSE))),vlookup(B2376,Pop_Census_2023!$A$2:$E$3220,4,FALSE), vlookup(B2376,Pop_Census_2023!$A$2:$E$3220,5,FALSE))</f>
        <v>29282</v>
      </c>
    </row>
    <row r="2377">
      <c r="A2377" s="47" t="s">
        <v>3886</v>
      </c>
      <c r="B2377" s="47">
        <v>72107.0</v>
      </c>
      <c r="C2377" s="47">
        <v>1.0</v>
      </c>
      <c r="D2377" s="47" t="s">
        <v>4044</v>
      </c>
      <c r="E2377" s="47" t="str">
        <f t="shared" si="1"/>
        <v>1A</v>
      </c>
      <c r="F2377" s="47" t="s">
        <v>4045</v>
      </c>
      <c r="G2377" s="47" t="s">
        <v>4127</v>
      </c>
      <c r="H2377" s="48">
        <f>IF(NOT(ISBLANK(vlookup(B2377,Pop_Census_2023!$A$2:$E$3220,4,FALSE))),vlookup(B2377,Pop_Census_2023!$A$2:$E$3220,4,FALSE), vlookup(B2377,Pop_Census_2023!$A$2:$E$3220,5,FALSE))</f>
        <v>21204</v>
      </c>
    </row>
    <row r="2378">
      <c r="A2378" s="47" t="s">
        <v>3886</v>
      </c>
      <c r="B2378" s="47">
        <v>72109.0</v>
      </c>
      <c r="C2378" s="47">
        <v>1.0</v>
      </c>
      <c r="D2378" s="47" t="s">
        <v>4044</v>
      </c>
      <c r="E2378" s="47" t="str">
        <f t="shared" si="1"/>
        <v>1A</v>
      </c>
      <c r="F2378" s="47" t="s">
        <v>4045</v>
      </c>
      <c r="G2378" s="47" t="s">
        <v>4128</v>
      </c>
      <c r="H2378" s="48">
        <f>IF(NOT(ISBLANK(vlookup(B2378,Pop_Census_2023!$A$2:$E$3220,4,FALSE))),vlookup(B2378,Pop_Census_2023!$A$2:$E$3220,4,FALSE), vlookup(B2378,Pop_Census_2023!$A$2:$E$3220,5,FALSE))</f>
        <v>15347</v>
      </c>
    </row>
    <row r="2379">
      <c r="A2379" s="47" t="s">
        <v>3886</v>
      </c>
      <c r="B2379" s="47">
        <v>72111.0</v>
      </c>
      <c r="C2379" s="47">
        <v>1.0</v>
      </c>
      <c r="D2379" s="47" t="s">
        <v>4044</v>
      </c>
      <c r="E2379" s="47" t="str">
        <f t="shared" si="1"/>
        <v>1A</v>
      </c>
      <c r="F2379" s="47" t="s">
        <v>4045</v>
      </c>
      <c r="G2379" s="47" t="s">
        <v>4129</v>
      </c>
      <c r="H2379" s="48">
        <f>IF(NOT(ISBLANK(vlookup(B2379,Pop_Census_2023!$A$2:$E$3220,4,FALSE))),vlookup(B2379,Pop_Census_2023!$A$2:$E$3220,4,FALSE), vlookup(B2379,Pop_Census_2023!$A$2:$E$3220,5,FALSE))</f>
        <v>19563</v>
      </c>
    </row>
    <row r="2380">
      <c r="A2380" s="47" t="s">
        <v>3886</v>
      </c>
      <c r="B2380" s="47">
        <v>72113.0</v>
      </c>
      <c r="C2380" s="47">
        <v>1.0</v>
      </c>
      <c r="D2380" s="47" t="s">
        <v>4044</v>
      </c>
      <c r="E2380" s="47" t="str">
        <f t="shared" si="1"/>
        <v>1A</v>
      </c>
      <c r="F2380" s="47" t="s">
        <v>4045</v>
      </c>
      <c r="G2380" s="47" t="s">
        <v>4130</v>
      </c>
      <c r="H2380" s="48">
        <f>IF(NOT(ISBLANK(vlookup(B2380,Pop_Census_2023!$A$2:$E$3220,4,FALSE))),vlookup(B2380,Pop_Census_2023!$A$2:$E$3220,4,FALSE), vlookup(B2380,Pop_Census_2023!$A$2:$E$3220,5,FALSE))</f>
        <v>130251</v>
      </c>
    </row>
    <row r="2381">
      <c r="A2381" s="47" t="s">
        <v>3886</v>
      </c>
      <c r="B2381" s="47">
        <v>72115.0</v>
      </c>
      <c r="C2381" s="47">
        <v>1.0</v>
      </c>
      <c r="D2381" s="47" t="s">
        <v>4044</v>
      </c>
      <c r="E2381" s="47" t="str">
        <f t="shared" si="1"/>
        <v>1A</v>
      </c>
      <c r="F2381" s="47" t="s">
        <v>4045</v>
      </c>
      <c r="G2381" s="47" t="s">
        <v>4131</v>
      </c>
      <c r="H2381" s="48">
        <f>IF(NOT(ISBLANK(vlookup(B2381,Pop_Census_2023!$A$2:$E$3220,4,FALSE))),vlookup(B2381,Pop_Census_2023!$A$2:$E$3220,4,FALSE), vlookup(B2381,Pop_Census_2023!$A$2:$E$3220,5,FALSE))</f>
        <v>23254</v>
      </c>
    </row>
    <row r="2382">
      <c r="A2382" s="47" t="s">
        <v>3886</v>
      </c>
      <c r="B2382" s="47">
        <v>72117.0</v>
      </c>
      <c r="C2382" s="47">
        <v>1.0</v>
      </c>
      <c r="D2382" s="47" t="s">
        <v>4044</v>
      </c>
      <c r="E2382" s="47" t="str">
        <f t="shared" si="1"/>
        <v>1A</v>
      </c>
      <c r="F2382" s="47" t="s">
        <v>4045</v>
      </c>
      <c r="G2382" s="47" t="s">
        <v>4132</v>
      </c>
      <c r="H2382" s="48">
        <f>IF(NOT(ISBLANK(vlookup(B2382,Pop_Census_2023!$A$2:$E$3220,4,FALSE))),vlookup(B2382,Pop_Census_2023!$A$2:$E$3220,4,FALSE), vlookup(B2382,Pop_Census_2023!$A$2:$E$3220,5,FALSE))</f>
        <v>15425</v>
      </c>
    </row>
    <row r="2383">
      <c r="A2383" s="47" t="s">
        <v>3886</v>
      </c>
      <c r="B2383" s="47">
        <v>72119.0</v>
      </c>
      <c r="C2383" s="47">
        <v>1.0</v>
      </c>
      <c r="D2383" s="47" t="s">
        <v>4044</v>
      </c>
      <c r="E2383" s="47" t="str">
        <f t="shared" si="1"/>
        <v>1A</v>
      </c>
      <c r="F2383" s="47" t="s">
        <v>4045</v>
      </c>
      <c r="G2383" s="47" t="s">
        <v>385</v>
      </c>
      <c r="H2383" s="48">
        <f>IF(NOT(ISBLANK(vlookup(B2383,Pop_Census_2023!$A$2:$E$3220,4,FALSE))),vlookup(B2383,Pop_Census_2023!$A$2:$E$3220,4,FALSE), vlookup(B2383,Pop_Census_2023!$A$2:$E$3220,5,FALSE))</f>
        <v>45568</v>
      </c>
    </row>
    <row r="2384">
      <c r="A2384" s="47" t="s">
        <v>3886</v>
      </c>
      <c r="B2384" s="47">
        <v>72121.0</v>
      </c>
      <c r="C2384" s="47">
        <v>1.0</v>
      </c>
      <c r="D2384" s="47" t="s">
        <v>4044</v>
      </c>
      <c r="E2384" s="47" t="str">
        <f t="shared" si="1"/>
        <v>1A</v>
      </c>
      <c r="F2384" s="47" t="s">
        <v>4045</v>
      </c>
      <c r="G2384" s="47" t="s">
        <v>4133</v>
      </c>
      <c r="H2384" s="48">
        <f>IF(NOT(ISBLANK(vlookup(B2384,Pop_Census_2023!$A$2:$E$3220,4,FALSE))),vlookup(B2384,Pop_Census_2023!$A$2:$E$3220,4,FALSE), vlookup(B2384,Pop_Census_2023!$A$2:$E$3220,5,FALSE))</f>
        <v>22210</v>
      </c>
    </row>
    <row r="2385">
      <c r="A2385" s="47" t="s">
        <v>3886</v>
      </c>
      <c r="B2385" s="47">
        <v>72123.0</v>
      </c>
      <c r="C2385" s="47">
        <v>1.0</v>
      </c>
      <c r="D2385" s="47" t="s">
        <v>4044</v>
      </c>
      <c r="E2385" s="47" t="str">
        <f t="shared" si="1"/>
        <v>1A</v>
      </c>
      <c r="F2385" s="47" t="s">
        <v>4045</v>
      </c>
      <c r="G2385" s="47" t="s">
        <v>4134</v>
      </c>
      <c r="H2385" s="48">
        <f>IF(NOT(ISBLANK(vlookup(B2385,Pop_Census_2023!$A$2:$E$3220,4,FALSE))),vlookup(B2385,Pop_Census_2023!$A$2:$E$3220,4,FALSE), vlookup(B2385,Pop_Census_2023!$A$2:$E$3220,5,FALSE))</f>
        <v>24718</v>
      </c>
    </row>
    <row r="2386">
      <c r="A2386" s="47" t="s">
        <v>3886</v>
      </c>
      <c r="B2386" s="47">
        <v>72125.0</v>
      </c>
      <c r="C2386" s="47">
        <v>1.0</v>
      </c>
      <c r="D2386" s="47" t="s">
        <v>4044</v>
      </c>
      <c r="E2386" s="47" t="str">
        <f t="shared" si="1"/>
        <v>1A</v>
      </c>
      <c r="F2386" s="47" t="s">
        <v>4045</v>
      </c>
      <c r="G2386" s="47" t="s">
        <v>4135</v>
      </c>
      <c r="H2386" s="48">
        <f>IF(NOT(ISBLANK(vlookup(B2386,Pop_Census_2023!$A$2:$E$3220,4,FALSE))),vlookup(B2386,Pop_Census_2023!$A$2:$E$3220,4,FALSE), vlookup(B2386,Pop_Census_2023!$A$2:$E$3220,5,FALSE))</f>
        <v>30996</v>
      </c>
    </row>
    <row r="2387">
      <c r="A2387" s="47" t="s">
        <v>3886</v>
      </c>
      <c r="B2387" s="47">
        <v>72127.0</v>
      </c>
      <c r="C2387" s="47">
        <v>1.0</v>
      </c>
      <c r="D2387" s="47" t="s">
        <v>4044</v>
      </c>
      <c r="E2387" s="47" t="str">
        <f t="shared" si="1"/>
        <v>1A</v>
      </c>
      <c r="F2387" s="47" t="s">
        <v>4045</v>
      </c>
      <c r="G2387" s="47" t="s">
        <v>388</v>
      </c>
      <c r="H2387" s="48">
        <f>IF(NOT(ISBLANK(vlookup(B2387,Pop_Census_2023!$A$2:$E$3220,4,FALSE))),vlookup(B2387,Pop_Census_2023!$A$2:$E$3220,4,FALSE), vlookup(B2387,Pop_Census_2023!$A$2:$E$3220,5,FALSE))</f>
        <v>333005</v>
      </c>
    </row>
    <row r="2388">
      <c r="A2388" s="47" t="s">
        <v>3886</v>
      </c>
      <c r="B2388" s="47">
        <v>72129.0</v>
      </c>
      <c r="C2388" s="47">
        <v>1.0</v>
      </c>
      <c r="D2388" s="47" t="s">
        <v>4044</v>
      </c>
      <c r="E2388" s="47" t="str">
        <f t="shared" si="1"/>
        <v>1A</v>
      </c>
      <c r="F2388" s="47" t="s">
        <v>4045</v>
      </c>
      <c r="G2388" s="47" t="s">
        <v>4136</v>
      </c>
      <c r="H2388" s="48">
        <f>IF(NOT(ISBLANK(vlookup(B2388,Pop_Census_2023!$A$2:$E$3220,4,FALSE))),vlookup(B2388,Pop_Census_2023!$A$2:$E$3220,4,FALSE), vlookup(B2388,Pop_Census_2023!$A$2:$E$3220,5,FALSE))</f>
        <v>37264</v>
      </c>
    </row>
    <row r="2389">
      <c r="A2389" s="47" t="s">
        <v>3886</v>
      </c>
      <c r="B2389" s="47">
        <v>72131.0</v>
      </c>
      <c r="C2389" s="47">
        <v>1.0</v>
      </c>
      <c r="D2389" s="47" t="s">
        <v>4044</v>
      </c>
      <c r="E2389" s="47" t="str">
        <f t="shared" si="1"/>
        <v>1A</v>
      </c>
      <c r="F2389" s="47" t="s">
        <v>4045</v>
      </c>
      <c r="G2389" s="47" t="s">
        <v>4137</v>
      </c>
      <c r="H2389" s="48">
        <f>IF(NOT(ISBLANK(vlookup(B2389,Pop_Census_2023!$A$2:$E$3220,4,FALSE))),vlookup(B2389,Pop_Census_2023!$A$2:$E$3220,4,FALSE), vlookup(B2389,Pop_Census_2023!$A$2:$E$3220,5,FALSE))</f>
        <v>38926</v>
      </c>
    </row>
    <row r="2390">
      <c r="A2390" s="47" t="s">
        <v>3886</v>
      </c>
      <c r="B2390" s="47">
        <v>72133.0</v>
      </c>
      <c r="C2390" s="47">
        <v>1.0</v>
      </c>
      <c r="D2390" s="47" t="s">
        <v>4044</v>
      </c>
      <c r="E2390" s="47" t="str">
        <f t="shared" si="1"/>
        <v>1A</v>
      </c>
      <c r="F2390" s="47" t="s">
        <v>4045</v>
      </c>
      <c r="G2390" s="47" t="s">
        <v>4138</v>
      </c>
      <c r="H2390" s="48">
        <f>IF(NOT(ISBLANK(vlookup(B2390,Pop_Census_2023!$A$2:$E$3220,4,FALSE))),vlookup(B2390,Pop_Census_2023!$A$2:$E$3220,4,FALSE), vlookup(B2390,Pop_Census_2023!$A$2:$E$3220,5,FALSE))</f>
        <v>19693</v>
      </c>
    </row>
    <row r="2391">
      <c r="A2391" s="47" t="s">
        <v>3886</v>
      </c>
      <c r="B2391" s="47">
        <v>72135.0</v>
      </c>
      <c r="C2391" s="47">
        <v>1.0</v>
      </c>
      <c r="D2391" s="47" t="s">
        <v>4044</v>
      </c>
      <c r="E2391" s="47" t="str">
        <f t="shared" si="1"/>
        <v>1A</v>
      </c>
      <c r="F2391" s="47" t="s">
        <v>4045</v>
      </c>
      <c r="G2391" s="47" t="s">
        <v>4139</v>
      </c>
      <c r="H2391" s="48">
        <f>IF(NOT(ISBLANK(vlookup(B2391,Pop_Census_2023!$A$2:$E$3220,4,FALSE))),vlookup(B2391,Pop_Census_2023!$A$2:$E$3220,4,FALSE), vlookup(B2391,Pop_Census_2023!$A$2:$E$3220,5,FALSE))</f>
        <v>65957</v>
      </c>
    </row>
    <row r="2392">
      <c r="A2392" s="47" t="s">
        <v>3886</v>
      </c>
      <c r="B2392" s="47">
        <v>72137.0</v>
      </c>
      <c r="C2392" s="47">
        <v>1.0</v>
      </c>
      <c r="D2392" s="47" t="s">
        <v>4044</v>
      </c>
      <c r="E2392" s="47" t="str">
        <f t="shared" si="1"/>
        <v>1A</v>
      </c>
      <c r="F2392" s="47" t="s">
        <v>4045</v>
      </c>
      <c r="G2392" s="47" t="s">
        <v>4140</v>
      </c>
      <c r="H2392" s="48">
        <f>IF(NOT(ISBLANK(vlookup(B2392,Pop_Census_2023!$A$2:$E$3220,4,FALSE))),vlookup(B2392,Pop_Census_2023!$A$2:$E$3220,4,FALSE), vlookup(B2392,Pop_Census_2023!$A$2:$E$3220,5,FALSE))</f>
        <v>71888</v>
      </c>
    </row>
    <row r="2393">
      <c r="A2393" s="47" t="s">
        <v>3886</v>
      </c>
      <c r="B2393" s="47">
        <v>72139.0</v>
      </c>
      <c r="C2393" s="47">
        <v>1.0</v>
      </c>
      <c r="D2393" s="47" t="s">
        <v>4044</v>
      </c>
      <c r="E2393" s="47" t="str">
        <f t="shared" si="1"/>
        <v>1A</v>
      </c>
      <c r="F2393" s="47" t="s">
        <v>4045</v>
      </c>
      <c r="G2393" s="47" t="s">
        <v>4141</v>
      </c>
      <c r="H2393" s="48">
        <f>IF(NOT(ISBLANK(vlookup(B2393,Pop_Census_2023!$A$2:$E$3220,4,FALSE))),vlookup(B2393,Pop_Census_2023!$A$2:$E$3220,4,FALSE), vlookup(B2393,Pop_Census_2023!$A$2:$E$3220,5,FALSE))</f>
        <v>66705</v>
      </c>
    </row>
    <row r="2394">
      <c r="A2394" s="47" t="s">
        <v>3886</v>
      </c>
      <c r="B2394" s="47">
        <v>72141.0</v>
      </c>
      <c r="C2394" s="47">
        <v>1.0</v>
      </c>
      <c r="D2394" s="47" t="s">
        <v>4044</v>
      </c>
      <c r="E2394" s="47" t="str">
        <f t="shared" si="1"/>
        <v>1A</v>
      </c>
      <c r="F2394" s="47" t="s">
        <v>4045</v>
      </c>
      <c r="G2394" s="47" t="s">
        <v>4142</v>
      </c>
      <c r="H2394" s="48">
        <f>IF(NOT(ISBLANK(vlookup(B2394,Pop_Census_2023!$A$2:$E$3220,4,FALSE))),vlookup(B2394,Pop_Census_2023!$A$2:$E$3220,4,FALSE), vlookup(B2394,Pop_Census_2023!$A$2:$E$3220,5,FALSE))</f>
        <v>27242</v>
      </c>
    </row>
    <row r="2395">
      <c r="A2395" s="47" t="s">
        <v>3886</v>
      </c>
      <c r="B2395" s="47">
        <v>72143.0</v>
      </c>
      <c r="C2395" s="47">
        <v>1.0</v>
      </c>
      <c r="D2395" s="47" t="s">
        <v>4044</v>
      </c>
      <c r="E2395" s="47" t="str">
        <f t="shared" si="1"/>
        <v>1A</v>
      </c>
      <c r="F2395" s="47" t="s">
        <v>4045</v>
      </c>
      <c r="G2395" s="47" t="s">
        <v>4143</v>
      </c>
      <c r="H2395" s="48">
        <f>IF(NOT(ISBLANK(vlookup(B2395,Pop_Census_2023!$A$2:$E$3220,4,FALSE))),vlookup(B2395,Pop_Census_2023!$A$2:$E$3220,4,FALSE), vlookup(B2395,Pop_Census_2023!$A$2:$E$3220,5,FALSE))</f>
        <v>34638</v>
      </c>
    </row>
    <row r="2396">
      <c r="A2396" s="47" t="s">
        <v>3886</v>
      </c>
      <c r="B2396" s="47">
        <v>72145.0</v>
      </c>
      <c r="C2396" s="47">
        <v>1.0</v>
      </c>
      <c r="D2396" s="47" t="s">
        <v>4044</v>
      </c>
      <c r="E2396" s="47" t="str">
        <f t="shared" si="1"/>
        <v>1A</v>
      </c>
      <c r="F2396" s="47" t="s">
        <v>4045</v>
      </c>
      <c r="G2396" s="47" t="s">
        <v>4144</v>
      </c>
      <c r="H2396" s="48">
        <f>IF(NOT(ISBLANK(vlookup(B2396,Pop_Census_2023!$A$2:$E$3220,4,FALSE))),vlookup(B2396,Pop_Census_2023!$A$2:$E$3220,4,FALSE), vlookup(B2396,Pop_Census_2023!$A$2:$E$3220,5,FALSE))</f>
        <v>53527</v>
      </c>
    </row>
    <row r="2397">
      <c r="A2397" s="47" t="s">
        <v>3886</v>
      </c>
      <c r="B2397" s="47">
        <v>72147.0</v>
      </c>
      <c r="C2397" s="47">
        <v>1.0</v>
      </c>
      <c r="D2397" s="47" t="s">
        <v>4044</v>
      </c>
      <c r="E2397" s="47" t="str">
        <f t="shared" si="1"/>
        <v>1A</v>
      </c>
      <c r="F2397" s="47" t="s">
        <v>4045</v>
      </c>
      <c r="G2397" s="47" t="s">
        <v>4145</v>
      </c>
      <c r="H2397" s="48">
        <f>IF(NOT(ISBLANK(vlookup(B2397,Pop_Census_2023!$A$2:$E$3220,4,FALSE))),vlookup(B2397,Pop_Census_2023!$A$2:$E$3220,4,FALSE), vlookup(B2397,Pop_Census_2023!$A$2:$E$3220,5,FALSE))</f>
        <v>7999</v>
      </c>
    </row>
    <row r="2398">
      <c r="A2398" s="47" t="s">
        <v>3886</v>
      </c>
      <c r="B2398" s="47">
        <v>72149.0</v>
      </c>
      <c r="C2398" s="47">
        <v>1.0</v>
      </c>
      <c r="D2398" s="47" t="s">
        <v>4044</v>
      </c>
      <c r="E2398" s="47" t="str">
        <f t="shared" si="1"/>
        <v>1A</v>
      </c>
      <c r="F2398" s="47" t="s">
        <v>4045</v>
      </c>
      <c r="G2398" s="47" t="s">
        <v>4146</v>
      </c>
      <c r="H2398" s="48">
        <f>IF(NOT(ISBLANK(vlookup(B2398,Pop_Census_2023!$A$2:$E$3220,4,FALSE))),vlookup(B2398,Pop_Census_2023!$A$2:$E$3220,4,FALSE), vlookup(B2398,Pop_Census_2023!$A$2:$E$3220,5,FALSE))</f>
        <v>21285</v>
      </c>
    </row>
    <row r="2399">
      <c r="A2399" s="47" t="s">
        <v>3886</v>
      </c>
      <c r="B2399" s="47">
        <v>72151.0</v>
      </c>
      <c r="C2399" s="47">
        <v>1.0</v>
      </c>
      <c r="D2399" s="47" t="s">
        <v>4044</v>
      </c>
      <c r="E2399" s="47" t="str">
        <f t="shared" si="1"/>
        <v>1A</v>
      </c>
      <c r="F2399" s="47" t="s">
        <v>4045</v>
      </c>
      <c r="G2399" s="47" t="s">
        <v>4147</v>
      </c>
      <c r="H2399" s="48">
        <f>IF(NOT(ISBLANK(vlookup(B2399,Pop_Census_2023!$A$2:$E$3220,4,FALSE))),vlookup(B2399,Pop_Census_2023!$A$2:$E$3220,4,FALSE), vlookup(B2399,Pop_Census_2023!$A$2:$E$3220,5,FALSE))</f>
        <v>28897</v>
      </c>
    </row>
    <row r="2400">
      <c r="A2400" s="47" t="s">
        <v>3886</v>
      </c>
      <c r="B2400" s="47">
        <v>72153.0</v>
      </c>
      <c r="C2400" s="47">
        <v>1.0</v>
      </c>
      <c r="D2400" s="47" t="s">
        <v>4044</v>
      </c>
      <c r="E2400" s="47" t="str">
        <f t="shared" si="1"/>
        <v>1A</v>
      </c>
      <c r="F2400" s="47" t="s">
        <v>4045</v>
      </c>
      <c r="G2400" s="47" t="s">
        <v>4148</v>
      </c>
      <c r="H2400" s="48">
        <f>IF(NOT(ISBLANK(vlookup(B2400,Pop_Census_2023!$A$2:$E$3220,4,FALSE))),vlookup(B2400,Pop_Census_2023!$A$2:$E$3220,4,FALSE), vlookup(B2400,Pop_Census_2023!$A$2:$E$3220,5,FALSE))</f>
        <v>32406</v>
      </c>
    </row>
    <row r="2401">
      <c r="A2401" s="47" t="s">
        <v>3427</v>
      </c>
      <c r="B2401" s="47">
        <v>44001.0</v>
      </c>
      <c r="C2401" s="47">
        <v>5.0</v>
      </c>
      <c r="D2401" s="47" t="s">
        <v>4044</v>
      </c>
      <c r="E2401" s="47" t="str">
        <f t="shared" si="1"/>
        <v>5A</v>
      </c>
      <c r="F2401" s="47" t="s">
        <v>4054</v>
      </c>
      <c r="G2401" s="47" t="s">
        <v>954</v>
      </c>
      <c r="H2401" s="48">
        <f>IF(NOT(ISBLANK(vlookup(B2401,Pop_Census_2023!$A$2:$E$3220,4,FALSE))),vlookup(B2401,Pop_Census_2023!$A$2:$E$3220,4,FALSE), vlookup(B2401,Pop_Census_2023!$A$2:$E$3220,5,FALSE))</f>
        <v>50255</v>
      </c>
    </row>
    <row r="2402">
      <c r="A2402" s="47" t="s">
        <v>3427</v>
      </c>
      <c r="B2402" s="47">
        <v>44003.0</v>
      </c>
      <c r="C2402" s="47">
        <v>5.0</v>
      </c>
      <c r="D2402" s="47" t="s">
        <v>4044</v>
      </c>
      <c r="E2402" s="47" t="str">
        <f t="shared" si="1"/>
        <v>5A</v>
      </c>
      <c r="F2402" s="47" t="s">
        <v>4054</v>
      </c>
      <c r="G2402" s="47" t="s">
        <v>404</v>
      </c>
      <c r="H2402" s="48">
        <f>IF(NOT(ISBLANK(vlookup(B2402,Pop_Census_2023!$A$2:$E$3220,4,FALSE))),vlookup(B2402,Pop_Census_2023!$A$2:$E$3220,4,FALSE), vlookup(B2402,Pop_Census_2023!$A$2:$E$3220,5,FALSE))</f>
        <v>171278</v>
      </c>
    </row>
    <row r="2403">
      <c r="A2403" s="47" t="s">
        <v>3427</v>
      </c>
      <c r="B2403" s="47">
        <v>44005.0</v>
      </c>
      <c r="C2403" s="47">
        <v>5.0</v>
      </c>
      <c r="D2403" s="47" t="s">
        <v>4044</v>
      </c>
      <c r="E2403" s="47" t="str">
        <f t="shared" si="1"/>
        <v>5A</v>
      </c>
      <c r="F2403" s="47" t="s">
        <v>4054</v>
      </c>
      <c r="G2403" s="47" t="s">
        <v>1547</v>
      </c>
      <c r="H2403" s="48">
        <f>IF(NOT(ISBLANK(vlookup(B2403,Pop_Census_2023!$A$2:$E$3220,4,FALSE))),vlookup(B2403,Pop_Census_2023!$A$2:$E$3220,4,FALSE), vlookup(B2403,Pop_Census_2023!$A$2:$E$3220,5,FALSE))</f>
        <v>83832</v>
      </c>
    </row>
    <row r="2404">
      <c r="A2404" s="47" t="s">
        <v>3427</v>
      </c>
      <c r="B2404" s="47">
        <v>44007.0</v>
      </c>
      <c r="C2404" s="47">
        <v>5.0</v>
      </c>
      <c r="D2404" s="47" t="s">
        <v>4044</v>
      </c>
      <c r="E2404" s="47" t="str">
        <f t="shared" si="1"/>
        <v>5A</v>
      </c>
      <c r="F2404" s="47" t="s">
        <v>4054</v>
      </c>
      <c r="G2404" s="47" t="s">
        <v>1548</v>
      </c>
      <c r="H2404" s="48">
        <f>IF(NOT(ISBLANK(vlookup(B2404,Pop_Census_2023!$A$2:$E$3220,4,FALSE))),vlookup(B2404,Pop_Census_2023!$A$2:$E$3220,4,FALSE), vlookup(B2404,Pop_Census_2023!$A$2:$E$3220,5,FALSE))</f>
        <v>660615</v>
      </c>
    </row>
    <row r="2405">
      <c r="A2405" s="47" t="s">
        <v>3427</v>
      </c>
      <c r="B2405" s="47">
        <v>44009.0</v>
      </c>
      <c r="C2405" s="47">
        <v>5.0</v>
      </c>
      <c r="D2405" s="47" t="s">
        <v>4044</v>
      </c>
      <c r="E2405" s="47" t="str">
        <f t="shared" si="1"/>
        <v>5A</v>
      </c>
      <c r="F2405" s="47" t="s">
        <v>4054</v>
      </c>
      <c r="G2405" s="47" t="s">
        <v>167</v>
      </c>
      <c r="H2405" s="48">
        <f>IF(NOT(ISBLANK(vlookup(B2405,Pop_Census_2023!$A$2:$E$3220,4,FALSE))),vlookup(B2405,Pop_Census_2023!$A$2:$E$3220,4,FALSE), vlookup(B2405,Pop_Census_2023!$A$2:$E$3220,5,FALSE))</f>
        <v>129982</v>
      </c>
    </row>
    <row r="2406">
      <c r="A2406" s="47" t="s">
        <v>3430</v>
      </c>
      <c r="B2406" s="47">
        <v>45001.0</v>
      </c>
      <c r="C2406" s="47">
        <v>3.0</v>
      </c>
      <c r="D2406" s="47" t="s">
        <v>4044</v>
      </c>
      <c r="E2406" s="47" t="str">
        <f t="shared" si="1"/>
        <v>3A</v>
      </c>
      <c r="F2406" s="47" t="s">
        <v>4046</v>
      </c>
      <c r="G2406" s="47" t="s">
        <v>1549</v>
      </c>
      <c r="H2406" s="48">
        <f>IF(NOT(ISBLANK(vlookup(B2406,Pop_Census_2023!$A$2:$E$3220,4,FALSE))),vlookup(B2406,Pop_Census_2023!$A$2:$E$3220,4,FALSE), vlookup(B2406,Pop_Census_2023!$A$2:$E$3220,5,FALSE))</f>
        <v>24434</v>
      </c>
    </row>
    <row r="2407">
      <c r="A2407" s="47" t="s">
        <v>3430</v>
      </c>
      <c r="B2407" s="47">
        <v>45003.0</v>
      </c>
      <c r="C2407" s="47">
        <v>3.0</v>
      </c>
      <c r="D2407" s="47" t="s">
        <v>4044</v>
      </c>
      <c r="E2407" s="47" t="str">
        <f t="shared" si="1"/>
        <v>3A</v>
      </c>
      <c r="F2407" s="47" t="s">
        <v>4046</v>
      </c>
      <c r="G2407" s="47" t="s">
        <v>1551</v>
      </c>
      <c r="H2407" s="48">
        <f>IF(NOT(ISBLANK(vlookup(B2407,Pop_Census_2023!$A$2:$E$3220,4,FALSE))),vlookup(B2407,Pop_Census_2023!$A$2:$E$3220,4,FALSE), vlookup(B2407,Pop_Census_2023!$A$2:$E$3220,5,FALSE))</f>
        <v>177130</v>
      </c>
    </row>
    <row r="2408">
      <c r="A2408" s="47" t="s">
        <v>3430</v>
      </c>
      <c r="B2408" s="47">
        <v>45005.0</v>
      </c>
      <c r="C2408" s="47">
        <v>3.0</v>
      </c>
      <c r="D2408" s="47" t="s">
        <v>4044</v>
      </c>
      <c r="E2408" s="47" t="str">
        <f t="shared" si="1"/>
        <v>3A</v>
      </c>
      <c r="F2408" s="47" t="s">
        <v>4045</v>
      </c>
      <c r="G2408" s="47" t="s">
        <v>1552</v>
      </c>
      <c r="H2408" s="48">
        <f>IF(NOT(ISBLANK(vlookup(B2408,Pop_Census_2023!$A$2:$E$3220,4,FALSE))),vlookup(B2408,Pop_Census_2023!$A$2:$E$3220,4,FALSE), vlookup(B2408,Pop_Census_2023!$A$2:$E$3220,5,FALSE))</f>
        <v>7369</v>
      </c>
    </row>
    <row r="2409">
      <c r="A2409" s="47" t="s">
        <v>3430</v>
      </c>
      <c r="B2409" s="47">
        <v>45007.0</v>
      </c>
      <c r="C2409" s="47">
        <v>3.0</v>
      </c>
      <c r="D2409" s="47" t="s">
        <v>4044</v>
      </c>
      <c r="E2409" s="47" t="str">
        <f t="shared" si="1"/>
        <v>3A</v>
      </c>
      <c r="F2409" s="47" t="s">
        <v>4046</v>
      </c>
      <c r="G2409" s="47" t="s">
        <v>751</v>
      </c>
      <c r="H2409" s="48">
        <f>IF(NOT(ISBLANK(vlookup(B2409,Pop_Census_2023!$A$2:$E$3220,4,FALSE))),vlookup(B2409,Pop_Census_2023!$A$2:$E$3220,4,FALSE), vlookup(B2409,Pop_Census_2023!$A$2:$E$3220,5,FALSE))</f>
        <v>213076</v>
      </c>
    </row>
    <row r="2410">
      <c r="A2410" s="47" t="s">
        <v>3430</v>
      </c>
      <c r="B2410" s="47">
        <v>45009.0</v>
      </c>
      <c r="C2410" s="47">
        <v>3.0</v>
      </c>
      <c r="D2410" s="47" t="s">
        <v>4044</v>
      </c>
      <c r="E2410" s="47" t="str">
        <f t="shared" si="1"/>
        <v>3A</v>
      </c>
      <c r="F2410" s="47" t="s">
        <v>4045</v>
      </c>
      <c r="G2410" s="47" t="s">
        <v>1553</v>
      </c>
      <c r="H2410" s="48">
        <f>IF(NOT(ISBLANK(vlookup(B2410,Pop_Census_2023!$A$2:$E$3220,4,FALSE))),vlookup(B2410,Pop_Census_2023!$A$2:$E$3220,4,FALSE), vlookup(B2410,Pop_Census_2023!$A$2:$E$3220,5,FALSE))</f>
        <v>12974</v>
      </c>
    </row>
    <row r="2411">
      <c r="A2411" s="47" t="s">
        <v>3430</v>
      </c>
      <c r="B2411" s="47">
        <v>45011.0</v>
      </c>
      <c r="C2411" s="47">
        <v>3.0</v>
      </c>
      <c r="D2411" s="47" t="s">
        <v>4044</v>
      </c>
      <c r="E2411" s="47" t="str">
        <f t="shared" si="1"/>
        <v>3A</v>
      </c>
      <c r="F2411" s="47" t="s">
        <v>4045</v>
      </c>
      <c r="G2411" s="47" t="s">
        <v>1554</v>
      </c>
      <c r="H2411" s="48">
        <f>IF(NOT(ISBLANK(vlookup(B2411,Pop_Census_2023!$A$2:$E$3220,4,FALSE))),vlookup(B2411,Pop_Census_2023!$A$2:$E$3220,4,FALSE), vlookup(B2411,Pop_Census_2023!$A$2:$E$3220,5,FALSE))</f>
        <v>20447</v>
      </c>
    </row>
    <row r="2412">
      <c r="A2412" s="47" t="s">
        <v>3430</v>
      </c>
      <c r="B2412" s="47">
        <v>45013.0</v>
      </c>
      <c r="C2412" s="47">
        <v>3.0</v>
      </c>
      <c r="D2412" s="47" t="s">
        <v>4044</v>
      </c>
      <c r="E2412" s="47" t="str">
        <f t="shared" si="1"/>
        <v>3A</v>
      </c>
      <c r="F2412" s="47" t="s">
        <v>4045</v>
      </c>
      <c r="G2412" s="47" t="s">
        <v>1331</v>
      </c>
      <c r="H2412" s="48">
        <f>IF(NOT(ISBLANK(vlookup(B2412,Pop_Census_2023!$A$2:$E$3220,4,FALSE))),vlookup(B2412,Pop_Census_2023!$A$2:$E$3220,4,FALSE), vlookup(B2412,Pop_Census_2023!$A$2:$E$3220,5,FALSE))</f>
        <v>198979</v>
      </c>
    </row>
    <row r="2413">
      <c r="A2413" s="47" t="s">
        <v>3430</v>
      </c>
      <c r="B2413" s="47">
        <v>45015.0</v>
      </c>
      <c r="C2413" s="47">
        <v>3.0</v>
      </c>
      <c r="D2413" s="47" t="s">
        <v>4044</v>
      </c>
      <c r="E2413" s="47" t="str">
        <f t="shared" si="1"/>
        <v>3A</v>
      </c>
      <c r="F2413" s="47" t="s">
        <v>4045</v>
      </c>
      <c r="G2413" s="47" t="s">
        <v>1555</v>
      </c>
      <c r="H2413" s="48">
        <f>IF(NOT(ISBLANK(vlookup(B2413,Pop_Census_2023!$A$2:$E$3220,4,FALSE))),vlookup(B2413,Pop_Census_2023!$A$2:$E$3220,4,FALSE), vlookup(B2413,Pop_Census_2023!$A$2:$E$3220,5,FALSE))</f>
        <v>255217</v>
      </c>
    </row>
    <row r="2414">
      <c r="A2414" s="47" t="s">
        <v>3430</v>
      </c>
      <c r="B2414" s="47">
        <v>45017.0</v>
      </c>
      <c r="C2414" s="47">
        <v>3.0</v>
      </c>
      <c r="D2414" s="47" t="s">
        <v>4044</v>
      </c>
      <c r="E2414" s="47" t="str">
        <f t="shared" si="1"/>
        <v>3A</v>
      </c>
      <c r="F2414" s="47" t="s">
        <v>4046</v>
      </c>
      <c r="G2414" s="47" t="s">
        <v>110</v>
      </c>
      <c r="H2414" s="48">
        <f>IF(NOT(ISBLANK(vlookup(B2414,Pop_Census_2023!$A$2:$E$3220,4,FALSE))),vlookup(B2414,Pop_Census_2023!$A$2:$E$3220,4,FALSE), vlookup(B2414,Pop_Census_2023!$A$2:$E$3220,5,FALSE))</f>
        <v>14186</v>
      </c>
    </row>
    <row r="2415">
      <c r="A2415" s="47" t="s">
        <v>3430</v>
      </c>
      <c r="B2415" s="47">
        <v>45019.0</v>
      </c>
      <c r="C2415" s="47">
        <v>3.0</v>
      </c>
      <c r="D2415" s="47" t="s">
        <v>4044</v>
      </c>
      <c r="E2415" s="47" t="str">
        <f t="shared" si="1"/>
        <v>3A</v>
      </c>
      <c r="F2415" s="47" t="s">
        <v>4045</v>
      </c>
      <c r="G2415" s="47" t="s">
        <v>1556</v>
      </c>
      <c r="H2415" s="48">
        <f>IF(NOT(ISBLANK(vlookup(B2415,Pop_Census_2023!$A$2:$E$3220,4,FALSE))),vlookup(B2415,Pop_Census_2023!$A$2:$E$3220,4,FALSE), vlookup(B2415,Pop_Census_2023!$A$2:$E$3220,5,FALSE))</f>
        <v>424367</v>
      </c>
    </row>
    <row r="2416">
      <c r="A2416" s="47" t="s">
        <v>3430</v>
      </c>
      <c r="B2416" s="47">
        <v>45021.0</v>
      </c>
      <c r="C2416" s="47">
        <v>3.0</v>
      </c>
      <c r="D2416" s="47" t="s">
        <v>4044</v>
      </c>
      <c r="E2416" s="47" t="str">
        <f t="shared" si="1"/>
        <v>3A</v>
      </c>
      <c r="F2416" s="47" t="s">
        <v>4046</v>
      </c>
      <c r="G2416" s="47" t="s">
        <v>112</v>
      </c>
      <c r="H2416" s="48">
        <f>IF(NOT(ISBLANK(vlookup(B2416,Pop_Census_2023!$A$2:$E$3220,4,FALSE))),vlookup(B2416,Pop_Census_2023!$A$2:$E$3220,4,FALSE), vlookup(B2416,Pop_Census_2023!$A$2:$E$3220,5,FALSE))</f>
        <v>56714</v>
      </c>
    </row>
    <row r="2417">
      <c r="A2417" s="47" t="s">
        <v>3430</v>
      </c>
      <c r="B2417" s="47">
        <v>45023.0</v>
      </c>
      <c r="C2417" s="47">
        <v>3.0</v>
      </c>
      <c r="D2417" s="47" t="s">
        <v>4044</v>
      </c>
      <c r="E2417" s="47" t="str">
        <f t="shared" si="1"/>
        <v>3A</v>
      </c>
      <c r="F2417" s="47" t="s">
        <v>4046</v>
      </c>
      <c r="G2417" s="47" t="s">
        <v>1523</v>
      </c>
      <c r="H2417" s="48">
        <f>IF(NOT(ISBLANK(vlookup(B2417,Pop_Census_2023!$A$2:$E$3220,4,FALSE))),vlookup(B2417,Pop_Census_2023!$A$2:$E$3220,4,FALSE), vlookup(B2417,Pop_Census_2023!$A$2:$E$3220,5,FALSE))</f>
        <v>32226</v>
      </c>
    </row>
    <row r="2418">
      <c r="A2418" s="47" t="s">
        <v>3430</v>
      </c>
      <c r="B2418" s="47">
        <v>45025.0</v>
      </c>
      <c r="C2418" s="47">
        <v>3.0</v>
      </c>
      <c r="D2418" s="47" t="s">
        <v>4044</v>
      </c>
      <c r="E2418" s="47" t="str">
        <f t="shared" si="1"/>
        <v>3A</v>
      </c>
      <c r="F2418" s="47" t="s">
        <v>4046</v>
      </c>
      <c r="G2418" s="47" t="s">
        <v>1557</v>
      </c>
      <c r="H2418" s="48">
        <f>IF(NOT(ISBLANK(vlookup(B2418,Pop_Census_2023!$A$2:$E$3220,4,FALSE))),vlookup(B2418,Pop_Census_2023!$A$2:$E$3220,4,FALSE), vlookup(B2418,Pop_Census_2023!$A$2:$E$3220,5,FALSE))</f>
        <v>44031</v>
      </c>
    </row>
    <row r="2419">
      <c r="A2419" s="47" t="s">
        <v>3430</v>
      </c>
      <c r="B2419" s="47">
        <v>45027.0</v>
      </c>
      <c r="C2419" s="47">
        <v>3.0</v>
      </c>
      <c r="D2419" s="47" t="s">
        <v>4044</v>
      </c>
      <c r="E2419" s="47" t="str">
        <f t="shared" si="1"/>
        <v>3A</v>
      </c>
      <c r="F2419" s="47" t="s">
        <v>4046</v>
      </c>
      <c r="G2419" s="47" t="s">
        <v>1558</v>
      </c>
      <c r="H2419" s="48">
        <f>IF(NOT(ISBLANK(vlookup(B2419,Pop_Census_2023!$A$2:$E$3220,4,FALSE))),vlookup(B2419,Pop_Census_2023!$A$2:$E$3220,4,FALSE), vlookup(B2419,Pop_Census_2023!$A$2:$E$3220,5,FALSE))</f>
        <v>31004</v>
      </c>
    </row>
    <row r="2420">
      <c r="A2420" s="47" t="s">
        <v>3430</v>
      </c>
      <c r="B2420" s="47">
        <v>45029.0</v>
      </c>
      <c r="C2420" s="47">
        <v>3.0</v>
      </c>
      <c r="D2420" s="47" t="s">
        <v>4044</v>
      </c>
      <c r="E2420" s="47" t="str">
        <f t="shared" si="1"/>
        <v>3A</v>
      </c>
      <c r="F2420" s="47" t="s">
        <v>4045</v>
      </c>
      <c r="G2420" s="47" t="s">
        <v>1559</v>
      </c>
      <c r="H2420" s="48">
        <f>IF(NOT(ISBLANK(vlookup(B2420,Pop_Census_2023!$A$2:$E$3220,4,FALSE))),vlookup(B2420,Pop_Census_2023!$A$2:$E$3220,4,FALSE), vlookup(B2420,Pop_Census_2023!$A$2:$E$3220,5,FALSE))</f>
        <v>38874</v>
      </c>
    </row>
    <row r="2421">
      <c r="A2421" s="47" t="s">
        <v>3430</v>
      </c>
      <c r="B2421" s="47">
        <v>45031.0</v>
      </c>
      <c r="C2421" s="47">
        <v>3.0</v>
      </c>
      <c r="D2421" s="47" t="s">
        <v>4044</v>
      </c>
      <c r="E2421" s="47" t="str">
        <f t="shared" si="1"/>
        <v>3A</v>
      </c>
      <c r="F2421" s="47" t="s">
        <v>4046</v>
      </c>
      <c r="G2421" s="47" t="s">
        <v>1560</v>
      </c>
      <c r="H2421" s="48">
        <f>IF(NOT(ISBLANK(vlookup(B2421,Pop_Census_2023!$A$2:$E$3220,4,FALSE))),vlookup(B2421,Pop_Census_2023!$A$2:$E$3220,4,FALSE), vlookup(B2421,Pop_Census_2023!$A$2:$E$3220,5,FALSE))</f>
        <v>62416</v>
      </c>
    </row>
    <row r="2422">
      <c r="A2422" s="47" t="s">
        <v>3430</v>
      </c>
      <c r="B2422" s="47">
        <v>45033.0</v>
      </c>
      <c r="C2422" s="47">
        <v>3.0</v>
      </c>
      <c r="D2422" s="47" t="s">
        <v>4044</v>
      </c>
      <c r="E2422" s="47" t="str">
        <f t="shared" si="1"/>
        <v>3A</v>
      </c>
      <c r="F2422" s="47" t="s">
        <v>4046</v>
      </c>
      <c r="G2422" s="47" t="s">
        <v>1561</v>
      </c>
      <c r="H2422" s="48">
        <f>IF(NOT(ISBLANK(vlookup(B2422,Pop_Census_2023!$A$2:$E$3220,4,FALSE))),vlookup(B2422,Pop_Census_2023!$A$2:$E$3220,4,FALSE), vlookup(B2422,Pop_Census_2023!$A$2:$E$3220,5,FALSE))</f>
        <v>27698</v>
      </c>
    </row>
    <row r="2423">
      <c r="A2423" s="47" t="s">
        <v>3430</v>
      </c>
      <c r="B2423" s="47">
        <v>45035.0</v>
      </c>
      <c r="C2423" s="47">
        <v>3.0</v>
      </c>
      <c r="D2423" s="47" t="s">
        <v>4044</v>
      </c>
      <c r="E2423" s="47" t="str">
        <f t="shared" si="1"/>
        <v>3A</v>
      </c>
      <c r="F2423" s="47" t="s">
        <v>4045</v>
      </c>
      <c r="G2423" s="47" t="s">
        <v>941</v>
      </c>
      <c r="H2423" s="48">
        <f>IF(NOT(ISBLANK(vlookup(B2423,Pop_Census_2023!$A$2:$E$3220,4,FALSE))),vlookup(B2423,Pop_Census_2023!$A$2:$E$3220,4,FALSE), vlookup(B2423,Pop_Census_2023!$A$2:$E$3220,5,FALSE))</f>
        <v>169833</v>
      </c>
    </row>
    <row r="2424">
      <c r="A2424" s="47" t="s">
        <v>3430</v>
      </c>
      <c r="B2424" s="47">
        <v>45037.0</v>
      </c>
      <c r="C2424" s="47">
        <v>3.0</v>
      </c>
      <c r="D2424" s="47" t="s">
        <v>4044</v>
      </c>
      <c r="E2424" s="47" t="str">
        <f t="shared" si="1"/>
        <v>3A</v>
      </c>
      <c r="F2424" s="47" t="s">
        <v>4046</v>
      </c>
      <c r="G2424" s="47" t="s">
        <v>1562</v>
      </c>
      <c r="H2424" s="48">
        <f>IF(NOT(ISBLANK(vlookup(B2424,Pop_Census_2023!$A$2:$E$3220,4,FALSE))),vlookup(B2424,Pop_Census_2023!$A$2:$E$3220,4,FALSE), vlookup(B2424,Pop_Census_2023!$A$2:$E$3220,5,FALSE))</f>
        <v>27607</v>
      </c>
    </row>
    <row r="2425">
      <c r="A2425" s="47" t="s">
        <v>3430</v>
      </c>
      <c r="B2425" s="47">
        <v>45039.0</v>
      </c>
      <c r="C2425" s="47">
        <v>3.0</v>
      </c>
      <c r="D2425" s="47" t="s">
        <v>4044</v>
      </c>
      <c r="E2425" s="47" t="str">
        <f t="shared" si="1"/>
        <v>3A</v>
      </c>
      <c r="F2425" s="47" t="s">
        <v>4046</v>
      </c>
      <c r="G2425" s="47" t="s">
        <v>394</v>
      </c>
      <c r="H2425" s="48">
        <f>IF(NOT(ISBLANK(vlookup(B2425,Pop_Census_2023!$A$2:$E$3220,4,FALSE))),vlookup(B2425,Pop_Census_2023!$A$2:$E$3220,4,FALSE), vlookup(B2425,Pop_Census_2023!$A$2:$E$3220,5,FALSE))</f>
        <v>20422</v>
      </c>
    </row>
    <row r="2426">
      <c r="A2426" s="47" t="s">
        <v>3430</v>
      </c>
      <c r="B2426" s="47">
        <v>45041.0</v>
      </c>
      <c r="C2426" s="47">
        <v>3.0</v>
      </c>
      <c r="D2426" s="47" t="s">
        <v>4044</v>
      </c>
      <c r="E2426" s="47" t="str">
        <f t="shared" si="1"/>
        <v>3A</v>
      </c>
      <c r="F2426" s="47" t="s">
        <v>4046</v>
      </c>
      <c r="G2426" s="47" t="s">
        <v>1563</v>
      </c>
      <c r="H2426" s="48">
        <f>IF(NOT(ISBLANK(vlookup(B2426,Pop_Census_2023!$A$2:$E$3220,4,FALSE))),vlookup(B2426,Pop_Census_2023!$A$2:$E$3220,4,FALSE), vlookup(B2426,Pop_Census_2023!$A$2:$E$3220,5,FALSE))</f>
        <v>137214</v>
      </c>
    </row>
    <row r="2427">
      <c r="A2427" s="47" t="s">
        <v>3430</v>
      </c>
      <c r="B2427" s="47">
        <v>45043.0</v>
      </c>
      <c r="C2427" s="47">
        <v>3.0</v>
      </c>
      <c r="D2427" s="47" t="s">
        <v>4044</v>
      </c>
      <c r="E2427" s="47" t="str">
        <f t="shared" si="1"/>
        <v>3A</v>
      </c>
      <c r="F2427" s="47" t="s">
        <v>4045</v>
      </c>
      <c r="G2427" s="47" t="s">
        <v>1564</v>
      </c>
      <c r="H2427" s="48">
        <f>IF(NOT(ISBLANK(vlookup(B2427,Pop_Census_2023!$A$2:$E$3220,4,FALSE))),vlookup(B2427,Pop_Census_2023!$A$2:$E$3220,4,FALSE), vlookup(B2427,Pop_Census_2023!$A$2:$E$3220,5,FALSE))</f>
        <v>65731</v>
      </c>
    </row>
    <row r="2428">
      <c r="A2428" s="47" t="s">
        <v>3430</v>
      </c>
      <c r="B2428" s="47">
        <v>45045.0</v>
      </c>
      <c r="C2428" s="47">
        <v>3.0</v>
      </c>
      <c r="D2428" s="47" t="s">
        <v>4044</v>
      </c>
      <c r="E2428" s="47" t="str">
        <f t="shared" si="1"/>
        <v>3A</v>
      </c>
      <c r="F2428" s="47" t="s">
        <v>4046</v>
      </c>
      <c r="G2428" s="47" t="s">
        <v>1565</v>
      </c>
      <c r="H2428" s="48">
        <f>IF(NOT(ISBLANK(vlookup(B2428,Pop_Census_2023!$A$2:$E$3220,4,FALSE))),vlookup(B2428,Pop_Census_2023!$A$2:$E$3220,4,FALSE), vlookup(B2428,Pop_Census_2023!$A$2:$E$3220,5,FALSE))</f>
        <v>558036</v>
      </c>
    </row>
    <row r="2429">
      <c r="A2429" s="47" t="s">
        <v>3430</v>
      </c>
      <c r="B2429" s="47">
        <v>45047.0</v>
      </c>
      <c r="C2429" s="47">
        <v>3.0</v>
      </c>
      <c r="D2429" s="47" t="s">
        <v>4044</v>
      </c>
      <c r="E2429" s="47" t="str">
        <f t="shared" si="1"/>
        <v>3A</v>
      </c>
      <c r="F2429" s="47" t="s">
        <v>4046</v>
      </c>
      <c r="G2429" s="47" t="s">
        <v>771</v>
      </c>
      <c r="H2429" s="48">
        <f>IF(NOT(ISBLANK(vlookup(B2429,Pop_Census_2023!$A$2:$E$3220,4,FALSE))),vlookup(B2429,Pop_Census_2023!$A$2:$E$3220,4,FALSE), vlookup(B2429,Pop_Census_2023!$A$2:$E$3220,5,FALSE))</f>
        <v>69460</v>
      </c>
    </row>
    <row r="2430">
      <c r="A2430" s="47" t="s">
        <v>3430</v>
      </c>
      <c r="B2430" s="47">
        <v>45049.0</v>
      </c>
      <c r="C2430" s="47">
        <v>3.0</v>
      </c>
      <c r="D2430" s="47" t="s">
        <v>4044</v>
      </c>
      <c r="E2430" s="47" t="str">
        <f t="shared" si="1"/>
        <v>3A</v>
      </c>
      <c r="F2430" s="47" t="s">
        <v>4045</v>
      </c>
      <c r="G2430" s="47" t="s">
        <v>1566</v>
      </c>
      <c r="H2430" s="48">
        <f>IF(NOT(ISBLANK(vlookup(B2430,Pop_Census_2023!$A$2:$E$3220,4,FALSE))),vlookup(B2430,Pop_Census_2023!$A$2:$E$3220,4,FALSE), vlookup(B2430,Pop_Census_2023!$A$2:$E$3220,5,FALSE))</f>
        <v>18122</v>
      </c>
    </row>
    <row r="2431">
      <c r="A2431" s="47" t="s">
        <v>3430</v>
      </c>
      <c r="B2431" s="47">
        <v>45051.0</v>
      </c>
      <c r="C2431" s="47">
        <v>3.0</v>
      </c>
      <c r="D2431" s="47" t="s">
        <v>4044</v>
      </c>
      <c r="E2431" s="47" t="str">
        <f t="shared" si="1"/>
        <v>3A</v>
      </c>
      <c r="F2431" s="47" t="s">
        <v>4045</v>
      </c>
      <c r="G2431" s="47" t="s">
        <v>1567</v>
      </c>
      <c r="H2431" s="48">
        <f>IF(NOT(ISBLANK(vlookup(B2431,Pop_Census_2023!$A$2:$E$3220,4,FALSE))),vlookup(B2431,Pop_Census_2023!$A$2:$E$3220,4,FALSE), vlookup(B2431,Pop_Census_2023!$A$2:$E$3220,5,FALSE))</f>
        <v>397478</v>
      </c>
    </row>
    <row r="2432">
      <c r="A2432" s="47" t="s">
        <v>3430</v>
      </c>
      <c r="B2432" s="47">
        <v>45053.0</v>
      </c>
      <c r="C2432" s="47">
        <v>3.0</v>
      </c>
      <c r="D2432" s="47" t="s">
        <v>4044</v>
      </c>
      <c r="E2432" s="47" t="str">
        <f t="shared" si="1"/>
        <v>3A</v>
      </c>
      <c r="F2432" s="47" t="s">
        <v>4045</v>
      </c>
      <c r="G2432" s="47" t="s">
        <v>518</v>
      </c>
      <c r="H2432" s="48">
        <f>IF(NOT(ISBLANK(vlookup(B2432,Pop_Census_2023!$A$2:$E$3220,4,FALSE))),vlookup(B2432,Pop_Census_2023!$A$2:$E$3220,4,FALSE), vlookup(B2432,Pop_Census_2023!$A$2:$E$3220,5,FALSE))</f>
        <v>33544</v>
      </c>
    </row>
    <row r="2433">
      <c r="A2433" s="47" t="s">
        <v>3430</v>
      </c>
      <c r="B2433" s="47">
        <v>45055.0</v>
      </c>
      <c r="C2433" s="47">
        <v>3.0</v>
      </c>
      <c r="D2433" s="47" t="s">
        <v>4044</v>
      </c>
      <c r="E2433" s="47" t="str">
        <f t="shared" si="1"/>
        <v>3A</v>
      </c>
      <c r="F2433" s="47" t="s">
        <v>4046</v>
      </c>
      <c r="G2433" s="47" t="s">
        <v>1568</v>
      </c>
      <c r="H2433" s="48">
        <f>IF(NOT(ISBLANK(vlookup(B2433,Pop_Census_2023!$A$2:$E$3220,4,FALSE))),vlookup(B2433,Pop_Census_2023!$A$2:$E$3220,4,FALSE), vlookup(B2433,Pop_Census_2023!$A$2:$E$3220,5,FALSE))</f>
        <v>69905</v>
      </c>
    </row>
    <row r="2434">
      <c r="A2434" s="47" t="s">
        <v>3430</v>
      </c>
      <c r="B2434" s="47">
        <v>45057.0</v>
      </c>
      <c r="C2434" s="47">
        <v>3.0</v>
      </c>
      <c r="D2434" s="47" t="s">
        <v>4044</v>
      </c>
      <c r="E2434" s="47" t="str">
        <f t="shared" si="1"/>
        <v>3A</v>
      </c>
      <c r="F2434" s="47" t="s">
        <v>4046</v>
      </c>
      <c r="G2434" s="47" t="s">
        <v>1224</v>
      </c>
      <c r="H2434" s="48">
        <f>IF(NOT(ISBLANK(vlookup(B2434,Pop_Census_2023!$A$2:$E$3220,4,FALSE))),vlookup(B2434,Pop_Census_2023!$A$2:$E$3220,4,FALSE), vlookup(B2434,Pop_Census_2023!$A$2:$E$3220,5,FALSE))</f>
        <v>108215</v>
      </c>
    </row>
    <row r="2435">
      <c r="A2435" s="47" t="s">
        <v>3430</v>
      </c>
      <c r="B2435" s="47">
        <v>45059.0</v>
      </c>
      <c r="C2435" s="47">
        <v>3.0</v>
      </c>
      <c r="D2435" s="47" t="s">
        <v>4044</v>
      </c>
      <c r="E2435" s="47" t="str">
        <f t="shared" si="1"/>
        <v>3A</v>
      </c>
      <c r="F2435" s="47" t="s">
        <v>4046</v>
      </c>
      <c r="G2435" s="47" t="s">
        <v>523</v>
      </c>
      <c r="H2435" s="48">
        <f>IF(NOT(ISBLANK(vlookup(B2435,Pop_Census_2023!$A$2:$E$3220,4,FALSE))),vlookup(B2435,Pop_Census_2023!$A$2:$E$3220,4,FALSE), vlookup(B2435,Pop_Census_2023!$A$2:$E$3220,5,FALSE))</f>
        <v>68873</v>
      </c>
    </row>
    <row r="2436">
      <c r="A2436" s="47" t="s">
        <v>3430</v>
      </c>
      <c r="B2436" s="47">
        <v>45061.0</v>
      </c>
      <c r="C2436" s="47">
        <v>3.0</v>
      </c>
      <c r="D2436" s="47" t="s">
        <v>4044</v>
      </c>
      <c r="E2436" s="47" t="str">
        <f t="shared" si="1"/>
        <v>3A</v>
      </c>
      <c r="F2436" s="47" t="s">
        <v>4046</v>
      </c>
      <c r="G2436" s="47" t="s">
        <v>143</v>
      </c>
      <c r="H2436" s="48">
        <f>IF(NOT(ISBLANK(vlookup(B2436,Pop_Census_2023!$A$2:$E$3220,4,FALSE))),vlookup(B2436,Pop_Census_2023!$A$2:$E$3220,4,FALSE), vlookup(B2436,Pop_Census_2023!$A$2:$E$3220,5,FALSE))</f>
        <v>15967</v>
      </c>
    </row>
    <row r="2437">
      <c r="A2437" s="47" t="s">
        <v>3430</v>
      </c>
      <c r="B2437" s="47">
        <v>45063.0</v>
      </c>
      <c r="C2437" s="47">
        <v>3.0</v>
      </c>
      <c r="D2437" s="47" t="s">
        <v>4044</v>
      </c>
      <c r="E2437" s="47" t="str">
        <f t="shared" si="1"/>
        <v>3A</v>
      </c>
      <c r="F2437" s="47" t="s">
        <v>4046</v>
      </c>
      <c r="G2437" s="47" t="s">
        <v>1569</v>
      </c>
      <c r="H2437" s="48">
        <f>IF(NOT(ISBLANK(vlookup(B2437,Pop_Census_2023!$A$2:$E$3220,4,FALSE))),vlookup(B2437,Pop_Census_2023!$A$2:$E$3220,4,FALSE), vlookup(B2437,Pop_Census_2023!$A$2:$E$3220,5,FALSE))</f>
        <v>309528</v>
      </c>
    </row>
    <row r="2438">
      <c r="A2438" s="47" t="s">
        <v>3430</v>
      </c>
      <c r="B2438" s="47">
        <v>45067.0</v>
      </c>
      <c r="C2438" s="47">
        <v>3.0</v>
      </c>
      <c r="D2438" s="47" t="s">
        <v>4044</v>
      </c>
      <c r="E2438" s="47" t="str">
        <f t="shared" si="1"/>
        <v>3A</v>
      </c>
      <c r="F2438" s="47" t="s">
        <v>4046</v>
      </c>
      <c r="G2438" s="47" t="s">
        <v>149</v>
      </c>
      <c r="H2438" s="48">
        <f>IF(NOT(ISBLANK(vlookup(B2438,Pop_Census_2023!$A$2:$E$3220,4,FALSE))),vlookup(B2438,Pop_Census_2023!$A$2:$E$3220,4,FALSE), vlookup(B2438,Pop_Census_2023!$A$2:$E$3220,5,FALSE))</f>
        <v>28508</v>
      </c>
    </row>
    <row r="2439">
      <c r="A2439" s="47" t="s">
        <v>3430</v>
      </c>
      <c r="B2439" s="47">
        <v>45069.0</v>
      </c>
      <c r="C2439" s="47">
        <v>3.0</v>
      </c>
      <c r="D2439" s="47" t="s">
        <v>4044</v>
      </c>
      <c r="E2439" s="47" t="str">
        <f t="shared" si="1"/>
        <v>3A</v>
      </c>
      <c r="F2439" s="47" t="s">
        <v>4046</v>
      </c>
      <c r="G2439" s="47" t="s">
        <v>1571</v>
      </c>
      <c r="H2439" s="48">
        <f>IF(NOT(ISBLANK(vlookup(B2439,Pop_Census_2023!$A$2:$E$3220,4,FALSE))),vlookup(B2439,Pop_Census_2023!$A$2:$E$3220,4,FALSE), vlookup(B2439,Pop_Census_2023!$A$2:$E$3220,5,FALSE))</f>
        <v>25704</v>
      </c>
    </row>
    <row r="2440">
      <c r="A2440" s="47" t="s">
        <v>3430</v>
      </c>
      <c r="B2440" s="47">
        <v>45065.0</v>
      </c>
      <c r="C2440" s="47">
        <v>3.0</v>
      </c>
      <c r="D2440" s="47" t="s">
        <v>4044</v>
      </c>
      <c r="E2440" s="47" t="str">
        <f t="shared" si="1"/>
        <v>3A</v>
      </c>
      <c r="F2440" s="47" t="s">
        <v>4046</v>
      </c>
      <c r="G2440" s="47" t="s">
        <v>1570</v>
      </c>
      <c r="H2440" s="48">
        <f>IF(NOT(ISBLANK(vlookup(B2440,Pop_Census_2023!$A$2:$E$3220,4,FALSE))),vlookup(B2440,Pop_Census_2023!$A$2:$E$3220,4,FALSE), vlookup(B2440,Pop_Census_2023!$A$2:$E$3220,5,FALSE))</f>
        <v>9941</v>
      </c>
    </row>
    <row r="2441">
      <c r="A2441" s="47" t="s">
        <v>3430</v>
      </c>
      <c r="B2441" s="47">
        <v>45071.0</v>
      </c>
      <c r="C2441" s="47">
        <v>3.0</v>
      </c>
      <c r="D2441" s="47" t="s">
        <v>4044</v>
      </c>
      <c r="E2441" s="47" t="str">
        <f t="shared" si="1"/>
        <v>3A</v>
      </c>
      <c r="F2441" s="47" t="s">
        <v>4046</v>
      </c>
      <c r="G2441" s="47" t="s">
        <v>1572</v>
      </c>
      <c r="H2441" s="48">
        <f>IF(NOT(ISBLANK(vlookup(B2441,Pop_Census_2023!$A$2:$E$3220,4,FALSE))),vlookup(B2441,Pop_Census_2023!$A$2:$E$3220,4,FALSE), vlookup(B2441,Pop_Census_2023!$A$2:$E$3220,5,FALSE))</f>
        <v>38825</v>
      </c>
    </row>
    <row r="2442">
      <c r="A2442" s="47" t="s">
        <v>3430</v>
      </c>
      <c r="B2442" s="47">
        <v>45073.0</v>
      </c>
      <c r="C2442" s="47">
        <v>3.0</v>
      </c>
      <c r="D2442" s="47" t="s">
        <v>4044</v>
      </c>
      <c r="E2442" s="47" t="str">
        <f t="shared" si="1"/>
        <v>3A</v>
      </c>
      <c r="F2442" s="47" t="s">
        <v>4046</v>
      </c>
      <c r="G2442" s="47" t="s">
        <v>532</v>
      </c>
      <c r="H2442" s="48">
        <f>IF(NOT(ISBLANK(vlookup(B2442,Pop_Census_2023!$A$2:$E$3220,4,FALSE))),vlookup(B2442,Pop_Census_2023!$A$2:$E$3220,4,FALSE), vlookup(B2442,Pop_Census_2023!$A$2:$E$3220,5,FALSE))</f>
        <v>81221</v>
      </c>
    </row>
    <row r="2443">
      <c r="A2443" s="47" t="s">
        <v>3430</v>
      </c>
      <c r="B2443" s="47">
        <v>45075.0</v>
      </c>
      <c r="C2443" s="47">
        <v>3.0</v>
      </c>
      <c r="D2443" s="47" t="s">
        <v>4044</v>
      </c>
      <c r="E2443" s="47" t="str">
        <f t="shared" si="1"/>
        <v>3A</v>
      </c>
      <c r="F2443" s="47" t="s">
        <v>4046</v>
      </c>
      <c r="G2443" s="47" t="s">
        <v>1573</v>
      </c>
      <c r="H2443" s="48">
        <f>IF(NOT(ISBLANK(vlookup(B2443,Pop_Census_2023!$A$2:$E$3220,4,FALSE))),vlookup(B2443,Pop_Census_2023!$A$2:$E$3220,4,FALSE), vlookup(B2443,Pop_Census_2023!$A$2:$E$3220,5,FALSE))</f>
        <v>82820</v>
      </c>
    </row>
    <row r="2444">
      <c r="A2444" s="47" t="s">
        <v>3430</v>
      </c>
      <c r="B2444" s="47">
        <v>45077.0</v>
      </c>
      <c r="C2444" s="47">
        <v>3.0</v>
      </c>
      <c r="D2444" s="47" t="s">
        <v>4044</v>
      </c>
      <c r="E2444" s="47" t="str">
        <f t="shared" si="1"/>
        <v>3A</v>
      </c>
      <c r="F2444" s="47" t="s">
        <v>4046</v>
      </c>
      <c r="G2444" s="47" t="s">
        <v>156</v>
      </c>
      <c r="H2444" s="48">
        <f>IF(NOT(ISBLANK(vlookup(B2444,Pop_Census_2023!$A$2:$E$3220,4,FALSE))),vlookup(B2444,Pop_Census_2023!$A$2:$E$3220,4,FALSE), vlookup(B2444,Pop_Census_2023!$A$2:$E$3220,5,FALSE))</f>
        <v>135495</v>
      </c>
    </row>
    <row r="2445">
      <c r="A2445" s="47" t="s">
        <v>3430</v>
      </c>
      <c r="B2445" s="47">
        <v>45079.0</v>
      </c>
      <c r="C2445" s="47">
        <v>3.0</v>
      </c>
      <c r="D2445" s="47" t="s">
        <v>4044</v>
      </c>
      <c r="E2445" s="47" t="str">
        <f t="shared" si="1"/>
        <v>3A</v>
      </c>
      <c r="F2445" s="47" t="s">
        <v>4046</v>
      </c>
      <c r="G2445" s="47" t="s">
        <v>649</v>
      </c>
      <c r="H2445" s="48">
        <f>IF(NOT(ISBLANK(vlookup(B2445,Pop_Census_2023!$A$2:$E$3220,4,FALSE))),vlookup(B2445,Pop_Census_2023!$A$2:$E$3220,4,FALSE), vlookup(B2445,Pop_Census_2023!$A$2:$E$3220,5,FALSE))</f>
        <v>425138</v>
      </c>
    </row>
    <row r="2446">
      <c r="A2446" s="47" t="s">
        <v>3430</v>
      </c>
      <c r="B2446" s="47">
        <v>45081.0</v>
      </c>
      <c r="C2446" s="47">
        <v>3.0</v>
      </c>
      <c r="D2446" s="47" t="s">
        <v>4044</v>
      </c>
      <c r="E2446" s="47" t="str">
        <f t="shared" si="1"/>
        <v>3A</v>
      </c>
      <c r="F2446" s="47" t="s">
        <v>4046</v>
      </c>
      <c r="G2446" s="47" t="s">
        <v>1574</v>
      </c>
      <c r="H2446" s="48">
        <f>IF(NOT(ISBLANK(vlookup(B2446,Pop_Census_2023!$A$2:$E$3220,4,FALSE))),vlookup(B2446,Pop_Census_2023!$A$2:$E$3220,4,FALSE), vlookup(B2446,Pop_Census_2023!$A$2:$E$3220,5,FALSE))</f>
        <v>19123</v>
      </c>
    </row>
    <row r="2447">
      <c r="A2447" s="47" t="s">
        <v>3430</v>
      </c>
      <c r="B2447" s="47">
        <v>45083.0</v>
      </c>
      <c r="C2447" s="47">
        <v>3.0</v>
      </c>
      <c r="D2447" s="47" t="s">
        <v>4044</v>
      </c>
      <c r="E2447" s="47" t="str">
        <f t="shared" si="1"/>
        <v>3A</v>
      </c>
      <c r="F2447" s="47" t="s">
        <v>4046</v>
      </c>
      <c r="G2447" s="47" t="s">
        <v>1575</v>
      </c>
      <c r="H2447" s="48">
        <f>IF(NOT(ISBLANK(vlookup(B2447,Pop_Census_2023!$A$2:$E$3220,4,FALSE))),vlookup(B2447,Pop_Census_2023!$A$2:$E$3220,4,FALSE), vlookup(B2447,Pop_Census_2023!$A$2:$E$3220,5,FALSE))</f>
        <v>356698</v>
      </c>
    </row>
    <row r="2448">
      <c r="A2448" s="47" t="s">
        <v>3430</v>
      </c>
      <c r="B2448" s="47">
        <v>45085.0</v>
      </c>
      <c r="C2448" s="47">
        <v>3.0</v>
      </c>
      <c r="D2448" s="47" t="s">
        <v>4044</v>
      </c>
      <c r="E2448" s="47" t="str">
        <f t="shared" si="1"/>
        <v>3A</v>
      </c>
      <c r="F2448" s="47" t="s">
        <v>4046</v>
      </c>
      <c r="G2448" s="47" t="s">
        <v>162</v>
      </c>
      <c r="H2448" s="48">
        <f>IF(NOT(ISBLANK(vlookup(B2448,Pop_Census_2023!$A$2:$E$3220,4,FALSE))),vlookup(B2448,Pop_Census_2023!$A$2:$E$3220,4,FALSE), vlookup(B2448,Pop_Census_2023!$A$2:$E$3220,5,FALSE))</f>
        <v>104165</v>
      </c>
    </row>
    <row r="2449">
      <c r="A2449" s="47" t="s">
        <v>3430</v>
      </c>
      <c r="B2449" s="47">
        <v>45087.0</v>
      </c>
      <c r="C2449" s="47">
        <v>3.0</v>
      </c>
      <c r="D2449" s="47" t="s">
        <v>4044</v>
      </c>
      <c r="E2449" s="47" t="str">
        <f t="shared" si="1"/>
        <v>3A</v>
      </c>
      <c r="F2449" s="47" t="s">
        <v>4046</v>
      </c>
      <c r="G2449" s="47" t="s">
        <v>273</v>
      </c>
      <c r="H2449" s="48">
        <f>IF(NOT(ISBLANK(vlookup(B2449,Pop_Census_2023!$A$2:$E$3220,4,FALSE))),vlookup(B2449,Pop_Census_2023!$A$2:$E$3220,4,FALSE), vlookup(B2449,Pop_Census_2023!$A$2:$E$3220,5,FALSE))</f>
        <v>26629</v>
      </c>
    </row>
    <row r="2450">
      <c r="A2450" s="47" t="s">
        <v>3430</v>
      </c>
      <c r="B2450" s="47">
        <v>45089.0</v>
      </c>
      <c r="C2450" s="47">
        <v>3.0</v>
      </c>
      <c r="D2450" s="47" t="s">
        <v>4044</v>
      </c>
      <c r="E2450" s="47" t="str">
        <f t="shared" si="1"/>
        <v>3A</v>
      </c>
      <c r="F2450" s="47" t="s">
        <v>4046</v>
      </c>
      <c r="G2450" s="47" t="s">
        <v>1576</v>
      </c>
      <c r="H2450" s="48">
        <f>IF(NOT(ISBLANK(vlookup(B2450,Pop_Census_2023!$A$2:$E$3220,4,FALSE))),vlookup(B2450,Pop_Census_2023!$A$2:$E$3220,4,FALSE), vlookup(B2450,Pop_Census_2023!$A$2:$E$3220,5,FALSE))</f>
        <v>29891</v>
      </c>
    </row>
    <row r="2451">
      <c r="A2451" s="47" t="s">
        <v>3430</v>
      </c>
      <c r="B2451" s="47">
        <v>45091.0</v>
      </c>
      <c r="C2451" s="47">
        <v>3.0</v>
      </c>
      <c r="D2451" s="47" t="s">
        <v>4044</v>
      </c>
      <c r="E2451" s="47" t="str">
        <f t="shared" si="1"/>
        <v>3A</v>
      </c>
      <c r="F2451" s="47" t="s">
        <v>4046</v>
      </c>
      <c r="G2451" s="47" t="s">
        <v>932</v>
      </c>
      <c r="H2451" s="48">
        <f>IF(NOT(ISBLANK(vlookup(B2451,Pop_Census_2023!$A$2:$E$3220,4,FALSE))),vlookup(B2451,Pop_Census_2023!$A$2:$E$3220,4,FALSE), vlookup(B2451,Pop_Census_2023!$A$2:$E$3220,5,FALSE))</f>
        <v>298320</v>
      </c>
    </row>
    <row r="2452">
      <c r="A2452" s="47" t="s">
        <v>3458</v>
      </c>
      <c r="B2452" s="47">
        <v>46003.0</v>
      </c>
      <c r="C2452" s="47">
        <v>6.0</v>
      </c>
      <c r="D2452" s="47" t="s">
        <v>4044</v>
      </c>
      <c r="E2452" s="47" t="str">
        <f t="shared" si="1"/>
        <v>6A</v>
      </c>
      <c r="F2452" s="47" t="s">
        <v>4054</v>
      </c>
      <c r="G2452" s="47" t="s">
        <v>1577</v>
      </c>
      <c r="H2452" s="48">
        <f>IF(NOT(ISBLANK(vlookup(B2452,Pop_Census_2023!$A$2:$E$3220,4,FALSE))),vlookup(B2452,Pop_Census_2023!$A$2:$E$3220,4,FALSE), vlookup(B2452,Pop_Census_2023!$A$2:$E$3220,5,FALSE))</f>
        <v>2782</v>
      </c>
    </row>
    <row r="2453">
      <c r="A2453" s="47" t="s">
        <v>3458</v>
      </c>
      <c r="B2453" s="47">
        <v>46005.0</v>
      </c>
      <c r="C2453" s="47">
        <v>6.0</v>
      </c>
      <c r="D2453" s="47" t="s">
        <v>4044</v>
      </c>
      <c r="E2453" s="47" t="str">
        <f t="shared" si="1"/>
        <v>6A</v>
      </c>
      <c r="F2453" s="47" t="s">
        <v>4054</v>
      </c>
      <c r="G2453" s="47" t="s">
        <v>1579</v>
      </c>
      <c r="H2453" s="48">
        <f>IF(NOT(ISBLANK(vlookup(B2453,Pop_Census_2023!$A$2:$E$3220,4,FALSE))),vlookup(B2453,Pop_Census_2023!$A$2:$E$3220,4,FALSE), vlookup(B2453,Pop_Census_2023!$A$2:$E$3220,5,FALSE))</f>
        <v>19591</v>
      </c>
    </row>
    <row r="2454">
      <c r="A2454" s="47" t="s">
        <v>3458</v>
      </c>
      <c r="B2454" s="47">
        <v>46007.0</v>
      </c>
      <c r="C2454" s="47">
        <v>5.0</v>
      </c>
      <c r="D2454" s="47" t="s">
        <v>4044</v>
      </c>
      <c r="E2454" s="47" t="str">
        <f t="shared" si="1"/>
        <v>5A</v>
      </c>
      <c r="F2454" s="47" t="s">
        <v>4054</v>
      </c>
      <c r="G2454" s="47" t="s">
        <v>1580</v>
      </c>
      <c r="H2454" s="48">
        <f>IF(NOT(ISBLANK(vlookup(B2454,Pop_Census_2023!$A$2:$E$3220,4,FALSE))),vlookup(B2454,Pop_Census_2023!$A$2:$E$3220,4,FALSE), vlookup(B2454,Pop_Census_2023!$A$2:$E$3220,5,FALSE))</f>
        <v>3305</v>
      </c>
    </row>
    <row r="2455">
      <c r="A2455" s="47" t="s">
        <v>3458</v>
      </c>
      <c r="B2455" s="47">
        <v>46009.0</v>
      </c>
      <c r="C2455" s="47">
        <v>5.0</v>
      </c>
      <c r="D2455" s="47" t="s">
        <v>4044</v>
      </c>
      <c r="E2455" s="47" t="str">
        <f t="shared" si="1"/>
        <v>5A</v>
      </c>
      <c r="F2455" s="47" t="s">
        <v>4054</v>
      </c>
      <c r="G2455" s="47" t="s">
        <v>1581</v>
      </c>
      <c r="H2455" s="48">
        <f>IF(NOT(ISBLANK(vlookup(B2455,Pop_Census_2023!$A$2:$E$3220,4,FALSE))),vlookup(B2455,Pop_Census_2023!$A$2:$E$3220,4,FALSE), vlookup(B2455,Pop_Census_2023!$A$2:$E$3220,5,FALSE))</f>
        <v>7065</v>
      </c>
    </row>
    <row r="2456">
      <c r="A2456" s="47" t="s">
        <v>3458</v>
      </c>
      <c r="B2456" s="47">
        <v>46011.0</v>
      </c>
      <c r="C2456" s="47">
        <v>6.0</v>
      </c>
      <c r="D2456" s="47" t="s">
        <v>4044</v>
      </c>
      <c r="E2456" s="47" t="str">
        <f t="shared" si="1"/>
        <v>6A</v>
      </c>
      <c r="F2456" s="47" t="s">
        <v>4054</v>
      </c>
      <c r="G2456" s="47" t="s">
        <v>1582</v>
      </c>
      <c r="H2456" s="48">
        <f>IF(NOT(ISBLANK(vlookup(B2456,Pop_Census_2023!$A$2:$E$3220,4,FALSE))),vlookup(B2456,Pop_Census_2023!$A$2:$E$3220,4,FALSE), vlookup(B2456,Pop_Census_2023!$A$2:$E$3220,5,FALSE))</f>
        <v>35980</v>
      </c>
    </row>
    <row r="2457">
      <c r="A2457" s="47" t="s">
        <v>3458</v>
      </c>
      <c r="B2457" s="47">
        <v>46013.0</v>
      </c>
      <c r="C2457" s="47">
        <v>6.0</v>
      </c>
      <c r="D2457" s="47" t="s">
        <v>4044</v>
      </c>
      <c r="E2457" s="47" t="str">
        <f t="shared" si="1"/>
        <v>6A</v>
      </c>
      <c r="F2457" s="47" t="s">
        <v>4054</v>
      </c>
      <c r="G2457" s="47" t="s">
        <v>611</v>
      </c>
      <c r="H2457" s="48">
        <f>IF(NOT(ISBLANK(vlookup(B2457,Pop_Census_2023!$A$2:$E$3220,4,FALSE))),vlookup(B2457,Pop_Census_2023!$A$2:$E$3220,4,FALSE), vlookup(B2457,Pop_Census_2023!$A$2:$E$3220,5,FALSE))</f>
        <v>37733</v>
      </c>
    </row>
    <row r="2458">
      <c r="A2458" s="47" t="s">
        <v>3458</v>
      </c>
      <c r="B2458" s="47">
        <v>46015.0</v>
      </c>
      <c r="C2458" s="47">
        <v>6.0</v>
      </c>
      <c r="D2458" s="47" t="s">
        <v>4044</v>
      </c>
      <c r="E2458" s="47" t="str">
        <f t="shared" si="1"/>
        <v>6A</v>
      </c>
      <c r="F2458" s="47" t="s">
        <v>4054</v>
      </c>
      <c r="G2458" s="47" t="s">
        <v>1583</v>
      </c>
      <c r="H2458" s="48">
        <f>IF(NOT(ISBLANK(vlookup(B2458,Pop_Census_2023!$A$2:$E$3220,4,FALSE))),vlookup(B2458,Pop_Census_2023!$A$2:$E$3220,4,FALSE), vlookup(B2458,Pop_Census_2023!$A$2:$E$3220,5,FALSE))</f>
        <v>5311</v>
      </c>
    </row>
    <row r="2459">
      <c r="A2459" s="47" t="s">
        <v>3458</v>
      </c>
      <c r="B2459" s="47">
        <v>46017.0</v>
      </c>
      <c r="C2459" s="47">
        <v>6.0</v>
      </c>
      <c r="D2459" s="47" t="s">
        <v>4044</v>
      </c>
      <c r="E2459" s="47" t="str">
        <f t="shared" si="1"/>
        <v>6A</v>
      </c>
      <c r="F2459" s="47" t="s">
        <v>4054</v>
      </c>
      <c r="G2459" s="47" t="s">
        <v>1203</v>
      </c>
      <c r="H2459" s="48">
        <f>IF(NOT(ISBLANK(vlookup(B2459,Pop_Census_2023!$A$2:$E$3220,4,FALSE))),vlookup(B2459,Pop_Census_2023!$A$2:$E$3220,4,FALSE), vlookup(B2459,Pop_Census_2023!$A$2:$E$3220,5,FALSE))</f>
        <v>1884</v>
      </c>
    </row>
    <row r="2460">
      <c r="A2460" s="47" t="s">
        <v>3458</v>
      </c>
      <c r="B2460" s="47">
        <v>46019.0</v>
      </c>
      <c r="C2460" s="47">
        <v>6.0</v>
      </c>
      <c r="D2460" s="47" t="s">
        <v>4044</v>
      </c>
      <c r="E2460" s="47" t="str">
        <f t="shared" si="1"/>
        <v>6A</v>
      </c>
      <c r="F2460" s="47" t="s">
        <v>4054</v>
      </c>
      <c r="G2460" s="47" t="s">
        <v>284</v>
      </c>
      <c r="H2460" s="48">
        <f>IF(NOT(ISBLANK(vlookup(B2460,Pop_Census_2023!$A$2:$E$3220,4,FALSE))),vlookup(B2460,Pop_Census_2023!$A$2:$E$3220,4,FALSE), vlookup(B2460,Pop_Census_2023!$A$2:$E$3220,5,FALSE))</f>
        <v>10863</v>
      </c>
    </row>
    <row r="2461">
      <c r="A2461" s="47" t="s">
        <v>3458</v>
      </c>
      <c r="B2461" s="47">
        <v>46021.0</v>
      </c>
      <c r="C2461" s="47">
        <v>6.0</v>
      </c>
      <c r="D2461" s="47" t="s">
        <v>4044</v>
      </c>
      <c r="E2461" s="47" t="str">
        <f t="shared" si="1"/>
        <v>6A</v>
      </c>
      <c r="F2461" s="47" t="s">
        <v>4054</v>
      </c>
      <c r="G2461" s="47" t="s">
        <v>831</v>
      </c>
      <c r="H2461" s="48">
        <f>IF(NOT(ISBLANK(vlookup(B2461,Pop_Census_2023!$A$2:$E$3220,4,FALSE))),vlookup(B2461,Pop_Census_2023!$A$2:$E$3220,4,FALSE), vlookup(B2461,Pop_Census_2023!$A$2:$E$3220,5,FALSE))</f>
        <v>1340</v>
      </c>
    </row>
    <row r="2462">
      <c r="A2462" s="47" t="s">
        <v>3458</v>
      </c>
      <c r="B2462" s="47">
        <v>46023.0</v>
      </c>
      <c r="C2462" s="47">
        <v>5.0</v>
      </c>
      <c r="D2462" s="47" t="s">
        <v>4044</v>
      </c>
      <c r="E2462" s="47" t="str">
        <f t="shared" si="1"/>
        <v>5A</v>
      </c>
      <c r="F2462" s="47" t="s">
        <v>4054</v>
      </c>
      <c r="G2462" s="47" t="s">
        <v>1584</v>
      </c>
      <c r="H2462" s="48">
        <f>IF(NOT(ISBLANK(vlookup(B2462,Pop_Census_2023!$A$2:$E$3220,4,FALSE))),vlookup(B2462,Pop_Census_2023!$A$2:$E$3220,4,FALSE), vlookup(B2462,Pop_Census_2023!$A$2:$E$3220,5,FALSE))</f>
        <v>9240</v>
      </c>
    </row>
    <row r="2463">
      <c r="A2463" s="47" t="s">
        <v>3458</v>
      </c>
      <c r="B2463" s="47">
        <v>46025.0</v>
      </c>
      <c r="C2463" s="47">
        <v>6.0</v>
      </c>
      <c r="D2463" s="47" t="s">
        <v>4044</v>
      </c>
      <c r="E2463" s="47" t="str">
        <f t="shared" si="1"/>
        <v>6A</v>
      </c>
      <c r="F2463" s="47" t="s">
        <v>4054</v>
      </c>
      <c r="G2463" s="47" t="s">
        <v>229</v>
      </c>
      <c r="H2463" s="48">
        <f>IF(NOT(ISBLANK(vlookup(B2463,Pop_Census_2023!$A$2:$E$3220,4,FALSE))),vlookup(B2463,Pop_Census_2023!$A$2:$E$3220,4,FALSE), vlookup(B2463,Pop_Census_2023!$A$2:$E$3220,5,FALSE))</f>
        <v>3948</v>
      </c>
    </row>
    <row r="2464">
      <c r="A2464" s="47" t="s">
        <v>3458</v>
      </c>
      <c r="B2464" s="47">
        <v>46027.0</v>
      </c>
      <c r="C2464" s="47">
        <v>5.0</v>
      </c>
      <c r="D2464" s="47" t="s">
        <v>4044</v>
      </c>
      <c r="E2464" s="47" t="str">
        <f t="shared" si="1"/>
        <v>5A</v>
      </c>
      <c r="F2464" s="47" t="s">
        <v>4054</v>
      </c>
      <c r="G2464" s="47" t="s">
        <v>116</v>
      </c>
      <c r="H2464" s="48">
        <f>IF(NOT(ISBLANK(vlookup(B2464,Pop_Census_2023!$A$2:$E$3220,4,FALSE))),vlookup(B2464,Pop_Census_2023!$A$2:$E$3220,4,FALSE), vlookup(B2464,Pop_Census_2023!$A$2:$E$3220,5,FALSE))</f>
        <v>15431</v>
      </c>
    </row>
    <row r="2465">
      <c r="A2465" s="47" t="s">
        <v>3458</v>
      </c>
      <c r="B2465" s="47">
        <v>46029.0</v>
      </c>
      <c r="C2465" s="47">
        <v>6.0</v>
      </c>
      <c r="D2465" s="47" t="s">
        <v>4044</v>
      </c>
      <c r="E2465" s="47" t="str">
        <f t="shared" si="1"/>
        <v>6A</v>
      </c>
      <c r="F2465" s="47" t="s">
        <v>4054</v>
      </c>
      <c r="G2465" s="47" t="s">
        <v>1585</v>
      </c>
      <c r="H2465" s="48">
        <f>IF(NOT(ISBLANK(vlookup(B2465,Pop_Census_2023!$A$2:$E$3220,4,FALSE))),vlookup(B2465,Pop_Census_2023!$A$2:$E$3220,4,FALSE), vlookup(B2465,Pop_Census_2023!$A$2:$E$3220,5,FALSE))</f>
        <v>28971</v>
      </c>
    </row>
    <row r="2466">
      <c r="A2466" s="47" t="s">
        <v>3458</v>
      </c>
      <c r="B2466" s="47">
        <v>46031.0</v>
      </c>
      <c r="C2466" s="47">
        <v>6.0</v>
      </c>
      <c r="D2466" s="47" t="s">
        <v>4044</v>
      </c>
      <c r="E2466" s="47" t="str">
        <f t="shared" si="1"/>
        <v>6A</v>
      </c>
      <c r="F2466" s="47" t="s">
        <v>4054</v>
      </c>
      <c r="G2466" s="47" t="s">
        <v>1586</v>
      </c>
      <c r="H2466" s="48">
        <f>IF(NOT(ISBLANK(vlookup(B2466,Pop_Census_2023!$A$2:$E$3220,4,FALSE))),vlookup(B2466,Pop_Census_2023!$A$2:$E$3220,4,FALSE), vlookup(B2466,Pop_Census_2023!$A$2:$E$3220,5,FALSE))</f>
        <v>3782</v>
      </c>
    </row>
    <row r="2467">
      <c r="A2467" s="47" t="s">
        <v>3458</v>
      </c>
      <c r="B2467" s="47">
        <v>46033.0</v>
      </c>
      <c r="C2467" s="47">
        <v>6.0</v>
      </c>
      <c r="D2467" s="47" t="s">
        <v>4044</v>
      </c>
      <c r="E2467" s="47" t="str">
        <f t="shared" si="1"/>
        <v>6A</v>
      </c>
      <c r="F2467" s="47" t="s">
        <v>4054</v>
      </c>
      <c r="G2467" s="47" t="s">
        <v>353</v>
      </c>
      <c r="H2467" s="48">
        <f>IF(NOT(ISBLANK(vlookup(B2467,Pop_Census_2023!$A$2:$E$3220,4,FALSE))),vlookup(B2467,Pop_Census_2023!$A$2:$E$3220,4,FALSE), vlookup(B2467,Pop_Census_2023!$A$2:$E$3220,5,FALSE))</f>
        <v>9117</v>
      </c>
    </row>
    <row r="2468">
      <c r="A2468" s="47" t="s">
        <v>3458</v>
      </c>
      <c r="B2468" s="47">
        <v>46035.0</v>
      </c>
      <c r="C2468" s="47">
        <v>6.0</v>
      </c>
      <c r="D2468" s="47" t="s">
        <v>4044</v>
      </c>
      <c r="E2468" s="47" t="str">
        <f t="shared" si="1"/>
        <v>6A</v>
      </c>
      <c r="F2468" s="47" t="s">
        <v>4054</v>
      </c>
      <c r="G2468" s="47" t="s">
        <v>1587</v>
      </c>
      <c r="H2468" s="48">
        <f>IF(NOT(ISBLANK(vlookup(B2468,Pop_Census_2023!$A$2:$E$3220,4,FALSE))),vlookup(B2468,Pop_Census_2023!$A$2:$E$3220,4,FALSE), vlookup(B2468,Pop_Census_2023!$A$2:$E$3220,5,FALSE))</f>
        <v>19922</v>
      </c>
    </row>
    <row r="2469">
      <c r="A2469" s="47" t="s">
        <v>3458</v>
      </c>
      <c r="B2469" s="47">
        <v>46037.0</v>
      </c>
      <c r="C2469" s="47">
        <v>6.0</v>
      </c>
      <c r="D2469" s="47" t="s">
        <v>4044</v>
      </c>
      <c r="E2469" s="47" t="str">
        <f t="shared" si="1"/>
        <v>6A</v>
      </c>
      <c r="F2469" s="47" t="s">
        <v>4054</v>
      </c>
      <c r="G2469" s="47" t="s">
        <v>1588</v>
      </c>
      <c r="H2469" s="48">
        <f>IF(NOT(ISBLANK(vlookup(B2469,Pop_Census_2023!$A$2:$E$3220,4,FALSE))),vlookup(B2469,Pop_Census_2023!$A$2:$E$3220,4,FALSE), vlookup(B2469,Pop_Census_2023!$A$2:$E$3220,5,FALSE))</f>
        <v>5451</v>
      </c>
    </row>
    <row r="2470">
      <c r="A2470" s="47" t="s">
        <v>3458</v>
      </c>
      <c r="B2470" s="47">
        <v>46039.0</v>
      </c>
      <c r="C2470" s="47">
        <v>6.0</v>
      </c>
      <c r="D2470" s="47" t="s">
        <v>4044</v>
      </c>
      <c r="E2470" s="47" t="str">
        <f t="shared" si="1"/>
        <v>6A</v>
      </c>
      <c r="F2470" s="47" t="s">
        <v>4054</v>
      </c>
      <c r="G2470" s="47" t="s">
        <v>1209</v>
      </c>
      <c r="H2470" s="48">
        <f>IF(NOT(ISBLANK(vlookup(B2470,Pop_Census_2023!$A$2:$E$3220,4,FALSE))),vlookup(B2470,Pop_Census_2023!$A$2:$E$3220,4,FALSE), vlookup(B2470,Pop_Census_2023!$A$2:$E$3220,5,FALSE))</f>
        <v>4354</v>
      </c>
    </row>
    <row r="2471">
      <c r="A2471" s="47" t="s">
        <v>3458</v>
      </c>
      <c r="B2471" s="47">
        <v>46041.0</v>
      </c>
      <c r="C2471" s="47">
        <v>6.0</v>
      </c>
      <c r="D2471" s="47" t="s">
        <v>4044</v>
      </c>
      <c r="E2471" s="47" t="str">
        <f t="shared" si="1"/>
        <v>6A</v>
      </c>
      <c r="F2471" s="47" t="s">
        <v>4054</v>
      </c>
      <c r="G2471" s="47" t="s">
        <v>1468</v>
      </c>
      <c r="H2471" s="48">
        <f>IF(NOT(ISBLANK(vlookup(B2471,Pop_Census_2023!$A$2:$E$3220,4,FALSE))),vlookup(B2471,Pop_Census_2023!$A$2:$E$3220,4,FALSE), vlookup(B2471,Pop_Census_2023!$A$2:$E$3220,5,FALSE))</f>
        <v>5208</v>
      </c>
    </row>
    <row r="2472">
      <c r="A2472" s="47" t="s">
        <v>3458</v>
      </c>
      <c r="B2472" s="47">
        <v>46043.0</v>
      </c>
      <c r="C2472" s="47">
        <v>5.0</v>
      </c>
      <c r="D2472" s="47" t="s">
        <v>4044</v>
      </c>
      <c r="E2472" s="47" t="str">
        <f t="shared" si="1"/>
        <v>5A</v>
      </c>
      <c r="F2472" s="47" t="s">
        <v>4054</v>
      </c>
      <c r="G2472" s="47" t="s">
        <v>357</v>
      </c>
      <c r="H2472" s="48">
        <f>IF(NOT(ISBLANK(vlookup(B2472,Pop_Census_2023!$A$2:$E$3220,4,FALSE))),vlookup(B2472,Pop_Census_2023!$A$2:$E$3220,4,FALSE), vlookup(B2472,Pop_Census_2023!$A$2:$E$3220,5,FALSE))</f>
        <v>2838</v>
      </c>
    </row>
    <row r="2473">
      <c r="A2473" s="47" t="s">
        <v>3458</v>
      </c>
      <c r="B2473" s="47">
        <v>46045.0</v>
      </c>
      <c r="C2473" s="47">
        <v>6.0</v>
      </c>
      <c r="D2473" s="47" t="s">
        <v>4044</v>
      </c>
      <c r="E2473" s="47" t="str">
        <f t="shared" si="1"/>
        <v>6A</v>
      </c>
      <c r="F2473" s="47" t="s">
        <v>4054</v>
      </c>
      <c r="G2473" s="47" t="s">
        <v>1589</v>
      </c>
      <c r="H2473" s="48">
        <f>IF(NOT(ISBLANK(vlookup(B2473,Pop_Census_2023!$A$2:$E$3220,4,FALSE))),vlookup(B2473,Pop_Census_2023!$A$2:$E$3220,4,FALSE), vlookup(B2473,Pop_Census_2023!$A$2:$E$3220,5,FALSE))</f>
        <v>4057</v>
      </c>
    </row>
    <row r="2474">
      <c r="A2474" s="47" t="s">
        <v>3458</v>
      </c>
      <c r="B2474" s="47">
        <v>46047.0</v>
      </c>
      <c r="C2474" s="47">
        <v>6.0</v>
      </c>
      <c r="D2474" s="47" t="s">
        <v>4044</v>
      </c>
      <c r="E2474" s="47" t="str">
        <f t="shared" si="1"/>
        <v>6A</v>
      </c>
      <c r="F2474" s="47" t="s">
        <v>4054</v>
      </c>
      <c r="G2474" s="47" t="s">
        <v>1590</v>
      </c>
      <c r="H2474" s="48">
        <f>IF(NOT(ISBLANK(vlookup(B2474,Pop_Census_2023!$A$2:$E$3220,4,FALSE))),vlookup(B2474,Pop_Census_2023!$A$2:$E$3220,4,FALSE), vlookup(B2474,Pop_Census_2023!$A$2:$E$3220,5,FALSE))</f>
        <v>7393</v>
      </c>
    </row>
    <row r="2475">
      <c r="A2475" s="47" t="s">
        <v>3458</v>
      </c>
      <c r="B2475" s="47">
        <v>46049.0</v>
      </c>
      <c r="C2475" s="47">
        <v>6.0</v>
      </c>
      <c r="D2475" s="47" t="s">
        <v>4044</v>
      </c>
      <c r="E2475" s="47" t="str">
        <f t="shared" si="1"/>
        <v>6A</v>
      </c>
      <c r="F2475" s="47" t="s">
        <v>4054</v>
      </c>
      <c r="G2475" s="47" t="s">
        <v>1591</v>
      </c>
      <c r="H2475" s="48">
        <f>IF(NOT(ISBLANK(vlookup(B2475,Pop_Census_2023!$A$2:$E$3220,4,FALSE))),vlookup(B2475,Pop_Census_2023!$A$2:$E$3220,4,FALSE), vlookup(B2475,Pop_Census_2023!$A$2:$E$3220,5,FALSE))</f>
        <v>2151</v>
      </c>
    </row>
    <row r="2476">
      <c r="A2476" s="47" t="s">
        <v>3458</v>
      </c>
      <c r="B2476" s="47">
        <v>46051.0</v>
      </c>
      <c r="C2476" s="47">
        <v>6.0</v>
      </c>
      <c r="D2476" s="47" t="s">
        <v>4044</v>
      </c>
      <c r="E2476" s="47" t="str">
        <f t="shared" si="1"/>
        <v>6A</v>
      </c>
      <c r="F2476" s="47" t="s">
        <v>4054</v>
      </c>
      <c r="G2476" s="47" t="s">
        <v>242</v>
      </c>
      <c r="H2476" s="48">
        <f>IF(NOT(ISBLANK(vlookup(B2476,Pop_Census_2023!$A$2:$E$3220,4,FALSE))),vlookup(B2476,Pop_Census_2023!$A$2:$E$3220,4,FALSE), vlookup(B2476,Pop_Census_2023!$A$2:$E$3220,5,FALSE))</f>
        <v>7553</v>
      </c>
    </row>
    <row r="2477">
      <c r="A2477" s="47" t="s">
        <v>3458</v>
      </c>
      <c r="B2477" s="47">
        <v>46053.0</v>
      </c>
      <c r="C2477" s="47">
        <v>5.0</v>
      </c>
      <c r="D2477" s="47" t="s">
        <v>4044</v>
      </c>
      <c r="E2477" s="47" t="str">
        <f t="shared" si="1"/>
        <v>5A</v>
      </c>
      <c r="F2477" s="47" t="s">
        <v>4054</v>
      </c>
      <c r="G2477" s="47" t="s">
        <v>1592</v>
      </c>
      <c r="H2477" s="48">
        <f>IF(NOT(ISBLANK(vlookup(B2477,Pop_Census_2023!$A$2:$E$3220,4,FALSE))),vlookup(B2477,Pop_Census_2023!$A$2:$E$3220,4,FALSE), vlookup(B2477,Pop_Census_2023!$A$2:$E$3220,5,FALSE))</f>
        <v>4018</v>
      </c>
    </row>
    <row r="2478">
      <c r="A2478" s="47" t="s">
        <v>3458</v>
      </c>
      <c r="B2478" s="47">
        <v>46055.0</v>
      </c>
      <c r="C2478" s="47">
        <v>6.0</v>
      </c>
      <c r="D2478" s="47" t="s">
        <v>4044</v>
      </c>
      <c r="E2478" s="47" t="str">
        <f t="shared" si="1"/>
        <v>6A</v>
      </c>
      <c r="F2478" s="47" t="s">
        <v>4054</v>
      </c>
      <c r="G2478" s="47" t="s">
        <v>1593</v>
      </c>
      <c r="H2478" s="48">
        <f>IF(NOT(ISBLANK(vlookup(B2478,Pop_Census_2023!$A$2:$E$3220,4,FALSE))),vlookup(B2478,Pop_Census_2023!$A$2:$E$3220,4,FALSE), vlookup(B2478,Pop_Census_2023!$A$2:$E$3220,5,FALSE))</f>
        <v>1851</v>
      </c>
    </row>
    <row r="2479">
      <c r="A2479" s="47" t="s">
        <v>3458</v>
      </c>
      <c r="B2479" s="47">
        <v>46057.0</v>
      </c>
      <c r="C2479" s="47">
        <v>6.0</v>
      </c>
      <c r="D2479" s="47" t="s">
        <v>4044</v>
      </c>
      <c r="E2479" s="47" t="str">
        <f t="shared" si="1"/>
        <v>6A</v>
      </c>
      <c r="F2479" s="47" t="s">
        <v>4054</v>
      </c>
      <c r="G2479" s="47" t="s">
        <v>1594</v>
      </c>
      <c r="H2479" s="48">
        <f>IF(NOT(ISBLANK(vlookup(B2479,Pop_Census_2023!$A$2:$E$3220,4,FALSE))),vlookup(B2479,Pop_Census_2023!$A$2:$E$3220,4,FALSE), vlookup(B2479,Pop_Census_2023!$A$2:$E$3220,5,FALSE))</f>
        <v>6451</v>
      </c>
    </row>
    <row r="2480">
      <c r="A2480" s="47" t="s">
        <v>3458</v>
      </c>
      <c r="B2480" s="47">
        <v>46059.0</v>
      </c>
      <c r="C2480" s="47">
        <v>6.0</v>
      </c>
      <c r="D2480" s="47" t="s">
        <v>4044</v>
      </c>
      <c r="E2480" s="47" t="str">
        <f t="shared" si="1"/>
        <v>6A</v>
      </c>
      <c r="F2480" s="47" t="s">
        <v>4054</v>
      </c>
      <c r="G2480" s="47" t="s">
        <v>1595</v>
      </c>
      <c r="H2480" s="48">
        <f>IF(NOT(ISBLANK(vlookup(B2480,Pop_Census_2023!$A$2:$E$3220,4,FALSE))),vlookup(B2480,Pop_Census_2023!$A$2:$E$3220,4,FALSE), vlookup(B2480,Pop_Census_2023!$A$2:$E$3220,5,FALSE))</f>
        <v>3107</v>
      </c>
    </row>
    <row r="2481">
      <c r="A2481" s="47" t="s">
        <v>3458</v>
      </c>
      <c r="B2481" s="47">
        <v>46061.0</v>
      </c>
      <c r="C2481" s="47">
        <v>6.0</v>
      </c>
      <c r="D2481" s="47" t="s">
        <v>4044</v>
      </c>
      <c r="E2481" s="47" t="str">
        <f t="shared" si="1"/>
        <v>6A</v>
      </c>
      <c r="F2481" s="47" t="s">
        <v>4054</v>
      </c>
      <c r="G2481" s="47" t="s">
        <v>1596</v>
      </c>
      <c r="H2481" s="48">
        <f>IF(NOT(ISBLANK(vlookup(B2481,Pop_Census_2023!$A$2:$E$3220,4,FALSE))),vlookup(B2481,Pop_Census_2023!$A$2:$E$3220,4,FALSE), vlookup(B2481,Pop_Census_2023!$A$2:$E$3220,5,FALSE))</f>
        <v>3471</v>
      </c>
    </row>
    <row r="2482">
      <c r="A2482" s="47" t="s">
        <v>3458</v>
      </c>
      <c r="B2482" s="47">
        <v>46063.0</v>
      </c>
      <c r="C2482" s="47">
        <v>6.0</v>
      </c>
      <c r="D2482" s="47" t="s">
        <v>4044</v>
      </c>
      <c r="E2482" s="47" t="str">
        <f t="shared" si="1"/>
        <v>6A</v>
      </c>
      <c r="F2482" s="47" t="s">
        <v>4054</v>
      </c>
      <c r="G2482" s="47" t="s">
        <v>1280</v>
      </c>
      <c r="H2482" s="48">
        <f>IF(NOT(ISBLANK(vlookup(B2482,Pop_Census_2023!$A$2:$E$3220,4,FALSE))),vlookup(B2482,Pop_Census_2023!$A$2:$E$3220,4,FALSE), vlookup(B2482,Pop_Census_2023!$A$2:$E$3220,5,FALSE))</f>
        <v>1324</v>
      </c>
    </row>
    <row r="2483">
      <c r="A2483" s="47" t="s">
        <v>3458</v>
      </c>
      <c r="B2483" s="47">
        <v>46065.0</v>
      </c>
      <c r="C2483" s="47">
        <v>6.0</v>
      </c>
      <c r="D2483" s="47" t="s">
        <v>4044</v>
      </c>
      <c r="E2483" s="47" t="str">
        <f t="shared" si="1"/>
        <v>6A</v>
      </c>
      <c r="F2483" s="47" t="s">
        <v>4054</v>
      </c>
      <c r="G2483" s="47" t="s">
        <v>1472</v>
      </c>
      <c r="H2483" s="48">
        <f>IF(NOT(ISBLANK(vlookup(B2483,Pop_Census_2023!$A$2:$E$3220,4,FALSE))),vlookup(B2483,Pop_Census_2023!$A$2:$E$3220,4,FALSE), vlookup(B2483,Pop_Census_2023!$A$2:$E$3220,5,FALSE))</f>
        <v>17624</v>
      </c>
    </row>
    <row r="2484">
      <c r="A2484" s="47" t="s">
        <v>3458</v>
      </c>
      <c r="B2484" s="47">
        <v>46067.0</v>
      </c>
      <c r="C2484" s="47">
        <v>5.0</v>
      </c>
      <c r="D2484" s="47" t="s">
        <v>4044</v>
      </c>
      <c r="E2484" s="47" t="str">
        <f t="shared" si="1"/>
        <v>5A</v>
      </c>
      <c r="F2484" s="47" t="s">
        <v>4054</v>
      </c>
      <c r="G2484" s="47" t="s">
        <v>1597</v>
      </c>
      <c r="H2484" s="48">
        <f>IF(NOT(ISBLANK(vlookup(B2484,Pop_Census_2023!$A$2:$E$3220,4,FALSE))),vlookup(B2484,Pop_Census_2023!$A$2:$E$3220,4,FALSE), vlookup(B2484,Pop_Census_2023!$A$2:$E$3220,5,FALSE))</f>
        <v>7394</v>
      </c>
    </row>
    <row r="2485">
      <c r="A2485" s="47" t="s">
        <v>3458</v>
      </c>
      <c r="B2485" s="47">
        <v>46069.0</v>
      </c>
      <c r="C2485" s="47">
        <v>6.0</v>
      </c>
      <c r="D2485" s="47" t="s">
        <v>4044</v>
      </c>
      <c r="E2485" s="47" t="str">
        <f t="shared" si="1"/>
        <v>6A</v>
      </c>
      <c r="F2485" s="47" t="s">
        <v>4054</v>
      </c>
      <c r="G2485" s="47" t="s">
        <v>1359</v>
      </c>
      <c r="H2485" s="48">
        <f>IF(NOT(ISBLANK(vlookup(B2485,Pop_Census_2023!$A$2:$E$3220,4,FALSE))),vlookup(B2485,Pop_Census_2023!$A$2:$E$3220,4,FALSE), vlookup(B2485,Pop_Census_2023!$A$2:$E$3220,5,FALSE))</f>
        <v>1186</v>
      </c>
    </row>
    <row r="2486">
      <c r="A2486" s="47" t="s">
        <v>3458</v>
      </c>
      <c r="B2486" s="47">
        <v>46071.0</v>
      </c>
      <c r="C2486" s="47">
        <v>5.0</v>
      </c>
      <c r="D2486" s="47" t="s">
        <v>4044</v>
      </c>
      <c r="E2486" s="47" t="str">
        <f t="shared" si="1"/>
        <v>5A</v>
      </c>
      <c r="F2486" s="47" t="s">
        <v>4054</v>
      </c>
      <c r="G2486" s="47" t="s">
        <v>138</v>
      </c>
      <c r="H2486" s="48">
        <f>IF(NOT(ISBLANK(vlookup(B2486,Pop_Census_2023!$A$2:$E$3220,4,FALSE))),vlookup(B2486,Pop_Census_2023!$A$2:$E$3220,4,FALSE), vlookup(B2486,Pop_Census_2023!$A$2:$E$3220,5,FALSE))</f>
        <v>2776</v>
      </c>
    </row>
    <row r="2487">
      <c r="A2487" s="47" t="s">
        <v>3458</v>
      </c>
      <c r="B2487" s="47">
        <v>46073.0</v>
      </c>
      <c r="C2487" s="47">
        <v>6.0</v>
      </c>
      <c r="D2487" s="47" t="s">
        <v>4044</v>
      </c>
      <c r="E2487" s="47" t="str">
        <f t="shared" si="1"/>
        <v>6A</v>
      </c>
      <c r="F2487" s="47" t="s">
        <v>4054</v>
      </c>
      <c r="G2487" s="47" t="s">
        <v>1598</v>
      </c>
      <c r="H2487" s="48">
        <f>IF(NOT(ISBLANK(vlookup(B2487,Pop_Census_2023!$A$2:$E$3220,4,FALSE))),vlookup(B2487,Pop_Census_2023!$A$2:$E$3220,4,FALSE), vlookup(B2487,Pop_Census_2023!$A$2:$E$3220,5,FALSE))</f>
        <v>1660</v>
      </c>
    </row>
    <row r="2488">
      <c r="A2488" s="47" t="s">
        <v>3458</v>
      </c>
      <c r="B2488" s="47">
        <v>46075.0</v>
      </c>
      <c r="C2488" s="47">
        <v>6.0</v>
      </c>
      <c r="D2488" s="47" t="s">
        <v>4044</v>
      </c>
      <c r="E2488" s="47" t="str">
        <f t="shared" si="1"/>
        <v>6A</v>
      </c>
      <c r="F2488" s="47" t="s">
        <v>4054</v>
      </c>
      <c r="G2488" s="47" t="s">
        <v>521</v>
      </c>
      <c r="H2488" s="34">
        <f>IF(NOT(ISBLANK(vlookup(B2488,Pop_Census_2023!$A$2:$E$3220,4,FALSE))),vlookup(B2488,Pop_Census_2023!$A$2:$E$3220,4,FALSE), vlookup(B2488,Pop_Census_2023!$A$2:$E$3220,5,FALSE))</f>
        <v>855</v>
      </c>
    </row>
    <row r="2489">
      <c r="A2489" s="47" t="s">
        <v>3458</v>
      </c>
      <c r="B2489" s="47">
        <v>46077.0</v>
      </c>
      <c r="C2489" s="47">
        <v>6.0</v>
      </c>
      <c r="D2489" s="47" t="s">
        <v>4044</v>
      </c>
      <c r="E2489" s="47" t="str">
        <f t="shared" si="1"/>
        <v>6A</v>
      </c>
      <c r="F2489" s="47" t="s">
        <v>4054</v>
      </c>
      <c r="G2489" s="47" t="s">
        <v>1599</v>
      </c>
      <c r="H2489" s="48">
        <f>IF(NOT(ISBLANK(vlookup(B2489,Pop_Census_2023!$A$2:$E$3220,4,FALSE))),vlookup(B2489,Pop_Census_2023!$A$2:$E$3220,4,FALSE), vlookup(B2489,Pop_Census_2023!$A$2:$E$3220,5,FALSE))</f>
        <v>5276</v>
      </c>
    </row>
    <row r="2490">
      <c r="A2490" s="47" t="s">
        <v>3458</v>
      </c>
      <c r="B2490" s="47">
        <v>46079.0</v>
      </c>
      <c r="C2490" s="47">
        <v>6.0</v>
      </c>
      <c r="D2490" s="47" t="s">
        <v>4044</v>
      </c>
      <c r="E2490" s="47" t="str">
        <f t="shared" si="1"/>
        <v>6A</v>
      </c>
      <c r="F2490" s="47" t="s">
        <v>4054</v>
      </c>
      <c r="G2490" s="47" t="s">
        <v>298</v>
      </c>
      <c r="H2490" s="48">
        <f>IF(NOT(ISBLANK(vlookup(B2490,Pop_Census_2023!$A$2:$E$3220,4,FALSE))),vlookup(B2490,Pop_Census_2023!$A$2:$E$3220,4,FALSE), vlookup(B2490,Pop_Census_2023!$A$2:$E$3220,5,FALSE))</f>
        <v>11031</v>
      </c>
    </row>
    <row r="2491">
      <c r="A2491" s="47" t="s">
        <v>3458</v>
      </c>
      <c r="B2491" s="47">
        <v>46081.0</v>
      </c>
      <c r="C2491" s="47">
        <v>6.0</v>
      </c>
      <c r="D2491" s="47" t="s">
        <v>4044</v>
      </c>
      <c r="E2491" s="47" t="str">
        <f t="shared" si="1"/>
        <v>6A</v>
      </c>
      <c r="F2491" s="47" t="s">
        <v>4054</v>
      </c>
      <c r="G2491" s="47" t="s">
        <v>142</v>
      </c>
      <c r="H2491" s="48">
        <f>IF(NOT(ISBLANK(vlookup(B2491,Pop_Census_2023!$A$2:$E$3220,4,FALSE))),vlookup(B2491,Pop_Census_2023!$A$2:$E$3220,4,FALSE), vlookup(B2491,Pop_Census_2023!$A$2:$E$3220,5,FALSE))</f>
        <v>28053</v>
      </c>
    </row>
    <row r="2492">
      <c r="A2492" s="47" t="s">
        <v>3458</v>
      </c>
      <c r="B2492" s="47">
        <v>46083.0</v>
      </c>
      <c r="C2492" s="47">
        <v>6.0</v>
      </c>
      <c r="D2492" s="47" t="s">
        <v>4044</v>
      </c>
      <c r="E2492" s="47" t="str">
        <f t="shared" si="1"/>
        <v>6A</v>
      </c>
      <c r="F2492" s="47" t="s">
        <v>4054</v>
      </c>
      <c r="G2492" s="47" t="s">
        <v>250</v>
      </c>
      <c r="H2492" s="48">
        <f>IF(NOT(ISBLANK(vlookup(B2492,Pop_Census_2023!$A$2:$E$3220,4,FALSE))),vlookup(B2492,Pop_Census_2023!$A$2:$E$3220,4,FALSE), vlookup(B2492,Pop_Census_2023!$A$2:$E$3220,5,FALSE))</f>
        <v>73238</v>
      </c>
    </row>
    <row r="2493">
      <c r="A2493" s="47" t="s">
        <v>3458</v>
      </c>
      <c r="B2493" s="47">
        <v>46085.0</v>
      </c>
      <c r="C2493" s="47">
        <v>6.0</v>
      </c>
      <c r="D2493" s="47" t="s">
        <v>4044</v>
      </c>
      <c r="E2493" s="47" t="str">
        <f t="shared" si="1"/>
        <v>6A</v>
      </c>
      <c r="F2493" s="47" t="s">
        <v>4054</v>
      </c>
      <c r="G2493" s="47" t="s">
        <v>1600</v>
      </c>
      <c r="H2493" s="48">
        <f>IF(NOT(ISBLANK(vlookup(B2493,Pop_Census_2023!$A$2:$E$3220,4,FALSE))),vlookup(B2493,Pop_Census_2023!$A$2:$E$3220,4,FALSE), vlookup(B2493,Pop_Census_2023!$A$2:$E$3220,5,FALSE))</f>
        <v>3705</v>
      </c>
    </row>
    <row r="2494">
      <c r="A2494" s="47" t="s">
        <v>3458</v>
      </c>
      <c r="B2494" s="47">
        <v>46091.0</v>
      </c>
      <c r="C2494" s="47">
        <v>6.0</v>
      </c>
      <c r="D2494" s="47" t="s">
        <v>4044</v>
      </c>
      <c r="E2494" s="47" t="str">
        <f t="shared" si="1"/>
        <v>6A</v>
      </c>
      <c r="F2494" s="47" t="s">
        <v>4054</v>
      </c>
      <c r="G2494" s="47" t="s">
        <v>150</v>
      </c>
      <c r="H2494" s="48">
        <f>IF(NOT(ISBLANK(vlookup(B2494,Pop_Census_2023!$A$2:$E$3220,4,FALSE))),vlookup(B2494,Pop_Census_2023!$A$2:$E$3220,4,FALSE), vlookup(B2494,Pop_Census_2023!$A$2:$E$3220,5,FALSE))</f>
        <v>4390</v>
      </c>
    </row>
    <row r="2495">
      <c r="A2495" s="47" t="s">
        <v>3458</v>
      </c>
      <c r="B2495" s="47">
        <v>46087.0</v>
      </c>
      <c r="C2495" s="47">
        <v>6.0</v>
      </c>
      <c r="D2495" s="47" t="s">
        <v>4044</v>
      </c>
      <c r="E2495" s="47" t="str">
        <f t="shared" si="1"/>
        <v>6A</v>
      </c>
      <c r="F2495" s="47" t="s">
        <v>4054</v>
      </c>
      <c r="G2495" s="47" t="s">
        <v>1601</v>
      </c>
      <c r="H2495" s="48">
        <f>IF(NOT(ISBLANK(vlookup(B2495,Pop_Census_2023!$A$2:$E$3220,4,FALSE))),vlookup(B2495,Pop_Census_2023!$A$2:$E$3220,4,FALSE), vlookup(B2495,Pop_Census_2023!$A$2:$E$3220,5,FALSE))</f>
        <v>5809</v>
      </c>
    </row>
    <row r="2496">
      <c r="A2496" s="47" t="s">
        <v>3458</v>
      </c>
      <c r="B2496" s="47">
        <v>46089.0</v>
      </c>
      <c r="C2496" s="47">
        <v>6.0</v>
      </c>
      <c r="D2496" s="47" t="s">
        <v>4044</v>
      </c>
      <c r="E2496" s="47" t="str">
        <f t="shared" si="1"/>
        <v>6A</v>
      </c>
      <c r="F2496" s="47" t="s">
        <v>4054</v>
      </c>
      <c r="G2496" s="47" t="s">
        <v>782</v>
      </c>
      <c r="H2496" s="48">
        <f>IF(NOT(ISBLANK(vlookup(B2496,Pop_Census_2023!$A$2:$E$3220,4,FALSE))),vlookup(B2496,Pop_Census_2023!$A$2:$E$3220,4,FALSE), vlookup(B2496,Pop_Census_2023!$A$2:$E$3220,5,FALSE))</f>
        <v>2334</v>
      </c>
    </row>
    <row r="2497">
      <c r="A2497" s="47" t="s">
        <v>3458</v>
      </c>
      <c r="B2497" s="47">
        <v>46093.0</v>
      </c>
      <c r="C2497" s="47">
        <v>6.0</v>
      </c>
      <c r="D2497" s="47" t="s">
        <v>4044</v>
      </c>
      <c r="E2497" s="47" t="str">
        <f t="shared" si="1"/>
        <v>6A</v>
      </c>
      <c r="F2497" s="47" t="s">
        <v>4054</v>
      </c>
      <c r="G2497" s="47" t="s">
        <v>783</v>
      </c>
      <c r="H2497" s="48">
        <f>IF(NOT(ISBLANK(vlookup(B2497,Pop_Census_2023!$A$2:$E$3220,4,FALSE))),vlookup(B2497,Pop_Census_2023!$A$2:$E$3220,4,FALSE), vlookup(B2497,Pop_Census_2023!$A$2:$E$3220,5,FALSE))</f>
        <v>30954</v>
      </c>
    </row>
    <row r="2498">
      <c r="A2498" s="47" t="s">
        <v>3458</v>
      </c>
      <c r="B2498" s="47">
        <v>46095.0</v>
      </c>
      <c r="C2498" s="47">
        <v>5.0</v>
      </c>
      <c r="D2498" s="47" t="s">
        <v>4044</v>
      </c>
      <c r="E2498" s="47" t="str">
        <f t="shared" si="1"/>
        <v>5A</v>
      </c>
      <c r="F2498" s="47" t="s">
        <v>4054</v>
      </c>
      <c r="G2498" s="47" t="s">
        <v>1602</v>
      </c>
      <c r="H2498" s="48">
        <f>IF(NOT(ISBLANK(vlookup(B2498,Pop_Census_2023!$A$2:$E$3220,4,FALSE))),vlookup(B2498,Pop_Census_2023!$A$2:$E$3220,4,FALSE), vlookup(B2498,Pop_Census_2023!$A$2:$E$3220,5,FALSE))</f>
        <v>1851</v>
      </c>
    </row>
    <row r="2499">
      <c r="A2499" s="47" t="s">
        <v>3458</v>
      </c>
      <c r="B2499" s="47">
        <v>46097.0</v>
      </c>
      <c r="C2499" s="47">
        <v>6.0</v>
      </c>
      <c r="D2499" s="47" t="s">
        <v>4044</v>
      </c>
      <c r="E2499" s="47" t="str">
        <f t="shared" si="1"/>
        <v>6A</v>
      </c>
      <c r="F2499" s="47" t="s">
        <v>4054</v>
      </c>
      <c r="G2499" s="47" t="s">
        <v>1603</v>
      </c>
      <c r="H2499" s="48">
        <f>IF(NOT(ISBLANK(vlookup(B2499,Pop_Census_2023!$A$2:$E$3220,4,FALSE))),vlookup(B2499,Pop_Census_2023!$A$2:$E$3220,4,FALSE), vlookup(B2499,Pop_Census_2023!$A$2:$E$3220,5,FALSE))</f>
        <v>2280</v>
      </c>
    </row>
    <row r="2500">
      <c r="A2500" s="47" t="s">
        <v>3458</v>
      </c>
      <c r="B2500" s="47">
        <v>46099.0</v>
      </c>
      <c r="C2500" s="47">
        <v>6.0</v>
      </c>
      <c r="D2500" s="47" t="s">
        <v>4044</v>
      </c>
      <c r="E2500" s="47" t="str">
        <f t="shared" si="1"/>
        <v>6A</v>
      </c>
      <c r="F2500" s="47" t="s">
        <v>4054</v>
      </c>
      <c r="G2500" s="47" t="s">
        <v>1604</v>
      </c>
      <c r="H2500" s="48">
        <f>IF(NOT(ISBLANK(vlookup(B2500,Pop_Census_2023!$A$2:$E$3220,4,FALSE))),vlookup(B2500,Pop_Census_2023!$A$2:$E$3220,4,FALSE), vlookup(B2500,Pop_Census_2023!$A$2:$E$3220,5,FALSE))</f>
        <v>206930</v>
      </c>
    </row>
    <row r="2501">
      <c r="A2501" s="47" t="s">
        <v>3458</v>
      </c>
      <c r="B2501" s="47">
        <v>46101.0</v>
      </c>
      <c r="C2501" s="47">
        <v>6.0</v>
      </c>
      <c r="D2501" s="47" t="s">
        <v>4044</v>
      </c>
      <c r="E2501" s="47" t="str">
        <f t="shared" si="1"/>
        <v>6A</v>
      </c>
      <c r="F2501" s="47" t="s">
        <v>4054</v>
      </c>
      <c r="G2501" s="47" t="s">
        <v>1605</v>
      </c>
      <c r="H2501" s="48">
        <f>IF(NOT(ISBLANK(vlookup(B2501,Pop_Census_2023!$A$2:$E$3220,4,FALSE))),vlookup(B2501,Pop_Census_2023!$A$2:$E$3220,4,FALSE), vlookup(B2501,Pop_Census_2023!$A$2:$E$3220,5,FALSE))</f>
        <v>6450</v>
      </c>
    </row>
    <row r="2502">
      <c r="A2502" s="47" t="s">
        <v>3458</v>
      </c>
      <c r="B2502" s="47">
        <v>46102.0</v>
      </c>
      <c r="C2502" s="47">
        <v>6.0</v>
      </c>
      <c r="D2502" s="47" t="s">
        <v>4044</v>
      </c>
      <c r="E2502" s="47" t="str">
        <f t="shared" si="1"/>
        <v>6A</v>
      </c>
      <c r="F2502" s="47" t="s">
        <v>4054</v>
      </c>
      <c r="G2502" s="47" t="s">
        <v>1606</v>
      </c>
      <c r="H2502" s="48">
        <f>IF(NOT(ISBLANK(vlookup(B2502,Pop_Census_2023!$A$2:$E$3220,4,FALSE))),vlookup(B2502,Pop_Census_2023!$A$2:$E$3220,4,FALSE), vlookup(B2502,Pop_Census_2023!$A$2:$E$3220,5,FALSE))</f>
        <v>13434</v>
      </c>
    </row>
    <row r="2503">
      <c r="A2503" s="47" t="s">
        <v>3458</v>
      </c>
      <c r="B2503" s="47">
        <v>46103.0</v>
      </c>
      <c r="C2503" s="47">
        <v>6.0</v>
      </c>
      <c r="D2503" s="47" t="s">
        <v>4044</v>
      </c>
      <c r="E2503" s="47" t="str">
        <f t="shared" si="1"/>
        <v>6A</v>
      </c>
      <c r="F2503" s="47" t="s">
        <v>4054</v>
      </c>
      <c r="G2503" s="47" t="s">
        <v>1064</v>
      </c>
      <c r="H2503" s="48">
        <f>IF(NOT(ISBLANK(vlookup(B2503,Pop_Census_2023!$A$2:$E$3220,4,FALSE))),vlookup(B2503,Pop_Census_2023!$A$2:$E$3220,4,FALSE), vlookup(B2503,Pop_Census_2023!$A$2:$E$3220,5,FALSE))</f>
        <v>115903</v>
      </c>
    </row>
    <row r="2504">
      <c r="A2504" s="47" t="s">
        <v>3458</v>
      </c>
      <c r="B2504" s="47">
        <v>46105.0</v>
      </c>
      <c r="C2504" s="47">
        <v>6.0</v>
      </c>
      <c r="D2504" s="47" t="s">
        <v>4044</v>
      </c>
      <c r="E2504" s="47" t="str">
        <f t="shared" si="1"/>
        <v>6A</v>
      </c>
      <c r="F2504" s="47" t="s">
        <v>4054</v>
      </c>
      <c r="G2504" s="47" t="s">
        <v>1231</v>
      </c>
      <c r="H2504" s="48">
        <f>IF(NOT(ISBLANK(vlookup(B2504,Pop_Census_2023!$A$2:$E$3220,4,FALSE))),vlookup(B2504,Pop_Census_2023!$A$2:$E$3220,4,FALSE), vlookup(B2504,Pop_Census_2023!$A$2:$E$3220,5,FALSE))</f>
        <v>2834</v>
      </c>
    </row>
    <row r="2505">
      <c r="A2505" s="47" t="s">
        <v>3458</v>
      </c>
      <c r="B2505" s="47">
        <v>46107.0</v>
      </c>
      <c r="C2505" s="47">
        <v>6.0</v>
      </c>
      <c r="D2505" s="47" t="s">
        <v>4044</v>
      </c>
      <c r="E2505" s="47" t="str">
        <f t="shared" si="1"/>
        <v>6A</v>
      </c>
      <c r="F2505" s="47" t="s">
        <v>4054</v>
      </c>
      <c r="G2505" s="47" t="s">
        <v>1540</v>
      </c>
      <c r="H2505" s="48">
        <f>IF(NOT(ISBLANK(vlookup(B2505,Pop_Census_2023!$A$2:$E$3220,4,FALSE))),vlookup(B2505,Pop_Census_2023!$A$2:$E$3220,4,FALSE), vlookup(B2505,Pop_Census_2023!$A$2:$E$3220,5,FALSE))</f>
        <v>2413</v>
      </c>
    </row>
    <row r="2506">
      <c r="A2506" s="47" t="s">
        <v>3458</v>
      </c>
      <c r="B2506" s="47">
        <v>46109.0</v>
      </c>
      <c r="C2506" s="47">
        <v>6.0</v>
      </c>
      <c r="D2506" s="47" t="s">
        <v>4044</v>
      </c>
      <c r="E2506" s="47" t="str">
        <f t="shared" si="1"/>
        <v>6A</v>
      </c>
      <c r="F2506" s="47" t="s">
        <v>4054</v>
      </c>
      <c r="G2506" s="47" t="s">
        <v>1607</v>
      </c>
      <c r="H2506" s="48">
        <f>IF(NOT(ISBLANK(vlookup(B2506,Pop_Census_2023!$A$2:$E$3220,4,FALSE))),vlookup(B2506,Pop_Census_2023!$A$2:$E$3220,4,FALSE), vlookup(B2506,Pop_Census_2023!$A$2:$E$3220,5,FALSE))</f>
        <v>10206</v>
      </c>
    </row>
    <row r="2507">
      <c r="A2507" s="47" t="s">
        <v>3458</v>
      </c>
      <c r="B2507" s="47">
        <v>46111.0</v>
      </c>
      <c r="C2507" s="47">
        <v>6.0</v>
      </c>
      <c r="D2507" s="47" t="s">
        <v>4044</v>
      </c>
      <c r="E2507" s="47" t="str">
        <f t="shared" si="1"/>
        <v>6A</v>
      </c>
      <c r="F2507" s="47" t="s">
        <v>4054</v>
      </c>
      <c r="G2507" s="47" t="s">
        <v>1608</v>
      </c>
      <c r="H2507" s="48">
        <f>IF(NOT(ISBLANK(vlookup(B2507,Pop_Census_2023!$A$2:$E$3220,4,FALSE))),vlookup(B2507,Pop_Census_2023!$A$2:$E$3220,4,FALSE), vlookup(B2507,Pop_Census_2023!$A$2:$E$3220,5,FALSE))</f>
        <v>2399</v>
      </c>
    </row>
    <row r="2508">
      <c r="A2508" s="47" t="s">
        <v>3458</v>
      </c>
      <c r="B2508" s="47">
        <v>46115.0</v>
      </c>
      <c r="C2508" s="47">
        <v>6.0</v>
      </c>
      <c r="D2508" s="47" t="s">
        <v>4044</v>
      </c>
      <c r="E2508" s="47" t="str">
        <f t="shared" si="1"/>
        <v>6A</v>
      </c>
      <c r="F2508" s="47" t="s">
        <v>4054</v>
      </c>
      <c r="G2508" s="47" t="s">
        <v>1609</v>
      </c>
      <c r="H2508" s="48">
        <f>IF(NOT(ISBLANK(vlookup(B2508,Pop_Census_2023!$A$2:$E$3220,4,FALSE))),vlookup(B2508,Pop_Census_2023!$A$2:$E$3220,4,FALSE), vlookup(B2508,Pop_Census_2023!$A$2:$E$3220,5,FALSE))</f>
        <v>6166</v>
      </c>
    </row>
    <row r="2509">
      <c r="A2509" s="47" t="s">
        <v>3458</v>
      </c>
      <c r="B2509" s="47">
        <v>46117.0</v>
      </c>
      <c r="C2509" s="47">
        <v>6.0</v>
      </c>
      <c r="D2509" s="47" t="s">
        <v>4044</v>
      </c>
      <c r="E2509" s="47" t="str">
        <f t="shared" si="1"/>
        <v>6A</v>
      </c>
      <c r="F2509" s="47" t="s">
        <v>4054</v>
      </c>
      <c r="G2509" s="47" t="s">
        <v>1610</v>
      </c>
      <c r="H2509" s="48">
        <f>IF(NOT(ISBLANK(vlookup(B2509,Pop_Census_2023!$A$2:$E$3220,4,FALSE))),vlookup(B2509,Pop_Census_2023!$A$2:$E$3220,4,FALSE), vlookup(B2509,Pop_Census_2023!$A$2:$E$3220,5,FALSE))</f>
        <v>3043</v>
      </c>
    </row>
    <row r="2510">
      <c r="A2510" s="47" t="s">
        <v>3458</v>
      </c>
      <c r="B2510" s="47">
        <v>46119.0</v>
      </c>
      <c r="C2510" s="47">
        <v>6.0</v>
      </c>
      <c r="D2510" s="47" t="s">
        <v>4044</v>
      </c>
      <c r="E2510" s="47" t="str">
        <f t="shared" si="1"/>
        <v>6A</v>
      </c>
      <c r="F2510" s="47" t="s">
        <v>4054</v>
      </c>
      <c r="G2510" s="47" t="s">
        <v>1611</v>
      </c>
      <c r="H2510" s="48">
        <f>IF(NOT(ISBLANK(vlookup(B2510,Pop_Census_2023!$A$2:$E$3220,4,FALSE))),vlookup(B2510,Pop_Census_2023!$A$2:$E$3220,4,FALSE), vlookup(B2510,Pop_Census_2023!$A$2:$E$3220,5,FALSE))</f>
        <v>1494</v>
      </c>
    </row>
    <row r="2511">
      <c r="A2511" s="47" t="s">
        <v>3458</v>
      </c>
      <c r="B2511" s="47">
        <v>46121.0</v>
      </c>
      <c r="C2511" s="47">
        <v>5.0</v>
      </c>
      <c r="D2511" s="47" t="s">
        <v>4044</v>
      </c>
      <c r="E2511" s="47" t="str">
        <f t="shared" si="1"/>
        <v>5A</v>
      </c>
      <c r="F2511" s="47" t="s">
        <v>4054</v>
      </c>
      <c r="G2511" s="47" t="s">
        <v>870</v>
      </c>
      <c r="H2511" s="48">
        <f>IF(NOT(ISBLANK(vlookup(B2511,Pop_Census_2023!$A$2:$E$3220,4,FALSE))),vlookup(B2511,Pop_Census_2023!$A$2:$E$3220,4,FALSE), vlookup(B2511,Pop_Census_2023!$A$2:$E$3220,5,FALSE))</f>
        <v>9199</v>
      </c>
    </row>
    <row r="2512">
      <c r="A2512" s="47" t="s">
        <v>3458</v>
      </c>
      <c r="B2512" s="47">
        <v>46123.0</v>
      </c>
      <c r="C2512" s="47">
        <v>5.0</v>
      </c>
      <c r="D2512" s="47" t="s">
        <v>4044</v>
      </c>
      <c r="E2512" s="47" t="str">
        <f t="shared" si="1"/>
        <v>5A</v>
      </c>
      <c r="F2512" s="47" t="s">
        <v>4054</v>
      </c>
      <c r="G2512" s="47" t="s">
        <v>1612</v>
      </c>
      <c r="H2512" s="48">
        <f>IF(NOT(ISBLANK(vlookup(B2512,Pop_Census_2023!$A$2:$E$3220,4,FALSE))),vlookup(B2512,Pop_Census_2023!$A$2:$E$3220,4,FALSE), vlookup(B2512,Pop_Census_2023!$A$2:$E$3220,5,FALSE))</f>
        <v>5621</v>
      </c>
    </row>
    <row r="2513">
      <c r="A2513" s="47" t="s">
        <v>3458</v>
      </c>
      <c r="B2513" s="47">
        <v>46125.0</v>
      </c>
      <c r="C2513" s="47">
        <v>6.0</v>
      </c>
      <c r="D2513" s="47" t="s">
        <v>4044</v>
      </c>
      <c r="E2513" s="47" t="str">
        <f t="shared" si="1"/>
        <v>6A</v>
      </c>
      <c r="F2513" s="47" t="s">
        <v>4054</v>
      </c>
      <c r="G2513" s="47" t="s">
        <v>557</v>
      </c>
      <c r="H2513" s="48">
        <f>IF(NOT(ISBLANK(vlookup(B2513,Pop_Census_2023!$A$2:$E$3220,4,FALSE))),vlookup(B2513,Pop_Census_2023!$A$2:$E$3220,4,FALSE), vlookup(B2513,Pop_Census_2023!$A$2:$E$3220,5,FALSE))</f>
        <v>9027</v>
      </c>
    </row>
    <row r="2514">
      <c r="A2514" s="47" t="s">
        <v>3458</v>
      </c>
      <c r="B2514" s="47">
        <v>46127.0</v>
      </c>
      <c r="C2514" s="47">
        <v>5.0</v>
      </c>
      <c r="D2514" s="47" t="s">
        <v>4044</v>
      </c>
      <c r="E2514" s="47" t="str">
        <f t="shared" si="1"/>
        <v>5A</v>
      </c>
      <c r="F2514" s="47" t="s">
        <v>4054</v>
      </c>
      <c r="G2514" s="47" t="s">
        <v>273</v>
      </c>
      <c r="H2514" s="48">
        <f>IF(NOT(ISBLANK(vlookup(B2514,Pop_Census_2023!$A$2:$E$3220,4,FALSE))),vlookup(B2514,Pop_Census_2023!$A$2:$E$3220,4,FALSE), vlookup(B2514,Pop_Census_2023!$A$2:$E$3220,5,FALSE))</f>
        <v>17183</v>
      </c>
    </row>
    <row r="2515">
      <c r="A2515" s="47" t="s">
        <v>3458</v>
      </c>
      <c r="B2515" s="47">
        <v>46129.0</v>
      </c>
      <c r="C2515" s="47">
        <v>6.0</v>
      </c>
      <c r="D2515" s="47" t="s">
        <v>4044</v>
      </c>
      <c r="E2515" s="47" t="str">
        <f t="shared" si="1"/>
        <v>6A</v>
      </c>
      <c r="F2515" s="47" t="s">
        <v>4054</v>
      </c>
      <c r="G2515" s="47" t="s">
        <v>1613</v>
      </c>
      <c r="H2515" s="48">
        <f>IF(NOT(ISBLANK(vlookup(B2515,Pop_Census_2023!$A$2:$E$3220,4,FALSE))),vlookup(B2515,Pop_Census_2023!$A$2:$E$3220,4,FALSE), vlookup(B2515,Pop_Census_2023!$A$2:$E$3220,5,FALSE))</f>
        <v>5269</v>
      </c>
    </row>
    <row r="2516">
      <c r="A2516" s="47" t="s">
        <v>3458</v>
      </c>
      <c r="B2516" s="47">
        <v>46135.0</v>
      </c>
      <c r="C2516" s="47">
        <v>5.0</v>
      </c>
      <c r="D2516" s="47" t="s">
        <v>4044</v>
      </c>
      <c r="E2516" s="47" t="str">
        <f t="shared" si="1"/>
        <v>5A</v>
      </c>
      <c r="F2516" s="47" t="s">
        <v>4054</v>
      </c>
      <c r="G2516" s="47" t="s">
        <v>1614</v>
      </c>
      <c r="H2516" s="48">
        <f>IF(NOT(ISBLANK(vlookup(B2516,Pop_Census_2023!$A$2:$E$3220,4,FALSE))),vlookup(B2516,Pop_Census_2023!$A$2:$E$3220,4,FALSE), vlookup(B2516,Pop_Census_2023!$A$2:$E$3220,5,FALSE))</f>
        <v>23517</v>
      </c>
    </row>
    <row r="2517">
      <c r="A2517" s="47" t="s">
        <v>3458</v>
      </c>
      <c r="B2517" s="47">
        <v>46137.0</v>
      </c>
      <c r="C2517" s="47">
        <v>6.0</v>
      </c>
      <c r="D2517" s="47" t="s">
        <v>4044</v>
      </c>
      <c r="E2517" s="47" t="str">
        <f t="shared" si="1"/>
        <v>6A</v>
      </c>
      <c r="F2517" s="47" t="s">
        <v>4054</v>
      </c>
      <c r="G2517" s="47" t="s">
        <v>1615</v>
      </c>
      <c r="H2517" s="48">
        <f>IF(NOT(ISBLANK(vlookup(B2517,Pop_Census_2023!$A$2:$E$3220,4,FALSE))),vlookup(B2517,Pop_Census_2023!$A$2:$E$3220,4,FALSE), vlookup(B2517,Pop_Census_2023!$A$2:$E$3220,5,FALSE))</f>
        <v>2322</v>
      </c>
    </row>
    <row r="2518">
      <c r="A2518" s="47" t="s">
        <v>3497</v>
      </c>
      <c r="B2518" s="47">
        <v>47001.0</v>
      </c>
      <c r="C2518" s="47">
        <v>4.0</v>
      </c>
      <c r="D2518" s="47" t="s">
        <v>4044</v>
      </c>
      <c r="E2518" s="47" t="str">
        <f t="shared" si="1"/>
        <v>4A</v>
      </c>
      <c r="F2518" s="47" t="s">
        <v>4046</v>
      </c>
      <c r="G2518" s="47" t="s">
        <v>751</v>
      </c>
      <c r="H2518" s="48">
        <f>IF(NOT(ISBLANK(vlookup(B2518,Pop_Census_2023!$A$2:$E$3220,4,FALSE))),vlookup(B2518,Pop_Census_2023!$A$2:$E$3220,4,FALSE), vlookup(B2518,Pop_Census_2023!$A$2:$E$3220,5,FALSE))</f>
        <v>80234</v>
      </c>
    </row>
    <row r="2519">
      <c r="A2519" s="47" t="s">
        <v>3497</v>
      </c>
      <c r="B2519" s="47">
        <v>47003.0</v>
      </c>
      <c r="C2519" s="47">
        <v>4.0</v>
      </c>
      <c r="D2519" s="47" t="s">
        <v>4044</v>
      </c>
      <c r="E2519" s="47" t="str">
        <f t="shared" si="1"/>
        <v>4A</v>
      </c>
      <c r="F2519" s="47" t="s">
        <v>4046</v>
      </c>
      <c r="G2519" s="47" t="s">
        <v>1517</v>
      </c>
      <c r="H2519" s="48">
        <f>IF(NOT(ISBLANK(vlookup(B2519,Pop_Census_2023!$A$2:$E$3220,4,FALSE))),vlookup(B2519,Pop_Census_2023!$A$2:$E$3220,4,FALSE), vlookup(B2519,Pop_Census_2023!$A$2:$E$3220,5,FALSE))</f>
        <v>53055</v>
      </c>
    </row>
    <row r="2520">
      <c r="A2520" s="47" t="s">
        <v>3497</v>
      </c>
      <c r="B2520" s="47">
        <v>47005.0</v>
      </c>
      <c r="C2520" s="47">
        <v>4.0</v>
      </c>
      <c r="D2520" s="47" t="s">
        <v>4044</v>
      </c>
      <c r="E2520" s="47" t="str">
        <f t="shared" si="1"/>
        <v>4A</v>
      </c>
      <c r="F2520" s="47" t="s">
        <v>4046</v>
      </c>
      <c r="G2520" s="47" t="s">
        <v>224</v>
      </c>
      <c r="H2520" s="48">
        <f>IF(NOT(ISBLANK(vlookup(B2520,Pop_Census_2023!$A$2:$E$3220,4,FALSE))),vlookup(B2520,Pop_Census_2023!$A$2:$E$3220,4,FALSE), vlookup(B2520,Pop_Census_2023!$A$2:$E$3220,5,FALSE))</f>
        <v>16103</v>
      </c>
    </row>
    <row r="2521">
      <c r="A2521" s="47" t="s">
        <v>3497</v>
      </c>
      <c r="B2521" s="47">
        <v>47007.0</v>
      </c>
      <c r="C2521" s="47">
        <v>4.0</v>
      </c>
      <c r="D2521" s="47" t="s">
        <v>4044</v>
      </c>
      <c r="E2521" s="47" t="str">
        <f t="shared" si="1"/>
        <v>4A</v>
      </c>
      <c r="F2521" s="47" t="s">
        <v>4046</v>
      </c>
      <c r="G2521" s="47" t="s">
        <v>1617</v>
      </c>
      <c r="H2521" s="48">
        <f>IF(NOT(ISBLANK(vlookup(B2521,Pop_Census_2023!$A$2:$E$3220,4,FALSE))),vlookup(B2521,Pop_Census_2023!$A$2:$E$3220,4,FALSE), vlookup(B2521,Pop_Census_2023!$A$2:$E$3220,5,FALSE))</f>
        <v>15060</v>
      </c>
    </row>
    <row r="2522">
      <c r="A2522" s="47" t="s">
        <v>3497</v>
      </c>
      <c r="B2522" s="47">
        <v>47009.0</v>
      </c>
      <c r="C2522" s="47">
        <v>4.0</v>
      </c>
      <c r="D2522" s="47" t="s">
        <v>4044</v>
      </c>
      <c r="E2522" s="47" t="str">
        <f t="shared" si="1"/>
        <v>4A</v>
      </c>
      <c r="F2522" s="47" t="s">
        <v>4046</v>
      </c>
      <c r="G2522" s="47" t="s">
        <v>107</v>
      </c>
      <c r="H2522" s="48">
        <f>IF(NOT(ISBLANK(vlookup(B2522,Pop_Census_2023!$A$2:$E$3220,4,FALSE))),vlookup(B2522,Pop_Census_2023!$A$2:$E$3220,4,FALSE), vlookup(B2522,Pop_Census_2023!$A$2:$E$3220,5,FALSE))</f>
        <v>141456</v>
      </c>
    </row>
    <row r="2523">
      <c r="A2523" s="47" t="s">
        <v>3497</v>
      </c>
      <c r="B2523" s="47">
        <v>47011.0</v>
      </c>
      <c r="C2523" s="47">
        <v>4.0</v>
      </c>
      <c r="D2523" s="47" t="s">
        <v>4044</v>
      </c>
      <c r="E2523" s="47" t="str">
        <f t="shared" si="1"/>
        <v>4A</v>
      </c>
      <c r="F2523" s="47" t="s">
        <v>4046</v>
      </c>
      <c r="G2523" s="47" t="s">
        <v>226</v>
      </c>
      <c r="H2523" s="48">
        <f>IF(NOT(ISBLANK(vlookup(B2523,Pop_Census_2023!$A$2:$E$3220,4,FALSE))),vlookup(B2523,Pop_Census_2023!$A$2:$E$3220,4,FALSE), vlookup(B2523,Pop_Census_2023!$A$2:$E$3220,5,FALSE))</f>
        <v>111579</v>
      </c>
    </row>
    <row r="2524">
      <c r="A2524" s="47" t="s">
        <v>3497</v>
      </c>
      <c r="B2524" s="47">
        <v>47013.0</v>
      </c>
      <c r="C2524" s="47">
        <v>4.0</v>
      </c>
      <c r="D2524" s="47" t="s">
        <v>4044</v>
      </c>
      <c r="E2524" s="47" t="str">
        <f t="shared" si="1"/>
        <v>4A</v>
      </c>
      <c r="F2524" s="47" t="s">
        <v>4046</v>
      </c>
      <c r="G2524" s="47" t="s">
        <v>831</v>
      </c>
      <c r="H2524" s="48">
        <f>IF(NOT(ISBLANK(vlookup(B2524,Pop_Census_2023!$A$2:$E$3220,4,FALSE))),vlookup(B2524,Pop_Census_2023!$A$2:$E$3220,4,FALSE), vlookup(B2524,Pop_Census_2023!$A$2:$E$3220,5,FALSE))</f>
        <v>40223</v>
      </c>
    </row>
    <row r="2525">
      <c r="A2525" s="47" t="s">
        <v>3497</v>
      </c>
      <c r="B2525" s="47">
        <v>47015.0</v>
      </c>
      <c r="C2525" s="47">
        <v>4.0</v>
      </c>
      <c r="D2525" s="47" t="s">
        <v>4044</v>
      </c>
      <c r="E2525" s="47" t="str">
        <f t="shared" si="1"/>
        <v>4A</v>
      </c>
      <c r="F2525" s="47" t="s">
        <v>4046</v>
      </c>
      <c r="G2525" s="47" t="s">
        <v>1618</v>
      </c>
      <c r="H2525" s="48">
        <f>IF(NOT(ISBLANK(vlookup(B2525,Pop_Census_2023!$A$2:$E$3220,4,FALSE))),vlookup(B2525,Pop_Census_2023!$A$2:$E$3220,4,FALSE), vlookup(B2525,Pop_Census_2023!$A$2:$E$3220,5,FALSE))</f>
        <v>15063</v>
      </c>
    </row>
    <row r="2526">
      <c r="A2526" s="47" t="s">
        <v>3497</v>
      </c>
      <c r="B2526" s="47">
        <v>47017.0</v>
      </c>
      <c r="C2526" s="47">
        <v>4.0</v>
      </c>
      <c r="D2526" s="47" t="s">
        <v>4044</v>
      </c>
      <c r="E2526" s="47" t="str">
        <f t="shared" si="1"/>
        <v>4A</v>
      </c>
      <c r="F2526" s="47" t="s">
        <v>4046</v>
      </c>
      <c r="G2526" s="47" t="s">
        <v>227</v>
      </c>
      <c r="H2526" s="48">
        <f>IF(NOT(ISBLANK(vlookup(B2526,Pop_Census_2023!$A$2:$E$3220,4,FALSE))),vlookup(B2526,Pop_Census_2023!$A$2:$E$3220,4,FALSE), vlookup(B2526,Pop_Census_2023!$A$2:$E$3220,5,FALSE))</f>
        <v>28860</v>
      </c>
    </row>
    <row r="2527">
      <c r="A2527" s="47" t="s">
        <v>3497</v>
      </c>
      <c r="B2527" s="47">
        <v>47019.0</v>
      </c>
      <c r="C2527" s="47">
        <v>4.0</v>
      </c>
      <c r="D2527" s="47" t="s">
        <v>4044</v>
      </c>
      <c r="E2527" s="47" t="str">
        <f t="shared" si="1"/>
        <v>4A</v>
      </c>
      <c r="F2527" s="47" t="s">
        <v>4046</v>
      </c>
      <c r="G2527" s="47" t="s">
        <v>833</v>
      </c>
      <c r="H2527" s="48">
        <f>IF(NOT(ISBLANK(vlookup(B2527,Pop_Census_2023!$A$2:$E$3220,4,FALSE))),vlookup(B2527,Pop_Census_2023!$A$2:$E$3220,4,FALSE), vlookup(B2527,Pop_Census_2023!$A$2:$E$3220,5,FALSE))</f>
        <v>57022</v>
      </c>
    </row>
    <row r="2528">
      <c r="A2528" s="47" t="s">
        <v>3497</v>
      </c>
      <c r="B2528" s="47">
        <v>47021.0</v>
      </c>
      <c r="C2528" s="47">
        <v>4.0</v>
      </c>
      <c r="D2528" s="47" t="s">
        <v>4044</v>
      </c>
      <c r="E2528" s="47" t="str">
        <f t="shared" si="1"/>
        <v>4A</v>
      </c>
      <c r="F2528" s="47" t="s">
        <v>4046</v>
      </c>
      <c r="G2528" s="47" t="s">
        <v>1619</v>
      </c>
      <c r="H2528" s="48">
        <f>IF(NOT(ISBLANK(vlookup(B2528,Pop_Census_2023!$A$2:$E$3220,4,FALSE))),vlookup(B2528,Pop_Census_2023!$A$2:$E$3220,4,FALSE), vlookup(B2528,Pop_Census_2023!$A$2:$E$3220,5,FALSE))</f>
        <v>42254</v>
      </c>
    </row>
    <row r="2529">
      <c r="A2529" s="47" t="s">
        <v>3497</v>
      </c>
      <c r="B2529" s="47">
        <v>47023.0</v>
      </c>
      <c r="C2529" s="47">
        <v>3.0</v>
      </c>
      <c r="D2529" s="47" t="s">
        <v>4044</v>
      </c>
      <c r="E2529" s="47" t="str">
        <f t="shared" si="1"/>
        <v>3A</v>
      </c>
      <c r="F2529" s="47" t="s">
        <v>4046</v>
      </c>
      <c r="G2529" s="47" t="s">
        <v>1523</v>
      </c>
      <c r="H2529" s="48">
        <f>IF(NOT(ISBLANK(vlookup(B2529,Pop_Census_2023!$A$2:$E$3220,4,FALSE))),vlookup(B2529,Pop_Census_2023!$A$2:$E$3220,4,FALSE), vlookup(B2529,Pop_Census_2023!$A$2:$E$3220,5,FALSE))</f>
        <v>17606</v>
      </c>
    </row>
    <row r="2530">
      <c r="A2530" s="47" t="s">
        <v>3497</v>
      </c>
      <c r="B2530" s="47">
        <v>47025.0</v>
      </c>
      <c r="C2530" s="47">
        <v>4.0</v>
      </c>
      <c r="D2530" s="47" t="s">
        <v>4044</v>
      </c>
      <c r="E2530" s="47" t="str">
        <f t="shared" si="1"/>
        <v>4A</v>
      </c>
      <c r="F2530" s="47" t="s">
        <v>4046</v>
      </c>
      <c r="G2530" s="47" t="s">
        <v>886</v>
      </c>
      <c r="H2530" s="48">
        <f>IF(NOT(ISBLANK(vlookup(B2530,Pop_Census_2023!$A$2:$E$3220,4,FALSE))),vlookup(B2530,Pop_Census_2023!$A$2:$E$3220,4,FALSE), vlookup(B2530,Pop_Census_2023!$A$2:$E$3220,5,FALSE))</f>
        <v>32654</v>
      </c>
    </row>
    <row r="2531">
      <c r="A2531" s="47" t="s">
        <v>3497</v>
      </c>
      <c r="B2531" s="47">
        <v>47027.0</v>
      </c>
      <c r="C2531" s="47">
        <v>4.0</v>
      </c>
      <c r="D2531" s="47" t="s">
        <v>4044</v>
      </c>
      <c r="E2531" s="47" t="str">
        <f t="shared" si="1"/>
        <v>4A</v>
      </c>
      <c r="F2531" s="47" t="s">
        <v>4046</v>
      </c>
      <c r="G2531" s="47" t="s">
        <v>116</v>
      </c>
      <c r="H2531" s="48">
        <f>IF(NOT(ISBLANK(vlookup(B2531,Pop_Census_2023!$A$2:$E$3220,4,FALSE))),vlookup(B2531,Pop_Census_2023!$A$2:$E$3220,4,FALSE), vlookup(B2531,Pop_Census_2023!$A$2:$E$3220,5,FALSE))</f>
        <v>7714</v>
      </c>
    </row>
    <row r="2532">
      <c r="A2532" s="47" t="s">
        <v>3497</v>
      </c>
      <c r="B2532" s="47">
        <v>47029.0</v>
      </c>
      <c r="C2532" s="47">
        <v>4.0</v>
      </c>
      <c r="D2532" s="47" t="s">
        <v>4044</v>
      </c>
      <c r="E2532" s="47" t="str">
        <f t="shared" si="1"/>
        <v>4A</v>
      </c>
      <c r="F2532" s="47" t="s">
        <v>4046</v>
      </c>
      <c r="G2532" s="47" t="s">
        <v>1620</v>
      </c>
      <c r="H2532" s="48">
        <f>IF(NOT(ISBLANK(vlookup(B2532,Pop_Census_2023!$A$2:$E$3220,4,FALSE))),vlookup(B2532,Pop_Census_2023!$A$2:$E$3220,4,FALSE), vlookup(B2532,Pop_Census_2023!$A$2:$E$3220,5,FALSE))</f>
        <v>37404</v>
      </c>
    </row>
    <row r="2533">
      <c r="A2533" s="47" t="s">
        <v>3497</v>
      </c>
      <c r="B2533" s="47">
        <v>47031.0</v>
      </c>
      <c r="C2533" s="47">
        <v>4.0</v>
      </c>
      <c r="D2533" s="47" t="s">
        <v>4044</v>
      </c>
      <c r="E2533" s="47" t="str">
        <f t="shared" si="1"/>
        <v>4A</v>
      </c>
      <c r="F2533" s="47" t="s">
        <v>4046</v>
      </c>
      <c r="G2533" s="47" t="s">
        <v>118</v>
      </c>
      <c r="H2533" s="48">
        <f>IF(NOT(ISBLANK(vlookup(B2533,Pop_Census_2023!$A$2:$E$3220,4,FALSE))),vlookup(B2533,Pop_Census_2023!$A$2:$E$3220,4,FALSE), vlookup(B2533,Pop_Census_2023!$A$2:$E$3220,5,FALSE))</f>
        <v>60633</v>
      </c>
    </row>
    <row r="2534">
      <c r="A2534" s="47" t="s">
        <v>3497</v>
      </c>
      <c r="B2534" s="47">
        <v>47033.0</v>
      </c>
      <c r="C2534" s="47">
        <v>3.0</v>
      </c>
      <c r="D2534" s="47" t="s">
        <v>4044</v>
      </c>
      <c r="E2534" s="47" t="str">
        <f t="shared" si="1"/>
        <v>3A</v>
      </c>
      <c r="F2534" s="47" t="s">
        <v>4046</v>
      </c>
      <c r="G2534" s="47" t="s">
        <v>1621</v>
      </c>
      <c r="H2534" s="48">
        <f>IF(NOT(ISBLANK(vlookup(B2534,Pop_Census_2023!$A$2:$E$3220,4,FALSE))),vlookup(B2534,Pop_Census_2023!$A$2:$E$3220,4,FALSE), vlookup(B2534,Pop_Census_2023!$A$2:$E$3220,5,FALSE))</f>
        <v>13982</v>
      </c>
    </row>
    <row r="2535">
      <c r="A2535" s="47" t="s">
        <v>3497</v>
      </c>
      <c r="B2535" s="47">
        <v>47035.0</v>
      </c>
      <c r="C2535" s="47">
        <v>4.0</v>
      </c>
      <c r="D2535" s="47" t="s">
        <v>4044</v>
      </c>
      <c r="E2535" s="47" t="str">
        <f t="shared" si="1"/>
        <v>4A</v>
      </c>
      <c r="F2535" s="47" t="s">
        <v>4046</v>
      </c>
      <c r="G2535" s="47" t="s">
        <v>618</v>
      </c>
      <c r="H2535" s="48">
        <f>IF(NOT(ISBLANK(vlookup(B2535,Pop_Census_2023!$A$2:$E$3220,4,FALSE))),vlookup(B2535,Pop_Census_2023!$A$2:$E$3220,4,FALSE), vlookup(B2535,Pop_Census_2023!$A$2:$E$3220,5,FALSE))</f>
        <v>64760</v>
      </c>
    </row>
    <row r="2536">
      <c r="A2536" s="47" t="s">
        <v>3497</v>
      </c>
      <c r="B2536" s="47">
        <v>47037.0</v>
      </c>
      <c r="C2536" s="47">
        <v>4.0</v>
      </c>
      <c r="D2536" s="47" t="s">
        <v>4044</v>
      </c>
      <c r="E2536" s="47" t="str">
        <f t="shared" si="1"/>
        <v>4A</v>
      </c>
      <c r="F2536" s="47" t="s">
        <v>4046</v>
      </c>
      <c r="G2536" s="47" t="s">
        <v>1345</v>
      </c>
      <c r="H2536" s="48">
        <f>IF(NOT(ISBLANK(vlookup(B2536,Pop_Census_2023!$A$2:$E$3220,4,FALSE))),vlookup(B2536,Pop_Census_2023!$A$2:$E$3220,4,FALSE), vlookup(B2536,Pop_Census_2023!$A$2:$E$3220,5,FALSE))</f>
        <v>712334</v>
      </c>
    </row>
    <row r="2537">
      <c r="A2537" s="47" t="s">
        <v>3497</v>
      </c>
      <c r="B2537" s="47">
        <v>47039.0</v>
      </c>
      <c r="C2537" s="47">
        <v>4.0</v>
      </c>
      <c r="D2537" s="47" t="s">
        <v>4044</v>
      </c>
      <c r="E2537" s="47" t="str">
        <f t="shared" si="1"/>
        <v>4A</v>
      </c>
      <c r="F2537" s="47" t="s">
        <v>4046</v>
      </c>
      <c r="G2537" s="47" t="s">
        <v>492</v>
      </c>
      <c r="H2537" s="48">
        <f>IF(NOT(ISBLANK(vlookup(B2537,Pop_Census_2023!$A$2:$E$3220,4,FALSE))),vlookup(B2537,Pop_Census_2023!$A$2:$E$3220,4,FALSE), vlookup(B2537,Pop_Census_2023!$A$2:$E$3220,5,FALSE))</f>
        <v>11656</v>
      </c>
    </row>
    <row r="2538">
      <c r="A2538" s="47" t="s">
        <v>3497</v>
      </c>
      <c r="B2538" s="47">
        <v>47041.0</v>
      </c>
      <c r="C2538" s="47">
        <v>4.0</v>
      </c>
      <c r="D2538" s="47" t="s">
        <v>4044</v>
      </c>
      <c r="E2538" s="47" t="str">
        <f t="shared" si="1"/>
        <v>4A</v>
      </c>
      <c r="F2538" s="47" t="s">
        <v>4046</v>
      </c>
      <c r="G2538" s="47" t="s">
        <v>127</v>
      </c>
      <c r="H2538" s="48">
        <f>IF(NOT(ISBLANK(vlookup(B2538,Pop_Census_2023!$A$2:$E$3220,4,FALSE))),vlookup(B2538,Pop_Census_2023!$A$2:$E$3220,4,FALSE), vlookup(B2538,Pop_Census_2023!$A$2:$E$3220,5,FALSE))</f>
        <v>21225</v>
      </c>
    </row>
    <row r="2539">
      <c r="A2539" s="47" t="s">
        <v>3497</v>
      </c>
      <c r="B2539" s="47">
        <v>47043.0</v>
      </c>
      <c r="C2539" s="47">
        <v>4.0</v>
      </c>
      <c r="D2539" s="47" t="s">
        <v>4044</v>
      </c>
      <c r="E2539" s="47" t="str">
        <f t="shared" si="1"/>
        <v>4A</v>
      </c>
      <c r="F2539" s="47" t="s">
        <v>4046</v>
      </c>
      <c r="G2539" s="47" t="s">
        <v>1622</v>
      </c>
      <c r="H2539" s="48">
        <f>IF(NOT(ISBLANK(vlookup(B2539,Pop_Census_2023!$A$2:$E$3220,4,FALSE))),vlookup(B2539,Pop_Census_2023!$A$2:$E$3220,4,FALSE), vlookup(B2539,Pop_Census_2023!$A$2:$E$3220,5,FALSE))</f>
        <v>56729</v>
      </c>
    </row>
    <row r="2540">
      <c r="A2540" s="47" t="s">
        <v>3497</v>
      </c>
      <c r="B2540" s="47">
        <v>47045.0</v>
      </c>
      <c r="C2540" s="47">
        <v>3.0</v>
      </c>
      <c r="D2540" s="47" t="s">
        <v>4044</v>
      </c>
      <c r="E2540" s="47" t="str">
        <f t="shared" si="1"/>
        <v>3A</v>
      </c>
      <c r="F2540" s="47" t="s">
        <v>4046</v>
      </c>
      <c r="G2540" s="47" t="s">
        <v>1623</v>
      </c>
      <c r="H2540" s="48">
        <f>IF(NOT(ISBLANK(vlookup(B2540,Pop_Census_2023!$A$2:$E$3220,4,FALSE))),vlookup(B2540,Pop_Census_2023!$A$2:$E$3220,4,FALSE), vlookup(B2540,Pop_Census_2023!$A$2:$E$3220,5,FALSE))</f>
        <v>36498</v>
      </c>
    </row>
    <row r="2541">
      <c r="A2541" s="47" t="s">
        <v>3497</v>
      </c>
      <c r="B2541" s="47">
        <v>47047.0</v>
      </c>
      <c r="C2541" s="47">
        <v>3.0</v>
      </c>
      <c r="D2541" s="47" t="s">
        <v>4044</v>
      </c>
      <c r="E2541" s="47" t="str">
        <f t="shared" si="1"/>
        <v>3A</v>
      </c>
      <c r="F2541" s="47" t="s">
        <v>4046</v>
      </c>
      <c r="G2541" s="47" t="s">
        <v>131</v>
      </c>
      <c r="H2541" s="48">
        <f>IF(NOT(ISBLANK(vlookup(B2541,Pop_Census_2023!$A$2:$E$3220,4,FALSE))),vlookup(B2541,Pop_Census_2023!$A$2:$E$3220,4,FALSE), vlookup(B2541,Pop_Census_2023!$A$2:$E$3220,5,FALSE))</f>
        <v>44175</v>
      </c>
    </row>
    <row r="2542">
      <c r="A2542" s="47" t="s">
        <v>3497</v>
      </c>
      <c r="B2542" s="47">
        <v>47049.0</v>
      </c>
      <c r="C2542" s="47">
        <v>4.0</v>
      </c>
      <c r="D2542" s="47" t="s">
        <v>4044</v>
      </c>
      <c r="E2542" s="47" t="str">
        <f t="shared" si="1"/>
        <v>4A</v>
      </c>
      <c r="F2542" s="47" t="s">
        <v>4046</v>
      </c>
      <c r="G2542" s="47" t="s">
        <v>1624</v>
      </c>
      <c r="H2542" s="48">
        <f>IF(NOT(ISBLANK(vlookup(B2542,Pop_Census_2023!$A$2:$E$3220,4,FALSE))),vlookup(B2542,Pop_Census_2023!$A$2:$E$3220,4,FALSE), vlookup(B2542,Pop_Census_2023!$A$2:$E$3220,5,FALSE))</f>
        <v>19696</v>
      </c>
    </row>
    <row r="2543">
      <c r="A2543" s="47" t="s">
        <v>3497</v>
      </c>
      <c r="B2543" s="47">
        <v>47051.0</v>
      </c>
      <c r="C2543" s="47">
        <v>4.0</v>
      </c>
      <c r="D2543" s="47" t="s">
        <v>4044</v>
      </c>
      <c r="E2543" s="47" t="str">
        <f t="shared" si="1"/>
        <v>4A</v>
      </c>
      <c r="F2543" s="47" t="s">
        <v>4046</v>
      </c>
      <c r="G2543" s="47" t="s">
        <v>132</v>
      </c>
      <c r="H2543" s="48">
        <f>IF(NOT(ISBLANK(vlookup(B2543,Pop_Census_2023!$A$2:$E$3220,4,FALSE))),vlookup(B2543,Pop_Census_2023!$A$2:$E$3220,4,FALSE), vlookup(B2543,Pop_Census_2023!$A$2:$E$3220,5,FALSE))</f>
        <v>44654</v>
      </c>
    </row>
    <row r="2544">
      <c r="A2544" s="47" t="s">
        <v>3497</v>
      </c>
      <c r="B2544" s="47">
        <v>47053.0</v>
      </c>
      <c r="C2544" s="47">
        <v>4.0</v>
      </c>
      <c r="D2544" s="47" t="s">
        <v>4044</v>
      </c>
      <c r="E2544" s="47" t="str">
        <f t="shared" si="1"/>
        <v>4A</v>
      </c>
      <c r="F2544" s="47" t="s">
        <v>4046</v>
      </c>
      <c r="G2544" s="47" t="s">
        <v>672</v>
      </c>
      <c r="H2544" s="48">
        <f>IF(NOT(ISBLANK(vlookup(B2544,Pop_Census_2023!$A$2:$E$3220,4,FALSE))),vlookup(B2544,Pop_Census_2023!$A$2:$E$3220,4,FALSE), vlookup(B2544,Pop_Census_2023!$A$2:$E$3220,5,FALSE))</f>
        <v>51045</v>
      </c>
    </row>
    <row r="2545">
      <c r="A2545" s="47" t="s">
        <v>3497</v>
      </c>
      <c r="B2545" s="47">
        <v>47055.0</v>
      </c>
      <c r="C2545" s="47">
        <v>4.0</v>
      </c>
      <c r="D2545" s="47" t="s">
        <v>4044</v>
      </c>
      <c r="E2545" s="47" t="str">
        <f t="shared" si="1"/>
        <v>4A</v>
      </c>
      <c r="F2545" s="47" t="s">
        <v>4046</v>
      </c>
      <c r="G2545" s="47" t="s">
        <v>1625</v>
      </c>
      <c r="H2545" s="48">
        <f>IF(NOT(ISBLANK(vlookup(B2545,Pop_Census_2023!$A$2:$E$3220,4,FALSE))),vlookup(B2545,Pop_Census_2023!$A$2:$E$3220,4,FALSE), vlookup(B2545,Pop_Census_2023!$A$2:$E$3220,5,FALSE))</f>
        <v>30721</v>
      </c>
    </row>
    <row r="2546">
      <c r="A2546" s="47" t="s">
        <v>3497</v>
      </c>
      <c r="B2546" s="47">
        <v>47057.0</v>
      </c>
      <c r="C2546" s="47">
        <v>4.0</v>
      </c>
      <c r="D2546" s="47" t="s">
        <v>4044</v>
      </c>
      <c r="E2546" s="47" t="str">
        <f t="shared" si="1"/>
        <v>4A</v>
      </c>
      <c r="F2546" s="47" t="s">
        <v>4046</v>
      </c>
      <c r="G2546" s="47" t="s">
        <v>1626</v>
      </c>
      <c r="H2546" s="48">
        <f>IF(NOT(ISBLANK(vlookup(B2546,Pop_Census_2023!$A$2:$E$3220,4,FALSE))),vlookup(B2546,Pop_Census_2023!$A$2:$E$3220,4,FALSE), vlookup(B2546,Pop_Census_2023!$A$2:$E$3220,5,FALSE))</f>
        <v>24681</v>
      </c>
    </row>
    <row r="2547">
      <c r="A2547" s="47" t="s">
        <v>3497</v>
      </c>
      <c r="B2547" s="47">
        <v>47059.0</v>
      </c>
      <c r="C2547" s="47">
        <v>4.0</v>
      </c>
      <c r="D2547" s="47" t="s">
        <v>4044</v>
      </c>
      <c r="E2547" s="47" t="str">
        <f t="shared" si="1"/>
        <v>4A</v>
      </c>
      <c r="F2547" s="47" t="s">
        <v>4046</v>
      </c>
      <c r="G2547" s="47" t="s">
        <v>134</v>
      </c>
      <c r="H2547" s="48">
        <f>IF(NOT(ISBLANK(vlookup(B2547,Pop_Census_2023!$A$2:$E$3220,4,FALSE))),vlookup(B2547,Pop_Census_2023!$A$2:$E$3220,4,FALSE), vlookup(B2547,Pop_Census_2023!$A$2:$E$3220,5,FALSE))</f>
        <v>72577</v>
      </c>
    </row>
    <row r="2548">
      <c r="A2548" s="47" t="s">
        <v>3497</v>
      </c>
      <c r="B2548" s="47">
        <v>47061.0</v>
      </c>
      <c r="C2548" s="47">
        <v>4.0</v>
      </c>
      <c r="D2548" s="47" t="s">
        <v>4044</v>
      </c>
      <c r="E2548" s="47" t="str">
        <f t="shared" si="1"/>
        <v>4A</v>
      </c>
      <c r="F2548" s="47" t="s">
        <v>4046</v>
      </c>
      <c r="G2548" s="47" t="s">
        <v>625</v>
      </c>
      <c r="H2548" s="48">
        <f>IF(NOT(ISBLANK(vlookup(B2548,Pop_Census_2023!$A$2:$E$3220,4,FALSE))),vlookup(B2548,Pop_Census_2023!$A$2:$E$3220,4,FALSE), vlookup(B2548,Pop_Census_2023!$A$2:$E$3220,5,FALSE))</f>
        <v>13955</v>
      </c>
    </row>
    <row r="2549">
      <c r="A2549" s="47" t="s">
        <v>3497</v>
      </c>
      <c r="B2549" s="47">
        <v>47063.0</v>
      </c>
      <c r="C2549" s="47">
        <v>4.0</v>
      </c>
      <c r="D2549" s="47" t="s">
        <v>4044</v>
      </c>
      <c r="E2549" s="47" t="str">
        <f t="shared" si="1"/>
        <v>4A</v>
      </c>
      <c r="F2549" s="47" t="s">
        <v>4046</v>
      </c>
      <c r="G2549" s="47" t="s">
        <v>1627</v>
      </c>
      <c r="H2549" s="48">
        <f>IF(NOT(ISBLANK(vlookup(B2549,Pop_Census_2023!$A$2:$E$3220,4,FALSE))),vlookup(B2549,Pop_Census_2023!$A$2:$E$3220,4,FALSE), vlookup(B2549,Pop_Census_2023!$A$2:$E$3220,5,FALSE))</f>
        <v>66216</v>
      </c>
    </row>
    <row r="2550">
      <c r="A2550" s="47" t="s">
        <v>3497</v>
      </c>
      <c r="B2550" s="47">
        <v>47065.0</v>
      </c>
      <c r="C2550" s="47">
        <v>4.0</v>
      </c>
      <c r="D2550" s="47" t="s">
        <v>4044</v>
      </c>
      <c r="E2550" s="47" t="str">
        <f t="shared" si="1"/>
        <v>4A</v>
      </c>
      <c r="F2550" s="47" t="s">
        <v>4046</v>
      </c>
      <c r="G2550" s="47" t="s">
        <v>428</v>
      </c>
      <c r="H2550" s="48">
        <f>IF(NOT(ISBLANK(vlookup(B2550,Pop_Census_2023!$A$2:$E$3220,4,FALSE))),vlookup(B2550,Pop_Census_2023!$A$2:$E$3220,4,FALSE), vlookup(B2550,Pop_Census_2023!$A$2:$E$3220,5,FALSE))</f>
        <v>379864</v>
      </c>
    </row>
    <row r="2551">
      <c r="A2551" s="47" t="s">
        <v>3497</v>
      </c>
      <c r="B2551" s="47">
        <v>47067.0</v>
      </c>
      <c r="C2551" s="47">
        <v>4.0</v>
      </c>
      <c r="D2551" s="47" t="s">
        <v>4044</v>
      </c>
      <c r="E2551" s="47" t="str">
        <f t="shared" si="1"/>
        <v>4A</v>
      </c>
      <c r="F2551" s="47" t="s">
        <v>4046</v>
      </c>
      <c r="G2551" s="47" t="s">
        <v>512</v>
      </c>
      <c r="H2551" s="48">
        <f>IF(NOT(ISBLANK(vlookup(B2551,Pop_Census_2023!$A$2:$E$3220,4,FALSE))),vlookup(B2551,Pop_Census_2023!$A$2:$E$3220,4,FALSE), vlookup(B2551,Pop_Census_2023!$A$2:$E$3220,5,FALSE))</f>
        <v>6956</v>
      </c>
    </row>
    <row r="2552">
      <c r="A2552" s="47" t="s">
        <v>3497</v>
      </c>
      <c r="B2552" s="47">
        <v>47069.0</v>
      </c>
      <c r="C2552" s="47">
        <v>3.0</v>
      </c>
      <c r="D2552" s="47" t="s">
        <v>4044</v>
      </c>
      <c r="E2552" s="47" t="str">
        <f t="shared" si="1"/>
        <v>3A</v>
      </c>
      <c r="F2552" s="47" t="s">
        <v>4046</v>
      </c>
      <c r="G2552" s="47" t="s">
        <v>1628</v>
      </c>
      <c r="H2552" s="48">
        <f>IF(NOT(ISBLANK(vlookup(B2552,Pop_Census_2023!$A$2:$E$3220,4,FALSE))),vlookup(B2552,Pop_Census_2023!$A$2:$E$3220,4,FALSE), vlookup(B2552,Pop_Census_2023!$A$2:$E$3220,5,FALSE))</f>
        <v>25567</v>
      </c>
    </row>
    <row r="2553">
      <c r="A2553" s="47" t="s">
        <v>3497</v>
      </c>
      <c r="B2553" s="47">
        <v>47071.0</v>
      </c>
      <c r="C2553" s="47">
        <v>3.0</v>
      </c>
      <c r="D2553" s="47" t="s">
        <v>4044</v>
      </c>
      <c r="E2553" s="47" t="str">
        <f t="shared" si="1"/>
        <v>3A</v>
      </c>
      <c r="F2553" s="47" t="s">
        <v>4046</v>
      </c>
      <c r="G2553" s="47" t="s">
        <v>626</v>
      </c>
      <c r="H2553" s="48">
        <f>IF(NOT(ISBLANK(vlookup(B2553,Pop_Census_2023!$A$2:$E$3220,4,FALSE))),vlookup(B2553,Pop_Census_2023!$A$2:$E$3220,4,FALSE), vlookup(B2553,Pop_Census_2023!$A$2:$E$3220,5,FALSE))</f>
        <v>27229</v>
      </c>
    </row>
    <row r="2554">
      <c r="A2554" s="47" t="s">
        <v>3497</v>
      </c>
      <c r="B2554" s="47">
        <v>47073.0</v>
      </c>
      <c r="C2554" s="47">
        <v>4.0</v>
      </c>
      <c r="D2554" s="47" t="s">
        <v>4044</v>
      </c>
      <c r="E2554" s="47" t="str">
        <f t="shared" si="1"/>
        <v>4A</v>
      </c>
      <c r="F2554" s="47" t="s">
        <v>4046</v>
      </c>
      <c r="G2554" s="47" t="s">
        <v>1629</v>
      </c>
      <c r="H2554" s="48">
        <f>IF(NOT(ISBLANK(vlookup(B2554,Pop_Census_2023!$A$2:$E$3220,4,FALSE))),vlookup(B2554,Pop_Census_2023!$A$2:$E$3220,4,FALSE), vlookup(B2554,Pop_Census_2023!$A$2:$E$3220,5,FALSE))</f>
        <v>58600</v>
      </c>
    </row>
    <row r="2555">
      <c r="A2555" s="47" t="s">
        <v>3497</v>
      </c>
      <c r="B2555" s="47">
        <v>47075.0</v>
      </c>
      <c r="C2555" s="47">
        <v>3.0</v>
      </c>
      <c r="D2555" s="47" t="s">
        <v>4044</v>
      </c>
      <c r="E2555" s="47" t="str">
        <f t="shared" si="1"/>
        <v>3A</v>
      </c>
      <c r="F2555" s="47" t="s">
        <v>4046</v>
      </c>
      <c r="G2555" s="47" t="s">
        <v>1356</v>
      </c>
      <c r="H2555" s="48">
        <f>IF(NOT(ISBLANK(vlookup(B2555,Pop_Census_2023!$A$2:$E$3220,4,FALSE))),vlookup(B2555,Pop_Census_2023!$A$2:$E$3220,4,FALSE), vlookup(B2555,Pop_Census_2023!$A$2:$E$3220,5,FALSE))</f>
        <v>17328</v>
      </c>
    </row>
    <row r="2556">
      <c r="A2556" s="47" t="s">
        <v>3497</v>
      </c>
      <c r="B2556" s="47">
        <v>47077.0</v>
      </c>
      <c r="C2556" s="47">
        <v>3.0</v>
      </c>
      <c r="D2556" s="47" t="s">
        <v>4044</v>
      </c>
      <c r="E2556" s="47" t="str">
        <f t="shared" si="1"/>
        <v>3A</v>
      </c>
      <c r="F2556" s="47" t="s">
        <v>4046</v>
      </c>
      <c r="G2556" s="47" t="s">
        <v>627</v>
      </c>
      <c r="H2556" s="48">
        <f>IF(NOT(ISBLANK(vlookup(B2556,Pop_Census_2023!$A$2:$E$3220,4,FALSE))),vlookup(B2556,Pop_Census_2023!$A$2:$E$3220,4,FALSE), vlookup(B2556,Pop_Census_2023!$A$2:$E$3220,5,FALSE))</f>
        <v>28070</v>
      </c>
    </row>
    <row r="2557">
      <c r="A2557" s="47" t="s">
        <v>3497</v>
      </c>
      <c r="B2557" s="47">
        <v>47079.0</v>
      </c>
      <c r="C2557" s="47">
        <v>4.0</v>
      </c>
      <c r="D2557" s="47" t="s">
        <v>4044</v>
      </c>
      <c r="E2557" s="47" t="str">
        <f t="shared" si="1"/>
        <v>4A</v>
      </c>
      <c r="F2557" s="47" t="s">
        <v>4046</v>
      </c>
      <c r="G2557" s="47" t="s">
        <v>136</v>
      </c>
      <c r="H2557" s="48">
        <f>IF(NOT(ISBLANK(vlookup(B2557,Pop_Census_2023!$A$2:$E$3220,4,FALSE))),vlookup(B2557,Pop_Census_2023!$A$2:$E$3220,4,FALSE), vlookup(B2557,Pop_Census_2023!$A$2:$E$3220,5,FALSE))</f>
        <v>32554</v>
      </c>
    </row>
    <row r="2558">
      <c r="A2558" s="47" t="s">
        <v>3497</v>
      </c>
      <c r="B2558" s="47">
        <v>47081.0</v>
      </c>
      <c r="C2558" s="47">
        <v>4.0</v>
      </c>
      <c r="D2558" s="47" t="s">
        <v>4044</v>
      </c>
      <c r="E2558" s="47" t="str">
        <f t="shared" si="1"/>
        <v>4A</v>
      </c>
      <c r="F2558" s="47" t="s">
        <v>4046</v>
      </c>
      <c r="G2558" s="47" t="s">
        <v>845</v>
      </c>
      <c r="H2558" s="48">
        <f>IF(NOT(ISBLANK(vlookup(B2558,Pop_Census_2023!$A$2:$E$3220,4,FALSE))),vlookup(B2558,Pop_Census_2023!$A$2:$E$3220,4,FALSE), vlookup(B2558,Pop_Census_2023!$A$2:$E$3220,5,FALSE))</f>
        <v>25826</v>
      </c>
    </row>
    <row r="2559">
      <c r="A2559" s="47" t="s">
        <v>3497</v>
      </c>
      <c r="B2559" s="47">
        <v>47083.0</v>
      </c>
      <c r="C2559" s="47">
        <v>4.0</v>
      </c>
      <c r="D2559" s="47" t="s">
        <v>4044</v>
      </c>
      <c r="E2559" s="47" t="str">
        <f t="shared" si="1"/>
        <v>4A</v>
      </c>
      <c r="F2559" s="47" t="s">
        <v>4046</v>
      </c>
      <c r="G2559" s="47" t="s">
        <v>137</v>
      </c>
      <c r="H2559" s="48">
        <f>IF(NOT(ISBLANK(vlookup(B2559,Pop_Census_2023!$A$2:$E$3220,4,FALSE))),vlookup(B2559,Pop_Census_2023!$A$2:$E$3220,4,FALSE), vlookup(B2559,Pop_Census_2023!$A$2:$E$3220,5,FALSE))</f>
        <v>8393</v>
      </c>
    </row>
    <row r="2560">
      <c r="A2560" s="47" t="s">
        <v>3497</v>
      </c>
      <c r="B2560" s="47">
        <v>47085.0</v>
      </c>
      <c r="C2560" s="47">
        <v>4.0</v>
      </c>
      <c r="D2560" s="47" t="s">
        <v>4044</v>
      </c>
      <c r="E2560" s="47" t="str">
        <f t="shared" si="1"/>
        <v>4A</v>
      </c>
      <c r="F2560" s="47" t="s">
        <v>4046</v>
      </c>
      <c r="G2560" s="47" t="s">
        <v>1097</v>
      </c>
      <c r="H2560" s="48">
        <f>IF(NOT(ISBLANK(vlookup(B2560,Pop_Census_2023!$A$2:$E$3220,4,FALSE))),vlookup(B2560,Pop_Census_2023!$A$2:$E$3220,4,FALSE), vlookup(B2560,Pop_Census_2023!$A$2:$E$3220,5,FALSE))</f>
        <v>19209</v>
      </c>
    </row>
    <row r="2561">
      <c r="A2561" s="47" t="s">
        <v>3497</v>
      </c>
      <c r="B2561" s="47">
        <v>47087.0</v>
      </c>
      <c r="C2561" s="47">
        <v>4.0</v>
      </c>
      <c r="D2561" s="47" t="s">
        <v>4044</v>
      </c>
      <c r="E2561" s="47" t="str">
        <f t="shared" si="1"/>
        <v>4A</v>
      </c>
      <c r="F2561" s="47" t="s">
        <v>4046</v>
      </c>
      <c r="G2561" s="47" t="s">
        <v>138</v>
      </c>
      <c r="H2561" s="48">
        <f>IF(NOT(ISBLANK(vlookup(B2561,Pop_Census_2023!$A$2:$E$3220,4,FALSE))),vlookup(B2561,Pop_Census_2023!$A$2:$E$3220,4,FALSE), vlookup(B2561,Pop_Census_2023!$A$2:$E$3220,5,FALSE))</f>
        <v>12363</v>
      </c>
    </row>
    <row r="2562">
      <c r="A2562" s="47" t="s">
        <v>3497</v>
      </c>
      <c r="B2562" s="47">
        <v>47089.0</v>
      </c>
      <c r="C2562" s="47">
        <v>4.0</v>
      </c>
      <c r="D2562" s="47" t="s">
        <v>4044</v>
      </c>
      <c r="E2562" s="47" t="str">
        <f t="shared" si="1"/>
        <v>4A</v>
      </c>
      <c r="F2562" s="47" t="s">
        <v>4046</v>
      </c>
      <c r="G2562" s="47" t="s">
        <v>139</v>
      </c>
      <c r="H2562" s="48">
        <f>IF(NOT(ISBLANK(vlookup(B2562,Pop_Census_2023!$A$2:$E$3220,4,FALSE))),vlookup(B2562,Pop_Census_2023!$A$2:$E$3220,4,FALSE), vlookup(B2562,Pop_Census_2023!$A$2:$E$3220,5,FALSE))</f>
        <v>57838</v>
      </c>
    </row>
    <row r="2563">
      <c r="A2563" s="47" t="s">
        <v>3497</v>
      </c>
      <c r="B2563" s="47">
        <v>47091.0</v>
      </c>
      <c r="C2563" s="47">
        <v>4.0</v>
      </c>
      <c r="D2563" s="47" t="s">
        <v>4044</v>
      </c>
      <c r="E2563" s="47" t="str">
        <f t="shared" si="1"/>
        <v>4A</v>
      </c>
      <c r="F2563" s="47" t="s">
        <v>4046</v>
      </c>
      <c r="G2563" s="47" t="s">
        <v>248</v>
      </c>
      <c r="H2563" s="48">
        <f>IF(NOT(ISBLANK(vlookup(B2563,Pop_Census_2023!$A$2:$E$3220,4,FALSE))),vlookup(B2563,Pop_Census_2023!$A$2:$E$3220,4,FALSE), vlookup(B2563,Pop_Census_2023!$A$2:$E$3220,5,FALSE))</f>
        <v>18375</v>
      </c>
    </row>
    <row r="2564">
      <c r="A2564" s="47" t="s">
        <v>3497</v>
      </c>
      <c r="B2564" s="47">
        <v>47093.0</v>
      </c>
      <c r="C2564" s="47">
        <v>4.0</v>
      </c>
      <c r="D2564" s="47" t="s">
        <v>4044</v>
      </c>
      <c r="E2564" s="47" t="str">
        <f t="shared" si="1"/>
        <v>4A</v>
      </c>
      <c r="F2564" s="47" t="s">
        <v>4046</v>
      </c>
      <c r="G2564" s="47" t="s">
        <v>634</v>
      </c>
      <c r="H2564" s="48">
        <f>IF(NOT(ISBLANK(vlookup(B2564,Pop_Census_2023!$A$2:$E$3220,4,FALSE))),vlookup(B2564,Pop_Census_2023!$A$2:$E$3220,4,FALSE), vlookup(B2564,Pop_Census_2023!$A$2:$E$3220,5,FALSE))</f>
        <v>500669</v>
      </c>
    </row>
    <row r="2565">
      <c r="A2565" s="47" t="s">
        <v>3497</v>
      </c>
      <c r="B2565" s="47">
        <v>47095.0</v>
      </c>
      <c r="C2565" s="47">
        <v>3.0</v>
      </c>
      <c r="D2565" s="47" t="s">
        <v>4044</v>
      </c>
      <c r="E2565" s="47" t="str">
        <f t="shared" si="1"/>
        <v>3A</v>
      </c>
      <c r="F2565" s="47" t="s">
        <v>4046</v>
      </c>
      <c r="G2565" s="47" t="s">
        <v>298</v>
      </c>
      <c r="H2565" s="48">
        <f>IF(NOT(ISBLANK(vlookup(B2565,Pop_Census_2023!$A$2:$E$3220,4,FALSE))),vlookup(B2565,Pop_Census_2023!$A$2:$E$3220,4,FALSE), vlookup(B2565,Pop_Census_2023!$A$2:$E$3220,5,FALSE))</f>
        <v>6347</v>
      </c>
    </row>
    <row r="2566">
      <c r="A2566" s="47" t="s">
        <v>3497</v>
      </c>
      <c r="B2566" s="47">
        <v>47097.0</v>
      </c>
      <c r="C2566" s="47">
        <v>3.0</v>
      </c>
      <c r="D2566" s="47" t="s">
        <v>4044</v>
      </c>
      <c r="E2566" s="47" t="str">
        <f t="shared" si="1"/>
        <v>3A</v>
      </c>
      <c r="F2566" s="47" t="s">
        <v>4046</v>
      </c>
      <c r="G2566" s="47" t="s">
        <v>141</v>
      </c>
      <c r="H2566" s="48">
        <f>IF(NOT(ISBLANK(vlookup(B2566,Pop_Census_2023!$A$2:$E$3220,4,FALSE))),vlookup(B2566,Pop_Census_2023!$A$2:$E$3220,4,FALSE), vlookup(B2566,Pop_Census_2023!$A$2:$E$3220,5,FALSE))</f>
        <v>24610</v>
      </c>
    </row>
    <row r="2567">
      <c r="A2567" s="47" t="s">
        <v>3497</v>
      </c>
      <c r="B2567" s="47">
        <v>47099.0</v>
      </c>
      <c r="C2567" s="47">
        <v>4.0</v>
      </c>
      <c r="D2567" s="47" t="s">
        <v>4044</v>
      </c>
      <c r="E2567" s="47" t="str">
        <f t="shared" si="1"/>
        <v>4A</v>
      </c>
      <c r="F2567" s="47" t="s">
        <v>4046</v>
      </c>
      <c r="G2567" s="47" t="s">
        <v>142</v>
      </c>
      <c r="H2567" s="48">
        <f>IF(NOT(ISBLANK(vlookup(B2567,Pop_Census_2023!$A$2:$E$3220,4,FALSE))),vlookup(B2567,Pop_Census_2023!$A$2:$E$3220,4,FALSE), vlookup(B2567,Pop_Census_2023!$A$2:$E$3220,5,FALSE))</f>
        <v>46114</v>
      </c>
    </row>
    <row r="2568">
      <c r="A2568" s="47" t="s">
        <v>3497</v>
      </c>
      <c r="B2568" s="47">
        <v>47101.0</v>
      </c>
      <c r="C2568" s="47">
        <v>4.0</v>
      </c>
      <c r="D2568" s="47" t="s">
        <v>4044</v>
      </c>
      <c r="E2568" s="47" t="str">
        <f t="shared" si="1"/>
        <v>4A</v>
      </c>
      <c r="F2568" s="47" t="s">
        <v>4046</v>
      </c>
      <c r="G2568" s="47" t="s">
        <v>597</v>
      </c>
      <c r="H2568" s="48">
        <f>IF(NOT(ISBLANK(vlookup(B2568,Pop_Census_2023!$A$2:$E$3220,4,FALSE))),vlookup(B2568,Pop_Census_2023!$A$2:$E$3220,4,FALSE), vlookup(B2568,Pop_Census_2023!$A$2:$E$3220,5,FALSE))</f>
        <v>13066</v>
      </c>
    </row>
    <row r="2569">
      <c r="A2569" s="47" t="s">
        <v>3497</v>
      </c>
      <c r="B2569" s="47">
        <v>47103.0</v>
      </c>
      <c r="C2569" s="47">
        <v>4.0</v>
      </c>
      <c r="D2569" s="47" t="s">
        <v>4044</v>
      </c>
      <c r="E2569" s="47" t="str">
        <f t="shared" si="1"/>
        <v>4A</v>
      </c>
      <c r="F2569" s="47" t="s">
        <v>4046</v>
      </c>
      <c r="G2569" s="47" t="s">
        <v>250</v>
      </c>
      <c r="H2569" s="48">
        <f>IF(NOT(ISBLANK(vlookup(B2569,Pop_Census_2023!$A$2:$E$3220,4,FALSE))),vlookup(B2569,Pop_Census_2023!$A$2:$E$3220,4,FALSE), vlookup(B2569,Pop_Census_2023!$A$2:$E$3220,5,FALSE))</f>
        <v>36169</v>
      </c>
    </row>
    <row r="2570">
      <c r="A2570" s="47" t="s">
        <v>3497</v>
      </c>
      <c r="B2570" s="47">
        <v>47105.0</v>
      </c>
      <c r="C2570" s="47">
        <v>4.0</v>
      </c>
      <c r="D2570" s="47" t="s">
        <v>4044</v>
      </c>
      <c r="E2570" s="47" t="str">
        <f t="shared" si="1"/>
        <v>4A</v>
      </c>
      <c r="F2570" s="47" t="s">
        <v>4046</v>
      </c>
      <c r="G2570" s="47" t="s">
        <v>1630</v>
      </c>
      <c r="H2570" s="48">
        <f>IF(NOT(ISBLANK(vlookup(B2570,Pop_Census_2023!$A$2:$E$3220,4,FALSE))),vlookup(B2570,Pop_Census_2023!$A$2:$E$3220,4,FALSE), vlookup(B2570,Pop_Census_2023!$A$2:$E$3220,5,FALSE))</f>
        <v>60591</v>
      </c>
    </row>
    <row r="2571">
      <c r="A2571" s="47" t="s">
        <v>3497</v>
      </c>
      <c r="B2571" s="47">
        <v>47111.0</v>
      </c>
      <c r="C2571" s="47">
        <v>4.0</v>
      </c>
      <c r="D2571" s="47" t="s">
        <v>4044</v>
      </c>
      <c r="E2571" s="47" t="str">
        <f t="shared" si="1"/>
        <v>4A</v>
      </c>
      <c r="F2571" s="47" t="s">
        <v>4046</v>
      </c>
      <c r="G2571" s="47" t="s">
        <v>146</v>
      </c>
      <c r="H2571" s="48">
        <f>IF(NOT(ISBLANK(vlookup(B2571,Pop_Census_2023!$A$2:$E$3220,4,FALSE))),vlookup(B2571,Pop_Census_2023!$A$2:$E$3220,4,FALSE), vlookup(B2571,Pop_Census_2023!$A$2:$E$3220,5,FALSE))</f>
        <v>26793</v>
      </c>
    </row>
    <row r="2572">
      <c r="A2572" s="47" t="s">
        <v>3497</v>
      </c>
      <c r="B2572" s="47">
        <v>47113.0</v>
      </c>
      <c r="C2572" s="47">
        <v>3.0</v>
      </c>
      <c r="D2572" s="47" t="s">
        <v>4044</v>
      </c>
      <c r="E2572" s="47" t="str">
        <f t="shared" si="1"/>
        <v>3A</v>
      </c>
      <c r="F2572" s="47" t="s">
        <v>4046</v>
      </c>
      <c r="G2572" s="47" t="s">
        <v>147</v>
      </c>
      <c r="H2572" s="48">
        <f>IF(NOT(ISBLANK(vlookup(B2572,Pop_Census_2023!$A$2:$E$3220,4,FALSE))),vlookup(B2572,Pop_Census_2023!$A$2:$E$3220,4,FALSE), vlookup(B2572,Pop_Census_2023!$A$2:$E$3220,5,FALSE))</f>
        <v>99193</v>
      </c>
    </row>
    <row r="2573">
      <c r="A2573" s="47" t="s">
        <v>3497</v>
      </c>
      <c r="B2573" s="47">
        <v>47115.0</v>
      </c>
      <c r="C2573" s="47">
        <v>4.0</v>
      </c>
      <c r="D2573" s="47" t="s">
        <v>4044</v>
      </c>
      <c r="E2573" s="47" t="str">
        <f t="shared" si="1"/>
        <v>4A</v>
      </c>
      <c r="F2573" s="47" t="s">
        <v>4046</v>
      </c>
      <c r="G2573" s="47" t="s">
        <v>149</v>
      </c>
      <c r="H2573" s="48">
        <f>IF(NOT(ISBLANK(vlookup(B2573,Pop_Census_2023!$A$2:$E$3220,4,FALSE))),vlookup(B2573,Pop_Census_2023!$A$2:$E$3220,4,FALSE), vlookup(B2573,Pop_Census_2023!$A$2:$E$3220,5,FALSE))</f>
        <v>29382</v>
      </c>
    </row>
    <row r="2574">
      <c r="A2574" s="47" t="s">
        <v>3497</v>
      </c>
      <c r="B2574" s="47">
        <v>47117.0</v>
      </c>
      <c r="C2574" s="47">
        <v>4.0</v>
      </c>
      <c r="D2574" s="47" t="s">
        <v>4044</v>
      </c>
      <c r="E2574" s="47" t="str">
        <f t="shared" si="1"/>
        <v>4A</v>
      </c>
      <c r="F2574" s="47" t="s">
        <v>4046</v>
      </c>
      <c r="G2574" s="47" t="s">
        <v>150</v>
      </c>
      <c r="H2574" s="48">
        <f>IF(NOT(ISBLANK(vlookup(B2574,Pop_Census_2023!$A$2:$E$3220,4,FALSE))),vlookup(B2574,Pop_Census_2023!$A$2:$E$3220,4,FALSE), vlookup(B2574,Pop_Census_2023!$A$2:$E$3220,5,FALSE))</f>
        <v>36961</v>
      </c>
    </row>
    <row r="2575">
      <c r="A2575" s="47" t="s">
        <v>3497</v>
      </c>
      <c r="B2575" s="47">
        <v>47119.0</v>
      </c>
      <c r="C2575" s="47">
        <v>4.0</v>
      </c>
      <c r="D2575" s="47" t="s">
        <v>4044</v>
      </c>
      <c r="E2575" s="47" t="str">
        <f t="shared" si="1"/>
        <v>4A</v>
      </c>
      <c r="F2575" s="47" t="s">
        <v>4046</v>
      </c>
      <c r="G2575" s="47" t="s">
        <v>1633</v>
      </c>
      <c r="H2575" s="48">
        <f>IF(NOT(ISBLANK(vlookup(B2575,Pop_Census_2023!$A$2:$E$3220,4,FALSE))),vlookup(B2575,Pop_Census_2023!$A$2:$E$3220,4,FALSE), vlookup(B2575,Pop_Census_2023!$A$2:$E$3220,5,FALSE))</f>
        <v>110760</v>
      </c>
    </row>
    <row r="2576">
      <c r="A2576" s="47" t="s">
        <v>3497</v>
      </c>
      <c r="B2576" s="47">
        <v>47107.0</v>
      </c>
      <c r="C2576" s="47">
        <v>4.0</v>
      </c>
      <c r="D2576" s="47" t="s">
        <v>4044</v>
      </c>
      <c r="E2576" s="47" t="str">
        <f t="shared" si="1"/>
        <v>4A</v>
      </c>
      <c r="F2576" s="47" t="s">
        <v>4046</v>
      </c>
      <c r="G2576" s="47" t="s">
        <v>1631</v>
      </c>
      <c r="H2576" s="48">
        <f>IF(NOT(ISBLANK(vlookup(B2576,Pop_Census_2023!$A$2:$E$3220,4,FALSE))),vlookup(B2576,Pop_Census_2023!$A$2:$E$3220,4,FALSE), vlookup(B2576,Pop_Census_2023!$A$2:$E$3220,5,FALSE))</f>
        <v>55678</v>
      </c>
    </row>
    <row r="2577">
      <c r="A2577" s="47" t="s">
        <v>3497</v>
      </c>
      <c r="B2577" s="47">
        <v>47109.0</v>
      </c>
      <c r="C2577" s="47">
        <v>3.0</v>
      </c>
      <c r="D2577" s="47" t="s">
        <v>4044</v>
      </c>
      <c r="E2577" s="47" t="str">
        <f t="shared" si="1"/>
        <v>3A</v>
      </c>
      <c r="F2577" s="47" t="s">
        <v>4046</v>
      </c>
      <c r="G2577" s="47" t="s">
        <v>1632</v>
      </c>
      <c r="H2577" s="48">
        <f>IF(NOT(ISBLANK(vlookup(B2577,Pop_Census_2023!$A$2:$E$3220,4,FALSE))),vlookup(B2577,Pop_Census_2023!$A$2:$E$3220,4,FALSE), vlookup(B2577,Pop_Census_2023!$A$2:$E$3220,5,FALSE))</f>
        <v>26163</v>
      </c>
    </row>
    <row r="2578">
      <c r="A2578" s="47" t="s">
        <v>3497</v>
      </c>
      <c r="B2578" s="47">
        <v>47121.0</v>
      </c>
      <c r="C2578" s="47">
        <v>4.0</v>
      </c>
      <c r="D2578" s="47" t="s">
        <v>4044</v>
      </c>
      <c r="E2578" s="47" t="str">
        <f t="shared" si="1"/>
        <v>4A</v>
      </c>
      <c r="F2578" s="47" t="s">
        <v>4046</v>
      </c>
      <c r="G2578" s="47" t="s">
        <v>1442</v>
      </c>
      <c r="H2578" s="48">
        <f>IF(NOT(ISBLANK(vlookup(B2578,Pop_Census_2023!$A$2:$E$3220,4,FALSE))),vlookup(B2578,Pop_Census_2023!$A$2:$E$3220,4,FALSE), vlookup(B2578,Pop_Census_2023!$A$2:$E$3220,5,FALSE))</f>
        <v>13691</v>
      </c>
    </row>
    <row r="2579">
      <c r="A2579" s="47" t="s">
        <v>3497</v>
      </c>
      <c r="B2579" s="47">
        <v>47123.0</v>
      </c>
      <c r="C2579" s="47">
        <v>4.0</v>
      </c>
      <c r="D2579" s="47" t="s">
        <v>4044</v>
      </c>
      <c r="E2579" s="47" t="str">
        <f t="shared" si="1"/>
        <v>4A</v>
      </c>
      <c r="F2579" s="47" t="s">
        <v>4046</v>
      </c>
      <c r="G2579" s="47" t="s">
        <v>152</v>
      </c>
      <c r="H2579" s="48">
        <f>IF(NOT(ISBLANK(vlookup(B2579,Pop_Census_2023!$A$2:$E$3220,4,FALSE))),vlookup(B2579,Pop_Census_2023!$A$2:$E$3220,4,FALSE), vlookup(B2579,Pop_Census_2023!$A$2:$E$3220,5,FALSE))</f>
        <v>48594</v>
      </c>
    </row>
    <row r="2580">
      <c r="A2580" s="47" t="s">
        <v>3497</v>
      </c>
      <c r="B2580" s="47">
        <v>47125.0</v>
      </c>
      <c r="C2580" s="47">
        <v>4.0</v>
      </c>
      <c r="D2580" s="47" t="s">
        <v>4044</v>
      </c>
      <c r="E2580" s="47" t="str">
        <f t="shared" si="1"/>
        <v>4A</v>
      </c>
      <c r="F2580" s="47" t="s">
        <v>4046</v>
      </c>
      <c r="G2580" s="47" t="s">
        <v>153</v>
      </c>
      <c r="H2580" s="48">
        <f>IF(NOT(ISBLANK(vlookup(B2580,Pop_Census_2023!$A$2:$E$3220,4,FALSE))),vlookup(B2580,Pop_Census_2023!$A$2:$E$3220,4,FALSE), vlookup(B2580,Pop_Census_2023!$A$2:$E$3220,5,FALSE))</f>
        <v>239872</v>
      </c>
    </row>
    <row r="2581">
      <c r="A2581" s="47" t="s">
        <v>3497</v>
      </c>
      <c r="B2581" s="47">
        <v>47127.0</v>
      </c>
      <c r="C2581" s="47">
        <v>4.0</v>
      </c>
      <c r="D2581" s="47" t="s">
        <v>4044</v>
      </c>
      <c r="E2581" s="47" t="str">
        <f t="shared" si="1"/>
        <v>4A</v>
      </c>
      <c r="F2581" s="47" t="s">
        <v>4046</v>
      </c>
      <c r="G2581" s="47" t="s">
        <v>1365</v>
      </c>
      <c r="H2581" s="48">
        <f>IF(NOT(ISBLANK(vlookup(B2581,Pop_Census_2023!$A$2:$E$3220,4,FALSE))),vlookup(B2581,Pop_Census_2023!$A$2:$E$3220,4,FALSE), vlookup(B2581,Pop_Census_2023!$A$2:$E$3220,5,FALSE))</f>
        <v>6748</v>
      </c>
    </row>
    <row r="2582">
      <c r="A2582" s="47" t="s">
        <v>3497</v>
      </c>
      <c r="B2582" s="47">
        <v>47129.0</v>
      </c>
      <c r="C2582" s="47">
        <v>4.0</v>
      </c>
      <c r="D2582" s="47" t="s">
        <v>4044</v>
      </c>
      <c r="E2582" s="47" t="str">
        <f t="shared" si="1"/>
        <v>4A</v>
      </c>
      <c r="F2582" s="47" t="s">
        <v>4046</v>
      </c>
      <c r="G2582" s="47" t="s">
        <v>154</v>
      </c>
      <c r="H2582" s="48">
        <f>IF(NOT(ISBLANK(vlookup(B2582,Pop_Census_2023!$A$2:$E$3220,4,FALSE))),vlookup(B2582,Pop_Census_2023!$A$2:$E$3220,4,FALSE), vlookup(B2582,Pop_Census_2023!$A$2:$E$3220,5,FALSE))</f>
        <v>21573</v>
      </c>
    </row>
    <row r="2583">
      <c r="A2583" s="47" t="s">
        <v>3497</v>
      </c>
      <c r="B2583" s="47">
        <v>47131.0</v>
      </c>
      <c r="C2583" s="47">
        <v>4.0</v>
      </c>
      <c r="D2583" s="47" t="s">
        <v>4044</v>
      </c>
      <c r="E2583" s="47" t="str">
        <f t="shared" si="1"/>
        <v>4A</v>
      </c>
      <c r="F2583" s="47" t="s">
        <v>4046</v>
      </c>
      <c r="G2583" s="47" t="s">
        <v>1634</v>
      </c>
      <c r="H2583" s="48">
        <f>IF(NOT(ISBLANK(vlookup(B2583,Pop_Census_2023!$A$2:$E$3220,4,FALSE))),vlookup(B2583,Pop_Census_2023!$A$2:$E$3220,4,FALSE), vlookup(B2583,Pop_Census_2023!$A$2:$E$3220,5,FALSE))</f>
        <v>30411</v>
      </c>
    </row>
    <row r="2584">
      <c r="A2584" s="47" t="s">
        <v>3497</v>
      </c>
      <c r="B2584" s="47">
        <v>47133.0</v>
      </c>
      <c r="C2584" s="47">
        <v>4.0</v>
      </c>
      <c r="D2584" s="47" t="s">
        <v>4044</v>
      </c>
      <c r="E2584" s="47" t="str">
        <f t="shared" si="1"/>
        <v>4A</v>
      </c>
      <c r="F2584" s="47" t="s">
        <v>4046</v>
      </c>
      <c r="G2584" s="47" t="s">
        <v>1635</v>
      </c>
      <c r="H2584" s="48">
        <f>IF(NOT(ISBLANK(vlookup(B2584,Pop_Census_2023!$A$2:$E$3220,4,FALSE))),vlookup(B2584,Pop_Census_2023!$A$2:$E$3220,4,FALSE), vlookup(B2584,Pop_Census_2023!$A$2:$E$3220,5,FALSE))</f>
        <v>23327</v>
      </c>
    </row>
    <row r="2585">
      <c r="A2585" s="47" t="s">
        <v>3497</v>
      </c>
      <c r="B2585" s="47">
        <v>47135.0</v>
      </c>
      <c r="C2585" s="47">
        <v>4.0</v>
      </c>
      <c r="D2585" s="47" t="s">
        <v>4044</v>
      </c>
      <c r="E2585" s="47" t="str">
        <f t="shared" si="1"/>
        <v>4A</v>
      </c>
      <c r="F2585" s="47" t="s">
        <v>4046</v>
      </c>
      <c r="G2585" s="47" t="s">
        <v>155</v>
      </c>
      <c r="H2585" s="48">
        <f>IF(NOT(ISBLANK(vlookup(B2585,Pop_Census_2023!$A$2:$E$3220,4,FALSE))),vlookup(B2585,Pop_Census_2023!$A$2:$E$3220,4,FALSE), vlookup(B2585,Pop_Census_2023!$A$2:$E$3220,5,FALSE))</f>
        <v>8891</v>
      </c>
    </row>
    <row r="2586">
      <c r="A2586" s="47" t="s">
        <v>3497</v>
      </c>
      <c r="B2586" s="47">
        <v>47137.0</v>
      </c>
      <c r="C2586" s="47">
        <v>4.0</v>
      </c>
      <c r="D2586" s="47" t="s">
        <v>4044</v>
      </c>
      <c r="E2586" s="47" t="str">
        <f t="shared" si="1"/>
        <v>4A</v>
      </c>
      <c r="F2586" s="47" t="s">
        <v>4046</v>
      </c>
      <c r="G2586" s="47" t="s">
        <v>1636</v>
      </c>
      <c r="H2586" s="48">
        <f>IF(NOT(ISBLANK(vlookup(B2586,Pop_Census_2023!$A$2:$E$3220,4,FALSE))),vlookup(B2586,Pop_Census_2023!$A$2:$E$3220,4,FALSE), vlookup(B2586,Pop_Census_2023!$A$2:$E$3220,5,FALSE))</f>
        <v>5128</v>
      </c>
    </row>
    <row r="2587">
      <c r="A2587" s="47" t="s">
        <v>3497</v>
      </c>
      <c r="B2587" s="47">
        <v>47139.0</v>
      </c>
      <c r="C2587" s="47">
        <v>4.0</v>
      </c>
      <c r="D2587" s="47" t="s">
        <v>4044</v>
      </c>
      <c r="E2587" s="47" t="str">
        <f t="shared" si="1"/>
        <v>4A</v>
      </c>
      <c r="F2587" s="47" t="s">
        <v>4046</v>
      </c>
      <c r="G2587" s="47" t="s">
        <v>261</v>
      </c>
      <c r="H2587" s="48">
        <f>IF(NOT(ISBLANK(vlookup(B2587,Pop_Census_2023!$A$2:$E$3220,4,FALSE))),vlookup(B2587,Pop_Census_2023!$A$2:$E$3220,4,FALSE), vlookup(B2587,Pop_Census_2023!$A$2:$E$3220,5,FALSE))</f>
        <v>18033</v>
      </c>
    </row>
    <row r="2588">
      <c r="A2588" s="47" t="s">
        <v>3497</v>
      </c>
      <c r="B2588" s="47">
        <v>47141.0</v>
      </c>
      <c r="C2588" s="47">
        <v>4.0</v>
      </c>
      <c r="D2588" s="47" t="s">
        <v>4044</v>
      </c>
      <c r="E2588" s="47" t="str">
        <f t="shared" si="1"/>
        <v>4A</v>
      </c>
      <c r="F2588" s="47" t="s">
        <v>4046</v>
      </c>
      <c r="G2588" s="47" t="s">
        <v>449</v>
      </c>
      <c r="H2588" s="48">
        <f>IF(NOT(ISBLANK(vlookup(B2588,Pop_Census_2023!$A$2:$E$3220,4,FALSE))),vlookup(B2588,Pop_Census_2023!$A$2:$E$3220,4,FALSE), vlookup(B2588,Pop_Census_2023!$A$2:$E$3220,5,FALSE))</f>
        <v>83844</v>
      </c>
    </row>
    <row r="2589">
      <c r="A2589" s="47" t="s">
        <v>3497</v>
      </c>
      <c r="B2589" s="47">
        <v>47143.0</v>
      </c>
      <c r="C2589" s="47">
        <v>4.0</v>
      </c>
      <c r="D2589" s="47" t="s">
        <v>4044</v>
      </c>
      <c r="E2589" s="47" t="str">
        <f t="shared" si="1"/>
        <v>4A</v>
      </c>
      <c r="F2589" s="47" t="s">
        <v>4046</v>
      </c>
      <c r="G2589" s="47" t="s">
        <v>1637</v>
      </c>
      <c r="H2589" s="48">
        <f>IF(NOT(ISBLANK(vlookup(B2589,Pop_Census_2023!$A$2:$E$3220,4,FALSE))),vlookup(B2589,Pop_Census_2023!$A$2:$E$3220,4,FALSE), vlookup(B2589,Pop_Census_2023!$A$2:$E$3220,5,FALSE))</f>
        <v>33924</v>
      </c>
    </row>
    <row r="2590">
      <c r="A2590" s="47" t="s">
        <v>3497</v>
      </c>
      <c r="B2590" s="47">
        <v>47145.0</v>
      </c>
      <c r="C2590" s="47">
        <v>4.0</v>
      </c>
      <c r="D2590" s="47" t="s">
        <v>4044</v>
      </c>
      <c r="E2590" s="47" t="str">
        <f t="shared" si="1"/>
        <v>4A</v>
      </c>
      <c r="F2590" s="47" t="s">
        <v>4046</v>
      </c>
      <c r="G2590" s="47" t="s">
        <v>1638</v>
      </c>
      <c r="H2590" s="48">
        <f>IF(NOT(ISBLANK(vlookup(B2590,Pop_Census_2023!$A$2:$E$3220,4,FALSE))),vlookup(B2590,Pop_Census_2023!$A$2:$E$3220,4,FALSE), vlookup(B2590,Pop_Census_2023!$A$2:$E$3220,5,FALSE))</f>
        <v>56096</v>
      </c>
    </row>
    <row r="2591">
      <c r="A2591" s="47" t="s">
        <v>3497</v>
      </c>
      <c r="B2591" s="47">
        <v>47147.0</v>
      </c>
      <c r="C2591" s="47">
        <v>4.0</v>
      </c>
      <c r="D2591" s="47" t="s">
        <v>4044</v>
      </c>
      <c r="E2591" s="47" t="str">
        <f t="shared" si="1"/>
        <v>4A</v>
      </c>
      <c r="F2591" s="47" t="s">
        <v>4046</v>
      </c>
      <c r="G2591" s="47" t="s">
        <v>866</v>
      </c>
      <c r="H2591" s="48">
        <f>IF(NOT(ISBLANK(vlookup(B2591,Pop_Census_2023!$A$2:$E$3220,4,FALSE))),vlookup(B2591,Pop_Census_2023!$A$2:$E$3220,4,FALSE), vlookup(B2591,Pop_Census_2023!$A$2:$E$3220,5,FALSE))</f>
        <v>76776</v>
      </c>
    </row>
    <row r="2592">
      <c r="A2592" s="47" t="s">
        <v>3497</v>
      </c>
      <c r="B2592" s="47">
        <v>47149.0</v>
      </c>
      <c r="C2592" s="47">
        <v>4.0</v>
      </c>
      <c r="D2592" s="47" t="s">
        <v>4044</v>
      </c>
      <c r="E2592" s="47" t="str">
        <f t="shared" si="1"/>
        <v>4A</v>
      </c>
      <c r="F2592" s="47" t="s">
        <v>4046</v>
      </c>
      <c r="G2592" s="47" t="s">
        <v>1377</v>
      </c>
      <c r="H2592" s="48">
        <f>IF(NOT(ISBLANK(vlookup(B2592,Pop_Census_2023!$A$2:$E$3220,4,FALSE))),vlookup(B2592,Pop_Census_2023!$A$2:$E$3220,4,FALSE), vlookup(B2592,Pop_Census_2023!$A$2:$E$3220,5,FALSE))</f>
        <v>367101</v>
      </c>
    </row>
    <row r="2593">
      <c r="A2593" s="47" t="s">
        <v>3497</v>
      </c>
      <c r="B2593" s="47">
        <v>47151.0</v>
      </c>
      <c r="C2593" s="47">
        <v>4.0</v>
      </c>
      <c r="D2593" s="47" t="s">
        <v>4044</v>
      </c>
      <c r="E2593" s="47" t="str">
        <f t="shared" si="1"/>
        <v>4A</v>
      </c>
      <c r="F2593" s="47" t="s">
        <v>4046</v>
      </c>
      <c r="G2593" s="47" t="s">
        <v>267</v>
      </c>
      <c r="H2593" s="48">
        <f>IF(NOT(ISBLANK(vlookup(B2593,Pop_Census_2023!$A$2:$E$3220,4,FALSE))),vlookup(B2593,Pop_Census_2023!$A$2:$E$3220,4,FALSE), vlookup(B2593,Pop_Census_2023!$A$2:$E$3220,5,FALSE))</f>
        <v>22171</v>
      </c>
    </row>
    <row r="2594">
      <c r="A2594" s="47" t="s">
        <v>3497</v>
      </c>
      <c r="B2594" s="47">
        <v>47153.0</v>
      </c>
      <c r="C2594" s="47">
        <v>4.0</v>
      </c>
      <c r="D2594" s="47" t="s">
        <v>4044</v>
      </c>
      <c r="E2594" s="47" t="str">
        <f t="shared" si="1"/>
        <v>4A</v>
      </c>
      <c r="F2594" s="47" t="s">
        <v>4046</v>
      </c>
      <c r="G2594" s="47" t="s">
        <v>1639</v>
      </c>
      <c r="H2594" s="48">
        <f>IF(NOT(ISBLANK(vlookup(B2594,Pop_Census_2023!$A$2:$E$3220,4,FALSE))),vlookup(B2594,Pop_Census_2023!$A$2:$E$3220,4,FALSE), vlookup(B2594,Pop_Census_2023!$A$2:$E$3220,5,FALSE))</f>
        <v>17161</v>
      </c>
    </row>
    <row r="2595">
      <c r="A2595" s="47" t="s">
        <v>3497</v>
      </c>
      <c r="B2595" s="47">
        <v>47155.0</v>
      </c>
      <c r="C2595" s="47">
        <v>4.0</v>
      </c>
      <c r="D2595" s="47" t="s">
        <v>4044</v>
      </c>
      <c r="E2595" s="47" t="str">
        <f t="shared" si="1"/>
        <v>4A</v>
      </c>
      <c r="F2595" s="47" t="s">
        <v>4046</v>
      </c>
      <c r="G2595" s="47" t="s">
        <v>270</v>
      </c>
      <c r="H2595" s="48">
        <f>IF(NOT(ISBLANK(vlookup(B2595,Pop_Census_2023!$A$2:$E$3220,4,FALSE))),vlookup(B2595,Pop_Census_2023!$A$2:$E$3220,4,FALSE), vlookup(B2595,Pop_Census_2023!$A$2:$E$3220,5,FALSE))</f>
        <v>99415</v>
      </c>
    </row>
    <row r="2596">
      <c r="A2596" s="47" t="s">
        <v>3497</v>
      </c>
      <c r="B2596" s="47">
        <v>47157.0</v>
      </c>
      <c r="C2596" s="47">
        <v>3.0</v>
      </c>
      <c r="D2596" s="47" t="s">
        <v>4044</v>
      </c>
      <c r="E2596" s="47" t="str">
        <f t="shared" si="1"/>
        <v>3A</v>
      </c>
      <c r="F2596" s="47" t="s">
        <v>4046</v>
      </c>
      <c r="G2596" s="47" t="s">
        <v>161</v>
      </c>
      <c r="H2596" s="48">
        <f>IF(NOT(ISBLANK(vlookup(B2596,Pop_Census_2023!$A$2:$E$3220,4,FALSE))),vlookup(B2596,Pop_Census_2023!$A$2:$E$3220,4,FALSE), vlookup(B2596,Pop_Census_2023!$A$2:$E$3220,5,FALSE))</f>
        <v>910042</v>
      </c>
    </row>
    <row r="2597">
      <c r="A2597" s="47" t="s">
        <v>3497</v>
      </c>
      <c r="B2597" s="47">
        <v>47159.0</v>
      </c>
      <c r="C2597" s="47">
        <v>4.0</v>
      </c>
      <c r="D2597" s="47" t="s">
        <v>4044</v>
      </c>
      <c r="E2597" s="47" t="str">
        <f t="shared" si="1"/>
        <v>4A</v>
      </c>
      <c r="F2597" s="47" t="s">
        <v>4046</v>
      </c>
      <c r="G2597" s="47" t="s">
        <v>806</v>
      </c>
      <c r="H2597" s="48">
        <f>IF(NOT(ISBLANK(vlookup(B2597,Pop_Census_2023!$A$2:$E$3220,4,FALSE))),vlookup(B2597,Pop_Census_2023!$A$2:$E$3220,4,FALSE), vlookup(B2597,Pop_Census_2023!$A$2:$E$3220,5,FALSE))</f>
        <v>20538</v>
      </c>
    </row>
    <row r="2598">
      <c r="A2598" s="47" t="s">
        <v>3497</v>
      </c>
      <c r="B2598" s="47">
        <v>47161.0</v>
      </c>
      <c r="C2598" s="47">
        <v>4.0</v>
      </c>
      <c r="D2598" s="47" t="s">
        <v>4044</v>
      </c>
      <c r="E2598" s="47" t="str">
        <f t="shared" si="1"/>
        <v>4A</v>
      </c>
      <c r="F2598" s="47" t="s">
        <v>4046</v>
      </c>
      <c r="G2598" s="47" t="s">
        <v>545</v>
      </c>
      <c r="H2598" s="48">
        <f>IF(NOT(ISBLANK(vlookup(B2598,Pop_Census_2023!$A$2:$E$3220,4,FALSE))),vlookup(B2598,Pop_Census_2023!$A$2:$E$3220,4,FALSE), vlookup(B2598,Pop_Census_2023!$A$2:$E$3220,5,FALSE))</f>
        <v>14222</v>
      </c>
    </row>
    <row r="2599">
      <c r="A2599" s="47" t="s">
        <v>3497</v>
      </c>
      <c r="B2599" s="47">
        <v>47163.0</v>
      </c>
      <c r="C2599" s="47">
        <v>4.0</v>
      </c>
      <c r="D2599" s="47" t="s">
        <v>4044</v>
      </c>
      <c r="E2599" s="47" t="str">
        <f t="shared" si="1"/>
        <v>4A</v>
      </c>
      <c r="F2599" s="47" t="s">
        <v>4046</v>
      </c>
      <c r="G2599" s="47" t="s">
        <v>694</v>
      </c>
      <c r="H2599" s="48">
        <f>IF(NOT(ISBLANK(vlookup(B2599,Pop_Census_2023!$A$2:$E$3220,4,FALSE))),vlookup(B2599,Pop_Census_2023!$A$2:$E$3220,4,FALSE), vlookup(B2599,Pop_Census_2023!$A$2:$E$3220,5,FALSE))</f>
        <v>162135</v>
      </c>
    </row>
    <row r="2600">
      <c r="A2600" s="47" t="s">
        <v>3497</v>
      </c>
      <c r="B2600" s="47">
        <v>47165.0</v>
      </c>
      <c r="C2600" s="47">
        <v>4.0</v>
      </c>
      <c r="D2600" s="47" t="s">
        <v>4044</v>
      </c>
      <c r="E2600" s="47" t="str">
        <f t="shared" si="1"/>
        <v>4A</v>
      </c>
      <c r="F2600" s="47" t="s">
        <v>4046</v>
      </c>
      <c r="G2600" s="47" t="s">
        <v>810</v>
      </c>
      <c r="H2600" s="48">
        <f>IF(NOT(ISBLANK(vlookup(B2600,Pop_Census_2023!$A$2:$E$3220,4,FALSE))),vlookup(B2600,Pop_Census_2023!$A$2:$E$3220,4,FALSE), vlookup(B2600,Pop_Census_2023!$A$2:$E$3220,5,FALSE))</f>
        <v>207994</v>
      </c>
    </row>
    <row r="2601">
      <c r="A2601" s="47" t="s">
        <v>3497</v>
      </c>
      <c r="B2601" s="47">
        <v>47167.0</v>
      </c>
      <c r="C2601" s="47">
        <v>3.0</v>
      </c>
      <c r="D2601" s="47" t="s">
        <v>4044</v>
      </c>
      <c r="E2601" s="47" t="str">
        <f t="shared" si="1"/>
        <v>3A</v>
      </c>
      <c r="F2601" s="47" t="s">
        <v>4046</v>
      </c>
      <c r="G2601" s="47" t="s">
        <v>697</v>
      </c>
      <c r="H2601" s="48">
        <f>IF(NOT(ISBLANK(vlookup(B2601,Pop_Census_2023!$A$2:$E$3220,4,FALSE))),vlookup(B2601,Pop_Census_2023!$A$2:$E$3220,4,FALSE), vlookup(B2601,Pop_Census_2023!$A$2:$E$3220,5,FALSE))</f>
        <v>62015</v>
      </c>
    </row>
    <row r="2602">
      <c r="A2602" s="47" t="s">
        <v>3497</v>
      </c>
      <c r="B2602" s="47">
        <v>47169.0</v>
      </c>
      <c r="C2602" s="47">
        <v>4.0</v>
      </c>
      <c r="D2602" s="47" t="s">
        <v>4044</v>
      </c>
      <c r="E2602" s="47" t="str">
        <f t="shared" si="1"/>
        <v>4A</v>
      </c>
      <c r="F2602" s="47" t="s">
        <v>4046</v>
      </c>
      <c r="G2602" s="47" t="s">
        <v>1640</v>
      </c>
      <c r="H2602" s="48">
        <f>IF(NOT(ISBLANK(vlookup(B2602,Pop_Census_2023!$A$2:$E$3220,4,FALSE))),vlookup(B2602,Pop_Census_2023!$A$2:$E$3220,4,FALSE), vlookup(B2602,Pop_Census_2023!$A$2:$E$3220,5,FALSE))</f>
        <v>12271</v>
      </c>
    </row>
    <row r="2603">
      <c r="A2603" s="47" t="s">
        <v>3497</v>
      </c>
      <c r="B2603" s="47">
        <v>47171.0</v>
      </c>
      <c r="C2603" s="47">
        <v>4.0</v>
      </c>
      <c r="D2603" s="47" t="s">
        <v>4044</v>
      </c>
      <c r="E2603" s="47" t="str">
        <f t="shared" si="1"/>
        <v>4A</v>
      </c>
      <c r="F2603" s="47" t="s">
        <v>4046</v>
      </c>
      <c r="G2603" s="47" t="s">
        <v>1641</v>
      </c>
      <c r="H2603" s="48">
        <f>IF(NOT(ISBLANK(vlookup(B2603,Pop_Census_2023!$A$2:$E$3220,4,FALSE))),vlookup(B2603,Pop_Census_2023!$A$2:$E$3220,4,FALSE), vlookup(B2603,Pop_Census_2023!$A$2:$E$3220,5,FALSE))</f>
        <v>17756</v>
      </c>
    </row>
    <row r="2604">
      <c r="A2604" s="47" t="s">
        <v>3497</v>
      </c>
      <c r="B2604" s="47">
        <v>47173.0</v>
      </c>
      <c r="C2604" s="47">
        <v>4.0</v>
      </c>
      <c r="D2604" s="47" t="s">
        <v>4044</v>
      </c>
      <c r="E2604" s="47" t="str">
        <f t="shared" si="1"/>
        <v>4A</v>
      </c>
      <c r="F2604" s="47" t="s">
        <v>4046</v>
      </c>
      <c r="G2604" s="47" t="s">
        <v>273</v>
      </c>
      <c r="H2604" s="48">
        <f>IF(NOT(ISBLANK(vlookup(B2604,Pop_Census_2023!$A$2:$E$3220,4,FALSE))),vlookup(B2604,Pop_Census_2023!$A$2:$E$3220,4,FALSE), vlookup(B2604,Pop_Census_2023!$A$2:$E$3220,5,FALSE))</f>
        <v>20741</v>
      </c>
    </row>
    <row r="2605">
      <c r="A2605" s="47" t="s">
        <v>3497</v>
      </c>
      <c r="B2605" s="47">
        <v>47175.0</v>
      </c>
      <c r="C2605" s="47">
        <v>4.0</v>
      </c>
      <c r="D2605" s="47" t="s">
        <v>4044</v>
      </c>
      <c r="E2605" s="47" t="str">
        <f t="shared" si="1"/>
        <v>4A</v>
      </c>
      <c r="F2605" s="47" t="s">
        <v>4046</v>
      </c>
      <c r="G2605" s="47" t="s">
        <v>274</v>
      </c>
      <c r="H2605" s="48">
        <f>IF(NOT(ISBLANK(vlookup(B2605,Pop_Census_2023!$A$2:$E$3220,4,FALSE))),vlookup(B2605,Pop_Census_2023!$A$2:$E$3220,4,FALSE), vlookup(B2605,Pop_Census_2023!$A$2:$E$3220,5,FALSE))</f>
        <v>6493</v>
      </c>
    </row>
    <row r="2606">
      <c r="A2606" s="47" t="s">
        <v>3497</v>
      </c>
      <c r="B2606" s="47">
        <v>47177.0</v>
      </c>
      <c r="C2606" s="47">
        <v>4.0</v>
      </c>
      <c r="D2606" s="47" t="s">
        <v>4044</v>
      </c>
      <c r="E2606" s="47" t="str">
        <f t="shared" si="1"/>
        <v>4A</v>
      </c>
      <c r="F2606" s="47" t="s">
        <v>4046</v>
      </c>
      <c r="G2606" s="47" t="s">
        <v>561</v>
      </c>
      <c r="H2606" s="48">
        <f>IF(NOT(ISBLANK(vlookup(B2606,Pop_Census_2023!$A$2:$E$3220,4,FALSE))),vlookup(B2606,Pop_Census_2023!$A$2:$E$3220,4,FALSE), vlookup(B2606,Pop_Census_2023!$A$2:$E$3220,5,FALSE))</f>
        <v>42638</v>
      </c>
    </row>
    <row r="2607">
      <c r="A2607" s="47" t="s">
        <v>3497</v>
      </c>
      <c r="B2607" s="47">
        <v>47179.0</v>
      </c>
      <c r="C2607" s="47">
        <v>4.0</v>
      </c>
      <c r="D2607" s="47" t="s">
        <v>4044</v>
      </c>
      <c r="E2607" s="47" t="str">
        <f t="shared" si="1"/>
        <v>4A</v>
      </c>
      <c r="F2607" s="47" t="s">
        <v>4046</v>
      </c>
      <c r="G2607" s="47" t="s">
        <v>167</v>
      </c>
      <c r="H2607" s="48">
        <f>IF(NOT(ISBLANK(vlookup(B2607,Pop_Census_2023!$A$2:$E$3220,4,FALSE))),vlookup(B2607,Pop_Census_2023!$A$2:$E$3220,4,FALSE), vlookup(B2607,Pop_Census_2023!$A$2:$E$3220,5,FALSE))</f>
        <v>138420</v>
      </c>
    </row>
    <row r="2608">
      <c r="A2608" s="47" t="s">
        <v>3497</v>
      </c>
      <c r="B2608" s="47">
        <v>47181.0</v>
      </c>
      <c r="C2608" s="47">
        <v>4.0</v>
      </c>
      <c r="D2608" s="47" t="s">
        <v>4044</v>
      </c>
      <c r="E2608" s="47" t="str">
        <f t="shared" si="1"/>
        <v>4A</v>
      </c>
      <c r="F2608" s="47" t="s">
        <v>4046</v>
      </c>
      <c r="G2608" s="47" t="s">
        <v>562</v>
      </c>
      <c r="H2608" s="48">
        <f>IF(NOT(ISBLANK(vlookup(B2608,Pop_Census_2023!$A$2:$E$3220,4,FALSE))),vlookup(B2608,Pop_Census_2023!$A$2:$E$3220,4,FALSE), vlookup(B2608,Pop_Census_2023!$A$2:$E$3220,5,FALSE))</f>
        <v>16066</v>
      </c>
    </row>
    <row r="2609">
      <c r="A2609" s="47" t="s">
        <v>3497</v>
      </c>
      <c r="B2609" s="47">
        <v>47183.0</v>
      </c>
      <c r="C2609" s="47">
        <v>4.0</v>
      </c>
      <c r="D2609" s="47" t="s">
        <v>4044</v>
      </c>
      <c r="E2609" s="47" t="str">
        <f t="shared" si="1"/>
        <v>4A</v>
      </c>
      <c r="F2609" s="47" t="s">
        <v>4046</v>
      </c>
      <c r="G2609" s="47" t="s">
        <v>1642</v>
      </c>
      <c r="H2609" s="48">
        <f>IF(NOT(ISBLANK(vlookup(B2609,Pop_Census_2023!$A$2:$E$3220,4,FALSE))),vlookup(B2609,Pop_Census_2023!$A$2:$E$3220,4,FALSE), vlookup(B2609,Pop_Census_2023!$A$2:$E$3220,5,FALSE))</f>
        <v>33084</v>
      </c>
    </row>
    <row r="2610">
      <c r="A2610" s="47" t="s">
        <v>3497</v>
      </c>
      <c r="B2610" s="47">
        <v>47185.0</v>
      </c>
      <c r="C2610" s="47">
        <v>4.0</v>
      </c>
      <c r="D2610" s="47" t="s">
        <v>4044</v>
      </c>
      <c r="E2610" s="47" t="str">
        <f t="shared" si="1"/>
        <v>4A</v>
      </c>
      <c r="F2610" s="47" t="s">
        <v>4046</v>
      </c>
      <c r="G2610" s="47" t="s">
        <v>275</v>
      </c>
      <c r="H2610" s="48">
        <f>IF(NOT(ISBLANK(vlookup(B2610,Pop_Census_2023!$A$2:$E$3220,4,FALSE))),vlookup(B2610,Pop_Census_2023!$A$2:$E$3220,4,FALSE), vlookup(B2610,Pop_Census_2023!$A$2:$E$3220,5,FALSE))</f>
        <v>28692</v>
      </c>
    </row>
    <row r="2611">
      <c r="A2611" s="47" t="s">
        <v>3497</v>
      </c>
      <c r="B2611" s="47">
        <v>47187.0</v>
      </c>
      <c r="C2611" s="47">
        <v>4.0</v>
      </c>
      <c r="D2611" s="47" t="s">
        <v>4044</v>
      </c>
      <c r="E2611" s="47" t="str">
        <f t="shared" si="1"/>
        <v>4A</v>
      </c>
      <c r="F2611" s="47" t="s">
        <v>4046</v>
      </c>
      <c r="G2611" s="47" t="s">
        <v>660</v>
      </c>
      <c r="H2611" s="48">
        <f>IF(NOT(ISBLANK(vlookup(B2611,Pop_Census_2023!$A$2:$E$3220,4,FALSE))),vlookup(B2611,Pop_Census_2023!$A$2:$E$3220,4,FALSE), vlookup(B2611,Pop_Census_2023!$A$2:$E$3220,5,FALSE))</f>
        <v>264460</v>
      </c>
    </row>
    <row r="2612">
      <c r="A2612" s="47" t="s">
        <v>3497</v>
      </c>
      <c r="B2612" s="47">
        <v>47189.0</v>
      </c>
      <c r="C2612" s="47">
        <v>4.0</v>
      </c>
      <c r="D2612" s="47" t="s">
        <v>4044</v>
      </c>
      <c r="E2612" s="47" t="str">
        <f t="shared" si="1"/>
        <v>4A</v>
      </c>
      <c r="F2612" s="47" t="s">
        <v>4046</v>
      </c>
      <c r="G2612" s="47" t="s">
        <v>815</v>
      </c>
      <c r="H2612" s="48">
        <f>IF(NOT(ISBLANK(vlookup(B2612,Pop_Census_2023!$A$2:$E$3220,4,FALSE))),vlookup(B2612,Pop_Census_2023!$A$2:$E$3220,4,FALSE), vlookup(B2612,Pop_Census_2023!$A$2:$E$3220,5,FALSE))</f>
        <v>163674</v>
      </c>
    </row>
    <row r="2613">
      <c r="A2613" s="47" t="s">
        <v>3524</v>
      </c>
      <c r="B2613" s="47">
        <v>48001.0</v>
      </c>
      <c r="C2613" s="47">
        <v>2.0</v>
      </c>
      <c r="D2613" s="47" t="s">
        <v>4044</v>
      </c>
      <c r="E2613" s="47" t="str">
        <f t="shared" si="1"/>
        <v>2A</v>
      </c>
      <c r="F2613" s="47" t="s">
        <v>4045</v>
      </c>
      <c r="G2613" s="47" t="s">
        <v>751</v>
      </c>
      <c r="H2613" s="48">
        <f>IF(NOT(ISBLANK(vlookup(B2613,Pop_Census_2023!$A$2:$E$3220,4,FALSE))),vlookup(B2613,Pop_Census_2023!$A$2:$E$3220,4,FALSE), vlookup(B2613,Pop_Census_2023!$A$2:$E$3220,5,FALSE))</f>
        <v>57736</v>
      </c>
    </row>
    <row r="2614">
      <c r="A2614" s="47" t="s">
        <v>3524</v>
      </c>
      <c r="B2614" s="47">
        <v>48003.0</v>
      </c>
      <c r="C2614" s="47">
        <v>3.0</v>
      </c>
      <c r="D2614" s="47" t="s">
        <v>4053</v>
      </c>
      <c r="E2614" s="47" t="str">
        <f t="shared" si="1"/>
        <v>3B</v>
      </c>
      <c r="F2614" s="47" t="s">
        <v>4055</v>
      </c>
      <c r="G2614" s="47" t="s">
        <v>1643</v>
      </c>
      <c r="H2614" s="48">
        <f>IF(NOT(ISBLANK(vlookup(B2614,Pop_Census_2023!$A$2:$E$3220,4,FALSE))),vlookup(B2614,Pop_Census_2023!$A$2:$E$3220,4,FALSE), vlookup(B2614,Pop_Census_2023!$A$2:$E$3220,5,FALSE))</f>
        <v>18664</v>
      </c>
    </row>
    <row r="2615">
      <c r="A2615" s="47" t="s">
        <v>3524</v>
      </c>
      <c r="B2615" s="47">
        <v>48005.0</v>
      </c>
      <c r="C2615" s="47">
        <v>2.0</v>
      </c>
      <c r="D2615" s="47" t="s">
        <v>4044</v>
      </c>
      <c r="E2615" s="47" t="str">
        <f t="shared" si="1"/>
        <v>2A</v>
      </c>
      <c r="F2615" s="47" t="s">
        <v>4045</v>
      </c>
      <c r="G2615" s="47" t="s">
        <v>1644</v>
      </c>
      <c r="H2615" s="48">
        <f>IF(NOT(ISBLANK(vlookup(B2615,Pop_Census_2023!$A$2:$E$3220,4,FALSE))),vlookup(B2615,Pop_Census_2023!$A$2:$E$3220,4,FALSE), vlookup(B2615,Pop_Census_2023!$A$2:$E$3220,5,FALSE))</f>
        <v>87319</v>
      </c>
    </row>
    <row r="2616">
      <c r="A2616" s="47" t="s">
        <v>3524</v>
      </c>
      <c r="B2616" s="47">
        <v>48007.0</v>
      </c>
      <c r="C2616" s="47">
        <v>2.0</v>
      </c>
      <c r="D2616" s="47" t="s">
        <v>4044</v>
      </c>
      <c r="E2616" s="47" t="str">
        <f t="shared" si="1"/>
        <v>2A</v>
      </c>
      <c r="F2616" s="47" t="s">
        <v>4045</v>
      </c>
      <c r="G2616" s="47" t="s">
        <v>1645</v>
      </c>
      <c r="H2616" s="48">
        <f>IF(NOT(ISBLANK(vlookup(B2616,Pop_Census_2023!$A$2:$E$3220,4,FALSE))),vlookup(B2616,Pop_Census_2023!$A$2:$E$3220,4,FALSE), vlookup(B2616,Pop_Census_2023!$A$2:$E$3220,5,FALSE))</f>
        <v>25374</v>
      </c>
    </row>
    <row r="2617">
      <c r="A2617" s="47" t="s">
        <v>3524</v>
      </c>
      <c r="B2617" s="47">
        <v>48009.0</v>
      </c>
      <c r="C2617" s="47">
        <v>3.0</v>
      </c>
      <c r="D2617" s="47" t="s">
        <v>4044</v>
      </c>
      <c r="E2617" s="47" t="str">
        <f t="shared" si="1"/>
        <v>3A</v>
      </c>
      <c r="F2617" s="47" t="s">
        <v>4046</v>
      </c>
      <c r="G2617" s="47" t="s">
        <v>1646</v>
      </c>
      <c r="H2617" s="48">
        <f>IF(NOT(ISBLANK(vlookup(B2617,Pop_Census_2023!$A$2:$E$3220,4,FALSE))),vlookup(B2617,Pop_Census_2023!$A$2:$E$3220,4,FALSE), vlookup(B2617,Pop_Census_2023!$A$2:$E$3220,5,FALSE))</f>
        <v>9029</v>
      </c>
    </row>
    <row r="2618">
      <c r="A2618" s="47" t="s">
        <v>3524</v>
      </c>
      <c r="B2618" s="47">
        <v>48011.0</v>
      </c>
      <c r="C2618" s="47">
        <v>4.0</v>
      </c>
      <c r="D2618" s="47" t="s">
        <v>4053</v>
      </c>
      <c r="E2618" s="47" t="str">
        <f t="shared" si="1"/>
        <v>4B</v>
      </c>
      <c r="F2618" s="47" t="s">
        <v>4056</v>
      </c>
      <c r="G2618" s="47" t="s">
        <v>1516</v>
      </c>
      <c r="H2618" s="48">
        <f>IF(NOT(ISBLANK(vlookup(B2618,Pop_Census_2023!$A$2:$E$3220,4,FALSE))),vlookup(B2618,Pop_Census_2023!$A$2:$E$3220,4,FALSE), vlookup(B2618,Pop_Census_2023!$A$2:$E$3220,5,FALSE))</f>
        <v>1832</v>
      </c>
    </row>
    <row r="2619">
      <c r="A2619" s="47" t="s">
        <v>3524</v>
      </c>
      <c r="B2619" s="47">
        <v>48013.0</v>
      </c>
      <c r="C2619" s="47">
        <v>2.0</v>
      </c>
      <c r="D2619" s="47" t="s">
        <v>4044</v>
      </c>
      <c r="E2619" s="47" t="str">
        <f t="shared" si="1"/>
        <v>2A</v>
      </c>
      <c r="F2619" s="47" t="s">
        <v>4045</v>
      </c>
      <c r="G2619" s="47" t="s">
        <v>1647</v>
      </c>
      <c r="H2619" s="48">
        <f>IF(NOT(ISBLANK(vlookup(B2619,Pop_Census_2023!$A$2:$E$3220,4,FALSE))),vlookup(B2619,Pop_Census_2023!$A$2:$E$3220,4,FALSE), vlookup(B2619,Pop_Census_2023!$A$2:$E$3220,5,FALSE))</f>
        <v>51784</v>
      </c>
    </row>
    <row r="2620">
      <c r="A2620" s="47" t="s">
        <v>3524</v>
      </c>
      <c r="B2620" s="47">
        <v>48015.0</v>
      </c>
      <c r="C2620" s="47">
        <v>2.0</v>
      </c>
      <c r="D2620" s="47" t="s">
        <v>4044</v>
      </c>
      <c r="E2620" s="47" t="str">
        <f t="shared" si="1"/>
        <v>2A</v>
      </c>
      <c r="F2620" s="47" t="s">
        <v>4045</v>
      </c>
      <c r="G2620" s="47" t="s">
        <v>1648</v>
      </c>
      <c r="H2620" s="48">
        <f>IF(NOT(ISBLANK(vlookup(B2620,Pop_Census_2023!$A$2:$E$3220,4,FALSE))),vlookup(B2620,Pop_Census_2023!$A$2:$E$3220,4,FALSE), vlookup(B2620,Pop_Census_2023!$A$2:$E$3220,5,FALSE))</f>
        <v>31677</v>
      </c>
    </row>
    <row r="2621">
      <c r="A2621" s="47" t="s">
        <v>3524</v>
      </c>
      <c r="B2621" s="47">
        <v>48017.0</v>
      </c>
      <c r="C2621" s="47">
        <v>4.0</v>
      </c>
      <c r="D2621" s="47" t="s">
        <v>4053</v>
      </c>
      <c r="E2621" s="47" t="str">
        <f t="shared" si="1"/>
        <v>4B</v>
      </c>
      <c r="F2621" s="47" t="s">
        <v>4056</v>
      </c>
      <c r="G2621" s="47" t="s">
        <v>1649</v>
      </c>
      <c r="H2621" s="48">
        <f>IF(NOT(ISBLANK(vlookup(B2621,Pop_Census_2023!$A$2:$E$3220,4,FALSE))),vlookup(B2621,Pop_Census_2023!$A$2:$E$3220,4,FALSE), vlookup(B2621,Pop_Census_2023!$A$2:$E$3220,5,FALSE))</f>
        <v>6672</v>
      </c>
    </row>
    <row r="2622">
      <c r="A2622" s="47" t="s">
        <v>3524</v>
      </c>
      <c r="B2622" s="47">
        <v>48019.0</v>
      </c>
      <c r="C2622" s="47">
        <v>2.0</v>
      </c>
      <c r="D2622" s="47" t="s">
        <v>4053</v>
      </c>
      <c r="E2622" s="47" t="str">
        <f t="shared" si="1"/>
        <v>2B</v>
      </c>
      <c r="F2622" s="47" t="s">
        <v>4045</v>
      </c>
      <c r="G2622" s="47" t="s">
        <v>1650</v>
      </c>
      <c r="H2622" s="48">
        <f>IF(NOT(ISBLANK(vlookup(B2622,Pop_Census_2023!$A$2:$E$3220,4,FALSE))),vlookup(B2622,Pop_Census_2023!$A$2:$E$3220,4,FALSE), vlookup(B2622,Pop_Census_2023!$A$2:$E$3220,5,FALSE))</f>
        <v>22637</v>
      </c>
    </row>
    <row r="2623">
      <c r="A2623" s="47" t="s">
        <v>3524</v>
      </c>
      <c r="B2623" s="47">
        <v>48021.0</v>
      </c>
      <c r="C2623" s="47">
        <v>2.0</v>
      </c>
      <c r="D2623" s="47" t="s">
        <v>4044</v>
      </c>
      <c r="E2623" s="47" t="str">
        <f t="shared" si="1"/>
        <v>2A</v>
      </c>
      <c r="F2623" s="47" t="s">
        <v>4045</v>
      </c>
      <c r="G2623" s="47" t="s">
        <v>1651</v>
      </c>
      <c r="H2623" s="48">
        <f>IF(NOT(ISBLANK(vlookup(B2623,Pop_Census_2023!$A$2:$E$3220,4,FALSE))),vlookup(B2623,Pop_Census_2023!$A$2:$E$3220,4,FALSE), vlookup(B2623,Pop_Census_2023!$A$2:$E$3220,5,FALSE))</f>
        <v>110778</v>
      </c>
    </row>
    <row r="2624">
      <c r="A2624" s="47" t="s">
        <v>3524</v>
      </c>
      <c r="B2624" s="47">
        <v>48023.0</v>
      </c>
      <c r="C2624" s="47">
        <v>3.0</v>
      </c>
      <c r="D2624" s="47" t="s">
        <v>4053</v>
      </c>
      <c r="E2624" s="47" t="str">
        <f t="shared" si="1"/>
        <v>3B</v>
      </c>
      <c r="F2624" s="47" t="s">
        <v>4055</v>
      </c>
      <c r="G2624" s="47" t="s">
        <v>1652</v>
      </c>
      <c r="H2624" s="48">
        <f>IF(NOT(ISBLANK(vlookup(B2624,Pop_Census_2023!$A$2:$E$3220,4,FALSE))),vlookup(B2624,Pop_Census_2023!$A$2:$E$3220,4,FALSE), vlookup(B2624,Pop_Census_2023!$A$2:$E$3220,5,FALSE))</f>
        <v>3463</v>
      </c>
    </row>
    <row r="2625">
      <c r="A2625" s="47" t="s">
        <v>3524</v>
      </c>
      <c r="B2625" s="47">
        <v>48025.0</v>
      </c>
      <c r="C2625" s="47">
        <v>2.0</v>
      </c>
      <c r="D2625" s="47" t="s">
        <v>4044</v>
      </c>
      <c r="E2625" s="47" t="str">
        <f t="shared" si="1"/>
        <v>2A</v>
      </c>
      <c r="F2625" s="47" t="s">
        <v>4045</v>
      </c>
      <c r="G2625" s="47" t="s">
        <v>1653</v>
      </c>
      <c r="H2625" s="48">
        <f>IF(NOT(ISBLANK(vlookup(B2625,Pop_Census_2023!$A$2:$E$3220,4,FALSE))),vlookup(B2625,Pop_Census_2023!$A$2:$E$3220,4,FALSE), vlookup(B2625,Pop_Census_2023!$A$2:$E$3220,5,FALSE))</f>
        <v>30850</v>
      </c>
    </row>
    <row r="2626">
      <c r="A2626" s="47" t="s">
        <v>3524</v>
      </c>
      <c r="B2626" s="47">
        <v>48027.0</v>
      </c>
      <c r="C2626" s="47">
        <v>2.0</v>
      </c>
      <c r="D2626" s="47" t="s">
        <v>4044</v>
      </c>
      <c r="E2626" s="47" t="str">
        <f t="shared" si="1"/>
        <v>2A</v>
      </c>
      <c r="F2626" s="47" t="s">
        <v>4045</v>
      </c>
      <c r="G2626" s="47" t="s">
        <v>822</v>
      </c>
      <c r="H2626" s="48">
        <f>IF(NOT(ISBLANK(vlookup(B2626,Pop_Census_2023!$A$2:$E$3220,4,FALSE))),vlookup(B2626,Pop_Census_2023!$A$2:$E$3220,4,FALSE), vlookup(B2626,Pop_Census_2023!$A$2:$E$3220,5,FALSE))</f>
        <v>393193</v>
      </c>
    </row>
    <row r="2627">
      <c r="A2627" s="47" t="s">
        <v>3524</v>
      </c>
      <c r="B2627" s="47">
        <v>48029.0</v>
      </c>
      <c r="C2627" s="47">
        <v>2.0</v>
      </c>
      <c r="D2627" s="47" t="s">
        <v>4044</v>
      </c>
      <c r="E2627" s="47" t="str">
        <f t="shared" si="1"/>
        <v>2A</v>
      </c>
      <c r="F2627" s="47" t="s">
        <v>4045</v>
      </c>
      <c r="G2627" s="47" t="s">
        <v>1654</v>
      </c>
      <c r="H2627" s="48">
        <f>IF(NOT(ISBLANK(vlookup(B2627,Pop_Census_2023!$A$2:$E$3220,4,FALSE))),vlookup(B2627,Pop_Census_2023!$A$2:$E$3220,4,FALSE), vlookup(B2627,Pop_Census_2023!$A$2:$E$3220,5,FALSE))</f>
        <v>2087679</v>
      </c>
    </row>
    <row r="2628">
      <c r="A2628" s="47" t="s">
        <v>3524</v>
      </c>
      <c r="B2628" s="47">
        <v>48031.0</v>
      </c>
      <c r="C2628" s="47">
        <v>3.0</v>
      </c>
      <c r="D2628" s="47" t="s">
        <v>4044</v>
      </c>
      <c r="E2628" s="47" t="str">
        <f t="shared" si="1"/>
        <v>3A</v>
      </c>
      <c r="F2628" s="47" t="s">
        <v>4045</v>
      </c>
      <c r="G2628" s="47" t="s">
        <v>1655</v>
      </c>
      <c r="H2628" s="48">
        <f>IF(NOT(ISBLANK(vlookup(B2628,Pop_Census_2023!$A$2:$E$3220,4,FALSE))),vlookup(B2628,Pop_Census_2023!$A$2:$E$3220,4,FALSE), vlookup(B2628,Pop_Census_2023!$A$2:$E$3220,5,FALSE))</f>
        <v>13048</v>
      </c>
    </row>
    <row r="2629">
      <c r="A2629" s="47" t="s">
        <v>3524</v>
      </c>
      <c r="B2629" s="47">
        <v>48033.0</v>
      </c>
      <c r="C2629" s="47">
        <v>3.0</v>
      </c>
      <c r="D2629" s="47" t="s">
        <v>4053</v>
      </c>
      <c r="E2629" s="47" t="str">
        <f t="shared" si="1"/>
        <v>3B</v>
      </c>
      <c r="F2629" s="47" t="s">
        <v>4055</v>
      </c>
      <c r="G2629" s="47" t="s">
        <v>1656</v>
      </c>
      <c r="H2629" s="34">
        <f>IF(NOT(ISBLANK(vlookup(B2629,Pop_Census_2023!$A$2:$E$3220,4,FALSE))),vlookup(B2629,Pop_Census_2023!$A$2:$E$3220,4,FALSE), vlookup(B2629,Pop_Census_2023!$A$2:$E$3220,5,FALSE))</f>
        <v>572</v>
      </c>
    </row>
    <row r="2630">
      <c r="A2630" s="47" t="s">
        <v>3524</v>
      </c>
      <c r="B2630" s="47">
        <v>48035.0</v>
      </c>
      <c r="C2630" s="47">
        <v>2.0</v>
      </c>
      <c r="D2630" s="47" t="s">
        <v>4044</v>
      </c>
      <c r="E2630" s="47" t="str">
        <f t="shared" si="1"/>
        <v>2A</v>
      </c>
      <c r="F2630" s="47" t="s">
        <v>4045</v>
      </c>
      <c r="G2630" s="47" t="s">
        <v>1657</v>
      </c>
      <c r="H2630" s="48">
        <f>IF(NOT(ISBLANK(vlookup(B2630,Pop_Census_2023!$A$2:$E$3220,4,FALSE))),vlookup(B2630,Pop_Census_2023!$A$2:$E$3220,4,FALSE), vlookup(B2630,Pop_Census_2023!$A$2:$E$3220,5,FALSE))</f>
        <v>18996</v>
      </c>
    </row>
    <row r="2631">
      <c r="A2631" s="47" t="s">
        <v>3524</v>
      </c>
      <c r="B2631" s="47">
        <v>48037.0</v>
      </c>
      <c r="C2631" s="47">
        <v>3.0</v>
      </c>
      <c r="D2631" s="47" t="s">
        <v>4044</v>
      </c>
      <c r="E2631" s="47" t="str">
        <f t="shared" si="1"/>
        <v>3A</v>
      </c>
      <c r="F2631" s="47" t="s">
        <v>4045</v>
      </c>
      <c r="G2631" s="47" t="s">
        <v>1658</v>
      </c>
      <c r="H2631" s="48">
        <f>IF(NOT(ISBLANK(vlookup(B2631,Pop_Census_2023!$A$2:$E$3220,4,FALSE))),vlookup(B2631,Pop_Census_2023!$A$2:$E$3220,4,FALSE), vlookup(B2631,Pop_Census_2023!$A$2:$E$3220,5,FALSE))</f>
        <v>91687</v>
      </c>
    </row>
    <row r="2632">
      <c r="A2632" s="47" t="s">
        <v>3524</v>
      </c>
      <c r="B2632" s="47">
        <v>48039.0</v>
      </c>
      <c r="C2632" s="47">
        <v>2.0</v>
      </c>
      <c r="D2632" s="47" t="s">
        <v>4044</v>
      </c>
      <c r="E2632" s="47" t="str">
        <f t="shared" si="1"/>
        <v>2A</v>
      </c>
      <c r="F2632" s="47" t="s">
        <v>4045</v>
      </c>
      <c r="G2632" s="47" t="s">
        <v>1659</v>
      </c>
      <c r="H2632" s="48">
        <f>IF(NOT(ISBLANK(vlookup(B2632,Pop_Census_2023!$A$2:$E$3220,4,FALSE))),vlookup(B2632,Pop_Census_2023!$A$2:$E$3220,4,FALSE), vlookup(B2632,Pop_Census_2023!$A$2:$E$3220,5,FALSE))</f>
        <v>398938</v>
      </c>
    </row>
    <row r="2633">
      <c r="A2633" s="47" t="s">
        <v>3524</v>
      </c>
      <c r="B2633" s="47">
        <v>48041.0</v>
      </c>
      <c r="C2633" s="47">
        <v>2.0</v>
      </c>
      <c r="D2633" s="47" t="s">
        <v>4044</v>
      </c>
      <c r="E2633" s="47" t="str">
        <f t="shared" si="1"/>
        <v>2A</v>
      </c>
      <c r="F2633" s="47" t="s">
        <v>4045</v>
      </c>
      <c r="G2633" s="47" t="s">
        <v>1660</v>
      </c>
      <c r="H2633" s="48">
        <f>IF(NOT(ISBLANK(vlookup(B2633,Pop_Census_2023!$A$2:$E$3220,4,FALSE))),vlookup(B2633,Pop_Census_2023!$A$2:$E$3220,4,FALSE), vlookup(B2633,Pop_Census_2023!$A$2:$E$3220,5,FALSE))</f>
        <v>244703</v>
      </c>
    </row>
    <row r="2634">
      <c r="A2634" s="47" t="s">
        <v>3524</v>
      </c>
      <c r="B2634" s="47">
        <v>48043.0</v>
      </c>
      <c r="C2634" s="47">
        <v>3.0</v>
      </c>
      <c r="D2634" s="47" t="s">
        <v>4053</v>
      </c>
      <c r="E2634" s="47" t="str">
        <f t="shared" si="1"/>
        <v>3B</v>
      </c>
      <c r="F2634" s="47" t="s">
        <v>4055</v>
      </c>
      <c r="G2634" s="47" t="s">
        <v>1661</v>
      </c>
      <c r="H2634" s="48">
        <f>IF(NOT(ISBLANK(vlookup(B2634,Pop_Census_2023!$A$2:$E$3220,4,FALSE))),vlookup(B2634,Pop_Census_2023!$A$2:$E$3220,4,FALSE), vlookup(B2634,Pop_Census_2023!$A$2:$E$3220,5,FALSE))</f>
        <v>9513</v>
      </c>
    </row>
    <row r="2635">
      <c r="A2635" s="47" t="s">
        <v>3524</v>
      </c>
      <c r="B2635" s="47">
        <v>48045.0</v>
      </c>
      <c r="C2635" s="47">
        <v>4.0</v>
      </c>
      <c r="D2635" s="47" t="s">
        <v>4053</v>
      </c>
      <c r="E2635" s="47" t="str">
        <f t="shared" si="1"/>
        <v>4B</v>
      </c>
      <c r="F2635" s="47" t="s">
        <v>4056</v>
      </c>
      <c r="G2635" s="47" t="s">
        <v>1662</v>
      </c>
      <c r="H2635" s="48">
        <f>IF(NOT(ISBLANK(vlookup(B2635,Pop_Census_2023!$A$2:$E$3220,4,FALSE))),vlookup(B2635,Pop_Census_2023!$A$2:$E$3220,4,FALSE), vlookup(B2635,Pop_Census_2023!$A$2:$E$3220,5,FALSE))</f>
        <v>1445</v>
      </c>
    </row>
    <row r="2636">
      <c r="A2636" s="47" t="s">
        <v>3524</v>
      </c>
      <c r="B2636" s="47">
        <v>48047.0</v>
      </c>
      <c r="C2636" s="47">
        <v>2.0</v>
      </c>
      <c r="D2636" s="47" t="s">
        <v>4044</v>
      </c>
      <c r="E2636" s="47" t="str">
        <f t="shared" si="1"/>
        <v>2A</v>
      </c>
      <c r="F2636" s="47" t="s">
        <v>4045</v>
      </c>
      <c r="G2636" s="47" t="s">
        <v>471</v>
      </c>
      <c r="H2636" s="48">
        <f>IF(NOT(ISBLANK(vlookup(B2636,Pop_Census_2023!$A$2:$E$3220,4,FALSE))),vlookup(B2636,Pop_Census_2023!$A$2:$E$3220,4,FALSE), vlookup(B2636,Pop_Census_2023!$A$2:$E$3220,5,FALSE))</f>
        <v>6848</v>
      </c>
    </row>
    <row r="2637">
      <c r="A2637" s="47" t="s">
        <v>3524</v>
      </c>
      <c r="B2637" s="47">
        <v>48049.0</v>
      </c>
      <c r="C2637" s="47">
        <v>3.0</v>
      </c>
      <c r="D2637" s="47" t="s">
        <v>4044</v>
      </c>
      <c r="E2637" s="47" t="str">
        <f t="shared" si="1"/>
        <v>3A</v>
      </c>
      <c r="F2637" s="47" t="s">
        <v>4045</v>
      </c>
      <c r="G2637" s="47" t="s">
        <v>611</v>
      </c>
      <c r="H2637" s="48">
        <f>IF(NOT(ISBLANK(vlookup(B2637,Pop_Census_2023!$A$2:$E$3220,4,FALSE))),vlookup(B2637,Pop_Census_2023!$A$2:$E$3220,4,FALSE), vlookup(B2637,Pop_Census_2023!$A$2:$E$3220,5,FALSE))</f>
        <v>38709</v>
      </c>
    </row>
    <row r="2638">
      <c r="A2638" s="47" t="s">
        <v>3524</v>
      </c>
      <c r="B2638" s="47">
        <v>48051.0</v>
      </c>
      <c r="C2638" s="47">
        <v>2.0</v>
      </c>
      <c r="D2638" s="47" t="s">
        <v>4044</v>
      </c>
      <c r="E2638" s="47" t="str">
        <f t="shared" si="1"/>
        <v>2A</v>
      </c>
      <c r="F2638" s="47" t="s">
        <v>4045</v>
      </c>
      <c r="G2638" s="47" t="s">
        <v>1663</v>
      </c>
      <c r="H2638" s="48">
        <f>IF(NOT(ISBLANK(vlookup(B2638,Pop_Census_2023!$A$2:$E$3220,4,FALSE))),vlookup(B2638,Pop_Census_2023!$A$2:$E$3220,4,FALSE), vlookup(B2638,Pop_Census_2023!$A$2:$E$3220,5,FALSE))</f>
        <v>19475</v>
      </c>
    </row>
    <row r="2639">
      <c r="A2639" s="47" t="s">
        <v>3524</v>
      </c>
      <c r="B2639" s="47">
        <v>48053.0</v>
      </c>
      <c r="C2639" s="47">
        <v>3.0</v>
      </c>
      <c r="D2639" s="47" t="s">
        <v>4044</v>
      </c>
      <c r="E2639" s="47" t="str">
        <f t="shared" si="1"/>
        <v>3A</v>
      </c>
      <c r="F2639" s="47" t="s">
        <v>4045</v>
      </c>
      <c r="G2639" s="47" t="s">
        <v>1664</v>
      </c>
      <c r="H2639" s="48">
        <f>IF(NOT(ISBLANK(vlookup(B2639,Pop_Census_2023!$A$2:$E$3220,4,FALSE))),vlookup(B2639,Pop_Census_2023!$A$2:$E$3220,4,FALSE), vlookup(B2639,Pop_Census_2023!$A$2:$E$3220,5,FALSE))</f>
        <v>53991</v>
      </c>
    </row>
    <row r="2640">
      <c r="A2640" s="47" t="s">
        <v>3524</v>
      </c>
      <c r="B2640" s="47">
        <v>48055.0</v>
      </c>
      <c r="C2640" s="47">
        <v>2.0</v>
      </c>
      <c r="D2640" s="47" t="s">
        <v>4044</v>
      </c>
      <c r="E2640" s="47" t="str">
        <f t="shared" si="1"/>
        <v>2A</v>
      </c>
      <c r="F2640" s="47" t="s">
        <v>4045</v>
      </c>
      <c r="G2640" s="47" t="s">
        <v>829</v>
      </c>
      <c r="H2640" s="48">
        <f>IF(NOT(ISBLANK(vlookup(B2640,Pop_Census_2023!$A$2:$E$3220,4,FALSE))),vlookup(B2640,Pop_Census_2023!$A$2:$E$3220,4,FALSE), vlookup(B2640,Pop_Census_2023!$A$2:$E$3220,5,FALSE))</f>
        <v>49859</v>
      </c>
    </row>
    <row r="2641">
      <c r="A2641" s="47" t="s">
        <v>3524</v>
      </c>
      <c r="B2641" s="47">
        <v>48057.0</v>
      </c>
      <c r="C2641" s="47">
        <v>2.0</v>
      </c>
      <c r="D2641" s="47" t="s">
        <v>4044</v>
      </c>
      <c r="E2641" s="47" t="str">
        <f t="shared" si="1"/>
        <v>2A</v>
      </c>
      <c r="F2641" s="47" t="s">
        <v>4045</v>
      </c>
      <c r="G2641" s="47" t="s">
        <v>110</v>
      </c>
      <c r="H2641" s="48">
        <f>IF(NOT(ISBLANK(vlookup(B2641,Pop_Census_2023!$A$2:$E$3220,4,FALSE))),vlookup(B2641,Pop_Census_2023!$A$2:$E$3220,4,FALSE), vlookup(B2641,Pop_Census_2023!$A$2:$E$3220,5,FALSE))</f>
        <v>19696</v>
      </c>
    </row>
    <row r="2642">
      <c r="A2642" s="47" t="s">
        <v>3524</v>
      </c>
      <c r="B2642" s="47">
        <v>48059.0</v>
      </c>
      <c r="C2642" s="47">
        <v>3.0</v>
      </c>
      <c r="D2642" s="47" t="s">
        <v>4053</v>
      </c>
      <c r="E2642" s="47" t="str">
        <f t="shared" si="1"/>
        <v>3B</v>
      </c>
      <c r="F2642" s="47" t="s">
        <v>4055</v>
      </c>
      <c r="G2642" s="47" t="s">
        <v>1665</v>
      </c>
      <c r="H2642" s="48">
        <f>IF(NOT(ISBLANK(vlookup(B2642,Pop_Census_2023!$A$2:$E$3220,4,FALSE))),vlookup(B2642,Pop_Census_2023!$A$2:$E$3220,4,FALSE), vlookup(B2642,Pop_Census_2023!$A$2:$E$3220,5,FALSE))</f>
        <v>14374</v>
      </c>
    </row>
    <row r="2643">
      <c r="A2643" s="47" t="s">
        <v>3524</v>
      </c>
      <c r="B2643" s="47">
        <v>48061.0</v>
      </c>
      <c r="C2643" s="47">
        <v>2.0</v>
      </c>
      <c r="D2643" s="47" t="s">
        <v>4044</v>
      </c>
      <c r="E2643" s="47" t="str">
        <f t="shared" si="1"/>
        <v>2A</v>
      </c>
      <c r="F2643" s="47" t="s">
        <v>4045</v>
      </c>
      <c r="G2643" s="47" t="s">
        <v>884</v>
      </c>
      <c r="H2643" s="48">
        <f>IF(NOT(ISBLANK(vlookup(B2643,Pop_Census_2023!$A$2:$E$3220,4,FALSE))),vlookup(B2643,Pop_Census_2023!$A$2:$E$3220,4,FALSE), vlookup(B2643,Pop_Census_2023!$A$2:$E$3220,5,FALSE))</f>
        <v>426710</v>
      </c>
    </row>
    <row r="2644">
      <c r="A2644" s="47" t="s">
        <v>3524</v>
      </c>
      <c r="B2644" s="47">
        <v>48063.0</v>
      </c>
      <c r="C2644" s="47">
        <v>3.0</v>
      </c>
      <c r="D2644" s="47" t="s">
        <v>4044</v>
      </c>
      <c r="E2644" s="47" t="str">
        <f t="shared" si="1"/>
        <v>3A</v>
      </c>
      <c r="F2644" s="47" t="s">
        <v>4045</v>
      </c>
      <c r="G2644" s="47" t="s">
        <v>1666</v>
      </c>
      <c r="H2644" s="48">
        <f>IF(NOT(ISBLANK(vlookup(B2644,Pop_Census_2023!$A$2:$E$3220,4,FALSE))),vlookup(B2644,Pop_Census_2023!$A$2:$E$3220,4,FALSE), vlookup(B2644,Pop_Census_2023!$A$2:$E$3220,5,FALSE))</f>
        <v>13000</v>
      </c>
    </row>
    <row r="2645">
      <c r="A2645" s="47" t="s">
        <v>3524</v>
      </c>
      <c r="B2645" s="47">
        <v>48065.0</v>
      </c>
      <c r="C2645" s="47">
        <v>4.0</v>
      </c>
      <c r="D2645" s="47" t="s">
        <v>4053</v>
      </c>
      <c r="E2645" s="47" t="str">
        <f t="shared" si="1"/>
        <v>4B</v>
      </c>
      <c r="F2645" s="47" t="s">
        <v>4056</v>
      </c>
      <c r="G2645" s="47" t="s">
        <v>1667</v>
      </c>
      <c r="H2645" s="48">
        <f>IF(NOT(ISBLANK(vlookup(B2645,Pop_Census_2023!$A$2:$E$3220,4,FALSE))),vlookup(B2645,Pop_Census_2023!$A$2:$E$3220,4,FALSE), vlookup(B2645,Pop_Census_2023!$A$2:$E$3220,5,FALSE))</f>
        <v>5878</v>
      </c>
    </row>
    <row r="2646">
      <c r="A2646" s="47" t="s">
        <v>3524</v>
      </c>
      <c r="B2646" s="47">
        <v>48067.0</v>
      </c>
      <c r="C2646" s="47">
        <v>3.0</v>
      </c>
      <c r="D2646" s="47" t="s">
        <v>4044</v>
      </c>
      <c r="E2646" s="47" t="str">
        <f t="shared" si="1"/>
        <v>3A</v>
      </c>
      <c r="F2646" s="47" t="s">
        <v>4045</v>
      </c>
      <c r="G2646" s="47" t="s">
        <v>613</v>
      </c>
      <c r="H2646" s="48">
        <f>IF(NOT(ISBLANK(vlookup(B2646,Pop_Census_2023!$A$2:$E$3220,4,FALSE))),vlookup(B2646,Pop_Census_2023!$A$2:$E$3220,4,FALSE), vlookup(B2646,Pop_Census_2023!$A$2:$E$3220,5,FALSE))</f>
        <v>28659</v>
      </c>
    </row>
    <row r="2647">
      <c r="A2647" s="47" t="s">
        <v>3524</v>
      </c>
      <c r="B2647" s="47">
        <v>48069.0</v>
      </c>
      <c r="C2647" s="47">
        <v>4.0</v>
      </c>
      <c r="D2647" s="47" t="s">
        <v>4053</v>
      </c>
      <c r="E2647" s="47" t="str">
        <f t="shared" si="1"/>
        <v>4B</v>
      </c>
      <c r="F2647" s="47" t="s">
        <v>4056</v>
      </c>
      <c r="G2647" s="47" t="s">
        <v>1668</v>
      </c>
      <c r="H2647" s="48">
        <f>IF(NOT(ISBLANK(vlookup(B2647,Pop_Census_2023!$A$2:$E$3220,4,FALSE))),vlookup(B2647,Pop_Census_2023!$A$2:$E$3220,4,FALSE), vlookup(B2647,Pop_Census_2023!$A$2:$E$3220,5,FALSE))</f>
        <v>7227</v>
      </c>
    </row>
    <row r="2648">
      <c r="A2648" s="47" t="s">
        <v>3524</v>
      </c>
      <c r="B2648" s="47">
        <v>48071.0</v>
      </c>
      <c r="C2648" s="47">
        <v>2.0</v>
      </c>
      <c r="D2648" s="47" t="s">
        <v>4044</v>
      </c>
      <c r="E2648" s="47" t="str">
        <f t="shared" si="1"/>
        <v>2A</v>
      </c>
      <c r="F2648" s="47" t="s">
        <v>4045</v>
      </c>
      <c r="G2648" s="47" t="s">
        <v>111</v>
      </c>
      <c r="H2648" s="48">
        <f>IF(NOT(ISBLANK(vlookup(B2648,Pop_Census_2023!$A$2:$E$3220,4,FALSE))),vlookup(B2648,Pop_Census_2023!$A$2:$E$3220,4,FALSE), vlookup(B2648,Pop_Census_2023!$A$2:$E$3220,5,FALSE))</f>
        <v>53876</v>
      </c>
    </row>
    <row r="2649">
      <c r="A2649" s="47" t="s">
        <v>3524</v>
      </c>
      <c r="B2649" s="47">
        <v>48073.0</v>
      </c>
      <c r="C2649" s="47">
        <v>2.0</v>
      </c>
      <c r="D2649" s="47" t="s">
        <v>4044</v>
      </c>
      <c r="E2649" s="47" t="str">
        <f t="shared" si="1"/>
        <v>2A</v>
      </c>
      <c r="F2649" s="47" t="s">
        <v>4045</v>
      </c>
      <c r="G2649" s="47" t="s">
        <v>112</v>
      </c>
      <c r="H2649" s="48">
        <f>IF(NOT(ISBLANK(vlookup(B2649,Pop_Census_2023!$A$2:$E$3220,4,FALSE))),vlookup(B2649,Pop_Census_2023!$A$2:$E$3220,4,FALSE), vlookup(B2649,Pop_Census_2023!$A$2:$E$3220,5,FALSE))</f>
        <v>52217</v>
      </c>
    </row>
    <row r="2650">
      <c r="A2650" s="47" t="s">
        <v>3524</v>
      </c>
      <c r="B2650" s="47">
        <v>48075.0</v>
      </c>
      <c r="C2650" s="47">
        <v>3.0</v>
      </c>
      <c r="D2650" s="47" t="s">
        <v>4053</v>
      </c>
      <c r="E2650" s="47" t="str">
        <f t="shared" si="1"/>
        <v>3B</v>
      </c>
      <c r="F2650" s="47" t="s">
        <v>4055</v>
      </c>
      <c r="G2650" s="47" t="s">
        <v>1669</v>
      </c>
      <c r="H2650" s="48">
        <f>IF(NOT(ISBLANK(vlookup(B2650,Pop_Census_2023!$A$2:$E$3220,4,FALSE))),vlookup(B2650,Pop_Census_2023!$A$2:$E$3220,4,FALSE), vlookup(B2650,Pop_Census_2023!$A$2:$E$3220,5,FALSE))</f>
        <v>6788</v>
      </c>
    </row>
    <row r="2651">
      <c r="A2651" s="47" t="s">
        <v>3524</v>
      </c>
      <c r="B2651" s="47">
        <v>48077.0</v>
      </c>
      <c r="C2651" s="47">
        <v>3.0</v>
      </c>
      <c r="D2651" s="47" t="s">
        <v>4044</v>
      </c>
      <c r="E2651" s="47" t="str">
        <f t="shared" si="1"/>
        <v>3A</v>
      </c>
      <c r="F2651" s="47" t="s">
        <v>4046</v>
      </c>
      <c r="G2651" s="47" t="s">
        <v>116</v>
      </c>
      <c r="H2651" s="48">
        <f>IF(NOT(ISBLANK(vlookup(B2651,Pop_Census_2023!$A$2:$E$3220,4,FALSE))),vlookup(B2651,Pop_Census_2023!$A$2:$E$3220,4,FALSE), vlookup(B2651,Pop_Census_2023!$A$2:$E$3220,5,FALSE))</f>
        <v>10738</v>
      </c>
    </row>
    <row r="2652">
      <c r="A2652" s="47" t="s">
        <v>3524</v>
      </c>
      <c r="B2652" s="47">
        <v>48079.0</v>
      </c>
      <c r="C2652" s="47">
        <v>4.0</v>
      </c>
      <c r="D2652" s="47" t="s">
        <v>4053</v>
      </c>
      <c r="E2652" s="47" t="str">
        <f t="shared" si="1"/>
        <v>4B</v>
      </c>
      <c r="F2652" s="47" t="s">
        <v>4056</v>
      </c>
      <c r="G2652" s="47" t="s">
        <v>1670</v>
      </c>
      <c r="H2652" s="48">
        <f>IF(NOT(ISBLANK(vlookup(B2652,Pop_Census_2023!$A$2:$E$3220,4,FALSE))),vlookup(B2652,Pop_Census_2023!$A$2:$E$3220,4,FALSE), vlookup(B2652,Pop_Census_2023!$A$2:$E$3220,5,FALSE))</f>
        <v>2509</v>
      </c>
    </row>
    <row r="2653">
      <c r="A2653" s="47" t="s">
        <v>3524</v>
      </c>
      <c r="B2653" s="47">
        <v>48081.0</v>
      </c>
      <c r="C2653" s="47">
        <v>3.0</v>
      </c>
      <c r="D2653" s="47" t="s">
        <v>4053</v>
      </c>
      <c r="E2653" s="47" t="str">
        <f t="shared" si="1"/>
        <v>3B</v>
      </c>
      <c r="F2653" s="47" t="s">
        <v>4055</v>
      </c>
      <c r="G2653" s="47" t="s">
        <v>1671</v>
      </c>
      <c r="H2653" s="48">
        <f>IF(NOT(ISBLANK(vlookup(B2653,Pop_Census_2023!$A$2:$E$3220,4,FALSE))),vlookup(B2653,Pop_Census_2023!$A$2:$E$3220,4,FALSE), vlookup(B2653,Pop_Census_2023!$A$2:$E$3220,5,FALSE))</f>
        <v>3352</v>
      </c>
    </row>
    <row r="2654">
      <c r="A2654" s="47" t="s">
        <v>3524</v>
      </c>
      <c r="B2654" s="47">
        <v>48083.0</v>
      </c>
      <c r="C2654" s="47">
        <v>3.0</v>
      </c>
      <c r="D2654" s="47" t="s">
        <v>4053</v>
      </c>
      <c r="E2654" s="47" t="str">
        <f t="shared" si="1"/>
        <v>3B</v>
      </c>
      <c r="F2654" s="47" t="s">
        <v>4055</v>
      </c>
      <c r="G2654" s="47" t="s">
        <v>1672</v>
      </c>
      <c r="H2654" s="48">
        <f>IF(NOT(ISBLANK(vlookup(B2654,Pop_Census_2023!$A$2:$E$3220,4,FALSE))),vlookup(B2654,Pop_Census_2023!$A$2:$E$3220,4,FALSE), vlookup(B2654,Pop_Census_2023!$A$2:$E$3220,5,FALSE))</f>
        <v>7842</v>
      </c>
    </row>
    <row r="2655">
      <c r="A2655" s="47" t="s">
        <v>3524</v>
      </c>
      <c r="B2655" s="47">
        <v>48085.0</v>
      </c>
      <c r="C2655" s="47">
        <v>3.0</v>
      </c>
      <c r="D2655" s="47" t="s">
        <v>4044</v>
      </c>
      <c r="E2655" s="47" t="str">
        <f t="shared" si="1"/>
        <v>3A</v>
      </c>
      <c r="F2655" s="47" t="s">
        <v>4045</v>
      </c>
      <c r="G2655" s="47" t="s">
        <v>1673</v>
      </c>
      <c r="H2655" s="48">
        <f>IF(NOT(ISBLANK(vlookup(B2655,Pop_Census_2023!$A$2:$E$3220,4,FALSE))),vlookup(B2655,Pop_Census_2023!$A$2:$E$3220,4,FALSE), vlookup(B2655,Pop_Census_2023!$A$2:$E$3220,5,FALSE))</f>
        <v>1195359</v>
      </c>
    </row>
    <row r="2656">
      <c r="A2656" s="47" t="s">
        <v>3524</v>
      </c>
      <c r="B2656" s="47">
        <v>48087.0</v>
      </c>
      <c r="C2656" s="47">
        <v>3.0</v>
      </c>
      <c r="D2656" s="47" t="s">
        <v>4053</v>
      </c>
      <c r="E2656" s="47" t="str">
        <f t="shared" si="1"/>
        <v>3B</v>
      </c>
      <c r="F2656" s="47" t="s">
        <v>4055</v>
      </c>
      <c r="G2656" s="47" t="s">
        <v>1674</v>
      </c>
      <c r="H2656" s="48">
        <f>IF(NOT(ISBLANK(vlookup(B2656,Pop_Census_2023!$A$2:$E$3220,4,FALSE))),vlookup(B2656,Pop_Census_2023!$A$2:$E$3220,4,FALSE), vlookup(B2656,Pop_Census_2023!$A$2:$E$3220,5,FALSE))</f>
        <v>2563</v>
      </c>
    </row>
    <row r="2657">
      <c r="A2657" s="47" t="s">
        <v>3524</v>
      </c>
      <c r="B2657" s="47">
        <v>48089.0</v>
      </c>
      <c r="C2657" s="47">
        <v>2.0</v>
      </c>
      <c r="D2657" s="47" t="s">
        <v>4044</v>
      </c>
      <c r="E2657" s="47" t="str">
        <f t="shared" si="1"/>
        <v>2A</v>
      </c>
      <c r="F2657" s="47" t="s">
        <v>4045</v>
      </c>
      <c r="G2657" s="47" t="s">
        <v>339</v>
      </c>
      <c r="H2657" s="48">
        <f>IF(NOT(ISBLANK(vlookup(B2657,Pop_Census_2023!$A$2:$E$3220,4,FALSE))),vlookup(B2657,Pop_Census_2023!$A$2:$E$3220,4,FALSE), vlookup(B2657,Pop_Census_2023!$A$2:$E$3220,5,FALSE))</f>
        <v>21117</v>
      </c>
    </row>
    <row r="2658">
      <c r="A2658" s="47" t="s">
        <v>3524</v>
      </c>
      <c r="B2658" s="47">
        <v>48091.0</v>
      </c>
      <c r="C2658" s="47">
        <v>2.0</v>
      </c>
      <c r="D2658" s="47" t="s">
        <v>4044</v>
      </c>
      <c r="E2658" s="47" t="str">
        <f t="shared" si="1"/>
        <v>2A</v>
      </c>
      <c r="F2658" s="47" t="s">
        <v>4045</v>
      </c>
      <c r="G2658" s="47" t="s">
        <v>1675</v>
      </c>
      <c r="H2658" s="48">
        <f>IF(NOT(ISBLANK(vlookup(B2658,Pop_Census_2023!$A$2:$E$3220,4,FALSE))),vlookup(B2658,Pop_Census_2023!$A$2:$E$3220,4,FALSE), vlookup(B2658,Pop_Census_2023!$A$2:$E$3220,5,FALSE))</f>
        <v>193928</v>
      </c>
    </row>
    <row r="2659">
      <c r="A2659" s="47" t="s">
        <v>3524</v>
      </c>
      <c r="B2659" s="47">
        <v>48093.0</v>
      </c>
      <c r="C2659" s="47">
        <v>3.0</v>
      </c>
      <c r="D2659" s="47" t="s">
        <v>4044</v>
      </c>
      <c r="E2659" s="47" t="str">
        <f t="shared" si="1"/>
        <v>3A</v>
      </c>
      <c r="F2659" s="47" t="s">
        <v>4045</v>
      </c>
      <c r="G2659" s="47" t="s">
        <v>760</v>
      </c>
      <c r="H2659" s="48">
        <f>IF(NOT(ISBLANK(vlookup(B2659,Pop_Census_2023!$A$2:$E$3220,4,FALSE))),vlookup(B2659,Pop_Census_2023!$A$2:$E$3220,4,FALSE), vlookup(B2659,Pop_Census_2023!$A$2:$E$3220,5,FALSE))</f>
        <v>14050</v>
      </c>
    </row>
    <row r="2660">
      <c r="A2660" s="47" t="s">
        <v>3524</v>
      </c>
      <c r="B2660" s="47">
        <v>48095.0</v>
      </c>
      <c r="C2660" s="47">
        <v>3.0</v>
      </c>
      <c r="D2660" s="47" t="s">
        <v>4053</v>
      </c>
      <c r="E2660" s="47" t="str">
        <f t="shared" si="1"/>
        <v>3B</v>
      </c>
      <c r="F2660" s="47" t="s">
        <v>4055</v>
      </c>
      <c r="G2660" s="47" t="s">
        <v>1676</v>
      </c>
      <c r="H2660" s="48">
        <f>IF(NOT(ISBLANK(vlookup(B2660,Pop_Census_2023!$A$2:$E$3220,4,FALSE))),vlookup(B2660,Pop_Census_2023!$A$2:$E$3220,4,FALSE), vlookup(B2660,Pop_Census_2023!$A$2:$E$3220,5,FALSE))</f>
        <v>3297</v>
      </c>
    </row>
    <row r="2661">
      <c r="A2661" s="47" t="s">
        <v>3524</v>
      </c>
      <c r="B2661" s="47">
        <v>48097.0</v>
      </c>
      <c r="C2661" s="47">
        <v>3.0</v>
      </c>
      <c r="D2661" s="47" t="s">
        <v>4044</v>
      </c>
      <c r="E2661" s="47" t="str">
        <f t="shared" si="1"/>
        <v>3A</v>
      </c>
      <c r="F2661" s="47" t="s">
        <v>4046</v>
      </c>
      <c r="G2661" s="47" t="s">
        <v>1677</v>
      </c>
      <c r="H2661" s="48">
        <f>IF(NOT(ISBLANK(vlookup(B2661,Pop_Census_2023!$A$2:$E$3220,4,FALSE))),vlookup(B2661,Pop_Census_2023!$A$2:$E$3220,4,FALSE), vlookup(B2661,Pop_Census_2023!$A$2:$E$3220,5,FALSE))</f>
        <v>43782</v>
      </c>
    </row>
    <row r="2662">
      <c r="A2662" s="47" t="s">
        <v>3524</v>
      </c>
      <c r="B2662" s="47">
        <v>48099.0</v>
      </c>
      <c r="C2662" s="47">
        <v>2.0</v>
      </c>
      <c r="D2662" s="47" t="s">
        <v>4044</v>
      </c>
      <c r="E2662" s="47" t="str">
        <f t="shared" si="1"/>
        <v>2A</v>
      </c>
      <c r="F2662" s="47" t="s">
        <v>4045</v>
      </c>
      <c r="G2662" s="47" t="s">
        <v>1678</v>
      </c>
      <c r="H2662" s="48">
        <f>IF(NOT(ISBLANK(vlookup(B2662,Pop_Census_2023!$A$2:$E$3220,4,FALSE))),vlookup(B2662,Pop_Census_2023!$A$2:$E$3220,4,FALSE), vlookup(B2662,Pop_Census_2023!$A$2:$E$3220,5,FALSE))</f>
        <v>84878</v>
      </c>
    </row>
    <row r="2663">
      <c r="A2663" s="47" t="s">
        <v>3524</v>
      </c>
      <c r="B2663" s="47">
        <v>48101.0</v>
      </c>
      <c r="C2663" s="47">
        <v>3.0</v>
      </c>
      <c r="D2663" s="47" t="s">
        <v>4053</v>
      </c>
      <c r="E2663" s="47" t="str">
        <f t="shared" si="1"/>
        <v>3B</v>
      </c>
      <c r="F2663" s="47" t="s">
        <v>4055</v>
      </c>
      <c r="G2663" s="47" t="s">
        <v>1679</v>
      </c>
      <c r="H2663" s="48">
        <f>IF(NOT(ISBLANK(vlookup(B2663,Pop_Census_2023!$A$2:$E$3220,4,FALSE))),vlookup(B2663,Pop_Census_2023!$A$2:$E$3220,4,FALSE), vlookup(B2663,Pop_Census_2023!$A$2:$E$3220,5,FALSE))</f>
        <v>1294</v>
      </c>
    </row>
    <row r="2664">
      <c r="A2664" s="47" t="s">
        <v>3524</v>
      </c>
      <c r="B2664" s="47">
        <v>48103.0</v>
      </c>
      <c r="C2664" s="47">
        <v>3.0</v>
      </c>
      <c r="D2664" s="47" t="s">
        <v>4053</v>
      </c>
      <c r="E2664" s="47" t="str">
        <f t="shared" si="1"/>
        <v>3B</v>
      </c>
      <c r="F2664" s="47" t="s">
        <v>4055</v>
      </c>
      <c r="G2664" s="47" t="s">
        <v>1680</v>
      </c>
      <c r="H2664" s="48">
        <f>IF(NOT(ISBLANK(vlookup(B2664,Pop_Census_2023!$A$2:$E$3220,4,FALSE))),vlookup(B2664,Pop_Census_2023!$A$2:$E$3220,4,FALSE), vlookup(B2664,Pop_Census_2023!$A$2:$E$3220,5,FALSE))</f>
        <v>4574</v>
      </c>
    </row>
    <row r="2665">
      <c r="A2665" s="47" t="s">
        <v>3524</v>
      </c>
      <c r="B2665" s="47">
        <v>48105.0</v>
      </c>
      <c r="C2665" s="47">
        <v>3.0</v>
      </c>
      <c r="D2665" s="47" t="s">
        <v>4053</v>
      </c>
      <c r="E2665" s="47" t="str">
        <f t="shared" si="1"/>
        <v>3B</v>
      </c>
      <c r="F2665" s="47" t="s">
        <v>4055</v>
      </c>
      <c r="G2665" s="47" t="s">
        <v>1621</v>
      </c>
      <c r="H2665" s="48">
        <f>IF(NOT(ISBLANK(vlookup(B2665,Pop_Census_2023!$A$2:$E$3220,4,FALSE))),vlookup(B2665,Pop_Census_2023!$A$2:$E$3220,4,FALSE), vlookup(B2665,Pop_Census_2023!$A$2:$E$3220,5,FALSE))</f>
        <v>2858</v>
      </c>
    </row>
    <row r="2666">
      <c r="A2666" s="47" t="s">
        <v>3524</v>
      </c>
      <c r="B2666" s="47">
        <v>48107.0</v>
      </c>
      <c r="C2666" s="47">
        <v>3.0</v>
      </c>
      <c r="D2666" s="47" t="s">
        <v>4053</v>
      </c>
      <c r="E2666" s="47" t="str">
        <f t="shared" si="1"/>
        <v>3B</v>
      </c>
      <c r="F2666" s="47" t="s">
        <v>4055</v>
      </c>
      <c r="G2666" s="47" t="s">
        <v>1681</v>
      </c>
      <c r="H2666" s="48">
        <f>IF(NOT(ISBLANK(vlookup(B2666,Pop_Census_2023!$A$2:$E$3220,4,FALSE))),vlookup(B2666,Pop_Census_2023!$A$2:$E$3220,4,FALSE), vlookup(B2666,Pop_Census_2023!$A$2:$E$3220,5,FALSE))</f>
        <v>4917</v>
      </c>
    </row>
    <row r="2667">
      <c r="A2667" s="47" t="s">
        <v>3524</v>
      </c>
      <c r="B2667" s="47">
        <v>48109.0</v>
      </c>
      <c r="C2667" s="47">
        <v>3.0</v>
      </c>
      <c r="D2667" s="47" t="s">
        <v>4053</v>
      </c>
      <c r="E2667" s="47" t="str">
        <f t="shared" si="1"/>
        <v>3B</v>
      </c>
      <c r="F2667" s="47" t="s">
        <v>4055</v>
      </c>
      <c r="G2667" s="47" t="s">
        <v>1682</v>
      </c>
      <c r="H2667" s="48">
        <f>IF(NOT(ISBLANK(vlookup(B2667,Pop_Census_2023!$A$2:$E$3220,4,FALSE))),vlookup(B2667,Pop_Census_2023!$A$2:$E$3220,4,FALSE), vlookup(B2667,Pop_Census_2023!$A$2:$E$3220,5,FALSE))</f>
        <v>2196</v>
      </c>
    </row>
    <row r="2668">
      <c r="A2668" s="47" t="s">
        <v>3524</v>
      </c>
      <c r="B2668" s="47">
        <v>48111.0</v>
      </c>
      <c r="C2668" s="47">
        <v>4.0</v>
      </c>
      <c r="D2668" s="47" t="s">
        <v>4053</v>
      </c>
      <c r="E2668" s="47" t="str">
        <f t="shared" si="1"/>
        <v>4B</v>
      </c>
      <c r="F2668" s="47" t="s">
        <v>4056</v>
      </c>
      <c r="G2668" s="47" t="s">
        <v>1683</v>
      </c>
      <c r="H2668" s="48">
        <f>IF(NOT(ISBLANK(vlookup(B2668,Pop_Census_2023!$A$2:$E$3220,4,FALSE))),vlookup(B2668,Pop_Census_2023!$A$2:$E$3220,4,FALSE), vlookup(B2668,Pop_Census_2023!$A$2:$E$3220,5,FALSE))</f>
        <v>7237</v>
      </c>
    </row>
    <row r="2669">
      <c r="A2669" s="47" t="s">
        <v>3524</v>
      </c>
      <c r="B2669" s="47">
        <v>48113.0</v>
      </c>
      <c r="C2669" s="47">
        <v>3.0</v>
      </c>
      <c r="D2669" s="47" t="s">
        <v>4044</v>
      </c>
      <c r="E2669" s="47" t="str">
        <f t="shared" si="1"/>
        <v>3A</v>
      </c>
      <c r="F2669" s="47" t="s">
        <v>4045</v>
      </c>
      <c r="G2669" s="47" t="s">
        <v>126</v>
      </c>
      <c r="H2669" s="48">
        <f>IF(NOT(ISBLANK(vlookup(B2669,Pop_Census_2023!$A$2:$E$3220,4,FALSE))),vlookup(B2669,Pop_Census_2023!$A$2:$E$3220,4,FALSE), vlookup(B2669,Pop_Census_2023!$A$2:$E$3220,5,FALSE))</f>
        <v>2606358</v>
      </c>
    </row>
    <row r="2670">
      <c r="A2670" s="47" t="s">
        <v>3524</v>
      </c>
      <c r="B2670" s="47">
        <v>48115.0</v>
      </c>
      <c r="C2670" s="47">
        <v>3.0</v>
      </c>
      <c r="D2670" s="47" t="s">
        <v>4053</v>
      </c>
      <c r="E2670" s="47" t="str">
        <f t="shared" si="1"/>
        <v>3B</v>
      </c>
      <c r="F2670" s="47" t="s">
        <v>4055</v>
      </c>
      <c r="G2670" s="47" t="s">
        <v>491</v>
      </c>
      <c r="H2670" s="48">
        <f>IF(NOT(ISBLANK(vlookup(B2670,Pop_Census_2023!$A$2:$E$3220,4,FALSE))),vlookup(B2670,Pop_Census_2023!$A$2:$E$3220,4,FALSE), vlookup(B2670,Pop_Census_2023!$A$2:$E$3220,5,FALSE))</f>
        <v>12004</v>
      </c>
    </row>
    <row r="2671">
      <c r="A2671" s="47" t="s">
        <v>3524</v>
      </c>
      <c r="B2671" s="47">
        <v>48117.0</v>
      </c>
      <c r="C2671" s="47">
        <v>4.0</v>
      </c>
      <c r="D2671" s="47" t="s">
        <v>4053</v>
      </c>
      <c r="E2671" s="47" t="str">
        <f t="shared" si="1"/>
        <v>4B</v>
      </c>
      <c r="F2671" s="47" t="s">
        <v>4056</v>
      </c>
      <c r="G2671" s="47" t="s">
        <v>1684</v>
      </c>
      <c r="H2671" s="48">
        <f>IF(NOT(ISBLANK(vlookup(B2671,Pop_Census_2023!$A$2:$E$3220,4,FALSE))),vlookup(B2671,Pop_Census_2023!$A$2:$E$3220,4,FALSE), vlookup(B2671,Pop_Census_2023!$A$2:$E$3220,5,FALSE))</f>
        <v>18347</v>
      </c>
    </row>
    <row r="2672">
      <c r="A2672" s="47" t="s">
        <v>3524</v>
      </c>
      <c r="B2672" s="47">
        <v>48119.0</v>
      </c>
      <c r="C2672" s="47">
        <v>3.0</v>
      </c>
      <c r="D2672" s="47" t="s">
        <v>4044</v>
      </c>
      <c r="E2672" s="47" t="str">
        <f t="shared" si="1"/>
        <v>3A</v>
      </c>
      <c r="F2672" s="47" t="s">
        <v>4045</v>
      </c>
      <c r="G2672" s="47" t="s">
        <v>354</v>
      </c>
      <c r="H2672" s="48">
        <f>IF(NOT(ISBLANK(vlookup(B2672,Pop_Census_2023!$A$2:$E$3220,4,FALSE))),vlookup(B2672,Pop_Census_2023!$A$2:$E$3220,4,FALSE), vlookup(B2672,Pop_Census_2023!$A$2:$E$3220,5,FALSE))</f>
        <v>5520</v>
      </c>
    </row>
    <row r="2673">
      <c r="A2673" s="47" t="s">
        <v>3524</v>
      </c>
      <c r="B2673" s="47">
        <v>48121.0</v>
      </c>
      <c r="C2673" s="47">
        <v>3.0</v>
      </c>
      <c r="D2673" s="47" t="s">
        <v>4044</v>
      </c>
      <c r="E2673" s="47" t="str">
        <f t="shared" si="1"/>
        <v>3A</v>
      </c>
      <c r="F2673" s="47" t="s">
        <v>4045</v>
      </c>
      <c r="G2673" s="47" t="s">
        <v>1685</v>
      </c>
      <c r="H2673" s="48">
        <f>IF(NOT(ISBLANK(vlookup(B2673,Pop_Census_2023!$A$2:$E$3220,4,FALSE))),vlookup(B2673,Pop_Census_2023!$A$2:$E$3220,4,FALSE), vlookup(B2673,Pop_Census_2023!$A$2:$E$3220,5,FALSE))</f>
        <v>1007703</v>
      </c>
    </row>
    <row r="2674">
      <c r="A2674" s="47" t="s">
        <v>3524</v>
      </c>
      <c r="B2674" s="47">
        <v>48123.0</v>
      </c>
      <c r="C2674" s="47">
        <v>2.0</v>
      </c>
      <c r="D2674" s="47" t="s">
        <v>4044</v>
      </c>
      <c r="E2674" s="47" t="str">
        <f t="shared" si="1"/>
        <v>2A</v>
      </c>
      <c r="F2674" s="47" t="s">
        <v>4045</v>
      </c>
      <c r="G2674" s="47" t="s">
        <v>1686</v>
      </c>
      <c r="H2674" s="48">
        <f>IF(NOT(ISBLANK(vlookup(B2674,Pop_Census_2023!$A$2:$E$3220,4,FALSE))),vlookup(B2674,Pop_Census_2023!$A$2:$E$3220,4,FALSE), vlookup(B2674,Pop_Census_2023!$A$2:$E$3220,5,FALSE))</f>
        <v>19929</v>
      </c>
    </row>
    <row r="2675">
      <c r="A2675" s="47" t="s">
        <v>3524</v>
      </c>
      <c r="B2675" s="47">
        <v>48125.0</v>
      </c>
      <c r="C2675" s="47">
        <v>3.0</v>
      </c>
      <c r="D2675" s="47" t="s">
        <v>4053</v>
      </c>
      <c r="E2675" s="47" t="str">
        <f t="shared" si="1"/>
        <v>3B</v>
      </c>
      <c r="F2675" s="47" t="s">
        <v>4055</v>
      </c>
      <c r="G2675" s="47" t="s">
        <v>1687</v>
      </c>
      <c r="H2675" s="48">
        <f>IF(NOT(ISBLANK(vlookup(B2675,Pop_Census_2023!$A$2:$E$3220,4,FALSE))),vlookup(B2675,Pop_Census_2023!$A$2:$E$3220,4,FALSE), vlookup(B2675,Pop_Census_2023!$A$2:$E$3220,5,FALSE))</f>
        <v>1711</v>
      </c>
    </row>
    <row r="2676">
      <c r="A2676" s="47" t="s">
        <v>3524</v>
      </c>
      <c r="B2676" s="47">
        <v>48127.0</v>
      </c>
      <c r="C2676" s="47">
        <v>2.0</v>
      </c>
      <c r="D2676" s="47" t="s">
        <v>4053</v>
      </c>
      <c r="E2676" s="47" t="str">
        <f t="shared" si="1"/>
        <v>2B</v>
      </c>
      <c r="F2676" s="47" t="s">
        <v>4045</v>
      </c>
      <c r="G2676" s="47" t="s">
        <v>1688</v>
      </c>
      <c r="H2676" s="48">
        <f>IF(NOT(ISBLANK(vlookup(B2676,Pop_Census_2023!$A$2:$E$3220,4,FALSE))),vlookup(B2676,Pop_Census_2023!$A$2:$E$3220,4,FALSE), vlookup(B2676,Pop_Census_2023!$A$2:$E$3220,5,FALSE))</f>
        <v>8257</v>
      </c>
    </row>
    <row r="2677">
      <c r="A2677" s="47" t="s">
        <v>3524</v>
      </c>
      <c r="B2677" s="47">
        <v>48129.0</v>
      </c>
      <c r="C2677" s="47">
        <v>4.0</v>
      </c>
      <c r="D2677" s="47" t="s">
        <v>4053</v>
      </c>
      <c r="E2677" s="47" t="str">
        <f t="shared" si="1"/>
        <v>4B</v>
      </c>
      <c r="F2677" s="47" t="s">
        <v>4056</v>
      </c>
      <c r="G2677" s="47" t="s">
        <v>1689</v>
      </c>
      <c r="H2677" s="48">
        <f>IF(NOT(ISBLANK(vlookup(B2677,Pop_Census_2023!$A$2:$E$3220,4,FALSE))),vlookup(B2677,Pop_Census_2023!$A$2:$E$3220,4,FALSE), vlookup(B2677,Pop_Census_2023!$A$2:$E$3220,5,FALSE))</f>
        <v>3214</v>
      </c>
    </row>
    <row r="2678">
      <c r="A2678" s="47" t="s">
        <v>3524</v>
      </c>
      <c r="B2678" s="47">
        <v>48131.0</v>
      </c>
      <c r="C2678" s="47">
        <v>2.0</v>
      </c>
      <c r="D2678" s="47" t="s">
        <v>4044</v>
      </c>
      <c r="E2678" s="47" t="str">
        <f t="shared" si="1"/>
        <v>2A</v>
      </c>
      <c r="F2678" s="47" t="s">
        <v>4045</v>
      </c>
      <c r="G2678" s="47" t="s">
        <v>422</v>
      </c>
      <c r="H2678" s="48">
        <f>IF(NOT(ISBLANK(vlookup(B2678,Pop_Census_2023!$A$2:$E$3220,4,FALSE))),vlookup(B2678,Pop_Census_2023!$A$2:$E$3220,4,FALSE), vlookup(B2678,Pop_Census_2023!$A$2:$E$3220,5,FALSE))</f>
        <v>9604</v>
      </c>
    </row>
    <row r="2679">
      <c r="A2679" s="47" t="s">
        <v>3524</v>
      </c>
      <c r="B2679" s="47">
        <v>48133.0</v>
      </c>
      <c r="C2679" s="47">
        <v>3.0</v>
      </c>
      <c r="D2679" s="47" t="s">
        <v>4044</v>
      </c>
      <c r="E2679" s="47" t="str">
        <f t="shared" si="1"/>
        <v>3A</v>
      </c>
      <c r="F2679" s="47" t="s">
        <v>4046</v>
      </c>
      <c r="G2679" s="47" t="s">
        <v>1690</v>
      </c>
      <c r="H2679" s="48">
        <f>IF(NOT(ISBLANK(vlookup(B2679,Pop_Census_2023!$A$2:$E$3220,4,FALSE))),vlookup(B2679,Pop_Census_2023!$A$2:$E$3220,4,FALSE), vlookup(B2679,Pop_Census_2023!$A$2:$E$3220,5,FALSE))</f>
        <v>18037</v>
      </c>
    </row>
    <row r="2680">
      <c r="A2680" s="47" t="s">
        <v>3524</v>
      </c>
      <c r="B2680" s="47">
        <v>48135.0</v>
      </c>
      <c r="C2680" s="47">
        <v>3.0</v>
      </c>
      <c r="D2680" s="47" t="s">
        <v>4053</v>
      </c>
      <c r="E2680" s="47" t="str">
        <f t="shared" si="1"/>
        <v>3B</v>
      </c>
      <c r="F2680" s="47" t="s">
        <v>4055</v>
      </c>
      <c r="G2680" s="47" t="s">
        <v>1691</v>
      </c>
      <c r="H2680" s="48">
        <f>IF(NOT(ISBLANK(vlookup(B2680,Pop_Census_2023!$A$2:$E$3220,4,FALSE))),vlookup(B2680,Pop_Census_2023!$A$2:$E$3220,4,FALSE), vlookup(B2680,Pop_Census_2023!$A$2:$E$3220,5,FALSE))</f>
        <v>164494</v>
      </c>
    </row>
    <row r="2681">
      <c r="A2681" s="47" t="s">
        <v>3524</v>
      </c>
      <c r="B2681" s="47">
        <v>48137.0</v>
      </c>
      <c r="C2681" s="47">
        <v>2.0</v>
      </c>
      <c r="D2681" s="47" t="s">
        <v>4053</v>
      </c>
      <c r="E2681" s="47" t="str">
        <f t="shared" si="1"/>
        <v>2B</v>
      </c>
      <c r="F2681" s="47" t="s">
        <v>4045</v>
      </c>
      <c r="G2681" s="47" t="s">
        <v>622</v>
      </c>
      <c r="H2681" s="48">
        <f>IF(NOT(ISBLANK(vlookup(B2681,Pop_Census_2023!$A$2:$E$3220,4,FALSE))),vlookup(B2681,Pop_Census_2023!$A$2:$E$3220,4,FALSE), vlookup(B2681,Pop_Census_2023!$A$2:$E$3220,5,FALSE))</f>
        <v>1393</v>
      </c>
    </row>
    <row r="2682">
      <c r="A2682" s="47" t="s">
        <v>3524</v>
      </c>
      <c r="B2682" s="47">
        <v>48141.0</v>
      </c>
      <c r="C2682" s="47">
        <v>3.0</v>
      </c>
      <c r="D2682" s="47" t="s">
        <v>4053</v>
      </c>
      <c r="E2682" s="47" t="str">
        <f t="shared" si="1"/>
        <v>3B</v>
      </c>
      <c r="F2682" s="47" t="s">
        <v>4055</v>
      </c>
      <c r="G2682" s="47" t="s">
        <v>360</v>
      </c>
      <c r="H2682" s="48">
        <f>IF(NOT(ISBLANK(vlookup(B2682,Pop_Census_2023!$A$2:$E$3220,4,FALSE))),vlookup(B2682,Pop_Census_2023!$A$2:$E$3220,4,FALSE), vlookup(B2682,Pop_Census_2023!$A$2:$E$3220,5,FALSE))</f>
        <v>869880</v>
      </c>
    </row>
    <row r="2683">
      <c r="A2683" s="47" t="s">
        <v>3524</v>
      </c>
      <c r="B2683" s="47">
        <v>48139.0</v>
      </c>
      <c r="C2683" s="47">
        <v>3.0</v>
      </c>
      <c r="D2683" s="47" t="s">
        <v>4044</v>
      </c>
      <c r="E2683" s="47" t="str">
        <f t="shared" si="1"/>
        <v>3A</v>
      </c>
      <c r="F2683" s="47" t="s">
        <v>4045</v>
      </c>
      <c r="G2683" s="47" t="s">
        <v>764</v>
      </c>
      <c r="H2683" s="48">
        <f>IF(NOT(ISBLANK(vlookup(B2683,Pop_Census_2023!$A$2:$E$3220,4,FALSE))),vlookup(B2683,Pop_Census_2023!$A$2:$E$3220,4,FALSE), vlookup(B2683,Pop_Census_2023!$A$2:$E$3220,5,FALSE))</f>
        <v>222829</v>
      </c>
    </row>
    <row r="2684">
      <c r="A2684" s="47" t="s">
        <v>3524</v>
      </c>
      <c r="B2684" s="47">
        <v>48143.0</v>
      </c>
      <c r="C2684" s="47">
        <v>3.0</v>
      </c>
      <c r="D2684" s="47" t="s">
        <v>4044</v>
      </c>
      <c r="E2684" s="47" t="str">
        <f t="shared" si="1"/>
        <v>3A</v>
      </c>
      <c r="F2684" s="47" t="s">
        <v>4045</v>
      </c>
      <c r="G2684" s="47" t="s">
        <v>1692</v>
      </c>
      <c r="H2684" s="48">
        <f>IF(NOT(ISBLANK(vlookup(B2684,Pop_Census_2023!$A$2:$E$3220,4,FALSE))),vlookup(B2684,Pop_Census_2023!$A$2:$E$3220,4,FALSE), vlookup(B2684,Pop_Census_2023!$A$2:$E$3220,5,FALSE))</f>
        <v>44195</v>
      </c>
    </row>
    <row r="2685">
      <c r="A2685" s="47" t="s">
        <v>3524</v>
      </c>
      <c r="B2685" s="47">
        <v>48145.0</v>
      </c>
      <c r="C2685" s="47">
        <v>2.0</v>
      </c>
      <c r="D2685" s="47" t="s">
        <v>4044</v>
      </c>
      <c r="E2685" s="47" t="str">
        <f t="shared" si="1"/>
        <v>2A</v>
      </c>
      <c r="F2685" s="47" t="s">
        <v>4045</v>
      </c>
      <c r="G2685" s="47" t="s">
        <v>1693</v>
      </c>
      <c r="H2685" s="48">
        <f>IF(NOT(ISBLANK(vlookup(B2685,Pop_Census_2023!$A$2:$E$3220,4,FALSE))),vlookup(B2685,Pop_Census_2023!$A$2:$E$3220,4,FALSE), vlookup(B2685,Pop_Census_2023!$A$2:$E$3220,5,FALSE))</f>
        <v>17286</v>
      </c>
    </row>
    <row r="2686">
      <c r="A2686" s="47" t="s">
        <v>3524</v>
      </c>
      <c r="B2686" s="47">
        <v>48147.0</v>
      </c>
      <c r="C2686" s="47">
        <v>3.0</v>
      </c>
      <c r="D2686" s="47" t="s">
        <v>4044</v>
      </c>
      <c r="E2686" s="47" t="str">
        <f t="shared" si="1"/>
        <v>3A</v>
      </c>
      <c r="F2686" s="47" t="s">
        <v>4046</v>
      </c>
      <c r="G2686" s="47" t="s">
        <v>501</v>
      </c>
      <c r="H2686" s="48">
        <f>IF(NOT(ISBLANK(vlookup(B2686,Pop_Census_2023!$A$2:$E$3220,4,FALSE))),vlookup(B2686,Pop_Census_2023!$A$2:$E$3220,4,FALSE), vlookup(B2686,Pop_Census_2023!$A$2:$E$3220,5,FALSE))</f>
        <v>37571</v>
      </c>
    </row>
    <row r="2687">
      <c r="A2687" s="47" t="s">
        <v>3524</v>
      </c>
      <c r="B2687" s="47">
        <v>48149.0</v>
      </c>
      <c r="C2687" s="47">
        <v>2.0</v>
      </c>
      <c r="D2687" s="47" t="s">
        <v>4044</v>
      </c>
      <c r="E2687" s="47" t="str">
        <f t="shared" si="1"/>
        <v>2A</v>
      </c>
      <c r="F2687" s="47" t="s">
        <v>4045</v>
      </c>
      <c r="G2687" s="47" t="s">
        <v>131</v>
      </c>
      <c r="H2687" s="48">
        <f>IF(NOT(ISBLANK(vlookup(B2687,Pop_Census_2023!$A$2:$E$3220,4,FALSE))),vlookup(B2687,Pop_Census_2023!$A$2:$E$3220,4,FALSE), vlookup(B2687,Pop_Census_2023!$A$2:$E$3220,5,FALSE))</f>
        <v>25474</v>
      </c>
    </row>
    <row r="2688">
      <c r="A2688" s="47" t="s">
        <v>3524</v>
      </c>
      <c r="B2688" s="47">
        <v>48151.0</v>
      </c>
      <c r="C2688" s="47">
        <v>3.0</v>
      </c>
      <c r="D2688" s="47" t="s">
        <v>4053</v>
      </c>
      <c r="E2688" s="47" t="str">
        <f t="shared" si="1"/>
        <v>3B</v>
      </c>
      <c r="F2688" s="47" t="s">
        <v>4055</v>
      </c>
      <c r="G2688" s="47" t="s">
        <v>1694</v>
      </c>
      <c r="H2688" s="48">
        <f>IF(NOT(ISBLANK(vlookup(B2688,Pop_Census_2023!$A$2:$E$3220,4,FALSE))),vlookup(B2688,Pop_Census_2023!$A$2:$E$3220,4,FALSE), vlookup(B2688,Pop_Census_2023!$A$2:$E$3220,5,FALSE))</f>
        <v>3612</v>
      </c>
    </row>
    <row r="2689">
      <c r="A2689" s="47" t="s">
        <v>3524</v>
      </c>
      <c r="B2689" s="47">
        <v>48153.0</v>
      </c>
      <c r="C2689" s="47">
        <v>4.0</v>
      </c>
      <c r="D2689" s="47" t="s">
        <v>4053</v>
      </c>
      <c r="E2689" s="47" t="str">
        <f t="shared" si="1"/>
        <v>4B</v>
      </c>
      <c r="F2689" s="47" t="s">
        <v>4056</v>
      </c>
      <c r="G2689" s="47" t="s">
        <v>502</v>
      </c>
      <c r="H2689" s="48">
        <f>IF(NOT(ISBLANK(vlookup(B2689,Pop_Census_2023!$A$2:$E$3220,4,FALSE))),vlookup(B2689,Pop_Census_2023!$A$2:$E$3220,4,FALSE), vlookup(B2689,Pop_Census_2023!$A$2:$E$3220,5,FALSE))</f>
        <v>5090</v>
      </c>
    </row>
    <row r="2690">
      <c r="A2690" s="47" t="s">
        <v>3524</v>
      </c>
      <c r="B2690" s="47">
        <v>48155.0</v>
      </c>
      <c r="C2690" s="47">
        <v>3.0</v>
      </c>
      <c r="D2690" s="47" t="s">
        <v>4053</v>
      </c>
      <c r="E2690" s="47" t="str">
        <f t="shared" si="1"/>
        <v>3B</v>
      </c>
      <c r="F2690" s="47" t="s">
        <v>4055</v>
      </c>
      <c r="G2690" s="47" t="s">
        <v>1695</v>
      </c>
      <c r="H2690" s="48">
        <f>IF(NOT(ISBLANK(vlookup(B2690,Pop_Census_2023!$A$2:$E$3220,4,FALSE))),vlookup(B2690,Pop_Census_2023!$A$2:$E$3220,4,FALSE), vlookup(B2690,Pop_Census_2023!$A$2:$E$3220,5,FALSE))</f>
        <v>1079</v>
      </c>
    </row>
    <row r="2691">
      <c r="A2691" s="47" t="s">
        <v>3524</v>
      </c>
      <c r="B2691" s="47">
        <v>48157.0</v>
      </c>
      <c r="C2691" s="47">
        <v>2.0</v>
      </c>
      <c r="D2691" s="47" t="s">
        <v>4044</v>
      </c>
      <c r="E2691" s="47" t="str">
        <f t="shared" si="1"/>
        <v>2A</v>
      </c>
      <c r="F2691" s="47" t="s">
        <v>4045</v>
      </c>
      <c r="G2691" s="47" t="s">
        <v>1696</v>
      </c>
      <c r="H2691" s="48">
        <f>IF(NOT(ISBLANK(vlookup(B2691,Pop_Census_2023!$A$2:$E$3220,4,FALSE))),vlookup(B2691,Pop_Census_2023!$A$2:$E$3220,4,FALSE), vlookup(B2691,Pop_Census_2023!$A$2:$E$3220,5,FALSE))</f>
        <v>916778</v>
      </c>
    </row>
    <row r="2692">
      <c r="A2692" s="47" t="s">
        <v>3524</v>
      </c>
      <c r="B2692" s="47">
        <v>48159.0</v>
      </c>
      <c r="C2692" s="47">
        <v>3.0</v>
      </c>
      <c r="D2692" s="47" t="s">
        <v>4044</v>
      </c>
      <c r="E2692" s="47" t="str">
        <f t="shared" si="1"/>
        <v>3A</v>
      </c>
      <c r="F2692" s="47" t="s">
        <v>4045</v>
      </c>
      <c r="G2692" s="47" t="s">
        <v>132</v>
      </c>
      <c r="H2692" s="48">
        <f>IF(NOT(ISBLANK(vlookup(B2692,Pop_Census_2023!$A$2:$E$3220,4,FALSE))),vlookup(B2692,Pop_Census_2023!$A$2:$E$3220,4,FALSE), vlookup(B2692,Pop_Census_2023!$A$2:$E$3220,5,FALSE))</f>
        <v>10735</v>
      </c>
    </row>
    <row r="2693">
      <c r="A2693" s="47" t="s">
        <v>3524</v>
      </c>
      <c r="B2693" s="47">
        <v>48161.0</v>
      </c>
      <c r="C2693" s="47">
        <v>2.0</v>
      </c>
      <c r="D2693" s="47" t="s">
        <v>4044</v>
      </c>
      <c r="E2693" s="47" t="str">
        <f t="shared" si="1"/>
        <v>2A</v>
      </c>
      <c r="F2693" s="47" t="s">
        <v>4045</v>
      </c>
      <c r="G2693" s="47" t="s">
        <v>1697</v>
      </c>
      <c r="H2693" s="48">
        <f>IF(NOT(ISBLANK(vlookup(B2693,Pop_Census_2023!$A$2:$E$3220,4,FALSE))),vlookup(B2693,Pop_Census_2023!$A$2:$E$3220,4,FALSE), vlookup(B2693,Pop_Census_2023!$A$2:$E$3220,5,FALSE))</f>
        <v>20441</v>
      </c>
    </row>
    <row r="2694">
      <c r="A2694" s="47" t="s">
        <v>3524</v>
      </c>
      <c r="B2694" s="47">
        <v>48163.0</v>
      </c>
      <c r="C2694" s="47">
        <v>2.0</v>
      </c>
      <c r="D2694" s="47" t="s">
        <v>4053</v>
      </c>
      <c r="E2694" s="47" t="str">
        <f t="shared" si="1"/>
        <v>2B</v>
      </c>
      <c r="F2694" s="47" t="s">
        <v>4045</v>
      </c>
      <c r="G2694" s="47" t="s">
        <v>1698</v>
      </c>
      <c r="H2694" s="48">
        <f>IF(NOT(ISBLANK(vlookup(B2694,Pop_Census_2023!$A$2:$E$3220,4,FALSE))),vlookup(B2694,Pop_Census_2023!$A$2:$E$3220,4,FALSE), vlookup(B2694,Pop_Census_2023!$A$2:$E$3220,5,FALSE))</f>
        <v>17987</v>
      </c>
    </row>
    <row r="2695">
      <c r="A2695" s="47" t="s">
        <v>3524</v>
      </c>
      <c r="B2695" s="47">
        <v>48165.0</v>
      </c>
      <c r="C2695" s="47">
        <v>3.0</v>
      </c>
      <c r="D2695" s="47" t="s">
        <v>4053</v>
      </c>
      <c r="E2695" s="47" t="str">
        <f t="shared" si="1"/>
        <v>3B</v>
      </c>
      <c r="F2695" s="47" t="s">
        <v>4055</v>
      </c>
      <c r="G2695" s="47" t="s">
        <v>1699</v>
      </c>
      <c r="H2695" s="48">
        <f>IF(NOT(ISBLANK(vlookup(B2695,Pop_Census_2023!$A$2:$E$3220,4,FALSE))),vlookup(B2695,Pop_Census_2023!$A$2:$E$3220,4,FALSE), vlookup(B2695,Pop_Census_2023!$A$2:$E$3220,5,FALSE))</f>
        <v>22523</v>
      </c>
    </row>
    <row r="2696">
      <c r="A2696" s="47" t="s">
        <v>3524</v>
      </c>
      <c r="B2696" s="47">
        <v>48167.0</v>
      </c>
      <c r="C2696" s="47">
        <v>2.0</v>
      </c>
      <c r="D2696" s="47" t="s">
        <v>4044</v>
      </c>
      <c r="E2696" s="47" t="str">
        <f t="shared" si="1"/>
        <v>2A</v>
      </c>
      <c r="F2696" s="47" t="s">
        <v>4045</v>
      </c>
      <c r="G2696" s="47" t="s">
        <v>1700</v>
      </c>
      <c r="H2696" s="48">
        <f>IF(NOT(ISBLANK(vlookup(B2696,Pop_Census_2023!$A$2:$E$3220,4,FALSE))),vlookup(B2696,Pop_Census_2023!$A$2:$E$3220,4,FALSE), vlookup(B2696,Pop_Census_2023!$A$2:$E$3220,5,FALSE))</f>
        <v>361744</v>
      </c>
    </row>
    <row r="2697">
      <c r="A2697" s="47" t="s">
        <v>3524</v>
      </c>
      <c r="B2697" s="47">
        <v>48169.0</v>
      </c>
      <c r="C2697" s="47">
        <v>3.0</v>
      </c>
      <c r="D2697" s="47" t="s">
        <v>4053</v>
      </c>
      <c r="E2697" s="47" t="str">
        <f t="shared" si="1"/>
        <v>3B</v>
      </c>
      <c r="F2697" s="47" t="s">
        <v>4055</v>
      </c>
      <c r="G2697" s="47" t="s">
        <v>1701</v>
      </c>
      <c r="H2697" s="48">
        <f>IF(NOT(ISBLANK(vlookup(B2697,Pop_Census_2023!$A$2:$E$3220,4,FALSE))),vlookup(B2697,Pop_Census_2023!$A$2:$E$3220,4,FALSE), vlookup(B2697,Pop_Census_2023!$A$2:$E$3220,5,FALSE))</f>
        <v>4517</v>
      </c>
    </row>
    <row r="2698">
      <c r="A2698" s="47" t="s">
        <v>3524</v>
      </c>
      <c r="B2698" s="47">
        <v>48171.0</v>
      </c>
      <c r="C2698" s="47">
        <v>3.0</v>
      </c>
      <c r="D2698" s="47" t="s">
        <v>4044</v>
      </c>
      <c r="E2698" s="47" t="str">
        <f t="shared" si="1"/>
        <v>3A</v>
      </c>
      <c r="F2698" s="47" t="s">
        <v>4045</v>
      </c>
      <c r="G2698" s="47" t="s">
        <v>1702</v>
      </c>
      <c r="H2698" s="48">
        <f>IF(NOT(ISBLANK(vlookup(B2698,Pop_Census_2023!$A$2:$E$3220,4,FALSE))),vlookup(B2698,Pop_Census_2023!$A$2:$E$3220,4,FALSE), vlookup(B2698,Pop_Census_2023!$A$2:$E$3220,5,FALSE))</f>
        <v>27733</v>
      </c>
    </row>
    <row r="2699">
      <c r="A2699" s="47" t="s">
        <v>3524</v>
      </c>
      <c r="B2699" s="47">
        <v>48173.0</v>
      </c>
      <c r="C2699" s="47">
        <v>3.0</v>
      </c>
      <c r="D2699" s="47" t="s">
        <v>4053</v>
      </c>
      <c r="E2699" s="47" t="str">
        <f t="shared" si="1"/>
        <v>3B</v>
      </c>
      <c r="F2699" s="47" t="s">
        <v>4055</v>
      </c>
      <c r="G2699" s="47" t="s">
        <v>1703</v>
      </c>
      <c r="H2699" s="48">
        <f>IF(NOT(ISBLANK(vlookup(B2699,Pop_Census_2023!$A$2:$E$3220,4,FALSE))),vlookup(B2699,Pop_Census_2023!$A$2:$E$3220,4,FALSE), vlookup(B2699,Pop_Census_2023!$A$2:$E$3220,5,FALSE))</f>
        <v>1141</v>
      </c>
    </row>
    <row r="2700">
      <c r="A2700" s="47" t="s">
        <v>3524</v>
      </c>
      <c r="B2700" s="47">
        <v>48175.0</v>
      </c>
      <c r="C2700" s="47">
        <v>2.0</v>
      </c>
      <c r="D2700" s="47" t="s">
        <v>4044</v>
      </c>
      <c r="E2700" s="47" t="str">
        <f t="shared" si="1"/>
        <v>2A</v>
      </c>
      <c r="F2700" s="47" t="s">
        <v>4045</v>
      </c>
      <c r="G2700" s="47" t="s">
        <v>1704</v>
      </c>
      <c r="H2700" s="48">
        <f>IF(NOT(ISBLANK(vlookup(B2700,Pop_Census_2023!$A$2:$E$3220,4,FALSE))),vlookup(B2700,Pop_Census_2023!$A$2:$E$3220,4,FALSE), vlookup(B2700,Pop_Census_2023!$A$2:$E$3220,5,FALSE))</f>
        <v>7144</v>
      </c>
    </row>
    <row r="2701">
      <c r="A2701" s="47" t="s">
        <v>3524</v>
      </c>
      <c r="B2701" s="47">
        <v>48177.0</v>
      </c>
      <c r="C2701" s="47">
        <v>2.0</v>
      </c>
      <c r="D2701" s="47" t="s">
        <v>4044</v>
      </c>
      <c r="E2701" s="47" t="str">
        <f t="shared" si="1"/>
        <v>2A</v>
      </c>
      <c r="F2701" s="47" t="s">
        <v>4045</v>
      </c>
      <c r="G2701" s="47" t="s">
        <v>1705</v>
      </c>
      <c r="H2701" s="48">
        <f>IF(NOT(ISBLANK(vlookup(B2701,Pop_Census_2023!$A$2:$E$3220,4,FALSE))),vlookup(B2701,Pop_Census_2023!$A$2:$E$3220,4,FALSE), vlookup(B2701,Pop_Census_2023!$A$2:$E$3220,5,FALSE))</f>
        <v>19930</v>
      </c>
    </row>
    <row r="2702">
      <c r="A2702" s="47" t="s">
        <v>3524</v>
      </c>
      <c r="B2702" s="47">
        <v>48179.0</v>
      </c>
      <c r="C2702" s="47">
        <v>4.0</v>
      </c>
      <c r="D2702" s="47" t="s">
        <v>4053</v>
      </c>
      <c r="E2702" s="47" t="str">
        <f t="shared" si="1"/>
        <v>4B</v>
      </c>
      <c r="F2702" s="47" t="s">
        <v>4056</v>
      </c>
      <c r="G2702" s="47" t="s">
        <v>769</v>
      </c>
      <c r="H2702" s="48">
        <f>IF(NOT(ISBLANK(vlookup(B2702,Pop_Census_2023!$A$2:$E$3220,4,FALSE))),vlookup(B2702,Pop_Census_2023!$A$2:$E$3220,4,FALSE), vlookup(B2702,Pop_Census_2023!$A$2:$E$3220,5,FALSE))</f>
        <v>20916</v>
      </c>
    </row>
    <row r="2703">
      <c r="A2703" s="47" t="s">
        <v>3524</v>
      </c>
      <c r="B2703" s="47">
        <v>48181.0</v>
      </c>
      <c r="C2703" s="47">
        <v>3.0</v>
      </c>
      <c r="D2703" s="47" t="s">
        <v>4044</v>
      </c>
      <c r="E2703" s="47" t="str">
        <f t="shared" si="1"/>
        <v>3A</v>
      </c>
      <c r="F2703" s="47" t="s">
        <v>4046</v>
      </c>
      <c r="G2703" s="47" t="s">
        <v>841</v>
      </c>
      <c r="H2703" s="48">
        <f>IF(NOT(ISBLANK(vlookup(B2703,Pop_Census_2023!$A$2:$E$3220,4,FALSE))),vlookup(B2703,Pop_Census_2023!$A$2:$E$3220,4,FALSE), vlookup(B2703,Pop_Census_2023!$A$2:$E$3220,5,FALSE))</f>
        <v>146907</v>
      </c>
    </row>
    <row r="2704">
      <c r="A2704" s="47" t="s">
        <v>3524</v>
      </c>
      <c r="B2704" s="47">
        <v>48183.0</v>
      </c>
      <c r="C2704" s="47">
        <v>3.0</v>
      </c>
      <c r="D2704" s="47" t="s">
        <v>4044</v>
      </c>
      <c r="E2704" s="47" t="str">
        <f t="shared" si="1"/>
        <v>3A</v>
      </c>
      <c r="F2704" s="47" t="s">
        <v>4045</v>
      </c>
      <c r="G2704" s="47" t="s">
        <v>1706</v>
      </c>
      <c r="H2704" s="48">
        <f>IF(NOT(ISBLANK(vlookup(B2704,Pop_Census_2023!$A$2:$E$3220,4,FALSE))),vlookup(B2704,Pop_Census_2023!$A$2:$E$3220,4,FALSE), vlookup(B2704,Pop_Census_2023!$A$2:$E$3220,5,FALSE))</f>
        <v>126243</v>
      </c>
    </row>
    <row r="2705">
      <c r="A2705" s="47" t="s">
        <v>3524</v>
      </c>
      <c r="B2705" s="47">
        <v>48185.0</v>
      </c>
      <c r="C2705" s="47">
        <v>2.0</v>
      </c>
      <c r="D2705" s="47" t="s">
        <v>4044</v>
      </c>
      <c r="E2705" s="47" t="str">
        <f t="shared" si="1"/>
        <v>2A</v>
      </c>
      <c r="F2705" s="47" t="s">
        <v>4045</v>
      </c>
      <c r="G2705" s="47" t="s">
        <v>1707</v>
      </c>
      <c r="H2705" s="48">
        <f>IF(NOT(ISBLANK(vlookup(B2705,Pop_Census_2023!$A$2:$E$3220,4,FALSE))),vlookup(B2705,Pop_Census_2023!$A$2:$E$3220,4,FALSE), vlookup(B2705,Pop_Census_2023!$A$2:$E$3220,5,FALSE))</f>
        <v>32384</v>
      </c>
    </row>
    <row r="2706">
      <c r="A2706" s="47" t="s">
        <v>3524</v>
      </c>
      <c r="B2706" s="47">
        <v>48187.0</v>
      </c>
      <c r="C2706" s="47">
        <v>2.0</v>
      </c>
      <c r="D2706" s="47" t="s">
        <v>4044</v>
      </c>
      <c r="E2706" s="47" t="str">
        <f t="shared" si="1"/>
        <v>2A</v>
      </c>
      <c r="F2706" s="47" t="s">
        <v>4045</v>
      </c>
      <c r="G2706" s="47" t="s">
        <v>1279</v>
      </c>
      <c r="H2706" s="48">
        <f>IF(NOT(ISBLANK(vlookup(B2706,Pop_Census_2023!$A$2:$E$3220,4,FALSE))),vlookup(B2706,Pop_Census_2023!$A$2:$E$3220,4,FALSE), vlookup(B2706,Pop_Census_2023!$A$2:$E$3220,5,FALSE))</f>
        <v>188454</v>
      </c>
    </row>
    <row r="2707">
      <c r="A2707" s="47" t="s">
        <v>3524</v>
      </c>
      <c r="B2707" s="47">
        <v>48189.0</v>
      </c>
      <c r="C2707" s="47">
        <v>4.0</v>
      </c>
      <c r="D2707" s="47" t="s">
        <v>4053</v>
      </c>
      <c r="E2707" s="47" t="str">
        <f t="shared" si="1"/>
        <v>4B</v>
      </c>
      <c r="F2707" s="47" t="s">
        <v>4056</v>
      </c>
      <c r="G2707" s="47" t="s">
        <v>135</v>
      </c>
      <c r="H2707" s="48">
        <f>IF(NOT(ISBLANK(vlookup(B2707,Pop_Census_2023!$A$2:$E$3220,4,FALSE))),vlookup(B2707,Pop_Census_2023!$A$2:$E$3220,4,FALSE), vlookup(B2707,Pop_Census_2023!$A$2:$E$3220,5,FALSE))</f>
        <v>31761</v>
      </c>
    </row>
    <row r="2708">
      <c r="A2708" s="47" t="s">
        <v>3524</v>
      </c>
      <c r="B2708" s="47">
        <v>48191.0</v>
      </c>
      <c r="C2708" s="47">
        <v>3.0</v>
      </c>
      <c r="D2708" s="47" t="s">
        <v>4053</v>
      </c>
      <c r="E2708" s="47" t="str">
        <f t="shared" si="1"/>
        <v>3B</v>
      </c>
      <c r="F2708" s="47" t="s">
        <v>4055</v>
      </c>
      <c r="G2708" s="47" t="s">
        <v>511</v>
      </c>
      <c r="H2708" s="48">
        <f>IF(NOT(ISBLANK(vlookup(B2708,Pop_Census_2023!$A$2:$E$3220,4,FALSE))),vlookup(B2708,Pop_Census_2023!$A$2:$E$3220,4,FALSE), vlookup(B2708,Pop_Census_2023!$A$2:$E$3220,5,FALSE))</f>
        <v>2818</v>
      </c>
    </row>
    <row r="2709">
      <c r="A2709" s="47" t="s">
        <v>3524</v>
      </c>
      <c r="B2709" s="47">
        <v>48193.0</v>
      </c>
      <c r="C2709" s="47">
        <v>3.0</v>
      </c>
      <c r="D2709" s="47" t="s">
        <v>4044</v>
      </c>
      <c r="E2709" s="47" t="str">
        <f t="shared" si="1"/>
        <v>3A</v>
      </c>
      <c r="F2709" s="47" t="s">
        <v>4045</v>
      </c>
      <c r="G2709" s="47" t="s">
        <v>428</v>
      </c>
      <c r="H2709" s="48">
        <f>IF(NOT(ISBLANK(vlookup(B2709,Pop_Census_2023!$A$2:$E$3220,4,FALSE))),vlookup(B2709,Pop_Census_2023!$A$2:$E$3220,4,FALSE), vlookup(B2709,Pop_Census_2023!$A$2:$E$3220,5,FALSE))</f>
        <v>8619</v>
      </c>
    </row>
    <row r="2710">
      <c r="A2710" s="47" t="s">
        <v>3524</v>
      </c>
      <c r="B2710" s="47">
        <v>48195.0</v>
      </c>
      <c r="C2710" s="47">
        <v>4.0</v>
      </c>
      <c r="D2710" s="47" t="s">
        <v>4053</v>
      </c>
      <c r="E2710" s="47" t="str">
        <f t="shared" si="1"/>
        <v>4B</v>
      </c>
      <c r="F2710" s="47" t="s">
        <v>4056</v>
      </c>
      <c r="G2710" s="47" t="s">
        <v>1708</v>
      </c>
      <c r="H2710" s="48">
        <f>IF(NOT(ISBLANK(vlookup(B2710,Pop_Census_2023!$A$2:$E$3220,4,FALSE))),vlookup(B2710,Pop_Census_2023!$A$2:$E$3220,4,FALSE), vlookup(B2710,Pop_Census_2023!$A$2:$E$3220,5,FALSE))</f>
        <v>5071</v>
      </c>
    </row>
    <row r="2711">
      <c r="A2711" s="47" t="s">
        <v>3524</v>
      </c>
      <c r="B2711" s="47">
        <v>48197.0</v>
      </c>
      <c r="C2711" s="47">
        <v>3.0</v>
      </c>
      <c r="D2711" s="47" t="s">
        <v>4053</v>
      </c>
      <c r="E2711" s="47" t="str">
        <f t="shared" si="1"/>
        <v>3B</v>
      </c>
      <c r="F2711" s="47" t="s">
        <v>4055</v>
      </c>
      <c r="G2711" s="47" t="s">
        <v>1628</v>
      </c>
      <c r="H2711" s="48">
        <f>IF(NOT(ISBLANK(vlookup(B2711,Pop_Census_2023!$A$2:$E$3220,4,FALSE))),vlookup(B2711,Pop_Census_2023!$A$2:$E$3220,4,FALSE), vlookup(B2711,Pop_Census_2023!$A$2:$E$3220,5,FALSE))</f>
        <v>3490</v>
      </c>
    </row>
    <row r="2712">
      <c r="A2712" s="47" t="s">
        <v>3524</v>
      </c>
      <c r="B2712" s="47">
        <v>48199.0</v>
      </c>
      <c r="C2712" s="47">
        <v>2.0</v>
      </c>
      <c r="D2712" s="47" t="s">
        <v>4044</v>
      </c>
      <c r="E2712" s="47" t="str">
        <f t="shared" si="1"/>
        <v>2A</v>
      </c>
      <c r="F2712" s="47" t="s">
        <v>4045</v>
      </c>
      <c r="G2712" s="47" t="s">
        <v>626</v>
      </c>
      <c r="H2712" s="48">
        <f>IF(NOT(ISBLANK(vlookup(B2712,Pop_Census_2023!$A$2:$E$3220,4,FALSE))),vlookup(B2712,Pop_Census_2023!$A$2:$E$3220,4,FALSE), vlookup(B2712,Pop_Census_2023!$A$2:$E$3220,5,FALSE))</f>
        <v>58261</v>
      </c>
    </row>
    <row r="2713">
      <c r="A2713" s="47" t="s">
        <v>3524</v>
      </c>
      <c r="B2713" s="47">
        <v>48201.0</v>
      </c>
      <c r="C2713" s="47">
        <v>2.0</v>
      </c>
      <c r="D2713" s="47" t="s">
        <v>4044</v>
      </c>
      <c r="E2713" s="47" t="str">
        <f t="shared" si="1"/>
        <v>2A</v>
      </c>
      <c r="F2713" s="47" t="s">
        <v>4045</v>
      </c>
      <c r="G2713" s="47" t="s">
        <v>514</v>
      </c>
      <c r="H2713" s="48">
        <f>IF(NOT(ISBLANK(vlookup(B2713,Pop_Census_2023!$A$2:$E$3220,4,FALSE))),vlookup(B2713,Pop_Census_2023!$A$2:$E$3220,4,FALSE), vlookup(B2713,Pop_Census_2023!$A$2:$E$3220,5,FALSE))</f>
        <v>4835125</v>
      </c>
    </row>
    <row r="2714">
      <c r="A2714" s="47" t="s">
        <v>3524</v>
      </c>
      <c r="B2714" s="47">
        <v>48203.0</v>
      </c>
      <c r="C2714" s="47">
        <v>3.0</v>
      </c>
      <c r="D2714" s="47" t="s">
        <v>4044</v>
      </c>
      <c r="E2714" s="47" t="str">
        <f t="shared" si="1"/>
        <v>3A</v>
      </c>
      <c r="F2714" s="47" t="s">
        <v>4045</v>
      </c>
      <c r="G2714" s="47" t="s">
        <v>673</v>
      </c>
      <c r="H2714" s="48">
        <f>IF(NOT(ISBLANK(vlookup(B2714,Pop_Census_2023!$A$2:$E$3220,4,FALSE))),vlookup(B2714,Pop_Census_2023!$A$2:$E$3220,4,FALSE), vlookup(B2714,Pop_Census_2023!$A$2:$E$3220,5,FALSE))</f>
        <v>70895</v>
      </c>
    </row>
    <row r="2715">
      <c r="A2715" s="47" t="s">
        <v>3524</v>
      </c>
      <c r="B2715" s="47">
        <v>48205.0</v>
      </c>
      <c r="C2715" s="47">
        <v>4.0</v>
      </c>
      <c r="D2715" s="47" t="s">
        <v>4053</v>
      </c>
      <c r="E2715" s="47" t="str">
        <f t="shared" si="1"/>
        <v>4B</v>
      </c>
      <c r="F2715" s="47" t="s">
        <v>4056</v>
      </c>
      <c r="G2715" s="47" t="s">
        <v>1709</v>
      </c>
      <c r="H2715" s="48">
        <f>IF(NOT(ISBLANK(vlookup(B2715,Pop_Census_2023!$A$2:$E$3220,4,FALSE))),vlookup(B2715,Pop_Census_2023!$A$2:$E$3220,4,FALSE), vlookup(B2715,Pop_Census_2023!$A$2:$E$3220,5,FALSE))</f>
        <v>5145</v>
      </c>
    </row>
    <row r="2716">
      <c r="A2716" s="47" t="s">
        <v>3524</v>
      </c>
      <c r="B2716" s="47">
        <v>48207.0</v>
      </c>
      <c r="C2716" s="47">
        <v>3.0</v>
      </c>
      <c r="D2716" s="47" t="s">
        <v>4053</v>
      </c>
      <c r="E2716" s="47" t="str">
        <f t="shared" si="1"/>
        <v>3B</v>
      </c>
      <c r="F2716" s="47" t="s">
        <v>4055</v>
      </c>
      <c r="G2716" s="47" t="s">
        <v>774</v>
      </c>
      <c r="H2716" s="48">
        <f>IF(NOT(ISBLANK(vlookup(B2716,Pop_Census_2023!$A$2:$E$3220,4,FALSE))),vlookup(B2716,Pop_Census_2023!$A$2:$E$3220,4,FALSE), vlookup(B2716,Pop_Census_2023!$A$2:$E$3220,5,FALSE))</f>
        <v>5385</v>
      </c>
    </row>
    <row r="2717">
      <c r="A2717" s="47" t="s">
        <v>3524</v>
      </c>
      <c r="B2717" s="47">
        <v>48209.0</v>
      </c>
      <c r="C2717" s="47">
        <v>2.0</v>
      </c>
      <c r="D2717" s="47" t="s">
        <v>4044</v>
      </c>
      <c r="E2717" s="47" t="str">
        <f t="shared" si="1"/>
        <v>2A</v>
      </c>
      <c r="F2717" s="47" t="s">
        <v>4045</v>
      </c>
      <c r="G2717" s="47" t="s">
        <v>1710</v>
      </c>
      <c r="H2717" s="48">
        <f>IF(NOT(ISBLANK(vlookup(B2717,Pop_Census_2023!$A$2:$E$3220,4,FALSE))),vlookup(B2717,Pop_Census_2023!$A$2:$E$3220,4,FALSE), vlookup(B2717,Pop_Census_2023!$A$2:$E$3220,5,FALSE))</f>
        <v>280486</v>
      </c>
    </row>
    <row r="2718">
      <c r="A2718" s="47" t="s">
        <v>3524</v>
      </c>
      <c r="B2718" s="47">
        <v>48211.0</v>
      </c>
      <c r="C2718" s="47">
        <v>3.0</v>
      </c>
      <c r="D2718" s="47" t="s">
        <v>4053</v>
      </c>
      <c r="E2718" s="47" t="str">
        <f t="shared" si="1"/>
        <v>3B</v>
      </c>
      <c r="F2718" s="47" t="s">
        <v>4055</v>
      </c>
      <c r="G2718" s="47" t="s">
        <v>1711</v>
      </c>
      <c r="H2718" s="48">
        <f>IF(NOT(ISBLANK(vlookup(B2718,Pop_Census_2023!$A$2:$E$3220,4,FALSE))),vlookup(B2718,Pop_Census_2023!$A$2:$E$3220,4,FALSE), vlookup(B2718,Pop_Census_2023!$A$2:$E$3220,5,FALSE))</f>
        <v>3189</v>
      </c>
    </row>
    <row r="2719">
      <c r="A2719" s="47" t="s">
        <v>3524</v>
      </c>
      <c r="B2719" s="47">
        <v>48213.0</v>
      </c>
      <c r="C2719" s="47">
        <v>3.0</v>
      </c>
      <c r="D2719" s="47" t="s">
        <v>4044</v>
      </c>
      <c r="E2719" s="47" t="str">
        <f t="shared" si="1"/>
        <v>3A</v>
      </c>
      <c r="F2719" s="47" t="s">
        <v>4045</v>
      </c>
      <c r="G2719" s="47" t="s">
        <v>627</v>
      </c>
      <c r="H2719" s="48">
        <f>IF(NOT(ISBLANK(vlookup(B2719,Pop_Census_2023!$A$2:$E$3220,4,FALSE))),vlookup(B2719,Pop_Census_2023!$A$2:$E$3220,4,FALSE), vlookup(B2719,Pop_Census_2023!$A$2:$E$3220,5,FALSE))</f>
        <v>86158</v>
      </c>
    </row>
    <row r="2720">
      <c r="A2720" s="47" t="s">
        <v>3524</v>
      </c>
      <c r="B2720" s="47">
        <v>48215.0</v>
      </c>
      <c r="C2720" s="47">
        <v>2.0</v>
      </c>
      <c r="D2720" s="47" t="s">
        <v>4044</v>
      </c>
      <c r="E2720" s="47" t="str">
        <f t="shared" si="1"/>
        <v>2A</v>
      </c>
      <c r="F2720" s="47" t="s">
        <v>4045</v>
      </c>
      <c r="G2720" s="47" t="s">
        <v>1281</v>
      </c>
      <c r="H2720" s="48">
        <f>IF(NOT(ISBLANK(vlookup(B2720,Pop_Census_2023!$A$2:$E$3220,4,FALSE))),vlookup(B2720,Pop_Census_2023!$A$2:$E$3220,4,FALSE), vlookup(B2720,Pop_Census_2023!$A$2:$E$3220,5,FALSE))</f>
        <v>898471</v>
      </c>
    </row>
    <row r="2721">
      <c r="A2721" s="47" t="s">
        <v>3524</v>
      </c>
      <c r="B2721" s="47">
        <v>48217.0</v>
      </c>
      <c r="C2721" s="47">
        <v>2.0</v>
      </c>
      <c r="D2721" s="47" t="s">
        <v>4044</v>
      </c>
      <c r="E2721" s="47" t="str">
        <f t="shared" si="1"/>
        <v>2A</v>
      </c>
      <c r="F2721" s="47" t="s">
        <v>4045</v>
      </c>
      <c r="G2721" s="47" t="s">
        <v>1176</v>
      </c>
      <c r="H2721" s="48">
        <f>IF(NOT(ISBLANK(vlookup(B2721,Pop_Census_2023!$A$2:$E$3220,4,FALSE))),vlookup(B2721,Pop_Census_2023!$A$2:$E$3220,4,FALSE), vlookup(B2721,Pop_Census_2023!$A$2:$E$3220,5,FALSE))</f>
        <v>38101</v>
      </c>
    </row>
    <row r="2722">
      <c r="A2722" s="47" t="s">
        <v>3524</v>
      </c>
      <c r="B2722" s="47">
        <v>48219.0</v>
      </c>
      <c r="C2722" s="47">
        <v>4.0</v>
      </c>
      <c r="D2722" s="47" t="s">
        <v>4053</v>
      </c>
      <c r="E2722" s="47" t="str">
        <f t="shared" si="1"/>
        <v>4B</v>
      </c>
      <c r="F2722" s="47" t="s">
        <v>4056</v>
      </c>
      <c r="G2722" s="47" t="s">
        <v>1712</v>
      </c>
      <c r="H2722" s="48">
        <f>IF(NOT(ISBLANK(vlookup(B2722,Pop_Census_2023!$A$2:$E$3220,4,FALSE))),vlookup(B2722,Pop_Census_2023!$A$2:$E$3220,4,FALSE), vlookup(B2722,Pop_Census_2023!$A$2:$E$3220,5,FALSE))</f>
        <v>21460</v>
      </c>
    </row>
    <row r="2723">
      <c r="A2723" s="47" t="s">
        <v>3524</v>
      </c>
      <c r="B2723" s="47">
        <v>48221.0</v>
      </c>
      <c r="C2723" s="47">
        <v>3.0</v>
      </c>
      <c r="D2723" s="47" t="s">
        <v>4044</v>
      </c>
      <c r="E2723" s="47" t="str">
        <f t="shared" si="1"/>
        <v>3A</v>
      </c>
      <c r="F2723" s="47" t="s">
        <v>4045</v>
      </c>
      <c r="G2723" s="47" t="s">
        <v>1713</v>
      </c>
      <c r="H2723" s="48">
        <f>IF(NOT(ISBLANK(vlookup(B2723,Pop_Census_2023!$A$2:$E$3220,4,FALSE))),vlookup(B2723,Pop_Census_2023!$A$2:$E$3220,4,FALSE), vlookup(B2723,Pop_Census_2023!$A$2:$E$3220,5,FALSE))</f>
        <v>67774</v>
      </c>
    </row>
    <row r="2724">
      <c r="A2724" s="47" t="s">
        <v>3524</v>
      </c>
      <c r="B2724" s="47">
        <v>48223.0</v>
      </c>
      <c r="C2724" s="47">
        <v>3.0</v>
      </c>
      <c r="D2724" s="47" t="s">
        <v>4044</v>
      </c>
      <c r="E2724" s="47" t="str">
        <f t="shared" si="1"/>
        <v>3A</v>
      </c>
      <c r="F2724" s="47" t="s">
        <v>4045</v>
      </c>
      <c r="G2724" s="47" t="s">
        <v>846</v>
      </c>
      <c r="H2724" s="48">
        <f>IF(NOT(ISBLANK(vlookup(B2724,Pop_Census_2023!$A$2:$E$3220,4,FALSE))),vlookup(B2724,Pop_Census_2023!$A$2:$E$3220,4,FALSE), vlookup(B2724,Pop_Census_2023!$A$2:$E$3220,5,FALSE))</f>
        <v>38172</v>
      </c>
    </row>
    <row r="2725">
      <c r="A2725" s="47" t="s">
        <v>3524</v>
      </c>
      <c r="B2725" s="47">
        <v>48225.0</v>
      </c>
      <c r="C2725" s="47">
        <v>2.0</v>
      </c>
      <c r="D2725" s="47" t="s">
        <v>4044</v>
      </c>
      <c r="E2725" s="47" t="str">
        <f t="shared" si="1"/>
        <v>2A</v>
      </c>
      <c r="F2725" s="47" t="s">
        <v>4045</v>
      </c>
      <c r="G2725" s="47" t="s">
        <v>137</v>
      </c>
      <c r="H2725" s="48">
        <f>IF(NOT(ISBLANK(vlookup(B2725,Pop_Census_2023!$A$2:$E$3220,4,FALSE))),vlookup(B2725,Pop_Census_2023!$A$2:$E$3220,4,FALSE), vlookup(B2725,Pop_Census_2023!$A$2:$E$3220,5,FALSE))</f>
        <v>22066</v>
      </c>
    </row>
    <row r="2726">
      <c r="A2726" s="47" t="s">
        <v>3524</v>
      </c>
      <c r="B2726" s="47">
        <v>48227.0</v>
      </c>
      <c r="C2726" s="47">
        <v>3.0</v>
      </c>
      <c r="D2726" s="47" t="s">
        <v>4053</v>
      </c>
      <c r="E2726" s="47" t="str">
        <f t="shared" si="1"/>
        <v>3B</v>
      </c>
      <c r="F2726" s="47" t="s">
        <v>4055</v>
      </c>
      <c r="G2726" s="47" t="s">
        <v>245</v>
      </c>
      <c r="H2726" s="48">
        <f>IF(NOT(ISBLANK(vlookup(B2726,Pop_Census_2023!$A$2:$E$3220,4,FALSE))),vlookup(B2726,Pop_Census_2023!$A$2:$E$3220,4,FALSE), vlookup(B2726,Pop_Census_2023!$A$2:$E$3220,5,FALSE))</f>
        <v>30554</v>
      </c>
    </row>
    <row r="2727">
      <c r="A2727" s="47" t="s">
        <v>3524</v>
      </c>
      <c r="B2727" s="47">
        <v>48229.0</v>
      </c>
      <c r="C2727" s="47">
        <v>3.0</v>
      </c>
      <c r="D2727" s="47" t="s">
        <v>4053</v>
      </c>
      <c r="E2727" s="47" t="str">
        <f t="shared" si="1"/>
        <v>3B</v>
      </c>
      <c r="F2727" s="47" t="s">
        <v>4055</v>
      </c>
      <c r="G2727" s="47" t="s">
        <v>1714</v>
      </c>
      <c r="H2727" s="48">
        <f>IF(NOT(ISBLANK(vlookup(B2727,Pop_Census_2023!$A$2:$E$3220,4,FALSE))),vlookup(B2727,Pop_Census_2023!$A$2:$E$3220,4,FALSE), vlookup(B2727,Pop_Census_2023!$A$2:$E$3220,5,FALSE))</f>
        <v>3451</v>
      </c>
    </row>
    <row r="2728">
      <c r="A2728" s="47" t="s">
        <v>3524</v>
      </c>
      <c r="B2728" s="47">
        <v>48231.0</v>
      </c>
      <c r="C2728" s="47">
        <v>3.0</v>
      </c>
      <c r="D2728" s="47" t="s">
        <v>4044</v>
      </c>
      <c r="E2728" s="47" t="str">
        <f t="shared" si="1"/>
        <v>3A</v>
      </c>
      <c r="F2728" s="47" t="s">
        <v>4045</v>
      </c>
      <c r="G2728" s="47" t="s">
        <v>1715</v>
      </c>
      <c r="H2728" s="48">
        <f>IF(NOT(ISBLANK(vlookup(B2728,Pop_Census_2023!$A$2:$E$3220,4,FALSE))),vlookup(B2728,Pop_Census_2023!$A$2:$E$3220,4,FALSE), vlookup(B2728,Pop_Census_2023!$A$2:$E$3220,5,FALSE))</f>
        <v>113347</v>
      </c>
    </row>
    <row r="2729">
      <c r="A2729" s="47" t="s">
        <v>3524</v>
      </c>
      <c r="B2729" s="47">
        <v>48233.0</v>
      </c>
      <c r="C2729" s="47">
        <v>4.0</v>
      </c>
      <c r="D2729" s="47" t="s">
        <v>4053</v>
      </c>
      <c r="E2729" s="47" t="str">
        <f t="shared" si="1"/>
        <v>4B</v>
      </c>
      <c r="F2729" s="47" t="s">
        <v>4056</v>
      </c>
      <c r="G2729" s="47" t="s">
        <v>1597</v>
      </c>
      <c r="H2729" s="48">
        <f>IF(NOT(ISBLANK(vlookup(B2729,Pop_Census_2023!$A$2:$E$3220,4,FALSE))),vlookup(B2729,Pop_Census_2023!$A$2:$E$3220,4,FALSE), vlookup(B2729,Pop_Census_2023!$A$2:$E$3220,5,FALSE))</f>
        <v>20033</v>
      </c>
    </row>
    <row r="2730">
      <c r="A2730" s="47" t="s">
        <v>3524</v>
      </c>
      <c r="B2730" s="47">
        <v>48235.0</v>
      </c>
      <c r="C2730" s="47">
        <v>3.0</v>
      </c>
      <c r="D2730" s="47" t="s">
        <v>4053</v>
      </c>
      <c r="E2730" s="47" t="str">
        <f t="shared" si="1"/>
        <v>3B</v>
      </c>
      <c r="F2730" s="47" t="s">
        <v>4055</v>
      </c>
      <c r="G2730" s="47" t="s">
        <v>1716</v>
      </c>
      <c r="H2730" s="48">
        <f>IF(NOT(ISBLANK(vlookup(B2730,Pop_Census_2023!$A$2:$E$3220,4,FALSE))),vlookup(B2730,Pop_Census_2023!$A$2:$E$3220,4,FALSE), vlookup(B2730,Pop_Census_2023!$A$2:$E$3220,5,FALSE))</f>
        <v>1549</v>
      </c>
    </row>
    <row r="2731">
      <c r="A2731" s="47" t="s">
        <v>3524</v>
      </c>
      <c r="B2731" s="47">
        <v>48237.0</v>
      </c>
      <c r="C2731" s="47">
        <v>3.0</v>
      </c>
      <c r="D2731" s="47" t="s">
        <v>4044</v>
      </c>
      <c r="E2731" s="47" t="str">
        <f t="shared" si="1"/>
        <v>3A</v>
      </c>
      <c r="F2731" s="47" t="s">
        <v>4046</v>
      </c>
      <c r="G2731" s="47" t="s">
        <v>1717</v>
      </c>
      <c r="H2731" s="48">
        <f>IF(NOT(ISBLANK(vlookup(B2731,Pop_Census_2023!$A$2:$E$3220,4,FALSE))),vlookup(B2731,Pop_Census_2023!$A$2:$E$3220,4,FALSE), vlookup(B2731,Pop_Census_2023!$A$2:$E$3220,5,FALSE))</f>
        <v>8875</v>
      </c>
    </row>
    <row r="2732">
      <c r="A2732" s="47" t="s">
        <v>3524</v>
      </c>
      <c r="B2732" s="47">
        <v>48239.0</v>
      </c>
      <c r="C2732" s="47">
        <v>2.0</v>
      </c>
      <c r="D2732" s="47" t="s">
        <v>4044</v>
      </c>
      <c r="E2732" s="47" t="str">
        <f t="shared" si="1"/>
        <v>2A</v>
      </c>
      <c r="F2732" s="47" t="s">
        <v>4045</v>
      </c>
      <c r="G2732" s="47" t="s">
        <v>138</v>
      </c>
      <c r="H2732" s="48">
        <f>IF(NOT(ISBLANK(vlookup(B2732,Pop_Census_2023!$A$2:$E$3220,4,FALSE))),vlookup(B2732,Pop_Census_2023!$A$2:$E$3220,4,FALSE), vlookup(B2732,Pop_Census_2023!$A$2:$E$3220,5,FALSE))</f>
        <v>15221</v>
      </c>
    </row>
    <row r="2733">
      <c r="A2733" s="47" t="s">
        <v>3524</v>
      </c>
      <c r="B2733" s="47">
        <v>48241.0</v>
      </c>
      <c r="C2733" s="47">
        <v>2.0</v>
      </c>
      <c r="D2733" s="47" t="s">
        <v>4044</v>
      </c>
      <c r="E2733" s="47" t="str">
        <f t="shared" si="1"/>
        <v>2A</v>
      </c>
      <c r="F2733" s="47" t="s">
        <v>4045</v>
      </c>
      <c r="G2733" s="47" t="s">
        <v>518</v>
      </c>
      <c r="H2733" s="48">
        <f>IF(NOT(ISBLANK(vlookup(B2733,Pop_Census_2023!$A$2:$E$3220,4,FALSE))),vlookup(B2733,Pop_Census_2023!$A$2:$E$3220,4,FALSE), vlookup(B2733,Pop_Census_2023!$A$2:$E$3220,5,FALSE))</f>
        <v>32694</v>
      </c>
    </row>
    <row r="2734">
      <c r="A2734" s="47" t="s">
        <v>3524</v>
      </c>
      <c r="B2734" s="47">
        <v>48243.0</v>
      </c>
      <c r="C2734" s="47">
        <v>3.0</v>
      </c>
      <c r="D2734" s="47" t="s">
        <v>4053</v>
      </c>
      <c r="E2734" s="47" t="str">
        <f t="shared" si="1"/>
        <v>3B</v>
      </c>
      <c r="F2734" s="47" t="s">
        <v>4055</v>
      </c>
      <c r="G2734" s="47" t="s">
        <v>519</v>
      </c>
      <c r="H2734" s="48">
        <f>IF(NOT(ISBLANK(vlookup(B2734,Pop_Census_2023!$A$2:$E$3220,4,FALSE))),vlookup(B2734,Pop_Census_2023!$A$2:$E$3220,4,FALSE), vlookup(B2734,Pop_Census_2023!$A$2:$E$3220,5,FALSE))</f>
        <v>1856</v>
      </c>
    </row>
    <row r="2735">
      <c r="A2735" s="47" t="s">
        <v>3524</v>
      </c>
      <c r="B2735" s="47">
        <v>48245.0</v>
      </c>
      <c r="C2735" s="47">
        <v>2.0</v>
      </c>
      <c r="D2735" s="47" t="s">
        <v>4044</v>
      </c>
      <c r="E2735" s="47" t="str">
        <f t="shared" si="1"/>
        <v>2A</v>
      </c>
      <c r="F2735" s="47" t="s">
        <v>4045</v>
      </c>
      <c r="G2735" s="47" t="s">
        <v>139</v>
      </c>
      <c r="H2735" s="48">
        <f>IF(NOT(ISBLANK(vlookup(B2735,Pop_Census_2023!$A$2:$E$3220,4,FALSE))),vlookup(B2735,Pop_Census_2023!$A$2:$E$3220,4,FALSE), vlookup(B2735,Pop_Census_2023!$A$2:$E$3220,5,FALSE))</f>
        <v>251496</v>
      </c>
    </row>
    <row r="2736">
      <c r="A2736" s="47" t="s">
        <v>3524</v>
      </c>
      <c r="B2736" s="47">
        <v>48247.0</v>
      </c>
      <c r="C2736" s="47">
        <v>2.0</v>
      </c>
      <c r="D2736" s="47" t="s">
        <v>4044</v>
      </c>
      <c r="E2736" s="47" t="str">
        <f t="shared" si="1"/>
        <v>2A</v>
      </c>
      <c r="F2736" s="47" t="s">
        <v>4045</v>
      </c>
      <c r="G2736" s="47" t="s">
        <v>1718</v>
      </c>
      <c r="H2736" s="48">
        <f>IF(NOT(ISBLANK(vlookup(B2736,Pop_Census_2023!$A$2:$E$3220,4,FALSE))),vlookup(B2736,Pop_Census_2023!$A$2:$E$3220,4,FALSE), vlookup(B2736,Pop_Census_2023!$A$2:$E$3220,5,FALSE))</f>
        <v>4720</v>
      </c>
    </row>
    <row r="2737">
      <c r="A2737" s="47" t="s">
        <v>3524</v>
      </c>
      <c r="B2737" s="47">
        <v>48249.0</v>
      </c>
      <c r="C2737" s="47">
        <v>2.0</v>
      </c>
      <c r="D2737" s="47" t="s">
        <v>4044</v>
      </c>
      <c r="E2737" s="47" t="str">
        <f t="shared" si="1"/>
        <v>2A</v>
      </c>
      <c r="F2737" s="47" t="s">
        <v>4045</v>
      </c>
      <c r="G2737" s="47" t="s">
        <v>1719</v>
      </c>
      <c r="H2737" s="48">
        <f>IF(NOT(ISBLANK(vlookup(B2737,Pop_Census_2023!$A$2:$E$3220,4,FALSE))),vlookup(B2737,Pop_Census_2023!$A$2:$E$3220,4,FALSE), vlookup(B2737,Pop_Census_2023!$A$2:$E$3220,5,FALSE))</f>
        <v>38662</v>
      </c>
    </row>
    <row r="2738">
      <c r="A2738" s="47" t="s">
        <v>3524</v>
      </c>
      <c r="B2738" s="47">
        <v>48251.0</v>
      </c>
      <c r="C2738" s="47">
        <v>3.0</v>
      </c>
      <c r="D2738" s="47" t="s">
        <v>4044</v>
      </c>
      <c r="E2738" s="47" t="str">
        <f t="shared" si="1"/>
        <v>3A</v>
      </c>
      <c r="F2738" s="47" t="s">
        <v>4045</v>
      </c>
      <c r="G2738" s="47" t="s">
        <v>248</v>
      </c>
      <c r="H2738" s="48">
        <f>IF(NOT(ISBLANK(vlookup(B2738,Pop_Census_2023!$A$2:$E$3220,4,FALSE))),vlookup(B2738,Pop_Census_2023!$A$2:$E$3220,4,FALSE), vlookup(B2738,Pop_Census_2023!$A$2:$E$3220,5,FALSE))</f>
        <v>202906</v>
      </c>
    </row>
    <row r="2739">
      <c r="A2739" s="47" t="s">
        <v>3524</v>
      </c>
      <c r="B2739" s="47">
        <v>48253.0</v>
      </c>
      <c r="C2739" s="47">
        <v>3.0</v>
      </c>
      <c r="D2739" s="47" t="s">
        <v>4053</v>
      </c>
      <c r="E2739" s="47" t="str">
        <f t="shared" si="1"/>
        <v>3B</v>
      </c>
      <c r="F2739" s="47" t="s">
        <v>4055</v>
      </c>
      <c r="G2739" s="47" t="s">
        <v>521</v>
      </c>
      <c r="H2739" s="48">
        <f>IF(NOT(ISBLANK(vlookup(B2739,Pop_Census_2023!$A$2:$E$3220,4,FALSE))),vlookup(B2739,Pop_Census_2023!$A$2:$E$3220,4,FALSE), vlookup(B2739,Pop_Census_2023!$A$2:$E$3220,5,FALSE))</f>
        <v>20381</v>
      </c>
    </row>
    <row r="2740">
      <c r="A2740" s="47" t="s">
        <v>3524</v>
      </c>
      <c r="B2740" s="47">
        <v>48255.0</v>
      </c>
      <c r="C2740" s="47">
        <v>2.0</v>
      </c>
      <c r="D2740" s="47" t="s">
        <v>4044</v>
      </c>
      <c r="E2740" s="47" t="str">
        <f t="shared" si="1"/>
        <v>2A</v>
      </c>
      <c r="F2740" s="47" t="s">
        <v>4045</v>
      </c>
      <c r="G2740" s="47" t="s">
        <v>1720</v>
      </c>
      <c r="H2740" s="48">
        <f>IF(NOT(ISBLANK(vlookup(B2740,Pop_Census_2023!$A$2:$E$3220,4,FALSE))),vlookup(B2740,Pop_Census_2023!$A$2:$E$3220,4,FALSE), vlookup(B2740,Pop_Census_2023!$A$2:$E$3220,5,FALSE))</f>
        <v>15018</v>
      </c>
    </row>
    <row r="2741">
      <c r="A2741" s="47" t="s">
        <v>3524</v>
      </c>
      <c r="B2741" s="47">
        <v>48257.0</v>
      </c>
      <c r="C2741" s="47">
        <v>3.0</v>
      </c>
      <c r="D2741" s="47" t="s">
        <v>4044</v>
      </c>
      <c r="E2741" s="47" t="str">
        <f t="shared" si="1"/>
        <v>3A</v>
      </c>
      <c r="F2741" s="47" t="s">
        <v>4045</v>
      </c>
      <c r="G2741" s="47" t="s">
        <v>1721</v>
      </c>
      <c r="H2741" s="48">
        <f>IF(NOT(ISBLANK(vlookup(B2741,Pop_Census_2023!$A$2:$E$3220,4,FALSE))),vlookup(B2741,Pop_Census_2023!$A$2:$E$3220,4,FALSE), vlookup(B2741,Pop_Census_2023!$A$2:$E$3220,5,FALSE))</f>
        <v>185690</v>
      </c>
    </row>
    <row r="2742">
      <c r="A2742" s="47" t="s">
        <v>3524</v>
      </c>
      <c r="B2742" s="47">
        <v>48259.0</v>
      </c>
      <c r="C2742" s="47">
        <v>3.0</v>
      </c>
      <c r="D2742" s="47" t="s">
        <v>4044</v>
      </c>
      <c r="E2742" s="47" t="str">
        <f t="shared" si="1"/>
        <v>3A</v>
      </c>
      <c r="F2742" s="47" t="s">
        <v>4045</v>
      </c>
      <c r="G2742" s="47" t="s">
        <v>633</v>
      </c>
      <c r="H2742" s="48">
        <f>IF(NOT(ISBLANK(vlookup(B2742,Pop_Census_2023!$A$2:$E$3220,4,FALSE))),vlookup(B2742,Pop_Census_2023!$A$2:$E$3220,4,FALSE), vlookup(B2742,Pop_Census_2023!$A$2:$E$3220,5,FALSE))</f>
        <v>50537</v>
      </c>
    </row>
    <row r="2743">
      <c r="A2743" s="47" t="s">
        <v>3524</v>
      </c>
      <c r="B2743" s="47">
        <v>48261.0</v>
      </c>
      <c r="C2743" s="47">
        <v>2.0</v>
      </c>
      <c r="D2743" s="47" t="s">
        <v>4044</v>
      </c>
      <c r="E2743" s="47" t="str">
        <f t="shared" si="1"/>
        <v>2A</v>
      </c>
      <c r="F2743" s="47" t="s">
        <v>4045</v>
      </c>
      <c r="G2743" s="47" t="s">
        <v>1722</v>
      </c>
      <c r="H2743" s="34">
        <f>IF(NOT(ISBLANK(vlookup(B2743,Pop_Census_2023!$A$2:$E$3220,4,FALSE))),vlookup(B2743,Pop_Census_2023!$A$2:$E$3220,4,FALSE), vlookup(B2743,Pop_Census_2023!$A$2:$E$3220,5,FALSE))</f>
        <v>343</v>
      </c>
    </row>
    <row r="2744">
      <c r="A2744" s="47" t="s">
        <v>3524</v>
      </c>
      <c r="B2744" s="47">
        <v>48263.0</v>
      </c>
      <c r="C2744" s="47">
        <v>3.0</v>
      </c>
      <c r="D2744" s="47" t="s">
        <v>4053</v>
      </c>
      <c r="E2744" s="47" t="str">
        <f t="shared" si="1"/>
        <v>3B</v>
      </c>
      <c r="F2744" s="47" t="s">
        <v>4055</v>
      </c>
      <c r="G2744" s="47" t="s">
        <v>404</v>
      </c>
      <c r="H2744" s="34">
        <f>IF(NOT(ISBLANK(vlookup(B2744,Pop_Census_2023!$A$2:$E$3220,4,FALSE))),vlookup(B2744,Pop_Census_2023!$A$2:$E$3220,4,FALSE), vlookup(B2744,Pop_Census_2023!$A$2:$E$3220,5,FALSE))</f>
        <v>734</v>
      </c>
    </row>
    <row r="2745">
      <c r="A2745" s="47" t="s">
        <v>3524</v>
      </c>
      <c r="B2745" s="47">
        <v>48265.0</v>
      </c>
      <c r="C2745" s="47">
        <v>3.0</v>
      </c>
      <c r="D2745" s="47" t="s">
        <v>4053</v>
      </c>
      <c r="E2745" s="47" t="str">
        <f t="shared" si="1"/>
        <v>3B</v>
      </c>
      <c r="F2745" s="47" t="s">
        <v>4055</v>
      </c>
      <c r="G2745" s="47" t="s">
        <v>1723</v>
      </c>
      <c r="H2745" s="48">
        <f>IF(NOT(ISBLANK(vlookup(B2745,Pop_Census_2023!$A$2:$E$3220,4,FALSE))),vlookup(B2745,Pop_Census_2023!$A$2:$E$3220,4,FALSE), vlookup(B2745,Pop_Census_2023!$A$2:$E$3220,5,FALSE))</f>
        <v>53915</v>
      </c>
    </row>
    <row r="2746">
      <c r="A2746" s="47" t="s">
        <v>3524</v>
      </c>
      <c r="B2746" s="47">
        <v>48267.0</v>
      </c>
      <c r="C2746" s="47">
        <v>3.0</v>
      </c>
      <c r="D2746" s="47" t="s">
        <v>4053</v>
      </c>
      <c r="E2746" s="47" t="str">
        <f t="shared" si="1"/>
        <v>3B</v>
      </c>
      <c r="F2746" s="47" t="s">
        <v>4055</v>
      </c>
      <c r="G2746" s="47" t="s">
        <v>1724</v>
      </c>
      <c r="H2746" s="48">
        <f>IF(NOT(ISBLANK(vlookup(B2746,Pop_Census_2023!$A$2:$E$3220,4,FALSE))),vlookup(B2746,Pop_Census_2023!$A$2:$E$3220,4,FALSE), vlookup(B2746,Pop_Census_2023!$A$2:$E$3220,5,FALSE))</f>
        <v>4442</v>
      </c>
    </row>
    <row r="2747">
      <c r="A2747" s="47" t="s">
        <v>3524</v>
      </c>
      <c r="B2747" s="47">
        <v>48269.0</v>
      </c>
      <c r="C2747" s="47">
        <v>3.0</v>
      </c>
      <c r="D2747" s="47" t="s">
        <v>4053</v>
      </c>
      <c r="E2747" s="47" t="str">
        <f t="shared" si="1"/>
        <v>3B</v>
      </c>
      <c r="F2747" s="47" t="s">
        <v>4055</v>
      </c>
      <c r="G2747" s="47" t="s">
        <v>1725</v>
      </c>
      <c r="H2747" s="34">
        <f>IF(NOT(ISBLANK(vlookup(B2747,Pop_Census_2023!$A$2:$E$3220,4,FALSE))),vlookup(B2747,Pop_Census_2023!$A$2:$E$3220,4,FALSE), vlookup(B2747,Pop_Census_2023!$A$2:$E$3220,5,FALSE))</f>
        <v>217</v>
      </c>
    </row>
    <row r="2748">
      <c r="A2748" s="47" t="s">
        <v>3524</v>
      </c>
      <c r="B2748" s="47">
        <v>48271.0</v>
      </c>
      <c r="C2748" s="47">
        <v>2.0</v>
      </c>
      <c r="D2748" s="47" t="s">
        <v>4053</v>
      </c>
      <c r="E2748" s="47" t="str">
        <f t="shared" si="1"/>
        <v>2B</v>
      </c>
      <c r="F2748" s="47" t="s">
        <v>4045</v>
      </c>
      <c r="G2748" s="47" t="s">
        <v>1726</v>
      </c>
      <c r="H2748" s="48">
        <f>IF(NOT(ISBLANK(vlookup(B2748,Pop_Census_2023!$A$2:$E$3220,4,FALSE))),vlookup(B2748,Pop_Census_2023!$A$2:$E$3220,4,FALSE), vlookup(B2748,Pop_Census_2023!$A$2:$E$3220,5,FALSE))</f>
        <v>3148</v>
      </c>
    </row>
    <row r="2749">
      <c r="A2749" s="47" t="s">
        <v>3524</v>
      </c>
      <c r="B2749" s="47">
        <v>48273.0</v>
      </c>
      <c r="C2749" s="47">
        <v>2.0</v>
      </c>
      <c r="D2749" s="47" t="s">
        <v>4044</v>
      </c>
      <c r="E2749" s="47" t="str">
        <f t="shared" si="1"/>
        <v>2A</v>
      </c>
      <c r="F2749" s="47" t="s">
        <v>4045</v>
      </c>
      <c r="G2749" s="47" t="s">
        <v>1727</v>
      </c>
      <c r="H2749" s="48">
        <f>IF(NOT(ISBLANK(vlookup(B2749,Pop_Census_2023!$A$2:$E$3220,4,FALSE))),vlookup(B2749,Pop_Census_2023!$A$2:$E$3220,4,FALSE), vlookup(B2749,Pop_Census_2023!$A$2:$E$3220,5,FALSE))</f>
        <v>30069</v>
      </c>
    </row>
    <row r="2750">
      <c r="A2750" s="47" t="s">
        <v>3524</v>
      </c>
      <c r="B2750" s="47">
        <v>48275.0</v>
      </c>
      <c r="C2750" s="47">
        <v>3.0</v>
      </c>
      <c r="D2750" s="47" t="s">
        <v>4053</v>
      </c>
      <c r="E2750" s="47" t="str">
        <f t="shared" si="1"/>
        <v>3B</v>
      </c>
      <c r="F2750" s="47" t="s">
        <v>4055</v>
      </c>
      <c r="G2750" s="47" t="s">
        <v>634</v>
      </c>
      <c r="H2750" s="48">
        <f>IF(NOT(ISBLANK(vlookup(B2750,Pop_Census_2023!$A$2:$E$3220,4,FALSE))),vlookup(B2750,Pop_Census_2023!$A$2:$E$3220,4,FALSE), vlookup(B2750,Pop_Census_2023!$A$2:$E$3220,5,FALSE))</f>
        <v>3302</v>
      </c>
    </row>
    <row r="2751">
      <c r="A2751" s="47" t="s">
        <v>3524</v>
      </c>
      <c r="B2751" s="47">
        <v>48283.0</v>
      </c>
      <c r="C2751" s="47">
        <v>2.0</v>
      </c>
      <c r="D2751" s="47" t="s">
        <v>4053</v>
      </c>
      <c r="E2751" s="47" t="str">
        <f t="shared" si="1"/>
        <v>2B</v>
      </c>
      <c r="F2751" s="47" t="s">
        <v>4045</v>
      </c>
      <c r="G2751" s="47" t="s">
        <v>1730</v>
      </c>
      <c r="H2751" s="48">
        <f>IF(NOT(ISBLANK(vlookup(B2751,Pop_Census_2023!$A$2:$E$3220,4,FALSE))),vlookup(B2751,Pop_Census_2023!$A$2:$E$3220,4,FALSE), vlookup(B2751,Pop_Census_2023!$A$2:$E$3220,5,FALSE))</f>
        <v>6537</v>
      </c>
    </row>
    <row r="2752">
      <c r="A2752" s="47" t="s">
        <v>3524</v>
      </c>
      <c r="B2752" s="47">
        <v>48277.0</v>
      </c>
      <c r="C2752" s="47">
        <v>3.0</v>
      </c>
      <c r="D2752" s="47" t="s">
        <v>4044</v>
      </c>
      <c r="E2752" s="47" t="str">
        <f t="shared" si="1"/>
        <v>3A</v>
      </c>
      <c r="F2752" s="47" t="s">
        <v>4045</v>
      </c>
      <c r="G2752" s="47" t="s">
        <v>140</v>
      </c>
      <c r="H2752" s="48">
        <f>IF(NOT(ISBLANK(vlookup(B2752,Pop_Census_2023!$A$2:$E$3220,4,FALSE))),vlookup(B2752,Pop_Census_2023!$A$2:$E$3220,4,FALSE), vlookup(B2752,Pop_Census_2023!$A$2:$E$3220,5,FALSE))</f>
        <v>51127</v>
      </c>
    </row>
    <row r="2753">
      <c r="A2753" s="47" t="s">
        <v>3524</v>
      </c>
      <c r="B2753" s="47">
        <v>48279.0</v>
      </c>
      <c r="C2753" s="47">
        <v>4.0</v>
      </c>
      <c r="D2753" s="47" t="s">
        <v>4053</v>
      </c>
      <c r="E2753" s="47" t="str">
        <f t="shared" si="1"/>
        <v>4B</v>
      </c>
      <c r="F2753" s="47" t="s">
        <v>4056</v>
      </c>
      <c r="G2753" s="47" t="s">
        <v>1728</v>
      </c>
      <c r="H2753" s="48">
        <f>IF(NOT(ISBLANK(vlookup(B2753,Pop_Census_2023!$A$2:$E$3220,4,FALSE))),vlookup(B2753,Pop_Census_2023!$A$2:$E$3220,4,FALSE), vlookup(B2753,Pop_Census_2023!$A$2:$E$3220,5,FALSE))</f>
        <v>12711</v>
      </c>
    </row>
    <row r="2754">
      <c r="A2754" s="47" t="s">
        <v>3524</v>
      </c>
      <c r="B2754" s="47">
        <v>48281.0</v>
      </c>
      <c r="C2754" s="47">
        <v>3.0</v>
      </c>
      <c r="D2754" s="47" t="s">
        <v>4044</v>
      </c>
      <c r="E2754" s="47" t="str">
        <f t="shared" si="1"/>
        <v>3A</v>
      </c>
      <c r="F2754" s="47" t="s">
        <v>4045</v>
      </c>
      <c r="G2754" s="47" t="s">
        <v>1729</v>
      </c>
      <c r="H2754" s="48">
        <f>IF(NOT(ISBLANK(vlookup(B2754,Pop_Census_2023!$A$2:$E$3220,4,FALSE))),vlookup(B2754,Pop_Census_2023!$A$2:$E$3220,4,FALSE), vlookup(B2754,Pop_Census_2023!$A$2:$E$3220,5,FALSE))</f>
        <v>23262</v>
      </c>
    </row>
    <row r="2755">
      <c r="A2755" s="47" t="s">
        <v>3524</v>
      </c>
      <c r="B2755" s="47">
        <v>48285.0</v>
      </c>
      <c r="C2755" s="47">
        <v>2.0</v>
      </c>
      <c r="D2755" s="47" t="s">
        <v>4044</v>
      </c>
      <c r="E2755" s="47" t="str">
        <f t="shared" si="1"/>
        <v>2A</v>
      </c>
      <c r="F2755" s="47" t="s">
        <v>4045</v>
      </c>
      <c r="G2755" s="47" t="s">
        <v>1731</v>
      </c>
      <c r="H2755" s="48">
        <f>IF(NOT(ISBLANK(vlookup(B2755,Pop_Census_2023!$A$2:$E$3220,4,FALSE))),vlookup(B2755,Pop_Census_2023!$A$2:$E$3220,4,FALSE), vlookup(B2755,Pop_Census_2023!$A$2:$E$3220,5,FALSE))</f>
        <v>20571</v>
      </c>
    </row>
    <row r="2756">
      <c r="A2756" s="47" t="s">
        <v>3524</v>
      </c>
      <c r="B2756" s="47">
        <v>48287.0</v>
      </c>
      <c r="C2756" s="47">
        <v>2.0</v>
      </c>
      <c r="D2756" s="47" t="s">
        <v>4044</v>
      </c>
      <c r="E2756" s="47" t="str">
        <f t="shared" si="1"/>
        <v>2A</v>
      </c>
      <c r="F2756" s="47" t="s">
        <v>4045</v>
      </c>
      <c r="G2756" s="47" t="s">
        <v>143</v>
      </c>
      <c r="H2756" s="48">
        <f>IF(NOT(ISBLANK(vlookup(B2756,Pop_Census_2023!$A$2:$E$3220,4,FALSE))),vlookup(B2756,Pop_Census_2023!$A$2:$E$3220,4,FALSE), vlookup(B2756,Pop_Census_2023!$A$2:$E$3220,5,FALSE))</f>
        <v>18240</v>
      </c>
    </row>
    <row r="2757">
      <c r="A2757" s="47" t="s">
        <v>3524</v>
      </c>
      <c r="B2757" s="47">
        <v>48289.0</v>
      </c>
      <c r="C2757" s="47">
        <v>2.0</v>
      </c>
      <c r="D2757" s="47" t="s">
        <v>4044</v>
      </c>
      <c r="E2757" s="47" t="str">
        <f t="shared" si="1"/>
        <v>2A</v>
      </c>
      <c r="F2757" s="47" t="s">
        <v>4045</v>
      </c>
      <c r="G2757" s="47" t="s">
        <v>436</v>
      </c>
      <c r="H2757" s="48">
        <f>IF(NOT(ISBLANK(vlookup(B2757,Pop_Census_2023!$A$2:$E$3220,4,FALSE))),vlookup(B2757,Pop_Census_2023!$A$2:$E$3220,4,FALSE), vlookup(B2757,Pop_Census_2023!$A$2:$E$3220,5,FALSE))</f>
        <v>16538</v>
      </c>
    </row>
    <row r="2758">
      <c r="A2758" s="47" t="s">
        <v>3524</v>
      </c>
      <c r="B2758" s="47">
        <v>48291.0</v>
      </c>
      <c r="C2758" s="47">
        <v>2.0</v>
      </c>
      <c r="D2758" s="47" t="s">
        <v>4044</v>
      </c>
      <c r="E2758" s="47" t="str">
        <f t="shared" si="1"/>
        <v>2A</v>
      </c>
      <c r="F2758" s="47" t="s">
        <v>4045</v>
      </c>
      <c r="G2758" s="47" t="s">
        <v>438</v>
      </c>
      <c r="H2758" s="48">
        <f>IF(NOT(ISBLANK(vlookup(B2758,Pop_Census_2023!$A$2:$E$3220,4,FALSE))),vlookup(B2758,Pop_Census_2023!$A$2:$E$3220,4,FALSE), vlookup(B2758,Pop_Census_2023!$A$2:$E$3220,5,FALSE))</f>
        <v>108272</v>
      </c>
    </row>
    <row r="2759">
      <c r="A2759" s="47" t="s">
        <v>3524</v>
      </c>
      <c r="B2759" s="47">
        <v>48293.0</v>
      </c>
      <c r="C2759" s="47">
        <v>2.0</v>
      </c>
      <c r="D2759" s="47" t="s">
        <v>4044</v>
      </c>
      <c r="E2759" s="47" t="str">
        <f t="shared" si="1"/>
        <v>2A</v>
      </c>
      <c r="F2759" s="47" t="s">
        <v>4045</v>
      </c>
      <c r="G2759" s="47" t="s">
        <v>144</v>
      </c>
      <c r="H2759" s="48">
        <f>IF(NOT(ISBLANK(vlookup(B2759,Pop_Census_2023!$A$2:$E$3220,4,FALSE))),vlookup(B2759,Pop_Census_2023!$A$2:$E$3220,4,FALSE), vlookup(B2759,Pop_Census_2023!$A$2:$E$3220,5,FALSE))</f>
        <v>22250</v>
      </c>
    </row>
    <row r="2760">
      <c r="A2760" s="47" t="s">
        <v>3524</v>
      </c>
      <c r="B2760" s="47">
        <v>48295.0</v>
      </c>
      <c r="C2760" s="47">
        <v>4.0</v>
      </c>
      <c r="D2760" s="47" t="s">
        <v>4053</v>
      </c>
      <c r="E2760" s="47" t="str">
        <f t="shared" si="1"/>
        <v>4B</v>
      </c>
      <c r="F2760" s="47" t="s">
        <v>4056</v>
      </c>
      <c r="G2760" s="47" t="s">
        <v>1732</v>
      </c>
      <c r="H2760" s="48">
        <f>IF(NOT(ISBLANK(vlookup(B2760,Pop_Census_2023!$A$2:$E$3220,4,FALSE))),vlookup(B2760,Pop_Census_2023!$A$2:$E$3220,4,FALSE), vlookup(B2760,Pop_Census_2023!$A$2:$E$3220,5,FALSE))</f>
        <v>2906</v>
      </c>
    </row>
    <row r="2761">
      <c r="A2761" s="47" t="s">
        <v>3524</v>
      </c>
      <c r="B2761" s="47">
        <v>48297.0</v>
      </c>
      <c r="C2761" s="47">
        <v>2.0</v>
      </c>
      <c r="D2761" s="47" t="s">
        <v>4044</v>
      </c>
      <c r="E2761" s="47" t="str">
        <f t="shared" si="1"/>
        <v>2A</v>
      </c>
      <c r="F2761" s="47" t="s">
        <v>4045</v>
      </c>
      <c r="G2761" s="47" t="s">
        <v>1733</v>
      </c>
      <c r="H2761" s="48">
        <f>IF(NOT(ISBLANK(vlookup(B2761,Pop_Census_2023!$A$2:$E$3220,4,FALSE))),vlookup(B2761,Pop_Census_2023!$A$2:$E$3220,4,FALSE), vlookup(B2761,Pop_Census_2023!$A$2:$E$3220,5,FALSE))</f>
        <v>11584</v>
      </c>
    </row>
    <row r="2762">
      <c r="A2762" s="47" t="s">
        <v>3524</v>
      </c>
      <c r="B2762" s="47">
        <v>48299.0</v>
      </c>
      <c r="C2762" s="47">
        <v>3.0</v>
      </c>
      <c r="D2762" s="47" t="s">
        <v>4044</v>
      </c>
      <c r="E2762" s="47" t="str">
        <f t="shared" si="1"/>
        <v>3A</v>
      </c>
      <c r="F2762" s="47" t="s">
        <v>4045</v>
      </c>
      <c r="G2762" s="47" t="s">
        <v>1734</v>
      </c>
      <c r="H2762" s="48">
        <f>IF(NOT(ISBLANK(vlookup(B2762,Pop_Census_2023!$A$2:$E$3220,4,FALSE))),vlookup(B2762,Pop_Census_2023!$A$2:$E$3220,4,FALSE), vlookup(B2762,Pop_Census_2023!$A$2:$E$3220,5,FALSE))</f>
        <v>22875</v>
      </c>
    </row>
    <row r="2763">
      <c r="A2763" s="47" t="s">
        <v>3524</v>
      </c>
      <c r="B2763" s="47">
        <v>48301.0</v>
      </c>
      <c r="C2763" s="47">
        <v>3.0</v>
      </c>
      <c r="D2763" s="47" t="s">
        <v>4053</v>
      </c>
      <c r="E2763" s="47" t="str">
        <f t="shared" si="1"/>
        <v>3B</v>
      </c>
      <c r="F2763" s="47" t="s">
        <v>4055</v>
      </c>
      <c r="G2763" s="47" t="s">
        <v>1735</v>
      </c>
      <c r="H2763" s="34">
        <f>IF(NOT(ISBLANK(vlookup(B2763,Pop_Census_2023!$A$2:$E$3220,4,FALSE))),vlookup(B2763,Pop_Census_2023!$A$2:$E$3220,4,FALSE), vlookup(B2763,Pop_Census_2023!$A$2:$E$3220,5,FALSE))</f>
        <v>43</v>
      </c>
    </row>
    <row r="2764">
      <c r="A2764" s="47" t="s">
        <v>3524</v>
      </c>
      <c r="B2764" s="47">
        <v>48303.0</v>
      </c>
      <c r="C2764" s="47">
        <v>3.0</v>
      </c>
      <c r="D2764" s="47" t="s">
        <v>4053</v>
      </c>
      <c r="E2764" s="47" t="str">
        <f t="shared" si="1"/>
        <v>3B</v>
      </c>
      <c r="F2764" s="47" t="s">
        <v>4055</v>
      </c>
      <c r="G2764" s="47" t="s">
        <v>1736</v>
      </c>
      <c r="H2764" s="48">
        <f>IF(NOT(ISBLANK(vlookup(B2764,Pop_Census_2023!$A$2:$E$3220,4,FALSE))),vlookup(B2764,Pop_Census_2023!$A$2:$E$3220,4,FALSE), vlookup(B2764,Pop_Census_2023!$A$2:$E$3220,5,FALSE))</f>
        <v>320940</v>
      </c>
    </row>
    <row r="2765">
      <c r="A2765" s="47" t="s">
        <v>3524</v>
      </c>
      <c r="B2765" s="47">
        <v>48305.0</v>
      </c>
      <c r="C2765" s="47">
        <v>3.0</v>
      </c>
      <c r="D2765" s="47" t="s">
        <v>4053</v>
      </c>
      <c r="E2765" s="47" t="str">
        <f t="shared" si="1"/>
        <v>3B</v>
      </c>
      <c r="F2765" s="47" t="s">
        <v>4055</v>
      </c>
      <c r="G2765" s="47" t="s">
        <v>1737</v>
      </c>
      <c r="H2765" s="48">
        <f>IF(NOT(ISBLANK(vlookup(B2765,Pop_Census_2023!$A$2:$E$3220,4,FALSE))),vlookup(B2765,Pop_Census_2023!$A$2:$E$3220,4,FALSE), vlookup(B2765,Pop_Census_2023!$A$2:$E$3220,5,FALSE))</f>
        <v>5761</v>
      </c>
    </row>
    <row r="2766">
      <c r="A2766" s="47" t="s">
        <v>3524</v>
      </c>
      <c r="B2766" s="47">
        <v>48307.0</v>
      </c>
      <c r="C2766" s="47">
        <v>3.0</v>
      </c>
      <c r="D2766" s="47" t="s">
        <v>4053</v>
      </c>
      <c r="E2766" s="47" t="str">
        <f t="shared" si="1"/>
        <v>3B</v>
      </c>
      <c r="F2766" s="47" t="s">
        <v>4055</v>
      </c>
      <c r="G2766" s="47" t="s">
        <v>1738</v>
      </c>
      <c r="H2766" s="48">
        <f>IF(NOT(ISBLANK(vlookup(B2766,Pop_Census_2023!$A$2:$E$3220,4,FALSE))),vlookup(B2766,Pop_Census_2023!$A$2:$E$3220,4,FALSE), vlookup(B2766,Pop_Census_2023!$A$2:$E$3220,5,FALSE))</f>
        <v>7452</v>
      </c>
    </row>
    <row r="2767">
      <c r="A2767" s="47" t="s">
        <v>3524</v>
      </c>
      <c r="B2767" s="47">
        <v>48309.0</v>
      </c>
      <c r="C2767" s="47">
        <v>2.0</v>
      </c>
      <c r="D2767" s="47" t="s">
        <v>4044</v>
      </c>
      <c r="E2767" s="47" t="str">
        <f t="shared" si="1"/>
        <v>2A</v>
      </c>
      <c r="F2767" s="47" t="s">
        <v>4045</v>
      </c>
      <c r="G2767" s="47" t="s">
        <v>1739</v>
      </c>
      <c r="H2767" s="48">
        <f>IF(NOT(ISBLANK(vlookup(B2767,Pop_Census_2023!$A$2:$E$3220,4,FALSE))),vlookup(B2767,Pop_Census_2023!$A$2:$E$3220,4,FALSE), vlookup(B2767,Pop_Census_2023!$A$2:$E$3220,5,FALSE))</f>
        <v>268583</v>
      </c>
    </row>
    <row r="2768">
      <c r="A2768" s="47" t="s">
        <v>3524</v>
      </c>
      <c r="B2768" s="47">
        <v>48311.0</v>
      </c>
      <c r="C2768" s="47">
        <v>2.0</v>
      </c>
      <c r="D2768" s="47" t="s">
        <v>4044</v>
      </c>
      <c r="E2768" s="47" t="str">
        <f t="shared" si="1"/>
        <v>2A</v>
      </c>
      <c r="F2768" s="47" t="s">
        <v>4045</v>
      </c>
      <c r="G2768" s="47" t="s">
        <v>1740</v>
      </c>
      <c r="H2768" s="34">
        <f>IF(NOT(ISBLANK(vlookup(B2768,Pop_Census_2023!$A$2:$E$3220,4,FALSE))),vlookup(B2768,Pop_Census_2023!$A$2:$E$3220,4,FALSE), vlookup(B2768,Pop_Census_2023!$A$2:$E$3220,5,FALSE))</f>
        <v>568</v>
      </c>
    </row>
    <row r="2769">
      <c r="A2769" s="47" t="s">
        <v>3524</v>
      </c>
      <c r="B2769" s="47">
        <v>48313.0</v>
      </c>
      <c r="C2769" s="47">
        <v>2.0</v>
      </c>
      <c r="D2769" s="47" t="s">
        <v>4044</v>
      </c>
      <c r="E2769" s="47" t="str">
        <f t="shared" si="1"/>
        <v>2A</v>
      </c>
      <c r="F2769" s="47" t="s">
        <v>4045</v>
      </c>
      <c r="G2769" s="47" t="s">
        <v>147</v>
      </c>
      <c r="H2769" s="48">
        <f>IF(NOT(ISBLANK(vlookup(B2769,Pop_Census_2023!$A$2:$E$3220,4,FALSE))),vlookup(B2769,Pop_Census_2023!$A$2:$E$3220,4,FALSE), vlookup(B2769,Pop_Census_2023!$A$2:$E$3220,5,FALSE))</f>
        <v>13742</v>
      </c>
    </row>
    <row r="2770">
      <c r="A2770" s="47" t="s">
        <v>3524</v>
      </c>
      <c r="B2770" s="47">
        <v>48315.0</v>
      </c>
      <c r="C2770" s="47">
        <v>3.0</v>
      </c>
      <c r="D2770" s="47" t="s">
        <v>4044</v>
      </c>
      <c r="E2770" s="47" t="str">
        <f t="shared" si="1"/>
        <v>3A</v>
      </c>
      <c r="F2770" s="47" t="s">
        <v>4045</v>
      </c>
      <c r="G2770" s="47" t="s">
        <v>149</v>
      </c>
      <c r="H2770" s="48">
        <f>IF(NOT(ISBLANK(vlookup(B2770,Pop_Census_2023!$A$2:$E$3220,4,FALSE))),vlookup(B2770,Pop_Census_2023!$A$2:$E$3220,4,FALSE), vlookup(B2770,Pop_Census_2023!$A$2:$E$3220,5,FALSE))</f>
        <v>9571</v>
      </c>
    </row>
    <row r="2771">
      <c r="A2771" s="47" t="s">
        <v>3524</v>
      </c>
      <c r="B2771" s="47">
        <v>48317.0</v>
      </c>
      <c r="C2771" s="47">
        <v>3.0</v>
      </c>
      <c r="D2771" s="47" t="s">
        <v>4053</v>
      </c>
      <c r="E2771" s="47" t="str">
        <f t="shared" si="1"/>
        <v>3B</v>
      </c>
      <c r="F2771" s="47" t="s">
        <v>4055</v>
      </c>
      <c r="G2771" s="47" t="s">
        <v>440</v>
      </c>
      <c r="H2771" s="48">
        <f>IF(NOT(ISBLANK(vlookup(B2771,Pop_Census_2023!$A$2:$E$3220,4,FALSE))),vlookup(B2771,Pop_Census_2023!$A$2:$E$3220,4,FALSE), vlookup(B2771,Pop_Census_2023!$A$2:$E$3220,5,FALSE))</f>
        <v>5216</v>
      </c>
    </row>
    <row r="2772">
      <c r="A2772" s="47" t="s">
        <v>3524</v>
      </c>
      <c r="B2772" s="47">
        <v>48319.0</v>
      </c>
      <c r="C2772" s="47">
        <v>3.0</v>
      </c>
      <c r="D2772" s="47" t="s">
        <v>4053</v>
      </c>
      <c r="E2772" s="47" t="str">
        <f t="shared" si="1"/>
        <v>3B</v>
      </c>
      <c r="F2772" s="47" t="s">
        <v>4055</v>
      </c>
      <c r="G2772" s="47" t="s">
        <v>641</v>
      </c>
      <c r="H2772" s="48">
        <f>IF(NOT(ISBLANK(vlookup(B2772,Pop_Census_2023!$A$2:$E$3220,4,FALSE))),vlookup(B2772,Pop_Census_2023!$A$2:$E$3220,4,FALSE), vlookup(B2772,Pop_Census_2023!$A$2:$E$3220,5,FALSE))</f>
        <v>3931</v>
      </c>
    </row>
    <row r="2773">
      <c r="A2773" s="47" t="s">
        <v>3524</v>
      </c>
      <c r="B2773" s="47">
        <v>48321.0</v>
      </c>
      <c r="C2773" s="47">
        <v>2.0</v>
      </c>
      <c r="D2773" s="47" t="s">
        <v>4044</v>
      </c>
      <c r="E2773" s="47" t="str">
        <f t="shared" si="1"/>
        <v>2A</v>
      </c>
      <c r="F2773" s="47" t="s">
        <v>4045</v>
      </c>
      <c r="G2773" s="47" t="s">
        <v>1741</v>
      </c>
      <c r="H2773" s="48">
        <f>IF(NOT(ISBLANK(vlookup(B2773,Pop_Census_2023!$A$2:$E$3220,4,FALSE))),vlookup(B2773,Pop_Census_2023!$A$2:$E$3220,4,FALSE), vlookup(B2773,Pop_Census_2023!$A$2:$E$3220,5,FALSE))</f>
        <v>36359</v>
      </c>
    </row>
    <row r="2774">
      <c r="A2774" s="47" t="s">
        <v>3524</v>
      </c>
      <c r="B2774" s="47">
        <v>48323.0</v>
      </c>
      <c r="C2774" s="47">
        <v>2.0</v>
      </c>
      <c r="D2774" s="47" t="s">
        <v>4053</v>
      </c>
      <c r="E2774" s="47" t="str">
        <f t="shared" si="1"/>
        <v>2B</v>
      </c>
      <c r="F2774" s="47" t="s">
        <v>4045</v>
      </c>
      <c r="G2774" s="47" t="s">
        <v>1742</v>
      </c>
      <c r="H2774" s="48">
        <f>IF(NOT(ISBLANK(vlookup(B2774,Pop_Census_2023!$A$2:$E$3220,4,FALSE))),vlookup(B2774,Pop_Census_2023!$A$2:$E$3220,4,FALSE), vlookup(B2774,Pop_Census_2023!$A$2:$E$3220,5,FALSE))</f>
        <v>57762</v>
      </c>
    </row>
    <row r="2775">
      <c r="A2775" s="47" t="s">
        <v>3524</v>
      </c>
      <c r="B2775" s="47">
        <v>48325.0</v>
      </c>
      <c r="C2775" s="47">
        <v>2.0</v>
      </c>
      <c r="D2775" s="47" t="s">
        <v>4053</v>
      </c>
      <c r="E2775" s="47" t="str">
        <f t="shared" si="1"/>
        <v>2B</v>
      </c>
      <c r="F2775" s="47" t="s">
        <v>4045</v>
      </c>
      <c r="G2775" s="47" t="s">
        <v>1441</v>
      </c>
      <c r="H2775" s="48">
        <f>IF(NOT(ISBLANK(vlookup(B2775,Pop_Census_2023!$A$2:$E$3220,4,FALSE))),vlookup(B2775,Pop_Census_2023!$A$2:$E$3220,4,FALSE), vlookup(B2775,Pop_Census_2023!$A$2:$E$3220,5,FALSE))</f>
        <v>54797</v>
      </c>
    </row>
    <row r="2776">
      <c r="A2776" s="47" t="s">
        <v>3524</v>
      </c>
      <c r="B2776" s="47">
        <v>48327.0</v>
      </c>
      <c r="C2776" s="47">
        <v>3.0</v>
      </c>
      <c r="D2776" s="47" t="s">
        <v>4053</v>
      </c>
      <c r="E2776" s="47" t="str">
        <f t="shared" si="1"/>
        <v>3B</v>
      </c>
      <c r="F2776" s="47" t="s">
        <v>4055</v>
      </c>
      <c r="G2776" s="47" t="s">
        <v>643</v>
      </c>
      <c r="H2776" s="48">
        <f>IF(NOT(ISBLANK(vlookup(B2776,Pop_Census_2023!$A$2:$E$3220,4,FALSE))),vlookup(B2776,Pop_Census_2023!$A$2:$E$3220,4,FALSE), vlookup(B2776,Pop_Census_2023!$A$2:$E$3220,5,FALSE))</f>
        <v>1958</v>
      </c>
    </row>
    <row r="2777">
      <c r="A2777" s="47" t="s">
        <v>3524</v>
      </c>
      <c r="B2777" s="47">
        <v>48329.0</v>
      </c>
      <c r="C2777" s="47">
        <v>3.0</v>
      </c>
      <c r="D2777" s="47" t="s">
        <v>4053</v>
      </c>
      <c r="E2777" s="47" t="str">
        <f t="shared" si="1"/>
        <v>3B</v>
      </c>
      <c r="F2777" s="47" t="s">
        <v>4055</v>
      </c>
      <c r="G2777" s="47" t="s">
        <v>1004</v>
      </c>
      <c r="H2777" s="48">
        <f>IF(NOT(ISBLANK(vlookup(B2777,Pop_Census_2023!$A$2:$E$3220,4,FALSE))),vlookup(B2777,Pop_Census_2023!$A$2:$E$3220,4,FALSE), vlookup(B2777,Pop_Census_2023!$A$2:$E$3220,5,FALSE))</f>
        <v>177108</v>
      </c>
    </row>
    <row r="2778">
      <c r="A2778" s="47" t="s">
        <v>3524</v>
      </c>
      <c r="B2778" s="47">
        <v>48331.0</v>
      </c>
      <c r="C2778" s="47">
        <v>2.0</v>
      </c>
      <c r="D2778" s="47" t="s">
        <v>4044</v>
      </c>
      <c r="E2778" s="47" t="str">
        <f t="shared" si="1"/>
        <v>2A</v>
      </c>
      <c r="F2778" s="47" t="s">
        <v>4045</v>
      </c>
      <c r="G2778" s="47" t="s">
        <v>1743</v>
      </c>
      <c r="H2778" s="48">
        <f>IF(NOT(ISBLANK(vlookup(B2778,Pop_Census_2023!$A$2:$E$3220,4,FALSE))),vlookup(B2778,Pop_Census_2023!$A$2:$E$3220,4,FALSE), vlookup(B2778,Pop_Census_2023!$A$2:$E$3220,5,FALSE))</f>
        <v>25951</v>
      </c>
    </row>
    <row r="2779">
      <c r="A2779" s="47" t="s">
        <v>3524</v>
      </c>
      <c r="B2779" s="47">
        <v>48333.0</v>
      </c>
      <c r="C2779" s="47">
        <v>3.0</v>
      </c>
      <c r="D2779" s="47" t="s">
        <v>4044</v>
      </c>
      <c r="E2779" s="47" t="str">
        <f t="shared" si="1"/>
        <v>3A</v>
      </c>
      <c r="F2779" s="47" t="s">
        <v>4045</v>
      </c>
      <c r="G2779" s="47" t="s">
        <v>731</v>
      </c>
      <c r="H2779" s="48">
        <f>IF(NOT(ISBLANK(vlookup(B2779,Pop_Census_2023!$A$2:$E$3220,4,FALSE))),vlookup(B2779,Pop_Census_2023!$A$2:$E$3220,4,FALSE), vlookup(B2779,Pop_Census_2023!$A$2:$E$3220,5,FALSE))</f>
        <v>4548</v>
      </c>
    </row>
    <row r="2780">
      <c r="A2780" s="47" t="s">
        <v>3524</v>
      </c>
      <c r="B2780" s="47">
        <v>48335.0</v>
      </c>
      <c r="C2780" s="47">
        <v>3.0</v>
      </c>
      <c r="D2780" s="47" t="s">
        <v>4053</v>
      </c>
      <c r="E2780" s="47" t="str">
        <f t="shared" si="1"/>
        <v>3B</v>
      </c>
      <c r="F2780" s="47" t="s">
        <v>4055</v>
      </c>
      <c r="G2780" s="47" t="s">
        <v>529</v>
      </c>
      <c r="H2780" s="48">
        <f>IF(NOT(ISBLANK(vlookup(B2780,Pop_Census_2023!$A$2:$E$3220,4,FALSE))),vlookup(B2780,Pop_Census_2023!$A$2:$E$3220,4,FALSE), vlookup(B2780,Pop_Census_2023!$A$2:$E$3220,5,FALSE))</f>
        <v>9075</v>
      </c>
    </row>
    <row r="2781">
      <c r="A2781" s="47" t="s">
        <v>3524</v>
      </c>
      <c r="B2781" s="47">
        <v>48337.0</v>
      </c>
      <c r="C2781" s="47">
        <v>3.0</v>
      </c>
      <c r="D2781" s="47" t="s">
        <v>4044</v>
      </c>
      <c r="E2781" s="47" t="str">
        <f t="shared" si="1"/>
        <v>3A</v>
      </c>
      <c r="F2781" s="47" t="s">
        <v>4046</v>
      </c>
      <c r="G2781" s="47" t="s">
        <v>1744</v>
      </c>
      <c r="H2781" s="48">
        <f>IF(NOT(ISBLANK(vlookup(B2781,Pop_Census_2023!$A$2:$E$3220,4,FALSE))),vlookup(B2781,Pop_Census_2023!$A$2:$E$3220,4,FALSE), vlookup(B2781,Pop_Census_2023!$A$2:$E$3220,5,FALSE))</f>
        <v>21598</v>
      </c>
    </row>
    <row r="2782">
      <c r="A2782" s="47" t="s">
        <v>3524</v>
      </c>
      <c r="B2782" s="47">
        <v>48339.0</v>
      </c>
      <c r="C2782" s="47">
        <v>2.0</v>
      </c>
      <c r="D2782" s="47" t="s">
        <v>4044</v>
      </c>
      <c r="E2782" s="47" t="str">
        <f t="shared" si="1"/>
        <v>2A</v>
      </c>
      <c r="F2782" s="47" t="s">
        <v>4045</v>
      </c>
      <c r="G2782" s="47" t="s">
        <v>153</v>
      </c>
      <c r="H2782" s="48">
        <f>IF(NOT(ISBLANK(vlookup(B2782,Pop_Census_2023!$A$2:$E$3220,4,FALSE))),vlookup(B2782,Pop_Census_2023!$A$2:$E$3220,4,FALSE), vlookup(B2782,Pop_Census_2023!$A$2:$E$3220,5,FALSE))</f>
        <v>711354</v>
      </c>
    </row>
    <row r="2783">
      <c r="A2783" s="47" t="s">
        <v>3524</v>
      </c>
      <c r="B2783" s="47">
        <v>48341.0</v>
      </c>
      <c r="C2783" s="47">
        <v>4.0</v>
      </c>
      <c r="D2783" s="47" t="s">
        <v>4053</v>
      </c>
      <c r="E2783" s="47" t="str">
        <f t="shared" si="1"/>
        <v>4B</v>
      </c>
      <c r="F2783" s="47" t="s">
        <v>4056</v>
      </c>
      <c r="G2783" s="47" t="s">
        <v>1365</v>
      </c>
      <c r="H2783" s="48">
        <f>IF(NOT(ISBLANK(vlookup(B2783,Pop_Census_2023!$A$2:$E$3220,4,FALSE))),vlookup(B2783,Pop_Census_2023!$A$2:$E$3220,4,FALSE), vlookup(B2783,Pop_Census_2023!$A$2:$E$3220,5,FALSE))</f>
        <v>21190</v>
      </c>
    </row>
    <row r="2784">
      <c r="A2784" s="47" t="s">
        <v>3524</v>
      </c>
      <c r="B2784" s="47">
        <v>48343.0</v>
      </c>
      <c r="C2784" s="47">
        <v>3.0</v>
      </c>
      <c r="D2784" s="47" t="s">
        <v>4044</v>
      </c>
      <c r="E2784" s="47" t="str">
        <f t="shared" si="1"/>
        <v>3A</v>
      </c>
      <c r="F2784" s="47" t="s">
        <v>4045</v>
      </c>
      <c r="G2784" s="47" t="s">
        <v>784</v>
      </c>
      <c r="H2784" s="48">
        <f>IF(NOT(ISBLANK(vlookup(B2784,Pop_Census_2023!$A$2:$E$3220,4,FALSE))),vlookup(B2784,Pop_Census_2023!$A$2:$E$3220,4,FALSE), vlookup(B2784,Pop_Census_2023!$A$2:$E$3220,5,FALSE))</f>
        <v>12066</v>
      </c>
    </row>
    <row r="2785">
      <c r="A2785" s="47" t="s">
        <v>3524</v>
      </c>
      <c r="B2785" s="47">
        <v>48345.0</v>
      </c>
      <c r="C2785" s="47">
        <v>3.0</v>
      </c>
      <c r="D2785" s="47" t="s">
        <v>4053</v>
      </c>
      <c r="E2785" s="47" t="str">
        <f t="shared" si="1"/>
        <v>3B</v>
      </c>
      <c r="F2785" s="47" t="s">
        <v>4055</v>
      </c>
      <c r="G2785" s="47" t="s">
        <v>1745</v>
      </c>
      <c r="H2785" s="48">
        <f>IF(NOT(ISBLANK(vlookup(B2785,Pop_Census_2023!$A$2:$E$3220,4,FALSE))),vlookup(B2785,Pop_Census_2023!$A$2:$E$3220,4,FALSE), vlookup(B2785,Pop_Census_2023!$A$2:$E$3220,5,FALSE))</f>
        <v>1020</v>
      </c>
    </row>
    <row r="2786">
      <c r="A2786" s="47" t="s">
        <v>3524</v>
      </c>
      <c r="B2786" s="47">
        <v>48347.0</v>
      </c>
      <c r="C2786" s="47">
        <v>3.0</v>
      </c>
      <c r="D2786" s="47" t="s">
        <v>4044</v>
      </c>
      <c r="E2786" s="47" t="str">
        <f t="shared" si="1"/>
        <v>3A</v>
      </c>
      <c r="F2786" s="47" t="s">
        <v>4045</v>
      </c>
      <c r="G2786" s="47" t="s">
        <v>1746</v>
      </c>
      <c r="H2786" s="48">
        <f>IF(NOT(ISBLANK(vlookup(B2786,Pop_Census_2023!$A$2:$E$3220,4,FALSE))),vlookup(B2786,Pop_Census_2023!$A$2:$E$3220,4,FALSE), vlookup(B2786,Pop_Census_2023!$A$2:$E$3220,5,FALSE))</f>
        <v>65375</v>
      </c>
    </row>
    <row r="2787">
      <c r="A2787" s="47" t="s">
        <v>3524</v>
      </c>
      <c r="B2787" s="47">
        <v>48349.0</v>
      </c>
      <c r="C2787" s="47">
        <v>3.0</v>
      </c>
      <c r="D2787" s="47" t="s">
        <v>4044</v>
      </c>
      <c r="E2787" s="47" t="str">
        <f t="shared" si="1"/>
        <v>3A</v>
      </c>
      <c r="F2787" s="47" t="s">
        <v>4045</v>
      </c>
      <c r="G2787" s="47" t="s">
        <v>1747</v>
      </c>
      <c r="H2787" s="48">
        <f>IF(NOT(ISBLANK(vlookup(B2787,Pop_Census_2023!$A$2:$E$3220,4,FALSE))),vlookup(B2787,Pop_Census_2023!$A$2:$E$3220,4,FALSE), vlookup(B2787,Pop_Census_2023!$A$2:$E$3220,5,FALSE))</f>
        <v>55635</v>
      </c>
    </row>
    <row r="2788">
      <c r="A2788" s="47" t="s">
        <v>3524</v>
      </c>
      <c r="B2788" s="47">
        <v>48351.0</v>
      </c>
      <c r="C2788" s="47">
        <v>2.0</v>
      </c>
      <c r="D2788" s="47" t="s">
        <v>4044</v>
      </c>
      <c r="E2788" s="47" t="str">
        <f t="shared" si="1"/>
        <v>2A</v>
      </c>
      <c r="F2788" s="47" t="s">
        <v>4045</v>
      </c>
      <c r="G2788" s="47" t="s">
        <v>257</v>
      </c>
      <c r="H2788" s="48">
        <f>IF(NOT(ISBLANK(vlookup(B2788,Pop_Census_2023!$A$2:$E$3220,4,FALSE))),vlookup(B2788,Pop_Census_2023!$A$2:$E$3220,4,FALSE), vlookup(B2788,Pop_Census_2023!$A$2:$E$3220,5,FALSE))</f>
        <v>12039</v>
      </c>
    </row>
    <row r="2789">
      <c r="A2789" s="47" t="s">
        <v>3524</v>
      </c>
      <c r="B2789" s="47">
        <v>48353.0</v>
      </c>
      <c r="C2789" s="47">
        <v>3.0</v>
      </c>
      <c r="D2789" s="47" t="s">
        <v>4053</v>
      </c>
      <c r="E2789" s="47" t="str">
        <f t="shared" si="1"/>
        <v>3B</v>
      </c>
      <c r="F2789" s="47" t="s">
        <v>4055</v>
      </c>
      <c r="G2789" s="47" t="s">
        <v>1748</v>
      </c>
      <c r="H2789" s="48">
        <f>IF(NOT(ISBLANK(vlookup(B2789,Pop_Census_2023!$A$2:$E$3220,4,FALSE))),vlookup(B2789,Pop_Census_2023!$A$2:$E$3220,4,FALSE), vlookup(B2789,Pop_Census_2023!$A$2:$E$3220,5,FALSE))</f>
        <v>14306</v>
      </c>
    </row>
    <row r="2790">
      <c r="A2790" s="47" t="s">
        <v>3524</v>
      </c>
      <c r="B2790" s="47">
        <v>48355.0</v>
      </c>
      <c r="C2790" s="47">
        <v>2.0</v>
      </c>
      <c r="D2790" s="47" t="s">
        <v>4044</v>
      </c>
      <c r="E2790" s="47" t="str">
        <f t="shared" si="1"/>
        <v>2A</v>
      </c>
      <c r="F2790" s="47" t="s">
        <v>4045</v>
      </c>
      <c r="G2790" s="47" t="s">
        <v>1749</v>
      </c>
      <c r="H2790" s="48">
        <f>IF(NOT(ISBLANK(vlookup(B2790,Pop_Census_2023!$A$2:$E$3220,4,FALSE))),vlookup(B2790,Pop_Census_2023!$A$2:$E$3220,4,FALSE), vlookup(B2790,Pop_Census_2023!$A$2:$E$3220,5,FALSE))</f>
        <v>352289</v>
      </c>
    </row>
    <row r="2791">
      <c r="A2791" s="47" t="s">
        <v>3524</v>
      </c>
      <c r="B2791" s="47">
        <v>48357.0</v>
      </c>
      <c r="C2791" s="47">
        <v>4.0</v>
      </c>
      <c r="D2791" s="47" t="s">
        <v>4053</v>
      </c>
      <c r="E2791" s="47" t="str">
        <f t="shared" si="1"/>
        <v>4B</v>
      </c>
      <c r="F2791" s="47" t="s">
        <v>4056</v>
      </c>
      <c r="G2791" s="47" t="s">
        <v>1750</v>
      </c>
      <c r="H2791" s="48">
        <f>IF(NOT(ISBLANK(vlookup(B2791,Pop_Census_2023!$A$2:$E$3220,4,FALSE))),vlookup(B2791,Pop_Census_2023!$A$2:$E$3220,4,FALSE), vlookup(B2791,Pop_Census_2023!$A$2:$E$3220,5,FALSE))</f>
        <v>9704</v>
      </c>
    </row>
    <row r="2792">
      <c r="A2792" s="47" t="s">
        <v>3524</v>
      </c>
      <c r="B2792" s="47">
        <v>48359.0</v>
      </c>
      <c r="C2792" s="47">
        <v>4.0</v>
      </c>
      <c r="D2792" s="47" t="s">
        <v>4053</v>
      </c>
      <c r="E2792" s="47" t="str">
        <f t="shared" si="1"/>
        <v>4B</v>
      </c>
      <c r="F2792" s="47" t="s">
        <v>4056</v>
      </c>
      <c r="G2792" s="47" t="s">
        <v>862</v>
      </c>
      <c r="H2792" s="48">
        <f>IF(NOT(ISBLANK(vlookup(B2792,Pop_Census_2023!$A$2:$E$3220,4,FALSE))),vlookup(B2792,Pop_Census_2023!$A$2:$E$3220,4,FALSE), vlookup(B2792,Pop_Census_2023!$A$2:$E$3220,5,FALSE))</f>
        <v>1783</v>
      </c>
    </row>
    <row r="2793">
      <c r="A2793" s="47" t="s">
        <v>3524</v>
      </c>
      <c r="B2793" s="47">
        <v>48361.0</v>
      </c>
      <c r="C2793" s="47">
        <v>2.0</v>
      </c>
      <c r="D2793" s="47" t="s">
        <v>4044</v>
      </c>
      <c r="E2793" s="47" t="str">
        <f t="shared" si="1"/>
        <v>2A</v>
      </c>
      <c r="F2793" s="47" t="s">
        <v>4045</v>
      </c>
      <c r="G2793" s="47" t="s">
        <v>310</v>
      </c>
      <c r="H2793" s="48">
        <f>IF(NOT(ISBLANK(vlookup(B2793,Pop_Census_2023!$A$2:$E$3220,4,FALSE))),vlookup(B2793,Pop_Census_2023!$A$2:$E$3220,4,FALSE), vlookup(B2793,Pop_Census_2023!$A$2:$E$3220,5,FALSE))</f>
        <v>85722</v>
      </c>
    </row>
    <row r="2794">
      <c r="A2794" s="47" t="s">
        <v>3524</v>
      </c>
      <c r="B2794" s="47">
        <v>48363.0</v>
      </c>
      <c r="C2794" s="47">
        <v>3.0</v>
      </c>
      <c r="D2794" s="47" t="s">
        <v>4044</v>
      </c>
      <c r="E2794" s="47" t="str">
        <f t="shared" si="1"/>
        <v>3A</v>
      </c>
      <c r="F2794" s="47" t="s">
        <v>4046</v>
      </c>
      <c r="G2794" s="47" t="s">
        <v>1751</v>
      </c>
      <c r="H2794" s="48">
        <f>IF(NOT(ISBLANK(vlookup(B2794,Pop_Census_2023!$A$2:$E$3220,4,FALSE))),vlookup(B2794,Pop_Census_2023!$A$2:$E$3220,4,FALSE), vlookup(B2794,Pop_Census_2023!$A$2:$E$3220,5,FALSE))</f>
        <v>29747</v>
      </c>
    </row>
    <row r="2795">
      <c r="A2795" s="47" t="s">
        <v>3524</v>
      </c>
      <c r="B2795" s="47">
        <v>48365.0</v>
      </c>
      <c r="C2795" s="47">
        <v>3.0</v>
      </c>
      <c r="D2795" s="47" t="s">
        <v>4044</v>
      </c>
      <c r="E2795" s="47" t="str">
        <f t="shared" si="1"/>
        <v>3A</v>
      </c>
      <c r="F2795" s="47" t="s">
        <v>4045</v>
      </c>
      <c r="G2795" s="47" t="s">
        <v>1106</v>
      </c>
      <c r="H2795" s="48">
        <f>IF(NOT(ISBLANK(vlookup(B2795,Pop_Census_2023!$A$2:$E$3220,4,FALSE))),vlookup(B2795,Pop_Census_2023!$A$2:$E$3220,4,FALSE), vlookup(B2795,Pop_Census_2023!$A$2:$E$3220,5,FALSE))</f>
        <v>22838</v>
      </c>
    </row>
    <row r="2796">
      <c r="A2796" s="47" t="s">
        <v>3524</v>
      </c>
      <c r="B2796" s="47">
        <v>48367.0</v>
      </c>
      <c r="C2796" s="47">
        <v>3.0</v>
      </c>
      <c r="D2796" s="47" t="s">
        <v>4044</v>
      </c>
      <c r="E2796" s="47" t="str">
        <f t="shared" si="1"/>
        <v>3A</v>
      </c>
      <c r="F2796" s="47" t="s">
        <v>4045</v>
      </c>
      <c r="G2796" s="47" t="s">
        <v>1752</v>
      </c>
      <c r="H2796" s="48">
        <f>IF(NOT(ISBLANK(vlookup(B2796,Pop_Census_2023!$A$2:$E$3220,4,FALSE))),vlookup(B2796,Pop_Census_2023!$A$2:$E$3220,4,FALSE), vlookup(B2796,Pop_Census_2023!$A$2:$E$3220,5,FALSE))</f>
        <v>173494</v>
      </c>
    </row>
    <row r="2797">
      <c r="A2797" s="47" t="s">
        <v>3524</v>
      </c>
      <c r="B2797" s="47">
        <v>48369.0</v>
      </c>
      <c r="C2797" s="47">
        <v>4.0</v>
      </c>
      <c r="D2797" s="47" t="s">
        <v>4053</v>
      </c>
      <c r="E2797" s="47" t="str">
        <f t="shared" si="1"/>
        <v>4B</v>
      </c>
      <c r="F2797" s="47" t="s">
        <v>4056</v>
      </c>
      <c r="G2797" s="47" t="s">
        <v>1753</v>
      </c>
      <c r="H2797" s="48">
        <f>IF(NOT(ISBLANK(vlookup(B2797,Pop_Census_2023!$A$2:$E$3220,4,FALSE))),vlookup(B2797,Pop_Census_2023!$A$2:$E$3220,4,FALSE), vlookup(B2797,Pop_Census_2023!$A$2:$E$3220,5,FALSE))</f>
        <v>9617</v>
      </c>
    </row>
    <row r="2798">
      <c r="A2798" s="47" t="s">
        <v>3524</v>
      </c>
      <c r="B2798" s="47">
        <v>48371.0</v>
      </c>
      <c r="C2798" s="47">
        <v>3.0</v>
      </c>
      <c r="D2798" s="47" t="s">
        <v>4053</v>
      </c>
      <c r="E2798" s="47" t="str">
        <f t="shared" si="1"/>
        <v>3B</v>
      </c>
      <c r="F2798" s="47" t="s">
        <v>4055</v>
      </c>
      <c r="G2798" s="47" t="s">
        <v>1754</v>
      </c>
      <c r="H2798" s="48">
        <f>IF(NOT(ISBLANK(vlookup(B2798,Pop_Census_2023!$A$2:$E$3220,4,FALSE))),vlookup(B2798,Pop_Census_2023!$A$2:$E$3220,4,FALSE), vlookup(B2798,Pop_Census_2023!$A$2:$E$3220,5,FALSE))</f>
        <v>14623</v>
      </c>
    </row>
    <row r="2799">
      <c r="A2799" s="47" t="s">
        <v>3524</v>
      </c>
      <c r="B2799" s="47">
        <v>48373.0</v>
      </c>
      <c r="C2799" s="47">
        <v>2.0</v>
      </c>
      <c r="D2799" s="47" t="s">
        <v>4044</v>
      </c>
      <c r="E2799" s="47" t="str">
        <f t="shared" si="1"/>
        <v>2A</v>
      </c>
      <c r="F2799" s="47" t="s">
        <v>4045</v>
      </c>
      <c r="G2799" s="47" t="s">
        <v>261</v>
      </c>
      <c r="H2799" s="48">
        <f>IF(NOT(ISBLANK(vlookup(B2799,Pop_Census_2023!$A$2:$E$3220,4,FALSE))),vlookup(B2799,Pop_Census_2023!$A$2:$E$3220,4,FALSE), vlookup(B2799,Pop_Census_2023!$A$2:$E$3220,5,FALSE))</f>
        <v>54186</v>
      </c>
    </row>
    <row r="2800">
      <c r="A2800" s="47" t="s">
        <v>3524</v>
      </c>
      <c r="B2800" s="47">
        <v>48375.0</v>
      </c>
      <c r="C2800" s="47">
        <v>4.0</v>
      </c>
      <c r="D2800" s="47" t="s">
        <v>4053</v>
      </c>
      <c r="E2800" s="47" t="str">
        <f t="shared" si="1"/>
        <v>4B</v>
      </c>
      <c r="F2800" s="47" t="s">
        <v>4056</v>
      </c>
      <c r="G2800" s="47" t="s">
        <v>1540</v>
      </c>
      <c r="H2800" s="48">
        <f>IF(NOT(ISBLANK(vlookup(B2800,Pop_Census_2023!$A$2:$E$3220,4,FALSE))),vlookup(B2800,Pop_Census_2023!$A$2:$E$3220,4,FALSE), vlookup(B2800,Pop_Census_2023!$A$2:$E$3220,5,FALSE))</f>
        <v>114647</v>
      </c>
    </row>
    <row r="2801">
      <c r="A2801" s="47" t="s">
        <v>3524</v>
      </c>
      <c r="B2801" s="47">
        <v>48377.0</v>
      </c>
      <c r="C2801" s="47">
        <v>3.0</v>
      </c>
      <c r="D2801" s="47" t="s">
        <v>4053</v>
      </c>
      <c r="E2801" s="47" t="str">
        <f t="shared" si="1"/>
        <v>3B</v>
      </c>
      <c r="F2801" s="47" t="s">
        <v>4055</v>
      </c>
      <c r="G2801" s="47" t="s">
        <v>1755</v>
      </c>
      <c r="H2801" s="48">
        <f>IF(NOT(ISBLANK(vlookup(B2801,Pop_Census_2023!$A$2:$E$3220,4,FALSE))),vlookup(B2801,Pop_Census_2023!$A$2:$E$3220,4,FALSE), vlookup(B2801,Pop_Census_2023!$A$2:$E$3220,5,FALSE))</f>
        <v>5795</v>
      </c>
    </row>
    <row r="2802">
      <c r="A2802" s="47" t="s">
        <v>3524</v>
      </c>
      <c r="B2802" s="47">
        <v>48379.0</v>
      </c>
      <c r="C2802" s="47">
        <v>3.0</v>
      </c>
      <c r="D2802" s="47" t="s">
        <v>4044</v>
      </c>
      <c r="E2802" s="47" t="str">
        <f t="shared" si="1"/>
        <v>3A</v>
      </c>
      <c r="F2802" s="47" t="s">
        <v>4045</v>
      </c>
      <c r="G2802" s="47" t="s">
        <v>1756</v>
      </c>
      <c r="H2802" s="48">
        <f>IF(NOT(ISBLANK(vlookup(B2802,Pop_Census_2023!$A$2:$E$3220,4,FALSE))),vlookup(B2802,Pop_Census_2023!$A$2:$E$3220,4,FALSE), vlookup(B2802,Pop_Census_2023!$A$2:$E$3220,5,FALSE))</f>
        <v>12986</v>
      </c>
    </row>
    <row r="2803">
      <c r="A2803" s="47" t="s">
        <v>3524</v>
      </c>
      <c r="B2803" s="47">
        <v>48381.0</v>
      </c>
      <c r="C2803" s="47">
        <v>4.0</v>
      </c>
      <c r="D2803" s="47" t="s">
        <v>4053</v>
      </c>
      <c r="E2803" s="47" t="str">
        <f t="shared" si="1"/>
        <v>4B</v>
      </c>
      <c r="F2803" s="47" t="s">
        <v>4056</v>
      </c>
      <c r="G2803" s="47" t="s">
        <v>1757</v>
      </c>
      <c r="H2803" s="48">
        <f>IF(NOT(ISBLANK(vlookup(B2803,Pop_Census_2023!$A$2:$E$3220,4,FALSE))),vlookup(B2803,Pop_Census_2023!$A$2:$E$3220,4,FALSE), vlookup(B2803,Pop_Census_2023!$A$2:$E$3220,5,FALSE))</f>
        <v>148255</v>
      </c>
    </row>
    <row r="2804">
      <c r="A2804" s="47" t="s">
        <v>3524</v>
      </c>
      <c r="B2804" s="47">
        <v>48383.0</v>
      </c>
      <c r="C2804" s="47">
        <v>3.0</v>
      </c>
      <c r="D2804" s="47" t="s">
        <v>4053</v>
      </c>
      <c r="E2804" s="47" t="str">
        <f t="shared" si="1"/>
        <v>3B</v>
      </c>
      <c r="F2804" s="47" t="s">
        <v>4055</v>
      </c>
      <c r="G2804" s="47" t="s">
        <v>1758</v>
      </c>
      <c r="H2804" s="48">
        <f>IF(NOT(ISBLANK(vlookup(B2804,Pop_Census_2023!$A$2:$E$3220,4,FALSE))),vlookup(B2804,Pop_Census_2023!$A$2:$E$3220,4,FALSE), vlookup(B2804,Pop_Census_2023!$A$2:$E$3220,5,FALSE))</f>
        <v>3141</v>
      </c>
    </row>
    <row r="2805">
      <c r="A2805" s="47" t="s">
        <v>3524</v>
      </c>
      <c r="B2805" s="47">
        <v>48385.0</v>
      </c>
      <c r="C2805" s="47">
        <v>2.0</v>
      </c>
      <c r="D2805" s="47" t="s">
        <v>4053</v>
      </c>
      <c r="E2805" s="47" t="str">
        <f t="shared" si="1"/>
        <v>2B</v>
      </c>
      <c r="F2805" s="47" t="s">
        <v>4045</v>
      </c>
      <c r="G2805" s="47" t="s">
        <v>1759</v>
      </c>
      <c r="H2805" s="48">
        <f>IF(NOT(ISBLANK(vlookup(B2805,Pop_Census_2023!$A$2:$E$3220,4,FALSE))),vlookup(B2805,Pop_Census_2023!$A$2:$E$3220,4,FALSE), vlookup(B2805,Pop_Census_2023!$A$2:$E$3220,5,FALSE))</f>
        <v>2854</v>
      </c>
    </row>
    <row r="2806">
      <c r="A2806" s="47" t="s">
        <v>3524</v>
      </c>
      <c r="B2806" s="47">
        <v>48387.0</v>
      </c>
      <c r="C2806" s="47">
        <v>3.0</v>
      </c>
      <c r="D2806" s="47" t="s">
        <v>4044</v>
      </c>
      <c r="E2806" s="47" t="str">
        <f t="shared" si="1"/>
        <v>3A</v>
      </c>
      <c r="F2806" s="47" t="s">
        <v>4045</v>
      </c>
      <c r="G2806" s="47" t="s">
        <v>903</v>
      </c>
      <c r="H2806" s="48">
        <f>IF(NOT(ISBLANK(vlookup(B2806,Pop_Census_2023!$A$2:$E$3220,4,FALSE))),vlookup(B2806,Pop_Census_2023!$A$2:$E$3220,4,FALSE), vlookup(B2806,Pop_Census_2023!$A$2:$E$3220,5,FALSE))</f>
        <v>11678</v>
      </c>
    </row>
    <row r="2807">
      <c r="A2807" s="47" t="s">
        <v>3524</v>
      </c>
      <c r="B2807" s="47">
        <v>48389.0</v>
      </c>
      <c r="C2807" s="47">
        <v>3.0</v>
      </c>
      <c r="D2807" s="47" t="s">
        <v>4053</v>
      </c>
      <c r="E2807" s="47" t="str">
        <f t="shared" si="1"/>
        <v>3B</v>
      </c>
      <c r="F2807" s="47" t="s">
        <v>4055</v>
      </c>
      <c r="G2807" s="47" t="s">
        <v>1760</v>
      </c>
      <c r="H2807" s="48">
        <f>IF(NOT(ISBLANK(vlookup(B2807,Pop_Census_2023!$A$2:$E$3220,4,FALSE))),vlookup(B2807,Pop_Census_2023!$A$2:$E$3220,4,FALSE), vlookup(B2807,Pop_Census_2023!$A$2:$E$3220,5,FALSE))</f>
        <v>11770</v>
      </c>
    </row>
    <row r="2808">
      <c r="A2808" s="47" t="s">
        <v>3524</v>
      </c>
      <c r="B2808" s="47">
        <v>48391.0</v>
      </c>
      <c r="C2808" s="47">
        <v>2.0</v>
      </c>
      <c r="D2808" s="47" t="s">
        <v>4044</v>
      </c>
      <c r="E2808" s="47" t="str">
        <f t="shared" si="1"/>
        <v>2A</v>
      </c>
      <c r="F2808" s="47" t="s">
        <v>4045</v>
      </c>
      <c r="G2808" s="47" t="s">
        <v>1761</v>
      </c>
      <c r="H2808" s="48">
        <f>IF(NOT(ISBLANK(vlookup(B2808,Pop_Census_2023!$A$2:$E$3220,4,FALSE))),vlookup(B2808,Pop_Census_2023!$A$2:$E$3220,4,FALSE), vlookup(B2808,Pop_Census_2023!$A$2:$E$3220,5,FALSE))</f>
        <v>6666</v>
      </c>
    </row>
    <row r="2809">
      <c r="A2809" s="47" t="s">
        <v>3524</v>
      </c>
      <c r="B2809" s="47">
        <v>48393.0</v>
      </c>
      <c r="C2809" s="47">
        <v>4.0</v>
      </c>
      <c r="D2809" s="47" t="s">
        <v>4053</v>
      </c>
      <c r="E2809" s="47" t="str">
        <f t="shared" si="1"/>
        <v>4B</v>
      </c>
      <c r="F2809" s="47" t="s">
        <v>4056</v>
      </c>
      <c r="G2809" s="47" t="s">
        <v>1607</v>
      </c>
      <c r="H2809" s="34">
        <f>IF(NOT(ISBLANK(vlookup(B2809,Pop_Census_2023!$A$2:$E$3220,4,FALSE))),vlookup(B2809,Pop_Census_2023!$A$2:$E$3220,4,FALSE), vlookup(B2809,Pop_Census_2023!$A$2:$E$3220,5,FALSE))</f>
        <v>840</v>
      </c>
    </row>
    <row r="2810">
      <c r="A2810" s="47" t="s">
        <v>3524</v>
      </c>
      <c r="B2810" s="47">
        <v>48395.0</v>
      </c>
      <c r="C2810" s="47">
        <v>2.0</v>
      </c>
      <c r="D2810" s="47" t="s">
        <v>4044</v>
      </c>
      <c r="E2810" s="47" t="str">
        <f t="shared" si="1"/>
        <v>2A</v>
      </c>
      <c r="F2810" s="47" t="s">
        <v>4045</v>
      </c>
      <c r="G2810" s="47" t="s">
        <v>866</v>
      </c>
      <c r="H2810" s="48">
        <f>IF(NOT(ISBLANK(vlookup(B2810,Pop_Census_2023!$A$2:$E$3220,4,FALSE))),vlookup(B2810,Pop_Census_2023!$A$2:$E$3220,4,FALSE), vlookup(B2810,Pop_Census_2023!$A$2:$E$3220,5,FALSE))</f>
        <v>17267</v>
      </c>
    </row>
    <row r="2811">
      <c r="A2811" s="47" t="s">
        <v>3524</v>
      </c>
      <c r="B2811" s="47">
        <v>48397.0</v>
      </c>
      <c r="C2811" s="47">
        <v>3.0</v>
      </c>
      <c r="D2811" s="47" t="s">
        <v>4044</v>
      </c>
      <c r="E2811" s="47" t="str">
        <f t="shared" si="1"/>
        <v>3A</v>
      </c>
      <c r="F2811" s="47" t="s">
        <v>4045</v>
      </c>
      <c r="G2811" s="47" t="s">
        <v>1762</v>
      </c>
      <c r="H2811" s="48">
        <f>IF(NOT(ISBLANK(vlookup(B2811,Pop_Census_2023!$A$2:$E$3220,4,FALSE))),vlookup(B2811,Pop_Census_2023!$A$2:$E$3220,4,FALSE), vlookup(B2811,Pop_Census_2023!$A$2:$E$3220,5,FALSE))</f>
        <v>131307</v>
      </c>
    </row>
    <row r="2812">
      <c r="A2812" s="47" t="s">
        <v>3524</v>
      </c>
      <c r="B2812" s="47">
        <v>48399.0</v>
      </c>
      <c r="C2812" s="47">
        <v>3.0</v>
      </c>
      <c r="D2812" s="47" t="s">
        <v>4053</v>
      </c>
      <c r="E2812" s="47" t="str">
        <f t="shared" si="1"/>
        <v>3B</v>
      </c>
      <c r="F2812" s="47" t="s">
        <v>4055</v>
      </c>
      <c r="G2812" s="47" t="s">
        <v>1763</v>
      </c>
      <c r="H2812" s="48">
        <f>IF(NOT(ISBLANK(vlookup(B2812,Pop_Census_2023!$A$2:$E$3220,4,FALSE))),vlookup(B2812,Pop_Census_2023!$A$2:$E$3220,4,FALSE), vlookup(B2812,Pop_Census_2023!$A$2:$E$3220,5,FALSE))</f>
        <v>9868</v>
      </c>
    </row>
    <row r="2813">
      <c r="A2813" s="47" t="s">
        <v>3524</v>
      </c>
      <c r="B2813" s="47">
        <v>48401.0</v>
      </c>
      <c r="C2813" s="47">
        <v>3.0</v>
      </c>
      <c r="D2813" s="47" t="s">
        <v>4044</v>
      </c>
      <c r="E2813" s="47" t="str">
        <f t="shared" si="1"/>
        <v>3A</v>
      </c>
      <c r="F2813" s="47" t="s">
        <v>4045</v>
      </c>
      <c r="G2813" s="47" t="s">
        <v>1764</v>
      </c>
      <c r="H2813" s="48">
        <f>IF(NOT(ISBLANK(vlookup(B2813,Pop_Census_2023!$A$2:$E$3220,4,FALSE))),vlookup(B2813,Pop_Census_2023!$A$2:$E$3220,4,FALSE), vlookup(B2813,Pop_Census_2023!$A$2:$E$3220,5,FALSE))</f>
        <v>53079</v>
      </c>
    </row>
    <row r="2814">
      <c r="A2814" s="47" t="s">
        <v>3524</v>
      </c>
      <c r="B2814" s="47">
        <v>48403.0</v>
      </c>
      <c r="C2814" s="47">
        <v>3.0</v>
      </c>
      <c r="D2814" s="47" t="s">
        <v>4044</v>
      </c>
      <c r="E2814" s="47" t="str">
        <f t="shared" si="1"/>
        <v>3A</v>
      </c>
      <c r="F2814" s="47" t="s">
        <v>4045</v>
      </c>
      <c r="G2814" s="47" t="s">
        <v>904</v>
      </c>
      <c r="H2814" s="48">
        <f>IF(NOT(ISBLANK(vlookup(B2814,Pop_Census_2023!$A$2:$E$3220,4,FALSE))),vlookup(B2814,Pop_Census_2023!$A$2:$E$3220,4,FALSE), vlookup(B2814,Pop_Census_2023!$A$2:$E$3220,5,FALSE))</f>
        <v>10106</v>
      </c>
    </row>
    <row r="2815">
      <c r="A2815" s="47" t="s">
        <v>3524</v>
      </c>
      <c r="B2815" s="47">
        <v>48405.0</v>
      </c>
      <c r="C2815" s="47">
        <v>3.0</v>
      </c>
      <c r="D2815" s="47" t="s">
        <v>4044</v>
      </c>
      <c r="E2815" s="47" t="str">
        <f t="shared" si="1"/>
        <v>3A</v>
      </c>
      <c r="F2815" s="47" t="s">
        <v>4045</v>
      </c>
      <c r="G2815" s="47" t="s">
        <v>1765</v>
      </c>
      <c r="H2815" s="48">
        <f>IF(NOT(ISBLANK(vlookup(B2815,Pop_Census_2023!$A$2:$E$3220,4,FALSE))),vlookup(B2815,Pop_Census_2023!$A$2:$E$3220,4,FALSE), vlookup(B2815,Pop_Census_2023!$A$2:$E$3220,5,FALSE))</f>
        <v>7833</v>
      </c>
    </row>
    <row r="2816">
      <c r="A2816" s="47" t="s">
        <v>3524</v>
      </c>
      <c r="B2816" s="47">
        <v>48407.0</v>
      </c>
      <c r="C2816" s="47">
        <v>2.0</v>
      </c>
      <c r="D2816" s="47" t="s">
        <v>4044</v>
      </c>
      <c r="E2816" s="47" t="str">
        <f t="shared" si="1"/>
        <v>2A</v>
      </c>
      <c r="F2816" s="47" t="s">
        <v>4045</v>
      </c>
      <c r="G2816" s="47" t="s">
        <v>1766</v>
      </c>
      <c r="H2816" s="48">
        <f>IF(NOT(ISBLANK(vlookup(B2816,Pop_Census_2023!$A$2:$E$3220,4,FALSE))),vlookup(B2816,Pop_Census_2023!$A$2:$E$3220,4,FALSE), vlookup(B2816,Pop_Census_2023!$A$2:$E$3220,5,FALSE))</f>
        <v>28936</v>
      </c>
    </row>
    <row r="2817">
      <c r="A2817" s="47" t="s">
        <v>3524</v>
      </c>
      <c r="B2817" s="47">
        <v>48409.0</v>
      </c>
      <c r="C2817" s="47">
        <v>2.0</v>
      </c>
      <c r="D2817" s="47" t="s">
        <v>4044</v>
      </c>
      <c r="E2817" s="47" t="str">
        <f t="shared" si="1"/>
        <v>2A</v>
      </c>
      <c r="F2817" s="47" t="s">
        <v>4045</v>
      </c>
      <c r="G2817" s="47" t="s">
        <v>1767</v>
      </c>
      <c r="H2817" s="48">
        <f>IF(NOT(ISBLANK(vlookup(B2817,Pop_Census_2023!$A$2:$E$3220,4,FALSE))),vlookup(B2817,Pop_Census_2023!$A$2:$E$3220,4,FALSE), vlookup(B2817,Pop_Census_2023!$A$2:$E$3220,5,FALSE))</f>
        <v>70660</v>
      </c>
    </row>
    <row r="2818">
      <c r="A2818" s="47" t="s">
        <v>3524</v>
      </c>
      <c r="B2818" s="47">
        <v>48411.0</v>
      </c>
      <c r="C2818" s="47">
        <v>3.0</v>
      </c>
      <c r="D2818" s="47" t="s">
        <v>4044</v>
      </c>
      <c r="E2818" s="47" t="str">
        <f t="shared" si="1"/>
        <v>3A</v>
      </c>
      <c r="F2818" s="47" t="s">
        <v>4045</v>
      </c>
      <c r="G2818" s="47" t="s">
        <v>1768</v>
      </c>
      <c r="H2818" s="48">
        <f>IF(NOT(ISBLANK(vlookup(B2818,Pop_Census_2023!$A$2:$E$3220,4,FALSE))),vlookup(B2818,Pop_Census_2023!$A$2:$E$3220,4,FALSE), vlookup(B2818,Pop_Census_2023!$A$2:$E$3220,5,FALSE))</f>
        <v>5845</v>
      </c>
    </row>
    <row r="2819">
      <c r="A2819" s="47" t="s">
        <v>3524</v>
      </c>
      <c r="B2819" s="47">
        <v>48413.0</v>
      </c>
      <c r="C2819" s="47">
        <v>3.0</v>
      </c>
      <c r="D2819" s="47" t="s">
        <v>4053</v>
      </c>
      <c r="E2819" s="47" t="str">
        <f t="shared" si="1"/>
        <v>3B</v>
      </c>
      <c r="F2819" s="47" t="s">
        <v>4055</v>
      </c>
      <c r="G2819" s="47" t="s">
        <v>1769</v>
      </c>
      <c r="H2819" s="48">
        <f>IF(NOT(ISBLANK(vlookup(B2819,Pop_Census_2023!$A$2:$E$3220,4,FALSE))),vlookup(B2819,Pop_Census_2023!$A$2:$E$3220,4,FALSE), vlookup(B2819,Pop_Census_2023!$A$2:$E$3220,5,FALSE))</f>
        <v>2391</v>
      </c>
    </row>
    <row r="2820">
      <c r="A2820" s="47" t="s">
        <v>3524</v>
      </c>
      <c r="B2820" s="47">
        <v>48415.0</v>
      </c>
      <c r="C2820" s="47">
        <v>3.0</v>
      </c>
      <c r="D2820" s="47" t="s">
        <v>4053</v>
      </c>
      <c r="E2820" s="47" t="str">
        <f t="shared" si="1"/>
        <v>3B</v>
      </c>
      <c r="F2820" s="47" t="s">
        <v>4055</v>
      </c>
      <c r="G2820" s="47" t="s">
        <v>1770</v>
      </c>
      <c r="H2820" s="48">
        <f>IF(NOT(ISBLANK(vlookup(B2820,Pop_Census_2023!$A$2:$E$3220,4,FALSE))),vlookup(B2820,Pop_Census_2023!$A$2:$E$3220,4,FALSE), vlookup(B2820,Pop_Census_2023!$A$2:$E$3220,5,FALSE))</f>
        <v>16212</v>
      </c>
    </row>
    <row r="2821">
      <c r="A2821" s="47" t="s">
        <v>3524</v>
      </c>
      <c r="B2821" s="47">
        <v>48417.0</v>
      </c>
      <c r="C2821" s="47">
        <v>3.0</v>
      </c>
      <c r="D2821" s="47" t="s">
        <v>4053</v>
      </c>
      <c r="E2821" s="47" t="str">
        <f t="shared" si="1"/>
        <v>3B</v>
      </c>
      <c r="F2821" s="47" t="s">
        <v>4055</v>
      </c>
      <c r="G2821" s="47" t="s">
        <v>1771</v>
      </c>
      <c r="H2821" s="48">
        <f>IF(NOT(ISBLANK(vlookup(B2821,Pop_Census_2023!$A$2:$E$3220,4,FALSE))),vlookup(B2821,Pop_Census_2023!$A$2:$E$3220,4,FALSE), vlookup(B2821,Pop_Census_2023!$A$2:$E$3220,5,FALSE))</f>
        <v>3229</v>
      </c>
    </row>
    <row r="2822">
      <c r="A2822" s="47" t="s">
        <v>3524</v>
      </c>
      <c r="B2822" s="47">
        <v>48419.0</v>
      </c>
      <c r="C2822" s="47">
        <v>3.0</v>
      </c>
      <c r="D2822" s="47" t="s">
        <v>4044</v>
      </c>
      <c r="E2822" s="47" t="str">
        <f t="shared" si="1"/>
        <v>3A</v>
      </c>
      <c r="F2822" s="47" t="s">
        <v>4045</v>
      </c>
      <c r="G2822" s="47" t="s">
        <v>161</v>
      </c>
      <c r="H2822" s="48">
        <f>IF(NOT(ISBLANK(vlookup(B2822,Pop_Census_2023!$A$2:$E$3220,4,FALSE))),vlookup(B2822,Pop_Census_2023!$A$2:$E$3220,4,FALSE), vlookup(B2822,Pop_Census_2023!$A$2:$E$3220,5,FALSE))</f>
        <v>24179</v>
      </c>
    </row>
    <row r="2823">
      <c r="A2823" s="47" t="s">
        <v>3524</v>
      </c>
      <c r="B2823" s="47">
        <v>48421.0</v>
      </c>
      <c r="C2823" s="47">
        <v>4.0</v>
      </c>
      <c r="D2823" s="47" t="s">
        <v>4053</v>
      </c>
      <c r="E2823" s="47" t="str">
        <f t="shared" si="1"/>
        <v>4B</v>
      </c>
      <c r="F2823" s="47" t="s">
        <v>4056</v>
      </c>
      <c r="G2823" s="47" t="s">
        <v>805</v>
      </c>
      <c r="H2823" s="48">
        <f>IF(NOT(ISBLANK(vlookup(B2823,Pop_Census_2023!$A$2:$E$3220,4,FALSE))),vlookup(B2823,Pop_Census_2023!$A$2:$E$3220,4,FALSE), vlookup(B2823,Pop_Census_2023!$A$2:$E$3220,5,FALSE))</f>
        <v>2678</v>
      </c>
    </row>
    <row r="2824">
      <c r="A2824" s="47" t="s">
        <v>3524</v>
      </c>
      <c r="B2824" s="47">
        <v>48423.0</v>
      </c>
      <c r="C2824" s="47">
        <v>3.0</v>
      </c>
      <c r="D2824" s="47" t="s">
        <v>4044</v>
      </c>
      <c r="E2824" s="47" t="str">
        <f t="shared" si="1"/>
        <v>3A</v>
      </c>
      <c r="F2824" s="47" t="s">
        <v>4045</v>
      </c>
      <c r="G2824" s="47" t="s">
        <v>806</v>
      </c>
      <c r="H2824" s="48">
        <f>IF(NOT(ISBLANK(vlookup(B2824,Pop_Census_2023!$A$2:$E$3220,4,FALSE))),vlookup(B2824,Pop_Census_2023!$A$2:$E$3220,4,FALSE), vlookup(B2824,Pop_Census_2023!$A$2:$E$3220,5,FALSE))</f>
        <v>245209</v>
      </c>
    </row>
    <row r="2825">
      <c r="A2825" s="47" t="s">
        <v>3524</v>
      </c>
      <c r="B2825" s="47">
        <v>48425.0</v>
      </c>
      <c r="C2825" s="47">
        <v>3.0</v>
      </c>
      <c r="D2825" s="47" t="s">
        <v>4044</v>
      </c>
      <c r="E2825" s="47" t="str">
        <f t="shared" si="1"/>
        <v>3A</v>
      </c>
      <c r="F2825" s="47" t="s">
        <v>4045</v>
      </c>
      <c r="G2825" s="47" t="s">
        <v>1772</v>
      </c>
      <c r="H2825" s="48">
        <f>IF(NOT(ISBLANK(vlookup(B2825,Pop_Census_2023!$A$2:$E$3220,4,FALSE))),vlookup(B2825,Pop_Census_2023!$A$2:$E$3220,4,FALSE), vlookup(B2825,Pop_Census_2023!$A$2:$E$3220,5,FALSE))</f>
        <v>9888</v>
      </c>
    </row>
    <row r="2826">
      <c r="A2826" s="47" t="s">
        <v>3524</v>
      </c>
      <c r="B2826" s="47">
        <v>48427.0</v>
      </c>
      <c r="C2826" s="47">
        <v>2.0</v>
      </c>
      <c r="D2826" s="47" t="s">
        <v>4044</v>
      </c>
      <c r="E2826" s="47" t="str">
        <f t="shared" si="1"/>
        <v>2A</v>
      </c>
      <c r="F2826" s="47" t="s">
        <v>4045</v>
      </c>
      <c r="G2826" s="47" t="s">
        <v>1773</v>
      </c>
      <c r="H2826" s="48">
        <f>IF(NOT(ISBLANK(vlookup(B2826,Pop_Census_2023!$A$2:$E$3220,4,FALSE))),vlookup(B2826,Pop_Census_2023!$A$2:$E$3220,4,FALSE), vlookup(B2826,Pop_Census_2023!$A$2:$E$3220,5,FALSE))</f>
        <v>65934</v>
      </c>
    </row>
    <row r="2827">
      <c r="A2827" s="47" t="s">
        <v>3524</v>
      </c>
      <c r="B2827" s="47">
        <v>48429.0</v>
      </c>
      <c r="C2827" s="47">
        <v>3.0</v>
      </c>
      <c r="D2827" s="47" t="s">
        <v>4044</v>
      </c>
      <c r="E2827" s="47" t="str">
        <f t="shared" si="1"/>
        <v>3A</v>
      </c>
      <c r="F2827" s="47" t="s">
        <v>4046</v>
      </c>
      <c r="G2827" s="47" t="s">
        <v>544</v>
      </c>
      <c r="H2827" s="48">
        <f>IF(NOT(ISBLANK(vlookup(B2827,Pop_Census_2023!$A$2:$E$3220,4,FALSE))),vlookup(B2827,Pop_Census_2023!$A$2:$E$3220,4,FALSE), vlookup(B2827,Pop_Census_2023!$A$2:$E$3220,5,FALSE))</f>
        <v>9343</v>
      </c>
    </row>
    <row r="2828">
      <c r="A2828" s="47" t="s">
        <v>3524</v>
      </c>
      <c r="B2828" s="47">
        <v>48431.0</v>
      </c>
      <c r="C2828" s="47">
        <v>3.0</v>
      </c>
      <c r="D2828" s="47" t="s">
        <v>4053</v>
      </c>
      <c r="E2828" s="47" t="str">
        <f t="shared" si="1"/>
        <v>3B</v>
      </c>
      <c r="F2828" s="47" t="s">
        <v>4055</v>
      </c>
      <c r="G2828" s="47" t="s">
        <v>1774</v>
      </c>
      <c r="H2828" s="48">
        <f>IF(NOT(ISBLANK(vlookup(B2828,Pop_Census_2023!$A$2:$E$3220,4,FALSE))),vlookup(B2828,Pop_Census_2023!$A$2:$E$3220,4,FALSE), vlookup(B2828,Pop_Census_2023!$A$2:$E$3220,5,FALSE))</f>
        <v>1397</v>
      </c>
    </row>
    <row r="2829">
      <c r="A2829" s="47" t="s">
        <v>3524</v>
      </c>
      <c r="B2829" s="47">
        <v>48433.0</v>
      </c>
      <c r="C2829" s="47">
        <v>3.0</v>
      </c>
      <c r="D2829" s="47" t="s">
        <v>4053</v>
      </c>
      <c r="E2829" s="47" t="str">
        <f t="shared" si="1"/>
        <v>3B</v>
      </c>
      <c r="F2829" s="47" t="s">
        <v>4055</v>
      </c>
      <c r="G2829" s="47" t="s">
        <v>1775</v>
      </c>
      <c r="H2829" s="48">
        <f>IF(NOT(ISBLANK(vlookup(B2829,Pop_Census_2023!$A$2:$E$3220,4,FALSE))),vlookup(B2829,Pop_Census_2023!$A$2:$E$3220,4,FALSE), vlookup(B2829,Pop_Census_2023!$A$2:$E$3220,5,FALSE))</f>
        <v>1218</v>
      </c>
    </row>
    <row r="2830">
      <c r="A2830" s="47" t="s">
        <v>3524</v>
      </c>
      <c r="B2830" s="47">
        <v>48435.0</v>
      </c>
      <c r="C2830" s="47">
        <v>3.0</v>
      </c>
      <c r="D2830" s="47" t="s">
        <v>4053</v>
      </c>
      <c r="E2830" s="47" t="str">
        <f t="shared" si="1"/>
        <v>3B</v>
      </c>
      <c r="F2830" s="47" t="s">
        <v>4055</v>
      </c>
      <c r="G2830" s="47" t="s">
        <v>1776</v>
      </c>
      <c r="H2830" s="48">
        <f>IF(NOT(ISBLANK(vlookup(B2830,Pop_Census_2023!$A$2:$E$3220,4,FALSE))),vlookup(B2830,Pop_Census_2023!$A$2:$E$3220,4,FALSE), vlookup(B2830,Pop_Census_2023!$A$2:$E$3220,5,FALSE))</f>
        <v>3221</v>
      </c>
    </row>
    <row r="2831">
      <c r="A2831" s="47" t="s">
        <v>3524</v>
      </c>
      <c r="B2831" s="47">
        <v>48437.0</v>
      </c>
      <c r="C2831" s="47">
        <v>4.0</v>
      </c>
      <c r="D2831" s="47" t="s">
        <v>4053</v>
      </c>
      <c r="E2831" s="47" t="str">
        <f t="shared" si="1"/>
        <v>4B</v>
      </c>
      <c r="F2831" s="47" t="s">
        <v>4056</v>
      </c>
      <c r="G2831" s="47" t="s">
        <v>1777</v>
      </c>
      <c r="H2831" s="48">
        <f>IF(NOT(ISBLANK(vlookup(B2831,Pop_Census_2023!$A$2:$E$3220,4,FALSE))),vlookup(B2831,Pop_Census_2023!$A$2:$E$3220,4,FALSE), vlookup(B2831,Pop_Census_2023!$A$2:$E$3220,5,FALSE))</f>
        <v>6955</v>
      </c>
    </row>
    <row r="2832">
      <c r="A2832" s="47" t="s">
        <v>3524</v>
      </c>
      <c r="B2832" s="47">
        <v>48439.0</v>
      </c>
      <c r="C2832" s="47">
        <v>3.0</v>
      </c>
      <c r="D2832" s="47" t="s">
        <v>4044</v>
      </c>
      <c r="E2832" s="47" t="str">
        <f t="shared" si="1"/>
        <v>3A</v>
      </c>
      <c r="F2832" s="47" t="s">
        <v>4045</v>
      </c>
      <c r="G2832" s="47" t="s">
        <v>1778</v>
      </c>
      <c r="H2832" s="48">
        <f>IF(NOT(ISBLANK(vlookup(B2832,Pop_Census_2023!$A$2:$E$3220,4,FALSE))),vlookup(B2832,Pop_Census_2023!$A$2:$E$3220,4,FALSE), vlookup(B2832,Pop_Census_2023!$A$2:$E$3220,5,FALSE))</f>
        <v>2182947</v>
      </c>
    </row>
    <row r="2833">
      <c r="A2833" s="47" t="s">
        <v>3524</v>
      </c>
      <c r="B2833" s="47">
        <v>48441.0</v>
      </c>
      <c r="C2833" s="47">
        <v>3.0</v>
      </c>
      <c r="D2833" s="47" t="s">
        <v>4053</v>
      </c>
      <c r="E2833" s="47" t="str">
        <f t="shared" si="1"/>
        <v>3B</v>
      </c>
      <c r="F2833" s="47" t="s">
        <v>4055</v>
      </c>
      <c r="G2833" s="47" t="s">
        <v>456</v>
      </c>
      <c r="H2833" s="48">
        <f>IF(NOT(ISBLANK(vlookup(B2833,Pop_Census_2023!$A$2:$E$3220,4,FALSE))),vlookup(B2833,Pop_Census_2023!$A$2:$E$3220,4,FALSE), vlookup(B2833,Pop_Census_2023!$A$2:$E$3220,5,FALSE))</f>
        <v>146836</v>
      </c>
    </row>
    <row r="2834">
      <c r="A2834" s="47" t="s">
        <v>3524</v>
      </c>
      <c r="B2834" s="47">
        <v>48443.0</v>
      </c>
      <c r="C2834" s="47">
        <v>3.0</v>
      </c>
      <c r="D2834" s="47" t="s">
        <v>4053</v>
      </c>
      <c r="E2834" s="47" t="str">
        <f t="shared" si="1"/>
        <v>3B</v>
      </c>
      <c r="F2834" s="47" t="s">
        <v>4055</v>
      </c>
      <c r="G2834" s="47" t="s">
        <v>550</v>
      </c>
      <c r="H2834" s="34">
        <f>IF(NOT(ISBLANK(vlookup(B2834,Pop_Census_2023!$A$2:$E$3220,4,FALSE))),vlookup(B2834,Pop_Census_2023!$A$2:$E$3220,4,FALSE), vlookup(B2834,Pop_Census_2023!$A$2:$E$3220,5,FALSE))</f>
        <v>687</v>
      </c>
    </row>
    <row r="2835">
      <c r="A2835" s="47" t="s">
        <v>3524</v>
      </c>
      <c r="B2835" s="47">
        <v>48445.0</v>
      </c>
      <c r="C2835" s="47">
        <v>3.0</v>
      </c>
      <c r="D2835" s="47" t="s">
        <v>4053</v>
      </c>
      <c r="E2835" s="47" t="str">
        <f t="shared" si="1"/>
        <v>3B</v>
      </c>
      <c r="F2835" s="47" t="s">
        <v>4055</v>
      </c>
      <c r="G2835" s="47" t="s">
        <v>1779</v>
      </c>
      <c r="H2835" s="48">
        <f>IF(NOT(ISBLANK(vlookup(B2835,Pop_Census_2023!$A$2:$E$3220,4,FALSE))),vlookup(B2835,Pop_Census_2023!$A$2:$E$3220,4,FALSE), vlookup(B2835,Pop_Census_2023!$A$2:$E$3220,5,FALSE))</f>
        <v>11547</v>
      </c>
    </row>
    <row r="2836">
      <c r="A2836" s="47" t="s">
        <v>3524</v>
      </c>
      <c r="B2836" s="47">
        <v>48447.0</v>
      </c>
      <c r="C2836" s="47">
        <v>3.0</v>
      </c>
      <c r="D2836" s="47" t="s">
        <v>4053</v>
      </c>
      <c r="E2836" s="47" t="str">
        <f t="shared" si="1"/>
        <v>3B</v>
      </c>
      <c r="F2836" s="47" t="s">
        <v>4055</v>
      </c>
      <c r="G2836" s="47" t="s">
        <v>1780</v>
      </c>
      <c r="H2836" s="48">
        <f>IF(NOT(ISBLANK(vlookup(B2836,Pop_Census_2023!$A$2:$E$3220,4,FALSE))),vlookup(B2836,Pop_Census_2023!$A$2:$E$3220,4,FALSE), vlookup(B2836,Pop_Census_2023!$A$2:$E$3220,5,FALSE))</f>
        <v>1526</v>
      </c>
    </row>
    <row r="2837">
      <c r="A2837" s="47" t="s">
        <v>3524</v>
      </c>
      <c r="B2837" s="47">
        <v>48449.0</v>
      </c>
      <c r="C2837" s="47">
        <v>3.0</v>
      </c>
      <c r="D2837" s="47" t="s">
        <v>4044</v>
      </c>
      <c r="E2837" s="47" t="str">
        <f t="shared" si="1"/>
        <v>3A</v>
      </c>
      <c r="F2837" s="47" t="s">
        <v>4045</v>
      </c>
      <c r="G2837" s="47" t="s">
        <v>1781</v>
      </c>
      <c r="H2837" s="48">
        <f>IF(NOT(ISBLANK(vlookup(B2837,Pop_Census_2023!$A$2:$E$3220,4,FALSE))),vlookup(B2837,Pop_Census_2023!$A$2:$E$3220,4,FALSE), vlookup(B2837,Pop_Census_2023!$A$2:$E$3220,5,FALSE))</f>
        <v>31357</v>
      </c>
    </row>
    <row r="2838">
      <c r="A2838" s="47" t="s">
        <v>3524</v>
      </c>
      <c r="B2838" s="47">
        <v>48451.0</v>
      </c>
      <c r="C2838" s="47">
        <v>3.0</v>
      </c>
      <c r="D2838" s="47" t="s">
        <v>4053</v>
      </c>
      <c r="E2838" s="47" t="str">
        <f t="shared" si="1"/>
        <v>3B</v>
      </c>
      <c r="F2838" s="47" t="s">
        <v>4055</v>
      </c>
      <c r="G2838" s="47" t="s">
        <v>1782</v>
      </c>
      <c r="H2838" s="48">
        <f>IF(NOT(ISBLANK(vlookup(B2838,Pop_Census_2023!$A$2:$E$3220,4,FALSE))),vlookup(B2838,Pop_Census_2023!$A$2:$E$3220,4,FALSE), vlookup(B2838,Pop_Census_2023!$A$2:$E$3220,5,FALSE))</f>
        <v>119057</v>
      </c>
    </row>
    <row r="2839">
      <c r="A2839" s="47" t="s">
        <v>3524</v>
      </c>
      <c r="B2839" s="47">
        <v>48453.0</v>
      </c>
      <c r="C2839" s="47">
        <v>2.0</v>
      </c>
      <c r="D2839" s="47" t="s">
        <v>4044</v>
      </c>
      <c r="E2839" s="47" t="str">
        <f t="shared" si="1"/>
        <v>2A</v>
      </c>
      <c r="F2839" s="47" t="s">
        <v>4045</v>
      </c>
      <c r="G2839" s="47" t="s">
        <v>1783</v>
      </c>
      <c r="H2839" s="48">
        <f>IF(NOT(ISBLANK(vlookup(B2839,Pop_Census_2023!$A$2:$E$3220,4,FALSE))),vlookup(B2839,Pop_Census_2023!$A$2:$E$3220,4,FALSE), vlookup(B2839,Pop_Census_2023!$A$2:$E$3220,5,FALSE))</f>
        <v>1334961</v>
      </c>
    </row>
    <row r="2840">
      <c r="A2840" s="47" t="s">
        <v>3524</v>
      </c>
      <c r="B2840" s="47">
        <v>48455.0</v>
      </c>
      <c r="C2840" s="47">
        <v>2.0</v>
      </c>
      <c r="D2840" s="47" t="s">
        <v>4044</v>
      </c>
      <c r="E2840" s="47" t="str">
        <f t="shared" si="1"/>
        <v>2A</v>
      </c>
      <c r="F2840" s="47" t="s">
        <v>4045</v>
      </c>
      <c r="G2840" s="47" t="s">
        <v>332</v>
      </c>
      <c r="H2840" s="48">
        <f>IF(NOT(ISBLANK(vlookup(B2840,Pop_Census_2023!$A$2:$E$3220,4,FALSE))),vlookup(B2840,Pop_Census_2023!$A$2:$E$3220,4,FALSE), vlookup(B2840,Pop_Census_2023!$A$2:$E$3220,5,FALSE))</f>
        <v>14228</v>
      </c>
    </row>
    <row r="2841">
      <c r="A2841" s="47" t="s">
        <v>3524</v>
      </c>
      <c r="B2841" s="47">
        <v>48457.0</v>
      </c>
      <c r="C2841" s="47">
        <v>2.0</v>
      </c>
      <c r="D2841" s="47" t="s">
        <v>4044</v>
      </c>
      <c r="E2841" s="47" t="str">
        <f t="shared" si="1"/>
        <v>2A</v>
      </c>
      <c r="F2841" s="47" t="s">
        <v>4045</v>
      </c>
      <c r="G2841" s="47" t="s">
        <v>1784</v>
      </c>
      <c r="H2841" s="48">
        <f>IF(NOT(ISBLANK(vlookup(B2841,Pop_Census_2023!$A$2:$E$3220,4,FALSE))),vlookup(B2841,Pop_Census_2023!$A$2:$E$3220,4,FALSE), vlookup(B2841,Pop_Census_2023!$A$2:$E$3220,5,FALSE))</f>
        <v>20382</v>
      </c>
    </row>
    <row r="2842">
      <c r="A2842" s="47" t="s">
        <v>3524</v>
      </c>
      <c r="B2842" s="47">
        <v>48459.0</v>
      </c>
      <c r="C2842" s="47">
        <v>3.0</v>
      </c>
      <c r="D2842" s="47" t="s">
        <v>4044</v>
      </c>
      <c r="E2842" s="47" t="str">
        <f t="shared" si="1"/>
        <v>3A</v>
      </c>
      <c r="F2842" s="47" t="s">
        <v>4045</v>
      </c>
      <c r="G2842" s="47" t="s">
        <v>1785</v>
      </c>
      <c r="H2842" s="48">
        <f>IF(NOT(ISBLANK(vlookup(B2842,Pop_Census_2023!$A$2:$E$3220,4,FALSE))),vlookup(B2842,Pop_Census_2023!$A$2:$E$3220,4,FALSE), vlookup(B2842,Pop_Census_2023!$A$2:$E$3220,5,FALSE))</f>
        <v>43281</v>
      </c>
    </row>
    <row r="2843">
      <c r="A2843" s="47" t="s">
        <v>3524</v>
      </c>
      <c r="B2843" s="47">
        <v>48461.0</v>
      </c>
      <c r="C2843" s="47">
        <v>3.0</v>
      </c>
      <c r="D2843" s="47" t="s">
        <v>4053</v>
      </c>
      <c r="E2843" s="47" t="str">
        <f t="shared" si="1"/>
        <v>3B</v>
      </c>
      <c r="F2843" s="47" t="s">
        <v>4055</v>
      </c>
      <c r="G2843" s="47" t="s">
        <v>1786</v>
      </c>
      <c r="H2843" s="48">
        <f>IF(NOT(ISBLANK(vlookup(B2843,Pop_Census_2023!$A$2:$E$3220,4,FALSE))),vlookup(B2843,Pop_Census_2023!$A$2:$E$3220,4,FALSE), vlookup(B2843,Pop_Census_2023!$A$2:$E$3220,5,FALSE))</f>
        <v>3109</v>
      </c>
    </row>
    <row r="2844">
      <c r="A2844" s="47" t="s">
        <v>3524</v>
      </c>
      <c r="B2844" s="47">
        <v>48463.0</v>
      </c>
      <c r="C2844" s="47">
        <v>2.0</v>
      </c>
      <c r="D2844" s="47" t="s">
        <v>4053</v>
      </c>
      <c r="E2844" s="47" t="str">
        <f t="shared" si="1"/>
        <v>2B</v>
      </c>
      <c r="F2844" s="47" t="s">
        <v>4045</v>
      </c>
      <c r="G2844" s="47" t="s">
        <v>1787</v>
      </c>
      <c r="H2844" s="48">
        <f>IF(NOT(ISBLANK(vlookup(B2844,Pop_Census_2023!$A$2:$E$3220,4,FALSE))),vlookup(B2844,Pop_Census_2023!$A$2:$E$3220,4,FALSE), vlookup(B2844,Pop_Census_2023!$A$2:$E$3220,5,FALSE))</f>
        <v>24960</v>
      </c>
    </row>
    <row r="2845">
      <c r="A2845" s="47" t="s">
        <v>3524</v>
      </c>
      <c r="B2845" s="47">
        <v>48465.0</v>
      </c>
      <c r="C2845" s="47">
        <v>2.0</v>
      </c>
      <c r="D2845" s="47" t="s">
        <v>4053</v>
      </c>
      <c r="E2845" s="47" t="str">
        <f t="shared" si="1"/>
        <v>2B</v>
      </c>
      <c r="F2845" s="47" t="s">
        <v>4045</v>
      </c>
      <c r="G2845" s="47" t="s">
        <v>1788</v>
      </c>
      <c r="H2845" s="48">
        <f>IF(NOT(ISBLANK(vlookup(B2845,Pop_Census_2023!$A$2:$E$3220,4,FALSE))),vlookup(B2845,Pop_Census_2023!$A$2:$E$3220,4,FALSE), vlookup(B2845,Pop_Census_2023!$A$2:$E$3220,5,FALSE))</f>
        <v>47720</v>
      </c>
    </row>
    <row r="2846">
      <c r="A2846" s="47" t="s">
        <v>3524</v>
      </c>
      <c r="B2846" s="47">
        <v>48467.0</v>
      </c>
      <c r="C2846" s="47">
        <v>3.0</v>
      </c>
      <c r="D2846" s="47" t="s">
        <v>4044</v>
      </c>
      <c r="E2846" s="47" t="str">
        <f t="shared" si="1"/>
        <v>3A</v>
      </c>
      <c r="F2846" s="47" t="s">
        <v>4045</v>
      </c>
      <c r="G2846" s="47" t="s">
        <v>1789</v>
      </c>
      <c r="H2846" s="48">
        <f>IF(NOT(ISBLANK(vlookup(B2846,Pop_Census_2023!$A$2:$E$3220,4,FALSE))),vlookup(B2846,Pop_Census_2023!$A$2:$E$3220,4,FALSE), vlookup(B2846,Pop_Census_2023!$A$2:$E$3220,5,FALSE))</f>
        <v>64000</v>
      </c>
    </row>
    <row r="2847">
      <c r="A2847" s="47" t="s">
        <v>3524</v>
      </c>
      <c r="B2847" s="47">
        <v>48469.0</v>
      </c>
      <c r="C2847" s="47">
        <v>2.0</v>
      </c>
      <c r="D2847" s="47" t="s">
        <v>4044</v>
      </c>
      <c r="E2847" s="47" t="str">
        <f t="shared" si="1"/>
        <v>2A</v>
      </c>
      <c r="F2847" s="47" t="s">
        <v>4045</v>
      </c>
      <c r="G2847" s="47" t="s">
        <v>1790</v>
      </c>
      <c r="H2847" s="48">
        <f>IF(NOT(ISBLANK(vlookup(B2847,Pop_Census_2023!$A$2:$E$3220,4,FALSE))),vlookup(B2847,Pop_Census_2023!$A$2:$E$3220,4,FALSE), vlookup(B2847,Pop_Census_2023!$A$2:$E$3220,5,FALSE))</f>
        <v>91664</v>
      </c>
    </row>
    <row r="2848">
      <c r="A2848" s="47" t="s">
        <v>3524</v>
      </c>
      <c r="B2848" s="47">
        <v>48471.0</v>
      </c>
      <c r="C2848" s="47">
        <v>2.0</v>
      </c>
      <c r="D2848" s="47" t="s">
        <v>4044</v>
      </c>
      <c r="E2848" s="47" t="str">
        <f t="shared" si="1"/>
        <v>2A</v>
      </c>
      <c r="F2848" s="47" t="s">
        <v>4045</v>
      </c>
      <c r="G2848" s="47" t="s">
        <v>166</v>
      </c>
      <c r="H2848" s="48">
        <f>IF(NOT(ISBLANK(vlookup(B2848,Pop_Census_2023!$A$2:$E$3220,4,FALSE))),vlookup(B2848,Pop_Census_2023!$A$2:$E$3220,4,FALSE), vlookup(B2848,Pop_Census_2023!$A$2:$E$3220,5,FALSE))</f>
        <v>81268</v>
      </c>
    </row>
    <row r="2849">
      <c r="A2849" s="47" t="s">
        <v>3524</v>
      </c>
      <c r="B2849" s="47">
        <v>48473.0</v>
      </c>
      <c r="C2849" s="47">
        <v>2.0</v>
      </c>
      <c r="D2849" s="47" t="s">
        <v>4044</v>
      </c>
      <c r="E2849" s="47" t="str">
        <f t="shared" si="1"/>
        <v>2A</v>
      </c>
      <c r="F2849" s="47" t="s">
        <v>4045</v>
      </c>
      <c r="G2849" s="47" t="s">
        <v>1791</v>
      </c>
      <c r="H2849" s="48">
        <f>IF(NOT(ISBLANK(vlookup(B2849,Pop_Census_2023!$A$2:$E$3220,4,FALSE))),vlookup(B2849,Pop_Census_2023!$A$2:$E$3220,4,FALSE), vlookup(B2849,Pop_Census_2023!$A$2:$E$3220,5,FALSE))</f>
        <v>63553</v>
      </c>
    </row>
    <row r="2850">
      <c r="A2850" s="47" t="s">
        <v>3524</v>
      </c>
      <c r="B2850" s="47">
        <v>48475.0</v>
      </c>
      <c r="C2850" s="47">
        <v>3.0</v>
      </c>
      <c r="D2850" s="47" t="s">
        <v>4053</v>
      </c>
      <c r="E2850" s="47" t="str">
        <f t="shared" si="1"/>
        <v>3B</v>
      </c>
      <c r="F2850" s="47" t="s">
        <v>4055</v>
      </c>
      <c r="G2850" s="47" t="s">
        <v>1420</v>
      </c>
      <c r="H2850" s="48">
        <f>IF(NOT(ISBLANK(vlookup(B2850,Pop_Census_2023!$A$2:$E$3220,4,FALSE))),vlookup(B2850,Pop_Census_2023!$A$2:$E$3220,4,FALSE), vlookup(B2850,Pop_Census_2023!$A$2:$E$3220,5,FALSE))</f>
        <v>10966</v>
      </c>
    </row>
    <row r="2851">
      <c r="A2851" s="47" t="s">
        <v>3524</v>
      </c>
      <c r="B2851" s="47">
        <v>48477.0</v>
      </c>
      <c r="C2851" s="47">
        <v>2.0</v>
      </c>
      <c r="D2851" s="47" t="s">
        <v>4044</v>
      </c>
      <c r="E2851" s="47" t="str">
        <f t="shared" si="1"/>
        <v>2A</v>
      </c>
      <c r="F2851" s="47" t="s">
        <v>4045</v>
      </c>
      <c r="G2851" s="47" t="s">
        <v>167</v>
      </c>
      <c r="H2851" s="48">
        <f>IF(NOT(ISBLANK(vlookup(B2851,Pop_Census_2023!$A$2:$E$3220,4,FALSE))),vlookup(B2851,Pop_Census_2023!$A$2:$E$3220,4,FALSE), vlookup(B2851,Pop_Census_2023!$A$2:$E$3220,5,FALSE))</f>
        <v>37007</v>
      </c>
    </row>
    <row r="2852">
      <c r="A2852" s="47" t="s">
        <v>3524</v>
      </c>
      <c r="B2852" s="47">
        <v>48479.0</v>
      </c>
      <c r="C2852" s="47">
        <v>2.0</v>
      </c>
      <c r="D2852" s="47" t="s">
        <v>4053</v>
      </c>
      <c r="E2852" s="47" t="str">
        <f t="shared" si="1"/>
        <v>2B</v>
      </c>
      <c r="F2852" s="47" t="s">
        <v>4045</v>
      </c>
      <c r="G2852" s="47" t="s">
        <v>1792</v>
      </c>
      <c r="H2852" s="48">
        <f>IF(NOT(ISBLANK(vlookup(B2852,Pop_Census_2023!$A$2:$E$3220,4,FALSE))),vlookup(B2852,Pop_Census_2023!$A$2:$E$3220,4,FALSE), vlookup(B2852,Pop_Census_2023!$A$2:$E$3220,5,FALSE))</f>
        <v>269148</v>
      </c>
    </row>
    <row r="2853">
      <c r="A2853" s="47" t="s">
        <v>3524</v>
      </c>
      <c r="B2853" s="47">
        <v>48481.0</v>
      </c>
      <c r="C2853" s="47">
        <v>2.0</v>
      </c>
      <c r="D2853" s="47" t="s">
        <v>4044</v>
      </c>
      <c r="E2853" s="47" t="str">
        <f t="shared" si="1"/>
        <v>2A</v>
      </c>
      <c r="F2853" s="47" t="s">
        <v>4045</v>
      </c>
      <c r="G2853" s="47" t="s">
        <v>1793</v>
      </c>
      <c r="H2853" s="48">
        <f>IF(NOT(ISBLANK(vlookup(B2853,Pop_Census_2023!$A$2:$E$3220,4,FALSE))),vlookup(B2853,Pop_Census_2023!$A$2:$E$3220,4,FALSE), vlookup(B2853,Pop_Census_2023!$A$2:$E$3220,5,FALSE))</f>
        <v>41739</v>
      </c>
    </row>
    <row r="2854">
      <c r="A2854" s="47" t="s">
        <v>3524</v>
      </c>
      <c r="B2854" s="47">
        <v>48483.0</v>
      </c>
      <c r="C2854" s="47">
        <v>3.0</v>
      </c>
      <c r="D2854" s="47" t="s">
        <v>4053</v>
      </c>
      <c r="E2854" s="47" t="str">
        <f t="shared" si="1"/>
        <v>3B</v>
      </c>
      <c r="F2854" s="47" t="s">
        <v>4055</v>
      </c>
      <c r="G2854" s="47" t="s">
        <v>564</v>
      </c>
      <c r="H2854" s="48">
        <f>IF(NOT(ISBLANK(vlookup(B2854,Pop_Census_2023!$A$2:$E$3220,4,FALSE))),vlookup(B2854,Pop_Census_2023!$A$2:$E$3220,4,FALSE), vlookup(B2854,Pop_Census_2023!$A$2:$E$3220,5,FALSE))</f>
        <v>4804</v>
      </c>
    </row>
    <row r="2855">
      <c r="A2855" s="47" t="s">
        <v>3524</v>
      </c>
      <c r="B2855" s="47">
        <v>48485.0</v>
      </c>
      <c r="C2855" s="47">
        <v>3.0</v>
      </c>
      <c r="D2855" s="47" t="s">
        <v>4044</v>
      </c>
      <c r="E2855" s="47" t="str">
        <f t="shared" si="1"/>
        <v>3A</v>
      </c>
      <c r="F2855" s="47" t="s">
        <v>4046</v>
      </c>
      <c r="G2855" s="47" t="s">
        <v>814</v>
      </c>
      <c r="H2855" s="48">
        <f>IF(NOT(ISBLANK(vlookup(B2855,Pop_Census_2023!$A$2:$E$3220,4,FALSE))),vlookup(B2855,Pop_Census_2023!$A$2:$E$3220,4,FALSE), vlookup(B2855,Pop_Census_2023!$A$2:$E$3220,5,FALSE))</f>
        <v>130180</v>
      </c>
    </row>
    <row r="2856">
      <c r="A2856" s="47" t="s">
        <v>3524</v>
      </c>
      <c r="B2856" s="47">
        <v>48487.0</v>
      </c>
      <c r="C2856" s="47">
        <v>3.0</v>
      </c>
      <c r="D2856" s="47" t="s">
        <v>4053</v>
      </c>
      <c r="E2856" s="47" t="str">
        <f t="shared" si="1"/>
        <v>3B</v>
      </c>
      <c r="F2856" s="47" t="s">
        <v>4055</v>
      </c>
      <c r="G2856" s="47" t="s">
        <v>1794</v>
      </c>
      <c r="H2856" s="48">
        <f>IF(NOT(ISBLANK(vlookup(B2856,Pop_Census_2023!$A$2:$E$3220,4,FALSE))),vlookup(B2856,Pop_Census_2023!$A$2:$E$3220,4,FALSE), vlookup(B2856,Pop_Census_2023!$A$2:$E$3220,5,FALSE))</f>
        <v>12522</v>
      </c>
    </row>
    <row r="2857">
      <c r="A2857" s="47" t="s">
        <v>3524</v>
      </c>
      <c r="B2857" s="47">
        <v>48489.0</v>
      </c>
      <c r="C2857" s="47">
        <v>2.0</v>
      </c>
      <c r="D2857" s="47" t="s">
        <v>4044</v>
      </c>
      <c r="E2857" s="47" t="str">
        <f t="shared" si="1"/>
        <v>2A</v>
      </c>
      <c r="F2857" s="47" t="s">
        <v>4045</v>
      </c>
      <c r="G2857" s="47" t="s">
        <v>1795</v>
      </c>
      <c r="H2857" s="48">
        <f>IF(NOT(ISBLANK(vlookup(B2857,Pop_Census_2023!$A$2:$E$3220,4,FALSE))),vlookup(B2857,Pop_Census_2023!$A$2:$E$3220,4,FALSE), vlookup(B2857,Pop_Census_2023!$A$2:$E$3220,5,FALSE))</f>
        <v>20037</v>
      </c>
    </row>
    <row r="2858">
      <c r="A2858" s="47" t="s">
        <v>3524</v>
      </c>
      <c r="B2858" s="47">
        <v>48491.0</v>
      </c>
      <c r="C2858" s="47">
        <v>2.0</v>
      </c>
      <c r="D2858" s="47" t="s">
        <v>4044</v>
      </c>
      <c r="E2858" s="47" t="str">
        <f t="shared" si="1"/>
        <v>2A</v>
      </c>
      <c r="F2858" s="47" t="s">
        <v>4045</v>
      </c>
      <c r="G2858" s="47" t="s">
        <v>660</v>
      </c>
      <c r="H2858" s="48">
        <f>IF(NOT(ISBLANK(vlookup(B2858,Pop_Census_2023!$A$2:$E$3220,4,FALSE))),vlookup(B2858,Pop_Census_2023!$A$2:$E$3220,4,FALSE), vlookup(B2858,Pop_Census_2023!$A$2:$E$3220,5,FALSE))</f>
        <v>697191</v>
      </c>
    </row>
    <row r="2859">
      <c r="A2859" s="47" t="s">
        <v>3524</v>
      </c>
      <c r="B2859" s="47">
        <v>48493.0</v>
      </c>
      <c r="C2859" s="47">
        <v>2.0</v>
      </c>
      <c r="D2859" s="47" t="s">
        <v>4044</v>
      </c>
      <c r="E2859" s="47" t="str">
        <f t="shared" si="1"/>
        <v>2A</v>
      </c>
      <c r="F2859" s="47" t="s">
        <v>4045</v>
      </c>
      <c r="G2859" s="47" t="s">
        <v>815</v>
      </c>
      <c r="H2859" s="48">
        <f>IF(NOT(ISBLANK(vlookup(B2859,Pop_Census_2023!$A$2:$E$3220,4,FALSE))),vlookup(B2859,Pop_Census_2023!$A$2:$E$3220,4,FALSE), vlookup(B2859,Pop_Census_2023!$A$2:$E$3220,5,FALSE))</f>
        <v>54183</v>
      </c>
    </row>
    <row r="2860">
      <c r="A2860" s="47" t="s">
        <v>3524</v>
      </c>
      <c r="B2860" s="47">
        <v>48495.0</v>
      </c>
      <c r="C2860" s="47">
        <v>3.0</v>
      </c>
      <c r="D2860" s="47" t="s">
        <v>4053</v>
      </c>
      <c r="E2860" s="47" t="str">
        <f t="shared" si="1"/>
        <v>3B</v>
      </c>
      <c r="F2860" s="47" t="s">
        <v>4055</v>
      </c>
      <c r="G2860" s="47" t="s">
        <v>1796</v>
      </c>
      <c r="H2860" s="48">
        <f>IF(NOT(ISBLANK(vlookup(B2860,Pop_Census_2023!$A$2:$E$3220,4,FALSE))),vlookup(B2860,Pop_Census_2023!$A$2:$E$3220,4,FALSE), vlookup(B2860,Pop_Census_2023!$A$2:$E$3220,5,FALSE))</f>
        <v>7414</v>
      </c>
    </row>
    <row r="2861">
      <c r="A2861" s="47" t="s">
        <v>3524</v>
      </c>
      <c r="B2861" s="47">
        <v>48497.0</v>
      </c>
      <c r="C2861" s="47">
        <v>3.0</v>
      </c>
      <c r="D2861" s="47" t="s">
        <v>4044</v>
      </c>
      <c r="E2861" s="47" t="str">
        <f t="shared" si="1"/>
        <v>3A</v>
      </c>
      <c r="F2861" s="47" t="s">
        <v>4046</v>
      </c>
      <c r="G2861" s="47" t="s">
        <v>1797</v>
      </c>
      <c r="H2861" s="48">
        <f>IF(NOT(ISBLANK(vlookup(B2861,Pop_Census_2023!$A$2:$E$3220,4,FALSE))),vlookup(B2861,Pop_Census_2023!$A$2:$E$3220,4,FALSE), vlookup(B2861,Pop_Census_2023!$A$2:$E$3220,5,FALSE))</f>
        <v>78097</v>
      </c>
    </row>
    <row r="2862">
      <c r="A2862" s="47" t="s">
        <v>3524</v>
      </c>
      <c r="B2862" s="47">
        <v>48499.0</v>
      </c>
      <c r="C2862" s="47">
        <v>3.0</v>
      </c>
      <c r="D2862" s="47" t="s">
        <v>4044</v>
      </c>
      <c r="E2862" s="47" t="str">
        <f t="shared" si="1"/>
        <v>3A</v>
      </c>
      <c r="F2862" s="47" t="s">
        <v>4045</v>
      </c>
      <c r="G2862" s="47" t="s">
        <v>1455</v>
      </c>
      <c r="H2862" s="48">
        <f>IF(NOT(ISBLANK(vlookup(B2862,Pop_Census_2023!$A$2:$E$3220,4,FALSE))),vlookup(B2862,Pop_Census_2023!$A$2:$E$3220,4,FALSE), vlookup(B2862,Pop_Census_2023!$A$2:$E$3220,5,FALSE))</f>
        <v>47921</v>
      </c>
    </row>
    <row r="2863">
      <c r="A2863" s="47" t="s">
        <v>3524</v>
      </c>
      <c r="B2863" s="47">
        <v>48501.0</v>
      </c>
      <c r="C2863" s="47">
        <v>4.0</v>
      </c>
      <c r="D2863" s="47" t="s">
        <v>4053</v>
      </c>
      <c r="E2863" s="47" t="str">
        <f t="shared" si="1"/>
        <v>4B</v>
      </c>
      <c r="F2863" s="47" t="s">
        <v>4056</v>
      </c>
      <c r="G2863" s="47" t="s">
        <v>1798</v>
      </c>
      <c r="H2863" s="48">
        <f>IF(NOT(ISBLANK(vlookup(B2863,Pop_Census_2023!$A$2:$E$3220,4,FALSE))),vlookup(B2863,Pop_Census_2023!$A$2:$E$3220,4,FALSE), vlookup(B2863,Pop_Census_2023!$A$2:$E$3220,5,FALSE))</f>
        <v>7468</v>
      </c>
    </row>
    <row r="2864">
      <c r="A2864" s="47" t="s">
        <v>3524</v>
      </c>
      <c r="B2864" s="47">
        <v>48503.0</v>
      </c>
      <c r="C2864" s="47">
        <v>3.0</v>
      </c>
      <c r="D2864" s="47" t="s">
        <v>4044</v>
      </c>
      <c r="E2864" s="47" t="str">
        <f t="shared" si="1"/>
        <v>3A</v>
      </c>
      <c r="F2864" s="47" t="s">
        <v>4046</v>
      </c>
      <c r="G2864" s="47" t="s">
        <v>1799</v>
      </c>
      <c r="H2864" s="48">
        <f>IF(NOT(ISBLANK(vlookup(B2864,Pop_Census_2023!$A$2:$E$3220,4,FALSE))),vlookup(B2864,Pop_Census_2023!$A$2:$E$3220,4,FALSE), vlookup(B2864,Pop_Census_2023!$A$2:$E$3220,5,FALSE))</f>
        <v>18124</v>
      </c>
    </row>
    <row r="2865">
      <c r="A2865" s="47" t="s">
        <v>3524</v>
      </c>
      <c r="B2865" s="47">
        <v>48505.0</v>
      </c>
      <c r="C2865" s="47">
        <v>2.0</v>
      </c>
      <c r="D2865" s="47" t="s">
        <v>4053</v>
      </c>
      <c r="E2865" s="47" t="str">
        <f t="shared" si="1"/>
        <v>2B</v>
      </c>
      <c r="F2865" s="47" t="s">
        <v>4045</v>
      </c>
      <c r="G2865" s="47" t="s">
        <v>1800</v>
      </c>
      <c r="H2865" s="48">
        <f>IF(NOT(ISBLANK(vlookup(B2865,Pop_Census_2023!$A$2:$E$3220,4,FALSE))),vlookup(B2865,Pop_Census_2023!$A$2:$E$3220,4,FALSE), vlookup(B2865,Pop_Census_2023!$A$2:$E$3220,5,FALSE))</f>
        <v>13736</v>
      </c>
    </row>
    <row r="2866">
      <c r="A2866" s="47" t="s">
        <v>3524</v>
      </c>
      <c r="B2866" s="47">
        <v>48507.0</v>
      </c>
      <c r="C2866" s="47">
        <v>2.0</v>
      </c>
      <c r="D2866" s="47" t="s">
        <v>4053</v>
      </c>
      <c r="E2866" s="47" t="str">
        <f t="shared" si="1"/>
        <v>2B</v>
      </c>
      <c r="F2866" s="47" t="s">
        <v>4045</v>
      </c>
      <c r="G2866" s="47" t="s">
        <v>1801</v>
      </c>
      <c r="H2866" s="48">
        <f>IF(NOT(ISBLANK(vlookup(B2866,Pop_Census_2023!$A$2:$E$3220,4,FALSE))),vlookup(B2866,Pop_Census_2023!$A$2:$E$3220,4,FALSE), vlookup(B2866,Pop_Census_2023!$A$2:$E$3220,5,FALSE))</f>
        <v>9312</v>
      </c>
    </row>
    <row r="2867">
      <c r="A2867" s="47" t="s">
        <v>4149</v>
      </c>
      <c r="B2867" s="47">
        <v>74300.0</v>
      </c>
      <c r="C2867" s="47">
        <v>1.0</v>
      </c>
      <c r="D2867" s="47" t="s">
        <v>4044</v>
      </c>
      <c r="E2867" s="47" t="str">
        <f t="shared" si="1"/>
        <v>1A</v>
      </c>
      <c r="F2867" s="47" t="s">
        <v>4045</v>
      </c>
      <c r="G2867" s="47" t="s">
        <v>4150</v>
      </c>
      <c r="H2867" s="34" t="str">
        <f>IF(NOT(ISBLANK(vlookup(B2867,Pop_Census_2023!$A$2:$E$3220,4,FALSE))),vlookup(B2867,Pop_Census_2023!$A$2:$E$3220,4,FALSE), vlookup(B2867,Pop_Census_2023!$A$2:$E$3220,5,FALSE))</f>
        <v>#N/A</v>
      </c>
    </row>
    <row r="2868">
      <c r="A2868" s="47" t="s">
        <v>3687</v>
      </c>
      <c r="B2868" s="47">
        <v>49001.0</v>
      </c>
      <c r="C2868" s="47">
        <v>5.0</v>
      </c>
      <c r="D2868" s="47" t="s">
        <v>4053</v>
      </c>
      <c r="E2868" s="47" t="str">
        <f t="shared" si="1"/>
        <v>5B</v>
      </c>
      <c r="F2868" s="47" t="s">
        <v>4054</v>
      </c>
      <c r="G2868" s="47" t="s">
        <v>1460</v>
      </c>
      <c r="H2868" s="48">
        <f>IF(NOT(ISBLANK(vlookup(B2868,Pop_Census_2023!$A$2:$E$3220,4,FALSE))),vlookup(B2868,Pop_Census_2023!$A$2:$E$3220,4,FALSE), vlookup(B2868,Pop_Census_2023!$A$2:$E$3220,5,FALSE))</f>
        <v>7233</v>
      </c>
    </row>
    <row r="2869">
      <c r="A2869" s="47" t="s">
        <v>3687</v>
      </c>
      <c r="B2869" s="47">
        <v>49003.0</v>
      </c>
      <c r="C2869" s="47">
        <v>6.0</v>
      </c>
      <c r="D2869" s="47" t="s">
        <v>4053</v>
      </c>
      <c r="E2869" s="47" t="str">
        <f t="shared" si="1"/>
        <v>6B</v>
      </c>
      <c r="F2869" s="47" t="s">
        <v>4054</v>
      </c>
      <c r="G2869" s="47" t="s">
        <v>1803</v>
      </c>
      <c r="H2869" s="48">
        <f>IF(NOT(ISBLANK(vlookup(B2869,Pop_Census_2023!$A$2:$E$3220,4,FALSE))),vlookup(B2869,Pop_Census_2023!$A$2:$E$3220,4,FALSE), vlookup(B2869,Pop_Census_2023!$A$2:$E$3220,5,FALSE))</f>
        <v>62684</v>
      </c>
    </row>
    <row r="2870">
      <c r="A2870" s="47" t="s">
        <v>3687</v>
      </c>
      <c r="B2870" s="47">
        <v>49005.0</v>
      </c>
      <c r="C2870" s="47">
        <v>6.0</v>
      </c>
      <c r="D2870" s="47" t="s">
        <v>4053</v>
      </c>
      <c r="E2870" s="47" t="str">
        <f t="shared" si="1"/>
        <v>6B</v>
      </c>
      <c r="F2870" s="47" t="s">
        <v>4054</v>
      </c>
      <c r="G2870" s="47" t="s">
        <v>1804</v>
      </c>
      <c r="H2870" s="48">
        <f>IF(NOT(ISBLANK(vlookup(B2870,Pop_Census_2023!$A$2:$E$3220,4,FALSE))),vlookup(B2870,Pop_Census_2023!$A$2:$E$3220,4,FALSE), vlookup(B2870,Pop_Census_2023!$A$2:$E$3220,5,FALSE))</f>
        <v>142393</v>
      </c>
    </row>
    <row r="2871">
      <c r="A2871" s="47" t="s">
        <v>3687</v>
      </c>
      <c r="B2871" s="47">
        <v>49007.0</v>
      </c>
      <c r="C2871" s="47">
        <v>6.0</v>
      </c>
      <c r="D2871" s="47" t="s">
        <v>4053</v>
      </c>
      <c r="E2871" s="47" t="str">
        <f t="shared" si="1"/>
        <v>6B</v>
      </c>
      <c r="F2871" s="47" t="s">
        <v>4054</v>
      </c>
      <c r="G2871" s="47" t="s">
        <v>1165</v>
      </c>
      <c r="H2871" s="48">
        <f>IF(NOT(ISBLANK(vlookup(B2871,Pop_Census_2023!$A$2:$E$3220,4,FALSE))),vlookup(B2871,Pop_Census_2023!$A$2:$E$3220,4,FALSE), vlookup(B2871,Pop_Census_2023!$A$2:$E$3220,5,FALSE))</f>
        <v>20609</v>
      </c>
    </row>
    <row r="2872">
      <c r="A2872" s="47" t="s">
        <v>3687</v>
      </c>
      <c r="B2872" s="47">
        <v>49009.0</v>
      </c>
      <c r="C2872" s="47">
        <v>6.0</v>
      </c>
      <c r="D2872" s="47" t="s">
        <v>4053</v>
      </c>
      <c r="E2872" s="47" t="str">
        <f t="shared" si="1"/>
        <v>6B</v>
      </c>
      <c r="F2872" s="47" t="s">
        <v>4054</v>
      </c>
      <c r="G2872" s="47" t="s">
        <v>1805</v>
      </c>
      <c r="H2872" s="34">
        <f>IF(NOT(ISBLANK(vlookup(B2872,Pop_Census_2023!$A$2:$E$3220,4,FALSE))),vlookup(B2872,Pop_Census_2023!$A$2:$E$3220,4,FALSE), vlookup(B2872,Pop_Census_2023!$A$2:$E$3220,5,FALSE))</f>
        <v>992</v>
      </c>
    </row>
    <row r="2873">
      <c r="A2873" s="47" t="s">
        <v>3687</v>
      </c>
      <c r="B2873" s="47">
        <v>49011.0</v>
      </c>
      <c r="C2873" s="47">
        <v>5.0</v>
      </c>
      <c r="D2873" s="47" t="s">
        <v>4053</v>
      </c>
      <c r="E2873" s="47" t="str">
        <f t="shared" si="1"/>
        <v>5B</v>
      </c>
      <c r="F2873" s="47" t="s">
        <v>4054</v>
      </c>
      <c r="G2873" s="47" t="s">
        <v>717</v>
      </c>
      <c r="H2873" s="48">
        <f>IF(NOT(ISBLANK(vlookup(B2873,Pop_Census_2023!$A$2:$E$3220,4,FALSE))),vlookup(B2873,Pop_Census_2023!$A$2:$E$3220,4,FALSE), vlookup(B2873,Pop_Census_2023!$A$2:$E$3220,5,FALSE))</f>
        <v>373207</v>
      </c>
    </row>
    <row r="2874">
      <c r="A2874" s="47" t="s">
        <v>3687</v>
      </c>
      <c r="B2874" s="47">
        <v>49013.0</v>
      </c>
      <c r="C2874" s="47">
        <v>6.0</v>
      </c>
      <c r="D2874" s="47" t="s">
        <v>4053</v>
      </c>
      <c r="E2874" s="47" t="str">
        <f t="shared" si="1"/>
        <v>6B</v>
      </c>
      <c r="F2874" s="47" t="s">
        <v>4054</v>
      </c>
      <c r="G2874" s="47" t="s">
        <v>1806</v>
      </c>
      <c r="H2874" s="48">
        <f>IF(NOT(ISBLANK(vlookup(B2874,Pop_Census_2023!$A$2:$E$3220,4,FALSE))),vlookup(B2874,Pop_Census_2023!$A$2:$E$3220,4,FALSE), vlookup(B2874,Pop_Census_2023!$A$2:$E$3220,5,FALSE))</f>
        <v>20477</v>
      </c>
    </row>
    <row r="2875">
      <c r="A2875" s="47" t="s">
        <v>3687</v>
      </c>
      <c r="B2875" s="47">
        <v>49015.0</v>
      </c>
      <c r="C2875" s="47">
        <v>5.0</v>
      </c>
      <c r="D2875" s="47" t="s">
        <v>4053</v>
      </c>
      <c r="E2875" s="47" t="str">
        <f t="shared" si="1"/>
        <v>5B</v>
      </c>
      <c r="F2875" s="47" t="s">
        <v>4054</v>
      </c>
      <c r="G2875" s="47" t="s">
        <v>1807</v>
      </c>
      <c r="H2875" s="48">
        <f>IF(NOT(ISBLANK(vlookup(B2875,Pop_Census_2023!$A$2:$E$3220,4,FALSE))),vlookup(B2875,Pop_Census_2023!$A$2:$E$3220,4,FALSE), vlookup(B2875,Pop_Census_2023!$A$2:$E$3220,5,FALSE))</f>
        <v>10144</v>
      </c>
    </row>
    <row r="2876">
      <c r="A2876" s="47" t="s">
        <v>3687</v>
      </c>
      <c r="B2876" s="47">
        <v>49017.0</v>
      </c>
      <c r="C2876" s="47">
        <v>5.0</v>
      </c>
      <c r="D2876" s="47" t="s">
        <v>4053</v>
      </c>
      <c r="E2876" s="47" t="str">
        <f t="shared" si="1"/>
        <v>5B</v>
      </c>
      <c r="F2876" s="47" t="s">
        <v>4054</v>
      </c>
      <c r="G2876" s="47" t="s">
        <v>362</v>
      </c>
      <c r="H2876" s="48">
        <f>IF(NOT(ISBLANK(vlookup(B2876,Pop_Census_2023!$A$2:$E$3220,4,FALSE))),vlookup(B2876,Pop_Census_2023!$A$2:$E$3220,4,FALSE), vlookup(B2876,Pop_Census_2023!$A$2:$E$3220,5,FALSE))</f>
        <v>5314</v>
      </c>
    </row>
    <row r="2877">
      <c r="A2877" s="47" t="s">
        <v>3687</v>
      </c>
      <c r="B2877" s="47">
        <v>49019.0</v>
      </c>
      <c r="C2877" s="47">
        <v>5.0</v>
      </c>
      <c r="D2877" s="47" t="s">
        <v>4053</v>
      </c>
      <c r="E2877" s="47" t="str">
        <f t="shared" si="1"/>
        <v>5B</v>
      </c>
      <c r="F2877" s="47" t="s">
        <v>4054</v>
      </c>
      <c r="G2877" s="47" t="s">
        <v>364</v>
      </c>
      <c r="H2877" s="48">
        <f>IF(NOT(ISBLANK(vlookup(B2877,Pop_Census_2023!$A$2:$E$3220,4,FALSE))),vlookup(B2877,Pop_Census_2023!$A$2:$E$3220,4,FALSE), vlookup(B2877,Pop_Census_2023!$A$2:$E$3220,5,FALSE))</f>
        <v>9706</v>
      </c>
    </row>
    <row r="2878">
      <c r="A2878" s="47" t="s">
        <v>3687</v>
      </c>
      <c r="B2878" s="47">
        <v>49021.0</v>
      </c>
      <c r="C2878" s="47">
        <v>5.0</v>
      </c>
      <c r="D2878" s="47" t="s">
        <v>4053</v>
      </c>
      <c r="E2878" s="47" t="str">
        <f t="shared" si="1"/>
        <v>5B</v>
      </c>
      <c r="F2878" s="47" t="s">
        <v>4054</v>
      </c>
      <c r="G2878" s="47" t="s">
        <v>989</v>
      </c>
      <c r="H2878" s="48">
        <f>IF(NOT(ISBLANK(vlookup(B2878,Pop_Census_2023!$A$2:$E$3220,4,FALSE))),vlookup(B2878,Pop_Census_2023!$A$2:$E$3220,4,FALSE), vlookup(B2878,Pop_Census_2023!$A$2:$E$3220,5,FALSE))</f>
        <v>64211</v>
      </c>
    </row>
    <row r="2879">
      <c r="A2879" s="47" t="s">
        <v>3687</v>
      </c>
      <c r="B2879" s="47">
        <v>49023.0</v>
      </c>
      <c r="C2879" s="47">
        <v>5.0</v>
      </c>
      <c r="D2879" s="47" t="s">
        <v>4053</v>
      </c>
      <c r="E2879" s="47" t="str">
        <f t="shared" si="1"/>
        <v>5B</v>
      </c>
      <c r="F2879" s="47" t="s">
        <v>4054</v>
      </c>
      <c r="G2879" s="47" t="s">
        <v>1808</v>
      </c>
      <c r="H2879" s="48">
        <f>IF(NOT(ISBLANK(vlookup(B2879,Pop_Census_2023!$A$2:$E$3220,4,FALSE))),vlookup(B2879,Pop_Census_2023!$A$2:$E$3220,4,FALSE), vlookup(B2879,Pop_Census_2023!$A$2:$E$3220,5,FALSE))</f>
        <v>13023</v>
      </c>
    </row>
    <row r="2880">
      <c r="A2880" s="47" t="s">
        <v>3687</v>
      </c>
      <c r="B2880" s="47">
        <v>49025.0</v>
      </c>
      <c r="C2880" s="47">
        <v>5.0</v>
      </c>
      <c r="D2880" s="47" t="s">
        <v>4053</v>
      </c>
      <c r="E2880" s="47" t="str">
        <f t="shared" si="1"/>
        <v>5B</v>
      </c>
      <c r="F2880" s="47" t="s">
        <v>4054</v>
      </c>
      <c r="G2880" s="47" t="s">
        <v>631</v>
      </c>
      <c r="H2880" s="48">
        <f>IF(NOT(ISBLANK(vlookup(B2880,Pop_Census_2023!$A$2:$E$3220,4,FALSE))),vlookup(B2880,Pop_Census_2023!$A$2:$E$3220,4,FALSE), vlookup(B2880,Pop_Census_2023!$A$2:$E$3220,5,FALSE))</f>
        <v>8425</v>
      </c>
    </row>
    <row r="2881">
      <c r="A2881" s="47" t="s">
        <v>3687</v>
      </c>
      <c r="B2881" s="47">
        <v>49027.0</v>
      </c>
      <c r="C2881" s="47">
        <v>5.0</v>
      </c>
      <c r="D2881" s="47" t="s">
        <v>4053</v>
      </c>
      <c r="E2881" s="47" t="str">
        <f t="shared" si="1"/>
        <v>5B</v>
      </c>
      <c r="F2881" s="47" t="s">
        <v>4054</v>
      </c>
      <c r="G2881" s="47" t="s">
        <v>1809</v>
      </c>
      <c r="H2881" s="48">
        <f>IF(NOT(ISBLANK(vlookup(B2881,Pop_Census_2023!$A$2:$E$3220,4,FALSE))),vlookup(B2881,Pop_Census_2023!$A$2:$E$3220,4,FALSE), vlookup(B2881,Pop_Census_2023!$A$2:$E$3220,5,FALSE))</f>
        <v>13437</v>
      </c>
    </row>
    <row r="2882">
      <c r="A2882" s="47" t="s">
        <v>3687</v>
      </c>
      <c r="B2882" s="47">
        <v>49029.0</v>
      </c>
      <c r="C2882" s="47">
        <v>6.0</v>
      </c>
      <c r="D2882" s="47" t="s">
        <v>4053</v>
      </c>
      <c r="E2882" s="47" t="str">
        <f t="shared" si="1"/>
        <v>6B</v>
      </c>
      <c r="F2882" s="47" t="s">
        <v>4054</v>
      </c>
      <c r="G2882" s="47" t="s">
        <v>154</v>
      </c>
      <c r="H2882" s="48">
        <f>IF(NOT(ISBLANK(vlookup(B2882,Pop_Census_2023!$A$2:$E$3220,4,FALSE))),vlookup(B2882,Pop_Census_2023!$A$2:$E$3220,4,FALSE), vlookup(B2882,Pop_Census_2023!$A$2:$E$3220,5,FALSE))</f>
        <v>13000</v>
      </c>
    </row>
    <row r="2883">
      <c r="A2883" s="47" t="s">
        <v>3687</v>
      </c>
      <c r="B2883" s="47">
        <v>49031.0</v>
      </c>
      <c r="C2883" s="47">
        <v>5.0</v>
      </c>
      <c r="D2883" s="47" t="s">
        <v>4053</v>
      </c>
      <c r="E2883" s="47" t="str">
        <f t="shared" si="1"/>
        <v>5B</v>
      </c>
      <c r="F2883" s="47" t="s">
        <v>4054</v>
      </c>
      <c r="G2883" s="47" t="s">
        <v>1810</v>
      </c>
      <c r="H2883" s="48">
        <f>IF(NOT(ISBLANK(vlookup(B2883,Pop_Census_2023!$A$2:$E$3220,4,FALSE))),vlookup(B2883,Pop_Census_2023!$A$2:$E$3220,4,FALSE), vlookup(B2883,Pop_Census_2023!$A$2:$E$3220,5,FALSE))</f>
        <v>1550</v>
      </c>
    </row>
    <row r="2884">
      <c r="A2884" s="47" t="s">
        <v>3687</v>
      </c>
      <c r="B2884" s="47">
        <v>49033.0</v>
      </c>
      <c r="C2884" s="47">
        <v>6.0</v>
      </c>
      <c r="D2884" s="47" t="s">
        <v>4053</v>
      </c>
      <c r="E2884" s="47" t="str">
        <f t="shared" si="1"/>
        <v>6B</v>
      </c>
      <c r="F2884" s="47" t="s">
        <v>4054</v>
      </c>
      <c r="G2884" s="47" t="s">
        <v>1811</v>
      </c>
      <c r="H2884" s="48">
        <f>IF(NOT(ISBLANK(vlookup(B2884,Pop_Census_2023!$A$2:$E$3220,4,FALSE))),vlookup(B2884,Pop_Census_2023!$A$2:$E$3220,4,FALSE), vlookup(B2884,Pop_Census_2023!$A$2:$E$3220,5,FALSE))</f>
        <v>2670</v>
      </c>
    </row>
    <row r="2885">
      <c r="A2885" s="47" t="s">
        <v>3687</v>
      </c>
      <c r="B2885" s="47">
        <v>49035.0</v>
      </c>
      <c r="C2885" s="47">
        <v>5.0</v>
      </c>
      <c r="D2885" s="47" t="s">
        <v>4053</v>
      </c>
      <c r="E2885" s="47" t="str">
        <f t="shared" si="1"/>
        <v>5B</v>
      </c>
      <c r="F2885" s="47" t="s">
        <v>4054</v>
      </c>
      <c r="G2885" s="47" t="s">
        <v>1812</v>
      </c>
      <c r="H2885" s="48">
        <f>IF(NOT(ISBLANK(vlookup(B2885,Pop_Census_2023!$A$2:$E$3220,4,FALSE))),vlookup(B2885,Pop_Census_2023!$A$2:$E$3220,4,FALSE), vlookup(B2885,Pop_Census_2023!$A$2:$E$3220,5,FALSE))</f>
        <v>1185813</v>
      </c>
    </row>
    <row r="2886">
      <c r="A2886" s="47" t="s">
        <v>3687</v>
      </c>
      <c r="B2886" s="47">
        <v>49037.0</v>
      </c>
      <c r="C2886" s="47">
        <v>5.0</v>
      </c>
      <c r="D2886" s="47" t="s">
        <v>4053</v>
      </c>
      <c r="E2886" s="47" t="str">
        <f t="shared" si="1"/>
        <v>5B</v>
      </c>
      <c r="F2886" s="47" t="s">
        <v>4054</v>
      </c>
      <c r="G2886" s="47" t="s">
        <v>388</v>
      </c>
      <c r="H2886" s="48">
        <f>IF(NOT(ISBLANK(vlookup(B2886,Pop_Census_2023!$A$2:$E$3220,4,FALSE))),vlookup(B2886,Pop_Census_2023!$A$2:$E$3220,4,FALSE), vlookup(B2886,Pop_Census_2023!$A$2:$E$3220,5,FALSE))</f>
        <v>14358</v>
      </c>
    </row>
    <row r="2887">
      <c r="A2887" s="47" t="s">
        <v>3687</v>
      </c>
      <c r="B2887" s="47">
        <v>49039.0</v>
      </c>
      <c r="C2887" s="47">
        <v>5.0</v>
      </c>
      <c r="D2887" s="47" t="s">
        <v>4053</v>
      </c>
      <c r="E2887" s="47" t="str">
        <f t="shared" si="1"/>
        <v>5B</v>
      </c>
      <c r="F2887" s="47" t="s">
        <v>4054</v>
      </c>
      <c r="G2887" s="47" t="s">
        <v>1813</v>
      </c>
      <c r="H2887" s="48">
        <f>IF(NOT(ISBLANK(vlookup(B2887,Pop_Census_2023!$A$2:$E$3220,4,FALSE))),vlookup(B2887,Pop_Census_2023!$A$2:$E$3220,4,FALSE), vlookup(B2887,Pop_Census_2023!$A$2:$E$3220,5,FALSE))</f>
        <v>30277</v>
      </c>
    </row>
    <row r="2888">
      <c r="A2888" s="47" t="s">
        <v>3687</v>
      </c>
      <c r="B2888" s="47">
        <v>49041.0</v>
      </c>
      <c r="C2888" s="47">
        <v>5.0</v>
      </c>
      <c r="D2888" s="47" t="s">
        <v>4053</v>
      </c>
      <c r="E2888" s="47" t="str">
        <f t="shared" si="1"/>
        <v>5B</v>
      </c>
      <c r="F2888" s="47" t="s">
        <v>4054</v>
      </c>
      <c r="G2888" s="47" t="s">
        <v>270</v>
      </c>
      <c r="H2888" s="48">
        <f>IF(NOT(ISBLANK(vlookup(B2888,Pop_Census_2023!$A$2:$E$3220,4,FALSE))),vlookup(B2888,Pop_Census_2023!$A$2:$E$3220,4,FALSE), vlookup(B2888,Pop_Census_2023!$A$2:$E$3220,5,FALSE))</f>
        <v>22344</v>
      </c>
    </row>
    <row r="2889">
      <c r="A2889" s="47" t="s">
        <v>3687</v>
      </c>
      <c r="B2889" s="47">
        <v>49043.0</v>
      </c>
      <c r="C2889" s="47">
        <v>6.0</v>
      </c>
      <c r="D2889" s="47" t="s">
        <v>4053</v>
      </c>
      <c r="E2889" s="47" t="str">
        <f t="shared" si="1"/>
        <v>6B</v>
      </c>
      <c r="F2889" s="47" t="s">
        <v>4054</v>
      </c>
      <c r="G2889" s="47" t="s">
        <v>391</v>
      </c>
      <c r="H2889" s="48">
        <f>IF(NOT(ISBLANK(vlookup(B2889,Pop_Census_2023!$A$2:$E$3220,4,FALSE))),vlookup(B2889,Pop_Census_2023!$A$2:$E$3220,4,FALSE), vlookup(B2889,Pop_Census_2023!$A$2:$E$3220,5,FALSE))</f>
        <v>42759</v>
      </c>
    </row>
    <row r="2890">
      <c r="A2890" s="47" t="s">
        <v>3687</v>
      </c>
      <c r="B2890" s="47">
        <v>49045.0</v>
      </c>
      <c r="C2890" s="47">
        <v>5.0</v>
      </c>
      <c r="D2890" s="47" t="s">
        <v>4053</v>
      </c>
      <c r="E2890" s="47" t="str">
        <f t="shared" si="1"/>
        <v>5B</v>
      </c>
      <c r="F2890" s="47" t="s">
        <v>4054</v>
      </c>
      <c r="G2890" s="47" t="s">
        <v>1814</v>
      </c>
      <c r="H2890" s="48">
        <f>IF(NOT(ISBLANK(vlookup(B2890,Pop_Census_2023!$A$2:$E$3220,4,FALSE))),vlookup(B2890,Pop_Census_2023!$A$2:$E$3220,4,FALSE), vlookup(B2890,Pop_Census_2023!$A$2:$E$3220,5,FALSE))</f>
        <v>82051</v>
      </c>
    </row>
    <row r="2891">
      <c r="A2891" s="47" t="s">
        <v>3687</v>
      </c>
      <c r="B2891" s="47">
        <v>49047.0</v>
      </c>
      <c r="C2891" s="47">
        <v>6.0</v>
      </c>
      <c r="D2891" s="47" t="s">
        <v>4053</v>
      </c>
      <c r="E2891" s="47" t="str">
        <f t="shared" si="1"/>
        <v>6B</v>
      </c>
      <c r="F2891" s="47" t="s">
        <v>4054</v>
      </c>
      <c r="G2891" s="47" t="s">
        <v>1815</v>
      </c>
      <c r="H2891" s="48">
        <f>IF(NOT(ISBLANK(vlookup(B2891,Pop_Census_2023!$A$2:$E$3220,4,FALSE))),vlookup(B2891,Pop_Census_2023!$A$2:$E$3220,4,FALSE), vlookup(B2891,Pop_Census_2023!$A$2:$E$3220,5,FALSE))</f>
        <v>37747</v>
      </c>
    </row>
    <row r="2892">
      <c r="A2892" s="47" t="s">
        <v>3687</v>
      </c>
      <c r="B2892" s="47">
        <v>49049.0</v>
      </c>
      <c r="C2892" s="47">
        <v>5.0</v>
      </c>
      <c r="D2892" s="47" t="s">
        <v>4053</v>
      </c>
      <c r="E2892" s="47" t="str">
        <f t="shared" si="1"/>
        <v>5B</v>
      </c>
      <c r="F2892" s="47" t="s">
        <v>4054</v>
      </c>
      <c r="G2892" s="47" t="s">
        <v>1802</v>
      </c>
      <c r="H2892" s="48">
        <f>IF(NOT(ISBLANK(vlookup(B2892,Pop_Census_2023!$A$2:$E$3220,4,FALSE))),vlookup(B2892,Pop_Census_2023!$A$2:$E$3220,4,FALSE), vlookup(B2892,Pop_Census_2023!$A$2:$E$3220,5,FALSE))</f>
        <v>719174</v>
      </c>
    </row>
    <row r="2893">
      <c r="A2893" s="47" t="s">
        <v>3687</v>
      </c>
      <c r="B2893" s="47">
        <v>49051.0</v>
      </c>
      <c r="C2893" s="47">
        <v>6.0</v>
      </c>
      <c r="D2893" s="47" t="s">
        <v>4053</v>
      </c>
      <c r="E2893" s="47" t="str">
        <f t="shared" si="1"/>
        <v>6B</v>
      </c>
      <c r="F2893" s="47" t="s">
        <v>4054</v>
      </c>
      <c r="G2893" s="47" t="s">
        <v>1816</v>
      </c>
      <c r="H2893" s="48">
        <f>IF(NOT(ISBLANK(vlookup(B2893,Pop_Census_2023!$A$2:$E$3220,4,FALSE))),vlookup(B2893,Pop_Census_2023!$A$2:$E$3220,4,FALSE), vlookup(B2893,Pop_Census_2023!$A$2:$E$3220,5,FALSE))</f>
        <v>37144</v>
      </c>
    </row>
    <row r="2894">
      <c r="A2894" s="47" t="s">
        <v>3687</v>
      </c>
      <c r="B2894" s="47">
        <v>49053.0</v>
      </c>
      <c r="C2894" s="47">
        <v>3.0</v>
      </c>
      <c r="D2894" s="47" t="s">
        <v>4053</v>
      </c>
      <c r="E2894" s="47" t="str">
        <f t="shared" si="1"/>
        <v>3B</v>
      </c>
      <c r="F2894" s="47" t="s">
        <v>4055</v>
      </c>
      <c r="G2894" s="47" t="s">
        <v>167</v>
      </c>
      <c r="H2894" s="48">
        <f>IF(NOT(ISBLANK(vlookup(B2894,Pop_Census_2023!$A$2:$E$3220,4,FALSE))),vlookup(B2894,Pop_Census_2023!$A$2:$E$3220,4,FALSE), vlookup(B2894,Pop_Census_2023!$A$2:$E$3220,5,FALSE))</f>
        <v>202452</v>
      </c>
    </row>
    <row r="2895">
      <c r="A2895" s="47" t="s">
        <v>3687</v>
      </c>
      <c r="B2895" s="47">
        <v>49055.0</v>
      </c>
      <c r="C2895" s="47">
        <v>5.0</v>
      </c>
      <c r="D2895" s="47" t="s">
        <v>4053</v>
      </c>
      <c r="E2895" s="47" t="str">
        <f t="shared" si="1"/>
        <v>5B</v>
      </c>
      <c r="F2895" s="47" t="s">
        <v>4054</v>
      </c>
      <c r="G2895" s="47" t="s">
        <v>562</v>
      </c>
      <c r="H2895" s="48">
        <f>IF(NOT(ISBLANK(vlookup(B2895,Pop_Census_2023!$A$2:$E$3220,4,FALSE))),vlookup(B2895,Pop_Census_2023!$A$2:$E$3220,4,FALSE), vlookup(B2895,Pop_Census_2023!$A$2:$E$3220,5,FALSE))</f>
        <v>2614</v>
      </c>
    </row>
    <row r="2896">
      <c r="A2896" s="47" t="s">
        <v>3687</v>
      </c>
      <c r="B2896" s="47">
        <v>49057.0</v>
      </c>
      <c r="C2896" s="47">
        <v>5.0</v>
      </c>
      <c r="D2896" s="47" t="s">
        <v>4053</v>
      </c>
      <c r="E2896" s="47" t="str">
        <f t="shared" si="1"/>
        <v>5B</v>
      </c>
      <c r="F2896" s="47" t="s">
        <v>4054</v>
      </c>
      <c r="G2896" s="47" t="s">
        <v>1817</v>
      </c>
      <c r="H2896" s="48">
        <f>IF(NOT(ISBLANK(vlookup(B2896,Pop_Census_2023!$A$2:$E$3220,4,FALSE))),vlookup(B2896,Pop_Census_2023!$A$2:$E$3220,4,FALSE), vlookup(B2896,Pop_Census_2023!$A$2:$E$3220,5,FALSE))</f>
        <v>271926</v>
      </c>
    </row>
    <row r="2897">
      <c r="A2897" s="47" t="s">
        <v>3713</v>
      </c>
      <c r="B2897" s="47">
        <v>51001.0</v>
      </c>
      <c r="C2897" s="47">
        <v>4.0</v>
      </c>
      <c r="D2897" s="47" t="s">
        <v>4044</v>
      </c>
      <c r="E2897" s="47" t="str">
        <f t="shared" si="1"/>
        <v>4A</v>
      </c>
      <c r="F2897" s="47" t="s">
        <v>4046</v>
      </c>
      <c r="G2897" s="47" t="s">
        <v>1827</v>
      </c>
      <c r="H2897" s="48">
        <f>IF(NOT(ISBLANK(vlookup(B2897,Pop_Census_2023!$A$2:$E$3220,4,FALSE))),vlookup(B2897,Pop_Census_2023!$A$2:$E$3220,4,FALSE), vlookup(B2897,Pop_Census_2023!$A$2:$E$3220,5,FALSE))</f>
        <v>33239</v>
      </c>
    </row>
    <row r="2898">
      <c r="A2898" s="47" t="s">
        <v>3713</v>
      </c>
      <c r="B2898" s="47">
        <v>51003.0</v>
      </c>
      <c r="C2898" s="47">
        <v>4.0</v>
      </c>
      <c r="D2898" s="47" t="s">
        <v>4044</v>
      </c>
      <c r="E2898" s="47" t="str">
        <f t="shared" si="1"/>
        <v>4A</v>
      </c>
      <c r="F2898" s="47" t="s">
        <v>4046</v>
      </c>
      <c r="G2898" s="47" t="s">
        <v>1829</v>
      </c>
      <c r="H2898" s="48">
        <f>IF(NOT(ISBLANK(vlookup(B2898,Pop_Census_2023!$A$2:$E$3220,4,FALSE))),vlookup(B2898,Pop_Census_2023!$A$2:$E$3220,4,FALSE), vlookup(B2898,Pop_Census_2023!$A$2:$E$3220,5,FALSE))</f>
        <v>115676</v>
      </c>
    </row>
    <row r="2899">
      <c r="A2899" s="47" t="s">
        <v>3713</v>
      </c>
      <c r="B2899" s="47">
        <v>51510.0</v>
      </c>
      <c r="C2899" s="47">
        <v>4.0</v>
      </c>
      <c r="D2899" s="47" t="s">
        <v>4044</v>
      </c>
      <c r="E2899" s="47" t="str">
        <f t="shared" si="1"/>
        <v>4A</v>
      </c>
      <c r="F2899" s="47" t="s">
        <v>4046</v>
      </c>
      <c r="G2899" s="47" t="s">
        <v>4151</v>
      </c>
      <c r="H2899" s="48">
        <f>IF(NOT(ISBLANK(vlookup(B2899,Pop_Census_2023!$A$2:$E$3220,4,FALSE))),vlookup(B2899,Pop_Census_2023!$A$2:$E$3220,4,FALSE), vlookup(B2899,Pop_Census_2023!$A$2:$E$3220,5,FALSE))</f>
        <v>155230</v>
      </c>
    </row>
    <row r="2900">
      <c r="A2900" s="47" t="s">
        <v>3713</v>
      </c>
      <c r="B2900" s="47">
        <v>51005.0</v>
      </c>
      <c r="C2900" s="47">
        <v>4.0</v>
      </c>
      <c r="D2900" s="47" t="s">
        <v>4044</v>
      </c>
      <c r="E2900" s="47" t="str">
        <f t="shared" si="1"/>
        <v>4A</v>
      </c>
      <c r="F2900" s="47" t="s">
        <v>4046</v>
      </c>
      <c r="G2900" s="47" t="s">
        <v>1327</v>
      </c>
      <c r="H2900" s="48">
        <f>IF(NOT(ISBLANK(vlookup(B2900,Pop_Census_2023!$A$2:$E$3220,4,FALSE))),vlookup(B2900,Pop_Census_2023!$A$2:$E$3220,4,FALSE), vlookup(B2900,Pop_Census_2023!$A$2:$E$3220,5,FALSE))</f>
        <v>14595</v>
      </c>
    </row>
    <row r="2901">
      <c r="A2901" s="47" t="s">
        <v>3713</v>
      </c>
      <c r="B2901" s="47">
        <v>51007.0</v>
      </c>
      <c r="C2901" s="47">
        <v>4.0</v>
      </c>
      <c r="D2901" s="47" t="s">
        <v>4044</v>
      </c>
      <c r="E2901" s="47" t="str">
        <f t="shared" si="1"/>
        <v>4A</v>
      </c>
      <c r="F2901" s="47" t="s">
        <v>4046</v>
      </c>
      <c r="G2901" s="47" t="s">
        <v>1830</v>
      </c>
      <c r="H2901" s="48">
        <f>IF(NOT(ISBLANK(vlookup(B2901,Pop_Census_2023!$A$2:$E$3220,4,FALSE))),vlookup(B2901,Pop_Census_2023!$A$2:$E$3220,4,FALSE), vlookup(B2901,Pop_Census_2023!$A$2:$E$3220,5,FALSE))</f>
        <v>13480</v>
      </c>
    </row>
    <row r="2902">
      <c r="A2902" s="47" t="s">
        <v>3713</v>
      </c>
      <c r="B2902" s="47">
        <v>51009.0</v>
      </c>
      <c r="C2902" s="47">
        <v>4.0</v>
      </c>
      <c r="D2902" s="47" t="s">
        <v>4044</v>
      </c>
      <c r="E2902" s="47" t="str">
        <f t="shared" si="1"/>
        <v>4A</v>
      </c>
      <c r="F2902" s="47" t="s">
        <v>4046</v>
      </c>
      <c r="G2902" s="47" t="s">
        <v>1831</v>
      </c>
      <c r="H2902" s="48">
        <f>IF(NOT(ISBLANK(vlookup(B2902,Pop_Census_2023!$A$2:$E$3220,4,FALSE))),vlookup(B2902,Pop_Census_2023!$A$2:$E$3220,4,FALSE), vlookup(B2902,Pop_Census_2023!$A$2:$E$3220,5,FALSE))</f>
        <v>31396</v>
      </c>
    </row>
    <row r="2903">
      <c r="A2903" s="47" t="s">
        <v>3713</v>
      </c>
      <c r="B2903" s="47">
        <v>51011.0</v>
      </c>
      <c r="C2903" s="47">
        <v>4.0</v>
      </c>
      <c r="D2903" s="47" t="s">
        <v>4044</v>
      </c>
      <c r="E2903" s="47" t="str">
        <f t="shared" si="1"/>
        <v>4A</v>
      </c>
      <c r="F2903" s="47" t="s">
        <v>4046</v>
      </c>
      <c r="G2903" s="47" t="s">
        <v>1832</v>
      </c>
      <c r="H2903" s="48">
        <f>IF(NOT(ISBLANK(vlookup(B2903,Pop_Census_2023!$A$2:$E$3220,4,FALSE))),vlookup(B2903,Pop_Census_2023!$A$2:$E$3220,4,FALSE), vlookup(B2903,Pop_Census_2023!$A$2:$E$3220,5,FALSE))</f>
        <v>16864</v>
      </c>
    </row>
    <row r="2904">
      <c r="A2904" s="47" t="s">
        <v>3713</v>
      </c>
      <c r="B2904" s="47">
        <v>51013.0</v>
      </c>
      <c r="C2904" s="47">
        <v>4.0</v>
      </c>
      <c r="D2904" s="47" t="s">
        <v>4044</v>
      </c>
      <c r="E2904" s="47" t="str">
        <f t="shared" si="1"/>
        <v>4A</v>
      </c>
      <c r="F2904" s="47" t="s">
        <v>4046</v>
      </c>
      <c r="G2904" s="47" t="s">
        <v>1833</v>
      </c>
      <c r="H2904" s="48">
        <f>IF(NOT(ISBLANK(vlookup(B2904,Pop_Census_2023!$A$2:$E$3220,4,FALSE))),vlookup(B2904,Pop_Census_2023!$A$2:$E$3220,4,FALSE), vlookup(B2904,Pop_Census_2023!$A$2:$E$3220,5,FALSE))</f>
        <v>234162</v>
      </c>
    </row>
    <row r="2905">
      <c r="A2905" s="47" t="s">
        <v>3713</v>
      </c>
      <c r="B2905" s="47">
        <v>51015.0</v>
      </c>
      <c r="C2905" s="47">
        <v>4.0</v>
      </c>
      <c r="D2905" s="47" t="s">
        <v>4044</v>
      </c>
      <c r="E2905" s="47" t="str">
        <f t="shared" si="1"/>
        <v>4A</v>
      </c>
      <c r="F2905" s="47" t="s">
        <v>4046</v>
      </c>
      <c r="G2905" s="47" t="s">
        <v>1834</v>
      </c>
      <c r="H2905" s="48">
        <f>IF(NOT(ISBLANK(vlookup(B2905,Pop_Census_2023!$A$2:$E$3220,4,FALSE))),vlookup(B2905,Pop_Census_2023!$A$2:$E$3220,4,FALSE), vlookup(B2905,Pop_Census_2023!$A$2:$E$3220,5,FALSE))</f>
        <v>78247</v>
      </c>
    </row>
    <row r="2906">
      <c r="A2906" s="47" t="s">
        <v>3713</v>
      </c>
      <c r="B2906" s="47">
        <v>51017.0</v>
      </c>
      <c r="C2906" s="47">
        <v>4.0</v>
      </c>
      <c r="D2906" s="47" t="s">
        <v>4044</v>
      </c>
      <c r="E2906" s="47" t="str">
        <f t="shared" si="1"/>
        <v>4A</v>
      </c>
      <c r="F2906" s="47" t="s">
        <v>4046</v>
      </c>
      <c r="G2906" s="47" t="s">
        <v>821</v>
      </c>
      <c r="H2906" s="48">
        <f>IF(NOT(ISBLANK(vlookup(B2906,Pop_Census_2023!$A$2:$E$3220,4,FALSE))),vlookup(B2906,Pop_Census_2023!$A$2:$E$3220,4,FALSE), vlookup(B2906,Pop_Census_2023!$A$2:$E$3220,5,FALSE))</f>
        <v>4051</v>
      </c>
    </row>
    <row r="2907">
      <c r="A2907" s="47" t="s">
        <v>3713</v>
      </c>
      <c r="B2907" s="47">
        <v>51019.0</v>
      </c>
      <c r="C2907" s="47">
        <v>4.0</v>
      </c>
      <c r="D2907" s="47" t="s">
        <v>4044</v>
      </c>
      <c r="E2907" s="47" t="str">
        <f t="shared" si="1"/>
        <v>4A</v>
      </c>
      <c r="F2907" s="47" t="s">
        <v>4046</v>
      </c>
      <c r="G2907" s="47" t="s">
        <v>1517</v>
      </c>
      <c r="H2907" s="48">
        <f>IF(NOT(ISBLANK(vlookup(B2907,Pop_Census_2023!$A$2:$E$3220,4,FALSE))),vlookup(B2907,Pop_Census_2023!$A$2:$E$3220,4,FALSE), vlookup(B2907,Pop_Census_2023!$A$2:$E$3220,5,FALSE))</f>
        <v>81525</v>
      </c>
    </row>
    <row r="2908">
      <c r="A2908" s="47" t="s">
        <v>3713</v>
      </c>
      <c r="B2908" s="47">
        <v>51515.0</v>
      </c>
      <c r="C2908" s="47">
        <v>4.0</v>
      </c>
      <c r="D2908" s="47" t="s">
        <v>4044</v>
      </c>
      <c r="E2908" s="47" t="str">
        <f t="shared" si="1"/>
        <v>4A</v>
      </c>
      <c r="F2908" s="47" t="s">
        <v>4046</v>
      </c>
      <c r="G2908" s="47" t="s">
        <v>4152</v>
      </c>
      <c r="H2908" s="34" t="str">
        <f>IF(NOT(ISBLANK(vlookup(B2908,Pop_Census_2023!$A$2:$E$3220,4,FALSE))),vlookup(B2908,Pop_Census_2023!$A$2:$E$3220,4,FALSE), vlookup(B2908,Pop_Census_2023!$A$2:$E$3220,5,FALSE))</f>
        <v>#N/A</v>
      </c>
    </row>
    <row r="2909">
      <c r="A2909" s="47" t="s">
        <v>3713</v>
      </c>
      <c r="B2909" s="47">
        <v>51021.0</v>
      </c>
      <c r="C2909" s="47">
        <v>4.0</v>
      </c>
      <c r="D2909" s="47" t="s">
        <v>4044</v>
      </c>
      <c r="E2909" s="47" t="str">
        <f t="shared" si="1"/>
        <v>4A</v>
      </c>
      <c r="F2909" s="47" t="s">
        <v>4046</v>
      </c>
      <c r="G2909" s="47" t="s">
        <v>1835</v>
      </c>
      <c r="H2909" s="48">
        <f>IF(NOT(ISBLANK(vlookup(B2909,Pop_Census_2023!$A$2:$E$3220,4,FALSE))),vlookup(B2909,Pop_Census_2023!$A$2:$E$3220,4,FALSE), vlookup(B2909,Pop_Census_2023!$A$2:$E$3220,5,FALSE))</f>
        <v>6179</v>
      </c>
    </row>
    <row r="2910">
      <c r="A2910" s="47" t="s">
        <v>3713</v>
      </c>
      <c r="B2910" s="47">
        <v>51023.0</v>
      </c>
      <c r="C2910" s="47">
        <v>4.0</v>
      </c>
      <c r="D2910" s="47" t="s">
        <v>4044</v>
      </c>
      <c r="E2910" s="47" t="str">
        <f t="shared" si="1"/>
        <v>4A</v>
      </c>
      <c r="F2910" s="47" t="s">
        <v>4046</v>
      </c>
      <c r="G2910" s="47" t="s">
        <v>1836</v>
      </c>
      <c r="H2910" s="48">
        <f>IF(NOT(ISBLANK(vlookup(B2910,Pop_Census_2023!$A$2:$E$3220,4,FALSE))),vlookup(B2910,Pop_Census_2023!$A$2:$E$3220,4,FALSE), vlookup(B2910,Pop_Census_2023!$A$2:$E$3220,5,FALSE))</f>
        <v>34125</v>
      </c>
    </row>
    <row r="2911">
      <c r="A2911" s="47" t="s">
        <v>3713</v>
      </c>
      <c r="B2911" s="47">
        <v>51520.0</v>
      </c>
      <c r="C2911" s="47">
        <v>4.0</v>
      </c>
      <c r="D2911" s="47" t="s">
        <v>4044</v>
      </c>
      <c r="E2911" s="47" t="str">
        <f t="shared" si="1"/>
        <v>4A</v>
      </c>
      <c r="F2911" s="47" t="s">
        <v>4046</v>
      </c>
      <c r="G2911" s="47" t="s">
        <v>4153</v>
      </c>
      <c r="H2911" s="48">
        <f>IF(NOT(ISBLANK(vlookup(B2911,Pop_Census_2023!$A$2:$E$3220,4,FALSE))),vlookup(B2911,Pop_Census_2023!$A$2:$E$3220,4,FALSE), vlookup(B2911,Pop_Census_2023!$A$2:$E$3220,5,FALSE))</f>
        <v>16807</v>
      </c>
    </row>
    <row r="2912">
      <c r="A2912" s="47" t="s">
        <v>3713</v>
      </c>
      <c r="B2912" s="47">
        <v>51025.0</v>
      </c>
      <c r="C2912" s="47">
        <v>4.0</v>
      </c>
      <c r="D2912" s="47" t="s">
        <v>4044</v>
      </c>
      <c r="E2912" s="47" t="str">
        <f t="shared" si="1"/>
        <v>4A</v>
      </c>
      <c r="F2912" s="47" t="s">
        <v>4046</v>
      </c>
      <c r="G2912" s="47" t="s">
        <v>1334</v>
      </c>
      <c r="H2912" s="48">
        <f>IF(NOT(ISBLANK(vlookup(B2912,Pop_Census_2023!$A$2:$E$3220,4,FALSE))),vlookup(B2912,Pop_Census_2023!$A$2:$E$3220,4,FALSE), vlookup(B2912,Pop_Census_2023!$A$2:$E$3220,5,FALSE))</f>
        <v>15749</v>
      </c>
    </row>
    <row r="2913">
      <c r="A2913" s="47" t="s">
        <v>3713</v>
      </c>
      <c r="B2913" s="47">
        <v>51027.0</v>
      </c>
      <c r="C2913" s="47">
        <v>4.0</v>
      </c>
      <c r="D2913" s="47" t="s">
        <v>4044</v>
      </c>
      <c r="E2913" s="47" t="str">
        <f t="shared" si="1"/>
        <v>4A</v>
      </c>
      <c r="F2913" s="47" t="s">
        <v>4046</v>
      </c>
      <c r="G2913" s="47" t="s">
        <v>712</v>
      </c>
      <c r="H2913" s="48">
        <f>IF(NOT(ISBLANK(vlookup(B2913,Pop_Census_2023!$A$2:$E$3220,4,FALSE))),vlookup(B2913,Pop_Census_2023!$A$2:$E$3220,4,FALSE), vlookup(B2913,Pop_Census_2023!$A$2:$E$3220,5,FALSE))</f>
        <v>19087</v>
      </c>
    </row>
    <row r="2914">
      <c r="A2914" s="47" t="s">
        <v>3713</v>
      </c>
      <c r="B2914" s="47">
        <v>51029.0</v>
      </c>
      <c r="C2914" s="47">
        <v>4.0</v>
      </c>
      <c r="D2914" s="47" t="s">
        <v>4044</v>
      </c>
      <c r="E2914" s="47" t="str">
        <f t="shared" si="1"/>
        <v>4A</v>
      </c>
      <c r="F2914" s="47" t="s">
        <v>4046</v>
      </c>
      <c r="G2914" s="47" t="s">
        <v>1837</v>
      </c>
      <c r="H2914" s="48">
        <f>IF(NOT(ISBLANK(vlookup(B2914,Pop_Census_2023!$A$2:$E$3220,4,FALSE))),vlookup(B2914,Pop_Census_2023!$A$2:$E$3220,4,FALSE), vlookup(B2914,Pop_Census_2023!$A$2:$E$3220,5,FALSE))</f>
        <v>16978</v>
      </c>
    </row>
    <row r="2915">
      <c r="A2915" s="47" t="s">
        <v>3713</v>
      </c>
      <c r="B2915" s="47">
        <v>51530.0</v>
      </c>
      <c r="C2915" s="47">
        <v>4.0</v>
      </c>
      <c r="D2915" s="47" t="s">
        <v>4044</v>
      </c>
      <c r="E2915" s="47" t="str">
        <f t="shared" si="1"/>
        <v>4A</v>
      </c>
      <c r="F2915" s="47" t="s">
        <v>4046</v>
      </c>
      <c r="G2915" s="47" t="s">
        <v>4154</v>
      </c>
      <c r="H2915" s="48">
        <f>IF(NOT(ISBLANK(vlookup(B2915,Pop_Census_2023!$A$2:$E$3220,4,FALSE))),vlookup(B2915,Pop_Census_2023!$A$2:$E$3220,4,FALSE), vlookup(B2915,Pop_Census_2023!$A$2:$E$3220,5,FALSE))</f>
        <v>6566</v>
      </c>
    </row>
    <row r="2916">
      <c r="A2916" s="47" t="s">
        <v>3713</v>
      </c>
      <c r="B2916" s="47">
        <v>51031.0</v>
      </c>
      <c r="C2916" s="47">
        <v>4.0</v>
      </c>
      <c r="D2916" s="47" t="s">
        <v>4044</v>
      </c>
      <c r="E2916" s="47" t="str">
        <f t="shared" si="1"/>
        <v>4A</v>
      </c>
      <c r="F2916" s="47" t="s">
        <v>4046</v>
      </c>
      <c r="G2916" s="47" t="s">
        <v>831</v>
      </c>
      <c r="H2916" s="48">
        <f>IF(NOT(ISBLANK(vlookup(B2916,Pop_Census_2023!$A$2:$E$3220,4,FALSE))),vlookup(B2916,Pop_Census_2023!$A$2:$E$3220,4,FALSE), vlookup(B2916,Pop_Census_2023!$A$2:$E$3220,5,FALSE))</f>
        <v>55270</v>
      </c>
    </row>
    <row r="2917">
      <c r="A2917" s="47" t="s">
        <v>3713</v>
      </c>
      <c r="B2917" s="47">
        <v>51033.0</v>
      </c>
      <c r="C2917" s="47">
        <v>4.0</v>
      </c>
      <c r="D2917" s="47" t="s">
        <v>4044</v>
      </c>
      <c r="E2917" s="47" t="str">
        <f t="shared" si="1"/>
        <v>4A</v>
      </c>
      <c r="F2917" s="47" t="s">
        <v>4046</v>
      </c>
      <c r="G2917" s="47" t="s">
        <v>938</v>
      </c>
      <c r="H2917" s="48">
        <f>IF(NOT(ISBLANK(vlookup(B2917,Pop_Census_2023!$A$2:$E$3220,4,FALSE))),vlookup(B2917,Pop_Census_2023!$A$2:$E$3220,4,FALSE), vlookup(B2917,Pop_Census_2023!$A$2:$E$3220,5,FALSE))</f>
        <v>32640</v>
      </c>
    </row>
    <row r="2918">
      <c r="A2918" s="47" t="s">
        <v>3713</v>
      </c>
      <c r="B2918" s="47">
        <v>51035.0</v>
      </c>
      <c r="C2918" s="47">
        <v>4.0</v>
      </c>
      <c r="D2918" s="47" t="s">
        <v>4044</v>
      </c>
      <c r="E2918" s="47" t="str">
        <f t="shared" si="1"/>
        <v>4A</v>
      </c>
      <c r="F2918" s="47" t="s">
        <v>4046</v>
      </c>
      <c r="G2918" s="47" t="s">
        <v>227</v>
      </c>
      <c r="H2918" s="48">
        <f>IF(NOT(ISBLANK(vlookup(B2918,Pop_Census_2023!$A$2:$E$3220,4,FALSE))),vlookup(B2918,Pop_Census_2023!$A$2:$E$3220,4,FALSE), vlookup(B2918,Pop_Census_2023!$A$2:$E$3220,5,FALSE))</f>
        <v>29239</v>
      </c>
    </row>
    <row r="2919">
      <c r="A2919" s="47" t="s">
        <v>3713</v>
      </c>
      <c r="B2919" s="47">
        <v>51036.0</v>
      </c>
      <c r="C2919" s="47">
        <v>4.0</v>
      </c>
      <c r="D2919" s="47" t="s">
        <v>4044</v>
      </c>
      <c r="E2919" s="47" t="str">
        <f t="shared" si="1"/>
        <v>4A</v>
      </c>
      <c r="F2919" s="47" t="s">
        <v>4046</v>
      </c>
      <c r="G2919" s="47" t="s">
        <v>1838</v>
      </c>
      <c r="H2919" s="48">
        <f>IF(NOT(ISBLANK(vlookup(B2919,Pop_Census_2023!$A$2:$E$3220,4,FALSE))),vlookup(B2919,Pop_Census_2023!$A$2:$E$3220,4,FALSE), vlookup(B2919,Pop_Census_2023!$A$2:$E$3220,5,FALSE))</f>
        <v>6610</v>
      </c>
    </row>
    <row r="2920">
      <c r="A2920" s="47" t="s">
        <v>3713</v>
      </c>
      <c r="B2920" s="47">
        <v>51037.0</v>
      </c>
      <c r="C2920" s="47">
        <v>4.0</v>
      </c>
      <c r="D2920" s="47" t="s">
        <v>4044</v>
      </c>
      <c r="E2920" s="47" t="str">
        <f t="shared" si="1"/>
        <v>4A</v>
      </c>
      <c r="F2920" s="47" t="s">
        <v>4046</v>
      </c>
      <c r="G2920" s="47" t="s">
        <v>417</v>
      </c>
      <c r="H2920" s="48">
        <f>IF(NOT(ISBLANK(vlookup(B2920,Pop_Census_2023!$A$2:$E$3220,4,FALSE))),vlookup(B2920,Pop_Census_2023!$A$2:$E$3220,4,FALSE), vlookup(B2920,Pop_Census_2023!$A$2:$E$3220,5,FALSE))</f>
        <v>11336</v>
      </c>
    </row>
    <row r="2921">
      <c r="A2921" s="47" t="s">
        <v>3713</v>
      </c>
      <c r="B2921" s="47">
        <v>51540.0</v>
      </c>
      <c r="C2921" s="47">
        <v>4.0</v>
      </c>
      <c r="D2921" s="47" t="s">
        <v>4044</v>
      </c>
      <c r="E2921" s="47" t="str">
        <f t="shared" si="1"/>
        <v>4A</v>
      </c>
      <c r="F2921" s="47" t="s">
        <v>4046</v>
      </c>
      <c r="G2921" s="47" t="s">
        <v>4155</v>
      </c>
      <c r="H2921" s="48">
        <f>IF(NOT(ISBLANK(vlookup(B2921,Pop_Census_2023!$A$2:$E$3220,4,FALSE))),vlookup(B2921,Pop_Census_2023!$A$2:$E$3220,4,FALSE), vlookup(B2921,Pop_Census_2023!$A$2:$E$3220,5,FALSE))</f>
        <v>44983</v>
      </c>
    </row>
    <row r="2922">
      <c r="A2922" s="47" t="s">
        <v>3713</v>
      </c>
      <c r="B2922" s="47">
        <v>51550.0</v>
      </c>
      <c r="C2922" s="47">
        <v>4.0</v>
      </c>
      <c r="D2922" s="47" t="s">
        <v>4044</v>
      </c>
      <c r="E2922" s="47" t="str">
        <f t="shared" si="1"/>
        <v>4A</v>
      </c>
      <c r="F2922" s="47" t="s">
        <v>4046</v>
      </c>
      <c r="G2922" s="47" t="s">
        <v>4156</v>
      </c>
      <c r="H2922" s="48">
        <f>IF(NOT(ISBLANK(vlookup(B2922,Pop_Census_2023!$A$2:$E$3220,4,FALSE))),vlookup(B2922,Pop_Census_2023!$A$2:$E$3220,4,FALSE), vlookup(B2922,Pop_Census_2023!$A$2:$E$3220,5,FALSE))</f>
        <v>253886</v>
      </c>
    </row>
    <row r="2923">
      <c r="A2923" s="47" t="s">
        <v>3713</v>
      </c>
      <c r="B2923" s="47">
        <v>51041.0</v>
      </c>
      <c r="C2923" s="47">
        <v>4.0</v>
      </c>
      <c r="D2923" s="47" t="s">
        <v>4044</v>
      </c>
      <c r="E2923" s="47" t="str">
        <f t="shared" si="1"/>
        <v>4A</v>
      </c>
      <c r="F2923" s="47" t="s">
        <v>4046</v>
      </c>
      <c r="G2923" s="47" t="s">
        <v>1557</v>
      </c>
      <c r="H2923" s="48">
        <f>IF(NOT(ISBLANK(vlookup(B2923,Pop_Census_2023!$A$2:$E$3220,4,FALSE))),vlookup(B2923,Pop_Census_2023!$A$2:$E$3220,4,FALSE), vlookup(B2923,Pop_Census_2023!$A$2:$E$3220,5,FALSE))</f>
        <v>383876</v>
      </c>
    </row>
    <row r="2924">
      <c r="A2924" s="47" t="s">
        <v>3713</v>
      </c>
      <c r="B2924" s="47">
        <v>51043.0</v>
      </c>
      <c r="C2924" s="47">
        <v>4.0</v>
      </c>
      <c r="D2924" s="47" t="s">
        <v>4044</v>
      </c>
      <c r="E2924" s="47" t="str">
        <f t="shared" si="1"/>
        <v>4A</v>
      </c>
      <c r="F2924" s="47" t="s">
        <v>4046</v>
      </c>
      <c r="G2924" s="47" t="s">
        <v>115</v>
      </c>
      <c r="H2924" s="48">
        <f>IF(NOT(ISBLANK(vlookup(B2924,Pop_Census_2023!$A$2:$E$3220,4,FALSE))),vlookup(B2924,Pop_Census_2023!$A$2:$E$3220,4,FALSE), vlookup(B2924,Pop_Census_2023!$A$2:$E$3220,5,FALSE))</f>
        <v>15466</v>
      </c>
    </row>
    <row r="2925">
      <c r="A2925" s="47" t="s">
        <v>3713</v>
      </c>
      <c r="B2925" s="47">
        <v>51570.0</v>
      </c>
      <c r="C2925" s="47">
        <v>4.0</v>
      </c>
      <c r="D2925" s="47" t="s">
        <v>4044</v>
      </c>
      <c r="E2925" s="47" t="str">
        <f t="shared" si="1"/>
        <v>4A</v>
      </c>
      <c r="F2925" s="47" t="s">
        <v>4046</v>
      </c>
      <c r="G2925" s="47" t="s">
        <v>4157</v>
      </c>
      <c r="H2925" s="48">
        <f>IF(NOT(ISBLANK(vlookup(B2925,Pop_Census_2023!$A$2:$E$3220,4,FALSE))),vlookup(B2925,Pop_Census_2023!$A$2:$E$3220,4,FALSE), vlookup(B2925,Pop_Census_2023!$A$2:$E$3220,5,FALSE))</f>
        <v>18393</v>
      </c>
    </row>
    <row r="2926">
      <c r="A2926" s="47" t="s">
        <v>3713</v>
      </c>
      <c r="B2926" s="47">
        <v>51580.0</v>
      </c>
      <c r="C2926" s="47">
        <v>4.0</v>
      </c>
      <c r="D2926" s="47" t="s">
        <v>4044</v>
      </c>
      <c r="E2926" s="47" t="str">
        <f t="shared" si="1"/>
        <v>4A</v>
      </c>
      <c r="F2926" s="47" t="s">
        <v>4046</v>
      </c>
      <c r="G2926" s="47" t="s">
        <v>4158</v>
      </c>
      <c r="H2926" s="48">
        <f>IF(NOT(ISBLANK(vlookup(B2926,Pop_Census_2023!$A$2:$E$3220,4,FALSE))),vlookup(B2926,Pop_Census_2023!$A$2:$E$3220,4,FALSE), vlookup(B2926,Pop_Census_2023!$A$2:$E$3220,5,FALSE))</f>
        <v>5545</v>
      </c>
    </row>
    <row r="2927">
      <c r="A2927" s="47" t="s">
        <v>3713</v>
      </c>
      <c r="B2927" s="47">
        <v>51045.0</v>
      </c>
      <c r="C2927" s="47">
        <v>4.0</v>
      </c>
      <c r="D2927" s="47" t="s">
        <v>4044</v>
      </c>
      <c r="E2927" s="47" t="str">
        <f t="shared" si="1"/>
        <v>4A</v>
      </c>
      <c r="F2927" s="47" t="s">
        <v>4046</v>
      </c>
      <c r="G2927" s="47" t="s">
        <v>1466</v>
      </c>
      <c r="H2927" s="48">
        <f>IF(NOT(ISBLANK(vlookup(B2927,Pop_Census_2023!$A$2:$E$3220,4,FALSE))),vlookup(B2927,Pop_Census_2023!$A$2:$E$3220,4,FALSE), vlookup(B2927,Pop_Census_2023!$A$2:$E$3220,5,FALSE))</f>
        <v>4843</v>
      </c>
    </row>
    <row r="2928">
      <c r="A2928" s="47" t="s">
        <v>3713</v>
      </c>
      <c r="B2928" s="47">
        <v>51047.0</v>
      </c>
      <c r="C2928" s="47">
        <v>4.0</v>
      </c>
      <c r="D2928" s="47" t="s">
        <v>4044</v>
      </c>
      <c r="E2928" s="47" t="str">
        <f t="shared" si="1"/>
        <v>4A</v>
      </c>
      <c r="F2928" s="47" t="s">
        <v>4046</v>
      </c>
      <c r="G2928" s="47" t="s">
        <v>1839</v>
      </c>
      <c r="H2928" s="48">
        <f>IF(NOT(ISBLANK(vlookup(B2928,Pop_Census_2023!$A$2:$E$3220,4,FALSE))),vlookup(B2928,Pop_Census_2023!$A$2:$E$3220,4,FALSE), vlookup(B2928,Pop_Census_2023!$A$2:$E$3220,5,FALSE))</f>
        <v>54973</v>
      </c>
    </row>
    <row r="2929">
      <c r="A2929" s="47" t="s">
        <v>3713</v>
      </c>
      <c r="B2929" s="47">
        <v>51049.0</v>
      </c>
      <c r="C2929" s="47">
        <v>4.0</v>
      </c>
      <c r="D2929" s="47" t="s">
        <v>4044</v>
      </c>
      <c r="E2929" s="47" t="str">
        <f t="shared" si="1"/>
        <v>4A</v>
      </c>
      <c r="F2929" s="47" t="s">
        <v>4046</v>
      </c>
      <c r="G2929" s="47" t="s">
        <v>618</v>
      </c>
      <c r="H2929" s="48">
        <f>IF(NOT(ISBLANK(vlookup(B2929,Pop_Census_2023!$A$2:$E$3220,4,FALSE))),vlookup(B2929,Pop_Census_2023!$A$2:$E$3220,4,FALSE), vlookup(B2929,Pop_Census_2023!$A$2:$E$3220,5,FALSE))</f>
        <v>9878</v>
      </c>
    </row>
    <row r="2930">
      <c r="A2930" s="47" t="s">
        <v>3713</v>
      </c>
      <c r="B2930" s="47">
        <v>51590.0</v>
      </c>
      <c r="C2930" s="47">
        <v>4.0</v>
      </c>
      <c r="D2930" s="47" t="s">
        <v>4044</v>
      </c>
      <c r="E2930" s="47" t="str">
        <f t="shared" si="1"/>
        <v>4A</v>
      </c>
      <c r="F2930" s="47" t="s">
        <v>4046</v>
      </c>
      <c r="G2930" s="47" t="s">
        <v>4159</v>
      </c>
      <c r="H2930" s="48">
        <f>IF(NOT(ISBLANK(vlookup(B2930,Pop_Census_2023!$A$2:$E$3220,4,FALSE))),vlookup(B2930,Pop_Census_2023!$A$2:$E$3220,4,FALSE), vlookup(B2930,Pop_Census_2023!$A$2:$E$3220,5,FALSE))</f>
        <v>41837</v>
      </c>
    </row>
    <row r="2931">
      <c r="A2931" s="47" t="s">
        <v>3713</v>
      </c>
      <c r="B2931" s="47">
        <v>51051.0</v>
      </c>
      <c r="C2931" s="47">
        <v>4.0</v>
      </c>
      <c r="D2931" s="47" t="s">
        <v>4044</v>
      </c>
      <c r="E2931" s="47" t="str">
        <f t="shared" si="1"/>
        <v>4A</v>
      </c>
      <c r="F2931" s="47" t="s">
        <v>4046</v>
      </c>
      <c r="G2931" s="47" t="s">
        <v>1840</v>
      </c>
      <c r="H2931" s="48">
        <f>IF(NOT(ISBLANK(vlookup(B2931,Pop_Census_2023!$A$2:$E$3220,4,FALSE))),vlookup(B2931,Pop_Census_2023!$A$2:$E$3220,4,FALSE), vlookup(B2931,Pop_Census_2023!$A$2:$E$3220,5,FALSE))</f>
        <v>13640</v>
      </c>
    </row>
    <row r="2932">
      <c r="A2932" s="47" t="s">
        <v>3713</v>
      </c>
      <c r="B2932" s="47">
        <v>51053.0</v>
      </c>
      <c r="C2932" s="47">
        <v>4.0</v>
      </c>
      <c r="D2932" s="47" t="s">
        <v>4044</v>
      </c>
      <c r="E2932" s="47" t="str">
        <f t="shared" si="1"/>
        <v>4A</v>
      </c>
      <c r="F2932" s="47" t="s">
        <v>4046</v>
      </c>
      <c r="G2932" s="47" t="s">
        <v>1841</v>
      </c>
      <c r="H2932" s="48">
        <f>IF(NOT(ISBLANK(vlookup(B2932,Pop_Census_2023!$A$2:$E$3220,4,FALSE))),vlookup(B2932,Pop_Census_2023!$A$2:$E$3220,4,FALSE), vlookup(B2932,Pop_Census_2023!$A$2:$E$3220,5,FALSE))</f>
        <v>28343</v>
      </c>
    </row>
    <row r="2933">
      <c r="A2933" s="47" t="s">
        <v>3713</v>
      </c>
      <c r="B2933" s="47">
        <v>51595.0</v>
      </c>
      <c r="C2933" s="47">
        <v>4.0</v>
      </c>
      <c r="D2933" s="47" t="s">
        <v>4044</v>
      </c>
      <c r="E2933" s="47" t="str">
        <f t="shared" si="1"/>
        <v>4A</v>
      </c>
      <c r="F2933" s="47" t="s">
        <v>4046</v>
      </c>
      <c r="G2933" s="47" t="s">
        <v>4160</v>
      </c>
      <c r="H2933" s="48">
        <f>IF(NOT(ISBLANK(vlookup(B2933,Pop_Census_2023!$A$2:$E$3220,4,FALSE))),vlookup(B2933,Pop_Census_2023!$A$2:$E$3220,4,FALSE), vlookup(B2933,Pop_Census_2023!$A$2:$E$3220,5,FALSE))</f>
        <v>5463</v>
      </c>
    </row>
    <row r="2934">
      <c r="A2934" s="47" t="s">
        <v>3713</v>
      </c>
      <c r="B2934" s="47">
        <v>51057.0</v>
      </c>
      <c r="C2934" s="47">
        <v>4.0</v>
      </c>
      <c r="D2934" s="47" t="s">
        <v>4044</v>
      </c>
      <c r="E2934" s="47" t="str">
        <f t="shared" si="1"/>
        <v>4A</v>
      </c>
      <c r="F2934" s="47" t="s">
        <v>4046</v>
      </c>
      <c r="G2934" s="47" t="s">
        <v>956</v>
      </c>
      <c r="H2934" s="48">
        <f>IF(NOT(ISBLANK(vlookup(B2934,Pop_Census_2023!$A$2:$E$3220,4,FALSE))),vlookup(B2934,Pop_Census_2023!$A$2:$E$3220,4,FALSE), vlookup(B2934,Pop_Census_2023!$A$2:$E$3220,5,FALSE))</f>
        <v>10598</v>
      </c>
    </row>
    <row r="2935">
      <c r="A2935" s="47" t="s">
        <v>3713</v>
      </c>
      <c r="B2935" s="47">
        <v>51059.0</v>
      </c>
      <c r="C2935" s="47">
        <v>4.0</v>
      </c>
      <c r="D2935" s="47" t="s">
        <v>4044</v>
      </c>
      <c r="E2935" s="47" t="str">
        <f t="shared" si="1"/>
        <v>4A</v>
      </c>
      <c r="F2935" s="47" t="s">
        <v>4046</v>
      </c>
      <c r="G2935" s="47" t="s">
        <v>1842</v>
      </c>
      <c r="H2935" s="48">
        <f>IF(NOT(ISBLANK(vlookup(B2935,Pop_Census_2023!$A$2:$E$3220,4,FALSE))),vlookup(B2935,Pop_Census_2023!$A$2:$E$3220,4,FALSE), vlookup(B2935,Pop_Census_2023!$A$2:$E$3220,5,FALSE))</f>
        <v>1141878</v>
      </c>
    </row>
    <row r="2936">
      <c r="A2936" s="47" t="s">
        <v>3713</v>
      </c>
      <c r="B2936" s="47">
        <v>51600.0</v>
      </c>
      <c r="C2936" s="47">
        <v>4.0</v>
      </c>
      <c r="D2936" s="47" t="s">
        <v>4044</v>
      </c>
      <c r="E2936" s="47" t="str">
        <f t="shared" si="1"/>
        <v>4A</v>
      </c>
      <c r="F2936" s="47" t="s">
        <v>4046</v>
      </c>
      <c r="G2936" s="47" t="s">
        <v>4161</v>
      </c>
      <c r="H2936" s="48">
        <f>IF(NOT(ISBLANK(vlookup(B2936,Pop_Census_2023!$A$2:$E$3220,4,FALSE))),vlookup(B2936,Pop_Census_2023!$A$2:$E$3220,4,FALSE), vlookup(B2936,Pop_Census_2023!$A$2:$E$3220,5,FALSE))</f>
        <v>25144</v>
      </c>
    </row>
    <row r="2937">
      <c r="A2937" s="47" t="s">
        <v>3713</v>
      </c>
      <c r="B2937" s="47">
        <v>51610.0</v>
      </c>
      <c r="C2937" s="47">
        <v>4.0</v>
      </c>
      <c r="D2937" s="47" t="s">
        <v>4044</v>
      </c>
      <c r="E2937" s="47" t="str">
        <f t="shared" si="1"/>
        <v>4A</v>
      </c>
      <c r="F2937" s="47" t="s">
        <v>4046</v>
      </c>
      <c r="G2937" s="47" t="s">
        <v>4162</v>
      </c>
      <c r="H2937" s="48">
        <f>IF(NOT(ISBLANK(vlookup(B2937,Pop_Census_2023!$A$2:$E$3220,4,FALSE))),vlookup(B2937,Pop_Census_2023!$A$2:$E$3220,4,FALSE), vlookup(B2937,Pop_Census_2023!$A$2:$E$3220,5,FALSE))</f>
        <v>14685</v>
      </c>
    </row>
    <row r="2938">
      <c r="A2938" s="47" t="s">
        <v>3713</v>
      </c>
      <c r="B2938" s="47">
        <v>51061.0</v>
      </c>
      <c r="C2938" s="47">
        <v>4.0</v>
      </c>
      <c r="D2938" s="47" t="s">
        <v>4044</v>
      </c>
      <c r="E2938" s="47" t="str">
        <f t="shared" si="1"/>
        <v>4A</v>
      </c>
      <c r="F2938" s="47" t="s">
        <v>4046</v>
      </c>
      <c r="G2938" s="47" t="s">
        <v>1843</v>
      </c>
      <c r="H2938" s="48">
        <f>IF(NOT(ISBLANK(vlookup(B2938,Pop_Census_2023!$A$2:$E$3220,4,FALSE))),vlookup(B2938,Pop_Census_2023!$A$2:$E$3220,4,FALSE), vlookup(B2938,Pop_Census_2023!$A$2:$E$3220,5,FALSE))</f>
        <v>75165</v>
      </c>
    </row>
    <row r="2939">
      <c r="A2939" s="47" t="s">
        <v>3713</v>
      </c>
      <c r="B2939" s="47">
        <v>51063.0</v>
      </c>
      <c r="C2939" s="47">
        <v>4.0</v>
      </c>
      <c r="D2939" s="47" t="s">
        <v>4044</v>
      </c>
      <c r="E2939" s="47" t="str">
        <f t="shared" si="1"/>
        <v>4A</v>
      </c>
      <c r="F2939" s="47" t="s">
        <v>4046</v>
      </c>
      <c r="G2939" s="47" t="s">
        <v>502</v>
      </c>
      <c r="H2939" s="48">
        <f>IF(NOT(ISBLANK(vlookup(B2939,Pop_Census_2023!$A$2:$E$3220,4,FALSE))),vlookup(B2939,Pop_Census_2023!$A$2:$E$3220,4,FALSE), vlookup(B2939,Pop_Census_2023!$A$2:$E$3220,5,FALSE))</f>
        <v>15679</v>
      </c>
    </row>
    <row r="2940">
      <c r="A2940" s="47" t="s">
        <v>3713</v>
      </c>
      <c r="B2940" s="47">
        <v>51065.0</v>
      </c>
      <c r="C2940" s="47">
        <v>4.0</v>
      </c>
      <c r="D2940" s="47" t="s">
        <v>4044</v>
      </c>
      <c r="E2940" s="47" t="str">
        <f t="shared" si="1"/>
        <v>4A</v>
      </c>
      <c r="F2940" s="47" t="s">
        <v>4046</v>
      </c>
      <c r="G2940" s="47" t="s">
        <v>1844</v>
      </c>
      <c r="H2940" s="48">
        <f>IF(NOT(ISBLANK(vlookup(B2940,Pop_Census_2023!$A$2:$E$3220,4,FALSE))),vlookup(B2940,Pop_Census_2023!$A$2:$E$3220,4,FALSE), vlookup(B2940,Pop_Census_2023!$A$2:$E$3220,5,FALSE))</f>
        <v>28462</v>
      </c>
    </row>
    <row r="2941">
      <c r="A2941" s="47" t="s">
        <v>3713</v>
      </c>
      <c r="B2941" s="47">
        <v>51067.0</v>
      </c>
      <c r="C2941" s="47">
        <v>4.0</v>
      </c>
      <c r="D2941" s="47" t="s">
        <v>4044</v>
      </c>
      <c r="E2941" s="47" t="str">
        <f t="shared" si="1"/>
        <v>4A</v>
      </c>
      <c r="F2941" s="47" t="s">
        <v>4046</v>
      </c>
      <c r="G2941" s="47" t="s">
        <v>132</v>
      </c>
      <c r="H2941" s="48">
        <f>IF(NOT(ISBLANK(vlookup(B2941,Pop_Census_2023!$A$2:$E$3220,4,FALSE))),vlookup(B2941,Pop_Census_2023!$A$2:$E$3220,4,FALSE), vlookup(B2941,Pop_Census_2023!$A$2:$E$3220,5,FALSE))</f>
        <v>55549</v>
      </c>
    </row>
    <row r="2942">
      <c r="A2942" s="47" t="s">
        <v>3713</v>
      </c>
      <c r="B2942" s="47">
        <v>51620.0</v>
      </c>
      <c r="C2942" s="47">
        <v>4.0</v>
      </c>
      <c r="D2942" s="47" t="s">
        <v>4044</v>
      </c>
      <c r="E2942" s="47" t="str">
        <f t="shared" si="1"/>
        <v>4A</v>
      </c>
      <c r="F2942" s="47" t="s">
        <v>4046</v>
      </c>
      <c r="G2942" s="47" t="s">
        <v>4163</v>
      </c>
      <c r="H2942" s="48">
        <f>IF(NOT(ISBLANK(vlookup(B2942,Pop_Census_2023!$A$2:$E$3220,4,FALSE))),vlookup(B2942,Pop_Census_2023!$A$2:$E$3220,4,FALSE), vlookup(B2942,Pop_Census_2023!$A$2:$E$3220,5,FALSE))</f>
        <v>8339</v>
      </c>
    </row>
    <row r="2943">
      <c r="A2943" s="47" t="s">
        <v>3713</v>
      </c>
      <c r="B2943" s="47">
        <v>51069.0</v>
      </c>
      <c r="C2943" s="47">
        <v>4.0</v>
      </c>
      <c r="D2943" s="47" t="s">
        <v>4044</v>
      </c>
      <c r="E2943" s="47" t="str">
        <f t="shared" si="1"/>
        <v>4A</v>
      </c>
      <c r="F2943" s="47" t="s">
        <v>4046</v>
      </c>
      <c r="G2943" s="47" t="s">
        <v>942</v>
      </c>
      <c r="H2943" s="48">
        <f>IF(NOT(ISBLANK(vlookup(B2943,Pop_Census_2023!$A$2:$E$3220,4,FALSE))),vlookup(B2943,Pop_Census_2023!$A$2:$E$3220,4,FALSE), vlookup(B2943,Pop_Census_2023!$A$2:$E$3220,5,FALSE))</f>
        <v>95994</v>
      </c>
    </row>
    <row r="2944">
      <c r="A2944" s="47" t="s">
        <v>3713</v>
      </c>
      <c r="B2944" s="47">
        <v>51630.0</v>
      </c>
      <c r="C2944" s="47">
        <v>4.0</v>
      </c>
      <c r="D2944" s="47" t="s">
        <v>4044</v>
      </c>
      <c r="E2944" s="47" t="str">
        <f t="shared" si="1"/>
        <v>4A</v>
      </c>
      <c r="F2944" s="47" t="s">
        <v>4046</v>
      </c>
      <c r="G2944" s="47" t="s">
        <v>4164</v>
      </c>
      <c r="H2944" s="48">
        <f>IF(NOT(ISBLANK(vlookup(B2944,Pop_Census_2023!$A$2:$E$3220,4,FALSE))),vlookup(B2944,Pop_Census_2023!$A$2:$E$3220,4,FALSE), vlookup(B2944,Pop_Census_2023!$A$2:$E$3220,5,FALSE))</f>
        <v>28928</v>
      </c>
    </row>
    <row r="2945">
      <c r="A2945" s="47" t="s">
        <v>3713</v>
      </c>
      <c r="B2945" s="47">
        <v>51640.0</v>
      </c>
      <c r="C2945" s="47">
        <v>4.0</v>
      </c>
      <c r="D2945" s="47" t="s">
        <v>4044</v>
      </c>
      <c r="E2945" s="47" t="str">
        <f t="shared" si="1"/>
        <v>4A</v>
      </c>
      <c r="F2945" s="47" t="s">
        <v>4046</v>
      </c>
      <c r="G2945" s="47" t="s">
        <v>4165</v>
      </c>
      <c r="H2945" s="48">
        <f>IF(NOT(ISBLANK(vlookup(B2945,Pop_Census_2023!$A$2:$E$3220,4,FALSE))),vlookup(B2945,Pop_Census_2023!$A$2:$E$3220,4,FALSE), vlookup(B2945,Pop_Census_2023!$A$2:$E$3220,5,FALSE))</f>
        <v>6717</v>
      </c>
    </row>
    <row r="2946">
      <c r="A2946" s="47" t="s">
        <v>3713</v>
      </c>
      <c r="B2946" s="47">
        <v>51071.0</v>
      </c>
      <c r="C2946" s="47">
        <v>4.0</v>
      </c>
      <c r="D2946" s="47" t="s">
        <v>4044</v>
      </c>
      <c r="E2946" s="47" t="str">
        <f t="shared" si="1"/>
        <v>4A</v>
      </c>
      <c r="F2946" s="47" t="s">
        <v>4046</v>
      </c>
      <c r="G2946" s="47" t="s">
        <v>1625</v>
      </c>
      <c r="H2946" s="48">
        <f>IF(NOT(ISBLANK(vlookup(B2946,Pop_Census_2023!$A$2:$E$3220,4,FALSE))),vlookup(B2946,Pop_Census_2023!$A$2:$E$3220,4,FALSE), vlookup(B2946,Pop_Census_2023!$A$2:$E$3220,5,FALSE))</f>
        <v>16457</v>
      </c>
    </row>
    <row r="2947">
      <c r="A2947" s="47" t="s">
        <v>3713</v>
      </c>
      <c r="B2947" s="47">
        <v>51073.0</v>
      </c>
      <c r="C2947" s="47">
        <v>4.0</v>
      </c>
      <c r="D2947" s="47" t="s">
        <v>4044</v>
      </c>
      <c r="E2947" s="47" t="str">
        <f t="shared" si="1"/>
        <v>4A</v>
      </c>
      <c r="F2947" s="47" t="s">
        <v>4046</v>
      </c>
      <c r="G2947" s="47" t="s">
        <v>1263</v>
      </c>
      <c r="H2947" s="48">
        <f>IF(NOT(ISBLANK(vlookup(B2947,Pop_Census_2023!$A$2:$E$3220,4,FALSE))),vlookup(B2947,Pop_Census_2023!$A$2:$E$3220,4,FALSE), vlookup(B2947,Pop_Census_2023!$A$2:$E$3220,5,FALSE))</f>
        <v>40057</v>
      </c>
    </row>
    <row r="2948">
      <c r="A2948" s="47" t="s">
        <v>3713</v>
      </c>
      <c r="B2948" s="47">
        <v>51075.0</v>
      </c>
      <c r="C2948" s="47">
        <v>4.0</v>
      </c>
      <c r="D2948" s="47" t="s">
        <v>4044</v>
      </c>
      <c r="E2948" s="47" t="str">
        <f t="shared" si="1"/>
        <v>4A</v>
      </c>
      <c r="F2948" s="47" t="s">
        <v>4046</v>
      </c>
      <c r="G2948" s="47" t="s">
        <v>1845</v>
      </c>
      <c r="H2948" s="48">
        <f>IF(NOT(ISBLANK(vlookup(B2948,Pop_Census_2023!$A$2:$E$3220,4,FALSE))),vlookup(B2948,Pop_Census_2023!$A$2:$E$3220,4,FALSE), vlookup(B2948,Pop_Census_2023!$A$2:$E$3220,5,FALSE))</f>
        <v>27197</v>
      </c>
    </row>
    <row r="2949">
      <c r="A2949" s="47" t="s">
        <v>3713</v>
      </c>
      <c r="B2949" s="47">
        <v>51077.0</v>
      </c>
      <c r="C2949" s="47">
        <v>4.0</v>
      </c>
      <c r="D2949" s="47" t="s">
        <v>4044</v>
      </c>
      <c r="E2949" s="47" t="str">
        <f t="shared" si="1"/>
        <v>4A</v>
      </c>
      <c r="F2949" s="47" t="s">
        <v>4046</v>
      </c>
      <c r="G2949" s="47" t="s">
        <v>841</v>
      </c>
      <c r="H2949" s="48">
        <f>IF(NOT(ISBLANK(vlookup(B2949,Pop_Census_2023!$A$2:$E$3220,4,FALSE))),vlookup(B2949,Pop_Census_2023!$A$2:$E$3220,4,FALSE), vlookup(B2949,Pop_Census_2023!$A$2:$E$3220,5,FALSE))</f>
        <v>15285</v>
      </c>
    </row>
    <row r="2950">
      <c r="A2950" s="47" t="s">
        <v>3713</v>
      </c>
      <c r="B2950" s="47">
        <v>51079.0</v>
      </c>
      <c r="C2950" s="47">
        <v>4.0</v>
      </c>
      <c r="D2950" s="47" t="s">
        <v>4044</v>
      </c>
      <c r="E2950" s="47" t="str">
        <f t="shared" si="1"/>
        <v>4A</v>
      </c>
      <c r="F2950" s="47" t="s">
        <v>4046</v>
      </c>
      <c r="G2950" s="47" t="s">
        <v>134</v>
      </c>
      <c r="H2950" s="48">
        <f>IF(NOT(ISBLANK(vlookup(B2950,Pop_Census_2023!$A$2:$E$3220,4,FALSE))),vlookup(B2950,Pop_Census_2023!$A$2:$E$3220,4,FALSE), vlookup(B2950,Pop_Census_2023!$A$2:$E$3220,5,FALSE))</f>
        <v>21301</v>
      </c>
    </row>
    <row r="2951">
      <c r="A2951" s="47" t="s">
        <v>3713</v>
      </c>
      <c r="B2951" s="47">
        <v>51081.0</v>
      </c>
      <c r="C2951" s="47">
        <v>4.0</v>
      </c>
      <c r="D2951" s="47" t="s">
        <v>4044</v>
      </c>
      <c r="E2951" s="47" t="str">
        <f t="shared" si="1"/>
        <v>4A</v>
      </c>
      <c r="F2951" s="47" t="s">
        <v>4046</v>
      </c>
      <c r="G2951" s="47" t="s">
        <v>1846</v>
      </c>
      <c r="H2951" s="48">
        <f>IF(NOT(ISBLANK(vlookup(B2951,Pop_Census_2023!$A$2:$E$3220,4,FALSE))),vlookup(B2951,Pop_Census_2023!$A$2:$E$3220,4,FALSE), vlookup(B2951,Pop_Census_2023!$A$2:$E$3220,5,FALSE))</f>
        <v>11133</v>
      </c>
    </row>
    <row r="2952">
      <c r="A2952" s="47" t="s">
        <v>3713</v>
      </c>
      <c r="B2952" s="47">
        <v>51083.0</v>
      </c>
      <c r="C2952" s="47">
        <v>4.0</v>
      </c>
      <c r="D2952" s="47" t="s">
        <v>4044</v>
      </c>
      <c r="E2952" s="47" t="str">
        <f t="shared" si="1"/>
        <v>4A</v>
      </c>
      <c r="F2952" s="47" t="s">
        <v>4046</v>
      </c>
      <c r="G2952" s="47" t="s">
        <v>1354</v>
      </c>
      <c r="H2952" s="48">
        <f>IF(NOT(ISBLANK(vlookup(B2952,Pop_Census_2023!$A$2:$E$3220,4,FALSE))),vlookup(B2952,Pop_Census_2023!$A$2:$E$3220,4,FALSE), vlookup(B2952,Pop_Census_2023!$A$2:$E$3220,5,FALSE))</f>
        <v>33432</v>
      </c>
    </row>
    <row r="2953">
      <c r="A2953" s="47" t="s">
        <v>3713</v>
      </c>
      <c r="B2953" s="47">
        <v>51650.0</v>
      </c>
      <c r="C2953" s="47">
        <v>4.0</v>
      </c>
      <c r="D2953" s="47" t="s">
        <v>4044</v>
      </c>
      <c r="E2953" s="47" t="str">
        <f t="shared" si="1"/>
        <v>4A</v>
      </c>
      <c r="F2953" s="47" t="s">
        <v>4046</v>
      </c>
      <c r="G2953" s="47" t="s">
        <v>4166</v>
      </c>
      <c r="H2953" s="48">
        <f>IF(NOT(ISBLANK(vlookup(B2953,Pop_Census_2023!$A$2:$E$3220,4,FALSE))),vlookup(B2953,Pop_Census_2023!$A$2:$E$3220,4,FALSE), vlookup(B2953,Pop_Census_2023!$A$2:$E$3220,5,FALSE))</f>
        <v>137098</v>
      </c>
    </row>
    <row r="2954">
      <c r="A2954" s="47" t="s">
        <v>3713</v>
      </c>
      <c r="B2954" s="47">
        <v>51085.0</v>
      </c>
      <c r="C2954" s="47">
        <v>4.0</v>
      </c>
      <c r="D2954" s="47" t="s">
        <v>4044</v>
      </c>
      <c r="E2954" s="47" t="str">
        <f t="shared" si="1"/>
        <v>4A</v>
      </c>
      <c r="F2954" s="47" t="s">
        <v>4046</v>
      </c>
      <c r="G2954" s="47" t="s">
        <v>1847</v>
      </c>
      <c r="H2954" s="48">
        <f>IF(NOT(ISBLANK(vlookup(B2954,Pop_Census_2023!$A$2:$E$3220,4,FALSE))),vlookup(B2954,Pop_Census_2023!$A$2:$E$3220,4,FALSE), vlookup(B2954,Pop_Census_2023!$A$2:$E$3220,5,FALSE))</f>
        <v>114148</v>
      </c>
    </row>
    <row r="2955">
      <c r="A2955" s="47" t="s">
        <v>3713</v>
      </c>
      <c r="B2955" s="47">
        <v>51660.0</v>
      </c>
      <c r="C2955" s="47">
        <v>4.0</v>
      </c>
      <c r="D2955" s="47" t="s">
        <v>4044</v>
      </c>
      <c r="E2955" s="47" t="str">
        <f t="shared" si="1"/>
        <v>4A</v>
      </c>
      <c r="F2955" s="47" t="s">
        <v>4046</v>
      </c>
      <c r="G2955" s="47" t="s">
        <v>4167</v>
      </c>
      <c r="H2955" s="48">
        <f>IF(NOT(ISBLANK(vlookup(B2955,Pop_Census_2023!$A$2:$E$3220,4,FALSE))),vlookup(B2955,Pop_Census_2023!$A$2:$E$3220,4,FALSE), vlookup(B2955,Pop_Census_2023!$A$2:$E$3220,5,FALSE))</f>
        <v>51082</v>
      </c>
    </row>
    <row r="2956">
      <c r="A2956" s="47" t="s">
        <v>3713</v>
      </c>
      <c r="B2956" s="47">
        <v>51087.0</v>
      </c>
      <c r="C2956" s="47">
        <v>4.0</v>
      </c>
      <c r="D2956" s="47" t="s">
        <v>4044</v>
      </c>
      <c r="E2956" s="47" t="str">
        <f t="shared" si="1"/>
        <v>4A</v>
      </c>
      <c r="F2956" s="47" t="s">
        <v>4046</v>
      </c>
      <c r="G2956" s="47" t="s">
        <v>1848</v>
      </c>
      <c r="H2956" s="48">
        <f>IF(NOT(ISBLANK(vlookup(B2956,Pop_Census_2023!$A$2:$E$3220,4,FALSE))),vlookup(B2956,Pop_Census_2023!$A$2:$E$3220,4,FALSE), vlookup(B2956,Pop_Census_2023!$A$2:$E$3220,5,FALSE))</f>
        <v>334760</v>
      </c>
    </row>
    <row r="2957">
      <c r="A2957" s="47" t="s">
        <v>3713</v>
      </c>
      <c r="B2957" s="47">
        <v>51089.0</v>
      </c>
      <c r="C2957" s="47">
        <v>4.0</v>
      </c>
      <c r="D2957" s="47" t="s">
        <v>4044</v>
      </c>
      <c r="E2957" s="47" t="str">
        <f t="shared" si="1"/>
        <v>4A</v>
      </c>
      <c r="F2957" s="47" t="s">
        <v>4046</v>
      </c>
      <c r="G2957" s="47" t="s">
        <v>136</v>
      </c>
      <c r="H2957" s="48">
        <f>IF(NOT(ISBLANK(vlookup(B2957,Pop_Census_2023!$A$2:$E$3220,4,FALSE))),vlookup(B2957,Pop_Census_2023!$A$2:$E$3220,4,FALSE), vlookup(B2957,Pop_Census_2023!$A$2:$E$3220,5,FALSE))</f>
        <v>49702</v>
      </c>
    </row>
    <row r="2958">
      <c r="A2958" s="47" t="s">
        <v>3713</v>
      </c>
      <c r="B2958" s="47">
        <v>51091.0</v>
      </c>
      <c r="C2958" s="47">
        <v>4.0</v>
      </c>
      <c r="D2958" s="47" t="s">
        <v>4044</v>
      </c>
      <c r="E2958" s="47" t="str">
        <f t="shared" si="1"/>
        <v>4A</v>
      </c>
      <c r="F2958" s="47" t="s">
        <v>4046</v>
      </c>
      <c r="G2958" s="47" t="s">
        <v>1436</v>
      </c>
      <c r="H2958" s="48">
        <f>IF(NOT(ISBLANK(vlookup(B2958,Pop_Census_2023!$A$2:$E$3220,4,FALSE))),vlookup(B2958,Pop_Census_2023!$A$2:$E$3220,4,FALSE), vlookup(B2958,Pop_Census_2023!$A$2:$E$3220,5,FALSE))</f>
        <v>2339</v>
      </c>
    </row>
    <row r="2959">
      <c r="A2959" s="47" t="s">
        <v>3713</v>
      </c>
      <c r="B2959" s="47">
        <v>51670.0</v>
      </c>
      <c r="C2959" s="47">
        <v>4.0</v>
      </c>
      <c r="D2959" s="47" t="s">
        <v>4044</v>
      </c>
      <c r="E2959" s="47" t="str">
        <f t="shared" si="1"/>
        <v>4A</v>
      </c>
      <c r="F2959" s="47" t="s">
        <v>4046</v>
      </c>
      <c r="G2959" s="47" t="s">
        <v>4168</v>
      </c>
      <c r="H2959" s="48">
        <f>IF(NOT(ISBLANK(vlookup(B2959,Pop_Census_2023!$A$2:$E$3220,4,FALSE))),vlookup(B2959,Pop_Census_2023!$A$2:$E$3220,4,FALSE), vlookup(B2959,Pop_Census_2023!$A$2:$E$3220,5,FALSE))</f>
        <v>22752</v>
      </c>
    </row>
    <row r="2960">
      <c r="A2960" s="47" t="s">
        <v>3713</v>
      </c>
      <c r="B2960" s="47">
        <v>51093.0</v>
      </c>
      <c r="C2960" s="47">
        <v>4.0</v>
      </c>
      <c r="D2960" s="47" t="s">
        <v>4044</v>
      </c>
      <c r="E2960" s="47" t="str">
        <f t="shared" si="1"/>
        <v>4A</v>
      </c>
      <c r="F2960" s="47" t="s">
        <v>4046</v>
      </c>
      <c r="G2960" s="47" t="s">
        <v>1849</v>
      </c>
      <c r="H2960" s="48">
        <f>IF(NOT(ISBLANK(vlookup(B2960,Pop_Census_2023!$A$2:$E$3220,4,FALSE))),vlookup(B2960,Pop_Census_2023!$A$2:$E$3220,4,FALSE), vlookup(B2960,Pop_Census_2023!$A$2:$E$3220,5,FALSE))</f>
        <v>40711</v>
      </c>
    </row>
    <row r="2961">
      <c r="A2961" s="47" t="s">
        <v>3713</v>
      </c>
      <c r="B2961" s="47">
        <v>51095.0</v>
      </c>
      <c r="C2961" s="47">
        <v>4.0</v>
      </c>
      <c r="D2961" s="47" t="s">
        <v>4044</v>
      </c>
      <c r="E2961" s="47" t="str">
        <f t="shared" si="1"/>
        <v>4A</v>
      </c>
      <c r="F2961" s="47" t="s">
        <v>4046</v>
      </c>
      <c r="G2961" s="47" t="s">
        <v>1850</v>
      </c>
      <c r="H2961" s="48">
        <f>IF(NOT(ISBLANK(vlookup(B2961,Pop_Census_2023!$A$2:$E$3220,4,FALSE))),vlookup(B2961,Pop_Census_2023!$A$2:$E$3220,4,FALSE), vlookup(B2961,Pop_Census_2023!$A$2:$E$3220,5,FALSE))</f>
        <v>82654</v>
      </c>
    </row>
    <row r="2962">
      <c r="A2962" s="47" t="s">
        <v>3713</v>
      </c>
      <c r="B2962" s="47">
        <v>51097.0</v>
      </c>
      <c r="C2962" s="47">
        <v>4.0</v>
      </c>
      <c r="D2962" s="47" t="s">
        <v>4044</v>
      </c>
      <c r="E2962" s="47" t="str">
        <f t="shared" si="1"/>
        <v>4A</v>
      </c>
      <c r="F2962" s="47" t="s">
        <v>4046</v>
      </c>
      <c r="G2962" s="47" t="s">
        <v>1851</v>
      </c>
      <c r="H2962" s="48">
        <f>IF(NOT(ISBLANK(vlookup(B2962,Pop_Census_2023!$A$2:$E$3220,4,FALSE))),vlookup(B2962,Pop_Census_2023!$A$2:$E$3220,4,FALSE), vlookup(B2962,Pop_Census_2023!$A$2:$E$3220,5,FALSE))</f>
        <v>6720</v>
      </c>
    </row>
    <row r="2963">
      <c r="A2963" s="47" t="s">
        <v>3713</v>
      </c>
      <c r="B2963" s="47">
        <v>51099.0</v>
      </c>
      <c r="C2963" s="47">
        <v>4.0</v>
      </c>
      <c r="D2963" s="47" t="s">
        <v>4044</v>
      </c>
      <c r="E2963" s="47" t="str">
        <f t="shared" si="1"/>
        <v>4A</v>
      </c>
      <c r="F2963" s="47" t="s">
        <v>4046</v>
      </c>
      <c r="G2963" s="47" t="s">
        <v>1852</v>
      </c>
      <c r="H2963" s="48">
        <f>IF(NOT(ISBLANK(vlookup(B2963,Pop_Census_2023!$A$2:$E$3220,4,FALSE))),vlookup(B2963,Pop_Census_2023!$A$2:$E$3220,4,FALSE), vlookup(B2963,Pop_Census_2023!$A$2:$E$3220,5,FALSE))</f>
        <v>28568</v>
      </c>
    </row>
    <row r="2964">
      <c r="A2964" s="47" t="s">
        <v>3713</v>
      </c>
      <c r="B2964" s="47">
        <v>51101.0</v>
      </c>
      <c r="C2964" s="47">
        <v>4.0</v>
      </c>
      <c r="D2964" s="47" t="s">
        <v>4044</v>
      </c>
      <c r="E2964" s="47" t="str">
        <f t="shared" si="1"/>
        <v>4A</v>
      </c>
      <c r="F2964" s="47" t="s">
        <v>4046</v>
      </c>
      <c r="G2964" s="47" t="s">
        <v>1853</v>
      </c>
      <c r="H2964" s="48">
        <f>IF(NOT(ISBLANK(vlookup(B2964,Pop_Census_2023!$A$2:$E$3220,4,FALSE))),vlookup(B2964,Pop_Census_2023!$A$2:$E$3220,4,FALSE), vlookup(B2964,Pop_Census_2023!$A$2:$E$3220,5,FALSE))</f>
        <v>19030</v>
      </c>
    </row>
    <row r="2965">
      <c r="A2965" s="47" t="s">
        <v>3713</v>
      </c>
      <c r="B2965" s="47">
        <v>51103.0</v>
      </c>
      <c r="C2965" s="47">
        <v>4.0</v>
      </c>
      <c r="D2965" s="47" t="s">
        <v>4044</v>
      </c>
      <c r="E2965" s="47" t="str">
        <f t="shared" si="1"/>
        <v>4A</v>
      </c>
      <c r="F2965" s="47" t="s">
        <v>4046</v>
      </c>
      <c r="G2965" s="47" t="s">
        <v>1224</v>
      </c>
      <c r="H2965" s="48">
        <f>IF(NOT(ISBLANK(vlookup(B2965,Pop_Census_2023!$A$2:$E$3220,4,FALSE))),vlookup(B2965,Pop_Census_2023!$A$2:$E$3220,4,FALSE), vlookup(B2965,Pop_Census_2023!$A$2:$E$3220,5,FALSE))</f>
        <v>10859</v>
      </c>
    </row>
    <row r="2966">
      <c r="A2966" s="47" t="s">
        <v>3713</v>
      </c>
      <c r="B2966" s="47">
        <v>51105.0</v>
      </c>
      <c r="C2966" s="47">
        <v>4.0</v>
      </c>
      <c r="D2966" s="47" t="s">
        <v>4044</v>
      </c>
      <c r="E2966" s="47" t="str">
        <f t="shared" si="1"/>
        <v>4A</v>
      </c>
      <c r="F2966" s="47" t="s">
        <v>4046</v>
      </c>
      <c r="G2966" s="47" t="s">
        <v>143</v>
      </c>
      <c r="H2966" s="48">
        <f>IF(NOT(ISBLANK(vlookup(B2966,Pop_Census_2023!$A$2:$E$3220,4,FALSE))),vlookup(B2966,Pop_Census_2023!$A$2:$E$3220,4,FALSE), vlookup(B2966,Pop_Census_2023!$A$2:$E$3220,5,FALSE))</f>
        <v>21745</v>
      </c>
    </row>
    <row r="2967">
      <c r="A2967" s="47" t="s">
        <v>3713</v>
      </c>
      <c r="B2967" s="47">
        <v>51678.0</v>
      </c>
      <c r="C2967" s="47">
        <v>4.0</v>
      </c>
      <c r="D2967" s="47" t="s">
        <v>4044</v>
      </c>
      <c r="E2967" s="47" t="str">
        <f t="shared" si="1"/>
        <v>4A</v>
      </c>
      <c r="F2967" s="47" t="s">
        <v>4046</v>
      </c>
      <c r="G2967" s="47" t="s">
        <v>4169</v>
      </c>
      <c r="H2967" s="48">
        <f>IF(NOT(ISBLANK(vlookup(B2967,Pop_Census_2023!$A$2:$E$3220,4,FALSE))),vlookup(B2967,Pop_Census_2023!$A$2:$E$3220,4,FALSE), vlookup(B2967,Pop_Census_2023!$A$2:$E$3220,5,FALSE))</f>
        <v>7528</v>
      </c>
    </row>
    <row r="2968">
      <c r="A2968" s="47" t="s">
        <v>3713</v>
      </c>
      <c r="B2968" s="47">
        <v>51107.0</v>
      </c>
      <c r="C2968" s="47">
        <v>4.0</v>
      </c>
      <c r="D2968" s="47" t="s">
        <v>4044</v>
      </c>
      <c r="E2968" s="47" t="str">
        <f t="shared" si="1"/>
        <v>4A</v>
      </c>
      <c r="F2968" s="47" t="s">
        <v>4046</v>
      </c>
      <c r="G2968" s="47" t="s">
        <v>1854</v>
      </c>
      <c r="H2968" s="48">
        <f>IF(NOT(ISBLANK(vlookup(B2968,Pop_Census_2023!$A$2:$E$3220,4,FALSE))),vlookup(B2968,Pop_Census_2023!$A$2:$E$3220,4,FALSE), vlookup(B2968,Pop_Census_2023!$A$2:$E$3220,5,FALSE))</f>
        <v>436347</v>
      </c>
    </row>
    <row r="2969">
      <c r="A2969" s="47" t="s">
        <v>3713</v>
      </c>
      <c r="B2969" s="47">
        <v>51109.0</v>
      </c>
      <c r="C2969" s="47">
        <v>4.0</v>
      </c>
      <c r="D2969" s="47" t="s">
        <v>4044</v>
      </c>
      <c r="E2969" s="47" t="str">
        <f t="shared" si="1"/>
        <v>4A</v>
      </c>
      <c r="F2969" s="47" t="s">
        <v>4046</v>
      </c>
      <c r="G2969" s="47" t="s">
        <v>727</v>
      </c>
      <c r="H2969" s="48">
        <f>IF(NOT(ISBLANK(vlookup(B2969,Pop_Census_2023!$A$2:$E$3220,4,FALSE))),vlookup(B2969,Pop_Census_2023!$A$2:$E$3220,4,FALSE), vlookup(B2969,Pop_Census_2023!$A$2:$E$3220,5,FALSE))</f>
        <v>41037</v>
      </c>
    </row>
    <row r="2970">
      <c r="A2970" s="47" t="s">
        <v>3713</v>
      </c>
      <c r="B2970" s="47">
        <v>51111.0</v>
      </c>
      <c r="C2970" s="47">
        <v>4.0</v>
      </c>
      <c r="D2970" s="47" t="s">
        <v>4044</v>
      </c>
      <c r="E2970" s="47" t="str">
        <f t="shared" si="1"/>
        <v>4A</v>
      </c>
      <c r="F2970" s="47" t="s">
        <v>4046</v>
      </c>
      <c r="G2970" s="47" t="s">
        <v>1855</v>
      </c>
      <c r="H2970" s="48">
        <f>IF(NOT(ISBLANK(vlookup(B2970,Pop_Census_2023!$A$2:$E$3220,4,FALSE))),vlookup(B2970,Pop_Census_2023!$A$2:$E$3220,4,FALSE), vlookup(B2970,Pop_Census_2023!$A$2:$E$3220,5,FALSE))</f>
        <v>12038</v>
      </c>
    </row>
    <row r="2971">
      <c r="A2971" s="47" t="s">
        <v>3713</v>
      </c>
      <c r="B2971" s="47">
        <v>51680.0</v>
      </c>
      <c r="C2971" s="47">
        <v>4.0</v>
      </c>
      <c r="D2971" s="47" t="s">
        <v>4044</v>
      </c>
      <c r="E2971" s="47" t="str">
        <f t="shared" si="1"/>
        <v>4A</v>
      </c>
      <c r="F2971" s="47" t="s">
        <v>4046</v>
      </c>
      <c r="G2971" s="47" t="s">
        <v>4170</v>
      </c>
      <c r="H2971" s="48">
        <f>IF(NOT(ISBLANK(vlookup(B2971,Pop_Census_2023!$A$2:$E$3220,4,FALSE))),vlookup(B2971,Pop_Census_2023!$A$2:$E$3220,4,FALSE), vlookup(B2971,Pop_Census_2023!$A$2:$E$3220,5,FALSE))</f>
        <v>79535</v>
      </c>
    </row>
    <row r="2972">
      <c r="A2972" s="47" t="s">
        <v>3713</v>
      </c>
      <c r="B2972" s="47">
        <v>51113.0</v>
      </c>
      <c r="C2972" s="47">
        <v>4.0</v>
      </c>
      <c r="D2972" s="47" t="s">
        <v>4044</v>
      </c>
      <c r="E2972" s="47" t="str">
        <f t="shared" si="1"/>
        <v>4A</v>
      </c>
      <c r="F2972" s="47" t="s">
        <v>4046</v>
      </c>
      <c r="G2972" s="47" t="s">
        <v>147</v>
      </c>
      <c r="H2972" s="48">
        <f>IF(NOT(ISBLANK(vlookup(B2972,Pop_Census_2023!$A$2:$E$3220,4,FALSE))),vlookup(B2972,Pop_Census_2023!$A$2:$E$3220,4,FALSE), vlookup(B2972,Pop_Census_2023!$A$2:$E$3220,5,FALSE))</f>
        <v>14128</v>
      </c>
    </row>
    <row r="2973">
      <c r="A2973" s="47" t="s">
        <v>3713</v>
      </c>
      <c r="B2973" s="47">
        <v>51683.0</v>
      </c>
      <c r="C2973" s="47">
        <v>4.0</v>
      </c>
      <c r="D2973" s="47" t="s">
        <v>4044</v>
      </c>
      <c r="E2973" s="47" t="str">
        <f t="shared" si="1"/>
        <v>4A</v>
      </c>
      <c r="F2973" s="47" t="s">
        <v>4046</v>
      </c>
      <c r="G2973" s="47" t="s">
        <v>4171</v>
      </c>
      <c r="H2973" s="48">
        <f>IF(NOT(ISBLANK(vlookup(B2973,Pop_Census_2023!$A$2:$E$3220,4,FALSE))),vlookup(B2973,Pop_Census_2023!$A$2:$E$3220,4,FALSE), vlookup(B2973,Pop_Census_2023!$A$2:$E$3220,5,FALSE))</f>
        <v>42696</v>
      </c>
    </row>
    <row r="2974">
      <c r="A2974" s="47" t="s">
        <v>3713</v>
      </c>
      <c r="B2974" s="47">
        <v>51685.0</v>
      </c>
      <c r="C2974" s="47">
        <v>4.0</v>
      </c>
      <c r="D2974" s="47" t="s">
        <v>4044</v>
      </c>
      <c r="E2974" s="47" t="str">
        <f t="shared" si="1"/>
        <v>4A</v>
      </c>
      <c r="F2974" s="47" t="s">
        <v>4046</v>
      </c>
      <c r="G2974" s="47" t="s">
        <v>4172</v>
      </c>
      <c r="H2974" s="48">
        <f>IF(NOT(ISBLANK(vlookup(B2974,Pop_Census_2023!$A$2:$E$3220,4,FALSE))),vlookup(B2974,Pop_Census_2023!$A$2:$E$3220,4,FALSE), vlookup(B2974,Pop_Census_2023!$A$2:$E$3220,5,FALSE))</f>
        <v>16361</v>
      </c>
    </row>
    <row r="2975">
      <c r="A2975" s="47" t="s">
        <v>3713</v>
      </c>
      <c r="B2975" s="47">
        <v>51690.0</v>
      </c>
      <c r="C2975" s="47">
        <v>4.0</v>
      </c>
      <c r="D2975" s="47" t="s">
        <v>4044</v>
      </c>
      <c r="E2975" s="47" t="str">
        <f t="shared" si="1"/>
        <v>4A</v>
      </c>
      <c r="F2975" s="47" t="s">
        <v>4046</v>
      </c>
      <c r="G2975" s="47" t="s">
        <v>4173</v>
      </c>
      <c r="H2975" s="48">
        <f>IF(NOT(ISBLANK(vlookup(B2975,Pop_Census_2023!$A$2:$E$3220,4,FALSE))),vlookup(B2975,Pop_Census_2023!$A$2:$E$3220,4,FALSE), vlookup(B2975,Pop_Census_2023!$A$2:$E$3220,5,FALSE))</f>
        <v>13763</v>
      </c>
    </row>
    <row r="2976">
      <c r="A2976" s="47" t="s">
        <v>3713</v>
      </c>
      <c r="B2976" s="47">
        <v>51115.0</v>
      </c>
      <c r="C2976" s="47">
        <v>4.0</v>
      </c>
      <c r="D2976" s="47" t="s">
        <v>4044</v>
      </c>
      <c r="E2976" s="47" t="str">
        <f t="shared" si="1"/>
        <v>4A</v>
      </c>
      <c r="F2976" s="47" t="s">
        <v>4046</v>
      </c>
      <c r="G2976" s="47" t="s">
        <v>1856</v>
      </c>
      <c r="H2976" s="48">
        <f>IF(NOT(ISBLANK(vlookup(B2976,Pop_Census_2023!$A$2:$E$3220,4,FALSE))),vlookup(B2976,Pop_Census_2023!$A$2:$E$3220,4,FALSE), vlookup(B2976,Pop_Census_2023!$A$2:$E$3220,5,FALSE))</f>
        <v>8514</v>
      </c>
    </row>
    <row r="2977">
      <c r="A2977" s="47" t="s">
        <v>3713</v>
      </c>
      <c r="B2977" s="47">
        <v>51117.0</v>
      </c>
      <c r="C2977" s="47">
        <v>4.0</v>
      </c>
      <c r="D2977" s="47" t="s">
        <v>4044</v>
      </c>
      <c r="E2977" s="47" t="str">
        <f t="shared" si="1"/>
        <v>4A</v>
      </c>
      <c r="F2977" s="47" t="s">
        <v>4046</v>
      </c>
      <c r="G2977" s="47" t="s">
        <v>1364</v>
      </c>
      <c r="H2977" s="48">
        <f>IF(NOT(ISBLANK(vlookup(B2977,Pop_Census_2023!$A$2:$E$3220,4,FALSE))),vlookup(B2977,Pop_Census_2023!$A$2:$E$3220,4,FALSE), vlookup(B2977,Pop_Census_2023!$A$2:$E$3220,5,FALSE))</f>
        <v>30648</v>
      </c>
    </row>
    <row r="2978">
      <c r="A2978" s="47" t="s">
        <v>3713</v>
      </c>
      <c r="B2978" s="47">
        <v>51119.0</v>
      </c>
      <c r="C2978" s="47">
        <v>4.0</v>
      </c>
      <c r="D2978" s="47" t="s">
        <v>4044</v>
      </c>
      <c r="E2978" s="47" t="str">
        <f t="shared" si="1"/>
        <v>4A</v>
      </c>
      <c r="F2978" s="47" t="s">
        <v>4046</v>
      </c>
      <c r="G2978" s="47" t="s">
        <v>399</v>
      </c>
      <c r="H2978" s="48">
        <f>IF(NOT(ISBLANK(vlookup(B2978,Pop_Census_2023!$A$2:$E$3220,4,FALSE))),vlookup(B2978,Pop_Census_2023!$A$2:$E$3220,4,FALSE), vlookup(B2978,Pop_Census_2023!$A$2:$E$3220,5,FALSE))</f>
        <v>10924</v>
      </c>
    </row>
    <row r="2979">
      <c r="A2979" s="47" t="s">
        <v>3713</v>
      </c>
      <c r="B2979" s="47">
        <v>51121.0</v>
      </c>
      <c r="C2979" s="47">
        <v>4.0</v>
      </c>
      <c r="D2979" s="47" t="s">
        <v>4044</v>
      </c>
      <c r="E2979" s="47" t="str">
        <f t="shared" si="1"/>
        <v>4A</v>
      </c>
      <c r="F2979" s="47" t="s">
        <v>4046</v>
      </c>
      <c r="G2979" s="47" t="s">
        <v>153</v>
      </c>
      <c r="H2979" s="48">
        <f>IF(NOT(ISBLANK(vlookup(B2979,Pop_Census_2023!$A$2:$E$3220,4,FALSE))),vlookup(B2979,Pop_Census_2023!$A$2:$E$3220,4,FALSE), vlookup(B2979,Pop_Census_2023!$A$2:$E$3220,5,FALSE))</f>
        <v>98666</v>
      </c>
    </row>
    <row r="2980">
      <c r="A2980" s="47" t="s">
        <v>3713</v>
      </c>
      <c r="B2980" s="47">
        <v>51125.0</v>
      </c>
      <c r="C2980" s="47">
        <v>4.0</v>
      </c>
      <c r="D2980" s="47" t="s">
        <v>4044</v>
      </c>
      <c r="E2980" s="47" t="str">
        <f t="shared" si="1"/>
        <v>4A</v>
      </c>
      <c r="F2980" s="47" t="s">
        <v>4046</v>
      </c>
      <c r="G2980" s="47" t="s">
        <v>860</v>
      </c>
      <c r="H2980" s="48">
        <f>IF(NOT(ISBLANK(vlookup(B2980,Pop_Census_2023!$A$2:$E$3220,4,FALSE))),vlookup(B2980,Pop_Census_2023!$A$2:$E$3220,4,FALSE), vlookup(B2980,Pop_Census_2023!$A$2:$E$3220,5,FALSE))</f>
        <v>14705</v>
      </c>
    </row>
    <row r="2981">
      <c r="A2981" s="47" t="s">
        <v>3713</v>
      </c>
      <c r="B2981" s="47">
        <v>51127.0</v>
      </c>
      <c r="C2981" s="47">
        <v>4.0</v>
      </c>
      <c r="D2981" s="47" t="s">
        <v>4044</v>
      </c>
      <c r="E2981" s="47" t="str">
        <f t="shared" si="1"/>
        <v>4A</v>
      </c>
      <c r="F2981" s="47" t="s">
        <v>4046</v>
      </c>
      <c r="G2981" s="47" t="s">
        <v>1857</v>
      </c>
      <c r="H2981" s="48">
        <f>IF(NOT(ISBLANK(vlookup(B2981,Pop_Census_2023!$A$2:$E$3220,4,FALSE))),vlookup(B2981,Pop_Census_2023!$A$2:$E$3220,4,FALSE), vlookup(B2981,Pop_Census_2023!$A$2:$E$3220,5,FALSE))</f>
        <v>26134</v>
      </c>
    </row>
    <row r="2982">
      <c r="A2982" s="47" t="s">
        <v>3713</v>
      </c>
      <c r="B2982" s="47">
        <v>51700.0</v>
      </c>
      <c r="C2982" s="47">
        <v>4.0</v>
      </c>
      <c r="D2982" s="47" t="s">
        <v>4044</v>
      </c>
      <c r="E2982" s="47" t="str">
        <f t="shared" si="1"/>
        <v>4A</v>
      </c>
      <c r="F2982" s="47" t="s">
        <v>4046</v>
      </c>
      <c r="G2982" s="47" t="s">
        <v>4174</v>
      </c>
      <c r="H2982" s="48">
        <f>IF(NOT(ISBLANK(vlookup(B2982,Pop_Census_2023!$A$2:$E$3220,4,FALSE))),vlookup(B2982,Pop_Census_2023!$A$2:$E$3220,4,FALSE), vlookup(B2982,Pop_Census_2023!$A$2:$E$3220,5,FALSE))</f>
        <v>183118</v>
      </c>
    </row>
    <row r="2983">
      <c r="A2983" s="47" t="s">
        <v>3713</v>
      </c>
      <c r="B2983" s="47">
        <v>51710.0</v>
      </c>
      <c r="C2983" s="47">
        <v>4.0</v>
      </c>
      <c r="D2983" s="47" t="s">
        <v>4044</v>
      </c>
      <c r="E2983" s="47" t="str">
        <f t="shared" si="1"/>
        <v>4A</v>
      </c>
      <c r="F2983" s="47" t="s">
        <v>4046</v>
      </c>
      <c r="G2983" s="47" t="s">
        <v>4175</v>
      </c>
      <c r="H2983" s="48">
        <f>IF(NOT(ISBLANK(vlookup(B2983,Pop_Census_2023!$A$2:$E$3220,4,FALSE))),vlookup(B2983,Pop_Census_2023!$A$2:$E$3220,4,FALSE), vlookup(B2983,Pop_Census_2023!$A$2:$E$3220,5,FALSE))</f>
        <v>230930</v>
      </c>
    </row>
    <row r="2984">
      <c r="A2984" s="47" t="s">
        <v>3713</v>
      </c>
      <c r="B2984" s="47">
        <v>51131.0</v>
      </c>
      <c r="C2984" s="47">
        <v>4.0</v>
      </c>
      <c r="D2984" s="47" t="s">
        <v>4044</v>
      </c>
      <c r="E2984" s="47" t="str">
        <f t="shared" si="1"/>
        <v>4A</v>
      </c>
      <c r="F2984" s="47" t="s">
        <v>4046</v>
      </c>
      <c r="G2984" s="47" t="s">
        <v>1368</v>
      </c>
      <c r="H2984" s="48">
        <f>IF(NOT(ISBLANK(vlookup(B2984,Pop_Census_2023!$A$2:$E$3220,4,FALSE))),vlookup(B2984,Pop_Census_2023!$A$2:$E$3220,4,FALSE), vlookup(B2984,Pop_Census_2023!$A$2:$E$3220,5,FALSE))</f>
        <v>12021</v>
      </c>
    </row>
    <row r="2985">
      <c r="A2985" s="47" t="s">
        <v>3713</v>
      </c>
      <c r="B2985" s="47">
        <v>51133.0</v>
      </c>
      <c r="C2985" s="47">
        <v>4.0</v>
      </c>
      <c r="D2985" s="47" t="s">
        <v>4044</v>
      </c>
      <c r="E2985" s="47" t="str">
        <f t="shared" si="1"/>
        <v>4A</v>
      </c>
      <c r="F2985" s="47" t="s">
        <v>4046</v>
      </c>
      <c r="G2985" s="47" t="s">
        <v>1538</v>
      </c>
      <c r="H2985" s="48">
        <f>IF(NOT(ISBLANK(vlookup(B2985,Pop_Census_2023!$A$2:$E$3220,4,FALSE))),vlookup(B2985,Pop_Census_2023!$A$2:$E$3220,4,FALSE), vlookup(B2985,Pop_Census_2023!$A$2:$E$3220,5,FALSE))</f>
        <v>12391</v>
      </c>
    </row>
    <row r="2986">
      <c r="A2986" s="47" t="s">
        <v>3713</v>
      </c>
      <c r="B2986" s="47">
        <v>51720.0</v>
      </c>
      <c r="C2986" s="47">
        <v>4.0</v>
      </c>
      <c r="D2986" s="47" t="s">
        <v>4044</v>
      </c>
      <c r="E2986" s="47" t="str">
        <f t="shared" si="1"/>
        <v>4A</v>
      </c>
      <c r="F2986" s="47" t="s">
        <v>4046</v>
      </c>
      <c r="G2986" s="47" t="s">
        <v>4176</v>
      </c>
      <c r="H2986" s="48">
        <f>IF(NOT(ISBLANK(vlookup(B2986,Pop_Census_2023!$A$2:$E$3220,4,FALSE))),vlookup(B2986,Pop_Census_2023!$A$2:$E$3220,4,FALSE), vlookup(B2986,Pop_Census_2023!$A$2:$E$3220,5,FALSE))</f>
        <v>3492</v>
      </c>
    </row>
    <row r="2987">
      <c r="A2987" s="47" t="s">
        <v>3713</v>
      </c>
      <c r="B2987" s="47">
        <v>51135.0</v>
      </c>
      <c r="C2987" s="47">
        <v>4.0</v>
      </c>
      <c r="D2987" s="47" t="s">
        <v>4044</v>
      </c>
      <c r="E2987" s="47" t="str">
        <f t="shared" si="1"/>
        <v>4A</v>
      </c>
      <c r="F2987" s="47" t="s">
        <v>4046</v>
      </c>
      <c r="G2987" s="47" t="s">
        <v>1858</v>
      </c>
      <c r="H2987" s="48">
        <f>IF(NOT(ISBLANK(vlookup(B2987,Pop_Census_2023!$A$2:$E$3220,4,FALSE))),vlookup(B2987,Pop_Census_2023!$A$2:$E$3220,4,FALSE), vlookup(B2987,Pop_Census_2023!$A$2:$E$3220,5,FALSE))</f>
        <v>15566</v>
      </c>
    </row>
    <row r="2988">
      <c r="A2988" s="47" t="s">
        <v>3713</v>
      </c>
      <c r="B2988" s="47">
        <v>51137.0</v>
      </c>
      <c r="C2988" s="47">
        <v>4.0</v>
      </c>
      <c r="D2988" s="47" t="s">
        <v>4044</v>
      </c>
      <c r="E2988" s="47" t="str">
        <f t="shared" si="1"/>
        <v>4A</v>
      </c>
      <c r="F2988" s="47" t="s">
        <v>4046</v>
      </c>
      <c r="G2988" s="47" t="s">
        <v>310</v>
      </c>
      <c r="H2988" s="48">
        <f>IF(NOT(ISBLANK(vlookup(B2988,Pop_Census_2023!$A$2:$E$3220,4,FALSE))),vlookup(B2988,Pop_Census_2023!$A$2:$E$3220,4,FALSE), vlookup(B2988,Pop_Census_2023!$A$2:$E$3220,5,FALSE))</f>
        <v>38574</v>
      </c>
    </row>
    <row r="2989">
      <c r="A2989" s="47" t="s">
        <v>3713</v>
      </c>
      <c r="B2989" s="47">
        <v>51139.0</v>
      </c>
      <c r="C2989" s="47">
        <v>4.0</v>
      </c>
      <c r="D2989" s="47" t="s">
        <v>4044</v>
      </c>
      <c r="E2989" s="47" t="str">
        <f t="shared" si="1"/>
        <v>4A</v>
      </c>
      <c r="F2989" s="47" t="s">
        <v>4046</v>
      </c>
      <c r="G2989" s="47" t="s">
        <v>735</v>
      </c>
      <c r="H2989" s="48">
        <f>IF(NOT(ISBLANK(vlookup(B2989,Pop_Census_2023!$A$2:$E$3220,4,FALSE))),vlookup(B2989,Pop_Census_2023!$A$2:$E$3220,4,FALSE), vlookup(B2989,Pop_Census_2023!$A$2:$E$3220,5,FALSE))</f>
        <v>23741</v>
      </c>
    </row>
    <row r="2990">
      <c r="A2990" s="47" t="s">
        <v>3713</v>
      </c>
      <c r="B2990" s="47">
        <v>51141.0</v>
      </c>
      <c r="C2990" s="47">
        <v>4.0</v>
      </c>
      <c r="D2990" s="47" t="s">
        <v>4044</v>
      </c>
      <c r="E2990" s="47" t="str">
        <f t="shared" si="1"/>
        <v>4A</v>
      </c>
      <c r="F2990" s="47" t="s">
        <v>4046</v>
      </c>
      <c r="G2990" s="47" t="s">
        <v>1859</v>
      </c>
      <c r="H2990" s="48">
        <f>IF(NOT(ISBLANK(vlookup(B2990,Pop_Census_2023!$A$2:$E$3220,4,FALSE))),vlookup(B2990,Pop_Census_2023!$A$2:$E$3220,4,FALSE), vlookup(B2990,Pop_Census_2023!$A$2:$E$3220,5,FALSE))</f>
        <v>17509</v>
      </c>
    </row>
    <row r="2991">
      <c r="A2991" s="47" t="s">
        <v>3713</v>
      </c>
      <c r="B2991" s="47">
        <v>51730.0</v>
      </c>
      <c r="C2991" s="47">
        <v>4.0</v>
      </c>
      <c r="D2991" s="47" t="s">
        <v>4044</v>
      </c>
      <c r="E2991" s="47" t="str">
        <f t="shared" si="1"/>
        <v>4A</v>
      </c>
      <c r="F2991" s="47" t="s">
        <v>4046</v>
      </c>
      <c r="G2991" s="47" t="s">
        <v>4177</v>
      </c>
      <c r="H2991" s="48">
        <f>IF(NOT(ISBLANK(vlookup(B2991,Pop_Census_2023!$A$2:$E$3220,4,FALSE))),vlookup(B2991,Pop_Census_2023!$A$2:$E$3220,4,FALSE), vlookup(B2991,Pop_Census_2023!$A$2:$E$3220,5,FALSE))</f>
        <v>33309</v>
      </c>
    </row>
    <row r="2992">
      <c r="A2992" s="47" t="s">
        <v>3713</v>
      </c>
      <c r="B2992" s="47">
        <v>51143.0</v>
      </c>
      <c r="C2992" s="47">
        <v>4.0</v>
      </c>
      <c r="D2992" s="47" t="s">
        <v>4044</v>
      </c>
      <c r="E2992" s="47" t="str">
        <f t="shared" si="1"/>
        <v>4A</v>
      </c>
      <c r="F2992" s="47" t="s">
        <v>4046</v>
      </c>
      <c r="G2992" s="47" t="s">
        <v>1860</v>
      </c>
      <c r="H2992" s="48">
        <f>IF(NOT(ISBLANK(vlookup(B2992,Pop_Census_2023!$A$2:$E$3220,4,FALSE))),vlookup(B2992,Pop_Census_2023!$A$2:$E$3220,4,FALSE), vlookup(B2992,Pop_Census_2023!$A$2:$E$3220,5,FALSE))</f>
        <v>59571</v>
      </c>
    </row>
    <row r="2993">
      <c r="A2993" s="47" t="s">
        <v>3713</v>
      </c>
      <c r="B2993" s="47">
        <v>51735.0</v>
      </c>
      <c r="C2993" s="47">
        <v>4.0</v>
      </c>
      <c r="D2993" s="47" t="s">
        <v>4044</v>
      </c>
      <c r="E2993" s="47" t="str">
        <f t="shared" si="1"/>
        <v>4A</v>
      </c>
      <c r="F2993" s="47" t="s">
        <v>4046</v>
      </c>
      <c r="G2993" s="47" t="s">
        <v>4178</v>
      </c>
      <c r="H2993" s="48">
        <f>IF(NOT(ISBLANK(vlookup(B2993,Pop_Census_2023!$A$2:$E$3220,4,FALSE))),vlookup(B2993,Pop_Census_2023!$A$2:$E$3220,4,FALSE), vlookup(B2993,Pop_Census_2023!$A$2:$E$3220,5,FALSE))</f>
        <v>12635</v>
      </c>
    </row>
    <row r="2994">
      <c r="A2994" s="47" t="s">
        <v>3713</v>
      </c>
      <c r="B2994" s="47">
        <v>51740.0</v>
      </c>
      <c r="C2994" s="47">
        <v>4.0</v>
      </c>
      <c r="D2994" s="47" t="s">
        <v>4044</v>
      </c>
      <c r="E2994" s="47" t="str">
        <f t="shared" si="1"/>
        <v>4A</v>
      </c>
      <c r="F2994" s="47" t="s">
        <v>4046</v>
      </c>
      <c r="G2994" s="47" t="s">
        <v>4179</v>
      </c>
      <c r="H2994" s="48">
        <f>IF(NOT(ISBLANK(vlookup(B2994,Pop_Census_2023!$A$2:$E$3220,4,FALSE))),vlookup(B2994,Pop_Census_2023!$A$2:$E$3220,4,FALSE), vlookup(B2994,Pop_Census_2023!$A$2:$E$3220,5,FALSE))</f>
        <v>96793</v>
      </c>
    </row>
    <row r="2995">
      <c r="A2995" s="47" t="s">
        <v>3713</v>
      </c>
      <c r="B2995" s="47">
        <v>51145.0</v>
      </c>
      <c r="C2995" s="47">
        <v>4.0</v>
      </c>
      <c r="D2995" s="47" t="s">
        <v>4044</v>
      </c>
      <c r="E2995" s="47" t="str">
        <f t="shared" si="1"/>
        <v>4A</v>
      </c>
      <c r="F2995" s="47" t="s">
        <v>4046</v>
      </c>
      <c r="G2995" s="47" t="s">
        <v>1861</v>
      </c>
      <c r="H2995" s="48">
        <f>IF(NOT(ISBLANK(vlookup(B2995,Pop_Census_2023!$A$2:$E$3220,4,FALSE))),vlookup(B2995,Pop_Census_2023!$A$2:$E$3220,4,FALSE), vlookup(B2995,Pop_Census_2023!$A$2:$E$3220,5,FALSE))</f>
        <v>32105</v>
      </c>
    </row>
    <row r="2996">
      <c r="A2996" s="47" t="s">
        <v>3713</v>
      </c>
      <c r="B2996" s="47">
        <v>51147.0</v>
      </c>
      <c r="C2996" s="47">
        <v>4.0</v>
      </c>
      <c r="D2996" s="47" t="s">
        <v>4044</v>
      </c>
      <c r="E2996" s="47" t="str">
        <f t="shared" si="1"/>
        <v>4A</v>
      </c>
      <c r="F2996" s="47" t="s">
        <v>4046</v>
      </c>
      <c r="G2996" s="47" t="s">
        <v>1862</v>
      </c>
      <c r="H2996" s="48">
        <f>IF(NOT(ISBLANK(vlookup(B2996,Pop_Census_2023!$A$2:$E$3220,4,FALSE))),vlookup(B2996,Pop_Census_2023!$A$2:$E$3220,4,FALSE), vlookup(B2996,Pop_Census_2023!$A$2:$E$3220,5,FALSE))</f>
        <v>22049</v>
      </c>
    </row>
    <row r="2997">
      <c r="A2997" s="47" t="s">
        <v>3713</v>
      </c>
      <c r="B2997" s="47">
        <v>51149.0</v>
      </c>
      <c r="C2997" s="47">
        <v>4.0</v>
      </c>
      <c r="D2997" s="47" t="s">
        <v>4044</v>
      </c>
      <c r="E2997" s="47" t="str">
        <f t="shared" si="1"/>
        <v>4A</v>
      </c>
      <c r="F2997" s="47" t="s">
        <v>4046</v>
      </c>
      <c r="G2997" s="47" t="s">
        <v>1863</v>
      </c>
      <c r="H2997" s="48">
        <f>IF(NOT(ISBLANK(vlookup(B2997,Pop_Census_2023!$A$2:$E$3220,4,FALSE))),vlookup(B2997,Pop_Census_2023!$A$2:$E$3220,4,FALSE), vlookup(B2997,Pop_Census_2023!$A$2:$E$3220,5,FALSE))</f>
        <v>42871</v>
      </c>
    </row>
    <row r="2998">
      <c r="A2998" s="47" t="s">
        <v>3713</v>
      </c>
      <c r="B2998" s="47">
        <v>51153.0</v>
      </c>
      <c r="C2998" s="47">
        <v>4.0</v>
      </c>
      <c r="D2998" s="47" t="s">
        <v>4044</v>
      </c>
      <c r="E2998" s="47" t="str">
        <f t="shared" si="1"/>
        <v>4A</v>
      </c>
      <c r="F2998" s="47" t="s">
        <v>4046</v>
      </c>
      <c r="G2998" s="47" t="s">
        <v>1864</v>
      </c>
      <c r="H2998" s="48">
        <f>IF(NOT(ISBLANK(vlookup(B2998,Pop_Census_2023!$A$2:$E$3220,4,FALSE))),vlookup(B2998,Pop_Census_2023!$A$2:$E$3220,4,FALSE), vlookup(B2998,Pop_Census_2023!$A$2:$E$3220,5,FALSE))</f>
        <v>489640</v>
      </c>
    </row>
    <row r="2999">
      <c r="A2999" s="47" t="s">
        <v>3713</v>
      </c>
      <c r="B2999" s="47">
        <v>51155.0</v>
      </c>
      <c r="C2999" s="47">
        <v>4.0</v>
      </c>
      <c r="D2999" s="47" t="s">
        <v>4044</v>
      </c>
      <c r="E2999" s="47" t="str">
        <f t="shared" si="1"/>
        <v>4A</v>
      </c>
      <c r="F2999" s="47" t="s">
        <v>4046</v>
      </c>
      <c r="G2999" s="47" t="s">
        <v>264</v>
      </c>
      <c r="H2999" s="48">
        <f>IF(NOT(ISBLANK(vlookup(B2999,Pop_Census_2023!$A$2:$E$3220,4,FALSE))),vlookup(B2999,Pop_Census_2023!$A$2:$E$3220,4,FALSE), vlookup(B2999,Pop_Census_2023!$A$2:$E$3220,5,FALSE))</f>
        <v>33655</v>
      </c>
    </row>
    <row r="3000">
      <c r="A3000" s="47" t="s">
        <v>3713</v>
      </c>
      <c r="B3000" s="47">
        <v>51750.0</v>
      </c>
      <c r="C3000" s="47">
        <v>4.0</v>
      </c>
      <c r="D3000" s="47" t="s">
        <v>4044</v>
      </c>
      <c r="E3000" s="47" t="str">
        <f t="shared" si="1"/>
        <v>4A</v>
      </c>
      <c r="F3000" s="47" t="s">
        <v>4046</v>
      </c>
      <c r="G3000" s="47" t="s">
        <v>4180</v>
      </c>
      <c r="H3000" s="48">
        <f>IF(NOT(ISBLANK(vlookup(B3000,Pop_Census_2023!$A$2:$E$3220,4,FALSE))),vlookup(B3000,Pop_Census_2023!$A$2:$E$3220,4,FALSE), vlookup(B3000,Pop_Census_2023!$A$2:$E$3220,5,FALSE))</f>
        <v>16971</v>
      </c>
    </row>
    <row r="3001">
      <c r="A3001" s="47" t="s">
        <v>3713</v>
      </c>
      <c r="B3001" s="47">
        <v>51157.0</v>
      </c>
      <c r="C3001" s="47">
        <v>4.0</v>
      </c>
      <c r="D3001" s="47" t="s">
        <v>4044</v>
      </c>
      <c r="E3001" s="47" t="str">
        <f t="shared" si="1"/>
        <v>4A</v>
      </c>
      <c r="F3001" s="47" t="s">
        <v>4046</v>
      </c>
      <c r="G3001" s="47" t="s">
        <v>1865</v>
      </c>
      <c r="H3001" s="48">
        <f>IF(NOT(ISBLANK(vlookup(B3001,Pop_Census_2023!$A$2:$E$3220,4,FALSE))),vlookup(B3001,Pop_Census_2023!$A$2:$E$3220,4,FALSE), vlookup(B3001,Pop_Census_2023!$A$2:$E$3220,5,FALSE))</f>
        <v>7414</v>
      </c>
    </row>
    <row r="3002">
      <c r="A3002" s="47" t="s">
        <v>3713</v>
      </c>
      <c r="B3002" s="47">
        <v>51159.0</v>
      </c>
      <c r="C3002" s="47">
        <v>4.0</v>
      </c>
      <c r="D3002" s="47" t="s">
        <v>4044</v>
      </c>
      <c r="E3002" s="47" t="str">
        <f t="shared" si="1"/>
        <v>4A</v>
      </c>
      <c r="F3002" s="47" t="s">
        <v>4046</v>
      </c>
      <c r="G3002" s="47" t="s">
        <v>539</v>
      </c>
      <c r="H3002" s="48">
        <f>IF(NOT(ISBLANK(vlookup(B3002,Pop_Census_2023!$A$2:$E$3220,4,FALSE))),vlookup(B3002,Pop_Census_2023!$A$2:$E$3220,4,FALSE), vlookup(B3002,Pop_Census_2023!$A$2:$E$3220,5,FALSE))</f>
        <v>9184</v>
      </c>
    </row>
    <row r="3003">
      <c r="A3003" s="47" t="s">
        <v>3713</v>
      </c>
      <c r="B3003" s="47">
        <v>51760.0</v>
      </c>
      <c r="C3003" s="47">
        <v>4.0</v>
      </c>
      <c r="D3003" s="47" t="s">
        <v>4044</v>
      </c>
      <c r="E3003" s="47" t="str">
        <f t="shared" si="1"/>
        <v>4A</v>
      </c>
      <c r="F3003" s="47" t="s">
        <v>4046</v>
      </c>
      <c r="G3003" s="47" t="s">
        <v>4181</v>
      </c>
      <c r="H3003" s="48">
        <f>IF(NOT(ISBLANK(vlookup(B3003,Pop_Census_2023!$A$2:$E$3220,4,FALSE))),vlookup(B3003,Pop_Census_2023!$A$2:$E$3220,4,FALSE), vlookup(B3003,Pop_Census_2023!$A$2:$E$3220,5,FALSE))</f>
        <v>229247</v>
      </c>
    </row>
    <row r="3004">
      <c r="A3004" s="47" t="s">
        <v>3713</v>
      </c>
      <c r="B3004" s="47">
        <v>51161.0</v>
      </c>
      <c r="C3004" s="47">
        <v>4.0</v>
      </c>
      <c r="D3004" s="47" t="s">
        <v>4044</v>
      </c>
      <c r="E3004" s="47" t="str">
        <f t="shared" si="1"/>
        <v>4A</v>
      </c>
      <c r="F3004" s="47" t="s">
        <v>4046</v>
      </c>
      <c r="G3004" s="47" t="s">
        <v>1866</v>
      </c>
      <c r="H3004" s="48">
        <f>IF(NOT(ISBLANK(vlookup(B3004,Pop_Census_2023!$A$2:$E$3220,4,FALSE))),vlookup(B3004,Pop_Census_2023!$A$2:$E$3220,4,FALSE), vlookup(B3004,Pop_Census_2023!$A$2:$E$3220,5,FALSE))</f>
        <v>97026</v>
      </c>
    </row>
    <row r="3005">
      <c r="A3005" s="47" t="s">
        <v>3713</v>
      </c>
      <c r="B3005" s="47">
        <v>51770.0</v>
      </c>
      <c r="C3005" s="47">
        <v>4.0</v>
      </c>
      <c r="D3005" s="47" t="s">
        <v>4044</v>
      </c>
      <c r="E3005" s="47" t="str">
        <f t="shared" si="1"/>
        <v>4A</v>
      </c>
      <c r="F3005" s="47" t="s">
        <v>4046</v>
      </c>
      <c r="G3005" s="47" t="s">
        <v>4182</v>
      </c>
      <c r="H3005" s="48">
        <f>IF(NOT(ISBLANK(vlookup(B3005,Pop_Census_2023!$A$2:$E$3220,4,FALSE))),vlookup(B3005,Pop_Census_2023!$A$2:$E$3220,4,FALSE), vlookup(B3005,Pop_Census_2023!$A$2:$E$3220,5,FALSE))</f>
        <v>97171</v>
      </c>
    </row>
    <row r="3006">
      <c r="A3006" s="47" t="s">
        <v>3713</v>
      </c>
      <c r="B3006" s="47">
        <v>51163.0</v>
      </c>
      <c r="C3006" s="47">
        <v>4.0</v>
      </c>
      <c r="D3006" s="47" t="s">
        <v>4044</v>
      </c>
      <c r="E3006" s="47" t="str">
        <f t="shared" si="1"/>
        <v>4A</v>
      </c>
      <c r="F3006" s="47" t="s">
        <v>4046</v>
      </c>
      <c r="G3006" s="47" t="s">
        <v>1867</v>
      </c>
      <c r="H3006" s="48">
        <f>IF(NOT(ISBLANK(vlookup(B3006,Pop_Census_2023!$A$2:$E$3220,4,FALSE))),vlookup(B3006,Pop_Census_2023!$A$2:$E$3220,4,FALSE), vlookup(B3006,Pop_Census_2023!$A$2:$E$3220,5,FALSE))</f>
        <v>22358</v>
      </c>
    </row>
    <row r="3007">
      <c r="A3007" s="47" t="s">
        <v>3713</v>
      </c>
      <c r="B3007" s="47">
        <v>51165.0</v>
      </c>
      <c r="C3007" s="47">
        <v>4.0</v>
      </c>
      <c r="D3007" s="47" t="s">
        <v>4044</v>
      </c>
      <c r="E3007" s="47" t="str">
        <f t="shared" si="1"/>
        <v>4A</v>
      </c>
      <c r="F3007" s="47" t="s">
        <v>4046</v>
      </c>
      <c r="G3007" s="47" t="s">
        <v>1256</v>
      </c>
      <c r="H3007" s="48">
        <f>IF(NOT(ISBLANK(vlookup(B3007,Pop_Census_2023!$A$2:$E$3220,4,FALSE))),vlookup(B3007,Pop_Census_2023!$A$2:$E$3220,4,FALSE), vlookup(B3007,Pop_Census_2023!$A$2:$E$3220,5,FALSE))</f>
        <v>86568</v>
      </c>
    </row>
    <row r="3008">
      <c r="A3008" s="47" t="s">
        <v>3713</v>
      </c>
      <c r="B3008" s="47">
        <v>51167.0</v>
      </c>
      <c r="C3008" s="47">
        <v>4.0</v>
      </c>
      <c r="D3008" s="47" t="s">
        <v>4044</v>
      </c>
      <c r="E3008" s="47" t="str">
        <f t="shared" si="1"/>
        <v>4A</v>
      </c>
      <c r="F3008" s="47" t="s">
        <v>4046</v>
      </c>
      <c r="G3008" s="47" t="s">
        <v>159</v>
      </c>
      <c r="H3008" s="48">
        <f>IF(NOT(ISBLANK(vlookup(B3008,Pop_Census_2023!$A$2:$E$3220,4,FALSE))),vlookup(B3008,Pop_Census_2023!$A$2:$E$3220,4,FALSE), vlookup(B3008,Pop_Census_2023!$A$2:$E$3220,5,FALSE))</f>
        <v>25477</v>
      </c>
    </row>
    <row r="3009">
      <c r="A3009" s="47" t="s">
        <v>3713</v>
      </c>
      <c r="B3009" s="47">
        <v>51775.0</v>
      </c>
      <c r="C3009" s="47">
        <v>4.0</v>
      </c>
      <c r="D3009" s="47" t="s">
        <v>4044</v>
      </c>
      <c r="E3009" s="47" t="str">
        <f t="shared" si="1"/>
        <v>4A</v>
      </c>
      <c r="F3009" s="47" t="s">
        <v>4046</v>
      </c>
      <c r="G3009" s="47" t="s">
        <v>4183</v>
      </c>
      <c r="H3009" s="48">
        <f>IF(NOT(ISBLANK(vlookup(B3009,Pop_Census_2023!$A$2:$E$3220,4,FALSE))),vlookup(B3009,Pop_Census_2023!$A$2:$E$3220,4,FALSE), vlookup(B3009,Pop_Census_2023!$A$2:$E$3220,5,FALSE))</f>
        <v>25600</v>
      </c>
    </row>
    <row r="3010">
      <c r="A3010" s="47" t="s">
        <v>3713</v>
      </c>
      <c r="B3010" s="47">
        <v>51169.0</v>
      </c>
      <c r="C3010" s="47">
        <v>4.0</v>
      </c>
      <c r="D3010" s="47" t="s">
        <v>4044</v>
      </c>
      <c r="E3010" s="47" t="str">
        <f t="shared" si="1"/>
        <v>4A</v>
      </c>
      <c r="F3010" s="47" t="s">
        <v>4046</v>
      </c>
      <c r="G3010" s="47" t="s">
        <v>267</v>
      </c>
      <c r="H3010" s="48">
        <f>IF(NOT(ISBLANK(vlookup(B3010,Pop_Census_2023!$A$2:$E$3220,4,FALSE))),vlookup(B3010,Pop_Census_2023!$A$2:$E$3220,4,FALSE), vlookup(B3010,Pop_Census_2023!$A$2:$E$3220,5,FALSE))</f>
        <v>21433</v>
      </c>
    </row>
    <row r="3011">
      <c r="A3011" s="47" t="s">
        <v>3713</v>
      </c>
      <c r="B3011" s="47">
        <v>51171.0</v>
      </c>
      <c r="C3011" s="47">
        <v>4.0</v>
      </c>
      <c r="D3011" s="47" t="s">
        <v>4044</v>
      </c>
      <c r="E3011" s="47" t="str">
        <f t="shared" si="1"/>
        <v>4A</v>
      </c>
      <c r="F3011" s="47" t="s">
        <v>4046</v>
      </c>
      <c r="G3011" s="47" t="s">
        <v>1868</v>
      </c>
      <c r="H3011" s="48">
        <f>IF(NOT(ISBLANK(vlookup(B3011,Pop_Census_2023!$A$2:$E$3220,4,FALSE))),vlookup(B3011,Pop_Census_2023!$A$2:$E$3220,4,FALSE), vlookup(B3011,Pop_Census_2023!$A$2:$E$3220,5,FALSE))</f>
        <v>45228</v>
      </c>
    </row>
    <row r="3012">
      <c r="A3012" s="47" t="s">
        <v>3713</v>
      </c>
      <c r="B3012" s="47">
        <v>51173.0</v>
      </c>
      <c r="C3012" s="47">
        <v>4.0</v>
      </c>
      <c r="D3012" s="47" t="s">
        <v>4044</v>
      </c>
      <c r="E3012" s="47" t="str">
        <f t="shared" si="1"/>
        <v>4A</v>
      </c>
      <c r="F3012" s="47" t="s">
        <v>4046</v>
      </c>
      <c r="G3012" s="47" t="s">
        <v>1869</v>
      </c>
      <c r="H3012" s="48">
        <f>IF(NOT(ISBLANK(vlookup(B3012,Pop_Census_2023!$A$2:$E$3220,4,FALSE))),vlookup(B3012,Pop_Census_2023!$A$2:$E$3220,4,FALSE), vlookup(B3012,Pop_Census_2023!$A$2:$E$3220,5,FALSE))</f>
        <v>29216</v>
      </c>
    </row>
    <row r="3013">
      <c r="A3013" s="47" t="s">
        <v>3713</v>
      </c>
      <c r="B3013" s="47">
        <v>51175.0</v>
      </c>
      <c r="C3013" s="47">
        <v>4.0</v>
      </c>
      <c r="D3013" s="47" t="s">
        <v>4044</v>
      </c>
      <c r="E3013" s="47" t="str">
        <f t="shared" si="1"/>
        <v>4A</v>
      </c>
      <c r="F3013" s="47" t="s">
        <v>4046</v>
      </c>
      <c r="G3013" s="47" t="s">
        <v>1870</v>
      </c>
      <c r="H3013" s="48">
        <f>IF(NOT(ISBLANK(vlookup(B3013,Pop_Census_2023!$A$2:$E$3220,4,FALSE))),vlookup(B3013,Pop_Census_2023!$A$2:$E$3220,4,FALSE), vlookup(B3013,Pop_Census_2023!$A$2:$E$3220,5,FALSE))</f>
        <v>17975</v>
      </c>
    </row>
    <row r="3014">
      <c r="A3014" s="47" t="s">
        <v>3713</v>
      </c>
      <c r="B3014" s="47">
        <v>51177.0</v>
      </c>
      <c r="C3014" s="47">
        <v>4.0</v>
      </c>
      <c r="D3014" s="47" t="s">
        <v>4044</v>
      </c>
      <c r="E3014" s="47" t="str">
        <f t="shared" si="1"/>
        <v>4A</v>
      </c>
      <c r="F3014" s="47" t="s">
        <v>4046</v>
      </c>
      <c r="G3014" s="47" t="s">
        <v>1871</v>
      </c>
      <c r="H3014" s="48">
        <f>IF(NOT(ISBLANK(vlookup(B3014,Pop_Census_2023!$A$2:$E$3220,4,FALSE))),vlookup(B3014,Pop_Census_2023!$A$2:$E$3220,4,FALSE), vlookup(B3014,Pop_Census_2023!$A$2:$E$3220,5,FALSE))</f>
        <v>149588</v>
      </c>
    </row>
    <row r="3015">
      <c r="A3015" s="47" t="s">
        <v>3713</v>
      </c>
      <c r="B3015" s="47">
        <v>51179.0</v>
      </c>
      <c r="C3015" s="47">
        <v>4.0</v>
      </c>
      <c r="D3015" s="47" t="s">
        <v>4044</v>
      </c>
      <c r="E3015" s="47" t="str">
        <f t="shared" si="1"/>
        <v>4A</v>
      </c>
      <c r="F3015" s="47" t="s">
        <v>4046</v>
      </c>
      <c r="G3015" s="47" t="s">
        <v>807</v>
      </c>
      <c r="H3015" s="48">
        <f>IF(NOT(ISBLANK(vlookup(B3015,Pop_Census_2023!$A$2:$E$3220,4,FALSE))),vlookup(B3015,Pop_Census_2023!$A$2:$E$3220,4,FALSE), vlookup(B3015,Pop_Census_2023!$A$2:$E$3220,5,FALSE))</f>
        <v>165428</v>
      </c>
    </row>
    <row r="3016">
      <c r="A3016" s="47" t="s">
        <v>3713</v>
      </c>
      <c r="B3016" s="47">
        <v>51790.0</v>
      </c>
      <c r="C3016" s="47">
        <v>4.0</v>
      </c>
      <c r="D3016" s="47" t="s">
        <v>4044</v>
      </c>
      <c r="E3016" s="47" t="str">
        <f t="shared" si="1"/>
        <v>4A</v>
      </c>
      <c r="F3016" s="47" t="s">
        <v>4046</v>
      </c>
      <c r="G3016" s="47" t="s">
        <v>4184</v>
      </c>
      <c r="H3016" s="48">
        <f>IF(NOT(ISBLANK(vlookup(B3016,Pop_Census_2023!$A$2:$E$3220,4,FALSE))),vlookup(B3016,Pop_Census_2023!$A$2:$E$3220,4,FALSE), vlookup(B3016,Pop_Census_2023!$A$2:$E$3220,5,FALSE))</f>
        <v>25915</v>
      </c>
    </row>
    <row r="3017">
      <c r="A3017" s="47" t="s">
        <v>3713</v>
      </c>
      <c r="B3017" s="47">
        <v>51800.0</v>
      </c>
      <c r="C3017" s="47">
        <v>4.0</v>
      </c>
      <c r="D3017" s="47" t="s">
        <v>4044</v>
      </c>
      <c r="E3017" s="47" t="str">
        <f t="shared" si="1"/>
        <v>4A</v>
      </c>
      <c r="F3017" s="47" t="s">
        <v>4046</v>
      </c>
      <c r="G3017" s="47" t="s">
        <v>4185</v>
      </c>
      <c r="H3017" s="48">
        <f>IF(NOT(ISBLANK(vlookup(B3017,Pop_Census_2023!$A$2:$E$3220,4,FALSE))),vlookup(B3017,Pop_Census_2023!$A$2:$E$3220,4,FALSE), vlookup(B3017,Pop_Census_2023!$A$2:$E$3220,5,FALSE))</f>
        <v>100659</v>
      </c>
    </row>
    <row r="3018">
      <c r="A3018" s="47" t="s">
        <v>3713</v>
      </c>
      <c r="B3018" s="47">
        <v>51181.0</v>
      </c>
      <c r="C3018" s="47">
        <v>4.0</v>
      </c>
      <c r="D3018" s="47" t="s">
        <v>4044</v>
      </c>
      <c r="E3018" s="47" t="str">
        <f t="shared" si="1"/>
        <v>4A</v>
      </c>
      <c r="F3018" s="47" t="s">
        <v>4046</v>
      </c>
      <c r="G3018" s="47" t="s">
        <v>1381</v>
      </c>
      <c r="H3018" s="48">
        <f>IF(NOT(ISBLANK(vlookup(B3018,Pop_Census_2023!$A$2:$E$3220,4,FALSE))),vlookup(B3018,Pop_Census_2023!$A$2:$E$3220,4,FALSE), vlookup(B3018,Pop_Census_2023!$A$2:$E$3220,5,FALSE))</f>
        <v>6593</v>
      </c>
    </row>
    <row r="3019">
      <c r="A3019" s="47" t="s">
        <v>3713</v>
      </c>
      <c r="B3019" s="47">
        <v>51183.0</v>
      </c>
      <c r="C3019" s="47">
        <v>4.0</v>
      </c>
      <c r="D3019" s="47" t="s">
        <v>4044</v>
      </c>
      <c r="E3019" s="47" t="str">
        <f t="shared" si="1"/>
        <v>4A</v>
      </c>
      <c r="F3019" s="47" t="s">
        <v>4046</v>
      </c>
      <c r="G3019" s="47" t="s">
        <v>407</v>
      </c>
      <c r="H3019" s="48">
        <f>IF(NOT(ISBLANK(vlookup(B3019,Pop_Census_2023!$A$2:$E$3220,4,FALSE))),vlookup(B3019,Pop_Census_2023!$A$2:$E$3220,4,FALSE), vlookup(B3019,Pop_Census_2023!$A$2:$E$3220,5,FALSE))</f>
        <v>10757</v>
      </c>
    </row>
    <row r="3020">
      <c r="A3020" s="47" t="s">
        <v>3713</v>
      </c>
      <c r="B3020" s="47">
        <v>51185.0</v>
      </c>
      <c r="C3020" s="47">
        <v>4.0</v>
      </c>
      <c r="D3020" s="47" t="s">
        <v>4044</v>
      </c>
      <c r="E3020" s="47" t="str">
        <f t="shared" si="1"/>
        <v>4A</v>
      </c>
      <c r="F3020" s="47" t="s">
        <v>4046</v>
      </c>
      <c r="G3020" s="47" t="s">
        <v>655</v>
      </c>
      <c r="H3020" s="48">
        <f>IF(NOT(ISBLANK(vlookup(B3020,Pop_Census_2023!$A$2:$E$3220,4,FALSE))),vlookup(B3020,Pop_Census_2023!$A$2:$E$3220,4,FALSE), vlookup(B3020,Pop_Census_2023!$A$2:$E$3220,5,FALSE))</f>
        <v>39120</v>
      </c>
    </row>
    <row r="3021">
      <c r="A3021" s="47" t="s">
        <v>3713</v>
      </c>
      <c r="B3021" s="47">
        <v>51810.0</v>
      </c>
      <c r="C3021" s="47">
        <v>4.0</v>
      </c>
      <c r="D3021" s="47" t="s">
        <v>4044</v>
      </c>
      <c r="E3021" s="47" t="str">
        <f t="shared" si="1"/>
        <v>4A</v>
      </c>
      <c r="F3021" s="47" t="s">
        <v>4046</v>
      </c>
      <c r="G3021" s="47" t="s">
        <v>4186</v>
      </c>
      <c r="H3021" s="48">
        <f>IF(NOT(ISBLANK(vlookup(B3021,Pop_Census_2023!$A$2:$E$3220,4,FALSE))),vlookup(B3021,Pop_Census_2023!$A$2:$E$3220,4,FALSE), vlookup(B3021,Pop_Census_2023!$A$2:$E$3220,5,FALSE))</f>
        <v>453649</v>
      </c>
    </row>
    <row r="3022">
      <c r="A3022" s="47" t="s">
        <v>3713</v>
      </c>
      <c r="B3022" s="47">
        <v>51187.0</v>
      </c>
      <c r="C3022" s="47">
        <v>4.0</v>
      </c>
      <c r="D3022" s="47" t="s">
        <v>4044</v>
      </c>
      <c r="E3022" s="47" t="str">
        <f t="shared" si="1"/>
        <v>4A</v>
      </c>
      <c r="F3022" s="47" t="s">
        <v>4046</v>
      </c>
      <c r="G3022" s="47" t="s">
        <v>561</v>
      </c>
      <c r="H3022" s="48">
        <f>IF(NOT(ISBLANK(vlookup(B3022,Pop_Census_2023!$A$2:$E$3220,4,FALSE))),vlookup(B3022,Pop_Census_2023!$A$2:$E$3220,4,FALSE), vlookup(B3022,Pop_Census_2023!$A$2:$E$3220,5,FALSE))</f>
        <v>41843</v>
      </c>
    </row>
    <row r="3023">
      <c r="A3023" s="47" t="s">
        <v>3713</v>
      </c>
      <c r="B3023" s="47">
        <v>51191.0</v>
      </c>
      <c r="C3023" s="47">
        <v>4.0</v>
      </c>
      <c r="D3023" s="47" t="s">
        <v>4044</v>
      </c>
      <c r="E3023" s="47" t="str">
        <f t="shared" si="1"/>
        <v>4A</v>
      </c>
      <c r="F3023" s="47" t="s">
        <v>4046</v>
      </c>
      <c r="G3023" s="47" t="s">
        <v>167</v>
      </c>
      <c r="H3023" s="48">
        <f>IF(NOT(ISBLANK(vlookup(B3023,Pop_Census_2023!$A$2:$E$3220,4,FALSE))),vlookup(B3023,Pop_Census_2023!$A$2:$E$3220,4,FALSE), vlookup(B3023,Pop_Census_2023!$A$2:$E$3220,5,FALSE))</f>
        <v>54050</v>
      </c>
    </row>
    <row r="3024">
      <c r="A3024" s="47" t="s">
        <v>3713</v>
      </c>
      <c r="B3024" s="47">
        <v>51820.0</v>
      </c>
      <c r="C3024" s="47">
        <v>4.0</v>
      </c>
      <c r="D3024" s="47" t="s">
        <v>4044</v>
      </c>
      <c r="E3024" s="47" t="str">
        <f t="shared" si="1"/>
        <v>4A</v>
      </c>
      <c r="F3024" s="47" t="s">
        <v>4046</v>
      </c>
      <c r="G3024" s="47" t="s">
        <v>4187</v>
      </c>
      <c r="H3024" s="48">
        <f>IF(NOT(ISBLANK(vlookup(B3024,Pop_Census_2023!$A$2:$E$3220,4,FALSE))),vlookup(B3024,Pop_Census_2023!$A$2:$E$3220,4,FALSE), vlookup(B3024,Pop_Census_2023!$A$2:$E$3220,5,FALSE))</f>
        <v>23182</v>
      </c>
    </row>
    <row r="3025">
      <c r="A3025" s="47" t="s">
        <v>3713</v>
      </c>
      <c r="B3025" s="47">
        <v>51193.0</v>
      </c>
      <c r="C3025" s="47">
        <v>4.0</v>
      </c>
      <c r="D3025" s="47" t="s">
        <v>4044</v>
      </c>
      <c r="E3025" s="47" t="str">
        <f t="shared" si="1"/>
        <v>4A</v>
      </c>
      <c r="F3025" s="47" t="s">
        <v>4046</v>
      </c>
      <c r="G3025" s="47" t="s">
        <v>1545</v>
      </c>
      <c r="H3025" s="48">
        <f>IF(NOT(ISBLANK(vlookup(B3025,Pop_Census_2023!$A$2:$E$3220,4,FALSE))),vlookup(B3025,Pop_Census_2023!$A$2:$E$3220,4,FALSE), vlookup(B3025,Pop_Census_2023!$A$2:$E$3220,5,FALSE))</f>
        <v>19013</v>
      </c>
    </row>
    <row r="3026">
      <c r="A3026" s="47" t="s">
        <v>3713</v>
      </c>
      <c r="B3026" s="47">
        <v>51830.0</v>
      </c>
      <c r="C3026" s="47">
        <v>4.0</v>
      </c>
      <c r="D3026" s="47" t="s">
        <v>4044</v>
      </c>
      <c r="E3026" s="47" t="str">
        <f t="shared" si="1"/>
        <v>4A</v>
      </c>
      <c r="F3026" s="47" t="s">
        <v>4046</v>
      </c>
      <c r="G3026" s="47" t="s">
        <v>4188</v>
      </c>
      <c r="H3026" s="48">
        <f>IF(NOT(ISBLANK(vlookup(B3026,Pop_Census_2023!$A$2:$E$3220,4,FALSE))),vlookup(B3026,Pop_Census_2023!$A$2:$E$3220,4,FALSE), vlookup(B3026,Pop_Census_2023!$A$2:$E$3220,5,FALSE))</f>
        <v>15847</v>
      </c>
    </row>
    <row r="3027">
      <c r="A3027" s="47" t="s">
        <v>3713</v>
      </c>
      <c r="B3027" s="47">
        <v>51840.0</v>
      </c>
      <c r="C3027" s="47">
        <v>4.0</v>
      </c>
      <c r="D3027" s="47" t="s">
        <v>4044</v>
      </c>
      <c r="E3027" s="47" t="str">
        <f t="shared" si="1"/>
        <v>4A</v>
      </c>
      <c r="F3027" s="47" t="s">
        <v>4046</v>
      </c>
      <c r="G3027" s="47" t="s">
        <v>4189</v>
      </c>
      <c r="H3027" s="48">
        <f>IF(NOT(ISBLANK(vlookup(B3027,Pop_Census_2023!$A$2:$E$3220,4,FALSE))),vlookup(B3027,Pop_Census_2023!$A$2:$E$3220,4,FALSE), vlookup(B3027,Pop_Census_2023!$A$2:$E$3220,5,FALSE))</f>
        <v>27617</v>
      </c>
    </row>
    <row r="3028">
      <c r="A3028" s="47" t="s">
        <v>3713</v>
      </c>
      <c r="B3028" s="47">
        <v>51195.0</v>
      </c>
      <c r="C3028" s="47">
        <v>4.0</v>
      </c>
      <c r="D3028" s="47" t="s">
        <v>4044</v>
      </c>
      <c r="E3028" s="47" t="str">
        <f t="shared" si="1"/>
        <v>4A</v>
      </c>
      <c r="F3028" s="47" t="s">
        <v>4046</v>
      </c>
      <c r="G3028" s="47" t="s">
        <v>1797</v>
      </c>
      <c r="H3028" s="48">
        <f>IF(NOT(ISBLANK(vlookup(B3028,Pop_Census_2023!$A$2:$E$3220,4,FALSE))),vlookup(B3028,Pop_Census_2023!$A$2:$E$3220,4,FALSE), vlookup(B3028,Pop_Census_2023!$A$2:$E$3220,5,FALSE))</f>
        <v>35174</v>
      </c>
    </row>
    <row r="3029">
      <c r="A3029" s="47" t="s">
        <v>3713</v>
      </c>
      <c r="B3029" s="47">
        <v>51197.0</v>
      </c>
      <c r="C3029" s="47">
        <v>4.0</v>
      </c>
      <c r="D3029" s="47" t="s">
        <v>4044</v>
      </c>
      <c r="E3029" s="47" t="str">
        <f t="shared" si="1"/>
        <v>4A</v>
      </c>
      <c r="F3029" s="47" t="s">
        <v>4046</v>
      </c>
      <c r="G3029" s="47" t="s">
        <v>1872</v>
      </c>
      <c r="H3029" s="48">
        <f>IF(NOT(ISBLANK(vlookup(B3029,Pop_Census_2023!$A$2:$E$3220,4,FALSE))),vlookup(B3029,Pop_Census_2023!$A$2:$E$3220,4,FALSE), vlookup(B3029,Pop_Census_2023!$A$2:$E$3220,5,FALSE))</f>
        <v>28104</v>
      </c>
    </row>
    <row r="3030">
      <c r="A3030" s="47" t="s">
        <v>3713</v>
      </c>
      <c r="B3030" s="47">
        <v>51199.0</v>
      </c>
      <c r="C3030" s="47">
        <v>4.0</v>
      </c>
      <c r="D3030" s="47" t="s">
        <v>4044</v>
      </c>
      <c r="E3030" s="47" t="str">
        <f t="shared" si="1"/>
        <v>4A</v>
      </c>
      <c r="F3030" s="47" t="s">
        <v>4046</v>
      </c>
      <c r="G3030" s="47" t="s">
        <v>932</v>
      </c>
      <c r="H3030" s="48">
        <f>IF(NOT(ISBLANK(vlookup(B3030,Pop_Census_2023!$A$2:$E$3220,4,FALSE))),vlookup(B3030,Pop_Census_2023!$A$2:$E$3220,4,FALSE), vlookup(B3030,Pop_Census_2023!$A$2:$E$3220,5,FALSE))</f>
        <v>70952</v>
      </c>
    </row>
    <row r="3031">
      <c r="A3031" s="47" t="s">
        <v>4190</v>
      </c>
      <c r="B3031" s="47">
        <v>78010.0</v>
      </c>
      <c r="C3031" s="47">
        <v>1.0</v>
      </c>
      <c r="D3031" s="47" t="s">
        <v>4044</v>
      </c>
      <c r="E3031" s="47" t="str">
        <f t="shared" si="1"/>
        <v>1A</v>
      </c>
      <c r="F3031" s="47" t="s">
        <v>4045</v>
      </c>
      <c r="G3031" s="47" t="s">
        <v>4191</v>
      </c>
      <c r="H3031" s="34" t="str">
        <f>IF(NOT(ISBLANK(vlookup(B3031,Pop_Census_2023!$A$2:$E$3220,4,FALSE))),vlookup(B3031,Pop_Census_2023!$A$2:$E$3220,4,FALSE), vlookup(B3031,Pop_Census_2023!$A$2:$E$3220,5,FALSE))</f>
        <v>#N/A</v>
      </c>
    </row>
    <row r="3032">
      <c r="A3032" s="47" t="s">
        <v>4190</v>
      </c>
      <c r="B3032" s="47">
        <v>78020.0</v>
      </c>
      <c r="C3032" s="47">
        <v>1.0</v>
      </c>
      <c r="D3032" s="47" t="s">
        <v>4044</v>
      </c>
      <c r="E3032" s="47" t="str">
        <f t="shared" si="1"/>
        <v>1A</v>
      </c>
      <c r="F3032" s="47" t="s">
        <v>4045</v>
      </c>
      <c r="G3032" s="47" t="s">
        <v>4192</v>
      </c>
      <c r="H3032" s="34" t="str">
        <f>IF(NOT(ISBLANK(vlookup(B3032,Pop_Census_2023!$A$2:$E$3220,4,FALSE))),vlookup(B3032,Pop_Census_2023!$A$2:$E$3220,4,FALSE), vlookup(B3032,Pop_Census_2023!$A$2:$E$3220,5,FALSE))</f>
        <v>#N/A</v>
      </c>
    </row>
    <row r="3033">
      <c r="A3033" s="47" t="s">
        <v>4190</v>
      </c>
      <c r="B3033" s="47">
        <v>78030.0</v>
      </c>
      <c r="C3033" s="47">
        <v>1.0</v>
      </c>
      <c r="D3033" s="47" t="s">
        <v>4044</v>
      </c>
      <c r="E3033" s="47" t="str">
        <f t="shared" si="1"/>
        <v>1A</v>
      </c>
      <c r="F3033" s="47" t="s">
        <v>4045</v>
      </c>
      <c r="G3033" s="47" t="s">
        <v>4193</v>
      </c>
      <c r="H3033" s="34" t="str">
        <f>IF(NOT(ISBLANK(vlookup(B3033,Pop_Census_2023!$A$2:$E$3220,4,FALSE))),vlookup(B3033,Pop_Census_2023!$A$2:$E$3220,4,FALSE), vlookup(B3033,Pop_Census_2023!$A$2:$E$3220,5,FALSE))</f>
        <v>#N/A</v>
      </c>
    </row>
    <row r="3034">
      <c r="A3034" s="47" t="s">
        <v>3704</v>
      </c>
      <c r="B3034" s="47">
        <v>50001.0</v>
      </c>
      <c r="C3034" s="47">
        <v>6.0</v>
      </c>
      <c r="D3034" s="47" t="s">
        <v>4044</v>
      </c>
      <c r="E3034" s="47" t="str">
        <f t="shared" si="1"/>
        <v>6A</v>
      </c>
      <c r="F3034" s="47" t="s">
        <v>4054</v>
      </c>
      <c r="G3034" s="47" t="s">
        <v>1818</v>
      </c>
      <c r="H3034" s="48">
        <f>IF(NOT(ISBLANK(vlookup(B3034,Pop_Census_2023!$A$2:$E$3220,4,FALSE))),vlookup(B3034,Pop_Census_2023!$A$2:$E$3220,4,FALSE), vlookup(B3034,Pop_Census_2023!$A$2:$E$3220,5,FALSE))</f>
        <v>37720</v>
      </c>
    </row>
    <row r="3035">
      <c r="A3035" s="47" t="s">
        <v>3704</v>
      </c>
      <c r="B3035" s="47">
        <v>50003.0</v>
      </c>
      <c r="C3035" s="47">
        <v>6.0</v>
      </c>
      <c r="D3035" s="47" t="s">
        <v>4044</v>
      </c>
      <c r="E3035" s="47" t="str">
        <f t="shared" si="1"/>
        <v>6A</v>
      </c>
      <c r="F3035" s="47" t="s">
        <v>4054</v>
      </c>
      <c r="G3035" s="47" t="s">
        <v>1820</v>
      </c>
      <c r="H3035" s="48">
        <f>IF(NOT(ISBLANK(vlookup(B3035,Pop_Census_2023!$A$2:$E$3220,4,FALSE))),vlookup(B3035,Pop_Census_2023!$A$2:$E$3220,4,FALSE), vlookup(B3035,Pop_Census_2023!$A$2:$E$3220,5,FALSE))</f>
        <v>37183</v>
      </c>
    </row>
    <row r="3036">
      <c r="A3036" s="47" t="s">
        <v>3704</v>
      </c>
      <c r="B3036" s="47">
        <v>50005.0</v>
      </c>
      <c r="C3036" s="47">
        <v>6.0</v>
      </c>
      <c r="D3036" s="47" t="s">
        <v>4044</v>
      </c>
      <c r="E3036" s="47" t="str">
        <f t="shared" si="1"/>
        <v>6A</v>
      </c>
      <c r="F3036" s="47" t="s">
        <v>4054</v>
      </c>
      <c r="G3036" s="47" t="s">
        <v>1821</v>
      </c>
      <c r="H3036" s="48">
        <f>IF(NOT(ISBLANK(vlookup(B3036,Pop_Census_2023!$A$2:$E$3220,4,FALSE))),vlookup(B3036,Pop_Census_2023!$A$2:$E$3220,4,FALSE), vlookup(B3036,Pop_Census_2023!$A$2:$E$3220,5,FALSE))</f>
        <v>30610</v>
      </c>
    </row>
    <row r="3037">
      <c r="A3037" s="47" t="s">
        <v>3704</v>
      </c>
      <c r="B3037" s="47">
        <v>50007.0</v>
      </c>
      <c r="C3037" s="47">
        <v>6.0</v>
      </c>
      <c r="D3037" s="47" t="s">
        <v>4044</v>
      </c>
      <c r="E3037" s="47" t="str">
        <f t="shared" si="1"/>
        <v>6A</v>
      </c>
      <c r="F3037" s="47" t="s">
        <v>4054</v>
      </c>
      <c r="G3037" s="47" t="s">
        <v>1822</v>
      </c>
      <c r="H3037" s="48">
        <f>IF(NOT(ISBLANK(vlookup(B3037,Pop_Census_2023!$A$2:$E$3220,4,FALSE))),vlookup(B3037,Pop_Census_2023!$A$2:$E$3220,4,FALSE), vlookup(B3037,Pop_Census_2023!$A$2:$E$3220,5,FALSE))</f>
        <v>169481</v>
      </c>
    </row>
    <row r="3038">
      <c r="A3038" s="47" t="s">
        <v>3704</v>
      </c>
      <c r="B3038" s="47">
        <v>50009.0</v>
      </c>
      <c r="C3038" s="47">
        <v>6.0</v>
      </c>
      <c r="D3038" s="47" t="s">
        <v>4044</v>
      </c>
      <c r="E3038" s="47" t="str">
        <f t="shared" si="1"/>
        <v>6A</v>
      </c>
      <c r="F3038" s="47" t="s">
        <v>4054</v>
      </c>
      <c r="G3038" s="47" t="s">
        <v>956</v>
      </c>
      <c r="H3038" s="48">
        <f>IF(NOT(ISBLANK(vlookup(B3038,Pop_Census_2023!$A$2:$E$3220,4,FALSE))),vlookup(B3038,Pop_Census_2023!$A$2:$E$3220,4,FALSE), vlookup(B3038,Pop_Census_2023!$A$2:$E$3220,5,FALSE))</f>
        <v>6010</v>
      </c>
    </row>
    <row r="3039">
      <c r="A3039" s="47" t="s">
        <v>3704</v>
      </c>
      <c r="B3039" s="47">
        <v>50011.0</v>
      </c>
      <c r="C3039" s="47">
        <v>6.0</v>
      </c>
      <c r="D3039" s="47" t="s">
        <v>4044</v>
      </c>
      <c r="E3039" s="47" t="str">
        <f t="shared" si="1"/>
        <v>6A</v>
      </c>
      <c r="F3039" s="47" t="s">
        <v>4054</v>
      </c>
      <c r="G3039" s="47" t="s">
        <v>132</v>
      </c>
      <c r="H3039" s="48">
        <f>IF(NOT(ISBLANK(vlookup(B3039,Pop_Census_2023!$A$2:$E$3220,4,FALSE))),vlookup(B3039,Pop_Census_2023!$A$2:$E$3220,4,FALSE), vlookup(B3039,Pop_Census_2023!$A$2:$E$3220,5,FALSE))</f>
        <v>50994</v>
      </c>
    </row>
    <row r="3040">
      <c r="A3040" s="47" t="s">
        <v>3704</v>
      </c>
      <c r="B3040" s="47">
        <v>50013.0</v>
      </c>
      <c r="C3040" s="47">
        <v>6.0</v>
      </c>
      <c r="D3040" s="47" t="s">
        <v>4044</v>
      </c>
      <c r="E3040" s="47" t="str">
        <f t="shared" si="1"/>
        <v>6A</v>
      </c>
      <c r="F3040" s="47" t="s">
        <v>4054</v>
      </c>
      <c r="G3040" s="47" t="s">
        <v>1823</v>
      </c>
      <c r="H3040" s="48">
        <f>IF(NOT(ISBLANK(vlookup(B3040,Pop_Census_2023!$A$2:$E$3220,4,FALSE))),vlookup(B3040,Pop_Census_2023!$A$2:$E$3220,4,FALSE), vlookup(B3040,Pop_Census_2023!$A$2:$E$3220,5,FALSE))</f>
        <v>7467</v>
      </c>
    </row>
    <row r="3041">
      <c r="A3041" s="47" t="s">
        <v>3704</v>
      </c>
      <c r="B3041" s="47">
        <v>50015.0</v>
      </c>
      <c r="C3041" s="47">
        <v>6.0</v>
      </c>
      <c r="D3041" s="47" t="s">
        <v>4044</v>
      </c>
      <c r="E3041" s="47" t="str">
        <f t="shared" si="1"/>
        <v>6A</v>
      </c>
      <c r="F3041" s="47" t="s">
        <v>4054</v>
      </c>
      <c r="G3041" s="47" t="s">
        <v>1824</v>
      </c>
      <c r="H3041" s="48">
        <f>IF(NOT(ISBLANK(vlookup(B3041,Pop_Census_2023!$A$2:$E$3220,4,FALSE))),vlookup(B3041,Pop_Census_2023!$A$2:$E$3220,4,FALSE), vlookup(B3041,Pop_Census_2023!$A$2:$E$3220,5,FALSE))</f>
        <v>26060</v>
      </c>
    </row>
    <row r="3042">
      <c r="A3042" s="47" t="s">
        <v>3704</v>
      </c>
      <c r="B3042" s="47">
        <v>50017.0</v>
      </c>
      <c r="C3042" s="47">
        <v>6.0</v>
      </c>
      <c r="D3042" s="47" t="s">
        <v>4044</v>
      </c>
      <c r="E3042" s="47" t="str">
        <f t="shared" si="1"/>
        <v>6A</v>
      </c>
      <c r="F3042" s="47" t="s">
        <v>4054</v>
      </c>
      <c r="G3042" s="47" t="s">
        <v>310</v>
      </c>
      <c r="H3042" s="48">
        <f>IF(NOT(ISBLANK(vlookup(B3042,Pop_Census_2023!$A$2:$E$3220,4,FALSE))),vlookup(B3042,Pop_Census_2023!$A$2:$E$3220,4,FALSE), vlookup(B3042,Pop_Census_2023!$A$2:$E$3220,5,FALSE))</f>
        <v>29943</v>
      </c>
    </row>
    <row r="3043">
      <c r="A3043" s="47" t="s">
        <v>3704</v>
      </c>
      <c r="B3043" s="47">
        <v>50019.0</v>
      </c>
      <c r="C3043" s="47">
        <v>6.0</v>
      </c>
      <c r="D3043" s="47" t="s">
        <v>4044</v>
      </c>
      <c r="E3043" s="47" t="str">
        <f t="shared" si="1"/>
        <v>6A</v>
      </c>
      <c r="F3043" s="47" t="s">
        <v>4054</v>
      </c>
      <c r="G3043" s="47" t="s">
        <v>899</v>
      </c>
      <c r="H3043" s="48">
        <f>IF(NOT(ISBLANK(vlookup(B3043,Pop_Census_2023!$A$2:$E$3220,4,FALSE))),vlookup(B3043,Pop_Census_2023!$A$2:$E$3220,4,FALSE), vlookup(B3043,Pop_Census_2023!$A$2:$E$3220,5,FALSE))</f>
        <v>27516</v>
      </c>
    </row>
    <row r="3044">
      <c r="A3044" s="47" t="s">
        <v>3704</v>
      </c>
      <c r="B3044" s="47">
        <v>50021.0</v>
      </c>
      <c r="C3044" s="47">
        <v>6.0</v>
      </c>
      <c r="D3044" s="47" t="s">
        <v>4044</v>
      </c>
      <c r="E3044" s="47" t="str">
        <f t="shared" si="1"/>
        <v>6A</v>
      </c>
      <c r="F3044" s="47" t="s">
        <v>4054</v>
      </c>
      <c r="G3044" s="47" t="s">
        <v>1825</v>
      </c>
      <c r="H3044" s="48">
        <f>IF(NOT(ISBLANK(vlookup(B3044,Pop_Census_2023!$A$2:$E$3220,4,FALSE))),vlookup(B3044,Pop_Census_2023!$A$2:$E$3220,4,FALSE), vlookup(B3044,Pop_Census_2023!$A$2:$E$3220,5,FALSE))</f>
        <v>60271</v>
      </c>
    </row>
    <row r="3045">
      <c r="A3045" s="47" t="s">
        <v>3704</v>
      </c>
      <c r="B3045" s="47">
        <v>50023.0</v>
      </c>
      <c r="C3045" s="47">
        <v>6.0</v>
      </c>
      <c r="D3045" s="47" t="s">
        <v>4044</v>
      </c>
      <c r="E3045" s="47" t="str">
        <f t="shared" si="1"/>
        <v>6A</v>
      </c>
      <c r="F3045" s="47" t="s">
        <v>4054</v>
      </c>
      <c r="G3045" s="47" t="s">
        <v>167</v>
      </c>
      <c r="H3045" s="48">
        <f>IF(NOT(ISBLANK(vlookup(B3045,Pop_Census_2023!$A$2:$E$3220,4,FALSE))),vlookup(B3045,Pop_Census_2023!$A$2:$E$3220,4,FALSE), vlookup(B3045,Pop_Census_2023!$A$2:$E$3220,5,FALSE))</f>
        <v>60142</v>
      </c>
    </row>
    <row r="3046">
      <c r="A3046" s="47" t="s">
        <v>3704</v>
      </c>
      <c r="B3046" s="47">
        <v>50025.0</v>
      </c>
      <c r="C3046" s="47">
        <v>6.0</v>
      </c>
      <c r="D3046" s="47" t="s">
        <v>4044</v>
      </c>
      <c r="E3046" s="47" t="str">
        <f t="shared" si="1"/>
        <v>6A</v>
      </c>
      <c r="F3046" s="47" t="s">
        <v>4054</v>
      </c>
      <c r="G3046" s="47" t="s">
        <v>403</v>
      </c>
      <c r="H3046" s="48">
        <f>IF(NOT(ISBLANK(vlookup(B3046,Pop_Census_2023!$A$2:$E$3220,4,FALSE))),vlookup(B3046,Pop_Census_2023!$A$2:$E$3220,4,FALSE), vlookup(B3046,Pop_Census_2023!$A$2:$E$3220,5,FALSE))</f>
        <v>45966</v>
      </c>
    </row>
    <row r="3047">
      <c r="A3047" s="47" t="s">
        <v>3704</v>
      </c>
      <c r="B3047" s="47">
        <v>50027.0</v>
      </c>
      <c r="C3047" s="47">
        <v>6.0</v>
      </c>
      <c r="D3047" s="47" t="s">
        <v>4044</v>
      </c>
      <c r="E3047" s="47" t="str">
        <f t="shared" si="1"/>
        <v>6A</v>
      </c>
      <c r="F3047" s="47" t="s">
        <v>4054</v>
      </c>
      <c r="G3047" s="47" t="s">
        <v>1826</v>
      </c>
      <c r="H3047" s="48">
        <f>IF(NOT(ISBLANK(vlookup(B3047,Pop_Census_2023!$A$2:$E$3220,4,FALSE))),vlookup(B3047,Pop_Census_2023!$A$2:$E$3220,4,FALSE), vlookup(B3047,Pop_Census_2023!$A$2:$E$3220,5,FALSE))</f>
        <v>58101</v>
      </c>
    </row>
    <row r="3048">
      <c r="A3048" s="47" t="s">
        <v>3797</v>
      </c>
      <c r="B3048" s="47">
        <v>53001.0</v>
      </c>
      <c r="C3048" s="47">
        <v>5.0</v>
      </c>
      <c r="D3048" s="47" t="s">
        <v>4053</v>
      </c>
      <c r="E3048" s="47" t="str">
        <f t="shared" si="1"/>
        <v>5B</v>
      </c>
      <c r="F3048" s="47" t="s">
        <v>4054</v>
      </c>
      <c r="G3048" s="47" t="s">
        <v>338</v>
      </c>
      <c r="H3048" s="48">
        <f>IF(NOT(ISBLANK(vlookup(B3048,Pop_Census_2023!$A$2:$E$3220,4,FALSE))),vlookup(B3048,Pop_Census_2023!$A$2:$E$3220,4,FALSE), vlookup(B3048,Pop_Census_2023!$A$2:$E$3220,5,FALSE))</f>
        <v>20820</v>
      </c>
    </row>
    <row r="3049">
      <c r="A3049" s="47" t="s">
        <v>3797</v>
      </c>
      <c r="B3049" s="47">
        <v>53003.0</v>
      </c>
      <c r="C3049" s="47">
        <v>5.0</v>
      </c>
      <c r="D3049" s="47" t="s">
        <v>4053</v>
      </c>
      <c r="E3049" s="47" t="str">
        <f t="shared" si="1"/>
        <v>5B</v>
      </c>
      <c r="F3049" s="47" t="s">
        <v>4054</v>
      </c>
      <c r="G3049" s="47" t="s">
        <v>1901</v>
      </c>
      <c r="H3049" s="48">
        <f>IF(NOT(ISBLANK(vlookup(B3049,Pop_Census_2023!$A$2:$E$3220,4,FALSE))),vlookup(B3049,Pop_Census_2023!$A$2:$E$3220,4,FALSE), vlookup(B3049,Pop_Census_2023!$A$2:$E$3220,5,FALSE))</f>
        <v>22549</v>
      </c>
    </row>
    <row r="3050">
      <c r="A3050" s="47" t="s">
        <v>3797</v>
      </c>
      <c r="B3050" s="47">
        <v>53005.0</v>
      </c>
      <c r="C3050" s="47">
        <v>5.0</v>
      </c>
      <c r="D3050" s="47" t="s">
        <v>4053</v>
      </c>
      <c r="E3050" s="47" t="str">
        <f t="shared" si="1"/>
        <v>5B</v>
      </c>
      <c r="F3050" s="47" t="s">
        <v>4054</v>
      </c>
      <c r="G3050" s="47" t="s">
        <v>224</v>
      </c>
      <c r="H3050" s="48">
        <f>IF(NOT(ISBLANK(vlookup(B3050,Pop_Census_2023!$A$2:$E$3220,4,FALSE))),vlookup(B3050,Pop_Census_2023!$A$2:$E$3220,4,FALSE), vlookup(B3050,Pop_Census_2023!$A$2:$E$3220,5,FALSE))</f>
        <v>215219</v>
      </c>
    </row>
    <row r="3051">
      <c r="A3051" s="47" t="s">
        <v>3797</v>
      </c>
      <c r="B3051" s="47">
        <v>53007.0</v>
      </c>
      <c r="C3051" s="47">
        <v>5.0</v>
      </c>
      <c r="D3051" s="47" t="s">
        <v>4053</v>
      </c>
      <c r="E3051" s="47" t="str">
        <f t="shared" si="1"/>
        <v>5B</v>
      </c>
      <c r="F3051" s="47" t="s">
        <v>4054</v>
      </c>
      <c r="G3051" s="47" t="s">
        <v>1902</v>
      </c>
      <c r="H3051" s="48">
        <f>IF(NOT(ISBLANK(vlookup(B3051,Pop_Census_2023!$A$2:$E$3220,4,FALSE))),vlookup(B3051,Pop_Census_2023!$A$2:$E$3220,4,FALSE), vlookup(B3051,Pop_Census_2023!$A$2:$E$3220,5,FALSE))</f>
        <v>79997</v>
      </c>
    </row>
    <row r="3052">
      <c r="A3052" s="47" t="s">
        <v>3797</v>
      </c>
      <c r="B3052" s="47">
        <v>53009.0</v>
      </c>
      <c r="C3052" s="47">
        <v>4.0</v>
      </c>
      <c r="D3052" s="47" t="s">
        <v>4057</v>
      </c>
      <c r="E3052" s="47" t="str">
        <f t="shared" si="1"/>
        <v>4C</v>
      </c>
      <c r="F3052" s="47" t="s">
        <v>4058</v>
      </c>
      <c r="G3052" s="47" t="s">
        <v>1903</v>
      </c>
      <c r="H3052" s="48">
        <f>IF(NOT(ISBLANK(vlookup(B3052,Pop_Census_2023!$A$2:$E$3220,4,FALSE))),vlookup(B3052,Pop_Census_2023!$A$2:$E$3220,4,FALSE), vlookup(B3052,Pop_Census_2023!$A$2:$E$3220,5,FALSE))</f>
        <v>77616</v>
      </c>
    </row>
    <row r="3053">
      <c r="A3053" s="47" t="s">
        <v>3797</v>
      </c>
      <c r="B3053" s="47">
        <v>53011.0</v>
      </c>
      <c r="C3053" s="47">
        <v>4.0</v>
      </c>
      <c r="D3053" s="47" t="s">
        <v>4057</v>
      </c>
      <c r="E3053" s="47" t="str">
        <f t="shared" si="1"/>
        <v>4C</v>
      </c>
      <c r="F3053" s="47" t="s">
        <v>4058</v>
      </c>
      <c r="G3053" s="47" t="s">
        <v>229</v>
      </c>
      <c r="H3053" s="48">
        <f>IF(NOT(ISBLANK(vlookup(B3053,Pop_Census_2023!$A$2:$E$3220,4,FALSE))),vlookup(B3053,Pop_Census_2023!$A$2:$E$3220,4,FALSE), vlookup(B3053,Pop_Census_2023!$A$2:$E$3220,5,FALSE))</f>
        <v>521150</v>
      </c>
    </row>
    <row r="3054">
      <c r="A3054" s="47" t="s">
        <v>3797</v>
      </c>
      <c r="B3054" s="47">
        <v>53013.0</v>
      </c>
      <c r="C3054" s="47">
        <v>5.0</v>
      </c>
      <c r="D3054" s="47" t="s">
        <v>4053</v>
      </c>
      <c r="E3054" s="47" t="str">
        <f t="shared" si="1"/>
        <v>5B</v>
      </c>
      <c r="F3054" s="47" t="s">
        <v>4054</v>
      </c>
      <c r="G3054" s="47" t="s">
        <v>231</v>
      </c>
      <c r="H3054" s="48">
        <f>IF(NOT(ISBLANK(vlookup(B3054,Pop_Census_2023!$A$2:$E$3220,4,FALSE))),vlookup(B3054,Pop_Census_2023!$A$2:$E$3220,4,FALSE), vlookup(B3054,Pop_Census_2023!$A$2:$E$3220,5,FALSE))</f>
        <v>4053</v>
      </c>
    </row>
    <row r="3055">
      <c r="A3055" s="47" t="s">
        <v>3797</v>
      </c>
      <c r="B3055" s="47">
        <v>53015.0</v>
      </c>
      <c r="C3055" s="47">
        <v>4.0</v>
      </c>
      <c r="D3055" s="47" t="s">
        <v>4057</v>
      </c>
      <c r="E3055" s="47" t="str">
        <f t="shared" si="1"/>
        <v>4C</v>
      </c>
      <c r="F3055" s="47" t="s">
        <v>4058</v>
      </c>
      <c r="G3055" s="47" t="s">
        <v>1904</v>
      </c>
      <c r="H3055" s="48">
        <f>IF(NOT(ISBLANK(vlookup(B3055,Pop_Census_2023!$A$2:$E$3220,4,FALSE))),vlookup(B3055,Pop_Census_2023!$A$2:$E$3220,4,FALSE), vlookup(B3055,Pop_Census_2023!$A$2:$E$3220,5,FALSE))</f>
        <v>112864</v>
      </c>
    </row>
    <row r="3056">
      <c r="A3056" s="47" t="s">
        <v>3797</v>
      </c>
      <c r="B3056" s="47">
        <v>53017.0</v>
      </c>
      <c r="C3056" s="47">
        <v>5.0</v>
      </c>
      <c r="D3056" s="47" t="s">
        <v>4053</v>
      </c>
      <c r="E3056" s="47" t="str">
        <f t="shared" si="1"/>
        <v>5B</v>
      </c>
      <c r="F3056" s="47" t="s">
        <v>4054</v>
      </c>
      <c r="G3056" s="47" t="s">
        <v>357</v>
      </c>
      <c r="H3056" s="48">
        <f>IF(NOT(ISBLANK(vlookup(B3056,Pop_Census_2023!$A$2:$E$3220,4,FALSE))),vlookup(B3056,Pop_Census_2023!$A$2:$E$3220,4,FALSE), vlookup(B3056,Pop_Census_2023!$A$2:$E$3220,5,FALSE))</f>
        <v>44798</v>
      </c>
    </row>
    <row r="3057">
      <c r="A3057" s="47" t="s">
        <v>3797</v>
      </c>
      <c r="B3057" s="47">
        <v>53019.0</v>
      </c>
      <c r="C3057" s="47">
        <v>6.0</v>
      </c>
      <c r="D3057" s="47" t="s">
        <v>4053</v>
      </c>
      <c r="E3057" s="47" t="str">
        <f t="shared" si="1"/>
        <v>6B</v>
      </c>
      <c r="F3057" s="47" t="s">
        <v>4054</v>
      </c>
      <c r="G3057" s="47" t="s">
        <v>1905</v>
      </c>
      <c r="H3057" s="48">
        <f>IF(NOT(ISBLANK(vlookup(B3057,Pop_Census_2023!$A$2:$E$3220,4,FALSE))),vlookup(B3057,Pop_Census_2023!$A$2:$E$3220,4,FALSE), vlookup(B3057,Pop_Census_2023!$A$2:$E$3220,5,FALSE))</f>
        <v>7497</v>
      </c>
    </row>
    <row r="3058">
      <c r="A3058" s="47" t="s">
        <v>3797</v>
      </c>
      <c r="B3058" s="47">
        <v>53021.0</v>
      </c>
      <c r="C3058" s="47">
        <v>5.0</v>
      </c>
      <c r="D3058" s="47" t="s">
        <v>4053</v>
      </c>
      <c r="E3058" s="47" t="str">
        <f t="shared" si="1"/>
        <v>5B</v>
      </c>
      <c r="F3058" s="47" t="s">
        <v>4054</v>
      </c>
      <c r="G3058" s="47" t="s">
        <v>132</v>
      </c>
      <c r="H3058" s="48">
        <f>IF(NOT(ISBLANK(vlookup(B3058,Pop_Census_2023!$A$2:$E$3220,4,FALSE))),vlookup(B3058,Pop_Census_2023!$A$2:$E$3220,4,FALSE), vlookup(B3058,Pop_Census_2023!$A$2:$E$3220,5,FALSE))</f>
        <v>99034</v>
      </c>
    </row>
    <row r="3059">
      <c r="A3059" s="47" t="s">
        <v>3797</v>
      </c>
      <c r="B3059" s="47">
        <v>53023.0</v>
      </c>
      <c r="C3059" s="47">
        <v>5.0</v>
      </c>
      <c r="D3059" s="47" t="s">
        <v>4053</v>
      </c>
      <c r="E3059" s="47" t="str">
        <f t="shared" si="1"/>
        <v>5B</v>
      </c>
      <c r="F3059" s="47" t="s">
        <v>4054</v>
      </c>
      <c r="G3059" s="47" t="s">
        <v>362</v>
      </c>
      <c r="H3059" s="48">
        <f>IF(NOT(ISBLANK(vlookup(B3059,Pop_Census_2023!$A$2:$E$3220,4,FALSE))),vlookup(B3059,Pop_Census_2023!$A$2:$E$3220,4,FALSE), vlookup(B3059,Pop_Census_2023!$A$2:$E$3220,5,FALSE))</f>
        <v>2363</v>
      </c>
    </row>
    <row r="3060">
      <c r="A3060" s="47" t="s">
        <v>3797</v>
      </c>
      <c r="B3060" s="47">
        <v>53025.0</v>
      </c>
      <c r="C3060" s="47">
        <v>5.0</v>
      </c>
      <c r="D3060" s="47" t="s">
        <v>4053</v>
      </c>
      <c r="E3060" s="47" t="str">
        <f t="shared" si="1"/>
        <v>5B</v>
      </c>
      <c r="F3060" s="47" t="s">
        <v>4054</v>
      </c>
      <c r="G3060" s="47" t="s">
        <v>242</v>
      </c>
      <c r="H3060" s="48">
        <f>IF(NOT(ISBLANK(vlookup(B3060,Pop_Census_2023!$A$2:$E$3220,4,FALSE))),vlookup(B3060,Pop_Census_2023!$A$2:$E$3220,4,FALSE), vlookup(B3060,Pop_Census_2023!$A$2:$E$3220,5,FALSE))</f>
        <v>102678</v>
      </c>
    </row>
    <row r="3061">
      <c r="A3061" s="47" t="s">
        <v>3797</v>
      </c>
      <c r="B3061" s="47">
        <v>53027.0</v>
      </c>
      <c r="C3061" s="47">
        <v>4.0</v>
      </c>
      <c r="D3061" s="47" t="s">
        <v>4057</v>
      </c>
      <c r="E3061" s="47" t="str">
        <f t="shared" si="1"/>
        <v>4C</v>
      </c>
      <c r="F3061" s="47" t="s">
        <v>4058</v>
      </c>
      <c r="G3061" s="47" t="s">
        <v>1906</v>
      </c>
      <c r="H3061" s="48">
        <f>IF(NOT(ISBLANK(vlookup(B3061,Pop_Census_2023!$A$2:$E$3220,4,FALSE))),vlookup(B3061,Pop_Census_2023!$A$2:$E$3220,4,FALSE), vlookup(B3061,Pop_Census_2023!$A$2:$E$3220,5,FALSE))</f>
        <v>77290</v>
      </c>
    </row>
    <row r="3062">
      <c r="A3062" s="47" t="s">
        <v>3797</v>
      </c>
      <c r="B3062" s="47">
        <v>53029.0</v>
      </c>
      <c r="C3062" s="47">
        <v>4.0</v>
      </c>
      <c r="D3062" s="47" t="s">
        <v>4057</v>
      </c>
      <c r="E3062" s="47" t="str">
        <f t="shared" si="1"/>
        <v>4C</v>
      </c>
      <c r="F3062" s="47" t="s">
        <v>4058</v>
      </c>
      <c r="G3062" s="47" t="s">
        <v>1907</v>
      </c>
      <c r="H3062" s="48">
        <f>IF(NOT(ISBLANK(vlookup(B3062,Pop_Census_2023!$A$2:$E$3220,4,FALSE))),vlookup(B3062,Pop_Census_2023!$A$2:$E$3220,4,FALSE), vlookup(B3062,Pop_Census_2023!$A$2:$E$3220,5,FALSE))</f>
        <v>86267</v>
      </c>
    </row>
    <row r="3063">
      <c r="A3063" s="47" t="s">
        <v>3797</v>
      </c>
      <c r="B3063" s="47">
        <v>53031.0</v>
      </c>
      <c r="C3063" s="47">
        <v>4.0</v>
      </c>
      <c r="D3063" s="47" t="s">
        <v>4057</v>
      </c>
      <c r="E3063" s="47" t="str">
        <f t="shared" si="1"/>
        <v>4C</v>
      </c>
      <c r="F3063" s="47" t="s">
        <v>4058</v>
      </c>
      <c r="G3063" s="47" t="s">
        <v>139</v>
      </c>
      <c r="H3063" s="48">
        <f>IF(NOT(ISBLANK(vlookup(B3063,Pop_Census_2023!$A$2:$E$3220,4,FALSE))),vlookup(B3063,Pop_Census_2023!$A$2:$E$3220,4,FALSE), vlookup(B3063,Pop_Census_2023!$A$2:$E$3220,5,FALSE))</f>
        <v>33714</v>
      </c>
    </row>
    <row r="3064">
      <c r="A3064" s="47" t="s">
        <v>3797</v>
      </c>
      <c r="B3064" s="47">
        <v>53033.0</v>
      </c>
      <c r="C3064" s="47">
        <v>4.0</v>
      </c>
      <c r="D3064" s="47" t="s">
        <v>4057</v>
      </c>
      <c r="E3064" s="47" t="str">
        <f t="shared" si="1"/>
        <v>4C</v>
      </c>
      <c r="F3064" s="47" t="s">
        <v>4058</v>
      </c>
      <c r="G3064" s="47" t="s">
        <v>1725</v>
      </c>
      <c r="H3064" s="48">
        <f>IF(NOT(ISBLANK(vlookup(B3064,Pop_Census_2023!$A$2:$E$3220,4,FALSE))),vlookup(B3064,Pop_Census_2023!$A$2:$E$3220,4,FALSE), vlookup(B3064,Pop_Census_2023!$A$2:$E$3220,5,FALSE))</f>
        <v>2271380</v>
      </c>
    </row>
    <row r="3065">
      <c r="A3065" s="47" t="s">
        <v>3797</v>
      </c>
      <c r="B3065" s="47">
        <v>53035.0</v>
      </c>
      <c r="C3065" s="47">
        <v>4.0</v>
      </c>
      <c r="D3065" s="47" t="s">
        <v>4057</v>
      </c>
      <c r="E3065" s="47" t="str">
        <f t="shared" si="1"/>
        <v>4C</v>
      </c>
      <c r="F3065" s="47" t="s">
        <v>4058</v>
      </c>
      <c r="G3065" s="47" t="s">
        <v>1908</v>
      </c>
      <c r="H3065" s="48">
        <f>IF(NOT(ISBLANK(vlookup(B3065,Pop_Census_2023!$A$2:$E$3220,4,FALSE))),vlookup(B3065,Pop_Census_2023!$A$2:$E$3220,4,FALSE), vlookup(B3065,Pop_Census_2023!$A$2:$E$3220,5,FALSE))</f>
        <v>277658</v>
      </c>
    </row>
    <row r="3066">
      <c r="A3066" s="47" t="s">
        <v>3797</v>
      </c>
      <c r="B3066" s="47">
        <v>53037.0</v>
      </c>
      <c r="C3066" s="47">
        <v>5.0</v>
      </c>
      <c r="D3066" s="47" t="s">
        <v>4053</v>
      </c>
      <c r="E3066" s="47" t="str">
        <f t="shared" si="1"/>
        <v>5B</v>
      </c>
      <c r="F3066" s="47" t="s">
        <v>4054</v>
      </c>
      <c r="G3066" s="47" t="s">
        <v>1909</v>
      </c>
      <c r="H3066" s="48">
        <f>IF(NOT(ISBLANK(vlookup(B3066,Pop_Census_2023!$A$2:$E$3220,4,FALSE))),vlookup(B3066,Pop_Census_2023!$A$2:$E$3220,4,FALSE), vlookup(B3066,Pop_Census_2023!$A$2:$E$3220,5,FALSE))</f>
        <v>45508</v>
      </c>
    </row>
    <row r="3067">
      <c r="A3067" s="47" t="s">
        <v>3797</v>
      </c>
      <c r="B3067" s="47">
        <v>53039.0</v>
      </c>
      <c r="C3067" s="47">
        <v>5.0</v>
      </c>
      <c r="D3067" s="47" t="s">
        <v>4053</v>
      </c>
      <c r="E3067" s="47" t="str">
        <f t="shared" si="1"/>
        <v>5B</v>
      </c>
      <c r="F3067" s="47" t="s">
        <v>4054</v>
      </c>
      <c r="G3067" s="47" t="s">
        <v>1910</v>
      </c>
      <c r="H3067" s="48">
        <f>IF(NOT(ISBLANK(vlookup(B3067,Pop_Census_2023!$A$2:$E$3220,4,FALSE))),vlookup(B3067,Pop_Census_2023!$A$2:$E$3220,4,FALSE), vlookup(B3067,Pop_Census_2023!$A$2:$E$3220,5,FALSE))</f>
        <v>23589</v>
      </c>
    </row>
    <row r="3068">
      <c r="A3068" s="47" t="s">
        <v>3797</v>
      </c>
      <c r="B3068" s="47">
        <v>53041.0</v>
      </c>
      <c r="C3068" s="47">
        <v>4.0</v>
      </c>
      <c r="D3068" s="47" t="s">
        <v>4057</v>
      </c>
      <c r="E3068" s="47" t="str">
        <f t="shared" si="1"/>
        <v>4C</v>
      </c>
      <c r="F3068" s="47" t="s">
        <v>4058</v>
      </c>
      <c r="G3068" s="47" t="s">
        <v>597</v>
      </c>
      <c r="H3068" s="48">
        <f>IF(NOT(ISBLANK(vlookup(B3068,Pop_Census_2023!$A$2:$E$3220,4,FALSE))),vlookup(B3068,Pop_Census_2023!$A$2:$E$3220,4,FALSE), vlookup(B3068,Pop_Census_2023!$A$2:$E$3220,5,FALSE))</f>
        <v>86154</v>
      </c>
    </row>
    <row r="3069">
      <c r="A3069" s="47" t="s">
        <v>3797</v>
      </c>
      <c r="B3069" s="47">
        <v>53043.0</v>
      </c>
      <c r="C3069" s="47">
        <v>5.0</v>
      </c>
      <c r="D3069" s="47" t="s">
        <v>4053</v>
      </c>
      <c r="E3069" s="47" t="str">
        <f t="shared" si="1"/>
        <v>5B</v>
      </c>
      <c r="F3069" s="47" t="s">
        <v>4054</v>
      </c>
      <c r="G3069" s="47" t="s">
        <v>250</v>
      </c>
      <c r="H3069" s="48">
        <f>IF(NOT(ISBLANK(vlookup(B3069,Pop_Census_2023!$A$2:$E$3220,4,FALSE))),vlookup(B3069,Pop_Census_2023!$A$2:$E$3220,4,FALSE), vlookup(B3069,Pop_Census_2023!$A$2:$E$3220,5,FALSE))</f>
        <v>11738</v>
      </c>
    </row>
    <row r="3070">
      <c r="A3070" s="47" t="s">
        <v>3797</v>
      </c>
      <c r="B3070" s="47">
        <v>53045.0</v>
      </c>
      <c r="C3070" s="47">
        <v>4.0</v>
      </c>
      <c r="D3070" s="47" t="s">
        <v>4057</v>
      </c>
      <c r="E3070" s="47" t="str">
        <f t="shared" si="1"/>
        <v>4C</v>
      </c>
      <c r="F3070" s="47" t="s">
        <v>4058</v>
      </c>
      <c r="G3070" s="47" t="s">
        <v>641</v>
      </c>
      <c r="H3070" s="48">
        <f>IF(NOT(ISBLANK(vlookup(B3070,Pop_Census_2023!$A$2:$E$3220,4,FALSE))),vlookup(B3070,Pop_Census_2023!$A$2:$E$3220,4,FALSE), vlookup(B3070,Pop_Census_2023!$A$2:$E$3220,5,FALSE))</f>
        <v>68389</v>
      </c>
    </row>
    <row r="3071">
      <c r="A3071" s="47" t="s">
        <v>3797</v>
      </c>
      <c r="B3071" s="47">
        <v>53047.0</v>
      </c>
      <c r="C3071" s="47">
        <v>6.0</v>
      </c>
      <c r="D3071" s="47" t="s">
        <v>4053</v>
      </c>
      <c r="E3071" s="47" t="str">
        <f t="shared" si="1"/>
        <v>6B</v>
      </c>
      <c r="F3071" s="47" t="s">
        <v>4054</v>
      </c>
      <c r="G3071" s="47" t="s">
        <v>1911</v>
      </c>
      <c r="H3071" s="48">
        <f>IF(NOT(ISBLANK(vlookup(B3071,Pop_Census_2023!$A$2:$E$3220,4,FALSE))),vlookup(B3071,Pop_Census_2023!$A$2:$E$3220,4,FALSE), vlookup(B3071,Pop_Census_2023!$A$2:$E$3220,5,FALSE))</f>
        <v>43712</v>
      </c>
    </row>
    <row r="3072">
      <c r="A3072" s="47" t="s">
        <v>3797</v>
      </c>
      <c r="B3072" s="47">
        <v>53049.0</v>
      </c>
      <c r="C3072" s="47">
        <v>4.0</v>
      </c>
      <c r="D3072" s="47" t="s">
        <v>4057</v>
      </c>
      <c r="E3072" s="47" t="str">
        <f t="shared" si="1"/>
        <v>4C</v>
      </c>
      <c r="F3072" s="47" t="s">
        <v>4058</v>
      </c>
      <c r="G3072" s="47" t="s">
        <v>1912</v>
      </c>
      <c r="H3072" s="48">
        <f>IF(NOT(ISBLANK(vlookup(B3072,Pop_Census_2023!$A$2:$E$3220,4,FALSE))),vlookup(B3072,Pop_Census_2023!$A$2:$E$3220,4,FALSE), vlookup(B3072,Pop_Census_2023!$A$2:$E$3220,5,FALSE))</f>
        <v>24200</v>
      </c>
    </row>
    <row r="3073">
      <c r="A3073" s="47" t="s">
        <v>3797</v>
      </c>
      <c r="B3073" s="47">
        <v>53051.0</v>
      </c>
      <c r="C3073" s="47">
        <v>6.0</v>
      </c>
      <c r="D3073" s="47" t="s">
        <v>4053</v>
      </c>
      <c r="E3073" s="47" t="str">
        <f t="shared" si="1"/>
        <v>6B</v>
      </c>
      <c r="F3073" s="47" t="s">
        <v>4054</v>
      </c>
      <c r="G3073" s="47" t="s">
        <v>1913</v>
      </c>
      <c r="H3073" s="48">
        <f>IF(NOT(ISBLANK(vlookup(B3073,Pop_Census_2023!$A$2:$E$3220,4,FALSE))),vlookup(B3073,Pop_Census_2023!$A$2:$E$3220,4,FALSE), vlookup(B3073,Pop_Census_2023!$A$2:$E$3220,5,FALSE))</f>
        <v>14361</v>
      </c>
    </row>
    <row r="3074">
      <c r="A3074" s="47" t="s">
        <v>3797</v>
      </c>
      <c r="B3074" s="47">
        <v>53053.0</v>
      </c>
      <c r="C3074" s="47">
        <v>4.0</v>
      </c>
      <c r="D3074" s="47" t="s">
        <v>4057</v>
      </c>
      <c r="E3074" s="47" t="str">
        <f t="shared" si="1"/>
        <v>4C</v>
      </c>
      <c r="F3074" s="47" t="s">
        <v>4058</v>
      </c>
      <c r="G3074" s="47" t="s">
        <v>536</v>
      </c>
      <c r="H3074" s="48">
        <f>IF(NOT(ISBLANK(vlookup(B3074,Pop_Census_2023!$A$2:$E$3220,4,FALSE))),vlookup(B3074,Pop_Census_2023!$A$2:$E$3220,4,FALSE), vlookup(B3074,Pop_Census_2023!$A$2:$E$3220,5,FALSE))</f>
        <v>928696</v>
      </c>
    </row>
    <row r="3075">
      <c r="A3075" s="47" t="s">
        <v>3797</v>
      </c>
      <c r="B3075" s="47">
        <v>53055.0</v>
      </c>
      <c r="C3075" s="47">
        <v>4.0</v>
      </c>
      <c r="D3075" s="47" t="s">
        <v>4057</v>
      </c>
      <c r="E3075" s="47" t="str">
        <f t="shared" si="1"/>
        <v>4C</v>
      </c>
      <c r="F3075" s="47" t="s">
        <v>4058</v>
      </c>
      <c r="G3075" s="47" t="s">
        <v>388</v>
      </c>
      <c r="H3075" s="48">
        <f>IF(NOT(ISBLANK(vlookup(B3075,Pop_Census_2023!$A$2:$E$3220,4,FALSE))),vlookup(B3075,Pop_Census_2023!$A$2:$E$3220,4,FALSE), vlookup(B3075,Pop_Census_2023!$A$2:$E$3220,5,FALSE))</f>
        <v>18566</v>
      </c>
    </row>
    <row r="3076">
      <c r="A3076" s="47" t="s">
        <v>3797</v>
      </c>
      <c r="B3076" s="47">
        <v>53057.0</v>
      </c>
      <c r="C3076" s="47">
        <v>4.0</v>
      </c>
      <c r="D3076" s="47" t="s">
        <v>4057</v>
      </c>
      <c r="E3076" s="47" t="str">
        <f t="shared" si="1"/>
        <v>4C</v>
      </c>
      <c r="F3076" s="47" t="s">
        <v>4058</v>
      </c>
      <c r="G3076" s="47" t="s">
        <v>1914</v>
      </c>
      <c r="H3076" s="48">
        <f>IF(NOT(ISBLANK(vlookup(B3076,Pop_Census_2023!$A$2:$E$3220,4,FALSE))),vlookup(B3076,Pop_Census_2023!$A$2:$E$3220,4,FALSE), vlookup(B3076,Pop_Census_2023!$A$2:$E$3220,5,FALSE))</f>
        <v>131417</v>
      </c>
    </row>
    <row r="3077">
      <c r="A3077" s="47" t="s">
        <v>3797</v>
      </c>
      <c r="B3077" s="47">
        <v>53059.0</v>
      </c>
      <c r="C3077" s="47">
        <v>5.0</v>
      </c>
      <c r="D3077" s="47" t="s">
        <v>4053</v>
      </c>
      <c r="E3077" s="47" t="str">
        <f t="shared" si="1"/>
        <v>5B</v>
      </c>
      <c r="F3077" s="47" t="s">
        <v>4054</v>
      </c>
      <c r="G3077" s="47" t="s">
        <v>1915</v>
      </c>
      <c r="H3077" s="48">
        <f>IF(NOT(ISBLANK(vlookup(B3077,Pop_Census_2023!$A$2:$E$3220,4,FALSE))),vlookup(B3077,Pop_Census_2023!$A$2:$E$3220,4,FALSE), vlookup(B3077,Pop_Census_2023!$A$2:$E$3220,5,FALSE))</f>
        <v>12640</v>
      </c>
    </row>
    <row r="3078">
      <c r="A3078" s="47" t="s">
        <v>3797</v>
      </c>
      <c r="B3078" s="47">
        <v>53061.0</v>
      </c>
      <c r="C3078" s="47">
        <v>4.0</v>
      </c>
      <c r="D3078" s="47" t="s">
        <v>4057</v>
      </c>
      <c r="E3078" s="47" t="str">
        <f t="shared" si="1"/>
        <v>4C</v>
      </c>
      <c r="F3078" s="47" t="s">
        <v>4058</v>
      </c>
      <c r="G3078" s="47" t="s">
        <v>1916</v>
      </c>
      <c r="H3078" s="48">
        <f>IF(NOT(ISBLANK(vlookup(B3078,Pop_Census_2023!$A$2:$E$3220,4,FALSE))),vlookup(B3078,Pop_Census_2023!$A$2:$E$3220,4,FALSE), vlookup(B3078,Pop_Census_2023!$A$2:$E$3220,5,FALSE))</f>
        <v>844761</v>
      </c>
    </row>
    <row r="3079">
      <c r="A3079" s="47" t="s">
        <v>3797</v>
      </c>
      <c r="B3079" s="47">
        <v>53063.0</v>
      </c>
      <c r="C3079" s="47">
        <v>5.0</v>
      </c>
      <c r="D3079" s="47" t="s">
        <v>4053</v>
      </c>
      <c r="E3079" s="47" t="str">
        <f t="shared" si="1"/>
        <v>5B</v>
      </c>
      <c r="F3079" s="47" t="s">
        <v>4054</v>
      </c>
      <c r="G3079" s="47" t="s">
        <v>1917</v>
      </c>
      <c r="H3079" s="48">
        <f>IF(NOT(ISBLANK(vlookup(B3079,Pop_Census_2023!$A$2:$E$3220,4,FALSE))),vlookup(B3079,Pop_Census_2023!$A$2:$E$3220,4,FALSE), vlookup(B3079,Pop_Census_2023!$A$2:$E$3220,5,FALSE))</f>
        <v>551455</v>
      </c>
    </row>
    <row r="3080">
      <c r="A3080" s="47" t="s">
        <v>3797</v>
      </c>
      <c r="B3080" s="47">
        <v>53065.0</v>
      </c>
      <c r="C3080" s="47">
        <v>6.0</v>
      </c>
      <c r="D3080" s="47" t="s">
        <v>4053</v>
      </c>
      <c r="E3080" s="47" t="str">
        <f t="shared" si="1"/>
        <v>6B</v>
      </c>
      <c r="F3080" s="47" t="s">
        <v>4054</v>
      </c>
      <c r="G3080" s="47" t="s">
        <v>809</v>
      </c>
      <c r="H3080" s="48">
        <f>IF(NOT(ISBLANK(vlookup(B3080,Pop_Census_2023!$A$2:$E$3220,4,FALSE))),vlookup(B3080,Pop_Census_2023!$A$2:$E$3220,4,FALSE), vlookup(B3080,Pop_Census_2023!$A$2:$E$3220,5,FALSE))</f>
        <v>48837</v>
      </c>
    </row>
    <row r="3081">
      <c r="A3081" s="47" t="s">
        <v>3797</v>
      </c>
      <c r="B3081" s="47">
        <v>53067.0</v>
      </c>
      <c r="C3081" s="47">
        <v>4.0</v>
      </c>
      <c r="D3081" s="47" t="s">
        <v>4057</v>
      </c>
      <c r="E3081" s="47" t="str">
        <f t="shared" si="1"/>
        <v>4C</v>
      </c>
      <c r="F3081" s="47" t="s">
        <v>4058</v>
      </c>
      <c r="G3081" s="47" t="s">
        <v>1238</v>
      </c>
      <c r="H3081" s="48">
        <f>IF(NOT(ISBLANK(vlookup(B3081,Pop_Census_2023!$A$2:$E$3220,4,FALSE))),vlookup(B3081,Pop_Census_2023!$A$2:$E$3220,4,FALSE), vlookup(B3081,Pop_Census_2023!$A$2:$E$3220,5,FALSE))</f>
        <v>299003</v>
      </c>
    </row>
    <row r="3082">
      <c r="A3082" s="47" t="s">
        <v>3797</v>
      </c>
      <c r="B3082" s="47">
        <v>53069.0</v>
      </c>
      <c r="C3082" s="47">
        <v>4.0</v>
      </c>
      <c r="D3082" s="47" t="s">
        <v>4057</v>
      </c>
      <c r="E3082" s="47" t="str">
        <f t="shared" si="1"/>
        <v>4C</v>
      </c>
      <c r="F3082" s="47" t="s">
        <v>4058</v>
      </c>
      <c r="G3082" s="47" t="s">
        <v>1918</v>
      </c>
      <c r="H3082" s="48">
        <f>IF(NOT(ISBLANK(vlookup(B3082,Pop_Census_2023!$A$2:$E$3220,4,FALSE))),vlookup(B3082,Pop_Census_2023!$A$2:$E$3220,4,FALSE), vlookup(B3082,Pop_Census_2023!$A$2:$E$3220,5,FALSE))</f>
        <v>4765</v>
      </c>
    </row>
    <row r="3083">
      <c r="A3083" s="47" t="s">
        <v>3797</v>
      </c>
      <c r="B3083" s="47">
        <v>53071.0</v>
      </c>
      <c r="C3083" s="47">
        <v>5.0</v>
      </c>
      <c r="D3083" s="47" t="s">
        <v>4053</v>
      </c>
      <c r="E3083" s="47" t="str">
        <f t="shared" si="1"/>
        <v>5B</v>
      </c>
      <c r="F3083" s="47" t="s">
        <v>4054</v>
      </c>
      <c r="G3083" s="47" t="s">
        <v>1919</v>
      </c>
      <c r="H3083" s="48">
        <f>IF(NOT(ISBLANK(vlookup(B3083,Pop_Census_2023!$A$2:$E$3220,4,FALSE))),vlookup(B3083,Pop_Census_2023!$A$2:$E$3220,4,FALSE), vlookup(B3083,Pop_Census_2023!$A$2:$E$3220,5,FALSE))</f>
        <v>61568</v>
      </c>
    </row>
    <row r="3084">
      <c r="A3084" s="47" t="s">
        <v>3797</v>
      </c>
      <c r="B3084" s="47">
        <v>53073.0</v>
      </c>
      <c r="C3084" s="47">
        <v>4.0</v>
      </c>
      <c r="D3084" s="47" t="s">
        <v>4057</v>
      </c>
      <c r="E3084" s="47" t="str">
        <f t="shared" si="1"/>
        <v>4C</v>
      </c>
      <c r="F3084" s="47" t="s">
        <v>4058</v>
      </c>
      <c r="G3084" s="47" t="s">
        <v>1920</v>
      </c>
      <c r="H3084" s="48">
        <f>IF(NOT(ISBLANK(vlookup(B3084,Pop_Census_2023!$A$2:$E$3220,4,FALSE))),vlookup(B3084,Pop_Census_2023!$A$2:$E$3220,4,FALSE), vlookup(B3084,Pop_Census_2023!$A$2:$E$3220,5,FALSE))</f>
        <v>231919</v>
      </c>
    </row>
    <row r="3085">
      <c r="A3085" s="47" t="s">
        <v>3797</v>
      </c>
      <c r="B3085" s="47">
        <v>53075.0</v>
      </c>
      <c r="C3085" s="47">
        <v>5.0</v>
      </c>
      <c r="D3085" s="47" t="s">
        <v>4053</v>
      </c>
      <c r="E3085" s="47" t="str">
        <f t="shared" si="1"/>
        <v>5B</v>
      </c>
      <c r="F3085" s="47" t="s">
        <v>4054</v>
      </c>
      <c r="G3085" s="47" t="s">
        <v>1921</v>
      </c>
      <c r="H3085" s="48">
        <f>IF(NOT(ISBLANK(vlookup(B3085,Pop_Census_2023!$A$2:$E$3220,4,FALSE))),vlookup(B3085,Pop_Census_2023!$A$2:$E$3220,4,FALSE), vlookup(B3085,Pop_Census_2023!$A$2:$E$3220,5,FALSE))</f>
        <v>48012</v>
      </c>
    </row>
    <row r="3086">
      <c r="A3086" s="47" t="s">
        <v>3797</v>
      </c>
      <c r="B3086" s="47">
        <v>53077.0</v>
      </c>
      <c r="C3086" s="47">
        <v>5.0</v>
      </c>
      <c r="D3086" s="47" t="s">
        <v>4053</v>
      </c>
      <c r="E3086" s="47" t="str">
        <f t="shared" si="1"/>
        <v>5B</v>
      </c>
      <c r="F3086" s="47" t="s">
        <v>4054</v>
      </c>
      <c r="G3086" s="47" t="s">
        <v>1922</v>
      </c>
      <c r="H3086" s="48">
        <f>IF(NOT(ISBLANK(vlookup(B3086,Pop_Census_2023!$A$2:$E$3220,4,FALSE))),vlookup(B3086,Pop_Census_2023!$A$2:$E$3220,4,FALSE), vlookup(B3086,Pop_Census_2023!$A$2:$E$3220,5,FALSE))</f>
        <v>256643</v>
      </c>
    </row>
    <row r="3087">
      <c r="A3087" s="47" t="s">
        <v>3838</v>
      </c>
      <c r="B3087" s="47">
        <v>55001.0</v>
      </c>
      <c r="C3087" s="47">
        <v>6.0</v>
      </c>
      <c r="D3087" s="47" t="s">
        <v>4044</v>
      </c>
      <c r="E3087" s="47" t="str">
        <f t="shared" si="1"/>
        <v>6A</v>
      </c>
      <c r="F3087" s="47" t="s">
        <v>4054</v>
      </c>
      <c r="G3087" s="47" t="s">
        <v>338</v>
      </c>
      <c r="H3087" s="48">
        <f>IF(NOT(ISBLANK(vlookup(B3087,Pop_Census_2023!$A$2:$E$3220,4,FALSE))),vlookup(B3087,Pop_Census_2023!$A$2:$E$3220,4,FALSE), vlookup(B3087,Pop_Census_2023!$A$2:$E$3220,5,FALSE))</f>
        <v>21449</v>
      </c>
    </row>
    <row r="3088">
      <c r="A3088" s="47" t="s">
        <v>3838</v>
      </c>
      <c r="B3088" s="47">
        <v>55003.0</v>
      </c>
      <c r="C3088" s="47">
        <v>7.0</v>
      </c>
      <c r="D3088" s="47" t="s">
        <v>4014</v>
      </c>
      <c r="E3088" s="47">
        <f t="shared" si="1"/>
        <v>7</v>
      </c>
      <c r="F3088" s="47" t="s">
        <v>4015</v>
      </c>
      <c r="G3088" s="47" t="s">
        <v>1422</v>
      </c>
      <c r="H3088" s="48">
        <f>IF(NOT(ISBLANK(vlookup(B3088,Pop_Census_2023!$A$2:$E$3220,4,FALSE))),vlookup(B3088,Pop_Census_2023!$A$2:$E$3220,4,FALSE), vlookup(B3088,Pop_Census_2023!$A$2:$E$3220,5,FALSE))</f>
        <v>16079</v>
      </c>
    </row>
    <row r="3089">
      <c r="A3089" s="47" t="s">
        <v>3838</v>
      </c>
      <c r="B3089" s="47">
        <v>55005.0</v>
      </c>
      <c r="C3089" s="47">
        <v>6.0</v>
      </c>
      <c r="D3089" s="47" t="s">
        <v>4044</v>
      </c>
      <c r="E3089" s="47" t="str">
        <f t="shared" si="1"/>
        <v>6A</v>
      </c>
      <c r="F3089" s="47" t="s">
        <v>4054</v>
      </c>
      <c r="G3089" s="47" t="s">
        <v>1943</v>
      </c>
      <c r="H3089" s="48">
        <f>IF(NOT(ISBLANK(vlookup(B3089,Pop_Census_2023!$A$2:$E$3220,4,FALSE))),vlookup(B3089,Pop_Census_2023!$A$2:$E$3220,4,FALSE), vlookup(B3089,Pop_Census_2023!$A$2:$E$3220,5,FALSE))</f>
        <v>46833</v>
      </c>
    </row>
    <row r="3090">
      <c r="A3090" s="47" t="s">
        <v>3838</v>
      </c>
      <c r="B3090" s="47">
        <v>55007.0</v>
      </c>
      <c r="C3090" s="47">
        <v>7.0</v>
      </c>
      <c r="D3090" s="47" t="s">
        <v>4014</v>
      </c>
      <c r="E3090" s="47">
        <f t="shared" si="1"/>
        <v>7</v>
      </c>
      <c r="F3090" s="47" t="s">
        <v>4015</v>
      </c>
      <c r="G3090" s="47" t="s">
        <v>1944</v>
      </c>
      <c r="H3090" s="48">
        <f>IF(NOT(ISBLANK(vlookup(B3090,Pop_Census_2023!$A$2:$E$3220,4,FALSE))),vlookup(B3090,Pop_Census_2023!$A$2:$E$3220,4,FALSE), vlookup(B3090,Pop_Census_2023!$A$2:$E$3220,5,FALSE))</f>
        <v>16769</v>
      </c>
    </row>
    <row r="3091">
      <c r="A3091" s="47" t="s">
        <v>3838</v>
      </c>
      <c r="B3091" s="47">
        <v>55009.0</v>
      </c>
      <c r="C3091" s="47">
        <v>6.0</v>
      </c>
      <c r="D3091" s="47" t="s">
        <v>4044</v>
      </c>
      <c r="E3091" s="47" t="str">
        <f t="shared" si="1"/>
        <v>6A</v>
      </c>
      <c r="F3091" s="47" t="s">
        <v>4054</v>
      </c>
      <c r="G3091" s="47" t="s">
        <v>611</v>
      </c>
      <c r="H3091" s="48">
        <f>IF(NOT(ISBLANK(vlookup(B3091,Pop_Census_2023!$A$2:$E$3220,4,FALSE))),vlookup(B3091,Pop_Census_2023!$A$2:$E$3220,4,FALSE), vlookup(B3091,Pop_Census_2023!$A$2:$E$3220,5,FALSE))</f>
        <v>271417</v>
      </c>
    </row>
    <row r="3092">
      <c r="A3092" s="47" t="s">
        <v>3838</v>
      </c>
      <c r="B3092" s="47">
        <v>55011.0</v>
      </c>
      <c r="C3092" s="47">
        <v>6.0</v>
      </c>
      <c r="D3092" s="47" t="s">
        <v>4044</v>
      </c>
      <c r="E3092" s="47" t="str">
        <f t="shared" si="1"/>
        <v>6A</v>
      </c>
      <c r="F3092" s="47" t="s">
        <v>4054</v>
      </c>
      <c r="G3092" s="47" t="s">
        <v>1203</v>
      </c>
      <c r="H3092" s="48">
        <f>IF(NOT(ISBLANK(vlookup(B3092,Pop_Census_2023!$A$2:$E$3220,4,FALSE))),vlookup(B3092,Pop_Census_2023!$A$2:$E$3220,4,FALSE), vlookup(B3092,Pop_Census_2023!$A$2:$E$3220,5,FALSE))</f>
        <v>13419</v>
      </c>
    </row>
    <row r="3093">
      <c r="A3093" s="47" t="s">
        <v>3838</v>
      </c>
      <c r="B3093" s="47">
        <v>55013.0</v>
      </c>
      <c r="C3093" s="47">
        <v>7.0</v>
      </c>
      <c r="D3093" s="47" t="s">
        <v>4014</v>
      </c>
      <c r="E3093" s="47">
        <f t="shared" si="1"/>
        <v>7</v>
      </c>
      <c r="F3093" s="47" t="s">
        <v>4015</v>
      </c>
      <c r="G3093" s="47" t="s">
        <v>1945</v>
      </c>
      <c r="H3093" s="48">
        <f>IF(NOT(ISBLANK(vlookup(B3093,Pop_Census_2023!$A$2:$E$3220,4,FALSE))),vlookup(B3093,Pop_Census_2023!$A$2:$E$3220,4,FALSE), vlookup(B3093,Pop_Census_2023!$A$2:$E$3220,5,FALSE))</f>
        <v>17092</v>
      </c>
    </row>
    <row r="3094">
      <c r="A3094" s="47" t="s">
        <v>3838</v>
      </c>
      <c r="B3094" s="47">
        <v>55015.0</v>
      </c>
      <c r="C3094" s="47">
        <v>6.0</v>
      </c>
      <c r="D3094" s="47" t="s">
        <v>4044</v>
      </c>
      <c r="E3094" s="47" t="str">
        <f t="shared" si="1"/>
        <v>6A</v>
      </c>
      <c r="F3094" s="47" t="s">
        <v>4054</v>
      </c>
      <c r="G3094" s="47" t="s">
        <v>1946</v>
      </c>
      <c r="H3094" s="48">
        <f>IF(NOT(ISBLANK(vlookup(B3094,Pop_Census_2023!$A$2:$E$3220,4,FALSE))),vlookup(B3094,Pop_Census_2023!$A$2:$E$3220,4,FALSE), vlookup(B3094,Pop_Census_2023!$A$2:$E$3220,5,FALSE))</f>
        <v>53199</v>
      </c>
    </row>
    <row r="3095">
      <c r="A3095" s="47" t="s">
        <v>3838</v>
      </c>
      <c r="B3095" s="47">
        <v>55017.0</v>
      </c>
      <c r="C3095" s="47">
        <v>6.0</v>
      </c>
      <c r="D3095" s="47" t="s">
        <v>4044</v>
      </c>
      <c r="E3095" s="47" t="str">
        <f t="shared" si="1"/>
        <v>6A</v>
      </c>
      <c r="F3095" s="47" t="s">
        <v>4054</v>
      </c>
      <c r="G3095" s="47" t="s">
        <v>975</v>
      </c>
      <c r="H3095" s="48">
        <f>IF(NOT(ISBLANK(vlookup(B3095,Pop_Census_2023!$A$2:$E$3220,4,FALSE))),vlookup(B3095,Pop_Census_2023!$A$2:$E$3220,4,FALSE), vlookup(B3095,Pop_Census_2023!$A$2:$E$3220,5,FALSE))</f>
        <v>66970</v>
      </c>
    </row>
    <row r="3096">
      <c r="A3096" s="47" t="s">
        <v>3838</v>
      </c>
      <c r="B3096" s="47">
        <v>55019.0</v>
      </c>
      <c r="C3096" s="47">
        <v>6.0</v>
      </c>
      <c r="D3096" s="47" t="s">
        <v>4044</v>
      </c>
      <c r="E3096" s="47" t="str">
        <f t="shared" si="1"/>
        <v>6A</v>
      </c>
      <c r="F3096" s="47" t="s">
        <v>4054</v>
      </c>
      <c r="G3096" s="47" t="s">
        <v>229</v>
      </c>
      <c r="H3096" s="48">
        <f>IF(NOT(ISBLANK(vlookup(B3096,Pop_Census_2023!$A$2:$E$3220,4,FALSE))),vlookup(B3096,Pop_Census_2023!$A$2:$E$3220,4,FALSE), vlookup(B3096,Pop_Census_2023!$A$2:$E$3220,5,FALSE))</f>
        <v>34774</v>
      </c>
    </row>
    <row r="3097">
      <c r="A3097" s="47" t="s">
        <v>3838</v>
      </c>
      <c r="B3097" s="47">
        <v>55021.0</v>
      </c>
      <c r="C3097" s="47">
        <v>6.0</v>
      </c>
      <c r="D3097" s="47" t="s">
        <v>4044</v>
      </c>
      <c r="E3097" s="47" t="str">
        <f t="shared" si="1"/>
        <v>6A</v>
      </c>
      <c r="F3097" s="47" t="s">
        <v>4054</v>
      </c>
      <c r="G3097" s="47" t="s">
        <v>231</v>
      </c>
      <c r="H3097" s="48">
        <f>IF(NOT(ISBLANK(vlookup(B3097,Pop_Census_2023!$A$2:$E$3220,4,FALSE))),vlookup(B3097,Pop_Census_2023!$A$2:$E$3220,4,FALSE), vlookup(B3097,Pop_Census_2023!$A$2:$E$3220,5,FALSE))</f>
        <v>58091</v>
      </c>
    </row>
    <row r="3098">
      <c r="A3098" s="47" t="s">
        <v>3838</v>
      </c>
      <c r="B3098" s="47">
        <v>55023.0</v>
      </c>
      <c r="C3098" s="47">
        <v>6.0</v>
      </c>
      <c r="D3098" s="47" t="s">
        <v>4044</v>
      </c>
      <c r="E3098" s="47" t="str">
        <f t="shared" si="1"/>
        <v>6A</v>
      </c>
      <c r="F3098" s="47" t="s">
        <v>4054</v>
      </c>
      <c r="G3098" s="47" t="s">
        <v>234</v>
      </c>
      <c r="H3098" s="48">
        <f>IF(NOT(ISBLANK(vlookup(B3098,Pop_Census_2023!$A$2:$E$3220,4,FALSE))),vlookup(B3098,Pop_Census_2023!$A$2:$E$3220,4,FALSE), vlookup(B3098,Pop_Census_2023!$A$2:$E$3220,5,FALSE))</f>
        <v>15944</v>
      </c>
    </row>
    <row r="3099">
      <c r="A3099" s="47" t="s">
        <v>3838</v>
      </c>
      <c r="B3099" s="47">
        <v>55025.0</v>
      </c>
      <c r="C3099" s="47">
        <v>6.0</v>
      </c>
      <c r="D3099" s="47" t="s">
        <v>4044</v>
      </c>
      <c r="E3099" s="47" t="str">
        <f t="shared" si="1"/>
        <v>6A</v>
      </c>
      <c r="F3099" s="47" t="s">
        <v>4054</v>
      </c>
      <c r="G3099" s="47" t="s">
        <v>1947</v>
      </c>
      <c r="H3099" s="48">
        <f>IF(NOT(ISBLANK(vlookup(B3099,Pop_Census_2023!$A$2:$E$3220,4,FALSE))),vlookup(B3099,Pop_Census_2023!$A$2:$E$3220,4,FALSE), vlookup(B3099,Pop_Census_2023!$A$2:$E$3220,5,FALSE))</f>
        <v>575347</v>
      </c>
    </row>
    <row r="3100">
      <c r="A3100" s="47" t="s">
        <v>3838</v>
      </c>
      <c r="B3100" s="47">
        <v>55027.0</v>
      </c>
      <c r="C3100" s="47">
        <v>6.0</v>
      </c>
      <c r="D3100" s="47" t="s">
        <v>4044</v>
      </c>
      <c r="E3100" s="47" t="str">
        <f t="shared" si="1"/>
        <v>6A</v>
      </c>
      <c r="F3100" s="47" t="s">
        <v>4054</v>
      </c>
      <c r="G3100" s="47" t="s">
        <v>493</v>
      </c>
      <c r="H3100" s="48">
        <f>IF(NOT(ISBLANK(vlookup(B3100,Pop_Census_2023!$A$2:$E$3220,4,FALSE))),vlookup(B3100,Pop_Census_2023!$A$2:$E$3220,4,FALSE), vlookup(B3100,Pop_Census_2023!$A$2:$E$3220,5,FALSE))</f>
        <v>88231</v>
      </c>
    </row>
    <row r="3101">
      <c r="A3101" s="47" t="s">
        <v>3838</v>
      </c>
      <c r="B3101" s="47">
        <v>55029.0</v>
      </c>
      <c r="C3101" s="47">
        <v>6.0</v>
      </c>
      <c r="D3101" s="47" t="s">
        <v>4044</v>
      </c>
      <c r="E3101" s="47" t="str">
        <f t="shared" si="1"/>
        <v>6A</v>
      </c>
      <c r="F3101" s="47" t="s">
        <v>4054</v>
      </c>
      <c r="G3101" s="47" t="s">
        <v>1948</v>
      </c>
      <c r="H3101" s="48">
        <f>IF(NOT(ISBLANK(vlookup(B3101,Pop_Census_2023!$A$2:$E$3220,4,FALSE))),vlookup(B3101,Pop_Census_2023!$A$2:$E$3220,4,FALSE), vlookup(B3101,Pop_Census_2023!$A$2:$E$3220,5,FALSE))</f>
        <v>30562</v>
      </c>
    </row>
    <row r="3102">
      <c r="A3102" s="47" t="s">
        <v>3838</v>
      </c>
      <c r="B3102" s="47">
        <v>55031.0</v>
      </c>
      <c r="C3102" s="47">
        <v>7.0</v>
      </c>
      <c r="D3102" s="47" t="s">
        <v>4014</v>
      </c>
      <c r="E3102" s="47">
        <f t="shared" si="1"/>
        <v>7</v>
      </c>
      <c r="F3102" s="47" t="s">
        <v>4015</v>
      </c>
      <c r="G3102" s="47" t="s">
        <v>357</v>
      </c>
      <c r="H3102" s="48">
        <f>IF(NOT(ISBLANK(vlookup(B3102,Pop_Census_2023!$A$2:$E$3220,4,FALSE))),vlookup(B3102,Pop_Census_2023!$A$2:$E$3220,4,FALSE), vlookup(B3102,Pop_Census_2023!$A$2:$E$3220,5,FALSE))</f>
        <v>44264</v>
      </c>
    </row>
    <row r="3103">
      <c r="A3103" s="47" t="s">
        <v>3838</v>
      </c>
      <c r="B3103" s="47">
        <v>55033.0</v>
      </c>
      <c r="C3103" s="47">
        <v>6.0</v>
      </c>
      <c r="D3103" s="47" t="s">
        <v>4044</v>
      </c>
      <c r="E3103" s="47" t="str">
        <f t="shared" si="1"/>
        <v>6A</v>
      </c>
      <c r="F3103" s="47" t="s">
        <v>4054</v>
      </c>
      <c r="G3103" s="47" t="s">
        <v>1400</v>
      </c>
      <c r="H3103" s="48">
        <f>IF(NOT(ISBLANK(vlookup(B3103,Pop_Census_2023!$A$2:$E$3220,4,FALSE))),vlookup(B3103,Pop_Census_2023!$A$2:$E$3220,4,FALSE), vlookup(B3103,Pop_Census_2023!$A$2:$E$3220,5,FALSE))</f>
        <v>45794</v>
      </c>
    </row>
    <row r="3104">
      <c r="A3104" s="47" t="s">
        <v>3838</v>
      </c>
      <c r="B3104" s="47">
        <v>55035.0</v>
      </c>
      <c r="C3104" s="47">
        <v>6.0</v>
      </c>
      <c r="D3104" s="47" t="s">
        <v>4044</v>
      </c>
      <c r="E3104" s="47" t="str">
        <f t="shared" si="1"/>
        <v>6A</v>
      </c>
      <c r="F3104" s="47" t="s">
        <v>4054</v>
      </c>
      <c r="G3104" s="47" t="s">
        <v>1949</v>
      </c>
      <c r="H3104" s="48">
        <f>IF(NOT(ISBLANK(vlookup(B3104,Pop_Census_2023!$A$2:$E$3220,4,FALSE))),vlookup(B3104,Pop_Census_2023!$A$2:$E$3220,4,FALSE), vlookup(B3104,Pop_Census_2023!$A$2:$E$3220,5,FALSE))</f>
        <v>107903</v>
      </c>
    </row>
    <row r="3105">
      <c r="A3105" s="47" t="s">
        <v>3838</v>
      </c>
      <c r="B3105" s="47">
        <v>55037.0</v>
      </c>
      <c r="C3105" s="47">
        <v>7.0</v>
      </c>
      <c r="D3105" s="47" t="s">
        <v>4014</v>
      </c>
      <c r="E3105" s="47">
        <f t="shared" si="1"/>
        <v>7</v>
      </c>
      <c r="F3105" s="47" t="s">
        <v>4015</v>
      </c>
      <c r="G3105" s="47" t="s">
        <v>1563</v>
      </c>
      <c r="H3105" s="48">
        <f>IF(NOT(ISBLANK(vlookup(B3105,Pop_Census_2023!$A$2:$E$3220,4,FALSE))),vlookup(B3105,Pop_Census_2023!$A$2:$E$3220,4,FALSE), vlookup(B3105,Pop_Census_2023!$A$2:$E$3220,5,FALSE))</f>
        <v>4682</v>
      </c>
    </row>
    <row r="3106">
      <c r="A3106" s="47" t="s">
        <v>3838</v>
      </c>
      <c r="B3106" s="47">
        <v>55039.0</v>
      </c>
      <c r="C3106" s="47">
        <v>6.0</v>
      </c>
      <c r="D3106" s="47" t="s">
        <v>4044</v>
      </c>
      <c r="E3106" s="47" t="str">
        <f t="shared" si="1"/>
        <v>6A</v>
      </c>
      <c r="F3106" s="47" t="s">
        <v>4054</v>
      </c>
      <c r="G3106" s="47" t="s">
        <v>1950</v>
      </c>
      <c r="H3106" s="48">
        <f>IF(NOT(ISBLANK(vlookup(B3106,Pop_Census_2023!$A$2:$E$3220,4,FALSE))),vlookup(B3106,Pop_Census_2023!$A$2:$E$3220,4,FALSE), vlookup(B3106,Pop_Census_2023!$A$2:$E$3220,5,FALSE))</f>
        <v>103948</v>
      </c>
    </row>
    <row r="3107">
      <c r="A3107" s="47" t="s">
        <v>3838</v>
      </c>
      <c r="B3107" s="47">
        <v>55041.0</v>
      </c>
      <c r="C3107" s="47">
        <v>7.0</v>
      </c>
      <c r="D3107" s="47" t="s">
        <v>4014</v>
      </c>
      <c r="E3107" s="47">
        <f t="shared" si="1"/>
        <v>7</v>
      </c>
      <c r="F3107" s="47" t="s">
        <v>4015</v>
      </c>
      <c r="G3107" s="47" t="s">
        <v>1527</v>
      </c>
      <c r="H3107" s="48">
        <f>IF(NOT(ISBLANK(vlookup(B3107,Pop_Census_2023!$A$2:$E$3220,4,FALSE))),vlookup(B3107,Pop_Census_2023!$A$2:$E$3220,4,FALSE), vlookup(B3107,Pop_Census_2023!$A$2:$E$3220,5,FALSE))</f>
        <v>9325</v>
      </c>
    </row>
    <row r="3108">
      <c r="A3108" s="47" t="s">
        <v>3838</v>
      </c>
      <c r="B3108" s="47">
        <v>55043.0</v>
      </c>
      <c r="C3108" s="47">
        <v>6.0</v>
      </c>
      <c r="D3108" s="47" t="s">
        <v>4044</v>
      </c>
      <c r="E3108" s="47" t="str">
        <f t="shared" si="1"/>
        <v>6A</v>
      </c>
      <c r="F3108" s="47" t="s">
        <v>4054</v>
      </c>
      <c r="G3108" s="47" t="s">
        <v>242</v>
      </c>
      <c r="H3108" s="48">
        <f>IF(NOT(ISBLANK(vlookup(B3108,Pop_Census_2023!$A$2:$E$3220,4,FALSE))),vlookup(B3108,Pop_Census_2023!$A$2:$E$3220,4,FALSE), vlookup(B3108,Pop_Census_2023!$A$2:$E$3220,5,FALSE))</f>
        <v>51409</v>
      </c>
    </row>
    <row r="3109">
      <c r="A3109" s="47" t="s">
        <v>3838</v>
      </c>
      <c r="B3109" s="47">
        <v>55045.0</v>
      </c>
      <c r="C3109" s="47">
        <v>6.0</v>
      </c>
      <c r="D3109" s="47" t="s">
        <v>4044</v>
      </c>
      <c r="E3109" s="47" t="str">
        <f t="shared" si="1"/>
        <v>6A</v>
      </c>
      <c r="F3109" s="47" t="s">
        <v>4054</v>
      </c>
      <c r="G3109" s="47" t="s">
        <v>842</v>
      </c>
      <c r="H3109" s="48">
        <f>IF(NOT(ISBLANK(vlookup(B3109,Pop_Census_2023!$A$2:$E$3220,4,FALSE))),vlookup(B3109,Pop_Census_2023!$A$2:$E$3220,4,FALSE), vlookup(B3109,Pop_Census_2023!$A$2:$E$3220,5,FALSE))</f>
        <v>36951</v>
      </c>
    </row>
    <row r="3110">
      <c r="A3110" s="47" t="s">
        <v>3838</v>
      </c>
      <c r="B3110" s="47">
        <v>55047.0</v>
      </c>
      <c r="C3110" s="47">
        <v>6.0</v>
      </c>
      <c r="D3110" s="47" t="s">
        <v>4044</v>
      </c>
      <c r="E3110" s="47" t="str">
        <f t="shared" si="1"/>
        <v>6A</v>
      </c>
      <c r="F3110" s="47" t="s">
        <v>4054</v>
      </c>
      <c r="G3110" s="47" t="s">
        <v>1951</v>
      </c>
      <c r="H3110" s="48">
        <f>IF(NOT(ISBLANK(vlookup(B3110,Pop_Census_2023!$A$2:$E$3220,4,FALSE))),vlookup(B3110,Pop_Census_2023!$A$2:$E$3220,4,FALSE), vlookup(B3110,Pop_Census_2023!$A$2:$E$3220,5,FALSE))</f>
        <v>19344</v>
      </c>
    </row>
    <row r="3111">
      <c r="A3111" s="47" t="s">
        <v>3838</v>
      </c>
      <c r="B3111" s="47">
        <v>55049.0</v>
      </c>
      <c r="C3111" s="47">
        <v>6.0</v>
      </c>
      <c r="D3111" s="47" t="s">
        <v>4044</v>
      </c>
      <c r="E3111" s="47" t="str">
        <f t="shared" si="1"/>
        <v>6A</v>
      </c>
      <c r="F3111" s="47" t="s">
        <v>4054</v>
      </c>
      <c r="G3111" s="47" t="s">
        <v>705</v>
      </c>
      <c r="H3111" s="48">
        <f>IF(NOT(ISBLANK(vlookup(B3111,Pop_Census_2023!$A$2:$E$3220,4,FALSE))),vlookup(B3111,Pop_Census_2023!$A$2:$E$3220,4,FALSE), vlookup(B3111,Pop_Census_2023!$A$2:$E$3220,5,FALSE))</f>
        <v>23956</v>
      </c>
    </row>
    <row r="3112">
      <c r="A3112" s="47" t="s">
        <v>3838</v>
      </c>
      <c r="B3112" s="47">
        <v>55051.0</v>
      </c>
      <c r="C3112" s="47">
        <v>7.0</v>
      </c>
      <c r="D3112" s="47" t="s">
        <v>4014</v>
      </c>
      <c r="E3112" s="47">
        <f t="shared" si="1"/>
        <v>7</v>
      </c>
      <c r="F3112" s="47" t="s">
        <v>4015</v>
      </c>
      <c r="G3112" s="47" t="s">
        <v>989</v>
      </c>
      <c r="H3112" s="48">
        <f>IF(NOT(ISBLANK(vlookup(B3112,Pop_Census_2023!$A$2:$E$3220,4,FALSE))),vlookup(B3112,Pop_Census_2023!$A$2:$E$3220,4,FALSE), vlookup(B3112,Pop_Census_2023!$A$2:$E$3220,5,FALSE))</f>
        <v>6228</v>
      </c>
    </row>
    <row r="3113">
      <c r="A3113" s="47" t="s">
        <v>3838</v>
      </c>
      <c r="B3113" s="47">
        <v>55053.0</v>
      </c>
      <c r="C3113" s="47">
        <v>6.0</v>
      </c>
      <c r="D3113" s="47" t="s">
        <v>4044</v>
      </c>
      <c r="E3113" s="47" t="str">
        <f t="shared" si="1"/>
        <v>6A</v>
      </c>
      <c r="F3113" s="47" t="s">
        <v>4054</v>
      </c>
      <c r="G3113" s="47" t="s">
        <v>138</v>
      </c>
      <c r="H3113" s="48">
        <f>IF(NOT(ISBLANK(vlookup(B3113,Pop_Census_2023!$A$2:$E$3220,4,FALSE))),vlookup(B3113,Pop_Census_2023!$A$2:$E$3220,4,FALSE), vlookup(B3113,Pop_Census_2023!$A$2:$E$3220,5,FALSE))</f>
        <v>20855</v>
      </c>
    </row>
    <row r="3114">
      <c r="A3114" s="47" t="s">
        <v>3838</v>
      </c>
      <c r="B3114" s="47">
        <v>55055.0</v>
      </c>
      <c r="C3114" s="47">
        <v>6.0</v>
      </c>
      <c r="D3114" s="47" t="s">
        <v>4044</v>
      </c>
      <c r="E3114" s="47" t="str">
        <f t="shared" si="1"/>
        <v>6A</v>
      </c>
      <c r="F3114" s="47" t="s">
        <v>4054</v>
      </c>
      <c r="G3114" s="47" t="s">
        <v>139</v>
      </c>
      <c r="H3114" s="48">
        <f>IF(NOT(ISBLANK(vlookup(B3114,Pop_Census_2023!$A$2:$E$3220,4,FALSE))),vlookup(B3114,Pop_Census_2023!$A$2:$E$3220,4,FALSE), vlookup(B3114,Pop_Census_2023!$A$2:$E$3220,5,FALSE))</f>
        <v>85743</v>
      </c>
    </row>
    <row r="3115">
      <c r="A3115" s="47" t="s">
        <v>3838</v>
      </c>
      <c r="B3115" s="47">
        <v>55057.0</v>
      </c>
      <c r="C3115" s="47">
        <v>6.0</v>
      </c>
      <c r="D3115" s="47" t="s">
        <v>4044</v>
      </c>
      <c r="E3115" s="47" t="str">
        <f t="shared" si="1"/>
        <v>6A</v>
      </c>
      <c r="F3115" s="47" t="s">
        <v>4054</v>
      </c>
      <c r="G3115" s="47" t="s">
        <v>1952</v>
      </c>
      <c r="H3115" s="48">
        <f>IF(NOT(ISBLANK(vlookup(B3115,Pop_Census_2023!$A$2:$E$3220,4,FALSE))),vlookup(B3115,Pop_Census_2023!$A$2:$E$3220,4,FALSE), vlookup(B3115,Pop_Census_2023!$A$2:$E$3220,5,FALSE))</f>
        <v>26594</v>
      </c>
    </row>
    <row r="3116">
      <c r="A3116" s="47" t="s">
        <v>3838</v>
      </c>
      <c r="B3116" s="47">
        <v>55059.0</v>
      </c>
      <c r="C3116" s="47">
        <v>6.0</v>
      </c>
      <c r="D3116" s="47" t="s">
        <v>4044</v>
      </c>
      <c r="E3116" s="47" t="str">
        <f t="shared" si="1"/>
        <v>6A</v>
      </c>
      <c r="F3116" s="47" t="s">
        <v>4054</v>
      </c>
      <c r="G3116" s="47" t="s">
        <v>1953</v>
      </c>
      <c r="H3116" s="48">
        <f>IF(NOT(ISBLANK(vlookup(B3116,Pop_Census_2023!$A$2:$E$3220,4,FALSE))),vlookup(B3116,Pop_Census_2023!$A$2:$E$3220,4,FALSE), vlookup(B3116,Pop_Census_2023!$A$2:$E$3220,5,FALSE))</f>
        <v>167488</v>
      </c>
    </row>
    <row r="3117">
      <c r="A3117" s="47" t="s">
        <v>3838</v>
      </c>
      <c r="B3117" s="47">
        <v>55061.0</v>
      </c>
      <c r="C3117" s="47">
        <v>6.0</v>
      </c>
      <c r="D3117" s="47" t="s">
        <v>4044</v>
      </c>
      <c r="E3117" s="47" t="str">
        <f t="shared" si="1"/>
        <v>6A</v>
      </c>
      <c r="F3117" s="47" t="s">
        <v>4054</v>
      </c>
      <c r="G3117" s="47" t="s">
        <v>1954</v>
      </c>
      <c r="H3117" s="48">
        <f>IF(NOT(ISBLANK(vlookup(B3117,Pop_Census_2023!$A$2:$E$3220,4,FALSE))),vlookup(B3117,Pop_Census_2023!$A$2:$E$3220,4,FALSE), vlookup(B3117,Pop_Census_2023!$A$2:$E$3220,5,FALSE))</f>
        <v>20690</v>
      </c>
    </row>
    <row r="3118">
      <c r="A3118" s="47" t="s">
        <v>3838</v>
      </c>
      <c r="B3118" s="47">
        <v>55063.0</v>
      </c>
      <c r="C3118" s="47">
        <v>6.0</v>
      </c>
      <c r="D3118" s="47" t="s">
        <v>4044</v>
      </c>
      <c r="E3118" s="47" t="str">
        <f t="shared" si="1"/>
        <v>6A</v>
      </c>
      <c r="F3118" s="47" t="s">
        <v>4054</v>
      </c>
      <c r="G3118" s="47" t="s">
        <v>1955</v>
      </c>
      <c r="H3118" s="48">
        <f>IF(NOT(ISBLANK(vlookup(B3118,Pop_Census_2023!$A$2:$E$3220,4,FALSE))),vlookup(B3118,Pop_Census_2023!$A$2:$E$3220,4,FALSE), vlookup(B3118,Pop_Census_2023!$A$2:$E$3220,5,FALSE))</f>
        <v>120486</v>
      </c>
    </row>
    <row r="3119">
      <c r="A3119" s="47" t="s">
        <v>3838</v>
      </c>
      <c r="B3119" s="47">
        <v>55065.0</v>
      </c>
      <c r="C3119" s="47">
        <v>6.0</v>
      </c>
      <c r="D3119" s="47" t="s">
        <v>4044</v>
      </c>
      <c r="E3119" s="47" t="str">
        <f t="shared" si="1"/>
        <v>6A</v>
      </c>
      <c r="F3119" s="47" t="s">
        <v>4054</v>
      </c>
      <c r="G3119" s="47" t="s">
        <v>249</v>
      </c>
      <c r="H3119" s="48">
        <f>IF(NOT(ISBLANK(vlookup(B3119,Pop_Census_2023!$A$2:$E$3220,4,FALSE))),vlookup(B3119,Pop_Census_2023!$A$2:$E$3220,4,FALSE), vlookup(B3119,Pop_Census_2023!$A$2:$E$3220,5,FALSE))</f>
        <v>16945</v>
      </c>
    </row>
    <row r="3120">
      <c r="A3120" s="47" t="s">
        <v>3838</v>
      </c>
      <c r="B3120" s="47">
        <v>55067.0</v>
      </c>
      <c r="C3120" s="47">
        <v>7.0</v>
      </c>
      <c r="D3120" s="47" t="s">
        <v>4014</v>
      </c>
      <c r="E3120" s="47">
        <f t="shared" si="1"/>
        <v>7</v>
      </c>
      <c r="F3120" s="47" t="s">
        <v>4015</v>
      </c>
      <c r="G3120" s="47" t="s">
        <v>1956</v>
      </c>
      <c r="H3120" s="48">
        <f>IF(NOT(ISBLANK(vlookup(B3120,Pop_Census_2023!$A$2:$E$3220,4,FALSE))),vlookup(B3120,Pop_Census_2023!$A$2:$E$3220,4,FALSE), vlookup(B3120,Pop_Census_2023!$A$2:$E$3220,5,FALSE))</f>
        <v>19404</v>
      </c>
    </row>
    <row r="3121">
      <c r="A3121" s="47" t="s">
        <v>3838</v>
      </c>
      <c r="B3121" s="47">
        <v>55069.0</v>
      </c>
      <c r="C3121" s="47">
        <v>7.0</v>
      </c>
      <c r="D3121" s="47" t="s">
        <v>4014</v>
      </c>
      <c r="E3121" s="47">
        <f t="shared" si="1"/>
        <v>7</v>
      </c>
      <c r="F3121" s="47" t="s">
        <v>4015</v>
      </c>
      <c r="G3121" s="47" t="s">
        <v>250</v>
      </c>
      <c r="H3121" s="48">
        <f>IF(NOT(ISBLANK(vlookup(B3121,Pop_Census_2023!$A$2:$E$3220,4,FALSE))),vlookup(B3121,Pop_Census_2023!$A$2:$E$3220,4,FALSE), vlookup(B3121,Pop_Census_2023!$A$2:$E$3220,5,FALSE))</f>
        <v>28405</v>
      </c>
    </row>
    <row r="3122">
      <c r="A3122" s="47" t="s">
        <v>3838</v>
      </c>
      <c r="B3122" s="47">
        <v>55071.0</v>
      </c>
      <c r="C3122" s="47">
        <v>6.0</v>
      </c>
      <c r="D3122" s="47" t="s">
        <v>4044</v>
      </c>
      <c r="E3122" s="47" t="str">
        <f t="shared" si="1"/>
        <v>6A</v>
      </c>
      <c r="F3122" s="47" t="s">
        <v>4054</v>
      </c>
      <c r="G3122" s="47" t="s">
        <v>1957</v>
      </c>
      <c r="H3122" s="48">
        <f>IF(NOT(ISBLANK(vlookup(B3122,Pop_Census_2023!$A$2:$E$3220,4,FALSE))),vlookup(B3122,Pop_Census_2023!$A$2:$E$3220,4,FALSE), vlookup(B3122,Pop_Census_2023!$A$2:$E$3220,5,FALSE))</f>
        <v>81331</v>
      </c>
    </row>
    <row r="3123">
      <c r="A3123" s="47" t="s">
        <v>3838</v>
      </c>
      <c r="B3123" s="47">
        <v>55073.0</v>
      </c>
      <c r="C3123" s="47">
        <v>6.0</v>
      </c>
      <c r="D3123" s="47" t="s">
        <v>4044</v>
      </c>
      <c r="E3123" s="47" t="str">
        <f t="shared" si="1"/>
        <v>6A</v>
      </c>
      <c r="F3123" s="47" t="s">
        <v>4054</v>
      </c>
      <c r="G3123" s="47" t="s">
        <v>1958</v>
      </c>
      <c r="H3123" s="48">
        <f>IF(NOT(ISBLANK(vlookup(B3123,Pop_Census_2023!$A$2:$E$3220,4,FALSE))),vlookup(B3123,Pop_Census_2023!$A$2:$E$3220,4,FALSE), vlookup(B3123,Pop_Census_2023!$A$2:$E$3220,5,FALSE))</f>
        <v>138612</v>
      </c>
    </row>
    <row r="3124">
      <c r="A3124" s="47" t="s">
        <v>3838</v>
      </c>
      <c r="B3124" s="47">
        <v>55075.0</v>
      </c>
      <c r="C3124" s="47">
        <v>6.0</v>
      </c>
      <c r="D3124" s="47" t="s">
        <v>4044</v>
      </c>
      <c r="E3124" s="47" t="str">
        <f t="shared" si="1"/>
        <v>6A</v>
      </c>
      <c r="F3124" s="47" t="s">
        <v>4054</v>
      </c>
      <c r="G3124" s="47" t="s">
        <v>1959</v>
      </c>
      <c r="H3124" s="48">
        <f>IF(NOT(ISBLANK(vlookup(B3124,Pop_Census_2023!$A$2:$E$3220,4,FALSE))),vlookup(B3124,Pop_Census_2023!$A$2:$E$3220,4,FALSE), vlookup(B3124,Pop_Census_2023!$A$2:$E$3220,5,FALSE))</f>
        <v>42106</v>
      </c>
    </row>
    <row r="3125">
      <c r="A3125" s="47" t="s">
        <v>3838</v>
      </c>
      <c r="B3125" s="47">
        <v>55077.0</v>
      </c>
      <c r="C3125" s="47">
        <v>6.0</v>
      </c>
      <c r="D3125" s="47" t="s">
        <v>4044</v>
      </c>
      <c r="E3125" s="47" t="str">
        <f t="shared" si="1"/>
        <v>6A</v>
      </c>
      <c r="F3125" s="47" t="s">
        <v>4054</v>
      </c>
      <c r="G3125" s="47" t="s">
        <v>1001</v>
      </c>
      <c r="H3125" s="48">
        <f>IF(NOT(ISBLANK(vlookup(B3125,Pop_Census_2023!$A$2:$E$3220,4,FALSE))),vlookup(B3125,Pop_Census_2023!$A$2:$E$3220,4,FALSE), vlookup(B3125,Pop_Census_2023!$A$2:$E$3220,5,FALSE))</f>
        <v>15838</v>
      </c>
    </row>
    <row r="3126">
      <c r="A3126" s="47" t="s">
        <v>3838</v>
      </c>
      <c r="B3126" s="47">
        <v>55078.0</v>
      </c>
      <c r="C3126" s="47">
        <v>6.0</v>
      </c>
      <c r="D3126" s="47" t="s">
        <v>4044</v>
      </c>
      <c r="E3126" s="47" t="str">
        <f t="shared" si="1"/>
        <v>6A</v>
      </c>
      <c r="F3126" s="47" t="s">
        <v>4054</v>
      </c>
      <c r="G3126" s="47" t="s">
        <v>1003</v>
      </c>
      <c r="H3126" s="48">
        <f>IF(NOT(ISBLANK(vlookup(B3126,Pop_Census_2023!$A$2:$E$3220,4,FALSE))),vlookup(B3126,Pop_Census_2023!$A$2:$E$3220,4,FALSE), vlookup(B3126,Pop_Census_2023!$A$2:$E$3220,5,FALSE))</f>
        <v>4226</v>
      </c>
    </row>
    <row r="3127">
      <c r="A3127" s="47" t="s">
        <v>3838</v>
      </c>
      <c r="B3127" s="47">
        <v>55079.0</v>
      </c>
      <c r="C3127" s="47">
        <v>6.0</v>
      </c>
      <c r="D3127" s="47" t="s">
        <v>4044</v>
      </c>
      <c r="E3127" s="47" t="str">
        <f t="shared" si="1"/>
        <v>6A</v>
      </c>
      <c r="F3127" s="47" t="s">
        <v>4054</v>
      </c>
      <c r="G3127" s="47" t="s">
        <v>1960</v>
      </c>
      <c r="H3127" s="48">
        <f>IF(NOT(ISBLANK(vlookup(B3127,Pop_Census_2023!$A$2:$E$3220,4,FALSE))),vlookup(B3127,Pop_Census_2023!$A$2:$E$3220,4,FALSE), vlookup(B3127,Pop_Census_2023!$A$2:$E$3220,5,FALSE))</f>
        <v>916205</v>
      </c>
    </row>
    <row r="3128">
      <c r="A3128" s="47" t="s">
        <v>3838</v>
      </c>
      <c r="B3128" s="47">
        <v>55081.0</v>
      </c>
      <c r="C3128" s="47">
        <v>6.0</v>
      </c>
      <c r="D3128" s="47" t="s">
        <v>4044</v>
      </c>
      <c r="E3128" s="47" t="str">
        <f t="shared" si="1"/>
        <v>6A</v>
      </c>
      <c r="F3128" s="47" t="s">
        <v>4054</v>
      </c>
      <c r="G3128" s="47" t="s">
        <v>152</v>
      </c>
      <c r="H3128" s="48">
        <f>IF(NOT(ISBLANK(vlookup(B3128,Pop_Census_2023!$A$2:$E$3220,4,FALSE))),vlookup(B3128,Pop_Census_2023!$A$2:$E$3220,4,FALSE), vlookup(B3128,Pop_Census_2023!$A$2:$E$3220,5,FALSE))</f>
        <v>46151</v>
      </c>
    </row>
    <row r="3129">
      <c r="A3129" s="47" t="s">
        <v>3838</v>
      </c>
      <c r="B3129" s="47">
        <v>55083.0</v>
      </c>
      <c r="C3129" s="47">
        <v>6.0</v>
      </c>
      <c r="D3129" s="47" t="s">
        <v>4044</v>
      </c>
      <c r="E3129" s="47" t="str">
        <f t="shared" si="1"/>
        <v>6A</v>
      </c>
      <c r="F3129" s="47" t="s">
        <v>4054</v>
      </c>
      <c r="G3129" s="47" t="s">
        <v>1961</v>
      </c>
      <c r="H3129" s="48">
        <f>IF(NOT(ISBLANK(vlookup(B3129,Pop_Census_2023!$A$2:$E$3220,4,FALSE))),vlookup(B3129,Pop_Census_2023!$A$2:$E$3220,4,FALSE), vlookup(B3129,Pop_Census_2023!$A$2:$E$3220,5,FALSE))</f>
        <v>39775</v>
      </c>
    </row>
    <row r="3130">
      <c r="A3130" s="47" t="s">
        <v>3838</v>
      </c>
      <c r="B3130" s="47">
        <v>55085.0</v>
      </c>
      <c r="C3130" s="47">
        <v>7.0</v>
      </c>
      <c r="D3130" s="47" t="s">
        <v>4014</v>
      </c>
      <c r="E3130" s="47">
        <f t="shared" si="1"/>
        <v>7</v>
      </c>
      <c r="F3130" s="47" t="s">
        <v>4015</v>
      </c>
      <c r="G3130" s="47" t="s">
        <v>600</v>
      </c>
      <c r="H3130" s="48">
        <f>IF(NOT(ISBLANK(vlookup(B3130,Pop_Census_2023!$A$2:$E$3220,4,FALSE))),vlookup(B3130,Pop_Census_2023!$A$2:$E$3220,4,FALSE), vlookup(B3130,Pop_Census_2023!$A$2:$E$3220,5,FALSE))</f>
        <v>38226</v>
      </c>
    </row>
    <row r="3131">
      <c r="A3131" s="47" t="s">
        <v>3838</v>
      </c>
      <c r="B3131" s="47">
        <v>55087.0</v>
      </c>
      <c r="C3131" s="47">
        <v>6.0</v>
      </c>
      <c r="D3131" s="47" t="s">
        <v>4044</v>
      </c>
      <c r="E3131" s="47" t="str">
        <f t="shared" si="1"/>
        <v>6A</v>
      </c>
      <c r="F3131" s="47" t="s">
        <v>4054</v>
      </c>
      <c r="G3131" s="47" t="s">
        <v>1962</v>
      </c>
      <c r="H3131" s="48">
        <f>IF(NOT(ISBLANK(vlookup(B3131,Pop_Census_2023!$A$2:$E$3220,4,FALSE))),vlookup(B3131,Pop_Census_2023!$A$2:$E$3220,4,FALSE), vlookup(B3131,Pop_Census_2023!$A$2:$E$3220,5,FALSE))</f>
        <v>193234</v>
      </c>
    </row>
    <row r="3132">
      <c r="A3132" s="47" t="s">
        <v>3838</v>
      </c>
      <c r="B3132" s="47">
        <v>55089.0</v>
      </c>
      <c r="C3132" s="47">
        <v>6.0</v>
      </c>
      <c r="D3132" s="47" t="s">
        <v>4044</v>
      </c>
      <c r="E3132" s="47" t="str">
        <f t="shared" si="1"/>
        <v>6A</v>
      </c>
      <c r="F3132" s="47" t="s">
        <v>4054</v>
      </c>
      <c r="G3132" s="47" t="s">
        <v>1963</v>
      </c>
      <c r="H3132" s="48">
        <f>IF(NOT(ISBLANK(vlookup(B3132,Pop_Census_2023!$A$2:$E$3220,4,FALSE))),vlookup(B3132,Pop_Census_2023!$A$2:$E$3220,4,FALSE), vlookup(B3132,Pop_Census_2023!$A$2:$E$3220,5,FALSE))</f>
        <v>93460</v>
      </c>
    </row>
    <row r="3133">
      <c r="A3133" s="47" t="s">
        <v>3838</v>
      </c>
      <c r="B3133" s="47">
        <v>55091.0</v>
      </c>
      <c r="C3133" s="47">
        <v>6.0</v>
      </c>
      <c r="D3133" s="47" t="s">
        <v>4044</v>
      </c>
      <c r="E3133" s="47" t="str">
        <f t="shared" si="1"/>
        <v>6A</v>
      </c>
      <c r="F3133" s="47" t="s">
        <v>4054</v>
      </c>
      <c r="G3133" s="47" t="s">
        <v>1964</v>
      </c>
      <c r="H3133" s="48">
        <f>IF(NOT(ISBLANK(vlookup(B3133,Pop_Census_2023!$A$2:$E$3220,4,FALSE))),vlookup(B3133,Pop_Census_2023!$A$2:$E$3220,4,FALSE), vlookup(B3133,Pop_Census_2023!$A$2:$E$3220,5,FALSE))</f>
        <v>7441</v>
      </c>
    </row>
    <row r="3134">
      <c r="A3134" s="47" t="s">
        <v>3838</v>
      </c>
      <c r="B3134" s="47">
        <v>55093.0</v>
      </c>
      <c r="C3134" s="47">
        <v>6.0</v>
      </c>
      <c r="D3134" s="47" t="s">
        <v>4044</v>
      </c>
      <c r="E3134" s="47" t="str">
        <f t="shared" si="1"/>
        <v>6A</v>
      </c>
      <c r="F3134" s="47" t="s">
        <v>4054</v>
      </c>
      <c r="G3134" s="47" t="s">
        <v>536</v>
      </c>
      <c r="H3134" s="48">
        <f>IF(NOT(ISBLANK(vlookup(B3134,Pop_Census_2023!$A$2:$E$3220,4,FALSE))),vlookup(B3134,Pop_Census_2023!$A$2:$E$3220,4,FALSE), vlookup(B3134,Pop_Census_2023!$A$2:$E$3220,5,FALSE))</f>
        <v>43026</v>
      </c>
    </row>
    <row r="3135">
      <c r="A3135" s="47" t="s">
        <v>3838</v>
      </c>
      <c r="B3135" s="47">
        <v>55095.0</v>
      </c>
      <c r="C3135" s="47">
        <v>6.0</v>
      </c>
      <c r="D3135" s="47" t="s">
        <v>4044</v>
      </c>
      <c r="E3135" s="47" t="str">
        <f t="shared" si="1"/>
        <v>6A</v>
      </c>
      <c r="F3135" s="47" t="s">
        <v>4054</v>
      </c>
      <c r="G3135" s="47" t="s">
        <v>261</v>
      </c>
      <c r="H3135" s="48">
        <f>IF(NOT(ISBLANK(vlookup(B3135,Pop_Census_2023!$A$2:$E$3220,4,FALSE))),vlookup(B3135,Pop_Census_2023!$A$2:$E$3220,4,FALSE), vlookup(B3135,Pop_Census_2023!$A$2:$E$3220,5,FALSE))</f>
        <v>45762</v>
      </c>
    </row>
    <row r="3136">
      <c r="A3136" s="47" t="s">
        <v>3838</v>
      </c>
      <c r="B3136" s="47">
        <v>55097.0</v>
      </c>
      <c r="C3136" s="47">
        <v>6.0</v>
      </c>
      <c r="D3136" s="47" t="s">
        <v>4044</v>
      </c>
      <c r="E3136" s="47" t="str">
        <f t="shared" si="1"/>
        <v>6A</v>
      </c>
      <c r="F3136" s="47" t="s">
        <v>4054</v>
      </c>
      <c r="G3136" s="47" t="s">
        <v>1446</v>
      </c>
      <c r="H3136" s="48">
        <f>IF(NOT(ISBLANK(vlookup(B3136,Pop_Census_2023!$A$2:$E$3220,4,FALSE))),vlookup(B3136,Pop_Census_2023!$A$2:$E$3220,4,FALSE), vlookup(B3136,Pop_Census_2023!$A$2:$E$3220,5,FALSE))</f>
        <v>71024</v>
      </c>
    </row>
    <row r="3137">
      <c r="A3137" s="47" t="s">
        <v>3838</v>
      </c>
      <c r="B3137" s="47">
        <v>55099.0</v>
      </c>
      <c r="C3137" s="47">
        <v>7.0</v>
      </c>
      <c r="D3137" s="47" t="s">
        <v>4014</v>
      </c>
      <c r="E3137" s="47">
        <f t="shared" si="1"/>
        <v>7</v>
      </c>
      <c r="F3137" s="47" t="s">
        <v>4015</v>
      </c>
      <c r="G3137" s="47" t="s">
        <v>1965</v>
      </c>
      <c r="H3137" s="48">
        <f>IF(NOT(ISBLANK(vlookup(B3137,Pop_Census_2023!$A$2:$E$3220,4,FALSE))),vlookup(B3137,Pop_Census_2023!$A$2:$E$3220,4,FALSE), vlookup(B3137,Pop_Census_2023!$A$2:$E$3220,5,FALSE))</f>
        <v>14102</v>
      </c>
    </row>
    <row r="3138">
      <c r="A3138" s="47" t="s">
        <v>3838</v>
      </c>
      <c r="B3138" s="47">
        <v>55101.0</v>
      </c>
      <c r="C3138" s="47">
        <v>6.0</v>
      </c>
      <c r="D3138" s="47" t="s">
        <v>4044</v>
      </c>
      <c r="E3138" s="47" t="str">
        <f t="shared" si="1"/>
        <v>6A</v>
      </c>
      <c r="F3138" s="47" t="s">
        <v>4054</v>
      </c>
      <c r="G3138" s="47" t="s">
        <v>1966</v>
      </c>
      <c r="H3138" s="48">
        <f>IF(NOT(ISBLANK(vlookup(B3138,Pop_Census_2023!$A$2:$E$3220,4,FALSE))),vlookup(B3138,Pop_Census_2023!$A$2:$E$3220,4,FALSE), vlookup(B3138,Pop_Census_2023!$A$2:$E$3220,5,FALSE))</f>
        <v>196613</v>
      </c>
    </row>
    <row r="3139">
      <c r="A3139" s="47" t="s">
        <v>3838</v>
      </c>
      <c r="B3139" s="47">
        <v>55103.0</v>
      </c>
      <c r="C3139" s="47">
        <v>6.0</v>
      </c>
      <c r="D3139" s="47" t="s">
        <v>4044</v>
      </c>
      <c r="E3139" s="47" t="str">
        <f t="shared" si="1"/>
        <v>6A</v>
      </c>
      <c r="F3139" s="47" t="s">
        <v>4054</v>
      </c>
      <c r="G3139" s="47" t="s">
        <v>649</v>
      </c>
      <c r="H3139" s="48">
        <f>IF(NOT(ISBLANK(vlookup(B3139,Pop_Census_2023!$A$2:$E$3220,4,FALSE))),vlookup(B3139,Pop_Census_2023!$A$2:$E$3220,4,FALSE), vlookup(B3139,Pop_Census_2023!$A$2:$E$3220,5,FALSE))</f>
        <v>17197</v>
      </c>
    </row>
    <row r="3140">
      <c r="A3140" s="47" t="s">
        <v>3838</v>
      </c>
      <c r="B3140" s="47">
        <v>55105.0</v>
      </c>
      <c r="C3140" s="47">
        <v>6.0</v>
      </c>
      <c r="D3140" s="47" t="s">
        <v>4044</v>
      </c>
      <c r="E3140" s="47" t="str">
        <f t="shared" si="1"/>
        <v>6A</v>
      </c>
      <c r="F3140" s="47" t="s">
        <v>4054</v>
      </c>
      <c r="G3140" s="47" t="s">
        <v>1071</v>
      </c>
      <c r="H3140" s="48">
        <f>IF(NOT(ISBLANK(vlookup(B3140,Pop_Census_2023!$A$2:$E$3220,4,FALSE))),vlookup(B3140,Pop_Census_2023!$A$2:$E$3220,4,FALSE), vlookup(B3140,Pop_Census_2023!$A$2:$E$3220,5,FALSE))</f>
        <v>164278</v>
      </c>
    </row>
    <row r="3141">
      <c r="A3141" s="47" t="s">
        <v>3838</v>
      </c>
      <c r="B3141" s="47">
        <v>55107.0</v>
      </c>
      <c r="C3141" s="47">
        <v>6.0</v>
      </c>
      <c r="D3141" s="47" t="s">
        <v>4044</v>
      </c>
      <c r="E3141" s="47" t="str">
        <f t="shared" si="1"/>
        <v>6A</v>
      </c>
      <c r="F3141" s="47" t="s">
        <v>4054</v>
      </c>
      <c r="G3141" s="47" t="s">
        <v>1764</v>
      </c>
      <c r="H3141" s="48">
        <f>IF(NOT(ISBLANK(vlookup(B3141,Pop_Census_2023!$A$2:$E$3220,4,FALSE))),vlookup(B3141,Pop_Census_2023!$A$2:$E$3220,4,FALSE), vlookup(B3141,Pop_Census_2023!$A$2:$E$3220,5,FALSE))</f>
        <v>14143</v>
      </c>
    </row>
    <row r="3142">
      <c r="A3142" s="47" t="s">
        <v>3838</v>
      </c>
      <c r="B3142" s="47">
        <v>55111.0</v>
      </c>
      <c r="C3142" s="47">
        <v>6.0</v>
      </c>
      <c r="D3142" s="47" t="s">
        <v>4044</v>
      </c>
      <c r="E3142" s="47" t="str">
        <f t="shared" si="1"/>
        <v>6A</v>
      </c>
      <c r="F3142" s="47" t="s">
        <v>4054</v>
      </c>
      <c r="G3142" s="47" t="s">
        <v>1968</v>
      </c>
      <c r="H3142" s="48">
        <f>IF(NOT(ISBLANK(vlookup(B3142,Pop_Census_2023!$A$2:$E$3220,4,FALSE))),vlookup(B3142,Pop_Census_2023!$A$2:$E$3220,4,FALSE), vlookup(B3142,Pop_Census_2023!$A$2:$E$3220,5,FALSE))</f>
        <v>65920</v>
      </c>
    </row>
    <row r="3143">
      <c r="A3143" s="47" t="s">
        <v>3838</v>
      </c>
      <c r="B3143" s="47">
        <v>55113.0</v>
      </c>
      <c r="C3143" s="47">
        <v>7.0</v>
      </c>
      <c r="D3143" s="47" t="s">
        <v>4014</v>
      </c>
      <c r="E3143" s="47">
        <f t="shared" si="1"/>
        <v>7</v>
      </c>
      <c r="F3143" s="47" t="s">
        <v>4015</v>
      </c>
      <c r="G3143" s="47" t="s">
        <v>1969</v>
      </c>
      <c r="H3143" s="48">
        <f>IF(NOT(ISBLANK(vlookup(B3143,Pop_Census_2023!$A$2:$E$3220,4,FALSE))),vlookup(B3143,Pop_Census_2023!$A$2:$E$3220,4,FALSE), vlookup(B3143,Pop_Census_2023!$A$2:$E$3220,5,FALSE))</f>
        <v>18552</v>
      </c>
    </row>
    <row r="3144">
      <c r="A3144" s="47" t="s">
        <v>3838</v>
      </c>
      <c r="B3144" s="47">
        <v>55115.0</v>
      </c>
      <c r="C3144" s="47">
        <v>6.0</v>
      </c>
      <c r="D3144" s="47" t="s">
        <v>4044</v>
      </c>
      <c r="E3144" s="47" t="str">
        <f t="shared" si="1"/>
        <v>6A</v>
      </c>
      <c r="F3144" s="47" t="s">
        <v>4054</v>
      </c>
      <c r="G3144" s="47" t="s">
        <v>1970</v>
      </c>
      <c r="H3144" s="48">
        <f>IF(NOT(ISBLANK(vlookup(B3144,Pop_Census_2023!$A$2:$E$3220,4,FALSE))),vlookup(B3144,Pop_Census_2023!$A$2:$E$3220,4,FALSE), vlookup(B3144,Pop_Census_2023!$A$2:$E$3220,5,FALSE))</f>
        <v>41109</v>
      </c>
    </row>
    <row r="3145">
      <c r="A3145" s="47" t="s">
        <v>3838</v>
      </c>
      <c r="B3145" s="47">
        <v>55117.0</v>
      </c>
      <c r="C3145" s="47">
        <v>6.0</v>
      </c>
      <c r="D3145" s="47" t="s">
        <v>4044</v>
      </c>
      <c r="E3145" s="47" t="str">
        <f t="shared" si="1"/>
        <v>6A</v>
      </c>
      <c r="F3145" s="47" t="s">
        <v>4054</v>
      </c>
      <c r="G3145" s="47" t="s">
        <v>1971</v>
      </c>
      <c r="H3145" s="48">
        <f>IF(NOT(ISBLANK(vlookup(B3145,Pop_Census_2023!$A$2:$E$3220,4,FALSE))),vlookup(B3145,Pop_Census_2023!$A$2:$E$3220,4,FALSE), vlookup(B3145,Pop_Census_2023!$A$2:$E$3220,5,FALSE))</f>
        <v>117752</v>
      </c>
    </row>
    <row r="3146">
      <c r="A3146" s="47" t="s">
        <v>3838</v>
      </c>
      <c r="B3146" s="47">
        <v>55109.0</v>
      </c>
      <c r="C3146" s="47">
        <v>6.0</v>
      </c>
      <c r="D3146" s="47" t="s">
        <v>4044</v>
      </c>
      <c r="E3146" s="47" t="str">
        <f t="shared" si="1"/>
        <v>6A</v>
      </c>
      <c r="F3146" s="47" t="s">
        <v>4054</v>
      </c>
      <c r="G3146" s="47" t="s">
        <v>1967</v>
      </c>
      <c r="H3146" s="48">
        <f>IF(NOT(ISBLANK(vlookup(B3146,Pop_Census_2023!$A$2:$E$3220,4,FALSE))),vlookup(B3146,Pop_Census_2023!$A$2:$E$3220,4,FALSE), vlookup(B3146,Pop_Census_2023!$A$2:$E$3220,5,FALSE))</f>
        <v>96763</v>
      </c>
    </row>
    <row r="3147">
      <c r="A3147" s="47" t="s">
        <v>3838</v>
      </c>
      <c r="B3147" s="47">
        <v>55119.0</v>
      </c>
      <c r="C3147" s="47">
        <v>7.0</v>
      </c>
      <c r="D3147" s="47" t="s">
        <v>4014</v>
      </c>
      <c r="E3147" s="47">
        <f t="shared" si="1"/>
        <v>7</v>
      </c>
      <c r="F3147" s="47" t="s">
        <v>4015</v>
      </c>
      <c r="G3147" s="47" t="s">
        <v>456</v>
      </c>
      <c r="H3147" s="48">
        <f>IF(NOT(ISBLANK(vlookup(B3147,Pop_Census_2023!$A$2:$E$3220,4,FALSE))),vlookup(B3147,Pop_Census_2023!$A$2:$E$3220,4,FALSE), vlookup(B3147,Pop_Census_2023!$A$2:$E$3220,5,FALSE))</f>
        <v>20058</v>
      </c>
    </row>
    <row r="3148">
      <c r="A3148" s="47" t="s">
        <v>3838</v>
      </c>
      <c r="B3148" s="47">
        <v>55121.0</v>
      </c>
      <c r="C3148" s="47">
        <v>6.0</v>
      </c>
      <c r="D3148" s="47" t="s">
        <v>4044</v>
      </c>
      <c r="E3148" s="47" t="str">
        <f t="shared" si="1"/>
        <v>6A</v>
      </c>
      <c r="F3148" s="47" t="s">
        <v>4054</v>
      </c>
      <c r="G3148" s="47" t="s">
        <v>1972</v>
      </c>
      <c r="H3148" s="48">
        <f>IF(NOT(ISBLANK(vlookup(B3148,Pop_Census_2023!$A$2:$E$3220,4,FALSE))),vlookup(B3148,Pop_Census_2023!$A$2:$E$3220,4,FALSE), vlookup(B3148,Pop_Census_2023!$A$2:$E$3220,5,FALSE))</f>
        <v>30899</v>
      </c>
    </row>
    <row r="3149">
      <c r="A3149" s="47" t="s">
        <v>3838</v>
      </c>
      <c r="B3149" s="47">
        <v>55123.0</v>
      </c>
      <c r="C3149" s="47">
        <v>6.0</v>
      </c>
      <c r="D3149" s="47" t="s">
        <v>4044</v>
      </c>
      <c r="E3149" s="47" t="str">
        <f t="shared" si="1"/>
        <v>6A</v>
      </c>
      <c r="F3149" s="47" t="s">
        <v>4054</v>
      </c>
      <c r="G3149" s="47" t="s">
        <v>917</v>
      </c>
      <c r="H3149" s="48">
        <f>IF(NOT(ISBLANK(vlookup(B3149,Pop_Census_2023!$A$2:$E$3220,4,FALSE))),vlookup(B3149,Pop_Census_2023!$A$2:$E$3220,4,FALSE), vlookup(B3149,Pop_Census_2023!$A$2:$E$3220,5,FALSE))</f>
        <v>31170</v>
      </c>
    </row>
    <row r="3150">
      <c r="A3150" s="47" t="s">
        <v>3838</v>
      </c>
      <c r="B3150" s="47">
        <v>55125.0</v>
      </c>
      <c r="C3150" s="47">
        <v>7.0</v>
      </c>
      <c r="D3150" s="47" t="s">
        <v>4014</v>
      </c>
      <c r="E3150" s="47">
        <f t="shared" si="1"/>
        <v>7</v>
      </c>
      <c r="F3150" s="47" t="s">
        <v>4015</v>
      </c>
      <c r="G3150" s="47" t="s">
        <v>1973</v>
      </c>
      <c r="H3150" s="48">
        <f>IF(NOT(ISBLANK(vlookup(B3150,Pop_Census_2023!$A$2:$E$3220,4,FALSE))),vlookup(B3150,Pop_Census_2023!$A$2:$E$3220,4,FALSE), vlookup(B3150,Pop_Census_2023!$A$2:$E$3220,5,FALSE))</f>
        <v>23885</v>
      </c>
    </row>
    <row r="3151">
      <c r="A3151" s="47" t="s">
        <v>3838</v>
      </c>
      <c r="B3151" s="47">
        <v>55127.0</v>
      </c>
      <c r="C3151" s="47">
        <v>6.0</v>
      </c>
      <c r="D3151" s="47" t="s">
        <v>4044</v>
      </c>
      <c r="E3151" s="47" t="str">
        <f t="shared" si="1"/>
        <v>6A</v>
      </c>
      <c r="F3151" s="47" t="s">
        <v>4054</v>
      </c>
      <c r="G3151" s="47" t="s">
        <v>1613</v>
      </c>
      <c r="H3151" s="48">
        <f>IF(NOT(ISBLANK(vlookup(B3151,Pop_Census_2023!$A$2:$E$3220,4,FALSE))),vlookup(B3151,Pop_Census_2023!$A$2:$E$3220,4,FALSE), vlookup(B3151,Pop_Census_2023!$A$2:$E$3220,5,FALSE))</f>
        <v>105822</v>
      </c>
    </row>
    <row r="3152">
      <c r="A3152" s="47" t="s">
        <v>3838</v>
      </c>
      <c r="B3152" s="47">
        <v>55129.0</v>
      </c>
      <c r="C3152" s="47">
        <v>7.0</v>
      </c>
      <c r="D3152" s="47" t="s">
        <v>4014</v>
      </c>
      <c r="E3152" s="47">
        <f t="shared" si="1"/>
        <v>7</v>
      </c>
      <c r="F3152" s="47" t="s">
        <v>4015</v>
      </c>
      <c r="G3152" s="47" t="s">
        <v>1974</v>
      </c>
      <c r="H3152" s="48">
        <f>IF(NOT(ISBLANK(vlookup(B3152,Pop_Census_2023!$A$2:$E$3220,4,FALSE))),vlookup(B3152,Pop_Census_2023!$A$2:$E$3220,4,FALSE), vlookup(B3152,Pop_Census_2023!$A$2:$E$3220,5,FALSE))</f>
        <v>16930</v>
      </c>
    </row>
    <row r="3153">
      <c r="A3153" s="47" t="s">
        <v>3838</v>
      </c>
      <c r="B3153" s="47">
        <v>55131.0</v>
      </c>
      <c r="C3153" s="47">
        <v>6.0</v>
      </c>
      <c r="D3153" s="47" t="s">
        <v>4044</v>
      </c>
      <c r="E3153" s="47" t="str">
        <f t="shared" si="1"/>
        <v>6A</v>
      </c>
      <c r="F3153" s="47" t="s">
        <v>4054</v>
      </c>
      <c r="G3153" s="47" t="s">
        <v>167</v>
      </c>
      <c r="H3153" s="48">
        <f>IF(NOT(ISBLANK(vlookup(B3153,Pop_Census_2023!$A$2:$E$3220,4,FALSE))),vlookup(B3153,Pop_Census_2023!$A$2:$E$3220,4,FALSE), vlookup(B3153,Pop_Census_2023!$A$2:$E$3220,5,FALSE))</f>
        <v>138168</v>
      </c>
    </row>
    <row r="3154">
      <c r="A3154" s="47" t="s">
        <v>3838</v>
      </c>
      <c r="B3154" s="47">
        <v>55133.0</v>
      </c>
      <c r="C3154" s="47">
        <v>6.0</v>
      </c>
      <c r="D3154" s="47" t="s">
        <v>4044</v>
      </c>
      <c r="E3154" s="47" t="str">
        <f t="shared" si="1"/>
        <v>6A</v>
      </c>
      <c r="F3154" s="47" t="s">
        <v>4054</v>
      </c>
      <c r="G3154" s="47" t="s">
        <v>1975</v>
      </c>
      <c r="H3154" s="48">
        <f>IF(NOT(ISBLANK(vlookup(B3154,Pop_Census_2023!$A$2:$E$3220,4,FALSE))),vlookup(B3154,Pop_Census_2023!$A$2:$E$3220,4,FALSE), vlookup(B3154,Pop_Census_2023!$A$2:$E$3220,5,FALSE))</f>
        <v>412591</v>
      </c>
    </row>
    <row r="3155">
      <c r="A3155" s="47" t="s">
        <v>3838</v>
      </c>
      <c r="B3155" s="47">
        <v>55135.0</v>
      </c>
      <c r="C3155" s="47">
        <v>6.0</v>
      </c>
      <c r="D3155" s="47" t="s">
        <v>4044</v>
      </c>
      <c r="E3155" s="47" t="str">
        <f t="shared" si="1"/>
        <v>6A</v>
      </c>
      <c r="F3155" s="47" t="s">
        <v>4054</v>
      </c>
      <c r="G3155" s="47" t="s">
        <v>1976</v>
      </c>
      <c r="H3155" s="48">
        <f>IF(NOT(ISBLANK(vlookup(B3155,Pop_Census_2023!$A$2:$E$3220,4,FALSE))),vlookup(B3155,Pop_Census_2023!$A$2:$E$3220,4,FALSE), vlookup(B3155,Pop_Census_2023!$A$2:$E$3220,5,FALSE))</f>
        <v>51388</v>
      </c>
    </row>
    <row r="3156">
      <c r="A3156" s="47" t="s">
        <v>3838</v>
      </c>
      <c r="B3156" s="47">
        <v>55137.0</v>
      </c>
      <c r="C3156" s="47">
        <v>6.0</v>
      </c>
      <c r="D3156" s="47" t="s">
        <v>4044</v>
      </c>
      <c r="E3156" s="47" t="str">
        <f t="shared" si="1"/>
        <v>6A</v>
      </c>
      <c r="F3156" s="47" t="s">
        <v>4054</v>
      </c>
      <c r="G3156" s="47" t="s">
        <v>1977</v>
      </c>
      <c r="H3156" s="48">
        <f>IF(NOT(ISBLANK(vlookup(B3156,Pop_Census_2023!$A$2:$E$3220,4,FALSE))),vlookup(B3156,Pop_Census_2023!$A$2:$E$3220,4,FALSE), vlookup(B3156,Pop_Census_2023!$A$2:$E$3220,5,FALSE))</f>
        <v>24934</v>
      </c>
    </row>
    <row r="3157">
      <c r="A3157" s="47" t="s">
        <v>3838</v>
      </c>
      <c r="B3157" s="47">
        <v>55139.0</v>
      </c>
      <c r="C3157" s="47">
        <v>6.0</v>
      </c>
      <c r="D3157" s="47" t="s">
        <v>4044</v>
      </c>
      <c r="E3157" s="47" t="str">
        <f t="shared" si="1"/>
        <v>6A</v>
      </c>
      <c r="F3157" s="47" t="s">
        <v>4054</v>
      </c>
      <c r="G3157" s="47" t="s">
        <v>661</v>
      </c>
      <c r="H3157" s="48">
        <f>IF(NOT(ISBLANK(vlookup(B3157,Pop_Census_2023!$A$2:$E$3220,4,FALSE))),vlookup(B3157,Pop_Census_2023!$A$2:$E$3220,4,FALSE), vlookup(B3157,Pop_Census_2023!$A$2:$E$3220,5,FALSE))</f>
        <v>171735</v>
      </c>
    </row>
    <row r="3158">
      <c r="A3158" s="47" t="s">
        <v>3838</v>
      </c>
      <c r="B3158" s="47">
        <v>55141.0</v>
      </c>
      <c r="C3158" s="47">
        <v>6.0</v>
      </c>
      <c r="D3158" s="47" t="s">
        <v>4044</v>
      </c>
      <c r="E3158" s="47" t="str">
        <f t="shared" si="1"/>
        <v>6A</v>
      </c>
      <c r="F3158" s="47" t="s">
        <v>4054</v>
      </c>
      <c r="G3158" s="47" t="s">
        <v>1455</v>
      </c>
      <c r="H3158" s="48">
        <f>IF(NOT(ISBLANK(vlookup(B3158,Pop_Census_2023!$A$2:$E$3220,4,FALSE))),vlookup(B3158,Pop_Census_2023!$A$2:$E$3220,4,FALSE), vlookup(B3158,Pop_Census_2023!$A$2:$E$3220,5,FALSE))</f>
        <v>73939</v>
      </c>
    </row>
    <row r="3159">
      <c r="A3159" s="47" t="s">
        <v>3820</v>
      </c>
      <c r="B3159" s="47">
        <v>54001.0</v>
      </c>
      <c r="C3159" s="47">
        <v>5.0</v>
      </c>
      <c r="D3159" s="47" t="s">
        <v>4044</v>
      </c>
      <c r="E3159" s="47" t="str">
        <f t="shared" si="1"/>
        <v>5A</v>
      </c>
      <c r="F3159" s="47" t="s">
        <v>4054</v>
      </c>
      <c r="G3159" s="47" t="s">
        <v>105</v>
      </c>
      <c r="H3159" s="48">
        <f>IF(NOT(ISBLANK(vlookup(B3159,Pop_Census_2023!$A$2:$E$3220,4,FALSE))),vlookup(B3159,Pop_Census_2023!$A$2:$E$3220,4,FALSE), vlookup(B3159,Pop_Census_2023!$A$2:$E$3220,5,FALSE))</f>
        <v>15378</v>
      </c>
    </row>
    <row r="3160">
      <c r="A3160" s="47" t="s">
        <v>3820</v>
      </c>
      <c r="B3160" s="47">
        <v>54003.0</v>
      </c>
      <c r="C3160" s="47">
        <v>4.0</v>
      </c>
      <c r="D3160" s="47" t="s">
        <v>4044</v>
      </c>
      <c r="E3160" s="47" t="str">
        <f t="shared" si="1"/>
        <v>4A</v>
      </c>
      <c r="F3160" s="47" t="s">
        <v>4046</v>
      </c>
      <c r="G3160" s="47" t="s">
        <v>1555</v>
      </c>
      <c r="H3160" s="48">
        <f>IF(NOT(ISBLANK(vlookup(B3160,Pop_Census_2023!$A$2:$E$3220,4,FALSE))),vlookup(B3160,Pop_Census_2023!$A$2:$E$3220,4,FALSE), vlookup(B3160,Pop_Census_2023!$A$2:$E$3220,5,FALSE))</f>
        <v>132440</v>
      </c>
    </row>
    <row r="3161">
      <c r="A3161" s="47" t="s">
        <v>3820</v>
      </c>
      <c r="B3161" s="47">
        <v>54005.0</v>
      </c>
      <c r="C3161" s="47">
        <v>4.0</v>
      </c>
      <c r="D3161" s="47" t="s">
        <v>4044</v>
      </c>
      <c r="E3161" s="47" t="str">
        <f t="shared" si="1"/>
        <v>4A</v>
      </c>
      <c r="F3161" s="47" t="s">
        <v>4046</v>
      </c>
      <c r="G3161" s="47" t="s">
        <v>225</v>
      </c>
      <c r="H3161" s="48">
        <f>IF(NOT(ISBLANK(vlookup(B3161,Pop_Census_2023!$A$2:$E$3220,4,FALSE))),vlookup(B3161,Pop_Census_2023!$A$2:$E$3220,4,FALSE), vlookup(B3161,Pop_Census_2023!$A$2:$E$3220,5,FALSE))</f>
        <v>20576</v>
      </c>
    </row>
    <row r="3162">
      <c r="A3162" s="47" t="s">
        <v>3820</v>
      </c>
      <c r="B3162" s="47">
        <v>54007.0</v>
      </c>
      <c r="C3162" s="47">
        <v>4.0</v>
      </c>
      <c r="D3162" s="47" t="s">
        <v>4044</v>
      </c>
      <c r="E3162" s="47" t="str">
        <f t="shared" si="1"/>
        <v>4A</v>
      </c>
      <c r="F3162" s="47" t="s">
        <v>4046</v>
      </c>
      <c r="G3162" s="47" t="s">
        <v>1925</v>
      </c>
      <c r="H3162" s="48">
        <f>IF(NOT(ISBLANK(vlookup(B3162,Pop_Census_2023!$A$2:$E$3220,4,FALSE))),vlookup(B3162,Pop_Census_2023!$A$2:$E$3220,4,FALSE), vlookup(B3162,Pop_Census_2023!$A$2:$E$3220,5,FALSE))</f>
        <v>12162</v>
      </c>
    </row>
    <row r="3163">
      <c r="A3163" s="47" t="s">
        <v>3820</v>
      </c>
      <c r="B3163" s="47">
        <v>54009.0</v>
      </c>
      <c r="C3163" s="47">
        <v>5.0</v>
      </c>
      <c r="D3163" s="47" t="s">
        <v>4044</v>
      </c>
      <c r="E3163" s="47" t="str">
        <f t="shared" si="1"/>
        <v>5A</v>
      </c>
      <c r="F3163" s="47" t="s">
        <v>4054</v>
      </c>
      <c r="G3163" s="47" t="s">
        <v>1926</v>
      </c>
      <c r="H3163" s="48">
        <f>IF(NOT(ISBLANK(vlookup(B3163,Pop_Census_2023!$A$2:$E$3220,4,FALSE))),vlookup(B3163,Pop_Census_2023!$A$2:$E$3220,4,FALSE), vlookup(B3163,Pop_Census_2023!$A$2:$E$3220,5,FALSE))</f>
        <v>21373</v>
      </c>
    </row>
    <row r="3164">
      <c r="A3164" s="47" t="s">
        <v>3820</v>
      </c>
      <c r="B3164" s="47">
        <v>54011.0</v>
      </c>
      <c r="C3164" s="47">
        <v>4.0</v>
      </c>
      <c r="D3164" s="47" t="s">
        <v>4044</v>
      </c>
      <c r="E3164" s="47" t="str">
        <f t="shared" si="1"/>
        <v>4A</v>
      </c>
      <c r="F3164" s="47" t="s">
        <v>4046</v>
      </c>
      <c r="G3164" s="47" t="s">
        <v>1927</v>
      </c>
      <c r="H3164" s="48">
        <f>IF(NOT(ISBLANK(vlookup(B3164,Pop_Census_2023!$A$2:$E$3220,4,FALSE))),vlookup(B3164,Pop_Census_2023!$A$2:$E$3220,4,FALSE), vlookup(B3164,Pop_Census_2023!$A$2:$E$3220,5,FALSE))</f>
        <v>92082</v>
      </c>
    </row>
    <row r="3165">
      <c r="A3165" s="47" t="s">
        <v>3820</v>
      </c>
      <c r="B3165" s="47">
        <v>54013.0</v>
      </c>
      <c r="C3165" s="47">
        <v>4.0</v>
      </c>
      <c r="D3165" s="47" t="s">
        <v>4044</v>
      </c>
      <c r="E3165" s="47" t="str">
        <f t="shared" si="1"/>
        <v>4A</v>
      </c>
      <c r="F3165" s="47" t="s">
        <v>4046</v>
      </c>
      <c r="G3165" s="47" t="s">
        <v>110</v>
      </c>
      <c r="H3165" s="48">
        <f>IF(NOT(ISBLANK(vlookup(B3165,Pop_Census_2023!$A$2:$E$3220,4,FALSE))),vlookup(B3165,Pop_Census_2023!$A$2:$E$3220,4,FALSE), vlookup(B3165,Pop_Census_2023!$A$2:$E$3220,5,FALSE))</f>
        <v>5959</v>
      </c>
    </row>
    <row r="3166">
      <c r="A3166" s="47" t="s">
        <v>3820</v>
      </c>
      <c r="B3166" s="47">
        <v>54015.0</v>
      </c>
      <c r="C3166" s="47">
        <v>4.0</v>
      </c>
      <c r="D3166" s="47" t="s">
        <v>4044</v>
      </c>
      <c r="E3166" s="47" t="str">
        <f t="shared" si="1"/>
        <v>4A</v>
      </c>
      <c r="F3166" s="47" t="s">
        <v>4046</v>
      </c>
      <c r="G3166" s="47" t="s">
        <v>116</v>
      </c>
      <c r="H3166" s="48">
        <f>IF(NOT(ISBLANK(vlookup(B3166,Pop_Census_2023!$A$2:$E$3220,4,FALSE))),vlookup(B3166,Pop_Census_2023!$A$2:$E$3220,4,FALSE), vlookup(B3166,Pop_Census_2023!$A$2:$E$3220,5,FALSE))</f>
        <v>7783</v>
      </c>
    </row>
    <row r="3167">
      <c r="A3167" s="47" t="s">
        <v>3820</v>
      </c>
      <c r="B3167" s="47">
        <v>54017.0</v>
      </c>
      <c r="C3167" s="47">
        <v>5.0</v>
      </c>
      <c r="D3167" s="47" t="s">
        <v>4044</v>
      </c>
      <c r="E3167" s="47" t="str">
        <f t="shared" si="1"/>
        <v>5A</v>
      </c>
      <c r="F3167" s="47" t="s">
        <v>4054</v>
      </c>
      <c r="G3167" s="47" t="s">
        <v>1928</v>
      </c>
      <c r="H3167" s="48">
        <f>IF(NOT(ISBLANK(vlookup(B3167,Pop_Census_2023!$A$2:$E$3220,4,FALSE))),vlookup(B3167,Pop_Census_2023!$A$2:$E$3220,4,FALSE), vlookup(B3167,Pop_Census_2023!$A$2:$E$3220,5,FALSE))</f>
        <v>7680</v>
      </c>
    </row>
    <row r="3168">
      <c r="A3168" s="47" t="s">
        <v>3820</v>
      </c>
      <c r="B3168" s="47">
        <v>54019.0</v>
      </c>
      <c r="C3168" s="47">
        <v>5.0</v>
      </c>
      <c r="D3168" s="47" t="s">
        <v>4044</v>
      </c>
      <c r="E3168" s="47" t="str">
        <f t="shared" si="1"/>
        <v>5A</v>
      </c>
      <c r="F3168" s="47" t="s">
        <v>4054</v>
      </c>
      <c r="G3168" s="47" t="s">
        <v>131</v>
      </c>
      <c r="H3168" s="48">
        <f>IF(NOT(ISBLANK(vlookup(B3168,Pop_Census_2023!$A$2:$E$3220,4,FALSE))),vlookup(B3168,Pop_Census_2023!$A$2:$E$3220,4,FALSE), vlookup(B3168,Pop_Census_2023!$A$2:$E$3220,5,FALSE))</f>
        <v>39072</v>
      </c>
    </row>
    <row r="3169">
      <c r="A3169" s="47" t="s">
        <v>3820</v>
      </c>
      <c r="B3169" s="47">
        <v>54021.0</v>
      </c>
      <c r="C3169" s="47">
        <v>4.0</v>
      </c>
      <c r="D3169" s="47" t="s">
        <v>4044</v>
      </c>
      <c r="E3169" s="47" t="str">
        <f t="shared" si="1"/>
        <v>4A</v>
      </c>
      <c r="F3169" s="47" t="s">
        <v>4046</v>
      </c>
      <c r="G3169" s="47" t="s">
        <v>504</v>
      </c>
      <c r="H3169" s="48">
        <f>IF(NOT(ISBLANK(vlookup(B3169,Pop_Census_2023!$A$2:$E$3220,4,FALSE))),vlookup(B3169,Pop_Census_2023!$A$2:$E$3220,4,FALSE), vlookup(B3169,Pop_Census_2023!$A$2:$E$3220,5,FALSE))</f>
        <v>7254</v>
      </c>
    </row>
    <row r="3170">
      <c r="A3170" s="47" t="s">
        <v>3820</v>
      </c>
      <c r="B3170" s="47">
        <v>54023.0</v>
      </c>
      <c r="C3170" s="47">
        <v>5.0</v>
      </c>
      <c r="D3170" s="47" t="s">
        <v>4044</v>
      </c>
      <c r="E3170" s="47" t="str">
        <f t="shared" si="1"/>
        <v>5A</v>
      </c>
      <c r="F3170" s="47" t="s">
        <v>4054</v>
      </c>
      <c r="G3170" s="47" t="s">
        <v>242</v>
      </c>
      <c r="H3170" s="48">
        <f>IF(NOT(ISBLANK(vlookup(B3170,Pop_Census_2023!$A$2:$E$3220,4,FALSE))),vlookup(B3170,Pop_Census_2023!$A$2:$E$3220,4,FALSE), vlookup(B3170,Pop_Census_2023!$A$2:$E$3220,5,FALSE))</f>
        <v>10921</v>
      </c>
    </row>
    <row r="3171">
      <c r="A3171" s="47" t="s">
        <v>3820</v>
      </c>
      <c r="B3171" s="47">
        <v>54025.0</v>
      </c>
      <c r="C3171" s="47">
        <v>5.0</v>
      </c>
      <c r="D3171" s="47" t="s">
        <v>4044</v>
      </c>
      <c r="E3171" s="47" t="str">
        <f t="shared" si="1"/>
        <v>5A</v>
      </c>
      <c r="F3171" s="47" t="s">
        <v>4054</v>
      </c>
      <c r="G3171" s="47" t="s">
        <v>1929</v>
      </c>
      <c r="H3171" s="48">
        <f>IF(NOT(ISBLANK(vlookup(B3171,Pop_Census_2023!$A$2:$E$3220,4,FALSE))),vlookup(B3171,Pop_Census_2023!$A$2:$E$3220,4,FALSE), vlookup(B3171,Pop_Census_2023!$A$2:$E$3220,5,FALSE))</f>
        <v>32149</v>
      </c>
    </row>
    <row r="3172">
      <c r="A3172" s="47" t="s">
        <v>3820</v>
      </c>
      <c r="B3172" s="47">
        <v>54027.0</v>
      </c>
      <c r="C3172" s="47">
        <v>5.0</v>
      </c>
      <c r="D3172" s="47" t="s">
        <v>4044</v>
      </c>
      <c r="E3172" s="47" t="str">
        <f t="shared" si="1"/>
        <v>5A</v>
      </c>
      <c r="F3172" s="47" t="s">
        <v>4054</v>
      </c>
      <c r="G3172" s="47" t="s">
        <v>958</v>
      </c>
      <c r="H3172" s="48">
        <f>IF(NOT(ISBLANK(vlookup(B3172,Pop_Census_2023!$A$2:$E$3220,4,FALSE))),vlookup(B3172,Pop_Census_2023!$A$2:$E$3220,4,FALSE), vlookup(B3172,Pop_Census_2023!$A$2:$E$3220,5,FALSE))</f>
        <v>23649</v>
      </c>
    </row>
    <row r="3173">
      <c r="A3173" s="47" t="s">
        <v>3820</v>
      </c>
      <c r="B3173" s="47">
        <v>54029.0</v>
      </c>
      <c r="C3173" s="47">
        <v>5.0</v>
      </c>
      <c r="D3173" s="47" t="s">
        <v>4044</v>
      </c>
      <c r="E3173" s="47" t="str">
        <f t="shared" si="1"/>
        <v>5A</v>
      </c>
      <c r="F3173" s="47" t="s">
        <v>4054</v>
      </c>
      <c r="G3173" s="47" t="s">
        <v>512</v>
      </c>
      <c r="H3173" s="48">
        <f>IF(NOT(ISBLANK(vlookup(B3173,Pop_Census_2023!$A$2:$E$3220,4,FALSE))),vlookup(B3173,Pop_Census_2023!$A$2:$E$3220,4,FALSE), vlookup(B3173,Pop_Census_2023!$A$2:$E$3220,5,FALSE))</f>
        <v>28145</v>
      </c>
    </row>
    <row r="3174">
      <c r="A3174" s="47" t="s">
        <v>3820</v>
      </c>
      <c r="B3174" s="47">
        <v>54031.0</v>
      </c>
      <c r="C3174" s="47">
        <v>5.0</v>
      </c>
      <c r="D3174" s="47" t="s">
        <v>4044</v>
      </c>
      <c r="E3174" s="47" t="str">
        <f t="shared" si="1"/>
        <v>5A</v>
      </c>
      <c r="F3174" s="47" t="s">
        <v>4054</v>
      </c>
      <c r="G3174" s="47" t="s">
        <v>1930</v>
      </c>
      <c r="H3174" s="48">
        <f>IF(NOT(ISBLANK(vlookup(B3174,Pop_Census_2023!$A$2:$E$3220,4,FALSE))),vlookup(B3174,Pop_Census_2023!$A$2:$E$3220,4,FALSE), vlookup(B3174,Pop_Census_2023!$A$2:$E$3220,5,FALSE))</f>
        <v>14251</v>
      </c>
    </row>
    <row r="3175">
      <c r="A3175" s="47" t="s">
        <v>3820</v>
      </c>
      <c r="B3175" s="47">
        <v>54033.0</v>
      </c>
      <c r="C3175" s="47">
        <v>5.0</v>
      </c>
      <c r="D3175" s="47" t="s">
        <v>4044</v>
      </c>
      <c r="E3175" s="47" t="str">
        <f t="shared" si="1"/>
        <v>5A</v>
      </c>
      <c r="F3175" s="47" t="s">
        <v>4054</v>
      </c>
      <c r="G3175" s="47" t="s">
        <v>673</v>
      </c>
      <c r="H3175" s="48">
        <f>IF(NOT(ISBLANK(vlookup(B3175,Pop_Census_2023!$A$2:$E$3220,4,FALSE))),vlookup(B3175,Pop_Census_2023!$A$2:$E$3220,4,FALSE), vlookup(B3175,Pop_Census_2023!$A$2:$E$3220,5,FALSE))</f>
        <v>64639</v>
      </c>
    </row>
    <row r="3176">
      <c r="A3176" s="47" t="s">
        <v>3820</v>
      </c>
      <c r="B3176" s="47">
        <v>54035.0</v>
      </c>
      <c r="C3176" s="47">
        <v>4.0</v>
      </c>
      <c r="D3176" s="47" t="s">
        <v>4044</v>
      </c>
      <c r="E3176" s="47" t="str">
        <f t="shared" si="1"/>
        <v>4A</v>
      </c>
      <c r="F3176" s="47" t="s">
        <v>4046</v>
      </c>
      <c r="G3176" s="47" t="s">
        <v>138</v>
      </c>
      <c r="H3176" s="48">
        <f>IF(NOT(ISBLANK(vlookup(B3176,Pop_Census_2023!$A$2:$E$3220,4,FALSE))),vlookup(B3176,Pop_Census_2023!$A$2:$E$3220,4,FALSE), vlookup(B3176,Pop_Census_2023!$A$2:$E$3220,5,FALSE))</f>
        <v>27593</v>
      </c>
    </row>
    <row r="3177">
      <c r="A3177" s="47" t="s">
        <v>3820</v>
      </c>
      <c r="B3177" s="47">
        <v>54037.0</v>
      </c>
      <c r="C3177" s="47">
        <v>4.0</v>
      </c>
      <c r="D3177" s="47" t="s">
        <v>4044</v>
      </c>
      <c r="E3177" s="47" t="str">
        <f t="shared" si="1"/>
        <v>4A</v>
      </c>
      <c r="F3177" s="47" t="s">
        <v>4046</v>
      </c>
      <c r="G3177" s="47" t="s">
        <v>139</v>
      </c>
      <c r="H3177" s="48">
        <f>IF(NOT(ISBLANK(vlookup(B3177,Pop_Census_2023!$A$2:$E$3220,4,FALSE))),vlookup(B3177,Pop_Census_2023!$A$2:$E$3220,4,FALSE), vlookup(B3177,Pop_Census_2023!$A$2:$E$3220,5,FALSE))</f>
        <v>59787</v>
      </c>
    </row>
    <row r="3178">
      <c r="A3178" s="47" t="s">
        <v>3820</v>
      </c>
      <c r="B3178" s="47">
        <v>54039.0</v>
      </c>
      <c r="C3178" s="47">
        <v>4.0</v>
      </c>
      <c r="D3178" s="47" t="s">
        <v>4044</v>
      </c>
      <c r="E3178" s="47" t="str">
        <f t="shared" si="1"/>
        <v>4A</v>
      </c>
      <c r="F3178" s="47" t="s">
        <v>4046</v>
      </c>
      <c r="G3178" s="47" t="s">
        <v>1931</v>
      </c>
      <c r="H3178" s="48">
        <f>IF(NOT(ISBLANK(vlookup(B3178,Pop_Census_2023!$A$2:$E$3220,4,FALSE))),vlookup(B3178,Pop_Census_2023!$A$2:$E$3220,4,FALSE), vlookup(B3178,Pop_Census_2023!$A$2:$E$3220,5,FALSE))</f>
        <v>174805</v>
      </c>
    </row>
    <row r="3179">
      <c r="A3179" s="47" t="s">
        <v>3820</v>
      </c>
      <c r="B3179" s="47">
        <v>54041.0</v>
      </c>
      <c r="C3179" s="47">
        <v>5.0</v>
      </c>
      <c r="D3179" s="47" t="s">
        <v>4044</v>
      </c>
      <c r="E3179" s="47" t="str">
        <f t="shared" si="1"/>
        <v>5A</v>
      </c>
      <c r="F3179" s="47" t="s">
        <v>4054</v>
      </c>
      <c r="G3179" s="47" t="s">
        <v>597</v>
      </c>
      <c r="H3179" s="48">
        <f>IF(NOT(ISBLANK(vlookup(B3179,Pop_Census_2023!$A$2:$E$3220,4,FALSE))),vlookup(B3179,Pop_Census_2023!$A$2:$E$3220,4,FALSE), vlookup(B3179,Pop_Census_2023!$A$2:$E$3220,5,FALSE))</f>
        <v>16500</v>
      </c>
    </row>
    <row r="3180">
      <c r="A3180" s="47" t="s">
        <v>3820</v>
      </c>
      <c r="B3180" s="47">
        <v>54043.0</v>
      </c>
      <c r="C3180" s="47">
        <v>4.0</v>
      </c>
      <c r="D3180" s="47" t="s">
        <v>4044</v>
      </c>
      <c r="E3180" s="47" t="str">
        <f t="shared" si="1"/>
        <v>4A</v>
      </c>
      <c r="F3180" s="47" t="s">
        <v>4046</v>
      </c>
      <c r="G3180" s="47" t="s">
        <v>250</v>
      </c>
      <c r="H3180" s="48">
        <f>IF(NOT(ISBLANK(vlookup(B3180,Pop_Census_2023!$A$2:$E$3220,4,FALSE))),vlookup(B3180,Pop_Census_2023!$A$2:$E$3220,4,FALSE), vlookup(B3180,Pop_Census_2023!$A$2:$E$3220,5,FALSE))</f>
        <v>19701</v>
      </c>
    </row>
    <row r="3181">
      <c r="A3181" s="47" t="s">
        <v>3820</v>
      </c>
      <c r="B3181" s="47">
        <v>54045.0</v>
      </c>
      <c r="C3181" s="47">
        <v>4.0</v>
      </c>
      <c r="D3181" s="47" t="s">
        <v>4044</v>
      </c>
      <c r="E3181" s="47" t="str">
        <f t="shared" si="1"/>
        <v>4A</v>
      </c>
      <c r="F3181" s="47" t="s">
        <v>4046</v>
      </c>
      <c r="G3181" s="47" t="s">
        <v>252</v>
      </c>
      <c r="H3181" s="48">
        <f>IF(NOT(ISBLANK(vlookup(B3181,Pop_Census_2023!$A$2:$E$3220,4,FALSE))),vlookup(B3181,Pop_Census_2023!$A$2:$E$3220,4,FALSE), vlookup(B3181,Pop_Census_2023!$A$2:$E$3220,5,FALSE))</f>
        <v>30827</v>
      </c>
    </row>
    <row r="3182">
      <c r="A3182" s="47" t="s">
        <v>3820</v>
      </c>
      <c r="B3182" s="47">
        <v>54049.0</v>
      </c>
      <c r="C3182" s="47">
        <v>5.0</v>
      </c>
      <c r="D3182" s="47" t="s">
        <v>4044</v>
      </c>
      <c r="E3182" s="47" t="str">
        <f t="shared" si="1"/>
        <v>5A</v>
      </c>
      <c r="F3182" s="47" t="s">
        <v>4054</v>
      </c>
      <c r="G3182" s="47" t="s">
        <v>149</v>
      </c>
      <c r="H3182" s="48">
        <f>IF(NOT(ISBLANK(vlookup(B3182,Pop_Census_2023!$A$2:$E$3220,4,FALSE))),vlookup(B3182,Pop_Census_2023!$A$2:$E$3220,4,FALSE), vlookup(B3182,Pop_Census_2023!$A$2:$E$3220,5,FALSE))</f>
        <v>55807</v>
      </c>
    </row>
    <row r="3183">
      <c r="A3183" s="47" t="s">
        <v>3820</v>
      </c>
      <c r="B3183" s="47">
        <v>54051.0</v>
      </c>
      <c r="C3183" s="47">
        <v>5.0</v>
      </c>
      <c r="D3183" s="47" t="s">
        <v>4044</v>
      </c>
      <c r="E3183" s="47" t="str">
        <f t="shared" si="1"/>
        <v>5A</v>
      </c>
      <c r="F3183" s="47" t="s">
        <v>4054</v>
      </c>
      <c r="G3183" s="47" t="s">
        <v>150</v>
      </c>
      <c r="H3183" s="48">
        <f>IF(NOT(ISBLANK(vlookup(B3183,Pop_Census_2023!$A$2:$E$3220,4,FALSE))),vlookup(B3183,Pop_Census_2023!$A$2:$E$3220,4,FALSE), vlookup(B3183,Pop_Census_2023!$A$2:$E$3220,5,FALSE))</f>
        <v>29405</v>
      </c>
    </row>
    <row r="3184">
      <c r="A3184" s="47" t="s">
        <v>3820</v>
      </c>
      <c r="B3184" s="47">
        <v>54053.0</v>
      </c>
      <c r="C3184" s="47">
        <v>4.0</v>
      </c>
      <c r="D3184" s="47" t="s">
        <v>4044</v>
      </c>
      <c r="E3184" s="47" t="str">
        <f t="shared" si="1"/>
        <v>4A</v>
      </c>
      <c r="F3184" s="47" t="s">
        <v>4046</v>
      </c>
      <c r="G3184" s="47" t="s">
        <v>641</v>
      </c>
      <c r="H3184" s="48">
        <f>IF(NOT(ISBLANK(vlookup(B3184,Pop_Census_2023!$A$2:$E$3220,4,FALSE))),vlookup(B3184,Pop_Census_2023!$A$2:$E$3220,4,FALSE), vlookup(B3184,Pop_Census_2023!$A$2:$E$3220,5,FALSE))</f>
        <v>24765</v>
      </c>
    </row>
    <row r="3185">
      <c r="A3185" s="47" t="s">
        <v>3820</v>
      </c>
      <c r="B3185" s="47">
        <v>54047.0</v>
      </c>
      <c r="C3185" s="47">
        <v>4.0</v>
      </c>
      <c r="D3185" s="47" t="s">
        <v>4044</v>
      </c>
      <c r="E3185" s="47" t="str">
        <f t="shared" si="1"/>
        <v>4A</v>
      </c>
      <c r="F3185" s="47" t="s">
        <v>4046</v>
      </c>
      <c r="G3185" s="47" t="s">
        <v>1363</v>
      </c>
      <c r="H3185" s="48">
        <f>IF(NOT(ISBLANK(vlookup(B3185,Pop_Census_2023!$A$2:$E$3220,4,FALSE))),vlookup(B3185,Pop_Census_2023!$A$2:$E$3220,4,FALSE), vlookup(B3185,Pop_Census_2023!$A$2:$E$3220,5,FALSE))</f>
        <v>17439</v>
      </c>
    </row>
    <row r="3186">
      <c r="A3186" s="47" t="s">
        <v>3820</v>
      </c>
      <c r="B3186" s="47">
        <v>54055.0</v>
      </c>
      <c r="C3186" s="47">
        <v>4.0</v>
      </c>
      <c r="D3186" s="47" t="s">
        <v>4044</v>
      </c>
      <c r="E3186" s="47" t="str">
        <f t="shared" si="1"/>
        <v>4A</v>
      </c>
      <c r="F3186" s="47" t="s">
        <v>4046</v>
      </c>
      <c r="G3186" s="47" t="s">
        <v>644</v>
      </c>
      <c r="H3186" s="48">
        <f>IF(NOT(ISBLANK(vlookup(B3186,Pop_Census_2023!$A$2:$E$3220,4,FALSE))),vlookup(B3186,Pop_Census_2023!$A$2:$E$3220,4,FALSE), vlookup(B3186,Pop_Census_2023!$A$2:$E$3220,5,FALSE))</f>
        <v>58057</v>
      </c>
    </row>
    <row r="3187">
      <c r="A3187" s="47" t="s">
        <v>3820</v>
      </c>
      <c r="B3187" s="47">
        <v>54057.0</v>
      </c>
      <c r="C3187" s="47">
        <v>5.0</v>
      </c>
      <c r="D3187" s="47" t="s">
        <v>4044</v>
      </c>
      <c r="E3187" s="47" t="str">
        <f t="shared" si="1"/>
        <v>5A</v>
      </c>
      <c r="F3187" s="47" t="s">
        <v>4054</v>
      </c>
      <c r="G3187" s="47" t="s">
        <v>374</v>
      </c>
      <c r="H3187" s="48">
        <f>IF(NOT(ISBLANK(vlookup(B3187,Pop_Census_2023!$A$2:$E$3220,4,FALSE))),vlookup(B3187,Pop_Census_2023!$A$2:$E$3220,4,FALSE), vlookup(B3187,Pop_Census_2023!$A$2:$E$3220,5,FALSE))</f>
        <v>26867</v>
      </c>
    </row>
    <row r="3188">
      <c r="A3188" s="47" t="s">
        <v>3820</v>
      </c>
      <c r="B3188" s="47">
        <v>54059.0</v>
      </c>
      <c r="C3188" s="47">
        <v>4.0</v>
      </c>
      <c r="D3188" s="47" t="s">
        <v>4044</v>
      </c>
      <c r="E3188" s="47" t="str">
        <f t="shared" si="1"/>
        <v>4A</v>
      </c>
      <c r="F3188" s="47" t="s">
        <v>4046</v>
      </c>
      <c r="G3188" s="47" t="s">
        <v>1932</v>
      </c>
      <c r="H3188" s="48">
        <f>IF(NOT(ISBLANK(vlookup(B3188,Pop_Census_2023!$A$2:$E$3220,4,FALSE))),vlookup(B3188,Pop_Census_2023!$A$2:$E$3220,4,FALSE), vlookup(B3188,Pop_Census_2023!$A$2:$E$3220,5,FALSE))</f>
        <v>22023</v>
      </c>
    </row>
    <row r="3189">
      <c r="A3189" s="47" t="s">
        <v>3820</v>
      </c>
      <c r="B3189" s="47">
        <v>54061.0</v>
      </c>
      <c r="C3189" s="47">
        <v>5.0</v>
      </c>
      <c r="D3189" s="47" t="s">
        <v>4044</v>
      </c>
      <c r="E3189" s="47" t="str">
        <f t="shared" si="1"/>
        <v>5A</v>
      </c>
      <c r="F3189" s="47" t="s">
        <v>4054</v>
      </c>
      <c r="G3189" s="47" t="s">
        <v>1933</v>
      </c>
      <c r="H3189" s="48">
        <f>IF(NOT(ISBLANK(vlookup(B3189,Pop_Census_2023!$A$2:$E$3220,4,FALSE))),vlookup(B3189,Pop_Census_2023!$A$2:$E$3220,4,FALSE), vlookup(B3189,Pop_Census_2023!$A$2:$E$3220,5,FALSE))</f>
        <v>107718</v>
      </c>
    </row>
    <row r="3190">
      <c r="A3190" s="47" t="s">
        <v>3820</v>
      </c>
      <c r="B3190" s="47">
        <v>54063.0</v>
      </c>
      <c r="C3190" s="47">
        <v>4.0</v>
      </c>
      <c r="D3190" s="47" t="s">
        <v>4044</v>
      </c>
      <c r="E3190" s="47" t="str">
        <f t="shared" si="1"/>
        <v>4A</v>
      </c>
      <c r="F3190" s="47" t="s">
        <v>4046</v>
      </c>
      <c r="G3190" s="47" t="s">
        <v>152</v>
      </c>
      <c r="H3190" s="48">
        <f>IF(NOT(ISBLANK(vlookup(B3190,Pop_Census_2023!$A$2:$E$3220,4,FALSE))),vlookup(B3190,Pop_Census_2023!$A$2:$E$3220,4,FALSE), vlookup(B3190,Pop_Census_2023!$A$2:$E$3220,5,FALSE))</f>
        <v>12382</v>
      </c>
    </row>
    <row r="3191">
      <c r="A3191" s="47" t="s">
        <v>3820</v>
      </c>
      <c r="B3191" s="47">
        <v>54065.0</v>
      </c>
      <c r="C3191" s="47">
        <v>4.0</v>
      </c>
      <c r="D3191" s="47" t="s">
        <v>4044</v>
      </c>
      <c r="E3191" s="47" t="str">
        <f t="shared" si="1"/>
        <v>4A</v>
      </c>
      <c r="F3191" s="47" t="s">
        <v>4046</v>
      </c>
      <c r="G3191" s="47" t="s">
        <v>154</v>
      </c>
      <c r="H3191" s="48">
        <f>IF(NOT(ISBLANK(vlookup(B3191,Pop_Census_2023!$A$2:$E$3220,4,FALSE))),vlookup(B3191,Pop_Census_2023!$A$2:$E$3220,4,FALSE), vlookup(B3191,Pop_Census_2023!$A$2:$E$3220,5,FALSE))</f>
        <v>17649</v>
      </c>
    </row>
    <row r="3192">
      <c r="A3192" s="47" t="s">
        <v>3820</v>
      </c>
      <c r="B3192" s="47">
        <v>54067.0</v>
      </c>
      <c r="C3192" s="47">
        <v>5.0</v>
      </c>
      <c r="D3192" s="47" t="s">
        <v>4044</v>
      </c>
      <c r="E3192" s="47" t="str">
        <f t="shared" si="1"/>
        <v>5A</v>
      </c>
      <c r="F3192" s="47" t="s">
        <v>4054</v>
      </c>
      <c r="G3192" s="47" t="s">
        <v>861</v>
      </c>
      <c r="H3192" s="48">
        <f>IF(NOT(ISBLANK(vlookup(B3192,Pop_Census_2023!$A$2:$E$3220,4,FALSE))),vlookup(B3192,Pop_Census_2023!$A$2:$E$3220,4,FALSE), vlookup(B3192,Pop_Census_2023!$A$2:$E$3220,5,FALSE))</f>
        <v>24169</v>
      </c>
    </row>
    <row r="3193">
      <c r="A3193" s="47" t="s">
        <v>3820</v>
      </c>
      <c r="B3193" s="47">
        <v>54069.0</v>
      </c>
      <c r="C3193" s="47">
        <v>5.0</v>
      </c>
      <c r="D3193" s="47" t="s">
        <v>4044</v>
      </c>
      <c r="E3193" s="47" t="str">
        <f t="shared" si="1"/>
        <v>5A</v>
      </c>
      <c r="F3193" s="47" t="s">
        <v>4054</v>
      </c>
      <c r="G3193" s="47" t="s">
        <v>683</v>
      </c>
      <c r="H3193" s="48">
        <f>IF(NOT(ISBLANK(vlookup(B3193,Pop_Census_2023!$A$2:$E$3220,4,FALSE))),vlookup(B3193,Pop_Census_2023!$A$2:$E$3220,4,FALSE), vlookup(B3193,Pop_Census_2023!$A$2:$E$3220,5,FALSE))</f>
        <v>41194</v>
      </c>
    </row>
    <row r="3194">
      <c r="A3194" s="47" t="s">
        <v>3820</v>
      </c>
      <c r="B3194" s="47">
        <v>54071.0</v>
      </c>
      <c r="C3194" s="47">
        <v>5.0</v>
      </c>
      <c r="D3194" s="47" t="s">
        <v>4044</v>
      </c>
      <c r="E3194" s="47" t="str">
        <f t="shared" si="1"/>
        <v>5A</v>
      </c>
      <c r="F3194" s="47" t="s">
        <v>4054</v>
      </c>
      <c r="G3194" s="47" t="s">
        <v>864</v>
      </c>
      <c r="H3194" s="48">
        <f>IF(NOT(ISBLANK(vlookup(B3194,Pop_Census_2023!$A$2:$E$3220,4,FALSE))),vlookup(B3194,Pop_Census_2023!$A$2:$E$3220,4,FALSE), vlookup(B3194,Pop_Census_2023!$A$2:$E$3220,5,FALSE))</f>
        <v>6029</v>
      </c>
    </row>
    <row r="3195">
      <c r="A3195" s="47" t="s">
        <v>3820</v>
      </c>
      <c r="B3195" s="47">
        <v>54073.0</v>
      </c>
      <c r="C3195" s="47">
        <v>4.0</v>
      </c>
      <c r="D3195" s="47" t="s">
        <v>4044</v>
      </c>
      <c r="E3195" s="47" t="str">
        <f t="shared" si="1"/>
        <v>4A</v>
      </c>
      <c r="F3195" s="47" t="s">
        <v>4046</v>
      </c>
      <c r="G3195" s="47" t="s">
        <v>1934</v>
      </c>
      <c r="H3195" s="48">
        <f>IF(NOT(ISBLANK(vlookup(B3195,Pop_Census_2023!$A$2:$E$3220,4,FALSE))),vlookup(B3195,Pop_Census_2023!$A$2:$E$3220,4,FALSE), vlookup(B3195,Pop_Census_2023!$A$2:$E$3220,5,FALSE))</f>
        <v>7428</v>
      </c>
    </row>
    <row r="3196">
      <c r="A3196" s="47" t="s">
        <v>3820</v>
      </c>
      <c r="B3196" s="47">
        <v>54075.0</v>
      </c>
      <c r="C3196" s="47">
        <v>5.0</v>
      </c>
      <c r="D3196" s="47" t="s">
        <v>4044</v>
      </c>
      <c r="E3196" s="47" t="str">
        <f t="shared" si="1"/>
        <v>5A</v>
      </c>
      <c r="F3196" s="47" t="s">
        <v>4054</v>
      </c>
      <c r="G3196" s="47" t="s">
        <v>738</v>
      </c>
      <c r="H3196" s="48">
        <f>IF(NOT(ISBLANK(vlookup(B3196,Pop_Census_2023!$A$2:$E$3220,4,FALSE))),vlookup(B3196,Pop_Census_2023!$A$2:$E$3220,4,FALSE), vlookup(B3196,Pop_Census_2023!$A$2:$E$3220,5,FALSE))</f>
        <v>7765</v>
      </c>
    </row>
    <row r="3197">
      <c r="A3197" s="47" t="s">
        <v>3820</v>
      </c>
      <c r="B3197" s="47">
        <v>54077.0</v>
      </c>
      <c r="C3197" s="47">
        <v>5.0</v>
      </c>
      <c r="D3197" s="47" t="s">
        <v>4044</v>
      </c>
      <c r="E3197" s="47" t="str">
        <f t="shared" si="1"/>
        <v>5A</v>
      </c>
      <c r="F3197" s="47" t="s">
        <v>4054</v>
      </c>
      <c r="G3197" s="47" t="s">
        <v>1935</v>
      </c>
      <c r="H3197" s="48">
        <f>IF(NOT(ISBLANK(vlookup(B3197,Pop_Census_2023!$A$2:$E$3220,4,FALSE))),vlookup(B3197,Pop_Census_2023!$A$2:$E$3220,4,FALSE), vlookup(B3197,Pop_Census_2023!$A$2:$E$3220,5,FALSE))</f>
        <v>34099</v>
      </c>
    </row>
    <row r="3198">
      <c r="A3198" s="47" t="s">
        <v>3820</v>
      </c>
      <c r="B3198" s="47">
        <v>54079.0</v>
      </c>
      <c r="C3198" s="47">
        <v>4.0</v>
      </c>
      <c r="D3198" s="47" t="s">
        <v>4044</v>
      </c>
      <c r="E3198" s="47" t="str">
        <f t="shared" si="1"/>
        <v>4A</v>
      </c>
      <c r="F3198" s="47" t="s">
        <v>4046</v>
      </c>
      <c r="G3198" s="47" t="s">
        <v>449</v>
      </c>
      <c r="H3198" s="48">
        <f>IF(NOT(ISBLANK(vlookup(B3198,Pop_Census_2023!$A$2:$E$3220,4,FALSE))),vlookup(B3198,Pop_Census_2023!$A$2:$E$3220,4,FALSE), vlookup(B3198,Pop_Census_2023!$A$2:$E$3220,5,FALSE))</f>
        <v>56962</v>
      </c>
    </row>
    <row r="3199">
      <c r="A3199" s="47" t="s">
        <v>3820</v>
      </c>
      <c r="B3199" s="47">
        <v>54081.0</v>
      </c>
      <c r="C3199" s="47">
        <v>5.0</v>
      </c>
      <c r="D3199" s="47" t="s">
        <v>4044</v>
      </c>
      <c r="E3199" s="47" t="str">
        <f t="shared" si="1"/>
        <v>5A</v>
      </c>
      <c r="F3199" s="47" t="s">
        <v>4054</v>
      </c>
      <c r="G3199" s="47" t="s">
        <v>1936</v>
      </c>
      <c r="H3199" s="48">
        <f>IF(NOT(ISBLANK(vlookup(B3199,Pop_Census_2023!$A$2:$E$3220,4,FALSE))),vlookup(B3199,Pop_Census_2023!$A$2:$E$3220,4,FALSE), vlookup(B3199,Pop_Census_2023!$A$2:$E$3220,5,FALSE))</f>
        <v>72356</v>
      </c>
    </row>
    <row r="3200">
      <c r="A3200" s="47" t="s">
        <v>3820</v>
      </c>
      <c r="B3200" s="47">
        <v>54083.0</v>
      </c>
      <c r="C3200" s="47">
        <v>5.0</v>
      </c>
      <c r="D3200" s="47" t="s">
        <v>4044</v>
      </c>
      <c r="E3200" s="47" t="str">
        <f t="shared" si="1"/>
        <v>5A</v>
      </c>
      <c r="F3200" s="47" t="s">
        <v>4054</v>
      </c>
      <c r="G3200" s="47" t="s">
        <v>158</v>
      </c>
      <c r="H3200" s="48">
        <f>IF(NOT(ISBLANK(vlookup(B3200,Pop_Census_2023!$A$2:$E$3220,4,FALSE))),vlookup(B3200,Pop_Census_2023!$A$2:$E$3220,4,FALSE), vlookup(B3200,Pop_Census_2023!$A$2:$E$3220,5,FALSE))</f>
        <v>27350</v>
      </c>
    </row>
    <row r="3201">
      <c r="A3201" s="47" t="s">
        <v>3820</v>
      </c>
      <c r="B3201" s="47">
        <v>54085.0</v>
      </c>
      <c r="C3201" s="47">
        <v>4.0</v>
      </c>
      <c r="D3201" s="47" t="s">
        <v>4044</v>
      </c>
      <c r="E3201" s="47" t="str">
        <f t="shared" si="1"/>
        <v>4A</v>
      </c>
      <c r="F3201" s="47" t="s">
        <v>4046</v>
      </c>
      <c r="G3201" s="47" t="s">
        <v>1937</v>
      </c>
      <c r="H3201" s="48">
        <f>IF(NOT(ISBLANK(vlookup(B3201,Pop_Census_2023!$A$2:$E$3220,4,FALSE))),vlookup(B3201,Pop_Census_2023!$A$2:$E$3220,4,FALSE), vlookup(B3201,Pop_Census_2023!$A$2:$E$3220,5,FALSE))</f>
        <v>8167</v>
      </c>
    </row>
    <row r="3202">
      <c r="A3202" s="47" t="s">
        <v>3820</v>
      </c>
      <c r="B3202" s="47">
        <v>54087.0</v>
      </c>
      <c r="C3202" s="47">
        <v>4.0</v>
      </c>
      <c r="D3202" s="47" t="s">
        <v>4044</v>
      </c>
      <c r="E3202" s="47" t="str">
        <f t="shared" si="1"/>
        <v>4A</v>
      </c>
      <c r="F3202" s="47" t="s">
        <v>4046</v>
      </c>
      <c r="G3202" s="47" t="s">
        <v>1638</v>
      </c>
      <c r="H3202" s="48">
        <f>IF(NOT(ISBLANK(vlookup(B3202,Pop_Census_2023!$A$2:$E$3220,4,FALSE))),vlookup(B3202,Pop_Census_2023!$A$2:$E$3220,4,FALSE), vlookup(B3202,Pop_Census_2023!$A$2:$E$3220,5,FALSE))</f>
        <v>13743</v>
      </c>
    </row>
    <row r="3203">
      <c r="A3203" s="47" t="s">
        <v>3820</v>
      </c>
      <c r="B3203" s="47">
        <v>54089.0</v>
      </c>
      <c r="C3203" s="47">
        <v>5.0</v>
      </c>
      <c r="D3203" s="47" t="s">
        <v>4044</v>
      </c>
      <c r="E3203" s="47" t="str">
        <f t="shared" si="1"/>
        <v>5A</v>
      </c>
      <c r="F3203" s="47" t="s">
        <v>4054</v>
      </c>
      <c r="G3203" s="47" t="s">
        <v>1938</v>
      </c>
      <c r="H3203" s="48">
        <f>IF(NOT(ISBLANK(vlookup(B3203,Pop_Census_2023!$A$2:$E$3220,4,FALSE))),vlookup(B3203,Pop_Census_2023!$A$2:$E$3220,4,FALSE), vlookup(B3203,Pop_Census_2023!$A$2:$E$3220,5,FALSE))</f>
        <v>11581</v>
      </c>
    </row>
    <row r="3204">
      <c r="A3204" s="47" t="s">
        <v>3820</v>
      </c>
      <c r="B3204" s="47">
        <v>54091.0</v>
      </c>
      <c r="C3204" s="47">
        <v>5.0</v>
      </c>
      <c r="D3204" s="47" t="s">
        <v>4044</v>
      </c>
      <c r="E3204" s="47" t="str">
        <f t="shared" si="1"/>
        <v>5A</v>
      </c>
      <c r="F3204" s="47" t="s">
        <v>4054</v>
      </c>
      <c r="G3204" s="47" t="s">
        <v>456</v>
      </c>
      <c r="H3204" s="48">
        <f>IF(NOT(ISBLANK(vlookup(B3204,Pop_Census_2023!$A$2:$E$3220,4,FALSE))),vlookup(B3204,Pop_Census_2023!$A$2:$E$3220,4,FALSE), vlookup(B3204,Pop_Census_2023!$A$2:$E$3220,5,FALSE))</f>
        <v>16388</v>
      </c>
    </row>
    <row r="3205">
      <c r="A3205" s="47" t="s">
        <v>3820</v>
      </c>
      <c r="B3205" s="47">
        <v>54093.0</v>
      </c>
      <c r="C3205" s="47">
        <v>5.0</v>
      </c>
      <c r="D3205" s="47" t="s">
        <v>4044</v>
      </c>
      <c r="E3205" s="47" t="str">
        <f t="shared" si="1"/>
        <v>5A</v>
      </c>
      <c r="F3205" s="47" t="s">
        <v>4054</v>
      </c>
      <c r="G3205" s="47" t="s">
        <v>1939</v>
      </c>
      <c r="H3205" s="48">
        <f>IF(NOT(ISBLANK(vlookup(B3205,Pop_Census_2023!$A$2:$E$3220,4,FALSE))),vlookup(B3205,Pop_Census_2023!$A$2:$E$3220,4,FALSE), vlookup(B3205,Pop_Census_2023!$A$2:$E$3220,5,FALSE))</f>
        <v>6604</v>
      </c>
    </row>
    <row r="3206">
      <c r="A3206" s="47" t="s">
        <v>3820</v>
      </c>
      <c r="B3206" s="47">
        <v>54095.0</v>
      </c>
      <c r="C3206" s="47">
        <v>4.0</v>
      </c>
      <c r="D3206" s="47" t="s">
        <v>4044</v>
      </c>
      <c r="E3206" s="47" t="str">
        <f t="shared" si="1"/>
        <v>4A</v>
      </c>
      <c r="F3206" s="47" t="s">
        <v>4046</v>
      </c>
      <c r="G3206" s="47" t="s">
        <v>1784</v>
      </c>
      <c r="H3206" s="48">
        <f>IF(NOT(ISBLANK(vlookup(B3206,Pop_Census_2023!$A$2:$E$3220,4,FALSE))),vlookup(B3206,Pop_Census_2023!$A$2:$E$3220,4,FALSE), vlookup(B3206,Pop_Census_2023!$A$2:$E$3220,5,FALSE))</f>
        <v>7919</v>
      </c>
    </row>
    <row r="3207">
      <c r="A3207" s="47" t="s">
        <v>3820</v>
      </c>
      <c r="B3207" s="47">
        <v>54097.0</v>
      </c>
      <c r="C3207" s="47">
        <v>5.0</v>
      </c>
      <c r="D3207" s="47" t="s">
        <v>4044</v>
      </c>
      <c r="E3207" s="47" t="str">
        <f t="shared" si="1"/>
        <v>5A</v>
      </c>
      <c r="F3207" s="47" t="s">
        <v>4054</v>
      </c>
      <c r="G3207" s="47" t="s">
        <v>1785</v>
      </c>
      <c r="H3207" s="48">
        <f>IF(NOT(ISBLANK(vlookup(B3207,Pop_Census_2023!$A$2:$E$3220,4,FALSE))),vlookup(B3207,Pop_Census_2023!$A$2:$E$3220,4,FALSE), vlookup(B3207,Pop_Census_2023!$A$2:$E$3220,5,FALSE))</f>
        <v>23529</v>
      </c>
    </row>
    <row r="3208">
      <c r="A3208" s="47" t="s">
        <v>3820</v>
      </c>
      <c r="B3208" s="47">
        <v>54099.0</v>
      </c>
      <c r="C3208" s="47">
        <v>4.0</v>
      </c>
      <c r="D3208" s="47" t="s">
        <v>4044</v>
      </c>
      <c r="E3208" s="47" t="str">
        <f t="shared" si="1"/>
        <v>4A</v>
      </c>
      <c r="F3208" s="47" t="s">
        <v>4046</v>
      </c>
      <c r="G3208" s="47" t="s">
        <v>562</v>
      </c>
      <c r="H3208" s="48">
        <f>IF(NOT(ISBLANK(vlookup(B3208,Pop_Census_2023!$A$2:$E$3220,4,FALSE))),vlookup(B3208,Pop_Census_2023!$A$2:$E$3220,4,FALSE), vlookup(B3208,Pop_Census_2023!$A$2:$E$3220,5,FALSE))</f>
        <v>37686</v>
      </c>
    </row>
    <row r="3209">
      <c r="A3209" s="47" t="s">
        <v>3820</v>
      </c>
      <c r="B3209" s="47">
        <v>54101.0</v>
      </c>
      <c r="C3209" s="47">
        <v>5.0</v>
      </c>
      <c r="D3209" s="47" t="s">
        <v>4044</v>
      </c>
      <c r="E3209" s="47" t="str">
        <f t="shared" si="1"/>
        <v>5A</v>
      </c>
      <c r="F3209" s="47" t="s">
        <v>4054</v>
      </c>
      <c r="G3209" s="47" t="s">
        <v>563</v>
      </c>
      <c r="H3209" s="48">
        <f>IF(NOT(ISBLANK(vlookup(B3209,Pop_Census_2023!$A$2:$E$3220,4,FALSE))),vlookup(B3209,Pop_Census_2023!$A$2:$E$3220,4,FALSE), vlookup(B3209,Pop_Census_2023!$A$2:$E$3220,5,FALSE))</f>
        <v>8045</v>
      </c>
    </row>
    <row r="3210">
      <c r="A3210" s="47" t="s">
        <v>3820</v>
      </c>
      <c r="B3210" s="47">
        <v>54103.0</v>
      </c>
      <c r="C3210" s="47">
        <v>5.0</v>
      </c>
      <c r="D3210" s="47" t="s">
        <v>4044</v>
      </c>
      <c r="E3210" s="47" t="str">
        <f t="shared" si="1"/>
        <v>5A</v>
      </c>
      <c r="F3210" s="47" t="s">
        <v>4054</v>
      </c>
      <c r="G3210" s="47" t="s">
        <v>1940</v>
      </c>
      <c r="H3210" s="48">
        <f>IF(NOT(ISBLANK(vlookup(B3210,Pop_Census_2023!$A$2:$E$3220,4,FALSE))),vlookup(B3210,Pop_Census_2023!$A$2:$E$3220,4,FALSE), vlookup(B3210,Pop_Census_2023!$A$2:$E$3220,5,FALSE))</f>
        <v>13890</v>
      </c>
    </row>
    <row r="3211">
      <c r="A3211" s="47" t="s">
        <v>3820</v>
      </c>
      <c r="B3211" s="47">
        <v>54105.0</v>
      </c>
      <c r="C3211" s="47">
        <v>4.0</v>
      </c>
      <c r="D3211" s="47" t="s">
        <v>4044</v>
      </c>
      <c r="E3211" s="47" t="str">
        <f t="shared" si="1"/>
        <v>4A</v>
      </c>
      <c r="F3211" s="47" t="s">
        <v>4046</v>
      </c>
      <c r="G3211" s="47" t="s">
        <v>1941</v>
      </c>
      <c r="H3211" s="48">
        <f>IF(NOT(ISBLANK(vlookup(B3211,Pop_Census_2023!$A$2:$E$3220,4,FALSE))),vlookup(B3211,Pop_Census_2023!$A$2:$E$3220,4,FALSE), vlookup(B3211,Pop_Census_2023!$A$2:$E$3220,5,FALSE))</f>
        <v>5000</v>
      </c>
    </row>
    <row r="3212">
      <c r="A3212" s="47" t="s">
        <v>3820</v>
      </c>
      <c r="B3212" s="47">
        <v>54107.0</v>
      </c>
      <c r="C3212" s="47">
        <v>4.0</v>
      </c>
      <c r="D3212" s="47" t="s">
        <v>4044</v>
      </c>
      <c r="E3212" s="47" t="str">
        <f t="shared" si="1"/>
        <v>4A</v>
      </c>
      <c r="F3212" s="47" t="s">
        <v>4046</v>
      </c>
      <c r="G3212" s="47" t="s">
        <v>1455</v>
      </c>
      <c r="H3212" s="48">
        <f>IF(NOT(ISBLANK(vlookup(B3212,Pop_Census_2023!$A$2:$E$3220,4,FALSE))),vlookup(B3212,Pop_Census_2023!$A$2:$E$3220,4,FALSE), vlookup(B3212,Pop_Census_2023!$A$2:$E$3220,5,FALSE))</f>
        <v>83052</v>
      </c>
    </row>
    <row r="3213">
      <c r="A3213" s="47" t="s">
        <v>3820</v>
      </c>
      <c r="B3213" s="47">
        <v>54109.0</v>
      </c>
      <c r="C3213" s="47">
        <v>4.0</v>
      </c>
      <c r="D3213" s="47" t="s">
        <v>4044</v>
      </c>
      <c r="E3213" s="47" t="str">
        <f t="shared" si="1"/>
        <v>4A</v>
      </c>
      <c r="F3213" s="47" t="s">
        <v>4046</v>
      </c>
      <c r="G3213" s="47" t="s">
        <v>1323</v>
      </c>
      <c r="H3213" s="48">
        <f>IF(NOT(ISBLANK(vlookup(B3213,Pop_Census_2023!$A$2:$E$3220,4,FALSE))),vlookup(B3213,Pop_Census_2023!$A$2:$E$3220,4,FALSE), vlookup(B3213,Pop_Census_2023!$A$2:$E$3220,5,FALSE))</f>
        <v>20277</v>
      </c>
    </row>
    <row r="3214">
      <c r="A3214" s="47" t="s">
        <v>3874</v>
      </c>
      <c r="B3214" s="47">
        <v>56001.0</v>
      </c>
      <c r="C3214" s="47">
        <v>6.0</v>
      </c>
      <c r="D3214" s="47" t="s">
        <v>4053</v>
      </c>
      <c r="E3214" s="47" t="str">
        <f t="shared" si="1"/>
        <v>6B</v>
      </c>
      <c r="F3214" s="47" t="s">
        <v>4054</v>
      </c>
      <c r="G3214" s="47" t="s">
        <v>1295</v>
      </c>
      <c r="H3214" s="48">
        <f>IF(NOT(ISBLANK(vlookup(B3214,Pop_Census_2023!$A$2:$E$3220,4,FALSE))),vlookup(B3214,Pop_Census_2023!$A$2:$E$3220,4,FALSE), vlookup(B3214,Pop_Census_2023!$A$2:$E$3220,5,FALSE))</f>
        <v>38257</v>
      </c>
    </row>
    <row r="3215">
      <c r="A3215" s="47" t="s">
        <v>3874</v>
      </c>
      <c r="B3215" s="47">
        <v>56003.0</v>
      </c>
      <c r="C3215" s="47">
        <v>6.0</v>
      </c>
      <c r="D3215" s="47" t="s">
        <v>4053</v>
      </c>
      <c r="E3215" s="47" t="str">
        <f t="shared" si="1"/>
        <v>6B</v>
      </c>
      <c r="F3215" s="47" t="s">
        <v>4054</v>
      </c>
      <c r="G3215" s="47" t="s">
        <v>1163</v>
      </c>
      <c r="H3215" s="48">
        <f>IF(NOT(ISBLANK(vlookup(B3215,Pop_Census_2023!$A$2:$E$3220,4,FALSE))),vlookup(B3215,Pop_Census_2023!$A$2:$E$3220,4,FALSE), vlookup(B3215,Pop_Census_2023!$A$2:$E$3220,5,FALSE))</f>
        <v>12018</v>
      </c>
    </row>
    <row r="3216">
      <c r="A3216" s="47" t="s">
        <v>3874</v>
      </c>
      <c r="B3216" s="47">
        <v>56005.0</v>
      </c>
      <c r="C3216" s="47">
        <v>6.0</v>
      </c>
      <c r="D3216" s="47" t="s">
        <v>4053</v>
      </c>
      <c r="E3216" s="47" t="str">
        <f t="shared" si="1"/>
        <v>6B</v>
      </c>
      <c r="F3216" s="47" t="s">
        <v>4054</v>
      </c>
      <c r="G3216" s="47" t="s">
        <v>831</v>
      </c>
      <c r="H3216" s="48">
        <f>IF(NOT(ISBLANK(vlookup(B3216,Pop_Census_2023!$A$2:$E$3220,4,FALSE))),vlookup(B3216,Pop_Census_2023!$A$2:$E$3220,4,FALSE), vlookup(B3216,Pop_Census_2023!$A$2:$E$3220,5,FALSE))</f>
        <v>47498</v>
      </c>
    </row>
    <row r="3217">
      <c r="A3217" s="47" t="s">
        <v>3874</v>
      </c>
      <c r="B3217" s="47">
        <v>56007.0</v>
      </c>
      <c r="C3217" s="47">
        <v>6.0</v>
      </c>
      <c r="D3217" s="47" t="s">
        <v>4053</v>
      </c>
      <c r="E3217" s="47" t="str">
        <f t="shared" si="1"/>
        <v>6B</v>
      </c>
      <c r="F3217" s="47" t="s">
        <v>4054</v>
      </c>
      <c r="G3217" s="47" t="s">
        <v>1165</v>
      </c>
      <c r="H3217" s="48">
        <f>IF(NOT(ISBLANK(vlookup(B3217,Pop_Census_2023!$A$2:$E$3220,4,FALSE))),vlookup(B3217,Pop_Census_2023!$A$2:$E$3220,4,FALSE), vlookup(B3217,Pop_Census_2023!$A$2:$E$3220,5,FALSE))</f>
        <v>14334</v>
      </c>
    </row>
    <row r="3218">
      <c r="A3218" s="47" t="s">
        <v>3874</v>
      </c>
      <c r="B3218" s="47">
        <v>56009.0</v>
      </c>
      <c r="C3218" s="47">
        <v>6.0</v>
      </c>
      <c r="D3218" s="47" t="s">
        <v>4053</v>
      </c>
      <c r="E3218" s="47" t="str">
        <f t="shared" si="1"/>
        <v>6B</v>
      </c>
      <c r="F3218" s="47" t="s">
        <v>4054</v>
      </c>
      <c r="G3218" s="47" t="s">
        <v>1978</v>
      </c>
      <c r="H3218" s="48">
        <f>IF(NOT(ISBLANK(vlookup(B3218,Pop_Census_2023!$A$2:$E$3220,4,FALSE))),vlookup(B3218,Pop_Census_2023!$A$2:$E$3220,4,FALSE), vlookup(B3218,Pop_Census_2023!$A$2:$E$3220,5,FALSE))</f>
        <v>13809</v>
      </c>
    </row>
    <row r="3219">
      <c r="A3219" s="47" t="s">
        <v>3874</v>
      </c>
      <c r="B3219" s="47">
        <v>56011.0</v>
      </c>
      <c r="C3219" s="47">
        <v>6.0</v>
      </c>
      <c r="D3219" s="47" t="s">
        <v>4053</v>
      </c>
      <c r="E3219" s="47" t="str">
        <f t="shared" si="1"/>
        <v>6B</v>
      </c>
      <c r="F3219" s="47" t="s">
        <v>4054</v>
      </c>
      <c r="G3219" s="47" t="s">
        <v>1500</v>
      </c>
      <c r="H3219" s="48">
        <f>IF(NOT(ISBLANK(vlookup(B3219,Pop_Census_2023!$A$2:$E$3220,4,FALSE))),vlookup(B3219,Pop_Census_2023!$A$2:$E$3220,4,FALSE), vlookup(B3219,Pop_Census_2023!$A$2:$E$3220,5,FALSE))</f>
        <v>7592</v>
      </c>
    </row>
    <row r="3220">
      <c r="A3220" s="47" t="s">
        <v>3874</v>
      </c>
      <c r="B3220" s="47">
        <v>56013.0</v>
      </c>
      <c r="C3220" s="47">
        <v>6.0</v>
      </c>
      <c r="D3220" s="47" t="s">
        <v>4053</v>
      </c>
      <c r="E3220" s="47" t="str">
        <f t="shared" si="1"/>
        <v>6B</v>
      </c>
      <c r="F3220" s="47" t="s">
        <v>4054</v>
      </c>
      <c r="G3220" s="47" t="s">
        <v>361</v>
      </c>
      <c r="H3220" s="48">
        <f>IF(NOT(ISBLANK(vlookup(B3220,Pop_Census_2023!$A$2:$E$3220,4,FALSE))),vlookup(B3220,Pop_Census_2023!$A$2:$E$3220,4,FALSE), vlookup(B3220,Pop_Census_2023!$A$2:$E$3220,5,FALSE))</f>
        <v>39815</v>
      </c>
    </row>
    <row r="3221">
      <c r="A3221" s="47" t="s">
        <v>3874</v>
      </c>
      <c r="B3221" s="47">
        <v>56015.0</v>
      </c>
      <c r="C3221" s="47">
        <v>5.0</v>
      </c>
      <c r="D3221" s="47" t="s">
        <v>4053</v>
      </c>
      <c r="E3221" s="47" t="str">
        <f t="shared" si="1"/>
        <v>5B</v>
      </c>
      <c r="F3221" s="47" t="s">
        <v>4054</v>
      </c>
      <c r="G3221" s="47" t="s">
        <v>1979</v>
      </c>
      <c r="H3221" s="48">
        <f>IF(NOT(ISBLANK(vlookup(B3221,Pop_Census_2023!$A$2:$E$3220,4,FALSE))),vlookup(B3221,Pop_Census_2023!$A$2:$E$3220,4,FALSE), vlookup(B3221,Pop_Census_2023!$A$2:$E$3220,5,FALSE))</f>
        <v>12642</v>
      </c>
    </row>
    <row r="3222">
      <c r="A3222" s="47" t="s">
        <v>3874</v>
      </c>
      <c r="B3222" s="47">
        <v>56017.0</v>
      </c>
      <c r="C3222" s="47">
        <v>6.0</v>
      </c>
      <c r="D3222" s="47" t="s">
        <v>4053</v>
      </c>
      <c r="E3222" s="47" t="str">
        <f t="shared" si="1"/>
        <v>6B</v>
      </c>
      <c r="F3222" s="47" t="s">
        <v>4054</v>
      </c>
      <c r="G3222" s="47" t="s">
        <v>1980</v>
      </c>
      <c r="H3222" s="48">
        <f>IF(NOT(ISBLANK(vlookup(B3222,Pop_Census_2023!$A$2:$E$3220,4,FALSE))),vlookup(B3222,Pop_Census_2023!$A$2:$E$3220,4,FALSE), vlookup(B3222,Pop_Census_2023!$A$2:$E$3220,5,FALSE))</f>
        <v>4661</v>
      </c>
    </row>
    <row r="3223">
      <c r="A3223" s="47" t="s">
        <v>3874</v>
      </c>
      <c r="B3223" s="47">
        <v>56019.0</v>
      </c>
      <c r="C3223" s="47">
        <v>6.0</v>
      </c>
      <c r="D3223" s="47" t="s">
        <v>4053</v>
      </c>
      <c r="E3223" s="47" t="str">
        <f t="shared" si="1"/>
        <v>6B</v>
      </c>
      <c r="F3223" s="47" t="s">
        <v>4054</v>
      </c>
      <c r="G3223" s="47" t="s">
        <v>248</v>
      </c>
      <c r="H3223" s="48">
        <f>IF(NOT(ISBLANK(vlookup(B3223,Pop_Census_2023!$A$2:$E$3220,4,FALSE))),vlookup(B3223,Pop_Census_2023!$A$2:$E$3220,4,FALSE), vlookup(B3223,Pop_Census_2023!$A$2:$E$3220,5,FALSE))</f>
        <v>8759</v>
      </c>
    </row>
    <row r="3224">
      <c r="A3224" s="47" t="s">
        <v>3874</v>
      </c>
      <c r="B3224" s="47">
        <v>56021.0</v>
      </c>
      <c r="C3224" s="47">
        <v>6.0</v>
      </c>
      <c r="D3224" s="47" t="s">
        <v>4053</v>
      </c>
      <c r="E3224" s="47" t="str">
        <f t="shared" si="1"/>
        <v>6B</v>
      </c>
      <c r="F3224" s="47" t="s">
        <v>4054</v>
      </c>
      <c r="G3224" s="47" t="s">
        <v>1981</v>
      </c>
      <c r="H3224" s="48">
        <f>IF(NOT(ISBLANK(vlookup(B3224,Pop_Census_2023!$A$2:$E$3220,4,FALSE))),vlookup(B3224,Pop_Census_2023!$A$2:$E$3220,4,FALSE), vlookup(B3224,Pop_Census_2023!$A$2:$E$3220,5,FALSE))</f>
        <v>100984</v>
      </c>
    </row>
    <row r="3225">
      <c r="A3225" s="47" t="s">
        <v>3874</v>
      </c>
      <c r="B3225" s="47">
        <v>56023.0</v>
      </c>
      <c r="C3225" s="47">
        <v>7.0</v>
      </c>
      <c r="D3225" s="47" t="s">
        <v>4014</v>
      </c>
      <c r="E3225" s="47">
        <f t="shared" si="1"/>
        <v>7</v>
      </c>
      <c r="F3225" s="47" t="s">
        <v>4015</v>
      </c>
      <c r="G3225" s="47" t="s">
        <v>250</v>
      </c>
      <c r="H3225" s="48">
        <f>IF(NOT(ISBLANK(vlookup(B3225,Pop_Census_2023!$A$2:$E$3220,4,FALSE))),vlookup(B3225,Pop_Census_2023!$A$2:$E$3220,4,FALSE), vlookup(B3225,Pop_Census_2023!$A$2:$E$3220,5,FALSE))</f>
        <v>20880</v>
      </c>
    </row>
    <row r="3226">
      <c r="A3226" s="47" t="s">
        <v>3874</v>
      </c>
      <c r="B3226" s="47">
        <v>56025.0</v>
      </c>
      <c r="C3226" s="47">
        <v>6.0</v>
      </c>
      <c r="D3226" s="47" t="s">
        <v>4053</v>
      </c>
      <c r="E3226" s="47" t="str">
        <f t="shared" si="1"/>
        <v>6B</v>
      </c>
      <c r="F3226" s="47" t="s">
        <v>4054</v>
      </c>
      <c r="G3226" s="47" t="s">
        <v>1982</v>
      </c>
      <c r="H3226" s="48">
        <f>IF(NOT(ISBLANK(vlookup(B3226,Pop_Census_2023!$A$2:$E$3220,4,FALSE))),vlookup(B3226,Pop_Census_2023!$A$2:$E$3220,4,FALSE), vlookup(B3226,Pop_Census_2023!$A$2:$E$3220,5,FALSE))</f>
        <v>79941</v>
      </c>
    </row>
    <row r="3227">
      <c r="A3227" s="47" t="s">
        <v>3874</v>
      </c>
      <c r="B3227" s="47">
        <v>56027.0</v>
      </c>
      <c r="C3227" s="47">
        <v>6.0</v>
      </c>
      <c r="D3227" s="47" t="s">
        <v>4053</v>
      </c>
      <c r="E3227" s="47" t="str">
        <f t="shared" si="1"/>
        <v>6B</v>
      </c>
      <c r="F3227" s="47" t="s">
        <v>4054</v>
      </c>
      <c r="G3227" s="47" t="s">
        <v>1983</v>
      </c>
      <c r="H3227" s="48">
        <f>IF(NOT(ISBLANK(vlookup(B3227,Pop_Census_2023!$A$2:$E$3220,4,FALSE))),vlookup(B3227,Pop_Census_2023!$A$2:$E$3220,4,FALSE), vlookup(B3227,Pop_Census_2023!$A$2:$E$3220,5,FALSE))</f>
        <v>2354</v>
      </c>
    </row>
    <row r="3228">
      <c r="A3228" s="47" t="s">
        <v>3874</v>
      </c>
      <c r="B3228" s="47">
        <v>56029.0</v>
      </c>
      <c r="C3228" s="47">
        <v>6.0</v>
      </c>
      <c r="D3228" s="47" t="s">
        <v>4053</v>
      </c>
      <c r="E3228" s="47" t="str">
        <f t="shared" si="1"/>
        <v>6B</v>
      </c>
      <c r="F3228" s="47" t="s">
        <v>4054</v>
      </c>
      <c r="G3228" s="47" t="s">
        <v>380</v>
      </c>
      <c r="H3228" s="48">
        <f>IF(NOT(ISBLANK(vlookup(B3228,Pop_Census_2023!$A$2:$E$3220,4,FALSE))),vlookup(B3228,Pop_Census_2023!$A$2:$E$3220,4,FALSE), vlookup(B3228,Pop_Census_2023!$A$2:$E$3220,5,FALSE))</f>
        <v>30735</v>
      </c>
    </row>
    <row r="3229">
      <c r="A3229" s="47" t="s">
        <v>3874</v>
      </c>
      <c r="B3229" s="47">
        <v>56031.0</v>
      </c>
      <c r="C3229" s="47">
        <v>5.0</v>
      </c>
      <c r="D3229" s="47" t="s">
        <v>4053</v>
      </c>
      <c r="E3229" s="47" t="str">
        <f t="shared" si="1"/>
        <v>5B</v>
      </c>
      <c r="F3229" s="47" t="s">
        <v>4054</v>
      </c>
      <c r="G3229" s="47" t="s">
        <v>1149</v>
      </c>
      <c r="H3229" s="48">
        <f>IF(NOT(ISBLANK(vlookup(B3229,Pop_Census_2023!$A$2:$E$3220,4,FALSE))),vlookup(B3229,Pop_Census_2023!$A$2:$E$3220,4,FALSE), vlookup(B3229,Pop_Census_2023!$A$2:$E$3220,5,FALSE))</f>
        <v>8546</v>
      </c>
    </row>
    <row r="3230">
      <c r="A3230" s="47" t="s">
        <v>3874</v>
      </c>
      <c r="B3230" s="47">
        <v>56033.0</v>
      </c>
      <c r="C3230" s="47">
        <v>6.0</v>
      </c>
      <c r="D3230" s="47" t="s">
        <v>4053</v>
      </c>
      <c r="E3230" s="47" t="str">
        <f t="shared" si="1"/>
        <v>6B</v>
      </c>
      <c r="F3230" s="47" t="s">
        <v>4054</v>
      </c>
      <c r="G3230" s="47" t="s">
        <v>804</v>
      </c>
      <c r="H3230" s="48">
        <f>IF(NOT(ISBLANK(vlookup(B3230,Pop_Census_2023!$A$2:$E$3220,4,FALSE))),vlookup(B3230,Pop_Census_2023!$A$2:$E$3220,4,FALSE), vlookup(B3230,Pop_Census_2023!$A$2:$E$3220,5,FALSE))</f>
        <v>32519</v>
      </c>
    </row>
    <row r="3231">
      <c r="A3231" s="47" t="s">
        <v>3874</v>
      </c>
      <c r="B3231" s="47">
        <v>56035.0</v>
      </c>
      <c r="C3231" s="47">
        <v>7.0</v>
      </c>
      <c r="D3231" s="47" t="s">
        <v>4014</v>
      </c>
      <c r="E3231" s="47">
        <f t="shared" si="1"/>
        <v>7</v>
      </c>
      <c r="F3231" s="47" t="s">
        <v>4015</v>
      </c>
      <c r="G3231" s="47" t="s">
        <v>1984</v>
      </c>
      <c r="H3231" s="48">
        <f>IF(NOT(ISBLANK(vlookup(B3231,Pop_Census_2023!$A$2:$E$3220,4,FALSE))),vlookup(B3231,Pop_Census_2023!$A$2:$E$3220,4,FALSE), vlookup(B3231,Pop_Census_2023!$A$2:$E$3220,5,FALSE))</f>
        <v>8969</v>
      </c>
    </row>
    <row r="3232">
      <c r="A3232" s="47" t="s">
        <v>3874</v>
      </c>
      <c r="B3232" s="47">
        <v>56037.0</v>
      </c>
      <c r="C3232" s="47">
        <v>6.0</v>
      </c>
      <c r="D3232" s="47" t="s">
        <v>4053</v>
      </c>
      <c r="E3232" s="47" t="str">
        <f t="shared" si="1"/>
        <v>6B</v>
      </c>
      <c r="F3232" s="47" t="s">
        <v>4054</v>
      </c>
      <c r="G3232" s="47" t="s">
        <v>1985</v>
      </c>
      <c r="H3232" s="48">
        <f>IF(NOT(ISBLANK(vlookup(B3232,Pop_Census_2023!$A$2:$E$3220,4,FALSE))),vlookup(B3232,Pop_Census_2023!$A$2:$E$3220,4,FALSE), vlookup(B3232,Pop_Census_2023!$A$2:$E$3220,5,FALSE))</f>
        <v>41249</v>
      </c>
    </row>
    <row r="3233">
      <c r="A3233" s="47" t="s">
        <v>3874</v>
      </c>
      <c r="B3233" s="47">
        <v>56039.0</v>
      </c>
      <c r="C3233" s="47">
        <v>7.0</v>
      </c>
      <c r="D3233" s="47" t="s">
        <v>4014</v>
      </c>
      <c r="E3233" s="47">
        <f t="shared" si="1"/>
        <v>7</v>
      </c>
      <c r="F3233" s="47" t="s">
        <v>4015</v>
      </c>
      <c r="G3233" s="47" t="s">
        <v>605</v>
      </c>
      <c r="H3233" s="48">
        <f>IF(NOT(ISBLANK(vlookup(B3233,Pop_Census_2023!$A$2:$E$3220,4,FALSE))),vlookup(B3233,Pop_Census_2023!$A$2:$E$3220,4,FALSE), vlookup(B3233,Pop_Census_2023!$A$2:$E$3220,5,FALSE))</f>
        <v>23232</v>
      </c>
    </row>
    <row r="3234">
      <c r="A3234" s="47" t="s">
        <v>3874</v>
      </c>
      <c r="B3234" s="47">
        <v>56041.0</v>
      </c>
      <c r="C3234" s="47">
        <v>6.0</v>
      </c>
      <c r="D3234" s="47" t="s">
        <v>4053</v>
      </c>
      <c r="E3234" s="47" t="str">
        <f t="shared" si="1"/>
        <v>6B</v>
      </c>
      <c r="F3234" s="47" t="s">
        <v>4054</v>
      </c>
      <c r="G3234" s="47" t="s">
        <v>1986</v>
      </c>
      <c r="H3234" s="48">
        <f>IF(NOT(ISBLANK(vlookup(B3234,Pop_Census_2023!$A$2:$E$3220,4,FALSE))),vlookup(B3234,Pop_Census_2023!$A$2:$E$3220,4,FALSE), vlookup(B3234,Pop_Census_2023!$A$2:$E$3220,5,FALSE))</f>
        <v>20745</v>
      </c>
    </row>
    <row r="3235">
      <c r="A3235" s="47" t="s">
        <v>3874</v>
      </c>
      <c r="B3235" s="47">
        <v>56043.0</v>
      </c>
      <c r="C3235" s="47">
        <v>6.0</v>
      </c>
      <c r="D3235" s="47" t="s">
        <v>4053</v>
      </c>
      <c r="E3235" s="47" t="str">
        <f t="shared" si="1"/>
        <v>6B</v>
      </c>
      <c r="F3235" s="47" t="s">
        <v>4054</v>
      </c>
      <c r="G3235" s="47" t="s">
        <v>1987</v>
      </c>
      <c r="H3235" s="48">
        <f>IF(NOT(ISBLANK(vlookup(B3235,Pop_Census_2023!$A$2:$E$3220,4,FALSE))),vlookup(B3235,Pop_Census_2023!$A$2:$E$3220,4,FALSE), vlookup(B3235,Pop_Census_2023!$A$2:$E$3220,5,FALSE))</f>
        <v>7710</v>
      </c>
    </row>
    <row r="3236">
      <c r="A3236" s="47" t="s">
        <v>3874</v>
      </c>
      <c r="B3236" s="47">
        <v>56045.0</v>
      </c>
      <c r="C3236" s="47">
        <v>6.0</v>
      </c>
      <c r="D3236" s="47" t="s">
        <v>4053</v>
      </c>
      <c r="E3236" s="47" t="str">
        <f t="shared" si="1"/>
        <v>6B</v>
      </c>
      <c r="F3236" s="47" t="s">
        <v>4054</v>
      </c>
      <c r="G3236" s="47" t="s">
        <v>1988</v>
      </c>
      <c r="H3236" s="48">
        <f>IF(NOT(ISBLANK(vlookup(B3236,Pop_Census_2023!$A$2:$E$3220,4,FALSE))),vlookup(B3236,Pop_Census_2023!$A$2:$E$3220,4,FALSE), vlookup(B3236,Pop_Census_2023!$A$2:$E$3220,5,FALSE))</f>
        <v>6808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8" max="18" width="16.25"/>
  </cols>
  <sheetData>
    <row r="1">
      <c r="A1" s="49" t="s">
        <v>48</v>
      </c>
      <c r="B1" s="49"/>
      <c r="C1" s="49" t="s">
        <v>4194</v>
      </c>
      <c r="D1" s="49" t="s">
        <v>4195</v>
      </c>
      <c r="E1" s="49" t="s">
        <v>1183</v>
      </c>
      <c r="F1" s="49"/>
      <c r="G1" s="49"/>
      <c r="H1" s="49"/>
      <c r="I1" s="49" t="s">
        <v>4196</v>
      </c>
      <c r="J1" s="49" t="s">
        <v>4197</v>
      </c>
      <c r="K1" s="49" t="s">
        <v>4198</v>
      </c>
      <c r="L1" s="49" t="s">
        <v>4199</v>
      </c>
      <c r="M1" s="49" t="s">
        <v>4200</v>
      </c>
      <c r="N1" s="49" t="s">
        <v>4201</v>
      </c>
      <c r="O1" s="49" t="s">
        <v>4202</v>
      </c>
      <c r="P1" s="50"/>
      <c r="Q1" s="50"/>
      <c r="R1" s="51"/>
    </row>
    <row r="2">
      <c r="B2" s="52" t="s">
        <v>4203</v>
      </c>
      <c r="E2" s="53" t="s">
        <v>4204</v>
      </c>
      <c r="F2" s="53" t="s">
        <v>4205</v>
      </c>
      <c r="G2" s="53" t="s">
        <v>4206</v>
      </c>
      <c r="H2" s="53" t="s">
        <v>4207</v>
      </c>
      <c r="I2" s="53" t="s">
        <v>4208</v>
      </c>
      <c r="P2" s="50" t="s">
        <v>4209</v>
      </c>
      <c r="Q2" s="54" t="s">
        <v>4210</v>
      </c>
      <c r="R2" s="55" t="s">
        <v>4211</v>
      </c>
    </row>
    <row r="3">
      <c r="A3" s="56" t="s">
        <v>101</v>
      </c>
      <c r="B3" s="57">
        <v>6.0</v>
      </c>
      <c r="C3" s="58">
        <v>0.0</v>
      </c>
      <c r="D3" s="58">
        <v>31.3</v>
      </c>
      <c r="E3" s="58">
        <v>0.1</v>
      </c>
      <c r="F3" s="58">
        <v>4.6</v>
      </c>
      <c r="G3" s="58" t="s">
        <v>4212</v>
      </c>
      <c r="H3" s="58">
        <v>4.8</v>
      </c>
      <c r="I3" s="58">
        <v>1.6</v>
      </c>
      <c r="J3" s="58">
        <v>0.1</v>
      </c>
      <c r="K3" s="58">
        <v>0.1</v>
      </c>
      <c r="L3" s="58">
        <v>112.3</v>
      </c>
      <c r="M3" s="58">
        <v>150.2</v>
      </c>
      <c r="N3" s="58">
        <v>182.7</v>
      </c>
      <c r="O3" s="58">
        <v>332.9</v>
      </c>
      <c r="P3" s="59">
        <f t="shared" ref="P3:P53" si="1">sum(if(E3&gt;=0,E3,0))</f>
        <v>0.1</v>
      </c>
      <c r="Q3" s="59">
        <f t="shared" ref="Q3:Q53" si="2">sum(if(F3&gt;=0,F3,0),if(G3&gt;=0,G3,0),if(I3&gt;=0,I3,0))</f>
        <v>6.2</v>
      </c>
      <c r="R3" s="51">
        <f t="shared" ref="R3:R53" si="3">sum(L3,if(K3&gt;0,K3,0),if(J3&gt;0,J3,0))</f>
        <v>112.5</v>
      </c>
    </row>
    <row r="4">
      <c r="A4" s="60" t="s">
        <v>171</v>
      </c>
      <c r="B4" s="57">
        <v>9.0</v>
      </c>
      <c r="C4" s="61">
        <v>0.0</v>
      </c>
      <c r="D4" s="61">
        <v>19.9</v>
      </c>
      <c r="E4" s="61">
        <v>7.1</v>
      </c>
      <c r="F4" s="61">
        <v>0.4</v>
      </c>
      <c r="G4" s="61" t="s">
        <v>4212</v>
      </c>
      <c r="H4" s="61">
        <v>7.5</v>
      </c>
      <c r="I4" s="61">
        <v>6.0</v>
      </c>
      <c r="J4" s="61">
        <v>0.1</v>
      </c>
      <c r="K4" s="61" t="s">
        <v>4212</v>
      </c>
      <c r="L4" s="61">
        <v>7.0</v>
      </c>
      <c r="M4" s="61">
        <v>40.4</v>
      </c>
      <c r="N4" s="61">
        <v>9.6</v>
      </c>
      <c r="O4" s="61">
        <v>50.0</v>
      </c>
      <c r="P4" s="59">
        <f t="shared" si="1"/>
        <v>7.1</v>
      </c>
      <c r="Q4" s="59">
        <f t="shared" si="2"/>
        <v>6.4</v>
      </c>
      <c r="R4" s="51">
        <f t="shared" si="3"/>
        <v>7.1</v>
      </c>
    </row>
    <row r="5">
      <c r="A5" s="60" t="s">
        <v>201</v>
      </c>
      <c r="B5" s="57">
        <v>8.0</v>
      </c>
      <c r="C5" s="61">
        <v>0.0</v>
      </c>
      <c r="D5" s="61">
        <v>43.5</v>
      </c>
      <c r="E5" s="61" t="s">
        <v>4212</v>
      </c>
      <c r="F5" s="61">
        <v>4.8</v>
      </c>
      <c r="G5" s="61" t="s">
        <v>4212</v>
      </c>
      <c r="H5" s="61">
        <v>4.8</v>
      </c>
      <c r="I5" s="61">
        <v>4.2</v>
      </c>
      <c r="J5" s="61">
        <v>0.1</v>
      </c>
      <c r="K5" s="61">
        <v>14.0</v>
      </c>
      <c r="L5" s="61">
        <v>130.9</v>
      </c>
      <c r="M5" s="61">
        <v>197.6</v>
      </c>
      <c r="N5" s="61">
        <v>206.8</v>
      </c>
      <c r="O5" s="61">
        <v>404.4</v>
      </c>
      <c r="P5" s="59">
        <f t="shared" si="1"/>
        <v>0</v>
      </c>
      <c r="Q5" s="59">
        <f t="shared" si="2"/>
        <v>9</v>
      </c>
      <c r="R5" s="51">
        <f t="shared" si="3"/>
        <v>145</v>
      </c>
    </row>
    <row r="6">
      <c r="A6" s="60" t="s">
        <v>220</v>
      </c>
      <c r="B6" s="57">
        <v>7.0</v>
      </c>
      <c r="C6" s="61">
        <v>0.0</v>
      </c>
      <c r="D6" s="61">
        <v>31.9</v>
      </c>
      <c r="E6" s="61" t="s">
        <v>4212</v>
      </c>
      <c r="F6" s="61">
        <v>4.4</v>
      </c>
      <c r="G6" s="61" t="s">
        <v>4212</v>
      </c>
      <c r="H6" s="61">
        <v>4.5</v>
      </c>
      <c r="I6" s="61">
        <v>4.8</v>
      </c>
      <c r="J6" s="61">
        <v>0.8</v>
      </c>
      <c r="K6" s="61">
        <v>0.5</v>
      </c>
      <c r="L6" s="61">
        <v>65.7</v>
      </c>
      <c r="M6" s="61">
        <v>108.1</v>
      </c>
      <c r="N6" s="61">
        <v>110.2</v>
      </c>
      <c r="O6" s="61">
        <v>218.3</v>
      </c>
      <c r="P6" s="59">
        <f t="shared" si="1"/>
        <v>0</v>
      </c>
      <c r="Q6" s="59">
        <f t="shared" si="2"/>
        <v>9.2</v>
      </c>
      <c r="R6" s="51">
        <f t="shared" si="3"/>
        <v>67</v>
      </c>
    </row>
    <row r="7">
      <c r="A7" s="60" t="s">
        <v>279</v>
      </c>
      <c r="B7" s="57">
        <v>9.0</v>
      </c>
      <c r="C7" s="61">
        <v>0.0</v>
      </c>
      <c r="D7" s="61">
        <v>447.7</v>
      </c>
      <c r="E7" s="61">
        <v>0.5</v>
      </c>
      <c r="F7" s="61">
        <v>21.9</v>
      </c>
      <c r="G7" s="61">
        <v>0.3</v>
      </c>
      <c r="H7" s="61">
        <v>22.7</v>
      </c>
      <c r="I7" s="61">
        <v>20.6</v>
      </c>
      <c r="J7" s="61">
        <v>0.3</v>
      </c>
      <c r="K7" s="61">
        <v>72.6</v>
      </c>
      <c r="L7" s="61">
        <v>305.5</v>
      </c>
      <c r="M7" s="61">
        <v>869.4</v>
      </c>
      <c r="N7" s="61">
        <v>334.3</v>
      </c>
      <c r="O7" s="62">
        <v>1203.7</v>
      </c>
      <c r="P7" s="59">
        <f t="shared" si="1"/>
        <v>0.5</v>
      </c>
      <c r="Q7" s="59">
        <f t="shared" si="2"/>
        <v>42.8</v>
      </c>
      <c r="R7" s="51">
        <f t="shared" si="3"/>
        <v>378.4</v>
      </c>
    </row>
    <row r="8">
      <c r="A8" s="60" t="s">
        <v>339</v>
      </c>
      <c r="B8" s="57">
        <v>8.0</v>
      </c>
      <c r="C8" s="61">
        <v>0.0</v>
      </c>
      <c r="D8" s="61">
        <v>148.9</v>
      </c>
      <c r="E8" s="61">
        <v>0.1</v>
      </c>
      <c r="F8" s="61">
        <v>12.0</v>
      </c>
      <c r="G8" s="61" t="s">
        <v>4212</v>
      </c>
      <c r="H8" s="61">
        <v>12.2</v>
      </c>
      <c r="I8" s="61">
        <v>11.7</v>
      </c>
      <c r="J8" s="61">
        <v>0.3</v>
      </c>
      <c r="K8" s="61">
        <v>3.7</v>
      </c>
      <c r="L8" s="61">
        <v>70.3</v>
      </c>
      <c r="M8" s="61">
        <v>245.1</v>
      </c>
      <c r="N8" s="61">
        <v>94.3</v>
      </c>
      <c r="O8" s="61">
        <v>339.4</v>
      </c>
      <c r="P8" s="59">
        <f t="shared" si="1"/>
        <v>0.1</v>
      </c>
      <c r="Q8" s="59">
        <f t="shared" si="2"/>
        <v>23.7</v>
      </c>
      <c r="R8" s="51">
        <f t="shared" si="3"/>
        <v>74.3</v>
      </c>
    </row>
    <row r="9">
      <c r="A9" s="60" t="s">
        <v>395</v>
      </c>
      <c r="B9" s="57">
        <v>1.0</v>
      </c>
      <c r="C9" s="61">
        <v>0.0</v>
      </c>
      <c r="D9" s="61">
        <v>52.2</v>
      </c>
      <c r="E9" s="61">
        <v>53.0</v>
      </c>
      <c r="F9" s="61">
        <v>6.8</v>
      </c>
      <c r="G9" s="61" t="s">
        <v>4212</v>
      </c>
      <c r="H9" s="61">
        <v>59.8</v>
      </c>
      <c r="I9" s="61">
        <v>4.7</v>
      </c>
      <c r="J9" s="61" t="s">
        <v>4212</v>
      </c>
      <c r="K9" s="61">
        <v>3.1</v>
      </c>
      <c r="L9" s="61">
        <v>45.0</v>
      </c>
      <c r="M9" s="61">
        <v>164.9</v>
      </c>
      <c r="N9" s="61">
        <v>70.4</v>
      </c>
      <c r="O9" s="61">
        <v>235.3</v>
      </c>
      <c r="P9" s="59">
        <f t="shared" si="1"/>
        <v>53</v>
      </c>
      <c r="Q9" s="59">
        <f t="shared" si="2"/>
        <v>11.5</v>
      </c>
      <c r="R9" s="51">
        <f t="shared" si="3"/>
        <v>48.1</v>
      </c>
    </row>
    <row r="10">
      <c r="A10" s="60" t="s">
        <v>405</v>
      </c>
      <c r="B10" s="57">
        <v>5.0</v>
      </c>
      <c r="C10" s="61">
        <v>0.0</v>
      </c>
      <c r="D10" s="61">
        <v>12.3</v>
      </c>
      <c r="E10" s="61">
        <v>2.5</v>
      </c>
      <c r="F10" s="61">
        <v>2.8</v>
      </c>
      <c r="G10" s="61" t="s">
        <v>4212</v>
      </c>
      <c r="H10" s="61">
        <v>5.3</v>
      </c>
      <c r="I10" s="61">
        <v>0.5</v>
      </c>
      <c r="J10" s="61">
        <v>0.4</v>
      </c>
      <c r="K10" s="61">
        <v>0.4</v>
      </c>
      <c r="L10" s="61">
        <v>17.8</v>
      </c>
      <c r="M10" s="61">
        <v>36.8</v>
      </c>
      <c r="N10" s="61">
        <v>27.8</v>
      </c>
      <c r="O10" s="61">
        <v>64.6</v>
      </c>
      <c r="P10" s="59">
        <f t="shared" si="1"/>
        <v>2.5</v>
      </c>
      <c r="Q10" s="59">
        <f t="shared" si="2"/>
        <v>3.3</v>
      </c>
      <c r="R10" s="51">
        <f t="shared" si="3"/>
        <v>18.6</v>
      </c>
    </row>
    <row r="11">
      <c r="A11" s="63" t="s">
        <v>408</v>
      </c>
      <c r="B11" s="57">
        <v>5.0</v>
      </c>
      <c r="C11" s="61">
        <v>0.0</v>
      </c>
      <c r="D11" s="61">
        <v>12.3</v>
      </c>
      <c r="E11" s="61">
        <v>0.6</v>
      </c>
      <c r="F11" s="61" t="s">
        <v>4212</v>
      </c>
      <c r="G11" s="61">
        <v>0.0</v>
      </c>
      <c r="H11" s="61">
        <v>0.6</v>
      </c>
      <c r="I11" s="61">
        <v>0.0</v>
      </c>
      <c r="J11" s="61" t="s">
        <v>4212</v>
      </c>
      <c r="K11" s="61">
        <v>0.4</v>
      </c>
      <c r="L11" s="61">
        <v>8.6</v>
      </c>
      <c r="M11" s="61">
        <v>21.9</v>
      </c>
      <c r="N11" s="61">
        <v>13.6</v>
      </c>
      <c r="O11" s="61">
        <v>35.6</v>
      </c>
      <c r="P11" s="59">
        <f t="shared" si="1"/>
        <v>0.6</v>
      </c>
      <c r="Q11" s="59">
        <f t="shared" si="2"/>
        <v>0</v>
      </c>
      <c r="R11" s="51">
        <f t="shared" si="3"/>
        <v>9</v>
      </c>
    </row>
    <row r="12">
      <c r="A12" s="60" t="s">
        <v>410</v>
      </c>
      <c r="B12" s="57">
        <v>5.0</v>
      </c>
      <c r="C12" s="61">
        <v>0.0</v>
      </c>
      <c r="D12" s="61">
        <v>19.3</v>
      </c>
      <c r="E12" s="61">
        <v>0.1</v>
      </c>
      <c r="F12" s="61">
        <v>6.0</v>
      </c>
      <c r="G12" s="61" t="s">
        <v>4212</v>
      </c>
      <c r="H12" s="61">
        <v>6.1</v>
      </c>
      <c r="I12" s="61">
        <v>0.2</v>
      </c>
      <c r="J12" s="61">
        <v>8.0</v>
      </c>
      <c r="K12" s="61">
        <v>35.2</v>
      </c>
      <c r="L12" s="61">
        <v>458.0</v>
      </c>
      <c r="M12" s="61">
        <v>526.9</v>
      </c>
      <c r="N12" s="61">
        <v>655.7</v>
      </c>
      <c r="O12" s="62">
        <v>1182.6</v>
      </c>
      <c r="P12" s="59">
        <f t="shared" si="1"/>
        <v>0.1</v>
      </c>
      <c r="Q12" s="59">
        <f t="shared" si="2"/>
        <v>6.2</v>
      </c>
      <c r="R12" s="51">
        <f t="shared" si="3"/>
        <v>501.2</v>
      </c>
    </row>
    <row r="13">
      <c r="A13" s="60" t="s">
        <v>461</v>
      </c>
      <c r="B13" s="57">
        <v>5.0</v>
      </c>
      <c r="C13" s="61">
        <v>0.0</v>
      </c>
      <c r="D13" s="61">
        <v>138.2</v>
      </c>
      <c r="E13" s="61">
        <v>0.1</v>
      </c>
      <c r="F13" s="61">
        <v>7.5</v>
      </c>
      <c r="G13" s="61" t="s">
        <v>4212</v>
      </c>
      <c r="H13" s="61">
        <v>7.6</v>
      </c>
      <c r="I13" s="61">
        <v>2.2</v>
      </c>
      <c r="J13" s="61">
        <v>0.3</v>
      </c>
      <c r="K13" s="61">
        <v>0.7</v>
      </c>
      <c r="L13" s="61">
        <v>208.6</v>
      </c>
      <c r="M13" s="61">
        <v>357.6</v>
      </c>
      <c r="N13" s="61">
        <v>339.6</v>
      </c>
      <c r="O13" s="61">
        <v>697.2</v>
      </c>
      <c r="P13" s="59">
        <f t="shared" si="1"/>
        <v>0.1</v>
      </c>
      <c r="Q13" s="59">
        <f t="shared" si="2"/>
        <v>9.7</v>
      </c>
      <c r="R13" s="51">
        <f t="shared" si="3"/>
        <v>209.6</v>
      </c>
    </row>
    <row r="14">
      <c r="A14" s="60" t="s">
        <v>570</v>
      </c>
      <c r="B14" s="57">
        <v>9.0</v>
      </c>
      <c r="C14" s="61">
        <v>0.0</v>
      </c>
      <c r="D14" s="61">
        <v>0.5</v>
      </c>
      <c r="E14" s="61" t="s">
        <v>4212</v>
      </c>
      <c r="F14" s="61">
        <v>0.6</v>
      </c>
      <c r="G14" s="61">
        <v>0.0</v>
      </c>
      <c r="H14" s="61">
        <v>0.6</v>
      </c>
      <c r="I14" s="61" t="s">
        <v>4212</v>
      </c>
      <c r="J14" s="61">
        <v>0.0</v>
      </c>
      <c r="K14" s="61">
        <v>4.9</v>
      </c>
      <c r="L14" s="61">
        <v>9.4</v>
      </c>
      <c r="M14" s="61">
        <v>14.9</v>
      </c>
      <c r="N14" s="61">
        <v>15.2</v>
      </c>
      <c r="O14" s="61">
        <v>30.1</v>
      </c>
      <c r="P14" s="59">
        <f t="shared" si="1"/>
        <v>0</v>
      </c>
      <c r="Q14" s="59">
        <f t="shared" si="2"/>
        <v>0.6</v>
      </c>
      <c r="R14" s="51">
        <f t="shared" si="3"/>
        <v>14.3</v>
      </c>
    </row>
    <row r="15">
      <c r="A15" s="60" t="s">
        <v>576</v>
      </c>
      <c r="B15" s="57">
        <v>8.0</v>
      </c>
      <c r="C15" s="61">
        <v>0.0</v>
      </c>
      <c r="D15" s="61">
        <v>36.9</v>
      </c>
      <c r="E15" s="61">
        <v>0.8</v>
      </c>
      <c r="F15" s="61">
        <v>6.0</v>
      </c>
      <c r="G15" s="61" t="s">
        <v>4212</v>
      </c>
      <c r="H15" s="61">
        <v>6.8</v>
      </c>
      <c r="I15" s="61">
        <v>12.9</v>
      </c>
      <c r="J15" s="61">
        <v>0.1</v>
      </c>
      <c r="K15" s="61">
        <v>0.5</v>
      </c>
      <c r="L15" s="61">
        <v>34.0</v>
      </c>
      <c r="M15" s="61">
        <v>91.2</v>
      </c>
      <c r="N15" s="61">
        <v>32.1</v>
      </c>
      <c r="O15" s="61">
        <v>123.3</v>
      </c>
      <c r="P15" s="59">
        <f t="shared" si="1"/>
        <v>0.8</v>
      </c>
      <c r="Q15" s="59">
        <f t="shared" si="2"/>
        <v>18.9</v>
      </c>
      <c r="R15" s="51">
        <f t="shared" si="3"/>
        <v>34.6</v>
      </c>
    </row>
    <row r="16">
      <c r="A16" s="60" t="s">
        <v>608</v>
      </c>
      <c r="B16" s="57">
        <v>3.0</v>
      </c>
      <c r="C16" s="61">
        <v>0.0</v>
      </c>
      <c r="D16" s="61">
        <v>442.9</v>
      </c>
      <c r="E16" s="61">
        <v>0.5</v>
      </c>
      <c r="F16" s="61">
        <v>24.9</v>
      </c>
      <c r="G16" s="61">
        <v>0.1</v>
      </c>
      <c r="H16" s="61">
        <v>25.4</v>
      </c>
      <c r="I16" s="61">
        <v>5.2</v>
      </c>
      <c r="J16" s="61">
        <v>2.0</v>
      </c>
      <c r="K16" s="61">
        <v>2.9</v>
      </c>
      <c r="L16" s="61">
        <v>158.6</v>
      </c>
      <c r="M16" s="61">
        <v>631.9</v>
      </c>
      <c r="N16" s="61">
        <v>293.6</v>
      </c>
      <c r="O16" s="61">
        <v>925.5</v>
      </c>
      <c r="P16" s="59">
        <f t="shared" si="1"/>
        <v>0.5</v>
      </c>
      <c r="Q16" s="59">
        <f t="shared" si="2"/>
        <v>30.2</v>
      </c>
      <c r="R16" s="51">
        <f t="shared" si="3"/>
        <v>163.5</v>
      </c>
    </row>
    <row r="17">
      <c r="A17" s="60" t="s">
        <v>663</v>
      </c>
      <c r="B17" s="57">
        <v>3.0</v>
      </c>
      <c r="C17" s="61">
        <v>0.0</v>
      </c>
      <c r="D17" s="61">
        <v>150.8</v>
      </c>
      <c r="E17" s="61">
        <v>1.2</v>
      </c>
      <c r="F17" s="61">
        <v>12.0</v>
      </c>
      <c r="G17" s="61">
        <v>0.1</v>
      </c>
      <c r="H17" s="61">
        <v>13.4</v>
      </c>
      <c r="I17" s="61">
        <v>9.9</v>
      </c>
      <c r="J17" s="61">
        <v>3.8</v>
      </c>
      <c r="K17" s="61">
        <v>0.5</v>
      </c>
      <c r="L17" s="61">
        <v>116.2</v>
      </c>
      <c r="M17" s="61">
        <v>294.1</v>
      </c>
      <c r="N17" s="61">
        <v>219.9</v>
      </c>
      <c r="O17" s="61">
        <v>514.1</v>
      </c>
      <c r="P17" s="59">
        <f t="shared" si="1"/>
        <v>1.2</v>
      </c>
      <c r="Q17" s="59">
        <f t="shared" si="2"/>
        <v>22</v>
      </c>
      <c r="R17" s="51">
        <f t="shared" si="3"/>
        <v>120.5</v>
      </c>
    </row>
    <row r="18">
      <c r="A18" s="60" t="s">
        <v>705</v>
      </c>
      <c r="B18" s="57">
        <v>4.0</v>
      </c>
      <c r="C18" s="61">
        <v>0.0</v>
      </c>
      <c r="D18" s="61">
        <v>75.6</v>
      </c>
      <c r="E18" s="61">
        <v>0.9</v>
      </c>
      <c r="F18" s="61">
        <v>26.5</v>
      </c>
      <c r="G18" s="61" t="s">
        <v>4212</v>
      </c>
      <c r="H18" s="61">
        <v>27.4</v>
      </c>
      <c r="I18" s="61">
        <v>4.9</v>
      </c>
      <c r="J18" s="61">
        <v>0.5</v>
      </c>
      <c r="K18" s="61">
        <v>0.5</v>
      </c>
      <c r="L18" s="61">
        <v>51.8</v>
      </c>
      <c r="M18" s="61">
        <v>155.2</v>
      </c>
      <c r="N18" s="61">
        <v>38.2</v>
      </c>
      <c r="O18" s="61">
        <v>193.3</v>
      </c>
      <c r="P18" s="59">
        <f t="shared" si="1"/>
        <v>0.9</v>
      </c>
      <c r="Q18" s="59">
        <f t="shared" si="2"/>
        <v>31.4</v>
      </c>
      <c r="R18" s="51">
        <f t="shared" si="3"/>
        <v>52.8</v>
      </c>
    </row>
    <row r="19">
      <c r="A19" s="60" t="s">
        <v>750</v>
      </c>
      <c r="B19" s="57">
        <v>4.0</v>
      </c>
      <c r="C19" s="61">
        <v>0.0</v>
      </c>
      <c r="D19" s="61">
        <v>67.6</v>
      </c>
      <c r="E19" s="61" t="s">
        <v>4212</v>
      </c>
      <c r="F19" s="61">
        <v>8.8</v>
      </c>
      <c r="G19" s="61" t="s">
        <v>4212</v>
      </c>
      <c r="H19" s="61">
        <v>8.8</v>
      </c>
      <c r="I19" s="61">
        <v>3.1</v>
      </c>
      <c r="J19" s="61">
        <v>0.3</v>
      </c>
      <c r="K19" s="61">
        <v>0.2</v>
      </c>
      <c r="L19" s="61">
        <v>49.3</v>
      </c>
      <c r="M19" s="61">
        <v>129.1</v>
      </c>
      <c r="N19" s="61">
        <v>60.2</v>
      </c>
      <c r="O19" s="61">
        <v>189.3</v>
      </c>
      <c r="P19" s="59">
        <f t="shared" si="1"/>
        <v>0</v>
      </c>
      <c r="Q19" s="59">
        <f t="shared" si="2"/>
        <v>11.9</v>
      </c>
      <c r="R19" s="51">
        <f t="shared" si="3"/>
        <v>49.8</v>
      </c>
    </row>
    <row r="20">
      <c r="A20" s="60" t="s">
        <v>818</v>
      </c>
      <c r="B20" s="57">
        <v>6.0</v>
      </c>
      <c r="C20" s="61">
        <v>0.0</v>
      </c>
      <c r="D20" s="61">
        <v>52.4</v>
      </c>
      <c r="E20" s="61">
        <v>0.6</v>
      </c>
      <c r="F20" s="61">
        <v>8.5</v>
      </c>
      <c r="G20" s="61">
        <v>0.1</v>
      </c>
      <c r="H20" s="61">
        <v>9.3</v>
      </c>
      <c r="I20" s="61">
        <v>7.3</v>
      </c>
      <c r="J20" s="61">
        <v>1.9</v>
      </c>
      <c r="K20" s="61">
        <v>0.3</v>
      </c>
      <c r="L20" s="61">
        <v>91.6</v>
      </c>
      <c r="M20" s="61">
        <v>162.7</v>
      </c>
      <c r="N20" s="61">
        <v>175.7</v>
      </c>
      <c r="O20" s="61">
        <v>338.4</v>
      </c>
      <c r="P20" s="59">
        <f t="shared" si="1"/>
        <v>0.6</v>
      </c>
      <c r="Q20" s="59">
        <f t="shared" si="2"/>
        <v>15.9</v>
      </c>
      <c r="R20" s="51">
        <f t="shared" si="3"/>
        <v>93.8</v>
      </c>
    </row>
    <row r="21">
      <c r="A21" s="60" t="s">
        <v>875</v>
      </c>
      <c r="B21" s="57">
        <v>7.0</v>
      </c>
      <c r="C21" s="61">
        <v>0.0</v>
      </c>
      <c r="D21" s="61">
        <v>36.1</v>
      </c>
      <c r="E21" s="61" t="s">
        <v>4212</v>
      </c>
      <c r="F21" s="61">
        <v>1.7</v>
      </c>
      <c r="G21" s="61" t="s">
        <v>4212</v>
      </c>
      <c r="H21" s="61">
        <v>1.7</v>
      </c>
      <c r="I21" s="61">
        <v>0.5</v>
      </c>
      <c r="J21" s="61">
        <v>0.9</v>
      </c>
      <c r="K21" s="61">
        <v>1.0</v>
      </c>
      <c r="L21" s="61">
        <v>107.3</v>
      </c>
      <c r="M21" s="61">
        <v>147.6</v>
      </c>
      <c r="N21" s="61">
        <v>154.4</v>
      </c>
      <c r="O21" s="61">
        <v>302.0</v>
      </c>
      <c r="P21" s="59">
        <f t="shared" si="1"/>
        <v>0</v>
      </c>
      <c r="Q21" s="59">
        <f t="shared" si="2"/>
        <v>2.2</v>
      </c>
      <c r="R21" s="51">
        <f t="shared" si="3"/>
        <v>109.2</v>
      </c>
    </row>
    <row r="22">
      <c r="A22" s="60" t="s">
        <v>923</v>
      </c>
      <c r="B22" s="57">
        <v>1.0</v>
      </c>
      <c r="C22" s="61">
        <v>0.0</v>
      </c>
      <c r="D22" s="61">
        <v>3.2</v>
      </c>
      <c r="E22" s="61">
        <v>26.8</v>
      </c>
      <c r="F22" s="61">
        <v>6.7</v>
      </c>
      <c r="G22" s="61">
        <v>1.1</v>
      </c>
      <c r="H22" s="61">
        <v>34.6</v>
      </c>
      <c r="I22" s="61">
        <v>17.0</v>
      </c>
      <c r="J22" s="61">
        <v>0.1</v>
      </c>
      <c r="K22" s="61">
        <v>0.4</v>
      </c>
      <c r="L22" s="61">
        <v>17.4</v>
      </c>
      <c r="M22" s="61">
        <v>72.7</v>
      </c>
      <c r="N22" s="61">
        <v>14.2</v>
      </c>
      <c r="O22" s="61">
        <v>86.9</v>
      </c>
      <c r="P22" s="59">
        <f t="shared" si="1"/>
        <v>26.8</v>
      </c>
      <c r="Q22" s="59">
        <f t="shared" si="2"/>
        <v>24.8</v>
      </c>
      <c r="R22" s="51">
        <f t="shared" si="3"/>
        <v>17.9</v>
      </c>
    </row>
    <row r="23">
      <c r="A23" s="60" t="s">
        <v>934</v>
      </c>
      <c r="B23" s="57">
        <v>5.0</v>
      </c>
      <c r="C23" s="61">
        <v>0.0</v>
      </c>
      <c r="D23" s="61">
        <v>85.8</v>
      </c>
      <c r="E23" s="61">
        <v>14.6</v>
      </c>
      <c r="F23" s="61">
        <v>6.7</v>
      </c>
      <c r="G23" s="61">
        <v>0.2</v>
      </c>
      <c r="H23" s="61">
        <v>21.4</v>
      </c>
      <c r="I23" s="61">
        <v>4.5</v>
      </c>
      <c r="J23" s="61">
        <v>0.6</v>
      </c>
      <c r="K23" s="61">
        <v>3.3</v>
      </c>
      <c r="L23" s="61">
        <v>95.8</v>
      </c>
      <c r="M23" s="61">
        <v>211.2</v>
      </c>
      <c r="N23" s="61">
        <v>159.6</v>
      </c>
      <c r="O23" s="61">
        <v>370.8</v>
      </c>
      <c r="P23" s="59">
        <f t="shared" si="1"/>
        <v>14.6</v>
      </c>
      <c r="Q23" s="59">
        <f t="shared" si="2"/>
        <v>11.4</v>
      </c>
      <c r="R23" s="51">
        <f t="shared" si="3"/>
        <v>99.7</v>
      </c>
    </row>
    <row r="24">
      <c r="A24" s="60" t="s">
        <v>952</v>
      </c>
      <c r="B24" s="57">
        <v>1.0</v>
      </c>
      <c r="C24" s="61">
        <v>0.0</v>
      </c>
      <c r="D24" s="61">
        <v>135.5</v>
      </c>
      <c r="E24" s="61">
        <v>70.7</v>
      </c>
      <c r="F24" s="61">
        <v>7.9</v>
      </c>
      <c r="G24" s="61">
        <v>0.2</v>
      </c>
      <c r="H24" s="61">
        <v>78.8</v>
      </c>
      <c r="I24" s="61">
        <v>7.8</v>
      </c>
      <c r="J24" s="61">
        <v>0.1</v>
      </c>
      <c r="K24" s="61">
        <v>4.9</v>
      </c>
      <c r="L24" s="61">
        <v>68.3</v>
      </c>
      <c r="M24" s="61">
        <v>295.3</v>
      </c>
      <c r="N24" s="61">
        <v>98.6</v>
      </c>
      <c r="O24" s="61">
        <v>393.8</v>
      </c>
      <c r="P24" s="59">
        <f t="shared" si="1"/>
        <v>70.7</v>
      </c>
      <c r="Q24" s="59">
        <f t="shared" si="2"/>
        <v>15.9</v>
      </c>
      <c r="R24" s="51">
        <f t="shared" si="3"/>
        <v>73.3</v>
      </c>
    </row>
    <row r="25">
      <c r="A25" s="60" t="s">
        <v>963</v>
      </c>
      <c r="B25" s="57">
        <v>3.0</v>
      </c>
      <c r="C25" s="61">
        <v>0.0</v>
      </c>
      <c r="D25" s="61">
        <v>347.8</v>
      </c>
      <c r="E25" s="61">
        <v>3.1</v>
      </c>
      <c r="F25" s="61">
        <v>33.7</v>
      </c>
      <c r="G25" s="61">
        <v>0.1</v>
      </c>
      <c r="H25" s="61">
        <v>36.9</v>
      </c>
      <c r="I25" s="61">
        <v>26.6</v>
      </c>
      <c r="J25" s="61">
        <v>4.3</v>
      </c>
      <c r="K25" s="61">
        <v>1.0</v>
      </c>
      <c r="L25" s="61">
        <v>119.5</v>
      </c>
      <c r="M25" s="61">
        <v>536.1</v>
      </c>
      <c r="N25" s="61">
        <v>217.8</v>
      </c>
      <c r="O25" s="61">
        <v>753.9</v>
      </c>
      <c r="P25" s="59">
        <f t="shared" si="1"/>
        <v>3.1</v>
      </c>
      <c r="Q25" s="59">
        <f t="shared" si="2"/>
        <v>60.4</v>
      </c>
      <c r="R25" s="51">
        <f t="shared" si="3"/>
        <v>124.8</v>
      </c>
    </row>
    <row r="26">
      <c r="A26" s="60" t="s">
        <v>1026</v>
      </c>
      <c r="B26" s="57">
        <v>4.0</v>
      </c>
      <c r="C26" s="61">
        <v>0.0</v>
      </c>
      <c r="D26" s="61">
        <v>158.4</v>
      </c>
      <c r="E26" s="61">
        <v>4.9</v>
      </c>
      <c r="F26" s="61">
        <v>29.8</v>
      </c>
      <c r="G26" s="61">
        <v>0.1</v>
      </c>
      <c r="H26" s="61">
        <v>34.7</v>
      </c>
      <c r="I26" s="61">
        <v>15.1</v>
      </c>
      <c r="J26" s="61">
        <v>1.1</v>
      </c>
      <c r="K26" s="61">
        <v>0.7</v>
      </c>
      <c r="L26" s="61">
        <v>79.9</v>
      </c>
      <c r="M26" s="61">
        <v>290.0</v>
      </c>
      <c r="N26" s="61">
        <v>112.4</v>
      </c>
      <c r="O26" s="61">
        <v>402.4</v>
      </c>
      <c r="P26" s="59">
        <f t="shared" si="1"/>
        <v>4.9</v>
      </c>
      <c r="Q26" s="59">
        <f t="shared" si="2"/>
        <v>45</v>
      </c>
      <c r="R26" s="51">
        <f t="shared" si="3"/>
        <v>81.7</v>
      </c>
    </row>
    <row r="27">
      <c r="A27" s="60" t="s">
        <v>255</v>
      </c>
      <c r="B27" s="57">
        <v>6.0</v>
      </c>
      <c r="C27" s="61">
        <v>0.0</v>
      </c>
      <c r="D27" s="61">
        <v>23.1</v>
      </c>
      <c r="E27" s="61" t="s">
        <v>4212</v>
      </c>
      <c r="F27" s="61">
        <v>5.2</v>
      </c>
      <c r="G27" s="61" t="s">
        <v>4212</v>
      </c>
      <c r="H27" s="61">
        <v>5.2</v>
      </c>
      <c r="I27" s="61">
        <v>1.1</v>
      </c>
      <c r="J27" s="61">
        <v>0.2</v>
      </c>
      <c r="K27" s="61">
        <v>0.1</v>
      </c>
      <c r="L27" s="61">
        <v>64.5</v>
      </c>
      <c r="M27" s="61">
        <v>94.2</v>
      </c>
      <c r="N27" s="61">
        <v>97.5</v>
      </c>
      <c r="O27" s="61">
        <v>191.6</v>
      </c>
      <c r="P27" s="59">
        <f t="shared" si="1"/>
        <v>0</v>
      </c>
      <c r="Q27" s="59">
        <f t="shared" si="2"/>
        <v>6.3</v>
      </c>
      <c r="R27" s="51">
        <f t="shared" si="3"/>
        <v>64.8</v>
      </c>
    </row>
    <row r="28">
      <c r="A28" s="60" t="s">
        <v>1121</v>
      </c>
      <c r="B28" s="57">
        <v>4.0</v>
      </c>
      <c r="C28" s="61">
        <v>0.0</v>
      </c>
      <c r="D28" s="61">
        <v>105.8</v>
      </c>
      <c r="E28" s="61">
        <v>0.2</v>
      </c>
      <c r="F28" s="61">
        <v>19.7</v>
      </c>
      <c r="G28" s="61" t="s">
        <v>4212</v>
      </c>
      <c r="H28" s="61">
        <v>19.9</v>
      </c>
      <c r="I28" s="61">
        <v>15.2</v>
      </c>
      <c r="J28" s="61">
        <v>0.4</v>
      </c>
      <c r="K28" s="61">
        <v>1.2</v>
      </c>
      <c r="L28" s="61">
        <v>127.1</v>
      </c>
      <c r="M28" s="61">
        <v>269.5</v>
      </c>
      <c r="N28" s="61">
        <v>243.1</v>
      </c>
      <c r="O28" s="61">
        <v>512.6</v>
      </c>
      <c r="P28" s="59">
        <f t="shared" si="1"/>
        <v>0.2</v>
      </c>
      <c r="Q28" s="59">
        <f t="shared" si="2"/>
        <v>34.9</v>
      </c>
      <c r="R28" s="51">
        <f t="shared" si="3"/>
        <v>128.7</v>
      </c>
    </row>
    <row r="29">
      <c r="A29" s="60" t="s">
        <v>1162</v>
      </c>
      <c r="B29" s="57">
        <v>8.0</v>
      </c>
      <c r="C29" s="61">
        <v>0.0</v>
      </c>
      <c r="D29" s="61">
        <v>24.5</v>
      </c>
      <c r="E29" s="61">
        <v>0.4</v>
      </c>
      <c r="F29" s="61">
        <v>10.0</v>
      </c>
      <c r="G29" s="61" t="s">
        <v>4212</v>
      </c>
      <c r="H29" s="61">
        <v>10.5</v>
      </c>
      <c r="I29" s="61">
        <v>11.9</v>
      </c>
      <c r="J29" s="61">
        <v>0.1</v>
      </c>
      <c r="K29" s="61">
        <v>0.1</v>
      </c>
      <c r="L29" s="61">
        <v>20.1</v>
      </c>
      <c r="M29" s="61">
        <v>67.2</v>
      </c>
      <c r="N29" s="61">
        <v>23.6</v>
      </c>
      <c r="O29" s="61">
        <v>90.8</v>
      </c>
      <c r="P29" s="59">
        <f t="shared" si="1"/>
        <v>0.4</v>
      </c>
      <c r="Q29" s="59">
        <f t="shared" si="2"/>
        <v>21.9</v>
      </c>
      <c r="R29" s="51">
        <f t="shared" si="3"/>
        <v>20.3</v>
      </c>
    </row>
    <row r="30">
      <c r="A30" s="60" t="s">
        <v>1198</v>
      </c>
      <c r="B30" s="57">
        <v>4.0</v>
      </c>
      <c r="C30" s="61">
        <v>0.0</v>
      </c>
      <c r="D30" s="61">
        <v>41.6</v>
      </c>
      <c r="E30" s="61">
        <v>0.1</v>
      </c>
      <c r="F30" s="61">
        <v>5.8</v>
      </c>
      <c r="G30" s="61" t="s">
        <v>4212</v>
      </c>
      <c r="H30" s="61">
        <v>5.9</v>
      </c>
      <c r="I30" s="61">
        <v>1.7</v>
      </c>
      <c r="J30" s="61">
        <v>0.5</v>
      </c>
      <c r="K30" s="61">
        <v>0.1</v>
      </c>
      <c r="L30" s="61">
        <v>37.5</v>
      </c>
      <c r="M30" s="61">
        <v>87.2</v>
      </c>
      <c r="N30" s="61">
        <v>55.8</v>
      </c>
      <c r="O30" s="61">
        <v>143.0</v>
      </c>
      <c r="P30" s="59">
        <f t="shared" si="1"/>
        <v>0.1</v>
      </c>
      <c r="Q30" s="59">
        <f t="shared" si="2"/>
        <v>7.5</v>
      </c>
      <c r="R30" s="51">
        <f t="shared" si="3"/>
        <v>38.1</v>
      </c>
    </row>
    <row r="31">
      <c r="A31" s="60" t="s">
        <v>256</v>
      </c>
      <c r="B31" s="57">
        <v>8.0</v>
      </c>
      <c r="C31" s="61">
        <v>0.0</v>
      </c>
      <c r="D31" s="61">
        <v>49.1</v>
      </c>
      <c r="E31" s="61">
        <v>0.3</v>
      </c>
      <c r="F31" s="61">
        <v>2.2</v>
      </c>
      <c r="G31" s="61" t="s">
        <v>4212</v>
      </c>
      <c r="H31" s="61">
        <v>2.5</v>
      </c>
      <c r="I31" s="61">
        <v>1.9</v>
      </c>
      <c r="J31" s="61">
        <v>0.3</v>
      </c>
      <c r="K31" s="61">
        <v>5.2</v>
      </c>
      <c r="L31" s="61">
        <v>48.8</v>
      </c>
      <c r="M31" s="61">
        <v>107.9</v>
      </c>
      <c r="N31" s="61">
        <v>49.4</v>
      </c>
      <c r="O31" s="61">
        <v>157.3</v>
      </c>
      <c r="P31" s="59">
        <f t="shared" si="1"/>
        <v>0.3</v>
      </c>
      <c r="Q31" s="59">
        <f t="shared" si="2"/>
        <v>4.1</v>
      </c>
      <c r="R31" s="51">
        <f t="shared" si="3"/>
        <v>54.3</v>
      </c>
    </row>
    <row r="32">
      <c r="A32" s="60" t="s">
        <v>1251</v>
      </c>
      <c r="B32" s="57">
        <v>1.0</v>
      </c>
      <c r="C32" s="61">
        <v>0.0</v>
      </c>
      <c r="D32" s="61">
        <v>7.7</v>
      </c>
      <c r="E32" s="61">
        <v>19.1</v>
      </c>
      <c r="F32" s="61">
        <v>10.9</v>
      </c>
      <c r="G32" s="61">
        <v>0.4</v>
      </c>
      <c r="H32" s="61">
        <v>30.3</v>
      </c>
      <c r="I32" s="61">
        <v>9.8</v>
      </c>
      <c r="J32" s="61" t="s">
        <v>4212</v>
      </c>
      <c r="K32" s="61">
        <v>0.5</v>
      </c>
      <c r="L32" s="61">
        <v>16.4</v>
      </c>
      <c r="M32" s="61">
        <v>64.8</v>
      </c>
      <c r="N32" s="61">
        <v>29.3</v>
      </c>
      <c r="O32" s="61">
        <v>94.1</v>
      </c>
      <c r="P32" s="59">
        <f t="shared" si="1"/>
        <v>19.1</v>
      </c>
      <c r="Q32" s="59">
        <f t="shared" si="2"/>
        <v>21.1</v>
      </c>
      <c r="R32" s="51">
        <f t="shared" si="3"/>
        <v>16.9</v>
      </c>
    </row>
    <row r="33">
      <c r="A33" s="60" t="s">
        <v>1259</v>
      </c>
      <c r="B33" s="57">
        <v>2.0</v>
      </c>
      <c r="C33" s="61">
        <v>0.0</v>
      </c>
      <c r="D33" s="61">
        <v>248.0</v>
      </c>
      <c r="E33" s="61">
        <v>24.5</v>
      </c>
      <c r="F33" s="61">
        <v>3.6</v>
      </c>
      <c r="G33" s="61" t="s">
        <v>4212</v>
      </c>
      <c r="H33" s="61">
        <v>28.2</v>
      </c>
      <c r="I33" s="61">
        <v>2.3</v>
      </c>
      <c r="J33" s="61">
        <v>0.5</v>
      </c>
      <c r="K33" s="61">
        <v>7.1</v>
      </c>
      <c r="L33" s="61">
        <v>102.6</v>
      </c>
      <c r="M33" s="61">
        <v>388.6</v>
      </c>
      <c r="N33" s="61">
        <v>178.2</v>
      </c>
      <c r="O33" s="61">
        <v>566.8</v>
      </c>
      <c r="P33" s="59">
        <f t="shared" si="1"/>
        <v>24.5</v>
      </c>
      <c r="Q33" s="59">
        <f t="shared" si="2"/>
        <v>5.9</v>
      </c>
      <c r="R33" s="51">
        <f t="shared" si="3"/>
        <v>110.2</v>
      </c>
    </row>
    <row r="34">
      <c r="A34" s="60" t="s">
        <v>1271</v>
      </c>
      <c r="B34" s="57">
        <v>8.0</v>
      </c>
      <c r="C34" s="61">
        <v>0.0</v>
      </c>
      <c r="D34" s="61">
        <v>37.8</v>
      </c>
      <c r="E34" s="61" t="s">
        <v>4212</v>
      </c>
      <c r="F34" s="61">
        <v>5.0</v>
      </c>
      <c r="G34" s="61" t="s">
        <v>4212</v>
      </c>
      <c r="H34" s="61">
        <v>5.0</v>
      </c>
      <c r="I34" s="61">
        <v>10.3</v>
      </c>
      <c r="J34" s="61">
        <v>0.1</v>
      </c>
      <c r="K34" s="61">
        <v>1.7</v>
      </c>
      <c r="L34" s="61">
        <v>24.8</v>
      </c>
      <c r="M34" s="61">
        <v>79.7</v>
      </c>
      <c r="N34" s="61">
        <v>28.1</v>
      </c>
      <c r="O34" s="61">
        <v>107.9</v>
      </c>
      <c r="P34" s="59">
        <f t="shared" si="1"/>
        <v>0</v>
      </c>
      <c r="Q34" s="59">
        <f t="shared" si="2"/>
        <v>15.3</v>
      </c>
      <c r="R34" s="51">
        <f t="shared" si="3"/>
        <v>26.6</v>
      </c>
    </row>
    <row r="35">
      <c r="A35" s="60" t="s">
        <v>1296</v>
      </c>
      <c r="B35" s="57">
        <v>2.0</v>
      </c>
      <c r="C35" s="61">
        <v>0.0</v>
      </c>
      <c r="D35" s="61">
        <v>464.2</v>
      </c>
      <c r="E35" s="61">
        <v>103.6</v>
      </c>
      <c r="F35" s="61">
        <v>24.2</v>
      </c>
      <c r="G35" s="61">
        <v>2.2</v>
      </c>
      <c r="H35" s="61">
        <v>130.0</v>
      </c>
      <c r="I35" s="61">
        <v>26.1</v>
      </c>
      <c r="J35" s="61">
        <v>0.4</v>
      </c>
      <c r="K35" s="61">
        <v>6.6</v>
      </c>
      <c r="L35" s="61">
        <v>178.2</v>
      </c>
      <c r="M35" s="61">
        <v>805.2</v>
      </c>
      <c r="N35" s="61">
        <v>219.6</v>
      </c>
      <c r="O35" s="62">
        <v>1024.8</v>
      </c>
      <c r="P35" s="59">
        <f t="shared" si="1"/>
        <v>103.6</v>
      </c>
      <c r="Q35" s="59">
        <f t="shared" si="2"/>
        <v>52.5</v>
      </c>
      <c r="R35" s="51">
        <f t="shared" si="3"/>
        <v>185.2</v>
      </c>
    </row>
    <row r="36">
      <c r="A36" s="60" t="s">
        <v>1326</v>
      </c>
      <c r="B36" s="57">
        <v>5.0</v>
      </c>
      <c r="C36" s="61">
        <v>0.0</v>
      </c>
      <c r="D36" s="61">
        <v>74.1</v>
      </c>
      <c r="E36" s="61">
        <v>5.5</v>
      </c>
      <c r="F36" s="61">
        <v>16.7</v>
      </c>
      <c r="G36" s="61">
        <v>0.7</v>
      </c>
      <c r="H36" s="61">
        <v>23.0</v>
      </c>
      <c r="I36" s="61">
        <v>6.8</v>
      </c>
      <c r="J36" s="61">
        <v>1.0</v>
      </c>
      <c r="K36" s="61">
        <v>1.7</v>
      </c>
      <c r="L36" s="61">
        <v>213.1</v>
      </c>
      <c r="M36" s="61">
        <v>319.7</v>
      </c>
      <c r="N36" s="61">
        <v>352.9</v>
      </c>
      <c r="O36" s="61">
        <v>672.6</v>
      </c>
      <c r="P36" s="59">
        <f t="shared" si="1"/>
        <v>5.5</v>
      </c>
      <c r="Q36" s="59">
        <f t="shared" si="2"/>
        <v>24.2</v>
      </c>
      <c r="R36" s="51">
        <f t="shared" si="3"/>
        <v>215.8</v>
      </c>
    </row>
    <row r="37">
      <c r="A37" s="60" t="s">
        <v>1390</v>
      </c>
      <c r="B37" s="57">
        <v>4.0</v>
      </c>
      <c r="C37" s="61">
        <v>0.0</v>
      </c>
      <c r="D37" s="61">
        <v>14.8</v>
      </c>
      <c r="E37" s="61">
        <v>0.9</v>
      </c>
      <c r="F37" s="61">
        <v>6.3</v>
      </c>
      <c r="G37" s="61" t="s">
        <v>4212</v>
      </c>
      <c r="H37" s="61">
        <v>7.2</v>
      </c>
      <c r="I37" s="61">
        <v>0.7</v>
      </c>
      <c r="J37" s="61">
        <v>0.5</v>
      </c>
      <c r="K37" s="61" t="s">
        <v>4212</v>
      </c>
      <c r="L37" s="61">
        <v>18.0</v>
      </c>
      <c r="M37" s="61">
        <v>40.4</v>
      </c>
      <c r="N37" s="61">
        <v>23.5</v>
      </c>
      <c r="O37" s="61">
        <v>63.9</v>
      </c>
      <c r="P37" s="59">
        <f t="shared" si="1"/>
        <v>0.9</v>
      </c>
      <c r="Q37" s="59">
        <f t="shared" si="2"/>
        <v>7</v>
      </c>
      <c r="R37" s="51">
        <f t="shared" si="3"/>
        <v>18.5</v>
      </c>
    </row>
    <row r="38">
      <c r="A38" s="60" t="s">
        <v>683</v>
      </c>
      <c r="B38" s="57">
        <v>3.0</v>
      </c>
      <c r="C38" s="61">
        <v>0.0</v>
      </c>
      <c r="D38" s="61">
        <v>313.4</v>
      </c>
      <c r="E38" s="61">
        <v>8.0</v>
      </c>
      <c r="F38" s="61">
        <v>19.8</v>
      </c>
      <c r="G38" s="61">
        <v>0.3</v>
      </c>
      <c r="H38" s="61">
        <v>28.0</v>
      </c>
      <c r="I38" s="61">
        <v>17.8</v>
      </c>
      <c r="J38" s="61">
        <v>2.6</v>
      </c>
      <c r="K38" s="61">
        <v>0.8</v>
      </c>
      <c r="L38" s="61">
        <v>181.9</v>
      </c>
      <c r="M38" s="61">
        <v>544.0</v>
      </c>
      <c r="N38" s="61">
        <v>300.5</v>
      </c>
      <c r="O38" s="61">
        <v>844.5</v>
      </c>
      <c r="P38" s="59">
        <f t="shared" si="1"/>
        <v>8</v>
      </c>
      <c r="Q38" s="59">
        <f t="shared" si="2"/>
        <v>37.9</v>
      </c>
      <c r="R38" s="51">
        <f t="shared" si="3"/>
        <v>185.3</v>
      </c>
    </row>
    <row r="39">
      <c r="A39" s="60" t="s">
        <v>1457</v>
      </c>
      <c r="B39" s="57">
        <v>7.0</v>
      </c>
      <c r="C39" s="61">
        <v>0.0</v>
      </c>
      <c r="D39" s="61">
        <v>63.3</v>
      </c>
      <c r="E39" s="61" t="s">
        <v>4212</v>
      </c>
      <c r="F39" s="61">
        <v>8.4</v>
      </c>
      <c r="G39" s="61" t="s">
        <v>4212</v>
      </c>
      <c r="H39" s="61">
        <v>8.4</v>
      </c>
      <c r="I39" s="61">
        <v>3.4</v>
      </c>
      <c r="J39" s="61" t="s">
        <v>4212</v>
      </c>
      <c r="K39" s="61">
        <v>0.3</v>
      </c>
      <c r="L39" s="61">
        <v>86.9</v>
      </c>
      <c r="M39" s="61">
        <v>162.3</v>
      </c>
      <c r="N39" s="61">
        <v>82.9</v>
      </c>
      <c r="O39" s="61">
        <v>245.2</v>
      </c>
      <c r="P39" s="59">
        <f t="shared" si="1"/>
        <v>0</v>
      </c>
      <c r="Q39" s="59">
        <f t="shared" si="2"/>
        <v>11.8</v>
      </c>
      <c r="R39" s="51">
        <f t="shared" si="3"/>
        <v>87.2</v>
      </c>
    </row>
    <row r="40">
      <c r="A40" s="60" t="s">
        <v>1144</v>
      </c>
      <c r="B40" s="57">
        <v>9.0</v>
      </c>
      <c r="C40" s="61">
        <v>0.0</v>
      </c>
      <c r="D40" s="61">
        <v>52.6</v>
      </c>
      <c r="E40" s="61">
        <v>1.9</v>
      </c>
      <c r="F40" s="61">
        <v>2.5</v>
      </c>
      <c r="G40" s="61">
        <v>0.1</v>
      </c>
      <c r="H40" s="61">
        <v>4.5</v>
      </c>
      <c r="I40" s="61">
        <v>18.4</v>
      </c>
      <c r="J40" s="61">
        <v>0.4</v>
      </c>
      <c r="K40" s="61">
        <v>2.3</v>
      </c>
      <c r="L40" s="61">
        <v>70.7</v>
      </c>
      <c r="M40" s="61">
        <v>148.8</v>
      </c>
      <c r="N40" s="61">
        <v>32.1</v>
      </c>
      <c r="O40" s="61">
        <v>180.9</v>
      </c>
      <c r="P40" s="59">
        <f t="shared" si="1"/>
        <v>1.9</v>
      </c>
      <c r="Q40" s="59">
        <f t="shared" si="2"/>
        <v>21</v>
      </c>
      <c r="R40" s="51">
        <f t="shared" si="3"/>
        <v>73.4</v>
      </c>
    </row>
    <row r="41">
      <c r="A41" s="60" t="s">
        <v>1514</v>
      </c>
      <c r="B41" s="57">
        <v>2.0</v>
      </c>
      <c r="C41" s="61">
        <v>0.0</v>
      </c>
      <c r="D41" s="61">
        <v>246.5</v>
      </c>
      <c r="E41" s="61">
        <v>78.3</v>
      </c>
      <c r="F41" s="61">
        <v>18.8</v>
      </c>
      <c r="G41" s="61">
        <v>1.0</v>
      </c>
      <c r="H41" s="61">
        <v>98.0</v>
      </c>
      <c r="I41" s="61">
        <v>27.1</v>
      </c>
      <c r="J41" s="61">
        <v>1.3</v>
      </c>
      <c r="K41" s="61">
        <v>2.5</v>
      </c>
      <c r="L41" s="61">
        <v>192.5</v>
      </c>
      <c r="M41" s="61">
        <v>567.7</v>
      </c>
      <c r="N41" s="61">
        <v>313.0</v>
      </c>
      <c r="O41" s="61">
        <v>880.7</v>
      </c>
      <c r="P41" s="59">
        <f t="shared" si="1"/>
        <v>78.3</v>
      </c>
      <c r="Q41" s="59">
        <f t="shared" si="2"/>
        <v>46.9</v>
      </c>
      <c r="R41" s="51">
        <f t="shared" si="3"/>
        <v>196.3</v>
      </c>
    </row>
    <row r="42">
      <c r="A42" s="60" t="s">
        <v>1546</v>
      </c>
      <c r="B42" s="57">
        <v>1.0</v>
      </c>
      <c r="C42" s="61">
        <v>0.0</v>
      </c>
      <c r="D42" s="61">
        <v>18.8</v>
      </c>
      <c r="E42" s="61">
        <v>13.5</v>
      </c>
      <c r="F42" s="61">
        <v>1.6</v>
      </c>
      <c r="G42" s="61" t="s">
        <v>4212</v>
      </c>
      <c r="H42" s="61">
        <v>15.2</v>
      </c>
      <c r="I42" s="61">
        <v>1.2</v>
      </c>
      <c r="J42" s="61">
        <v>0.1</v>
      </c>
      <c r="K42" s="61">
        <v>0.5</v>
      </c>
      <c r="L42" s="61">
        <v>10.8</v>
      </c>
      <c r="M42" s="61">
        <v>46.5</v>
      </c>
      <c r="N42" s="61">
        <v>14.0</v>
      </c>
      <c r="O42" s="61">
        <v>60.5</v>
      </c>
      <c r="P42" s="59">
        <f t="shared" si="1"/>
        <v>13.5</v>
      </c>
      <c r="Q42" s="59">
        <f t="shared" si="2"/>
        <v>2.8</v>
      </c>
      <c r="R42" s="51">
        <f t="shared" si="3"/>
        <v>11.4</v>
      </c>
    </row>
    <row r="43">
      <c r="A43" s="60" t="s">
        <v>1550</v>
      </c>
      <c r="B43" s="57">
        <v>5.0</v>
      </c>
      <c r="C43" s="61">
        <v>0.0</v>
      </c>
      <c r="D43" s="61">
        <v>34.5</v>
      </c>
      <c r="E43" s="61">
        <v>0.5</v>
      </c>
      <c r="F43" s="61">
        <v>4.1</v>
      </c>
      <c r="G43" s="61">
        <v>0.1</v>
      </c>
      <c r="H43" s="61">
        <v>4.8</v>
      </c>
      <c r="I43" s="61">
        <v>1.3</v>
      </c>
      <c r="J43" s="61">
        <v>0.6</v>
      </c>
      <c r="K43" s="61">
        <v>1.3</v>
      </c>
      <c r="L43" s="61">
        <v>110.2</v>
      </c>
      <c r="M43" s="61">
        <v>152.6</v>
      </c>
      <c r="N43" s="61">
        <v>221.7</v>
      </c>
      <c r="O43" s="61">
        <v>374.4</v>
      </c>
      <c r="P43" s="59">
        <f t="shared" si="1"/>
        <v>0.5</v>
      </c>
      <c r="Q43" s="59">
        <f t="shared" si="2"/>
        <v>5.5</v>
      </c>
      <c r="R43" s="51">
        <f t="shared" si="3"/>
        <v>112.1</v>
      </c>
    </row>
    <row r="44">
      <c r="A44" s="60" t="s">
        <v>1578</v>
      </c>
      <c r="B44" s="57">
        <v>4.0</v>
      </c>
      <c r="C44" s="61">
        <v>0.0</v>
      </c>
      <c r="D44" s="61">
        <v>15.7</v>
      </c>
      <c r="E44" s="61">
        <v>0.6</v>
      </c>
      <c r="F44" s="61">
        <v>4.3</v>
      </c>
      <c r="G44" s="61" t="s">
        <v>4212</v>
      </c>
      <c r="H44" s="61">
        <v>4.9</v>
      </c>
      <c r="I44" s="61">
        <v>1.9</v>
      </c>
      <c r="J44" s="61">
        <v>0.6</v>
      </c>
      <c r="K44" s="61" t="s">
        <v>4212</v>
      </c>
      <c r="L44" s="61">
        <v>18.2</v>
      </c>
      <c r="M44" s="61">
        <v>41.3</v>
      </c>
      <c r="N44" s="61">
        <v>7.7</v>
      </c>
      <c r="O44" s="61">
        <v>49.0</v>
      </c>
      <c r="P44" s="59">
        <f t="shared" si="1"/>
        <v>0.6</v>
      </c>
      <c r="Q44" s="59">
        <f t="shared" si="2"/>
        <v>6.2</v>
      </c>
      <c r="R44" s="51">
        <f t="shared" si="3"/>
        <v>18.8</v>
      </c>
    </row>
    <row r="45">
      <c r="A45" s="60" t="s">
        <v>1616</v>
      </c>
      <c r="B45" s="57">
        <v>6.0</v>
      </c>
      <c r="C45" s="61">
        <v>0.0</v>
      </c>
      <c r="D45" s="61">
        <v>75.8</v>
      </c>
      <c r="E45" s="61">
        <v>0.3</v>
      </c>
      <c r="F45" s="61">
        <v>6.7</v>
      </c>
      <c r="G45" s="61">
        <v>0.2</v>
      </c>
      <c r="H45" s="61">
        <v>7.2</v>
      </c>
      <c r="I45" s="61">
        <v>5.8</v>
      </c>
      <c r="J45" s="61">
        <v>0.2</v>
      </c>
      <c r="K45" s="61">
        <v>0.1</v>
      </c>
      <c r="L45" s="61">
        <v>148.8</v>
      </c>
      <c r="M45" s="61">
        <v>237.9</v>
      </c>
      <c r="N45" s="61">
        <v>267.2</v>
      </c>
      <c r="O45" s="61">
        <v>505.1</v>
      </c>
      <c r="P45" s="59">
        <f t="shared" si="1"/>
        <v>0.3</v>
      </c>
      <c r="Q45" s="59">
        <f t="shared" si="2"/>
        <v>12.7</v>
      </c>
      <c r="R45" s="51">
        <f t="shared" si="3"/>
        <v>149.1</v>
      </c>
    </row>
    <row r="46">
      <c r="A46" s="60" t="s">
        <v>1159</v>
      </c>
      <c r="B46" s="57">
        <v>7.0</v>
      </c>
      <c r="C46" s="61">
        <v>0.0</v>
      </c>
      <c r="D46" s="61">
        <v>237.1</v>
      </c>
      <c r="E46" s="61" t="s">
        <v>4212</v>
      </c>
      <c r="F46" s="61">
        <v>19.3</v>
      </c>
      <c r="G46" s="61" t="s">
        <v>4212</v>
      </c>
      <c r="H46" s="61">
        <v>19.3</v>
      </c>
      <c r="I46" s="61">
        <v>2.2</v>
      </c>
      <c r="J46" s="61">
        <v>1.6</v>
      </c>
      <c r="K46" s="61">
        <v>9.4</v>
      </c>
      <c r="L46" s="61">
        <v>582.1</v>
      </c>
      <c r="M46" s="61">
        <v>851.4</v>
      </c>
      <c r="N46" s="61">
        <v>781.9</v>
      </c>
      <c r="O46" s="62">
        <v>1633.4</v>
      </c>
      <c r="P46" s="59">
        <f t="shared" si="1"/>
        <v>0</v>
      </c>
      <c r="Q46" s="59">
        <f t="shared" si="2"/>
        <v>21.5</v>
      </c>
      <c r="R46" s="51">
        <f t="shared" si="3"/>
        <v>593.1</v>
      </c>
    </row>
    <row r="47">
      <c r="A47" s="60" t="s">
        <v>1802</v>
      </c>
      <c r="B47" s="57">
        <v>8.0</v>
      </c>
      <c r="C47" s="61">
        <v>0.0</v>
      </c>
      <c r="D47" s="61">
        <v>82.4</v>
      </c>
      <c r="E47" s="61">
        <v>0.1</v>
      </c>
      <c r="F47" s="61">
        <v>2.2</v>
      </c>
      <c r="G47" s="61" t="s">
        <v>4212</v>
      </c>
      <c r="H47" s="61">
        <v>2.4</v>
      </c>
      <c r="I47" s="61">
        <v>2.6</v>
      </c>
      <c r="J47" s="61">
        <v>0.1</v>
      </c>
      <c r="K47" s="61">
        <v>2.2</v>
      </c>
      <c r="L47" s="61">
        <v>38.7</v>
      </c>
      <c r="M47" s="61">
        <v>128.4</v>
      </c>
      <c r="N47" s="61">
        <v>63.7</v>
      </c>
      <c r="O47" s="61">
        <v>192.1</v>
      </c>
      <c r="P47" s="59">
        <f t="shared" si="1"/>
        <v>0.1</v>
      </c>
      <c r="Q47" s="59">
        <f t="shared" si="2"/>
        <v>4.8</v>
      </c>
      <c r="R47" s="51">
        <f t="shared" si="3"/>
        <v>41</v>
      </c>
    </row>
    <row r="48">
      <c r="A48" s="60" t="s">
        <v>1819</v>
      </c>
      <c r="B48" s="57">
        <v>1.0</v>
      </c>
      <c r="C48" s="61">
        <v>0.0</v>
      </c>
      <c r="D48" s="61">
        <v>4.1</v>
      </c>
      <c r="E48" s="61">
        <v>9.6</v>
      </c>
      <c r="F48" s="61">
        <v>5.9</v>
      </c>
      <c r="G48" s="61">
        <v>0.3</v>
      </c>
      <c r="H48" s="61">
        <v>15.9</v>
      </c>
      <c r="I48" s="61">
        <v>12.6</v>
      </c>
      <c r="J48" s="61" t="s">
        <v>4212</v>
      </c>
      <c r="K48" s="61">
        <v>0.5</v>
      </c>
      <c r="L48" s="61">
        <v>7.5</v>
      </c>
      <c r="M48" s="61">
        <v>40.6</v>
      </c>
      <c r="N48" s="61">
        <v>0.8</v>
      </c>
      <c r="O48" s="61">
        <v>41.4</v>
      </c>
      <c r="P48" s="59">
        <f t="shared" si="1"/>
        <v>9.6</v>
      </c>
      <c r="Q48" s="59">
        <f t="shared" si="2"/>
        <v>18.8</v>
      </c>
      <c r="R48" s="51">
        <f t="shared" si="3"/>
        <v>8</v>
      </c>
    </row>
    <row r="49">
      <c r="A49" s="60" t="s">
        <v>1828</v>
      </c>
      <c r="B49" s="57">
        <v>5.0</v>
      </c>
      <c r="C49" s="61">
        <v>0.0</v>
      </c>
      <c r="D49" s="61">
        <v>89.0</v>
      </c>
      <c r="E49" s="61">
        <v>12.4</v>
      </c>
      <c r="F49" s="61">
        <v>11.6</v>
      </c>
      <c r="G49" s="61">
        <v>0.4</v>
      </c>
      <c r="H49" s="61">
        <v>24.4</v>
      </c>
      <c r="I49" s="61">
        <v>10.1</v>
      </c>
      <c r="J49" s="61">
        <v>0.8</v>
      </c>
      <c r="K49" s="61">
        <v>1.6</v>
      </c>
      <c r="L49" s="61">
        <v>159.4</v>
      </c>
      <c r="M49" s="61">
        <v>285.2</v>
      </c>
      <c r="N49" s="61">
        <v>259.1</v>
      </c>
      <c r="O49" s="61">
        <v>544.3</v>
      </c>
      <c r="P49" s="59">
        <f t="shared" si="1"/>
        <v>12.4</v>
      </c>
      <c r="Q49" s="59">
        <f t="shared" si="2"/>
        <v>22.1</v>
      </c>
      <c r="R49" s="51">
        <f t="shared" si="3"/>
        <v>161.8</v>
      </c>
    </row>
    <row r="50">
      <c r="A50" s="60" t="s">
        <v>167</v>
      </c>
      <c r="B50" s="57">
        <v>9.0</v>
      </c>
      <c r="C50" s="61">
        <v>0.0</v>
      </c>
      <c r="D50" s="61">
        <v>102.3</v>
      </c>
      <c r="E50" s="61">
        <v>4.1</v>
      </c>
      <c r="F50" s="61">
        <v>8.1</v>
      </c>
      <c r="G50" s="61" t="s">
        <v>4212</v>
      </c>
      <c r="H50" s="61">
        <v>12.2</v>
      </c>
      <c r="I50" s="61">
        <v>23.1</v>
      </c>
      <c r="J50" s="61">
        <v>0.4</v>
      </c>
      <c r="K50" s="61">
        <v>1.3</v>
      </c>
      <c r="L50" s="61">
        <v>135.7</v>
      </c>
      <c r="M50" s="61">
        <v>275.0</v>
      </c>
      <c r="N50" s="61">
        <v>59.7</v>
      </c>
      <c r="O50" s="61">
        <v>334.6</v>
      </c>
      <c r="P50" s="59">
        <f t="shared" si="1"/>
        <v>4.1</v>
      </c>
      <c r="Q50" s="59">
        <f t="shared" si="2"/>
        <v>31.2</v>
      </c>
      <c r="R50" s="51">
        <f t="shared" si="3"/>
        <v>137.4</v>
      </c>
    </row>
    <row r="51">
      <c r="A51" s="60" t="s">
        <v>1924</v>
      </c>
      <c r="B51" s="57">
        <v>5.0</v>
      </c>
      <c r="C51" s="61">
        <v>0.0</v>
      </c>
      <c r="D51" s="61">
        <v>27.2</v>
      </c>
      <c r="E51" s="61">
        <v>1.4</v>
      </c>
      <c r="F51" s="61">
        <v>2.9</v>
      </c>
      <c r="G51" s="61">
        <v>0.1</v>
      </c>
      <c r="H51" s="61">
        <v>4.5</v>
      </c>
      <c r="I51" s="61">
        <v>8.1</v>
      </c>
      <c r="J51" s="61" t="s">
        <v>4212</v>
      </c>
      <c r="K51" s="61">
        <v>0.1</v>
      </c>
      <c r="L51" s="61">
        <v>38.0</v>
      </c>
      <c r="M51" s="61">
        <v>78.0</v>
      </c>
      <c r="N51" s="61">
        <v>75.8</v>
      </c>
      <c r="O51" s="61">
        <v>153.8</v>
      </c>
      <c r="P51" s="59">
        <f t="shared" si="1"/>
        <v>1.4</v>
      </c>
      <c r="Q51" s="59">
        <f t="shared" si="2"/>
        <v>11.1</v>
      </c>
      <c r="R51" s="51">
        <f t="shared" si="3"/>
        <v>38.1</v>
      </c>
    </row>
    <row r="52">
      <c r="A52" s="60" t="s">
        <v>1942</v>
      </c>
      <c r="B52" s="57">
        <v>3.0</v>
      </c>
      <c r="C52" s="61">
        <v>0.0</v>
      </c>
      <c r="D52" s="61">
        <v>156.7</v>
      </c>
      <c r="E52" s="61">
        <v>4.8</v>
      </c>
      <c r="F52" s="61">
        <v>30.0</v>
      </c>
      <c r="G52" s="61">
        <v>0.1</v>
      </c>
      <c r="H52" s="61">
        <v>34.9</v>
      </c>
      <c r="I52" s="61">
        <v>23.1</v>
      </c>
      <c r="J52" s="61">
        <v>0.6</v>
      </c>
      <c r="K52" s="61">
        <v>0.6</v>
      </c>
      <c r="L52" s="61">
        <v>78.1</v>
      </c>
      <c r="M52" s="61">
        <v>294.1</v>
      </c>
      <c r="N52" s="61">
        <v>136.8</v>
      </c>
      <c r="O52" s="61">
        <v>430.9</v>
      </c>
      <c r="P52" s="59">
        <f t="shared" si="1"/>
        <v>4.8</v>
      </c>
      <c r="Q52" s="59">
        <f t="shared" si="2"/>
        <v>53.2</v>
      </c>
      <c r="R52" s="51">
        <f t="shared" si="3"/>
        <v>79.3</v>
      </c>
    </row>
    <row r="53">
      <c r="A53" s="60" t="s">
        <v>1323</v>
      </c>
      <c r="B53" s="57">
        <v>8.0</v>
      </c>
      <c r="C53" s="61">
        <v>0.0</v>
      </c>
      <c r="D53" s="61">
        <v>14.2</v>
      </c>
      <c r="E53" s="61">
        <v>0.1</v>
      </c>
      <c r="F53" s="61">
        <v>3.3</v>
      </c>
      <c r="G53" s="61" t="s">
        <v>4212</v>
      </c>
      <c r="H53" s="61">
        <v>3.5</v>
      </c>
      <c r="I53" s="61">
        <v>4.4</v>
      </c>
      <c r="J53" s="61">
        <v>0.1</v>
      </c>
      <c r="K53" s="61">
        <v>0.1</v>
      </c>
      <c r="L53" s="61">
        <v>10.3</v>
      </c>
      <c r="M53" s="61">
        <v>32.5</v>
      </c>
      <c r="N53" s="61">
        <v>17.8</v>
      </c>
      <c r="O53" s="61">
        <v>50.3</v>
      </c>
      <c r="P53" s="59">
        <f t="shared" si="1"/>
        <v>0.1</v>
      </c>
      <c r="Q53" s="59">
        <f t="shared" si="2"/>
        <v>7.7</v>
      </c>
      <c r="R53" s="51">
        <f t="shared" si="3"/>
        <v>10.5</v>
      </c>
    </row>
    <row r="54">
      <c r="A54" s="60" t="s">
        <v>4213</v>
      </c>
      <c r="B54" s="61"/>
      <c r="C54" s="61">
        <v>0.0</v>
      </c>
      <c r="D54" s="62">
        <v>5175.7</v>
      </c>
      <c r="E54" s="61">
        <v>478.6</v>
      </c>
      <c r="F54" s="61">
        <v>504.3</v>
      </c>
      <c r="G54" s="61">
        <v>8.5</v>
      </c>
      <c r="H54" s="61">
        <v>991.4</v>
      </c>
      <c r="I54" s="61">
        <v>422.5</v>
      </c>
      <c r="J54" s="61">
        <v>39.6</v>
      </c>
      <c r="K54" s="61">
        <v>199.7</v>
      </c>
      <c r="L54" s="62">
        <v>5149.5</v>
      </c>
      <c r="M54" s="62">
        <v>11961.7</v>
      </c>
      <c r="N54" s="62">
        <v>7572.4</v>
      </c>
      <c r="O54" s="62">
        <v>19534.1</v>
      </c>
      <c r="P54" s="59">
        <f>if(E54&gt;=0,E54,0)</f>
        <v>478.6</v>
      </c>
      <c r="Q54" s="64">
        <f t="shared" ref="Q54:R54" si="4">sum(Q3:Q53)</f>
        <v>934.5</v>
      </c>
      <c r="R54" s="51">
        <f t="shared" si="4"/>
        <v>5388.9</v>
      </c>
    </row>
    <row r="55">
      <c r="P55" s="51"/>
      <c r="Q55" s="51"/>
      <c r="R55" s="51"/>
    </row>
    <row r="56">
      <c r="P56" s="51"/>
      <c r="Q56" s="51"/>
      <c r="R56" s="51"/>
    </row>
    <row r="57">
      <c r="P57" s="51"/>
      <c r="Q57" s="51"/>
      <c r="R57" s="51"/>
    </row>
    <row r="58">
      <c r="P58" s="51"/>
      <c r="Q58" s="51"/>
      <c r="R58" s="51"/>
    </row>
    <row r="59">
      <c r="P59" s="51"/>
      <c r="Q59" s="51"/>
      <c r="R59" s="51"/>
    </row>
    <row r="60">
      <c r="P60" s="51"/>
      <c r="Q60" s="51"/>
      <c r="R60" s="51"/>
    </row>
    <row r="61">
      <c r="P61" s="51"/>
      <c r="Q61" s="51"/>
      <c r="R61" s="51"/>
    </row>
    <row r="62">
      <c r="P62" s="51"/>
      <c r="Q62" s="51"/>
      <c r="R62" s="51"/>
    </row>
    <row r="63">
      <c r="P63" s="51"/>
      <c r="Q63" s="51"/>
      <c r="R63" s="51"/>
    </row>
    <row r="64">
      <c r="P64" s="51"/>
      <c r="Q64" s="51"/>
      <c r="R64" s="51"/>
    </row>
    <row r="65">
      <c r="P65" s="51"/>
      <c r="Q65" s="51"/>
      <c r="R65" s="51"/>
    </row>
    <row r="66">
      <c r="P66" s="51"/>
      <c r="Q66" s="51"/>
      <c r="R66" s="51"/>
    </row>
    <row r="67">
      <c r="P67" s="51"/>
      <c r="Q67" s="51"/>
      <c r="R67" s="51"/>
    </row>
    <row r="68">
      <c r="P68" s="51"/>
      <c r="Q68" s="51"/>
      <c r="R68" s="51"/>
    </row>
    <row r="69">
      <c r="P69" s="51"/>
      <c r="Q69" s="51"/>
      <c r="R69" s="51"/>
    </row>
    <row r="70">
      <c r="P70" s="51"/>
      <c r="Q70" s="51"/>
      <c r="R70" s="51"/>
    </row>
    <row r="71">
      <c r="P71" s="51"/>
      <c r="Q71" s="51"/>
      <c r="R71" s="51"/>
    </row>
    <row r="72">
      <c r="P72" s="51"/>
      <c r="Q72" s="51"/>
      <c r="R72" s="51"/>
    </row>
    <row r="73">
      <c r="P73" s="51"/>
      <c r="Q73" s="51"/>
      <c r="R73" s="51"/>
    </row>
    <row r="74">
      <c r="P74" s="51"/>
      <c r="Q74" s="51"/>
      <c r="R74" s="51"/>
    </row>
    <row r="75">
      <c r="P75" s="51"/>
      <c r="Q75" s="51"/>
      <c r="R75" s="51"/>
    </row>
    <row r="76">
      <c r="P76" s="51"/>
      <c r="Q76" s="51"/>
      <c r="R76" s="51"/>
    </row>
    <row r="77">
      <c r="P77" s="51"/>
      <c r="Q77" s="51"/>
      <c r="R77" s="51"/>
    </row>
    <row r="78">
      <c r="P78" s="51"/>
      <c r="Q78" s="51"/>
      <c r="R78" s="51"/>
    </row>
    <row r="79">
      <c r="P79" s="51"/>
      <c r="Q79" s="51"/>
      <c r="R79" s="51"/>
    </row>
    <row r="80">
      <c r="P80" s="51"/>
      <c r="Q80" s="51"/>
      <c r="R80" s="51"/>
    </row>
    <row r="81">
      <c r="P81" s="51"/>
      <c r="Q81" s="51"/>
      <c r="R81" s="51"/>
    </row>
    <row r="82">
      <c r="P82" s="51"/>
      <c r="Q82" s="51"/>
      <c r="R82" s="51"/>
    </row>
    <row r="83">
      <c r="P83" s="51"/>
      <c r="Q83" s="51"/>
      <c r="R83" s="51"/>
    </row>
    <row r="84">
      <c r="P84" s="51"/>
      <c r="Q84" s="51"/>
      <c r="R84" s="51"/>
    </row>
    <row r="85">
      <c r="P85" s="51"/>
      <c r="Q85" s="51"/>
      <c r="R85" s="51"/>
    </row>
    <row r="86">
      <c r="P86" s="51"/>
      <c r="Q86" s="51"/>
      <c r="R86" s="51"/>
    </row>
    <row r="87">
      <c r="P87" s="51"/>
      <c r="Q87" s="51"/>
      <c r="R87" s="51"/>
    </row>
    <row r="88">
      <c r="P88" s="51"/>
      <c r="Q88" s="51"/>
      <c r="R88" s="51"/>
    </row>
    <row r="89">
      <c r="P89" s="51"/>
      <c r="Q89" s="51"/>
      <c r="R89" s="51"/>
    </row>
    <row r="90">
      <c r="P90" s="51"/>
      <c r="Q90" s="51"/>
      <c r="R90" s="51"/>
    </row>
    <row r="91">
      <c r="P91" s="51"/>
      <c r="Q91" s="51"/>
      <c r="R91" s="51"/>
    </row>
    <row r="92">
      <c r="P92" s="51"/>
      <c r="Q92" s="51"/>
      <c r="R92" s="51"/>
    </row>
    <row r="93">
      <c r="P93" s="51"/>
      <c r="Q93" s="51"/>
      <c r="R93" s="51"/>
    </row>
    <row r="94">
      <c r="P94" s="51"/>
      <c r="Q94" s="51"/>
      <c r="R94" s="51"/>
    </row>
    <row r="95">
      <c r="P95" s="51"/>
      <c r="Q95" s="51"/>
      <c r="R95" s="51"/>
    </row>
    <row r="96">
      <c r="P96" s="51"/>
      <c r="Q96" s="51"/>
      <c r="R96" s="51"/>
    </row>
    <row r="97">
      <c r="P97" s="51"/>
      <c r="Q97" s="51"/>
      <c r="R97" s="51"/>
    </row>
    <row r="98">
      <c r="P98" s="51"/>
      <c r="Q98" s="51"/>
      <c r="R98" s="51"/>
    </row>
    <row r="99">
      <c r="P99" s="51"/>
      <c r="Q99" s="51"/>
      <c r="R99" s="51"/>
    </row>
    <row r="100">
      <c r="P100" s="51"/>
      <c r="Q100" s="51"/>
      <c r="R100" s="51"/>
    </row>
    <row r="101">
      <c r="P101" s="51"/>
      <c r="Q101" s="51"/>
      <c r="R101" s="51"/>
    </row>
    <row r="102">
      <c r="P102" s="51"/>
      <c r="Q102" s="51"/>
      <c r="R102" s="51"/>
    </row>
    <row r="103">
      <c r="P103" s="51"/>
      <c r="Q103" s="51"/>
      <c r="R103" s="51"/>
    </row>
    <row r="104">
      <c r="P104" s="51"/>
      <c r="Q104" s="51"/>
      <c r="R104" s="51"/>
    </row>
    <row r="105">
      <c r="P105" s="51"/>
      <c r="Q105" s="51"/>
      <c r="R105" s="51"/>
    </row>
    <row r="106">
      <c r="P106" s="51"/>
      <c r="Q106" s="51"/>
      <c r="R106" s="51"/>
    </row>
    <row r="107">
      <c r="P107" s="51"/>
      <c r="Q107" s="51"/>
      <c r="R107" s="51"/>
    </row>
    <row r="108">
      <c r="P108" s="51"/>
      <c r="Q108" s="51"/>
      <c r="R108" s="51"/>
    </row>
    <row r="109">
      <c r="P109" s="51"/>
      <c r="Q109" s="51"/>
      <c r="R109" s="51"/>
    </row>
    <row r="110">
      <c r="P110" s="51"/>
      <c r="Q110" s="51"/>
      <c r="R110" s="51"/>
    </row>
    <row r="111">
      <c r="P111" s="51"/>
      <c r="Q111" s="51"/>
      <c r="R111" s="51"/>
    </row>
    <row r="112">
      <c r="P112" s="51"/>
      <c r="Q112" s="51"/>
      <c r="R112" s="51"/>
    </row>
    <row r="113">
      <c r="P113" s="51"/>
      <c r="Q113" s="51"/>
      <c r="R113" s="51"/>
    </row>
    <row r="114">
      <c r="P114" s="51"/>
      <c r="Q114" s="51"/>
      <c r="R114" s="51"/>
    </row>
    <row r="115">
      <c r="P115" s="51"/>
      <c r="Q115" s="51"/>
      <c r="R115" s="51"/>
    </row>
    <row r="116">
      <c r="P116" s="51"/>
      <c r="Q116" s="51"/>
      <c r="R116" s="51"/>
    </row>
    <row r="117">
      <c r="P117" s="51"/>
      <c r="Q117" s="51"/>
      <c r="R117" s="51"/>
    </row>
    <row r="118">
      <c r="P118" s="51"/>
      <c r="Q118" s="51"/>
      <c r="R118" s="51"/>
    </row>
    <row r="119">
      <c r="P119" s="51"/>
      <c r="Q119" s="51"/>
      <c r="R119" s="51"/>
    </row>
    <row r="120">
      <c r="P120" s="51"/>
      <c r="Q120" s="51"/>
      <c r="R120" s="51"/>
    </row>
    <row r="121">
      <c r="P121" s="51"/>
      <c r="Q121" s="51"/>
      <c r="R121" s="51"/>
    </row>
    <row r="122">
      <c r="P122" s="51"/>
      <c r="Q122" s="51"/>
      <c r="R122" s="51"/>
    </row>
    <row r="123">
      <c r="P123" s="51"/>
      <c r="Q123" s="51"/>
      <c r="R123" s="51"/>
    </row>
    <row r="124">
      <c r="P124" s="51"/>
      <c r="Q124" s="51"/>
      <c r="R124" s="51"/>
    </row>
    <row r="125">
      <c r="P125" s="51"/>
      <c r="Q125" s="51"/>
      <c r="R125" s="51"/>
    </row>
    <row r="126">
      <c r="P126" s="51"/>
      <c r="Q126" s="51"/>
      <c r="R126" s="51"/>
    </row>
    <row r="127">
      <c r="P127" s="51"/>
      <c r="Q127" s="51"/>
      <c r="R127" s="51"/>
    </row>
    <row r="128">
      <c r="P128" s="51"/>
      <c r="Q128" s="51"/>
      <c r="R128" s="51"/>
    </row>
    <row r="129">
      <c r="P129" s="51"/>
      <c r="Q129" s="51"/>
      <c r="R129" s="51"/>
    </row>
    <row r="130">
      <c r="P130" s="51"/>
      <c r="Q130" s="51"/>
      <c r="R130" s="51"/>
    </row>
    <row r="131">
      <c r="P131" s="51"/>
      <c r="Q131" s="51"/>
      <c r="R131" s="51"/>
    </row>
    <row r="132">
      <c r="P132" s="51"/>
      <c r="Q132" s="51"/>
      <c r="R132" s="51"/>
    </row>
    <row r="133">
      <c r="P133" s="51"/>
      <c r="Q133" s="51"/>
      <c r="R133" s="51"/>
    </row>
    <row r="134">
      <c r="P134" s="51"/>
      <c r="Q134" s="51"/>
      <c r="R134" s="51"/>
    </row>
    <row r="135">
      <c r="P135" s="51"/>
      <c r="Q135" s="51"/>
      <c r="R135" s="51"/>
    </row>
    <row r="136">
      <c r="P136" s="51"/>
      <c r="Q136" s="51"/>
      <c r="R136" s="51"/>
    </row>
    <row r="137">
      <c r="P137" s="51"/>
      <c r="Q137" s="51"/>
      <c r="R137" s="51"/>
    </row>
    <row r="138">
      <c r="P138" s="51"/>
      <c r="Q138" s="51"/>
      <c r="R138" s="51"/>
    </row>
    <row r="139">
      <c r="P139" s="51"/>
      <c r="Q139" s="51"/>
      <c r="R139" s="51"/>
    </row>
    <row r="140">
      <c r="P140" s="51"/>
      <c r="Q140" s="51"/>
      <c r="R140" s="51"/>
    </row>
    <row r="141">
      <c r="P141" s="51"/>
      <c r="Q141" s="51"/>
      <c r="R141" s="51"/>
    </row>
    <row r="142">
      <c r="P142" s="51"/>
      <c r="Q142" s="51"/>
      <c r="R142" s="51"/>
    </row>
    <row r="143">
      <c r="P143" s="51"/>
      <c r="Q143" s="51"/>
      <c r="R143" s="51"/>
    </row>
    <row r="144">
      <c r="P144" s="51"/>
      <c r="Q144" s="51"/>
      <c r="R144" s="51"/>
    </row>
    <row r="145">
      <c r="P145" s="51"/>
      <c r="Q145" s="51"/>
      <c r="R145" s="51"/>
    </row>
    <row r="146">
      <c r="P146" s="51"/>
      <c r="Q146" s="51"/>
      <c r="R146" s="51"/>
    </row>
    <row r="147">
      <c r="P147" s="51"/>
      <c r="Q147" s="51"/>
      <c r="R147" s="51"/>
    </row>
    <row r="148">
      <c r="P148" s="51"/>
      <c r="Q148" s="51"/>
      <c r="R148" s="51"/>
    </row>
    <row r="149">
      <c r="P149" s="51"/>
      <c r="Q149" s="51"/>
      <c r="R149" s="51"/>
    </row>
    <row r="150">
      <c r="P150" s="51"/>
      <c r="Q150" s="51"/>
      <c r="R150" s="51"/>
    </row>
    <row r="151">
      <c r="P151" s="51"/>
      <c r="Q151" s="51"/>
      <c r="R151" s="51"/>
    </row>
    <row r="152">
      <c r="P152" s="51"/>
      <c r="Q152" s="51"/>
      <c r="R152" s="51"/>
    </row>
    <row r="153">
      <c r="P153" s="51"/>
      <c r="Q153" s="51"/>
      <c r="R153" s="51"/>
    </row>
    <row r="154">
      <c r="P154" s="51"/>
      <c r="Q154" s="51"/>
      <c r="R154" s="51"/>
    </row>
    <row r="155">
      <c r="P155" s="51"/>
      <c r="Q155" s="51"/>
      <c r="R155" s="51"/>
    </row>
    <row r="156">
      <c r="P156" s="51"/>
      <c r="Q156" s="51"/>
      <c r="R156" s="51"/>
    </row>
    <row r="157">
      <c r="P157" s="51"/>
      <c r="Q157" s="51"/>
      <c r="R157" s="51"/>
    </row>
    <row r="158">
      <c r="P158" s="51"/>
      <c r="Q158" s="51"/>
      <c r="R158" s="51"/>
    </row>
    <row r="159">
      <c r="P159" s="51"/>
      <c r="Q159" s="51"/>
      <c r="R159" s="51"/>
    </row>
    <row r="160">
      <c r="P160" s="51"/>
      <c r="Q160" s="51"/>
      <c r="R160" s="51"/>
    </row>
    <row r="161">
      <c r="P161" s="51"/>
      <c r="Q161" s="51"/>
      <c r="R161" s="51"/>
    </row>
    <row r="162">
      <c r="P162" s="51"/>
      <c r="Q162" s="51"/>
      <c r="R162" s="51"/>
    </row>
    <row r="163">
      <c r="P163" s="51"/>
      <c r="Q163" s="51"/>
      <c r="R163" s="51"/>
    </row>
    <row r="164">
      <c r="P164" s="51"/>
      <c r="Q164" s="51"/>
      <c r="R164" s="51"/>
    </row>
    <row r="165">
      <c r="P165" s="51"/>
      <c r="Q165" s="51"/>
      <c r="R165" s="51"/>
    </row>
    <row r="166">
      <c r="P166" s="51"/>
      <c r="Q166" s="51"/>
      <c r="R166" s="51"/>
    </row>
    <row r="167">
      <c r="P167" s="51"/>
      <c r="Q167" s="51"/>
      <c r="R167" s="51"/>
    </row>
    <row r="168">
      <c r="P168" s="51"/>
      <c r="Q168" s="51"/>
      <c r="R168" s="51"/>
    </row>
    <row r="169">
      <c r="P169" s="51"/>
      <c r="Q169" s="51"/>
      <c r="R169" s="51"/>
    </row>
    <row r="170">
      <c r="P170" s="51"/>
      <c r="Q170" s="51"/>
      <c r="R170" s="51"/>
    </row>
    <row r="171">
      <c r="P171" s="51"/>
      <c r="Q171" s="51"/>
      <c r="R171" s="51"/>
    </row>
    <row r="172">
      <c r="P172" s="51"/>
      <c r="Q172" s="51"/>
      <c r="R172" s="51"/>
    </row>
    <row r="173">
      <c r="P173" s="51"/>
      <c r="Q173" s="51"/>
      <c r="R173" s="51"/>
    </row>
    <row r="174">
      <c r="P174" s="51"/>
      <c r="Q174" s="51"/>
      <c r="R174" s="51"/>
    </row>
    <row r="175">
      <c r="P175" s="51"/>
      <c r="Q175" s="51"/>
      <c r="R175" s="51"/>
    </row>
    <row r="176">
      <c r="P176" s="51"/>
      <c r="Q176" s="51"/>
      <c r="R176" s="51"/>
    </row>
    <row r="177">
      <c r="P177" s="51"/>
      <c r="Q177" s="51"/>
      <c r="R177" s="51"/>
    </row>
    <row r="178">
      <c r="P178" s="51"/>
      <c r="Q178" s="51"/>
      <c r="R178" s="51"/>
    </row>
    <row r="179">
      <c r="P179" s="51"/>
      <c r="Q179" s="51"/>
      <c r="R179" s="51"/>
    </row>
    <row r="180">
      <c r="P180" s="51"/>
      <c r="Q180" s="51"/>
      <c r="R180" s="51"/>
    </row>
    <row r="181">
      <c r="P181" s="51"/>
      <c r="Q181" s="51"/>
      <c r="R181" s="51"/>
    </row>
    <row r="182">
      <c r="P182" s="51"/>
      <c r="Q182" s="51"/>
      <c r="R182" s="51"/>
    </row>
    <row r="183">
      <c r="P183" s="51"/>
      <c r="Q183" s="51"/>
      <c r="R183" s="51"/>
    </row>
    <row r="184">
      <c r="P184" s="51"/>
      <c r="Q184" s="51"/>
      <c r="R184" s="51"/>
    </row>
    <row r="185">
      <c r="P185" s="51"/>
      <c r="Q185" s="51"/>
      <c r="R185" s="51"/>
    </row>
    <row r="186">
      <c r="P186" s="51"/>
      <c r="Q186" s="51"/>
      <c r="R186" s="51"/>
    </row>
    <row r="187">
      <c r="P187" s="51"/>
      <c r="Q187" s="51"/>
      <c r="R187" s="51"/>
    </row>
    <row r="188">
      <c r="P188" s="51"/>
      <c r="Q188" s="51"/>
      <c r="R188" s="51"/>
    </row>
    <row r="189">
      <c r="P189" s="51"/>
      <c r="Q189" s="51"/>
      <c r="R189" s="51"/>
    </row>
    <row r="190">
      <c r="P190" s="51"/>
      <c r="Q190" s="51"/>
      <c r="R190" s="51"/>
    </row>
    <row r="191">
      <c r="P191" s="51"/>
      <c r="Q191" s="51"/>
      <c r="R191" s="51"/>
    </row>
    <row r="192">
      <c r="P192" s="51"/>
      <c r="Q192" s="51"/>
      <c r="R192" s="51"/>
    </row>
    <row r="193">
      <c r="P193" s="51"/>
      <c r="Q193" s="51"/>
      <c r="R193" s="51"/>
    </row>
    <row r="194">
      <c r="P194" s="51"/>
      <c r="Q194" s="51"/>
      <c r="R194" s="51"/>
    </row>
    <row r="195">
      <c r="P195" s="51"/>
      <c r="Q195" s="51"/>
      <c r="R195" s="51"/>
    </row>
    <row r="196">
      <c r="P196" s="51"/>
      <c r="Q196" s="51"/>
      <c r="R196" s="51"/>
    </row>
    <row r="197">
      <c r="P197" s="51"/>
      <c r="Q197" s="51"/>
      <c r="R197" s="51"/>
    </row>
    <row r="198">
      <c r="P198" s="51"/>
      <c r="Q198" s="51"/>
      <c r="R198" s="51"/>
    </row>
    <row r="199">
      <c r="P199" s="51"/>
      <c r="Q199" s="51"/>
      <c r="R199" s="51"/>
    </row>
    <row r="200">
      <c r="P200" s="51"/>
      <c r="Q200" s="51"/>
      <c r="R200" s="51"/>
    </row>
    <row r="201">
      <c r="P201" s="51"/>
      <c r="Q201" s="51"/>
      <c r="R201" s="51"/>
    </row>
    <row r="202">
      <c r="P202" s="51"/>
      <c r="Q202" s="51"/>
      <c r="R202" s="51"/>
    </row>
    <row r="203">
      <c r="P203" s="51"/>
      <c r="Q203" s="51"/>
      <c r="R203" s="51"/>
    </row>
    <row r="204">
      <c r="P204" s="51"/>
      <c r="Q204" s="51"/>
      <c r="R204" s="51"/>
    </row>
    <row r="205">
      <c r="P205" s="51"/>
      <c r="Q205" s="51"/>
      <c r="R205" s="51"/>
    </row>
    <row r="206">
      <c r="P206" s="51"/>
      <c r="Q206" s="51"/>
      <c r="R206" s="51"/>
    </row>
    <row r="207">
      <c r="P207" s="51"/>
      <c r="Q207" s="51"/>
      <c r="R207" s="51"/>
    </row>
    <row r="208">
      <c r="P208" s="51"/>
      <c r="Q208" s="51"/>
      <c r="R208" s="51"/>
    </row>
    <row r="209">
      <c r="P209" s="51"/>
      <c r="Q209" s="51"/>
      <c r="R209" s="51"/>
    </row>
    <row r="210">
      <c r="P210" s="51"/>
      <c r="Q210" s="51"/>
      <c r="R210" s="51"/>
    </row>
    <row r="211">
      <c r="P211" s="51"/>
      <c r="Q211" s="51"/>
      <c r="R211" s="51"/>
    </row>
    <row r="212">
      <c r="P212" s="51"/>
      <c r="Q212" s="51"/>
      <c r="R212" s="51"/>
    </row>
    <row r="213">
      <c r="P213" s="51"/>
      <c r="Q213" s="51"/>
      <c r="R213" s="51"/>
    </row>
    <row r="214">
      <c r="P214" s="51"/>
      <c r="Q214" s="51"/>
      <c r="R214" s="51"/>
    </row>
    <row r="215">
      <c r="P215" s="51"/>
      <c r="Q215" s="51"/>
      <c r="R215" s="51"/>
    </row>
    <row r="216">
      <c r="P216" s="51"/>
      <c r="Q216" s="51"/>
      <c r="R216" s="51"/>
    </row>
    <row r="217">
      <c r="P217" s="51"/>
      <c r="Q217" s="51"/>
      <c r="R217" s="51"/>
    </row>
    <row r="218">
      <c r="P218" s="51"/>
      <c r="Q218" s="51"/>
      <c r="R218" s="51"/>
    </row>
    <row r="219">
      <c r="P219" s="51"/>
      <c r="Q219" s="51"/>
      <c r="R219" s="51"/>
    </row>
    <row r="220">
      <c r="P220" s="51"/>
      <c r="Q220" s="51"/>
      <c r="R220" s="51"/>
    </row>
    <row r="221">
      <c r="P221" s="51"/>
      <c r="Q221" s="51"/>
      <c r="R221" s="51"/>
    </row>
    <row r="222">
      <c r="P222" s="51"/>
      <c r="Q222" s="51"/>
      <c r="R222" s="51"/>
    </row>
    <row r="223">
      <c r="P223" s="51"/>
      <c r="Q223" s="51"/>
      <c r="R223" s="51"/>
    </row>
    <row r="224">
      <c r="P224" s="51"/>
      <c r="Q224" s="51"/>
      <c r="R224" s="51"/>
    </row>
    <row r="225">
      <c r="P225" s="51"/>
      <c r="Q225" s="51"/>
      <c r="R225" s="51"/>
    </row>
    <row r="226">
      <c r="P226" s="51"/>
      <c r="Q226" s="51"/>
      <c r="R226" s="51"/>
    </row>
    <row r="227">
      <c r="P227" s="51"/>
      <c r="Q227" s="51"/>
      <c r="R227" s="51"/>
    </row>
    <row r="228">
      <c r="P228" s="51"/>
      <c r="Q228" s="51"/>
      <c r="R228" s="51"/>
    </row>
    <row r="229">
      <c r="P229" s="51"/>
      <c r="Q229" s="51"/>
      <c r="R229" s="51"/>
    </row>
    <row r="230">
      <c r="P230" s="51"/>
      <c r="Q230" s="51"/>
      <c r="R230" s="51"/>
    </row>
    <row r="231">
      <c r="P231" s="51"/>
      <c r="Q231" s="51"/>
      <c r="R231" s="51"/>
    </row>
    <row r="232">
      <c r="P232" s="51"/>
      <c r="Q232" s="51"/>
      <c r="R232" s="51"/>
    </row>
    <row r="233">
      <c r="P233" s="51"/>
      <c r="Q233" s="51"/>
      <c r="R233" s="51"/>
    </row>
    <row r="234">
      <c r="P234" s="51"/>
      <c r="Q234" s="51"/>
      <c r="R234" s="51"/>
    </row>
    <row r="235">
      <c r="P235" s="51"/>
      <c r="Q235" s="51"/>
      <c r="R235" s="51"/>
    </row>
    <row r="236">
      <c r="P236" s="51"/>
      <c r="Q236" s="51"/>
      <c r="R236" s="51"/>
    </row>
    <row r="237">
      <c r="P237" s="51"/>
      <c r="Q237" s="51"/>
      <c r="R237" s="51"/>
    </row>
    <row r="238">
      <c r="P238" s="51"/>
      <c r="Q238" s="51"/>
      <c r="R238" s="51"/>
    </row>
    <row r="239">
      <c r="P239" s="51"/>
      <c r="Q239" s="51"/>
      <c r="R239" s="51"/>
    </row>
    <row r="240">
      <c r="P240" s="51"/>
      <c r="Q240" s="51"/>
      <c r="R240" s="51"/>
    </row>
    <row r="241">
      <c r="P241" s="51"/>
      <c r="Q241" s="51"/>
      <c r="R241" s="51"/>
    </row>
    <row r="242">
      <c r="P242" s="51"/>
      <c r="Q242" s="51"/>
      <c r="R242" s="51"/>
    </row>
    <row r="243">
      <c r="P243" s="51"/>
      <c r="Q243" s="51"/>
      <c r="R243" s="51"/>
    </row>
    <row r="244">
      <c r="P244" s="51"/>
      <c r="Q244" s="51"/>
      <c r="R244" s="51"/>
    </row>
    <row r="245">
      <c r="P245" s="51"/>
      <c r="Q245" s="51"/>
      <c r="R245" s="51"/>
    </row>
    <row r="246">
      <c r="P246" s="51"/>
      <c r="Q246" s="51"/>
      <c r="R246" s="51"/>
    </row>
    <row r="247">
      <c r="P247" s="51"/>
      <c r="Q247" s="51"/>
      <c r="R247" s="51"/>
    </row>
    <row r="248">
      <c r="P248" s="51"/>
      <c r="Q248" s="51"/>
      <c r="R248" s="51"/>
    </row>
    <row r="249">
      <c r="P249" s="51"/>
      <c r="Q249" s="51"/>
      <c r="R249" s="51"/>
    </row>
    <row r="250">
      <c r="P250" s="51"/>
      <c r="Q250" s="51"/>
      <c r="R250" s="51"/>
    </row>
    <row r="251">
      <c r="P251" s="51"/>
      <c r="Q251" s="51"/>
      <c r="R251" s="51"/>
    </row>
    <row r="252">
      <c r="P252" s="51"/>
      <c r="Q252" s="51"/>
      <c r="R252" s="51"/>
    </row>
    <row r="253">
      <c r="P253" s="51"/>
      <c r="Q253" s="51"/>
      <c r="R253" s="51"/>
    </row>
    <row r="254">
      <c r="P254" s="51"/>
      <c r="Q254" s="51"/>
      <c r="R254" s="51"/>
    </row>
    <row r="255">
      <c r="P255" s="51"/>
      <c r="Q255" s="51"/>
      <c r="R255" s="51"/>
    </row>
    <row r="256">
      <c r="P256" s="51"/>
      <c r="Q256" s="51"/>
      <c r="R256" s="51"/>
    </row>
    <row r="257">
      <c r="P257" s="51"/>
      <c r="Q257" s="51"/>
      <c r="R257" s="51"/>
    </row>
    <row r="258">
      <c r="P258" s="51"/>
      <c r="Q258" s="51"/>
      <c r="R258" s="51"/>
    </row>
    <row r="259">
      <c r="P259" s="51"/>
      <c r="Q259" s="51"/>
      <c r="R259" s="51"/>
    </row>
    <row r="260">
      <c r="P260" s="51"/>
      <c r="Q260" s="51"/>
      <c r="R260" s="51"/>
    </row>
    <row r="261">
      <c r="P261" s="51"/>
      <c r="Q261" s="51"/>
      <c r="R261" s="51"/>
    </row>
    <row r="262">
      <c r="P262" s="51"/>
      <c r="Q262" s="51"/>
      <c r="R262" s="51"/>
    </row>
    <row r="263">
      <c r="P263" s="51"/>
      <c r="Q263" s="51"/>
      <c r="R263" s="51"/>
    </row>
    <row r="264">
      <c r="P264" s="51"/>
      <c r="Q264" s="51"/>
      <c r="R264" s="51"/>
    </row>
    <row r="265">
      <c r="P265" s="51"/>
      <c r="Q265" s="51"/>
      <c r="R265" s="51"/>
    </row>
    <row r="266">
      <c r="P266" s="51"/>
      <c r="Q266" s="51"/>
      <c r="R266" s="51"/>
    </row>
    <row r="267">
      <c r="P267" s="51"/>
      <c r="Q267" s="51"/>
      <c r="R267" s="51"/>
    </row>
    <row r="268">
      <c r="P268" s="51"/>
      <c r="Q268" s="51"/>
      <c r="R268" s="51"/>
    </row>
    <row r="269">
      <c r="P269" s="51"/>
      <c r="Q269" s="51"/>
      <c r="R269" s="51"/>
    </row>
    <row r="270">
      <c r="P270" s="51"/>
      <c r="Q270" s="51"/>
      <c r="R270" s="51"/>
    </row>
    <row r="271">
      <c r="P271" s="51"/>
      <c r="Q271" s="51"/>
      <c r="R271" s="51"/>
    </row>
    <row r="272">
      <c r="P272" s="51"/>
      <c r="Q272" s="51"/>
      <c r="R272" s="51"/>
    </row>
    <row r="273">
      <c r="P273" s="51"/>
      <c r="Q273" s="51"/>
      <c r="R273" s="51"/>
    </row>
    <row r="274">
      <c r="P274" s="51"/>
      <c r="Q274" s="51"/>
      <c r="R274" s="51"/>
    </row>
    <row r="275">
      <c r="P275" s="51"/>
      <c r="Q275" s="51"/>
      <c r="R275" s="51"/>
    </row>
    <row r="276">
      <c r="P276" s="51"/>
      <c r="Q276" s="51"/>
      <c r="R276" s="51"/>
    </row>
    <row r="277">
      <c r="P277" s="51"/>
      <c r="Q277" s="51"/>
      <c r="R277" s="51"/>
    </row>
    <row r="278">
      <c r="P278" s="51"/>
      <c r="Q278" s="51"/>
      <c r="R278" s="51"/>
    </row>
    <row r="279">
      <c r="P279" s="51"/>
      <c r="Q279" s="51"/>
      <c r="R279" s="51"/>
    </row>
    <row r="280">
      <c r="P280" s="51"/>
      <c r="Q280" s="51"/>
      <c r="R280" s="51"/>
    </row>
    <row r="281">
      <c r="P281" s="51"/>
      <c r="Q281" s="51"/>
      <c r="R281" s="51"/>
    </row>
    <row r="282">
      <c r="P282" s="51"/>
      <c r="Q282" s="51"/>
      <c r="R282" s="51"/>
    </row>
    <row r="283">
      <c r="P283" s="51"/>
      <c r="Q283" s="51"/>
      <c r="R283" s="51"/>
    </row>
    <row r="284">
      <c r="P284" s="51"/>
      <c r="Q284" s="51"/>
      <c r="R284" s="51"/>
    </row>
    <row r="285">
      <c r="P285" s="51"/>
      <c r="Q285" s="51"/>
      <c r="R285" s="51"/>
    </row>
    <row r="286">
      <c r="P286" s="51"/>
      <c r="Q286" s="51"/>
      <c r="R286" s="51"/>
    </row>
    <row r="287">
      <c r="P287" s="51"/>
      <c r="Q287" s="51"/>
      <c r="R287" s="51"/>
    </row>
    <row r="288">
      <c r="P288" s="51"/>
      <c r="Q288" s="51"/>
      <c r="R288" s="51"/>
    </row>
    <row r="289">
      <c r="P289" s="51"/>
      <c r="Q289" s="51"/>
      <c r="R289" s="51"/>
    </row>
    <row r="290">
      <c r="P290" s="51"/>
      <c r="Q290" s="51"/>
      <c r="R290" s="51"/>
    </row>
    <row r="291">
      <c r="P291" s="51"/>
      <c r="Q291" s="51"/>
      <c r="R291" s="51"/>
    </row>
    <row r="292">
      <c r="P292" s="51"/>
      <c r="Q292" s="51"/>
      <c r="R292" s="51"/>
    </row>
    <row r="293">
      <c r="P293" s="51"/>
      <c r="Q293" s="51"/>
      <c r="R293" s="51"/>
    </row>
    <row r="294">
      <c r="P294" s="51"/>
      <c r="Q294" s="51"/>
      <c r="R294" s="51"/>
    </row>
    <row r="295">
      <c r="P295" s="51"/>
      <c r="Q295" s="51"/>
      <c r="R295" s="51"/>
    </row>
    <row r="296">
      <c r="P296" s="51"/>
      <c r="Q296" s="51"/>
      <c r="R296" s="51"/>
    </row>
    <row r="297">
      <c r="P297" s="51"/>
      <c r="Q297" s="51"/>
      <c r="R297" s="51"/>
    </row>
    <row r="298">
      <c r="P298" s="51"/>
      <c r="Q298" s="51"/>
      <c r="R298" s="51"/>
    </row>
    <row r="299">
      <c r="P299" s="51"/>
      <c r="Q299" s="51"/>
      <c r="R299" s="51"/>
    </row>
    <row r="300">
      <c r="P300" s="51"/>
      <c r="Q300" s="51"/>
      <c r="R300" s="51"/>
    </row>
    <row r="301">
      <c r="P301" s="51"/>
      <c r="Q301" s="51"/>
      <c r="R301" s="51"/>
    </row>
    <row r="302">
      <c r="P302" s="51"/>
      <c r="Q302" s="51"/>
      <c r="R302" s="51"/>
    </row>
    <row r="303">
      <c r="P303" s="51"/>
      <c r="Q303" s="51"/>
      <c r="R303" s="51"/>
    </row>
    <row r="304">
      <c r="P304" s="51"/>
      <c r="Q304" s="51"/>
      <c r="R304" s="51"/>
    </row>
    <row r="305">
      <c r="P305" s="51"/>
      <c r="Q305" s="51"/>
      <c r="R305" s="51"/>
    </row>
    <row r="306">
      <c r="P306" s="51"/>
      <c r="Q306" s="51"/>
      <c r="R306" s="51"/>
    </row>
    <row r="307">
      <c r="P307" s="51"/>
      <c r="Q307" s="51"/>
      <c r="R307" s="51"/>
    </row>
    <row r="308">
      <c r="P308" s="51"/>
      <c r="Q308" s="51"/>
      <c r="R308" s="51"/>
    </row>
    <row r="309">
      <c r="P309" s="51"/>
      <c r="Q309" s="51"/>
      <c r="R309" s="51"/>
    </row>
    <row r="310">
      <c r="P310" s="51"/>
      <c r="Q310" s="51"/>
      <c r="R310" s="51"/>
    </row>
    <row r="311">
      <c r="P311" s="51"/>
      <c r="Q311" s="51"/>
      <c r="R311" s="51"/>
    </row>
    <row r="312">
      <c r="P312" s="51"/>
      <c r="Q312" s="51"/>
      <c r="R312" s="51"/>
    </row>
    <row r="313">
      <c r="P313" s="51"/>
      <c r="Q313" s="51"/>
      <c r="R313" s="51"/>
    </row>
    <row r="314">
      <c r="P314" s="51"/>
      <c r="Q314" s="51"/>
      <c r="R314" s="51"/>
    </row>
    <row r="315">
      <c r="P315" s="51"/>
      <c r="Q315" s="51"/>
      <c r="R315" s="51"/>
    </row>
    <row r="316">
      <c r="P316" s="51"/>
      <c r="Q316" s="51"/>
      <c r="R316" s="51"/>
    </row>
    <row r="317">
      <c r="P317" s="51"/>
      <c r="Q317" s="51"/>
      <c r="R317" s="51"/>
    </row>
    <row r="318">
      <c r="P318" s="51"/>
      <c r="Q318" s="51"/>
      <c r="R318" s="51"/>
    </row>
    <row r="319">
      <c r="P319" s="51"/>
      <c r="Q319" s="51"/>
      <c r="R319" s="51"/>
    </row>
    <row r="320">
      <c r="P320" s="51"/>
      <c r="Q320" s="51"/>
      <c r="R320" s="51"/>
    </row>
    <row r="321">
      <c r="P321" s="51"/>
      <c r="Q321" s="51"/>
      <c r="R321" s="51"/>
    </row>
    <row r="322">
      <c r="P322" s="51"/>
      <c r="Q322" s="51"/>
      <c r="R322" s="51"/>
    </row>
    <row r="323">
      <c r="P323" s="51"/>
      <c r="Q323" s="51"/>
      <c r="R323" s="51"/>
    </row>
    <row r="324">
      <c r="P324" s="51"/>
      <c r="Q324" s="51"/>
      <c r="R324" s="51"/>
    </row>
    <row r="325">
      <c r="P325" s="51"/>
      <c r="Q325" s="51"/>
      <c r="R325" s="51"/>
    </row>
    <row r="326">
      <c r="P326" s="51"/>
      <c r="Q326" s="51"/>
      <c r="R326" s="51"/>
    </row>
    <row r="327">
      <c r="P327" s="51"/>
      <c r="Q327" s="51"/>
      <c r="R327" s="51"/>
    </row>
    <row r="328">
      <c r="P328" s="51"/>
      <c r="Q328" s="51"/>
      <c r="R328" s="51"/>
    </row>
    <row r="329">
      <c r="P329" s="51"/>
      <c r="Q329" s="51"/>
      <c r="R329" s="51"/>
    </row>
    <row r="330">
      <c r="P330" s="51"/>
      <c r="Q330" s="51"/>
      <c r="R330" s="51"/>
    </row>
    <row r="331">
      <c r="P331" s="51"/>
      <c r="Q331" s="51"/>
      <c r="R331" s="51"/>
    </row>
    <row r="332">
      <c r="P332" s="51"/>
      <c r="Q332" s="51"/>
      <c r="R332" s="51"/>
    </row>
    <row r="333">
      <c r="P333" s="51"/>
      <c r="Q333" s="51"/>
      <c r="R333" s="51"/>
    </row>
    <row r="334">
      <c r="P334" s="51"/>
      <c r="Q334" s="51"/>
      <c r="R334" s="51"/>
    </row>
    <row r="335">
      <c r="P335" s="51"/>
      <c r="Q335" s="51"/>
      <c r="R335" s="51"/>
    </row>
    <row r="336">
      <c r="P336" s="51"/>
      <c r="Q336" s="51"/>
      <c r="R336" s="51"/>
    </row>
    <row r="337">
      <c r="P337" s="51"/>
      <c r="Q337" s="51"/>
      <c r="R337" s="51"/>
    </row>
    <row r="338">
      <c r="P338" s="51"/>
      <c r="Q338" s="51"/>
      <c r="R338" s="51"/>
    </row>
    <row r="339">
      <c r="P339" s="51"/>
      <c r="Q339" s="51"/>
      <c r="R339" s="51"/>
    </row>
    <row r="340">
      <c r="P340" s="51"/>
      <c r="Q340" s="51"/>
      <c r="R340" s="51"/>
    </row>
    <row r="341">
      <c r="P341" s="51"/>
      <c r="Q341" s="51"/>
      <c r="R341" s="51"/>
    </row>
    <row r="342">
      <c r="P342" s="51"/>
      <c r="Q342" s="51"/>
      <c r="R342" s="51"/>
    </row>
    <row r="343">
      <c r="P343" s="51"/>
      <c r="Q343" s="51"/>
      <c r="R343" s="51"/>
    </row>
    <row r="344">
      <c r="P344" s="51"/>
      <c r="Q344" s="51"/>
      <c r="R344" s="51"/>
    </row>
    <row r="345">
      <c r="P345" s="51"/>
      <c r="Q345" s="51"/>
      <c r="R345" s="51"/>
    </row>
    <row r="346">
      <c r="P346" s="51"/>
      <c r="Q346" s="51"/>
      <c r="R346" s="51"/>
    </row>
    <row r="347">
      <c r="P347" s="51"/>
      <c r="Q347" s="51"/>
      <c r="R347" s="51"/>
    </row>
    <row r="348">
      <c r="P348" s="51"/>
      <c r="Q348" s="51"/>
      <c r="R348" s="51"/>
    </row>
    <row r="349">
      <c r="P349" s="51"/>
      <c r="Q349" s="51"/>
      <c r="R349" s="51"/>
    </row>
    <row r="350">
      <c r="P350" s="51"/>
      <c r="Q350" s="51"/>
      <c r="R350" s="51"/>
    </row>
    <row r="351">
      <c r="P351" s="51"/>
      <c r="Q351" s="51"/>
      <c r="R351" s="51"/>
    </row>
    <row r="352">
      <c r="P352" s="51"/>
      <c r="Q352" s="51"/>
      <c r="R352" s="51"/>
    </row>
    <row r="353">
      <c r="P353" s="51"/>
      <c r="Q353" s="51"/>
      <c r="R353" s="51"/>
    </row>
    <row r="354">
      <c r="P354" s="51"/>
      <c r="Q354" s="51"/>
      <c r="R354" s="51"/>
    </row>
    <row r="355">
      <c r="P355" s="51"/>
      <c r="Q355" s="51"/>
      <c r="R355" s="51"/>
    </row>
    <row r="356">
      <c r="P356" s="51"/>
      <c r="Q356" s="51"/>
      <c r="R356" s="51"/>
    </row>
    <row r="357">
      <c r="P357" s="51"/>
      <c r="Q357" s="51"/>
      <c r="R357" s="51"/>
    </row>
    <row r="358">
      <c r="P358" s="51"/>
      <c r="Q358" s="51"/>
      <c r="R358" s="51"/>
    </row>
    <row r="359">
      <c r="P359" s="51"/>
      <c r="Q359" s="51"/>
      <c r="R359" s="51"/>
    </row>
    <row r="360">
      <c r="P360" s="51"/>
      <c r="Q360" s="51"/>
      <c r="R360" s="51"/>
    </row>
    <row r="361">
      <c r="P361" s="51"/>
      <c r="Q361" s="51"/>
      <c r="R361" s="51"/>
    </row>
    <row r="362">
      <c r="P362" s="51"/>
      <c r="Q362" s="51"/>
      <c r="R362" s="51"/>
    </row>
    <row r="363">
      <c r="P363" s="51"/>
      <c r="Q363" s="51"/>
      <c r="R363" s="51"/>
    </row>
    <row r="364">
      <c r="P364" s="51"/>
      <c r="Q364" s="51"/>
      <c r="R364" s="51"/>
    </row>
    <row r="365">
      <c r="P365" s="51"/>
      <c r="Q365" s="51"/>
      <c r="R365" s="51"/>
    </row>
    <row r="366">
      <c r="P366" s="51"/>
      <c r="Q366" s="51"/>
      <c r="R366" s="51"/>
    </row>
    <row r="367">
      <c r="P367" s="51"/>
      <c r="Q367" s="51"/>
      <c r="R367" s="51"/>
    </row>
    <row r="368">
      <c r="P368" s="51"/>
      <c r="Q368" s="51"/>
      <c r="R368" s="51"/>
    </row>
    <row r="369">
      <c r="P369" s="51"/>
      <c r="Q369" s="51"/>
      <c r="R369" s="51"/>
    </row>
    <row r="370">
      <c r="P370" s="51"/>
      <c r="Q370" s="51"/>
      <c r="R370" s="51"/>
    </row>
    <row r="371">
      <c r="P371" s="51"/>
      <c r="Q371" s="51"/>
      <c r="R371" s="51"/>
    </row>
    <row r="372">
      <c r="P372" s="51"/>
      <c r="Q372" s="51"/>
      <c r="R372" s="51"/>
    </row>
    <row r="373">
      <c r="P373" s="51"/>
      <c r="Q373" s="51"/>
      <c r="R373" s="51"/>
    </row>
    <row r="374">
      <c r="P374" s="51"/>
      <c r="Q374" s="51"/>
      <c r="R374" s="51"/>
    </row>
    <row r="375">
      <c r="P375" s="51"/>
      <c r="Q375" s="51"/>
      <c r="R375" s="51"/>
    </row>
    <row r="376">
      <c r="P376" s="51"/>
      <c r="Q376" s="51"/>
      <c r="R376" s="51"/>
    </row>
    <row r="377">
      <c r="P377" s="51"/>
      <c r="Q377" s="51"/>
      <c r="R377" s="51"/>
    </row>
    <row r="378">
      <c r="P378" s="51"/>
      <c r="Q378" s="51"/>
      <c r="R378" s="51"/>
    </row>
    <row r="379">
      <c r="P379" s="51"/>
      <c r="Q379" s="51"/>
      <c r="R379" s="51"/>
    </row>
    <row r="380">
      <c r="P380" s="51"/>
      <c r="Q380" s="51"/>
      <c r="R380" s="51"/>
    </row>
    <row r="381">
      <c r="P381" s="51"/>
      <c r="Q381" s="51"/>
      <c r="R381" s="51"/>
    </row>
    <row r="382">
      <c r="P382" s="51"/>
      <c r="Q382" s="51"/>
      <c r="R382" s="51"/>
    </row>
    <row r="383">
      <c r="P383" s="51"/>
      <c r="Q383" s="51"/>
      <c r="R383" s="51"/>
    </row>
    <row r="384">
      <c r="P384" s="51"/>
      <c r="Q384" s="51"/>
      <c r="R384" s="51"/>
    </row>
    <row r="385">
      <c r="P385" s="51"/>
      <c r="Q385" s="51"/>
      <c r="R385" s="51"/>
    </row>
    <row r="386">
      <c r="P386" s="51"/>
      <c r="Q386" s="51"/>
      <c r="R386" s="51"/>
    </row>
    <row r="387">
      <c r="P387" s="51"/>
      <c r="Q387" s="51"/>
      <c r="R387" s="51"/>
    </row>
    <row r="388">
      <c r="P388" s="51"/>
      <c r="Q388" s="51"/>
      <c r="R388" s="51"/>
    </row>
    <row r="389">
      <c r="P389" s="51"/>
      <c r="Q389" s="51"/>
      <c r="R389" s="51"/>
    </row>
    <row r="390">
      <c r="P390" s="51"/>
      <c r="Q390" s="51"/>
      <c r="R390" s="51"/>
    </row>
    <row r="391">
      <c r="P391" s="51"/>
      <c r="Q391" s="51"/>
      <c r="R391" s="51"/>
    </row>
    <row r="392">
      <c r="P392" s="51"/>
      <c r="Q392" s="51"/>
      <c r="R392" s="51"/>
    </row>
    <row r="393">
      <c r="P393" s="51"/>
      <c r="Q393" s="51"/>
      <c r="R393" s="51"/>
    </row>
    <row r="394">
      <c r="P394" s="51"/>
      <c r="Q394" s="51"/>
      <c r="R394" s="51"/>
    </row>
    <row r="395">
      <c r="P395" s="51"/>
      <c r="Q395" s="51"/>
      <c r="R395" s="51"/>
    </row>
    <row r="396">
      <c r="P396" s="51"/>
      <c r="Q396" s="51"/>
      <c r="R396" s="51"/>
    </row>
    <row r="397">
      <c r="P397" s="51"/>
      <c r="Q397" s="51"/>
      <c r="R397" s="51"/>
    </row>
    <row r="398">
      <c r="P398" s="51"/>
      <c r="Q398" s="51"/>
      <c r="R398" s="51"/>
    </row>
    <row r="399">
      <c r="P399" s="51"/>
      <c r="Q399" s="51"/>
      <c r="R399" s="51"/>
    </row>
    <row r="400">
      <c r="P400" s="51"/>
      <c r="Q400" s="51"/>
      <c r="R400" s="51"/>
    </row>
    <row r="401">
      <c r="P401" s="51"/>
      <c r="Q401" s="51"/>
      <c r="R401" s="51"/>
    </row>
    <row r="402">
      <c r="P402" s="51"/>
      <c r="Q402" s="51"/>
      <c r="R402" s="51"/>
    </row>
    <row r="403">
      <c r="P403" s="51"/>
      <c r="Q403" s="51"/>
      <c r="R403" s="51"/>
    </row>
    <row r="404">
      <c r="P404" s="51"/>
      <c r="Q404" s="51"/>
      <c r="R404" s="51"/>
    </row>
    <row r="405">
      <c r="P405" s="51"/>
      <c r="Q405" s="51"/>
      <c r="R405" s="51"/>
    </row>
    <row r="406">
      <c r="P406" s="51"/>
      <c r="Q406" s="51"/>
      <c r="R406" s="51"/>
    </row>
    <row r="407">
      <c r="P407" s="51"/>
      <c r="Q407" s="51"/>
      <c r="R407" s="51"/>
    </row>
    <row r="408">
      <c r="P408" s="51"/>
      <c r="Q408" s="51"/>
      <c r="R408" s="51"/>
    </row>
    <row r="409">
      <c r="P409" s="51"/>
      <c r="Q409" s="51"/>
      <c r="R409" s="51"/>
    </row>
    <row r="410">
      <c r="P410" s="51"/>
      <c r="Q410" s="51"/>
      <c r="R410" s="51"/>
    </row>
    <row r="411">
      <c r="P411" s="51"/>
      <c r="Q411" s="51"/>
      <c r="R411" s="51"/>
    </row>
    <row r="412">
      <c r="P412" s="51"/>
      <c r="Q412" s="51"/>
      <c r="R412" s="51"/>
    </row>
    <row r="413">
      <c r="P413" s="51"/>
      <c r="Q413" s="51"/>
      <c r="R413" s="51"/>
    </row>
    <row r="414">
      <c r="P414" s="51"/>
      <c r="Q414" s="51"/>
      <c r="R414" s="51"/>
    </row>
    <row r="415">
      <c r="P415" s="51"/>
      <c r="Q415" s="51"/>
      <c r="R415" s="51"/>
    </row>
    <row r="416">
      <c r="P416" s="51"/>
      <c r="Q416" s="51"/>
      <c r="R416" s="51"/>
    </row>
    <row r="417">
      <c r="P417" s="51"/>
      <c r="Q417" s="51"/>
      <c r="R417" s="51"/>
    </row>
    <row r="418">
      <c r="P418" s="51"/>
      <c r="Q418" s="51"/>
      <c r="R418" s="51"/>
    </row>
    <row r="419">
      <c r="P419" s="51"/>
      <c r="Q419" s="51"/>
      <c r="R419" s="51"/>
    </row>
    <row r="420">
      <c r="P420" s="51"/>
      <c r="Q420" s="51"/>
      <c r="R420" s="51"/>
    </row>
    <row r="421">
      <c r="P421" s="51"/>
      <c r="Q421" s="51"/>
      <c r="R421" s="51"/>
    </row>
    <row r="422">
      <c r="P422" s="51"/>
      <c r="Q422" s="51"/>
      <c r="R422" s="51"/>
    </row>
    <row r="423">
      <c r="P423" s="51"/>
      <c r="Q423" s="51"/>
      <c r="R423" s="51"/>
    </row>
    <row r="424">
      <c r="P424" s="51"/>
      <c r="Q424" s="51"/>
      <c r="R424" s="51"/>
    </row>
    <row r="425">
      <c r="P425" s="51"/>
      <c r="Q425" s="51"/>
      <c r="R425" s="51"/>
    </row>
    <row r="426">
      <c r="P426" s="51"/>
      <c r="Q426" s="51"/>
      <c r="R426" s="51"/>
    </row>
    <row r="427">
      <c r="P427" s="51"/>
      <c r="Q427" s="51"/>
      <c r="R427" s="51"/>
    </row>
    <row r="428">
      <c r="P428" s="51"/>
      <c r="Q428" s="51"/>
      <c r="R428" s="51"/>
    </row>
    <row r="429">
      <c r="P429" s="51"/>
      <c r="Q429" s="51"/>
      <c r="R429" s="51"/>
    </row>
    <row r="430">
      <c r="P430" s="51"/>
      <c r="Q430" s="51"/>
      <c r="R430" s="51"/>
    </row>
    <row r="431">
      <c r="P431" s="51"/>
      <c r="Q431" s="51"/>
      <c r="R431" s="51"/>
    </row>
    <row r="432">
      <c r="P432" s="51"/>
      <c r="Q432" s="51"/>
      <c r="R432" s="51"/>
    </row>
    <row r="433">
      <c r="P433" s="51"/>
      <c r="Q433" s="51"/>
      <c r="R433" s="51"/>
    </row>
    <row r="434">
      <c r="P434" s="51"/>
      <c r="Q434" s="51"/>
      <c r="R434" s="51"/>
    </row>
    <row r="435">
      <c r="P435" s="51"/>
      <c r="Q435" s="51"/>
      <c r="R435" s="51"/>
    </row>
    <row r="436">
      <c r="P436" s="51"/>
      <c r="Q436" s="51"/>
      <c r="R436" s="51"/>
    </row>
    <row r="437">
      <c r="P437" s="51"/>
      <c r="Q437" s="51"/>
      <c r="R437" s="51"/>
    </row>
    <row r="438">
      <c r="P438" s="51"/>
      <c r="Q438" s="51"/>
      <c r="R438" s="51"/>
    </row>
    <row r="439">
      <c r="P439" s="51"/>
      <c r="Q439" s="51"/>
      <c r="R439" s="51"/>
    </row>
    <row r="440">
      <c r="P440" s="51"/>
      <c r="Q440" s="51"/>
      <c r="R440" s="51"/>
    </row>
    <row r="441">
      <c r="P441" s="51"/>
      <c r="Q441" s="51"/>
      <c r="R441" s="51"/>
    </row>
    <row r="442">
      <c r="P442" s="51"/>
      <c r="Q442" s="51"/>
      <c r="R442" s="51"/>
    </row>
    <row r="443">
      <c r="P443" s="51"/>
      <c r="Q443" s="51"/>
      <c r="R443" s="51"/>
    </row>
    <row r="444">
      <c r="P444" s="51"/>
      <c r="Q444" s="51"/>
      <c r="R444" s="51"/>
    </row>
    <row r="445">
      <c r="P445" s="51"/>
      <c r="Q445" s="51"/>
      <c r="R445" s="51"/>
    </row>
    <row r="446">
      <c r="P446" s="51"/>
      <c r="Q446" s="51"/>
      <c r="R446" s="51"/>
    </row>
    <row r="447">
      <c r="P447" s="51"/>
      <c r="Q447" s="51"/>
      <c r="R447" s="51"/>
    </row>
    <row r="448">
      <c r="P448" s="51"/>
      <c r="Q448" s="51"/>
      <c r="R448" s="51"/>
    </row>
    <row r="449">
      <c r="P449" s="51"/>
      <c r="Q449" s="51"/>
      <c r="R449" s="51"/>
    </row>
    <row r="450">
      <c r="P450" s="51"/>
      <c r="Q450" s="51"/>
      <c r="R450" s="51"/>
    </row>
    <row r="451">
      <c r="P451" s="51"/>
      <c r="Q451" s="51"/>
      <c r="R451" s="51"/>
    </row>
    <row r="452">
      <c r="P452" s="51"/>
      <c r="Q452" s="51"/>
      <c r="R452" s="51"/>
    </row>
    <row r="453">
      <c r="P453" s="51"/>
      <c r="Q453" s="51"/>
      <c r="R453" s="51"/>
    </row>
    <row r="454">
      <c r="P454" s="51"/>
      <c r="Q454" s="51"/>
      <c r="R454" s="51"/>
    </row>
    <row r="455">
      <c r="P455" s="51"/>
      <c r="Q455" s="51"/>
      <c r="R455" s="51"/>
    </row>
    <row r="456">
      <c r="P456" s="51"/>
      <c r="Q456" s="51"/>
      <c r="R456" s="51"/>
    </row>
    <row r="457">
      <c r="P457" s="51"/>
      <c r="Q457" s="51"/>
      <c r="R457" s="51"/>
    </row>
    <row r="458">
      <c r="P458" s="51"/>
      <c r="Q458" s="51"/>
      <c r="R458" s="51"/>
    </row>
    <row r="459">
      <c r="P459" s="51"/>
      <c r="Q459" s="51"/>
      <c r="R459" s="51"/>
    </row>
    <row r="460">
      <c r="P460" s="51"/>
      <c r="Q460" s="51"/>
      <c r="R460" s="51"/>
    </row>
    <row r="461">
      <c r="P461" s="51"/>
      <c r="Q461" s="51"/>
      <c r="R461" s="51"/>
    </row>
    <row r="462">
      <c r="P462" s="51"/>
      <c r="Q462" s="51"/>
      <c r="R462" s="51"/>
    </row>
    <row r="463">
      <c r="P463" s="51"/>
      <c r="Q463" s="51"/>
      <c r="R463" s="51"/>
    </row>
    <row r="464">
      <c r="P464" s="51"/>
      <c r="Q464" s="51"/>
      <c r="R464" s="51"/>
    </row>
    <row r="465">
      <c r="P465" s="51"/>
      <c r="Q465" s="51"/>
      <c r="R465" s="51"/>
    </row>
    <row r="466">
      <c r="P466" s="51"/>
      <c r="Q466" s="51"/>
      <c r="R466" s="51"/>
    </row>
    <row r="467">
      <c r="P467" s="51"/>
      <c r="Q467" s="51"/>
      <c r="R467" s="51"/>
    </row>
    <row r="468">
      <c r="P468" s="51"/>
      <c r="Q468" s="51"/>
      <c r="R468" s="51"/>
    </row>
    <row r="469">
      <c r="P469" s="51"/>
      <c r="Q469" s="51"/>
      <c r="R469" s="51"/>
    </row>
    <row r="470">
      <c r="P470" s="51"/>
      <c r="Q470" s="51"/>
      <c r="R470" s="51"/>
    </row>
    <row r="471">
      <c r="P471" s="51"/>
      <c r="Q471" s="51"/>
      <c r="R471" s="51"/>
    </row>
    <row r="472">
      <c r="P472" s="51"/>
      <c r="Q472" s="51"/>
      <c r="R472" s="51"/>
    </row>
    <row r="473">
      <c r="P473" s="51"/>
      <c r="Q473" s="51"/>
      <c r="R473" s="51"/>
    </row>
    <row r="474">
      <c r="P474" s="51"/>
      <c r="Q474" s="51"/>
      <c r="R474" s="51"/>
    </row>
    <row r="475">
      <c r="P475" s="51"/>
      <c r="Q475" s="51"/>
      <c r="R475" s="51"/>
    </row>
    <row r="476">
      <c r="P476" s="51"/>
      <c r="Q476" s="51"/>
      <c r="R476" s="51"/>
    </row>
    <row r="477">
      <c r="P477" s="51"/>
      <c r="Q477" s="51"/>
      <c r="R477" s="51"/>
    </row>
    <row r="478">
      <c r="P478" s="51"/>
      <c r="Q478" s="51"/>
      <c r="R478" s="51"/>
    </row>
    <row r="479">
      <c r="P479" s="51"/>
      <c r="Q479" s="51"/>
      <c r="R479" s="51"/>
    </row>
    <row r="480">
      <c r="P480" s="51"/>
      <c r="Q480" s="51"/>
      <c r="R480" s="51"/>
    </row>
    <row r="481">
      <c r="P481" s="51"/>
      <c r="Q481" s="51"/>
      <c r="R481" s="51"/>
    </row>
    <row r="482">
      <c r="P482" s="51"/>
      <c r="Q482" s="51"/>
      <c r="R482" s="51"/>
    </row>
    <row r="483">
      <c r="P483" s="51"/>
      <c r="Q483" s="51"/>
      <c r="R483" s="51"/>
    </row>
    <row r="484">
      <c r="P484" s="51"/>
      <c r="Q484" s="51"/>
      <c r="R484" s="51"/>
    </row>
    <row r="485">
      <c r="P485" s="51"/>
      <c r="Q485" s="51"/>
      <c r="R485" s="51"/>
    </row>
    <row r="486">
      <c r="P486" s="51"/>
      <c r="Q486" s="51"/>
      <c r="R486" s="51"/>
    </row>
    <row r="487">
      <c r="P487" s="51"/>
      <c r="Q487" s="51"/>
      <c r="R487" s="51"/>
    </row>
    <row r="488">
      <c r="P488" s="51"/>
      <c r="Q488" s="51"/>
      <c r="R488" s="51"/>
    </row>
    <row r="489">
      <c r="P489" s="51"/>
      <c r="Q489" s="51"/>
      <c r="R489" s="51"/>
    </row>
    <row r="490">
      <c r="P490" s="51"/>
      <c r="Q490" s="51"/>
      <c r="R490" s="51"/>
    </row>
    <row r="491">
      <c r="P491" s="51"/>
      <c r="Q491" s="51"/>
      <c r="R491" s="51"/>
    </row>
    <row r="492">
      <c r="P492" s="51"/>
      <c r="Q492" s="51"/>
      <c r="R492" s="51"/>
    </row>
    <row r="493">
      <c r="P493" s="51"/>
      <c r="Q493" s="51"/>
      <c r="R493" s="51"/>
    </row>
    <row r="494">
      <c r="P494" s="51"/>
      <c r="Q494" s="51"/>
      <c r="R494" s="51"/>
    </row>
    <row r="495">
      <c r="P495" s="51"/>
      <c r="Q495" s="51"/>
      <c r="R495" s="51"/>
    </row>
    <row r="496">
      <c r="P496" s="51"/>
      <c r="Q496" s="51"/>
      <c r="R496" s="51"/>
    </row>
    <row r="497">
      <c r="P497" s="51"/>
      <c r="Q497" s="51"/>
      <c r="R497" s="51"/>
    </row>
    <row r="498">
      <c r="P498" s="51"/>
      <c r="Q498" s="51"/>
      <c r="R498" s="51"/>
    </row>
    <row r="499">
      <c r="P499" s="51"/>
      <c r="Q499" s="51"/>
      <c r="R499" s="51"/>
    </row>
    <row r="500">
      <c r="P500" s="51"/>
      <c r="Q500" s="51"/>
      <c r="R500" s="51"/>
    </row>
    <row r="501">
      <c r="P501" s="51"/>
      <c r="Q501" s="51"/>
      <c r="R501" s="51"/>
    </row>
    <row r="502">
      <c r="P502" s="51"/>
      <c r="Q502" s="51"/>
      <c r="R502" s="51"/>
    </row>
    <row r="503">
      <c r="P503" s="51"/>
      <c r="Q503" s="51"/>
      <c r="R503" s="51"/>
    </row>
    <row r="504">
      <c r="P504" s="51"/>
      <c r="Q504" s="51"/>
      <c r="R504" s="51"/>
    </row>
    <row r="505">
      <c r="P505" s="51"/>
      <c r="Q505" s="51"/>
      <c r="R505" s="51"/>
    </row>
    <row r="506">
      <c r="P506" s="51"/>
      <c r="Q506" s="51"/>
      <c r="R506" s="51"/>
    </row>
    <row r="507">
      <c r="P507" s="51"/>
      <c r="Q507" s="51"/>
      <c r="R507" s="51"/>
    </row>
    <row r="508">
      <c r="P508" s="51"/>
      <c r="Q508" s="51"/>
      <c r="R508" s="51"/>
    </row>
    <row r="509">
      <c r="P509" s="51"/>
      <c r="Q509" s="51"/>
      <c r="R509" s="51"/>
    </row>
    <row r="510">
      <c r="P510" s="51"/>
      <c r="Q510" s="51"/>
      <c r="R510" s="51"/>
    </row>
    <row r="511">
      <c r="P511" s="51"/>
      <c r="Q511" s="51"/>
      <c r="R511" s="51"/>
    </row>
    <row r="512">
      <c r="P512" s="51"/>
      <c r="Q512" s="51"/>
      <c r="R512" s="51"/>
    </row>
    <row r="513">
      <c r="P513" s="51"/>
      <c r="Q513" s="51"/>
      <c r="R513" s="51"/>
    </row>
    <row r="514">
      <c r="P514" s="51"/>
      <c r="Q514" s="51"/>
      <c r="R514" s="51"/>
    </row>
    <row r="515">
      <c r="P515" s="51"/>
      <c r="Q515" s="51"/>
      <c r="R515" s="51"/>
    </row>
    <row r="516">
      <c r="P516" s="51"/>
      <c r="Q516" s="51"/>
      <c r="R516" s="51"/>
    </row>
    <row r="517">
      <c r="P517" s="51"/>
      <c r="Q517" s="51"/>
      <c r="R517" s="51"/>
    </row>
    <row r="518">
      <c r="P518" s="51"/>
      <c r="Q518" s="51"/>
      <c r="R518" s="51"/>
    </row>
    <row r="519">
      <c r="P519" s="51"/>
      <c r="Q519" s="51"/>
      <c r="R519" s="51"/>
    </row>
    <row r="520">
      <c r="P520" s="51"/>
      <c r="Q520" s="51"/>
      <c r="R520" s="51"/>
    </row>
    <row r="521">
      <c r="P521" s="51"/>
      <c r="Q521" s="51"/>
      <c r="R521" s="51"/>
    </row>
    <row r="522">
      <c r="P522" s="51"/>
      <c r="Q522" s="51"/>
      <c r="R522" s="51"/>
    </row>
    <row r="523">
      <c r="P523" s="51"/>
      <c r="Q523" s="51"/>
      <c r="R523" s="51"/>
    </row>
    <row r="524">
      <c r="P524" s="51"/>
      <c r="Q524" s="51"/>
      <c r="R524" s="51"/>
    </row>
    <row r="525">
      <c r="P525" s="51"/>
      <c r="Q525" s="51"/>
      <c r="R525" s="51"/>
    </row>
    <row r="526">
      <c r="P526" s="51"/>
      <c r="Q526" s="51"/>
      <c r="R526" s="51"/>
    </row>
    <row r="527">
      <c r="P527" s="51"/>
      <c r="Q527" s="51"/>
      <c r="R527" s="51"/>
    </row>
    <row r="528">
      <c r="P528" s="51"/>
      <c r="Q528" s="51"/>
      <c r="R528" s="51"/>
    </row>
    <row r="529">
      <c r="P529" s="51"/>
      <c r="Q529" s="51"/>
      <c r="R529" s="51"/>
    </row>
    <row r="530">
      <c r="P530" s="51"/>
      <c r="Q530" s="51"/>
      <c r="R530" s="51"/>
    </row>
    <row r="531">
      <c r="P531" s="51"/>
      <c r="Q531" s="51"/>
      <c r="R531" s="51"/>
    </row>
    <row r="532">
      <c r="P532" s="51"/>
      <c r="Q532" s="51"/>
      <c r="R532" s="51"/>
    </row>
    <row r="533">
      <c r="P533" s="51"/>
      <c r="Q533" s="51"/>
      <c r="R533" s="51"/>
    </row>
    <row r="534">
      <c r="P534" s="51"/>
      <c r="Q534" s="51"/>
      <c r="R534" s="51"/>
    </row>
    <row r="535">
      <c r="P535" s="51"/>
      <c r="Q535" s="51"/>
      <c r="R535" s="51"/>
    </row>
    <row r="536">
      <c r="P536" s="51"/>
      <c r="Q536" s="51"/>
      <c r="R536" s="51"/>
    </row>
    <row r="537">
      <c r="P537" s="51"/>
      <c r="Q537" s="51"/>
      <c r="R537" s="51"/>
    </row>
    <row r="538">
      <c r="P538" s="51"/>
      <c r="Q538" s="51"/>
      <c r="R538" s="51"/>
    </row>
    <row r="539">
      <c r="P539" s="51"/>
      <c r="Q539" s="51"/>
      <c r="R539" s="51"/>
    </row>
    <row r="540">
      <c r="P540" s="51"/>
      <c r="Q540" s="51"/>
      <c r="R540" s="51"/>
    </row>
    <row r="541">
      <c r="P541" s="51"/>
      <c r="Q541" s="51"/>
      <c r="R541" s="51"/>
    </row>
    <row r="542">
      <c r="P542" s="51"/>
      <c r="Q542" s="51"/>
      <c r="R542" s="51"/>
    </row>
    <row r="543">
      <c r="P543" s="51"/>
      <c r="Q543" s="51"/>
      <c r="R543" s="51"/>
    </row>
    <row r="544">
      <c r="P544" s="51"/>
      <c r="Q544" s="51"/>
      <c r="R544" s="51"/>
    </row>
    <row r="545">
      <c r="P545" s="51"/>
      <c r="Q545" s="51"/>
      <c r="R545" s="51"/>
    </row>
    <row r="546">
      <c r="P546" s="51"/>
      <c r="Q546" s="51"/>
      <c r="R546" s="51"/>
    </row>
    <row r="547">
      <c r="P547" s="51"/>
      <c r="Q547" s="51"/>
      <c r="R547" s="51"/>
    </row>
    <row r="548">
      <c r="P548" s="51"/>
      <c r="Q548" s="51"/>
      <c r="R548" s="51"/>
    </row>
    <row r="549">
      <c r="P549" s="51"/>
      <c r="Q549" s="51"/>
      <c r="R549" s="51"/>
    </row>
    <row r="550">
      <c r="P550" s="51"/>
      <c r="Q550" s="51"/>
      <c r="R550" s="51"/>
    </row>
    <row r="551">
      <c r="P551" s="51"/>
      <c r="Q551" s="51"/>
      <c r="R551" s="51"/>
    </row>
    <row r="552">
      <c r="P552" s="51"/>
      <c r="Q552" s="51"/>
      <c r="R552" s="51"/>
    </row>
    <row r="553">
      <c r="P553" s="51"/>
      <c r="Q553" s="51"/>
      <c r="R553" s="51"/>
    </row>
    <row r="554">
      <c r="P554" s="51"/>
      <c r="Q554" s="51"/>
      <c r="R554" s="51"/>
    </row>
    <row r="555">
      <c r="P555" s="51"/>
      <c r="Q555" s="51"/>
      <c r="R555" s="51"/>
    </row>
    <row r="556">
      <c r="P556" s="51"/>
      <c r="Q556" s="51"/>
      <c r="R556" s="51"/>
    </row>
    <row r="557">
      <c r="P557" s="51"/>
      <c r="Q557" s="51"/>
      <c r="R557" s="51"/>
    </row>
    <row r="558">
      <c r="P558" s="51"/>
      <c r="Q558" s="51"/>
      <c r="R558" s="51"/>
    </row>
    <row r="559">
      <c r="P559" s="51"/>
      <c r="Q559" s="51"/>
      <c r="R559" s="51"/>
    </row>
    <row r="560">
      <c r="P560" s="51"/>
      <c r="Q560" s="51"/>
      <c r="R560" s="51"/>
    </row>
    <row r="561">
      <c r="P561" s="51"/>
      <c r="Q561" s="51"/>
      <c r="R561" s="51"/>
    </row>
    <row r="562">
      <c r="P562" s="51"/>
      <c r="Q562" s="51"/>
      <c r="R562" s="51"/>
    </row>
    <row r="563">
      <c r="P563" s="51"/>
      <c r="Q563" s="51"/>
      <c r="R563" s="51"/>
    </row>
    <row r="564">
      <c r="P564" s="51"/>
      <c r="Q564" s="51"/>
      <c r="R564" s="51"/>
    </row>
    <row r="565">
      <c r="P565" s="51"/>
      <c r="Q565" s="51"/>
      <c r="R565" s="51"/>
    </row>
    <row r="566">
      <c r="P566" s="51"/>
      <c r="Q566" s="51"/>
      <c r="R566" s="51"/>
    </row>
    <row r="567">
      <c r="P567" s="51"/>
      <c r="Q567" s="51"/>
      <c r="R567" s="51"/>
    </row>
    <row r="568">
      <c r="P568" s="51"/>
      <c r="Q568" s="51"/>
      <c r="R568" s="51"/>
    </row>
    <row r="569">
      <c r="P569" s="51"/>
      <c r="Q569" s="51"/>
      <c r="R569" s="51"/>
    </row>
    <row r="570">
      <c r="P570" s="51"/>
      <c r="Q570" s="51"/>
      <c r="R570" s="51"/>
    </row>
    <row r="571">
      <c r="P571" s="51"/>
      <c r="Q571" s="51"/>
      <c r="R571" s="51"/>
    </row>
    <row r="572">
      <c r="P572" s="51"/>
      <c r="Q572" s="51"/>
      <c r="R572" s="51"/>
    </row>
    <row r="573">
      <c r="P573" s="51"/>
      <c r="Q573" s="51"/>
      <c r="R573" s="51"/>
    </row>
    <row r="574">
      <c r="P574" s="51"/>
      <c r="Q574" s="51"/>
      <c r="R574" s="51"/>
    </row>
    <row r="575">
      <c r="P575" s="51"/>
      <c r="Q575" s="51"/>
      <c r="R575" s="51"/>
    </row>
    <row r="576">
      <c r="P576" s="51"/>
      <c r="Q576" s="51"/>
      <c r="R576" s="51"/>
    </row>
    <row r="577">
      <c r="P577" s="51"/>
      <c r="Q577" s="51"/>
      <c r="R577" s="51"/>
    </row>
    <row r="578">
      <c r="P578" s="51"/>
      <c r="Q578" s="51"/>
      <c r="R578" s="51"/>
    </row>
    <row r="579">
      <c r="P579" s="51"/>
      <c r="Q579" s="51"/>
      <c r="R579" s="51"/>
    </row>
    <row r="580">
      <c r="P580" s="51"/>
      <c r="Q580" s="51"/>
      <c r="R580" s="51"/>
    </row>
    <row r="581">
      <c r="P581" s="51"/>
      <c r="Q581" s="51"/>
      <c r="R581" s="51"/>
    </row>
    <row r="582">
      <c r="P582" s="51"/>
      <c r="Q582" s="51"/>
      <c r="R582" s="51"/>
    </row>
    <row r="583">
      <c r="P583" s="51"/>
      <c r="Q583" s="51"/>
      <c r="R583" s="51"/>
    </row>
    <row r="584">
      <c r="P584" s="51"/>
      <c r="Q584" s="51"/>
      <c r="R584" s="51"/>
    </row>
    <row r="585">
      <c r="P585" s="51"/>
      <c r="Q585" s="51"/>
      <c r="R585" s="51"/>
    </row>
    <row r="586">
      <c r="P586" s="51"/>
      <c r="Q586" s="51"/>
      <c r="R586" s="51"/>
    </row>
    <row r="587">
      <c r="P587" s="51"/>
      <c r="Q587" s="51"/>
      <c r="R587" s="51"/>
    </row>
    <row r="588">
      <c r="P588" s="51"/>
      <c r="Q588" s="51"/>
      <c r="R588" s="51"/>
    </row>
    <row r="589">
      <c r="P589" s="51"/>
      <c r="Q589" s="51"/>
      <c r="R589" s="51"/>
    </row>
    <row r="590">
      <c r="P590" s="51"/>
      <c r="Q590" s="51"/>
      <c r="R590" s="51"/>
    </row>
    <row r="591">
      <c r="P591" s="51"/>
      <c r="Q591" s="51"/>
      <c r="R591" s="51"/>
    </row>
    <row r="592">
      <c r="P592" s="51"/>
      <c r="Q592" s="51"/>
      <c r="R592" s="51"/>
    </row>
    <row r="593">
      <c r="P593" s="51"/>
      <c r="Q593" s="51"/>
      <c r="R593" s="51"/>
    </row>
    <row r="594">
      <c r="P594" s="51"/>
      <c r="Q594" s="51"/>
      <c r="R594" s="51"/>
    </row>
    <row r="595">
      <c r="P595" s="51"/>
      <c r="Q595" s="51"/>
      <c r="R595" s="51"/>
    </row>
    <row r="596">
      <c r="P596" s="51"/>
      <c r="Q596" s="51"/>
      <c r="R596" s="51"/>
    </row>
    <row r="597">
      <c r="P597" s="51"/>
      <c r="Q597" s="51"/>
      <c r="R597" s="51"/>
    </row>
    <row r="598">
      <c r="P598" s="51"/>
      <c r="Q598" s="51"/>
      <c r="R598" s="51"/>
    </row>
    <row r="599">
      <c r="P599" s="51"/>
      <c r="Q599" s="51"/>
      <c r="R599" s="51"/>
    </row>
    <row r="600">
      <c r="P600" s="51"/>
      <c r="Q600" s="51"/>
      <c r="R600" s="51"/>
    </row>
    <row r="601">
      <c r="P601" s="51"/>
      <c r="Q601" s="51"/>
      <c r="R601" s="51"/>
    </row>
    <row r="602">
      <c r="P602" s="51"/>
      <c r="Q602" s="51"/>
      <c r="R602" s="51"/>
    </row>
    <row r="603">
      <c r="P603" s="51"/>
      <c r="Q603" s="51"/>
      <c r="R603" s="51"/>
    </row>
    <row r="604">
      <c r="P604" s="51"/>
      <c r="Q604" s="51"/>
      <c r="R604" s="51"/>
    </row>
    <row r="605">
      <c r="P605" s="51"/>
      <c r="Q605" s="51"/>
      <c r="R605" s="51"/>
    </row>
    <row r="606">
      <c r="P606" s="51"/>
      <c r="Q606" s="51"/>
      <c r="R606" s="51"/>
    </row>
    <row r="607">
      <c r="P607" s="51"/>
      <c r="Q607" s="51"/>
      <c r="R607" s="51"/>
    </row>
    <row r="608">
      <c r="P608" s="51"/>
      <c r="Q608" s="51"/>
      <c r="R608" s="51"/>
    </row>
    <row r="609">
      <c r="P609" s="51"/>
      <c r="Q609" s="51"/>
      <c r="R609" s="51"/>
    </row>
    <row r="610">
      <c r="P610" s="51"/>
      <c r="Q610" s="51"/>
      <c r="R610" s="51"/>
    </row>
    <row r="611">
      <c r="P611" s="51"/>
      <c r="Q611" s="51"/>
      <c r="R611" s="51"/>
    </row>
    <row r="612">
      <c r="P612" s="51"/>
      <c r="Q612" s="51"/>
      <c r="R612" s="51"/>
    </row>
    <row r="613">
      <c r="P613" s="51"/>
      <c r="Q613" s="51"/>
      <c r="R613" s="51"/>
    </row>
    <row r="614">
      <c r="P614" s="51"/>
      <c r="Q614" s="51"/>
      <c r="R614" s="51"/>
    </row>
    <row r="615">
      <c r="P615" s="51"/>
      <c r="Q615" s="51"/>
      <c r="R615" s="51"/>
    </row>
    <row r="616">
      <c r="P616" s="51"/>
      <c r="Q616" s="51"/>
      <c r="R616" s="51"/>
    </row>
    <row r="617">
      <c r="P617" s="51"/>
      <c r="Q617" s="51"/>
      <c r="R617" s="51"/>
    </row>
    <row r="618">
      <c r="P618" s="51"/>
      <c r="Q618" s="51"/>
      <c r="R618" s="51"/>
    </row>
    <row r="619">
      <c r="P619" s="51"/>
      <c r="Q619" s="51"/>
      <c r="R619" s="51"/>
    </row>
    <row r="620">
      <c r="P620" s="51"/>
      <c r="Q620" s="51"/>
      <c r="R620" s="51"/>
    </row>
    <row r="621">
      <c r="P621" s="51"/>
      <c r="Q621" s="51"/>
      <c r="R621" s="51"/>
    </row>
    <row r="622">
      <c r="P622" s="51"/>
      <c r="Q622" s="51"/>
      <c r="R622" s="51"/>
    </row>
    <row r="623">
      <c r="P623" s="51"/>
      <c r="Q623" s="51"/>
      <c r="R623" s="51"/>
    </row>
    <row r="624">
      <c r="P624" s="51"/>
      <c r="Q624" s="51"/>
      <c r="R624" s="51"/>
    </row>
    <row r="625">
      <c r="P625" s="51"/>
      <c r="Q625" s="51"/>
      <c r="R625" s="51"/>
    </row>
    <row r="626">
      <c r="P626" s="51"/>
      <c r="Q626" s="51"/>
      <c r="R626" s="51"/>
    </row>
    <row r="627">
      <c r="P627" s="51"/>
      <c r="Q627" s="51"/>
      <c r="R627" s="51"/>
    </row>
    <row r="628">
      <c r="P628" s="51"/>
      <c r="Q628" s="51"/>
      <c r="R628" s="51"/>
    </row>
    <row r="629">
      <c r="P629" s="51"/>
      <c r="Q629" s="51"/>
      <c r="R629" s="51"/>
    </row>
    <row r="630">
      <c r="P630" s="51"/>
      <c r="Q630" s="51"/>
      <c r="R630" s="51"/>
    </row>
    <row r="631">
      <c r="P631" s="51"/>
      <c r="Q631" s="51"/>
      <c r="R631" s="51"/>
    </row>
    <row r="632">
      <c r="P632" s="51"/>
      <c r="Q632" s="51"/>
      <c r="R632" s="51"/>
    </row>
    <row r="633">
      <c r="P633" s="51"/>
      <c r="Q633" s="51"/>
      <c r="R633" s="51"/>
    </row>
    <row r="634">
      <c r="P634" s="51"/>
      <c r="Q634" s="51"/>
      <c r="R634" s="51"/>
    </row>
    <row r="635">
      <c r="P635" s="51"/>
      <c r="Q635" s="51"/>
      <c r="R635" s="51"/>
    </row>
    <row r="636">
      <c r="P636" s="51"/>
      <c r="Q636" s="51"/>
      <c r="R636" s="51"/>
    </row>
    <row r="637">
      <c r="P637" s="51"/>
      <c r="Q637" s="51"/>
      <c r="R637" s="51"/>
    </row>
    <row r="638">
      <c r="P638" s="51"/>
      <c r="Q638" s="51"/>
      <c r="R638" s="51"/>
    </row>
    <row r="639">
      <c r="P639" s="51"/>
      <c r="Q639" s="51"/>
      <c r="R639" s="51"/>
    </row>
    <row r="640">
      <c r="P640" s="51"/>
      <c r="Q640" s="51"/>
      <c r="R640" s="51"/>
    </row>
    <row r="641">
      <c r="P641" s="51"/>
      <c r="Q641" s="51"/>
      <c r="R641" s="51"/>
    </row>
    <row r="642">
      <c r="P642" s="51"/>
      <c r="Q642" s="51"/>
      <c r="R642" s="51"/>
    </row>
    <row r="643">
      <c r="P643" s="51"/>
      <c r="Q643" s="51"/>
      <c r="R643" s="51"/>
    </row>
    <row r="644">
      <c r="P644" s="51"/>
      <c r="Q644" s="51"/>
      <c r="R644" s="51"/>
    </row>
    <row r="645">
      <c r="P645" s="51"/>
      <c r="Q645" s="51"/>
      <c r="R645" s="51"/>
    </row>
    <row r="646">
      <c r="P646" s="51"/>
      <c r="Q646" s="51"/>
      <c r="R646" s="51"/>
    </row>
    <row r="647">
      <c r="P647" s="51"/>
      <c r="Q647" s="51"/>
      <c r="R647" s="51"/>
    </row>
    <row r="648">
      <c r="P648" s="51"/>
      <c r="Q648" s="51"/>
      <c r="R648" s="51"/>
    </row>
    <row r="649">
      <c r="P649" s="51"/>
      <c r="Q649" s="51"/>
      <c r="R649" s="51"/>
    </row>
    <row r="650">
      <c r="P650" s="51"/>
      <c r="Q650" s="51"/>
      <c r="R650" s="51"/>
    </row>
    <row r="651">
      <c r="P651" s="51"/>
      <c r="Q651" s="51"/>
      <c r="R651" s="51"/>
    </row>
    <row r="652">
      <c r="P652" s="51"/>
      <c r="Q652" s="51"/>
      <c r="R652" s="51"/>
    </row>
    <row r="653">
      <c r="P653" s="51"/>
      <c r="Q653" s="51"/>
      <c r="R653" s="51"/>
    </row>
    <row r="654">
      <c r="P654" s="51"/>
      <c r="Q654" s="51"/>
      <c r="R654" s="51"/>
    </row>
    <row r="655">
      <c r="P655" s="51"/>
      <c r="Q655" s="51"/>
      <c r="R655" s="51"/>
    </row>
    <row r="656">
      <c r="P656" s="51"/>
      <c r="Q656" s="51"/>
      <c r="R656" s="51"/>
    </row>
    <row r="657">
      <c r="P657" s="51"/>
      <c r="Q657" s="51"/>
      <c r="R657" s="51"/>
    </row>
    <row r="658">
      <c r="P658" s="51"/>
      <c r="Q658" s="51"/>
      <c r="R658" s="51"/>
    </row>
    <row r="659">
      <c r="P659" s="51"/>
      <c r="Q659" s="51"/>
      <c r="R659" s="51"/>
    </row>
    <row r="660">
      <c r="P660" s="51"/>
      <c r="Q660" s="51"/>
      <c r="R660" s="51"/>
    </row>
    <row r="661">
      <c r="P661" s="51"/>
      <c r="Q661" s="51"/>
      <c r="R661" s="51"/>
    </row>
    <row r="662">
      <c r="P662" s="51"/>
      <c r="Q662" s="51"/>
      <c r="R662" s="51"/>
    </row>
    <row r="663">
      <c r="P663" s="51"/>
      <c r="Q663" s="51"/>
      <c r="R663" s="51"/>
    </row>
    <row r="664">
      <c r="P664" s="51"/>
      <c r="Q664" s="51"/>
      <c r="R664" s="51"/>
    </row>
    <row r="665">
      <c r="P665" s="51"/>
      <c r="Q665" s="51"/>
      <c r="R665" s="51"/>
    </row>
    <row r="666">
      <c r="P666" s="51"/>
      <c r="Q666" s="51"/>
      <c r="R666" s="51"/>
    </row>
    <row r="667">
      <c r="P667" s="51"/>
      <c r="Q667" s="51"/>
      <c r="R667" s="51"/>
    </row>
    <row r="668">
      <c r="P668" s="51"/>
      <c r="Q668" s="51"/>
      <c r="R668" s="51"/>
    </row>
    <row r="669">
      <c r="P669" s="51"/>
      <c r="Q669" s="51"/>
      <c r="R669" s="51"/>
    </row>
    <row r="670">
      <c r="P670" s="51"/>
      <c r="Q670" s="51"/>
      <c r="R670" s="51"/>
    </row>
    <row r="671">
      <c r="P671" s="51"/>
      <c r="Q671" s="51"/>
      <c r="R671" s="51"/>
    </row>
    <row r="672">
      <c r="P672" s="51"/>
      <c r="Q672" s="51"/>
      <c r="R672" s="51"/>
    </row>
    <row r="673">
      <c r="P673" s="51"/>
      <c r="Q673" s="51"/>
      <c r="R673" s="51"/>
    </row>
    <row r="674">
      <c r="P674" s="51"/>
      <c r="Q674" s="51"/>
      <c r="R674" s="51"/>
    </row>
    <row r="675">
      <c r="P675" s="51"/>
      <c r="Q675" s="51"/>
      <c r="R675" s="51"/>
    </row>
    <row r="676">
      <c r="P676" s="51"/>
      <c r="Q676" s="51"/>
      <c r="R676" s="51"/>
    </row>
    <row r="677">
      <c r="P677" s="51"/>
      <c r="Q677" s="51"/>
      <c r="R677" s="51"/>
    </row>
    <row r="678">
      <c r="P678" s="51"/>
      <c r="Q678" s="51"/>
      <c r="R678" s="51"/>
    </row>
    <row r="679">
      <c r="P679" s="51"/>
      <c r="Q679" s="51"/>
      <c r="R679" s="51"/>
    </row>
    <row r="680">
      <c r="P680" s="51"/>
      <c r="Q680" s="51"/>
      <c r="R680" s="51"/>
    </row>
    <row r="681">
      <c r="P681" s="51"/>
      <c r="Q681" s="51"/>
      <c r="R681" s="51"/>
    </row>
    <row r="682">
      <c r="P682" s="51"/>
      <c r="Q682" s="51"/>
      <c r="R682" s="51"/>
    </row>
    <row r="683">
      <c r="P683" s="51"/>
      <c r="Q683" s="51"/>
      <c r="R683" s="51"/>
    </row>
    <row r="684">
      <c r="P684" s="51"/>
      <c r="Q684" s="51"/>
      <c r="R684" s="51"/>
    </row>
    <row r="685">
      <c r="P685" s="51"/>
      <c r="Q685" s="51"/>
      <c r="R685" s="51"/>
    </row>
    <row r="686">
      <c r="P686" s="51"/>
      <c r="Q686" s="51"/>
      <c r="R686" s="51"/>
    </row>
    <row r="687">
      <c r="P687" s="51"/>
      <c r="Q687" s="51"/>
      <c r="R687" s="51"/>
    </row>
    <row r="688">
      <c r="P688" s="51"/>
      <c r="Q688" s="51"/>
      <c r="R688" s="51"/>
    </row>
    <row r="689">
      <c r="P689" s="51"/>
      <c r="Q689" s="51"/>
      <c r="R689" s="51"/>
    </row>
    <row r="690">
      <c r="P690" s="51"/>
      <c r="Q690" s="51"/>
      <c r="R690" s="51"/>
    </row>
    <row r="691">
      <c r="P691" s="51"/>
      <c r="Q691" s="51"/>
      <c r="R691" s="51"/>
    </row>
    <row r="692">
      <c r="P692" s="51"/>
      <c r="Q692" s="51"/>
      <c r="R692" s="51"/>
    </row>
    <row r="693">
      <c r="P693" s="51"/>
      <c r="Q693" s="51"/>
      <c r="R693" s="51"/>
    </row>
    <row r="694">
      <c r="P694" s="51"/>
      <c r="Q694" s="51"/>
      <c r="R694" s="51"/>
    </row>
    <row r="695">
      <c r="P695" s="51"/>
      <c r="Q695" s="51"/>
      <c r="R695" s="51"/>
    </row>
    <row r="696">
      <c r="P696" s="51"/>
      <c r="Q696" s="51"/>
      <c r="R696" s="51"/>
    </row>
    <row r="697">
      <c r="P697" s="51"/>
      <c r="Q697" s="51"/>
      <c r="R697" s="51"/>
    </row>
    <row r="698">
      <c r="P698" s="51"/>
      <c r="Q698" s="51"/>
      <c r="R698" s="51"/>
    </row>
    <row r="699">
      <c r="P699" s="51"/>
      <c r="Q699" s="51"/>
      <c r="R699" s="51"/>
    </row>
    <row r="700">
      <c r="P700" s="51"/>
      <c r="Q700" s="51"/>
      <c r="R700" s="51"/>
    </row>
    <row r="701">
      <c r="P701" s="51"/>
      <c r="Q701" s="51"/>
      <c r="R701" s="51"/>
    </row>
    <row r="702">
      <c r="P702" s="51"/>
      <c r="Q702" s="51"/>
      <c r="R702" s="51"/>
    </row>
    <row r="703">
      <c r="P703" s="51"/>
      <c r="Q703" s="51"/>
      <c r="R703" s="51"/>
    </row>
    <row r="704">
      <c r="P704" s="51"/>
      <c r="Q704" s="51"/>
      <c r="R704" s="51"/>
    </row>
    <row r="705">
      <c r="P705" s="51"/>
      <c r="Q705" s="51"/>
      <c r="R705" s="51"/>
    </row>
    <row r="706">
      <c r="P706" s="51"/>
      <c r="Q706" s="51"/>
      <c r="R706" s="51"/>
    </row>
    <row r="707">
      <c r="P707" s="51"/>
      <c r="Q707" s="51"/>
      <c r="R707" s="51"/>
    </row>
    <row r="708">
      <c r="P708" s="51"/>
      <c r="Q708" s="51"/>
      <c r="R708" s="51"/>
    </row>
    <row r="709">
      <c r="P709" s="51"/>
      <c r="Q709" s="51"/>
      <c r="R709" s="51"/>
    </row>
    <row r="710">
      <c r="P710" s="51"/>
      <c r="Q710" s="51"/>
      <c r="R710" s="51"/>
    </row>
    <row r="711">
      <c r="P711" s="51"/>
      <c r="Q711" s="51"/>
      <c r="R711" s="51"/>
    </row>
    <row r="712">
      <c r="P712" s="51"/>
      <c r="Q712" s="51"/>
      <c r="R712" s="51"/>
    </row>
    <row r="713">
      <c r="P713" s="51"/>
      <c r="Q713" s="51"/>
      <c r="R713" s="51"/>
    </row>
    <row r="714">
      <c r="P714" s="51"/>
      <c r="Q714" s="51"/>
      <c r="R714" s="51"/>
    </row>
    <row r="715">
      <c r="P715" s="51"/>
      <c r="Q715" s="51"/>
      <c r="R715" s="51"/>
    </row>
    <row r="716">
      <c r="P716" s="51"/>
      <c r="Q716" s="51"/>
      <c r="R716" s="51"/>
    </row>
    <row r="717">
      <c r="P717" s="51"/>
      <c r="Q717" s="51"/>
      <c r="R717" s="51"/>
    </row>
    <row r="718">
      <c r="P718" s="51"/>
      <c r="Q718" s="51"/>
      <c r="R718" s="51"/>
    </row>
    <row r="719">
      <c r="P719" s="51"/>
      <c r="Q719" s="51"/>
      <c r="R719" s="51"/>
    </row>
    <row r="720">
      <c r="P720" s="51"/>
      <c r="Q720" s="51"/>
      <c r="R720" s="51"/>
    </row>
    <row r="721">
      <c r="P721" s="51"/>
      <c r="Q721" s="51"/>
      <c r="R721" s="51"/>
    </row>
    <row r="722">
      <c r="P722" s="51"/>
      <c r="Q722" s="51"/>
      <c r="R722" s="51"/>
    </row>
    <row r="723">
      <c r="P723" s="51"/>
      <c r="Q723" s="51"/>
      <c r="R723" s="51"/>
    </row>
    <row r="724">
      <c r="P724" s="51"/>
      <c r="Q724" s="51"/>
      <c r="R724" s="51"/>
    </row>
    <row r="725">
      <c r="P725" s="51"/>
      <c r="Q725" s="51"/>
      <c r="R725" s="51"/>
    </row>
    <row r="726">
      <c r="P726" s="51"/>
      <c r="Q726" s="51"/>
      <c r="R726" s="51"/>
    </row>
    <row r="727">
      <c r="P727" s="51"/>
      <c r="Q727" s="51"/>
      <c r="R727" s="51"/>
    </row>
    <row r="728">
      <c r="P728" s="51"/>
      <c r="Q728" s="51"/>
      <c r="R728" s="51"/>
    </row>
    <row r="729">
      <c r="P729" s="51"/>
      <c r="Q729" s="51"/>
      <c r="R729" s="51"/>
    </row>
    <row r="730">
      <c r="P730" s="51"/>
      <c r="Q730" s="51"/>
      <c r="R730" s="51"/>
    </row>
    <row r="731">
      <c r="P731" s="51"/>
      <c r="Q731" s="51"/>
      <c r="R731" s="51"/>
    </row>
    <row r="732">
      <c r="P732" s="51"/>
      <c r="Q732" s="51"/>
      <c r="R732" s="51"/>
    </row>
    <row r="733">
      <c r="P733" s="51"/>
      <c r="Q733" s="51"/>
      <c r="R733" s="51"/>
    </row>
    <row r="734">
      <c r="P734" s="51"/>
      <c r="Q734" s="51"/>
      <c r="R734" s="51"/>
    </row>
    <row r="735">
      <c r="P735" s="51"/>
      <c r="Q735" s="51"/>
      <c r="R735" s="51"/>
    </row>
    <row r="736">
      <c r="P736" s="51"/>
      <c r="Q736" s="51"/>
      <c r="R736" s="51"/>
    </row>
    <row r="737">
      <c r="P737" s="51"/>
      <c r="Q737" s="51"/>
      <c r="R737" s="51"/>
    </row>
    <row r="738">
      <c r="P738" s="51"/>
      <c r="Q738" s="51"/>
      <c r="R738" s="51"/>
    </row>
    <row r="739">
      <c r="P739" s="51"/>
      <c r="Q739" s="51"/>
      <c r="R739" s="51"/>
    </row>
    <row r="740">
      <c r="P740" s="51"/>
      <c r="Q740" s="51"/>
      <c r="R740" s="51"/>
    </row>
    <row r="741">
      <c r="P741" s="51"/>
      <c r="Q741" s="51"/>
      <c r="R741" s="51"/>
    </row>
    <row r="742">
      <c r="P742" s="51"/>
      <c r="Q742" s="51"/>
      <c r="R742" s="51"/>
    </row>
    <row r="743">
      <c r="P743" s="51"/>
      <c r="Q743" s="51"/>
      <c r="R743" s="51"/>
    </row>
    <row r="744">
      <c r="P744" s="51"/>
      <c r="Q744" s="51"/>
      <c r="R744" s="51"/>
    </row>
    <row r="745">
      <c r="P745" s="51"/>
      <c r="Q745" s="51"/>
      <c r="R745" s="51"/>
    </row>
    <row r="746">
      <c r="P746" s="51"/>
      <c r="Q746" s="51"/>
      <c r="R746" s="51"/>
    </row>
    <row r="747">
      <c r="P747" s="51"/>
      <c r="Q747" s="51"/>
      <c r="R747" s="51"/>
    </row>
    <row r="748">
      <c r="P748" s="51"/>
      <c r="Q748" s="51"/>
      <c r="R748" s="51"/>
    </row>
    <row r="749">
      <c r="P749" s="51"/>
      <c r="Q749" s="51"/>
      <c r="R749" s="51"/>
    </row>
    <row r="750">
      <c r="P750" s="51"/>
      <c r="Q750" s="51"/>
      <c r="R750" s="51"/>
    </row>
    <row r="751">
      <c r="P751" s="51"/>
      <c r="Q751" s="51"/>
      <c r="R751" s="51"/>
    </row>
    <row r="752">
      <c r="P752" s="51"/>
      <c r="Q752" s="51"/>
      <c r="R752" s="51"/>
    </row>
    <row r="753">
      <c r="P753" s="51"/>
      <c r="Q753" s="51"/>
      <c r="R753" s="51"/>
    </row>
    <row r="754">
      <c r="P754" s="51"/>
      <c r="Q754" s="51"/>
      <c r="R754" s="51"/>
    </row>
    <row r="755">
      <c r="P755" s="51"/>
      <c r="Q755" s="51"/>
      <c r="R755" s="51"/>
    </row>
    <row r="756">
      <c r="P756" s="51"/>
      <c r="Q756" s="51"/>
      <c r="R756" s="51"/>
    </row>
    <row r="757">
      <c r="P757" s="51"/>
      <c r="Q757" s="51"/>
      <c r="R757" s="51"/>
    </row>
    <row r="758">
      <c r="P758" s="51"/>
      <c r="Q758" s="51"/>
      <c r="R758" s="51"/>
    </row>
    <row r="759">
      <c r="P759" s="51"/>
      <c r="Q759" s="51"/>
      <c r="R759" s="51"/>
    </row>
    <row r="760">
      <c r="P760" s="51"/>
      <c r="Q760" s="51"/>
      <c r="R760" s="51"/>
    </row>
    <row r="761">
      <c r="P761" s="51"/>
      <c r="Q761" s="51"/>
      <c r="R761" s="51"/>
    </row>
    <row r="762">
      <c r="P762" s="51"/>
      <c r="Q762" s="51"/>
      <c r="R762" s="51"/>
    </row>
    <row r="763">
      <c r="P763" s="51"/>
      <c r="Q763" s="51"/>
      <c r="R763" s="51"/>
    </row>
    <row r="764">
      <c r="P764" s="51"/>
      <c r="Q764" s="51"/>
      <c r="R764" s="51"/>
    </row>
    <row r="765">
      <c r="P765" s="51"/>
      <c r="Q765" s="51"/>
      <c r="R765" s="51"/>
    </row>
    <row r="766">
      <c r="P766" s="51"/>
      <c r="Q766" s="51"/>
      <c r="R766" s="51"/>
    </row>
    <row r="767">
      <c r="P767" s="51"/>
      <c r="Q767" s="51"/>
      <c r="R767" s="51"/>
    </row>
    <row r="768">
      <c r="P768" s="51"/>
      <c r="Q768" s="51"/>
      <c r="R768" s="51"/>
    </row>
    <row r="769">
      <c r="P769" s="51"/>
      <c r="Q769" s="51"/>
      <c r="R769" s="51"/>
    </row>
    <row r="770">
      <c r="P770" s="51"/>
      <c r="Q770" s="51"/>
      <c r="R770" s="51"/>
    </row>
    <row r="771">
      <c r="P771" s="51"/>
      <c r="Q771" s="51"/>
      <c r="R771" s="51"/>
    </row>
    <row r="772">
      <c r="P772" s="51"/>
      <c r="Q772" s="51"/>
      <c r="R772" s="51"/>
    </row>
    <row r="773">
      <c r="P773" s="51"/>
      <c r="Q773" s="51"/>
      <c r="R773" s="51"/>
    </row>
    <row r="774">
      <c r="P774" s="51"/>
      <c r="Q774" s="51"/>
      <c r="R774" s="51"/>
    </row>
    <row r="775">
      <c r="P775" s="51"/>
      <c r="Q775" s="51"/>
      <c r="R775" s="51"/>
    </row>
    <row r="776">
      <c r="P776" s="51"/>
      <c r="Q776" s="51"/>
      <c r="R776" s="51"/>
    </row>
    <row r="777">
      <c r="P777" s="51"/>
      <c r="Q777" s="51"/>
      <c r="R777" s="51"/>
    </row>
    <row r="778">
      <c r="P778" s="51"/>
      <c r="Q778" s="51"/>
      <c r="R778" s="51"/>
    </row>
    <row r="779">
      <c r="P779" s="51"/>
      <c r="Q779" s="51"/>
      <c r="R779" s="51"/>
    </row>
    <row r="780">
      <c r="P780" s="51"/>
      <c r="Q780" s="51"/>
      <c r="R780" s="51"/>
    </row>
    <row r="781">
      <c r="P781" s="51"/>
      <c r="Q781" s="51"/>
      <c r="R781" s="51"/>
    </row>
    <row r="782">
      <c r="P782" s="51"/>
      <c r="Q782" s="51"/>
      <c r="R782" s="51"/>
    </row>
    <row r="783">
      <c r="P783" s="51"/>
      <c r="Q783" s="51"/>
      <c r="R783" s="51"/>
    </row>
    <row r="784">
      <c r="P784" s="51"/>
      <c r="Q784" s="51"/>
      <c r="R784" s="51"/>
    </row>
    <row r="785">
      <c r="P785" s="51"/>
      <c r="Q785" s="51"/>
      <c r="R785" s="51"/>
    </row>
    <row r="786">
      <c r="P786" s="51"/>
      <c r="Q786" s="51"/>
      <c r="R786" s="51"/>
    </row>
    <row r="787">
      <c r="P787" s="51"/>
      <c r="Q787" s="51"/>
      <c r="R787" s="51"/>
    </row>
    <row r="788">
      <c r="P788" s="51"/>
      <c r="Q788" s="51"/>
      <c r="R788" s="51"/>
    </row>
    <row r="789">
      <c r="P789" s="51"/>
      <c r="Q789" s="51"/>
      <c r="R789" s="51"/>
    </row>
    <row r="790">
      <c r="P790" s="51"/>
      <c r="Q790" s="51"/>
      <c r="R790" s="51"/>
    </row>
    <row r="791">
      <c r="P791" s="51"/>
      <c r="Q791" s="51"/>
      <c r="R791" s="51"/>
    </row>
    <row r="792">
      <c r="P792" s="51"/>
      <c r="Q792" s="51"/>
      <c r="R792" s="51"/>
    </row>
    <row r="793">
      <c r="P793" s="51"/>
      <c r="Q793" s="51"/>
      <c r="R793" s="51"/>
    </row>
    <row r="794">
      <c r="P794" s="51"/>
      <c r="Q794" s="51"/>
      <c r="R794" s="51"/>
    </row>
    <row r="795">
      <c r="P795" s="51"/>
      <c r="Q795" s="51"/>
      <c r="R795" s="51"/>
    </row>
    <row r="796">
      <c r="P796" s="51"/>
      <c r="Q796" s="51"/>
      <c r="R796" s="51"/>
    </row>
    <row r="797">
      <c r="P797" s="51"/>
      <c r="Q797" s="51"/>
      <c r="R797" s="51"/>
    </row>
    <row r="798">
      <c r="P798" s="51"/>
      <c r="Q798" s="51"/>
      <c r="R798" s="51"/>
    </row>
    <row r="799">
      <c r="P799" s="51"/>
      <c r="Q799" s="51"/>
      <c r="R799" s="51"/>
    </row>
    <row r="800">
      <c r="P800" s="51"/>
      <c r="Q800" s="51"/>
      <c r="R800" s="51"/>
    </row>
    <row r="801">
      <c r="P801" s="51"/>
      <c r="Q801" s="51"/>
      <c r="R801" s="51"/>
    </row>
    <row r="802">
      <c r="P802" s="51"/>
      <c r="Q802" s="51"/>
      <c r="R802" s="51"/>
    </row>
    <row r="803">
      <c r="P803" s="51"/>
      <c r="Q803" s="51"/>
      <c r="R803" s="51"/>
    </row>
    <row r="804">
      <c r="P804" s="51"/>
      <c r="Q804" s="51"/>
      <c r="R804" s="51"/>
    </row>
    <row r="805">
      <c r="P805" s="51"/>
      <c r="Q805" s="51"/>
      <c r="R805" s="51"/>
    </row>
    <row r="806">
      <c r="P806" s="51"/>
      <c r="Q806" s="51"/>
      <c r="R806" s="51"/>
    </row>
    <row r="807">
      <c r="P807" s="51"/>
      <c r="Q807" s="51"/>
      <c r="R807" s="51"/>
    </row>
    <row r="808">
      <c r="P808" s="51"/>
      <c r="Q808" s="51"/>
      <c r="R808" s="51"/>
    </row>
    <row r="809">
      <c r="P809" s="51"/>
      <c r="Q809" s="51"/>
      <c r="R809" s="51"/>
    </row>
    <row r="810">
      <c r="P810" s="51"/>
      <c r="Q810" s="51"/>
      <c r="R810" s="51"/>
    </row>
    <row r="811">
      <c r="P811" s="51"/>
      <c r="Q811" s="51"/>
      <c r="R811" s="51"/>
    </row>
    <row r="812">
      <c r="P812" s="51"/>
      <c r="Q812" s="51"/>
      <c r="R812" s="51"/>
    </row>
    <row r="813">
      <c r="P813" s="51"/>
      <c r="Q813" s="51"/>
      <c r="R813" s="51"/>
    </row>
    <row r="814">
      <c r="P814" s="51"/>
      <c r="Q814" s="51"/>
      <c r="R814" s="51"/>
    </row>
    <row r="815">
      <c r="P815" s="51"/>
      <c r="Q815" s="51"/>
      <c r="R815" s="51"/>
    </row>
    <row r="816">
      <c r="P816" s="51"/>
      <c r="Q816" s="51"/>
      <c r="R816" s="51"/>
    </row>
    <row r="817">
      <c r="P817" s="51"/>
      <c r="Q817" s="51"/>
      <c r="R817" s="51"/>
    </row>
    <row r="818">
      <c r="P818" s="51"/>
      <c r="Q818" s="51"/>
      <c r="R818" s="51"/>
    </row>
    <row r="819">
      <c r="P819" s="51"/>
      <c r="Q819" s="51"/>
      <c r="R819" s="51"/>
    </row>
    <row r="820">
      <c r="P820" s="51"/>
      <c r="Q820" s="51"/>
      <c r="R820" s="51"/>
    </row>
    <row r="821">
      <c r="P821" s="51"/>
      <c r="Q821" s="51"/>
      <c r="R821" s="51"/>
    </row>
    <row r="822">
      <c r="P822" s="51"/>
      <c r="Q822" s="51"/>
      <c r="R822" s="51"/>
    </row>
    <row r="823">
      <c r="P823" s="51"/>
      <c r="Q823" s="51"/>
      <c r="R823" s="51"/>
    </row>
    <row r="824">
      <c r="P824" s="51"/>
      <c r="Q824" s="51"/>
      <c r="R824" s="51"/>
    </row>
    <row r="825">
      <c r="P825" s="51"/>
      <c r="Q825" s="51"/>
      <c r="R825" s="51"/>
    </row>
    <row r="826">
      <c r="P826" s="51"/>
      <c r="Q826" s="51"/>
      <c r="R826" s="51"/>
    </row>
    <row r="827">
      <c r="P827" s="51"/>
      <c r="Q827" s="51"/>
      <c r="R827" s="51"/>
    </row>
    <row r="828">
      <c r="P828" s="51"/>
      <c r="Q828" s="51"/>
      <c r="R828" s="51"/>
    </row>
    <row r="829">
      <c r="P829" s="51"/>
      <c r="Q829" s="51"/>
      <c r="R829" s="51"/>
    </row>
    <row r="830">
      <c r="P830" s="51"/>
      <c r="Q830" s="51"/>
      <c r="R830" s="51"/>
    </row>
    <row r="831">
      <c r="P831" s="51"/>
      <c r="Q831" s="51"/>
      <c r="R831" s="51"/>
    </row>
    <row r="832">
      <c r="P832" s="51"/>
      <c r="Q832" s="51"/>
      <c r="R832" s="51"/>
    </row>
    <row r="833">
      <c r="P833" s="51"/>
      <c r="Q833" s="51"/>
      <c r="R833" s="51"/>
    </row>
    <row r="834">
      <c r="P834" s="51"/>
      <c r="Q834" s="51"/>
      <c r="R834" s="51"/>
    </row>
    <row r="835">
      <c r="P835" s="51"/>
      <c r="Q835" s="51"/>
      <c r="R835" s="51"/>
    </row>
    <row r="836">
      <c r="P836" s="51"/>
      <c r="Q836" s="51"/>
      <c r="R836" s="51"/>
    </row>
    <row r="837">
      <c r="P837" s="51"/>
      <c r="Q837" s="51"/>
      <c r="R837" s="51"/>
    </row>
    <row r="838">
      <c r="P838" s="51"/>
      <c r="Q838" s="51"/>
      <c r="R838" s="51"/>
    </row>
    <row r="839">
      <c r="P839" s="51"/>
      <c r="Q839" s="51"/>
      <c r="R839" s="51"/>
    </row>
    <row r="840">
      <c r="P840" s="51"/>
      <c r="Q840" s="51"/>
      <c r="R840" s="51"/>
    </row>
    <row r="841">
      <c r="P841" s="51"/>
      <c r="Q841" s="51"/>
      <c r="R841" s="51"/>
    </row>
    <row r="842">
      <c r="P842" s="51"/>
      <c r="Q842" s="51"/>
      <c r="R842" s="51"/>
    </row>
    <row r="843">
      <c r="P843" s="51"/>
      <c r="Q843" s="51"/>
      <c r="R843" s="51"/>
    </row>
    <row r="844">
      <c r="P844" s="51"/>
      <c r="Q844" s="51"/>
      <c r="R844" s="51"/>
    </row>
    <row r="845">
      <c r="P845" s="51"/>
      <c r="Q845" s="51"/>
      <c r="R845" s="51"/>
    </row>
    <row r="846">
      <c r="P846" s="51"/>
      <c r="Q846" s="51"/>
      <c r="R846" s="51"/>
    </row>
    <row r="847">
      <c r="P847" s="51"/>
      <c r="Q847" s="51"/>
      <c r="R847" s="51"/>
    </row>
    <row r="848">
      <c r="P848" s="51"/>
      <c r="Q848" s="51"/>
      <c r="R848" s="51"/>
    </row>
    <row r="849">
      <c r="P849" s="51"/>
      <c r="Q849" s="51"/>
      <c r="R849" s="51"/>
    </row>
    <row r="850">
      <c r="P850" s="51"/>
      <c r="Q850" s="51"/>
      <c r="R850" s="51"/>
    </row>
    <row r="851">
      <c r="P851" s="51"/>
      <c r="Q851" s="51"/>
      <c r="R851" s="51"/>
    </row>
    <row r="852">
      <c r="P852" s="51"/>
      <c r="Q852" s="51"/>
      <c r="R852" s="51"/>
    </row>
    <row r="853">
      <c r="P853" s="51"/>
      <c r="Q853" s="51"/>
      <c r="R853" s="51"/>
    </row>
    <row r="854">
      <c r="P854" s="51"/>
      <c r="Q854" s="51"/>
      <c r="R854" s="51"/>
    </row>
    <row r="855">
      <c r="P855" s="51"/>
      <c r="Q855" s="51"/>
      <c r="R855" s="51"/>
    </row>
    <row r="856">
      <c r="P856" s="51"/>
      <c r="Q856" s="51"/>
      <c r="R856" s="51"/>
    </row>
    <row r="857">
      <c r="P857" s="51"/>
      <c r="Q857" s="51"/>
      <c r="R857" s="51"/>
    </row>
    <row r="858">
      <c r="P858" s="51"/>
      <c r="Q858" s="51"/>
      <c r="R858" s="51"/>
    </row>
    <row r="859">
      <c r="P859" s="51"/>
      <c r="Q859" s="51"/>
      <c r="R859" s="51"/>
    </row>
    <row r="860">
      <c r="P860" s="51"/>
      <c r="Q860" s="51"/>
      <c r="R860" s="51"/>
    </row>
    <row r="861">
      <c r="P861" s="51"/>
      <c r="Q861" s="51"/>
      <c r="R861" s="51"/>
    </row>
    <row r="862">
      <c r="P862" s="51"/>
      <c r="Q862" s="51"/>
      <c r="R862" s="51"/>
    </row>
    <row r="863">
      <c r="P863" s="51"/>
      <c r="Q863" s="51"/>
      <c r="R863" s="51"/>
    </row>
    <row r="864">
      <c r="P864" s="51"/>
      <c r="Q864" s="51"/>
      <c r="R864" s="51"/>
    </row>
    <row r="865">
      <c r="P865" s="51"/>
      <c r="Q865" s="51"/>
      <c r="R865" s="51"/>
    </row>
    <row r="866">
      <c r="P866" s="51"/>
      <c r="Q866" s="51"/>
      <c r="R866" s="51"/>
    </row>
    <row r="867">
      <c r="P867" s="51"/>
      <c r="Q867" s="51"/>
      <c r="R867" s="51"/>
    </row>
    <row r="868">
      <c r="P868" s="51"/>
      <c r="Q868" s="51"/>
      <c r="R868" s="51"/>
    </row>
    <row r="869">
      <c r="P869" s="51"/>
      <c r="Q869" s="51"/>
      <c r="R869" s="51"/>
    </row>
    <row r="870">
      <c r="P870" s="51"/>
      <c r="Q870" s="51"/>
      <c r="R870" s="51"/>
    </row>
    <row r="871">
      <c r="P871" s="51"/>
      <c r="Q871" s="51"/>
      <c r="R871" s="51"/>
    </row>
    <row r="872">
      <c r="P872" s="51"/>
      <c r="Q872" s="51"/>
      <c r="R872" s="51"/>
    </row>
    <row r="873">
      <c r="P873" s="51"/>
      <c r="Q873" s="51"/>
      <c r="R873" s="51"/>
    </row>
    <row r="874">
      <c r="P874" s="51"/>
      <c r="Q874" s="51"/>
      <c r="R874" s="51"/>
    </row>
    <row r="875">
      <c r="P875" s="51"/>
      <c r="Q875" s="51"/>
      <c r="R875" s="51"/>
    </row>
    <row r="876">
      <c r="P876" s="51"/>
      <c r="Q876" s="51"/>
      <c r="R876" s="51"/>
    </row>
    <row r="877">
      <c r="P877" s="51"/>
      <c r="Q877" s="51"/>
      <c r="R877" s="51"/>
    </row>
    <row r="878">
      <c r="P878" s="51"/>
      <c r="Q878" s="51"/>
      <c r="R878" s="51"/>
    </row>
    <row r="879">
      <c r="P879" s="51"/>
      <c r="Q879" s="51"/>
      <c r="R879" s="51"/>
    </row>
    <row r="880">
      <c r="P880" s="51"/>
      <c r="Q880" s="51"/>
      <c r="R880" s="51"/>
    </row>
    <row r="881">
      <c r="P881" s="51"/>
      <c r="Q881" s="51"/>
      <c r="R881" s="51"/>
    </row>
    <row r="882">
      <c r="P882" s="51"/>
      <c r="Q882" s="51"/>
      <c r="R882" s="51"/>
    </row>
    <row r="883">
      <c r="P883" s="51"/>
      <c r="Q883" s="51"/>
      <c r="R883" s="51"/>
    </row>
    <row r="884">
      <c r="P884" s="51"/>
      <c r="Q884" s="51"/>
      <c r="R884" s="51"/>
    </row>
    <row r="885">
      <c r="P885" s="51"/>
      <c r="Q885" s="51"/>
      <c r="R885" s="51"/>
    </row>
    <row r="886">
      <c r="P886" s="51"/>
      <c r="Q886" s="51"/>
      <c r="R886" s="51"/>
    </row>
    <row r="887">
      <c r="P887" s="51"/>
      <c r="Q887" s="51"/>
      <c r="R887" s="51"/>
    </row>
    <row r="888">
      <c r="P888" s="51"/>
      <c r="Q888" s="51"/>
      <c r="R888" s="51"/>
    </row>
    <row r="889">
      <c r="P889" s="51"/>
      <c r="Q889" s="51"/>
      <c r="R889" s="51"/>
    </row>
    <row r="890">
      <c r="P890" s="51"/>
      <c r="Q890" s="51"/>
      <c r="R890" s="51"/>
    </row>
    <row r="891">
      <c r="P891" s="51"/>
      <c r="Q891" s="51"/>
      <c r="R891" s="51"/>
    </row>
    <row r="892">
      <c r="P892" s="51"/>
      <c r="Q892" s="51"/>
      <c r="R892" s="51"/>
    </row>
    <row r="893">
      <c r="P893" s="51"/>
      <c r="Q893" s="51"/>
      <c r="R893" s="51"/>
    </row>
    <row r="894">
      <c r="P894" s="51"/>
      <c r="Q894" s="51"/>
      <c r="R894" s="51"/>
    </row>
    <row r="895">
      <c r="P895" s="51"/>
      <c r="Q895" s="51"/>
      <c r="R895" s="51"/>
    </row>
    <row r="896">
      <c r="P896" s="51"/>
      <c r="Q896" s="51"/>
      <c r="R896" s="51"/>
    </row>
    <row r="897">
      <c r="P897" s="51"/>
      <c r="Q897" s="51"/>
      <c r="R897" s="51"/>
    </row>
    <row r="898">
      <c r="P898" s="51"/>
      <c r="Q898" s="51"/>
      <c r="R898" s="51"/>
    </row>
    <row r="899">
      <c r="P899" s="51"/>
      <c r="Q899" s="51"/>
      <c r="R899" s="51"/>
    </row>
    <row r="900">
      <c r="P900" s="51"/>
      <c r="Q900" s="51"/>
      <c r="R900" s="51"/>
    </row>
    <row r="901">
      <c r="P901" s="51"/>
      <c r="Q901" s="51"/>
      <c r="R901" s="51"/>
    </row>
    <row r="902">
      <c r="P902" s="51"/>
      <c r="Q902" s="51"/>
      <c r="R902" s="51"/>
    </row>
    <row r="903">
      <c r="P903" s="51"/>
      <c r="Q903" s="51"/>
      <c r="R903" s="51"/>
    </row>
    <row r="904">
      <c r="P904" s="51"/>
      <c r="Q904" s="51"/>
      <c r="R904" s="51"/>
    </row>
    <row r="905">
      <c r="P905" s="51"/>
      <c r="Q905" s="51"/>
      <c r="R905" s="51"/>
    </row>
    <row r="906">
      <c r="P906" s="51"/>
      <c r="Q906" s="51"/>
      <c r="R906" s="51"/>
    </row>
    <row r="907">
      <c r="P907" s="51"/>
      <c r="Q907" s="51"/>
      <c r="R907" s="51"/>
    </row>
    <row r="908">
      <c r="P908" s="51"/>
      <c r="Q908" s="51"/>
      <c r="R908" s="51"/>
    </row>
    <row r="909">
      <c r="P909" s="51"/>
      <c r="Q909" s="51"/>
      <c r="R909" s="51"/>
    </row>
    <row r="910">
      <c r="P910" s="51"/>
      <c r="Q910" s="51"/>
      <c r="R910" s="51"/>
    </row>
    <row r="911">
      <c r="P911" s="51"/>
      <c r="Q911" s="51"/>
      <c r="R911" s="51"/>
    </row>
    <row r="912">
      <c r="P912" s="51"/>
      <c r="Q912" s="51"/>
      <c r="R912" s="51"/>
    </row>
    <row r="913">
      <c r="P913" s="51"/>
      <c r="Q913" s="51"/>
      <c r="R913" s="51"/>
    </row>
    <row r="914">
      <c r="P914" s="51"/>
      <c r="Q914" s="51"/>
      <c r="R914" s="51"/>
    </row>
    <row r="915">
      <c r="P915" s="51"/>
      <c r="Q915" s="51"/>
      <c r="R915" s="51"/>
    </row>
    <row r="916">
      <c r="P916" s="51"/>
      <c r="Q916" s="51"/>
      <c r="R916" s="51"/>
    </row>
    <row r="917">
      <c r="P917" s="51"/>
      <c r="Q917" s="51"/>
      <c r="R917" s="51"/>
    </row>
    <row r="918">
      <c r="P918" s="51"/>
      <c r="Q918" s="51"/>
      <c r="R918" s="51"/>
    </row>
    <row r="919">
      <c r="P919" s="51"/>
      <c r="Q919" s="51"/>
      <c r="R919" s="51"/>
    </row>
    <row r="920">
      <c r="P920" s="51"/>
      <c r="Q920" s="51"/>
      <c r="R920" s="51"/>
    </row>
    <row r="921">
      <c r="P921" s="51"/>
      <c r="Q921" s="51"/>
      <c r="R921" s="51"/>
    </row>
    <row r="922">
      <c r="P922" s="51"/>
      <c r="Q922" s="51"/>
      <c r="R922" s="51"/>
    </row>
    <row r="923">
      <c r="P923" s="51"/>
      <c r="Q923" s="51"/>
      <c r="R923" s="51"/>
    </row>
    <row r="924">
      <c r="P924" s="51"/>
      <c r="Q924" s="51"/>
      <c r="R924" s="51"/>
    </row>
    <row r="925">
      <c r="P925" s="51"/>
      <c r="Q925" s="51"/>
      <c r="R925" s="51"/>
    </row>
    <row r="926">
      <c r="P926" s="51"/>
      <c r="Q926" s="51"/>
      <c r="R926" s="51"/>
    </row>
    <row r="927">
      <c r="P927" s="51"/>
      <c r="Q927" s="51"/>
      <c r="R927" s="51"/>
    </row>
    <row r="928">
      <c r="P928" s="51"/>
      <c r="Q928" s="51"/>
      <c r="R928" s="51"/>
    </row>
    <row r="929">
      <c r="P929" s="51"/>
      <c r="Q929" s="51"/>
      <c r="R929" s="51"/>
    </row>
    <row r="930">
      <c r="P930" s="51"/>
      <c r="Q930" s="51"/>
      <c r="R930" s="51"/>
    </row>
    <row r="931">
      <c r="P931" s="51"/>
      <c r="Q931" s="51"/>
      <c r="R931" s="51"/>
    </row>
    <row r="932">
      <c r="P932" s="51"/>
      <c r="Q932" s="51"/>
      <c r="R932" s="51"/>
    </row>
    <row r="933">
      <c r="P933" s="51"/>
      <c r="Q933" s="51"/>
      <c r="R933" s="51"/>
    </row>
    <row r="934">
      <c r="P934" s="51"/>
      <c r="Q934" s="51"/>
      <c r="R934" s="51"/>
    </row>
    <row r="935">
      <c r="P935" s="51"/>
      <c r="Q935" s="51"/>
      <c r="R935" s="51"/>
    </row>
    <row r="936">
      <c r="P936" s="51"/>
      <c r="Q936" s="51"/>
      <c r="R936" s="51"/>
    </row>
    <row r="937">
      <c r="P937" s="51"/>
      <c r="Q937" s="51"/>
      <c r="R937" s="51"/>
    </row>
    <row r="938">
      <c r="P938" s="51"/>
      <c r="Q938" s="51"/>
      <c r="R938" s="51"/>
    </row>
    <row r="939">
      <c r="P939" s="51"/>
      <c r="Q939" s="51"/>
      <c r="R939" s="51"/>
    </row>
    <row r="940">
      <c r="P940" s="51"/>
      <c r="Q940" s="51"/>
      <c r="R940" s="51"/>
    </row>
    <row r="941">
      <c r="P941" s="51"/>
      <c r="Q941" s="51"/>
      <c r="R941" s="51"/>
    </row>
    <row r="942">
      <c r="P942" s="51"/>
      <c r="Q942" s="51"/>
      <c r="R942" s="51"/>
    </row>
    <row r="943">
      <c r="P943" s="51"/>
      <c r="Q943" s="51"/>
      <c r="R943" s="51"/>
    </row>
    <row r="944">
      <c r="P944" s="51"/>
      <c r="Q944" s="51"/>
      <c r="R944" s="51"/>
    </row>
    <row r="945">
      <c r="P945" s="51"/>
      <c r="Q945" s="51"/>
      <c r="R945" s="51"/>
    </row>
    <row r="946">
      <c r="P946" s="51"/>
      <c r="Q946" s="51"/>
      <c r="R946" s="51"/>
    </row>
    <row r="947">
      <c r="P947" s="51"/>
      <c r="Q947" s="51"/>
      <c r="R947" s="51"/>
    </row>
    <row r="948">
      <c r="P948" s="51"/>
      <c r="Q948" s="51"/>
      <c r="R948" s="51"/>
    </row>
    <row r="949">
      <c r="P949" s="51"/>
      <c r="Q949" s="51"/>
      <c r="R949" s="51"/>
    </row>
    <row r="950">
      <c r="P950" s="51"/>
      <c r="Q950" s="51"/>
      <c r="R950" s="51"/>
    </row>
    <row r="951">
      <c r="P951" s="51"/>
      <c r="Q951" s="51"/>
      <c r="R951" s="51"/>
    </row>
    <row r="952">
      <c r="P952" s="51"/>
      <c r="Q952" s="51"/>
      <c r="R952" s="51"/>
    </row>
    <row r="953">
      <c r="P953" s="51"/>
      <c r="Q953" s="51"/>
      <c r="R953" s="51"/>
    </row>
    <row r="954">
      <c r="P954" s="51"/>
      <c r="Q954" s="51"/>
      <c r="R954" s="51"/>
    </row>
    <row r="955">
      <c r="P955" s="51"/>
      <c r="Q955" s="51"/>
      <c r="R955" s="51"/>
    </row>
    <row r="956">
      <c r="P956" s="51"/>
      <c r="Q956" s="51"/>
      <c r="R956" s="51"/>
    </row>
    <row r="957">
      <c r="P957" s="51"/>
      <c r="Q957" s="51"/>
      <c r="R957" s="51"/>
    </row>
    <row r="958">
      <c r="P958" s="51"/>
      <c r="Q958" s="51"/>
      <c r="R958" s="51"/>
    </row>
    <row r="959">
      <c r="P959" s="51"/>
      <c r="Q959" s="51"/>
      <c r="R959" s="51"/>
    </row>
    <row r="960">
      <c r="P960" s="51"/>
      <c r="Q960" s="51"/>
      <c r="R960" s="51"/>
    </row>
    <row r="961">
      <c r="P961" s="51"/>
      <c r="Q961" s="51"/>
      <c r="R961" s="51"/>
    </row>
    <row r="962">
      <c r="P962" s="51"/>
      <c r="Q962" s="51"/>
      <c r="R962" s="51"/>
    </row>
    <row r="963">
      <c r="P963" s="51"/>
      <c r="Q963" s="51"/>
      <c r="R963" s="51"/>
    </row>
    <row r="964">
      <c r="P964" s="51"/>
      <c r="Q964" s="51"/>
      <c r="R964" s="51"/>
    </row>
    <row r="965">
      <c r="P965" s="51"/>
      <c r="Q965" s="51"/>
      <c r="R965" s="51"/>
    </row>
    <row r="966">
      <c r="P966" s="51"/>
      <c r="Q966" s="51"/>
      <c r="R966" s="51"/>
    </row>
    <row r="967">
      <c r="P967" s="51"/>
      <c r="Q967" s="51"/>
      <c r="R967" s="51"/>
    </row>
    <row r="968">
      <c r="P968" s="51"/>
      <c r="Q968" s="51"/>
      <c r="R968" s="51"/>
    </row>
    <row r="969">
      <c r="P969" s="51"/>
      <c r="Q969" s="51"/>
      <c r="R969" s="51"/>
    </row>
    <row r="970">
      <c r="P970" s="51"/>
      <c r="Q970" s="51"/>
      <c r="R970" s="51"/>
    </row>
    <row r="971">
      <c r="P971" s="51"/>
      <c r="Q971" s="51"/>
      <c r="R971" s="51"/>
    </row>
    <row r="972">
      <c r="P972" s="51"/>
      <c r="Q972" s="51"/>
      <c r="R972" s="51"/>
    </row>
    <row r="973">
      <c r="P973" s="51"/>
      <c r="Q973" s="51"/>
      <c r="R973" s="51"/>
    </row>
    <row r="974">
      <c r="P974" s="51"/>
      <c r="Q974" s="51"/>
      <c r="R974" s="51"/>
    </row>
    <row r="975">
      <c r="P975" s="51"/>
      <c r="Q975" s="51"/>
      <c r="R975" s="51"/>
    </row>
    <row r="976">
      <c r="P976" s="51"/>
      <c r="Q976" s="51"/>
      <c r="R976" s="51"/>
    </row>
    <row r="977">
      <c r="P977" s="51"/>
      <c r="Q977" s="51"/>
      <c r="R977" s="51"/>
    </row>
    <row r="978">
      <c r="P978" s="51"/>
      <c r="Q978" s="51"/>
      <c r="R978" s="51"/>
    </row>
    <row r="979">
      <c r="P979" s="51"/>
      <c r="Q979" s="51"/>
      <c r="R979" s="51"/>
    </row>
    <row r="980">
      <c r="P980" s="51"/>
      <c r="Q980" s="51"/>
      <c r="R980" s="51"/>
    </row>
    <row r="981">
      <c r="P981" s="51"/>
      <c r="Q981" s="51"/>
      <c r="R981" s="51"/>
    </row>
    <row r="982">
      <c r="P982" s="51"/>
      <c r="Q982" s="51"/>
      <c r="R982" s="51"/>
    </row>
    <row r="983">
      <c r="P983" s="51"/>
      <c r="Q983" s="51"/>
      <c r="R983" s="51"/>
    </row>
    <row r="984">
      <c r="P984" s="51"/>
      <c r="Q984" s="51"/>
      <c r="R984" s="51"/>
    </row>
    <row r="985">
      <c r="P985" s="51"/>
      <c r="Q985" s="51"/>
      <c r="R985" s="51"/>
    </row>
    <row r="986">
      <c r="P986" s="51"/>
      <c r="Q986" s="51"/>
      <c r="R986" s="51"/>
    </row>
    <row r="987">
      <c r="P987" s="51"/>
      <c r="Q987" s="51"/>
      <c r="R987" s="51"/>
    </row>
    <row r="988">
      <c r="P988" s="51"/>
      <c r="Q988" s="51"/>
      <c r="R988" s="51"/>
    </row>
    <row r="989">
      <c r="P989" s="51"/>
      <c r="Q989" s="51"/>
      <c r="R989" s="51"/>
    </row>
    <row r="990">
      <c r="P990" s="51"/>
      <c r="Q990" s="51"/>
      <c r="R990" s="51"/>
    </row>
    <row r="991">
      <c r="P991" s="51"/>
      <c r="Q991" s="51"/>
      <c r="R991" s="51"/>
    </row>
    <row r="992">
      <c r="P992" s="51"/>
      <c r="Q992" s="51"/>
      <c r="R992" s="51"/>
    </row>
    <row r="993">
      <c r="P993" s="51"/>
      <c r="Q993" s="51"/>
      <c r="R993" s="51"/>
    </row>
    <row r="994">
      <c r="P994" s="51"/>
      <c r="Q994" s="51"/>
      <c r="R994" s="51"/>
    </row>
    <row r="995">
      <c r="P995" s="51"/>
      <c r="Q995" s="51"/>
      <c r="R995" s="51"/>
    </row>
    <row r="996">
      <c r="P996" s="51"/>
      <c r="Q996" s="51"/>
      <c r="R996" s="51"/>
    </row>
    <row r="997">
      <c r="P997" s="51"/>
      <c r="Q997" s="51"/>
      <c r="R997" s="51"/>
    </row>
    <row r="998">
      <c r="P998" s="51"/>
      <c r="Q998" s="51"/>
      <c r="R998" s="51"/>
    </row>
    <row r="999">
      <c r="P999" s="51"/>
      <c r="Q999" s="51"/>
      <c r="R999" s="51"/>
    </row>
    <row r="1000">
      <c r="P1000" s="51"/>
      <c r="Q1000" s="51"/>
      <c r="R1000" s="51"/>
    </row>
  </sheetData>
  <mergeCells count="9">
    <mergeCell ref="N1:N2"/>
    <mergeCell ref="O1:O2"/>
    <mergeCell ref="A1:A2"/>
    <mergeCell ref="C1:C2"/>
    <mergeCell ref="D1:D2"/>
    <mergeCell ref="J1:J2"/>
    <mergeCell ref="K1:K2"/>
    <mergeCell ref="L1:L2"/>
    <mergeCell ref="M1:M2"/>
  </mergeCells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>
      <c r="A1" s="49" t="s">
        <v>48</v>
      </c>
      <c r="B1" s="49"/>
      <c r="C1" s="49" t="s">
        <v>1464</v>
      </c>
      <c r="D1" s="49" t="s">
        <v>4214</v>
      </c>
      <c r="E1" s="49" t="s">
        <v>1183</v>
      </c>
      <c r="F1" s="49"/>
      <c r="G1" s="49"/>
      <c r="H1" s="49"/>
      <c r="I1" s="49"/>
      <c r="J1" s="49"/>
      <c r="K1" s="49" t="s">
        <v>4215</v>
      </c>
      <c r="L1" s="49" t="s">
        <v>4196</v>
      </c>
      <c r="M1" s="49" t="s">
        <v>4197</v>
      </c>
      <c r="N1" s="49" t="s">
        <v>4216</v>
      </c>
      <c r="O1" s="49" t="s">
        <v>4217</v>
      </c>
      <c r="P1" s="49" t="s">
        <v>4218</v>
      </c>
      <c r="Q1" s="49" t="s">
        <v>4219</v>
      </c>
      <c r="R1" s="49" t="s">
        <v>4220</v>
      </c>
      <c r="S1" s="49"/>
      <c r="T1" s="49"/>
    </row>
    <row r="2">
      <c r="B2" s="52" t="s">
        <v>4203</v>
      </c>
      <c r="E2" s="53" t="s">
        <v>4204</v>
      </c>
      <c r="F2" s="53" t="s">
        <v>4221</v>
      </c>
      <c r="G2" s="53" t="s">
        <v>4206</v>
      </c>
      <c r="H2" s="53" t="s">
        <v>4222</v>
      </c>
      <c r="I2" s="53" t="s">
        <v>4223</v>
      </c>
      <c r="J2" s="53" t="s">
        <v>4224</v>
      </c>
      <c r="L2" s="53" t="s">
        <v>4225</v>
      </c>
      <c r="S2" s="50" t="s">
        <v>4209</v>
      </c>
      <c r="T2" s="54" t="s">
        <v>4210</v>
      </c>
      <c r="U2" s="55" t="s">
        <v>4211</v>
      </c>
    </row>
    <row r="3">
      <c r="A3" s="56" t="s">
        <v>101</v>
      </c>
      <c r="B3" s="57">
        <v>6.0</v>
      </c>
      <c r="C3" s="58">
        <v>0.0</v>
      </c>
      <c r="D3" s="58">
        <v>26.5</v>
      </c>
      <c r="E3" s="58">
        <v>4.8</v>
      </c>
      <c r="F3" s="58">
        <v>2.3</v>
      </c>
      <c r="G3" s="58" t="s">
        <v>4212</v>
      </c>
      <c r="H3" s="58">
        <v>9.6</v>
      </c>
      <c r="I3" s="58" t="s">
        <v>4212</v>
      </c>
      <c r="J3" s="58">
        <v>16.8</v>
      </c>
      <c r="K3" s="58">
        <v>0.0</v>
      </c>
      <c r="L3" s="58">
        <v>0.3</v>
      </c>
      <c r="M3" s="58">
        <v>0.0</v>
      </c>
      <c r="N3" s="58">
        <v>0.1</v>
      </c>
      <c r="O3" s="58">
        <v>76.4</v>
      </c>
      <c r="P3" s="58">
        <v>120.1</v>
      </c>
      <c r="Q3" s="58">
        <v>124.3</v>
      </c>
      <c r="R3" s="58">
        <v>244.4</v>
      </c>
      <c r="S3" s="59">
        <f t="shared" ref="S3:S54" si="1">sum(if(E3&gt;=0,E3,0))</f>
        <v>4.8</v>
      </c>
      <c r="T3" s="59">
        <f t="shared" ref="T3:T53" si="2">sum(if(F3&gt;=0,F3,0),if(G3&gt;=0,G3,0),if(H3&gt;=0,H3,0),if(I3&gt;=0,I3,0))</f>
        <v>11.9</v>
      </c>
      <c r="U3" s="51">
        <f t="shared" ref="U3:U53" si="3">sum(O3,if(N3&gt;0,N3,0),if(M3&gt;0,M3,0))</f>
        <v>76.5</v>
      </c>
    </row>
    <row r="4">
      <c r="A4" s="60" t="s">
        <v>171</v>
      </c>
      <c r="B4" s="57">
        <v>9.0</v>
      </c>
      <c r="C4" s="61">
        <v>7.3</v>
      </c>
      <c r="D4" s="61">
        <v>15.8</v>
      </c>
      <c r="E4" s="61">
        <v>7.5</v>
      </c>
      <c r="F4" s="61">
        <v>0.8</v>
      </c>
      <c r="G4" s="61" t="s">
        <v>4212</v>
      </c>
      <c r="H4" s="61">
        <v>1.0</v>
      </c>
      <c r="I4" s="61">
        <v>0.0</v>
      </c>
      <c r="J4" s="61">
        <v>9.3</v>
      </c>
      <c r="K4" s="61">
        <v>0.6</v>
      </c>
      <c r="L4" s="61">
        <v>1.5</v>
      </c>
      <c r="M4" s="61">
        <v>0.1</v>
      </c>
      <c r="N4" s="61" t="s">
        <v>4212</v>
      </c>
      <c r="O4" s="61">
        <v>8.8</v>
      </c>
      <c r="P4" s="61">
        <v>43.5</v>
      </c>
      <c r="Q4" s="61">
        <v>12.0</v>
      </c>
      <c r="R4" s="61">
        <v>55.5</v>
      </c>
      <c r="S4" s="59">
        <f t="shared" si="1"/>
        <v>7.5</v>
      </c>
      <c r="T4" s="59">
        <f t="shared" si="2"/>
        <v>1.8</v>
      </c>
      <c r="U4" s="51">
        <f t="shared" si="3"/>
        <v>8.9</v>
      </c>
    </row>
    <row r="5">
      <c r="A5" s="60" t="s">
        <v>201</v>
      </c>
      <c r="B5" s="57">
        <v>8.0</v>
      </c>
      <c r="C5" s="61">
        <v>0.0</v>
      </c>
      <c r="D5" s="61">
        <v>36.8</v>
      </c>
      <c r="E5" s="61">
        <v>6.0</v>
      </c>
      <c r="F5" s="61">
        <v>3.3</v>
      </c>
      <c r="G5" s="61" t="s">
        <v>4212</v>
      </c>
      <c r="H5" s="61">
        <v>9.9</v>
      </c>
      <c r="I5" s="61">
        <v>0.0</v>
      </c>
      <c r="J5" s="61">
        <v>19.2</v>
      </c>
      <c r="K5" s="61">
        <v>0.0</v>
      </c>
      <c r="L5" s="61">
        <v>0.8</v>
      </c>
      <c r="M5" s="61" t="s">
        <v>4212</v>
      </c>
      <c r="N5" s="61">
        <v>3.0</v>
      </c>
      <c r="O5" s="61">
        <v>107.5</v>
      </c>
      <c r="P5" s="61">
        <v>167.3</v>
      </c>
      <c r="Q5" s="61">
        <v>169.8</v>
      </c>
      <c r="R5" s="61">
        <v>337.1</v>
      </c>
      <c r="S5" s="59">
        <f t="shared" si="1"/>
        <v>6</v>
      </c>
      <c r="T5" s="59">
        <f t="shared" si="2"/>
        <v>13.2</v>
      </c>
      <c r="U5" s="51">
        <f t="shared" si="3"/>
        <v>110.5</v>
      </c>
    </row>
    <row r="6">
      <c r="A6" s="60" t="s">
        <v>220</v>
      </c>
      <c r="B6" s="57">
        <v>7.0</v>
      </c>
      <c r="C6" s="61">
        <v>0.0</v>
      </c>
      <c r="D6" s="61">
        <v>56.2</v>
      </c>
      <c r="E6" s="61">
        <v>3.2</v>
      </c>
      <c r="F6" s="61">
        <v>1.2</v>
      </c>
      <c r="G6" s="61" t="s">
        <v>4212</v>
      </c>
      <c r="H6" s="61">
        <v>3.3</v>
      </c>
      <c r="I6" s="61">
        <v>0.0</v>
      </c>
      <c r="J6" s="61">
        <v>7.6</v>
      </c>
      <c r="K6" s="61">
        <v>0.0</v>
      </c>
      <c r="L6" s="61">
        <v>0.9</v>
      </c>
      <c r="M6" s="61">
        <v>0.0</v>
      </c>
      <c r="N6" s="61">
        <v>0.3</v>
      </c>
      <c r="O6" s="61">
        <v>40.2</v>
      </c>
      <c r="P6" s="61">
        <v>105.2</v>
      </c>
      <c r="Q6" s="61">
        <v>67.5</v>
      </c>
      <c r="R6" s="61">
        <v>172.7</v>
      </c>
      <c r="S6" s="59">
        <f t="shared" si="1"/>
        <v>3.2</v>
      </c>
      <c r="T6" s="59">
        <f t="shared" si="2"/>
        <v>4.5</v>
      </c>
      <c r="U6" s="51">
        <f t="shared" si="3"/>
        <v>40.5</v>
      </c>
    </row>
    <row r="7">
      <c r="A7" s="60" t="s">
        <v>279</v>
      </c>
      <c r="B7" s="57">
        <v>9.0</v>
      </c>
      <c r="C7" s="61">
        <v>0.0</v>
      </c>
      <c r="D7" s="61">
        <v>255.2</v>
      </c>
      <c r="E7" s="61">
        <v>20.5</v>
      </c>
      <c r="F7" s="61">
        <v>14.1</v>
      </c>
      <c r="G7" s="61" t="s">
        <v>4212</v>
      </c>
      <c r="H7" s="61">
        <v>55.0</v>
      </c>
      <c r="I7" s="61">
        <v>0.0</v>
      </c>
      <c r="J7" s="61">
        <v>89.6</v>
      </c>
      <c r="K7" s="61" t="s">
        <v>4212</v>
      </c>
      <c r="L7" s="61">
        <v>13.0</v>
      </c>
      <c r="M7" s="61">
        <v>0.6</v>
      </c>
      <c r="N7" s="61">
        <v>18.9</v>
      </c>
      <c r="O7" s="61">
        <v>389.5</v>
      </c>
      <c r="P7" s="62">
        <v>766.9</v>
      </c>
      <c r="Q7" s="61">
        <v>426.2</v>
      </c>
      <c r="R7" s="62">
        <v>1193.1</v>
      </c>
      <c r="S7" s="59">
        <f t="shared" si="1"/>
        <v>20.5</v>
      </c>
      <c r="T7" s="59">
        <f t="shared" si="2"/>
        <v>69.1</v>
      </c>
      <c r="U7" s="51">
        <f t="shared" si="3"/>
        <v>409</v>
      </c>
    </row>
    <row r="8">
      <c r="A8" s="60" t="s">
        <v>339</v>
      </c>
      <c r="B8" s="57">
        <v>8.0</v>
      </c>
      <c r="C8" s="61" t="s">
        <v>4212</v>
      </c>
      <c r="D8" s="61">
        <v>64.6</v>
      </c>
      <c r="E8" s="61">
        <v>4.9</v>
      </c>
      <c r="F8" s="61">
        <v>4.5</v>
      </c>
      <c r="G8" s="61" t="s">
        <v>4212</v>
      </c>
      <c r="H8" s="61">
        <v>7.9</v>
      </c>
      <c r="I8" s="61">
        <v>0.0</v>
      </c>
      <c r="J8" s="61">
        <v>17.2</v>
      </c>
      <c r="K8" s="61">
        <v>0.1</v>
      </c>
      <c r="L8" s="61">
        <v>2.2</v>
      </c>
      <c r="M8" s="61">
        <v>0.2</v>
      </c>
      <c r="N8" s="61">
        <v>1.2</v>
      </c>
      <c r="O8" s="61">
        <v>71.9</v>
      </c>
      <c r="P8" s="61">
        <v>156.6</v>
      </c>
      <c r="Q8" s="61">
        <v>96.4</v>
      </c>
      <c r="R8" s="61">
        <v>253.0</v>
      </c>
      <c r="S8" s="59">
        <f t="shared" si="1"/>
        <v>4.9</v>
      </c>
      <c r="T8" s="59">
        <f t="shared" si="2"/>
        <v>12.4</v>
      </c>
      <c r="U8" s="51">
        <f t="shared" si="3"/>
        <v>73.3</v>
      </c>
    </row>
    <row r="9">
      <c r="A9" s="60" t="s">
        <v>395</v>
      </c>
      <c r="B9" s="57">
        <v>1.0</v>
      </c>
      <c r="C9" s="61">
        <v>0.0</v>
      </c>
      <c r="D9" s="61">
        <v>56.7</v>
      </c>
      <c r="E9" s="61">
        <v>9.6</v>
      </c>
      <c r="F9" s="61">
        <v>2.7</v>
      </c>
      <c r="G9" s="61" t="s">
        <v>4212</v>
      </c>
      <c r="H9" s="61">
        <v>4.9</v>
      </c>
      <c r="I9" s="61">
        <v>0.2</v>
      </c>
      <c r="J9" s="61">
        <v>17.4</v>
      </c>
      <c r="K9" s="61">
        <v>0.0</v>
      </c>
      <c r="L9" s="61">
        <v>0.9</v>
      </c>
      <c r="M9" s="61">
        <v>0.0</v>
      </c>
      <c r="N9" s="61">
        <v>1.3</v>
      </c>
      <c r="O9" s="61">
        <v>39.7</v>
      </c>
      <c r="P9" s="61">
        <v>116.0</v>
      </c>
      <c r="Q9" s="61">
        <v>62.1</v>
      </c>
      <c r="R9" s="61">
        <v>178.1</v>
      </c>
      <c r="S9" s="59">
        <f t="shared" si="1"/>
        <v>9.6</v>
      </c>
      <c r="T9" s="59">
        <f t="shared" si="2"/>
        <v>7.8</v>
      </c>
      <c r="U9" s="51">
        <f t="shared" si="3"/>
        <v>41</v>
      </c>
    </row>
    <row r="10">
      <c r="A10" s="60" t="s">
        <v>405</v>
      </c>
      <c r="B10" s="57">
        <v>5.0</v>
      </c>
      <c r="C10" s="61">
        <v>0.0</v>
      </c>
      <c r="D10" s="61">
        <v>11.3</v>
      </c>
      <c r="E10" s="61">
        <v>1.2</v>
      </c>
      <c r="F10" s="61">
        <v>0.9</v>
      </c>
      <c r="G10" s="61" t="s">
        <v>4212</v>
      </c>
      <c r="H10" s="61">
        <v>1.3</v>
      </c>
      <c r="I10" s="61" t="s">
        <v>4212</v>
      </c>
      <c r="J10" s="61">
        <v>3.3</v>
      </c>
      <c r="K10" s="61">
        <v>0.0</v>
      </c>
      <c r="L10" s="61">
        <v>0.1</v>
      </c>
      <c r="M10" s="61">
        <v>0.0</v>
      </c>
      <c r="N10" s="61">
        <v>0.1</v>
      </c>
      <c r="O10" s="61">
        <v>14.7</v>
      </c>
      <c r="P10" s="61">
        <v>29.5</v>
      </c>
      <c r="Q10" s="61">
        <v>22.9</v>
      </c>
      <c r="R10" s="61">
        <v>52.4</v>
      </c>
      <c r="S10" s="59">
        <f t="shared" si="1"/>
        <v>1.2</v>
      </c>
      <c r="T10" s="59">
        <f t="shared" si="2"/>
        <v>2.2</v>
      </c>
      <c r="U10" s="51">
        <f t="shared" si="3"/>
        <v>14.8</v>
      </c>
    </row>
    <row r="11">
      <c r="A11" s="63" t="s">
        <v>408</v>
      </c>
      <c r="B11" s="57">
        <v>5.0</v>
      </c>
      <c r="C11" s="61">
        <v>0.0</v>
      </c>
      <c r="D11" s="61">
        <v>16.0</v>
      </c>
      <c r="E11" s="61">
        <v>0.6</v>
      </c>
      <c r="F11" s="61" t="s">
        <v>4212</v>
      </c>
      <c r="G11" s="61" t="s">
        <v>4212</v>
      </c>
      <c r="H11" s="61">
        <v>0.4</v>
      </c>
      <c r="I11" s="61">
        <v>0.0</v>
      </c>
      <c r="J11" s="61">
        <v>1.0</v>
      </c>
      <c r="K11" s="61">
        <v>0.0</v>
      </c>
      <c r="L11" s="61">
        <v>1.0</v>
      </c>
      <c r="M11" s="61">
        <v>0.0</v>
      </c>
      <c r="N11" s="61">
        <v>0.2</v>
      </c>
      <c r="O11" s="61">
        <v>24.9</v>
      </c>
      <c r="P11" s="61">
        <v>43.1</v>
      </c>
      <c r="Q11" s="61">
        <v>39.5</v>
      </c>
      <c r="R11" s="61">
        <v>82.6</v>
      </c>
      <c r="S11" s="59">
        <f t="shared" si="1"/>
        <v>0.6</v>
      </c>
      <c r="T11" s="59">
        <f t="shared" si="2"/>
        <v>0.4</v>
      </c>
      <c r="U11" s="51">
        <f t="shared" si="3"/>
        <v>25.1</v>
      </c>
    </row>
    <row r="12">
      <c r="A12" s="60" t="s">
        <v>410</v>
      </c>
      <c r="B12" s="57">
        <v>5.0</v>
      </c>
      <c r="C12" s="61">
        <v>0.0</v>
      </c>
      <c r="D12" s="61">
        <v>64.8</v>
      </c>
      <c r="E12" s="61">
        <v>10.6</v>
      </c>
      <c r="F12" s="61">
        <v>8.0</v>
      </c>
      <c r="G12" s="61" t="s">
        <v>4212</v>
      </c>
      <c r="H12" s="61">
        <v>31.1</v>
      </c>
      <c r="I12" s="61">
        <v>0.0</v>
      </c>
      <c r="J12" s="61">
        <v>49.8</v>
      </c>
      <c r="K12" s="61">
        <v>0.0</v>
      </c>
      <c r="L12" s="61">
        <v>9.3</v>
      </c>
      <c r="M12" s="61">
        <v>2.1</v>
      </c>
      <c r="N12" s="61">
        <v>0.8</v>
      </c>
      <c r="O12" s="61">
        <v>330.5</v>
      </c>
      <c r="P12" s="62">
        <v>457.3</v>
      </c>
      <c r="Q12" s="61">
        <v>473.1</v>
      </c>
      <c r="R12" s="61">
        <v>930.4</v>
      </c>
      <c r="S12" s="59">
        <f t="shared" si="1"/>
        <v>10.6</v>
      </c>
      <c r="T12" s="59">
        <f t="shared" si="2"/>
        <v>39.1</v>
      </c>
      <c r="U12" s="51">
        <f t="shared" si="3"/>
        <v>333.4</v>
      </c>
    </row>
    <row r="13">
      <c r="A13" s="60" t="s">
        <v>461</v>
      </c>
      <c r="B13" s="57">
        <v>5.0</v>
      </c>
      <c r="C13" s="61">
        <v>0.0</v>
      </c>
      <c r="D13" s="61">
        <v>56.9</v>
      </c>
      <c r="E13" s="61">
        <v>7.5</v>
      </c>
      <c r="F13" s="61">
        <v>5.0</v>
      </c>
      <c r="G13" s="61" t="s">
        <v>4212</v>
      </c>
      <c r="H13" s="61">
        <v>13.1</v>
      </c>
      <c r="I13" s="61">
        <v>0.0</v>
      </c>
      <c r="J13" s="61">
        <v>25.6</v>
      </c>
      <c r="K13" s="61">
        <v>0.0</v>
      </c>
      <c r="L13" s="61">
        <v>0.4</v>
      </c>
      <c r="M13" s="61" t="s">
        <v>4212</v>
      </c>
      <c r="N13" s="61">
        <v>0.2</v>
      </c>
      <c r="O13" s="61">
        <v>169.0</v>
      </c>
      <c r="P13" s="61">
        <v>252.2</v>
      </c>
      <c r="Q13" s="61">
        <v>275.1</v>
      </c>
      <c r="R13" s="61">
        <v>527.4</v>
      </c>
      <c r="S13" s="59">
        <f t="shared" si="1"/>
        <v>7.5</v>
      </c>
      <c r="T13" s="59">
        <f t="shared" si="2"/>
        <v>18.1</v>
      </c>
      <c r="U13" s="51">
        <f t="shared" si="3"/>
        <v>169.2</v>
      </c>
    </row>
    <row r="14">
      <c r="A14" s="60" t="s">
        <v>570</v>
      </c>
      <c r="B14" s="57">
        <v>9.0</v>
      </c>
      <c r="C14" s="61">
        <v>0.0</v>
      </c>
      <c r="D14" s="61">
        <v>2.1</v>
      </c>
      <c r="E14" s="61">
        <v>1.3</v>
      </c>
      <c r="F14" s="61">
        <v>3.2</v>
      </c>
      <c r="G14" s="61">
        <v>0.0</v>
      </c>
      <c r="H14" s="61">
        <v>1.7</v>
      </c>
      <c r="I14" s="61">
        <v>0.0</v>
      </c>
      <c r="J14" s="61">
        <v>6.2</v>
      </c>
      <c r="K14" s="61">
        <v>0.0</v>
      </c>
      <c r="L14" s="61">
        <v>3.2</v>
      </c>
      <c r="M14" s="61" t="s">
        <v>4212</v>
      </c>
      <c r="N14" s="61">
        <v>1.7</v>
      </c>
      <c r="O14" s="61">
        <v>9.7</v>
      </c>
      <c r="P14" s="61">
        <v>20.9</v>
      </c>
      <c r="Q14" s="61">
        <v>15.7</v>
      </c>
      <c r="R14" s="61">
        <v>36.6</v>
      </c>
      <c r="S14" s="59">
        <f t="shared" si="1"/>
        <v>1.3</v>
      </c>
      <c r="T14" s="59">
        <f t="shared" si="2"/>
        <v>4.9</v>
      </c>
      <c r="U14" s="51">
        <f t="shared" si="3"/>
        <v>11.4</v>
      </c>
    </row>
    <row r="15">
      <c r="A15" s="60" t="s">
        <v>576</v>
      </c>
      <c r="B15" s="57">
        <v>8.0</v>
      </c>
      <c r="C15" s="61">
        <v>0.0</v>
      </c>
      <c r="D15" s="61">
        <v>23.8</v>
      </c>
      <c r="E15" s="61">
        <v>2.4</v>
      </c>
      <c r="F15" s="61">
        <v>1.4</v>
      </c>
      <c r="G15" s="61" t="s">
        <v>4212</v>
      </c>
      <c r="H15" s="61">
        <v>2.2</v>
      </c>
      <c r="I15" s="61">
        <v>0.0</v>
      </c>
      <c r="J15" s="61">
        <v>6.0</v>
      </c>
      <c r="K15" s="61">
        <v>0.0</v>
      </c>
      <c r="L15" s="61">
        <v>2.7</v>
      </c>
      <c r="M15" s="61">
        <v>0.6</v>
      </c>
      <c r="N15" s="61" t="s">
        <v>4212</v>
      </c>
      <c r="O15" s="61">
        <v>23.3</v>
      </c>
      <c r="P15" s="61">
        <v>56.4</v>
      </c>
      <c r="Q15" s="61">
        <v>22.1</v>
      </c>
      <c r="R15" s="61">
        <v>78.5</v>
      </c>
      <c r="S15" s="59">
        <f t="shared" si="1"/>
        <v>2.4</v>
      </c>
      <c r="T15" s="59">
        <f t="shared" si="2"/>
        <v>3.6</v>
      </c>
      <c r="U15" s="51">
        <f t="shared" si="3"/>
        <v>23.9</v>
      </c>
    </row>
    <row r="16">
      <c r="A16" s="60" t="s">
        <v>608</v>
      </c>
      <c r="B16" s="57">
        <v>3.0</v>
      </c>
      <c r="C16" s="61">
        <v>1.6</v>
      </c>
      <c r="D16" s="61">
        <v>255.2</v>
      </c>
      <c r="E16" s="61">
        <v>6.3</v>
      </c>
      <c r="F16" s="61">
        <v>4.1</v>
      </c>
      <c r="G16" s="61" t="s">
        <v>4212</v>
      </c>
      <c r="H16" s="61">
        <v>17.7</v>
      </c>
      <c r="I16" s="61">
        <v>0.0</v>
      </c>
      <c r="J16" s="61">
        <v>28.1</v>
      </c>
      <c r="K16" s="61">
        <v>0.0</v>
      </c>
      <c r="L16" s="61">
        <v>1.0</v>
      </c>
      <c r="M16" s="61">
        <v>0.0</v>
      </c>
      <c r="N16" s="61">
        <v>2.6</v>
      </c>
      <c r="O16" s="61">
        <v>160.8</v>
      </c>
      <c r="P16" s="61">
        <v>446.3</v>
      </c>
      <c r="Q16" s="61">
        <v>297.6</v>
      </c>
      <c r="R16" s="61">
        <v>743.9</v>
      </c>
      <c r="S16" s="59">
        <f t="shared" si="1"/>
        <v>6.3</v>
      </c>
      <c r="T16" s="59">
        <f t="shared" si="2"/>
        <v>21.8</v>
      </c>
      <c r="U16" s="51">
        <f t="shared" si="3"/>
        <v>163.4</v>
      </c>
    </row>
    <row r="17">
      <c r="A17" s="60" t="s">
        <v>663</v>
      </c>
      <c r="B17" s="57">
        <v>3.0</v>
      </c>
      <c r="C17" s="61">
        <v>1.3</v>
      </c>
      <c r="D17" s="61">
        <v>100.7</v>
      </c>
      <c r="E17" s="61">
        <v>4.1</v>
      </c>
      <c r="F17" s="61">
        <v>4.0</v>
      </c>
      <c r="G17" s="61">
        <v>0.1</v>
      </c>
      <c r="H17" s="61">
        <v>8.7</v>
      </c>
      <c r="I17" s="61" t="s">
        <v>4212</v>
      </c>
      <c r="J17" s="61">
        <v>16.9</v>
      </c>
      <c r="K17" s="61" t="s">
        <v>4212</v>
      </c>
      <c r="L17" s="61">
        <v>5.2</v>
      </c>
      <c r="M17" s="61">
        <v>0.8</v>
      </c>
      <c r="N17" s="61">
        <v>0.6</v>
      </c>
      <c r="O17" s="61">
        <v>80.2</v>
      </c>
      <c r="P17" s="61">
        <v>205.2</v>
      </c>
      <c r="Q17" s="61">
        <v>151.7</v>
      </c>
      <c r="R17" s="61">
        <v>356.9</v>
      </c>
      <c r="S17" s="59">
        <f t="shared" si="1"/>
        <v>4.1</v>
      </c>
      <c r="T17" s="59">
        <f t="shared" si="2"/>
        <v>12.8</v>
      </c>
      <c r="U17" s="51">
        <f t="shared" si="3"/>
        <v>81.6</v>
      </c>
    </row>
    <row r="18">
      <c r="A18" s="60" t="s">
        <v>705</v>
      </c>
      <c r="B18" s="57">
        <v>4.0</v>
      </c>
      <c r="C18" s="61">
        <v>2.0</v>
      </c>
      <c r="D18" s="61">
        <v>61.9</v>
      </c>
      <c r="E18" s="61">
        <v>5.2</v>
      </c>
      <c r="F18" s="61">
        <v>2.6</v>
      </c>
      <c r="G18" s="61" t="s">
        <v>4212</v>
      </c>
      <c r="H18" s="61">
        <v>14.6</v>
      </c>
      <c r="I18" s="61">
        <v>0.0</v>
      </c>
      <c r="J18" s="61">
        <v>22.9</v>
      </c>
      <c r="K18" s="61">
        <v>0.0</v>
      </c>
      <c r="L18" s="61">
        <v>1.6</v>
      </c>
      <c r="M18" s="61">
        <v>0.7</v>
      </c>
      <c r="N18" s="61">
        <v>0.6</v>
      </c>
      <c r="O18" s="61">
        <v>42.5</v>
      </c>
      <c r="P18" s="61">
        <v>127.8</v>
      </c>
      <c r="Q18" s="61">
        <v>31.3</v>
      </c>
      <c r="R18" s="61">
        <v>159.1</v>
      </c>
      <c r="S18" s="59">
        <f t="shared" si="1"/>
        <v>5.2</v>
      </c>
      <c r="T18" s="59">
        <f t="shared" si="2"/>
        <v>17.2</v>
      </c>
      <c r="U18" s="51">
        <f t="shared" si="3"/>
        <v>43.8</v>
      </c>
    </row>
    <row r="19">
      <c r="A19" s="60" t="s">
        <v>750</v>
      </c>
      <c r="B19" s="57">
        <v>4.0</v>
      </c>
      <c r="C19" s="61">
        <v>0.0</v>
      </c>
      <c r="D19" s="61">
        <v>47.5</v>
      </c>
      <c r="E19" s="61">
        <v>2.0</v>
      </c>
      <c r="F19" s="61">
        <v>1.6</v>
      </c>
      <c r="G19" s="61" t="s">
        <v>4212</v>
      </c>
      <c r="H19" s="61">
        <v>3.2</v>
      </c>
      <c r="I19" s="61">
        <v>0.0</v>
      </c>
      <c r="J19" s="61">
        <v>6.8</v>
      </c>
      <c r="K19" s="61">
        <v>0.0</v>
      </c>
      <c r="L19" s="61">
        <v>0.6</v>
      </c>
      <c r="M19" s="61">
        <v>0.7</v>
      </c>
      <c r="N19" s="61">
        <v>0.1</v>
      </c>
      <c r="O19" s="61">
        <v>53.8</v>
      </c>
      <c r="P19" s="61">
        <v>109.4</v>
      </c>
      <c r="Q19" s="61">
        <v>65.8</v>
      </c>
      <c r="R19" s="61">
        <v>175.2</v>
      </c>
      <c r="S19" s="59">
        <f t="shared" si="1"/>
        <v>2</v>
      </c>
      <c r="T19" s="59">
        <f t="shared" si="2"/>
        <v>4.8</v>
      </c>
      <c r="U19" s="51">
        <f t="shared" si="3"/>
        <v>54.6</v>
      </c>
    </row>
    <row r="20">
      <c r="A20" s="60" t="s">
        <v>818</v>
      </c>
      <c r="B20" s="57">
        <v>6.0</v>
      </c>
      <c r="C20" s="61" t="s">
        <v>4212</v>
      </c>
      <c r="D20" s="61">
        <v>40.5</v>
      </c>
      <c r="E20" s="61">
        <v>3.4</v>
      </c>
      <c r="F20" s="61">
        <v>2.9</v>
      </c>
      <c r="G20" s="61" t="s">
        <v>4212</v>
      </c>
      <c r="H20" s="61">
        <v>4.2</v>
      </c>
      <c r="I20" s="61">
        <v>0.0</v>
      </c>
      <c r="J20" s="61">
        <v>10.6</v>
      </c>
      <c r="K20" s="61">
        <v>0.0</v>
      </c>
      <c r="L20" s="61">
        <v>1.4</v>
      </c>
      <c r="M20" s="61">
        <v>0.9</v>
      </c>
      <c r="N20" s="61">
        <v>0.1</v>
      </c>
      <c r="O20" s="61">
        <v>67.1</v>
      </c>
      <c r="P20" s="61">
        <v>120.6</v>
      </c>
      <c r="Q20" s="61">
        <v>128.8</v>
      </c>
      <c r="R20" s="61">
        <v>249.4</v>
      </c>
      <c r="S20" s="59">
        <f t="shared" si="1"/>
        <v>3.4</v>
      </c>
      <c r="T20" s="59">
        <f t="shared" si="2"/>
        <v>7.1</v>
      </c>
      <c r="U20" s="51">
        <f t="shared" si="3"/>
        <v>68.1</v>
      </c>
    </row>
    <row r="21">
      <c r="A21" s="60" t="s">
        <v>875</v>
      </c>
      <c r="B21" s="57">
        <v>7.0</v>
      </c>
      <c r="C21" s="61">
        <v>0.0</v>
      </c>
      <c r="D21" s="61">
        <v>32.4</v>
      </c>
      <c r="E21" s="61">
        <v>3.6</v>
      </c>
      <c r="F21" s="61">
        <v>1.4</v>
      </c>
      <c r="G21" s="61" t="s">
        <v>4212</v>
      </c>
      <c r="H21" s="61">
        <v>4.4</v>
      </c>
      <c r="I21" s="61">
        <v>0.0</v>
      </c>
      <c r="J21" s="61">
        <v>9.4</v>
      </c>
      <c r="K21" s="61">
        <v>0.0</v>
      </c>
      <c r="L21" s="61">
        <v>0.1</v>
      </c>
      <c r="M21" s="61">
        <v>0.9</v>
      </c>
      <c r="N21" s="61">
        <v>0.1</v>
      </c>
      <c r="O21" s="61">
        <v>80.3</v>
      </c>
      <c r="P21" s="61">
        <v>123.1</v>
      </c>
      <c r="Q21" s="61">
        <v>115.6</v>
      </c>
      <c r="R21" s="61">
        <v>238.7</v>
      </c>
      <c r="S21" s="59">
        <f t="shared" si="1"/>
        <v>3.6</v>
      </c>
      <c r="T21" s="59">
        <f t="shared" si="2"/>
        <v>5.8</v>
      </c>
      <c r="U21" s="51">
        <f t="shared" si="3"/>
        <v>81.3</v>
      </c>
    </row>
    <row r="22">
      <c r="A22" s="60" t="s">
        <v>923</v>
      </c>
      <c r="B22" s="57">
        <v>1.0</v>
      </c>
      <c r="C22" s="61">
        <v>0.0</v>
      </c>
      <c r="D22" s="61">
        <v>9.8</v>
      </c>
      <c r="E22" s="61">
        <v>8.9</v>
      </c>
      <c r="F22" s="61">
        <v>7.0</v>
      </c>
      <c r="G22" s="61">
        <v>0.1</v>
      </c>
      <c r="H22" s="61">
        <v>1.8</v>
      </c>
      <c r="I22" s="61">
        <v>0.2</v>
      </c>
      <c r="J22" s="61">
        <v>18.0</v>
      </c>
      <c r="K22" s="61">
        <v>0.0</v>
      </c>
      <c r="L22" s="61">
        <v>4.0</v>
      </c>
      <c r="M22" s="61">
        <v>0.0</v>
      </c>
      <c r="N22" s="61">
        <v>0.9</v>
      </c>
      <c r="O22" s="61">
        <v>14.1</v>
      </c>
      <c r="P22" s="61">
        <v>46.8</v>
      </c>
      <c r="Q22" s="61">
        <v>11.6</v>
      </c>
      <c r="R22" s="61">
        <v>58.3</v>
      </c>
      <c r="S22" s="59">
        <f t="shared" si="1"/>
        <v>8.9</v>
      </c>
      <c r="T22" s="59">
        <f t="shared" si="2"/>
        <v>9.1</v>
      </c>
      <c r="U22" s="51">
        <f t="shared" si="3"/>
        <v>15</v>
      </c>
    </row>
    <row r="23">
      <c r="A23" s="60" t="s">
        <v>934</v>
      </c>
      <c r="B23" s="57">
        <v>5.0</v>
      </c>
      <c r="C23" s="61">
        <v>0.0</v>
      </c>
      <c r="D23" s="61">
        <v>76.8</v>
      </c>
      <c r="E23" s="61">
        <v>7.5</v>
      </c>
      <c r="F23" s="61">
        <v>3.3</v>
      </c>
      <c r="G23" s="61" t="s">
        <v>4212</v>
      </c>
      <c r="H23" s="61">
        <v>9.3</v>
      </c>
      <c r="I23" s="61" t="s">
        <v>4212</v>
      </c>
      <c r="J23" s="61">
        <v>20.2</v>
      </c>
      <c r="K23" s="61">
        <v>0.0</v>
      </c>
      <c r="L23" s="61">
        <v>1.3</v>
      </c>
      <c r="M23" s="61">
        <v>0.0</v>
      </c>
      <c r="N23" s="61">
        <v>1.1</v>
      </c>
      <c r="O23" s="61">
        <v>94.3</v>
      </c>
      <c r="P23" s="61">
        <v>193.6</v>
      </c>
      <c r="Q23" s="61">
        <v>157.0</v>
      </c>
      <c r="R23" s="61">
        <v>350.7</v>
      </c>
      <c r="S23" s="59">
        <f t="shared" si="1"/>
        <v>7.5</v>
      </c>
      <c r="T23" s="59">
        <f t="shared" si="2"/>
        <v>12.6</v>
      </c>
      <c r="U23" s="51">
        <f t="shared" si="3"/>
        <v>95.4</v>
      </c>
    </row>
    <row r="24">
      <c r="A24" s="60" t="s">
        <v>952</v>
      </c>
      <c r="B24" s="57">
        <v>1.0</v>
      </c>
      <c r="C24" s="61">
        <v>0.0</v>
      </c>
      <c r="D24" s="61">
        <v>120.2</v>
      </c>
      <c r="E24" s="61">
        <v>13.2</v>
      </c>
      <c r="F24" s="61">
        <v>3.8</v>
      </c>
      <c r="G24" s="61">
        <v>0.1</v>
      </c>
      <c r="H24" s="61">
        <v>8.1</v>
      </c>
      <c r="I24" s="61">
        <v>0.1</v>
      </c>
      <c r="J24" s="61">
        <v>25.3</v>
      </c>
      <c r="K24" s="61" t="s">
        <v>4212</v>
      </c>
      <c r="L24" s="61">
        <v>9.6</v>
      </c>
      <c r="M24" s="61">
        <v>0.8</v>
      </c>
      <c r="N24" s="61">
        <v>6.7</v>
      </c>
      <c r="O24" s="61">
        <v>83.4</v>
      </c>
      <c r="P24" s="61">
        <v>246.1</v>
      </c>
      <c r="Q24" s="61">
        <v>120.4</v>
      </c>
      <c r="R24" s="61">
        <v>366.6</v>
      </c>
      <c r="S24" s="59">
        <f t="shared" si="1"/>
        <v>13.2</v>
      </c>
      <c r="T24" s="59">
        <f t="shared" si="2"/>
        <v>12.1</v>
      </c>
      <c r="U24" s="51">
        <f t="shared" si="3"/>
        <v>90.9</v>
      </c>
    </row>
    <row r="25">
      <c r="A25" s="60" t="s">
        <v>963</v>
      </c>
      <c r="B25" s="57">
        <v>3.0</v>
      </c>
      <c r="C25" s="61">
        <v>0.0</v>
      </c>
      <c r="D25" s="61">
        <v>189.7</v>
      </c>
      <c r="E25" s="61">
        <v>6.8</v>
      </c>
      <c r="F25" s="61">
        <v>7.0</v>
      </c>
      <c r="G25" s="61" t="s">
        <v>4212</v>
      </c>
      <c r="H25" s="61">
        <v>11.1</v>
      </c>
      <c r="I25" s="61" t="s">
        <v>4212</v>
      </c>
      <c r="J25" s="61">
        <v>25.0</v>
      </c>
      <c r="K25" s="61">
        <v>0.0</v>
      </c>
      <c r="L25" s="61">
        <v>5.9</v>
      </c>
      <c r="M25" s="61">
        <v>0.9</v>
      </c>
      <c r="N25" s="61">
        <v>0.3</v>
      </c>
      <c r="O25" s="61">
        <v>126.6</v>
      </c>
      <c r="P25" s="61">
        <v>348.3</v>
      </c>
      <c r="Q25" s="61">
        <v>230.7</v>
      </c>
      <c r="R25" s="61">
        <v>579.0</v>
      </c>
      <c r="S25" s="59">
        <f t="shared" si="1"/>
        <v>6.8</v>
      </c>
      <c r="T25" s="59">
        <f t="shared" si="2"/>
        <v>18.1</v>
      </c>
      <c r="U25" s="51">
        <f t="shared" si="3"/>
        <v>127.8</v>
      </c>
    </row>
    <row r="26">
      <c r="A26" s="60" t="s">
        <v>1026</v>
      </c>
      <c r="B26" s="57">
        <v>4.0</v>
      </c>
      <c r="C26" s="61">
        <v>0.1</v>
      </c>
      <c r="D26" s="61">
        <v>125.6</v>
      </c>
      <c r="E26" s="61">
        <v>5.9</v>
      </c>
      <c r="F26" s="61">
        <v>6.4</v>
      </c>
      <c r="G26" s="61" t="s">
        <v>4212</v>
      </c>
      <c r="H26" s="61">
        <v>8.8</v>
      </c>
      <c r="I26" s="61" t="s">
        <v>4212</v>
      </c>
      <c r="J26" s="61">
        <v>21.2</v>
      </c>
      <c r="K26" s="61">
        <v>0.0</v>
      </c>
      <c r="L26" s="61">
        <v>5.6</v>
      </c>
      <c r="M26" s="61">
        <v>0.0</v>
      </c>
      <c r="N26" s="61">
        <v>0.2</v>
      </c>
      <c r="O26" s="61">
        <v>76.9</v>
      </c>
      <c r="P26" s="61">
        <v>229.7</v>
      </c>
      <c r="Q26" s="61">
        <v>108.2</v>
      </c>
      <c r="R26" s="61">
        <v>338.0</v>
      </c>
      <c r="S26" s="59">
        <f t="shared" si="1"/>
        <v>5.9</v>
      </c>
      <c r="T26" s="59">
        <f t="shared" si="2"/>
        <v>15.2</v>
      </c>
      <c r="U26" s="51">
        <f t="shared" si="3"/>
        <v>77.1</v>
      </c>
    </row>
    <row r="27">
      <c r="A27" s="60" t="s">
        <v>255</v>
      </c>
      <c r="B27" s="57">
        <v>6.0</v>
      </c>
      <c r="C27" s="61">
        <v>0.0</v>
      </c>
      <c r="D27" s="61">
        <v>20.7</v>
      </c>
      <c r="E27" s="61">
        <v>3.4</v>
      </c>
      <c r="F27" s="61">
        <v>2.4</v>
      </c>
      <c r="G27" s="61" t="s">
        <v>4212</v>
      </c>
      <c r="H27" s="61">
        <v>2.5</v>
      </c>
      <c r="I27" s="61">
        <v>0.0</v>
      </c>
      <c r="J27" s="61">
        <v>8.3</v>
      </c>
      <c r="K27" s="61">
        <v>0.0</v>
      </c>
      <c r="L27" s="61">
        <v>0.2</v>
      </c>
      <c r="M27" s="61">
        <v>0.7</v>
      </c>
      <c r="N27" s="61" t="s">
        <v>4212</v>
      </c>
      <c r="O27" s="61">
        <v>48.1</v>
      </c>
      <c r="P27" s="61">
        <v>78.1</v>
      </c>
      <c r="Q27" s="61">
        <v>72.6</v>
      </c>
      <c r="R27" s="61">
        <v>150.7</v>
      </c>
      <c r="S27" s="59">
        <f t="shared" si="1"/>
        <v>3.4</v>
      </c>
      <c r="T27" s="59">
        <f t="shared" si="2"/>
        <v>4.9</v>
      </c>
      <c r="U27" s="51">
        <f t="shared" si="3"/>
        <v>48.8</v>
      </c>
    </row>
    <row r="28">
      <c r="A28" s="60" t="s">
        <v>1121</v>
      </c>
      <c r="B28" s="57">
        <v>4.0</v>
      </c>
      <c r="C28" s="61">
        <v>0.3</v>
      </c>
      <c r="D28" s="61">
        <v>67.4</v>
      </c>
      <c r="E28" s="61">
        <v>4.1</v>
      </c>
      <c r="F28" s="61">
        <v>4.2</v>
      </c>
      <c r="G28" s="61" t="s">
        <v>4212</v>
      </c>
      <c r="H28" s="61">
        <v>7.2</v>
      </c>
      <c r="I28" s="61">
        <v>0.0</v>
      </c>
      <c r="J28" s="61">
        <v>15.5</v>
      </c>
      <c r="K28" s="61">
        <v>0.0</v>
      </c>
      <c r="L28" s="61">
        <v>3.9</v>
      </c>
      <c r="M28" s="61">
        <v>0.0</v>
      </c>
      <c r="N28" s="61">
        <v>0.6</v>
      </c>
      <c r="O28" s="61">
        <v>101.6</v>
      </c>
      <c r="P28" s="61">
        <v>189.4</v>
      </c>
      <c r="Q28" s="61">
        <v>194.4</v>
      </c>
      <c r="R28" s="61">
        <v>383.8</v>
      </c>
      <c r="S28" s="59">
        <f t="shared" si="1"/>
        <v>4.1</v>
      </c>
      <c r="T28" s="59">
        <f t="shared" si="2"/>
        <v>11.4</v>
      </c>
      <c r="U28" s="51">
        <f t="shared" si="3"/>
        <v>102.2</v>
      </c>
    </row>
    <row r="29">
      <c r="A29" s="60" t="s">
        <v>1162</v>
      </c>
      <c r="B29" s="57">
        <v>8.0</v>
      </c>
      <c r="C29" s="61" t="s">
        <v>4212</v>
      </c>
      <c r="D29" s="61">
        <v>28.5</v>
      </c>
      <c r="E29" s="61">
        <v>0.6</v>
      </c>
      <c r="F29" s="61">
        <v>2.6</v>
      </c>
      <c r="G29" s="61" t="s">
        <v>4212</v>
      </c>
      <c r="H29" s="61">
        <v>0.8</v>
      </c>
      <c r="I29" s="61">
        <v>0.0</v>
      </c>
      <c r="J29" s="61">
        <v>4.0</v>
      </c>
      <c r="K29" s="61">
        <v>0.0</v>
      </c>
      <c r="L29" s="61">
        <v>2.2</v>
      </c>
      <c r="M29" s="61">
        <v>0.1</v>
      </c>
      <c r="N29" s="61" t="s">
        <v>4212</v>
      </c>
      <c r="O29" s="61">
        <v>17.1</v>
      </c>
      <c r="P29" s="61">
        <v>52.1</v>
      </c>
      <c r="Q29" s="61">
        <v>20.1</v>
      </c>
      <c r="R29" s="61">
        <v>72.1</v>
      </c>
      <c r="S29" s="59">
        <f t="shared" si="1"/>
        <v>0.6</v>
      </c>
      <c r="T29" s="59">
        <f t="shared" si="2"/>
        <v>3.4</v>
      </c>
      <c r="U29" s="51">
        <f t="shared" si="3"/>
        <v>17.2</v>
      </c>
    </row>
    <row r="30">
      <c r="A30" s="60" t="s">
        <v>1198</v>
      </c>
      <c r="B30" s="57">
        <v>4.0</v>
      </c>
      <c r="C30" s="61">
        <v>0.0</v>
      </c>
      <c r="D30" s="61">
        <v>34.6</v>
      </c>
      <c r="E30" s="61">
        <v>1.8</v>
      </c>
      <c r="F30" s="61">
        <v>1.4</v>
      </c>
      <c r="G30" s="61" t="s">
        <v>4212</v>
      </c>
      <c r="H30" s="61">
        <v>2.0</v>
      </c>
      <c r="I30" s="61" t="s">
        <v>4212</v>
      </c>
      <c r="J30" s="61">
        <v>5.2</v>
      </c>
      <c r="K30" s="61">
        <v>0.0</v>
      </c>
      <c r="L30" s="61">
        <v>0.5</v>
      </c>
      <c r="M30" s="61">
        <v>0.7</v>
      </c>
      <c r="N30" s="61" t="s">
        <v>4212</v>
      </c>
      <c r="O30" s="61">
        <v>32.8</v>
      </c>
      <c r="P30" s="61">
        <v>73.9</v>
      </c>
      <c r="Q30" s="61">
        <v>48.9</v>
      </c>
      <c r="R30" s="61">
        <v>122.7</v>
      </c>
      <c r="S30" s="59">
        <f t="shared" si="1"/>
        <v>1.8</v>
      </c>
      <c r="T30" s="59">
        <f t="shared" si="2"/>
        <v>3.4</v>
      </c>
      <c r="U30" s="51">
        <f t="shared" si="3"/>
        <v>33.5</v>
      </c>
    </row>
    <row r="31">
      <c r="A31" s="60" t="s">
        <v>256</v>
      </c>
      <c r="B31" s="57">
        <v>8.0</v>
      </c>
      <c r="C31" s="61">
        <v>0.0</v>
      </c>
      <c r="D31" s="61">
        <v>34.2</v>
      </c>
      <c r="E31" s="61">
        <v>2.2</v>
      </c>
      <c r="F31" s="61">
        <v>1.9</v>
      </c>
      <c r="G31" s="61" t="s">
        <v>4212</v>
      </c>
      <c r="H31" s="61">
        <v>4.6</v>
      </c>
      <c r="I31" s="61">
        <v>0.0</v>
      </c>
      <c r="J31" s="61">
        <v>8.7</v>
      </c>
      <c r="K31" s="61">
        <v>0.0</v>
      </c>
      <c r="L31" s="61">
        <v>0.4</v>
      </c>
      <c r="M31" s="61">
        <v>0.8</v>
      </c>
      <c r="N31" s="61">
        <v>0.6</v>
      </c>
      <c r="O31" s="61">
        <v>42.4</v>
      </c>
      <c r="P31" s="61">
        <v>87.0</v>
      </c>
      <c r="Q31" s="61">
        <v>42.9</v>
      </c>
      <c r="R31" s="61">
        <v>129.9</v>
      </c>
      <c r="S31" s="59">
        <f t="shared" si="1"/>
        <v>2.2</v>
      </c>
      <c r="T31" s="59">
        <f t="shared" si="2"/>
        <v>6.5</v>
      </c>
      <c r="U31" s="51">
        <f t="shared" si="3"/>
        <v>43.8</v>
      </c>
    </row>
    <row r="32">
      <c r="A32" s="60" t="s">
        <v>1251</v>
      </c>
      <c r="B32" s="57">
        <v>1.0</v>
      </c>
      <c r="C32" s="61">
        <v>0.0</v>
      </c>
      <c r="D32" s="61">
        <v>9.7</v>
      </c>
      <c r="E32" s="61">
        <v>4.7</v>
      </c>
      <c r="F32" s="61">
        <v>5.9</v>
      </c>
      <c r="G32" s="61" t="s">
        <v>4212</v>
      </c>
      <c r="H32" s="61">
        <v>1.7</v>
      </c>
      <c r="I32" s="61">
        <v>1.1</v>
      </c>
      <c r="J32" s="61">
        <v>13.5</v>
      </c>
      <c r="K32" s="61">
        <v>0.0</v>
      </c>
      <c r="L32" s="61">
        <v>2.4</v>
      </c>
      <c r="M32" s="61">
        <v>0.0</v>
      </c>
      <c r="N32" s="61">
        <v>0.3</v>
      </c>
      <c r="O32" s="61">
        <v>13.9</v>
      </c>
      <c r="P32" s="61">
        <v>39.8</v>
      </c>
      <c r="Q32" s="61">
        <v>24.9</v>
      </c>
      <c r="R32" s="61">
        <v>64.7</v>
      </c>
      <c r="S32" s="59">
        <f t="shared" si="1"/>
        <v>4.7</v>
      </c>
      <c r="T32" s="59">
        <f t="shared" si="2"/>
        <v>8.7</v>
      </c>
      <c r="U32" s="51">
        <f t="shared" si="3"/>
        <v>14.2</v>
      </c>
    </row>
    <row r="33">
      <c r="A33" s="60" t="s">
        <v>1259</v>
      </c>
      <c r="B33" s="57">
        <v>2.0</v>
      </c>
      <c r="C33" s="61">
        <v>0.0</v>
      </c>
      <c r="D33" s="61">
        <v>160.0</v>
      </c>
      <c r="E33" s="61">
        <v>10.3</v>
      </c>
      <c r="F33" s="61">
        <v>1.5</v>
      </c>
      <c r="G33" s="61" t="s">
        <v>4212</v>
      </c>
      <c r="H33" s="61">
        <v>12.4</v>
      </c>
      <c r="I33" s="61" t="s">
        <v>4212</v>
      </c>
      <c r="J33" s="61">
        <v>24.2</v>
      </c>
      <c r="K33" s="61">
        <v>0.0</v>
      </c>
      <c r="L33" s="61">
        <v>7.1</v>
      </c>
      <c r="M33" s="61">
        <v>0.0</v>
      </c>
      <c r="N33" s="61">
        <v>5.3</v>
      </c>
      <c r="O33" s="61">
        <v>127.5</v>
      </c>
      <c r="P33" s="61">
        <v>324.1</v>
      </c>
      <c r="Q33" s="61">
        <v>221.6</v>
      </c>
      <c r="R33" s="61">
        <v>545.7</v>
      </c>
      <c r="S33" s="59">
        <f t="shared" si="1"/>
        <v>10.3</v>
      </c>
      <c r="T33" s="59">
        <f t="shared" si="2"/>
        <v>13.9</v>
      </c>
      <c r="U33" s="51">
        <f t="shared" si="3"/>
        <v>132.8</v>
      </c>
    </row>
    <row r="34">
      <c r="A34" s="60" t="s">
        <v>1271</v>
      </c>
      <c r="B34" s="57">
        <v>8.0</v>
      </c>
      <c r="C34" s="61">
        <v>0.0</v>
      </c>
      <c r="D34" s="61">
        <v>28.6</v>
      </c>
      <c r="E34" s="61">
        <v>1.4</v>
      </c>
      <c r="F34" s="61">
        <v>1.9</v>
      </c>
      <c r="G34" s="61" t="s">
        <v>4212</v>
      </c>
      <c r="H34" s="61">
        <v>2.2</v>
      </c>
      <c r="I34" s="61">
        <v>0.0</v>
      </c>
      <c r="J34" s="61">
        <v>5.5</v>
      </c>
      <c r="K34" s="61">
        <v>0.0</v>
      </c>
      <c r="L34" s="61">
        <v>1.9</v>
      </c>
      <c r="M34" s="61">
        <v>0.1</v>
      </c>
      <c r="N34" s="61">
        <v>0.5</v>
      </c>
      <c r="O34" s="61">
        <v>31.0</v>
      </c>
      <c r="P34" s="61">
        <v>67.6</v>
      </c>
      <c r="Q34" s="61">
        <v>35.1</v>
      </c>
      <c r="R34" s="61">
        <v>102.7</v>
      </c>
      <c r="S34" s="59">
        <f t="shared" si="1"/>
        <v>1.4</v>
      </c>
      <c r="T34" s="59">
        <f t="shared" si="2"/>
        <v>4.1</v>
      </c>
      <c r="U34" s="51">
        <f t="shared" si="3"/>
        <v>31.6</v>
      </c>
    </row>
    <row r="35">
      <c r="A35" s="60" t="s">
        <v>1296</v>
      </c>
      <c r="B35" s="57">
        <v>2.0</v>
      </c>
      <c r="C35" s="61">
        <v>0.0</v>
      </c>
      <c r="D35" s="61">
        <v>313.6</v>
      </c>
      <c r="E35" s="61">
        <v>48.7</v>
      </c>
      <c r="F35" s="61">
        <v>10.2</v>
      </c>
      <c r="G35" s="61">
        <v>0.2</v>
      </c>
      <c r="H35" s="61">
        <v>19.3</v>
      </c>
      <c r="I35" s="61">
        <v>1.2</v>
      </c>
      <c r="J35" s="61">
        <v>79.6</v>
      </c>
      <c r="K35" s="61" t="s">
        <v>4212</v>
      </c>
      <c r="L35" s="61">
        <v>19.5</v>
      </c>
      <c r="M35" s="61">
        <v>0.8</v>
      </c>
      <c r="N35" s="61">
        <v>6.6</v>
      </c>
      <c r="O35" s="61">
        <v>246.4</v>
      </c>
      <c r="P35" s="62">
        <v>666.2</v>
      </c>
      <c r="Q35" s="61">
        <v>303.5</v>
      </c>
      <c r="R35" s="61">
        <v>969.8</v>
      </c>
      <c r="S35" s="59">
        <f t="shared" si="1"/>
        <v>48.7</v>
      </c>
      <c r="T35" s="59">
        <f t="shared" si="2"/>
        <v>30.9</v>
      </c>
      <c r="U35" s="51">
        <f t="shared" si="3"/>
        <v>253.8</v>
      </c>
    </row>
    <row r="36">
      <c r="A36" s="60" t="s">
        <v>1326</v>
      </c>
      <c r="B36" s="57">
        <v>5.0</v>
      </c>
      <c r="C36" s="61">
        <v>0.9</v>
      </c>
      <c r="D36" s="61">
        <v>60.6</v>
      </c>
      <c r="E36" s="61">
        <v>7.1</v>
      </c>
      <c r="F36" s="61">
        <v>8.4</v>
      </c>
      <c r="G36" s="61" t="s">
        <v>4212</v>
      </c>
      <c r="H36" s="61">
        <v>32.8</v>
      </c>
      <c r="I36" s="61" t="s">
        <v>4212</v>
      </c>
      <c r="J36" s="61">
        <v>48.3</v>
      </c>
      <c r="K36" s="61" t="s">
        <v>4212</v>
      </c>
      <c r="L36" s="61">
        <v>1.3</v>
      </c>
      <c r="M36" s="61">
        <v>0.0</v>
      </c>
      <c r="N36" s="61">
        <v>1.0</v>
      </c>
      <c r="O36" s="61">
        <v>168.0</v>
      </c>
      <c r="P36" s="61">
        <v>280.1</v>
      </c>
      <c r="Q36" s="61">
        <v>278.2</v>
      </c>
      <c r="R36" s="61">
        <v>558.3</v>
      </c>
      <c r="S36" s="59">
        <f t="shared" si="1"/>
        <v>7.1</v>
      </c>
      <c r="T36" s="59">
        <f t="shared" si="2"/>
        <v>41.2</v>
      </c>
      <c r="U36" s="51">
        <f t="shared" si="3"/>
        <v>169</v>
      </c>
    </row>
    <row r="37">
      <c r="A37" s="60" t="s">
        <v>1390</v>
      </c>
      <c r="B37" s="57">
        <v>4.0</v>
      </c>
      <c r="C37" s="61">
        <v>0.4</v>
      </c>
      <c r="D37" s="61">
        <v>18.1</v>
      </c>
      <c r="E37" s="61">
        <v>3.6</v>
      </c>
      <c r="F37" s="61">
        <v>1.7</v>
      </c>
      <c r="G37" s="61" t="s">
        <v>4212</v>
      </c>
      <c r="H37" s="61">
        <v>0.5</v>
      </c>
      <c r="I37" s="61">
        <v>0.0</v>
      </c>
      <c r="J37" s="61">
        <v>5.9</v>
      </c>
      <c r="K37" s="61">
        <v>0.0</v>
      </c>
      <c r="L37" s="61">
        <v>0.1</v>
      </c>
      <c r="M37" s="61">
        <v>0.4</v>
      </c>
      <c r="N37" s="61" t="s">
        <v>4212</v>
      </c>
      <c r="O37" s="61">
        <v>28.6</v>
      </c>
      <c r="P37" s="61">
        <v>52.5</v>
      </c>
      <c r="Q37" s="61">
        <v>37.4</v>
      </c>
      <c r="R37" s="61">
        <v>90.0</v>
      </c>
      <c r="S37" s="59">
        <f t="shared" si="1"/>
        <v>3.6</v>
      </c>
      <c r="T37" s="59">
        <f t="shared" si="2"/>
        <v>2.2</v>
      </c>
      <c r="U37" s="51">
        <f t="shared" si="3"/>
        <v>29</v>
      </c>
    </row>
    <row r="38">
      <c r="A38" s="60" t="s">
        <v>683</v>
      </c>
      <c r="B38" s="57">
        <v>3.0</v>
      </c>
      <c r="C38" s="61">
        <v>0.0</v>
      </c>
      <c r="D38" s="61">
        <v>194.4</v>
      </c>
      <c r="E38" s="61">
        <v>12.2</v>
      </c>
      <c r="F38" s="61">
        <v>6.6</v>
      </c>
      <c r="G38" s="61" t="s">
        <v>4212</v>
      </c>
      <c r="H38" s="61">
        <v>16.7</v>
      </c>
      <c r="I38" s="61">
        <v>0.0</v>
      </c>
      <c r="J38" s="61">
        <v>35.5</v>
      </c>
      <c r="K38" s="61">
        <v>0.0</v>
      </c>
      <c r="L38" s="61">
        <v>3.4</v>
      </c>
      <c r="M38" s="61">
        <v>0.8</v>
      </c>
      <c r="N38" s="61">
        <v>0.5</v>
      </c>
      <c r="O38" s="61">
        <v>157.3</v>
      </c>
      <c r="P38" s="61">
        <v>391.6</v>
      </c>
      <c r="Q38" s="61">
        <v>259.8</v>
      </c>
      <c r="R38" s="61">
        <v>651.4</v>
      </c>
      <c r="S38" s="59">
        <f t="shared" si="1"/>
        <v>12.2</v>
      </c>
      <c r="T38" s="59">
        <f t="shared" si="2"/>
        <v>23.3</v>
      </c>
      <c r="U38" s="51">
        <f t="shared" si="3"/>
        <v>158.6</v>
      </c>
    </row>
    <row r="39">
      <c r="A39" s="60" t="s">
        <v>1457</v>
      </c>
      <c r="B39" s="57">
        <v>7.0</v>
      </c>
      <c r="C39" s="61">
        <v>0.0</v>
      </c>
      <c r="D39" s="61">
        <v>46.9</v>
      </c>
      <c r="E39" s="61">
        <v>4.1</v>
      </c>
      <c r="F39" s="61">
        <v>2.4</v>
      </c>
      <c r="G39" s="61" t="s">
        <v>4212</v>
      </c>
      <c r="H39" s="61">
        <v>5.6</v>
      </c>
      <c r="I39" s="61">
        <v>0.0</v>
      </c>
      <c r="J39" s="61">
        <v>12.1</v>
      </c>
      <c r="K39" s="61">
        <v>0.0</v>
      </c>
      <c r="L39" s="61">
        <v>1.7</v>
      </c>
      <c r="M39" s="61">
        <v>0.0</v>
      </c>
      <c r="N39" s="61" t="s">
        <v>4212</v>
      </c>
      <c r="O39" s="61">
        <v>75.8</v>
      </c>
      <c r="P39" s="61">
        <v>136.5</v>
      </c>
      <c r="Q39" s="61">
        <v>72.3</v>
      </c>
      <c r="R39" s="61">
        <v>208.8</v>
      </c>
      <c r="S39" s="59">
        <f t="shared" si="1"/>
        <v>4.1</v>
      </c>
      <c r="T39" s="59">
        <f t="shared" si="2"/>
        <v>8</v>
      </c>
      <c r="U39" s="51">
        <f t="shared" si="3"/>
        <v>75.8</v>
      </c>
    </row>
    <row r="40">
      <c r="A40" s="60" t="s">
        <v>1144</v>
      </c>
      <c r="B40" s="57">
        <v>9.0</v>
      </c>
      <c r="C40" s="61">
        <v>0.0</v>
      </c>
      <c r="D40" s="61">
        <v>35.0</v>
      </c>
      <c r="E40" s="61">
        <v>2.4</v>
      </c>
      <c r="F40" s="61">
        <v>4.0</v>
      </c>
      <c r="G40" s="61" t="s">
        <v>4212</v>
      </c>
      <c r="H40" s="61">
        <v>5.0</v>
      </c>
      <c r="I40" s="61">
        <v>0.0</v>
      </c>
      <c r="J40" s="61">
        <v>11.5</v>
      </c>
      <c r="K40" s="61">
        <v>0.0</v>
      </c>
      <c r="L40" s="61">
        <v>3.8</v>
      </c>
      <c r="M40" s="61">
        <v>0.7</v>
      </c>
      <c r="N40" s="61">
        <v>0.4</v>
      </c>
      <c r="O40" s="61">
        <v>56.8</v>
      </c>
      <c r="P40" s="61">
        <v>108.2</v>
      </c>
      <c r="Q40" s="61">
        <v>25.8</v>
      </c>
      <c r="R40" s="61">
        <v>134.0</v>
      </c>
      <c r="S40" s="59">
        <f t="shared" si="1"/>
        <v>2.4</v>
      </c>
      <c r="T40" s="59">
        <f t="shared" si="2"/>
        <v>9</v>
      </c>
      <c r="U40" s="51">
        <f t="shared" si="3"/>
        <v>57.9</v>
      </c>
    </row>
    <row r="41">
      <c r="A41" s="60" t="s">
        <v>1514</v>
      </c>
      <c r="B41" s="57">
        <v>2.0</v>
      </c>
      <c r="C41" s="61">
        <v>0.1</v>
      </c>
      <c r="D41" s="61">
        <v>173.2</v>
      </c>
      <c r="E41" s="61">
        <v>18.7</v>
      </c>
      <c r="F41" s="61">
        <v>8.1</v>
      </c>
      <c r="G41" s="61">
        <v>0.2</v>
      </c>
      <c r="H41" s="61">
        <v>15.3</v>
      </c>
      <c r="I41" s="61" t="s">
        <v>4212</v>
      </c>
      <c r="J41" s="61">
        <v>42.3</v>
      </c>
      <c r="K41" s="61">
        <v>0.0</v>
      </c>
      <c r="L41" s="61">
        <v>8.9</v>
      </c>
      <c r="M41" s="61">
        <v>0.8</v>
      </c>
      <c r="N41" s="61">
        <v>0.8</v>
      </c>
      <c r="O41" s="61">
        <v>127.0</v>
      </c>
      <c r="P41" s="61">
        <v>353.0</v>
      </c>
      <c r="Q41" s="61">
        <v>206.5</v>
      </c>
      <c r="R41" s="61">
        <v>559.4</v>
      </c>
      <c r="S41" s="59">
        <f t="shared" si="1"/>
        <v>18.7</v>
      </c>
      <c r="T41" s="59">
        <f t="shared" si="2"/>
        <v>23.6</v>
      </c>
      <c r="U41" s="51">
        <f t="shared" si="3"/>
        <v>128.6</v>
      </c>
    </row>
    <row r="42">
      <c r="A42" s="60" t="s">
        <v>1546</v>
      </c>
      <c r="B42" s="57">
        <v>1.0</v>
      </c>
      <c r="C42" s="61">
        <v>0.0</v>
      </c>
      <c r="D42" s="61">
        <v>11.5</v>
      </c>
      <c r="E42" s="61">
        <v>2.7</v>
      </c>
      <c r="F42" s="61">
        <v>0.7</v>
      </c>
      <c r="G42" s="61" t="s">
        <v>4212</v>
      </c>
      <c r="H42" s="61">
        <v>1.1</v>
      </c>
      <c r="I42" s="61" t="s">
        <v>4212</v>
      </c>
      <c r="J42" s="61">
        <v>4.5</v>
      </c>
      <c r="K42" s="61">
        <v>0.0</v>
      </c>
      <c r="L42" s="61">
        <v>0.2</v>
      </c>
      <c r="M42" s="61">
        <v>0.0</v>
      </c>
      <c r="N42" s="61">
        <v>1.3</v>
      </c>
      <c r="O42" s="61">
        <v>12.8</v>
      </c>
      <c r="P42" s="61">
        <v>30.3</v>
      </c>
      <c r="Q42" s="61">
        <v>16.5</v>
      </c>
      <c r="R42" s="61">
        <v>46.9</v>
      </c>
      <c r="S42" s="59">
        <f t="shared" si="1"/>
        <v>2.7</v>
      </c>
      <c r="T42" s="59">
        <f t="shared" si="2"/>
        <v>1.8</v>
      </c>
      <c r="U42" s="51">
        <f t="shared" si="3"/>
        <v>14.1</v>
      </c>
    </row>
    <row r="43">
      <c r="A43" s="60" t="s">
        <v>1550</v>
      </c>
      <c r="B43" s="57">
        <v>5.0</v>
      </c>
      <c r="C43" s="61">
        <v>0.0</v>
      </c>
      <c r="D43" s="61">
        <v>26.8</v>
      </c>
      <c r="E43" s="61">
        <v>3.0</v>
      </c>
      <c r="F43" s="61">
        <v>2.9</v>
      </c>
      <c r="G43" s="61" t="s">
        <v>4212</v>
      </c>
      <c r="H43" s="61">
        <v>7.4</v>
      </c>
      <c r="I43" s="61">
        <v>0.1</v>
      </c>
      <c r="J43" s="61">
        <v>13.4</v>
      </c>
      <c r="K43" s="61" t="s">
        <v>4212</v>
      </c>
      <c r="L43" s="61">
        <v>0.2</v>
      </c>
      <c r="M43" s="61">
        <v>0.0</v>
      </c>
      <c r="N43" s="61">
        <v>0.3</v>
      </c>
      <c r="O43" s="61">
        <v>82.3</v>
      </c>
      <c r="P43" s="61">
        <v>123.1</v>
      </c>
      <c r="Q43" s="61">
        <v>165.7</v>
      </c>
      <c r="R43" s="61">
        <v>288.8</v>
      </c>
      <c r="S43" s="59">
        <f t="shared" si="1"/>
        <v>3</v>
      </c>
      <c r="T43" s="59">
        <f t="shared" si="2"/>
        <v>10.4</v>
      </c>
      <c r="U43" s="51">
        <f t="shared" si="3"/>
        <v>82.6</v>
      </c>
    </row>
    <row r="44">
      <c r="A44" s="60" t="s">
        <v>1578</v>
      </c>
      <c r="B44" s="57">
        <v>4.0</v>
      </c>
      <c r="C44" s="61">
        <v>0.0</v>
      </c>
      <c r="D44" s="61">
        <v>14.2</v>
      </c>
      <c r="E44" s="61">
        <v>0.9</v>
      </c>
      <c r="F44" s="61">
        <v>0.6</v>
      </c>
      <c r="G44" s="61" t="s">
        <v>4212</v>
      </c>
      <c r="H44" s="61">
        <v>0.8</v>
      </c>
      <c r="I44" s="61" t="s">
        <v>4212</v>
      </c>
      <c r="J44" s="61">
        <v>2.3</v>
      </c>
      <c r="K44" s="61">
        <v>0.0</v>
      </c>
      <c r="L44" s="61">
        <v>0.3</v>
      </c>
      <c r="M44" s="61">
        <v>1.0</v>
      </c>
      <c r="N44" s="61" t="s">
        <v>4212</v>
      </c>
      <c r="O44" s="61">
        <v>16.8</v>
      </c>
      <c r="P44" s="61">
        <v>34.6</v>
      </c>
      <c r="Q44" s="61">
        <v>7.1</v>
      </c>
      <c r="R44" s="61">
        <v>41.7</v>
      </c>
      <c r="S44" s="59">
        <f t="shared" si="1"/>
        <v>0.9</v>
      </c>
      <c r="T44" s="59">
        <f t="shared" si="2"/>
        <v>1.4</v>
      </c>
      <c r="U44" s="51">
        <f t="shared" si="3"/>
        <v>17.8</v>
      </c>
    </row>
    <row r="45">
      <c r="A45" s="60" t="s">
        <v>1616</v>
      </c>
      <c r="B45" s="57">
        <v>6.0</v>
      </c>
      <c r="C45" s="61">
        <v>0.0</v>
      </c>
      <c r="D45" s="61">
        <v>63.0</v>
      </c>
      <c r="E45" s="61">
        <v>5.2</v>
      </c>
      <c r="F45" s="61">
        <v>2.5</v>
      </c>
      <c r="G45" s="61" t="s">
        <v>4212</v>
      </c>
      <c r="H45" s="61">
        <v>7.2</v>
      </c>
      <c r="I45" s="61">
        <v>0.0</v>
      </c>
      <c r="J45" s="61">
        <v>15.0</v>
      </c>
      <c r="K45" s="61">
        <v>0.0</v>
      </c>
      <c r="L45" s="61">
        <v>1.1</v>
      </c>
      <c r="M45" s="61">
        <v>0.0</v>
      </c>
      <c r="N45" s="61">
        <v>0.2</v>
      </c>
      <c r="O45" s="61">
        <v>121.9</v>
      </c>
      <c r="P45" s="61">
        <v>201.1</v>
      </c>
      <c r="Q45" s="61">
        <v>218.9</v>
      </c>
      <c r="R45" s="61">
        <v>420.0</v>
      </c>
      <c r="S45" s="59">
        <f t="shared" si="1"/>
        <v>5.2</v>
      </c>
      <c r="T45" s="59">
        <f t="shared" si="2"/>
        <v>9.7</v>
      </c>
      <c r="U45" s="51">
        <f t="shared" si="3"/>
        <v>122.1</v>
      </c>
    </row>
    <row r="46">
      <c r="A46" s="60" t="s">
        <v>1159</v>
      </c>
      <c r="B46" s="57">
        <v>7.0</v>
      </c>
      <c r="C46" s="61">
        <v>0.0</v>
      </c>
      <c r="D46" s="61">
        <v>200.4</v>
      </c>
      <c r="E46" s="61">
        <v>17.8</v>
      </c>
      <c r="F46" s="61">
        <v>12.4</v>
      </c>
      <c r="G46" s="61" t="s">
        <v>4212</v>
      </c>
      <c r="H46" s="61">
        <v>27.8</v>
      </c>
      <c r="I46" s="61">
        <v>0.0</v>
      </c>
      <c r="J46" s="61">
        <v>58.0</v>
      </c>
      <c r="K46" s="61" t="s">
        <v>4212</v>
      </c>
      <c r="L46" s="61">
        <v>0.4</v>
      </c>
      <c r="M46" s="61">
        <v>0.9</v>
      </c>
      <c r="N46" s="61">
        <v>1.4</v>
      </c>
      <c r="O46" s="61">
        <v>548.4</v>
      </c>
      <c r="P46" s="62">
        <v>809.5</v>
      </c>
      <c r="Q46" s="61">
        <v>736.7</v>
      </c>
      <c r="R46" s="62">
        <v>1546.1</v>
      </c>
      <c r="S46" s="59">
        <f t="shared" si="1"/>
        <v>17.8</v>
      </c>
      <c r="T46" s="59">
        <f t="shared" si="2"/>
        <v>40.2</v>
      </c>
      <c r="U46" s="51">
        <f t="shared" si="3"/>
        <v>550.7</v>
      </c>
    </row>
    <row r="47">
      <c r="A47" s="60" t="s">
        <v>1802</v>
      </c>
      <c r="B47" s="57">
        <v>8.0</v>
      </c>
      <c r="C47" s="61">
        <v>0.0</v>
      </c>
      <c r="D47" s="61">
        <v>49.8</v>
      </c>
      <c r="E47" s="61">
        <v>2.9</v>
      </c>
      <c r="F47" s="61">
        <v>3.5</v>
      </c>
      <c r="G47" s="61" t="s">
        <v>4212</v>
      </c>
      <c r="H47" s="61">
        <v>2.4</v>
      </c>
      <c r="I47" s="61">
        <v>0.0</v>
      </c>
      <c r="J47" s="61">
        <v>8.7</v>
      </c>
      <c r="K47" s="61">
        <v>0.1</v>
      </c>
      <c r="L47" s="61">
        <v>0.6</v>
      </c>
      <c r="M47" s="61">
        <v>0.4</v>
      </c>
      <c r="N47" s="61">
        <v>0.4</v>
      </c>
      <c r="O47" s="61">
        <v>43.9</v>
      </c>
      <c r="P47" s="61">
        <v>103.9</v>
      </c>
      <c r="Q47" s="61">
        <v>72.3</v>
      </c>
      <c r="R47" s="61">
        <v>176.2</v>
      </c>
      <c r="S47" s="59">
        <f t="shared" si="1"/>
        <v>2.9</v>
      </c>
      <c r="T47" s="59">
        <f t="shared" si="2"/>
        <v>5.9</v>
      </c>
      <c r="U47" s="51">
        <f t="shared" si="3"/>
        <v>44.7</v>
      </c>
    </row>
    <row r="48">
      <c r="A48" s="60" t="s">
        <v>1819</v>
      </c>
      <c r="B48" s="57">
        <v>1.0</v>
      </c>
      <c r="C48" s="61">
        <v>0.0</v>
      </c>
      <c r="D48" s="61">
        <v>7.7</v>
      </c>
      <c r="E48" s="61">
        <v>3.3</v>
      </c>
      <c r="F48" s="61">
        <v>3.5</v>
      </c>
      <c r="G48" s="61" t="s">
        <v>4212</v>
      </c>
      <c r="H48" s="61">
        <v>0.7</v>
      </c>
      <c r="I48" s="61">
        <v>0.1</v>
      </c>
      <c r="J48" s="61">
        <v>7.6</v>
      </c>
      <c r="K48" s="61">
        <v>0.0</v>
      </c>
      <c r="L48" s="61">
        <v>2.5</v>
      </c>
      <c r="M48" s="61">
        <v>0.0</v>
      </c>
      <c r="N48" s="61">
        <v>0.3</v>
      </c>
      <c r="O48" s="61">
        <v>6.5</v>
      </c>
      <c r="P48" s="61">
        <v>24.6</v>
      </c>
      <c r="Q48" s="61">
        <v>0.7</v>
      </c>
      <c r="R48" s="61">
        <v>25.3</v>
      </c>
      <c r="S48" s="59">
        <f t="shared" si="1"/>
        <v>3.3</v>
      </c>
      <c r="T48" s="59">
        <f t="shared" si="2"/>
        <v>4.3</v>
      </c>
      <c r="U48" s="51">
        <f t="shared" si="3"/>
        <v>6.8</v>
      </c>
    </row>
    <row r="49">
      <c r="A49" s="60" t="s">
        <v>1828</v>
      </c>
      <c r="B49" s="57">
        <v>5.0</v>
      </c>
      <c r="C49" s="61">
        <v>0.2</v>
      </c>
      <c r="D49" s="61">
        <v>78.6</v>
      </c>
      <c r="E49" s="61">
        <v>8.7</v>
      </c>
      <c r="F49" s="61">
        <v>7.8</v>
      </c>
      <c r="G49" s="61">
        <v>0.1</v>
      </c>
      <c r="H49" s="61">
        <v>12.3</v>
      </c>
      <c r="I49" s="61" t="s">
        <v>4212</v>
      </c>
      <c r="J49" s="61">
        <v>28.9</v>
      </c>
      <c r="K49" s="61">
        <v>0.0</v>
      </c>
      <c r="L49" s="61">
        <v>11.1</v>
      </c>
      <c r="M49" s="61">
        <v>0.9</v>
      </c>
      <c r="N49" s="61">
        <v>0.3</v>
      </c>
      <c r="O49" s="61">
        <v>233.9</v>
      </c>
      <c r="P49" s="61">
        <v>353.9</v>
      </c>
      <c r="Q49" s="61">
        <v>380.2</v>
      </c>
      <c r="R49" s="61">
        <v>734.1</v>
      </c>
      <c r="S49" s="59">
        <f t="shared" si="1"/>
        <v>8.7</v>
      </c>
      <c r="T49" s="59">
        <f t="shared" si="2"/>
        <v>20.2</v>
      </c>
      <c r="U49" s="51">
        <f t="shared" si="3"/>
        <v>235.1</v>
      </c>
    </row>
    <row r="50">
      <c r="A50" s="60" t="s">
        <v>167</v>
      </c>
      <c r="B50" s="57">
        <v>9.0</v>
      </c>
      <c r="C50" s="61">
        <v>0.0</v>
      </c>
      <c r="D50" s="61">
        <v>68.7</v>
      </c>
      <c r="E50" s="61">
        <v>6.7</v>
      </c>
      <c r="F50" s="61">
        <v>4.9</v>
      </c>
      <c r="G50" s="61" t="s">
        <v>4212</v>
      </c>
      <c r="H50" s="61">
        <v>8.5</v>
      </c>
      <c r="I50" s="61">
        <v>0.0</v>
      </c>
      <c r="J50" s="61">
        <v>20.1</v>
      </c>
      <c r="K50" s="61">
        <v>0.0</v>
      </c>
      <c r="L50" s="61">
        <v>4.4</v>
      </c>
      <c r="M50" s="61">
        <v>0.8</v>
      </c>
      <c r="N50" s="61">
        <v>0.2</v>
      </c>
      <c r="O50" s="61">
        <v>101.6</v>
      </c>
      <c r="P50" s="61">
        <v>195.8</v>
      </c>
      <c r="Q50" s="61">
        <v>44.7</v>
      </c>
      <c r="R50" s="61">
        <v>240.5</v>
      </c>
      <c r="S50" s="59">
        <f t="shared" si="1"/>
        <v>6.7</v>
      </c>
      <c r="T50" s="59">
        <f t="shared" si="2"/>
        <v>13.4</v>
      </c>
      <c r="U50" s="51">
        <f t="shared" si="3"/>
        <v>102.6</v>
      </c>
    </row>
    <row r="51">
      <c r="A51" s="60" t="s">
        <v>1924</v>
      </c>
      <c r="B51" s="57">
        <v>5.0</v>
      </c>
      <c r="C51" s="61">
        <v>0.0</v>
      </c>
      <c r="D51" s="61">
        <v>25.7</v>
      </c>
      <c r="E51" s="61">
        <v>2.3</v>
      </c>
      <c r="F51" s="61">
        <v>1.1</v>
      </c>
      <c r="G51" s="61" t="s">
        <v>4212</v>
      </c>
      <c r="H51" s="61">
        <v>2.0</v>
      </c>
      <c r="I51" s="61">
        <v>0.0</v>
      </c>
      <c r="J51" s="61">
        <v>5.4</v>
      </c>
      <c r="K51" s="61">
        <v>0.0</v>
      </c>
      <c r="L51" s="61">
        <v>1.5</v>
      </c>
      <c r="M51" s="61" t="s">
        <v>4212</v>
      </c>
      <c r="N51" s="61" t="s">
        <v>4212</v>
      </c>
      <c r="O51" s="61">
        <v>24.8</v>
      </c>
      <c r="P51" s="61">
        <v>57.5</v>
      </c>
      <c r="Q51" s="61">
        <v>49.5</v>
      </c>
      <c r="R51" s="61">
        <v>107.0</v>
      </c>
      <c r="S51" s="59">
        <f t="shared" si="1"/>
        <v>2.3</v>
      </c>
      <c r="T51" s="59">
        <f t="shared" si="2"/>
        <v>3.1</v>
      </c>
      <c r="U51" s="51">
        <f t="shared" si="3"/>
        <v>24.8</v>
      </c>
    </row>
    <row r="52">
      <c r="A52" s="60" t="s">
        <v>1942</v>
      </c>
      <c r="B52" s="57">
        <v>3.0</v>
      </c>
      <c r="C52" s="61">
        <v>0.0</v>
      </c>
      <c r="D52" s="61">
        <v>122.5</v>
      </c>
      <c r="E52" s="61">
        <v>4.0</v>
      </c>
      <c r="F52" s="61">
        <v>5.5</v>
      </c>
      <c r="G52" s="61" t="s">
        <v>4212</v>
      </c>
      <c r="H52" s="61">
        <v>6.2</v>
      </c>
      <c r="I52" s="61">
        <v>0.0</v>
      </c>
      <c r="J52" s="61">
        <v>15.8</v>
      </c>
      <c r="K52" s="61">
        <v>0.0</v>
      </c>
      <c r="L52" s="61">
        <v>4.8</v>
      </c>
      <c r="M52" s="61">
        <v>0.0</v>
      </c>
      <c r="N52" s="61">
        <v>0.3</v>
      </c>
      <c r="O52" s="61">
        <v>79.9</v>
      </c>
      <c r="P52" s="61">
        <v>223.5</v>
      </c>
      <c r="Q52" s="61">
        <v>140.0</v>
      </c>
      <c r="R52" s="61">
        <v>363.5</v>
      </c>
      <c r="S52" s="59">
        <f t="shared" si="1"/>
        <v>4</v>
      </c>
      <c r="T52" s="59">
        <f t="shared" si="2"/>
        <v>11.7</v>
      </c>
      <c r="U52" s="51">
        <f t="shared" si="3"/>
        <v>80.2</v>
      </c>
    </row>
    <row r="53">
      <c r="A53" s="60" t="s">
        <v>1323</v>
      </c>
      <c r="B53" s="57">
        <v>8.0</v>
      </c>
      <c r="C53" s="61">
        <v>0.2</v>
      </c>
      <c r="D53" s="61">
        <v>13.7</v>
      </c>
      <c r="E53" s="61">
        <v>1.6</v>
      </c>
      <c r="F53" s="61">
        <v>1.2</v>
      </c>
      <c r="G53" s="61" t="s">
        <v>4212</v>
      </c>
      <c r="H53" s="61">
        <v>1.9</v>
      </c>
      <c r="I53" s="61">
        <v>0.0</v>
      </c>
      <c r="J53" s="61">
        <v>4.8</v>
      </c>
      <c r="K53" s="61">
        <v>0.0</v>
      </c>
      <c r="L53" s="61">
        <v>0.8</v>
      </c>
      <c r="M53" s="61">
        <v>0.5</v>
      </c>
      <c r="N53" s="61" t="s">
        <v>4212</v>
      </c>
      <c r="O53" s="61">
        <v>12.3</v>
      </c>
      <c r="P53" s="61">
        <v>32.4</v>
      </c>
      <c r="Q53" s="61">
        <v>21.4</v>
      </c>
      <c r="R53" s="61">
        <v>53.7</v>
      </c>
      <c r="S53" s="59">
        <f t="shared" si="1"/>
        <v>1.6</v>
      </c>
      <c r="T53" s="59">
        <f t="shared" si="2"/>
        <v>3.1</v>
      </c>
      <c r="U53" s="51">
        <f t="shared" si="3"/>
        <v>12.8</v>
      </c>
    </row>
    <row r="54">
      <c r="A54" s="60" t="s">
        <v>4213</v>
      </c>
      <c r="B54" s="61"/>
      <c r="C54" s="61">
        <v>14.5</v>
      </c>
      <c r="D54" s="62">
        <v>3655.1</v>
      </c>
      <c r="E54" s="62">
        <v>331.6</v>
      </c>
      <c r="F54" s="61">
        <v>201.6</v>
      </c>
      <c r="G54" s="61">
        <v>1.3</v>
      </c>
      <c r="H54" s="61">
        <v>440.0</v>
      </c>
      <c r="I54" s="61">
        <v>3.2</v>
      </c>
      <c r="J54" s="61">
        <v>978.2</v>
      </c>
      <c r="K54" s="61">
        <v>0.9</v>
      </c>
      <c r="L54" s="61">
        <v>158.1</v>
      </c>
      <c r="M54" s="62">
        <v>19.7</v>
      </c>
      <c r="N54" s="62">
        <v>62.8</v>
      </c>
      <c r="O54" s="62">
        <v>4745.7</v>
      </c>
      <c r="P54" s="62">
        <v>9622.3</v>
      </c>
      <c r="Q54" s="62">
        <v>6923.0</v>
      </c>
      <c r="R54" s="62">
        <v>16545.2</v>
      </c>
      <c r="S54" s="65">
        <f t="shared" si="1"/>
        <v>331.6</v>
      </c>
      <c r="T54" s="64">
        <f t="shared" ref="T54:U54" si="4">sum(T3:T53)</f>
        <v>645.3</v>
      </c>
      <c r="U54" s="51">
        <f t="shared" si="4"/>
        <v>4827.6</v>
      </c>
    </row>
  </sheetData>
  <mergeCells count="10">
    <mergeCell ref="P1:P2"/>
    <mergeCell ref="Q1:Q2"/>
    <mergeCell ref="R1:R2"/>
    <mergeCell ref="A1:A2"/>
    <mergeCell ref="C1:C2"/>
    <mergeCell ref="D1:D2"/>
    <mergeCell ref="K1:K2"/>
    <mergeCell ref="M1:M2"/>
    <mergeCell ref="N1:N2"/>
    <mergeCell ref="O1:O2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>
      <c r="B1" s="52" t="s">
        <v>4203</v>
      </c>
      <c r="C1" s="28" t="s">
        <v>4226</v>
      </c>
      <c r="D1" s="66" t="s">
        <v>4227</v>
      </c>
      <c r="E1" s="66" t="s">
        <v>4228</v>
      </c>
    </row>
    <row r="2">
      <c r="A2" s="45" t="s">
        <v>101</v>
      </c>
      <c r="B2" s="57">
        <v>6.0</v>
      </c>
      <c r="C2" s="34" t="s">
        <v>1994</v>
      </c>
      <c r="D2" s="45">
        <v>1.9</v>
      </c>
      <c r="E2" s="45">
        <v>3.36</v>
      </c>
    </row>
    <row r="3">
      <c r="A3" s="45" t="s">
        <v>171</v>
      </c>
      <c r="B3" s="57">
        <v>9.0</v>
      </c>
      <c r="C3" s="34" t="s">
        <v>2062</v>
      </c>
      <c r="D3" s="45">
        <v>0.26</v>
      </c>
      <c r="E3" s="45">
        <v>0.45</v>
      </c>
    </row>
    <row r="4">
      <c r="A4" s="45" t="s">
        <v>201</v>
      </c>
      <c r="B4" s="57">
        <v>8.0</v>
      </c>
      <c r="C4" s="34" t="s">
        <v>2063</v>
      </c>
      <c r="D4" s="45">
        <v>2.68</v>
      </c>
      <c r="E4" s="45">
        <v>4.58</v>
      </c>
    </row>
    <row r="5">
      <c r="A5" s="45" t="s">
        <v>220</v>
      </c>
      <c r="B5" s="57">
        <v>7.0</v>
      </c>
      <c r="C5" s="34" t="s">
        <v>2079</v>
      </c>
      <c r="D5" s="45">
        <v>1.14</v>
      </c>
      <c r="E5" s="45">
        <v>2.05</v>
      </c>
    </row>
    <row r="6">
      <c r="A6" s="45" t="s">
        <v>279</v>
      </c>
      <c r="B6" s="57">
        <v>9.0</v>
      </c>
      <c r="C6" s="34" t="s">
        <v>2137</v>
      </c>
      <c r="D6" s="45">
        <v>13.18</v>
      </c>
      <c r="E6" s="45">
        <v>19.83</v>
      </c>
    </row>
    <row r="7">
      <c r="A7" s="45" t="s">
        <v>339</v>
      </c>
      <c r="B7" s="57">
        <v>8.0</v>
      </c>
      <c r="C7" s="34" t="s">
        <v>2194</v>
      </c>
      <c r="D7" s="45">
        <v>2.26</v>
      </c>
      <c r="E7" s="45">
        <v>4.52</v>
      </c>
    </row>
    <row r="8">
      <c r="A8" s="45" t="s">
        <v>395</v>
      </c>
      <c r="B8" s="57">
        <v>1.0</v>
      </c>
      <c r="C8" s="34" t="s">
        <v>2250</v>
      </c>
      <c r="D8" s="45">
        <v>1.38</v>
      </c>
      <c r="E8" s="45">
        <v>2.79</v>
      </c>
    </row>
    <row r="9">
      <c r="A9" s="45" t="s">
        <v>405</v>
      </c>
      <c r="B9" s="57">
        <v>5.0</v>
      </c>
      <c r="C9" s="34" t="s">
        <v>2259</v>
      </c>
      <c r="D9" s="45">
        <v>0.38</v>
      </c>
      <c r="E9" s="45">
        <v>0.79</v>
      </c>
    </row>
    <row r="10">
      <c r="A10" s="45" t="s">
        <v>408</v>
      </c>
      <c r="B10" s="57">
        <v>5.0</v>
      </c>
      <c r="C10" s="34" t="s">
        <v>2263</v>
      </c>
      <c r="D10" s="45">
        <v>0.32</v>
      </c>
      <c r="E10" s="45">
        <v>0.38</v>
      </c>
    </row>
    <row r="11">
      <c r="A11" s="45" t="s">
        <v>410</v>
      </c>
      <c r="B11" s="57">
        <v>5.0</v>
      </c>
      <c r="C11" s="34" t="s">
        <v>2264</v>
      </c>
      <c r="D11" s="45">
        <v>8.06</v>
      </c>
      <c r="E11" s="45">
        <v>13.08</v>
      </c>
    </row>
    <row r="12">
      <c r="A12" s="45" t="s">
        <v>461</v>
      </c>
      <c r="B12" s="57">
        <v>5.0</v>
      </c>
      <c r="C12" s="34" t="s">
        <v>2314</v>
      </c>
      <c r="D12" s="45">
        <v>3.88</v>
      </c>
      <c r="E12" s="45">
        <v>7.66</v>
      </c>
    </row>
    <row r="13">
      <c r="A13" s="45" t="s">
        <v>570</v>
      </c>
      <c r="B13" s="57">
        <v>9.0</v>
      </c>
      <c r="C13" s="34" t="s">
        <v>2423</v>
      </c>
      <c r="D13" s="45">
        <v>0.47</v>
      </c>
      <c r="E13" s="45">
        <v>0.69</v>
      </c>
    </row>
    <row r="14">
      <c r="A14" s="45" t="s">
        <v>576</v>
      </c>
      <c r="B14" s="57">
        <v>8.0</v>
      </c>
      <c r="C14" s="34" t="s">
        <v>2424</v>
      </c>
      <c r="D14" s="45">
        <v>0.66</v>
      </c>
      <c r="E14" s="45">
        <v>1.3</v>
      </c>
    </row>
    <row r="15">
      <c r="A15" s="45" t="s">
        <v>608</v>
      </c>
      <c r="B15" s="57">
        <v>3.0</v>
      </c>
      <c r="C15" s="34" t="s">
        <v>2458</v>
      </c>
      <c r="D15" s="45">
        <v>4.9</v>
      </c>
      <c r="E15" s="45">
        <v>9.43</v>
      </c>
    </row>
    <row r="16">
      <c r="A16" s="45" t="s">
        <v>663</v>
      </c>
      <c r="B16" s="57">
        <v>3.0</v>
      </c>
      <c r="C16" s="34" t="s">
        <v>2513</v>
      </c>
      <c r="D16" s="45">
        <v>2.6</v>
      </c>
      <c r="E16" s="45">
        <v>5.25</v>
      </c>
    </row>
    <row r="17">
      <c r="A17" s="45" t="s">
        <v>705</v>
      </c>
      <c r="B17" s="57">
        <v>4.0</v>
      </c>
      <c r="C17" s="34" t="s">
        <v>2555</v>
      </c>
      <c r="D17" s="45">
        <v>1.28</v>
      </c>
      <c r="E17" s="45">
        <v>2.7</v>
      </c>
    </row>
    <row r="18">
      <c r="A18" s="45" t="s">
        <v>750</v>
      </c>
      <c r="B18" s="57">
        <v>4.0</v>
      </c>
      <c r="C18" s="34" t="s">
        <v>2601</v>
      </c>
      <c r="D18" s="45">
        <v>1.13</v>
      </c>
      <c r="E18" s="45">
        <v>2.2</v>
      </c>
    </row>
    <row r="19">
      <c r="A19" s="45" t="s">
        <v>818</v>
      </c>
      <c r="B19" s="57">
        <v>6.0</v>
      </c>
      <c r="C19" s="34" t="s">
        <v>2669</v>
      </c>
      <c r="D19" s="45">
        <v>1.74</v>
      </c>
      <c r="E19" s="45">
        <v>3.32</v>
      </c>
    </row>
    <row r="20">
      <c r="A20" s="45" t="s">
        <v>875</v>
      </c>
      <c r="B20" s="57">
        <v>7.0</v>
      </c>
      <c r="C20" s="34" t="s">
        <v>2725</v>
      </c>
      <c r="D20" s="45">
        <v>1.73</v>
      </c>
      <c r="E20" s="45">
        <v>3.01</v>
      </c>
    </row>
    <row r="21">
      <c r="A21" s="45" t="s">
        <v>923</v>
      </c>
      <c r="B21" s="57">
        <v>1.0</v>
      </c>
      <c r="C21" s="34" t="s">
        <v>2790</v>
      </c>
      <c r="D21" s="45">
        <v>0.56</v>
      </c>
      <c r="E21" s="45">
        <v>1.12</v>
      </c>
    </row>
    <row r="22">
      <c r="A22" s="45" t="s">
        <v>934</v>
      </c>
      <c r="B22" s="57">
        <v>5.0</v>
      </c>
      <c r="C22" s="34" t="s">
        <v>2801</v>
      </c>
      <c r="D22" s="45">
        <v>2.28</v>
      </c>
      <c r="E22" s="45">
        <v>4.53</v>
      </c>
    </row>
    <row r="23">
      <c r="A23" s="45" t="s">
        <v>952</v>
      </c>
      <c r="B23" s="57">
        <v>1.0</v>
      </c>
      <c r="C23" s="34" t="s">
        <v>2819</v>
      </c>
      <c r="D23" s="45">
        <v>2.71</v>
      </c>
      <c r="E23" s="45">
        <v>5.03</v>
      </c>
    </row>
    <row r="24">
      <c r="A24" s="45" t="s">
        <v>963</v>
      </c>
      <c r="B24" s="57">
        <v>3.0</v>
      </c>
      <c r="C24" s="34" t="s">
        <v>2830</v>
      </c>
      <c r="D24" s="45">
        <v>3.92</v>
      </c>
      <c r="E24" s="45">
        <v>7.95</v>
      </c>
    </row>
    <row r="25">
      <c r="A25" s="45" t="s">
        <v>1026</v>
      </c>
      <c r="B25" s="57">
        <v>4.0</v>
      </c>
      <c r="C25" s="34" t="s">
        <v>2893</v>
      </c>
      <c r="D25" s="45">
        <v>2.23</v>
      </c>
      <c r="E25" s="45">
        <v>4.45</v>
      </c>
    </row>
    <row r="26">
      <c r="A26" s="45" t="s">
        <v>255</v>
      </c>
      <c r="B26" s="57">
        <v>6.0</v>
      </c>
      <c r="C26" s="34" t="s">
        <v>2955</v>
      </c>
      <c r="D26" s="45">
        <v>1.08</v>
      </c>
      <c r="E26" s="45">
        <v>2.01</v>
      </c>
    </row>
    <row r="27">
      <c r="A27" s="45" t="s">
        <v>1121</v>
      </c>
      <c r="B27" s="57">
        <v>4.0</v>
      </c>
      <c r="C27" s="34" t="s">
        <v>2992</v>
      </c>
      <c r="D27" s="45">
        <v>2.43</v>
      </c>
      <c r="E27" s="45">
        <v>4.96</v>
      </c>
    </row>
    <row r="28">
      <c r="A28" s="45" t="s">
        <v>1162</v>
      </c>
      <c r="B28" s="57">
        <v>8.0</v>
      </c>
      <c r="C28" s="34" t="s">
        <v>3034</v>
      </c>
      <c r="D28" s="45">
        <v>0.43</v>
      </c>
      <c r="E28" s="45">
        <v>0.81</v>
      </c>
    </row>
    <row r="29">
      <c r="A29" s="45" t="s">
        <v>1198</v>
      </c>
      <c r="B29" s="57">
        <v>4.0</v>
      </c>
      <c r="C29" s="34" t="s">
        <v>3071</v>
      </c>
      <c r="D29" s="45">
        <v>0.77</v>
      </c>
      <c r="E29" s="45">
        <v>1.48</v>
      </c>
    </row>
    <row r="30">
      <c r="A30" s="45" t="s">
        <v>256</v>
      </c>
      <c r="B30" s="57">
        <v>8.0</v>
      </c>
      <c r="C30" s="34" t="s">
        <v>3112</v>
      </c>
      <c r="D30" s="45">
        <v>1.14</v>
      </c>
      <c r="E30" s="45">
        <v>1.84</v>
      </c>
    </row>
    <row r="31">
      <c r="A31" s="45" t="s">
        <v>1251</v>
      </c>
      <c r="B31" s="57">
        <v>1.0</v>
      </c>
      <c r="C31" s="34" t="s">
        <v>3123</v>
      </c>
      <c r="D31" s="45">
        <v>0.54</v>
      </c>
      <c r="E31" s="45">
        <v>1.13</v>
      </c>
    </row>
    <row r="32">
      <c r="A32" s="45" t="s">
        <v>1259</v>
      </c>
      <c r="B32" s="57">
        <v>2.0</v>
      </c>
      <c r="C32" s="34" t="s">
        <v>3131</v>
      </c>
      <c r="D32" s="45">
        <v>3.39</v>
      </c>
      <c r="E32" s="45">
        <v>6.35</v>
      </c>
    </row>
    <row r="33">
      <c r="A33" s="45" t="s">
        <v>1271</v>
      </c>
      <c r="B33" s="57">
        <v>8.0</v>
      </c>
      <c r="C33" s="34" t="s">
        <v>3143</v>
      </c>
      <c r="D33" s="45">
        <v>0.79</v>
      </c>
      <c r="E33" s="45">
        <v>1.32</v>
      </c>
    </row>
    <row r="34">
      <c r="A34" s="45" t="s">
        <v>1296</v>
      </c>
      <c r="B34" s="57">
        <v>2.0</v>
      </c>
      <c r="C34" s="34" t="s">
        <v>3168</v>
      </c>
      <c r="D34" s="45">
        <v>7.52</v>
      </c>
      <c r="E34" s="45">
        <v>12.14</v>
      </c>
    </row>
    <row r="35">
      <c r="A35" s="45" t="s">
        <v>1326</v>
      </c>
      <c r="B35" s="57">
        <v>5.0</v>
      </c>
      <c r="C35" s="34" t="s">
        <v>3200</v>
      </c>
      <c r="D35" s="45">
        <v>4.01</v>
      </c>
      <c r="E35" s="45">
        <v>7.63</v>
      </c>
    </row>
    <row r="36">
      <c r="A36" s="45" t="s">
        <v>1390</v>
      </c>
      <c r="B36" s="57">
        <v>4.0</v>
      </c>
      <c r="C36" s="34" t="s">
        <v>3265</v>
      </c>
      <c r="D36" s="45">
        <v>0.32</v>
      </c>
      <c r="E36" s="45">
        <v>0.64</v>
      </c>
    </row>
    <row r="37">
      <c r="A37" s="45" t="s">
        <v>683</v>
      </c>
      <c r="B37" s="57">
        <v>3.0</v>
      </c>
      <c r="C37" s="34" t="s">
        <v>3297</v>
      </c>
      <c r="D37" s="45">
        <v>4.74</v>
      </c>
      <c r="E37" s="45">
        <v>9.54</v>
      </c>
    </row>
    <row r="38">
      <c r="A38" s="45" t="s">
        <v>1457</v>
      </c>
      <c r="B38" s="57">
        <v>7.0</v>
      </c>
      <c r="C38" s="34" t="s">
        <v>3333</v>
      </c>
      <c r="D38" s="45">
        <v>1.49</v>
      </c>
      <c r="E38" s="45">
        <v>2.58</v>
      </c>
    </row>
    <row r="39">
      <c r="A39" s="45" t="s">
        <v>1144</v>
      </c>
      <c r="B39" s="57">
        <v>9.0</v>
      </c>
      <c r="C39" s="34" t="s">
        <v>3376</v>
      </c>
      <c r="D39" s="45">
        <v>1.65</v>
      </c>
      <c r="E39" s="45">
        <v>2.81</v>
      </c>
    </row>
    <row r="40">
      <c r="A40" s="45" t="s">
        <v>1514</v>
      </c>
      <c r="B40" s="57">
        <v>2.0</v>
      </c>
      <c r="C40" s="34" t="s">
        <v>3393</v>
      </c>
      <c r="D40" s="45">
        <v>5.13</v>
      </c>
      <c r="E40" s="45">
        <v>10.21</v>
      </c>
    </row>
    <row r="41">
      <c r="A41" s="45" t="s">
        <v>1546</v>
      </c>
      <c r="B41" s="57">
        <v>1.0</v>
      </c>
      <c r="C41" s="34" t="s">
        <v>3427</v>
      </c>
      <c r="D41" s="45">
        <v>0.42</v>
      </c>
      <c r="E41" s="45">
        <v>0.78</v>
      </c>
    </row>
    <row r="42">
      <c r="A42" s="45" t="s">
        <v>1550</v>
      </c>
      <c r="B42" s="57">
        <v>5.0</v>
      </c>
      <c r="C42" s="34" t="s">
        <v>3430</v>
      </c>
      <c r="D42" s="45">
        <v>1.97</v>
      </c>
      <c r="E42" s="45">
        <v>3.49</v>
      </c>
    </row>
    <row r="43">
      <c r="A43" s="45" t="s">
        <v>1578</v>
      </c>
      <c r="B43" s="57">
        <v>4.0</v>
      </c>
      <c r="C43" s="34" t="s">
        <v>3458</v>
      </c>
      <c r="D43" s="45">
        <v>0.35</v>
      </c>
      <c r="E43" s="45">
        <v>0.71</v>
      </c>
    </row>
    <row r="44">
      <c r="A44" s="45" t="s">
        <v>1616</v>
      </c>
      <c r="B44" s="57">
        <v>6.0</v>
      </c>
      <c r="C44" s="34" t="s">
        <v>3497</v>
      </c>
      <c r="D44" s="45">
        <v>2.66</v>
      </c>
      <c r="E44" s="45">
        <v>5.17</v>
      </c>
    </row>
    <row r="45">
      <c r="A45" s="45" t="s">
        <v>1159</v>
      </c>
      <c r="B45" s="57">
        <v>7.0</v>
      </c>
      <c r="C45" s="34" t="s">
        <v>3524</v>
      </c>
      <c r="D45" s="45">
        <v>10.26</v>
      </c>
      <c r="E45" s="45">
        <v>17.78</v>
      </c>
    </row>
    <row r="46">
      <c r="A46" s="45" t="s">
        <v>1802</v>
      </c>
      <c r="B46" s="57">
        <v>8.0</v>
      </c>
      <c r="C46" s="34" t="s">
        <v>3687</v>
      </c>
      <c r="D46" s="45">
        <v>1.04</v>
      </c>
      <c r="E46" s="45">
        <v>2.24</v>
      </c>
    </row>
    <row r="47">
      <c r="A47" s="45" t="s">
        <v>1819</v>
      </c>
      <c r="B47" s="57">
        <v>1.0</v>
      </c>
      <c r="C47" s="34" t="s">
        <v>3704</v>
      </c>
      <c r="D47" s="45">
        <v>0.26</v>
      </c>
      <c r="E47" s="45">
        <v>0.49</v>
      </c>
    </row>
    <row r="48">
      <c r="A48" s="45" t="s">
        <v>1828</v>
      </c>
      <c r="B48" s="57">
        <v>5.0</v>
      </c>
      <c r="C48" s="34" t="s">
        <v>3713</v>
      </c>
      <c r="D48" s="45">
        <v>3.24</v>
      </c>
      <c r="E48" s="45">
        <v>6.44</v>
      </c>
    </row>
    <row r="49">
      <c r="A49" s="45" t="s">
        <v>167</v>
      </c>
      <c r="B49" s="57">
        <v>9.0</v>
      </c>
      <c r="C49" s="34" t="s">
        <v>3797</v>
      </c>
      <c r="D49" s="45">
        <v>2.94</v>
      </c>
      <c r="E49" s="45">
        <v>4.92</v>
      </c>
    </row>
    <row r="50">
      <c r="A50" s="45" t="s">
        <v>1924</v>
      </c>
      <c r="B50" s="57">
        <v>5.0</v>
      </c>
      <c r="C50" s="34" t="s">
        <v>3820</v>
      </c>
      <c r="D50" s="45">
        <v>0.7</v>
      </c>
      <c r="E50" s="45">
        <v>1.32</v>
      </c>
    </row>
    <row r="51">
      <c r="A51" s="45" t="s">
        <v>1942</v>
      </c>
      <c r="B51" s="57">
        <v>3.0</v>
      </c>
      <c r="C51" s="34" t="s">
        <v>3838</v>
      </c>
      <c r="D51" s="45">
        <v>2.39</v>
      </c>
      <c r="E51" s="45">
        <v>4.94</v>
      </c>
    </row>
    <row r="52">
      <c r="A52" s="45" t="s">
        <v>1323</v>
      </c>
      <c r="B52" s="57">
        <v>8.0</v>
      </c>
      <c r="C52" s="34" t="s">
        <v>3874</v>
      </c>
      <c r="D52" s="45">
        <v>0.23</v>
      </c>
      <c r="E52" s="45">
        <v>0.43</v>
      </c>
    </row>
    <row r="54">
      <c r="B54" s="61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67" t="s">
        <v>4229</v>
      </c>
      <c r="B1" s="67" t="s">
        <v>4230</v>
      </c>
      <c r="D1" s="68"/>
      <c r="E1" s="68"/>
      <c r="F1" s="68"/>
      <c r="G1" s="68"/>
      <c r="H1" s="68"/>
      <c r="I1" s="68"/>
      <c r="J1" s="68"/>
      <c r="K1" s="68"/>
    </row>
    <row r="2" ht="15.75" customHeight="1">
      <c r="A2" s="67" t="s">
        <v>4231</v>
      </c>
      <c r="B2" s="69">
        <v>1.0</v>
      </c>
      <c r="C2" s="69">
        <v>2.0</v>
      </c>
      <c r="D2" s="69">
        <v>3.0</v>
      </c>
      <c r="E2" s="69">
        <v>4.0</v>
      </c>
      <c r="F2" s="69">
        <v>5.0</v>
      </c>
      <c r="G2" s="69">
        <v>6.0</v>
      </c>
      <c r="H2" s="69">
        <v>7.0</v>
      </c>
      <c r="I2" s="69">
        <v>8.0</v>
      </c>
      <c r="J2" s="69">
        <v>9.0</v>
      </c>
      <c r="K2" s="67" t="s">
        <v>4232</v>
      </c>
      <c r="N2" s="34" t="str">
        <f t="array" ref="N2:AQ12">TRANSPOSE(A1:K30)</f>
        <v>RESIDENTIAL</v>
      </c>
      <c r="O2" s="34" t="s">
        <v>4231</v>
      </c>
      <c r="P2" s="34">
        <v>1.0</v>
      </c>
      <c r="Q2" s="34">
        <v>2.0</v>
      </c>
      <c r="R2" s="34">
        <v>3.0</v>
      </c>
      <c r="S2" s="34">
        <v>4.0</v>
      </c>
      <c r="T2" s="34">
        <v>5.0</v>
      </c>
      <c r="U2" s="34">
        <v>6.0</v>
      </c>
      <c r="V2" s="34">
        <v>7.0</v>
      </c>
      <c r="W2" s="34">
        <v>8.0</v>
      </c>
      <c r="X2" s="34">
        <v>9.0</v>
      </c>
      <c r="Y2" s="34">
        <v>10.0</v>
      </c>
      <c r="Z2" s="34">
        <v>11.0</v>
      </c>
      <c r="AA2" s="34">
        <v>12.0</v>
      </c>
      <c r="AB2" s="34">
        <v>13.0</v>
      </c>
      <c r="AC2" s="34">
        <v>14.0</v>
      </c>
      <c r="AD2" s="34">
        <v>15.0</v>
      </c>
      <c r="AE2" s="34">
        <v>16.0</v>
      </c>
      <c r="AF2" s="34">
        <v>17.0</v>
      </c>
      <c r="AG2" s="34">
        <v>18.0</v>
      </c>
      <c r="AH2" s="34">
        <v>19.0</v>
      </c>
      <c r="AI2" s="34">
        <v>20.0</v>
      </c>
      <c r="AJ2" s="34">
        <v>21.0</v>
      </c>
      <c r="AK2" s="34">
        <v>22.0</v>
      </c>
      <c r="AL2" s="34">
        <v>23.0</v>
      </c>
      <c r="AM2" s="34">
        <v>24.0</v>
      </c>
      <c r="AN2" s="34">
        <v>25.0</v>
      </c>
      <c r="AO2" s="34" t="s">
        <v>4233</v>
      </c>
      <c r="AP2" s="34" t="s">
        <v>4234</v>
      </c>
      <c r="AQ2" s="34" t="s">
        <v>4207</v>
      </c>
    </row>
    <row r="3" ht="15.75" customHeight="1">
      <c r="A3" s="69">
        <v>1.0</v>
      </c>
      <c r="B3" s="69">
        <v>0.0</v>
      </c>
      <c r="C3" s="69">
        <v>0.0</v>
      </c>
      <c r="D3" s="69">
        <v>0.0</v>
      </c>
      <c r="E3" s="69">
        <v>0.0</v>
      </c>
      <c r="F3" s="69">
        <v>0.0</v>
      </c>
      <c r="G3" s="69">
        <v>0.0</v>
      </c>
      <c r="H3" s="69">
        <v>4.12037628E8</v>
      </c>
      <c r="I3" s="69">
        <v>0.0</v>
      </c>
      <c r="J3" s="69">
        <v>0.0</v>
      </c>
      <c r="K3" s="69">
        <v>4.12037628E8</v>
      </c>
      <c r="N3" s="34" t="s">
        <v>4230</v>
      </c>
      <c r="O3" s="34">
        <v>1.0</v>
      </c>
      <c r="P3" s="34">
        <v>0.0</v>
      </c>
      <c r="Q3" s="34">
        <v>0.0</v>
      </c>
      <c r="R3" s="34">
        <v>0.0</v>
      </c>
      <c r="S3" s="34">
        <v>0.0</v>
      </c>
      <c r="T3" s="34">
        <v>0.0</v>
      </c>
      <c r="U3" s="34">
        <v>0.0</v>
      </c>
      <c r="V3" s="34">
        <v>1.42600266E8</v>
      </c>
      <c r="W3" s="34">
        <v>0.0</v>
      </c>
      <c r="X3" s="34">
        <v>0.0</v>
      </c>
      <c r="Y3" s="34">
        <v>0.0</v>
      </c>
      <c r="Z3" s="34">
        <v>0.0</v>
      </c>
      <c r="AA3" s="34">
        <v>0.0</v>
      </c>
      <c r="AB3" s="34">
        <v>0.0</v>
      </c>
      <c r="AC3" s="34">
        <v>0.0</v>
      </c>
      <c r="AD3" s="34">
        <v>0.0</v>
      </c>
      <c r="AE3" s="34">
        <v>0.0</v>
      </c>
      <c r="AF3" s="34">
        <v>0.0</v>
      </c>
      <c r="AG3" s="34">
        <v>0.0</v>
      </c>
      <c r="AH3" s="34">
        <v>0.0</v>
      </c>
      <c r="AI3" s="34">
        <v>0.0</v>
      </c>
      <c r="AJ3" s="34">
        <v>0.0</v>
      </c>
      <c r="AK3" s="34">
        <v>0.0</v>
      </c>
      <c r="AL3" s="34">
        <v>0.0</v>
      </c>
      <c r="AM3" s="34">
        <v>0.0</v>
      </c>
      <c r="AN3" s="34">
        <v>0.0</v>
      </c>
      <c r="AO3" s="34">
        <v>0.0</v>
      </c>
      <c r="AP3" s="34">
        <v>0.0</v>
      </c>
      <c r="AQ3" s="34">
        <v>1.42600266E8</v>
      </c>
    </row>
    <row r="4" ht="15.75" customHeight="1">
      <c r="A4" s="69">
        <v>2.0</v>
      </c>
      <c r="B4" s="69">
        <v>0.0</v>
      </c>
      <c r="C4" s="69">
        <v>0.0</v>
      </c>
      <c r="D4" s="69">
        <v>0.0</v>
      </c>
      <c r="E4" s="69">
        <v>0.0</v>
      </c>
      <c r="F4" s="69">
        <v>3.64699481E8</v>
      </c>
      <c r="G4" s="69">
        <v>0.0</v>
      </c>
      <c r="H4" s="69">
        <v>0.0</v>
      </c>
      <c r="I4" s="69">
        <v>0.0</v>
      </c>
      <c r="J4" s="69">
        <v>0.0</v>
      </c>
      <c r="K4" s="69">
        <v>3.64699481E8</v>
      </c>
      <c r="N4" s="34"/>
      <c r="O4" s="34">
        <v>2.0</v>
      </c>
      <c r="P4" s="34">
        <v>0.0</v>
      </c>
      <c r="Q4" s="34">
        <v>0.0</v>
      </c>
      <c r="R4" s="34">
        <v>0.0</v>
      </c>
      <c r="S4" s="34">
        <v>0.0</v>
      </c>
      <c r="T4" s="34">
        <v>0.0</v>
      </c>
      <c r="U4" s="34">
        <v>0.0</v>
      </c>
      <c r="V4" s="34">
        <v>58786.0</v>
      </c>
      <c r="W4" s="34">
        <v>7.2454946E7</v>
      </c>
      <c r="X4" s="34">
        <v>8.1741299E7</v>
      </c>
      <c r="Y4" s="34">
        <v>2.10812256E8</v>
      </c>
      <c r="Z4" s="34">
        <v>4.2903935E7</v>
      </c>
      <c r="AA4" s="34">
        <v>0.0</v>
      </c>
      <c r="AB4" s="34">
        <v>0.0</v>
      </c>
      <c r="AC4" s="34">
        <v>0.0</v>
      </c>
      <c r="AD4" s="34">
        <v>0.0</v>
      </c>
      <c r="AE4" s="34">
        <v>0.0</v>
      </c>
      <c r="AF4" s="34">
        <v>0.0</v>
      </c>
      <c r="AG4" s="34">
        <v>0.0</v>
      </c>
      <c r="AH4" s="34">
        <v>0.0</v>
      </c>
      <c r="AI4" s="34">
        <v>0.0</v>
      </c>
      <c r="AJ4" s="34">
        <v>0.0</v>
      </c>
      <c r="AK4" s="34">
        <v>0.0</v>
      </c>
      <c r="AL4" s="34">
        <v>0.0</v>
      </c>
      <c r="AM4" s="34">
        <v>0.0</v>
      </c>
      <c r="AN4" s="34">
        <v>0.0</v>
      </c>
      <c r="AO4" s="34">
        <v>0.0</v>
      </c>
      <c r="AP4" s="34">
        <v>0.0</v>
      </c>
      <c r="AQ4" s="34">
        <v>4.07971222E8</v>
      </c>
    </row>
    <row r="5" ht="15.75" customHeight="1">
      <c r="A5" s="69">
        <v>3.0</v>
      </c>
      <c r="B5" s="69">
        <v>0.0</v>
      </c>
      <c r="C5" s="69">
        <v>0.0</v>
      </c>
      <c r="D5" s="69">
        <v>7.0519515E7</v>
      </c>
      <c r="E5" s="69">
        <v>1.22104361E8</v>
      </c>
      <c r="F5" s="69">
        <v>0.0</v>
      </c>
      <c r="G5" s="69">
        <v>0.0</v>
      </c>
      <c r="H5" s="69">
        <v>0.0</v>
      </c>
      <c r="I5" s="69">
        <v>0.0</v>
      </c>
      <c r="J5" s="69">
        <v>0.0</v>
      </c>
      <c r="K5" s="69">
        <v>1.926238757E8</v>
      </c>
      <c r="N5" s="34"/>
      <c r="O5" s="34">
        <v>3.0</v>
      </c>
      <c r="P5" s="34">
        <v>0.0</v>
      </c>
      <c r="Q5" s="34">
        <v>0.0</v>
      </c>
      <c r="R5" s="34">
        <v>7.0519515E7</v>
      </c>
      <c r="S5" s="34">
        <v>1.34531902E8</v>
      </c>
      <c r="T5" s="34">
        <v>9.6091775E7</v>
      </c>
      <c r="U5" s="34">
        <v>0.0</v>
      </c>
      <c r="V5" s="34">
        <v>0.0</v>
      </c>
      <c r="W5" s="34">
        <v>0.0</v>
      </c>
      <c r="X5" s="34">
        <v>0.0</v>
      </c>
      <c r="Y5" s="34">
        <v>0.0</v>
      </c>
      <c r="Z5" s="34">
        <v>1.83243982E8</v>
      </c>
      <c r="AA5" s="34">
        <v>8.5938263E7</v>
      </c>
      <c r="AB5" s="34">
        <v>0.0</v>
      </c>
      <c r="AC5" s="34">
        <v>0.0</v>
      </c>
      <c r="AD5" s="34">
        <v>0.0</v>
      </c>
      <c r="AE5" s="34">
        <v>0.0</v>
      </c>
      <c r="AF5" s="34">
        <v>0.0</v>
      </c>
      <c r="AG5" s="34">
        <v>0.0</v>
      </c>
      <c r="AH5" s="34">
        <v>0.0</v>
      </c>
      <c r="AI5" s="34">
        <v>0.0</v>
      </c>
      <c r="AJ5" s="34">
        <v>0.0</v>
      </c>
      <c r="AK5" s="34">
        <v>0.0</v>
      </c>
      <c r="AL5" s="34">
        <v>0.0</v>
      </c>
      <c r="AM5" s="34">
        <v>0.0</v>
      </c>
      <c r="AN5" s="34">
        <v>0.0</v>
      </c>
      <c r="AO5" s="34">
        <v>0.0</v>
      </c>
      <c r="AP5" s="34">
        <v>0.0</v>
      </c>
      <c r="AQ5" s="34">
        <v>5.70325437E8</v>
      </c>
    </row>
    <row r="6" ht="15.75" customHeight="1">
      <c r="A6" s="69">
        <v>4.0</v>
      </c>
      <c r="B6" s="69">
        <v>0.0</v>
      </c>
      <c r="C6" s="69">
        <v>0.0</v>
      </c>
      <c r="D6" s="69">
        <v>1.34531902E8</v>
      </c>
      <c r="E6" s="69">
        <v>7.656028E7</v>
      </c>
      <c r="F6" s="69">
        <v>0.0</v>
      </c>
      <c r="G6" s="69">
        <v>4636379.0</v>
      </c>
      <c r="H6" s="69">
        <v>0.0</v>
      </c>
      <c r="I6" s="69">
        <v>0.0</v>
      </c>
      <c r="J6" s="69">
        <v>0.0</v>
      </c>
      <c r="K6" s="69">
        <v>2.157285612E8</v>
      </c>
      <c r="N6" s="34"/>
      <c r="O6" s="34">
        <v>4.0</v>
      </c>
      <c r="P6" s="34">
        <v>0.0</v>
      </c>
      <c r="Q6" s="34">
        <v>0.0</v>
      </c>
      <c r="R6" s="34">
        <v>1.22104361E8</v>
      </c>
      <c r="S6" s="34">
        <v>7.656028E7</v>
      </c>
      <c r="T6" s="34">
        <v>394.0</v>
      </c>
      <c r="U6" s="34">
        <v>688.0</v>
      </c>
      <c r="V6" s="34">
        <v>0.0</v>
      </c>
      <c r="W6" s="34">
        <v>0.0</v>
      </c>
      <c r="X6" s="34">
        <v>0.0</v>
      </c>
      <c r="Y6" s="34">
        <v>0.0</v>
      </c>
      <c r="Z6" s="34">
        <v>0.0</v>
      </c>
      <c r="AA6" s="34">
        <v>0.0</v>
      </c>
      <c r="AB6" s="34">
        <v>0.0</v>
      </c>
      <c r="AC6" s="34">
        <v>0.0</v>
      </c>
      <c r="AD6" s="34">
        <v>0.0</v>
      </c>
      <c r="AE6" s="34">
        <v>0.0</v>
      </c>
      <c r="AF6" s="34">
        <v>0.0</v>
      </c>
      <c r="AG6" s="34">
        <v>7.3762062E7</v>
      </c>
      <c r="AH6" s="34">
        <v>4.6611333E7</v>
      </c>
      <c r="AI6" s="34">
        <v>0.0</v>
      </c>
      <c r="AJ6" s="34">
        <v>0.0</v>
      </c>
      <c r="AK6" s="34">
        <v>0.0</v>
      </c>
      <c r="AL6" s="34">
        <v>0.0</v>
      </c>
      <c r="AM6" s="34">
        <v>4125408.0</v>
      </c>
      <c r="AN6" s="34">
        <v>0.0</v>
      </c>
      <c r="AO6" s="34">
        <v>0.0</v>
      </c>
      <c r="AP6" s="34">
        <v>0.0</v>
      </c>
      <c r="AQ6" s="34">
        <v>3.23164526E8</v>
      </c>
    </row>
    <row r="7" ht="15.75" customHeight="1">
      <c r="A7" s="69">
        <v>5.0</v>
      </c>
      <c r="B7" s="69">
        <v>0.0</v>
      </c>
      <c r="C7" s="69">
        <v>0.0</v>
      </c>
      <c r="D7" s="69">
        <v>9.6091775E7</v>
      </c>
      <c r="E7" s="69">
        <v>394.0</v>
      </c>
      <c r="F7" s="69">
        <v>0.0</v>
      </c>
      <c r="G7" s="69">
        <v>0.0</v>
      </c>
      <c r="H7" s="69">
        <v>0.0</v>
      </c>
      <c r="I7" s="69">
        <v>0.0</v>
      </c>
      <c r="J7" s="69">
        <v>0.0</v>
      </c>
      <c r="K7" s="69">
        <v>9.609216933E7</v>
      </c>
      <c r="N7" s="34"/>
      <c r="O7" s="34">
        <v>5.0</v>
      </c>
      <c r="P7" s="34">
        <v>0.0</v>
      </c>
      <c r="Q7" s="34">
        <v>3.64699481E8</v>
      </c>
      <c r="R7" s="34">
        <v>0.0</v>
      </c>
      <c r="S7" s="34">
        <v>0.0</v>
      </c>
      <c r="T7" s="34">
        <v>0.0</v>
      </c>
      <c r="U7" s="34">
        <v>0.0</v>
      </c>
      <c r="V7" s="34">
        <v>0.0</v>
      </c>
      <c r="W7" s="34">
        <v>0.0</v>
      </c>
      <c r="X7" s="34">
        <v>0.0</v>
      </c>
      <c r="Y7" s="34">
        <v>9.650516E7</v>
      </c>
      <c r="Z7" s="34">
        <v>6.968978E7</v>
      </c>
      <c r="AA7" s="34">
        <v>0.0</v>
      </c>
      <c r="AB7" s="34">
        <v>1.19525345E8</v>
      </c>
      <c r="AC7" s="34">
        <v>2.65234214E8</v>
      </c>
      <c r="AD7" s="34">
        <v>1.92432941E8</v>
      </c>
      <c r="AE7" s="34">
        <v>9181156.0</v>
      </c>
      <c r="AF7" s="34">
        <v>0.0</v>
      </c>
      <c r="AG7" s="34">
        <v>0.0</v>
      </c>
      <c r="AH7" s="34">
        <v>0.0</v>
      </c>
      <c r="AI7" s="34">
        <v>0.0</v>
      </c>
      <c r="AJ7" s="34">
        <v>0.0</v>
      </c>
      <c r="AK7" s="34">
        <v>0.0</v>
      </c>
      <c r="AL7" s="34">
        <v>0.0</v>
      </c>
      <c r="AM7" s="34">
        <v>0.0</v>
      </c>
      <c r="AN7" s="34">
        <v>0.0</v>
      </c>
      <c r="AO7" s="34">
        <v>0.0</v>
      </c>
      <c r="AP7" s="34">
        <v>0.0</v>
      </c>
      <c r="AQ7" s="34">
        <v>1.117268077E9</v>
      </c>
    </row>
    <row r="8" ht="15.75" customHeight="1">
      <c r="A8" s="69">
        <v>6.0</v>
      </c>
      <c r="B8" s="69">
        <v>0.0</v>
      </c>
      <c r="C8" s="69">
        <v>0.0</v>
      </c>
      <c r="D8" s="69">
        <v>0.0</v>
      </c>
      <c r="E8" s="69">
        <v>688.0</v>
      </c>
      <c r="F8" s="69">
        <v>0.0</v>
      </c>
      <c r="G8" s="69">
        <v>3.1002576E7</v>
      </c>
      <c r="H8" s="69">
        <v>1.48177274E8</v>
      </c>
      <c r="I8" s="69">
        <v>0.0</v>
      </c>
      <c r="J8" s="69">
        <v>0.0</v>
      </c>
      <c r="K8" s="69">
        <v>1.791805378E8</v>
      </c>
      <c r="N8" s="34"/>
      <c r="O8" s="34">
        <v>6.0</v>
      </c>
      <c r="P8" s="34">
        <v>0.0</v>
      </c>
      <c r="Q8" s="34">
        <v>0.0</v>
      </c>
      <c r="R8" s="34">
        <v>0.0</v>
      </c>
      <c r="S8" s="34">
        <v>4636379.0</v>
      </c>
      <c r="T8" s="34">
        <v>0.0</v>
      </c>
      <c r="U8" s="34">
        <v>3.1002576E7</v>
      </c>
      <c r="V8" s="34">
        <v>0.0</v>
      </c>
      <c r="W8" s="34">
        <v>0.0</v>
      </c>
      <c r="X8" s="34">
        <v>0.0</v>
      </c>
      <c r="Y8" s="34">
        <v>0.0</v>
      </c>
      <c r="Z8" s="34">
        <v>3.4272662E7</v>
      </c>
      <c r="AA8" s="34">
        <v>0.0</v>
      </c>
      <c r="AB8" s="34">
        <v>0.0</v>
      </c>
      <c r="AC8" s="34">
        <v>25436.0</v>
      </c>
      <c r="AD8" s="34">
        <v>8.3148395E7</v>
      </c>
      <c r="AE8" s="34">
        <v>2.08025782E8</v>
      </c>
      <c r="AF8" s="34">
        <v>0.0</v>
      </c>
      <c r="AG8" s="34">
        <v>0.0</v>
      </c>
      <c r="AH8" s="34">
        <v>0.0</v>
      </c>
      <c r="AI8" s="34">
        <v>0.0</v>
      </c>
      <c r="AJ8" s="34">
        <v>0.0</v>
      </c>
      <c r="AK8" s="34">
        <v>0.0</v>
      </c>
      <c r="AL8" s="34">
        <v>0.0</v>
      </c>
      <c r="AM8" s="34">
        <v>0.0</v>
      </c>
      <c r="AN8" s="34">
        <v>0.0</v>
      </c>
      <c r="AO8" s="34">
        <v>0.0</v>
      </c>
      <c r="AP8" s="34">
        <v>0.0</v>
      </c>
      <c r="AQ8" s="34">
        <v>3.6111123E8</v>
      </c>
    </row>
    <row r="9" ht="15.75" customHeight="1">
      <c r="A9" s="69">
        <v>7.0</v>
      </c>
      <c r="B9" s="69">
        <v>1.42600266E8</v>
      </c>
      <c r="C9" s="69">
        <v>58786.0</v>
      </c>
      <c r="D9" s="69">
        <v>0.0</v>
      </c>
      <c r="E9" s="69">
        <v>0.0</v>
      </c>
      <c r="F9" s="69">
        <v>0.0</v>
      </c>
      <c r="G9" s="69">
        <v>0.0</v>
      </c>
      <c r="H9" s="69">
        <v>0.0</v>
      </c>
      <c r="I9" s="69">
        <v>0.0</v>
      </c>
      <c r="J9" s="69">
        <v>0.0</v>
      </c>
      <c r="K9" s="69">
        <v>1.426590517E8</v>
      </c>
      <c r="N9" s="34"/>
      <c r="O9" s="34">
        <v>7.0</v>
      </c>
      <c r="P9" s="34">
        <v>4.12037628E8</v>
      </c>
      <c r="Q9" s="34">
        <v>0.0</v>
      </c>
      <c r="R9" s="34">
        <v>0.0</v>
      </c>
      <c r="S9" s="34">
        <v>0.0</v>
      </c>
      <c r="T9" s="34">
        <v>0.0</v>
      </c>
      <c r="U9" s="34">
        <v>1.48177274E8</v>
      </c>
      <c r="V9" s="34">
        <v>0.0</v>
      </c>
      <c r="W9" s="34">
        <v>0.0</v>
      </c>
      <c r="X9" s="34">
        <v>0.0</v>
      </c>
      <c r="Y9" s="34">
        <v>0.0</v>
      </c>
      <c r="Z9" s="34">
        <v>0.0</v>
      </c>
      <c r="AA9" s="34">
        <v>0.0</v>
      </c>
      <c r="AB9" s="34">
        <v>0.0</v>
      </c>
      <c r="AC9" s="34">
        <v>0.0</v>
      </c>
      <c r="AD9" s="34">
        <v>0.0</v>
      </c>
      <c r="AE9" s="34">
        <v>0.0</v>
      </c>
      <c r="AF9" s="34">
        <v>1.22402769E8</v>
      </c>
      <c r="AG9" s="34">
        <v>56326.0</v>
      </c>
      <c r="AH9" s="34">
        <v>0.0</v>
      </c>
      <c r="AI9" s="34">
        <v>7109364.0</v>
      </c>
      <c r="AJ9" s="34">
        <v>0.0</v>
      </c>
      <c r="AK9" s="34">
        <v>0.0</v>
      </c>
      <c r="AL9" s="34">
        <v>0.0</v>
      </c>
      <c r="AM9" s="34">
        <v>0.0</v>
      </c>
      <c r="AN9" s="34">
        <v>0.0</v>
      </c>
      <c r="AO9" s="34">
        <v>0.0</v>
      </c>
      <c r="AP9" s="34">
        <v>0.0</v>
      </c>
      <c r="AQ9" s="34">
        <v>6.89783361E8</v>
      </c>
    </row>
    <row r="10" ht="15.75" customHeight="1">
      <c r="A10" s="69">
        <v>8.0</v>
      </c>
      <c r="B10" s="69">
        <v>0.0</v>
      </c>
      <c r="C10" s="69">
        <v>7.2454946E7</v>
      </c>
      <c r="D10" s="69">
        <v>0.0</v>
      </c>
      <c r="E10" s="69">
        <v>0.0</v>
      </c>
      <c r="F10" s="69">
        <v>0.0</v>
      </c>
      <c r="G10" s="69">
        <v>0.0</v>
      </c>
      <c r="H10" s="69">
        <v>0.0</v>
      </c>
      <c r="I10" s="69">
        <v>0.0</v>
      </c>
      <c r="J10" s="69">
        <v>0.0</v>
      </c>
      <c r="K10" s="69">
        <v>7.245494583E7</v>
      </c>
      <c r="N10" s="34"/>
      <c r="O10" s="34">
        <v>8.0</v>
      </c>
      <c r="P10" s="34">
        <v>0.0</v>
      </c>
      <c r="Q10" s="34">
        <v>0.0</v>
      </c>
      <c r="R10" s="34">
        <v>0.0</v>
      </c>
      <c r="S10" s="34">
        <v>0.0</v>
      </c>
      <c r="T10" s="34">
        <v>0.0</v>
      </c>
      <c r="U10" s="34">
        <v>0.0</v>
      </c>
      <c r="V10" s="34">
        <v>0.0</v>
      </c>
      <c r="W10" s="34">
        <v>0.0</v>
      </c>
      <c r="X10" s="34">
        <v>0.0</v>
      </c>
      <c r="Y10" s="34">
        <v>0.0</v>
      </c>
      <c r="Z10" s="34">
        <v>0.0</v>
      </c>
      <c r="AA10" s="34">
        <v>0.0</v>
      </c>
      <c r="AB10" s="34">
        <v>0.0</v>
      </c>
      <c r="AC10" s="34">
        <v>0.0</v>
      </c>
      <c r="AD10" s="34">
        <v>0.0</v>
      </c>
      <c r="AE10" s="34">
        <v>0.0</v>
      </c>
      <c r="AF10" s="34">
        <v>4496374.0</v>
      </c>
      <c r="AG10" s="34">
        <v>826.0</v>
      </c>
      <c r="AH10" s="34">
        <v>794922.0</v>
      </c>
      <c r="AI10" s="34">
        <v>1.23221647E8</v>
      </c>
      <c r="AJ10" s="34">
        <v>5456.0</v>
      </c>
      <c r="AK10" s="34">
        <v>19927.0</v>
      </c>
      <c r="AL10" s="34">
        <v>2.4474295E7</v>
      </c>
      <c r="AM10" s="34">
        <v>6.4411394E7</v>
      </c>
      <c r="AN10" s="34">
        <v>9.1915201E7</v>
      </c>
      <c r="AO10" s="34">
        <v>0.0</v>
      </c>
      <c r="AP10" s="34">
        <v>0.0</v>
      </c>
      <c r="AQ10" s="34">
        <v>3.09340042E8</v>
      </c>
    </row>
    <row r="11" ht="15.75" customHeight="1">
      <c r="A11" s="69">
        <v>9.0</v>
      </c>
      <c r="B11" s="69">
        <v>0.0</v>
      </c>
      <c r="C11" s="69">
        <v>8.1741299E7</v>
      </c>
      <c r="D11" s="69">
        <v>0.0</v>
      </c>
      <c r="E11" s="69">
        <v>0.0</v>
      </c>
      <c r="F11" s="69">
        <v>0.0</v>
      </c>
      <c r="G11" s="69">
        <v>0.0</v>
      </c>
      <c r="H11" s="69">
        <v>0.0</v>
      </c>
      <c r="I11" s="69">
        <v>0.0</v>
      </c>
      <c r="J11" s="69">
        <v>0.0</v>
      </c>
      <c r="K11" s="69">
        <v>8.174129882E7</v>
      </c>
      <c r="N11" s="34"/>
      <c r="O11" s="34">
        <v>9.0</v>
      </c>
      <c r="P11" s="34">
        <v>0.0</v>
      </c>
      <c r="Q11" s="34">
        <v>0.0</v>
      </c>
      <c r="R11" s="34">
        <v>0.0</v>
      </c>
      <c r="S11" s="34">
        <v>0.0</v>
      </c>
      <c r="T11" s="34">
        <v>0.0</v>
      </c>
      <c r="U11" s="34">
        <v>0.0</v>
      </c>
      <c r="V11" s="34">
        <v>0.0</v>
      </c>
      <c r="W11" s="34">
        <v>0.0</v>
      </c>
      <c r="X11" s="34">
        <v>0.0</v>
      </c>
      <c r="Y11" s="34">
        <v>0.0</v>
      </c>
      <c r="Z11" s="34">
        <v>0.0</v>
      </c>
      <c r="AA11" s="34">
        <v>0.0</v>
      </c>
      <c r="AB11" s="34">
        <v>0.0</v>
      </c>
      <c r="AC11" s="34">
        <v>0.0</v>
      </c>
      <c r="AD11" s="34">
        <v>0.0</v>
      </c>
      <c r="AE11" s="34">
        <v>0.0</v>
      </c>
      <c r="AF11" s="34">
        <v>0.0</v>
      </c>
      <c r="AG11" s="34">
        <v>0.0</v>
      </c>
      <c r="AH11" s="34">
        <v>0.0</v>
      </c>
      <c r="AI11" s="34">
        <v>5687670.0</v>
      </c>
      <c r="AJ11" s="34">
        <v>1.15127541E8</v>
      </c>
      <c r="AK11" s="34">
        <v>1.49104341E8</v>
      </c>
      <c r="AL11" s="34">
        <v>1.67220692E8</v>
      </c>
      <c r="AM11" s="34">
        <v>0.0</v>
      </c>
      <c r="AN11" s="34">
        <v>799884.0</v>
      </c>
      <c r="AO11" s="34">
        <v>5992160.0</v>
      </c>
      <c r="AP11" s="34">
        <v>8319586.0</v>
      </c>
      <c r="AQ11" s="34">
        <v>4.52251874E8</v>
      </c>
    </row>
    <row r="12" ht="15.75" customHeight="1">
      <c r="A12" s="69">
        <v>10.0</v>
      </c>
      <c r="B12" s="69">
        <v>0.0</v>
      </c>
      <c r="C12" s="69">
        <v>2.10812256E8</v>
      </c>
      <c r="D12" s="69">
        <v>0.0</v>
      </c>
      <c r="E12" s="69">
        <v>0.0</v>
      </c>
      <c r="F12" s="69">
        <v>9.650516E7</v>
      </c>
      <c r="G12" s="69">
        <v>0.0</v>
      </c>
      <c r="H12" s="69">
        <v>0.0</v>
      </c>
      <c r="I12" s="69">
        <v>0.0</v>
      </c>
      <c r="J12" s="69">
        <v>0.0</v>
      </c>
      <c r="K12" s="69">
        <v>3.073174169E8</v>
      </c>
      <c r="N12" s="34"/>
      <c r="O12" s="34" t="s">
        <v>4232</v>
      </c>
      <c r="P12" s="34">
        <v>4.12037628E8</v>
      </c>
      <c r="Q12" s="34">
        <v>3.64699481E8</v>
      </c>
      <c r="R12" s="34">
        <v>1.926238757E8</v>
      </c>
      <c r="S12" s="34">
        <v>2.157285612E8</v>
      </c>
      <c r="T12" s="34">
        <v>9.609216933E7</v>
      </c>
      <c r="U12" s="34">
        <v>1.791805378E8</v>
      </c>
      <c r="V12" s="34">
        <v>1.426590517E8</v>
      </c>
      <c r="W12" s="34">
        <v>7.245494583E7</v>
      </c>
      <c r="X12" s="34">
        <v>8.174129882E7</v>
      </c>
      <c r="Y12" s="34">
        <v>3.073174169E8</v>
      </c>
      <c r="Z12" s="34">
        <v>3.301103591E8</v>
      </c>
      <c r="AA12" s="34">
        <v>8.5938263E7</v>
      </c>
      <c r="AB12" s="34">
        <v>1.195253446E8</v>
      </c>
      <c r="AC12" s="34">
        <v>2.6525965E8</v>
      </c>
      <c r="AD12" s="34">
        <v>2.75581336E8</v>
      </c>
      <c r="AE12" s="34">
        <v>2.17206938E8</v>
      </c>
      <c r="AF12" s="34">
        <v>1.268991432E8</v>
      </c>
      <c r="AG12" s="34">
        <v>7.381921388E7</v>
      </c>
      <c r="AH12" s="34">
        <v>4.7406255E7</v>
      </c>
      <c r="AI12" s="34">
        <v>1.36018681E8</v>
      </c>
      <c r="AJ12" s="34">
        <v>1.151329965E8</v>
      </c>
      <c r="AK12" s="34">
        <v>1.491242685E8</v>
      </c>
      <c r="AL12" s="34">
        <v>1.91694987E8</v>
      </c>
      <c r="AM12" s="34">
        <v>6.8536802E7</v>
      </c>
      <c r="AN12" s="34">
        <v>9.2715085E7</v>
      </c>
      <c r="AO12" s="34">
        <v>5992160.0</v>
      </c>
      <c r="AP12" s="34">
        <v>8319586.0</v>
      </c>
      <c r="AQ12" s="34">
        <v>4.373816035E9</v>
      </c>
    </row>
    <row r="13" ht="15.75" customHeight="1">
      <c r="A13" s="69">
        <v>11.0</v>
      </c>
      <c r="B13" s="69">
        <v>0.0</v>
      </c>
      <c r="C13" s="69">
        <v>4.2903935E7</v>
      </c>
      <c r="D13" s="69">
        <v>1.83243982E8</v>
      </c>
      <c r="E13" s="69">
        <v>0.0</v>
      </c>
      <c r="F13" s="69">
        <v>6.968978E7</v>
      </c>
      <c r="G13" s="69">
        <v>3.4272662E7</v>
      </c>
      <c r="H13" s="69">
        <v>0.0</v>
      </c>
      <c r="I13" s="69">
        <v>0.0</v>
      </c>
      <c r="J13" s="69">
        <v>0.0</v>
      </c>
      <c r="K13" s="69">
        <v>3.301103591E8</v>
      </c>
    </row>
    <row r="14" ht="15.75" customHeight="1">
      <c r="A14" s="69">
        <v>12.0</v>
      </c>
      <c r="B14" s="69">
        <v>0.0</v>
      </c>
      <c r="C14" s="69">
        <v>0.0</v>
      </c>
      <c r="D14" s="69">
        <v>8.5938263E7</v>
      </c>
      <c r="E14" s="69">
        <v>0.0</v>
      </c>
      <c r="F14" s="69">
        <v>0.0</v>
      </c>
      <c r="G14" s="69">
        <v>0.0</v>
      </c>
      <c r="H14" s="69">
        <v>0.0</v>
      </c>
      <c r="I14" s="69">
        <v>0.0</v>
      </c>
      <c r="J14" s="69">
        <v>0.0</v>
      </c>
      <c r="K14" s="69">
        <v>8.5938263E7</v>
      </c>
    </row>
    <row r="15" ht="15.75" customHeight="1">
      <c r="A15" s="69">
        <v>13.0</v>
      </c>
      <c r="B15" s="69">
        <v>0.0</v>
      </c>
      <c r="C15" s="69">
        <v>0.0</v>
      </c>
      <c r="D15" s="69">
        <v>0.0</v>
      </c>
      <c r="E15" s="69">
        <v>0.0</v>
      </c>
      <c r="F15" s="69">
        <v>1.19525345E8</v>
      </c>
      <c r="G15" s="69">
        <v>0.0</v>
      </c>
      <c r="H15" s="69">
        <v>0.0</v>
      </c>
      <c r="I15" s="69">
        <v>0.0</v>
      </c>
      <c r="J15" s="69">
        <v>0.0</v>
      </c>
      <c r="K15" s="69">
        <v>1.195253446E8</v>
      </c>
    </row>
    <row r="16" ht="15.75" customHeight="1">
      <c r="A16" s="69">
        <v>14.0</v>
      </c>
      <c r="B16" s="69">
        <v>0.0</v>
      </c>
      <c r="C16" s="69">
        <v>0.0</v>
      </c>
      <c r="D16" s="69">
        <v>0.0</v>
      </c>
      <c r="E16" s="69">
        <v>0.0</v>
      </c>
      <c r="F16" s="69">
        <v>2.65234214E8</v>
      </c>
      <c r="G16" s="69">
        <v>25436.0</v>
      </c>
      <c r="H16" s="69">
        <v>0.0</v>
      </c>
      <c r="I16" s="69">
        <v>0.0</v>
      </c>
      <c r="J16" s="69">
        <v>0.0</v>
      </c>
      <c r="K16" s="69">
        <v>2.6525965E8</v>
      </c>
    </row>
    <row r="17" ht="15.75" customHeight="1">
      <c r="A17" s="69">
        <v>15.0</v>
      </c>
      <c r="B17" s="69">
        <v>0.0</v>
      </c>
      <c r="C17" s="69">
        <v>0.0</v>
      </c>
      <c r="D17" s="69">
        <v>0.0</v>
      </c>
      <c r="E17" s="69">
        <v>0.0</v>
      </c>
      <c r="F17" s="69">
        <v>1.92432941E8</v>
      </c>
      <c r="G17" s="69">
        <v>8.3148395E7</v>
      </c>
      <c r="H17" s="69">
        <v>0.0</v>
      </c>
      <c r="I17" s="69">
        <v>0.0</v>
      </c>
      <c r="J17" s="69">
        <v>0.0</v>
      </c>
      <c r="K17" s="69">
        <v>2.75581336E8</v>
      </c>
    </row>
    <row r="18" ht="15.75" customHeight="1">
      <c r="A18" s="69">
        <v>16.0</v>
      </c>
      <c r="B18" s="69">
        <v>0.0</v>
      </c>
      <c r="C18" s="69">
        <v>0.0</v>
      </c>
      <c r="D18" s="69">
        <v>0.0</v>
      </c>
      <c r="E18" s="69">
        <v>0.0</v>
      </c>
      <c r="F18" s="69">
        <v>9181156.0</v>
      </c>
      <c r="G18" s="69">
        <v>2.08025782E8</v>
      </c>
      <c r="H18" s="69">
        <v>0.0</v>
      </c>
      <c r="I18" s="69">
        <v>0.0</v>
      </c>
      <c r="J18" s="69">
        <v>0.0</v>
      </c>
      <c r="K18" s="69">
        <v>2.17206938E8</v>
      </c>
    </row>
    <row r="19" ht="15.75" customHeight="1">
      <c r="A19" s="69">
        <v>17.0</v>
      </c>
      <c r="B19" s="69">
        <v>0.0</v>
      </c>
      <c r="C19" s="69">
        <v>0.0</v>
      </c>
      <c r="D19" s="69">
        <v>0.0</v>
      </c>
      <c r="E19" s="69">
        <v>0.0</v>
      </c>
      <c r="F19" s="69">
        <v>0.0</v>
      </c>
      <c r="G19" s="69">
        <v>0.0</v>
      </c>
      <c r="H19" s="69">
        <v>1.22402769E8</v>
      </c>
      <c r="I19" s="69">
        <v>4496374.0</v>
      </c>
      <c r="J19" s="69">
        <v>0.0</v>
      </c>
      <c r="K19" s="69">
        <v>1.268991432E8</v>
      </c>
    </row>
    <row r="20" ht="15.75" customHeight="1">
      <c r="A20" s="69">
        <v>18.0</v>
      </c>
      <c r="B20" s="69">
        <v>0.0</v>
      </c>
      <c r="C20" s="69">
        <v>0.0</v>
      </c>
      <c r="D20" s="69">
        <v>0.0</v>
      </c>
      <c r="E20" s="69">
        <v>7.3762062E7</v>
      </c>
      <c r="F20" s="69">
        <v>0.0</v>
      </c>
      <c r="G20" s="69">
        <v>0.0</v>
      </c>
      <c r="H20" s="69">
        <v>56326.0</v>
      </c>
      <c r="I20" s="69">
        <v>826.0</v>
      </c>
      <c r="J20" s="69">
        <v>0.0</v>
      </c>
      <c r="K20" s="69">
        <v>7.381921388E7</v>
      </c>
    </row>
    <row r="21" ht="15.75" customHeight="1">
      <c r="A21" s="69">
        <v>19.0</v>
      </c>
      <c r="B21" s="69">
        <v>0.0</v>
      </c>
      <c r="C21" s="69">
        <v>0.0</v>
      </c>
      <c r="D21" s="69">
        <v>0.0</v>
      </c>
      <c r="E21" s="69">
        <v>4.6611333E7</v>
      </c>
      <c r="F21" s="69">
        <v>0.0</v>
      </c>
      <c r="G21" s="69">
        <v>0.0</v>
      </c>
      <c r="H21" s="69">
        <v>0.0</v>
      </c>
      <c r="I21" s="69">
        <v>794922.0</v>
      </c>
      <c r="J21" s="69">
        <v>0.0</v>
      </c>
      <c r="K21" s="69">
        <v>4.7406255E7</v>
      </c>
    </row>
    <row r="22" ht="15.75" customHeight="1">
      <c r="A22" s="69">
        <v>20.0</v>
      </c>
      <c r="B22" s="69">
        <v>0.0</v>
      </c>
      <c r="C22" s="69">
        <v>0.0</v>
      </c>
      <c r="D22" s="69">
        <v>0.0</v>
      </c>
      <c r="E22" s="69">
        <v>0.0</v>
      </c>
      <c r="F22" s="69">
        <v>0.0</v>
      </c>
      <c r="G22" s="69">
        <v>0.0</v>
      </c>
      <c r="H22" s="69">
        <v>7109364.0</v>
      </c>
      <c r="I22" s="69">
        <v>1.23221647E8</v>
      </c>
      <c r="J22" s="69">
        <v>5687670.0</v>
      </c>
      <c r="K22" s="69">
        <v>1.36018681E8</v>
      </c>
    </row>
    <row r="23" ht="15.75" customHeight="1">
      <c r="A23" s="69">
        <v>21.0</v>
      </c>
      <c r="B23" s="69">
        <v>0.0</v>
      </c>
      <c r="C23" s="69">
        <v>0.0</v>
      </c>
      <c r="D23" s="69">
        <v>0.0</v>
      </c>
      <c r="E23" s="69">
        <v>0.0</v>
      </c>
      <c r="F23" s="69">
        <v>0.0</v>
      </c>
      <c r="G23" s="69">
        <v>0.0</v>
      </c>
      <c r="H23" s="69">
        <v>0.0</v>
      </c>
      <c r="I23" s="69">
        <v>5456.0</v>
      </c>
      <c r="J23" s="69">
        <v>1.15127541E8</v>
      </c>
      <c r="K23" s="69">
        <v>1.151329965E8</v>
      </c>
    </row>
    <row r="24" ht="15.75" customHeight="1">
      <c r="A24" s="69">
        <v>22.0</v>
      </c>
      <c r="B24" s="69">
        <v>0.0</v>
      </c>
      <c r="C24" s="69">
        <v>0.0</v>
      </c>
      <c r="D24" s="69">
        <v>0.0</v>
      </c>
      <c r="E24" s="69">
        <v>0.0</v>
      </c>
      <c r="F24" s="69">
        <v>0.0</v>
      </c>
      <c r="G24" s="69">
        <v>0.0</v>
      </c>
      <c r="H24" s="69">
        <v>0.0</v>
      </c>
      <c r="I24" s="69">
        <v>19927.0</v>
      </c>
      <c r="J24" s="69">
        <v>1.49104341E8</v>
      </c>
      <c r="K24" s="69">
        <v>1.491242685E8</v>
      </c>
    </row>
    <row r="25" ht="15.75" customHeight="1">
      <c r="A25" s="69">
        <v>23.0</v>
      </c>
      <c r="B25" s="69">
        <v>0.0</v>
      </c>
      <c r="C25" s="69">
        <v>0.0</v>
      </c>
      <c r="D25" s="69">
        <v>0.0</v>
      </c>
      <c r="E25" s="69">
        <v>0.0</v>
      </c>
      <c r="F25" s="69">
        <v>0.0</v>
      </c>
      <c r="G25" s="69">
        <v>0.0</v>
      </c>
      <c r="H25" s="69">
        <v>0.0</v>
      </c>
      <c r="I25" s="69">
        <v>2.4474295E7</v>
      </c>
      <c r="J25" s="69">
        <v>1.67220692E8</v>
      </c>
      <c r="K25" s="69">
        <v>1.91694987E8</v>
      </c>
    </row>
    <row r="26" ht="15.75" customHeight="1">
      <c r="A26" s="69">
        <v>24.0</v>
      </c>
      <c r="B26" s="69">
        <v>0.0</v>
      </c>
      <c r="C26" s="69">
        <v>0.0</v>
      </c>
      <c r="D26" s="69">
        <v>0.0</v>
      </c>
      <c r="E26" s="69">
        <v>4125408.0</v>
      </c>
      <c r="F26" s="69">
        <v>0.0</v>
      </c>
      <c r="G26" s="69">
        <v>0.0</v>
      </c>
      <c r="H26" s="69">
        <v>0.0</v>
      </c>
      <c r="I26" s="69">
        <v>6.4411394E7</v>
      </c>
      <c r="J26" s="69">
        <v>0.0</v>
      </c>
      <c r="K26" s="69">
        <v>6.8536802E7</v>
      </c>
    </row>
    <row r="27" ht="15.75" customHeight="1">
      <c r="A27" s="69">
        <v>25.0</v>
      </c>
      <c r="B27" s="69">
        <v>0.0</v>
      </c>
      <c r="C27" s="69">
        <v>0.0</v>
      </c>
      <c r="D27" s="69">
        <v>0.0</v>
      </c>
      <c r="E27" s="69">
        <v>0.0</v>
      </c>
      <c r="F27" s="69">
        <v>0.0</v>
      </c>
      <c r="G27" s="69">
        <v>0.0</v>
      </c>
      <c r="H27" s="69">
        <v>0.0</v>
      </c>
      <c r="I27" s="69">
        <v>9.1915201E7</v>
      </c>
      <c r="J27" s="69">
        <v>799884.0</v>
      </c>
      <c r="K27" s="69">
        <v>9.2715085E7</v>
      </c>
    </row>
    <row r="28" ht="15.75" customHeight="1">
      <c r="A28" s="69" t="s">
        <v>4233</v>
      </c>
      <c r="B28" s="69">
        <v>0.0</v>
      </c>
      <c r="C28" s="69">
        <v>0.0</v>
      </c>
      <c r="D28" s="69">
        <v>0.0</v>
      </c>
      <c r="E28" s="69">
        <v>0.0</v>
      </c>
      <c r="F28" s="69">
        <v>0.0</v>
      </c>
      <c r="G28" s="69">
        <v>0.0</v>
      </c>
      <c r="H28" s="69">
        <v>0.0</v>
      </c>
      <c r="I28" s="69">
        <v>0.0</v>
      </c>
      <c r="J28" s="69">
        <v>5992160.0</v>
      </c>
      <c r="K28" s="69">
        <v>5992160.0</v>
      </c>
    </row>
    <row r="29" ht="15.75" customHeight="1">
      <c r="A29" s="69" t="s">
        <v>4234</v>
      </c>
      <c r="B29" s="69">
        <v>0.0</v>
      </c>
      <c r="C29" s="69">
        <v>0.0</v>
      </c>
      <c r="D29" s="69">
        <v>0.0</v>
      </c>
      <c r="E29" s="69">
        <v>0.0</v>
      </c>
      <c r="F29" s="69">
        <v>0.0</v>
      </c>
      <c r="G29" s="69">
        <v>0.0</v>
      </c>
      <c r="H29" s="69">
        <v>0.0</v>
      </c>
      <c r="I29" s="69">
        <v>0.0</v>
      </c>
      <c r="J29" s="69">
        <v>8319586.0</v>
      </c>
      <c r="K29" s="69">
        <v>8319586.0</v>
      </c>
    </row>
    <row r="30" ht="15.75" customHeight="1">
      <c r="A30" s="67" t="s">
        <v>4207</v>
      </c>
      <c r="B30" s="69">
        <v>1.42600266E8</v>
      </c>
      <c r="C30" s="69">
        <v>4.07971222E8</v>
      </c>
      <c r="D30" s="69">
        <v>5.70325437E8</v>
      </c>
      <c r="E30" s="69">
        <v>3.23164526E8</v>
      </c>
      <c r="F30" s="69">
        <v>1.117268077E9</v>
      </c>
      <c r="G30" s="69">
        <v>3.6111123E8</v>
      </c>
      <c r="H30" s="69">
        <v>6.89783361E8</v>
      </c>
      <c r="I30" s="69">
        <v>3.09340042E8</v>
      </c>
      <c r="J30" s="69">
        <v>4.52251874E8</v>
      </c>
      <c r="K30" s="69">
        <v>4.373816035E9</v>
      </c>
    </row>
    <row r="31" ht="15.75" customHeight="1"/>
    <row r="32" ht="15.75" customHeight="1">
      <c r="A32" s="67" t="s">
        <v>4235</v>
      </c>
      <c r="B32" s="67" t="s">
        <v>4230</v>
      </c>
      <c r="D32" s="68"/>
      <c r="E32" s="68"/>
      <c r="F32" s="68"/>
      <c r="G32" s="68"/>
      <c r="H32" s="68"/>
      <c r="I32" s="68"/>
      <c r="J32" s="68"/>
      <c r="K32" s="68"/>
      <c r="N32" s="34" t="str">
        <f t="array" ref="N32:AQ42">TRANSPOSE(A32:K61)</f>
        <v>COMMERCIAL</v>
      </c>
      <c r="O32" s="34" t="s">
        <v>4231</v>
      </c>
      <c r="P32" s="34">
        <v>1.0</v>
      </c>
      <c r="Q32" s="34">
        <v>2.0</v>
      </c>
      <c r="R32" s="34">
        <v>3.0</v>
      </c>
      <c r="S32" s="34">
        <v>4.0</v>
      </c>
      <c r="T32" s="34">
        <v>5.0</v>
      </c>
      <c r="U32" s="34">
        <v>6.0</v>
      </c>
      <c r="V32" s="34">
        <v>7.0</v>
      </c>
      <c r="W32" s="34">
        <v>8.0</v>
      </c>
      <c r="X32" s="34">
        <v>9.0</v>
      </c>
      <c r="Y32" s="34">
        <v>10.0</v>
      </c>
      <c r="Z32" s="34">
        <v>11.0</v>
      </c>
      <c r="AA32" s="34">
        <v>12.0</v>
      </c>
      <c r="AB32" s="34">
        <v>13.0</v>
      </c>
      <c r="AC32" s="34">
        <v>14.0</v>
      </c>
      <c r="AD32" s="34">
        <v>15.0</v>
      </c>
      <c r="AE32" s="34">
        <v>16.0</v>
      </c>
      <c r="AF32" s="34">
        <v>17.0</v>
      </c>
      <c r="AG32" s="34">
        <v>18.0</v>
      </c>
      <c r="AH32" s="34">
        <v>19.0</v>
      </c>
      <c r="AI32" s="34">
        <v>20.0</v>
      </c>
      <c r="AJ32" s="34">
        <v>21.0</v>
      </c>
      <c r="AK32" s="34">
        <v>22.0</v>
      </c>
      <c r="AL32" s="34">
        <v>23.0</v>
      </c>
      <c r="AM32" s="34">
        <v>24.0</v>
      </c>
      <c r="AN32" s="34">
        <v>25.0</v>
      </c>
      <c r="AO32" s="34" t="s">
        <v>4233</v>
      </c>
      <c r="AP32" s="34" t="s">
        <v>4234</v>
      </c>
      <c r="AQ32" s="34" t="s">
        <v>4207</v>
      </c>
    </row>
    <row r="33" ht="15.75" customHeight="1">
      <c r="A33" s="67" t="s">
        <v>4231</v>
      </c>
      <c r="B33" s="69">
        <v>1.0</v>
      </c>
      <c r="C33" s="69">
        <v>2.0</v>
      </c>
      <c r="D33" s="69">
        <v>3.0</v>
      </c>
      <c r="E33" s="69">
        <v>4.0</v>
      </c>
      <c r="F33" s="69">
        <v>5.0</v>
      </c>
      <c r="G33" s="69">
        <v>6.0</v>
      </c>
      <c r="H33" s="69">
        <v>7.0</v>
      </c>
      <c r="I33" s="69">
        <v>8.0</v>
      </c>
      <c r="J33" s="69">
        <v>9.0</v>
      </c>
      <c r="K33" s="67" t="s">
        <v>4232</v>
      </c>
      <c r="N33" s="34" t="s">
        <v>4230</v>
      </c>
      <c r="O33" s="34">
        <v>1.0</v>
      </c>
      <c r="P33" s="34">
        <v>0.0</v>
      </c>
      <c r="Q33" s="34">
        <v>0.0</v>
      </c>
      <c r="R33" s="34">
        <v>0.0</v>
      </c>
      <c r="S33" s="34">
        <v>0.0</v>
      </c>
      <c r="T33" s="34">
        <v>0.0</v>
      </c>
      <c r="U33" s="34">
        <v>0.0</v>
      </c>
      <c r="V33" s="34">
        <v>1.51895936E8</v>
      </c>
      <c r="W33" s="34">
        <v>0.0</v>
      </c>
      <c r="X33" s="34">
        <v>0.0</v>
      </c>
      <c r="Y33" s="34">
        <v>0.0</v>
      </c>
      <c r="Z33" s="34">
        <v>0.0</v>
      </c>
      <c r="AA33" s="34">
        <v>0.0</v>
      </c>
      <c r="AB33" s="34">
        <v>0.0</v>
      </c>
      <c r="AC33" s="34">
        <v>0.0</v>
      </c>
      <c r="AD33" s="34">
        <v>0.0</v>
      </c>
      <c r="AE33" s="34">
        <v>0.0</v>
      </c>
      <c r="AF33" s="34">
        <v>0.0</v>
      </c>
      <c r="AG33" s="34">
        <v>0.0</v>
      </c>
      <c r="AH33" s="34">
        <v>0.0</v>
      </c>
      <c r="AI33" s="34">
        <v>0.0</v>
      </c>
      <c r="AJ33" s="34">
        <v>0.0</v>
      </c>
      <c r="AK33" s="34">
        <v>0.0</v>
      </c>
      <c r="AL33" s="34">
        <v>0.0</v>
      </c>
      <c r="AM33" s="34">
        <v>0.0</v>
      </c>
      <c r="AN33" s="34">
        <v>0.0</v>
      </c>
      <c r="AO33" s="34">
        <v>0.0</v>
      </c>
      <c r="AP33" s="34">
        <v>0.0</v>
      </c>
      <c r="AQ33" s="34">
        <v>1.51895936E8</v>
      </c>
    </row>
    <row r="34" ht="15.75" customHeight="1">
      <c r="A34" s="69">
        <v>1.0</v>
      </c>
      <c r="B34" s="69">
        <v>0.0</v>
      </c>
      <c r="C34" s="69">
        <v>0.0</v>
      </c>
      <c r="D34" s="69">
        <v>0.0</v>
      </c>
      <c r="E34" s="69">
        <v>0.0</v>
      </c>
      <c r="F34" s="69">
        <v>0.0</v>
      </c>
      <c r="G34" s="69">
        <v>0.0</v>
      </c>
      <c r="H34" s="69">
        <v>3.75199484E8</v>
      </c>
      <c r="I34" s="69">
        <v>0.0</v>
      </c>
      <c r="J34" s="69">
        <v>0.0</v>
      </c>
      <c r="K34" s="69">
        <v>3.75199484E8</v>
      </c>
      <c r="N34" s="34"/>
      <c r="O34" s="34">
        <v>2.0</v>
      </c>
      <c r="P34" s="34">
        <v>0.0</v>
      </c>
      <c r="Q34" s="34">
        <v>0.0</v>
      </c>
      <c r="R34" s="34">
        <v>0.0</v>
      </c>
      <c r="S34" s="34">
        <v>0.0</v>
      </c>
      <c r="T34" s="34">
        <v>0.0</v>
      </c>
      <c r="U34" s="34">
        <v>0.0</v>
      </c>
      <c r="V34" s="34">
        <v>31205.0</v>
      </c>
      <c r="W34" s="34">
        <v>1.28537491E8</v>
      </c>
      <c r="X34" s="34">
        <v>9.2901484E7</v>
      </c>
      <c r="Y34" s="34">
        <v>1.98572363E8</v>
      </c>
      <c r="Z34" s="34">
        <v>3.1663159E7</v>
      </c>
      <c r="AA34" s="34">
        <v>0.0</v>
      </c>
      <c r="AB34" s="34">
        <v>0.0</v>
      </c>
      <c r="AC34" s="34">
        <v>0.0</v>
      </c>
      <c r="AD34" s="34">
        <v>0.0</v>
      </c>
      <c r="AE34" s="34">
        <v>0.0</v>
      </c>
      <c r="AF34" s="34">
        <v>0.0</v>
      </c>
      <c r="AG34" s="34">
        <v>0.0</v>
      </c>
      <c r="AH34" s="34">
        <v>0.0</v>
      </c>
      <c r="AI34" s="34">
        <v>0.0</v>
      </c>
      <c r="AJ34" s="34">
        <v>0.0</v>
      </c>
      <c r="AK34" s="34">
        <v>0.0</v>
      </c>
      <c r="AL34" s="34">
        <v>0.0</v>
      </c>
      <c r="AM34" s="34">
        <v>0.0</v>
      </c>
      <c r="AN34" s="34">
        <v>0.0</v>
      </c>
      <c r="AO34" s="34">
        <v>0.0</v>
      </c>
      <c r="AP34" s="34">
        <v>0.0</v>
      </c>
      <c r="AQ34" s="34">
        <v>4.51705702E8</v>
      </c>
    </row>
    <row r="35" ht="15.75" customHeight="1">
      <c r="A35" s="69">
        <v>2.0</v>
      </c>
      <c r="B35" s="69">
        <v>0.0</v>
      </c>
      <c r="C35" s="69">
        <v>0.0</v>
      </c>
      <c r="D35" s="69">
        <v>0.0</v>
      </c>
      <c r="E35" s="69">
        <v>0.0</v>
      </c>
      <c r="F35" s="69">
        <v>2.72781992E8</v>
      </c>
      <c r="G35" s="69">
        <v>0.0</v>
      </c>
      <c r="H35" s="69">
        <v>0.0</v>
      </c>
      <c r="I35" s="69">
        <v>0.0</v>
      </c>
      <c r="J35" s="69">
        <v>0.0</v>
      </c>
      <c r="K35" s="69">
        <v>2.72781992E8</v>
      </c>
      <c r="N35" s="34"/>
      <c r="O35" s="34">
        <v>3.0</v>
      </c>
      <c r="P35" s="34">
        <v>0.0</v>
      </c>
      <c r="Q35" s="34">
        <v>0.0</v>
      </c>
      <c r="R35" s="34">
        <v>7.2986995E7</v>
      </c>
      <c r="S35" s="34">
        <v>1.01855228E8</v>
      </c>
      <c r="T35" s="34">
        <v>1.05778969E8</v>
      </c>
      <c r="U35" s="34">
        <v>0.0</v>
      </c>
      <c r="V35" s="34">
        <v>0.0</v>
      </c>
      <c r="W35" s="34">
        <v>0.0</v>
      </c>
      <c r="X35" s="34">
        <v>0.0</v>
      </c>
      <c r="Y35" s="34">
        <v>0.0</v>
      </c>
      <c r="Z35" s="34">
        <v>1.56425719E8</v>
      </c>
      <c r="AA35" s="34">
        <v>9.7060409E7</v>
      </c>
      <c r="AB35" s="34">
        <v>0.0</v>
      </c>
      <c r="AC35" s="34">
        <v>0.0</v>
      </c>
      <c r="AD35" s="34">
        <v>0.0</v>
      </c>
      <c r="AE35" s="34">
        <v>0.0</v>
      </c>
      <c r="AF35" s="34">
        <v>0.0</v>
      </c>
      <c r="AG35" s="34">
        <v>0.0</v>
      </c>
      <c r="AH35" s="34">
        <v>0.0</v>
      </c>
      <c r="AI35" s="34">
        <v>0.0</v>
      </c>
      <c r="AJ35" s="34">
        <v>0.0</v>
      </c>
      <c r="AK35" s="34">
        <v>0.0</v>
      </c>
      <c r="AL35" s="34">
        <v>0.0</v>
      </c>
      <c r="AM35" s="34">
        <v>0.0</v>
      </c>
      <c r="AN35" s="34">
        <v>0.0</v>
      </c>
      <c r="AO35" s="34">
        <v>0.0</v>
      </c>
      <c r="AP35" s="34">
        <v>0.0</v>
      </c>
      <c r="AQ35" s="34">
        <v>5.3410732E8</v>
      </c>
    </row>
    <row r="36" ht="15.75" customHeight="1">
      <c r="A36" s="69">
        <v>3.0</v>
      </c>
      <c r="B36" s="69">
        <v>0.0</v>
      </c>
      <c r="C36" s="69">
        <v>0.0</v>
      </c>
      <c r="D36" s="69">
        <v>7.2986995E7</v>
      </c>
      <c r="E36" s="69">
        <v>1.18699962E8</v>
      </c>
      <c r="F36" s="69">
        <v>0.0</v>
      </c>
      <c r="G36" s="69">
        <v>0.0</v>
      </c>
      <c r="H36" s="69">
        <v>0.0</v>
      </c>
      <c r="I36" s="69">
        <v>0.0</v>
      </c>
      <c r="J36" s="69">
        <v>0.0</v>
      </c>
      <c r="K36" s="69">
        <v>1.916869563E8</v>
      </c>
      <c r="N36" s="34"/>
      <c r="O36" s="34">
        <v>4.0</v>
      </c>
      <c r="P36" s="34">
        <v>0.0</v>
      </c>
      <c r="Q36" s="34">
        <v>0.0</v>
      </c>
      <c r="R36" s="34">
        <v>1.18699962E8</v>
      </c>
      <c r="S36" s="34">
        <v>5.3432341E7</v>
      </c>
      <c r="T36" s="34">
        <v>138.0</v>
      </c>
      <c r="U36" s="34">
        <v>179.0</v>
      </c>
      <c r="V36" s="34">
        <v>0.0</v>
      </c>
      <c r="W36" s="34">
        <v>0.0</v>
      </c>
      <c r="X36" s="34">
        <v>0.0</v>
      </c>
      <c r="Y36" s="34">
        <v>0.0</v>
      </c>
      <c r="Z36" s="34">
        <v>0.0</v>
      </c>
      <c r="AA36" s="34">
        <v>0.0</v>
      </c>
      <c r="AB36" s="34">
        <v>0.0</v>
      </c>
      <c r="AC36" s="34">
        <v>0.0</v>
      </c>
      <c r="AD36" s="34">
        <v>0.0</v>
      </c>
      <c r="AE36" s="34">
        <v>0.0</v>
      </c>
      <c r="AF36" s="34">
        <v>0.0</v>
      </c>
      <c r="AG36" s="34">
        <v>8.297786E7</v>
      </c>
      <c r="AH36" s="34">
        <v>4.3324959E7</v>
      </c>
      <c r="AI36" s="34">
        <v>0.0</v>
      </c>
      <c r="AJ36" s="34">
        <v>0.0</v>
      </c>
      <c r="AK36" s="34">
        <v>0.0</v>
      </c>
      <c r="AL36" s="34">
        <v>0.0</v>
      </c>
      <c r="AM36" s="34">
        <v>5003013.0</v>
      </c>
      <c r="AN36" s="34">
        <v>0.0</v>
      </c>
      <c r="AO36" s="34">
        <v>0.0</v>
      </c>
      <c r="AP36" s="34">
        <v>0.0</v>
      </c>
      <c r="AQ36" s="34">
        <v>3.03438451E8</v>
      </c>
    </row>
    <row r="37" ht="15.75" customHeight="1">
      <c r="A37" s="69">
        <v>4.0</v>
      </c>
      <c r="B37" s="69">
        <v>0.0</v>
      </c>
      <c r="C37" s="69">
        <v>0.0</v>
      </c>
      <c r="D37" s="69">
        <v>1.01855228E8</v>
      </c>
      <c r="E37" s="69">
        <v>5.3432341E7</v>
      </c>
      <c r="F37" s="69">
        <v>0.0</v>
      </c>
      <c r="G37" s="69">
        <v>2175797.0</v>
      </c>
      <c r="H37" s="69">
        <v>0.0</v>
      </c>
      <c r="I37" s="69">
        <v>0.0</v>
      </c>
      <c r="J37" s="69">
        <v>0.0</v>
      </c>
      <c r="K37" s="69">
        <v>1.574633658E8</v>
      </c>
      <c r="N37" s="34"/>
      <c r="O37" s="34">
        <v>5.0</v>
      </c>
      <c r="P37" s="34">
        <v>0.0</v>
      </c>
      <c r="Q37" s="34">
        <v>2.72781992E8</v>
      </c>
      <c r="R37" s="34">
        <v>0.0</v>
      </c>
      <c r="S37" s="34">
        <v>0.0</v>
      </c>
      <c r="T37" s="34">
        <v>0.0</v>
      </c>
      <c r="U37" s="34">
        <v>0.0</v>
      </c>
      <c r="V37" s="34">
        <v>0.0</v>
      </c>
      <c r="W37" s="34">
        <v>0.0</v>
      </c>
      <c r="X37" s="34">
        <v>0.0</v>
      </c>
      <c r="Y37" s="34">
        <v>1.15052493E8</v>
      </c>
      <c r="Z37" s="34">
        <v>4.5407257E7</v>
      </c>
      <c r="AA37" s="34">
        <v>0.0</v>
      </c>
      <c r="AB37" s="34">
        <v>1.44771887E8</v>
      </c>
      <c r="AC37" s="34">
        <v>2.05141997E8</v>
      </c>
      <c r="AD37" s="34">
        <v>1.48787267E8</v>
      </c>
      <c r="AE37" s="34">
        <v>4835447.0</v>
      </c>
      <c r="AF37" s="34">
        <v>0.0</v>
      </c>
      <c r="AG37" s="34">
        <v>0.0</v>
      </c>
      <c r="AH37" s="34">
        <v>0.0</v>
      </c>
      <c r="AI37" s="34">
        <v>0.0</v>
      </c>
      <c r="AJ37" s="34">
        <v>0.0</v>
      </c>
      <c r="AK37" s="34">
        <v>0.0</v>
      </c>
      <c r="AL37" s="34">
        <v>0.0</v>
      </c>
      <c r="AM37" s="34">
        <v>0.0</v>
      </c>
      <c r="AN37" s="34">
        <v>0.0</v>
      </c>
      <c r="AO37" s="34">
        <v>0.0</v>
      </c>
      <c r="AP37" s="34">
        <v>0.0</v>
      </c>
      <c r="AQ37" s="34">
        <v>9.3677834E8</v>
      </c>
    </row>
    <row r="38" ht="15.75" customHeight="1">
      <c r="A38" s="69">
        <v>5.0</v>
      </c>
      <c r="B38" s="69">
        <v>0.0</v>
      </c>
      <c r="C38" s="69">
        <v>0.0</v>
      </c>
      <c r="D38" s="69">
        <v>1.05778969E8</v>
      </c>
      <c r="E38" s="69">
        <v>138.0</v>
      </c>
      <c r="F38" s="69">
        <v>0.0</v>
      </c>
      <c r="G38" s="69">
        <v>0.0</v>
      </c>
      <c r="H38" s="69">
        <v>0.0</v>
      </c>
      <c r="I38" s="69">
        <v>0.0</v>
      </c>
      <c r="J38" s="69">
        <v>0.0</v>
      </c>
      <c r="K38" s="69">
        <v>1.057791074E8</v>
      </c>
      <c r="N38" s="34"/>
      <c r="O38" s="34">
        <v>6.0</v>
      </c>
      <c r="P38" s="34">
        <v>0.0</v>
      </c>
      <c r="Q38" s="34">
        <v>0.0</v>
      </c>
      <c r="R38" s="34">
        <v>0.0</v>
      </c>
      <c r="S38" s="34">
        <v>2175797.0</v>
      </c>
      <c r="T38" s="34">
        <v>0.0</v>
      </c>
      <c r="U38" s="34">
        <v>2.016433E7</v>
      </c>
      <c r="V38" s="34">
        <v>0.0</v>
      </c>
      <c r="W38" s="34">
        <v>0.0</v>
      </c>
      <c r="X38" s="34">
        <v>0.0</v>
      </c>
      <c r="Y38" s="34">
        <v>0.0</v>
      </c>
      <c r="Z38" s="34">
        <v>1.5139297E7</v>
      </c>
      <c r="AA38" s="34">
        <v>0.0</v>
      </c>
      <c r="AB38" s="34">
        <v>0.0</v>
      </c>
      <c r="AC38" s="34">
        <v>1380.0</v>
      </c>
      <c r="AD38" s="34">
        <v>5.8276257E7</v>
      </c>
      <c r="AE38" s="34">
        <v>1.78279993E8</v>
      </c>
      <c r="AF38" s="34">
        <v>0.0</v>
      </c>
      <c r="AG38" s="34">
        <v>0.0</v>
      </c>
      <c r="AH38" s="34">
        <v>0.0</v>
      </c>
      <c r="AI38" s="34">
        <v>0.0</v>
      </c>
      <c r="AJ38" s="34">
        <v>0.0</v>
      </c>
      <c r="AK38" s="34">
        <v>0.0</v>
      </c>
      <c r="AL38" s="34">
        <v>0.0</v>
      </c>
      <c r="AM38" s="34">
        <v>0.0</v>
      </c>
      <c r="AN38" s="34">
        <v>0.0</v>
      </c>
      <c r="AO38" s="34">
        <v>0.0</v>
      </c>
      <c r="AP38" s="34">
        <v>0.0</v>
      </c>
      <c r="AQ38" s="34">
        <v>2.74037054E8</v>
      </c>
    </row>
    <row r="39" ht="15.75" customHeight="1">
      <c r="A39" s="69">
        <v>6.0</v>
      </c>
      <c r="B39" s="69">
        <v>0.0</v>
      </c>
      <c r="C39" s="69">
        <v>0.0</v>
      </c>
      <c r="D39" s="69">
        <v>0.0</v>
      </c>
      <c r="E39" s="69">
        <v>179.0</v>
      </c>
      <c r="F39" s="69">
        <v>0.0</v>
      </c>
      <c r="G39" s="69">
        <v>2.016433E7</v>
      </c>
      <c r="H39" s="69">
        <v>1.04825888E8</v>
      </c>
      <c r="I39" s="69">
        <v>0.0</v>
      </c>
      <c r="J39" s="69">
        <v>0.0</v>
      </c>
      <c r="K39" s="69">
        <v>1.249903966E8</v>
      </c>
      <c r="N39" s="34"/>
      <c r="O39" s="34">
        <v>7.0</v>
      </c>
      <c r="P39" s="34">
        <v>3.75199484E8</v>
      </c>
      <c r="Q39" s="34">
        <v>0.0</v>
      </c>
      <c r="R39" s="34">
        <v>0.0</v>
      </c>
      <c r="S39" s="34">
        <v>0.0</v>
      </c>
      <c r="T39" s="34">
        <v>0.0</v>
      </c>
      <c r="U39" s="34">
        <v>1.04825888E8</v>
      </c>
      <c r="V39" s="34">
        <v>0.0</v>
      </c>
      <c r="W39" s="34">
        <v>0.0</v>
      </c>
      <c r="X39" s="34">
        <v>0.0</v>
      </c>
      <c r="Y39" s="34">
        <v>0.0</v>
      </c>
      <c r="Z39" s="34">
        <v>0.0</v>
      </c>
      <c r="AA39" s="34">
        <v>0.0</v>
      </c>
      <c r="AB39" s="34">
        <v>0.0</v>
      </c>
      <c r="AC39" s="34">
        <v>0.0</v>
      </c>
      <c r="AD39" s="34">
        <v>0.0</v>
      </c>
      <c r="AE39" s="34">
        <v>0.0</v>
      </c>
      <c r="AF39" s="34">
        <v>1.0817664E8</v>
      </c>
      <c r="AG39" s="34">
        <v>67354.0</v>
      </c>
      <c r="AH39" s="34">
        <v>0.0</v>
      </c>
      <c r="AI39" s="34">
        <v>9149782.0</v>
      </c>
      <c r="AJ39" s="34">
        <v>0.0</v>
      </c>
      <c r="AK39" s="34">
        <v>0.0</v>
      </c>
      <c r="AL39" s="34">
        <v>0.0</v>
      </c>
      <c r="AM39" s="34">
        <v>0.0</v>
      </c>
      <c r="AN39" s="34">
        <v>0.0</v>
      </c>
      <c r="AO39" s="34">
        <v>0.0</v>
      </c>
      <c r="AP39" s="34">
        <v>0.0</v>
      </c>
      <c r="AQ39" s="34">
        <v>5.97419148E8</v>
      </c>
    </row>
    <row r="40" ht="15.75" customHeight="1">
      <c r="A40" s="69">
        <v>7.0</v>
      </c>
      <c r="B40" s="69">
        <v>1.51895936E8</v>
      </c>
      <c r="C40" s="69">
        <v>31205.0</v>
      </c>
      <c r="D40" s="69">
        <v>0.0</v>
      </c>
      <c r="E40" s="69">
        <v>0.0</v>
      </c>
      <c r="F40" s="69">
        <v>0.0</v>
      </c>
      <c r="G40" s="69">
        <v>0.0</v>
      </c>
      <c r="H40" s="69">
        <v>0.0</v>
      </c>
      <c r="I40" s="69">
        <v>0.0</v>
      </c>
      <c r="J40" s="69">
        <v>0.0</v>
      </c>
      <c r="K40" s="69">
        <v>1.51927141E8</v>
      </c>
      <c r="N40" s="34"/>
      <c r="O40" s="34">
        <v>8.0</v>
      </c>
      <c r="P40" s="34">
        <v>0.0</v>
      </c>
      <c r="Q40" s="34">
        <v>0.0</v>
      </c>
      <c r="R40" s="34">
        <v>0.0</v>
      </c>
      <c r="S40" s="34">
        <v>0.0</v>
      </c>
      <c r="T40" s="34">
        <v>0.0</v>
      </c>
      <c r="U40" s="34">
        <v>0.0</v>
      </c>
      <c r="V40" s="34">
        <v>0.0</v>
      </c>
      <c r="W40" s="34">
        <v>0.0</v>
      </c>
      <c r="X40" s="34">
        <v>0.0</v>
      </c>
      <c r="Y40" s="34">
        <v>0.0</v>
      </c>
      <c r="Z40" s="34">
        <v>0.0</v>
      </c>
      <c r="AA40" s="34">
        <v>0.0</v>
      </c>
      <c r="AB40" s="34">
        <v>0.0</v>
      </c>
      <c r="AC40" s="34">
        <v>0.0</v>
      </c>
      <c r="AD40" s="34">
        <v>0.0</v>
      </c>
      <c r="AE40" s="34">
        <v>0.0</v>
      </c>
      <c r="AF40" s="34">
        <v>7643573.0</v>
      </c>
      <c r="AG40" s="34">
        <v>14439.0</v>
      </c>
      <c r="AH40" s="34">
        <v>1358316.0</v>
      </c>
      <c r="AI40" s="34">
        <v>1.05375463E8</v>
      </c>
      <c r="AJ40" s="34">
        <v>10.0</v>
      </c>
      <c r="AK40" s="34">
        <v>138.0</v>
      </c>
      <c r="AL40" s="34">
        <v>1.9515596E7</v>
      </c>
      <c r="AM40" s="34">
        <v>6.9621175E7</v>
      </c>
      <c r="AN40" s="34">
        <v>8.889436E7</v>
      </c>
      <c r="AO40" s="34">
        <v>0.0</v>
      </c>
      <c r="AP40" s="34">
        <v>0.0</v>
      </c>
      <c r="AQ40" s="34">
        <v>2.92423069E8</v>
      </c>
    </row>
    <row r="41" ht="15.75" customHeight="1">
      <c r="A41" s="69">
        <v>8.0</v>
      </c>
      <c r="B41" s="69">
        <v>0.0</v>
      </c>
      <c r="C41" s="69">
        <v>1.28537491E8</v>
      </c>
      <c r="D41" s="69">
        <v>0.0</v>
      </c>
      <c r="E41" s="69">
        <v>0.0</v>
      </c>
      <c r="F41" s="69">
        <v>0.0</v>
      </c>
      <c r="G41" s="69">
        <v>0.0</v>
      </c>
      <c r="H41" s="69">
        <v>0.0</v>
      </c>
      <c r="I41" s="69">
        <v>0.0</v>
      </c>
      <c r="J41" s="69">
        <v>0.0</v>
      </c>
      <c r="K41" s="69">
        <v>1.285374913E8</v>
      </c>
      <c r="N41" s="34"/>
      <c r="O41" s="34">
        <v>9.0</v>
      </c>
      <c r="P41" s="34">
        <v>0.0</v>
      </c>
      <c r="Q41" s="34">
        <v>0.0</v>
      </c>
      <c r="R41" s="34">
        <v>0.0</v>
      </c>
      <c r="S41" s="34">
        <v>0.0</v>
      </c>
      <c r="T41" s="34">
        <v>0.0</v>
      </c>
      <c r="U41" s="34">
        <v>0.0</v>
      </c>
      <c r="V41" s="34">
        <v>0.0</v>
      </c>
      <c r="W41" s="34">
        <v>0.0</v>
      </c>
      <c r="X41" s="34">
        <v>0.0</v>
      </c>
      <c r="Y41" s="34">
        <v>0.0</v>
      </c>
      <c r="Z41" s="34">
        <v>0.0</v>
      </c>
      <c r="AA41" s="34">
        <v>0.0</v>
      </c>
      <c r="AB41" s="34">
        <v>0.0</v>
      </c>
      <c r="AC41" s="34">
        <v>0.0</v>
      </c>
      <c r="AD41" s="34">
        <v>0.0</v>
      </c>
      <c r="AE41" s="34">
        <v>0.0</v>
      </c>
      <c r="AF41" s="34">
        <v>0.0</v>
      </c>
      <c r="AG41" s="34">
        <v>0.0</v>
      </c>
      <c r="AH41" s="34">
        <v>0.0</v>
      </c>
      <c r="AI41" s="34">
        <v>8791115.0</v>
      </c>
      <c r="AJ41" s="34">
        <v>1.29013463E8</v>
      </c>
      <c r="AK41" s="34">
        <v>1.9832246E8</v>
      </c>
      <c r="AL41" s="34">
        <v>1.34901438E8</v>
      </c>
      <c r="AM41" s="34">
        <v>0.0</v>
      </c>
      <c r="AN41" s="34">
        <v>659106.0</v>
      </c>
      <c r="AO41" s="34">
        <v>7809020.0</v>
      </c>
      <c r="AP41" s="34">
        <v>8775176.0</v>
      </c>
      <c r="AQ41" s="34">
        <v>4.88271778E8</v>
      </c>
    </row>
    <row r="42" ht="15.75" customHeight="1">
      <c r="A42" s="69">
        <v>9.0</v>
      </c>
      <c r="B42" s="69">
        <v>0.0</v>
      </c>
      <c r="C42" s="69">
        <v>9.2901484E7</v>
      </c>
      <c r="D42" s="69">
        <v>0.0</v>
      </c>
      <c r="E42" s="69">
        <v>0.0</v>
      </c>
      <c r="F42" s="69">
        <v>0.0</v>
      </c>
      <c r="G42" s="69">
        <v>0.0</v>
      </c>
      <c r="H42" s="69">
        <v>0.0</v>
      </c>
      <c r="I42" s="69">
        <v>0.0</v>
      </c>
      <c r="J42" s="69">
        <v>0.0</v>
      </c>
      <c r="K42" s="69">
        <v>9.290148416E7</v>
      </c>
      <c r="N42" s="34"/>
      <c r="O42" s="34" t="s">
        <v>4232</v>
      </c>
      <c r="P42" s="34">
        <v>3.75199484E8</v>
      </c>
      <c r="Q42" s="34">
        <v>2.72781992E8</v>
      </c>
      <c r="R42" s="34">
        <v>1.916869563E8</v>
      </c>
      <c r="S42" s="34">
        <v>1.574633658E8</v>
      </c>
      <c r="T42" s="34">
        <v>1.057791074E8</v>
      </c>
      <c r="U42" s="34">
        <v>1.249903966E8</v>
      </c>
      <c r="V42" s="34">
        <v>1.51927141E8</v>
      </c>
      <c r="W42" s="34">
        <v>1.285374913E8</v>
      </c>
      <c r="X42" s="34">
        <v>9.290148416E7</v>
      </c>
      <c r="Y42" s="34">
        <v>3.136248555E8</v>
      </c>
      <c r="Z42" s="34">
        <v>2.486354321E8</v>
      </c>
      <c r="AA42" s="34">
        <v>9.7060409E7</v>
      </c>
      <c r="AB42" s="34">
        <v>1.447718869E8</v>
      </c>
      <c r="AC42" s="34">
        <v>2.05143377E8</v>
      </c>
      <c r="AD42" s="34">
        <v>2.070635244E8</v>
      </c>
      <c r="AE42" s="34">
        <v>1.831154396E8</v>
      </c>
      <c r="AF42" s="34">
        <v>1.158202131E8</v>
      </c>
      <c r="AG42" s="34">
        <v>8.305965275E7</v>
      </c>
      <c r="AH42" s="34">
        <v>4.4683275E7</v>
      </c>
      <c r="AI42" s="34">
        <v>1.233163601E8</v>
      </c>
      <c r="AJ42" s="34">
        <v>1.290134729E8</v>
      </c>
      <c r="AK42" s="34">
        <v>1.983225976E8</v>
      </c>
      <c r="AL42" s="34">
        <v>1.544170341E8</v>
      </c>
      <c r="AM42" s="34">
        <v>7.462418787E7</v>
      </c>
      <c r="AN42" s="34">
        <v>8.955346555E7</v>
      </c>
      <c r="AO42" s="34">
        <v>7809020.0</v>
      </c>
      <c r="AP42" s="34">
        <v>8775176.0</v>
      </c>
      <c r="AQ42" s="34">
        <v>4.030076798E9</v>
      </c>
    </row>
    <row r="43" ht="15.75" customHeight="1">
      <c r="A43" s="69">
        <v>10.0</v>
      </c>
      <c r="B43" s="69">
        <v>0.0</v>
      </c>
      <c r="C43" s="69">
        <v>1.98572363E8</v>
      </c>
      <c r="D43" s="69">
        <v>0.0</v>
      </c>
      <c r="E43" s="69">
        <v>0.0</v>
      </c>
      <c r="F43" s="69">
        <v>1.15052493E8</v>
      </c>
      <c r="G43" s="69">
        <v>0.0</v>
      </c>
      <c r="H43" s="69">
        <v>0.0</v>
      </c>
      <c r="I43" s="69">
        <v>0.0</v>
      </c>
      <c r="J43" s="69">
        <v>0.0</v>
      </c>
      <c r="K43" s="69">
        <v>3.136248555E8</v>
      </c>
    </row>
    <row r="44" ht="15.75" customHeight="1">
      <c r="A44" s="69">
        <v>11.0</v>
      </c>
      <c r="B44" s="69">
        <v>0.0</v>
      </c>
      <c r="C44" s="69">
        <v>3.1663159E7</v>
      </c>
      <c r="D44" s="69">
        <v>1.56425719E8</v>
      </c>
      <c r="E44" s="69">
        <v>0.0</v>
      </c>
      <c r="F44" s="69">
        <v>4.5407257E7</v>
      </c>
      <c r="G44" s="69">
        <v>1.5139297E7</v>
      </c>
      <c r="H44" s="69">
        <v>0.0</v>
      </c>
      <c r="I44" s="69">
        <v>0.0</v>
      </c>
      <c r="J44" s="69">
        <v>0.0</v>
      </c>
      <c r="K44" s="69">
        <v>2.486354321E8</v>
      </c>
    </row>
    <row r="45" ht="15.75" customHeight="1">
      <c r="A45" s="69">
        <v>12.0</v>
      </c>
      <c r="B45" s="69">
        <v>0.0</v>
      </c>
      <c r="C45" s="69">
        <v>0.0</v>
      </c>
      <c r="D45" s="69">
        <v>9.7060409E7</v>
      </c>
      <c r="E45" s="69">
        <v>0.0</v>
      </c>
      <c r="F45" s="69">
        <v>0.0</v>
      </c>
      <c r="G45" s="69">
        <v>0.0</v>
      </c>
      <c r="H45" s="69">
        <v>0.0</v>
      </c>
      <c r="I45" s="69">
        <v>0.0</v>
      </c>
      <c r="J45" s="69">
        <v>0.0</v>
      </c>
      <c r="K45" s="69">
        <v>9.7060409E7</v>
      </c>
    </row>
    <row r="46" ht="15.75" customHeight="1">
      <c r="A46" s="69">
        <v>13.0</v>
      </c>
      <c r="B46" s="69">
        <v>0.0</v>
      </c>
      <c r="C46" s="69">
        <v>0.0</v>
      </c>
      <c r="D46" s="69">
        <v>0.0</v>
      </c>
      <c r="E46" s="69">
        <v>0.0</v>
      </c>
      <c r="F46" s="69">
        <v>1.44771887E8</v>
      </c>
      <c r="G46" s="69">
        <v>0.0</v>
      </c>
      <c r="H46" s="69">
        <v>0.0</v>
      </c>
      <c r="I46" s="69">
        <v>0.0</v>
      </c>
      <c r="J46" s="69">
        <v>0.0</v>
      </c>
      <c r="K46" s="69">
        <v>1.447718869E8</v>
      </c>
    </row>
    <row r="47" ht="15.75" customHeight="1">
      <c r="A47" s="69">
        <v>14.0</v>
      </c>
      <c r="B47" s="69">
        <v>0.0</v>
      </c>
      <c r="C47" s="69">
        <v>0.0</v>
      </c>
      <c r="D47" s="69">
        <v>0.0</v>
      </c>
      <c r="E47" s="69">
        <v>0.0</v>
      </c>
      <c r="F47" s="69">
        <v>2.05141997E8</v>
      </c>
      <c r="G47" s="69">
        <v>1380.0</v>
      </c>
      <c r="H47" s="69">
        <v>0.0</v>
      </c>
      <c r="I47" s="69">
        <v>0.0</v>
      </c>
      <c r="J47" s="69">
        <v>0.0</v>
      </c>
      <c r="K47" s="69">
        <v>2.05143377E8</v>
      </c>
    </row>
    <row r="48" ht="15.75" customHeight="1">
      <c r="A48" s="69">
        <v>15.0</v>
      </c>
      <c r="B48" s="69">
        <v>0.0</v>
      </c>
      <c r="C48" s="69">
        <v>0.0</v>
      </c>
      <c r="D48" s="69">
        <v>0.0</v>
      </c>
      <c r="E48" s="69">
        <v>0.0</v>
      </c>
      <c r="F48" s="69">
        <v>1.48787267E8</v>
      </c>
      <c r="G48" s="69">
        <v>5.8276257E7</v>
      </c>
      <c r="H48" s="69">
        <v>0.0</v>
      </c>
      <c r="I48" s="69">
        <v>0.0</v>
      </c>
      <c r="J48" s="69">
        <v>0.0</v>
      </c>
      <c r="K48" s="69">
        <v>2.070635244E8</v>
      </c>
    </row>
    <row r="49" ht="15.75" customHeight="1">
      <c r="A49" s="69">
        <v>16.0</v>
      </c>
      <c r="B49" s="69">
        <v>0.0</v>
      </c>
      <c r="C49" s="69">
        <v>0.0</v>
      </c>
      <c r="D49" s="69">
        <v>0.0</v>
      </c>
      <c r="E49" s="69">
        <v>0.0</v>
      </c>
      <c r="F49" s="69">
        <v>4835447.0</v>
      </c>
      <c r="G49" s="69">
        <v>1.78279993E8</v>
      </c>
      <c r="H49" s="69">
        <v>0.0</v>
      </c>
      <c r="I49" s="69">
        <v>0.0</v>
      </c>
      <c r="J49" s="69">
        <v>0.0</v>
      </c>
      <c r="K49" s="69">
        <v>1.831154396E8</v>
      </c>
    </row>
    <row r="50" ht="15.75" customHeight="1">
      <c r="A50" s="69">
        <v>17.0</v>
      </c>
      <c r="B50" s="69">
        <v>0.0</v>
      </c>
      <c r="C50" s="69">
        <v>0.0</v>
      </c>
      <c r="D50" s="69">
        <v>0.0</v>
      </c>
      <c r="E50" s="69">
        <v>0.0</v>
      </c>
      <c r="F50" s="69">
        <v>0.0</v>
      </c>
      <c r="G50" s="69">
        <v>0.0</v>
      </c>
      <c r="H50" s="69">
        <v>1.0817664E8</v>
      </c>
      <c r="I50" s="69">
        <v>7643573.0</v>
      </c>
      <c r="J50" s="69">
        <v>0.0</v>
      </c>
      <c r="K50" s="69">
        <v>1.158202131E8</v>
      </c>
    </row>
    <row r="51" ht="15.75" customHeight="1">
      <c r="A51" s="69">
        <v>18.0</v>
      </c>
      <c r="B51" s="69">
        <v>0.0</v>
      </c>
      <c r="C51" s="69">
        <v>0.0</v>
      </c>
      <c r="D51" s="69">
        <v>0.0</v>
      </c>
      <c r="E51" s="69">
        <v>8.297786E7</v>
      </c>
      <c r="F51" s="69">
        <v>0.0</v>
      </c>
      <c r="G51" s="69">
        <v>0.0</v>
      </c>
      <c r="H51" s="69">
        <v>67354.0</v>
      </c>
      <c r="I51" s="69">
        <v>14439.0</v>
      </c>
      <c r="J51" s="69">
        <v>0.0</v>
      </c>
      <c r="K51" s="69">
        <v>8.305965275E7</v>
      </c>
    </row>
    <row r="52" ht="15.75" customHeight="1">
      <c r="A52" s="69">
        <v>19.0</v>
      </c>
      <c r="B52" s="69">
        <v>0.0</v>
      </c>
      <c r="C52" s="69">
        <v>0.0</v>
      </c>
      <c r="D52" s="69">
        <v>0.0</v>
      </c>
      <c r="E52" s="69">
        <v>4.3324959E7</v>
      </c>
      <c r="F52" s="69">
        <v>0.0</v>
      </c>
      <c r="G52" s="69">
        <v>0.0</v>
      </c>
      <c r="H52" s="69">
        <v>0.0</v>
      </c>
      <c r="I52" s="69">
        <v>1358316.0</v>
      </c>
      <c r="J52" s="69">
        <v>0.0</v>
      </c>
      <c r="K52" s="69">
        <v>4.4683275E7</v>
      </c>
    </row>
    <row r="53" ht="15.75" customHeight="1">
      <c r="A53" s="69">
        <v>20.0</v>
      </c>
      <c r="B53" s="69">
        <v>0.0</v>
      </c>
      <c r="C53" s="69">
        <v>0.0</v>
      </c>
      <c r="D53" s="69">
        <v>0.0</v>
      </c>
      <c r="E53" s="69">
        <v>0.0</v>
      </c>
      <c r="F53" s="69">
        <v>0.0</v>
      </c>
      <c r="G53" s="69">
        <v>0.0</v>
      </c>
      <c r="H53" s="69">
        <v>9149782.0</v>
      </c>
      <c r="I53" s="69">
        <v>1.05375463E8</v>
      </c>
      <c r="J53" s="69">
        <v>8791115.0</v>
      </c>
      <c r="K53" s="69">
        <v>1.233163601E8</v>
      </c>
    </row>
    <row r="54" ht="15.75" customHeight="1">
      <c r="A54" s="69">
        <v>21.0</v>
      </c>
      <c r="B54" s="69">
        <v>0.0</v>
      </c>
      <c r="C54" s="69">
        <v>0.0</v>
      </c>
      <c r="D54" s="69">
        <v>0.0</v>
      </c>
      <c r="E54" s="69">
        <v>0.0</v>
      </c>
      <c r="F54" s="69">
        <v>0.0</v>
      </c>
      <c r="G54" s="69">
        <v>0.0</v>
      </c>
      <c r="H54" s="69">
        <v>0.0</v>
      </c>
      <c r="I54" s="69">
        <v>10.0</v>
      </c>
      <c r="J54" s="69">
        <v>1.29013463E8</v>
      </c>
      <c r="K54" s="69">
        <v>1.290134729E8</v>
      </c>
    </row>
    <row r="55" ht="15.75" customHeight="1">
      <c r="A55" s="69">
        <v>22.0</v>
      </c>
      <c r="B55" s="69">
        <v>0.0</v>
      </c>
      <c r="C55" s="69">
        <v>0.0</v>
      </c>
      <c r="D55" s="69">
        <v>0.0</v>
      </c>
      <c r="E55" s="69">
        <v>0.0</v>
      </c>
      <c r="F55" s="69">
        <v>0.0</v>
      </c>
      <c r="G55" s="69">
        <v>0.0</v>
      </c>
      <c r="H55" s="69">
        <v>0.0</v>
      </c>
      <c r="I55" s="69">
        <v>138.0</v>
      </c>
      <c r="J55" s="69">
        <v>1.9832246E8</v>
      </c>
      <c r="K55" s="69">
        <v>1.983225976E8</v>
      </c>
    </row>
    <row r="56" ht="15.75" customHeight="1">
      <c r="A56" s="69">
        <v>23.0</v>
      </c>
      <c r="B56" s="69">
        <v>0.0</v>
      </c>
      <c r="C56" s="69">
        <v>0.0</v>
      </c>
      <c r="D56" s="69">
        <v>0.0</v>
      </c>
      <c r="E56" s="69">
        <v>0.0</v>
      </c>
      <c r="F56" s="69">
        <v>0.0</v>
      </c>
      <c r="G56" s="69">
        <v>0.0</v>
      </c>
      <c r="H56" s="69">
        <v>0.0</v>
      </c>
      <c r="I56" s="69">
        <v>1.9515596E7</v>
      </c>
      <c r="J56" s="69">
        <v>1.34901438E8</v>
      </c>
      <c r="K56" s="69">
        <v>1.544170341E8</v>
      </c>
    </row>
    <row r="57" ht="15.75" customHeight="1">
      <c r="A57" s="69">
        <v>24.0</v>
      </c>
      <c r="B57" s="69">
        <v>0.0</v>
      </c>
      <c r="C57" s="69">
        <v>0.0</v>
      </c>
      <c r="D57" s="69">
        <v>0.0</v>
      </c>
      <c r="E57" s="69">
        <v>5003013.0</v>
      </c>
      <c r="F57" s="69">
        <v>0.0</v>
      </c>
      <c r="G57" s="69">
        <v>0.0</v>
      </c>
      <c r="H57" s="69">
        <v>0.0</v>
      </c>
      <c r="I57" s="69">
        <v>6.9621175E7</v>
      </c>
      <c r="J57" s="69">
        <v>0.0</v>
      </c>
      <c r="K57" s="69">
        <v>7.462418787E7</v>
      </c>
    </row>
    <row r="58" ht="15.75" customHeight="1">
      <c r="A58" s="69">
        <v>25.0</v>
      </c>
      <c r="B58" s="69">
        <v>0.0</v>
      </c>
      <c r="C58" s="69">
        <v>0.0</v>
      </c>
      <c r="D58" s="69">
        <v>0.0</v>
      </c>
      <c r="E58" s="69">
        <v>0.0</v>
      </c>
      <c r="F58" s="69">
        <v>0.0</v>
      </c>
      <c r="G58" s="69">
        <v>0.0</v>
      </c>
      <c r="H58" s="69">
        <v>0.0</v>
      </c>
      <c r="I58" s="69">
        <v>8.889436E7</v>
      </c>
      <c r="J58" s="69">
        <v>659106.0</v>
      </c>
      <c r="K58" s="69">
        <v>8.955346555E7</v>
      </c>
    </row>
    <row r="59" ht="15.75" customHeight="1">
      <c r="A59" s="69" t="s">
        <v>4233</v>
      </c>
      <c r="B59" s="69">
        <v>0.0</v>
      </c>
      <c r="C59" s="69">
        <v>0.0</v>
      </c>
      <c r="D59" s="69">
        <v>0.0</v>
      </c>
      <c r="E59" s="69">
        <v>0.0</v>
      </c>
      <c r="F59" s="69">
        <v>0.0</v>
      </c>
      <c r="G59" s="69">
        <v>0.0</v>
      </c>
      <c r="H59" s="69">
        <v>0.0</v>
      </c>
      <c r="I59" s="69">
        <v>0.0</v>
      </c>
      <c r="J59" s="69">
        <v>7809020.0</v>
      </c>
      <c r="K59" s="69">
        <v>7809020.0</v>
      </c>
    </row>
    <row r="60" ht="15.75" customHeight="1">
      <c r="A60" s="69" t="s">
        <v>4234</v>
      </c>
      <c r="B60" s="69">
        <v>0.0</v>
      </c>
      <c r="C60" s="69">
        <v>0.0</v>
      </c>
      <c r="D60" s="69">
        <v>0.0</v>
      </c>
      <c r="E60" s="69">
        <v>0.0</v>
      </c>
      <c r="F60" s="69">
        <v>0.0</v>
      </c>
      <c r="G60" s="69">
        <v>0.0</v>
      </c>
      <c r="H60" s="69">
        <v>0.0</v>
      </c>
      <c r="I60" s="69">
        <v>0.0</v>
      </c>
      <c r="J60" s="69">
        <v>8775176.0</v>
      </c>
      <c r="K60" s="69">
        <v>8775176.0</v>
      </c>
    </row>
    <row r="61" ht="15.75" customHeight="1">
      <c r="A61" s="67" t="s">
        <v>4207</v>
      </c>
      <c r="B61" s="69">
        <v>1.51895936E8</v>
      </c>
      <c r="C61" s="69">
        <v>4.51705702E8</v>
      </c>
      <c r="D61" s="69">
        <v>5.3410732E8</v>
      </c>
      <c r="E61" s="69">
        <v>3.03438451E8</v>
      </c>
      <c r="F61" s="69">
        <v>9.3677834E8</v>
      </c>
      <c r="G61" s="69">
        <v>2.74037054E8</v>
      </c>
      <c r="H61" s="69">
        <v>5.97419148E8</v>
      </c>
      <c r="I61" s="69">
        <v>2.92423069E8</v>
      </c>
      <c r="J61" s="69">
        <v>4.88271778E8</v>
      </c>
      <c r="K61" s="69">
        <v>4.030076798E9</v>
      </c>
    </row>
    <row r="62" ht="15.75" customHeight="1"/>
    <row r="63" ht="15.75" customHeight="1">
      <c r="A63" s="52"/>
      <c r="B63" s="70"/>
      <c r="C63" s="71"/>
      <c r="D63" s="52"/>
      <c r="E63" s="52"/>
      <c r="F63" s="52"/>
      <c r="G63" s="52"/>
      <c r="H63" s="52"/>
      <c r="I63" s="52"/>
      <c r="J63" s="52"/>
      <c r="K63" s="52"/>
      <c r="L63" s="52"/>
    </row>
    <row r="64" ht="15.75" customHeight="1">
      <c r="A64" s="72" t="s">
        <v>4236</v>
      </c>
      <c r="B64" s="32" t="s">
        <v>48</v>
      </c>
    </row>
    <row r="65" ht="15.75" customHeight="1">
      <c r="A65" s="71" t="s">
        <v>4230</v>
      </c>
      <c r="B65" s="73" t="s">
        <v>101</v>
      </c>
      <c r="C65" s="73" t="s">
        <v>171</v>
      </c>
      <c r="D65" s="73" t="s">
        <v>201</v>
      </c>
      <c r="E65" s="73" t="s">
        <v>220</v>
      </c>
      <c r="F65" s="73" t="s">
        <v>279</v>
      </c>
      <c r="G65" s="73" t="s">
        <v>339</v>
      </c>
      <c r="H65" s="73" t="s">
        <v>395</v>
      </c>
      <c r="I65" s="73" t="s">
        <v>405</v>
      </c>
      <c r="J65" s="73" t="s">
        <v>408</v>
      </c>
      <c r="K65" s="73" t="s">
        <v>410</v>
      </c>
      <c r="L65" s="73" t="s">
        <v>461</v>
      </c>
      <c r="M65" s="73" t="s">
        <v>570</v>
      </c>
      <c r="N65" s="73" t="s">
        <v>576</v>
      </c>
      <c r="O65" s="73" t="s">
        <v>608</v>
      </c>
      <c r="P65" s="73" t="s">
        <v>663</v>
      </c>
      <c r="Q65" s="73" t="s">
        <v>705</v>
      </c>
      <c r="R65" s="73" t="s">
        <v>750</v>
      </c>
      <c r="S65" s="73" t="s">
        <v>818</v>
      </c>
      <c r="T65" s="73" t="s">
        <v>875</v>
      </c>
      <c r="U65" s="73" t="s">
        <v>923</v>
      </c>
      <c r="V65" s="73" t="s">
        <v>934</v>
      </c>
      <c r="W65" s="73" t="s">
        <v>952</v>
      </c>
      <c r="X65" s="73" t="s">
        <v>963</v>
      </c>
      <c r="Y65" s="73" t="s">
        <v>1026</v>
      </c>
      <c r="Z65" s="73" t="s">
        <v>255</v>
      </c>
      <c r="AA65" s="73" t="s">
        <v>1121</v>
      </c>
      <c r="AB65" s="73" t="s">
        <v>1162</v>
      </c>
      <c r="AC65" s="73" t="s">
        <v>1198</v>
      </c>
      <c r="AD65" s="73" t="s">
        <v>256</v>
      </c>
      <c r="AE65" s="73" t="s">
        <v>1251</v>
      </c>
      <c r="AF65" s="73" t="s">
        <v>1259</v>
      </c>
      <c r="AG65" s="73" t="s">
        <v>1271</v>
      </c>
      <c r="AH65" s="73" t="s">
        <v>1296</v>
      </c>
      <c r="AI65" s="73" t="s">
        <v>1326</v>
      </c>
      <c r="AJ65" s="73" t="s">
        <v>1390</v>
      </c>
      <c r="AK65" s="73" t="s">
        <v>683</v>
      </c>
      <c r="AL65" s="73" t="s">
        <v>1457</v>
      </c>
      <c r="AM65" s="73" t="s">
        <v>1144</v>
      </c>
      <c r="AN65" s="73" t="s">
        <v>1514</v>
      </c>
      <c r="AO65" s="73" t="s">
        <v>1546</v>
      </c>
      <c r="AP65" s="73" t="s">
        <v>1550</v>
      </c>
      <c r="AQ65" s="73" t="s">
        <v>1578</v>
      </c>
      <c r="AR65" s="73" t="s">
        <v>1616</v>
      </c>
      <c r="AS65" s="73" t="s">
        <v>1159</v>
      </c>
      <c r="AT65" s="73" t="s">
        <v>1802</v>
      </c>
      <c r="AU65" s="73" t="s">
        <v>1819</v>
      </c>
      <c r="AV65" s="73" t="s">
        <v>1828</v>
      </c>
      <c r="AW65" s="73" t="s">
        <v>167</v>
      </c>
      <c r="AX65" s="73" t="s">
        <v>1924</v>
      </c>
      <c r="AY65" s="73" t="s">
        <v>1942</v>
      </c>
      <c r="AZ65" s="73" t="s">
        <v>1323</v>
      </c>
      <c r="BA65" s="52" t="s">
        <v>4207</v>
      </c>
    </row>
    <row r="66" ht="15.75" customHeight="1">
      <c r="A66" s="74">
        <v>1.0</v>
      </c>
      <c r="B66" s="75">
        <f t="array" ref="B66">IF(ISERROR(index(Res_AllFuels_SEDS_2022_TBtus!$R$3:$R$53,match($A66&amp;B$65,Res_AllFuels_SEDS_2022_TBtus!$B$3:$B$53&amp;Res_AllFuels_SEDS_2022_TBtus!$A$3:$A$53,0))),0,(index(Res_AllFuels_SEDS_2022_TBtus!$R$3:$R$53,match($A66&amp;B$65,Res_AllFuels_SEDS_2022_TBtus!$B$3:$B$53&amp;Res_AllFuels_SEDS_2022_TBtus!$A$3:$A$53,0))))</f>
        <v>0</v>
      </c>
      <c r="C66" s="75">
        <f t="array" ref="C66">IF(ISERROR(index(Res_AllFuels_SEDS_2022_TBtus!$R$3:$R$53,match($A66&amp;C$65,Res_AllFuels_SEDS_2022_TBtus!$B$3:$B$53&amp;Res_AllFuels_SEDS_2022_TBtus!$A$3:$A$53,0))),0,(index(Res_AllFuels_SEDS_2022_TBtus!$R$3:$R$53,match($A66&amp;C$65,Res_AllFuels_SEDS_2022_TBtus!$B$3:$B$53&amp;Res_AllFuels_SEDS_2022_TBtus!$A$3:$A$53,0))))</f>
        <v>0</v>
      </c>
      <c r="D66" s="75">
        <f t="array" ref="D66">IF(ISERROR(index(Res_AllFuels_SEDS_2022_TBtus!$R$3:$R$53,match($A66&amp;D$65,Res_AllFuels_SEDS_2022_TBtus!$B$3:$B$53&amp;Res_AllFuels_SEDS_2022_TBtus!$A$3:$A$53,0))),0,(index(Res_AllFuels_SEDS_2022_TBtus!$R$3:$R$53,match($A66&amp;D$65,Res_AllFuels_SEDS_2022_TBtus!$B$3:$B$53&amp;Res_AllFuels_SEDS_2022_TBtus!$A$3:$A$53,0))))</f>
        <v>0</v>
      </c>
      <c r="E66" s="75">
        <f t="array" ref="E66">IF(ISERROR(index(Res_AllFuels_SEDS_2022_TBtus!$R$3:$R$53,match($A66&amp;E$65,Res_AllFuels_SEDS_2022_TBtus!$B$3:$B$53&amp;Res_AllFuels_SEDS_2022_TBtus!$A$3:$A$53,0))),0,(index(Res_AllFuels_SEDS_2022_TBtus!$R$3:$R$53,match($A66&amp;E$65,Res_AllFuels_SEDS_2022_TBtus!$B$3:$B$53&amp;Res_AllFuels_SEDS_2022_TBtus!$A$3:$A$53,0))))</f>
        <v>0</v>
      </c>
      <c r="F66" s="75">
        <f t="array" ref="F66">IF(ISERROR(index(Res_AllFuels_SEDS_2022_TBtus!$R$3:$R$53,match($A66&amp;F$65,Res_AllFuels_SEDS_2022_TBtus!$B$3:$B$53&amp;Res_AllFuels_SEDS_2022_TBtus!$A$3:$A$53,0))),0,(index(Res_AllFuels_SEDS_2022_TBtus!$R$3:$R$53,match($A66&amp;F$65,Res_AllFuels_SEDS_2022_TBtus!$B$3:$B$53&amp;Res_AllFuels_SEDS_2022_TBtus!$A$3:$A$53,0))))</f>
        <v>0</v>
      </c>
      <c r="G66" s="75">
        <f t="array" ref="G66">IF(ISERROR(index(Res_AllFuels_SEDS_2022_TBtus!$R$3:$R$53,match($A66&amp;G$65,Res_AllFuels_SEDS_2022_TBtus!$B$3:$B$53&amp;Res_AllFuels_SEDS_2022_TBtus!$A$3:$A$53,0))),0,(index(Res_AllFuels_SEDS_2022_TBtus!$R$3:$R$53,match($A66&amp;G$65,Res_AllFuels_SEDS_2022_TBtus!$B$3:$B$53&amp;Res_AllFuels_SEDS_2022_TBtus!$A$3:$A$53,0))))</f>
        <v>0</v>
      </c>
      <c r="H66" s="75">
        <f t="array" ref="H66">IF(ISERROR(index(Res_AllFuels_SEDS_2022_TBtus!$R$3:$R$53,match($A66&amp;H$65,Res_AllFuels_SEDS_2022_TBtus!$B$3:$B$53&amp;Res_AllFuels_SEDS_2022_TBtus!$A$3:$A$53,0))),0,(index(Res_AllFuels_SEDS_2022_TBtus!$R$3:$R$53,match($A66&amp;H$65,Res_AllFuels_SEDS_2022_TBtus!$B$3:$B$53&amp;Res_AllFuels_SEDS_2022_TBtus!$A$3:$A$53,0))))</f>
        <v>48.1</v>
      </c>
      <c r="I66" s="75">
        <f t="array" ref="I66">IF(ISERROR(index(Res_AllFuels_SEDS_2022_TBtus!$R$3:$R$53,match($A66&amp;I$65,Res_AllFuels_SEDS_2022_TBtus!$B$3:$B$53&amp;Res_AllFuels_SEDS_2022_TBtus!$A$3:$A$53,0))),0,(index(Res_AllFuels_SEDS_2022_TBtus!$R$3:$R$53,match($A66&amp;I$65,Res_AllFuels_SEDS_2022_TBtus!$B$3:$B$53&amp;Res_AllFuels_SEDS_2022_TBtus!$A$3:$A$53,0))))</f>
        <v>0</v>
      </c>
      <c r="J66" s="75">
        <f t="array" ref="J66">IF(ISERROR(index(Res_AllFuels_SEDS_2022_TBtus!$R$3:$R$53,match($A66&amp;J$65,Res_AllFuels_SEDS_2022_TBtus!$B$3:$B$53&amp;Res_AllFuels_SEDS_2022_TBtus!$A$3:$A$53,0))),0,(index(Res_AllFuels_SEDS_2022_TBtus!$R$3:$R$53,match($A66&amp;J$65,Res_AllFuels_SEDS_2022_TBtus!$B$3:$B$53&amp;Res_AllFuels_SEDS_2022_TBtus!$A$3:$A$53,0))))</f>
        <v>0</v>
      </c>
      <c r="K66" s="75">
        <f t="array" ref="K66">IF(ISERROR(index(Res_AllFuels_SEDS_2022_TBtus!$R$3:$R$53,match($A66&amp;K$65,Res_AllFuels_SEDS_2022_TBtus!$B$3:$B$53&amp;Res_AllFuels_SEDS_2022_TBtus!$A$3:$A$53,0))),0,(index(Res_AllFuels_SEDS_2022_TBtus!$R$3:$R$53,match($A66&amp;K$65,Res_AllFuels_SEDS_2022_TBtus!$B$3:$B$53&amp;Res_AllFuels_SEDS_2022_TBtus!$A$3:$A$53,0))))</f>
        <v>0</v>
      </c>
      <c r="L66" s="75">
        <f t="array" ref="L66">IF(ISERROR(index(Res_AllFuels_SEDS_2022_TBtus!$R$3:$R$53,match($A66&amp;L$65,Res_AllFuels_SEDS_2022_TBtus!$B$3:$B$53&amp;Res_AllFuels_SEDS_2022_TBtus!$A$3:$A$53,0))),0,(index(Res_AllFuels_SEDS_2022_TBtus!$R$3:$R$53,match($A66&amp;L$65,Res_AllFuels_SEDS_2022_TBtus!$B$3:$B$53&amp;Res_AllFuels_SEDS_2022_TBtus!$A$3:$A$53,0))))</f>
        <v>0</v>
      </c>
      <c r="M66" s="75">
        <f t="array" ref="M66">IF(ISERROR(index(Res_AllFuels_SEDS_2022_TBtus!$R$3:$R$53,match($A66&amp;M$65,Res_AllFuels_SEDS_2022_TBtus!$B$3:$B$53&amp;Res_AllFuels_SEDS_2022_TBtus!$A$3:$A$53,0))),0,(index(Res_AllFuels_SEDS_2022_TBtus!$R$3:$R$53,match($A66&amp;M$65,Res_AllFuels_SEDS_2022_TBtus!$B$3:$B$53&amp;Res_AllFuels_SEDS_2022_TBtus!$A$3:$A$53,0))))</f>
        <v>0</v>
      </c>
      <c r="N66" s="75">
        <f t="array" ref="N66">IF(ISERROR(index(Res_AllFuels_SEDS_2022_TBtus!$R$3:$R$53,match($A66&amp;N$65,Res_AllFuels_SEDS_2022_TBtus!$B$3:$B$53&amp;Res_AllFuels_SEDS_2022_TBtus!$A$3:$A$53,0))),0,(index(Res_AllFuels_SEDS_2022_TBtus!$R$3:$R$53,match($A66&amp;N$65,Res_AllFuels_SEDS_2022_TBtus!$B$3:$B$53&amp;Res_AllFuels_SEDS_2022_TBtus!$A$3:$A$53,0))))</f>
        <v>0</v>
      </c>
      <c r="O66" s="75">
        <f t="array" ref="O66">IF(ISERROR(index(Res_AllFuels_SEDS_2022_TBtus!$R$3:$R$53,match($A66&amp;O$65,Res_AllFuels_SEDS_2022_TBtus!$B$3:$B$53&amp;Res_AllFuels_SEDS_2022_TBtus!$A$3:$A$53,0))),0,(index(Res_AllFuels_SEDS_2022_TBtus!$R$3:$R$53,match($A66&amp;O$65,Res_AllFuels_SEDS_2022_TBtus!$B$3:$B$53&amp;Res_AllFuels_SEDS_2022_TBtus!$A$3:$A$53,0))))</f>
        <v>0</v>
      </c>
      <c r="P66" s="75">
        <f t="array" ref="P66">IF(ISERROR(index(Res_AllFuels_SEDS_2022_TBtus!$R$3:$R$53,match($A66&amp;P$65,Res_AllFuels_SEDS_2022_TBtus!$B$3:$B$53&amp;Res_AllFuels_SEDS_2022_TBtus!$A$3:$A$53,0))),0,(index(Res_AllFuels_SEDS_2022_TBtus!$R$3:$R$53,match($A66&amp;P$65,Res_AllFuels_SEDS_2022_TBtus!$B$3:$B$53&amp;Res_AllFuels_SEDS_2022_TBtus!$A$3:$A$53,0))))</f>
        <v>0</v>
      </c>
      <c r="Q66" s="75">
        <f t="array" ref="Q66">IF(ISERROR(index(Res_AllFuels_SEDS_2022_TBtus!$R$3:$R$53,match($A66&amp;Q$65,Res_AllFuels_SEDS_2022_TBtus!$B$3:$B$53&amp;Res_AllFuels_SEDS_2022_TBtus!$A$3:$A$53,0))),0,(index(Res_AllFuels_SEDS_2022_TBtus!$R$3:$R$53,match($A66&amp;Q$65,Res_AllFuels_SEDS_2022_TBtus!$B$3:$B$53&amp;Res_AllFuels_SEDS_2022_TBtus!$A$3:$A$53,0))))</f>
        <v>0</v>
      </c>
      <c r="R66" s="75">
        <f t="array" ref="R66">IF(ISERROR(index(Res_AllFuels_SEDS_2022_TBtus!$R$3:$R$53,match($A66&amp;R$65,Res_AllFuels_SEDS_2022_TBtus!$B$3:$B$53&amp;Res_AllFuels_SEDS_2022_TBtus!$A$3:$A$53,0))),0,(index(Res_AllFuels_SEDS_2022_TBtus!$R$3:$R$53,match($A66&amp;R$65,Res_AllFuels_SEDS_2022_TBtus!$B$3:$B$53&amp;Res_AllFuels_SEDS_2022_TBtus!$A$3:$A$53,0))))</f>
        <v>0</v>
      </c>
      <c r="S66" s="75">
        <f t="array" ref="S66">IF(ISERROR(index(Res_AllFuels_SEDS_2022_TBtus!$R$3:$R$53,match($A66&amp;S$65,Res_AllFuels_SEDS_2022_TBtus!$B$3:$B$53&amp;Res_AllFuels_SEDS_2022_TBtus!$A$3:$A$53,0))),0,(index(Res_AllFuels_SEDS_2022_TBtus!$R$3:$R$53,match($A66&amp;S$65,Res_AllFuels_SEDS_2022_TBtus!$B$3:$B$53&amp;Res_AllFuels_SEDS_2022_TBtus!$A$3:$A$53,0))))</f>
        <v>0</v>
      </c>
      <c r="T66" s="75">
        <f t="array" ref="T66">IF(ISERROR(index(Res_AllFuels_SEDS_2022_TBtus!$R$3:$R$53,match($A66&amp;T$65,Res_AllFuels_SEDS_2022_TBtus!$B$3:$B$53&amp;Res_AllFuels_SEDS_2022_TBtus!$A$3:$A$53,0))),0,(index(Res_AllFuels_SEDS_2022_TBtus!$R$3:$R$53,match($A66&amp;T$65,Res_AllFuels_SEDS_2022_TBtus!$B$3:$B$53&amp;Res_AllFuels_SEDS_2022_TBtus!$A$3:$A$53,0))))</f>
        <v>0</v>
      </c>
      <c r="U66" s="75">
        <f t="array" ref="U66">IF(ISERROR(index(Res_AllFuels_SEDS_2022_TBtus!$R$3:$R$53,match($A66&amp;U$65,Res_AllFuels_SEDS_2022_TBtus!$B$3:$B$53&amp;Res_AllFuels_SEDS_2022_TBtus!$A$3:$A$53,0))),0,(index(Res_AllFuels_SEDS_2022_TBtus!$R$3:$R$53,match($A66&amp;U$65,Res_AllFuels_SEDS_2022_TBtus!$B$3:$B$53&amp;Res_AllFuels_SEDS_2022_TBtus!$A$3:$A$53,0))))</f>
        <v>17.9</v>
      </c>
      <c r="V66" s="75">
        <f t="array" ref="V66">IF(ISERROR(index(Res_AllFuels_SEDS_2022_TBtus!$R$3:$R$53,match($A66&amp;V$65,Res_AllFuels_SEDS_2022_TBtus!$B$3:$B$53&amp;Res_AllFuels_SEDS_2022_TBtus!$A$3:$A$53,0))),0,(index(Res_AllFuels_SEDS_2022_TBtus!$R$3:$R$53,match($A66&amp;V$65,Res_AllFuels_SEDS_2022_TBtus!$B$3:$B$53&amp;Res_AllFuels_SEDS_2022_TBtus!$A$3:$A$53,0))))</f>
        <v>0</v>
      </c>
      <c r="W66" s="75">
        <f t="array" ref="W66">IF(ISERROR(index(Res_AllFuels_SEDS_2022_TBtus!$R$3:$R$53,match($A66&amp;W$65,Res_AllFuels_SEDS_2022_TBtus!$B$3:$B$53&amp;Res_AllFuels_SEDS_2022_TBtus!$A$3:$A$53,0))),0,(index(Res_AllFuels_SEDS_2022_TBtus!$R$3:$R$53,match($A66&amp;W$65,Res_AllFuels_SEDS_2022_TBtus!$B$3:$B$53&amp;Res_AllFuels_SEDS_2022_TBtus!$A$3:$A$53,0))))</f>
        <v>73.3</v>
      </c>
      <c r="X66" s="75">
        <f t="array" ref="X66">IF(ISERROR(index(Res_AllFuels_SEDS_2022_TBtus!$R$3:$R$53,match($A66&amp;X$65,Res_AllFuels_SEDS_2022_TBtus!$B$3:$B$53&amp;Res_AllFuels_SEDS_2022_TBtus!$A$3:$A$53,0))),0,(index(Res_AllFuels_SEDS_2022_TBtus!$R$3:$R$53,match($A66&amp;X$65,Res_AllFuels_SEDS_2022_TBtus!$B$3:$B$53&amp;Res_AllFuels_SEDS_2022_TBtus!$A$3:$A$53,0))))</f>
        <v>0</v>
      </c>
      <c r="Y66" s="75">
        <f t="array" ref="Y66">IF(ISERROR(index(Res_AllFuels_SEDS_2022_TBtus!$R$3:$R$53,match($A66&amp;Y$65,Res_AllFuels_SEDS_2022_TBtus!$B$3:$B$53&amp;Res_AllFuels_SEDS_2022_TBtus!$A$3:$A$53,0))),0,(index(Res_AllFuels_SEDS_2022_TBtus!$R$3:$R$53,match($A66&amp;Y$65,Res_AllFuels_SEDS_2022_TBtus!$B$3:$B$53&amp;Res_AllFuels_SEDS_2022_TBtus!$A$3:$A$53,0))))</f>
        <v>0</v>
      </c>
      <c r="Z66" s="75">
        <f t="array" ref="Z66">IF(ISERROR(index(Res_AllFuels_SEDS_2022_TBtus!$R$3:$R$53,match($A66&amp;Z$65,Res_AllFuels_SEDS_2022_TBtus!$B$3:$B$53&amp;Res_AllFuels_SEDS_2022_TBtus!$A$3:$A$53,0))),0,(index(Res_AllFuels_SEDS_2022_TBtus!$R$3:$R$53,match($A66&amp;Z$65,Res_AllFuels_SEDS_2022_TBtus!$B$3:$B$53&amp;Res_AllFuels_SEDS_2022_TBtus!$A$3:$A$53,0))))</f>
        <v>0</v>
      </c>
      <c r="AA66" s="75">
        <f t="array" ref="AA66">IF(ISERROR(index(Res_AllFuels_SEDS_2022_TBtus!$R$3:$R$53,match($A66&amp;AA$65,Res_AllFuels_SEDS_2022_TBtus!$B$3:$B$53&amp;Res_AllFuels_SEDS_2022_TBtus!$A$3:$A$53,0))),0,(index(Res_AllFuels_SEDS_2022_TBtus!$R$3:$R$53,match($A66&amp;AA$65,Res_AllFuels_SEDS_2022_TBtus!$B$3:$B$53&amp;Res_AllFuels_SEDS_2022_TBtus!$A$3:$A$53,0))))</f>
        <v>0</v>
      </c>
      <c r="AB66" s="75">
        <f t="array" ref="AB66">IF(ISERROR(index(Res_AllFuels_SEDS_2022_TBtus!$R$3:$R$53,match($A66&amp;AB$65,Res_AllFuels_SEDS_2022_TBtus!$B$3:$B$53&amp;Res_AllFuels_SEDS_2022_TBtus!$A$3:$A$53,0))),0,(index(Res_AllFuels_SEDS_2022_TBtus!$R$3:$R$53,match($A66&amp;AB$65,Res_AllFuels_SEDS_2022_TBtus!$B$3:$B$53&amp;Res_AllFuels_SEDS_2022_TBtus!$A$3:$A$53,0))))</f>
        <v>0</v>
      </c>
      <c r="AC66" s="75">
        <f t="array" ref="AC66">IF(ISERROR(index(Res_AllFuels_SEDS_2022_TBtus!$R$3:$R$53,match($A66&amp;AC$65,Res_AllFuels_SEDS_2022_TBtus!$B$3:$B$53&amp;Res_AllFuels_SEDS_2022_TBtus!$A$3:$A$53,0))),0,(index(Res_AllFuels_SEDS_2022_TBtus!$R$3:$R$53,match($A66&amp;AC$65,Res_AllFuels_SEDS_2022_TBtus!$B$3:$B$53&amp;Res_AllFuels_SEDS_2022_TBtus!$A$3:$A$53,0))))</f>
        <v>0</v>
      </c>
      <c r="AD66" s="75">
        <f t="array" ref="AD66">IF(ISERROR(index(Res_AllFuels_SEDS_2022_TBtus!$R$3:$R$53,match($A66&amp;AD$65,Res_AllFuels_SEDS_2022_TBtus!$B$3:$B$53&amp;Res_AllFuels_SEDS_2022_TBtus!$A$3:$A$53,0))),0,(index(Res_AllFuels_SEDS_2022_TBtus!$R$3:$R$53,match($A66&amp;AD$65,Res_AllFuels_SEDS_2022_TBtus!$B$3:$B$53&amp;Res_AllFuels_SEDS_2022_TBtus!$A$3:$A$53,0))))</f>
        <v>0</v>
      </c>
      <c r="AE66" s="75">
        <f t="array" ref="AE66">IF(ISERROR(index(Res_AllFuels_SEDS_2022_TBtus!$R$3:$R$53,match($A66&amp;AE$65,Res_AllFuels_SEDS_2022_TBtus!$B$3:$B$53&amp;Res_AllFuels_SEDS_2022_TBtus!$A$3:$A$53,0))),0,(index(Res_AllFuels_SEDS_2022_TBtus!$R$3:$R$53,match($A66&amp;AE$65,Res_AllFuels_SEDS_2022_TBtus!$B$3:$B$53&amp;Res_AllFuels_SEDS_2022_TBtus!$A$3:$A$53,0))))</f>
        <v>16.9</v>
      </c>
      <c r="AF66" s="75">
        <f t="array" ref="AF66">IF(ISERROR(index(Res_AllFuels_SEDS_2022_TBtus!$R$3:$R$53,match($A66&amp;AF$65,Res_AllFuels_SEDS_2022_TBtus!$B$3:$B$53&amp;Res_AllFuels_SEDS_2022_TBtus!$A$3:$A$53,0))),0,(index(Res_AllFuels_SEDS_2022_TBtus!$R$3:$R$53,match($A66&amp;AF$65,Res_AllFuels_SEDS_2022_TBtus!$B$3:$B$53&amp;Res_AllFuels_SEDS_2022_TBtus!$A$3:$A$53,0))))</f>
        <v>0</v>
      </c>
      <c r="AG66" s="75">
        <f t="array" ref="AG66">IF(ISERROR(index(Res_AllFuels_SEDS_2022_TBtus!$R$3:$R$53,match($A66&amp;AG$65,Res_AllFuels_SEDS_2022_TBtus!$B$3:$B$53&amp;Res_AllFuels_SEDS_2022_TBtus!$A$3:$A$53,0))),0,(index(Res_AllFuels_SEDS_2022_TBtus!$R$3:$R$53,match($A66&amp;AG$65,Res_AllFuels_SEDS_2022_TBtus!$B$3:$B$53&amp;Res_AllFuels_SEDS_2022_TBtus!$A$3:$A$53,0))))</f>
        <v>0</v>
      </c>
      <c r="AH66" s="75">
        <f t="array" ref="AH66">IF(ISERROR(index(Res_AllFuels_SEDS_2022_TBtus!$R$3:$R$53,match($A66&amp;AH$65,Res_AllFuels_SEDS_2022_TBtus!$B$3:$B$53&amp;Res_AllFuels_SEDS_2022_TBtus!$A$3:$A$53,0))),0,(index(Res_AllFuels_SEDS_2022_TBtus!$R$3:$R$53,match($A66&amp;AH$65,Res_AllFuels_SEDS_2022_TBtus!$B$3:$B$53&amp;Res_AllFuels_SEDS_2022_TBtus!$A$3:$A$53,0))))</f>
        <v>0</v>
      </c>
      <c r="AI66" s="75">
        <f t="array" ref="AI66">IF(ISERROR(index(Res_AllFuels_SEDS_2022_TBtus!$R$3:$R$53,match($A66&amp;AI$65,Res_AllFuels_SEDS_2022_TBtus!$B$3:$B$53&amp;Res_AllFuels_SEDS_2022_TBtus!$A$3:$A$53,0))),0,(index(Res_AllFuels_SEDS_2022_TBtus!$R$3:$R$53,match($A66&amp;AI$65,Res_AllFuels_SEDS_2022_TBtus!$B$3:$B$53&amp;Res_AllFuels_SEDS_2022_TBtus!$A$3:$A$53,0))))</f>
        <v>0</v>
      </c>
      <c r="AJ66" s="75">
        <f t="array" ref="AJ66">IF(ISERROR(index(Res_AllFuels_SEDS_2022_TBtus!$R$3:$R$53,match($A66&amp;AJ$65,Res_AllFuels_SEDS_2022_TBtus!$B$3:$B$53&amp;Res_AllFuels_SEDS_2022_TBtus!$A$3:$A$53,0))),0,(index(Res_AllFuels_SEDS_2022_TBtus!$R$3:$R$53,match($A66&amp;AJ$65,Res_AllFuels_SEDS_2022_TBtus!$B$3:$B$53&amp;Res_AllFuels_SEDS_2022_TBtus!$A$3:$A$53,0))))</f>
        <v>0</v>
      </c>
      <c r="AK66" s="75">
        <f t="array" ref="AK66">IF(ISERROR(index(Res_AllFuels_SEDS_2022_TBtus!$R$3:$R$53,match($A66&amp;AK$65,Res_AllFuels_SEDS_2022_TBtus!$B$3:$B$53&amp;Res_AllFuels_SEDS_2022_TBtus!$A$3:$A$53,0))),0,(index(Res_AllFuels_SEDS_2022_TBtus!$R$3:$R$53,match($A66&amp;AK$65,Res_AllFuels_SEDS_2022_TBtus!$B$3:$B$53&amp;Res_AllFuels_SEDS_2022_TBtus!$A$3:$A$53,0))))</f>
        <v>0</v>
      </c>
      <c r="AL66" s="75">
        <f t="array" ref="AL66">IF(ISERROR(index(Res_AllFuels_SEDS_2022_TBtus!$R$3:$R$53,match($A66&amp;AL$65,Res_AllFuels_SEDS_2022_TBtus!$B$3:$B$53&amp;Res_AllFuels_SEDS_2022_TBtus!$A$3:$A$53,0))),0,(index(Res_AllFuels_SEDS_2022_TBtus!$R$3:$R$53,match($A66&amp;AL$65,Res_AllFuels_SEDS_2022_TBtus!$B$3:$B$53&amp;Res_AllFuels_SEDS_2022_TBtus!$A$3:$A$53,0))))</f>
        <v>0</v>
      </c>
      <c r="AM66" s="75">
        <f t="array" ref="AM66">IF(ISERROR(index(Res_AllFuels_SEDS_2022_TBtus!$R$3:$R$53,match($A66&amp;AM$65,Res_AllFuels_SEDS_2022_TBtus!$B$3:$B$53&amp;Res_AllFuels_SEDS_2022_TBtus!$A$3:$A$53,0))),0,(index(Res_AllFuels_SEDS_2022_TBtus!$R$3:$R$53,match($A66&amp;AM$65,Res_AllFuels_SEDS_2022_TBtus!$B$3:$B$53&amp;Res_AllFuels_SEDS_2022_TBtus!$A$3:$A$53,0))))</f>
        <v>0</v>
      </c>
      <c r="AN66" s="75">
        <f t="array" ref="AN66">IF(ISERROR(index(Res_AllFuels_SEDS_2022_TBtus!$R$3:$R$53,match($A66&amp;AN$65,Res_AllFuels_SEDS_2022_TBtus!$B$3:$B$53&amp;Res_AllFuels_SEDS_2022_TBtus!$A$3:$A$53,0))),0,(index(Res_AllFuels_SEDS_2022_TBtus!$R$3:$R$53,match($A66&amp;AN$65,Res_AllFuels_SEDS_2022_TBtus!$B$3:$B$53&amp;Res_AllFuels_SEDS_2022_TBtus!$A$3:$A$53,0))))</f>
        <v>0</v>
      </c>
      <c r="AO66" s="75">
        <f t="array" ref="AO66">IF(ISERROR(index(Res_AllFuels_SEDS_2022_TBtus!$R$3:$R$53,match($A66&amp;AO$65,Res_AllFuels_SEDS_2022_TBtus!$B$3:$B$53&amp;Res_AllFuels_SEDS_2022_TBtus!$A$3:$A$53,0))),0,(index(Res_AllFuels_SEDS_2022_TBtus!$R$3:$R$53,match($A66&amp;AO$65,Res_AllFuels_SEDS_2022_TBtus!$B$3:$B$53&amp;Res_AllFuels_SEDS_2022_TBtus!$A$3:$A$53,0))))</f>
        <v>11.4</v>
      </c>
      <c r="AP66" s="75">
        <f t="array" ref="AP66">IF(ISERROR(index(Res_AllFuels_SEDS_2022_TBtus!$R$3:$R$53,match($A66&amp;AP$65,Res_AllFuels_SEDS_2022_TBtus!$B$3:$B$53&amp;Res_AllFuels_SEDS_2022_TBtus!$A$3:$A$53,0))),0,(index(Res_AllFuels_SEDS_2022_TBtus!$R$3:$R$53,match($A66&amp;AP$65,Res_AllFuels_SEDS_2022_TBtus!$B$3:$B$53&amp;Res_AllFuels_SEDS_2022_TBtus!$A$3:$A$53,0))))</f>
        <v>0</v>
      </c>
      <c r="AQ66" s="75">
        <f t="array" ref="AQ66">IF(ISERROR(index(Res_AllFuels_SEDS_2022_TBtus!$R$3:$R$53,match($A66&amp;AQ$65,Res_AllFuels_SEDS_2022_TBtus!$B$3:$B$53&amp;Res_AllFuels_SEDS_2022_TBtus!$A$3:$A$53,0))),0,(index(Res_AllFuels_SEDS_2022_TBtus!$R$3:$R$53,match($A66&amp;AQ$65,Res_AllFuels_SEDS_2022_TBtus!$B$3:$B$53&amp;Res_AllFuels_SEDS_2022_TBtus!$A$3:$A$53,0))))</f>
        <v>0</v>
      </c>
      <c r="AR66" s="75">
        <f t="array" ref="AR66">IF(ISERROR(index(Res_AllFuels_SEDS_2022_TBtus!$R$3:$R$53,match($A66&amp;AR$65,Res_AllFuels_SEDS_2022_TBtus!$B$3:$B$53&amp;Res_AllFuels_SEDS_2022_TBtus!$A$3:$A$53,0))),0,(index(Res_AllFuels_SEDS_2022_TBtus!$R$3:$R$53,match($A66&amp;AR$65,Res_AllFuels_SEDS_2022_TBtus!$B$3:$B$53&amp;Res_AllFuels_SEDS_2022_TBtus!$A$3:$A$53,0))))</f>
        <v>0</v>
      </c>
      <c r="AS66" s="75">
        <f t="array" ref="AS66">IF(ISERROR(index(Res_AllFuels_SEDS_2022_TBtus!$R$3:$R$53,match($A66&amp;AS$65,Res_AllFuels_SEDS_2022_TBtus!$B$3:$B$53&amp;Res_AllFuels_SEDS_2022_TBtus!$A$3:$A$53,0))),0,(index(Res_AllFuels_SEDS_2022_TBtus!$R$3:$R$53,match($A66&amp;AS$65,Res_AllFuels_SEDS_2022_TBtus!$B$3:$B$53&amp;Res_AllFuels_SEDS_2022_TBtus!$A$3:$A$53,0))))</f>
        <v>0</v>
      </c>
      <c r="AT66" s="75">
        <f t="array" ref="AT66">IF(ISERROR(index(Res_AllFuels_SEDS_2022_TBtus!$R$3:$R$53,match($A66&amp;AT$65,Res_AllFuels_SEDS_2022_TBtus!$B$3:$B$53&amp;Res_AllFuels_SEDS_2022_TBtus!$A$3:$A$53,0))),0,(index(Res_AllFuels_SEDS_2022_TBtus!$R$3:$R$53,match($A66&amp;AT$65,Res_AllFuels_SEDS_2022_TBtus!$B$3:$B$53&amp;Res_AllFuels_SEDS_2022_TBtus!$A$3:$A$53,0))))</f>
        <v>0</v>
      </c>
      <c r="AU66" s="75">
        <f t="array" ref="AU66">IF(ISERROR(index(Res_AllFuels_SEDS_2022_TBtus!$R$3:$R$53,match($A66&amp;AU$65,Res_AllFuels_SEDS_2022_TBtus!$B$3:$B$53&amp;Res_AllFuels_SEDS_2022_TBtus!$A$3:$A$53,0))),0,(index(Res_AllFuels_SEDS_2022_TBtus!$R$3:$R$53,match($A66&amp;AU$65,Res_AllFuels_SEDS_2022_TBtus!$B$3:$B$53&amp;Res_AllFuels_SEDS_2022_TBtus!$A$3:$A$53,0))))</f>
        <v>8</v>
      </c>
      <c r="AV66" s="75">
        <f t="array" ref="AV66">IF(ISERROR(index(Res_AllFuels_SEDS_2022_TBtus!$R$3:$R$53,match($A66&amp;AV$65,Res_AllFuels_SEDS_2022_TBtus!$B$3:$B$53&amp;Res_AllFuels_SEDS_2022_TBtus!$A$3:$A$53,0))),0,(index(Res_AllFuels_SEDS_2022_TBtus!$R$3:$R$53,match($A66&amp;AV$65,Res_AllFuels_SEDS_2022_TBtus!$B$3:$B$53&amp;Res_AllFuels_SEDS_2022_TBtus!$A$3:$A$53,0))))</f>
        <v>0</v>
      </c>
      <c r="AW66" s="75">
        <f t="array" ref="AW66">IF(ISERROR(index(Res_AllFuels_SEDS_2022_TBtus!$R$3:$R$53,match($A66&amp;AW$65,Res_AllFuels_SEDS_2022_TBtus!$B$3:$B$53&amp;Res_AllFuels_SEDS_2022_TBtus!$A$3:$A$53,0))),0,(index(Res_AllFuels_SEDS_2022_TBtus!$R$3:$R$53,match($A66&amp;AW$65,Res_AllFuels_SEDS_2022_TBtus!$B$3:$B$53&amp;Res_AllFuels_SEDS_2022_TBtus!$A$3:$A$53,0))))</f>
        <v>0</v>
      </c>
      <c r="AX66" s="75">
        <f t="array" ref="AX66">IF(ISERROR(index(Res_AllFuels_SEDS_2022_TBtus!$R$3:$R$53,match($A66&amp;AX$65,Res_AllFuels_SEDS_2022_TBtus!$B$3:$B$53&amp;Res_AllFuels_SEDS_2022_TBtus!$A$3:$A$53,0))),0,(index(Res_AllFuels_SEDS_2022_TBtus!$R$3:$R$53,match($A66&amp;AX$65,Res_AllFuels_SEDS_2022_TBtus!$B$3:$B$53&amp;Res_AllFuels_SEDS_2022_TBtus!$A$3:$A$53,0))))</f>
        <v>0</v>
      </c>
      <c r="AY66" s="75">
        <f t="array" ref="AY66">IF(ISERROR(index(Res_AllFuels_SEDS_2022_TBtus!$R$3:$R$53,match($A66&amp;AY$65,Res_AllFuels_SEDS_2022_TBtus!$B$3:$B$53&amp;Res_AllFuels_SEDS_2022_TBtus!$A$3:$A$53,0))),0,(index(Res_AllFuels_SEDS_2022_TBtus!$R$3:$R$53,match($A66&amp;AY$65,Res_AllFuels_SEDS_2022_TBtus!$B$3:$B$53&amp;Res_AllFuels_SEDS_2022_TBtus!$A$3:$A$53,0))))</f>
        <v>0</v>
      </c>
      <c r="AZ66" s="75">
        <f t="array" ref="AZ66">IF(ISERROR(index(Res_AllFuels_SEDS_2022_TBtus!$R$3:$R$53,match($A66&amp;AZ$65,Res_AllFuels_SEDS_2022_TBtus!$B$3:$B$53&amp;Res_AllFuels_SEDS_2022_TBtus!$A$3:$A$53,0))),0,(index(Res_AllFuels_SEDS_2022_TBtus!$R$3:$R$53,match($A66&amp;AZ$65,Res_AllFuels_SEDS_2022_TBtus!$B$3:$B$53&amp;Res_AllFuels_SEDS_2022_TBtus!$A$3:$A$53,0))))</f>
        <v>0</v>
      </c>
      <c r="BA66" s="74">
        <f t="shared" ref="BA66:BA75" si="1">sum(B66:AZ66)</f>
        <v>175.6</v>
      </c>
    </row>
    <row r="67" ht="15.75" customHeight="1">
      <c r="A67" s="74">
        <v>2.0</v>
      </c>
      <c r="B67" s="75">
        <f t="array" ref="B67">IF(ISERROR(index(Res_AllFuels_SEDS_2022_TBtus!$R$3:$R$53,match($A67&amp;B$65,Res_AllFuels_SEDS_2022_TBtus!$B$3:$B$53&amp;Res_AllFuels_SEDS_2022_TBtus!$A$3:$A$53,0))),0,(index(Res_AllFuels_SEDS_2022_TBtus!$R$3:$R$53,match($A67&amp;B$65,Res_AllFuels_SEDS_2022_TBtus!$B$3:$B$53&amp;Res_AllFuels_SEDS_2022_TBtus!$A$3:$A$53,0))))</f>
        <v>0</v>
      </c>
      <c r="C67" s="75">
        <f t="array" ref="C67">IF(ISERROR(index(Res_AllFuels_SEDS_2022_TBtus!$R$3:$R$53,match($A67&amp;C$65,Res_AllFuels_SEDS_2022_TBtus!$B$3:$B$53&amp;Res_AllFuels_SEDS_2022_TBtus!$A$3:$A$53,0))),0,(index(Res_AllFuels_SEDS_2022_TBtus!$R$3:$R$53,match($A67&amp;C$65,Res_AllFuels_SEDS_2022_TBtus!$B$3:$B$53&amp;Res_AllFuels_SEDS_2022_TBtus!$A$3:$A$53,0))))</f>
        <v>0</v>
      </c>
      <c r="D67" s="75">
        <f t="array" ref="D67">IF(ISERROR(index(Res_AllFuels_SEDS_2022_TBtus!$R$3:$R$53,match($A67&amp;D$65,Res_AllFuels_SEDS_2022_TBtus!$B$3:$B$53&amp;Res_AllFuels_SEDS_2022_TBtus!$A$3:$A$53,0))),0,(index(Res_AllFuels_SEDS_2022_TBtus!$R$3:$R$53,match($A67&amp;D$65,Res_AllFuels_SEDS_2022_TBtus!$B$3:$B$53&amp;Res_AllFuels_SEDS_2022_TBtus!$A$3:$A$53,0))))</f>
        <v>0</v>
      </c>
      <c r="E67" s="75">
        <f t="array" ref="E67">IF(ISERROR(index(Res_AllFuels_SEDS_2022_TBtus!$R$3:$R$53,match($A67&amp;E$65,Res_AllFuels_SEDS_2022_TBtus!$B$3:$B$53&amp;Res_AllFuels_SEDS_2022_TBtus!$A$3:$A$53,0))),0,(index(Res_AllFuels_SEDS_2022_TBtus!$R$3:$R$53,match($A67&amp;E$65,Res_AllFuels_SEDS_2022_TBtus!$B$3:$B$53&amp;Res_AllFuels_SEDS_2022_TBtus!$A$3:$A$53,0))))</f>
        <v>0</v>
      </c>
      <c r="F67" s="75">
        <f t="array" ref="F67">IF(ISERROR(index(Res_AllFuels_SEDS_2022_TBtus!$R$3:$R$53,match($A67&amp;F$65,Res_AllFuels_SEDS_2022_TBtus!$B$3:$B$53&amp;Res_AllFuels_SEDS_2022_TBtus!$A$3:$A$53,0))),0,(index(Res_AllFuels_SEDS_2022_TBtus!$R$3:$R$53,match($A67&amp;F$65,Res_AllFuels_SEDS_2022_TBtus!$B$3:$B$53&amp;Res_AllFuels_SEDS_2022_TBtus!$A$3:$A$53,0))))</f>
        <v>0</v>
      </c>
      <c r="G67" s="75">
        <f t="array" ref="G67">IF(ISERROR(index(Res_AllFuels_SEDS_2022_TBtus!$R$3:$R$53,match($A67&amp;G$65,Res_AllFuels_SEDS_2022_TBtus!$B$3:$B$53&amp;Res_AllFuels_SEDS_2022_TBtus!$A$3:$A$53,0))),0,(index(Res_AllFuels_SEDS_2022_TBtus!$R$3:$R$53,match($A67&amp;G$65,Res_AllFuels_SEDS_2022_TBtus!$B$3:$B$53&amp;Res_AllFuels_SEDS_2022_TBtus!$A$3:$A$53,0))))</f>
        <v>0</v>
      </c>
      <c r="H67" s="75">
        <f t="array" ref="H67">IF(ISERROR(index(Res_AllFuels_SEDS_2022_TBtus!$R$3:$R$53,match($A67&amp;H$65,Res_AllFuels_SEDS_2022_TBtus!$B$3:$B$53&amp;Res_AllFuels_SEDS_2022_TBtus!$A$3:$A$53,0))),0,(index(Res_AllFuels_SEDS_2022_TBtus!$R$3:$R$53,match($A67&amp;H$65,Res_AllFuels_SEDS_2022_TBtus!$B$3:$B$53&amp;Res_AllFuels_SEDS_2022_TBtus!$A$3:$A$53,0))))</f>
        <v>0</v>
      </c>
      <c r="I67" s="75">
        <f t="array" ref="I67">IF(ISERROR(index(Res_AllFuels_SEDS_2022_TBtus!$R$3:$R$53,match($A67&amp;I$65,Res_AllFuels_SEDS_2022_TBtus!$B$3:$B$53&amp;Res_AllFuels_SEDS_2022_TBtus!$A$3:$A$53,0))),0,(index(Res_AllFuels_SEDS_2022_TBtus!$R$3:$R$53,match($A67&amp;I$65,Res_AllFuels_SEDS_2022_TBtus!$B$3:$B$53&amp;Res_AllFuels_SEDS_2022_TBtus!$A$3:$A$53,0))))</f>
        <v>0</v>
      </c>
      <c r="J67" s="75">
        <f t="array" ref="J67">IF(ISERROR(index(Res_AllFuels_SEDS_2022_TBtus!$R$3:$R$53,match($A67&amp;J$65,Res_AllFuels_SEDS_2022_TBtus!$B$3:$B$53&amp;Res_AllFuels_SEDS_2022_TBtus!$A$3:$A$53,0))),0,(index(Res_AllFuels_SEDS_2022_TBtus!$R$3:$R$53,match($A67&amp;J$65,Res_AllFuels_SEDS_2022_TBtus!$B$3:$B$53&amp;Res_AllFuels_SEDS_2022_TBtus!$A$3:$A$53,0))))</f>
        <v>0</v>
      </c>
      <c r="K67" s="75">
        <f t="array" ref="K67">IF(ISERROR(index(Res_AllFuels_SEDS_2022_TBtus!$R$3:$R$53,match($A67&amp;K$65,Res_AllFuels_SEDS_2022_TBtus!$B$3:$B$53&amp;Res_AllFuels_SEDS_2022_TBtus!$A$3:$A$53,0))),0,(index(Res_AllFuels_SEDS_2022_TBtus!$R$3:$R$53,match($A67&amp;K$65,Res_AllFuels_SEDS_2022_TBtus!$B$3:$B$53&amp;Res_AllFuels_SEDS_2022_TBtus!$A$3:$A$53,0))))</f>
        <v>0</v>
      </c>
      <c r="L67" s="75">
        <f t="array" ref="L67">IF(ISERROR(index(Res_AllFuels_SEDS_2022_TBtus!$R$3:$R$53,match($A67&amp;L$65,Res_AllFuels_SEDS_2022_TBtus!$B$3:$B$53&amp;Res_AllFuels_SEDS_2022_TBtus!$A$3:$A$53,0))),0,(index(Res_AllFuels_SEDS_2022_TBtus!$R$3:$R$53,match($A67&amp;L$65,Res_AllFuels_SEDS_2022_TBtus!$B$3:$B$53&amp;Res_AllFuels_SEDS_2022_TBtus!$A$3:$A$53,0))))</f>
        <v>0</v>
      </c>
      <c r="M67" s="75">
        <f t="array" ref="M67">IF(ISERROR(index(Res_AllFuels_SEDS_2022_TBtus!$R$3:$R$53,match($A67&amp;M$65,Res_AllFuels_SEDS_2022_TBtus!$B$3:$B$53&amp;Res_AllFuels_SEDS_2022_TBtus!$A$3:$A$53,0))),0,(index(Res_AllFuels_SEDS_2022_TBtus!$R$3:$R$53,match($A67&amp;M$65,Res_AllFuels_SEDS_2022_TBtus!$B$3:$B$53&amp;Res_AllFuels_SEDS_2022_TBtus!$A$3:$A$53,0))))</f>
        <v>0</v>
      </c>
      <c r="N67" s="75">
        <f t="array" ref="N67">IF(ISERROR(index(Res_AllFuels_SEDS_2022_TBtus!$R$3:$R$53,match($A67&amp;N$65,Res_AllFuels_SEDS_2022_TBtus!$B$3:$B$53&amp;Res_AllFuels_SEDS_2022_TBtus!$A$3:$A$53,0))),0,(index(Res_AllFuels_SEDS_2022_TBtus!$R$3:$R$53,match($A67&amp;N$65,Res_AllFuels_SEDS_2022_TBtus!$B$3:$B$53&amp;Res_AllFuels_SEDS_2022_TBtus!$A$3:$A$53,0))))</f>
        <v>0</v>
      </c>
      <c r="O67" s="75">
        <f t="array" ref="O67">IF(ISERROR(index(Res_AllFuels_SEDS_2022_TBtus!$R$3:$R$53,match($A67&amp;O$65,Res_AllFuels_SEDS_2022_TBtus!$B$3:$B$53&amp;Res_AllFuels_SEDS_2022_TBtus!$A$3:$A$53,0))),0,(index(Res_AllFuels_SEDS_2022_TBtus!$R$3:$R$53,match($A67&amp;O$65,Res_AllFuels_SEDS_2022_TBtus!$B$3:$B$53&amp;Res_AllFuels_SEDS_2022_TBtus!$A$3:$A$53,0))))</f>
        <v>0</v>
      </c>
      <c r="P67" s="75">
        <f t="array" ref="P67">IF(ISERROR(index(Res_AllFuels_SEDS_2022_TBtus!$R$3:$R$53,match($A67&amp;P$65,Res_AllFuels_SEDS_2022_TBtus!$B$3:$B$53&amp;Res_AllFuels_SEDS_2022_TBtus!$A$3:$A$53,0))),0,(index(Res_AllFuels_SEDS_2022_TBtus!$R$3:$R$53,match($A67&amp;P$65,Res_AllFuels_SEDS_2022_TBtus!$B$3:$B$53&amp;Res_AllFuels_SEDS_2022_TBtus!$A$3:$A$53,0))))</f>
        <v>0</v>
      </c>
      <c r="Q67" s="75">
        <f t="array" ref="Q67">IF(ISERROR(index(Res_AllFuels_SEDS_2022_TBtus!$R$3:$R$53,match($A67&amp;Q$65,Res_AllFuels_SEDS_2022_TBtus!$B$3:$B$53&amp;Res_AllFuels_SEDS_2022_TBtus!$A$3:$A$53,0))),0,(index(Res_AllFuels_SEDS_2022_TBtus!$R$3:$R$53,match($A67&amp;Q$65,Res_AllFuels_SEDS_2022_TBtus!$B$3:$B$53&amp;Res_AllFuels_SEDS_2022_TBtus!$A$3:$A$53,0))))</f>
        <v>0</v>
      </c>
      <c r="R67" s="75">
        <f t="array" ref="R67">IF(ISERROR(index(Res_AllFuels_SEDS_2022_TBtus!$R$3:$R$53,match($A67&amp;R$65,Res_AllFuels_SEDS_2022_TBtus!$B$3:$B$53&amp;Res_AllFuels_SEDS_2022_TBtus!$A$3:$A$53,0))),0,(index(Res_AllFuels_SEDS_2022_TBtus!$R$3:$R$53,match($A67&amp;R$65,Res_AllFuels_SEDS_2022_TBtus!$B$3:$B$53&amp;Res_AllFuels_SEDS_2022_TBtus!$A$3:$A$53,0))))</f>
        <v>0</v>
      </c>
      <c r="S67" s="75">
        <f t="array" ref="S67">IF(ISERROR(index(Res_AllFuels_SEDS_2022_TBtus!$R$3:$R$53,match($A67&amp;S$65,Res_AllFuels_SEDS_2022_TBtus!$B$3:$B$53&amp;Res_AllFuels_SEDS_2022_TBtus!$A$3:$A$53,0))),0,(index(Res_AllFuels_SEDS_2022_TBtus!$R$3:$R$53,match($A67&amp;S$65,Res_AllFuels_SEDS_2022_TBtus!$B$3:$B$53&amp;Res_AllFuels_SEDS_2022_TBtus!$A$3:$A$53,0))))</f>
        <v>0</v>
      </c>
      <c r="T67" s="75">
        <f t="array" ref="T67">IF(ISERROR(index(Res_AllFuels_SEDS_2022_TBtus!$R$3:$R$53,match($A67&amp;T$65,Res_AllFuels_SEDS_2022_TBtus!$B$3:$B$53&amp;Res_AllFuels_SEDS_2022_TBtus!$A$3:$A$53,0))),0,(index(Res_AllFuels_SEDS_2022_TBtus!$R$3:$R$53,match($A67&amp;T$65,Res_AllFuels_SEDS_2022_TBtus!$B$3:$B$53&amp;Res_AllFuels_SEDS_2022_TBtus!$A$3:$A$53,0))))</f>
        <v>0</v>
      </c>
      <c r="U67" s="75">
        <f t="array" ref="U67">IF(ISERROR(index(Res_AllFuels_SEDS_2022_TBtus!$R$3:$R$53,match($A67&amp;U$65,Res_AllFuels_SEDS_2022_TBtus!$B$3:$B$53&amp;Res_AllFuels_SEDS_2022_TBtus!$A$3:$A$53,0))),0,(index(Res_AllFuels_SEDS_2022_TBtus!$R$3:$R$53,match($A67&amp;U$65,Res_AllFuels_SEDS_2022_TBtus!$B$3:$B$53&amp;Res_AllFuels_SEDS_2022_TBtus!$A$3:$A$53,0))))</f>
        <v>0</v>
      </c>
      <c r="V67" s="75">
        <f t="array" ref="V67">IF(ISERROR(index(Res_AllFuels_SEDS_2022_TBtus!$R$3:$R$53,match($A67&amp;V$65,Res_AllFuels_SEDS_2022_TBtus!$B$3:$B$53&amp;Res_AllFuels_SEDS_2022_TBtus!$A$3:$A$53,0))),0,(index(Res_AllFuels_SEDS_2022_TBtus!$R$3:$R$53,match($A67&amp;V$65,Res_AllFuels_SEDS_2022_TBtus!$B$3:$B$53&amp;Res_AllFuels_SEDS_2022_TBtus!$A$3:$A$53,0))))</f>
        <v>0</v>
      </c>
      <c r="W67" s="75">
        <f t="array" ref="W67">IF(ISERROR(index(Res_AllFuels_SEDS_2022_TBtus!$R$3:$R$53,match($A67&amp;W$65,Res_AllFuels_SEDS_2022_TBtus!$B$3:$B$53&amp;Res_AllFuels_SEDS_2022_TBtus!$A$3:$A$53,0))),0,(index(Res_AllFuels_SEDS_2022_TBtus!$R$3:$R$53,match($A67&amp;W$65,Res_AllFuels_SEDS_2022_TBtus!$B$3:$B$53&amp;Res_AllFuels_SEDS_2022_TBtus!$A$3:$A$53,0))))</f>
        <v>0</v>
      </c>
      <c r="X67" s="75">
        <f t="array" ref="X67">IF(ISERROR(index(Res_AllFuels_SEDS_2022_TBtus!$R$3:$R$53,match($A67&amp;X$65,Res_AllFuels_SEDS_2022_TBtus!$B$3:$B$53&amp;Res_AllFuels_SEDS_2022_TBtus!$A$3:$A$53,0))),0,(index(Res_AllFuels_SEDS_2022_TBtus!$R$3:$R$53,match($A67&amp;X$65,Res_AllFuels_SEDS_2022_TBtus!$B$3:$B$53&amp;Res_AllFuels_SEDS_2022_TBtus!$A$3:$A$53,0))))</f>
        <v>0</v>
      </c>
      <c r="Y67" s="75">
        <f t="array" ref="Y67">IF(ISERROR(index(Res_AllFuels_SEDS_2022_TBtus!$R$3:$R$53,match($A67&amp;Y$65,Res_AllFuels_SEDS_2022_TBtus!$B$3:$B$53&amp;Res_AllFuels_SEDS_2022_TBtus!$A$3:$A$53,0))),0,(index(Res_AllFuels_SEDS_2022_TBtus!$R$3:$R$53,match($A67&amp;Y$65,Res_AllFuels_SEDS_2022_TBtus!$B$3:$B$53&amp;Res_AllFuels_SEDS_2022_TBtus!$A$3:$A$53,0))))</f>
        <v>0</v>
      </c>
      <c r="Z67" s="75">
        <f t="array" ref="Z67">IF(ISERROR(index(Res_AllFuels_SEDS_2022_TBtus!$R$3:$R$53,match($A67&amp;Z$65,Res_AllFuels_SEDS_2022_TBtus!$B$3:$B$53&amp;Res_AllFuels_SEDS_2022_TBtus!$A$3:$A$53,0))),0,(index(Res_AllFuels_SEDS_2022_TBtus!$R$3:$R$53,match($A67&amp;Z$65,Res_AllFuels_SEDS_2022_TBtus!$B$3:$B$53&amp;Res_AllFuels_SEDS_2022_TBtus!$A$3:$A$53,0))))</f>
        <v>0</v>
      </c>
      <c r="AA67" s="75">
        <f t="array" ref="AA67">IF(ISERROR(index(Res_AllFuels_SEDS_2022_TBtus!$R$3:$R$53,match($A67&amp;AA$65,Res_AllFuels_SEDS_2022_TBtus!$B$3:$B$53&amp;Res_AllFuels_SEDS_2022_TBtus!$A$3:$A$53,0))),0,(index(Res_AllFuels_SEDS_2022_TBtus!$R$3:$R$53,match($A67&amp;AA$65,Res_AllFuels_SEDS_2022_TBtus!$B$3:$B$53&amp;Res_AllFuels_SEDS_2022_TBtus!$A$3:$A$53,0))))</f>
        <v>0</v>
      </c>
      <c r="AB67" s="75">
        <f t="array" ref="AB67">IF(ISERROR(index(Res_AllFuels_SEDS_2022_TBtus!$R$3:$R$53,match($A67&amp;AB$65,Res_AllFuels_SEDS_2022_TBtus!$B$3:$B$53&amp;Res_AllFuels_SEDS_2022_TBtus!$A$3:$A$53,0))),0,(index(Res_AllFuels_SEDS_2022_TBtus!$R$3:$R$53,match($A67&amp;AB$65,Res_AllFuels_SEDS_2022_TBtus!$B$3:$B$53&amp;Res_AllFuels_SEDS_2022_TBtus!$A$3:$A$53,0))))</f>
        <v>0</v>
      </c>
      <c r="AC67" s="75">
        <f t="array" ref="AC67">IF(ISERROR(index(Res_AllFuels_SEDS_2022_TBtus!$R$3:$R$53,match($A67&amp;AC$65,Res_AllFuels_SEDS_2022_TBtus!$B$3:$B$53&amp;Res_AllFuels_SEDS_2022_TBtus!$A$3:$A$53,0))),0,(index(Res_AllFuels_SEDS_2022_TBtus!$R$3:$R$53,match($A67&amp;AC$65,Res_AllFuels_SEDS_2022_TBtus!$B$3:$B$53&amp;Res_AllFuels_SEDS_2022_TBtus!$A$3:$A$53,0))))</f>
        <v>0</v>
      </c>
      <c r="AD67" s="75">
        <f t="array" ref="AD67">IF(ISERROR(index(Res_AllFuels_SEDS_2022_TBtus!$R$3:$R$53,match($A67&amp;AD$65,Res_AllFuels_SEDS_2022_TBtus!$B$3:$B$53&amp;Res_AllFuels_SEDS_2022_TBtus!$A$3:$A$53,0))),0,(index(Res_AllFuels_SEDS_2022_TBtus!$R$3:$R$53,match($A67&amp;AD$65,Res_AllFuels_SEDS_2022_TBtus!$B$3:$B$53&amp;Res_AllFuels_SEDS_2022_TBtus!$A$3:$A$53,0))))</f>
        <v>0</v>
      </c>
      <c r="AE67" s="75">
        <f t="array" ref="AE67">IF(ISERROR(index(Res_AllFuels_SEDS_2022_TBtus!$R$3:$R$53,match($A67&amp;AE$65,Res_AllFuels_SEDS_2022_TBtus!$B$3:$B$53&amp;Res_AllFuels_SEDS_2022_TBtus!$A$3:$A$53,0))),0,(index(Res_AllFuels_SEDS_2022_TBtus!$R$3:$R$53,match($A67&amp;AE$65,Res_AllFuels_SEDS_2022_TBtus!$B$3:$B$53&amp;Res_AllFuels_SEDS_2022_TBtus!$A$3:$A$53,0))))</f>
        <v>0</v>
      </c>
      <c r="AF67" s="75">
        <f t="array" ref="AF67">IF(ISERROR(index(Res_AllFuels_SEDS_2022_TBtus!$R$3:$R$53,match($A67&amp;AF$65,Res_AllFuels_SEDS_2022_TBtus!$B$3:$B$53&amp;Res_AllFuels_SEDS_2022_TBtus!$A$3:$A$53,0))),0,(index(Res_AllFuels_SEDS_2022_TBtus!$R$3:$R$53,match($A67&amp;AF$65,Res_AllFuels_SEDS_2022_TBtus!$B$3:$B$53&amp;Res_AllFuels_SEDS_2022_TBtus!$A$3:$A$53,0))))</f>
        <v>110.2</v>
      </c>
      <c r="AG67" s="75">
        <f t="array" ref="AG67">IF(ISERROR(index(Res_AllFuels_SEDS_2022_TBtus!$R$3:$R$53,match($A67&amp;AG$65,Res_AllFuels_SEDS_2022_TBtus!$B$3:$B$53&amp;Res_AllFuels_SEDS_2022_TBtus!$A$3:$A$53,0))),0,(index(Res_AllFuels_SEDS_2022_TBtus!$R$3:$R$53,match($A67&amp;AG$65,Res_AllFuels_SEDS_2022_TBtus!$B$3:$B$53&amp;Res_AllFuels_SEDS_2022_TBtus!$A$3:$A$53,0))))</f>
        <v>0</v>
      </c>
      <c r="AH67" s="75">
        <f t="array" ref="AH67">IF(ISERROR(index(Res_AllFuels_SEDS_2022_TBtus!$R$3:$R$53,match($A67&amp;AH$65,Res_AllFuels_SEDS_2022_TBtus!$B$3:$B$53&amp;Res_AllFuels_SEDS_2022_TBtus!$A$3:$A$53,0))),0,(index(Res_AllFuels_SEDS_2022_TBtus!$R$3:$R$53,match($A67&amp;AH$65,Res_AllFuels_SEDS_2022_TBtus!$B$3:$B$53&amp;Res_AllFuels_SEDS_2022_TBtus!$A$3:$A$53,0))))</f>
        <v>185.2</v>
      </c>
      <c r="AI67" s="75">
        <f t="array" ref="AI67">IF(ISERROR(index(Res_AllFuels_SEDS_2022_TBtus!$R$3:$R$53,match($A67&amp;AI$65,Res_AllFuels_SEDS_2022_TBtus!$B$3:$B$53&amp;Res_AllFuels_SEDS_2022_TBtus!$A$3:$A$53,0))),0,(index(Res_AllFuels_SEDS_2022_TBtus!$R$3:$R$53,match($A67&amp;AI$65,Res_AllFuels_SEDS_2022_TBtus!$B$3:$B$53&amp;Res_AllFuels_SEDS_2022_TBtus!$A$3:$A$53,0))))</f>
        <v>0</v>
      </c>
      <c r="AJ67" s="75">
        <f t="array" ref="AJ67">IF(ISERROR(index(Res_AllFuels_SEDS_2022_TBtus!$R$3:$R$53,match($A67&amp;AJ$65,Res_AllFuels_SEDS_2022_TBtus!$B$3:$B$53&amp;Res_AllFuels_SEDS_2022_TBtus!$A$3:$A$53,0))),0,(index(Res_AllFuels_SEDS_2022_TBtus!$R$3:$R$53,match($A67&amp;AJ$65,Res_AllFuels_SEDS_2022_TBtus!$B$3:$B$53&amp;Res_AllFuels_SEDS_2022_TBtus!$A$3:$A$53,0))))</f>
        <v>0</v>
      </c>
      <c r="AK67" s="75">
        <f t="array" ref="AK67">IF(ISERROR(index(Res_AllFuels_SEDS_2022_TBtus!$R$3:$R$53,match($A67&amp;AK$65,Res_AllFuels_SEDS_2022_TBtus!$B$3:$B$53&amp;Res_AllFuels_SEDS_2022_TBtus!$A$3:$A$53,0))),0,(index(Res_AllFuels_SEDS_2022_TBtus!$R$3:$R$53,match($A67&amp;AK$65,Res_AllFuels_SEDS_2022_TBtus!$B$3:$B$53&amp;Res_AllFuels_SEDS_2022_TBtus!$A$3:$A$53,0))))</f>
        <v>0</v>
      </c>
      <c r="AL67" s="75">
        <f t="array" ref="AL67">IF(ISERROR(index(Res_AllFuels_SEDS_2022_TBtus!$R$3:$R$53,match($A67&amp;AL$65,Res_AllFuels_SEDS_2022_TBtus!$B$3:$B$53&amp;Res_AllFuels_SEDS_2022_TBtus!$A$3:$A$53,0))),0,(index(Res_AllFuels_SEDS_2022_TBtus!$R$3:$R$53,match($A67&amp;AL$65,Res_AllFuels_SEDS_2022_TBtus!$B$3:$B$53&amp;Res_AllFuels_SEDS_2022_TBtus!$A$3:$A$53,0))))</f>
        <v>0</v>
      </c>
      <c r="AM67" s="75">
        <f t="array" ref="AM67">IF(ISERROR(index(Res_AllFuels_SEDS_2022_TBtus!$R$3:$R$53,match($A67&amp;AM$65,Res_AllFuels_SEDS_2022_TBtus!$B$3:$B$53&amp;Res_AllFuels_SEDS_2022_TBtus!$A$3:$A$53,0))),0,(index(Res_AllFuels_SEDS_2022_TBtus!$R$3:$R$53,match($A67&amp;AM$65,Res_AllFuels_SEDS_2022_TBtus!$B$3:$B$53&amp;Res_AllFuels_SEDS_2022_TBtus!$A$3:$A$53,0))))</f>
        <v>0</v>
      </c>
      <c r="AN67" s="75">
        <f t="array" ref="AN67">IF(ISERROR(index(Res_AllFuels_SEDS_2022_TBtus!$R$3:$R$53,match($A67&amp;AN$65,Res_AllFuels_SEDS_2022_TBtus!$B$3:$B$53&amp;Res_AllFuels_SEDS_2022_TBtus!$A$3:$A$53,0))),0,(index(Res_AllFuels_SEDS_2022_TBtus!$R$3:$R$53,match($A67&amp;AN$65,Res_AllFuels_SEDS_2022_TBtus!$B$3:$B$53&amp;Res_AllFuels_SEDS_2022_TBtus!$A$3:$A$53,0))))</f>
        <v>196.3</v>
      </c>
      <c r="AO67" s="75">
        <f t="array" ref="AO67">IF(ISERROR(index(Res_AllFuels_SEDS_2022_TBtus!$R$3:$R$53,match($A67&amp;AO$65,Res_AllFuels_SEDS_2022_TBtus!$B$3:$B$53&amp;Res_AllFuels_SEDS_2022_TBtus!$A$3:$A$53,0))),0,(index(Res_AllFuels_SEDS_2022_TBtus!$R$3:$R$53,match($A67&amp;AO$65,Res_AllFuels_SEDS_2022_TBtus!$B$3:$B$53&amp;Res_AllFuels_SEDS_2022_TBtus!$A$3:$A$53,0))))</f>
        <v>0</v>
      </c>
      <c r="AP67" s="75">
        <f t="array" ref="AP67">IF(ISERROR(index(Res_AllFuels_SEDS_2022_TBtus!$R$3:$R$53,match($A67&amp;AP$65,Res_AllFuels_SEDS_2022_TBtus!$B$3:$B$53&amp;Res_AllFuels_SEDS_2022_TBtus!$A$3:$A$53,0))),0,(index(Res_AllFuels_SEDS_2022_TBtus!$R$3:$R$53,match($A67&amp;AP$65,Res_AllFuels_SEDS_2022_TBtus!$B$3:$B$53&amp;Res_AllFuels_SEDS_2022_TBtus!$A$3:$A$53,0))))</f>
        <v>0</v>
      </c>
      <c r="AQ67" s="75">
        <f t="array" ref="AQ67">IF(ISERROR(index(Res_AllFuels_SEDS_2022_TBtus!$R$3:$R$53,match($A67&amp;AQ$65,Res_AllFuels_SEDS_2022_TBtus!$B$3:$B$53&amp;Res_AllFuels_SEDS_2022_TBtus!$A$3:$A$53,0))),0,(index(Res_AllFuels_SEDS_2022_TBtus!$R$3:$R$53,match($A67&amp;AQ$65,Res_AllFuels_SEDS_2022_TBtus!$B$3:$B$53&amp;Res_AllFuels_SEDS_2022_TBtus!$A$3:$A$53,0))))</f>
        <v>0</v>
      </c>
      <c r="AR67" s="75">
        <f t="array" ref="AR67">IF(ISERROR(index(Res_AllFuels_SEDS_2022_TBtus!$R$3:$R$53,match($A67&amp;AR$65,Res_AllFuels_SEDS_2022_TBtus!$B$3:$B$53&amp;Res_AllFuels_SEDS_2022_TBtus!$A$3:$A$53,0))),0,(index(Res_AllFuels_SEDS_2022_TBtus!$R$3:$R$53,match($A67&amp;AR$65,Res_AllFuels_SEDS_2022_TBtus!$B$3:$B$53&amp;Res_AllFuels_SEDS_2022_TBtus!$A$3:$A$53,0))))</f>
        <v>0</v>
      </c>
      <c r="AS67" s="75">
        <f t="array" ref="AS67">IF(ISERROR(index(Res_AllFuels_SEDS_2022_TBtus!$R$3:$R$53,match($A67&amp;AS$65,Res_AllFuels_SEDS_2022_TBtus!$B$3:$B$53&amp;Res_AllFuels_SEDS_2022_TBtus!$A$3:$A$53,0))),0,(index(Res_AllFuels_SEDS_2022_TBtus!$R$3:$R$53,match($A67&amp;AS$65,Res_AllFuels_SEDS_2022_TBtus!$B$3:$B$53&amp;Res_AllFuels_SEDS_2022_TBtus!$A$3:$A$53,0))))</f>
        <v>0</v>
      </c>
      <c r="AT67" s="75">
        <f t="array" ref="AT67">IF(ISERROR(index(Res_AllFuels_SEDS_2022_TBtus!$R$3:$R$53,match($A67&amp;AT$65,Res_AllFuels_SEDS_2022_TBtus!$B$3:$B$53&amp;Res_AllFuels_SEDS_2022_TBtus!$A$3:$A$53,0))),0,(index(Res_AllFuels_SEDS_2022_TBtus!$R$3:$R$53,match($A67&amp;AT$65,Res_AllFuels_SEDS_2022_TBtus!$B$3:$B$53&amp;Res_AllFuels_SEDS_2022_TBtus!$A$3:$A$53,0))))</f>
        <v>0</v>
      </c>
      <c r="AU67" s="75">
        <f t="array" ref="AU67">IF(ISERROR(index(Res_AllFuels_SEDS_2022_TBtus!$R$3:$R$53,match($A67&amp;AU$65,Res_AllFuels_SEDS_2022_TBtus!$B$3:$B$53&amp;Res_AllFuels_SEDS_2022_TBtus!$A$3:$A$53,0))),0,(index(Res_AllFuels_SEDS_2022_TBtus!$R$3:$R$53,match($A67&amp;AU$65,Res_AllFuels_SEDS_2022_TBtus!$B$3:$B$53&amp;Res_AllFuels_SEDS_2022_TBtus!$A$3:$A$53,0))))</f>
        <v>0</v>
      </c>
      <c r="AV67" s="75">
        <f t="array" ref="AV67">IF(ISERROR(index(Res_AllFuels_SEDS_2022_TBtus!$R$3:$R$53,match($A67&amp;AV$65,Res_AllFuels_SEDS_2022_TBtus!$B$3:$B$53&amp;Res_AllFuels_SEDS_2022_TBtus!$A$3:$A$53,0))),0,(index(Res_AllFuels_SEDS_2022_TBtus!$R$3:$R$53,match($A67&amp;AV$65,Res_AllFuels_SEDS_2022_TBtus!$B$3:$B$53&amp;Res_AllFuels_SEDS_2022_TBtus!$A$3:$A$53,0))))</f>
        <v>0</v>
      </c>
      <c r="AW67" s="75">
        <f t="array" ref="AW67">IF(ISERROR(index(Res_AllFuels_SEDS_2022_TBtus!$R$3:$R$53,match($A67&amp;AW$65,Res_AllFuels_SEDS_2022_TBtus!$B$3:$B$53&amp;Res_AllFuels_SEDS_2022_TBtus!$A$3:$A$53,0))),0,(index(Res_AllFuels_SEDS_2022_TBtus!$R$3:$R$53,match($A67&amp;AW$65,Res_AllFuels_SEDS_2022_TBtus!$B$3:$B$53&amp;Res_AllFuels_SEDS_2022_TBtus!$A$3:$A$53,0))))</f>
        <v>0</v>
      </c>
      <c r="AX67" s="75">
        <f t="array" ref="AX67">IF(ISERROR(index(Res_AllFuels_SEDS_2022_TBtus!$R$3:$R$53,match($A67&amp;AX$65,Res_AllFuels_SEDS_2022_TBtus!$B$3:$B$53&amp;Res_AllFuels_SEDS_2022_TBtus!$A$3:$A$53,0))),0,(index(Res_AllFuels_SEDS_2022_TBtus!$R$3:$R$53,match($A67&amp;AX$65,Res_AllFuels_SEDS_2022_TBtus!$B$3:$B$53&amp;Res_AllFuels_SEDS_2022_TBtus!$A$3:$A$53,0))))</f>
        <v>0</v>
      </c>
      <c r="AY67" s="75">
        <f t="array" ref="AY67">IF(ISERROR(index(Res_AllFuels_SEDS_2022_TBtus!$R$3:$R$53,match($A67&amp;AY$65,Res_AllFuels_SEDS_2022_TBtus!$B$3:$B$53&amp;Res_AllFuels_SEDS_2022_TBtus!$A$3:$A$53,0))),0,(index(Res_AllFuels_SEDS_2022_TBtus!$R$3:$R$53,match($A67&amp;AY$65,Res_AllFuels_SEDS_2022_TBtus!$B$3:$B$53&amp;Res_AllFuels_SEDS_2022_TBtus!$A$3:$A$53,0))))</f>
        <v>0</v>
      </c>
      <c r="AZ67" s="75">
        <f t="array" ref="AZ67">IF(ISERROR(index(Res_AllFuels_SEDS_2022_TBtus!$R$3:$R$53,match($A67&amp;AZ$65,Res_AllFuels_SEDS_2022_TBtus!$B$3:$B$53&amp;Res_AllFuels_SEDS_2022_TBtus!$A$3:$A$53,0))),0,(index(Res_AllFuels_SEDS_2022_TBtus!$R$3:$R$53,match($A67&amp;AZ$65,Res_AllFuels_SEDS_2022_TBtus!$B$3:$B$53&amp;Res_AllFuels_SEDS_2022_TBtus!$A$3:$A$53,0))))</f>
        <v>0</v>
      </c>
      <c r="BA67" s="74">
        <f t="shared" si="1"/>
        <v>491.7</v>
      </c>
    </row>
    <row r="68" ht="15.75" customHeight="1">
      <c r="A68" s="74">
        <v>3.0</v>
      </c>
      <c r="B68" s="75">
        <f t="array" ref="B68">IF(ISERROR(index(Res_AllFuels_SEDS_2022_TBtus!$R$3:$R$53,match($A68&amp;B$65,Res_AllFuels_SEDS_2022_TBtus!$B$3:$B$53&amp;Res_AllFuels_SEDS_2022_TBtus!$A$3:$A$53,0))),0,(index(Res_AllFuels_SEDS_2022_TBtus!$R$3:$R$53,match($A68&amp;B$65,Res_AllFuels_SEDS_2022_TBtus!$B$3:$B$53&amp;Res_AllFuels_SEDS_2022_TBtus!$A$3:$A$53,0))))</f>
        <v>0</v>
      </c>
      <c r="C68" s="75">
        <f t="array" ref="C68">IF(ISERROR(index(Res_AllFuels_SEDS_2022_TBtus!$R$3:$R$53,match($A68&amp;C$65,Res_AllFuels_SEDS_2022_TBtus!$B$3:$B$53&amp;Res_AllFuels_SEDS_2022_TBtus!$A$3:$A$53,0))),0,(index(Res_AllFuels_SEDS_2022_TBtus!$R$3:$R$53,match($A68&amp;C$65,Res_AllFuels_SEDS_2022_TBtus!$B$3:$B$53&amp;Res_AllFuels_SEDS_2022_TBtus!$A$3:$A$53,0))))</f>
        <v>0</v>
      </c>
      <c r="D68" s="75">
        <f t="array" ref="D68">IF(ISERROR(index(Res_AllFuels_SEDS_2022_TBtus!$R$3:$R$53,match($A68&amp;D$65,Res_AllFuels_SEDS_2022_TBtus!$B$3:$B$53&amp;Res_AllFuels_SEDS_2022_TBtus!$A$3:$A$53,0))),0,(index(Res_AllFuels_SEDS_2022_TBtus!$R$3:$R$53,match($A68&amp;D$65,Res_AllFuels_SEDS_2022_TBtus!$B$3:$B$53&amp;Res_AllFuels_SEDS_2022_TBtus!$A$3:$A$53,0))))</f>
        <v>0</v>
      </c>
      <c r="E68" s="75">
        <f t="array" ref="E68">IF(ISERROR(index(Res_AllFuels_SEDS_2022_TBtus!$R$3:$R$53,match($A68&amp;E$65,Res_AllFuels_SEDS_2022_TBtus!$B$3:$B$53&amp;Res_AllFuels_SEDS_2022_TBtus!$A$3:$A$53,0))),0,(index(Res_AllFuels_SEDS_2022_TBtus!$R$3:$R$53,match($A68&amp;E$65,Res_AllFuels_SEDS_2022_TBtus!$B$3:$B$53&amp;Res_AllFuels_SEDS_2022_TBtus!$A$3:$A$53,0))))</f>
        <v>0</v>
      </c>
      <c r="F68" s="75">
        <f t="array" ref="F68">IF(ISERROR(index(Res_AllFuels_SEDS_2022_TBtus!$R$3:$R$53,match($A68&amp;F$65,Res_AllFuels_SEDS_2022_TBtus!$B$3:$B$53&amp;Res_AllFuels_SEDS_2022_TBtus!$A$3:$A$53,0))),0,(index(Res_AllFuels_SEDS_2022_TBtus!$R$3:$R$53,match($A68&amp;F$65,Res_AllFuels_SEDS_2022_TBtus!$B$3:$B$53&amp;Res_AllFuels_SEDS_2022_TBtus!$A$3:$A$53,0))))</f>
        <v>0</v>
      </c>
      <c r="G68" s="75">
        <f t="array" ref="G68">IF(ISERROR(index(Res_AllFuels_SEDS_2022_TBtus!$R$3:$R$53,match($A68&amp;G$65,Res_AllFuels_SEDS_2022_TBtus!$B$3:$B$53&amp;Res_AllFuels_SEDS_2022_TBtus!$A$3:$A$53,0))),0,(index(Res_AllFuels_SEDS_2022_TBtus!$R$3:$R$53,match($A68&amp;G$65,Res_AllFuels_SEDS_2022_TBtus!$B$3:$B$53&amp;Res_AllFuels_SEDS_2022_TBtus!$A$3:$A$53,0))))</f>
        <v>0</v>
      </c>
      <c r="H68" s="75">
        <f t="array" ref="H68">IF(ISERROR(index(Res_AllFuels_SEDS_2022_TBtus!$R$3:$R$53,match($A68&amp;H$65,Res_AllFuels_SEDS_2022_TBtus!$B$3:$B$53&amp;Res_AllFuels_SEDS_2022_TBtus!$A$3:$A$53,0))),0,(index(Res_AllFuels_SEDS_2022_TBtus!$R$3:$R$53,match($A68&amp;H$65,Res_AllFuels_SEDS_2022_TBtus!$B$3:$B$53&amp;Res_AllFuels_SEDS_2022_TBtus!$A$3:$A$53,0))))</f>
        <v>0</v>
      </c>
      <c r="I68" s="75">
        <f t="array" ref="I68">IF(ISERROR(index(Res_AllFuels_SEDS_2022_TBtus!$R$3:$R$53,match($A68&amp;I$65,Res_AllFuels_SEDS_2022_TBtus!$B$3:$B$53&amp;Res_AllFuels_SEDS_2022_TBtus!$A$3:$A$53,0))),0,(index(Res_AllFuels_SEDS_2022_TBtus!$R$3:$R$53,match($A68&amp;I$65,Res_AllFuels_SEDS_2022_TBtus!$B$3:$B$53&amp;Res_AllFuels_SEDS_2022_TBtus!$A$3:$A$53,0))))</f>
        <v>0</v>
      </c>
      <c r="J68" s="75">
        <f t="array" ref="J68">IF(ISERROR(index(Res_AllFuels_SEDS_2022_TBtus!$R$3:$R$53,match($A68&amp;J$65,Res_AllFuels_SEDS_2022_TBtus!$B$3:$B$53&amp;Res_AllFuels_SEDS_2022_TBtus!$A$3:$A$53,0))),0,(index(Res_AllFuels_SEDS_2022_TBtus!$R$3:$R$53,match($A68&amp;J$65,Res_AllFuels_SEDS_2022_TBtus!$B$3:$B$53&amp;Res_AllFuels_SEDS_2022_TBtus!$A$3:$A$53,0))))</f>
        <v>0</v>
      </c>
      <c r="K68" s="75">
        <f t="array" ref="K68">IF(ISERROR(index(Res_AllFuels_SEDS_2022_TBtus!$R$3:$R$53,match($A68&amp;K$65,Res_AllFuels_SEDS_2022_TBtus!$B$3:$B$53&amp;Res_AllFuels_SEDS_2022_TBtus!$A$3:$A$53,0))),0,(index(Res_AllFuels_SEDS_2022_TBtus!$R$3:$R$53,match($A68&amp;K$65,Res_AllFuels_SEDS_2022_TBtus!$B$3:$B$53&amp;Res_AllFuels_SEDS_2022_TBtus!$A$3:$A$53,0))))</f>
        <v>0</v>
      </c>
      <c r="L68" s="75">
        <f t="array" ref="L68">IF(ISERROR(index(Res_AllFuels_SEDS_2022_TBtus!$R$3:$R$53,match($A68&amp;L$65,Res_AllFuels_SEDS_2022_TBtus!$B$3:$B$53&amp;Res_AllFuels_SEDS_2022_TBtus!$A$3:$A$53,0))),0,(index(Res_AllFuels_SEDS_2022_TBtus!$R$3:$R$53,match($A68&amp;L$65,Res_AllFuels_SEDS_2022_TBtus!$B$3:$B$53&amp;Res_AllFuels_SEDS_2022_TBtus!$A$3:$A$53,0))))</f>
        <v>0</v>
      </c>
      <c r="M68" s="75">
        <f t="array" ref="M68">IF(ISERROR(index(Res_AllFuels_SEDS_2022_TBtus!$R$3:$R$53,match($A68&amp;M$65,Res_AllFuels_SEDS_2022_TBtus!$B$3:$B$53&amp;Res_AllFuels_SEDS_2022_TBtus!$A$3:$A$53,0))),0,(index(Res_AllFuels_SEDS_2022_TBtus!$R$3:$R$53,match($A68&amp;M$65,Res_AllFuels_SEDS_2022_TBtus!$B$3:$B$53&amp;Res_AllFuels_SEDS_2022_TBtus!$A$3:$A$53,0))))</f>
        <v>0</v>
      </c>
      <c r="N68" s="75">
        <f t="array" ref="N68">IF(ISERROR(index(Res_AllFuels_SEDS_2022_TBtus!$R$3:$R$53,match($A68&amp;N$65,Res_AllFuels_SEDS_2022_TBtus!$B$3:$B$53&amp;Res_AllFuels_SEDS_2022_TBtus!$A$3:$A$53,0))),0,(index(Res_AllFuels_SEDS_2022_TBtus!$R$3:$R$53,match($A68&amp;N$65,Res_AllFuels_SEDS_2022_TBtus!$B$3:$B$53&amp;Res_AllFuels_SEDS_2022_TBtus!$A$3:$A$53,0))))</f>
        <v>0</v>
      </c>
      <c r="O68" s="75">
        <f t="array" ref="O68">IF(ISERROR(index(Res_AllFuels_SEDS_2022_TBtus!$R$3:$R$53,match($A68&amp;O$65,Res_AllFuels_SEDS_2022_TBtus!$B$3:$B$53&amp;Res_AllFuels_SEDS_2022_TBtus!$A$3:$A$53,0))),0,(index(Res_AllFuels_SEDS_2022_TBtus!$R$3:$R$53,match($A68&amp;O$65,Res_AllFuels_SEDS_2022_TBtus!$B$3:$B$53&amp;Res_AllFuels_SEDS_2022_TBtus!$A$3:$A$53,0))))</f>
        <v>163.5</v>
      </c>
      <c r="P68" s="75">
        <f t="array" ref="P68">IF(ISERROR(index(Res_AllFuels_SEDS_2022_TBtus!$R$3:$R$53,match($A68&amp;P$65,Res_AllFuels_SEDS_2022_TBtus!$B$3:$B$53&amp;Res_AllFuels_SEDS_2022_TBtus!$A$3:$A$53,0))),0,(index(Res_AllFuels_SEDS_2022_TBtus!$R$3:$R$53,match($A68&amp;P$65,Res_AllFuels_SEDS_2022_TBtus!$B$3:$B$53&amp;Res_AllFuels_SEDS_2022_TBtus!$A$3:$A$53,0))))</f>
        <v>120.5</v>
      </c>
      <c r="Q68" s="75">
        <f t="array" ref="Q68">IF(ISERROR(index(Res_AllFuels_SEDS_2022_TBtus!$R$3:$R$53,match($A68&amp;Q$65,Res_AllFuels_SEDS_2022_TBtus!$B$3:$B$53&amp;Res_AllFuels_SEDS_2022_TBtus!$A$3:$A$53,0))),0,(index(Res_AllFuels_SEDS_2022_TBtus!$R$3:$R$53,match($A68&amp;Q$65,Res_AllFuels_SEDS_2022_TBtus!$B$3:$B$53&amp;Res_AllFuels_SEDS_2022_TBtus!$A$3:$A$53,0))))</f>
        <v>0</v>
      </c>
      <c r="R68" s="75">
        <f t="array" ref="R68">IF(ISERROR(index(Res_AllFuels_SEDS_2022_TBtus!$R$3:$R$53,match($A68&amp;R$65,Res_AllFuels_SEDS_2022_TBtus!$B$3:$B$53&amp;Res_AllFuels_SEDS_2022_TBtus!$A$3:$A$53,0))),0,(index(Res_AllFuels_SEDS_2022_TBtus!$R$3:$R$53,match($A68&amp;R$65,Res_AllFuels_SEDS_2022_TBtus!$B$3:$B$53&amp;Res_AllFuels_SEDS_2022_TBtus!$A$3:$A$53,0))))</f>
        <v>0</v>
      </c>
      <c r="S68" s="75">
        <f t="array" ref="S68">IF(ISERROR(index(Res_AllFuels_SEDS_2022_TBtus!$R$3:$R$53,match($A68&amp;S$65,Res_AllFuels_SEDS_2022_TBtus!$B$3:$B$53&amp;Res_AllFuels_SEDS_2022_TBtus!$A$3:$A$53,0))),0,(index(Res_AllFuels_SEDS_2022_TBtus!$R$3:$R$53,match($A68&amp;S$65,Res_AllFuels_SEDS_2022_TBtus!$B$3:$B$53&amp;Res_AllFuels_SEDS_2022_TBtus!$A$3:$A$53,0))))</f>
        <v>0</v>
      </c>
      <c r="T68" s="75">
        <f t="array" ref="T68">IF(ISERROR(index(Res_AllFuels_SEDS_2022_TBtus!$R$3:$R$53,match($A68&amp;T$65,Res_AllFuels_SEDS_2022_TBtus!$B$3:$B$53&amp;Res_AllFuels_SEDS_2022_TBtus!$A$3:$A$53,0))),0,(index(Res_AllFuels_SEDS_2022_TBtus!$R$3:$R$53,match($A68&amp;T$65,Res_AllFuels_SEDS_2022_TBtus!$B$3:$B$53&amp;Res_AllFuels_SEDS_2022_TBtus!$A$3:$A$53,0))))</f>
        <v>0</v>
      </c>
      <c r="U68" s="75">
        <f t="array" ref="U68">IF(ISERROR(index(Res_AllFuels_SEDS_2022_TBtus!$R$3:$R$53,match($A68&amp;U$65,Res_AllFuels_SEDS_2022_TBtus!$B$3:$B$53&amp;Res_AllFuels_SEDS_2022_TBtus!$A$3:$A$53,0))),0,(index(Res_AllFuels_SEDS_2022_TBtus!$R$3:$R$53,match($A68&amp;U$65,Res_AllFuels_SEDS_2022_TBtus!$B$3:$B$53&amp;Res_AllFuels_SEDS_2022_TBtus!$A$3:$A$53,0))))</f>
        <v>0</v>
      </c>
      <c r="V68" s="75">
        <f t="array" ref="V68">IF(ISERROR(index(Res_AllFuels_SEDS_2022_TBtus!$R$3:$R$53,match($A68&amp;V$65,Res_AllFuels_SEDS_2022_TBtus!$B$3:$B$53&amp;Res_AllFuels_SEDS_2022_TBtus!$A$3:$A$53,0))),0,(index(Res_AllFuels_SEDS_2022_TBtus!$R$3:$R$53,match($A68&amp;V$65,Res_AllFuels_SEDS_2022_TBtus!$B$3:$B$53&amp;Res_AllFuels_SEDS_2022_TBtus!$A$3:$A$53,0))))</f>
        <v>0</v>
      </c>
      <c r="W68" s="75">
        <f t="array" ref="W68">IF(ISERROR(index(Res_AllFuels_SEDS_2022_TBtus!$R$3:$R$53,match($A68&amp;W$65,Res_AllFuels_SEDS_2022_TBtus!$B$3:$B$53&amp;Res_AllFuels_SEDS_2022_TBtus!$A$3:$A$53,0))),0,(index(Res_AllFuels_SEDS_2022_TBtus!$R$3:$R$53,match($A68&amp;W$65,Res_AllFuels_SEDS_2022_TBtus!$B$3:$B$53&amp;Res_AllFuels_SEDS_2022_TBtus!$A$3:$A$53,0))))</f>
        <v>0</v>
      </c>
      <c r="X68" s="75">
        <f t="array" ref="X68">IF(ISERROR(index(Res_AllFuels_SEDS_2022_TBtus!$R$3:$R$53,match($A68&amp;X$65,Res_AllFuels_SEDS_2022_TBtus!$B$3:$B$53&amp;Res_AllFuels_SEDS_2022_TBtus!$A$3:$A$53,0))),0,(index(Res_AllFuels_SEDS_2022_TBtus!$R$3:$R$53,match($A68&amp;X$65,Res_AllFuels_SEDS_2022_TBtus!$B$3:$B$53&amp;Res_AllFuels_SEDS_2022_TBtus!$A$3:$A$53,0))))</f>
        <v>124.8</v>
      </c>
      <c r="Y68" s="75">
        <f t="array" ref="Y68">IF(ISERROR(index(Res_AllFuels_SEDS_2022_TBtus!$R$3:$R$53,match($A68&amp;Y$65,Res_AllFuels_SEDS_2022_TBtus!$B$3:$B$53&amp;Res_AllFuels_SEDS_2022_TBtus!$A$3:$A$53,0))),0,(index(Res_AllFuels_SEDS_2022_TBtus!$R$3:$R$53,match($A68&amp;Y$65,Res_AllFuels_SEDS_2022_TBtus!$B$3:$B$53&amp;Res_AllFuels_SEDS_2022_TBtus!$A$3:$A$53,0))))</f>
        <v>0</v>
      </c>
      <c r="Z68" s="75">
        <f t="array" ref="Z68">IF(ISERROR(index(Res_AllFuels_SEDS_2022_TBtus!$R$3:$R$53,match($A68&amp;Z$65,Res_AllFuels_SEDS_2022_TBtus!$B$3:$B$53&amp;Res_AllFuels_SEDS_2022_TBtus!$A$3:$A$53,0))),0,(index(Res_AllFuels_SEDS_2022_TBtus!$R$3:$R$53,match($A68&amp;Z$65,Res_AllFuels_SEDS_2022_TBtus!$B$3:$B$53&amp;Res_AllFuels_SEDS_2022_TBtus!$A$3:$A$53,0))))</f>
        <v>0</v>
      </c>
      <c r="AA68" s="75">
        <f t="array" ref="AA68">IF(ISERROR(index(Res_AllFuels_SEDS_2022_TBtus!$R$3:$R$53,match($A68&amp;AA$65,Res_AllFuels_SEDS_2022_TBtus!$B$3:$B$53&amp;Res_AllFuels_SEDS_2022_TBtus!$A$3:$A$53,0))),0,(index(Res_AllFuels_SEDS_2022_TBtus!$R$3:$R$53,match($A68&amp;AA$65,Res_AllFuels_SEDS_2022_TBtus!$B$3:$B$53&amp;Res_AllFuels_SEDS_2022_TBtus!$A$3:$A$53,0))))</f>
        <v>0</v>
      </c>
      <c r="AB68" s="75">
        <f t="array" ref="AB68">IF(ISERROR(index(Res_AllFuels_SEDS_2022_TBtus!$R$3:$R$53,match($A68&amp;AB$65,Res_AllFuels_SEDS_2022_TBtus!$B$3:$B$53&amp;Res_AllFuels_SEDS_2022_TBtus!$A$3:$A$53,0))),0,(index(Res_AllFuels_SEDS_2022_TBtus!$R$3:$R$53,match($A68&amp;AB$65,Res_AllFuels_SEDS_2022_TBtus!$B$3:$B$53&amp;Res_AllFuels_SEDS_2022_TBtus!$A$3:$A$53,0))))</f>
        <v>0</v>
      </c>
      <c r="AC68" s="75">
        <f t="array" ref="AC68">IF(ISERROR(index(Res_AllFuels_SEDS_2022_TBtus!$R$3:$R$53,match($A68&amp;AC$65,Res_AllFuels_SEDS_2022_TBtus!$B$3:$B$53&amp;Res_AllFuels_SEDS_2022_TBtus!$A$3:$A$53,0))),0,(index(Res_AllFuels_SEDS_2022_TBtus!$R$3:$R$53,match($A68&amp;AC$65,Res_AllFuels_SEDS_2022_TBtus!$B$3:$B$53&amp;Res_AllFuels_SEDS_2022_TBtus!$A$3:$A$53,0))))</f>
        <v>0</v>
      </c>
      <c r="AD68" s="75">
        <f t="array" ref="AD68">IF(ISERROR(index(Res_AllFuels_SEDS_2022_TBtus!$R$3:$R$53,match($A68&amp;AD$65,Res_AllFuels_SEDS_2022_TBtus!$B$3:$B$53&amp;Res_AllFuels_SEDS_2022_TBtus!$A$3:$A$53,0))),0,(index(Res_AllFuels_SEDS_2022_TBtus!$R$3:$R$53,match($A68&amp;AD$65,Res_AllFuels_SEDS_2022_TBtus!$B$3:$B$53&amp;Res_AllFuels_SEDS_2022_TBtus!$A$3:$A$53,0))))</f>
        <v>0</v>
      </c>
      <c r="AE68" s="75">
        <f t="array" ref="AE68">IF(ISERROR(index(Res_AllFuels_SEDS_2022_TBtus!$R$3:$R$53,match($A68&amp;AE$65,Res_AllFuels_SEDS_2022_TBtus!$B$3:$B$53&amp;Res_AllFuels_SEDS_2022_TBtus!$A$3:$A$53,0))),0,(index(Res_AllFuels_SEDS_2022_TBtus!$R$3:$R$53,match($A68&amp;AE$65,Res_AllFuels_SEDS_2022_TBtus!$B$3:$B$53&amp;Res_AllFuels_SEDS_2022_TBtus!$A$3:$A$53,0))))</f>
        <v>0</v>
      </c>
      <c r="AF68" s="75">
        <f t="array" ref="AF68">IF(ISERROR(index(Res_AllFuels_SEDS_2022_TBtus!$R$3:$R$53,match($A68&amp;AF$65,Res_AllFuels_SEDS_2022_TBtus!$B$3:$B$53&amp;Res_AllFuels_SEDS_2022_TBtus!$A$3:$A$53,0))),0,(index(Res_AllFuels_SEDS_2022_TBtus!$R$3:$R$53,match($A68&amp;AF$65,Res_AllFuels_SEDS_2022_TBtus!$B$3:$B$53&amp;Res_AllFuels_SEDS_2022_TBtus!$A$3:$A$53,0))))</f>
        <v>0</v>
      </c>
      <c r="AG68" s="75">
        <f t="array" ref="AG68">IF(ISERROR(index(Res_AllFuels_SEDS_2022_TBtus!$R$3:$R$53,match($A68&amp;AG$65,Res_AllFuels_SEDS_2022_TBtus!$B$3:$B$53&amp;Res_AllFuels_SEDS_2022_TBtus!$A$3:$A$53,0))),0,(index(Res_AllFuels_SEDS_2022_TBtus!$R$3:$R$53,match($A68&amp;AG$65,Res_AllFuels_SEDS_2022_TBtus!$B$3:$B$53&amp;Res_AllFuels_SEDS_2022_TBtus!$A$3:$A$53,0))))</f>
        <v>0</v>
      </c>
      <c r="AH68" s="75">
        <f t="array" ref="AH68">IF(ISERROR(index(Res_AllFuels_SEDS_2022_TBtus!$R$3:$R$53,match($A68&amp;AH$65,Res_AllFuels_SEDS_2022_TBtus!$B$3:$B$53&amp;Res_AllFuels_SEDS_2022_TBtus!$A$3:$A$53,0))),0,(index(Res_AllFuels_SEDS_2022_TBtus!$R$3:$R$53,match($A68&amp;AH$65,Res_AllFuels_SEDS_2022_TBtus!$B$3:$B$53&amp;Res_AllFuels_SEDS_2022_TBtus!$A$3:$A$53,0))))</f>
        <v>0</v>
      </c>
      <c r="AI68" s="75">
        <f t="array" ref="AI68">IF(ISERROR(index(Res_AllFuels_SEDS_2022_TBtus!$R$3:$R$53,match($A68&amp;AI$65,Res_AllFuels_SEDS_2022_TBtus!$B$3:$B$53&amp;Res_AllFuels_SEDS_2022_TBtus!$A$3:$A$53,0))),0,(index(Res_AllFuels_SEDS_2022_TBtus!$R$3:$R$53,match($A68&amp;AI$65,Res_AllFuels_SEDS_2022_TBtus!$B$3:$B$53&amp;Res_AllFuels_SEDS_2022_TBtus!$A$3:$A$53,0))))</f>
        <v>0</v>
      </c>
      <c r="AJ68" s="75">
        <f t="array" ref="AJ68">IF(ISERROR(index(Res_AllFuels_SEDS_2022_TBtus!$R$3:$R$53,match($A68&amp;AJ$65,Res_AllFuels_SEDS_2022_TBtus!$B$3:$B$53&amp;Res_AllFuels_SEDS_2022_TBtus!$A$3:$A$53,0))),0,(index(Res_AllFuels_SEDS_2022_TBtus!$R$3:$R$53,match($A68&amp;AJ$65,Res_AllFuels_SEDS_2022_TBtus!$B$3:$B$53&amp;Res_AllFuels_SEDS_2022_TBtus!$A$3:$A$53,0))))</f>
        <v>0</v>
      </c>
      <c r="AK68" s="75">
        <f t="array" ref="AK68">IF(ISERROR(index(Res_AllFuels_SEDS_2022_TBtus!$R$3:$R$53,match($A68&amp;AK$65,Res_AllFuels_SEDS_2022_TBtus!$B$3:$B$53&amp;Res_AllFuels_SEDS_2022_TBtus!$A$3:$A$53,0))),0,(index(Res_AllFuels_SEDS_2022_TBtus!$R$3:$R$53,match($A68&amp;AK$65,Res_AllFuels_SEDS_2022_TBtus!$B$3:$B$53&amp;Res_AllFuels_SEDS_2022_TBtus!$A$3:$A$53,0))))</f>
        <v>185.3</v>
      </c>
      <c r="AL68" s="75">
        <f t="array" ref="AL68">IF(ISERROR(index(Res_AllFuels_SEDS_2022_TBtus!$R$3:$R$53,match($A68&amp;AL$65,Res_AllFuels_SEDS_2022_TBtus!$B$3:$B$53&amp;Res_AllFuels_SEDS_2022_TBtus!$A$3:$A$53,0))),0,(index(Res_AllFuels_SEDS_2022_TBtus!$R$3:$R$53,match($A68&amp;AL$65,Res_AllFuels_SEDS_2022_TBtus!$B$3:$B$53&amp;Res_AllFuels_SEDS_2022_TBtus!$A$3:$A$53,0))))</f>
        <v>0</v>
      </c>
      <c r="AM68" s="75">
        <f t="array" ref="AM68">IF(ISERROR(index(Res_AllFuels_SEDS_2022_TBtus!$R$3:$R$53,match($A68&amp;AM$65,Res_AllFuels_SEDS_2022_TBtus!$B$3:$B$53&amp;Res_AllFuels_SEDS_2022_TBtus!$A$3:$A$53,0))),0,(index(Res_AllFuels_SEDS_2022_TBtus!$R$3:$R$53,match($A68&amp;AM$65,Res_AllFuels_SEDS_2022_TBtus!$B$3:$B$53&amp;Res_AllFuels_SEDS_2022_TBtus!$A$3:$A$53,0))))</f>
        <v>0</v>
      </c>
      <c r="AN68" s="75">
        <f t="array" ref="AN68">IF(ISERROR(index(Res_AllFuels_SEDS_2022_TBtus!$R$3:$R$53,match($A68&amp;AN$65,Res_AllFuels_SEDS_2022_TBtus!$B$3:$B$53&amp;Res_AllFuels_SEDS_2022_TBtus!$A$3:$A$53,0))),0,(index(Res_AllFuels_SEDS_2022_TBtus!$R$3:$R$53,match($A68&amp;AN$65,Res_AllFuels_SEDS_2022_TBtus!$B$3:$B$53&amp;Res_AllFuels_SEDS_2022_TBtus!$A$3:$A$53,0))))</f>
        <v>0</v>
      </c>
      <c r="AO68" s="75">
        <f t="array" ref="AO68">IF(ISERROR(index(Res_AllFuels_SEDS_2022_TBtus!$R$3:$R$53,match($A68&amp;AO$65,Res_AllFuels_SEDS_2022_TBtus!$B$3:$B$53&amp;Res_AllFuels_SEDS_2022_TBtus!$A$3:$A$53,0))),0,(index(Res_AllFuels_SEDS_2022_TBtus!$R$3:$R$53,match($A68&amp;AO$65,Res_AllFuels_SEDS_2022_TBtus!$B$3:$B$53&amp;Res_AllFuels_SEDS_2022_TBtus!$A$3:$A$53,0))))</f>
        <v>0</v>
      </c>
      <c r="AP68" s="75">
        <f t="array" ref="AP68">IF(ISERROR(index(Res_AllFuels_SEDS_2022_TBtus!$R$3:$R$53,match($A68&amp;AP$65,Res_AllFuels_SEDS_2022_TBtus!$B$3:$B$53&amp;Res_AllFuels_SEDS_2022_TBtus!$A$3:$A$53,0))),0,(index(Res_AllFuels_SEDS_2022_TBtus!$R$3:$R$53,match($A68&amp;AP$65,Res_AllFuels_SEDS_2022_TBtus!$B$3:$B$53&amp;Res_AllFuels_SEDS_2022_TBtus!$A$3:$A$53,0))))</f>
        <v>0</v>
      </c>
      <c r="AQ68" s="75">
        <f t="array" ref="AQ68">IF(ISERROR(index(Res_AllFuels_SEDS_2022_TBtus!$R$3:$R$53,match($A68&amp;AQ$65,Res_AllFuels_SEDS_2022_TBtus!$B$3:$B$53&amp;Res_AllFuels_SEDS_2022_TBtus!$A$3:$A$53,0))),0,(index(Res_AllFuels_SEDS_2022_TBtus!$R$3:$R$53,match($A68&amp;AQ$65,Res_AllFuels_SEDS_2022_TBtus!$B$3:$B$53&amp;Res_AllFuels_SEDS_2022_TBtus!$A$3:$A$53,0))))</f>
        <v>0</v>
      </c>
      <c r="AR68" s="75">
        <f t="array" ref="AR68">IF(ISERROR(index(Res_AllFuels_SEDS_2022_TBtus!$R$3:$R$53,match($A68&amp;AR$65,Res_AllFuels_SEDS_2022_TBtus!$B$3:$B$53&amp;Res_AllFuels_SEDS_2022_TBtus!$A$3:$A$53,0))),0,(index(Res_AllFuels_SEDS_2022_TBtus!$R$3:$R$53,match($A68&amp;AR$65,Res_AllFuels_SEDS_2022_TBtus!$B$3:$B$53&amp;Res_AllFuels_SEDS_2022_TBtus!$A$3:$A$53,0))))</f>
        <v>0</v>
      </c>
      <c r="AS68" s="75">
        <f t="array" ref="AS68">IF(ISERROR(index(Res_AllFuels_SEDS_2022_TBtus!$R$3:$R$53,match($A68&amp;AS$65,Res_AllFuels_SEDS_2022_TBtus!$B$3:$B$53&amp;Res_AllFuels_SEDS_2022_TBtus!$A$3:$A$53,0))),0,(index(Res_AllFuels_SEDS_2022_TBtus!$R$3:$R$53,match($A68&amp;AS$65,Res_AllFuels_SEDS_2022_TBtus!$B$3:$B$53&amp;Res_AllFuels_SEDS_2022_TBtus!$A$3:$A$53,0))))</f>
        <v>0</v>
      </c>
      <c r="AT68" s="75">
        <f t="array" ref="AT68">IF(ISERROR(index(Res_AllFuels_SEDS_2022_TBtus!$R$3:$R$53,match($A68&amp;AT$65,Res_AllFuels_SEDS_2022_TBtus!$B$3:$B$53&amp;Res_AllFuels_SEDS_2022_TBtus!$A$3:$A$53,0))),0,(index(Res_AllFuels_SEDS_2022_TBtus!$R$3:$R$53,match($A68&amp;AT$65,Res_AllFuels_SEDS_2022_TBtus!$B$3:$B$53&amp;Res_AllFuels_SEDS_2022_TBtus!$A$3:$A$53,0))))</f>
        <v>0</v>
      </c>
      <c r="AU68" s="75">
        <f t="array" ref="AU68">IF(ISERROR(index(Res_AllFuels_SEDS_2022_TBtus!$R$3:$R$53,match($A68&amp;AU$65,Res_AllFuels_SEDS_2022_TBtus!$B$3:$B$53&amp;Res_AllFuels_SEDS_2022_TBtus!$A$3:$A$53,0))),0,(index(Res_AllFuels_SEDS_2022_TBtus!$R$3:$R$53,match($A68&amp;AU$65,Res_AllFuels_SEDS_2022_TBtus!$B$3:$B$53&amp;Res_AllFuels_SEDS_2022_TBtus!$A$3:$A$53,0))))</f>
        <v>0</v>
      </c>
      <c r="AV68" s="75">
        <f t="array" ref="AV68">IF(ISERROR(index(Res_AllFuels_SEDS_2022_TBtus!$R$3:$R$53,match($A68&amp;AV$65,Res_AllFuels_SEDS_2022_TBtus!$B$3:$B$53&amp;Res_AllFuels_SEDS_2022_TBtus!$A$3:$A$53,0))),0,(index(Res_AllFuels_SEDS_2022_TBtus!$R$3:$R$53,match($A68&amp;AV$65,Res_AllFuels_SEDS_2022_TBtus!$B$3:$B$53&amp;Res_AllFuels_SEDS_2022_TBtus!$A$3:$A$53,0))))</f>
        <v>0</v>
      </c>
      <c r="AW68" s="75">
        <f t="array" ref="AW68">IF(ISERROR(index(Res_AllFuels_SEDS_2022_TBtus!$R$3:$R$53,match($A68&amp;AW$65,Res_AllFuels_SEDS_2022_TBtus!$B$3:$B$53&amp;Res_AllFuels_SEDS_2022_TBtus!$A$3:$A$53,0))),0,(index(Res_AllFuels_SEDS_2022_TBtus!$R$3:$R$53,match($A68&amp;AW$65,Res_AllFuels_SEDS_2022_TBtus!$B$3:$B$53&amp;Res_AllFuels_SEDS_2022_TBtus!$A$3:$A$53,0))))</f>
        <v>0</v>
      </c>
      <c r="AX68" s="75">
        <f t="array" ref="AX68">IF(ISERROR(index(Res_AllFuels_SEDS_2022_TBtus!$R$3:$R$53,match($A68&amp;AX$65,Res_AllFuels_SEDS_2022_TBtus!$B$3:$B$53&amp;Res_AllFuels_SEDS_2022_TBtus!$A$3:$A$53,0))),0,(index(Res_AllFuels_SEDS_2022_TBtus!$R$3:$R$53,match($A68&amp;AX$65,Res_AllFuels_SEDS_2022_TBtus!$B$3:$B$53&amp;Res_AllFuels_SEDS_2022_TBtus!$A$3:$A$53,0))))</f>
        <v>0</v>
      </c>
      <c r="AY68" s="75">
        <f t="array" ref="AY68">IF(ISERROR(index(Res_AllFuels_SEDS_2022_TBtus!$R$3:$R$53,match($A68&amp;AY$65,Res_AllFuels_SEDS_2022_TBtus!$B$3:$B$53&amp;Res_AllFuels_SEDS_2022_TBtus!$A$3:$A$53,0))),0,(index(Res_AllFuels_SEDS_2022_TBtus!$R$3:$R$53,match($A68&amp;AY$65,Res_AllFuels_SEDS_2022_TBtus!$B$3:$B$53&amp;Res_AllFuels_SEDS_2022_TBtus!$A$3:$A$53,0))))</f>
        <v>79.3</v>
      </c>
      <c r="AZ68" s="75">
        <f t="array" ref="AZ68">IF(ISERROR(index(Res_AllFuels_SEDS_2022_TBtus!$R$3:$R$53,match($A68&amp;AZ$65,Res_AllFuels_SEDS_2022_TBtus!$B$3:$B$53&amp;Res_AllFuels_SEDS_2022_TBtus!$A$3:$A$53,0))),0,(index(Res_AllFuels_SEDS_2022_TBtus!$R$3:$R$53,match($A68&amp;AZ$65,Res_AllFuels_SEDS_2022_TBtus!$B$3:$B$53&amp;Res_AllFuels_SEDS_2022_TBtus!$A$3:$A$53,0))))</f>
        <v>0</v>
      </c>
      <c r="BA68" s="74">
        <f t="shared" si="1"/>
        <v>673.4</v>
      </c>
    </row>
    <row r="69" ht="15.75" customHeight="1">
      <c r="A69" s="74">
        <v>4.0</v>
      </c>
      <c r="B69" s="75">
        <f t="array" ref="B69">IF(ISERROR(index(Res_AllFuels_SEDS_2022_TBtus!$R$3:$R$53,match($A69&amp;B$65,Res_AllFuels_SEDS_2022_TBtus!$B$3:$B$53&amp;Res_AllFuels_SEDS_2022_TBtus!$A$3:$A$53,0))),0,(index(Res_AllFuels_SEDS_2022_TBtus!$R$3:$R$53,match($A69&amp;B$65,Res_AllFuels_SEDS_2022_TBtus!$B$3:$B$53&amp;Res_AllFuels_SEDS_2022_TBtus!$A$3:$A$53,0))))</f>
        <v>0</v>
      </c>
      <c r="C69" s="75">
        <f t="array" ref="C69">IF(ISERROR(index(Res_AllFuels_SEDS_2022_TBtus!$R$3:$R$53,match($A69&amp;C$65,Res_AllFuels_SEDS_2022_TBtus!$B$3:$B$53&amp;Res_AllFuels_SEDS_2022_TBtus!$A$3:$A$53,0))),0,(index(Res_AllFuels_SEDS_2022_TBtus!$R$3:$R$53,match($A69&amp;C$65,Res_AllFuels_SEDS_2022_TBtus!$B$3:$B$53&amp;Res_AllFuels_SEDS_2022_TBtus!$A$3:$A$53,0))))</f>
        <v>0</v>
      </c>
      <c r="D69" s="75">
        <f t="array" ref="D69">IF(ISERROR(index(Res_AllFuels_SEDS_2022_TBtus!$R$3:$R$53,match($A69&amp;D$65,Res_AllFuels_SEDS_2022_TBtus!$B$3:$B$53&amp;Res_AllFuels_SEDS_2022_TBtus!$A$3:$A$53,0))),0,(index(Res_AllFuels_SEDS_2022_TBtus!$R$3:$R$53,match($A69&amp;D$65,Res_AllFuels_SEDS_2022_TBtus!$B$3:$B$53&amp;Res_AllFuels_SEDS_2022_TBtus!$A$3:$A$53,0))))</f>
        <v>0</v>
      </c>
      <c r="E69" s="75">
        <f t="array" ref="E69">IF(ISERROR(index(Res_AllFuels_SEDS_2022_TBtus!$R$3:$R$53,match($A69&amp;E$65,Res_AllFuels_SEDS_2022_TBtus!$B$3:$B$53&amp;Res_AllFuels_SEDS_2022_TBtus!$A$3:$A$53,0))),0,(index(Res_AllFuels_SEDS_2022_TBtus!$R$3:$R$53,match($A69&amp;E$65,Res_AllFuels_SEDS_2022_TBtus!$B$3:$B$53&amp;Res_AllFuels_SEDS_2022_TBtus!$A$3:$A$53,0))))</f>
        <v>0</v>
      </c>
      <c r="F69" s="75">
        <f t="array" ref="F69">IF(ISERROR(index(Res_AllFuels_SEDS_2022_TBtus!$R$3:$R$53,match($A69&amp;F$65,Res_AllFuels_SEDS_2022_TBtus!$B$3:$B$53&amp;Res_AllFuels_SEDS_2022_TBtus!$A$3:$A$53,0))),0,(index(Res_AllFuels_SEDS_2022_TBtus!$R$3:$R$53,match($A69&amp;F$65,Res_AllFuels_SEDS_2022_TBtus!$B$3:$B$53&amp;Res_AllFuels_SEDS_2022_TBtus!$A$3:$A$53,0))))</f>
        <v>0</v>
      </c>
      <c r="G69" s="75">
        <f t="array" ref="G69">IF(ISERROR(index(Res_AllFuels_SEDS_2022_TBtus!$R$3:$R$53,match($A69&amp;G$65,Res_AllFuels_SEDS_2022_TBtus!$B$3:$B$53&amp;Res_AllFuels_SEDS_2022_TBtus!$A$3:$A$53,0))),0,(index(Res_AllFuels_SEDS_2022_TBtus!$R$3:$R$53,match($A69&amp;G$65,Res_AllFuels_SEDS_2022_TBtus!$B$3:$B$53&amp;Res_AllFuels_SEDS_2022_TBtus!$A$3:$A$53,0))))</f>
        <v>0</v>
      </c>
      <c r="H69" s="75">
        <f t="array" ref="H69">IF(ISERROR(index(Res_AllFuels_SEDS_2022_TBtus!$R$3:$R$53,match($A69&amp;H$65,Res_AllFuels_SEDS_2022_TBtus!$B$3:$B$53&amp;Res_AllFuels_SEDS_2022_TBtus!$A$3:$A$53,0))),0,(index(Res_AllFuels_SEDS_2022_TBtus!$R$3:$R$53,match($A69&amp;H$65,Res_AllFuels_SEDS_2022_TBtus!$B$3:$B$53&amp;Res_AllFuels_SEDS_2022_TBtus!$A$3:$A$53,0))))</f>
        <v>0</v>
      </c>
      <c r="I69" s="75">
        <f t="array" ref="I69">IF(ISERROR(index(Res_AllFuels_SEDS_2022_TBtus!$R$3:$R$53,match($A69&amp;I$65,Res_AllFuels_SEDS_2022_TBtus!$B$3:$B$53&amp;Res_AllFuels_SEDS_2022_TBtus!$A$3:$A$53,0))),0,(index(Res_AllFuels_SEDS_2022_TBtus!$R$3:$R$53,match($A69&amp;I$65,Res_AllFuels_SEDS_2022_TBtus!$B$3:$B$53&amp;Res_AllFuels_SEDS_2022_TBtus!$A$3:$A$53,0))))</f>
        <v>0</v>
      </c>
      <c r="J69" s="75">
        <f t="array" ref="J69">IF(ISERROR(index(Res_AllFuels_SEDS_2022_TBtus!$R$3:$R$53,match($A69&amp;J$65,Res_AllFuels_SEDS_2022_TBtus!$B$3:$B$53&amp;Res_AllFuels_SEDS_2022_TBtus!$A$3:$A$53,0))),0,(index(Res_AllFuels_SEDS_2022_TBtus!$R$3:$R$53,match($A69&amp;J$65,Res_AllFuels_SEDS_2022_TBtus!$B$3:$B$53&amp;Res_AllFuels_SEDS_2022_TBtus!$A$3:$A$53,0))))</f>
        <v>0</v>
      </c>
      <c r="K69" s="75">
        <f t="array" ref="K69">IF(ISERROR(index(Res_AllFuels_SEDS_2022_TBtus!$R$3:$R$53,match($A69&amp;K$65,Res_AllFuels_SEDS_2022_TBtus!$B$3:$B$53&amp;Res_AllFuels_SEDS_2022_TBtus!$A$3:$A$53,0))),0,(index(Res_AllFuels_SEDS_2022_TBtus!$R$3:$R$53,match($A69&amp;K$65,Res_AllFuels_SEDS_2022_TBtus!$B$3:$B$53&amp;Res_AllFuels_SEDS_2022_TBtus!$A$3:$A$53,0))))</f>
        <v>0</v>
      </c>
      <c r="L69" s="75">
        <f t="array" ref="L69">IF(ISERROR(index(Res_AllFuels_SEDS_2022_TBtus!$R$3:$R$53,match($A69&amp;L$65,Res_AllFuels_SEDS_2022_TBtus!$B$3:$B$53&amp;Res_AllFuels_SEDS_2022_TBtus!$A$3:$A$53,0))),0,(index(Res_AllFuels_SEDS_2022_TBtus!$R$3:$R$53,match($A69&amp;L$65,Res_AllFuels_SEDS_2022_TBtus!$B$3:$B$53&amp;Res_AllFuels_SEDS_2022_TBtus!$A$3:$A$53,0))))</f>
        <v>0</v>
      </c>
      <c r="M69" s="75">
        <f t="array" ref="M69">IF(ISERROR(index(Res_AllFuels_SEDS_2022_TBtus!$R$3:$R$53,match($A69&amp;M$65,Res_AllFuels_SEDS_2022_TBtus!$B$3:$B$53&amp;Res_AllFuels_SEDS_2022_TBtus!$A$3:$A$53,0))),0,(index(Res_AllFuels_SEDS_2022_TBtus!$R$3:$R$53,match($A69&amp;M$65,Res_AllFuels_SEDS_2022_TBtus!$B$3:$B$53&amp;Res_AllFuels_SEDS_2022_TBtus!$A$3:$A$53,0))))</f>
        <v>0</v>
      </c>
      <c r="N69" s="75">
        <f t="array" ref="N69">IF(ISERROR(index(Res_AllFuels_SEDS_2022_TBtus!$R$3:$R$53,match($A69&amp;N$65,Res_AllFuels_SEDS_2022_TBtus!$B$3:$B$53&amp;Res_AllFuels_SEDS_2022_TBtus!$A$3:$A$53,0))),0,(index(Res_AllFuels_SEDS_2022_TBtus!$R$3:$R$53,match($A69&amp;N$65,Res_AllFuels_SEDS_2022_TBtus!$B$3:$B$53&amp;Res_AllFuels_SEDS_2022_TBtus!$A$3:$A$53,0))))</f>
        <v>0</v>
      </c>
      <c r="O69" s="75">
        <f t="array" ref="O69">IF(ISERROR(index(Res_AllFuels_SEDS_2022_TBtus!$R$3:$R$53,match($A69&amp;O$65,Res_AllFuels_SEDS_2022_TBtus!$B$3:$B$53&amp;Res_AllFuels_SEDS_2022_TBtus!$A$3:$A$53,0))),0,(index(Res_AllFuels_SEDS_2022_TBtus!$R$3:$R$53,match($A69&amp;O$65,Res_AllFuels_SEDS_2022_TBtus!$B$3:$B$53&amp;Res_AllFuels_SEDS_2022_TBtus!$A$3:$A$53,0))))</f>
        <v>0</v>
      </c>
      <c r="P69" s="75">
        <f t="array" ref="P69">IF(ISERROR(index(Res_AllFuels_SEDS_2022_TBtus!$R$3:$R$53,match($A69&amp;P$65,Res_AllFuels_SEDS_2022_TBtus!$B$3:$B$53&amp;Res_AllFuels_SEDS_2022_TBtus!$A$3:$A$53,0))),0,(index(Res_AllFuels_SEDS_2022_TBtus!$R$3:$R$53,match($A69&amp;P$65,Res_AllFuels_SEDS_2022_TBtus!$B$3:$B$53&amp;Res_AllFuels_SEDS_2022_TBtus!$A$3:$A$53,0))))</f>
        <v>0</v>
      </c>
      <c r="Q69" s="75">
        <f t="array" ref="Q69">IF(ISERROR(index(Res_AllFuels_SEDS_2022_TBtus!$R$3:$R$53,match($A69&amp;Q$65,Res_AllFuels_SEDS_2022_TBtus!$B$3:$B$53&amp;Res_AllFuels_SEDS_2022_TBtus!$A$3:$A$53,0))),0,(index(Res_AllFuels_SEDS_2022_TBtus!$R$3:$R$53,match($A69&amp;Q$65,Res_AllFuels_SEDS_2022_TBtus!$B$3:$B$53&amp;Res_AllFuels_SEDS_2022_TBtus!$A$3:$A$53,0))))</f>
        <v>52.8</v>
      </c>
      <c r="R69" s="75">
        <f t="array" ref="R69">IF(ISERROR(index(Res_AllFuels_SEDS_2022_TBtus!$R$3:$R$53,match($A69&amp;R$65,Res_AllFuels_SEDS_2022_TBtus!$B$3:$B$53&amp;Res_AllFuels_SEDS_2022_TBtus!$A$3:$A$53,0))),0,(index(Res_AllFuels_SEDS_2022_TBtus!$R$3:$R$53,match($A69&amp;R$65,Res_AllFuels_SEDS_2022_TBtus!$B$3:$B$53&amp;Res_AllFuels_SEDS_2022_TBtus!$A$3:$A$53,0))))</f>
        <v>49.8</v>
      </c>
      <c r="S69" s="75">
        <f t="array" ref="S69">IF(ISERROR(index(Res_AllFuels_SEDS_2022_TBtus!$R$3:$R$53,match($A69&amp;S$65,Res_AllFuels_SEDS_2022_TBtus!$B$3:$B$53&amp;Res_AllFuels_SEDS_2022_TBtus!$A$3:$A$53,0))),0,(index(Res_AllFuels_SEDS_2022_TBtus!$R$3:$R$53,match($A69&amp;S$65,Res_AllFuels_SEDS_2022_TBtus!$B$3:$B$53&amp;Res_AllFuels_SEDS_2022_TBtus!$A$3:$A$53,0))))</f>
        <v>0</v>
      </c>
      <c r="T69" s="75">
        <f t="array" ref="T69">IF(ISERROR(index(Res_AllFuels_SEDS_2022_TBtus!$R$3:$R$53,match($A69&amp;T$65,Res_AllFuels_SEDS_2022_TBtus!$B$3:$B$53&amp;Res_AllFuels_SEDS_2022_TBtus!$A$3:$A$53,0))),0,(index(Res_AllFuels_SEDS_2022_TBtus!$R$3:$R$53,match($A69&amp;T$65,Res_AllFuels_SEDS_2022_TBtus!$B$3:$B$53&amp;Res_AllFuels_SEDS_2022_TBtus!$A$3:$A$53,0))))</f>
        <v>0</v>
      </c>
      <c r="U69" s="75">
        <f t="array" ref="U69">IF(ISERROR(index(Res_AllFuels_SEDS_2022_TBtus!$R$3:$R$53,match($A69&amp;U$65,Res_AllFuels_SEDS_2022_TBtus!$B$3:$B$53&amp;Res_AllFuels_SEDS_2022_TBtus!$A$3:$A$53,0))),0,(index(Res_AllFuels_SEDS_2022_TBtus!$R$3:$R$53,match($A69&amp;U$65,Res_AllFuels_SEDS_2022_TBtus!$B$3:$B$53&amp;Res_AllFuels_SEDS_2022_TBtus!$A$3:$A$53,0))))</f>
        <v>0</v>
      </c>
      <c r="V69" s="75">
        <f t="array" ref="V69">IF(ISERROR(index(Res_AllFuels_SEDS_2022_TBtus!$R$3:$R$53,match($A69&amp;V$65,Res_AllFuels_SEDS_2022_TBtus!$B$3:$B$53&amp;Res_AllFuels_SEDS_2022_TBtus!$A$3:$A$53,0))),0,(index(Res_AllFuels_SEDS_2022_TBtus!$R$3:$R$53,match($A69&amp;V$65,Res_AllFuels_SEDS_2022_TBtus!$B$3:$B$53&amp;Res_AllFuels_SEDS_2022_TBtus!$A$3:$A$53,0))))</f>
        <v>0</v>
      </c>
      <c r="W69" s="75">
        <f t="array" ref="W69">IF(ISERROR(index(Res_AllFuels_SEDS_2022_TBtus!$R$3:$R$53,match($A69&amp;W$65,Res_AllFuels_SEDS_2022_TBtus!$B$3:$B$53&amp;Res_AllFuels_SEDS_2022_TBtus!$A$3:$A$53,0))),0,(index(Res_AllFuels_SEDS_2022_TBtus!$R$3:$R$53,match($A69&amp;W$65,Res_AllFuels_SEDS_2022_TBtus!$B$3:$B$53&amp;Res_AllFuels_SEDS_2022_TBtus!$A$3:$A$53,0))))</f>
        <v>0</v>
      </c>
      <c r="X69" s="75">
        <f t="array" ref="X69">IF(ISERROR(index(Res_AllFuels_SEDS_2022_TBtus!$R$3:$R$53,match($A69&amp;X$65,Res_AllFuels_SEDS_2022_TBtus!$B$3:$B$53&amp;Res_AllFuels_SEDS_2022_TBtus!$A$3:$A$53,0))),0,(index(Res_AllFuels_SEDS_2022_TBtus!$R$3:$R$53,match($A69&amp;X$65,Res_AllFuels_SEDS_2022_TBtus!$B$3:$B$53&amp;Res_AllFuels_SEDS_2022_TBtus!$A$3:$A$53,0))))</f>
        <v>0</v>
      </c>
      <c r="Y69" s="75">
        <f t="array" ref="Y69">IF(ISERROR(index(Res_AllFuels_SEDS_2022_TBtus!$R$3:$R$53,match($A69&amp;Y$65,Res_AllFuels_SEDS_2022_TBtus!$B$3:$B$53&amp;Res_AllFuels_SEDS_2022_TBtus!$A$3:$A$53,0))),0,(index(Res_AllFuels_SEDS_2022_TBtus!$R$3:$R$53,match($A69&amp;Y$65,Res_AllFuels_SEDS_2022_TBtus!$B$3:$B$53&amp;Res_AllFuels_SEDS_2022_TBtus!$A$3:$A$53,0))))</f>
        <v>81.7</v>
      </c>
      <c r="Z69" s="75">
        <f t="array" ref="Z69">IF(ISERROR(index(Res_AllFuels_SEDS_2022_TBtus!$R$3:$R$53,match($A69&amp;Z$65,Res_AllFuels_SEDS_2022_TBtus!$B$3:$B$53&amp;Res_AllFuels_SEDS_2022_TBtus!$A$3:$A$53,0))),0,(index(Res_AllFuels_SEDS_2022_TBtus!$R$3:$R$53,match($A69&amp;Z$65,Res_AllFuels_SEDS_2022_TBtus!$B$3:$B$53&amp;Res_AllFuels_SEDS_2022_TBtus!$A$3:$A$53,0))))</f>
        <v>0</v>
      </c>
      <c r="AA69" s="75">
        <f t="array" ref="AA69">IF(ISERROR(index(Res_AllFuels_SEDS_2022_TBtus!$R$3:$R$53,match($A69&amp;AA$65,Res_AllFuels_SEDS_2022_TBtus!$B$3:$B$53&amp;Res_AllFuels_SEDS_2022_TBtus!$A$3:$A$53,0))),0,(index(Res_AllFuels_SEDS_2022_TBtus!$R$3:$R$53,match($A69&amp;AA$65,Res_AllFuels_SEDS_2022_TBtus!$B$3:$B$53&amp;Res_AllFuels_SEDS_2022_TBtus!$A$3:$A$53,0))))</f>
        <v>128.7</v>
      </c>
      <c r="AB69" s="75">
        <f t="array" ref="AB69">IF(ISERROR(index(Res_AllFuels_SEDS_2022_TBtus!$R$3:$R$53,match($A69&amp;AB$65,Res_AllFuels_SEDS_2022_TBtus!$B$3:$B$53&amp;Res_AllFuels_SEDS_2022_TBtus!$A$3:$A$53,0))),0,(index(Res_AllFuels_SEDS_2022_TBtus!$R$3:$R$53,match($A69&amp;AB$65,Res_AllFuels_SEDS_2022_TBtus!$B$3:$B$53&amp;Res_AllFuels_SEDS_2022_TBtus!$A$3:$A$53,0))))</f>
        <v>0</v>
      </c>
      <c r="AC69" s="75">
        <f t="array" ref="AC69">IF(ISERROR(index(Res_AllFuels_SEDS_2022_TBtus!$R$3:$R$53,match($A69&amp;AC$65,Res_AllFuels_SEDS_2022_TBtus!$B$3:$B$53&amp;Res_AllFuels_SEDS_2022_TBtus!$A$3:$A$53,0))),0,(index(Res_AllFuels_SEDS_2022_TBtus!$R$3:$R$53,match($A69&amp;AC$65,Res_AllFuels_SEDS_2022_TBtus!$B$3:$B$53&amp;Res_AllFuels_SEDS_2022_TBtus!$A$3:$A$53,0))))</f>
        <v>38.1</v>
      </c>
      <c r="AD69" s="75">
        <f t="array" ref="AD69">IF(ISERROR(index(Res_AllFuels_SEDS_2022_TBtus!$R$3:$R$53,match($A69&amp;AD$65,Res_AllFuels_SEDS_2022_TBtus!$B$3:$B$53&amp;Res_AllFuels_SEDS_2022_TBtus!$A$3:$A$53,0))),0,(index(Res_AllFuels_SEDS_2022_TBtus!$R$3:$R$53,match($A69&amp;AD$65,Res_AllFuels_SEDS_2022_TBtus!$B$3:$B$53&amp;Res_AllFuels_SEDS_2022_TBtus!$A$3:$A$53,0))))</f>
        <v>0</v>
      </c>
      <c r="AE69" s="75">
        <f t="array" ref="AE69">IF(ISERROR(index(Res_AllFuels_SEDS_2022_TBtus!$R$3:$R$53,match($A69&amp;AE$65,Res_AllFuels_SEDS_2022_TBtus!$B$3:$B$53&amp;Res_AllFuels_SEDS_2022_TBtus!$A$3:$A$53,0))),0,(index(Res_AllFuels_SEDS_2022_TBtus!$R$3:$R$53,match($A69&amp;AE$65,Res_AllFuels_SEDS_2022_TBtus!$B$3:$B$53&amp;Res_AllFuels_SEDS_2022_TBtus!$A$3:$A$53,0))))</f>
        <v>0</v>
      </c>
      <c r="AF69" s="75">
        <f t="array" ref="AF69">IF(ISERROR(index(Res_AllFuels_SEDS_2022_TBtus!$R$3:$R$53,match($A69&amp;AF$65,Res_AllFuels_SEDS_2022_TBtus!$B$3:$B$53&amp;Res_AllFuels_SEDS_2022_TBtus!$A$3:$A$53,0))),0,(index(Res_AllFuels_SEDS_2022_TBtus!$R$3:$R$53,match($A69&amp;AF$65,Res_AllFuels_SEDS_2022_TBtus!$B$3:$B$53&amp;Res_AllFuels_SEDS_2022_TBtus!$A$3:$A$53,0))))</f>
        <v>0</v>
      </c>
      <c r="AG69" s="75">
        <f t="array" ref="AG69">IF(ISERROR(index(Res_AllFuels_SEDS_2022_TBtus!$R$3:$R$53,match($A69&amp;AG$65,Res_AllFuels_SEDS_2022_TBtus!$B$3:$B$53&amp;Res_AllFuels_SEDS_2022_TBtus!$A$3:$A$53,0))),0,(index(Res_AllFuels_SEDS_2022_TBtus!$R$3:$R$53,match($A69&amp;AG$65,Res_AllFuels_SEDS_2022_TBtus!$B$3:$B$53&amp;Res_AllFuels_SEDS_2022_TBtus!$A$3:$A$53,0))))</f>
        <v>0</v>
      </c>
      <c r="AH69" s="75">
        <f t="array" ref="AH69">IF(ISERROR(index(Res_AllFuels_SEDS_2022_TBtus!$R$3:$R$53,match($A69&amp;AH$65,Res_AllFuels_SEDS_2022_TBtus!$B$3:$B$53&amp;Res_AllFuels_SEDS_2022_TBtus!$A$3:$A$53,0))),0,(index(Res_AllFuels_SEDS_2022_TBtus!$R$3:$R$53,match($A69&amp;AH$65,Res_AllFuels_SEDS_2022_TBtus!$B$3:$B$53&amp;Res_AllFuels_SEDS_2022_TBtus!$A$3:$A$53,0))))</f>
        <v>0</v>
      </c>
      <c r="AI69" s="75">
        <f t="array" ref="AI69">IF(ISERROR(index(Res_AllFuels_SEDS_2022_TBtus!$R$3:$R$53,match($A69&amp;AI$65,Res_AllFuels_SEDS_2022_TBtus!$B$3:$B$53&amp;Res_AllFuels_SEDS_2022_TBtus!$A$3:$A$53,0))),0,(index(Res_AllFuels_SEDS_2022_TBtus!$R$3:$R$53,match($A69&amp;AI$65,Res_AllFuels_SEDS_2022_TBtus!$B$3:$B$53&amp;Res_AllFuels_SEDS_2022_TBtus!$A$3:$A$53,0))))</f>
        <v>0</v>
      </c>
      <c r="AJ69" s="75">
        <f t="array" ref="AJ69">IF(ISERROR(index(Res_AllFuels_SEDS_2022_TBtus!$R$3:$R$53,match($A69&amp;AJ$65,Res_AllFuels_SEDS_2022_TBtus!$B$3:$B$53&amp;Res_AllFuels_SEDS_2022_TBtus!$A$3:$A$53,0))),0,(index(Res_AllFuels_SEDS_2022_TBtus!$R$3:$R$53,match($A69&amp;AJ$65,Res_AllFuels_SEDS_2022_TBtus!$B$3:$B$53&amp;Res_AllFuels_SEDS_2022_TBtus!$A$3:$A$53,0))))</f>
        <v>18.5</v>
      </c>
      <c r="AK69" s="75">
        <f t="array" ref="AK69">IF(ISERROR(index(Res_AllFuels_SEDS_2022_TBtus!$R$3:$R$53,match($A69&amp;AK$65,Res_AllFuels_SEDS_2022_TBtus!$B$3:$B$53&amp;Res_AllFuels_SEDS_2022_TBtus!$A$3:$A$53,0))),0,(index(Res_AllFuels_SEDS_2022_TBtus!$R$3:$R$53,match($A69&amp;AK$65,Res_AllFuels_SEDS_2022_TBtus!$B$3:$B$53&amp;Res_AllFuels_SEDS_2022_TBtus!$A$3:$A$53,0))))</f>
        <v>0</v>
      </c>
      <c r="AL69" s="75">
        <f t="array" ref="AL69">IF(ISERROR(index(Res_AllFuels_SEDS_2022_TBtus!$R$3:$R$53,match($A69&amp;AL$65,Res_AllFuels_SEDS_2022_TBtus!$B$3:$B$53&amp;Res_AllFuels_SEDS_2022_TBtus!$A$3:$A$53,0))),0,(index(Res_AllFuels_SEDS_2022_TBtus!$R$3:$R$53,match($A69&amp;AL$65,Res_AllFuels_SEDS_2022_TBtus!$B$3:$B$53&amp;Res_AllFuels_SEDS_2022_TBtus!$A$3:$A$53,0))))</f>
        <v>0</v>
      </c>
      <c r="AM69" s="75">
        <f t="array" ref="AM69">IF(ISERROR(index(Res_AllFuels_SEDS_2022_TBtus!$R$3:$R$53,match($A69&amp;AM$65,Res_AllFuels_SEDS_2022_TBtus!$B$3:$B$53&amp;Res_AllFuels_SEDS_2022_TBtus!$A$3:$A$53,0))),0,(index(Res_AllFuels_SEDS_2022_TBtus!$R$3:$R$53,match($A69&amp;AM$65,Res_AllFuels_SEDS_2022_TBtus!$B$3:$B$53&amp;Res_AllFuels_SEDS_2022_TBtus!$A$3:$A$53,0))))</f>
        <v>0</v>
      </c>
      <c r="AN69" s="75">
        <f t="array" ref="AN69">IF(ISERROR(index(Res_AllFuels_SEDS_2022_TBtus!$R$3:$R$53,match($A69&amp;AN$65,Res_AllFuels_SEDS_2022_TBtus!$B$3:$B$53&amp;Res_AllFuels_SEDS_2022_TBtus!$A$3:$A$53,0))),0,(index(Res_AllFuels_SEDS_2022_TBtus!$R$3:$R$53,match($A69&amp;AN$65,Res_AllFuels_SEDS_2022_TBtus!$B$3:$B$53&amp;Res_AllFuels_SEDS_2022_TBtus!$A$3:$A$53,0))))</f>
        <v>0</v>
      </c>
      <c r="AO69" s="75">
        <f t="array" ref="AO69">IF(ISERROR(index(Res_AllFuels_SEDS_2022_TBtus!$R$3:$R$53,match($A69&amp;AO$65,Res_AllFuels_SEDS_2022_TBtus!$B$3:$B$53&amp;Res_AllFuels_SEDS_2022_TBtus!$A$3:$A$53,0))),0,(index(Res_AllFuels_SEDS_2022_TBtus!$R$3:$R$53,match($A69&amp;AO$65,Res_AllFuels_SEDS_2022_TBtus!$B$3:$B$53&amp;Res_AllFuels_SEDS_2022_TBtus!$A$3:$A$53,0))))</f>
        <v>0</v>
      </c>
      <c r="AP69" s="75">
        <f t="array" ref="AP69">IF(ISERROR(index(Res_AllFuels_SEDS_2022_TBtus!$R$3:$R$53,match($A69&amp;AP$65,Res_AllFuels_SEDS_2022_TBtus!$B$3:$B$53&amp;Res_AllFuels_SEDS_2022_TBtus!$A$3:$A$53,0))),0,(index(Res_AllFuels_SEDS_2022_TBtus!$R$3:$R$53,match($A69&amp;AP$65,Res_AllFuels_SEDS_2022_TBtus!$B$3:$B$53&amp;Res_AllFuels_SEDS_2022_TBtus!$A$3:$A$53,0))))</f>
        <v>0</v>
      </c>
      <c r="AQ69" s="75">
        <f t="array" ref="AQ69">IF(ISERROR(index(Res_AllFuels_SEDS_2022_TBtus!$R$3:$R$53,match($A69&amp;AQ$65,Res_AllFuels_SEDS_2022_TBtus!$B$3:$B$53&amp;Res_AllFuels_SEDS_2022_TBtus!$A$3:$A$53,0))),0,(index(Res_AllFuels_SEDS_2022_TBtus!$R$3:$R$53,match($A69&amp;AQ$65,Res_AllFuels_SEDS_2022_TBtus!$B$3:$B$53&amp;Res_AllFuels_SEDS_2022_TBtus!$A$3:$A$53,0))))</f>
        <v>18.8</v>
      </c>
      <c r="AR69" s="75">
        <f t="array" ref="AR69">IF(ISERROR(index(Res_AllFuels_SEDS_2022_TBtus!$R$3:$R$53,match($A69&amp;AR$65,Res_AllFuels_SEDS_2022_TBtus!$B$3:$B$53&amp;Res_AllFuels_SEDS_2022_TBtus!$A$3:$A$53,0))),0,(index(Res_AllFuels_SEDS_2022_TBtus!$R$3:$R$53,match($A69&amp;AR$65,Res_AllFuels_SEDS_2022_TBtus!$B$3:$B$53&amp;Res_AllFuels_SEDS_2022_TBtus!$A$3:$A$53,0))))</f>
        <v>0</v>
      </c>
      <c r="AS69" s="75">
        <f t="array" ref="AS69">IF(ISERROR(index(Res_AllFuels_SEDS_2022_TBtus!$R$3:$R$53,match($A69&amp;AS$65,Res_AllFuels_SEDS_2022_TBtus!$B$3:$B$53&amp;Res_AllFuels_SEDS_2022_TBtus!$A$3:$A$53,0))),0,(index(Res_AllFuels_SEDS_2022_TBtus!$R$3:$R$53,match($A69&amp;AS$65,Res_AllFuels_SEDS_2022_TBtus!$B$3:$B$53&amp;Res_AllFuels_SEDS_2022_TBtus!$A$3:$A$53,0))))</f>
        <v>0</v>
      </c>
      <c r="AT69" s="75">
        <f t="array" ref="AT69">IF(ISERROR(index(Res_AllFuels_SEDS_2022_TBtus!$R$3:$R$53,match($A69&amp;AT$65,Res_AllFuels_SEDS_2022_TBtus!$B$3:$B$53&amp;Res_AllFuels_SEDS_2022_TBtus!$A$3:$A$53,0))),0,(index(Res_AllFuels_SEDS_2022_TBtus!$R$3:$R$53,match($A69&amp;AT$65,Res_AllFuels_SEDS_2022_TBtus!$B$3:$B$53&amp;Res_AllFuels_SEDS_2022_TBtus!$A$3:$A$53,0))))</f>
        <v>0</v>
      </c>
      <c r="AU69" s="75">
        <f t="array" ref="AU69">IF(ISERROR(index(Res_AllFuels_SEDS_2022_TBtus!$R$3:$R$53,match($A69&amp;AU$65,Res_AllFuels_SEDS_2022_TBtus!$B$3:$B$53&amp;Res_AllFuels_SEDS_2022_TBtus!$A$3:$A$53,0))),0,(index(Res_AllFuels_SEDS_2022_TBtus!$R$3:$R$53,match($A69&amp;AU$65,Res_AllFuels_SEDS_2022_TBtus!$B$3:$B$53&amp;Res_AllFuels_SEDS_2022_TBtus!$A$3:$A$53,0))))</f>
        <v>0</v>
      </c>
      <c r="AV69" s="75">
        <f t="array" ref="AV69">IF(ISERROR(index(Res_AllFuels_SEDS_2022_TBtus!$R$3:$R$53,match($A69&amp;AV$65,Res_AllFuels_SEDS_2022_TBtus!$B$3:$B$53&amp;Res_AllFuels_SEDS_2022_TBtus!$A$3:$A$53,0))),0,(index(Res_AllFuels_SEDS_2022_TBtus!$R$3:$R$53,match($A69&amp;AV$65,Res_AllFuels_SEDS_2022_TBtus!$B$3:$B$53&amp;Res_AllFuels_SEDS_2022_TBtus!$A$3:$A$53,0))))</f>
        <v>0</v>
      </c>
      <c r="AW69" s="75">
        <f t="array" ref="AW69">IF(ISERROR(index(Res_AllFuels_SEDS_2022_TBtus!$R$3:$R$53,match($A69&amp;AW$65,Res_AllFuels_SEDS_2022_TBtus!$B$3:$B$53&amp;Res_AllFuels_SEDS_2022_TBtus!$A$3:$A$53,0))),0,(index(Res_AllFuels_SEDS_2022_TBtus!$R$3:$R$53,match($A69&amp;AW$65,Res_AllFuels_SEDS_2022_TBtus!$B$3:$B$53&amp;Res_AllFuels_SEDS_2022_TBtus!$A$3:$A$53,0))))</f>
        <v>0</v>
      </c>
      <c r="AX69" s="75">
        <f t="array" ref="AX69">IF(ISERROR(index(Res_AllFuels_SEDS_2022_TBtus!$R$3:$R$53,match($A69&amp;AX$65,Res_AllFuels_SEDS_2022_TBtus!$B$3:$B$53&amp;Res_AllFuels_SEDS_2022_TBtus!$A$3:$A$53,0))),0,(index(Res_AllFuels_SEDS_2022_TBtus!$R$3:$R$53,match($A69&amp;AX$65,Res_AllFuels_SEDS_2022_TBtus!$B$3:$B$53&amp;Res_AllFuels_SEDS_2022_TBtus!$A$3:$A$53,0))))</f>
        <v>0</v>
      </c>
      <c r="AY69" s="75">
        <f t="array" ref="AY69">IF(ISERROR(index(Res_AllFuels_SEDS_2022_TBtus!$R$3:$R$53,match($A69&amp;AY$65,Res_AllFuels_SEDS_2022_TBtus!$B$3:$B$53&amp;Res_AllFuels_SEDS_2022_TBtus!$A$3:$A$53,0))),0,(index(Res_AllFuels_SEDS_2022_TBtus!$R$3:$R$53,match($A69&amp;AY$65,Res_AllFuels_SEDS_2022_TBtus!$B$3:$B$53&amp;Res_AllFuels_SEDS_2022_TBtus!$A$3:$A$53,0))))</f>
        <v>0</v>
      </c>
      <c r="AZ69" s="75">
        <f t="array" ref="AZ69">IF(ISERROR(index(Res_AllFuels_SEDS_2022_TBtus!$R$3:$R$53,match($A69&amp;AZ$65,Res_AllFuels_SEDS_2022_TBtus!$B$3:$B$53&amp;Res_AllFuels_SEDS_2022_TBtus!$A$3:$A$53,0))),0,(index(Res_AllFuels_SEDS_2022_TBtus!$R$3:$R$53,match($A69&amp;AZ$65,Res_AllFuels_SEDS_2022_TBtus!$B$3:$B$53&amp;Res_AllFuels_SEDS_2022_TBtus!$A$3:$A$53,0))))</f>
        <v>0</v>
      </c>
      <c r="BA69" s="74">
        <f t="shared" si="1"/>
        <v>388.4</v>
      </c>
    </row>
    <row r="70" ht="15.75" customHeight="1">
      <c r="A70" s="74">
        <v>5.0</v>
      </c>
      <c r="B70" s="75">
        <f t="array" ref="B70">IF(ISERROR(index(Res_AllFuels_SEDS_2022_TBtus!$R$3:$R$53,match($A70&amp;B$65,Res_AllFuels_SEDS_2022_TBtus!$B$3:$B$53&amp;Res_AllFuels_SEDS_2022_TBtus!$A$3:$A$53,0))),0,(index(Res_AllFuels_SEDS_2022_TBtus!$R$3:$R$53,match($A70&amp;B$65,Res_AllFuels_SEDS_2022_TBtus!$B$3:$B$53&amp;Res_AllFuels_SEDS_2022_TBtus!$A$3:$A$53,0))))</f>
        <v>0</v>
      </c>
      <c r="C70" s="75">
        <f t="array" ref="C70">IF(ISERROR(index(Res_AllFuels_SEDS_2022_TBtus!$R$3:$R$53,match($A70&amp;C$65,Res_AllFuels_SEDS_2022_TBtus!$B$3:$B$53&amp;Res_AllFuels_SEDS_2022_TBtus!$A$3:$A$53,0))),0,(index(Res_AllFuels_SEDS_2022_TBtus!$R$3:$R$53,match($A70&amp;C$65,Res_AllFuels_SEDS_2022_TBtus!$B$3:$B$53&amp;Res_AllFuels_SEDS_2022_TBtus!$A$3:$A$53,0))))</f>
        <v>0</v>
      </c>
      <c r="D70" s="75">
        <f t="array" ref="D70">IF(ISERROR(index(Res_AllFuels_SEDS_2022_TBtus!$R$3:$R$53,match($A70&amp;D$65,Res_AllFuels_SEDS_2022_TBtus!$B$3:$B$53&amp;Res_AllFuels_SEDS_2022_TBtus!$A$3:$A$53,0))),0,(index(Res_AllFuels_SEDS_2022_TBtus!$R$3:$R$53,match($A70&amp;D$65,Res_AllFuels_SEDS_2022_TBtus!$B$3:$B$53&amp;Res_AllFuels_SEDS_2022_TBtus!$A$3:$A$53,0))))</f>
        <v>0</v>
      </c>
      <c r="E70" s="75">
        <f t="array" ref="E70">IF(ISERROR(index(Res_AllFuels_SEDS_2022_TBtus!$R$3:$R$53,match($A70&amp;E$65,Res_AllFuels_SEDS_2022_TBtus!$B$3:$B$53&amp;Res_AllFuels_SEDS_2022_TBtus!$A$3:$A$53,0))),0,(index(Res_AllFuels_SEDS_2022_TBtus!$R$3:$R$53,match($A70&amp;E$65,Res_AllFuels_SEDS_2022_TBtus!$B$3:$B$53&amp;Res_AllFuels_SEDS_2022_TBtus!$A$3:$A$53,0))))</f>
        <v>0</v>
      </c>
      <c r="F70" s="75">
        <f t="array" ref="F70">IF(ISERROR(index(Res_AllFuels_SEDS_2022_TBtus!$R$3:$R$53,match($A70&amp;F$65,Res_AllFuels_SEDS_2022_TBtus!$B$3:$B$53&amp;Res_AllFuels_SEDS_2022_TBtus!$A$3:$A$53,0))),0,(index(Res_AllFuels_SEDS_2022_TBtus!$R$3:$R$53,match($A70&amp;F$65,Res_AllFuels_SEDS_2022_TBtus!$B$3:$B$53&amp;Res_AllFuels_SEDS_2022_TBtus!$A$3:$A$53,0))))</f>
        <v>0</v>
      </c>
      <c r="G70" s="75">
        <f t="array" ref="G70">IF(ISERROR(index(Res_AllFuels_SEDS_2022_TBtus!$R$3:$R$53,match($A70&amp;G$65,Res_AllFuels_SEDS_2022_TBtus!$B$3:$B$53&amp;Res_AllFuels_SEDS_2022_TBtus!$A$3:$A$53,0))),0,(index(Res_AllFuels_SEDS_2022_TBtus!$R$3:$R$53,match($A70&amp;G$65,Res_AllFuels_SEDS_2022_TBtus!$B$3:$B$53&amp;Res_AllFuels_SEDS_2022_TBtus!$A$3:$A$53,0))))</f>
        <v>0</v>
      </c>
      <c r="H70" s="75">
        <f t="array" ref="H70">IF(ISERROR(index(Res_AllFuels_SEDS_2022_TBtus!$R$3:$R$53,match($A70&amp;H$65,Res_AllFuels_SEDS_2022_TBtus!$B$3:$B$53&amp;Res_AllFuels_SEDS_2022_TBtus!$A$3:$A$53,0))),0,(index(Res_AllFuels_SEDS_2022_TBtus!$R$3:$R$53,match($A70&amp;H$65,Res_AllFuels_SEDS_2022_TBtus!$B$3:$B$53&amp;Res_AllFuels_SEDS_2022_TBtus!$A$3:$A$53,0))))</f>
        <v>0</v>
      </c>
      <c r="I70" s="75">
        <f t="array" ref="I70">IF(ISERROR(index(Res_AllFuels_SEDS_2022_TBtus!$R$3:$R$53,match($A70&amp;I$65,Res_AllFuels_SEDS_2022_TBtus!$B$3:$B$53&amp;Res_AllFuels_SEDS_2022_TBtus!$A$3:$A$53,0))),0,(index(Res_AllFuels_SEDS_2022_TBtus!$R$3:$R$53,match($A70&amp;I$65,Res_AllFuels_SEDS_2022_TBtus!$B$3:$B$53&amp;Res_AllFuels_SEDS_2022_TBtus!$A$3:$A$53,0))))</f>
        <v>18.6</v>
      </c>
      <c r="J70" s="75">
        <f t="array" ref="J70">IF(ISERROR(index(Res_AllFuels_SEDS_2022_TBtus!$R$3:$R$53,match($A70&amp;J$65,Res_AllFuels_SEDS_2022_TBtus!$B$3:$B$53&amp;Res_AllFuels_SEDS_2022_TBtus!$A$3:$A$53,0))),0,(index(Res_AllFuels_SEDS_2022_TBtus!$R$3:$R$53,match($A70&amp;J$65,Res_AllFuels_SEDS_2022_TBtus!$B$3:$B$53&amp;Res_AllFuels_SEDS_2022_TBtus!$A$3:$A$53,0))))</f>
        <v>9</v>
      </c>
      <c r="K70" s="75">
        <f t="array" ref="K70">IF(ISERROR(index(Res_AllFuels_SEDS_2022_TBtus!$R$3:$R$53,match($A70&amp;K$65,Res_AllFuels_SEDS_2022_TBtus!$B$3:$B$53&amp;Res_AllFuels_SEDS_2022_TBtus!$A$3:$A$53,0))),0,(index(Res_AllFuels_SEDS_2022_TBtus!$R$3:$R$53,match($A70&amp;K$65,Res_AllFuels_SEDS_2022_TBtus!$B$3:$B$53&amp;Res_AllFuels_SEDS_2022_TBtus!$A$3:$A$53,0))))</f>
        <v>501.2</v>
      </c>
      <c r="L70" s="75">
        <f t="array" ref="L70">IF(ISERROR(index(Res_AllFuels_SEDS_2022_TBtus!$R$3:$R$53,match($A70&amp;L$65,Res_AllFuels_SEDS_2022_TBtus!$B$3:$B$53&amp;Res_AllFuels_SEDS_2022_TBtus!$A$3:$A$53,0))),0,(index(Res_AllFuels_SEDS_2022_TBtus!$R$3:$R$53,match($A70&amp;L$65,Res_AllFuels_SEDS_2022_TBtus!$B$3:$B$53&amp;Res_AllFuels_SEDS_2022_TBtus!$A$3:$A$53,0))))</f>
        <v>209.6</v>
      </c>
      <c r="M70" s="75">
        <f t="array" ref="M70">IF(ISERROR(index(Res_AllFuels_SEDS_2022_TBtus!$R$3:$R$53,match($A70&amp;M$65,Res_AllFuels_SEDS_2022_TBtus!$B$3:$B$53&amp;Res_AllFuels_SEDS_2022_TBtus!$A$3:$A$53,0))),0,(index(Res_AllFuels_SEDS_2022_TBtus!$R$3:$R$53,match($A70&amp;M$65,Res_AllFuels_SEDS_2022_TBtus!$B$3:$B$53&amp;Res_AllFuels_SEDS_2022_TBtus!$A$3:$A$53,0))))</f>
        <v>0</v>
      </c>
      <c r="N70" s="75">
        <f t="array" ref="N70">IF(ISERROR(index(Res_AllFuels_SEDS_2022_TBtus!$R$3:$R$53,match($A70&amp;N$65,Res_AllFuels_SEDS_2022_TBtus!$B$3:$B$53&amp;Res_AllFuels_SEDS_2022_TBtus!$A$3:$A$53,0))),0,(index(Res_AllFuels_SEDS_2022_TBtus!$R$3:$R$53,match($A70&amp;N$65,Res_AllFuels_SEDS_2022_TBtus!$B$3:$B$53&amp;Res_AllFuels_SEDS_2022_TBtus!$A$3:$A$53,0))))</f>
        <v>0</v>
      </c>
      <c r="O70" s="75">
        <f t="array" ref="O70">IF(ISERROR(index(Res_AllFuels_SEDS_2022_TBtus!$R$3:$R$53,match($A70&amp;O$65,Res_AllFuels_SEDS_2022_TBtus!$B$3:$B$53&amp;Res_AllFuels_SEDS_2022_TBtus!$A$3:$A$53,0))),0,(index(Res_AllFuels_SEDS_2022_TBtus!$R$3:$R$53,match($A70&amp;O$65,Res_AllFuels_SEDS_2022_TBtus!$B$3:$B$53&amp;Res_AllFuels_SEDS_2022_TBtus!$A$3:$A$53,0))))</f>
        <v>0</v>
      </c>
      <c r="P70" s="75">
        <f t="array" ref="P70">IF(ISERROR(index(Res_AllFuels_SEDS_2022_TBtus!$R$3:$R$53,match($A70&amp;P$65,Res_AllFuels_SEDS_2022_TBtus!$B$3:$B$53&amp;Res_AllFuels_SEDS_2022_TBtus!$A$3:$A$53,0))),0,(index(Res_AllFuels_SEDS_2022_TBtus!$R$3:$R$53,match($A70&amp;P$65,Res_AllFuels_SEDS_2022_TBtus!$B$3:$B$53&amp;Res_AllFuels_SEDS_2022_TBtus!$A$3:$A$53,0))))</f>
        <v>0</v>
      </c>
      <c r="Q70" s="75">
        <f t="array" ref="Q70">IF(ISERROR(index(Res_AllFuels_SEDS_2022_TBtus!$R$3:$R$53,match($A70&amp;Q$65,Res_AllFuels_SEDS_2022_TBtus!$B$3:$B$53&amp;Res_AllFuels_SEDS_2022_TBtus!$A$3:$A$53,0))),0,(index(Res_AllFuels_SEDS_2022_TBtus!$R$3:$R$53,match($A70&amp;Q$65,Res_AllFuels_SEDS_2022_TBtus!$B$3:$B$53&amp;Res_AllFuels_SEDS_2022_TBtus!$A$3:$A$53,0))))</f>
        <v>0</v>
      </c>
      <c r="R70" s="75">
        <f t="array" ref="R70">IF(ISERROR(index(Res_AllFuels_SEDS_2022_TBtus!$R$3:$R$53,match($A70&amp;R$65,Res_AllFuels_SEDS_2022_TBtus!$B$3:$B$53&amp;Res_AllFuels_SEDS_2022_TBtus!$A$3:$A$53,0))),0,(index(Res_AllFuels_SEDS_2022_TBtus!$R$3:$R$53,match($A70&amp;R$65,Res_AllFuels_SEDS_2022_TBtus!$B$3:$B$53&amp;Res_AllFuels_SEDS_2022_TBtus!$A$3:$A$53,0))))</f>
        <v>0</v>
      </c>
      <c r="S70" s="75">
        <f t="array" ref="S70">IF(ISERROR(index(Res_AllFuels_SEDS_2022_TBtus!$R$3:$R$53,match($A70&amp;S$65,Res_AllFuels_SEDS_2022_TBtus!$B$3:$B$53&amp;Res_AllFuels_SEDS_2022_TBtus!$A$3:$A$53,0))),0,(index(Res_AllFuels_SEDS_2022_TBtus!$R$3:$R$53,match($A70&amp;S$65,Res_AllFuels_SEDS_2022_TBtus!$B$3:$B$53&amp;Res_AllFuels_SEDS_2022_TBtus!$A$3:$A$53,0))))</f>
        <v>0</v>
      </c>
      <c r="T70" s="75">
        <f t="array" ref="T70">IF(ISERROR(index(Res_AllFuels_SEDS_2022_TBtus!$R$3:$R$53,match($A70&amp;T$65,Res_AllFuels_SEDS_2022_TBtus!$B$3:$B$53&amp;Res_AllFuels_SEDS_2022_TBtus!$A$3:$A$53,0))),0,(index(Res_AllFuels_SEDS_2022_TBtus!$R$3:$R$53,match($A70&amp;T$65,Res_AllFuels_SEDS_2022_TBtus!$B$3:$B$53&amp;Res_AllFuels_SEDS_2022_TBtus!$A$3:$A$53,0))))</f>
        <v>0</v>
      </c>
      <c r="U70" s="75">
        <f t="array" ref="U70">IF(ISERROR(index(Res_AllFuels_SEDS_2022_TBtus!$R$3:$R$53,match($A70&amp;U$65,Res_AllFuels_SEDS_2022_TBtus!$B$3:$B$53&amp;Res_AllFuels_SEDS_2022_TBtus!$A$3:$A$53,0))),0,(index(Res_AllFuels_SEDS_2022_TBtus!$R$3:$R$53,match($A70&amp;U$65,Res_AllFuels_SEDS_2022_TBtus!$B$3:$B$53&amp;Res_AllFuels_SEDS_2022_TBtus!$A$3:$A$53,0))))</f>
        <v>0</v>
      </c>
      <c r="V70" s="75">
        <f t="array" ref="V70">IF(ISERROR(index(Res_AllFuels_SEDS_2022_TBtus!$R$3:$R$53,match($A70&amp;V$65,Res_AllFuels_SEDS_2022_TBtus!$B$3:$B$53&amp;Res_AllFuels_SEDS_2022_TBtus!$A$3:$A$53,0))),0,(index(Res_AllFuels_SEDS_2022_TBtus!$R$3:$R$53,match($A70&amp;V$65,Res_AllFuels_SEDS_2022_TBtus!$B$3:$B$53&amp;Res_AllFuels_SEDS_2022_TBtus!$A$3:$A$53,0))))</f>
        <v>99.7</v>
      </c>
      <c r="W70" s="75">
        <f t="array" ref="W70">IF(ISERROR(index(Res_AllFuels_SEDS_2022_TBtus!$R$3:$R$53,match($A70&amp;W$65,Res_AllFuels_SEDS_2022_TBtus!$B$3:$B$53&amp;Res_AllFuels_SEDS_2022_TBtus!$A$3:$A$53,0))),0,(index(Res_AllFuels_SEDS_2022_TBtus!$R$3:$R$53,match($A70&amp;W$65,Res_AllFuels_SEDS_2022_TBtus!$B$3:$B$53&amp;Res_AllFuels_SEDS_2022_TBtus!$A$3:$A$53,0))))</f>
        <v>0</v>
      </c>
      <c r="X70" s="75">
        <f t="array" ref="X70">IF(ISERROR(index(Res_AllFuels_SEDS_2022_TBtus!$R$3:$R$53,match($A70&amp;X$65,Res_AllFuels_SEDS_2022_TBtus!$B$3:$B$53&amp;Res_AllFuels_SEDS_2022_TBtus!$A$3:$A$53,0))),0,(index(Res_AllFuels_SEDS_2022_TBtus!$R$3:$R$53,match($A70&amp;X$65,Res_AllFuels_SEDS_2022_TBtus!$B$3:$B$53&amp;Res_AllFuels_SEDS_2022_TBtus!$A$3:$A$53,0))))</f>
        <v>0</v>
      </c>
      <c r="Y70" s="75">
        <f t="array" ref="Y70">IF(ISERROR(index(Res_AllFuels_SEDS_2022_TBtus!$R$3:$R$53,match($A70&amp;Y$65,Res_AllFuels_SEDS_2022_TBtus!$B$3:$B$53&amp;Res_AllFuels_SEDS_2022_TBtus!$A$3:$A$53,0))),0,(index(Res_AllFuels_SEDS_2022_TBtus!$R$3:$R$53,match($A70&amp;Y$65,Res_AllFuels_SEDS_2022_TBtus!$B$3:$B$53&amp;Res_AllFuels_SEDS_2022_TBtus!$A$3:$A$53,0))))</f>
        <v>0</v>
      </c>
      <c r="Z70" s="75">
        <f t="array" ref="Z70">IF(ISERROR(index(Res_AllFuels_SEDS_2022_TBtus!$R$3:$R$53,match($A70&amp;Z$65,Res_AllFuels_SEDS_2022_TBtus!$B$3:$B$53&amp;Res_AllFuels_SEDS_2022_TBtus!$A$3:$A$53,0))),0,(index(Res_AllFuels_SEDS_2022_TBtus!$R$3:$R$53,match($A70&amp;Z$65,Res_AllFuels_SEDS_2022_TBtus!$B$3:$B$53&amp;Res_AllFuels_SEDS_2022_TBtus!$A$3:$A$53,0))))</f>
        <v>0</v>
      </c>
      <c r="AA70" s="75">
        <f t="array" ref="AA70">IF(ISERROR(index(Res_AllFuels_SEDS_2022_TBtus!$R$3:$R$53,match($A70&amp;AA$65,Res_AllFuels_SEDS_2022_TBtus!$B$3:$B$53&amp;Res_AllFuels_SEDS_2022_TBtus!$A$3:$A$53,0))),0,(index(Res_AllFuels_SEDS_2022_TBtus!$R$3:$R$53,match($A70&amp;AA$65,Res_AllFuels_SEDS_2022_TBtus!$B$3:$B$53&amp;Res_AllFuels_SEDS_2022_TBtus!$A$3:$A$53,0))))</f>
        <v>0</v>
      </c>
      <c r="AB70" s="75">
        <f t="array" ref="AB70">IF(ISERROR(index(Res_AllFuels_SEDS_2022_TBtus!$R$3:$R$53,match($A70&amp;AB$65,Res_AllFuels_SEDS_2022_TBtus!$B$3:$B$53&amp;Res_AllFuels_SEDS_2022_TBtus!$A$3:$A$53,0))),0,(index(Res_AllFuels_SEDS_2022_TBtus!$R$3:$R$53,match($A70&amp;AB$65,Res_AllFuels_SEDS_2022_TBtus!$B$3:$B$53&amp;Res_AllFuels_SEDS_2022_TBtus!$A$3:$A$53,0))))</f>
        <v>0</v>
      </c>
      <c r="AC70" s="75">
        <f t="array" ref="AC70">IF(ISERROR(index(Res_AllFuels_SEDS_2022_TBtus!$R$3:$R$53,match($A70&amp;AC$65,Res_AllFuels_SEDS_2022_TBtus!$B$3:$B$53&amp;Res_AllFuels_SEDS_2022_TBtus!$A$3:$A$53,0))),0,(index(Res_AllFuels_SEDS_2022_TBtus!$R$3:$R$53,match($A70&amp;AC$65,Res_AllFuels_SEDS_2022_TBtus!$B$3:$B$53&amp;Res_AllFuels_SEDS_2022_TBtus!$A$3:$A$53,0))))</f>
        <v>0</v>
      </c>
      <c r="AD70" s="75">
        <f t="array" ref="AD70">IF(ISERROR(index(Res_AllFuels_SEDS_2022_TBtus!$R$3:$R$53,match($A70&amp;AD$65,Res_AllFuels_SEDS_2022_TBtus!$B$3:$B$53&amp;Res_AllFuels_SEDS_2022_TBtus!$A$3:$A$53,0))),0,(index(Res_AllFuels_SEDS_2022_TBtus!$R$3:$R$53,match($A70&amp;AD$65,Res_AllFuels_SEDS_2022_TBtus!$B$3:$B$53&amp;Res_AllFuels_SEDS_2022_TBtus!$A$3:$A$53,0))))</f>
        <v>0</v>
      </c>
      <c r="AE70" s="75">
        <f t="array" ref="AE70">IF(ISERROR(index(Res_AllFuels_SEDS_2022_TBtus!$R$3:$R$53,match($A70&amp;AE$65,Res_AllFuels_SEDS_2022_TBtus!$B$3:$B$53&amp;Res_AllFuels_SEDS_2022_TBtus!$A$3:$A$53,0))),0,(index(Res_AllFuels_SEDS_2022_TBtus!$R$3:$R$53,match($A70&amp;AE$65,Res_AllFuels_SEDS_2022_TBtus!$B$3:$B$53&amp;Res_AllFuels_SEDS_2022_TBtus!$A$3:$A$53,0))))</f>
        <v>0</v>
      </c>
      <c r="AF70" s="75">
        <f t="array" ref="AF70">IF(ISERROR(index(Res_AllFuels_SEDS_2022_TBtus!$R$3:$R$53,match($A70&amp;AF$65,Res_AllFuels_SEDS_2022_TBtus!$B$3:$B$53&amp;Res_AllFuels_SEDS_2022_TBtus!$A$3:$A$53,0))),0,(index(Res_AllFuels_SEDS_2022_TBtus!$R$3:$R$53,match($A70&amp;AF$65,Res_AllFuels_SEDS_2022_TBtus!$B$3:$B$53&amp;Res_AllFuels_SEDS_2022_TBtus!$A$3:$A$53,0))))</f>
        <v>0</v>
      </c>
      <c r="AG70" s="75">
        <f t="array" ref="AG70">IF(ISERROR(index(Res_AllFuels_SEDS_2022_TBtus!$R$3:$R$53,match($A70&amp;AG$65,Res_AllFuels_SEDS_2022_TBtus!$B$3:$B$53&amp;Res_AllFuels_SEDS_2022_TBtus!$A$3:$A$53,0))),0,(index(Res_AllFuels_SEDS_2022_TBtus!$R$3:$R$53,match($A70&amp;AG$65,Res_AllFuels_SEDS_2022_TBtus!$B$3:$B$53&amp;Res_AllFuels_SEDS_2022_TBtus!$A$3:$A$53,0))))</f>
        <v>0</v>
      </c>
      <c r="AH70" s="75">
        <f t="array" ref="AH70">IF(ISERROR(index(Res_AllFuels_SEDS_2022_TBtus!$R$3:$R$53,match($A70&amp;AH$65,Res_AllFuels_SEDS_2022_TBtus!$B$3:$B$53&amp;Res_AllFuels_SEDS_2022_TBtus!$A$3:$A$53,0))),0,(index(Res_AllFuels_SEDS_2022_TBtus!$R$3:$R$53,match($A70&amp;AH$65,Res_AllFuels_SEDS_2022_TBtus!$B$3:$B$53&amp;Res_AllFuels_SEDS_2022_TBtus!$A$3:$A$53,0))))</f>
        <v>0</v>
      </c>
      <c r="AI70" s="75">
        <f t="array" ref="AI70">IF(ISERROR(index(Res_AllFuels_SEDS_2022_TBtus!$R$3:$R$53,match($A70&amp;AI$65,Res_AllFuels_SEDS_2022_TBtus!$B$3:$B$53&amp;Res_AllFuels_SEDS_2022_TBtus!$A$3:$A$53,0))),0,(index(Res_AllFuels_SEDS_2022_TBtus!$R$3:$R$53,match($A70&amp;AI$65,Res_AllFuels_SEDS_2022_TBtus!$B$3:$B$53&amp;Res_AllFuels_SEDS_2022_TBtus!$A$3:$A$53,0))))</f>
        <v>215.8</v>
      </c>
      <c r="AJ70" s="75">
        <f t="array" ref="AJ70">IF(ISERROR(index(Res_AllFuels_SEDS_2022_TBtus!$R$3:$R$53,match($A70&amp;AJ$65,Res_AllFuels_SEDS_2022_TBtus!$B$3:$B$53&amp;Res_AllFuels_SEDS_2022_TBtus!$A$3:$A$53,0))),0,(index(Res_AllFuels_SEDS_2022_TBtus!$R$3:$R$53,match($A70&amp;AJ$65,Res_AllFuels_SEDS_2022_TBtus!$B$3:$B$53&amp;Res_AllFuels_SEDS_2022_TBtus!$A$3:$A$53,0))))</f>
        <v>0</v>
      </c>
      <c r="AK70" s="75">
        <f t="array" ref="AK70">IF(ISERROR(index(Res_AllFuels_SEDS_2022_TBtus!$R$3:$R$53,match($A70&amp;AK$65,Res_AllFuels_SEDS_2022_TBtus!$B$3:$B$53&amp;Res_AllFuels_SEDS_2022_TBtus!$A$3:$A$53,0))),0,(index(Res_AllFuels_SEDS_2022_TBtus!$R$3:$R$53,match($A70&amp;AK$65,Res_AllFuels_SEDS_2022_TBtus!$B$3:$B$53&amp;Res_AllFuels_SEDS_2022_TBtus!$A$3:$A$53,0))))</f>
        <v>0</v>
      </c>
      <c r="AL70" s="75">
        <f t="array" ref="AL70">IF(ISERROR(index(Res_AllFuels_SEDS_2022_TBtus!$R$3:$R$53,match($A70&amp;AL$65,Res_AllFuels_SEDS_2022_TBtus!$B$3:$B$53&amp;Res_AllFuels_SEDS_2022_TBtus!$A$3:$A$53,0))),0,(index(Res_AllFuels_SEDS_2022_TBtus!$R$3:$R$53,match($A70&amp;AL$65,Res_AllFuels_SEDS_2022_TBtus!$B$3:$B$53&amp;Res_AllFuels_SEDS_2022_TBtus!$A$3:$A$53,0))))</f>
        <v>0</v>
      </c>
      <c r="AM70" s="75">
        <f t="array" ref="AM70">IF(ISERROR(index(Res_AllFuels_SEDS_2022_TBtus!$R$3:$R$53,match($A70&amp;AM$65,Res_AllFuels_SEDS_2022_TBtus!$B$3:$B$53&amp;Res_AllFuels_SEDS_2022_TBtus!$A$3:$A$53,0))),0,(index(Res_AllFuels_SEDS_2022_TBtus!$R$3:$R$53,match($A70&amp;AM$65,Res_AllFuels_SEDS_2022_TBtus!$B$3:$B$53&amp;Res_AllFuels_SEDS_2022_TBtus!$A$3:$A$53,0))))</f>
        <v>0</v>
      </c>
      <c r="AN70" s="75">
        <f t="array" ref="AN70">IF(ISERROR(index(Res_AllFuels_SEDS_2022_TBtus!$R$3:$R$53,match($A70&amp;AN$65,Res_AllFuels_SEDS_2022_TBtus!$B$3:$B$53&amp;Res_AllFuels_SEDS_2022_TBtus!$A$3:$A$53,0))),0,(index(Res_AllFuels_SEDS_2022_TBtus!$R$3:$R$53,match($A70&amp;AN$65,Res_AllFuels_SEDS_2022_TBtus!$B$3:$B$53&amp;Res_AllFuels_SEDS_2022_TBtus!$A$3:$A$53,0))))</f>
        <v>0</v>
      </c>
      <c r="AO70" s="75">
        <f t="array" ref="AO70">IF(ISERROR(index(Res_AllFuels_SEDS_2022_TBtus!$R$3:$R$53,match($A70&amp;AO$65,Res_AllFuels_SEDS_2022_TBtus!$B$3:$B$53&amp;Res_AllFuels_SEDS_2022_TBtus!$A$3:$A$53,0))),0,(index(Res_AllFuels_SEDS_2022_TBtus!$R$3:$R$53,match($A70&amp;AO$65,Res_AllFuels_SEDS_2022_TBtus!$B$3:$B$53&amp;Res_AllFuels_SEDS_2022_TBtus!$A$3:$A$53,0))))</f>
        <v>0</v>
      </c>
      <c r="AP70" s="75">
        <f t="array" ref="AP70">IF(ISERROR(index(Res_AllFuels_SEDS_2022_TBtus!$R$3:$R$53,match($A70&amp;AP$65,Res_AllFuels_SEDS_2022_TBtus!$B$3:$B$53&amp;Res_AllFuels_SEDS_2022_TBtus!$A$3:$A$53,0))),0,(index(Res_AllFuels_SEDS_2022_TBtus!$R$3:$R$53,match($A70&amp;AP$65,Res_AllFuels_SEDS_2022_TBtus!$B$3:$B$53&amp;Res_AllFuels_SEDS_2022_TBtus!$A$3:$A$53,0))))</f>
        <v>112.1</v>
      </c>
      <c r="AQ70" s="75">
        <f t="array" ref="AQ70">IF(ISERROR(index(Res_AllFuels_SEDS_2022_TBtus!$R$3:$R$53,match($A70&amp;AQ$65,Res_AllFuels_SEDS_2022_TBtus!$B$3:$B$53&amp;Res_AllFuels_SEDS_2022_TBtus!$A$3:$A$53,0))),0,(index(Res_AllFuels_SEDS_2022_TBtus!$R$3:$R$53,match($A70&amp;AQ$65,Res_AllFuels_SEDS_2022_TBtus!$B$3:$B$53&amp;Res_AllFuels_SEDS_2022_TBtus!$A$3:$A$53,0))))</f>
        <v>0</v>
      </c>
      <c r="AR70" s="75">
        <f t="array" ref="AR70">IF(ISERROR(index(Res_AllFuels_SEDS_2022_TBtus!$R$3:$R$53,match($A70&amp;AR$65,Res_AllFuels_SEDS_2022_TBtus!$B$3:$B$53&amp;Res_AllFuels_SEDS_2022_TBtus!$A$3:$A$53,0))),0,(index(Res_AllFuels_SEDS_2022_TBtus!$R$3:$R$53,match($A70&amp;AR$65,Res_AllFuels_SEDS_2022_TBtus!$B$3:$B$53&amp;Res_AllFuels_SEDS_2022_TBtus!$A$3:$A$53,0))))</f>
        <v>0</v>
      </c>
      <c r="AS70" s="75">
        <f t="array" ref="AS70">IF(ISERROR(index(Res_AllFuels_SEDS_2022_TBtus!$R$3:$R$53,match($A70&amp;AS$65,Res_AllFuels_SEDS_2022_TBtus!$B$3:$B$53&amp;Res_AllFuels_SEDS_2022_TBtus!$A$3:$A$53,0))),0,(index(Res_AllFuels_SEDS_2022_TBtus!$R$3:$R$53,match($A70&amp;AS$65,Res_AllFuels_SEDS_2022_TBtus!$B$3:$B$53&amp;Res_AllFuels_SEDS_2022_TBtus!$A$3:$A$53,0))))</f>
        <v>0</v>
      </c>
      <c r="AT70" s="75">
        <f t="array" ref="AT70">IF(ISERROR(index(Res_AllFuels_SEDS_2022_TBtus!$R$3:$R$53,match($A70&amp;AT$65,Res_AllFuels_SEDS_2022_TBtus!$B$3:$B$53&amp;Res_AllFuels_SEDS_2022_TBtus!$A$3:$A$53,0))),0,(index(Res_AllFuels_SEDS_2022_TBtus!$R$3:$R$53,match($A70&amp;AT$65,Res_AllFuels_SEDS_2022_TBtus!$B$3:$B$53&amp;Res_AllFuels_SEDS_2022_TBtus!$A$3:$A$53,0))))</f>
        <v>0</v>
      </c>
      <c r="AU70" s="75">
        <f t="array" ref="AU70">IF(ISERROR(index(Res_AllFuels_SEDS_2022_TBtus!$R$3:$R$53,match($A70&amp;AU$65,Res_AllFuels_SEDS_2022_TBtus!$B$3:$B$53&amp;Res_AllFuels_SEDS_2022_TBtus!$A$3:$A$53,0))),0,(index(Res_AllFuels_SEDS_2022_TBtus!$R$3:$R$53,match($A70&amp;AU$65,Res_AllFuels_SEDS_2022_TBtus!$B$3:$B$53&amp;Res_AllFuels_SEDS_2022_TBtus!$A$3:$A$53,0))))</f>
        <v>0</v>
      </c>
      <c r="AV70" s="75">
        <f t="array" ref="AV70">IF(ISERROR(index(Res_AllFuels_SEDS_2022_TBtus!$R$3:$R$53,match($A70&amp;AV$65,Res_AllFuels_SEDS_2022_TBtus!$B$3:$B$53&amp;Res_AllFuels_SEDS_2022_TBtus!$A$3:$A$53,0))),0,(index(Res_AllFuels_SEDS_2022_TBtus!$R$3:$R$53,match($A70&amp;AV$65,Res_AllFuels_SEDS_2022_TBtus!$B$3:$B$53&amp;Res_AllFuels_SEDS_2022_TBtus!$A$3:$A$53,0))))</f>
        <v>161.8</v>
      </c>
      <c r="AW70" s="75">
        <f t="array" ref="AW70">IF(ISERROR(index(Res_AllFuels_SEDS_2022_TBtus!$R$3:$R$53,match($A70&amp;AW$65,Res_AllFuels_SEDS_2022_TBtus!$B$3:$B$53&amp;Res_AllFuels_SEDS_2022_TBtus!$A$3:$A$53,0))),0,(index(Res_AllFuels_SEDS_2022_TBtus!$R$3:$R$53,match($A70&amp;AW$65,Res_AllFuels_SEDS_2022_TBtus!$B$3:$B$53&amp;Res_AllFuels_SEDS_2022_TBtus!$A$3:$A$53,0))))</f>
        <v>0</v>
      </c>
      <c r="AX70" s="75">
        <f t="array" ref="AX70">IF(ISERROR(index(Res_AllFuels_SEDS_2022_TBtus!$R$3:$R$53,match($A70&amp;AX$65,Res_AllFuels_SEDS_2022_TBtus!$B$3:$B$53&amp;Res_AllFuels_SEDS_2022_TBtus!$A$3:$A$53,0))),0,(index(Res_AllFuels_SEDS_2022_TBtus!$R$3:$R$53,match($A70&amp;AX$65,Res_AllFuels_SEDS_2022_TBtus!$B$3:$B$53&amp;Res_AllFuels_SEDS_2022_TBtus!$A$3:$A$53,0))))</f>
        <v>38.1</v>
      </c>
      <c r="AY70" s="75">
        <f t="array" ref="AY70">IF(ISERROR(index(Res_AllFuels_SEDS_2022_TBtus!$R$3:$R$53,match($A70&amp;AY$65,Res_AllFuels_SEDS_2022_TBtus!$B$3:$B$53&amp;Res_AllFuels_SEDS_2022_TBtus!$A$3:$A$53,0))),0,(index(Res_AllFuels_SEDS_2022_TBtus!$R$3:$R$53,match($A70&amp;AY$65,Res_AllFuels_SEDS_2022_TBtus!$B$3:$B$53&amp;Res_AllFuels_SEDS_2022_TBtus!$A$3:$A$53,0))))</f>
        <v>0</v>
      </c>
      <c r="AZ70" s="75">
        <f t="array" ref="AZ70">IF(ISERROR(index(Res_AllFuels_SEDS_2022_TBtus!$R$3:$R$53,match($A70&amp;AZ$65,Res_AllFuels_SEDS_2022_TBtus!$B$3:$B$53&amp;Res_AllFuels_SEDS_2022_TBtus!$A$3:$A$53,0))),0,(index(Res_AllFuels_SEDS_2022_TBtus!$R$3:$R$53,match($A70&amp;AZ$65,Res_AllFuels_SEDS_2022_TBtus!$B$3:$B$53&amp;Res_AllFuels_SEDS_2022_TBtus!$A$3:$A$53,0))))</f>
        <v>0</v>
      </c>
      <c r="BA70" s="74">
        <f t="shared" si="1"/>
        <v>1365.9</v>
      </c>
    </row>
    <row r="71" ht="15.75" customHeight="1">
      <c r="A71" s="74">
        <v>6.0</v>
      </c>
      <c r="B71" s="75">
        <f t="array" ref="B71">IF(ISERROR(index(Res_AllFuels_SEDS_2022_TBtus!$R$3:$R$53,match($A71&amp;B$65,Res_AllFuels_SEDS_2022_TBtus!$B$3:$B$53&amp;Res_AllFuels_SEDS_2022_TBtus!$A$3:$A$53,0))),0,(index(Res_AllFuels_SEDS_2022_TBtus!$R$3:$R$53,match($A71&amp;B$65,Res_AllFuels_SEDS_2022_TBtus!$B$3:$B$53&amp;Res_AllFuels_SEDS_2022_TBtus!$A$3:$A$53,0))))</f>
        <v>112.5</v>
      </c>
      <c r="C71" s="75">
        <f t="array" ref="C71">IF(ISERROR(index(Res_AllFuels_SEDS_2022_TBtus!$R$3:$R$53,match($A71&amp;C$65,Res_AllFuels_SEDS_2022_TBtus!$B$3:$B$53&amp;Res_AllFuels_SEDS_2022_TBtus!$A$3:$A$53,0))),0,(index(Res_AllFuels_SEDS_2022_TBtus!$R$3:$R$53,match($A71&amp;C$65,Res_AllFuels_SEDS_2022_TBtus!$B$3:$B$53&amp;Res_AllFuels_SEDS_2022_TBtus!$A$3:$A$53,0))))</f>
        <v>0</v>
      </c>
      <c r="D71" s="75">
        <f t="array" ref="D71">IF(ISERROR(index(Res_AllFuels_SEDS_2022_TBtus!$R$3:$R$53,match($A71&amp;D$65,Res_AllFuels_SEDS_2022_TBtus!$B$3:$B$53&amp;Res_AllFuels_SEDS_2022_TBtus!$A$3:$A$53,0))),0,(index(Res_AllFuels_SEDS_2022_TBtus!$R$3:$R$53,match($A71&amp;D$65,Res_AllFuels_SEDS_2022_TBtus!$B$3:$B$53&amp;Res_AllFuels_SEDS_2022_TBtus!$A$3:$A$53,0))))</f>
        <v>0</v>
      </c>
      <c r="E71" s="75">
        <f t="array" ref="E71">IF(ISERROR(index(Res_AllFuels_SEDS_2022_TBtus!$R$3:$R$53,match($A71&amp;E$65,Res_AllFuels_SEDS_2022_TBtus!$B$3:$B$53&amp;Res_AllFuels_SEDS_2022_TBtus!$A$3:$A$53,0))),0,(index(Res_AllFuels_SEDS_2022_TBtus!$R$3:$R$53,match($A71&amp;E$65,Res_AllFuels_SEDS_2022_TBtus!$B$3:$B$53&amp;Res_AllFuels_SEDS_2022_TBtus!$A$3:$A$53,0))))</f>
        <v>0</v>
      </c>
      <c r="F71" s="75">
        <f t="array" ref="F71">IF(ISERROR(index(Res_AllFuels_SEDS_2022_TBtus!$R$3:$R$53,match($A71&amp;F$65,Res_AllFuels_SEDS_2022_TBtus!$B$3:$B$53&amp;Res_AllFuels_SEDS_2022_TBtus!$A$3:$A$53,0))),0,(index(Res_AllFuels_SEDS_2022_TBtus!$R$3:$R$53,match($A71&amp;F$65,Res_AllFuels_SEDS_2022_TBtus!$B$3:$B$53&amp;Res_AllFuels_SEDS_2022_TBtus!$A$3:$A$53,0))))</f>
        <v>0</v>
      </c>
      <c r="G71" s="75">
        <f t="array" ref="G71">IF(ISERROR(index(Res_AllFuels_SEDS_2022_TBtus!$R$3:$R$53,match($A71&amp;G$65,Res_AllFuels_SEDS_2022_TBtus!$B$3:$B$53&amp;Res_AllFuels_SEDS_2022_TBtus!$A$3:$A$53,0))),0,(index(Res_AllFuels_SEDS_2022_TBtus!$R$3:$R$53,match($A71&amp;G$65,Res_AllFuels_SEDS_2022_TBtus!$B$3:$B$53&amp;Res_AllFuels_SEDS_2022_TBtus!$A$3:$A$53,0))))</f>
        <v>0</v>
      </c>
      <c r="H71" s="75">
        <f t="array" ref="H71">IF(ISERROR(index(Res_AllFuels_SEDS_2022_TBtus!$R$3:$R$53,match($A71&amp;H$65,Res_AllFuels_SEDS_2022_TBtus!$B$3:$B$53&amp;Res_AllFuels_SEDS_2022_TBtus!$A$3:$A$53,0))),0,(index(Res_AllFuels_SEDS_2022_TBtus!$R$3:$R$53,match($A71&amp;H$65,Res_AllFuels_SEDS_2022_TBtus!$B$3:$B$53&amp;Res_AllFuels_SEDS_2022_TBtus!$A$3:$A$53,0))))</f>
        <v>0</v>
      </c>
      <c r="I71" s="75">
        <f t="array" ref="I71">IF(ISERROR(index(Res_AllFuels_SEDS_2022_TBtus!$R$3:$R$53,match($A71&amp;I$65,Res_AllFuels_SEDS_2022_TBtus!$B$3:$B$53&amp;Res_AllFuels_SEDS_2022_TBtus!$A$3:$A$53,0))),0,(index(Res_AllFuels_SEDS_2022_TBtus!$R$3:$R$53,match($A71&amp;I$65,Res_AllFuels_SEDS_2022_TBtus!$B$3:$B$53&amp;Res_AllFuels_SEDS_2022_TBtus!$A$3:$A$53,0))))</f>
        <v>0</v>
      </c>
      <c r="J71" s="75">
        <f t="array" ref="J71">IF(ISERROR(index(Res_AllFuels_SEDS_2022_TBtus!$R$3:$R$53,match($A71&amp;J$65,Res_AllFuels_SEDS_2022_TBtus!$B$3:$B$53&amp;Res_AllFuels_SEDS_2022_TBtus!$A$3:$A$53,0))),0,(index(Res_AllFuels_SEDS_2022_TBtus!$R$3:$R$53,match($A71&amp;J$65,Res_AllFuels_SEDS_2022_TBtus!$B$3:$B$53&amp;Res_AllFuels_SEDS_2022_TBtus!$A$3:$A$53,0))))</f>
        <v>0</v>
      </c>
      <c r="K71" s="75">
        <f t="array" ref="K71">IF(ISERROR(index(Res_AllFuels_SEDS_2022_TBtus!$R$3:$R$53,match($A71&amp;K$65,Res_AllFuels_SEDS_2022_TBtus!$B$3:$B$53&amp;Res_AllFuels_SEDS_2022_TBtus!$A$3:$A$53,0))),0,(index(Res_AllFuels_SEDS_2022_TBtus!$R$3:$R$53,match($A71&amp;K$65,Res_AllFuels_SEDS_2022_TBtus!$B$3:$B$53&amp;Res_AllFuels_SEDS_2022_TBtus!$A$3:$A$53,0))))</f>
        <v>0</v>
      </c>
      <c r="L71" s="75">
        <f t="array" ref="L71">IF(ISERROR(index(Res_AllFuels_SEDS_2022_TBtus!$R$3:$R$53,match($A71&amp;L$65,Res_AllFuels_SEDS_2022_TBtus!$B$3:$B$53&amp;Res_AllFuels_SEDS_2022_TBtus!$A$3:$A$53,0))),0,(index(Res_AllFuels_SEDS_2022_TBtus!$R$3:$R$53,match($A71&amp;L$65,Res_AllFuels_SEDS_2022_TBtus!$B$3:$B$53&amp;Res_AllFuels_SEDS_2022_TBtus!$A$3:$A$53,0))))</f>
        <v>0</v>
      </c>
      <c r="M71" s="75">
        <f t="array" ref="M71">IF(ISERROR(index(Res_AllFuels_SEDS_2022_TBtus!$R$3:$R$53,match($A71&amp;M$65,Res_AllFuels_SEDS_2022_TBtus!$B$3:$B$53&amp;Res_AllFuels_SEDS_2022_TBtus!$A$3:$A$53,0))),0,(index(Res_AllFuels_SEDS_2022_TBtus!$R$3:$R$53,match($A71&amp;M$65,Res_AllFuels_SEDS_2022_TBtus!$B$3:$B$53&amp;Res_AllFuels_SEDS_2022_TBtus!$A$3:$A$53,0))))</f>
        <v>0</v>
      </c>
      <c r="N71" s="75">
        <f t="array" ref="N71">IF(ISERROR(index(Res_AllFuels_SEDS_2022_TBtus!$R$3:$R$53,match($A71&amp;N$65,Res_AllFuels_SEDS_2022_TBtus!$B$3:$B$53&amp;Res_AllFuels_SEDS_2022_TBtus!$A$3:$A$53,0))),0,(index(Res_AllFuels_SEDS_2022_TBtus!$R$3:$R$53,match($A71&amp;N$65,Res_AllFuels_SEDS_2022_TBtus!$B$3:$B$53&amp;Res_AllFuels_SEDS_2022_TBtus!$A$3:$A$53,0))))</f>
        <v>0</v>
      </c>
      <c r="O71" s="75">
        <f t="array" ref="O71">IF(ISERROR(index(Res_AllFuels_SEDS_2022_TBtus!$R$3:$R$53,match($A71&amp;O$65,Res_AllFuels_SEDS_2022_TBtus!$B$3:$B$53&amp;Res_AllFuels_SEDS_2022_TBtus!$A$3:$A$53,0))),0,(index(Res_AllFuels_SEDS_2022_TBtus!$R$3:$R$53,match($A71&amp;O$65,Res_AllFuels_SEDS_2022_TBtus!$B$3:$B$53&amp;Res_AllFuels_SEDS_2022_TBtus!$A$3:$A$53,0))))</f>
        <v>0</v>
      </c>
      <c r="P71" s="75">
        <f t="array" ref="P71">IF(ISERROR(index(Res_AllFuels_SEDS_2022_TBtus!$R$3:$R$53,match($A71&amp;P$65,Res_AllFuels_SEDS_2022_TBtus!$B$3:$B$53&amp;Res_AllFuels_SEDS_2022_TBtus!$A$3:$A$53,0))),0,(index(Res_AllFuels_SEDS_2022_TBtus!$R$3:$R$53,match($A71&amp;P$65,Res_AllFuels_SEDS_2022_TBtus!$B$3:$B$53&amp;Res_AllFuels_SEDS_2022_TBtus!$A$3:$A$53,0))))</f>
        <v>0</v>
      </c>
      <c r="Q71" s="75">
        <f t="array" ref="Q71">IF(ISERROR(index(Res_AllFuels_SEDS_2022_TBtus!$R$3:$R$53,match($A71&amp;Q$65,Res_AllFuels_SEDS_2022_TBtus!$B$3:$B$53&amp;Res_AllFuels_SEDS_2022_TBtus!$A$3:$A$53,0))),0,(index(Res_AllFuels_SEDS_2022_TBtus!$R$3:$R$53,match($A71&amp;Q$65,Res_AllFuels_SEDS_2022_TBtus!$B$3:$B$53&amp;Res_AllFuels_SEDS_2022_TBtus!$A$3:$A$53,0))))</f>
        <v>0</v>
      </c>
      <c r="R71" s="75">
        <f t="array" ref="R71">IF(ISERROR(index(Res_AllFuels_SEDS_2022_TBtus!$R$3:$R$53,match($A71&amp;R$65,Res_AllFuels_SEDS_2022_TBtus!$B$3:$B$53&amp;Res_AllFuels_SEDS_2022_TBtus!$A$3:$A$53,0))),0,(index(Res_AllFuels_SEDS_2022_TBtus!$R$3:$R$53,match($A71&amp;R$65,Res_AllFuels_SEDS_2022_TBtus!$B$3:$B$53&amp;Res_AllFuels_SEDS_2022_TBtus!$A$3:$A$53,0))))</f>
        <v>0</v>
      </c>
      <c r="S71" s="75">
        <f t="array" ref="S71">IF(ISERROR(index(Res_AllFuels_SEDS_2022_TBtus!$R$3:$R$53,match($A71&amp;S$65,Res_AllFuels_SEDS_2022_TBtus!$B$3:$B$53&amp;Res_AllFuels_SEDS_2022_TBtus!$A$3:$A$53,0))),0,(index(Res_AllFuels_SEDS_2022_TBtus!$R$3:$R$53,match($A71&amp;S$65,Res_AllFuels_SEDS_2022_TBtus!$B$3:$B$53&amp;Res_AllFuels_SEDS_2022_TBtus!$A$3:$A$53,0))))</f>
        <v>93.8</v>
      </c>
      <c r="T71" s="75">
        <f t="array" ref="T71">IF(ISERROR(index(Res_AllFuels_SEDS_2022_TBtus!$R$3:$R$53,match($A71&amp;T$65,Res_AllFuels_SEDS_2022_TBtus!$B$3:$B$53&amp;Res_AllFuels_SEDS_2022_TBtus!$A$3:$A$53,0))),0,(index(Res_AllFuels_SEDS_2022_TBtus!$R$3:$R$53,match($A71&amp;T$65,Res_AllFuels_SEDS_2022_TBtus!$B$3:$B$53&amp;Res_AllFuels_SEDS_2022_TBtus!$A$3:$A$53,0))))</f>
        <v>0</v>
      </c>
      <c r="U71" s="75">
        <f t="array" ref="U71">IF(ISERROR(index(Res_AllFuels_SEDS_2022_TBtus!$R$3:$R$53,match($A71&amp;U$65,Res_AllFuels_SEDS_2022_TBtus!$B$3:$B$53&amp;Res_AllFuels_SEDS_2022_TBtus!$A$3:$A$53,0))),0,(index(Res_AllFuels_SEDS_2022_TBtus!$R$3:$R$53,match($A71&amp;U$65,Res_AllFuels_SEDS_2022_TBtus!$B$3:$B$53&amp;Res_AllFuels_SEDS_2022_TBtus!$A$3:$A$53,0))))</f>
        <v>0</v>
      </c>
      <c r="V71" s="75">
        <f t="array" ref="V71">IF(ISERROR(index(Res_AllFuels_SEDS_2022_TBtus!$R$3:$R$53,match($A71&amp;V$65,Res_AllFuels_SEDS_2022_TBtus!$B$3:$B$53&amp;Res_AllFuels_SEDS_2022_TBtus!$A$3:$A$53,0))),0,(index(Res_AllFuels_SEDS_2022_TBtus!$R$3:$R$53,match($A71&amp;V$65,Res_AllFuels_SEDS_2022_TBtus!$B$3:$B$53&amp;Res_AllFuels_SEDS_2022_TBtus!$A$3:$A$53,0))))</f>
        <v>0</v>
      </c>
      <c r="W71" s="75">
        <f t="array" ref="W71">IF(ISERROR(index(Res_AllFuels_SEDS_2022_TBtus!$R$3:$R$53,match($A71&amp;W$65,Res_AllFuels_SEDS_2022_TBtus!$B$3:$B$53&amp;Res_AllFuels_SEDS_2022_TBtus!$A$3:$A$53,0))),0,(index(Res_AllFuels_SEDS_2022_TBtus!$R$3:$R$53,match($A71&amp;W$65,Res_AllFuels_SEDS_2022_TBtus!$B$3:$B$53&amp;Res_AllFuels_SEDS_2022_TBtus!$A$3:$A$53,0))))</f>
        <v>0</v>
      </c>
      <c r="X71" s="75">
        <f t="array" ref="X71">IF(ISERROR(index(Res_AllFuels_SEDS_2022_TBtus!$R$3:$R$53,match($A71&amp;X$65,Res_AllFuels_SEDS_2022_TBtus!$B$3:$B$53&amp;Res_AllFuels_SEDS_2022_TBtus!$A$3:$A$53,0))),0,(index(Res_AllFuels_SEDS_2022_TBtus!$R$3:$R$53,match($A71&amp;X$65,Res_AllFuels_SEDS_2022_TBtus!$B$3:$B$53&amp;Res_AllFuels_SEDS_2022_TBtus!$A$3:$A$53,0))))</f>
        <v>0</v>
      </c>
      <c r="Y71" s="75">
        <f t="array" ref="Y71">IF(ISERROR(index(Res_AllFuels_SEDS_2022_TBtus!$R$3:$R$53,match($A71&amp;Y$65,Res_AllFuels_SEDS_2022_TBtus!$B$3:$B$53&amp;Res_AllFuels_SEDS_2022_TBtus!$A$3:$A$53,0))),0,(index(Res_AllFuels_SEDS_2022_TBtus!$R$3:$R$53,match($A71&amp;Y$65,Res_AllFuels_SEDS_2022_TBtus!$B$3:$B$53&amp;Res_AllFuels_SEDS_2022_TBtus!$A$3:$A$53,0))))</f>
        <v>0</v>
      </c>
      <c r="Z71" s="75">
        <f t="array" ref="Z71">IF(ISERROR(index(Res_AllFuels_SEDS_2022_TBtus!$R$3:$R$53,match($A71&amp;Z$65,Res_AllFuels_SEDS_2022_TBtus!$B$3:$B$53&amp;Res_AllFuels_SEDS_2022_TBtus!$A$3:$A$53,0))),0,(index(Res_AllFuels_SEDS_2022_TBtus!$R$3:$R$53,match($A71&amp;Z$65,Res_AllFuels_SEDS_2022_TBtus!$B$3:$B$53&amp;Res_AllFuels_SEDS_2022_TBtus!$A$3:$A$53,0))))</f>
        <v>64.8</v>
      </c>
      <c r="AA71" s="75">
        <f t="array" ref="AA71">IF(ISERROR(index(Res_AllFuels_SEDS_2022_TBtus!$R$3:$R$53,match($A71&amp;AA$65,Res_AllFuels_SEDS_2022_TBtus!$B$3:$B$53&amp;Res_AllFuels_SEDS_2022_TBtus!$A$3:$A$53,0))),0,(index(Res_AllFuels_SEDS_2022_TBtus!$R$3:$R$53,match($A71&amp;AA$65,Res_AllFuels_SEDS_2022_TBtus!$B$3:$B$53&amp;Res_AllFuels_SEDS_2022_TBtus!$A$3:$A$53,0))))</f>
        <v>0</v>
      </c>
      <c r="AB71" s="75">
        <f t="array" ref="AB71">IF(ISERROR(index(Res_AllFuels_SEDS_2022_TBtus!$R$3:$R$53,match($A71&amp;AB$65,Res_AllFuels_SEDS_2022_TBtus!$B$3:$B$53&amp;Res_AllFuels_SEDS_2022_TBtus!$A$3:$A$53,0))),0,(index(Res_AllFuels_SEDS_2022_TBtus!$R$3:$R$53,match($A71&amp;AB$65,Res_AllFuels_SEDS_2022_TBtus!$B$3:$B$53&amp;Res_AllFuels_SEDS_2022_TBtus!$A$3:$A$53,0))))</f>
        <v>0</v>
      </c>
      <c r="AC71" s="75">
        <f t="array" ref="AC71">IF(ISERROR(index(Res_AllFuels_SEDS_2022_TBtus!$R$3:$R$53,match($A71&amp;AC$65,Res_AllFuels_SEDS_2022_TBtus!$B$3:$B$53&amp;Res_AllFuels_SEDS_2022_TBtus!$A$3:$A$53,0))),0,(index(Res_AllFuels_SEDS_2022_TBtus!$R$3:$R$53,match($A71&amp;AC$65,Res_AllFuels_SEDS_2022_TBtus!$B$3:$B$53&amp;Res_AllFuels_SEDS_2022_TBtus!$A$3:$A$53,0))))</f>
        <v>0</v>
      </c>
      <c r="AD71" s="75">
        <f t="array" ref="AD71">IF(ISERROR(index(Res_AllFuels_SEDS_2022_TBtus!$R$3:$R$53,match($A71&amp;AD$65,Res_AllFuels_SEDS_2022_TBtus!$B$3:$B$53&amp;Res_AllFuels_SEDS_2022_TBtus!$A$3:$A$53,0))),0,(index(Res_AllFuels_SEDS_2022_TBtus!$R$3:$R$53,match($A71&amp;AD$65,Res_AllFuels_SEDS_2022_TBtus!$B$3:$B$53&amp;Res_AllFuels_SEDS_2022_TBtus!$A$3:$A$53,0))))</f>
        <v>0</v>
      </c>
      <c r="AE71" s="75">
        <f t="array" ref="AE71">IF(ISERROR(index(Res_AllFuels_SEDS_2022_TBtus!$R$3:$R$53,match($A71&amp;AE$65,Res_AllFuels_SEDS_2022_TBtus!$B$3:$B$53&amp;Res_AllFuels_SEDS_2022_TBtus!$A$3:$A$53,0))),0,(index(Res_AllFuels_SEDS_2022_TBtus!$R$3:$R$53,match($A71&amp;AE$65,Res_AllFuels_SEDS_2022_TBtus!$B$3:$B$53&amp;Res_AllFuels_SEDS_2022_TBtus!$A$3:$A$53,0))))</f>
        <v>0</v>
      </c>
      <c r="AF71" s="75">
        <f t="array" ref="AF71">IF(ISERROR(index(Res_AllFuels_SEDS_2022_TBtus!$R$3:$R$53,match($A71&amp;AF$65,Res_AllFuels_SEDS_2022_TBtus!$B$3:$B$53&amp;Res_AllFuels_SEDS_2022_TBtus!$A$3:$A$53,0))),0,(index(Res_AllFuels_SEDS_2022_TBtus!$R$3:$R$53,match($A71&amp;AF$65,Res_AllFuels_SEDS_2022_TBtus!$B$3:$B$53&amp;Res_AllFuels_SEDS_2022_TBtus!$A$3:$A$53,0))))</f>
        <v>0</v>
      </c>
      <c r="AG71" s="75">
        <f t="array" ref="AG71">IF(ISERROR(index(Res_AllFuels_SEDS_2022_TBtus!$R$3:$R$53,match($A71&amp;AG$65,Res_AllFuels_SEDS_2022_TBtus!$B$3:$B$53&amp;Res_AllFuels_SEDS_2022_TBtus!$A$3:$A$53,0))),0,(index(Res_AllFuels_SEDS_2022_TBtus!$R$3:$R$53,match($A71&amp;AG$65,Res_AllFuels_SEDS_2022_TBtus!$B$3:$B$53&amp;Res_AllFuels_SEDS_2022_TBtus!$A$3:$A$53,0))))</f>
        <v>0</v>
      </c>
      <c r="AH71" s="75">
        <f t="array" ref="AH71">IF(ISERROR(index(Res_AllFuels_SEDS_2022_TBtus!$R$3:$R$53,match($A71&amp;AH$65,Res_AllFuels_SEDS_2022_TBtus!$B$3:$B$53&amp;Res_AllFuels_SEDS_2022_TBtus!$A$3:$A$53,0))),0,(index(Res_AllFuels_SEDS_2022_TBtus!$R$3:$R$53,match($A71&amp;AH$65,Res_AllFuels_SEDS_2022_TBtus!$B$3:$B$53&amp;Res_AllFuels_SEDS_2022_TBtus!$A$3:$A$53,0))))</f>
        <v>0</v>
      </c>
      <c r="AI71" s="75">
        <f t="array" ref="AI71">IF(ISERROR(index(Res_AllFuels_SEDS_2022_TBtus!$R$3:$R$53,match($A71&amp;AI$65,Res_AllFuels_SEDS_2022_TBtus!$B$3:$B$53&amp;Res_AllFuels_SEDS_2022_TBtus!$A$3:$A$53,0))),0,(index(Res_AllFuels_SEDS_2022_TBtus!$R$3:$R$53,match($A71&amp;AI$65,Res_AllFuels_SEDS_2022_TBtus!$B$3:$B$53&amp;Res_AllFuels_SEDS_2022_TBtus!$A$3:$A$53,0))))</f>
        <v>0</v>
      </c>
      <c r="AJ71" s="75">
        <f t="array" ref="AJ71">IF(ISERROR(index(Res_AllFuels_SEDS_2022_TBtus!$R$3:$R$53,match($A71&amp;AJ$65,Res_AllFuels_SEDS_2022_TBtus!$B$3:$B$53&amp;Res_AllFuels_SEDS_2022_TBtus!$A$3:$A$53,0))),0,(index(Res_AllFuels_SEDS_2022_TBtus!$R$3:$R$53,match($A71&amp;AJ$65,Res_AllFuels_SEDS_2022_TBtus!$B$3:$B$53&amp;Res_AllFuels_SEDS_2022_TBtus!$A$3:$A$53,0))))</f>
        <v>0</v>
      </c>
      <c r="AK71" s="75">
        <f t="array" ref="AK71">IF(ISERROR(index(Res_AllFuels_SEDS_2022_TBtus!$R$3:$R$53,match($A71&amp;AK$65,Res_AllFuels_SEDS_2022_TBtus!$B$3:$B$53&amp;Res_AllFuels_SEDS_2022_TBtus!$A$3:$A$53,0))),0,(index(Res_AllFuels_SEDS_2022_TBtus!$R$3:$R$53,match($A71&amp;AK$65,Res_AllFuels_SEDS_2022_TBtus!$B$3:$B$53&amp;Res_AllFuels_SEDS_2022_TBtus!$A$3:$A$53,0))))</f>
        <v>0</v>
      </c>
      <c r="AL71" s="75">
        <f t="array" ref="AL71">IF(ISERROR(index(Res_AllFuels_SEDS_2022_TBtus!$R$3:$R$53,match($A71&amp;AL$65,Res_AllFuels_SEDS_2022_TBtus!$B$3:$B$53&amp;Res_AllFuels_SEDS_2022_TBtus!$A$3:$A$53,0))),0,(index(Res_AllFuels_SEDS_2022_TBtus!$R$3:$R$53,match($A71&amp;AL$65,Res_AllFuels_SEDS_2022_TBtus!$B$3:$B$53&amp;Res_AllFuels_SEDS_2022_TBtus!$A$3:$A$53,0))))</f>
        <v>0</v>
      </c>
      <c r="AM71" s="75">
        <f t="array" ref="AM71">IF(ISERROR(index(Res_AllFuels_SEDS_2022_TBtus!$R$3:$R$53,match($A71&amp;AM$65,Res_AllFuels_SEDS_2022_TBtus!$B$3:$B$53&amp;Res_AllFuels_SEDS_2022_TBtus!$A$3:$A$53,0))),0,(index(Res_AllFuels_SEDS_2022_TBtus!$R$3:$R$53,match($A71&amp;AM$65,Res_AllFuels_SEDS_2022_TBtus!$B$3:$B$53&amp;Res_AllFuels_SEDS_2022_TBtus!$A$3:$A$53,0))))</f>
        <v>0</v>
      </c>
      <c r="AN71" s="75">
        <f t="array" ref="AN71">IF(ISERROR(index(Res_AllFuels_SEDS_2022_TBtus!$R$3:$R$53,match($A71&amp;AN$65,Res_AllFuels_SEDS_2022_TBtus!$B$3:$B$53&amp;Res_AllFuels_SEDS_2022_TBtus!$A$3:$A$53,0))),0,(index(Res_AllFuels_SEDS_2022_TBtus!$R$3:$R$53,match($A71&amp;AN$65,Res_AllFuels_SEDS_2022_TBtus!$B$3:$B$53&amp;Res_AllFuels_SEDS_2022_TBtus!$A$3:$A$53,0))))</f>
        <v>0</v>
      </c>
      <c r="AO71" s="75">
        <f t="array" ref="AO71">IF(ISERROR(index(Res_AllFuels_SEDS_2022_TBtus!$R$3:$R$53,match($A71&amp;AO$65,Res_AllFuels_SEDS_2022_TBtus!$B$3:$B$53&amp;Res_AllFuels_SEDS_2022_TBtus!$A$3:$A$53,0))),0,(index(Res_AllFuels_SEDS_2022_TBtus!$R$3:$R$53,match($A71&amp;AO$65,Res_AllFuels_SEDS_2022_TBtus!$B$3:$B$53&amp;Res_AllFuels_SEDS_2022_TBtus!$A$3:$A$53,0))))</f>
        <v>0</v>
      </c>
      <c r="AP71" s="75">
        <f t="array" ref="AP71">IF(ISERROR(index(Res_AllFuels_SEDS_2022_TBtus!$R$3:$R$53,match($A71&amp;AP$65,Res_AllFuels_SEDS_2022_TBtus!$B$3:$B$53&amp;Res_AllFuels_SEDS_2022_TBtus!$A$3:$A$53,0))),0,(index(Res_AllFuels_SEDS_2022_TBtus!$R$3:$R$53,match($A71&amp;AP$65,Res_AllFuels_SEDS_2022_TBtus!$B$3:$B$53&amp;Res_AllFuels_SEDS_2022_TBtus!$A$3:$A$53,0))))</f>
        <v>0</v>
      </c>
      <c r="AQ71" s="75">
        <f t="array" ref="AQ71">IF(ISERROR(index(Res_AllFuels_SEDS_2022_TBtus!$R$3:$R$53,match($A71&amp;AQ$65,Res_AllFuels_SEDS_2022_TBtus!$B$3:$B$53&amp;Res_AllFuels_SEDS_2022_TBtus!$A$3:$A$53,0))),0,(index(Res_AllFuels_SEDS_2022_TBtus!$R$3:$R$53,match($A71&amp;AQ$65,Res_AllFuels_SEDS_2022_TBtus!$B$3:$B$53&amp;Res_AllFuels_SEDS_2022_TBtus!$A$3:$A$53,0))))</f>
        <v>0</v>
      </c>
      <c r="AR71" s="75">
        <f t="array" ref="AR71">IF(ISERROR(index(Res_AllFuels_SEDS_2022_TBtus!$R$3:$R$53,match($A71&amp;AR$65,Res_AllFuels_SEDS_2022_TBtus!$B$3:$B$53&amp;Res_AllFuels_SEDS_2022_TBtus!$A$3:$A$53,0))),0,(index(Res_AllFuels_SEDS_2022_TBtus!$R$3:$R$53,match($A71&amp;AR$65,Res_AllFuels_SEDS_2022_TBtus!$B$3:$B$53&amp;Res_AllFuels_SEDS_2022_TBtus!$A$3:$A$53,0))))</f>
        <v>149.1</v>
      </c>
      <c r="AS71" s="75">
        <f t="array" ref="AS71">IF(ISERROR(index(Res_AllFuels_SEDS_2022_TBtus!$R$3:$R$53,match($A71&amp;AS$65,Res_AllFuels_SEDS_2022_TBtus!$B$3:$B$53&amp;Res_AllFuels_SEDS_2022_TBtus!$A$3:$A$53,0))),0,(index(Res_AllFuels_SEDS_2022_TBtus!$R$3:$R$53,match($A71&amp;AS$65,Res_AllFuels_SEDS_2022_TBtus!$B$3:$B$53&amp;Res_AllFuels_SEDS_2022_TBtus!$A$3:$A$53,0))))</f>
        <v>0</v>
      </c>
      <c r="AT71" s="75">
        <f t="array" ref="AT71">IF(ISERROR(index(Res_AllFuels_SEDS_2022_TBtus!$R$3:$R$53,match($A71&amp;AT$65,Res_AllFuels_SEDS_2022_TBtus!$B$3:$B$53&amp;Res_AllFuels_SEDS_2022_TBtus!$A$3:$A$53,0))),0,(index(Res_AllFuels_SEDS_2022_TBtus!$R$3:$R$53,match($A71&amp;AT$65,Res_AllFuels_SEDS_2022_TBtus!$B$3:$B$53&amp;Res_AllFuels_SEDS_2022_TBtus!$A$3:$A$53,0))))</f>
        <v>0</v>
      </c>
      <c r="AU71" s="75">
        <f t="array" ref="AU71">IF(ISERROR(index(Res_AllFuels_SEDS_2022_TBtus!$R$3:$R$53,match($A71&amp;AU$65,Res_AllFuels_SEDS_2022_TBtus!$B$3:$B$53&amp;Res_AllFuels_SEDS_2022_TBtus!$A$3:$A$53,0))),0,(index(Res_AllFuels_SEDS_2022_TBtus!$R$3:$R$53,match($A71&amp;AU$65,Res_AllFuels_SEDS_2022_TBtus!$B$3:$B$53&amp;Res_AllFuels_SEDS_2022_TBtus!$A$3:$A$53,0))))</f>
        <v>0</v>
      </c>
      <c r="AV71" s="75">
        <f t="array" ref="AV71">IF(ISERROR(index(Res_AllFuels_SEDS_2022_TBtus!$R$3:$R$53,match($A71&amp;AV$65,Res_AllFuels_SEDS_2022_TBtus!$B$3:$B$53&amp;Res_AllFuels_SEDS_2022_TBtus!$A$3:$A$53,0))),0,(index(Res_AllFuels_SEDS_2022_TBtus!$R$3:$R$53,match($A71&amp;AV$65,Res_AllFuels_SEDS_2022_TBtus!$B$3:$B$53&amp;Res_AllFuels_SEDS_2022_TBtus!$A$3:$A$53,0))))</f>
        <v>0</v>
      </c>
      <c r="AW71" s="75">
        <f t="array" ref="AW71">IF(ISERROR(index(Res_AllFuels_SEDS_2022_TBtus!$R$3:$R$53,match($A71&amp;AW$65,Res_AllFuels_SEDS_2022_TBtus!$B$3:$B$53&amp;Res_AllFuels_SEDS_2022_TBtus!$A$3:$A$53,0))),0,(index(Res_AllFuels_SEDS_2022_TBtus!$R$3:$R$53,match($A71&amp;AW$65,Res_AllFuels_SEDS_2022_TBtus!$B$3:$B$53&amp;Res_AllFuels_SEDS_2022_TBtus!$A$3:$A$53,0))))</f>
        <v>0</v>
      </c>
      <c r="AX71" s="75">
        <f t="array" ref="AX71">IF(ISERROR(index(Res_AllFuels_SEDS_2022_TBtus!$R$3:$R$53,match($A71&amp;AX$65,Res_AllFuels_SEDS_2022_TBtus!$B$3:$B$53&amp;Res_AllFuels_SEDS_2022_TBtus!$A$3:$A$53,0))),0,(index(Res_AllFuels_SEDS_2022_TBtus!$R$3:$R$53,match($A71&amp;AX$65,Res_AllFuels_SEDS_2022_TBtus!$B$3:$B$53&amp;Res_AllFuels_SEDS_2022_TBtus!$A$3:$A$53,0))))</f>
        <v>0</v>
      </c>
      <c r="AY71" s="75">
        <f t="array" ref="AY71">IF(ISERROR(index(Res_AllFuels_SEDS_2022_TBtus!$R$3:$R$53,match($A71&amp;AY$65,Res_AllFuels_SEDS_2022_TBtus!$B$3:$B$53&amp;Res_AllFuels_SEDS_2022_TBtus!$A$3:$A$53,0))),0,(index(Res_AllFuels_SEDS_2022_TBtus!$R$3:$R$53,match($A71&amp;AY$65,Res_AllFuels_SEDS_2022_TBtus!$B$3:$B$53&amp;Res_AllFuels_SEDS_2022_TBtus!$A$3:$A$53,0))))</f>
        <v>0</v>
      </c>
      <c r="AZ71" s="75">
        <f t="array" ref="AZ71">IF(ISERROR(index(Res_AllFuels_SEDS_2022_TBtus!$R$3:$R$53,match($A71&amp;AZ$65,Res_AllFuels_SEDS_2022_TBtus!$B$3:$B$53&amp;Res_AllFuels_SEDS_2022_TBtus!$A$3:$A$53,0))),0,(index(Res_AllFuels_SEDS_2022_TBtus!$R$3:$R$53,match($A71&amp;AZ$65,Res_AllFuels_SEDS_2022_TBtus!$B$3:$B$53&amp;Res_AllFuels_SEDS_2022_TBtus!$A$3:$A$53,0))))</f>
        <v>0</v>
      </c>
      <c r="BA71" s="74">
        <f t="shared" si="1"/>
        <v>420.2</v>
      </c>
    </row>
    <row r="72" ht="15.75" customHeight="1">
      <c r="A72" s="74">
        <v>7.0</v>
      </c>
      <c r="B72" s="75">
        <f t="array" ref="B72">IF(ISERROR(index(Res_AllFuels_SEDS_2022_TBtus!$R$3:$R$53,match($A72&amp;B$65,Res_AllFuels_SEDS_2022_TBtus!$B$3:$B$53&amp;Res_AllFuels_SEDS_2022_TBtus!$A$3:$A$53,0))),0,(index(Res_AllFuels_SEDS_2022_TBtus!$R$3:$R$53,match($A72&amp;B$65,Res_AllFuels_SEDS_2022_TBtus!$B$3:$B$53&amp;Res_AllFuels_SEDS_2022_TBtus!$A$3:$A$53,0))))</f>
        <v>0</v>
      </c>
      <c r="C72" s="75">
        <f t="array" ref="C72">IF(ISERROR(index(Res_AllFuels_SEDS_2022_TBtus!$R$3:$R$53,match($A72&amp;C$65,Res_AllFuels_SEDS_2022_TBtus!$B$3:$B$53&amp;Res_AllFuels_SEDS_2022_TBtus!$A$3:$A$53,0))),0,(index(Res_AllFuels_SEDS_2022_TBtus!$R$3:$R$53,match($A72&amp;C$65,Res_AllFuels_SEDS_2022_TBtus!$B$3:$B$53&amp;Res_AllFuels_SEDS_2022_TBtus!$A$3:$A$53,0))))</f>
        <v>0</v>
      </c>
      <c r="D72" s="75">
        <f t="array" ref="D72">IF(ISERROR(index(Res_AllFuels_SEDS_2022_TBtus!$R$3:$R$53,match($A72&amp;D$65,Res_AllFuels_SEDS_2022_TBtus!$B$3:$B$53&amp;Res_AllFuels_SEDS_2022_TBtus!$A$3:$A$53,0))),0,(index(Res_AllFuels_SEDS_2022_TBtus!$R$3:$R$53,match($A72&amp;D$65,Res_AllFuels_SEDS_2022_TBtus!$B$3:$B$53&amp;Res_AllFuels_SEDS_2022_TBtus!$A$3:$A$53,0))))</f>
        <v>0</v>
      </c>
      <c r="E72" s="75">
        <f t="array" ref="E72">IF(ISERROR(index(Res_AllFuels_SEDS_2022_TBtus!$R$3:$R$53,match($A72&amp;E$65,Res_AllFuels_SEDS_2022_TBtus!$B$3:$B$53&amp;Res_AllFuels_SEDS_2022_TBtus!$A$3:$A$53,0))),0,(index(Res_AllFuels_SEDS_2022_TBtus!$R$3:$R$53,match($A72&amp;E$65,Res_AllFuels_SEDS_2022_TBtus!$B$3:$B$53&amp;Res_AllFuels_SEDS_2022_TBtus!$A$3:$A$53,0))))</f>
        <v>67</v>
      </c>
      <c r="F72" s="75">
        <f t="array" ref="F72">IF(ISERROR(index(Res_AllFuels_SEDS_2022_TBtus!$R$3:$R$53,match($A72&amp;F$65,Res_AllFuels_SEDS_2022_TBtus!$B$3:$B$53&amp;Res_AllFuels_SEDS_2022_TBtus!$A$3:$A$53,0))),0,(index(Res_AllFuels_SEDS_2022_TBtus!$R$3:$R$53,match($A72&amp;F$65,Res_AllFuels_SEDS_2022_TBtus!$B$3:$B$53&amp;Res_AllFuels_SEDS_2022_TBtus!$A$3:$A$53,0))))</f>
        <v>0</v>
      </c>
      <c r="G72" s="75">
        <f t="array" ref="G72">IF(ISERROR(index(Res_AllFuels_SEDS_2022_TBtus!$R$3:$R$53,match($A72&amp;G$65,Res_AllFuels_SEDS_2022_TBtus!$B$3:$B$53&amp;Res_AllFuels_SEDS_2022_TBtus!$A$3:$A$53,0))),0,(index(Res_AllFuels_SEDS_2022_TBtus!$R$3:$R$53,match($A72&amp;G$65,Res_AllFuels_SEDS_2022_TBtus!$B$3:$B$53&amp;Res_AllFuels_SEDS_2022_TBtus!$A$3:$A$53,0))))</f>
        <v>0</v>
      </c>
      <c r="H72" s="75">
        <f t="array" ref="H72">IF(ISERROR(index(Res_AllFuels_SEDS_2022_TBtus!$R$3:$R$53,match($A72&amp;H$65,Res_AllFuels_SEDS_2022_TBtus!$B$3:$B$53&amp;Res_AllFuels_SEDS_2022_TBtus!$A$3:$A$53,0))),0,(index(Res_AllFuels_SEDS_2022_TBtus!$R$3:$R$53,match($A72&amp;H$65,Res_AllFuels_SEDS_2022_TBtus!$B$3:$B$53&amp;Res_AllFuels_SEDS_2022_TBtus!$A$3:$A$53,0))))</f>
        <v>0</v>
      </c>
      <c r="I72" s="75">
        <f t="array" ref="I72">IF(ISERROR(index(Res_AllFuels_SEDS_2022_TBtus!$R$3:$R$53,match($A72&amp;I$65,Res_AllFuels_SEDS_2022_TBtus!$B$3:$B$53&amp;Res_AllFuels_SEDS_2022_TBtus!$A$3:$A$53,0))),0,(index(Res_AllFuels_SEDS_2022_TBtus!$R$3:$R$53,match($A72&amp;I$65,Res_AllFuels_SEDS_2022_TBtus!$B$3:$B$53&amp;Res_AllFuels_SEDS_2022_TBtus!$A$3:$A$53,0))))</f>
        <v>0</v>
      </c>
      <c r="J72" s="75">
        <f t="array" ref="J72">IF(ISERROR(index(Res_AllFuels_SEDS_2022_TBtus!$R$3:$R$53,match($A72&amp;J$65,Res_AllFuels_SEDS_2022_TBtus!$B$3:$B$53&amp;Res_AllFuels_SEDS_2022_TBtus!$A$3:$A$53,0))),0,(index(Res_AllFuels_SEDS_2022_TBtus!$R$3:$R$53,match($A72&amp;J$65,Res_AllFuels_SEDS_2022_TBtus!$B$3:$B$53&amp;Res_AllFuels_SEDS_2022_TBtus!$A$3:$A$53,0))))</f>
        <v>0</v>
      </c>
      <c r="K72" s="75">
        <f t="array" ref="K72">IF(ISERROR(index(Res_AllFuels_SEDS_2022_TBtus!$R$3:$R$53,match($A72&amp;K$65,Res_AllFuels_SEDS_2022_TBtus!$B$3:$B$53&amp;Res_AllFuels_SEDS_2022_TBtus!$A$3:$A$53,0))),0,(index(Res_AllFuels_SEDS_2022_TBtus!$R$3:$R$53,match($A72&amp;K$65,Res_AllFuels_SEDS_2022_TBtus!$B$3:$B$53&amp;Res_AllFuels_SEDS_2022_TBtus!$A$3:$A$53,0))))</f>
        <v>0</v>
      </c>
      <c r="L72" s="75">
        <f t="array" ref="L72">IF(ISERROR(index(Res_AllFuels_SEDS_2022_TBtus!$R$3:$R$53,match($A72&amp;L$65,Res_AllFuels_SEDS_2022_TBtus!$B$3:$B$53&amp;Res_AllFuels_SEDS_2022_TBtus!$A$3:$A$53,0))),0,(index(Res_AllFuels_SEDS_2022_TBtus!$R$3:$R$53,match($A72&amp;L$65,Res_AllFuels_SEDS_2022_TBtus!$B$3:$B$53&amp;Res_AllFuels_SEDS_2022_TBtus!$A$3:$A$53,0))))</f>
        <v>0</v>
      </c>
      <c r="M72" s="75">
        <f t="array" ref="M72">IF(ISERROR(index(Res_AllFuels_SEDS_2022_TBtus!$R$3:$R$53,match($A72&amp;M$65,Res_AllFuels_SEDS_2022_TBtus!$B$3:$B$53&amp;Res_AllFuels_SEDS_2022_TBtus!$A$3:$A$53,0))),0,(index(Res_AllFuels_SEDS_2022_TBtus!$R$3:$R$53,match($A72&amp;M$65,Res_AllFuels_SEDS_2022_TBtus!$B$3:$B$53&amp;Res_AllFuels_SEDS_2022_TBtus!$A$3:$A$53,0))))</f>
        <v>0</v>
      </c>
      <c r="N72" s="75">
        <f t="array" ref="N72">IF(ISERROR(index(Res_AllFuels_SEDS_2022_TBtus!$R$3:$R$53,match($A72&amp;N$65,Res_AllFuels_SEDS_2022_TBtus!$B$3:$B$53&amp;Res_AllFuels_SEDS_2022_TBtus!$A$3:$A$53,0))),0,(index(Res_AllFuels_SEDS_2022_TBtus!$R$3:$R$53,match($A72&amp;N$65,Res_AllFuels_SEDS_2022_TBtus!$B$3:$B$53&amp;Res_AllFuels_SEDS_2022_TBtus!$A$3:$A$53,0))))</f>
        <v>0</v>
      </c>
      <c r="O72" s="75">
        <f t="array" ref="O72">IF(ISERROR(index(Res_AllFuels_SEDS_2022_TBtus!$R$3:$R$53,match($A72&amp;O$65,Res_AllFuels_SEDS_2022_TBtus!$B$3:$B$53&amp;Res_AllFuels_SEDS_2022_TBtus!$A$3:$A$53,0))),0,(index(Res_AllFuels_SEDS_2022_TBtus!$R$3:$R$53,match($A72&amp;O$65,Res_AllFuels_SEDS_2022_TBtus!$B$3:$B$53&amp;Res_AllFuels_SEDS_2022_TBtus!$A$3:$A$53,0))))</f>
        <v>0</v>
      </c>
      <c r="P72" s="75">
        <f t="array" ref="P72">IF(ISERROR(index(Res_AllFuels_SEDS_2022_TBtus!$R$3:$R$53,match($A72&amp;P$65,Res_AllFuels_SEDS_2022_TBtus!$B$3:$B$53&amp;Res_AllFuels_SEDS_2022_TBtus!$A$3:$A$53,0))),0,(index(Res_AllFuels_SEDS_2022_TBtus!$R$3:$R$53,match($A72&amp;P$65,Res_AllFuels_SEDS_2022_TBtus!$B$3:$B$53&amp;Res_AllFuels_SEDS_2022_TBtus!$A$3:$A$53,0))))</f>
        <v>0</v>
      </c>
      <c r="Q72" s="75">
        <f t="array" ref="Q72">IF(ISERROR(index(Res_AllFuels_SEDS_2022_TBtus!$R$3:$R$53,match($A72&amp;Q$65,Res_AllFuels_SEDS_2022_TBtus!$B$3:$B$53&amp;Res_AllFuels_SEDS_2022_TBtus!$A$3:$A$53,0))),0,(index(Res_AllFuels_SEDS_2022_TBtus!$R$3:$R$53,match($A72&amp;Q$65,Res_AllFuels_SEDS_2022_TBtus!$B$3:$B$53&amp;Res_AllFuels_SEDS_2022_TBtus!$A$3:$A$53,0))))</f>
        <v>0</v>
      </c>
      <c r="R72" s="75">
        <f t="array" ref="R72">IF(ISERROR(index(Res_AllFuels_SEDS_2022_TBtus!$R$3:$R$53,match($A72&amp;R$65,Res_AllFuels_SEDS_2022_TBtus!$B$3:$B$53&amp;Res_AllFuels_SEDS_2022_TBtus!$A$3:$A$53,0))),0,(index(Res_AllFuels_SEDS_2022_TBtus!$R$3:$R$53,match($A72&amp;R$65,Res_AllFuels_SEDS_2022_TBtus!$B$3:$B$53&amp;Res_AllFuels_SEDS_2022_TBtus!$A$3:$A$53,0))))</f>
        <v>0</v>
      </c>
      <c r="S72" s="75">
        <f t="array" ref="S72">IF(ISERROR(index(Res_AllFuels_SEDS_2022_TBtus!$R$3:$R$53,match($A72&amp;S$65,Res_AllFuels_SEDS_2022_TBtus!$B$3:$B$53&amp;Res_AllFuels_SEDS_2022_TBtus!$A$3:$A$53,0))),0,(index(Res_AllFuels_SEDS_2022_TBtus!$R$3:$R$53,match($A72&amp;S$65,Res_AllFuels_SEDS_2022_TBtus!$B$3:$B$53&amp;Res_AllFuels_SEDS_2022_TBtus!$A$3:$A$53,0))))</f>
        <v>0</v>
      </c>
      <c r="T72" s="75">
        <f t="array" ref="T72">IF(ISERROR(index(Res_AllFuels_SEDS_2022_TBtus!$R$3:$R$53,match($A72&amp;T$65,Res_AllFuels_SEDS_2022_TBtus!$B$3:$B$53&amp;Res_AllFuels_SEDS_2022_TBtus!$A$3:$A$53,0))),0,(index(Res_AllFuels_SEDS_2022_TBtus!$R$3:$R$53,match($A72&amp;T$65,Res_AllFuels_SEDS_2022_TBtus!$B$3:$B$53&amp;Res_AllFuels_SEDS_2022_TBtus!$A$3:$A$53,0))))</f>
        <v>109.2</v>
      </c>
      <c r="U72" s="75">
        <f t="array" ref="U72">IF(ISERROR(index(Res_AllFuels_SEDS_2022_TBtus!$R$3:$R$53,match($A72&amp;U$65,Res_AllFuels_SEDS_2022_TBtus!$B$3:$B$53&amp;Res_AllFuels_SEDS_2022_TBtus!$A$3:$A$53,0))),0,(index(Res_AllFuels_SEDS_2022_TBtus!$R$3:$R$53,match($A72&amp;U$65,Res_AllFuels_SEDS_2022_TBtus!$B$3:$B$53&amp;Res_AllFuels_SEDS_2022_TBtus!$A$3:$A$53,0))))</f>
        <v>0</v>
      </c>
      <c r="V72" s="75">
        <f t="array" ref="V72">IF(ISERROR(index(Res_AllFuels_SEDS_2022_TBtus!$R$3:$R$53,match($A72&amp;V$65,Res_AllFuels_SEDS_2022_TBtus!$B$3:$B$53&amp;Res_AllFuels_SEDS_2022_TBtus!$A$3:$A$53,0))),0,(index(Res_AllFuels_SEDS_2022_TBtus!$R$3:$R$53,match($A72&amp;V$65,Res_AllFuels_SEDS_2022_TBtus!$B$3:$B$53&amp;Res_AllFuels_SEDS_2022_TBtus!$A$3:$A$53,0))))</f>
        <v>0</v>
      </c>
      <c r="W72" s="75">
        <f t="array" ref="W72">IF(ISERROR(index(Res_AllFuels_SEDS_2022_TBtus!$R$3:$R$53,match($A72&amp;W$65,Res_AllFuels_SEDS_2022_TBtus!$B$3:$B$53&amp;Res_AllFuels_SEDS_2022_TBtus!$A$3:$A$53,0))),0,(index(Res_AllFuels_SEDS_2022_TBtus!$R$3:$R$53,match($A72&amp;W$65,Res_AllFuels_SEDS_2022_TBtus!$B$3:$B$53&amp;Res_AllFuels_SEDS_2022_TBtus!$A$3:$A$53,0))))</f>
        <v>0</v>
      </c>
      <c r="X72" s="75">
        <f t="array" ref="X72">IF(ISERROR(index(Res_AllFuels_SEDS_2022_TBtus!$R$3:$R$53,match($A72&amp;X$65,Res_AllFuels_SEDS_2022_TBtus!$B$3:$B$53&amp;Res_AllFuels_SEDS_2022_TBtus!$A$3:$A$53,0))),0,(index(Res_AllFuels_SEDS_2022_TBtus!$R$3:$R$53,match($A72&amp;X$65,Res_AllFuels_SEDS_2022_TBtus!$B$3:$B$53&amp;Res_AllFuels_SEDS_2022_TBtus!$A$3:$A$53,0))))</f>
        <v>0</v>
      </c>
      <c r="Y72" s="75">
        <f t="array" ref="Y72">IF(ISERROR(index(Res_AllFuels_SEDS_2022_TBtus!$R$3:$R$53,match($A72&amp;Y$65,Res_AllFuels_SEDS_2022_TBtus!$B$3:$B$53&amp;Res_AllFuels_SEDS_2022_TBtus!$A$3:$A$53,0))),0,(index(Res_AllFuels_SEDS_2022_TBtus!$R$3:$R$53,match($A72&amp;Y$65,Res_AllFuels_SEDS_2022_TBtus!$B$3:$B$53&amp;Res_AllFuels_SEDS_2022_TBtus!$A$3:$A$53,0))))</f>
        <v>0</v>
      </c>
      <c r="Z72" s="75">
        <f t="array" ref="Z72">IF(ISERROR(index(Res_AllFuels_SEDS_2022_TBtus!$R$3:$R$53,match($A72&amp;Z$65,Res_AllFuels_SEDS_2022_TBtus!$B$3:$B$53&amp;Res_AllFuels_SEDS_2022_TBtus!$A$3:$A$53,0))),0,(index(Res_AllFuels_SEDS_2022_TBtus!$R$3:$R$53,match($A72&amp;Z$65,Res_AllFuels_SEDS_2022_TBtus!$B$3:$B$53&amp;Res_AllFuels_SEDS_2022_TBtus!$A$3:$A$53,0))))</f>
        <v>0</v>
      </c>
      <c r="AA72" s="75">
        <f t="array" ref="AA72">IF(ISERROR(index(Res_AllFuels_SEDS_2022_TBtus!$R$3:$R$53,match($A72&amp;AA$65,Res_AllFuels_SEDS_2022_TBtus!$B$3:$B$53&amp;Res_AllFuels_SEDS_2022_TBtus!$A$3:$A$53,0))),0,(index(Res_AllFuels_SEDS_2022_TBtus!$R$3:$R$53,match($A72&amp;AA$65,Res_AllFuels_SEDS_2022_TBtus!$B$3:$B$53&amp;Res_AllFuels_SEDS_2022_TBtus!$A$3:$A$53,0))))</f>
        <v>0</v>
      </c>
      <c r="AB72" s="75">
        <f t="array" ref="AB72">IF(ISERROR(index(Res_AllFuels_SEDS_2022_TBtus!$R$3:$R$53,match($A72&amp;AB$65,Res_AllFuels_SEDS_2022_TBtus!$B$3:$B$53&amp;Res_AllFuels_SEDS_2022_TBtus!$A$3:$A$53,0))),0,(index(Res_AllFuels_SEDS_2022_TBtus!$R$3:$R$53,match($A72&amp;AB$65,Res_AllFuels_SEDS_2022_TBtus!$B$3:$B$53&amp;Res_AllFuels_SEDS_2022_TBtus!$A$3:$A$53,0))))</f>
        <v>0</v>
      </c>
      <c r="AC72" s="75">
        <f t="array" ref="AC72">IF(ISERROR(index(Res_AllFuels_SEDS_2022_TBtus!$R$3:$R$53,match($A72&amp;AC$65,Res_AllFuels_SEDS_2022_TBtus!$B$3:$B$53&amp;Res_AllFuels_SEDS_2022_TBtus!$A$3:$A$53,0))),0,(index(Res_AllFuels_SEDS_2022_TBtus!$R$3:$R$53,match($A72&amp;AC$65,Res_AllFuels_SEDS_2022_TBtus!$B$3:$B$53&amp;Res_AllFuels_SEDS_2022_TBtus!$A$3:$A$53,0))))</f>
        <v>0</v>
      </c>
      <c r="AD72" s="75">
        <f t="array" ref="AD72">IF(ISERROR(index(Res_AllFuels_SEDS_2022_TBtus!$R$3:$R$53,match($A72&amp;AD$65,Res_AllFuels_SEDS_2022_TBtus!$B$3:$B$53&amp;Res_AllFuels_SEDS_2022_TBtus!$A$3:$A$53,0))),0,(index(Res_AllFuels_SEDS_2022_TBtus!$R$3:$R$53,match($A72&amp;AD$65,Res_AllFuels_SEDS_2022_TBtus!$B$3:$B$53&amp;Res_AllFuels_SEDS_2022_TBtus!$A$3:$A$53,0))))</f>
        <v>0</v>
      </c>
      <c r="AE72" s="75">
        <f t="array" ref="AE72">IF(ISERROR(index(Res_AllFuels_SEDS_2022_TBtus!$R$3:$R$53,match($A72&amp;AE$65,Res_AllFuels_SEDS_2022_TBtus!$B$3:$B$53&amp;Res_AllFuels_SEDS_2022_TBtus!$A$3:$A$53,0))),0,(index(Res_AllFuels_SEDS_2022_TBtus!$R$3:$R$53,match($A72&amp;AE$65,Res_AllFuels_SEDS_2022_TBtus!$B$3:$B$53&amp;Res_AllFuels_SEDS_2022_TBtus!$A$3:$A$53,0))))</f>
        <v>0</v>
      </c>
      <c r="AF72" s="75">
        <f t="array" ref="AF72">IF(ISERROR(index(Res_AllFuels_SEDS_2022_TBtus!$R$3:$R$53,match($A72&amp;AF$65,Res_AllFuels_SEDS_2022_TBtus!$B$3:$B$53&amp;Res_AllFuels_SEDS_2022_TBtus!$A$3:$A$53,0))),0,(index(Res_AllFuels_SEDS_2022_TBtus!$R$3:$R$53,match($A72&amp;AF$65,Res_AllFuels_SEDS_2022_TBtus!$B$3:$B$53&amp;Res_AllFuels_SEDS_2022_TBtus!$A$3:$A$53,0))))</f>
        <v>0</v>
      </c>
      <c r="AG72" s="75">
        <f t="array" ref="AG72">IF(ISERROR(index(Res_AllFuels_SEDS_2022_TBtus!$R$3:$R$53,match($A72&amp;AG$65,Res_AllFuels_SEDS_2022_TBtus!$B$3:$B$53&amp;Res_AllFuels_SEDS_2022_TBtus!$A$3:$A$53,0))),0,(index(Res_AllFuels_SEDS_2022_TBtus!$R$3:$R$53,match($A72&amp;AG$65,Res_AllFuels_SEDS_2022_TBtus!$B$3:$B$53&amp;Res_AllFuels_SEDS_2022_TBtus!$A$3:$A$53,0))))</f>
        <v>0</v>
      </c>
      <c r="AH72" s="75">
        <f t="array" ref="AH72">IF(ISERROR(index(Res_AllFuels_SEDS_2022_TBtus!$R$3:$R$53,match($A72&amp;AH$65,Res_AllFuels_SEDS_2022_TBtus!$B$3:$B$53&amp;Res_AllFuels_SEDS_2022_TBtus!$A$3:$A$53,0))),0,(index(Res_AllFuels_SEDS_2022_TBtus!$R$3:$R$53,match($A72&amp;AH$65,Res_AllFuels_SEDS_2022_TBtus!$B$3:$B$53&amp;Res_AllFuels_SEDS_2022_TBtus!$A$3:$A$53,0))))</f>
        <v>0</v>
      </c>
      <c r="AI72" s="75">
        <f t="array" ref="AI72">IF(ISERROR(index(Res_AllFuels_SEDS_2022_TBtus!$R$3:$R$53,match($A72&amp;AI$65,Res_AllFuels_SEDS_2022_TBtus!$B$3:$B$53&amp;Res_AllFuels_SEDS_2022_TBtus!$A$3:$A$53,0))),0,(index(Res_AllFuels_SEDS_2022_TBtus!$R$3:$R$53,match($A72&amp;AI$65,Res_AllFuels_SEDS_2022_TBtus!$B$3:$B$53&amp;Res_AllFuels_SEDS_2022_TBtus!$A$3:$A$53,0))))</f>
        <v>0</v>
      </c>
      <c r="AJ72" s="75">
        <f t="array" ref="AJ72">IF(ISERROR(index(Res_AllFuels_SEDS_2022_TBtus!$R$3:$R$53,match($A72&amp;AJ$65,Res_AllFuels_SEDS_2022_TBtus!$B$3:$B$53&amp;Res_AllFuels_SEDS_2022_TBtus!$A$3:$A$53,0))),0,(index(Res_AllFuels_SEDS_2022_TBtus!$R$3:$R$53,match($A72&amp;AJ$65,Res_AllFuels_SEDS_2022_TBtus!$B$3:$B$53&amp;Res_AllFuels_SEDS_2022_TBtus!$A$3:$A$53,0))))</f>
        <v>0</v>
      </c>
      <c r="AK72" s="75">
        <f t="array" ref="AK72">IF(ISERROR(index(Res_AllFuels_SEDS_2022_TBtus!$R$3:$R$53,match($A72&amp;AK$65,Res_AllFuels_SEDS_2022_TBtus!$B$3:$B$53&amp;Res_AllFuels_SEDS_2022_TBtus!$A$3:$A$53,0))),0,(index(Res_AllFuels_SEDS_2022_TBtus!$R$3:$R$53,match($A72&amp;AK$65,Res_AllFuels_SEDS_2022_TBtus!$B$3:$B$53&amp;Res_AllFuels_SEDS_2022_TBtus!$A$3:$A$53,0))))</f>
        <v>0</v>
      </c>
      <c r="AL72" s="75">
        <f t="array" ref="AL72">IF(ISERROR(index(Res_AllFuels_SEDS_2022_TBtus!$R$3:$R$53,match($A72&amp;AL$65,Res_AllFuels_SEDS_2022_TBtus!$B$3:$B$53&amp;Res_AllFuels_SEDS_2022_TBtus!$A$3:$A$53,0))),0,(index(Res_AllFuels_SEDS_2022_TBtus!$R$3:$R$53,match($A72&amp;AL$65,Res_AllFuels_SEDS_2022_TBtus!$B$3:$B$53&amp;Res_AllFuels_SEDS_2022_TBtus!$A$3:$A$53,0))))</f>
        <v>87.2</v>
      </c>
      <c r="AM72" s="75">
        <f t="array" ref="AM72">IF(ISERROR(index(Res_AllFuels_SEDS_2022_TBtus!$R$3:$R$53,match($A72&amp;AM$65,Res_AllFuels_SEDS_2022_TBtus!$B$3:$B$53&amp;Res_AllFuels_SEDS_2022_TBtus!$A$3:$A$53,0))),0,(index(Res_AllFuels_SEDS_2022_TBtus!$R$3:$R$53,match($A72&amp;AM$65,Res_AllFuels_SEDS_2022_TBtus!$B$3:$B$53&amp;Res_AllFuels_SEDS_2022_TBtus!$A$3:$A$53,0))))</f>
        <v>0</v>
      </c>
      <c r="AN72" s="75">
        <f t="array" ref="AN72">IF(ISERROR(index(Res_AllFuels_SEDS_2022_TBtus!$R$3:$R$53,match($A72&amp;AN$65,Res_AllFuels_SEDS_2022_TBtus!$B$3:$B$53&amp;Res_AllFuels_SEDS_2022_TBtus!$A$3:$A$53,0))),0,(index(Res_AllFuels_SEDS_2022_TBtus!$R$3:$R$53,match($A72&amp;AN$65,Res_AllFuels_SEDS_2022_TBtus!$B$3:$B$53&amp;Res_AllFuels_SEDS_2022_TBtus!$A$3:$A$53,0))))</f>
        <v>0</v>
      </c>
      <c r="AO72" s="75">
        <f t="array" ref="AO72">IF(ISERROR(index(Res_AllFuels_SEDS_2022_TBtus!$R$3:$R$53,match($A72&amp;AO$65,Res_AllFuels_SEDS_2022_TBtus!$B$3:$B$53&amp;Res_AllFuels_SEDS_2022_TBtus!$A$3:$A$53,0))),0,(index(Res_AllFuels_SEDS_2022_TBtus!$R$3:$R$53,match($A72&amp;AO$65,Res_AllFuels_SEDS_2022_TBtus!$B$3:$B$53&amp;Res_AllFuels_SEDS_2022_TBtus!$A$3:$A$53,0))))</f>
        <v>0</v>
      </c>
      <c r="AP72" s="75">
        <f t="array" ref="AP72">IF(ISERROR(index(Res_AllFuels_SEDS_2022_TBtus!$R$3:$R$53,match($A72&amp;AP$65,Res_AllFuels_SEDS_2022_TBtus!$B$3:$B$53&amp;Res_AllFuels_SEDS_2022_TBtus!$A$3:$A$53,0))),0,(index(Res_AllFuels_SEDS_2022_TBtus!$R$3:$R$53,match($A72&amp;AP$65,Res_AllFuels_SEDS_2022_TBtus!$B$3:$B$53&amp;Res_AllFuels_SEDS_2022_TBtus!$A$3:$A$53,0))))</f>
        <v>0</v>
      </c>
      <c r="AQ72" s="75">
        <f t="array" ref="AQ72">IF(ISERROR(index(Res_AllFuels_SEDS_2022_TBtus!$R$3:$R$53,match($A72&amp;AQ$65,Res_AllFuels_SEDS_2022_TBtus!$B$3:$B$53&amp;Res_AllFuels_SEDS_2022_TBtus!$A$3:$A$53,0))),0,(index(Res_AllFuels_SEDS_2022_TBtus!$R$3:$R$53,match($A72&amp;AQ$65,Res_AllFuels_SEDS_2022_TBtus!$B$3:$B$53&amp;Res_AllFuels_SEDS_2022_TBtus!$A$3:$A$53,0))))</f>
        <v>0</v>
      </c>
      <c r="AR72" s="75">
        <f t="array" ref="AR72">IF(ISERROR(index(Res_AllFuels_SEDS_2022_TBtus!$R$3:$R$53,match($A72&amp;AR$65,Res_AllFuels_SEDS_2022_TBtus!$B$3:$B$53&amp;Res_AllFuels_SEDS_2022_TBtus!$A$3:$A$53,0))),0,(index(Res_AllFuels_SEDS_2022_TBtus!$R$3:$R$53,match($A72&amp;AR$65,Res_AllFuels_SEDS_2022_TBtus!$B$3:$B$53&amp;Res_AllFuels_SEDS_2022_TBtus!$A$3:$A$53,0))))</f>
        <v>0</v>
      </c>
      <c r="AS72" s="75">
        <f t="array" ref="AS72">IF(ISERROR(index(Res_AllFuels_SEDS_2022_TBtus!$R$3:$R$53,match($A72&amp;AS$65,Res_AllFuels_SEDS_2022_TBtus!$B$3:$B$53&amp;Res_AllFuels_SEDS_2022_TBtus!$A$3:$A$53,0))),0,(index(Res_AllFuels_SEDS_2022_TBtus!$R$3:$R$53,match($A72&amp;AS$65,Res_AllFuels_SEDS_2022_TBtus!$B$3:$B$53&amp;Res_AllFuels_SEDS_2022_TBtus!$A$3:$A$53,0))))</f>
        <v>593.1</v>
      </c>
      <c r="AT72" s="75">
        <f t="array" ref="AT72">IF(ISERROR(index(Res_AllFuels_SEDS_2022_TBtus!$R$3:$R$53,match($A72&amp;AT$65,Res_AllFuels_SEDS_2022_TBtus!$B$3:$B$53&amp;Res_AllFuels_SEDS_2022_TBtus!$A$3:$A$53,0))),0,(index(Res_AllFuels_SEDS_2022_TBtus!$R$3:$R$53,match($A72&amp;AT$65,Res_AllFuels_SEDS_2022_TBtus!$B$3:$B$53&amp;Res_AllFuels_SEDS_2022_TBtus!$A$3:$A$53,0))))</f>
        <v>0</v>
      </c>
      <c r="AU72" s="75">
        <f t="array" ref="AU72">IF(ISERROR(index(Res_AllFuels_SEDS_2022_TBtus!$R$3:$R$53,match($A72&amp;AU$65,Res_AllFuels_SEDS_2022_TBtus!$B$3:$B$53&amp;Res_AllFuels_SEDS_2022_TBtus!$A$3:$A$53,0))),0,(index(Res_AllFuels_SEDS_2022_TBtus!$R$3:$R$53,match($A72&amp;AU$65,Res_AllFuels_SEDS_2022_TBtus!$B$3:$B$53&amp;Res_AllFuels_SEDS_2022_TBtus!$A$3:$A$53,0))))</f>
        <v>0</v>
      </c>
      <c r="AV72" s="75">
        <f t="array" ref="AV72">IF(ISERROR(index(Res_AllFuels_SEDS_2022_TBtus!$R$3:$R$53,match($A72&amp;AV$65,Res_AllFuels_SEDS_2022_TBtus!$B$3:$B$53&amp;Res_AllFuels_SEDS_2022_TBtus!$A$3:$A$53,0))),0,(index(Res_AllFuels_SEDS_2022_TBtus!$R$3:$R$53,match($A72&amp;AV$65,Res_AllFuels_SEDS_2022_TBtus!$B$3:$B$53&amp;Res_AllFuels_SEDS_2022_TBtus!$A$3:$A$53,0))))</f>
        <v>0</v>
      </c>
      <c r="AW72" s="75">
        <f t="array" ref="AW72">IF(ISERROR(index(Res_AllFuels_SEDS_2022_TBtus!$R$3:$R$53,match($A72&amp;AW$65,Res_AllFuels_SEDS_2022_TBtus!$B$3:$B$53&amp;Res_AllFuels_SEDS_2022_TBtus!$A$3:$A$53,0))),0,(index(Res_AllFuels_SEDS_2022_TBtus!$R$3:$R$53,match($A72&amp;AW$65,Res_AllFuels_SEDS_2022_TBtus!$B$3:$B$53&amp;Res_AllFuels_SEDS_2022_TBtus!$A$3:$A$53,0))))</f>
        <v>0</v>
      </c>
      <c r="AX72" s="75">
        <f t="array" ref="AX72">IF(ISERROR(index(Res_AllFuels_SEDS_2022_TBtus!$R$3:$R$53,match($A72&amp;AX$65,Res_AllFuels_SEDS_2022_TBtus!$B$3:$B$53&amp;Res_AllFuels_SEDS_2022_TBtus!$A$3:$A$53,0))),0,(index(Res_AllFuels_SEDS_2022_TBtus!$R$3:$R$53,match($A72&amp;AX$65,Res_AllFuels_SEDS_2022_TBtus!$B$3:$B$53&amp;Res_AllFuels_SEDS_2022_TBtus!$A$3:$A$53,0))))</f>
        <v>0</v>
      </c>
      <c r="AY72" s="75">
        <f t="array" ref="AY72">IF(ISERROR(index(Res_AllFuels_SEDS_2022_TBtus!$R$3:$R$53,match($A72&amp;AY$65,Res_AllFuels_SEDS_2022_TBtus!$B$3:$B$53&amp;Res_AllFuels_SEDS_2022_TBtus!$A$3:$A$53,0))),0,(index(Res_AllFuels_SEDS_2022_TBtus!$R$3:$R$53,match($A72&amp;AY$65,Res_AllFuels_SEDS_2022_TBtus!$B$3:$B$53&amp;Res_AllFuels_SEDS_2022_TBtus!$A$3:$A$53,0))))</f>
        <v>0</v>
      </c>
      <c r="AZ72" s="75">
        <f t="array" ref="AZ72">IF(ISERROR(index(Res_AllFuels_SEDS_2022_TBtus!$R$3:$R$53,match($A72&amp;AZ$65,Res_AllFuels_SEDS_2022_TBtus!$B$3:$B$53&amp;Res_AllFuels_SEDS_2022_TBtus!$A$3:$A$53,0))),0,(index(Res_AllFuels_SEDS_2022_TBtus!$R$3:$R$53,match($A72&amp;AZ$65,Res_AllFuels_SEDS_2022_TBtus!$B$3:$B$53&amp;Res_AllFuels_SEDS_2022_TBtus!$A$3:$A$53,0))))</f>
        <v>0</v>
      </c>
      <c r="BA72" s="74">
        <f t="shared" si="1"/>
        <v>856.5</v>
      </c>
    </row>
    <row r="73" ht="15.75" customHeight="1">
      <c r="A73" s="74">
        <v>8.0</v>
      </c>
      <c r="B73" s="75">
        <f t="array" ref="B73">IF(ISERROR(index(Res_AllFuels_SEDS_2022_TBtus!$R$3:$R$53,match($A73&amp;B$65,Res_AllFuels_SEDS_2022_TBtus!$B$3:$B$53&amp;Res_AllFuels_SEDS_2022_TBtus!$A$3:$A$53,0))),0,(index(Res_AllFuels_SEDS_2022_TBtus!$R$3:$R$53,match($A73&amp;B$65,Res_AllFuels_SEDS_2022_TBtus!$B$3:$B$53&amp;Res_AllFuels_SEDS_2022_TBtus!$A$3:$A$53,0))))</f>
        <v>0</v>
      </c>
      <c r="C73" s="75">
        <f t="array" ref="C73">IF(ISERROR(index(Res_AllFuels_SEDS_2022_TBtus!$R$3:$R$53,match($A73&amp;C$65,Res_AllFuels_SEDS_2022_TBtus!$B$3:$B$53&amp;Res_AllFuels_SEDS_2022_TBtus!$A$3:$A$53,0))),0,(index(Res_AllFuels_SEDS_2022_TBtus!$R$3:$R$53,match($A73&amp;C$65,Res_AllFuels_SEDS_2022_TBtus!$B$3:$B$53&amp;Res_AllFuels_SEDS_2022_TBtus!$A$3:$A$53,0))))</f>
        <v>0</v>
      </c>
      <c r="D73" s="75">
        <f t="array" ref="D73">IF(ISERROR(index(Res_AllFuels_SEDS_2022_TBtus!$R$3:$R$53,match($A73&amp;D$65,Res_AllFuels_SEDS_2022_TBtus!$B$3:$B$53&amp;Res_AllFuels_SEDS_2022_TBtus!$A$3:$A$53,0))),0,(index(Res_AllFuels_SEDS_2022_TBtus!$R$3:$R$53,match($A73&amp;D$65,Res_AllFuels_SEDS_2022_TBtus!$B$3:$B$53&amp;Res_AllFuels_SEDS_2022_TBtus!$A$3:$A$53,0))))</f>
        <v>145</v>
      </c>
      <c r="E73" s="75">
        <f t="array" ref="E73">IF(ISERROR(index(Res_AllFuels_SEDS_2022_TBtus!$R$3:$R$53,match($A73&amp;E$65,Res_AllFuels_SEDS_2022_TBtus!$B$3:$B$53&amp;Res_AllFuels_SEDS_2022_TBtus!$A$3:$A$53,0))),0,(index(Res_AllFuels_SEDS_2022_TBtus!$R$3:$R$53,match($A73&amp;E$65,Res_AllFuels_SEDS_2022_TBtus!$B$3:$B$53&amp;Res_AllFuels_SEDS_2022_TBtus!$A$3:$A$53,0))))</f>
        <v>0</v>
      </c>
      <c r="F73" s="75">
        <f t="array" ref="F73">IF(ISERROR(index(Res_AllFuels_SEDS_2022_TBtus!$R$3:$R$53,match($A73&amp;F$65,Res_AllFuels_SEDS_2022_TBtus!$B$3:$B$53&amp;Res_AllFuels_SEDS_2022_TBtus!$A$3:$A$53,0))),0,(index(Res_AllFuels_SEDS_2022_TBtus!$R$3:$R$53,match($A73&amp;F$65,Res_AllFuels_SEDS_2022_TBtus!$B$3:$B$53&amp;Res_AllFuels_SEDS_2022_TBtus!$A$3:$A$53,0))))</f>
        <v>0</v>
      </c>
      <c r="G73" s="75">
        <f t="array" ref="G73">IF(ISERROR(index(Res_AllFuels_SEDS_2022_TBtus!$R$3:$R$53,match($A73&amp;G$65,Res_AllFuels_SEDS_2022_TBtus!$B$3:$B$53&amp;Res_AllFuels_SEDS_2022_TBtus!$A$3:$A$53,0))),0,(index(Res_AllFuels_SEDS_2022_TBtus!$R$3:$R$53,match($A73&amp;G$65,Res_AllFuels_SEDS_2022_TBtus!$B$3:$B$53&amp;Res_AllFuels_SEDS_2022_TBtus!$A$3:$A$53,0))))</f>
        <v>74.3</v>
      </c>
      <c r="H73" s="75">
        <f t="array" ref="H73">IF(ISERROR(index(Res_AllFuels_SEDS_2022_TBtus!$R$3:$R$53,match($A73&amp;H$65,Res_AllFuels_SEDS_2022_TBtus!$B$3:$B$53&amp;Res_AllFuels_SEDS_2022_TBtus!$A$3:$A$53,0))),0,(index(Res_AllFuels_SEDS_2022_TBtus!$R$3:$R$53,match($A73&amp;H$65,Res_AllFuels_SEDS_2022_TBtus!$B$3:$B$53&amp;Res_AllFuels_SEDS_2022_TBtus!$A$3:$A$53,0))))</f>
        <v>0</v>
      </c>
      <c r="I73" s="75">
        <f t="array" ref="I73">IF(ISERROR(index(Res_AllFuels_SEDS_2022_TBtus!$R$3:$R$53,match($A73&amp;I$65,Res_AllFuels_SEDS_2022_TBtus!$B$3:$B$53&amp;Res_AllFuels_SEDS_2022_TBtus!$A$3:$A$53,0))),0,(index(Res_AllFuels_SEDS_2022_TBtus!$R$3:$R$53,match($A73&amp;I$65,Res_AllFuels_SEDS_2022_TBtus!$B$3:$B$53&amp;Res_AllFuels_SEDS_2022_TBtus!$A$3:$A$53,0))))</f>
        <v>0</v>
      </c>
      <c r="J73" s="75">
        <f t="array" ref="J73">IF(ISERROR(index(Res_AllFuels_SEDS_2022_TBtus!$R$3:$R$53,match($A73&amp;J$65,Res_AllFuels_SEDS_2022_TBtus!$B$3:$B$53&amp;Res_AllFuels_SEDS_2022_TBtus!$A$3:$A$53,0))),0,(index(Res_AllFuels_SEDS_2022_TBtus!$R$3:$R$53,match($A73&amp;J$65,Res_AllFuels_SEDS_2022_TBtus!$B$3:$B$53&amp;Res_AllFuels_SEDS_2022_TBtus!$A$3:$A$53,0))))</f>
        <v>0</v>
      </c>
      <c r="K73" s="75">
        <f t="array" ref="K73">IF(ISERROR(index(Res_AllFuels_SEDS_2022_TBtus!$R$3:$R$53,match($A73&amp;K$65,Res_AllFuels_SEDS_2022_TBtus!$B$3:$B$53&amp;Res_AllFuels_SEDS_2022_TBtus!$A$3:$A$53,0))),0,(index(Res_AllFuels_SEDS_2022_TBtus!$R$3:$R$53,match($A73&amp;K$65,Res_AllFuels_SEDS_2022_TBtus!$B$3:$B$53&amp;Res_AllFuels_SEDS_2022_TBtus!$A$3:$A$53,0))))</f>
        <v>0</v>
      </c>
      <c r="L73" s="75">
        <f t="array" ref="L73">IF(ISERROR(index(Res_AllFuels_SEDS_2022_TBtus!$R$3:$R$53,match($A73&amp;L$65,Res_AllFuels_SEDS_2022_TBtus!$B$3:$B$53&amp;Res_AllFuels_SEDS_2022_TBtus!$A$3:$A$53,0))),0,(index(Res_AllFuels_SEDS_2022_TBtus!$R$3:$R$53,match($A73&amp;L$65,Res_AllFuels_SEDS_2022_TBtus!$B$3:$B$53&amp;Res_AllFuels_SEDS_2022_TBtus!$A$3:$A$53,0))))</f>
        <v>0</v>
      </c>
      <c r="M73" s="75">
        <f t="array" ref="M73">IF(ISERROR(index(Res_AllFuels_SEDS_2022_TBtus!$R$3:$R$53,match($A73&amp;M$65,Res_AllFuels_SEDS_2022_TBtus!$B$3:$B$53&amp;Res_AllFuels_SEDS_2022_TBtus!$A$3:$A$53,0))),0,(index(Res_AllFuels_SEDS_2022_TBtus!$R$3:$R$53,match($A73&amp;M$65,Res_AllFuels_SEDS_2022_TBtus!$B$3:$B$53&amp;Res_AllFuels_SEDS_2022_TBtus!$A$3:$A$53,0))))</f>
        <v>0</v>
      </c>
      <c r="N73" s="75">
        <f t="array" ref="N73">IF(ISERROR(index(Res_AllFuels_SEDS_2022_TBtus!$R$3:$R$53,match($A73&amp;N$65,Res_AllFuels_SEDS_2022_TBtus!$B$3:$B$53&amp;Res_AllFuels_SEDS_2022_TBtus!$A$3:$A$53,0))),0,(index(Res_AllFuels_SEDS_2022_TBtus!$R$3:$R$53,match($A73&amp;N$65,Res_AllFuels_SEDS_2022_TBtus!$B$3:$B$53&amp;Res_AllFuels_SEDS_2022_TBtus!$A$3:$A$53,0))))</f>
        <v>34.6</v>
      </c>
      <c r="O73" s="75">
        <f t="array" ref="O73">IF(ISERROR(index(Res_AllFuels_SEDS_2022_TBtus!$R$3:$R$53,match($A73&amp;O$65,Res_AllFuels_SEDS_2022_TBtus!$B$3:$B$53&amp;Res_AllFuels_SEDS_2022_TBtus!$A$3:$A$53,0))),0,(index(Res_AllFuels_SEDS_2022_TBtus!$R$3:$R$53,match($A73&amp;O$65,Res_AllFuels_SEDS_2022_TBtus!$B$3:$B$53&amp;Res_AllFuels_SEDS_2022_TBtus!$A$3:$A$53,0))))</f>
        <v>0</v>
      </c>
      <c r="P73" s="75">
        <f t="array" ref="P73">IF(ISERROR(index(Res_AllFuels_SEDS_2022_TBtus!$R$3:$R$53,match($A73&amp;P$65,Res_AllFuels_SEDS_2022_TBtus!$B$3:$B$53&amp;Res_AllFuels_SEDS_2022_TBtus!$A$3:$A$53,0))),0,(index(Res_AllFuels_SEDS_2022_TBtus!$R$3:$R$53,match($A73&amp;P$65,Res_AllFuels_SEDS_2022_TBtus!$B$3:$B$53&amp;Res_AllFuels_SEDS_2022_TBtus!$A$3:$A$53,0))))</f>
        <v>0</v>
      </c>
      <c r="Q73" s="75">
        <f t="array" ref="Q73">IF(ISERROR(index(Res_AllFuels_SEDS_2022_TBtus!$R$3:$R$53,match($A73&amp;Q$65,Res_AllFuels_SEDS_2022_TBtus!$B$3:$B$53&amp;Res_AllFuels_SEDS_2022_TBtus!$A$3:$A$53,0))),0,(index(Res_AllFuels_SEDS_2022_TBtus!$R$3:$R$53,match($A73&amp;Q$65,Res_AllFuels_SEDS_2022_TBtus!$B$3:$B$53&amp;Res_AllFuels_SEDS_2022_TBtus!$A$3:$A$53,0))))</f>
        <v>0</v>
      </c>
      <c r="R73" s="75">
        <f t="array" ref="R73">IF(ISERROR(index(Res_AllFuels_SEDS_2022_TBtus!$R$3:$R$53,match($A73&amp;R$65,Res_AllFuels_SEDS_2022_TBtus!$B$3:$B$53&amp;Res_AllFuels_SEDS_2022_TBtus!$A$3:$A$53,0))),0,(index(Res_AllFuels_SEDS_2022_TBtus!$R$3:$R$53,match($A73&amp;R$65,Res_AllFuels_SEDS_2022_TBtus!$B$3:$B$53&amp;Res_AllFuels_SEDS_2022_TBtus!$A$3:$A$53,0))))</f>
        <v>0</v>
      </c>
      <c r="S73" s="75">
        <f t="array" ref="S73">IF(ISERROR(index(Res_AllFuels_SEDS_2022_TBtus!$R$3:$R$53,match($A73&amp;S$65,Res_AllFuels_SEDS_2022_TBtus!$B$3:$B$53&amp;Res_AllFuels_SEDS_2022_TBtus!$A$3:$A$53,0))),0,(index(Res_AllFuels_SEDS_2022_TBtus!$R$3:$R$53,match($A73&amp;S$65,Res_AllFuels_SEDS_2022_TBtus!$B$3:$B$53&amp;Res_AllFuels_SEDS_2022_TBtus!$A$3:$A$53,0))))</f>
        <v>0</v>
      </c>
      <c r="T73" s="75">
        <f t="array" ref="T73">IF(ISERROR(index(Res_AllFuels_SEDS_2022_TBtus!$R$3:$R$53,match($A73&amp;T$65,Res_AllFuels_SEDS_2022_TBtus!$B$3:$B$53&amp;Res_AllFuels_SEDS_2022_TBtus!$A$3:$A$53,0))),0,(index(Res_AllFuels_SEDS_2022_TBtus!$R$3:$R$53,match($A73&amp;T$65,Res_AllFuels_SEDS_2022_TBtus!$B$3:$B$53&amp;Res_AllFuels_SEDS_2022_TBtus!$A$3:$A$53,0))))</f>
        <v>0</v>
      </c>
      <c r="U73" s="75">
        <f t="array" ref="U73">IF(ISERROR(index(Res_AllFuels_SEDS_2022_TBtus!$R$3:$R$53,match($A73&amp;U$65,Res_AllFuels_SEDS_2022_TBtus!$B$3:$B$53&amp;Res_AllFuels_SEDS_2022_TBtus!$A$3:$A$53,0))),0,(index(Res_AllFuels_SEDS_2022_TBtus!$R$3:$R$53,match($A73&amp;U$65,Res_AllFuels_SEDS_2022_TBtus!$B$3:$B$53&amp;Res_AllFuels_SEDS_2022_TBtus!$A$3:$A$53,0))))</f>
        <v>0</v>
      </c>
      <c r="V73" s="75">
        <f t="array" ref="V73">IF(ISERROR(index(Res_AllFuels_SEDS_2022_TBtus!$R$3:$R$53,match($A73&amp;V$65,Res_AllFuels_SEDS_2022_TBtus!$B$3:$B$53&amp;Res_AllFuels_SEDS_2022_TBtus!$A$3:$A$53,0))),0,(index(Res_AllFuels_SEDS_2022_TBtus!$R$3:$R$53,match($A73&amp;V$65,Res_AllFuels_SEDS_2022_TBtus!$B$3:$B$53&amp;Res_AllFuels_SEDS_2022_TBtus!$A$3:$A$53,0))))</f>
        <v>0</v>
      </c>
      <c r="W73" s="75">
        <f t="array" ref="W73">IF(ISERROR(index(Res_AllFuels_SEDS_2022_TBtus!$R$3:$R$53,match($A73&amp;W$65,Res_AllFuels_SEDS_2022_TBtus!$B$3:$B$53&amp;Res_AllFuels_SEDS_2022_TBtus!$A$3:$A$53,0))),0,(index(Res_AllFuels_SEDS_2022_TBtus!$R$3:$R$53,match($A73&amp;W$65,Res_AllFuels_SEDS_2022_TBtus!$B$3:$B$53&amp;Res_AllFuels_SEDS_2022_TBtus!$A$3:$A$53,0))))</f>
        <v>0</v>
      </c>
      <c r="X73" s="75">
        <f t="array" ref="X73">IF(ISERROR(index(Res_AllFuels_SEDS_2022_TBtus!$R$3:$R$53,match($A73&amp;X$65,Res_AllFuels_SEDS_2022_TBtus!$B$3:$B$53&amp;Res_AllFuels_SEDS_2022_TBtus!$A$3:$A$53,0))),0,(index(Res_AllFuels_SEDS_2022_TBtus!$R$3:$R$53,match($A73&amp;X$65,Res_AllFuels_SEDS_2022_TBtus!$B$3:$B$53&amp;Res_AllFuels_SEDS_2022_TBtus!$A$3:$A$53,0))))</f>
        <v>0</v>
      </c>
      <c r="Y73" s="75">
        <f t="array" ref="Y73">IF(ISERROR(index(Res_AllFuels_SEDS_2022_TBtus!$R$3:$R$53,match($A73&amp;Y$65,Res_AllFuels_SEDS_2022_TBtus!$B$3:$B$53&amp;Res_AllFuels_SEDS_2022_TBtus!$A$3:$A$53,0))),0,(index(Res_AllFuels_SEDS_2022_TBtus!$R$3:$R$53,match($A73&amp;Y$65,Res_AllFuels_SEDS_2022_TBtus!$B$3:$B$53&amp;Res_AllFuels_SEDS_2022_TBtus!$A$3:$A$53,0))))</f>
        <v>0</v>
      </c>
      <c r="Z73" s="75">
        <f t="array" ref="Z73">IF(ISERROR(index(Res_AllFuels_SEDS_2022_TBtus!$R$3:$R$53,match($A73&amp;Z$65,Res_AllFuels_SEDS_2022_TBtus!$B$3:$B$53&amp;Res_AllFuels_SEDS_2022_TBtus!$A$3:$A$53,0))),0,(index(Res_AllFuels_SEDS_2022_TBtus!$R$3:$R$53,match($A73&amp;Z$65,Res_AllFuels_SEDS_2022_TBtus!$B$3:$B$53&amp;Res_AllFuels_SEDS_2022_TBtus!$A$3:$A$53,0))))</f>
        <v>0</v>
      </c>
      <c r="AA73" s="75">
        <f t="array" ref="AA73">IF(ISERROR(index(Res_AllFuels_SEDS_2022_TBtus!$R$3:$R$53,match($A73&amp;AA$65,Res_AllFuels_SEDS_2022_TBtus!$B$3:$B$53&amp;Res_AllFuels_SEDS_2022_TBtus!$A$3:$A$53,0))),0,(index(Res_AllFuels_SEDS_2022_TBtus!$R$3:$R$53,match($A73&amp;AA$65,Res_AllFuels_SEDS_2022_TBtus!$B$3:$B$53&amp;Res_AllFuels_SEDS_2022_TBtus!$A$3:$A$53,0))))</f>
        <v>0</v>
      </c>
      <c r="AB73" s="75">
        <f t="array" ref="AB73">IF(ISERROR(index(Res_AllFuels_SEDS_2022_TBtus!$R$3:$R$53,match($A73&amp;AB$65,Res_AllFuels_SEDS_2022_TBtus!$B$3:$B$53&amp;Res_AllFuels_SEDS_2022_TBtus!$A$3:$A$53,0))),0,(index(Res_AllFuels_SEDS_2022_TBtus!$R$3:$R$53,match($A73&amp;AB$65,Res_AllFuels_SEDS_2022_TBtus!$B$3:$B$53&amp;Res_AllFuels_SEDS_2022_TBtus!$A$3:$A$53,0))))</f>
        <v>20.3</v>
      </c>
      <c r="AC73" s="75">
        <f t="array" ref="AC73">IF(ISERROR(index(Res_AllFuels_SEDS_2022_TBtus!$R$3:$R$53,match($A73&amp;AC$65,Res_AllFuels_SEDS_2022_TBtus!$B$3:$B$53&amp;Res_AllFuels_SEDS_2022_TBtus!$A$3:$A$53,0))),0,(index(Res_AllFuels_SEDS_2022_TBtus!$R$3:$R$53,match($A73&amp;AC$65,Res_AllFuels_SEDS_2022_TBtus!$B$3:$B$53&amp;Res_AllFuels_SEDS_2022_TBtus!$A$3:$A$53,0))))</f>
        <v>0</v>
      </c>
      <c r="AD73" s="75">
        <f t="array" ref="AD73">IF(ISERROR(index(Res_AllFuels_SEDS_2022_TBtus!$R$3:$R$53,match($A73&amp;AD$65,Res_AllFuels_SEDS_2022_TBtus!$B$3:$B$53&amp;Res_AllFuels_SEDS_2022_TBtus!$A$3:$A$53,0))),0,(index(Res_AllFuels_SEDS_2022_TBtus!$R$3:$R$53,match($A73&amp;AD$65,Res_AllFuels_SEDS_2022_TBtus!$B$3:$B$53&amp;Res_AllFuels_SEDS_2022_TBtus!$A$3:$A$53,0))))</f>
        <v>54.3</v>
      </c>
      <c r="AE73" s="75">
        <f t="array" ref="AE73">IF(ISERROR(index(Res_AllFuels_SEDS_2022_TBtus!$R$3:$R$53,match($A73&amp;AE$65,Res_AllFuels_SEDS_2022_TBtus!$B$3:$B$53&amp;Res_AllFuels_SEDS_2022_TBtus!$A$3:$A$53,0))),0,(index(Res_AllFuels_SEDS_2022_TBtus!$R$3:$R$53,match($A73&amp;AE$65,Res_AllFuels_SEDS_2022_TBtus!$B$3:$B$53&amp;Res_AllFuels_SEDS_2022_TBtus!$A$3:$A$53,0))))</f>
        <v>0</v>
      </c>
      <c r="AF73" s="75">
        <f t="array" ref="AF73">IF(ISERROR(index(Res_AllFuels_SEDS_2022_TBtus!$R$3:$R$53,match($A73&amp;AF$65,Res_AllFuels_SEDS_2022_TBtus!$B$3:$B$53&amp;Res_AllFuels_SEDS_2022_TBtus!$A$3:$A$53,0))),0,(index(Res_AllFuels_SEDS_2022_TBtus!$R$3:$R$53,match($A73&amp;AF$65,Res_AllFuels_SEDS_2022_TBtus!$B$3:$B$53&amp;Res_AllFuels_SEDS_2022_TBtus!$A$3:$A$53,0))))</f>
        <v>0</v>
      </c>
      <c r="AG73" s="75">
        <f t="array" ref="AG73">IF(ISERROR(index(Res_AllFuels_SEDS_2022_TBtus!$R$3:$R$53,match($A73&amp;AG$65,Res_AllFuels_SEDS_2022_TBtus!$B$3:$B$53&amp;Res_AllFuels_SEDS_2022_TBtus!$A$3:$A$53,0))),0,(index(Res_AllFuels_SEDS_2022_TBtus!$R$3:$R$53,match($A73&amp;AG$65,Res_AllFuels_SEDS_2022_TBtus!$B$3:$B$53&amp;Res_AllFuels_SEDS_2022_TBtus!$A$3:$A$53,0))))</f>
        <v>26.6</v>
      </c>
      <c r="AH73" s="75">
        <f t="array" ref="AH73">IF(ISERROR(index(Res_AllFuels_SEDS_2022_TBtus!$R$3:$R$53,match($A73&amp;AH$65,Res_AllFuels_SEDS_2022_TBtus!$B$3:$B$53&amp;Res_AllFuels_SEDS_2022_TBtus!$A$3:$A$53,0))),0,(index(Res_AllFuels_SEDS_2022_TBtus!$R$3:$R$53,match($A73&amp;AH$65,Res_AllFuels_SEDS_2022_TBtus!$B$3:$B$53&amp;Res_AllFuels_SEDS_2022_TBtus!$A$3:$A$53,0))))</f>
        <v>0</v>
      </c>
      <c r="AI73" s="75">
        <f t="array" ref="AI73">IF(ISERROR(index(Res_AllFuels_SEDS_2022_TBtus!$R$3:$R$53,match($A73&amp;AI$65,Res_AllFuels_SEDS_2022_TBtus!$B$3:$B$53&amp;Res_AllFuels_SEDS_2022_TBtus!$A$3:$A$53,0))),0,(index(Res_AllFuels_SEDS_2022_TBtus!$R$3:$R$53,match($A73&amp;AI$65,Res_AllFuels_SEDS_2022_TBtus!$B$3:$B$53&amp;Res_AllFuels_SEDS_2022_TBtus!$A$3:$A$53,0))))</f>
        <v>0</v>
      </c>
      <c r="AJ73" s="75">
        <f t="array" ref="AJ73">IF(ISERROR(index(Res_AllFuels_SEDS_2022_TBtus!$R$3:$R$53,match($A73&amp;AJ$65,Res_AllFuels_SEDS_2022_TBtus!$B$3:$B$53&amp;Res_AllFuels_SEDS_2022_TBtus!$A$3:$A$53,0))),0,(index(Res_AllFuels_SEDS_2022_TBtus!$R$3:$R$53,match($A73&amp;AJ$65,Res_AllFuels_SEDS_2022_TBtus!$B$3:$B$53&amp;Res_AllFuels_SEDS_2022_TBtus!$A$3:$A$53,0))))</f>
        <v>0</v>
      </c>
      <c r="AK73" s="75">
        <f t="array" ref="AK73">IF(ISERROR(index(Res_AllFuels_SEDS_2022_TBtus!$R$3:$R$53,match($A73&amp;AK$65,Res_AllFuels_SEDS_2022_TBtus!$B$3:$B$53&amp;Res_AllFuels_SEDS_2022_TBtus!$A$3:$A$53,0))),0,(index(Res_AllFuels_SEDS_2022_TBtus!$R$3:$R$53,match($A73&amp;AK$65,Res_AllFuels_SEDS_2022_TBtus!$B$3:$B$53&amp;Res_AllFuels_SEDS_2022_TBtus!$A$3:$A$53,0))))</f>
        <v>0</v>
      </c>
      <c r="AL73" s="75">
        <f t="array" ref="AL73">IF(ISERROR(index(Res_AllFuels_SEDS_2022_TBtus!$R$3:$R$53,match($A73&amp;AL$65,Res_AllFuels_SEDS_2022_TBtus!$B$3:$B$53&amp;Res_AllFuels_SEDS_2022_TBtus!$A$3:$A$53,0))),0,(index(Res_AllFuels_SEDS_2022_TBtus!$R$3:$R$53,match($A73&amp;AL$65,Res_AllFuels_SEDS_2022_TBtus!$B$3:$B$53&amp;Res_AllFuels_SEDS_2022_TBtus!$A$3:$A$53,0))))</f>
        <v>0</v>
      </c>
      <c r="AM73" s="75">
        <f t="array" ref="AM73">IF(ISERROR(index(Res_AllFuels_SEDS_2022_TBtus!$R$3:$R$53,match($A73&amp;AM$65,Res_AllFuels_SEDS_2022_TBtus!$B$3:$B$53&amp;Res_AllFuels_SEDS_2022_TBtus!$A$3:$A$53,0))),0,(index(Res_AllFuels_SEDS_2022_TBtus!$R$3:$R$53,match($A73&amp;AM$65,Res_AllFuels_SEDS_2022_TBtus!$B$3:$B$53&amp;Res_AllFuels_SEDS_2022_TBtus!$A$3:$A$53,0))))</f>
        <v>0</v>
      </c>
      <c r="AN73" s="75">
        <f t="array" ref="AN73">IF(ISERROR(index(Res_AllFuels_SEDS_2022_TBtus!$R$3:$R$53,match($A73&amp;AN$65,Res_AllFuels_SEDS_2022_TBtus!$B$3:$B$53&amp;Res_AllFuels_SEDS_2022_TBtus!$A$3:$A$53,0))),0,(index(Res_AllFuels_SEDS_2022_TBtus!$R$3:$R$53,match($A73&amp;AN$65,Res_AllFuels_SEDS_2022_TBtus!$B$3:$B$53&amp;Res_AllFuels_SEDS_2022_TBtus!$A$3:$A$53,0))))</f>
        <v>0</v>
      </c>
      <c r="AO73" s="75">
        <f t="array" ref="AO73">IF(ISERROR(index(Res_AllFuels_SEDS_2022_TBtus!$R$3:$R$53,match($A73&amp;AO$65,Res_AllFuels_SEDS_2022_TBtus!$B$3:$B$53&amp;Res_AllFuels_SEDS_2022_TBtus!$A$3:$A$53,0))),0,(index(Res_AllFuels_SEDS_2022_TBtus!$R$3:$R$53,match($A73&amp;AO$65,Res_AllFuels_SEDS_2022_TBtus!$B$3:$B$53&amp;Res_AllFuels_SEDS_2022_TBtus!$A$3:$A$53,0))))</f>
        <v>0</v>
      </c>
      <c r="AP73" s="75">
        <f t="array" ref="AP73">IF(ISERROR(index(Res_AllFuels_SEDS_2022_TBtus!$R$3:$R$53,match($A73&amp;AP$65,Res_AllFuels_SEDS_2022_TBtus!$B$3:$B$53&amp;Res_AllFuels_SEDS_2022_TBtus!$A$3:$A$53,0))),0,(index(Res_AllFuels_SEDS_2022_TBtus!$R$3:$R$53,match($A73&amp;AP$65,Res_AllFuels_SEDS_2022_TBtus!$B$3:$B$53&amp;Res_AllFuels_SEDS_2022_TBtus!$A$3:$A$53,0))))</f>
        <v>0</v>
      </c>
      <c r="AQ73" s="75">
        <f t="array" ref="AQ73">IF(ISERROR(index(Res_AllFuels_SEDS_2022_TBtus!$R$3:$R$53,match($A73&amp;AQ$65,Res_AllFuels_SEDS_2022_TBtus!$B$3:$B$53&amp;Res_AllFuels_SEDS_2022_TBtus!$A$3:$A$53,0))),0,(index(Res_AllFuels_SEDS_2022_TBtus!$R$3:$R$53,match($A73&amp;AQ$65,Res_AllFuels_SEDS_2022_TBtus!$B$3:$B$53&amp;Res_AllFuels_SEDS_2022_TBtus!$A$3:$A$53,0))))</f>
        <v>0</v>
      </c>
      <c r="AR73" s="75">
        <f t="array" ref="AR73">IF(ISERROR(index(Res_AllFuels_SEDS_2022_TBtus!$R$3:$R$53,match($A73&amp;AR$65,Res_AllFuels_SEDS_2022_TBtus!$B$3:$B$53&amp;Res_AllFuels_SEDS_2022_TBtus!$A$3:$A$53,0))),0,(index(Res_AllFuels_SEDS_2022_TBtus!$R$3:$R$53,match($A73&amp;AR$65,Res_AllFuels_SEDS_2022_TBtus!$B$3:$B$53&amp;Res_AllFuels_SEDS_2022_TBtus!$A$3:$A$53,0))))</f>
        <v>0</v>
      </c>
      <c r="AS73" s="75">
        <f t="array" ref="AS73">IF(ISERROR(index(Res_AllFuels_SEDS_2022_TBtus!$R$3:$R$53,match($A73&amp;AS$65,Res_AllFuels_SEDS_2022_TBtus!$B$3:$B$53&amp;Res_AllFuels_SEDS_2022_TBtus!$A$3:$A$53,0))),0,(index(Res_AllFuels_SEDS_2022_TBtus!$R$3:$R$53,match($A73&amp;AS$65,Res_AllFuels_SEDS_2022_TBtus!$B$3:$B$53&amp;Res_AllFuels_SEDS_2022_TBtus!$A$3:$A$53,0))))</f>
        <v>0</v>
      </c>
      <c r="AT73" s="75">
        <f t="array" ref="AT73">IF(ISERROR(index(Res_AllFuels_SEDS_2022_TBtus!$R$3:$R$53,match($A73&amp;AT$65,Res_AllFuels_SEDS_2022_TBtus!$B$3:$B$53&amp;Res_AllFuels_SEDS_2022_TBtus!$A$3:$A$53,0))),0,(index(Res_AllFuels_SEDS_2022_TBtus!$R$3:$R$53,match($A73&amp;AT$65,Res_AllFuels_SEDS_2022_TBtus!$B$3:$B$53&amp;Res_AllFuels_SEDS_2022_TBtus!$A$3:$A$53,0))))</f>
        <v>41</v>
      </c>
      <c r="AU73" s="75">
        <f t="array" ref="AU73">IF(ISERROR(index(Res_AllFuels_SEDS_2022_TBtus!$R$3:$R$53,match($A73&amp;AU$65,Res_AllFuels_SEDS_2022_TBtus!$B$3:$B$53&amp;Res_AllFuels_SEDS_2022_TBtus!$A$3:$A$53,0))),0,(index(Res_AllFuels_SEDS_2022_TBtus!$R$3:$R$53,match($A73&amp;AU$65,Res_AllFuels_SEDS_2022_TBtus!$B$3:$B$53&amp;Res_AllFuels_SEDS_2022_TBtus!$A$3:$A$53,0))))</f>
        <v>0</v>
      </c>
      <c r="AV73" s="75">
        <f t="array" ref="AV73">IF(ISERROR(index(Res_AllFuels_SEDS_2022_TBtus!$R$3:$R$53,match($A73&amp;AV$65,Res_AllFuels_SEDS_2022_TBtus!$B$3:$B$53&amp;Res_AllFuels_SEDS_2022_TBtus!$A$3:$A$53,0))),0,(index(Res_AllFuels_SEDS_2022_TBtus!$R$3:$R$53,match($A73&amp;AV$65,Res_AllFuels_SEDS_2022_TBtus!$B$3:$B$53&amp;Res_AllFuels_SEDS_2022_TBtus!$A$3:$A$53,0))))</f>
        <v>0</v>
      </c>
      <c r="AW73" s="75">
        <f t="array" ref="AW73">IF(ISERROR(index(Res_AllFuels_SEDS_2022_TBtus!$R$3:$R$53,match($A73&amp;AW$65,Res_AllFuels_SEDS_2022_TBtus!$B$3:$B$53&amp;Res_AllFuels_SEDS_2022_TBtus!$A$3:$A$53,0))),0,(index(Res_AllFuels_SEDS_2022_TBtus!$R$3:$R$53,match($A73&amp;AW$65,Res_AllFuels_SEDS_2022_TBtus!$B$3:$B$53&amp;Res_AllFuels_SEDS_2022_TBtus!$A$3:$A$53,0))))</f>
        <v>0</v>
      </c>
      <c r="AX73" s="75">
        <f t="array" ref="AX73">IF(ISERROR(index(Res_AllFuels_SEDS_2022_TBtus!$R$3:$R$53,match($A73&amp;AX$65,Res_AllFuels_SEDS_2022_TBtus!$B$3:$B$53&amp;Res_AllFuels_SEDS_2022_TBtus!$A$3:$A$53,0))),0,(index(Res_AllFuels_SEDS_2022_TBtus!$R$3:$R$53,match($A73&amp;AX$65,Res_AllFuels_SEDS_2022_TBtus!$B$3:$B$53&amp;Res_AllFuels_SEDS_2022_TBtus!$A$3:$A$53,0))))</f>
        <v>0</v>
      </c>
      <c r="AY73" s="75">
        <f t="array" ref="AY73">IF(ISERROR(index(Res_AllFuels_SEDS_2022_TBtus!$R$3:$R$53,match($A73&amp;AY$65,Res_AllFuels_SEDS_2022_TBtus!$B$3:$B$53&amp;Res_AllFuels_SEDS_2022_TBtus!$A$3:$A$53,0))),0,(index(Res_AllFuels_SEDS_2022_TBtus!$R$3:$R$53,match($A73&amp;AY$65,Res_AllFuels_SEDS_2022_TBtus!$B$3:$B$53&amp;Res_AllFuels_SEDS_2022_TBtus!$A$3:$A$53,0))))</f>
        <v>0</v>
      </c>
      <c r="AZ73" s="75">
        <f t="array" ref="AZ73">IF(ISERROR(index(Res_AllFuels_SEDS_2022_TBtus!$R$3:$R$53,match($A73&amp;AZ$65,Res_AllFuels_SEDS_2022_TBtus!$B$3:$B$53&amp;Res_AllFuels_SEDS_2022_TBtus!$A$3:$A$53,0))),0,(index(Res_AllFuels_SEDS_2022_TBtus!$R$3:$R$53,match($A73&amp;AZ$65,Res_AllFuels_SEDS_2022_TBtus!$B$3:$B$53&amp;Res_AllFuels_SEDS_2022_TBtus!$A$3:$A$53,0))))</f>
        <v>10.5</v>
      </c>
      <c r="BA73" s="74">
        <f t="shared" si="1"/>
        <v>406.6</v>
      </c>
    </row>
    <row r="74" ht="15.75" customHeight="1">
      <c r="A74" s="74">
        <v>9.0</v>
      </c>
      <c r="B74" s="75">
        <f t="array" ref="B74">IF(ISERROR(index(Res_AllFuels_SEDS_2022_TBtus!$R$3:$R$53,match($A74&amp;B$65,Res_AllFuels_SEDS_2022_TBtus!$B$3:$B$53&amp;Res_AllFuels_SEDS_2022_TBtus!$A$3:$A$53,0))),0,(index(Res_AllFuels_SEDS_2022_TBtus!$R$3:$R$53,match($A74&amp;B$65,Res_AllFuels_SEDS_2022_TBtus!$B$3:$B$53&amp;Res_AllFuels_SEDS_2022_TBtus!$A$3:$A$53,0))))</f>
        <v>0</v>
      </c>
      <c r="C74" s="75">
        <f t="array" ref="C74">IF(ISERROR(index(Res_AllFuels_SEDS_2022_TBtus!$R$3:$R$53,match($A74&amp;C$65,Res_AllFuels_SEDS_2022_TBtus!$B$3:$B$53&amp;Res_AllFuels_SEDS_2022_TBtus!$A$3:$A$53,0))),0,(index(Res_AllFuels_SEDS_2022_TBtus!$R$3:$R$53,match($A74&amp;C$65,Res_AllFuels_SEDS_2022_TBtus!$B$3:$B$53&amp;Res_AllFuels_SEDS_2022_TBtus!$A$3:$A$53,0))))</f>
        <v>7.1</v>
      </c>
      <c r="D74" s="75">
        <f t="array" ref="D74">IF(ISERROR(index(Res_AllFuels_SEDS_2022_TBtus!$R$3:$R$53,match($A74&amp;D$65,Res_AllFuels_SEDS_2022_TBtus!$B$3:$B$53&amp;Res_AllFuels_SEDS_2022_TBtus!$A$3:$A$53,0))),0,(index(Res_AllFuels_SEDS_2022_TBtus!$R$3:$R$53,match($A74&amp;D$65,Res_AllFuels_SEDS_2022_TBtus!$B$3:$B$53&amp;Res_AllFuels_SEDS_2022_TBtus!$A$3:$A$53,0))))</f>
        <v>0</v>
      </c>
      <c r="E74" s="75">
        <f t="array" ref="E74">IF(ISERROR(index(Res_AllFuels_SEDS_2022_TBtus!$R$3:$R$53,match($A74&amp;E$65,Res_AllFuels_SEDS_2022_TBtus!$B$3:$B$53&amp;Res_AllFuels_SEDS_2022_TBtus!$A$3:$A$53,0))),0,(index(Res_AllFuels_SEDS_2022_TBtus!$R$3:$R$53,match($A74&amp;E$65,Res_AllFuels_SEDS_2022_TBtus!$B$3:$B$53&amp;Res_AllFuels_SEDS_2022_TBtus!$A$3:$A$53,0))))</f>
        <v>0</v>
      </c>
      <c r="F74" s="75">
        <f t="array" ref="F74">IF(ISERROR(index(Res_AllFuels_SEDS_2022_TBtus!$R$3:$R$53,match($A74&amp;F$65,Res_AllFuels_SEDS_2022_TBtus!$B$3:$B$53&amp;Res_AllFuels_SEDS_2022_TBtus!$A$3:$A$53,0))),0,(index(Res_AllFuels_SEDS_2022_TBtus!$R$3:$R$53,match($A74&amp;F$65,Res_AllFuels_SEDS_2022_TBtus!$B$3:$B$53&amp;Res_AllFuels_SEDS_2022_TBtus!$A$3:$A$53,0))))</f>
        <v>378.4</v>
      </c>
      <c r="G74" s="75">
        <f t="array" ref="G74">IF(ISERROR(index(Res_AllFuels_SEDS_2022_TBtus!$R$3:$R$53,match($A74&amp;G$65,Res_AllFuels_SEDS_2022_TBtus!$B$3:$B$53&amp;Res_AllFuels_SEDS_2022_TBtus!$A$3:$A$53,0))),0,(index(Res_AllFuels_SEDS_2022_TBtus!$R$3:$R$53,match($A74&amp;G$65,Res_AllFuels_SEDS_2022_TBtus!$B$3:$B$53&amp;Res_AllFuels_SEDS_2022_TBtus!$A$3:$A$53,0))))</f>
        <v>0</v>
      </c>
      <c r="H74" s="75">
        <f t="array" ref="H74">IF(ISERROR(index(Res_AllFuels_SEDS_2022_TBtus!$R$3:$R$53,match($A74&amp;H$65,Res_AllFuels_SEDS_2022_TBtus!$B$3:$B$53&amp;Res_AllFuels_SEDS_2022_TBtus!$A$3:$A$53,0))),0,(index(Res_AllFuels_SEDS_2022_TBtus!$R$3:$R$53,match($A74&amp;H$65,Res_AllFuels_SEDS_2022_TBtus!$B$3:$B$53&amp;Res_AllFuels_SEDS_2022_TBtus!$A$3:$A$53,0))))</f>
        <v>0</v>
      </c>
      <c r="I74" s="75">
        <f t="array" ref="I74">IF(ISERROR(index(Res_AllFuels_SEDS_2022_TBtus!$R$3:$R$53,match($A74&amp;I$65,Res_AllFuels_SEDS_2022_TBtus!$B$3:$B$53&amp;Res_AllFuels_SEDS_2022_TBtus!$A$3:$A$53,0))),0,(index(Res_AllFuels_SEDS_2022_TBtus!$R$3:$R$53,match($A74&amp;I$65,Res_AllFuels_SEDS_2022_TBtus!$B$3:$B$53&amp;Res_AllFuels_SEDS_2022_TBtus!$A$3:$A$53,0))))</f>
        <v>0</v>
      </c>
      <c r="J74" s="75">
        <f t="array" ref="J74">IF(ISERROR(index(Res_AllFuels_SEDS_2022_TBtus!$R$3:$R$53,match($A74&amp;J$65,Res_AllFuels_SEDS_2022_TBtus!$B$3:$B$53&amp;Res_AllFuels_SEDS_2022_TBtus!$A$3:$A$53,0))),0,(index(Res_AllFuels_SEDS_2022_TBtus!$R$3:$R$53,match($A74&amp;J$65,Res_AllFuels_SEDS_2022_TBtus!$B$3:$B$53&amp;Res_AllFuels_SEDS_2022_TBtus!$A$3:$A$53,0))))</f>
        <v>0</v>
      </c>
      <c r="K74" s="75">
        <f t="array" ref="K74">IF(ISERROR(index(Res_AllFuels_SEDS_2022_TBtus!$R$3:$R$53,match($A74&amp;K$65,Res_AllFuels_SEDS_2022_TBtus!$B$3:$B$53&amp;Res_AllFuels_SEDS_2022_TBtus!$A$3:$A$53,0))),0,(index(Res_AllFuels_SEDS_2022_TBtus!$R$3:$R$53,match($A74&amp;K$65,Res_AllFuels_SEDS_2022_TBtus!$B$3:$B$53&amp;Res_AllFuels_SEDS_2022_TBtus!$A$3:$A$53,0))))</f>
        <v>0</v>
      </c>
      <c r="L74" s="75">
        <f t="array" ref="L74">IF(ISERROR(index(Res_AllFuels_SEDS_2022_TBtus!$R$3:$R$53,match($A74&amp;L$65,Res_AllFuels_SEDS_2022_TBtus!$B$3:$B$53&amp;Res_AllFuels_SEDS_2022_TBtus!$A$3:$A$53,0))),0,(index(Res_AllFuels_SEDS_2022_TBtus!$R$3:$R$53,match($A74&amp;L$65,Res_AllFuels_SEDS_2022_TBtus!$B$3:$B$53&amp;Res_AllFuels_SEDS_2022_TBtus!$A$3:$A$53,0))))</f>
        <v>0</v>
      </c>
      <c r="M74" s="75">
        <f t="array" ref="M74">IF(ISERROR(index(Res_AllFuels_SEDS_2022_TBtus!$R$3:$R$53,match($A74&amp;M$65,Res_AllFuels_SEDS_2022_TBtus!$B$3:$B$53&amp;Res_AllFuels_SEDS_2022_TBtus!$A$3:$A$53,0))),0,(index(Res_AllFuels_SEDS_2022_TBtus!$R$3:$R$53,match($A74&amp;M$65,Res_AllFuels_SEDS_2022_TBtus!$B$3:$B$53&amp;Res_AllFuels_SEDS_2022_TBtus!$A$3:$A$53,0))))</f>
        <v>14.3</v>
      </c>
      <c r="N74" s="75">
        <f t="array" ref="N74">IF(ISERROR(index(Res_AllFuels_SEDS_2022_TBtus!$R$3:$R$53,match($A74&amp;N$65,Res_AllFuels_SEDS_2022_TBtus!$B$3:$B$53&amp;Res_AllFuels_SEDS_2022_TBtus!$A$3:$A$53,0))),0,(index(Res_AllFuels_SEDS_2022_TBtus!$R$3:$R$53,match($A74&amp;N$65,Res_AllFuels_SEDS_2022_TBtus!$B$3:$B$53&amp;Res_AllFuels_SEDS_2022_TBtus!$A$3:$A$53,0))))</f>
        <v>0</v>
      </c>
      <c r="O74" s="75">
        <f t="array" ref="O74">IF(ISERROR(index(Res_AllFuels_SEDS_2022_TBtus!$R$3:$R$53,match($A74&amp;O$65,Res_AllFuels_SEDS_2022_TBtus!$B$3:$B$53&amp;Res_AllFuels_SEDS_2022_TBtus!$A$3:$A$53,0))),0,(index(Res_AllFuels_SEDS_2022_TBtus!$R$3:$R$53,match($A74&amp;O$65,Res_AllFuels_SEDS_2022_TBtus!$B$3:$B$53&amp;Res_AllFuels_SEDS_2022_TBtus!$A$3:$A$53,0))))</f>
        <v>0</v>
      </c>
      <c r="P74" s="75">
        <f t="array" ref="P74">IF(ISERROR(index(Res_AllFuels_SEDS_2022_TBtus!$R$3:$R$53,match($A74&amp;P$65,Res_AllFuels_SEDS_2022_TBtus!$B$3:$B$53&amp;Res_AllFuels_SEDS_2022_TBtus!$A$3:$A$53,0))),0,(index(Res_AllFuels_SEDS_2022_TBtus!$R$3:$R$53,match($A74&amp;P$65,Res_AllFuels_SEDS_2022_TBtus!$B$3:$B$53&amp;Res_AllFuels_SEDS_2022_TBtus!$A$3:$A$53,0))))</f>
        <v>0</v>
      </c>
      <c r="Q74" s="75">
        <f t="array" ref="Q74">IF(ISERROR(index(Res_AllFuels_SEDS_2022_TBtus!$R$3:$R$53,match($A74&amp;Q$65,Res_AllFuels_SEDS_2022_TBtus!$B$3:$B$53&amp;Res_AllFuels_SEDS_2022_TBtus!$A$3:$A$53,0))),0,(index(Res_AllFuels_SEDS_2022_TBtus!$R$3:$R$53,match($A74&amp;Q$65,Res_AllFuels_SEDS_2022_TBtus!$B$3:$B$53&amp;Res_AllFuels_SEDS_2022_TBtus!$A$3:$A$53,0))))</f>
        <v>0</v>
      </c>
      <c r="R74" s="75">
        <f t="array" ref="R74">IF(ISERROR(index(Res_AllFuels_SEDS_2022_TBtus!$R$3:$R$53,match($A74&amp;R$65,Res_AllFuels_SEDS_2022_TBtus!$B$3:$B$53&amp;Res_AllFuels_SEDS_2022_TBtus!$A$3:$A$53,0))),0,(index(Res_AllFuels_SEDS_2022_TBtus!$R$3:$R$53,match($A74&amp;R$65,Res_AllFuels_SEDS_2022_TBtus!$B$3:$B$53&amp;Res_AllFuels_SEDS_2022_TBtus!$A$3:$A$53,0))))</f>
        <v>0</v>
      </c>
      <c r="S74" s="75">
        <f t="array" ref="S74">IF(ISERROR(index(Res_AllFuels_SEDS_2022_TBtus!$R$3:$R$53,match($A74&amp;S$65,Res_AllFuels_SEDS_2022_TBtus!$B$3:$B$53&amp;Res_AllFuels_SEDS_2022_TBtus!$A$3:$A$53,0))),0,(index(Res_AllFuels_SEDS_2022_TBtus!$R$3:$R$53,match($A74&amp;S$65,Res_AllFuels_SEDS_2022_TBtus!$B$3:$B$53&amp;Res_AllFuels_SEDS_2022_TBtus!$A$3:$A$53,0))))</f>
        <v>0</v>
      </c>
      <c r="T74" s="75">
        <f t="array" ref="T74">IF(ISERROR(index(Res_AllFuels_SEDS_2022_TBtus!$R$3:$R$53,match($A74&amp;T$65,Res_AllFuels_SEDS_2022_TBtus!$B$3:$B$53&amp;Res_AllFuels_SEDS_2022_TBtus!$A$3:$A$53,0))),0,(index(Res_AllFuels_SEDS_2022_TBtus!$R$3:$R$53,match($A74&amp;T$65,Res_AllFuels_SEDS_2022_TBtus!$B$3:$B$53&amp;Res_AllFuels_SEDS_2022_TBtus!$A$3:$A$53,0))))</f>
        <v>0</v>
      </c>
      <c r="U74" s="75">
        <f t="array" ref="U74">IF(ISERROR(index(Res_AllFuels_SEDS_2022_TBtus!$R$3:$R$53,match($A74&amp;U$65,Res_AllFuels_SEDS_2022_TBtus!$B$3:$B$53&amp;Res_AllFuels_SEDS_2022_TBtus!$A$3:$A$53,0))),0,(index(Res_AllFuels_SEDS_2022_TBtus!$R$3:$R$53,match($A74&amp;U$65,Res_AllFuels_SEDS_2022_TBtus!$B$3:$B$53&amp;Res_AllFuels_SEDS_2022_TBtus!$A$3:$A$53,0))))</f>
        <v>0</v>
      </c>
      <c r="V74" s="75">
        <f t="array" ref="V74">IF(ISERROR(index(Res_AllFuels_SEDS_2022_TBtus!$R$3:$R$53,match($A74&amp;V$65,Res_AllFuels_SEDS_2022_TBtus!$B$3:$B$53&amp;Res_AllFuels_SEDS_2022_TBtus!$A$3:$A$53,0))),0,(index(Res_AllFuels_SEDS_2022_TBtus!$R$3:$R$53,match($A74&amp;V$65,Res_AllFuels_SEDS_2022_TBtus!$B$3:$B$53&amp;Res_AllFuels_SEDS_2022_TBtus!$A$3:$A$53,0))))</f>
        <v>0</v>
      </c>
      <c r="W74" s="75">
        <f t="array" ref="W74">IF(ISERROR(index(Res_AllFuels_SEDS_2022_TBtus!$R$3:$R$53,match($A74&amp;W$65,Res_AllFuels_SEDS_2022_TBtus!$B$3:$B$53&amp;Res_AllFuels_SEDS_2022_TBtus!$A$3:$A$53,0))),0,(index(Res_AllFuels_SEDS_2022_TBtus!$R$3:$R$53,match($A74&amp;W$65,Res_AllFuels_SEDS_2022_TBtus!$B$3:$B$53&amp;Res_AllFuels_SEDS_2022_TBtus!$A$3:$A$53,0))))</f>
        <v>0</v>
      </c>
      <c r="X74" s="75">
        <f t="array" ref="X74">IF(ISERROR(index(Res_AllFuels_SEDS_2022_TBtus!$R$3:$R$53,match($A74&amp;X$65,Res_AllFuels_SEDS_2022_TBtus!$B$3:$B$53&amp;Res_AllFuels_SEDS_2022_TBtus!$A$3:$A$53,0))),0,(index(Res_AllFuels_SEDS_2022_TBtus!$R$3:$R$53,match($A74&amp;X$65,Res_AllFuels_SEDS_2022_TBtus!$B$3:$B$53&amp;Res_AllFuels_SEDS_2022_TBtus!$A$3:$A$53,0))))</f>
        <v>0</v>
      </c>
      <c r="Y74" s="75">
        <f t="array" ref="Y74">IF(ISERROR(index(Res_AllFuels_SEDS_2022_TBtus!$R$3:$R$53,match($A74&amp;Y$65,Res_AllFuels_SEDS_2022_TBtus!$B$3:$B$53&amp;Res_AllFuels_SEDS_2022_TBtus!$A$3:$A$53,0))),0,(index(Res_AllFuels_SEDS_2022_TBtus!$R$3:$R$53,match($A74&amp;Y$65,Res_AllFuels_SEDS_2022_TBtus!$B$3:$B$53&amp;Res_AllFuels_SEDS_2022_TBtus!$A$3:$A$53,0))))</f>
        <v>0</v>
      </c>
      <c r="Z74" s="75">
        <f t="array" ref="Z74">IF(ISERROR(index(Res_AllFuels_SEDS_2022_TBtus!$R$3:$R$53,match($A74&amp;Z$65,Res_AllFuels_SEDS_2022_TBtus!$B$3:$B$53&amp;Res_AllFuels_SEDS_2022_TBtus!$A$3:$A$53,0))),0,(index(Res_AllFuels_SEDS_2022_TBtus!$R$3:$R$53,match($A74&amp;Z$65,Res_AllFuels_SEDS_2022_TBtus!$B$3:$B$53&amp;Res_AllFuels_SEDS_2022_TBtus!$A$3:$A$53,0))))</f>
        <v>0</v>
      </c>
      <c r="AA74" s="75">
        <f t="array" ref="AA74">IF(ISERROR(index(Res_AllFuels_SEDS_2022_TBtus!$R$3:$R$53,match($A74&amp;AA$65,Res_AllFuels_SEDS_2022_TBtus!$B$3:$B$53&amp;Res_AllFuels_SEDS_2022_TBtus!$A$3:$A$53,0))),0,(index(Res_AllFuels_SEDS_2022_TBtus!$R$3:$R$53,match($A74&amp;AA$65,Res_AllFuels_SEDS_2022_TBtus!$B$3:$B$53&amp;Res_AllFuels_SEDS_2022_TBtus!$A$3:$A$53,0))))</f>
        <v>0</v>
      </c>
      <c r="AB74" s="75">
        <f t="array" ref="AB74">IF(ISERROR(index(Res_AllFuels_SEDS_2022_TBtus!$R$3:$R$53,match($A74&amp;AB$65,Res_AllFuels_SEDS_2022_TBtus!$B$3:$B$53&amp;Res_AllFuels_SEDS_2022_TBtus!$A$3:$A$53,0))),0,(index(Res_AllFuels_SEDS_2022_TBtus!$R$3:$R$53,match($A74&amp;AB$65,Res_AllFuels_SEDS_2022_TBtus!$B$3:$B$53&amp;Res_AllFuels_SEDS_2022_TBtus!$A$3:$A$53,0))))</f>
        <v>0</v>
      </c>
      <c r="AC74" s="75">
        <f t="array" ref="AC74">IF(ISERROR(index(Res_AllFuels_SEDS_2022_TBtus!$R$3:$R$53,match($A74&amp;AC$65,Res_AllFuels_SEDS_2022_TBtus!$B$3:$B$53&amp;Res_AllFuels_SEDS_2022_TBtus!$A$3:$A$53,0))),0,(index(Res_AllFuels_SEDS_2022_TBtus!$R$3:$R$53,match($A74&amp;AC$65,Res_AllFuels_SEDS_2022_TBtus!$B$3:$B$53&amp;Res_AllFuels_SEDS_2022_TBtus!$A$3:$A$53,0))))</f>
        <v>0</v>
      </c>
      <c r="AD74" s="75">
        <f t="array" ref="AD74">IF(ISERROR(index(Res_AllFuels_SEDS_2022_TBtus!$R$3:$R$53,match($A74&amp;AD$65,Res_AllFuels_SEDS_2022_TBtus!$B$3:$B$53&amp;Res_AllFuels_SEDS_2022_TBtus!$A$3:$A$53,0))),0,(index(Res_AllFuels_SEDS_2022_TBtus!$R$3:$R$53,match($A74&amp;AD$65,Res_AllFuels_SEDS_2022_TBtus!$B$3:$B$53&amp;Res_AllFuels_SEDS_2022_TBtus!$A$3:$A$53,0))))</f>
        <v>0</v>
      </c>
      <c r="AE74" s="75">
        <f t="array" ref="AE74">IF(ISERROR(index(Res_AllFuels_SEDS_2022_TBtus!$R$3:$R$53,match($A74&amp;AE$65,Res_AllFuels_SEDS_2022_TBtus!$B$3:$B$53&amp;Res_AllFuels_SEDS_2022_TBtus!$A$3:$A$53,0))),0,(index(Res_AllFuels_SEDS_2022_TBtus!$R$3:$R$53,match($A74&amp;AE$65,Res_AllFuels_SEDS_2022_TBtus!$B$3:$B$53&amp;Res_AllFuels_SEDS_2022_TBtus!$A$3:$A$53,0))))</f>
        <v>0</v>
      </c>
      <c r="AF74" s="75">
        <f t="array" ref="AF74">IF(ISERROR(index(Res_AllFuels_SEDS_2022_TBtus!$R$3:$R$53,match($A74&amp;AF$65,Res_AllFuels_SEDS_2022_TBtus!$B$3:$B$53&amp;Res_AllFuels_SEDS_2022_TBtus!$A$3:$A$53,0))),0,(index(Res_AllFuels_SEDS_2022_TBtus!$R$3:$R$53,match($A74&amp;AF$65,Res_AllFuels_SEDS_2022_TBtus!$B$3:$B$53&amp;Res_AllFuels_SEDS_2022_TBtus!$A$3:$A$53,0))))</f>
        <v>0</v>
      </c>
      <c r="AG74" s="75">
        <f t="array" ref="AG74">IF(ISERROR(index(Res_AllFuels_SEDS_2022_TBtus!$R$3:$R$53,match($A74&amp;AG$65,Res_AllFuels_SEDS_2022_TBtus!$B$3:$B$53&amp;Res_AllFuels_SEDS_2022_TBtus!$A$3:$A$53,0))),0,(index(Res_AllFuels_SEDS_2022_TBtus!$R$3:$R$53,match($A74&amp;AG$65,Res_AllFuels_SEDS_2022_TBtus!$B$3:$B$53&amp;Res_AllFuels_SEDS_2022_TBtus!$A$3:$A$53,0))))</f>
        <v>0</v>
      </c>
      <c r="AH74" s="75">
        <f t="array" ref="AH74">IF(ISERROR(index(Res_AllFuels_SEDS_2022_TBtus!$R$3:$R$53,match($A74&amp;AH$65,Res_AllFuels_SEDS_2022_TBtus!$B$3:$B$53&amp;Res_AllFuels_SEDS_2022_TBtus!$A$3:$A$53,0))),0,(index(Res_AllFuels_SEDS_2022_TBtus!$R$3:$R$53,match($A74&amp;AH$65,Res_AllFuels_SEDS_2022_TBtus!$B$3:$B$53&amp;Res_AllFuels_SEDS_2022_TBtus!$A$3:$A$53,0))))</f>
        <v>0</v>
      </c>
      <c r="AI74" s="75">
        <f t="array" ref="AI74">IF(ISERROR(index(Res_AllFuels_SEDS_2022_TBtus!$R$3:$R$53,match($A74&amp;AI$65,Res_AllFuels_SEDS_2022_TBtus!$B$3:$B$53&amp;Res_AllFuels_SEDS_2022_TBtus!$A$3:$A$53,0))),0,(index(Res_AllFuels_SEDS_2022_TBtus!$R$3:$R$53,match($A74&amp;AI$65,Res_AllFuels_SEDS_2022_TBtus!$B$3:$B$53&amp;Res_AllFuels_SEDS_2022_TBtus!$A$3:$A$53,0))))</f>
        <v>0</v>
      </c>
      <c r="AJ74" s="75">
        <f t="array" ref="AJ74">IF(ISERROR(index(Res_AllFuels_SEDS_2022_TBtus!$R$3:$R$53,match($A74&amp;AJ$65,Res_AllFuels_SEDS_2022_TBtus!$B$3:$B$53&amp;Res_AllFuels_SEDS_2022_TBtus!$A$3:$A$53,0))),0,(index(Res_AllFuels_SEDS_2022_TBtus!$R$3:$R$53,match($A74&amp;AJ$65,Res_AllFuels_SEDS_2022_TBtus!$B$3:$B$53&amp;Res_AllFuels_SEDS_2022_TBtus!$A$3:$A$53,0))))</f>
        <v>0</v>
      </c>
      <c r="AK74" s="75">
        <f t="array" ref="AK74">IF(ISERROR(index(Res_AllFuels_SEDS_2022_TBtus!$R$3:$R$53,match($A74&amp;AK$65,Res_AllFuels_SEDS_2022_TBtus!$B$3:$B$53&amp;Res_AllFuels_SEDS_2022_TBtus!$A$3:$A$53,0))),0,(index(Res_AllFuels_SEDS_2022_TBtus!$R$3:$R$53,match($A74&amp;AK$65,Res_AllFuels_SEDS_2022_TBtus!$B$3:$B$53&amp;Res_AllFuels_SEDS_2022_TBtus!$A$3:$A$53,0))))</f>
        <v>0</v>
      </c>
      <c r="AL74" s="75">
        <f t="array" ref="AL74">IF(ISERROR(index(Res_AllFuels_SEDS_2022_TBtus!$R$3:$R$53,match($A74&amp;AL$65,Res_AllFuels_SEDS_2022_TBtus!$B$3:$B$53&amp;Res_AllFuels_SEDS_2022_TBtus!$A$3:$A$53,0))),0,(index(Res_AllFuels_SEDS_2022_TBtus!$R$3:$R$53,match($A74&amp;AL$65,Res_AllFuels_SEDS_2022_TBtus!$B$3:$B$53&amp;Res_AllFuels_SEDS_2022_TBtus!$A$3:$A$53,0))))</f>
        <v>0</v>
      </c>
      <c r="AM74" s="75">
        <f t="array" ref="AM74">IF(ISERROR(index(Res_AllFuels_SEDS_2022_TBtus!$R$3:$R$53,match($A74&amp;AM$65,Res_AllFuels_SEDS_2022_TBtus!$B$3:$B$53&amp;Res_AllFuels_SEDS_2022_TBtus!$A$3:$A$53,0))),0,(index(Res_AllFuels_SEDS_2022_TBtus!$R$3:$R$53,match($A74&amp;AM$65,Res_AllFuels_SEDS_2022_TBtus!$B$3:$B$53&amp;Res_AllFuels_SEDS_2022_TBtus!$A$3:$A$53,0))))</f>
        <v>73.4</v>
      </c>
      <c r="AN74" s="75">
        <f t="array" ref="AN74">IF(ISERROR(index(Res_AllFuels_SEDS_2022_TBtus!$R$3:$R$53,match($A74&amp;AN$65,Res_AllFuels_SEDS_2022_TBtus!$B$3:$B$53&amp;Res_AllFuels_SEDS_2022_TBtus!$A$3:$A$53,0))),0,(index(Res_AllFuels_SEDS_2022_TBtus!$R$3:$R$53,match($A74&amp;AN$65,Res_AllFuels_SEDS_2022_TBtus!$B$3:$B$53&amp;Res_AllFuels_SEDS_2022_TBtus!$A$3:$A$53,0))))</f>
        <v>0</v>
      </c>
      <c r="AO74" s="75">
        <f t="array" ref="AO74">IF(ISERROR(index(Res_AllFuels_SEDS_2022_TBtus!$R$3:$R$53,match($A74&amp;AO$65,Res_AllFuels_SEDS_2022_TBtus!$B$3:$B$53&amp;Res_AllFuels_SEDS_2022_TBtus!$A$3:$A$53,0))),0,(index(Res_AllFuels_SEDS_2022_TBtus!$R$3:$R$53,match($A74&amp;AO$65,Res_AllFuels_SEDS_2022_TBtus!$B$3:$B$53&amp;Res_AllFuels_SEDS_2022_TBtus!$A$3:$A$53,0))))</f>
        <v>0</v>
      </c>
      <c r="AP74" s="75">
        <f t="array" ref="AP74">IF(ISERROR(index(Res_AllFuels_SEDS_2022_TBtus!$R$3:$R$53,match($A74&amp;AP$65,Res_AllFuels_SEDS_2022_TBtus!$B$3:$B$53&amp;Res_AllFuels_SEDS_2022_TBtus!$A$3:$A$53,0))),0,(index(Res_AllFuels_SEDS_2022_TBtus!$R$3:$R$53,match($A74&amp;AP$65,Res_AllFuels_SEDS_2022_TBtus!$B$3:$B$53&amp;Res_AllFuels_SEDS_2022_TBtus!$A$3:$A$53,0))))</f>
        <v>0</v>
      </c>
      <c r="AQ74" s="75">
        <f t="array" ref="AQ74">IF(ISERROR(index(Res_AllFuels_SEDS_2022_TBtus!$R$3:$R$53,match($A74&amp;AQ$65,Res_AllFuels_SEDS_2022_TBtus!$B$3:$B$53&amp;Res_AllFuels_SEDS_2022_TBtus!$A$3:$A$53,0))),0,(index(Res_AllFuels_SEDS_2022_TBtus!$R$3:$R$53,match($A74&amp;AQ$65,Res_AllFuels_SEDS_2022_TBtus!$B$3:$B$53&amp;Res_AllFuels_SEDS_2022_TBtus!$A$3:$A$53,0))))</f>
        <v>0</v>
      </c>
      <c r="AR74" s="75">
        <f t="array" ref="AR74">IF(ISERROR(index(Res_AllFuels_SEDS_2022_TBtus!$R$3:$R$53,match($A74&amp;AR$65,Res_AllFuels_SEDS_2022_TBtus!$B$3:$B$53&amp;Res_AllFuels_SEDS_2022_TBtus!$A$3:$A$53,0))),0,(index(Res_AllFuels_SEDS_2022_TBtus!$R$3:$R$53,match($A74&amp;AR$65,Res_AllFuels_SEDS_2022_TBtus!$B$3:$B$53&amp;Res_AllFuels_SEDS_2022_TBtus!$A$3:$A$53,0))))</f>
        <v>0</v>
      </c>
      <c r="AS74" s="75">
        <f t="array" ref="AS74">IF(ISERROR(index(Res_AllFuels_SEDS_2022_TBtus!$R$3:$R$53,match($A74&amp;AS$65,Res_AllFuels_SEDS_2022_TBtus!$B$3:$B$53&amp;Res_AllFuels_SEDS_2022_TBtus!$A$3:$A$53,0))),0,(index(Res_AllFuels_SEDS_2022_TBtus!$R$3:$R$53,match($A74&amp;AS$65,Res_AllFuels_SEDS_2022_TBtus!$B$3:$B$53&amp;Res_AllFuels_SEDS_2022_TBtus!$A$3:$A$53,0))))</f>
        <v>0</v>
      </c>
      <c r="AT74" s="75">
        <f t="array" ref="AT74">IF(ISERROR(index(Res_AllFuels_SEDS_2022_TBtus!$R$3:$R$53,match($A74&amp;AT$65,Res_AllFuels_SEDS_2022_TBtus!$B$3:$B$53&amp;Res_AllFuels_SEDS_2022_TBtus!$A$3:$A$53,0))),0,(index(Res_AllFuels_SEDS_2022_TBtus!$R$3:$R$53,match($A74&amp;AT$65,Res_AllFuels_SEDS_2022_TBtus!$B$3:$B$53&amp;Res_AllFuels_SEDS_2022_TBtus!$A$3:$A$53,0))))</f>
        <v>0</v>
      </c>
      <c r="AU74" s="75">
        <f t="array" ref="AU74">IF(ISERROR(index(Res_AllFuels_SEDS_2022_TBtus!$R$3:$R$53,match($A74&amp;AU$65,Res_AllFuels_SEDS_2022_TBtus!$B$3:$B$53&amp;Res_AllFuels_SEDS_2022_TBtus!$A$3:$A$53,0))),0,(index(Res_AllFuels_SEDS_2022_TBtus!$R$3:$R$53,match($A74&amp;AU$65,Res_AllFuels_SEDS_2022_TBtus!$B$3:$B$53&amp;Res_AllFuels_SEDS_2022_TBtus!$A$3:$A$53,0))))</f>
        <v>0</v>
      </c>
      <c r="AV74" s="75">
        <f t="array" ref="AV74">IF(ISERROR(index(Res_AllFuels_SEDS_2022_TBtus!$R$3:$R$53,match($A74&amp;AV$65,Res_AllFuels_SEDS_2022_TBtus!$B$3:$B$53&amp;Res_AllFuels_SEDS_2022_TBtus!$A$3:$A$53,0))),0,(index(Res_AllFuels_SEDS_2022_TBtus!$R$3:$R$53,match($A74&amp;AV$65,Res_AllFuels_SEDS_2022_TBtus!$B$3:$B$53&amp;Res_AllFuels_SEDS_2022_TBtus!$A$3:$A$53,0))))</f>
        <v>0</v>
      </c>
      <c r="AW74" s="75">
        <f t="array" ref="AW74">IF(ISERROR(index(Res_AllFuels_SEDS_2022_TBtus!$R$3:$R$53,match($A74&amp;AW$65,Res_AllFuels_SEDS_2022_TBtus!$B$3:$B$53&amp;Res_AllFuels_SEDS_2022_TBtus!$A$3:$A$53,0))),0,(index(Res_AllFuels_SEDS_2022_TBtus!$R$3:$R$53,match($A74&amp;AW$65,Res_AllFuels_SEDS_2022_TBtus!$B$3:$B$53&amp;Res_AllFuels_SEDS_2022_TBtus!$A$3:$A$53,0))))</f>
        <v>137.4</v>
      </c>
      <c r="AX74" s="75">
        <f t="array" ref="AX74">IF(ISERROR(index(Res_AllFuels_SEDS_2022_TBtus!$R$3:$R$53,match($A74&amp;AX$65,Res_AllFuels_SEDS_2022_TBtus!$B$3:$B$53&amp;Res_AllFuels_SEDS_2022_TBtus!$A$3:$A$53,0))),0,(index(Res_AllFuels_SEDS_2022_TBtus!$R$3:$R$53,match($A74&amp;AX$65,Res_AllFuels_SEDS_2022_TBtus!$B$3:$B$53&amp;Res_AllFuels_SEDS_2022_TBtus!$A$3:$A$53,0))))</f>
        <v>0</v>
      </c>
      <c r="AY74" s="75">
        <f t="array" ref="AY74">IF(ISERROR(index(Res_AllFuels_SEDS_2022_TBtus!$R$3:$R$53,match($A74&amp;AY$65,Res_AllFuels_SEDS_2022_TBtus!$B$3:$B$53&amp;Res_AllFuels_SEDS_2022_TBtus!$A$3:$A$53,0))),0,(index(Res_AllFuels_SEDS_2022_TBtus!$R$3:$R$53,match($A74&amp;AY$65,Res_AllFuels_SEDS_2022_TBtus!$B$3:$B$53&amp;Res_AllFuels_SEDS_2022_TBtus!$A$3:$A$53,0))))</f>
        <v>0</v>
      </c>
      <c r="AZ74" s="75">
        <f t="array" ref="AZ74">IF(ISERROR(index(Res_AllFuels_SEDS_2022_TBtus!$R$3:$R$53,match($A74&amp;AZ$65,Res_AllFuels_SEDS_2022_TBtus!$B$3:$B$53&amp;Res_AllFuels_SEDS_2022_TBtus!$A$3:$A$53,0))),0,(index(Res_AllFuels_SEDS_2022_TBtus!$R$3:$R$53,match($A74&amp;AZ$65,Res_AllFuels_SEDS_2022_TBtus!$B$3:$B$53&amp;Res_AllFuels_SEDS_2022_TBtus!$A$3:$A$53,0))))</f>
        <v>0</v>
      </c>
      <c r="BA74" s="74">
        <f t="shared" si="1"/>
        <v>610.6</v>
      </c>
    </row>
    <row r="75" ht="15.75" customHeight="1">
      <c r="A75" s="52" t="s">
        <v>4207</v>
      </c>
      <c r="B75" s="74">
        <f t="shared" ref="B75:AZ75" si="2">sum(B66:B74)</f>
        <v>112.5</v>
      </c>
      <c r="C75" s="74">
        <f t="shared" si="2"/>
        <v>7.1</v>
      </c>
      <c r="D75" s="74">
        <f t="shared" si="2"/>
        <v>145</v>
      </c>
      <c r="E75" s="74">
        <f t="shared" si="2"/>
        <v>67</v>
      </c>
      <c r="F75" s="74">
        <f t="shared" si="2"/>
        <v>378.4</v>
      </c>
      <c r="G75" s="74">
        <f t="shared" si="2"/>
        <v>74.3</v>
      </c>
      <c r="H75" s="74">
        <f t="shared" si="2"/>
        <v>48.1</v>
      </c>
      <c r="I75" s="74">
        <f t="shared" si="2"/>
        <v>18.6</v>
      </c>
      <c r="J75" s="74">
        <f t="shared" si="2"/>
        <v>9</v>
      </c>
      <c r="K75" s="74">
        <f t="shared" si="2"/>
        <v>501.2</v>
      </c>
      <c r="L75" s="74">
        <f t="shared" si="2"/>
        <v>209.6</v>
      </c>
      <c r="M75" s="74">
        <f t="shared" si="2"/>
        <v>14.3</v>
      </c>
      <c r="N75" s="74">
        <f t="shared" si="2"/>
        <v>34.6</v>
      </c>
      <c r="O75" s="74">
        <f t="shared" si="2"/>
        <v>163.5</v>
      </c>
      <c r="P75" s="74">
        <f t="shared" si="2"/>
        <v>120.5</v>
      </c>
      <c r="Q75" s="74">
        <f t="shared" si="2"/>
        <v>52.8</v>
      </c>
      <c r="R75" s="74">
        <f t="shared" si="2"/>
        <v>49.8</v>
      </c>
      <c r="S75" s="74">
        <f t="shared" si="2"/>
        <v>93.8</v>
      </c>
      <c r="T75" s="74">
        <f t="shared" si="2"/>
        <v>109.2</v>
      </c>
      <c r="U75" s="74">
        <f t="shared" si="2"/>
        <v>17.9</v>
      </c>
      <c r="V75" s="74">
        <f t="shared" si="2"/>
        <v>99.7</v>
      </c>
      <c r="W75" s="74">
        <f t="shared" si="2"/>
        <v>73.3</v>
      </c>
      <c r="X75" s="74">
        <f t="shared" si="2"/>
        <v>124.8</v>
      </c>
      <c r="Y75" s="74">
        <f t="shared" si="2"/>
        <v>81.7</v>
      </c>
      <c r="Z75" s="74">
        <f t="shared" si="2"/>
        <v>64.8</v>
      </c>
      <c r="AA75" s="74">
        <f t="shared" si="2"/>
        <v>128.7</v>
      </c>
      <c r="AB75" s="74">
        <f t="shared" si="2"/>
        <v>20.3</v>
      </c>
      <c r="AC75" s="74">
        <f t="shared" si="2"/>
        <v>38.1</v>
      </c>
      <c r="AD75" s="74">
        <f t="shared" si="2"/>
        <v>54.3</v>
      </c>
      <c r="AE75" s="74">
        <f t="shared" si="2"/>
        <v>16.9</v>
      </c>
      <c r="AF75" s="74">
        <f t="shared" si="2"/>
        <v>110.2</v>
      </c>
      <c r="AG75" s="74">
        <f t="shared" si="2"/>
        <v>26.6</v>
      </c>
      <c r="AH75" s="74">
        <f t="shared" si="2"/>
        <v>185.2</v>
      </c>
      <c r="AI75" s="74">
        <f t="shared" si="2"/>
        <v>215.8</v>
      </c>
      <c r="AJ75" s="74">
        <f t="shared" si="2"/>
        <v>18.5</v>
      </c>
      <c r="AK75" s="74">
        <f t="shared" si="2"/>
        <v>185.3</v>
      </c>
      <c r="AL75" s="74">
        <f t="shared" si="2"/>
        <v>87.2</v>
      </c>
      <c r="AM75" s="74">
        <f t="shared" si="2"/>
        <v>73.4</v>
      </c>
      <c r="AN75" s="74">
        <f t="shared" si="2"/>
        <v>196.3</v>
      </c>
      <c r="AO75" s="74">
        <f t="shared" si="2"/>
        <v>11.4</v>
      </c>
      <c r="AP75" s="74">
        <f t="shared" si="2"/>
        <v>112.1</v>
      </c>
      <c r="AQ75" s="74">
        <f t="shared" si="2"/>
        <v>18.8</v>
      </c>
      <c r="AR75" s="74">
        <f t="shared" si="2"/>
        <v>149.1</v>
      </c>
      <c r="AS75" s="74">
        <f t="shared" si="2"/>
        <v>593.1</v>
      </c>
      <c r="AT75" s="74">
        <f t="shared" si="2"/>
        <v>41</v>
      </c>
      <c r="AU75" s="74">
        <f t="shared" si="2"/>
        <v>8</v>
      </c>
      <c r="AV75" s="74">
        <f t="shared" si="2"/>
        <v>161.8</v>
      </c>
      <c r="AW75" s="74">
        <f t="shared" si="2"/>
        <v>137.4</v>
      </c>
      <c r="AX75" s="74">
        <f t="shared" si="2"/>
        <v>38.1</v>
      </c>
      <c r="AY75" s="74">
        <f t="shared" si="2"/>
        <v>79.3</v>
      </c>
      <c r="AZ75" s="74">
        <f t="shared" si="2"/>
        <v>10.5</v>
      </c>
      <c r="BA75" s="74">
        <f t="shared" si="1"/>
        <v>5388.9</v>
      </c>
    </row>
    <row r="76" ht="15.75" customHeight="1"/>
    <row r="77" ht="15.75" customHeight="1">
      <c r="A77" s="28" t="s">
        <v>4237</v>
      </c>
      <c r="B77" s="32" t="s">
        <v>48</v>
      </c>
    </row>
    <row r="78" ht="15.75" customHeight="1">
      <c r="A78" s="71" t="s">
        <v>4230</v>
      </c>
      <c r="B78" s="73" t="s">
        <v>101</v>
      </c>
      <c r="C78" s="73" t="s">
        <v>171</v>
      </c>
      <c r="D78" s="73" t="s">
        <v>201</v>
      </c>
      <c r="E78" s="73" t="s">
        <v>220</v>
      </c>
      <c r="F78" s="73" t="s">
        <v>279</v>
      </c>
      <c r="G78" s="73" t="s">
        <v>339</v>
      </c>
      <c r="H78" s="73" t="s">
        <v>395</v>
      </c>
      <c r="I78" s="73" t="s">
        <v>405</v>
      </c>
      <c r="J78" s="73" t="s">
        <v>408</v>
      </c>
      <c r="K78" s="73" t="s">
        <v>410</v>
      </c>
      <c r="L78" s="73" t="s">
        <v>461</v>
      </c>
      <c r="M78" s="73" t="s">
        <v>570</v>
      </c>
      <c r="N78" s="73" t="s">
        <v>576</v>
      </c>
      <c r="O78" s="73" t="s">
        <v>608</v>
      </c>
      <c r="P78" s="73" t="s">
        <v>663</v>
      </c>
      <c r="Q78" s="73" t="s">
        <v>705</v>
      </c>
      <c r="R78" s="73" t="s">
        <v>750</v>
      </c>
      <c r="S78" s="73" t="s">
        <v>818</v>
      </c>
      <c r="T78" s="73" t="s">
        <v>875</v>
      </c>
      <c r="U78" s="73" t="s">
        <v>923</v>
      </c>
      <c r="V78" s="73" t="s">
        <v>934</v>
      </c>
      <c r="W78" s="73" t="s">
        <v>952</v>
      </c>
      <c r="X78" s="73" t="s">
        <v>963</v>
      </c>
      <c r="Y78" s="73" t="s">
        <v>1026</v>
      </c>
      <c r="Z78" s="73" t="s">
        <v>255</v>
      </c>
      <c r="AA78" s="73" t="s">
        <v>1121</v>
      </c>
      <c r="AB78" s="73" t="s">
        <v>1162</v>
      </c>
      <c r="AC78" s="73" t="s">
        <v>1198</v>
      </c>
      <c r="AD78" s="73" t="s">
        <v>256</v>
      </c>
      <c r="AE78" s="73" t="s">
        <v>1251</v>
      </c>
      <c r="AF78" s="73" t="s">
        <v>1259</v>
      </c>
      <c r="AG78" s="73" t="s">
        <v>1271</v>
      </c>
      <c r="AH78" s="73" t="s">
        <v>1296</v>
      </c>
      <c r="AI78" s="73" t="s">
        <v>1326</v>
      </c>
      <c r="AJ78" s="73" t="s">
        <v>1390</v>
      </c>
      <c r="AK78" s="73" t="s">
        <v>683</v>
      </c>
      <c r="AL78" s="73" t="s">
        <v>1457</v>
      </c>
      <c r="AM78" s="73" t="s">
        <v>1144</v>
      </c>
      <c r="AN78" s="73" t="s">
        <v>1514</v>
      </c>
      <c r="AO78" s="73" t="s">
        <v>1546</v>
      </c>
      <c r="AP78" s="73" t="s">
        <v>1550</v>
      </c>
      <c r="AQ78" s="73" t="s">
        <v>1578</v>
      </c>
      <c r="AR78" s="73" t="s">
        <v>1616</v>
      </c>
      <c r="AS78" s="73" t="s">
        <v>1159</v>
      </c>
      <c r="AT78" s="73" t="s">
        <v>1802</v>
      </c>
      <c r="AU78" s="73" t="s">
        <v>1819</v>
      </c>
      <c r="AV78" s="73" t="s">
        <v>1828</v>
      </c>
      <c r="AW78" s="73" t="s">
        <v>167</v>
      </c>
      <c r="AX78" s="73" t="s">
        <v>1924</v>
      </c>
      <c r="AY78" s="73" t="s">
        <v>1942</v>
      </c>
      <c r="AZ78" s="73" t="s">
        <v>1323</v>
      </c>
      <c r="BA78" s="52" t="s">
        <v>4207</v>
      </c>
    </row>
    <row r="79" ht="15.75" customHeight="1">
      <c r="A79" s="74">
        <v>1.0</v>
      </c>
      <c r="B79" s="74">
        <f t="array" ref="B79">IF(ISERROR(index(Com_AllFuels_SEDS_2022_TBtus!$U$3:$U$53,match($A66&amp;B$65,Com_AllFuels_SEDS_2022_TBtus!$B$3:$B$53&amp;Com_AllFuels_SEDS_2022_TBtus!$A$3:$A$53,0))),0,(index(Com_AllFuels_SEDS_2022_TBtus!$U$3:$U$53,match($A66&amp;B$65,Com_AllFuels_SEDS_2022_TBtus!$B$3:$B$53&amp;Com_AllFuels_SEDS_2022_TBtus!$A$3:$A$53,0))))</f>
        <v>0</v>
      </c>
      <c r="C79" s="74">
        <f t="array" ref="C79">IF(ISERROR(index(Com_AllFuels_SEDS_2022_TBtus!$U$3:$U$53,match($A66&amp;C$65,Com_AllFuels_SEDS_2022_TBtus!$B$3:$B$53&amp;Com_AllFuels_SEDS_2022_TBtus!$A$3:$A$53,0))),0,(index(Com_AllFuels_SEDS_2022_TBtus!$U$3:$U$53,match($A66&amp;C$65,Com_AllFuels_SEDS_2022_TBtus!$B$3:$B$53&amp;Com_AllFuels_SEDS_2022_TBtus!$A$3:$A$53,0))))</f>
        <v>0</v>
      </c>
      <c r="D79" s="74">
        <f t="array" ref="D79">IF(ISERROR(index(Com_AllFuels_SEDS_2022_TBtus!$U$3:$U$53,match($A66&amp;D$65,Com_AllFuels_SEDS_2022_TBtus!$B$3:$B$53&amp;Com_AllFuels_SEDS_2022_TBtus!$A$3:$A$53,0))),0,(index(Com_AllFuels_SEDS_2022_TBtus!$U$3:$U$53,match($A66&amp;D$65,Com_AllFuels_SEDS_2022_TBtus!$B$3:$B$53&amp;Com_AllFuels_SEDS_2022_TBtus!$A$3:$A$53,0))))</f>
        <v>0</v>
      </c>
      <c r="E79" s="74">
        <f t="array" ref="E79">IF(ISERROR(index(Com_AllFuels_SEDS_2022_TBtus!$U$3:$U$53,match($A66&amp;E$65,Com_AllFuels_SEDS_2022_TBtus!$B$3:$B$53&amp;Com_AllFuels_SEDS_2022_TBtus!$A$3:$A$53,0))),0,(index(Com_AllFuels_SEDS_2022_TBtus!$U$3:$U$53,match($A66&amp;E$65,Com_AllFuels_SEDS_2022_TBtus!$B$3:$B$53&amp;Com_AllFuels_SEDS_2022_TBtus!$A$3:$A$53,0))))</f>
        <v>0</v>
      </c>
      <c r="F79" s="74">
        <f t="array" ref="F79">IF(ISERROR(index(Com_AllFuels_SEDS_2022_TBtus!$U$3:$U$53,match($A66&amp;F$65,Com_AllFuels_SEDS_2022_TBtus!$B$3:$B$53&amp;Com_AllFuels_SEDS_2022_TBtus!$A$3:$A$53,0))),0,(index(Com_AllFuels_SEDS_2022_TBtus!$U$3:$U$53,match($A66&amp;F$65,Com_AllFuels_SEDS_2022_TBtus!$B$3:$B$53&amp;Com_AllFuels_SEDS_2022_TBtus!$A$3:$A$53,0))))</f>
        <v>0</v>
      </c>
      <c r="G79" s="74">
        <f t="array" ref="G79">IF(ISERROR(index(Com_AllFuels_SEDS_2022_TBtus!$U$3:$U$53,match($A66&amp;G$65,Com_AllFuels_SEDS_2022_TBtus!$B$3:$B$53&amp;Com_AllFuels_SEDS_2022_TBtus!$A$3:$A$53,0))),0,(index(Com_AllFuels_SEDS_2022_TBtus!$U$3:$U$53,match($A66&amp;G$65,Com_AllFuels_SEDS_2022_TBtus!$B$3:$B$53&amp;Com_AllFuels_SEDS_2022_TBtus!$A$3:$A$53,0))))</f>
        <v>0</v>
      </c>
      <c r="H79" s="74">
        <f t="array" ref="H79">IF(ISERROR(index(Com_AllFuels_SEDS_2022_TBtus!$U$3:$U$53,match($A66&amp;H$65,Com_AllFuels_SEDS_2022_TBtus!$B$3:$B$53&amp;Com_AllFuels_SEDS_2022_TBtus!$A$3:$A$53,0))),0,(index(Com_AllFuels_SEDS_2022_TBtus!$U$3:$U$53,match($A66&amp;H$65,Com_AllFuels_SEDS_2022_TBtus!$B$3:$B$53&amp;Com_AllFuels_SEDS_2022_TBtus!$A$3:$A$53,0))))</f>
        <v>41</v>
      </c>
      <c r="I79" s="74">
        <f t="array" ref="I79">IF(ISERROR(index(Com_AllFuels_SEDS_2022_TBtus!$U$3:$U$53,match($A66&amp;I$65,Com_AllFuels_SEDS_2022_TBtus!$B$3:$B$53&amp;Com_AllFuels_SEDS_2022_TBtus!$A$3:$A$53,0))),0,(index(Com_AllFuels_SEDS_2022_TBtus!$U$3:$U$53,match($A66&amp;I$65,Com_AllFuels_SEDS_2022_TBtus!$B$3:$B$53&amp;Com_AllFuels_SEDS_2022_TBtus!$A$3:$A$53,0))))</f>
        <v>0</v>
      </c>
      <c r="J79" s="74">
        <f t="array" ref="J79">IF(ISERROR(index(Com_AllFuels_SEDS_2022_TBtus!$U$3:$U$53,match($A66&amp;J$65,Com_AllFuels_SEDS_2022_TBtus!$B$3:$B$53&amp;Com_AllFuels_SEDS_2022_TBtus!$A$3:$A$53,0))),0,(index(Com_AllFuels_SEDS_2022_TBtus!$U$3:$U$53,match($A66&amp;J$65,Com_AllFuels_SEDS_2022_TBtus!$B$3:$B$53&amp;Com_AllFuels_SEDS_2022_TBtus!$A$3:$A$53,0))))</f>
        <v>0</v>
      </c>
      <c r="K79" s="74">
        <f t="array" ref="K79">IF(ISERROR(index(Com_AllFuels_SEDS_2022_TBtus!$U$3:$U$53,match($A66&amp;K$65,Com_AllFuels_SEDS_2022_TBtus!$B$3:$B$53&amp;Com_AllFuels_SEDS_2022_TBtus!$A$3:$A$53,0))),0,(index(Com_AllFuels_SEDS_2022_TBtus!$U$3:$U$53,match($A66&amp;K$65,Com_AllFuels_SEDS_2022_TBtus!$B$3:$B$53&amp;Com_AllFuels_SEDS_2022_TBtus!$A$3:$A$53,0))))</f>
        <v>0</v>
      </c>
      <c r="L79" s="74">
        <f t="array" ref="L79">IF(ISERROR(index(Com_AllFuels_SEDS_2022_TBtus!$U$3:$U$53,match($A66&amp;L$65,Com_AllFuels_SEDS_2022_TBtus!$B$3:$B$53&amp;Com_AllFuels_SEDS_2022_TBtus!$A$3:$A$53,0))),0,(index(Com_AllFuels_SEDS_2022_TBtus!$U$3:$U$53,match($A66&amp;L$65,Com_AllFuels_SEDS_2022_TBtus!$B$3:$B$53&amp;Com_AllFuels_SEDS_2022_TBtus!$A$3:$A$53,0))))</f>
        <v>0</v>
      </c>
      <c r="M79" s="74">
        <f t="array" ref="M79">IF(ISERROR(index(Com_AllFuels_SEDS_2022_TBtus!$U$3:$U$53,match($A66&amp;M$65,Com_AllFuels_SEDS_2022_TBtus!$B$3:$B$53&amp;Com_AllFuels_SEDS_2022_TBtus!$A$3:$A$53,0))),0,(index(Com_AllFuels_SEDS_2022_TBtus!$U$3:$U$53,match($A66&amp;M$65,Com_AllFuels_SEDS_2022_TBtus!$B$3:$B$53&amp;Com_AllFuels_SEDS_2022_TBtus!$A$3:$A$53,0))))</f>
        <v>0</v>
      </c>
      <c r="N79" s="74">
        <f t="array" ref="N79">IF(ISERROR(index(Com_AllFuels_SEDS_2022_TBtus!$U$3:$U$53,match($A66&amp;N$65,Com_AllFuels_SEDS_2022_TBtus!$B$3:$B$53&amp;Com_AllFuels_SEDS_2022_TBtus!$A$3:$A$53,0))),0,(index(Com_AllFuels_SEDS_2022_TBtus!$U$3:$U$53,match($A66&amp;N$65,Com_AllFuels_SEDS_2022_TBtus!$B$3:$B$53&amp;Com_AllFuels_SEDS_2022_TBtus!$A$3:$A$53,0))))</f>
        <v>0</v>
      </c>
      <c r="O79" s="74">
        <f t="array" ref="O79">IF(ISERROR(index(Com_AllFuels_SEDS_2022_TBtus!$U$3:$U$53,match($A66&amp;O$65,Com_AllFuels_SEDS_2022_TBtus!$B$3:$B$53&amp;Com_AllFuels_SEDS_2022_TBtus!$A$3:$A$53,0))),0,(index(Com_AllFuels_SEDS_2022_TBtus!$U$3:$U$53,match($A66&amp;O$65,Com_AllFuels_SEDS_2022_TBtus!$B$3:$B$53&amp;Com_AllFuels_SEDS_2022_TBtus!$A$3:$A$53,0))))</f>
        <v>0</v>
      </c>
      <c r="P79" s="74">
        <f t="array" ref="P79">IF(ISERROR(index(Com_AllFuels_SEDS_2022_TBtus!$U$3:$U$53,match($A66&amp;P$65,Com_AllFuels_SEDS_2022_TBtus!$B$3:$B$53&amp;Com_AllFuels_SEDS_2022_TBtus!$A$3:$A$53,0))),0,(index(Com_AllFuels_SEDS_2022_TBtus!$U$3:$U$53,match($A66&amp;P$65,Com_AllFuels_SEDS_2022_TBtus!$B$3:$B$53&amp;Com_AllFuels_SEDS_2022_TBtus!$A$3:$A$53,0))))</f>
        <v>0</v>
      </c>
      <c r="Q79" s="74">
        <f t="array" ref="Q79">IF(ISERROR(index(Com_AllFuels_SEDS_2022_TBtus!$U$3:$U$53,match($A66&amp;Q$65,Com_AllFuels_SEDS_2022_TBtus!$B$3:$B$53&amp;Com_AllFuels_SEDS_2022_TBtus!$A$3:$A$53,0))),0,(index(Com_AllFuels_SEDS_2022_TBtus!$U$3:$U$53,match($A66&amp;Q$65,Com_AllFuels_SEDS_2022_TBtus!$B$3:$B$53&amp;Com_AllFuels_SEDS_2022_TBtus!$A$3:$A$53,0))))</f>
        <v>0</v>
      </c>
      <c r="R79" s="74">
        <f t="array" ref="R79">IF(ISERROR(index(Com_AllFuels_SEDS_2022_TBtus!$U$3:$U$53,match($A66&amp;R$65,Com_AllFuels_SEDS_2022_TBtus!$B$3:$B$53&amp;Com_AllFuels_SEDS_2022_TBtus!$A$3:$A$53,0))),0,(index(Com_AllFuels_SEDS_2022_TBtus!$U$3:$U$53,match($A66&amp;R$65,Com_AllFuels_SEDS_2022_TBtus!$B$3:$B$53&amp;Com_AllFuels_SEDS_2022_TBtus!$A$3:$A$53,0))))</f>
        <v>0</v>
      </c>
      <c r="S79" s="74">
        <f t="array" ref="S79">IF(ISERROR(index(Com_AllFuels_SEDS_2022_TBtus!$U$3:$U$53,match($A66&amp;S$65,Com_AllFuels_SEDS_2022_TBtus!$B$3:$B$53&amp;Com_AllFuels_SEDS_2022_TBtus!$A$3:$A$53,0))),0,(index(Com_AllFuels_SEDS_2022_TBtus!$U$3:$U$53,match($A66&amp;S$65,Com_AllFuels_SEDS_2022_TBtus!$B$3:$B$53&amp;Com_AllFuels_SEDS_2022_TBtus!$A$3:$A$53,0))))</f>
        <v>0</v>
      </c>
      <c r="T79" s="74">
        <f t="array" ref="T79">IF(ISERROR(index(Com_AllFuels_SEDS_2022_TBtus!$U$3:$U$53,match($A66&amp;T$65,Com_AllFuels_SEDS_2022_TBtus!$B$3:$B$53&amp;Com_AllFuels_SEDS_2022_TBtus!$A$3:$A$53,0))),0,(index(Com_AllFuels_SEDS_2022_TBtus!$U$3:$U$53,match($A66&amp;T$65,Com_AllFuels_SEDS_2022_TBtus!$B$3:$B$53&amp;Com_AllFuels_SEDS_2022_TBtus!$A$3:$A$53,0))))</f>
        <v>0</v>
      </c>
      <c r="U79" s="74">
        <f t="array" ref="U79">IF(ISERROR(index(Com_AllFuels_SEDS_2022_TBtus!$U$3:$U$53,match($A66&amp;U$65,Com_AllFuels_SEDS_2022_TBtus!$B$3:$B$53&amp;Com_AllFuels_SEDS_2022_TBtus!$A$3:$A$53,0))),0,(index(Com_AllFuels_SEDS_2022_TBtus!$U$3:$U$53,match($A66&amp;U$65,Com_AllFuels_SEDS_2022_TBtus!$B$3:$B$53&amp;Com_AllFuels_SEDS_2022_TBtus!$A$3:$A$53,0))))</f>
        <v>15</v>
      </c>
      <c r="V79" s="74">
        <f t="array" ref="V79">IF(ISERROR(index(Com_AllFuels_SEDS_2022_TBtus!$U$3:$U$53,match($A66&amp;V$65,Com_AllFuels_SEDS_2022_TBtus!$B$3:$B$53&amp;Com_AllFuels_SEDS_2022_TBtus!$A$3:$A$53,0))),0,(index(Com_AllFuels_SEDS_2022_TBtus!$U$3:$U$53,match($A66&amp;V$65,Com_AllFuels_SEDS_2022_TBtus!$B$3:$B$53&amp;Com_AllFuels_SEDS_2022_TBtus!$A$3:$A$53,0))))</f>
        <v>0</v>
      </c>
      <c r="W79" s="74">
        <f t="array" ref="W79">IF(ISERROR(index(Com_AllFuels_SEDS_2022_TBtus!$U$3:$U$53,match($A66&amp;W$65,Com_AllFuels_SEDS_2022_TBtus!$B$3:$B$53&amp;Com_AllFuels_SEDS_2022_TBtus!$A$3:$A$53,0))),0,(index(Com_AllFuels_SEDS_2022_TBtus!$U$3:$U$53,match($A66&amp;W$65,Com_AllFuels_SEDS_2022_TBtus!$B$3:$B$53&amp;Com_AllFuels_SEDS_2022_TBtus!$A$3:$A$53,0))))</f>
        <v>90.9</v>
      </c>
      <c r="X79" s="74">
        <f t="array" ref="X79">IF(ISERROR(index(Com_AllFuels_SEDS_2022_TBtus!$U$3:$U$53,match($A66&amp;X$65,Com_AllFuels_SEDS_2022_TBtus!$B$3:$B$53&amp;Com_AllFuels_SEDS_2022_TBtus!$A$3:$A$53,0))),0,(index(Com_AllFuels_SEDS_2022_TBtus!$U$3:$U$53,match($A66&amp;X$65,Com_AllFuels_SEDS_2022_TBtus!$B$3:$B$53&amp;Com_AllFuels_SEDS_2022_TBtus!$A$3:$A$53,0))))</f>
        <v>0</v>
      </c>
      <c r="Y79" s="74">
        <f t="array" ref="Y79">IF(ISERROR(index(Com_AllFuels_SEDS_2022_TBtus!$U$3:$U$53,match($A66&amp;Y$65,Com_AllFuels_SEDS_2022_TBtus!$B$3:$B$53&amp;Com_AllFuels_SEDS_2022_TBtus!$A$3:$A$53,0))),0,(index(Com_AllFuels_SEDS_2022_TBtus!$U$3:$U$53,match($A66&amp;Y$65,Com_AllFuels_SEDS_2022_TBtus!$B$3:$B$53&amp;Com_AllFuels_SEDS_2022_TBtus!$A$3:$A$53,0))))</f>
        <v>0</v>
      </c>
      <c r="Z79" s="74">
        <f t="array" ref="Z79">IF(ISERROR(index(Com_AllFuels_SEDS_2022_TBtus!$U$3:$U$53,match($A66&amp;Z$65,Com_AllFuels_SEDS_2022_TBtus!$B$3:$B$53&amp;Com_AllFuels_SEDS_2022_TBtus!$A$3:$A$53,0))),0,(index(Com_AllFuels_SEDS_2022_TBtus!$U$3:$U$53,match($A66&amp;Z$65,Com_AllFuels_SEDS_2022_TBtus!$B$3:$B$53&amp;Com_AllFuels_SEDS_2022_TBtus!$A$3:$A$53,0))))</f>
        <v>0</v>
      </c>
      <c r="AA79" s="74">
        <f t="array" ref="AA79">IF(ISERROR(index(Com_AllFuels_SEDS_2022_TBtus!$U$3:$U$53,match($A66&amp;AA$65,Com_AllFuels_SEDS_2022_TBtus!$B$3:$B$53&amp;Com_AllFuels_SEDS_2022_TBtus!$A$3:$A$53,0))),0,(index(Com_AllFuels_SEDS_2022_TBtus!$U$3:$U$53,match($A66&amp;AA$65,Com_AllFuels_SEDS_2022_TBtus!$B$3:$B$53&amp;Com_AllFuels_SEDS_2022_TBtus!$A$3:$A$53,0))))</f>
        <v>0</v>
      </c>
      <c r="AB79" s="74">
        <f t="array" ref="AB79">IF(ISERROR(index(Com_AllFuels_SEDS_2022_TBtus!$U$3:$U$53,match($A66&amp;AB$65,Com_AllFuels_SEDS_2022_TBtus!$B$3:$B$53&amp;Com_AllFuels_SEDS_2022_TBtus!$A$3:$A$53,0))),0,(index(Com_AllFuels_SEDS_2022_TBtus!$U$3:$U$53,match($A66&amp;AB$65,Com_AllFuels_SEDS_2022_TBtus!$B$3:$B$53&amp;Com_AllFuels_SEDS_2022_TBtus!$A$3:$A$53,0))))</f>
        <v>0</v>
      </c>
      <c r="AC79" s="74">
        <f t="array" ref="AC79">IF(ISERROR(index(Com_AllFuels_SEDS_2022_TBtus!$U$3:$U$53,match($A66&amp;AC$65,Com_AllFuels_SEDS_2022_TBtus!$B$3:$B$53&amp;Com_AllFuels_SEDS_2022_TBtus!$A$3:$A$53,0))),0,(index(Com_AllFuels_SEDS_2022_TBtus!$U$3:$U$53,match($A66&amp;AC$65,Com_AllFuels_SEDS_2022_TBtus!$B$3:$B$53&amp;Com_AllFuels_SEDS_2022_TBtus!$A$3:$A$53,0))))</f>
        <v>0</v>
      </c>
      <c r="AD79" s="74">
        <f t="array" ref="AD79">IF(ISERROR(index(Com_AllFuels_SEDS_2022_TBtus!$U$3:$U$53,match($A66&amp;AD$65,Com_AllFuels_SEDS_2022_TBtus!$B$3:$B$53&amp;Com_AllFuels_SEDS_2022_TBtus!$A$3:$A$53,0))),0,(index(Com_AllFuels_SEDS_2022_TBtus!$U$3:$U$53,match($A66&amp;AD$65,Com_AllFuels_SEDS_2022_TBtus!$B$3:$B$53&amp;Com_AllFuels_SEDS_2022_TBtus!$A$3:$A$53,0))))</f>
        <v>0</v>
      </c>
      <c r="AE79" s="74">
        <f t="array" ref="AE79">IF(ISERROR(index(Com_AllFuels_SEDS_2022_TBtus!$U$3:$U$53,match($A66&amp;AE$65,Com_AllFuels_SEDS_2022_TBtus!$B$3:$B$53&amp;Com_AllFuels_SEDS_2022_TBtus!$A$3:$A$53,0))),0,(index(Com_AllFuels_SEDS_2022_TBtus!$U$3:$U$53,match($A66&amp;AE$65,Com_AllFuels_SEDS_2022_TBtus!$B$3:$B$53&amp;Com_AllFuels_SEDS_2022_TBtus!$A$3:$A$53,0))))</f>
        <v>14.2</v>
      </c>
      <c r="AF79" s="74">
        <f t="array" ref="AF79">IF(ISERROR(index(Com_AllFuels_SEDS_2022_TBtus!$U$3:$U$53,match($A66&amp;AF$65,Com_AllFuels_SEDS_2022_TBtus!$B$3:$B$53&amp;Com_AllFuels_SEDS_2022_TBtus!$A$3:$A$53,0))),0,(index(Com_AllFuels_SEDS_2022_TBtus!$U$3:$U$53,match($A66&amp;AF$65,Com_AllFuels_SEDS_2022_TBtus!$B$3:$B$53&amp;Com_AllFuels_SEDS_2022_TBtus!$A$3:$A$53,0))))</f>
        <v>0</v>
      </c>
      <c r="AG79" s="74">
        <f t="array" ref="AG79">IF(ISERROR(index(Com_AllFuels_SEDS_2022_TBtus!$U$3:$U$53,match($A66&amp;AG$65,Com_AllFuels_SEDS_2022_TBtus!$B$3:$B$53&amp;Com_AllFuels_SEDS_2022_TBtus!$A$3:$A$53,0))),0,(index(Com_AllFuels_SEDS_2022_TBtus!$U$3:$U$53,match($A66&amp;AG$65,Com_AllFuels_SEDS_2022_TBtus!$B$3:$B$53&amp;Com_AllFuels_SEDS_2022_TBtus!$A$3:$A$53,0))))</f>
        <v>0</v>
      </c>
      <c r="AH79" s="74">
        <f t="array" ref="AH79">IF(ISERROR(index(Com_AllFuels_SEDS_2022_TBtus!$U$3:$U$53,match($A66&amp;AH$65,Com_AllFuels_SEDS_2022_TBtus!$B$3:$B$53&amp;Com_AllFuels_SEDS_2022_TBtus!$A$3:$A$53,0))),0,(index(Com_AllFuels_SEDS_2022_TBtus!$U$3:$U$53,match($A66&amp;AH$65,Com_AllFuels_SEDS_2022_TBtus!$B$3:$B$53&amp;Com_AllFuels_SEDS_2022_TBtus!$A$3:$A$53,0))))</f>
        <v>0</v>
      </c>
      <c r="AI79" s="74">
        <f t="array" ref="AI79">IF(ISERROR(index(Com_AllFuels_SEDS_2022_TBtus!$U$3:$U$53,match($A66&amp;AI$65,Com_AllFuels_SEDS_2022_TBtus!$B$3:$B$53&amp;Com_AllFuels_SEDS_2022_TBtus!$A$3:$A$53,0))),0,(index(Com_AllFuels_SEDS_2022_TBtus!$U$3:$U$53,match($A66&amp;AI$65,Com_AllFuels_SEDS_2022_TBtus!$B$3:$B$53&amp;Com_AllFuels_SEDS_2022_TBtus!$A$3:$A$53,0))))</f>
        <v>0</v>
      </c>
      <c r="AJ79" s="74">
        <f t="array" ref="AJ79">IF(ISERROR(index(Com_AllFuels_SEDS_2022_TBtus!$U$3:$U$53,match($A66&amp;AJ$65,Com_AllFuels_SEDS_2022_TBtus!$B$3:$B$53&amp;Com_AllFuels_SEDS_2022_TBtus!$A$3:$A$53,0))),0,(index(Com_AllFuels_SEDS_2022_TBtus!$U$3:$U$53,match($A66&amp;AJ$65,Com_AllFuels_SEDS_2022_TBtus!$B$3:$B$53&amp;Com_AllFuels_SEDS_2022_TBtus!$A$3:$A$53,0))))</f>
        <v>0</v>
      </c>
      <c r="AK79" s="74">
        <f t="array" ref="AK79">IF(ISERROR(index(Com_AllFuels_SEDS_2022_TBtus!$U$3:$U$53,match($A66&amp;AK$65,Com_AllFuels_SEDS_2022_TBtus!$B$3:$B$53&amp;Com_AllFuels_SEDS_2022_TBtus!$A$3:$A$53,0))),0,(index(Com_AllFuels_SEDS_2022_TBtus!$U$3:$U$53,match($A66&amp;AK$65,Com_AllFuels_SEDS_2022_TBtus!$B$3:$B$53&amp;Com_AllFuels_SEDS_2022_TBtus!$A$3:$A$53,0))))</f>
        <v>0</v>
      </c>
      <c r="AL79" s="74">
        <f t="array" ref="AL79">IF(ISERROR(index(Com_AllFuels_SEDS_2022_TBtus!$U$3:$U$53,match($A66&amp;AL$65,Com_AllFuels_SEDS_2022_TBtus!$B$3:$B$53&amp;Com_AllFuels_SEDS_2022_TBtus!$A$3:$A$53,0))),0,(index(Com_AllFuels_SEDS_2022_TBtus!$U$3:$U$53,match($A66&amp;AL$65,Com_AllFuels_SEDS_2022_TBtus!$B$3:$B$53&amp;Com_AllFuels_SEDS_2022_TBtus!$A$3:$A$53,0))))</f>
        <v>0</v>
      </c>
      <c r="AM79" s="74">
        <f t="array" ref="AM79">IF(ISERROR(index(Com_AllFuels_SEDS_2022_TBtus!$U$3:$U$53,match($A66&amp;AM$65,Com_AllFuels_SEDS_2022_TBtus!$B$3:$B$53&amp;Com_AllFuels_SEDS_2022_TBtus!$A$3:$A$53,0))),0,(index(Com_AllFuels_SEDS_2022_TBtus!$U$3:$U$53,match($A66&amp;AM$65,Com_AllFuels_SEDS_2022_TBtus!$B$3:$B$53&amp;Com_AllFuels_SEDS_2022_TBtus!$A$3:$A$53,0))))</f>
        <v>0</v>
      </c>
      <c r="AN79" s="74">
        <f t="array" ref="AN79">IF(ISERROR(index(Com_AllFuels_SEDS_2022_TBtus!$U$3:$U$53,match($A66&amp;AN$65,Com_AllFuels_SEDS_2022_TBtus!$B$3:$B$53&amp;Com_AllFuels_SEDS_2022_TBtus!$A$3:$A$53,0))),0,(index(Com_AllFuels_SEDS_2022_TBtus!$U$3:$U$53,match($A66&amp;AN$65,Com_AllFuels_SEDS_2022_TBtus!$B$3:$B$53&amp;Com_AllFuels_SEDS_2022_TBtus!$A$3:$A$53,0))))</f>
        <v>0</v>
      </c>
      <c r="AO79" s="74">
        <f t="array" ref="AO79">IF(ISERROR(index(Com_AllFuels_SEDS_2022_TBtus!$U$3:$U$53,match($A66&amp;AO$65,Com_AllFuels_SEDS_2022_TBtus!$B$3:$B$53&amp;Com_AllFuels_SEDS_2022_TBtus!$A$3:$A$53,0))),0,(index(Com_AllFuels_SEDS_2022_TBtus!$U$3:$U$53,match($A66&amp;AO$65,Com_AllFuels_SEDS_2022_TBtus!$B$3:$B$53&amp;Com_AllFuels_SEDS_2022_TBtus!$A$3:$A$53,0))))</f>
        <v>14.1</v>
      </c>
      <c r="AP79" s="74">
        <f t="array" ref="AP79">IF(ISERROR(index(Com_AllFuels_SEDS_2022_TBtus!$U$3:$U$53,match($A66&amp;AP$65,Com_AllFuels_SEDS_2022_TBtus!$B$3:$B$53&amp;Com_AllFuels_SEDS_2022_TBtus!$A$3:$A$53,0))),0,(index(Com_AllFuels_SEDS_2022_TBtus!$U$3:$U$53,match($A66&amp;AP$65,Com_AllFuels_SEDS_2022_TBtus!$B$3:$B$53&amp;Com_AllFuels_SEDS_2022_TBtus!$A$3:$A$53,0))))</f>
        <v>0</v>
      </c>
      <c r="AQ79" s="74">
        <f t="array" ref="AQ79">IF(ISERROR(index(Com_AllFuels_SEDS_2022_TBtus!$U$3:$U$53,match($A66&amp;AQ$65,Com_AllFuels_SEDS_2022_TBtus!$B$3:$B$53&amp;Com_AllFuels_SEDS_2022_TBtus!$A$3:$A$53,0))),0,(index(Com_AllFuels_SEDS_2022_TBtus!$U$3:$U$53,match($A66&amp;AQ$65,Com_AllFuels_SEDS_2022_TBtus!$B$3:$B$53&amp;Com_AllFuels_SEDS_2022_TBtus!$A$3:$A$53,0))))</f>
        <v>0</v>
      </c>
      <c r="AR79" s="74">
        <f t="array" ref="AR79">IF(ISERROR(index(Com_AllFuels_SEDS_2022_TBtus!$U$3:$U$53,match($A66&amp;AR$65,Com_AllFuels_SEDS_2022_TBtus!$B$3:$B$53&amp;Com_AllFuels_SEDS_2022_TBtus!$A$3:$A$53,0))),0,(index(Com_AllFuels_SEDS_2022_TBtus!$U$3:$U$53,match($A66&amp;AR$65,Com_AllFuels_SEDS_2022_TBtus!$B$3:$B$53&amp;Com_AllFuels_SEDS_2022_TBtus!$A$3:$A$53,0))))</f>
        <v>0</v>
      </c>
      <c r="AS79" s="74">
        <f t="array" ref="AS79">IF(ISERROR(index(Com_AllFuels_SEDS_2022_TBtus!$U$3:$U$53,match($A66&amp;AS$65,Com_AllFuels_SEDS_2022_TBtus!$B$3:$B$53&amp;Com_AllFuels_SEDS_2022_TBtus!$A$3:$A$53,0))),0,(index(Com_AllFuels_SEDS_2022_TBtus!$U$3:$U$53,match($A66&amp;AS$65,Com_AllFuels_SEDS_2022_TBtus!$B$3:$B$53&amp;Com_AllFuels_SEDS_2022_TBtus!$A$3:$A$53,0))))</f>
        <v>0</v>
      </c>
      <c r="AT79" s="74">
        <f t="array" ref="AT79">IF(ISERROR(index(Com_AllFuels_SEDS_2022_TBtus!$U$3:$U$53,match($A66&amp;AT$65,Com_AllFuels_SEDS_2022_TBtus!$B$3:$B$53&amp;Com_AllFuels_SEDS_2022_TBtus!$A$3:$A$53,0))),0,(index(Com_AllFuels_SEDS_2022_TBtus!$U$3:$U$53,match($A66&amp;AT$65,Com_AllFuels_SEDS_2022_TBtus!$B$3:$B$53&amp;Com_AllFuels_SEDS_2022_TBtus!$A$3:$A$53,0))))</f>
        <v>0</v>
      </c>
      <c r="AU79" s="74">
        <f t="array" ref="AU79">IF(ISERROR(index(Com_AllFuels_SEDS_2022_TBtus!$U$3:$U$53,match($A66&amp;AU$65,Com_AllFuels_SEDS_2022_TBtus!$B$3:$B$53&amp;Com_AllFuels_SEDS_2022_TBtus!$A$3:$A$53,0))),0,(index(Com_AllFuels_SEDS_2022_TBtus!$U$3:$U$53,match($A66&amp;AU$65,Com_AllFuels_SEDS_2022_TBtus!$B$3:$B$53&amp;Com_AllFuels_SEDS_2022_TBtus!$A$3:$A$53,0))))</f>
        <v>6.8</v>
      </c>
      <c r="AV79" s="74">
        <f t="array" ref="AV79">IF(ISERROR(index(Com_AllFuels_SEDS_2022_TBtus!$U$3:$U$53,match($A66&amp;AV$65,Com_AllFuels_SEDS_2022_TBtus!$B$3:$B$53&amp;Com_AllFuels_SEDS_2022_TBtus!$A$3:$A$53,0))),0,(index(Com_AllFuels_SEDS_2022_TBtus!$U$3:$U$53,match($A66&amp;AV$65,Com_AllFuels_SEDS_2022_TBtus!$B$3:$B$53&amp;Com_AllFuels_SEDS_2022_TBtus!$A$3:$A$53,0))))</f>
        <v>0</v>
      </c>
      <c r="AW79" s="74">
        <f t="array" ref="AW79">IF(ISERROR(index(Com_AllFuels_SEDS_2022_TBtus!$U$3:$U$53,match($A66&amp;AW$65,Com_AllFuels_SEDS_2022_TBtus!$B$3:$B$53&amp;Com_AllFuels_SEDS_2022_TBtus!$A$3:$A$53,0))),0,(index(Com_AllFuels_SEDS_2022_TBtus!$U$3:$U$53,match($A66&amp;AW$65,Com_AllFuels_SEDS_2022_TBtus!$B$3:$B$53&amp;Com_AllFuels_SEDS_2022_TBtus!$A$3:$A$53,0))))</f>
        <v>0</v>
      </c>
      <c r="AX79" s="74">
        <f t="array" ref="AX79">IF(ISERROR(index(Com_AllFuels_SEDS_2022_TBtus!$U$3:$U$53,match($A66&amp;AX$65,Com_AllFuels_SEDS_2022_TBtus!$B$3:$B$53&amp;Com_AllFuels_SEDS_2022_TBtus!$A$3:$A$53,0))),0,(index(Com_AllFuels_SEDS_2022_TBtus!$U$3:$U$53,match($A66&amp;AX$65,Com_AllFuels_SEDS_2022_TBtus!$B$3:$B$53&amp;Com_AllFuels_SEDS_2022_TBtus!$A$3:$A$53,0))))</f>
        <v>0</v>
      </c>
      <c r="AY79" s="74">
        <f t="array" ref="AY79">IF(ISERROR(index(Com_AllFuels_SEDS_2022_TBtus!$U$3:$U$53,match($A66&amp;AY$65,Com_AllFuels_SEDS_2022_TBtus!$B$3:$B$53&amp;Com_AllFuels_SEDS_2022_TBtus!$A$3:$A$53,0))),0,(index(Com_AllFuels_SEDS_2022_TBtus!$U$3:$U$53,match($A66&amp;AY$65,Com_AllFuels_SEDS_2022_TBtus!$B$3:$B$53&amp;Com_AllFuels_SEDS_2022_TBtus!$A$3:$A$53,0))))</f>
        <v>0</v>
      </c>
      <c r="AZ79" s="74">
        <f t="array" ref="AZ79">IF(ISERROR(index(Com_AllFuels_SEDS_2022_TBtus!$U$3:$U$53,match($A66&amp;AZ$65,Com_AllFuels_SEDS_2022_TBtus!$B$3:$B$53&amp;Com_AllFuels_SEDS_2022_TBtus!$A$3:$A$53,0))),0,(index(Com_AllFuels_SEDS_2022_TBtus!$U$3:$U$53,match($A66&amp;AZ$65,Com_AllFuels_SEDS_2022_TBtus!$B$3:$B$53&amp;Com_AllFuels_SEDS_2022_TBtus!$A$3:$A$53,0))))</f>
        <v>0</v>
      </c>
      <c r="BA79" s="74">
        <f t="shared" ref="BA79:BA88" si="3">sum(B79:AZ79)</f>
        <v>182</v>
      </c>
    </row>
    <row r="80" ht="15.75" customHeight="1">
      <c r="A80" s="74">
        <v>2.0</v>
      </c>
      <c r="B80" s="74">
        <f t="array" ref="B80">IF(ISERROR(index(Com_AllFuels_SEDS_2022_TBtus!$U$3:$U$53,match($A67&amp;B$65,Com_AllFuels_SEDS_2022_TBtus!$B$3:$B$53&amp;Com_AllFuels_SEDS_2022_TBtus!$A$3:$A$53,0))),0,(index(Com_AllFuels_SEDS_2022_TBtus!$U$3:$U$53,match($A67&amp;B$65,Com_AllFuels_SEDS_2022_TBtus!$B$3:$B$53&amp;Com_AllFuels_SEDS_2022_TBtus!$A$3:$A$53,0))))</f>
        <v>0</v>
      </c>
      <c r="C80" s="74">
        <f t="array" ref="C80">IF(ISERROR(index(Com_AllFuels_SEDS_2022_TBtus!$U$3:$U$53,match($A67&amp;C$65,Com_AllFuels_SEDS_2022_TBtus!$B$3:$B$53&amp;Com_AllFuels_SEDS_2022_TBtus!$A$3:$A$53,0))),0,(index(Com_AllFuels_SEDS_2022_TBtus!$U$3:$U$53,match($A67&amp;C$65,Com_AllFuels_SEDS_2022_TBtus!$B$3:$B$53&amp;Com_AllFuels_SEDS_2022_TBtus!$A$3:$A$53,0))))</f>
        <v>0</v>
      </c>
      <c r="D80" s="74">
        <f t="array" ref="D80">IF(ISERROR(index(Com_AllFuels_SEDS_2022_TBtus!$U$3:$U$53,match($A67&amp;D$65,Com_AllFuels_SEDS_2022_TBtus!$B$3:$B$53&amp;Com_AllFuels_SEDS_2022_TBtus!$A$3:$A$53,0))),0,(index(Com_AllFuels_SEDS_2022_TBtus!$U$3:$U$53,match($A67&amp;D$65,Com_AllFuels_SEDS_2022_TBtus!$B$3:$B$53&amp;Com_AllFuels_SEDS_2022_TBtus!$A$3:$A$53,0))))</f>
        <v>0</v>
      </c>
      <c r="E80" s="74">
        <f t="array" ref="E80">IF(ISERROR(index(Com_AllFuels_SEDS_2022_TBtus!$U$3:$U$53,match($A67&amp;E$65,Com_AllFuels_SEDS_2022_TBtus!$B$3:$B$53&amp;Com_AllFuels_SEDS_2022_TBtus!$A$3:$A$53,0))),0,(index(Com_AllFuels_SEDS_2022_TBtus!$U$3:$U$53,match($A67&amp;E$65,Com_AllFuels_SEDS_2022_TBtus!$B$3:$B$53&amp;Com_AllFuels_SEDS_2022_TBtus!$A$3:$A$53,0))))</f>
        <v>0</v>
      </c>
      <c r="F80" s="74">
        <f t="array" ref="F80">IF(ISERROR(index(Com_AllFuels_SEDS_2022_TBtus!$U$3:$U$53,match($A67&amp;F$65,Com_AllFuels_SEDS_2022_TBtus!$B$3:$B$53&amp;Com_AllFuels_SEDS_2022_TBtus!$A$3:$A$53,0))),0,(index(Com_AllFuels_SEDS_2022_TBtus!$U$3:$U$53,match($A67&amp;F$65,Com_AllFuels_SEDS_2022_TBtus!$B$3:$B$53&amp;Com_AllFuels_SEDS_2022_TBtus!$A$3:$A$53,0))))</f>
        <v>0</v>
      </c>
      <c r="G80" s="74">
        <f t="array" ref="G80">IF(ISERROR(index(Com_AllFuels_SEDS_2022_TBtus!$U$3:$U$53,match($A67&amp;G$65,Com_AllFuels_SEDS_2022_TBtus!$B$3:$B$53&amp;Com_AllFuels_SEDS_2022_TBtus!$A$3:$A$53,0))),0,(index(Com_AllFuels_SEDS_2022_TBtus!$U$3:$U$53,match($A67&amp;G$65,Com_AllFuels_SEDS_2022_TBtus!$B$3:$B$53&amp;Com_AllFuels_SEDS_2022_TBtus!$A$3:$A$53,0))))</f>
        <v>0</v>
      </c>
      <c r="H80" s="74">
        <f t="array" ref="H80">IF(ISERROR(index(Com_AllFuels_SEDS_2022_TBtus!$U$3:$U$53,match($A67&amp;H$65,Com_AllFuels_SEDS_2022_TBtus!$B$3:$B$53&amp;Com_AllFuels_SEDS_2022_TBtus!$A$3:$A$53,0))),0,(index(Com_AllFuels_SEDS_2022_TBtus!$U$3:$U$53,match($A67&amp;H$65,Com_AllFuels_SEDS_2022_TBtus!$B$3:$B$53&amp;Com_AllFuels_SEDS_2022_TBtus!$A$3:$A$53,0))))</f>
        <v>0</v>
      </c>
      <c r="I80" s="74">
        <f t="array" ref="I80">IF(ISERROR(index(Com_AllFuels_SEDS_2022_TBtus!$U$3:$U$53,match($A67&amp;I$65,Com_AllFuels_SEDS_2022_TBtus!$B$3:$B$53&amp;Com_AllFuels_SEDS_2022_TBtus!$A$3:$A$53,0))),0,(index(Com_AllFuels_SEDS_2022_TBtus!$U$3:$U$53,match($A67&amp;I$65,Com_AllFuels_SEDS_2022_TBtus!$B$3:$B$53&amp;Com_AllFuels_SEDS_2022_TBtus!$A$3:$A$53,0))))</f>
        <v>0</v>
      </c>
      <c r="J80" s="74">
        <f t="array" ref="J80">IF(ISERROR(index(Com_AllFuels_SEDS_2022_TBtus!$U$3:$U$53,match($A67&amp;J$65,Com_AllFuels_SEDS_2022_TBtus!$B$3:$B$53&amp;Com_AllFuels_SEDS_2022_TBtus!$A$3:$A$53,0))),0,(index(Com_AllFuels_SEDS_2022_TBtus!$U$3:$U$53,match($A67&amp;J$65,Com_AllFuels_SEDS_2022_TBtus!$B$3:$B$53&amp;Com_AllFuels_SEDS_2022_TBtus!$A$3:$A$53,0))))</f>
        <v>0</v>
      </c>
      <c r="K80" s="74">
        <f t="array" ref="K80">IF(ISERROR(index(Com_AllFuels_SEDS_2022_TBtus!$U$3:$U$53,match($A67&amp;K$65,Com_AllFuels_SEDS_2022_TBtus!$B$3:$B$53&amp;Com_AllFuels_SEDS_2022_TBtus!$A$3:$A$53,0))),0,(index(Com_AllFuels_SEDS_2022_TBtus!$U$3:$U$53,match($A67&amp;K$65,Com_AllFuels_SEDS_2022_TBtus!$B$3:$B$53&amp;Com_AllFuels_SEDS_2022_TBtus!$A$3:$A$53,0))))</f>
        <v>0</v>
      </c>
      <c r="L80" s="74">
        <f t="array" ref="L80">IF(ISERROR(index(Com_AllFuels_SEDS_2022_TBtus!$U$3:$U$53,match($A67&amp;L$65,Com_AllFuels_SEDS_2022_TBtus!$B$3:$B$53&amp;Com_AllFuels_SEDS_2022_TBtus!$A$3:$A$53,0))),0,(index(Com_AllFuels_SEDS_2022_TBtus!$U$3:$U$53,match($A67&amp;L$65,Com_AllFuels_SEDS_2022_TBtus!$B$3:$B$53&amp;Com_AllFuels_SEDS_2022_TBtus!$A$3:$A$53,0))))</f>
        <v>0</v>
      </c>
      <c r="M80" s="74">
        <f t="array" ref="M80">IF(ISERROR(index(Com_AllFuels_SEDS_2022_TBtus!$U$3:$U$53,match($A67&amp;M$65,Com_AllFuels_SEDS_2022_TBtus!$B$3:$B$53&amp;Com_AllFuels_SEDS_2022_TBtus!$A$3:$A$53,0))),0,(index(Com_AllFuels_SEDS_2022_TBtus!$U$3:$U$53,match($A67&amp;M$65,Com_AllFuels_SEDS_2022_TBtus!$B$3:$B$53&amp;Com_AllFuels_SEDS_2022_TBtus!$A$3:$A$53,0))))</f>
        <v>0</v>
      </c>
      <c r="N80" s="74">
        <f t="array" ref="N80">IF(ISERROR(index(Com_AllFuels_SEDS_2022_TBtus!$U$3:$U$53,match($A67&amp;N$65,Com_AllFuels_SEDS_2022_TBtus!$B$3:$B$53&amp;Com_AllFuels_SEDS_2022_TBtus!$A$3:$A$53,0))),0,(index(Com_AllFuels_SEDS_2022_TBtus!$U$3:$U$53,match($A67&amp;N$65,Com_AllFuels_SEDS_2022_TBtus!$B$3:$B$53&amp;Com_AllFuels_SEDS_2022_TBtus!$A$3:$A$53,0))))</f>
        <v>0</v>
      </c>
      <c r="O80" s="74">
        <f t="array" ref="O80">IF(ISERROR(index(Com_AllFuels_SEDS_2022_TBtus!$U$3:$U$53,match($A67&amp;O$65,Com_AllFuels_SEDS_2022_TBtus!$B$3:$B$53&amp;Com_AllFuels_SEDS_2022_TBtus!$A$3:$A$53,0))),0,(index(Com_AllFuels_SEDS_2022_TBtus!$U$3:$U$53,match($A67&amp;O$65,Com_AllFuels_SEDS_2022_TBtus!$B$3:$B$53&amp;Com_AllFuels_SEDS_2022_TBtus!$A$3:$A$53,0))))</f>
        <v>0</v>
      </c>
      <c r="P80" s="74">
        <f t="array" ref="P80">IF(ISERROR(index(Com_AllFuels_SEDS_2022_TBtus!$U$3:$U$53,match($A67&amp;P$65,Com_AllFuels_SEDS_2022_TBtus!$B$3:$B$53&amp;Com_AllFuels_SEDS_2022_TBtus!$A$3:$A$53,0))),0,(index(Com_AllFuels_SEDS_2022_TBtus!$U$3:$U$53,match($A67&amp;P$65,Com_AllFuels_SEDS_2022_TBtus!$B$3:$B$53&amp;Com_AllFuels_SEDS_2022_TBtus!$A$3:$A$53,0))))</f>
        <v>0</v>
      </c>
      <c r="Q80" s="74">
        <f t="array" ref="Q80">IF(ISERROR(index(Com_AllFuels_SEDS_2022_TBtus!$U$3:$U$53,match($A67&amp;Q$65,Com_AllFuels_SEDS_2022_TBtus!$B$3:$B$53&amp;Com_AllFuels_SEDS_2022_TBtus!$A$3:$A$53,0))),0,(index(Com_AllFuels_SEDS_2022_TBtus!$U$3:$U$53,match($A67&amp;Q$65,Com_AllFuels_SEDS_2022_TBtus!$B$3:$B$53&amp;Com_AllFuels_SEDS_2022_TBtus!$A$3:$A$53,0))))</f>
        <v>0</v>
      </c>
      <c r="R80" s="74">
        <f t="array" ref="R80">IF(ISERROR(index(Com_AllFuels_SEDS_2022_TBtus!$U$3:$U$53,match($A67&amp;R$65,Com_AllFuels_SEDS_2022_TBtus!$B$3:$B$53&amp;Com_AllFuels_SEDS_2022_TBtus!$A$3:$A$53,0))),0,(index(Com_AllFuels_SEDS_2022_TBtus!$U$3:$U$53,match($A67&amp;R$65,Com_AllFuels_SEDS_2022_TBtus!$B$3:$B$53&amp;Com_AllFuels_SEDS_2022_TBtus!$A$3:$A$53,0))))</f>
        <v>0</v>
      </c>
      <c r="S80" s="74">
        <f t="array" ref="S80">IF(ISERROR(index(Com_AllFuels_SEDS_2022_TBtus!$U$3:$U$53,match($A67&amp;S$65,Com_AllFuels_SEDS_2022_TBtus!$B$3:$B$53&amp;Com_AllFuels_SEDS_2022_TBtus!$A$3:$A$53,0))),0,(index(Com_AllFuels_SEDS_2022_TBtus!$U$3:$U$53,match($A67&amp;S$65,Com_AllFuels_SEDS_2022_TBtus!$B$3:$B$53&amp;Com_AllFuels_SEDS_2022_TBtus!$A$3:$A$53,0))))</f>
        <v>0</v>
      </c>
      <c r="T80" s="74">
        <f t="array" ref="T80">IF(ISERROR(index(Com_AllFuels_SEDS_2022_TBtus!$U$3:$U$53,match($A67&amp;T$65,Com_AllFuels_SEDS_2022_TBtus!$B$3:$B$53&amp;Com_AllFuels_SEDS_2022_TBtus!$A$3:$A$53,0))),0,(index(Com_AllFuels_SEDS_2022_TBtus!$U$3:$U$53,match($A67&amp;T$65,Com_AllFuels_SEDS_2022_TBtus!$B$3:$B$53&amp;Com_AllFuels_SEDS_2022_TBtus!$A$3:$A$53,0))))</f>
        <v>0</v>
      </c>
      <c r="U80" s="74">
        <f t="array" ref="U80">IF(ISERROR(index(Com_AllFuels_SEDS_2022_TBtus!$U$3:$U$53,match($A67&amp;U$65,Com_AllFuels_SEDS_2022_TBtus!$B$3:$B$53&amp;Com_AllFuels_SEDS_2022_TBtus!$A$3:$A$53,0))),0,(index(Com_AllFuels_SEDS_2022_TBtus!$U$3:$U$53,match($A67&amp;U$65,Com_AllFuels_SEDS_2022_TBtus!$B$3:$B$53&amp;Com_AllFuels_SEDS_2022_TBtus!$A$3:$A$53,0))))</f>
        <v>0</v>
      </c>
      <c r="V80" s="74">
        <f t="array" ref="V80">IF(ISERROR(index(Com_AllFuels_SEDS_2022_TBtus!$U$3:$U$53,match($A67&amp;V$65,Com_AllFuels_SEDS_2022_TBtus!$B$3:$B$53&amp;Com_AllFuels_SEDS_2022_TBtus!$A$3:$A$53,0))),0,(index(Com_AllFuels_SEDS_2022_TBtus!$U$3:$U$53,match($A67&amp;V$65,Com_AllFuels_SEDS_2022_TBtus!$B$3:$B$53&amp;Com_AllFuels_SEDS_2022_TBtus!$A$3:$A$53,0))))</f>
        <v>0</v>
      </c>
      <c r="W80" s="74">
        <f t="array" ref="W80">IF(ISERROR(index(Com_AllFuels_SEDS_2022_TBtus!$U$3:$U$53,match($A67&amp;W$65,Com_AllFuels_SEDS_2022_TBtus!$B$3:$B$53&amp;Com_AllFuels_SEDS_2022_TBtus!$A$3:$A$53,0))),0,(index(Com_AllFuels_SEDS_2022_TBtus!$U$3:$U$53,match($A67&amp;W$65,Com_AllFuels_SEDS_2022_TBtus!$B$3:$B$53&amp;Com_AllFuels_SEDS_2022_TBtus!$A$3:$A$53,0))))</f>
        <v>0</v>
      </c>
      <c r="X80" s="74">
        <f t="array" ref="X80">IF(ISERROR(index(Com_AllFuels_SEDS_2022_TBtus!$U$3:$U$53,match($A67&amp;X$65,Com_AllFuels_SEDS_2022_TBtus!$B$3:$B$53&amp;Com_AllFuels_SEDS_2022_TBtus!$A$3:$A$53,0))),0,(index(Com_AllFuels_SEDS_2022_TBtus!$U$3:$U$53,match($A67&amp;X$65,Com_AllFuels_SEDS_2022_TBtus!$B$3:$B$53&amp;Com_AllFuels_SEDS_2022_TBtus!$A$3:$A$53,0))))</f>
        <v>0</v>
      </c>
      <c r="Y80" s="74">
        <f t="array" ref="Y80">IF(ISERROR(index(Com_AllFuels_SEDS_2022_TBtus!$U$3:$U$53,match($A67&amp;Y$65,Com_AllFuels_SEDS_2022_TBtus!$B$3:$B$53&amp;Com_AllFuels_SEDS_2022_TBtus!$A$3:$A$53,0))),0,(index(Com_AllFuels_SEDS_2022_TBtus!$U$3:$U$53,match($A67&amp;Y$65,Com_AllFuels_SEDS_2022_TBtus!$B$3:$B$53&amp;Com_AllFuels_SEDS_2022_TBtus!$A$3:$A$53,0))))</f>
        <v>0</v>
      </c>
      <c r="Z80" s="74">
        <f t="array" ref="Z80">IF(ISERROR(index(Com_AllFuels_SEDS_2022_TBtus!$U$3:$U$53,match($A67&amp;Z$65,Com_AllFuels_SEDS_2022_TBtus!$B$3:$B$53&amp;Com_AllFuels_SEDS_2022_TBtus!$A$3:$A$53,0))),0,(index(Com_AllFuels_SEDS_2022_TBtus!$U$3:$U$53,match($A67&amp;Z$65,Com_AllFuels_SEDS_2022_TBtus!$B$3:$B$53&amp;Com_AllFuels_SEDS_2022_TBtus!$A$3:$A$53,0))))</f>
        <v>0</v>
      </c>
      <c r="AA80" s="74">
        <f t="array" ref="AA80">IF(ISERROR(index(Com_AllFuels_SEDS_2022_TBtus!$U$3:$U$53,match($A67&amp;AA$65,Com_AllFuels_SEDS_2022_TBtus!$B$3:$B$53&amp;Com_AllFuels_SEDS_2022_TBtus!$A$3:$A$53,0))),0,(index(Com_AllFuels_SEDS_2022_TBtus!$U$3:$U$53,match($A67&amp;AA$65,Com_AllFuels_SEDS_2022_TBtus!$B$3:$B$53&amp;Com_AllFuels_SEDS_2022_TBtus!$A$3:$A$53,0))))</f>
        <v>0</v>
      </c>
      <c r="AB80" s="74">
        <f t="array" ref="AB80">IF(ISERROR(index(Com_AllFuels_SEDS_2022_TBtus!$U$3:$U$53,match($A67&amp;AB$65,Com_AllFuels_SEDS_2022_TBtus!$B$3:$B$53&amp;Com_AllFuels_SEDS_2022_TBtus!$A$3:$A$53,0))),0,(index(Com_AllFuels_SEDS_2022_TBtus!$U$3:$U$53,match($A67&amp;AB$65,Com_AllFuels_SEDS_2022_TBtus!$B$3:$B$53&amp;Com_AllFuels_SEDS_2022_TBtus!$A$3:$A$53,0))))</f>
        <v>0</v>
      </c>
      <c r="AC80" s="74">
        <f t="array" ref="AC80">IF(ISERROR(index(Com_AllFuels_SEDS_2022_TBtus!$U$3:$U$53,match($A67&amp;AC$65,Com_AllFuels_SEDS_2022_TBtus!$B$3:$B$53&amp;Com_AllFuels_SEDS_2022_TBtus!$A$3:$A$53,0))),0,(index(Com_AllFuels_SEDS_2022_TBtus!$U$3:$U$53,match($A67&amp;AC$65,Com_AllFuels_SEDS_2022_TBtus!$B$3:$B$53&amp;Com_AllFuels_SEDS_2022_TBtus!$A$3:$A$53,0))))</f>
        <v>0</v>
      </c>
      <c r="AD80" s="74">
        <f t="array" ref="AD80">IF(ISERROR(index(Com_AllFuels_SEDS_2022_TBtus!$U$3:$U$53,match($A67&amp;AD$65,Com_AllFuels_SEDS_2022_TBtus!$B$3:$B$53&amp;Com_AllFuels_SEDS_2022_TBtus!$A$3:$A$53,0))),0,(index(Com_AllFuels_SEDS_2022_TBtus!$U$3:$U$53,match($A67&amp;AD$65,Com_AllFuels_SEDS_2022_TBtus!$B$3:$B$53&amp;Com_AllFuels_SEDS_2022_TBtus!$A$3:$A$53,0))))</f>
        <v>0</v>
      </c>
      <c r="AE80" s="74">
        <f t="array" ref="AE80">IF(ISERROR(index(Com_AllFuels_SEDS_2022_TBtus!$U$3:$U$53,match($A67&amp;AE$65,Com_AllFuels_SEDS_2022_TBtus!$B$3:$B$53&amp;Com_AllFuels_SEDS_2022_TBtus!$A$3:$A$53,0))),0,(index(Com_AllFuels_SEDS_2022_TBtus!$U$3:$U$53,match($A67&amp;AE$65,Com_AllFuels_SEDS_2022_TBtus!$B$3:$B$53&amp;Com_AllFuels_SEDS_2022_TBtus!$A$3:$A$53,0))))</f>
        <v>0</v>
      </c>
      <c r="AF80" s="74">
        <f t="array" ref="AF80">IF(ISERROR(index(Com_AllFuels_SEDS_2022_TBtus!$U$3:$U$53,match($A67&amp;AF$65,Com_AllFuels_SEDS_2022_TBtus!$B$3:$B$53&amp;Com_AllFuels_SEDS_2022_TBtus!$A$3:$A$53,0))),0,(index(Com_AllFuels_SEDS_2022_TBtus!$U$3:$U$53,match($A67&amp;AF$65,Com_AllFuels_SEDS_2022_TBtus!$B$3:$B$53&amp;Com_AllFuels_SEDS_2022_TBtus!$A$3:$A$53,0))))</f>
        <v>132.8</v>
      </c>
      <c r="AG80" s="74">
        <f t="array" ref="AG80">IF(ISERROR(index(Com_AllFuels_SEDS_2022_TBtus!$U$3:$U$53,match($A67&amp;AG$65,Com_AllFuels_SEDS_2022_TBtus!$B$3:$B$53&amp;Com_AllFuels_SEDS_2022_TBtus!$A$3:$A$53,0))),0,(index(Com_AllFuels_SEDS_2022_TBtus!$U$3:$U$53,match($A67&amp;AG$65,Com_AllFuels_SEDS_2022_TBtus!$B$3:$B$53&amp;Com_AllFuels_SEDS_2022_TBtus!$A$3:$A$53,0))))</f>
        <v>0</v>
      </c>
      <c r="AH80" s="74">
        <f t="array" ref="AH80">IF(ISERROR(index(Com_AllFuels_SEDS_2022_TBtus!$U$3:$U$53,match($A67&amp;AH$65,Com_AllFuels_SEDS_2022_TBtus!$B$3:$B$53&amp;Com_AllFuels_SEDS_2022_TBtus!$A$3:$A$53,0))),0,(index(Com_AllFuels_SEDS_2022_TBtus!$U$3:$U$53,match($A67&amp;AH$65,Com_AllFuels_SEDS_2022_TBtus!$B$3:$B$53&amp;Com_AllFuels_SEDS_2022_TBtus!$A$3:$A$53,0))))</f>
        <v>253.8</v>
      </c>
      <c r="AI80" s="74">
        <f t="array" ref="AI80">IF(ISERROR(index(Com_AllFuels_SEDS_2022_TBtus!$U$3:$U$53,match($A67&amp;AI$65,Com_AllFuels_SEDS_2022_TBtus!$B$3:$B$53&amp;Com_AllFuels_SEDS_2022_TBtus!$A$3:$A$53,0))),0,(index(Com_AllFuels_SEDS_2022_TBtus!$U$3:$U$53,match($A67&amp;AI$65,Com_AllFuels_SEDS_2022_TBtus!$B$3:$B$53&amp;Com_AllFuels_SEDS_2022_TBtus!$A$3:$A$53,0))))</f>
        <v>0</v>
      </c>
      <c r="AJ80" s="74">
        <f t="array" ref="AJ80">IF(ISERROR(index(Com_AllFuels_SEDS_2022_TBtus!$U$3:$U$53,match($A67&amp;AJ$65,Com_AllFuels_SEDS_2022_TBtus!$B$3:$B$53&amp;Com_AllFuels_SEDS_2022_TBtus!$A$3:$A$53,0))),0,(index(Com_AllFuels_SEDS_2022_TBtus!$U$3:$U$53,match($A67&amp;AJ$65,Com_AllFuels_SEDS_2022_TBtus!$B$3:$B$53&amp;Com_AllFuels_SEDS_2022_TBtus!$A$3:$A$53,0))))</f>
        <v>0</v>
      </c>
      <c r="AK80" s="74">
        <f t="array" ref="AK80">IF(ISERROR(index(Com_AllFuels_SEDS_2022_TBtus!$U$3:$U$53,match($A67&amp;AK$65,Com_AllFuels_SEDS_2022_TBtus!$B$3:$B$53&amp;Com_AllFuels_SEDS_2022_TBtus!$A$3:$A$53,0))),0,(index(Com_AllFuels_SEDS_2022_TBtus!$U$3:$U$53,match($A67&amp;AK$65,Com_AllFuels_SEDS_2022_TBtus!$B$3:$B$53&amp;Com_AllFuels_SEDS_2022_TBtus!$A$3:$A$53,0))))</f>
        <v>0</v>
      </c>
      <c r="AL80" s="74">
        <f t="array" ref="AL80">IF(ISERROR(index(Com_AllFuels_SEDS_2022_TBtus!$U$3:$U$53,match($A67&amp;AL$65,Com_AllFuels_SEDS_2022_TBtus!$B$3:$B$53&amp;Com_AllFuels_SEDS_2022_TBtus!$A$3:$A$53,0))),0,(index(Com_AllFuels_SEDS_2022_TBtus!$U$3:$U$53,match($A67&amp;AL$65,Com_AllFuels_SEDS_2022_TBtus!$B$3:$B$53&amp;Com_AllFuels_SEDS_2022_TBtus!$A$3:$A$53,0))))</f>
        <v>0</v>
      </c>
      <c r="AM80" s="74">
        <f t="array" ref="AM80">IF(ISERROR(index(Com_AllFuels_SEDS_2022_TBtus!$U$3:$U$53,match($A67&amp;AM$65,Com_AllFuels_SEDS_2022_TBtus!$B$3:$B$53&amp;Com_AllFuels_SEDS_2022_TBtus!$A$3:$A$53,0))),0,(index(Com_AllFuels_SEDS_2022_TBtus!$U$3:$U$53,match($A67&amp;AM$65,Com_AllFuels_SEDS_2022_TBtus!$B$3:$B$53&amp;Com_AllFuels_SEDS_2022_TBtus!$A$3:$A$53,0))))</f>
        <v>0</v>
      </c>
      <c r="AN80" s="74">
        <f t="array" ref="AN80">IF(ISERROR(index(Com_AllFuels_SEDS_2022_TBtus!$U$3:$U$53,match($A67&amp;AN$65,Com_AllFuels_SEDS_2022_TBtus!$B$3:$B$53&amp;Com_AllFuels_SEDS_2022_TBtus!$A$3:$A$53,0))),0,(index(Com_AllFuels_SEDS_2022_TBtus!$U$3:$U$53,match($A67&amp;AN$65,Com_AllFuels_SEDS_2022_TBtus!$B$3:$B$53&amp;Com_AllFuels_SEDS_2022_TBtus!$A$3:$A$53,0))))</f>
        <v>128.6</v>
      </c>
      <c r="AO80" s="74">
        <f t="array" ref="AO80">IF(ISERROR(index(Com_AllFuels_SEDS_2022_TBtus!$U$3:$U$53,match($A67&amp;AO$65,Com_AllFuels_SEDS_2022_TBtus!$B$3:$B$53&amp;Com_AllFuels_SEDS_2022_TBtus!$A$3:$A$53,0))),0,(index(Com_AllFuels_SEDS_2022_TBtus!$U$3:$U$53,match($A67&amp;AO$65,Com_AllFuels_SEDS_2022_TBtus!$B$3:$B$53&amp;Com_AllFuels_SEDS_2022_TBtus!$A$3:$A$53,0))))</f>
        <v>0</v>
      </c>
      <c r="AP80" s="74">
        <f t="array" ref="AP80">IF(ISERROR(index(Com_AllFuels_SEDS_2022_TBtus!$U$3:$U$53,match($A67&amp;AP$65,Com_AllFuels_SEDS_2022_TBtus!$B$3:$B$53&amp;Com_AllFuels_SEDS_2022_TBtus!$A$3:$A$53,0))),0,(index(Com_AllFuels_SEDS_2022_TBtus!$U$3:$U$53,match($A67&amp;AP$65,Com_AllFuels_SEDS_2022_TBtus!$B$3:$B$53&amp;Com_AllFuels_SEDS_2022_TBtus!$A$3:$A$53,0))))</f>
        <v>0</v>
      </c>
      <c r="AQ80" s="74">
        <f t="array" ref="AQ80">IF(ISERROR(index(Com_AllFuels_SEDS_2022_TBtus!$U$3:$U$53,match($A67&amp;AQ$65,Com_AllFuels_SEDS_2022_TBtus!$B$3:$B$53&amp;Com_AllFuels_SEDS_2022_TBtus!$A$3:$A$53,0))),0,(index(Com_AllFuels_SEDS_2022_TBtus!$U$3:$U$53,match($A67&amp;AQ$65,Com_AllFuels_SEDS_2022_TBtus!$B$3:$B$53&amp;Com_AllFuels_SEDS_2022_TBtus!$A$3:$A$53,0))))</f>
        <v>0</v>
      </c>
      <c r="AR80" s="74">
        <f t="array" ref="AR80">IF(ISERROR(index(Com_AllFuels_SEDS_2022_TBtus!$U$3:$U$53,match($A67&amp;AR$65,Com_AllFuels_SEDS_2022_TBtus!$B$3:$B$53&amp;Com_AllFuels_SEDS_2022_TBtus!$A$3:$A$53,0))),0,(index(Com_AllFuels_SEDS_2022_TBtus!$U$3:$U$53,match($A67&amp;AR$65,Com_AllFuels_SEDS_2022_TBtus!$B$3:$B$53&amp;Com_AllFuels_SEDS_2022_TBtus!$A$3:$A$53,0))))</f>
        <v>0</v>
      </c>
      <c r="AS80" s="74">
        <f t="array" ref="AS80">IF(ISERROR(index(Com_AllFuels_SEDS_2022_TBtus!$U$3:$U$53,match($A67&amp;AS$65,Com_AllFuels_SEDS_2022_TBtus!$B$3:$B$53&amp;Com_AllFuels_SEDS_2022_TBtus!$A$3:$A$53,0))),0,(index(Com_AllFuels_SEDS_2022_TBtus!$U$3:$U$53,match($A67&amp;AS$65,Com_AllFuels_SEDS_2022_TBtus!$B$3:$B$53&amp;Com_AllFuels_SEDS_2022_TBtus!$A$3:$A$53,0))))</f>
        <v>0</v>
      </c>
      <c r="AT80" s="74">
        <f t="array" ref="AT80">IF(ISERROR(index(Com_AllFuels_SEDS_2022_TBtus!$U$3:$U$53,match($A67&amp;AT$65,Com_AllFuels_SEDS_2022_TBtus!$B$3:$B$53&amp;Com_AllFuels_SEDS_2022_TBtus!$A$3:$A$53,0))),0,(index(Com_AllFuels_SEDS_2022_TBtus!$U$3:$U$53,match($A67&amp;AT$65,Com_AllFuels_SEDS_2022_TBtus!$B$3:$B$53&amp;Com_AllFuels_SEDS_2022_TBtus!$A$3:$A$53,0))))</f>
        <v>0</v>
      </c>
      <c r="AU80" s="74">
        <f t="array" ref="AU80">IF(ISERROR(index(Com_AllFuels_SEDS_2022_TBtus!$U$3:$U$53,match($A67&amp;AU$65,Com_AllFuels_SEDS_2022_TBtus!$B$3:$B$53&amp;Com_AllFuels_SEDS_2022_TBtus!$A$3:$A$53,0))),0,(index(Com_AllFuels_SEDS_2022_TBtus!$U$3:$U$53,match($A67&amp;AU$65,Com_AllFuels_SEDS_2022_TBtus!$B$3:$B$53&amp;Com_AllFuels_SEDS_2022_TBtus!$A$3:$A$53,0))))</f>
        <v>0</v>
      </c>
      <c r="AV80" s="74">
        <f t="array" ref="AV80">IF(ISERROR(index(Com_AllFuels_SEDS_2022_TBtus!$U$3:$U$53,match($A67&amp;AV$65,Com_AllFuels_SEDS_2022_TBtus!$B$3:$B$53&amp;Com_AllFuels_SEDS_2022_TBtus!$A$3:$A$53,0))),0,(index(Com_AllFuels_SEDS_2022_TBtus!$U$3:$U$53,match($A67&amp;AV$65,Com_AllFuels_SEDS_2022_TBtus!$B$3:$B$53&amp;Com_AllFuels_SEDS_2022_TBtus!$A$3:$A$53,0))))</f>
        <v>0</v>
      </c>
      <c r="AW80" s="74">
        <f t="array" ref="AW80">IF(ISERROR(index(Com_AllFuels_SEDS_2022_TBtus!$U$3:$U$53,match($A67&amp;AW$65,Com_AllFuels_SEDS_2022_TBtus!$B$3:$B$53&amp;Com_AllFuels_SEDS_2022_TBtus!$A$3:$A$53,0))),0,(index(Com_AllFuels_SEDS_2022_TBtus!$U$3:$U$53,match($A67&amp;AW$65,Com_AllFuels_SEDS_2022_TBtus!$B$3:$B$53&amp;Com_AllFuels_SEDS_2022_TBtus!$A$3:$A$53,0))))</f>
        <v>0</v>
      </c>
      <c r="AX80" s="74">
        <f t="array" ref="AX80">IF(ISERROR(index(Com_AllFuels_SEDS_2022_TBtus!$U$3:$U$53,match($A67&amp;AX$65,Com_AllFuels_SEDS_2022_TBtus!$B$3:$B$53&amp;Com_AllFuels_SEDS_2022_TBtus!$A$3:$A$53,0))),0,(index(Com_AllFuels_SEDS_2022_TBtus!$U$3:$U$53,match($A67&amp;AX$65,Com_AllFuels_SEDS_2022_TBtus!$B$3:$B$53&amp;Com_AllFuels_SEDS_2022_TBtus!$A$3:$A$53,0))))</f>
        <v>0</v>
      </c>
      <c r="AY80" s="74">
        <f t="array" ref="AY80">IF(ISERROR(index(Com_AllFuels_SEDS_2022_TBtus!$U$3:$U$53,match($A67&amp;AY$65,Com_AllFuels_SEDS_2022_TBtus!$B$3:$B$53&amp;Com_AllFuels_SEDS_2022_TBtus!$A$3:$A$53,0))),0,(index(Com_AllFuels_SEDS_2022_TBtus!$U$3:$U$53,match($A67&amp;AY$65,Com_AllFuels_SEDS_2022_TBtus!$B$3:$B$53&amp;Com_AllFuels_SEDS_2022_TBtus!$A$3:$A$53,0))))</f>
        <v>0</v>
      </c>
      <c r="AZ80" s="74">
        <f t="array" ref="AZ80">IF(ISERROR(index(Com_AllFuels_SEDS_2022_TBtus!$U$3:$U$53,match($A67&amp;AZ$65,Com_AllFuels_SEDS_2022_TBtus!$B$3:$B$53&amp;Com_AllFuels_SEDS_2022_TBtus!$A$3:$A$53,0))),0,(index(Com_AllFuels_SEDS_2022_TBtus!$U$3:$U$53,match($A67&amp;AZ$65,Com_AllFuels_SEDS_2022_TBtus!$B$3:$B$53&amp;Com_AllFuels_SEDS_2022_TBtus!$A$3:$A$53,0))))</f>
        <v>0</v>
      </c>
      <c r="BA80" s="74">
        <f t="shared" si="3"/>
        <v>515.2</v>
      </c>
    </row>
    <row r="81" ht="15.75" customHeight="1">
      <c r="A81" s="74">
        <v>3.0</v>
      </c>
      <c r="B81" s="74">
        <f t="array" ref="B81">IF(ISERROR(index(Com_AllFuels_SEDS_2022_TBtus!$U$3:$U$53,match($A68&amp;B$65,Com_AllFuels_SEDS_2022_TBtus!$B$3:$B$53&amp;Com_AllFuels_SEDS_2022_TBtus!$A$3:$A$53,0))),0,(index(Com_AllFuels_SEDS_2022_TBtus!$U$3:$U$53,match($A68&amp;B$65,Com_AllFuels_SEDS_2022_TBtus!$B$3:$B$53&amp;Com_AllFuels_SEDS_2022_TBtus!$A$3:$A$53,0))))</f>
        <v>0</v>
      </c>
      <c r="C81" s="74">
        <f t="array" ref="C81">IF(ISERROR(index(Com_AllFuels_SEDS_2022_TBtus!$U$3:$U$53,match($A68&amp;C$65,Com_AllFuels_SEDS_2022_TBtus!$B$3:$B$53&amp;Com_AllFuels_SEDS_2022_TBtus!$A$3:$A$53,0))),0,(index(Com_AllFuels_SEDS_2022_TBtus!$U$3:$U$53,match($A68&amp;C$65,Com_AllFuels_SEDS_2022_TBtus!$B$3:$B$53&amp;Com_AllFuels_SEDS_2022_TBtus!$A$3:$A$53,0))))</f>
        <v>0</v>
      </c>
      <c r="D81" s="74">
        <f t="array" ref="D81">IF(ISERROR(index(Com_AllFuels_SEDS_2022_TBtus!$U$3:$U$53,match($A68&amp;D$65,Com_AllFuels_SEDS_2022_TBtus!$B$3:$B$53&amp;Com_AllFuels_SEDS_2022_TBtus!$A$3:$A$53,0))),0,(index(Com_AllFuels_SEDS_2022_TBtus!$U$3:$U$53,match($A68&amp;D$65,Com_AllFuels_SEDS_2022_TBtus!$B$3:$B$53&amp;Com_AllFuels_SEDS_2022_TBtus!$A$3:$A$53,0))))</f>
        <v>0</v>
      </c>
      <c r="E81" s="74">
        <f t="array" ref="E81">IF(ISERROR(index(Com_AllFuels_SEDS_2022_TBtus!$U$3:$U$53,match($A68&amp;E$65,Com_AllFuels_SEDS_2022_TBtus!$B$3:$B$53&amp;Com_AllFuels_SEDS_2022_TBtus!$A$3:$A$53,0))),0,(index(Com_AllFuels_SEDS_2022_TBtus!$U$3:$U$53,match($A68&amp;E$65,Com_AllFuels_SEDS_2022_TBtus!$B$3:$B$53&amp;Com_AllFuels_SEDS_2022_TBtus!$A$3:$A$53,0))))</f>
        <v>0</v>
      </c>
      <c r="F81" s="74">
        <f t="array" ref="F81">IF(ISERROR(index(Com_AllFuels_SEDS_2022_TBtus!$U$3:$U$53,match($A68&amp;F$65,Com_AllFuels_SEDS_2022_TBtus!$B$3:$B$53&amp;Com_AllFuels_SEDS_2022_TBtus!$A$3:$A$53,0))),0,(index(Com_AllFuels_SEDS_2022_TBtus!$U$3:$U$53,match($A68&amp;F$65,Com_AllFuels_SEDS_2022_TBtus!$B$3:$B$53&amp;Com_AllFuels_SEDS_2022_TBtus!$A$3:$A$53,0))))</f>
        <v>0</v>
      </c>
      <c r="G81" s="74">
        <f t="array" ref="G81">IF(ISERROR(index(Com_AllFuels_SEDS_2022_TBtus!$U$3:$U$53,match($A68&amp;G$65,Com_AllFuels_SEDS_2022_TBtus!$B$3:$B$53&amp;Com_AllFuels_SEDS_2022_TBtus!$A$3:$A$53,0))),0,(index(Com_AllFuels_SEDS_2022_TBtus!$U$3:$U$53,match($A68&amp;G$65,Com_AllFuels_SEDS_2022_TBtus!$B$3:$B$53&amp;Com_AllFuels_SEDS_2022_TBtus!$A$3:$A$53,0))))</f>
        <v>0</v>
      </c>
      <c r="H81" s="74">
        <f t="array" ref="H81">IF(ISERROR(index(Com_AllFuels_SEDS_2022_TBtus!$U$3:$U$53,match($A68&amp;H$65,Com_AllFuels_SEDS_2022_TBtus!$B$3:$B$53&amp;Com_AllFuels_SEDS_2022_TBtus!$A$3:$A$53,0))),0,(index(Com_AllFuels_SEDS_2022_TBtus!$U$3:$U$53,match($A68&amp;H$65,Com_AllFuels_SEDS_2022_TBtus!$B$3:$B$53&amp;Com_AllFuels_SEDS_2022_TBtus!$A$3:$A$53,0))))</f>
        <v>0</v>
      </c>
      <c r="I81" s="74">
        <f t="array" ref="I81">IF(ISERROR(index(Com_AllFuels_SEDS_2022_TBtus!$U$3:$U$53,match($A68&amp;I$65,Com_AllFuels_SEDS_2022_TBtus!$B$3:$B$53&amp;Com_AllFuels_SEDS_2022_TBtus!$A$3:$A$53,0))),0,(index(Com_AllFuels_SEDS_2022_TBtus!$U$3:$U$53,match($A68&amp;I$65,Com_AllFuels_SEDS_2022_TBtus!$B$3:$B$53&amp;Com_AllFuels_SEDS_2022_TBtus!$A$3:$A$53,0))))</f>
        <v>0</v>
      </c>
      <c r="J81" s="74">
        <f t="array" ref="J81">IF(ISERROR(index(Com_AllFuels_SEDS_2022_TBtus!$U$3:$U$53,match($A68&amp;J$65,Com_AllFuels_SEDS_2022_TBtus!$B$3:$B$53&amp;Com_AllFuels_SEDS_2022_TBtus!$A$3:$A$53,0))),0,(index(Com_AllFuels_SEDS_2022_TBtus!$U$3:$U$53,match($A68&amp;J$65,Com_AllFuels_SEDS_2022_TBtus!$B$3:$B$53&amp;Com_AllFuels_SEDS_2022_TBtus!$A$3:$A$53,0))))</f>
        <v>0</v>
      </c>
      <c r="K81" s="74">
        <f t="array" ref="K81">IF(ISERROR(index(Com_AllFuels_SEDS_2022_TBtus!$U$3:$U$53,match($A68&amp;K$65,Com_AllFuels_SEDS_2022_TBtus!$B$3:$B$53&amp;Com_AllFuels_SEDS_2022_TBtus!$A$3:$A$53,0))),0,(index(Com_AllFuels_SEDS_2022_TBtus!$U$3:$U$53,match($A68&amp;K$65,Com_AllFuels_SEDS_2022_TBtus!$B$3:$B$53&amp;Com_AllFuels_SEDS_2022_TBtus!$A$3:$A$53,0))))</f>
        <v>0</v>
      </c>
      <c r="L81" s="74">
        <f t="array" ref="L81">IF(ISERROR(index(Com_AllFuels_SEDS_2022_TBtus!$U$3:$U$53,match($A68&amp;L$65,Com_AllFuels_SEDS_2022_TBtus!$B$3:$B$53&amp;Com_AllFuels_SEDS_2022_TBtus!$A$3:$A$53,0))),0,(index(Com_AllFuels_SEDS_2022_TBtus!$U$3:$U$53,match($A68&amp;L$65,Com_AllFuels_SEDS_2022_TBtus!$B$3:$B$53&amp;Com_AllFuels_SEDS_2022_TBtus!$A$3:$A$53,0))))</f>
        <v>0</v>
      </c>
      <c r="M81" s="74">
        <f t="array" ref="M81">IF(ISERROR(index(Com_AllFuels_SEDS_2022_TBtus!$U$3:$U$53,match($A68&amp;M$65,Com_AllFuels_SEDS_2022_TBtus!$B$3:$B$53&amp;Com_AllFuels_SEDS_2022_TBtus!$A$3:$A$53,0))),0,(index(Com_AllFuels_SEDS_2022_TBtus!$U$3:$U$53,match($A68&amp;M$65,Com_AllFuels_SEDS_2022_TBtus!$B$3:$B$53&amp;Com_AllFuels_SEDS_2022_TBtus!$A$3:$A$53,0))))</f>
        <v>0</v>
      </c>
      <c r="N81" s="74">
        <f t="array" ref="N81">IF(ISERROR(index(Com_AllFuels_SEDS_2022_TBtus!$U$3:$U$53,match($A68&amp;N$65,Com_AllFuels_SEDS_2022_TBtus!$B$3:$B$53&amp;Com_AllFuels_SEDS_2022_TBtus!$A$3:$A$53,0))),0,(index(Com_AllFuels_SEDS_2022_TBtus!$U$3:$U$53,match($A68&amp;N$65,Com_AllFuels_SEDS_2022_TBtus!$B$3:$B$53&amp;Com_AllFuels_SEDS_2022_TBtus!$A$3:$A$53,0))))</f>
        <v>0</v>
      </c>
      <c r="O81" s="74">
        <f t="array" ref="O81">IF(ISERROR(index(Com_AllFuels_SEDS_2022_TBtus!$U$3:$U$53,match($A68&amp;O$65,Com_AllFuels_SEDS_2022_TBtus!$B$3:$B$53&amp;Com_AllFuels_SEDS_2022_TBtus!$A$3:$A$53,0))),0,(index(Com_AllFuels_SEDS_2022_TBtus!$U$3:$U$53,match($A68&amp;O$65,Com_AllFuels_SEDS_2022_TBtus!$B$3:$B$53&amp;Com_AllFuels_SEDS_2022_TBtus!$A$3:$A$53,0))))</f>
        <v>163.4</v>
      </c>
      <c r="P81" s="74">
        <f t="array" ref="P81">IF(ISERROR(index(Com_AllFuels_SEDS_2022_TBtus!$U$3:$U$53,match($A68&amp;P$65,Com_AllFuels_SEDS_2022_TBtus!$B$3:$B$53&amp;Com_AllFuels_SEDS_2022_TBtus!$A$3:$A$53,0))),0,(index(Com_AllFuels_SEDS_2022_TBtus!$U$3:$U$53,match($A68&amp;P$65,Com_AllFuels_SEDS_2022_TBtus!$B$3:$B$53&amp;Com_AllFuels_SEDS_2022_TBtus!$A$3:$A$53,0))))</f>
        <v>81.6</v>
      </c>
      <c r="Q81" s="74">
        <f t="array" ref="Q81">IF(ISERROR(index(Com_AllFuels_SEDS_2022_TBtus!$U$3:$U$53,match($A68&amp;Q$65,Com_AllFuels_SEDS_2022_TBtus!$B$3:$B$53&amp;Com_AllFuels_SEDS_2022_TBtus!$A$3:$A$53,0))),0,(index(Com_AllFuels_SEDS_2022_TBtus!$U$3:$U$53,match($A68&amp;Q$65,Com_AllFuels_SEDS_2022_TBtus!$B$3:$B$53&amp;Com_AllFuels_SEDS_2022_TBtus!$A$3:$A$53,0))))</f>
        <v>0</v>
      </c>
      <c r="R81" s="74">
        <f t="array" ref="R81">IF(ISERROR(index(Com_AllFuels_SEDS_2022_TBtus!$U$3:$U$53,match($A68&amp;R$65,Com_AllFuels_SEDS_2022_TBtus!$B$3:$B$53&amp;Com_AllFuels_SEDS_2022_TBtus!$A$3:$A$53,0))),0,(index(Com_AllFuels_SEDS_2022_TBtus!$U$3:$U$53,match($A68&amp;R$65,Com_AllFuels_SEDS_2022_TBtus!$B$3:$B$53&amp;Com_AllFuels_SEDS_2022_TBtus!$A$3:$A$53,0))))</f>
        <v>0</v>
      </c>
      <c r="S81" s="74">
        <f t="array" ref="S81">IF(ISERROR(index(Com_AllFuels_SEDS_2022_TBtus!$U$3:$U$53,match($A68&amp;S$65,Com_AllFuels_SEDS_2022_TBtus!$B$3:$B$53&amp;Com_AllFuels_SEDS_2022_TBtus!$A$3:$A$53,0))),0,(index(Com_AllFuels_SEDS_2022_TBtus!$U$3:$U$53,match($A68&amp;S$65,Com_AllFuels_SEDS_2022_TBtus!$B$3:$B$53&amp;Com_AllFuels_SEDS_2022_TBtus!$A$3:$A$53,0))))</f>
        <v>0</v>
      </c>
      <c r="T81" s="74">
        <f t="array" ref="T81">IF(ISERROR(index(Com_AllFuels_SEDS_2022_TBtus!$U$3:$U$53,match($A68&amp;T$65,Com_AllFuels_SEDS_2022_TBtus!$B$3:$B$53&amp;Com_AllFuels_SEDS_2022_TBtus!$A$3:$A$53,0))),0,(index(Com_AllFuels_SEDS_2022_TBtus!$U$3:$U$53,match($A68&amp;T$65,Com_AllFuels_SEDS_2022_TBtus!$B$3:$B$53&amp;Com_AllFuels_SEDS_2022_TBtus!$A$3:$A$53,0))))</f>
        <v>0</v>
      </c>
      <c r="U81" s="74">
        <f t="array" ref="U81">IF(ISERROR(index(Com_AllFuels_SEDS_2022_TBtus!$U$3:$U$53,match($A68&amp;U$65,Com_AllFuels_SEDS_2022_TBtus!$B$3:$B$53&amp;Com_AllFuels_SEDS_2022_TBtus!$A$3:$A$53,0))),0,(index(Com_AllFuels_SEDS_2022_TBtus!$U$3:$U$53,match($A68&amp;U$65,Com_AllFuels_SEDS_2022_TBtus!$B$3:$B$53&amp;Com_AllFuels_SEDS_2022_TBtus!$A$3:$A$53,0))))</f>
        <v>0</v>
      </c>
      <c r="V81" s="74">
        <f t="array" ref="V81">IF(ISERROR(index(Com_AllFuels_SEDS_2022_TBtus!$U$3:$U$53,match($A68&amp;V$65,Com_AllFuels_SEDS_2022_TBtus!$B$3:$B$53&amp;Com_AllFuels_SEDS_2022_TBtus!$A$3:$A$53,0))),0,(index(Com_AllFuels_SEDS_2022_TBtus!$U$3:$U$53,match($A68&amp;V$65,Com_AllFuels_SEDS_2022_TBtus!$B$3:$B$53&amp;Com_AllFuels_SEDS_2022_TBtus!$A$3:$A$53,0))))</f>
        <v>0</v>
      </c>
      <c r="W81" s="74">
        <f t="array" ref="W81">IF(ISERROR(index(Com_AllFuels_SEDS_2022_TBtus!$U$3:$U$53,match($A68&amp;W$65,Com_AllFuels_SEDS_2022_TBtus!$B$3:$B$53&amp;Com_AllFuels_SEDS_2022_TBtus!$A$3:$A$53,0))),0,(index(Com_AllFuels_SEDS_2022_TBtus!$U$3:$U$53,match($A68&amp;W$65,Com_AllFuels_SEDS_2022_TBtus!$B$3:$B$53&amp;Com_AllFuels_SEDS_2022_TBtus!$A$3:$A$53,0))))</f>
        <v>0</v>
      </c>
      <c r="X81" s="74">
        <f t="array" ref="X81">IF(ISERROR(index(Com_AllFuels_SEDS_2022_TBtus!$U$3:$U$53,match($A68&amp;X$65,Com_AllFuels_SEDS_2022_TBtus!$B$3:$B$53&amp;Com_AllFuels_SEDS_2022_TBtus!$A$3:$A$53,0))),0,(index(Com_AllFuels_SEDS_2022_TBtus!$U$3:$U$53,match($A68&amp;X$65,Com_AllFuels_SEDS_2022_TBtus!$B$3:$B$53&amp;Com_AllFuels_SEDS_2022_TBtus!$A$3:$A$53,0))))</f>
        <v>127.8</v>
      </c>
      <c r="Y81" s="74">
        <f t="array" ref="Y81">IF(ISERROR(index(Com_AllFuels_SEDS_2022_TBtus!$U$3:$U$53,match($A68&amp;Y$65,Com_AllFuels_SEDS_2022_TBtus!$B$3:$B$53&amp;Com_AllFuels_SEDS_2022_TBtus!$A$3:$A$53,0))),0,(index(Com_AllFuels_SEDS_2022_TBtus!$U$3:$U$53,match($A68&amp;Y$65,Com_AllFuels_SEDS_2022_TBtus!$B$3:$B$53&amp;Com_AllFuels_SEDS_2022_TBtus!$A$3:$A$53,0))))</f>
        <v>0</v>
      </c>
      <c r="Z81" s="74">
        <f t="array" ref="Z81">IF(ISERROR(index(Com_AllFuels_SEDS_2022_TBtus!$U$3:$U$53,match($A68&amp;Z$65,Com_AllFuels_SEDS_2022_TBtus!$B$3:$B$53&amp;Com_AllFuels_SEDS_2022_TBtus!$A$3:$A$53,0))),0,(index(Com_AllFuels_SEDS_2022_TBtus!$U$3:$U$53,match($A68&amp;Z$65,Com_AllFuels_SEDS_2022_TBtus!$B$3:$B$53&amp;Com_AllFuels_SEDS_2022_TBtus!$A$3:$A$53,0))))</f>
        <v>0</v>
      </c>
      <c r="AA81" s="74">
        <f t="array" ref="AA81">IF(ISERROR(index(Com_AllFuels_SEDS_2022_TBtus!$U$3:$U$53,match($A68&amp;AA$65,Com_AllFuels_SEDS_2022_TBtus!$B$3:$B$53&amp;Com_AllFuels_SEDS_2022_TBtus!$A$3:$A$53,0))),0,(index(Com_AllFuels_SEDS_2022_TBtus!$U$3:$U$53,match($A68&amp;AA$65,Com_AllFuels_SEDS_2022_TBtus!$B$3:$B$53&amp;Com_AllFuels_SEDS_2022_TBtus!$A$3:$A$53,0))))</f>
        <v>0</v>
      </c>
      <c r="AB81" s="74">
        <f t="array" ref="AB81">IF(ISERROR(index(Com_AllFuels_SEDS_2022_TBtus!$U$3:$U$53,match($A68&amp;AB$65,Com_AllFuels_SEDS_2022_TBtus!$B$3:$B$53&amp;Com_AllFuels_SEDS_2022_TBtus!$A$3:$A$53,0))),0,(index(Com_AllFuels_SEDS_2022_TBtus!$U$3:$U$53,match($A68&amp;AB$65,Com_AllFuels_SEDS_2022_TBtus!$B$3:$B$53&amp;Com_AllFuels_SEDS_2022_TBtus!$A$3:$A$53,0))))</f>
        <v>0</v>
      </c>
      <c r="AC81" s="74">
        <f t="array" ref="AC81">IF(ISERROR(index(Com_AllFuels_SEDS_2022_TBtus!$U$3:$U$53,match($A68&amp;AC$65,Com_AllFuels_SEDS_2022_TBtus!$B$3:$B$53&amp;Com_AllFuels_SEDS_2022_TBtus!$A$3:$A$53,0))),0,(index(Com_AllFuels_SEDS_2022_TBtus!$U$3:$U$53,match($A68&amp;AC$65,Com_AllFuels_SEDS_2022_TBtus!$B$3:$B$53&amp;Com_AllFuels_SEDS_2022_TBtus!$A$3:$A$53,0))))</f>
        <v>0</v>
      </c>
      <c r="AD81" s="74">
        <f t="array" ref="AD81">IF(ISERROR(index(Com_AllFuels_SEDS_2022_TBtus!$U$3:$U$53,match($A68&amp;AD$65,Com_AllFuels_SEDS_2022_TBtus!$B$3:$B$53&amp;Com_AllFuels_SEDS_2022_TBtus!$A$3:$A$53,0))),0,(index(Com_AllFuels_SEDS_2022_TBtus!$U$3:$U$53,match($A68&amp;AD$65,Com_AllFuels_SEDS_2022_TBtus!$B$3:$B$53&amp;Com_AllFuels_SEDS_2022_TBtus!$A$3:$A$53,0))))</f>
        <v>0</v>
      </c>
      <c r="AE81" s="74">
        <f t="array" ref="AE81">IF(ISERROR(index(Com_AllFuels_SEDS_2022_TBtus!$U$3:$U$53,match($A68&amp;AE$65,Com_AllFuels_SEDS_2022_TBtus!$B$3:$B$53&amp;Com_AllFuels_SEDS_2022_TBtus!$A$3:$A$53,0))),0,(index(Com_AllFuels_SEDS_2022_TBtus!$U$3:$U$53,match($A68&amp;AE$65,Com_AllFuels_SEDS_2022_TBtus!$B$3:$B$53&amp;Com_AllFuels_SEDS_2022_TBtus!$A$3:$A$53,0))))</f>
        <v>0</v>
      </c>
      <c r="AF81" s="74">
        <f t="array" ref="AF81">IF(ISERROR(index(Com_AllFuels_SEDS_2022_TBtus!$U$3:$U$53,match($A68&amp;AF$65,Com_AllFuels_SEDS_2022_TBtus!$B$3:$B$53&amp;Com_AllFuels_SEDS_2022_TBtus!$A$3:$A$53,0))),0,(index(Com_AllFuels_SEDS_2022_TBtus!$U$3:$U$53,match($A68&amp;AF$65,Com_AllFuels_SEDS_2022_TBtus!$B$3:$B$53&amp;Com_AllFuels_SEDS_2022_TBtus!$A$3:$A$53,0))))</f>
        <v>0</v>
      </c>
      <c r="AG81" s="74">
        <f t="array" ref="AG81">IF(ISERROR(index(Com_AllFuels_SEDS_2022_TBtus!$U$3:$U$53,match($A68&amp;AG$65,Com_AllFuels_SEDS_2022_TBtus!$B$3:$B$53&amp;Com_AllFuels_SEDS_2022_TBtus!$A$3:$A$53,0))),0,(index(Com_AllFuels_SEDS_2022_TBtus!$U$3:$U$53,match($A68&amp;AG$65,Com_AllFuels_SEDS_2022_TBtus!$B$3:$B$53&amp;Com_AllFuels_SEDS_2022_TBtus!$A$3:$A$53,0))))</f>
        <v>0</v>
      </c>
      <c r="AH81" s="74">
        <f t="array" ref="AH81">IF(ISERROR(index(Com_AllFuels_SEDS_2022_TBtus!$U$3:$U$53,match($A68&amp;AH$65,Com_AllFuels_SEDS_2022_TBtus!$B$3:$B$53&amp;Com_AllFuels_SEDS_2022_TBtus!$A$3:$A$53,0))),0,(index(Com_AllFuels_SEDS_2022_TBtus!$U$3:$U$53,match($A68&amp;AH$65,Com_AllFuels_SEDS_2022_TBtus!$B$3:$B$53&amp;Com_AllFuels_SEDS_2022_TBtus!$A$3:$A$53,0))))</f>
        <v>0</v>
      </c>
      <c r="AI81" s="74">
        <f t="array" ref="AI81">IF(ISERROR(index(Com_AllFuels_SEDS_2022_TBtus!$U$3:$U$53,match($A68&amp;AI$65,Com_AllFuels_SEDS_2022_TBtus!$B$3:$B$53&amp;Com_AllFuels_SEDS_2022_TBtus!$A$3:$A$53,0))),0,(index(Com_AllFuels_SEDS_2022_TBtus!$U$3:$U$53,match($A68&amp;AI$65,Com_AllFuels_SEDS_2022_TBtus!$B$3:$B$53&amp;Com_AllFuels_SEDS_2022_TBtus!$A$3:$A$53,0))))</f>
        <v>0</v>
      </c>
      <c r="AJ81" s="74">
        <f t="array" ref="AJ81">IF(ISERROR(index(Com_AllFuels_SEDS_2022_TBtus!$U$3:$U$53,match($A68&amp;AJ$65,Com_AllFuels_SEDS_2022_TBtus!$B$3:$B$53&amp;Com_AllFuels_SEDS_2022_TBtus!$A$3:$A$53,0))),0,(index(Com_AllFuels_SEDS_2022_TBtus!$U$3:$U$53,match($A68&amp;AJ$65,Com_AllFuels_SEDS_2022_TBtus!$B$3:$B$53&amp;Com_AllFuels_SEDS_2022_TBtus!$A$3:$A$53,0))))</f>
        <v>0</v>
      </c>
      <c r="AK81" s="74">
        <f t="array" ref="AK81">IF(ISERROR(index(Com_AllFuels_SEDS_2022_TBtus!$U$3:$U$53,match($A68&amp;AK$65,Com_AllFuels_SEDS_2022_TBtus!$B$3:$B$53&amp;Com_AllFuels_SEDS_2022_TBtus!$A$3:$A$53,0))),0,(index(Com_AllFuels_SEDS_2022_TBtus!$U$3:$U$53,match($A68&amp;AK$65,Com_AllFuels_SEDS_2022_TBtus!$B$3:$B$53&amp;Com_AllFuels_SEDS_2022_TBtus!$A$3:$A$53,0))))</f>
        <v>158.6</v>
      </c>
      <c r="AL81" s="74">
        <f t="array" ref="AL81">IF(ISERROR(index(Com_AllFuels_SEDS_2022_TBtus!$U$3:$U$53,match($A68&amp;AL$65,Com_AllFuels_SEDS_2022_TBtus!$B$3:$B$53&amp;Com_AllFuels_SEDS_2022_TBtus!$A$3:$A$53,0))),0,(index(Com_AllFuels_SEDS_2022_TBtus!$U$3:$U$53,match($A68&amp;AL$65,Com_AllFuels_SEDS_2022_TBtus!$B$3:$B$53&amp;Com_AllFuels_SEDS_2022_TBtus!$A$3:$A$53,0))))</f>
        <v>0</v>
      </c>
      <c r="AM81" s="74">
        <f t="array" ref="AM81">IF(ISERROR(index(Com_AllFuels_SEDS_2022_TBtus!$U$3:$U$53,match($A68&amp;AM$65,Com_AllFuels_SEDS_2022_TBtus!$B$3:$B$53&amp;Com_AllFuels_SEDS_2022_TBtus!$A$3:$A$53,0))),0,(index(Com_AllFuels_SEDS_2022_TBtus!$U$3:$U$53,match($A68&amp;AM$65,Com_AllFuels_SEDS_2022_TBtus!$B$3:$B$53&amp;Com_AllFuels_SEDS_2022_TBtus!$A$3:$A$53,0))))</f>
        <v>0</v>
      </c>
      <c r="AN81" s="74">
        <f t="array" ref="AN81">IF(ISERROR(index(Com_AllFuels_SEDS_2022_TBtus!$U$3:$U$53,match($A68&amp;AN$65,Com_AllFuels_SEDS_2022_TBtus!$B$3:$B$53&amp;Com_AllFuels_SEDS_2022_TBtus!$A$3:$A$53,0))),0,(index(Com_AllFuels_SEDS_2022_TBtus!$U$3:$U$53,match($A68&amp;AN$65,Com_AllFuels_SEDS_2022_TBtus!$B$3:$B$53&amp;Com_AllFuels_SEDS_2022_TBtus!$A$3:$A$53,0))))</f>
        <v>0</v>
      </c>
      <c r="AO81" s="74">
        <f t="array" ref="AO81">IF(ISERROR(index(Com_AllFuels_SEDS_2022_TBtus!$U$3:$U$53,match($A68&amp;AO$65,Com_AllFuels_SEDS_2022_TBtus!$B$3:$B$53&amp;Com_AllFuels_SEDS_2022_TBtus!$A$3:$A$53,0))),0,(index(Com_AllFuels_SEDS_2022_TBtus!$U$3:$U$53,match($A68&amp;AO$65,Com_AllFuels_SEDS_2022_TBtus!$B$3:$B$53&amp;Com_AllFuels_SEDS_2022_TBtus!$A$3:$A$53,0))))</f>
        <v>0</v>
      </c>
      <c r="AP81" s="74">
        <f t="array" ref="AP81">IF(ISERROR(index(Com_AllFuels_SEDS_2022_TBtus!$U$3:$U$53,match($A68&amp;AP$65,Com_AllFuels_SEDS_2022_TBtus!$B$3:$B$53&amp;Com_AllFuels_SEDS_2022_TBtus!$A$3:$A$53,0))),0,(index(Com_AllFuels_SEDS_2022_TBtus!$U$3:$U$53,match($A68&amp;AP$65,Com_AllFuels_SEDS_2022_TBtus!$B$3:$B$53&amp;Com_AllFuels_SEDS_2022_TBtus!$A$3:$A$53,0))))</f>
        <v>0</v>
      </c>
      <c r="AQ81" s="74">
        <f t="array" ref="AQ81">IF(ISERROR(index(Com_AllFuels_SEDS_2022_TBtus!$U$3:$U$53,match($A68&amp;AQ$65,Com_AllFuels_SEDS_2022_TBtus!$B$3:$B$53&amp;Com_AllFuels_SEDS_2022_TBtus!$A$3:$A$53,0))),0,(index(Com_AllFuels_SEDS_2022_TBtus!$U$3:$U$53,match($A68&amp;AQ$65,Com_AllFuels_SEDS_2022_TBtus!$B$3:$B$53&amp;Com_AllFuels_SEDS_2022_TBtus!$A$3:$A$53,0))))</f>
        <v>0</v>
      </c>
      <c r="AR81" s="74">
        <f t="array" ref="AR81">IF(ISERROR(index(Com_AllFuels_SEDS_2022_TBtus!$U$3:$U$53,match($A68&amp;AR$65,Com_AllFuels_SEDS_2022_TBtus!$B$3:$B$53&amp;Com_AllFuels_SEDS_2022_TBtus!$A$3:$A$53,0))),0,(index(Com_AllFuels_SEDS_2022_TBtus!$U$3:$U$53,match($A68&amp;AR$65,Com_AllFuels_SEDS_2022_TBtus!$B$3:$B$53&amp;Com_AllFuels_SEDS_2022_TBtus!$A$3:$A$53,0))))</f>
        <v>0</v>
      </c>
      <c r="AS81" s="74">
        <f t="array" ref="AS81">IF(ISERROR(index(Com_AllFuels_SEDS_2022_TBtus!$U$3:$U$53,match($A68&amp;AS$65,Com_AllFuels_SEDS_2022_TBtus!$B$3:$B$53&amp;Com_AllFuels_SEDS_2022_TBtus!$A$3:$A$53,0))),0,(index(Com_AllFuels_SEDS_2022_TBtus!$U$3:$U$53,match($A68&amp;AS$65,Com_AllFuels_SEDS_2022_TBtus!$B$3:$B$53&amp;Com_AllFuels_SEDS_2022_TBtus!$A$3:$A$53,0))))</f>
        <v>0</v>
      </c>
      <c r="AT81" s="74">
        <f t="array" ref="AT81">IF(ISERROR(index(Com_AllFuels_SEDS_2022_TBtus!$U$3:$U$53,match($A68&amp;AT$65,Com_AllFuels_SEDS_2022_TBtus!$B$3:$B$53&amp;Com_AllFuels_SEDS_2022_TBtus!$A$3:$A$53,0))),0,(index(Com_AllFuels_SEDS_2022_TBtus!$U$3:$U$53,match($A68&amp;AT$65,Com_AllFuels_SEDS_2022_TBtus!$B$3:$B$53&amp;Com_AllFuels_SEDS_2022_TBtus!$A$3:$A$53,0))))</f>
        <v>0</v>
      </c>
      <c r="AU81" s="74">
        <f t="array" ref="AU81">IF(ISERROR(index(Com_AllFuels_SEDS_2022_TBtus!$U$3:$U$53,match($A68&amp;AU$65,Com_AllFuels_SEDS_2022_TBtus!$B$3:$B$53&amp;Com_AllFuels_SEDS_2022_TBtus!$A$3:$A$53,0))),0,(index(Com_AllFuels_SEDS_2022_TBtus!$U$3:$U$53,match($A68&amp;AU$65,Com_AllFuels_SEDS_2022_TBtus!$B$3:$B$53&amp;Com_AllFuels_SEDS_2022_TBtus!$A$3:$A$53,0))))</f>
        <v>0</v>
      </c>
      <c r="AV81" s="74">
        <f t="array" ref="AV81">IF(ISERROR(index(Com_AllFuels_SEDS_2022_TBtus!$U$3:$U$53,match($A68&amp;AV$65,Com_AllFuels_SEDS_2022_TBtus!$B$3:$B$53&amp;Com_AllFuels_SEDS_2022_TBtus!$A$3:$A$53,0))),0,(index(Com_AllFuels_SEDS_2022_TBtus!$U$3:$U$53,match($A68&amp;AV$65,Com_AllFuels_SEDS_2022_TBtus!$B$3:$B$53&amp;Com_AllFuels_SEDS_2022_TBtus!$A$3:$A$53,0))))</f>
        <v>0</v>
      </c>
      <c r="AW81" s="74">
        <f t="array" ref="AW81">IF(ISERROR(index(Com_AllFuels_SEDS_2022_TBtus!$U$3:$U$53,match($A68&amp;AW$65,Com_AllFuels_SEDS_2022_TBtus!$B$3:$B$53&amp;Com_AllFuels_SEDS_2022_TBtus!$A$3:$A$53,0))),0,(index(Com_AllFuels_SEDS_2022_TBtus!$U$3:$U$53,match($A68&amp;AW$65,Com_AllFuels_SEDS_2022_TBtus!$B$3:$B$53&amp;Com_AllFuels_SEDS_2022_TBtus!$A$3:$A$53,0))))</f>
        <v>0</v>
      </c>
      <c r="AX81" s="74">
        <f t="array" ref="AX81">IF(ISERROR(index(Com_AllFuels_SEDS_2022_TBtus!$U$3:$U$53,match($A68&amp;AX$65,Com_AllFuels_SEDS_2022_TBtus!$B$3:$B$53&amp;Com_AllFuels_SEDS_2022_TBtus!$A$3:$A$53,0))),0,(index(Com_AllFuels_SEDS_2022_TBtus!$U$3:$U$53,match($A68&amp;AX$65,Com_AllFuels_SEDS_2022_TBtus!$B$3:$B$53&amp;Com_AllFuels_SEDS_2022_TBtus!$A$3:$A$53,0))))</f>
        <v>0</v>
      </c>
      <c r="AY81" s="74">
        <f t="array" ref="AY81">IF(ISERROR(index(Com_AllFuels_SEDS_2022_TBtus!$U$3:$U$53,match($A68&amp;AY$65,Com_AllFuels_SEDS_2022_TBtus!$B$3:$B$53&amp;Com_AllFuels_SEDS_2022_TBtus!$A$3:$A$53,0))),0,(index(Com_AllFuels_SEDS_2022_TBtus!$U$3:$U$53,match($A68&amp;AY$65,Com_AllFuels_SEDS_2022_TBtus!$B$3:$B$53&amp;Com_AllFuels_SEDS_2022_TBtus!$A$3:$A$53,0))))</f>
        <v>80.2</v>
      </c>
      <c r="AZ81" s="74">
        <f t="array" ref="AZ81">IF(ISERROR(index(Com_AllFuels_SEDS_2022_TBtus!$U$3:$U$53,match($A68&amp;AZ$65,Com_AllFuels_SEDS_2022_TBtus!$B$3:$B$53&amp;Com_AllFuels_SEDS_2022_TBtus!$A$3:$A$53,0))),0,(index(Com_AllFuels_SEDS_2022_TBtus!$U$3:$U$53,match($A68&amp;AZ$65,Com_AllFuels_SEDS_2022_TBtus!$B$3:$B$53&amp;Com_AllFuels_SEDS_2022_TBtus!$A$3:$A$53,0))))</f>
        <v>0</v>
      </c>
      <c r="BA81" s="74">
        <f t="shared" si="3"/>
        <v>611.6</v>
      </c>
    </row>
    <row r="82" ht="15.75" customHeight="1">
      <c r="A82" s="74">
        <v>4.0</v>
      </c>
      <c r="B82" s="74">
        <f t="array" ref="B82">IF(ISERROR(index(Com_AllFuels_SEDS_2022_TBtus!$U$3:$U$53,match($A69&amp;B$65,Com_AllFuels_SEDS_2022_TBtus!$B$3:$B$53&amp;Com_AllFuels_SEDS_2022_TBtus!$A$3:$A$53,0))),0,(index(Com_AllFuels_SEDS_2022_TBtus!$U$3:$U$53,match($A69&amp;B$65,Com_AllFuels_SEDS_2022_TBtus!$B$3:$B$53&amp;Com_AllFuels_SEDS_2022_TBtus!$A$3:$A$53,0))))</f>
        <v>0</v>
      </c>
      <c r="C82" s="74">
        <f t="array" ref="C82">IF(ISERROR(index(Com_AllFuels_SEDS_2022_TBtus!$U$3:$U$53,match($A69&amp;C$65,Com_AllFuels_SEDS_2022_TBtus!$B$3:$B$53&amp;Com_AllFuels_SEDS_2022_TBtus!$A$3:$A$53,0))),0,(index(Com_AllFuels_SEDS_2022_TBtus!$U$3:$U$53,match($A69&amp;C$65,Com_AllFuels_SEDS_2022_TBtus!$B$3:$B$53&amp;Com_AllFuels_SEDS_2022_TBtus!$A$3:$A$53,0))))</f>
        <v>0</v>
      </c>
      <c r="D82" s="74">
        <f t="array" ref="D82">IF(ISERROR(index(Com_AllFuels_SEDS_2022_TBtus!$U$3:$U$53,match($A69&amp;D$65,Com_AllFuels_SEDS_2022_TBtus!$B$3:$B$53&amp;Com_AllFuels_SEDS_2022_TBtus!$A$3:$A$53,0))),0,(index(Com_AllFuels_SEDS_2022_TBtus!$U$3:$U$53,match($A69&amp;D$65,Com_AllFuels_SEDS_2022_TBtus!$B$3:$B$53&amp;Com_AllFuels_SEDS_2022_TBtus!$A$3:$A$53,0))))</f>
        <v>0</v>
      </c>
      <c r="E82" s="74">
        <f t="array" ref="E82">IF(ISERROR(index(Com_AllFuels_SEDS_2022_TBtus!$U$3:$U$53,match($A69&amp;E$65,Com_AllFuels_SEDS_2022_TBtus!$B$3:$B$53&amp;Com_AllFuels_SEDS_2022_TBtus!$A$3:$A$53,0))),0,(index(Com_AllFuels_SEDS_2022_TBtus!$U$3:$U$53,match($A69&amp;E$65,Com_AllFuels_SEDS_2022_TBtus!$B$3:$B$53&amp;Com_AllFuels_SEDS_2022_TBtus!$A$3:$A$53,0))))</f>
        <v>0</v>
      </c>
      <c r="F82" s="74">
        <f t="array" ref="F82">IF(ISERROR(index(Com_AllFuels_SEDS_2022_TBtus!$U$3:$U$53,match($A69&amp;F$65,Com_AllFuels_SEDS_2022_TBtus!$B$3:$B$53&amp;Com_AllFuels_SEDS_2022_TBtus!$A$3:$A$53,0))),0,(index(Com_AllFuels_SEDS_2022_TBtus!$U$3:$U$53,match($A69&amp;F$65,Com_AllFuels_SEDS_2022_TBtus!$B$3:$B$53&amp;Com_AllFuels_SEDS_2022_TBtus!$A$3:$A$53,0))))</f>
        <v>0</v>
      </c>
      <c r="G82" s="74">
        <f t="array" ref="G82">IF(ISERROR(index(Com_AllFuels_SEDS_2022_TBtus!$U$3:$U$53,match($A69&amp;G$65,Com_AllFuels_SEDS_2022_TBtus!$B$3:$B$53&amp;Com_AllFuels_SEDS_2022_TBtus!$A$3:$A$53,0))),0,(index(Com_AllFuels_SEDS_2022_TBtus!$U$3:$U$53,match($A69&amp;G$65,Com_AllFuels_SEDS_2022_TBtus!$B$3:$B$53&amp;Com_AllFuels_SEDS_2022_TBtus!$A$3:$A$53,0))))</f>
        <v>0</v>
      </c>
      <c r="H82" s="74">
        <f t="array" ref="H82">IF(ISERROR(index(Com_AllFuels_SEDS_2022_TBtus!$U$3:$U$53,match($A69&amp;H$65,Com_AllFuels_SEDS_2022_TBtus!$B$3:$B$53&amp;Com_AllFuels_SEDS_2022_TBtus!$A$3:$A$53,0))),0,(index(Com_AllFuels_SEDS_2022_TBtus!$U$3:$U$53,match($A69&amp;H$65,Com_AllFuels_SEDS_2022_TBtus!$B$3:$B$53&amp;Com_AllFuels_SEDS_2022_TBtus!$A$3:$A$53,0))))</f>
        <v>0</v>
      </c>
      <c r="I82" s="74">
        <f t="array" ref="I82">IF(ISERROR(index(Com_AllFuels_SEDS_2022_TBtus!$U$3:$U$53,match($A69&amp;I$65,Com_AllFuels_SEDS_2022_TBtus!$B$3:$B$53&amp;Com_AllFuels_SEDS_2022_TBtus!$A$3:$A$53,0))),0,(index(Com_AllFuels_SEDS_2022_TBtus!$U$3:$U$53,match($A69&amp;I$65,Com_AllFuels_SEDS_2022_TBtus!$B$3:$B$53&amp;Com_AllFuels_SEDS_2022_TBtus!$A$3:$A$53,0))))</f>
        <v>0</v>
      </c>
      <c r="J82" s="74">
        <f t="array" ref="J82">IF(ISERROR(index(Com_AllFuels_SEDS_2022_TBtus!$U$3:$U$53,match($A69&amp;J$65,Com_AllFuels_SEDS_2022_TBtus!$B$3:$B$53&amp;Com_AllFuels_SEDS_2022_TBtus!$A$3:$A$53,0))),0,(index(Com_AllFuels_SEDS_2022_TBtus!$U$3:$U$53,match($A69&amp;J$65,Com_AllFuels_SEDS_2022_TBtus!$B$3:$B$53&amp;Com_AllFuels_SEDS_2022_TBtus!$A$3:$A$53,0))))</f>
        <v>0</v>
      </c>
      <c r="K82" s="74">
        <f t="array" ref="K82">IF(ISERROR(index(Com_AllFuels_SEDS_2022_TBtus!$U$3:$U$53,match($A69&amp;K$65,Com_AllFuels_SEDS_2022_TBtus!$B$3:$B$53&amp;Com_AllFuels_SEDS_2022_TBtus!$A$3:$A$53,0))),0,(index(Com_AllFuels_SEDS_2022_TBtus!$U$3:$U$53,match($A69&amp;K$65,Com_AllFuels_SEDS_2022_TBtus!$B$3:$B$53&amp;Com_AllFuels_SEDS_2022_TBtus!$A$3:$A$53,0))))</f>
        <v>0</v>
      </c>
      <c r="L82" s="74">
        <f t="array" ref="L82">IF(ISERROR(index(Com_AllFuels_SEDS_2022_TBtus!$U$3:$U$53,match($A69&amp;L$65,Com_AllFuels_SEDS_2022_TBtus!$B$3:$B$53&amp;Com_AllFuels_SEDS_2022_TBtus!$A$3:$A$53,0))),0,(index(Com_AllFuels_SEDS_2022_TBtus!$U$3:$U$53,match($A69&amp;L$65,Com_AllFuels_SEDS_2022_TBtus!$B$3:$B$53&amp;Com_AllFuels_SEDS_2022_TBtus!$A$3:$A$53,0))))</f>
        <v>0</v>
      </c>
      <c r="M82" s="74">
        <f t="array" ref="M82">IF(ISERROR(index(Com_AllFuels_SEDS_2022_TBtus!$U$3:$U$53,match($A69&amp;M$65,Com_AllFuels_SEDS_2022_TBtus!$B$3:$B$53&amp;Com_AllFuels_SEDS_2022_TBtus!$A$3:$A$53,0))),0,(index(Com_AllFuels_SEDS_2022_TBtus!$U$3:$U$53,match($A69&amp;M$65,Com_AllFuels_SEDS_2022_TBtus!$B$3:$B$53&amp;Com_AllFuels_SEDS_2022_TBtus!$A$3:$A$53,0))))</f>
        <v>0</v>
      </c>
      <c r="N82" s="74">
        <f t="array" ref="N82">IF(ISERROR(index(Com_AllFuels_SEDS_2022_TBtus!$U$3:$U$53,match($A69&amp;N$65,Com_AllFuels_SEDS_2022_TBtus!$B$3:$B$53&amp;Com_AllFuels_SEDS_2022_TBtus!$A$3:$A$53,0))),0,(index(Com_AllFuels_SEDS_2022_TBtus!$U$3:$U$53,match($A69&amp;N$65,Com_AllFuels_SEDS_2022_TBtus!$B$3:$B$53&amp;Com_AllFuels_SEDS_2022_TBtus!$A$3:$A$53,0))))</f>
        <v>0</v>
      </c>
      <c r="O82" s="74">
        <f t="array" ref="O82">IF(ISERROR(index(Com_AllFuels_SEDS_2022_TBtus!$U$3:$U$53,match($A69&amp;O$65,Com_AllFuels_SEDS_2022_TBtus!$B$3:$B$53&amp;Com_AllFuels_SEDS_2022_TBtus!$A$3:$A$53,0))),0,(index(Com_AllFuels_SEDS_2022_TBtus!$U$3:$U$53,match($A69&amp;O$65,Com_AllFuels_SEDS_2022_TBtus!$B$3:$B$53&amp;Com_AllFuels_SEDS_2022_TBtus!$A$3:$A$53,0))))</f>
        <v>0</v>
      </c>
      <c r="P82" s="74">
        <f t="array" ref="P82">IF(ISERROR(index(Com_AllFuels_SEDS_2022_TBtus!$U$3:$U$53,match($A69&amp;P$65,Com_AllFuels_SEDS_2022_TBtus!$B$3:$B$53&amp;Com_AllFuels_SEDS_2022_TBtus!$A$3:$A$53,0))),0,(index(Com_AllFuels_SEDS_2022_TBtus!$U$3:$U$53,match($A69&amp;P$65,Com_AllFuels_SEDS_2022_TBtus!$B$3:$B$53&amp;Com_AllFuels_SEDS_2022_TBtus!$A$3:$A$53,0))))</f>
        <v>0</v>
      </c>
      <c r="Q82" s="74">
        <f t="array" ref="Q82">IF(ISERROR(index(Com_AllFuels_SEDS_2022_TBtus!$U$3:$U$53,match($A69&amp;Q$65,Com_AllFuels_SEDS_2022_TBtus!$B$3:$B$53&amp;Com_AllFuels_SEDS_2022_TBtus!$A$3:$A$53,0))),0,(index(Com_AllFuels_SEDS_2022_TBtus!$U$3:$U$53,match($A69&amp;Q$65,Com_AllFuels_SEDS_2022_TBtus!$B$3:$B$53&amp;Com_AllFuels_SEDS_2022_TBtus!$A$3:$A$53,0))))</f>
        <v>43.8</v>
      </c>
      <c r="R82" s="74">
        <f t="array" ref="R82">IF(ISERROR(index(Com_AllFuels_SEDS_2022_TBtus!$U$3:$U$53,match($A69&amp;R$65,Com_AllFuels_SEDS_2022_TBtus!$B$3:$B$53&amp;Com_AllFuels_SEDS_2022_TBtus!$A$3:$A$53,0))),0,(index(Com_AllFuels_SEDS_2022_TBtus!$U$3:$U$53,match($A69&amp;R$65,Com_AllFuels_SEDS_2022_TBtus!$B$3:$B$53&amp;Com_AllFuels_SEDS_2022_TBtus!$A$3:$A$53,0))))</f>
        <v>54.6</v>
      </c>
      <c r="S82" s="74">
        <f t="array" ref="S82">IF(ISERROR(index(Com_AllFuels_SEDS_2022_TBtus!$U$3:$U$53,match($A69&amp;S$65,Com_AllFuels_SEDS_2022_TBtus!$B$3:$B$53&amp;Com_AllFuels_SEDS_2022_TBtus!$A$3:$A$53,0))),0,(index(Com_AllFuels_SEDS_2022_TBtus!$U$3:$U$53,match($A69&amp;S$65,Com_AllFuels_SEDS_2022_TBtus!$B$3:$B$53&amp;Com_AllFuels_SEDS_2022_TBtus!$A$3:$A$53,0))))</f>
        <v>0</v>
      </c>
      <c r="T82" s="74">
        <f t="array" ref="T82">IF(ISERROR(index(Com_AllFuels_SEDS_2022_TBtus!$U$3:$U$53,match($A69&amp;T$65,Com_AllFuels_SEDS_2022_TBtus!$B$3:$B$53&amp;Com_AllFuels_SEDS_2022_TBtus!$A$3:$A$53,0))),0,(index(Com_AllFuels_SEDS_2022_TBtus!$U$3:$U$53,match($A69&amp;T$65,Com_AllFuels_SEDS_2022_TBtus!$B$3:$B$53&amp;Com_AllFuels_SEDS_2022_TBtus!$A$3:$A$53,0))))</f>
        <v>0</v>
      </c>
      <c r="U82" s="74">
        <f t="array" ref="U82">IF(ISERROR(index(Com_AllFuels_SEDS_2022_TBtus!$U$3:$U$53,match($A69&amp;U$65,Com_AllFuels_SEDS_2022_TBtus!$B$3:$B$53&amp;Com_AllFuels_SEDS_2022_TBtus!$A$3:$A$53,0))),0,(index(Com_AllFuels_SEDS_2022_TBtus!$U$3:$U$53,match($A69&amp;U$65,Com_AllFuels_SEDS_2022_TBtus!$B$3:$B$53&amp;Com_AllFuels_SEDS_2022_TBtus!$A$3:$A$53,0))))</f>
        <v>0</v>
      </c>
      <c r="V82" s="74">
        <f t="array" ref="V82">IF(ISERROR(index(Com_AllFuels_SEDS_2022_TBtus!$U$3:$U$53,match($A69&amp;V$65,Com_AllFuels_SEDS_2022_TBtus!$B$3:$B$53&amp;Com_AllFuels_SEDS_2022_TBtus!$A$3:$A$53,0))),0,(index(Com_AllFuels_SEDS_2022_TBtus!$U$3:$U$53,match($A69&amp;V$65,Com_AllFuels_SEDS_2022_TBtus!$B$3:$B$53&amp;Com_AllFuels_SEDS_2022_TBtus!$A$3:$A$53,0))))</f>
        <v>0</v>
      </c>
      <c r="W82" s="74">
        <f t="array" ref="W82">IF(ISERROR(index(Com_AllFuels_SEDS_2022_TBtus!$U$3:$U$53,match($A69&amp;W$65,Com_AllFuels_SEDS_2022_TBtus!$B$3:$B$53&amp;Com_AllFuels_SEDS_2022_TBtus!$A$3:$A$53,0))),0,(index(Com_AllFuels_SEDS_2022_TBtus!$U$3:$U$53,match($A69&amp;W$65,Com_AllFuels_SEDS_2022_TBtus!$B$3:$B$53&amp;Com_AllFuels_SEDS_2022_TBtus!$A$3:$A$53,0))))</f>
        <v>0</v>
      </c>
      <c r="X82" s="74">
        <f t="array" ref="X82">IF(ISERROR(index(Com_AllFuels_SEDS_2022_TBtus!$U$3:$U$53,match($A69&amp;X$65,Com_AllFuels_SEDS_2022_TBtus!$B$3:$B$53&amp;Com_AllFuels_SEDS_2022_TBtus!$A$3:$A$53,0))),0,(index(Com_AllFuels_SEDS_2022_TBtus!$U$3:$U$53,match($A69&amp;X$65,Com_AllFuels_SEDS_2022_TBtus!$B$3:$B$53&amp;Com_AllFuels_SEDS_2022_TBtus!$A$3:$A$53,0))))</f>
        <v>0</v>
      </c>
      <c r="Y82" s="74">
        <f t="array" ref="Y82">IF(ISERROR(index(Com_AllFuels_SEDS_2022_TBtus!$U$3:$U$53,match($A69&amp;Y$65,Com_AllFuels_SEDS_2022_TBtus!$B$3:$B$53&amp;Com_AllFuels_SEDS_2022_TBtus!$A$3:$A$53,0))),0,(index(Com_AllFuels_SEDS_2022_TBtus!$U$3:$U$53,match($A69&amp;Y$65,Com_AllFuels_SEDS_2022_TBtus!$B$3:$B$53&amp;Com_AllFuels_SEDS_2022_TBtus!$A$3:$A$53,0))))</f>
        <v>77.1</v>
      </c>
      <c r="Z82" s="74">
        <f t="array" ref="Z82">IF(ISERROR(index(Com_AllFuels_SEDS_2022_TBtus!$U$3:$U$53,match($A69&amp;Z$65,Com_AllFuels_SEDS_2022_TBtus!$B$3:$B$53&amp;Com_AllFuels_SEDS_2022_TBtus!$A$3:$A$53,0))),0,(index(Com_AllFuels_SEDS_2022_TBtus!$U$3:$U$53,match($A69&amp;Z$65,Com_AllFuels_SEDS_2022_TBtus!$B$3:$B$53&amp;Com_AllFuels_SEDS_2022_TBtus!$A$3:$A$53,0))))</f>
        <v>0</v>
      </c>
      <c r="AA82" s="74">
        <f t="array" ref="AA82">IF(ISERROR(index(Com_AllFuels_SEDS_2022_TBtus!$U$3:$U$53,match($A69&amp;AA$65,Com_AllFuels_SEDS_2022_TBtus!$B$3:$B$53&amp;Com_AllFuels_SEDS_2022_TBtus!$A$3:$A$53,0))),0,(index(Com_AllFuels_SEDS_2022_TBtus!$U$3:$U$53,match($A69&amp;AA$65,Com_AllFuels_SEDS_2022_TBtus!$B$3:$B$53&amp;Com_AllFuels_SEDS_2022_TBtus!$A$3:$A$53,0))))</f>
        <v>102.2</v>
      </c>
      <c r="AB82" s="74">
        <f t="array" ref="AB82">IF(ISERROR(index(Com_AllFuels_SEDS_2022_TBtus!$U$3:$U$53,match($A69&amp;AB$65,Com_AllFuels_SEDS_2022_TBtus!$B$3:$B$53&amp;Com_AllFuels_SEDS_2022_TBtus!$A$3:$A$53,0))),0,(index(Com_AllFuels_SEDS_2022_TBtus!$U$3:$U$53,match($A69&amp;AB$65,Com_AllFuels_SEDS_2022_TBtus!$B$3:$B$53&amp;Com_AllFuels_SEDS_2022_TBtus!$A$3:$A$53,0))))</f>
        <v>0</v>
      </c>
      <c r="AC82" s="74">
        <f t="array" ref="AC82">IF(ISERROR(index(Com_AllFuels_SEDS_2022_TBtus!$U$3:$U$53,match($A69&amp;AC$65,Com_AllFuels_SEDS_2022_TBtus!$B$3:$B$53&amp;Com_AllFuels_SEDS_2022_TBtus!$A$3:$A$53,0))),0,(index(Com_AllFuels_SEDS_2022_TBtus!$U$3:$U$53,match($A69&amp;AC$65,Com_AllFuels_SEDS_2022_TBtus!$B$3:$B$53&amp;Com_AllFuels_SEDS_2022_TBtus!$A$3:$A$53,0))))</f>
        <v>33.5</v>
      </c>
      <c r="AD82" s="74">
        <f t="array" ref="AD82">IF(ISERROR(index(Com_AllFuels_SEDS_2022_TBtus!$U$3:$U$53,match($A69&amp;AD$65,Com_AllFuels_SEDS_2022_TBtus!$B$3:$B$53&amp;Com_AllFuels_SEDS_2022_TBtus!$A$3:$A$53,0))),0,(index(Com_AllFuels_SEDS_2022_TBtus!$U$3:$U$53,match($A69&amp;AD$65,Com_AllFuels_SEDS_2022_TBtus!$B$3:$B$53&amp;Com_AllFuels_SEDS_2022_TBtus!$A$3:$A$53,0))))</f>
        <v>0</v>
      </c>
      <c r="AE82" s="74">
        <f t="array" ref="AE82">IF(ISERROR(index(Com_AllFuels_SEDS_2022_TBtus!$U$3:$U$53,match($A69&amp;AE$65,Com_AllFuels_SEDS_2022_TBtus!$B$3:$B$53&amp;Com_AllFuels_SEDS_2022_TBtus!$A$3:$A$53,0))),0,(index(Com_AllFuels_SEDS_2022_TBtus!$U$3:$U$53,match($A69&amp;AE$65,Com_AllFuels_SEDS_2022_TBtus!$B$3:$B$53&amp;Com_AllFuels_SEDS_2022_TBtus!$A$3:$A$53,0))))</f>
        <v>0</v>
      </c>
      <c r="AF82" s="74">
        <f t="array" ref="AF82">IF(ISERROR(index(Com_AllFuels_SEDS_2022_TBtus!$U$3:$U$53,match($A69&amp;AF$65,Com_AllFuels_SEDS_2022_TBtus!$B$3:$B$53&amp;Com_AllFuels_SEDS_2022_TBtus!$A$3:$A$53,0))),0,(index(Com_AllFuels_SEDS_2022_TBtus!$U$3:$U$53,match($A69&amp;AF$65,Com_AllFuels_SEDS_2022_TBtus!$B$3:$B$53&amp;Com_AllFuels_SEDS_2022_TBtus!$A$3:$A$53,0))))</f>
        <v>0</v>
      </c>
      <c r="AG82" s="74">
        <f t="array" ref="AG82">IF(ISERROR(index(Com_AllFuels_SEDS_2022_TBtus!$U$3:$U$53,match($A69&amp;AG$65,Com_AllFuels_SEDS_2022_TBtus!$B$3:$B$53&amp;Com_AllFuels_SEDS_2022_TBtus!$A$3:$A$53,0))),0,(index(Com_AllFuels_SEDS_2022_TBtus!$U$3:$U$53,match($A69&amp;AG$65,Com_AllFuels_SEDS_2022_TBtus!$B$3:$B$53&amp;Com_AllFuels_SEDS_2022_TBtus!$A$3:$A$53,0))))</f>
        <v>0</v>
      </c>
      <c r="AH82" s="74">
        <f t="array" ref="AH82">IF(ISERROR(index(Com_AllFuels_SEDS_2022_TBtus!$U$3:$U$53,match($A69&amp;AH$65,Com_AllFuels_SEDS_2022_TBtus!$B$3:$B$53&amp;Com_AllFuels_SEDS_2022_TBtus!$A$3:$A$53,0))),0,(index(Com_AllFuels_SEDS_2022_TBtus!$U$3:$U$53,match($A69&amp;AH$65,Com_AllFuels_SEDS_2022_TBtus!$B$3:$B$53&amp;Com_AllFuels_SEDS_2022_TBtus!$A$3:$A$53,0))))</f>
        <v>0</v>
      </c>
      <c r="AI82" s="74">
        <f t="array" ref="AI82">IF(ISERROR(index(Com_AllFuels_SEDS_2022_TBtus!$U$3:$U$53,match($A69&amp;AI$65,Com_AllFuels_SEDS_2022_TBtus!$B$3:$B$53&amp;Com_AllFuels_SEDS_2022_TBtus!$A$3:$A$53,0))),0,(index(Com_AllFuels_SEDS_2022_TBtus!$U$3:$U$53,match($A69&amp;AI$65,Com_AllFuels_SEDS_2022_TBtus!$B$3:$B$53&amp;Com_AllFuels_SEDS_2022_TBtus!$A$3:$A$53,0))))</f>
        <v>0</v>
      </c>
      <c r="AJ82" s="74">
        <f t="array" ref="AJ82">IF(ISERROR(index(Com_AllFuels_SEDS_2022_TBtus!$U$3:$U$53,match($A69&amp;AJ$65,Com_AllFuels_SEDS_2022_TBtus!$B$3:$B$53&amp;Com_AllFuels_SEDS_2022_TBtus!$A$3:$A$53,0))),0,(index(Com_AllFuels_SEDS_2022_TBtus!$U$3:$U$53,match($A69&amp;AJ$65,Com_AllFuels_SEDS_2022_TBtus!$B$3:$B$53&amp;Com_AllFuels_SEDS_2022_TBtus!$A$3:$A$53,0))))</f>
        <v>29</v>
      </c>
      <c r="AK82" s="74">
        <f t="array" ref="AK82">IF(ISERROR(index(Com_AllFuels_SEDS_2022_TBtus!$U$3:$U$53,match($A69&amp;AK$65,Com_AllFuels_SEDS_2022_TBtus!$B$3:$B$53&amp;Com_AllFuels_SEDS_2022_TBtus!$A$3:$A$53,0))),0,(index(Com_AllFuels_SEDS_2022_TBtus!$U$3:$U$53,match($A69&amp;AK$65,Com_AllFuels_SEDS_2022_TBtus!$B$3:$B$53&amp;Com_AllFuels_SEDS_2022_TBtus!$A$3:$A$53,0))))</f>
        <v>0</v>
      </c>
      <c r="AL82" s="74">
        <f t="array" ref="AL82">IF(ISERROR(index(Com_AllFuels_SEDS_2022_TBtus!$U$3:$U$53,match($A69&amp;AL$65,Com_AllFuels_SEDS_2022_TBtus!$B$3:$B$53&amp;Com_AllFuels_SEDS_2022_TBtus!$A$3:$A$53,0))),0,(index(Com_AllFuels_SEDS_2022_TBtus!$U$3:$U$53,match($A69&amp;AL$65,Com_AllFuels_SEDS_2022_TBtus!$B$3:$B$53&amp;Com_AllFuels_SEDS_2022_TBtus!$A$3:$A$53,0))))</f>
        <v>0</v>
      </c>
      <c r="AM82" s="74">
        <f t="array" ref="AM82">IF(ISERROR(index(Com_AllFuels_SEDS_2022_TBtus!$U$3:$U$53,match($A69&amp;AM$65,Com_AllFuels_SEDS_2022_TBtus!$B$3:$B$53&amp;Com_AllFuels_SEDS_2022_TBtus!$A$3:$A$53,0))),0,(index(Com_AllFuels_SEDS_2022_TBtus!$U$3:$U$53,match($A69&amp;AM$65,Com_AllFuels_SEDS_2022_TBtus!$B$3:$B$53&amp;Com_AllFuels_SEDS_2022_TBtus!$A$3:$A$53,0))))</f>
        <v>0</v>
      </c>
      <c r="AN82" s="74">
        <f t="array" ref="AN82">IF(ISERROR(index(Com_AllFuels_SEDS_2022_TBtus!$U$3:$U$53,match($A69&amp;AN$65,Com_AllFuels_SEDS_2022_TBtus!$B$3:$B$53&amp;Com_AllFuels_SEDS_2022_TBtus!$A$3:$A$53,0))),0,(index(Com_AllFuels_SEDS_2022_TBtus!$U$3:$U$53,match($A69&amp;AN$65,Com_AllFuels_SEDS_2022_TBtus!$B$3:$B$53&amp;Com_AllFuels_SEDS_2022_TBtus!$A$3:$A$53,0))))</f>
        <v>0</v>
      </c>
      <c r="AO82" s="74">
        <f t="array" ref="AO82">IF(ISERROR(index(Com_AllFuels_SEDS_2022_TBtus!$U$3:$U$53,match($A69&amp;AO$65,Com_AllFuels_SEDS_2022_TBtus!$B$3:$B$53&amp;Com_AllFuels_SEDS_2022_TBtus!$A$3:$A$53,0))),0,(index(Com_AllFuels_SEDS_2022_TBtus!$U$3:$U$53,match($A69&amp;AO$65,Com_AllFuels_SEDS_2022_TBtus!$B$3:$B$53&amp;Com_AllFuels_SEDS_2022_TBtus!$A$3:$A$53,0))))</f>
        <v>0</v>
      </c>
      <c r="AP82" s="74">
        <f t="array" ref="AP82">IF(ISERROR(index(Com_AllFuels_SEDS_2022_TBtus!$U$3:$U$53,match($A69&amp;AP$65,Com_AllFuels_SEDS_2022_TBtus!$B$3:$B$53&amp;Com_AllFuels_SEDS_2022_TBtus!$A$3:$A$53,0))),0,(index(Com_AllFuels_SEDS_2022_TBtus!$U$3:$U$53,match($A69&amp;AP$65,Com_AllFuels_SEDS_2022_TBtus!$B$3:$B$53&amp;Com_AllFuels_SEDS_2022_TBtus!$A$3:$A$53,0))))</f>
        <v>0</v>
      </c>
      <c r="AQ82" s="74">
        <f t="array" ref="AQ82">IF(ISERROR(index(Com_AllFuels_SEDS_2022_TBtus!$U$3:$U$53,match($A69&amp;AQ$65,Com_AllFuels_SEDS_2022_TBtus!$B$3:$B$53&amp;Com_AllFuels_SEDS_2022_TBtus!$A$3:$A$53,0))),0,(index(Com_AllFuels_SEDS_2022_TBtus!$U$3:$U$53,match($A69&amp;AQ$65,Com_AllFuels_SEDS_2022_TBtus!$B$3:$B$53&amp;Com_AllFuels_SEDS_2022_TBtus!$A$3:$A$53,0))))</f>
        <v>17.8</v>
      </c>
      <c r="AR82" s="74">
        <f t="array" ref="AR82">IF(ISERROR(index(Com_AllFuels_SEDS_2022_TBtus!$U$3:$U$53,match($A69&amp;AR$65,Com_AllFuels_SEDS_2022_TBtus!$B$3:$B$53&amp;Com_AllFuels_SEDS_2022_TBtus!$A$3:$A$53,0))),0,(index(Com_AllFuels_SEDS_2022_TBtus!$U$3:$U$53,match($A69&amp;AR$65,Com_AllFuels_SEDS_2022_TBtus!$B$3:$B$53&amp;Com_AllFuels_SEDS_2022_TBtus!$A$3:$A$53,0))))</f>
        <v>0</v>
      </c>
      <c r="AS82" s="74">
        <f t="array" ref="AS82">IF(ISERROR(index(Com_AllFuels_SEDS_2022_TBtus!$U$3:$U$53,match($A69&amp;AS$65,Com_AllFuels_SEDS_2022_TBtus!$B$3:$B$53&amp;Com_AllFuels_SEDS_2022_TBtus!$A$3:$A$53,0))),0,(index(Com_AllFuels_SEDS_2022_TBtus!$U$3:$U$53,match($A69&amp;AS$65,Com_AllFuels_SEDS_2022_TBtus!$B$3:$B$53&amp;Com_AllFuels_SEDS_2022_TBtus!$A$3:$A$53,0))))</f>
        <v>0</v>
      </c>
      <c r="AT82" s="74">
        <f t="array" ref="AT82">IF(ISERROR(index(Com_AllFuels_SEDS_2022_TBtus!$U$3:$U$53,match($A69&amp;AT$65,Com_AllFuels_SEDS_2022_TBtus!$B$3:$B$53&amp;Com_AllFuels_SEDS_2022_TBtus!$A$3:$A$53,0))),0,(index(Com_AllFuels_SEDS_2022_TBtus!$U$3:$U$53,match($A69&amp;AT$65,Com_AllFuels_SEDS_2022_TBtus!$B$3:$B$53&amp;Com_AllFuels_SEDS_2022_TBtus!$A$3:$A$53,0))))</f>
        <v>0</v>
      </c>
      <c r="AU82" s="74">
        <f t="array" ref="AU82">IF(ISERROR(index(Com_AllFuels_SEDS_2022_TBtus!$U$3:$U$53,match($A69&amp;AU$65,Com_AllFuels_SEDS_2022_TBtus!$B$3:$B$53&amp;Com_AllFuels_SEDS_2022_TBtus!$A$3:$A$53,0))),0,(index(Com_AllFuels_SEDS_2022_TBtus!$U$3:$U$53,match($A69&amp;AU$65,Com_AllFuels_SEDS_2022_TBtus!$B$3:$B$53&amp;Com_AllFuels_SEDS_2022_TBtus!$A$3:$A$53,0))))</f>
        <v>0</v>
      </c>
      <c r="AV82" s="74">
        <f t="array" ref="AV82">IF(ISERROR(index(Com_AllFuels_SEDS_2022_TBtus!$U$3:$U$53,match($A69&amp;AV$65,Com_AllFuels_SEDS_2022_TBtus!$B$3:$B$53&amp;Com_AllFuels_SEDS_2022_TBtus!$A$3:$A$53,0))),0,(index(Com_AllFuels_SEDS_2022_TBtus!$U$3:$U$53,match($A69&amp;AV$65,Com_AllFuels_SEDS_2022_TBtus!$B$3:$B$53&amp;Com_AllFuels_SEDS_2022_TBtus!$A$3:$A$53,0))))</f>
        <v>0</v>
      </c>
      <c r="AW82" s="74">
        <f t="array" ref="AW82">IF(ISERROR(index(Com_AllFuels_SEDS_2022_TBtus!$U$3:$U$53,match($A69&amp;AW$65,Com_AllFuels_SEDS_2022_TBtus!$B$3:$B$53&amp;Com_AllFuels_SEDS_2022_TBtus!$A$3:$A$53,0))),0,(index(Com_AllFuels_SEDS_2022_TBtus!$U$3:$U$53,match($A69&amp;AW$65,Com_AllFuels_SEDS_2022_TBtus!$B$3:$B$53&amp;Com_AllFuels_SEDS_2022_TBtus!$A$3:$A$53,0))))</f>
        <v>0</v>
      </c>
      <c r="AX82" s="74">
        <f t="array" ref="AX82">IF(ISERROR(index(Com_AllFuels_SEDS_2022_TBtus!$U$3:$U$53,match($A69&amp;AX$65,Com_AllFuels_SEDS_2022_TBtus!$B$3:$B$53&amp;Com_AllFuels_SEDS_2022_TBtus!$A$3:$A$53,0))),0,(index(Com_AllFuels_SEDS_2022_TBtus!$U$3:$U$53,match($A69&amp;AX$65,Com_AllFuels_SEDS_2022_TBtus!$B$3:$B$53&amp;Com_AllFuels_SEDS_2022_TBtus!$A$3:$A$53,0))))</f>
        <v>0</v>
      </c>
      <c r="AY82" s="74">
        <f t="array" ref="AY82">IF(ISERROR(index(Com_AllFuels_SEDS_2022_TBtus!$U$3:$U$53,match($A69&amp;AY$65,Com_AllFuels_SEDS_2022_TBtus!$B$3:$B$53&amp;Com_AllFuels_SEDS_2022_TBtus!$A$3:$A$53,0))),0,(index(Com_AllFuels_SEDS_2022_TBtus!$U$3:$U$53,match($A69&amp;AY$65,Com_AllFuels_SEDS_2022_TBtus!$B$3:$B$53&amp;Com_AllFuels_SEDS_2022_TBtus!$A$3:$A$53,0))))</f>
        <v>0</v>
      </c>
      <c r="AZ82" s="74">
        <f t="array" ref="AZ82">IF(ISERROR(index(Com_AllFuels_SEDS_2022_TBtus!$U$3:$U$53,match($A69&amp;AZ$65,Com_AllFuels_SEDS_2022_TBtus!$B$3:$B$53&amp;Com_AllFuels_SEDS_2022_TBtus!$A$3:$A$53,0))),0,(index(Com_AllFuels_SEDS_2022_TBtus!$U$3:$U$53,match($A69&amp;AZ$65,Com_AllFuels_SEDS_2022_TBtus!$B$3:$B$53&amp;Com_AllFuels_SEDS_2022_TBtus!$A$3:$A$53,0))))</f>
        <v>0</v>
      </c>
      <c r="BA82" s="74">
        <f t="shared" si="3"/>
        <v>358</v>
      </c>
    </row>
    <row r="83" ht="15.75" customHeight="1">
      <c r="A83" s="74">
        <v>5.0</v>
      </c>
      <c r="B83" s="74">
        <f t="array" ref="B83">IF(ISERROR(index(Com_AllFuels_SEDS_2022_TBtus!$U$3:$U$53,match($A70&amp;B$65,Com_AllFuels_SEDS_2022_TBtus!$B$3:$B$53&amp;Com_AllFuels_SEDS_2022_TBtus!$A$3:$A$53,0))),0,(index(Com_AllFuels_SEDS_2022_TBtus!$U$3:$U$53,match($A70&amp;B$65,Com_AllFuels_SEDS_2022_TBtus!$B$3:$B$53&amp;Com_AllFuels_SEDS_2022_TBtus!$A$3:$A$53,0))))</f>
        <v>0</v>
      </c>
      <c r="C83" s="74">
        <f t="array" ref="C83">IF(ISERROR(index(Com_AllFuels_SEDS_2022_TBtus!$U$3:$U$53,match($A70&amp;C$65,Com_AllFuels_SEDS_2022_TBtus!$B$3:$B$53&amp;Com_AllFuels_SEDS_2022_TBtus!$A$3:$A$53,0))),0,(index(Com_AllFuels_SEDS_2022_TBtus!$U$3:$U$53,match($A70&amp;C$65,Com_AllFuels_SEDS_2022_TBtus!$B$3:$B$53&amp;Com_AllFuels_SEDS_2022_TBtus!$A$3:$A$53,0))))</f>
        <v>0</v>
      </c>
      <c r="D83" s="74">
        <f t="array" ref="D83">IF(ISERROR(index(Com_AllFuels_SEDS_2022_TBtus!$U$3:$U$53,match($A70&amp;D$65,Com_AllFuels_SEDS_2022_TBtus!$B$3:$B$53&amp;Com_AllFuels_SEDS_2022_TBtus!$A$3:$A$53,0))),0,(index(Com_AllFuels_SEDS_2022_TBtus!$U$3:$U$53,match($A70&amp;D$65,Com_AllFuels_SEDS_2022_TBtus!$B$3:$B$53&amp;Com_AllFuels_SEDS_2022_TBtus!$A$3:$A$53,0))))</f>
        <v>0</v>
      </c>
      <c r="E83" s="74">
        <f t="array" ref="E83">IF(ISERROR(index(Com_AllFuels_SEDS_2022_TBtus!$U$3:$U$53,match($A70&amp;E$65,Com_AllFuels_SEDS_2022_TBtus!$B$3:$B$53&amp;Com_AllFuels_SEDS_2022_TBtus!$A$3:$A$53,0))),0,(index(Com_AllFuels_SEDS_2022_TBtus!$U$3:$U$53,match($A70&amp;E$65,Com_AllFuels_SEDS_2022_TBtus!$B$3:$B$53&amp;Com_AllFuels_SEDS_2022_TBtus!$A$3:$A$53,0))))</f>
        <v>0</v>
      </c>
      <c r="F83" s="74">
        <f t="array" ref="F83">IF(ISERROR(index(Com_AllFuels_SEDS_2022_TBtus!$U$3:$U$53,match($A70&amp;F$65,Com_AllFuels_SEDS_2022_TBtus!$B$3:$B$53&amp;Com_AllFuels_SEDS_2022_TBtus!$A$3:$A$53,0))),0,(index(Com_AllFuels_SEDS_2022_TBtus!$U$3:$U$53,match($A70&amp;F$65,Com_AllFuels_SEDS_2022_TBtus!$B$3:$B$53&amp;Com_AllFuels_SEDS_2022_TBtus!$A$3:$A$53,0))))</f>
        <v>0</v>
      </c>
      <c r="G83" s="74">
        <f t="array" ref="G83">IF(ISERROR(index(Com_AllFuels_SEDS_2022_TBtus!$U$3:$U$53,match($A70&amp;G$65,Com_AllFuels_SEDS_2022_TBtus!$B$3:$B$53&amp;Com_AllFuels_SEDS_2022_TBtus!$A$3:$A$53,0))),0,(index(Com_AllFuels_SEDS_2022_TBtus!$U$3:$U$53,match($A70&amp;G$65,Com_AllFuels_SEDS_2022_TBtus!$B$3:$B$53&amp;Com_AllFuels_SEDS_2022_TBtus!$A$3:$A$53,0))))</f>
        <v>0</v>
      </c>
      <c r="H83" s="74">
        <f t="array" ref="H83">IF(ISERROR(index(Com_AllFuels_SEDS_2022_TBtus!$U$3:$U$53,match($A70&amp;H$65,Com_AllFuels_SEDS_2022_TBtus!$B$3:$B$53&amp;Com_AllFuels_SEDS_2022_TBtus!$A$3:$A$53,0))),0,(index(Com_AllFuels_SEDS_2022_TBtus!$U$3:$U$53,match($A70&amp;H$65,Com_AllFuels_SEDS_2022_TBtus!$B$3:$B$53&amp;Com_AllFuels_SEDS_2022_TBtus!$A$3:$A$53,0))))</f>
        <v>0</v>
      </c>
      <c r="I83" s="74">
        <f t="array" ref="I83">IF(ISERROR(index(Com_AllFuels_SEDS_2022_TBtus!$U$3:$U$53,match($A70&amp;I$65,Com_AllFuels_SEDS_2022_TBtus!$B$3:$B$53&amp;Com_AllFuels_SEDS_2022_TBtus!$A$3:$A$53,0))),0,(index(Com_AllFuels_SEDS_2022_TBtus!$U$3:$U$53,match($A70&amp;I$65,Com_AllFuels_SEDS_2022_TBtus!$B$3:$B$53&amp;Com_AllFuels_SEDS_2022_TBtus!$A$3:$A$53,0))))</f>
        <v>14.8</v>
      </c>
      <c r="J83" s="74">
        <f t="array" ref="J83">IF(ISERROR(index(Com_AllFuels_SEDS_2022_TBtus!$U$3:$U$53,match($A70&amp;J$65,Com_AllFuels_SEDS_2022_TBtus!$B$3:$B$53&amp;Com_AllFuels_SEDS_2022_TBtus!$A$3:$A$53,0))),0,(index(Com_AllFuels_SEDS_2022_TBtus!$U$3:$U$53,match($A70&amp;J$65,Com_AllFuels_SEDS_2022_TBtus!$B$3:$B$53&amp;Com_AllFuels_SEDS_2022_TBtus!$A$3:$A$53,0))))</f>
        <v>25.1</v>
      </c>
      <c r="K83" s="74">
        <f t="array" ref="K83">IF(ISERROR(index(Com_AllFuels_SEDS_2022_TBtus!$U$3:$U$53,match($A70&amp;K$65,Com_AllFuels_SEDS_2022_TBtus!$B$3:$B$53&amp;Com_AllFuels_SEDS_2022_TBtus!$A$3:$A$53,0))),0,(index(Com_AllFuels_SEDS_2022_TBtus!$U$3:$U$53,match($A70&amp;K$65,Com_AllFuels_SEDS_2022_TBtus!$B$3:$B$53&amp;Com_AllFuels_SEDS_2022_TBtus!$A$3:$A$53,0))))</f>
        <v>333.4</v>
      </c>
      <c r="L83" s="74">
        <f t="array" ref="L83">IF(ISERROR(index(Com_AllFuels_SEDS_2022_TBtus!$U$3:$U$53,match($A70&amp;L$65,Com_AllFuels_SEDS_2022_TBtus!$B$3:$B$53&amp;Com_AllFuels_SEDS_2022_TBtus!$A$3:$A$53,0))),0,(index(Com_AllFuels_SEDS_2022_TBtus!$U$3:$U$53,match($A70&amp;L$65,Com_AllFuels_SEDS_2022_TBtus!$B$3:$B$53&amp;Com_AllFuels_SEDS_2022_TBtus!$A$3:$A$53,0))))</f>
        <v>169.2</v>
      </c>
      <c r="M83" s="74">
        <f t="array" ref="M83">IF(ISERROR(index(Com_AllFuels_SEDS_2022_TBtus!$U$3:$U$53,match($A70&amp;M$65,Com_AllFuels_SEDS_2022_TBtus!$B$3:$B$53&amp;Com_AllFuels_SEDS_2022_TBtus!$A$3:$A$53,0))),0,(index(Com_AllFuels_SEDS_2022_TBtus!$U$3:$U$53,match($A70&amp;M$65,Com_AllFuels_SEDS_2022_TBtus!$B$3:$B$53&amp;Com_AllFuels_SEDS_2022_TBtus!$A$3:$A$53,0))))</f>
        <v>0</v>
      </c>
      <c r="N83" s="74">
        <f t="array" ref="N83">IF(ISERROR(index(Com_AllFuels_SEDS_2022_TBtus!$U$3:$U$53,match($A70&amp;N$65,Com_AllFuels_SEDS_2022_TBtus!$B$3:$B$53&amp;Com_AllFuels_SEDS_2022_TBtus!$A$3:$A$53,0))),0,(index(Com_AllFuels_SEDS_2022_TBtus!$U$3:$U$53,match($A70&amp;N$65,Com_AllFuels_SEDS_2022_TBtus!$B$3:$B$53&amp;Com_AllFuels_SEDS_2022_TBtus!$A$3:$A$53,0))))</f>
        <v>0</v>
      </c>
      <c r="O83" s="74">
        <f t="array" ref="O83">IF(ISERROR(index(Com_AllFuels_SEDS_2022_TBtus!$U$3:$U$53,match($A70&amp;O$65,Com_AllFuels_SEDS_2022_TBtus!$B$3:$B$53&amp;Com_AllFuels_SEDS_2022_TBtus!$A$3:$A$53,0))),0,(index(Com_AllFuels_SEDS_2022_TBtus!$U$3:$U$53,match($A70&amp;O$65,Com_AllFuels_SEDS_2022_TBtus!$B$3:$B$53&amp;Com_AllFuels_SEDS_2022_TBtus!$A$3:$A$53,0))))</f>
        <v>0</v>
      </c>
      <c r="P83" s="74">
        <f t="array" ref="P83">IF(ISERROR(index(Com_AllFuels_SEDS_2022_TBtus!$U$3:$U$53,match($A70&amp;P$65,Com_AllFuels_SEDS_2022_TBtus!$B$3:$B$53&amp;Com_AllFuels_SEDS_2022_TBtus!$A$3:$A$53,0))),0,(index(Com_AllFuels_SEDS_2022_TBtus!$U$3:$U$53,match($A70&amp;P$65,Com_AllFuels_SEDS_2022_TBtus!$B$3:$B$53&amp;Com_AllFuels_SEDS_2022_TBtus!$A$3:$A$53,0))))</f>
        <v>0</v>
      </c>
      <c r="Q83" s="74">
        <f t="array" ref="Q83">IF(ISERROR(index(Com_AllFuels_SEDS_2022_TBtus!$U$3:$U$53,match($A70&amp;Q$65,Com_AllFuels_SEDS_2022_TBtus!$B$3:$B$53&amp;Com_AllFuels_SEDS_2022_TBtus!$A$3:$A$53,0))),0,(index(Com_AllFuels_SEDS_2022_TBtus!$U$3:$U$53,match($A70&amp;Q$65,Com_AllFuels_SEDS_2022_TBtus!$B$3:$B$53&amp;Com_AllFuels_SEDS_2022_TBtus!$A$3:$A$53,0))))</f>
        <v>0</v>
      </c>
      <c r="R83" s="74">
        <f t="array" ref="R83">IF(ISERROR(index(Com_AllFuels_SEDS_2022_TBtus!$U$3:$U$53,match($A70&amp;R$65,Com_AllFuels_SEDS_2022_TBtus!$B$3:$B$53&amp;Com_AllFuels_SEDS_2022_TBtus!$A$3:$A$53,0))),0,(index(Com_AllFuels_SEDS_2022_TBtus!$U$3:$U$53,match($A70&amp;R$65,Com_AllFuels_SEDS_2022_TBtus!$B$3:$B$53&amp;Com_AllFuels_SEDS_2022_TBtus!$A$3:$A$53,0))))</f>
        <v>0</v>
      </c>
      <c r="S83" s="74">
        <f t="array" ref="S83">IF(ISERROR(index(Com_AllFuels_SEDS_2022_TBtus!$U$3:$U$53,match($A70&amp;S$65,Com_AllFuels_SEDS_2022_TBtus!$B$3:$B$53&amp;Com_AllFuels_SEDS_2022_TBtus!$A$3:$A$53,0))),0,(index(Com_AllFuels_SEDS_2022_TBtus!$U$3:$U$53,match($A70&amp;S$65,Com_AllFuels_SEDS_2022_TBtus!$B$3:$B$53&amp;Com_AllFuels_SEDS_2022_TBtus!$A$3:$A$53,0))))</f>
        <v>0</v>
      </c>
      <c r="T83" s="74">
        <f t="array" ref="T83">IF(ISERROR(index(Com_AllFuels_SEDS_2022_TBtus!$U$3:$U$53,match($A70&amp;T$65,Com_AllFuels_SEDS_2022_TBtus!$B$3:$B$53&amp;Com_AllFuels_SEDS_2022_TBtus!$A$3:$A$53,0))),0,(index(Com_AllFuels_SEDS_2022_TBtus!$U$3:$U$53,match($A70&amp;T$65,Com_AllFuels_SEDS_2022_TBtus!$B$3:$B$53&amp;Com_AllFuels_SEDS_2022_TBtus!$A$3:$A$53,0))))</f>
        <v>0</v>
      </c>
      <c r="U83" s="74">
        <f t="array" ref="U83">IF(ISERROR(index(Com_AllFuels_SEDS_2022_TBtus!$U$3:$U$53,match($A70&amp;U$65,Com_AllFuels_SEDS_2022_TBtus!$B$3:$B$53&amp;Com_AllFuels_SEDS_2022_TBtus!$A$3:$A$53,0))),0,(index(Com_AllFuels_SEDS_2022_TBtus!$U$3:$U$53,match($A70&amp;U$65,Com_AllFuels_SEDS_2022_TBtus!$B$3:$B$53&amp;Com_AllFuels_SEDS_2022_TBtus!$A$3:$A$53,0))))</f>
        <v>0</v>
      </c>
      <c r="V83" s="74">
        <f t="array" ref="V83">IF(ISERROR(index(Com_AllFuels_SEDS_2022_TBtus!$U$3:$U$53,match($A70&amp;V$65,Com_AllFuels_SEDS_2022_TBtus!$B$3:$B$53&amp;Com_AllFuels_SEDS_2022_TBtus!$A$3:$A$53,0))),0,(index(Com_AllFuels_SEDS_2022_TBtus!$U$3:$U$53,match($A70&amp;V$65,Com_AllFuels_SEDS_2022_TBtus!$B$3:$B$53&amp;Com_AllFuels_SEDS_2022_TBtus!$A$3:$A$53,0))))</f>
        <v>95.4</v>
      </c>
      <c r="W83" s="74">
        <f t="array" ref="W83">IF(ISERROR(index(Com_AllFuels_SEDS_2022_TBtus!$U$3:$U$53,match($A70&amp;W$65,Com_AllFuels_SEDS_2022_TBtus!$B$3:$B$53&amp;Com_AllFuels_SEDS_2022_TBtus!$A$3:$A$53,0))),0,(index(Com_AllFuels_SEDS_2022_TBtus!$U$3:$U$53,match($A70&amp;W$65,Com_AllFuels_SEDS_2022_TBtus!$B$3:$B$53&amp;Com_AllFuels_SEDS_2022_TBtus!$A$3:$A$53,0))))</f>
        <v>0</v>
      </c>
      <c r="X83" s="74">
        <f t="array" ref="X83">IF(ISERROR(index(Com_AllFuels_SEDS_2022_TBtus!$U$3:$U$53,match($A70&amp;X$65,Com_AllFuels_SEDS_2022_TBtus!$B$3:$B$53&amp;Com_AllFuels_SEDS_2022_TBtus!$A$3:$A$53,0))),0,(index(Com_AllFuels_SEDS_2022_TBtus!$U$3:$U$53,match($A70&amp;X$65,Com_AllFuels_SEDS_2022_TBtus!$B$3:$B$53&amp;Com_AllFuels_SEDS_2022_TBtus!$A$3:$A$53,0))))</f>
        <v>0</v>
      </c>
      <c r="Y83" s="74">
        <f t="array" ref="Y83">IF(ISERROR(index(Com_AllFuels_SEDS_2022_TBtus!$U$3:$U$53,match($A70&amp;Y$65,Com_AllFuels_SEDS_2022_TBtus!$B$3:$B$53&amp;Com_AllFuels_SEDS_2022_TBtus!$A$3:$A$53,0))),0,(index(Com_AllFuels_SEDS_2022_TBtus!$U$3:$U$53,match($A70&amp;Y$65,Com_AllFuels_SEDS_2022_TBtus!$B$3:$B$53&amp;Com_AllFuels_SEDS_2022_TBtus!$A$3:$A$53,0))))</f>
        <v>0</v>
      </c>
      <c r="Z83" s="74">
        <f t="array" ref="Z83">IF(ISERROR(index(Com_AllFuels_SEDS_2022_TBtus!$U$3:$U$53,match($A70&amp;Z$65,Com_AllFuels_SEDS_2022_TBtus!$B$3:$B$53&amp;Com_AllFuels_SEDS_2022_TBtus!$A$3:$A$53,0))),0,(index(Com_AllFuels_SEDS_2022_TBtus!$U$3:$U$53,match($A70&amp;Z$65,Com_AllFuels_SEDS_2022_TBtus!$B$3:$B$53&amp;Com_AllFuels_SEDS_2022_TBtus!$A$3:$A$53,0))))</f>
        <v>0</v>
      </c>
      <c r="AA83" s="74">
        <f t="array" ref="AA83">IF(ISERROR(index(Com_AllFuels_SEDS_2022_TBtus!$U$3:$U$53,match($A70&amp;AA$65,Com_AllFuels_SEDS_2022_TBtus!$B$3:$B$53&amp;Com_AllFuels_SEDS_2022_TBtus!$A$3:$A$53,0))),0,(index(Com_AllFuels_SEDS_2022_TBtus!$U$3:$U$53,match($A70&amp;AA$65,Com_AllFuels_SEDS_2022_TBtus!$B$3:$B$53&amp;Com_AllFuels_SEDS_2022_TBtus!$A$3:$A$53,0))))</f>
        <v>0</v>
      </c>
      <c r="AB83" s="74">
        <f t="array" ref="AB83">IF(ISERROR(index(Com_AllFuels_SEDS_2022_TBtus!$U$3:$U$53,match($A70&amp;AB$65,Com_AllFuels_SEDS_2022_TBtus!$B$3:$B$53&amp;Com_AllFuels_SEDS_2022_TBtus!$A$3:$A$53,0))),0,(index(Com_AllFuels_SEDS_2022_TBtus!$U$3:$U$53,match($A70&amp;AB$65,Com_AllFuels_SEDS_2022_TBtus!$B$3:$B$53&amp;Com_AllFuels_SEDS_2022_TBtus!$A$3:$A$53,0))))</f>
        <v>0</v>
      </c>
      <c r="AC83" s="74">
        <f t="array" ref="AC83">IF(ISERROR(index(Com_AllFuels_SEDS_2022_TBtus!$U$3:$U$53,match($A70&amp;AC$65,Com_AllFuels_SEDS_2022_TBtus!$B$3:$B$53&amp;Com_AllFuels_SEDS_2022_TBtus!$A$3:$A$53,0))),0,(index(Com_AllFuels_SEDS_2022_TBtus!$U$3:$U$53,match($A70&amp;AC$65,Com_AllFuels_SEDS_2022_TBtus!$B$3:$B$53&amp;Com_AllFuels_SEDS_2022_TBtus!$A$3:$A$53,0))))</f>
        <v>0</v>
      </c>
      <c r="AD83" s="74">
        <f t="array" ref="AD83">IF(ISERROR(index(Com_AllFuels_SEDS_2022_TBtus!$U$3:$U$53,match($A70&amp;AD$65,Com_AllFuels_SEDS_2022_TBtus!$B$3:$B$53&amp;Com_AllFuels_SEDS_2022_TBtus!$A$3:$A$53,0))),0,(index(Com_AllFuels_SEDS_2022_TBtus!$U$3:$U$53,match($A70&amp;AD$65,Com_AllFuels_SEDS_2022_TBtus!$B$3:$B$53&amp;Com_AllFuels_SEDS_2022_TBtus!$A$3:$A$53,0))))</f>
        <v>0</v>
      </c>
      <c r="AE83" s="74">
        <f t="array" ref="AE83">IF(ISERROR(index(Com_AllFuels_SEDS_2022_TBtus!$U$3:$U$53,match($A70&amp;AE$65,Com_AllFuels_SEDS_2022_TBtus!$B$3:$B$53&amp;Com_AllFuels_SEDS_2022_TBtus!$A$3:$A$53,0))),0,(index(Com_AllFuels_SEDS_2022_TBtus!$U$3:$U$53,match($A70&amp;AE$65,Com_AllFuels_SEDS_2022_TBtus!$B$3:$B$53&amp;Com_AllFuels_SEDS_2022_TBtus!$A$3:$A$53,0))))</f>
        <v>0</v>
      </c>
      <c r="AF83" s="74">
        <f t="array" ref="AF83">IF(ISERROR(index(Com_AllFuels_SEDS_2022_TBtus!$U$3:$U$53,match($A70&amp;AF$65,Com_AllFuels_SEDS_2022_TBtus!$B$3:$B$53&amp;Com_AllFuels_SEDS_2022_TBtus!$A$3:$A$53,0))),0,(index(Com_AllFuels_SEDS_2022_TBtus!$U$3:$U$53,match($A70&amp;AF$65,Com_AllFuels_SEDS_2022_TBtus!$B$3:$B$53&amp;Com_AllFuels_SEDS_2022_TBtus!$A$3:$A$53,0))))</f>
        <v>0</v>
      </c>
      <c r="AG83" s="74">
        <f t="array" ref="AG83">IF(ISERROR(index(Com_AllFuels_SEDS_2022_TBtus!$U$3:$U$53,match($A70&amp;AG$65,Com_AllFuels_SEDS_2022_TBtus!$B$3:$B$53&amp;Com_AllFuels_SEDS_2022_TBtus!$A$3:$A$53,0))),0,(index(Com_AllFuels_SEDS_2022_TBtus!$U$3:$U$53,match($A70&amp;AG$65,Com_AllFuels_SEDS_2022_TBtus!$B$3:$B$53&amp;Com_AllFuels_SEDS_2022_TBtus!$A$3:$A$53,0))))</f>
        <v>0</v>
      </c>
      <c r="AH83" s="74">
        <f t="array" ref="AH83">IF(ISERROR(index(Com_AllFuels_SEDS_2022_TBtus!$U$3:$U$53,match($A70&amp;AH$65,Com_AllFuels_SEDS_2022_TBtus!$B$3:$B$53&amp;Com_AllFuels_SEDS_2022_TBtus!$A$3:$A$53,0))),0,(index(Com_AllFuels_SEDS_2022_TBtus!$U$3:$U$53,match($A70&amp;AH$65,Com_AllFuels_SEDS_2022_TBtus!$B$3:$B$53&amp;Com_AllFuels_SEDS_2022_TBtus!$A$3:$A$53,0))))</f>
        <v>0</v>
      </c>
      <c r="AI83" s="74">
        <f t="array" ref="AI83">IF(ISERROR(index(Com_AllFuels_SEDS_2022_TBtus!$U$3:$U$53,match($A70&amp;AI$65,Com_AllFuels_SEDS_2022_TBtus!$B$3:$B$53&amp;Com_AllFuels_SEDS_2022_TBtus!$A$3:$A$53,0))),0,(index(Com_AllFuels_SEDS_2022_TBtus!$U$3:$U$53,match($A70&amp;AI$65,Com_AllFuels_SEDS_2022_TBtus!$B$3:$B$53&amp;Com_AllFuels_SEDS_2022_TBtus!$A$3:$A$53,0))))</f>
        <v>169</v>
      </c>
      <c r="AJ83" s="74">
        <f t="array" ref="AJ83">IF(ISERROR(index(Com_AllFuels_SEDS_2022_TBtus!$U$3:$U$53,match($A70&amp;AJ$65,Com_AllFuels_SEDS_2022_TBtus!$B$3:$B$53&amp;Com_AllFuels_SEDS_2022_TBtus!$A$3:$A$53,0))),0,(index(Com_AllFuels_SEDS_2022_TBtus!$U$3:$U$53,match($A70&amp;AJ$65,Com_AllFuels_SEDS_2022_TBtus!$B$3:$B$53&amp;Com_AllFuels_SEDS_2022_TBtus!$A$3:$A$53,0))))</f>
        <v>0</v>
      </c>
      <c r="AK83" s="74">
        <f t="array" ref="AK83">IF(ISERROR(index(Com_AllFuels_SEDS_2022_TBtus!$U$3:$U$53,match($A70&amp;AK$65,Com_AllFuels_SEDS_2022_TBtus!$B$3:$B$53&amp;Com_AllFuels_SEDS_2022_TBtus!$A$3:$A$53,0))),0,(index(Com_AllFuels_SEDS_2022_TBtus!$U$3:$U$53,match($A70&amp;AK$65,Com_AllFuels_SEDS_2022_TBtus!$B$3:$B$53&amp;Com_AllFuels_SEDS_2022_TBtus!$A$3:$A$53,0))))</f>
        <v>0</v>
      </c>
      <c r="AL83" s="74">
        <f t="array" ref="AL83">IF(ISERROR(index(Com_AllFuels_SEDS_2022_TBtus!$U$3:$U$53,match($A70&amp;AL$65,Com_AllFuels_SEDS_2022_TBtus!$B$3:$B$53&amp;Com_AllFuels_SEDS_2022_TBtus!$A$3:$A$53,0))),0,(index(Com_AllFuels_SEDS_2022_TBtus!$U$3:$U$53,match($A70&amp;AL$65,Com_AllFuels_SEDS_2022_TBtus!$B$3:$B$53&amp;Com_AllFuels_SEDS_2022_TBtus!$A$3:$A$53,0))))</f>
        <v>0</v>
      </c>
      <c r="AM83" s="74">
        <f t="array" ref="AM83">IF(ISERROR(index(Com_AllFuels_SEDS_2022_TBtus!$U$3:$U$53,match($A70&amp;AM$65,Com_AllFuels_SEDS_2022_TBtus!$B$3:$B$53&amp;Com_AllFuels_SEDS_2022_TBtus!$A$3:$A$53,0))),0,(index(Com_AllFuels_SEDS_2022_TBtus!$U$3:$U$53,match($A70&amp;AM$65,Com_AllFuels_SEDS_2022_TBtus!$B$3:$B$53&amp;Com_AllFuels_SEDS_2022_TBtus!$A$3:$A$53,0))))</f>
        <v>0</v>
      </c>
      <c r="AN83" s="74">
        <f t="array" ref="AN83">IF(ISERROR(index(Com_AllFuels_SEDS_2022_TBtus!$U$3:$U$53,match($A70&amp;AN$65,Com_AllFuels_SEDS_2022_TBtus!$B$3:$B$53&amp;Com_AllFuels_SEDS_2022_TBtus!$A$3:$A$53,0))),0,(index(Com_AllFuels_SEDS_2022_TBtus!$U$3:$U$53,match($A70&amp;AN$65,Com_AllFuels_SEDS_2022_TBtus!$B$3:$B$53&amp;Com_AllFuels_SEDS_2022_TBtus!$A$3:$A$53,0))))</f>
        <v>0</v>
      </c>
      <c r="AO83" s="74">
        <f t="array" ref="AO83">IF(ISERROR(index(Com_AllFuels_SEDS_2022_TBtus!$U$3:$U$53,match($A70&amp;AO$65,Com_AllFuels_SEDS_2022_TBtus!$B$3:$B$53&amp;Com_AllFuels_SEDS_2022_TBtus!$A$3:$A$53,0))),0,(index(Com_AllFuels_SEDS_2022_TBtus!$U$3:$U$53,match($A70&amp;AO$65,Com_AllFuels_SEDS_2022_TBtus!$B$3:$B$53&amp;Com_AllFuels_SEDS_2022_TBtus!$A$3:$A$53,0))))</f>
        <v>0</v>
      </c>
      <c r="AP83" s="74">
        <f t="array" ref="AP83">IF(ISERROR(index(Com_AllFuels_SEDS_2022_TBtus!$U$3:$U$53,match($A70&amp;AP$65,Com_AllFuels_SEDS_2022_TBtus!$B$3:$B$53&amp;Com_AllFuels_SEDS_2022_TBtus!$A$3:$A$53,0))),0,(index(Com_AllFuels_SEDS_2022_TBtus!$U$3:$U$53,match($A70&amp;AP$65,Com_AllFuels_SEDS_2022_TBtus!$B$3:$B$53&amp;Com_AllFuels_SEDS_2022_TBtus!$A$3:$A$53,0))))</f>
        <v>82.6</v>
      </c>
      <c r="AQ83" s="74">
        <f t="array" ref="AQ83">IF(ISERROR(index(Com_AllFuels_SEDS_2022_TBtus!$U$3:$U$53,match($A70&amp;AQ$65,Com_AllFuels_SEDS_2022_TBtus!$B$3:$B$53&amp;Com_AllFuels_SEDS_2022_TBtus!$A$3:$A$53,0))),0,(index(Com_AllFuels_SEDS_2022_TBtus!$U$3:$U$53,match($A70&amp;AQ$65,Com_AllFuels_SEDS_2022_TBtus!$B$3:$B$53&amp;Com_AllFuels_SEDS_2022_TBtus!$A$3:$A$53,0))))</f>
        <v>0</v>
      </c>
      <c r="AR83" s="74">
        <f t="array" ref="AR83">IF(ISERROR(index(Com_AllFuels_SEDS_2022_TBtus!$U$3:$U$53,match($A70&amp;AR$65,Com_AllFuels_SEDS_2022_TBtus!$B$3:$B$53&amp;Com_AllFuels_SEDS_2022_TBtus!$A$3:$A$53,0))),0,(index(Com_AllFuels_SEDS_2022_TBtus!$U$3:$U$53,match($A70&amp;AR$65,Com_AllFuels_SEDS_2022_TBtus!$B$3:$B$53&amp;Com_AllFuels_SEDS_2022_TBtus!$A$3:$A$53,0))))</f>
        <v>0</v>
      </c>
      <c r="AS83" s="74">
        <f t="array" ref="AS83">IF(ISERROR(index(Com_AllFuels_SEDS_2022_TBtus!$U$3:$U$53,match($A70&amp;AS$65,Com_AllFuels_SEDS_2022_TBtus!$B$3:$B$53&amp;Com_AllFuels_SEDS_2022_TBtus!$A$3:$A$53,0))),0,(index(Com_AllFuels_SEDS_2022_TBtus!$U$3:$U$53,match($A70&amp;AS$65,Com_AllFuels_SEDS_2022_TBtus!$B$3:$B$53&amp;Com_AllFuels_SEDS_2022_TBtus!$A$3:$A$53,0))))</f>
        <v>0</v>
      </c>
      <c r="AT83" s="74">
        <f t="array" ref="AT83">IF(ISERROR(index(Com_AllFuels_SEDS_2022_TBtus!$U$3:$U$53,match($A70&amp;AT$65,Com_AllFuels_SEDS_2022_TBtus!$B$3:$B$53&amp;Com_AllFuels_SEDS_2022_TBtus!$A$3:$A$53,0))),0,(index(Com_AllFuels_SEDS_2022_TBtus!$U$3:$U$53,match($A70&amp;AT$65,Com_AllFuels_SEDS_2022_TBtus!$B$3:$B$53&amp;Com_AllFuels_SEDS_2022_TBtus!$A$3:$A$53,0))))</f>
        <v>0</v>
      </c>
      <c r="AU83" s="74">
        <f t="array" ref="AU83">IF(ISERROR(index(Com_AllFuels_SEDS_2022_TBtus!$U$3:$U$53,match($A70&amp;AU$65,Com_AllFuels_SEDS_2022_TBtus!$B$3:$B$53&amp;Com_AllFuels_SEDS_2022_TBtus!$A$3:$A$53,0))),0,(index(Com_AllFuels_SEDS_2022_TBtus!$U$3:$U$53,match($A70&amp;AU$65,Com_AllFuels_SEDS_2022_TBtus!$B$3:$B$53&amp;Com_AllFuels_SEDS_2022_TBtus!$A$3:$A$53,0))))</f>
        <v>0</v>
      </c>
      <c r="AV83" s="74">
        <f t="array" ref="AV83">IF(ISERROR(index(Com_AllFuels_SEDS_2022_TBtus!$U$3:$U$53,match($A70&amp;AV$65,Com_AllFuels_SEDS_2022_TBtus!$B$3:$B$53&amp;Com_AllFuels_SEDS_2022_TBtus!$A$3:$A$53,0))),0,(index(Com_AllFuels_SEDS_2022_TBtus!$U$3:$U$53,match($A70&amp;AV$65,Com_AllFuels_SEDS_2022_TBtus!$B$3:$B$53&amp;Com_AllFuels_SEDS_2022_TBtus!$A$3:$A$53,0))))</f>
        <v>235.1</v>
      </c>
      <c r="AW83" s="74">
        <f t="array" ref="AW83">IF(ISERROR(index(Com_AllFuels_SEDS_2022_TBtus!$U$3:$U$53,match($A70&amp;AW$65,Com_AllFuels_SEDS_2022_TBtus!$B$3:$B$53&amp;Com_AllFuels_SEDS_2022_TBtus!$A$3:$A$53,0))),0,(index(Com_AllFuels_SEDS_2022_TBtus!$U$3:$U$53,match($A70&amp;AW$65,Com_AllFuels_SEDS_2022_TBtus!$B$3:$B$53&amp;Com_AllFuels_SEDS_2022_TBtus!$A$3:$A$53,0))))</f>
        <v>0</v>
      </c>
      <c r="AX83" s="74">
        <f t="array" ref="AX83">IF(ISERROR(index(Com_AllFuels_SEDS_2022_TBtus!$U$3:$U$53,match($A70&amp;AX$65,Com_AllFuels_SEDS_2022_TBtus!$B$3:$B$53&amp;Com_AllFuels_SEDS_2022_TBtus!$A$3:$A$53,0))),0,(index(Com_AllFuels_SEDS_2022_TBtus!$U$3:$U$53,match($A70&amp;AX$65,Com_AllFuels_SEDS_2022_TBtus!$B$3:$B$53&amp;Com_AllFuels_SEDS_2022_TBtus!$A$3:$A$53,0))))</f>
        <v>24.8</v>
      </c>
      <c r="AY83" s="74">
        <f t="array" ref="AY83">IF(ISERROR(index(Com_AllFuels_SEDS_2022_TBtus!$U$3:$U$53,match($A70&amp;AY$65,Com_AllFuels_SEDS_2022_TBtus!$B$3:$B$53&amp;Com_AllFuels_SEDS_2022_TBtus!$A$3:$A$53,0))),0,(index(Com_AllFuels_SEDS_2022_TBtus!$U$3:$U$53,match($A70&amp;AY$65,Com_AllFuels_SEDS_2022_TBtus!$B$3:$B$53&amp;Com_AllFuels_SEDS_2022_TBtus!$A$3:$A$53,0))))</f>
        <v>0</v>
      </c>
      <c r="AZ83" s="74">
        <f t="array" ref="AZ83">IF(ISERROR(index(Com_AllFuels_SEDS_2022_TBtus!$U$3:$U$53,match($A70&amp;AZ$65,Com_AllFuels_SEDS_2022_TBtus!$B$3:$B$53&amp;Com_AllFuels_SEDS_2022_TBtus!$A$3:$A$53,0))),0,(index(Com_AllFuels_SEDS_2022_TBtus!$U$3:$U$53,match($A70&amp;AZ$65,Com_AllFuels_SEDS_2022_TBtus!$B$3:$B$53&amp;Com_AllFuels_SEDS_2022_TBtus!$A$3:$A$53,0))))</f>
        <v>0</v>
      </c>
      <c r="BA83" s="74">
        <f t="shared" si="3"/>
        <v>1149.4</v>
      </c>
    </row>
    <row r="84" ht="15.75" customHeight="1">
      <c r="A84" s="74">
        <v>6.0</v>
      </c>
      <c r="B84" s="74">
        <f t="array" ref="B84">IF(ISERROR(index(Com_AllFuels_SEDS_2022_TBtus!$U$3:$U$53,match($A71&amp;B$65,Com_AllFuels_SEDS_2022_TBtus!$B$3:$B$53&amp;Com_AllFuels_SEDS_2022_TBtus!$A$3:$A$53,0))),0,(index(Com_AllFuels_SEDS_2022_TBtus!$U$3:$U$53,match($A71&amp;B$65,Com_AllFuels_SEDS_2022_TBtus!$B$3:$B$53&amp;Com_AllFuels_SEDS_2022_TBtus!$A$3:$A$53,0))))</f>
        <v>76.5</v>
      </c>
      <c r="C84" s="74">
        <f t="array" ref="C84">IF(ISERROR(index(Com_AllFuels_SEDS_2022_TBtus!$U$3:$U$53,match($A71&amp;C$65,Com_AllFuels_SEDS_2022_TBtus!$B$3:$B$53&amp;Com_AllFuels_SEDS_2022_TBtus!$A$3:$A$53,0))),0,(index(Com_AllFuels_SEDS_2022_TBtus!$U$3:$U$53,match($A71&amp;C$65,Com_AllFuels_SEDS_2022_TBtus!$B$3:$B$53&amp;Com_AllFuels_SEDS_2022_TBtus!$A$3:$A$53,0))))</f>
        <v>0</v>
      </c>
      <c r="D84" s="74">
        <f t="array" ref="D84">IF(ISERROR(index(Com_AllFuels_SEDS_2022_TBtus!$U$3:$U$53,match($A71&amp;D$65,Com_AllFuels_SEDS_2022_TBtus!$B$3:$B$53&amp;Com_AllFuels_SEDS_2022_TBtus!$A$3:$A$53,0))),0,(index(Com_AllFuels_SEDS_2022_TBtus!$U$3:$U$53,match($A71&amp;D$65,Com_AllFuels_SEDS_2022_TBtus!$B$3:$B$53&amp;Com_AllFuels_SEDS_2022_TBtus!$A$3:$A$53,0))))</f>
        <v>0</v>
      </c>
      <c r="E84" s="74">
        <f t="array" ref="E84">IF(ISERROR(index(Com_AllFuels_SEDS_2022_TBtus!$U$3:$U$53,match($A71&amp;E$65,Com_AllFuels_SEDS_2022_TBtus!$B$3:$B$53&amp;Com_AllFuels_SEDS_2022_TBtus!$A$3:$A$53,0))),0,(index(Com_AllFuels_SEDS_2022_TBtus!$U$3:$U$53,match($A71&amp;E$65,Com_AllFuels_SEDS_2022_TBtus!$B$3:$B$53&amp;Com_AllFuels_SEDS_2022_TBtus!$A$3:$A$53,0))))</f>
        <v>0</v>
      </c>
      <c r="F84" s="74">
        <f t="array" ref="F84">IF(ISERROR(index(Com_AllFuels_SEDS_2022_TBtus!$U$3:$U$53,match($A71&amp;F$65,Com_AllFuels_SEDS_2022_TBtus!$B$3:$B$53&amp;Com_AllFuels_SEDS_2022_TBtus!$A$3:$A$53,0))),0,(index(Com_AllFuels_SEDS_2022_TBtus!$U$3:$U$53,match($A71&amp;F$65,Com_AllFuels_SEDS_2022_TBtus!$B$3:$B$53&amp;Com_AllFuels_SEDS_2022_TBtus!$A$3:$A$53,0))))</f>
        <v>0</v>
      </c>
      <c r="G84" s="74">
        <f t="array" ref="G84">IF(ISERROR(index(Com_AllFuels_SEDS_2022_TBtus!$U$3:$U$53,match($A71&amp;G$65,Com_AllFuels_SEDS_2022_TBtus!$B$3:$B$53&amp;Com_AllFuels_SEDS_2022_TBtus!$A$3:$A$53,0))),0,(index(Com_AllFuels_SEDS_2022_TBtus!$U$3:$U$53,match($A71&amp;G$65,Com_AllFuels_SEDS_2022_TBtus!$B$3:$B$53&amp;Com_AllFuels_SEDS_2022_TBtus!$A$3:$A$53,0))))</f>
        <v>0</v>
      </c>
      <c r="H84" s="74">
        <f t="array" ref="H84">IF(ISERROR(index(Com_AllFuels_SEDS_2022_TBtus!$U$3:$U$53,match($A71&amp;H$65,Com_AllFuels_SEDS_2022_TBtus!$B$3:$B$53&amp;Com_AllFuels_SEDS_2022_TBtus!$A$3:$A$53,0))),0,(index(Com_AllFuels_SEDS_2022_TBtus!$U$3:$U$53,match($A71&amp;H$65,Com_AllFuels_SEDS_2022_TBtus!$B$3:$B$53&amp;Com_AllFuels_SEDS_2022_TBtus!$A$3:$A$53,0))))</f>
        <v>0</v>
      </c>
      <c r="I84" s="74">
        <f t="array" ref="I84">IF(ISERROR(index(Com_AllFuels_SEDS_2022_TBtus!$U$3:$U$53,match($A71&amp;I$65,Com_AllFuels_SEDS_2022_TBtus!$B$3:$B$53&amp;Com_AllFuels_SEDS_2022_TBtus!$A$3:$A$53,0))),0,(index(Com_AllFuels_SEDS_2022_TBtus!$U$3:$U$53,match($A71&amp;I$65,Com_AllFuels_SEDS_2022_TBtus!$B$3:$B$53&amp;Com_AllFuels_SEDS_2022_TBtus!$A$3:$A$53,0))))</f>
        <v>0</v>
      </c>
      <c r="J84" s="74">
        <f t="array" ref="J84">IF(ISERROR(index(Com_AllFuels_SEDS_2022_TBtus!$U$3:$U$53,match($A71&amp;J$65,Com_AllFuels_SEDS_2022_TBtus!$B$3:$B$53&amp;Com_AllFuels_SEDS_2022_TBtus!$A$3:$A$53,0))),0,(index(Com_AllFuels_SEDS_2022_TBtus!$U$3:$U$53,match($A71&amp;J$65,Com_AllFuels_SEDS_2022_TBtus!$B$3:$B$53&amp;Com_AllFuels_SEDS_2022_TBtus!$A$3:$A$53,0))))</f>
        <v>0</v>
      </c>
      <c r="K84" s="74">
        <f t="array" ref="K84">IF(ISERROR(index(Com_AllFuels_SEDS_2022_TBtus!$U$3:$U$53,match($A71&amp;K$65,Com_AllFuels_SEDS_2022_TBtus!$B$3:$B$53&amp;Com_AllFuels_SEDS_2022_TBtus!$A$3:$A$53,0))),0,(index(Com_AllFuels_SEDS_2022_TBtus!$U$3:$U$53,match($A71&amp;K$65,Com_AllFuels_SEDS_2022_TBtus!$B$3:$B$53&amp;Com_AllFuels_SEDS_2022_TBtus!$A$3:$A$53,0))))</f>
        <v>0</v>
      </c>
      <c r="L84" s="74">
        <f t="array" ref="L84">IF(ISERROR(index(Com_AllFuels_SEDS_2022_TBtus!$U$3:$U$53,match($A71&amp;L$65,Com_AllFuels_SEDS_2022_TBtus!$B$3:$B$53&amp;Com_AllFuels_SEDS_2022_TBtus!$A$3:$A$53,0))),0,(index(Com_AllFuels_SEDS_2022_TBtus!$U$3:$U$53,match($A71&amp;L$65,Com_AllFuels_SEDS_2022_TBtus!$B$3:$B$53&amp;Com_AllFuels_SEDS_2022_TBtus!$A$3:$A$53,0))))</f>
        <v>0</v>
      </c>
      <c r="M84" s="74">
        <f t="array" ref="M84">IF(ISERROR(index(Com_AllFuels_SEDS_2022_TBtus!$U$3:$U$53,match($A71&amp;M$65,Com_AllFuels_SEDS_2022_TBtus!$B$3:$B$53&amp;Com_AllFuels_SEDS_2022_TBtus!$A$3:$A$53,0))),0,(index(Com_AllFuels_SEDS_2022_TBtus!$U$3:$U$53,match($A71&amp;M$65,Com_AllFuels_SEDS_2022_TBtus!$B$3:$B$53&amp;Com_AllFuels_SEDS_2022_TBtus!$A$3:$A$53,0))))</f>
        <v>0</v>
      </c>
      <c r="N84" s="74">
        <f t="array" ref="N84">IF(ISERROR(index(Com_AllFuels_SEDS_2022_TBtus!$U$3:$U$53,match($A71&amp;N$65,Com_AllFuels_SEDS_2022_TBtus!$B$3:$B$53&amp;Com_AllFuels_SEDS_2022_TBtus!$A$3:$A$53,0))),0,(index(Com_AllFuels_SEDS_2022_TBtus!$U$3:$U$53,match($A71&amp;N$65,Com_AllFuels_SEDS_2022_TBtus!$B$3:$B$53&amp;Com_AllFuels_SEDS_2022_TBtus!$A$3:$A$53,0))))</f>
        <v>0</v>
      </c>
      <c r="O84" s="74">
        <f t="array" ref="O84">IF(ISERROR(index(Com_AllFuels_SEDS_2022_TBtus!$U$3:$U$53,match($A71&amp;O$65,Com_AllFuels_SEDS_2022_TBtus!$B$3:$B$53&amp;Com_AllFuels_SEDS_2022_TBtus!$A$3:$A$53,0))),0,(index(Com_AllFuels_SEDS_2022_TBtus!$U$3:$U$53,match($A71&amp;O$65,Com_AllFuels_SEDS_2022_TBtus!$B$3:$B$53&amp;Com_AllFuels_SEDS_2022_TBtus!$A$3:$A$53,0))))</f>
        <v>0</v>
      </c>
      <c r="P84" s="74">
        <f t="array" ref="P84">IF(ISERROR(index(Com_AllFuels_SEDS_2022_TBtus!$U$3:$U$53,match($A71&amp;P$65,Com_AllFuels_SEDS_2022_TBtus!$B$3:$B$53&amp;Com_AllFuels_SEDS_2022_TBtus!$A$3:$A$53,0))),0,(index(Com_AllFuels_SEDS_2022_TBtus!$U$3:$U$53,match($A71&amp;P$65,Com_AllFuels_SEDS_2022_TBtus!$B$3:$B$53&amp;Com_AllFuels_SEDS_2022_TBtus!$A$3:$A$53,0))))</f>
        <v>0</v>
      </c>
      <c r="Q84" s="74">
        <f t="array" ref="Q84">IF(ISERROR(index(Com_AllFuels_SEDS_2022_TBtus!$U$3:$U$53,match($A71&amp;Q$65,Com_AllFuels_SEDS_2022_TBtus!$B$3:$B$53&amp;Com_AllFuels_SEDS_2022_TBtus!$A$3:$A$53,0))),0,(index(Com_AllFuels_SEDS_2022_TBtus!$U$3:$U$53,match($A71&amp;Q$65,Com_AllFuels_SEDS_2022_TBtus!$B$3:$B$53&amp;Com_AllFuels_SEDS_2022_TBtus!$A$3:$A$53,0))))</f>
        <v>0</v>
      </c>
      <c r="R84" s="74">
        <f t="array" ref="R84">IF(ISERROR(index(Com_AllFuels_SEDS_2022_TBtus!$U$3:$U$53,match($A71&amp;R$65,Com_AllFuels_SEDS_2022_TBtus!$B$3:$B$53&amp;Com_AllFuels_SEDS_2022_TBtus!$A$3:$A$53,0))),0,(index(Com_AllFuels_SEDS_2022_TBtus!$U$3:$U$53,match($A71&amp;R$65,Com_AllFuels_SEDS_2022_TBtus!$B$3:$B$53&amp;Com_AllFuels_SEDS_2022_TBtus!$A$3:$A$53,0))))</f>
        <v>0</v>
      </c>
      <c r="S84" s="74">
        <f t="array" ref="S84">IF(ISERROR(index(Com_AllFuels_SEDS_2022_TBtus!$U$3:$U$53,match($A71&amp;S$65,Com_AllFuels_SEDS_2022_TBtus!$B$3:$B$53&amp;Com_AllFuels_SEDS_2022_TBtus!$A$3:$A$53,0))),0,(index(Com_AllFuels_SEDS_2022_TBtus!$U$3:$U$53,match($A71&amp;S$65,Com_AllFuels_SEDS_2022_TBtus!$B$3:$B$53&amp;Com_AllFuels_SEDS_2022_TBtus!$A$3:$A$53,0))))</f>
        <v>68.1</v>
      </c>
      <c r="T84" s="74">
        <f t="array" ref="T84">IF(ISERROR(index(Com_AllFuels_SEDS_2022_TBtus!$U$3:$U$53,match($A71&amp;T$65,Com_AllFuels_SEDS_2022_TBtus!$B$3:$B$53&amp;Com_AllFuels_SEDS_2022_TBtus!$A$3:$A$53,0))),0,(index(Com_AllFuels_SEDS_2022_TBtus!$U$3:$U$53,match($A71&amp;T$65,Com_AllFuels_SEDS_2022_TBtus!$B$3:$B$53&amp;Com_AllFuels_SEDS_2022_TBtus!$A$3:$A$53,0))))</f>
        <v>0</v>
      </c>
      <c r="U84" s="74">
        <f t="array" ref="U84">IF(ISERROR(index(Com_AllFuels_SEDS_2022_TBtus!$U$3:$U$53,match($A71&amp;U$65,Com_AllFuels_SEDS_2022_TBtus!$B$3:$B$53&amp;Com_AllFuels_SEDS_2022_TBtus!$A$3:$A$53,0))),0,(index(Com_AllFuels_SEDS_2022_TBtus!$U$3:$U$53,match($A71&amp;U$65,Com_AllFuels_SEDS_2022_TBtus!$B$3:$B$53&amp;Com_AllFuels_SEDS_2022_TBtus!$A$3:$A$53,0))))</f>
        <v>0</v>
      </c>
      <c r="V84" s="74">
        <f t="array" ref="V84">IF(ISERROR(index(Com_AllFuels_SEDS_2022_TBtus!$U$3:$U$53,match($A71&amp;V$65,Com_AllFuels_SEDS_2022_TBtus!$B$3:$B$53&amp;Com_AllFuels_SEDS_2022_TBtus!$A$3:$A$53,0))),0,(index(Com_AllFuels_SEDS_2022_TBtus!$U$3:$U$53,match($A71&amp;V$65,Com_AllFuels_SEDS_2022_TBtus!$B$3:$B$53&amp;Com_AllFuels_SEDS_2022_TBtus!$A$3:$A$53,0))))</f>
        <v>0</v>
      </c>
      <c r="W84" s="74">
        <f t="array" ref="W84">IF(ISERROR(index(Com_AllFuels_SEDS_2022_TBtus!$U$3:$U$53,match($A71&amp;W$65,Com_AllFuels_SEDS_2022_TBtus!$B$3:$B$53&amp;Com_AllFuels_SEDS_2022_TBtus!$A$3:$A$53,0))),0,(index(Com_AllFuels_SEDS_2022_TBtus!$U$3:$U$53,match($A71&amp;W$65,Com_AllFuels_SEDS_2022_TBtus!$B$3:$B$53&amp;Com_AllFuels_SEDS_2022_TBtus!$A$3:$A$53,0))))</f>
        <v>0</v>
      </c>
      <c r="X84" s="74">
        <f t="array" ref="X84">IF(ISERROR(index(Com_AllFuels_SEDS_2022_TBtus!$U$3:$U$53,match($A71&amp;X$65,Com_AllFuels_SEDS_2022_TBtus!$B$3:$B$53&amp;Com_AllFuels_SEDS_2022_TBtus!$A$3:$A$53,0))),0,(index(Com_AllFuels_SEDS_2022_TBtus!$U$3:$U$53,match($A71&amp;X$65,Com_AllFuels_SEDS_2022_TBtus!$B$3:$B$53&amp;Com_AllFuels_SEDS_2022_TBtus!$A$3:$A$53,0))))</f>
        <v>0</v>
      </c>
      <c r="Y84" s="74">
        <f t="array" ref="Y84">IF(ISERROR(index(Com_AllFuels_SEDS_2022_TBtus!$U$3:$U$53,match($A71&amp;Y$65,Com_AllFuels_SEDS_2022_TBtus!$B$3:$B$53&amp;Com_AllFuels_SEDS_2022_TBtus!$A$3:$A$53,0))),0,(index(Com_AllFuels_SEDS_2022_TBtus!$U$3:$U$53,match($A71&amp;Y$65,Com_AllFuels_SEDS_2022_TBtus!$B$3:$B$53&amp;Com_AllFuels_SEDS_2022_TBtus!$A$3:$A$53,0))))</f>
        <v>0</v>
      </c>
      <c r="Z84" s="74">
        <f t="array" ref="Z84">IF(ISERROR(index(Com_AllFuels_SEDS_2022_TBtus!$U$3:$U$53,match($A71&amp;Z$65,Com_AllFuels_SEDS_2022_TBtus!$B$3:$B$53&amp;Com_AllFuels_SEDS_2022_TBtus!$A$3:$A$53,0))),0,(index(Com_AllFuels_SEDS_2022_TBtus!$U$3:$U$53,match($A71&amp;Z$65,Com_AllFuels_SEDS_2022_TBtus!$B$3:$B$53&amp;Com_AllFuels_SEDS_2022_TBtus!$A$3:$A$53,0))))</f>
        <v>48.8</v>
      </c>
      <c r="AA84" s="74">
        <f t="array" ref="AA84">IF(ISERROR(index(Com_AllFuels_SEDS_2022_TBtus!$U$3:$U$53,match($A71&amp;AA$65,Com_AllFuels_SEDS_2022_TBtus!$B$3:$B$53&amp;Com_AllFuels_SEDS_2022_TBtus!$A$3:$A$53,0))),0,(index(Com_AllFuels_SEDS_2022_TBtus!$U$3:$U$53,match($A71&amp;AA$65,Com_AllFuels_SEDS_2022_TBtus!$B$3:$B$53&amp;Com_AllFuels_SEDS_2022_TBtus!$A$3:$A$53,0))))</f>
        <v>0</v>
      </c>
      <c r="AB84" s="74">
        <f t="array" ref="AB84">IF(ISERROR(index(Com_AllFuels_SEDS_2022_TBtus!$U$3:$U$53,match($A71&amp;AB$65,Com_AllFuels_SEDS_2022_TBtus!$B$3:$B$53&amp;Com_AllFuels_SEDS_2022_TBtus!$A$3:$A$53,0))),0,(index(Com_AllFuels_SEDS_2022_TBtus!$U$3:$U$53,match($A71&amp;AB$65,Com_AllFuels_SEDS_2022_TBtus!$B$3:$B$53&amp;Com_AllFuels_SEDS_2022_TBtus!$A$3:$A$53,0))))</f>
        <v>0</v>
      </c>
      <c r="AC84" s="74">
        <f t="array" ref="AC84">IF(ISERROR(index(Com_AllFuels_SEDS_2022_TBtus!$U$3:$U$53,match($A71&amp;AC$65,Com_AllFuels_SEDS_2022_TBtus!$B$3:$B$53&amp;Com_AllFuels_SEDS_2022_TBtus!$A$3:$A$53,0))),0,(index(Com_AllFuels_SEDS_2022_TBtus!$U$3:$U$53,match($A71&amp;AC$65,Com_AllFuels_SEDS_2022_TBtus!$B$3:$B$53&amp;Com_AllFuels_SEDS_2022_TBtus!$A$3:$A$53,0))))</f>
        <v>0</v>
      </c>
      <c r="AD84" s="74">
        <f t="array" ref="AD84">IF(ISERROR(index(Com_AllFuels_SEDS_2022_TBtus!$U$3:$U$53,match($A71&amp;AD$65,Com_AllFuels_SEDS_2022_TBtus!$B$3:$B$53&amp;Com_AllFuels_SEDS_2022_TBtus!$A$3:$A$53,0))),0,(index(Com_AllFuels_SEDS_2022_TBtus!$U$3:$U$53,match($A71&amp;AD$65,Com_AllFuels_SEDS_2022_TBtus!$B$3:$B$53&amp;Com_AllFuels_SEDS_2022_TBtus!$A$3:$A$53,0))))</f>
        <v>0</v>
      </c>
      <c r="AE84" s="74">
        <f t="array" ref="AE84">IF(ISERROR(index(Com_AllFuels_SEDS_2022_TBtus!$U$3:$U$53,match($A71&amp;AE$65,Com_AllFuels_SEDS_2022_TBtus!$B$3:$B$53&amp;Com_AllFuels_SEDS_2022_TBtus!$A$3:$A$53,0))),0,(index(Com_AllFuels_SEDS_2022_TBtus!$U$3:$U$53,match($A71&amp;AE$65,Com_AllFuels_SEDS_2022_TBtus!$B$3:$B$53&amp;Com_AllFuels_SEDS_2022_TBtus!$A$3:$A$53,0))))</f>
        <v>0</v>
      </c>
      <c r="AF84" s="74">
        <f t="array" ref="AF84">IF(ISERROR(index(Com_AllFuels_SEDS_2022_TBtus!$U$3:$U$53,match($A71&amp;AF$65,Com_AllFuels_SEDS_2022_TBtus!$B$3:$B$53&amp;Com_AllFuels_SEDS_2022_TBtus!$A$3:$A$53,0))),0,(index(Com_AllFuels_SEDS_2022_TBtus!$U$3:$U$53,match($A71&amp;AF$65,Com_AllFuels_SEDS_2022_TBtus!$B$3:$B$53&amp;Com_AllFuels_SEDS_2022_TBtus!$A$3:$A$53,0))))</f>
        <v>0</v>
      </c>
      <c r="AG84" s="74">
        <f t="array" ref="AG84">IF(ISERROR(index(Com_AllFuels_SEDS_2022_TBtus!$U$3:$U$53,match($A71&amp;AG$65,Com_AllFuels_SEDS_2022_TBtus!$B$3:$B$53&amp;Com_AllFuels_SEDS_2022_TBtus!$A$3:$A$53,0))),0,(index(Com_AllFuels_SEDS_2022_TBtus!$U$3:$U$53,match($A71&amp;AG$65,Com_AllFuels_SEDS_2022_TBtus!$B$3:$B$53&amp;Com_AllFuels_SEDS_2022_TBtus!$A$3:$A$53,0))))</f>
        <v>0</v>
      </c>
      <c r="AH84" s="74">
        <f t="array" ref="AH84">IF(ISERROR(index(Com_AllFuels_SEDS_2022_TBtus!$U$3:$U$53,match($A71&amp;AH$65,Com_AllFuels_SEDS_2022_TBtus!$B$3:$B$53&amp;Com_AllFuels_SEDS_2022_TBtus!$A$3:$A$53,0))),0,(index(Com_AllFuels_SEDS_2022_TBtus!$U$3:$U$53,match($A71&amp;AH$65,Com_AllFuels_SEDS_2022_TBtus!$B$3:$B$53&amp;Com_AllFuels_SEDS_2022_TBtus!$A$3:$A$53,0))))</f>
        <v>0</v>
      </c>
      <c r="AI84" s="74">
        <f t="array" ref="AI84">IF(ISERROR(index(Com_AllFuels_SEDS_2022_TBtus!$U$3:$U$53,match($A71&amp;AI$65,Com_AllFuels_SEDS_2022_TBtus!$B$3:$B$53&amp;Com_AllFuels_SEDS_2022_TBtus!$A$3:$A$53,0))),0,(index(Com_AllFuels_SEDS_2022_TBtus!$U$3:$U$53,match($A71&amp;AI$65,Com_AllFuels_SEDS_2022_TBtus!$B$3:$B$53&amp;Com_AllFuels_SEDS_2022_TBtus!$A$3:$A$53,0))))</f>
        <v>0</v>
      </c>
      <c r="AJ84" s="74">
        <f t="array" ref="AJ84">IF(ISERROR(index(Com_AllFuels_SEDS_2022_TBtus!$U$3:$U$53,match($A71&amp;AJ$65,Com_AllFuels_SEDS_2022_TBtus!$B$3:$B$53&amp;Com_AllFuels_SEDS_2022_TBtus!$A$3:$A$53,0))),0,(index(Com_AllFuels_SEDS_2022_TBtus!$U$3:$U$53,match($A71&amp;AJ$65,Com_AllFuels_SEDS_2022_TBtus!$B$3:$B$53&amp;Com_AllFuels_SEDS_2022_TBtus!$A$3:$A$53,0))))</f>
        <v>0</v>
      </c>
      <c r="AK84" s="74">
        <f t="array" ref="AK84">IF(ISERROR(index(Com_AllFuels_SEDS_2022_TBtus!$U$3:$U$53,match($A71&amp;AK$65,Com_AllFuels_SEDS_2022_TBtus!$B$3:$B$53&amp;Com_AllFuels_SEDS_2022_TBtus!$A$3:$A$53,0))),0,(index(Com_AllFuels_SEDS_2022_TBtus!$U$3:$U$53,match($A71&amp;AK$65,Com_AllFuels_SEDS_2022_TBtus!$B$3:$B$53&amp;Com_AllFuels_SEDS_2022_TBtus!$A$3:$A$53,0))))</f>
        <v>0</v>
      </c>
      <c r="AL84" s="74">
        <f t="array" ref="AL84">IF(ISERROR(index(Com_AllFuels_SEDS_2022_TBtus!$U$3:$U$53,match($A71&amp;AL$65,Com_AllFuels_SEDS_2022_TBtus!$B$3:$B$53&amp;Com_AllFuels_SEDS_2022_TBtus!$A$3:$A$53,0))),0,(index(Com_AllFuels_SEDS_2022_TBtus!$U$3:$U$53,match($A71&amp;AL$65,Com_AllFuels_SEDS_2022_TBtus!$B$3:$B$53&amp;Com_AllFuels_SEDS_2022_TBtus!$A$3:$A$53,0))))</f>
        <v>0</v>
      </c>
      <c r="AM84" s="74">
        <f t="array" ref="AM84">IF(ISERROR(index(Com_AllFuels_SEDS_2022_TBtus!$U$3:$U$53,match($A71&amp;AM$65,Com_AllFuels_SEDS_2022_TBtus!$B$3:$B$53&amp;Com_AllFuels_SEDS_2022_TBtus!$A$3:$A$53,0))),0,(index(Com_AllFuels_SEDS_2022_TBtus!$U$3:$U$53,match($A71&amp;AM$65,Com_AllFuels_SEDS_2022_TBtus!$B$3:$B$53&amp;Com_AllFuels_SEDS_2022_TBtus!$A$3:$A$53,0))))</f>
        <v>0</v>
      </c>
      <c r="AN84" s="74">
        <f t="array" ref="AN84">IF(ISERROR(index(Com_AllFuels_SEDS_2022_TBtus!$U$3:$U$53,match($A71&amp;AN$65,Com_AllFuels_SEDS_2022_TBtus!$B$3:$B$53&amp;Com_AllFuels_SEDS_2022_TBtus!$A$3:$A$53,0))),0,(index(Com_AllFuels_SEDS_2022_TBtus!$U$3:$U$53,match($A71&amp;AN$65,Com_AllFuels_SEDS_2022_TBtus!$B$3:$B$53&amp;Com_AllFuels_SEDS_2022_TBtus!$A$3:$A$53,0))))</f>
        <v>0</v>
      </c>
      <c r="AO84" s="74">
        <f t="array" ref="AO84">IF(ISERROR(index(Com_AllFuels_SEDS_2022_TBtus!$U$3:$U$53,match($A71&amp;AO$65,Com_AllFuels_SEDS_2022_TBtus!$B$3:$B$53&amp;Com_AllFuels_SEDS_2022_TBtus!$A$3:$A$53,0))),0,(index(Com_AllFuels_SEDS_2022_TBtus!$U$3:$U$53,match($A71&amp;AO$65,Com_AllFuels_SEDS_2022_TBtus!$B$3:$B$53&amp;Com_AllFuels_SEDS_2022_TBtus!$A$3:$A$53,0))))</f>
        <v>0</v>
      </c>
      <c r="AP84" s="74">
        <f t="array" ref="AP84">IF(ISERROR(index(Com_AllFuels_SEDS_2022_TBtus!$U$3:$U$53,match($A71&amp;AP$65,Com_AllFuels_SEDS_2022_TBtus!$B$3:$B$53&amp;Com_AllFuels_SEDS_2022_TBtus!$A$3:$A$53,0))),0,(index(Com_AllFuels_SEDS_2022_TBtus!$U$3:$U$53,match($A71&amp;AP$65,Com_AllFuels_SEDS_2022_TBtus!$B$3:$B$53&amp;Com_AllFuels_SEDS_2022_TBtus!$A$3:$A$53,0))))</f>
        <v>0</v>
      </c>
      <c r="AQ84" s="74">
        <f t="array" ref="AQ84">IF(ISERROR(index(Com_AllFuels_SEDS_2022_TBtus!$U$3:$U$53,match($A71&amp;AQ$65,Com_AllFuels_SEDS_2022_TBtus!$B$3:$B$53&amp;Com_AllFuels_SEDS_2022_TBtus!$A$3:$A$53,0))),0,(index(Com_AllFuels_SEDS_2022_TBtus!$U$3:$U$53,match($A71&amp;AQ$65,Com_AllFuels_SEDS_2022_TBtus!$B$3:$B$53&amp;Com_AllFuels_SEDS_2022_TBtus!$A$3:$A$53,0))))</f>
        <v>0</v>
      </c>
      <c r="AR84" s="74">
        <f t="array" ref="AR84">IF(ISERROR(index(Com_AllFuels_SEDS_2022_TBtus!$U$3:$U$53,match($A71&amp;AR$65,Com_AllFuels_SEDS_2022_TBtus!$B$3:$B$53&amp;Com_AllFuels_SEDS_2022_TBtus!$A$3:$A$53,0))),0,(index(Com_AllFuels_SEDS_2022_TBtus!$U$3:$U$53,match($A71&amp;AR$65,Com_AllFuels_SEDS_2022_TBtus!$B$3:$B$53&amp;Com_AllFuels_SEDS_2022_TBtus!$A$3:$A$53,0))))</f>
        <v>122.1</v>
      </c>
      <c r="AS84" s="74">
        <f t="array" ref="AS84">IF(ISERROR(index(Com_AllFuels_SEDS_2022_TBtus!$U$3:$U$53,match($A71&amp;AS$65,Com_AllFuels_SEDS_2022_TBtus!$B$3:$B$53&amp;Com_AllFuels_SEDS_2022_TBtus!$A$3:$A$53,0))),0,(index(Com_AllFuels_SEDS_2022_TBtus!$U$3:$U$53,match($A71&amp;AS$65,Com_AllFuels_SEDS_2022_TBtus!$B$3:$B$53&amp;Com_AllFuels_SEDS_2022_TBtus!$A$3:$A$53,0))))</f>
        <v>0</v>
      </c>
      <c r="AT84" s="74">
        <f t="array" ref="AT84">IF(ISERROR(index(Com_AllFuels_SEDS_2022_TBtus!$U$3:$U$53,match($A71&amp;AT$65,Com_AllFuels_SEDS_2022_TBtus!$B$3:$B$53&amp;Com_AllFuels_SEDS_2022_TBtus!$A$3:$A$53,0))),0,(index(Com_AllFuels_SEDS_2022_TBtus!$U$3:$U$53,match($A71&amp;AT$65,Com_AllFuels_SEDS_2022_TBtus!$B$3:$B$53&amp;Com_AllFuels_SEDS_2022_TBtus!$A$3:$A$53,0))))</f>
        <v>0</v>
      </c>
      <c r="AU84" s="74">
        <f t="array" ref="AU84">IF(ISERROR(index(Com_AllFuels_SEDS_2022_TBtus!$U$3:$U$53,match($A71&amp;AU$65,Com_AllFuels_SEDS_2022_TBtus!$B$3:$B$53&amp;Com_AllFuels_SEDS_2022_TBtus!$A$3:$A$53,0))),0,(index(Com_AllFuels_SEDS_2022_TBtus!$U$3:$U$53,match($A71&amp;AU$65,Com_AllFuels_SEDS_2022_TBtus!$B$3:$B$53&amp;Com_AllFuels_SEDS_2022_TBtus!$A$3:$A$53,0))))</f>
        <v>0</v>
      </c>
      <c r="AV84" s="74">
        <f t="array" ref="AV84">IF(ISERROR(index(Com_AllFuels_SEDS_2022_TBtus!$U$3:$U$53,match($A71&amp;AV$65,Com_AllFuels_SEDS_2022_TBtus!$B$3:$B$53&amp;Com_AllFuels_SEDS_2022_TBtus!$A$3:$A$53,0))),0,(index(Com_AllFuels_SEDS_2022_TBtus!$U$3:$U$53,match($A71&amp;AV$65,Com_AllFuels_SEDS_2022_TBtus!$B$3:$B$53&amp;Com_AllFuels_SEDS_2022_TBtus!$A$3:$A$53,0))))</f>
        <v>0</v>
      </c>
      <c r="AW84" s="74">
        <f t="array" ref="AW84">IF(ISERROR(index(Com_AllFuels_SEDS_2022_TBtus!$U$3:$U$53,match($A71&amp;AW$65,Com_AllFuels_SEDS_2022_TBtus!$B$3:$B$53&amp;Com_AllFuels_SEDS_2022_TBtus!$A$3:$A$53,0))),0,(index(Com_AllFuels_SEDS_2022_TBtus!$U$3:$U$53,match($A71&amp;AW$65,Com_AllFuels_SEDS_2022_TBtus!$B$3:$B$53&amp;Com_AllFuels_SEDS_2022_TBtus!$A$3:$A$53,0))))</f>
        <v>0</v>
      </c>
      <c r="AX84" s="74">
        <f t="array" ref="AX84">IF(ISERROR(index(Com_AllFuels_SEDS_2022_TBtus!$U$3:$U$53,match($A71&amp;AX$65,Com_AllFuels_SEDS_2022_TBtus!$B$3:$B$53&amp;Com_AllFuels_SEDS_2022_TBtus!$A$3:$A$53,0))),0,(index(Com_AllFuels_SEDS_2022_TBtus!$U$3:$U$53,match($A71&amp;AX$65,Com_AllFuels_SEDS_2022_TBtus!$B$3:$B$53&amp;Com_AllFuels_SEDS_2022_TBtus!$A$3:$A$53,0))))</f>
        <v>0</v>
      </c>
      <c r="AY84" s="74">
        <f t="array" ref="AY84">IF(ISERROR(index(Com_AllFuels_SEDS_2022_TBtus!$U$3:$U$53,match($A71&amp;AY$65,Com_AllFuels_SEDS_2022_TBtus!$B$3:$B$53&amp;Com_AllFuels_SEDS_2022_TBtus!$A$3:$A$53,0))),0,(index(Com_AllFuels_SEDS_2022_TBtus!$U$3:$U$53,match($A71&amp;AY$65,Com_AllFuels_SEDS_2022_TBtus!$B$3:$B$53&amp;Com_AllFuels_SEDS_2022_TBtus!$A$3:$A$53,0))))</f>
        <v>0</v>
      </c>
      <c r="AZ84" s="74">
        <f t="array" ref="AZ84">IF(ISERROR(index(Com_AllFuels_SEDS_2022_TBtus!$U$3:$U$53,match($A71&amp;AZ$65,Com_AllFuels_SEDS_2022_TBtus!$B$3:$B$53&amp;Com_AllFuels_SEDS_2022_TBtus!$A$3:$A$53,0))),0,(index(Com_AllFuels_SEDS_2022_TBtus!$U$3:$U$53,match($A71&amp;AZ$65,Com_AllFuels_SEDS_2022_TBtus!$B$3:$B$53&amp;Com_AllFuels_SEDS_2022_TBtus!$A$3:$A$53,0))))</f>
        <v>0</v>
      </c>
      <c r="BA84" s="74">
        <f t="shared" si="3"/>
        <v>315.5</v>
      </c>
    </row>
    <row r="85" ht="15.75" customHeight="1">
      <c r="A85" s="74">
        <v>7.0</v>
      </c>
      <c r="B85" s="74">
        <f t="array" ref="B85">IF(ISERROR(index(Com_AllFuels_SEDS_2022_TBtus!$U$3:$U$53,match($A72&amp;B$65,Com_AllFuels_SEDS_2022_TBtus!$B$3:$B$53&amp;Com_AllFuels_SEDS_2022_TBtus!$A$3:$A$53,0))),0,(index(Com_AllFuels_SEDS_2022_TBtus!$U$3:$U$53,match($A72&amp;B$65,Com_AllFuels_SEDS_2022_TBtus!$B$3:$B$53&amp;Com_AllFuels_SEDS_2022_TBtus!$A$3:$A$53,0))))</f>
        <v>0</v>
      </c>
      <c r="C85" s="74">
        <f t="array" ref="C85">IF(ISERROR(index(Com_AllFuels_SEDS_2022_TBtus!$U$3:$U$53,match($A72&amp;C$65,Com_AllFuels_SEDS_2022_TBtus!$B$3:$B$53&amp;Com_AllFuels_SEDS_2022_TBtus!$A$3:$A$53,0))),0,(index(Com_AllFuels_SEDS_2022_TBtus!$U$3:$U$53,match($A72&amp;C$65,Com_AllFuels_SEDS_2022_TBtus!$B$3:$B$53&amp;Com_AllFuels_SEDS_2022_TBtus!$A$3:$A$53,0))))</f>
        <v>0</v>
      </c>
      <c r="D85" s="74">
        <f t="array" ref="D85">IF(ISERROR(index(Com_AllFuels_SEDS_2022_TBtus!$U$3:$U$53,match($A72&amp;D$65,Com_AllFuels_SEDS_2022_TBtus!$B$3:$B$53&amp;Com_AllFuels_SEDS_2022_TBtus!$A$3:$A$53,0))),0,(index(Com_AllFuels_SEDS_2022_TBtus!$U$3:$U$53,match($A72&amp;D$65,Com_AllFuels_SEDS_2022_TBtus!$B$3:$B$53&amp;Com_AllFuels_SEDS_2022_TBtus!$A$3:$A$53,0))))</f>
        <v>0</v>
      </c>
      <c r="E85" s="74">
        <f t="array" ref="E85">IF(ISERROR(index(Com_AllFuels_SEDS_2022_TBtus!$U$3:$U$53,match($A72&amp;E$65,Com_AllFuels_SEDS_2022_TBtus!$B$3:$B$53&amp;Com_AllFuels_SEDS_2022_TBtus!$A$3:$A$53,0))),0,(index(Com_AllFuels_SEDS_2022_TBtus!$U$3:$U$53,match($A72&amp;E$65,Com_AllFuels_SEDS_2022_TBtus!$B$3:$B$53&amp;Com_AllFuels_SEDS_2022_TBtus!$A$3:$A$53,0))))</f>
        <v>40.5</v>
      </c>
      <c r="F85" s="74">
        <f t="array" ref="F85">IF(ISERROR(index(Com_AllFuels_SEDS_2022_TBtus!$U$3:$U$53,match($A72&amp;F$65,Com_AllFuels_SEDS_2022_TBtus!$B$3:$B$53&amp;Com_AllFuels_SEDS_2022_TBtus!$A$3:$A$53,0))),0,(index(Com_AllFuels_SEDS_2022_TBtus!$U$3:$U$53,match($A72&amp;F$65,Com_AllFuels_SEDS_2022_TBtus!$B$3:$B$53&amp;Com_AllFuels_SEDS_2022_TBtus!$A$3:$A$53,0))))</f>
        <v>0</v>
      </c>
      <c r="G85" s="74">
        <f t="array" ref="G85">IF(ISERROR(index(Com_AllFuels_SEDS_2022_TBtus!$U$3:$U$53,match($A72&amp;G$65,Com_AllFuels_SEDS_2022_TBtus!$B$3:$B$53&amp;Com_AllFuels_SEDS_2022_TBtus!$A$3:$A$53,0))),0,(index(Com_AllFuels_SEDS_2022_TBtus!$U$3:$U$53,match($A72&amp;G$65,Com_AllFuels_SEDS_2022_TBtus!$B$3:$B$53&amp;Com_AllFuels_SEDS_2022_TBtus!$A$3:$A$53,0))))</f>
        <v>0</v>
      </c>
      <c r="H85" s="74">
        <f t="array" ref="H85">IF(ISERROR(index(Com_AllFuels_SEDS_2022_TBtus!$U$3:$U$53,match($A72&amp;H$65,Com_AllFuels_SEDS_2022_TBtus!$B$3:$B$53&amp;Com_AllFuels_SEDS_2022_TBtus!$A$3:$A$53,0))),0,(index(Com_AllFuels_SEDS_2022_TBtus!$U$3:$U$53,match($A72&amp;H$65,Com_AllFuels_SEDS_2022_TBtus!$B$3:$B$53&amp;Com_AllFuels_SEDS_2022_TBtus!$A$3:$A$53,0))))</f>
        <v>0</v>
      </c>
      <c r="I85" s="74">
        <f t="array" ref="I85">IF(ISERROR(index(Com_AllFuels_SEDS_2022_TBtus!$U$3:$U$53,match($A72&amp;I$65,Com_AllFuels_SEDS_2022_TBtus!$B$3:$B$53&amp;Com_AllFuels_SEDS_2022_TBtus!$A$3:$A$53,0))),0,(index(Com_AllFuels_SEDS_2022_TBtus!$U$3:$U$53,match($A72&amp;I$65,Com_AllFuels_SEDS_2022_TBtus!$B$3:$B$53&amp;Com_AllFuels_SEDS_2022_TBtus!$A$3:$A$53,0))))</f>
        <v>0</v>
      </c>
      <c r="J85" s="74">
        <f t="array" ref="J85">IF(ISERROR(index(Com_AllFuels_SEDS_2022_TBtus!$U$3:$U$53,match($A72&amp;J$65,Com_AllFuels_SEDS_2022_TBtus!$B$3:$B$53&amp;Com_AllFuels_SEDS_2022_TBtus!$A$3:$A$53,0))),0,(index(Com_AllFuels_SEDS_2022_TBtus!$U$3:$U$53,match($A72&amp;J$65,Com_AllFuels_SEDS_2022_TBtus!$B$3:$B$53&amp;Com_AllFuels_SEDS_2022_TBtus!$A$3:$A$53,0))))</f>
        <v>0</v>
      </c>
      <c r="K85" s="74">
        <f t="array" ref="K85">IF(ISERROR(index(Com_AllFuels_SEDS_2022_TBtus!$U$3:$U$53,match($A72&amp;K$65,Com_AllFuels_SEDS_2022_TBtus!$B$3:$B$53&amp;Com_AllFuels_SEDS_2022_TBtus!$A$3:$A$53,0))),0,(index(Com_AllFuels_SEDS_2022_TBtus!$U$3:$U$53,match($A72&amp;K$65,Com_AllFuels_SEDS_2022_TBtus!$B$3:$B$53&amp;Com_AllFuels_SEDS_2022_TBtus!$A$3:$A$53,0))))</f>
        <v>0</v>
      </c>
      <c r="L85" s="74">
        <f t="array" ref="L85">IF(ISERROR(index(Com_AllFuels_SEDS_2022_TBtus!$U$3:$U$53,match($A72&amp;L$65,Com_AllFuels_SEDS_2022_TBtus!$B$3:$B$53&amp;Com_AllFuels_SEDS_2022_TBtus!$A$3:$A$53,0))),0,(index(Com_AllFuels_SEDS_2022_TBtus!$U$3:$U$53,match($A72&amp;L$65,Com_AllFuels_SEDS_2022_TBtus!$B$3:$B$53&amp;Com_AllFuels_SEDS_2022_TBtus!$A$3:$A$53,0))))</f>
        <v>0</v>
      </c>
      <c r="M85" s="74">
        <f t="array" ref="M85">IF(ISERROR(index(Com_AllFuels_SEDS_2022_TBtus!$U$3:$U$53,match($A72&amp;M$65,Com_AllFuels_SEDS_2022_TBtus!$B$3:$B$53&amp;Com_AllFuels_SEDS_2022_TBtus!$A$3:$A$53,0))),0,(index(Com_AllFuels_SEDS_2022_TBtus!$U$3:$U$53,match($A72&amp;M$65,Com_AllFuels_SEDS_2022_TBtus!$B$3:$B$53&amp;Com_AllFuels_SEDS_2022_TBtus!$A$3:$A$53,0))))</f>
        <v>0</v>
      </c>
      <c r="N85" s="74">
        <f t="array" ref="N85">IF(ISERROR(index(Com_AllFuels_SEDS_2022_TBtus!$U$3:$U$53,match($A72&amp;N$65,Com_AllFuels_SEDS_2022_TBtus!$B$3:$B$53&amp;Com_AllFuels_SEDS_2022_TBtus!$A$3:$A$53,0))),0,(index(Com_AllFuels_SEDS_2022_TBtus!$U$3:$U$53,match($A72&amp;N$65,Com_AllFuels_SEDS_2022_TBtus!$B$3:$B$53&amp;Com_AllFuels_SEDS_2022_TBtus!$A$3:$A$53,0))))</f>
        <v>0</v>
      </c>
      <c r="O85" s="74">
        <f t="array" ref="O85">IF(ISERROR(index(Com_AllFuels_SEDS_2022_TBtus!$U$3:$U$53,match($A72&amp;O$65,Com_AllFuels_SEDS_2022_TBtus!$B$3:$B$53&amp;Com_AllFuels_SEDS_2022_TBtus!$A$3:$A$53,0))),0,(index(Com_AllFuels_SEDS_2022_TBtus!$U$3:$U$53,match($A72&amp;O$65,Com_AllFuels_SEDS_2022_TBtus!$B$3:$B$53&amp;Com_AllFuels_SEDS_2022_TBtus!$A$3:$A$53,0))))</f>
        <v>0</v>
      </c>
      <c r="P85" s="74">
        <f t="array" ref="P85">IF(ISERROR(index(Com_AllFuels_SEDS_2022_TBtus!$U$3:$U$53,match($A72&amp;P$65,Com_AllFuels_SEDS_2022_TBtus!$B$3:$B$53&amp;Com_AllFuels_SEDS_2022_TBtus!$A$3:$A$53,0))),0,(index(Com_AllFuels_SEDS_2022_TBtus!$U$3:$U$53,match($A72&amp;P$65,Com_AllFuels_SEDS_2022_TBtus!$B$3:$B$53&amp;Com_AllFuels_SEDS_2022_TBtus!$A$3:$A$53,0))))</f>
        <v>0</v>
      </c>
      <c r="Q85" s="74">
        <f t="array" ref="Q85">IF(ISERROR(index(Com_AllFuels_SEDS_2022_TBtus!$U$3:$U$53,match($A72&amp;Q$65,Com_AllFuels_SEDS_2022_TBtus!$B$3:$B$53&amp;Com_AllFuels_SEDS_2022_TBtus!$A$3:$A$53,0))),0,(index(Com_AllFuels_SEDS_2022_TBtus!$U$3:$U$53,match($A72&amp;Q$65,Com_AllFuels_SEDS_2022_TBtus!$B$3:$B$53&amp;Com_AllFuels_SEDS_2022_TBtus!$A$3:$A$53,0))))</f>
        <v>0</v>
      </c>
      <c r="R85" s="74">
        <f t="array" ref="R85">IF(ISERROR(index(Com_AllFuels_SEDS_2022_TBtus!$U$3:$U$53,match($A72&amp;R$65,Com_AllFuels_SEDS_2022_TBtus!$B$3:$B$53&amp;Com_AllFuels_SEDS_2022_TBtus!$A$3:$A$53,0))),0,(index(Com_AllFuels_SEDS_2022_TBtus!$U$3:$U$53,match($A72&amp;R$65,Com_AllFuels_SEDS_2022_TBtus!$B$3:$B$53&amp;Com_AllFuels_SEDS_2022_TBtus!$A$3:$A$53,0))))</f>
        <v>0</v>
      </c>
      <c r="S85" s="74">
        <f t="array" ref="S85">IF(ISERROR(index(Com_AllFuels_SEDS_2022_TBtus!$U$3:$U$53,match($A72&amp;S$65,Com_AllFuels_SEDS_2022_TBtus!$B$3:$B$53&amp;Com_AllFuels_SEDS_2022_TBtus!$A$3:$A$53,0))),0,(index(Com_AllFuels_SEDS_2022_TBtus!$U$3:$U$53,match($A72&amp;S$65,Com_AllFuels_SEDS_2022_TBtus!$B$3:$B$53&amp;Com_AllFuels_SEDS_2022_TBtus!$A$3:$A$53,0))))</f>
        <v>0</v>
      </c>
      <c r="T85" s="74">
        <f t="array" ref="T85">IF(ISERROR(index(Com_AllFuels_SEDS_2022_TBtus!$U$3:$U$53,match($A72&amp;T$65,Com_AllFuels_SEDS_2022_TBtus!$B$3:$B$53&amp;Com_AllFuels_SEDS_2022_TBtus!$A$3:$A$53,0))),0,(index(Com_AllFuels_SEDS_2022_TBtus!$U$3:$U$53,match($A72&amp;T$65,Com_AllFuels_SEDS_2022_TBtus!$B$3:$B$53&amp;Com_AllFuels_SEDS_2022_TBtus!$A$3:$A$53,0))))</f>
        <v>81.3</v>
      </c>
      <c r="U85" s="74">
        <f t="array" ref="U85">IF(ISERROR(index(Com_AllFuels_SEDS_2022_TBtus!$U$3:$U$53,match($A72&amp;U$65,Com_AllFuels_SEDS_2022_TBtus!$B$3:$B$53&amp;Com_AllFuels_SEDS_2022_TBtus!$A$3:$A$53,0))),0,(index(Com_AllFuels_SEDS_2022_TBtus!$U$3:$U$53,match($A72&amp;U$65,Com_AllFuels_SEDS_2022_TBtus!$B$3:$B$53&amp;Com_AllFuels_SEDS_2022_TBtus!$A$3:$A$53,0))))</f>
        <v>0</v>
      </c>
      <c r="V85" s="74">
        <f t="array" ref="V85">IF(ISERROR(index(Com_AllFuels_SEDS_2022_TBtus!$U$3:$U$53,match($A72&amp;V$65,Com_AllFuels_SEDS_2022_TBtus!$B$3:$B$53&amp;Com_AllFuels_SEDS_2022_TBtus!$A$3:$A$53,0))),0,(index(Com_AllFuels_SEDS_2022_TBtus!$U$3:$U$53,match($A72&amp;V$65,Com_AllFuels_SEDS_2022_TBtus!$B$3:$B$53&amp;Com_AllFuels_SEDS_2022_TBtus!$A$3:$A$53,0))))</f>
        <v>0</v>
      </c>
      <c r="W85" s="74">
        <f t="array" ref="W85">IF(ISERROR(index(Com_AllFuels_SEDS_2022_TBtus!$U$3:$U$53,match($A72&amp;W$65,Com_AllFuels_SEDS_2022_TBtus!$B$3:$B$53&amp;Com_AllFuels_SEDS_2022_TBtus!$A$3:$A$53,0))),0,(index(Com_AllFuels_SEDS_2022_TBtus!$U$3:$U$53,match($A72&amp;W$65,Com_AllFuels_SEDS_2022_TBtus!$B$3:$B$53&amp;Com_AllFuels_SEDS_2022_TBtus!$A$3:$A$53,0))))</f>
        <v>0</v>
      </c>
      <c r="X85" s="74">
        <f t="array" ref="X85">IF(ISERROR(index(Com_AllFuels_SEDS_2022_TBtus!$U$3:$U$53,match($A72&amp;X$65,Com_AllFuels_SEDS_2022_TBtus!$B$3:$B$53&amp;Com_AllFuels_SEDS_2022_TBtus!$A$3:$A$53,0))),0,(index(Com_AllFuels_SEDS_2022_TBtus!$U$3:$U$53,match($A72&amp;X$65,Com_AllFuels_SEDS_2022_TBtus!$B$3:$B$53&amp;Com_AllFuels_SEDS_2022_TBtus!$A$3:$A$53,0))))</f>
        <v>0</v>
      </c>
      <c r="Y85" s="74">
        <f t="array" ref="Y85">IF(ISERROR(index(Com_AllFuels_SEDS_2022_TBtus!$U$3:$U$53,match($A72&amp;Y$65,Com_AllFuels_SEDS_2022_TBtus!$B$3:$B$53&amp;Com_AllFuels_SEDS_2022_TBtus!$A$3:$A$53,0))),0,(index(Com_AllFuels_SEDS_2022_TBtus!$U$3:$U$53,match($A72&amp;Y$65,Com_AllFuels_SEDS_2022_TBtus!$B$3:$B$53&amp;Com_AllFuels_SEDS_2022_TBtus!$A$3:$A$53,0))))</f>
        <v>0</v>
      </c>
      <c r="Z85" s="74">
        <f t="array" ref="Z85">IF(ISERROR(index(Com_AllFuels_SEDS_2022_TBtus!$U$3:$U$53,match($A72&amp;Z$65,Com_AllFuels_SEDS_2022_TBtus!$B$3:$B$53&amp;Com_AllFuels_SEDS_2022_TBtus!$A$3:$A$53,0))),0,(index(Com_AllFuels_SEDS_2022_TBtus!$U$3:$U$53,match($A72&amp;Z$65,Com_AllFuels_SEDS_2022_TBtus!$B$3:$B$53&amp;Com_AllFuels_SEDS_2022_TBtus!$A$3:$A$53,0))))</f>
        <v>0</v>
      </c>
      <c r="AA85" s="74">
        <f t="array" ref="AA85">IF(ISERROR(index(Com_AllFuels_SEDS_2022_TBtus!$U$3:$U$53,match($A72&amp;AA$65,Com_AllFuels_SEDS_2022_TBtus!$B$3:$B$53&amp;Com_AllFuels_SEDS_2022_TBtus!$A$3:$A$53,0))),0,(index(Com_AllFuels_SEDS_2022_TBtus!$U$3:$U$53,match($A72&amp;AA$65,Com_AllFuels_SEDS_2022_TBtus!$B$3:$B$53&amp;Com_AllFuels_SEDS_2022_TBtus!$A$3:$A$53,0))))</f>
        <v>0</v>
      </c>
      <c r="AB85" s="74">
        <f t="array" ref="AB85">IF(ISERROR(index(Com_AllFuels_SEDS_2022_TBtus!$U$3:$U$53,match($A72&amp;AB$65,Com_AllFuels_SEDS_2022_TBtus!$B$3:$B$53&amp;Com_AllFuels_SEDS_2022_TBtus!$A$3:$A$53,0))),0,(index(Com_AllFuels_SEDS_2022_TBtus!$U$3:$U$53,match($A72&amp;AB$65,Com_AllFuels_SEDS_2022_TBtus!$B$3:$B$53&amp;Com_AllFuels_SEDS_2022_TBtus!$A$3:$A$53,0))))</f>
        <v>0</v>
      </c>
      <c r="AC85" s="74">
        <f t="array" ref="AC85">IF(ISERROR(index(Com_AllFuels_SEDS_2022_TBtus!$U$3:$U$53,match($A72&amp;AC$65,Com_AllFuels_SEDS_2022_TBtus!$B$3:$B$53&amp;Com_AllFuels_SEDS_2022_TBtus!$A$3:$A$53,0))),0,(index(Com_AllFuels_SEDS_2022_TBtus!$U$3:$U$53,match($A72&amp;AC$65,Com_AllFuels_SEDS_2022_TBtus!$B$3:$B$53&amp;Com_AllFuels_SEDS_2022_TBtus!$A$3:$A$53,0))))</f>
        <v>0</v>
      </c>
      <c r="AD85" s="74">
        <f t="array" ref="AD85">IF(ISERROR(index(Com_AllFuels_SEDS_2022_TBtus!$U$3:$U$53,match($A72&amp;AD$65,Com_AllFuels_SEDS_2022_TBtus!$B$3:$B$53&amp;Com_AllFuels_SEDS_2022_TBtus!$A$3:$A$53,0))),0,(index(Com_AllFuels_SEDS_2022_TBtus!$U$3:$U$53,match($A72&amp;AD$65,Com_AllFuels_SEDS_2022_TBtus!$B$3:$B$53&amp;Com_AllFuels_SEDS_2022_TBtus!$A$3:$A$53,0))))</f>
        <v>0</v>
      </c>
      <c r="AE85" s="74">
        <f t="array" ref="AE85">IF(ISERROR(index(Com_AllFuels_SEDS_2022_TBtus!$U$3:$U$53,match($A72&amp;AE$65,Com_AllFuels_SEDS_2022_TBtus!$B$3:$B$53&amp;Com_AllFuels_SEDS_2022_TBtus!$A$3:$A$53,0))),0,(index(Com_AllFuels_SEDS_2022_TBtus!$U$3:$U$53,match($A72&amp;AE$65,Com_AllFuels_SEDS_2022_TBtus!$B$3:$B$53&amp;Com_AllFuels_SEDS_2022_TBtus!$A$3:$A$53,0))))</f>
        <v>0</v>
      </c>
      <c r="AF85" s="74">
        <f t="array" ref="AF85">IF(ISERROR(index(Com_AllFuels_SEDS_2022_TBtus!$U$3:$U$53,match($A72&amp;AF$65,Com_AllFuels_SEDS_2022_TBtus!$B$3:$B$53&amp;Com_AllFuels_SEDS_2022_TBtus!$A$3:$A$53,0))),0,(index(Com_AllFuels_SEDS_2022_TBtus!$U$3:$U$53,match($A72&amp;AF$65,Com_AllFuels_SEDS_2022_TBtus!$B$3:$B$53&amp;Com_AllFuels_SEDS_2022_TBtus!$A$3:$A$53,0))))</f>
        <v>0</v>
      </c>
      <c r="AG85" s="74">
        <f t="array" ref="AG85">IF(ISERROR(index(Com_AllFuels_SEDS_2022_TBtus!$U$3:$U$53,match($A72&amp;AG$65,Com_AllFuels_SEDS_2022_TBtus!$B$3:$B$53&amp;Com_AllFuels_SEDS_2022_TBtus!$A$3:$A$53,0))),0,(index(Com_AllFuels_SEDS_2022_TBtus!$U$3:$U$53,match($A72&amp;AG$65,Com_AllFuels_SEDS_2022_TBtus!$B$3:$B$53&amp;Com_AllFuels_SEDS_2022_TBtus!$A$3:$A$53,0))))</f>
        <v>0</v>
      </c>
      <c r="AH85" s="74">
        <f t="array" ref="AH85">IF(ISERROR(index(Com_AllFuels_SEDS_2022_TBtus!$U$3:$U$53,match($A72&amp;AH$65,Com_AllFuels_SEDS_2022_TBtus!$B$3:$B$53&amp;Com_AllFuels_SEDS_2022_TBtus!$A$3:$A$53,0))),0,(index(Com_AllFuels_SEDS_2022_TBtus!$U$3:$U$53,match($A72&amp;AH$65,Com_AllFuels_SEDS_2022_TBtus!$B$3:$B$53&amp;Com_AllFuels_SEDS_2022_TBtus!$A$3:$A$53,0))))</f>
        <v>0</v>
      </c>
      <c r="AI85" s="74">
        <f t="array" ref="AI85">IF(ISERROR(index(Com_AllFuels_SEDS_2022_TBtus!$U$3:$U$53,match($A72&amp;AI$65,Com_AllFuels_SEDS_2022_TBtus!$B$3:$B$53&amp;Com_AllFuels_SEDS_2022_TBtus!$A$3:$A$53,0))),0,(index(Com_AllFuels_SEDS_2022_TBtus!$U$3:$U$53,match($A72&amp;AI$65,Com_AllFuels_SEDS_2022_TBtus!$B$3:$B$53&amp;Com_AllFuels_SEDS_2022_TBtus!$A$3:$A$53,0))))</f>
        <v>0</v>
      </c>
      <c r="AJ85" s="74">
        <f t="array" ref="AJ85">IF(ISERROR(index(Com_AllFuels_SEDS_2022_TBtus!$U$3:$U$53,match($A72&amp;AJ$65,Com_AllFuels_SEDS_2022_TBtus!$B$3:$B$53&amp;Com_AllFuels_SEDS_2022_TBtus!$A$3:$A$53,0))),0,(index(Com_AllFuels_SEDS_2022_TBtus!$U$3:$U$53,match($A72&amp;AJ$65,Com_AllFuels_SEDS_2022_TBtus!$B$3:$B$53&amp;Com_AllFuels_SEDS_2022_TBtus!$A$3:$A$53,0))))</f>
        <v>0</v>
      </c>
      <c r="AK85" s="74">
        <f t="array" ref="AK85">IF(ISERROR(index(Com_AllFuels_SEDS_2022_TBtus!$U$3:$U$53,match($A72&amp;AK$65,Com_AllFuels_SEDS_2022_TBtus!$B$3:$B$53&amp;Com_AllFuels_SEDS_2022_TBtus!$A$3:$A$53,0))),0,(index(Com_AllFuels_SEDS_2022_TBtus!$U$3:$U$53,match($A72&amp;AK$65,Com_AllFuels_SEDS_2022_TBtus!$B$3:$B$53&amp;Com_AllFuels_SEDS_2022_TBtus!$A$3:$A$53,0))))</f>
        <v>0</v>
      </c>
      <c r="AL85" s="74">
        <f t="array" ref="AL85">IF(ISERROR(index(Com_AllFuels_SEDS_2022_TBtus!$U$3:$U$53,match($A72&amp;AL$65,Com_AllFuels_SEDS_2022_TBtus!$B$3:$B$53&amp;Com_AllFuels_SEDS_2022_TBtus!$A$3:$A$53,0))),0,(index(Com_AllFuels_SEDS_2022_TBtus!$U$3:$U$53,match($A72&amp;AL$65,Com_AllFuels_SEDS_2022_TBtus!$B$3:$B$53&amp;Com_AllFuels_SEDS_2022_TBtus!$A$3:$A$53,0))))</f>
        <v>75.8</v>
      </c>
      <c r="AM85" s="74">
        <f t="array" ref="AM85">IF(ISERROR(index(Com_AllFuels_SEDS_2022_TBtus!$U$3:$U$53,match($A72&amp;AM$65,Com_AllFuels_SEDS_2022_TBtus!$B$3:$B$53&amp;Com_AllFuels_SEDS_2022_TBtus!$A$3:$A$53,0))),0,(index(Com_AllFuels_SEDS_2022_TBtus!$U$3:$U$53,match($A72&amp;AM$65,Com_AllFuels_SEDS_2022_TBtus!$B$3:$B$53&amp;Com_AllFuels_SEDS_2022_TBtus!$A$3:$A$53,0))))</f>
        <v>0</v>
      </c>
      <c r="AN85" s="74">
        <f t="array" ref="AN85">IF(ISERROR(index(Com_AllFuels_SEDS_2022_TBtus!$U$3:$U$53,match($A72&amp;AN$65,Com_AllFuels_SEDS_2022_TBtus!$B$3:$B$53&amp;Com_AllFuels_SEDS_2022_TBtus!$A$3:$A$53,0))),0,(index(Com_AllFuels_SEDS_2022_TBtus!$U$3:$U$53,match($A72&amp;AN$65,Com_AllFuels_SEDS_2022_TBtus!$B$3:$B$53&amp;Com_AllFuels_SEDS_2022_TBtus!$A$3:$A$53,0))))</f>
        <v>0</v>
      </c>
      <c r="AO85" s="74">
        <f t="array" ref="AO85">IF(ISERROR(index(Com_AllFuels_SEDS_2022_TBtus!$U$3:$U$53,match($A72&amp;AO$65,Com_AllFuels_SEDS_2022_TBtus!$B$3:$B$53&amp;Com_AllFuels_SEDS_2022_TBtus!$A$3:$A$53,0))),0,(index(Com_AllFuels_SEDS_2022_TBtus!$U$3:$U$53,match($A72&amp;AO$65,Com_AllFuels_SEDS_2022_TBtus!$B$3:$B$53&amp;Com_AllFuels_SEDS_2022_TBtus!$A$3:$A$53,0))))</f>
        <v>0</v>
      </c>
      <c r="AP85" s="74">
        <f t="array" ref="AP85">IF(ISERROR(index(Com_AllFuels_SEDS_2022_TBtus!$U$3:$U$53,match($A72&amp;AP$65,Com_AllFuels_SEDS_2022_TBtus!$B$3:$B$53&amp;Com_AllFuels_SEDS_2022_TBtus!$A$3:$A$53,0))),0,(index(Com_AllFuels_SEDS_2022_TBtus!$U$3:$U$53,match($A72&amp;AP$65,Com_AllFuels_SEDS_2022_TBtus!$B$3:$B$53&amp;Com_AllFuels_SEDS_2022_TBtus!$A$3:$A$53,0))))</f>
        <v>0</v>
      </c>
      <c r="AQ85" s="74">
        <f t="array" ref="AQ85">IF(ISERROR(index(Com_AllFuels_SEDS_2022_TBtus!$U$3:$U$53,match($A72&amp;AQ$65,Com_AllFuels_SEDS_2022_TBtus!$B$3:$B$53&amp;Com_AllFuels_SEDS_2022_TBtus!$A$3:$A$53,0))),0,(index(Com_AllFuels_SEDS_2022_TBtus!$U$3:$U$53,match($A72&amp;AQ$65,Com_AllFuels_SEDS_2022_TBtus!$B$3:$B$53&amp;Com_AllFuels_SEDS_2022_TBtus!$A$3:$A$53,0))))</f>
        <v>0</v>
      </c>
      <c r="AR85" s="74">
        <f t="array" ref="AR85">IF(ISERROR(index(Com_AllFuels_SEDS_2022_TBtus!$U$3:$U$53,match($A72&amp;AR$65,Com_AllFuels_SEDS_2022_TBtus!$B$3:$B$53&amp;Com_AllFuels_SEDS_2022_TBtus!$A$3:$A$53,0))),0,(index(Com_AllFuels_SEDS_2022_TBtus!$U$3:$U$53,match($A72&amp;AR$65,Com_AllFuels_SEDS_2022_TBtus!$B$3:$B$53&amp;Com_AllFuels_SEDS_2022_TBtus!$A$3:$A$53,0))))</f>
        <v>0</v>
      </c>
      <c r="AS85" s="74">
        <f t="array" ref="AS85">IF(ISERROR(index(Com_AllFuels_SEDS_2022_TBtus!$U$3:$U$53,match($A72&amp;AS$65,Com_AllFuels_SEDS_2022_TBtus!$B$3:$B$53&amp;Com_AllFuels_SEDS_2022_TBtus!$A$3:$A$53,0))),0,(index(Com_AllFuels_SEDS_2022_TBtus!$U$3:$U$53,match($A72&amp;AS$65,Com_AllFuels_SEDS_2022_TBtus!$B$3:$B$53&amp;Com_AllFuels_SEDS_2022_TBtus!$A$3:$A$53,0))))</f>
        <v>550.7</v>
      </c>
      <c r="AT85" s="74">
        <f t="array" ref="AT85">IF(ISERROR(index(Com_AllFuels_SEDS_2022_TBtus!$U$3:$U$53,match($A72&amp;AT$65,Com_AllFuels_SEDS_2022_TBtus!$B$3:$B$53&amp;Com_AllFuels_SEDS_2022_TBtus!$A$3:$A$53,0))),0,(index(Com_AllFuels_SEDS_2022_TBtus!$U$3:$U$53,match($A72&amp;AT$65,Com_AllFuels_SEDS_2022_TBtus!$B$3:$B$53&amp;Com_AllFuels_SEDS_2022_TBtus!$A$3:$A$53,0))))</f>
        <v>0</v>
      </c>
      <c r="AU85" s="74">
        <f t="array" ref="AU85">IF(ISERROR(index(Com_AllFuels_SEDS_2022_TBtus!$U$3:$U$53,match($A72&amp;AU$65,Com_AllFuels_SEDS_2022_TBtus!$B$3:$B$53&amp;Com_AllFuels_SEDS_2022_TBtus!$A$3:$A$53,0))),0,(index(Com_AllFuels_SEDS_2022_TBtus!$U$3:$U$53,match($A72&amp;AU$65,Com_AllFuels_SEDS_2022_TBtus!$B$3:$B$53&amp;Com_AllFuels_SEDS_2022_TBtus!$A$3:$A$53,0))))</f>
        <v>0</v>
      </c>
      <c r="AV85" s="74">
        <f t="array" ref="AV85">IF(ISERROR(index(Com_AllFuels_SEDS_2022_TBtus!$U$3:$U$53,match($A72&amp;AV$65,Com_AllFuels_SEDS_2022_TBtus!$B$3:$B$53&amp;Com_AllFuels_SEDS_2022_TBtus!$A$3:$A$53,0))),0,(index(Com_AllFuels_SEDS_2022_TBtus!$U$3:$U$53,match($A72&amp;AV$65,Com_AllFuels_SEDS_2022_TBtus!$B$3:$B$53&amp;Com_AllFuels_SEDS_2022_TBtus!$A$3:$A$53,0))))</f>
        <v>0</v>
      </c>
      <c r="AW85" s="74">
        <f t="array" ref="AW85">IF(ISERROR(index(Com_AllFuels_SEDS_2022_TBtus!$U$3:$U$53,match($A72&amp;AW$65,Com_AllFuels_SEDS_2022_TBtus!$B$3:$B$53&amp;Com_AllFuels_SEDS_2022_TBtus!$A$3:$A$53,0))),0,(index(Com_AllFuels_SEDS_2022_TBtus!$U$3:$U$53,match($A72&amp;AW$65,Com_AllFuels_SEDS_2022_TBtus!$B$3:$B$53&amp;Com_AllFuels_SEDS_2022_TBtus!$A$3:$A$53,0))))</f>
        <v>0</v>
      </c>
      <c r="AX85" s="74">
        <f t="array" ref="AX85">IF(ISERROR(index(Com_AllFuels_SEDS_2022_TBtus!$U$3:$U$53,match($A72&amp;AX$65,Com_AllFuels_SEDS_2022_TBtus!$B$3:$B$53&amp;Com_AllFuels_SEDS_2022_TBtus!$A$3:$A$53,0))),0,(index(Com_AllFuels_SEDS_2022_TBtus!$U$3:$U$53,match($A72&amp;AX$65,Com_AllFuels_SEDS_2022_TBtus!$B$3:$B$53&amp;Com_AllFuels_SEDS_2022_TBtus!$A$3:$A$53,0))))</f>
        <v>0</v>
      </c>
      <c r="AY85" s="74">
        <f t="array" ref="AY85">IF(ISERROR(index(Com_AllFuels_SEDS_2022_TBtus!$U$3:$U$53,match($A72&amp;AY$65,Com_AllFuels_SEDS_2022_TBtus!$B$3:$B$53&amp;Com_AllFuels_SEDS_2022_TBtus!$A$3:$A$53,0))),0,(index(Com_AllFuels_SEDS_2022_TBtus!$U$3:$U$53,match($A72&amp;AY$65,Com_AllFuels_SEDS_2022_TBtus!$B$3:$B$53&amp;Com_AllFuels_SEDS_2022_TBtus!$A$3:$A$53,0))))</f>
        <v>0</v>
      </c>
      <c r="AZ85" s="74">
        <f t="array" ref="AZ85">IF(ISERROR(index(Com_AllFuels_SEDS_2022_TBtus!$U$3:$U$53,match($A72&amp;AZ$65,Com_AllFuels_SEDS_2022_TBtus!$B$3:$B$53&amp;Com_AllFuels_SEDS_2022_TBtus!$A$3:$A$53,0))),0,(index(Com_AllFuels_SEDS_2022_TBtus!$U$3:$U$53,match($A72&amp;AZ$65,Com_AllFuels_SEDS_2022_TBtus!$B$3:$B$53&amp;Com_AllFuels_SEDS_2022_TBtus!$A$3:$A$53,0))))</f>
        <v>0</v>
      </c>
      <c r="BA85" s="74">
        <f t="shared" si="3"/>
        <v>748.3</v>
      </c>
    </row>
    <row r="86" ht="15.75" customHeight="1">
      <c r="A86" s="74">
        <v>8.0</v>
      </c>
      <c r="B86" s="74">
        <f t="array" ref="B86">IF(ISERROR(index(Com_AllFuels_SEDS_2022_TBtus!$U$3:$U$53,match($A73&amp;B$65,Com_AllFuels_SEDS_2022_TBtus!$B$3:$B$53&amp;Com_AllFuels_SEDS_2022_TBtus!$A$3:$A$53,0))),0,(index(Com_AllFuels_SEDS_2022_TBtus!$U$3:$U$53,match($A73&amp;B$65,Com_AllFuels_SEDS_2022_TBtus!$B$3:$B$53&amp;Com_AllFuels_SEDS_2022_TBtus!$A$3:$A$53,0))))</f>
        <v>0</v>
      </c>
      <c r="C86" s="74">
        <f t="array" ref="C86">IF(ISERROR(index(Com_AllFuels_SEDS_2022_TBtus!$U$3:$U$53,match($A73&amp;C$65,Com_AllFuels_SEDS_2022_TBtus!$B$3:$B$53&amp;Com_AllFuels_SEDS_2022_TBtus!$A$3:$A$53,0))),0,(index(Com_AllFuels_SEDS_2022_TBtus!$U$3:$U$53,match($A73&amp;C$65,Com_AllFuels_SEDS_2022_TBtus!$B$3:$B$53&amp;Com_AllFuels_SEDS_2022_TBtus!$A$3:$A$53,0))))</f>
        <v>0</v>
      </c>
      <c r="D86" s="74">
        <f t="array" ref="D86">IF(ISERROR(index(Com_AllFuels_SEDS_2022_TBtus!$U$3:$U$53,match($A73&amp;D$65,Com_AllFuels_SEDS_2022_TBtus!$B$3:$B$53&amp;Com_AllFuels_SEDS_2022_TBtus!$A$3:$A$53,0))),0,(index(Com_AllFuels_SEDS_2022_TBtus!$U$3:$U$53,match($A73&amp;D$65,Com_AllFuels_SEDS_2022_TBtus!$B$3:$B$53&amp;Com_AllFuels_SEDS_2022_TBtus!$A$3:$A$53,0))))</f>
        <v>110.5</v>
      </c>
      <c r="E86" s="74">
        <f t="array" ref="E86">IF(ISERROR(index(Com_AllFuels_SEDS_2022_TBtus!$U$3:$U$53,match($A73&amp;E$65,Com_AllFuels_SEDS_2022_TBtus!$B$3:$B$53&amp;Com_AllFuels_SEDS_2022_TBtus!$A$3:$A$53,0))),0,(index(Com_AllFuels_SEDS_2022_TBtus!$U$3:$U$53,match($A73&amp;E$65,Com_AllFuels_SEDS_2022_TBtus!$B$3:$B$53&amp;Com_AllFuels_SEDS_2022_TBtus!$A$3:$A$53,0))))</f>
        <v>0</v>
      </c>
      <c r="F86" s="74">
        <f t="array" ref="F86">IF(ISERROR(index(Com_AllFuels_SEDS_2022_TBtus!$U$3:$U$53,match($A73&amp;F$65,Com_AllFuels_SEDS_2022_TBtus!$B$3:$B$53&amp;Com_AllFuels_SEDS_2022_TBtus!$A$3:$A$53,0))),0,(index(Com_AllFuels_SEDS_2022_TBtus!$U$3:$U$53,match($A73&amp;F$65,Com_AllFuels_SEDS_2022_TBtus!$B$3:$B$53&amp;Com_AllFuels_SEDS_2022_TBtus!$A$3:$A$53,0))))</f>
        <v>0</v>
      </c>
      <c r="G86" s="74">
        <f t="array" ref="G86">IF(ISERROR(index(Com_AllFuels_SEDS_2022_TBtus!$U$3:$U$53,match($A73&amp;G$65,Com_AllFuels_SEDS_2022_TBtus!$B$3:$B$53&amp;Com_AllFuels_SEDS_2022_TBtus!$A$3:$A$53,0))),0,(index(Com_AllFuels_SEDS_2022_TBtus!$U$3:$U$53,match($A73&amp;G$65,Com_AllFuels_SEDS_2022_TBtus!$B$3:$B$53&amp;Com_AllFuels_SEDS_2022_TBtus!$A$3:$A$53,0))))</f>
        <v>73.3</v>
      </c>
      <c r="H86" s="74">
        <f t="array" ref="H86">IF(ISERROR(index(Com_AllFuels_SEDS_2022_TBtus!$U$3:$U$53,match($A73&amp;H$65,Com_AllFuels_SEDS_2022_TBtus!$B$3:$B$53&amp;Com_AllFuels_SEDS_2022_TBtus!$A$3:$A$53,0))),0,(index(Com_AllFuels_SEDS_2022_TBtus!$U$3:$U$53,match($A73&amp;H$65,Com_AllFuels_SEDS_2022_TBtus!$B$3:$B$53&amp;Com_AllFuels_SEDS_2022_TBtus!$A$3:$A$53,0))))</f>
        <v>0</v>
      </c>
      <c r="I86" s="74">
        <f t="array" ref="I86">IF(ISERROR(index(Com_AllFuels_SEDS_2022_TBtus!$U$3:$U$53,match($A73&amp;I$65,Com_AllFuels_SEDS_2022_TBtus!$B$3:$B$53&amp;Com_AllFuels_SEDS_2022_TBtus!$A$3:$A$53,0))),0,(index(Com_AllFuels_SEDS_2022_TBtus!$U$3:$U$53,match($A73&amp;I$65,Com_AllFuels_SEDS_2022_TBtus!$B$3:$B$53&amp;Com_AllFuels_SEDS_2022_TBtus!$A$3:$A$53,0))))</f>
        <v>0</v>
      </c>
      <c r="J86" s="74">
        <f t="array" ref="J86">IF(ISERROR(index(Com_AllFuels_SEDS_2022_TBtus!$U$3:$U$53,match($A73&amp;J$65,Com_AllFuels_SEDS_2022_TBtus!$B$3:$B$53&amp;Com_AllFuels_SEDS_2022_TBtus!$A$3:$A$53,0))),0,(index(Com_AllFuels_SEDS_2022_TBtus!$U$3:$U$53,match($A73&amp;J$65,Com_AllFuels_SEDS_2022_TBtus!$B$3:$B$53&amp;Com_AllFuels_SEDS_2022_TBtus!$A$3:$A$53,0))))</f>
        <v>0</v>
      </c>
      <c r="K86" s="74">
        <f t="array" ref="K86">IF(ISERROR(index(Com_AllFuels_SEDS_2022_TBtus!$U$3:$U$53,match($A73&amp;K$65,Com_AllFuels_SEDS_2022_TBtus!$B$3:$B$53&amp;Com_AllFuels_SEDS_2022_TBtus!$A$3:$A$53,0))),0,(index(Com_AllFuels_SEDS_2022_TBtus!$U$3:$U$53,match($A73&amp;K$65,Com_AllFuels_SEDS_2022_TBtus!$B$3:$B$53&amp;Com_AllFuels_SEDS_2022_TBtus!$A$3:$A$53,0))))</f>
        <v>0</v>
      </c>
      <c r="L86" s="74">
        <f t="array" ref="L86">IF(ISERROR(index(Com_AllFuels_SEDS_2022_TBtus!$U$3:$U$53,match($A73&amp;L$65,Com_AllFuels_SEDS_2022_TBtus!$B$3:$B$53&amp;Com_AllFuels_SEDS_2022_TBtus!$A$3:$A$53,0))),0,(index(Com_AllFuels_SEDS_2022_TBtus!$U$3:$U$53,match($A73&amp;L$65,Com_AllFuels_SEDS_2022_TBtus!$B$3:$B$53&amp;Com_AllFuels_SEDS_2022_TBtus!$A$3:$A$53,0))))</f>
        <v>0</v>
      </c>
      <c r="M86" s="74">
        <f t="array" ref="M86">IF(ISERROR(index(Com_AllFuels_SEDS_2022_TBtus!$U$3:$U$53,match($A73&amp;M$65,Com_AllFuels_SEDS_2022_TBtus!$B$3:$B$53&amp;Com_AllFuels_SEDS_2022_TBtus!$A$3:$A$53,0))),0,(index(Com_AllFuels_SEDS_2022_TBtus!$U$3:$U$53,match($A73&amp;M$65,Com_AllFuels_SEDS_2022_TBtus!$B$3:$B$53&amp;Com_AllFuels_SEDS_2022_TBtus!$A$3:$A$53,0))))</f>
        <v>0</v>
      </c>
      <c r="N86" s="74">
        <f t="array" ref="N86">IF(ISERROR(index(Com_AllFuels_SEDS_2022_TBtus!$U$3:$U$53,match($A73&amp;N$65,Com_AllFuels_SEDS_2022_TBtus!$B$3:$B$53&amp;Com_AllFuels_SEDS_2022_TBtus!$A$3:$A$53,0))),0,(index(Com_AllFuels_SEDS_2022_TBtus!$U$3:$U$53,match($A73&amp;N$65,Com_AllFuels_SEDS_2022_TBtus!$B$3:$B$53&amp;Com_AllFuels_SEDS_2022_TBtus!$A$3:$A$53,0))))</f>
        <v>23.9</v>
      </c>
      <c r="O86" s="74">
        <f t="array" ref="O86">IF(ISERROR(index(Com_AllFuels_SEDS_2022_TBtus!$U$3:$U$53,match($A73&amp;O$65,Com_AllFuels_SEDS_2022_TBtus!$B$3:$B$53&amp;Com_AllFuels_SEDS_2022_TBtus!$A$3:$A$53,0))),0,(index(Com_AllFuels_SEDS_2022_TBtus!$U$3:$U$53,match($A73&amp;O$65,Com_AllFuels_SEDS_2022_TBtus!$B$3:$B$53&amp;Com_AllFuels_SEDS_2022_TBtus!$A$3:$A$53,0))))</f>
        <v>0</v>
      </c>
      <c r="P86" s="74">
        <f t="array" ref="P86">IF(ISERROR(index(Com_AllFuels_SEDS_2022_TBtus!$U$3:$U$53,match($A73&amp;P$65,Com_AllFuels_SEDS_2022_TBtus!$B$3:$B$53&amp;Com_AllFuels_SEDS_2022_TBtus!$A$3:$A$53,0))),0,(index(Com_AllFuels_SEDS_2022_TBtus!$U$3:$U$53,match($A73&amp;P$65,Com_AllFuels_SEDS_2022_TBtus!$B$3:$B$53&amp;Com_AllFuels_SEDS_2022_TBtus!$A$3:$A$53,0))))</f>
        <v>0</v>
      </c>
      <c r="Q86" s="74">
        <f t="array" ref="Q86">IF(ISERROR(index(Com_AllFuels_SEDS_2022_TBtus!$U$3:$U$53,match($A73&amp;Q$65,Com_AllFuels_SEDS_2022_TBtus!$B$3:$B$53&amp;Com_AllFuels_SEDS_2022_TBtus!$A$3:$A$53,0))),0,(index(Com_AllFuels_SEDS_2022_TBtus!$U$3:$U$53,match($A73&amp;Q$65,Com_AllFuels_SEDS_2022_TBtus!$B$3:$B$53&amp;Com_AllFuels_SEDS_2022_TBtus!$A$3:$A$53,0))))</f>
        <v>0</v>
      </c>
      <c r="R86" s="74">
        <f t="array" ref="R86">IF(ISERROR(index(Com_AllFuels_SEDS_2022_TBtus!$U$3:$U$53,match($A73&amp;R$65,Com_AllFuels_SEDS_2022_TBtus!$B$3:$B$53&amp;Com_AllFuels_SEDS_2022_TBtus!$A$3:$A$53,0))),0,(index(Com_AllFuels_SEDS_2022_TBtus!$U$3:$U$53,match($A73&amp;R$65,Com_AllFuels_SEDS_2022_TBtus!$B$3:$B$53&amp;Com_AllFuels_SEDS_2022_TBtus!$A$3:$A$53,0))))</f>
        <v>0</v>
      </c>
      <c r="S86" s="74">
        <f t="array" ref="S86">IF(ISERROR(index(Com_AllFuels_SEDS_2022_TBtus!$U$3:$U$53,match($A73&amp;S$65,Com_AllFuels_SEDS_2022_TBtus!$B$3:$B$53&amp;Com_AllFuels_SEDS_2022_TBtus!$A$3:$A$53,0))),0,(index(Com_AllFuels_SEDS_2022_TBtus!$U$3:$U$53,match($A73&amp;S$65,Com_AllFuels_SEDS_2022_TBtus!$B$3:$B$53&amp;Com_AllFuels_SEDS_2022_TBtus!$A$3:$A$53,0))))</f>
        <v>0</v>
      </c>
      <c r="T86" s="74">
        <f t="array" ref="T86">IF(ISERROR(index(Com_AllFuels_SEDS_2022_TBtus!$U$3:$U$53,match($A73&amp;T$65,Com_AllFuels_SEDS_2022_TBtus!$B$3:$B$53&amp;Com_AllFuels_SEDS_2022_TBtus!$A$3:$A$53,0))),0,(index(Com_AllFuels_SEDS_2022_TBtus!$U$3:$U$53,match($A73&amp;T$65,Com_AllFuels_SEDS_2022_TBtus!$B$3:$B$53&amp;Com_AllFuels_SEDS_2022_TBtus!$A$3:$A$53,0))))</f>
        <v>0</v>
      </c>
      <c r="U86" s="74">
        <f t="array" ref="U86">IF(ISERROR(index(Com_AllFuels_SEDS_2022_TBtus!$U$3:$U$53,match($A73&amp;U$65,Com_AllFuels_SEDS_2022_TBtus!$B$3:$B$53&amp;Com_AllFuels_SEDS_2022_TBtus!$A$3:$A$53,0))),0,(index(Com_AllFuels_SEDS_2022_TBtus!$U$3:$U$53,match($A73&amp;U$65,Com_AllFuels_SEDS_2022_TBtus!$B$3:$B$53&amp;Com_AllFuels_SEDS_2022_TBtus!$A$3:$A$53,0))))</f>
        <v>0</v>
      </c>
      <c r="V86" s="74">
        <f t="array" ref="V86">IF(ISERROR(index(Com_AllFuels_SEDS_2022_TBtus!$U$3:$U$53,match($A73&amp;V$65,Com_AllFuels_SEDS_2022_TBtus!$B$3:$B$53&amp;Com_AllFuels_SEDS_2022_TBtus!$A$3:$A$53,0))),0,(index(Com_AllFuels_SEDS_2022_TBtus!$U$3:$U$53,match($A73&amp;V$65,Com_AllFuels_SEDS_2022_TBtus!$B$3:$B$53&amp;Com_AllFuels_SEDS_2022_TBtus!$A$3:$A$53,0))))</f>
        <v>0</v>
      </c>
      <c r="W86" s="74">
        <f t="array" ref="W86">IF(ISERROR(index(Com_AllFuels_SEDS_2022_TBtus!$U$3:$U$53,match($A73&amp;W$65,Com_AllFuels_SEDS_2022_TBtus!$B$3:$B$53&amp;Com_AllFuels_SEDS_2022_TBtus!$A$3:$A$53,0))),0,(index(Com_AllFuels_SEDS_2022_TBtus!$U$3:$U$53,match($A73&amp;W$65,Com_AllFuels_SEDS_2022_TBtus!$B$3:$B$53&amp;Com_AllFuels_SEDS_2022_TBtus!$A$3:$A$53,0))))</f>
        <v>0</v>
      </c>
      <c r="X86" s="74">
        <f t="array" ref="X86">IF(ISERROR(index(Com_AllFuels_SEDS_2022_TBtus!$U$3:$U$53,match($A73&amp;X$65,Com_AllFuels_SEDS_2022_TBtus!$B$3:$B$53&amp;Com_AllFuels_SEDS_2022_TBtus!$A$3:$A$53,0))),0,(index(Com_AllFuels_SEDS_2022_TBtus!$U$3:$U$53,match($A73&amp;X$65,Com_AllFuels_SEDS_2022_TBtus!$B$3:$B$53&amp;Com_AllFuels_SEDS_2022_TBtus!$A$3:$A$53,0))))</f>
        <v>0</v>
      </c>
      <c r="Y86" s="74">
        <f t="array" ref="Y86">IF(ISERROR(index(Com_AllFuels_SEDS_2022_TBtus!$U$3:$U$53,match($A73&amp;Y$65,Com_AllFuels_SEDS_2022_TBtus!$B$3:$B$53&amp;Com_AllFuels_SEDS_2022_TBtus!$A$3:$A$53,0))),0,(index(Com_AllFuels_SEDS_2022_TBtus!$U$3:$U$53,match($A73&amp;Y$65,Com_AllFuels_SEDS_2022_TBtus!$B$3:$B$53&amp;Com_AllFuels_SEDS_2022_TBtus!$A$3:$A$53,0))))</f>
        <v>0</v>
      </c>
      <c r="Z86" s="74">
        <f t="array" ref="Z86">IF(ISERROR(index(Com_AllFuels_SEDS_2022_TBtus!$U$3:$U$53,match($A73&amp;Z$65,Com_AllFuels_SEDS_2022_TBtus!$B$3:$B$53&amp;Com_AllFuels_SEDS_2022_TBtus!$A$3:$A$53,0))),0,(index(Com_AllFuels_SEDS_2022_TBtus!$U$3:$U$53,match($A73&amp;Z$65,Com_AllFuels_SEDS_2022_TBtus!$B$3:$B$53&amp;Com_AllFuels_SEDS_2022_TBtus!$A$3:$A$53,0))))</f>
        <v>0</v>
      </c>
      <c r="AA86" s="74">
        <f t="array" ref="AA86">IF(ISERROR(index(Com_AllFuels_SEDS_2022_TBtus!$U$3:$U$53,match($A73&amp;AA$65,Com_AllFuels_SEDS_2022_TBtus!$B$3:$B$53&amp;Com_AllFuels_SEDS_2022_TBtus!$A$3:$A$53,0))),0,(index(Com_AllFuels_SEDS_2022_TBtus!$U$3:$U$53,match($A73&amp;AA$65,Com_AllFuels_SEDS_2022_TBtus!$B$3:$B$53&amp;Com_AllFuels_SEDS_2022_TBtus!$A$3:$A$53,0))))</f>
        <v>0</v>
      </c>
      <c r="AB86" s="74">
        <f t="array" ref="AB86">IF(ISERROR(index(Com_AllFuels_SEDS_2022_TBtus!$U$3:$U$53,match($A73&amp;AB$65,Com_AllFuels_SEDS_2022_TBtus!$B$3:$B$53&amp;Com_AllFuels_SEDS_2022_TBtus!$A$3:$A$53,0))),0,(index(Com_AllFuels_SEDS_2022_TBtus!$U$3:$U$53,match($A73&amp;AB$65,Com_AllFuels_SEDS_2022_TBtus!$B$3:$B$53&amp;Com_AllFuels_SEDS_2022_TBtus!$A$3:$A$53,0))))</f>
        <v>17.2</v>
      </c>
      <c r="AC86" s="74">
        <f t="array" ref="AC86">IF(ISERROR(index(Com_AllFuels_SEDS_2022_TBtus!$U$3:$U$53,match($A73&amp;AC$65,Com_AllFuels_SEDS_2022_TBtus!$B$3:$B$53&amp;Com_AllFuels_SEDS_2022_TBtus!$A$3:$A$53,0))),0,(index(Com_AllFuels_SEDS_2022_TBtus!$U$3:$U$53,match($A73&amp;AC$65,Com_AllFuels_SEDS_2022_TBtus!$B$3:$B$53&amp;Com_AllFuels_SEDS_2022_TBtus!$A$3:$A$53,0))))</f>
        <v>0</v>
      </c>
      <c r="AD86" s="74">
        <f t="array" ref="AD86">IF(ISERROR(index(Com_AllFuels_SEDS_2022_TBtus!$U$3:$U$53,match($A73&amp;AD$65,Com_AllFuels_SEDS_2022_TBtus!$B$3:$B$53&amp;Com_AllFuels_SEDS_2022_TBtus!$A$3:$A$53,0))),0,(index(Com_AllFuels_SEDS_2022_TBtus!$U$3:$U$53,match($A73&amp;AD$65,Com_AllFuels_SEDS_2022_TBtus!$B$3:$B$53&amp;Com_AllFuels_SEDS_2022_TBtus!$A$3:$A$53,0))))</f>
        <v>43.8</v>
      </c>
      <c r="AE86" s="74">
        <f t="array" ref="AE86">IF(ISERROR(index(Com_AllFuels_SEDS_2022_TBtus!$U$3:$U$53,match($A73&amp;AE$65,Com_AllFuels_SEDS_2022_TBtus!$B$3:$B$53&amp;Com_AllFuels_SEDS_2022_TBtus!$A$3:$A$53,0))),0,(index(Com_AllFuels_SEDS_2022_TBtus!$U$3:$U$53,match($A73&amp;AE$65,Com_AllFuels_SEDS_2022_TBtus!$B$3:$B$53&amp;Com_AllFuels_SEDS_2022_TBtus!$A$3:$A$53,0))))</f>
        <v>0</v>
      </c>
      <c r="AF86" s="74">
        <f t="array" ref="AF86">IF(ISERROR(index(Com_AllFuels_SEDS_2022_TBtus!$U$3:$U$53,match($A73&amp;AF$65,Com_AllFuels_SEDS_2022_TBtus!$B$3:$B$53&amp;Com_AllFuels_SEDS_2022_TBtus!$A$3:$A$53,0))),0,(index(Com_AllFuels_SEDS_2022_TBtus!$U$3:$U$53,match($A73&amp;AF$65,Com_AllFuels_SEDS_2022_TBtus!$B$3:$B$53&amp;Com_AllFuels_SEDS_2022_TBtus!$A$3:$A$53,0))))</f>
        <v>0</v>
      </c>
      <c r="AG86" s="74">
        <f t="array" ref="AG86">IF(ISERROR(index(Com_AllFuels_SEDS_2022_TBtus!$U$3:$U$53,match($A73&amp;AG$65,Com_AllFuels_SEDS_2022_TBtus!$B$3:$B$53&amp;Com_AllFuels_SEDS_2022_TBtus!$A$3:$A$53,0))),0,(index(Com_AllFuels_SEDS_2022_TBtus!$U$3:$U$53,match($A73&amp;AG$65,Com_AllFuels_SEDS_2022_TBtus!$B$3:$B$53&amp;Com_AllFuels_SEDS_2022_TBtus!$A$3:$A$53,0))))</f>
        <v>31.6</v>
      </c>
      <c r="AH86" s="74">
        <f t="array" ref="AH86">IF(ISERROR(index(Com_AllFuels_SEDS_2022_TBtus!$U$3:$U$53,match($A73&amp;AH$65,Com_AllFuels_SEDS_2022_TBtus!$B$3:$B$53&amp;Com_AllFuels_SEDS_2022_TBtus!$A$3:$A$53,0))),0,(index(Com_AllFuels_SEDS_2022_TBtus!$U$3:$U$53,match($A73&amp;AH$65,Com_AllFuels_SEDS_2022_TBtus!$B$3:$B$53&amp;Com_AllFuels_SEDS_2022_TBtus!$A$3:$A$53,0))))</f>
        <v>0</v>
      </c>
      <c r="AI86" s="74">
        <f t="array" ref="AI86">IF(ISERROR(index(Com_AllFuels_SEDS_2022_TBtus!$U$3:$U$53,match($A73&amp;AI$65,Com_AllFuels_SEDS_2022_TBtus!$B$3:$B$53&amp;Com_AllFuels_SEDS_2022_TBtus!$A$3:$A$53,0))),0,(index(Com_AllFuels_SEDS_2022_TBtus!$U$3:$U$53,match($A73&amp;AI$65,Com_AllFuels_SEDS_2022_TBtus!$B$3:$B$53&amp;Com_AllFuels_SEDS_2022_TBtus!$A$3:$A$53,0))))</f>
        <v>0</v>
      </c>
      <c r="AJ86" s="74">
        <f t="array" ref="AJ86">IF(ISERROR(index(Com_AllFuels_SEDS_2022_TBtus!$U$3:$U$53,match($A73&amp;AJ$65,Com_AllFuels_SEDS_2022_TBtus!$B$3:$B$53&amp;Com_AllFuels_SEDS_2022_TBtus!$A$3:$A$53,0))),0,(index(Com_AllFuels_SEDS_2022_TBtus!$U$3:$U$53,match($A73&amp;AJ$65,Com_AllFuels_SEDS_2022_TBtus!$B$3:$B$53&amp;Com_AllFuels_SEDS_2022_TBtus!$A$3:$A$53,0))))</f>
        <v>0</v>
      </c>
      <c r="AK86" s="74">
        <f t="array" ref="AK86">IF(ISERROR(index(Com_AllFuels_SEDS_2022_TBtus!$U$3:$U$53,match($A73&amp;AK$65,Com_AllFuels_SEDS_2022_TBtus!$B$3:$B$53&amp;Com_AllFuels_SEDS_2022_TBtus!$A$3:$A$53,0))),0,(index(Com_AllFuels_SEDS_2022_TBtus!$U$3:$U$53,match($A73&amp;AK$65,Com_AllFuels_SEDS_2022_TBtus!$B$3:$B$53&amp;Com_AllFuels_SEDS_2022_TBtus!$A$3:$A$53,0))))</f>
        <v>0</v>
      </c>
      <c r="AL86" s="74">
        <f t="array" ref="AL86">IF(ISERROR(index(Com_AllFuels_SEDS_2022_TBtus!$U$3:$U$53,match($A73&amp;AL$65,Com_AllFuels_SEDS_2022_TBtus!$B$3:$B$53&amp;Com_AllFuels_SEDS_2022_TBtus!$A$3:$A$53,0))),0,(index(Com_AllFuels_SEDS_2022_TBtus!$U$3:$U$53,match($A73&amp;AL$65,Com_AllFuels_SEDS_2022_TBtus!$B$3:$B$53&amp;Com_AllFuels_SEDS_2022_TBtus!$A$3:$A$53,0))))</f>
        <v>0</v>
      </c>
      <c r="AM86" s="74">
        <f t="array" ref="AM86">IF(ISERROR(index(Com_AllFuels_SEDS_2022_TBtus!$U$3:$U$53,match($A73&amp;AM$65,Com_AllFuels_SEDS_2022_TBtus!$B$3:$B$53&amp;Com_AllFuels_SEDS_2022_TBtus!$A$3:$A$53,0))),0,(index(Com_AllFuels_SEDS_2022_TBtus!$U$3:$U$53,match($A73&amp;AM$65,Com_AllFuels_SEDS_2022_TBtus!$B$3:$B$53&amp;Com_AllFuels_SEDS_2022_TBtus!$A$3:$A$53,0))))</f>
        <v>0</v>
      </c>
      <c r="AN86" s="74">
        <f t="array" ref="AN86">IF(ISERROR(index(Com_AllFuels_SEDS_2022_TBtus!$U$3:$U$53,match($A73&amp;AN$65,Com_AllFuels_SEDS_2022_TBtus!$B$3:$B$53&amp;Com_AllFuels_SEDS_2022_TBtus!$A$3:$A$53,0))),0,(index(Com_AllFuels_SEDS_2022_TBtus!$U$3:$U$53,match($A73&amp;AN$65,Com_AllFuels_SEDS_2022_TBtus!$B$3:$B$53&amp;Com_AllFuels_SEDS_2022_TBtus!$A$3:$A$53,0))))</f>
        <v>0</v>
      </c>
      <c r="AO86" s="74">
        <f t="array" ref="AO86">IF(ISERROR(index(Com_AllFuels_SEDS_2022_TBtus!$U$3:$U$53,match($A73&amp;AO$65,Com_AllFuels_SEDS_2022_TBtus!$B$3:$B$53&amp;Com_AllFuels_SEDS_2022_TBtus!$A$3:$A$53,0))),0,(index(Com_AllFuels_SEDS_2022_TBtus!$U$3:$U$53,match($A73&amp;AO$65,Com_AllFuels_SEDS_2022_TBtus!$B$3:$B$53&amp;Com_AllFuels_SEDS_2022_TBtus!$A$3:$A$53,0))))</f>
        <v>0</v>
      </c>
      <c r="AP86" s="74">
        <f t="array" ref="AP86">IF(ISERROR(index(Com_AllFuels_SEDS_2022_TBtus!$U$3:$U$53,match($A73&amp;AP$65,Com_AllFuels_SEDS_2022_TBtus!$B$3:$B$53&amp;Com_AllFuels_SEDS_2022_TBtus!$A$3:$A$53,0))),0,(index(Com_AllFuels_SEDS_2022_TBtus!$U$3:$U$53,match($A73&amp;AP$65,Com_AllFuels_SEDS_2022_TBtus!$B$3:$B$53&amp;Com_AllFuels_SEDS_2022_TBtus!$A$3:$A$53,0))))</f>
        <v>0</v>
      </c>
      <c r="AQ86" s="74">
        <f t="array" ref="AQ86">IF(ISERROR(index(Com_AllFuels_SEDS_2022_TBtus!$U$3:$U$53,match($A73&amp;AQ$65,Com_AllFuels_SEDS_2022_TBtus!$B$3:$B$53&amp;Com_AllFuels_SEDS_2022_TBtus!$A$3:$A$53,0))),0,(index(Com_AllFuels_SEDS_2022_TBtus!$U$3:$U$53,match($A73&amp;AQ$65,Com_AllFuels_SEDS_2022_TBtus!$B$3:$B$53&amp;Com_AllFuels_SEDS_2022_TBtus!$A$3:$A$53,0))))</f>
        <v>0</v>
      </c>
      <c r="AR86" s="74">
        <f t="array" ref="AR86">IF(ISERROR(index(Com_AllFuels_SEDS_2022_TBtus!$U$3:$U$53,match($A73&amp;AR$65,Com_AllFuels_SEDS_2022_TBtus!$B$3:$B$53&amp;Com_AllFuels_SEDS_2022_TBtus!$A$3:$A$53,0))),0,(index(Com_AllFuels_SEDS_2022_TBtus!$U$3:$U$53,match($A73&amp;AR$65,Com_AllFuels_SEDS_2022_TBtus!$B$3:$B$53&amp;Com_AllFuels_SEDS_2022_TBtus!$A$3:$A$53,0))))</f>
        <v>0</v>
      </c>
      <c r="AS86" s="74">
        <f t="array" ref="AS86">IF(ISERROR(index(Com_AllFuels_SEDS_2022_TBtus!$U$3:$U$53,match($A73&amp;AS$65,Com_AllFuels_SEDS_2022_TBtus!$B$3:$B$53&amp;Com_AllFuels_SEDS_2022_TBtus!$A$3:$A$53,0))),0,(index(Com_AllFuels_SEDS_2022_TBtus!$U$3:$U$53,match($A73&amp;AS$65,Com_AllFuels_SEDS_2022_TBtus!$B$3:$B$53&amp;Com_AllFuels_SEDS_2022_TBtus!$A$3:$A$53,0))))</f>
        <v>0</v>
      </c>
      <c r="AT86" s="74">
        <f t="array" ref="AT86">IF(ISERROR(index(Com_AllFuels_SEDS_2022_TBtus!$U$3:$U$53,match($A73&amp;AT$65,Com_AllFuels_SEDS_2022_TBtus!$B$3:$B$53&amp;Com_AllFuels_SEDS_2022_TBtus!$A$3:$A$53,0))),0,(index(Com_AllFuels_SEDS_2022_TBtus!$U$3:$U$53,match($A73&amp;AT$65,Com_AllFuels_SEDS_2022_TBtus!$B$3:$B$53&amp;Com_AllFuels_SEDS_2022_TBtus!$A$3:$A$53,0))))</f>
        <v>44.7</v>
      </c>
      <c r="AU86" s="74">
        <f t="array" ref="AU86">IF(ISERROR(index(Com_AllFuels_SEDS_2022_TBtus!$U$3:$U$53,match($A73&amp;AU$65,Com_AllFuels_SEDS_2022_TBtus!$B$3:$B$53&amp;Com_AllFuels_SEDS_2022_TBtus!$A$3:$A$53,0))),0,(index(Com_AllFuels_SEDS_2022_TBtus!$U$3:$U$53,match($A73&amp;AU$65,Com_AllFuels_SEDS_2022_TBtus!$B$3:$B$53&amp;Com_AllFuels_SEDS_2022_TBtus!$A$3:$A$53,0))))</f>
        <v>0</v>
      </c>
      <c r="AV86" s="74">
        <f t="array" ref="AV86">IF(ISERROR(index(Com_AllFuels_SEDS_2022_TBtus!$U$3:$U$53,match($A73&amp;AV$65,Com_AllFuels_SEDS_2022_TBtus!$B$3:$B$53&amp;Com_AllFuels_SEDS_2022_TBtus!$A$3:$A$53,0))),0,(index(Com_AllFuels_SEDS_2022_TBtus!$U$3:$U$53,match($A73&amp;AV$65,Com_AllFuels_SEDS_2022_TBtus!$B$3:$B$53&amp;Com_AllFuels_SEDS_2022_TBtus!$A$3:$A$53,0))))</f>
        <v>0</v>
      </c>
      <c r="AW86" s="74">
        <f t="array" ref="AW86">IF(ISERROR(index(Com_AllFuels_SEDS_2022_TBtus!$U$3:$U$53,match($A73&amp;AW$65,Com_AllFuels_SEDS_2022_TBtus!$B$3:$B$53&amp;Com_AllFuels_SEDS_2022_TBtus!$A$3:$A$53,0))),0,(index(Com_AllFuels_SEDS_2022_TBtus!$U$3:$U$53,match($A73&amp;AW$65,Com_AllFuels_SEDS_2022_TBtus!$B$3:$B$53&amp;Com_AllFuels_SEDS_2022_TBtus!$A$3:$A$53,0))))</f>
        <v>0</v>
      </c>
      <c r="AX86" s="74">
        <f t="array" ref="AX86">IF(ISERROR(index(Com_AllFuels_SEDS_2022_TBtus!$U$3:$U$53,match($A73&amp;AX$65,Com_AllFuels_SEDS_2022_TBtus!$B$3:$B$53&amp;Com_AllFuels_SEDS_2022_TBtus!$A$3:$A$53,0))),0,(index(Com_AllFuels_SEDS_2022_TBtus!$U$3:$U$53,match($A73&amp;AX$65,Com_AllFuels_SEDS_2022_TBtus!$B$3:$B$53&amp;Com_AllFuels_SEDS_2022_TBtus!$A$3:$A$53,0))))</f>
        <v>0</v>
      </c>
      <c r="AY86" s="74">
        <f t="array" ref="AY86">IF(ISERROR(index(Com_AllFuels_SEDS_2022_TBtus!$U$3:$U$53,match($A73&amp;AY$65,Com_AllFuels_SEDS_2022_TBtus!$B$3:$B$53&amp;Com_AllFuels_SEDS_2022_TBtus!$A$3:$A$53,0))),0,(index(Com_AllFuels_SEDS_2022_TBtus!$U$3:$U$53,match($A73&amp;AY$65,Com_AllFuels_SEDS_2022_TBtus!$B$3:$B$53&amp;Com_AllFuels_SEDS_2022_TBtus!$A$3:$A$53,0))))</f>
        <v>0</v>
      </c>
      <c r="AZ86" s="74">
        <f t="array" ref="AZ86">IF(ISERROR(index(Com_AllFuels_SEDS_2022_TBtus!$U$3:$U$53,match($A73&amp;AZ$65,Com_AllFuels_SEDS_2022_TBtus!$B$3:$B$53&amp;Com_AllFuels_SEDS_2022_TBtus!$A$3:$A$53,0))),0,(index(Com_AllFuels_SEDS_2022_TBtus!$U$3:$U$53,match($A73&amp;AZ$65,Com_AllFuels_SEDS_2022_TBtus!$B$3:$B$53&amp;Com_AllFuels_SEDS_2022_TBtus!$A$3:$A$53,0))))</f>
        <v>12.8</v>
      </c>
      <c r="BA86" s="74">
        <f t="shared" si="3"/>
        <v>357.8</v>
      </c>
    </row>
    <row r="87" ht="15.75" customHeight="1">
      <c r="A87" s="74">
        <v>9.0</v>
      </c>
      <c r="B87" s="74">
        <f t="array" ref="B87">IF(ISERROR(index(Com_AllFuels_SEDS_2022_TBtus!$U$3:$U$53,match($A74&amp;B$65,Com_AllFuels_SEDS_2022_TBtus!$B$3:$B$53&amp;Com_AllFuels_SEDS_2022_TBtus!$A$3:$A$53,0))),0,(index(Com_AllFuels_SEDS_2022_TBtus!$U$3:$U$53,match($A74&amp;B$65,Com_AllFuels_SEDS_2022_TBtus!$B$3:$B$53&amp;Com_AllFuels_SEDS_2022_TBtus!$A$3:$A$53,0))))</f>
        <v>0</v>
      </c>
      <c r="C87" s="74">
        <f t="array" ref="C87">IF(ISERROR(index(Com_AllFuels_SEDS_2022_TBtus!$U$3:$U$53,match($A74&amp;C$65,Com_AllFuels_SEDS_2022_TBtus!$B$3:$B$53&amp;Com_AllFuels_SEDS_2022_TBtus!$A$3:$A$53,0))),0,(index(Com_AllFuels_SEDS_2022_TBtus!$U$3:$U$53,match($A74&amp;C$65,Com_AllFuels_SEDS_2022_TBtus!$B$3:$B$53&amp;Com_AllFuels_SEDS_2022_TBtus!$A$3:$A$53,0))))</f>
        <v>8.9</v>
      </c>
      <c r="D87" s="74">
        <f t="array" ref="D87">IF(ISERROR(index(Com_AllFuels_SEDS_2022_TBtus!$U$3:$U$53,match($A74&amp;D$65,Com_AllFuels_SEDS_2022_TBtus!$B$3:$B$53&amp;Com_AllFuels_SEDS_2022_TBtus!$A$3:$A$53,0))),0,(index(Com_AllFuels_SEDS_2022_TBtus!$U$3:$U$53,match($A74&amp;D$65,Com_AllFuels_SEDS_2022_TBtus!$B$3:$B$53&amp;Com_AllFuels_SEDS_2022_TBtus!$A$3:$A$53,0))))</f>
        <v>0</v>
      </c>
      <c r="E87" s="74">
        <f t="array" ref="E87">IF(ISERROR(index(Com_AllFuels_SEDS_2022_TBtus!$U$3:$U$53,match($A74&amp;E$65,Com_AllFuels_SEDS_2022_TBtus!$B$3:$B$53&amp;Com_AllFuels_SEDS_2022_TBtus!$A$3:$A$53,0))),0,(index(Com_AllFuels_SEDS_2022_TBtus!$U$3:$U$53,match($A74&amp;E$65,Com_AllFuels_SEDS_2022_TBtus!$B$3:$B$53&amp;Com_AllFuels_SEDS_2022_TBtus!$A$3:$A$53,0))))</f>
        <v>0</v>
      </c>
      <c r="F87" s="74">
        <f t="array" ref="F87">IF(ISERROR(index(Com_AllFuels_SEDS_2022_TBtus!$U$3:$U$53,match($A74&amp;F$65,Com_AllFuels_SEDS_2022_TBtus!$B$3:$B$53&amp;Com_AllFuels_SEDS_2022_TBtus!$A$3:$A$53,0))),0,(index(Com_AllFuels_SEDS_2022_TBtus!$U$3:$U$53,match($A74&amp;F$65,Com_AllFuels_SEDS_2022_TBtus!$B$3:$B$53&amp;Com_AllFuels_SEDS_2022_TBtus!$A$3:$A$53,0))))</f>
        <v>409</v>
      </c>
      <c r="G87" s="74">
        <f t="array" ref="G87">IF(ISERROR(index(Com_AllFuels_SEDS_2022_TBtus!$U$3:$U$53,match($A74&amp;G$65,Com_AllFuels_SEDS_2022_TBtus!$B$3:$B$53&amp;Com_AllFuels_SEDS_2022_TBtus!$A$3:$A$53,0))),0,(index(Com_AllFuels_SEDS_2022_TBtus!$U$3:$U$53,match($A74&amp;G$65,Com_AllFuels_SEDS_2022_TBtus!$B$3:$B$53&amp;Com_AllFuels_SEDS_2022_TBtus!$A$3:$A$53,0))))</f>
        <v>0</v>
      </c>
      <c r="H87" s="74">
        <f t="array" ref="H87">IF(ISERROR(index(Com_AllFuels_SEDS_2022_TBtus!$U$3:$U$53,match($A74&amp;H$65,Com_AllFuels_SEDS_2022_TBtus!$B$3:$B$53&amp;Com_AllFuels_SEDS_2022_TBtus!$A$3:$A$53,0))),0,(index(Com_AllFuels_SEDS_2022_TBtus!$U$3:$U$53,match($A74&amp;H$65,Com_AllFuels_SEDS_2022_TBtus!$B$3:$B$53&amp;Com_AllFuels_SEDS_2022_TBtus!$A$3:$A$53,0))))</f>
        <v>0</v>
      </c>
      <c r="I87" s="74">
        <f t="array" ref="I87">IF(ISERROR(index(Com_AllFuels_SEDS_2022_TBtus!$U$3:$U$53,match($A74&amp;I$65,Com_AllFuels_SEDS_2022_TBtus!$B$3:$B$53&amp;Com_AllFuels_SEDS_2022_TBtus!$A$3:$A$53,0))),0,(index(Com_AllFuels_SEDS_2022_TBtus!$U$3:$U$53,match($A74&amp;I$65,Com_AllFuels_SEDS_2022_TBtus!$B$3:$B$53&amp;Com_AllFuels_SEDS_2022_TBtus!$A$3:$A$53,0))))</f>
        <v>0</v>
      </c>
      <c r="J87" s="74">
        <f t="array" ref="J87">IF(ISERROR(index(Com_AllFuels_SEDS_2022_TBtus!$U$3:$U$53,match($A74&amp;J$65,Com_AllFuels_SEDS_2022_TBtus!$B$3:$B$53&amp;Com_AllFuels_SEDS_2022_TBtus!$A$3:$A$53,0))),0,(index(Com_AllFuels_SEDS_2022_TBtus!$U$3:$U$53,match($A74&amp;J$65,Com_AllFuels_SEDS_2022_TBtus!$B$3:$B$53&amp;Com_AllFuels_SEDS_2022_TBtus!$A$3:$A$53,0))))</f>
        <v>0</v>
      </c>
      <c r="K87" s="74">
        <f t="array" ref="K87">IF(ISERROR(index(Com_AllFuels_SEDS_2022_TBtus!$U$3:$U$53,match($A74&amp;K$65,Com_AllFuels_SEDS_2022_TBtus!$B$3:$B$53&amp;Com_AllFuels_SEDS_2022_TBtus!$A$3:$A$53,0))),0,(index(Com_AllFuels_SEDS_2022_TBtus!$U$3:$U$53,match($A74&amp;K$65,Com_AllFuels_SEDS_2022_TBtus!$B$3:$B$53&amp;Com_AllFuels_SEDS_2022_TBtus!$A$3:$A$53,0))))</f>
        <v>0</v>
      </c>
      <c r="L87" s="74">
        <f t="array" ref="L87">IF(ISERROR(index(Com_AllFuels_SEDS_2022_TBtus!$U$3:$U$53,match($A74&amp;L$65,Com_AllFuels_SEDS_2022_TBtus!$B$3:$B$53&amp;Com_AllFuels_SEDS_2022_TBtus!$A$3:$A$53,0))),0,(index(Com_AllFuels_SEDS_2022_TBtus!$U$3:$U$53,match($A74&amp;L$65,Com_AllFuels_SEDS_2022_TBtus!$B$3:$B$53&amp;Com_AllFuels_SEDS_2022_TBtus!$A$3:$A$53,0))))</f>
        <v>0</v>
      </c>
      <c r="M87" s="74">
        <f t="array" ref="M87">IF(ISERROR(index(Com_AllFuels_SEDS_2022_TBtus!$U$3:$U$53,match($A74&amp;M$65,Com_AllFuels_SEDS_2022_TBtus!$B$3:$B$53&amp;Com_AllFuels_SEDS_2022_TBtus!$A$3:$A$53,0))),0,(index(Com_AllFuels_SEDS_2022_TBtus!$U$3:$U$53,match($A74&amp;M$65,Com_AllFuels_SEDS_2022_TBtus!$B$3:$B$53&amp;Com_AllFuels_SEDS_2022_TBtus!$A$3:$A$53,0))))</f>
        <v>11.4</v>
      </c>
      <c r="N87" s="74">
        <f t="array" ref="N87">IF(ISERROR(index(Com_AllFuels_SEDS_2022_TBtus!$U$3:$U$53,match($A74&amp;N$65,Com_AllFuels_SEDS_2022_TBtus!$B$3:$B$53&amp;Com_AllFuels_SEDS_2022_TBtus!$A$3:$A$53,0))),0,(index(Com_AllFuels_SEDS_2022_TBtus!$U$3:$U$53,match($A74&amp;N$65,Com_AllFuels_SEDS_2022_TBtus!$B$3:$B$53&amp;Com_AllFuels_SEDS_2022_TBtus!$A$3:$A$53,0))))</f>
        <v>0</v>
      </c>
      <c r="O87" s="74">
        <f t="array" ref="O87">IF(ISERROR(index(Com_AllFuels_SEDS_2022_TBtus!$U$3:$U$53,match($A74&amp;O$65,Com_AllFuels_SEDS_2022_TBtus!$B$3:$B$53&amp;Com_AllFuels_SEDS_2022_TBtus!$A$3:$A$53,0))),0,(index(Com_AllFuels_SEDS_2022_TBtus!$U$3:$U$53,match($A74&amp;O$65,Com_AllFuels_SEDS_2022_TBtus!$B$3:$B$53&amp;Com_AllFuels_SEDS_2022_TBtus!$A$3:$A$53,0))))</f>
        <v>0</v>
      </c>
      <c r="P87" s="74">
        <f t="array" ref="P87">IF(ISERROR(index(Com_AllFuels_SEDS_2022_TBtus!$U$3:$U$53,match($A74&amp;P$65,Com_AllFuels_SEDS_2022_TBtus!$B$3:$B$53&amp;Com_AllFuels_SEDS_2022_TBtus!$A$3:$A$53,0))),0,(index(Com_AllFuels_SEDS_2022_TBtus!$U$3:$U$53,match($A74&amp;P$65,Com_AllFuels_SEDS_2022_TBtus!$B$3:$B$53&amp;Com_AllFuels_SEDS_2022_TBtus!$A$3:$A$53,0))))</f>
        <v>0</v>
      </c>
      <c r="Q87" s="74">
        <f t="array" ref="Q87">IF(ISERROR(index(Com_AllFuels_SEDS_2022_TBtus!$U$3:$U$53,match($A74&amp;Q$65,Com_AllFuels_SEDS_2022_TBtus!$B$3:$B$53&amp;Com_AllFuels_SEDS_2022_TBtus!$A$3:$A$53,0))),0,(index(Com_AllFuels_SEDS_2022_TBtus!$U$3:$U$53,match($A74&amp;Q$65,Com_AllFuels_SEDS_2022_TBtus!$B$3:$B$53&amp;Com_AllFuels_SEDS_2022_TBtus!$A$3:$A$53,0))))</f>
        <v>0</v>
      </c>
      <c r="R87" s="74">
        <f t="array" ref="R87">IF(ISERROR(index(Com_AllFuels_SEDS_2022_TBtus!$U$3:$U$53,match($A74&amp;R$65,Com_AllFuels_SEDS_2022_TBtus!$B$3:$B$53&amp;Com_AllFuels_SEDS_2022_TBtus!$A$3:$A$53,0))),0,(index(Com_AllFuels_SEDS_2022_TBtus!$U$3:$U$53,match($A74&amp;R$65,Com_AllFuels_SEDS_2022_TBtus!$B$3:$B$53&amp;Com_AllFuels_SEDS_2022_TBtus!$A$3:$A$53,0))))</f>
        <v>0</v>
      </c>
      <c r="S87" s="74">
        <f t="array" ref="S87">IF(ISERROR(index(Com_AllFuels_SEDS_2022_TBtus!$U$3:$U$53,match($A74&amp;S$65,Com_AllFuels_SEDS_2022_TBtus!$B$3:$B$53&amp;Com_AllFuels_SEDS_2022_TBtus!$A$3:$A$53,0))),0,(index(Com_AllFuels_SEDS_2022_TBtus!$U$3:$U$53,match($A74&amp;S$65,Com_AllFuels_SEDS_2022_TBtus!$B$3:$B$53&amp;Com_AllFuels_SEDS_2022_TBtus!$A$3:$A$53,0))))</f>
        <v>0</v>
      </c>
      <c r="T87" s="74">
        <f t="array" ref="T87">IF(ISERROR(index(Com_AllFuels_SEDS_2022_TBtus!$U$3:$U$53,match($A74&amp;T$65,Com_AllFuels_SEDS_2022_TBtus!$B$3:$B$53&amp;Com_AllFuels_SEDS_2022_TBtus!$A$3:$A$53,0))),0,(index(Com_AllFuels_SEDS_2022_TBtus!$U$3:$U$53,match($A74&amp;T$65,Com_AllFuels_SEDS_2022_TBtus!$B$3:$B$53&amp;Com_AllFuels_SEDS_2022_TBtus!$A$3:$A$53,0))))</f>
        <v>0</v>
      </c>
      <c r="U87" s="74">
        <f t="array" ref="U87">IF(ISERROR(index(Com_AllFuels_SEDS_2022_TBtus!$U$3:$U$53,match($A74&amp;U$65,Com_AllFuels_SEDS_2022_TBtus!$B$3:$B$53&amp;Com_AllFuels_SEDS_2022_TBtus!$A$3:$A$53,0))),0,(index(Com_AllFuels_SEDS_2022_TBtus!$U$3:$U$53,match($A74&amp;U$65,Com_AllFuels_SEDS_2022_TBtus!$B$3:$B$53&amp;Com_AllFuels_SEDS_2022_TBtus!$A$3:$A$53,0))))</f>
        <v>0</v>
      </c>
      <c r="V87" s="74">
        <f t="array" ref="V87">IF(ISERROR(index(Com_AllFuels_SEDS_2022_TBtus!$U$3:$U$53,match($A74&amp;V$65,Com_AllFuels_SEDS_2022_TBtus!$B$3:$B$53&amp;Com_AllFuels_SEDS_2022_TBtus!$A$3:$A$53,0))),0,(index(Com_AllFuels_SEDS_2022_TBtus!$U$3:$U$53,match($A74&amp;V$65,Com_AllFuels_SEDS_2022_TBtus!$B$3:$B$53&amp;Com_AllFuels_SEDS_2022_TBtus!$A$3:$A$53,0))))</f>
        <v>0</v>
      </c>
      <c r="W87" s="74">
        <f t="array" ref="W87">IF(ISERROR(index(Com_AllFuels_SEDS_2022_TBtus!$U$3:$U$53,match($A74&amp;W$65,Com_AllFuels_SEDS_2022_TBtus!$B$3:$B$53&amp;Com_AllFuels_SEDS_2022_TBtus!$A$3:$A$53,0))),0,(index(Com_AllFuels_SEDS_2022_TBtus!$U$3:$U$53,match($A74&amp;W$65,Com_AllFuels_SEDS_2022_TBtus!$B$3:$B$53&amp;Com_AllFuels_SEDS_2022_TBtus!$A$3:$A$53,0))))</f>
        <v>0</v>
      </c>
      <c r="X87" s="74">
        <f t="array" ref="X87">IF(ISERROR(index(Com_AllFuels_SEDS_2022_TBtus!$U$3:$U$53,match($A74&amp;X$65,Com_AllFuels_SEDS_2022_TBtus!$B$3:$B$53&amp;Com_AllFuels_SEDS_2022_TBtus!$A$3:$A$53,0))),0,(index(Com_AllFuels_SEDS_2022_TBtus!$U$3:$U$53,match($A74&amp;X$65,Com_AllFuels_SEDS_2022_TBtus!$B$3:$B$53&amp;Com_AllFuels_SEDS_2022_TBtus!$A$3:$A$53,0))))</f>
        <v>0</v>
      </c>
      <c r="Y87" s="74">
        <f t="array" ref="Y87">IF(ISERROR(index(Com_AllFuels_SEDS_2022_TBtus!$U$3:$U$53,match($A74&amp;Y$65,Com_AllFuels_SEDS_2022_TBtus!$B$3:$B$53&amp;Com_AllFuels_SEDS_2022_TBtus!$A$3:$A$53,0))),0,(index(Com_AllFuels_SEDS_2022_TBtus!$U$3:$U$53,match($A74&amp;Y$65,Com_AllFuels_SEDS_2022_TBtus!$B$3:$B$53&amp;Com_AllFuels_SEDS_2022_TBtus!$A$3:$A$53,0))))</f>
        <v>0</v>
      </c>
      <c r="Z87" s="74">
        <f t="array" ref="Z87">IF(ISERROR(index(Com_AllFuels_SEDS_2022_TBtus!$U$3:$U$53,match($A74&amp;Z$65,Com_AllFuels_SEDS_2022_TBtus!$B$3:$B$53&amp;Com_AllFuels_SEDS_2022_TBtus!$A$3:$A$53,0))),0,(index(Com_AllFuels_SEDS_2022_TBtus!$U$3:$U$53,match($A74&amp;Z$65,Com_AllFuels_SEDS_2022_TBtus!$B$3:$B$53&amp;Com_AllFuels_SEDS_2022_TBtus!$A$3:$A$53,0))))</f>
        <v>0</v>
      </c>
      <c r="AA87" s="74">
        <f t="array" ref="AA87">IF(ISERROR(index(Com_AllFuels_SEDS_2022_TBtus!$U$3:$U$53,match($A74&amp;AA$65,Com_AllFuels_SEDS_2022_TBtus!$B$3:$B$53&amp;Com_AllFuels_SEDS_2022_TBtus!$A$3:$A$53,0))),0,(index(Com_AllFuels_SEDS_2022_TBtus!$U$3:$U$53,match($A74&amp;AA$65,Com_AllFuels_SEDS_2022_TBtus!$B$3:$B$53&amp;Com_AllFuels_SEDS_2022_TBtus!$A$3:$A$53,0))))</f>
        <v>0</v>
      </c>
      <c r="AB87" s="74">
        <f t="array" ref="AB87">IF(ISERROR(index(Com_AllFuels_SEDS_2022_TBtus!$U$3:$U$53,match($A74&amp;AB$65,Com_AllFuels_SEDS_2022_TBtus!$B$3:$B$53&amp;Com_AllFuels_SEDS_2022_TBtus!$A$3:$A$53,0))),0,(index(Com_AllFuels_SEDS_2022_TBtus!$U$3:$U$53,match($A74&amp;AB$65,Com_AllFuels_SEDS_2022_TBtus!$B$3:$B$53&amp;Com_AllFuels_SEDS_2022_TBtus!$A$3:$A$53,0))))</f>
        <v>0</v>
      </c>
      <c r="AC87" s="74">
        <f t="array" ref="AC87">IF(ISERROR(index(Com_AllFuels_SEDS_2022_TBtus!$U$3:$U$53,match($A74&amp;AC$65,Com_AllFuels_SEDS_2022_TBtus!$B$3:$B$53&amp;Com_AllFuels_SEDS_2022_TBtus!$A$3:$A$53,0))),0,(index(Com_AllFuels_SEDS_2022_TBtus!$U$3:$U$53,match($A74&amp;AC$65,Com_AllFuels_SEDS_2022_TBtus!$B$3:$B$53&amp;Com_AllFuels_SEDS_2022_TBtus!$A$3:$A$53,0))))</f>
        <v>0</v>
      </c>
      <c r="AD87" s="74">
        <f t="array" ref="AD87">IF(ISERROR(index(Com_AllFuels_SEDS_2022_TBtus!$U$3:$U$53,match($A74&amp;AD$65,Com_AllFuels_SEDS_2022_TBtus!$B$3:$B$53&amp;Com_AllFuels_SEDS_2022_TBtus!$A$3:$A$53,0))),0,(index(Com_AllFuels_SEDS_2022_TBtus!$U$3:$U$53,match($A74&amp;AD$65,Com_AllFuels_SEDS_2022_TBtus!$B$3:$B$53&amp;Com_AllFuels_SEDS_2022_TBtus!$A$3:$A$53,0))))</f>
        <v>0</v>
      </c>
      <c r="AE87" s="74">
        <f t="array" ref="AE87">IF(ISERROR(index(Com_AllFuels_SEDS_2022_TBtus!$U$3:$U$53,match($A74&amp;AE$65,Com_AllFuels_SEDS_2022_TBtus!$B$3:$B$53&amp;Com_AllFuels_SEDS_2022_TBtus!$A$3:$A$53,0))),0,(index(Com_AllFuels_SEDS_2022_TBtus!$U$3:$U$53,match($A74&amp;AE$65,Com_AllFuels_SEDS_2022_TBtus!$B$3:$B$53&amp;Com_AllFuels_SEDS_2022_TBtus!$A$3:$A$53,0))))</f>
        <v>0</v>
      </c>
      <c r="AF87" s="74">
        <f t="array" ref="AF87">IF(ISERROR(index(Com_AllFuels_SEDS_2022_TBtus!$U$3:$U$53,match($A74&amp;AF$65,Com_AllFuels_SEDS_2022_TBtus!$B$3:$B$53&amp;Com_AllFuels_SEDS_2022_TBtus!$A$3:$A$53,0))),0,(index(Com_AllFuels_SEDS_2022_TBtus!$U$3:$U$53,match($A74&amp;AF$65,Com_AllFuels_SEDS_2022_TBtus!$B$3:$B$53&amp;Com_AllFuels_SEDS_2022_TBtus!$A$3:$A$53,0))))</f>
        <v>0</v>
      </c>
      <c r="AG87" s="74">
        <f t="array" ref="AG87">IF(ISERROR(index(Com_AllFuels_SEDS_2022_TBtus!$U$3:$U$53,match($A74&amp;AG$65,Com_AllFuels_SEDS_2022_TBtus!$B$3:$B$53&amp;Com_AllFuels_SEDS_2022_TBtus!$A$3:$A$53,0))),0,(index(Com_AllFuels_SEDS_2022_TBtus!$U$3:$U$53,match($A74&amp;AG$65,Com_AllFuels_SEDS_2022_TBtus!$B$3:$B$53&amp;Com_AllFuels_SEDS_2022_TBtus!$A$3:$A$53,0))))</f>
        <v>0</v>
      </c>
      <c r="AH87" s="74">
        <f t="array" ref="AH87">IF(ISERROR(index(Com_AllFuels_SEDS_2022_TBtus!$U$3:$U$53,match($A74&amp;AH$65,Com_AllFuels_SEDS_2022_TBtus!$B$3:$B$53&amp;Com_AllFuels_SEDS_2022_TBtus!$A$3:$A$53,0))),0,(index(Com_AllFuels_SEDS_2022_TBtus!$U$3:$U$53,match($A74&amp;AH$65,Com_AllFuels_SEDS_2022_TBtus!$B$3:$B$53&amp;Com_AllFuels_SEDS_2022_TBtus!$A$3:$A$53,0))))</f>
        <v>0</v>
      </c>
      <c r="AI87" s="74">
        <f t="array" ref="AI87">IF(ISERROR(index(Com_AllFuels_SEDS_2022_TBtus!$U$3:$U$53,match($A74&amp;AI$65,Com_AllFuels_SEDS_2022_TBtus!$B$3:$B$53&amp;Com_AllFuels_SEDS_2022_TBtus!$A$3:$A$53,0))),0,(index(Com_AllFuels_SEDS_2022_TBtus!$U$3:$U$53,match($A74&amp;AI$65,Com_AllFuels_SEDS_2022_TBtus!$B$3:$B$53&amp;Com_AllFuels_SEDS_2022_TBtus!$A$3:$A$53,0))))</f>
        <v>0</v>
      </c>
      <c r="AJ87" s="74">
        <f t="array" ref="AJ87">IF(ISERROR(index(Com_AllFuels_SEDS_2022_TBtus!$U$3:$U$53,match($A74&amp;AJ$65,Com_AllFuels_SEDS_2022_TBtus!$B$3:$B$53&amp;Com_AllFuels_SEDS_2022_TBtus!$A$3:$A$53,0))),0,(index(Com_AllFuels_SEDS_2022_TBtus!$U$3:$U$53,match($A74&amp;AJ$65,Com_AllFuels_SEDS_2022_TBtus!$B$3:$B$53&amp;Com_AllFuels_SEDS_2022_TBtus!$A$3:$A$53,0))))</f>
        <v>0</v>
      </c>
      <c r="AK87" s="74">
        <f t="array" ref="AK87">IF(ISERROR(index(Com_AllFuels_SEDS_2022_TBtus!$U$3:$U$53,match($A74&amp;AK$65,Com_AllFuels_SEDS_2022_TBtus!$B$3:$B$53&amp;Com_AllFuels_SEDS_2022_TBtus!$A$3:$A$53,0))),0,(index(Com_AllFuels_SEDS_2022_TBtus!$U$3:$U$53,match($A74&amp;AK$65,Com_AllFuels_SEDS_2022_TBtus!$B$3:$B$53&amp;Com_AllFuels_SEDS_2022_TBtus!$A$3:$A$53,0))))</f>
        <v>0</v>
      </c>
      <c r="AL87" s="74">
        <f t="array" ref="AL87">IF(ISERROR(index(Com_AllFuels_SEDS_2022_TBtus!$U$3:$U$53,match($A74&amp;AL$65,Com_AllFuels_SEDS_2022_TBtus!$B$3:$B$53&amp;Com_AllFuels_SEDS_2022_TBtus!$A$3:$A$53,0))),0,(index(Com_AllFuels_SEDS_2022_TBtus!$U$3:$U$53,match($A74&amp;AL$65,Com_AllFuels_SEDS_2022_TBtus!$B$3:$B$53&amp;Com_AllFuels_SEDS_2022_TBtus!$A$3:$A$53,0))))</f>
        <v>0</v>
      </c>
      <c r="AM87" s="74">
        <f t="array" ref="AM87">IF(ISERROR(index(Com_AllFuels_SEDS_2022_TBtus!$U$3:$U$53,match($A74&amp;AM$65,Com_AllFuels_SEDS_2022_TBtus!$B$3:$B$53&amp;Com_AllFuels_SEDS_2022_TBtus!$A$3:$A$53,0))),0,(index(Com_AllFuels_SEDS_2022_TBtus!$U$3:$U$53,match($A74&amp;AM$65,Com_AllFuels_SEDS_2022_TBtus!$B$3:$B$53&amp;Com_AllFuels_SEDS_2022_TBtus!$A$3:$A$53,0))))</f>
        <v>57.9</v>
      </c>
      <c r="AN87" s="74">
        <f t="array" ref="AN87">IF(ISERROR(index(Com_AllFuels_SEDS_2022_TBtus!$U$3:$U$53,match($A74&amp;AN$65,Com_AllFuels_SEDS_2022_TBtus!$B$3:$B$53&amp;Com_AllFuels_SEDS_2022_TBtus!$A$3:$A$53,0))),0,(index(Com_AllFuels_SEDS_2022_TBtus!$U$3:$U$53,match($A74&amp;AN$65,Com_AllFuels_SEDS_2022_TBtus!$B$3:$B$53&amp;Com_AllFuels_SEDS_2022_TBtus!$A$3:$A$53,0))))</f>
        <v>0</v>
      </c>
      <c r="AO87" s="74">
        <f t="array" ref="AO87">IF(ISERROR(index(Com_AllFuels_SEDS_2022_TBtus!$U$3:$U$53,match($A74&amp;AO$65,Com_AllFuels_SEDS_2022_TBtus!$B$3:$B$53&amp;Com_AllFuels_SEDS_2022_TBtus!$A$3:$A$53,0))),0,(index(Com_AllFuels_SEDS_2022_TBtus!$U$3:$U$53,match($A74&amp;AO$65,Com_AllFuels_SEDS_2022_TBtus!$B$3:$B$53&amp;Com_AllFuels_SEDS_2022_TBtus!$A$3:$A$53,0))))</f>
        <v>0</v>
      </c>
      <c r="AP87" s="74">
        <f t="array" ref="AP87">IF(ISERROR(index(Com_AllFuels_SEDS_2022_TBtus!$U$3:$U$53,match($A74&amp;AP$65,Com_AllFuels_SEDS_2022_TBtus!$B$3:$B$53&amp;Com_AllFuels_SEDS_2022_TBtus!$A$3:$A$53,0))),0,(index(Com_AllFuels_SEDS_2022_TBtus!$U$3:$U$53,match($A74&amp;AP$65,Com_AllFuels_SEDS_2022_TBtus!$B$3:$B$53&amp;Com_AllFuels_SEDS_2022_TBtus!$A$3:$A$53,0))))</f>
        <v>0</v>
      </c>
      <c r="AQ87" s="74">
        <f t="array" ref="AQ87">IF(ISERROR(index(Com_AllFuels_SEDS_2022_TBtus!$U$3:$U$53,match($A74&amp;AQ$65,Com_AllFuels_SEDS_2022_TBtus!$B$3:$B$53&amp;Com_AllFuels_SEDS_2022_TBtus!$A$3:$A$53,0))),0,(index(Com_AllFuels_SEDS_2022_TBtus!$U$3:$U$53,match($A74&amp;AQ$65,Com_AllFuels_SEDS_2022_TBtus!$B$3:$B$53&amp;Com_AllFuels_SEDS_2022_TBtus!$A$3:$A$53,0))))</f>
        <v>0</v>
      </c>
      <c r="AR87" s="74">
        <f t="array" ref="AR87">IF(ISERROR(index(Com_AllFuels_SEDS_2022_TBtus!$U$3:$U$53,match($A74&amp;AR$65,Com_AllFuels_SEDS_2022_TBtus!$B$3:$B$53&amp;Com_AllFuels_SEDS_2022_TBtus!$A$3:$A$53,0))),0,(index(Com_AllFuels_SEDS_2022_TBtus!$U$3:$U$53,match($A74&amp;AR$65,Com_AllFuels_SEDS_2022_TBtus!$B$3:$B$53&amp;Com_AllFuels_SEDS_2022_TBtus!$A$3:$A$53,0))))</f>
        <v>0</v>
      </c>
      <c r="AS87" s="74">
        <f t="array" ref="AS87">IF(ISERROR(index(Com_AllFuels_SEDS_2022_TBtus!$U$3:$U$53,match($A74&amp;AS$65,Com_AllFuels_SEDS_2022_TBtus!$B$3:$B$53&amp;Com_AllFuels_SEDS_2022_TBtus!$A$3:$A$53,0))),0,(index(Com_AllFuels_SEDS_2022_TBtus!$U$3:$U$53,match($A74&amp;AS$65,Com_AllFuels_SEDS_2022_TBtus!$B$3:$B$53&amp;Com_AllFuels_SEDS_2022_TBtus!$A$3:$A$53,0))))</f>
        <v>0</v>
      </c>
      <c r="AT87" s="74">
        <f t="array" ref="AT87">IF(ISERROR(index(Com_AllFuels_SEDS_2022_TBtus!$U$3:$U$53,match($A74&amp;AT$65,Com_AllFuels_SEDS_2022_TBtus!$B$3:$B$53&amp;Com_AllFuels_SEDS_2022_TBtus!$A$3:$A$53,0))),0,(index(Com_AllFuels_SEDS_2022_TBtus!$U$3:$U$53,match($A74&amp;AT$65,Com_AllFuels_SEDS_2022_TBtus!$B$3:$B$53&amp;Com_AllFuels_SEDS_2022_TBtus!$A$3:$A$53,0))))</f>
        <v>0</v>
      </c>
      <c r="AU87" s="74">
        <f t="array" ref="AU87">IF(ISERROR(index(Com_AllFuels_SEDS_2022_TBtus!$U$3:$U$53,match($A74&amp;AU$65,Com_AllFuels_SEDS_2022_TBtus!$B$3:$B$53&amp;Com_AllFuels_SEDS_2022_TBtus!$A$3:$A$53,0))),0,(index(Com_AllFuels_SEDS_2022_TBtus!$U$3:$U$53,match($A74&amp;AU$65,Com_AllFuels_SEDS_2022_TBtus!$B$3:$B$53&amp;Com_AllFuels_SEDS_2022_TBtus!$A$3:$A$53,0))))</f>
        <v>0</v>
      </c>
      <c r="AV87" s="74">
        <f t="array" ref="AV87">IF(ISERROR(index(Com_AllFuels_SEDS_2022_TBtus!$U$3:$U$53,match($A74&amp;AV$65,Com_AllFuels_SEDS_2022_TBtus!$B$3:$B$53&amp;Com_AllFuels_SEDS_2022_TBtus!$A$3:$A$53,0))),0,(index(Com_AllFuels_SEDS_2022_TBtus!$U$3:$U$53,match($A74&amp;AV$65,Com_AllFuels_SEDS_2022_TBtus!$B$3:$B$53&amp;Com_AllFuels_SEDS_2022_TBtus!$A$3:$A$53,0))))</f>
        <v>0</v>
      </c>
      <c r="AW87" s="74">
        <f t="array" ref="AW87">IF(ISERROR(index(Com_AllFuels_SEDS_2022_TBtus!$U$3:$U$53,match($A74&amp;AW$65,Com_AllFuels_SEDS_2022_TBtus!$B$3:$B$53&amp;Com_AllFuels_SEDS_2022_TBtus!$A$3:$A$53,0))),0,(index(Com_AllFuels_SEDS_2022_TBtus!$U$3:$U$53,match($A74&amp;AW$65,Com_AllFuels_SEDS_2022_TBtus!$B$3:$B$53&amp;Com_AllFuels_SEDS_2022_TBtus!$A$3:$A$53,0))))</f>
        <v>102.6</v>
      </c>
      <c r="AX87" s="74">
        <f t="array" ref="AX87">IF(ISERROR(index(Com_AllFuels_SEDS_2022_TBtus!$U$3:$U$53,match($A74&amp;AX$65,Com_AllFuels_SEDS_2022_TBtus!$B$3:$B$53&amp;Com_AllFuels_SEDS_2022_TBtus!$A$3:$A$53,0))),0,(index(Com_AllFuels_SEDS_2022_TBtus!$U$3:$U$53,match($A74&amp;AX$65,Com_AllFuels_SEDS_2022_TBtus!$B$3:$B$53&amp;Com_AllFuels_SEDS_2022_TBtus!$A$3:$A$53,0))))</f>
        <v>0</v>
      </c>
      <c r="AY87" s="74">
        <f t="array" ref="AY87">IF(ISERROR(index(Com_AllFuels_SEDS_2022_TBtus!$U$3:$U$53,match($A74&amp;AY$65,Com_AllFuels_SEDS_2022_TBtus!$B$3:$B$53&amp;Com_AllFuels_SEDS_2022_TBtus!$A$3:$A$53,0))),0,(index(Com_AllFuels_SEDS_2022_TBtus!$U$3:$U$53,match($A74&amp;AY$65,Com_AllFuels_SEDS_2022_TBtus!$B$3:$B$53&amp;Com_AllFuels_SEDS_2022_TBtus!$A$3:$A$53,0))))</f>
        <v>0</v>
      </c>
      <c r="AZ87" s="74">
        <f t="array" ref="AZ87">IF(ISERROR(index(Com_AllFuels_SEDS_2022_TBtus!$U$3:$U$53,match($A74&amp;AZ$65,Com_AllFuels_SEDS_2022_TBtus!$B$3:$B$53&amp;Com_AllFuels_SEDS_2022_TBtus!$A$3:$A$53,0))),0,(index(Com_AllFuels_SEDS_2022_TBtus!$U$3:$U$53,match($A74&amp;AZ$65,Com_AllFuels_SEDS_2022_TBtus!$B$3:$B$53&amp;Com_AllFuels_SEDS_2022_TBtus!$A$3:$A$53,0))))</f>
        <v>0</v>
      </c>
      <c r="BA87" s="74">
        <f t="shared" si="3"/>
        <v>589.8</v>
      </c>
    </row>
    <row r="88" ht="15.75" customHeight="1">
      <c r="A88" s="52" t="s">
        <v>4207</v>
      </c>
      <c r="B88" s="74">
        <f t="shared" ref="B88:AZ88" si="4">sum(B79:B87)</f>
        <v>76.5</v>
      </c>
      <c r="C88" s="74">
        <f t="shared" si="4"/>
        <v>8.9</v>
      </c>
      <c r="D88" s="74">
        <f t="shared" si="4"/>
        <v>110.5</v>
      </c>
      <c r="E88" s="74">
        <f t="shared" si="4"/>
        <v>40.5</v>
      </c>
      <c r="F88" s="74">
        <f t="shared" si="4"/>
        <v>409</v>
      </c>
      <c r="G88" s="74">
        <f t="shared" si="4"/>
        <v>73.3</v>
      </c>
      <c r="H88" s="74">
        <f t="shared" si="4"/>
        <v>41</v>
      </c>
      <c r="I88" s="74">
        <f t="shared" si="4"/>
        <v>14.8</v>
      </c>
      <c r="J88" s="74">
        <f t="shared" si="4"/>
        <v>25.1</v>
      </c>
      <c r="K88" s="74">
        <f t="shared" si="4"/>
        <v>333.4</v>
      </c>
      <c r="L88" s="74">
        <f t="shared" si="4"/>
        <v>169.2</v>
      </c>
      <c r="M88" s="74">
        <f t="shared" si="4"/>
        <v>11.4</v>
      </c>
      <c r="N88" s="74">
        <f t="shared" si="4"/>
        <v>23.9</v>
      </c>
      <c r="O88" s="74">
        <f t="shared" si="4"/>
        <v>163.4</v>
      </c>
      <c r="P88" s="74">
        <f t="shared" si="4"/>
        <v>81.6</v>
      </c>
      <c r="Q88" s="74">
        <f t="shared" si="4"/>
        <v>43.8</v>
      </c>
      <c r="R88" s="74">
        <f t="shared" si="4"/>
        <v>54.6</v>
      </c>
      <c r="S88" s="74">
        <f t="shared" si="4"/>
        <v>68.1</v>
      </c>
      <c r="T88" s="74">
        <f t="shared" si="4"/>
        <v>81.3</v>
      </c>
      <c r="U88" s="74">
        <f t="shared" si="4"/>
        <v>15</v>
      </c>
      <c r="V88" s="74">
        <f t="shared" si="4"/>
        <v>95.4</v>
      </c>
      <c r="W88" s="74">
        <f t="shared" si="4"/>
        <v>90.9</v>
      </c>
      <c r="X88" s="74">
        <f t="shared" si="4"/>
        <v>127.8</v>
      </c>
      <c r="Y88" s="74">
        <f t="shared" si="4"/>
        <v>77.1</v>
      </c>
      <c r="Z88" s="74">
        <f t="shared" si="4"/>
        <v>48.8</v>
      </c>
      <c r="AA88" s="74">
        <f t="shared" si="4"/>
        <v>102.2</v>
      </c>
      <c r="AB88" s="74">
        <f t="shared" si="4"/>
        <v>17.2</v>
      </c>
      <c r="AC88" s="74">
        <f t="shared" si="4"/>
        <v>33.5</v>
      </c>
      <c r="AD88" s="74">
        <f t="shared" si="4"/>
        <v>43.8</v>
      </c>
      <c r="AE88" s="74">
        <f t="shared" si="4"/>
        <v>14.2</v>
      </c>
      <c r="AF88" s="74">
        <f t="shared" si="4"/>
        <v>132.8</v>
      </c>
      <c r="AG88" s="74">
        <f t="shared" si="4"/>
        <v>31.6</v>
      </c>
      <c r="AH88" s="74">
        <f t="shared" si="4"/>
        <v>253.8</v>
      </c>
      <c r="AI88" s="74">
        <f t="shared" si="4"/>
        <v>169</v>
      </c>
      <c r="AJ88" s="74">
        <f t="shared" si="4"/>
        <v>29</v>
      </c>
      <c r="AK88" s="74">
        <f t="shared" si="4"/>
        <v>158.6</v>
      </c>
      <c r="AL88" s="74">
        <f t="shared" si="4"/>
        <v>75.8</v>
      </c>
      <c r="AM88" s="74">
        <f t="shared" si="4"/>
        <v>57.9</v>
      </c>
      <c r="AN88" s="74">
        <f t="shared" si="4"/>
        <v>128.6</v>
      </c>
      <c r="AO88" s="74">
        <f t="shared" si="4"/>
        <v>14.1</v>
      </c>
      <c r="AP88" s="74">
        <f t="shared" si="4"/>
        <v>82.6</v>
      </c>
      <c r="AQ88" s="74">
        <f t="shared" si="4"/>
        <v>17.8</v>
      </c>
      <c r="AR88" s="74">
        <f t="shared" si="4"/>
        <v>122.1</v>
      </c>
      <c r="AS88" s="74">
        <f t="shared" si="4"/>
        <v>550.7</v>
      </c>
      <c r="AT88" s="74">
        <f t="shared" si="4"/>
        <v>44.7</v>
      </c>
      <c r="AU88" s="74">
        <f t="shared" si="4"/>
        <v>6.8</v>
      </c>
      <c r="AV88" s="74">
        <f t="shared" si="4"/>
        <v>235.1</v>
      </c>
      <c r="AW88" s="74">
        <f t="shared" si="4"/>
        <v>102.6</v>
      </c>
      <c r="AX88" s="74">
        <f t="shared" si="4"/>
        <v>24.8</v>
      </c>
      <c r="AY88" s="74">
        <f t="shared" si="4"/>
        <v>80.2</v>
      </c>
      <c r="AZ88" s="74">
        <f t="shared" si="4"/>
        <v>12.8</v>
      </c>
      <c r="BA88" s="74">
        <f t="shared" si="3"/>
        <v>4827.6</v>
      </c>
    </row>
    <row r="89" ht="15.75" customHeight="1"/>
    <row r="90" ht="15.75" customHeight="1">
      <c r="A90" s="57"/>
      <c r="B90" s="73"/>
      <c r="C90" s="74"/>
      <c r="D90" s="74"/>
      <c r="E90" s="74"/>
      <c r="F90" s="74"/>
      <c r="G90" s="74"/>
      <c r="H90" s="74"/>
      <c r="I90" s="74"/>
      <c r="J90" s="74"/>
      <c r="K90" s="76"/>
      <c r="L90" s="74"/>
    </row>
    <row r="91" ht="15.75" customHeight="1">
      <c r="A91" s="57"/>
      <c r="B91" s="73"/>
      <c r="C91" s="74"/>
      <c r="D91" s="74"/>
      <c r="E91" s="74"/>
      <c r="F91" s="74"/>
      <c r="G91" s="74"/>
      <c r="H91" s="74"/>
      <c r="I91" s="74"/>
      <c r="J91" s="76"/>
      <c r="K91" s="74"/>
      <c r="L91" s="74"/>
    </row>
    <row r="92" ht="15.75" customHeight="1">
      <c r="A92" s="57"/>
      <c r="B92" s="73"/>
      <c r="C92" s="74"/>
      <c r="D92" s="74"/>
      <c r="E92" s="76"/>
      <c r="F92" s="74"/>
      <c r="G92" s="74"/>
      <c r="H92" s="74"/>
      <c r="I92" s="74"/>
      <c r="J92" s="74"/>
      <c r="K92" s="74"/>
      <c r="L92" s="74"/>
    </row>
    <row r="93" ht="15.75" customHeight="1">
      <c r="A93" s="57"/>
      <c r="B93" s="73"/>
      <c r="C93" s="74"/>
      <c r="D93" s="74"/>
      <c r="E93" s="76"/>
      <c r="F93" s="74"/>
      <c r="G93" s="74"/>
      <c r="H93" s="74"/>
      <c r="I93" s="74"/>
      <c r="J93" s="74"/>
      <c r="K93" s="74"/>
      <c r="L93" s="74"/>
    </row>
    <row r="94" ht="15.75" customHeight="1">
      <c r="A94" s="57"/>
      <c r="B94" s="73"/>
      <c r="C94" s="74"/>
      <c r="D94" s="74"/>
      <c r="E94" s="74"/>
      <c r="F94" s="76"/>
      <c r="G94" s="74"/>
      <c r="H94" s="74"/>
      <c r="I94" s="74"/>
      <c r="J94" s="74"/>
      <c r="K94" s="74"/>
      <c r="L94" s="74"/>
    </row>
    <row r="95" ht="15.75" customHeight="1">
      <c r="A95" s="57"/>
      <c r="B95" s="73"/>
      <c r="C95" s="74"/>
      <c r="D95" s="74"/>
      <c r="E95" s="74"/>
      <c r="F95" s="76"/>
      <c r="G95" s="74"/>
      <c r="H95" s="74"/>
      <c r="I95" s="74"/>
      <c r="J95" s="74"/>
      <c r="K95" s="74"/>
      <c r="L95" s="74"/>
    </row>
    <row r="96" ht="15.75" customHeight="1">
      <c r="A96" s="57"/>
      <c r="B96" s="73"/>
      <c r="C96" s="74"/>
      <c r="D96" s="74"/>
      <c r="E96" s="74"/>
      <c r="F96" s="74"/>
      <c r="G96" s="74"/>
      <c r="H96" s="76"/>
      <c r="I96" s="74"/>
      <c r="J96" s="74"/>
      <c r="K96" s="74"/>
      <c r="L96" s="74"/>
    </row>
    <row r="97" ht="15.75" customHeight="1">
      <c r="A97" s="57"/>
      <c r="B97" s="73"/>
      <c r="C97" s="74"/>
      <c r="D97" s="74"/>
      <c r="E97" s="74"/>
      <c r="F97" s="74"/>
      <c r="G97" s="74"/>
      <c r="H97" s="74"/>
      <c r="I97" s="76"/>
      <c r="J97" s="74"/>
      <c r="K97" s="74"/>
      <c r="L97" s="74"/>
    </row>
    <row r="98" ht="15.75" customHeight="1">
      <c r="A98" s="57"/>
      <c r="B98" s="73"/>
      <c r="C98" s="76"/>
      <c r="D98" s="74"/>
      <c r="E98" s="74"/>
      <c r="F98" s="74"/>
      <c r="G98" s="74"/>
      <c r="H98" s="74"/>
      <c r="I98" s="74"/>
      <c r="J98" s="74"/>
      <c r="K98" s="74"/>
      <c r="L98" s="74"/>
    </row>
    <row r="99" ht="15.75" customHeight="1">
      <c r="A99" s="57"/>
      <c r="B99" s="73"/>
      <c r="C99" s="74"/>
      <c r="D99" s="74"/>
      <c r="E99" s="74"/>
      <c r="F99" s="74"/>
      <c r="G99" s="76"/>
      <c r="H99" s="74"/>
      <c r="I99" s="74"/>
      <c r="J99" s="74"/>
      <c r="K99" s="74"/>
      <c r="L99" s="74"/>
    </row>
    <row r="100" ht="15.75" customHeight="1">
      <c r="A100" s="57"/>
      <c r="B100" s="73"/>
      <c r="C100" s="76"/>
      <c r="D100" s="74"/>
      <c r="E100" s="74"/>
      <c r="F100" s="74"/>
      <c r="G100" s="74"/>
      <c r="H100" s="74"/>
      <c r="I100" s="74"/>
      <c r="J100" s="74"/>
      <c r="K100" s="74"/>
      <c r="L100" s="74"/>
    </row>
    <row r="101" ht="15.75" customHeight="1">
      <c r="A101" s="57"/>
      <c r="B101" s="73"/>
      <c r="C101" s="74"/>
      <c r="D101" s="74"/>
      <c r="E101" s="76"/>
      <c r="F101" s="74"/>
      <c r="G101" s="74"/>
      <c r="H101" s="74"/>
      <c r="I101" s="74"/>
      <c r="J101" s="74"/>
      <c r="K101" s="74"/>
      <c r="L101" s="74"/>
    </row>
    <row r="102" ht="15.75" customHeight="1">
      <c r="A102" s="57"/>
      <c r="B102" s="73"/>
      <c r="C102" s="74"/>
      <c r="D102" s="74"/>
      <c r="E102" s="74"/>
      <c r="F102" s="76"/>
      <c r="G102" s="74"/>
      <c r="H102" s="74"/>
      <c r="I102" s="74"/>
      <c r="J102" s="74"/>
      <c r="K102" s="74"/>
      <c r="L102" s="74"/>
    </row>
    <row r="103" ht="15.75" customHeight="1">
      <c r="A103" s="57"/>
      <c r="B103" s="73"/>
      <c r="C103" s="74"/>
      <c r="D103" s="74"/>
      <c r="E103" s="74"/>
      <c r="F103" s="74"/>
      <c r="G103" s="74"/>
      <c r="H103" s="76"/>
      <c r="I103" s="74"/>
      <c r="J103" s="74"/>
      <c r="K103" s="74"/>
      <c r="L103" s="74"/>
    </row>
    <row r="104" ht="15.75" customHeight="1">
      <c r="A104" s="57"/>
      <c r="B104" s="73"/>
      <c r="C104" s="74"/>
      <c r="D104" s="74"/>
      <c r="E104" s="74"/>
      <c r="F104" s="76"/>
      <c r="G104" s="74"/>
      <c r="H104" s="74"/>
      <c r="I104" s="74"/>
      <c r="J104" s="74"/>
      <c r="K104" s="74"/>
      <c r="L104" s="74"/>
    </row>
    <row r="105" ht="15.75" customHeight="1">
      <c r="A105" s="57"/>
      <c r="B105" s="73"/>
      <c r="C105" s="74"/>
      <c r="D105" s="74"/>
      <c r="E105" s="74"/>
      <c r="F105" s="74"/>
      <c r="G105" s="74"/>
      <c r="H105" s="74"/>
      <c r="I105" s="74"/>
      <c r="J105" s="76"/>
      <c r="K105" s="74"/>
      <c r="L105" s="74"/>
    </row>
    <row r="106" ht="15.75" customHeight="1">
      <c r="A106" s="57"/>
      <c r="B106" s="73"/>
      <c r="C106" s="74"/>
      <c r="D106" s="74"/>
      <c r="E106" s="74"/>
      <c r="F106" s="76"/>
      <c r="G106" s="74"/>
      <c r="H106" s="74"/>
      <c r="I106" s="74"/>
      <c r="J106" s="74"/>
      <c r="K106" s="74"/>
      <c r="L106" s="74"/>
    </row>
    <row r="107" ht="15.75" customHeight="1">
      <c r="A107" s="57"/>
      <c r="B107" s="73"/>
      <c r="C107" s="74"/>
      <c r="D107" s="74"/>
      <c r="E107" s="74"/>
      <c r="F107" s="74"/>
      <c r="G107" s="74"/>
      <c r="H107" s="74"/>
      <c r="I107" s="74"/>
      <c r="J107" s="76"/>
      <c r="K107" s="74"/>
      <c r="L107" s="74"/>
    </row>
    <row r="108" ht="15.75" customHeight="1">
      <c r="A108" s="57"/>
      <c r="B108" s="73"/>
      <c r="C108" s="76"/>
      <c r="D108" s="74"/>
      <c r="E108" s="74"/>
      <c r="F108" s="74"/>
      <c r="G108" s="74"/>
      <c r="H108" s="74"/>
      <c r="I108" s="74"/>
      <c r="J108" s="74"/>
      <c r="K108" s="74"/>
      <c r="L108" s="74"/>
    </row>
    <row r="109" ht="15.75" customHeight="1">
      <c r="A109" s="57"/>
      <c r="B109" s="73"/>
      <c r="C109" s="74"/>
      <c r="D109" s="76"/>
      <c r="E109" s="74"/>
      <c r="F109" s="74"/>
      <c r="G109" s="74"/>
      <c r="H109" s="74"/>
      <c r="I109" s="74"/>
      <c r="J109" s="74"/>
      <c r="K109" s="74"/>
      <c r="L109" s="74"/>
    </row>
    <row r="110" ht="15.75" customHeight="1">
      <c r="A110" s="57"/>
      <c r="B110" s="73"/>
      <c r="C110" s="74"/>
      <c r="D110" s="74"/>
      <c r="E110" s="74"/>
      <c r="F110" s="74"/>
      <c r="G110" s="74"/>
      <c r="H110" s="74"/>
      <c r="I110" s="74"/>
      <c r="J110" s="76"/>
      <c r="K110" s="74"/>
      <c r="L110" s="74"/>
    </row>
    <row r="111" ht="15.75" customHeight="1">
      <c r="A111" s="57"/>
      <c r="B111" s="73"/>
      <c r="C111" s="74"/>
      <c r="D111" s="76"/>
      <c r="E111" s="74"/>
      <c r="F111" s="74"/>
      <c r="G111" s="74"/>
      <c r="H111" s="74"/>
      <c r="I111" s="74"/>
      <c r="J111" s="74"/>
      <c r="K111" s="74"/>
      <c r="L111" s="74"/>
    </row>
    <row r="112" ht="15.75" customHeight="1">
      <c r="A112" s="57"/>
      <c r="B112" s="73"/>
      <c r="C112" s="74"/>
      <c r="D112" s="74"/>
      <c r="E112" s="74"/>
      <c r="F112" s="74"/>
      <c r="G112" s="76"/>
      <c r="H112" s="74"/>
      <c r="I112" s="74"/>
      <c r="J112" s="74"/>
      <c r="K112" s="74"/>
      <c r="L112" s="74"/>
    </row>
    <row r="113" ht="15.75" customHeight="1">
      <c r="A113" s="57"/>
      <c r="B113" s="73"/>
      <c r="C113" s="74"/>
      <c r="D113" s="74"/>
      <c r="E113" s="74"/>
      <c r="F113" s="76"/>
      <c r="G113" s="74"/>
      <c r="H113" s="74"/>
      <c r="I113" s="74"/>
      <c r="J113" s="74"/>
      <c r="K113" s="74"/>
      <c r="L113" s="74"/>
    </row>
    <row r="114" ht="15.75" customHeight="1">
      <c r="A114" s="57"/>
      <c r="B114" s="73"/>
      <c r="C114" s="74"/>
      <c r="D114" s="74"/>
      <c r="E114" s="76"/>
      <c r="F114" s="74"/>
      <c r="G114" s="74"/>
      <c r="H114" s="74"/>
      <c r="I114" s="74"/>
      <c r="J114" s="74"/>
      <c r="K114" s="74"/>
      <c r="L114" s="74"/>
    </row>
    <row r="115" ht="15.75" customHeight="1">
      <c r="A115" s="57"/>
      <c r="B115" s="73"/>
      <c r="C115" s="74"/>
      <c r="D115" s="74"/>
      <c r="E115" s="74"/>
      <c r="F115" s="74"/>
      <c r="G115" s="74"/>
      <c r="H115" s="74"/>
      <c r="I115" s="76"/>
      <c r="J115" s="74"/>
      <c r="K115" s="74"/>
      <c r="L115" s="74"/>
    </row>
    <row r="116" ht="15.75" customHeight="1">
      <c r="A116" s="57"/>
      <c r="B116" s="73"/>
      <c r="C116" s="74"/>
      <c r="D116" s="74"/>
      <c r="E116" s="74"/>
      <c r="F116" s="74"/>
      <c r="G116" s="74"/>
      <c r="H116" s="74"/>
      <c r="I116" s="74"/>
      <c r="J116" s="74"/>
      <c r="K116" s="76"/>
      <c r="L116" s="74"/>
    </row>
    <row r="117" ht="15.75" customHeight="1">
      <c r="A117" s="57"/>
      <c r="B117" s="73"/>
      <c r="C117" s="74"/>
      <c r="D117" s="76"/>
      <c r="E117" s="74"/>
      <c r="F117" s="74"/>
      <c r="G117" s="74"/>
      <c r="H117" s="74"/>
      <c r="I117" s="74"/>
      <c r="J117" s="74"/>
      <c r="K117" s="74"/>
      <c r="L117" s="74"/>
    </row>
    <row r="118" ht="15.75" customHeight="1">
      <c r="A118" s="57"/>
      <c r="B118" s="73"/>
      <c r="C118" s="76"/>
      <c r="D118" s="74"/>
      <c r="E118" s="74"/>
      <c r="F118" s="74"/>
      <c r="G118" s="74"/>
      <c r="H118" s="74"/>
      <c r="I118" s="74"/>
      <c r="J118" s="74"/>
      <c r="K118" s="74"/>
      <c r="L118" s="74"/>
    </row>
    <row r="119" ht="15.75" customHeight="1">
      <c r="A119" s="57"/>
      <c r="B119" s="73"/>
      <c r="C119" s="74"/>
      <c r="D119" s="74"/>
      <c r="E119" s="74"/>
      <c r="F119" s="74"/>
      <c r="G119" s="76"/>
      <c r="H119" s="74"/>
      <c r="I119" s="74"/>
      <c r="J119" s="74"/>
      <c r="K119" s="74"/>
      <c r="L119" s="74"/>
    </row>
    <row r="120" ht="15.75" customHeight="1">
      <c r="A120" s="57"/>
      <c r="B120" s="73"/>
      <c r="C120" s="74"/>
      <c r="D120" s="74"/>
      <c r="E120" s="74"/>
      <c r="F120" s="76"/>
      <c r="G120" s="74"/>
      <c r="H120" s="74"/>
      <c r="I120" s="74"/>
      <c r="J120" s="74"/>
      <c r="K120" s="74"/>
      <c r="L120" s="74"/>
    </row>
    <row r="121" ht="15.75" customHeight="1">
      <c r="A121" s="57"/>
      <c r="B121" s="73"/>
      <c r="C121" s="74"/>
      <c r="D121" s="74"/>
      <c r="E121" s="74"/>
      <c r="F121" s="74"/>
      <c r="G121" s="74"/>
      <c r="H121" s="76"/>
      <c r="I121" s="74"/>
      <c r="J121" s="74"/>
      <c r="K121" s="74"/>
      <c r="L121" s="74"/>
    </row>
    <row r="122" ht="15.75" customHeight="1">
      <c r="A122" s="57"/>
      <c r="B122" s="73"/>
      <c r="C122" s="74"/>
      <c r="D122" s="74"/>
      <c r="E122" s="74"/>
      <c r="F122" s="74"/>
      <c r="G122" s="74"/>
      <c r="H122" s="74"/>
      <c r="I122" s="76"/>
      <c r="J122" s="74"/>
      <c r="K122" s="74"/>
      <c r="L122" s="74"/>
    </row>
    <row r="123" ht="15.75" customHeight="1">
      <c r="A123" s="57"/>
      <c r="B123" s="73"/>
      <c r="C123" s="74"/>
      <c r="D123" s="74"/>
      <c r="E123" s="74"/>
      <c r="F123" s="74"/>
      <c r="G123" s="74"/>
      <c r="H123" s="74"/>
      <c r="I123" s="74"/>
      <c r="J123" s="76"/>
      <c r="K123" s="74"/>
      <c r="L123" s="74"/>
    </row>
    <row r="124" ht="15.75" customHeight="1">
      <c r="A124" s="57"/>
      <c r="B124" s="73"/>
      <c r="C124" s="76"/>
      <c r="D124" s="74"/>
      <c r="E124" s="74"/>
      <c r="F124" s="74"/>
      <c r="G124" s="74"/>
      <c r="H124" s="74"/>
      <c r="I124" s="74"/>
      <c r="J124" s="74"/>
      <c r="K124" s="74"/>
      <c r="L124" s="74"/>
    </row>
    <row r="125" ht="15.75" customHeight="1">
      <c r="A125" s="57"/>
      <c r="B125" s="73"/>
      <c r="C125" s="74"/>
      <c r="D125" s="74"/>
      <c r="E125" s="74"/>
      <c r="F125" s="74"/>
      <c r="G125" s="76"/>
      <c r="H125" s="74"/>
      <c r="I125" s="74"/>
      <c r="J125" s="74"/>
      <c r="K125" s="74"/>
      <c r="L125" s="74"/>
    </row>
    <row r="126" ht="15.75" customHeight="1">
      <c r="A126" s="57"/>
      <c r="B126" s="73"/>
      <c r="C126" s="74"/>
      <c r="D126" s="74"/>
      <c r="E126" s="74"/>
      <c r="F126" s="74"/>
      <c r="G126" s="74"/>
      <c r="H126" s="74"/>
      <c r="I126" s="74"/>
      <c r="J126" s="74"/>
      <c r="K126" s="76"/>
      <c r="L126" s="74"/>
    </row>
    <row r="127" ht="15.75" customHeight="1">
      <c r="A127" s="57"/>
      <c r="B127" s="73"/>
      <c r="C127" s="74"/>
      <c r="D127" s="74"/>
      <c r="E127" s="74"/>
      <c r="F127" s="74"/>
      <c r="G127" s="76"/>
      <c r="H127" s="74"/>
      <c r="I127" s="74"/>
      <c r="J127" s="74"/>
      <c r="K127" s="74"/>
      <c r="L127" s="74"/>
    </row>
    <row r="128" ht="15.75" customHeight="1">
      <c r="A128" s="57"/>
      <c r="B128" s="73"/>
      <c r="C128" s="74"/>
      <c r="D128" s="74"/>
      <c r="E128" s="76"/>
      <c r="F128" s="74"/>
      <c r="G128" s="74"/>
      <c r="H128" s="74"/>
      <c r="I128" s="74"/>
      <c r="J128" s="74"/>
      <c r="K128" s="74"/>
      <c r="L128" s="74"/>
    </row>
    <row r="129" ht="15.75" customHeight="1">
      <c r="A129" s="57"/>
      <c r="B129" s="73"/>
      <c r="C129" s="74"/>
      <c r="D129" s="74"/>
      <c r="E129" s="74"/>
      <c r="F129" s="74"/>
      <c r="G129" s="74"/>
      <c r="H129" s="74"/>
      <c r="I129" s="74"/>
      <c r="J129" s="76"/>
      <c r="K129" s="74"/>
      <c r="L129" s="74"/>
    </row>
    <row r="130" ht="15.75" customHeight="1">
      <c r="A130" s="52"/>
      <c r="B130" s="52"/>
      <c r="C130" s="74"/>
      <c r="D130" s="74"/>
      <c r="E130" s="74"/>
      <c r="F130" s="74"/>
      <c r="G130" s="74"/>
      <c r="H130" s="74"/>
      <c r="I130" s="74"/>
      <c r="J130" s="74"/>
      <c r="K130" s="74"/>
      <c r="L130" s="74"/>
    </row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</sheetData>
  <mergeCells count="2">
    <mergeCell ref="B1:C1"/>
    <mergeCell ref="B32:C32"/>
  </mergeCell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 ht="15.75" customHeight="1">
      <c r="A1" s="70" t="s">
        <v>4238</v>
      </c>
      <c r="K1" s="45" t="s">
        <v>4239</v>
      </c>
    </row>
    <row r="2" ht="15.75" customHeight="1">
      <c r="A2" s="70" t="s">
        <v>4229</v>
      </c>
      <c r="B2" s="52" t="s">
        <v>48</v>
      </c>
      <c r="C2" s="73" t="s">
        <v>101</v>
      </c>
      <c r="D2" s="73" t="s">
        <v>171</v>
      </c>
      <c r="E2" s="73" t="s">
        <v>201</v>
      </c>
      <c r="F2" s="73" t="s">
        <v>220</v>
      </c>
      <c r="G2" s="73" t="s">
        <v>279</v>
      </c>
      <c r="H2" s="73" t="s">
        <v>339</v>
      </c>
      <c r="I2" s="73" t="s">
        <v>395</v>
      </c>
      <c r="J2" s="73" t="s">
        <v>405</v>
      </c>
      <c r="K2" s="63" t="s">
        <v>408</v>
      </c>
      <c r="L2" s="73" t="s">
        <v>410</v>
      </c>
      <c r="M2" s="73" t="s">
        <v>461</v>
      </c>
      <c r="N2" s="73" t="s">
        <v>570</v>
      </c>
      <c r="O2" s="73" t="s">
        <v>576</v>
      </c>
      <c r="P2" s="73" t="s">
        <v>608</v>
      </c>
      <c r="Q2" s="73" t="s">
        <v>663</v>
      </c>
      <c r="R2" s="73" t="s">
        <v>705</v>
      </c>
      <c r="S2" s="73" t="s">
        <v>750</v>
      </c>
      <c r="T2" s="73" t="s">
        <v>818</v>
      </c>
      <c r="U2" s="73" t="s">
        <v>875</v>
      </c>
      <c r="V2" s="73" t="s">
        <v>923</v>
      </c>
      <c r="W2" s="73" t="s">
        <v>934</v>
      </c>
      <c r="X2" s="73" t="s">
        <v>952</v>
      </c>
      <c r="Y2" s="73" t="s">
        <v>963</v>
      </c>
      <c r="Z2" s="73" t="s">
        <v>1026</v>
      </c>
      <c r="AA2" s="73" t="s">
        <v>255</v>
      </c>
      <c r="AB2" s="73" t="s">
        <v>1121</v>
      </c>
      <c r="AC2" s="73" t="s">
        <v>1162</v>
      </c>
      <c r="AD2" s="73" t="s">
        <v>1198</v>
      </c>
      <c r="AE2" s="73" t="s">
        <v>256</v>
      </c>
      <c r="AF2" s="73" t="s">
        <v>1251</v>
      </c>
      <c r="AG2" s="73" t="s">
        <v>1259</v>
      </c>
      <c r="AH2" s="73" t="s">
        <v>1271</v>
      </c>
      <c r="AI2" s="73" t="s">
        <v>1296</v>
      </c>
      <c r="AJ2" s="73" t="s">
        <v>1326</v>
      </c>
      <c r="AK2" s="73" t="s">
        <v>1390</v>
      </c>
      <c r="AL2" s="73" t="s">
        <v>683</v>
      </c>
      <c r="AM2" s="73" t="s">
        <v>1457</v>
      </c>
      <c r="AN2" s="73" t="s">
        <v>1144</v>
      </c>
      <c r="AO2" s="73" t="s">
        <v>1514</v>
      </c>
      <c r="AP2" s="73" t="s">
        <v>1546</v>
      </c>
      <c r="AQ2" s="73" t="s">
        <v>1550</v>
      </c>
      <c r="AR2" s="73" t="s">
        <v>1578</v>
      </c>
      <c r="AS2" s="73" t="s">
        <v>1616</v>
      </c>
      <c r="AT2" s="73" t="s">
        <v>1159</v>
      </c>
      <c r="AU2" s="73" t="s">
        <v>1802</v>
      </c>
      <c r="AV2" s="73" t="s">
        <v>1819</v>
      </c>
      <c r="AW2" s="73" t="s">
        <v>1828</v>
      </c>
      <c r="AX2" s="73" t="s">
        <v>167</v>
      </c>
      <c r="AY2" s="73" t="s">
        <v>1924</v>
      </c>
      <c r="AZ2" s="73" t="s">
        <v>1942</v>
      </c>
      <c r="BA2" s="73" t="s">
        <v>1323</v>
      </c>
      <c r="BB2" s="52" t="s">
        <v>4207</v>
      </c>
    </row>
    <row r="3" ht="15.75" customHeight="1">
      <c r="A3" s="32" t="s">
        <v>4230</v>
      </c>
      <c r="B3" s="74">
        <v>1.0</v>
      </c>
      <c r="C3" s="75">
        <f t="array" ref="C3">IF(ISERROR(index(Res_AllFuels_SEDS_2022_TBtus!$D$3:$D$53,match($B3&amp;C$2,Res_AllFuels_SEDS_2022_TBtus!$B$3:$B$53&amp;Res_AllFuels_SEDS_2022_TBtus!$A$3:$A$53,0))),0,(index(Res_AllFuels_SEDS_2022_TBtus!$D$3:$D$53,match($B3&amp;C$2,Res_AllFuels_SEDS_2022_TBtus!$B$3:$B$53&amp;Res_AllFuels_SEDS_2022_TBtus!$A$3:$A$53,0))))</f>
        <v>0</v>
      </c>
      <c r="D3" s="75">
        <f t="array" ref="D3">IF(ISERROR(index(Res_AllFuels_SEDS_2022_TBtus!$D$3:$D$53,match($B3&amp;D$2,Res_AllFuels_SEDS_2022_TBtus!$B$3:$B$53&amp;Res_AllFuels_SEDS_2022_TBtus!$A$3:$A$53,0))),0,(index(Res_AllFuels_SEDS_2022_TBtus!$D$3:$D$53,match($B3&amp;D$2,Res_AllFuels_SEDS_2022_TBtus!$B$3:$B$53&amp;Res_AllFuels_SEDS_2022_TBtus!$A$3:$A$53,0))))</f>
        <v>0</v>
      </c>
      <c r="E3" s="75">
        <f t="array" ref="E3">IF(ISERROR(index(Res_AllFuels_SEDS_2022_TBtus!$D$3:$D$53,match($B3&amp;E$2,Res_AllFuels_SEDS_2022_TBtus!$B$3:$B$53&amp;Res_AllFuels_SEDS_2022_TBtus!$A$3:$A$53,0))),0,(index(Res_AllFuels_SEDS_2022_TBtus!$D$3:$D$53,match($B3&amp;E$2,Res_AllFuels_SEDS_2022_TBtus!$B$3:$B$53&amp;Res_AllFuels_SEDS_2022_TBtus!$A$3:$A$53,0))))</f>
        <v>0</v>
      </c>
      <c r="F3" s="75">
        <f t="array" ref="F3">IF(ISERROR(index(Res_AllFuels_SEDS_2022_TBtus!$D$3:$D$53,match($B3&amp;F$2,Res_AllFuels_SEDS_2022_TBtus!$B$3:$B$53&amp;Res_AllFuels_SEDS_2022_TBtus!$A$3:$A$53,0))),0,(index(Res_AllFuels_SEDS_2022_TBtus!$D$3:$D$53,match($B3&amp;F$2,Res_AllFuels_SEDS_2022_TBtus!$B$3:$B$53&amp;Res_AllFuels_SEDS_2022_TBtus!$A$3:$A$53,0))))</f>
        <v>0</v>
      </c>
      <c r="G3" s="75">
        <f t="array" ref="G3">IF(ISERROR(index(Res_AllFuels_SEDS_2022_TBtus!$D$3:$D$53,match($B3&amp;G$2,Res_AllFuels_SEDS_2022_TBtus!$B$3:$B$53&amp;Res_AllFuels_SEDS_2022_TBtus!$A$3:$A$53,0))),0,(index(Res_AllFuels_SEDS_2022_TBtus!$D$3:$D$53,match($B3&amp;G$2,Res_AllFuels_SEDS_2022_TBtus!$B$3:$B$53&amp;Res_AllFuels_SEDS_2022_TBtus!$A$3:$A$53,0))))</f>
        <v>0</v>
      </c>
      <c r="H3" s="75">
        <f t="array" ref="H3">IF(ISERROR(index(Res_AllFuels_SEDS_2022_TBtus!$D$3:$D$53,match($B3&amp;H$2,Res_AllFuels_SEDS_2022_TBtus!$B$3:$B$53&amp;Res_AllFuels_SEDS_2022_TBtus!$A$3:$A$53,0))),0,(index(Res_AllFuels_SEDS_2022_TBtus!$D$3:$D$53,match($B3&amp;H$2,Res_AllFuels_SEDS_2022_TBtus!$B$3:$B$53&amp;Res_AllFuels_SEDS_2022_TBtus!$A$3:$A$53,0))))</f>
        <v>0</v>
      </c>
      <c r="I3" s="75">
        <f t="array" ref="I3">IF(ISERROR(index(Res_AllFuels_SEDS_2022_TBtus!$D$3:$D$53,match($B3&amp;I$2,Res_AllFuels_SEDS_2022_TBtus!$B$3:$B$53&amp;Res_AllFuels_SEDS_2022_TBtus!$A$3:$A$53,0))),0,(index(Res_AllFuels_SEDS_2022_TBtus!$D$3:$D$53,match($B3&amp;I$2,Res_AllFuels_SEDS_2022_TBtus!$B$3:$B$53&amp;Res_AllFuels_SEDS_2022_TBtus!$A$3:$A$53,0))))</f>
        <v>52.2</v>
      </c>
      <c r="J3" s="75">
        <f t="array" ref="J3">IF(ISERROR(index(Res_AllFuels_SEDS_2022_TBtus!$D$3:$D$53,match($B3&amp;J$2,Res_AllFuels_SEDS_2022_TBtus!$B$3:$B$53&amp;Res_AllFuels_SEDS_2022_TBtus!$A$3:$A$53,0))),0,(index(Res_AllFuels_SEDS_2022_TBtus!$D$3:$D$53,match($B3&amp;J$2,Res_AllFuels_SEDS_2022_TBtus!$B$3:$B$53&amp;Res_AllFuels_SEDS_2022_TBtus!$A$3:$A$53,0))))</f>
        <v>0</v>
      </c>
      <c r="K3" s="75">
        <f t="array" ref="K3">IF(ISERROR(index(Res_AllFuels_SEDS_2022_TBtus!$D$3:$D$53,match($B3&amp;K$2,Res_AllFuels_SEDS_2022_TBtus!$B$3:$B$53&amp;Res_AllFuels_SEDS_2022_TBtus!$A$3:$A$53,0))),0,(index(Res_AllFuels_SEDS_2022_TBtus!$D$3:$D$53,match($B3&amp;K$2,Res_AllFuels_SEDS_2022_TBtus!$B$3:$B$53&amp;Res_AllFuels_SEDS_2022_TBtus!$A$3:$A$53,0))))</f>
        <v>0</v>
      </c>
      <c r="L3" s="75">
        <f t="array" ref="L3">IF(ISERROR(index(Res_AllFuels_SEDS_2022_TBtus!$D$3:$D$53,match($B3&amp;L$2,Res_AllFuels_SEDS_2022_TBtus!$B$3:$B$53&amp;Res_AllFuels_SEDS_2022_TBtus!$A$3:$A$53,0))),0,(index(Res_AllFuels_SEDS_2022_TBtus!$D$3:$D$53,match($B3&amp;L$2,Res_AllFuels_SEDS_2022_TBtus!$B$3:$B$53&amp;Res_AllFuels_SEDS_2022_TBtus!$A$3:$A$53,0))))</f>
        <v>0</v>
      </c>
      <c r="M3" s="75">
        <f t="array" ref="M3">IF(ISERROR(index(Res_AllFuels_SEDS_2022_TBtus!$D$3:$D$53,match($B3&amp;M$2,Res_AllFuels_SEDS_2022_TBtus!$B$3:$B$53&amp;Res_AllFuels_SEDS_2022_TBtus!$A$3:$A$53,0))),0,(index(Res_AllFuels_SEDS_2022_TBtus!$D$3:$D$53,match($B3&amp;M$2,Res_AllFuels_SEDS_2022_TBtus!$B$3:$B$53&amp;Res_AllFuels_SEDS_2022_TBtus!$A$3:$A$53,0))))</f>
        <v>0</v>
      </c>
      <c r="N3" s="75">
        <f t="array" ref="N3">IF(ISERROR(index(Res_AllFuels_SEDS_2022_TBtus!$D$3:$D$53,match($B3&amp;N$2,Res_AllFuels_SEDS_2022_TBtus!$B$3:$B$53&amp;Res_AllFuels_SEDS_2022_TBtus!$A$3:$A$53,0))),0,(index(Res_AllFuels_SEDS_2022_TBtus!$D$3:$D$53,match($B3&amp;N$2,Res_AllFuels_SEDS_2022_TBtus!$B$3:$B$53&amp;Res_AllFuels_SEDS_2022_TBtus!$A$3:$A$53,0))))</f>
        <v>0</v>
      </c>
      <c r="O3" s="75">
        <f t="array" ref="O3">IF(ISERROR(index(Res_AllFuels_SEDS_2022_TBtus!$D$3:$D$53,match($B3&amp;O$2,Res_AllFuels_SEDS_2022_TBtus!$B$3:$B$53&amp;Res_AllFuels_SEDS_2022_TBtus!$A$3:$A$53,0))),0,(index(Res_AllFuels_SEDS_2022_TBtus!$D$3:$D$53,match($B3&amp;O$2,Res_AllFuels_SEDS_2022_TBtus!$B$3:$B$53&amp;Res_AllFuels_SEDS_2022_TBtus!$A$3:$A$53,0))))</f>
        <v>0</v>
      </c>
      <c r="P3" s="75">
        <f t="array" ref="P3">IF(ISERROR(index(Res_AllFuels_SEDS_2022_TBtus!$D$3:$D$53,match($B3&amp;P$2,Res_AllFuels_SEDS_2022_TBtus!$B$3:$B$53&amp;Res_AllFuels_SEDS_2022_TBtus!$A$3:$A$53,0))),0,(index(Res_AllFuels_SEDS_2022_TBtus!$D$3:$D$53,match($B3&amp;P$2,Res_AllFuels_SEDS_2022_TBtus!$B$3:$B$53&amp;Res_AllFuels_SEDS_2022_TBtus!$A$3:$A$53,0))))</f>
        <v>0</v>
      </c>
      <c r="Q3" s="75">
        <f t="array" ref="Q3">IF(ISERROR(index(Res_AllFuels_SEDS_2022_TBtus!$D$3:$D$53,match($B3&amp;Q$2,Res_AllFuels_SEDS_2022_TBtus!$B$3:$B$53&amp;Res_AllFuels_SEDS_2022_TBtus!$A$3:$A$53,0))),0,(index(Res_AllFuels_SEDS_2022_TBtus!$D$3:$D$53,match($B3&amp;Q$2,Res_AllFuels_SEDS_2022_TBtus!$B$3:$B$53&amp;Res_AllFuels_SEDS_2022_TBtus!$A$3:$A$53,0))))</f>
        <v>0</v>
      </c>
      <c r="R3" s="75">
        <f t="array" ref="R3">IF(ISERROR(index(Res_AllFuels_SEDS_2022_TBtus!$D$3:$D$53,match($B3&amp;R$2,Res_AllFuels_SEDS_2022_TBtus!$B$3:$B$53&amp;Res_AllFuels_SEDS_2022_TBtus!$A$3:$A$53,0))),0,(index(Res_AllFuels_SEDS_2022_TBtus!$D$3:$D$53,match($B3&amp;R$2,Res_AllFuels_SEDS_2022_TBtus!$B$3:$B$53&amp;Res_AllFuels_SEDS_2022_TBtus!$A$3:$A$53,0))))</f>
        <v>0</v>
      </c>
      <c r="S3" s="75">
        <f t="array" ref="S3">IF(ISERROR(index(Res_AllFuels_SEDS_2022_TBtus!$D$3:$D$53,match($B3&amp;S$2,Res_AllFuels_SEDS_2022_TBtus!$B$3:$B$53&amp;Res_AllFuels_SEDS_2022_TBtus!$A$3:$A$53,0))),0,(index(Res_AllFuels_SEDS_2022_TBtus!$D$3:$D$53,match($B3&amp;S$2,Res_AllFuels_SEDS_2022_TBtus!$B$3:$B$53&amp;Res_AllFuels_SEDS_2022_TBtus!$A$3:$A$53,0))))</f>
        <v>0</v>
      </c>
      <c r="T3" s="75">
        <f t="array" ref="T3">IF(ISERROR(index(Res_AllFuels_SEDS_2022_TBtus!$D$3:$D$53,match($B3&amp;T$2,Res_AllFuels_SEDS_2022_TBtus!$B$3:$B$53&amp;Res_AllFuels_SEDS_2022_TBtus!$A$3:$A$53,0))),0,(index(Res_AllFuels_SEDS_2022_TBtus!$D$3:$D$53,match($B3&amp;T$2,Res_AllFuels_SEDS_2022_TBtus!$B$3:$B$53&amp;Res_AllFuels_SEDS_2022_TBtus!$A$3:$A$53,0))))</f>
        <v>0</v>
      </c>
      <c r="U3" s="75">
        <f t="array" ref="U3">IF(ISERROR(index(Res_AllFuels_SEDS_2022_TBtus!$D$3:$D$53,match($B3&amp;U$2,Res_AllFuels_SEDS_2022_TBtus!$B$3:$B$53&amp;Res_AllFuels_SEDS_2022_TBtus!$A$3:$A$53,0))),0,(index(Res_AllFuels_SEDS_2022_TBtus!$D$3:$D$53,match($B3&amp;U$2,Res_AllFuels_SEDS_2022_TBtus!$B$3:$B$53&amp;Res_AllFuels_SEDS_2022_TBtus!$A$3:$A$53,0))))</f>
        <v>0</v>
      </c>
      <c r="V3" s="75">
        <f t="array" ref="V3">IF(ISERROR(index(Res_AllFuels_SEDS_2022_TBtus!$D$3:$D$53,match($B3&amp;V$2,Res_AllFuels_SEDS_2022_TBtus!$B$3:$B$53&amp;Res_AllFuels_SEDS_2022_TBtus!$A$3:$A$53,0))),0,(index(Res_AllFuels_SEDS_2022_TBtus!$D$3:$D$53,match($B3&amp;V$2,Res_AllFuels_SEDS_2022_TBtus!$B$3:$B$53&amp;Res_AllFuels_SEDS_2022_TBtus!$A$3:$A$53,0))))</f>
        <v>3.2</v>
      </c>
      <c r="W3" s="75">
        <f t="array" ref="W3">IF(ISERROR(index(Res_AllFuels_SEDS_2022_TBtus!$D$3:$D$53,match($B3&amp;W$2,Res_AllFuels_SEDS_2022_TBtus!$B$3:$B$53&amp;Res_AllFuels_SEDS_2022_TBtus!$A$3:$A$53,0))),0,(index(Res_AllFuels_SEDS_2022_TBtus!$D$3:$D$53,match($B3&amp;W$2,Res_AllFuels_SEDS_2022_TBtus!$B$3:$B$53&amp;Res_AllFuels_SEDS_2022_TBtus!$A$3:$A$53,0))))</f>
        <v>0</v>
      </c>
      <c r="X3" s="75">
        <f t="array" ref="X3">IF(ISERROR(index(Res_AllFuels_SEDS_2022_TBtus!$D$3:$D$53,match($B3&amp;X$2,Res_AllFuels_SEDS_2022_TBtus!$B$3:$B$53&amp;Res_AllFuels_SEDS_2022_TBtus!$A$3:$A$53,0))),0,(index(Res_AllFuels_SEDS_2022_TBtus!$D$3:$D$53,match($B3&amp;X$2,Res_AllFuels_SEDS_2022_TBtus!$B$3:$B$53&amp;Res_AllFuels_SEDS_2022_TBtus!$A$3:$A$53,0))))</f>
        <v>135.5</v>
      </c>
      <c r="Y3" s="75">
        <f t="array" ref="Y3">IF(ISERROR(index(Res_AllFuels_SEDS_2022_TBtus!$D$3:$D$53,match($B3&amp;Y$2,Res_AllFuels_SEDS_2022_TBtus!$B$3:$B$53&amp;Res_AllFuels_SEDS_2022_TBtus!$A$3:$A$53,0))),0,(index(Res_AllFuels_SEDS_2022_TBtus!$D$3:$D$53,match($B3&amp;Y$2,Res_AllFuels_SEDS_2022_TBtus!$B$3:$B$53&amp;Res_AllFuels_SEDS_2022_TBtus!$A$3:$A$53,0))))</f>
        <v>0</v>
      </c>
      <c r="Z3" s="75">
        <f t="array" ref="Z3">IF(ISERROR(index(Res_AllFuels_SEDS_2022_TBtus!$D$3:$D$53,match($B3&amp;Z$2,Res_AllFuels_SEDS_2022_TBtus!$B$3:$B$53&amp;Res_AllFuels_SEDS_2022_TBtus!$A$3:$A$53,0))),0,(index(Res_AllFuels_SEDS_2022_TBtus!$D$3:$D$53,match($B3&amp;Z$2,Res_AllFuels_SEDS_2022_TBtus!$B$3:$B$53&amp;Res_AllFuels_SEDS_2022_TBtus!$A$3:$A$53,0))))</f>
        <v>0</v>
      </c>
      <c r="AA3" s="75">
        <f t="array" ref="AA3">IF(ISERROR(index(Res_AllFuels_SEDS_2022_TBtus!$D$3:$D$53,match($B3&amp;AA$2,Res_AllFuels_SEDS_2022_TBtus!$B$3:$B$53&amp;Res_AllFuels_SEDS_2022_TBtus!$A$3:$A$53,0))),0,(index(Res_AllFuels_SEDS_2022_TBtus!$D$3:$D$53,match($B3&amp;AA$2,Res_AllFuels_SEDS_2022_TBtus!$B$3:$B$53&amp;Res_AllFuels_SEDS_2022_TBtus!$A$3:$A$53,0))))</f>
        <v>0</v>
      </c>
      <c r="AB3" s="75">
        <f t="array" ref="AB3">IF(ISERROR(index(Res_AllFuels_SEDS_2022_TBtus!$D$3:$D$53,match($B3&amp;AB$2,Res_AllFuels_SEDS_2022_TBtus!$B$3:$B$53&amp;Res_AllFuels_SEDS_2022_TBtus!$A$3:$A$53,0))),0,(index(Res_AllFuels_SEDS_2022_TBtus!$D$3:$D$53,match($B3&amp;AB$2,Res_AllFuels_SEDS_2022_TBtus!$B$3:$B$53&amp;Res_AllFuels_SEDS_2022_TBtus!$A$3:$A$53,0))))</f>
        <v>0</v>
      </c>
      <c r="AC3" s="75">
        <f t="array" ref="AC3">IF(ISERROR(index(Res_AllFuels_SEDS_2022_TBtus!$D$3:$D$53,match($B3&amp;AC$2,Res_AllFuels_SEDS_2022_TBtus!$B$3:$B$53&amp;Res_AllFuels_SEDS_2022_TBtus!$A$3:$A$53,0))),0,(index(Res_AllFuels_SEDS_2022_TBtus!$D$3:$D$53,match($B3&amp;AC$2,Res_AllFuels_SEDS_2022_TBtus!$B$3:$B$53&amp;Res_AllFuels_SEDS_2022_TBtus!$A$3:$A$53,0))))</f>
        <v>0</v>
      </c>
      <c r="AD3" s="75">
        <f t="array" ref="AD3">IF(ISERROR(index(Res_AllFuels_SEDS_2022_TBtus!$D$3:$D$53,match($B3&amp;AD$2,Res_AllFuels_SEDS_2022_TBtus!$B$3:$B$53&amp;Res_AllFuels_SEDS_2022_TBtus!$A$3:$A$53,0))),0,(index(Res_AllFuels_SEDS_2022_TBtus!$D$3:$D$53,match($B3&amp;AD$2,Res_AllFuels_SEDS_2022_TBtus!$B$3:$B$53&amp;Res_AllFuels_SEDS_2022_TBtus!$A$3:$A$53,0))))</f>
        <v>0</v>
      </c>
      <c r="AE3" s="75">
        <f t="array" ref="AE3">IF(ISERROR(index(Res_AllFuels_SEDS_2022_TBtus!$D$3:$D$53,match($B3&amp;AE$2,Res_AllFuels_SEDS_2022_TBtus!$B$3:$B$53&amp;Res_AllFuels_SEDS_2022_TBtus!$A$3:$A$53,0))),0,(index(Res_AllFuels_SEDS_2022_TBtus!$D$3:$D$53,match($B3&amp;AE$2,Res_AllFuels_SEDS_2022_TBtus!$B$3:$B$53&amp;Res_AllFuels_SEDS_2022_TBtus!$A$3:$A$53,0))))</f>
        <v>0</v>
      </c>
      <c r="AF3" s="75">
        <f t="array" ref="AF3">IF(ISERROR(index(Res_AllFuels_SEDS_2022_TBtus!$D$3:$D$53,match($B3&amp;AF$2,Res_AllFuels_SEDS_2022_TBtus!$B$3:$B$53&amp;Res_AllFuels_SEDS_2022_TBtus!$A$3:$A$53,0))),0,(index(Res_AllFuels_SEDS_2022_TBtus!$D$3:$D$53,match($B3&amp;AF$2,Res_AllFuels_SEDS_2022_TBtus!$B$3:$B$53&amp;Res_AllFuels_SEDS_2022_TBtus!$A$3:$A$53,0))))</f>
        <v>7.7</v>
      </c>
      <c r="AG3" s="75">
        <f t="array" ref="AG3">IF(ISERROR(index(Res_AllFuels_SEDS_2022_TBtus!$D$3:$D$53,match($B3&amp;AG$2,Res_AllFuels_SEDS_2022_TBtus!$B$3:$B$53&amp;Res_AllFuels_SEDS_2022_TBtus!$A$3:$A$53,0))),0,(index(Res_AllFuels_SEDS_2022_TBtus!$D$3:$D$53,match($B3&amp;AG$2,Res_AllFuels_SEDS_2022_TBtus!$B$3:$B$53&amp;Res_AllFuels_SEDS_2022_TBtus!$A$3:$A$53,0))))</f>
        <v>0</v>
      </c>
      <c r="AH3" s="75">
        <f t="array" ref="AH3">IF(ISERROR(index(Res_AllFuels_SEDS_2022_TBtus!$D$3:$D$53,match($B3&amp;AH$2,Res_AllFuels_SEDS_2022_TBtus!$B$3:$B$53&amp;Res_AllFuels_SEDS_2022_TBtus!$A$3:$A$53,0))),0,(index(Res_AllFuels_SEDS_2022_TBtus!$D$3:$D$53,match($B3&amp;AH$2,Res_AllFuels_SEDS_2022_TBtus!$B$3:$B$53&amp;Res_AllFuels_SEDS_2022_TBtus!$A$3:$A$53,0))))</f>
        <v>0</v>
      </c>
      <c r="AI3" s="75">
        <f t="array" ref="AI3">IF(ISERROR(index(Res_AllFuels_SEDS_2022_TBtus!$D$3:$D$53,match($B3&amp;AI$2,Res_AllFuels_SEDS_2022_TBtus!$B$3:$B$53&amp;Res_AllFuels_SEDS_2022_TBtus!$A$3:$A$53,0))),0,(index(Res_AllFuels_SEDS_2022_TBtus!$D$3:$D$53,match($B3&amp;AI$2,Res_AllFuels_SEDS_2022_TBtus!$B$3:$B$53&amp;Res_AllFuels_SEDS_2022_TBtus!$A$3:$A$53,0))))</f>
        <v>0</v>
      </c>
      <c r="AJ3" s="75">
        <f t="array" ref="AJ3">IF(ISERROR(index(Res_AllFuels_SEDS_2022_TBtus!$D$3:$D$53,match($B3&amp;AJ$2,Res_AllFuels_SEDS_2022_TBtus!$B$3:$B$53&amp;Res_AllFuels_SEDS_2022_TBtus!$A$3:$A$53,0))),0,(index(Res_AllFuels_SEDS_2022_TBtus!$D$3:$D$53,match($B3&amp;AJ$2,Res_AllFuels_SEDS_2022_TBtus!$B$3:$B$53&amp;Res_AllFuels_SEDS_2022_TBtus!$A$3:$A$53,0))))</f>
        <v>0</v>
      </c>
      <c r="AK3" s="75">
        <f t="array" ref="AK3">IF(ISERROR(index(Res_AllFuels_SEDS_2022_TBtus!$D$3:$D$53,match($B3&amp;AK$2,Res_AllFuels_SEDS_2022_TBtus!$B$3:$B$53&amp;Res_AllFuels_SEDS_2022_TBtus!$A$3:$A$53,0))),0,(index(Res_AllFuels_SEDS_2022_TBtus!$D$3:$D$53,match($B3&amp;AK$2,Res_AllFuels_SEDS_2022_TBtus!$B$3:$B$53&amp;Res_AllFuels_SEDS_2022_TBtus!$A$3:$A$53,0))))</f>
        <v>0</v>
      </c>
      <c r="AL3" s="75">
        <f t="array" ref="AL3">IF(ISERROR(index(Res_AllFuels_SEDS_2022_TBtus!$D$3:$D$53,match($B3&amp;AL$2,Res_AllFuels_SEDS_2022_TBtus!$B$3:$B$53&amp;Res_AllFuels_SEDS_2022_TBtus!$A$3:$A$53,0))),0,(index(Res_AllFuels_SEDS_2022_TBtus!$D$3:$D$53,match($B3&amp;AL$2,Res_AllFuels_SEDS_2022_TBtus!$B$3:$B$53&amp;Res_AllFuels_SEDS_2022_TBtus!$A$3:$A$53,0))))</f>
        <v>0</v>
      </c>
      <c r="AM3" s="75">
        <f t="array" ref="AM3">IF(ISERROR(index(Res_AllFuels_SEDS_2022_TBtus!$D$3:$D$53,match($B3&amp;AM$2,Res_AllFuels_SEDS_2022_TBtus!$B$3:$B$53&amp;Res_AllFuels_SEDS_2022_TBtus!$A$3:$A$53,0))),0,(index(Res_AllFuels_SEDS_2022_TBtus!$D$3:$D$53,match($B3&amp;AM$2,Res_AllFuels_SEDS_2022_TBtus!$B$3:$B$53&amp;Res_AllFuels_SEDS_2022_TBtus!$A$3:$A$53,0))))</f>
        <v>0</v>
      </c>
      <c r="AN3" s="75">
        <f t="array" ref="AN3">IF(ISERROR(index(Res_AllFuels_SEDS_2022_TBtus!$D$3:$D$53,match($B3&amp;AN$2,Res_AllFuels_SEDS_2022_TBtus!$B$3:$B$53&amp;Res_AllFuels_SEDS_2022_TBtus!$A$3:$A$53,0))),0,(index(Res_AllFuels_SEDS_2022_TBtus!$D$3:$D$53,match($B3&amp;AN$2,Res_AllFuels_SEDS_2022_TBtus!$B$3:$B$53&amp;Res_AllFuels_SEDS_2022_TBtus!$A$3:$A$53,0))))</f>
        <v>0</v>
      </c>
      <c r="AO3" s="75">
        <f t="array" ref="AO3">IF(ISERROR(index(Res_AllFuels_SEDS_2022_TBtus!$D$3:$D$53,match($B3&amp;AO$2,Res_AllFuels_SEDS_2022_TBtus!$B$3:$B$53&amp;Res_AllFuels_SEDS_2022_TBtus!$A$3:$A$53,0))),0,(index(Res_AllFuels_SEDS_2022_TBtus!$D$3:$D$53,match($B3&amp;AO$2,Res_AllFuels_SEDS_2022_TBtus!$B$3:$B$53&amp;Res_AllFuels_SEDS_2022_TBtus!$A$3:$A$53,0))))</f>
        <v>0</v>
      </c>
      <c r="AP3" s="75">
        <f t="array" ref="AP3">IF(ISERROR(index(Res_AllFuels_SEDS_2022_TBtus!$D$3:$D$53,match($B3&amp;AP$2,Res_AllFuels_SEDS_2022_TBtus!$B$3:$B$53&amp;Res_AllFuels_SEDS_2022_TBtus!$A$3:$A$53,0))),0,(index(Res_AllFuels_SEDS_2022_TBtus!$D$3:$D$53,match($B3&amp;AP$2,Res_AllFuels_SEDS_2022_TBtus!$B$3:$B$53&amp;Res_AllFuels_SEDS_2022_TBtus!$A$3:$A$53,0))))</f>
        <v>18.8</v>
      </c>
      <c r="AQ3" s="75">
        <f t="array" ref="AQ3">IF(ISERROR(index(Res_AllFuels_SEDS_2022_TBtus!$D$3:$D$53,match($B3&amp;AQ$2,Res_AllFuels_SEDS_2022_TBtus!$B$3:$B$53&amp;Res_AllFuels_SEDS_2022_TBtus!$A$3:$A$53,0))),0,(index(Res_AllFuels_SEDS_2022_TBtus!$D$3:$D$53,match($B3&amp;AQ$2,Res_AllFuels_SEDS_2022_TBtus!$B$3:$B$53&amp;Res_AllFuels_SEDS_2022_TBtus!$A$3:$A$53,0))))</f>
        <v>0</v>
      </c>
      <c r="AR3" s="75">
        <f t="array" ref="AR3">IF(ISERROR(index(Res_AllFuels_SEDS_2022_TBtus!$D$3:$D$53,match($B3&amp;AR$2,Res_AllFuels_SEDS_2022_TBtus!$B$3:$B$53&amp;Res_AllFuels_SEDS_2022_TBtus!$A$3:$A$53,0))),0,(index(Res_AllFuels_SEDS_2022_TBtus!$D$3:$D$53,match($B3&amp;AR$2,Res_AllFuels_SEDS_2022_TBtus!$B$3:$B$53&amp;Res_AllFuels_SEDS_2022_TBtus!$A$3:$A$53,0))))</f>
        <v>0</v>
      </c>
      <c r="AS3" s="75">
        <f t="array" ref="AS3">IF(ISERROR(index(Res_AllFuels_SEDS_2022_TBtus!$D$3:$D$53,match($B3&amp;AS$2,Res_AllFuels_SEDS_2022_TBtus!$B$3:$B$53&amp;Res_AllFuels_SEDS_2022_TBtus!$A$3:$A$53,0))),0,(index(Res_AllFuels_SEDS_2022_TBtus!$D$3:$D$53,match($B3&amp;AS$2,Res_AllFuels_SEDS_2022_TBtus!$B$3:$B$53&amp;Res_AllFuels_SEDS_2022_TBtus!$A$3:$A$53,0))))</f>
        <v>0</v>
      </c>
      <c r="AT3" s="75">
        <f t="array" ref="AT3">IF(ISERROR(index(Res_AllFuels_SEDS_2022_TBtus!$D$3:$D$53,match($B3&amp;AT$2,Res_AllFuels_SEDS_2022_TBtus!$B$3:$B$53&amp;Res_AllFuels_SEDS_2022_TBtus!$A$3:$A$53,0))),0,(index(Res_AllFuels_SEDS_2022_TBtus!$D$3:$D$53,match($B3&amp;AT$2,Res_AllFuels_SEDS_2022_TBtus!$B$3:$B$53&amp;Res_AllFuels_SEDS_2022_TBtus!$A$3:$A$53,0))))</f>
        <v>0</v>
      </c>
      <c r="AU3" s="75">
        <f t="array" ref="AU3">IF(ISERROR(index(Res_AllFuels_SEDS_2022_TBtus!$D$3:$D$53,match($B3&amp;AU$2,Res_AllFuels_SEDS_2022_TBtus!$B$3:$B$53&amp;Res_AllFuels_SEDS_2022_TBtus!$A$3:$A$53,0))),0,(index(Res_AllFuels_SEDS_2022_TBtus!$D$3:$D$53,match($B3&amp;AU$2,Res_AllFuels_SEDS_2022_TBtus!$B$3:$B$53&amp;Res_AllFuels_SEDS_2022_TBtus!$A$3:$A$53,0))))</f>
        <v>0</v>
      </c>
      <c r="AV3" s="75">
        <f t="array" ref="AV3">IF(ISERROR(index(Res_AllFuels_SEDS_2022_TBtus!$D$3:$D$53,match($B3&amp;AV$2,Res_AllFuels_SEDS_2022_TBtus!$B$3:$B$53&amp;Res_AllFuels_SEDS_2022_TBtus!$A$3:$A$53,0))),0,(index(Res_AllFuels_SEDS_2022_TBtus!$D$3:$D$53,match($B3&amp;AV$2,Res_AllFuels_SEDS_2022_TBtus!$B$3:$B$53&amp;Res_AllFuels_SEDS_2022_TBtus!$A$3:$A$53,0))))</f>
        <v>4.1</v>
      </c>
      <c r="AW3" s="75">
        <f t="array" ref="AW3">IF(ISERROR(index(Res_AllFuels_SEDS_2022_TBtus!$D$3:$D$53,match($B3&amp;AW$2,Res_AllFuels_SEDS_2022_TBtus!$B$3:$B$53&amp;Res_AllFuels_SEDS_2022_TBtus!$A$3:$A$53,0))),0,(index(Res_AllFuels_SEDS_2022_TBtus!$D$3:$D$53,match($B3&amp;AW$2,Res_AllFuels_SEDS_2022_TBtus!$B$3:$B$53&amp;Res_AllFuels_SEDS_2022_TBtus!$A$3:$A$53,0))))</f>
        <v>0</v>
      </c>
      <c r="AX3" s="75">
        <f t="array" ref="AX3">IF(ISERROR(index(Res_AllFuels_SEDS_2022_TBtus!$D$3:$D$53,match($B3&amp;AX$2,Res_AllFuels_SEDS_2022_TBtus!$B$3:$B$53&amp;Res_AllFuels_SEDS_2022_TBtus!$A$3:$A$53,0))),0,(index(Res_AllFuels_SEDS_2022_TBtus!$D$3:$D$53,match($B3&amp;AX$2,Res_AllFuels_SEDS_2022_TBtus!$B$3:$B$53&amp;Res_AllFuels_SEDS_2022_TBtus!$A$3:$A$53,0))))</f>
        <v>0</v>
      </c>
      <c r="AY3" s="75">
        <f t="array" ref="AY3">IF(ISERROR(index(Res_AllFuels_SEDS_2022_TBtus!$D$3:$D$53,match($B3&amp;AY$2,Res_AllFuels_SEDS_2022_TBtus!$B$3:$B$53&amp;Res_AllFuels_SEDS_2022_TBtus!$A$3:$A$53,0))),0,(index(Res_AllFuels_SEDS_2022_TBtus!$D$3:$D$53,match($B3&amp;AY$2,Res_AllFuels_SEDS_2022_TBtus!$B$3:$B$53&amp;Res_AllFuels_SEDS_2022_TBtus!$A$3:$A$53,0))))</f>
        <v>0</v>
      </c>
      <c r="AZ3" s="75">
        <f t="array" ref="AZ3">IF(ISERROR(index(Res_AllFuels_SEDS_2022_TBtus!$D$3:$D$53,match($B3&amp;AZ$2,Res_AllFuels_SEDS_2022_TBtus!$B$3:$B$53&amp;Res_AllFuels_SEDS_2022_TBtus!$A$3:$A$53,0))),0,(index(Res_AllFuels_SEDS_2022_TBtus!$D$3:$D$53,match($B3&amp;AZ$2,Res_AllFuels_SEDS_2022_TBtus!$B$3:$B$53&amp;Res_AllFuels_SEDS_2022_TBtus!$A$3:$A$53,0))))</f>
        <v>0</v>
      </c>
      <c r="BA3" s="75">
        <f t="array" ref="BA3">IF(ISERROR(index(Res_AllFuels_SEDS_2022_TBtus!$D$3:$D$53,match($B3&amp;BA$2,Res_AllFuels_SEDS_2022_TBtus!$B$3:$B$53&amp;Res_AllFuels_SEDS_2022_TBtus!$A$3:$A$53,0))),0,(index(Res_AllFuels_SEDS_2022_TBtus!$D$3:$D$53,match($B3&amp;BA$2,Res_AllFuels_SEDS_2022_TBtus!$B$3:$B$53&amp;Res_AllFuels_SEDS_2022_TBtus!$A$3:$A$53,0))))</f>
        <v>0</v>
      </c>
      <c r="BB3" s="74">
        <f t="shared" ref="BB3:BB12" si="1">sum(C3:BA3)</f>
        <v>221.5</v>
      </c>
    </row>
    <row r="4" ht="15.75" customHeight="1">
      <c r="B4" s="74">
        <v>2.0</v>
      </c>
      <c r="C4" s="75">
        <f t="array" ref="C4">IF(ISERROR(index(Res_AllFuels_SEDS_2022_TBtus!$D$3:$D$53,match($B4&amp;C$2,Res_AllFuels_SEDS_2022_TBtus!$B$3:$B$53&amp;Res_AllFuels_SEDS_2022_TBtus!$A$3:$A$53,0))),0,(index(Res_AllFuels_SEDS_2022_TBtus!$D$3:$D$53,match($B4&amp;C$2,Res_AllFuels_SEDS_2022_TBtus!$B$3:$B$53&amp;Res_AllFuels_SEDS_2022_TBtus!$A$3:$A$53,0))))</f>
        <v>0</v>
      </c>
      <c r="D4" s="75">
        <f t="array" ref="D4">IF(ISERROR(index(Res_AllFuels_SEDS_2022_TBtus!$D$3:$D$53,match($B4&amp;D$2,Res_AllFuels_SEDS_2022_TBtus!$B$3:$B$53&amp;Res_AllFuels_SEDS_2022_TBtus!$A$3:$A$53,0))),0,(index(Res_AllFuels_SEDS_2022_TBtus!$D$3:$D$53,match($B4&amp;D$2,Res_AllFuels_SEDS_2022_TBtus!$B$3:$B$53&amp;Res_AllFuels_SEDS_2022_TBtus!$A$3:$A$53,0))))</f>
        <v>0</v>
      </c>
      <c r="E4" s="75">
        <f t="array" ref="E4">IF(ISERROR(index(Res_AllFuels_SEDS_2022_TBtus!$D$3:$D$53,match($B4&amp;E$2,Res_AllFuels_SEDS_2022_TBtus!$B$3:$B$53&amp;Res_AllFuels_SEDS_2022_TBtus!$A$3:$A$53,0))),0,(index(Res_AllFuels_SEDS_2022_TBtus!$D$3:$D$53,match($B4&amp;E$2,Res_AllFuels_SEDS_2022_TBtus!$B$3:$B$53&amp;Res_AllFuels_SEDS_2022_TBtus!$A$3:$A$53,0))))</f>
        <v>0</v>
      </c>
      <c r="F4" s="75">
        <f t="array" ref="F4">IF(ISERROR(index(Res_AllFuels_SEDS_2022_TBtus!$D$3:$D$53,match($B4&amp;F$2,Res_AllFuels_SEDS_2022_TBtus!$B$3:$B$53&amp;Res_AllFuels_SEDS_2022_TBtus!$A$3:$A$53,0))),0,(index(Res_AllFuels_SEDS_2022_TBtus!$D$3:$D$53,match($B4&amp;F$2,Res_AllFuels_SEDS_2022_TBtus!$B$3:$B$53&amp;Res_AllFuels_SEDS_2022_TBtus!$A$3:$A$53,0))))</f>
        <v>0</v>
      </c>
      <c r="G4" s="75">
        <f t="array" ref="G4">IF(ISERROR(index(Res_AllFuels_SEDS_2022_TBtus!$D$3:$D$53,match($B4&amp;G$2,Res_AllFuels_SEDS_2022_TBtus!$B$3:$B$53&amp;Res_AllFuels_SEDS_2022_TBtus!$A$3:$A$53,0))),0,(index(Res_AllFuels_SEDS_2022_TBtus!$D$3:$D$53,match($B4&amp;G$2,Res_AllFuels_SEDS_2022_TBtus!$B$3:$B$53&amp;Res_AllFuels_SEDS_2022_TBtus!$A$3:$A$53,0))))</f>
        <v>0</v>
      </c>
      <c r="H4" s="75">
        <f t="array" ref="H4">IF(ISERROR(index(Res_AllFuels_SEDS_2022_TBtus!$D$3:$D$53,match($B4&amp;H$2,Res_AllFuels_SEDS_2022_TBtus!$B$3:$B$53&amp;Res_AllFuels_SEDS_2022_TBtus!$A$3:$A$53,0))),0,(index(Res_AllFuels_SEDS_2022_TBtus!$D$3:$D$53,match($B4&amp;H$2,Res_AllFuels_SEDS_2022_TBtus!$B$3:$B$53&amp;Res_AllFuels_SEDS_2022_TBtus!$A$3:$A$53,0))))</f>
        <v>0</v>
      </c>
      <c r="I4" s="75">
        <f t="array" ref="I4">IF(ISERROR(index(Res_AllFuels_SEDS_2022_TBtus!$D$3:$D$53,match($B4&amp;I$2,Res_AllFuels_SEDS_2022_TBtus!$B$3:$B$53&amp;Res_AllFuels_SEDS_2022_TBtus!$A$3:$A$53,0))),0,(index(Res_AllFuels_SEDS_2022_TBtus!$D$3:$D$53,match($B4&amp;I$2,Res_AllFuels_SEDS_2022_TBtus!$B$3:$B$53&amp;Res_AllFuels_SEDS_2022_TBtus!$A$3:$A$53,0))))</f>
        <v>0</v>
      </c>
      <c r="J4" s="75">
        <f t="array" ref="J4">IF(ISERROR(index(Res_AllFuels_SEDS_2022_TBtus!$D$3:$D$53,match($B4&amp;J$2,Res_AllFuels_SEDS_2022_TBtus!$B$3:$B$53&amp;Res_AllFuels_SEDS_2022_TBtus!$A$3:$A$53,0))),0,(index(Res_AllFuels_SEDS_2022_TBtus!$D$3:$D$53,match($B4&amp;J$2,Res_AllFuels_SEDS_2022_TBtus!$B$3:$B$53&amp;Res_AllFuels_SEDS_2022_TBtus!$A$3:$A$53,0))))</f>
        <v>0</v>
      </c>
      <c r="K4" s="75">
        <f t="array" ref="K4">IF(ISERROR(index(Res_AllFuels_SEDS_2022_TBtus!$D$3:$D$53,match($B4&amp;K$2,Res_AllFuels_SEDS_2022_TBtus!$B$3:$B$53&amp;Res_AllFuels_SEDS_2022_TBtus!$A$3:$A$53,0))),0,(index(Res_AllFuels_SEDS_2022_TBtus!$D$3:$D$53,match($B4&amp;K$2,Res_AllFuels_SEDS_2022_TBtus!$B$3:$B$53&amp;Res_AllFuels_SEDS_2022_TBtus!$A$3:$A$53,0))))</f>
        <v>0</v>
      </c>
      <c r="L4" s="75">
        <f t="array" ref="L4">IF(ISERROR(index(Res_AllFuels_SEDS_2022_TBtus!$D$3:$D$53,match($B4&amp;L$2,Res_AllFuels_SEDS_2022_TBtus!$B$3:$B$53&amp;Res_AllFuels_SEDS_2022_TBtus!$A$3:$A$53,0))),0,(index(Res_AllFuels_SEDS_2022_TBtus!$D$3:$D$53,match($B4&amp;L$2,Res_AllFuels_SEDS_2022_TBtus!$B$3:$B$53&amp;Res_AllFuels_SEDS_2022_TBtus!$A$3:$A$53,0))))</f>
        <v>0</v>
      </c>
      <c r="M4" s="75">
        <f t="array" ref="M4">IF(ISERROR(index(Res_AllFuels_SEDS_2022_TBtus!$D$3:$D$53,match($B4&amp;M$2,Res_AllFuels_SEDS_2022_TBtus!$B$3:$B$53&amp;Res_AllFuels_SEDS_2022_TBtus!$A$3:$A$53,0))),0,(index(Res_AllFuels_SEDS_2022_TBtus!$D$3:$D$53,match($B4&amp;M$2,Res_AllFuels_SEDS_2022_TBtus!$B$3:$B$53&amp;Res_AllFuels_SEDS_2022_TBtus!$A$3:$A$53,0))))</f>
        <v>0</v>
      </c>
      <c r="N4" s="75">
        <f t="array" ref="N4">IF(ISERROR(index(Res_AllFuels_SEDS_2022_TBtus!$D$3:$D$53,match($B4&amp;N$2,Res_AllFuels_SEDS_2022_TBtus!$B$3:$B$53&amp;Res_AllFuels_SEDS_2022_TBtus!$A$3:$A$53,0))),0,(index(Res_AllFuels_SEDS_2022_TBtus!$D$3:$D$53,match($B4&amp;N$2,Res_AllFuels_SEDS_2022_TBtus!$B$3:$B$53&amp;Res_AllFuels_SEDS_2022_TBtus!$A$3:$A$53,0))))</f>
        <v>0</v>
      </c>
      <c r="O4" s="75">
        <f t="array" ref="O4">IF(ISERROR(index(Res_AllFuels_SEDS_2022_TBtus!$D$3:$D$53,match($B4&amp;O$2,Res_AllFuels_SEDS_2022_TBtus!$B$3:$B$53&amp;Res_AllFuels_SEDS_2022_TBtus!$A$3:$A$53,0))),0,(index(Res_AllFuels_SEDS_2022_TBtus!$D$3:$D$53,match($B4&amp;O$2,Res_AllFuels_SEDS_2022_TBtus!$B$3:$B$53&amp;Res_AllFuels_SEDS_2022_TBtus!$A$3:$A$53,0))))</f>
        <v>0</v>
      </c>
      <c r="P4" s="75">
        <f t="array" ref="P4">IF(ISERROR(index(Res_AllFuels_SEDS_2022_TBtus!$D$3:$D$53,match($B4&amp;P$2,Res_AllFuels_SEDS_2022_TBtus!$B$3:$B$53&amp;Res_AllFuels_SEDS_2022_TBtus!$A$3:$A$53,0))),0,(index(Res_AllFuels_SEDS_2022_TBtus!$D$3:$D$53,match($B4&amp;P$2,Res_AllFuels_SEDS_2022_TBtus!$B$3:$B$53&amp;Res_AllFuels_SEDS_2022_TBtus!$A$3:$A$53,0))))</f>
        <v>0</v>
      </c>
      <c r="Q4" s="75">
        <f t="array" ref="Q4">IF(ISERROR(index(Res_AllFuels_SEDS_2022_TBtus!$D$3:$D$53,match($B4&amp;Q$2,Res_AllFuels_SEDS_2022_TBtus!$B$3:$B$53&amp;Res_AllFuels_SEDS_2022_TBtus!$A$3:$A$53,0))),0,(index(Res_AllFuels_SEDS_2022_TBtus!$D$3:$D$53,match($B4&amp;Q$2,Res_AllFuels_SEDS_2022_TBtus!$B$3:$B$53&amp;Res_AllFuels_SEDS_2022_TBtus!$A$3:$A$53,0))))</f>
        <v>0</v>
      </c>
      <c r="R4" s="75">
        <f t="array" ref="R4">IF(ISERROR(index(Res_AllFuels_SEDS_2022_TBtus!$D$3:$D$53,match($B4&amp;R$2,Res_AllFuels_SEDS_2022_TBtus!$B$3:$B$53&amp;Res_AllFuels_SEDS_2022_TBtus!$A$3:$A$53,0))),0,(index(Res_AllFuels_SEDS_2022_TBtus!$D$3:$D$53,match($B4&amp;R$2,Res_AllFuels_SEDS_2022_TBtus!$B$3:$B$53&amp;Res_AllFuels_SEDS_2022_TBtus!$A$3:$A$53,0))))</f>
        <v>0</v>
      </c>
      <c r="S4" s="75">
        <f t="array" ref="S4">IF(ISERROR(index(Res_AllFuels_SEDS_2022_TBtus!$D$3:$D$53,match($B4&amp;S$2,Res_AllFuels_SEDS_2022_TBtus!$B$3:$B$53&amp;Res_AllFuels_SEDS_2022_TBtus!$A$3:$A$53,0))),0,(index(Res_AllFuels_SEDS_2022_TBtus!$D$3:$D$53,match($B4&amp;S$2,Res_AllFuels_SEDS_2022_TBtus!$B$3:$B$53&amp;Res_AllFuels_SEDS_2022_TBtus!$A$3:$A$53,0))))</f>
        <v>0</v>
      </c>
      <c r="T4" s="75">
        <f t="array" ref="T4">IF(ISERROR(index(Res_AllFuels_SEDS_2022_TBtus!$D$3:$D$53,match($B4&amp;T$2,Res_AllFuels_SEDS_2022_TBtus!$B$3:$B$53&amp;Res_AllFuels_SEDS_2022_TBtus!$A$3:$A$53,0))),0,(index(Res_AllFuels_SEDS_2022_TBtus!$D$3:$D$53,match($B4&amp;T$2,Res_AllFuels_SEDS_2022_TBtus!$B$3:$B$53&amp;Res_AllFuels_SEDS_2022_TBtus!$A$3:$A$53,0))))</f>
        <v>0</v>
      </c>
      <c r="U4" s="75">
        <f t="array" ref="U4">IF(ISERROR(index(Res_AllFuels_SEDS_2022_TBtus!$D$3:$D$53,match($B4&amp;U$2,Res_AllFuels_SEDS_2022_TBtus!$B$3:$B$53&amp;Res_AllFuels_SEDS_2022_TBtus!$A$3:$A$53,0))),0,(index(Res_AllFuels_SEDS_2022_TBtus!$D$3:$D$53,match($B4&amp;U$2,Res_AllFuels_SEDS_2022_TBtus!$B$3:$B$53&amp;Res_AllFuels_SEDS_2022_TBtus!$A$3:$A$53,0))))</f>
        <v>0</v>
      </c>
      <c r="V4" s="75">
        <f t="array" ref="V4">IF(ISERROR(index(Res_AllFuels_SEDS_2022_TBtus!$D$3:$D$53,match($B4&amp;V$2,Res_AllFuels_SEDS_2022_TBtus!$B$3:$B$53&amp;Res_AllFuels_SEDS_2022_TBtus!$A$3:$A$53,0))),0,(index(Res_AllFuels_SEDS_2022_TBtus!$D$3:$D$53,match($B4&amp;V$2,Res_AllFuels_SEDS_2022_TBtus!$B$3:$B$53&amp;Res_AllFuels_SEDS_2022_TBtus!$A$3:$A$53,0))))</f>
        <v>0</v>
      </c>
      <c r="W4" s="75">
        <f t="array" ref="W4">IF(ISERROR(index(Res_AllFuels_SEDS_2022_TBtus!$D$3:$D$53,match($B4&amp;W$2,Res_AllFuels_SEDS_2022_TBtus!$B$3:$B$53&amp;Res_AllFuels_SEDS_2022_TBtus!$A$3:$A$53,0))),0,(index(Res_AllFuels_SEDS_2022_TBtus!$D$3:$D$53,match($B4&amp;W$2,Res_AllFuels_SEDS_2022_TBtus!$B$3:$B$53&amp;Res_AllFuels_SEDS_2022_TBtus!$A$3:$A$53,0))))</f>
        <v>0</v>
      </c>
      <c r="X4" s="75">
        <f t="array" ref="X4">IF(ISERROR(index(Res_AllFuels_SEDS_2022_TBtus!$D$3:$D$53,match($B4&amp;X$2,Res_AllFuels_SEDS_2022_TBtus!$B$3:$B$53&amp;Res_AllFuels_SEDS_2022_TBtus!$A$3:$A$53,0))),0,(index(Res_AllFuels_SEDS_2022_TBtus!$D$3:$D$53,match($B4&amp;X$2,Res_AllFuels_SEDS_2022_TBtus!$B$3:$B$53&amp;Res_AllFuels_SEDS_2022_TBtus!$A$3:$A$53,0))))</f>
        <v>0</v>
      </c>
      <c r="Y4" s="75">
        <f t="array" ref="Y4">IF(ISERROR(index(Res_AllFuels_SEDS_2022_TBtus!$D$3:$D$53,match($B4&amp;Y$2,Res_AllFuels_SEDS_2022_TBtus!$B$3:$B$53&amp;Res_AllFuels_SEDS_2022_TBtus!$A$3:$A$53,0))),0,(index(Res_AllFuels_SEDS_2022_TBtus!$D$3:$D$53,match($B4&amp;Y$2,Res_AllFuels_SEDS_2022_TBtus!$B$3:$B$53&amp;Res_AllFuels_SEDS_2022_TBtus!$A$3:$A$53,0))))</f>
        <v>0</v>
      </c>
      <c r="Z4" s="75">
        <f t="array" ref="Z4">IF(ISERROR(index(Res_AllFuels_SEDS_2022_TBtus!$D$3:$D$53,match($B4&amp;Z$2,Res_AllFuels_SEDS_2022_TBtus!$B$3:$B$53&amp;Res_AllFuels_SEDS_2022_TBtus!$A$3:$A$53,0))),0,(index(Res_AllFuels_SEDS_2022_TBtus!$D$3:$D$53,match($B4&amp;Z$2,Res_AllFuels_SEDS_2022_TBtus!$B$3:$B$53&amp;Res_AllFuels_SEDS_2022_TBtus!$A$3:$A$53,0))))</f>
        <v>0</v>
      </c>
      <c r="AA4" s="75">
        <f t="array" ref="AA4">IF(ISERROR(index(Res_AllFuels_SEDS_2022_TBtus!$D$3:$D$53,match($B4&amp;AA$2,Res_AllFuels_SEDS_2022_TBtus!$B$3:$B$53&amp;Res_AllFuels_SEDS_2022_TBtus!$A$3:$A$53,0))),0,(index(Res_AllFuels_SEDS_2022_TBtus!$D$3:$D$53,match($B4&amp;AA$2,Res_AllFuels_SEDS_2022_TBtus!$B$3:$B$53&amp;Res_AllFuels_SEDS_2022_TBtus!$A$3:$A$53,0))))</f>
        <v>0</v>
      </c>
      <c r="AB4" s="75">
        <f t="array" ref="AB4">IF(ISERROR(index(Res_AllFuels_SEDS_2022_TBtus!$D$3:$D$53,match($B4&amp;AB$2,Res_AllFuels_SEDS_2022_TBtus!$B$3:$B$53&amp;Res_AllFuels_SEDS_2022_TBtus!$A$3:$A$53,0))),0,(index(Res_AllFuels_SEDS_2022_TBtus!$D$3:$D$53,match($B4&amp;AB$2,Res_AllFuels_SEDS_2022_TBtus!$B$3:$B$53&amp;Res_AllFuels_SEDS_2022_TBtus!$A$3:$A$53,0))))</f>
        <v>0</v>
      </c>
      <c r="AC4" s="75">
        <f t="array" ref="AC4">IF(ISERROR(index(Res_AllFuels_SEDS_2022_TBtus!$D$3:$D$53,match($B4&amp;AC$2,Res_AllFuels_SEDS_2022_TBtus!$B$3:$B$53&amp;Res_AllFuels_SEDS_2022_TBtus!$A$3:$A$53,0))),0,(index(Res_AllFuels_SEDS_2022_TBtus!$D$3:$D$53,match($B4&amp;AC$2,Res_AllFuels_SEDS_2022_TBtus!$B$3:$B$53&amp;Res_AllFuels_SEDS_2022_TBtus!$A$3:$A$53,0))))</f>
        <v>0</v>
      </c>
      <c r="AD4" s="75">
        <f t="array" ref="AD4">IF(ISERROR(index(Res_AllFuels_SEDS_2022_TBtus!$D$3:$D$53,match($B4&amp;AD$2,Res_AllFuels_SEDS_2022_TBtus!$B$3:$B$53&amp;Res_AllFuels_SEDS_2022_TBtus!$A$3:$A$53,0))),0,(index(Res_AllFuels_SEDS_2022_TBtus!$D$3:$D$53,match($B4&amp;AD$2,Res_AllFuels_SEDS_2022_TBtus!$B$3:$B$53&amp;Res_AllFuels_SEDS_2022_TBtus!$A$3:$A$53,0))))</f>
        <v>0</v>
      </c>
      <c r="AE4" s="75">
        <f t="array" ref="AE4">IF(ISERROR(index(Res_AllFuels_SEDS_2022_TBtus!$D$3:$D$53,match($B4&amp;AE$2,Res_AllFuels_SEDS_2022_TBtus!$B$3:$B$53&amp;Res_AllFuels_SEDS_2022_TBtus!$A$3:$A$53,0))),0,(index(Res_AllFuels_SEDS_2022_TBtus!$D$3:$D$53,match($B4&amp;AE$2,Res_AllFuels_SEDS_2022_TBtus!$B$3:$B$53&amp;Res_AllFuels_SEDS_2022_TBtus!$A$3:$A$53,0))))</f>
        <v>0</v>
      </c>
      <c r="AF4" s="75">
        <f t="array" ref="AF4">IF(ISERROR(index(Res_AllFuels_SEDS_2022_TBtus!$D$3:$D$53,match($B4&amp;AF$2,Res_AllFuels_SEDS_2022_TBtus!$B$3:$B$53&amp;Res_AllFuels_SEDS_2022_TBtus!$A$3:$A$53,0))),0,(index(Res_AllFuels_SEDS_2022_TBtus!$D$3:$D$53,match($B4&amp;AF$2,Res_AllFuels_SEDS_2022_TBtus!$B$3:$B$53&amp;Res_AllFuels_SEDS_2022_TBtus!$A$3:$A$53,0))))</f>
        <v>0</v>
      </c>
      <c r="AG4" s="75">
        <f t="array" ref="AG4">IF(ISERROR(index(Res_AllFuels_SEDS_2022_TBtus!$D$3:$D$53,match($B4&amp;AG$2,Res_AllFuels_SEDS_2022_TBtus!$B$3:$B$53&amp;Res_AllFuels_SEDS_2022_TBtus!$A$3:$A$53,0))),0,(index(Res_AllFuels_SEDS_2022_TBtus!$D$3:$D$53,match($B4&amp;AG$2,Res_AllFuels_SEDS_2022_TBtus!$B$3:$B$53&amp;Res_AllFuels_SEDS_2022_TBtus!$A$3:$A$53,0))))</f>
        <v>248</v>
      </c>
      <c r="AH4" s="75">
        <f t="array" ref="AH4">IF(ISERROR(index(Res_AllFuels_SEDS_2022_TBtus!$D$3:$D$53,match($B4&amp;AH$2,Res_AllFuels_SEDS_2022_TBtus!$B$3:$B$53&amp;Res_AllFuels_SEDS_2022_TBtus!$A$3:$A$53,0))),0,(index(Res_AllFuels_SEDS_2022_TBtus!$D$3:$D$53,match($B4&amp;AH$2,Res_AllFuels_SEDS_2022_TBtus!$B$3:$B$53&amp;Res_AllFuels_SEDS_2022_TBtus!$A$3:$A$53,0))))</f>
        <v>0</v>
      </c>
      <c r="AI4" s="75">
        <f t="array" ref="AI4">IF(ISERROR(index(Res_AllFuels_SEDS_2022_TBtus!$D$3:$D$53,match($B4&amp;AI$2,Res_AllFuels_SEDS_2022_TBtus!$B$3:$B$53&amp;Res_AllFuels_SEDS_2022_TBtus!$A$3:$A$53,0))),0,(index(Res_AllFuels_SEDS_2022_TBtus!$D$3:$D$53,match($B4&amp;AI$2,Res_AllFuels_SEDS_2022_TBtus!$B$3:$B$53&amp;Res_AllFuels_SEDS_2022_TBtus!$A$3:$A$53,0))))</f>
        <v>464.2</v>
      </c>
      <c r="AJ4" s="75">
        <f t="array" ref="AJ4">IF(ISERROR(index(Res_AllFuels_SEDS_2022_TBtus!$D$3:$D$53,match($B4&amp;AJ$2,Res_AllFuels_SEDS_2022_TBtus!$B$3:$B$53&amp;Res_AllFuels_SEDS_2022_TBtus!$A$3:$A$53,0))),0,(index(Res_AllFuels_SEDS_2022_TBtus!$D$3:$D$53,match($B4&amp;AJ$2,Res_AllFuels_SEDS_2022_TBtus!$B$3:$B$53&amp;Res_AllFuels_SEDS_2022_TBtus!$A$3:$A$53,0))))</f>
        <v>0</v>
      </c>
      <c r="AK4" s="75">
        <f t="array" ref="AK4">IF(ISERROR(index(Res_AllFuels_SEDS_2022_TBtus!$D$3:$D$53,match($B4&amp;AK$2,Res_AllFuels_SEDS_2022_TBtus!$B$3:$B$53&amp;Res_AllFuels_SEDS_2022_TBtus!$A$3:$A$53,0))),0,(index(Res_AllFuels_SEDS_2022_TBtus!$D$3:$D$53,match($B4&amp;AK$2,Res_AllFuels_SEDS_2022_TBtus!$B$3:$B$53&amp;Res_AllFuels_SEDS_2022_TBtus!$A$3:$A$53,0))))</f>
        <v>0</v>
      </c>
      <c r="AL4" s="75">
        <f t="array" ref="AL4">IF(ISERROR(index(Res_AllFuels_SEDS_2022_TBtus!$D$3:$D$53,match($B4&amp;AL$2,Res_AllFuels_SEDS_2022_TBtus!$B$3:$B$53&amp;Res_AllFuels_SEDS_2022_TBtus!$A$3:$A$53,0))),0,(index(Res_AllFuels_SEDS_2022_TBtus!$D$3:$D$53,match($B4&amp;AL$2,Res_AllFuels_SEDS_2022_TBtus!$B$3:$B$53&amp;Res_AllFuels_SEDS_2022_TBtus!$A$3:$A$53,0))))</f>
        <v>0</v>
      </c>
      <c r="AM4" s="75">
        <f t="array" ref="AM4">IF(ISERROR(index(Res_AllFuels_SEDS_2022_TBtus!$D$3:$D$53,match($B4&amp;AM$2,Res_AllFuels_SEDS_2022_TBtus!$B$3:$B$53&amp;Res_AllFuels_SEDS_2022_TBtus!$A$3:$A$53,0))),0,(index(Res_AllFuels_SEDS_2022_TBtus!$D$3:$D$53,match($B4&amp;AM$2,Res_AllFuels_SEDS_2022_TBtus!$B$3:$B$53&amp;Res_AllFuels_SEDS_2022_TBtus!$A$3:$A$53,0))))</f>
        <v>0</v>
      </c>
      <c r="AN4" s="75">
        <f t="array" ref="AN4">IF(ISERROR(index(Res_AllFuels_SEDS_2022_TBtus!$D$3:$D$53,match($B4&amp;AN$2,Res_AllFuels_SEDS_2022_TBtus!$B$3:$B$53&amp;Res_AllFuels_SEDS_2022_TBtus!$A$3:$A$53,0))),0,(index(Res_AllFuels_SEDS_2022_TBtus!$D$3:$D$53,match($B4&amp;AN$2,Res_AllFuels_SEDS_2022_TBtus!$B$3:$B$53&amp;Res_AllFuels_SEDS_2022_TBtus!$A$3:$A$53,0))))</f>
        <v>0</v>
      </c>
      <c r="AO4" s="75">
        <f t="array" ref="AO4">IF(ISERROR(index(Res_AllFuels_SEDS_2022_TBtus!$D$3:$D$53,match($B4&amp;AO$2,Res_AllFuels_SEDS_2022_TBtus!$B$3:$B$53&amp;Res_AllFuels_SEDS_2022_TBtus!$A$3:$A$53,0))),0,(index(Res_AllFuels_SEDS_2022_TBtus!$D$3:$D$53,match($B4&amp;AO$2,Res_AllFuels_SEDS_2022_TBtus!$B$3:$B$53&amp;Res_AllFuels_SEDS_2022_TBtus!$A$3:$A$53,0))))</f>
        <v>246.5</v>
      </c>
      <c r="AP4" s="75">
        <f t="array" ref="AP4">IF(ISERROR(index(Res_AllFuels_SEDS_2022_TBtus!$D$3:$D$53,match($B4&amp;AP$2,Res_AllFuels_SEDS_2022_TBtus!$B$3:$B$53&amp;Res_AllFuels_SEDS_2022_TBtus!$A$3:$A$53,0))),0,(index(Res_AllFuels_SEDS_2022_TBtus!$D$3:$D$53,match($B4&amp;AP$2,Res_AllFuels_SEDS_2022_TBtus!$B$3:$B$53&amp;Res_AllFuels_SEDS_2022_TBtus!$A$3:$A$53,0))))</f>
        <v>0</v>
      </c>
      <c r="AQ4" s="75">
        <f t="array" ref="AQ4">IF(ISERROR(index(Res_AllFuels_SEDS_2022_TBtus!$D$3:$D$53,match($B4&amp;AQ$2,Res_AllFuels_SEDS_2022_TBtus!$B$3:$B$53&amp;Res_AllFuels_SEDS_2022_TBtus!$A$3:$A$53,0))),0,(index(Res_AllFuels_SEDS_2022_TBtus!$D$3:$D$53,match($B4&amp;AQ$2,Res_AllFuels_SEDS_2022_TBtus!$B$3:$B$53&amp;Res_AllFuels_SEDS_2022_TBtus!$A$3:$A$53,0))))</f>
        <v>0</v>
      </c>
      <c r="AR4" s="75">
        <f t="array" ref="AR4">IF(ISERROR(index(Res_AllFuels_SEDS_2022_TBtus!$D$3:$D$53,match($B4&amp;AR$2,Res_AllFuels_SEDS_2022_TBtus!$B$3:$B$53&amp;Res_AllFuels_SEDS_2022_TBtus!$A$3:$A$53,0))),0,(index(Res_AllFuels_SEDS_2022_TBtus!$D$3:$D$53,match($B4&amp;AR$2,Res_AllFuels_SEDS_2022_TBtus!$B$3:$B$53&amp;Res_AllFuels_SEDS_2022_TBtus!$A$3:$A$53,0))))</f>
        <v>0</v>
      </c>
      <c r="AS4" s="75">
        <f t="array" ref="AS4">IF(ISERROR(index(Res_AllFuels_SEDS_2022_TBtus!$D$3:$D$53,match($B4&amp;AS$2,Res_AllFuels_SEDS_2022_TBtus!$B$3:$B$53&amp;Res_AllFuels_SEDS_2022_TBtus!$A$3:$A$53,0))),0,(index(Res_AllFuels_SEDS_2022_TBtus!$D$3:$D$53,match($B4&amp;AS$2,Res_AllFuels_SEDS_2022_TBtus!$B$3:$B$53&amp;Res_AllFuels_SEDS_2022_TBtus!$A$3:$A$53,0))))</f>
        <v>0</v>
      </c>
      <c r="AT4" s="75">
        <f t="array" ref="AT4">IF(ISERROR(index(Res_AllFuels_SEDS_2022_TBtus!$D$3:$D$53,match($B4&amp;AT$2,Res_AllFuels_SEDS_2022_TBtus!$B$3:$B$53&amp;Res_AllFuels_SEDS_2022_TBtus!$A$3:$A$53,0))),0,(index(Res_AllFuels_SEDS_2022_TBtus!$D$3:$D$53,match($B4&amp;AT$2,Res_AllFuels_SEDS_2022_TBtus!$B$3:$B$53&amp;Res_AllFuels_SEDS_2022_TBtus!$A$3:$A$53,0))))</f>
        <v>0</v>
      </c>
      <c r="AU4" s="75">
        <f t="array" ref="AU4">IF(ISERROR(index(Res_AllFuels_SEDS_2022_TBtus!$D$3:$D$53,match($B4&amp;AU$2,Res_AllFuels_SEDS_2022_TBtus!$B$3:$B$53&amp;Res_AllFuels_SEDS_2022_TBtus!$A$3:$A$53,0))),0,(index(Res_AllFuels_SEDS_2022_TBtus!$D$3:$D$53,match($B4&amp;AU$2,Res_AllFuels_SEDS_2022_TBtus!$B$3:$B$53&amp;Res_AllFuels_SEDS_2022_TBtus!$A$3:$A$53,0))))</f>
        <v>0</v>
      </c>
      <c r="AV4" s="75">
        <f t="array" ref="AV4">IF(ISERROR(index(Res_AllFuels_SEDS_2022_TBtus!$D$3:$D$53,match($B4&amp;AV$2,Res_AllFuels_SEDS_2022_TBtus!$B$3:$B$53&amp;Res_AllFuels_SEDS_2022_TBtus!$A$3:$A$53,0))),0,(index(Res_AllFuels_SEDS_2022_TBtus!$D$3:$D$53,match($B4&amp;AV$2,Res_AllFuels_SEDS_2022_TBtus!$B$3:$B$53&amp;Res_AllFuels_SEDS_2022_TBtus!$A$3:$A$53,0))))</f>
        <v>0</v>
      </c>
      <c r="AW4" s="75">
        <f t="array" ref="AW4">IF(ISERROR(index(Res_AllFuels_SEDS_2022_TBtus!$D$3:$D$53,match($B4&amp;AW$2,Res_AllFuels_SEDS_2022_TBtus!$B$3:$B$53&amp;Res_AllFuels_SEDS_2022_TBtus!$A$3:$A$53,0))),0,(index(Res_AllFuels_SEDS_2022_TBtus!$D$3:$D$53,match($B4&amp;AW$2,Res_AllFuels_SEDS_2022_TBtus!$B$3:$B$53&amp;Res_AllFuels_SEDS_2022_TBtus!$A$3:$A$53,0))))</f>
        <v>0</v>
      </c>
      <c r="AX4" s="75">
        <f t="array" ref="AX4">IF(ISERROR(index(Res_AllFuels_SEDS_2022_TBtus!$D$3:$D$53,match($B4&amp;AX$2,Res_AllFuels_SEDS_2022_TBtus!$B$3:$B$53&amp;Res_AllFuels_SEDS_2022_TBtus!$A$3:$A$53,0))),0,(index(Res_AllFuels_SEDS_2022_TBtus!$D$3:$D$53,match($B4&amp;AX$2,Res_AllFuels_SEDS_2022_TBtus!$B$3:$B$53&amp;Res_AllFuels_SEDS_2022_TBtus!$A$3:$A$53,0))))</f>
        <v>0</v>
      </c>
      <c r="AY4" s="75">
        <f t="array" ref="AY4">IF(ISERROR(index(Res_AllFuels_SEDS_2022_TBtus!$D$3:$D$53,match($B4&amp;AY$2,Res_AllFuels_SEDS_2022_TBtus!$B$3:$B$53&amp;Res_AllFuels_SEDS_2022_TBtus!$A$3:$A$53,0))),0,(index(Res_AllFuels_SEDS_2022_TBtus!$D$3:$D$53,match($B4&amp;AY$2,Res_AllFuels_SEDS_2022_TBtus!$B$3:$B$53&amp;Res_AllFuels_SEDS_2022_TBtus!$A$3:$A$53,0))))</f>
        <v>0</v>
      </c>
      <c r="AZ4" s="75">
        <f t="array" ref="AZ4">IF(ISERROR(index(Res_AllFuels_SEDS_2022_TBtus!$D$3:$D$53,match($B4&amp;AZ$2,Res_AllFuels_SEDS_2022_TBtus!$B$3:$B$53&amp;Res_AllFuels_SEDS_2022_TBtus!$A$3:$A$53,0))),0,(index(Res_AllFuels_SEDS_2022_TBtus!$D$3:$D$53,match($B4&amp;AZ$2,Res_AllFuels_SEDS_2022_TBtus!$B$3:$B$53&amp;Res_AllFuels_SEDS_2022_TBtus!$A$3:$A$53,0))))</f>
        <v>0</v>
      </c>
      <c r="BA4" s="75">
        <f t="array" ref="BA4">IF(ISERROR(index(Res_AllFuels_SEDS_2022_TBtus!$D$3:$D$53,match($B4&amp;BA$2,Res_AllFuels_SEDS_2022_TBtus!$B$3:$B$53&amp;Res_AllFuels_SEDS_2022_TBtus!$A$3:$A$53,0))),0,(index(Res_AllFuels_SEDS_2022_TBtus!$D$3:$D$53,match($B4&amp;BA$2,Res_AllFuels_SEDS_2022_TBtus!$B$3:$B$53&amp;Res_AllFuels_SEDS_2022_TBtus!$A$3:$A$53,0))))</f>
        <v>0</v>
      </c>
      <c r="BB4" s="74">
        <f t="shared" si="1"/>
        <v>958.7</v>
      </c>
    </row>
    <row r="5" ht="15.75" customHeight="1">
      <c r="B5" s="74">
        <v>3.0</v>
      </c>
      <c r="C5" s="75">
        <f t="array" ref="C5">IF(ISERROR(index(Res_AllFuels_SEDS_2022_TBtus!$D$3:$D$53,match($B5&amp;C$2,Res_AllFuels_SEDS_2022_TBtus!$B$3:$B$53&amp;Res_AllFuels_SEDS_2022_TBtus!$A$3:$A$53,0))),0,(index(Res_AllFuels_SEDS_2022_TBtus!$D$3:$D$53,match($B5&amp;C$2,Res_AllFuels_SEDS_2022_TBtus!$B$3:$B$53&amp;Res_AllFuels_SEDS_2022_TBtus!$A$3:$A$53,0))))</f>
        <v>0</v>
      </c>
      <c r="D5" s="75">
        <f t="array" ref="D5">IF(ISERROR(index(Res_AllFuels_SEDS_2022_TBtus!$D$3:$D$53,match($B5&amp;D$2,Res_AllFuels_SEDS_2022_TBtus!$B$3:$B$53&amp;Res_AllFuels_SEDS_2022_TBtus!$A$3:$A$53,0))),0,(index(Res_AllFuels_SEDS_2022_TBtus!$D$3:$D$53,match($B5&amp;D$2,Res_AllFuels_SEDS_2022_TBtus!$B$3:$B$53&amp;Res_AllFuels_SEDS_2022_TBtus!$A$3:$A$53,0))))</f>
        <v>0</v>
      </c>
      <c r="E5" s="75">
        <f t="array" ref="E5">IF(ISERROR(index(Res_AllFuels_SEDS_2022_TBtus!$D$3:$D$53,match($B5&amp;E$2,Res_AllFuels_SEDS_2022_TBtus!$B$3:$B$53&amp;Res_AllFuels_SEDS_2022_TBtus!$A$3:$A$53,0))),0,(index(Res_AllFuels_SEDS_2022_TBtus!$D$3:$D$53,match($B5&amp;E$2,Res_AllFuels_SEDS_2022_TBtus!$B$3:$B$53&amp;Res_AllFuels_SEDS_2022_TBtus!$A$3:$A$53,0))))</f>
        <v>0</v>
      </c>
      <c r="F5" s="75">
        <f t="array" ref="F5">IF(ISERROR(index(Res_AllFuels_SEDS_2022_TBtus!$D$3:$D$53,match($B5&amp;F$2,Res_AllFuels_SEDS_2022_TBtus!$B$3:$B$53&amp;Res_AllFuels_SEDS_2022_TBtus!$A$3:$A$53,0))),0,(index(Res_AllFuels_SEDS_2022_TBtus!$D$3:$D$53,match($B5&amp;F$2,Res_AllFuels_SEDS_2022_TBtus!$B$3:$B$53&amp;Res_AllFuels_SEDS_2022_TBtus!$A$3:$A$53,0))))</f>
        <v>0</v>
      </c>
      <c r="G5" s="75">
        <f t="array" ref="G5">IF(ISERROR(index(Res_AllFuels_SEDS_2022_TBtus!$D$3:$D$53,match($B5&amp;G$2,Res_AllFuels_SEDS_2022_TBtus!$B$3:$B$53&amp;Res_AllFuels_SEDS_2022_TBtus!$A$3:$A$53,0))),0,(index(Res_AllFuels_SEDS_2022_TBtus!$D$3:$D$53,match($B5&amp;G$2,Res_AllFuels_SEDS_2022_TBtus!$B$3:$B$53&amp;Res_AllFuels_SEDS_2022_TBtus!$A$3:$A$53,0))))</f>
        <v>0</v>
      </c>
      <c r="H5" s="75">
        <f t="array" ref="H5">IF(ISERROR(index(Res_AllFuels_SEDS_2022_TBtus!$D$3:$D$53,match($B5&amp;H$2,Res_AllFuels_SEDS_2022_TBtus!$B$3:$B$53&amp;Res_AllFuels_SEDS_2022_TBtus!$A$3:$A$53,0))),0,(index(Res_AllFuels_SEDS_2022_TBtus!$D$3:$D$53,match($B5&amp;H$2,Res_AllFuels_SEDS_2022_TBtus!$B$3:$B$53&amp;Res_AllFuels_SEDS_2022_TBtus!$A$3:$A$53,0))))</f>
        <v>0</v>
      </c>
      <c r="I5" s="75">
        <f t="array" ref="I5">IF(ISERROR(index(Res_AllFuels_SEDS_2022_TBtus!$D$3:$D$53,match($B5&amp;I$2,Res_AllFuels_SEDS_2022_TBtus!$B$3:$B$53&amp;Res_AllFuels_SEDS_2022_TBtus!$A$3:$A$53,0))),0,(index(Res_AllFuels_SEDS_2022_TBtus!$D$3:$D$53,match($B5&amp;I$2,Res_AllFuels_SEDS_2022_TBtus!$B$3:$B$53&amp;Res_AllFuels_SEDS_2022_TBtus!$A$3:$A$53,0))))</f>
        <v>0</v>
      </c>
      <c r="J5" s="75">
        <f t="array" ref="J5">IF(ISERROR(index(Res_AllFuels_SEDS_2022_TBtus!$D$3:$D$53,match($B5&amp;J$2,Res_AllFuels_SEDS_2022_TBtus!$B$3:$B$53&amp;Res_AllFuels_SEDS_2022_TBtus!$A$3:$A$53,0))),0,(index(Res_AllFuels_SEDS_2022_TBtus!$D$3:$D$53,match($B5&amp;J$2,Res_AllFuels_SEDS_2022_TBtus!$B$3:$B$53&amp;Res_AllFuels_SEDS_2022_TBtus!$A$3:$A$53,0))))</f>
        <v>0</v>
      </c>
      <c r="K5" s="75">
        <f t="array" ref="K5">IF(ISERROR(index(Res_AllFuels_SEDS_2022_TBtus!$D$3:$D$53,match($B5&amp;K$2,Res_AllFuels_SEDS_2022_TBtus!$B$3:$B$53&amp;Res_AllFuels_SEDS_2022_TBtus!$A$3:$A$53,0))),0,(index(Res_AllFuels_SEDS_2022_TBtus!$D$3:$D$53,match($B5&amp;K$2,Res_AllFuels_SEDS_2022_TBtus!$B$3:$B$53&amp;Res_AllFuels_SEDS_2022_TBtus!$A$3:$A$53,0))))</f>
        <v>0</v>
      </c>
      <c r="L5" s="75">
        <f t="array" ref="L5">IF(ISERROR(index(Res_AllFuels_SEDS_2022_TBtus!$D$3:$D$53,match($B5&amp;L$2,Res_AllFuels_SEDS_2022_TBtus!$B$3:$B$53&amp;Res_AllFuels_SEDS_2022_TBtus!$A$3:$A$53,0))),0,(index(Res_AllFuels_SEDS_2022_TBtus!$D$3:$D$53,match($B5&amp;L$2,Res_AllFuels_SEDS_2022_TBtus!$B$3:$B$53&amp;Res_AllFuels_SEDS_2022_TBtus!$A$3:$A$53,0))))</f>
        <v>0</v>
      </c>
      <c r="M5" s="75">
        <f t="array" ref="M5">IF(ISERROR(index(Res_AllFuels_SEDS_2022_TBtus!$D$3:$D$53,match($B5&amp;M$2,Res_AllFuels_SEDS_2022_TBtus!$B$3:$B$53&amp;Res_AllFuels_SEDS_2022_TBtus!$A$3:$A$53,0))),0,(index(Res_AllFuels_SEDS_2022_TBtus!$D$3:$D$53,match($B5&amp;M$2,Res_AllFuels_SEDS_2022_TBtus!$B$3:$B$53&amp;Res_AllFuels_SEDS_2022_TBtus!$A$3:$A$53,0))))</f>
        <v>0</v>
      </c>
      <c r="N5" s="75">
        <f t="array" ref="N5">IF(ISERROR(index(Res_AllFuels_SEDS_2022_TBtus!$D$3:$D$53,match($B5&amp;N$2,Res_AllFuels_SEDS_2022_TBtus!$B$3:$B$53&amp;Res_AllFuels_SEDS_2022_TBtus!$A$3:$A$53,0))),0,(index(Res_AllFuels_SEDS_2022_TBtus!$D$3:$D$53,match($B5&amp;N$2,Res_AllFuels_SEDS_2022_TBtus!$B$3:$B$53&amp;Res_AllFuels_SEDS_2022_TBtus!$A$3:$A$53,0))))</f>
        <v>0</v>
      </c>
      <c r="O5" s="75">
        <f t="array" ref="O5">IF(ISERROR(index(Res_AllFuels_SEDS_2022_TBtus!$D$3:$D$53,match($B5&amp;O$2,Res_AllFuels_SEDS_2022_TBtus!$B$3:$B$53&amp;Res_AllFuels_SEDS_2022_TBtus!$A$3:$A$53,0))),0,(index(Res_AllFuels_SEDS_2022_TBtus!$D$3:$D$53,match($B5&amp;O$2,Res_AllFuels_SEDS_2022_TBtus!$B$3:$B$53&amp;Res_AllFuels_SEDS_2022_TBtus!$A$3:$A$53,0))))</f>
        <v>0</v>
      </c>
      <c r="P5" s="75">
        <f t="array" ref="P5">IF(ISERROR(index(Res_AllFuels_SEDS_2022_TBtus!$D$3:$D$53,match($B5&amp;P$2,Res_AllFuels_SEDS_2022_TBtus!$B$3:$B$53&amp;Res_AllFuels_SEDS_2022_TBtus!$A$3:$A$53,0))),0,(index(Res_AllFuels_SEDS_2022_TBtus!$D$3:$D$53,match($B5&amp;P$2,Res_AllFuels_SEDS_2022_TBtus!$B$3:$B$53&amp;Res_AllFuels_SEDS_2022_TBtus!$A$3:$A$53,0))))</f>
        <v>442.9</v>
      </c>
      <c r="Q5" s="75">
        <f t="array" ref="Q5">IF(ISERROR(index(Res_AllFuels_SEDS_2022_TBtus!$D$3:$D$53,match($B5&amp;Q$2,Res_AllFuels_SEDS_2022_TBtus!$B$3:$B$53&amp;Res_AllFuels_SEDS_2022_TBtus!$A$3:$A$53,0))),0,(index(Res_AllFuels_SEDS_2022_TBtus!$D$3:$D$53,match($B5&amp;Q$2,Res_AllFuels_SEDS_2022_TBtus!$B$3:$B$53&amp;Res_AllFuels_SEDS_2022_TBtus!$A$3:$A$53,0))))</f>
        <v>150.8</v>
      </c>
      <c r="R5" s="75">
        <f t="array" ref="R5">IF(ISERROR(index(Res_AllFuels_SEDS_2022_TBtus!$D$3:$D$53,match($B5&amp;R$2,Res_AllFuels_SEDS_2022_TBtus!$B$3:$B$53&amp;Res_AllFuels_SEDS_2022_TBtus!$A$3:$A$53,0))),0,(index(Res_AllFuels_SEDS_2022_TBtus!$D$3:$D$53,match($B5&amp;R$2,Res_AllFuels_SEDS_2022_TBtus!$B$3:$B$53&amp;Res_AllFuels_SEDS_2022_TBtus!$A$3:$A$53,0))))</f>
        <v>0</v>
      </c>
      <c r="S5" s="75">
        <f t="array" ref="S5">IF(ISERROR(index(Res_AllFuels_SEDS_2022_TBtus!$D$3:$D$53,match($B5&amp;S$2,Res_AllFuels_SEDS_2022_TBtus!$B$3:$B$53&amp;Res_AllFuels_SEDS_2022_TBtus!$A$3:$A$53,0))),0,(index(Res_AllFuels_SEDS_2022_TBtus!$D$3:$D$53,match($B5&amp;S$2,Res_AllFuels_SEDS_2022_TBtus!$B$3:$B$53&amp;Res_AllFuels_SEDS_2022_TBtus!$A$3:$A$53,0))))</f>
        <v>0</v>
      </c>
      <c r="T5" s="75">
        <f t="array" ref="T5">IF(ISERROR(index(Res_AllFuels_SEDS_2022_TBtus!$D$3:$D$53,match($B5&amp;T$2,Res_AllFuels_SEDS_2022_TBtus!$B$3:$B$53&amp;Res_AllFuels_SEDS_2022_TBtus!$A$3:$A$53,0))),0,(index(Res_AllFuels_SEDS_2022_TBtus!$D$3:$D$53,match($B5&amp;T$2,Res_AllFuels_SEDS_2022_TBtus!$B$3:$B$53&amp;Res_AllFuels_SEDS_2022_TBtus!$A$3:$A$53,0))))</f>
        <v>0</v>
      </c>
      <c r="U5" s="75">
        <f t="array" ref="U5">IF(ISERROR(index(Res_AllFuels_SEDS_2022_TBtus!$D$3:$D$53,match($B5&amp;U$2,Res_AllFuels_SEDS_2022_TBtus!$B$3:$B$53&amp;Res_AllFuels_SEDS_2022_TBtus!$A$3:$A$53,0))),0,(index(Res_AllFuels_SEDS_2022_TBtus!$D$3:$D$53,match($B5&amp;U$2,Res_AllFuels_SEDS_2022_TBtus!$B$3:$B$53&amp;Res_AllFuels_SEDS_2022_TBtus!$A$3:$A$53,0))))</f>
        <v>0</v>
      </c>
      <c r="V5" s="75">
        <f t="array" ref="V5">IF(ISERROR(index(Res_AllFuels_SEDS_2022_TBtus!$D$3:$D$53,match($B5&amp;V$2,Res_AllFuels_SEDS_2022_TBtus!$B$3:$B$53&amp;Res_AllFuels_SEDS_2022_TBtus!$A$3:$A$53,0))),0,(index(Res_AllFuels_SEDS_2022_TBtus!$D$3:$D$53,match($B5&amp;V$2,Res_AllFuels_SEDS_2022_TBtus!$B$3:$B$53&amp;Res_AllFuels_SEDS_2022_TBtus!$A$3:$A$53,0))))</f>
        <v>0</v>
      </c>
      <c r="W5" s="75">
        <f t="array" ref="W5">IF(ISERROR(index(Res_AllFuels_SEDS_2022_TBtus!$D$3:$D$53,match($B5&amp;W$2,Res_AllFuels_SEDS_2022_TBtus!$B$3:$B$53&amp;Res_AllFuels_SEDS_2022_TBtus!$A$3:$A$53,0))),0,(index(Res_AllFuels_SEDS_2022_TBtus!$D$3:$D$53,match($B5&amp;W$2,Res_AllFuels_SEDS_2022_TBtus!$B$3:$B$53&amp;Res_AllFuels_SEDS_2022_TBtus!$A$3:$A$53,0))))</f>
        <v>0</v>
      </c>
      <c r="X5" s="75">
        <f t="array" ref="X5">IF(ISERROR(index(Res_AllFuels_SEDS_2022_TBtus!$D$3:$D$53,match($B5&amp;X$2,Res_AllFuels_SEDS_2022_TBtus!$B$3:$B$53&amp;Res_AllFuels_SEDS_2022_TBtus!$A$3:$A$53,0))),0,(index(Res_AllFuels_SEDS_2022_TBtus!$D$3:$D$53,match($B5&amp;X$2,Res_AllFuels_SEDS_2022_TBtus!$B$3:$B$53&amp;Res_AllFuels_SEDS_2022_TBtus!$A$3:$A$53,0))))</f>
        <v>0</v>
      </c>
      <c r="Y5" s="75">
        <f t="array" ref="Y5">IF(ISERROR(index(Res_AllFuels_SEDS_2022_TBtus!$D$3:$D$53,match($B5&amp;Y$2,Res_AllFuels_SEDS_2022_TBtus!$B$3:$B$53&amp;Res_AllFuels_SEDS_2022_TBtus!$A$3:$A$53,0))),0,(index(Res_AllFuels_SEDS_2022_TBtus!$D$3:$D$53,match($B5&amp;Y$2,Res_AllFuels_SEDS_2022_TBtus!$B$3:$B$53&amp;Res_AllFuels_SEDS_2022_TBtus!$A$3:$A$53,0))))</f>
        <v>347.8</v>
      </c>
      <c r="Z5" s="75">
        <f t="array" ref="Z5">IF(ISERROR(index(Res_AllFuels_SEDS_2022_TBtus!$D$3:$D$53,match($B5&amp;Z$2,Res_AllFuels_SEDS_2022_TBtus!$B$3:$B$53&amp;Res_AllFuels_SEDS_2022_TBtus!$A$3:$A$53,0))),0,(index(Res_AllFuels_SEDS_2022_TBtus!$D$3:$D$53,match($B5&amp;Z$2,Res_AllFuels_SEDS_2022_TBtus!$B$3:$B$53&amp;Res_AllFuels_SEDS_2022_TBtus!$A$3:$A$53,0))))</f>
        <v>0</v>
      </c>
      <c r="AA5" s="75">
        <f t="array" ref="AA5">IF(ISERROR(index(Res_AllFuels_SEDS_2022_TBtus!$D$3:$D$53,match($B5&amp;AA$2,Res_AllFuels_SEDS_2022_TBtus!$B$3:$B$53&amp;Res_AllFuels_SEDS_2022_TBtus!$A$3:$A$53,0))),0,(index(Res_AllFuels_SEDS_2022_TBtus!$D$3:$D$53,match($B5&amp;AA$2,Res_AllFuels_SEDS_2022_TBtus!$B$3:$B$53&amp;Res_AllFuels_SEDS_2022_TBtus!$A$3:$A$53,0))))</f>
        <v>0</v>
      </c>
      <c r="AB5" s="75">
        <f t="array" ref="AB5">IF(ISERROR(index(Res_AllFuels_SEDS_2022_TBtus!$D$3:$D$53,match($B5&amp;AB$2,Res_AllFuels_SEDS_2022_TBtus!$B$3:$B$53&amp;Res_AllFuels_SEDS_2022_TBtus!$A$3:$A$53,0))),0,(index(Res_AllFuels_SEDS_2022_TBtus!$D$3:$D$53,match($B5&amp;AB$2,Res_AllFuels_SEDS_2022_TBtus!$B$3:$B$53&amp;Res_AllFuels_SEDS_2022_TBtus!$A$3:$A$53,0))))</f>
        <v>0</v>
      </c>
      <c r="AC5" s="75">
        <f t="array" ref="AC5">IF(ISERROR(index(Res_AllFuels_SEDS_2022_TBtus!$D$3:$D$53,match($B5&amp;AC$2,Res_AllFuels_SEDS_2022_TBtus!$B$3:$B$53&amp;Res_AllFuels_SEDS_2022_TBtus!$A$3:$A$53,0))),0,(index(Res_AllFuels_SEDS_2022_TBtus!$D$3:$D$53,match($B5&amp;AC$2,Res_AllFuels_SEDS_2022_TBtus!$B$3:$B$53&amp;Res_AllFuels_SEDS_2022_TBtus!$A$3:$A$53,0))))</f>
        <v>0</v>
      </c>
      <c r="AD5" s="75">
        <f t="array" ref="AD5">IF(ISERROR(index(Res_AllFuels_SEDS_2022_TBtus!$D$3:$D$53,match($B5&amp;AD$2,Res_AllFuels_SEDS_2022_TBtus!$B$3:$B$53&amp;Res_AllFuels_SEDS_2022_TBtus!$A$3:$A$53,0))),0,(index(Res_AllFuels_SEDS_2022_TBtus!$D$3:$D$53,match($B5&amp;AD$2,Res_AllFuels_SEDS_2022_TBtus!$B$3:$B$53&amp;Res_AllFuels_SEDS_2022_TBtus!$A$3:$A$53,0))))</f>
        <v>0</v>
      </c>
      <c r="AE5" s="75">
        <f t="array" ref="AE5">IF(ISERROR(index(Res_AllFuels_SEDS_2022_TBtus!$D$3:$D$53,match($B5&amp;AE$2,Res_AllFuels_SEDS_2022_TBtus!$B$3:$B$53&amp;Res_AllFuels_SEDS_2022_TBtus!$A$3:$A$53,0))),0,(index(Res_AllFuels_SEDS_2022_TBtus!$D$3:$D$53,match($B5&amp;AE$2,Res_AllFuels_SEDS_2022_TBtus!$B$3:$B$53&amp;Res_AllFuels_SEDS_2022_TBtus!$A$3:$A$53,0))))</f>
        <v>0</v>
      </c>
      <c r="AF5" s="75">
        <f t="array" ref="AF5">IF(ISERROR(index(Res_AllFuels_SEDS_2022_TBtus!$D$3:$D$53,match($B5&amp;AF$2,Res_AllFuels_SEDS_2022_TBtus!$B$3:$B$53&amp;Res_AllFuels_SEDS_2022_TBtus!$A$3:$A$53,0))),0,(index(Res_AllFuels_SEDS_2022_TBtus!$D$3:$D$53,match($B5&amp;AF$2,Res_AllFuels_SEDS_2022_TBtus!$B$3:$B$53&amp;Res_AllFuels_SEDS_2022_TBtus!$A$3:$A$53,0))))</f>
        <v>0</v>
      </c>
      <c r="AG5" s="75">
        <f t="array" ref="AG5">IF(ISERROR(index(Res_AllFuels_SEDS_2022_TBtus!$D$3:$D$53,match($B5&amp;AG$2,Res_AllFuels_SEDS_2022_TBtus!$B$3:$B$53&amp;Res_AllFuels_SEDS_2022_TBtus!$A$3:$A$53,0))),0,(index(Res_AllFuels_SEDS_2022_TBtus!$D$3:$D$53,match($B5&amp;AG$2,Res_AllFuels_SEDS_2022_TBtus!$B$3:$B$53&amp;Res_AllFuels_SEDS_2022_TBtus!$A$3:$A$53,0))))</f>
        <v>0</v>
      </c>
      <c r="AH5" s="75">
        <f t="array" ref="AH5">IF(ISERROR(index(Res_AllFuels_SEDS_2022_TBtus!$D$3:$D$53,match($B5&amp;AH$2,Res_AllFuels_SEDS_2022_TBtus!$B$3:$B$53&amp;Res_AllFuels_SEDS_2022_TBtus!$A$3:$A$53,0))),0,(index(Res_AllFuels_SEDS_2022_TBtus!$D$3:$D$53,match($B5&amp;AH$2,Res_AllFuels_SEDS_2022_TBtus!$B$3:$B$53&amp;Res_AllFuels_SEDS_2022_TBtus!$A$3:$A$53,0))))</f>
        <v>0</v>
      </c>
      <c r="AI5" s="75">
        <f t="array" ref="AI5">IF(ISERROR(index(Res_AllFuels_SEDS_2022_TBtus!$D$3:$D$53,match($B5&amp;AI$2,Res_AllFuels_SEDS_2022_TBtus!$B$3:$B$53&amp;Res_AllFuels_SEDS_2022_TBtus!$A$3:$A$53,0))),0,(index(Res_AllFuels_SEDS_2022_TBtus!$D$3:$D$53,match($B5&amp;AI$2,Res_AllFuels_SEDS_2022_TBtus!$B$3:$B$53&amp;Res_AllFuels_SEDS_2022_TBtus!$A$3:$A$53,0))))</f>
        <v>0</v>
      </c>
      <c r="AJ5" s="75">
        <f t="array" ref="AJ5">IF(ISERROR(index(Res_AllFuels_SEDS_2022_TBtus!$D$3:$D$53,match($B5&amp;AJ$2,Res_AllFuels_SEDS_2022_TBtus!$B$3:$B$53&amp;Res_AllFuels_SEDS_2022_TBtus!$A$3:$A$53,0))),0,(index(Res_AllFuels_SEDS_2022_TBtus!$D$3:$D$53,match($B5&amp;AJ$2,Res_AllFuels_SEDS_2022_TBtus!$B$3:$B$53&amp;Res_AllFuels_SEDS_2022_TBtus!$A$3:$A$53,0))))</f>
        <v>0</v>
      </c>
      <c r="AK5" s="75">
        <f t="array" ref="AK5">IF(ISERROR(index(Res_AllFuels_SEDS_2022_TBtus!$D$3:$D$53,match($B5&amp;AK$2,Res_AllFuels_SEDS_2022_TBtus!$B$3:$B$53&amp;Res_AllFuels_SEDS_2022_TBtus!$A$3:$A$53,0))),0,(index(Res_AllFuels_SEDS_2022_TBtus!$D$3:$D$53,match($B5&amp;AK$2,Res_AllFuels_SEDS_2022_TBtus!$B$3:$B$53&amp;Res_AllFuels_SEDS_2022_TBtus!$A$3:$A$53,0))))</f>
        <v>0</v>
      </c>
      <c r="AL5" s="75">
        <f t="array" ref="AL5">IF(ISERROR(index(Res_AllFuels_SEDS_2022_TBtus!$D$3:$D$53,match($B5&amp;AL$2,Res_AllFuels_SEDS_2022_TBtus!$B$3:$B$53&amp;Res_AllFuels_SEDS_2022_TBtus!$A$3:$A$53,0))),0,(index(Res_AllFuels_SEDS_2022_TBtus!$D$3:$D$53,match($B5&amp;AL$2,Res_AllFuels_SEDS_2022_TBtus!$B$3:$B$53&amp;Res_AllFuels_SEDS_2022_TBtus!$A$3:$A$53,0))))</f>
        <v>313.4</v>
      </c>
      <c r="AM5" s="75">
        <f t="array" ref="AM5">IF(ISERROR(index(Res_AllFuels_SEDS_2022_TBtus!$D$3:$D$53,match($B5&amp;AM$2,Res_AllFuels_SEDS_2022_TBtus!$B$3:$B$53&amp;Res_AllFuels_SEDS_2022_TBtus!$A$3:$A$53,0))),0,(index(Res_AllFuels_SEDS_2022_TBtus!$D$3:$D$53,match($B5&amp;AM$2,Res_AllFuels_SEDS_2022_TBtus!$B$3:$B$53&amp;Res_AllFuels_SEDS_2022_TBtus!$A$3:$A$53,0))))</f>
        <v>0</v>
      </c>
      <c r="AN5" s="75">
        <f t="array" ref="AN5">IF(ISERROR(index(Res_AllFuels_SEDS_2022_TBtus!$D$3:$D$53,match($B5&amp;AN$2,Res_AllFuels_SEDS_2022_TBtus!$B$3:$B$53&amp;Res_AllFuels_SEDS_2022_TBtus!$A$3:$A$53,0))),0,(index(Res_AllFuels_SEDS_2022_TBtus!$D$3:$D$53,match($B5&amp;AN$2,Res_AllFuels_SEDS_2022_TBtus!$B$3:$B$53&amp;Res_AllFuels_SEDS_2022_TBtus!$A$3:$A$53,0))))</f>
        <v>0</v>
      </c>
      <c r="AO5" s="75">
        <f t="array" ref="AO5">IF(ISERROR(index(Res_AllFuels_SEDS_2022_TBtus!$D$3:$D$53,match($B5&amp;AO$2,Res_AllFuels_SEDS_2022_TBtus!$B$3:$B$53&amp;Res_AllFuels_SEDS_2022_TBtus!$A$3:$A$53,0))),0,(index(Res_AllFuels_SEDS_2022_TBtus!$D$3:$D$53,match($B5&amp;AO$2,Res_AllFuels_SEDS_2022_TBtus!$B$3:$B$53&amp;Res_AllFuels_SEDS_2022_TBtus!$A$3:$A$53,0))))</f>
        <v>0</v>
      </c>
      <c r="AP5" s="75">
        <f t="array" ref="AP5">IF(ISERROR(index(Res_AllFuels_SEDS_2022_TBtus!$D$3:$D$53,match($B5&amp;AP$2,Res_AllFuels_SEDS_2022_TBtus!$B$3:$B$53&amp;Res_AllFuels_SEDS_2022_TBtus!$A$3:$A$53,0))),0,(index(Res_AllFuels_SEDS_2022_TBtus!$D$3:$D$53,match($B5&amp;AP$2,Res_AllFuels_SEDS_2022_TBtus!$B$3:$B$53&amp;Res_AllFuels_SEDS_2022_TBtus!$A$3:$A$53,0))))</f>
        <v>0</v>
      </c>
      <c r="AQ5" s="75">
        <f t="array" ref="AQ5">IF(ISERROR(index(Res_AllFuels_SEDS_2022_TBtus!$D$3:$D$53,match($B5&amp;AQ$2,Res_AllFuels_SEDS_2022_TBtus!$B$3:$B$53&amp;Res_AllFuels_SEDS_2022_TBtus!$A$3:$A$53,0))),0,(index(Res_AllFuels_SEDS_2022_TBtus!$D$3:$D$53,match($B5&amp;AQ$2,Res_AllFuels_SEDS_2022_TBtus!$B$3:$B$53&amp;Res_AllFuels_SEDS_2022_TBtus!$A$3:$A$53,0))))</f>
        <v>0</v>
      </c>
      <c r="AR5" s="75">
        <f t="array" ref="AR5">IF(ISERROR(index(Res_AllFuels_SEDS_2022_TBtus!$D$3:$D$53,match($B5&amp;AR$2,Res_AllFuels_SEDS_2022_TBtus!$B$3:$B$53&amp;Res_AllFuels_SEDS_2022_TBtus!$A$3:$A$53,0))),0,(index(Res_AllFuels_SEDS_2022_TBtus!$D$3:$D$53,match($B5&amp;AR$2,Res_AllFuels_SEDS_2022_TBtus!$B$3:$B$53&amp;Res_AllFuels_SEDS_2022_TBtus!$A$3:$A$53,0))))</f>
        <v>0</v>
      </c>
      <c r="AS5" s="75">
        <f t="array" ref="AS5">IF(ISERROR(index(Res_AllFuels_SEDS_2022_TBtus!$D$3:$D$53,match($B5&amp;AS$2,Res_AllFuels_SEDS_2022_TBtus!$B$3:$B$53&amp;Res_AllFuels_SEDS_2022_TBtus!$A$3:$A$53,0))),0,(index(Res_AllFuels_SEDS_2022_TBtus!$D$3:$D$53,match($B5&amp;AS$2,Res_AllFuels_SEDS_2022_TBtus!$B$3:$B$53&amp;Res_AllFuels_SEDS_2022_TBtus!$A$3:$A$53,0))))</f>
        <v>0</v>
      </c>
      <c r="AT5" s="75">
        <f t="array" ref="AT5">IF(ISERROR(index(Res_AllFuels_SEDS_2022_TBtus!$D$3:$D$53,match($B5&amp;AT$2,Res_AllFuels_SEDS_2022_TBtus!$B$3:$B$53&amp;Res_AllFuels_SEDS_2022_TBtus!$A$3:$A$53,0))),0,(index(Res_AllFuels_SEDS_2022_TBtus!$D$3:$D$53,match($B5&amp;AT$2,Res_AllFuels_SEDS_2022_TBtus!$B$3:$B$53&amp;Res_AllFuels_SEDS_2022_TBtus!$A$3:$A$53,0))))</f>
        <v>0</v>
      </c>
      <c r="AU5" s="75">
        <f t="array" ref="AU5">IF(ISERROR(index(Res_AllFuels_SEDS_2022_TBtus!$D$3:$D$53,match($B5&amp;AU$2,Res_AllFuels_SEDS_2022_TBtus!$B$3:$B$53&amp;Res_AllFuels_SEDS_2022_TBtus!$A$3:$A$53,0))),0,(index(Res_AllFuels_SEDS_2022_TBtus!$D$3:$D$53,match($B5&amp;AU$2,Res_AllFuels_SEDS_2022_TBtus!$B$3:$B$53&amp;Res_AllFuels_SEDS_2022_TBtus!$A$3:$A$53,0))))</f>
        <v>0</v>
      </c>
      <c r="AV5" s="75">
        <f t="array" ref="AV5">IF(ISERROR(index(Res_AllFuels_SEDS_2022_TBtus!$D$3:$D$53,match($B5&amp;AV$2,Res_AllFuels_SEDS_2022_TBtus!$B$3:$B$53&amp;Res_AllFuels_SEDS_2022_TBtus!$A$3:$A$53,0))),0,(index(Res_AllFuels_SEDS_2022_TBtus!$D$3:$D$53,match($B5&amp;AV$2,Res_AllFuels_SEDS_2022_TBtus!$B$3:$B$53&amp;Res_AllFuels_SEDS_2022_TBtus!$A$3:$A$53,0))))</f>
        <v>0</v>
      </c>
      <c r="AW5" s="75">
        <f t="array" ref="AW5">IF(ISERROR(index(Res_AllFuels_SEDS_2022_TBtus!$D$3:$D$53,match($B5&amp;AW$2,Res_AllFuels_SEDS_2022_TBtus!$B$3:$B$53&amp;Res_AllFuels_SEDS_2022_TBtus!$A$3:$A$53,0))),0,(index(Res_AllFuels_SEDS_2022_TBtus!$D$3:$D$53,match($B5&amp;AW$2,Res_AllFuels_SEDS_2022_TBtus!$B$3:$B$53&amp;Res_AllFuels_SEDS_2022_TBtus!$A$3:$A$53,0))))</f>
        <v>0</v>
      </c>
      <c r="AX5" s="75">
        <f t="array" ref="AX5">IF(ISERROR(index(Res_AllFuels_SEDS_2022_TBtus!$D$3:$D$53,match($B5&amp;AX$2,Res_AllFuels_SEDS_2022_TBtus!$B$3:$B$53&amp;Res_AllFuels_SEDS_2022_TBtus!$A$3:$A$53,0))),0,(index(Res_AllFuels_SEDS_2022_TBtus!$D$3:$D$53,match($B5&amp;AX$2,Res_AllFuels_SEDS_2022_TBtus!$B$3:$B$53&amp;Res_AllFuels_SEDS_2022_TBtus!$A$3:$A$53,0))))</f>
        <v>0</v>
      </c>
      <c r="AY5" s="75">
        <f t="array" ref="AY5">IF(ISERROR(index(Res_AllFuels_SEDS_2022_TBtus!$D$3:$D$53,match($B5&amp;AY$2,Res_AllFuels_SEDS_2022_TBtus!$B$3:$B$53&amp;Res_AllFuels_SEDS_2022_TBtus!$A$3:$A$53,0))),0,(index(Res_AllFuels_SEDS_2022_TBtus!$D$3:$D$53,match($B5&amp;AY$2,Res_AllFuels_SEDS_2022_TBtus!$B$3:$B$53&amp;Res_AllFuels_SEDS_2022_TBtus!$A$3:$A$53,0))))</f>
        <v>0</v>
      </c>
      <c r="AZ5" s="75">
        <f t="array" ref="AZ5">IF(ISERROR(index(Res_AllFuels_SEDS_2022_TBtus!$D$3:$D$53,match($B5&amp;AZ$2,Res_AllFuels_SEDS_2022_TBtus!$B$3:$B$53&amp;Res_AllFuels_SEDS_2022_TBtus!$A$3:$A$53,0))),0,(index(Res_AllFuels_SEDS_2022_TBtus!$D$3:$D$53,match($B5&amp;AZ$2,Res_AllFuels_SEDS_2022_TBtus!$B$3:$B$53&amp;Res_AllFuels_SEDS_2022_TBtus!$A$3:$A$53,0))))</f>
        <v>156.7</v>
      </c>
      <c r="BA5" s="75">
        <f t="array" ref="BA5">IF(ISERROR(index(Res_AllFuels_SEDS_2022_TBtus!$D$3:$D$53,match($B5&amp;BA$2,Res_AllFuels_SEDS_2022_TBtus!$B$3:$B$53&amp;Res_AllFuels_SEDS_2022_TBtus!$A$3:$A$53,0))),0,(index(Res_AllFuels_SEDS_2022_TBtus!$D$3:$D$53,match($B5&amp;BA$2,Res_AllFuels_SEDS_2022_TBtus!$B$3:$B$53&amp;Res_AllFuels_SEDS_2022_TBtus!$A$3:$A$53,0))))</f>
        <v>0</v>
      </c>
      <c r="BB5" s="74">
        <f t="shared" si="1"/>
        <v>1411.6</v>
      </c>
    </row>
    <row r="6" ht="15.75" customHeight="1">
      <c r="B6" s="74">
        <v>4.0</v>
      </c>
      <c r="C6" s="75">
        <f t="array" ref="C6">IF(ISERROR(index(Res_AllFuels_SEDS_2022_TBtus!$D$3:$D$53,match($B6&amp;C$2,Res_AllFuels_SEDS_2022_TBtus!$B$3:$B$53&amp;Res_AllFuels_SEDS_2022_TBtus!$A$3:$A$53,0))),0,(index(Res_AllFuels_SEDS_2022_TBtus!$D$3:$D$53,match($B6&amp;C$2,Res_AllFuels_SEDS_2022_TBtus!$B$3:$B$53&amp;Res_AllFuels_SEDS_2022_TBtus!$A$3:$A$53,0))))</f>
        <v>0</v>
      </c>
      <c r="D6" s="75">
        <f t="array" ref="D6">IF(ISERROR(index(Res_AllFuels_SEDS_2022_TBtus!$D$3:$D$53,match($B6&amp;D$2,Res_AllFuels_SEDS_2022_TBtus!$B$3:$B$53&amp;Res_AllFuels_SEDS_2022_TBtus!$A$3:$A$53,0))),0,(index(Res_AllFuels_SEDS_2022_TBtus!$D$3:$D$53,match($B6&amp;D$2,Res_AllFuels_SEDS_2022_TBtus!$B$3:$B$53&amp;Res_AllFuels_SEDS_2022_TBtus!$A$3:$A$53,0))))</f>
        <v>0</v>
      </c>
      <c r="E6" s="75">
        <f t="array" ref="E6">IF(ISERROR(index(Res_AllFuels_SEDS_2022_TBtus!$D$3:$D$53,match($B6&amp;E$2,Res_AllFuels_SEDS_2022_TBtus!$B$3:$B$53&amp;Res_AllFuels_SEDS_2022_TBtus!$A$3:$A$53,0))),0,(index(Res_AllFuels_SEDS_2022_TBtus!$D$3:$D$53,match($B6&amp;E$2,Res_AllFuels_SEDS_2022_TBtus!$B$3:$B$53&amp;Res_AllFuels_SEDS_2022_TBtus!$A$3:$A$53,0))))</f>
        <v>0</v>
      </c>
      <c r="F6" s="75">
        <f t="array" ref="F6">IF(ISERROR(index(Res_AllFuels_SEDS_2022_TBtus!$D$3:$D$53,match($B6&amp;F$2,Res_AllFuels_SEDS_2022_TBtus!$B$3:$B$53&amp;Res_AllFuels_SEDS_2022_TBtus!$A$3:$A$53,0))),0,(index(Res_AllFuels_SEDS_2022_TBtus!$D$3:$D$53,match($B6&amp;F$2,Res_AllFuels_SEDS_2022_TBtus!$B$3:$B$53&amp;Res_AllFuels_SEDS_2022_TBtus!$A$3:$A$53,0))))</f>
        <v>0</v>
      </c>
      <c r="G6" s="75">
        <f t="array" ref="G6">IF(ISERROR(index(Res_AllFuels_SEDS_2022_TBtus!$D$3:$D$53,match($B6&amp;G$2,Res_AllFuels_SEDS_2022_TBtus!$B$3:$B$53&amp;Res_AllFuels_SEDS_2022_TBtus!$A$3:$A$53,0))),0,(index(Res_AllFuels_SEDS_2022_TBtus!$D$3:$D$53,match($B6&amp;G$2,Res_AllFuels_SEDS_2022_TBtus!$B$3:$B$53&amp;Res_AllFuels_SEDS_2022_TBtus!$A$3:$A$53,0))))</f>
        <v>0</v>
      </c>
      <c r="H6" s="75">
        <f t="array" ref="H6">IF(ISERROR(index(Res_AllFuels_SEDS_2022_TBtus!$D$3:$D$53,match($B6&amp;H$2,Res_AllFuels_SEDS_2022_TBtus!$B$3:$B$53&amp;Res_AllFuels_SEDS_2022_TBtus!$A$3:$A$53,0))),0,(index(Res_AllFuels_SEDS_2022_TBtus!$D$3:$D$53,match($B6&amp;H$2,Res_AllFuels_SEDS_2022_TBtus!$B$3:$B$53&amp;Res_AllFuels_SEDS_2022_TBtus!$A$3:$A$53,0))))</f>
        <v>0</v>
      </c>
      <c r="I6" s="75">
        <f t="array" ref="I6">IF(ISERROR(index(Res_AllFuels_SEDS_2022_TBtus!$D$3:$D$53,match($B6&amp;I$2,Res_AllFuels_SEDS_2022_TBtus!$B$3:$B$53&amp;Res_AllFuels_SEDS_2022_TBtus!$A$3:$A$53,0))),0,(index(Res_AllFuels_SEDS_2022_TBtus!$D$3:$D$53,match($B6&amp;I$2,Res_AllFuels_SEDS_2022_TBtus!$B$3:$B$53&amp;Res_AllFuels_SEDS_2022_TBtus!$A$3:$A$53,0))))</f>
        <v>0</v>
      </c>
      <c r="J6" s="75">
        <f t="array" ref="J6">IF(ISERROR(index(Res_AllFuels_SEDS_2022_TBtus!$D$3:$D$53,match($B6&amp;J$2,Res_AllFuels_SEDS_2022_TBtus!$B$3:$B$53&amp;Res_AllFuels_SEDS_2022_TBtus!$A$3:$A$53,0))),0,(index(Res_AllFuels_SEDS_2022_TBtus!$D$3:$D$53,match($B6&amp;J$2,Res_AllFuels_SEDS_2022_TBtus!$B$3:$B$53&amp;Res_AllFuels_SEDS_2022_TBtus!$A$3:$A$53,0))))</f>
        <v>0</v>
      </c>
      <c r="K6" s="75">
        <f t="array" ref="K6">IF(ISERROR(index(Res_AllFuels_SEDS_2022_TBtus!$D$3:$D$53,match($B6&amp;K$2,Res_AllFuels_SEDS_2022_TBtus!$B$3:$B$53&amp;Res_AllFuels_SEDS_2022_TBtus!$A$3:$A$53,0))),0,(index(Res_AllFuels_SEDS_2022_TBtus!$D$3:$D$53,match($B6&amp;K$2,Res_AllFuels_SEDS_2022_TBtus!$B$3:$B$53&amp;Res_AllFuels_SEDS_2022_TBtus!$A$3:$A$53,0))))</f>
        <v>0</v>
      </c>
      <c r="L6" s="75">
        <f t="array" ref="L6">IF(ISERROR(index(Res_AllFuels_SEDS_2022_TBtus!$D$3:$D$53,match($B6&amp;L$2,Res_AllFuels_SEDS_2022_TBtus!$B$3:$B$53&amp;Res_AllFuels_SEDS_2022_TBtus!$A$3:$A$53,0))),0,(index(Res_AllFuels_SEDS_2022_TBtus!$D$3:$D$53,match($B6&amp;L$2,Res_AllFuels_SEDS_2022_TBtus!$B$3:$B$53&amp;Res_AllFuels_SEDS_2022_TBtus!$A$3:$A$53,0))))</f>
        <v>0</v>
      </c>
      <c r="M6" s="75">
        <f t="array" ref="M6">IF(ISERROR(index(Res_AllFuels_SEDS_2022_TBtus!$D$3:$D$53,match($B6&amp;M$2,Res_AllFuels_SEDS_2022_TBtus!$B$3:$B$53&amp;Res_AllFuels_SEDS_2022_TBtus!$A$3:$A$53,0))),0,(index(Res_AllFuels_SEDS_2022_TBtus!$D$3:$D$53,match($B6&amp;M$2,Res_AllFuels_SEDS_2022_TBtus!$B$3:$B$53&amp;Res_AllFuels_SEDS_2022_TBtus!$A$3:$A$53,0))))</f>
        <v>0</v>
      </c>
      <c r="N6" s="75">
        <f t="array" ref="N6">IF(ISERROR(index(Res_AllFuels_SEDS_2022_TBtus!$D$3:$D$53,match($B6&amp;N$2,Res_AllFuels_SEDS_2022_TBtus!$B$3:$B$53&amp;Res_AllFuels_SEDS_2022_TBtus!$A$3:$A$53,0))),0,(index(Res_AllFuels_SEDS_2022_TBtus!$D$3:$D$53,match($B6&amp;N$2,Res_AllFuels_SEDS_2022_TBtus!$B$3:$B$53&amp;Res_AllFuels_SEDS_2022_TBtus!$A$3:$A$53,0))))</f>
        <v>0</v>
      </c>
      <c r="O6" s="75">
        <f t="array" ref="O6">IF(ISERROR(index(Res_AllFuels_SEDS_2022_TBtus!$D$3:$D$53,match($B6&amp;O$2,Res_AllFuels_SEDS_2022_TBtus!$B$3:$B$53&amp;Res_AllFuels_SEDS_2022_TBtus!$A$3:$A$53,0))),0,(index(Res_AllFuels_SEDS_2022_TBtus!$D$3:$D$53,match($B6&amp;O$2,Res_AllFuels_SEDS_2022_TBtus!$B$3:$B$53&amp;Res_AllFuels_SEDS_2022_TBtus!$A$3:$A$53,0))))</f>
        <v>0</v>
      </c>
      <c r="P6" s="75">
        <f t="array" ref="P6">IF(ISERROR(index(Res_AllFuels_SEDS_2022_TBtus!$D$3:$D$53,match($B6&amp;P$2,Res_AllFuels_SEDS_2022_TBtus!$B$3:$B$53&amp;Res_AllFuels_SEDS_2022_TBtus!$A$3:$A$53,0))),0,(index(Res_AllFuels_SEDS_2022_TBtus!$D$3:$D$53,match($B6&amp;P$2,Res_AllFuels_SEDS_2022_TBtus!$B$3:$B$53&amp;Res_AllFuels_SEDS_2022_TBtus!$A$3:$A$53,0))))</f>
        <v>0</v>
      </c>
      <c r="Q6" s="75">
        <f t="array" ref="Q6">IF(ISERROR(index(Res_AllFuels_SEDS_2022_TBtus!$D$3:$D$53,match($B6&amp;Q$2,Res_AllFuels_SEDS_2022_TBtus!$B$3:$B$53&amp;Res_AllFuels_SEDS_2022_TBtus!$A$3:$A$53,0))),0,(index(Res_AllFuels_SEDS_2022_TBtus!$D$3:$D$53,match($B6&amp;Q$2,Res_AllFuels_SEDS_2022_TBtus!$B$3:$B$53&amp;Res_AllFuels_SEDS_2022_TBtus!$A$3:$A$53,0))))</f>
        <v>0</v>
      </c>
      <c r="R6" s="75">
        <f t="array" ref="R6">IF(ISERROR(index(Res_AllFuels_SEDS_2022_TBtus!$D$3:$D$53,match($B6&amp;R$2,Res_AllFuels_SEDS_2022_TBtus!$B$3:$B$53&amp;Res_AllFuels_SEDS_2022_TBtus!$A$3:$A$53,0))),0,(index(Res_AllFuels_SEDS_2022_TBtus!$D$3:$D$53,match($B6&amp;R$2,Res_AllFuels_SEDS_2022_TBtus!$B$3:$B$53&amp;Res_AllFuels_SEDS_2022_TBtus!$A$3:$A$53,0))))</f>
        <v>75.6</v>
      </c>
      <c r="S6" s="75">
        <f t="array" ref="S6">IF(ISERROR(index(Res_AllFuels_SEDS_2022_TBtus!$D$3:$D$53,match($B6&amp;S$2,Res_AllFuels_SEDS_2022_TBtus!$B$3:$B$53&amp;Res_AllFuels_SEDS_2022_TBtus!$A$3:$A$53,0))),0,(index(Res_AllFuels_SEDS_2022_TBtus!$D$3:$D$53,match($B6&amp;S$2,Res_AllFuels_SEDS_2022_TBtus!$B$3:$B$53&amp;Res_AllFuels_SEDS_2022_TBtus!$A$3:$A$53,0))))</f>
        <v>67.6</v>
      </c>
      <c r="T6" s="75">
        <f t="array" ref="T6">IF(ISERROR(index(Res_AllFuels_SEDS_2022_TBtus!$D$3:$D$53,match($B6&amp;T$2,Res_AllFuels_SEDS_2022_TBtus!$B$3:$B$53&amp;Res_AllFuels_SEDS_2022_TBtus!$A$3:$A$53,0))),0,(index(Res_AllFuels_SEDS_2022_TBtus!$D$3:$D$53,match($B6&amp;T$2,Res_AllFuels_SEDS_2022_TBtus!$B$3:$B$53&amp;Res_AllFuels_SEDS_2022_TBtus!$A$3:$A$53,0))))</f>
        <v>0</v>
      </c>
      <c r="U6" s="75">
        <f t="array" ref="U6">IF(ISERROR(index(Res_AllFuels_SEDS_2022_TBtus!$D$3:$D$53,match($B6&amp;U$2,Res_AllFuels_SEDS_2022_TBtus!$B$3:$B$53&amp;Res_AllFuels_SEDS_2022_TBtus!$A$3:$A$53,0))),0,(index(Res_AllFuels_SEDS_2022_TBtus!$D$3:$D$53,match($B6&amp;U$2,Res_AllFuels_SEDS_2022_TBtus!$B$3:$B$53&amp;Res_AllFuels_SEDS_2022_TBtus!$A$3:$A$53,0))))</f>
        <v>0</v>
      </c>
      <c r="V6" s="75">
        <f t="array" ref="V6">IF(ISERROR(index(Res_AllFuels_SEDS_2022_TBtus!$D$3:$D$53,match($B6&amp;V$2,Res_AllFuels_SEDS_2022_TBtus!$B$3:$B$53&amp;Res_AllFuels_SEDS_2022_TBtus!$A$3:$A$53,0))),0,(index(Res_AllFuels_SEDS_2022_TBtus!$D$3:$D$53,match($B6&amp;V$2,Res_AllFuels_SEDS_2022_TBtus!$B$3:$B$53&amp;Res_AllFuels_SEDS_2022_TBtus!$A$3:$A$53,0))))</f>
        <v>0</v>
      </c>
      <c r="W6" s="75">
        <f t="array" ref="W6">IF(ISERROR(index(Res_AllFuels_SEDS_2022_TBtus!$D$3:$D$53,match($B6&amp;W$2,Res_AllFuels_SEDS_2022_TBtus!$B$3:$B$53&amp;Res_AllFuels_SEDS_2022_TBtus!$A$3:$A$53,0))),0,(index(Res_AllFuels_SEDS_2022_TBtus!$D$3:$D$53,match($B6&amp;W$2,Res_AllFuels_SEDS_2022_TBtus!$B$3:$B$53&amp;Res_AllFuels_SEDS_2022_TBtus!$A$3:$A$53,0))))</f>
        <v>0</v>
      </c>
      <c r="X6" s="75">
        <f t="array" ref="X6">IF(ISERROR(index(Res_AllFuels_SEDS_2022_TBtus!$D$3:$D$53,match($B6&amp;X$2,Res_AllFuels_SEDS_2022_TBtus!$B$3:$B$53&amp;Res_AllFuels_SEDS_2022_TBtus!$A$3:$A$53,0))),0,(index(Res_AllFuels_SEDS_2022_TBtus!$D$3:$D$53,match($B6&amp;X$2,Res_AllFuels_SEDS_2022_TBtus!$B$3:$B$53&amp;Res_AllFuels_SEDS_2022_TBtus!$A$3:$A$53,0))))</f>
        <v>0</v>
      </c>
      <c r="Y6" s="75">
        <f t="array" ref="Y6">IF(ISERROR(index(Res_AllFuels_SEDS_2022_TBtus!$D$3:$D$53,match($B6&amp;Y$2,Res_AllFuels_SEDS_2022_TBtus!$B$3:$B$53&amp;Res_AllFuels_SEDS_2022_TBtus!$A$3:$A$53,0))),0,(index(Res_AllFuels_SEDS_2022_TBtus!$D$3:$D$53,match($B6&amp;Y$2,Res_AllFuels_SEDS_2022_TBtus!$B$3:$B$53&amp;Res_AllFuels_SEDS_2022_TBtus!$A$3:$A$53,0))))</f>
        <v>0</v>
      </c>
      <c r="Z6" s="75">
        <f t="array" ref="Z6">IF(ISERROR(index(Res_AllFuels_SEDS_2022_TBtus!$D$3:$D$53,match($B6&amp;Z$2,Res_AllFuels_SEDS_2022_TBtus!$B$3:$B$53&amp;Res_AllFuels_SEDS_2022_TBtus!$A$3:$A$53,0))),0,(index(Res_AllFuels_SEDS_2022_TBtus!$D$3:$D$53,match($B6&amp;Z$2,Res_AllFuels_SEDS_2022_TBtus!$B$3:$B$53&amp;Res_AllFuels_SEDS_2022_TBtus!$A$3:$A$53,0))))</f>
        <v>158.4</v>
      </c>
      <c r="AA6" s="75">
        <f t="array" ref="AA6">IF(ISERROR(index(Res_AllFuels_SEDS_2022_TBtus!$D$3:$D$53,match($B6&amp;AA$2,Res_AllFuels_SEDS_2022_TBtus!$B$3:$B$53&amp;Res_AllFuels_SEDS_2022_TBtus!$A$3:$A$53,0))),0,(index(Res_AllFuels_SEDS_2022_TBtus!$D$3:$D$53,match($B6&amp;AA$2,Res_AllFuels_SEDS_2022_TBtus!$B$3:$B$53&amp;Res_AllFuels_SEDS_2022_TBtus!$A$3:$A$53,0))))</f>
        <v>0</v>
      </c>
      <c r="AB6" s="75">
        <f t="array" ref="AB6">IF(ISERROR(index(Res_AllFuels_SEDS_2022_TBtus!$D$3:$D$53,match($B6&amp;AB$2,Res_AllFuels_SEDS_2022_TBtus!$B$3:$B$53&amp;Res_AllFuels_SEDS_2022_TBtus!$A$3:$A$53,0))),0,(index(Res_AllFuels_SEDS_2022_TBtus!$D$3:$D$53,match($B6&amp;AB$2,Res_AllFuels_SEDS_2022_TBtus!$B$3:$B$53&amp;Res_AllFuels_SEDS_2022_TBtus!$A$3:$A$53,0))))</f>
        <v>105.8</v>
      </c>
      <c r="AC6" s="75">
        <f t="array" ref="AC6">IF(ISERROR(index(Res_AllFuels_SEDS_2022_TBtus!$D$3:$D$53,match($B6&amp;AC$2,Res_AllFuels_SEDS_2022_TBtus!$B$3:$B$53&amp;Res_AllFuels_SEDS_2022_TBtus!$A$3:$A$53,0))),0,(index(Res_AllFuels_SEDS_2022_TBtus!$D$3:$D$53,match($B6&amp;AC$2,Res_AllFuels_SEDS_2022_TBtus!$B$3:$B$53&amp;Res_AllFuels_SEDS_2022_TBtus!$A$3:$A$53,0))))</f>
        <v>0</v>
      </c>
      <c r="AD6" s="75">
        <f t="array" ref="AD6">IF(ISERROR(index(Res_AllFuels_SEDS_2022_TBtus!$D$3:$D$53,match($B6&amp;AD$2,Res_AllFuels_SEDS_2022_TBtus!$B$3:$B$53&amp;Res_AllFuels_SEDS_2022_TBtus!$A$3:$A$53,0))),0,(index(Res_AllFuels_SEDS_2022_TBtus!$D$3:$D$53,match($B6&amp;AD$2,Res_AllFuels_SEDS_2022_TBtus!$B$3:$B$53&amp;Res_AllFuels_SEDS_2022_TBtus!$A$3:$A$53,0))))</f>
        <v>41.6</v>
      </c>
      <c r="AE6" s="75">
        <f t="array" ref="AE6">IF(ISERROR(index(Res_AllFuels_SEDS_2022_TBtus!$D$3:$D$53,match($B6&amp;AE$2,Res_AllFuels_SEDS_2022_TBtus!$B$3:$B$53&amp;Res_AllFuels_SEDS_2022_TBtus!$A$3:$A$53,0))),0,(index(Res_AllFuels_SEDS_2022_TBtus!$D$3:$D$53,match($B6&amp;AE$2,Res_AllFuels_SEDS_2022_TBtus!$B$3:$B$53&amp;Res_AllFuels_SEDS_2022_TBtus!$A$3:$A$53,0))))</f>
        <v>0</v>
      </c>
      <c r="AF6" s="75">
        <f t="array" ref="AF6">IF(ISERROR(index(Res_AllFuels_SEDS_2022_TBtus!$D$3:$D$53,match($B6&amp;AF$2,Res_AllFuels_SEDS_2022_TBtus!$B$3:$B$53&amp;Res_AllFuels_SEDS_2022_TBtus!$A$3:$A$53,0))),0,(index(Res_AllFuels_SEDS_2022_TBtus!$D$3:$D$53,match($B6&amp;AF$2,Res_AllFuels_SEDS_2022_TBtus!$B$3:$B$53&amp;Res_AllFuels_SEDS_2022_TBtus!$A$3:$A$53,0))))</f>
        <v>0</v>
      </c>
      <c r="AG6" s="75">
        <f t="array" ref="AG6">IF(ISERROR(index(Res_AllFuels_SEDS_2022_TBtus!$D$3:$D$53,match($B6&amp;AG$2,Res_AllFuels_SEDS_2022_TBtus!$B$3:$B$53&amp;Res_AllFuels_SEDS_2022_TBtus!$A$3:$A$53,0))),0,(index(Res_AllFuels_SEDS_2022_TBtus!$D$3:$D$53,match($B6&amp;AG$2,Res_AllFuels_SEDS_2022_TBtus!$B$3:$B$53&amp;Res_AllFuels_SEDS_2022_TBtus!$A$3:$A$53,0))))</f>
        <v>0</v>
      </c>
      <c r="AH6" s="75">
        <f t="array" ref="AH6">IF(ISERROR(index(Res_AllFuels_SEDS_2022_TBtus!$D$3:$D$53,match($B6&amp;AH$2,Res_AllFuels_SEDS_2022_TBtus!$B$3:$B$53&amp;Res_AllFuels_SEDS_2022_TBtus!$A$3:$A$53,0))),0,(index(Res_AllFuels_SEDS_2022_TBtus!$D$3:$D$53,match($B6&amp;AH$2,Res_AllFuels_SEDS_2022_TBtus!$B$3:$B$53&amp;Res_AllFuels_SEDS_2022_TBtus!$A$3:$A$53,0))))</f>
        <v>0</v>
      </c>
      <c r="AI6" s="75">
        <f t="array" ref="AI6">IF(ISERROR(index(Res_AllFuels_SEDS_2022_TBtus!$D$3:$D$53,match($B6&amp;AI$2,Res_AllFuels_SEDS_2022_TBtus!$B$3:$B$53&amp;Res_AllFuels_SEDS_2022_TBtus!$A$3:$A$53,0))),0,(index(Res_AllFuels_SEDS_2022_TBtus!$D$3:$D$53,match($B6&amp;AI$2,Res_AllFuels_SEDS_2022_TBtus!$B$3:$B$53&amp;Res_AllFuels_SEDS_2022_TBtus!$A$3:$A$53,0))))</f>
        <v>0</v>
      </c>
      <c r="AJ6" s="75">
        <f t="array" ref="AJ6">IF(ISERROR(index(Res_AllFuels_SEDS_2022_TBtus!$D$3:$D$53,match($B6&amp;AJ$2,Res_AllFuels_SEDS_2022_TBtus!$B$3:$B$53&amp;Res_AllFuels_SEDS_2022_TBtus!$A$3:$A$53,0))),0,(index(Res_AllFuels_SEDS_2022_TBtus!$D$3:$D$53,match($B6&amp;AJ$2,Res_AllFuels_SEDS_2022_TBtus!$B$3:$B$53&amp;Res_AllFuels_SEDS_2022_TBtus!$A$3:$A$53,0))))</f>
        <v>0</v>
      </c>
      <c r="AK6" s="75">
        <f t="array" ref="AK6">IF(ISERROR(index(Res_AllFuels_SEDS_2022_TBtus!$D$3:$D$53,match($B6&amp;AK$2,Res_AllFuels_SEDS_2022_TBtus!$B$3:$B$53&amp;Res_AllFuels_SEDS_2022_TBtus!$A$3:$A$53,0))),0,(index(Res_AllFuels_SEDS_2022_TBtus!$D$3:$D$53,match($B6&amp;AK$2,Res_AllFuels_SEDS_2022_TBtus!$B$3:$B$53&amp;Res_AllFuels_SEDS_2022_TBtus!$A$3:$A$53,0))))</f>
        <v>14.8</v>
      </c>
      <c r="AL6" s="75">
        <f t="array" ref="AL6">IF(ISERROR(index(Res_AllFuels_SEDS_2022_TBtus!$D$3:$D$53,match($B6&amp;AL$2,Res_AllFuels_SEDS_2022_TBtus!$B$3:$B$53&amp;Res_AllFuels_SEDS_2022_TBtus!$A$3:$A$53,0))),0,(index(Res_AllFuels_SEDS_2022_TBtus!$D$3:$D$53,match($B6&amp;AL$2,Res_AllFuels_SEDS_2022_TBtus!$B$3:$B$53&amp;Res_AllFuels_SEDS_2022_TBtus!$A$3:$A$53,0))))</f>
        <v>0</v>
      </c>
      <c r="AM6" s="75">
        <f t="array" ref="AM6">IF(ISERROR(index(Res_AllFuels_SEDS_2022_TBtus!$D$3:$D$53,match($B6&amp;AM$2,Res_AllFuels_SEDS_2022_TBtus!$B$3:$B$53&amp;Res_AllFuels_SEDS_2022_TBtus!$A$3:$A$53,0))),0,(index(Res_AllFuels_SEDS_2022_TBtus!$D$3:$D$53,match($B6&amp;AM$2,Res_AllFuels_SEDS_2022_TBtus!$B$3:$B$53&amp;Res_AllFuels_SEDS_2022_TBtus!$A$3:$A$53,0))))</f>
        <v>0</v>
      </c>
      <c r="AN6" s="75">
        <f t="array" ref="AN6">IF(ISERROR(index(Res_AllFuels_SEDS_2022_TBtus!$D$3:$D$53,match($B6&amp;AN$2,Res_AllFuels_SEDS_2022_TBtus!$B$3:$B$53&amp;Res_AllFuels_SEDS_2022_TBtus!$A$3:$A$53,0))),0,(index(Res_AllFuels_SEDS_2022_TBtus!$D$3:$D$53,match($B6&amp;AN$2,Res_AllFuels_SEDS_2022_TBtus!$B$3:$B$53&amp;Res_AllFuels_SEDS_2022_TBtus!$A$3:$A$53,0))))</f>
        <v>0</v>
      </c>
      <c r="AO6" s="75">
        <f t="array" ref="AO6">IF(ISERROR(index(Res_AllFuels_SEDS_2022_TBtus!$D$3:$D$53,match($B6&amp;AO$2,Res_AllFuels_SEDS_2022_TBtus!$B$3:$B$53&amp;Res_AllFuels_SEDS_2022_TBtus!$A$3:$A$53,0))),0,(index(Res_AllFuels_SEDS_2022_TBtus!$D$3:$D$53,match($B6&amp;AO$2,Res_AllFuels_SEDS_2022_TBtus!$B$3:$B$53&amp;Res_AllFuels_SEDS_2022_TBtus!$A$3:$A$53,0))))</f>
        <v>0</v>
      </c>
      <c r="AP6" s="75">
        <f t="array" ref="AP6">IF(ISERROR(index(Res_AllFuels_SEDS_2022_TBtus!$D$3:$D$53,match($B6&amp;AP$2,Res_AllFuels_SEDS_2022_TBtus!$B$3:$B$53&amp;Res_AllFuels_SEDS_2022_TBtus!$A$3:$A$53,0))),0,(index(Res_AllFuels_SEDS_2022_TBtus!$D$3:$D$53,match($B6&amp;AP$2,Res_AllFuels_SEDS_2022_TBtus!$B$3:$B$53&amp;Res_AllFuels_SEDS_2022_TBtus!$A$3:$A$53,0))))</f>
        <v>0</v>
      </c>
      <c r="AQ6" s="75">
        <f t="array" ref="AQ6">IF(ISERROR(index(Res_AllFuels_SEDS_2022_TBtus!$D$3:$D$53,match($B6&amp;AQ$2,Res_AllFuels_SEDS_2022_TBtus!$B$3:$B$53&amp;Res_AllFuels_SEDS_2022_TBtus!$A$3:$A$53,0))),0,(index(Res_AllFuels_SEDS_2022_TBtus!$D$3:$D$53,match($B6&amp;AQ$2,Res_AllFuels_SEDS_2022_TBtus!$B$3:$B$53&amp;Res_AllFuels_SEDS_2022_TBtus!$A$3:$A$53,0))))</f>
        <v>0</v>
      </c>
      <c r="AR6" s="75">
        <f t="array" ref="AR6">IF(ISERROR(index(Res_AllFuels_SEDS_2022_TBtus!$D$3:$D$53,match($B6&amp;AR$2,Res_AllFuels_SEDS_2022_TBtus!$B$3:$B$53&amp;Res_AllFuels_SEDS_2022_TBtus!$A$3:$A$53,0))),0,(index(Res_AllFuels_SEDS_2022_TBtus!$D$3:$D$53,match($B6&amp;AR$2,Res_AllFuels_SEDS_2022_TBtus!$B$3:$B$53&amp;Res_AllFuels_SEDS_2022_TBtus!$A$3:$A$53,0))))</f>
        <v>15.7</v>
      </c>
      <c r="AS6" s="75">
        <f t="array" ref="AS6">IF(ISERROR(index(Res_AllFuels_SEDS_2022_TBtus!$D$3:$D$53,match($B6&amp;AS$2,Res_AllFuels_SEDS_2022_TBtus!$B$3:$B$53&amp;Res_AllFuels_SEDS_2022_TBtus!$A$3:$A$53,0))),0,(index(Res_AllFuels_SEDS_2022_TBtus!$D$3:$D$53,match($B6&amp;AS$2,Res_AllFuels_SEDS_2022_TBtus!$B$3:$B$53&amp;Res_AllFuels_SEDS_2022_TBtus!$A$3:$A$53,0))))</f>
        <v>0</v>
      </c>
      <c r="AT6" s="75">
        <f t="array" ref="AT6">IF(ISERROR(index(Res_AllFuels_SEDS_2022_TBtus!$D$3:$D$53,match($B6&amp;AT$2,Res_AllFuels_SEDS_2022_TBtus!$B$3:$B$53&amp;Res_AllFuels_SEDS_2022_TBtus!$A$3:$A$53,0))),0,(index(Res_AllFuels_SEDS_2022_TBtus!$D$3:$D$53,match($B6&amp;AT$2,Res_AllFuels_SEDS_2022_TBtus!$B$3:$B$53&amp;Res_AllFuels_SEDS_2022_TBtus!$A$3:$A$53,0))))</f>
        <v>0</v>
      </c>
      <c r="AU6" s="75">
        <f t="array" ref="AU6">IF(ISERROR(index(Res_AllFuels_SEDS_2022_TBtus!$D$3:$D$53,match($B6&amp;AU$2,Res_AllFuels_SEDS_2022_TBtus!$B$3:$B$53&amp;Res_AllFuels_SEDS_2022_TBtus!$A$3:$A$53,0))),0,(index(Res_AllFuels_SEDS_2022_TBtus!$D$3:$D$53,match($B6&amp;AU$2,Res_AllFuels_SEDS_2022_TBtus!$B$3:$B$53&amp;Res_AllFuels_SEDS_2022_TBtus!$A$3:$A$53,0))))</f>
        <v>0</v>
      </c>
      <c r="AV6" s="75">
        <f t="array" ref="AV6">IF(ISERROR(index(Res_AllFuels_SEDS_2022_TBtus!$D$3:$D$53,match($B6&amp;AV$2,Res_AllFuels_SEDS_2022_TBtus!$B$3:$B$53&amp;Res_AllFuels_SEDS_2022_TBtus!$A$3:$A$53,0))),0,(index(Res_AllFuels_SEDS_2022_TBtus!$D$3:$D$53,match($B6&amp;AV$2,Res_AllFuels_SEDS_2022_TBtus!$B$3:$B$53&amp;Res_AllFuels_SEDS_2022_TBtus!$A$3:$A$53,0))))</f>
        <v>0</v>
      </c>
      <c r="AW6" s="75">
        <f t="array" ref="AW6">IF(ISERROR(index(Res_AllFuels_SEDS_2022_TBtus!$D$3:$D$53,match($B6&amp;AW$2,Res_AllFuels_SEDS_2022_TBtus!$B$3:$B$53&amp;Res_AllFuels_SEDS_2022_TBtus!$A$3:$A$53,0))),0,(index(Res_AllFuels_SEDS_2022_TBtus!$D$3:$D$53,match($B6&amp;AW$2,Res_AllFuels_SEDS_2022_TBtus!$B$3:$B$53&amp;Res_AllFuels_SEDS_2022_TBtus!$A$3:$A$53,0))))</f>
        <v>0</v>
      </c>
      <c r="AX6" s="75">
        <f t="array" ref="AX6">IF(ISERROR(index(Res_AllFuels_SEDS_2022_TBtus!$D$3:$D$53,match($B6&amp;AX$2,Res_AllFuels_SEDS_2022_TBtus!$B$3:$B$53&amp;Res_AllFuels_SEDS_2022_TBtus!$A$3:$A$53,0))),0,(index(Res_AllFuels_SEDS_2022_TBtus!$D$3:$D$53,match($B6&amp;AX$2,Res_AllFuels_SEDS_2022_TBtus!$B$3:$B$53&amp;Res_AllFuels_SEDS_2022_TBtus!$A$3:$A$53,0))))</f>
        <v>0</v>
      </c>
      <c r="AY6" s="75">
        <f t="array" ref="AY6">IF(ISERROR(index(Res_AllFuels_SEDS_2022_TBtus!$D$3:$D$53,match($B6&amp;AY$2,Res_AllFuels_SEDS_2022_TBtus!$B$3:$B$53&amp;Res_AllFuels_SEDS_2022_TBtus!$A$3:$A$53,0))),0,(index(Res_AllFuels_SEDS_2022_TBtus!$D$3:$D$53,match($B6&amp;AY$2,Res_AllFuels_SEDS_2022_TBtus!$B$3:$B$53&amp;Res_AllFuels_SEDS_2022_TBtus!$A$3:$A$53,0))))</f>
        <v>0</v>
      </c>
      <c r="AZ6" s="75">
        <f t="array" ref="AZ6">IF(ISERROR(index(Res_AllFuels_SEDS_2022_TBtus!$D$3:$D$53,match($B6&amp;AZ$2,Res_AllFuels_SEDS_2022_TBtus!$B$3:$B$53&amp;Res_AllFuels_SEDS_2022_TBtus!$A$3:$A$53,0))),0,(index(Res_AllFuels_SEDS_2022_TBtus!$D$3:$D$53,match($B6&amp;AZ$2,Res_AllFuels_SEDS_2022_TBtus!$B$3:$B$53&amp;Res_AllFuels_SEDS_2022_TBtus!$A$3:$A$53,0))))</f>
        <v>0</v>
      </c>
      <c r="BA6" s="75">
        <f t="array" ref="BA6">IF(ISERROR(index(Res_AllFuels_SEDS_2022_TBtus!$D$3:$D$53,match($B6&amp;BA$2,Res_AllFuels_SEDS_2022_TBtus!$B$3:$B$53&amp;Res_AllFuels_SEDS_2022_TBtus!$A$3:$A$53,0))),0,(index(Res_AllFuels_SEDS_2022_TBtus!$D$3:$D$53,match($B6&amp;BA$2,Res_AllFuels_SEDS_2022_TBtus!$B$3:$B$53&amp;Res_AllFuels_SEDS_2022_TBtus!$A$3:$A$53,0))))</f>
        <v>0</v>
      </c>
      <c r="BB6" s="74">
        <f t="shared" si="1"/>
        <v>479.5</v>
      </c>
    </row>
    <row r="7" ht="15.75" customHeight="1">
      <c r="B7" s="74">
        <v>5.0</v>
      </c>
      <c r="C7" s="75">
        <f t="array" ref="C7">IF(ISERROR(index(Res_AllFuels_SEDS_2022_TBtus!$D$3:$D$53,match($B7&amp;C$2,Res_AllFuels_SEDS_2022_TBtus!$B$3:$B$53&amp;Res_AllFuels_SEDS_2022_TBtus!$A$3:$A$53,0))),0,(index(Res_AllFuels_SEDS_2022_TBtus!$D$3:$D$53,match($B7&amp;C$2,Res_AllFuels_SEDS_2022_TBtus!$B$3:$B$53&amp;Res_AllFuels_SEDS_2022_TBtus!$A$3:$A$53,0))))</f>
        <v>0</v>
      </c>
      <c r="D7" s="75">
        <f t="array" ref="D7">IF(ISERROR(index(Res_AllFuels_SEDS_2022_TBtus!$D$3:$D$53,match($B7&amp;D$2,Res_AllFuels_SEDS_2022_TBtus!$B$3:$B$53&amp;Res_AllFuels_SEDS_2022_TBtus!$A$3:$A$53,0))),0,(index(Res_AllFuels_SEDS_2022_TBtus!$D$3:$D$53,match($B7&amp;D$2,Res_AllFuels_SEDS_2022_TBtus!$B$3:$B$53&amp;Res_AllFuels_SEDS_2022_TBtus!$A$3:$A$53,0))))</f>
        <v>0</v>
      </c>
      <c r="E7" s="75">
        <f t="array" ref="E7">IF(ISERROR(index(Res_AllFuels_SEDS_2022_TBtus!$D$3:$D$53,match($B7&amp;E$2,Res_AllFuels_SEDS_2022_TBtus!$B$3:$B$53&amp;Res_AllFuels_SEDS_2022_TBtus!$A$3:$A$53,0))),0,(index(Res_AllFuels_SEDS_2022_TBtus!$D$3:$D$53,match($B7&amp;E$2,Res_AllFuels_SEDS_2022_TBtus!$B$3:$B$53&amp;Res_AllFuels_SEDS_2022_TBtus!$A$3:$A$53,0))))</f>
        <v>0</v>
      </c>
      <c r="F7" s="75">
        <f t="array" ref="F7">IF(ISERROR(index(Res_AllFuels_SEDS_2022_TBtus!$D$3:$D$53,match($B7&amp;F$2,Res_AllFuels_SEDS_2022_TBtus!$B$3:$B$53&amp;Res_AllFuels_SEDS_2022_TBtus!$A$3:$A$53,0))),0,(index(Res_AllFuels_SEDS_2022_TBtus!$D$3:$D$53,match($B7&amp;F$2,Res_AllFuels_SEDS_2022_TBtus!$B$3:$B$53&amp;Res_AllFuels_SEDS_2022_TBtus!$A$3:$A$53,0))))</f>
        <v>0</v>
      </c>
      <c r="G7" s="75">
        <f t="array" ref="G7">IF(ISERROR(index(Res_AllFuels_SEDS_2022_TBtus!$D$3:$D$53,match($B7&amp;G$2,Res_AllFuels_SEDS_2022_TBtus!$B$3:$B$53&amp;Res_AllFuels_SEDS_2022_TBtus!$A$3:$A$53,0))),0,(index(Res_AllFuels_SEDS_2022_TBtus!$D$3:$D$53,match($B7&amp;G$2,Res_AllFuels_SEDS_2022_TBtus!$B$3:$B$53&amp;Res_AllFuels_SEDS_2022_TBtus!$A$3:$A$53,0))))</f>
        <v>0</v>
      </c>
      <c r="H7" s="75">
        <f t="array" ref="H7">IF(ISERROR(index(Res_AllFuels_SEDS_2022_TBtus!$D$3:$D$53,match($B7&amp;H$2,Res_AllFuels_SEDS_2022_TBtus!$B$3:$B$53&amp;Res_AllFuels_SEDS_2022_TBtus!$A$3:$A$53,0))),0,(index(Res_AllFuels_SEDS_2022_TBtus!$D$3:$D$53,match($B7&amp;H$2,Res_AllFuels_SEDS_2022_TBtus!$B$3:$B$53&amp;Res_AllFuels_SEDS_2022_TBtus!$A$3:$A$53,0))))</f>
        <v>0</v>
      </c>
      <c r="I7" s="75">
        <f t="array" ref="I7">IF(ISERROR(index(Res_AllFuels_SEDS_2022_TBtus!$D$3:$D$53,match($B7&amp;I$2,Res_AllFuels_SEDS_2022_TBtus!$B$3:$B$53&amp;Res_AllFuels_SEDS_2022_TBtus!$A$3:$A$53,0))),0,(index(Res_AllFuels_SEDS_2022_TBtus!$D$3:$D$53,match($B7&amp;I$2,Res_AllFuels_SEDS_2022_TBtus!$B$3:$B$53&amp;Res_AllFuels_SEDS_2022_TBtus!$A$3:$A$53,0))))</f>
        <v>0</v>
      </c>
      <c r="J7" s="75">
        <f t="array" ref="J7">IF(ISERROR(index(Res_AllFuels_SEDS_2022_TBtus!$D$3:$D$53,match($B7&amp;J$2,Res_AllFuels_SEDS_2022_TBtus!$B$3:$B$53&amp;Res_AllFuels_SEDS_2022_TBtus!$A$3:$A$53,0))),0,(index(Res_AllFuels_SEDS_2022_TBtus!$D$3:$D$53,match($B7&amp;J$2,Res_AllFuels_SEDS_2022_TBtus!$B$3:$B$53&amp;Res_AllFuels_SEDS_2022_TBtus!$A$3:$A$53,0))))</f>
        <v>12.3</v>
      </c>
      <c r="K7" s="75">
        <f t="array" ref="K7">IF(ISERROR(index(Res_AllFuels_SEDS_2022_TBtus!$D$3:$D$53,match($B7&amp;K$2,Res_AllFuels_SEDS_2022_TBtus!$B$3:$B$53&amp;Res_AllFuels_SEDS_2022_TBtus!$A$3:$A$53,0))),0,(index(Res_AllFuels_SEDS_2022_TBtus!$D$3:$D$53,match($B7&amp;K$2,Res_AllFuels_SEDS_2022_TBtus!$B$3:$B$53&amp;Res_AllFuels_SEDS_2022_TBtus!$A$3:$A$53,0))))</f>
        <v>12.3</v>
      </c>
      <c r="L7" s="75">
        <f t="array" ref="L7">IF(ISERROR(index(Res_AllFuels_SEDS_2022_TBtus!$D$3:$D$53,match($B7&amp;L$2,Res_AllFuels_SEDS_2022_TBtus!$B$3:$B$53&amp;Res_AllFuels_SEDS_2022_TBtus!$A$3:$A$53,0))),0,(index(Res_AllFuels_SEDS_2022_TBtus!$D$3:$D$53,match($B7&amp;L$2,Res_AllFuels_SEDS_2022_TBtus!$B$3:$B$53&amp;Res_AllFuels_SEDS_2022_TBtus!$A$3:$A$53,0))))</f>
        <v>19.3</v>
      </c>
      <c r="M7" s="75">
        <f t="array" ref="M7">IF(ISERROR(index(Res_AllFuels_SEDS_2022_TBtus!$D$3:$D$53,match($B7&amp;M$2,Res_AllFuels_SEDS_2022_TBtus!$B$3:$B$53&amp;Res_AllFuels_SEDS_2022_TBtus!$A$3:$A$53,0))),0,(index(Res_AllFuels_SEDS_2022_TBtus!$D$3:$D$53,match($B7&amp;M$2,Res_AllFuels_SEDS_2022_TBtus!$B$3:$B$53&amp;Res_AllFuels_SEDS_2022_TBtus!$A$3:$A$53,0))))</f>
        <v>138.2</v>
      </c>
      <c r="N7" s="75">
        <f t="array" ref="N7">IF(ISERROR(index(Res_AllFuels_SEDS_2022_TBtus!$D$3:$D$53,match($B7&amp;N$2,Res_AllFuels_SEDS_2022_TBtus!$B$3:$B$53&amp;Res_AllFuels_SEDS_2022_TBtus!$A$3:$A$53,0))),0,(index(Res_AllFuels_SEDS_2022_TBtus!$D$3:$D$53,match($B7&amp;N$2,Res_AllFuels_SEDS_2022_TBtus!$B$3:$B$53&amp;Res_AllFuels_SEDS_2022_TBtus!$A$3:$A$53,0))))</f>
        <v>0</v>
      </c>
      <c r="O7" s="75">
        <f t="array" ref="O7">IF(ISERROR(index(Res_AllFuels_SEDS_2022_TBtus!$D$3:$D$53,match($B7&amp;O$2,Res_AllFuels_SEDS_2022_TBtus!$B$3:$B$53&amp;Res_AllFuels_SEDS_2022_TBtus!$A$3:$A$53,0))),0,(index(Res_AllFuels_SEDS_2022_TBtus!$D$3:$D$53,match($B7&amp;O$2,Res_AllFuels_SEDS_2022_TBtus!$B$3:$B$53&amp;Res_AllFuels_SEDS_2022_TBtus!$A$3:$A$53,0))))</f>
        <v>0</v>
      </c>
      <c r="P7" s="75">
        <f t="array" ref="P7">IF(ISERROR(index(Res_AllFuels_SEDS_2022_TBtus!$D$3:$D$53,match($B7&amp;P$2,Res_AllFuels_SEDS_2022_TBtus!$B$3:$B$53&amp;Res_AllFuels_SEDS_2022_TBtus!$A$3:$A$53,0))),0,(index(Res_AllFuels_SEDS_2022_TBtus!$D$3:$D$53,match($B7&amp;P$2,Res_AllFuels_SEDS_2022_TBtus!$B$3:$B$53&amp;Res_AllFuels_SEDS_2022_TBtus!$A$3:$A$53,0))))</f>
        <v>0</v>
      </c>
      <c r="Q7" s="75">
        <f t="array" ref="Q7">IF(ISERROR(index(Res_AllFuels_SEDS_2022_TBtus!$D$3:$D$53,match($B7&amp;Q$2,Res_AllFuels_SEDS_2022_TBtus!$B$3:$B$53&amp;Res_AllFuels_SEDS_2022_TBtus!$A$3:$A$53,0))),0,(index(Res_AllFuels_SEDS_2022_TBtus!$D$3:$D$53,match($B7&amp;Q$2,Res_AllFuels_SEDS_2022_TBtus!$B$3:$B$53&amp;Res_AllFuels_SEDS_2022_TBtus!$A$3:$A$53,0))))</f>
        <v>0</v>
      </c>
      <c r="R7" s="75">
        <f t="array" ref="R7">IF(ISERROR(index(Res_AllFuels_SEDS_2022_TBtus!$D$3:$D$53,match($B7&amp;R$2,Res_AllFuels_SEDS_2022_TBtus!$B$3:$B$53&amp;Res_AllFuels_SEDS_2022_TBtus!$A$3:$A$53,0))),0,(index(Res_AllFuels_SEDS_2022_TBtus!$D$3:$D$53,match($B7&amp;R$2,Res_AllFuels_SEDS_2022_TBtus!$B$3:$B$53&amp;Res_AllFuels_SEDS_2022_TBtus!$A$3:$A$53,0))))</f>
        <v>0</v>
      </c>
      <c r="S7" s="75">
        <f t="array" ref="S7">IF(ISERROR(index(Res_AllFuels_SEDS_2022_TBtus!$D$3:$D$53,match($B7&amp;S$2,Res_AllFuels_SEDS_2022_TBtus!$B$3:$B$53&amp;Res_AllFuels_SEDS_2022_TBtus!$A$3:$A$53,0))),0,(index(Res_AllFuels_SEDS_2022_TBtus!$D$3:$D$53,match($B7&amp;S$2,Res_AllFuels_SEDS_2022_TBtus!$B$3:$B$53&amp;Res_AllFuels_SEDS_2022_TBtus!$A$3:$A$53,0))))</f>
        <v>0</v>
      </c>
      <c r="T7" s="75">
        <f t="array" ref="T7">IF(ISERROR(index(Res_AllFuels_SEDS_2022_TBtus!$D$3:$D$53,match($B7&amp;T$2,Res_AllFuels_SEDS_2022_TBtus!$B$3:$B$53&amp;Res_AllFuels_SEDS_2022_TBtus!$A$3:$A$53,0))),0,(index(Res_AllFuels_SEDS_2022_TBtus!$D$3:$D$53,match($B7&amp;T$2,Res_AllFuels_SEDS_2022_TBtus!$B$3:$B$53&amp;Res_AllFuels_SEDS_2022_TBtus!$A$3:$A$53,0))))</f>
        <v>0</v>
      </c>
      <c r="U7" s="75">
        <f t="array" ref="U7">IF(ISERROR(index(Res_AllFuels_SEDS_2022_TBtus!$D$3:$D$53,match($B7&amp;U$2,Res_AllFuels_SEDS_2022_TBtus!$B$3:$B$53&amp;Res_AllFuels_SEDS_2022_TBtus!$A$3:$A$53,0))),0,(index(Res_AllFuels_SEDS_2022_TBtus!$D$3:$D$53,match($B7&amp;U$2,Res_AllFuels_SEDS_2022_TBtus!$B$3:$B$53&amp;Res_AllFuels_SEDS_2022_TBtus!$A$3:$A$53,0))))</f>
        <v>0</v>
      </c>
      <c r="V7" s="75">
        <f t="array" ref="V7">IF(ISERROR(index(Res_AllFuels_SEDS_2022_TBtus!$D$3:$D$53,match($B7&amp;V$2,Res_AllFuels_SEDS_2022_TBtus!$B$3:$B$53&amp;Res_AllFuels_SEDS_2022_TBtus!$A$3:$A$53,0))),0,(index(Res_AllFuels_SEDS_2022_TBtus!$D$3:$D$53,match($B7&amp;V$2,Res_AllFuels_SEDS_2022_TBtus!$B$3:$B$53&amp;Res_AllFuels_SEDS_2022_TBtus!$A$3:$A$53,0))))</f>
        <v>0</v>
      </c>
      <c r="W7" s="75">
        <f t="array" ref="W7">IF(ISERROR(index(Res_AllFuels_SEDS_2022_TBtus!$D$3:$D$53,match($B7&amp;W$2,Res_AllFuels_SEDS_2022_TBtus!$B$3:$B$53&amp;Res_AllFuels_SEDS_2022_TBtus!$A$3:$A$53,0))),0,(index(Res_AllFuels_SEDS_2022_TBtus!$D$3:$D$53,match($B7&amp;W$2,Res_AllFuels_SEDS_2022_TBtus!$B$3:$B$53&amp;Res_AllFuels_SEDS_2022_TBtus!$A$3:$A$53,0))))</f>
        <v>85.8</v>
      </c>
      <c r="X7" s="75">
        <f t="array" ref="X7">IF(ISERROR(index(Res_AllFuels_SEDS_2022_TBtus!$D$3:$D$53,match($B7&amp;X$2,Res_AllFuels_SEDS_2022_TBtus!$B$3:$B$53&amp;Res_AllFuels_SEDS_2022_TBtus!$A$3:$A$53,0))),0,(index(Res_AllFuels_SEDS_2022_TBtus!$D$3:$D$53,match($B7&amp;X$2,Res_AllFuels_SEDS_2022_TBtus!$B$3:$B$53&amp;Res_AllFuels_SEDS_2022_TBtus!$A$3:$A$53,0))))</f>
        <v>0</v>
      </c>
      <c r="Y7" s="75">
        <f t="array" ref="Y7">IF(ISERROR(index(Res_AllFuels_SEDS_2022_TBtus!$D$3:$D$53,match($B7&amp;Y$2,Res_AllFuels_SEDS_2022_TBtus!$B$3:$B$53&amp;Res_AllFuels_SEDS_2022_TBtus!$A$3:$A$53,0))),0,(index(Res_AllFuels_SEDS_2022_TBtus!$D$3:$D$53,match($B7&amp;Y$2,Res_AllFuels_SEDS_2022_TBtus!$B$3:$B$53&amp;Res_AllFuels_SEDS_2022_TBtus!$A$3:$A$53,0))))</f>
        <v>0</v>
      </c>
      <c r="Z7" s="75">
        <f t="array" ref="Z7">IF(ISERROR(index(Res_AllFuels_SEDS_2022_TBtus!$D$3:$D$53,match($B7&amp;Z$2,Res_AllFuels_SEDS_2022_TBtus!$B$3:$B$53&amp;Res_AllFuels_SEDS_2022_TBtus!$A$3:$A$53,0))),0,(index(Res_AllFuels_SEDS_2022_TBtus!$D$3:$D$53,match($B7&amp;Z$2,Res_AllFuels_SEDS_2022_TBtus!$B$3:$B$53&amp;Res_AllFuels_SEDS_2022_TBtus!$A$3:$A$53,0))))</f>
        <v>0</v>
      </c>
      <c r="AA7" s="75">
        <f t="array" ref="AA7">IF(ISERROR(index(Res_AllFuels_SEDS_2022_TBtus!$D$3:$D$53,match($B7&amp;AA$2,Res_AllFuels_SEDS_2022_TBtus!$B$3:$B$53&amp;Res_AllFuels_SEDS_2022_TBtus!$A$3:$A$53,0))),0,(index(Res_AllFuels_SEDS_2022_TBtus!$D$3:$D$53,match($B7&amp;AA$2,Res_AllFuels_SEDS_2022_TBtus!$B$3:$B$53&amp;Res_AllFuels_SEDS_2022_TBtus!$A$3:$A$53,0))))</f>
        <v>0</v>
      </c>
      <c r="AB7" s="75">
        <f t="array" ref="AB7">IF(ISERROR(index(Res_AllFuels_SEDS_2022_TBtus!$D$3:$D$53,match($B7&amp;AB$2,Res_AllFuels_SEDS_2022_TBtus!$B$3:$B$53&amp;Res_AllFuels_SEDS_2022_TBtus!$A$3:$A$53,0))),0,(index(Res_AllFuels_SEDS_2022_TBtus!$D$3:$D$53,match($B7&amp;AB$2,Res_AllFuels_SEDS_2022_TBtus!$B$3:$B$53&amp;Res_AllFuels_SEDS_2022_TBtus!$A$3:$A$53,0))))</f>
        <v>0</v>
      </c>
      <c r="AC7" s="75">
        <f t="array" ref="AC7">IF(ISERROR(index(Res_AllFuels_SEDS_2022_TBtus!$D$3:$D$53,match($B7&amp;AC$2,Res_AllFuels_SEDS_2022_TBtus!$B$3:$B$53&amp;Res_AllFuels_SEDS_2022_TBtus!$A$3:$A$53,0))),0,(index(Res_AllFuels_SEDS_2022_TBtus!$D$3:$D$53,match($B7&amp;AC$2,Res_AllFuels_SEDS_2022_TBtus!$B$3:$B$53&amp;Res_AllFuels_SEDS_2022_TBtus!$A$3:$A$53,0))))</f>
        <v>0</v>
      </c>
      <c r="AD7" s="75">
        <f t="array" ref="AD7">IF(ISERROR(index(Res_AllFuels_SEDS_2022_TBtus!$D$3:$D$53,match($B7&amp;AD$2,Res_AllFuels_SEDS_2022_TBtus!$B$3:$B$53&amp;Res_AllFuels_SEDS_2022_TBtus!$A$3:$A$53,0))),0,(index(Res_AllFuels_SEDS_2022_TBtus!$D$3:$D$53,match($B7&amp;AD$2,Res_AllFuels_SEDS_2022_TBtus!$B$3:$B$53&amp;Res_AllFuels_SEDS_2022_TBtus!$A$3:$A$53,0))))</f>
        <v>0</v>
      </c>
      <c r="AE7" s="75">
        <f t="array" ref="AE7">IF(ISERROR(index(Res_AllFuels_SEDS_2022_TBtus!$D$3:$D$53,match($B7&amp;AE$2,Res_AllFuels_SEDS_2022_TBtus!$B$3:$B$53&amp;Res_AllFuels_SEDS_2022_TBtus!$A$3:$A$53,0))),0,(index(Res_AllFuels_SEDS_2022_TBtus!$D$3:$D$53,match($B7&amp;AE$2,Res_AllFuels_SEDS_2022_TBtus!$B$3:$B$53&amp;Res_AllFuels_SEDS_2022_TBtus!$A$3:$A$53,0))))</f>
        <v>0</v>
      </c>
      <c r="AF7" s="75">
        <f t="array" ref="AF7">IF(ISERROR(index(Res_AllFuels_SEDS_2022_TBtus!$D$3:$D$53,match($B7&amp;AF$2,Res_AllFuels_SEDS_2022_TBtus!$B$3:$B$53&amp;Res_AllFuels_SEDS_2022_TBtus!$A$3:$A$53,0))),0,(index(Res_AllFuels_SEDS_2022_TBtus!$D$3:$D$53,match($B7&amp;AF$2,Res_AllFuels_SEDS_2022_TBtus!$B$3:$B$53&amp;Res_AllFuels_SEDS_2022_TBtus!$A$3:$A$53,0))))</f>
        <v>0</v>
      </c>
      <c r="AG7" s="75">
        <f t="array" ref="AG7">IF(ISERROR(index(Res_AllFuels_SEDS_2022_TBtus!$D$3:$D$53,match($B7&amp;AG$2,Res_AllFuels_SEDS_2022_TBtus!$B$3:$B$53&amp;Res_AllFuels_SEDS_2022_TBtus!$A$3:$A$53,0))),0,(index(Res_AllFuels_SEDS_2022_TBtus!$D$3:$D$53,match($B7&amp;AG$2,Res_AllFuels_SEDS_2022_TBtus!$B$3:$B$53&amp;Res_AllFuels_SEDS_2022_TBtus!$A$3:$A$53,0))))</f>
        <v>0</v>
      </c>
      <c r="AH7" s="75">
        <f t="array" ref="AH7">IF(ISERROR(index(Res_AllFuels_SEDS_2022_TBtus!$D$3:$D$53,match($B7&amp;AH$2,Res_AllFuels_SEDS_2022_TBtus!$B$3:$B$53&amp;Res_AllFuels_SEDS_2022_TBtus!$A$3:$A$53,0))),0,(index(Res_AllFuels_SEDS_2022_TBtus!$D$3:$D$53,match($B7&amp;AH$2,Res_AllFuels_SEDS_2022_TBtus!$B$3:$B$53&amp;Res_AllFuels_SEDS_2022_TBtus!$A$3:$A$53,0))))</f>
        <v>0</v>
      </c>
      <c r="AI7" s="75">
        <f t="array" ref="AI7">IF(ISERROR(index(Res_AllFuels_SEDS_2022_TBtus!$D$3:$D$53,match($B7&amp;AI$2,Res_AllFuels_SEDS_2022_TBtus!$B$3:$B$53&amp;Res_AllFuels_SEDS_2022_TBtus!$A$3:$A$53,0))),0,(index(Res_AllFuels_SEDS_2022_TBtus!$D$3:$D$53,match($B7&amp;AI$2,Res_AllFuels_SEDS_2022_TBtus!$B$3:$B$53&amp;Res_AllFuels_SEDS_2022_TBtus!$A$3:$A$53,0))))</f>
        <v>0</v>
      </c>
      <c r="AJ7" s="75">
        <f t="array" ref="AJ7">IF(ISERROR(index(Res_AllFuels_SEDS_2022_TBtus!$D$3:$D$53,match($B7&amp;AJ$2,Res_AllFuels_SEDS_2022_TBtus!$B$3:$B$53&amp;Res_AllFuels_SEDS_2022_TBtus!$A$3:$A$53,0))),0,(index(Res_AllFuels_SEDS_2022_TBtus!$D$3:$D$53,match($B7&amp;AJ$2,Res_AllFuels_SEDS_2022_TBtus!$B$3:$B$53&amp;Res_AllFuels_SEDS_2022_TBtus!$A$3:$A$53,0))))</f>
        <v>74.1</v>
      </c>
      <c r="AK7" s="75">
        <f t="array" ref="AK7">IF(ISERROR(index(Res_AllFuels_SEDS_2022_TBtus!$D$3:$D$53,match($B7&amp;AK$2,Res_AllFuels_SEDS_2022_TBtus!$B$3:$B$53&amp;Res_AllFuels_SEDS_2022_TBtus!$A$3:$A$53,0))),0,(index(Res_AllFuels_SEDS_2022_TBtus!$D$3:$D$53,match($B7&amp;AK$2,Res_AllFuels_SEDS_2022_TBtus!$B$3:$B$53&amp;Res_AllFuels_SEDS_2022_TBtus!$A$3:$A$53,0))))</f>
        <v>0</v>
      </c>
      <c r="AL7" s="75">
        <f t="array" ref="AL7">IF(ISERROR(index(Res_AllFuels_SEDS_2022_TBtus!$D$3:$D$53,match($B7&amp;AL$2,Res_AllFuels_SEDS_2022_TBtus!$B$3:$B$53&amp;Res_AllFuels_SEDS_2022_TBtus!$A$3:$A$53,0))),0,(index(Res_AllFuels_SEDS_2022_TBtus!$D$3:$D$53,match($B7&amp;AL$2,Res_AllFuels_SEDS_2022_TBtus!$B$3:$B$53&amp;Res_AllFuels_SEDS_2022_TBtus!$A$3:$A$53,0))))</f>
        <v>0</v>
      </c>
      <c r="AM7" s="75">
        <f t="array" ref="AM7">IF(ISERROR(index(Res_AllFuels_SEDS_2022_TBtus!$D$3:$D$53,match($B7&amp;AM$2,Res_AllFuels_SEDS_2022_TBtus!$B$3:$B$53&amp;Res_AllFuels_SEDS_2022_TBtus!$A$3:$A$53,0))),0,(index(Res_AllFuels_SEDS_2022_TBtus!$D$3:$D$53,match($B7&amp;AM$2,Res_AllFuels_SEDS_2022_TBtus!$B$3:$B$53&amp;Res_AllFuels_SEDS_2022_TBtus!$A$3:$A$53,0))))</f>
        <v>0</v>
      </c>
      <c r="AN7" s="75">
        <f t="array" ref="AN7">IF(ISERROR(index(Res_AllFuels_SEDS_2022_TBtus!$D$3:$D$53,match($B7&amp;AN$2,Res_AllFuels_SEDS_2022_TBtus!$B$3:$B$53&amp;Res_AllFuels_SEDS_2022_TBtus!$A$3:$A$53,0))),0,(index(Res_AllFuels_SEDS_2022_TBtus!$D$3:$D$53,match($B7&amp;AN$2,Res_AllFuels_SEDS_2022_TBtus!$B$3:$B$53&amp;Res_AllFuels_SEDS_2022_TBtus!$A$3:$A$53,0))))</f>
        <v>0</v>
      </c>
      <c r="AO7" s="75">
        <f t="array" ref="AO7">IF(ISERROR(index(Res_AllFuels_SEDS_2022_TBtus!$D$3:$D$53,match($B7&amp;AO$2,Res_AllFuels_SEDS_2022_TBtus!$B$3:$B$53&amp;Res_AllFuels_SEDS_2022_TBtus!$A$3:$A$53,0))),0,(index(Res_AllFuels_SEDS_2022_TBtus!$D$3:$D$53,match($B7&amp;AO$2,Res_AllFuels_SEDS_2022_TBtus!$B$3:$B$53&amp;Res_AllFuels_SEDS_2022_TBtus!$A$3:$A$53,0))))</f>
        <v>0</v>
      </c>
      <c r="AP7" s="75">
        <f t="array" ref="AP7">IF(ISERROR(index(Res_AllFuels_SEDS_2022_TBtus!$D$3:$D$53,match($B7&amp;AP$2,Res_AllFuels_SEDS_2022_TBtus!$B$3:$B$53&amp;Res_AllFuels_SEDS_2022_TBtus!$A$3:$A$53,0))),0,(index(Res_AllFuels_SEDS_2022_TBtus!$D$3:$D$53,match($B7&amp;AP$2,Res_AllFuels_SEDS_2022_TBtus!$B$3:$B$53&amp;Res_AllFuels_SEDS_2022_TBtus!$A$3:$A$53,0))))</f>
        <v>0</v>
      </c>
      <c r="AQ7" s="75">
        <f t="array" ref="AQ7">IF(ISERROR(index(Res_AllFuels_SEDS_2022_TBtus!$D$3:$D$53,match($B7&amp;AQ$2,Res_AllFuels_SEDS_2022_TBtus!$B$3:$B$53&amp;Res_AllFuels_SEDS_2022_TBtus!$A$3:$A$53,0))),0,(index(Res_AllFuels_SEDS_2022_TBtus!$D$3:$D$53,match($B7&amp;AQ$2,Res_AllFuels_SEDS_2022_TBtus!$B$3:$B$53&amp;Res_AllFuels_SEDS_2022_TBtus!$A$3:$A$53,0))))</f>
        <v>34.5</v>
      </c>
      <c r="AR7" s="75">
        <f t="array" ref="AR7">IF(ISERROR(index(Res_AllFuels_SEDS_2022_TBtus!$D$3:$D$53,match($B7&amp;AR$2,Res_AllFuels_SEDS_2022_TBtus!$B$3:$B$53&amp;Res_AllFuels_SEDS_2022_TBtus!$A$3:$A$53,0))),0,(index(Res_AllFuels_SEDS_2022_TBtus!$D$3:$D$53,match($B7&amp;AR$2,Res_AllFuels_SEDS_2022_TBtus!$B$3:$B$53&amp;Res_AllFuels_SEDS_2022_TBtus!$A$3:$A$53,0))))</f>
        <v>0</v>
      </c>
      <c r="AS7" s="75">
        <f t="array" ref="AS7">IF(ISERROR(index(Res_AllFuels_SEDS_2022_TBtus!$D$3:$D$53,match($B7&amp;AS$2,Res_AllFuels_SEDS_2022_TBtus!$B$3:$B$53&amp;Res_AllFuels_SEDS_2022_TBtus!$A$3:$A$53,0))),0,(index(Res_AllFuels_SEDS_2022_TBtus!$D$3:$D$53,match($B7&amp;AS$2,Res_AllFuels_SEDS_2022_TBtus!$B$3:$B$53&amp;Res_AllFuels_SEDS_2022_TBtus!$A$3:$A$53,0))))</f>
        <v>0</v>
      </c>
      <c r="AT7" s="75">
        <f t="array" ref="AT7">IF(ISERROR(index(Res_AllFuels_SEDS_2022_TBtus!$D$3:$D$53,match($B7&amp;AT$2,Res_AllFuels_SEDS_2022_TBtus!$B$3:$B$53&amp;Res_AllFuels_SEDS_2022_TBtus!$A$3:$A$53,0))),0,(index(Res_AllFuels_SEDS_2022_TBtus!$D$3:$D$53,match($B7&amp;AT$2,Res_AllFuels_SEDS_2022_TBtus!$B$3:$B$53&amp;Res_AllFuels_SEDS_2022_TBtus!$A$3:$A$53,0))))</f>
        <v>0</v>
      </c>
      <c r="AU7" s="75">
        <f t="array" ref="AU7">IF(ISERROR(index(Res_AllFuels_SEDS_2022_TBtus!$D$3:$D$53,match($B7&amp;AU$2,Res_AllFuels_SEDS_2022_TBtus!$B$3:$B$53&amp;Res_AllFuels_SEDS_2022_TBtus!$A$3:$A$53,0))),0,(index(Res_AllFuels_SEDS_2022_TBtus!$D$3:$D$53,match($B7&amp;AU$2,Res_AllFuels_SEDS_2022_TBtus!$B$3:$B$53&amp;Res_AllFuels_SEDS_2022_TBtus!$A$3:$A$53,0))))</f>
        <v>0</v>
      </c>
      <c r="AV7" s="75">
        <f t="array" ref="AV7">IF(ISERROR(index(Res_AllFuels_SEDS_2022_TBtus!$D$3:$D$53,match($B7&amp;AV$2,Res_AllFuels_SEDS_2022_TBtus!$B$3:$B$53&amp;Res_AllFuels_SEDS_2022_TBtus!$A$3:$A$53,0))),0,(index(Res_AllFuels_SEDS_2022_TBtus!$D$3:$D$53,match($B7&amp;AV$2,Res_AllFuels_SEDS_2022_TBtus!$B$3:$B$53&amp;Res_AllFuels_SEDS_2022_TBtus!$A$3:$A$53,0))))</f>
        <v>0</v>
      </c>
      <c r="AW7" s="75">
        <f t="array" ref="AW7">IF(ISERROR(index(Res_AllFuels_SEDS_2022_TBtus!$D$3:$D$53,match($B7&amp;AW$2,Res_AllFuels_SEDS_2022_TBtus!$B$3:$B$53&amp;Res_AllFuels_SEDS_2022_TBtus!$A$3:$A$53,0))),0,(index(Res_AllFuels_SEDS_2022_TBtus!$D$3:$D$53,match($B7&amp;AW$2,Res_AllFuels_SEDS_2022_TBtus!$B$3:$B$53&amp;Res_AllFuels_SEDS_2022_TBtus!$A$3:$A$53,0))))</f>
        <v>89</v>
      </c>
      <c r="AX7" s="75">
        <f t="array" ref="AX7">IF(ISERROR(index(Res_AllFuels_SEDS_2022_TBtus!$D$3:$D$53,match($B7&amp;AX$2,Res_AllFuels_SEDS_2022_TBtus!$B$3:$B$53&amp;Res_AllFuels_SEDS_2022_TBtus!$A$3:$A$53,0))),0,(index(Res_AllFuels_SEDS_2022_TBtus!$D$3:$D$53,match($B7&amp;AX$2,Res_AllFuels_SEDS_2022_TBtus!$B$3:$B$53&amp;Res_AllFuels_SEDS_2022_TBtus!$A$3:$A$53,0))))</f>
        <v>0</v>
      </c>
      <c r="AY7" s="75">
        <f t="array" ref="AY7">IF(ISERROR(index(Res_AllFuels_SEDS_2022_TBtus!$D$3:$D$53,match($B7&amp;AY$2,Res_AllFuels_SEDS_2022_TBtus!$B$3:$B$53&amp;Res_AllFuels_SEDS_2022_TBtus!$A$3:$A$53,0))),0,(index(Res_AllFuels_SEDS_2022_TBtus!$D$3:$D$53,match($B7&amp;AY$2,Res_AllFuels_SEDS_2022_TBtus!$B$3:$B$53&amp;Res_AllFuels_SEDS_2022_TBtus!$A$3:$A$53,0))))</f>
        <v>27.2</v>
      </c>
      <c r="AZ7" s="75">
        <f t="array" ref="AZ7">IF(ISERROR(index(Res_AllFuels_SEDS_2022_TBtus!$D$3:$D$53,match($B7&amp;AZ$2,Res_AllFuels_SEDS_2022_TBtus!$B$3:$B$53&amp;Res_AllFuels_SEDS_2022_TBtus!$A$3:$A$53,0))),0,(index(Res_AllFuels_SEDS_2022_TBtus!$D$3:$D$53,match($B7&amp;AZ$2,Res_AllFuels_SEDS_2022_TBtus!$B$3:$B$53&amp;Res_AllFuels_SEDS_2022_TBtus!$A$3:$A$53,0))))</f>
        <v>0</v>
      </c>
      <c r="BA7" s="75">
        <f t="array" ref="BA7">IF(ISERROR(index(Res_AllFuels_SEDS_2022_TBtus!$D$3:$D$53,match($B7&amp;BA$2,Res_AllFuels_SEDS_2022_TBtus!$B$3:$B$53&amp;Res_AllFuels_SEDS_2022_TBtus!$A$3:$A$53,0))),0,(index(Res_AllFuels_SEDS_2022_TBtus!$D$3:$D$53,match($B7&amp;BA$2,Res_AllFuels_SEDS_2022_TBtus!$B$3:$B$53&amp;Res_AllFuels_SEDS_2022_TBtus!$A$3:$A$53,0))))</f>
        <v>0</v>
      </c>
      <c r="BB7" s="74">
        <f t="shared" si="1"/>
        <v>492.7</v>
      </c>
    </row>
    <row r="8" ht="15.75" customHeight="1">
      <c r="B8" s="74">
        <v>6.0</v>
      </c>
      <c r="C8" s="75">
        <f t="array" ref="C8">IF(ISERROR(index(Res_AllFuels_SEDS_2022_TBtus!$D$3:$D$53,match($B8&amp;C$2,Res_AllFuels_SEDS_2022_TBtus!$B$3:$B$53&amp;Res_AllFuels_SEDS_2022_TBtus!$A$3:$A$53,0))),0,(index(Res_AllFuels_SEDS_2022_TBtus!$D$3:$D$53,match($B8&amp;C$2,Res_AllFuels_SEDS_2022_TBtus!$B$3:$B$53&amp;Res_AllFuels_SEDS_2022_TBtus!$A$3:$A$53,0))))</f>
        <v>31.3</v>
      </c>
      <c r="D8" s="75">
        <f t="array" ref="D8">IF(ISERROR(index(Res_AllFuels_SEDS_2022_TBtus!$D$3:$D$53,match($B8&amp;D$2,Res_AllFuels_SEDS_2022_TBtus!$B$3:$B$53&amp;Res_AllFuels_SEDS_2022_TBtus!$A$3:$A$53,0))),0,(index(Res_AllFuels_SEDS_2022_TBtus!$D$3:$D$53,match($B8&amp;D$2,Res_AllFuels_SEDS_2022_TBtus!$B$3:$B$53&amp;Res_AllFuels_SEDS_2022_TBtus!$A$3:$A$53,0))))</f>
        <v>0</v>
      </c>
      <c r="E8" s="75">
        <f t="array" ref="E8">IF(ISERROR(index(Res_AllFuels_SEDS_2022_TBtus!$D$3:$D$53,match($B8&amp;E$2,Res_AllFuels_SEDS_2022_TBtus!$B$3:$B$53&amp;Res_AllFuels_SEDS_2022_TBtus!$A$3:$A$53,0))),0,(index(Res_AllFuels_SEDS_2022_TBtus!$D$3:$D$53,match($B8&amp;E$2,Res_AllFuels_SEDS_2022_TBtus!$B$3:$B$53&amp;Res_AllFuels_SEDS_2022_TBtus!$A$3:$A$53,0))))</f>
        <v>0</v>
      </c>
      <c r="F8" s="75">
        <f t="array" ref="F8">IF(ISERROR(index(Res_AllFuels_SEDS_2022_TBtus!$D$3:$D$53,match($B8&amp;F$2,Res_AllFuels_SEDS_2022_TBtus!$B$3:$B$53&amp;Res_AllFuels_SEDS_2022_TBtus!$A$3:$A$53,0))),0,(index(Res_AllFuels_SEDS_2022_TBtus!$D$3:$D$53,match($B8&amp;F$2,Res_AllFuels_SEDS_2022_TBtus!$B$3:$B$53&amp;Res_AllFuels_SEDS_2022_TBtus!$A$3:$A$53,0))))</f>
        <v>0</v>
      </c>
      <c r="G8" s="75">
        <f t="array" ref="G8">IF(ISERROR(index(Res_AllFuels_SEDS_2022_TBtus!$D$3:$D$53,match($B8&amp;G$2,Res_AllFuels_SEDS_2022_TBtus!$B$3:$B$53&amp;Res_AllFuels_SEDS_2022_TBtus!$A$3:$A$53,0))),0,(index(Res_AllFuels_SEDS_2022_TBtus!$D$3:$D$53,match($B8&amp;G$2,Res_AllFuels_SEDS_2022_TBtus!$B$3:$B$53&amp;Res_AllFuels_SEDS_2022_TBtus!$A$3:$A$53,0))))</f>
        <v>0</v>
      </c>
      <c r="H8" s="75">
        <f t="array" ref="H8">IF(ISERROR(index(Res_AllFuels_SEDS_2022_TBtus!$D$3:$D$53,match($B8&amp;H$2,Res_AllFuels_SEDS_2022_TBtus!$B$3:$B$53&amp;Res_AllFuels_SEDS_2022_TBtus!$A$3:$A$53,0))),0,(index(Res_AllFuels_SEDS_2022_TBtus!$D$3:$D$53,match($B8&amp;H$2,Res_AllFuels_SEDS_2022_TBtus!$B$3:$B$53&amp;Res_AllFuels_SEDS_2022_TBtus!$A$3:$A$53,0))))</f>
        <v>0</v>
      </c>
      <c r="I8" s="75">
        <f t="array" ref="I8">IF(ISERROR(index(Res_AllFuels_SEDS_2022_TBtus!$D$3:$D$53,match($B8&amp;I$2,Res_AllFuels_SEDS_2022_TBtus!$B$3:$B$53&amp;Res_AllFuels_SEDS_2022_TBtus!$A$3:$A$53,0))),0,(index(Res_AllFuels_SEDS_2022_TBtus!$D$3:$D$53,match($B8&amp;I$2,Res_AllFuels_SEDS_2022_TBtus!$B$3:$B$53&amp;Res_AllFuels_SEDS_2022_TBtus!$A$3:$A$53,0))))</f>
        <v>0</v>
      </c>
      <c r="J8" s="75">
        <f t="array" ref="J8">IF(ISERROR(index(Res_AllFuels_SEDS_2022_TBtus!$D$3:$D$53,match($B8&amp;J$2,Res_AllFuels_SEDS_2022_TBtus!$B$3:$B$53&amp;Res_AllFuels_SEDS_2022_TBtus!$A$3:$A$53,0))),0,(index(Res_AllFuels_SEDS_2022_TBtus!$D$3:$D$53,match($B8&amp;J$2,Res_AllFuels_SEDS_2022_TBtus!$B$3:$B$53&amp;Res_AllFuels_SEDS_2022_TBtus!$A$3:$A$53,0))))</f>
        <v>0</v>
      </c>
      <c r="K8" s="75">
        <f t="array" ref="K8">IF(ISERROR(index(Res_AllFuels_SEDS_2022_TBtus!$D$3:$D$53,match($B8&amp;K$2,Res_AllFuels_SEDS_2022_TBtus!$B$3:$B$53&amp;Res_AllFuels_SEDS_2022_TBtus!$A$3:$A$53,0))),0,(index(Res_AllFuels_SEDS_2022_TBtus!$D$3:$D$53,match($B8&amp;K$2,Res_AllFuels_SEDS_2022_TBtus!$B$3:$B$53&amp;Res_AllFuels_SEDS_2022_TBtus!$A$3:$A$53,0))))</f>
        <v>0</v>
      </c>
      <c r="L8" s="75">
        <f t="array" ref="L8">IF(ISERROR(index(Res_AllFuels_SEDS_2022_TBtus!$D$3:$D$53,match($B8&amp;L$2,Res_AllFuels_SEDS_2022_TBtus!$B$3:$B$53&amp;Res_AllFuels_SEDS_2022_TBtus!$A$3:$A$53,0))),0,(index(Res_AllFuels_SEDS_2022_TBtus!$D$3:$D$53,match($B8&amp;L$2,Res_AllFuels_SEDS_2022_TBtus!$B$3:$B$53&amp;Res_AllFuels_SEDS_2022_TBtus!$A$3:$A$53,0))))</f>
        <v>0</v>
      </c>
      <c r="M8" s="75">
        <f t="array" ref="M8">IF(ISERROR(index(Res_AllFuels_SEDS_2022_TBtus!$D$3:$D$53,match($B8&amp;M$2,Res_AllFuels_SEDS_2022_TBtus!$B$3:$B$53&amp;Res_AllFuels_SEDS_2022_TBtus!$A$3:$A$53,0))),0,(index(Res_AllFuels_SEDS_2022_TBtus!$D$3:$D$53,match($B8&amp;M$2,Res_AllFuels_SEDS_2022_TBtus!$B$3:$B$53&amp;Res_AllFuels_SEDS_2022_TBtus!$A$3:$A$53,0))))</f>
        <v>0</v>
      </c>
      <c r="N8" s="75">
        <f t="array" ref="N8">IF(ISERROR(index(Res_AllFuels_SEDS_2022_TBtus!$D$3:$D$53,match($B8&amp;N$2,Res_AllFuels_SEDS_2022_TBtus!$B$3:$B$53&amp;Res_AllFuels_SEDS_2022_TBtus!$A$3:$A$53,0))),0,(index(Res_AllFuels_SEDS_2022_TBtus!$D$3:$D$53,match($B8&amp;N$2,Res_AllFuels_SEDS_2022_TBtus!$B$3:$B$53&amp;Res_AllFuels_SEDS_2022_TBtus!$A$3:$A$53,0))))</f>
        <v>0</v>
      </c>
      <c r="O8" s="75">
        <f t="array" ref="O8">IF(ISERROR(index(Res_AllFuels_SEDS_2022_TBtus!$D$3:$D$53,match($B8&amp;O$2,Res_AllFuels_SEDS_2022_TBtus!$B$3:$B$53&amp;Res_AllFuels_SEDS_2022_TBtus!$A$3:$A$53,0))),0,(index(Res_AllFuels_SEDS_2022_TBtus!$D$3:$D$53,match($B8&amp;O$2,Res_AllFuels_SEDS_2022_TBtus!$B$3:$B$53&amp;Res_AllFuels_SEDS_2022_TBtus!$A$3:$A$53,0))))</f>
        <v>0</v>
      </c>
      <c r="P8" s="75">
        <f t="array" ref="P8">IF(ISERROR(index(Res_AllFuels_SEDS_2022_TBtus!$D$3:$D$53,match($B8&amp;P$2,Res_AllFuels_SEDS_2022_TBtus!$B$3:$B$53&amp;Res_AllFuels_SEDS_2022_TBtus!$A$3:$A$53,0))),0,(index(Res_AllFuels_SEDS_2022_TBtus!$D$3:$D$53,match($B8&amp;P$2,Res_AllFuels_SEDS_2022_TBtus!$B$3:$B$53&amp;Res_AllFuels_SEDS_2022_TBtus!$A$3:$A$53,0))))</f>
        <v>0</v>
      </c>
      <c r="Q8" s="75">
        <f t="array" ref="Q8">IF(ISERROR(index(Res_AllFuels_SEDS_2022_TBtus!$D$3:$D$53,match($B8&amp;Q$2,Res_AllFuels_SEDS_2022_TBtus!$B$3:$B$53&amp;Res_AllFuels_SEDS_2022_TBtus!$A$3:$A$53,0))),0,(index(Res_AllFuels_SEDS_2022_TBtus!$D$3:$D$53,match($B8&amp;Q$2,Res_AllFuels_SEDS_2022_TBtus!$B$3:$B$53&amp;Res_AllFuels_SEDS_2022_TBtus!$A$3:$A$53,0))))</f>
        <v>0</v>
      </c>
      <c r="R8" s="75">
        <f t="array" ref="R8">IF(ISERROR(index(Res_AllFuels_SEDS_2022_TBtus!$D$3:$D$53,match($B8&amp;R$2,Res_AllFuels_SEDS_2022_TBtus!$B$3:$B$53&amp;Res_AllFuels_SEDS_2022_TBtus!$A$3:$A$53,0))),0,(index(Res_AllFuels_SEDS_2022_TBtus!$D$3:$D$53,match($B8&amp;R$2,Res_AllFuels_SEDS_2022_TBtus!$B$3:$B$53&amp;Res_AllFuels_SEDS_2022_TBtus!$A$3:$A$53,0))))</f>
        <v>0</v>
      </c>
      <c r="S8" s="75">
        <f t="array" ref="S8">IF(ISERROR(index(Res_AllFuels_SEDS_2022_TBtus!$D$3:$D$53,match($B8&amp;S$2,Res_AllFuels_SEDS_2022_TBtus!$B$3:$B$53&amp;Res_AllFuels_SEDS_2022_TBtus!$A$3:$A$53,0))),0,(index(Res_AllFuels_SEDS_2022_TBtus!$D$3:$D$53,match($B8&amp;S$2,Res_AllFuels_SEDS_2022_TBtus!$B$3:$B$53&amp;Res_AllFuels_SEDS_2022_TBtus!$A$3:$A$53,0))))</f>
        <v>0</v>
      </c>
      <c r="T8" s="75">
        <f t="array" ref="T8">IF(ISERROR(index(Res_AllFuels_SEDS_2022_TBtus!$D$3:$D$53,match($B8&amp;T$2,Res_AllFuels_SEDS_2022_TBtus!$B$3:$B$53&amp;Res_AllFuels_SEDS_2022_TBtus!$A$3:$A$53,0))),0,(index(Res_AllFuels_SEDS_2022_TBtus!$D$3:$D$53,match($B8&amp;T$2,Res_AllFuels_SEDS_2022_TBtus!$B$3:$B$53&amp;Res_AllFuels_SEDS_2022_TBtus!$A$3:$A$53,0))))</f>
        <v>52.4</v>
      </c>
      <c r="U8" s="75">
        <f t="array" ref="U8">IF(ISERROR(index(Res_AllFuels_SEDS_2022_TBtus!$D$3:$D$53,match($B8&amp;U$2,Res_AllFuels_SEDS_2022_TBtus!$B$3:$B$53&amp;Res_AllFuels_SEDS_2022_TBtus!$A$3:$A$53,0))),0,(index(Res_AllFuels_SEDS_2022_TBtus!$D$3:$D$53,match($B8&amp;U$2,Res_AllFuels_SEDS_2022_TBtus!$B$3:$B$53&amp;Res_AllFuels_SEDS_2022_TBtus!$A$3:$A$53,0))))</f>
        <v>0</v>
      </c>
      <c r="V8" s="75">
        <f t="array" ref="V8">IF(ISERROR(index(Res_AllFuels_SEDS_2022_TBtus!$D$3:$D$53,match($B8&amp;V$2,Res_AllFuels_SEDS_2022_TBtus!$B$3:$B$53&amp;Res_AllFuels_SEDS_2022_TBtus!$A$3:$A$53,0))),0,(index(Res_AllFuels_SEDS_2022_TBtus!$D$3:$D$53,match($B8&amp;V$2,Res_AllFuels_SEDS_2022_TBtus!$B$3:$B$53&amp;Res_AllFuels_SEDS_2022_TBtus!$A$3:$A$53,0))))</f>
        <v>0</v>
      </c>
      <c r="W8" s="75">
        <f t="array" ref="W8">IF(ISERROR(index(Res_AllFuels_SEDS_2022_TBtus!$D$3:$D$53,match($B8&amp;W$2,Res_AllFuels_SEDS_2022_TBtus!$B$3:$B$53&amp;Res_AllFuels_SEDS_2022_TBtus!$A$3:$A$53,0))),0,(index(Res_AllFuels_SEDS_2022_TBtus!$D$3:$D$53,match($B8&amp;W$2,Res_AllFuels_SEDS_2022_TBtus!$B$3:$B$53&amp;Res_AllFuels_SEDS_2022_TBtus!$A$3:$A$53,0))))</f>
        <v>0</v>
      </c>
      <c r="X8" s="75">
        <f t="array" ref="X8">IF(ISERROR(index(Res_AllFuels_SEDS_2022_TBtus!$D$3:$D$53,match($B8&amp;X$2,Res_AllFuels_SEDS_2022_TBtus!$B$3:$B$53&amp;Res_AllFuels_SEDS_2022_TBtus!$A$3:$A$53,0))),0,(index(Res_AllFuels_SEDS_2022_TBtus!$D$3:$D$53,match($B8&amp;X$2,Res_AllFuels_SEDS_2022_TBtus!$B$3:$B$53&amp;Res_AllFuels_SEDS_2022_TBtus!$A$3:$A$53,0))))</f>
        <v>0</v>
      </c>
      <c r="Y8" s="75">
        <f t="array" ref="Y8">IF(ISERROR(index(Res_AllFuels_SEDS_2022_TBtus!$D$3:$D$53,match($B8&amp;Y$2,Res_AllFuels_SEDS_2022_TBtus!$B$3:$B$53&amp;Res_AllFuels_SEDS_2022_TBtus!$A$3:$A$53,0))),0,(index(Res_AllFuels_SEDS_2022_TBtus!$D$3:$D$53,match($B8&amp;Y$2,Res_AllFuels_SEDS_2022_TBtus!$B$3:$B$53&amp;Res_AllFuels_SEDS_2022_TBtus!$A$3:$A$53,0))))</f>
        <v>0</v>
      </c>
      <c r="Z8" s="75">
        <f t="array" ref="Z8">IF(ISERROR(index(Res_AllFuels_SEDS_2022_TBtus!$D$3:$D$53,match($B8&amp;Z$2,Res_AllFuels_SEDS_2022_TBtus!$B$3:$B$53&amp;Res_AllFuels_SEDS_2022_TBtus!$A$3:$A$53,0))),0,(index(Res_AllFuels_SEDS_2022_TBtus!$D$3:$D$53,match($B8&amp;Z$2,Res_AllFuels_SEDS_2022_TBtus!$B$3:$B$53&amp;Res_AllFuels_SEDS_2022_TBtus!$A$3:$A$53,0))))</f>
        <v>0</v>
      </c>
      <c r="AA8" s="75">
        <f t="array" ref="AA8">IF(ISERROR(index(Res_AllFuels_SEDS_2022_TBtus!$D$3:$D$53,match($B8&amp;AA$2,Res_AllFuels_SEDS_2022_TBtus!$B$3:$B$53&amp;Res_AllFuels_SEDS_2022_TBtus!$A$3:$A$53,0))),0,(index(Res_AllFuels_SEDS_2022_TBtus!$D$3:$D$53,match($B8&amp;AA$2,Res_AllFuels_SEDS_2022_TBtus!$B$3:$B$53&amp;Res_AllFuels_SEDS_2022_TBtus!$A$3:$A$53,0))))</f>
        <v>23.1</v>
      </c>
      <c r="AB8" s="75">
        <f t="array" ref="AB8">IF(ISERROR(index(Res_AllFuels_SEDS_2022_TBtus!$D$3:$D$53,match($B8&amp;AB$2,Res_AllFuels_SEDS_2022_TBtus!$B$3:$B$53&amp;Res_AllFuels_SEDS_2022_TBtus!$A$3:$A$53,0))),0,(index(Res_AllFuels_SEDS_2022_TBtus!$D$3:$D$53,match($B8&amp;AB$2,Res_AllFuels_SEDS_2022_TBtus!$B$3:$B$53&amp;Res_AllFuels_SEDS_2022_TBtus!$A$3:$A$53,0))))</f>
        <v>0</v>
      </c>
      <c r="AC8" s="75">
        <f t="array" ref="AC8">IF(ISERROR(index(Res_AllFuels_SEDS_2022_TBtus!$D$3:$D$53,match($B8&amp;AC$2,Res_AllFuels_SEDS_2022_TBtus!$B$3:$B$53&amp;Res_AllFuels_SEDS_2022_TBtus!$A$3:$A$53,0))),0,(index(Res_AllFuels_SEDS_2022_TBtus!$D$3:$D$53,match($B8&amp;AC$2,Res_AllFuels_SEDS_2022_TBtus!$B$3:$B$53&amp;Res_AllFuels_SEDS_2022_TBtus!$A$3:$A$53,0))))</f>
        <v>0</v>
      </c>
      <c r="AD8" s="75">
        <f t="array" ref="AD8">IF(ISERROR(index(Res_AllFuels_SEDS_2022_TBtus!$D$3:$D$53,match($B8&amp;AD$2,Res_AllFuels_SEDS_2022_TBtus!$B$3:$B$53&amp;Res_AllFuels_SEDS_2022_TBtus!$A$3:$A$53,0))),0,(index(Res_AllFuels_SEDS_2022_TBtus!$D$3:$D$53,match($B8&amp;AD$2,Res_AllFuels_SEDS_2022_TBtus!$B$3:$B$53&amp;Res_AllFuels_SEDS_2022_TBtus!$A$3:$A$53,0))))</f>
        <v>0</v>
      </c>
      <c r="AE8" s="75">
        <f t="array" ref="AE8">IF(ISERROR(index(Res_AllFuels_SEDS_2022_TBtus!$D$3:$D$53,match($B8&amp;AE$2,Res_AllFuels_SEDS_2022_TBtus!$B$3:$B$53&amp;Res_AllFuels_SEDS_2022_TBtus!$A$3:$A$53,0))),0,(index(Res_AllFuels_SEDS_2022_TBtus!$D$3:$D$53,match($B8&amp;AE$2,Res_AllFuels_SEDS_2022_TBtus!$B$3:$B$53&amp;Res_AllFuels_SEDS_2022_TBtus!$A$3:$A$53,0))))</f>
        <v>0</v>
      </c>
      <c r="AF8" s="75">
        <f t="array" ref="AF8">IF(ISERROR(index(Res_AllFuels_SEDS_2022_TBtus!$D$3:$D$53,match($B8&amp;AF$2,Res_AllFuels_SEDS_2022_TBtus!$B$3:$B$53&amp;Res_AllFuels_SEDS_2022_TBtus!$A$3:$A$53,0))),0,(index(Res_AllFuels_SEDS_2022_TBtus!$D$3:$D$53,match($B8&amp;AF$2,Res_AllFuels_SEDS_2022_TBtus!$B$3:$B$53&amp;Res_AllFuels_SEDS_2022_TBtus!$A$3:$A$53,0))))</f>
        <v>0</v>
      </c>
      <c r="AG8" s="75">
        <f t="array" ref="AG8">IF(ISERROR(index(Res_AllFuels_SEDS_2022_TBtus!$D$3:$D$53,match($B8&amp;AG$2,Res_AllFuels_SEDS_2022_TBtus!$B$3:$B$53&amp;Res_AllFuels_SEDS_2022_TBtus!$A$3:$A$53,0))),0,(index(Res_AllFuels_SEDS_2022_TBtus!$D$3:$D$53,match($B8&amp;AG$2,Res_AllFuels_SEDS_2022_TBtus!$B$3:$B$53&amp;Res_AllFuels_SEDS_2022_TBtus!$A$3:$A$53,0))))</f>
        <v>0</v>
      </c>
      <c r="AH8" s="75">
        <f t="array" ref="AH8">IF(ISERROR(index(Res_AllFuels_SEDS_2022_TBtus!$D$3:$D$53,match($B8&amp;AH$2,Res_AllFuels_SEDS_2022_TBtus!$B$3:$B$53&amp;Res_AllFuels_SEDS_2022_TBtus!$A$3:$A$53,0))),0,(index(Res_AllFuels_SEDS_2022_TBtus!$D$3:$D$53,match($B8&amp;AH$2,Res_AllFuels_SEDS_2022_TBtus!$B$3:$B$53&amp;Res_AllFuels_SEDS_2022_TBtus!$A$3:$A$53,0))))</f>
        <v>0</v>
      </c>
      <c r="AI8" s="75">
        <f t="array" ref="AI8">IF(ISERROR(index(Res_AllFuels_SEDS_2022_TBtus!$D$3:$D$53,match($B8&amp;AI$2,Res_AllFuels_SEDS_2022_TBtus!$B$3:$B$53&amp;Res_AllFuels_SEDS_2022_TBtus!$A$3:$A$53,0))),0,(index(Res_AllFuels_SEDS_2022_TBtus!$D$3:$D$53,match($B8&amp;AI$2,Res_AllFuels_SEDS_2022_TBtus!$B$3:$B$53&amp;Res_AllFuels_SEDS_2022_TBtus!$A$3:$A$53,0))))</f>
        <v>0</v>
      </c>
      <c r="AJ8" s="75">
        <f t="array" ref="AJ8">IF(ISERROR(index(Res_AllFuels_SEDS_2022_TBtus!$D$3:$D$53,match($B8&amp;AJ$2,Res_AllFuels_SEDS_2022_TBtus!$B$3:$B$53&amp;Res_AllFuels_SEDS_2022_TBtus!$A$3:$A$53,0))),0,(index(Res_AllFuels_SEDS_2022_TBtus!$D$3:$D$53,match($B8&amp;AJ$2,Res_AllFuels_SEDS_2022_TBtus!$B$3:$B$53&amp;Res_AllFuels_SEDS_2022_TBtus!$A$3:$A$53,0))))</f>
        <v>0</v>
      </c>
      <c r="AK8" s="75">
        <f t="array" ref="AK8">IF(ISERROR(index(Res_AllFuels_SEDS_2022_TBtus!$D$3:$D$53,match($B8&amp;AK$2,Res_AllFuels_SEDS_2022_TBtus!$B$3:$B$53&amp;Res_AllFuels_SEDS_2022_TBtus!$A$3:$A$53,0))),0,(index(Res_AllFuels_SEDS_2022_TBtus!$D$3:$D$53,match($B8&amp;AK$2,Res_AllFuels_SEDS_2022_TBtus!$B$3:$B$53&amp;Res_AllFuels_SEDS_2022_TBtus!$A$3:$A$53,0))))</f>
        <v>0</v>
      </c>
      <c r="AL8" s="75">
        <f t="array" ref="AL8">IF(ISERROR(index(Res_AllFuels_SEDS_2022_TBtus!$D$3:$D$53,match($B8&amp;AL$2,Res_AllFuels_SEDS_2022_TBtus!$B$3:$B$53&amp;Res_AllFuels_SEDS_2022_TBtus!$A$3:$A$53,0))),0,(index(Res_AllFuels_SEDS_2022_TBtus!$D$3:$D$53,match($B8&amp;AL$2,Res_AllFuels_SEDS_2022_TBtus!$B$3:$B$53&amp;Res_AllFuels_SEDS_2022_TBtus!$A$3:$A$53,0))))</f>
        <v>0</v>
      </c>
      <c r="AM8" s="75">
        <f t="array" ref="AM8">IF(ISERROR(index(Res_AllFuels_SEDS_2022_TBtus!$D$3:$D$53,match($B8&amp;AM$2,Res_AllFuels_SEDS_2022_TBtus!$B$3:$B$53&amp;Res_AllFuels_SEDS_2022_TBtus!$A$3:$A$53,0))),0,(index(Res_AllFuels_SEDS_2022_TBtus!$D$3:$D$53,match($B8&amp;AM$2,Res_AllFuels_SEDS_2022_TBtus!$B$3:$B$53&amp;Res_AllFuels_SEDS_2022_TBtus!$A$3:$A$53,0))))</f>
        <v>0</v>
      </c>
      <c r="AN8" s="75">
        <f t="array" ref="AN8">IF(ISERROR(index(Res_AllFuels_SEDS_2022_TBtus!$D$3:$D$53,match($B8&amp;AN$2,Res_AllFuels_SEDS_2022_TBtus!$B$3:$B$53&amp;Res_AllFuels_SEDS_2022_TBtus!$A$3:$A$53,0))),0,(index(Res_AllFuels_SEDS_2022_TBtus!$D$3:$D$53,match($B8&amp;AN$2,Res_AllFuels_SEDS_2022_TBtus!$B$3:$B$53&amp;Res_AllFuels_SEDS_2022_TBtus!$A$3:$A$53,0))))</f>
        <v>0</v>
      </c>
      <c r="AO8" s="75">
        <f t="array" ref="AO8">IF(ISERROR(index(Res_AllFuels_SEDS_2022_TBtus!$D$3:$D$53,match($B8&amp;AO$2,Res_AllFuels_SEDS_2022_TBtus!$B$3:$B$53&amp;Res_AllFuels_SEDS_2022_TBtus!$A$3:$A$53,0))),0,(index(Res_AllFuels_SEDS_2022_TBtus!$D$3:$D$53,match($B8&amp;AO$2,Res_AllFuels_SEDS_2022_TBtus!$B$3:$B$53&amp;Res_AllFuels_SEDS_2022_TBtus!$A$3:$A$53,0))))</f>
        <v>0</v>
      </c>
      <c r="AP8" s="75">
        <f t="array" ref="AP8">IF(ISERROR(index(Res_AllFuels_SEDS_2022_TBtus!$D$3:$D$53,match($B8&amp;AP$2,Res_AllFuels_SEDS_2022_TBtus!$B$3:$B$53&amp;Res_AllFuels_SEDS_2022_TBtus!$A$3:$A$53,0))),0,(index(Res_AllFuels_SEDS_2022_TBtus!$D$3:$D$53,match($B8&amp;AP$2,Res_AllFuels_SEDS_2022_TBtus!$B$3:$B$53&amp;Res_AllFuels_SEDS_2022_TBtus!$A$3:$A$53,0))))</f>
        <v>0</v>
      </c>
      <c r="AQ8" s="75">
        <f t="array" ref="AQ8">IF(ISERROR(index(Res_AllFuels_SEDS_2022_TBtus!$D$3:$D$53,match($B8&amp;AQ$2,Res_AllFuels_SEDS_2022_TBtus!$B$3:$B$53&amp;Res_AllFuels_SEDS_2022_TBtus!$A$3:$A$53,0))),0,(index(Res_AllFuels_SEDS_2022_TBtus!$D$3:$D$53,match($B8&amp;AQ$2,Res_AllFuels_SEDS_2022_TBtus!$B$3:$B$53&amp;Res_AllFuels_SEDS_2022_TBtus!$A$3:$A$53,0))))</f>
        <v>0</v>
      </c>
      <c r="AR8" s="75">
        <f t="array" ref="AR8">IF(ISERROR(index(Res_AllFuels_SEDS_2022_TBtus!$D$3:$D$53,match($B8&amp;AR$2,Res_AllFuels_SEDS_2022_TBtus!$B$3:$B$53&amp;Res_AllFuels_SEDS_2022_TBtus!$A$3:$A$53,0))),0,(index(Res_AllFuels_SEDS_2022_TBtus!$D$3:$D$53,match($B8&amp;AR$2,Res_AllFuels_SEDS_2022_TBtus!$B$3:$B$53&amp;Res_AllFuels_SEDS_2022_TBtus!$A$3:$A$53,0))))</f>
        <v>0</v>
      </c>
      <c r="AS8" s="75">
        <f t="array" ref="AS8">IF(ISERROR(index(Res_AllFuels_SEDS_2022_TBtus!$D$3:$D$53,match($B8&amp;AS$2,Res_AllFuels_SEDS_2022_TBtus!$B$3:$B$53&amp;Res_AllFuels_SEDS_2022_TBtus!$A$3:$A$53,0))),0,(index(Res_AllFuels_SEDS_2022_TBtus!$D$3:$D$53,match($B8&amp;AS$2,Res_AllFuels_SEDS_2022_TBtus!$B$3:$B$53&amp;Res_AllFuels_SEDS_2022_TBtus!$A$3:$A$53,0))))</f>
        <v>75.8</v>
      </c>
      <c r="AT8" s="75">
        <f t="array" ref="AT8">IF(ISERROR(index(Res_AllFuels_SEDS_2022_TBtus!$D$3:$D$53,match($B8&amp;AT$2,Res_AllFuels_SEDS_2022_TBtus!$B$3:$B$53&amp;Res_AllFuels_SEDS_2022_TBtus!$A$3:$A$53,0))),0,(index(Res_AllFuels_SEDS_2022_TBtus!$D$3:$D$53,match($B8&amp;AT$2,Res_AllFuels_SEDS_2022_TBtus!$B$3:$B$53&amp;Res_AllFuels_SEDS_2022_TBtus!$A$3:$A$53,0))))</f>
        <v>0</v>
      </c>
      <c r="AU8" s="75">
        <f t="array" ref="AU8">IF(ISERROR(index(Res_AllFuels_SEDS_2022_TBtus!$D$3:$D$53,match($B8&amp;AU$2,Res_AllFuels_SEDS_2022_TBtus!$B$3:$B$53&amp;Res_AllFuels_SEDS_2022_TBtus!$A$3:$A$53,0))),0,(index(Res_AllFuels_SEDS_2022_TBtus!$D$3:$D$53,match($B8&amp;AU$2,Res_AllFuels_SEDS_2022_TBtus!$B$3:$B$53&amp;Res_AllFuels_SEDS_2022_TBtus!$A$3:$A$53,0))))</f>
        <v>0</v>
      </c>
      <c r="AV8" s="75">
        <f t="array" ref="AV8">IF(ISERROR(index(Res_AllFuels_SEDS_2022_TBtus!$D$3:$D$53,match($B8&amp;AV$2,Res_AllFuels_SEDS_2022_TBtus!$B$3:$B$53&amp;Res_AllFuels_SEDS_2022_TBtus!$A$3:$A$53,0))),0,(index(Res_AllFuels_SEDS_2022_TBtus!$D$3:$D$53,match($B8&amp;AV$2,Res_AllFuels_SEDS_2022_TBtus!$B$3:$B$53&amp;Res_AllFuels_SEDS_2022_TBtus!$A$3:$A$53,0))))</f>
        <v>0</v>
      </c>
      <c r="AW8" s="75">
        <f t="array" ref="AW8">IF(ISERROR(index(Res_AllFuels_SEDS_2022_TBtus!$D$3:$D$53,match($B8&amp;AW$2,Res_AllFuels_SEDS_2022_TBtus!$B$3:$B$53&amp;Res_AllFuels_SEDS_2022_TBtus!$A$3:$A$53,0))),0,(index(Res_AllFuels_SEDS_2022_TBtus!$D$3:$D$53,match($B8&amp;AW$2,Res_AllFuels_SEDS_2022_TBtus!$B$3:$B$53&amp;Res_AllFuels_SEDS_2022_TBtus!$A$3:$A$53,0))))</f>
        <v>0</v>
      </c>
      <c r="AX8" s="75">
        <f t="array" ref="AX8">IF(ISERROR(index(Res_AllFuels_SEDS_2022_TBtus!$D$3:$D$53,match($B8&amp;AX$2,Res_AllFuels_SEDS_2022_TBtus!$B$3:$B$53&amp;Res_AllFuels_SEDS_2022_TBtus!$A$3:$A$53,0))),0,(index(Res_AllFuels_SEDS_2022_TBtus!$D$3:$D$53,match($B8&amp;AX$2,Res_AllFuels_SEDS_2022_TBtus!$B$3:$B$53&amp;Res_AllFuels_SEDS_2022_TBtus!$A$3:$A$53,0))))</f>
        <v>0</v>
      </c>
      <c r="AY8" s="75">
        <f t="array" ref="AY8">IF(ISERROR(index(Res_AllFuels_SEDS_2022_TBtus!$D$3:$D$53,match($B8&amp;AY$2,Res_AllFuels_SEDS_2022_TBtus!$B$3:$B$53&amp;Res_AllFuels_SEDS_2022_TBtus!$A$3:$A$53,0))),0,(index(Res_AllFuels_SEDS_2022_TBtus!$D$3:$D$53,match($B8&amp;AY$2,Res_AllFuels_SEDS_2022_TBtus!$B$3:$B$53&amp;Res_AllFuels_SEDS_2022_TBtus!$A$3:$A$53,0))))</f>
        <v>0</v>
      </c>
      <c r="AZ8" s="75">
        <f t="array" ref="AZ8">IF(ISERROR(index(Res_AllFuels_SEDS_2022_TBtus!$D$3:$D$53,match($B8&amp;AZ$2,Res_AllFuels_SEDS_2022_TBtus!$B$3:$B$53&amp;Res_AllFuels_SEDS_2022_TBtus!$A$3:$A$53,0))),0,(index(Res_AllFuels_SEDS_2022_TBtus!$D$3:$D$53,match($B8&amp;AZ$2,Res_AllFuels_SEDS_2022_TBtus!$B$3:$B$53&amp;Res_AllFuels_SEDS_2022_TBtus!$A$3:$A$53,0))))</f>
        <v>0</v>
      </c>
      <c r="BA8" s="75">
        <f t="array" ref="BA8">IF(ISERROR(index(Res_AllFuels_SEDS_2022_TBtus!$D$3:$D$53,match($B8&amp;BA$2,Res_AllFuels_SEDS_2022_TBtus!$B$3:$B$53&amp;Res_AllFuels_SEDS_2022_TBtus!$A$3:$A$53,0))),0,(index(Res_AllFuels_SEDS_2022_TBtus!$D$3:$D$53,match($B8&amp;BA$2,Res_AllFuels_SEDS_2022_TBtus!$B$3:$B$53&amp;Res_AllFuels_SEDS_2022_TBtus!$A$3:$A$53,0))))</f>
        <v>0</v>
      </c>
      <c r="BB8" s="74">
        <f t="shared" si="1"/>
        <v>182.6</v>
      </c>
    </row>
    <row r="9" ht="15.75" customHeight="1">
      <c r="B9" s="74">
        <v>7.0</v>
      </c>
      <c r="C9" s="75">
        <f t="array" ref="C9">IF(ISERROR(index(Res_AllFuels_SEDS_2022_TBtus!$D$3:$D$53,match($B9&amp;C$2,Res_AllFuels_SEDS_2022_TBtus!$B$3:$B$53&amp;Res_AllFuels_SEDS_2022_TBtus!$A$3:$A$53,0))),0,(index(Res_AllFuels_SEDS_2022_TBtus!$D$3:$D$53,match($B9&amp;C$2,Res_AllFuels_SEDS_2022_TBtus!$B$3:$B$53&amp;Res_AllFuels_SEDS_2022_TBtus!$A$3:$A$53,0))))</f>
        <v>0</v>
      </c>
      <c r="D9" s="75">
        <f t="array" ref="D9">IF(ISERROR(index(Res_AllFuels_SEDS_2022_TBtus!$D$3:$D$53,match($B9&amp;D$2,Res_AllFuels_SEDS_2022_TBtus!$B$3:$B$53&amp;Res_AllFuels_SEDS_2022_TBtus!$A$3:$A$53,0))),0,(index(Res_AllFuels_SEDS_2022_TBtus!$D$3:$D$53,match($B9&amp;D$2,Res_AllFuels_SEDS_2022_TBtus!$B$3:$B$53&amp;Res_AllFuels_SEDS_2022_TBtus!$A$3:$A$53,0))))</f>
        <v>0</v>
      </c>
      <c r="E9" s="75">
        <f t="array" ref="E9">IF(ISERROR(index(Res_AllFuels_SEDS_2022_TBtus!$D$3:$D$53,match($B9&amp;E$2,Res_AllFuels_SEDS_2022_TBtus!$B$3:$B$53&amp;Res_AllFuels_SEDS_2022_TBtus!$A$3:$A$53,0))),0,(index(Res_AllFuels_SEDS_2022_TBtus!$D$3:$D$53,match($B9&amp;E$2,Res_AllFuels_SEDS_2022_TBtus!$B$3:$B$53&amp;Res_AllFuels_SEDS_2022_TBtus!$A$3:$A$53,0))))</f>
        <v>0</v>
      </c>
      <c r="F9" s="75">
        <f t="array" ref="F9">IF(ISERROR(index(Res_AllFuels_SEDS_2022_TBtus!$D$3:$D$53,match($B9&amp;F$2,Res_AllFuels_SEDS_2022_TBtus!$B$3:$B$53&amp;Res_AllFuels_SEDS_2022_TBtus!$A$3:$A$53,0))),0,(index(Res_AllFuels_SEDS_2022_TBtus!$D$3:$D$53,match($B9&amp;F$2,Res_AllFuels_SEDS_2022_TBtus!$B$3:$B$53&amp;Res_AllFuels_SEDS_2022_TBtus!$A$3:$A$53,0))))</f>
        <v>31.9</v>
      </c>
      <c r="G9" s="75">
        <f t="array" ref="G9">IF(ISERROR(index(Res_AllFuels_SEDS_2022_TBtus!$D$3:$D$53,match($B9&amp;G$2,Res_AllFuels_SEDS_2022_TBtus!$B$3:$B$53&amp;Res_AllFuels_SEDS_2022_TBtus!$A$3:$A$53,0))),0,(index(Res_AllFuels_SEDS_2022_TBtus!$D$3:$D$53,match($B9&amp;G$2,Res_AllFuels_SEDS_2022_TBtus!$B$3:$B$53&amp;Res_AllFuels_SEDS_2022_TBtus!$A$3:$A$53,0))))</f>
        <v>0</v>
      </c>
      <c r="H9" s="75">
        <f t="array" ref="H9">IF(ISERROR(index(Res_AllFuels_SEDS_2022_TBtus!$D$3:$D$53,match($B9&amp;H$2,Res_AllFuels_SEDS_2022_TBtus!$B$3:$B$53&amp;Res_AllFuels_SEDS_2022_TBtus!$A$3:$A$53,0))),0,(index(Res_AllFuels_SEDS_2022_TBtus!$D$3:$D$53,match($B9&amp;H$2,Res_AllFuels_SEDS_2022_TBtus!$B$3:$B$53&amp;Res_AllFuels_SEDS_2022_TBtus!$A$3:$A$53,0))))</f>
        <v>0</v>
      </c>
      <c r="I9" s="75">
        <f t="array" ref="I9">IF(ISERROR(index(Res_AllFuels_SEDS_2022_TBtus!$D$3:$D$53,match($B9&amp;I$2,Res_AllFuels_SEDS_2022_TBtus!$B$3:$B$53&amp;Res_AllFuels_SEDS_2022_TBtus!$A$3:$A$53,0))),0,(index(Res_AllFuels_SEDS_2022_TBtus!$D$3:$D$53,match($B9&amp;I$2,Res_AllFuels_SEDS_2022_TBtus!$B$3:$B$53&amp;Res_AllFuels_SEDS_2022_TBtus!$A$3:$A$53,0))))</f>
        <v>0</v>
      </c>
      <c r="J9" s="75">
        <f t="array" ref="J9">IF(ISERROR(index(Res_AllFuels_SEDS_2022_TBtus!$D$3:$D$53,match($B9&amp;J$2,Res_AllFuels_SEDS_2022_TBtus!$B$3:$B$53&amp;Res_AllFuels_SEDS_2022_TBtus!$A$3:$A$53,0))),0,(index(Res_AllFuels_SEDS_2022_TBtus!$D$3:$D$53,match($B9&amp;J$2,Res_AllFuels_SEDS_2022_TBtus!$B$3:$B$53&amp;Res_AllFuels_SEDS_2022_TBtus!$A$3:$A$53,0))))</f>
        <v>0</v>
      </c>
      <c r="K9" s="75">
        <f t="array" ref="K9">IF(ISERROR(index(Res_AllFuels_SEDS_2022_TBtus!$D$3:$D$53,match($B9&amp;K$2,Res_AllFuels_SEDS_2022_TBtus!$B$3:$B$53&amp;Res_AllFuels_SEDS_2022_TBtus!$A$3:$A$53,0))),0,(index(Res_AllFuels_SEDS_2022_TBtus!$D$3:$D$53,match($B9&amp;K$2,Res_AllFuels_SEDS_2022_TBtus!$B$3:$B$53&amp;Res_AllFuels_SEDS_2022_TBtus!$A$3:$A$53,0))))</f>
        <v>0</v>
      </c>
      <c r="L9" s="75">
        <f t="array" ref="L9">IF(ISERROR(index(Res_AllFuels_SEDS_2022_TBtus!$D$3:$D$53,match($B9&amp;L$2,Res_AllFuels_SEDS_2022_TBtus!$B$3:$B$53&amp;Res_AllFuels_SEDS_2022_TBtus!$A$3:$A$53,0))),0,(index(Res_AllFuels_SEDS_2022_TBtus!$D$3:$D$53,match($B9&amp;L$2,Res_AllFuels_SEDS_2022_TBtus!$B$3:$B$53&amp;Res_AllFuels_SEDS_2022_TBtus!$A$3:$A$53,0))))</f>
        <v>0</v>
      </c>
      <c r="M9" s="75">
        <f t="array" ref="M9">IF(ISERROR(index(Res_AllFuels_SEDS_2022_TBtus!$D$3:$D$53,match($B9&amp;M$2,Res_AllFuels_SEDS_2022_TBtus!$B$3:$B$53&amp;Res_AllFuels_SEDS_2022_TBtus!$A$3:$A$53,0))),0,(index(Res_AllFuels_SEDS_2022_TBtus!$D$3:$D$53,match($B9&amp;M$2,Res_AllFuels_SEDS_2022_TBtus!$B$3:$B$53&amp;Res_AllFuels_SEDS_2022_TBtus!$A$3:$A$53,0))))</f>
        <v>0</v>
      </c>
      <c r="N9" s="75">
        <f t="array" ref="N9">IF(ISERROR(index(Res_AllFuels_SEDS_2022_TBtus!$D$3:$D$53,match($B9&amp;N$2,Res_AllFuels_SEDS_2022_TBtus!$B$3:$B$53&amp;Res_AllFuels_SEDS_2022_TBtus!$A$3:$A$53,0))),0,(index(Res_AllFuels_SEDS_2022_TBtus!$D$3:$D$53,match($B9&amp;N$2,Res_AllFuels_SEDS_2022_TBtus!$B$3:$B$53&amp;Res_AllFuels_SEDS_2022_TBtus!$A$3:$A$53,0))))</f>
        <v>0</v>
      </c>
      <c r="O9" s="75">
        <f t="array" ref="O9">IF(ISERROR(index(Res_AllFuels_SEDS_2022_TBtus!$D$3:$D$53,match($B9&amp;O$2,Res_AllFuels_SEDS_2022_TBtus!$B$3:$B$53&amp;Res_AllFuels_SEDS_2022_TBtus!$A$3:$A$53,0))),0,(index(Res_AllFuels_SEDS_2022_TBtus!$D$3:$D$53,match($B9&amp;O$2,Res_AllFuels_SEDS_2022_TBtus!$B$3:$B$53&amp;Res_AllFuels_SEDS_2022_TBtus!$A$3:$A$53,0))))</f>
        <v>0</v>
      </c>
      <c r="P9" s="75">
        <f t="array" ref="P9">IF(ISERROR(index(Res_AllFuels_SEDS_2022_TBtus!$D$3:$D$53,match($B9&amp;P$2,Res_AllFuels_SEDS_2022_TBtus!$B$3:$B$53&amp;Res_AllFuels_SEDS_2022_TBtus!$A$3:$A$53,0))),0,(index(Res_AllFuels_SEDS_2022_TBtus!$D$3:$D$53,match($B9&amp;P$2,Res_AllFuels_SEDS_2022_TBtus!$B$3:$B$53&amp;Res_AllFuels_SEDS_2022_TBtus!$A$3:$A$53,0))))</f>
        <v>0</v>
      </c>
      <c r="Q9" s="75">
        <f t="array" ref="Q9">IF(ISERROR(index(Res_AllFuels_SEDS_2022_TBtus!$D$3:$D$53,match($B9&amp;Q$2,Res_AllFuels_SEDS_2022_TBtus!$B$3:$B$53&amp;Res_AllFuels_SEDS_2022_TBtus!$A$3:$A$53,0))),0,(index(Res_AllFuels_SEDS_2022_TBtus!$D$3:$D$53,match($B9&amp;Q$2,Res_AllFuels_SEDS_2022_TBtus!$B$3:$B$53&amp;Res_AllFuels_SEDS_2022_TBtus!$A$3:$A$53,0))))</f>
        <v>0</v>
      </c>
      <c r="R9" s="75">
        <f t="array" ref="R9">IF(ISERROR(index(Res_AllFuels_SEDS_2022_TBtus!$D$3:$D$53,match($B9&amp;R$2,Res_AllFuels_SEDS_2022_TBtus!$B$3:$B$53&amp;Res_AllFuels_SEDS_2022_TBtus!$A$3:$A$53,0))),0,(index(Res_AllFuels_SEDS_2022_TBtus!$D$3:$D$53,match($B9&amp;R$2,Res_AllFuels_SEDS_2022_TBtus!$B$3:$B$53&amp;Res_AllFuels_SEDS_2022_TBtus!$A$3:$A$53,0))))</f>
        <v>0</v>
      </c>
      <c r="S9" s="75">
        <f t="array" ref="S9">IF(ISERROR(index(Res_AllFuels_SEDS_2022_TBtus!$D$3:$D$53,match($B9&amp;S$2,Res_AllFuels_SEDS_2022_TBtus!$B$3:$B$53&amp;Res_AllFuels_SEDS_2022_TBtus!$A$3:$A$53,0))),0,(index(Res_AllFuels_SEDS_2022_TBtus!$D$3:$D$53,match($B9&amp;S$2,Res_AllFuels_SEDS_2022_TBtus!$B$3:$B$53&amp;Res_AllFuels_SEDS_2022_TBtus!$A$3:$A$53,0))))</f>
        <v>0</v>
      </c>
      <c r="T9" s="75">
        <f t="array" ref="T9">IF(ISERROR(index(Res_AllFuels_SEDS_2022_TBtus!$D$3:$D$53,match($B9&amp;T$2,Res_AllFuels_SEDS_2022_TBtus!$B$3:$B$53&amp;Res_AllFuels_SEDS_2022_TBtus!$A$3:$A$53,0))),0,(index(Res_AllFuels_SEDS_2022_TBtus!$D$3:$D$53,match($B9&amp;T$2,Res_AllFuels_SEDS_2022_TBtus!$B$3:$B$53&amp;Res_AllFuels_SEDS_2022_TBtus!$A$3:$A$53,0))))</f>
        <v>0</v>
      </c>
      <c r="U9" s="75">
        <f t="array" ref="U9">IF(ISERROR(index(Res_AllFuels_SEDS_2022_TBtus!$D$3:$D$53,match($B9&amp;U$2,Res_AllFuels_SEDS_2022_TBtus!$B$3:$B$53&amp;Res_AllFuels_SEDS_2022_TBtus!$A$3:$A$53,0))),0,(index(Res_AllFuels_SEDS_2022_TBtus!$D$3:$D$53,match($B9&amp;U$2,Res_AllFuels_SEDS_2022_TBtus!$B$3:$B$53&amp;Res_AllFuels_SEDS_2022_TBtus!$A$3:$A$53,0))))</f>
        <v>36.1</v>
      </c>
      <c r="V9" s="75">
        <f t="array" ref="V9">IF(ISERROR(index(Res_AllFuels_SEDS_2022_TBtus!$D$3:$D$53,match($B9&amp;V$2,Res_AllFuels_SEDS_2022_TBtus!$B$3:$B$53&amp;Res_AllFuels_SEDS_2022_TBtus!$A$3:$A$53,0))),0,(index(Res_AllFuels_SEDS_2022_TBtus!$D$3:$D$53,match($B9&amp;V$2,Res_AllFuels_SEDS_2022_TBtus!$B$3:$B$53&amp;Res_AllFuels_SEDS_2022_TBtus!$A$3:$A$53,0))))</f>
        <v>0</v>
      </c>
      <c r="W9" s="75">
        <f t="array" ref="W9">IF(ISERROR(index(Res_AllFuels_SEDS_2022_TBtus!$D$3:$D$53,match($B9&amp;W$2,Res_AllFuels_SEDS_2022_TBtus!$B$3:$B$53&amp;Res_AllFuels_SEDS_2022_TBtus!$A$3:$A$53,0))),0,(index(Res_AllFuels_SEDS_2022_TBtus!$D$3:$D$53,match($B9&amp;W$2,Res_AllFuels_SEDS_2022_TBtus!$B$3:$B$53&amp;Res_AllFuels_SEDS_2022_TBtus!$A$3:$A$53,0))))</f>
        <v>0</v>
      </c>
      <c r="X9" s="75">
        <f t="array" ref="X9">IF(ISERROR(index(Res_AllFuels_SEDS_2022_TBtus!$D$3:$D$53,match($B9&amp;X$2,Res_AllFuels_SEDS_2022_TBtus!$B$3:$B$53&amp;Res_AllFuels_SEDS_2022_TBtus!$A$3:$A$53,0))),0,(index(Res_AllFuels_SEDS_2022_TBtus!$D$3:$D$53,match($B9&amp;X$2,Res_AllFuels_SEDS_2022_TBtus!$B$3:$B$53&amp;Res_AllFuels_SEDS_2022_TBtus!$A$3:$A$53,0))))</f>
        <v>0</v>
      </c>
      <c r="Y9" s="75">
        <f t="array" ref="Y9">IF(ISERROR(index(Res_AllFuels_SEDS_2022_TBtus!$D$3:$D$53,match($B9&amp;Y$2,Res_AllFuels_SEDS_2022_TBtus!$B$3:$B$53&amp;Res_AllFuels_SEDS_2022_TBtus!$A$3:$A$53,0))),0,(index(Res_AllFuels_SEDS_2022_TBtus!$D$3:$D$53,match($B9&amp;Y$2,Res_AllFuels_SEDS_2022_TBtus!$B$3:$B$53&amp;Res_AllFuels_SEDS_2022_TBtus!$A$3:$A$53,0))))</f>
        <v>0</v>
      </c>
      <c r="Z9" s="75">
        <f t="array" ref="Z9">IF(ISERROR(index(Res_AllFuels_SEDS_2022_TBtus!$D$3:$D$53,match($B9&amp;Z$2,Res_AllFuels_SEDS_2022_TBtus!$B$3:$B$53&amp;Res_AllFuels_SEDS_2022_TBtus!$A$3:$A$53,0))),0,(index(Res_AllFuels_SEDS_2022_TBtus!$D$3:$D$53,match($B9&amp;Z$2,Res_AllFuels_SEDS_2022_TBtus!$B$3:$B$53&amp;Res_AllFuels_SEDS_2022_TBtus!$A$3:$A$53,0))))</f>
        <v>0</v>
      </c>
      <c r="AA9" s="75">
        <f t="array" ref="AA9">IF(ISERROR(index(Res_AllFuels_SEDS_2022_TBtus!$D$3:$D$53,match($B9&amp;AA$2,Res_AllFuels_SEDS_2022_TBtus!$B$3:$B$53&amp;Res_AllFuels_SEDS_2022_TBtus!$A$3:$A$53,0))),0,(index(Res_AllFuels_SEDS_2022_TBtus!$D$3:$D$53,match($B9&amp;AA$2,Res_AllFuels_SEDS_2022_TBtus!$B$3:$B$53&amp;Res_AllFuels_SEDS_2022_TBtus!$A$3:$A$53,0))))</f>
        <v>0</v>
      </c>
      <c r="AB9" s="75">
        <f t="array" ref="AB9">IF(ISERROR(index(Res_AllFuels_SEDS_2022_TBtus!$D$3:$D$53,match($B9&amp;AB$2,Res_AllFuels_SEDS_2022_TBtus!$B$3:$B$53&amp;Res_AllFuels_SEDS_2022_TBtus!$A$3:$A$53,0))),0,(index(Res_AllFuels_SEDS_2022_TBtus!$D$3:$D$53,match($B9&amp;AB$2,Res_AllFuels_SEDS_2022_TBtus!$B$3:$B$53&amp;Res_AllFuels_SEDS_2022_TBtus!$A$3:$A$53,0))))</f>
        <v>0</v>
      </c>
      <c r="AC9" s="75">
        <f t="array" ref="AC9">IF(ISERROR(index(Res_AllFuels_SEDS_2022_TBtus!$D$3:$D$53,match($B9&amp;AC$2,Res_AllFuels_SEDS_2022_TBtus!$B$3:$B$53&amp;Res_AllFuels_SEDS_2022_TBtus!$A$3:$A$53,0))),0,(index(Res_AllFuels_SEDS_2022_TBtus!$D$3:$D$53,match($B9&amp;AC$2,Res_AllFuels_SEDS_2022_TBtus!$B$3:$B$53&amp;Res_AllFuels_SEDS_2022_TBtus!$A$3:$A$53,0))))</f>
        <v>0</v>
      </c>
      <c r="AD9" s="75">
        <f t="array" ref="AD9">IF(ISERROR(index(Res_AllFuels_SEDS_2022_TBtus!$D$3:$D$53,match($B9&amp;AD$2,Res_AllFuels_SEDS_2022_TBtus!$B$3:$B$53&amp;Res_AllFuels_SEDS_2022_TBtus!$A$3:$A$53,0))),0,(index(Res_AllFuels_SEDS_2022_TBtus!$D$3:$D$53,match($B9&amp;AD$2,Res_AllFuels_SEDS_2022_TBtus!$B$3:$B$53&amp;Res_AllFuels_SEDS_2022_TBtus!$A$3:$A$53,0))))</f>
        <v>0</v>
      </c>
      <c r="AE9" s="75">
        <f t="array" ref="AE9">IF(ISERROR(index(Res_AllFuels_SEDS_2022_TBtus!$D$3:$D$53,match($B9&amp;AE$2,Res_AllFuels_SEDS_2022_TBtus!$B$3:$B$53&amp;Res_AllFuels_SEDS_2022_TBtus!$A$3:$A$53,0))),0,(index(Res_AllFuels_SEDS_2022_TBtus!$D$3:$D$53,match($B9&amp;AE$2,Res_AllFuels_SEDS_2022_TBtus!$B$3:$B$53&amp;Res_AllFuels_SEDS_2022_TBtus!$A$3:$A$53,0))))</f>
        <v>0</v>
      </c>
      <c r="AF9" s="75">
        <f t="array" ref="AF9">IF(ISERROR(index(Res_AllFuels_SEDS_2022_TBtus!$D$3:$D$53,match($B9&amp;AF$2,Res_AllFuels_SEDS_2022_TBtus!$B$3:$B$53&amp;Res_AllFuels_SEDS_2022_TBtus!$A$3:$A$53,0))),0,(index(Res_AllFuels_SEDS_2022_TBtus!$D$3:$D$53,match($B9&amp;AF$2,Res_AllFuels_SEDS_2022_TBtus!$B$3:$B$53&amp;Res_AllFuels_SEDS_2022_TBtus!$A$3:$A$53,0))))</f>
        <v>0</v>
      </c>
      <c r="AG9" s="75">
        <f t="array" ref="AG9">IF(ISERROR(index(Res_AllFuels_SEDS_2022_TBtus!$D$3:$D$53,match($B9&amp;AG$2,Res_AllFuels_SEDS_2022_TBtus!$B$3:$B$53&amp;Res_AllFuels_SEDS_2022_TBtus!$A$3:$A$53,0))),0,(index(Res_AllFuels_SEDS_2022_TBtus!$D$3:$D$53,match($B9&amp;AG$2,Res_AllFuels_SEDS_2022_TBtus!$B$3:$B$53&amp;Res_AllFuels_SEDS_2022_TBtus!$A$3:$A$53,0))))</f>
        <v>0</v>
      </c>
      <c r="AH9" s="75">
        <f t="array" ref="AH9">IF(ISERROR(index(Res_AllFuels_SEDS_2022_TBtus!$D$3:$D$53,match($B9&amp;AH$2,Res_AllFuels_SEDS_2022_TBtus!$B$3:$B$53&amp;Res_AllFuels_SEDS_2022_TBtus!$A$3:$A$53,0))),0,(index(Res_AllFuels_SEDS_2022_TBtus!$D$3:$D$53,match($B9&amp;AH$2,Res_AllFuels_SEDS_2022_TBtus!$B$3:$B$53&amp;Res_AllFuels_SEDS_2022_TBtus!$A$3:$A$53,0))))</f>
        <v>0</v>
      </c>
      <c r="AI9" s="75">
        <f t="array" ref="AI9">IF(ISERROR(index(Res_AllFuels_SEDS_2022_TBtus!$D$3:$D$53,match($B9&amp;AI$2,Res_AllFuels_SEDS_2022_TBtus!$B$3:$B$53&amp;Res_AllFuels_SEDS_2022_TBtus!$A$3:$A$53,0))),0,(index(Res_AllFuels_SEDS_2022_TBtus!$D$3:$D$53,match($B9&amp;AI$2,Res_AllFuels_SEDS_2022_TBtus!$B$3:$B$53&amp;Res_AllFuels_SEDS_2022_TBtus!$A$3:$A$53,0))))</f>
        <v>0</v>
      </c>
      <c r="AJ9" s="75">
        <f t="array" ref="AJ9">IF(ISERROR(index(Res_AllFuels_SEDS_2022_TBtus!$D$3:$D$53,match($B9&amp;AJ$2,Res_AllFuels_SEDS_2022_TBtus!$B$3:$B$53&amp;Res_AllFuels_SEDS_2022_TBtus!$A$3:$A$53,0))),0,(index(Res_AllFuels_SEDS_2022_TBtus!$D$3:$D$53,match($B9&amp;AJ$2,Res_AllFuels_SEDS_2022_TBtus!$B$3:$B$53&amp;Res_AllFuels_SEDS_2022_TBtus!$A$3:$A$53,0))))</f>
        <v>0</v>
      </c>
      <c r="AK9" s="75">
        <f t="array" ref="AK9">IF(ISERROR(index(Res_AllFuels_SEDS_2022_TBtus!$D$3:$D$53,match($B9&amp;AK$2,Res_AllFuels_SEDS_2022_TBtus!$B$3:$B$53&amp;Res_AllFuels_SEDS_2022_TBtus!$A$3:$A$53,0))),0,(index(Res_AllFuels_SEDS_2022_TBtus!$D$3:$D$53,match($B9&amp;AK$2,Res_AllFuels_SEDS_2022_TBtus!$B$3:$B$53&amp;Res_AllFuels_SEDS_2022_TBtus!$A$3:$A$53,0))))</f>
        <v>0</v>
      </c>
      <c r="AL9" s="75">
        <f t="array" ref="AL9">IF(ISERROR(index(Res_AllFuels_SEDS_2022_TBtus!$D$3:$D$53,match($B9&amp;AL$2,Res_AllFuels_SEDS_2022_TBtus!$B$3:$B$53&amp;Res_AllFuels_SEDS_2022_TBtus!$A$3:$A$53,0))),0,(index(Res_AllFuels_SEDS_2022_TBtus!$D$3:$D$53,match($B9&amp;AL$2,Res_AllFuels_SEDS_2022_TBtus!$B$3:$B$53&amp;Res_AllFuels_SEDS_2022_TBtus!$A$3:$A$53,0))))</f>
        <v>0</v>
      </c>
      <c r="AM9" s="75">
        <f t="array" ref="AM9">IF(ISERROR(index(Res_AllFuels_SEDS_2022_TBtus!$D$3:$D$53,match($B9&amp;AM$2,Res_AllFuels_SEDS_2022_TBtus!$B$3:$B$53&amp;Res_AllFuels_SEDS_2022_TBtus!$A$3:$A$53,0))),0,(index(Res_AllFuels_SEDS_2022_TBtus!$D$3:$D$53,match($B9&amp;AM$2,Res_AllFuels_SEDS_2022_TBtus!$B$3:$B$53&amp;Res_AllFuels_SEDS_2022_TBtus!$A$3:$A$53,0))))</f>
        <v>63.3</v>
      </c>
      <c r="AN9" s="75">
        <f t="array" ref="AN9">IF(ISERROR(index(Res_AllFuels_SEDS_2022_TBtus!$D$3:$D$53,match($B9&amp;AN$2,Res_AllFuels_SEDS_2022_TBtus!$B$3:$B$53&amp;Res_AllFuels_SEDS_2022_TBtus!$A$3:$A$53,0))),0,(index(Res_AllFuels_SEDS_2022_TBtus!$D$3:$D$53,match($B9&amp;AN$2,Res_AllFuels_SEDS_2022_TBtus!$B$3:$B$53&amp;Res_AllFuels_SEDS_2022_TBtus!$A$3:$A$53,0))))</f>
        <v>0</v>
      </c>
      <c r="AO9" s="75">
        <f t="array" ref="AO9">IF(ISERROR(index(Res_AllFuels_SEDS_2022_TBtus!$D$3:$D$53,match($B9&amp;AO$2,Res_AllFuels_SEDS_2022_TBtus!$B$3:$B$53&amp;Res_AllFuels_SEDS_2022_TBtus!$A$3:$A$53,0))),0,(index(Res_AllFuels_SEDS_2022_TBtus!$D$3:$D$53,match($B9&amp;AO$2,Res_AllFuels_SEDS_2022_TBtus!$B$3:$B$53&amp;Res_AllFuels_SEDS_2022_TBtus!$A$3:$A$53,0))))</f>
        <v>0</v>
      </c>
      <c r="AP9" s="75">
        <f t="array" ref="AP9">IF(ISERROR(index(Res_AllFuels_SEDS_2022_TBtus!$D$3:$D$53,match($B9&amp;AP$2,Res_AllFuels_SEDS_2022_TBtus!$B$3:$B$53&amp;Res_AllFuels_SEDS_2022_TBtus!$A$3:$A$53,0))),0,(index(Res_AllFuels_SEDS_2022_TBtus!$D$3:$D$53,match($B9&amp;AP$2,Res_AllFuels_SEDS_2022_TBtus!$B$3:$B$53&amp;Res_AllFuels_SEDS_2022_TBtus!$A$3:$A$53,0))))</f>
        <v>0</v>
      </c>
      <c r="AQ9" s="75">
        <f t="array" ref="AQ9">IF(ISERROR(index(Res_AllFuels_SEDS_2022_TBtus!$D$3:$D$53,match($B9&amp;AQ$2,Res_AllFuels_SEDS_2022_TBtus!$B$3:$B$53&amp;Res_AllFuels_SEDS_2022_TBtus!$A$3:$A$53,0))),0,(index(Res_AllFuels_SEDS_2022_TBtus!$D$3:$D$53,match($B9&amp;AQ$2,Res_AllFuels_SEDS_2022_TBtus!$B$3:$B$53&amp;Res_AllFuels_SEDS_2022_TBtus!$A$3:$A$53,0))))</f>
        <v>0</v>
      </c>
      <c r="AR9" s="75">
        <f t="array" ref="AR9">IF(ISERROR(index(Res_AllFuels_SEDS_2022_TBtus!$D$3:$D$53,match($B9&amp;AR$2,Res_AllFuels_SEDS_2022_TBtus!$B$3:$B$53&amp;Res_AllFuels_SEDS_2022_TBtus!$A$3:$A$53,0))),0,(index(Res_AllFuels_SEDS_2022_TBtus!$D$3:$D$53,match($B9&amp;AR$2,Res_AllFuels_SEDS_2022_TBtus!$B$3:$B$53&amp;Res_AllFuels_SEDS_2022_TBtus!$A$3:$A$53,0))))</f>
        <v>0</v>
      </c>
      <c r="AS9" s="75">
        <f t="array" ref="AS9">IF(ISERROR(index(Res_AllFuels_SEDS_2022_TBtus!$D$3:$D$53,match($B9&amp;AS$2,Res_AllFuels_SEDS_2022_TBtus!$B$3:$B$53&amp;Res_AllFuels_SEDS_2022_TBtus!$A$3:$A$53,0))),0,(index(Res_AllFuels_SEDS_2022_TBtus!$D$3:$D$53,match($B9&amp;AS$2,Res_AllFuels_SEDS_2022_TBtus!$B$3:$B$53&amp;Res_AllFuels_SEDS_2022_TBtus!$A$3:$A$53,0))))</f>
        <v>0</v>
      </c>
      <c r="AT9" s="75">
        <f t="array" ref="AT9">IF(ISERROR(index(Res_AllFuels_SEDS_2022_TBtus!$D$3:$D$53,match($B9&amp;AT$2,Res_AllFuels_SEDS_2022_TBtus!$B$3:$B$53&amp;Res_AllFuels_SEDS_2022_TBtus!$A$3:$A$53,0))),0,(index(Res_AllFuels_SEDS_2022_TBtus!$D$3:$D$53,match($B9&amp;AT$2,Res_AllFuels_SEDS_2022_TBtus!$B$3:$B$53&amp;Res_AllFuels_SEDS_2022_TBtus!$A$3:$A$53,0))))</f>
        <v>237.1</v>
      </c>
      <c r="AU9" s="75">
        <f t="array" ref="AU9">IF(ISERROR(index(Res_AllFuels_SEDS_2022_TBtus!$D$3:$D$53,match($B9&amp;AU$2,Res_AllFuels_SEDS_2022_TBtus!$B$3:$B$53&amp;Res_AllFuels_SEDS_2022_TBtus!$A$3:$A$53,0))),0,(index(Res_AllFuels_SEDS_2022_TBtus!$D$3:$D$53,match($B9&amp;AU$2,Res_AllFuels_SEDS_2022_TBtus!$B$3:$B$53&amp;Res_AllFuels_SEDS_2022_TBtus!$A$3:$A$53,0))))</f>
        <v>0</v>
      </c>
      <c r="AV9" s="75">
        <f t="array" ref="AV9">IF(ISERROR(index(Res_AllFuels_SEDS_2022_TBtus!$D$3:$D$53,match($B9&amp;AV$2,Res_AllFuels_SEDS_2022_TBtus!$B$3:$B$53&amp;Res_AllFuels_SEDS_2022_TBtus!$A$3:$A$53,0))),0,(index(Res_AllFuels_SEDS_2022_TBtus!$D$3:$D$53,match($B9&amp;AV$2,Res_AllFuels_SEDS_2022_TBtus!$B$3:$B$53&amp;Res_AllFuels_SEDS_2022_TBtus!$A$3:$A$53,0))))</f>
        <v>0</v>
      </c>
      <c r="AW9" s="75">
        <f t="array" ref="AW9">IF(ISERROR(index(Res_AllFuels_SEDS_2022_TBtus!$D$3:$D$53,match($B9&amp;AW$2,Res_AllFuels_SEDS_2022_TBtus!$B$3:$B$53&amp;Res_AllFuels_SEDS_2022_TBtus!$A$3:$A$53,0))),0,(index(Res_AllFuels_SEDS_2022_TBtus!$D$3:$D$53,match($B9&amp;AW$2,Res_AllFuels_SEDS_2022_TBtus!$B$3:$B$53&amp;Res_AllFuels_SEDS_2022_TBtus!$A$3:$A$53,0))))</f>
        <v>0</v>
      </c>
      <c r="AX9" s="75">
        <f t="array" ref="AX9">IF(ISERROR(index(Res_AllFuels_SEDS_2022_TBtus!$D$3:$D$53,match($B9&amp;AX$2,Res_AllFuels_SEDS_2022_TBtus!$B$3:$B$53&amp;Res_AllFuels_SEDS_2022_TBtus!$A$3:$A$53,0))),0,(index(Res_AllFuels_SEDS_2022_TBtus!$D$3:$D$53,match($B9&amp;AX$2,Res_AllFuels_SEDS_2022_TBtus!$B$3:$B$53&amp;Res_AllFuels_SEDS_2022_TBtus!$A$3:$A$53,0))))</f>
        <v>0</v>
      </c>
      <c r="AY9" s="75">
        <f t="array" ref="AY9">IF(ISERROR(index(Res_AllFuels_SEDS_2022_TBtus!$D$3:$D$53,match($B9&amp;AY$2,Res_AllFuels_SEDS_2022_TBtus!$B$3:$B$53&amp;Res_AllFuels_SEDS_2022_TBtus!$A$3:$A$53,0))),0,(index(Res_AllFuels_SEDS_2022_TBtus!$D$3:$D$53,match($B9&amp;AY$2,Res_AllFuels_SEDS_2022_TBtus!$B$3:$B$53&amp;Res_AllFuels_SEDS_2022_TBtus!$A$3:$A$53,0))))</f>
        <v>0</v>
      </c>
      <c r="AZ9" s="75">
        <f t="array" ref="AZ9">IF(ISERROR(index(Res_AllFuels_SEDS_2022_TBtus!$D$3:$D$53,match($B9&amp;AZ$2,Res_AllFuels_SEDS_2022_TBtus!$B$3:$B$53&amp;Res_AllFuels_SEDS_2022_TBtus!$A$3:$A$53,0))),0,(index(Res_AllFuels_SEDS_2022_TBtus!$D$3:$D$53,match($B9&amp;AZ$2,Res_AllFuels_SEDS_2022_TBtus!$B$3:$B$53&amp;Res_AllFuels_SEDS_2022_TBtus!$A$3:$A$53,0))))</f>
        <v>0</v>
      </c>
      <c r="BA9" s="75">
        <f t="array" ref="BA9">IF(ISERROR(index(Res_AllFuels_SEDS_2022_TBtus!$D$3:$D$53,match($B9&amp;BA$2,Res_AllFuels_SEDS_2022_TBtus!$B$3:$B$53&amp;Res_AllFuels_SEDS_2022_TBtus!$A$3:$A$53,0))),0,(index(Res_AllFuels_SEDS_2022_TBtus!$D$3:$D$53,match($B9&amp;BA$2,Res_AllFuels_SEDS_2022_TBtus!$B$3:$B$53&amp;Res_AllFuels_SEDS_2022_TBtus!$A$3:$A$53,0))))</f>
        <v>0</v>
      </c>
      <c r="BB9" s="74">
        <f t="shared" si="1"/>
        <v>368.4</v>
      </c>
    </row>
    <row r="10" ht="15.75" customHeight="1">
      <c r="B10" s="74">
        <v>8.0</v>
      </c>
      <c r="C10" s="75">
        <f t="array" ref="C10">IF(ISERROR(index(Res_AllFuels_SEDS_2022_TBtus!$D$3:$D$53,match($B10&amp;C$2,Res_AllFuels_SEDS_2022_TBtus!$B$3:$B$53&amp;Res_AllFuels_SEDS_2022_TBtus!$A$3:$A$53,0))),0,(index(Res_AllFuels_SEDS_2022_TBtus!$D$3:$D$53,match($B10&amp;C$2,Res_AllFuels_SEDS_2022_TBtus!$B$3:$B$53&amp;Res_AllFuels_SEDS_2022_TBtus!$A$3:$A$53,0))))</f>
        <v>0</v>
      </c>
      <c r="D10" s="75">
        <f t="array" ref="D10">IF(ISERROR(index(Res_AllFuels_SEDS_2022_TBtus!$D$3:$D$53,match($B10&amp;D$2,Res_AllFuels_SEDS_2022_TBtus!$B$3:$B$53&amp;Res_AllFuels_SEDS_2022_TBtus!$A$3:$A$53,0))),0,(index(Res_AllFuels_SEDS_2022_TBtus!$D$3:$D$53,match($B10&amp;D$2,Res_AllFuels_SEDS_2022_TBtus!$B$3:$B$53&amp;Res_AllFuels_SEDS_2022_TBtus!$A$3:$A$53,0))))</f>
        <v>0</v>
      </c>
      <c r="E10" s="75">
        <f t="array" ref="E10">IF(ISERROR(index(Res_AllFuels_SEDS_2022_TBtus!$D$3:$D$53,match($B10&amp;E$2,Res_AllFuels_SEDS_2022_TBtus!$B$3:$B$53&amp;Res_AllFuels_SEDS_2022_TBtus!$A$3:$A$53,0))),0,(index(Res_AllFuels_SEDS_2022_TBtus!$D$3:$D$53,match($B10&amp;E$2,Res_AllFuels_SEDS_2022_TBtus!$B$3:$B$53&amp;Res_AllFuels_SEDS_2022_TBtus!$A$3:$A$53,0))))</f>
        <v>43.5</v>
      </c>
      <c r="F10" s="75">
        <f t="array" ref="F10">IF(ISERROR(index(Res_AllFuels_SEDS_2022_TBtus!$D$3:$D$53,match($B10&amp;F$2,Res_AllFuels_SEDS_2022_TBtus!$B$3:$B$53&amp;Res_AllFuels_SEDS_2022_TBtus!$A$3:$A$53,0))),0,(index(Res_AllFuels_SEDS_2022_TBtus!$D$3:$D$53,match($B10&amp;F$2,Res_AllFuels_SEDS_2022_TBtus!$B$3:$B$53&amp;Res_AllFuels_SEDS_2022_TBtus!$A$3:$A$53,0))))</f>
        <v>0</v>
      </c>
      <c r="G10" s="75">
        <f t="array" ref="G10">IF(ISERROR(index(Res_AllFuels_SEDS_2022_TBtus!$D$3:$D$53,match($B10&amp;G$2,Res_AllFuels_SEDS_2022_TBtus!$B$3:$B$53&amp;Res_AllFuels_SEDS_2022_TBtus!$A$3:$A$53,0))),0,(index(Res_AllFuels_SEDS_2022_TBtus!$D$3:$D$53,match($B10&amp;G$2,Res_AllFuels_SEDS_2022_TBtus!$B$3:$B$53&amp;Res_AllFuels_SEDS_2022_TBtus!$A$3:$A$53,0))))</f>
        <v>0</v>
      </c>
      <c r="H10" s="75">
        <f t="array" ref="H10">IF(ISERROR(index(Res_AllFuels_SEDS_2022_TBtus!$D$3:$D$53,match($B10&amp;H$2,Res_AllFuels_SEDS_2022_TBtus!$B$3:$B$53&amp;Res_AllFuels_SEDS_2022_TBtus!$A$3:$A$53,0))),0,(index(Res_AllFuels_SEDS_2022_TBtus!$D$3:$D$53,match($B10&amp;H$2,Res_AllFuels_SEDS_2022_TBtus!$B$3:$B$53&amp;Res_AllFuels_SEDS_2022_TBtus!$A$3:$A$53,0))))</f>
        <v>148.9</v>
      </c>
      <c r="I10" s="75">
        <f t="array" ref="I10">IF(ISERROR(index(Res_AllFuels_SEDS_2022_TBtus!$D$3:$D$53,match($B10&amp;I$2,Res_AllFuels_SEDS_2022_TBtus!$B$3:$B$53&amp;Res_AllFuels_SEDS_2022_TBtus!$A$3:$A$53,0))),0,(index(Res_AllFuels_SEDS_2022_TBtus!$D$3:$D$53,match($B10&amp;I$2,Res_AllFuels_SEDS_2022_TBtus!$B$3:$B$53&amp;Res_AllFuels_SEDS_2022_TBtus!$A$3:$A$53,0))))</f>
        <v>0</v>
      </c>
      <c r="J10" s="75">
        <f t="array" ref="J10">IF(ISERROR(index(Res_AllFuels_SEDS_2022_TBtus!$D$3:$D$53,match($B10&amp;J$2,Res_AllFuels_SEDS_2022_TBtus!$B$3:$B$53&amp;Res_AllFuels_SEDS_2022_TBtus!$A$3:$A$53,0))),0,(index(Res_AllFuels_SEDS_2022_TBtus!$D$3:$D$53,match($B10&amp;J$2,Res_AllFuels_SEDS_2022_TBtus!$B$3:$B$53&amp;Res_AllFuels_SEDS_2022_TBtus!$A$3:$A$53,0))))</f>
        <v>0</v>
      </c>
      <c r="K10" s="75">
        <f t="array" ref="K10">IF(ISERROR(index(Res_AllFuels_SEDS_2022_TBtus!$D$3:$D$53,match($B10&amp;K$2,Res_AllFuels_SEDS_2022_TBtus!$B$3:$B$53&amp;Res_AllFuels_SEDS_2022_TBtus!$A$3:$A$53,0))),0,(index(Res_AllFuels_SEDS_2022_TBtus!$D$3:$D$53,match($B10&amp;K$2,Res_AllFuels_SEDS_2022_TBtus!$B$3:$B$53&amp;Res_AllFuels_SEDS_2022_TBtus!$A$3:$A$53,0))))</f>
        <v>0</v>
      </c>
      <c r="L10" s="75">
        <f t="array" ref="L10">IF(ISERROR(index(Res_AllFuels_SEDS_2022_TBtus!$D$3:$D$53,match($B10&amp;L$2,Res_AllFuels_SEDS_2022_TBtus!$B$3:$B$53&amp;Res_AllFuels_SEDS_2022_TBtus!$A$3:$A$53,0))),0,(index(Res_AllFuels_SEDS_2022_TBtus!$D$3:$D$53,match($B10&amp;L$2,Res_AllFuels_SEDS_2022_TBtus!$B$3:$B$53&amp;Res_AllFuels_SEDS_2022_TBtus!$A$3:$A$53,0))))</f>
        <v>0</v>
      </c>
      <c r="M10" s="75">
        <f t="array" ref="M10">IF(ISERROR(index(Res_AllFuels_SEDS_2022_TBtus!$D$3:$D$53,match($B10&amp;M$2,Res_AllFuels_SEDS_2022_TBtus!$B$3:$B$53&amp;Res_AllFuels_SEDS_2022_TBtus!$A$3:$A$53,0))),0,(index(Res_AllFuels_SEDS_2022_TBtus!$D$3:$D$53,match($B10&amp;M$2,Res_AllFuels_SEDS_2022_TBtus!$B$3:$B$53&amp;Res_AllFuels_SEDS_2022_TBtus!$A$3:$A$53,0))))</f>
        <v>0</v>
      </c>
      <c r="N10" s="75">
        <f t="array" ref="N10">IF(ISERROR(index(Res_AllFuels_SEDS_2022_TBtus!$D$3:$D$53,match($B10&amp;N$2,Res_AllFuels_SEDS_2022_TBtus!$B$3:$B$53&amp;Res_AllFuels_SEDS_2022_TBtus!$A$3:$A$53,0))),0,(index(Res_AllFuels_SEDS_2022_TBtus!$D$3:$D$53,match($B10&amp;N$2,Res_AllFuels_SEDS_2022_TBtus!$B$3:$B$53&amp;Res_AllFuels_SEDS_2022_TBtus!$A$3:$A$53,0))))</f>
        <v>0</v>
      </c>
      <c r="O10" s="75">
        <f t="array" ref="O10">IF(ISERROR(index(Res_AllFuels_SEDS_2022_TBtus!$D$3:$D$53,match($B10&amp;O$2,Res_AllFuels_SEDS_2022_TBtus!$B$3:$B$53&amp;Res_AllFuels_SEDS_2022_TBtus!$A$3:$A$53,0))),0,(index(Res_AllFuels_SEDS_2022_TBtus!$D$3:$D$53,match($B10&amp;O$2,Res_AllFuels_SEDS_2022_TBtus!$B$3:$B$53&amp;Res_AllFuels_SEDS_2022_TBtus!$A$3:$A$53,0))))</f>
        <v>36.9</v>
      </c>
      <c r="P10" s="75">
        <f t="array" ref="P10">IF(ISERROR(index(Res_AllFuels_SEDS_2022_TBtus!$D$3:$D$53,match($B10&amp;P$2,Res_AllFuels_SEDS_2022_TBtus!$B$3:$B$53&amp;Res_AllFuels_SEDS_2022_TBtus!$A$3:$A$53,0))),0,(index(Res_AllFuels_SEDS_2022_TBtus!$D$3:$D$53,match($B10&amp;P$2,Res_AllFuels_SEDS_2022_TBtus!$B$3:$B$53&amp;Res_AllFuels_SEDS_2022_TBtus!$A$3:$A$53,0))))</f>
        <v>0</v>
      </c>
      <c r="Q10" s="75">
        <f t="array" ref="Q10">IF(ISERROR(index(Res_AllFuels_SEDS_2022_TBtus!$D$3:$D$53,match($B10&amp;Q$2,Res_AllFuels_SEDS_2022_TBtus!$B$3:$B$53&amp;Res_AllFuels_SEDS_2022_TBtus!$A$3:$A$53,0))),0,(index(Res_AllFuels_SEDS_2022_TBtus!$D$3:$D$53,match($B10&amp;Q$2,Res_AllFuels_SEDS_2022_TBtus!$B$3:$B$53&amp;Res_AllFuels_SEDS_2022_TBtus!$A$3:$A$53,0))))</f>
        <v>0</v>
      </c>
      <c r="R10" s="75">
        <f t="array" ref="R10">IF(ISERROR(index(Res_AllFuels_SEDS_2022_TBtus!$D$3:$D$53,match($B10&amp;R$2,Res_AllFuels_SEDS_2022_TBtus!$B$3:$B$53&amp;Res_AllFuels_SEDS_2022_TBtus!$A$3:$A$53,0))),0,(index(Res_AllFuels_SEDS_2022_TBtus!$D$3:$D$53,match($B10&amp;R$2,Res_AllFuels_SEDS_2022_TBtus!$B$3:$B$53&amp;Res_AllFuels_SEDS_2022_TBtus!$A$3:$A$53,0))))</f>
        <v>0</v>
      </c>
      <c r="S10" s="75">
        <f t="array" ref="S10">IF(ISERROR(index(Res_AllFuels_SEDS_2022_TBtus!$D$3:$D$53,match($B10&amp;S$2,Res_AllFuels_SEDS_2022_TBtus!$B$3:$B$53&amp;Res_AllFuels_SEDS_2022_TBtus!$A$3:$A$53,0))),0,(index(Res_AllFuels_SEDS_2022_TBtus!$D$3:$D$53,match($B10&amp;S$2,Res_AllFuels_SEDS_2022_TBtus!$B$3:$B$53&amp;Res_AllFuels_SEDS_2022_TBtus!$A$3:$A$53,0))))</f>
        <v>0</v>
      </c>
      <c r="T10" s="75">
        <f t="array" ref="T10">IF(ISERROR(index(Res_AllFuels_SEDS_2022_TBtus!$D$3:$D$53,match($B10&amp;T$2,Res_AllFuels_SEDS_2022_TBtus!$B$3:$B$53&amp;Res_AllFuels_SEDS_2022_TBtus!$A$3:$A$53,0))),0,(index(Res_AllFuels_SEDS_2022_TBtus!$D$3:$D$53,match($B10&amp;T$2,Res_AllFuels_SEDS_2022_TBtus!$B$3:$B$53&amp;Res_AllFuels_SEDS_2022_TBtus!$A$3:$A$53,0))))</f>
        <v>0</v>
      </c>
      <c r="U10" s="75">
        <f t="array" ref="U10">IF(ISERROR(index(Res_AllFuels_SEDS_2022_TBtus!$D$3:$D$53,match($B10&amp;U$2,Res_AllFuels_SEDS_2022_TBtus!$B$3:$B$53&amp;Res_AllFuels_SEDS_2022_TBtus!$A$3:$A$53,0))),0,(index(Res_AllFuels_SEDS_2022_TBtus!$D$3:$D$53,match($B10&amp;U$2,Res_AllFuels_SEDS_2022_TBtus!$B$3:$B$53&amp;Res_AllFuels_SEDS_2022_TBtus!$A$3:$A$53,0))))</f>
        <v>0</v>
      </c>
      <c r="V10" s="75">
        <f t="array" ref="V10">IF(ISERROR(index(Res_AllFuels_SEDS_2022_TBtus!$D$3:$D$53,match($B10&amp;V$2,Res_AllFuels_SEDS_2022_TBtus!$B$3:$B$53&amp;Res_AllFuels_SEDS_2022_TBtus!$A$3:$A$53,0))),0,(index(Res_AllFuels_SEDS_2022_TBtus!$D$3:$D$53,match($B10&amp;V$2,Res_AllFuels_SEDS_2022_TBtus!$B$3:$B$53&amp;Res_AllFuels_SEDS_2022_TBtus!$A$3:$A$53,0))))</f>
        <v>0</v>
      </c>
      <c r="W10" s="75">
        <f t="array" ref="W10">IF(ISERROR(index(Res_AllFuels_SEDS_2022_TBtus!$D$3:$D$53,match($B10&amp;W$2,Res_AllFuels_SEDS_2022_TBtus!$B$3:$B$53&amp;Res_AllFuels_SEDS_2022_TBtus!$A$3:$A$53,0))),0,(index(Res_AllFuels_SEDS_2022_TBtus!$D$3:$D$53,match($B10&amp;W$2,Res_AllFuels_SEDS_2022_TBtus!$B$3:$B$53&amp;Res_AllFuels_SEDS_2022_TBtus!$A$3:$A$53,0))))</f>
        <v>0</v>
      </c>
      <c r="X10" s="75">
        <f t="array" ref="X10">IF(ISERROR(index(Res_AllFuels_SEDS_2022_TBtus!$D$3:$D$53,match($B10&amp;X$2,Res_AllFuels_SEDS_2022_TBtus!$B$3:$B$53&amp;Res_AllFuels_SEDS_2022_TBtus!$A$3:$A$53,0))),0,(index(Res_AllFuels_SEDS_2022_TBtus!$D$3:$D$53,match($B10&amp;X$2,Res_AllFuels_SEDS_2022_TBtus!$B$3:$B$53&amp;Res_AllFuels_SEDS_2022_TBtus!$A$3:$A$53,0))))</f>
        <v>0</v>
      </c>
      <c r="Y10" s="75">
        <f t="array" ref="Y10">IF(ISERROR(index(Res_AllFuels_SEDS_2022_TBtus!$D$3:$D$53,match($B10&amp;Y$2,Res_AllFuels_SEDS_2022_TBtus!$B$3:$B$53&amp;Res_AllFuels_SEDS_2022_TBtus!$A$3:$A$53,0))),0,(index(Res_AllFuels_SEDS_2022_TBtus!$D$3:$D$53,match($B10&amp;Y$2,Res_AllFuels_SEDS_2022_TBtus!$B$3:$B$53&amp;Res_AllFuels_SEDS_2022_TBtus!$A$3:$A$53,0))))</f>
        <v>0</v>
      </c>
      <c r="Z10" s="75">
        <f t="array" ref="Z10">IF(ISERROR(index(Res_AllFuels_SEDS_2022_TBtus!$D$3:$D$53,match($B10&amp;Z$2,Res_AllFuels_SEDS_2022_TBtus!$B$3:$B$53&amp;Res_AllFuels_SEDS_2022_TBtus!$A$3:$A$53,0))),0,(index(Res_AllFuels_SEDS_2022_TBtus!$D$3:$D$53,match($B10&amp;Z$2,Res_AllFuels_SEDS_2022_TBtus!$B$3:$B$53&amp;Res_AllFuels_SEDS_2022_TBtus!$A$3:$A$53,0))))</f>
        <v>0</v>
      </c>
      <c r="AA10" s="75">
        <f t="array" ref="AA10">IF(ISERROR(index(Res_AllFuels_SEDS_2022_TBtus!$D$3:$D$53,match($B10&amp;AA$2,Res_AllFuels_SEDS_2022_TBtus!$B$3:$B$53&amp;Res_AllFuels_SEDS_2022_TBtus!$A$3:$A$53,0))),0,(index(Res_AllFuels_SEDS_2022_TBtus!$D$3:$D$53,match($B10&amp;AA$2,Res_AllFuels_SEDS_2022_TBtus!$B$3:$B$53&amp;Res_AllFuels_SEDS_2022_TBtus!$A$3:$A$53,0))))</f>
        <v>0</v>
      </c>
      <c r="AB10" s="75">
        <f t="array" ref="AB10">IF(ISERROR(index(Res_AllFuels_SEDS_2022_TBtus!$D$3:$D$53,match($B10&amp;AB$2,Res_AllFuels_SEDS_2022_TBtus!$B$3:$B$53&amp;Res_AllFuels_SEDS_2022_TBtus!$A$3:$A$53,0))),0,(index(Res_AllFuels_SEDS_2022_TBtus!$D$3:$D$53,match($B10&amp;AB$2,Res_AllFuels_SEDS_2022_TBtus!$B$3:$B$53&amp;Res_AllFuels_SEDS_2022_TBtus!$A$3:$A$53,0))))</f>
        <v>0</v>
      </c>
      <c r="AC10" s="75">
        <f t="array" ref="AC10">IF(ISERROR(index(Res_AllFuels_SEDS_2022_TBtus!$D$3:$D$53,match($B10&amp;AC$2,Res_AllFuels_SEDS_2022_TBtus!$B$3:$B$53&amp;Res_AllFuels_SEDS_2022_TBtus!$A$3:$A$53,0))),0,(index(Res_AllFuels_SEDS_2022_TBtus!$D$3:$D$53,match($B10&amp;AC$2,Res_AllFuels_SEDS_2022_TBtus!$B$3:$B$53&amp;Res_AllFuels_SEDS_2022_TBtus!$A$3:$A$53,0))))</f>
        <v>24.5</v>
      </c>
      <c r="AD10" s="75">
        <f t="array" ref="AD10">IF(ISERROR(index(Res_AllFuels_SEDS_2022_TBtus!$D$3:$D$53,match($B10&amp;AD$2,Res_AllFuels_SEDS_2022_TBtus!$B$3:$B$53&amp;Res_AllFuels_SEDS_2022_TBtus!$A$3:$A$53,0))),0,(index(Res_AllFuels_SEDS_2022_TBtus!$D$3:$D$53,match($B10&amp;AD$2,Res_AllFuels_SEDS_2022_TBtus!$B$3:$B$53&amp;Res_AllFuels_SEDS_2022_TBtus!$A$3:$A$53,0))))</f>
        <v>0</v>
      </c>
      <c r="AE10" s="75">
        <f t="array" ref="AE10">IF(ISERROR(index(Res_AllFuels_SEDS_2022_TBtus!$D$3:$D$53,match($B10&amp;AE$2,Res_AllFuels_SEDS_2022_TBtus!$B$3:$B$53&amp;Res_AllFuels_SEDS_2022_TBtus!$A$3:$A$53,0))),0,(index(Res_AllFuels_SEDS_2022_TBtus!$D$3:$D$53,match($B10&amp;AE$2,Res_AllFuels_SEDS_2022_TBtus!$B$3:$B$53&amp;Res_AllFuels_SEDS_2022_TBtus!$A$3:$A$53,0))))</f>
        <v>49.1</v>
      </c>
      <c r="AF10" s="75">
        <f t="array" ref="AF10">IF(ISERROR(index(Res_AllFuels_SEDS_2022_TBtus!$D$3:$D$53,match($B10&amp;AF$2,Res_AllFuels_SEDS_2022_TBtus!$B$3:$B$53&amp;Res_AllFuels_SEDS_2022_TBtus!$A$3:$A$53,0))),0,(index(Res_AllFuels_SEDS_2022_TBtus!$D$3:$D$53,match($B10&amp;AF$2,Res_AllFuels_SEDS_2022_TBtus!$B$3:$B$53&amp;Res_AllFuels_SEDS_2022_TBtus!$A$3:$A$53,0))))</f>
        <v>0</v>
      </c>
      <c r="AG10" s="75">
        <f t="array" ref="AG10">IF(ISERROR(index(Res_AllFuels_SEDS_2022_TBtus!$D$3:$D$53,match($B10&amp;AG$2,Res_AllFuels_SEDS_2022_TBtus!$B$3:$B$53&amp;Res_AllFuels_SEDS_2022_TBtus!$A$3:$A$53,0))),0,(index(Res_AllFuels_SEDS_2022_TBtus!$D$3:$D$53,match($B10&amp;AG$2,Res_AllFuels_SEDS_2022_TBtus!$B$3:$B$53&amp;Res_AllFuels_SEDS_2022_TBtus!$A$3:$A$53,0))))</f>
        <v>0</v>
      </c>
      <c r="AH10" s="75">
        <f t="array" ref="AH10">IF(ISERROR(index(Res_AllFuels_SEDS_2022_TBtus!$D$3:$D$53,match($B10&amp;AH$2,Res_AllFuels_SEDS_2022_TBtus!$B$3:$B$53&amp;Res_AllFuels_SEDS_2022_TBtus!$A$3:$A$53,0))),0,(index(Res_AllFuels_SEDS_2022_TBtus!$D$3:$D$53,match($B10&amp;AH$2,Res_AllFuels_SEDS_2022_TBtus!$B$3:$B$53&amp;Res_AllFuels_SEDS_2022_TBtus!$A$3:$A$53,0))))</f>
        <v>37.8</v>
      </c>
      <c r="AI10" s="75">
        <f t="array" ref="AI10">IF(ISERROR(index(Res_AllFuels_SEDS_2022_TBtus!$D$3:$D$53,match($B10&amp;AI$2,Res_AllFuels_SEDS_2022_TBtus!$B$3:$B$53&amp;Res_AllFuels_SEDS_2022_TBtus!$A$3:$A$53,0))),0,(index(Res_AllFuels_SEDS_2022_TBtus!$D$3:$D$53,match($B10&amp;AI$2,Res_AllFuels_SEDS_2022_TBtus!$B$3:$B$53&amp;Res_AllFuels_SEDS_2022_TBtus!$A$3:$A$53,0))))</f>
        <v>0</v>
      </c>
      <c r="AJ10" s="75">
        <f t="array" ref="AJ10">IF(ISERROR(index(Res_AllFuels_SEDS_2022_TBtus!$D$3:$D$53,match($B10&amp;AJ$2,Res_AllFuels_SEDS_2022_TBtus!$B$3:$B$53&amp;Res_AllFuels_SEDS_2022_TBtus!$A$3:$A$53,0))),0,(index(Res_AllFuels_SEDS_2022_TBtus!$D$3:$D$53,match($B10&amp;AJ$2,Res_AllFuels_SEDS_2022_TBtus!$B$3:$B$53&amp;Res_AllFuels_SEDS_2022_TBtus!$A$3:$A$53,0))))</f>
        <v>0</v>
      </c>
      <c r="AK10" s="75">
        <f t="array" ref="AK10">IF(ISERROR(index(Res_AllFuels_SEDS_2022_TBtus!$D$3:$D$53,match($B10&amp;AK$2,Res_AllFuels_SEDS_2022_TBtus!$B$3:$B$53&amp;Res_AllFuels_SEDS_2022_TBtus!$A$3:$A$53,0))),0,(index(Res_AllFuels_SEDS_2022_TBtus!$D$3:$D$53,match($B10&amp;AK$2,Res_AllFuels_SEDS_2022_TBtus!$B$3:$B$53&amp;Res_AllFuels_SEDS_2022_TBtus!$A$3:$A$53,0))))</f>
        <v>0</v>
      </c>
      <c r="AL10" s="75">
        <f t="array" ref="AL10">IF(ISERROR(index(Res_AllFuels_SEDS_2022_TBtus!$D$3:$D$53,match($B10&amp;AL$2,Res_AllFuels_SEDS_2022_TBtus!$B$3:$B$53&amp;Res_AllFuels_SEDS_2022_TBtus!$A$3:$A$53,0))),0,(index(Res_AllFuels_SEDS_2022_TBtus!$D$3:$D$53,match($B10&amp;AL$2,Res_AllFuels_SEDS_2022_TBtus!$B$3:$B$53&amp;Res_AllFuels_SEDS_2022_TBtus!$A$3:$A$53,0))))</f>
        <v>0</v>
      </c>
      <c r="AM10" s="75">
        <f t="array" ref="AM10">IF(ISERROR(index(Res_AllFuels_SEDS_2022_TBtus!$D$3:$D$53,match($B10&amp;AM$2,Res_AllFuels_SEDS_2022_TBtus!$B$3:$B$53&amp;Res_AllFuels_SEDS_2022_TBtus!$A$3:$A$53,0))),0,(index(Res_AllFuels_SEDS_2022_TBtus!$D$3:$D$53,match($B10&amp;AM$2,Res_AllFuels_SEDS_2022_TBtus!$B$3:$B$53&amp;Res_AllFuels_SEDS_2022_TBtus!$A$3:$A$53,0))))</f>
        <v>0</v>
      </c>
      <c r="AN10" s="75">
        <f t="array" ref="AN10">IF(ISERROR(index(Res_AllFuels_SEDS_2022_TBtus!$D$3:$D$53,match($B10&amp;AN$2,Res_AllFuels_SEDS_2022_TBtus!$B$3:$B$53&amp;Res_AllFuels_SEDS_2022_TBtus!$A$3:$A$53,0))),0,(index(Res_AllFuels_SEDS_2022_TBtus!$D$3:$D$53,match($B10&amp;AN$2,Res_AllFuels_SEDS_2022_TBtus!$B$3:$B$53&amp;Res_AllFuels_SEDS_2022_TBtus!$A$3:$A$53,0))))</f>
        <v>0</v>
      </c>
      <c r="AO10" s="75">
        <f t="array" ref="AO10">IF(ISERROR(index(Res_AllFuels_SEDS_2022_TBtus!$D$3:$D$53,match($B10&amp;AO$2,Res_AllFuels_SEDS_2022_TBtus!$B$3:$B$53&amp;Res_AllFuels_SEDS_2022_TBtus!$A$3:$A$53,0))),0,(index(Res_AllFuels_SEDS_2022_TBtus!$D$3:$D$53,match($B10&amp;AO$2,Res_AllFuels_SEDS_2022_TBtus!$B$3:$B$53&amp;Res_AllFuels_SEDS_2022_TBtus!$A$3:$A$53,0))))</f>
        <v>0</v>
      </c>
      <c r="AP10" s="75">
        <f t="array" ref="AP10">IF(ISERROR(index(Res_AllFuels_SEDS_2022_TBtus!$D$3:$D$53,match($B10&amp;AP$2,Res_AllFuels_SEDS_2022_TBtus!$B$3:$B$53&amp;Res_AllFuels_SEDS_2022_TBtus!$A$3:$A$53,0))),0,(index(Res_AllFuels_SEDS_2022_TBtus!$D$3:$D$53,match($B10&amp;AP$2,Res_AllFuels_SEDS_2022_TBtus!$B$3:$B$53&amp;Res_AllFuels_SEDS_2022_TBtus!$A$3:$A$53,0))))</f>
        <v>0</v>
      </c>
      <c r="AQ10" s="75">
        <f t="array" ref="AQ10">IF(ISERROR(index(Res_AllFuels_SEDS_2022_TBtus!$D$3:$D$53,match($B10&amp;AQ$2,Res_AllFuels_SEDS_2022_TBtus!$B$3:$B$53&amp;Res_AllFuels_SEDS_2022_TBtus!$A$3:$A$53,0))),0,(index(Res_AllFuels_SEDS_2022_TBtus!$D$3:$D$53,match($B10&amp;AQ$2,Res_AllFuels_SEDS_2022_TBtus!$B$3:$B$53&amp;Res_AllFuels_SEDS_2022_TBtus!$A$3:$A$53,0))))</f>
        <v>0</v>
      </c>
      <c r="AR10" s="75">
        <f t="array" ref="AR10">IF(ISERROR(index(Res_AllFuels_SEDS_2022_TBtus!$D$3:$D$53,match($B10&amp;AR$2,Res_AllFuels_SEDS_2022_TBtus!$B$3:$B$53&amp;Res_AllFuels_SEDS_2022_TBtus!$A$3:$A$53,0))),0,(index(Res_AllFuels_SEDS_2022_TBtus!$D$3:$D$53,match($B10&amp;AR$2,Res_AllFuels_SEDS_2022_TBtus!$B$3:$B$53&amp;Res_AllFuels_SEDS_2022_TBtus!$A$3:$A$53,0))))</f>
        <v>0</v>
      </c>
      <c r="AS10" s="75">
        <f t="array" ref="AS10">IF(ISERROR(index(Res_AllFuels_SEDS_2022_TBtus!$D$3:$D$53,match($B10&amp;AS$2,Res_AllFuels_SEDS_2022_TBtus!$B$3:$B$53&amp;Res_AllFuels_SEDS_2022_TBtus!$A$3:$A$53,0))),0,(index(Res_AllFuels_SEDS_2022_TBtus!$D$3:$D$53,match($B10&amp;AS$2,Res_AllFuels_SEDS_2022_TBtus!$B$3:$B$53&amp;Res_AllFuels_SEDS_2022_TBtus!$A$3:$A$53,0))))</f>
        <v>0</v>
      </c>
      <c r="AT10" s="75">
        <f t="array" ref="AT10">IF(ISERROR(index(Res_AllFuels_SEDS_2022_TBtus!$D$3:$D$53,match($B10&amp;AT$2,Res_AllFuels_SEDS_2022_TBtus!$B$3:$B$53&amp;Res_AllFuels_SEDS_2022_TBtus!$A$3:$A$53,0))),0,(index(Res_AllFuels_SEDS_2022_TBtus!$D$3:$D$53,match($B10&amp;AT$2,Res_AllFuels_SEDS_2022_TBtus!$B$3:$B$53&amp;Res_AllFuels_SEDS_2022_TBtus!$A$3:$A$53,0))))</f>
        <v>0</v>
      </c>
      <c r="AU10" s="75">
        <f t="array" ref="AU10">IF(ISERROR(index(Res_AllFuels_SEDS_2022_TBtus!$D$3:$D$53,match($B10&amp;AU$2,Res_AllFuels_SEDS_2022_TBtus!$B$3:$B$53&amp;Res_AllFuels_SEDS_2022_TBtus!$A$3:$A$53,0))),0,(index(Res_AllFuels_SEDS_2022_TBtus!$D$3:$D$53,match($B10&amp;AU$2,Res_AllFuels_SEDS_2022_TBtus!$B$3:$B$53&amp;Res_AllFuels_SEDS_2022_TBtus!$A$3:$A$53,0))))</f>
        <v>82.4</v>
      </c>
      <c r="AV10" s="75">
        <f t="array" ref="AV10">IF(ISERROR(index(Res_AllFuels_SEDS_2022_TBtus!$D$3:$D$53,match($B10&amp;AV$2,Res_AllFuels_SEDS_2022_TBtus!$B$3:$B$53&amp;Res_AllFuels_SEDS_2022_TBtus!$A$3:$A$53,0))),0,(index(Res_AllFuels_SEDS_2022_TBtus!$D$3:$D$53,match($B10&amp;AV$2,Res_AllFuels_SEDS_2022_TBtus!$B$3:$B$53&amp;Res_AllFuels_SEDS_2022_TBtus!$A$3:$A$53,0))))</f>
        <v>0</v>
      </c>
      <c r="AW10" s="75">
        <f t="array" ref="AW10">IF(ISERROR(index(Res_AllFuels_SEDS_2022_TBtus!$D$3:$D$53,match($B10&amp;AW$2,Res_AllFuels_SEDS_2022_TBtus!$B$3:$B$53&amp;Res_AllFuels_SEDS_2022_TBtus!$A$3:$A$53,0))),0,(index(Res_AllFuels_SEDS_2022_TBtus!$D$3:$D$53,match($B10&amp;AW$2,Res_AllFuels_SEDS_2022_TBtus!$B$3:$B$53&amp;Res_AllFuels_SEDS_2022_TBtus!$A$3:$A$53,0))))</f>
        <v>0</v>
      </c>
      <c r="AX10" s="75">
        <f t="array" ref="AX10">IF(ISERROR(index(Res_AllFuels_SEDS_2022_TBtus!$D$3:$D$53,match($B10&amp;AX$2,Res_AllFuels_SEDS_2022_TBtus!$B$3:$B$53&amp;Res_AllFuels_SEDS_2022_TBtus!$A$3:$A$53,0))),0,(index(Res_AllFuels_SEDS_2022_TBtus!$D$3:$D$53,match($B10&amp;AX$2,Res_AllFuels_SEDS_2022_TBtus!$B$3:$B$53&amp;Res_AllFuels_SEDS_2022_TBtus!$A$3:$A$53,0))))</f>
        <v>0</v>
      </c>
      <c r="AY10" s="75">
        <f t="array" ref="AY10">IF(ISERROR(index(Res_AllFuels_SEDS_2022_TBtus!$D$3:$D$53,match($B10&amp;AY$2,Res_AllFuels_SEDS_2022_TBtus!$B$3:$B$53&amp;Res_AllFuels_SEDS_2022_TBtus!$A$3:$A$53,0))),0,(index(Res_AllFuels_SEDS_2022_TBtus!$D$3:$D$53,match($B10&amp;AY$2,Res_AllFuels_SEDS_2022_TBtus!$B$3:$B$53&amp;Res_AllFuels_SEDS_2022_TBtus!$A$3:$A$53,0))))</f>
        <v>0</v>
      </c>
      <c r="AZ10" s="75">
        <f t="array" ref="AZ10">IF(ISERROR(index(Res_AllFuels_SEDS_2022_TBtus!$D$3:$D$53,match($B10&amp;AZ$2,Res_AllFuels_SEDS_2022_TBtus!$B$3:$B$53&amp;Res_AllFuels_SEDS_2022_TBtus!$A$3:$A$53,0))),0,(index(Res_AllFuels_SEDS_2022_TBtus!$D$3:$D$53,match($B10&amp;AZ$2,Res_AllFuels_SEDS_2022_TBtus!$B$3:$B$53&amp;Res_AllFuels_SEDS_2022_TBtus!$A$3:$A$53,0))))</f>
        <v>0</v>
      </c>
      <c r="BA10" s="75">
        <f t="array" ref="BA10">IF(ISERROR(index(Res_AllFuels_SEDS_2022_TBtus!$D$3:$D$53,match($B10&amp;BA$2,Res_AllFuels_SEDS_2022_TBtus!$B$3:$B$53&amp;Res_AllFuels_SEDS_2022_TBtus!$A$3:$A$53,0))),0,(index(Res_AllFuels_SEDS_2022_TBtus!$D$3:$D$53,match($B10&amp;BA$2,Res_AllFuels_SEDS_2022_TBtus!$B$3:$B$53&amp;Res_AllFuels_SEDS_2022_TBtus!$A$3:$A$53,0))))</f>
        <v>14.2</v>
      </c>
      <c r="BB10" s="74">
        <f t="shared" si="1"/>
        <v>437.3</v>
      </c>
    </row>
    <row r="11" ht="15.75" customHeight="1">
      <c r="B11" s="74">
        <v>9.0</v>
      </c>
      <c r="C11" s="75">
        <f t="array" ref="C11">IF(ISERROR(index(Res_AllFuels_SEDS_2022_TBtus!$D$3:$D$53,match($B11&amp;C$2,Res_AllFuels_SEDS_2022_TBtus!$B$3:$B$53&amp;Res_AllFuels_SEDS_2022_TBtus!$A$3:$A$53,0))),0,(index(Res_AllFuels_SEDS_2022_TBtus!$D$3:$D$53,match($B11&amp;C$2,Res_AllFuels_SEDS_2022_TBtus!$B$3:$B$53&amp;Res_AllFuels_SEDS_2022_TBtus!$A$3:$A$53,0))))</f>
        <v>0</v>
      </c>
      <c r="D11" s="75">
        <f t="array" ref="D11">IF(ISERROR(index(Res_AllFuels_SEDS_2022_TBtus!$D$3:$D$53,match($B11&amp;D$2,Res_AllFuels_SEDS_2022_TBtus!$B$3:$B$53&amp;Res_AllFuels_SEDS_2022_TBtus!$A$3:$A$53,0))),0,(index(Res_AllFuels_SEDS_2022_TBtus!$D$3:$D$53,match($B11&amp;D$2,Res_AllFuels_SEDS_2022_TBtus!$B$3:$B$53&amp;Res_AllFuels_SEDS_2022_TBtus!$A$3:$A$53,0))))</f>
        <v>19.9</v>
      </c>
      <c r="E11" s="75">
        <f t="array" ref="E11">IF(ISERROR(index(Res_AllFuels_SEDS_2022_TBtus!$D$3:$D$53,match($B11&amp;E$2,Res_AllFuels_SEDS_2022_TBtus!$B$3:$B$53&amp;Res_AllFuels_SEDS_2022_TBtus!$A$3:$A$53,0))),0,(index(Res_AllFuels_SEDS_2022_TBtus!$D$3:$D$53,match($B11&amp;E$2,Res_AllFuels_SEDS_2022_TBtus!$B$3:$B$53&amp;Res_AllFuels_SEDS_2022_TBtus!$A$3:$A$53,0))))</f>
        <v>0</v>
      </c>
      <c r="F11" s="75">
        <f t="array" ref="F11">IF(ISERROR(index(Res_AllFuels_SEDS_2022_TBtus!$D$3:$D$53,match($B11&amp;F$2,Res_AllFuels_SEDS_2022_TBtus!$B$3:$B$53&amp;Res_AllFuels_SEDS_2022_TBtus!$A$3:$A$53,0))),0,(index(Res_AllFuels_SEDS_2022_TBtus!$D$3:$D$53,match($B11&amp;F$2,Res_AllFuels_SEDS_2022_TBtus!$B$3:$B$53&amp;Res_AllFuels_SEDS_2022_TBtus!$A$3:$A$53,0))))</f>
        <v>0</v>
      </c>
      <c r="G11" s="75">
        <f t="array" ref="G11">IF(ISERROR(index(Res_AllFuels_SEDS_2022_TBtus!$D$3:$D$53,match($B11&amp;G$2,Res_AllFuels_SEDS_2022_TBtus!$B$3:$B$53&amp;Res_AllFuels_SEDS_2022_TBtus!$A$3:$A$53,0))),0,(index(Res_AllFuels_SEDS_2022_TBtus!$D$3:$D$53,match($B11&amp;G$2,Res_AllFuels_SEDS_2022_TBtus!$B$3:$B$53&amp;Res_AllFuels_SEDS_2022_TBtus!$A$3:$A$53,0))))</f>
        <v>447.7</v>
      </c>
      <c r="H11" s="75">
        <f t="array" ref="H11">IF(ISERROR(index(Res_AllFuels_SEDS_2022_TBtus!$D$3:$D$53,match($B11&amp;H$2,Res_AllFuels_SEDS_2022_TBtus!$B$3:$B$53&amp;Res_AllFuels_SEDS_2022_TBtus!$A$3:$A$53,0))),0,(index(Res_AllFuels_SEDS_2022_TBtus!$D$3:$D$53,match($B11&amp;H$2,Res_AllFuels_SEDS_2022_TBtus!$B$3:$B$53&amp;Res_AllFuels_SEDS_2022_TBtus!$A$3:$A$53,0))))</f>
        <v>0</v>
      </c>
      <c r="I11" s="75">
        <f t="array" ref="I11">IF(ISERROR(index(Res_AllFuels_SEDS_2022_TBtus!$D$3:$D$53,match($B11&amp;I$2,Res_AllFuels_SEDS_2022_TBtus!$B$3:$B$53&amp;Res_AllFuels_SEDS_2022_TBtus!$A$3:$A$53,0))),0,(index(Res_AllFuels_SEDS_2022_TBtus!$D$3:$D$53,match($B11&amp;I$2,Res_AllFuels_SEDS_2022_TBtus!$B$3:$B$53&amp;Res_AllFuels_SEDS_2022_TBtus!$A$3:$A$53,0))))</f>
        <v>0</v>
      </c>
      <c r="J11" s="75">
        <f t="array" ref="J11">IF(ISERROR(index(Res_AllFuels_SEDS_2022_TBtus!$D$3:$D$53,match($B11&amp;J$2,Res_AllFuels_SEDS_2022_TBtus!$B$3:$B$53&amp;Res_AllFuels_SEDS_2022_TBtus!$A$3:$A$53,0))),0,(index(Res_AllFuels_SEDS_2022_TBtus!$D$3:$D$53,match($B11&amp;J$2,Res_AllFuels_SEDS_2022_TBtus!$B$3:$B$53&amp;Res_AllFuels_SEDS_2022_TBtus!$A$3:$A$53,0))))</f>
        <v>0</v>
      </c>
      <c r="K11" s="75">
        <f t="array" ref="K11">IF(ISERROR(index(Res_AllFuels_SEDS_2022_TBtus!$D$3:$D$53,match($B11&amp;K$2,Res_AllFuels_SEDS_2022_TBtus!$B$3:$B$53&amp;Res_AllFuels_SEDS_2022_TBtus!$A$3:$A$53,0))),0,(index(Res_AllFuels_SEDS_2022_TBtus!$D$3:$D$53,match($B11&amp;K$2,Res_AllFuels_SEDS_2022_TBtus!$B$3:$B$53&amp;Res_AllFuels_SEDS_2022_TBtus!$A$3:$A$53,0))))</f>
        <v>0</v>
      </c>
      <c r="L11" s="75">
        <f t="array" ref="L11">IF(ISERROR(index(Res_AllFuels_SEDS_2022_TBtus!$D$3:$D$53,match($B11&amp;L$2,Res_AllFuels_SEDS_2022_TBtus!$B$3:$B$53&amp;Res_AllFuels_SEDS_2022_TBtus!$A$3:$A$53,0))),0,(index(Res_AllFuels_SEDS_2022_TBtus!$D$3:$D$53,match($B11&amp;L$2,Res_AllFuels_SEDS_2022_TBtus!$B$3:$B$53&amp;Res_AllFuels_SEDS_2022_TBtus!$A$3:$A$53,0))))</f>
        <v>0</v>
      </c>
      <c r="M11" s="75">
        <f t="array" ref="M11">IF(ISERROR(index(Res_AllFuels_SEDS_2022_TBtus!$D$3:$D$53,match($B11&amp;M$2,Res_AllFuels_SEDS_2022_TBtus!$B$3:$B$53&amp;Res_AllFuels_SEDS_2022_TBtus!$A$3:$A$53,0))),0,(index(Res_AllFuels_SEDS_2022_TBtus!$D$3:$D$53,match($B11&amp;M$2,Res_AllFuels_SEDS_2022_TBtus!$B$3:$B$53&amp;Res_AllFuels_SEDS_2022_TBtus!$A$3:$A$53,0))))</f>
        <v>0</v>
      </c>
      <c r="N11" s="75">
        <f t="array" ref="N11">IF(ISERROR(index(Res_AllFuels_SEDS_2022_TBtus!$D$3:$D$53,match($B11&amp;N$2,Res_AllFuels_SEDS_2022_TBtus!$B$3:$B$53&amp;Res_AllFuels_SEDS_2022_TBtus!$A$3:$A$53,0))),0,(index(Res_AllFuels_SEDS_2022_TBtus!$D$3:$D$53,match($B11&amp;N$2,Res_AllFuels_SEDS_2022_TBtus!$B$3:$B$53&amp;Res_AllFuels_SEDS_2022_TBtus!$A$3:$A$53,0))))</f>
        <v>0.5</v>
      </c>
      <c r="O11" s="75">
        <f t="array" ref="O11">IF(ISERROR(index(Res_AllFuels_SEDS_2022_TBtus!$D$3:$D$53,match($B11&amp;O$2,Res_AllFuels_SEDS_2022_TBtus!$B$3:$B$53&amp;Res_AllFuels_SEDS_2022_TBtus!$A$3:$A$53,0))),0,(index(Res_AllFuels_SEDS_2022_TBtus!$D$3:$D$53,match($B11&amp;O$2,Res_AllFuels_SEDS_2022_TBtus!$B$3:$B$53&amp;Res_AllFuels_SEDS_2022_TBtus!$A$3:$A$53,0))))</f>
        <v>0</v>
      </c>
      <c r="P11" s="75">
        <f t="array" ref="P11">IF(ISERROR(index(Res_AllFuels_SEDS_2022_TBtus!$D$3:$D$53,match($B11&amp;P$2,Res_AllFuels_SEDS_2022_TBtus!$B$3:$B$53&amp;Res_AllFuels_SEDS_2022_TBtus!$A$3:$A$53,0))),0,(index(Res_AllFuels_SEDS_2022_TBtus!$D$3:$D$53,match($B11&amp;P$2,Res_AllFuels_SEDS_2022_TBtus!$B$3:$B$53&amp;Res_AllFuels_SEDS_2022_TBtus!$A$3:$A$53,0))))</f>
        <v>0</v>
      </c>
      <c r="Q11" s="75">
        <f t="array" ref="Q11">IF(ISERROR(index(Res_AllFuels_SEDS_2022_TBtus!$D$3:$D$53,match($B11&amp;Q$2,Res_AllFuels_SEDS_2022_TBtus!$B$3:$B$53&amp;Res_AllFuels_SEDS_2022_TBtus!$A$3:$A$53,0))),0,(index(Res_AllFuels_SEDS_2022_TBtus!$D$3:$D$53,match($B11&amp;Q$2,Res_AllFuels_SEDS_2022_TBtus!$B$3:$B$53&amp;Res_AllFuels_SEDS_2022_TBtus!$A$3:$A$53,0))))</f>
        <v>0</v>
      </c>
      <c r="R11" s="75">
        <f t="array" ref="R11">IF(ISERROR(index(Res_AllFuels_SEDS_2022_TBtus!$D$3:$D$53,match($B11&amp;R$2,Res_AllFuels_SEDS_2022_TBtus!$B$3:$B$53&amp;Res_AllFuels_SEDS_2022_TBtus!$A$3:$A$53,0))),0,(index(Res_AllFuels_SEDS_2022_TBtus!$D$3:$D$53,match($B11&amp;R$2,Res_AllFuels_SEDS_2022_TBtus!$B$3:$B$53&amp;Res_AllFuels_SEDS_2022_TBtus!$A$3:$A$53,0))))</f>
        <v>0</v>
      </c>
      <c r="S11" s="75">
        <f t="array" ref="S11">IF(ISERROR(index(Res_AllFuels_SEDS_2022_TBtus!$D$3:$D$53,match($B11&amp;S$2,Res_AllFuels_SEDS_2022_TBtus!$B$3:$B$53&amp;Res_AllFuels_SEDS_2022_TBtus!$A$3:$A$53,0))),0,(index(Res_AllFuels_SEDS_2022_TBtus!$D$3:$D$53,match($B11&amp;S$2,Res_AllFuels_SEDS_2022_TBtus!$B$3:$B$53&amp;Res_AllFuels_SEDS_2022_TBtus!$A$3:$A$53,0))))</f>
        <v>0</v>
      </c>
      <c r="T11" s="75">
        <f t="array" ref="T11">IF(ISERROR(index(Res_AllFuels_SEDS_2022_TBtus!$D$3:$D$53,match($B11&amp;T$2,Res_AllFuels_SEDS_2022_TBtus!$B$3:$B$53&amp;Res_AllFuels_SEDS_2022_TBtus!$A$3:$A$53,0))),0,(index(Res_AllFuels_SEDS_2022_TBtus!$D$3:$D$53,match($B11&amp;T$2,Res_AllFuels_SEDS_2022_TBtus!$B$3:$B$53&amp;Res_AllFuels_SEDS_2022_TBtus!$A$3:$A$53,0))))</f>
        <v>0</v>
      </c>
      <c r="U11" s="75">
        <f t="array" ref="U11">IF(ISERROR(index(Res_AllFuels_SEDS_2022_TBtus!$D$3:$D$53,match($B11&amp;U$2,Res_AllFuels_SEDS_2022_TBtus!$B$3:$B$53&amp;Res_AllFuels_SEDS_2022_TBtus!$A$3:$A$53,0))),0,(index(Res_AllFuels_SEDS_2022_TBtus!$D$3:$D$53,match($B11&amp;U$2,Res_AllFuels_SEDS_2022_TBtus!$B$3:$B$53&amp;Res_AllFuels_SEDS_2022_TBtus!$A$3:$A$53,0))))</f>
        <v>0</v>
      </c>
      <c r="V11" s="75">
        <f t="array" ref="V11">IF(ISERROR(index(Res_AllFuels_SEDS_2022_TBtus!$D$3:$D$53,match($B11&amp;V$2,Res_AllFuels_SEDS_2022_TBtus!$B$3:$B$53&amp;Res_AllFuels_SEDS_2022_TBtus!$A$3:$A$53,0))),0,(index(Res_AllFuels_SEDS_2022_TBtus!$D$3:$D$53,match($B11&amp;V$2,Res_AllFuels_SEDS_2022_TBtus!$B$3:$B$53&amp;Res_AllFuels_SEDS_2022_TBtus!$A$3:$A$53,0))))</f>
        <v>0</v>
      </c>
      <c r="W11" s="75">
        <f t="array" ref="W11">IF(ISERROR(index(Res_AllFuels_SEDS_2022_TBtus!$D$3:$D$53,match($B11&amp;W$2,Res_AllFuels_SEDS_2022_TBtus!$B$3:$B$53&amp;Res_AllFuels_SEDS_2022_TBtus!$A$3:$A$53,0))),0,(index(Res_AllFuels_SEDS_2022_TBtus!$D$3:$D$53,match($B11&amp;W$2,Res_AllFuels_SEDS_2022_TBtus!$B$3:$B$53&amp;Res_AllFuels_SEDS_2022_TBtus!$A$3:$A$53,0))))</f>
        <v>0</v>
      </c>
      <c r="X11" s="75">
        <f t="array" ref="X11">IF(ISERROR(index(Res_AllFuels_SEDS_2022_TBtus!$D$3:$D$53,match($B11&amp;X$2,Res_AllFuels_SEDS_2022_TBtus!$B$3:$B$53&amp;Res_AllFuels_SEDS_2022_TBtus!$A$3:$A$53,0))),0,(index(Res_AllFuels_SEDS_2022_TBtus!$D$3:$D$53,match($B11&amp;X$2,Res_AllFuels_SEDS_2022_TBtus!$B$3:$B$53&amp;Res_AllFuels_SEDS_2022_TBtus!$A$3:$A$53,0))))</f>
        <v>0</v>
      </c>
      <c r="Y11" s="75">
        <f t="array" ref="Y11">IF(ISERROR(index(Res_AllFuels_SEDS_2022_TBtus!$D$3:$D$53,match($B11&amp;Y$2,Res_AllFuels_SEDS_2022_TBtus!$B$3:$B$53&amp;Res_AllFuels_SEDS_2022_TBtus!$A$3:$A$53,0))),0,(index(Res_AllFuels_SEDS_2022_TBtus!$D$3:$D$53,match($B11&amp;Y$2,Res_AllFuels_SEDS_2022_TBtus!$B$3:$B$53&amp;Res_AllFuels_SEDS_2022_TBtus!$A$3:$A$53,0))))</f>
        <v>0</v>
      </c>
      <c r="Z11" s="75">
        <f t="array" ref="Z11">IF(ISERROR(index(Res_AllFuels_SEDS_2022_TBtus!$D$3:$D$53,match($B11&amp;Z$2,Res_AllFuels_SEDS_2022_TBtus!$B$3:$B$53&amp;Res_AllFuels_SEDS_2022_TBtus!$A$3:$A$53,0))),0,(index(Res_AllFuels_SEDS_2022_TBtus!$D$3:$D$53,match($B11&amp;Z$2,Res_AllFuels_SEDS_2022_TBtus!$B$3:$B$53&amp;Res_AllFuels_SEDS_2022_TBtus!$A$3:$A$53,0))))</f>
        <v>0</v>
      </c>
      <c r="AA11" s="75">
        <f t="array" ref="AA11">IF(ISERROR(index(Res_AllFuels_SEDS_2022_TBtus!$D$3:$D$53,match($B11&amp;AA$2,Res_AllFuels_SEDS_2022_TBtus!$B$3:$B$53&amp;Res_AllFuels_SEDS_2022_TBtus!$A$3:$A$53,0))),0,(index(Res_AllFuels_SEDS_2022_TBtus!$D$3:$D$53,match($B11&amp;AA$2,Res_AllFuels_SEDS_2022_TBtus!$B$3:$B$53&amp;Res_AllFuels_SEDS_2022_TBtus!$A$3:$A$53,0))))</f>
        <v>0</v>
      </c>
      <c r="AB11" s="75">
        <f t="array" ref="AB11">IF(ISERROR(index(Res_AllFuels_SEDS_2022_TBtus!$D$3:$D$53,match($B11&amp;AB$2,Res_AllFuels_SEDS_2022_TBtus!$B$3:$B$53&amp;Res_AllFuels_SEDS_2022_TBtus!$A$3:$A$53,0))),0,(index(Res_AllFuels_SEDS_2022_TBtus!$D$3:$D$53,match($B11&amp;AB$2,Res_AllFuels_SEDS_2022_TBtus!$B$3:$B$53&amp;Res_AllFuels_SEDS_2022_TBtus!$A$3:$A$53,0))))</f>
        <v>0</v>
      </c>
      <c r="AC11" s="75">
        <f t="array" ref="AC11">IF(ISERROR(index(Res_AllFuels_SEDS_2022_TBtus!$D$3:$D$53,match($B11&amp;AC$2,Res_AllFuels_SEDS_2022_TBtus!$B$3:$B$53&amp;Res_AllFuels_SEDS_2022_TBtus!$A$3:$A$53,0))),0,(index(Res_AllFuels_SEDS_2022_TBtus!$D$3:$D$53,match($B11&amp;AC$2,Res_AllFuels_SEDS_2022_TBtus!$B$3:$B$53&amp;Res_AllFuels_SEDS_2022_TBtus!$A$3:$A$53,0))))</f>
        <v>0</v>
      </c>
      <c r="AD11" s="75">
        <f t="array" ref="AD11">IF(ISERROR(index(Res_AllFuels_SEDS_2022_TBtus!$D$3:$D$53,match($B11&amp;AD$2,Res_AllFuels_SEDS_2022_TBtus!$B$3:$B$53&amp;Res_AllFuels_SEDS_2022_TBtus!$A$3:$A$53,0))),0,(index(Res_AllFuels_SEDS_2022_TBtus!$D$3:$D$53,match($B11&amp;AD$2,Res_AllFuels_SEDS_2022_TBtus!$B$3:$B$53&amp;Res_AllFuels_SEDS_2022_TBtus!$A$3:$A$53,0))))</f>
        <v>0</v>
      </c>
      <c r="AE11" s="75">
        <f t="array" ref="AE11">IF(ISERROR(index(Res_AllFuels_SEDS_2022_TBtus!$D$3:$D$53,match($B11&amp;AE$2,Res_AllFuels_SEDS_2022_TBtus!$B$3:$B$53&amp;Res_AllFuels_SEDS_2022_TBtus!$A$3:$A$53,0))),0,(index(Res_AllFuels_SEDS_2022_TBtus!$D$3:$D$53,match($B11&amp;AE$2,Res_AllFuels_SEDS_2022_TBtus!$B$3:$B$53&amp;Res_AllFuels_SEDS_2022_TBtus!$A$3:$A$53,0))))</f>
        <v>0</v>
      </c>
      <c r="AF11" s="75">
        <f t="array" ref="AF11">IF(ISERROR(index(Res_AllFuels_SEDS_2022_TBtus!$D$3:$D$53,match($B11&amp;AF$2,Res_AllFuels_SEDS_2022_TBtus!$B$3:$B$53&amp;Res_AllFuels_SEDS_2022_TBtus!$A$3:$A$53,0))),0,(index(Res_AllFuels_SEDS_2022_TBtus!$D$3:$D$53,match($B11&amp;AF$2,Res_AllFuels_SEDS_2022_TBtus!$B$3:$B$53&amp;Res_AllFuels_SEDS_2022_TBtus!$A$3:$A$53,0))))</f>
        <v>0</v>
      </c>
      <c r="AG11" s="75">
        <f t="array" ref="AG11">IF(ISERROR(index(Res_AllFuels_SEDS_2022_TBtus!$D$3:$D$53,match($B11&amp;AG$2,Res_AllFuels_SEDS_2022_TBtus!$B$3:$B$53&amp;Res_AllFuels_SEDS_2022_TBtus!$A$3:$A$53,0))),0,(index(Res_AllFuels_SEDS_2022_TBtus!$D$3:$D$53,match($B11&amp;AG$2,Res_AllFuels_SEDS_2022_TBtus!$B$3:$B$53&amp;Res_AllFuels_SEDS_2022_TBtus!$A$3:$A$53,0))))</f>
        <v>0</v>
      </c>
      <c r="AH11" s="75">
        <f t="array" ref="AH11">IF(ISERROR(index(Res_AllFuels_SEDS_2022_TBtus!$D$3:$D$53,match($B11&amp;AH$2,Res_AllFuels_SEDS_2022_TBtus!$B$3:$B$53&amp;Res_AllFuels_SEDS_2022_TBtus!$A$3:$A$53,0))),0,(index(Res_AllFuels_SEDS_2022_TBtus!$D$3:$D$53,match($B11&amp;AH$2,Res_AllFuels_SEDS_2022_TBtus!$B$3:$B$53&amp;Res_AllFuels_SEDS_2022_TBtus!$A$3:$A$53,0))))</f>
        <v>0</v>
      </c>
      <c r="AI11" s="75">
        <f t="array" ref="AI11">IF(ISERROR(index(Res_AllFuels_SEDS_2022_TBtus!$D$3:$D$53,match($B11&amp;AI$2,Res_AllFuels_SEDS_2022_TBtus!$B$3:$B$53&amp;Res_AllFuels_SEDS_2022_TBtus!$A$3:$A$53,0))),0,(index(Res_AllFuels_SEDS_2022_TBtus!$D$3:$D$53,match($B11&amp;AI$2,Res_AllFuels_SEDS_2022_TBtus!$B$3:$B$53&amp;Res_AllFuels_SEDS_2022_TBtus!$A$3:$A$53,0))))</f>
        <v>0</v>
      </c>
      <c r="AJ11" s="75">
        <f t="array" ref="AJ11">IF(ISERROR(index(Res_AllFuels_SEDS_2022_TBtus!$D$3:$D$53,match($B11&amp;AJ$2,Res_AllFuels_SEDS_2022_TBtus!$B$3:$B$53&amp;Res_AllFuels_SEDS_2022_TBtus!$A$3:$A$53,0))),0,(index(Res_AllFuels_SEDS_2022_TBtus!$D$3:$D$53,match($B11&amp;AJ$2,Res_AllFuels_SEDS_2022_TBtus!$B$3:$B$53&amp;Res_AllFuels_SEDS_2022_TBtus!$A$3:$A$53,0))))</f>
        <v>0</v>
      </c>
      <c r="AK11" s="75">
        <f t="array" ref="AK11">IF(ISERROR(index(Res_AllFuels_SEDS_2022_TBtus!$D$3:$D$53,match($B11&amp;AK$2,Res_AllFuels_SEDS_2022_TBtus!$B$3:$B$53&amp;Res_AllFuels_SEDS_2022_TBtus!$A$3:$A$53,0))),0,(index(Res_AllFuels_SEDS_2022_TBtus!$D$3:$D$53,match($B11&amp;AK$2,Res_AllFuels_SEDS_2022_TBtus!$B$3:$B$53&amp;Res_AllFuels_SEDS_2022_TBtus!$A$3:$A$53,0))))</f>
        <v>0</v>
      </c>
      <c r="AL11" s="75">
        <f t="array" ref="AL11">IF(ISERROR(index(Res_AllFuels_SEDS_2022_TBtus!$D$3:$D$53,match($B11&amp;AL$2,Res_AllFuels_SEDS_2022_TBtus!$B$3:$B$53&amp;Res_AllFuels_SEDS_2022_TBtus!$A$3:$A$53,0))),0,(index(Res_AllFuels_SEDS_2022_TBtus!$D$3:$D$53,match($B11&amp;AL$2,Res_AllFuels_SEDS_2022_TBtus!$B$3:$B$53&amp;Res_AllFuels_SEDS_2022_TBtus!$A$3:$A$53,0))))</f>
        <v>0</v>
      </c>
      <c r="AM11" s="75">
        <f t="array" ref="AM11">IF(ISERROR(index(Res_AllFuels_SEDS_2022_TBtus!$D$3:$D$53,match($B11&amp;AM$2,Res_AllFuels_SEDS_2022_TBtus!$B$3:$B$53&amp;Res_AllFuels_SEDS_2022_TBtus!$A$3:$A$53,0))),0,(index(Res_AllFuels_SEDS_2022_TBtus!$D$3:$D$53,match($B11&amp;AM$2,Res_AllFuels_SEDS_2022_TBtus!$B$3:$B$53&amp;Res_AllFuels_SEDS_2022_TBtus!$A$3:$A$53,0))))</f>
        <v>0</v>
      </c>
      <c r="AN11" s="75">
        <f t="array" ref="AN11">IF(ISERROR(index(Res_AllFuels_SEDS_2022_TBtus!$D$3:$D$53,match($B11&amp;AN$2,Res_AllFuels_SEDS_2022_TBtus!$B$3:$B$53&amp;Res_AllFuels_SEDS_2022_TBtus!$A$3:$A$53,0))),0,(index(Res_AllFuels_SEDS_2022_TBtus!$D$3:$D$53,match($B11&amp;AN$2,Res_AllFuels_SEDS_2022_TBtus!$B$3:$B$53&amp;Res_AllFuels_SEDS_2022_TBtus!$A$3:$A$53,0))))</f>
        <v>52.6</v>
      </c>
      <c r="AO11" s="75">
        <f t="array" ref="AO11">IF(ISERROR(index(Res_AllFuels_SEDS_2022_TBtus!$D$3:$D$53,match($B11&amp;AO$2,Res_AllFuels_SEDS_2022_TBtus!$B$3:$B$53&amp;Res_AllFuels_SEDS_2022_TBtus!$A$3:$A$53,0))),0,(index(Res_AllFuels_SEDS_2022_TBtus!$D$3:$D$53,match($B11&amp;AO$2,Res_AllFuels_SEDS_2022_TBtus!$B$3:$B$53&amp;Res_AllFuels_SEDS_2022_TBtus!$A$3:$A$53,0))))</f>
        <v>0</v>
      </c>
      <c r="AP11" s="75">
        <f t="array" ref="AP11">IF(ISERROR(index(Res_AllFuels_SEDS_2022_TBtus!$D$3:$D$53,match($B11&amp;AP$2,Res_AllFuels_SEDS_2022_TBtus!$B$3:$B$53&amp;Res_AllFuels_SEDS_2022_TBtus!$A$3:$A$53,0))),0,(index(Res_AllFuels_SEDS_2022_TBtus!$D$3:$D$53,match($B11&amp;AP$2,Res_AllFuels_SEDS_2022_TBtus!$B$3:$B$53&amp;Res_AllFuels_SEDS_2022_TBtus!$A$3:$A$53,0))))</f>
        <v>0</v>
      </c>
      <c r="AQ11" s="75">
        <f t="array" ref="AQ11">IF(ISERROR(index(Res_AllFuels_SEDS_2022_TBtus!$D$3:$D$53,match($B11&amp;AQ$2,Res_AllFuels_SEDS_2022_TBtus!$B$3:$B$53&amp;Res_AllFuels_SEDS_2022_TBtus!$A$3:$A$53,0))),0,(index(Res_AllFuels_SEDS_2022_TBtus!$D$3:$D$53,match($B11&amp;AQ$2,Res_AllFuels_SEDS_2022_TBtus!$B$3:$B$53&amp;Res_AllFuels_SEDS_2022_TBtus!$A$3:$A$53,0))))</f>
        <v>0</v>
      </c>
      <c r="AR11" s="75">
        <f t="array" ref="AR11">IF(ISERROR(index(Res_AllFuels_SEDS_2022_TBtus!$D$3:$D$53,match($B11&amp;AR$2,Res_AllFuels_SEDS_2022_TBtus!$B$3:$B$53&amp;Res_AllFuels_SEDS_2022_TBtus!$A$3:$A$53,0))),0,(index(Res_AllFuels_SEDS_2022_TBtus!$D$3:$D$53,match($B11&amp;AR$2,Res_AllFuels_SEDS_2022_TBtus!$B$3:$B$53&amp;Res_AllFuels_SEDS_2022_TBtus!$A$3:$A$53,0))))</f>
        <v>0</v>
      </c>
      <c r="AS11" s="75">
        <f t="array" ref="AS11">IF(ISERROR(index(Res_AllFuels_SEDS_2022_TBtus!$D$3:$D$53,match($B11&amp;AS$2,Res_AllFuels_SEDS_2022_TBtus!$B$3:$B$53&amp;Res_AllFuels_SEDS_2022_TBtus!$A$3:$A$53,0))),0,(index(Res_AllFuels_SEDS_2022_TBtus!$D$3:$D$53,match($B11&amp;AS$2,Res_AllFuels_SEDS_2022_TBtus!$B$3:$B$53&amp;Res_AllFuels_SEDS_2022_TBtus!$A$3:$A$53,0))))</f>
        <v>0</v>
      </c>
      <c r="AT11" s="75">
        <f t="array" ref="AT11">IF(ISERROR(index(Res_AllFuels_SEDS_2022_TBtus!$D$3:$D$53,match($B11&amp;AT$2,Res_AllFuels_SEDS_2022_TBtus!$B$3:$B$53&amp;Res_AllFuels_SEDS_2022_TBtus!$A$3:$A$53,0))),0,(index(Res_AllFuels_SEDS_2022_TBtus!$D$3:$D$53,match($B11&amp;AT$2,Res_AllFuels_SEDS_2022_TBtus!$B$3:$B$53&amp;Res_AllFuels_SEDS_2022_TBtus!$A$3:$A$53,0))))</f>
        <v>0</v>
      </c>
      <c r="AU11" s="75">
        <f t="array" ref="AU11">IF(ISERROR(index(Res_AllFuels_SEDS_2022_TBtus!$D$3:$D$53,match($B11&amp;AU$2,Res_AllFuels_SEDS_2022_TBtus!$B$3:$B$53&amp;Res_AllFuels_SEDS_2022_TBtus!$A$3:$A$53,0))),0,(index(Res_AllFuels_SEDS_2022_TBtus!$D$3:$D$53,match($B11&amp;AU$2,Res_AllFuels_SEDS_2022_TBtus!$B$3:$B$53&amp;Res_AllFuels_SEDS_2022_TBtus!$A$3:$A$53,0))))</f>
        <v>0</v>
      </c>
      <c r="AV11" s="75">
        <f t="array" ref="AV11">IF(ISERROR(index(Res_AllFuels_SEDS_2022_TBtus!$D$3:$D$53,match($B11&amp;AV$2,Res_AllFuels_SEDS_2022_TBtus!$B$3:$B$53&amp;Res_AllFuels_SEDS_2022_TBtus!$A$3:$A$53,0))),0,(index(Res_AllFuels_SEDS_2022_TBtus!$D$3:$D$53,match($B11&amp;AV$2,Res_AllFuels_SEDS_2022_TBtus!$B$3:$B$53&amp;Res_AllFuels_SEDS_2022_TBtus!$A$3:$A$53,0))))</f>
        <v>0</v>
      </c>
      <c r="AW11" s="75">
        <f t="array" ref="AW11">IF(ISERROR(index(Res_AllFuels_SEDS_2022_TBtus!$D$3:$D$53,match($B11&amp;AW$2,Res_AllFuels_SEDS_2022_TBtus!$B$3:$B$53&amp;Res_AllFuels_SEDS_2022_TBtus!$A$3:$A$53,0))),0,(index(Res_AllFuels_SEDS_2022_TBtus!$D$3:$D$53,match($B11&amp;AW$2,Res_AllFuels_SEDS_2022_TBtus!$B$3:$B$53&amp;Res_AllFuels_SEDS_2022_TBtus!$A$3:$A$53,0))))</f>
        <v>0</v>
      </c>
      <c r="AX11" s="75">
        <f t="array" ref="AX11">IF(ISERROR(index(Res_AllFuels_SEDS_2022_TBtus!$D$3:$D$53,match($B11&amp;AX$2,Res_AllFuels_SEDS_2022_TBtus!$B$3:$B$53&amp;Res_AllFuels_SEDS_2022_TBtus!$A$3:$A$53,0))),0,(index(Res_AllFuels_SEDS_2022_TBtus!$D$3:$D$53,match($B11&amp;AX$2,Res_AllFuels_SEDS_2022_TBtus!$B$3:$B$53&amp;Res_AllFuels_SEDS_2022_TBtus!$A$3:$A$53,0))))</f>
        <v>102.3</v>
      </c>
      <c r="AY11" s="75">
        <f t="array" ref="AY11">IF(ISERROR(index(Res_AllFuels_SEDS_2022_TBtus!$D$3:$D$53,match($B11&amp;AY$2,Res_AllFuels_SEDS_2022_TBtus!$B$3:$B$53&amp;Res_AllFuels_SEDS_2022_TBtus!$A$3:$A$53,0))),0,(index(Res_AllFuels_SEDS_2022_TBtus!$D$3:$D$53,match($B11&amp;AY$2,Res_AllFuels_SEDS_2022_TBtus!$B$3:$B$53&amp;Res_AllFuels_SEDS_2022_TBtus!$A$3:$A$53,0))))</f>
        <v>0</v>
      </c>
      <c r="AZ11" s="75">
        <f t="array" ref="AZ11">IF(ISERROR(index(Res_AllFuels_SEDS_2022_TBtus!$D$3:$D$53,match($B11&amp;AZ$2,Res_AllFuels_SEDS_2022_TBtus!$B$3:$B$53&amp;Res_AllFuels_SEDS_2022_TBtus!$A$3:$A$53,0))),0,(index(Res_AllFuels_SEDS_2022_TBtus!$D$3:$D$53,match($B11&amp;AZ$2,Res_AllFuels_SEDS_2022_TBtus!$B$3:$B$53&amp;Res_AllFuels_SEDS_2022_TBtus!$A$3:$A$53,0))))</f>
        <v>0</v>
      </c>
      <c r="BA11" s="75">
        <f t="array" ref="BA11">IF(ISERROR(index(Res_AllFuels_SEDS_2022_TBtus!$D$3:$D$53,match($B11&amp;BA$2,Res_AllFuels_SEDS_2022_TBtus!$B$3:$B$53&amp;Res_AllFuels_SEDS_2022_TBtus!$A$3:$A$53,0))),0,(index(Res_AllFuels_SEDS_2022_TBtus!$D$3:$D$53,match($B11&amp;BA$2,Res_AllFuels_SEDS_2022_TBtus!$B$3:$B$53&amp;Res_AllFuels_SEDS_2022_TBtus!$A$3:$A$53,0))))</f>
        <v>0</v>
      </c>
      <c r="BB11" s="74">
        <f t="shared" si="1"/>
        <v>623</v>
      </c>
    </row>
    <row r="12" ht="15.75" customHeight="1">
      <c r="B12" s="52" t="s">
        <v>4207</v>
      </c>
      <c r="C12" s="74">
        <f t="shared" ref="C12:BA12" si="2">sum(C3:C11)</f>
        <v>31.3</v>
      </c>
      <c r="D12" s="74">
        <f t="shared" si="2"/>
        <v>19.9</v>
      </c>
      <c r="E12" s="74">
        <f t="shared" si="2"/>
        <v>43.5</v>
      </c>
      <c r="F12" s="74">
        <f t="shared" si="2"/>
        <v>31.9</v>
      </c>
      <c r="G12" s="74">
        <f t="shared" si="2"/>
        <v>447.7</v>
      </c>
      <c r="H12" s="74">
        <f t="shared" si="2"/>
        <v>148.9</v>
      </c>
      <c r="I12" s="74">
        <f t="shared" si="2"/>
        <v>52.2</v>
      </c>
      <c r="J12" s="74">
        <f t="shared" si="2"/>
        <v>12.3</v>
      </c>
      <c r="K12" s="74">
        <f t="shared" si="2"/>
        <v>12.3</v>
      </c>
      <c r="L12" s="74">
        <f t="shared" si="2"/>
        <v>19.3</v>
      </c>
      <c r="M12" s="74">
        <f t="shared" si="2"/>
        <v>138.2</v>
      </c>
      <c r="N12" s="74">
        <f t="shared" si="2"/>
        <v>0.5</v>
      </c>
      <c r="O12" s="74">
        <f t="shared" si="2"/>
        <v>36.9</v>
      </c>
      <c r="P12" s="74">
        <f t="shared" si="2"/>
        <v>442.9</v>
      </c>
      <c r="Q12" s="74">
        <f t="shared" si="2"/>
        <v>150.8</v>
      </c>
      <c r="R12" s="74">
        <f t="shared" si="2"/>
        <v>75.6</v>
      </c>
      <c r="S12" s="74">
        <f t="shared" si="2"/>
        <v>67.6</v>
      </c>
      <c r="T12" s="74">
        <f t="shared" si="2"/>
        <v>52.4</v>
      </c>
      <c r="U12" s="74">
        <f t="shared" si="2"/>
        <v>36.1</v>
      </c>
      <c r="V12" s="74">
        <f t="shared" si="2"/>
        <v>3.2</v>
      </c>
      <c r="W12" s="74">
        <f t="shared" si="2"/>
        <v>85.8</v>
      </c>
      <c r="X12" s="74">
        <f t="shared" si="2"/>
        <v>135.5</v>
      </c>
      <c r="Y12" s="74">
        <f t="shared" si="2"/>
        <v>347.8</v>
      </c>
      <c r="Z12" s="74">
        <f t="shared" si="2"/>
        <v>158.4</v>
      </c>
      <c r="AA12" s="74">
        <f t="shared" si="2"/>
        <v>23.1</v>
      </c>
      <c r="AB12" s="74">
        <f t="shared" si="2"/>
        <v>105.8</v>
      </c>
      <c r="AC12" s="74">
        <f t="shared" si="2"/>
        <v>24.5</v>
      </c>
      <c r="AD12" s="74">
        <f t="shared" si="2"/>
        <v>41.6</v>
      </c>
      <c r="AE12" s="74">
        <f t="shared" si="2"/>
        <v>49.1</v>
      </c>
      <c r="AF12" s="74">
        <f t="shared" si="2"/>
        <v>7.7</v>
      </c>
      <c r="AG12" s="74">
        <f t="shared" si="2"/>
        <v>248</v>
      </c>
      <c r="AH12" s="74">
        <f t="shared" si="2"/>
        <v>37.8</v>
      </c>
      <c r="AI12" s="74">
        <f t="shared" si="2"/>
        <v>464.2</v>
      </c>
      <c r="AJ12" s="74">
        <f t="shared" si="2"/>
        <v>74.1</v>
      </c>
      <c r="AK12" s="74">
        <f t="shared" si="2"/>
        <v>14.8</v>
      </c>
      <c r="AL12" s="74">
        <f t="shared" si="2"/>
        <v>313.4</v>
      </c>
      <c r="AM12" s="74">
        <f t="shared" si="2"/>
        <v>63.3</v>
      </c>
      <c r="AN12" s="74">
        <f t="shared" si="2"/>
        <v>52.6</v>
      </c>
      <c r="AO12" s="74">
        <f t="shared" si="2"/>
        <v>246.5</v>
      </c>
      <c r="AP12" s="74">
        <f t="shared" si="2"/>
        <v>18.8</v>
      </c>
      <c r="AQ12" s="74">
        <f t="shared" si="2"/>
        <v>34.5</v>
      </c>
      <c r="AR12" s="74">
        <f t="shared" si="2"/>
        <v>15.7</v>
      </c>
      <c r="AS12" s="74">
        <f t="shared" si="2"/>
        <v>75.8</v>
      </c>
      <c r="AT12" s="74">
        <f t="shared" si="2"/>
        <v>237.1</v>
      </c>
      <c r="AU12" s="74">
        <f t="shared" si="2"/>
        <v>82.4</v>
      </c>
      <c r="AV12" s="74">
        <f t="shared" si="2"/>
        <v>4.1</v>
      </c>
      <c r="AW12" s="74">
        <f t="shared" si="2"/>
        <v>89</v>
      </c>
      <c r="AX12" s="74">
        <f t="shared" si="2"/>
        <v>102.3</v>
      </c>
      <c r="AY12" s="74">
        <f t="shared" si="2"/>
        <v>27.2</v>
      </c>
      <c r="AZ12" s="74">
        <f t="shared" si="2"/>
        <v>156.7</v>
      </c>
      <c r="BA12" s="74">
        <f t="shared" si="2"/>
        <v>14.2</v>
      </c>
      <c r="BB12" s="74">
        <f t="shared" si="1"/>
        <v>5175.3</v>
      </c>
    </row>
    <row r="13" ht="15.75" customHeight="1"/>
    <row r="14" ht="15.75" customHeight="1"/>
    <row r="15" ht="15.75" customHeight="1">
      <c r="A15" s="70" t="s">
        <v>4238</v>
      </c>
      <c r="K15" s="40" t="s">
        <v>4240</v>
      </c>
    </row>
    <row r="16" ht="15.75" customHeight="1">
      <c r="A16" s="70" t="s">
        <v>4235</v>
      </c>
      <c r="B16" s="52" t="s">
        <v>48</v>
      </c>
      <c r="C16" s="73" t="s">
        <v>101</v>
      </c>
      <c r="D16" s="73" t="s">
        <v>171</v>
      </c>
      <c r="E16" s="73" t="s">
        <v>201</v>
      </c>
      <c r="F16" s="73" t="s">
        <v>220</v>
      </c>
      <c r="G16" s="73" t="s">
        <v>279</v>
      </c>
      <c r="H16" s="73" t="s">
        <v>339</v>
      </c>
      <c r="I16" s="73" t="s">
        <v>395</v>
      </c>
      <c r="J16" s="73" t="s">
        <v>405</v>
      </c>
      <c r="K16" s="63" t="s">
        <v>408</v>
      </c>
      <c r="L16" s="73" t="s">
        <v>410</v>
      </c>
      <c r="M16" s="73" t="s">
        <v>461</v>
      </c>
      <c r="N16" s="73" t="s">
        <v>570</v>
      </c>
      <c r="O16" s="73" t="s">
        <v>576</v>
      </c>
      <c r="P16" s="73" t="s">
        <v>608</v>
      </c>
      <c r="Q16" s="73" t="s">
        <v>663</v>
      </c>
      <c r="R16" s="73" t="s">
        <v>705</v>
      </c>
      <c r="S16" s="73" t="s">
        <v>750</v>
      </c>
      <c r="T16" s="73" t="s">
        <v>818</v>
      </c>
      <c r="U16" s="73" t="s">
        <v>875</v>
      </c>
      <c r="V16" s="73" t="s">
        <v>923</v>
      </c>
      <c r="W16" s="73" t="s">
        <v>934</v>
      </c>
      <c r="X16" s="73" t="s">
        <v>952</v>
      </c>
      <c r="Y16" s="73" t="s">
        <v>963</v>
      </c>
      <c r="Z16" s="73" t="s">
        <v>1026</v>
      </c>
      <c r="AA16" s="73" t="s">
        <v>255</v>
      </c>
      <c r="AB16" s="73" t="s">
        <v>1121</v>
      </c>
      <c r="AC16" s="73" t="s">
        <v>1162</v>
      </c>
      <c r="AD16" s="73" t="s">
        <v>1198</v>
      </c>
      <c r="AE16" s="73" t="s">
        <v>256</v>
      </c>
      <c r="AF16" s="73" t="s">
        <v>1251</v>
      </c>
      <c r="AG16" s="73" t="s">
        <v>1259</v>
      </c>
      <c r="AH16" s="73" t="s">
        <v>1271</v>
      </c>
      <c r="AI16" s="73" t="s">
        <v>1296</v>
      </c>
      <c r="AJ16" s="73" t="s">
        <v>1326</v>
      </c>
      <c r="AK16" s="73" t="s">
        <v>1390</v>
      </c>
      <c r="AL16" s="73" t="s">
        <v>683</v>
      </c>
      <c r="AM16" s="73" t="s">
        <v>1457</v>
      </c>
      <c r="AN16" s="73" t="s">
        <v>1144</v>
      </c>
      <c r="AO16" s="73" t="s">
        <v>1514</v>
      </c>
      <c r="AP16" s="73" t="s">
        <v>1546</v>
      </c>
      <c r="AQ16" s="73" t="s">
        <v>1550</v>
      </c>
      <c r="AR16" s="73" t="s">
        <v>1578</v>
      </c>
      <c r="AS16" s="73" t="s">
        <v>1616</v>
      </c>
      <c r="AT16" s="73" t="s">
        <v>1159</v>
      </c>
      <c r="AU16" s="73" t="s">
        <v>1802</v>
      </c>
      <c r="AV16" s="73" t="s">
        <v>1819</v>
      </c>
      <c r="AW16" s="73" t="s">
        <v>1828</v>
      </c>
      <c r="AX16" s="73" t="s">
        <v>167</v>
      </c>
      <c r="AY16" s="73" t="s">
        <v>1924</v>
      </c>
      <c r="AZ16" s="73" t="s">
        <v>1942</v>
      </c>
      <c r="BA16" s="73" t="s">
        <v>1323</v>
      </c>
      <c r="BB16" s="52" t="s">
        <v>4207</v>
      </c>
    </row>
    <row r="17" ht="15.75" customHeight="1">
      <c r="A17" s="71" t="s">
        <v>4230</v>
      </c>
      <c r="B17" s="74">
        <v>1.0</v>
      </c>
      <c r="C17" s="75">
        <f t="array" ref="C17">IF(ISERROR(index(Com_AllFuels_SEDS_2022_TBtus!$D$3:$D$53,match($B17&amp;C$2,Com_AllFuels_SEDS_2022_TBtus!$B$3:$B$53&amp;Com_AllFuels_SEDS_2022_TBtus!$A$3:$A$53,0))),0,(index(Com_AllFuels_SEDS_2022_TBtus!$D$3:$D$53,match($B17&amp;C$2,Com_AllFuels_SEDS_2022_TBtus!$B$3:$B$53&amp;Com_AllFuels_SEDS_2022_TBtus!$A$3:$A$53,0))))</f>
        <v>0</v>
      </c>
      <c r="D17" s="75">
        <f t="array" ref="D17">IF(ISERROR(index(Com_AllFuels_SEDS_2022_TBtus!$D$3:$D$53,match($B17&amp;D$2,Com_AllFuels_SEDS_2022_TBtus!$B$3:$B$53&amp;Com_AllFuels_SEDS_2022_TBtus!$A$3:$A$53,0))),0,(index(Com_AllFuels_SEDS_2022_TBtus!$D$3:$D$53,match($B17&amp;D$2,Com_AllFuels_SEDS_2022_TBtus!$B$3:$B$53&amp;Com_AllFuels_SEDS_2022_TBtus!$A$3:$A$53,0))))</f>
        <v>0</v>
      </c>
      <c r="E17" s="75">
        <f t="array" ref="E17">IF(ISERROR(index(Com_AllFuels_SEDS_2022_TBtus!$D$3:$D$53,match($B17&amp;E$2,Com_AllFuels_SEDS_2022_TBtus!$B$3:$B$53&amp;Com_AllFuels_SEDS_2022_TBtus!$A$3:$A$53,0))),0,(index(Com_AllFuels_SEDS_2022_TBtus!$D$3:$D$53,match($B17&amp;E$2,Com_AllFuels_SEDS_2022_TBtus!$B$3:$B$53&amp;Com_AllFuels_SEDS_2022_TBtus!$A$3:$A$53,0))))</f>
        <v>0</v>
      </c>
      <c r="F17" s="75">
        <f t="array" ref="F17">IF(ISERROR(index(Com_AllFuels_SEDS_2022_TBtus!$D$3:$D$53,match($B17&amp;F$2,Com_AllFuels_SEDS_2022_TBtus!$B$3:$B$53&amp;Com_AllFuels_SEDS_2022_TBtus!$A$3:$A$53,0))),0,(index(Com_AllFuels_SEDS_2022_TBtus!$D$3:$D$53,match($B17&amp;F$2,Com_AllFuels_SEDS_2022_TBtus!$B$3:$B$53&amp;Com_AllFuels_SEDS_2022_TBtus!$A$3:$A$53,0))))</f>
        <v>0</v>
      </c>
      <c r="G17" s="75">
        <f t="array" ref="G17">IF(ISERROR(index(Com_AllFuels_SEDS_2022_TBtus!$D$3:$D$53,match($B17&amp;G$2,Com_AllFuels_SEDS_2022_TBtus!$B$3:$B$53&amp;Com_AllFuels_SEDS_2022_TBtus!$A$3:$A$53,0))),0,(index(Com_AllFuels_SEDS_2022_TBtus!$D$3:$D$53,match($B17&amp;G$2,Com_AllFuels_SEDS_2022_TBtus!$B$3:$B$53&amp;Com_AllFuels_SEDS_2022_TBtus!$A$3:$A$53,0))))</f>
        <v>0</v>
      </c>
      <c r="H17" s="75">
        <f t="array" ref="H17">IF(ISERROR(index(Com_AllFuels_SEDS_2022_TBtus!$D$3:$D$53,match($B17&amp;H$2,Com_AllFuels_SEDS_2022_TBtus!$B$3:$B$53&amp;Com_AllFuels_SEDS_2022_TBtus!$A$3:$A$53,0))),0,(index(Com_AllFuels_SEDS_2022_TBtus!$D$3:$D$53,match($B17&amp;H$2,Com_AllFuels_SEDS_2022_TBtus!$B$3:$B$53&amp;Com_AllFuels_SEDS_2022_TBtus!$A$3:$A$53,0))))</f>
        <v>0</v>
      </c>
      <c r="I17" s="75">
        <f t="array" ref="I17">IF(ISERROR(index(Com_AllFuels_SEDS_2022_TBtus!$D$3:$D$53,match($B17&amp;I$2,Com_AllFuels_SEDS_2022_TBtus!$B$3:$B$53&amp;Com_AllFuels_SEDS_2022_TBtus!$A$3:$A$53,0))),0,(index(Com_AllFuels_SEDS_2022_TBtus!$D$3:$D$53,match($B17&amp;I$2,Com_AllFuels_SEDS_2022_TBtus!$B$3:$B$53&amp;Com_AllFuels_SEDS_2022_TBtus!$A$3:$A$53,0))))</f>
        <v>56.7</v>
      </c>
      <c r="J17" s="75">
        <f t="array" ref="J17">IF(ISERROR(index(Com_AllFuels_SEDS_2022_TBtus!$D$3:$D$53,match($B17&amp;J$2,Com_AllFuels_SEDS_2022_TBtus!$B$3:$B$53&amp;Com_AllFuels_SEDS_2022_TBtus!$A$3:$A$53,0))),0,(index(Com_AllFuels_SEDS_2022_TBtus!$D$3:$D$53,match($B17&amp;J$2,Com_AllFuels_SEDS_2022_TBtus!$B$3:$B$53&amp;Com_AllFuels_SEDS_2022_TBtus!$A$3:$A$53,0))))</f>
        <v>0</v>
      </c>
      <c r="K17" s="75">
        <f t="array" ref="K17">IF(ISERROR(index(Com_AllFuels_SEDS_2022_TBtus!$D$3:$D$53,match($B17&amp;K$2,Com_AllFuels_SEDS_2022_TBtus!$B$3:$B$53&amp;Com_AllFuels_SEDS_2022_TBtus!$A$3:$A$53,0))),0,(index(Com_AllFuels_SEDS_2022_TBtus!$D$3:$D$53,match($B17&amp;K$2,Com_AllFuels_SEDS_2022_TBtus!$B$3:$B$53&amp;Com_AllFuels_SEDS_2022_TBtus!$A$3:$A$53,0))))</f>
        <v>0</v>
      </c>
      <c r="L17" s="75">
        <f t="array" ref="L17">IF(ISERROR(index(Com_AllFuels_SEDS_2022_TBtus!$D$3:$D$53,match($B17&amp;L$2,Com_AllFuels_SEDS_2022_TBtus!$B$3:$B$53&amp;Com_AllFuels_SEDS_2022_TBtus!$A$3:$A$53,0))),0,(index(Com_AllFuels_SEDS_2022_TBtus!$D$3:$D$53,match($B17&amp;L$2,Com_AllFuels_SEDS_2022_TBtus!$B$3:$B$53&amp;Com_AllFuels_SEDS_2022_TBtus!$A$3:$A$53,0))))</f>
        <v>0</v>
      </c>
      <c r="M17" s="75">
        <f t="array" ref="M17">IF(ISERROR(index(Com_AllFuels_SEDS_2022_TBtus!$D$3:$D$53,match($B17&amp;M$2,Com_AllFuels_SEDS_2022_TBtus!$B$3:$B$53&amp;Com_AllFuels_SEDS_2022_TBtus!$A$3:$A$53,0))),0,(index(Com_AllFuels_SEDS_2022_TBtus!$D$3:$D$53,match($B17&amp;M$2,Com_AllFuels_SEDS_2022_TBtus!$B$3:$B$53&amp;Com_AllFuels_SEDS_2022_TBtus!$A$3:$A$53,0))))</f>
        <v>0</v>
      </c>
      <c r="N17" s="75">
        <f t="array" ref="N17">IF(ISERROR(index(Com_AllFuels_SEDS_2022_TBtus!$D$3:$D$53,match($B17&amp;N$2,Com_AllFuels_SEDS_2022_TBtus!$B$3:$B$53&amp;Com_AllFuels_SEDS_2022_TBtus!$A$3:$A$53,0))),0,(index(Com_AllFuels_SEDS_2022_TBtus!$D$3:$D$53,match($B17&amp;N$2,Com_AllFuels_SEDS_2022_TBtus!$B$3:$B$53&amp;Com_AllFuels_SEDS_2022_TBtus!$A$3:$A$53,0))))</f>
        <v>0</v>
      </c>
      <c r="O17" s="75">
        <f t="array" ref="O17">IF(ISERROR(index(Com_AllFuels_SEDS_2022_TBtus!$D$3:$D$53,match($B17&amp;O$2,Com_AllFuels_SEDS_2022_TBtus!$B$3:$B$53&amp;Com_AllFuels_SEDS_2022_TBtus!$A$3:$A$53,0))),0,(index(Com_AllFuels_SEDS_2022_TBtus!$D$3:$D$53,match($B17&amp;O$2,Com_AllFuels_SEDS_2022_TBtus!$B$3:$B$53&amp;Com_AllFuels_SEDS_2022_TBtus!$A$3:$A$53,0))))</f>
        <v>0</v>
      </c>
      <c r="P17" s="75">
        <f t="array" ref="P17">IF(ISERROR(index(Com_AllFuels_SEDS_2022_TBtus!$D$3:$D$53,match($B17&amp;P$2,Com_AllFuels_SEDS_2022_TBtus!$B$3:$B$53&amp;Com_AllFuels_SEDS_2022_TBtus!$A$3:$A$53,0))),0,(index(Com_AllFuels_SEDS_2022_TBtus!$D$3:$D$53,match($B17&amp;P$2,Com_AllFuels_SEDS_2022_TBtus!$B$3:$B$53&amp;Com_AllFuels_SEDS_2022_TBtus!$A$3:$A$53,0))))</f>
        <v>0</v>
      </c>
      <c r="Q17" s="75">
        <f t="array" ref="Q17">IF(ISERROR(index(Com_AllFuels_SEDS_2022_TBtus!$D$3:$D$53,match($B17&amp;Q$2,Com_AllFuels_SEDS_2022_TBtus!$B$3:$B$53&amp;Com_AllFuels_SEDS_2022_TBtus!$A$3:$A$53,0))),0,(index(Com_AllFuels_SEDS_2022_TBtus!$D$3:$D$53,match($B17&amp;Q$2,Com_AllFuels_SEDS_2022_TBtus!$B$3:$B$53&amp;Com_AllFuels_SEDS_2022_TBtus!$A$3:$A$53,0))))</f>
        <v>0</v>
      </c>
      <c r="R17" s="75">
        <f t="array" ref="R17">IF(ISERROR(index(Com_AllFuels_SEDS_2022_TBtus!$D$3:$D$53,match($B17&amp;R$2,Com_AllFuels_SEDS_2022_TBtus!$B$3:$B$53&amp;Com_AllFuels_SEDS_2022_TBtus!$A$3:$A$53,0))),0,(index(Com_AllFuels_SEDS_2022_TBtus!$D$3:$D$53,match($B17&amp;R$2,Com_AllFuels_SEDS_2022_TBtus!$B$3:$B$53&amp;Com_AllFuels_SEDS_2022_TBtus!$A$3:$A$53,0))))</f>
        <v>0</v>
      </c>
      <c r="S17" s="75">
        <f t="array" ref="S17">IF(ISERROR(index(Com_AllFuels_SEDS_2022_TBtus!$D$3:$D$53,match($B17&amp;S$2,Com_AllFuels_SEDS_2022_TBtus!$B$3:$B$53&amp;Com_AllFuels_SEDS_2022_TBtus!$A$3:$A$53,0))),0,(index(Com_AllFuels_SEDS_2022_TBtus!$D$3:$D$53,match($B17&amp;S$2,Com_AllFuels_SEDS_2022_TBtus!$B$3:$B$53&amp;Com_AllFuels_SEDS_2022_TBtus!$A$3:$A$53,0))))</f>
        <v>0</v>
      </c>
      <c r="T17" s="75">
        <f t="array" ref="T17">IF(ISERROR(index(Com_AllFuels_SEDS_2022_TBtus!$D$3:$D$53,match($B17&amp;T$2,Com_AllFuels_SEDS_2022_TBtus!$B$3:$B$53&amp;Com_AllFuels_SEDS_2022_TBtus!$A$3:$A$53,0))),0,(index(Com_AllFuels_SEDS_2022_TBtus!$D$3:$D$53,match($B17&amp;T$2,Com_AllFuels_SEDS_2022_TBtus!$B$3:$B$53&amp;Com_AllFuels_SEDS_2022_TBtus!$A$3:$A$53,0))))</f>
        <v>0</v>
      </c>
      <c r="U17" s="75">
        <f t="array" ref="U17">IF(ISERROR(index(Com_AllFuels_SEDS_2022_TBtus!$D$3:$D$53,match($B17&amp;U$2,Com_AllFuels_SEDS_2022_TBtus!$B$3:$B$53&amp;Com_AllFuels_SEDS_2022_TBtus!$A$3:$A$53,0))),0,(index(Com_AllFuels_SEDS_2022_TBtus!$D$3:$D$53,match($B17&amp;U$2,Com_AllFuels_SEDS_2022_TBtus!$B$3:$B$53&amp;Com_AllFuels_SEDS_2022_TBtus!$A$3:$A$53,0))))</f>
        <v>0</v>
      </c>
      <c r="V17" s="75">
        <f t="array" ref="V17">IF(ISERROR(index(Com_AllFuels_SEDS_2022_TBtus!$D$3:$D$53,match($B17&amp;V$2,Com_AllFuels_SEDS_2022_TBtus!$B$3:$B$53&amp;Com_AllFuels_SEDS_2022_TBtus!$A$3:$A$53,0))),0,(index(Com_AllFuels_SEDS_2022_TBtus!$D$3:$D$53,match($B17&amp;V$2,Com_AllFuels_SEDS_2022_TBtus!$B$3:$B$53&amp;Com_AllFuels_SEDS_2022_TBtus!$A$3:$A$53,0))))</f>
        <v>9.8</v>
      </c>
      <c r="W17" s="75">
        <f t="array" ref="W17">IF(ISERROR(index(Com_AllFuels_SEDS_2022_TBtus!$D$3:$D$53,match($B17&amp;W$2,Com_AllFuels_SEDS_2022_TBtus!$B$3:$B$53&amp;Com_AllFuels_SEDS_2022_TBtus!$A$3:$A$53,0))),0,(index(Com_AllFuels_SEDS_2022_TBtus!$D$3:$D$53,match($B17&amp;W$2,Com_AllFuels_SEDS_2022_TBtus!$B$3:$B$53&amp;Com_AllFuels_SEDS_2022_TBtus!$A$3:$A$53,0))))</f>
        <v>0</v>
      </c>
      <c r="X17" s="75">
        <f t="array" ref="X17">IF(ISERROR(index(Com_AllFuels_SEDS_2022_TBtus!$D$3:$D$53,match($B17&amp;X$2,Com_AllFuels_SEDS_2022_TBtus!$B$3:$B$53&amp;Com_AllFuels_SEDS_2022_TBtus!$A$3:$A$53,0))),0,(index(Com_AllFuels_SEDS_2022_TBtus!$D$3:$D$53,match($B17&amp;X$2,Com_AllFuels_SEDS_2022_TBtus!$B$3:$B$53&amp;Com_AllFuels_SEDS_2022_TBtus!$A$3:$A$53,0))))</f>
        <v>120.2</v>
      </c>
      <c r="Y17" s="75">
        <f t="array" ref="Y17">IF(ISERROR(index(Com_AllFuels_SEDS_2022_TBtus!$D$3:$D$53,match($B17&amp;Y$2,Com_AllFuels_SEDS_2022_TBtus!$B$3:$B$53&amp;Com_AllFuels_SEDS_2022_TBtus!$A$3:$A$53,0))),0,(index(Com_AllFuels_SEDS_2022_TBtus!$D$3:$D$53,match($B17&amp;Y$2,Com_AllFuels_SEDS_2022_TBtus!$B$3:$B$53&amp;Com_AllFuels_SEDS_2022_TBtus!$A$3:$A$53,0))))</f>
        <v>0</v>
      </c>
      <c r="Z17" s="75">
        <f t="array" ref="Z17">IF(ISERROR(index(Com_AllFuels_SEDS_2022_TBtus!$D$3:$D$53,match($B17&amp;Z$2,Com_AllFuels_SEDS_2022_TBtus!$B$3:$B$53&amp;Com_AllFuels_SEDS_2022_TBtus!$A$3:$A$53,0))),0,(index(Com_AllFuels_SEDS_2022_TBtus!$D$3:$D$53,match($B17&amp;Z$2,Com_AllFuels_SEDS_2022_TBtus!$B$3:$B$53&amp;Com_AllFuels_SEDS_2022_TBtus!$A$3:$A$53,0))))</f>
        <v>0</v>
      </c>
      <c r="AA17" s="75">
        <f t="array" ref="AA17">IF(ISERROR(index(Com_AllFuels_SEDS_2022_TBtus!$D$3:$D$53,match($B17&amp;AA$2,Com_AllFuels_SEDS_2022_TBtus!$B$3:$B$53&amp;Com_AllFuels_SEDS_2022_TBtus!$A$3:$A$53,0))),0,(index(Com_AllFuels_SEDS_2022_TBtus!$D$3:$D$53,match($B17&amp;AA$2,Com_AllFuels_SEDS_2022_TBtus!$B$3:$B$53&amp;Com_AllFuels_SEDS_2022_TBtus!$A$3:$A$53,0))))</f>
        <v>0</v>
      </c>
      <c r="AB17" s="75">
        <f t="array" ref="AB17">IF(ISERROR(index(Com_AllFuels_SEDS_2022_TBtus!$D$3:$D$53,match($B17&amp;AB$2,Com_AllFuels_SEDS_2022_TBtus!$B$3:$B$53&amp;Com_AllFuels_SEDS_2022_TBtus!$A$3:$A$53,0))),0,(index(Com_AllFuels_SEDS_2022_TBtus!$D$3:$D$53,match($B17&amp;AB$2,Com_AllFuels_SEDS_2022_TBtus!$B$3:$B$53&amp;Com_AllFuels_SEDS_2022_TBtus!$A$3:$A$53,0))))</f>
        <v>0</v>
      </c>
      <c r="AC17" s="75">
        <f t="array" ref="AC17">IF(ISERROR(index(Com_AllFuels_SEDS_2022_TBtus!$D$3:$D$53,match($B17&amp;AC$2,Com_AllFuels_SEDS_2022_TBtus!$B$3:$B$53&amp;Com_AllFuels_SEDS_2022_TBtus!$A$3:$A$53,0))),0,(index(Com_AllFuels_SEDS_2022_TBtus!$D$3:$D$53,match($B17&amp;AC$2,Com_AllFuels_SEDS_2022_TBtus!$B$3:$B$53&amp;Com_AllFuels_SEDS_2022_TBtus!$A$3:$A$53,0))))</f>
        <v>0</v>
      </c>
      <c r="AD17" s="75">
        <f t="array" ref="AD17">IF(ISERROR(index(Com_AllFuels_SEDS_2022_TBtus!$D$3:$D$53,match($B17&amp;AD$2,Com_AllFuels_SEDS_2022_TBtus!$B$3:$B$53&amp;Com_AllFuels_SEDS_2022_TBtus!$A$3:$A$53,0))),0,(index(Com_AllFuels_SEDS_2022_TBtus!$D$3:$D$53,match($B17&amp;AD$2,Com_AllFuels_SEDS_2022_TBtus!$B$3:$B$53&amp;Com_AllFuels_SEDS_2022_TBtus!$A$3:$A$53,0))))</f>
        <v>0</v>
      </c>
      <c r="AE17" s="75">
        <f t="array" ref="AE17">IF(ISERROR(index(Com_AllFuels_SEDS_2022_TBtus!$D$3:$D$53,match($B17&amp;AE$2,Com_AllFuels_SEDS_2022_TBtus!$B$3:$B$53&amp;Com_AllFuels_SEDS_2022_TBtus!$A$3:$A$53,0))),0,(index(Com_AllFuels_SEDS_2022_TBtus!$D$3:$D$53,match($B17&amp;AE$2,Com_AllFuels_SEDS_2022_TBtus!$B$3:$B$53&amp;Com_AllFuels_SEDS_2022_TBtus!$A$3:$A$53,0))))</f>
        <v>0</v>
      </c>
      <c r="AF17" s="75">
        <f t="array" ref="AF17">IF(ISERROR(index(Com_AllFuels_SEDS_2022_TBtus!$D$3:$D$53,match($B17&amp;AF$2,Com_AllFuels_SEDS_2022_TBtus!$B$3:$B$53&amp;Com_AllFuels_SEDS_2022_TBtus!$A$3:$A$53,0))),0,(index(Com_AllFuels_SEDS_2022_TBtus!$D$3:$D$53,match($B17&amp;AF$2,Com_AllFuels_SEDS_2022_TBtus!$B$3:$B$53&amp;Com_AllFuels_SEDS_2022_TBtus!$A$3:$A$53,0))))</f>
        <v>9.7</v>
      </c>
      <c r="AG17" s="75">
        <f t="array" ref="AG17">IF(ISERROR(index(Com_AllFuels_SEDS_2022_TBtus!$D$3:$D$53,match($B17&amp;AG$2,Com_AllFuels_SEDS_2022_TBtus!$B$3:$B$53&amp;Com_AllFuels_SEDS_2022_TBtus!$A$3:$A$53,0))),0,(index(Com_AllFuels_SEDS_2022_TBtus!$D$3:$D$53,match($B17&amp;AG$2,Com_AllFuels_SEDS_2022_TBtus!$B$3:$B$53&amp;Com_AllFuels_SEDS_2022_TBtus!$A$3:$A$53,0))))</f>
        <v>0</v>
      </c>
      <c r="AH17" s="75">
        <f t="array" ref="AH17">IF(ISERROR(index(Com_AllFuels_SEDS_2022_TBtus!$D$3:$D$53,match($B17&amp;AH$2,Com_AllFuels_SEDS_2022_TBtus!$B$3:$B$53&amp;Com_AllFuels_SEDS_2022_TBtus!$A$3:$A$53,0))),0,(index(Com_AllFuels_SEDS_2022_TBtus!$D$3:$D$53,match($B17&amp;AH$2,Com_AllFuels_SEDS_2022_TBtus!$B$3:$B$53&amp;Com_AllFuels_SEDS_2022_TBtus!$A$3:$A$53,0))))</f>
        <v>0</v>
      </c>
      <c r="AI17" s="75">
        <f t="array" ref="AI17">IF(ISERROR(index(Com_AllFuels_SEDS_2022_TBtus!$D$3:$D$53,match($B17&amp;AI$2,Com_AllFuels_SEDS_2022_TBtus!$B$3:$B$53&amp;Com_AllFuels_SEDS_2022_TBtus!$A$3:$A$53,0))),0,(index(Com_AllFuels_SEDS_2022_TBtus!$D$3:$D$53,match($B17&amp;AI$2,Com_AllFuels_SEDS_2022_TBtus!$B$3:$B$53&amp;Com_AllFuels_SEDS_2022_TBtus!$A$3:$A$53,0))))</f>
        <v>0</v>
      </c>
      <c r="AJ17" s="75">
        <f t="array" ref="AJ17">IF(ISERROR(index(Com_AllFuels_SEDS_2022_TBtus!$D$3:$D$53,match($B17&amp;AJ$2,Com_AllFuels_SEDS_2022_TBtus!$B$3:$B$53&amp;Com_AllFuels_SEDS_2022_TBtus!$A$3:$A$53,0))),0,(index(Com_AllFuels_SEDS_2022_TBtus!$D$3:$D$53,match($B17&amp;AJ$2,Com_AllFuels_SEDS_2022_TBtus!$B$3:$B$53&amp;Com_AllFuels_SEDS_2022_TBtus!$A$3:$A$53,0))))</f>
        <v>0</v>
      </c>
      <c r="AK17" s="75">
        <f t="array" ref="AK17">IF(ISERROR(index(Com_AllFuels_SEDS_2022_TBtus!$D$3:$D$53,match($B17&amp;AK$2,Com_AllFuels_SEDS_2022_TBtus!$B$3:$B$53&amp;Com_AllFuels_SEDS_2022_TBtus!$A$3:$A$53,0))),0,(index(Com_AllFuels_SEDS_2022_TBtus!$D$3:$D$53,match($B17&amp;AK$2,Com_AllFuels_SEDS_2022_TBtus!$B$3:$B$53&amp;Com_AllFuels_SEDS_2022_TBtus!$A$3:$A$53,0))))</f>
        <v>0</v>
      </c>
      <c r="AL17" s="75">
        <f t="array" ref="AL17">IF(ISERROR(index(Com_AllFuels_SEDS_2022_TBtus!$D$3:$D$53,match($B17&amp;AL$2,Com_AllFuels_SEDS_2022_TBtus!$B$3:$B$53&amp;Com_AllFuels_SEDS_2022_TBtus!$A$3:$A$53,0))),0,(index(Com_AllFuels_SEDS_2022_TBtus!$D$3:$D$53,match($B17&amp;AL$2,Com_AllFuels_SEDS_2022_TBtus!$B$3:$B$53&amp;Com_AllFuels_SEDS_2022_TBtus!$A$3:$A$53,0))))</f>
        <v>0</v>
      </c>
      <c r="AM17" s="75">
        <f t="array" ref="AM17">IF(ISERROR(index(Com_AllFuels_SEDS_2022_TBtus!$D$3:$D$53,match($B17&amp;AM$2,Com_AllFuels_SEDS_2022_TBtus!$B$3:$B$53&amp;Com_AllFuels_SEDS_2022_TBtus!$A$3:$A$53,0))),0,(index(Com_AllFuels_SEDS_2022_TBtus!$D$3:$D$53,match($B17&amp;AM$2,Com_AllFuels_SEDS_2022_TBtus!$B$3:$B$53&amp;Com_AllFuels_SEDS_2022_TBtus!$A$3:$A$53,0))))</f>
        <v>0</v>
      </c>
      <c r="AN17" s="75">
        <f t="array" ref="AN17">IF(ISERROR(index(Com_AllFuels_SEDS_2022_TBtus!$D$3:$D$53,match($B17&amp;AN$2,Com_AllFuels_SEDS_2022_TBtus!$B$3:$B$53&amp;Com_AllFuels_SEDS_2022_TBtus!$A$3:$A$53,0))),0,(index(Com_AllFuels_SEDS_2022_TBtus!$D$3:$D$53,match($B17&amp;AN$2,Com_AllFuels_SEDS_2022_TBtus!$B$3:$B$53&amp;Com_AllFuels_SEDS_2022_TBtus!$A$3:$A$53,0))))</f>
        <v>0</v>
      </c>
      <c r="AO17" s="75">
        <f t="array" ref="AO17">IF(ISERROR(index(Com_AllFuels_SEDS_2022_TBtus!$D$3:$D$53,match($B17&amp;AO$2,Com_AllFuels_SEDS_2022_TBtus!$B$3:$B$53&amp;Com_AllFuels_SEDS_2022_TBtus!$A$3:$A$53,0))),0,(index(Com_AllFuels_SEDS_2022_TBtus!$D$3:$D$53,match($B17&amp;AO$2,Com_AllFuels_SEDS_2022_TBtus!$B$3:$B$53&amp;Com_AllFuels_SEDS_2022_TBtus!$A$3:$A$53,0))))</f>
        <v>0</v>
      </c>
      <c r="AP17" s="75">
        <f t="array" ref="AP17">IF(ISERROR(index(Com_AllFuels_SEDS_2022_TBtus!$D$3:$D$53,match($B17&amp;AP$2,Com_AllFuels_SEDS_2022_TBtus!$B$3:$B$53&amp;Com_AllFuels_SEDS_2022_TBtus!$A$3:$A$53,0))),0,(index(Com_AllFuels_SEDS_2022_TBtus!$D$3:$D$53,match($B17&amp;AP$2,Com_AllFuels_SEDS_2022_TBtus!$B$3:$B$53&amp;Com_AllFuels_SEDS_2022_TBtus!$A$3:$A$53,0))))</f>
        <v>11.5</v>
      </c>
      <c r="AQ17" s="75">
        <f t="array" ref="AQ17">IF(ISERROR(index(Com_AllFuels_SEDS_2022_TBtus!$D$3:$D$53,match($B17&amp;AQ$2,Com_AllFuels_SEDS_2022_TBtus!$B$3:$B$53&amp;Com_AllFuels_SEDS_2022_TBtus!$A$3:$A$53,0))),0,(index(Com_AllFuels_SEDS_2022_TBtus!$D$3:$D$53,match($B17&amp;AQ$2,Com_AllFuels_SEDS_2022_TBtus!$B$3:$B$53&amp;Com_AllFuels_SEDS_2022_TBtus!$A$3:$A$53,0))))</f>
        <v>0</v>
      </c>
      <c r="AR17" s="75">
        <f t="array" ref="AR17">IF(ISERROR(index(Com_AllFuels_SEDS_2022_TBtus!$D$3:$D$53,match($B17&amp;AR$2,Com_AllFuels_SEDS_2022_TBtus!$B$3:$B$53&amp;Com_AllFuels_SEDS_2022_TBtus!$A$3:$A$53,0))),0,(index(Com_AllFuels_SEDS_2022_TBtus!$D$3:$D$53,match($B17&amp;AR$2,Com_AllFuels_SEDS_2022_TBtus!$B$3:$B$53&amp;Com_AllFuels_SEDS_2022_TBtus!$A$3:$A$53,0))))</f>
        <v>0</v>
      </c>
      <c r="AS17" s="75">
        <f t="array" ref="AS17">IF(ISERROR(index(Com_AllFuels_SEDS_2022_TBtus!$D$3:$D$53,match($B17&amp;AS$2,Com_AllFuels_SEDS_2022_TBtus!$B$3:$B$53&amp;Com_AllFuels_SEDS_2022_TBtus!$A$3:$A$53,0))),0,(index(Com_AllFuels_SEDS_2022_TBtus!$D$3:$D$53,match($B17&amp;AS$2,Com_AllFuels_SEDS_2022_TBtus!$B$3:$B$53&amp;Com_AllFuels_SEDS_2022_TBtus!$A$3:$A$53,0))))</f>
        <v>0</v>
      </c>
      <c r="AT17" s="75">
        <f t="array" ref="AT17">IF(ISERROR(index(Com_AllFuels_SEDS_2022_TBtus!$D$3:$D$53,match($B17&amp;AT$2,Com_AllFuels_SEDS_2022_TBtus!$B$3:$B$53&amp;Com_AllFuels_SEDS_2022_TBtus!$A$3:$A$53,0))),0,(index(Com_AllFuels_SEDS_2022_TBtus!$D$3:$D$53,match($B17&amp;AT$2,Com_AllFuels_SEDS_2022_TBtus!$B$3:$B$53&amp;Com_AllFuels_SEDS_2022_TBtus!$A$3:$A$53,0))))</f>
        <v>0</v>
      </c>
      <c r="AU17" s="75">
        <f t="array" ref="AU17">IF(ISERROR(index(Com_AllFuels_SEDS_2022_TBtus!$D$3:$D$53,match($B17&amp;AU$2,Com_AllFuels_SEDS_2022_TBtus!$B$3:$B$53&amp;Com_AllFuels_SEDS_2022_TBtus!$A$3:$A$53,0))),0,(index(Com_AllFuels_SEDS_2022_TBtus!$D$3:$D$53,match($B17&amp;AU$2,Com_AllFuels_SEDS_2022_TBtus!$B$3:$B$53&amp;Com_AllFuels_SEDS_2022_TBtus!$A$3:$A$53,0))))</f>
        <v>0</v>
      </c>
      <c r="AV17" s="75">
        <f t="array" ref="AV17">IF(ISERROR(index(Com_AllFuels_SEDS_2022_TBtus!$D$3:$D$53,match($B17&amp;AV$2,Com_AllFuels_SEDS_2022_TBtus!$B$3:$B$53&amp;Com_AllFuels_SEDS_2022_TBtus!$A$3:$A$53,0))),0,(index(Com_AllFuels_SEDS_2022_TBtus!$D$3:$D$53,match($B17&amp;AV$2,Com_AllFuels_SEDS_2022_TBtus!$B$3:$B$53&amp;Com_AllFuels_SEDS_2022_TBtus!$A$3:$A$53,0))))</f>
        <v>7.7</v>
      </c>
      <c r="AW17" s="75">
        <f t="array" ref="AW17">IF(ISERROR(index(Com_AllFuels_SEDS_2022_TBtus!$D$3:$D$53,match($B17&amp;AW$2,Com_AllFuels_SEDS_2022_TBtus!$B$3:$B$53&amp;Com_AllFuels_SEDS_2022_TBtus!$A$3:$A$53,0))),0,(index(Com_AllFuels_SEDS_2022_TBtus!$D$3:$D$53,match($B17&amp;AW$2,Com_AllFuels_SEDS_2022_TBtus!$B$3:$B$53&amp;Com_AllFuels_SEDS_2022_TBtus!$A$3:$A$53,0))))</f>
        <v>0</v>
      </c>
      <c r="AX17" s="75">
        <f t="array" ref="AX17">IF(ISERROR(index(Com_AllFuels_SEDS_2022_TBtus!$D$3:$D$53,match($B17&amp;AX$2,Com_AllFuels_SEDS_2022_TBtus!$B$3:$B$53&amp;Com_AllFuels_SEDS_2022_TBtus!$A$3:$A$53,0))),0,(index(Com_AllFuels_SEDS_2022_TBtus!$D$3:$D$53,match($B17&amp;AX$2,Com_AllFuels_SEDS_2022_TBtus!$B$3:$B$53&amp;Com_AllFuels_SEDS_2022_TBtus!$A$3:$A$53,0))))</f>
        <v>0</v>
      </c>
      <c r="AY17" s="75">
        <f t="array" ref="AY17">IF(ISERROR(index(Com_AllFuels_SEDS_2022_TBtus!$D$3:$D$53,match($B17&amp;AY$2,Com_AllFuels_SEDS_2022_TBtus!$B$3:$B$53&amp;Com_AllFuels_SEDS_2022_TBtus!$A$3:$A$53,0))),0,(index(Com_AllFuels_SEDS_2022_TBtus!$D$3:$D$53,match($B17&amp;AY$2,Com_AllFuels_SEDS_2022_TBtus!$B$3:$B$53&amp;Com_AllFuels_SEDS_2022_TBtus!$A$3:$A$53,0))))</f>
        <v>0</v>
      </c>
      <c r="AZ17" s="75">
        <f t="array" ref="AZ17">IF(ISERROR(index(Com_AllFuels_SEDS_2022_TBtus!$D$3:$D$53,match($B17&amp;AZ$2,Com_AllFuels_SEDS_2022_TBtus!$B$3:$B$53&amp;Com_AllFuels_SEDS_2022_TBtus!$A$3:$A$53,0))),0,(index(Com_AllFuels_SEDS_2022_TBtus!$D$3:$D$53,match($B17&amp;AZ$2,Com_AllFuels_SEDS_2022_TBtus!$B$3:$B$53&amp;Com_AllFuels_SEDS_2022_TBtus!$A$3:$A$53,0))))</f>
        <v>0</v>
      </c>
      <c r="BA17" s="75">
        <f t="array" ref="BA17">IF(ISERROR(index(Com_AllFuels_SEDS_2022_TBtus!$D$3:$D$53,match($B17&amp;BA$2,Com_AllFuels_SEDS_2022_TBtus!$B$3:$B$53&amp;Com_AllFuels_SEDS_2022_TBtus!$A$3:$A$53,0))),0,(index(Com_AllFuels_SEDS_2022_TBtus!$D$3:$D$53,match($B17&amp;BA$2,Com_AllFuels_SEDS_2022_TBtus!$B$3:$B$53&amp;Com_AllFuels_SEDS_2022_TBtus!$A$3:$A$53,0))))</f>
        <v>0</v>
      </c>
      <c r="BB17" s="74">
        <f t="shared" ref="BB17:BB26" si="3">sum(C17:BA17)</f>
        <v>215.6</v>
      </c>
    </row>
    <row r="18" ht="15.75" customHeight="1">
      <c r="B18" s="74">
        <v>2.0</v>
      </c>
      <c r="C18" s="75">
        <f t="array" ref="C18">IF(ISERROR(index(Com_AllFuels_SEDS_2022_TBtus!$D$3:$D$53,match($B18&amp;C$2,Com_AllFuels_SEDS_2022_TBtus!$B$3:$B$53&amp;Com_AllFuels_SEDS_2022_TBtus!$A$3:$A$53,0))),0,(index(Com_AllFuels_SEDS_2022_TBtus!$D$3:$D$53,match($B18&amp;C$2,Com_AllFuels_SEDS_2022_TBtus!$B$3:$B$53&amp;Com_AllFuels_SEDS_2022_TBtus!$A$3:$A$53,0))))</f>
        <v>0</v>
      </c>
      <c r="D18" s="75">
        <f t="array" ref="D18">IF(ISERROR(index(Com_AllFuels_SEDS_2022_TBtus!$D$3:$D$53,match($B18&amp;D$2,Com_AllFuels_SEDS_2022_TBtus!$B$3:$B$53&amp;Com_AllFuels_SEDS_2022_TBtus!$A$3:$A$53,0))),0,(index(Com_AllFuels_SEDS_2022_TBtus!$D$3:$D$53,match($B18&amp;D$2,Com_AllFuels_SEDS_2022_TBtus!$B$3:$B$53&amp;Com_AllFuels_SEDS_2022_TBtus!$A$3:$A$53,0))))</f>
        <v>0</v>
      </c>
      <c r="E18" s="75">
        <f t="array" ref="E18">IF(ISERROR(index(Com_AllFuels_SEDS_2022_TBtus!$D$3:$D$53,match($B18&amp;E$2,Com_AllFuels_SEDS_2022_TBtus!$B$3:$B$53&amp;Com_AllFuels_SEDS_2022_TBtus!$A$3:$A$53,0))),0,(index(Com_AllFuels_SEDS_2022_TBtus!$D$3:$D$53,match($B18&amp;E$2,Com_AllFuels_SEDS_2022_TBtus!$B$3:$B$53&amp;Com_AllFuels_SEDS_2022_TBtus!$A$3:$A$53,0))))</f>
        <v>0</v>
      </c>
      <c r="F18" s="75">
        <f t="array" ref="F18">IF(ISERROR(index(Com_AllFuels_SEDS_2022_TBtus!$D$3:$D$53,match($B18&amp;F$2,Com_AllFuels_SEDS_2022_TBtus!$B$3:$B$53&amp;Com_AllFuels_SEDS_2022_TBtus!$A$3:$A$53,0))),0,(index(Com_AllFuels_SEDS_2022_TBtus!$D$3:$D$53,match($B18&amp;F$2,Com_AllFuels_SEDS_2022_TBtus!$B$3:$B$53&amp;Com_AllFuels_SEDS_2022_TBtus!$A$3:$A$53,0))))</f>
        <v>0</v>
      </c>
      <c r="G18" s="75">
        <f t="array" ref="G18">IF(ISERROR(index(Com_AllFuels_SEDS_2022_TBtus!$D$3:$D$53,match($B18&amp;G$2,Com_AllFuels_SEDS_2022_TBtus!$B$3:$B$53&amp;Com_AllFuels_SEDS_2022_TBtus!$A$3:$A$53,0))),0,(index(Com_AllFuels_SEDS_2022_TBtus!$D$3:$D$53,match($B18&amp;G$2,Com_AllFuels_SEDS_2022_TBtus!$B$3:$B$53&amp;Com_AllFuels_SEDS_2022_TBtus!$A$3:$A$53,0))))</f>
        <v>0</v>
      </c>
      <c r="H18" s="75">
        <f t="array" ref="H18">IF(ISERROR(index(Com_AllFuels_SEDS_2022_TBtus!$D$3:$D$53,match($B18&amp;H$2,Com_AllFuels_SEDS_2022_TBtus!$B$3:$B$53&amp;Com_AllFuels_SEDS_2022_TBtus!$A$3:$A$53,0))),0,(index(Com_AllFuels_SEDS_2022_TBtus!$D$3:$D$53,match($B18&amp;H$2,Com_AllFuels_SEDS_2022_TBtus!$B$3:$B$53&amp;Com_AllFuels_SEDS_2022_TBtus!$A$3:$A$53,0))))</f>
        <v>0</v>
      </c>
      <c r="I18" s="75">
        <f t="array" ref="I18">IF(ISERROR(index(Com_AllFuels_SEDS_2022_TBtus!$D$3:$D$53,match($B18&amp;I$2,Com_AllFuels_SEDS_2022_TBtus!$B$3:$B$53&amp;Com_AllFuels_SEDS_2022_TBtus!$A$3:$A$53,0))),0,(index(Com_AllFuels_SEDS_2022_TBtus!$D$3:$D$53,match($B18&amp;I$2,Com_AllFuels_SEDS_2022_TBtus!$B$3:$B$53&amp;Com_AllFuels_SEDS_2022_TBtus!$A$3:$A$53,0))))</f>
        <v>0</v>
      </c>
      <c r="J18" s="75">
        <f t="array" ref="J18">IF(ISERROR(index(Com_AllFuels_SEDS_2022_TBtus!$D$3:$D$53,match($B18&amp;J$2,Com_AllFuels_SEDS_2022_TBtus!$B$3:$B$53&amp;Com_AllFuels_SEDS_2022_TBtus!$A$3:$A$53,0))),0,(index(Com_AllFuels_SEDS_2022_TBtus!$D$3:$D$53,match($B18&amp;J$2,Com_AllFuels_SEDS_2022_TBtus!$B$3:$B$53&amp;Com_AllFuels_SEDS_2022_TBtus!$A$3:$A$53,0))))</f>
        <v>0</v>
      </c>
      <c r="K18" s="75">
        <f t="array" ref="K18">IF(ISERROR(index(Com_AllFuels_SEDS_2022_TBtus!$D$3:$D$53,match($B18&amp;K$2,Com_AllFuels_SEDS_2022_TBtus!$B$3:$B$53&amp;Com_AllFuels_SEDS_2022_TBtus!$A$3:$A$53,0))),0,(index(Com_AllFuels_SEDS_2022_TBtus!$D$3:$D$53,match($B18&amp;K$2,Com_AllFuels_SEDS_2022_TBtus!$B$3:$B$53&amp;Com_AllFuels_SEDS_2022_TBtus!$A$3:$A$53,0))))</f>
        <v>0</v>
      </c>
      <c r="L18" s="75">
        <f t="array" ref="L18">IF(ISERROR(index(Com_AllFuels_SEDS_2022_TBtus!$D$3:$D$53,match($B18&amp;L$2,Com_AllFuels_SEDS_2022_TBtus!$B$3:$B$53&amp;Com_AllFuels_SEDS_2022_TBtus!$A$3:$A$53,0))),0,(index(Com_AllFuels_SEDS_2022_TBtus!$D$3:$D$53,match($B18&amp;L$2,Com_AllFuels_SEDS_2022_TBtus!$B$3:$B$53&amp;Com_AllFuels_SEDS_2022_TBtus!$A$3:$A$53,0))))</f>
        <v>0</v>
      </c>
      <c r="M18" s="75">
        <f t="array" ref="M18">IF(ISERROR(index(Com_AllFuels_SEDS_2022_TBtus!$D$3:$D$53,match($B18&amp;M$2,Com_AllFuels_SEDS_2022_TBtus!$B$3:$B$53&amp;Com_AllFuels_SEDS_2022_TBtus!$A$3:$A$53,0))),0,(index(Com_AllFuels_SEDS_2022_TBtus!$D$3:$D$53,match($B18&amp;M$2,Com_AllFuels_SEDS_2022_TBtus!$B$3:$B$53&amp;Com_AllFuels_SEDS_2022_TBtus!$A$3:$A$53,0))))</f>
        <v>0</v>
      </c>
      <c r="N18" s="75">
        <f t="array" ref="N18">IF(ISERROR(index(Com_AllFuels_SEDS_2022_TBtus!$D$3:$D$53,match($B18&amp;N$2,Com_AllFuels_SEDS_2022_TBtus!$B$3:$B$53&amp;Com_AllFuels_SEDS_2022_TBtus!$A$3:$A$53,0))),0,(index(Com_AllFuels_SEDS_2022_TBtus!$D$3:$D$53,match($B18&amp;N$2,Com_AllFuels_SEDS_2022_TBtus!$B$3:$B$53&amp;Com_AllFuels_SEDS_2022_TBtus!$A$3:$A$53,0))))</f>
        <v>0</v>
      </c>
      <c r="O18" s="75">
        <f t="array" ref="O18">IF(ISERROR(index(Com_AllFuels_SEDS_2022_TBtus!$D$3:$D$53,match($B18&amp;O$2,Com_AllFuels_SEDS_2022_TBtus!$B$3:$B$53&amp;Com_AllFuels_SEDS_2022_TBtus!$A$3:$A$53,0))),0,(index(Com_AllFuels_SEDS_2022_TBtus!$D$3:$D$53,match($B18&amp;O$2,Com_AllFuels_SEDS_2022_TBtus!$B$3:$B$53&amp;Com_AllFuels_SEDS_2022_TBtus!$A$3:$A$53,0))))</f>
        <v>0</v>
      </c>
      <c r="P18" s="75">
        <f t="array" ref="P18">IF(ISERROR(index(Com_AllFuels_SEDS_2022_TBtus!$D$3:$D$53,match($B18&amp;P$2,Com_AllFuels_SEDS_2022_TBtus!$B$3:$B$53&amp;Com_AllFuels_SEDS_2022_TBtus!$A$3:$A$53,0))),0,(index(Com_AllFuels_SEDS_2022_TBtus!$D$3:$D$53,match($B18&amp;P$2,Com_AllFuels_SEDS_2022_TBtus!$B$3:$B$53&amp;Com_AllFuels_SEDS_2022_TBtus!$A$3:$A$53,0))))</f>
        <v>0</v>
      </c>
      <c r="Q18" s="75">
        <f t="array" ref="Q18">IF(ISERROR(index(Com_AllFuels_SEDS_2022_TBtus!$D$3:$D$53,match($B18&amp;Q$2,Com_AllFuels_SEDS_2022_TBtus!$B$3:$B$53&amp;Com_AllFuels_SEDS_2022_TBtus!$A$3:$A$53,0))),0,(index(Com_AllFuels_SEDS_2022_TBtus!$D$3:$D$53,match($B18&amp;Q$2,Com_AllFuels_SEDS_2022_TBtus!$B$3:$B$53&amp;Com_AllFuels_SEDS_2022_TBtus!$A$3:$A$53,0))))</f>
        <v>0</v>
      </c>
      <c r="R18" s="75">
        <f t="array" ref="R18">IF(ISERROR(index(Com_AllFuels_SEDS_2022_TBtus!$D$3:$D$53,match($B18&amp;R$2,Com_AllFuels_SEDS_2022_TBtus!$B$3:$B$53&amp;Com_AllFuels_SEDS_2022_TBtus!$A$3:$A$53,0))),0,(index(Com_AllFuels_SEDS_2022_TBtus!$D$3:$D$53,match($B18&amp;R$2,Com_AllFuels_SEDS_2022_TBtus!$B$3:$B$53&amp;Com_AllFuels_SEDS_2022_TBtus!$A$3:$A$53,0))))</f>
        <v>0</v>
      </c>
      <c r="S18" s="75">
        <f t="array" ref="S18">IF(ISERROR(index(Com_AllFuels_SEDS_2022_TBtus!$D$3:$D$53,match($B18&amp;S$2,Com_AllFuels_SEDS_2022_TBtus!$B$3:$B$53&amp;Com_AllFuels_SEDS_2022_TBtus!$A$3:$A$53,0))),0,(index(Com_AllFuels_SEDS_2022_TBtus!$D$3:$D$53,match($B18&amp;S$2,Com_AllFuels_SEDS_2022_TBtus!$B$3:$B$53&amp;Com_AllFuels_SEDS_2022_TBtus!$A$3:$A$53,0))))</f>
        <v>0</v>
      </c>
      <c r="T18" s="75">
        <f t="array" ref="T18">IF(ISERROR(index(Com_AllFuels_SEDS_2022_TBtus!$D$3:$D$53,match($B18&amp;T$2,Com_AllFuels_SEDS_2022_TBtus!$B$3:$B$53&amp;Com_AllFuels_SEDS_2022_TBtus!$A$3:$A$53,0))),0,(index(Com_AllFuels_SEDS_2022_TBtus!$D$3:$D$53,match($B18&amp;T$2,Com_AllFuels_SEDS_2022_TBtus!$B$3:$B$53&amp;Com_AllFuels_SEDS_2022_TBtus!$A$3:$A$53,0))))</f>
        <v>0</v>
      </c>
      <c r="U18" s="75">
        <f t="array" ref="U18">IF(ISERROR(index(Com_AllFuels_SEDS_2022_TBtus!$D$3:$D$53,match($B18&amp;U$2,Com_AllFuels_SEDS_2022_TBtus!$B$3:$B$53&amp;Com_AllFuels_SEDS_2022_TBtus!$A$3:$A$53,0))),0,(index(Com_AllFuels_SEDS_2022_TBtus!$D$3:$D$53,match($B18&amp;U$2,Com_AllFuels_SEDS_2022_TBtus!$B$3:$B$53&amp;Com_AllFuels_SEDS_2022_TBtus!$A$3:$A$53,0))))</f>
        <v>0</v>
      </c>
      <c r="V18" s="75">
        <f t="array" ref="V18">IF(ISERROR(index(Com_AllFuels_SEDS_2022_TBtus!$D$3:$D$53,match($B18&amp;V$2,Com_AllFuels_SEDS_2022_TBtus!$B$3:$B$53&amp;Com_AllFuels_SEDS_2022_TBtus!$A$3:$A$53,0))),0,(index(Com_AllFuels_SEDS_2022_TBtus!$D$3:$D$53,match($B18&amp;V$2,Com_AllFuels_SEDS_2022_TBtus!$B$3:$B$53&amp;Com_AllFuels_SEDS_2022_TBtus!$A$3:$A$53,0))))</f>
        <v>0</v>
      </c>
      <c r="W18" s="75">
        <f t="array" ref="W18">IF(ISERROR(index(Com_AllFuels_SEDS_2022_TBtus!$D$3:$D$53,match($B18&amp;W$2,Com_AllFuels_SEDS_2022_TBtus!$B$3:$B$53&amp;Com_AllFuels_SEDS_2022_TBtus!$A$3:$A$53,0))),0,(index(Com_AllFuels_SEDS_2022_TBtus!$D$3:$D$53,match($B18&amp;W$2,Com_AllFuels_SEDS_2022_TBtus!$B$3:$B$53&amp;Com_AllFuels_SEDS_2022_TBtus!$A$3:$A$53,0))))</f>
        <v>0</v>
      </c>
      <c r="X18" s="75">
        <f t="array" ref="X18">IF(ISERROR(index(Com_AllFuels_SEDS_2022_TBtus!$D$3:$D$53,match($B18&amp;X$2,Com_AllFuels_SEDS_2022_TBtus!$B$3:$B$53&amp;Com_AllFuels_SEDS_2022_TBtus!$A$3:$A$53,0))),0,(index(Com_AllFuels_SEDS_2022_TBtus!$D$3:$D$53,match($B18&amp;X$2,Com_AllFuels_SEDS_2022_TBtus!$B$3:$B$53&amp;Com_AllFuels_SEDS_2022_TBtus!$A$3:$A$53,0))))</f>
        <v>0</v>
      </c>
      <c r="Y18" s="75">
        <f t="array" ref="Y18">IF(ISERROR(index(Com_AllFuels_SEDS_2022_TBtus!$D$3:$D$53,match($B18&amp;Y$2,Com_AllFuels_SEDS_2022_TBtus!$B$3:$B$53&amp;Com_AllFuels_SEDS_2022_TBtus!$A$3:$A$53,0))),0,(index(Com_AllFuels_SEDS_2022_TBtus!$D$3:$D$53,match($B18&amp;Y$2,Com_AllFuels_SEDS_2022_TBtus!$B$3:$B$53&amp;Com_AllFuels_SEDS_2022_TBtus!$A$3:$A$53,0))))</f>
        <v>0</v>
      </c>
      <c r="Z18" s="75">
        <f t="array" ref="Z18">IF(ISERROR(index(Com_AllFuels_SEDS_2022_TBtus!$D$3:$D$53,match($B18&amp;Z$2,Com_AllFuels_SEDS_2022_TBtus!$B$3:$B$53&amp;Com_AllFuels_SEDS_2022_TBtus!$A$3:$A$53,0))),0,(index(Com_AllFuels_SEDS_2022_TBtus!$D$3:$D$53,match($B18&amp;Z$2,Com_AllFuels_SEDS_2022_TBtus!$B$3:$B$53&amp;Com_AllFuels_SEDS_2022_TBtus!$A$3:$A$53,0))))</f>
        <v>0</v>
      </c>
      <c r="AA18" s="75">
        <f t="array" ref="AA18">IF(ISERROR(index(Com_AllFuels_SEDS_2022_TBtus!$D$3:$D$53,match($B18&amp;AA$2,Com_AllFuels_SEDS_2022_TBtus!$B$3:$B$53&amp;Com_AllFuels_SEDS_2022_TBtus!$A$3:$A$53,0))),0,(index(Com_AllFuels_SEDS_2022_TBtus!$D$3:$D$53,match($B18&amp;AA$2,Com_AllFuels_SEDS_2022_TBtus!$B$3:$B$53&amp;Com_AllFuels_SEDS_2022_TBtus!$A$3:$A$53,0))))</f>
        <v>0</v>
      </c>
      <c r="AB18" s="75">
        <f t="array" ref="AB18">IF(ISERROR(index(Com_AllFuels_SEDS_2022_TBtus!$D$3:$D$53,match($B18&amp;AB$2,Com_AllFuels_SEDS_2022_TBtus!$B$3:$B$53&amp;Com_AllFuels_SEDS_2022_TBtus!$A$3:$A$53,0))),0,(index(Com_AllFuels_SEDS_2022_TBtus!$D$3:$D$53,match($B18&amp;AB$2,Com_AllFuels_SEDS_2022_TBtus!$B$3:$B$53&amp;Com_AllFuels_SEDS_2022_TBtus!$A$3:$A$53,0))))</f>
        <v>0</v>
      </c>
      <c r="AC18" s="75">
        <f t="array" ref="AC18">IF(ISERROR(index(Com_AllFuels_SEDS_2022_TBtus!$D$3:$D$53,match($B18&amp;AC$2,Com_AllFuels_SEDS_2022_TBtus!$B$3:$B$53&amp;Com_AllFuels_SEDS_2022_TBtus!$A$3:$A$53,0))),0,(index(Com_AllFuels_SEDS_2022_TBtus!$D$3:$D$53,match($B18&amp;AC$2,Com_AllFuels_SEDS_2022_TBtus!$B$3:$B$53&amp;Com_AllFuels_SEDS_2022_TBtus!$A$3:$A$53,0))))</f>
        <v>0</v>
      </c>
      <c r="AD18" s="75">
        <f t="array" ref="AD18">IF(ISERROR(index(Com_AllFuels_SEDS_2022_TBtus!$D$3:$D$53,match($B18&amp;AD$2,Com_AllFuels_SEDS_2022_TBtus!$B$3:$B$53&amp;Com_AllFuels_SEDS_2022_TBtus!$A$3:$A$53,0))),0,(index(Com_AllFuels_SEDS_2022_TBtus!$D$3:$D$53,match($B18&amp;AD$2,Com_AllFuels_SEDS_2022_TBtus!$B$3:$B$53&amp;Com_AllFuels_SEDS_2022_TBtus!$A$3:$A$53,0))))</f>
        <v>0</v>
      </c>
      <c r="AE18" s="75">
        <f t="array" ref="AE18">IF(ISERROR(index(Com_AllFuels_SEDS_2022_TBtus!$D$3:$D$53,match($B18&amp;AE$2,Com_AllFuels_SEDS_2022_TBtus!$B$3:$B$53&amp;Com_AllFuels_SEDS_2022_TBtus!$A$3:$A$53,0))),0,(index(Com_AllFuels_SEDS_2022_TBtus!$D$3:$D$53,match($B18&amp;AE$2,Com_AllFuels_SEDS_2022_TBtus!$B$3:$B$53&amp;Com_AllFuels_SEDS_2022_TBtus!$A$3:$A$53,0))))</f>
        <v>0</v>
      </c>
      <c r="AF18" s="75">
        <f t="array" ref="AF18">IF(ISERROR(index(Com_AllFuels_SEDS_2022_TBtus!$D$3:$D$53,match($B18&amp;AF$2,Com_AllFuels_SEDS_2022_TBtus!$B$3:$B$53&amp;Com_AllFuels_SEDS_2022_TBtus!$A$3:$A$53,0))),0,(index(Com_AllFuels_SEDS_2022_TBtus!$D$3:$D$53,match($B18&amp;AF$2,Com_AllFuels_SEDS_2022_TBtus!$B$3:$B$53&amp;Com_AllFuels_SEDS_2022_TBtus!$A$3:$A$53,0))))</f>
        <v>0</v>
      </c>
      <c r="AG18" s="75">
        <f t="array" ref="AG18">IF(ISERROR(index(Com_AllFuels_SEDS_2022_TBtus!$D$3:$D$53,match($B18&amp;AG$2,Com_AllFuels_SEDS_2022_TBtus!$B$3:$B$53&amp;Com_AllFuels_SEDS_2022_TBtus!$A$3:$A$53,0))),0,(index(Com_AllFuels_SEDS_2022_TBtus!$D$3:$D$53,match($B18&amp;AG$2,Com_AllFuels_SEDS_2022_TBtus!$B$3:$B$53&amp;Com_AllFuels_SEDS_2022_TBtus!$A$3:$A$53,0))))</f>
        <v>160</v>
      </c>
      <c r="AH18" s="75">
        <f t="array" ref="AH18">IF(ISERROR(index(Com_AllFuels_SEDS_2022_TBtus!$D$3:$D$53,match($B18&amp;AH$2,Com_AllFuels_SEDS_2022_TBtus!$B$3:$B$53&amp;Com_AllFuels_SEDS_2022_TBtus!$A$3:$A$53,0))),0,(index(Com_AllFuels_SEDS_2022_TBtus!$D$3:$D$53,match($B18&amp;AH$2,Com_AllFuels_SEDS_2022_TBtus!$B$3:$B$53&amp;Com_AllFuels_SEDS_2022_TBtus!$A$3:$A$53,0))))</f>
        <v>0</v>
      </c>
      <c r="AI18" s="75">
        <f t="array" ref="AI18">IF(ISERROR(index(Com_AllFuels_SEDS_2022_TBtus!$D$3:$D$53,match($B18&amp;AI$2,Com_AllFuels_SEDS_2022_TBtus!$B$3:$B$53&amp;Com_AllFuels_SEDS_2022_TBtus!$A$3:$A$53,0))),0,(index(Com_AllFuels_SEDS_2022_TBtus!$D$3:$D$53,match($B18&amp;AI$2,Com_AllFuels_SEDS_2022_TBtus!$B$3:$B$53&amp;Com_AllFuels_SEDS_2022_TBtus!$A$3:$A$53,0))))</f>
        <v>313.6</v>
      </c>
      <c r="AJ18" s="75">
        <f t="array" ref="AJ18">IF(ISERROR(index(Com_AllFuels_SEDS_2022_TBtus!$D$3:$D$53,match($B18&amp;AJ$2,Com_AllFuels_SEDS_2022_TBtus!$B$3:$B$53&amp;Com_AllFuels_SEDS_2022_TBtus!$A$3:$A$53,0))),0,(index(Com_AllFuels_SEDS_2022_TBtus!$D$3:$D$53,match($B18&amp;AJ$2,Com_AllFuels_SEDS_2022_TBtus!$B$3:$B$53&amp;Com_AllFuels_SEDS_2022_TBtus!$A$3:$A$53,0))))</f>
        <v>0</v>
      </c>
      <c r="AK18" s="75">
        <f t="array" ref="AK18">IF(ISERROR(index(Com_AllFuels_SEDS_2022_TBtus!$D$3:$D$53,match($B18&amp;AK$2,Com_AllFuels_SEDS_2022_TBtus!$B$3:$B$53&amp;Com_AllFuels_SEDS_2022_TBtus!$A$3:$A$53,0))),0,(index(Com_AllFuels_SEDS_2022_TBtus!$D$3:$D$53,match($B18&amp;AK$2,Com_AllFuels_SEDS_2022_TBtus!$B$3:$B$53&amp;Com_AllFuels_SEDS_2022_TBtus!$A$3:$A$53,0))))</f>
        <v>0</v>
      </c>
      <c r="AL18" s="75">
        <f t="array" ref="AL18">IF(ISERROR(index(Com_AllFuels_SEDS_2022_TBtus!$D$3:$D$53,match($B18&amp;AL$2,Com_AllFuels_SEDS_2022_TBtus!$B$3:$B$53&amp;Com_AllFuels_SEDS_2022_TBtus!$A$3:$A$53,0))),0,(index(Com_AllFuels_SEDS_2022_TBtus!$D$3:$D$53,match($B18&amp;AL$2,Com_AllFuels_SEDS_2022_TBtus!$B$3:$B$53&amp;Com_AllFuels_SEDS_2022_TBtus!$A$3:$A$53,0))))</f>
        <v>0</v>
      </c>
      <c r="AM18" s="75">
        <f t="array" ref="AM18">IF(ISERROR(index(Com_AllFuels_SEDS_2022_TBtus!$D$3:$D$53,match($B18&amp;AM$2,Com_AllFuels_SEDS_2022_TBtus!$B$3:$B$53&amp;Com_AllFuels_SEDS_2022_TBtus!$A$3:$A$53,0))),0,(index(Com_AllFuels_SEDS_2022_TBtus!$D$3:$D$53,match($B18&amp;AM$2,Com_AllFuels_SEDS_2022_TBtus!$B$3:$B$53&amp;Com_AllFuels_SEDS_2022_TBtus!$A$3:$A$53,0))))</f>
        <v>0</v>
      </c>
      <c r="AN18" s="75">
        <f t="array" ref="AN18">IF(ISERROR(index(Com_AllFuels_SEDS_2022_TBtus!$D$3:$D$53,match($B18&amp;AN$2,Com_AllFuels_SEDS_2022_TBtus!$B$3:$B$53&amp;Com_AllFuels_SEDS_2022_TBtus!$A$3:$A$53,0))),0,(index(Com_AllFuels_SEDS_2022_TBtus!$D$3:$D$53,match($B18&amp;AN$2,Com_AllFuels_SEDS_2022_TBtus!$B$3:$B$53&amp;Com_AllFuels_SEDS_2022_TBtus!$A$3:$A$53,0))))</f>
        <v>0</v>
      </c>
      <c r="AO18" s="75">
        <f t="array" ref="AO18">IF(ISERROR(index(Com_AllFuels_SEDS_2022_TBtus!$D$3:$D$53,match($B18&amp;AO$2,Com_AllFuels_SEDS_2022_TBtus!$B$3:$B$53&amp;Com_AllFuels_SEDS_2022_TBtus!$A$3:$A$53,0))),0,(index(Com_AllFuels_SEDS_2022_TBtus!$D$3:$D$53,match($B18&amp;AO$2,Com_AllFuels_SEDS_2022_TBtus!$B$3:$B$53&amp;Com_AllFuels_SEDS_2022_TBtus!$A$3:$A$53,0))))</f>
        <v>173.2</v>
      </c>
      <c r="AP18" s="75">
        <f t="array" ref="AP18">IF(ISERROR(index(Com_AllFuels_SEDS_2022_TBtus!$D$3:$D$53,match($B18&amp;AP$2,Com_AllFuels_SEDS_2022_TBtus!$B$3:$B$53&amp;Com_AllFuels_SEDS_2022_TBtus!$A$3:$A$53,0))),0,(index(Com_AllFuels_SEDS_2022_TBtus!$D$3:$D$53,match($B18&amp;AP$2,Com_AllFuels_SEDS_2022_TBtus!$B$3:$B$53&amp;Com_AllFuels_SEDS_2022_TBtus!$A$3:$A$53,0))))</f>
        <v>0</v>
      </c>
      <c r="AQ18" s="75">
        <f t="array" ref="AQ18">IF(ISERROR(index(Com_AllFuels_SEDS_2022_TBtus!$D$3:$D$53,match($B18&amp;AQ$2,Com_AllFuels_SEDS_2022_TBtus!$B$3:$B$53&amp;Com_AllFuels_SEDS_2022_TBtus!$A$3:$A$53,0))),0,(index(Com_AllFuels_SEDS_2022_TBtus!$D$3:$D$53,match($B18&amp;AQ$2,Com_AllFuels_SEDS_2022_TBtus!$B$3:$B$53&amp;Com_AllFuels_SEDS_2022_TBtus!$A$3:$A$53,0))))</f>
        <v>0</v>
      </c>
      <c r="AR18" s="75">
        <f t="array" ref="AR18">IF(ISERROR(index(Com_AllFuels_SEDS_2022_TBtus!$D$3:$D$53,match($B18&amp;AR$2,Com_AllFuels_SEDS_2022_TBtus!$B$3:$B$53&amp;Com_AllFuels_SEDS_2022_TBtus!$A$3:$A$53,0))),0,(index(Com_AllFuels_SEDS_2022_TBtus!$D$3:$D$53,match($B18&amp;AR$2,Com_AllFuels_SEDS_2022_TBtus!$B$3:$B$53&amp;Com_AllFuels_SEDS_2022_TBtus!$A$3:$A$53,0))))</f>
        <v>0</v>
      </c>
      <c r="AS18" s="75">
        <f t="array" ref="AS18">IF(ISERROR(index(Com_AllFuels_SEDS_2022_TBtus!$D$3:$D$53,match($B18&amp;AS$2,Com_AllFuels_SEDS_2022_TBtus!$B$3:$B$53&amp;Com_AllFuels_SEDS_2022_TBtus!$A$3:$A$53,0))),0,(index(Com_AllFuels_SEDS_2022_TBtus!$D$3:$D$53,match($B18&amp;AS$2,Com_AllFuels_SEDS_2022_TBtus!$B$3:$B$53&amp;Com_AllFuels_SEDS_2022_TBtus!$A$3:$A$53,0))))</f>
        <v>0</v>
      </c>
      <c r="AT18" s="75">
        <f t="array" ref="AT18">IF(ISERROR(index(Com_AllFuels_SEDS_2022_TBtus!$D$3:$D$53,match($B18&amp;AT$2,Com_AllFuels_SEDS_2022_TBtus!$B$3:$B$53&amp;Com_AllFuels_SEDS_2022_TBtus!$A$3:$A$53,0))),0,(index(Com_AllFuels_SEDS_2022_TBtus!$D$3:$D$53,match($B18&amp;AT$2,Com_AllFuels_SEDS_2022_TBtus!$B$3:$B$53&amp;Com_AllFuels_SEDS_2022_TBtus!$A$3:$A$53,0))))</f>
        <v>0</v>
      </c>
      <c r="AU18" s="75">
        <f t="array" ref="AU18">IF(ISERROR(index(Com_AllFuels_SEDS_2022_TBtus!$D$3:$D$53,match($B18&amp;AU$2,Com_AllFuels_SEDS_2022_TBtus!$B$3:$B$53&amp;Com_AllFuels_SEDS_2022_TBtus!$A$3:$A$53,0))),0,(index(Com_AllFuels_SEDS_2022_TBtus!$D$3:$D$53,match($B18&amp;AU$2,Com_AllFuels_SEDS_2022_TBtus!$B$3:$B$53&amp;Com_AllFuels_SEDS_2022_TBtus!$A$3:$A$53,0))))</f>
        <v>0</v>
      </c>
      <c r="AV18" s="75">
        <f t="array" ref="AV18">IF(ISERROR(index(Com_AllFuels_SEDS_2022_TBtus!$D$3:$D$53,match($B18&amp;AV$2,Com_AllFuels_SEDS_2022_TBtus!$B$3:$B$53&amp;Com_AllFuels_SEDS_2022_TBtus!$A$3:$A$53,0))),0,(index(Com_AllFuels_SEDS_2022_TBtus!$D$3:$D$53,match($B18&amp;AV$2,Com_AllFuels_SEDS_2022_TBtus!$B$3:$B$53&amp;Com_AllFuels_SEDS_2022_TBtus!$A$3:$A$53,0))))</f>
        <v>0</v>
      </c>
      <c r="AW18" s="75">
        <f t="array" ref="AW18">IF(ISERROR(index(Com_AllFuels_SEDS_2022_TBtus!$D$3:$D$53,match($B18&amp;AW$2,Com_AllFuels_SEDS_2022_TBtus!$B$3:$B$53&amp;Com_AllFuels_SEDS_2022_TBtus!$A$3:$A$53,0))),0,(index(Com_AllFuels_SEDS_2022_TBtus!$D$3:$D$53,match($B18&amp;AW$2,Com_AllFuels_SEDS_2022_TBtus!$B$3:$B$53&amp;Com_AllFuels_SEDS_2022_TBtus!$A$3:$A$53,0))))</f>
        <v>0</v>
      </c>
      <c r="AX18" s="75">
        <f t="array" ref="AX18">IF(ISERROR(index(Com_AllFuels_SEDS_2022_TBtus!$D$3:$D$53,match($B18&amp;AX$2,Com_AllFuels_SEDS_2022_TBtus!$B$3:$B$53&amp;Com_AllFuels_SEDS_2022_TBtus!$A$3:$A$53,0))),0,(index(Com_AllFuels_SEDS_2022_TBtus!$D$3:$D$53,match($B18&amp;AX$2,Com_AllFuels_SEDS_2022_TBtus!$B$3:$B$53&amp;Com_AllFuels_SEDS_2022_TBtus!$A$3:$A$53,0))))</f>
        <v>0</v>
      </c>
      <c r="AY18" s="75">
        <f t="array" ref="AY18">IF(ISERROR(index(Com_AllFuels_SEDS_2022_TBtus!$D$3:$D$53,match($B18&amp;AY$2,Com_AllFuels_SEDS_2022_TBtus!$B$3:$B$53&amp;Com_AllFuels_SEDS_2022_TBtus!$A$3:$A$53,0))),0,(index(Com_AllFuels_SEDS_2022_TBtus!$D$3:$D$53,match($B18&amp;AY$2,Com_AllFuels_SEDS_2022_TBtus!$B$3:$B$53&amp;Com_AllFuels_SEDS_2022_TBtus!$A$3:$A$53,0))))</f>
        <v>0</v>
      </c>
      <c r="AZ18" s="75">
        <f t="array" ref="AZ18">IF(ISERROR(index(Com_AllFuels_SEDS_2022_TBtus!$D$3:$D$53,match($B18&amp;AZ$2,Com_AllFuels_SEDS_2022_TBtus!$B$3:$B$53&amp;Com_AllFuels_SEDS_2022_TBtus!$A$3:$A$53,0))),0,(index(Com_AllFuels_SEDS_2022_TBtus!$D$3:$D$53,match($B18&amp;AZ$2,Com_AllFuels_SEDS_2022_TBtus!$B$3:$B$53&amp;Com_AllFuels_SEDS_2022_TBtus!$A$3:$A$53,0))))</f>
        <v>0</v>
      </c>
      <c r="BA18" s="75">
        <f t="array" ref="BA18">IF(ISERROR(index(Com_AllFuels_SEDS_2022_TBtus!$D$3:$D$53,match($B18&amp;BA$2,Com_AllFuels_SEDS_2022_TBtus!$B$3:$B$53&amp;Com_AllFuels_SEDS_2022_TBtus!$A$3:$A$53,0))),0,(index(Com_AllFuels_SEDS_2022_TBtus!$D$3:$D$53,match($B18&amp;BA$2,Com_AllFuels_SEDS_2022_TBtus!$B$3:$B$53&amp;Com_AllFuels_SEDS_2022_TBtus!$A$3:$A$53,0))))</f>
        <v>0</v>
      </c>
      <c r="BB18" s="74">
        <f t="shared" si="3"/>
        <v>646.8</v>
      </c>
    </row>
    <row r="19" ht="15.75" customHeight="1">
      <c r="B19" s="74">
        <v>3.0</v>
      </c>
      <c r="C19" s="75">
        <f t="array" ref="C19">IF(ISERROR(index(Com_AllFuels_SEDS_2022_TBtus!$D$3:$D$53,match($B19&amp;C$2,Com_AllFuels_SEDS_2022_TBtus!$B$3:$B$53&amp;Com_AllFuels_SEDS_2022_TBtus!$A$3:$A$53,0))),0,(index(Com_AllFuels_SEDS_2022_TBtus!$D$3:$D$53,match($B19&amp;C$2,Com_AllFuels_SEDS_2022_TBtus!$B$3:$B$53&amp;Com_AllFuels_SEDS_2022_TBtus!$A$3:$A$53,0))))</f>
        <v>0</v>
      </c>
      <c r="D19" s="75">
        <f t="array" ref="D19">IF(ISERROR(index(Com_AllFuels_SEDS_2022_TBtus!$D$3:$D$53,match($B19&amp;D$2,Com_AllFuels_SEDS_2022_TBtus!$B$3:$B$53&amp;Com_AllFuels_SEDS_2022_TBtus!$A$3:$A$53,0))),0,(index(Com_AllFuels_SEDS_2022_TBtus!$D$3:$D$53,match($B19&amp;D$2,Com_AllFuels_SEDS_2022_TBtus!$B$3:$B$53&amp;Com_AllFuels_SEDS_2022_TBtus!$A$3:$A$53,0))))</f>
        <v>0</v>
      </c>
      <c r="E19" s="75">
        <f t="array" ref="E19">IF(ISERROR(index(Com_AllFuels_SEDS_2022_TBtus!$D$3:$D$53,match($B19&amp;E$2,Com_AllFuels_SEDS_2022_TBtus!$B$3:$B$53&amp;Com_AllFuels_SEDS_2022_TBtus!$A$3:$A$53,0))),0,(index(Com_AllFuels_SEDS_2022_TBtus!$D$3:$D$53,match($B19&amp;E$2,Com_AllFuels_SEDS_2022_TBtus!$B$3:$B$53&amp;Com_AllFuels_SEDS_2022_TBtus!$A$3:$A$53,0))))</f>
        <v>0</v>
      </c>
      <c r="F19" s="75">
        <f t="array" ref="F19">IF(ISERROR(index(Com_AllFuels_SEDS_2022_TBtus!$D$3:$D$53,match($B19&amp;F$2,Com_AllFuels_SEDS_2022_TBtus!$B$3:$B$53&amp;Com_AllFuels_SEDS_2022_TBtus!$A$3:$A$53,0))),0,(index(Com_AllFuels_SEDS_2022_TBtus!$D$3:$D$53,match($B19&amp;F$2,Com_AllFuels_SEDS_2022_TBtus!$B$3:$B$53&amp;Com_AllFuels_SEDS_2022_TBtus!$A$3:$A$53,0))))</f>
        <v>0</v>
      </c>
      <c r="G19" s="75">
        <f t="array" ref="G19">IF(ISERROR(index(Com_AllFuels_SEDS_2022_TBtus!$D$3:$D$53,match($B19&amp;G$2,Com_AllFuels_SEDS_2022_TBtus!$B$3:$B$53&amp;Com_AllFuels_SEDS_2022_TBtus!$A$3:$A$53,0))),0,(index(Com_AllFuels_SEDS_2022_TBtus!$D$3:$D$53,match($B19&amp;G$2,Com_AllFuels_SEDS_2022_TBtus!$B$3:$B$53&amp;Com_AllFuels_SEDS_2022_TBtus!$A$3:$A$53,0))))</f>
        <v>0</v>
      </c>
      <c r="H19" s="75">
        <f t="array" ref="H19">IF(ISERROR(index(Com_AllFuels_SEDS_2022_TBtus!$D$3:$D$53,match($B19&amp;H$2,Com_AllFuels_SEDS_2022_TBtus!$B$3:$B$53&amp;Com_AllFuels_SEDS_2022_TBtus!$A$3:$A$53,0))),0,(index(Com_AllFuels_SEDS_2022_TBtus!$D$3:$D$53,match($B19&amp;H$2,Com_AllFuels_SEDS_2022_TBtus!$B$3:$B$53&amp;Com_AllFuels_SEDS_2022_TBtus!$A$3:$A$53,0))))</f>
        <v>0</v>
      </c>
      <c r="I19" s="75">
        <f t="array" ref="I19">IF(ISERROR(index(Com_AllFuels_SEDS_2022_TBtus!$D$3:$D$53,match($B19&amp;I$2,Com_AllFuels_SEDS_2022_TBtus!$B$3:$B$53&amp;Com_AllFuels_SEDS_2022_TBtus!$A$3:$A$53,0))),0,(index(Com_AllFuels_SEDS_2022_TBtus!$D$3:$D$53,match($B19&amp;I$2,Com_AllFuels_SEDS_2022_TBtus!$B$3:$B$53&amp;Com_AllFuels_SEDS_2022_TBtus!$A$3:$A$53,0))))</f>
        <v>0</v>
      </c>
      <c r="J19" s="75">
        <f t="array" ref="J19">IF(ISERROR(index(Com_AllFuels_SEDS_2022_TBtus!$D$3:$D$53,match($B19&amp;J$2,Com_AllFuels_SEDS_2022_TBtus!$B$3:$B$53&amp;Com_AllFuels_SEDS_2022_TBtus!$A$3:$A$53,0))),0,(index(Com_AllFuels_SEDS_2022_TBtus!$D$3:$D$53,match($B19&amp;J$2,Com_AllFuels_SEDS_2022_TBtus!$B$3:$B$53&amp;Com_AllFuels_SEDS_2022_TBtus!$A$3:$A$53,0))))</f>
        <v>0</v>
      </c>
      <c r="K19" s="75">
        <f t="array" ref="K19">IF(ISERROR(index(Com_AllFuels_SEDS_2022_TBtus!$D$3:$D$53,match($B19&amp;K$2,Com_AllFuels_SEDS_2022_TBtus!$B$3:$B$53&amp;Com_AllFuels_SEDS_2022_TBtus!$A$3:$A$53,0))),0,(index(Com_AllFuels_SEDS_2022_TBtus!$D$3:$D$53,match($B19&amp;K$2,Com_AllFuels_SEDS_2022_TBtus!$B$3:$B$53&amp;Com_AllFuels_SEDS_2022_TBtus!$A$3:$A$53,0))))</f>
        <v>0</v>
      </c>
      <c r="L19" s="75">
        <f t="array" ref="L19">IF(ISERROR(index(Com_AllFuels_SEDS_2022_TBtus!$D$3:$D$53,match($B19&amp;L$2,Com_AllFuels_SEDS_2022_TBtus!$B$3:$B$53&amp;Com_AllFuels_SEDS_2022_TBtus!$A$3:$A$53,0))),0,(index(Com_AllFuels_SEDS_2022_TBtus!$D$3:$D$53,match($B19&amp;L$2,Com_AllFuels_SEDS_2022_TBtus!$B$3:$B$53&amp;Com_AllFuels_SEDS_2022_TBtus!$A$3:$A$53,0))))</f>
        <v>0</v>
      </c>
      <c r="M19" s="75">
        <f t="array" ref="M19">IF(ISERROR(index(Com_AllFuels_SEDS_2022_TBtus!$D$3:$D$53,match($B19&amp;M$2,Com_AllFuels_SEDS_2022_TBtus!$B$3:$B$53&amp;Com_AllFuels_SEDS_2022_TBtus!$A$3:$A$53,0))),0,(index(Com_AllFuels_SEDS_2022_TBtus!$D$3:$D$53,match($B19&amp;M$2,Com_AllFuels_SEDS_2022_TBtus!$B$3:$B$53&amp;Com_AllFuels_SEDS_2022_TBtus!$A$3:$A$53,0))))</f>
        <v>0</v>
      </c>
      <c r="N19" s="75">
        <f t="array" ref="N19">IF(ISERROR(index(Com_AllFuels_SEDS_2022_TBtus!$D$3:$D$53,match($B19&amp;N$2,Com_AllFuels_SEDS_2022_TBtus!$B$3:$B$53&amp;Com_AllFuels_SEDS_2022_TBtus!$A$3:$A$53,0))),0,(index(Com_AllFuels_SEDS_2022_TBtus!$D$3:$D$53,match($B19&amp;N$2,Com_AllFuels_SEDS_2022_TBtus!$B$3:$B$53&amp;Com_AllFuels_SEDS_2022_TBtus!$A$3:$A$53,0))))</f>
        <v>0</v>
      </c>
      <c r="O19" s="75">
        <f t="array" ref="O19">IF(ISERROR(index(Com_AllFuels_SEDS_2022_TBtus!$D$3:$D$53,match($B19&amp;O$2,Com_AllFuels_SEDS_2022_TBtus!$B$3:$B$53&amp;Com_AllFuels_SEDS_2022_TBtus!$A$3:$A$53,0))),0,(index(Com_AllFuels_SEDS_2022_TBtus!$D$3:$D$53,match($B19&amp;O$2,Com_AllFuels_SEDS_2022_TBtus!$B$3:$B$53&amp;Com_AllFuels_SEDS_2022_TBtus!$A$3:$A$53,0))))</f>
        <v>0</v>
      </c>
      <c r="P19" s="75">
        <f t="array" ref="P19">IF(ISERROR(index(Com_AllFuels_SEDS_2022_TBtus!$D$3:$D$53,match($B19&amp;P$2,Com_AllFuels_SEDS_2022_TBtus!$B$3:$B$53&amp;Com_AllFuels_SEDS_2022_TBtus!$A$3:$A$53,0))),0,(index(Com_AllFuels_SEDS_2022_TBtus!$D$3:$D$53,match($B19&amp;P$2,Com_AllFuels_SEDS_2022_TBtus!$B$3:$B$53&amp;Com_AllFuels_SEDS_2022_TBtus!$A$3:$A$53,0))))</f>
        <v>255.2</v>
      </c>
      <c r="Q19" s="75">
        <f t="array" ref="Q19">IF(ISERROR(index(Com_AllFuels_SEDS_2022_TBtus!$D$3:$D$53,match($B19&amp;Q$2,Com_AllFuels_SEDS_2022_TBtus!$B$3:$B$53&amp;Com_AllFuels_SEDS_2022_TBtus!$A$3:$A$53,0))),0,(index(Com_AllFuels_SEDS_2022_TBtus!$D$3:$D$53,match($B19&amp;Q$2,Com_AllFuels_SEDS_2022_TBtus!$B$3:$B$53&amp;Com_AllFuels_SEDS_2022_TBtus!$A$3:$A$53,0))))</f>
        <v>100.7</v>
      </c>
      <c r="R19" s="75">
        <f t="array" ref="R19">IF(ISERROR(index(Com_AllFuels_SEDS_2022_TBtus!$D$3:$D$53,match($B19&amp;R$2,Com_AllFuels_SEDS_2022_TBtus!$B$3:$B$53&amp;Com_AllFuels_SEDS_2022_TBtus!$A$3:$A$53,0))),0,(index(Com_AllFuels_SEDS_2022_TBtus!$D$3:$D$53,match($B19&amp;R$2,Com_AllFuels_SEDS_2022_TBtus!$B$3:$B$53&amp;Com_AllFuels_SEDS_2022_TBtus!$A$3:$A$53,0))))</f>
        <v>0</v>
      </c>
      <c r="S19" s="75">
        <f t="array" ref="S19">IF(ISERROR(index(Com_AllFuels_SEDS_2022_TBtus!$D$3:$D$53,match($B19&amp;S$2,Com_AllFuels_SEDS_2022_TBtus!$B$3:$B$53&amp;Com_AllFuels_SEDS_2022_TBtus!$A$3:$A$53,0))),0,(index(Com_AllFuels_SEDS_2022_TBtus!$D$3:$D$53,match($B19&amp;S$2,Com_AllFuels_SEDS_2022_TBtus!$B$3:$B$53&amp;Com_AllFuels_SEDS_2022_TBtus!$A$3:$A$53,0))))</f>
        <v>0</v>
      </c>
      <c r="T19" s="75">
        <f t="array" ref="T19">IF(ISERROR(index(Com_AllFuels_SEDS_2022_TBtus!$D$3:$D$53,match($B19&amp;T$2,Com_AllFuels_SEDS_2022_TBtus!$B$3:$B$53&amp;Com_AllFuels_SEDS_2022_TBtus!$A$3:$A$53,0))),0,(index(Com_AllFuels_SEDS_2022_TBtus!$D$3:$D$53,match($B19&amp;T$2,Com_AllFuels_SEDS_2022_TBtus!$B$3:$B$53&amp;Com_AllFuels_SEDS_2022_TBtus!$A$3:$A$53,0))))</f>
        <v>0</v>
      </c>
      <c r="U19" s="75">
        <f t="array" ref="U19">IF(ISERROR(index(Com_AllFuels_SEDS_2022_TBtus!$D$3:$D$53,match($B19&amp;U$2,Com_AllFuels_SEDS_2022_TBtus!$B$3:$B$53&amp;Com_AllFuels_SEDS_2022_TBtus!$A$3:$A$53,0))),0,(index(Com_AllFuels_SEDS_2022_TBtus!$D$3:$D$53,match($B19&amp;U$2,Com_AllFuels_SEDS_2022_TBtus!$B$3:$B$53&amp;Com_AllFuels_SEDS_2022_TBtus!$A$3:$A$53,0))))</f>
        <v>0</v>
      </c>
      <c r="V19" s="75">
        <f t="array" ref="V19">IF(ISERROR(index(Com_AllFuels_SEDS_2022_TBtus!$D$3:$D$53,match($B19&amp;V$2,Com_AllFuels_SEDS_2022_TBtus!$B$3:$B$53&amp;Com_AllFuels_SEDS_2022_TBtus!$A$3:$A$53,0))),0,(index(Com_AllFuels_SEDS_2022_TBtus!$D$3:$D$53,match($B19&amp;V$2,Com_AllFuels_SEDS_2022_TBtus!$B$3:$B$53&amp;Com_AllFuels_SEDS_2022_TBtus!$A$3:$A$53,0))))</f>
        <v>0</v>
      </c>
      <c r="W19" s="75">
        <f t="array" ref="W19">IF(ISERROR(index(Com_AllFuels_SEDS_2022_TBtus!$D$3:$D$53,match($B19&amp;W$2,Com_AllFuels_SEDS_2022_TBtus!$B$3:$B$53&amp;Com_AllFuels_SEDS_2022_TBtus!$A$3:$A$53,0))),0,(index(Com_AllFuels_SEDS_2022_TBtus!$D$3:$D$53,match($B19&amp;W$2,Com_AllFuels_SEDS_2022_TBtus!$B$3:$B$53&amp;Com_AllFuels_SEDS_2022_TBtus!$A$3:$A$53,0))))</f>
        <v>0</v>
      </c>
      <c r="X19" s="75">
        <f t="array" ref="X19">IF(ISERROR(index(Com_AllFuels_SEDS_2022_TBtus!$D$3:$D$53,match($B19&amp;X$2,Com_AllFuels_SEDS_2022_TBtus!$B$3:$B$53&amp;Com_AllFuels_SEDS_2022_TBtus!$A$3:$A$53,0))),0,(index(Com_AllFuels_SEDS_2022_TBtus!$D$3:$D$53,match($B19&amp;X$2,Com_AllFuels_SEDS_2022_TBtus!$B$3:$B$53&amp;Com_AllFuels_SEDS_2022_TBtus!$A$3:$A$53,0))))</f>
        <v>0</v>
      </c>
      <c r="Y19" s="75">
        <f t="array" ref="Y19">IF(ISERROR(index(Com_AllFuels_SEDS_2022_TBtus!$D$3:$D$53,match($B19&amp;Y$2,Com_AllFuels_SEDS_2022_TBtus!$B$3:$B$53&amp;Com_AllFuels_SEDS_2022_TBtus!$A$3:$A$53,0))),0,(index(Com_AllFuels_SEDS_2022_TBtus!$D$3:$D$53,match($B19&amp;Y$2,Com_AllFuels_SEDS_2022_TBtus!$B$3:$B$53&amp;Com_AllFuels_SEDS_2022_TBtus!$A$3:$A$53,0))))</f>
        <v>189.7</v>
      </c>
      <c r="Z19" s="75">
        <f t="array" ref="Z19">IF(ISERROR(index(Com_AllFuels_SEDS_2022_TBtus!$D$3:$D$53,match($B19&amp;Z$2,Com_AllFuels_SEDS_2022_TBtus!$B$3:$B$53&amp;Com_AllFuels_SEDS_2022_TBtus!$A$3:$A$53,0))),0,(index(Com_AllFuels_SEDS_2022_TBtus!$D$3:$D$53,match($B19&amp;Z$2,Com_AllFuels_SEDS_2022_TBtus!$B$3:$B$53&amp;Com_AllFuels_SEDS_2022_TBtus!$A$3:$A$53,0))))</f>
        <v>0</v>
      </c>
      <c r="AA19" s="75">
        <f t="array" ref="AA19">IF(ISERROR(index(Com_AllFuels_SEDS_2022_TBtus!$D$3:$D$53,match($B19&amp;AA$2,Com_AllFuels_SEDS_2022_TBtus!$B$3:$B$53&amp;Com_AllFuels_SEDS_2022_TBtus!$A$3:$A$53,0))),0,(index(Com_AllFuels_SEDS_2022_TBtus!$D$3:$D$53,match($B19&amp;AA$2,Com_AllFuels_SEDS_2022_TBtus!$B$3:$B$53&amp;Com_AllFuels_SEDS_2022_TBtus!$A$3:$A$53,0))))</f>
        <v>0</v>
      </c>
      <c r="AB19" s="75">
        <f t="array" ref="AB19">IF(ISERROR(index(Com_AllFuels_SEDS_2022_TBtus!$D$3:$D$53,match($B19&amp;AB$2,Com_AllFuels_SEDS_2022_TBtus!$B$3:$B$53&amp;Com_AllFuels_SEDS_2022_TBtus!$A$3:$A$53,0))),0,(index(Com_AllFuels_SEDS_2022_TBtus!$D$3:$D$53,match($B19&amp;AB$2,Com_AllFuels_SEDS_2022_TBtus!$B$3:$B$53&amp;Com_AllFuels_SEDS_2022_TBtus!$A$3:$A$53,0))))</f>
        <v>0</v>
      </c>
      <c r="AC19" s="75">
        <f t="array" ref="AC19">IF(ISERROR(index(Com_AllFuels_SEDS_2022_TBtus!$D$3:$D$53,match($B19&amp;AC$2,Com_AllFuels_SEDS_2022_TBtus!$B$3:$B$53&amp;Com_AllFuels_SEDS_2022_TBtus!$A$3:$A$53,0))),0,(index(Com_AllFuels_SEDS_2022_TBtus!$D$3:$D$53,match($B19&amp;AC$2,Com_AllFuels_SEDS_2022_TBtus!$B$3:$B$53&amp;Com_AllFuels_SEDS_2022_TBtus!$A$3:$A$53,0))))</f>
        <v>0</v>
      </c>
      <c r="AD19" s="75">
        <f t="array" ref="AD19">IF(ISERROR(index(Com_AllFuels_SEDS_2022_TBtus!$D$3:$D$53,match($B19&amp;AD$2,Com_AllFuels_SEDS_2022_TBtus!$B$3:$B$53&amp;Com_AllFuels_SEDS_2022_TBtus!$A$3:$A$53,0))),0,(index(Com_AllFuels_SEDS_2022_TBtus!$D$3:$D$53,match($B19&amp;AD$2,Com_AllFuels_SEDS_2022_TBtus!$B$3:$B$53&amp;Com_AllFuels_SEDS_2022_TBtus!$A$3:$A$53,0))))</f>
        <v>0</v>
      </c>
      <c r="AE19" s="75">
        <f t="array" ref="AE19">IF(ISERROR(index(Com_AllFuels_SEDS_2022_TBtus!$D$3:$D$53,match($B19&amp;AE$2,Com_AllFuels_SEDS_2022_TBtus!$B$3:$B$53&amp;Com_AllFuels_SEDS_2022_TBtus!$A$3:$A$53,0))),0,(index(Com_AllFuels_SEDS_2022_TBtus!$D$3:$D$53,match($B19&amp;AE$2,Com_AllFuels_SEDS_2022_TBtus!$B$3:$B$53&amp;Com_AllFuels_SEDS_2022_TBtus!$A$3:$A$53,0))))</f>
        <v>0</v>
      </c>
      <c r="AF19" s="75">
        <f t="array" ref="AF19">IF(ISERROR(index(Com_AllFuels_SEDS_2022_TBtus!$D$3:$D$53,match($B19&amp;AF$2,Com_AllFuels_SEDS_2022_TBtus!$B$3:$B$53&amp;Com_AllFuels_SEDS_2022_TBtus!$A$3:$A$53,0))),0,(index(Com_AllFuels_SEDS_2022_TBtus!$D$3:$D$53,match($B19&amp;AF$2,Com_AllFuels_SEDS_2022_TBtus!$B$3:$B$53&amp;Com_AllFuels_SEDS_2022_TBtus!$A$3:$A$53,0))))</f>
        <v>0</v>
      </c>
      <c r="AG19" s="75">
        <f t="array" ref="AG19">IF(ISERROR(index(Com_AllFuels_SEDS_2022_TBtus!$D$3:$D$53,match($B19&amp;AG$2,Com_AllFuels_SEDS_2022_TBtus!$B$3:$B$53&amp;Com_AllFuels_SEDS_2022_TBtus!$A$3:$A$53,0))),0,(index(Com_AllFuels_SEDS_2022_TBtus!$D$3:$D$53,match($B19&amp;AG$2,Com_AllFuels_SEDS_2022_TBtus!$B$3:$B$53&amp;Com_AllFuels_SEDS_2022_TBtus!$A$3:$A$53,0))))</f>
        <v>0</v>
      </c>
      <c r="AH19" s="75">
        <f t="array" ref="AH19">IF(ISERROR(index(Com_AllFuels_SEDS_2022_TBtus!$D$3:$D$53,match($B19&amp;AH$2,Com_AllFuels_SEDS_2022_TBtus!$B$3:$B$53&amp;Com_AllFuels_SEDS_2022_TBtus!$A$3:$A$53,0))),0,(index(Com_AllFuels_SEDS_2022_TBtus!$D$3:$D$53,match($B19&amp;AH$2,Com_AllFuels_SEDS_2022_TBtus!$B$3:$B$53&amp;Com_AllFuels_SEDS_2022_TBtus!$A$3:$A$53,0))))</f>
        <v>0</v>
      </c>
      <c r="AI19" s="75">
        <f t="array" ref="AI19">IF(ISERROR(index(Com_AllFuels_SEDS_2022_TBtus!$D$3:$D$53,match($B19&amp;AI$2,Com_AllFuels_SEDS_2022_TBtus!$B$3:$B$53&amp;Com_AllFuels_SEDS_2022_TBtus!$A$3:$A$53,0))),0,(index(Com_AllFuels_SEDS_2022_TBtus!$D$3:$D$53,match($B19&amp;AI$2,Com_AllFuels_SEDS_2022_TBtus!$B$3:$B$53&amp;Com_AllFuels_SEDS_2022_TBtus!$A$3:$A$53,0))))</f>
        <v>0</v>
      </c>
      <c r="AJ19" s="75">
        <f t="array" ref="AJ19">IF(ISERROR(index(Com_AllFuels_SEDS_2022_TBtus!$D$3:$D$53,match($B19&amp;AJ$2,Com_AllFuels_SEDS_2022_TBtus!$B$3:$B$53&amp;Com_AllFuels_SEDS_2022_TBtus!$A$3:$A$53,0))),0,(index(Com_AllFuels_SEDS_2022_TBtus!$D$3:$D$53,match($B19&amp;AJ$2,Com_AllFuels_SEDS_2022_TBtus!$B$3:$B$53&amp;Com_AllFuels_SEDS_2022_TBtus!$A$3:$A$53,0))))</f>
        <v>0</v>
      </c>
      <c r="AK19" s="75">
        <f t="array" ref="AK19">IF(ISERROR(index(Com_AllFuels_SEDS_2022_TBtus!$D$3:$D$53,match($B19&amp;AK$2,Com_AllFuels_SEDS_2022_TBtus!$B$3:$B$53&amp;Com_AllFuels_SEDS_2022_TBtus!$A$3:$A$53,0))),0,(index(Com_AllFuels_SEDS_2022_TBtus!$D$3:$D$53,match($B19&amp;AK$2,Com_AllFuels_SEDS_2022_TBtus!$B$3:$B$53&amp;Com_AllFuels_SEDS_2022_TBtus!$A$3:$A$53,0))))</f>
        <v>0</v>
      </c>
      <c r="AL19" s="75">
        <f t="array" ref="AL19">IF(ISERROR(index(Com_AllFuels_SEDS_2022_TBtus!$D$3:$D$53,match($B19&amp;AL$2,Com_AllFuels_SEDS_2022_TBtus!$B$3:$B$53&amp;Com_AllFuels_SEDS_2022_TBtus!$A$3:$A$53,0))),0,(index(Com_AllFuels_SEDS_2022_TBtus!$D$3:$D$53,match($B19&amp;AL$2,Com_AllFuels_SEDS_2022_TBtus!$B$3:$B$53&amp;Com_AllFuels_SEDS_2022_TBtus!$A$3:$A$53,0))))</f>
        <v>194.4</v>
      </c>
      <c r="AM19" s="75">
        <f t="array" ref="AM19">IF(ISERROR(index(Com_AllFuels_SEDS_2022_TBtus!$D$3:$D$53,match($B19&amp;AM$2,Com_AllFuels_SEDS_2022_TBtus!$B$3:$B$53&amp;Com_AllFuels_SEDS_2022_TBtus!$A$3:$A$53,0))),0,(index(Com_AllFuels_SEDS_2022_TBtus!$D$3:$D$53,match($B19&amp;AM$2,Com_AllFuels_SEDS_2022_TBtus!$B$3:$B$53&amp;Com_AllFuels_SEDS_2022_TBtus!$A$3:$A$53,0))))</f>
        <v>0</v>
      </c>
      <c r="AN19" s="75">
        <f t="array" ref="AN19">IF(ISERROR(index(Com_AllFuels_SEDS_2022_TBtus!$D$3:$D$53,match($B19&amp;AN$2,Com_AllFuels_SEDS_2022_TBtus!$B$3:$B$53&amp;Com_AllFuels_SEDS_2022_TBtus!$A$3:$A$53,0))),0,(index(Com_AllFuels_SEDS_2022_TBtus!$D$3:$D$53,match($B19&amp;AN$2,Com_AllFuels_SEDS_2022_TBtus!$B$3:$B$53&amp;Com_AllFuels_SEDS_2022_TBtus!$A$3:$A$53,0))))</f>
        <v>0</v>
      </c>
      <c r="AO19" s="75">
        <f t="array" ref="AO19">IF(ISERROR(index(Com_AllFuels_SEDS_2022_TBtus!$D$3:$D$53,match($B19&amp;AO$2,Com_AllFuels_SEDS_2022_TBtus!$B$3:$B$53&amp;Com_AllFuels_SEDS_2022_TBtus!$A$3:$A$53,0))),0,(index(Com_AllFuels_SEDS_2022_TBtus!$D$3:$D$53,match($B19&amp;AO$2,Com_AllFuels_SEDS_2022_TBtus!$B$3:$B$53&amp;Com_AllFuels_SEDS_2022_TBtus!$A$3:$A$53,0))))</f>
        <v>0</v>
      </c>
      <c r="AP19" s="75">
        <f t="array" ref="AP19">IF(ISERROR(index(Com_AllFuels_SEDS_2022_TBtus!$D$3:$D$53,match($B19&amp;AP$2,Com_AllFuels_SEDS_2022_TBtus!$B$3:$B$53&amp;Com_AllFuels_SEDS_2022_TBtus!$A$3:$A$53,0))),0,(index(Com_AllFuels_SEDS_2022_TBtus!$D$3:$D$53,match($B19&amp;AP$2,Com_AllFuels_SEDS_2022_TBtus!$B$3:$B$53&amp;Com_AllFuels_SEDS_2022_TBtus!$A$3:$A$53,0))))</f>
        <v>0</v>
      </c>
      <c r="AQ19" s="75">
        <f t="array" ref="AQ19">IF(ISERROR(index(Com_AllFuels_SEDS_2022_TBtus!$D$3:$D$53,match($B19&amp;AQ$2,Com_AllFuels_SEDS_2022_TBtus!$B$3:$B$53&amp;Com_AllFuels_SEDS_2022_TBtus!$A$3:$A$53,0))),0,(index(Com_AllFuels_SEDS_2022_TBtus!$D$3:$D$53,match($B19&amp;AQ$2,Com_AllFuels_SEDS_2022_TBtus!$B$3:$B$53&amp;Com_AllFuels_SEDS_2022_TBtus!$A$3:$A$53,0))))</f>
        <v>0</v>
      </c>
      <c r="AR19" s="75">
        <f t="array" ref="AR19">IF(ISERROR(index(Com_AllFuels_SEDS_2022_TBtus!$D$3:$D$53,match($B19&amp;AR$2,Com_AllFuels_SEDS_2022_TBtus!$B$3:$B$53&amp;Com_AllFuels_SEDS_2022_TBtus!$A$3:$A$53,0))),0,(index(Com_AllFuels_SEDS_2022_TBtus!$D$3:$D$53,match($B19&amp;AR$2,Com_AllFuels_SEDS_2022_TBtus!$B$3:$B$53&amp;Com_AllFuels_SEDS_2022_TBtus!$A$3:$A$53,0))))</f>
        <v>0</v>
      </c>
      <c r="AS19" s="75">
        <f t="array" ref="AS19">IF(ISERROR(index(Com_AllFuels_SEDS_2022_TBtus!$D$3:$D$53,match($B19&amp;AS$2,Com_AllFuels_SEDS_2022_TBtus!$B$3:$B$53&amp;Com_AllFuels_SEDS_2022_TBtus!$A$3:$A$53,0))),0,(index(Com_AllFuels_SEDS_2022_TBtus!$D$3:$D$53,match($B19&amp;AS$2,Com_AllFuels_SEDS_2022_TBtus!$B$3:$B$53&amp;Com_AllFuels_SEDS_2022_TBtus!$A$3:$A$53,0))))</f>
        <v>0</v>
      </c>
      <c r="AT19" s="75">
        <f t="array" ref="AT19">IF(ISERROR(index(Com_AllFuels_SEDS_2022_TBtus!$D$3:$D$53,match($B19&amp;AT$2,Com_AllFuels_SEDS_2022_TBtus!$B$3:$B$53&amp;Com_AllFuels_SEDS_2022_TBtus!$A$3:$A$53,0))),0,(index(Com_AllFuels_SEDS_2022_TBtus!$D$3:$D$53,match($B19&amp;AT$2,Com_AllFuels_SEDS_2022_TBtus!$B$3:$B$53&amp;Com_AllFuels_SEDS_2022_TBtus!$A$3:$A$53,0))))</f>
        <v>0</v>
      </c>
      <c r="AU19" s="75">
        <f t="array" ref="AU19">IF(ISERROR(index(Com_AllFuels_SEDS_2022_TBtus!$D$3:$D$53,match($B19&amp;AU$2,Com_AllFuels_SEDS_2022_TBtus!$B$3:$B$53&amp;Com_AllFuels_SEDS_2022_TBtus!$A$3:$A$53,0))),0,(index(Com_AllFuels_SEDS_2022_TBtus!$D$3:$D$53,match($B19&amp;AU$2,Com_AllFuels_SEDS_2022_TBtus!$B$3:$B$53&amp;Com_AllFuels_SEDS_2022_TBtus!$A$3:$A$53,0))))</f>
        <v>0</v>
      </c>
      <c r="AV19" s="75">
        <f t="array" ref="AV19">IF(ISERROR(index(Com_AllFuels_SEDS_2022_TBtus!$D$3:$D$53,match($B19&amp;AV$2,Com_AllFuels_SEDS_2022_TBtus!$B$3:$B$53&amp;Com_AllFuels_SEDS_2022_TBtus!$A$3:$A$53,0))),0,(index(Com_AllFuels_SEDS_2022_TBtus!$D$3:$D$53,match($B19&amp;AV$2,Com_AllFuels_SEDS_2022_TBtus!$B$3:$B$53&amp;Com_AllFuels_SEDS_2022_TBtus!$A$3:$A$53,0))))</f>
        <v>0</v>
      </c>
      <c r="AW19" s="75">
        <f t="array" ref="AW19">IF(ISERROR(index(Com_AllFuels_SEDS_2022_TBtus!$D$3:$D$53,match($B19&amp;AW$2,Com_AllFuels_SEDS_2022_TBtus!$B$3:$B$53&amp;Com_AllFuels_SEDS_2022_TBtus!$A$3:$A$53,0))),0,(index(Com_AllFuels_SEDS_2022_TBtus!$D$3:$D$53,match($B19&amp;AW$2,Com_AllFuels_SEDS_2022_TBtus!$B$3:$B$53&amp;Com_AllFuels_SEDS_2022_TBtus!$A$3:$A$53,0))))</f>
        <v>0</v>
      </c>
      <c r="AX19" s="75">
        <f t="array" ref="AX19">IF(ISERROR(index(Com_AllFuels_SEDS_2022_TBtus!$D$3:$D$53,match($B19&amp;AX$2,Com_AllFuels_SEDS_2022_TBtus!$B$3:$B$53&amp;Com_AllFuels_SEDS_2022_TBtus!$A$3:$A$53,0))),0,(index(Com_AllFuels_SEDS_2022_TBtus!$D$3:$D$53,match($B19&amp;AX$2,Com_AllFuels_SEDS_2022_TBtus!$B$3:$B$53&amp;Com_AllFuels_SEDS_2022_TBtus!$A$3:$A$53,0))))</f>
        <v>0</v>
      </c>
      <c r="AY19" s="75">
        <f t="array" ref="AY19">IF(ISERROR(index(Com_AllFuels_SEDS_2022_TBtus!$D$3:$D$53,match($B19&amp;AY$2,Com_AllFuels_SEDS_2022_TBtus!$B$3:$B$53&amp;Com_AllFuels_SEDS_2022_TBtus!$A$3:$A$53,0))),0,(index(Com_AllFuels_SEDS_2022_TBtus!$D$3:$D$53,match($B19&amp;AY$2,Com_AllFuels_SEDS_2022_TBtus!$B$3:$B$53&amp;Com_AllFuels_SEDS_2022_TBtus!$A$3:$A$53,0))))</f>
        <v>0</v>
      </c>
      <c r="AZ19" s="75">
        <f t="array" ref="AZ19">IF(ISERROR(index(Com_AllFuels_SEDS_2022_TBtus!$D$3:$D$53,match($B19&amp;AZ$2,Com_AllFuels_SEDS_2022_TBtus!$B$3:$B$53&amp;Com_AllFuels_SEDS_2022_TBtus!$A$3:$A$53,0))),0,(index(Com_AllFuels_SEDS_2022_TBtus!$D$3:$D$53,match($B19&amp;AZ$2,Com_AllFuels_SEDS_2022_TBtus!$B$3:$B$53&amp;Com_AllFuels_SEDS_2022_TBtus!$A$3:$A$53,0))))</f>
        <v>122.5</v>
      </c>
      <c r="BA19" s="75">
        <f t="array" ref="BA19">IF(ISERROR(index(Com_AllFuels_SEDS_2022_TBtus!$D$3:$D$53,match($B19&amp;BA$2,Com_AllFuels_SEDS_2022_TBtus!$B$3:$B$53&amp;Com_AllFuels_SEDS_2022_TBtus!$A$3:$A$53,0))),0,(index(Com_AllFuels_SEDS_2022_TBtus!$D$3:$D$53,match($B19&amp;BA$2,Com_AllFuels_SEDS_2022_TBtus!$B$3:$B$53&amp;Com_AllFuels_SEDS_2022_TBtus!$A$3:$A$53,0))))</f>
        <v>0</v>
      </c>
      <c r="BB19" s="74">
        <f t="shared" si="3"/>
        <v>862.5</v>
      </c>
    </row>
    <row r="20" ht="15.75" customHeight="1">
      <c r="B20" s="74">
        <v>4.0</v>
      </c>
      <c r="C20" s="75">
        <f t="array" ref="C20">IF(ISERROR(index(Com_AllFuels_SEDS_2022_TBtus!$D$3:$D$53,match($B20&amp;C$2,Com_AllFuels_SEDS_2022_TBtus!$B$3:$B$53&amp;Com_AllFuels_SEDS_2022_TBtus!$A$3:$A$53,0))),0,(index(Com_AllFuels_SEDS_2022_TBtus!$D$3:$D$53,match($B20&amp;C$2,Com_AllFuels_SEDS_2022_TBtus!$B$3:$B$53&amp;Com_AllFuels_SEDS_2022_TBtus!$A$3:$A$53,0))))</f>
        <v>0</v>
      </c>
      <c r="D20" s="75">
        <f t="array" ref="D20">IF(ISERROR(index(Com_AllFuels_SEDS_2022_TBtus!$D$3:$D$53,match($B20&amp;D$2,Com_AllFuels_SEDS_2022_TBtus!$B$3:$B$53&amp;Com_AllFuels_SEDS_2022_TBtus!$A$3:$A$53,0))),0,(index(Com_AllFuels_SEDS_2022_TBtus!$D$3:$D$53,match($B20&amp;D$2,Com_AllFuels_SEDS_2022_TBtus!$B$3:$B$53&amp;Com_AllFuels_SEDS_2022_TBtus!$A$3:$A$53,0))))</f>
        <v>0</v>
      </c>
      <c r="E20" s="75">
        <f t="array" ref="E20">IF(ISERROR(index(Com_AllFuels_SEDS_2022_TBtus!$D$3:$D$53,match($B20&amp;E$2,Com_AllFuels_SEDS_2022_TBtus!$B$3:$B$53&amp;Com_AllFuels_SEDS_2022_TBtus!$A$3:$A$53,0))),0,(index(Com_AllFuels_SEDS_2022_TBtus!$D$3:$D$53,match($B20&amp;E$2,Com_AllFuels_SEDS_2022_TBtus!$B$3:$B$53&amp;Com_AllFuels_SEDS_2022_TBtus!$A$3:$A$53,0))))</f>
        <v>0</v>
      </c>
      <c r="F20" s="75">
        <f t="array" ref="F20">IF(ISERROR(index(Com_AllFuels_SEDS_2022_TBtus!$D$3:$D$53,match($B20&amp;F$2,Com_AllFuels_SEDS_2022_TBtus!$B$3:$B$53&amp;Com_AllFuels_SEDS_2022_TBtus!$A$3:$A$53,0))),0,(index(Com_AllFuels_SEDS_2022_TBtus!$D$3:$D$53,match($B20&amp;F$2,Com_AllFuels_SEDS_2022_TBtus!$B$3:$B$53&amp;Com_AllFuels_SEDS_2022_TBtus!$A$3:$A$53,0))))</f>
        <v>0</v>
      </c>
      <c r="G20" s="75">
        <f t="array" ref="G20">IF(ISERROR(index(Com_AllFuels_SEDS_2022_TBtus!$D$3:$D$53,match($B20&amp;G$2,Com_AllFuels_SEDS_2022_TBtus!$B$3:$B$53&amp;Com_AllFuels_SEDS_2022_TBtus!$A$3:$A$53,0))),0,(index(Com_AllFuels_SEDS_2022_TBtus!$D$3:$D$53,match($B20&amp;G$2,Com_AllFuels_SEDS_2022_TBtus!$B$3:$B$53&amp;Com_AllFuels_SEDS_2022_TBtus!$A$3:$A$53,0))))</f>
        <v>0</v>
      </c>
      <c r="H20" s="75">
        <f t="array" ref="H20">IF(ISERROR(index(Com_AllFuels_SEDS_2022_TBtus!$D$3:$D$53,match($B20&amp;H$2,Com_AllFuels_SEDS_2022_TBtus!$B$3:$B$53&amp;Com_AllFuels_SEDS_2022_TBtus!$A$3:$A$53,0))),0,(index(Com_AllFuels_SEDS_2022_TBtus!$D$3:$D$53,match($B20&amp;H$2,Com_AllFuels_SEDS_2022_TBtus!$B$3:$B$53&amp;Com_AllFuels_SEDS_2022_TBtus!$A$3:$A$53,0))))</f>
        <v>0</v>
      </c>
      <c r="I20" s="75">
        <f t="array" ref="I20">IF(ISERROR(index(Com_AllFuels_SEDS_2022_TBtus!$D$3:$D$53,match($B20&amp;I$2,Com_AllFuels_SEDS_2022_TBtus!$B$3:$B$53&amp;Com_AllFuels_SEDS_2022_TBtus!$A$3:$A$53,0))),0,(index(Com_AllFuels_SEDS_2022_TBtus!$D$3:$D$53,match($B20&amp;I$2,Com_AllFuels_SEDS_2022_TBtus!$B$3:$B$53&amp;Com_AllFuels_SEDS_2022_TBtus!$A$3:$A$53,0))))</f>
        <v>0</v>
      </c>
      <c r="J20" s="75">
        <f t="array" ref="J20">IF(ISERROR(index(Com_AllFuels_SEDS_2022_TBtus!$D$3:$D$53,match($B20&amp;J$2,Com_AllFuels_SEDS_2022_TBtus!$B$3:$B$53&amp;Com_AllFuels_SEDS_2022_TBtus!$A$3:$A$53,0))),0,(index(Com_AllFuels_SEDS_2022_TBtus!$D$3:$D$53,match($B20&amp;J$2,Com_AllFuels_SEDS_2022_TBtus!$B$3:$B$53&amp;Com_AllFuels_SEDS_2022_TBtus!$A$3:$A$53,0))))</f>
        <v>0</v>
      </c>
      <c r="K20" s="75">
        <f t="array" ref="K20">IF(ISERROR(index(Com_AllFuels_SEDS_2022_TBtus!$D$3:$D$53,match($B20&amp;K$2,Com_AllFuels_SEDS_2022_TBtus!$B$3:$B$53&amp;Com_AllFuels_SEDS_2022_TBtus!$A$3:$A$53,0))),0,(index(Com_AllFuels_SEDS_2022_TBtus!$D$3:$D$53,match($B20&amp;K$2,Com_AllFuels_SEDS_2022_TBtus!$B$3:$B$53&amp;Com_AllFuels_SEDS_2022_TBtus!$A$3:$A$53,0))))</f>
        <v>0</v>
      </c>
      <c r="L20" s="75">
        <f t="array" ref="L20">IF(ISERROR(index(Com_AllFuels_SEDS_2022_TBtus!$D$3:$D$53,match($B20&amp;L$2,Com_AllFuels_SEDS_2022_TBtus!$B$3:$B$53&amp;Com_AllFuels_SEDS_2022_TBtus!$A$3:$A$53,0))),0,(index(Com_AllFuels_SEDS_2022_TBtus!$D$3:$D$53,match($B20&amp;L$2,Com_AllFuels_SEDS_2022_TBtus!$B$3:$B$53&amp;Com_AllFuels_SEDS_2022_TBtus!$A$3:$A$53,0))))</f>
        <v>0</v>
      </c>
      <c r="M20" s="75">
        <f t="array" ref="M20">IF(ISERROR(index(Com_AllFuels_SEDS_2022_TBtus!$D$3:$D$53,match($B20&amp;M$2,Com_AllFuels_SEDS_2022_TBtus!$B$3:$B$53&amp;Com_AllFuels_SEDS_2022_TBtus!$A$3:$A$53,0))),0,(index(Com_AllFuels_SEDS_2022_TBtus!$D$3:$D$53,match($B20&amp;M$2,Com_AllFuels_SEDS_2022_TBtus!$B$3:$B$53&amp;Com_AllFuels_SEDS_2022_TBtus!$A$3:$A$53,0))))</f>
        <v>0</v>
      </c>
      <c r="N20" s="75">
        <f t="array" ref="N20">IF(ISERROR(index(Com_AllFuels_SEDS_2022_TBtus!$D$3:$D$53,match($B20&amp;N$2,Com_AllFuels_SEDS_2022_TBtus!$B$3:$B$53&amp;Com_AllFuels_SEDS_2022_TBtus!$A$3:$A$53,0))),0,(index(Com_AllFuels_SEDS_2022_TBtus!$D$3:$D$53,match($B20&amp;N$2,Com_AllFuels_SEDS_2022_TBtus!$B$3:$B$53&amp;Com_AllFuels_SEDS_2022_TBtus!$A$3:$A$53,0))))</f>
        <v>0</v>
      </c>
      <c r="O20" s="75">
        <f t="array" ref="O20">IF(ISERROR(index(Com_AllFuels_SEDS_2022_TBtus!$D$3:$D$53,match($B20&amp;O$2,Com_AllFuels_SEDS_2022_TBtus!$B$3:$B$53&amp;Com_AllFuels_SEDS_2022_TBtus!$A$3:$A$53,0))),0,(index(Com_AllFuels_SEDS_2022_TBtus!$D$3:$D$53,match($B20&amp;O$2,Com_AllFuels_SEDS_2022_TBtus!$B$3:$B$53&amp;Com_AllFuels_SEDS_2022_TBtus!$A$3:$A$53,0))))</f>
        <v>0</v>
      </c>
      <c r="P20" s="75">
        <f t="array" ref="P20">IF(ISERROR(index(Com_AllFuels_SEDS_2022_TBtus!$D$3:$D$53,match($B20&amp;P$2,Com_AllFuels_SEDS_2022_TBtus!$B$3:$B$53&amp;Com_AllFuels_SEDS_2022_TBtus!$A$3:$A$53,0))),0,(index(Com_AllFuels_SEDS_2022_TBtus!$D$3:$D$53,match($B20&amp;P$2,Com_AllFuels_SEDS_2022_TBtus!$B$3:$B$53&amp;Com_AllFuels_SEDS_2022_TBtus!$A$3:$A$53,0))))</f>
        <v>0</v>
      </c>
      <c r="Q20" s="75">
        <f t="array" ref="Q20">IF(ISERROR(index(Com_AllFuels_SEDS_2022_TBtus!$D$3:$D$53,match($B20&amp;Q$2,Com_AllFuels_SEDS_2022_TBtus!$B$3:$B$53&amp;Com_AllFuels_SEDS_2022_TBtus!$A$3:$A$53,0))),0,(index(Com_AllFuels_SEDS_2022_TBtus!$D$3:$D$53,match($B20&amp;Q$2,Com_AllFuels_SEDS_2022_TBtus!$B$3:$B$53&amp;Com_AllFuels_SEDS_2022_TBtus!$A$3:$A$53,0))))</f>
        <v>0</v>
      </c>
      <c r="R20" s="75">
        <f t="array" ref="R20">IF(ISERROR(index(Com_AllFuels_SEDS_2022_TBtus!$D$3:$D$53,match($B20&amp;R$2,Com_AllFuels_SEDS_2022_TBtus!$B$3:$B$53&amp;Com_AllFuels_SEDS_2022_TBtus!$A$3:$A$53,0))),0,(index(Com_AllFuels_SEDS_2022_TBtus!$D$3:$D$53,match($B20&amp;R$2,Com_AllFuels_SEDS_2022_TBtus!$B$3:$B$53&amp;Com_AllFuels_SEDS_2022_TBtus!$A$3:$A$53,0))))</f>
        <v>61.9</v>
      </c>
      <c r="S20" s="75">
        <f t="array" ref="S20">IF(ISERROR(index(Com_AllFuels_SEDS_2022_TBtus!$D$3:$D$53,match($B20&amp;S$2,Com_AllFuels_SEDS_2022_TBtus!$B$3:$B$53&amp;Com_AllFuels_SEDS_2022_TBtus!$A$3:$A$53,0))),0,(index(Com_AllFuels_SEDS_2022_TBtus!$D$3:$D$53,match($B20&amp;S$2,Com_AllFuels_SEDS_2022_TBtus!$B$3:$B$53&amp;Com_AllFuels_SEDS_2022_TBtus!$A$3:$A$53,0))))</f>
        <v>47.5</v>
      </c>
      <c r="T20" s="75">
        <f t="array" ref="T20">IF(ISERROR(index(Com_AllFuels_SEDS_2022_TBtus!$D$3:$D$53,match($B20&amp;T$2,Com_AllFuels_SEDS_2022_TBtus!$B$3:$B$53&amp;Com_AllFuels_SEDS_2022_TBtus!$A$3:$A$53,0))),0,(index(Com_AllFuels_SEDS_2022_TBtus!$D$3:$D$53,match($B20&amp;T$2,Com_AllFuels_SEDS_2022_TBtus!$B$3:$B$53&amp;Com_AllFuels_SEDS_2022_TBtus!$A$3:$A$53,0))))</f>
        <v>0</v>
      </c>
      <c r="U20" s="75">
        <f t="array" ref="U20">IF(ISERROR(index(Com_AllFuels_SEDS_2022_TBtus!$D$3:$D$53,match($B20&amp;U$2,Com_AllFuels_SEDS_2022_TBtus!$B$3:$B$53&amp;Com_AllFuels_SEDS_2022_TBtus!$A$3:$A$53,0))),0,(index(Com_AllFuels_SEDS_2022_TBtus!$D$3:$D$53,match($B20&amp;U$2,Com_AllFuels_SEDS_2022_TBtus!$B$3:$B$53&amp;Com_AllFuels_SEDS_2022_TBtus!$A$3:$A$53,0))))</f>
        <v>0</v>
      </c>
      <c r="V20" s="75">
        <f t="array" ref="V20">IF(ISERROR(index(Com_AllFuels_SEDS_2022_TBtus!$D$3:$D$53,match($B20&amp;V$2,Com_AllFuels_SEDS_2022_TBtus!$B$3:$B$53&amp;Com_AllFuels_SEDS_2022_TBtus!$A$3:$A$53,0))),0,(index(Com_AllFuels_SEDS_2022_TBtus!$D$3:$D$53,match($B20&amp;V$2,Com_AllFuels_SEDS_2022_TBtus!$B$3:$B$53&amp;Com_AllFuels_SEDS_2022_TBtus!$A$3:$A$53,0))))</f>
        <v>0</v>
      </c>
      <c r="W20" s="75">
        <f t="array" ref="W20">IF(ISERROR(index(Com_AllFuels_SEDS_2022_TBtus!$D$3:$D$53,match($B20&amp;W$2,Com_AllFuels_SEDS_2022_TBtus!$B$3:$B$53&amp;Com_AllFuels_SEDS_2022_TBtus!$A$3:$A$53,0))),0,(index(Com_AllFuels_SEDS_2022_TBtus!$D$3:$D$53,match($B20&amp;W$2,Com_AllFuels_SEDS_2022_TBtus!$B$3:$B$53&amp;Com_AllFuels_SEDS_2022_TBtus!$A$3:$A$53,0))))</f>
        <v>0</v>
      </c>
      <c r="X20" s="75">
        <f t="array" ref="X20">IF(ISERROR(index(Com_AllFuels_SEDS_2022_TBtus!$D$3:$D$53,match($B20&amp;X$2,Com_AllFuels_SEDS_2022_TBtus!$B$3:$B$53&amp;Com_AllFuels_SEDS_2022_TBtus!$A$3:$A$53,0))),0,(index(Com_AllFuels_SEDS_2022_TBtus!$D$3:$D$53,match($B20&amp;X$2,Com_AllFuels_SEDS_2022_TBtus!$B$3:$B$53&amp;Com_AllFuels_SEDS_2022_TBtus!$A$3:$A$53,0))))</f>
        <v>0</v>
      </c>
      <c r="Y20" s="75">
        <f t="array" ref="Y20">IF(ISERROR(index(Com_AllFuels_SEDS_2022_TBtus!$D$3:$D$53,match($B20&amp;Y$2,Com_AllFuels_SEDS_2022_TBtus!$B$3:$B$53&amp;Com_AllFuels_SEDS_2022_TBtus!$A$3:$A$53,0))),0,(index(Com_AllFuels_SEDS_2022_TBtus!$D$3:$D$53,match($B20&amp;Y$2,Com_AllFuels_SEDS_2022_TBtus!$B$3:$B$53&amp;Com_AllFuels_SEDS_2022_TBtus!$A$3:$A$53,0))))</f>
        <v>0</v>
      </c>
      <c r="Z20" s="75">
        <f t="array" ref="Z20">IF(ISERROR(index(Com_AllFuels_SEDS_2022_TBtus!$D$3:$D$53,match($B20&amp;Z$2,Com_AllFuels_SEDS_2022_TBtus!$B$3:$B$53&amp;Com_AllFuels_SEDS_2022_TBtus!$A$3:$A$53,0))),0,(index(Com_AllFuels_SEDS_2022_TBtus!$D$3:$D$53,match($B20&amp;Z$2,Com_AllFuels_SEDS_2022_TBtus!$B$3:$B$53&amp;Com_AllFuels_SEDS_2022_TBtus!$A$3:$A$53,0))))</f>
        <v>125.6</v>
      </c>
      <c r="AA20" s="75">
        <f t="array" ref="AA20">IF(ISERROR(index(Com_AllFuels_SEDS_2022_TBtus!$D$3:$D$53,match($B20&amp;AA$2,Com_AllFuels_SEDS_2022_TBtus!$B$3:$B$53&amp;Com_AllFuels_SEDS_2022_TBtus!$A$3:$A$53,0))),0,(index(Com_AllFuels_SEDS_2022_TBtus!$D$3:$D$53,match($B20&amp;AA$2,Com_AllFuels_SEDS_2022_TBtus!$B$3:$B$53&amp;Com_AllFuels_SEDS_2022_TBtus!$A$3:$A$53,0))))</f>
        <v>0</v>
      </c>
      <c r="AB20" s="75">
        <f t="array" ref="AB20">IF(ISERROR(index(Com_AllFuels_SEDS_2022_TBtus!$D$3:$D$53,match($B20&amp;AB$2,Com_AllFuels_SEDS_2022_TBtus!$B$3:$B$53&amp;Com_AllFuels_SEDS_2022_TBtus!$A$3:$A$53,0))),0,(index(Com_AllFuels_SEDS_2022_TBtus!$D$3:$D$53,match($B20&amp;AB$2,Com_AllFuels_SEDS_2022_TBtus!$B$3:$B$53&amp;Com_AllFuels_SEDS_2022_TBtus!$A$3:$A$53,0))))</f>
        <v>67.4</v>
      </c>
      <c r="AC20" s="75">
        <f t="array" ref="AC20">IF(ISERROR(index(Com_AllFuels_SEDS_2022_TBtus!$D$3:$D$53,match($B20&amp;AC$2,Com_AllFuels_SEDS_2022_TBtus!$B$3:$B$53&amp;Com_AllFuels_SEDS_2022_TBtus!$A$3:$A$53,0))),0,(index(Com_AllFuels_SEDS_2022_TBtus!$D$3:$D$53,match($B20&amp;AC$2,Com_AllFuels_SEDS_2022_TBtus!$B$3:$B$53&amp;Com_AllFuels_SEDS_2022_TBtus!$A$3:$A$53,0))))</f>
        <v>0</v>
      </c>
      <c r="AD20" s="75">
        <f t="array" ref="AD20">IF(ISERROR(index(Com_AllFuels_SEDS_2022_TBtus!$D$3:$D$53,match($B20&amp;AD$2,Com_AllFuels_SEDS_2022_TBtus!$B$3:$B$53&amp;Com_AllFuels_SEDS_2022_TBtus!$A$3:$A$53,0))),0,(index(Com_AllFuels_SEDS_2022_TBtus!$D$3:$D$53,match($B20&amp;AD$2,Com_AllFuels_SEDS_2022_TBtus!$B$3:$B$53&amp;Com_AllFuels_SEDS_2022_TBtus!$A$3:$A$53,0))))</f>
        <v>34.6</v>
      </c>
      <c r="AE20" s="75">
        <f t="array" ref="AE20">IF(ISERROR(index(Com_AllFuels_SEDS_2022_TBtus!$D$3:$D$53,match($B20&amp;AE$2,Com_AllFuels_SEDS_2022_TBtus!$B$3:$B$53&amp;Com_AllFuels_SEDS_2022_TBtus!$A$3:$A$53,0))),0,(index(Com_AllFuels_SEDS_2022_TBtus!$D$3:$D$53,match($B20&amp;AE$2,Com_AllFuels_SEDS_2022_TBtus!$B$3:$B$53&amp;Com_AllFuels_SEDS_2022_TBtus!$A$3:$A$53,0))))</f>
        <v>0</v>
      </c>
      <c r="AF20" s="75">
        <f t="array" ref="AF20">IF(ISERROR(index(Com_AllFuels_SEDS_2022_TBtus!$D$3:$D$53,match($B20&amp;AF$2,Com_AllFuels_SEDS_2022_TBtus!$B$3:$B$53&amp;Com_AllFuels_SEDS_2022_TBtus!$A$3:$A$53,0))),0,(index(Com_AllFuels_SEDS_2022_TBtus!$D$3:$D$53,match($B20&amp;AF$2,Com_AllFuels_SEDS_2022_TBtus!$B$3:$B$53&amp;Com_AllFuels_SEDS_2022_TBtus!$A$3:$A$53,0))))</f>
        <v>0</v>
      </c>
      <c r="AG20" s="75">
        <f t="array" ref="AG20">IF(ISERROR(index(Com_AllFuels_SEDS_2022_TBtus!$D$3:$D$53,match($B20&amp;AG$2,Com_AllFuels_SEDS_2022_TBtus!$B$3:$B$53&amp;Com_AllFuels_SEDS_2022_TBtus!$A$3:$A$53,0))),0,(index(Com_AllFuels_SEDS_2022_TBtus!$D$3:$D$53,match($B20&amp;AG$2,Com_AllFuels_SEDS_2022_TBtus!$B$3:$B$53&amp;Com_AllFuels_SEDS_2022_TBtus!$A$3:$A$53,0))))</f>
        <v>0</v>
      </c>
      <c r="AH20" s="75">
        <f t="array" ref="AH20">IF(ISERROR(index(Com_AllFuels_SEDS_2022_TBtus!$D$3:$D$53,match($B20&amp;AH$2,Com_AllFuels_SEDS_2022_TBtus!$B$3:$B$53&amp;Com_AllFuels_SEDS_2022_TBtus!$A$3:$A$53,0))),0,(index(Com_AllFuels_SEDS_2022_TBtus!$D$3:$D$53,match($B20&amp;AH$2,Com_AllFuels_SEDS_2022_TBtus!$B$3:$B$53&amp;Com_AllFuels_SEDS_2022_TBtus!$A$3:$A$53,0))))</f>
        <v>0</v>
      </c>
      <c r="AI20" s="75">
        <f t="array" ref="AI20">IF(ISERROR(index(Com_AllFuels_SEDS_2022_TBtus!$D$3:$D$53,match($B20&amp;AI$2,Com_AllFuels_SEDS_2022_TBtus!$B$3:$B$53&amp;Com_AllFuels_SEDS_2022_TBtus!$A$3:$A$53,0))),0,(index(Com_AllFuels_SEDS_2022_TBtus!$D$3:$D$53,match($B20&amp;AI$2,Com_AllFuels_SEDS_2022_TBtus!$B$3:$B$53&amp;Com_AllFuels_SEDS_2022_TBtus!$A$3:$A$53,0))))</f>
        <v>0</v>
      </c>
      <c r="AJ20" s="75">
        <f t="array" ref="AJ20">IF(ISERROR(index(Com_AllFuels_SEDS_2022_TBtus!$D$3:$D$53,match($B20&amp;AJ$2,Com_AllFuels_SEDS_2022_TBtus!$B$3:$B$53&amp;Com_AllFuels_SEDS_2022_TBtus!$A$3:$A$53,0))),0,(index(Com_AllFuels_SEDS_2022_TBtus!$D$3:$D$53,match($B20&amp;AJ$2,Com_AllFuels_SEDS_2022_TBtus!$B$3:$B$53&amp;Com_AllFuels_SEDS_2022_TBtus!$A$3:$A$53,0))))</f>
        <v>0</v>
      </c>
      <c r="AK20" s="75">
        <f t="array" ref="AK20">IF(ISERROR(index(Com_AllFuels_SEDS_2022_TBtus!$D$3:$D$53,match($B20&amp;AK$2,Com_AllFuels_SEDS_2022_TBtus!$B$3:$B$53&amp;Com_AllFuels_SEDS_2022_TBtus!$A$3:$A$53,0))),0,(index(Com_AllFuels_SEDS_2022_TBtus!$D$3:$D$53,match($B20&amp;AK$2,Com_AllFuels_SEDS_2022_TBtus!$B$3:$B$53&amp;Com_AllFuels_SEDS_2022_TBtus!$A$3:$A$53,0))))</f>
        <v>18.1</v>
      </c>
      <c r="AL20" s="75">
        <f t="array" ref="AL20">IF(ISERROR(index(Com_AllFuels_SEDS_2022_TBtus!$D$3:$D$53,match($B20&amp;AL$2,Com_AllFuels_SEDS_2022_TBtus!$B$3:$B$53&amp;Com_AllFuels_SEDS_2022_TBtus!$A$3:$A$53,0))),0,(index(Com_AllFuels_SEDS_2022_TBtus!$D$3:$D$53,match($B20&amp;AL$2,Com_AllFuels_SEDS_2022_TBtus!$B$3:$B$53&amp;Com_AllFuels_SEDS_2022_TBtus!$A$3:$A$53,0))))</f>
        <v>0</v>
      </c>
      <c r="AM20" s="75">
        <f t="array" ref="AM20">IF(ISERROR(index(Com_AllFuels_SEDS_2022_TBtus!$D$3:$D$53,match($B20&amp;AM$2,Com_AllFuels_SEDS_2022_TBtus!$B$3:$B$53&amp;Com_AllFuels_SEDS_2022_TBtus!$A$3:$A$53,0))),0,(index(Com_AllFuels_SEDS_2022_TBtus!$D$3:$D$53,match($B20&amp;AM$2,Com_AllFuels_SEDS_2022_TBtus!$B$3:$B$53&amp;Com_AllFuels_SEDS_2022_TBtus!$A$3:$A$53,0))))</f>
        <v>0</v>
      </c>
      <c r="AN20" s="75">
        <f t="array" ref="AN20">IF(ISERROR(index(Com_AllFuels_SEDS_2022_TBtus!$D$3:$D$53,match($B20&amp;AN$2,Com_AllFuels_SEDS_2022_TBtus!$B$3:$B$53&amp;Com_AllFuels_SEDS_2022_TBtus!$A$3:$A$53,0))),0,(index(Com_AllFuels_SEDS_2022_TBtus!$D$3:$D$53,match($B20&amp;AN$2,Com_AllFuels_SEDS_2022_TBtus!$B$3:$B$53&amp;Com_AllFuels_SEDS_2022_TBtus!$A$3:$A$53,0))))</f>
        <v>0</v>
      </c>
      <c r="AO20" s="75">
        <f t="array" ref="AO20">IF(ISERROR(index(Com_AllFuels_SEDS_2022_TBtus!$D$3:$D$53,match($B20&amp;AO$2,Com_AllFuels_SEDS_2022_TBtus!$B$3:$B$53&amp;Com_AllFuels_SEDS_2022_TBtus!$A$3:$A$53,0))),0,(index(Com_AllFuels_SEDS_2022_TBtus!$D$3:$D$53,match($B20&amp;AO$2,Com_AllFuels_SEDS_2022_TBtus!$B$3:$B$53&amp;Com_AllFuels_SEDS_2022_TBtus!$A$3:$A$53,0))))</f>
        <v>0</v>
      </c>
      <c r="AP20" s="75">
        <f t="array" ref="AP20">IF(ISERROR(index(Com_AllFuels_SEDS_2022_TBtus!$D$3:$D$53,match($B20&amp;AP$2,Com_AllFuels_SEDS_2022_TBtus!$B$3:$B$53&amp;Com_AllFuels_SEDS_2022_TBtus!$A$3:$A$53,0))),0,(index(Com_AllFuels_SEDS_2022_TBtus!$D$3:$D$53,match($B20&amp;AP$2,Com_AllFuels_SEDS_2022_TBtus!$B$3:$B$53&amp;Com_AllFuels_SEDS_2022_TBtus!$A$3:$A$53,0))))</f>
        <v>0</v>
      </c>
      <c r="AQ20" s="75">
        <f t="array" ref="AQ20">IF(ISERROR(index(Com_AllFuels_SEDS_2022_TBtus!$D$3:$D$53,match($B20&amp;AQ$2,Com_AllFuels_SEDS_2022_TBtus!$B$3:$B$53&amp;Com_AllFuels_SEDS_2022_TBtus!$A$3:$A$53,0))),0,(index(Com_AllFuels_SEDS_2022_TBtus!$D$3:$D$53,match($B20&amp;AQ$2,Com_AllFuels_SEDS_2022_TBtus!$B$3:$B$53&amp;Com_AllFuels_SEDS_2022_TBtus!$A$3:$A$53,0))))</f>
        <v>0</v>
      </c>
      <c r="AR20" s="75">
        <f t="array" ref="AR20">IF(ISERROR(index(Com_AllFuels_SEDS_2022_TBtus!$D$3:$D$53,match($B20&amp;AR$2,Com_AllFuels_SEDS_2022_TBtus!$B$3:$B$53&amp;Com_AllFuels_SEDS_2022_TBtus!$A$3:$A$53,0))),0,(index(Com_AllFuels_SEDS_2022_TBtus!$D$3:$D$53,match($B20&amp;AR$2,Com_AllFuels_SEDS_2022_TBtus!$B$3:$B$53&amp;Com_AllFuels_SEDS_2022_TBtus!$A$3:$A$53,0))))</f>
        <v>14.2</v>
      </c>
      <c r="AS20" s="75">
        <f t="array" ref="AS20">IF(ISERROR(index(Com_AllFuels_SEDS_2022_TBtus!$D$3:$D$53,match($B20&amp;AS$2,Com_AllFuels_SEDS_2022_TBtus!$B$3:$B$53&amp;Com_AllFuels_SEDS_2022_TBtus!$A$3:$A$53,0))),0,(index(Com_AllFuels_SEDS_2022_TBtus!$D$3:$D$53,match($B20&amp;AS$2,Com_AllFuels_SEDS_2022_TBtus!$B$3:$B$53&amp;Com_AllFuels_SEDS_2022_TBtus!$A$3:$A$53,0))))</f>
        <v>0</v>
      </c>
      <c r="AT20" s="75">
        <f t="array" ref="AT20">IF(ISERROR(index(Com_AllFuels_SEDS_2022_TBtus!$D$3:$D$53,match($B20&amp;AT$2,Com_AllFuels_SEDS_2022_TBtus!$B$3:$B$53&amp;Com_AllFuels_SEDS_2022_TBtus!$A$3:$A$53,0))),0,(index(Com_AllFuels_SEDS_2022_TBtus!$D$3:$D$53,match($B20&amp;AT$2,Com_AllFuels_SEDS_2022_TBtus!$B$3:$B$53&amp;Com_AllFuels_SEDS_2022_TBtus!$A$3:$A$53,0))))</f>
        <v>0</v>
      </c>
      <c r="AU20" s="75">
        <f t="array" ref="AU20">IF(ISERROR(index(Com_AllFuels_SEDS_2022_TBtus!$D$3:$D$53,match($B20&amp;AU$2,Com_AllFuels_SEDS_2022_TBtus!$B$3:$B$53&amp;Com_AllFuels_SEDS_2022_TBtus!$A$3:$A$53,0))),0,(index(Com_AllFuels_SEDS_2022_TBtus!$D$3:$D$53,match($B20&amp;AU$2,Com_AllFuels_SEDS_2022_TBtus!$B$3:$B$53&amp;Com_AllFuels_SEDS_2022_TBtus!$A$3:$A$53,0))))</f>
        <v>0</v>
      </c>
      <c r="AV20" s="75">
        <f t="array" ref="AV20">IF(ISERROR(index(Com_AllFuels_SEDS_2022_TBtus!$D$3:$D$53,match($B20&amp;AV$2,Com_AllFuels_SEDS_2022_TBtus!$B$3:$B$53&amp;Com_AllFuels_SEDS_2022_TBtus!$A$3:$A$53,0))),0,(index(Com_AllFuels_SEDS_2022_TBtus!$D$3:$D$53,match($B20&amp;AV$2,Com_AllFuels_SEDS_2022_TBtus!$B$3:$B$53&amp;Com_AllFuels_SEDS_2022_TBtus!$A$3:$A$53,0))))</f>
        <v>0</v>
      </c>
      <c r="AW20" s="75">
        <f t="array" ref="AW20">IF(ISERROR(index(Com_AllFuels_SEDS_2022_TBtus!$D$3:$D$53,match($B20&amp;AW$2,Com_AllFuels_SEDS_2022_TBtus!$B$3:$B$53&amp;Com_AllFuels_SEDS_2022_TBtus!$A$3:$A$53,0))),0,(index(Com_AllFuels_SEDS_2022_TBtus!$D$3:$D$53,match($B20&amp;AW$2,Com_AllFuels_SEDS_2022_TBtus!$B$3:$B$53&amp;Com_AllFuels_SEDS_2022_TBtus!$A$3:$A$53,0))))</f>
        <v>0</v>
      </c>
      <c r="AX20" s="75">
        <f t="array" ref="AX20">IF(ISERROR(index(Com_AllFuels_SEDS_2022_TBtus!$D$3:$D$53,match($B20&amp;AX$2,Com_AllFuels_SEDS_2022_TBtus!$B$3:$B$53&amp;Com_AllFuels_SEDS_2022_TBtus!$A$3:$A$53,0))),0,(index(Com_AllFuels_SEDS_2022_TBtus!$D$3:$D$53,match($B20&amp;AX$2,Com_AllFuels_SEDS_2022_TBtus!$B$3:$B$53&amp;Com_AllFuels_SEDS_2022_TBtus!$A$3:$A$53,0))))</f>
        <v>0</v>
      </c>
      <c r="AY20" s="75">
        <f t="array" ref="AY20">IF(ISERROR(index(Com_AllFuels_SEDS_2022_TBtus!$D$3:$D$53,match($B20&amp;AY$2,Com_AllFuels_SEDS_2022_TBtus!$B$3:$B$53&amp;Com_AllFuels_SEDS_2022_TBtus!$A$3:$A$53,0))),0,(index(Com_AllFuels_SEDS_2022_TBtus!$D$3:$D$53,match($B20&amp;AY$2,Com_AllFuels_SEDS_2022_TBtus!$B$3:$B$53&amp;Com_AllFuels_SEDS_2022_TBtus!$A$3:$A$53,0))))</f>
        <v>0</v>
      </c>
      <c r="AZ20" s="75">
        <f t="array" ref="AZ20">IF(ISERROR(index(Com_AllFuels_SEDS_2022_TBtus!$D$3:$D$53,match($B20&amp;AZ$2,Com_AllFuels_SEDS_2022_TBtus!$B$3:$B$53&amp;Com_AllFuels_SEDS_2022_TBtus!$A$3:$A$53,0))),0,(index(Com_AllFuels_SEDS_2022_TBtus!$D$3:$D$53,match($B20&amp;AZ$2,Com_AllFuels_SEDS_2022_TBtus!$B$3:$B$53&amp;Com_AllFuels_SEDS_2022_TBtus!$A$3:$A$53,0))))</f>
        <v>0</v>
      </c>
      <c r="BA20" s="75">
        <f t="array" ref="BA20">IF(ISERROR(index(Com_AllFuels_SEDS_2022_TBtus!$D$3:$D$53,match($B20&amp;BA$2,Com_AllFuels_SEDS_2022_TBtus!$B$3:$B$53&amp;Com_AllFuels_SEDS_2022_TBtus!$A$3:$A$53,0))),0,(index(Com_AllFuels_SEDS_2022_TBtus!$D$3:$D$53,match($B20&amp;BA$2,Com_AllFuels_SEDS_2022_TBtus!$B$3:$B$53&amp;Com_AllFuels_SEDS_2022_TBtus!$A$3:$A$53,0))))</f>
        <v>0</v>
      </c>
      <c r="BB20" s="74">
        <f t="shared" si="3"/>
        <v>369.3</v>
      </c>
    </row>
    <row r="21" ht="15.75" customHeight="1">
      <c r="B21" s="74">
        <v>5.0</v>
      </c>
      <c r="C21" s="75">
        <f t="array" ref="C21">IF(ISERROR(index(Com_AllFuels_SEDS_2022_TBtus!$D$3:$D$53,match($B21&amp;C$2,Com_AllFuels_SEDS_2022_TBtus!$B$3:$B$53&amp;Com_AllFuels_SEDS_2022_TBtus!$A$3:$A$53,0))),0,(index(Com_AllFuels_SEDS_2022_TBtus!$D$3:$D$53,match($B21&amp;C$2,Com_AllFuels_SEDS_2022_TBtus!$B$3:$B$53&amp;Com_AllFuels_SEDS_2022_TBtus!$A$3:$A$53,0))))</f>
        <v>0</v>
      </c>
      <c r="D21" s="75">
        <f t="array" ref="D21">IF(ISERROR(index(Com_AllFuels_SEDS_2022_TBtus!$D$3:$D$53,match($B21&amp;D$2,Com_AllFuels_SEDS_2022_TBtus!$B$3:$B$53&amp;Com_AllFuels_SEDS_2022_TBtus!$A$3:$A$53,0))),0,(index(Com_AllFuels_SEDS_2022_TBtus!$D$3:$D$53,match($B21&amp;D$2,Com_AllFuels_SEDS_2022_TBtus!$B$3:$B$53&amp;Com_AllFuels_SEDS_2022_TBtus!$A$3:$A$53,0))))</f>
        <v>0</v>
      </c>
      <c r="E21" s="75">
        <f t="array" ref="E21">IF(ISERROR(index(Com_AllFuels_SEDS_2022_TBtus!$D$3:$D$53,match($B21&amp;E$2,Com_AllFuels_SEDS_2022_TBtus!$B$3:$B$53&amp;Com_AllFuels_SEDS_2022_TBtus!$A$3:$A$53,0))),0,(index(Com_AllFuels_SEDS_2022_TBtus!$D$3:$D$53,match($B21&amp;E$2,Com_AllFuels_SEDS_2022_TBtus!$B$3:$B$53&amp;Com_AllFuels_SEDS_2022_TBtus!$A$3:$A$53,0))))</f>
        <v>0</v>
      </c>
      <c r="F21" s="75">
        <f t="array" ref="F21">IF(ISERROR(index(Com_AllFuels_SEDS_2022_TBtus!$D$3:$D$53,match($B21&amp;F$2,Com_AllFuels_SEDS_2022_TBtus!$B$3:$B$53&amp;Com_AllFuels_SEDS_2022_TBtus!$A$3:$A$53,0))),0,(index(Com_AllFuels_SEDS_2022_TBtus!$D$3:$D$53,match($B21&amp;F$2,Com_AllFuels_SEDS_2022_TBtus!$B$3:$B$53&amp;Com_AllFuels_SEDS_2022_TBtus!$A$3:$A$53,0))))</f>
        <v>0</v>
      </c>
      <c r="G21" s="75">
        <f t="array" ref="G21">IF(ISERROR(index(Com_AllFuels_SEDS_2022_TBtus!$D$3:$D$53,match($B21&amp;G$2,Com_AllFuels_SEDS_2022_TBtus!$B$3:$B$53&amp;Com_AllFuels_SEDS_2022_TBtus!$A$3:$A$53,0))),0,(index(Com_AllFuels_SEDS_2022_TBtus!$D$3:$D$53,match($B21&amp;G$2,Com_AllFuels_SEDS_2022_TBtus!$B$3:$B$53&amp;Com_AllFuels_SEDS_2022_TBtus!$A$3:$A$53,0))))</f>
        <v>0</v>
      </c>
      <c r="H21" s="75">
        <f t="array" ref="H21">IF(ISERROR(index(Com_AllFuels_SEDS_2022_TBtus!$D$3:$D$53,match($B21&amp;H$2,Com_AllFuels_SEDS_2022_TBtus!$B$3:$B$53&amp;Com_AllFuels_SEDS_2022_TBtus!$A$3:$A$53,0))),0,(index(Com_AllFuels_SEDS_2022_TBtus!$D$3:$D$53,match($B21&amp;H$2,Com_AllFuels_SEDS_2022_TBtus!$B$3:$B$53&amp;Com_AllFuels_SEDS_2022_TBtus!$A$3:$A$53,0))))</f>
        <v>0</v>
      </c>
      <c r="I21" s="75">
        <f t="array" ref="I21">IF(ISERROR(index(Com_AllFuels_SEDS_2022_TBtus!$D$3:$D$53,match($B21&amp;I$2,Com_AllFuels_SEDS_2022_TBtus!$B$3:$B$53&amp;Com_AllFuels_SEDS_2022_TBtus!$A$3:$A$53,0))),0,(index(Com_AllFuels_SEDS_2022_TBtus!$D$3:$D$53,match($B21&amp;I$2,Com_AllFuels_SEDS_2022_TBtus!$B$3:$B$53&amp;Com_AllFuels_SEDS_2022_TBtus!$A$3:$A$53,0))))</f>
        <v>0</v>
      </c>
      <c r="J21" s="75">
        <f t="array" ref="J21">IF(ISERROR(index(Com_AllFuels_SEDS_2022_TBtus!$D$3:$D$53,match($B21&amp;J$2,Com_AllFuels_SEDS_2022_TBtus!$B$3:$B$53&amp;Com_AllFuels_SEDS_2022_TBtus!$A$3:$A$53,0))),0,(index(Com_AllFuels_SEDS_2022_TBtus!$D$3:$D$53,match($B21&amp;J$2,Com_AllFuels_SEDS_2022_TBtus!$B$3:$B$53&amp;Com_AllFuels_SEDS_2022_TBtus!$A$3:$A$53,0))))</f>
        <v>11.3</v>
      </c>
      <c r="K21" s="75">
        <f t="array" ref="K21">IF(ISERROR(index(Com_AllFuels_SEDS_2022_TBtus!$D$3:$D$53,match($B21&amp;K$2,Com_AllFuels_SEDS_2022_TBtus!$B$3:$B$53&amp;Com_AllFuels_SEDS_2022_TBtus!$A$3:$A$53,0))),0,(index(Com_AllFuels_SEDS_2022_TBtus!$D$3:$D$53,match($B21&amp;K$2,Com_AllFuels_SEDS_2022_TBtus!$B$3:$B$53&amp;Com_AllFuels_SEDS_2022_TBtus!$A$3:$A$53,0))))</f>
        <v>16</v>
      </c>
      <c r="L21" s="75">
        <f t="array" ref="L21">IF(ISERROR(index(Com_AllFuels_SEDS_2022_TBtus!$D$3:$D$53,match($B21&amp;L$2,Com_AllFuels_SEDS_2022_TBtus!$B$3:$B$53&amp;Com_AllFuels_SEDS_2022_TBtus!$A$3:$A$53,0))),0,(index(Com_AllFuels_SEDS_2022_TBtus!$D$3:$D$53,match($B21&amp;L$2,Com_AllFuels_SEDS_2022_TBtus!$B$3:$B$53&amp;Com_AllFuels_SEDS_2022_TBtus!$A$3:$A$53,0))))</f>
        <v>64.8</v>
      </c>
      <c r="M21" s="75">
        <f t="array" ref="M21">IF(ISERROR(index(Com_AllFuels_SEDS_2022_TBtus!$D$3:$D$53,match($B21&amp;M$2,Com_AllFuels_SEDS_2022_TBtus!$B$3:$B$53&amp;Com_AllFuels_SEDS_2022_TBtus!$A$3:$A$53,0))),0,(index(Com_AllFuels_SEDS_2022_TBtus!$D$3:$D$53,match($B21&amp;M$2,Com_AllFuels_SEDS_2022_TBtus!$B$3:$B$53&amp;Com_AllFuels_SEDS_2022_TBtus!$A$3:$A$53,0))))</f>
        <v>56.9</v>
      </c>
      <c r="N21" s="75">
        <f t="array" ref="N21">IF(ISERROR(index(Com_AllFuels_SEDS_2022_TBtus!$D$3:$D$53,match($B21&amp;N$2,Com_AllFuels_SEDS_2022_TBtus!$B$3:$B$53&amp;Com_AllFuels_SEDS_2022_TBtus!$A$3:$A$53,0))),0,(index(Com_AllFuels_SEDS_2022_TBtus!$D$3:$D$53,match($B21&amp;N$2,Com_AllFuels_SEDS_2022_TBtus!$B$3:$B$53&amp;Com_AllFuels_SEDS_2022_TBtus!$A$3:$A$53,0))))</f>
        <v>0</v>
      </c>
      <c r="O21" s="75">
        <f t="array" ref="O21">IF(ISERROR(index(Com_AllFuels_SEDS_2022_TBtus!$D$3:$D$53,match($B21&amp;O$2,Com_AllFuels_SEDS_2022_TBtus!$B$3:$B$53&amp;Com_AllFuels_SEDS_2022_TBtus!$A$3:$A$53,0))),0,(index(Com_AllFuels_SEDS_2022_TBtus!$D$3:$D$53,match($B21&amp;O$2,Com_AllFuels_SEDS_2022_TBtus!$B$3:$B$53&amp;Com_AllFuels_SEDS_2022_TBtus!$A$3:$A$53,0))))</f>
        <v>0</v>
      </c>
      <c r="P21" s="75">
        <f t="array" ref="P21">IF(ISERROR(index(Com_AllFuels_SEDS_2022_TBtus!$D$3:$D$53,match($B21&amp;P$2,Com_AllFuels_SEDS_2022_TBtus!$B$3:$B$53&amp;Com_AllFuels_SEDS_2022_TBtus!$A$3:$A$53,0))),0,(index(Com_AllFuels_SEDS_2022_TBtus!$D$3:$D$53,match($B21&amp;P$2,Com_AllFuels_SEDS_2022_TBtus!$B$3:$B$53&amp;Com_AllFuels_SEDS_2022_TBtus!$A$3:$A$53,0))))</f>
        <v>0</v>
      </c>
      <c r="Q21" s="75">
        <f t="array" ref="Q21">IF(ISERROR(index(Com_AllFuels_SEDS_2022_TBtus!$D$3:$D$53,match($B21&amp;Q$2,Com_AllFuels_SEDS_2022_TBtus!$B$3:$B$53&amp;Com_AllFuels_SEDS_2022_TBtus!$A$3:$A$53,0))),0,(index(Com_AllFuels_SEDS_2022_TBtus!$D$3:$D$53,match($B21&amp;Q$2,Com_AllFuels_SEDS_2022_TBtus!$B$3:$B$53&amp;Com_AllFuels_SEDS_2022_TBtus!$A$3:$A$53,0))))</f>
        <v>0</v>
      </c>
      <c r="R21" s="75">
        <f t="array" ref="R21">IF(ISERROR(index(Com_AllFuels_SEDS_2022_TBtus!$D$3:$D$53,match($B21&amp;R$2,Com_AllFuels_SEDS_2022_TBtus!$B$3:$B$53&amp;Com_AllFuels_SEDS_2022_TBtus!$A$3:$A$53,0))),0,(index(Com_AllFuels_SEDS_2022_TBtus!$D$3:$D$53,match($B21&amp;R$2,Com_AllFuels_SEDS_2022_TBtus!$B$3:$B$53&amp;Com_AllFuels_SEDS_2022_TBtus!$A$3:$A$53,0))))</f>
        <v>0</v>
      </c>
      <c r="S21" s="75">
        <f t="array" ref="S21">IF(ISERROR(index(Com_AllFuels_SEDS_2022_TBtus!$D$3:$D$53,match($B21&amp;S$2,Com_AllFuels_SEDS_2022_TBtus!$B$3:$B$53&amp;Com_AllFuels_SEDS_2022_TBtus!$A$3:$A$53,0))),0,(index(Com_AllFuels_SEDS_2022_TBtus!$D$3:$D$53,match($B21&amp;S$2,Com_AllFuels_SEDS_2022_TBtus!$B$3:$B$53&amp;Com_AllFuels_SEDS_2022_TBtus!$A$3:$A$53,0))))</f>
        <v>0</v>
      </c>
      <c r="T21" s="75">
        <f t="array" ref="T21">IF(ISERROR(index(Com_AllFuels_SEDS_2022_TBtus!$D$3:$D$53,match($B21&amp;T$2,Com_AllFuels_SEDS_2022_TBtus!$B$3:$B$53&amp;Com_AllFuels_SEDS_2022_TBtus!$A$3:$A$53,0))),0,(index(Com_AllFuels_SEDS_2022_TBtus!$D$3:$D$53,match($B21&amp;T$2,Com_AllFuels_SEDS_2022_TBtus!$B$3:$B$53&amp;Com_AllFuels_SEDS_2022_TBtus!$A$3:$A$53,0))))</f>
        <v>0</v>
      </c>
      <c r="U21" s="75">
        <f t="array" ref="U21">IF(ISERROR(index(Com_AllFuels_SEDS_2022_TBtus!$D$3:$D$53,match($B21&amp;U$2,Com_AllFuels_SEDS_2022_TBtus!$B$3:$B$53&amp;Com_AllFuels_SEDS_2022_TBtus!$A$3:$A$53,0))),0,(index(Com_AllFuels_SEDS_2022_TBtus!$D$3:$D$53,match($B21&amp;U$2,Com_AllFuels_SEDS_2022_TBtus!$B$3:$B$53&amp;Com_AllFuels_SEDS_2022_TBtus!$A$3:$A$53,0))))</f>
        <v>0</v>
      </c>
      <c r="V21" s="75">
        <f t="array" ref="V21">IF(ISERROR(index(Com_AllFuels_SEDS_2022_TBtus!$D$3:$D$53,match($B21&amp;V$2,Com_AllFuels_SEDS_2022_TBtus!$B$3:$B$53&amp;Com_AllFuels_SEDS_2022_TBtus!$A$3:$A$53,0))),0,(index(Com_AllFuels_SEDS_2022_TBtus!$D$3:$D$53,match($B21&amp;V$2,Com_AllFuels_SEDS_2022_TBtus!$B$3:$B$53&amp;Com_AllFuels_SEDS_2022_TBtus!$A$3:$A$53,0))))</f>
        <v>0</v>
      </c>
      <c r="W21" s="75">
        <f t="array" ref="W21">IF(ISERROR(index(Com_AllFuels_SEDS_2022_TBtus!$D$3:$D$53,match($B21&amp;W$2,Com_AllFuels_SEDS_2022_TBtus!$B$3:$B$53&amp;Com_AllFuels_SEDS_2022_TBtus!$A$3:$A$53,0))),0,(index(Com_AllFuels_SEDS_2022_TBtus!$D$3:$D$53,match($B21&amp;W$2,Com_AllFuels_SEDS_2022_TBtus!$B$3:$B$53&amp;Com_AllFuels_SEDS_2022_TBtus!$A$3:$A$53,0))))</f>
        <v>76.8</v>
      </c>
      <c r="X21" s="75">
        <f t="array" ref="X21">IF(ISERROR(index(Com_AllFuels_SEDS_2022_TBtus!$D$3:$D$53,match($B21&amp;X$2,Com_AllFuels_SEDS_2022_TBtus!$B$3:$B$53&amp;Com_AllFuels_SEDS_2022_TBtus!$A$3:$A$53,0))),0,(index(Com_AllFuels_SEDS_2022_TBtus!$D$3:$D$53,match($B21&amp;X$2,Com_AllFuels_SEDS_2022_TBtus!$B$3:$B$53&amp;Com_AllFuels_SEDS_2022_TBtus!$A$3:$A$53,0))))</f>
        <v>0</v>
      </c>
      <c r="Y21" s="75">
        <f t="array" ref="Y21">IF(ISERROR(index(Com_AllFuels_SEDS_2022_TBtus!$D$3:$D$53,match($B21&amp;Y$2,Com_AllFuels_SEDS_2022_TBtus!$B$3:$B$53&amp;Com_AllFuels_SEDS_2022_TBtus!$A$3:$A$53,0))),0,(index(Com_AllFuels_SEDS_2022_TBtus!$D$3:$D$53,match($B21&amp;Y$2,Com_AllFuels_SEDS_2022_TBtus!$B$3:$B$53&amp;Com_AllFuels_SEDS_2022_TBtus!$A$3:$A$53,0))))</f>
        <v>0</v>
      </c>
      <c r="Z21" s="75">
        <f t="array" ref="Z21">IF(ISERROR(index(Com_AllFuels_SEDS_2022_TBtus!$D$3:$D$53,match($B21&amp;Z$2,Com_AllFuels_SEDS_2022_TBtus!$B$3:$B$53&amp;Com_AllFuels_SEDS_2022_TBtus!$A$3:$A$53,0))),0,(index(Com_AllFuels_SEDS_2022_TBtus!$D$3:$D$53,match($B21&amp;Z$2,Com_AllFuels_SEDS_2022_TBtus!$B$3:$B$53&amp;Com_AllFuels_SEDS_2022_TBtus!$A$3:$A$53,0))))</f>
        <v>0</v>
      </c>
      <c r="AA21" s="75">
        <f t="array" ref="AA21">IF(ISERROR(index(Com_AllFuels_SEDS_2022_TBtus!$D$3:$D$53,match($B21&amp;AA$2,Com_AllFuels_SEDS_2022_TBtus!$B$3:$B$53&amp;Com_AllFuels_SEDS_2022_TBtus!$A$3:$A$53,0))),0,(index(Com_AllFuels_SEDS_2022_TBtus!$D$3:$D$53,match($B21&amp;AA$2,Com_AllFuels_SEDS_2022_TBtus!$B$3:$B$53&amp;Com_AllFuels_SEDS_2022_TBtus!$A$3:$A$53,0))))</f>
        <v>0</v>
      </c>
      <c r="AB21" s="75">
        <f t="array" ref="AB21">IF(ISERROR(index(Com_AllFuels_SEDS_2022_TBtus!$D$3:$D$53,match($B21&amp;AB$2,Com_AllFuels_SEDS_2022_TBtus!$B$3:$B$53&amp;Com_AllFuels_SEDS_2022_TBtus!$A$3:$A$53,0))),0,(index(Com_AllFuels_SEDS_2022_TBtus!$D$3:$D$53,match($B21&amp;AB$2,Com_AllFuels_SEDS_2022_TBtus!$B$3:$B$53&amp;Com_AllFuels_SEDS_2022_TBtus!$A$3:$A$53,0))))</f>
        <v>0</v>
      </c>
      <c r="AC21" s="75">
        <f t="array" ref="AC21">IF(ISERROR(index(Com_AllFuels_SEDS_2022_TBtus!$D$3:$D$53,match($B21&amp;AC$2,Com_AllFuels_SEDS_2022_TBtus!$B$3:$B$53&amp;Com_AllFuels_SEDS_2022_TBtus!$A$3:$A$53,0))),0,(index(Com_AllFuels_SEDS_2022_TBtus!$D$3:$D$53,match($B21&amp;AC$2,Com_AllFuels_SEDS_2022_TBtus!$B$3:$B$53&amp;Com_AllFuels_SEDS_2022_TBtus!$A$3:$A$53,0))))</f>
        <v>0</v>
      </c>
      <c r="AD21" s="75">
        <f t="array" ref="AD21">IF(ISERROR(index(Com_AllFuels_SEDS_2022_TBtus!$D$3:$D$53,match($B21&amp;AD$2,Com_AllFuels_SEDS_2022_TBtus!$B$3:$B$53&amp;Com_AllFuels_SEDS_2022_TBtus!$A$3:$A$53,0))),0,(index(Com_AllFuels_SEDS_2022_TBtus!$D$3:$D$53,match($B21&amp;AD$2,Com_AllFuels_SEDS_2022_TBtus!$B$3:$B$53&amp;Com_AllFuels_SEDS_2022_TBtus!$A$3:$A$53,0))))</f>
        <v>0</v>
      </c>
      <c r="AE21" s="75">
        <f t="array" ref="AE21">IF(ISERROR(index(Com_AllFuels_SEDS_2022_TBtus!$D$3:$D$53,match($B21&amp;AE$2,Com_AllFuels_SEDS_2022_TBtus!$B$3:$B$53&amp;Com_AllFuels_SEDS_2022_TBtus!$A$3:$A$53,0))),0,(index(Com_AllFuels_SEDS_2022_TBtus!$D$3:$D$53,match($B21&amp;AE$2,Com_AllFuels_SEDS_2022_TBtus!$B$3:$B$53&amp;Com_AllFuels_SEDS_2022_TBtus!$A$3:$A$53,0))))</f>
        <v>0</v>
      </c>
      <c r="AF21" s="75">
        <f t="array" ref="AF21">IF(ISERROR(index(Com_AllFuels_SEDS_2022_TBtus!$D$3:$D$53,match($B21&amp;AF$2,Com_AllFuels_SEDS_2022_TBtus!$B$3:$B$53&amp;Com_AllFuels_SEDS_2022_TBtus!$A$3:$A$53,0))),0,(index(Com_AllFuels_SEDS_2022_TBtus!$D$3:$D$53,match($B21&amp;AF$2,Com_AllFuels_SEDS_2022_TBtus!$B$3:$B$53&amp;Com_AllFuels_SEDS_2022_TBtus!$A$3:$A$53,0))))</f>
        <v>0</v>
      </c>
      <c r="AG21" s="75">
        <f t="array" ref="AG21">IF(ISERROR(index(Com_AllFuels_SEDS_2022_TBtus!$D$3:$D$53,match($B21&amp;AG$2,Com_AllFuels_SEDS_2022_TBtus!$B$3:$B$53&amp;Com_AllFuels_SEDS_2022_TBtus!$A$3:$A$53,0))),0,(index(Com_AllFuels_SEDS_2022_TBtus!$D$3:$D$53,match($B21&amp;AG$2,Com_AllFuels_SEDS_2022_TBtus!$B$3:$B$53&amp;Com_AllFuels_SEDS_2022_TBtus!$A$3:$A$53,0))))</f>
        <v>0</v>
      </c>
      <c r="AH21" s="75">
        <f t="array" ref="AH21">IF(ISERROR(index(Com_AllFuels_SEDS_2022_TBtus!$D$3:$D$53,match($B21&amp;AH$2,Com_AllFuels_SEDS_2022_TBtus!$B$3:$B$53&amp;Com_AllFuels_SEDS_2022_TBtus!$A$3:$A$53,0))),0,(index(Com_AllFuels_SEDS_2022_TBtus!$D$3:$D$53,match($B21&amp;AH$2,Com_AllFuels_SEDS_2022_TBtus!$B$3:$B$53&amp;Com_AllFuels_SEDS_2022_TBtus!$A$3:$A$53,0))))</f>
        <v>0</v>
      </c>
      <c r="AI21" s="75">
        <f t="array" ref="AI21">IF(ISERROR(index(Com_AllFuels_SEDS_2022_TBtus!$D$3:$D$53,match($B21&amp;AI$2,Com_AllFuels_SEDS_2022_TBtus!$B$3:$B$53&amp;Com_AllFuels_SEDS_2022_TBtus!$A$3:$A$53,0))),0,(index(Com_AllFuels_SEDS_2022_TBtus!$D$3:$D$53,match($B21&amp;AI$2,Com_AllFuels_SEDS_2022_TBtus!$B$3:$B$53&amp;Com_AllFuels_SEDS_2022_TBtus!$A$3:$A$53,0))))</f>
        <v>0</v>
      </c>
      <c r="AJ21" s="75">
        <f t="array" ref="AJ21">IF(ISERROR(index(Com_AllFuels_SEDS_2022_TBtus!$D$3:$D$53,match($B21&amp;AJ$2,Com_AllFuels_SEDS_2022_TBtus!$B$3:$B$53&amp;Com_AllFuels_SEDS_2022_TBtus!$A$3:$A$53,0))),0,(index(Com_AllFuels_SEDS_2022_TBtus!$D$3:$D$53,match($B21&amp;AJ$2,Com_AllFuels_SEDS_2022_TBtus!$B$3:$B$53&amp;Com_AllFuels_SEDS_2022_TBtus!$A$3:$A$53,0))))</f>
        <v>60.6</v>
      </c>
      <c r="AK21" s="75">
        <f t="array" ref="AK21">IF(ISERROR(index(Com_AllFuels_SEDS_2022_TBtus!$D$3:$D$53,match($B21&amp;AK$2,Com_AllFuels_SEDS_2022_TBtus!$B$3:$B$53&amp;Com_AllFuels_SEDS_2022_TBtus!$A$3:$A$53,0))),0,(index(Com_AllFuels_SEDS_2022_TBtus!$D$3:$D$53,match($B21&amp;AK$2,Com_AllFuels_SEDS_2022_TBtus!$B$3:$B$53&amp;Com_AllFuels_SEDS_2022_TBtus!$A$3:$A$53,0))))</f>
        <v>0</v>
      </c>
      <c r="AL21" s="75">
        <f t="array" ref="AL21">IF(ISERROR(index(Com_AllFuels_SEDS_2022_TBtus!$D$3:$D$53,match($B21&amp;AL$2,Com_AllFuels_SEDS_2022_TBtus!$B$3:$B$53&amp;Com_AllFuels_SEDS_2022_TBtus!$A$3:$A$53,0))),0,(index(Com_AllFuels_SEDS_2022_TBtus!$D$3:$D$53,match($B21&amp;AL$2,Com_AllFuels_SEDS_2022_TBtus!$B$3:$B$53&amp;Com_AllFuels_SEDS_2022_TBtus!$A$3:$A$53,0))))</f>
        <v>0</v>
      </c>
      <c r="AM21" s="75">
        <f t="array" ref="AM21">IF(ISERROR(index(Com_AllFuels_SEDS_2022_TBtus!$D$3:$D$53,match($B21&amp;AM$2,Com_AllFuels_SEDS_2022_TBtus!$B$3:$B$53&amp;Com_AllFuels_SEDS_2022_TBtus!$A$3:$A$53,0))),0,(index(Com_AllFuels_SEDS_2022_TBtus!$D$3:$D$53,match($B21&amp;AM$2,Com_AllFuels_SEDS_2022_TBtus!$B$3:$B$53&amp;Com_AllFuels_SEDS_2022_TBtus!$A$3:$A$53,0))))</f>
        <v>0</v>
      </c>
      <c r="AN21" s="75">
        <f t="array" ref="AN21">IF(ISERROR(index(Com_AllFuels_SEDS_2022_TBtus!$D$3:$D$53,match($B21&amp;AN$2,Com_AllFuels_SEDS_2022_TBtus!$B$3:$B$53&amp;Com_AllFuels_SEDS_2022_TBtus!$A$3:$A$53,0))),0,(index(Com_AllFuels_SEDS_2022_TBtus!$D$3:$D$53,match($B21&amp;AN$2,Com_AllFuels_SEDS_2022_TBtus!$B$3:$B$53&amp;Com_AllFuels_SEDS_2022_TBtus!$A$3:$A$53,0))))</f>
        <v>0</v>
      </c>
      <c r="AO21" s="75">
        <f t="array" ref="AO21">IF(ISERROR(index(Com_AllFuels_SEDS_2022_TBtus!$D$3:$D$53,match($B21&amp;AO$2,Com_AllFuels_SEDS_2022_TBtus!$B$3:$B$53&amp;Com_AllFuels_SEDS_2022_TBtus!$A$3:$A$53,0))),0,(index(Com_AllFuels_SEDS_2022_TBtus!$D$3:$D$53,match($B21&amp;AO$2,Com_AllFuels_SEDS_2022_TBtus!$B$3:$B$53&amp;Com_AllFuels_SEDS_2022_TBtus!$A$3:$A$53,0))))</f>
        <v>0</v>
      </c>
      <c r="AP21" s="75">
        <f t="array" ref="AP21">IF(ISERROR(index(Com_AllFuels_SEDS_2022_TBtus!$D$3:$D$53,match($B21&amp;AP$2,Com_AllFuels_SEDS_2022_TBtus!$B$3:$B$53&amp;Com_AllFuels_SEDS_2022_TBtus!$A$3:$A$53,0))),0,(index(Com_AllFuels_SEDS_2022_TBtus!$D$3:$D$53,match($B21&amp;AP$2,Com_AllFuels_SEDS_2022_TBtus!$B$3:$B$53&amp;Com_AllFuels_SEDS_2022_TBtus!$A$3:$A$53,0))))</f>
        <v>0</v>
      </c>
      <c r="AQ21" s="75">
        <f t="array" ref="AQ21">IF(ISERROR(index(Com_AllFuels_SEDS_2022_TBtus!$D$3:$D$53,match($B21&amp;AQ$2,Com_AllFuels_SEDS_2022_TBtus!$B$3:$B$53&amp;Com_AllFuels_SEDS_2022_TBtus!$A$3:$A$53,0))),0,(index(Com_AllFuels_SEDS_2022_TBtus!$D$3:$D$53,match($B21&amp;AQ$2,Com_AllFuels_SEDS_2022_TBtus!$B$3:$B$53&amp;Com_AllFuels_SEDS_2022_TBtus!$A$3:$A$53,0))))</f>
        <v>26.8</v>
      </c>
      <c r="AR21" s="75">
        <f t="array" ref="AR21">IF(ISERROR(index(Com_AllFuels_SEDS_2022_TBtus!$D$3:$D$53,match($B21&amp;AR$2,Com_AllFuels_SEDS_2022_TBtus!$B$3:$B$53&amp;Com_AllFuels_SEDS_2022_TBtus!$A$3:$A$53,0))),0,(index(Com_AllFuels_SEDS_2022_TBtus!$D$3:$D$53,match($B21&amp;AR$2,Com_AllFuels_SEDS_2022_TBtus!$B$3:$B$53&amp;Com_AllFuels_SEDS_2022_TBtus!$A$3:$A$53,0))))</f>
        <v>0</v>
      </c>
      <c r="AS21" s="75">
        <f t="array" ref="AS21">IF(ISERROR(index(Com_AllFuels_SEDS_2022_TBtus!$D$3:$D$53,match($B21&amp;AS$2,Com_AllFuels_SEDS_2022_TBtus!$B$3:$B$53&amp;Com_AllFuels_SEDS_2022_TBtus!$A$3:$A$53,0))),0,(index(Com_AllFuels_SEDS_2022_TBtus!$D$3:$D$53,match($B21&amp;AS$2,Com_AllFuels_SEDS_2022_TBtus!$B$3:$B$53&amp;Com_AllFuels_SEDS_2022_TBtus!$A$3:$A$53,0))))</f>
        <v>0</v>
      </c>
      <c r="AT21" s="75">
        <f t="array" ref="AT21">IF(ISERROR(index(Com_AllFuels_SEDS_2022_TBtus!$D$3:$D$53,match($B21&amp;AT$2,Com_AllFuels_SEDS_2022_TBtus!$B$3:$B$53&amp;Com_AllFuels_SEDS_2022_TBtus!$A$3:$A$53,0))),0,(index(Com_AllFuels_SEDS_2022_TBtus!$D$3:$D$53,match($B21&amp;AT$2,Com_AllFuels_SEDS_2022_TBtus!$B$3:$B$53&amp;Com_AllFuels_SEDS_2022_TBtus!$A$3:$A$53,0))))</f>
        <v>0</v>
      </c>
      <c r="AU21" s="75">
        <f t="array" ref="AU21">IF(ISERROR(index(Com_AllFuels_SEDS_2022_TBtus!$D$3:$D$53,match($B21&amp;AU$2,Com_AllFuels_SEDS_2022_TBtus!$B$3:$B$53&amp;Com_AllFuels_SEDS_2022_TBtus!$A$3:$A$53,0))),0,(index(Com_AllFuels_SEDS_2022_TBtus!$D$3:$D$53,match($B21&amp;AU$2,Com_AllFuels_SEDS_2022_TBtus!$B$3:$B$53&amp;Com_AllFuels_SEDS_2022_TBtus!$A$3:$A$53,0))))</f>
        <v>0</v>
      </c>
      <c r="AV21" s="75">
        <f t="array" ref="AV21">IF(ISERROR(index(Com_AllFuels_SEDS_2022_TBtus!$D$3:$D$53,match($B21&amp;AV$2,Com_AllFuels_SEDS_2022_TBtus!$B$3:$B$53&amp;Com_AllFuels_SEDS_2022_TBtus!$A$3:$A$53,0))),0,(index(Com_AllFuels_SEDS_2022_TBtus!$D$3:$D$53,match($B21&amp;AV$2,Com_AllFuels_SEDS_2022_TBtus!$B$3:$B$53&amp;Com_AllFuels_SEDS_2022_TBtus!$A$3:$A$53,0))))</f>
        <v>0</v>
      </c>
      <c r="AW21" s="75">
        <f t="array" ref="AW21">IF(ISERROR(index(Com_AllFuels_SEDS_2022_TBtus!$D$3:$D$53,match($B21&amp;AW$2,Com_AllFuels_SEDS_2022_TBtus!$B$3:$B$53&amp;Com_AllFuels_SEDS_2022_TBtus!$A$3:$A$53,0))),0,(index(Com_AllFuels_SEDS_2022_TBtus!$D$3:$D$53,match($B21&amp;AW$2,Com_AllFuels_SEDS_2022_TBtus!$B$3:$B$53&amp;Com_AllFuels_SEDS_2022_TBtus!$A$3:$A$53,0))))</f>
        <v>78.6</v>
      </c>
      <c r="AX21" s="75">
        <f t="array" ref="AX21">IF(ISERROR(index(Com_AllFuels_SEDS_2022_TBtus!$D$3:$D$53,match($B21&amp;AX$2,Com_AllFuels_SEDS_2022_TBtus!$B$3:$B$53&amp;Com_AllFuels_SEDS_2022_TBtus!$A$3:$A$53,0))),0,(index(Com_AllFuels_SEDS_2022_TBtus!$D$3:$D$53,match($B21&amp;AX$2,Com_AllFuels_SEDS_2022_TBtus!$B$3:$B$53&amp;Com_AllFuels_SEDS_2022_TBtus!$A$3:$A$53,0))))</f>
        <v>0</v>
      </c>
      <c r="AY21" s="75">
        <f t="array" ref="AY21">IF(ISERROR(index(Com_AllFuels_SEDS_2022_TBtus!$D$3:$D$53,match($B21&amp;AY$2,Com_AllFuels_SEDS_2022_TBtus!$B$3:$B$53&amp;Com_AllFuels_SEDS_2022_TBtus!$A$3:$A$53,0))),0,(index(Com_AllFuels_SEDS_2022_TBtus!$D$3:$D$53,match($B21&amp;AY$2,Com_AllFuels_SEDS_2022_TBtus!$B$3:$B$53&amp;Com_AllFuels_SEDS_2022_TBtus!$A$3:$A$53,0))))</f>
        <v>25.7</v>
      </c>
      <c r="AZ21" s="75">
        <f t="array" ref="AZ21">IF(ISERROR(index(Com_AllFuels_SEDS_2022_TBtus!$D$3:$D$53,match($B21&amp;AZ$2,Com_AllFuels_SEDS_2022_TBtus!$B$3:$B$53&amp;Com_AllFuels_SEDS_2022_TBtus!$A$3:$A$53,0))),0,(index(Com_AllFuels_SEDS_2022_TBtus!$D$3:$D$53,match($B21&amp;AZ$2,Com_AllFuels_SEDS_2022_TBtus!$B$3:$B$53&amp;Com_AllFuels_SEDS_2022_TBtus!$A$3:$A$53,0))))</f>
        <v>0</v>
      </c>
      <c r="BA21" s="75">
        <f t="array" ref="BA21">IF(ISERROR(index(Com_AllFuels_SEDS_2022_TBtus!$D$3:$D$53,match($B21&amp;BA$2,Com_AllFuels_SEDS_2022_TBtus!$B$3:$B$53&amp;Com_AllFuels_SEDS_2022_TBtus!$A$3:$A$53,0))),0,(index(Com_AllFuels_SEDS_2022_TBtus!$D$3:$D$53,match($B21&amp;BA$2,Com_AllFuels_SEDS_2022_TBtus!$B$3:$B$53&amp;Com_AllFuels_SEDS_2022_TBtus!$A$3:$A$53,0))))</f>
        <v>0</v>
      </c>
      <c r="BB21" s="74">
        <f t="shared" si="3"/>
        <v>417.5</v>
      </c>
    </row>
    <row r="22" ht="15.75" customHeight="1">
      <c r="B22" s="74">
        <v>6.0</v>
      </c>
      <c r="C22" s="75">
        <f t="array" ref="C22">IF(ISERROR(index(Com_AllFuels_SEDS_2022_TBtus!$D$3:$D$53,match($B22&amp;C$2,Com_AllFuels_SEDS_2022_TBtus!$B$3:$B$53&amp;Com_AllFuels_SEDS_2022_TBtus!$A$3:$A$53,0))),0,(index(Com_AllFuels_SEDS_2022_TBtus!$D$3:$D$53,match($B22&amp;C$2,Com_AllFuels_SEDS_2022_TBtus!$B$3:$B$53&amp;Com_AllFuels_SEDS_2022_TBtus!$A$3:$A$53,0))))</f>
        <v>26.5</v>
      </c>
      <c r="D22" s="75">
        <f t="array" ref="D22">IF(ISERROR(index(Com_AllFuels_SEDS_2022_TBtus!$D$3:$D$53,match($B22&amp;D$2,Com_AllFuels_SEDS_2022_TBtus!$B$3:$B$53&amp;Com_AllFuels_SEDS_2022_TBtus!$A$3:$A$53,0))),0,(index(Com_AllFuels_SEDS_2022_TBtus!$D$3:$D$53,match($B22&amp;D$2,Com_AllFuels_SEDS_2022_TBtus!$B$3:$B$53&amp;Com_AllFuels_SEDS_2022_TBtus!$A$3:$A$53,0))))</f>
        <v>0</v>
      </c>
      <c r="E22" s="75">
        <f t="array" ref="E22">IF(ISERROR(index(Com_AllFuels_SEDS_2022_TBtus!$D$3:$D$53,match($B22&amp;E$2,Com_AllFuels_SEDS_2022_TBtus!$B$3:$B$53&amp;Com_AllFuels_SEDS_2022_TBtus!$A$3:$A$53,0))),0,(index(Com_AllFuels_SEDS_2022_TBtus!$D$3:$D$53,match($B22&amp;E$2,Com_AllFuels_SEDS_2022_TBtus!$B$3:$B$53&amp;Com_AllFuels_SEDS_2022_TBtus!$A$3:$A$53,0))))</f>
        <v>0</v>
      </c>
      <c r="F22" s="75">
        <f t="array" ref="F22">IF(ISERROR(index(Com_AllFuels_SEDS_2022_TBtus!$D$3:$D$53,match($B22&amp;F$2,Com_AllFuels_SEDS_2022_TBtus!$B$3:$B$53&amp;Com_AllFuels_SEDS_2022_TBtus!$A$3:$A$53,0))),0,(index(Com_AllFuels_SEDS_2022_TBtus!$D$3:$D$53,match($B22&amp;F$2,Com_AllFuels_SEDS_2022_TBtus!$B$3:$B$53&amp;Com_AllFuels_SEDS_2022_TBtus!$A$3:$A$53,0))))</f>
        <v>0</v>
      </c>
      <c r="G22" s="75">
        <f t="array" ref="G22">IF(ISERROR(index(Com_AllFuels_SEDS_2022_TBtus!$D$3:$D$53,match($B22&amp;G$2,Com_AllFuels_SEDS_2022_TBtus!$B$3:$B$53&amp;Com_AllFuels_SEDS_2022_TBtus!$A$3:$A$53,0))),0,(index(Com_AllFuels_SEDS_2022_TBtus!$D$3:$D$53,match($B22&amp;G$2,Com_AllFuels_SEDS_2022_TBtus!$B$3:$B$53&amp;Com_AllFuels_SEDS_2022_TBtus!$A$3:$A$53,0))))</f>
        <v>0</v>
      </c>
      <c r="H22" s="75">
        <f t="array" ref="H22">IF(ISERROR(index(Com_AllFuels_SEDS_2022_TBtus!$D$3:$D$53,match($B22&amp;H$2,Com_AllFuels_SEDS_2022_TBtus!$B$3:$B$53&amp;Com_AllFuels_SEDS_2022_TBtus!$A$3:$A$53,0))),0,(index(Com_AllFuels_SEDS_2022_TBtus!$D$3:$D$53,match($B22&amp;H$2,Com_AllFuels_SEDS_2022_TBtus!$B$3:$B$53&amp;Com_AllFuels_SEDS_2022_TBtus!$A$3:$A$53,0))))</f>
        <v>0</v>
      </c>
      <c r="I22" s="75">
        <f t="array" ref="I22">IF(ISERROR(index(Com_AllFuels_SEDS_2022_TBtus!$D$3:$D$53,match($B22&amp;I$2,Com_AllFuels_SEDS_2022_TBtus!$B$3:$B$53&amp;Com_AllFuels_SEDS_2022_TBtus!$A$3:$A$53,0))),0,(index(Com_AllFuels_SEDS_2022_TBtus!$D$3:$D$53,match($B22&amp;I$2,Com_AllFuels_SEDS_2022_TBtus!$B$3:$B$53&amp;Com_AllFuels_SEDS_2022_TBtus!$A$3:$A$53,0))))</f>
        <v>0</v>
      </c>
      <c r="J22" s="75">
        <f t="array" ref="J22">IF(ISERROR(index(Com_AllFuels_SEDS_2022_TBtus!$D$3:$D$53,match($B22&amp;J$2,Com_AllFuels_SEDS_2022_TBtus!$B$3:$B$53&amp;Com_AllFuels_SEDS_2022_TBtus!$A$3:$A$53,0))),0,(index(Com_AllFuels_SEDS_2022_TBtus!$D$3:$D$53,match($B22&amp;J$2,Com_AllFuels_SEDS_2022_TBtus!$B$3:$B$53&amp;Com_AllFuels_SEDS_2022_TBtus!$A$3:$A$53,0))))</f>
        <v>0</v>
      </c>
      <c r="K22" s="75">
        <f t="array" ref="K22">IF(ISERROR(index(Com_AllFuels_SEDS_2022_TBtus!$D$3:$D$53,match($B22&amp;K$2,Com_AllFuels_SEDS_2022_TBtus!$B$3:$B$53&amp;Com_AllFuels_SEDS_2022_TBtus!$A$3:$A$53,0))),0,(index(Com_AllFuels_SEDS_2022_TBtus!$D$3:$D$53,match($B22&amp;K$2,Com_AllFuels_SEDS_2022_TBtus!$B$3:$B$53&amp;Com_AllFuels_SEDS_2022_TBtus!$A$3:$A$53,0))))</f>
        <v>0</v>
      </c>
      <c r="L22" s="75">
        <f t="array" ref="L22">IF(ISERROR(index(Com_AllFuels_SEDS_2022_TBtus!$D$3:$D$53,match($B22&amp;L$2,Com_AllFuels_SEDS_2022_TBtus!$B$3:$B$53&amp;Com_AllFuels_SEDS_2022_TBtus!$A$3:$A$53,0))),0,(index(Com_AllFuels_SEDS_2022_TBtus!$D$3:$D$53,match($B22&amp;L$2,Com_AllFuels_SEDS_2022_TBtus!$B$3:$B$53&amp;Com_AllFuels_SEDS_2022_TBtus!$A$3:$A$53,0))))</f>
        <v>0</v>
      </c>
      <c r="M22" s="75">
        <f t="array" ref="M22">IF(ISERROR(index(Com_AllFuels_SEDS_2022_TBtus!$D$3:$D$53,match($B22&amp;M$2,Com_AllFuels_SEDS_2022_TBtus!$B$3:$B$53&amp;Com_AllFuels_SEDS_2022_TBtus!$A$3:$A$53,0))),0,(index(Com_AllFuels_SEDS_2022_TBtus!$D$3:$D$53,match($B22&amp;M$2,Com_AllFuels_SEDS_2022_TBtus!$B$3:$B$53&amp;Com_AllFuels_SEDS_2022_TBtus!$A$3:$A$53,0))))</f>
        <v>0</v>
      </c>
      <c r="N22" s="75">
        <f t="array" ref="N22">IF(ISERROR(index(Com_AllFuels_SEDS_2022_TBtus!$D$3:$D$53,match($B22&amp;N$2,Com_AllFuels_SEDS_2022_TBtus!$B$3:$B$53&amp;Com_AllFuels_SEDS_2022_TBtus!$A$3:$A$53,0))),0,(index(Com_AllFuels_SEDS_2022_TBtus!$D$3:$D$53,match($B22&amp;N$2,Com_AllFuels_SEDS_2022_TBtus!$B$3:$B$53&amp;Com_AllFuels_SEDS_2022_TBtus!$A$3:$A$53,0))))</f>
        <v>0</v>
      </c>
      <c r="O22" s="75">
        <f t="array" ref="O22">IF(ISERROR(index(Com_AllFuels_SEDS_2022_TBtus!$D$3:$D$53,match($B22&amp;O$2,Com_AllFuels_SEDS_2022_TBtus!$B$3:$B$53&amp;Com_AllFuels_SEDS_2022_TBtus!$A$3:$A$53,0))),0,(index(Com_AllFuels_SEDS_2022_TBtus!$D$3:$D$53,match($B22&amp;O$2,Com_AllFuels_SEDS_2022_TBtus!$B$3:$B$53&amp;Com_AllFuels_SEDS_2022_TBtus!$A$3:$A$53,0))))</f>
        <v>0</v>
      </c>
      <c r="P22" s="75">
        <f t="array" ref="P22">IF(ISERROR(index(Com_AllFuels_SEDS_2022_TBtus!$D$3:$D$53,match($B22&amp;P$2,Com_AllFuels_SEDS_2022_TBtus!$B$3:$B$53&amp;Com_AllFuels_SEDS_2022_TBtus!$A$3:$A$53,0))),0,(index(Com_AllFuels_SEDS_2022_TBtus!$D$3:$D$53,match($B22&amp;P$2,Com_AllFuels_SEDS_2022_TBtus!$B$3:$B$53&amp;Com_AllFuels_SEDS_2022_TBtus!$A$3:$A$53,0))))</f>
        <v>0</v>
      </c>
      <c r="Q22" s="75">
        <f t="array" ref="Q22">IF(ISERROR(index(Com_AllFuels_SEDS_2022_TBtus!$D$3:$D$53,match($B22&amp;Q$2,Com_AllFuels_SEDS_2022_TBtus!$B$3:$B$53&amp;Com_AllFuels_SEDS_2022_TBtus!$A$3:$A$53,0))),0,(index(Com_AllFuels_SEDS_2022_TBtus!$D$3:$D$53,match($B22&amp;Q$2,Com_AllFuels_SEDS_2022_TBtus!$B$3:$B$53&amp;Com_AllFuels_SEDS_2022_TBtus!$A$3:$A$53,0))))</f>
        <v>0</v>
      </c>
      <c r="R22" s="75">
        <f t="array" ref="R22">IF(ISERROR(index(Com_AllFuels_SEDS_2022_TBtus!$D$3:$D$53,match($B22&amp;R$2,Com_AllFuels_SEDS_2022_TBtus!$B$3:$B$53&amp;Com_AllFuels_SEDS_2022_TBtus!$A$3:$A$53,0))),0,(index(Com_AllFuels_SEDS_2022_TBtus!$D$3:$D$53,match($B22&amp;R$2,Com_AllFuels_SEDS_2022_TBtus!$B$3:$B$53&amp;Com_AllFuels_SEDS_2022_TBtus!$A$3:$A$53,0))))</f>
        <v>0</v>
      </c>
      <c r="S22" s="75">
        <f t="array" ref="S22">IF(ISERROR(index(Com_AllFuels_SEDS_2022_TBtus!$D$3:$D$53,match($B22&amp;S$2,Com_AllFuels_SEDS_2022_TBtus!$B$3:$B$53&amp;Com_AllFuels_SEDS_2022_TBtus!$A$3:$A$53,0))),0,(index(Com_AllFuels_SEDS_2022_TBtus!$D$3:$D$53,match($B22&amp;S$2,Com_AllFuels_SEDS_2022_TBtus!$B$3:$B$53&amp;Com_AllFuels_SEDS_2022_TBtus!$A$3:$A$53,0))))</f>
        <v>0</v>
      </c>
      <c r="T22" s="75">
        <f t="array" ref="T22">IF(ISERROR(index(Com_AllFuels_SEDS_2022_TBtus!$D$3:$D$53,match($B22&amp;T$2,Com_AllFuels_SEDS_2022_TBtus!$B$3:$B$53&amp;Com_AllFuels_SEDS_2022_TBtus!$A$3:$A$53,0))),0,(index(Com_AllFuels_SEDS_2022_TBtus!$D$3:$D$53,match($B22&amp;T$2,Com_AllFuels_SEDS_2022_TBtus!$B$3:$B$53&amp;Com_AllFuels_SEDS_2022_TBtus!$A$3:$A$53,0))))</f>
        <v>40.5</v>
      </c>
      <c r="U22" s="75">
        <f t="array" ref="U22">IF(ISERROR(index(Com_AllFuels_SEDS_2022_TBtus!$D$3:$D$53,match($B22&amp;U$2,Com_AllFuels_SEDS_2022_TBtus!$B$3:$B$53&amp;Com_AllFuels_SEDS_2022_TBtus!$A$3:$A$53,0))),0,(index(Com_AllFuels_SEDS_2022_TBtus!$D$3:$D$53,match($B22&amp;U$2,Com_AllFuels_SEDS_2022_TBtus!$B$3:$B$53&amp;Com_AllFuels_SEDS_2022_TBtus!$A$3:$A$53,0))))</f>
        <v>0</v>
      </c>
      <c r="V22" s="75">
        <f t="array" ref="V22">IF(ISERROR(index(Com_AllFuels_SEDS_2022_TBtus!$D$3:$D$53,match($B22&amp;V$2,Com_AllFuels_SEDS_2022_TBtus!$B$3:$B$53&amp;Com_AllFuels_SEDS_2022_TBtus!$A$3:$A$53,0))),0,(index(Com_AllFuels_SEDS_2022_TBtus!$D$3:$D$53,match($B22&amp;V$2,Com_AllFuels_SEDS_2022_TBtus!$B$3:$B$53&amp;Com_AllFuels_SEDS_2022_TBtus!$A$3:$A$53,0))))</f>
        <v>0</v>
      </c>
      <c r="W22" s="75">
        <f t="array" ref="W22">IF(ISERROR(index(Com_AllFuels_SEDS_2022_TBtus!$D$3:$D$53,match($B22&amp;W$2,Com_AllFuels_SEDS_2022_TBtus!$B$3:$B$53&amp;Com_AllFuels_SEDS_2022_TBtus!$A$3:$A$53,0))),0,(index(Com_AllFuels_SEDS_2022_TBtus!$D$3:$D$53,match($B22&amp;W$2,Com_AllFuels_SEDS_2022_TBtus!$B$3:$B$53&amp;Com_AllFuels_SEDS_2022_TBtus!$A$3:$A$53,0))))</f>
        <v>0</v>
      </c>
      <c r="X22" s="75">
        <f t="array" ref="X22">IF(ISERROR(index(Com_AllFuels_SEDS_2022_TBtus!$D$3:$D$53,match($B22&amp;X$2,Com_AllFuels_SEDS_2022_TBtus!$B$3:$B$53&amp;Com_AllFuels_SEDS_2022_TBtus!$A$3:$A$53,0))),0,(index(Com_AllFuels_SEDS_2022_TBtus!$D$3:$D$53,match($B22&amp;X$2,Com_AllFuels_SEDS_2022_TBtus!$B$3:$B$53&amp;Com_AllFuels_SEDS_2022_TBtus!$A$3:$A$53,0))))</f>
        <v>0</v>
      </c>
      <c r="Y22" s="75">
        <f t="array" ref="Y22">IF(ISERROR(index(Com_AllFuels_SEDS_2022_TBtus!$D$3:$D$53,match($B22&amp;Y$2,Com_AllFuels_SEDS_2022_TBtus!$B$3:$B$53&amp;Com_AllFuels_SEDS_2022_TBtus!$A$3:$A$53,0))),0,(index(Com_AllFuels_SEDS_2022_TBtus!$D$3:$D$53,match($B22&amp;Y$2,Com_AllFuels_SEDS_2022_TBtus!$B$3:$B$53&amp;Com_AllFuels_SEDS_2022_TBtus!$A$3:$A$53,0))))</f>
        <v>0</v>
      </c>
      <c r="Z22" s="75">
        <f t="array" ref="Z22">IF(ISERROR(index(Com_AllFuels_SEDS_2022_TBtus!$D$3:$D$53,match($B22&amp;Z$2,Com_AllFuels_SEDS_2022_TBtus!$B$3:$B$53&amp;Com_AllFuels_SEDS_2022_TBtus!$A$3:$A$53,0))),0,(index(Com_AllFuels_SEDS_2022_TBtus!$D$3:$D$53,match($B22&amp;Z$2,Com_AllFuels_SEDS_2022_TBtus!$B$3:$B$53&amp;Com_AllFuels_SEDS_2022_TBtus!$A$3:$A$53,0))))</f>
        <v>0</v>
      </c>
      <c r="AA22" s="75">
        <f t="array" ref="AA22">IF(ISERROR(index(Com_AllFuels_SEDS_2022_TBtus!$D$3:$D$53,match($B22&amp;AA$2,Com_AllFuels_SEDS_2022_TBtus!$B$3:$B$53&amp;Com_AllFuels_SEDS_2022_TBtus!$A$3:$A$53,0))),0,(index(Com_AllFuels_SEDS_2022_TBtus!$D$3:$D$53,match($B22&amp;AA$2,Com_AllFuels_SEDS_2022_TBtus!$B$3:$B$53&amp;Com_AllFuels_SEDS_2022_TBtus!$A$3:$A$53,0))))</f>
        <v>20.7</v>
      </c>
      <c r="AB22" s="75">
        <f t="array" ref="AB22">IF(ISERROR(index(Com_AllFuels_SEDS_2022_TBtus!$D$3:$D$53,match($B22&amp;AB$2,Com_AllFuels_SEDS_2022_TBtus!$B$3:$B$53&amp;Com_AllFuels_SEDS_2022_TBtus!$A$3:$A$53,0))),0,(index(Com_AllFuels_SEDS_2022_TBtus!$D$3:$D$53,match($B22&amp;AB$2,Com_AllFuels_SEDS_2022_TBtus!$B$3:$B$53&amp;Com_AllFuels_SEDS_2022_TBtus!$A$3:$A$53,0))))</f>
        <v>0</v>
      </c>
      <c r="AC22" s="75">
        <f t="array" ref="AC22">IF(ISERROR(index(Com_AllFuels_SEDS_2022_TBtus!$D$3:$D$53,match($B22&amp;AC$2,Com_AllFuels_SEDS_2022_TBtus!$B$3:$B$53&amp;Com_AllFuels_SEDS_2022_TBtus!$A$3:$A$53,0))),0,(index(Com_AllFuels_SEDS_2022_TBtus!$D$3:$D$53,match($B22&amp;AC$2,Com_AllFuels_SEDS_2022_TBtus!$B$3:$B$53&amp;Com_AllFuels_SEDS_2022_TBtus!$A$3:$A$53,0))))</f>
        <v>0</v>
      </c>
      <c r="AD22" s="75">
        <f t="array" ref="AD22">IF(ISERROR(index(Com_AllFuels_SEDS_2022_TBtus!$D$3:$D$53,match($B22&amp;AD$2,Com_AllFuels_SEDS_2022_TBtus!$B$3:$B$53&amp;Com_AllFuels_SEDS_2022_TBtus!$A$3:$A$53,0))),0,(index(Com_AllFuels_SEDS_2022_TBtus!$D$3:$D$53,match($B22&amp;AD$2,Com_AllFuels_SEDS_2022_TBtus!$B$3:$B$53&amp;Com_AllFuels_SEDS_2022_TBtus!$A$3:$A$53,0))))</f>
        <v>0</v>
      </c>
      <c r="AE22" s="75">
        <f t="array" ref="AE22">IF(ISERROR(index(Com_AllFuels_SEDS_2022_TBtus!$D$3:$D$53,match($B22&amp;AE$2,Com_AllFuels_SEDS_2022_TBtus!$B$3:$B$53&amp;Com_AllFuels_SEDS_2022_TBtus!$A$3:$A$53,0))),0,(index(Com_AllFuels_SEDS_2022_TBtus!$D$3:$D$53,match($B22&amp;AE$2,Com_AllFuels_SEDS_2022_TBtus!$B$3:$B$53&amp;Com_AllFuels_SEDS_2022_TBtus!$A$3:$A$53,0))))</f>
        <v>0</v>
      </c>
      <c r="AF22" s="75">
        <f t="array" ref="AF22">IF(ISERROR(index(Com_AllFuels_SEDS_2022_TBtus!$D$3:$D$53,match($B22&amp;AF$2,Com_AllFuels_SEDS_2022_TBtus!$B$3:$B$53&amp;Com_AllFuels_SEDS_2022_TBtus!$A$3:$A$53,0))),0,(index(Com_AllFuels_SEDS_2022_TBtus!$D$3:$D$53,match($B22&amp;AF$2,Com_AllFuels_SEDS_2022_TBtus!$B$3:$B$53&amp;Com_AllFuels_SEDS_2022_TBtus!$A$3:$A$53,0))))</f>
        <v>0</v>
      </c>
      <c r="AG22" s="75">
        <f t="array" ref="AG22">IF(ISERROR(index(Com_AllFuels_SEDS_2022_TBtus!$D$3:$D$53,match($B22&amp;AG$2,Com_AllFuels_SEDS_2022_TBtus!$B$3:$B$53&amp;Com_AllFuels_SEDS_2022_TBtus!$A$3:$A$53,0))),0,(index(Com_AllFuels_SEDS_2022_TBtus!$D$3:$D$53,match($B22&amp;AG$2,Com_AllFuels_SEDS_2022_TBtus!$B$3:$B$53&amp;Com_AllFuels_SEDS_2022_TBtus!$A$3:$A$53,0))))</f>
        <v>0</v>
      </c>
      <c r="AH22" s="75">
        <f t="array" ref="AH22">IF(ISERROR(index(Com_AllFuels_SEDS_2022_TBtus!$D$3:$D$53,match($B22&amp;AH$2,Com_AllFuels_SEDS_2022_TBtus!$B$3:$B$53&amp;Com_AllFuels_SEDS_2022_TBtus!$A$3:$A$53,0))),0,(index(Com_AllFuels_SEDS_2022_TBtus!$D$3:$D$53,match($B22&amp;AH$2,Com_AllFuels_SEDS_2022_TBtus!$B$3:$B$53&amp;Com_AllFuels_SEDS_2022_TBtus!$A$3:$A$53,0))))</f>
        <v>0</v>
      </c>
      <c r="AI22" s="75">
        <f t="array" ref="AI22">IF(ISERROR(index(Com_AllFuels_SEDS_2022_TBtus!$D$3:$D$53,match($B22&amp;AI$2,Com_AllFuels_SEDS_2022_TBtus!$B$3:$B$53&amp;Com_AllFuels_SEDS_2022_TBtus!$A$3:$A$53,0))),0,(index(Com_AllFuels_SEDS_2022_TBtus!$D$3:$D$53,match($B22&amp;AI$2,Com_AllFuels_SEDS_2022_TBtus!$B$3:$B$53&amp;Com_AllFuels_SEDS_2022_TBtus!$A$3:$A$53,0))))</f>
        <v>0</v>
      </c>
      <c r="AJ22" s="75">
        <f t="array" ref="AJ22">IF(ISERROR(index(Com_AllFuels_SEDS_2022_TBtus!$D$3:$D$53,match($B22&amp;AJ$2,Com_AllFuels_SEDS_2022_TBtus!$B$3:$B$53&amp;Com_AllFuels_SEDS_2022_TBtus!$A$3:$A$53,0))),0,(index(Com_AllFuels_SEDS_2022_TBtus!$D$3:$D$53,match($B22&amp;AJ$2,Com_AllFuels_SEDS_2022_TBtus!$B$3:$B$53&amp;Com_AllFuels_SEDS_2022_TBtus!$A$3:$A$53,0))))</f>
        <v>0</v>
      </c>
      <c r="AK22" s="75">
        <f t="array" ref="AK22">IF(ISERROR(index(Com_AllFuels_SEDS_2022_TBtus!$D$3:$D$53,match($B22&amp;AK$2,Com_AllFuels_SEDS_2022_TBtus!$B$3:$B$53&amp;Com_AllFuels_SEDS_2022_TBtus!$A$3:$A$53,0))),0,(index(Com_AllFuels_SEDS_2022_TBtus!$D$3:$D$53,match($B22&amp;AK$2,Com_AllFuels_SEDS_2022_TBtus!$B$3:$B$53&amp;Com_AllFuels_SEDS_2022_TBtus!$A$3:$A$53,0))))</f>
        <v>0</v>
      </c>
      <c r="AL22" s="75">
        <f t="array" ref="AL22">IF(ISERROR(index(Com_AllFuels_SEDS_2022_TBtus!$D$3:$D$53,match($B22&amp;AL$2,Com_AllFuels_SEDS_2022_TBtus!$B$3:$B$53&amp;Com_AllFuels_SEDS_2022_TBtus!$A$3:$A$53,0))),0,(index(Com_AllFuels_SEDS_2022_TBtus!$D$3:$D$53,match($B22&amp;AL$2,Com_AllFuels_SEDS_2022_TBtus!$B$3:$B$53&amp;Com_AllFuels_SEDS_2022_TBtus!$A$3:$A$53,0))))</f>
        <v>0</v>
      </c>
      <c r="AM22" s="75">
        <f t="array" ref="AM22">IF(ISERROR(index(Com_AllFuels_SEDS_2022_TBtus!$D$3:$D$53,match($B22&amp;AM$2,Com_AllFuels_SEDS_2022_TBtus!$B$3:$B$53&amp;Com_AllFuels_SEDS_2022_TBtus!$A$3:$A$53,0))),0,(index(Com_AllFuels_SEDS_2022_TBtus!$D$3:$D$53,match($B22&amp;AM$2,Com_AllFuels_SEDS_2022_TBtus!$B$3:$B$53&amp;Com_AllFuels_SEDS_2022_TBtus!$A$3:$A$53,0))))</f>
        <v>0</v>
      </c>
      <c r="AN22" s="75">
        <f t="array" ref="AN22">IF(ISERROR(index(Com_AllFuels_SEDS_2022_TBtus!$D$3:$D$53,match($B22&amp;AN$2,Com_AllFuels_SEDS_2022_TBtus!$B$3:$B$53&amp;Com_AllFuels_SEDS_2022_TBtus!$A$3:$A$53,0))),0,(index(Com_AllFuels_SEDS_2022_TBtus!$D$3:$D$53,match($B22&amp;AN$2,Com_AllFuels_SEDS_2022_TBtus!$B$3:$B$53&amp;Com_AllFuels_SEDS_2022_TBtus!$A$3:$A$53,0))))</f>
        <v>0</v>
      </c>
      <c r="AO22" s="75">
        <f t="array" ref="AO22">IF(ISERROR(index(Com_AllFuels_SEDS_2022_TBtus!$D$3:$D$53,match($B22&amp;AO$2,Com_AllFuels_SEDS_2022_TBtus!$B$3:$B$53&amp;Com_AllFuels_SEDS_2022_TBtus!$A$3:$A$53,0))),0,(index(Com_AllFuels_SEDS_2022_TBtus!$D$3:$D$53,match($B22&amp;AO$2,Com_AllFuels_SEDS_2022_TBtus!$B$3:$B$53&amp;Com_AllFuels_SEDS_2022_TBtus!$A$3:$A$53,0))))</f>
        <v>0</v>
      </c>
      <c r="AP22" s="75">
        <f t="array" ref="AP22">IF(ISERROR(index(Com_AllFuels_SEDS_2022_TBtus!$D$3:$D$53,match($B22&amp;AP$2,Com_AllFuels_SEDS_2022_TBtus!$B$3:$B$53&amp;Com_AllFuels_SEDS_2022_TBtus!$A$3:$A$53,0))),0,(index(Com_AllFuels_SEDS_2022_TBtus!$D$3:$D$53,match($B22&amp;AP$2,Com_AllFuels_SEDS_2022_TBtus!$B$3:$B$53&amp;Com_AllFuels_SEDS_2022_TBtus!$A$3:$A$53,0))))</f>
        <v>0</v>
      </c>
      <c r="AQ22" s="75">
        <f t="array" ref="AQ22">IF(ISERROR(index(Com_AllFuels_SEDS_2022_TBtus!$D$3:$D$53,match($B22&amp;AQ$2,Com_AllFuels_SEDS_2022_TBtus!$B$3:$B$53&amp;Com_AllFuels_SEDS_2022_TBtus!$A$3:$A$53,0))),0,(index(Com_AllFuels_SEDS_2022_TBtus!$D$3:$D$53,match($B22&amp;AQ$2,Com_AllFuels_SEDS_2022_TBtus!$B$3:$B$53&amp;Com_AllFuels_SEDS_2022_TBtus!$A$3:$A$53,0))))</f>
        <v>0</v>
      </c>
      <c r="AR22" s="75">
        <f t="array" ref="AR22">IF(ISERROR(index(Com_AllFuels_SEDS_2022_TBtus!$D$3:$D$53,match($B22&amp;AR$2,Com_AllFuels_SEDS_2022_TBtus!$B$3:$B$53&amp;Com_AllFuels_SEDS_2022_TBtus!$A$3:$A$53,0))),0,(index(Com_AllFuels_SEDS_2022_TBtus!$D$3:$D$53,match($B22&amp;AR$2,Com_AllFuels_SEDS_2022_TBtus!$B$3:$B$53&amp;Com_AllFuels_SEDS_2022_TBtus!$A$3:$A$53,0))))</f>
        <v>0</v>
      </c>
      <c r="AS22" s="75">
        <f t="array" ref="AS22">IF(ISERROR(index(Com_AllFuels_SEDS_2022_TBtus!$D$3:$D$53,match($B22&amp;AS$2,Com_AllFuels_SEDS_2022_TBtus!$B$3:$B$53&amp;Com_AllFuels_SEDS_2022_TBtus!$A$3:$A$53,0))),0,(index(Com_AllFuels_SEDS_2022_TBtus!$D$3:$D$53,match($B22&amp;AS$2,Com_AllFuels_SEDS_2022_TBtus!$B$3:$B$53&amp;Com_AllFuels_SEDS_2022_TBtus!$A$3:$A$53,0))))</f>
        <v>63</v>
      </c>
      <c r="AT22" s="75">
        <f t="array" ref="AT22">IF(ISERROR(index(Com_AllFuels_SEDS_2022_TBtus!$D$3:$D$53,match($B22&amp;AT$2,Com_AllFuels_SEDS_2022_TBtus!$B$3:$B$53&amp;Com_AllFuels_SEDS_2022_TBtus!$A$3:$A$53,0))),0,(index(Com_AllFuels_SEDS_2022_TBtus!$D$3:$D$53,match($B22&amp;AT$2,Com_AllFuels_SEDS_2022_TBtus!$B$3:$B$53&amp;Com_AllFuels_SEDS_2022_TBtus!$A$3:$A$53,0))))</f>
        <v>0</v>
      </c>
      <c r="AU22" s="75">
        <f t="array" ref="AU22">IF(ISERROR(index(Com_AllFuels_SEDS_2022_TBtus!$D$3:$D$53,match($B22&amp;AU$2,Com_AllFuels_SEDS_2022_TBtus!$B$3:$B$53&amp;Com_AllFuels_SEDS_2022_TBtus!$A$3:$A$53,0))),0,(index(Com_AllFuels_SEDS_2022_TBtus!$D$3:$D$53,match($B22&amp;AU$2,Com_AllFuels_SEDS_2022_TBtus!$B$3:$B$53&amp;Com_AllFuels_SEDS_2022_TBtus!$A$3:$A$53,0))))</f>
        <v>0</v>
      </c>
      <c r="AV22" s="75">
        <f t="array" ref="AV22">IF(ISERROR(index(Com_AllFuels_SEDS_2022_TBtus!$D$3:$D$53,match($B22&amp;AV$2,Com_AllFuels_SEDS_2022_TBtus!$B$3:$B$53&amp;Com_AllFuels_SEDS_2022_TBtus!$A$3:$A$53,0))),0,(index(Com_AllFuels_SEDS_2022_TBtus!$D$3:$D$53,match($B22&amp;AV$2,Com_AllFuels_SEDS_2022_TBtus!$B$3:$B$53&amp;Com_AllFuels_SEDS_2022_TBtus!$A$3:$A$53,0))))</f>
        <v>0</v>
      </c>
      <c r="AW22" s="75">
        <f t="array" ref="AW22">IF(ISERROR(index(Com_AllFuels_SEDS_2022_TBtus!$D$3:$D$53,match($B22&amp;AW$2,Com_AllFuels_SEDS_2022_TBtus!$B$3:$B$53&amp;Com_AllFuels_SEDS_2022_TBtus!$A$3:$A$53,0))),0,(index(Com_AllFuels_SEDS_2022_TBtus!$D$3:$D$53,match($B22&amp;AW$2,Com_AllFuels_SEDS_2022_TBtus!$B$3:$B$53&amp;Com_AllFuels_SEDS_2022_TBtus!$A$3:$A$53,0))))</f>
        <v>0</v>
      </c>
      <c r="AX22" s="75">
        <f t="array" ref="AX22">IF(ISERROR(index(Com_AllFuels_SEDS_2022_TBtus!$D$3:$D$53,match($B22&amp;AX$2,Com_AllFuels_SEDS_2022_TBtus!$B$3:$B$53&amp;Com_AllFuels_SEDS_2022_TBtus!$A$3:$A$53,0))),0,(index(Com_AllFuels_SEDS_2022_TBtus!$D$3:$D$53,match($B22&amp;AX$2,Com_AllFuels_SEDS_2022_TBtus!$B$3:$B$53&amp;Com_AllFuels_SEDS_2022_TBtus!$A$3:$A$53,0))))</f>
        <v>0</v>
      </c>
      <c r="AY22" s="75">
        <f t="array" ref="AY22">IF(ISERROR(index(Com_AllFuels_SEDS_2022_TBtus!$D$3:$D$53,match($B22&amp;AY$2,Com_AllFuels_SEDS_2022_TBtus!$B$3:$B$53&amp;Com_AllFuels_SEDS_2022_TBtus!$A$3:$A$53,0))),0,(index(Com_AllFuels_SEDS_2022_TBtus!$D$3:$D$53,match($B22&amp;AY$2,Com_AllFuels_SEDS_2022_TBtus!$B$3:$B$53&amp;Com_AllFuels_SEDS_2022_TBtus!$A$3:$A$53,0))))</f>
        <v>0</v>
      </c>
      <c r="AZ22" s="75">
        <f t="array" ref="AZ22">IF(ISERROR(index(Com_AllFuels_SEDS_2022_TBtus!$D$3:$D$53,match($B22&amp;AZ$2,Com_AllFuels_SEDS_2022_TBtus!$B$3:$B$53&amp;Com_AllFuels_SEDS_2022_TBtus!$A$3:$A$53,0))),0,(index(Com_AllFuels_SEDS_2022_TBtus!$D$3:$D$53,match($B22&amp;AZ$2,Com_AllFuels_SEDS_2022_TBtus!$B$3:$B$53&amp;Com_AllFuels_SEDS_2022_TBtus!$A$3:$A$53,0))))</f>
        <v>0</v>
      </c>
      <c r="BA22" s="75">
        <f t="array" ref="BA22">IF(ISERROR(index(Com_AllFuels_SEDS_2022_TBtus!$D$3:$D$53,match($B22&amp;BA$2,Com_AllFuels_SEDS_2022_TBtus!$B$3:$B$53&amp;Com_AllFuels_SEDS_2022_TBtus!$A$3:$A$53,0))),0,(index(Com_AllFuels_SEDS_2022_TBtus!$D$3:$D$53,match($B22&amp;BA$2,Com_AllFuels_SEDS_2022_TBtus!$B$3:$B$53&amp;Com_AllFuels_SEDS_2022_TBtus!$A$3:$A$53,0))))</f>
        <v>0</v>
      </c>
      <c r="BB22" s="74">
        <f t="shared" si="3"/>
        <v>150.7</v>
      </c>
    </row>
    <row r="23" ht="15.75" customHeight="1">
      <c r="B23" s="74">
        <v>7.0</v>
      </c>
      <c r="C23" s="75">
        <f t="array" ref="C23">IF(ISERROR(index(Com_AllFuels_SEDS_2022_TBtus!$D$3:$D$53,match($B23&amp;C$2,Com_AllFuels_SEDS_2022_TBtus!$B$3:$B$53&amp;Com_AllFuels_SEDS_2022_TBtus!$A$3:$A$53,0))),0,(index(Com_AllFuels_SEDS_2022_TBtus!$D$3:$D$53,match($B23&amp;C$2,Com_AllFuels_SEDS_2022_TBtus!$B$3:$B$53&amp;Com_AllFuels_SEDS_2022_TBtus!$A$3:$A$53,0))))</f>
        <v>0</v>
      </c>
      <c r="D23" s="75">
        <f t="array" ref="D23">IF(ISERROR(index(Com_AllFuels_SEDS_2022_TBtus!$D$3:$D$53,match($B23&amp;D$2,Com_AllFuels_SEDS_2022_TBtus!$B$3:$B$53&amp;Com_AllFuels_SEDS_2022_TBtus!$A$3:$A$53,0))),0,(index(Com_AllFuels_SEDS_2022_TBtus!$D$3:$D$53,match($B23&amp;D$2,Com_AllFuels_SEDS_2022_TBtus!$B$3:$B$53&amp;Com_AllFuels_SEDS_2022_TBtus!$A$3:$A$53,0))))</f>
        <v>0</v>
      </c>
      <c r="E23" s="75">
        <f t="array" ref="E23">IF(ISERROR(index(Com_AllFuels_SEDS_2022_TBtus!$D$3:$D$53,match($B23&amp;E$2,Com_AllFuels_SEDS_2022_TBtus!$B$3:$B$53&amp;Com_AllFuels_SEDS_2022_TBtus!$A$3:$A$53,0))),0,(index(Com_AllFuels_SEDS_2022_TBtus!$D$3:$D$53,match($B23&amp;E$2,Com_AllFuels_SEDS_2022_TBtus!$B$3:$B$53&amp;Com_AllFuels_SEDS_2022_TBtus!$A$3:$A$53,0))))</f>
        <v>0</v>
      </c>
      <c r="F23" s="75">
        <f t="array" ref="F23">IF(ISERROR(index(Com_AllFuels_SEDS_2022_TBtus!$D$3:$D$53,match($B23&amp;F$2,Com_AllFuels_SEDS_2022_TBtus!$B$3:$B$53&amp;Com_AllFuels_SEDS_2022_TBtus!$A$3:$A$53,0))),0,(index(Com_AllFuels_SEDS_2022_TBtus!$D$3:$D$53,match($B23&amp;F$2,Com_AllFuels_SEDS_2022_TBtus!$B$3:$B$53&amp;Com_AllFuels_SEDS_2022_TBtus!$A$3:$A$53,0))))</f>
        <v>56.2</v>
      </c>
      <c r="G23" s="75">
        <f t="array" ref="G23">IF(ISERROR(index(Com_AllFuels_SEDS_2022_TBtus!$D$3:$D$53,match($B23&amp;G$2,Com_AllFuels_SEDS_2022_TBtus!$B$3:$B$53&amp;Com_AllFuels_SEDS_2022_TBtus!$A$3:$A$53,0))),0,(index(Com_AllFuels_SEDS_2022_TBtus!$D$3:$D$53,match($B23&amp;G$2,Com_AllFuels_SEDS_2022_TBtus!$B$3:$B$53&amp;Com_AllFuels_SEDS_2022_TBtus!$A$3:$A$53,0))))</f>
        <v>0</v>
      </c>
      <c r="H23" s="75">
        <f t="array" ref="H23">IF(ISERROR(index(Com_AllFuels_SEDS_2022_TBtus!$D$3:$D$53,match($B23&amp;H$2,Com_AllFuels_SEDS_2022_TBtus!$B$3:$B$53&amp;Com_AllFuels_SEDS_2022_TBtus!$A$3:$A$53,0))),0,(index(Com_AllFuels_SEDS_2022_TBtus!$D$3:$D$53,match($B23&amp;H$2,Com_AllFuels_SEDS_2022_TBtus!$B$3:$B$53&amp;Com_AllFuels_SEDS_2022_TBtus!$A$3:$A$53,0))))</f>
        <v>0</v>
      </c>
      <c r="I23" s="75">
        <f t="array" ref="I23">IF(ISERROR(index(Com_AllFuels_SEDS_2022_TBtus!$D$3:$D$53,match($B23&amp;I$2,Com_AllFuels_SEDS_2022_TBtus!$B$3:$B$53&amp;Com_AllFuels_SEDS_2022_TBtus!$A$3:$A$53,0))),0,(index(Com_AllFuels_SEDS_2022_TBtus!$D$3:$D$53,match($B23&amp;I$2,Com_AllFuels_SEDS_2022_TBtus!$B$3:$B$53&amp;Com_AllFuels_SEDS_2022_TBtus!$A$3:$A$53,0))))</f>
        <v>0</v>
      </c>
      <c r="J23" s="75">
        <f t="array" ref="J23">IF(ISERROR(index(Com_AllFuels_SEDS_2022_TBtus!$D$3:$D$53,match($B23&amp;J$2,Com_AllFuels_SEDS_2022_TBtus!$B$3:$B$53&amp;Com_AllFuels_SEDS_2022_TBtus!$A$3:$A$53,0))),0,(index(Com_AllFuels_SEDS_2022_TBtus!$D$3:$D$53,match($B23&amp;J$2,Com_AllFuels_SEDS_2022_TBtus!$B$3:$B$53&amp;Com_AllFuels_SEDS_2022_TBtus!$A$3:$A$53,0))))</f>
        <v>0</v>
      </c>
      <c r="K23" s="75">
        <f t="array" ref="K23">IF(ISERROR(index(Com_AllFuels_SEDS_2022_TBtus!$D$3:$D$53,match($B23&amp;K$2,Com_AllFuels_SEDS_2022_TBtus!$B$3:$B$53&amp;Com_AllFuels_SEDS_2022_TBtus!$A$3:$A$53,0))),0,(index(Com_AllFuels_SEDS_2022_TBtus!$D$3:$D$53,match($B23&amp;K$2,Com_AllFuels_SEDS_2022_TBtus!$B$3:$B$53&amp;Com_AllFuels_SEDS_2022_TBtus!$A$3:$A$53,0))))</f>
        <v>0</v>
      </c>
      <c r="L23" s="75">
        <f t="array" ref="L23">IF(ISERROR(index(Com_AllFuels_SEDS_2022_TBtus!$D$3:$D$53,match($B23&amp;L$2,Com_AllFuels_SEDS_2022_TBtus!$B$3:$B$53&amp;Com_AllFuels_SEDS_2022_TBtus!$A$3:$A$53,0))),0,(index(Com_AllFuels_SEDS_2022_TBtus!$D$3:$D$53,match($B23&amp;L$2,Com_AllFuels_SEDS_2022_TBtus!$B$3:$B$53&amp;Com_AllFuels_SEDS_2022_TBtus!$A$3:$A$53,0))))</f>
        <v>0</v>
      </c>
      <c r="M23" s="75">
        <f t="array" ref="M23">IF(ISERROR(index(Com_AllFuels_SEDS_2022_TBtus!$D$3:$D$53,match($B23&amp;M$2,Com_AllFuels_SEDS_2022_TBtus!$B$3:$B$53&amp;Com_AllFuels_SEDS_2022_TBtus!$A$3:$A$53,0))),0,(index(Com_AllFuels_SEDS_2022_TBtus!$D$3:$D$53,match($B23&amp;M$2,Com_AllFuels_SEDS_2022_TBtus!$B$3:$B$53&amp;Com_AllFuels_SEDS_2022_TBtus!$A$3:$A$53,0))))</f>
        <v>0</v>
      </c>
      <c r="N23" s="75">
        <f t="array" ref="N23">IF(ISERROR(index(Com_AllFuels_SEDS_2022_TBtus!$D$3:$D$53,match($B23&amp;N$2,Com_AllFuels_SEDS_2022_TBtus!$B$3:$B$53&amp;Com_AllFuels_SEDS_2022_TBtus!$A$3:$A$53,0))),0,(index(Com_AllFuels_SEDS_2022_TBtus!$D$3:$D$53,match($B23&amp;N$2,Com_AllFuels_SEDS_2022_TBtus!$B$3:$B$53&amp;Com_AllFuels_SEDS_2022_TBtus!$A$3:$A$53,0))))</f>
        <v>0</v>
      </c>
      <c r="O23" s="75">
        <f t="array" ref="O23">IF(ISERROR(index(Com_AllFuels_SEDS_2022_TBtus!$D$3:$D$53,match($B23&amp;O$2,Com_AllFuels_SEDS_2022_TBtus!$B$3:$B$53&amp;Com_AllFuels_SEDS_2022_TBtus!$A$3:$A$53,0))),0,(index(Com_AllFuels_SEDS_2022_TBtus!$D$3:$D$53,match($B23&amp;O$2,Com_AllFuels_SEDS_2022_TBtus!$B$3:$B$53&amp;Com_AllFuels_SEDS_2022_TBtus!$A$3:$A$53,0))))</f>
        <v>0</v>
      </c>
      <c r="P23" s="75">
        <f t="array" ref="P23">IF(ISERROR(index(Com_AllFuels_SEDS_2022_TBtus!$D$3:$D$53,match($B23&amp;P$2,Com_AllFuels_SEDS_2022_TBtus!$B$3:$B$53&amp;Com_AllFuels_SEDS_2022_TBtus!$A$3:$A$53,0))),0,(index(Com_AllFuels_SEDS_2022_TBtus!$D$3:$D$53,match($B23&amp;P$2,Com_AllFuels_SEDS_2022_TBtus!$B$3:$B$53&amp;Com_AllFuels_SEDS_2022_TBtus!$A$3:$A$53,0))))</f>
        <v>0</v>
      </c>
      <c r="Q23" s="75">
        <f t="array" ref="Q23">IF(ISERROR(index(Com_AllFuels_SEDS_2022_TBtus!$D$3:$D$53,match($B23&amp;Q$2,Com_AllFuels_SEDS_2022_TBtus!$B$3:$B$53&amp;Com_AllFuels_SEDS_2022_TBtus!$A$3:$A$53,0))),0,(index(Com_AllFuels_SEDS_2022_TBtus!$D$3:$D$53,match($B23&amp;Q$2,Com_AllFuels_SEDS_2022_TBtus!$B$3:$B$53&amp;Com_AllFuels_SEDS_2022_TBtus!$A$3:$A$53,0))))</f>
        <v>0</v>
      </c>
      <c r="R23" s="75">
        <f t="array" ref="R23">IF(ISERROR(index(Com_AllFuels_SEDS_2022_TBtus!$D$3:$D$53,match($B23&amp;R$2,Com_AllFuels_SEDS_2022_TBtus!$B$3:$B$53&amp;Com_AllFuels_SEDS_2022_TBtus!$A$3:$A$53,0))),0,(index(Com_AllFuels_SEDS_2022_TBtus!$D$3:$D$53,match($B23&amp;R$2,Com_AllFuels_SEDS_2022_TBtus!$B$3:$B$53&amp;Com_AllFuels_SEDS_2022_TBtus!$A$3:$A$53,0))))</f>
        <v>0</v>
      </c>
      <c r="S23" s="75">
        <f t="array" ref="S23">IF(ISERROR(index(Com_AllFuels_SEDS_2022_TBtus!$D$3:$D$53,match($B23&amp;S$2,Com_AllFuels_SEDS_2022_TBtus!$B$3:$B$53&amp;Com_AllFuels_SEDS_2022_TBtus!$A$3:$A$53,0))),0,(index(Com_AllFuels_SEDS_2022_TBtus!$D$3:$D$53,match($B23&amp;S$2,Com_AllFuels_SEDS_2022_TBtus!$B$3:$B$53&amp;Com_AllFuels_SEDS_2022_TBtus!$A$3:$A$53,0))))</f>
        <v>0</v>
      </c>
      <c r="T23" s="75">
        <f t="array" ref="T23">IF(ISERROR(index(Com_AllFuels_SEDS_2022_TBtus!$D$3:$D$53,match($B23&amp;T$2,Com_AllFuels_SEDS_2022_TBtus!$B$3:$B$53&amp;Com_AllFuels_SEDS_2022_TBtus!$A$3:$A$53,0))),0,(index(Com_AllFuels_SEDS_2022_TBtus!$D$3:$D$53,match($B23&amp;T$2,Com_AllFuels_SEDS_2022_TBtus!$B$3:$B$53&amp;Com_AllFuels_SEDS_2022_TBtus!$A$3:$A$53,0))))</f>
        <v>0</v>
      </c>
      <c r="U23" s="75">
        <f t="array" ref="U23">IF(ISERROR(index(Com_AllFuels_SEDS_2022_TBtus!$D$3:$D$53,match($B23&amp;U$2,Com_AllFuels_SEDS_2022_TBtus!$B$3:$B$53&amp;Com_AllFuels_SEDS_2022_TBtus!$A$3:$A$53,0))),0,(index(Com_AllFuels_SEDS_2022_TBtus!$D$3:$D$53,match($B23&amp;U$2,Com_AllFuels_SEDS_2022_TBtus!$B$3:$B$53&amp;Com_AllFuels_SEDS_2022_TBtus!$A$3:$A$53,0))))</f>
        <v>32.4</v>
      </c>
      <c r="V23" s="75">
        <f t="array" ref="V23">IF(ISERROR(index(Com_AllFuels_SEDS_2022_TBtus!$D$3:$D$53,match($B23&amp;V$2,Com_AllFuels_SEDS_2022_TBtus!$B$3:$B$53&amp;Com_AllFuels_SEDS_2022_TBtus!$A$3:$A$53,0))),0,(index(Com_AllFuels_SEDS_2022_TBtus!$D$3:$D$53,match($B23&amp;V$2,Com_AllFuels_SEDS_2022_TBtus!$B$3:$B$53&amp;Com_AllFuels_SEDS_2022_TBtus!$A$3:$A$53,0))))</f>
        <v>0</v>
      </c>
      <c r="W23" s="75">
        <f t="array" ref="W23">IF(ISERROR(index(Com_AllFuels_SEDS_2022_TBtus!$D$3:$D$53,match($B23&amp;W$2,Com_AllFuels_SEDS_2022_TBtus!$B$3:$B$53&amp;Com_AllFuels_SEDS_2022_TBtus!$A$3:$A$53,0))),0,(index(Com_AllFuels_SEDS_2022_TBtus!$D$3:$D$53,match($B23&amp;W$2,Com_AllFuels_SEDS_2022_TBtus!$B$3:$B$53&amp;Com_AllFuels_SEDS_2022_TBtus!$A$3:$A$53,0))))</f>
        <v>0</v>
      </c>
      <c r="X23" s="75">
        <f t="array" ref="X23">IF(ISERROR(index(Com_AllFuels_SEDS_2022_TBtus!$D$3:$D$53,match($B23&amp;X$2,Com_AllFuels_SEDS_2022_TBtus!$B$3:$B$53&amp;Com_AllFuels_SEDS_2022_TBtus!$A$3:$A$53,0))),0,(index(Com_AllFuels_SEDS_2022_TBtus!$D$3:$D$53,match($B23&amp;X$2,Com_AllFuels_SEDS_2022_TBtus!$B$3:$B$53&amp;Com_AllFuels_SEDS_2022_TBtus!$A$3:$A$53,0))))</f>
        <v>0</v>
      </c>
      <c r="Y23" s="75">
        <f t="array" ref="Y23">IF(ISERROR(index(Com_AllFuels_SEDS_2022_TBtus!$D$3:$D$53,match($B23&amp;Y$2,Com_AllFuels_SEDS_2022_TBtus!$B$3:$B$53&amp;Com_AllFuels_SEDS_2022_TBtus!$A$3:$A$53,0))),0,(index(Com_AllFuels_SEDS_2022_TBtus!$D$3:$D$53,match($B23&amp;Y$2,Com_AllFuels_SEDS_2022_TBtus!$B$3:$B$53&amp;Com_AllFuels_SEDS_2022_TBtus!$A$3:$A$53,0))))</f>
        <v>0</v>
      </c>
      <c r="Z23" s="75">
        <f t="array" ref="Z23">IF(ISERROR(index(Com_AllFuels_SEDS_2022_TBtus!$D$3:$D$53,match($B23&amp;Z$2,Com_AllFuels_SEDS_2022_TBtus!$B$3:$B$53&amp;Com_AllFuels_SEDS_2022_TBtus!$A$3:$A$53,0))),0,(index(Com_AllFuels_SEDS_2022_TBtus!$D$3:$D$53,match($B23&amp;Z$2,Com_AllFuels_SEDS_2022_TBtus!$B$3:$B$53&amp;Com_AllFuels_SEDS_2022_TBtus!$A$3:$A$53,0))))</f>
        <v>0</v>
      </c>
      <c r="AA23" s="75">
        <f t="array" ref="AA23">IF(ISERROR(index(Com_AllFuels_SEDS_2022_TBtus!$D$3:$D$53,match($B23&amp;AA$2,Com_AllFuels_SEDS_2022_TBtus!$B$3:$B$53&amp;Com_AllFuels_SEDS_2022_TBtus!$A$3:$A$53,0))),0,(index(Com_AllFuels_SEDS_2022_TBtus!$D$3:$D$53,match($B23&amp;AA$2,Com_AllFuels_SEDS_2022_TBtus!$B$3:$B$53&amp;Com_AllFuels_SEDS_2022_TBtus!$A$3:$A$53,0))))</f>
        <v>0</v>
      </c>
      <c r="AB23" s="75">
        <f t="array" ref="AB23">IF(ISERROR(index(Com_AllFuels_SEDS_2022_TBtus!$D$3:$D$53,match($B23&amp;AB$2,Com_AllFuels_SEDS_2022_TBtus!$B$3:$B$53&amp;Com_AllFuels_SEDS_2022_TBtus!$A$3:$A$53,0))),0,(index(Com_AllFuels_SEDS_2022_TBtus!$D$3:$D$53,match($B23&amp;AB$2,Com_AllFuels_SEDS_2022_TBtus!$B$3:$B$53&amp;Com_AllFuels_SEDS_2022_TBtus!$A$3:$A$53,0))))</f>
        <v>0</v>
      </c>
      <c r="AC23" s="75">
        <f t="array" ref="AC23">IF(ISERROR(index(Com_AllFuels_SEDS_2022_TBtus!$D$3:$D$53,match($B23&amp;AC$2,Com_AllFuels_SEDS_2022_TBtus!$B$3:$B$53&amp;Com_AllFuels_SEDS_2022_TBtus!$A$3:$A$53,0))),0,(index(Com_AllFuels_SEDS_2022_TBtus!$D$3:$D$53,match($B23&amp;AC$2,Com_AllFuels_SEDS_2022_TBtus!$B$3:$B$53&amp;Com_AllFuels_SEDS_2022_TBtus!$A$3:$A$53,0))))</f>
        <v>0</v>
      </c>
      <c r="AD23" s="75">
        <f t="array" ref="AD23">IF(ISERROR(index(Com_AllFuels_SEDS_2022_TBtus!$D$3:$D$53,match($B23&amp;AD$2,Com_AllFuels_SEDS_2022_TBtus!$B$3:$B$53&amp;Com_AllFuels_SEDS_2022_TBtus!$A$3:$A$53,0))),0,(index(Com_AllFuels_SEDS_2022_TBtus!$D$3:$D$53,match($B23&amp;AD$2,Com_AllFuels_SEDS_2022_TBtus!$B$3:$B$53&amp;Com_AllFuels_SEDS_2022_TBtus!$A$3:$A$53,0))))</f>
        <v>0</v>
      </c>
      <c r="AE23" s="75">
        <f t="array" ref="AE23">IF(ISERROR(index(Com_AllFuels_SEDS_2022_TBtus!$D$3:$D$53,match($B23&amp;AE$2,Com_AllFuels_SEDS_2022_TBtus!$B$3:$B$53&amp;Com_AllFuels_SEDS_2022_TBtus!$A$3:$A$53,0))),0,(index(Com_AllFuels_SEDS_2022_TBtus!$D$3:$D$53,match($B23&amp;AE$2,Com_AllFuels_SEDS_2022_TBtus!$B$3:$B$53&amp;Com_AllFuels_SEDS_2022_TBtus!$A$3:$A$53,0))))</f>
        <v>0</v>
      </c>
      <c r="AF23" s="75">
        <f t="array" ref="AF23">IF(ISERROR(index(Com_AllFuels_SEDS_2022_TBtus!$D$3:$D$53,match($B23&amp;AF$2,Com_AllFuels_SEDS_2022_TBtus!$B$3:$B$53&amp;Com_AllFuels_SEDS_2022_TBtus!$A$3:$A$53,0))),0,(index(Com_AllFuels_SEDS_2022_TBtus!$D$3:$D$53,match($B23&amp;AF$2,Com_AllFuels_SEDS_2022_TBtus!$B$3:$B$53&amp;Com_AllFuels_SEDS_2022_TBtus!$A$3:$A$53,0))))</f>
        <v>0</v>
      </c>
      <c r="AG23" s="75">
        <f t="array" ref="AG23">IF(ISERROR(index(Com_AllFuels_SEDS_2022_TBtus!$D$3:$D$53,match($B23&amp;AG$2,Com_AllFuels_SEDS_2022_TBtus!$B$3:$B$53&amp;Com_AllFuels_SEDS_2022_TBtus!$A$3:$A$53,0))),0,(index(Com_AllFuels_SEDS_2022_TBtus!$D$3:$D$53,match($B23&amp;AG$2,Com_AllFuels_SEDS_2022_TBtus!$B$3:$B$53&amp;Com_AllFuels_SEDS_2022_TBtus!$A$3:$A$53,0))))</f>
        <v>0</v>
      </c>
      <c r="AH23" s="75">
        <f t="array" ref="AH23">IF(ISERROR(index(Com_AllFuels_SEDS_2022_TBtus!$D$3:$D$53,match($B23&amp;AH$2,Com_AllFuels_SEDS_2022_TBtus!$B$3:$B$53&amp;Com_AllFuels_SEDS_2022_TBtus!$A$3:$A$53,0))),0,(index(Com_AllFuels_SEDS_2022_TBtus!$D$3:$D$53,match($B23&amp;AH$2,Com_AllFuels_SEDS_2022_TBtus!$B$3:$B$53&amp;Com_AllFuels_SEDS_2022_TBtus!$A$3:$A$53,0))))</f>
        <v>0</v>
      </c>
      <c r="AI23" s="75">
        <f t="array" ref="AI23">IF(ISERROR(index(Com_AllFuels_SEDS_2022_TBtus!$D$3:$D$53,match($B23&amp;AI$2,Com_AllFuels_SEDS_2022_TBtus!$B$3:$B$53&amp;Com_AllFuels_SEDS_2022_TBtus!$A$3:$A$53,0))),0,(index(Com_AllFuels_SEDS_2022_TBtus!$D$3:$D$53,match($B23&amp;AI$2,Com_AllFuels_SEDS_2022_TBtus!$B$3:$B$53&amp;Com_AllFuels_SEDS_2022_TBtus!$A$3:$A$53,0))))</f>
        <v>0</v>
      </c>
      <c r="AJ23" s="75">
        <f t="array" ref="AJ23">IF(ISERROR(index(Com_AllFuels_SEDS_2022_TBtus!$D$3:$D$53,match($B23&amp;AJ$2,Com_AllFuels_SEDS_2022_TBtus!$B$3:$B$53&amp;Com_AllFuels_SEDS_2022_TBtus!$A$3:$A$53,0))),0,(index(Com_AllFuels_SEDS_2022_TBtus!$D$3:$D$53,match($B23&amp;AJ$2,Com_AllFuels_SEDS_2022_TBtus!$B$3:$B$53&amp;Com_AllFuels_SEDS_2022_TBtus!$A$3:$A$53,0))))</f>
        <v>0</v>
      </c>
      <c r="AK23" s="75">
        <f t="array" ref="AK23">IF(ISERROR(index(Com_AllFuels_SEDS_2022_TBtus!$D$3:$D$53,match($B23&amp;AK$2,Com_AllFuels_SEDS_2022_TBtus!$B$3:$B$53&amp;Com_AllFuels_SEDS_2022_TBtus!$A$3:$A$53,0))),0,(index(Com_AllFuels_SEDS_2022_TBtus!$D$3:$D$53,match($B23&amp;AK$2,Com_AllFuels_SEDS_2022_TBtus!$B$3:$B$53&amp;Com_AllFuels_SEDS_2022_TBtus!$A$3:$A$53,0))))</f>
        <v>0</v>
      </c>
      <c r="AL23" s="75">
        <f t="array" ref="AL23">IF(ISERROR(index(Com_AllFuels_SEDS_2022_TBtus!$D$3:$D$53,match($B23&amp;AL$2,Com_AllFuels_SEDS_2022_TBtus!$B$3:$B$53&amp;Com_AllFuels_SEDS_2022_TBtus!$A$3:$A$53,0))),0,(index(Com_AllFuels_SEDS_2022_TBtus!$D$3:$D$53,match($B23&amp;AL$2,Com_AllFuels_SEDS_2022_TBtus!$B$3:$B$53&amp;Com_AllFuels_SEDS_2022_TBtus!$A$3:$A$53,0))))</f>
        <v>0</v>
      </c>
      <c r="AM23" s="75">
        <f t="array" ref="AM23">IF(ISERROR(index(Com_AllFuels_SEDS_2022_TBtus!$D$3:$D$53,match($B23&amp;AM$2,Com_AllFuels_SEDS_2022_TBtus!$B$3:$B$53&amp;Com_AllFuels_SEDS_2022_TBtus!$A$3:$A$53,0))),0,(index(Com_AllFuels_SEDS_2022_TBtus!$D$3:$D$53,match($B23&amp;AM$2,Com_AllFuels_SEDS_2022_TBtus!$B$3:$B$53&amp;Com_AllFuels_SEDS_2022_TBtus!$A$3:$A$53,0))))</f>
        <v>46.9</v>
      </c>
      <c r="AN23" s="75">
        <f t="array" ref="AN23">IF(ISERROR(index(Com_AllFuels_SEDS_2022_TBtus!$D$3:$D$53,match($B23&amp;AN$2,Com_AllFuels_SEDS_2022_TBtus!$B$3:$B$53&amp;Com_AllFuels_SEDS_2022_TBtus!$A$3:$A$53,0))),0,(index(Com_AllFuels_SEDS_2022_TBtus!$D$3:$D$53,match($B23&amp;AN$2,Com_AllFuels_SEDS_2022_TBtus!$B$3:$B$53&amp;Com_AllFuels_SEDS_2022_TBtus!$A$3:$A$53,0))))</f>
        <v>0</v>
      </c>
      <c r="AO23" s="75">
        <f t="array" ref="AO23">IF(ISERROR(index(Com_AllFuels_SEDS_2022_TBtus!$D$3:$D$53,match($B23&amp;AO$2,Com_AllFuels_SEDS_2022_TBtus!$B$3:$B$53&amp;Com_AllFuels_SEDS_2022_TBtus!$A$3:$A$53,0))),0,(index(Com_AllFuels_SEDS_2022_TBtus!$D$3:$D$53,match($B23&amp;AO$2,Com_AllFuels_SEDS_2022_TBtus!$B$3:$B$53&amp;Com_AllFuels_SEDS_2022_TBtus!$A$3:$A$53,0))))</f>
        <v>0</v>
      </c>
      <c r="AP23" s="75">
        <f t="array" ref="AP23">IF(ISERROR(index(Com_AllFuels_SEDS_2022_TBtus!$D$3:$D$53,match($B23&amp;AP$2,Com_AllFuels_SEDS_2022_TBtus!$B$3:$B$53&amp;Com_AllFuels_SEDS_2022_TBtus!$A$3:$A$53,0))),0,(index(Com_AllFuels_SEDS_2022_TBtus!$D$3:$D$53,match($B23&amp;AP$2,Com_AllFuels_SEDS_2022_TBtus!$B$3:$B$53&amp;Com_AllFuels_SEDS_2022_TBtus!$A$3:$A$53,0))))</f>
        <v>0</v>
      </c>
      <c r="AQ23" s="75">
        <f t="array" ref="AQ23">IF(ISERROR(index(Com_AllFuels_SEDS_2022_TBtus!$D$3:$D$53,match($B23&amp;AQ$2,Com_AllFuels_SEDS_2022_TBtus!$B$3:$B$53&amp;Com_AllFuels_SEDS_2022_TBtus!$A$3:$A$53,0))),0,(index(Com_AllFuels_SEDS_2022_TBtus!$D$3:$D$53,match($B23&amp;AQ$2,Com_AllFuels_SEDS_2022_TBtus!$B$3:$B$53&amp;Com_AllFuels_SEDS_2022_TBtus!$A$3:$A$53,0))))</f>
        <v>0</v>
      </c>
      <c r="AR23" s="75">
        <f t="array" ref="AR23">IF(ISERROR(index(Com_AllFuels_SEDS_2022_TBtus!$D$3:$D$53,match($B23&amp;AR$2,Com_AllFuels_SEDS_2022_TBtus!$B$3:$B$53&amp;Com_AllFuels_SEDS_2022_TBtus!$A$3:$A$53,0))),0,(index(Com_AllFuels_SEDS_2022_TBtus!$D$3:$D$53,match($B23&amp;AR$2,Com_AllFuels_SEDS_2022_TBtus!$B$3:$B$53&amp;Com_AllFuels_SEDS_2022_TBtus!$A$3:$A$53,0))))</f>
        <v>0</v>
      </c>
      <c r="AS23" s="75">
        <f t="array" ref="AS23">IF(ISERROR(index(Com_AllFuels_SEDS_2022_TBtus!$D$3:$D$53,match($B23&amp;AS$2,Com_AllFuels_SEDS_2022_TBtus!$B$3:$B$53&amp;Com_AllFuels_SEDS_2022_TBtus!$A$3:$A$53,0))),0,(index(Com_AllFuels_SEDS_2022_TBtus!$D$3:$D$53,match($B23&amp;AS$2,Com_AllFuels_SEDS_2022_TBtus!$B$3:$B$53&amp;Com_AllFuels_SEDS_2022_TBtus!$A$3:$A$53,0))))</f>
        <v>0</v>
      </c>
      <c r="AT23" s="75">
        <f t="array" ref="AT23">IF(ISERROR(index(Com_AllFuels_SEDS_2022_TBtus!$D$3:$D$53,match($B23&amp;AT$2,Com_AllFuels_SEDS_2022_TBtus!$B$3:$B$53&amp;Com_AllFuels_SEDS_2022_TBtus!$A$3:$A$53,0))),0,(index(Com_AllFuels_SEDS_2022_TBtus!$D$3:$D$53,match($B23&amp;AT$2,Com_AllFuels_SEDS_2022_TBtus!$B$3:$B$53&amp;Com_AllFuels_SEDS_2022_TBtus!$A$3:$A$53,0))))</f>
        <v>200.4</v>
      </c>
      <c r="AU23" s="75">
        <f t="array" ref="AU23">IF(ISERROR(index(Com_AllFuels_SEDS_2022_TBtus!$D$3:$D$53,match($B23&amp;AU$2,Com_AllFuels_SEDS_2022_TBtus!$B$3:$B$53&amp;Com_AllFuels_SEDS_2022_TBtus!$A$3:$A$53,0))),0,(index(Com_AllFuels_SEDS_2022_TBtus!$D$3:$D$53,match($B23&amp;AU$2,Com_AllFuels_SEDS_2022_TBtus!$B$3:$B$53&amp;Com_AllFuels_SEDS_2022_TBtus!$A$3:$A$53,0))))</f>
        <v>0</v>
      </c>
      <c r="AV23" s="75">
        <f t="array" ref="AV23">IF(ISERROR(index(Com_AllFuels_SEDS_2022_TBtus!$D$3:$D$53,match($B23&amp;AV$2,Com_AllFuels_SEDS_2022_TBtus!$B$3:$B$53&amp;Com_AllFuels_SEDS_2022_TBtus!$A$3:$A$53,0))),0,(index(Com_AllFuels_SEDS_2022_TBtus!$D$3:$D$53,match($B23&amp;AV$2,Com_AllFuels_SEDS_2022_TBtus!$B$3:$B$53&amp;Com_AllFuels_SEDS_2022_TBtus!$A$3:$A$53,0))))</f>
        <v>0</v>
      </c>
      <c r="AW23" s="75">
        <f t="array" ref="AW23">IF(ISERROR(index(Com_AllFuels_SEDS_2022_TBtus!$D$3:$D$53,match($B23&amp;AW$2,Com_AllFuels_SEDS_2022_TBtus!$B$3:$B$53&amp;Com_AllFuels_SEDS_2022_TBtus!$A$3:$A$53,0))),0,(index(Com_AllFuels_SEDS_2022_TBtus!$D$3:$D$53,match($B23&amp;AW$2,Com_AllFuels_SEDS_2022_TBtus!$B$3:$B$53&amp;Com_AllFuels_SEDS_2022_TBtus!$A$3:$A$53,0))))</f>
        <v>0</v>
      </c>
      <c r="AX23" s="75">
        <f t="array" ref="AX23">IF(ISERROR(index(Com_AllFuels_SEDS_2022_TBtus!$D$3:$D$53,match($B23&amp;AX$2,Com_AllFuels_SEDS_2022_TBtus!$B$3:$B$53&amp;Com_AllFuels_SEDS_2022_TBtus!$A$3:$A$53,0))),0,(index(Com_AllFuels_SEDS_2022_TBtus!$D$3:$D$53,match($B23&amp;AX$2,Com_AllFuels_SEDS_2022_TBtus!$B$3:$B$53&amp;Com_AllFuels_SEDS_2022_TBtus!$A$3:$A$53,0))))</f>
        <v>0</v>
      </c>
      <c r="AY23" s="75">
        <f t="array" ref="AY23">IF(ISERROR(index(Com_AllFuels_SEDS_2022_TBtus!$D$3:$D$53,match($B23&amp;AY$2,Com_AllFuels_SEDS_2022_TBtus!$B$3:$B$53&amp;Com_AllFuels_SEDS_2022_TBtus!$A$3:$A$53,0))),0,(index(Com_AllFuels_SEDS_2022_TBtus!$D$3:$D$53,match($B23&amp;AY$2,Com_AllFuels_SEDS_2022_TBtus!$B$3:$B$53&amp;Com_AllFuels_SEDS_2022_TBtus!$A$3:$A$53,0))))</f>
        <v>0</v>
      </c>
      <c r="AZ23" s="75">
        <f t="array" ref="AZ23">IF(ISERROR(index(Com_AllFuels_SEDS_2022_TBtus!$D$3:$D$53,match($B23&amp;AZ$2,Com_AllFuels_SEDS_2022_TBtus!$B$3:$B$53&amp;Com_AllFuels_SEDS_2022_TBtus!$A$3:$A$53,0))),0,(index(Com_AllFuels_SEDS_2022_TBtus!$D$3:$D$53,match($B23&amp;AZ$2,Com_AllFuels_SEDS_2022_TBtus!$B$3:$B$53&amp;Com_AllFuels_SEDS_2022_TBtus!$A$3:$A$53,0))))</f>
        <v>0</v>
      </c>
      <c r="BA23" s="75">
        <f t="array" ref="BA23">IF(ISERROR(index(Com_AllFuels_SEDS_2022_TBtus!$D$3:$D$53,match($B23&amp;BA$2,Com_AllFuels_SEDS_2022_TBtus!$B$3:$B$53&amp;Com_AllFuels_SEDS_2022_TBtus!$A$3:$A$53,0))),0,(index(Com_AllFuels_SEDS_2022_TBtus!$D$3:$D$53,match($B23&amp;BA$2,Com_AllFuels_SEDS_2022_TBtus!$B$3:$B$53&amp;Com_AllFuels_SEDS_2022_TBtus!$A$3:$A$53,0))))</f>
        <v>0</v>
      </c>
      <c r="BB23" s="74">
        <f t="shared" si="3"/>
        <v>335.9</v>
      </c>
    </row>
    <row r="24" ht="15.75" customHeight="1">
      <c r="B24" s="74">
        <v>8.0</v>
      </c>
      <c r="C24" s="75">
        <f t="array" ref="C24">IF(ISERROR(index(Com_AllFuels_SEDS_2022_TBtus!$D$3:$D$53,match($B24&amp;C$2,Com_AllFuels_SEDS_2022_TBtus!$B$3:$B$53&amp;Com_AllFuels_SEDS_2022_TBtus!$A$3:$A$53,0))),0,(index(Com_AllFuels_SEDS_2022_TBtus!$D$3:$D$53,match($B24&amp;C$2,Com_AllFuels_SEDS_2022_TBtus!$B$3:$B$53&amp;Com_AllFuels_SEDS_2022_TBtus!$A$3:$A$53,0))))</f>
        <v>0</v>
      </c>
      <c r="D24" s="75">
        <f t="array" ref="D24">IF(ISERROR(index(Com_AllFuels_SEDS_2022_TBtus!$D$3:$D$53,match($B24&amp;D$2,Com_AllFuels_SEDS_2022_TBtus!$B$3:$B$53&amp;Com_AllFuels_SEDS_2022_TBtus!$A$3:$A$53,0))),0,(index(Com_AllFuels_SEDS_2022_TBtus!$D$3:$D$53,match($B24&amp;D$2,Com_AllFuels_SEDS_2022_TBtus!$B$3:$B$53&amp;Com_AllFuels_SEDS_2022_TBtus!$A$3:$A$53,0))))</f>
        <v>0</v>
      </c>
      <c r="E24" s="75">
        <f t="array" ref="E24">IF(ISERROR(index(Com_AllFuels_SEDS_2022_TBtus!$D$3:$D$53,match($B24&amp;E$2,Com_AllFuels_SEDS_2022_TBtus!$B$3:$B$53&amp;Com_AllFuels_SEDS_2022_TBtus!$A$3:$A$53,0))),0,(index(Com_AllFuels_SEDS_2022_TBtus!$D$3:$D$53,match($B24&amp;E$2,Com_AllFuels_SEDS_2022_TBtus!$B$3:$B$53&amp;Com_AllFuels_SEDS_2022_TBtus!$A$3:$A$53,0))))</f>
        <v>36.8</v>
      </c>
      <c r="F24" s="75">
        <f t="array" ref="F24">IF(ISERROR(index(Com_AllFuels_SEDS_2022_TBtus!$D$3:$D$53,match($B24&amp;F$2,Com_AllFuels_SEDS_2022_TBtus!$B$3:$B$53&amp;Com_AllFuels_SEDS_2022_TBtus!$A$3:$A$53,0))),0,(index(Com_AllFuels_SEDS_2022_TBtus!$D$3:$D$53,match($B24&amp;F$2,Com_AllFuels_SEDS_2022_TBtus!$B$3:$B$53&amp;Com_AllFuels_SEDS_2022_TBtus!$A$3:$A$53,0))))</f>
        <v>0</v>
      </c>
      <c r="G24" s="75">
        <f t="array" ref="G24">IF(ISERROR(index(Com_AllFuels_SEDS_2022_TBtus!$D$3:$D$53,match($B24&amp;G$2,Com_AllFuels_SEDS_2022_TBtus!$B$3:$B$53&amp;Com_AllFuels_SEDS_2022_TBtus!$A$3:$A$53,0))),0,(index(Com_AllFuels_SEDS_2022_TBtus!$D$3:$D$53,match($B24&amp;G$2,Com_AllFuels_SEDS_2022_TBtus!$B$3:$B$53&amp;Com_AllFuels_SEDS_2022_TBtus!$A$3:$A$53,0))))</f>
        <v>0</v>
      </c>
      <c r="H24" s="75">
        <f t="array" ref="H24">IF(ISERROR(index(Com_AllFuels_SEDS_2022_TBtus!$D$3:$D$53,match($B24&amp;H$2,Com_AllFuels_SEDS_2022_TBtus!$B$3:$B$53&amp;Com_AllFuels_SEDS_2022_TBtus!$A$3:$A$53,0))),0,(index(Com_AllFuels_SEDS_2022_TBtus!$D$3:$D$53,match($B24&amp;H$2,Com_AllFuels_SEDS_2022_TBtus!$B$3:$B$53&amp;Com_AllFuels_SEDS_2022_TBtus!$A$3:$A$53,0))))</f>
        <v>64.6</v>
      </c>
      <c r="I24" s="75">
        <f t="array" ref="I24">IF(ISERROR(index(Com_AllFuels_SEDS_2022_TBtus!$D$3:$D$53,match($B24&amp;I$2,Com_AllFuels_SEDS_2022_TBtus!$B$3:$B$53&amp;Com_AllFuels_SEDS_2022_TBtus!$A$3:$A$53,0))),0,(index(Com_AllFuels_SEDS_2022_TBtus!$D$3:$D$53,match($B24&amp;I$2,Com_AllFuels_SEDS_2022_TBtus!$B$3:$B$53&amp;Com_AllFuels_SEDS_2022_TBtus!$A$3:$A$53,0))))</f>
        <v>0</v>
      </c>
      <c r="J24" s="75">
        <f t="array" ref="J24">IF(ISERROR(index(Com_AllFuels_SEDS_2022_TBtus!$D$3:$D$53,match($B24&amp;J$2,Com_AllFuels_SEDS_2022_TBtus!$B$3:$B$53&amp;Com_AllFuels_SEDS_2022_TBtus!$A$3:$A$53,0))),0,(index(Com_AllFuels_SEDS_2022_TBtus!$D$3:$D$53,match($B24&amp;J$2,Com_AllFuels_SEDS_2022_TBtus!$B$3:$B$53&amp;Com_AllFuels_SEDS_2022_TBtus!$A$3:$A$53,0))))</f>
        <v>0</v>
      </c>
      <c r="K24" s="75">
        <f t="array" ref="K24">IF(ISERROR(index(Com_AllFuels_SEDS_2022_TBtus!$D$3:$D$53,match($B24&amp;K$2,Com_AllFuels_SEDS_2022_TBtus!$B$3:$B$53&amp;Com_AllFuels_SEDS_2022_TBtus!$A$3:$A$53,0))),0,(index(Com_AllFuels_SEDS_2022_TBtus!$D$3:$D$53,match($B24&amp;K$2,Com_AllFuels_SEDS_2022_TBtus!$B$3:$B$53&amp;Com_AllFuels_SEDS_2022_TBtus!$A$3:$A$53,0))))</f>
        <v>0</v>
      </c>
      <c r="L24" s="75">
        <f t="array" ref="L24">IF(ISERROR(index(Com_AllFuels_SEDS_2022_TBtus!$D$3:$D$53,match($B24&amp;L$2,Com_AllFuels_SEDS_2022_TBtus!$B$3:$B$53&amp;Com_AllFuels_SEDS_2022_TBtus!$A$3:$A$53,0))),0,(index(Com_AllFuels_SEDS_2022_TBtus!$D$3:$D$53,match($B24&amp;L$2,Com_AllFuels_SEDS_2022_TBtus!$B$3:$B$53&amp;Com_AllFuels_SEDS_2022_TBtus!$A$3:$A$53,0))))</f>
        <v>0</v>
      </c>
      <c r="M24" s="75">
        <f t="array" ref="M24">IF(ISERROR(index(Com_AllFuels_SEDS_2022_TBtus!$D$3:$D$53,match($B24&amp;M$2,Com_AllFuels_SEDS_2022_TBtus!$B$3:$B$53&amp;Com_AllFuels_SEDS_2022_TBtus!$A$3:$A$53,0))),0,(index(Com_AllFuels_SEDS_2022_TBtus!$D$3:$D$53,match($B24&amp;M$2,Com_AllFuels_SEDS_2022_TBtus!$B$3:$B$53&amp;Com_AllFuels_SEDS_2022_TBtus!$A$3:$A$53,0))))</f>
        <v>0</v>
      </c>
      <c r="N24" s="75">
        <f t="array" ref="N24">IF(ISERROR(index(Com_AllFuels_SEDS_2022_TBtus!$D$3:$D$53,match($B24&amp;N$2,Com_AllFuels_SEDS_2022_TBtus!$B$3:$B$53&amp;Com_AllFuels_SEDS_2022_TBtus!$A$3:$A$53,0))),0,(index(Com_AllFuels_SEDS_2022_TBtus!$D$3:$D$53,match($B24&amp;N$2,Com_AllFuels_SEDS_2022_TBtus!$B$3:$B$53&amp;Com_AllFuels_SEDS_2022_TBtus!$A$3:$A$53,0))))</f>
        <v>0</v>
      </c>
      <c r="O24" s="75">
        <f t="array" ref="O24">IF(ISERROR(index(Com_AllFuels_SEDS_2022_TBtus!$D$3:$D$53,match($B24&amp;O$2,Com_AllFuels_SEDS_2022_TBtus!$B$3:$B$53&amp;Com_AllFuels_SEDS_2022_TBtus!$A$3:$A$53,0))),0,(index(Com_AllFuels_SEDS_2022_TBtus!$D$3:$D$53,match($B24&amp;O$2,Com_AllFuels_SEDS_2022_TBtus!$B$3:$B$53&amp;Com_AllFuels_SEDS_2022_TBtus!$A$3:$A$53,0))))</f>
        <v>23.8</v>
      </c>
      <c r="P24" s="75">
        <f t="array" ref="P24">IF(ISERROR(index(Com_AllFuels_SEDS_2022_TBtus!$D$3:$D$53,match($B24&amp;P$2,Com_AllFuels_SEDS_2022_TBtus!$B$3:$B$53&amp;Com_AllFuels_SEDS_2022_TBtus!$A$3:$A$53,0))),0,(index(Com_AllFuels_SEDS_2022_TBtus!$D$3:$D$53,match($B24&amp;P$2,Com_AllFuels_SEDS_2022_TBtus!$B$3:$B$53&amp;Com_AllFuels_SEDS_2022_TBtus!$A$3:$A$53,0))))</f>
        <v>0</v>
      </c>
      <c r="Q24" s="75">
        <f t="array" ref="Q24">IF(ISERROR(index(Com_AllFuels_SEDS_2022_TBtus!$D$3:$D$53,match($B24&amp;Q$2,Com_AllFuels_SEDS_2022_TBtus!$B$3:$B$53&amp;Com_AllFuels_SEDS_2022_TBtus!$A$3:$A$53,0))),0,(index(Com_AllFuels_SEDS_2022_TBtus!$D$3:$D$53,match($B24&amp;Q$2,Com_AllFuels_SEDS_2022_TBtus!$B$3:$B$53&amp;Com_AllFuels_SEDS_2022_TBtus!$A$3:$A$53,0))))</f>
        <v>0</v>
      </c>
      <c r="R24" s="75">
        <f t="array" ref="R24">IF(ISERROR(index(Com_AllFuels_SEDS_2022_TBtus!$D$3:$D$53,match($B24&amp;R$2,Com_AllFuels_SEDS_2022_TBtus!$B$3:$B$53&amp;Com_AllFuels_SEDS_2022_TBtus!$A$3:$A$53,0))),0,(index(Com_AllFuels_SEDS_2022_TBtus!$D$3:$D$53,match($B24&amp;R$2,Com_AllFuels_SEDS_2022_TBtus!$B$3:$B$53&amp;Com_AllFuels_SEDS_2022_TBtus!$A$3:$A$53,0))))</f>
        <v>0</v>
      </c>
      <c r="S24" s="75">
        <f t="array" ref="S24">IF(ISERROR(index(Com_AllFuels_SEDS_2022_TBtus!$D$3:$D$53,match($B24&amp;S$2,Com_AllFuels_SEDS_2022_TBtus!$B$3:$B$53&amp;Com_AllFuels_SEDS_2022_TBtus!$A$3:$A$53,0))),0,(index(Com_AllFuels_SEDS_2022_TBtus!$D$3:$D$53,match($B24&amp;S$2,Com_AllFuels_SEDS_2022_TBtus!$B$3:$B$53&amp;Com_AllFuels_SEDS_2022_TBtus!$A$3:$A$53,0))))</f>
        <v>0</v>
      </c>
      <c r="T24" s="75">
        <f t="array" ref="T24">IF(ISERROR(index(Com_AllFuels_SEDS_2022_TBtus!$D$3:$D$53,match($B24&amp;T$2,Com_AllFuels_SEDS_2022_TBtus!$B$3:$B$53&amp;Com_AllFuels_SEDS_2022_TBtus!$A$3:$A$53,0))),0,(index(Com_AllFuels_SEDS_2022_TBtus!$D$3:$D$53,match($B24&amp;T$2,Com_AllFuels_SEDS_2022_TBtus!$B$3:$B$53&amp;Com_AllFuels_SEDS_2022_TBtus!$A$3:$A$53,0))))</f>
        <v>0</v>
      </c>
      <c r="U24" s="75">
        <f t="array" ref="U24">IF(ISERROR(index(Com_AllFuels_SEDS_2022_TBtus!$D$3:$D$53,match($B24&amp;U$2,Com_AllFuels_SEDS_2022_TBtus!$B$3:$B$53&amp;Com_AllFuels_SEDS_2022_TBtus!$A$3:$A$53,0))),0,(index(Com_AllFuels_SEDS_2022_TBtus!$D$3:$D$53,match($B24&amp;U$2,Com_AllFuels_SEDS_2022_TBtus!$B$3:$B$53&amp;Com_AllFuels_SEDS_2022_TBtus!$A$3:$A$53,0))))</f>
        <v>0</v>
      </c>
      <c r="V24" s="75">
        <f t="array" ref="V24">IF(ISERROR(index(Com_AllFuels_SEDS_2022_TBtus!$D$3:$D$53,match($B24&amp;V$2,Com_AllFuels_SEDS_2022_TBtus!$B$3:$B$53&amp;Com_AllFuels_SEDS_2022_TBtus!$A$3:$A$53,0))),0,(index(Com_AllFuels_SEDS_2022_TBtus!$D$3:$D$53,match($B24&amp;V$2,Com_AllFuels_SEDS_2022_TBtus!$B$3:$B$53&amp;Com_AllFuels_SEDS_2022_TBtus!$A$3:$A$53,0))))</f>
        <v>0</v>
      </c>
      <c r="W24" s="75">
        <f t="array" ref="W24">IF(ISERROR(index(Com_AllFuels_SEDS_2022_TBtus!$D$3:$D$53,match($B24&amp;W$2,Com_AllFuels_SEDS_2022_TBtus!$B$3:$B$53&amp;Com_AllFuels_SEDS_2022_TBtus!$A$3:$A$53,0))),0,(index(Com_AllFuels_SEDS_2022_TBtus!$D$3:$D$53,match($B24&amp;W$2,Com_AllFuels_SEDS_2022_TBtus!$B$3:$B$53&amp;Com_AllFuels_SEDS_2022_TBtus!$A$3:$A$53,0))))</f>
        <v>0</v>
      </c>
      <c r="X24" s="75">
        <f t="array" ref="X24">IF(ISERROR(index(Com_AllFuels_SEDS_2022_TBtus!$D$3:$D$53,match($B24&amp;X$2,Com_AllFuels_SEDS_2022_TBtus!$B$3:$B$53&amp;Com_AllFuels_SEDS_2022_TBtus!$A$3:$A$53,0))),0,(index(Com_AllFuels_SEDS_2022_TBtus!$D$3:$D$53,match($B24&amp;X$2,Com_AllFuels_SEDS_2022_TBtus!$B$3:$B$53&amp;Com_AllFuels_SEDS_2022_TBtus!$A$3:$A$53,0))))</f>
        <v>0</v>
      </c>
      <c r="Y24" s="75">
        <f t="array" ref="Y24">IF(ISERROR(index(Com_AllFuels_SEDS_2022_TBtus!$D$3:$D$53,match($B24&amp;Y$2,Com_AllFuels_SEDS_2022_TBtus!$B$3:$B$53&amp;Com_AllFuels_SEDS_2022_TBtus!$A$3:$A$53,0))),0,(index(Com_AllFuels_SEDS_2022_TBtus!$D$3:$D$53,match($B24&amp;Y$2,Com_AllFuels_SEDS_2022_TBtus!$B$3:$B$53&amp;Com_AllFuels_SEDS_2022_TBtus!$A$3:$A$53,0))))</f>
        <v>0</v>
      </c>
      <c r="Z24" s="75">
        <f t="array" ref="Z24">IF(ISERROR(index(Com_AllFuels_SEDS_2022_TBtus!$D$3:$D$53,match($B24&amp;Z$2,Com_AllFuels_SEDS_2022_TBtus!$B$3:$B$53&amp;Com_AllFuels_SEDS_2022_TBtus!$A$3:$A$53,0))),0,(index(Com_AllFuels_SEDS_2022_TBtus!$D$3:$D$53,match($B24&amp;Z$2,Com_AllFuels_SEDS_2022_TBtus!$B$3:$B$53&amp;Com_AllFuels_SEDS_2022_TBtus!$A$3:$A$53,0))))</f>
        <v>0</v>
      </c>
      <c r="AA24" s="75">
        <f t="array" ref="AA24">IF(ISERROR(index(Com_AllFuels_SEDS_2022_TBtus!$D$3:$D$53,match($B24&amp;AA$2,Com_AllFuels_SEDS_2022_TBtus!$B$3:$B$53&amp;Com_AllFuels_SEDS_2022_TBtus!$A$3:$A$53,0))),0,(index(Com_AllFuels_SEDS_2022_TBtus!$D$3:$D$53,match($B24&amp;AA$2,Com_AllFuels_SEDS_2022_TBtus!$B$3:$B$53&amp;Com_AllFuels_SEDS_2022_TBtus!$A$3:$A$53,0))))</f>
        <v>0</v>
      </c>
      <c r="AB24" s="75">
        <f t="array" ref="AB24">IF(ISERROR(index(Com_AllFuels_SEDS_2022_TBtus!$D$3:$D$53,match($B24&amp;AB$2,Com_AllFuels_SEDS_2022_TBtus!$B$3:$B$53&amp;Com_AllFuels_SEDS_2022_TBtus!$A$3:$A$53,0))),0,(index(Com_AllFuels_SEDS_2022_TBtus!$D$3:$D$53,match($B24&amp;AB$2,Com_AllFuels_SEDS_2022_TBtus!$B$3:$B$53&amp;Com_AllFuels_SEDS_2022_TBtus!$A$3:$A$53,0))))</f>
        <v>0</v>
      </c>
      <c r="AC24" s="75">
        <f t="array" ref="AC24">IF(ISERROR(index(Com_AllFuels_SEDS_2022_TBtus!$D$3:$D$53,match($B24&amp;AC$2,Com_AllFuels_SEDS_2022_TBtus!$B$3:$B$53&amp;Com_AllFuels_SEDS_2022_TBtus!$A$3:$A$53,0))),0,(index(Com_AllFuels_SEDS_2022_TBtus!$D$3:$D$53,match($B24&amp;AC$2,Com_AllFuels_SEDS_2022_TBtus!$B$3:$B$53&amp;Com_AllFuels_SEDS_2022_TBtus!$A$3:$A$53,0))))</f>
        <v>28.5</v>
      </c>
      <c r="AD24" s="75">
        <f t="array" ref="AD24">IF(ISERROR(index(Com_AllFuels_SEDS_2022_TBtus!$D$3:$D$53,match($B24&amp;AD$2,Com_AllFuels_SEDS_2022_TBtus!$B$3:$B$53&amp;Com_AllFuels_SEDS_2022_TBtus!$A$3:$A$53,0))),0,(index(Com_AllFuels_SEDS_2022_TBtus!$D$3:$D$53,match($B24&amp;AD$2,Com_AllFuels_SEDS_2022_TBtus!$B$3:$B$53&amp;Com_AllFuels_SEDS_2022_TBtus!$A$3:$A$53,0))))</f>
        <v>0</v>
      </c>
      <c r="AE24" s="75">
        <f t="array" ref="AE24">IF(ISERROR(index(Com_AllFuels_SEDS_2022_TBtus!$D$3:$D$53,match($B24&amp;AE$2,Com_AllFuels_SEDS_2022_TBtus!$B$3:$B$53&amp;Com_AllFuels_SEDS_2022_TBtus!$A$3:$A$53,0))),0,(index(Com_AllFuels_SEDS_2022_TBtus!$D$3:$D$53,match($B24&amp;AE$2,Com_AllFuels_SEDS_2022_TBtus!$B$3:$B$53&amp;Com_AllFuels_SEDS_2022_TBtus!$A$3:$A$53,0))))</f>
        <v>34.2</v>
      </c>
      <c r="AF24" s="75">
        <f t="array" ref="AF24">IF(ISERROR(index(Com_AllFuels_SEDS_2022_TBtus!$D$3:$D$53,match($B24&amp;AF$2,Com_AllFuels_SEDS_2022_TBtus!$B$3:$B$53&amp;Com_AllFuels_SEDS_2022_TBtus!$A$3:$A$53,0))),0,(index(Com_AllFuels_SEDS_2022_TBtus!$D$3:$D$53,match($B24&amp;AF$2,Com_AllFuels_SEDS_2022_TBtus!$B$3:$B$53&amp;Com_AllFuels_SEDS_2022_TBtus!$A$3:$A$53,0))))</f>
        <v>0</v>
      </c>
      <c r="AG24" s="75">
        <f t="array" ref="AG24">IF(ISERROR(index(Com_AllFuels_SEDS_2022_TBtus!$D$3:$D$53,match($B24&amp;AG$2,Com_AllFuels_SEDS_2022_TBtus!$B$3:$B$53&amp;Com_AllFuels_SEDS_2022_TBtus!$A$3:$A$53,0))),0,(index(Com_AllFuels_SEDS_2022_TBtus!$D$3:$D$53,match($B24&amp;AG$2,Com_AllFuels_SEDS_2022_TBtus!$B$3:$B$53&amp;Com_AllFuels_SEDS_2022_TBtus!$A$3:$A$53,0))))</f>
        <v>0</v>
      </c>
      <c r="AH24" s="75">
        <f t="array" ref="AH24">IF(ISERROR(index(Com_AllFuels_SEDS_2022_TBtus!$D$3:$D$53,match($B24&amp;AH$2,Com_AllFuels_SEDS_2022_TBtus!$B$3:$B$53&amp;Com_AllFuels_SEDS_2022_TBtus!$A$3:$A$53,0))),0,(index(Com_AllFuels_SEDS_2022_TBtus!$D$3:$D$53,match($B24&amp;AH$2,Com_AllFuels_SEDS_2022_TBtus!$B$3:$B$53&amp;Com_AllFuels_SEDS_2022_TBtus!$A$3:$A$53,0))))</f>
        <v>28.6</v>
      </c>
      <c r="AI24" s="75">
        <f t="array" ref="AI24">IF(ISERROR(index(Com_AllFuels_SEDS_2022_TBtus!$D$3:$D$53,match($B24&amp;AI$2,Com_AllFuels_SEDS_2022_TBtus!$B$3:$B$53&amp;Com_AllFuels_SEDS_2022_TBtus!$A$3:$A$53,0))),0,(index(Com_AllFuels_SEDS_2022_TBtus!$D$3:$D$53,match($B24&amp;AI$2,Com_AllFuels_SEDS_2022_TBtus!$B$3:$B$53&amp;Com_AllFuels_SEDS_2022_TBtus!$A$3:$A$53,0))))</f>
        <v>0</v>
      </c>
      <c r="AJ24" s="75">
        <f t="array" ref="AJ24">IF(ISERROR(index(Com_AllFuels_SEDS_2022_TBtus!$D$3:$D$53,match($B24&amp;AJ$2,Com_AllFuels_SEDS_2022_TBtus!$B$3:$B$53&amp;Com_AllFuels_SEDS_2022_TBtus!$A$3:$A$53,0))),0,(index(Com_AllFuels_SEDS_2022_TBtus!$D$3:$D$53,match($B24&amp;AJ$2,Com_AllFuels_SEDS_2022_TBtus!$B$3:$B$53&amp;Com_AllFuels_SEDS_2022_TBtus!$A$3:$A$53,0))))</f>
        <v>0</v>
      </c>
      <c r="AK24" s="75">
        <f t="array" ref="AK24">IF(ISERROR(index(Com_AllFuels_SEDS_2022_TBtus!$D$3:$D$53,match($B24&amp;AK$2,Com_AllFuels_SEDS_2022_TBtus!$B$3:$B$53&amp;Com_AllFuels_SEDS_2022_TBtus!$A$3:$A$53,0))),0,(index(Com_AllFuels_SEDS_2022_TBtus!$D$3:$D$53,match($B24&amp;AK$2,Com_AllFuels_SEDS_2022_TBtus!$B$3:$B$53&amp;Com_AllFuels_SEDS_2022_TBtus!$A$3:$A$53,0))))</f>
        <v>0</v>
      </c>
      <c r="AL24" s="75">
        <f t="array" ref="AL24">IF(ISERROR(index(Com_AllFuels_SEDS_2022_TBtus!$D$3:$D$53,match($B24&amp;AL$2,Com_AllFuels_SEDS_2022_TBtus!$B$3:$B$53&amp;Com_AllFuels_SEDS_2022_TBtus!$A$3:$A$53,0))),0,(index(Com_AllFuels_SEDS_2022_TBtus!$D$3:$D$53,match($B24&amp;AL$2,Com_AllFuels_SEDS_2022_TBtus!$B$3:$B$53&amp;Com_AllFuels_SEDS_2022_TBtus!$A$3:$A$53,0))))</f>
        <v>0</v>
      </c>
      <c r="AM24" s="75">
        <f t="array" ref="AM24">IF(ISERROR(index(Com_AllFuels_SEDS_2022_TBtus!$D$3:$D$53,match($B24&amp;AM$2,Com_AllFuels_SEDS_2022_TBtus!$B$3:$B$53&amp;Com_AllFuels_SEDS_2022_TBtus!$A$3:$A$53,0))),0,(index(Com_AllFuels_SEDS_2022_TBtus!$D$3:$D$53,match($B24&amp;AM$2,Com_AllFuels_SEDS_2022_TBtus!$B$3:$B$53&amp;Com_AllFuels_SEDS_2022_TBtus!$A$3:$A$53,0))))</f>
        <v>0</v>
      </c>
      <c r="AN24" s="75">
        <f t="array" ref="AN24">IF(ISERROR(index(Com_AllFuels_SEDS_2022_TBtus!$D$3:$D$53,match($B24&amp;AN$2,Com_AllFuels_SEDS_2022_TBtus!$B$3:$B$53&amp;Com_AllFuels_SEDS_2022_TBtus!$A$3:$A$53,0))),0,(index(Com_AllFuels_SEDS_2022_TBtus!$D$3:$D$53,match($B24&amp;AN$2,Com_AllFuels_SEDS_2022_TBtus!$B$3:$B$53&amp;Com_AllFuels_SEDS_2022_TBtus!$A$3:$A$53,0))))</f>
        <v>0</v>
      </c>
      <c r="AO24" s="75">
        <f t="array" ref="AO24">IF(ISERROR(index(Com_AllFuels_SEDS_2022_TBtus!$D$3:$D$53,match($B24&amp;AO$2,Com_AllFuels_SEDS_2022_TBtus!$B$3:$B$53&amp;Com_AllFuels_SEDS_2022_TBtus!$A$3:$A$53,0))),0,(index(Com_AllFuels_SEDS_2022_TBtus!$D$3:$D$53,match($B24&amp;AO$2,Com_AllFuels_SEDS_2022_TBtus!$B$3:$B$53&amp;Com_AllFuels_SEDS_2022_TBtus!$A$3:$A$53,0))))</f>
        <v>0</v>
      </c>
      <c r="AP24" s="75">
        <f t="array" ref="AP24">IF(ISERROR(index(Com_AllFuels_SEDS_2022_TBtus!$D$3:$D$53,match($B24&amp;AP$2,Com_AllFuels_SEDS_2022_TBtus!$B$3:$B$53&amp;Com_AllFuels_SEDS_2022_TBtus!$A$3:$A$53,0))),0,(index(Com_AllFuels_SEDS_2022_TBtus!$D$3:$D$53,match($B24&amp;AP$2,Com_AllFuels_SEDS_2022_TBtus!$B$3:$B$53&amp;Com_AllFuels_SEDS_2022_TBtus!$A$3:$A$53,0))))</f>
        <v>0</v>
      </c>
      <c r="AQ24" s="75">
        <f t="array" ref="AQ24">IF(ISERROR(index(Com_AllFuels_SEDS_2022_TBtus!$D$3:$D$53,match($B24&amp;AQ$2,Com_AllFuels_SEDS_2022_TBtus!$B$3:$B$53&amp;Com_AllFuels_SEDS_2022_TBtus!$A$3:$A$53,0))),0,(index(Com_AllFuels_SEDS_2022_TBtus!$D$3:$D$53,match($B24&amp;AQ$2,Com_AllFuels_SEDS_2022_TBtus!$B$3:$B$53&amp;Com_AllFuels_SEDS_2022_TBtus!$A$3:$A$53,0))))</f>
        <v>0</v>
      </c>
      <c r="AR24" s="75">
        <f t="array" ref="AR24">IF(ISERROR(index(Com_AllFuels_SEDS_2022_TBtus!$D$3:$D$53,match($B24&amp;AR$2,Com_AllFuels_SEDS_2022_TBtus!$B$3:$B$53&amp;Com_AllFuels_SEDS_2022_TBtus!$A$3:$A$53,0))),0,(index(Com_AllFuels_SEDS_2022_TBtus!$D$3:$D$53,match($B24&amp;AR$2,Com_AllFuels_SEDS_2022_TBtus!$B$3:$B$53&amp;Com_AllFuels_SEDS_2022_TBtus!$A$3:$A$53,0))))</f>
        <v>0</v>
      </c>
      <c r="AS24" s="75">
        <f t="array" ref="AS24">IF(ISERROR(index(Com_AllFuels_SEDS_2022_TBtus!$D$3:$D$53,match($B24&amp;AS$2,Com_AllFuels_SEDS_2022_TBtus!$B$3:$B$53&amp;Com_AllFuels_SEDS_2022_TBtus!$A$3:$A$53,0))),0,(index(Com_AllFuels_SEDS_2022_TBtus!$D$3:$D$53,match($B24&amp;AS$2,Com_AllFuels_SEDS_2022_TBtus!$B$3:$B$53&amp;Com_AllFuels_SEDS_2022_TBtus!$A$3:$A$53,0))))</f>
        <v>0</v>
      </c>
      <c r="AT24" s="75">
        <f t="array" ref="AT24">IF(ISERROR(index(Com_AllFuels_SEDS_2022_TBtus!$D$3:$D$53,match($B24&amp;AT$2,Com_AllFuels_SEDS_2022_TBtus!$B$3:$B$53&amp;Com_AllFuels_SEDS_2022_TBtus!$A$3:$A$53,0))),0,(index(Com_AllFuels_SEDS_2022_TBtus!$D$3:$D$53,match($B24&amp;AT$2,Com_AllFuels_SEDS_2022_TBtus!$B$3:$B$53&amp;Com_AllFuels_SEDS_2022_TBtus!$A$3:$A$53,0))))</f>
        <v>0</v>
      </c>
      <c r="AU24" s="75">
        <f t="array" ref="AU24">IF(ISERROR(index(Com_AllFuels_SEDS_2022_TBtus!$D$3:$D$53,match($B24&amp;AU$2,Com_AllFuels_SEDS_2022_TBtus!$B$3:$B$53&amp;Com_AllFuels_SEDS_2022_TBtus!$A$3:$A$53,0))),0,(index(Com_AllFuels_SEDS_2022_TBtus!$D$3:$D$53,match($B24&amp;AU$2,Com_AllFuels_SEDS_2022_TBtus!$B$3:$B$53&amp;Com_AllFuels_SEDS_2022_TBtus!$A$3:$A$53,0))))</f>
        <v>49.8</v>
      </c>
      <c r="AV24" s="75">
        <f t="array" ref="AV24">IF(ISERROR(index(Com_AllFuels_SEDS_2022_TBtus!$D$3:$D$53,match($B24&amp;AV$2,Com_AllFuels_SEDS_2022_TBtus!$B$3:$B$53&amp;Com_AllFuels_SEDS_2022_TBtus!$A$3:$A$53,0))),0,(index(Com_AllFuels_SEDS_2022_TBtus!$D$3:$D$53,match($B24&amp;AV$2,Com_AllFuels_SEDS_2022_TBtus!$B$3:$B$53&amp;Com_AllFuels_SEDS_2022_TBtus!$A$3:$A$53,0))))</f>
        <v>0</v>
      </c>
      <c r="AW24" s="75">
        <f t="array" ref="AW24">IF(ISERROR(index(Com_AllFuels_SEDS_2022_TBtus!$D$3:$D$53,match($B24&amp;AW$2,Com_AllFuels_SEDS_2022_TBtus!$B$3:$B$53&amp;Com_AllFuels_SEDS_2022_TBtus!$A$3:$A$53,0))),0,(index(Com_AllFuels_SEDS_2022_TBtus!$D$3:$D$53,match($B24&amp;AW$2,Com_AllFuels_SEDS_2022_TBtus!$B$3:$B$53&amp;Com_AllFuels_SEDS_2022_TBtus!$A$3:$A$53,0))))</f>
        <v>0</v>
      </c>
      <c r="AX24" s="75">
        <f t="array" ref="AX24">IF(ISERROR(index(Com_AllFuels_SEDS_2022_TBtus!$D$3:$D$53,match($B24&amp;AX$2,Com_AllFuels_SEDS_2022_TBtus!$B$3:$B$53&amp;Com_AllFuels_SEDS_2022_TBtus!$A$3:$A$53,0))),0,(index(Com_AllFuels_SEDS_2022_TBtus!$D$3:$D$53,match($B24&amp;AX$2,Com_AllFuels_SEDS_2022_TBtus!$B$3:$B$53&amp;Com_AllFuels_SEDS_2022_TBtus!$A$3:$A$53,0))))</f>
        <v>0</v>
      </c>
      <c r="AY24" s="75">
        <f t="array" ref="AY24">IF(ISERROR(index(Com_AllFuels_SEDS_2022_TBtus!$D$3:$D$53,match($B24&amp;AY$2,Com_AllFuels_SEDS_2022_TBtus!$B$3:$B$53&amp;Com_AllFuels_SEDS_2022_TBtus!$A$3:$A$53,0))),0,(index(Com_AllFuels_SEDS_2022_TBtus!$D$3:$D$53,match($B24&amp;AY$2,Com_AllFuels_SEDS_2022_TBtus!$B$3:$B$53&amp;Com_AllFuels_SEDS_2022_TBtus!$A$3:$A$53,0))))</f>
        <v>0</v>
      </c>
      <c r="AZ24" s="75">
        <f t="array" ref="AZ24">IF(ISERROR(index(Com_AllFuels_SEDS_2022_TBtus!$D$3:$D$53,match($B24&amp;AZ$2,Com_AllFuels_SEDS_2022_TBtus!$B$3:$B$53&amp;Com_AllFuels_SEDS_2022_TBtus!$A$3:$A$53,0))),0,(index(Com_AllFuels_SEDS_2022_TBtus!$D$3:$D$53,match($B24&amp;AZ$2,Com_AllFuels_SEDS_2022_TBtus!$B$3:$B$53&amp;Com_AllFuels_SEDS_2022_TBtus!$A$3:$A$53,0))))</f>
        <v>0</v>
      </c>
      <c r="BA24" s="75">
        <f t="array" ref="BA24">IF(ISERROR(index(Com_AllFuels_SEDS_2022_TBtus!$D$3:$D$53,match($B24&amp;BA$2,Com_AllFuels_SEDS_2022_TBtus!$B$3:$B$53&amp;Com_AllFuels_SEDS_2022_TBtus!$A$3:$A$53,0))),0,(index(Com_AllFuels_SEDS_2022_TBtus!$D$3:$D$53,match($B24&amp;BA$2,Com_AllFuels_SEDS_2022_TBtus!$B$3:$B$53&amp;Com_AllFuels_SEDS_2022_TBtus!$A$3:$A$53,0))))</f>
        <v>13.7</v>
      </c>
      <c r="BB24" s="74">
        <f t="shared" si="3"/>
        <v>280</v>
      </c>
    </row>
    <row r="25" ht="15.75" customHeight="1">
      <c r="B25" s="74">
        <v>9.0</v>
      </c>
      <c r="C25" s="75">
        <f t="array" ref="C25">IF(ISERROR(index(Com_AllFuels_SEDS_2022_TBtus!$D$3:$D$53,match($B25&amp;C$2,Com_AllFuels_SEDS_2022_TBtus!$B$3:$B$53&amp;Com_AllFuels_SEDS_2022_TBtus!$A$3:$A$53,0))),0,(index(Com_AllFuels_SEDS_2022_TBtus!$D$3:$D$53,match($B25&amp;C$2,Com_AllFuels_SEDS_2022_TBtus!$B$3:$B$53&amp;Com_AllFuels_SEDS_2022_TBtus!$A$3:$A$53,0))))</f>
        <v>0</v>
      </c>
      <c r="D25" s="75">
        <f t="array" ref="D25">IF(ISERROR(index(Com_AllFuels_SEDS_2022_TBtus!$D$3:$D$53,match($B25&amp;D$2,Com_AllFuels_SEDS_2022_TBtus!$B$3:$B$53&amp;Com_AllFuels_SEDS_2022_TBtus!$A$3:$A$53,0))),0,(index(Com_AllFuels_SEDS_2022_TBtus!$D$3:$D$53,match($B25&amp;D$2,Com_AllFuels_SEDS_2022_TBtus!$B$3:$B$53&amp;Com_AllFuels_SEDS_2022_TBtus!$A$3:$A$53,0))))</f>
        <v>15.8</v>
      </c>
      <c r="E25" s="75">
        <f t="array" ref="E25">IF(ISERROR(index(Com_AllFuels_SEDS_2022_TBtus!$D$3:$D$53,match($B25&amp;E$2,Com_AllFuels_SEDS_2022_TBtus!$B$3:$B$53&amp;Com_AllFuels_SEDS_2022_TBtus!$A$3:$A$53,0))),0,(index(Com_AllFuels_SEDS_2022_TBtus!$D$3:$D$53,match($B25&amp;E$2,Com_AllFuels_SEDS_2022_TBtus!$B$3:$B$53&amp;Com_AllFuels_SEDS_2022_TBtus!$A$3:$A$53,0))))</f>
        <v>0</v>
      </c>
      <c r="F25" s="75">
        <f t="array" ref="F25">IF(ISERROR(index(Com_AllFuels_SEDS_2022_TBtus!$D$3:$D$53,match($B25&amp;F$2,Com_AllFuels_SEDS_2022_TBtus!$B$3:$B$53&amp;Com_AllFuels_SEDS_2022_TBtus!$A$3:$A$53,0))),0,(index(Com_AllFuels_SEDS_2022_TBtus!$D$3:$D$53,match($B25&amp;F$2,Com_AllFuels_SEDS_2022_TBtus!$B$3:$B$53&amp;Com_AllFuels_SEDS_2022_TBtus!$A$3:$A$53,0))))</f>
        <v>0</v>
      </c>
      <c r="G25" s="75">
        <f t="array" ref="G25">IF(ISERROR(index(Com_AllFuels_SEDS_2022_TBtus!$D$3:$D$53,match($B25&amp;G$2,Com_AllFuels_SEDS_2022_TBtus!$B$3:$B$53&amp;Com_AllFuels_SEDS_2022_TBtus!$A$3:$A$53,0))),0,(index(Com_AllFuels_SEDS_2022_TBtus!$D$3:$D$53,match($B25&amp;G$2,Com_AllFuels_SEDS_2022_TBtus!$B$3:$B$53&amp;Com_AllFuels_SEDS_2022_TBtus!$A$3:$A$53,0))))</f>
        <v>255.2</v>
      </c>
      <c r="H25" s="75">
        <f t="array" ref="H25">IF(ISERROR(index(Com_AllFuels_SEDS_2022_TBtus!$D$3:$D$53,match($B25&amp;H$2,Com_AllFuels_SEDS_2022_TBtus!$B$3:$B$53&amp;Com_AllFuels_SEDS_2022_TBtus!$A$3:$A$53,0))),0,(index(Com_AllFuels_SEDS_2022_TBtus!$D$3:$D$53,match($B25&amp;H$2,Com_AllFuels_SEDS_2022_TBtus!$B$3:$B$53&amp;Com_AllFuels_SEDS_2022_TBtus!$A$3:$A$53,0))))</f>
        <v>0</v>
      </c>
      <c r="I25" s="75">
        <f t="array" ref="I25">IF(ISERROR(index(Com_AllFuels_SEDS_2022_TBtus!$D$3:$D$53,match($B25&amp;I$2,Com_AllFuels_SEDS_2022_TBtus!$B$3:$B$53&amp;Com_AllFuels_SEDS_2022_TBtus!$A$3:$A$53,0))),0,(index(Com_AllFuels_SEDS_2022_TBtus!$D$3:$D$53,match($B25&amp;I$2,Com_AllFuels_SEDS_2022_TBtus!$B$3:$B$53&amp;Com_AllFuels_SEDS_2022_TBtus!$A$3:$A$53,0))))</f>
        <v>0</v>
      </c>
      <c r="J25" s="75">
        <f t="array" ref="J25">IF(ISERROR(index(Com_AllFuels_SEDS_2022_TBtus!$D$3:$D$53,match($B25&amp;J$2,Com_AllFuels_SEDS_2022_TBtus!$B$3:$B$53&amp;Com_AllFuels_SEDS_2022_TBtus!$A$3:$A$53,0))),0,(index(Com_AllFuels_SEDS_2022_TBtus!$D$3:$D$53,match($B25&amp;J$2,Com_AllFuels_SEDS_2022_TBtus!$B$3:$B$53&amp;Com_AllFuels_SEDS_2022_TBtus!$A$3:$A$53,0))))</f>
        <v>0</v>
      </c>
      <c r="K25" s="75">
        <f t="array" ref="K25">IF(ISERROR(index(Com_AllFuels_SEDS_2022_TBtus!$D$3:$D$53,match($B25&amp;K$2,Com_AllFuels_SEDS_2022_TBtus!$B$3:$B$53&amp;Com_AllFuels_SEDS_2022_TBtus!$A$3:$A$53,0))),0,(index(Com_AllFuels_SEDS_2022_TBtus!$D$3:$D$53,match($B25&amp;K$2,Com_AllFuels_SEDS_2022_TBtus!$B$3:$B$53&amp;Com_AllFuels_SEDS_2022_TBtus!$A$3:$A$53,0))))</f>
        <v>0</v>
      </c>
      <c r="L25" s="75">
        <f t="array" ref="L25">IF(ISERROR(index(Com_AllFuels_SEDS_2022_TBtus!$D$3:$D$53,match($B25&amp;L$2,Com_AllFuels_SEDS_2022_TBtus!$B$3:$B$53&amp;Com_AllFuels_SEDS_2022_TBtus!$A$3:$A$53,0))),0,(index(Com_AllFuels_SEDS_2022_TBtus!$D$3:$D$53,match($B25&amp;L$2,Com_AllFuels_SEDS_2022_TBtus!$B$3:$B$53&amp;Com_AllFuels_SEDS_2022_TBtus!$A$3:$A$53,0))))</f>
        <v>0</v>
      </c>
      <c r="M25" s="75">
        <f t="array" ref="M25">IF(ISERROR(index(Com_AllFuels_SEDS_2022_TBtus!$D$3:$D$53,match($B25&amp;M$2,Com_AllFuels_SEDS_2022_TBtus!$B$3:$B$53&amp;Com_AllFuels_SEDS_2022_TBtus!$A$3:$A$53,0))),0,(index(Com_AllFuels_SEDS_2022_TBtus!$D$3:$D$53,match($B25&amp;M$2,Com_AllFuels_SEDS_2022_TBtus!$B$3:$B$53&amp;Com_AllFuels_SEDS_2022_TBtus!$A$3:$A$53,0))))</f>
        <v>0</v>
      </c>
      <c r="N25" s="75">
        <f t="array" ref="N25">IF(ISERROR(index(Com_AllFuels_SEDS_2022_TBtus!$D$3:$D$53,match($B25&amp;N$2,Com_AllFuels_SEDS_2022_TBtus!$B$3:$B$53&amp;Com_AllFuels_SEDS_2022_TBtus!$A$3:$A$53,0))),0,(index(Com_AllFuels_SEDS_2022_TBtus!$D$3:$D$53,match($B25&amp;N$2,Com_AllFuels_SEDS_2022_TBtus!$B$3:$B$53&amp;Com_AllFuels_SEDS_2022_TBtus!$A$3:$A$53,0))))</f>
        <v>2.1</v>
      </c>
      <c r="O25" s="75">
        <f t="array" ref="O25">IF(ISERROR(index(Com_AllFuels_SEDS_2022_TBtus!$D$3:$D$53,match($B25&amp;O$2,Com_AllFuels_SEDS_2022_TBtus!$B$3:$B$53&amp;Com_AllFuels_SEDS_2022_TBtus!$A$3:$A$53,0))),0,(index(Com_AllFuels_SEDS_2022_TBtus!$D$3:$D$53,match($B25&amp;O$2,Com_AllFuels_SEDS_2022_TBtus!$B$3:$B$53&amp;Com_AllFuels_SEDS_2022_TBtus!$A$3:$A$53,0))))</f>
        <v>0</v>
      </c>
      <c r="P25" s="75">
        <f t="array" ref="P25">IF(ISERROR(index(Com_AllFuels_SEDS_2022_TBtus!$D$3:$D$53,match($B25&amp;P$2,Com_AllFuels_SEDS_2022_TBtus!$B$3:$B$53&amp;Com_AllFuels_SEDS_2022_TBtus!$A$3:$A$53,0))),0,(index(Com_AllFuels_SEDS_2022_TBtus!$D$3:$D$53,match($B25&amp;P$2,Com_AllFuels_SEDS_2022_TBtus!$B$3:$B$53&amp;Com_AllFuels_SEDS_2022_TBtus!$A$3:$A$53,0))))</f>
        <v>0</v>
      </c>
      <c r="Q25" s="75">
        <f t="array" ref="Q25">IF(ISERROR(index(Com_AllFuels_SEDS_2022_TBtus!$D$3:$D$53,match($B25&amp;Q$2,Com_AllFuels_SEDS_2022_TBtus!$B$3:$B$53&amp;Com_AllFuels_SEDS_2022_TBtus!$A$3:$A$53,0))),0,(index(Com_AllFuels_SEDS_2022_TBtus!$D$3:$D$53,match($B25&amp;Q$2,Com_AllFuels_SEDS_2022_TBtus!$B$3:$B$53&amp;Com_AllFuels_SEDS_2022_TBtus!$A$3:$A$53,0))))</f>
        <v>0</v>
      </c>
      <c r="R25" s="75">
        <f t="array" ref="R25">IF(ISERROR(index(Com_AllFuels_SEDS_2022_TBtus!$D$3:$D$53,match($B25&amp;R$2,Com_AllFuels_SEDS_2022_TBtus!$B$3:$B$53&amp;Com_AllFuels_SEDS_2022_TBtus!$A$3:$A$53,0))),0,(index(Com_AllFuels_SEDS_2022_TBtus!$D$3:$D$53,match($B25&amp;R$2,Com_AllFuels_SEDS_2022_TBtus!$B$3:$B$53&amp;Com_AllFuels_SEDS_2022_TBtus!$A$3:$A$53,0))))</f>
        <v>0</v>
      </c>
      <c r="S25" s="75">
        <f t="array" ref="S25">IF(ISERROR(index(Com_AllFuels_SEDS_2022_TBtus!$D$3:$D$53,match($B25&amp;S$2,Com_AllFuels_SEDS_2022_TBtus!$B$3:$B$53&amp;Com_AllFuels_SEDS_2022_TBtus!$A$3:$A$53,0))),0,(index(Com_AllFuels_SEDS_2022_TBtus!$D$3:$D$53,match($B25&amp;S$2,Com_AllFuels_SEDS_2022_TBtus!$B$3:$B$53&amp;Com_AllFuels_SEDS_2022_TBtus!$A$3:$A$53,0))))</f>
        <v>0</v>
      </c>
      <c r="T25" s="75">
        <f t="array" ref="T25">IF(ISERROR(index(Com_AllFuels_SEDS_2022_TBtus!$D$3:$D$53,match($B25&amp;T$2,Com_AllFuels_SEDS_2022_TBtus!$B$3:$B$53&amp;Com_AllFuels_SEDS_2022_TBtus!$A$3:$A$53,0))),0,(index(Com_AllFuels_SEDS_2022_TBtus!$D$3:$D$53,match($B25&amp;T$2,Com_AllFuels_SEDS_2022_TBtus!$B$3:$B$53&amp;Com_AllFuels_SEDS_2022_TBtus!$A$3:$A$53,0))))</f>
        <v>0</v>
      </c>
      <c r="U25" s="75">
        <f t="array" ref="U25">IF(ISERROR(index(Com_AllFuels_SEDS_2022_TBtus!$D$3:$D$53,match($B25&amp;U$2,Com_AllFuels_SEDS_2022_TBtus!$B$3:$B$53&amp;Com_AllFuels_SEDS_2022_TBtus!$A$3:$A$53,0))),0,(index(Com_AllFuels_SEDS_2022_TBtus!$D$3:$D$53,match($B25&amp;U$2,Com_AllFuels_SEDS_2022_TBtus!$B$3:$B$53&amp;Com_AllFuels_SEDS_2022_TBtus!$A$3:$A$53,0))))</f>
        <v>0</v>
      </c>
      <c r="V25" s="75">
        <f t="array" ref="V25">IF(ISERROR(index(Com_AllFuels_SEDS_2022_TBtus!$D$3:$D$53,match($B25&amp;V$2,Com_AllFuels_SEDS_2022_TBtus!$B$3:$B$53&amp;Com_AllFuels_SEDS_2022_TBtus!$A$3:$A$53,0))),0,(index(Com_AllFuels_SEDS_2022_TBtus!$D$3:$D$53,match($B25&amp;V$2,Com_AllFuels_SEDS_2022_TBtus!$B$3:$B$53&amp;Com_AllFuels_SEDS_2022_TBtus!$A$3:$A$53,0))))</f>
        <v>0</v>
      </c>
      <c r="W25" s="75">
        <f t="array" ref="W25">IF(ISERROR(index(Com_AllFuels_SEDS_2022_TBtus!$D$3:$D$53,match($B25&amp;W$2,Com_AllFuels_SEDS_2022_TBtus!$B$3:$B$53&amp;Com_AllFuels_SEDS_2022_TBtus!$A$3:$A$53,0))),0,(index(Com_AllFuels_SEDS_2022_TBtus!$D$3:$D$53,match($B25&amp;W$2,Com_AllFuels_SEDS_2022_TBtus!$B$3:$B$53&amp;Com_AllFuels_SEDS_2022_TBtus!$A$3:$A$53,0))))</f>
        <v>0</v>
      </c>
      <c r="X25" s="75">
        <f t="array" ref="X25">IF(ISERROR(index(Com_AllFuels_SEDS_2022_TBtus!$D$3:$D$53,match($B25&amp;X$2,Com_AllFuels_SEDS_2022_TBtus!$B$3:$B$53&amp;Com_AllFuels_SEDS_2022_TBtus!$A$3:$A$53,0))),0,(index(Com_AllFuels_SEDS_2022_TBtus!$D$3:$D$53,match($B25&amp;X$2,Com_AllFuels_SEDS_2022_TBtus!$B$3:$B$53&amp;Com_AllFuels_SEDS_2022_TBtus!$A$3:$A$53,0))))</f>
        <v>0</v>
      </c>
      <c r="Y25" s="75">
        <f t="array" ref="Y25">IF(ISERROR(index(Com_AllFuels_SEDS_2022_TBtus!$D$3:$D$53,match($B25&amp;Y$2,Com_AllFuels_SEDS_2022_TBtus!$B$3:$B$53&amp;Com_AllFuels_SEDS_2022_TBtus!$A$3:$A$53,0))),0,(index(Com_AllFuels_SEDS_2022_TBtus!$D$3:$D$53,match($B25&amp;Y$2,Com_AllFuels_SEDS_2022_TBtus!$B$3:$B$53&amp;Com_AllFuels_SEDS_2022_TBtus!$A$3:$A$53,0))))</f>
        <v>0</v>
      </c>
      <c r="Z25" s="75">
        <f t="array" ref="Z25">IF(ISERROR(index(Com_AllFuels_SEDS_2022_TBtus!$D$3:$D$53,match($B25&amp;Z$2,Com_AllFuels_SEDS_2022_TBtus!$B$3:$B$53&amp;Com_AllFuels_SEDS_2022_TBtus!$A$3:$A$53,0))),0,(index(Com_AllFuels_SEDS_2022_TBtus!$D$3:$D$53,match($B25&amp;Z$2,Com_AllFuels_SEDS_2022_TBtus!$B$3:$B$53&amp;Com_AllFuels_SEDS_2022_TBtus!$A$3:$A$53,0))))</f>
        <v>0</v>
      </c>
      <c r="AA25" s="75">
        <f t="array" ref="AA25">IF(ISERROR(index(Com_AllFuels_SEDS_2022_TBtus!$D$3:$D$53,match($B25&amp;AA$2,Com_AllFuels_SEDS_2022_TBtus!$B$3:$B$53&amp;Com_AllFuels_SEDS_2022_TBtus!$A$3:$A$53,0))),0,(index(Com_AllFuels_SEDS_2022_TBtus!$D$3:$D$53,match($B25&amp;AA$2,Com_AllFuels_SEDS_2022_TBtus!$B$3:$B$53&amp;Com_AllFuels_SEDS_2022_TBtus!$A$3:$A$53,0))))</f>
        <v>0</v>
      </c>
      <c r="AB25" s="75">
        <f t="array" ref="AB25">IF(ISERROR(index(Com_AllFuels_SEDS_2022_TBtus!$D$3:$D$53,match($B25&amp;AB$2,Com_AllFuels_SEDS_2022_TBtus!$B$3:$B$53&amp;Com_AllFuels_SEDS_2022_TBtus!$A$3:$A$53,0))),0,(index(Com_AllFuels_SEDS_2022_TBtus!$D$3:$D$53,match($B25&amp;AB$2,Com_AllFuels_SEDS_2022_TBtus!$B$3:$B$53&amp;Com_AllFuels_SEDS_2022_TBtus!$A$3:$A$53,0))))</f>
        <v>0</v>
      </c>
      <c r="AC25" s="75">
        <f t="array" ref="AC25">IF(ISERROR(index(Com_AllFuels_SEDS_2022_TBtus!$D$3:$D$53,match($B25&amp;AC$2,Com_AllFuels_SEDS_2022_TBtus!$B$3:$B$53&amp;Com_AllFuels_SEDS_2022_TBtus!$A$3:$A$53,0))),0,(index(Com_AllFuels_SEDS_2022_TBtus!$D$3:$D$53,match($B25&amp;AC$2,Com_AllFuels_SEDS_2022_TBtus!$B$3:$B$53&amp;Com_AllFuels_SEDS_2022_TBtus!$A$3:$A$53,0))))</f>
        <v>0</v>
      </c>
      <c r="AD25" s="75">
        <f t="array" ref="AD25">IF(ISERROR(index(Com_AllFuels_SEDS_2022_TBtus!$D$3:$D$53,match($B25&amp;AD$2,Com_AllFuels_SEDS_2022_TBtus!$B$3:$B$53&amp;Com_AllFuels_SEDS_2022_TBtus!$A$3:$A$53,0))),0,(index(Com_AllFuels_SEDS_2022_TBtus!$D$3:$D$53,match($B25&amp;AD$2,Com_AllFuels_SEDS_2022_TBtus!$B$3:$B$53&amp;Com_AllFuels_SEDS_2022_TBtus!$A$3:$A$53,0))))</f>
        <v>0</v>
      </c>
      <c r="AE25" s="75">
        <f t="array" ref="AE25">IF(ISERROR(index(Com_AllFuels_SEDS_2022_TBtus!$D$3:$D$53,match($B25&amp;AE$2,Com_AllFuels_SEDS_2022_TBtus!$B$3:$B$53&amp;Com_AllFuels_SEDS_2022_TBtus!$A$3:$A$53,0))),0,(index(Com_AllFuels_SEDS_2022_TBtus!$D$3:$D$53,match($B25&amp;AE$2,Com_AllFuels_SEDS_2022_TBtus!$B$3:$B$53&amp;Com_AllFuels_SEDS_2022_TBtus!$A$3:$A$53,0))))</f>
        <v>0</v>
      </c>
      <c r="AF25" s="75">
        <f t="array" ref="AF25">IF(ISERROR(index(Com_AllFuels_SEDS_2022_TBtus!$D$3:$D$53,match($B25&amp;AF$2,Com_AllFuels_SEDS_2022_TBtus!$B$3:$B$53&amp;Com_AllFuels_SEDS_2022_TBtus!$A$3:$A$53,0))),0,(index(Com_AllFuels_SEDS_2022_TBtus!$D$3:$D$53,match($B25&amp;AF$2,Com_AllFuels_SEDS_2022_TBtus!$B$3:$B$53&amp;Com_AllFuels_SEDS_2022_TBtus!$A$3:$A$53,0))))</f>
        <v>0</v>
      </c>
      <c r="AG25" s="75">
        <f t="array" ref="AG25">IF(ISERROR(index(Com_AllFuels_SEDS_2022_TBtus!$D$3:$D$53,match($B25&amp;AG$2,Com_AllFuels_SEDS_2022_TBtus!$B$3:$B$53&amp;Com_AllFuels_SEDS_2022_TBtus!$A$3:$A$53,0))),0,(index(Com_AllFuels_SEDS_2022_TBtus!$D$3:$D$53,match($B25&amp;AG$2,Com_AllFuels_SEDS_2022_TBtus!$B$3:$B$53&amp;Com_AllFuels_SEDS_2022_TBtus!$A$3:$A$53,0))))</f>
        <v>0</v>
      </c>
      <c r="AH25" s="75">
        <f t="array" ref="AH25">IF(ISERROR(index(Com_AllFuels_SEDS_2022_TBtus!$D$3:$D$53,match($B25&amp;AH$2,Com_AllFuels_SEDS_2022_TBtus!$B$3:$B$53&amp;Com_AllFuels_SEDS_2022_TBtus!$A$3:$A$53,0))),0,(index(Com_AllFuels_SEDS_2022_TBtus!$D$3:$D$53,match($B25&amp;AH$2,Com_AllFuels_SEDS_2022_TBtus!$B$3:$B$53&amp;Com_AllFuels_SEDS_2022_TBtus!$A$3:$A$53,0))))</f>
        <v>0</v>
      </c>
      <c r="AI25" s="75">
        <f t="array" ref="AI25">IF(ISERROR(index(Com_AllFuels_SEDS_2022_TBtus!$D$3:$D$53,match($B25&amp;AI$2,Com_AllFuels_SEDS_2022_TBtus!$B$3:$B$53&amp;Com_AllFuels_SEDS_2022_TBtus!$A$3:$A$53,0))),0,(index(Com_AllFuels_SEDS_2022_TBtus!$D$3:$D$53,match($B25&amp;AI$2,Com_AllFuels_SEDS_2022_TBtus!$B$3:$B$53&amp;Com_AllFuels_SEDS_2022_TBtus!$A$3:$A$53,0))))</f>
        <v>0</v>
      </c>
      <c r="AJ25" s="75">
        <f t="array" ref="AJ25">IF(ISERROR(index(Com_AllFuels_SEDS_2022_TBtus!$D$3:$D$53,match($B25&amp;AJ$2,Com_AllFuels_SEDS_2022_TBtus!$B$3:$B$53&amp;Com_AllFuels_SEDS_2022_TBtus!$A$3:$A$53,0))),0,(index(Com_AllFuels_SEDS_2022_TBtus!$D$3:$D$53,match($B25&amp;AJ$2,Com_AllFuels_SEDS_2022_TBtus!$B$3:$B$53&amp;Com_AllFuels_SEDS_2022_TBtus!$A$3:$A$53,0))))</f>
        <v>0</v>
      </c>
      <c r="AK25" s="75">
        <f t="array" ref="AK25">IF(ISERROR(index(Com_AllFuels_SEDS_2022_TBtus!$D$3:$D$53,match($B25&amp;AK$2,Com_AllFuels_SEDS_2022_TBtus!$B$3:$B$53&amp;Com_AllFuels_SEDS_2022_TBtus!$A$3:$A$53,0))),0,(index(Com_AllFuels_SEDS_2022_TBtus!$D$3:$D$53,match($B25&amp;AK$2,Com_AllFuels_SEDS_2022_TBtus!$B$3:$B$53&amp;Com_AllFuels_SEDS_2022_TBtus!$A$3:$A$53,0))))</f>
        <v>0</v>
      </c>
      <c r="AL25" s="75">
        <f t="array" ref="AL25">IF(ISERROR(index(Com_AllFuels_SEDS_2022_TBtus!$D$3:$D$53,match($B25&amp;AL$2,Com_AllFuels_SEDS_2022_TBtus!$B$3:$B$53&amp;Com_AllFuels_SEDS_2022_TBtus!$A$3:$A$53,0))),0,(index(Com_AllFuels_SEDS_2022_TBtus!$D$3:$D$53,match($B25&amp;AL$2,Com_AllFuels_SEDS_2022_TBtus!$B$3:$B$53&amp;Com_AllFuels_SEDS_2022_TBtus!$A$3:$A$53,0))))</f>
        <v>0</v>
      </c>
      <c r="AM25" s="75">
        <f t="array" ref="AM25">IF(ISERROR(index(Com_AllFuels_SEDS_2022_TBtus!$D$3:$D$53,match($B25&amp;AM$2,Com_AllFuels_SEDS_2022_TBtus!$B$3:$B$53&amp;Com_AllFuels_SEDS_2022_TBtus!$A$3:$A$53,0))),0,(index(Com_AllFuels_SEDS_2022_TBtus!$D$3:$D$53,match($B25&amp;AM$2,Com_AllFuels_SEDS_2022_TBtus!$B$3:$B$53&amp;Com_AllFuels_SEDS_2022_TBtus!$A$3:$A$53,0))))</f>
        <v>0</v>
      </c>
      <c r="AN25" s="75">
        <f t="array" ref="AN25">IF(ISERROR(index(Com_AllFuels_SEDS_2022_TBtus!$D$3:$D$53,match($B25&amp;AN$2,Com_AllFuels_SEDS_2022_TBtus!$B$3:$B$53&amp;Com_AllFuels_SEDS_2022_TBtus!$A$3:$A$53,0))),0,(index(Com_AllFuels_SEDS_2022_TBtus!$D$3:$D$53,match($B25&amp;AN$2,Com_AllFuels_SEDS_2022_TBtus!$B$3:$B$53&amp;Com_AllFuels_SEDS_2022_TBtus!$A$3:$A$53,0))))</f>
        <v>35</v>
      </c>
      <c r="AO25" s="75">
        <f t="array" ref="AO25">IF(ISERROR(index(Com_AllFuels_SEDS_2022_TBtus!$D$3:$D$53,match($B25&amp;AO$2,Com_AllFuels_SEDS_2022_TBtus!$B$3:$B$53&amp;Com_AllFuels_SEDS_2022_TBtus!$A$3:$A$53,0))),0,(index(Com_AllFuels_SEDS_2022_TBtus!$D$3:$D$53,match($B25&amp;AO$2,Com_AllFuels_SEDS_2022_TBtus!$B$3:$B$53&amp;Com_AllFuels_SEDS_2022_TBtus!$A$3:$A$53,0))))</f>
        <v>0</v>
      </c>
      <c r="AP25" s="75">
        <f t="array" ref="AP25">IF(ISERROR(index(Com_AllFuels_SEDS_2022_TBtus!$D$3:$D$53,match($B25&amp;AP$2,Com_AllFuels_SEDS_2022_TBtus!$B$3:$B$53&amp;Com_AllFuels_SEDS_2022_TBtus!$A$3:$A$53,0))),0,(index(Com_AllFuels_SEDS_2022_TBtus!$D$3:$D$53,match($B25&amp;AP$2,Com_AllFuels_SEDS_2022_TBtus!$B$3:$B$53&amp;Com_AllFuels_SEDS_2022_TBtus!$A$3:$A$53,0))))</f>
        <v>0</v>
      </c>
      <c r="AQ25" s="75">
        <f t="array" ref="AQ25">IF(ISERROR(index(Com_AllFuels_SEDS_2022_TBtus!$D$3:$D$53,match($B25&amp;AQ$2,Com_AllFuels_SEDS_2022_TBtus!$B$3:$B$53&amp;Com_AllFuels_SEDS_2022_TBtus!$A$3:$A$53,0))),0,(index(Com_AllFuels_SEDS_2022_TBtus!$D$3:$D$53,match($B25&amp;AQ$2,Com_AllFuels_SEDS_2022_TBtus!$B$3:$B$53&amp;Com_AllFuels_SEDS_2022_TBtus!$A$3:$A$53,0))))</f>
        <v>0</v>
      </c>
      <c r="AR25" s="75">
        <f t="array" ref="AR25">IF(ISERROR(index(Com_AllFuels_SEDS_2022_TBtus!$D$3:$D$53,match($B25&amp;AR$2,Com_AllFuels_SEDS_2022_TBtus!$B$3:$B$53&amp;Com_AllFuels_SEDS_2022_TBtus!$A$3:$A$53,0))),0,(index(Com_AllFuels_SEDS_2022_TBtus!$D$3:$D$53,match($B25&amp;AR$2,Com_AllFuels_SEDS_2022_TBtus!$B$3:$B$53&amp;Com_AllFuels_SEDS_2022_TBtus!$A$3:$A$53,0))))</f>
        <v>0</v>
      </c>
      <c r="AS25" s="75">
        <f t="array" ref="AS25">IF(ISERROR(index(Com_AllFuels_SEDS_2022_TBtus!$D$3:$D$53,match($B25&amp;AS$2,Com_AllFuels_SEDS_2022_TBtus!$B$3:$B$53&amp;Com_AllFuels_SEDS_2022_TBtus!$A$3:$A$53,0))),0,(index(Com_AllFuels_SEDS_2022_TBtus!$D$3:$D$53,match($B25&amp;AS$2,Com_AllFuels_SEDS_2022_TBtus!$B$3:$B$53&amp;Com_AllFuels_SEDS_2022_TBtus!$A$3:$A$53,0))))</f>
        <v>0</v>
      </c>
      <c r="AT25" s="75">
        <f t="array" ref="AT25">IF(ISERROR(index(Com_AllFuels_SEDS_2022_TBtus!$D$3:$D$53,match($B25&amp;AT$2,Com_AllFuels_SEDS_2022_TBtus!$B$3:$B$53&amp;Com_AllFuels_SEDS_2022_TBtus!$A$3:$A$53,0))),0,(index(Com_AllFuels_SEDS_2022_TBtus!$D$3:$D$53,match($B25&amp;AT$2,Com_AllFuels_SEDS_2022_TBtus!$B$3:$B$53&amp;Com_AllFuels_SEDS_2022_TBtus!$A$3:$A$53,0))))</f>
        <v>0</v>
      </c>
      <c r="AU25" s="75">
        <f t="array" ref="AU25">IF(ISERROR(index(Com_AllFuels_SEDS_2022_TBtus!$D$3:$D$53,match($B25&amp;AU$2,Com_AllFuels_SEDS_2022_TBtus!$B$3:$B$53&amp;Com_AllFuels_SEDS_2022_TBtus!$A$3:$A$53,0))),0,(index(Com_AllFuels_SEDS_2022_TBtus!$D$3:$D$53,match($B25&amp;AU$2,Com_AllFuels_SEDS_2022_TBtus!$B$3:$B$53&amp;Com_AllFuels_SEDS_2022_TBtus!$A$3:$A$53,0))))</f>
        <v>0</v>
      </c>
      <c r="AV25" s="75">
        <f t="array" ref="AV25">IF(ISERROR(index(Com_AllFuels_SEDS_2022_TBtus!$D$3:$D$53,match($B25&amp;AV$2,Com_AllFuels_SEDS_2022_TBtus!$B$3:$B$53&amp;Com_AllFuels_SEDS_2022_TBtus!$A$3:$A$53,0))),0,(index(Com_AllFuels_SEDS_2022_TBtus!$D$3:$D$53,match($B25&amp;AV$2,Com_AllFuels_SEDS_2022_TBtus!$B$3:$B$53&amp;Com_AllFuels_SEDS_2022_TBtus!$A$3:$A$53,0))))</f>
        <v>0</v>
      </c>
      <c r="AW25" s="75">
        <f t="array" ref="AW25">IF(ISERROR(index(Com_AllFuels_SEDS_2022_TBtus!$D$3:$D$53,match($B25&amp;AW$2,Com_AllFuels_SEDS_2022_TBtus!$B$3:$B$53&amp;Com_AllFuels_SEDS_2022_TBtus!$A$3:$A$53,0))),0,(index(Com_AllFuels_SEDS_2022_TBtus!$D$3:$D$53,match($B25&amp;AW$2,Com_AllFuels_SEDS_2022_TBtus!$B$3:$B$53&amp;Com_AllFuels_SEDS_2022_TBtus!$A$3:$A$53,0))))</f>
        <v>0</v>
      </c>
      <c r="AX25" s="75">
        <f t="array" ref="AX25">IF(ISERROR(index(Com_AllFuels_SEDS_2022_TBtus!$D$3:$D$53,match($B25&amp;AX$2,Com_AllFuels_SEDS_2022_TBtus!$B$3:$B$53&amp;Com_AllFuels_SEDS_2022_TBtus!$A$3:$A$53,0))),0,(index(Com_AllFuels_SEDS_2022_TBtus!$D$3:$D$53,match($B25&amp;AX$2,Com_AllFuels_SEDS_2022_TBtus!$B$3:$B$53&amp;Com_AllFuels_SEDS_2022_TBtus!$A$3:$A$53,0))))</f>
        <v>68.7</v>
      </c>
      <c r="AY25" s="75">
        <f t="array" ref="AY25">IF(ISERROR(index(Com_AllFuels_SEDS_2022_TBtus!$D$3:$D$53,match($B25&amp;AY$2,Com_AllFuels_SEDS_2022_TBtus!$B$3:$B$53&amp;Com_AllFuels_SEDS_2022_TBtus!$A$3:$A$53,0))),0,(index(Com_AllFuels_SEDS_2022_TBtus!$D$3:$D$53,match($B25&amp;AY$2,Com_AllFuels_SEDS_2022_TBtus!$B$3:$B$53&amp;Com_AllFuels_SEDS_2022_TBtus!$A$3:$A$53,0))))</f>
        <v>0</v>
      </c>
      <c r="AZ25" s="75">
        <f t="array" ref="AZ25">IF(ISERROR(index(Com_AllFuels_SEDS_2022_TBtus!$D$3:$D$53,match($B25&amp;AZ$2,Com_AllFuels_SEDS_2022_TBtus!$B$3:$B$53&amp;Com_AllFuels_SEDS_2022_TBtus!$A$3:$A$53,0))),0,(index(Com_AllFuels_SEDS_2022_TBtus!$D$3:$D$53,match($B25&amp;AZ$2,Com_AllFuels_SEDS_2022_TBtus!$B$3:$B$53&amp;Com_AllFuels_SEDS_2022_TBtus!$A$3:$A$53,0))))</f>
        <v>0</v>
      </c>
      <c r="BA25" s="75">
        <f t="array" ref="BA25">IF(ISERROR(index(Com_AllFuels_SEDS_2022_TBtus!$D$3:$D$53,match($B25&amp;BA$2,Com_AllFuels_SEDS_2022_TBtus!$B$3:$B$53&amp;Com_AllFuels_SEDS_2022_TBtus!$A$3:$A$53,0))),0,(index(Com_AllFuels_SEDS_2022_TBtus!$D$3:$D$53,match($B25&amp;BA$2,Com_AllFuels_SEDS_2022_TBtus!$B$3:$B$53&amp;Com_AllFuels_SEDS_2022_TBtus!$A$3:$A$53,0))))</f>
        <v>0</v>
      </c>
      <c r="BB25" s="74">
        <f t="shared" si="3"/>
        <v>376.8</v>
      </c>
    </row>
    <row r="26" ht="15.75" customHeight="1">
      <c r="B26" s="52" t="s">
        <v>4207</v>
      </c>
      <c r="C26" s="74">
        <f t="shared" ref="C26:BA26" si="4">sum(C17:C25)</f>
        <v>26.5</v>
      </c>
      <c r="D26" s="74">
        <f t="shared" si="4"/>
        <v>15.8</v>
      </c>
      <c r="E26" s="74">
        <f t="shared" si="4"/>
        <v>36.8</v>
      </c>
      <c r="F26" s="74">
        <f t="shared" si="4"/>
        <v>56.2</v>
      </c>
      <c r="G26" s="74">
        <f t="shared" si="4"/>
        <v>255.2</v>
      </c>
      <c r="H26" s="74">
        <f t="shared" si="4"/>
        <v>64.6</v>
      </c>
      <c r="I26" s="74">
        <f t="shared" si="4"/>
        <v>56.7</v>
      </c>
      <c r="J26" s="74">
        <f t="shared" si="4"/>
        <v>11.3</v>
      </c>
      <c r="K26" s="74">
        <f t="shared" si="4"/>
        <v>16</v>
      </c>
      <c r="L26" s="74">
        <f t="shared" si="4"/>
        <v>64.8</v>
      </c>
      <c r="M26" s="74">
        <f t="shared" si="4"/>
        <v>56.9</v>
      </c>
      <c r="N26" s="74">
        <f t="shared" si="4"/>
        <v>2.1</v>
      </c>
      <c r="O26" s="74">
        <f t="shared" si="4"/>
        <v>23.8</v>
      </c>
      <c r="P26" s="74">
        <f t="shared" si="4"/>
        <v>255.2</v>
      </c>
      <c r="Q26" s="74">
        <f t="shared" si="4"/>
        <v>100.7</v>
      </c>
      <c r="R26" s="74">
        <f t="shared" si="4"/>
        <v>61.9</v>
      </c>
      <c r="S26" s="74">
        <f t="shared" si="4"/>
        <v>47.5</v>
      </c>
      <c r="T26" s="74">
        <f t="shared" si="4"/>
        <v>40.5</v>
      </c>
      <c r="U26" s="74">
        <f t="shared" si="4"/>
        <v>32.4</v>
      </c>
      <c r="V26" s="74">
        <f t="shared" si="4"/>
        <v>9.8</v>
      </c>
      <c r="W26" s="74">
        <f t="shared" si="4"/>
        <v>76.8</v>
      </c>
      <c r="X26" s="74">
        <f t="shared" si="4"/>
        <v>120.2</v>
      </c>
      <c r="Y26" s="74">
        <f t="shared" si="4"/>
        <v>189.7</v>
      </c>
      <c r="Z26" s="74">
        <f t="shared" si="4"/>
        <v>125.6</v>
      </c>
      <c r="AA26" s="74">
        <f t="shared" si="4"/>
        <v>20.7</v>
      </c>
      <c r="AB26" s="74">
        <f t="shared" si="4"/>
        <v>67.4</v>
      </c>
      <c r="AC26" s="74">
        <f t="shared" si="4"/>
        <v>28.5</v>
      </c>
      <c r="AD26" s="74">
        <f t="shared" si="4"/>
        <v>34.6</v>
      </c>
      <c r="AE26" s="74">
        <f t="shared" si="4"/>
        <v>34.2</v>
      </c>
      <c r="AF26" s="74">
        <f t="shared" si="4"/>
        <v>9.7</v>
      </c>
      <c r="AG26" s="74">
        <f t="shared" si="4"/>
        <v>160</v>
      </c>
      <c r="AH26" s="74">
        <f t="shared" si="4"/>
        <v>28.6</v>
      </c>
      <c r="AI26" s="74">
        <f t="shared" si="4"/>
        <v>313.6</v>
      </c>
      <c r="AJ26" s="74">
        <f t="shared" si="4"/>
        <v>60.6</v>
      </c>
      <c r="AK26" s="74">
        <f t="shared" si="4"/>
        <v>18.1</v>
      </c>
      <c r="AL26" s="74">
        <f t="shared" si="4"/>
        <v>194.4</v>
      </c>
      <c r="AM26" s="74">
        <f t="shared" si="4"/>
        <v>46.9</v>
      </c>
      <c r="AN26" s="74">
        <f t="shared" si="4"/>
        <v>35</v>
      </c>
      <c r="AO26" s="74">
        <f t="shared" si="4"/>
        <v>173.2</v>
      </c>
      <c r="AP26" s="74">
        <f t="shared" si="4"/>
        <v>11.5</v>
      </c>
      <c r="AQ26" s="74">
        <f t="shared" si="4"/>
        <v>26.8</v>
      </c>
      <c r="AR26" s="74">
        <f t="shared" si="4"/>
        <v>14.2</v>
      </c>
      <c r="AS26" s="74">
        <f t="shared" si="4"/>
        <v>63</v>
      </c>
      <c r="AT26" s="74">
        <f t="shared" si="4"/>
        <v>200.4</v>
      </c>
      <c r="AU26" s="74">
        <f t="shared" si="4"/>
        <v>49.8</v>
      </c>
      <c r="AV26" s="74">
        <f t="shared" si="4"/>
        <v>7.7</v>
      </c>
      <c r="AW26" s="74">
        <f t="shared" si="4"/>
        <v>78.6</v>
      </c>
      <c r="AX26" s="74">
        <f t="shared" si="4"/>
        <v>68.7</v>
      </c>
      <c r="AY26" s="74">
        <f t="shared" si="4"/>
        <v>25.7</v>
      </c>
      <c r="AZ26" s="74">
        <f t="shared" si="4"/>
        <v>122.5</v>
      </c>
      <c r="BA26" s="74">
        <f t="shared" si="4"/>
        <v>13.7</v>
      </c>
      <c r="BB26" s="74">
        <f t="shared" si="3"/>
        <v>3655.1</v>
      </c>
    </row>
    <row r="27" ht="15.75" customHeight="1"/>
    <row r="28" ht="15.75" customHeight="1">
      <c r="A28" s="77" t="s">
        <v>4241</v>
      </c>
    </row>
    <row r="29" ht="15.75" customHeight="1">
      <c r="A29" s="77" t="s">
        <v>4229</v>
      </c>
      <c r="B29" s="78" t="s">
        <v>48</v>
      </c>
      <c r="C29" s="79" t="s">
        <v>101</v>
      </c>
      <c r="D29" s="79" t="s">
        <v>171</v>
      </c>
      <c r="E29" s="79" t="s">
        <v>201</v>
      </c>
      <c r="F29" s="79" t="s">
        <v>220</v>
      </c>
      <c r="G29" s="79" t="s">
        <v>279</v>
      </c>
      <c r="H29" s="79" t="s">
        <v>339</v>
      </c>
      <c r="I29" s="79" t="s">
        <v>395</v>
      </c>
      <c r="J29" s="79" t="s">
        <v>405</v>
      </c>
      <c r="K29" s="79" t="s">
        <v>408</v>
      </c>
      <c r="L29" s="79" t="s">
        <v>410</v>
      </c>
      <c r="M29" s="79" t="s">
        <v>461</v>
      </c>
      <c r="N29" s="79" t="s">
        <v>570</v>
      </c>
      <c r="O29" s="79" t="s">
        <v>576</v>
      </c>
      <c r="P29" s="79" t="s">
        <v>608</v>
      </c>
      <c r="Q29" s="79" t="s">
        <v>663</v>
      </c>
      <c r="R29" s="79" t="s">
        <v>705</v>
      </c>
      <c r="S29" s="79" t="s">
        <v>750</v>
      </c>
      <c r="T29" s="79" t="s">
        <v>818</v>
      </c>
      <c r="U29" s="79" t="s">
        <v>875</v>
      </c>
      <c r="V29" s="79" t="s">
        <v>923</v>
      </c>
      <c r="W29" s="79" t="s">
        <v>934</v>
      </c>
      <c r="X29" s="79" t="s">
        <v>952</v>
      </c>
      <c r="Y29" s="79" t="s">
        <v>963</v>
      </c>
      <c r="Z29" s="79" t="s">
        <v>1026</v>
      </c>
      <c r="AA29" s="79" t="s">
        <v>255</v>
      </c>
      <c r="AB29" s="79" t="s">
        <v>1121</v>
      </c>
      <c r="AC29" s="79" t="s">
        <v>1162</v>
      </c>
      <c r="AD29" s="79" t="s">
        <v>1198</v>
      </c>
      <c r="AE29" s="79" t="s">
        <v>256</v>
      </c>
      <c r="AF29" s="79" t="s">
        <v>1251</v>
      </c>
      <c r="AG29" s="79" t="s">
        <v>1259</v>
      </c>
      <c r="AH29" s="79" t="s">
        <v>1271</v>
      </c>
      <c r="AI29" s="79" t="s">
        <v>1296</v>
      </c>
      <c r="AJ29" s="79" t="s">
        <v>1326</v>
      </c>
      <c r="AK29" s="79" t="s">
        <v>1390</v>
      </c>
      <c r="AL29" s="79" t="s">
        <v>683</v>
      </c>
      <c r="AM29" s="79" t="s">
        <v>1457</v>
      </c>
      <c r="AN29" s="79" t="s">
        <v>1144</v>
      </c>
      <c r="AO29" s="79" t="s">
        <v>1514</v>
      </c>
      <c r="AP29" s="79" t="s">
        <v>1546</v>
      </c>
      <c r="AQ29" s="79" t="s">
        <v>1550</v>
      </c>
      <c r="AR29" s="79" t="s">
        <v>1578</v>
      </c>
      <c r="AS29" s="79" t="s">
        <v>1616</v>
      </c>
      <c r="AT29" s="79" t="s">
        <v>1159</v>
      </c>
      <c r="AU29" s="79" t="s">
        <v>1802</v>
      </c>
      <c r="AV29" s="79" t="s">
        <v>1819</v>
      </c>
      <c r="AW29" s="79" t="s">
        <v>1828</v>
      </c>
      <c r="AX29" s="79" t="s">
        <v>167</v>
      </c>
      <c r="AY29" s="79" t="s">
        <v>1924</v>
      </c>
      <c r="AZ29" s="79" t="s">
        <v>1942</v>
      </c>
      <c r="BA29" s="79" t="s">
        <v>1323</v>
      </c>
      <c r="BB29" s="78" t="s">
        <v>4207</v>
      </c>
    </row>
    <row r="30" ht="15.75" customHeight="1">
      <c r="A30" s="52" t="s">
        <v>4230</v>
      </c>
      <c r="B30" s="74">
        <v>1.0</v>
      </c>
      <c r="C30" s="75">
        <f t="array" ref="C30">IF(ISERROR(index(Res_AllFuels_SEDS_2022_TBtus!$P$3:$P$53,match($B30&amp;C$2,Res_AllFuels_SEDS_2022_TBtus!$B$3:$B$53&amp;Res_AllFuels_SEDS_2022_TBtus!$A$3:$A$53,0))),0,(index(Res_AllFuels_SEDS_2022_TBtus!$P$3:$P$53,match($B30&amp;C$2,Res_AllFuels_SEDS_2022_TBtus!$B$3:$B$53&amp;Res_AllFuels_SEDS_2022_TBtus!$A$3:$A$53,0))))</f>
        <v>0</v>
      </c>
      <c r="D30" s="75">
        <f t="array" ref="D30">IF(ISERROR(index(Res_AllFuels_SEDS_2022_TBtus!$P$3:$P$53,match($B30&amp;D$2,Res_AllFuels_SEDS_2022_TBtus!$B$3:$B$53&amp;Res_AllFuels_SEDS_2022_TBtus!$A$3:$A$53,0))),0,(index(Res_AllFuels_SEDS_2022_TBtus!$P$3:$P$53,match($B30&amp;D$2,Res_AllFuels_SEDS_2022_TBtus!$B$3:$B$53&amp;Res_AllFuels_SEDS_2022_TBtus!$A$3:$A$53,0))))</f>
        <v>0</v>
      </c>
      <c r="E30" s="75">
        <f t="array" ref="E30">IF(ISERROR(index(Res_AllFuels_SEDS_2022_TBtus!$P$3:$P$53,match($B30&amp;E$2,Res_AllFuels_SEDS_2022_TBtus!$B$3:$B$53&amp;Res_AllFuels_SEDS_2022_TBtus!$A$3:$A$53,0))),0,(index(Res_AllFuels_SEDS_2022_TBtus!$P$3:$P$53,match($B30&amp;E$2,Res_AllFuels_SEDS_2022_TBtus!$B$3:$B$53&amp;Res_AllFuels_SEDS_2022_TBtus!$A$3:$A$53,0))))</f>
        <v>0</v>
      </c>
      <c r="F30" s="75">
        <f t="array" ref="F30">IF(ISERROR(index(Res_AllFuels_SEDS_2022_TBtus!$P$3:$P$53,match($B30&amp;F$2,Res_AllFuels_SEDS_2022_TBtus!$B$3:$B$53&amp;Res_AllFuels_SEDS_2022_TBtus!$A$3:$A$53,0))),0,(index(Res_AllFuels_SEDS_2022_TBtus!$P$3:$P$53,match($B30&amp;F$2,Res_AllFuels_SEDS_2022_TBtus!$B$3:$B$53&amp;Res_AllFuels_SEDS_2022_TBtus!$A$3:$A$53,0))))</f>
        <v>0</v>
      </c>
      <c r="G30" s="75">
        <f t="array" ref="G30">IF(ISERROR(index(Res_AllFuels_SEDS_2022_TBtus!$P$3:$P$53,match($B30&amp;G$2,Res_AllFuels_SEDS_2022_TBtus!$B$3:$B$53&amp;Res_AllFuels_SEDS_2022_TBtus!$A$3:$A$53,0))),0,(index(Res_AllFuels_SEDS_2022_TBtus!$P$3:$P$53,match($B30&amp;G$2,Res_AllFuels_SEDS_2022_TBtus!$B$3:$B$53&amp;Res_AllFuels_SEDS_2022_TBtus!$A$3:$A$53,0))))</f>
        <v>0</v>
      </c>
      <c r="H30" s="75">
        <f t="array" ref="H30">IF(ISERROR(index(Res_AllFuels_SEDS_2022_TBtus!$P$3:$P$53,match($B30&amp;H$2,Res_AllFuels_SEDS_2022_TBtus!$B$3:$B$53&amp;Res_AllFuels_SEDS_2022_TBtus!$A$3:$A$53,0))),0,(index(Res_AllFuels_SEDS_2022_TBtus!$P$3:$P$53,match($B30&amp;H$2,Res_AllFuels_SEDS_2022_TBtus!$B$3:$B$53&amp;Res_AllFuels_SEDS_2022_TBtus!$A$3:$A$53,0))))</f>
        <v>0</v>
      </c>
      <c r="I30" s="75">
        <f t="array" ref="I30">IF(ISERROR(index(Res_AllFuels_SEDS_2022_TBtus!$P$3:$P$53,match($B30&amp;I$2,Res_AllFuels_SEDS_2022_TBtus!$B$3:$B$53&amp;Res_AllFuels_SEDS_2022_TBtus!$A$3:$A$53,0))),0,(index(Res_AllFuels_SEDS_2022_TBtus!$P$3:$P$53,match($B30&amp;I$2,Res_AllFuels_SEDS_2022_TBtus!$B$3:$B$53&amp;Res_AllFuels_SEDS_2022_TBtus!$A$3:$A$53,0))))</f>
        <v>53</v>
      </c>
      <c r="J30" s="75">
        <f t="array" ref="J30">IF(ISERROR(index(Res_AllFuels_SEDS_2022_TBtus!$P$3:$P$53,match($B30&amp;J$2,Res_AllFuels_SEDS_2022_TBtus!$B$3:$B$53&amp;Res_AllFuels_SEDS_2022_TBtus!$A$3:$A$53,0))),0,(index(Res_AllFuels_SEDS_2022_TBtus!$P$3:$P$53,match($B30&amp;J$2,Res_AllFuels_SEDS_2022_TBtus!$B$3:$B$53&amp;Res_AllFuels_SEDS_2022_TBtus!$A$3:$A$53,0))))</f>
        <v>0</v>
      </c>
      <c r="K30" s="75">
        <f t="array" ref="K30">IF(ISERROR(index(Res_AllFuels_SEDS_2022_TBtus!$P$3:$P$53,match($B30&amp;K$2,Res_AllFuels_SEDS_2022_TBtus!$B$3:$B$53&amp;Res_AllFuels_SEDS_2022_TBtus!$A$3:$A$53,0))),0,(index(Res_AllFuels_SEDS_2022_TBtus!$P$3:$P$53,match($B30&amp;K$2,Res_AllFuels_SEDS_2022_TBtus!$B$3:$B$53&amp;Res_AllFuels_SEDS_2022_TBtus!$A$3:$A$53,0))))</f>
        <v>0</v>
      </c>
      <c r="L30" s="75">
        <f t="array" ref="L30">IF(ISERROR(index(Res_AllFuels_SEDS_2022_TBtus!$P$3:$P$53,match($B30&amp;L$2,Res_AllFuels_SEDS_2022_TBtus!$B$3:$B$53&amp;Res_AllFuels_SEDS_2022_TBtus!$A$3:$A$53,0))),0,(index(Res_AllFuels_SEDS_2022_TBtus!$P$3:$P$53,match($B30&amp;L$2,Res_AllFuels_SEDS_2022_TBtus!$B$3:$B$53&amp;Res_AllFuels_SEDS_2022_TBtus!$A$3:$A$53,0))))</f>
        <v>0</v>
      </c>
      <c r="M30" s="75">
        <f t="array" ref="M30">IF(ISERROR(index(Res_AllFuels_SEDS_2022_TBtus!$P$3:$P$53,match($B30&amp;M$2,Res_AllFuels_SEDS_2022_TBtus!$B$3:$B$53&amp;Res_AllFuels_SEDS_2022_TBtus!$A$3:$A$53,0))),0,(index(Res_AllFuels_SEDS_2022_TBtus!$P$3:$P$53,match($B30&amp;M$2,Res_AllFuels_SEDS_2022_TBtus!$B$3:$B$53&amp;Res_AllFuels_SEDS_2022_TBtus!$A$3:$A$53,0))))</f>
        <v>0</v>
      </c>
      <c r="N30" s="75">
        <f t="array" ref="N30">IF(ISERROR(index(Res_AllFuels_SEDS_2022_TBtus!$P$3:$P$53,match($B30&amp;N$2,Res_AllFuels_SEDS_2022_TBtus!$B$3:$B$53&amp;Res_AllFuels_SEDS_2022_TBtus!$A$3:$A$53,0))),0,(index(Res_AllFuels_SEDS_2022_TBtus!$P$3:$P$53,match($B30&amp;N$2,Res_AllFuels_SEDS_2022_TBtus!$B$3:$B$53&amp;Res_AllFuels_SEDS_2022_TBtus!$A$3:$A$53,0))))</f>
        <v>0</v>
      </c>
      <c r="O30" s="75">
        <f t="array" ref="O30">IF(ISERROR(index(Res_AllFuels_SEDS_2022_TBtus!$P$3:$P$53,match($B30&amp;O$2,Res_AllFuels_SEDS_2022_TBtus!$B$3:$B$53&amp;Res_AllFuels_SEDS_2022_TBtus!$A$3:$A$53,0))),0,(index(Res_AllFuels_SEDS_2022_TBtus!$P$3:$P$53,match($B30&amp;O$2,Res_AllFuels_SEDS_2022_TBtus!$B$3:$B$53&amp;Res_AllFuels_SEDS_2022_TBtus!$A$3:$A$53,0))))</f>
        <v>0</v>
      </c>
      <c r="P30" s="75">
        <f t="array" ref="P30">IF(ISERROR(index(Res_AllFuels_SEDS_2022_TBtus!$P$3:$P$53,match($B30&amp;P$2,Res_AllFuels_SEDS_2022_TBtus!$B$3:$B$53&amp;Res_AllFuels_SEDS_2022_TBtus!$A$3:$A$53,0))),0,(index(Res_AllFuels_SEDS_2022_TBtus!$P$3:$P$53,match($B30&amp;P$2,Res_AllFuels_SEDS_2022_TBtus!$B$3:$B$53&amp;Res_AllFuels_SEDS_2022_TBtus!$A$3:$A$53,0))))</f>
        <v>0</v>
      </c>
      <c r="Q30" s="75">
        <f t="array" ref="Q30">IF(ISERROR(index(Res_AllFuels_SEDS_2022_TBtus!$P$3:$P$53,match($B30&amp;Q$2,Res_AllFuels_SEDS_2022_TBtus!$B$3:$B$53&amp;Res_AllFuels_SEDS_2022_TBtus!$A$3:$A$53,0))),0,(index(Res_AllFuels_SEDS_2022_TBtus!$P$3:$P$53,match($B30&amp;Q$2,Res_AllFuels_SEDS_2022_TBtus!$B$3:$B$53&amp;Res_AllFuels_SEDS_2022_TBtus!$A$3:$A$53,0))))</f>
        <v>0</v>
      </c>
      <c r="R30" s="75">
        <f t="array" ref="R30">IF(ISERROR(index(Res_AllFuels_SEDS_2022_TBtus!$P$3:$P$53,match($B30&amp;R$2,Res_AllFuels_SEDS_2022_TBtus!$B$3:$B$53&amp;Res_AllFuels_SEDS_2022_TBtus!$A$3:$A$53,0))),0,(index(Res_AllFuels_SEDS_2022_TBtus!$P$3:$P$53,match($B30&amp;R$2,Res_AllFuels_SEDS_2022_TBtus!$B$3:$B$53&amp;Res_AllFuels_SEDS_2022_TBtus!$A$3:$A$53,0))))</f>
        <v>0</v>
      </c>
      <c r="S30" s="75">
        <f t="array" ref="S30">IF(ISERROR(index(Res_AllFuels_SEDS_2022_TBtus!$P$3:$P$53,match($B30&amp;S$2,Res_AllFuels_SEDS_2022_TBtus!$B$3:$B$53&amp;Res_AllFuels_SEDS_2022_TBtus!$A$3:$A$53,0))),0,(index(Res_AllFuels_SEDS_2022_TBtus!$P$3:$P$53,match($B30&amp;S$2,Res_AllFuels_SEDS_2022_TBtus!$B$3:$B$53&amp;Res_AllFuels_SEDS_2022_TBtus!$A$3:$A$53,0))))</f>
        <v>0</v>
      </c>
      <c r="T30" s="75">
        <f t="array" ref="T30">IF(ISERROR(index(Res_AllFuels_SEDS_2022_TBtus!$P$3:$P$53,match($B30&amp;T$2,Res_AllFuels_SEDS_2022_TBtus!$B$3:$B$53&amp;Res_AllFuels_SEDS_2022_TBtus!$A$3:$A$53,0))),0,(index(Res_AllFuels_SEDS_2022_TBtus!$P$3:$P$53,match($B30&amp;T$2,Res_AllFuels_SEDS_2022_TBtus!$B$3:$B$53&amp;Res_AllFuels_SEDS_2022_TBtus!$A$3:$A$53,0))))</f>
        <v>0</v>
      </c>
      <c r="U30" s="75">
        <f t="array" ref="U30">IF(ISERROR(index(Res_AllFuels_SEDS_2022_TBtus!$P$3:$P$53,match($B30&amp;U$2,Res_AllFuels_SEDS_2022_TBtus!$B$3:$B$53&amp;Res_AllFuels_SEDS_2022_TBtus!$A$3:$A$53,0))),0,(index(Res_AllFuels_SEDS_2022_TBtus!$P$3:$P$53,match($B30&amp;U$2,Res_AllFuels_SEDS_2022_TBtus!$B$3:$B$53&amp;Res_AllFuels_SEDS_2022_TBtus!$A$3:$A$53,0))))</f>
        <v>0</v>
      </c>
      <c r="V30" s="75">
        <f t="array" ref="V30">IF(ISERROR(index(Res_AllFuels_SEDS_2022_TBtus!$P$3:$P$53,match($B30&amp;V$2,Res_AllFuels_SEDS_2022_TBtus!$B$3:$B$53&amp;Res_AllFuels_SEDS_2022_TBtus!$A$3:$A$53,0))),0,(index(Res_AllFuels_SEDS_2022_TBtus!$P$3:$P$53,match($B30&amp;V$2,Res_AllFuels_SEDS_2022_TBtus!$B$3:$B$53&amp;Res_AllFuels_SEDS_2022_TBtus!$A$3:$A$53,0))))</f>
        <v>26.8</v>
      </c>
      <c r="W30" s="75">
        <f t="array" ref="W30">IF(ISERROR(index(Res_AllFuels_SEDS_2022_TBtus!$P$3:$P$53,match($B30&amp;W$2,Res_AllFuels_SEDS_2022_TBtus!$B$3:$B$53&amp;Res_AllFuels_SEDS_2022_TBtus!$A$3:$A$53,0))),0,(index(Res_AllFuels_SEDS_2022_TBtus!$P$3:$P$53,match($B30&amp;W$2,Res_AllFuels_SEDS_2022_TBtus!$B$3:$B$53&amp;Res_AllFuels_SEDS_2022_TBtus!$A$3:$A$53,0))))</f>
        <v>0</v>
      </c>
      <c r="X30" s="75">
        <f t="array" ref="X30">IF(ISERROR(index(Res_AllFuels_SEDS_2022_TBtus!$P$3:$P$53,match($B30&amp;X$2,Res_AllFuels_SEDS_2022_TBtus!$B$3:$B$53&amp;Res_AllFuels_SEDS_2022_TBtus!$A$3:$A$53,0))),0,(index(Res_AllFuels_SEDS_2022_TBtus!$P$3:$P$53,match($B30&amp;X$2,Res_AllFuels_SEDS_2022_TBtus!$B$3:$B$53&amp;Res_AllFuels_SEDS_2022_TBtus!$A$3:$A$53,0))))</f>
        <v>70.7</v>
      </c>
      <c r="Y30" s="75">
        <f t="array" ref="Y30">IF(ISERROR(index(Res_AllFuels_SEDS_2022_TBtus!$P$3:$P$53,match($B30&amp;Y$2,Res_AllFuels_SEDS_2022_TBtus!$B$3:$B$53&amp;Res_AllFuels_SEDS_2022_TBtus!$A$3:$A$53,0))),0,(index(Res_AllFuels_SEDS_2022_TBtus!$P$3:$P$53,match($B30&amp;Y$2,Res_AllFuels_SEDS_2022_TBtus!$B$3:$B$53&amp;Res_AllFuels_SEDS_2022_TBtus!$A$3:$A$53,0))))</f>
        <v>0</v>
      </c>
      <c r="Z30" s="75">
        <f t="array" ref="Z30">IF(ISERROR(index(Res_AllFuels_SEDS_2022_TBtus!$P$3:$P$53,match($B30&amp;Z$2,Res_AllFuels_SEDS_2022_TBtus!$B$3:$B$53&amp;Res_AllFuels_SEDS_2022_TBtus!$A$3:$A$53,0))),0,(index(Res_AllFuels_SEDS_2022_TBtus!$P$3:$P$53,match($B30&amp;Z$2,Res_AllFuels_SEDS_2022_TBtus!$B$3:$B$53&amp;Res_AllFuels_SEDS_2022_TBtus!$A$3:$A$53,0))))</f>
        <v>0</v>
      </c>
      <c r="AA30" s="75">
        <f t="array" ref="AA30">IF(ISERROR(index(Res_AllFuels_SEDS_2022_TBtus!$P$3:$P$53,match($B30&amp;AA$2,Res_AllFuels_SEDS_2022_TBtus!$B$3:$B$53&amp;Res_AllFuels_SEDS_2022_TBtus!$A$3:$A$53,0))),0,(index(Res_AllFuels_SEDS_2022_TBtus!$P$3:$P$53,match($B30&amp;AA$2,Res_AllFuels_SEDS_2022_TBtus!$B$3:$B$53&amp;Res_AllFuels_SEDS_2022_TBtus!$A$3:$A$53,0))))</f>
        <v>0</v>
      </c>
      <c r="AB30" s="75">
        <f t="array" ref="AB30">IF(ISERROR(index(Res_AllFuels_SEDS_2022_TBtus!$P$3:$P$53,match($B30&amp;AB$2,Res_AllFuels_SEDS_2022_TBtus!$B$3:$B$53&amp;Res_AllFuels_SEDS_2022_TBtus!$A$3:$A$53,0))),0,(index(Res_AllFuels_SEDS_2022_TBtus!$P$3:$P$53,match($B30&amp;AB$2,Res_AllFuels_SEDS_2022_TBtus!$B$3:$B$53&amp;Res_AllFuels_SEDS_2022_TBtus!$A$3:$A$53,0))))</f>
        <v>0</v>
      </c>
      <c r="AC30" s="75">
        <f t="array" ref="AC30">IF(ISERROR(index(Res_AllFuels_SEDS_2022_TBtus!$P$3:$P$53,match($B30&amp;AC$2,Res_AllFuels_SEDS_2022_TBtus!$B$3:$B$53&amp;Res_AllFuels_SEDS_2022_TBtus!$A$3:$A$53,0))),0,(index(Res_AllFuels_SEDS_2022_TBtus!$P$3:$P$53,match($B30&amp;AC$2,Res_AllFuels_SEDS_2022_TBtus!$B$3:$B$53&amp;Res_AllFuels_SEDS_2022_TBtus!$A$3:$A$53,0))))</f>
        <v>0</v>
      </c>
      <c r="AD30" s="75">
        <f t="array" ref="AD30">IF(ISERROR(index(Res_AllFuels_SEDS_2022_TBtus!$P$3:$P$53,match($B30&amp;AD$2,Res_AllFuels_SEDS_2022_TBtus!$B$3:$B$53&amp;Res_AllFuels_SEDS_2022_TBtus!$A$3:$A$53,0))),0,(index(Res_AllFuels_SEDS_2022_TBtus!$P$3:$P$53,match($B30&amp;AD$2,Res_AllFuels_SEDS_2022_TBtus!$B$3:$B$53&amp;Res_AllFuels_SEDS_2022_TBtus!$A$3:$A$53,0))))</f>
        <v>0</v>
      </c>
      <c r="AE30" s="75">
        <f t="array" ref="AE30">IF(ISERROR(index(Res_AllFuels_SEDS_2022_TBtus!$P$3:$P$53,match($B30&amp;AE$2,Res_AllFuels_SEDS_2022_TBtus!$B$3:$B$53&amp;Res_AllFuels_SEDS_2022_TBtus!$A$3:$A$53,0))),0,(index(Res_AllFuels_SEDS_2022_TBtus!$P$3:$P$53,match($B30&amp;AE$2,Res_AllFuels_SEDS_2022_TBtus!$B$3:$B$53&amp;Res_AllFuels_SEDS_2022_TBtus!$A$3:$A$53,0))))</f>
        <v>0</v>
      </c>
      <c r="AF30" s="75">
        <f t="array" ref="AF30">IF(ISERROR(index(Res_AllFuels_SEDS_2022_TBtus!$P$3:$P$53,match($B30&amp;AF$2,Res_AllFuels_SEDS_2022_TBtus!$B$3:$B$53&amp;Res_AllFuels_SEDS_2022_TBtus!$A$3:$A$53,0))),0,(index(Res_AllFuels_SEDS_2022_TBtus!$P$3:$P$53,match($B30&amp;AF$2,Res_AllFuels_SEDS_2022_TBtus!$B$3:$B$53&amp;Res_AllFuels_SEDS_2022_TBtus!$A$3:$A$53,0))))</f>
        <v>19.1</v>
      </c>
      <c r="AG30" s="75">
        <f t="array" ref="AG30">IF(ISERROR(index(Res_AllFuels_SEDS_2022_TBtus!$P$3:$P$53,match($B30&amp;AG$2,Res_AllFuels_SEDS_2022_TBtus!$B$3:$B$53&amp;Res_AllFuels_SEDS_2022_TBtus!$A$3:$A$53,0))),0,(index(Res_AllFuels_SEDS_2022_TBtus!$P$3:$P$53,match($B30&amp;AG$2,Res_AllFuels_SEDS_2022_TBtus!$B$3:$B$53&amp;Res_AllFuels_SEDS_2022_TBtus!$A$3:$A$53,0))))</f>
        <v>0</v>
      </c>
      <c r="AH30" s="75">
        <f t="array" ref="AH30">IF(ISERROR(index(Res_AllFuels_SEDS_2022_TBtus!$P$3:$P$53,match($B30&amp;AH$2,Res_AllFuels_SEDS_2022_TBtus!$B$3:$B$53&amp;Res_AllFuels_SEDS_2022_TBtus!$A$3:$A$53,0))),0,(index(Res_AllFuels_SEDS_2022_TBtus!$P$3:$P$53,match($B30&amp;AH$2,Res_AllFuels_SEDS_2022_TBtus!$B$3:$B$53&amp;Res_AllFuels_SEDS_2022_TBtus!$A$3:$A$53,0))))</f>
        <v>0</v>
      </c>
      <c r="AI30" s="75">
        <f t="array" ref="AI30">IF(ISERROR(index(Res_AllFuels_SEDS_2022_TBtus!$P$3:$P$53,match($B30&amp;AI$2,Res_AllFuels_SEDS_2022_TBtus!$B$3:$B$53&amp;Res_AllFuels_SEDS_2022_TBtus!$A$3:$A$53,0))),0,(index(Res_AllFuels_SEDS_2022_TBtus!$P$3:$P$53,match($B30&amp;AI$2,Res_AllFuels_SEDS_2022_TBtus!$B$3:$B$53&amp;Res_AllFuels_SEDS_2022_TBtus!$A$3:$A$53,0))))</f>
        <v>0</v>
      </c>
      <c r="AJ30" s="75">
        <f t="array" ref="AJ30">IF(ISERROR(index(Res_AllFuels_SEDS_2022_TBtus!$P$3:$P$53,match($B30&amp;AJ$2,Res_AllFuels_SEDS_2022_TBtus!$B$3:$B$53&amp;Res_AllFuels_SEDS_2022_TBtus!$A$3:$A$53,0))),0,(index(Res_AllFuels_SEDS_2022_TBtus!$P$3:$P$53,match($B30&amp;AJ$2,Res_AllFuels_SEDS_2022_TBtus!$B$3:$B$53&amp;Res_AllFuels_SEDS_2022_TBtus!$A$3:$A$53,0))))</f>
        <v>0</v>
      </c>
      <c r="AK30" s="75">
        <f t="array" ref="AK30">IF(ISERROR(index(Res_AllFuels_SEDS_2022_TBtus!$P$3:$P$53,match($B30&amp;AK$2,Res_AllFuels_SEDS_2022_TBtus!$B$3:$B$53&amp;Res_AllFuels_SEDS_2022_TBtus!$A$3:$A$53,0))),0,(index(Res_AllFuels_SEDS_2022_TBtus!$P$3:$P$53,match($B30&amp;AK$2,Res_AllFuels_SEDS_2022_TBtus!$B$3:$B$53&amp;Res_AllFuels_SEDS_2022_TBtus!$A$3:$A$53,0))))</f>
        <v>0</v>
      </c>
      <c r="AL30" s="75">
        <f t="array" ref="AL30">IF(ISERROR(index(Res_AllFuels_SEDS_2022_TBtus!$P$3:$P$53,match($B30&amp;AL$2,Res_AllFuels_SEDS_2022_TBtus!$B$3:$B$53&amp;Res_AllFuels_SEDS_2022_TBtus!$A$3:$A$53,0))),0,(index(Res_AllFuels_SEDS_2022_TBtus!$P$3:$P$53,match($B30&amp;AL$2,Res_AllFuels_SEDS_2022_TBtus!$B$3:$B$53&amp;Res_AllFuels_SEDS_2022_TBtus!$A$3:$A$53,0))))</f>
        <v>0</v>
      </c>
      <c r="AM30" s="75">
        <f t="array" ref="AM30">IF(ISERROR(index(Res_AllFuels_SEDS_2022_TBtus!$P$3:$P$53,match($B30&amp;AM$2,Res_AllFuels_SEDS_2022_TBtus!$B$3:$B$53&amp;Res_AllFuels_SEDS_2022_TBtus!$A$3:$A$53,0))),0,(index(Res_AllFuels_SEDS_2022_TBtus!$P$3:$P$53,match($B30&amp;AM$2,Res_AllFuels_SEDS_2022_TBtus!$B$3:$B$53&amp;Res_AllFuels_SEDS_2022_TBtus!$A$3:$A$53,0))))</f>
        <v>0</v>
      </c>
      <c r="AN30" s="75">
        <f t="array" ref="AN30">IF(ISERROR(index(Res_AllFuels_SEDS_2022_TBtus!$P$3:$P$53,match($B30&amp;AN$2,Res_AllFuels_SEDS_2022_TBtus!$B$3:$B$53&amp;Res_AllFuels_SEDS_2022_TBtus!$A$3:$A$53,0))),0,(index(Res_AllFuels_SEDS_2022_TBtus!$P$3:$P$53,match($B30&amp;AN$2,Res_AllFuels_SEDS_2022_TBtus!$B$3:$B$53&amp;Res_AllFuels_SEDS_2022_TBtus!$A$3:$A$53,0))))</f>
        <v>0</v>
      </c>
      <c r="AO30" s="75">
        <f t="array" ref="AO30">IF(ISERROR(index(Res_AllFuels_SEDS_2022_TBtus!$P$3:$P$53,match($B30&amp;AO$2,Res_AllFuels_SEDS_2022_TBtus!$B$3:$B$53&amp;Res_AllFuels_SEDS_2022_TBtus!$A$3:$A$53,0))),0,(index(Res_AllFuels_SEDS_2022_TBtus!$P$3:$P$53,match($B30&amp;AO$2,Res_AllFuels_SEDS_2022_TBtus!$B$3:$B$53&amp;Res_AllFuels_SEDS_2022_TBtus!$A$3:$A$53,0))))</f>
        <v>0</v>
      </c>
      <c r="AP30" s="75">
        <f t="array" ref="AP30">IF(ISERROR(index(Res_AllFuels_SEDS_2022_TBtus!$P$3:$P$53,match($B30&amp;AP$2,Res_AllFuels_SEDS_2022_TBtus!$B$3:$B$53&amp;Res_AllFuels_SEDS_2022_TBtus!$A$3:$A$53,0))),0,(index(Res_AllFuels_SEDS_2022_TBtus!$P$3:$P$53,match($B30&amp;AP$2,Res_AllFuels_SEDS_2022_TBtus!$B$3:$B$53&amp;Res_AllFuels_SEDS_2022_TBtus!$A$3:$A$53,0))))</f>
        <v>13.5</v>
      </c>
      <c r="AQ30" s="75">
        <f t="array" ref="AQ30">IF(ISERROR(index(Res_AllFuels_SEDS_2022_TBtus!$P$3:$P$53,match($B30&amp;AQ$2,Res_AllFuels_SEDS_2022_TBtus!$B$3:$B$53&amp;Res_AllFuels_SEDS_2022_TBtus!$A$3:$A$53,0))),0,(index(Res_AllFuels_SEDS_2022_TBtus!$P$3:$P$53,match($B30&amp;AQ$2,Res_AllFuels_SEDS_2022_TBtus!$B$3:$B$53&amp;Res_AllFuels_SEDS_2022_TBtus!$A$3:$A$53,0))))</f>
        <v>0</v>
      </c>
      <c r="AR30" s="75">
        <f t="array" ref="AR30">IF(ISERROR(index(Res_AllFuels_SEDS_2022_TBtus!$P$3:$P$53,match($B30&amp;AR$2,Res_AllFuels_SEDS_2022_TBtus!$B$3:$B$53&amp;Res_AllFuels_SEDS_2022_TBtus!$A$3:$A$53,0))),0,(index(Res_AllFuels_SEDS_2022_TBtus!$P$3:$P$53,match($B30&amp;AR$2,Res_AllFuels_SEDS_2022_TBtus!$B$3:$B$53&amp;Res_AllFuels_SEDS_2022_TBtus!$A$3:$A$53,0))))</f>
        <v>0</v>
      </c>
      <c r="AS30" s="75">
        <f t="array" ref="AS30">IF(ISERROR(index(Res_AllFuels_SEDS_2022_TBtus!$P$3:$P$53,match($B30&amp;AS$2,Res_AllFuels_SEDS_2022_TBtus!$B$3:$B$53&amp;Res_AllFuels_SEDS_2022_TBtus!$A$3:$A$53,0))),0,(index(Res_AllFuels_SEDS_2022_TBtus!$P$3:$P$53,match($B30&amp;AS$2,Res_AllFuels_SEDS_2022_TBtus!$B$3:$B$53&amp;Res_AllFuels_SEDS_2022_TBtus!$A$3:$A$53,0))))</f>
        <v>0</v>
      </c>
      <c r="AT30" s="75">
        <f t="array" ref="AT30">IF(ISERROR(index(Res_AllFuels_SEDS_2022_TBtus!$P$3:$P$53,match($B30&amp;AT$2,Res_AllFuels_SEDS_2022_TBtus!$B$3:$B$53&amp;Res_AllFuels_SEDS_2022_TBtus!$A$3:$A$53,0))),0,(index(Res_AllFuels_SEDS_2022_TBtus!$P$3:$P$53,match($B30&amp;AT$2,Res_AllFuels_SEDS_2022_TBtus!$B$3:$B$53&amp;Res_AllFuels_SEDS_2022_TBtus!$A$3:$A$53,0))))</f>
        <v>0</v>
      </c>
      <c r="AU30" s="75">
        <f t="array" ref="AU30">IF(ISERROR(index(Res_AllFuels_SEDS_2022_TBtus!$P$3:$P$53,match($B30&amp;AU$2,Res_AllFuels_SEDS_2022_TBtus!$B$3:$B$53&amp;Res_AllFuels_SEDS_2022_TBtus!$A$3:$A$53,0))),0,(index(Res_AllFuels_SEDS_2022_TBtus!$P$3:$P$53,match($B30&amp;AU$2,Res_AllFuels_SEDS_2022_TBtus!$B$3:$B$53&amp;Res_AllFuels_SEDS_2022_TBtus!$A$3:$A$53,0))))</f>
        <v>0</v>
      </c>
      <c r="AV30" s="75">
        <f t="array" ref="AV30">IF(ISERROR(index(Res_AllFuels_SEDS_2022_TBtus!$P$3:$P$53,match($B30&amp;AV$2,Res_AllFuels_SEDS_2022_TBtus!$B$3:$B$53&amp;Res_AllFuels_SEDS_2022_TBtus!$A$3:$A$53,0))),0,(index(Res_AllFuels_SEDS_2022_TBtus!$P$3:$P$53,match($B30&amp;AV$2,Res_AllFuels_SEDS_2022_TBtus!$B$3:$B$53&amp;Res_AllFuels_SEDS_2022_TBtus!$A$3:$A$53,0))))</f>
        <v>9.6</v>
      </c>
      <c r="AW30" s="75">
        <f t="array" ref="AW30">IF(ISERROR(index(Res_AllFuels_SEDS_2022_TBtus!$P$3:$P$53,match($B30&amp;AW$2,Res_AllFuels_SEDS_2022_TBtus!$B$3:$B$53&amp;Res_AllFuels_SEDS_2022_TBtus!$A$3:$A$53,0))),0,(index(Res_AllFuels_SEDS_2022_TBtus!$P$3:$P$53,match($B30&amp;AW$2,Res_AllFuels_SEDS_2022_TBtus!$B$3:$B$53&amp;Res_AllFuels_SEDS_2022_TBtus!$A$3:$A$53,0))))</f>
        <v>0</v>
      </c>
      <c r="AX30" s="75">
        <f t="array" ref="AX30">IF(ISERROR(index(Res_AllFuels_SEDS_2022_TBtus!$P$3:$P$53,match($B30&amp;AX$2,Res_AllFuels_SEDS_2022_TBtus!$B$3:$B$53&amp;Res_AllFuels_SEDS_2022_TBtus!$A$3:$A$53,0))),0,(index(Res_AllFuels_SEDS_2022_TBtus!$P$3:$P$53,match($B30&amp;AX$2,Res_AllFuels_SEDS_2022_TBtus!$B$3:$B$53&amp;Res_AllFuels_SEDS_2022_TBtus!$A$3:$A$53,0))))</f>
        <v>0</v>
      </c>
      <c r="AY30" s="75">
        <f t="array" ref="AY30">IF(ISERROR(index(Res_AllFuels_SEDS_2022_TBtus!$P$3:$P$53,match($B30&amp;AY$2,Res_AllFuels_SEDS_2022_TBtus!$B$3:$B$53&amp;Res_AllFuels_SEDS_2022_TBtus!$A$3:$A$53,0))),0,(index(Res_AllFuels_SEDS_2022_TBtus!$P$3:$P$53,match($B30&amp;AY$2,Res_AllFuels_SEDS_2022_TBtus!$B$3:$B$53&amp;Res_AllFuels_SEDS_2022_TBtus!$A$3:$A$53,0))))</f>
        <v>0</v>
      </c>
      <c r="AZ30" s="75">
        <f t="array" ref="AZ30">IF(ISERROR(index(Res_AllFuels_SEDS_2022_TBtus!$P$3:$P$53,match($B30&amp;AZ$2,Res_AllFuels_SEDS_2022_TBtus!$B$3:$B$53&amp;Res_AllFuels_SEDS_2022_TBtus!$A$3:$A$53,0))),0,(index(Res_AllFuels_SEDS_2022_TBtus!$P$3:$P$53,match($B30&amp;AZ$2,Res_AllFuels_SEDS_2022_TBtus!$B$3:$B$53&amp;Res_AllFuels_SEDS_2022_TBtus!$A$3:$A$53,0))))</f>
        <v>0</v>
      </c>
      <c r="BA30" s="75">
        <f t="array" ref="BA30">IF(ISERROR(index(Res_AllFuels_SEDS_2022_TBtus!$P$3:$P$53,match($B30&amp;BA$2,Res_AllFuels_SEDS_2022_TBtus!$B$3:$B$53&amp;Res_AllFuels_SEDS_2022_TBtus!$A$3:$A$53,0))),0,(index(Res_AllFuels_SEDS_2022_TBtus!$P$3:$P$53,match($B30&amp;BA$2,Res_AllFuels_SEDS_2022_TBtus!$B$3:$B$53&amp;Res_AllFuels_SEDS_2022_TBtus!$A$3:$A$53,0))))</f>
        <v>0</v>
      </c>
      <c r="BB30" s="74">
        <f t="shared" ref="BB30:BB39" si="5">sum(C30:BA30)</f>
        <v>192.7</v>
      </c>
    </row>
    <row r="31" ht="15.75" customHeight="1">
      <c r="A31" s="78"/>
      <c r="B31" s="74">
        <v>2.0</v>
      </c>
      <c r="C31" s="75">
        <f t="array" ref="C31">IF(ISERROR(index(Res_AllFuels_SEDS_2022_TBtus!$P$3:$P$53,match($B31&amp;C$2,Res_AllFuels_SEDS_2022_TBtus!$B$3:$B$53&amp;Res_AllFuels_SEDS_2022_TBtus!$A$3:$A$53,0))),0,(index(Res_AllFuels_SEDS_2022_TBtus!$P$3:$P$53,match($B31&amp;C$2,Res_AllFuels_SEDS_2022_TBtus!$B$3:$B$53&amp;Res_AllFuels_SEDS_2022_TBtus!$A$3:$A$53,0))))</f>
        <v>0</v>
      </c>
      <c r="D31" s="75">
        <f t="array" ref="D31">IF(ISERROR(index(Res_AllFuels_SEDS_2022_TBtus!$P$3:$P$53,match($B31&amp;D$2,Res_AllFuels_SEDS_2022_TBtus!$B$3:$B$53&amp;Res_AllFuels_SEDS_2022_TBtus!$A$3:$A$53,0))),0,(index(Res_AllFuels_SEDS_2022_TBtus!$P$3:$P$53,match($B31&amp;D$2,Res_AllFuels_SEDS_2022_TBtus!$B$3:$B$53&amp;Res_AllFuels_SEDS_2022_TBtus!$A$3:$A$53,0))))</f>
        <v>0</v>
      </c>
      <c r="E31" s="75">
        <f t="array" ref="E31">IF(ISERROR(index(Res_AllFuels_SEDS_2022_TBtus!$P$3:$P$53,match($B31&amp;E$2,Res_AllFuels_SEDS_2022_TBtus!$B$3:$B$53&amp;Res_AllFuels_SEDS_2022_TBtus!$A$3:$A$53,0))),0,(index(Res_AllFuels_SEDS_2022_TBtus!$P$3:$P$53,match($B31&amp;E$2,Res_AllFuels_SEDS_2022_TBtus!$B$3:$B$53&amp;Res_AllFuels_SEDS_2022_TBtus!$A$3:$A$53,0))))</f>
        <v>0</v>
      </c>
      <c r="F31" s="75">
        <f t="array" ref="F31">IF(ISERROR(index(Res_AllFuels_SEDS_2022_TBtus!$P$3:$P$53,match($B31&amp;F$2,Res_AllFuels_SEDS_2022_TBtus!$B$3:$B$53&amp;Res_AllFuels_SEDS_2022_TBtus!$A$3:$A$53,0))),0,(index(Res_AllFuels_SEDS_2022_TBtus!$P$3:$P$53,match($B31&amp;F$2,Res_AllFuels_SEDS_2022_TBtus!$B$3:$B$53&amp;Res_AllFuels_SEDS_2022_TBtus!$A$3:$A$53,0))))</f>
        <v>0</v>
      </c>
      <c r="G31" s="75">
        <f t="array" ref="G31">IF(ISERROR(index(Res_AllFuels_SEDS_2022_TBtus!$P$3:$P$53,match($B31&amp;G$2,Res_AllFuels_SEDS_2022_TBtus!$B$3:$B$53&amp;Res_AllFuels_SEDS_2022_TBtus!$A$3:$A$53,0))),0,(index(Res_AllFuels_SEDS_2022_TBtus!$P$3:$P$53,match($B31&amp;G$2,Res_AllFuels_SEDS_2022_TBtus!$B$3:$B$53&amp;Res_AllFuels_SEDS_2022_TBtus!$A$3:$A$53,0))))</f>
        <v>0</v>
      </c>
      <c r="H31" s="75">
        <f t="array" ref="H31">IF(ISERROR(index(Res_AllFuels_SEDS_2022_TBtus!$P$3:$P$53,match($B31&amp;H$2,Res_AllFuels_SEDS_2022_TBtus!$B$3:$B$53&amp;Res_AllFuels_SEDS_2022_TBtus!$A$3:$A$53,0))),0,(index(Res_AllFuels_SEDS_2022_TBtus!$P$3:$P$53,match($B31&amp;H$2,Res_AllFuels_SEDS_2022_TBtus!$B$3:$B$53&amp;Res_AllFuels_SEDS_2022_TBtus!$A$3:$A$53,0))))</f>
        <v>0</v>
      </c>
      <c r="I31" s="75">
        <f t="array" ref="I31">IF(ISERROR(index(Res_AllFuels_SEDS_2022_TBtus!$P$3:$P$53,match($B31&amp;I$2,Res_AllFuels_SEDS_2022_TBtus!$B$3:$B$53&amp;Res_AllFuels_SEDS_2022_TBtus!$A$3:$A$53,0))),0,(index(Res_AllFuels_SEDS_2022_TBtus!$P$3:$P$53,match($B31&amp;I$2,Res_AllFuels_SEDS_2022_TBtus!$B$3:$B$53&amp;Res_AllFuels_SEDS_2022_TBtus!$A$3:$A$53,0))))</f>
        <v>0</v>
      </c>
      <c r="J31" s="75">
        <f t="array" ref="J31">IF(ISERROR(index(Res_AllFuels_SEDS_2022_TBtus!$P$3:$P$53,match($B31&amp;J$2,Res_AllFuels_SEDS_2022_TBtus!$B$3:$B$53&amp;Res_AllFuels_SEDS_2022_TBtus!$A$3:$A$53,0))),0,(index(Res_AllFuels_SEDS_2022_TBtus!$P$3:$P$53,match($B31&amp;J$2,Res_AllFuels_SEDS_2022_TBtus!$B$3:$B$53&amp;Res_AllFuels_SEDS_2022_TBtus!$A$3:$A$53,0))))</f>
        <v>0</v>
      </c>
      <c r="K31" s="75">
        <f t="array" ref="K31">IF(ISERROR(index(Res_AllFuels_SEDS_2022_TBtus!$P$3:$P$53,match($B31&amp;K$2,Res_AllFuels_SEDS_2022_TBtus!$B$3:$B$53&amp;Res_AllFuels_SEDS_2022_TBtus!$A$3:$A$53,0))),0,(index(Res_AllFuels_SEDS_2022_TBtus!$P$3:$P$53,match($B31&amp;K$2,Res_AllFuels_SEDS_2022_TBtus!$B$3:$B$53&amp;Res_AllFuels_SEDS_2022_TBtus!$A$3:$A$53,0))))</f>
        <v>0</v>
      </c>
      <c r="L31" s="75">
        <f t="array" ref="L31">IF(ISERROR(index(Res_AllFuels_SEDS_2022_TBtus!$P$3:$P$53,match($B31&amp;L$2,Res_AllFuels_SEDS_2022_TBtus!$B$3:$B$53&amp;Res_AllFuels_SEDS_2022_TBtus!$A$3:$A$53,0))),0,(index(Res_AllFuels_SEDS_2022_TBtus!$P$3:$P$53,match($B31&amp;L$2,Res_AllFuels_SEDS_2022_TBtus!$B$3:$B$53&amp;Res_AllFuels_SEDS_2022_TBtus!$A$3:$A$53,0))))</f>
        <v>0</v>
      </c>
      <c r="M31" s="75">
        <f t="array" ref="M31">IF(ISERROR(index(Res_AllFuels_SEDS_2022_TBtus!$P$3:$P$53,match($B31&amp;M$2,Res_AllFuels_SEDS_2022_TBtus!$B$3:$B$53&amp;Res_AllFuels_SEDS_2022_TBtus!$A$3:$A$53,0))),0,(index(Res_AllFuels_SEDS_2022_TBtus!$P$3:$P$53,match($B31&amp;M$2,Res_AllFuels_SEDS_2022_TBtus!$B$3:$B$53&amp;Res_AllFuels_SEDS_2022_TBtus!$A$3:$A$53,0))))</f>
        <v>0</v>
      </c>
      <c r="N31" s="75">
        <f t="array" ref="N31">IF(ISERROR(index(Res_AllFuels_SEDS_2022_TBtus!$P$3:$P$53,match($B31&amp;N$2,Res_AllFuels_SEDS_2022_TBtus!$B$3:$B$53&amp;Res_AllFuels_SEDS_2022_TBtus!$A$3:$A$53,0))),0,(index(Res_AllFuels_SEDS_2022_TBtus!$P$3:$P$53,match($B31&amp;N$2,Res_AllFuels_SEDS_2022_TBtus!$B$3:$B$53&amp;Res_AllFuels_SEDS_2022_TBtus!$A$3:$A$53,0))))</f>
        <v>0</v>
      </c>
      <c r="O31" s="75">
        <f t="array" ref="O31">IF(ISERROR(index(Res_AllFuels_SEDS_2022_TBtus!$P$3:$P$53,match($B31&amp;O$2,Res_AllFuels_SEDS_2022_TBtus!$B$3:$B$53&amp;Res_AllFuels_SEDS_2022_TBtus!$A$3:$A$53,0))),0,(index(Res_AllFuels_SEDS_2022_TBtus!$P$3:$P$53,match($B31&amp;O$2,Res_AllFuels_SEDS_2022_TBtus!$B$3:$B$53&amp;Res_AllFuels_SEDS_2022_TBtus!$A$3:$A$53,0))))</f>
        <v>0</v>
      </c>
      <c r="P31" s="75">
        <f t="array" ref="P31">IF(ISERROR(index(Res_AllFuels_SEDS_2022_TBtus!$P$3:$P$53,match($B31&amp;P$2,Res_AllFuels_SEDS_2022_TBtus!$B$3:$B$53&amp;Res_AllFuels_SEDS_2022_TBtus!$A$3:$A$53,0))),0,(index(Res_AllFuels_SEDS_2022_TBtus!$P$3:$P$53,match($B31&amp;P$2,Res_AllFuels_SEDS_2022_TBtus!$B$3:$B$53&amp;Res_AllFuels_SEDS_2022_TBtus!$A$3:$A$53,0))))</f>
        <v>0</v>
      </c>
      <c r="Q31" s="75">
        <f t="array" ref="Q31">IF(ISERROR(index(Res_AllFuels_SEDS_2022_TBtus!$P$3:$P$53,match($B31&amp;Q$2,Res_AllFuels_SEDS_2022_TBtus!$B$3:$B$53&amp;Res_AllFuels_SEDS_2022_TBtus!$A$3:$A$53,0))),0,(index(Res_AllFuels_SEDS_2022_TBtus!$P$3:$P$53,match($B31&amp;Q$2,Res_AllFuels_SEDS_2022_TBtus!$B$3:$B$53&amp;Res_AllFuels_SEDS_2022_TBtus!$A$3:$A$53,0))))</f>
        <v>0</v>
      </c>
      <c r="R31" s="75">
        <f t="array" ref="R31">IF(ISERROR(index(Res_AllFuels_SEDS_2022_TBtus!$P$3:$P$53,match($B31&amp;R$2,Res_AllFuels_SEDS_2022_TBtus!$B$3:$B$53&amp;Res_AllFuels_SEDS_2022_TBtus!$A$3:$A$53,0))),0,(index(Res_AllFuels_SEDS_2022_TBtus!$P$3:$P$53,match($B31&amp;R$2,Res_AllFuels_SEDS_2022_TBtus!$B$3:$B$53&amp;Res_AllFuels_SEDS_2022_TBtus!$A$3:$A$53,0))))</f>
        <v>0</v>
      </c>
      <c r="S31" s="75">
        <f t="array" ref="S31">IF(ISERROR(index(Res_AllFuels_SEDS_2022_TBtus!$P$3:$P$53,match($B31&amp;S$2,Res_AllFuels_SEDS_2022_TBtus!$B$3:$B$53&amp;Res_AllFuels_SEDS_2022_TBtus!$A$3:$A$53,0))),0,(index(Res_AllFuels_SEDS_2022_TBtus!$P$3:$P$53,match($B31&amp;S$2,Res_AllFuels_SEDS_2022_TBtus!$B$3:$B$53&amp;Res_AllFuels_SEDS_2022_TBtus!$A$3:$A$53,0))))</f>
        <v>0</v>
      </c>
      <c r="T31" s="75">
        <f t="array" ref="T31">IF(ISERROR(index(Res_AllFuels_SEDS_2022_TBtus!$P$3:$P$53,match($B31&amp;T$2,Res_AllFuels_SEDS_2022_TBtus!$B$3:$B$53&amp;Res_AllFuels_SEDS_2022_TBtus!$A$3:$A$53,0))),0,(index(Res_AllFuels_SEDS_2022_TBtus!$P$3:$P$53,match($B31&amp;T$2,Res_AllFuels_SEDS_2022_TBtus!$B$3:$B$53&amp;Res_AllFuels_SEDS_2022_TBtus!$A$3:$A$53,0))))</f>
        <v>0</v>
      </c>
      <c r="U31" s="75">
        <f t="array" ref="U31">IF(ISERROR(index(Res_AllFuels_SEDS_2022_TBtus!$P$3:$P$53,match($B31&amp;U$2,Res_AllFuels_SEDS_2022_TBtus!$B$3:$B$53&amp;Res_AllFuels_SEDS_2022_TBtus!$A$3:$A$53,0))),0,(index(Res_AllFuels_SEDS_2022_TBtus!$P$3:$P$53,match($B31&amp;U$2,Res_AllFuels_SEDS_2022_TBtus!$B$3:$B$53&amp;Res_AllFuels_SEDS_2022_TBtus!$A$3:$A$53,0))))</f>
        <v>0</v>
      </c>
      <c r="V31" s="75">
        <f t="array" ref="V31">IF(ISERROR(index(Res_AllFuels_SEDS_2022_TBtus!$P$3:$P$53,match($B31&amp;V$2,Res_AllFuels_SEDS_2022_TBtus!$B$3:$B$53&amp;Res_AllFuels_SEDS_2022_TBtus!$A$3:$A$53,0))),0,(index(Res_AllFuels_SEDS_2022_TBtus!$P$3:$P$53,match($B31&amp;V$2,Res_AllFuels_SEDS_2022_TBtus!$B$3:$B$53&amp;Res_AllFuels_SEDS_2022_TBtus!$A$3:$A$53,0))))</f>
        <v>0</v>
      </c>
      <c r="W31" s="75">
        <f t="array" ref="W31">IF(ISERROR(index(Res_AllFuels_SEDS_2022_TBtus!$P$3:$P$53,match($B31&amp;W$2,Res_AllFuels_SEDS_2022_TBtus!$B$3:$B$53&amp;Res_AllFuels_SEDS_2022_TBtus!$A$3:$A$53,0))),0,(index(Res_AllFuels_SEDS_2022_TBtus!$P$3:$P$53,match($B31&amp;W$2,Res_AllFuels_SEDS_2022_TBtus!$B$3:$B$53&amp;Res_AllFuels_SEDS_2022_TBtus!$A$3:$A$53,0))))</f>
        <v>0</v>
      </c>
      <c r="X31" s="75">
        <f t="array" ref="X31">IF(ISERROR(index(Res_AllFuels_SEDS_2022_TBtus!$P$3:$P$53,match($B31&amp;X$2,Res_AllFuels_SEDS_2022_TBtus!$B$3:$B$53&amp;Res_AllFuels_SEDS_2022_TBtus!$A$3:$A$53,0))),0,(index(Res_AllFuels_SEDS_2022_TBtus!$P$3:$P$53,match($B31&amp;X$2,Res_AllFuels_SEDS_2022_TBtus!$B$3:$B$53&amp;Res_AllFuels_SEDS_2022_TBtus!$A$3:$A$53,0))))</f>
        <v>0</v>
      </c>
      <c r="Y31" s="75">
        <f t="array" ref="Y31">IF(ISERROR(index(Res_AllFuels_SEDS_2022_TBtus!$P$3:$P$53,match($B31&amp;Y$2,Res_AllFuels_SEDS_2022_TBtus!$B$3:$B$53&amp;Res_AllFuels_SEDS_2022_TBtus!$A$3:$A$53,0))),0,(index(Res_AllFuels_SEDS_2022_TBtus!$P$3:$P$53,match($B31&amp;Y$2,Res_AllFuels_SEDS_2022_TBtus!$B$3:$B$53&amp;Res_AllFuels_SEDS_2022_TBtus!$A$3:$A$53,0))))</f>
        <v>0</v>
      </c>
      <c r="Z31" s="75">
        <f t="array" ref="Z31">IF(ISERROR(index(Res_AllFuels_SEDS_2022_TBtus!$P$3:$P$53,match($B31&amp;Z$2,Res_AllFuels_SEDS_2022_TBtus!$B$3:$B$53&amp;Res_AllFuels_SEDS_2022_TBtus!$A$3:$A$53,0))),0,(index(Res_AllFuels_SEDS_2022_TBtus!$P$3:$P$53,match($B31&amp;Z$2,Res_AllFuels_SEDS_2022_TBtus!$B$3:$B$53&amp;Res_AllFuels_SEDS_2022_TBtus!$A$3:$A$53,0))))</f>
        <v>0</v>
      </c>
      <c r="AA31" s="75">
        <f t="array" ref="AA31">IF(ISERROR(index(Res_AllFuels_SEDS_2022_TBtus!$P$3:$P$53,match($B31&amp;AA$2,Res_AllFuels_SEDS_2022_TBtus!$B$3:$B$53&amp;Res_AllFuels_SEDS_2022_TBtus!$A$3:$A$53,0))),0,(index(Res_AllFuels_SEDS_2022_TBtus!$P$3:$P$53,match($B31&amp;AA$2,Res_AllFuels_SEDS_2022_TBtus!$B$3:$B$53&amp;Res_AllFuels_SEDS_2022_TBtus!$A$3:$A$53,0))))</f>
        <v>0</v>
      </c>
      <c r="AB31" s="75">
        <f t="array" ref="AB31">IF(ISERROR(index(Res_AllFuels_SEDS_2022_TBtus!$P$3:$P$53,match($B31&amp;AB$2,Res_AllFuels_SEDS_2022_TBtus!$B$3:$B$53&amp;Res_AllFuels_SEDS_2022_TBtus!$A$3:$A$53,0))),0,(index(Res_AllFuels_SEDS_2022_TBtus!$P$3:$P$53,match($B31&amp;AB$2,Res_AllFuels_SEDS_2022_TBtus!$B$3:$B$53&amp;Res_AllFuels_SEDS_2022_TBtus!$A$3:$A$53,0))))</f>
        <v>0</v>
      </c>
      <c r="AC31" s="75">
        <f t="array" ref="AC31">IF(ISERROR(index(Res_AllFuels_SEDS_2022_TBtus!$P$3:$P$53,match($B31&amp;AC$2,Res_AllFuels_SEDS_2022_TBtus!$B$3:$B$53&amp;Res_AllFuels_SEDS_2022_TBtus!$A$3:$A$53,0))),0,(index(Res_AllFuels_SEDS_2022_TBtus!$P$3:$P$53,match($B31&amp;AC$2,Res_AllFuels_SEDS_2022_TBtus!$B$3:$B$53&amp;Res_AllFuels_SEDS_2022_TBtus!$A$3:$A$53,0))))</f>
        <v>0</v>
      </c>
      <c r="AD31" s="75">
        <f t="array" ref="AD31">IF(ISERROR(index(Res_AllFuels_SEDS_2022_TBtus!$P$3:$P$53,match($B31&amp;AD$2,Res_AllFuels_SEDS_2022_TBtus!$B$3:$B$53&amp;Res_AllFuels_SEDS_2022_TBtus!$A$3:$A$53,0))),0,(index(Res_AllFuels_SEDS_2022_TBtus!$P$3:$P$53,match($B31&amp;AD$2,Res_AllFuels_SEDS_2022_TBtus!$B$3:$B$53&amp;Res_AllFuels_SEDS_2022_TBtus!$A$3:$A$53,0))))</f>
        <v>0</v>
      </c>
      <c r="AE31" s="75">
        <f t="array" ref="AE31">IF(ISERROR(index(Res_AllFuels_SEDS_2022_TBtus!$P$3:$P$53,match($B31&amp;AE$2,Res_AllFuels_SEDS_2022_TBtus!$B$3:$B$53&amp;Res_AllFuels_SEDS_2022_TBtus!$A$3:$A$53,0))),0,(index(Res_AllFuels_SEDS_2022_TBtus!$P$3:$P$53,match($B31&amp;AE$2,Res_AllFuels_SEDS_2022_TBtus!$B$3:$B$53&amp;Res_AllFuels_SEDS_2022_TBtus!$A$3:$A$53,0))))</f>
        <v>0</v>
      </c>
      <c r="AF31" s="75">
        <f t="array" ref="AF31">IF(ISERROR(index(Res_AllFuels_SEDS_2022_TBtus!$P$3:$P$53,match($B31&amp;AF$2,Res_AllFuels_SEDS_2022_TBtus!$B$3:$B$53&amp;Res_AllFuels_SEDS_2022_TBtus!$A$3:$A$53,0))),0,(index(Res_AllFuels_SEDS_2022_TBtus!$P$3:$P$53,match($B31&amp;AF$2,Res_AllFuels_SEDS_2022_TBtus!$B$3:$B$53&amp;Res_AllFuels_SEDS_2022_TBtus!$A$3:$A$53,0))))</f>
        <v>0</v>
      </c>
      <c r="AG31" s="75">
        <f t="array" ref="AG31">IF(ISERROR(index(Res_AllFuels_SEDS_2022_TBtus!$P$3:$P$53,match($B31&amp;AG$2,Res_AllFuels_SEDS_2022_TBtus!$B$3:$B$53&amp;Res_AllFuels_SEDS_2022_TBtus!$A$3:$A$53,0))),0,(index(Res_AllFuels_SEDS_2022_TBtus!$P$3:$P$53,match($B31&amp;AG$2,Res_AllFuels_SEDS_2022_TBtus!$B$3:$B$53&amp;Res_AllFuels_SEDS_2022_TBtus!$A$3:$A$53,0))))</f>
        <v>24.5</v>
      </c>
      <c r="AH31" s="75">
        <f t="array" ref="AH31">IF(ISERROR(index(Res_AllFuels_SEDS_2022_TBtus!$P$3:$P$53,match($B31&amp;AH$2,Res_AllFuels_SEDS_2022_TBtus!$B$3:$B$53&amp;Res_AllFuels_SEDS_2022_TBtus!$A$3:$A$53,0))),0,(index(Res_AllFuels_SEDS_2022_TBtus!$P$3:$P$53,match($B31&amp;AH$2,Res_AllFuels_SEDS_2022_TBtus!$B$3:$B$53&amp;Res_AllFuels_SEDS_2022_TBtus!$A$3:$A$53,0))))</f>
        <v>0</v>
      </c>
      <c r="AI31" s="75">
        <f t="array" ref="AI31">IF(ISERROR(index(Res_AllFuels_SEDS_2022_TBtus!$P$3:$P$53,match($B31&amp;AI$2,Res_AllFuels_SEDS_2022_TBtus!$B$3:$B$53&amp;Res_AllFuels_SEDS_2022_TBtus!$A$3:$A$53,0))),0,(index(Res_AllFuels_SEDS_2022_TBtus!$P$3:$P$53,match($B31&amp;AI$2,Res_AllFuels_SEDS_2022_TBtus!$B$3:$B$53&amp;Res_AllFuels_SEDS_2022_TBtus!$A$3:$A$53,0))))</f>
        <v>103.6</v>
      </c>
      <c r="AJ31" s="75">
        <f t="array" ref="AJ31">IF(ISERROR(index(Res_AllFuels_SEDS_2022_TBtus!$P$3:$P$53,match($B31&amp;AJ$2,Res_AllFuels_SEDS_2022_TBtus!$B$3:$B$53&amp;Res_AllFuels_SEDS_2022_TBtus!$A$3:$A$53,0))),0,(index(Res_AllFuels_SEDS_2022_TBtus!$P$3:$P$53,match($B31&amp;AJ$2,Res_AllFuels_SEDS_2022_TBtus!$B$3:$B$53&amp;Res_AllFuels_SEDS_2022_TBtus!$A$3:$A$53,0))))</f>
        <v>0</v>
      </c>
      <c r="AK31" s="75">
        <f t="array" ref="AK31">IF(ISERROR(index(Res_AllFuels_SEDS_2022_TBtus!$P$3:$P$53,match($B31&amp;AK$2,Res_AllFuels_SEDS_2022_TBtus!$B$3:$B$53&amp;Res_AllFuels_SEDS_2022_TBtus!$A$3:$A$53,0))),0,(index(Res_AllFuels_SEDS_2022_TBtus!$P$3:$P$53,match($B31&amp;AK$2,Res_AllFuels_SEDS_2022_TBtus!$B$3:$B$53&amp;Res_AllFuels_SEDS_2022_TBtus!$A$3:$A$53,0))))</f>
        <v>0</v>
      </c>
      <c r="AL31" s="75">
        <f t="array" ref="AL31">IF(ISERROR(index(Res_AllFuels_SEDS_2022_TBtus!$P$3:$P$53,match($B31&amp;AL$2,Res_AllFuels_SEDS_2022_TBtus!$B$3:$B$53&amp;Res_AllFuels_SEDS_2022_TBtus!$A$3:$A$53,0))),0,(index(Res_AllFuels_SEDS_2022_TBtus!$P$3:$P$53,match($B31&amp;AL$2,Res_AllFuels_SEDS_2022_TBtus!$B$3:$B$53&amp;Res_AllFuels_SEDS_2022_TBtus!$A$3:$A$53,0))))</f>
        <v>0</v>
      </c>
      <c r="AM31" s="75">
        <f t="array" ref="AM31">IF(ISERROR(index(Res_AllFuels_SEDS_2022_TBtus!$P$3:$P$53,match($B31&amp;AM$2,Res_AllFuels_SEDS_2022_TBtus!$B$3:$B$53&amp;Res_AllFuels_SEDS_2022_TBtus!$A$3:$A$53,0))),0,(index(Res_AllFuels_SEDS_2022_TBtus!$P$3:$P$53,match($B31&amp;AM$2,Res_AllFuels_SEDS_2022_TBtus!$B$3:$B$53&amp;Res_AllFuels_SEDS_2022_TBtus!$A$3:$A$53,0))))</f>
        <v>0</v>
      </c>
      <c r="AN31" s="75">
        <f t="array" ref="AN31">IF(ISERROR(index(Res_AllFuels_SEDS_2022_TBtus!$P$3:$P$53,match($B31&amp;AN$2,Res_AllFuels_SEDS_2022_TBtus!$B$3:$B$53&amp;Res_AllFuels_SEDS_2022_TBtus!$A$3:$A$53,0))),0,(index(Res_AllFuels_SEDS_2022_TBtus!$P$3:$P$53,match($B31&amp;AN$2,Res_AllFuels_SEDS_2022_TBtus!$B$3:$B$53&amp;Res_AllFuels_SEDS_2022_TBtus!$A$3:$A$53,0))))</f>
        <v>0</v>
      </c>
      <c r="AO31" s="75">
        <f t="array" ref="AO31">IF(ISERROR(index(Res_AllFuels_SEDS_2022_TBtus!$P$3:$P$53,match($B31&amp;AO$2,Res_AllFuels_SEDS_2022_TBtus!$B$3:$B$53&amp;Res_AllFuels_SEDS_2022_TBtus!$A$3:$A$53,0))),0,(index(Res_AllFuels_SEDS_2022_TBtus!$P$3:$P$53,match($B31&amp;AO$2,Res_AllFuels_SEDS_2022_TBtus!$B$3:$B$53&amp;Res_AllFuels_SEDS_2022_TBtus!$A$3:$A$53,0))))</f>
        <v>78.3</v>
      </c>
      <c r="AP31" s="75">
        <f t="array" ref="AP31">IF(ISERROR(index(Res_AllFuels_SEDS_2022_TBtus!$P$3:$P$53,match($B31&amp;AP$2,Res_AllFuels_SEDS_2022_TBtus!$B$3:$B$53&amp;Res_AllFuels_SEDS_2022_TBtus!$A$3:$A$53,0))),0,(index(Res_AllFuels_SEDS_2022_TBtus!$P$3:$P$53,match($B31&amp;AP$2,Res_AllFuels_SEDS_2022_TBtus!$B$3:$B$53&amp;Res_AllFuels_SEDS_2022_TBtus!$A$3:$A$53,0))))</f>
        <v>0</v>
      </c>
      <c r="AQ31" s="75">
        <f t="array" ref="AQ31">IF(ISERROR(index(Res_AllFuels_SEDS_2022_TBtus!$P$3:$P$53,match($B31&amp;AQ$2,Res_AllFuels_SEDS_2022_TBtus!$B$3:$B$53&amp;Res_AllFuels_SEDS_2022_TBtus!$A$3:$A$53,0))),0,(index(Res_AllFuels_SEDS_2022_TBtus!$P$3:$P$53,match($B31&amp;AQ$2,Res_AllFuels_SEDS_2022_TBtus!$B$3:$B$53&amp;Res_AllFuels_SEDS_2022_TBtus!$A$3:$A$53,0))))</f>
        <v>0</v>
      </c>
      <c r="AR31" s="75">
        <f t="array" ref="AR31">IF(ISERROR(index(Res_AllFuels_SEDS_2022_TBtus!$P$3:$P$53,match($B31&amp;AR$2,Res_AllFuels_SEDS_2022_TBtus!$B$3:$B$53&amp;Res_AllFuels_SEDS_2022_TBtus!$A$3:$A$53,0))),0,(index(Res_AllFuels_SEDS_2022_TBtus!$P$3:$P$53,match($B31&amp;AR$2,Res_AllFuels_SEDS_2022_TBtus!$B$3:$B$53&amp;Res_AllFuels_SEDS_2022_TBtus!$A$3:$A$53,0))))</f>
        <v>0</v>
      </c>
      <c r="AS31" s="75">
        <f t="array" ref="AS31">IF(ISERROR(index(Res_AllFuels_SEDS_2022_TBtus!$P$3:$P$53,match($B31&amp;AS$2,Res_AllFuels_SEDS_2022_TBtus!$B$3:$B$53&amp;Res_AllFuels_SEDS_2022_TBtus!$A$3:$A$53,0))),0,(index(Res_AllFuels_SEDS_2022_TBtus!$P$3:$P$53,match($B31&amp;AS$2,Res_AllFuels_SEDS_2022_TBtus!$B$3:$B$53&amp;Res_AllFuels_SEDS_2022_TBtus!$A$3:$A$53,0))))</f>
        <v>0</v>
      </c>
      <c r="AT31" s="75">
        <f t="array" ref="AT31">IF(ISERROR(index(Res_AllFuels_SEDS_2022_TBtus!$P$3:$P$53,match($B31&amp;AT$2,Res_AllFuels_SEDS_2022_TBtus!$B$3:$B$53&amp;Res_AllFuels_SEDS_2022_TBtus!$A$3:$A$53,0))),0,(index(Res_AllFuels_SEDS_2022_TBtus!$P$3:$P$53,match($B31&amp;AT$2,Res_AllFuels_SEDS_2022_TBtus!$B$3:$B$53&amp;Res_AllFuels_SEDS_2022_TBtus!$A$3:$A$53,0))))</f>
        <v>0</v>
      </c>
      <c r="AU31" s="75">
        <f t="array" ref="AU31">IF(ISERROR(index(Res_AllFuels_SEDS_2022_TBtus!$P$3:$P$53,match($B31&amp;AU$2,Res_AllFuels_SEDS_2022_TBtus!$B$3:$B$53&amp;Res_AllFuels_SEDS_2022_TBtus!$A$3:$A$53,0))),0,(index(Res_AllFuels_SEDS_2022_TBtus!$P$3:$P$53,match($B31&amp;AU$2,Res_AllFuels_SEDS_2022_TBtus!$B$3:$B$53&amp;Res_AllFuels_SEDS_2022_TBtus!$A$3:$A$53,0))))</f>
        <v>0</v>
      </c>
      <c r="AV31" s="75">
        <f t="array" ref="AV31">IF(ISERROR(index(Res_AllFuels_SEDS_2022_TBtus!$P$3:$P$53,match($B31&amp;AV$2,Res_AllFuels_SEDS_2022_TBtus!$B$3:$B$53&amp;Res_AllFuels_SEDS_2022_TBtus!$A$3:$A$53,0))),0,(index(Res_AllFuels_SEDS_2022_TBtus!$P$3:$P$53,match($B31&amp;AV$2,Res_AllFuels_SEDS_2022_TBtus!$B$3:$B$53&amp;Res_AllFuels_SEDS_2022_TBtus!$A$3:$A$53,0))))</f>
        <v>0</v>
      </c>
      <c r="AW31" s="75">
        <f t="array" ref="AW31">IF(ISERROR(index(Res_AllFuels_SEDS_2022_TBtus!$P$3:$P$53,match($B31&amp;AW$2,Res_AllFuels_SEDS_2022_TBtus!$B$3:$B$53&amp;Res_AllFuels_SEDS_2022_TBtus!$A$3:$A$53,0))),0,(index(Res_AllFuels_SEDS_2022_TBtus!$P$3:$P$53,match($B31&amp;AW$2,Res_AllFuels_SEDS_2022_TBtus!$B$3:$B$53&amp;Res_AllFuels_SEDS_2022_TBtus!$A$3:$A$53,0))))</f>
        <v>0</v>
      </c>
      <c r="AX31" s="75">
        <f t="array" ref="AX31">IF(ISERROR(index(Res_AllFuels_SEDS_2022_TBtus!$P$3:$P$53,match($B31&amp;AX$2,Res_AllFuels_SEDS_2022_TBtus!$B$3:$B$53&amp;Res_AllFuels_SEDS_2022_TBtus!$A$3:$A$53,0))),0,(index(Res_AllFuels_SEDS_2022_TBtus!$P$3:$P$53,match($B31&amp;AX$2,Res_AllFuels_SEDS_2022_TBtus!$B$3:$B$53&amp;Res_AllFuels_SEDS_2022_TBtus!$A$3:$A$53,0))))</f>
        <v>0</v>
      </c>
      <c r="AY31" s="75">
        <f t="array" ref="AY31">IF(ISERROR(index(Res_AllFuels_SEDS_2022_TBtus!$P$3:$P$53,match($B31&amp;AY$2,Res_AllFuels_SEDS_2022_TBtus!$B$3:$B$53&amp;Res_AllFuels_SEDS_2022_TBtus!$A$3:$A$53,0))),0,(index(Res_AllFuels_SEDS_2022_TBtus!$P$3:$P$53,match($B31&amp;AY$2,Res_AllFuels_SEDS_2022_TBtus!$B$3:$B$53&amp;Res_AllFuels_SEDS_2022_TBtus!$A$3:$A$53,0))))</f>
        <v>0</v>
      </c>
      <c r="AZ31" s="75">
        <f t="array" ref="AZ31">IF(ISERROR(index(Res_AllFuels_SEDS_2022_TBtus!$P$3:$P$53,match($B31&amp;AZ$2,Res_AllFuels_SEDS_2022_TBtus!$B$3:$B$53&amp;Res_AllFuels_SEDS_2022_TBtus!$A$3:$A$53,0))),0,(index(Res_AllFuels_SEDS_2022_TBtus!$P$3:$P$53,match($B31&amp;AZ$2,Res_AllFuels_SEDS_2022_TBtus!$B$3:$B$53&amp;Res_AllFuels_SEDS_2022_TBtus!$A$3:$A$53,0))))</f>
        <v>0</v>
      </c>
      <c r="BA31" s="75">
        <f t="array" ref="BA31">IF(ISERROR(index(Res_AllFuels_SEDS_2022_TBtus!$P$3:$P$53,match($B31&amp;BA$2,Res_AllFuels_SEDS_2022_TBtus!$B$3:$B$53&amp;Res_AllFuels_SEDS_2022_TBtus!$A$3:$A$53,0))),0,(index(Res_AllFuels_SEDS_2022_TBtus!$P$3:$P$53,match($B31&amp;BA$2,Res_AllFuels_SEDS_2022_TBtus!$B$3:$B$53&amp;Res_AllFuels_SEDS_2022_TBtus!$A$3:$A$53,0))))</f>
        <v>0</v>
      </c>
      <c r="BB31" s="74">
        <f t="shared" si="5"/>
        <v>206.4</v>
      </c>
    </row>
    <row r="32" ht="15.75" customHeight="1">
      <c r="A32" s="78"/>
      <c r="B32" s="74">
        <v>3.0</v>
      </c>
      <c r="C32" s="75">
        <f t="array" ref="C32">IF(ISERROR(index(Res_AllFuels_SEDS_2022_TBtus!$P$3:$P$53,match($B32&amp;C$2,Res_AllFuels_SEDS_2022_TBtus!$B$3:$B$53&amp;Res_AllFuels_SEDS_2022_TBtus!$A$3:$A$53,0))),0,(index(Res_AllFuels_SEDS_2022_TBtus!$P$3:$P$53,match($B32&amp;C$2,Res_AllFuels_SEDS_2022_TBtus!$B$3:$B$53&amp;Res_AllFuels_SEDS_2022_TBtus!$A$3:$A$53,0))))</f>
        <v>0</v>
      </c>
      <c r="D32" s="75">
        <f t="array" ref="D32">IF(ISERROR(index(Res_AllFuels_SEDS_2022_TBtus!$P$3:$P$53,match($B32&amp;D$2,Res_AllFuels_SEDS_2022_TBtus!$B$3:$B$53&amp;Res_AllFuels_SEDS_2022_TBtus!$A$3:$A$53,0))),0,(index(Res_AllFuels_SEDS_2022_TBtus!$P$3:$P$53,match($B32&amp;D$2,Res_AllFuels_SEDS_2022_TBtus!$B$3:$B$53&amp;Res_AllFuels_SEDS_2022_TBtus!$A$3:$A$53,0))))</f>
        <v>0</v>
      </c>
      <c r="E32" s="75">
        <f t="array" ref="E32">IF(ISERROR(index(Res_AllFuels_SEDS_2022_TBtus!$P$3:$P$53,match($B32&amp;E$2,Res_AllFuels_SEDS_2022_TBtus!$B$3:$B$53&amp;Res_AllFuels_SEDS_2022_TBtus!$A$3:$A$53,0))),0,(index(Res_AllFuels_SEDS_2022_TBtus!$P$3:$P$53,match($B32&amp;E$2,Res_AllFuels_SEDS_2022_TBtus!$B$3:$B$53&amp;Res_AllFuels_SEDS_2022_TBtus!$A$3:$A$53,0))))</f>
        <v>0</v>
      </c>
      <c r="F32" s="75">
        <f t="array" ref="F32">IF(ISERROR(index(Res_AllFuels_SEDS_2022_TBtus!$P$3:$P$53,match($B32&amp;F$2,Res_AllFuels_SEDS_2022_TBtus!$B$3:$B$53&amp;Res_AllFuels_SEDS_2022_TBtus!$A$3:$A$53,0))),0,(index(Res_AllFuels_SEDS_2022_TBtus!$P$3:$P$53,match($B32&amp;F$2,Res_AllFuels_SEDS_2022_TBtus!$B$3:$B$53&amp;Res_AllFuels_SEDS_2022_TBtus!$A$3:$A$53,0))))</f>
        <v>0</v>
      </c>
      <c r="G32" s="75">
        <f t="array" ref="G32">IF(ISERROR(index(Res_AllFuels_SEDS_2022_TBtus!$P$3:$P$53,match($B32&amp;G$2,Res_AllFuels_SEDS_2022_TBtus!$B$3:$B$53&amp;Res_AllFuels_SEDS_2022_TBtus!$A$3:$A$53,0))),0,(index(Res_AllFuels_SEDS_2022_TBtus!$P$3:$P$53,match($B32&amp;G$2,Res_AllFuels_SEDS_2022_TBtus!$B$3:$B$53&amp;Res_AllFuels_SEDS_2022_TBtus!$A$3:$A$53,0))))</f>
        <v>0</v>
      </c>
      <c r="H32" s="75">
        <f t="array" ref="H32">IF(ISERROR(index(Res_AllFuels_SEDS_2022_TBtus!$P$3:$P$53,match($B32&amp;H$2,Res_AllFuels_SEDS_2022_TBtus!$B$3:$B$53&amp;Res_AllFuels_SEDS_2022_TBtus!$A$3:$A$53,0))),0,(index(Res_AllFuels_SEDS_2022_TBtus!$P$3:$P$53,match($B32&amp;H$2,Res_AllFuels_SEDS_2022_TBtus!$B$3:$B$53&amp;Res_AllFuels_SEDS_2022_TBtus!$A$3:$A$53,0))))</f>
        <v>0</v>
      </c>
      <c r="I32" s="75">
        <f t="array" ref="I32">IF(ISERROR(index(Res_AllFuels_SEDS_2022_TBtus!$P$3:$P$53,match($B32&amp;I$2,Res_AllFuels_SEDS_2022_TBtus!$B$3:$B$53&amp;Res_AllFuels_SEDS_2022_TBtus!$A$3:$A$53,0))),0,(index(Res_AllFuels_SEDS_2022_TBtus!$P$3:$P$53,match($B32&amp;I$2,Res_AllFuels_SEDS_2022_TBtus!$B$3:$B$53&amp;Res_AllFuels_SEDS_2022_TBtus!$A$3:$A$53,0))))</f>
        <v>0</v>
      </c>
      <c r="J32" s="75">
        <f t="array" ref="J32">IF(ISERROR(index(Res_AllFuels_SEDS_2022_TBtus!$P$3:$P$53,match($B32&amp;J$2,Res_AllFuels_SEDS_2022_TBtus!$B$3:$B$53&amp;Res_AllFuels_SEDS_2022_TBtus!$A$3:$A$53,0))),0,(index(Res_AllFuels_SEDS_2022_TBtus!$P$3:$P$53,match($B32&amp;J$2,Res_AllFuels_SEDS_2022_TBtus!$B$3:$B$53&amp;Res_AllFuels_SEDS_2022_TBtus!$A$3:$A$53,0))))</f>
        <v>0</v>
      </c>
      <c r="K32" s="75">
        <f t="array" ref="K32">IF(ISERROR(index(Res_AllFuels_SEDS_2022_TBtus!$P$3:$P$53,match($B32&amp;K$2,Res_AllFuels_SEDS_2022_TBtus!$B$3:$B$53&amp;Res_AllFuels_SEDS_2022_TBtus!$A$3:$A$53,0))),0,(index(Res_AllFuels_SEDS_2022_TBtus!$P$3:$P$53,match($B32&amp;K$2,Res_AllFuels_SEDS_2022_TBtus!$B$3:$B$53&amp;Res_AllFuels_SEDS_2022_TBtus!$A$3:$A$53,0))))</f>
        <v>0</v>
      </c>
      <c r="L32" s="75">
        <f t="array" ref="L32">IF(ISERROR(index(Res_AllFuels_SEDS_2022_TBtus!$P$3:$P$53,match($B32&amp;L$2,Res_AllFuels_SEDS_2022_TBtus!$B$3:$B$53&amp;Res_AllFuels_SEDS_2022_TBtus!$A$3:$A$53,0))),0,(index(Res_AllFuels_SEDS_2022_TBtus!$P$3:$P$53,match($B32&amp;L$2,Res_AllFuels_SEDS_2022_TBtus!$B$3:$B$53&amp;Res_AllFuels_SEDS_2022_TBtus!$A$3:$A$53,0))))</f>
        <v>0</v>
      </c>
      <c r="M32" s="75">
        <f t="array" ref="M32">IF(ISERROR(index(Res_AllFuels_SEDS_2022_TBtus!$P$3:$P$53,match($B32&amp;M$2,Res_AllFuels_SEDS_2022_TBtus!$B$3:$B$53&amp;Res_AllFuels_SEDS_2022_TBtus!$A$3:$A$53,0))),0,(index(Res_AllFuels_SEDS_2022_TBtus!$P$3:$P$53,match($B32&amp;M$2,Res_AllFuels_SEDS_2022_TBtus!$B$3:$B$53&amp;Res_AllFuels_SEDS_2022_TBtus!$A$3:$A$53,0))))</f>
        <v>0</v>
      </c>
      <c r="N32" s="75">
        <f t="array" ref="N32">IF(ISERROR(index(Res_AllFuels_SEDS_2022_TBtus!$P$3:$P$53,match($B32&amp;N$2,Res_AllFuels_SEDS_2022_TBtus!$B$3:$B$53&amp;Res_AllFuels_SEDS_2022_TBtus!$A$3:$A$53,0))),0,(index(Res_AllFuels_SEDS_2022_TBtus!$P$3:$P$53,match($B32&amp;N$2,Res_AllFuels_SEDS_2022_TBtus!$B$3:$B$53&amp;Res_AllFuels_SEDS_2022_TBtus!$A$3:$A$53,0))))</f>
        <v>0</v>
      </c>
      <c r="O32" s="75">
        <f t="array" ref="O32">IF(ISERROR(index(Res_AllFuels_SEDS_2022_TBtus!$P$3:$P$53,match($B32&amp;O$2,Res_AllFuels_SEDS_2022_TBtus!$B$3:$B$53&amp;Res_AllFuels_SEDS_2022_TBtus!$A$3:$A$53,0))),0,(index(Res_AllFuels_SEDS_2022_TBtus!$P$3:$P$53,match($B32&amp;O$2,Res_AllFuels_SEDS_2022_TBtus!$B$3:$B$53&amp;Res_AllFuels_SEDS_2022_TBtus!$A$3:$A$53,0))))</f>
        <v>0</v>
      </c>
      <c r="P32" s="75">
        <f t="array" ref="P32">IF(ISERROR(index(Res_AllFuels_SEDS_2022_TBtus!$P$3:$P$53,match($B32&amp;P$2,Res_AllFuels_SEDS_2022_TBtus!$B$3:$B$53&amp;Res_AllFuels_SEDS_2022_TBtus!$A$3:$A$53,0))),0,(index(Res_AllFuels_SEDS_2022_TBtus!$P$3:$P$53,match($B32&amp;P$2,Res_AllFuels_SEDS_2022_TBtus!$B$3:$B$53&amp;Res_AllFuels_SEDS_2022_TBtus!$A$3:$A$53,0))))</f>
        <v>0.5</v>
      </c>
      <c r="Q32" s="75">
        <f t="array" ref="Q32">IF(ISERROR(index(Res_AllFuels_SEDS_2022_TBtus!$P$3:$P$53,match($B32&amp;Q$2,Res_AllFuels_SEDS_2022_TBtus!$B$3:$B$53&amp;Res_AllFuels_SEDS_2022_TBtus!$A$3:$A$53,0))),0,(index(Res_AllFuels_SEDS_2022_TBtus!$P$3:$P$53,match($B32&amp;Q$2,Res_AllFuels_SEDS_2022_TBtus!$B$3:$B$53&amp;Res_AllFuels_SEDS_2022_TBtus!$A$3:$A$53,0))))</f>
        <v>1.2</v>
      </c>
      <c r="R32" s="75">
        <f t="array" ref="R32">IF(ISERROR(index(Res_AllFuels_SEDS_2022_TBtus!$P$3:$P$53,match($B32&amp;R$2,Res_AllFuels_SEDS_2022_TBtus!$B$3:$B$53&amp;Res_AllFuels_SEDS_2022_TBtus!$A$3:$A$53,0))),0,(index(Res_AllFuels_SEDS_2022_TBtus!$P$3:$P$53,match($B32&amp;R$2,Res_AllFuels_SEDS_2022_TBtus!$B$3:$B$53&amp;Res_AllFuels_SEDS_2022_TBtus!$A$3:$A$53,0))))</f>
        <v>0</v>
      </c>
      <c r="S32" s="75">
        <f t="array" ref="S32">IF(ISERROR(index(Res_AllFuels_SEDS_2022_TBtus!$P$3:$P$53,match($B32&amp;S$2,Res_AllFuels_SEDS_2022_TBtus!$B$3:$B$53&amp;Res_AllFuels_SEDS_2022_TBtus!$A$3:$A$53,0))),0,(index(Res_AllFuels_SEDS_2022_TBtus!$P$3:$P$53,match($B32&amp;S$2,Res_AllFuels_SEDS_2022_TBtus!$B$3:$B$53&amp;Res_AllFuels_SEDS_2022_TBtus!$A$3:$A$53,0))))</f>
        <v>0</v>
      </c>
      <c r="T32" s="75">
        <f t="array" ref="T32">IF(ISERROR(index(Res_AllFuels_SEDS_2022_TBtus!$P$3:$P$53,match($B32&amp;T$2,Res_AllFuels_SEDS_2022_TBtus!$B$3:$B$53&amp;Res_AllFuels_SEDS_2022_TBtus!$A$3:$A$53,0))),0,(index(Res_AllFuels_SEDS_2022_TBtus!$P$3:$P$53,match($B32&amp;T$2,Res_AllFuels_SEDS_2022_TBtus!$B$3:$B$53&amp;Res_AllFuels_SEDS_2022_TBtus!$A$3:$A$53,0))))</f>
        <v>0</v>
      </c>
      <c r="U32" s="75">
        <f t="array" ref="U32">IF(ISERROR(index(Res_AllFuels_SEDS_2022_TBtus!$P$3:$P$53,match($B32&amp;U$2,Res_AllFuels_SEDS_2022_TBtus!$B$3:$B$53&amp;Res_AllFuels_SEDS_2022_TBtus!$A$3:$A$53,0))),0,(index(Res_AllFuels_SEDS_2022_TBtus!$P$3:$P$53,match($B32&amp;U$2,Res_AllFuels_SEDS_2022_TBtus!$B$3:$B$53&amp;Res_AllFuels_SEDS_2022_TBtus!$A$3:$A$53,0))))</f>
        <v>0</v>
      </c>
      <c r="V32" s="75">
        <f t="array" ref="V32">IF(ISERROR(index(Res_AllFuels_SEDS_2022_TBtus!$P$3:$P$53,match($B32&amp;V$2,Res_AllFuels_SEDS_2022_TBtus!$B$3:$B$53&amp;Res_AllFuels_SEDS_2022_TBtus!$A$3:$A$53,0))),0,(index(Res_AllFuels_SEDS_2022_TBtus!$P$3:$P$53,match($B32&amp;V$2,Res_AllFuels_SEDS_2022_TBtus!$B$3:$B$53&amp;Res_AllFuels_SEDS_2022_TBtus!$A$3:$A$53,0))))</f>
        <v>0</v>
      </c>
      <c r="W32" s="75">
        <f t="array" ref="W32">IF(ISERROR(index(Res_AllFuels_SEDS_2022_TBtus!$P$3:$P$53,match($B32&amp;W$2,Res_AllFuels_SEDS_2022_TBtus!$B$3:$B$53&amp;Res_AllFuels_SEDS_2022_TBtus!$A$3:$A$53,0))),0,(index(Res_AllFuels_SEDS_2022_TBtus!$P$3:$P$53,match($B32&amp;W$2,Res_AllFuels_SEDS_2022_TBtus!$B$3:$B$53&amp;Res_AllFuels_SEDS_2022_TBtus!$A$3:$A$53,0))))</f>
        <v>0</v>
      </c>
      <c r="X32" s="75">
        <f t="array" ref="X32">IF(ISERROR(index(Res_AllFuels_SEDS_2022_TBtus!$P$3:$P$53,match($B32&amp;X$2,Res_AllFuels_SEDS_2022_TBtus!$B$3:$B$53&amp;Res_AllFuels_SEDS_2022_TBtus!$A$3:$A$53,0))),0,(index(Res_AllFuels_SEDS_2022_TBtus!$P$3:$P$53,match($B32&amp;X$2,Res_AllFuels_SEDS_2022_TBtus!$B$3:$B$53&amp;Res_AllFuels_SEDS_2022_TBtus!$A$3:$A$53,0))))</f>
        <v>0</v>
      </c>
      <c r="Y32" s="75">
        <f t="array" ref="Y32">IF(ISERROR(index(Res_AllFuels_SEDS_2022_TBtus!$P$3:$P$53,match($B32&amp;Y$2,Res_AllFuels_SEDS_2022_TBtus!$B$3:$B$53&amp;Res_AllFuels_SEDS_2022_TBtus!$A$3:$A$53,0))),0,(index(Res_AllFuels_SEDS_2022_TBtus!$P$3:$P$53,match($B32&amp;Y$2,Res_AllFuels_SEDS_2022_TBtus!$B$3:$B$53&amp;Res_AllFuels_SEDS_2022_TBtus!$A$3:$A$53,0))))</f>
        <v>3.1</v>
      </c>
      <c r="Z32" s="75">
        <f t="array" ref="Z32">IF(ISERROR(index(Res_AllFuels_SEDS_2022_TBtus!$P$3:$P$53,match($B32&amp;Z$2,Res_AllFuels_SEDS_2022_TBtus!$B$3:$B$53&amp;Res_AllFuels_SEDS_2022_TBtus!$A$3:$A$53,0))),0,(index(Res_AllFuels_SEDS_2022_TBtus!$P$3:$P$53,match($B32&amp;Z$2,Res_AllFuels_SEDS_2022_TBtus!$B$3:$B$53&amp;Res_AllFuels_SEDS_2022_TBtus!$A$3:$A$53,0))))</f>
        <v>0</v>
      </c>
      <c r="AA32" s="75">
        <f t="array" ref="AA32">IF(ISERROR(index(Res_AllFuels_SEDS_2022_TBtus!$P$3:$P$53,match($B32&amp;AA$2,Res_AllFuels_SEDS_2022_TBtus!$B$3:$B$53&amp;Res_AllFuels_SEDS_2022_TBtus!$A$3:$A$53,0))),0,(index(Res_AllFuels_SEDS_2022_TBtus!$P$3:$P$53,match($B32&amp;AA$2,Res_AllFuels_SEDS_2022_TBtus!$B$3:$B$53&amp;Res_AllFuels_SEDS_2022_TBtus!$A$3:$A$53,0))))</f>
        <v>0</v>
      </c>
      <c r="AB32" s="75">
        <f t="array" ref="AB32">IF(ISERROR(index(Res_AllFuels_SEDS_2022_TBtus!$P$3:$P$53,match($B32&amp;AB$2,Res_AllFuels_SEDS_2022_TBtus!$B$3:$B$53&amp;Res_AllFuels_SEDS_2022_TBtus!$A$3:$A$53,0))),0,(index(Res_AllFuels_SEDS_2022_TBtus!$P$3:$P$53,match($B32&amp;AB$2,Res_AllFuels_SEDS_2022_TBtus!$B$3:$B$53&amp;Res_AllFuels_SEDS_2022_TBtus!$A$3:$A$53,0))))</f>
        <v>0</v>
      </c>
      <c r="AC32" s="75">
        <f t="array" ref="AC32">IF(ISERROR(index(Res_AllFuels_SEDS_2022_TBtus!$P$3:$P$53,match($B32&amp;AC$2,Res_AllFuels_SEDS_2022_TBtus!$B$3:$B$53&amp;Res_AllFuels_SEDS_2022_TBtus!$A$3:$A$53,0))),0,(index(Res_AllFuels_SEDS_2022_TBtus!$P$3:$P$53,match($B32&amp;AC$2,Res_AllFuels_SEDS_2022_TBtus!$B$3:$B$53&amp;Res_AllFuels_SEDS_2022_TBtus!$A$3:$A$53,0))))</f>
        <v>0</v>
      </c>
      <c r="AD32" s="75">
        <f t="array" ref="AD32">IF(ISERROR(index(Res_AllFuels_SEDS_2022_TBtus!$P$3:$P$53,match($B32&amp;AD$2,Res_AllFuels_SEDS_2022_TBtus!$B$3:$B$53&amp;Res_AllFuels_SEDS_2022_TBtus!$A$3:$A$53,0))),0,(index(Res_AllFuels_SEDS_2022_TBtus!$P$3:$P$53,match($B32&amp;AD$2,Res_AllFuels_SEDS_2022_TBtus!$B$3:$B$53&amp;Res_AllFuels_SEDS_2022_TBtus!$A$3:$A$53,0))))</f>
        <v>0</v>
      </c>
      <c r="AE32" s="75">
        <f t="array" ref="AE32">IF(ISERROR(index(Res_AllFuels_SEDS_2022_TBtus!$P$3:$P$53,match($B32&amp;AE$2,Res_AllFuels_SEDS_2022_TBtus!$B$3:$B$53&amp;Res_AllFuels_SEDS_2022_TBtus!$A$3:$A$53,0))),0,(index(Res_AllFuels_SEDS_2022_TBtus!$P$3:$P$53,match($B32&amp;AE$2,Res_AllFuels_SEDS_2022_TBtus!$B$3:$B$53&amp;Res_AllFuels_SEDS_2022_TBtus!$A$3:$A$53,0))))</f>
        <v>0</v>
      </c>
      <c r="AF32" s="75">
        <f t="array" ref="AF32">IF(ISERROR(index(Res_AllFuels_SEDS_2022_TBtus!$P$3:$P$53,match($B32&amp;AF$2,Res_AllFuels_SEDS_2022_TBtus!$B$3:$B$53&amp;Res_AllFuels_SEDS_2022_TBtus!$A$3:$A$53,0))),0,(index(Res_AllFuels_SEDS_2022_TBtus!$P$3:$P$53,match($B32&amp;AF$2,Res_AllFuels_SEDS_2022_TBtus!$B$3:$B$53&amp;Res_AllFuels_SEDS_2022_TBtus!$A$3:$A$53,0))))</f>
        <v>0</v>
      </c>
      <c r="AG32" s="75">
        <f t="array" ref="AG32">IF(ISERROR(index(Res_AllFuels_SEDS_2022_TBtus!$P$3:$P$53,match($B32&amp;AG$2,Res_AllFuels_SEDS_2022_TBtus!$B$3:$B$53&amp;Res_AllFuels_SEDS_2022_TBtus!$A$3:$A$53,0))),0,(index(Res_AllFuels_SEDS_2022_TBtus!$P$3:$P$53,match($B32&amp;AG$2,Res_AllFuels_SEDS_2022_TBtus!$B$3:$B$53&amp;Res_AllFuels_SEDS_2022_TBtus!$A$3:$A$53,0))))</f>
        <v>0</v>
      </c>
      <c r="AH32" s="75">
        <f t="array" ref="AH32">IF(ISERROR(index(Res_AllFuels_SEDS_2022_TBtus!$P$3:$P$53,match($B32&amp;AH$2,Res_AllFuels_SEDS_2022_TBtus!$B$3:$B$53&amp;Res_AllFuels_SEDS_2022_TBtus!$A$3:$A$53,0))),0,(index(Res_AllFuels_SEDS_2022_TBtus!$P$3:$P$53,match($B32&amp;AH$2,Res_AllFuels_SEDS_2022_TBtus!$B$3:$B$53&amp;Res_AllFuels_SEDS_2022_TBtus!$A$3:$A$53,0))))</f>
        <v>0</v>
      </c>
      <c r="AI32" s="75">
        <f t="array" ref="AI32">IF(ISERROR(index(Res_AllFuels_SEDS_2022_TBtus!$P$3:$P$53,match($B32&amp;AI$2,Res_AllFuels_SEDS_2022_TBtus!$B$3:$B$53&amp;Res_AllFuels_SEDS_2022_TBtus!$A$3:$A$53,0))),0,(index(Res_AllFuels_SEDS_2022_TBtus!$P$3:$P$53,match($B32&amp;AI$2,Res_AllFuels_SEDS_2022_TBtus!$B$3:$B$53&amp;Res_AllFuels_SEDS_2022_TBtus!$A$3:$A$53,0))))</f>
        <v>0</v>
      </c>
      <c r="AJ32" s="75">
        <f t="array" ref="AJ32">IF(ISERROR(index(Res_AllFuels_SEDS_2022_TBtus!$P$3:$P$53,match($B32&amp;AJ$2,Res_AllFuels_SEDS_2022_TBtus!$B$3:$B$53&amp;Res_AllFuels_SEDS_2022_TBtus!$A$3:$A$53,0))),0,(index(Res_AllFuels_SEDS_2022_TBtus!$P$3:$P$53,match($B32&amp;AJ$2,Res_AllFuels_SEDS_2022_TBtus!$B$3:$B$53&amp;Res_AllFuels_SEDS_2022_TBtus!$A$3:$A$53,0))))</f>
        <v>0</v>
      </c>
      <c r="AK32" s="75">
        <f t="array" ref="AK32">IF(ISERROR(index(Res_AllFuels_SEDS_2022_TBtus!$P$3:$P$53,match($B32&amp;AK$2,Res_AllFuels_SEDS_2022_TBtus!$B$3:$B$53&amp;Res_AllFuels_SEDS_2022_TBtus!$A$3:$A$53,0))),0,(index(Res_AllFuels_SEDS_2022_TBtus!$P$3:$P$53,match($B32&amp;AK$2,Res_AllFuels_SEDS_2022_TBtus!$B$3:$B$53&amp;Res_AllFuels_SEDS_2022_TBtus!$A$3:$A$53,0))))</f>
        <v>0</v>
      </c>
      <c r="AL32" s="75">
        <f t="array" ref="AL32">IF(ISERROR(index(Res_AllFuels_SEDS_2022_TBtus!$P$3:$P$53,match($B32&amp;AL$2,Res_AllFuels_SEDS_2022_TBtus!$B$3:$B$53&amp;Res_AllFuels_SEDS_2022_TBtus!$A$3:$A$53,0))),0,(index(Res_AllFuels_SEDS_2022_TBtus!$P$3:$P$53,match($B32&amp;AL$2,Res_AllFuels_SEDS_2022_TBtus!$B$3:$B$53&amp;Res_AllFuels_SEDS_2022_TBtus!$A$3:$A$53,0))))</f>
        <v>8</v>
      </c>
      <c r="AM32" s="75">
        <f t="array" ref="AM32">IF(ISERROR(index(Res_AllFuels_SEDS_2022_TBtus!$P$3:$P$53,match($B32&amp;AM$2,Res_AllFuels_SEDS_2022_TBtus!$B$3:$B$53&amp;Res_AllFuels_SEDS_2022_TBtus!$A$3:$A$53,0))),0,(index(Res_AllFuels_SEDS_2022_TBtus!$P$3:$P$53,match($B32&amp;AM$2,Res_AllFuels_SEDS_2022_TBtus!$B$3:$B$53&amp;Res_AllFuels_SEDS_2022_TBtus!$A$3:$A$53,0))))</f>
        <v>0</v>
      </c>
      <c r="AN32" s="75">
        <f t="array" ref="AN32">IF(ISERROR(index(Res_AllFuels_SEDS_2022_TBtus!$P$3:$P$53,match($B32&amp;AN$2,Res_AllFuels_SEDS_2022_TBtus!$B$3:$B$53&amp;Res_AllFuels_SEDS_2022_TBtus!$A$3:$A$53,0))),0,(index(Res_AllFuels_SEDS_2022_TBtus!$P$3:$P$53,match($B32&amp;AN$2,Res_AllFuels_SEDS_2022_TBtus!$B$3:$B$53&amp;Res_AllFuels_SEDS_2022_TBtus!$A$3:$A$53,0))))</f>
        <v>0</v>
      </c>
      <c r="AO32" s="75">
        <f t="array" ref="AO32">IF(ISERROR(index(Res_AllFuels_SEDS_2022_TBtus!$P$3:$P$53,match($B32&amp;AO$2,Res_AllFuels_SEDS_2022_TBtus!$B$3:$B$53&amp;Res_AllFuels_SEDS_2022_TBtus!$A$3:$A$53,0))),0,(index(Res_AllFuels_SEDS_2022_TBtus!$P$3:$P$53,match($B32&amp;AO$2,Res_AllFuels_SEDS_2022_TBtus!$B$3:$B$53&amp;Res_AllFuels_SEDS_2022_TBtus!$A$3:$A$53,0))))</f>
        <v>0</v>
      </c>
      <c r="AP32" s="75">
        <f t="array" ref="AP32">IF(ISERROR(index(Res_AllFuels_SEDS_2022_TBtus!$P$3:$P$53,match($B32&amp;AP$2,Res_AllFuels_SEDS_2022_TBtus!$B$3:$B$53&amp;Res_AllFuels_SEDS_2022_TBtus!$A$3:$A$53,0))),0,(index(Res_AllFuels_SEDS_2022_TBtus!$P$3:$P$53,match($B32&amp;AP$2,Res_AllFuels_SEDS_2022_TBtus!$B$3:$B$53&amp;Res_AllFuels_SEDS_2022_TBtus!$A$3:$A$53,0))))</f>
        <v>0</v>
      </c>
      <c r="AQ32" s="75">
        <f t="array" ref="AQ32">IF(ISERROR(index(Res_AllFuels_SEDS_2022_TBtus!$P$3:$P$53,match($B32&amp;AQ$2,Res_AllFuels_SEDS_2022_TBtus!$B$3:$B$53&amp;Res_AllFuels_SEDS_2022_TBtus!$A$3:$A$53,0))),0,(index(Res_AllFuels_SEDS_2022_TBtus!$P$3:$P$53,match($B32&amp;AQ$2,Res_AllFuels_SEDS_2022_TBtus!$B$3:$B$53&amp;Res_AllFuels_SEDS_2022_TBtus!$A$3:$A$53,0))))</f>
        <v>0</v>
      </c>
      <c r="AR32" s="75">
        <f t="array" ref="AR32">IF(ISERROR(index(Res_AllFuels_SEDS_2022_TBtus!$P$3:$P$53,match($B32&amp;AR$2,Res_AllFuels_SEDS_2022_TBtus!$B$3:$B$53&amp;Res_AllFuels_SEDS_2022_TBtus!$A$3:$A$53,0))),0,(index(Res_AllFuels_SEDS_2022_TBtus!$P$3:$P$53,match($B32&amp;AR$2,Res_AllFuels_SEDS_2022_TBtus!$B$3:$B$53&amp;Res_AllFuels_SEDS_2022_TBtus!$A$3:$A$53,0))))</f>
        <v>0</v>
      </c>
      <c r="AS32" s="75">
        <f t="array" ref="AS32">IF(ISERROR(index(Res_AllFuels_SEDS_2022_TBtus!$P$3:$P$53,match($B32&amp;AS$2,Res_AllFuels_SEDS_2022_TBtus!$B$3:$B$53&amp;Res_AllFuels_SEDS_2022_TBtus!$A$3:$A$53,0))),0,(index(Res_AllFuels_SEDS_2022_TBtus!$P$3:$P$53,match($B32&amp;AS$2,Res_AllFuels_SEDS_2022_TBtus!$B$3:$B$53&amp;Res_AllFuels_SEDS_2022_TBtus!$A$3:$A$53,0))))</f>
        <v>0</v>
      </c>
      <c r="AT32" s="75">
        <f t="array" ref="AT32">IF(ISERROR(index(Res_AllFuels_SEDS_2022_TBtus!$P$3:$P$53,match($B32&amp;AT$2,Res_AllFuels_SEDS_2022_TBtus!$B$3:$B$53&amp;Res_AllFuels_SEDS_2022_TBtus!$A$3:$A$53,0))),0,(index(Res_AllFuels_SEDS_2022_TBtus!$P$3:$P$53,match($B32&amp;AT$2,Res_AllFuels_SEDS_2022_TBtus!$B$3:$B$53&amp;Res_AllFuels_SEDS_2022_TBtus!$A$3:$A$53,0))))</f>
        <v>0</v>
      </c>
      <c r="AU32" s="75">
        <f t="array" ref="AU32">IF(ISERROR(index(Res_AllFuels_SEDS_2022_TBtus!$P$3:$P$53,match($B32&amp;AU$2,Res_AllFuels_SEDS_2022_TBtus!$B$3:$B$53&amp;Res_AllFuels_SEDS_2022_TBtus!$A$3:$A$53,0))),0,(index(Res_AllFuels_SEDS_2022_TBtus!$P$3:$P$53,match($B32&amp;AU$2,Res_AllFuels_SEDS_2022_TBtus!$B$3:$B$53&amp;Res_AllFuels_SEDS_2022_TBtus!$A$3:$A$53,0))))</f>
        <v>0</v>
      </c>
      <c r="AV32" s="75">
        <f t="array" ref="AV32">IF(ISERROR(index(Res_AllFuels_SEDS_2022_TBtus!$P$3:$P$53,match($B32&amp;AV$2,Res_AllFuels_SEDS_2022_TBtus!$B$3:$B$53&amp;Res_AllFuels_SEDS_2022_TBtus!$A$3:$A$53,0))),0,(index(Res_AllFuels_SEDS_2022_TBtus!$P$3:$P$53,match($B32&amp;AV$2,Res_AllFuels_SEDS_2022_TBtus!$B$3:$B$53&amp;Res_AllFuels_SEDS_2022_TBtus!$A$3:$A$53,0))))</f>
        <v>0</v>
      </c>
      <c r="AW32" s="75">
        <f t="array" ref="AW32">IF(ISERROR(index(Res_AllFuels_SEDS_2022_TBtus!$P$3:$P$53,match($B32&amp;AW$2,Res_AllFuels_SEDS_2022_TBtus!$B$3:$B$53&amp;Res_AllFuels_SEDS_2022_TBtus!$A$3:$A$53,0))),0,(index(Res_AllFuels_SEDS_2022_TBtus!$P$3:$P$53,match($B32&amp;AW$2,Res_AllFuels_SEDS_2022_TBtus!$B$3:$B$53&amp;Res_AllFuels_SEDS_2022_TBtus!$A$3:$A$53,0))))</f>
        <v>0</v>
      </c>
      <c r="AX32" s="75">
        <f t="array" ref="AX32">IF(ISERROR(index(Res_AllFuels_SEDS_2022_TBtus!$P$3:$P$53,match($B32&amp;AX$2,Res_AllFuels_SEDS_2022_TBtus!$B$3:$B$53&amp;Res_AllFuels_SEDS_2022_TBtus!$A$3:$A$53,0))),0,(index(Res_AllFuels_SEDS_2022_TBtus!$P$3:$P$53,match($B32&amp;AX$2,Res_AllFuels_SEDS_2022_TBtus!$B$3:$B$53&amp;Res_AllFuels_SEDS_2022_TBtus!$A$3:$A$53,0))))</f>
        <v>0</v>
      </c>
      <c r="AY32" s="75">
        <f t="array" ref="AY32">IF(ISERROR(index(Res_AllFuels_SEDS_2022_TBtus!$P$3:$P$53,match($B32&amp;AY$2,Res_AllFuels_SEDS_2022_TBtus!$B$3:$B$53&amp;Res_AllFuels_SEDS_2022_TBtus!$A$3:$A$53,0))),0,(index(Res_AllFuels_SEDS_2022_TBtus!$P$3:$P$53,match($B32&amp;AY$2,Res_AllFuels_SEDS_2022_TBtus!$B$3:$B$53&amp;Res_AllFuels_SEDS_2022_TBtus!$A$3:$A$53,0))))</f>
        <v>0</v>
      </c>
      <c r="AZ32" s="75">
        <f t="array" ref="AZ32">IF(ISERROR(index(Res_AllFuels_SEDS_2022_TBtus!$P$3:$P$53,match($B32&amp;AZ$2,Res_AllFuels_SEDS_2022_TBtus!$B$3:$B$53&amp;Res_AllFuels_SEDS_2022_TBtus!$A$3:$A$53,0))),0,(index(Res_AllFuels_SEDS_2022_TBtus!$P$3:$P$53,match($B32&amp;AZ$2,Res_AllFuels_SEDS_2022_TBtus!$B$3:$B$53&amp;Res_AllFuels_SEDS_2022_TBtus!$A$3:$A$53,0))))</f>
        <v>4.8</v>
      </c>
      <c r="BA32" s="75">
        <f t="array" ref="BA32">IF(ISERROR(index(Res_AllFuels_SEDS_2022_TBtus!$P$3:$P$53,match($B32&amp;BA$2,Res_AllFuels_SEDS_2022_TBtus!$B$3:$B$53&amp;Res_AllFuels_SEDS_2022_TBtus!$A$3:$A$53,0))),0,(index(Res_AllFuels_SEDS_2022_TBtus!$P$3:$P$53,match($B32&amp;BA$2,Res_AllFuels_SEDS_2022_TBtus!$B$3:$B$53&amp;Res_AllFuels_SEDS_2022_TBtus!$A$3:$A$53,0))))</f>
        <v>0</v>
      </c>
      <c r="BB32" s="74">
        <f t="shared" si="5"/>
        <v>17.6</v>
      </c>
    </row>
    <row r="33" ht="15.75" customHeight="1">
      <c r="A33" s="78"/>
      <c r="B33" s="74">
        <v>4.0</v>
      </c>
      <c r="C33" s="75">
        <f t="array" ref="C33">IF(ISERROR(index(Res_AllFuels_SEDS_2022_TBtus!$P$3:$P$53,match($B33&amp;C$2,Res_AllFuels_SEDS_2022_TBtus!$B$3:$B$53&amp;Res_AllFuels_SEDS_2022_TBtus!$A$3:$A$53,0))),0,(index(Res_AllFuels_SEDS_2022_TBtus!$P$3:$P$53,match($B33&amp;C$2,Res_AllFuels_SEDS_2022_TBtus!$B$3:$B$53&amp;Res_AllFuels_SEDS_2022_TBtus!$A$3:$A$53,0))))</f>
        <v>0</v>
      </c>
      <c r="D33" s="75">
        <f t="array" ref="D33">IF(ISERROR(index(Res_AllFuels_SEDS_2022_TBtus!$P$3:$P$53,match($B33&amp;D$2,Res_AllFuels_SEDS_2022_TBtus!$B$3:$B$53&amp;Res_AllFuels_SEDS_2022_TBtus!$A$3:$A$53,0))),0,(index(Res_AllFuels_SEDS_2022_TBtus!$P$3:$P$53,match($B33&amp;D$2,Res_AllFuels_SEDS_2022_TBtus!$B$3:$B$53&amp;Res_AllFuels_SEDS_2022_TBtus!$A$3:$A$53,0))))</f>
        <v>0</v>
      </c>
      <c r="E33" s="75">
        <f t="array" ref="E33">IF(ISERROR(index(Res_AllFuels_SEDS_2022_TBtus!$P$3:$P$53,match($B33&amp;E$2,Res_AllFuels_SEDS_2022_TBtus!$B$3:$B$53&amp;Res_AllFuels_SEDS_2022_TBtus!$A$3:$A$53,0))),0,(index(Res_AllFuels_SEDS_2022_TBtus!$P$3:$P$53,match($B33&amp;E$2,Res_AllFuels_SEDS_2022_TBtus!$B$3:$B$53&amp;Res_AllFuels_SEDS_2022_TBtus!$A$3:$A$53,0))))</f>
        <v>0</v>
      </c>
      <c r="F33" s="75">
        <f t="array" ref="F33">IF(ISERROR(index(Res_AllFuels_SEDS_2022_TBtus!$P$3:$P$53,match($B33&amp;F$2,Res_AllFuels_SEDS_2022_TBtus!$B$3:$B$53&amp;Res_AllFuels_SEDS_2022_TBtus!$A$3:$A$53,0))),0,(index(Res_AllFuels_SEDS_2022_TBtus!$P$3:$P$53,match($B33&amp;F$2,Res_AllFuels_SEDS_2022_TBtus!$B$3:$B$53&amp;Res_AllFuels_SEDS_2022_TBtus!$A$3:$A$53,0))))</f>
        <v>0</v>
      </c>
      <c r="G33" s="75">
        <f t="array" ref="G33">IF(ISERROR(index(Res_AllFuels_SEDS_2022_TBtus!$P$3:$P$53,match($B33&amp;G$2,Res_AllFuels_SEDS_2022_TBtus!$B$3:$B$53&amp;Res_AllFuels_SEDS_2022_TBtus!$A$3:$A$53,0))),0,(index(Res_AllFuels_SEDS_2022_TBtus!$P$3:$P$53,match($B33&amp;G$2,Res_AllFuels_SEDS_2022_TBtus!$B$3:$B$53&amp;Res_AllFuels_SEDS_2022_TBtus!$A$3:$A$53,0))))</f>
        <v>0</v>
      </c>
      <c r="H33" s="75">
        <f t="array" ref="H33">IF(ISERROR(index(Res_AllFuels_SEDS_2022_TBtus!$P$3:$P$53,match($B33&amp;H$2,Res_AllFuels_SEDS_2022_TBtus!$B$3:$B$53&amp;Res_AllFuels_SEDS_2022_TBtus!$A$3:$A$53,0))),0,(index(Res_AllFuels_SEDS_2022_TBtus!$P$3:$P$53,match($B33&amp;H$2,Res_AllFuels_SEDS_2022_TBtus!$B$3:$B$53&amp;Res_AllFuels_SEDS_2022_TBtus!$A$3:$A$53,0))))</f>
        <v>0</v>
      </c>
      <c r="I33" s="75">
        <f t="array" ref="I33">IF(ISERROR(index(Res_AllFuels_SEDS_2022_TBtus!$P$3:$P$53,match($B33&amp;I$2,Res_AllFuels_SEDS_2022_TBtus!$B$3:$B$53&amp;Res_AllFuels_SEDS_2022_TBtus!$A$3:$A$53,0))),0,(index(Res_AllFuels_SEDS_2022_TBtus!$P$3:$P$53,match($B33&amp;I$2,Res_AllFuels_SEDS_2022_TBtus!$B$3:$B$53&amp;Res_AllFuels_SEDS_2022_TBtus!$A$3:$A$53,0))))</f>
        <v>0</v>
      </c>
      <c r="J33" s="75">
        <f t="array" ref="J33">IF(ISERROR(index(Res_AllFuels_SEDS_2022_TBtus!$P$3:$P$53,match($B33&amp;J$2,Res_AllFuels_SEDS_2022_TBtus!$B$3:$B$53&amp;Res_AllFuels_SEDS_2022_TBtus!$A$3:$A$53,0))),0,(index(Res_AllFuels_SEDS_2022_TBtus!$P$3:$P$53,match($B33&amp;J$2,Res_AllFuels_SEDS_2022_TBtus!$B$3:$B$53&amp;Res_AllFuels_SEDS_2022_TBtus!$A$3:$A$53,0))))</f>
        <v>0</v>
      </c>
      <c r="K33" s="75">
        <f t="array" ref="K33">IF(ISERROR(index(Res_AllFuels_SEDS_2022_TBtus!$P$3:$P$53,match($B33&amp;K$2,Res_AllFuels_SEDS_2022_TBtus!$B$3:$B$53&amp;Res_AllFuels_SEDS_2022_TBtus!$A$3:$A$53,0))),0,(index(Res_AllFuels_SEDS_2022_TBtus!$P$3:$P$53,match($B33&amp;K$2,Res_AllFuels_SEDS_2022_TBtus!$B$3:$B$53&amp;Res_AllFuels_SEDS_2022_TBtus!$A$3:$A$53,0))))</f>
        <v>0</v>
      </c>
      <c r="L33" s="75">
        <f t="array" ref="L33">IF(ISERROR(index(Res_AllFuels_SEDS_2022_TBtus!$P$3:$P$53,match($B33&amp;L$2,Res_AllFuels_SEDS_2022_TBtus!$B$3:$B$53&amp;Res_AllFuels_SEDS_2022_TBtus!$A$3:$A$53,0))),0,(index(Res_AllFuels_SEDS_2022_TBtus!$P$3:$P$53,match($B33&amp;L$2,Res_AllFuels_SEDS_2022_TBtus!$B$3:$B$53&amp;Res_AllFuels_SEDS_2022_TBtus!$A$3:$A$53,0))))</f>
        <v>0</v>
      </c>
      <c r="M33" s="75">
        <f t="array" ref="M33">IF(ISERROR(index(Res_AllFuels_SEDS_2022_TBtus!$P$3:$P$53,match($B33&amp;M$2,Res_AllFuels_SEDS_2022_TBtus!$B$3:$B$53&amp;Res_AllFuels_SEDS_2022_TBtus!$A$3:$A$53,0))),0,(index(Res_AllFuels_SEDS_2022_TBtus!$P$3:$P$53,match($B33&amp;M$2,Res_AllFuels_SEDS_2022_TBtus!$B$3:$B$53&amp;Res_AllFuels_SEDS_2022_TBtus!$A$3:$A$53,0))))</f>
        <v>0</v>
      </c>
      <c r="N33" s="75">
        <f t="array" ref="N33">IF(ISERROR(index(Res_AllFuels_SEDS_2022_TBtus!$P$3:$P$53,match($B33&amp;N$2,Res_AllFuels_SEDS_2022_TBtus!$B$3:$B$53&amp;Res_AllFuels_SEDS_2022_TBtus!$A$3:$A$53,0))),0,(index(Res_AllFuels_SEDS_2022_TBtus!$P$3:$P$53,match($B33&amp;N$2,Res_AllFuels_SEDS_2022_TBtus!$B$3:$B$53&amp;Res_AllFuels_SEDS_2022_TBtus!$A$3:$A$53,0))))</f>
        <v>0</v>
      </c>
      <c r="O33" s="75">
        <f t="array" ref="O33">IF(ISERROR(index(Res_AllFuels_SEDS_2022_TBtus!$P$3:$P$53,match($B33&amp;O$2,Res_AllFuels_SEDS_2022_TBtus!$B$3:$B$53&amp;Res_AllFuels_SEDS_2022_TBtus!$A$3:$A$53,0))),0,(index(Res_AllFuels_SEDS_2022_TBtus!$P$3:$P$53,match($B33&amp;O$2,Res_AllFuels_SEDS_2022_TBtus!$B$3:$B$53&amp;Res_AllFuels_SEDS_2022_TBtus!$A$3:$A$53,0))))</f>
        <v>0</v>
      </c>
      <c r="P33" s="75">
        <f t="array" ref="P33">IF(ISERROR(index(Res_AllFuels_SEDS_2022_TBtus!$P$3:$P$53,match($B33&amp;P$2,Res_AllFuels_SEDS_2022_TBtus!$B$3:$B$53&amp;Res_AllFuels_SEDS_2022_TBtus!$A$3:$A$53,0))),0,(index(Res_AllFuels_SEDS_2022_TBtus!$P$3:$P$53,match($B33&amp;P$2,Res_AllFuels_SEDS_2022_TBtus!$B$3:$B$53&amp;Res_AllFuels_SEDS_2022_TBtus!$A$3:$A$53,0))))</f>
        <v>0</v>
      </c>
      <c r="Q33" s="75">
        <f t="array" ref="Q33">IF(ISERROR(index(Res_AllFuels_SEDS_2022_TBtus!$P$3:$P$53,match($B33&amp;Q$2,Res_AllFuels_SEDS_2022_TBtus!$B$3:$B$53&amp;Res_AllFuels_SEDS_2022_TBtus!$A$3:$A$53,0))),0,(index(Res_AllFuels_SEDS_2022_TBtus!$P$3:$P$53,match($B33&amp;Q$2,Res_AllFuels_SEDS_2022_TBtus!$B$3:$B$53&amp;Res_AllFuels_SEDS_2022_TBtus!$A$3:$A$53,0))))</f>
        <v>0</v>
      </c>
      <c r="R33" s="75">
        <f t="array" ref="R33">IF(ISERROR(index(Res_AllFuels_SEDS_2022_TBtus!$P$3:$P$53,match($B33&amp;R$2,Res_AllFuels_SEDS_2022_TBtus!$B$3:$B$53&amp;Res_AllFuels_SEDS_2022_TBtus!$A$3:$A$53,0))),0,(index(Res_AllFuels_SEDS_2022_TBtus!$P$3:$P$53,match($B33&amp;R$2,Res_AllFuels_SEDS_2022_TBtus!$B$3:$B$53&amp;Res_AllFuels_SEDS_2022_TBtus!$A$3:$A$53,0))))</f>
        <v>0.9</v>
      </c>
      <c r="S33" s="75">
        <f t="array" ref="S33">IF(ISERROR(index(Res_AllFuels_SEDS_2022_TBtus!$P$3:$P$53,match($B33&amp;S$2,Res_AllFuels_SEDS_2022_TBtus!$B$3:$B$53&amp;Res_AllFuels_SEDS_2022_TBtus!$A$3:$A$53,0))),0,(index(Res_AllFuels_SEDS_2022_TBtus!$P$3:$P$53,match($B33&amp;S$2,Res_AllFuels_SEDS_2022_TBtus!$B$3:$B$53&amp;Res_AllFuels_SEDS_2022_TBtus!$A$3:$A$53,0))))</f>
        <v>0</v>
      </c>
      <c r="T33" s="75">
        <f t="array" ref="T33">IF(ISERROR(index(Res_AllFuels_SEDS_2022_TBtus!$P$3:$P$53,match($B33&amp;T$2,Res_AllFuels_SEDS_2022_TBtus!$B$3:$B$53&amp;Res_AllFuels_SEDS_2022_TBtus!$A$3:$A$53,0))),0,(index(Res_AllFuels_SEDS_2022_TBtus!$P$3:$P$53,match($B33&amp;T$2,Res_AllFuels_SEDS_2022_TBtus!$B$3:$B$53&amp;Res_AllFuels_SEDS_2022_TBtus!$A$3:$A$53,0))))</f>
        <v>0</v>
      </c>
      <c r="U33" s="75">
        <f t="array" ref="U33">IF(ISERROR(index(Res_AllFuels_SEDS_2022_TBtus!$P$3:$P$53,match($B33&amp;U$2,Res_AllFuels_SEDS_2022_TBtus!$B$3:$B$53&amp;Res_AllFuels_SEDS_2022_TBtus!$A$3:$A$53,0))),0,(index(Res_AllFuels_SEDS_2022_TBtus!$P$3:$P$53,match($B33&amp;U$2,Res_AllFuels_SEDS_2022_TBtus!$B$3:$B$53&amp;Res_AllFuels_SEDS_2022_TBtus!$A$3:$A$53,0))))</f>
        <v>0</v>
      </c>
      <c r="V33" s="75">
        <f t="array" ref="V33">IF(ISERROR(index(Res_AllFuels_SEDS_2022_TBtus!$P$3:$P$53,match($B33&amp;V$2,Res_AllFuels_SEDS_2022_TBtus!$B$3:$B$53&amp;Res_AllFuels_SEDS_2022_TBtus!$A$3:$A$53,0))),0,(index(Res_AllFuels_SEDS_2022_TBtus!$P$3:$P$53,match($B33&amp;V$2,Res_AllFuels_SEDS_2022_TBtus!$B$3:$B$53&amp;Res_AllFuels_SEDS_2022_TBtus!$A$3:$A$53,0))))</f>
        <v>0</v>
      </c>
      <c r="W33" s="75">
        <f t="array" ref="W33">IF(ISERROR(index(Res_AllFuels_SEDS_2022_TBtus!$P$3:$P$53,match($B33&amp;W$2,Res_AllFuels_SEDS_2022_TBtus!$B$3:$B$53&amp;Res_AllFuels_SEDS_2022_TBtus!$A$3:$A$53,0))),0,(index(Res_AllFuels_SEDS_2022_TBtus!$P$3:$P$53,match($B33&amp;W$2,Res_AllFuels_SEDS_2022_TBtus!$B$3:$B$53&amp;Res_AllFuels_SEDS_2022_TBtus!$A$3:$A$53,0))))</f>
        <v>0</v>
      </c>
      <c r="X33" s="75">
        <f t="array" ref="X33">IF(ISERROR(index(Res_AllFuels_SEDS_2022_TBtus!$P$3:$P$53,match($B33&amp;X$2,Res_AllFuels_SEDS_2022_TBtus!$B$3:$B$53&amp;Res_AllFuels_SEDS_2022_TBtus!$A$3:$A$53,0))),0,(index(Res_AllFuels_SEDS_2022_TBtus!$P$3:$P$53,match($B33&amp;X$2,Res_AllFuels_SEDS_2022_TBtus!$B$3:$B$53&amp;Res_AllFuels_SEDS_2022_TBtus!$A$3:$A$53,0))))</f>
        <v>0</v>
      </c>
      <c r="Y33" s="75">
        <f t="array" ref="Y33">IF(ISERROR(index(Res_AllFuels_SEDS_2022_TBtus!$P$3:$P$53,match($B33&amp;Y$2,Res_AllFuels_SEDS_2022_TBtus!$B$3:$B$53&amp;Res_AllFuels_SEDS_2022_TBtus!$A$3:$A$53,0))),0,(index(Res_AllFuels_SEDS_2022_TBtus!$P$3:$P$53,match($B33&amp;Y$2,Res_AllFuels_SEDS_2022_TBtus!$B$3:$B$53&amp;Res_AllFuels_SEDS_2022_TBtus!$A$3:$A$53,0))))</f>
        <v>0</v>
      </c>
      <c r="Z33" s="75">
        <f t="array" ref="Z33">IF(ISERROR(index(Res_AllFuels_SEDS_2022_TBtus!$P$3:$P$53,match($B33&amp;Z$2,Res_AllFuels_SEDS_2022_TBtus!$B$3:$B$53&amp;Res_AllFuels_SEDS_2022_TBtus!$A$3:$A$53,0))),0,(index(Res_AllFuels_SEDS_2022_TBtus!$P$3:$P$53,match($B33&amp;Z$2,Res_AllFuels_SEDS_2022_TBtus!$B$3:$B$53&amp;Res_AllFuels_SEDS_2022_TBtus!$A$3:$A$53,0))))</f>
        <v>4.9</v>
      </c>
      <c r="AA33" s="75">
        <f t="array" ref="AA33">IF(ISERROR(index(Res_AllFuels_SEDS_2022_TBtus!$P$3:$P$53,match($B33&amp;AA$2,Res_AllFuels_SEDS_2022_TBtus!$B$3:$B$53&amp;Res_AllFuels_SEDS_2022_TBtus!$A$3:$A$53,0))),0,(index(Res_AllFuels_SEDS_2022_TBtus!$P$3:$P$53,match($B33&amp;AA$2,Res_AllFuels_SEDS_2022_TBtus!$B$3:$B$53&amp;Res_AllFuels_SEDS_2022_TBtus!$A$3:$A$53,0))))</f>
        <v>0</v>
      </c>
      <c r="AB33" s="75">
        <f t="array" ref="AB33">IF(ISERROR(index(Res_AllFuels_SEDS_2022_TBtus!$P$3:$P$53,match($B33&amp;AB$2,Res_AllFuels_SEDS_2022_TBtus!$B$3:$B$53&amp;Res_AllFuels_SEDS_2022_TBtus!$A$3:$A$53,0))),0,(index(Res_AllFuels_SEDS_2022_TBtus!$P$3:$P$53,match($B33&amp;AB$2,Res_AllFuels_SEDS_2022_TBtus!$B$3:$B$53&amp;Res_AllFuels_SEDS_2022_TBtus!$A$3:$A$53,0))))</f>
        <v>0.2</v>
      </c>
      <c r="AC33" s="75">
        <f t="array" ref="AC33">IF(ISERROR(index(Res_AllFuels_SEDS_2022_TBtus!$P$3:$P$53,match($B33&amp;AC$2,Res_AllFuels_SEDS_2022_TBtus!$B$3:$B$53&amp;Res_AllFuels_SEDS_2022_TBtus!$A$3:$A$53,0))),0,(index(Res_AllFuels_SEDS_2022_TBtus!$P$3:$P$53,match($B33&amp;AC$2,Res_AllFuels_SEDS_2022_TBtus!$B$3:$B$53&amp;Res_AllFuels_SEDS_2022_TBtus!$A$3:$A$53,0))))</f>
        <v>0</v>
      </c>
      <c r="AD33" s="75">
        <f t="array" ref="AD33">IF(ISERROR(index(Res_AllFuels_SEDS_2022_TBtus!$P$3:$P$53,match($B33&amp;AD$2,Res_AllFuels_SEDS_2022_TBtus!$B$3:$B$53&amp;Res_AllFuels_SEDS_2022_TBtus!$A$3:$A$53,0))),0,(index(Res_AllFuels_SEDS_2022_TBtus!$P$3:$P$53,match($B33&amp;AD$2,Res_AllFuels_SEDS_2022_TBtus!$B$3:$B$53&amp;Res_AllFuels_SEDS_2022_TBtus!$A$3:$A$53,0))))</f>
        <v>0.1</v>
      </c>
      <c r="AE33" s="75">
        <f t="array" ref="AE33">IF(ISERROR(index(Res_AllFuels_SEDS_2022_TBtus!$P$3:$P$53,match($B33&amp;AE$2,Res_AllFuels_SEDS_2022_TBtus!$B$3:$B$53&amp;Res_AllFuels_SEDS_2022_TBtus!$A$3:$A$53,0))),0,(index(Res_AllFuels_SEDS_2022_TBtus!$P$3:$P$53,match($B33&amp;AE$2,Res_AllFuels_SEDS_2022_TBtus!$B$3:$B$53&amp;Res_AllFuels_SEDS_2022_TBtus!$A$3:$A$53,0))))</f>
        <v>0</v>
      </c>
      <c r="AF33" s="75">
        <f t="array" ref="AF33">IF(ISERROR(index(Res_AllFuels_SEDS_2022_TBtus!$P$3:$P$53,match($B33&amp;AF$2,Res_AllFuels_SEDS_2022_TBtus!$B$3:$B$53&amp;Res_AllFuels_SEDS_2022_TBtus!$A$3:$A$53,0))),0,(index(Res_AllFuels_SEDS_2022_TBtus!$P$3:$P$53,match($B33&amp;AF$2,Res_AllFuels_SEDS_2022_TBtus!$B$3:$B$53&amp;Res_AllFuels_SEDS_2022_TBtus!$A$3:$A$53,0))))</f>
        <v>0</v>
      </c>
      <c r="AG33" s="75">
        <f t="array" ref="AG33">IF(ISERROR(index(Res_AllFuels_SEDS_2022_TBtus!$P$3:$P$53,match($B33&amp;AG$2,Res_AllFuels_SEDS_2022_TBtus!$B$3:$B$53&amp;Res_AllFuels_SEDS_2022_TBtus!$A$3:$A$53,0))),0,(index(Res_AllFuels_SEDS_2022_TBtus!$P$3:$P$53,match($B33&amp;AG$2,Res_AllFuels_SEDS_2022_TBtus!$B$3:$B$53&amp;Res_AllFuels_SEDS_2022_TBtus!$A$3:$A$53,0))))</f>
        <v>0</v>
      </c>
      <c r="AH33" s="75">
        <f t="array" ref="AH33">IF(ISERROR(index(Res_AllFuels_SEDS_2022_TBtus!$P$3:$P$53,match($B33&amp;AH$2,Res_AllFuels_SEDS_2022_TBtus!$B$3:$B$53&amp;Res_AllFuels_SEDS_2022_TBtus!$A$3:$A$53,0))),0,(index(Res_AllFuels_SEDS_2022_TBtus!$P$3:$P$53,match($B33&amp;AH$2,Res_AllFuels_SEDS_2022_TBtus!$B$3:$B$53&amp;Res_AllFuels_SEDS_2022_TBtus!$A$3:$A$53,0))))</f>
        <v>0</v>
      </c>
      <c r="AI33" s="75">
        <f t="array" ref="AI33">IF(ISERROR(index(Res_AllFuels_SEDS_2022_TBtus!$P$3:$P$53,match($B33&amp;AI$2,Res_AllFuels_SEDS_2022_TBtus!$B$3:$B$53&amp;Res_AllFuels_SEDS_2022_TBtus!$A$3:$A$53,0))),0,(index(Res_AllFuels_SEDS_2022_TBtus!$P$3:$P$53,match($B33&amp;AI$2,Res_AllFuels_SEDS_2022_TBtus!$B$3:$B$53&amp;Res_AllFuels_SEDS_2022_TBtus!$A$3:$A$53,0))))</f>
        <v>0</v>
      </c>
      <c r="AJ33" s="75">
        <f t="array" ref="AJ33">IF(ISERROR(index(Res_AllFuels_SEDS_2022_TBtus!$P$3:$P$53,match($B33&amp;AJ$2,Res_AllFuels_SEDS_2022_TBtus!$B$3:$B$53&amp;Res_AllFuels_SEDS_2022_TBtus!$A$3:$A$53,0))),0,(index(Res_AllFuels_SEDS_2022_TBtus!$P$3:$P$53,match($B33&amp;AJ$2,Res_AllFuels_SEDS_2022_TBtus!$B$3:$B$53&amp;Res_AllFuels_SEDS_2022_TBtus!$A$3:$A$53,0))))</f>
        <v>0</v>
      </c>
      <c r="AK33" s="75">
        <f t="array" ref="AK33">IF(ISERROR(index(Res_AllFuels_SEDS_2022_TBtus!$P$3:$P$53,match($B33&amp;AK$2,Res_AllFuels_SEDS_2022_TBtus!$B$3:$B$53&amp;Res_AllFuels_SEDS_2022_TBtus!$A$3:$A$53,0))),0,(index(Res_AllFuels_SEDS_2022_TBtus!$P$3:$P$53,match($B33&amp;AK$2,Res_AllFuels_SEDS_2022_TBtus!$B$3:$B$53&amp;Res_AllFuels_SEDS_2022_TBtus!$A$3:$A$53,0))))</f>
        <v>0.9</v>
      </c>
      <c r="AL33" s="75">
        <f t="array" ref="AL33">IF(ISERROR(index(Res_AllFuels_SEDS_2022_TBtus!$P$3:$P$53,match($B33&amp;AL$2,Res_AllFuels_SEDS_2022_TBtus!$B$3:$B$53&amp;Res_AllFuels_SEDS_2022_TBtus!$A$3:$A$53,0))),0,(index(Res_AllFuels_SEDS_2022_TBtus!$P$3:$P$53,match($B33&amp;AL$2,Res_AllFuels_SEDS_2022_TBtus!$B$3:$B$53&amp;Res_AllFuels_SEDS_2022_TBtus!$A$3:$A$53,0))))</f>
        <v>0</v>
      </c>
      <c r="AM33" s="75">
        <f t="array" ref="AM33">IF(ISERROR(index(Res_AllFuels_SEDS_2022_TBtus!$P$3:$P$53,match($B33&amp;AM$2,Res_AllFuels_SEDS_2022_TBtus!$B$3:$B$53&amp;Res_AllFuels_SEDS_2022_TBtus!$A$3:$A$53,0))),0,(index(Res_AllFuels_SEDS_2022_TBtus!$P$3:$P$53,match($B33&amp;AM$2,Res_AllFuels_SEDS_2022_TBtus!$B$3:$B$53&amp;Res_AllFuels_SEDS_2022_TBtus!$A$3:$A$53,0))))</f>
        <v>0</v>
      </c>
      <c r="AN33" s="75">
        <f t="array" ref="AN33">IF(ISERROR(index(Res_AllFuels_SEDS_2022_TBtus!$P$3:$P$53,match($B33&amp;AN$2,Res_AllFuels_SEDS_2022_TBtus!$B$3:$B$53&amp;Res_AllFuels_SEDS_2022_TBtus!$A$3:$A$53,0))),0,(index(Res_AllFuels_SEDS_2022_TBtus!$P$3:$P$53,match($B33&amp;AN$2,Res_AllFuels_SEDS_2022_TBtus!$B$3:$B$53&amp;Res_AllFuels_SEDS_2022_TBtus!$A$3:$A$53,0))))</f>
        <v>0</v>
      </c>
      <c r="AO33" s="75">
        <f t="array" ref="AO33">IF(ISERROR(index(Res_AllFuels_SEDS_2022_TBtus!$P$3:$P$53,match($B33&amp;AO$2,Res_AllFuels_SEDS_2022_TBtus!$B$3:$B$53&amp;Res_AllFuels_SEDS_2022_TBtus!$A$3:$A$53,0))),0,(index(Res_AllFuels_SEDS_2022_TBtus!$P$3:$P$53,match($B33&amp;AO$2,Res_AllFuels_SEDS_2022_TBtus!$B$3:$B$53&amp;Res_AllFuels_SEDS_2022_TBtus!$A$3:$A$53,0))))</f>
        <v>0</v>
      </c>
      <c r="AP33" s="75">
        <f t="array" ref="AP33">IF(ISERROR(index(Res_AllFuels_SEDS_2022_TBtus!$P$3:$P$53,match($B33&amp;AP$2,Res_AllFuels_SEDS_2022_TBtus!$B$3:$B$53&amp;Res_AllFuels_SEDS_2022_TBtus!$A$3:$A$53,0))),0,(index(Res_AllFuels_SEDS_2022_TBtus!$P$3:$P$53,match($B33&amp;AP$2,Res_AllFuels_SEDS_2022_TBtus!$B$3:$B$53&amp;Res_AllFuels_SEDS_2022_TBtus!$A$3:$A$53,0))))</f>
        <v>0</v>
      </c>
      <c r="AQ33" s="75">
        <f t="array" ref="AQ33">IF(ISERROR(index(Res_AllFuels_SEDS_2022_TBtus!$P$3:$P$53,match($B33&amp;AQ$2,Res_AllFuels_SEDS_2022_TBtus!$B$3:$B$53&amp;Res_AllFuels_SEDS_2022_TBtus!$A$3:$A$53,0))),0,(index(Res_AllFuels_SEDS_2022_TBtus!$P$3:$P$53,match($B33&amp;AQ$2,Res_AllFuels_SEDS_2022_TBtus!$B$3:$B$53&amp;Res_AllFuels_SEDS_2022_TBtus!$A$3:$A$53,0))))</f>
        <v>0</v>
      </c>
      <c r="AR33" s="75">
        <f t="array" ref="AR33">IF(ISERROR(index(Res_AllFuels_SEDS_2022_TBtus!$P$3:$P$53,match($B33&amp;AR$2,Res_AllFuels_SEDS_2022_TBtus!$B$3:$B$53&amp;Res_AllFuels_SEDS_2022_TBtus!$A$3:$A$53,0))),0,(index(Res_AllFuels_SEDS_2022_TBtus!$P$3:$P$53,match($B33&amp;AR$2,Res_AllFuels_SEDS_2022_TBtus!$B$3:$B$53&amp;Res_AllFuels_SEDS_2022_TBtus!$A$3:$A$53,0))))</f>
        <v>0.6</v>
      </c>
      <c r="AS33" s="75">
        <f t="array" ref="AS33">IF(ISERROR(index(Res_AllFuels_SEDS_2022_TBtus!$P$3:$P$53,match($B33&amp;AS$2,Res_AllFuels_SEDS_2022_TBtus!$B$3:$B$53&amp;Res_AllFuels_SEDS_2022_TBtus!$A$3:$A$53,0))),0,(index(Res_AllFuels_SEDS_2022_TBtus!$P$3:$P$53,match($B33&amp;AS$2,Res_AllFuels_SEDS_2022_TBtus!$B$3:$B$53&amp;Res_AllFuels_SEDS_2022_TBtus!$A$3:$A$53,0))))</f>
        <v>0</v>
      </c>
      <c r="AT33" s="75">
        <f t="array" ref="AT33">IF(ISERROR(index(Res_AllFuels_SEDS_2022_TBtus!$P$3:$P$53,match($B33&amp;AT$2,Res_AllFuels_SEDS_2022_TBtus!$B$3:$B$53&amp;Res_AllFuels_SEDS_2022_TBtus!$A$3:$A$53,0))),0,(index(Res_AllFuels_SEDS_2022_TBtus!$P$3:$P$53,match($B33&amp;AT$2,Res_AllFuels_SEDS_2022_TBtus!$B$3:$B$53&amp;Res_AllFuels_SEDS_2022_TBtus!$A$3:$A$53,0))))</f>
        <v>0</v>
      </c>
      <c r="AU33" s="75">
        <f t="array" ref="AU33">IF(ISERROR(index(Res_AllFuels_SEDS_2022_TBtus!$P$3:$P$53,match($B33&amp;AU$2,Res_AllFuels_SEDS_2022_TBtus!$B$3:$B$53&amp;Res_AllFuels_SEDS_2022_TBtus!$A$3:$A$53,0))),0,(index(Res_AllFuels_SEDS_2022_TBtus!$P$3:$P$53,match($B33&amp;AU$2,Res_AllFuels_SEDS_2022_TBtus!$B$3:$B$53&amp;Res_AllFuels_SEDS_2022_TBtus!$A$3:$A$53,0))))</f>
        <v>0</v>
      </c>
      <c r="AV33" s="75">
        <f t="array" ref="AV33">IF(ISERROR(index(Res_AllFuels_SEDS_2022_TBtus!$P$3:$P$53,match($B33&amp;AV$2,Res_AllFuels_SEDS_2022_TBtus!$B$3:$B$53&amp;Res_AllFuels_SEDS_2022_TBtus!$A$3:$A$53,0))),0,(index(Res_AllFuels_SEDS_2022_TBtus!$P$3:$P$53,match($B33&amp;AV$2,Res_AllFuels_SEDS_2022_TBtus!$B$3:$B$53&amp;Res_AllFuels_SEDS_2022_TBtus!$A$3:$A$53,0))))</f>
        <v>0</v>
      </c>
      <c r="AW33" s="75">
        <f t="array" ref="AW33">IF(ISERROR(index(Res_AllFuels_SEDS_2022_TBtus!$P$3:$P$53,match($B33&amp;AW$2,Res_AllFuels_SEDS_2022_TBtus!$B$3:$B$53&amp;Res_AllFuels_SEDS_2022_TBtus!$A$3:$A$53,0))),0,(index(Res_AllFuels_SEDS_2022_TBtus!$P$3:$P$53,match($B33&amp;AW$2,Res_AllFuels_SEDS_2022_TBtus!$B$3:$B$53&amp;Res_AllFuels_SEDS_2022_TBtus!$A$3:$A$53,0))))</f>
        <v>0</v>
      </c>
      <c r="AX33" s="75">
        <f t="array" ref="AX33">IF(ISERROR(index(Res_AllFuels_SEDS_2022_TBtus!$P$3:$P$53,match($B33&amp;AX$2,Res_AllFuels_SEDS_2022_TBtus!$B$3:$B$53&amp;Res_AllFuels_SEDS_2022_TBtus!$A$3:$A$53,0))),0,(index(Res_AllFuels_SEDS_2022_TBtus!$P$3:$P$53,match($B33&amp;AX$2,Res_AllFuels_SEDS_2022_TBtus!$B$3:$B$53&amp;Res_AllFuels_SEDS_2022_TBtus!$A$3:$A$53,0))))</f>
        <v>0</v>
      </c>
      <c r="AY33" s="75">
        <f t="array" ref="AY33">IF(ISERROR(index(Res_AllFuels_SEDS_2022_TBtus!$P$3:$P$53,match($B33&amp;AY$2,Res_AllFuels_SEDS_2022_TBtus!$B$3:$B$53&amp;Res_AllFuels_SEDS_2022_TBtus!$A$3:$A$53,0))),0,(index(Res_AllFuels_SEDS_2022_TBtus!$P$3:$P$53,match($B33&amp;AY$2,Res_AllFuels_SEDS_2022_TBtus!$B$3:$B$53&amp;Res_AllFuels_SEDS_2022_TBtus!$A$3:$A$53,0))))</f>
        <v>0</v>
      </c>
      <c r="AZ33" s="75">
        <f t="array" ref="AZ33">IF(ISERROR(index(Res_AllFuels_SEDS_2022_TBtus!$P$3:$P$53,match($B33&amp;AZ$2,Res_AllFuels_SEDS_2022_TBtus!$B$3:$B$53&amp;Res_AllFuels_SEDS_2022_TBtus!$A$3:$A$53,0))),0,(index(Res_AllFuels_SEDS_2022_TBtus!$P$3:$P$53,match($B33&amp;AZ$2,Res_AllFuels_SEDS_2022_TBtus!$B$3:$B$53&amp;Res_AllFuels_SEDS_2022_TBtus!$A$3:$A$53,0))))</f>
        <v>0</v>
      </c>
      <c r="BA33" s="75">
        <f t="array" ref="BA33">IF(ISERROR(index(Res_AllFuels_SEDS_2022_TBtus!$P$3:$P$53,match($B33&amp;BA$2,Res_AllFuels_SEDS_2022_TBtus!$B$3:$B$53&amp;Res_AllFuels_SEDS_2022_TBtus!$A$3:$A$53,0))),0,(index(Res_AllFuels_SEDS_2022_TBtus!$P$3:$P$53,match($B33&amp;BA$2,Res_AllFuels_SEDS_2022_TBtus!$B$3:$B$53&amp;Res_AllFuels_SEDS_2022_TBtus!$A$3:$A$53,0))))</f>
        <v>0</v>
      </c>
      <c r="BB33" s="74">
        <f t="shared" si="5"/>
        <v>7.6</v>
      </c>
    </row>
    <row r="34" ht="15.75" customHeight="1">
      <c r="A34" s="78"/>
      <c r="B34" s="74">
        <v>5.0</v>
      </c>
      <c r="C34" s="75">
        <f t="array" ref="C34">IF(ISERROR(index(Res_AllFuels_SEDS_2022_TBtus!$P$3:$P$53,match($B34&amp;C$2,Res_AllFuels_SEDS_2022_TBtus!$B$3:$B$53&amp;Res_AllFuels_SEDS_2022_TBtus!$A$3:$A$53,0))),0,(index(Res_AllFuels_SEDS_2022_TBtus!$P$3:$P$53,match($B34&amp;C$2,Res_AllFuels_SEDS_2022_TBtus!$B$3:$B$53&amp;Res_AllFuels_SEDS_2022_TBtus!$A$3:$A$53,0))))</f>
        <v>0</v>
      </c>
      <c r="D34" s="75">
        <f t="array" ref="D34">IF(ISERROR(index(Res_AllFuels_SEDS_2022_TBtus!$P$3:$P$53,match($B34&amp;D$2,Res_AllFuels_SEDS_2022_TBtus!$B$3:$B$53&amp;Res_AllFuels_SEDS_2022_TBtus!$A$3:$A$53,0))),0,(index(Res_AllFuels_SEDS_2022_TBtus!$P$3:$P$53,match($B34&amp;D$2,Res_AllFuels_SEDS_2022_TBtus!$B$3:$B$53&amp;Res_AllFuels_SEDS_2022_TBtus!$A$3:$A$53,0))))</f>
        <v>0</v>
      </c>
      <c r="E34" s="75">
        <f t="array" ref="E34">IF(ISERROR(index(Res_AllFuels_SEDS_2022_TBtus!$P$3:$P$53,match($B34&amp;E$2,Res_AllFuels_SEDS_2022_TBtus!$B$3:$B$53&amp;Res_AllFuels_SEDS_2022_TBtus!$A$3:$A$53,0))),0,(index(Res_AllFuels_SEDS_2022_TBtus!$P$3:$P$53,match($B34&amp;E$2,Res_AllFuels_SEDS_2022_TBtus!$B$3:$B$53&amp;Res_AllFuels_SEDS_2022_TBtus!$A$3:$A$53,0))))</f>
        <v>0</v>
      </c>
      <c r="F34" s="75">
        <f t="array" ref="F34">IF(ISERROR(index(Res_AllFuels_SEDS_2022_TBtus!$P$3:$P$53,match($B34&amp;F$2,Res_AllFuels_SEDS_2022_TBtus!$B$3:$B$53&amp;Res_AllFuels_SEDS_2022_TBtus!$A$3:$A$53,0))),0,(index(Res_AllFuels_SEDS_2022_TBtus!$P$3:$P$53,match($B34&amp;F$2,Res_AllFuels_SEDS_2022_TBtus!$B$3:$B$53&amp;Res_AllFuels_SEDS_2022_TBtus!$A$3:$A$53,0))))</f>
        <v>0</v>
      </c>
      <c r="G34" s="75">
        <f t="array" ref="G34">IF(ISERROR(index(Res_AllFuels_SEDS_2022_TBtus!$P$3:$P$53,match($B34&amp;G$2,Res_AllFuels_SEDS_2022_TBtus!$B$3:$B$53&amp;Res_AllFuels_SEDS_2022_TBtus!$A$3:$A$53,0))),0,(index(Res_AllFuels_SEDS_2022_TBtus!$P$3:$P$53,match($B34&amp;G$2,Res_AllFuels_SEDS_2022_TBtus!$B$3:$B$53&amp;Res_AllFuels_SEDS_2022_TBtus!$A$3:$A$53,0))))</f>
        <v>0</v>
      </c>
      <c r="H34" s="75">
        <f t="array" ref="H34">IF(ISERROR(index(Res_AllFuels_SEDS_2022_TBtus!$P$3:$P$53,match($B34&amp;H$2,Res_AllFuels_SEDS_2022_TBtus!$B$3:$B$53&amp;Res_AllFuels_SEDS_2022_TBtus!$A$3:$A$53,0))),0,(index(Res_AllFuels_SEDS_2022_TBtus!$P$3:$P$53,match($B34&amp;H$2,Res_AllFuels_SEDS_2022_TBtus!$B$3:$B$53&amp;Res_AllFuels_SEDS_2022_TBtus!$A$3:$A$53,0))))</f>
        <v>0</v>
      </c>
      <c r="I34" s="75">
        <f t="array" ref="I34">IF(ISERROR(index(Res_AllFuels_SEDS_2022_TBtus!$P$3:$P$53,match($B34&amp;I$2,Res_AllFuels_SEDS_2022_TBtus!$B$3:$B$53&amp;Res_AllFuels_SEDS_2022_TBtus!$A$3:$A$53,0))),0,(index(Res_AllFuels_SEDS_2022_TBtus!$P$3:$P$53,match($B34&amp;I$2,Res_AllFuels_SEDS_2022_TBtus!$B$3:$B$53&amp;Res_AllFuels_SEDS_2022_TBtus!$A$3:$A$53,0))))</f>
        <v>0</v>
      </c>
      <c r="J34" s="75">
        <f t="array" ref="J34">IF(ISERROR(index(Res_AllFuels_SEDS_2022_TBtus!$P$3:$P$53,match($B34&amp;J$2,Res_AllFuels_SEDS_2022_TBtus!$B$3:$B$53&amp;Res_AllFuels_SEDS_2022_TBtus!$A$3:$A$53,0))),0,(index(Res_AllFuels_SEDS_2022_TBtus!$P$3:$P$53,match($B34&amp;J$2,Res_AllFuels_SEDS_2022_TBtus!$B$3:$B$53&amp;Res_AllFuels_SEDS_2022_TBtus!$A$3:$A$53,0))))</f>
        <v>2.5</v>
      </c>
      <c r="K34" s="75">
        <f t="array" ref="K34">IF(ISERROR(index(Res_AllFuels_SEDS_2022_TBtus!$P$3:$P$53,match($B34&amp;K$2,Res_AllFuels_SEDS_2022_TBtus!$B$3:$B$53&amp;Res_AllFuels_SEDS_2022_TBtus!$A$3:$A$53,0))),0,(index(Res_AllFuels_SEDS_2022_TBtus!$P$3:$P$53,match($B34&amp;K$2,Res_AllFuels_SEDS_2022_TBtus!$B$3:$B$53&amp;Res_AllFuels_SEDS_2022_TBtus!$A$3:$A$53,0))))</f>
        <v>0.6</v>
      </c>
      <c r="L34" s="75">
        <f t="array" ref="L34">IF(ISERROR(index(Res_AllFuels_SEDS_2022_TBtus!$P$3:$P$53,match($B34&amp;L$2,Res_AllFuels_SEDS_2022_TBtus!$B$3:$B$53&amp;Res_AllFuels_SEDS_2022_TBtus!$A$3:$A$53,0))),0,(index(Res_AllFuels_SEDS_2022_TBtus!$P$3:$P$53,match($B34&amp;L$2,Res_AllFuels_SEDS_2022_TBtus!$B$3:$B$53&amp;Res_AllFuels_SEDS_2022_TBtus!$A$3:$A$53,0))))</f>
        <v>0.1</v>
      </c>
      <c r="M34" s="75">
        <f t="array" ref="M34">IF(ISERROR(index(Res_AllFuels_SEDS_2022_TBtus!$P$3:$P$53,match($B34&amp;M$2,Res_AllFuels_SEDS_2022_TBtus!$B$3:$B$53&amp;Res_AllFuels_SEDS_2022_TBtus!$A$3:$A$53,0))),0,(index(Res_AllFuels_SEDS_2022_TBtus!$P$3:$P$53,match($B34&amp;M$2,Res_AllFuels_SEDS_2022_TBtus!$B$3:$B$53&amp;Res_AllFuels_SEDS_2022_TBtus!$A$3:$A$53,0))))</f>
        <v>0.1</v>
      </c>
      <c r="N34" s="75">
        <f t="array" ref="N34">IF(ISERROR(index(Res_AllFuels_SEDS_2022_TBtus!$P$3:$P$53,match($B34&amp;N$2,Res_AllFuels_SEDS_2022_TBtus!$B$3:$B$53&amp;Res_AllFuels_SEDS_2022_TBtus!$A$3:$A$53,0))),0,(index(Res_AllFuels_SEDS_2022_TBtus!$P$3:$P$53,match($B34&amp;N$2,Res_AllFuels_SEDS_2022_TBtus!$B$3:$B$53&amp;Res_AllFuels_SEDS_2022_TBtus!$A$3:$A$53,0))))</f>
        <v>0</v>
      </c>
      <c r="O34" s="75">
        <f t="array" ref="O34">IF(ISERROR(index(Res_AllFuels_SEDS_2022_TBtus!$P$3:$P$53,match($B34&amp;O$2,Res_AllFuels_SEDS_2022_TBtus!$B$3:$B$53&amp;Res_AllFuels_SEDS_2022_TBtus!$A$3:$A$53,0))),0,(index(Res_AllFuels_SEDS_2022_TBtus!$P$3:$P$53,match($B34&amp;O$2,Res_AllFuels_SEDS_2022_TBtus!$B$3:$B$53&amp;Res_AllFuels_SEDS_2022_TBtus!$A$3:$A$53,0))))</f>
        <v>0</v>
      </c>
      <c r="P34" s="75">
        <f t="array" ref="P34">IF(ISERROR(index(Res_AllFuels_SEDS_2022_TBtus!$P$3:$P$53,match($B34&amp;P$2,Res_AllFuels_SEDS_2022_TBtus!$B$3:$B$53&amp;Res_AllFuels_SEDS_2022_TBtus!$A$3:$A$53,0))),0,(index(Res_AllFuels_SEDS_2022_TBtus!$P$3:$P$53,match($B34&amp;P$2,Res_AllFuels_SEDS_2022_TBtus!$B$3:$B$53&amp;Res_AllFuels_SEDS_2022_TBtus!$A$3:$A$53,0))))</f>
        <v>0</v>
      </c>
      <c r="Q34" s="75">
        <f t="array" ref="Q34">IF(ISERROR(index(Res_AllFuels_SEDS_2022_TBtus!$P$3:$P$53,match($B34&amp;Q$2,Res_AllFuels_SEDS_2022_TBtus!$B$3:$B$53&amp;Res_AllFuels_SEDS_2022_TBtus!$A$3:$A$53,0))),0,(index(Res_AllFuels_SEDS_2022_TBtus!$P$3:$P$53,match($B34&amp;Q$2,Res_AllFuels_SEDS_2022_TBtus!$B$3:$B$53&amp;Res_AllFuels_SEDS_2022_TBtus!$A$3:$A$53,0))))</f>
        <v>0</v>
      </c>
      <c r="R34" s="75">
        <f t="array" ref="R34">IF(ISERROR(index(Res_AllFuels_SEDS_2022_TBtus!$P$3:$P$53,match($B34&amp;R$2,Res_AllFuels_SEDS_2022_TBtus!$B$3:$B$53&amp;Res_AllFuels_SEDS_2022_TBtus!$A$3:$A$53,0))),0,(index(Res_AllFuels_SEDS_2022_TBtus!$P$3:$P$53,match($B34&amp;R$2,Res_AllFuels_SEDS_2022_TBtus!$B$3:$B$53&amp;Res_AllFuels_SEDS_2022_TBtus!$A$3:$A$53,0))))</f>
        <v>0</v>
      </c>
      <c r="S34" s="75">
        <f t="array" ref="S34">IF(ISERROR(index(Res_AllFuels_SEDS_2022_TBtus!$P$3:$P$53,match($B34&amp;S$2,Res_AllFuels_SEDS_2022_TBtus!$B$3:$B$53&amp;Res_AllFuels_SEDS_2022_TBtus!$A$3:$A$53,0))),0,(index(Res_AllFuels_SEDS_2022_TBtus!$P$3:$P$53,match($B34&amp;S$2,Res_AllFuels_SEDS_2022_TBtus!$B$3:$B$53&amp;Res_AllFuels_SEDS_2022_TBtus!$A$3:$A$53,0))))</f>
        <v>0</v>
      </c>
      <c r="T34" s="75">
        <f t="array" ref="T34">IF(ISERROR(index(Res_AllFuels_SEDS_2022_TBtus!$P$3:$P$53,match($B34&amp;T$2,Res_AllFuels_SEDS_2022_TBtus!$B$3:$B$53&amp;Res_AllFuels_SEDS_2022_TBtus!$A$3:$A$53,0))),0,(index(Res_AllFuels_SEDS_2022_TBtus!$P$3:$P$53,match($B34&amp;T$2,Res_AllFuels_SEDS_2022_TBtus!$B$3:$B$53&amp;Res_AllFuels_SEDS_2022_TBtus!$A$3:$A$53,0))))</f>
        <v>0</v>
      </c>
      <c r="U34" s="75">
        <f t="array" ref="U34">IF(ISERROR(index(Res_AllFuels_SEDS_2022_TBtus!$P$3:$P$53,match($B34&amp;U$2,Res_AllFuels_SEDS_2022_TBtus!$B$3:$B$53&amp;Res_AllFuels_SEDS_2022_TBtus!$A$3:$A$53,0))),0,(index(Res_AllFuels_SEDS_2022_TBtus!$P$3:$P$53,match($B34&amp;U$2,Res_AllFuels_SEDS_2022_TBtus!$B$3:$B$53&amp;Res_AllFuels_SEDS_2022_TBtus!$A$3:$A$53,0))))</f>
        <v>0</v>
      </c>
      <c r="V34" s="75">
        <f t="array" ref="V34">IF(ISERROR(index(Res_AllFuels_SEDS_2022_TBtus!$P$3:$P$53,match($B34&amp;V$2,Res_AllFuels_SEDS_2022_TBtus!$B$3:$B$53&amp;Res_AllFuels_SEDS_2022_TBtus!$A$3:$A$53,0))),0,(index(Res_AllFuels_SEDS_2022_TBtus!$P$3:$P$53,match($B34&amp;V$2,Res_AllFuels_SEDS_2022_TBtus!$B$3:$B$53&amp;Res_AllFuels_SEDS_2022_TBtus!$A$3:$A$53,0))))</f>
        <v>0</v>
      </c>
      <c r="W34" s="75">
        <f t="array" ref="W34">IF(ISERROR(index(Res_AllFuels_SEDS_2022_TBtus!$P$3:$P$53,match($B34&amp;W$2,Res_AllFuels_SEDS_2022_TBtus!$B$3:$B$53&amp;Res_AllFuels_SEDS_2022_TBtus!$A$3:$A$53,0))),0,(index(Res_AllFuels_SEDS_2022_TBtus!$P$3:$P$53,match($B34&amp;W$2,Res_AllFuels_SEDS_2022_TBtus!$B$3:$B$53&amp;Res_AllFuels_SEDS_2022_TBtus!$A$3:$A$53,0))))</f>
        <v>14.6</v>
      </c>
      <c r="X34" s="75">
        <f t="array" ref="X34">IF(ISERROR(index(Res_AllFuels_SEDS_2022_TBtus!$P$3:$P$53,match($B34&amp;X$2,Res_AllFuels_SEDS_2022_TBtus!$B$3:$B$53&amp;Res_AllFuels_SEDS_2022_TBtus!$A$3:$A$53,0))),0,(index(Res_AllFuels_SEDS_2022_TBtus!$P$3:$P$53,match($B34&amp;X$2,Res_AllFuels_SEDS_2022_TBtus!$B$3:$B$53&amp;Res_AllFuels_SEDS_2022_TBtus!$A$3:$A$53,0))))</f>
        <v>0</v>
      </c>
      <c r="Y34" s="75">
        <f t="array" ref="Y34">IF(ISERROR(index(Res_AllFuels_SEDS_2022_TBtus!$P$3:$P$53,match($B34&amp;Y$2,Res_AllFuels_SEDS_2022_TBtus!$B$3:$B$53&amp;Res_AllFuels_SEDS_2022_TBtus!$A$3:$A$53,0))),0,(index(Res_AllFuels_SEDS_2022_TBtus!$P$3:$P$53,match($B34&amp;Y$2,Res_AllFuels_SEDS_2022_TBtus!$B$3:$B$53&amp;Res_AllFuels_SEDS_2022_TBtus!$A$3:$A$53,0))))</f>
        <v>0</v>
      </c>
      <c r="Z34" s="75">
        <f t="array" ref="Z34">IF(ISERROR(index(Res_AllFuels_SEDS_2022_TBtus!$P$3:$P$53,match($B34&amp;Z$2,Res_AllFuels_SEDS_2022_TBtus!$B$3:$B$53&amp;Res_AllFuels_SEDS_2022_TBtus!$A$3:$A$53,0))),0,(index(Res_AllFuels_SEDS_2022_TBtus!$P$3:$P$53,match($B34&amp;Z$2,Res_AllFuels_SEDS_2022_TBtus!$B$3:$B$53&amp;Res_AllFuels_SEDS_2022_TBtus!$A$3:$A$53,0))))</f>
        <v>0</v>
      </c>
      <c r="AA34" s="75">
        <f t="array" ref="AA34">IF(ISERROR(index(Res_AllFuels_SEDS_2022_TBtus!$P$3:$P$53,match($B34&amp;AA$2,Res_AllFuels_SEDS_2022_TBtus!$B$3:$B$53&amp;Res_AllFuels_SEDS_2022_TBtus!$A$3:$A$53,0))),0,(index(Res_AllFuels_SEDS_2022_TBtus!$P$3:$P$53,match($B34&amp;AA$2,Res_AllFuels_SEDS_2022_TBtus!$B$3:$B$53&amp;Res_AllFuels_SEDS_2022_TBtus!$A$3:$A$53,0))))</f>
        <v>0</v>
      </c>
      <c r="AB34" s="75">
        <f t="array" ref="AB34">IF(ISERROR(index(Res_AllFuels_SEDS_2022_TBtus!$P$3:$P$53,match($B34&amp;AB$2,Res_AllFuels_SEDS_2022_TBtus!$B$3:$B$53&amp;Res_AllFuels_SEDS_2022_TBtus!$A$3:$A$53,0))),0,(index(Res_AllFuels_SEDS_2022_TBtus!$P$3:$P$53,match($B34&amp;AB$2,Res_AllFuels_SEDS_2022_TBtus!$B$3:$B$53&amp;Res_AllFuels_SEDS_2022_TBtus!$A$3:$A$53,0))))</f>
        <v>0</v>
      </c>
      <c r="AC34" s="75">
        <f t="array" ref="AC34">IF(ISERROR(index(Res_AllFuels_SEDS_2022_TBtus!$P$3:$P$53,match($B34&amp;AC$2,Res_AllFuels_SEDS_2022_TBtus!$B$3:$B$53&amp;Res_AllFuels_SEDS_2022_TBtus!$A$3:$A$53,0))),0,(index(Res_AllFuels_SEDS_2022_TBtus!$P$3:$P$53,match($B34&amp;AC$2,Res_AllFuels_SEDS_2022_TBtus!$B$3:$B$53&amp;Res_AllFuels_SEDS_2022_TBtus!$A$3:$A$53,0))))</f>
        <v>0</v>
      </c>
      <c r="AD34" s="75">
        <f t="array" ref="AD34">IF(ISERROR(index(Res_AllFuels_SEDS_2022_TBtus!$P$3:$P$53,match($B34&amp;AD$2,Res_AllFuels_SEDS_2022_TBtus!$B$3:$B$53&amp;Res_AllFuels_SEDS_2022_TBtus!$A$3:$A$53,0))),0,(index(Res_AllFuels_SEDS_2022_TBtus!$P$3:$P$53,match($B34&amp;AD$2,Res_AllFuels_SEDS_2022_TBtus!$B$3:$B$53&amp;Res_AllFuels_SEDS_2022_TBtus!$A$3:$A$53,0))))</f>
        <v>0</v>
      </c>
      <c r="AE34" s="75">
        <f t="array" ref="AE34">IF(ISERROR(index(Res_AllFuels_SEDS_2022_TBtus!$P$3:$P$53,match($B34&amp;AE$2,Res_AllFuels_SEDS_2022_TBtus!$B$3:$B$53&amp;Res_AllFuels_SEDS_2022_TBtus!$A$3:$A$53,0))),0,(index(Res_AllFuels_SEDS_2022_TBtus!$P$3:$P$53,match($B34&amp;AE$2,Res_AllFuels_SEDS_2022_TBtus!$B$3:$B$53&amp;Res_AllFuels_SEDS_2022_TBtus!$A$3:$A$53,0))))</f>
        <v>0</v>
      </c>
      <c r="AF34" s="75">
        <f t="array" ref="AF34">IF(ISERROR(index(Res_AllFuels_SEDS_2022_TBtus!$P$3:$P$53,match($B34&amp;AF$2,Res_AllFuels_SEDS_2022_TBtus!$B$3:$B$53&amp;Res_AllFuels_SEDS_2022_TBtus!$A$3:$A$53,0))),0,(index(Res_AllFuels_SEDS_2022_TBtus!$P$3:$P$53,match($B34&amp;AF$2,Res_AllFuels_SEDS_2022_TBtus!$B$3:$B$53&amp;Res_AllFuels_SEDS_2022_TBtus!$A$3:$A$53,0))))</f>
        <v>0</v>
      </c>
      <c r="AG34" s="75">
        <f t="array" ref="AG34">IF(ISERROR(index(Res_AllFuels_SEDS_2022_TBtus!$P$3:$P$53,match($B34&amp;AG$2,Res_AllFuels_SEDS_2022_TBtus!$B$3:$B$53&amp;Res_AllFuels_SEDS_2022_TBtus!$A$3:$A$53,0))),0,(index(Res_AllFuels_SEDS_2022_TBtus!$P$3:$P$53,match($B34&amp;AG$2,Res_AllFuels_SEDS_2022_TBtus!$B$3:$B$53&amp;Res_AllFuels_SEDS_2022_TBtus!$A$3:$A$53,0))))</f>
        <v>0</v>
      </c>
      <c r="AH34" s="75">
        <f t="array" ref="AH34">IF(ISERROR(index(Res_AllFuels_SEDS_2022_TBtus!$P$3:$P$53,match($B34&amp;AH$2,Res_AllFuels_SEDS_2022_TBtus!$B$3:$B$53&amp;Res_AllFuels_SEDS_2022_TBtus!$A$3:$A$53,0))),0,(index(Res_AllFuels_SEDS_2022_TBtus!$P$3:$P$53,match($B34&amp;AH$2,Res_AllFuels_SEDS_2022_TBtus!$B$3:$B$53&amp;Res_AllFuels_SEDS_2022_TBtus!$A$3:$A$53,0))))</f>
        <v>0</v>
      </c>
      <c r="AI34" s="75">
        <f t="array" ref="AI34">IF(ISERROR(index(Res_AllFuels_SEDS_2022_TBtus!$P$3:$P$53,match($B34&amp;AI$2,Res_AllFuels_SEDS_2022_TBtus!$B$3:$B$53&amp;Res_AllFuels_SEDS_2022_TBtus!$A$3:$A$53,0))),0,(index(Res_AllFuels_SEDS_2022_TBtus!$P$3:$P$53,match($B34&amp;AI$2,Res_AllFuels_SEDS_2022_TBtus!$B$3:$B$53&amp;Res_AllFuels_SEDS_2022_TBtus!$A$3:$A$53,0))))</f>
        <v>0</v>
      </c>
      <c r="AJ34" s="75">
        <f t="array" ref="AJ34">IF(ISERROR(index(Res_AllFuels_SEDS_2022_TBtus!$P$3:$P$53,match($B34&amp;AJ$2,Res_AllFuels_SEDS_2022_TBtus!$B$3:$B$53&amp;Res_AllFuels_SEDS_2022_TBtus!$A$3:$A$53,0))),0,(index(Res_AllFuels_SEDS_2022_TBtus!$P$3:$P$53,match($B34&amp;AJ$2,Res_AllFuels_SEDS_2022_TBtus!$B$3:$B$53&amp;Res_AllFuels_SEDS_2022_TBtus!$A$3:$A$53,0))))</f>
        <v>5.5</v>
      </c>
      <c r="AK34" s="75">
        <f t="array" ref="AK34">IF(ISERROR(index(Res_AllFuels_SEDS_2022_TBtus!$P$3:$P$53,match($B34&amp;AK$2,Res_AllFuels_SEDS_2022_TBtus!$B$3:$B$53&amp;Res_AllFuels_SEDS_2022_TBtus!$A$3:$A$53,0))),0,(index(Res_AllFuels_SEDS_2022_TBtus!$P$3:$P$53,match($B34&amp;AK$2,Res_AllFuels_SEDS_2022_TBtus!$B$3:$B$53&amp;Res_AllFuels_SEDS_2022_TBtus!$A$3:$A$53,0))))</f>
        <v>0</v>
      </c>
      <c r="AL34" s="75">
        <f t="array" ref="AL34">IF(ISERROR(index(Res_AllFuels_SEDS_2022_TBtus!$P$3:$P$53,match($B34&amp;AL$2,Res_AllFuels_SEDS_2022_TBtus!$B$3:$B$53&amp;Res_AllFuels_SEDS_2022_TBtus!$A$3:$A$53,0))),0,(index(Res_AllFuels_SEDS_2022_TBtus!$P$3:$P$53,match($B34&amp;AL$2,Res_AllFuels_SEDS_2022_TBtus!$B$3:$B$53&amp;Res_AllFuels_SEDS_2022_TBtus!$A$3:$A$53,0))))</f>
        <v>0</v>
      </c>
      <c r="AM34" s="75">
        <f t="array" ref="AM34">IF(ISERROR(index(Res_AllFuels_SEDS_2022_TBtus!$P$3:$P$53,match($B34&amp;AM$2,Res_AllFuels_SEDS_2022_TBtus!$B$3:$B$53&amp;Res_AllFuels_SEDS_2022_TBtus!$A$3:$A$53,0))),0,(index(Res_AllFuels_SEDS_2022_TBtus!$P$3:$P$53,match($B34&amp;AM$2,Res_AllFuels_SEDS_2022_TBtus!$B$3:$B$53&amp;Res_AllFuels_SEDS_2022_TBtus!$A$3:$A$53,0))))</f>
        <v>0</v>
      </c>
      <c r="AN34" s="75">
        <f t="array" ref="AN34">IF(ISERROR(index(Res_AllFuels_SEDS_2022_TBtus!$P$3:$P$53,match($B34&amp;AN$2,Res_AllFuels_SEDS_2022_TBtus!$B$3:$B$53&amp;Res_AllFuels_SEDS_2022_TBtus!$A$3:$A$53,0))),0,(index(Res_AllFuels_SEDS_2022_TBtus!$P$3:$P$53,match($B34&amp;AN$2,Res_AllFuels_SEDS_2022_TBtus!$B$3:$B$53&amp;Res_AllFuels_SEDS_2022_TBtus!$A$3:$A$53,0))))</f>
        <v>0</v>
      </c>
      <c r="AO34" s="75">
        <f t="array" ref="AO34">IF(ISERROR(index(Res_AllFuels_SEDS_2022_TBtus!$P$3:$P$53,match($B34&amp;AO$2,Res_AllFuels_SEDS_2022_TBtus!$B$3:$B$53&amp;Res_AllFuels_SEDS_2022_TBtus!$A$3:$A$53,0))),0,(index(Res_AllFuels_SEDS_2022_TBtus!$P$3:$P$53,match($B34&amp;AO$2,Res_AllFuels_SEDS_2022_TBtus!$B$3:$B$53&amp;Res_AllFuels_SEDS_2022_TBtus!$A$3:$A$53,0))))</f>
        <v>0</v>
      </c>
      <c r="AP34" s="75">
        <f t="array" ref="AP34">IF(ISERROR(index(Res_AllFuels_SEDS_2022_TBtus!$P$3:$P$53,match($B34&amp;AP$2,Res_AllFuels_SEDS_2022_TBtus!$B$3:$B$53&amp;Res_AllFuels_SEDS_2022_TBtus!$A$3:$A$53,0))),0,(index(Res_AllFuels_SEDS_2022_TBtus!$P$3:$P$53,match($B34&amp;AP$2,Res_AllFuels_SEDS_2022_TBtus!$B$3:$B$53&amp;Res_AllFuels_SEDS_2022_TBtus!$A$3:$A$53,0))))</f>
        <v>0</v>
      </c>
      <c r="AQ34" s="75">
        <f t="array" ref="AQ34">IF(ISERROR(index(Res_AllFuels_SEDS_2022_TBtus!$P$3:$P$53,match($B34&amp;AQ$2,Res_AllFuels_SEDS_2022_TBtus!$B$3:$B$53&amp;Res_AllFuels_SEDS_2022_TBtus!$A$3:$A$53,0))),0,(index(Res_AllFuels_SEDS_2022_TBtus!$P$3:$P$53,match($B34&amp;AQ$2,Res_AllFuels_SEDS_2022_TBtus!$B$3:$B$53&amp;Res_AllFuels_SEDS_2022_TBtus!$A$3:$A$53,0))))</f>
        <v>0.5</v>
      </c>
      <c r="AR34" s="75">
        <f t="array" ref="AR34">IF(ISERROR(index(Res_AllFuels_SEDS_2022_TBtus!$P$3:$P$53,match($B34&amp;AR$2,Res_AllFuels_SEDS_2022_TBtus!$B$3:$B$53&amp;Res_AllFuels_SEDS_2022_TBtus!$A$3:$A$53,0))),0,(index(Res_AllFuels_SEDS_2022_TBtus!$P$3:$P$53,match($B34&amp;AR$2,Res_AllFuels_SEDS_2022_TBtus!$B$3:$B$53&amp;Res_AllFuels_SEDS_2022_TBtus!$A$3:$A$53,0))))</f>
        <v>0</v>
      </c>
      <c r="AS34" s="75">
        <f t="array" ref="AS34">IF(ISERROR(index(Res_AllFuels_SEDS_2022_TBtus!$P$3:$P$53,match($B34&amp;AS$2,Res_AllFuels_SEDS_2022_TBtus!$B$3:$B$53&amp;Res_AllFuels_SEDS_2022_TBtus!$A$3:$A$53,0))),0,(index(Res_AllFuels_SEDS_2022_TBtus!$P$3:$P$53,match($B34&amp;AS$2,Res_AllFuels_SEDS_2022_TBtus!$B$3:$B$53&amp;Res_AllFuels_SEDS_2022_TBtus!$A$3:$A$53,0))))</f>
        <v>0</v>
      </c>
      <c r="AT34" s="75">
        <f t="array" ref="AT34">IF(ISERROR(index(Res_AllFuels_SEDS_2022_TBtus!$P$3:$P$53,match($B34&amp;AT$2,Res_AllFuels_SEDS_2022_TBtus!$B$3:$B$53&amp;Res_AllFuels_SEDS_2022_TBtus!$A$3:$A$53,0))),0,(index(Res_AllFuels_SEDS_2022_TBtus!$P$3:$P$53,match($B34&amp;AT$2,Res_AllFuels_SEDS_2022_TBtus!$B$3:$B$53&amp;Res_AllFuels_SEDS_2022_TBtus!$A$3:$A$53,0))))</f>
        <v>0</v>
      </c>
      <c r="AU34" s="75">
        <f t="array" ref="AU34">IF(ISERROR(index(Res_AllFuels_SEDS_2022_TBtus!$P$3:$P$53,match($B34&amp;AU$2,Res_AllFuels_SEDS_2022_TBtus!$B$3:$B$53&amp;Res_AllFuels_SEDS_2022_TBtus!$A$3:$A$53,0))),0,(index(Res_AllFuels_SEDS_2022_TBtus!$P$3:$P$53,match($B34&amp;AU$2,Res_AllFuels_SEDS_2022_TBtus!$B$3:$B$53&amp;Res_AllFuels_SEDS_2022_TBtus!$A$3:$A$53,0))))</f>
        <v>0</v>
      </c>
      <c r="AV34" s="75">
        <f t="array" ref="AV34">IF(ISERROR(index(Res_AllFuels_SEDS_2022_TBtus!$P$3:$P$53,match($B34&amp;AV$2,Res_AllFuels_SEDS_2022_TBtus!$B$3:$B$53&amp;Res_AllFuels_SEDS_2022_TBtus!$A$3:$A$53,0))),0,(index(Res_AllFuels_SEDS_2022_TBtus!$P$3:$P$53,match($B34&amp;AV$2,Res_AllFuels_SEDS_2022_TBtus!$B$3:$B$53&amp;Res_AllFuels_SEDS_2022_TBtus!$A$3:$A$53,0))))</f>
        <v>0</v>
      </c>
      <c r="AW34" s="75">
        <f t="array" ref="AW34">IF(ISERROR(index(Res_AllFuels_SEDS_2022_TBtus!$P$3:$P$53,match($B34&amp;AW$2,Res_AllFuels_SEDS_2022_TBtus!$B$3:$B$53&amp;Res_AllFuels_SEDS_2022_TBtus!$A$3:$A$53,0))),0,(index(Res_AllFuels_SEDS_2022_TBtus!$P$3:$P$53,match($B34&amp;AW$2,Res_AllFuels_SEDS_2022_TBtus!$B$3:$B$53&amp;Res_AllFuels_SEDS_2022_TBtus!$A$3:$A$53,0))))</f>
        <v>12.4</v>
      </c>
      <c r="AX34" s="75">
        <f t="array" ref="AX34">IF(ISERROR(index(Res_AllFuels_SEDS_2022_TBtus!$P$3:$P$53,match($B34&amp;AX$2,Res_AllFuels_SEDS_2022_TBtus!$B$3:$B$53&amp;Res_AllFuels_SEDS_2022_TBtus!$A$3:$A$53,0))),0,(index(Res_AllFuels_SEDS_2022_TBtus!$P$3:$P$53,match($B34&amp;AX$2,Res_AllFuels_SEDS_2022_TBtus!$B$3:$B$53&amp;Res_AllFuels_SEDS_2022_TBtus!$A$3:$A$53,0))))</f>
        <v>0</v>
      </c>
      <c r="AY34" s="75">
        <f t="array" ref="AY34">IF(ISERROR(index(Res_AllFuels_SEDS_2022_TBtus!$P$3:$P$53,match($B34&amp;AY$2,Res_AllFuels_SEDS_2022_TBtus!$B$3:$B$53&amp;Res_AllFuels_SEDS_2022_TBtus!$A$3:$A$53,0))),0,(index(Res_AllFuels_SEDS_2022_TBtus!$P$3:$P$53,match($B34&amp;AY$2,Res_AllFuels_SEDS_2022_TBtus!$B$3:$B$53&amp;Res_AllFuels_SEDS_2022_TBtus!$A$3:$A$53,0))))</f>
        <v>1.4</v>
      </c>
      <c r="AZ34" s="75">
        <f t="array" ref="AZ34">IF(ISERROR(index(Res_AllFuels_SEDS_2022_TBtus!$P$3:$P$53,match($B34&amp;AZ$2,Res_AllFuels_SEDS_2022_TBtus!$B$3:$B$53&amp;Res_AllFuels_SEDS_2022_TBtus!$A$3:$A$53,0))),0,(index(Res_AllFuels_SEDS_2022_TBtus!$P$3:$P$53,match($B34&amp;AZ$2,Res_AllFuels_SEDS_2022_TBtus!$B$3:$B$53&amp;Res_AllFuels_SEDS_2022_TBtus!$A$3:$A$53,0))))</f>
        <v>0</v>
      </c>
      <c r="BA34" s="75">
        <f t="array" ref="BA34">IF(ISERROR(index(Res_AllFuels_SEDS_2022_TBtus!$P$3:$P$53,match($B34&amp;BA$2,Res_AllFuels_SEDS_2022_TBtus!$B$3:$B$53&amp;Res_AllFuels_SEDS_2022_TBtus!$A$3:$A$53,0))),0,(index(Res_AllFuels_SEDS_2022_TBtus!$P$3:$P$53,match($B34&amp;BA$2,Res_AllFuels_SEDS_2022_TBtus!$B$3:$B$53&amp;Res_AllFuels_SEDS_2022_TBtus!$A$3:$A$53,0))))</f>
        <v>0</v>
      </c>
      <c r="BB34" s="74">
        <f t="shared" si="5"/>
        <v>37.7</v>
      </c>
    </row>
    <row r="35" ht="15.75" customHeight="1">
      <c r="A35" s="78"/>
      <c r="B35" s="74">
        <v>6.0</v>
      </c>
      <c r="C35" s="75">
        <f t="array" ref="C35">IF(ISERROR(index(Res_AllFuels_SEDS_2022_TBtus!$P$3:$P$53,match($B35&amp;C$2,Res_AllFuels_SEDS_2022_TBtus!$B$3:$B$53&amp;Res_AllFuels_SEDS_2022_TBtus!$A$3:$A$53,0))),0,(index(Res_AllFuels_SEDS_2022_TBtus!$P$3:$P$53,match($B35&amp;C$2,Res_AllFuels_SEDS_2022_TBtus!$B$3:$B$53&amp;Res_AllFuels_SEDS_2022_TBtus!$A$3:$A$53,0))))</f>
        <v>0.1</v>
      </c>
      <c r="D35" s="75">
        <f t="array" ref="D35">IF(ISERROR(index(Res_AllFuels_SEDS_2022_TBtus!$P$3:$P$53,match($B35&amp;D$2,Res_AllFuels_SEDS_2022_TBtus!$B$3:$B$53&amp;Res_AllFuels_SEDS_2022_TBtus!$A$3:$A$53,0))),0,(index(Res_AllFuels_SEDS_2022_TBtus!$P$3:$P$53,match($B35&amp;D$2,Res_AllFuels_SEDS_2022_TBtus!$B$3:$B$53&amp;Res_AllFuels_SEDS_2022_TBtus!$A$3:$A$53,0))))</f>
        <v>0</v>
      </c>
      <c r="E35" s="75">
        <f t="array" ref="E35">IF(ISERROR(index(Res_AllFuels_SEDS_2022_TBtus!$P$3:$P$53,match($B35&amp;E$2,Res_AllFuels_SEDS_2022_TBtus!$B$3:$B$53&amp;Res_AllFuels_SEDS_2022_TBtus!$A$3:$A$53,0))),0,(index(Res_AllFuels_SEDS_2022_TBtus!$P$3:$P$53,match($B35&amp;E$2,Res_AllFuels_SEDS_2022_TBtus!$B$3:$B$53&amp;Res_AllFuels_SEDS_2022_TBtus!$A$3:$A$53,0))))</f>
        <v>0</v>
      </c>
      <c r="F35" s="75">
        <f t="array" ref="F35">IF(ISERROR(index(Res_AllFuels_SEDS_2022_TBtus!$P$3:$P$53,match($B35&amp;F$2,Res_AllFuels_SEDS_2022_TBtus!$B$3:$B$53&amp;Res_AllFuels_SEDS_2022_TBtus!$A$3:$A$53,0))),0,(index(Res_AllFuels_SEDS_2022_TBtus!$P$3:$P$53,match($B35&amp;F$2,Res_AllFuels_SEDS_2022_TBtus!$B$3:$B$53&amp;Res_AllFuels_SEDS_2022_TBtus!$A$3:$A$53,0))))</f>
        <v>0</v>
      </c>
      <c r="G35" s="75">
        <f t="array" ref="G35">IF(ISERROR(index(Res_AllFuels_SEDS_2022_TBtus!$P$3:$P$53,match($B35&amp;G$2,Res_AllFuels_SEDS_2022_TBtus!$B$3:$B$53&amp;Res_AllFuels_SEDS_2022_TBtus!$A$3:$A$53,0))),0,(index(Res_AllFuels_SEDS_2022_TBtus!$P$3:$P$53,match($B35&amp;G$2,Res_AllFuels_SEDS_2022_TBtus!$B$3:$B$53&amp;Res_AllFuels_SEDS_2022_TBtus!$A$3:$A$53,0))))</f>
        <v>0</v>
      </c>
      <c r="H35" s="75">
        <f t="array" ref="H35">IF(ISERROR(index(Res_AllFuels_SEDS_2022_TBtus!$P$3:$P$53,match($B35&amp;H$2,Res_AllFuels_SEDS_2022_TBtus!$B$3:$B$53&amp;Res_AllFuels_SEDS_2022_TBtus!$A$3:$A$53,0))),0,(index(Res_AllFuels_SEDS_2022_TBtus!$P$3:$P$53,match($B35&amp;H$2,Res_AllFuels_SEDS_2022_TBtus!$B$3:$B$53&amp;Res_AllFuels_SEDS_2022_TBtus!$A$3:$A$53,0))))</f>
        <v>0</v>
      </c>
      <c r="I35" s="75">
        <f t="array" ref="I35">IF(ISERROR(index(Res_AllFuels_SEDS_2022_TBtus!$P$3:$P$53,match($B35&amp;I$2,Res_AllFuels_SEDS_2022_TBtus!$B$3:$B$53&amp;Res_AllFuels_SEDS_2022_TBtus!$A$3:$A$53,0))),0,(index(Res_AllFuels_SEDS_2022_TBtus!$P$3:$P$53,match($B35&amp;I$2,Res_AllFuels_SEDS_2022_TBtus!$B$3:$B$53&amp;Res_AllFuels_SEDS_2022_TBtus!$A$3:$A$53,0))))</f>
        <v>0</v>
      </c>
      <c r="J35" s="75">
        <f t="array" ref="J35">IF(ISERROR(index(Res_AllFuels_SEDS_2022_TBtus!$P$3:$P$53,match($B35&amp;J$2,Res_AllFuels_SEDS_2022_TBtus!$B$3:$B$53&amp;Res_AllFuels_SEDS_2022_TBtus!$A$3:$A$53,0))),0,(index(Res_AllFuels_SEDS_2022_TBtus!$P$3:$P$53,match($B35&amp;J$2,Res_AllFuels_SEDS_2022_TBtus!$B$3:$B$53&amp;Res_AllFuels_SEDS_2022_TBtus!$A$3:$A$53,0))))</f>
        <v>0</v>
      </c>
      <c r="K35" s="75">
        <f t="array" ref="K35">IF(ISERROR(index(Res_AllFuels_SEDS_2022_TBtus!$P$3:$P$53,match($B35&amp;K$2,Res_AllFuels_SEDS_2022_TBtus!$B$3:$B$53&amp;Res_AllFuels_SEDS_2022_TBtus!$A$3:$A$53,0))),0,(index(Res_AllFuels_SEDS_2022_TBtus!$P$3:$P$53,match($B35&amp;K$2,Res_AllFuels_SEDS_2022_TBtus!$B$3:$B$53&amp;Res_AllFuels_SEDS_2022_TBtus!$A$3:$A$53,0))))</f>
        <v>0</v>
      </c>
      <c r="L35" s="75">
        <f t="array" ref="L35">IF(ISERROR(index(Res_AllFuels_SEDS_2022_TBtus!$P$3:$P$53,match($B35&amp;L$2,Res_AllFuels_SEDS_2022_TBtus!$B$3:$B$53&amp;Res_AllFuels_SEDS_2022_TBtus!$A$3:$A$53,0))),0,(index(Res_AllFuels_SEDS_2022_TBtus!$P$3:$P$53,match($B35&amp;L$2,Res_AllFuels_SEDS_2022_TBtus!$B$3:$B$53&amp;Res_AllFuels_SEDS_2022_TBtus!$A$3:$A$53,0))))</f>
        <v>0</v>
      </c>
      <c r="M35" s="75">
        <f t="array" ref="M35">IF(ISERROR(index(Res_AllFuels_SEDS_2022_TBtus!$P$3:$P$53,match($B35&amp;M$2,Res_AllFuels_SEDS_2022_TBtus!$B$3:$B$53&amp;Res_AllFuels_SEDS_2022_TBtus!$A$3:$A$53,0))),0,(index(Res_AllFuels_SEDS_2022_TBtus!$P$3:$P$53,match($B35&amp;M$2,Res_AllFuels_SEDS_2022_TBtus!$B$3:$B$53&amp;Res_AllFuels_SEDS_2022_TBtus!$A$3:$A$53,0))))</f>
        <v>0</v>
      </c>
      <c r="N35" s="75">
        <f t="array" ref="N35">IF(ISERROR(index(Res_AllFuels_SEDS_2022_TBtus!$P$3:$P$53,match($B35&amp;N$2,Res_AllFuels_SEDS_2022_TBtus!$B$3:$B$53&amp;Res_AllFuels_SEDS_2022_TBtus!$A$3:$A$53,0))),0,(index(Res_AllFuels_SEDS_2022_TBtus!$P$3:$P$53,match($B35&amp;N$2,Res_AllFuels_SEDS_2022_TBtus!$B$3:$B$53&amp;Res_AllFuels_SEDS_2022_TBtus!$A$3:$A$53,0))))</f>
        <v>0</v>
      </c>
      <c r="O35" s="75">
        <f t="array" ref="O35">IF(ISERROR(index(Res_AllFuels_SEDS_2022_TBtus!$P$3:$P$53,match($B35&amp;O$2,Res_AllFuels_SEDS_2022_TBtus!$B$3:$B$53&amp;Res_AllFuels_SEDS_2022_TBtus!$A$3:$A$53,0))),0,(index(Res_AllFuels_SEDS_2022_TBtus!$P$3:$P$53,match($B35&amp;O$2,Res_AllFuels_SEDS_2022_TBtus!$B$3:$B$53&amp;Res_AllFuels_SEDS_2022_TBtus!$A$3:$A$53,0))))</f>
        <v>0</v>
      </c>
      <c r="P35" s="75">
        <f t="array" ref="P35">IF(ISERROR(index(Res_AllFuels_SEDS_2022_TBtus!$P$3:$P$53,match($B35&amp;P$2,Res_AllFuels_SEDS_2022_TBtus!$B$3:$B$53&amp;Res_AllFuels_SEDS_2022_TBtus!$A$3:$A$53,0))),0,(index(Res_AllFuels_SEDS_2022_TBtus!$P$3:$P$53,match($B35&amp;P$2,Res_AllFuels_SEDS_2022_TBtus!$B$3:$B$53&amp;Res_AllFuels_SEDS_2022_TBtus!$A$3:$A$53,0))))</f>
        <v>0</v>
      </c>
      <c r="Q35" s="75">
        <f t="array" ref="Q35">IF(ISERROR(index(Res_AllFuels_SEDS_2022_TBtus!$P$3:$P$53,match($B35&amp;Q$2,Res_AllFuels_SEDS_2022_TBtus!$B$3:$B$53&amp;Res_AllFuels_SEDS_2022_TBtus!$A$3:$A$53,0))),0,(index(Res_AllFuels_SEDS_2022_TBtus!$P$3:$P$53,match($B35&amp;Q$2,Res_AllFuels_SEDS_2022_TBtus!$B$3:$B$53&amp;Res_AllFuels_SEDS_2022_TBtus!$A$3:$A$53,0))))</f>
        <v>0</v>
      </c>
      <c r="R35" s="75">
        <f t="array" ref="R35">IF(ISERROR(index(Res_AllFuels_SEDS_2022_TBtus!$P$3:$P$53,match($B35&amp;R$2,Res_AllFuels_SEDS_2022_TBtus!$B$3:$B$53&amp;Res_AllFuels_SEDS_2022_TBtus!$A$3:$A$53,0))),0,(index(Res_AllFuels_SEDS_2022_TBtus!$P$3:$P$53,match($B35&amp;R$2,Res_AllFuels_SEDS_2022_TBtus!$B$3:$B$53&amp;Res_AllFuels_SEDS_2022_TBtus!$A$3:$A$53,0))))</f>
        <v>0</v>
      </c>
      <c r="S35" s="75">
        <f t="array" ref="S35">IF(ISERROR(index(Res_AllFuels_SEDS_2022_TBtus!$P$3:$P$53,match($B35&amp;S$2,Res_AllFuels_SEDS_2022_TBtus!$B$3:$B$53&amp;Res_AllFuels_SEDS_2022_TBtus!$A$3:$A$53,0))),0,(index(Res_AllFuels_SEDS_2022_TBtus!$P$3:$P$53,match($B35&amp;S$2,Res_AllFuels_SEDS_2022_TBtus!$B$3:$B$53&amp;Res_AllFuels_SEDS_2022_TBtus!$A$3:$A$53,0))))</f>
        <v>0</v>
      </c>
      <c r="T35" s="75">
        <f t="array" ref="T35">IF(ISERROR(index(Res_AllFuels_SEDS_2022_TBtus!$P$3:$P$53,match($B35&amp;T$2,Res_AllFuels_SEDS_2022_TBtus!$B$3:$B$53&amp;Res_AllFuels_SEDS_2022_TBtus!$A$3:$A$53,0))),0,(index(Res_AllFuels_SEDS_2022_TBtus!$P$3:$P$53,match($B35&amp;T$2,Res_AllFuels_SEDS_2022_TBtus!$B$3:$B$53&amp;Res_AllFuels_SEDS_2022_TBtus!$A$3:$A$53,0))))</f>
        <v>0.6</v>
      </c>
      <c r="U35" s="75">
        <f t="array" ref="U35">IF(ISERROR(index(Res_AllFuels_SEDS_2022_TBtus!$P$3:$P$53,match($B35&amp;U$2,Res_AllFuels_SEDS_2022_TBtus!$B$3:$B$53&amp;Res_AllFuels_SEDS_2022_TBtus!$A$3:$A$53,0))),0,(index(Res_AllFuels_SEDS_2022_TBtus!$P$3:$P$53,match($B35&amp;U$2,Res_AllFuels_SEDS_2022_TBtus!$B$3:$B$53&amp;Res_AllFuels_SEDS_2022_TBtus!$A$3:$A$53,0))))</f>
        <v>0</v>
      </c>
      <c r="V35" s="75">
        <f t="array" ref="V35">IF(ISERROR(index(Res_AllFuels_SEDS_2022_TBtus!$P$3:$P$53,match($B35&amp;V$2,Res_AllFuels_SEDS_2022_TBtus!$B$3:$B$53&amp;Res_AllFuels_SEDS_2022_TBtus!$A$3:$A$53,0))),0,(index(Res_AllFuels_SEDS_2022_TBtus!$P$3:$P$53,match($B35&amp;V$2,Res_AllFuels_SEDS_2022_TBtus!$B$3:$B$53&amp;Res_AllFuels_SEDS_2022_TBtus!$A$3:$A$53,0))))</f>
        <v>0</v>
      </c>
      <c r="W35" s="75">
        <f t="array" ref="W35">IF(ISERROR(index(Res_AllFuels_SEDS_2022_TBtus!$P$3:$P$53,match($B35&amp;W$2,Res_AllFuels_SEDS_2022_TBtus!$B$3:$B$53&amp;Res_AllFuels_SEDS_2022_TBtus!$A$3:$A$53,0))),0,(index(Res_AllFuels_SEDS_2022_TBtus!$P$3:$P$53,match($B35&amp;W$2,Res_AllFuels_SEDS_2022_TBtus!$B$3:$B$53&amp;Res_AllFuels_SEDS_2022_TBtus!$A$3:$A$53,0))))</f>
        <v>0</v>
      </c>
      <c r="X35" s="75">
        <f t="array" ref="X35">IF(ISERROR(index(Res_AllFuels_SEDS_2022_TBtus!$P$3:$P$53,match($B35&amp;X$2,Res_AllFuels_SEDS_2022_TBtus!$B$3:$B$53&amp;Res_AllFuels_SEDS_2022_TBtus!$A$3:$A$53,0))),0,(index(Res_AllFuels_SEDS_2022_TBtus!$P$3:$P$53,match($B35&amp;X$2,Res_AllFuels_SEDS_2022_TBtus!$B$3:$B$53&amp;Res_AllFuels_SEDS_2022_TBtus!$A$3:$A$53,0))))</f>
        <v>0</v>
      </c>
      <c r="Y35" s="75">
        <f t="array" ref="Y35">IF(ISERROR(index(Res_AllFuels_SEDS_2022_TBtus!$P$3:$P$53,match($B35&amp;Y$2,Res_AllFuels_SEDS_2022_TBtus!$B$3:$B$53&amp;Res_AllFuels_SEDS_2022_TBtus!$A$3:$A$53,0))),0,(index(Res_AllFuels_SEDS_2022_TBtus!$P$3:$P$53,match($B35&amp;Y$2,Res_AllFuels_SEDS_2022_TBtus!$B$3:$B$53&amp;Res_AllFuels_SEDS_2022_TBtus!$A$3:$A$53,0))))</f>
        <v>0</v>
      </c>
      <c r="Z35" s="75">
        <f t="array" ref="Z35">IF(ISERROR(index(Res_AllFuels_SEDS_2022_TBtus!$P$3:$P$53,match($B35&amp;Z$2,Res_AllFuels_SEDS_2022_TBtus!$B$3:$B$53&amp;Res_AllFuels_SEDS_2022_TBtus!$A$3:$A$53,0))),0,(index(Res_AllFuels_SEDS_2022_TBtus!$P$3:$P$53,match($B35&amp;Z$2,Res_AllFuels_SEDS_2022_TBtus!$B$3:$B$53&amp;Res_AllFuels_SEDS_2022_TBtus!$A$3:$A$53,0))))</f>
        <v>0</v>
      </c>
      <c r="AA35" s="75">
        <f t="array" ref="AA35">IF(ISERROR(index(Res_AllFuels_SEDS_2022_TBtus!$P$3:$P$53,match($B35&amp;AA$2,Res_AllFuels_SEDS_2022_TBtus!$B$3:$B$53&amp;Res_AllFuels_SEDS_2022_TBtus!$A$3:$A$53,0))),0,(index(Res_AllFuels_SEDS_2022_TBtus!$P$3:$P$53,match($B35&amp;AA$2,Res_AllFuels_SEDS_2022_TBtus!$B$3:$B$53&amp;Res_AllFuels_SEDS_2022_TBtus!$A$3:$A$53,0))))</f>
        <v>0</v>
      </c>
      <c r="AB35" s="75">
        <f t="array" ref="AB35">IF(ISERROR(index(Res_AllFuels_SEDS_2022_TBtus!$P$3:$P$53,match($B35&amp;AB$2,Res_AllFuels_SEDS_2022_TBtus!$B$3:$B$53&amp;Res_AllFuels_SEDS_2022_TBtus!$A$3:$A$53,0))),0,(index(Res_AllFuels_SEDS_2022_TBtus!$P$3:$P$53,match($B35&amp;AB$2,Res_AllFuels_SEDS_2022_TBtus!$B$3:$B$53&amp;Res_AllFuels_SEDS_2022_TBtus!$A$3:$A$53,0))))</f>
        <v>0</v>
      </c>
      <c r="AC35" s="75">
        <f t="array" ref="AC35">IF(ISERROR(index(Res_AllFuels_SEDS_2022_TBtus!$P$3:$P$53,match($B35&amp;AC$2,Res_AllFuels_SEDS_2022_TBtus!$B$3:$B$53&amp;Res_AllFuels_SEDS_2022_TBtus!$A$3:$A$53,0))),0,(index(Res_AllFuels_SEDS_2022_TBtus!$P$3:$P$53,match($B35&amp;AC$2,Res_AllFuels_SEDS_2022_TBtus!$B$3:$B$53&amp;Res_AllFuels_SEDS_2022_TBtus!$A$3:$A$53,0))))</f>
        <v>0</v>
      </c>
      <c r="AD35" s="75">
        <f t="array" ref="AD35">IF(ISERROR(index(Res_AllFuels_SEDS_2022_TBtus!$P$3:$P$53,match($B35&amp;AD$2,Res_AllFuels_SEDS_2022_TBtus!$B$3:$B$53&amp;Res_AllFuels_SEDS_2022_TBtus!$A$3:$A$53,0))),0,(index(Res_AllFuels_SEDS_2022_TBtus!$P$3:$P$53,match($B35&amp;AD$2,Res_AllFuels_SEDS_2022_TBtus!$B$3:$B$53&amp;Res_AllFuels_SEDS_2022_TBtus!$A$3:$A$53,0))))</f>
        <v>0</v>
      </c>
      <c r="AE35" s="75">
        <f t="array" ref="AE35">IF(ISERROR(index(Res_AllFuels_SEDS_2022_TBtus!$P$3:$P$53,match($B35&amp;AE$2,Res_AllFuels_SEDS_2022_TBtus!$B$3:$B$53&amp;Res_AllFuels_SEDS_2022_TBtus!$A$3:$A$53,0))),0,(index(Res_AllFuels_SEDS_2022_TBtus!$P$3:$P$53,match($B35&amp;AE$2,Res_AllFuels_SEDS_2022_TBtus!$B$3:$B$53&amp;Res_AllFuels_SEDS_2022_TBtus!$A$3:$A$53,0))))</f>
        <v>0</v>
      </c>
      <c r="AF35" s="75">
        <f t="array" ref="AF35">IF(ISERROR(index(Res_AllFuels_SEDS_2022_TBtus!$P$3:$P$53,match($B35&amp;AF$2,Res_AllFuels_SEDS_2022_TBtus!$B$3:$B$53&amp;Res_AllFuels_SEDS_2022_TBtus!$A$3:$A$53,0))),0,(index(Res_AllFuels_SEDS_2022_TBtus!$P$3:$P$53,match($B35&amp;AF$2,Res_AllFuels_SEDS_2022_TBtus!$B$3:$B$53&amp;Res_AllFuels_SEDS_2022_TBtus!$A$3:$A$53,0))))</f>
        <v>0</v>
      </c>
      <c r="AG35" s="75">
        <f t="array" ref="AG35">IF(ISERROR(index(Res_AllFuels_SEDS_2022_TBtus!$P$3:$P$53,match($B35&amp;AG$2,Res_AllFuels_SEDS_2022_TBtus!$B$3:$B$53&amp;Res_AllFuels_SEDS_2022_TBtus!$A$3:$A$53,0))),0,(index(Res_AllFuels_SEDS_2022_TBtus!$P$3:$P$53,match($B35&amp;AG$2,Res_AllFuels_SEDS_2022_TBtus!$B$3:$B$53&amp;Res_AllFuels_SEDS_2022_TBtus!$A$3:$A$53,0))))</f>
        <v>0</v>
      </c>
      <c r="AH35" s="75">
        <f t="array" ref="AH35">IF(ISERROR(index(Res_AllFuels_SEDS_2022_TBtus!$P$3:$P$53,match($B35&amp;AH$2,Res_AllFuels_SEDS_2022_TBtus!$B$3:$B$53&amp;Res_AllFuels_SEDS_2022_TBtus!$A$3:$A$53,0))),0,(index(Res_AllFuels_SEDS_2022_TBtus!$P$3:$P$53,match($B35&amp;AH$2,Res_AllFuels_SEDS_2022_TBtus!$B$3:$B$53&amp;Res_AllFuels_SEDS_2022_TBtus!$A$3:$A$53,0))))</f>
        <v>0</v>
      </c>
      <c r="AI35" s="75">
        <f t="array" ref="AI35">IF(ISERROR(index(Res_AllFuels_SEDS_2022_TBtus!$P$3:$P$53,match($B35&amp;AI$2,Res_AllFuels_SEDS_2022_TBtus!$B$3:$B$53&amp;Res_AllFuels_SEDS_2022_TBtus!$A$3:$A$53,0))),0,(index(Res_AllFuels_SEDS_2022_TBtus!$P$3:$P$53,match($B35&amp;AI$2,Res_AllFuels_SEDS_2022_TBtus!$B$3:$B$53&amp;Res_AllFuels_SEDS_2022_TBtus!$A$3:$A$53,0))))</f>
        <v>0</v>
      </c>
      <c r="AJ35" s="75">
        <f t="array" ref="AJ35">IF(ISERROR(index(Res_AllFuels_SEDS_2022_TBtus!$P$3:$P$53,match($B35&amp;AJ$2,Res_AllFuels_SEDS_2022_TBtus!$B$3:$B$53&amp;Res_AllFuels_SEDS_2022_TBtus!$A$3:$A$53,0))),0,(index(Res_AllFuels_SEDS_2022_TBtus!$P$3:$P$53,match($B35&amp;AJ$2,Res_AllFuels_SEDS_2022_TBtus!$B$3:$B$53&amp;Res_AllFuels_SEDS_2022_TBtus!$A$3:$A$53,0))))</f>
        <v>0</v>
      </c>
      <c r="AK35" s="75">
        <f t="array" ref="AK35">IF(ISERROR(index(Res_AllFuels_SEDS_2022_TBtus!$P$3:$P$53,match($B35&amp;AK$2,Res_AllFuels_SEDS_2022_TBtus!$B$3:$B$53&amp;Res_AllFuels_SEDS_2022_TBtus!$A$3:$A$53,0))),0,(index(Res_AllFuels_SEDS_2022_TBtus!$P$3:$P$53,match($B35&amp;AK$2,Res_AllFuels_SEDS_2022_TBtus!$B$3:$B$53&amp;Res_AllFuels_SEDS_2022_TBtus!$A$3:$A$53,0))))</f>
        <v>0</v>
      </c>
      <c r="AL35" s="75">
        <f t="array" ref="AL35">IF(ISERROR(index(Res_AllFuels_SEDS_2022_TBtus!$P$3:$P$53,match($B35&amp;AL$2,Res_AllFuels_SEDS_2022_TBtus!$B$3:$B$53&amp;Res_AllFuels_SEDS_2022_TBtus!$A$3:$A$53,0))),0,(index(Res_AllFuels_SEDS_2022_TBtus!$P$3:$P$53,match($B35&amp;AL$2,Res_AllFuels_SEDS_2022_TBtus!$B$3:$B$53&amp;Res_AllFuels_SEDS_2022_TBtus!$A$3:$A$53,0))))</f>
        <v>0</v>
      </c>
      <c r="AM35" s="75">
        <f t="array" ref="AM35">IF(ISERROR(index(Res_AllFuels_SEDS_2022_TBtus!$P$3:$P$53,match($B35&amp;AM$2,Res_AllFuels_SEDS_2022_TBtus!$B$3:$B$53&amp;Res_AllFuels_SEDS_2022_TBtus!$A$3:$A$53,0))),0,(index(Res_AllFuels_SEDS_2022_TBtus!$P$3:$P$53,match($B35&amp;AM$2,Res_AllFuels_SEDS_2022_TBtus!$B$3:$B$53&amp;Res_AllFuels_SEDS_2022_TBtus!$A$3:$A$53,0))))</f>
        <v>0</v>
      </c>
      <c r="AN35" s="75">
        <f t="array" ref="AN35">IF(ISERROR(index(Res_AllFuels_SEDS_2022_TBtus!$P$3:$P$53,match($B35&amp;AN$2,Res_AllFuels_SEDS_2022_TBtus!$B$3:$B$53&amp;Res_AllFuels_SEDS_2022_TBtus!$A$3:$A$53,0))),0,(index(Res_AllFuels_SEDS_2022_TBtus!$P$3:$P$53,match($B35&amp;AN$2,Res_AllFuels_SEDS_2022_TBtus!$B$3:$B$53&amp;Res_AllFuels_SEDS_2022_TBtus!$A$3:$A$53,0))))</f>
        <v>0</v>
      </c>
      <c r="AO35" s="75">
        <f t="array" ref="AO35">IF(ISERROR(index(Res_AllFuels_SEDS_2022_TBtus!$P$3:$P$53,match($B35&amp;AO$2,Res_AllFuels_SEDS_2022_TBtus!$B$3:$B$53&amp;Res_AllFuels_SEDS_2022_TBtus!$A$3:$A$53,0))),0,(index(Res_AllFuels_SEDS_2022_TBtus!$P$3:$P$53,match($B35&amp;AO$2,Res_AllFuels_SEDS_2022_TBtus!$B$3:$B$53&amp;Res_AllFuels_SEDS_2022_TBtus!$A$3:$A$53,0))))</f>
        <v>0</v>
      </c>
      <c r="AP35" s="75">
        <f t="array" ref="AP35">IF(ISERROR(index(Res_AllFuels_SEDS_2022_TBtus!$P$3:$P$53,match($B35&amp;AP$2,Res_AllFuels_SEDS_2022_TBtus!$B$3:$B$53&amp;Res_AllFuels_SEDS_2022_TBtus!$A$3:$A$53,0))),0,(index(Res_AllFuels_SEDS_2022_TBtus!$P$3:$P$53,match($B35&amp;AP$2,Res_AllFuels_SEDS_2022_TBtus!$B$3:$B$53&amp;Res_AllFuels_SEDS_2022_TBtus!$A$3:$A$53,0))))</f>
        <v>0</v>
      </c>
      <c r="AQ35" s="75">
        <f t="array" ref="AQ35">IF(ISERROR(index(Res_AllFuels_SEDS_2022_TBtus!$P$3:$P$53,match($B35&amp;AQ$2,Res_AllFuels_SEDS_2022_TBtus!$B$3:$B$53&amp;Res_AllFuels_SEDS_2022_TBtus!$A$3:$A$53,0))),0,(index(Res_AllFuels_SEDS_2022_TBtus!$P$3:$P$53,match($B35&amp;AQ$2,Res_AllFuels_SEDS_2022_TBtus!$B$3:$B$53&amp;Res_AllFuels_SEDS_2022_TBtus!$A$3:$A$53,0))))</f>
        <v>0</v>
      </c>
      <c r="AR35" s="75">
        <f t="array" ref="AR35">IF(ISERROR(index(Res_AllFuels_SEDS_2022_TBtus!$P$3:$P$53,match($B35&amp;AR$2,Res_AllFuels_SEDS_2022_TBtus!$B$3:$B$53&amp;Res_AllFuels_SEDS_2022_TBtus!$A$3:$A$53,0))),0,(index(Res_AllFuels_SEDS_2022_TBtus!$P$3:$P$53,match($B35&amp;AR$2,Res_AllFuels_SEDS_2022_TBtus!$B$3:$B$53&amp;Res_AllFuels_SEDS_2022_TBtus!$A$3:$A$53,0))))</f>
        <v>0</v>
      </c>
      <c r="AS35" s="75">
        <f t="array" ref="AS35">IF(ISERROR(index(Res_AllFuels_SEDS_2022_TBtus!$P$3:$P$53,match($B35&amp;AS$2,Res_AllFuels_SEDS_2022_TBtus!$B$3:$B$53&amp;Res_AllFuels_SEDS_2022_TBtus!$A$3:$A$53,0))),0,(index(Res_AllFuels_SEDS_2022_TBtus!$P$3:$P$53,match($B35&amp;AS$2,Res_AllFuels_SEDS_2022_TBtus!$B$3:$B$53&amp;Res_AllFuels_SEDS_2022_TBtus!$A$3:$A$53,0))))</f>
        <v>0.3</v>
      </c>
      <c r="AT35" s="75">
        <f t="array" ref="AT35">IF(ISERROR(index(Res_AllFuels_SEDS_2022_TBtus!$P$3:$P$53,match($B35&amp;AT$2,Res_AllFuels_SEDS_2022_TBtus!$B$3:$B$53&amp;Res_AllFuels_SEDS_2022_TBtus!$A$3:$A$53,0))),0,(index(Res_AllFuels_SEDS_2022_TBtus!$P$3:$P$53,match($B35&amp;AT$2,Res_AllFuels_SEDS_2022_TBtus!$B$3:$B$53&amp;Res_AllFuels_SEDS_2022_TBtus!$A$3:$A$53,0))))</f>
        <v>0</v>
      </c>
      <c r="AU35" s="75">
        <f t="array" ref="AU35">IF(ISERROR(index(Res_AllFuels_SEDS_2022_TBtus!$P$3:$P$53,match($B35&amp;AU$2,Res_AllFuels_SEDS_2022_TBtus!$B$3:$B$53&amp;Res_AllFuels_SEDS_2022_TBtus!$A$3:$A$53,0))),0,(index(Res_AllFuels_SEDS_2022_TBtus!$P$3:$P$53,match($B35&amp;AU$2,Res_AllFuels_SEDS_2022_TBtus!$B$3:$B$53&amp;Res_AllFuels_SEDS_2022_TBtus!$A$3:$A$53,0))))</f>
        <v>0</v>
      </c>
      <c r="AV35" s="75">
        <f t="array" ref="AV35">IF(ISERROR(index(Res_AllFuels_SEDS_2022_TBtus!$P$3:$P$53,match($B35&amp;AV$2,Res_AllFuels_SEDS_2022_TBtus!$B$3:$B$53&amp;Res_AllFuels_SEDS_2022_TBtus!$A$3:$A$53,0))),0,(index(Res_AllFuels_SEDS_2022_TBtus!$P$3:$P$53,match($B35&amp;AV$2,Res_AllFuels_SEDS_2022_TBtus!$B$3:$B$53&amp;Res_AllFuels_SEDS_2022_TBtus!$A$3:$A$53,0))))</f>
        <v>0</v>
      </c>
      <c r="AW35" s="75">
        <f t="array" ref="AW35">IF(ISERROR(index(Res_AllFuels_SEDS_2022_TBtus!$P$3:$P$53,match($B35&amp;AW$2,Res_AllFuels_SEDS_2022_TBtus!$B$3:$B$53&amp;Res_AllFuels_SEDS_2022_TBtus!$A$3:$A$53,0))),0,(index(Res_AllFuels_SEDS_2022_TBtus!$P$3:$P$53,match($B35&amp;AW$2,Res_AllFuels_SEDS_2022_TBtus!$B$3:$B$53&amp;Res_AllFuels_SEDS_2022_TBtus!$A$3:$A$53,0))))</f>
        <v>0</v>
      </c>
      <c r="AX35" s="75">
        <f t="array" ref="AX35">IF(ISERROR(index(Res_AllFuels_SEDS_2022_TBtus!$P$3:$P$53,match($B35&amp;AX$2,Res_AllFuels_SEDS_2022_TBtus!$B$3:$B$53&amp;Res_AllFuels_SEDS_2022_TBtus!$A$3:$A$53,0))),0,(index(Res_AllFuels_SEDS_2022_TBtus!$P$3:$P$53,match($B35&amp;AX$2,Res_AllFuels_SEDS_2022_TBtus!$B$3:$B$53&amp;Res_AllFuels_SEDS_2022_TBtus!$A$3:$A$53,0))))</f>
        <v>0</v>
      </c>
      <c r="AY35" s="75">
        <f t="array" ref="AY35">IF(ISERROR(index(Res_AllFuels_SEDS_2022_TBtus!$P$3:$P$53,match($B35&amp;AY$2,Res_AllFuels_SEDS_2022_TBtus!$B$3:$B$53&amp;Res_AllFuels_SEDS_2022_TBtus!$A$3:$A$53,0))),0,(index(Res_AllFuels_SEDS_2022_TBtus!$P$3:$P$53,match($B35&amp;AY$2,Res_AllFuels_SEDS_2022_TBtus!$B$3:$B$53&amp;Res_AllFuels_SEDS_2022_TBtus!$A$3:$A$53,0))))</f>
        <v>0</v>
      </c>
      <c r="AZ35" s="75">
        <f t="array" ref="AZ35">IF(ISERROR(index(Res_AllFuels_SEDS_2022_TBtus!$P$3:$P$53,match($B35&amp;AZ$2,Res_AllFuels_SEDS_2022_TBtus!$B$3:$B$53&amp;Res_AllFuels_SEDS_2022_TBtus!$A$3:$A$53,0))),0,(index(Res_AllFuels_SEDS_2022_TBtus!$P$3:$P$53,match($B35&amp;AZ$2,Res_AllFuels_SEDS_2022_TBtus!$B$3:$B$53&amp;Res_AllFuels_SEDS_2022_TBtus!$A$3:$A$53,0))))</f>
        <v>0</v>
      </c>
      <c r="BA35" s="75">
        <f t="array" ref="BA35">IF(ISERROR(index(Res_AllFuels_SEDS_2022_TBtus!$P$3:$P$53,match($B35&amp;BA$2,Res_AllFuels_SEDS_2022_TBtus!$B$3:$B$53&amp;Res_AllFuels_SEDS_2022_TBtus!$A$3:$A$53,0))),0,(index(Res_AllFuels_SEDS_2022_TBtus!$P$3:$P$53,match($B35&amp;BA$2,Res_AllFuels_SEDS_2022_TBtus!$B$3:$B$53&amp;Res_AllFuels_SEDS_2022_TBtus!$A$3:$A$53,0))))</f>
        <v>0</v>
      </c>
      <c r="BB35" s="74">
        <f t="shared" si="5"/>
        <v>1</v>
      </c>
    </row>
    <row r="36" ht="15.75" customHeight="1">
      <c r="A36" s="78"/>
      <c r="B36" s="74">
        <v>7.0</v>
      </c>
      <c r="C36" s="75">
        <f t="array" ref="C36">IF(ISERROR(index(Res_AllFuels_SEDS_2022_TBtus!$P$3:$P$53,match($B36&amp;C$2,Res_AllFuels_SEDS_2022_TBtus!$B$3:$B$53&amp;Res_AllFuels_SEDS_2022_TBtus!$A$3:$A$53,0))),0,(index(Res_AllFuels_SEDS_2022_TBtus!$P$3:$P$53,match($B36&amp;C$2,Res_AllFuels_SEDS_2022_TBtus!$B$3:$B$53&amp;Res_AllFuels_SEDS_2022_TBtus!$A$3:$A$53,0))))</f>
        <v>0</v>
      </c>
      <c r="D36" s="75">
        <f t="array" ref="D36">IF(ISERROR(index(Res_AllFuels_SEDS_2022_TBtus!$P$3:$P$53,match($B36&amp;D$2,Res_AllFuels_SEDS_2022_TBtus!$B$3:$B$53&amp;Res_AllFuels_SEDS_2022_TBtus!$A$3:$A$53,0))),0,(index(Res_AllFuels_SEDS_2022_TBtus!$P$3:$P$53,match($B36&amp;D$2,Res_AllFuels_SEDS_2022_TBtus!$B$3:$B$53&amp;Res_AllFuels_SEDS_2022_TBtus!$A$3:$A$53,0))))</f>
        <v>0</v>
      </c>
      <c r="E36" s="75">
        <f t="array" ref="E36">IF(ISERROR(index(Res_AllFuels_SEDS_2022_TBtus!$P$3:$P$53,match($B36&amp;E$2,Res_AllFuels_SEDS_2022_TBtus!$B$3:$B$53&amp;Res_AllFuels_SEDS_2022_TBtus!$A$3:$A$53,0))),0,(index(Res_AllFuels_SEDS_2022_TBtus!$P$3:$P$53,match($B36&amp;E$2,Res_AllFuels_SEDS_2022_TBtus!$B$3:$B$53&amp;Res_AllFuels_SEDS_2022_TBtus!$A$3:$A$53,0))))</f>
        <v>0</v>
      </c>
      <c r="F36" s="75">
        <f t="array" ref="F36">IF(ISERROR(index(Res_AllFuels_SEDS_2022_TBtus!$P$3:$P$53,match($B36&amp;F$2,Res_AllFuels_SEDS_2022_TBtus!$B$3:$B$53&amp;Res_AllFuels_SEDS_2022_TBtus!$A$3:$A$53,0))),0,(index(Res_AllFuels_SEDS_2022_TBtus!$P$3:$P$53,match($B36&amp;F$2,Res_AllFuels_SEDS_2022_TBtus!$B$3:$B$53&amp;Res_AllFuels_SEDS_2022_TBtus!$A$3:$A$53,0))))</f>
        <v>0</v>
      </c>
      <c r="G36" s="75">
        <f t="array" ref="G36">IF(ISERROR(index(Res_AllFuels_SEDS_2022_TBtus!$P$3:$P$53,match($B36&amp;G$2,Res_AllFuels_SEDS_2022_TBtus!$B$3:$B$53&amp;Res_AllFuels_SEDS_2022_TBtus!$A$3:$A$53,0))),0,(index(Res_AllFuels_SEDS_2022_TBtus!$P$3:$P$53,match($B36&amp;G$2,Res_AllFuels_SEDS_2022_TBtus!$B$3:$B$53&amp;Res_AllFuels_SEDS_2022_TBtus!$A$3:$A$53,0))))</f>
        <v>0</v>
      </c>
      <c r="H36" s="75">
        <f t="array" ref="H36">IF(ISERROR(index(Res_AllFuels_SEDS_2022_TBtus!$P$3:$P$53,match($B36&amp;H$2,Res_AllFuels_SEDS_2022_TBtus!$B$3:$B$53&amp;Res_AllFuels_SEDS_2022_TBtus!$A$3:$A$53,0))),0,(index(Res_AllFuels_SEDS_2022_TBtus!$P$3:$P$53,match($B36&amp;H$2,Res_AllFuels_SEDS_2022_TBtus!$B$3:$B$53&amp;Res_AllFuels_SEDS_2022_TBtus!$A$3:$A$53,0))))</f>
        <v>0</v>
      </c>
      <c r="I36" s="75">
        <f t="array" ref="I36">IF(ISERROR(index(Res_AllFuels_SEDS_2022_TBtus!$P$3:$P$53,match($B36&amp;I$2,Res_AllFuels_SEDS_2022_TBtus!$B$3:$B$53&amp;Res_AllFuels_SEDS_2022_TBtus!$A$3:$A$53,0))),0,(index(Res_AllFuels_SEDS_2022_TBtus!$P$3:$P$53,match($B36&amp;I$2,Res_AllFuels_SEDS_2022_TBtus!$B$3:$B$53&amp;Res_AllFuels_SEDS_2022_TBtus!$A$3:$A$53,0))))</f>
        <v>0</v>
      </c>
      <c r="J36" s="75">
        <f t="array" ref="J36">IF(ISERROR(index(Res_AllFuels_SEDS_2022_TBtus!$P$3:$P$53,match($B36&amp;J$2,Res_AllFuels_SEDS_2022_TBtus!$B$3:$B$53&amp;Res_AllFuels_SEDS_2022_TBtus!$A$3:$A$53,0))),0,(index(Res_AllFuels_SEDS_2022_TBtus!$P$3:$P$53,match($B36&amp;J$2,Res_AllFuels_SEDS_2022_TBtus!$B$3:$B$53&amp;Res_AllFuels_SEDS_2022_TBtus!$A$3:$A$53,0))))</f>
        <v>0</v>
      </c>
      <c r="K36" s="75">
        <f t="array" ref="K36">IF(ISERROR(index(Res_AllFuels_SEDS_2022_TBtus!$P$3:$P$53,match($B36&amp;K$2,Res_AllFuels_SEDS_2022_TBtus!$B$3:$B$53&amp;Res_AllFuels_SEDS_2022_TBtus!$A$3:$A$53,0))),0,(index(Res_AllFuels_SEDS_2022_TBtus!$P$3:$P$53,match($B36&amp;K$2,Res_AllFuels_SEDS_2022_TBtus!$B$3:$B$53&amp;Res_AllFuels_SEDS_2022_TBtus!$A$3:$A$53,0))))</f>
        <v>0</v>
      </c>
      <c r="L36" s="75">
        <f t="array" ref="L36">IF(ISERROR(index(Res_AllFuels_SEDS_2022_TBtus!$P$3:$P$53,match($B36&amp;L$2,Res_AllFuels_SEDS_2022_TBtus!$B$3:$B$53&amp;Res_AllFuels_SEDS_2022_TBtus!$A$3:$A$53,0))),0,(index(Res_AllFuels_SEDS_2022_TBtus!$P$3:$P$53,match($B36&amp;L$2,Res_AllFuels_SEDS_2022_TBtus!$B$3:$B$53&amp;Res_AllFuels_SEDS_2022_TBtus!$A$3:$A$53,0))))</f>
        <v>0</v>
      </c>
      <c r="M36" s="75">
        <f t="array" ref="M36">IF(ISERROR(index(Res_AllFuels_SEDS_2022_TBtus!$P$3:$P$53,match($B36&amp;M$2,Res_AllFuels_SEDS_2022_TBtus!$B$3:$B$53&amp;Res_AllFuels_SEDS_2022_TBtus!$A$3:$A$53,0))),0,(index(Res_AllFuels_SEDS_2022_TBtus!$P$3:$P$53,match($B36&amp;M$2,Res_AllFuels_SEDS_2022_TBtus!$B$3:$B$53&amp;Res_AllFuels_SEDS_2022_TBtus!$A$3:$A$53,0))))</f>
        <v>0</v>
      </c>
      <c r="N36" s="75">
        <f t="array" ref="N36">IF(ISERROR(index(Res_AllFuels_SEDS_2022_TBtus!$P$3:$P$53,match($B36&amp;N$2,Res_AllFuels_SEDS_2022_TBtus!$B$3:$B$53&amp;Res_AllFuels_SEDS_2022_TBtus!$A$3:$A$53,0))),0,(index(Res_AllFuels_SEDS_2022_TBtus!$P$3:$P$53,match($B36&amp;N$2,Res_AllFuels_SEDS_2022_TBtus!$B$3:$B$53&amp;Res_AllFuels_SEDS_2022_TBtus!$A$3:$A$53,0))))</f>
        <v>0</v>
      </c>
      <c r="O36" s="75">
        <f t="array" ref="O36">IF(ISERROR(index(Res_AllFuels_SEDS_2022_TBtus!$P$3:$P$53,match($B36&amp;O$2,Res_AllFuels_SEDS_2022_TBtus!$B$3:$B$53&amp;Res_AllFuels_SEDS_2022_TBtus!$A$3:$A$53,0))),0,(index(Res_AllFuels_SEDS_2022_TBtus!$P$3:$P$53,match($B36&amp;O$2,Res_AllFuels_SEDS_2022_TBtus!$B$3:$B$53&amp;Res_AllFuels_SEDS_2022_TBtus!$A$3:$A$53,0))))</f>
        <v>0</v>
      </c>
      <c r="P36" s="75">
        <f t="array" ref="P36">IF(ISERROR(index(Res_AllFuels_SEDS_2022_TBtus!$P$3:$P$53,match($B36&amp;P$2,Res_AllFuels_SEDS_2022_TBtus!$B$3:$B$53&amp;Res_AllFuels_SEDS_2022_TBtus!$A$3:$A$53,0))),0,(index(Res_AllFuels_SEDS_2022_TBtus!$P$3:$P$53,match($B36&amp;P$2,Res_AllFuels_SEDS_2022_TBtus!$B$3:$B$53&amp;Res_AllFuels_SEDS_2022_TBtus!$A$3:$A$53,0))))</f>
        <v>0</v>
      </c>
      <c r="Q36" s="75">
        <f t="array" ref="Q36">IF(ISERROR(index(Res_AllFuels_SEDS_2022_TBtus!$P$3:$P$53,match($B36&amp;Q$2,Res_AllFuels_SEDS_2022_TBtus!$B$3:$B$53&amp;Res_AllFuels_SEDS_2022_TBtus!$A$3:$A$53,0))),0,(index(Res_AllFuels_SEDS_2022_TBtus!$P$3:$P$53,match($B36&amp;Q$2,Res_AllFuels_SEDS_2022_TBtus!$B$3:$B$53&amp;Res_AllFuels_SEDS_2022_TBtus!$A$3:$A$53,0))))</f>
        <v>0</v>
      </c>
      <c r="R36" s="75">
        <f t="array" ref="R36">IF(ISERROR(index(Res_AllFuels_SEDS_2022_TBtus!$P$3:$P$53,match($B36&amp;R$2,Res_AllFuels_SEDS_2022_TBtus!$B$3:$B$53&amp;Res_AllFuels_SEDS_2022_TBtus!$A$3:$A$53,0))),0,(index(Res_AllFuels_SEDS_2022_TBtus!$P$3:$P$53,match($B36&amp;R$2,Res_AllFuels_SEDS_2022_TBtus!$B$3:$B$53&amp;Res_AllFuels_SEDS_2022_TBtus!$A$3:$A$53,0))))</f>
        <v>0</v>
      </c>
      <c r="S36" s="75">
        <f t="array" ref="S36">IF(ISERROR(index(Res_AllFuels_SEDS_2022_TBtus!$P$3:$P$53,match($B36&amp;S$2,Res_AllFuels_SEDS_2022_TBtus!$B$3:$B$53&amp;Res_AllFuels_SEDS_2022_TBtus!$A$3:$A$53,0))),0,(index(Res_AllFuels_SEDS_2022_TBtus!$P$3:$P$53,match($B36&amp;S$2,Res_AllFuels_SEDS_2022_TBtus!$B$3:$B$53&amp;Res_AllFuels_SEDS_2022_TBtus!$A$3:$A$53,0))))</f>
        <v>0</v>
      </c>
      <c r="T36" s="75">
        <f t="array" ref="T36">IF(ISERROR(index(Res_AllFuels_SEDS_2022_TBtus!$P$3:$P$53,match($B36&amp;T$2,Res_AllFuels_SEDS_2022_TBtus!$B$3:$B$53&amp;Res_AllFuels_SEDS_2022_TBtus!$A$3:$A$53,0))),0,(index(Res_AllFuels_SEDS_2022_TBtus!$P$3:$P$53,match($B36&amp;T$2,Res_AllFuels_SEDS_2022_TBtus!$B$3:$B$53&amp;Res_AllFuels_SEDS_2022_TBtus!$A$3:$A$53,0))))</f>
        <v>0</v>
      </c>
      <c r="U36" s="75">
        <f t="array" ref="U36">IF(ISERROR(index(Res_AllFuels_SEDS_2022_TBtus!$P$3:$P$53,match($B36&amp;U$2,Res_AllFuels_SEDS_2022_TBtus!$B$3:$B$53&amp;Res_AllFuels_SEDS_2022_TBtus!$A$3:$A$53,0))),0,(index(Res_AllFuels_SEDS_2022_TBtus!$P$3:$P$53,match($B36&amp;U$2,Res_AllFuels_SEDS_2022_TBtus!$B$3:$B$53&amp;Res_AllFuels_SEDS_2022_TBtus!$A$3:$A$53,0))))</f>
        <v>0</v>
      </c>
      <c r="V36" s="75">
        <f t="array" ref="V36">IF(ISERROR(index(Res_AllFuels_SEDS_2022_TBtus!$P$3:$P$53,match($B36&amp;V$2,Res_AllFuels_SEDS_2022_TBtus!$B$3:$B$53&amp;Res_AllFuels_SEDS_2022_TBtus!$A$3:$A$53,0))),0,(index(Res_AllFuels_SEDS_2022_TBtus!$P$3:$P$53,match($B36&amp;V$2,Res_AllFuels_SEDS_2022_TBtus!$B$3:$B$53&amp;Res_AllFuels_SEDS_2022_TBtus!$A$3:$A$53,0))))</f>
        <v>0</v>
      </c>
      <c r="W36" s="75">
        <f t="array" ref="W36">IF(ISERROR(index(Res_AllFuels_SEDS_2022_TBtus!$P$3:$P$53,match($B36&amp;W$2,Res_AllFuels_SEDS_2022_TBtus!$B$3:$B$53&amp;Res_AllFuels_SEDS_2022_TBtus!$A$3:$A$53,0))),0,(index(Res_AllFuels_SEDS_2022_TBtus!$P$3:$P$53,match($B36&amp;W$2,Res_AllFuels_SEDS_2022_TBtus!$B$3:$B$53&amp;Res_AllFuels_SEDS_2022_TBtus!$A$3:$A$53,0))))</f>
        <v>0</v>
      </c>
      <c r="X36" s="75">
        <f t="array" ref="X36">IF(ISERROR(index(Res_AllFuels_SEDS_2022_TBtus!$P$3:$P$53,match($B36&amp;X$2,Res_AllFuels_SEDS_2022_TBtus!$B$3:$B$53&amp;Res_AllFuels_SEDS_2022_TBtus!$A$3:$A$53,0))),0,(index(Res_AllFuels_SEDS_2022_TBtus!$P$3:$P$53,match($B36&amp;X$2,Res_AllFuels_SEDS_2022_TBtus!$B$3:$B$53&amp;Res_AllFuels_SEDS_2022_TBtus!$A$3:$A$53,0))))</f>
        <v>0</v>
      </c>
      <c r="Y36" s="75">
        <f t="array" ref="Y36">IF(ISERROR(index(Res_AllFuels_SEDS_2022_TBtus!$P$3:$P$53,match($B36&amp;Y$2,Res_AllFuels_SEDS_2022_TBtus!$B$3:$B$53&amp;Res_AllFuels_SEDS_2022_TBtus!$A$3:$A$53,0))),0,(index(Res_AllFuels_SEDS_2022_TBtus!$P$3:$P$53,match($B36&amp;Y$2,Res_AllFuels_SEDS_2022_TBtus!$B$3:$B$53&amp;Res_AllFuels_SEDS_2022_TBtus!$A$3:$A$53,0))))</f>
        <v>0</v>
      </c>
      <c r="Z36" s="75">
        <f t="array" ref="Z36">IF(ISERROR(index(Res_AllFuels_SEDS_2022_TBtus!$P$3:$P$53,match($B36&amp;Z$2,Res_AllFuels_SEDS_2022_TBtus!$B$3:$B$53&amp;Res_AllFuels_SEDS_2022_TBtus!$A$3:$A$53,0))),0,(index(Res_AllFuels_SEDS_2022_TBtus!$P$3:$P$53,match($B36&amp;Z$2,Res_AllFuels_SEDS_2022_TBtus!$B$3:$B$53&amp;Res_AllFuels_SEDS_2022_TBtus!$A$3:$A$53,0))))</f>
        <v>0</v>
      </c>
      <c r="AA36" s="75">
        <f t="array" ref="AA36">IF(ISERROR(index(Res_AllFuels_SEDS_2022_TBtus!$P$3:$P$53,match($B36&amp;AA$2,Res_AllFuels_SEDS_2022_TBtus!$B$3:$B$53&amp;Res_AllFuels_SEDS_2022_TBtus!$A$3:$A$53,0))),0,(index(Res_AllFuels_SEDS_2022_TBtus!$P$3:$P$53,match($B36&amp;AA$2,Res_AllFuels_SEDS_2022_TBtus!$B$3:$B$53&amp;Res_AllFuels_SEDS_2022_TBtus!$A$3:$A$53,0))))</f>
        <v>0</v>
      </c>
      <c r="AB36" s="75">
        <f t="array" ref="AB36">IF(ISERROR(index(Res_AllFuels_SEDS_2022_TBtus!$P$3:$P$53,match($B36&amp;AB$2,Res_AllFuels_SEDS_2022_TBtus!$B$3:$B$53&amp;Res_AllFuels_SEDS_2022_TBtus!$A$3:$A$53,0))),0,(index(Res_AllFuels_SEDS_2022_TBtus!$P$3:$P$53,match($B36&amp;AB$2,Res_AllFuels_SEDS_2022_TBtus!$B$3:$B$53&amp;Res_AllFuels_SEDS_2022_TBtus!$A$3:$A$53,0))))</f>
        <v>0</v>
      </c>
      <c r="AC36" s="75">
        <f t="array" ref="AC36">IF(ISERROR(index(Res_AllFuels_SEDS_2022_TBtus!$P$3:$P$53,match($B36&amp;AC$2,Res_AllFuels_SEDS_2022_TBtus!$B$3:$B$53&amp;Res_AllFuels_SEDS_2022_TBtus!$A$3:$A$53,0))),0,(index(Res_AllFuels_SEDS_2022_TBtus!$P$3:$P$53,match($B36&amp;AC$2,Res_AllFuels_SEDS_2022_TBtus!$B$3:$B$53&amp;Res_AllFuels_SEDS_2022_TBtus!$A$3:$A$53,0))))</f>
        <v>0</v>
      </c>
      <c r="AD36" s="75">
        <f t="array" ref="AD36">IF(ISERROR(index(Res_AllFuels_SEDS_2022_TBtus!$P$3:$P$53,match($B36&amp;AD$2,Res_AllFuels_SEDS_2022_TBtus!$B$3:$B$53&amp;Res_AllFuels_SEDS_2022_TBtus!$A$3:$A$53,0))),0,(index(Res_AllFuels_SEDS_2022_TBtus!$P$3:$P$53,match($B36&amp;AD$2,Res_AllFuels_SEDS_2022_TBtus!$B$3:$B$53&amp;Res_AllFuels_SEDS_2022_TBtus!$A$3:$A$53,0))))</f>
        <v>0</v>
      </c>
      <c r="AE36" s="75">
        <f t="array" ref="AE36">IF(ISERROR(index(Res_AllFuels_SEDS_2022_TBtus!$P$3:$P$53,match($B36&amp;AE$2,Res_AllFuels_SEDS_2022_TBtus!$B$3:$B$53&amp;Res_AllFuels_SEDS_2022_TBtus!$A$3:$A$53,0))),0,(index(Res_AllFuels_SEDS_2022_TBtus!$P$3:$P$53,match($B36&amp;AE$2,Res_AllFuels_SEDS_2022_TBtus!$B$3:$B$53&amp;Res_AllFuels_SEDS_2022_TBtus!$A$3:$A$53,0))))</f>
        <v>0</v>
      </c>
      <c r="AF36" s="75">
        <f t="array" ref="AF36">IF(ISERROR(index(Res_AllFuels_SEDS_2022_TBtus!$P$3:$P$53,match($B36&amp;AF$2,Res_AllFuels_SEDS_2022_TBtus!$B$3:$B$53&amp;Res_AllFuels_SEDS_2022_TBtus!$A$3:$A$53,0))),0,(index(Res_AllFuels_SEDS_2022_TBtus!$P$3:$P$53,match($B36&amp;AF$2,Res_AllFuels_SEDS_2022_TBtus!$B$3:$B$53&amp;Res_AllFuels_SEDS_2022_TBtus!$A$3:$A$53,0))))</f>
        <v>0</v>
      </c>
      <c r="AG36" s="75">
        <f t="array" ref="AG36">IF(ISERROR(index(Res_AllFuels_SEDS_2022_TBtus!$P$3:$P$53,match($B36&amp;AG$2,Res_AllFuels_SEDS_2022_TBtus!$B$3:$B$53&amp;Res_AllFuels_SEDS_2022_TBtus!$A$3:$A$53,0))),0,(index(Res_AllFuels_SEDS_2022_TBtus!$P$3:$P$53,match($B36&amp;AG$2,Res_AllFuels_SEDS_2022_TBtus!$B$3:$B$53&amp;Res_AllFuels_SEDS_2022_TBtus!$A$3:$A$53,0))))</f>
        <v>0</v>
      </c>
      <c r="AH36" s="75">
        <f t="array" ref="AH36">IF(ISERROR(index(Res_AllFuels_SEDS_2022_TBtus!$P$3:$P$53,match($B36&amp;AH$2,Res_AllFuels_SEDS_2022_TBtus!$B$3:$B$53&amp;Res_AllFuels_SEDS_2022_TBtus!$A$3:$A$53,0))),0,(index(Res_AllFuels_SEDS_2022_TBtus!$P$3:$P$53,match($B36&amp;AH$2,Res_AllFuels_SEDS_2022_TBtus!$B$3:$B$53&amp;Res_AllFuels_SEDS_2022_TBtus!$A$3:$A$53,0))))</f>
        <v>0</v>
      </c>
      <c r="AI36" s="75">
        <f t="array" ref="AI36">IF(ISERROR(index(Res_AllFuels_SEDS_2022_TBtus!$P$3:$P$53,match($B36&amp;AI$2,Res_AllFuels_SEDS_2022_TBtus!$B$3:$B$53&amp;Res_AllFuels_SEDS_2022_TBtus!$A$3:$A$53,0))),0,(index(Res_AllFuels_SEDS_2022_TBtus!$P$3:$P$53,match($B36&amp;AI$2,Res_AllFuels_SEDS_2022_TBtus!$B$3:$B$53&amp;Res_AllFuels_SEDS_2022_TBtus!$A$3:$A$53,0))))</f>
        <v>0</v>
      </c>
      <c r="AJ36" s="75">
        <f t="array" ref="AJ36">IF(ISERROR(index(Res_AllFuels_SEDS_2022_TBtus!$P$3:$P$53,match($B36&amp;AJ$2,Res_AllFuels_SEDS_2022_TBtus!$B$3:$B$53&amp;Res_AllFuels_SEDS_2022_TBtus!$A$3:$A$53,0))),0,(index(Res_AllFuels_SEDS_2022_TBtus!$P$3:$P$53,match($B36&amp;AJ$2,Res_AllFuels_SEDS_2022_TBtus!$B$3:$B$53&amp;Res_AllFuels_SEDS_2022_TBtus!$A$3:$A$53,0))))</f>
        <v>0</v>
      </c>
      <c r="AK36" s="75">
        <f t="array" ref="AK36">IF(ISERROR(index(Res_AllFuels_SEDS_2022_TBtus!$P$3:$P$53,match($B36&amp;AK$2,Res_AllFuels_SEDS_2022_TBtus!$B$3:$B$53&amp;Res_AllFuels_SEDS_2022_TBtus!$A$3:$A$53,0))),0,(index(Res_AllFuels_SEDS_2022_TBtus!$P$3:$P$53,match($B36&amp;AK$2,Res_AllFuels_SEDS_2022_TBtus!$B$3:$B$53&amp;Res_AllFuels_SEDS_2022_TBtus!$A$3:$A$53,0))))</f>
        <v>0</v>
      </c>
      <c r="AL36" s="75">
        <f t="array" ref="AL36">IF(ISERROR(index(Res_AllFuels_SEDS_2022_TBtus!$P$3:$P$53,match($B36&amp;AL$2,Res_AllFuels_SEDS_2022_TBtus!$B$3:$B$53&amp;Res_AllFuels_SEDS_2022_TBtus!$A$3:$A$53,0))),0,(index(Res_AllFuels_SEDS_2022_TBtus!$P$3:$P$53,match($B36&amp;AL$2,Res_AllFuels_SEDS_2022_TBtus!$B$3:$B$53&amp;Res_AllFuels_SEDS_2022_TBtus!$A$3:$A$53,0))))</f>
        <v>0</v>
      </c>
      <c r="AM36" s="75">
        <f t="array" ref="AM36">IF(ISERROR(index(Res_AllFuels_SEDS_2022_TBtus!$P$3:$P$53,match($B36&amp;AM$2,Res_AllFuels_SEDS_2022_TBtus!$B$3:$B$53&amp;Res_AllFuels_SEDS_2022_TBtus!$A$3:$A$53,0))),0,(index(Res_AllFuels_SEDS_2022_TBtus!$P$3:$P$53,match($B36&amp;AM$2,Res_AllFuels_SEDS_2022_TBtus!$B$3:$B$53&amp;Res_AllFuels_SEDS_2022_TBtus!$A$3:$A$53,0))))</f>
        <v>0</v>
      </c>
      <c r="AN36" s="75">
        <f t="array" ref="AN36">IF(ISERROR(index(Res_AllFuels_SEDS_2022_TBtus!$P$3:$P$53,match($B36&amp;AN$2,Res_AllFuels_SEDS_2022_TBtus!$B$3:$B$53&amp;Res_AllFuels_SEDS_2022_TBtus!$A$3:$A$53,0))),0,(index(Res_AllFuels_SEDS_2022_TBtus!$P$3:$P$53,match($B36&amp;AN$2,Res_AllFuels_SEDS_2022_TBtus!$B$3:$B$53&amp;Res_AllFuels_SEDS_2022_TBtus!$A$3:$A$53,0))))</f>
        <v>0</v>
      </c>
      <c r="AO36" s="75">
        <f t="array" ref="AO36">IF(ISERROR(index(Res_AllFuels_SEDS_2022_TBtus!$P$3:$P$53,match($B36&amp;AO$2,Res_AllFuels_SEDS_2022_TBtus!$B$3:$B$53&amp;Res_AllFuels_SEDS_2022_TBtus!$A$3:$A$53,0))),0,(index(Res_AllFuels_SEDS_2022_TBtus!$P$3:$P$53,match($B36&amp;AO$2,Res_AllFuels_SEDS_2022_TBtus!$B$3:$B$53&amp;Res_AllFuels_SEDS_2022_TBtus!$A$3:$A$53,0))))</f>
        <v>0</v>
      </c>
      <c r="AP36" s="75">
        <f t="array" ref="AP36">IF(ISERROR(index(Res_AllFuels_SEDS_2022_TBtus!$P$3:$P$53,match($B36&amp;AP$2,Res_AllFuels_SEDS_2022_TBtus!$B$3:$B$53&amp;Res_AllFuels_SEDS_2022_TBtus!$A$3:$A$53,0))),0,(index(Res_AllFuels_SEDS_2022_TBtus!$P$3:$P$53,match($B36&amp;AP$2,Res_AllFuels_SEDS_2022_TBtus!$B$3:$B$53&amp;Res_AllFuels_SEDS_2022_TBtus!$A$3:$A$53,0))))</f>
        <v>0</v>
      </c>
      <c r="AQ36" s="75">
        <f t="array" ref="AQ36">IF(ISERROR(index(Res_AllFuels_SEDS_2022_TBtus!$P$3:$P$53,match($B36&amp;AQ$2,Res_AllFuels_SEDS_2022_TBtus!$B$3:$B$53&amp;Res_AllFuels_SEDS_2022_TBtus!$A$3:$A$53,0))),0,(index(Res_AllFuels_SEDS_2022_TBtus!$P$3:$P$53,match($B36&amp;AQ$2,Res_AllFuels_SEDS_2022_TBtus!$B$3:$B$53&amp;Res_AllFuels_SEDS_2022_TBtus!$A$3:$A$53,0))))</f>
        <v>0</v>
      </c>
      <c r="AR36" s="75">
        <f t="array" ref="AR36">IF(ISERROR(index(Res_AllFuels_SEDS_2022_TBtus!$P$3:$P$53,match($B36&amp;AR$2,Res_AllFuels_SEDS_2022_TBtus!$B$3:$B$53&amp;Res_AllFuels_SEDS_2022_TBtus!$A$3:$A$53,0))),0,(index(Res_AllFuels_SEDS_2022_TBtus!$P$3:$P$53,match($B36&amp;AR$2,Res_AllFuels_SEDS_2022_TBtus!$B$3:$B$53&amp;Res_AllFuels_SEDS_2022_TBtus!$A$3:$A$53,0))))</f>
        <v>0</v>
      </c>
      <c r="AS36" s="75">
        <f t="array" ref="AS36">IF(ISERROR(index(Res_AllFuels_SEDS_2022_TBtus!$P$3:$P$53,match($B36&amp;AS$2,Res_AllFuels_SEDS_2022_TBtus!$B$3:$B$53&amp;Res_AllFuels_SEDS_2022_TBtus!$A$3:$A$53,0))),0,(index(Res_AllFuels_SEDS_2022_TBtus!$P$3:$P$53,match($B36&amp;AS$2,Res_AllFuels_SEDS_2022_TBtus!$B$3:$B$53&amp;Res_AllFuels_SEDS_2022_TBtus!$A$3:$A$53,0))))</f>
        <v>0</v>
      </c>
      <c r="AT36" s="75">
        <f t="array" ref="AT36">IF(ISERROR(index(Res_AllFuels_SEDS_2022_TBtus!$P$3:$P$53,match($B36&amp;AT$2,Res_AllFuels_SEDS_2022_TBtus!$B$3:$B$53&amp;Res_AllFuels_SEDS_2022_TBtus!$A$3:$A$53,0))),0,(index(Res_AllFuels_SEDS_2022_TBtus!$P$3:$P$53,match($B36&amp;AT$2,Res_AllFuels_SEDS_2022_TBtus!$B$3:$B$53&amp;Res_AllFuels_SEDS_2022_TBtus!$A$3:$A$53,0))))</f>
        <v>0</v>
      </c>
      <c r="AU36" s="75">
        <f t="array" ref="AU36">IF(ISERROR(index(Res_AllFuels_SEDS_2022_TBtus!$P$3:$P$53,match($B36&amp;AU$2,Res_AllFuels_SEDS_2022_TBtus!$B$3:$B$53&amp;Res_AllFuels_SEDS_2022_TBtus!$A$3:$A$53,0))),0,(index(Res_AllFuels_SEDS_2022_TBtus!$P$3:$P$53,match($B36&amp;AU$2,Res_AllFuels_SEDS_2022_TBtus!$B$3:$B$53&amp;Res_AllFuels_SEDS_2022_TBtus!$A$3:$A$53,0))))</f>
        <v>0</v>
      </c>
      <c r="AV36" s="75">
        <f t="array" ref="AV36">IF(ISERROR(index(Res_AllFuels_SEDS_2022_TBtus!$P$3:$P$53,match($B36&amp;AV$2,Res_AllFuels_SEDS_2022_TBtus!$B$3:$B$53&amp;Res_AllFuels_SEDS_2022_TBtus!$A$3:$A$53,0))),0,(index(Res_AllFuels_SEDS_2022_TBtus!$P$3:$P$53,match($B36&amp;AV$2,Res_AllFuels_SEDS_2022_TBtus!$B$3:$B$53&amp;Res_AllFuels_SEDS_2022_TBtus!$A$3:$A$53,0))))</f>
        <v>0</v>
      </c>
      <c r="AW36" s="75">
        <f t="array" ref="AW36">IF(ISERROR(index(Res_AllFuels_SEDS_2022_TBtus!$P$3:$P$53,match($B36&amp;AW$2,Res_AllFuels_SEDS_2022_TBtus!$B$3:$B$53&amp;Res_AllFuels_SEDS_2022_TBtus!$A$3:$A$53,0))),0,(index(Res_AllFuels_SEDS_2022_TBtus!$P$3:$P$53,match($B36&amp;AW$2,Res_AllFuels_SEDS_2022_TBtus!$B$3:$B$53&amp;Res_AllFuels_SEDS_2022_TBtus!$A$3:$A$53,0))))</f>
        <v>0</v>
      </c>
      <c r="AX36" s="75">
        <f t="array" ref="AX36">IF(ISERROR(index(Res_AllFuels_SEDS_2022_TBtus!$P$3:$P$53,match($B36&amp;AX$2,Res_AllFuels_SEDS_2022_TBtus!$B$3:$B$53&amp;Res_AllFuels_SEDS_2022_TBtus!$A$3:$A$53,0))),0,(index(Res_AllFuels_SEDS_2022_TBtus!$P$3:$P$53,match($B36&amp;AX$2,Res_AllFuels_SEDS_2022_TBtus!$B$3:$B$53&amp;Res_AllFuels_SEDS_2022_TBtus!$A$3:$A$53,0))))</f>
        <v>0</v>
      </c>
      <c r="AY36" s="75">
        <f t="array" ref="AY36">IF(ISERROR(index(Res_AllFuels_SEDS_2022_TBtus!$P$3:$P$53,match($B36&amp;AY$2,Res_AllFuels_SEDS_2022_TBtus!$B$3:$B$53&amp;Res_AllFuels_SEDS_2022_TBtus!$A$3:$A$53,0))),0,(index(Res_AllFuels_SEDS_2022_TBtus!$P$3:$P$53,match($B36&amp;AY$2,Res_AllFuels_SEDS_2022_TBtus!$B$3:$B$53&amp;Res_AllFuels_SEDS_2022_TBtus!$A$3:$A$53,0))))</f>
        <v>0</v>
      </c>
      <c r="AZ36" s="75">
        <f t="array" ref="AZ36">IF(ISERROR(index(Res_AllFuels_SEDS_2022_TBtus!$P$3:$P$53,match($B36&amp;AZ$2,Res_AllFuels_SEDS_2022_TBtus!$B$3:$B$53&amp;Res_AllFuels_SEDS_2022_TBtus!$A$3:$A$53,0))),0,(index(Res_AllFuels_SEDS_2022_TBtus!$P$3:$P$53,match($B36&amp;AZ$2,Res_AllFuels_SEDS_2022_TBtus!$B$3:$B$53&amp;Res_AllFuels_SEDS_2022_TBtus!$A$3:$A$53,0))))</f>
        <v>0</v>
      </c>
      <c r="BA36" s="75">
        <f t="array" ref="BA36">IF(ISERROR(index(Res_AllFuels_SEDS_2022_TBtus!$P$3:$P$53,match($B36&amp;BA$2,Res_AllFuels_SEDS_2022_TBtus!$B$3:$B$53&amp;Res_AllFuels_SEDS_2022_TBtus!$A$3:$A$53,0))),0,(index(Res_AllFuels_SEDS_2022_TBtus!$P$3:$P$53,match($B36&amp;BA$2,Res_AllFuels_SEDS_2022_TBtus!$B$3:$B$53&amp;Res_AllFuels_SEDS_2022_TBtus!$A$3:$A$53,0))))</f>
        <v>0</v>
      </c>
      <c r="BB36" s="74">
        <f t="shared" si="5"/>
        <v>0</v>
      </c>
    </row>
    <row r="37" ht="15.75" customHeight="1">
      <c r="A37" s="78"/>
      <c r="B37" s="74">
        <v>8.0</v>
      </c>
      <c r="C37" s="75">
        <f t="array" ref="C37">IF(ISERROR(index(Res_AllFuels_SEDS_2022_TBtus!$P$3:$P$53,match($B37&amp;C$2,Res_AllFuels_SEDS_2022_TBtus!$B$3:$B$53&amp;Res_AllFuels_SEDS_2022_TBtus!$A$3:$A$53,0))),0,(index(Res_AllFuels_SEDS_2022_TBtus!$P$3:$P$53,match($B37&amp;C$2,Res_AllFuels_SEDS_2022_TBtus!$B$3:$B$53&amp;Res_AllFuels_SEDS_2022_TBtus!$A$3:$A$53,0))))</f>
        <v>0</v>
      </c>
      <c r="D37" s="75">
        <f t="array" ref="D37">IF(ISERROR(index(Res_AllFuels_SEDS_2022_TBtus!$P$3:$P$53,match($B37&amp;D$2,Res_AllFuels_SEDS_2022_TBtus!$B$3:$B$53&amp;Res_AllFuels_SEDS_2022_TBtus!$A$3:$A$53,0))),0,(index(Res_AllFuels_SEDS_2022_TBtus!$P$3:$P$53,match($B37&amp;D$2,Res_AllFuels_SEDS_2022_TBtus!$B$3:$B$53&amp;Res_AllFuels_SEDS_2022_TBtus!$A$3:$A$53,0))))</f>
        <v>0</v>
      </c>
      <c r="E37" s="75">
        <f t="array" ref="E37">IF(ISERROR(index(Res_AllFuels_SEDS_2022_TBtus!$P$3:$P$53,match($B37&amp;E$2,Res_AllFuels_SEDS_2022_TBtus!$B$3:$B$53&amp;Res_AllFuels_SEDS_2022_TBtus!$A$3:$A$53,0))),0,(index(Res_AllFuels_SEDS_2022_TBtus!$P$3:$P$53,match($B37&amp;E$2,Res_AllFuels_SEDS_2022_TBtus!$B$3:$B$53&amp;Res_AllFuels_SEDS_2022_TBtus!$A$3:$A$53,0))))</f>
        <v>0</v>
      </c>
      <c r="F37" s="75">
        <f t="array" ref="F37">IF(ISERROR(index(Res_AllFuels_SEDS_2022_TBtus!$P$3:$P$53,match($B37&amp;F$2,Res_AllFuels_SEDS_2022_TBtus!$B$3:$B$53&amp;Res_AllFuels_SEDS_2022_TBtus!$A$3:$A$53,0))),0,(index(Res_AllFuels_SEDS_2022_TBtus!$P$3:$P$53,match($B37&amp;F$2,Res_AllFuels_SEDS_2022_TBtus!$B$3:$B$53&amp;Res_AllFuels_SEDS_2022_TBtus!$A$3:$A$53,0))))</f>
        <v>0</v>
      </c>
      <c r="G37" s="75">
        <f t="array" ref="G37">IF(ISERROR(index(Res_AllFuels_SEDS_2022_TBtus!$P$3:$P$53,match($B37&amp;G$2,Res_AllFuels_SEDS_2022_TBtus!$B$3:$B$53&amp;Res_AllFuels_SEDS_2022_TBtus!$A$3:$A$53,0))),0,(index(Res_AllFuels_SEDS_2022_TBtus!$P$3:$P$53,match($B37&amp;G$2,Res_AllFuels_SEDS_2022_TBtus!$B$3:$B$53&amp;Res_AllFuels_SEDS_2022_TBtus!$A$3:$A$53,0))))</f>
        <v>0</v>
      </c>
      <c r="H37" s="75">
        <f t="array" ref="H37">IF(ISERROR(index(Res_AllFuels_SEDS_2022_TBtus!$P$3:$P$53,match($B37&amp;H$2,Res_AllFuels_SEDS_2022_TBtus!$B$3:$B$53&amp;Res_AllFuels_SEDS_2022_TBtus!$A$3:$A$53,0))),0,(index(Res_AllFuels_SEDS_2022_TBtus!$P$3:$P$53,match($B37&amp;H$2,Res_AllFuels_SEDS_2022_TBtus!$B$3:$B$53&amp;Res_AllFuels_SEDS_2022_TBtus!$A$3:$A$53,0))))</f>
        <v>0.1</v>
      </c>
      <c r="I37" s="75">
        <f t="array" ref="I37">IF(ISERROR(index(Res_AllFuels_SEDS_2022_TBtus!$P$3:$P$53,match($B37&amp;I$2,Res_AllFuels_SEDS_2022_TBtus!$B$3:$B$53&amp;Res_AllFuels_SEDS_2022_TBtus!$A$3:$A$53,0))),0,(index(Res_AllFuels_SEDS_2022_TBtus!$P$3:$P$53,match($B37&amp;I$2,Res_AllFuels_SEDS_2022_TBtus!$B$3:$B$53&amp;Res_AllFuels_SEDS_2022_TBtus!$A$3:$A$53,0))))</f>
        <v>0</v>
      </c>
      <c r="J37" s="75">
        <f t="array" ref="J37">IF(ISERROR(index(Res_AllFuels_SEDS_2022_TBtus!$P$3:$P$53,match($B37&amp;J$2,Res_AllFuels_SEDS_2022_TBtus!$B$3:$B$53&amp;Res_AllFuels_SEDS_2022_TBtus!$A$3:$A$53,0))),0,(index(Res_AllFuels_SEDS_2022_TBtus!$P$3:$P$53,match($B37&amp;J$2,Res_AllFuels_SEDS_2022_TBtus!$B$3:$B$53&amp;Res_AllFuels_SEDS_2022_TBtus!$A$3:$A$53,0))))</f>
        <v>0</v>
      </c>
      <c r="K37" s="75">
        <f t="array" ref="K37">IF(ISERROR(index(Res_AllFuels_SEDS_2022_TBtus!$P$3:$P$53,match($B37&amp;K$2,Res_AllFuels_SEDS_2022_TBtus!$B$3:$B$53&amp;Res_AllFuels_SEDS_2022_TBtus!$A$3:$A$53,0))),0,(index(Res_AllFuels_SEDS_2022_TBtus!$P$3:$P$53,match($B37&amp;K$2,Res_AllFuels_SEDS_2022_TBtus!$B$3:$B$53&amp;Res_AllFuels_SEDS_2022_TBtus!$A$3:$A$53,0))))</f>
        <v>0</v>
      </c>
      <c r="L37" s="75">
        <f t="array" ref="L37">IF(ISERROR(index(Res_AllFuels_SEDS_2022_TBtus!$P$3:$P$53,match($B37&amp;L$2,Res_AllFuels_SEDS_2022_TBtus!$B$3:$B$53&amp;Res_AllFuels_SEDS_2022_TBtus!$A$3:$A$53,0))),0,(index(Res_AllFuels_SEDS_2022_TBtus!$P$3:$P$53,match($B37&amp;L$2,Res_AllFuels_SEDS_2022_TBtus!$B$3:$B$53&amp;Res_AllFuels_SEDS_2022_TBtus!$A$3:$A$53,0))))</f>
        <v>0</v>
      </c>
      <c r="M37" s="75">
        <f t="array" ref="M37">IF(ISERROR(index(Res_AllFuels_SEDS_2022_TBtus!$P$3:$P$53,match($B37&amp;M$2,Res_AllFuels_SEDS_2022_TBtus!$B$3:$B$53&amp;Res_AllFuels_SEDS_2022_TBtus!$A$3:$A$53,0))),0,(index(Res_AllFuels_SEDS_2022_TBtus!$P$3:$P$53,match($B37&amp;M$2,Res_AllFuels_SEDS_2022_TBtus!$B$3:$B$53&amp;Res_AllFuels_SEDS_2022_TBtus!$A$3:$A$53,0))))</f>
        <v>0</v>
      </c>
      <c r="N37" s="75">
        <f t="array" ref="N37">IF(ISERROR(index(Res_AllFuels_SEDS_2022_TBtus!$P$3:$P$53,match($B37&amp;N$2,Res_AllFuels_SEDS_2022_TBtus!$B$3:$B$53&amp;Res_AllFuels_SEDS_2022_TBtus!$A$3:$A$53,0))),0,(index(Res_AllFuels_SEDS_2022_TBtus!$P$3:$P$53,match($B37&amp;N$2,Res_AllFuels_SEDS_2022_TBtus!$B$3:$B$53&amp;Res_AllFuels_SEDS_2022_TBtus!$A$3:$A$53,0))))</f>
        <v>0</v>
      </c>
      <c r="O37" s="75">
        <f t="array" ref="O37">IF(ISERROR(index(Res_AllFuels_SEDS_2022_TBtus!$P$3:$P$53,match($B37&amp;O$2,Res_AllFuels_SEDS_2022_TBtus!$B$3:$B$53&amp;Res_AllFuels_SEDS_2022_TBtus!$A$3:$A$53,0))),0,(index(Res_AllFuels_SEDS_2022_TBtus!$P$3:$P$53,match($B37&amp;O$2,Res_AllFuels_SEDS_2022_TBtus!$B$3:$B$53&amp;Res_AllFuels_SEDS_2022_TBtus!$A$3:$A$53,0))))</f>
        <v>0.8</v>
      </c>
      <c r="P37" s="75">
        <f t="array" ref="P37">IF(ISERROR(index(Res_AllFuels_SEDS_2022_TBtus!$P$3:$P$53,match($B37&amp;P$2,Res_AllFuels_SEDS_2022_TBtus!$B$3:$B$53&amp;Res_AllFuels_SEDS_2022_TBtus!$A$3:$A$53,0))),0,(index(Res_AllFuels_SEDS_2022_TBtus!$P$3:$P$53,match($B37&amp;P$2,Res_AllFuels_SEDS_2022_TBtus!$B$3:$B$53&amp;Res_AllFuels_SEDS_2022_TBtus!$A$3:$A$53,0))))</f>
        <v>0</v>
      </c>
      <c r="Q37" s="75">
        <f t="array" ref="Q37">IF(ISERROR(index(Res_AllFuels_SEDS_2022_TBtus!$P$3:$P$53,match($B37&amp;Q$2,Res_AllFuels_SEDS_2022_TBtus!$B$3:$B$53&amp;Res_AllFuels_SEDS_2022_TBtus!$A$3:$A$53,0))),0,(index(Res_AllFuels_SEDS_2022_TBtus!$P$3:$P$53,match($B37&amp;Q$2,Res_AllFuels_SEDS_2022_TBtus!$B$3:$B$53&amp;Res_AllFuels_SEDS_2022_TBtus!$A$3:$A$53,0))))</f>
        <v>0</v>
      </c>
      <c r="R37" s="75">
        <f t="array" ref="R37">IF(ISERROR(index(Res_AllFuels_SEDS_2022_TBtus!$P$3:$P$53,match($B37&amp;R$2,Res_AllFuels_SEDS_2022_TBtus!$B$3:$B$53&amp;Res_AllFuels_SEDS_2022_TBtus!$A$3:$A$53,0))),0,(index(Res_AllFuels_SEDS_2022_TBtus!$P$3:$P$53,match($B37&amp;R$2,Res_AllFuels_SEDS_2022_TBtus!$B$3:$B$53&amp;Res_AllFuels_SEDS_2022_TBtus!$A$3:$A$53,0))))</f>
        <v>0</v>
      </c>
      <c r="S37" s="75">
        <f t="array" ref="S37">IF(ISERROR(index(Res_AllFuels_SEDS_2022_TBtus!$P$3:$P$53,match($B37&amp;S$2,Res_AllFuels_SEDS_2022_TBtus!$B$3:$B$53&amp;Res_AllFuels_SEDS_2022_TBtus!$A$3:$A$53,0))),0,(index(Res_AllFuels_SEDS_2022_TBtus!$P$3:$P$53,match($B37&amp;S$2,Res_AllFuels_SEDS_2022_TBtus!$B$3:$B$53&amp;Res_AllFuels_SEDS_2022_TBtus!$A$3:$A$53,0))))</f>
        <v>0</v>
      </c>
      <c r="T37" s="75">
        <f t="array" ref="T37">IF(ISERROR(index(Res_AllFuels_SEDS_2022_TBtus!$P$3:$P$53,match($B37&amp;T$2,Res_AllFuels_SEDS_2022_TBtus!$B$3:$B$53&amp;Res_AllFuels_SEDS_2022_TBtus!$A$3:$A$53,0))),0,(index(Res_AllFuels_SEDS_2022_TBtus!$P$3:$P$53,match($B37&amp;T$2,Res_AllFuels_SEDS_2022_TBtus!$B$3:$B$53&amp;Res_AllFuels_SEDS_2022_TBtus!$A$3:$A$53,0))))</f>
        <v>0</v>
      </c>
      <c r="U37" s="75">
        <f t="array" ref="U37">IF(ISERROR(index(Res_AllFuels_SEDS_2022_TBtus!$P$3:$P$53,match($B37&amp;U$2,Res_AllFuels_SEDS_2022_TBtus!$B$3:$B$53&amp;Res_AllFuels_SEDS_2022_TBtus!$A$3:$A$53,0))),0,(index(Res_AllFuels_SEDS_2022_TBtus!$P$3:$P$53,match($B37&amp;U$2,Res_AllFuels_SEDS_2022_TBtus!$B$3:$B$53&amp;Res_AllFuels_SEDS_2022_TBtus!$A$3:$A$53,0))))</f>
        <v>0</v>
      </c>
      <c r="V37" s="75">
        <f t="array" ref="V37">IF(ISERROR(index(Res_AllFuels_SEDS_2022_TBtus!$P$3:$P$53,match($B37&amp;V$2,Res_AllFuels_SEDS_2022_TBtus!$B$3:$B$53&amp;Res_AllFuels_SEDS_2022_TBtus!$A$3:$A$53,0))),0,(index(Res_AllFuels_SEDS_2022_TBtus!$P$3:$P$53,match($B37&amp;V$2,Res_AllFuels_SEDS_2022_TBtus!$B$3:$B$53&amp;Res_AllFuels_SEDS_2022_TBtus!$A$3:$A$53,0))))</f>
        <v>0</v>
      </c>
      <c r="W37" s="75">
        <f t="array" ref="W37">IF(ISERROR(index(Res_AllFuels_SEDS_2022_TBtus!$P$3:$P$53,match($B37&amp;W$2,Res_AllFuels_SEDS_2022_TBtus!$B$3:$B$53&amp;Res_AllFuels_SEDS_2022_TBtus!$A$3:$A$53,0))),0,(index(Res_AllFuels_SEDS_2022_TBtus!$P$3:$P$53,match($B37&amp;W$2,Res_AllFuels_SEDS_2022_TBtus!$B$3:$B$53&amp;Res_AllFuels_SEDS_2022_TBtus!$A$3:$A$53,0))))</f>
        <v>0</v>
      </c>
      <c r="X37" s="75">
        <f t="array" ref="X37">IF(ISERROR(index(Res_AllFuels_SEDS_2022_TBtus!$P$3:$P$53,match($B37&amp;X$2,Res_AllFuels_SEDS_2022_TBtus!$B$3:$B$53&amp;Res_AllFuels_SEDS_2022_TBtus!$A$3:$A$53,0))),0,(index(Res_AllFuels_SEDS_2022_TBtus!$P$3:$P$53,match($B37&amp;X$2,Res_AllFuels_SEDS_2022_TBtus!$B$3:$B$53&amp;Res_AllFuels_SEDS_2022_TBtus!$A$3:$A$53,0))))</f>
        <v>0</v>
      </c>
      <c r="Y37" s="75">
        <f t="array" ref="Y37">IF(ISERROR(index(Res_AllFuels_SEDS_2022_TBtus!$P$3:$P$53,match($B37&amp;Y$2,Res_AllFuels_SEDS_2022_TBtus!$B$3:$B$53&amp;Res_AllFuels_SEDS_2022_TBtus!$A$3:$A$53,0))),0,(index(Res_AllFuels_SEDS_2022_TBtus!$P$3:$P$53,match($B37&amp;Y$2,Res_AllFuels_SEDS_2022_TBtus!$B$3:$B$53&amp;Res_AllFuels_SEDS_2022_TBtus!$A$3:$A$53,0))))</f>
        <v>0</v>
      </c>
      <c r="Z37" s="75">
        <f t="array" ref="Z37">IF(ISERROR(index(Res_AllFuels_SEDS_2022_TBtus!$P$3:$P$53,match($B37&amp;Z$2,Res_AllFuels_SEDS_2022_TBtus!$B$3:$B$53&amp;Res_AllFuels_SEDS_2022_TBtus!$A$3:$A$53,0))),0,(index(Res_AllFuels_SEDS_2022_TBtus!$P$3:$P$53,match($B37&amp;Z$2,Res_AllFuels_SEDS_2022_TBtus!$B$3:$B$53&amp;Res_AllFuels_SEDS_2022_TBtus!$A$3:$A$53,0))))</f>
        <v>0</v>
      </c>
      <c r="AA37" s="75">
        <f t="array" ref="AA37">IF(ISERROR(index(Res_AllFuels_SEDS_2022_TBtus!$P$3:$P$53,match($B37&amp;AA$2,Res_AllFuels_SEDS_2022_TBtus!$B$3:$B$53&amp;Res_AllFuels_SEDS_2022_TBtus!$A$3:$A$53,0))),0,(index(Res_AllFuels_SEDS_2022_TBtus!$P$3:$P$53,match($B37&amp;AA$2,Res_AllFuels_SEDS_2022_TBtus!$B$3:$B$53&amp;Res_AllFuels_SEDS_2022_TBtus!$A$3:$A$53,0))))</f>
        <v>0</v>
      </c>
      <c r="AB37" s="75">
        <f t="array" ref="AB37">IF(ISERROR(index(Res_AllFuels_SEDS_2022_TBtus!$P$3:$P$53,match($B37&amp;AB$2,Res_AllFuels_SEDS_2022_TBtus!$B$3:$B$53&amp;Res_AllFuels_SEDS_2022_TBtus!$A$3:$A$53,0))),0,(index(Res_AllFuels_SEDS_2022_TBtus!$P$3:$P$53,match($B37&amp;AB$2,Res_AllFuels_SEDS_2022_TBtus!$B$3:$B$53&amp;Res_AllFuels_SEDS_2022_TBtus!$A$3:$A$53,0))))</f>
        <v>0</v>
      </c>
      <c r="AC37" s="75">
        <f t="array" ref="AC37">IF(ISERROR(index(Res_AllFuels_SEDS_2022_TBtus!$P$3:$P$53,match($B37&amp;AC$2,Res_AllFuels_SEDS_2022_TBtus!$B$3:$B$53&amp;Res_AllFuels_SEDS_2022_TBtus!$A$3:$A$53,0))),0,(index(Res_AllFuels_SEDS_2022_TBtus!$P$3:$P$53,match($B37&amp;AC$2,Res_AllFuels_SEDS_2022_TBtus!$B$3:$B$53&amp;Res_AllFuels_SEDS_2022_TBtus!$A$3:$A$53,0))))</f>
        <v>0.4</v>
      </c>
      <c r="AD37" s="75">
        <f t="array" ref="AD37">IF(ISERROR(index(Res_AllFuels_SEDS_2022_TBtus!$P$3:$P$53,match($B37&amp;AD$2,Res_AllFuels_SEDS_2022_TBtus!$B$3:$B$53&amp;Res_AllFuels_SEDS_2022_TBtus!$A$3:$A$53,0))),0,(index(Res_AllFuels_SEDS_2022_TBtus!$P$3:$P$53,match($B37&amp;AD$2,Res_AllFuels_SEDS_2022_TBtus!$B$3:$B$53&amp;Res_AllFuels_SEDS_2022_TBtus!$A$3:$A$53,0))))</f>
        <v>0</v>
      </c>
      <c r="AE37" s="75">
        <f t="array" ref="AE37">IF(ISERROR(index(Res_AllFuels_SEDS_2022_TBtus!$P$3:$P$53,match($B37&amp;AE$2,Res_AllFuels_SEDS_2022_TBtus!$B$3:$B$53&amp;Res_AllFuels_SEDS_2022_TBtus!$A$3:$A$53,0))),0,(index(Res_AllFuels_SEDS_2022_TBtus!$P$3:$P$53,match($B37&amp;AE$2,Res_AllFuels_SEDS_2022_TBtus!$B$3:$B$53&amp;Res_AllFuels_SEDS_2022_TBtus!$A$3:$A$53,0))))</f>
        <v>0.3</v>
      </c>
      <c r="AF37" s="75">
        <f t="array" ref="AF37">IF(ISERROR(index(Res_AllFuels_SEDS_2022_TBtus!$P$3:$P$53,match($B37&amp;AF$2,Res_AllFuels_SEDS_2022_TBtus!$B$3:$B$53&amp;Res_AllFuels_SEDS_2022_TBtus!$A$3:$A$53,0))),0,(index(Res_AllFuels_SEDS_2022_TBtus!$P$3:$P$53,match($B37&amp;AF$2,Res_AllFuels_SEDS_2022_TBtus!$B$3:$B$53&amp;Res_AllFuels_SEDS_2022_TBtus!$A$3:$A$53,0))))</f>
        <v>0</v>
      </c>
      <c r="AG37" s="75">
        <f t="array" ref="AG37">IF(ISERROR(index(Res_AllFuels_SEDS_2022_TBtus!$P$3:$P$53,match($B37&amp;AG$2,Res_AllFuels_SEDS_2022_TBtus!$B$3:$B$53&amp;Res_AllFuels_SEDS_2022_TBtus!$A$3:$A$53,0))),0,(index(Res_AllFuels_SEDS_2022_TBtus!$P$3:$P$53,match($B37&amp;AG$2,Res_AllFuels_SEDS_2022_TBtus!$B$3:$B$53&amp;Res_AllFuels_SEDS_2022_TBtus!$A$3:$A$53,0))))</f>
        <v>0</v>
      </c>
      <c r="AH37" s="75">
        <f t="array" ref="AH37">IF(ISERROR(index(Res_AllFuels_SEDS_2022_TBtus!$P$3:$P$53,match($B37&amp;AH$2,Res_AllFuels_SEDS_2022_TBtus!$B$3:$B$53&amp;Res_AllFuels_SEDS_2022_TBtus!$A$3:$A$53,0))),0,(index(Res_AllFuels_SEDS_2022_TBtus!$P$3:$P$53,match($B37&amp;AH$2,Res_AllFuels_SEDS_2022_TBtus!$B$3:$B$53&amp;Res_AllFuels_SEDS_2022_TBtus!$A$3:$A$53,0))))</f>
        <v>0</v>
      </c>
      <c r="AI37" s="75">
        <f t="array" ref="AI37">IF(ISERROR(index(Res_AllFuels_SEDS_2022_TBtus!$P$3:$P$53,match($B37&amp;AI$2,Res_AllFuels_SEDS_2022_TBtus!$B$3:$B$53&amp;Res_AllFuels_SEDS_2022_TBtus!$A$3:$A$53,0))),0,(index(Res_AllFuels_SEDS_2022_TBtus!$P$3:$P$53,match($B37&amp;AI$2,Res_AllFuels_SEDS_2022_TBtus!$B$3:$B$53&amp;Res_AllFuels_SEDS_2022_TBtus!$A$3:$A$53,0))))</f>
        <v>0</v>
      </c>
      <c r="AJ37" s="75">
        <f t="array" ref="AJ37">IF(ISERROR(index(Res_AllFuels_SEDS_2022_TBtus!$P$3:$P$53,match($B37&amp;AJ$2,Res_AllFuels_SEDS_2022_TBtus!$B$3:$B$53&amp;Res_AllFuels_SEDS_2022_TBtus!$A$3:$A$53,0))),0,(index(Res_AllFuels_SEDS_2022_TBtus!$P$3:$P$53,match($B37&amp;AJ$2,Res_AllFuels_SEDS_2022_TBtus!$B$3:$B$53&amp;Res_AllFuels_SEDS_2022_TBtus!$A$3:$A$53,0))))</f>
        <v>0</v>
      </c>
      <c r="AK37" s="75">
        <f t="array" ref="AK37">IF(ISERROR(index(Res_AllFuels_SEDS_2022_TBtus!$P$3:$P$53,match($B37&amp;AK$2,Res_AllFuels_SEDS_2022_TBtus!$B$3:$B$53&amp;Res_AllFuels_SEDS_2022_TBtus!$A$3:$A$53,0))),0,(index(Res_AllFuels_SEDS_2022_TBtus!$P$3:$P$53,match($B37&amp;AK$2,Res_AllFuels_SEDS_2022_TBtus!$B$3:$B$53&amp;Res_AllFuels_SEDS_2022_TBtus!$A$3:$A$53,0))))</f>
        <v>0</v>
      </c>
      <c r="AL37" s="75">
        <f t="array" ref="AL37">IF(ISERROR(index(Res_AllFuels_SEDS_2022_TBtus!$P$3:$P$53,match($B37&amp;AL$2,Res_AllFuels_SEDS_2022_TBtus!$B$3:$B$53&amp;Res_AllFuels_SEDS_2022_TBtus!$A$3:$A$53,0))),0,(index(Res_AllFuels_SEDS_2022_TBtus!$P$3:$P$53,match($B37&amp;AL$2,Res_AllFuels_SEDS_2022_TBtus!$B$3:$B$53&amp;Res_AllFuels_SEDS_2022_TBtus!$A$3:$A$53,0))))</f>
        <v>0</v>
      </c>
      <c r="AM37" s="75">
        <f t="array" ref="AM37">IF(ISERROR(index(Res_AllFuels_SEDS_2022_TBtus!$P$3:$P$53,match($B37&amp;AM$2,Res_AllFuels_SEDS_2022_TBtus!$B$3:$B$53&amp;Res_AllFuels_SEDS_2022_TBtus!$A$3:$A$53,0))),0,(index(Res_AllFuels_SEDS_2022_TBtus!$P$3:$P$53,match($B37&amp;AM$2,Res_AllFuels_SEDS_2022_TBtus!$B$3:$B$53&amp;Res_AllFuels_SEDS_2022_TBtus!$A$3:$A$53,0))))</f>
        <v>0</v>
      </c>
      <c r="AN37" s="75">
        <f t="array" ref="AN37">IF(ISERROR(index(Res_AllFuels_SEDS_2022_TBtus!$P$3:$P$53,match($B37&amp;AN$2,Res_AllFuels_SEDS_2022_TBtus!$B$3:$B$53&amp;Res_AllFuels_SEDS_2022_TBtus!$A$3:$A$53,0))),0,(index(Res_AllFuels_SEDS_2022_TBtus!$P$3:$P$53,match($B37&amp;AN$2,Res_AllFuels_SEDS_2022_TBtus!$B$3:$B$53&amp;Res_AllFuels_SEDS_2022_TBtus!$A$3:$A$53,0))))</f>
        <v>0</v>
      </c>
      <c r="AO37" s="75">
        <f t="array" ref="AO37">IF(ISERROR(index(Res_AllFuels_SEDS_2022_TBtus!$P$3:$P$53,match($B37&amp;AO$2,Res_AllFuels_SEDS_2022_TBtus!$B$3:$B$53&amp;Res_AllFuels_SEDS_2022_TBtus!$A$3:$A$53,0))),0,(index(Res_AllFuels_SEDS_2022_TBtus!$P$3:$P$53,match($B37&amp;AO$2,Res_AllFuels_SEDS_2022_TBtus!$B$3:$B$53&amp;Res_AllFuels_SEDS_2022_TBtus!$A$3:$A$53,0))))</f>
        <v>0</v>
      </c>
      <c r="AP37" s="75">
        <f t="array" ref="AP37">IF(ISERROR(index(Res_AllFuels_SEDS_2022_TBtus!$P$3:$P$53,match($B37&amp;AP$2,Res_AllFuels_SEDS_2022_TBtus!$B$3:$B$53&amp;Res_AllFuels_SEDS_2022_TBtus!$A$3:$A$53,0))),0,(index(Res_AllFuels_SEDS_2022_TBtus!$P$3:$P$53,match($B37&amp;AP$2,Res_AllFuels_SEDS_2022_TBtus!$B$3:$B$53&amp;Res_AllFuels_SEDS_2022_TBtus!$A$3:$A$53,0))))</f>
        <v>0</v>
      </c>
      <c r="AQ37" s="75">
        <f t="array" ref="AQ37">IF(ISERROR(index(Res_AllFuels_SEDS_2022_TBtus!$P$3:$P$53,match($B37&amp;AQ$2,Res_AllFuels_SEDS_2022_TBtus!$B$3:$B$53&amp;Res_AllFuels_SEDS_2022_TBtus!$A$3:$A$53,0))),0,(index(Res_AllFuels_SEDS_2022_TBtus!$P$3:$P$53,match($B37&amp;AQ$2,Res_AllFuels_SEDS_2022_TBtus!$B$3:$B$53&amp;Res_AllFuels_SEDS_2022_TBtus!$A$3:$A$53,0))))</f>
        <v>0</v>
      </c>
      <c r="AR37" s="75">
        <f t="array" ref="AR37">IF(ISERROR(index(Res_AllFuels_SEDS_2022_TBtus!$P$3:$P$53,match($B37&amp;AR$2,Res_AllFuels_SEDS_2022_TBtus!$B$3:$B$53&amp;Res_AllFuels_SEDS_2022_TBtus!$A$3:$A$53,0))),0,(index(Res_AllFuels_SEDS_2022_TBtus!$P$3:$P$53,match($B37&amp;AR$2,Res_AllFuels_SEDS_2022_TBtus!$B$3:$B$53&amp;Res_AllFuels_SEDS_2022_TBtus!$A$3:$A$53,0))))</f>
        <v>0</v>
      </c>
      <c r="AS37" s="75">
        <f t="array" ref="AS37">IF(ISERROR(index(Res_AllFuels_SEDS_2022_TBtus!$P$3:$P$53,match($B37&amp;AS$2,Res_AllFuels_SEDS_2022_TBtus!$B$3:$B$53&amp;Res_AllFuels_SEDS_2022_TBtus!$A$3:$A$53,0))),0,(index(Res_AllFuels_SEDS_2022_TBtus!$P$3:$P$53,match($B37&amp;AS$2,Res_AllFuels_SEDS_2022_TBtus!$B$3:$B$53&amp;Res_AllFuels_SEDS_2022_TBtus!$A$3:$A$53,0))))</f>
        <v>0</v>
      </c>
      <c r="AT37" s="75">
        <f t="array" ref="AT37">IF(ISERROR(index(Res_AllFuels_SEDS_2022_TBtus!$P$3:$P$53,match($B37&amp;AT$2,Res_AllFuels_SEDS_2022_TBtus!$B$3:$B$53&amp;Res_AllFuels_SEDS_2022_TBtus!$A$3:$A$53,0))),0,(index(Res_AllFuels_SEDS_2022_TBtus!$P$3:$P$53,match($B37&amp;AT$2,Res_AllFuels_SEDS_2022_TBtus!$B$3:$B$53&amp;Res_AllFuels_SEDS_2022_TBtus!$A$3:$A$53,0))))</f>
        <v>0</v>
      </c>
      <c r="AU37" s="75">
        <f t="array" ref="AU37">IF(ISERROR(index(Res_AllFuels_SEDS_2022_TBtus!$P$3:$P$53,match($B37&amp;AU$2,Res_AllFuels_SEDS_2022_TBtus!$B$3:$B$53&amp;Res_AllFuels_SEDS_2022_TBtus!$A$3:$A$53,0))),0,(index(Res_AllFuels_SEDS_2022_TBtus!$P$3:$P$53,match($B37&amp;AU$2,Res_AllFuels_SEDS_2022_TBtus!$B$3:$B$53&amp;Res_AllFuels_SEDS_2022_TBtus!$A$3:$A$53,0))))</f>
        <v>0.1</v>
      </c>
      <c r="AV37" s="75">
        <f t="array" ref="AV37">IF(ISERROR(index(Res_AllFuels_SEDS_2022_TBtus!$P$3:$P$53,match($B37&amp;AV$2,Res_AllFuels_SEDS_2022_TBtus!$B$3:$B$53&amp;Res_AllFuels_SEDS_2022_TBtus!$A$3:$A$53,0))),0,(index(Res_AllFuels_SEDS_2022_TBtus!$P$3:$P$53,match($B37&amp;AV$2,Res_AllFuels_SEDS_2022_TBtus!$B$3:$B$53&amp;Res_AllFuels_SEDS_2022_TBtus!$A$3:$A$53,0))))</f>
        <v>0</v>
      </c>
      <c r="AW37" s="75">
        <f t="array" ref="AW37">IF(ISERROR(index(Res_AllFuels_SEDS_2022_TBtus!$P$3:$P$53,match($B37&amp;AW$2,Res_AllFuels_SEDS_2022_TBtus!$B$3:$B$53&amp;Res_AllFuels_SEDS_2022_TBtus!$A$3:$A$53,0))),0,(index(Res_AllFuels_SEDS_2022_TBtus!$P$3:$P$53,match($B37&amp;AW$2,Res_AllFuels_SEDS_2022_TBtus!$B$3:$B$53&amp;Res_AllFuels_SEDS_2022_TBtus!$A$3:$A$53,0))))</f>
        <v>0</v>
      </c>
      <c r="AX37" s="75">
        <f t="array" ref="AX37">IF(ISERROR(index(Res_AllFuels_SEDS_2022_TBtus!$P$3:$P$53,match($B37&amp;AX$2,Res_AllFuels_SEDS_2022_TBtus!$B$3:$B$53&amp;Res_AllFuels_SEDS_2022_TBtus!$A$3:$A$53,0))),0,(index(Res_AllFuels_SEDS_2022_TBtus!$P$3:$P$53,match($B37&amp;AX$2,Res_AllFuels_SEDS_2022_TBtus!$B$3:$B$53&amp;Res_AllFuels_SEDS_2022_TBtus!$A$3:$A$53,0))))</f>
        <v>0</v>
      </c>
      <c r="AY37" s="75">
        <f t="array" ref="AY37">IF(ISERROR(index(Res_AllFuels_SEDS_2022_TBtus!$P$3:$P$53,match($B37&amp;AY$2,Res_AllFuels_SEDS_2022_TBtus!$B$3:$B$53&amp;Res_AllFuels_SEDS_2022_TBtus!$A$3:$A$53,0))),0,(index(Res_AllFuels_SEDS_2022_TBtus!$P$3:$P$53,match($B37&amp;AY$2,Res_AllFuels_SEDS_2022_TBtus!$B$3:$B$53&amp;Res_AllFuels_SEDS_2022_TBtus!$A$3:$A$53,0))))</f>
        <v>0</v>
      </c>
      <c r="AZ37" s="75">
        <f t="array" ref="AZ37">IF(ISERROR(index(Res_AllFuels_SEDS_2022_TBtus!$P$3:$P$53,match($B37&amp;AZ$2,Res_AllFuels_SEDS_2022_TBtus!$B$3:$B$53&amp;Res_AllFuels_SEDS_2022_TBtus!$A$3:$A$53,0))),0,(index(Res_AllFuels_SEDS_2022_TBtus!$P$3:$P$53,match($B37&amp;AZ$2,Res_AllFuels_SEDS_2022_TBtus!$B$3:$B$53&amp;Res_AllFuels_SEDS_2022_TBtus!$A$3:$A$53,0))))</f>
        <v>0</v>
      </c>
      <c r="BA37" s="75">
        <f t="array" ref="BA37">IF(ISERROR(index(Res_AllFuels_SEDS_2022_TBtus!$P$3:$P$53,match($B37&amp;BA$2,Res_AllFuels_SEDS_2022_TBtus!$B$3:$B$53&amp;Res_AllFuels_SEDS_2022_TBtus!$A$3:$A$53,0))),0,(index(Res_AllFuels_SEDS_2022_TBtus!$P$3:$P$53,match($B37&amp;BA$2,Res_AllFuels_SEDS_2022_TBtus!$B$3:$B$53&amp;Res_AllFuels_SEDS_2022_TBtus!$A$3:$A$53,0))))</f>
        <v>0.1</v>
      </c>
      <c r="BB37" s="74">
        <f t="shared" si="5"/>
        <v>1.8</v>
      </c>
    </row>
    <row r="38" ht="15.75" customHeight="1">
      <c r="A38" s="78"/>
      <c r="B38" s="74">
        <v>9.0</v>
      </c>
      <c r="C38" s="75">
        <f t="array" ref="C38">IF(ISERROR(index(Res_AllFuels_SEDS_2022_TBtus!$P$3:$P$53,match($B38&amp;C$2,Res_AllFuels_SEDS_2022_TBtus!$B$3:$B$53&amp;Res_AllFuels_SEDS_2022_TBtus!$A$3:$A$53,0))),0,(index(Res_AllFuels_SEDS_2022_TBtus!$P$3:$P$53,match($B38&amp;C$2,Res_AllFuels_SEDS_2022_TBtus!$B$3:$B$53&amp;Res_AllFuels_SEDS_2022_TBtus!$A$3:$A$53,0))))</f>
        <v>0</v>
      </c>
      <c r="D38" s="75">
        <f t="array" ref="D38">IF(ISERROR(index(Res_AllFuels_SEDS_2022_TBtus!$P$3:$P$53,match($B38&amp;D$2,Res_AllFuels_SEDS_2022_TBtus!$B$3:$B$53&amp;Res_AllFuels_SEDS_2022_TBtus!$A$3:$A$53,0))),0,(index(Res_AllFuels_SEDS_2022_TBtus!$P$3:$P$53,match($B38&amp;D$2,Res_AllFuels_SEDS_2022_TBtus!$B$3:$B$53&amp;Res_AllFuels_SEDS_2022_TBtus!$A$3:$A$53,0))))</f>
        <v>7.1</v>
      </c>
      <c r="E38" s="75">
        <f t="array" ref="E38">IF(ISERROR(index(Res_AllFuels_SEDS_2022_TBtus!$P$3:$P$53,match($B38&amp;E$2,Res_AllFuels_SEDS_2022_TBtus!$B$3:$B$53&amp;Res_AllFuels_SEDS_2022_TBtus!$A$3:$A$53,0))),0,(index(Res_AllFuels_SEDS_2022_TBtus!$P$3:$P$53,match($B38&amp;E$2,Res_AllFuels_SEDS_2022_TBtus!$B$3:$B$53&amp;Res_AllFuels_SEDS_2022_TBtus!$A$3:$A$53,0))))</f>
        <v>0</v>
      </c>
      <c r="F38" s="75">
        <f t="array" ref="F38">IF(ISERROR(index(Res_AllFuels_SEDS_2022_TBtus!$P$3:$P$53,match($B38&amp;F$2,Res_AllFuels_SEDS_2022_TBtus!$B$3:$B$53&amp;Res_AllFuels_SEDS_2022_TBtus!$A$3:$A$53,0))),0,(index(Res_AllFuels_SEDS_2022_TBtus!$P$3:$P$53,match($B38&amp;F$2,Res_AllFuels_SEDS_2022_TBtus!$B$3:$B$53&amp;Res_AllFuels_SEDS_2022_TBtus!$A$3:$A$53,0))))</f>
        <v>0</v>
      </c>
      <c r="G38" s="75">
        <f t="array" ref="G38">IF(ISERROR(index(Res_AllFuels_SEDS_2022_TBtus!$P$3:$P$53,match($B38&amp;G$2,Res_AllFuels_SEDS_2022_TBtus!$B$3:$B$53&amp;Res_AllFuels_SEDS_2022_TBtus!$A$3:$A$53,0))),0,(index(Res_AllFuels_SEDS_2022_TBtus!$P$3:$P$53,match($B38&amp;G$2,Res_AllFuels_SEDS_2022_TBtus!$B$3:$B$53&amp;Res_AllFuels_SEDS_2022_TBtus!$A$3:$A$53,0))))</f>
        <v>0.5</v>
      </c>
      <c r="H38" s="75">
        <f t="array" ref="H38">IF(ISERROR(index(Res_AllFuels_SEDS_2022_TBtus!$P$3:$P$53,match($B38&amp;H$2,Res_AllFuels_SEDS_2022_TBtus!$B$3:$B$53&amp;Res_AllFuels_SEDS_2022_TBtus!$A$3:$A$53,0))),0,(index(Res_AllFuels_SEDS_2022_TBtus!$P$3:$P$53,match($B38&amp;H$2,Res_AllFuels_SEDS_2022_TBtus!$B$3:$B$53&amp;Res_AllFuels_SEDS_2022_TBtus!$A$3:$A$53,0))))</f>
        <v>0</v>
      </c>
      <c r="I38" s="75">
        <f t="array" ref="I38">IF(ISERROR(index(Res_AllFuels_SEDS_2022_TBtus!$P$3:$P$53,match($B38&amp;I$2,Res_AllFuels_SEDS_2022_TBtus!$B$3:$B$53&amp;Res_AllFuels_SEDS_2022_TBtus!$A$3:$A$53,0))),0,(index(Res_AllFuels_SEDS_2022_TBtus!$P$3:$P$53,match($B38&amp;I$2,Res_AllFuels_SEDS_2022_TBtus!$B$3:$B$53&amp;Res_AllFuels_SEDS_2022_TBtus!$A$3:$A$53,0))))</f>
        <v>0</v>
      </c>
      <c r="J38" s="75">
        <f t="array" ref="J38">IF(ISERROR(index(Res_AllFuels_SEDS_2022_TBtus!$P$3:$P$53,match($B38&amp;J$2,Res_AllFuels_SEDS_2022_TBtus!$B$3:$B$53&amp;Res_AllFuels_SEDS_2022_TBtus!$A$3:$A$53,0))),0,(index(Res_AllFuels_SEDS_2022_TBtus!$P$3:$P$53,match($B38&amp;J$2,Res_AllFuels_SEDS_2022_TBtus!$B$3:$B$53&amp;Res_AllFuels_SEDS_2022_TBtus!$A$3:$A$53,0))))</f>
        <v>0</v>
      </c>
      <c r="K38" s="75">
        <f t="array" ref="K38">IF(ISERROR(index(Res_AllFuels_SEDS_2022_TBtus!$P$3:$P$53,match($B38&amp;K$2,Res_AllFuels_SEDS_2022_TBtus!$B$3:$B$53&amp;Res_AllFuels_SEDS_2022_TBtus!$A$3:$A$53,0))),0,(index(Res_AllFuels_SEDS_2022_TBtus!$P$3:$P$53,match($B38&amp;K$2,Res_AllFuels_SEDS_2022_TBtus!$B$3:$B$53&amp;Res_AllFuels_SEDS_2022_TBtus!$A$3:$A$53,0))))</f>
        <v>0</v>
      </c>
      <c r="L38" s="75">
        <f t="array" ref="L38">IF(ISERROR(index(Res_AllFuels_SEDS_2022_TBtus!$P$3:$P$53,match($B38&amp;L$2,Res_AllFuels_SEDS_2022_TBtus!$B$3:$B$53&amp;Res_AllFuels_SEDS_2022_TBtus!$A$3:$A$53,0))),0,(index(Res_AllFuels_SEDS_2022_TBtus!$P$3:$P$53,match($B38&amp;L$2,Res_AllFuels_SEDS_2022_TBtus!$B$3:$B$53&amp;Res_AllFuels_SEDS_2022_TBtus!$A$3:$A$53,0))))</f>
        <v>0</v>
      </c>
      <c r="M38" s="75">
        <f t="array" ref="M38">IF(ISERROR(index(Res_AllFuels_SEDS_2022_TBtus!$P$3:$P$53,match($B38&amp;M$2,Res_AllFuels_SEDS_2022_TBtus!$B$3:$B$53&amp;Res_AllFuels_SEDS_2022_TBtus!$A$3:$A$53,0))),0,(index(Res_AllFuels_SEDS_2022_TBtus!$P$3:$P$53,match($B38&amp;M$2,Res_AllFuels_SEDS_2022_TBtus!$B$3:$B$53&amp;Res_AllFuels_SEDS_2022_TBtus!$A$3:$A$53,0))))</f>
        <v>0</v>
      </c>
      <c r="N38" s="75">
        <f t="array" ref="N38">IF(ISERROR(index(Res_AllFuels_SEDS_2022_TBtus!$P$3:$P$53,match($B38&amp;N$2,Res_AllFuels_SEDS_2022_TBtus!$B$3:$B$53&amp;Res_AllFuels_SEDS_2022_TBtus!$A$3:$A$53,0))),0,(index(Res_AllFuels_SEDS_2022_TBtus!$P$3:$P$53,match($B38&amp;N$2,Res_AllFuels_SEDS_2022_TBtus!$B$3:$B$53&amp;Res_AllFuels_SEDS_2022_TBtus!$A$3:$A$53,0))))</f>
        <v>0</v>
      </c>
      <c r="O38" s="75">
        <f t="array" ref="O38">IF(ISERROR(index(Res_AllFuels_SEDS_2022_TBtus!$P$3:$P$53,match($B38&amp;O$2,Res_AllFuels_SEDS_2022_TBtus!$B$3:$B$53&amp;Res_AllFuels_SEDS_2022_TBtus!$A$3:$A$53,0))),0,(index(Res_AllFuels_SEDS_2022_TBtus!$P$3:$P$53,match($B38&amp;O$2,Res_AllFuels_SEDS_2022_TBtus!$B$3:$B$53&amp;Res_AllFuels_SEDS_2022_TBtus!$A$3:$A$53,0))))</f>
        <v>0</v>
      </c>
      <c r="P38" s="75">
        <f t="array" ref="P38">IF(ISERROR(index(Res_AllFuels_SEDS_2022_TBtus!$P$3:$P$53,match($B38&amp;P$2,Res_AllFuels_SEDS_2022_TBtus!$B$3:$B$53&amp;Res_AllFuels_SEDS_2022_TBtus!$A$3:$A$53,0))),0,(index(Res_AllFuels_SEDS_2022_TBtus!$P$3:$P$53,match($B38&amp;P$2,Res_AllFuels_SEDS_2022_TBtus!$B$3:$B$53&amp;Res_AllFuels_SEDS_2022_TBtus!$A$3:$A$53,0))))</f>
        <v>0</v>
      </c>
      <c r="Q38" s="75">
        <f t="array" ref="Q38">IF(ISERROR(index(Res_AllFuels_SEDS_2022_TBtus!$P$3:$P$53,match($B38&amp;Q$2,Res_AllFuels_SEDS_2022_TBtus!$B$3:$B$53&amp;Res_AllFuels_SEDS_2022_TBtus!$A$3:$A$53,0))),0,(index(Res_AllFuels_SEDS_2022_TBtus!$P$3:$P$53,match($B38&amp;Q$2,Res_AllFuels_SEDS_2022_TBtus!$B$3:$B$53&amp;Res_AllFuels_SEDS_2022_TBtus!$A$3:$A$53,0))))</f>
        <v>0</v>
      </c>
      <c r="R38" s="75">
        <f t="array" ref="R38">IF(ISERROR(index(Res_AllFuels_SEDS_2022_TBtus!$P$3:$P$53,match($B38&amp;R$2,Res_AllFuels_SEDS_2022_TBtus!$B$3:$B$53&amp;Res_AllFuels_SEDS_2022_TBtus!$A$3:$A$53,0))),0,(index(Res_AllFuels_SEDS_2022_TBtus!$P$3:$P$53,match($B38&amp;R$2,Res_AllFuels_SEDS_2022_TBtus!$B$3:$B$53&amp;Res_AllFuels_SEDS_2022_TBtus!$A$3:$A$53,0))))</f>
        <v>0</v>
      </c>
      <c r="S38" s="75">
        <f t="array" ref="S38">IF(ISERROR(index(Res_AllFuels_SEDS_2022_TBtus!$P$3:$P$53,match($B38&amp;S$2,Res_AllFuels_SEDS_2022_TBtus!$B$3:$B$53&amp;Res_AllFuels_SEDS_2022_TBtus!$A$3:$A$53,0))),0,(index(Res_AllFuels_SEDS_2022_TBtus!$P$3:$P$53,match($B38&amp;S$2,Res_AllFuels_SEDS_2022_TBtus!$B$3:$B$53&amp;Res_AllFuels_SEDS_2022_TBtus!$A$3:$A$53,0))))</f>
        <v>0</v>
      </c>
      <c r="T38" s="75">
        <f t="array" ref="T38">IF(ISERROR(index(Res_AllFuels_SEDS_2022_TBtus!$P$3:$P$53,match($B38&amp;T$2,Res_AllFuels_SEDS_2022_TBtus!$B$3:$B$53&amp;Res_AllFuels_SEDS_2022_TBtus!$A$3:$A$53,0))),0,(index(Res_AllFuels_SEDS_2022_TBtus!$P$3:$P$53,match($B38&amp;T$2,Res_AllFuels_SEDS_2022_TBtus!$B$3:$B$53&amp;Res_AllFuels_SEDS_2022_TBtus!$A$3:$A$53,0))))</f>
        <v>0</v>
      </c>
      <c r="U38" s="75">
        <f t="array" ref="U38">IF(ISERROR(index(Res_AllFuels_SEDS_2022_TBtus!$P$3:$P$53,match($B38&amp;U$2,Res_AllFuels_SEDS_2022_TBtus!$B$3:$B$53&amp;Res_AllFuels_SEDS_2022_TBtus!$A$3:$A$53,0))),0,(index(Res_AllFuels_SEDS_2022_TBtus!$P$3:$P$53,match($B38&amp;U$2,Res_AllFuels_SEDS_2022_TBtus!$B$3:$B$53&amp;Res_AllFuels_SEDS_2022_TBtus!$A$3:$A$53,0))))</f>
        <v>0</v>
      </c>
      <c r="V38" s="75">
        <f t="array" ref="V38">IF(ISERROR(index(Res_AllFuels_SEDS_2022_TBtus!$P$3:$P$53,match($B38&amp;V$2,Res_AllFuels_SEDS_2022_TBtus!$B$3:$B$53&amp;Res_AllFuels_SEDS_2022_TBtus!$A$3:$A$53,0))),0,(index(Res_AllFuels_SEDS_2022_TBtus!$P$3:$P$53,match($B38&amp;V$2,Res_AllFuels_SEDS_2022_TBtus!$B$3:$B$53&amp;Res_AllFuels_SEDS_2022_TBtus!$A$3:$A$53,0))))</f>
        <v>0</v>
      </c>
      <c r="W38" s="75">
        <f t="array" ref="W38">IF(ISERROR(index(Res_AllFuels_SEDS_2022_TBtus!$P$3:$P$53,match($B38&amp;W$2,Res_AllFuels_SEDS_2022_TBtus!$B$3:$B$53&amp;Res_AllFuels_SEDS_2022_TBtus!$A$3:$A$53,0))),0,(index(Res_AllFuels_SEDS_2022_TBtus!$P$3:$P$53,match($B38&amp;W$2,Res_AllFuels_SEDS_2022_TBtus!$B$3:$B$53&amp;Res_AllFuels_SEDS_2022_TBtus!$A$3:$A$53,0))))</f>
        <v>0</v>
      </c>
      <c r="X38" s="75">
        <f t="array" ref="X38">IF(ISERROR(index(Res_AllFuels_SEDS_2022_TBtus!$P$3:$P$53,match($B38&amp;X$2,Res_AllFuels_SEDS_2022_TBtus!$B$3:$B$53&amp;Res_AllFuels_SEDS_2022_TBtus!$A$3:$A$53,0))),0,(index(Res_AllFuels_SEDS_2022_TBtus!$P$3:$P$53,match($B38&amp;X$2,Res_AllFuels_SEDS_2022_TBtus!$B$3:$B$53&amp;Res_AllFuels_SEDS_2022_TBtus!$A$3:$A$53,0))))</f>
        <v>0</v>
      </c>
      <c r="Y38" s="75">
        <f t="array" ref="Y38">IF(ISERROR(index(Res_AllFuels_SEDS_2022_TBtus!$P$3:$P$53,match($B38&amp;Y$2,Res_AllFuels_SEDS_2022_TBtus!$B$3:$B$53&amp;Res_AllFuels_SEDS_2022_TBtus!$A$3:$A$53,0))),0,(index(Res_AllFuels_SEDS_2022_TBtus!$P$3:$P$53,match($B38&amp;Y$2,Res_AllFuels_SEDS_2022_TBtus!$B$3:$B$53&amp;Res_AllFuels_SEDS_2022_TBtus!$A$3:$A$53,0))))</f>
        <v>0</v>
      </c>
      <c r="Z38" s="75">
        <f t="array" ref="Z38">IF(ISERROR(index(Res_AllFuels_SEDS_2022_TBtus!$P$3:$P$53,match($B38&amp;Z$2,Res_AllFuels_SEDS_2022_TBtus!$B$3:$B$53&amp;Res_AllFuels_SEDS_2022_TBtus!$A$3:$A$53,0))),0,(index(Res_AllFuels_SEDS_2022_TBtus!$P$3:$P$53,match($B38&amp;Z$2,Res_AllFuels_SEDS_2022_TBtus!$B$3:$B$53&amp;Res_AllFuels_SEDS_2022_TBtus!$A$3:$A$53,0))))</f>
        <v>0</v>
      </c>
      <c r="AA38" s="75">
        <f t="array" ref="AA38">IF(ISERROR(index(Res_AllFuels_SEDS_2022_TBtus!$P$3:$P$53,match($B38&amp;AA$2,Res_AllFuels_SEDS_2022_TBtus!$B$3:$B$53&amp;Res_AllFuels_SEDS_2022_TBtus!$A$3:$A$53,0))),0,(index(Res_AllFuels_SEDS_2022_TBtus!$P$3:$P$53,match($B38&amp;AA$2,Res_AllFuels_SEDS_2022_TBtus!$B$3:$B$53&amp;Res_AllFuels_SEDS_2022_TBtus!$A$3:$A$53,0))))</f>
        <v>0</v>
      </c>
      <c r="AB38" s="75">
        <f t="array" ref="AB38">IF(ISERROR(index(Res_AllFuels_SEDS_2022_TBtus!$P$3:$P$53,match($B38&amp;AB$2,Res_AllFuels_SEDS_2022_TBtus!$B$3:$B$53&amp;Res_AllFuels_SEDS_2022_TBtus!$A$3:$A$53,0))),0,(index(Res_AllFuels_SEDS_2022_TBtus!$P$3:$P$53,match($B38&amp;AB$2,Res_AllFuels_SEDS_2022_TBtus!$B$3:$B$53&amp;Res_AllFuels_SEDS_2022_TBtus!$A$3:$A$53,0))))</f>
        <v>0</v>
      </c>
      <c r="AC38" s="75">
        <f t="array" ref="AC38">IF(ISERROR(index(Res_AllFuels_SEDS_2022_TBtus!$P$3:$P$53,match($B38&amp;AC$2,Res_AllFuels_SEDS_2022_TBtus!$B$3:$B$53&amp;Res_AllFuels_SEDS_2022_TBtus!$A$3:$A$53,0))),0,(index(Res_AllFuels_SEDS_2022_TBtus!$P$3:$P$53,match($B38&amp;AC$2,Res_AllFuels_SEDS_2022_TBtus!$B$3:$B$53&amp;Res_AllFuels_SEDS_2022_TBtus!$A$3:$A$53,0))))</f>
        <v>0</v>
      </c>
      <c r="AD38" s="75">
        <f t="array" ref="AD38">IF(ISERROR(index(Res_AllFuels_SEDS_2022_TBtus!$P$3:$P$53,match($B38&amp;AD$2,Res_AllFuels_SEDS_2022_TBtus!$B$3:$B$53&amp;Res_AllFuels_SEDS_2022_TBtus!$A$3:$A$53,0))),0,(index(Res_AllFuels_SEDS_2022_TBtus!$P$3:$P$53,match($B38&amp;AD$2,Res_AllFuels_SEDS_2022_TBtus!$B$3:$B$53&amp;Res_AllFuels_SEDS_2022_TBtus!$A$3:$A$53,0))))</f>
        <v>0</v>
      </c>
      <c r="AE38" s="75">
        <f t="array" ref="AE38">IF(ISERROR(index(Res_AllFuels_SEDS_2022_TBtus!$P$3:$P$53,match($B38&amp;AE$2,Res_AllFuels_SEDS_2022_TBtus!$B$3:$B$53&amp;Res_AllFuels_SEDS_2022_TBtus!$A$3:$A$53,0))),0,(index(Res_AllFuels_SEDS_2022_TBtus!$P$3:$P$53,match($B38&amp;AE$2,Res_AllFuels_SEDS_2022_TBtus!$B$3:$B$53&amp;Res_AllFuels_SEDS_2022_TBtus!$A$3:$A$53,0))))</f>
        <v>0</v>
      </c>
      <c r="AF38" s="75">
        <f t="array" ref="AF38">IF(ISERROR(index(Res_AllFuels_SEDS_2022_TBtus!$P$3:$P$53,match($B38&amp;AF$2,Res_AllFuels_SEDS_2022_TBtus!$B$3:$B$53&amp;Res_AllFuels_SEDS_2022_TBtus!$A$3:$A$53,0))),0,(index(Res_AllFuels_SEDS_2022_TBtus!$P$3:$P$53,match($B38&amp;AF$2,Res_AllFuels_SEDS_2022_TBtus!$B$3:$B$53&amp;Res_AllFuels_SEDS_2022_TBtus!$A$3:$A$53,0))))</f>
        <v>0</v>
      </c>
      <c r="AG38" s="75">
        <f t="array" ref="AG38">IF(ISERROR(index(Res_AllFuels_SEDS_2022_TBtus!$P$3:$P$53,match($B38&amp;AG$2,Res_AllFuels_SEDS_2022_TBtus!$B$3:$B$53&amp;Res_AllFuels_SEDS_2022_TBtus!$A$3:$A$53,0))),0,(index(Res_AllFuels_SEDS_2022_TBtus!$P$3:$P$53,match($B38&amp;AG$2,Res_AllFuels_SEDS_2022_TBtus!$B$3:$B$53&amp;Res_AllFuels_SEDS_2022_TBtus!$A$3:$A$53,0))))</f>
        <v>0</v>
      </c>
      <c r="AH38" s="75">
        <f t="array" ref="AH38">IF(ISERROR(index(Res_AllFuels_SEDS_2022_TBtus!$P$3:$P$53,match($B38&amp;AH$2,Res_AllFuels_SEDS_2022_TBtus!$B$3:$B$53&amp;Res_AllFuels_SEDS_2022_TBtus!$A$3:$A$53,0))),0,(index(Res_AllFuels_SEDS_2022_TBtus!$P$3:$P$53,match($B38&amp;AH$2,Res_AllFuels_SEDS_2022_TBtus!$B$3:$B$53&amp;Res_AllFuels_SEDS_2022_TBtus!$A$3:$A$53,0))))</f>
        <v>0</v>
      </c>
      <c r="AI38" s="75">
        <f t="array" ref="AI38">IF(ISERROR(index(Res_AllFuels_SEDS_2022_TBtus!$P$3:$P$53,match($B38&amp;AI$2,Res_AllFuels_SEDS_2022_TBtus!$B$3:$B$53&amp;Res_AllFuels_SEDS_2022_TBtus!$A$3:$A$53,0))),0,(index(Res_AllFuels_SEDS_2022_TBtus!$P$3:$P$53,match($B38&amp;AI$2,Res_AllFuels_SEDS_2022_TBtus!$B$3:$B$53&amp;Res_AllFuels_SEDS_2022_TBtus!$A$3:$A$53,0))))</f>
        <v>0</v>
      </c>
      <c r="AJ38" s="75">
        <f t="array" ref="AJ38">IF(ISERROR(index(Res_AllFuels_SEDS_2022_TBtus!$P$3:$P$53,match($B38&amp;AJ$2,Res_AllFuels_SEDS_2022_TBtus!$B$3:$B$53&amp;Res_AllFuels_SEDS_2022_TBtus!$A$3:$A$53,0))),0,(index(Res_AllFuels_SEDS_2022_TBtus!$P$3:$P$53,match($B38&amp;AJ$2,Res_AllFuels_SEDS_2022_TBtus!$B$3:$B$53&amp;Res_AllFuels_SEDS_2022_TBtus!$A$3:$A$53,0))))</f>
        <v>0</v>
      </c>
      <c r="AK38" s="75">
        <f t="array" ref="AK38">IF(ISERROR(index(Res_AllFuels_SEDS_2022_TBtus!$P$3:$P$53,match($B38&amp;AK$2,Res_AllFuels_SEDS_2022_TBtus!$B$3:$B$53&amp;Res_AllFuels_SEDS_2022_TBtus!$A$3:$A$53,0))),0,(index(Res_AllFuels_SEDS_2022_TBtus!$P$3:$P$53,match($B38&amp;AK$2,Res_AllFuels_SEDS_2022_TBtus!$B$3:$B$53&amp;Res_AllFuels_SEDS_2022_TBtus!$A$3:$A$53,0))))</f>
        <v>0</v>
      </c>
      <c r="AL38" s="75">
        <f t="array" ref="AL38">IF(ISERROR(index(Res_AllFuels_SEDS_2022_TBtus!$P$3:$P$53,match($B38&amp;AL$2,Res_AllFuels_SEDS_2022_TBtus!$B$3:$B$53&amp;Res_AllFuels_SEDS_2022_TBtus!$A$3:$A$53,0))),0,(index(Res_AllFuels_SEDS_2022_TBtus!$P$3:$P$53,match($B38&amp;AL$2,Res_AllFuels_SEDS_2022_TBtus!$B$3:$B$53&amp;Res_AllFuels_SEDS_2022_TBtus!$A$3:$A$53,0))))</f>
        <v>0</v>
      </c>
      <c r="AM38" s="75">
        <f t="array" ref="AM38">IF(ISERROR(index(Res_AllFuels_SEDS_2022_TBtus!$P$3:$P$53,match($B38&amp;AM$2,Res_AllFuels_SEDS_2022_TBtus!$B$3:$B$53&amp;Res_AllFuels_SEDS_2022_TBtus!$A$3:$A$53,0))),0,(index(Res_AllFuels_SEDS_2022_TBtus!$P$3:$P$53,match($B38&amp;AM$2,Res_AllFuels_SEDS_2022_TBtus!$B$3:$B$53&amp;Res_AllFuels_SEDS_2022_TBtus!$A$3:$A$53,0))))</f>
        <v>0</v>
      </c>
      <c r="AN38" s="75">
        <f t="array" ref="AN38">IF(ISERROR(index(Res_AllFuels_SEDS_2022_TBtus!$P$3:$P$53,match($B38&amp;AN$2,Res_AllFuels_SEDS_2022_TBtus!$B$3:$B$53&amp;Res_AllFuels_SEDS_2022_TBtus!$A$3:$A$53,0))),0,(index(Res_AllFuels_SEDS_2022_TBtus!$P$3:$P$53,match($B38&amp;AN$2,Res_AllFuels_SEDS_2022_TBtus!$B$3:$B$53&amp;Res_AllFuels_SEDS_2022_TBtus!$A$3:$A$53,0))))</f>
        <v>1.9</v>
      </c>
      <c r="AO38" s="75">
        <f t="array" ref="AO38">IF(ISERROR(index(Res_AllFuels_SEDS_2022_TBtus!$P$3:$P$53,match($B38&amp;AO$2,Res_AllFuels_SEDS_2022_TBtus!$B$3:$B$53&amp;Res_AllFuels_SEDS_2022_TBtus!$A$3:$A$53,0))),0,(index(Res_AllFuels_SEDS_2022_TBtus!$P$3:$P$53,match($B38&amp;AO$2,Res_AllFuels_SEDS_2022_TBtus!$B$3:$B$53&amp;Res_AllFuels_SEDS_2022_TBtus!$A$3:$A$53,0))))</f>
        <v>0</v>
      </c>
      <c r="AP38" s="75">
        <f t="array" ref="AP38">IF(ISERROR(index(Res_AllFuels_SEDS_2022_TBtus!$P$3:$P$53,match($B38&amp;AP$2,Res_AllFuels_SEDS_2022_TBtus!$B$3:$B$53&amp;Res_AllFuels_SEDS_2022_TBtus!$A$3:$A$53,0))),0,(index(Res_AllFuels_SEDS_2022_TBtus!$P$3:$P$53,match($B38&amp;AP$2,Res_AllFuels_SEDS_2022_TBtus!$B$3:$B$53&amp;Res_AllFuels_SEDS_2022_TBtus!$A$3:$A$53,0))))</f>
        <v>0</v>
      </c>
      <c r="AQ38" s="75">
        <f t="array" ref="AQ38">IF(ISERROR(index(Res_AllFuels_SEDS_2022_TBtus!$P$3:$P$53,match($B38&amp;AQ$2,Res_AllFuels_SEDS_2022_TBtus!$B$3:$B$53&amp;Res_AllFuels_SEDS_2022_TBtus!$A$3:$A$53,0))),0,(index(Res_AllFuels_SEDS_2022_TBtus!$P$3:$P$53,match($B38&amp;AQ$2,Res_AllFuels_SEDS_2022_TBtus!$B$3:$B$53&amp;Res_AllFuels_SEDS_2022_TBtus!$A$3:$A$53,0))))</f>
        <v>0</v>
      </c>
      <c r="AR38" s="75">
        <f t="array" ref="AR38">IF(ISERROR(index(Res_AllFuels_SEDS_2022_TBtus!$P$3:$P$53,match($B38&amp;AR$2,Res_AllFuels_SEDS_2022_TBtus!$B$3:$B$53&amp;Res_AllFuels_SEDS_2022_TBtus!$A$3:$A$53,0))),0,(index(Res_AllFuels_SEDS_2022_TBtus!$P$3:$P$53,match($B38&amp;AR$2,Res_AllFuels_SEDS_2022_TBtus!$B$3:$B$53&amp;Res_AllFuels_SEDS_2022_TBtus!$A$3:$A$53,0))))</f>
        <v>0</v>
      </c>
      <c r="AS38" s="75">
        <f t="array" ref="AS38">IF(ISERROR(index(Res_AllFuels_SEDS_2022_TBtus!$P$3:$P$53,match($B38&amp;AS$2,Res_AllFuels_SEDS_2022_TBtus!$B$3:$B$53&amp;Res_AllFuels_SEDS_2022_TBtus!$A$3:$A$53,0))),0,(index(Res_AllFuels_SEDS_2022_TBtus!$P$3:$P$53,match($B38&amp;AS$2,Res_AllFuels_SEDS_2022_TBtus!$B$3:$B$53&amp;Res_AllFuels_SEDS_2022_TBtus!$A$3:$A$53,0))))</f>
        <v>0</v>
      </c>
      <c r="AT38" s="75">
        <f t="array" ref="AT38">IF(ISERROR(index(Res_AllFuels_SEDS_2022_TBtus!$P$3:$P$53,match($B38&amp;AT$2,Res_AllFuels_SEDS_2022_TBtus!$B$3:$B$53&amp;Res_AllFuels_SEDS_2022_TBtus!$A$3:$A$53,0))),0,(index(Res_AllFuels_SEDS_2022_TBtus!$P$3:$P$53,match($B38&amp;AT$2,Res_AllFuels_SEDS_2022_TBtus!$B$3:$B$53&amp;Res_AllFuels_SEDS_2022_TBtus!$A$3:$A$53,0))))</f>
        <v>0</v>
      </c>
      <c r="AU38" s="75">
        <f t="array" ref="AU38">IF(ISERROR(index(Res_AllFuels_SEDS_2022_TBtus!$P$3:$P$53,match($B38&amp;AU$2,Res_AllFuels_SEDS_2022_TBtus!$B$3:$B$53&amp;Res_AllFuels_SEDS_2022_TBtus!$A$3:$A$53,0))),0,(index(Res_AllFuels_SEDS_2022_TBtus!$P$3:$P$53,match($B38&amp;AU$2,Res_AllFuels_SEDS_2022_TBtus!$B$3:$B$53&amp;Res_AllFuels_SEDS_2022_TBtus!$A$3:$A$53,0))))</f>
        <v>0</v>
      </c>
      <c r="AV38" s="75">
        <f t="array" ref="AV38">IF(ISERROR(index(Res_AllFuels_SEDS_2022_TBtus!$P$3:$P$53,match($B38&amp;AV$2,Res_AllFuels_SEDS_2022_TBtus!$B$3:$B$53&amp;Res_AllFuels_SEDS_2022_TBtus!$A$3:$A$53,0))),0,(index(Res_AllFuels_SEDS_2022_TBtus!$P$3:$P$53,match($B38&amp;AV$2,Res_AllFuels_SEDS_2022_TBtus!$B$3:$B$53&amp;Res_AllFuels_SEDS_2022_TBtus!$A$3:$A$53,0))))</f>
        <v>0</v>
      </c>
      <c r="AW38" s="75">
        <f t="array" ref="AW38">IF(ISERROR(index(Res_AllFuels_SEDS_2022_TBtus!$P$3:$P$53,match($B38&amp;AW$2,Res_AllFuels_SEDS_2022_TBtus!$B$3:$B$53&amp;Res_AllFuels_SEDS_2022_TBtus!$A$3:$A$53,0))),0,(index(Res_AllFuels_SEDS_2022_TBtus!$P$3:$P$53,match($B38&amp;AW$2,Res_AllFuels_SEDS_2022_TBtus!$B$3:$B$53&amp;Res_AllFuels_SEDS_2022_TBtus!$A$3:$A$53,0))))</f>
        <v>0</v>
      </c>
      <c r="AX38" s="75">
        <f t="array" ref="AX38">IF(ISERROR(index(Res_AllFuels_SEDS_2022_TBtus!$P$3:$P$53,match($B38&amp;AX$2,Res_AllFuels_SEDS_2022_TBtus!$B$3:$B$53&amp;Res_AllFuels_SEDS_2022_TBtus!$A$3:$A$53,0))),0,(index(Res_AllFuels_SEDS_2022_TBtus!$P$3:$P$53,match($B38&amp;AX$2,Res_AllFuels_SEDS_2022_TBtus!$B$3:$B$53&amp;Res_AllFuels_SEDS_2022_TBtus!$A$3:$A$53,0))))</f>
        <v>4.1</v>
      </c>
      <c r="AY38" s="75">
        <f t="array" ref="AY38">IF(ISERROR(index(Res_AllFuels_SEDS_2022_TBtus!$P$3:$P$53,match($B38&amp;AY$2,Res_AllFuels_SEDS_2022_TBtus!$B$3:$B$53&amp;Res_AllFuels_SEDS_2022_TBtus!$A$3:$A$53,0))),0,(index(Res_AllFuels_SEDS_2022_TBtus!$P$3:$P$53,match($B38&amp;AY$2,Res_AllFuels_SEDS_2022_TBtus!$B$3:$B$53&amp;Res_AllFuels_SEDS_2022_TBtus!$A$3:$A$53,0))))</f>
        <v>0</v>
      </c>
      <c r="AZ38" s="75">
        <f t="array" ref="AZ38">IF(ISERROR(index(Res_AllFuels_SEDS_2022_TBtus!$P$3:$P$53,match($B38&amp;AZ$2,Res_AllFuels_SEDS_2022_TBtus!$B$3:$B$53&amp;Res_AllFuels_SEDS_2022_TBtus!$A$3:$A$53,0))),0,(index(Res_AllFuels_SEDS_2022_TBtus!$P$3:$P$53,match($B38&amp;AZ$2,Res_AllFuels_SEDS_2022_TBtus!$B$3:$B$53&amp;Res_AllFuels_SEDS_2022_TBtus!$A$3:$A$53,0))))</f>
        <v>0</v>
      </c>
      <c r="BA38" s="75">
        <f t="array" ref="BA38">IF(ISERROR(index(Res_AllFuels_SEDS_2022_TBtus!$P$3:$P$53,match($B38&amp;BA$2,Res_AllFuels_SEDS_2022_TBtus!$B$3:$B$53&amp;Res_AllFuels_SEDS_2022_TBtus!$A$3:$A$53,0))),0,(index(Res_AllFuels_SEDS_2022_TBtus!$P$3:$P$53,match($B38&amp;BA$2,Res_AllFuels_SEDS_2022_TBtus!$B$3:$B$53&amp;Res_AllFuels_SEDS_2022_TBtus!$A$3:$A$53,0))))</f>
        <v>0</v>
      </c>
      <c r="BB38" s="74">
        <f t="shared" si="5"/>
        <v>13.6</v>
      </c>
    </row>
    <row r="39" ht="15.75" customHeight="1">
      <c r="A39" s="78"/>
      <c r="B39" s="78" t="s">
        <v>4207</v>
      </c>
      <c r="C39" s="74">
        <f t="shared" ref="C39:BA39" si="6">sum(C30:C38)</f>
        <v>0.1</v>
      </c>
      <c r="D39" s="74">
        <f t="shared" si="6"/>
        <v>7.1</v>
      </c>
      <c r="E39" s="74">
        <f t="shared" si="6"/>
        <v>0</v>
      </c>
      <c r="F39" s="74">
        <f t="shared" si="6"/>
        <v>0</v>
      </c>
      <c r="G39" s="74">
        <f t="shared" si="6"/>
        <v>0.5</v>
      </c>
      <c r="H39" s="74">
        <f t="shared" si="6"/>
        <v>0.1</v>
      </c>
      <c r="I39" s="74">
        <f t="shared" si="6"/>
        <v>53</v>
      </c>
      <c r="J39" s="74">
        <f t="shared" si="6"/>
        <v>2.5</v>
      </c>
      <c r="K39" s="74">
        <f t="shared" si="6"/>
        <v>0.6</v>
      </c>
      <c r="L39" s="74">
        <f t="shared" si="6"/>
        <v>0.1</v>
      </c>
      <c r="M39" s="74">
        <f t="shared" si="6"/>
        <v>0.1</v>
      </c>
      <c r="N39" s="74">
        <f t="shared" si="6"/>
        <v>0</v>
      </c>
      <c r="O39" s="74">
        <f t="shared" si="6"/>
        <v>0.8</v>
      </c>
      <c r="P39" s="74">
        <f t="shared" si="6"/>
        <v>0.5</v>
      </c>
      <c r="Q39" s="74">
        <f t="shared" si="6"/>
        <v>1.2</v>
      </c>
      <c r="R39" s="74">
        <f t="shared" si="6"/>
        <v>0.9</v>
      </c>
      <c r="S39" s="74">
        <f t="shared" si="6"/>
        <v>0</v>
      </c>
      <c r="T39" s="74">
        <f t="shared" si="6"/>
        <v>0.6</v>
      </c>
      <c r="U39" s="74">
        <f t="shared" si="6"/>
        <v>0</v>
      </c>
      <c r="V39" s="74">
        <f t="shared" si="6"/>
        <v>26.8</v>
      </c>
      <c r="W39" s="74">
        <f t="shared" si="6"/>
        <v>14.6</v>
      </c>
      <c r="X39" s="74">
        <f t="shared" si="6"/>
        <v>70.7</v>
      </c>
      <c r="Y39" s="74">
        <f t="shared" si="6"/>
        <v>3.1</v>
      </c>
      <c r="Z39" s="74">
        <f t="shared" si="6"/>
        <v>4.9</v>
      </c>
      <c r="AA39" s="74">
        <f t="shared" si="6"/>
        <v>0</v>
      </c>
      <c r="AB39" s="74">
        <f t="shared" si="6"/>
        <v>0.2</v>
      </c>
      <c r="AC39" s="74">
        <f t="shared" si="6"/>
        <v>0.4</v>
      </c>
      <c r="AD39" s="74">
        <f t="shared" si="6"/>
        <v>0.1</v>
      </c>
      <c r="AE39" s="74">
        <f t="shared" si="6"/>
        <v>0.3</v>
      </c>
      <c r="AF39" s="74">
        <f t="shared" si="6"/>
        <v>19.1</v>
      </c>
      <c r="AG39" s="74">
        <f t="shared" si="6"/>
        <v>24.5</v>
      </c>
      <c r="AH39" s="74">
        <f t="shared" si="6"/>
        <v>0</v>
      </c>
      <c r="AI39" s="74">
        <f t="shared" si="6"/>
        <v>103.6</v>
      </c>
      <c r="AJ39" s="74">
        <f t="shared" si="6"/>
        <v>5.5</v>
      </c>
      <c r="AK39" s="74">
        <f t="shared" si="6"/>
        <v>0.9</v>
      </c>
      <c r="AL39" s="74">
        <f t="shared" si="6"/>
        <v>8</v>
      </c>
      <c r="AM39" s="74">
        <f t="shared" si="6"/>
        <v>0</v>
      </c>
      <c r="AN39" s="74">
        <f t="shared" si="6"/>
        <v>1.9</v>
      </c>
      <c r="AO39" s="74">
        <f t="shared" si="6"/>
        <v>78.3</v>
      </c>
      <c r="AP39" s="74">
        <f t="shared" si="6"/>
        <v>13.5</v>
      </c>
      <c r="AQ39" s="74">
        <f t="shared" si="6"/>
        <v>0.5</v>
      </c>
      <c r="AR39" s="74">
        <f t="shared" si="6"/>
        <v>0.6</v>
      </c>
      <c r="AS39" s="74">
        <f t="shared" si="6"/>
        <v>0.3</v>
      </c>
      <c r="AT39" s="74">
        <f t="shared" si="6"/>
        <v>0</v>
      </c>
      <c r="AU39" s="74">
        <f t="shared" si="6"/>
        <v>0.1</v>
      </c>
      <c r="AV39" s="74">
        <f t="shared" si="6"/>
        <v>9.6</v>
      </c>
      <c r="AW39" s="74">
        <f t="shared" si="6"/>
        <v>12.4</v>
      </c>
      <c r="AX39" s="74">
        <f t="shared" si="6"/>
        <v>4.1</v>
      </c>
      <c r="AY39" s="74">
        <f t="shared" si="6"/>
        <v>1.4</v>
      </c>
      <c r="AZ39" s="74">
        <f t="shared" si="6"/>
        <v>4.8</v>
      </c>
      <c r="BA39" s="74">
        <f t="shared" si="6"/>
        <v>0.1</v>
      </c>
      <c r="BB39" s="74">
        <f t="shared" si="5"/>
        <v>478.4</v>
      </c>
    </row>
    <row r="40" ht="15.75" customHeight="1"/>
    <row r="41" ht="15.75" customHeight="1">
      <c r="A41" s="77" t="s">
        <v>4241</v>
      </c>
    </row>
    <row r="42" ht="15.75" customHeight="1">
      <c r="A42" s="77" t="s">
        <v>4235</v>
      </c>
      <c r="B42" s="78" t="s">
        <v>48</v>
      </c>
      <c r="C42" s="79" t="s">
        <v>101</v>
      </c>
      <c r="D42" s="79" t="s">
        <v>171</v>
      </c>
      <c r="E42" s="79" t="s">
        <v>201</v>
      </c>
      <c r="F42" s="79" t="s">
        <v>220</v>
      </c>
      <c r="G42" s="79" t="s">
        <v>279</v>
      </c>
      <c r="H42" s="79" t="s">
        <v>339</v>
      </c>
      <c r="I42" s="79" t="s">
        <v>395</v>
      </c>
      <c r="J42" s="79" t="s">
        <v>405</v>
      </c>
      <c r="K42" s="79" t="s">
        <v>408</v>
      </c>
      <c r="L42" s="79" t="s">
        <v>410</v>
      </c>
      <c r="M42" s="79" t="s">
        <v>461</v>
      </c>
      <c r="N42" s="79" t="s">
        <v>570</v>
      </c>
      <c r="O42" s="79" t="s">
        <v>576</v>
      </c>
      <c r="P42" s="79" t="s">
        <v>608</v>
      </c>
      <c r="Q42" s="79" t="s">
        <v>663</v>
      </c>
      <c r="R42" s="79" t="s">
        <v>705</v>
      </c>
      <c r="S42" s="79" t="s">
        <v>750</v>
      </c>
      <c r="T42" s="79" t="s">
        <v>818</v>
      </c>
      <c r="U42" s="79" t="s">
        <v>875</v>
      </c>
      <c r="V42" s="79" t="s">
        <v>923</v>
      </c>
      <c r="W42" s="79" t="s">
        <v>934</v>
      </c>
      <c r="X42" s="79" t="s">
        <v>952</v>
      </c>
      <c r="Y42" s="79" t="s">
        <v>963</v>
      </c>
      <c r="Z42" s="79" t="s">
        <v>1026</v>
      </c>
      <c r="AA42" s="79" t="s">
        <v>255</v>
      </c>
      <c r="AB42" s="79" t="s">
        <v>1121</v>
      </c>
      <c r="AC42" s="79" t="s">
        <v>1162</v>
      </c>
      <c r="AD42" s="79" t="s">
        <v>1198</v>
      </c>
      <c r="AE42" s="79" t="s">
        <v>256</v>
      </c>
      <c r="AF42" s="79" t="s">
        <v>1251</v>
      </c>
      <c r="AG42" s="79" t="s">
        <v>1259</v>
      </c>
      <c r="AH42" s="79" t="s">
        <v>1271</v>
      </c>
      <c r="AI42" s="79" t="s">
        <v>1296</v>
      </c>
      <c r="AJ42" s="79" t="s">
        <v>1326</v>
      </c>
      <c r="AK42" s="79" t="s">
        <v>1390</v>
      </c>
      <c r="AL42" s="79" t="s">
        <v>683</v>
      </c>
      <c r="AM42" s="79" t="s">
        <v>1457</v>
      </c>
      <c r="AN42" s="79" t="s">
        <v>1144</v>
      </c>
      <c r="AO42" s="79" t="s">
        <v>1514</v>
      </c>
      <c r="AP42" s="79" t="s">
        <v>1546</v>
      </c>
      <c r="AQ42" s="79" t="s">
        <v>1550</v>
      </c>
      <c r="AR42" s="79" t="s">
        <v>1578</v>
      </c>
      <c r="AS42" s="79" t="s">
        <v>1616</v>
      </c>
      <c r="AT42" s="79" t="s">
        <v>1159</v>
      </c>
      <c r="AU42" s="79" t="s">
        <v>1802</v>
      </c>
      <c r="AV42" s="79" t="s">
        <v>1819</v>
      </c>
      <c r="AW42" s="79" t="s">
        <v>1828</v>
      </c>
      <c r="AX42" s="79" t="s">
        <v>167</v>
      </c>
      <c r="AY42" s="79" t="s">
        <v>1924</v>
      </c>
      <c r="AZ42" s="79" t="s">
        <v>1942</v>
      </c>
      <c r="BA42" s="79" t="s">
        <v>1323</v>
      </c>
      <c r="BB42" s="78" t="s">
        <v>4207</v>
      </c>
    </row>
    <row r="43" ht="15.75" customHeight="1">
      <c r="A43" s="52" t="s">
        <v>4230</v>
      </c>
      <c r="B43" s="74">
        <v>1.0</v>
      </c>
      <c r="C43" s="74">
        <f t="array" ref="C43">IF(ISERROR(index(Com_AllFuels_SEDS_2022_TBtus!$S$3:$S$53,match($B30&amp;C$2,Com_AllFuels_SEDS_2022_TBtus!$B$3:$B$53&amp;Com_AllFuels_SEDS_2022_TBtus!$A$3:$A$53,0))),0,(index(Com_AllFuels_SEDS_2022_TBtus!$S$3:$S$53,match($B30&amp;C$2,Com_AllFuels_SEDS_2022_TBtus!$B$3:$B$53&amp;Com_AllFuels_SEDS_2022_TBtus!$A$3:$A$53,0))))</f>
        <v>0</v>
      </c>
      <c r="D43" s="74">
        <f t="array" ref="D43">IF(ISERROR(index(Com_AllFuels_SEDS_2022_TBtus!$S$3:$S$53,match($B30&amp;D$2,Com_AllFuels_SEDS_2022_TBtus!$B$3:$B$53&amp;Com_AllFuels_SEDS_2022_TBtus!$A$3:$A$53,0))),0,(index(Com_AllFuels_SEDS_2022_TBtus!$S$3:$S$53,match($B30&amp;D$2,Com_AllFuels_SEDS_2022_TBtus!$B$3:$B$53&amp;Com_AllFuels_SEDS_2022_TBtus!$A$3:$A$53,0))))</f>
        <v>0</v>
      </c>
      <c r="E43" s="74">
        <f t="array" ref="E43">IF(ISERROR(index(Com_AllFuels_SEDS_2022_TBtus!$S$3:$S$53,match($B30&amp;E$2,Com_AllFuels_SEDS_2022_TBtus!$B$3:$B$53&amp;Com_AllFuels_SEDS_2022_TBtus!$A$3:$A$53,0))),0,(index(Com_AllFuels_SEDS_2022_TBtus!$S$3:$S$53,match($B30&amp;E$2,Com_AllFuels_SEDS_2022_TBtus!$B$3:$B$53&amp;Com_AllFuels_SEDS_2022_TBtus!$A$3:$A$53,0))))</f>
        <v>0</v>
      </c>
      <c r="F43" s="74">
        <f t="array" ref="F43">IF(ISERROR(index(Com_AllFuels_SEDS_2022_TBtus!$S$3:$S$53,match($B30&amp;F$2,Com_AllFuels_SEDS_2022_TBtus!$B$3:$B$53&amp;Com_AllFuels_SEDS_2022_TBtus!$A$3:$A$53,0))),0,(index(Com_AllFuels_SEDS_2022_TBtus!$S$3:$S$53,match($B30&amp;F$2,Com_AllFuels_SEDS_2022_TBtus!$B$3:$B$53&amp;Com_AllFuels_SEDS_2022_TBtus!$A$3:$A$53,0))))</f>
        <v>0</v>
      </c>
      <c r="G43" s="74">
        <f t="array" ref="G43">IF(ISERROR(index(Com_AllFuels_SEDS_2022_TBtus!$S$3:$S$53,match($B30&amp;G$2,Com_AllFuels_SEDS_2022_TBtus!$B$3:$B$53&amp;Com_AllFuels_SEDS_2022_TBtus!$A$3:$A$53,0))),0,(index(Com_AllFuels_SEDS_2022_TBtus!$S$3:$S$53,match($B30&amp;G$2,Com_AllFuels_SEDS_2022_TBtus!$B$3:$B$53&amp;Com_AllFuels_SEDS_2022_TBtus!$A$3:$A$53,0))))</f>
        <v>0</v>
      </c>
      <c r="H43" s="74">
        <f t="array" ref="H43">IF(ISERROR(index(Com_AllFuels_SEDS_2022_TBtus!$S$3:$S$53,match($B30&amp;H$2,Com_AllFuels_SEDS_2022_TBtus!$B$3:$B$53&amp;Com_AllFuels_SEDS_2022_TBtus!$A$3:$A$53,0))),0,(index(Com_AllFuels_SEDS_2022_TBtus!$S$3:$S$53,match($B30&amp;H$2,Com_AllFuels_SEDS_2022_TBtus!$B$3:$B$53&amp;Com_AllFuels_SEDS_2022_TBtus!$A$3:$A$53,0))))</f>
        <v>0</v>
      </c>
      <c r="I43" s="74">
        <f t="array" ref="I43">IF(ISERROR(index(Com_AllFuels_SEDS_2022_TBtus!$S$3:$S$53,match($B30&amp;I$2,Com_AllFuels_SEDS_2022_TBtus!$B$3:$B$53&amp;Com_AllFuels_SEDS_2022_TBtus!$A$3:$A$53,0))),0,(index(Com_AllFuels_SEDS_2022_TBtus!$S$3:$S$53,match($B30&amp;I$2,Com_AllFuels_SEDS_2022_TBtus!$B$3:$B$53&amp;Com_AllFuels_SEDS_2022_TBtus!$A$3:$A$53,0))))</f>
        <v>9.6</v>
      </c>
      <c r="J43" s="74">
        <f t="array" ref="J43">IF(ISERROR(index(Com_AllFuels_SEDS_2022_TBtus!$S$3:$S$53,match($B30&amp;J$2,Com_AllFuels_SEDS_2022_TBtus!$B$3:$B$53&amp;Com_AllFuels_SEDS_2022_TBtus!$A$3:$A$53,0))),0,(index(Com_AllFuels_SEDS_2022_TBtus!$S$3:$S$53,match($B30&amp;J$2,Com_AllFuels_SEDS_2022_TBtus!$B$3:$B$53&amp;Com_AllFuels_SEDS_2022_TBtus!$A$3:$A$53,0))))</f>
        <v>0</v>
      </c>
      <c r="K43" s="74">
        <f t="array" ref="K43">IF(ISERROR(index(Com_AllFuels_SEDS_2022_TBtus!$S$3:$S$53,match($B30&amp;K$2,Com_AllFuels_SEDS_2022_TBtus!$B$3:$B$53&amp;Com_AllFuels_SEDS_2022_TBtus!$A$3:$A$53,0))),0,(index(Com_AllFuels_SEDS_2022_TBtus!$S$3:$S$53,match($B30&amp;K$2,Com_AllFuels_SEDS_2022_TBtus!$B$3:$B$53&amp;Com_AllFuels_SEDS_2022_TBtus!$A$3:$A$53,0))))</f>
        <v>0</v>
      </c>
      <c r="L43" s="74">
        <f t="array" ref="L43">IF(ISERROR(index(Com_AllFuels_SEDS_2022_TBtus!$S$3:$S$53,match($B30&amp;L$2,Com_AllFuels_SEDS_2022_TBtus!$B$3:$B$53&amp;Com_AllFuels_SEDS_2022_TBtus!$A$3:$A$53,0))),0,(index(Com_AllFuels_SEDS_2022_TBtus!$S$3:$S$53,match($B30&amp;L$2,Com_AllFuels_SEDS_2022_TBtus!$B$3:$B$53&amp;Com_AllFuels_SEDS_2022_TBtus!$A$3:$A$53,0))))</f>
        <v>0</v>
      </c>
      <c r="M43" s="74">
        <f t="array" ref="M43">IF(ISERROR(index(Com_AllFuels_SEDS_2022_TBtus!$S$3:$S$53,match($B30&amp;M$2,Com_AllFuels_SEDS_2022_TBtus!$B$3:$B$53&amp;Com_AllFuels_SEDS_2022_TBtus!$A$3:$A$53,0))),0,(index(Com_AllFuels_SEDS_2022_TBtus!$S$3:$S$53,match($B30&amp;M$2,Com_AllFuels_SEDS_2022_TBtus!$B$3:$B$53&amp;Com_AllFuels_SEDS_2022_TBtus!$A$3:$A$53,0))))</f>
        <v>0</v>
      </c>
      <c r="N43" s="74">
        <f t="array" ref="N43">IF(ISERROR(index(Com_AllFuels_SEDS_2022_TBtus!$S$3:$S$53,match($B30&amp;N$2,Com_AllFuels_SEDS_2022_TBtus!$B$3:$B$53&amp;Com_AllFuels_SEDS_2022_TBtus!$A$3:$A$53,0))),0,(index(Com_AllFuels_SEDS_2022_TBtus!$S$3:$S$53,match($B30&amp;N$2,Com_AllFuels_SEDS_2022_TBtus!$B$3:$B$53&amp;Com_AllFuels_SEDS_2022_TBtus!$A$3:$A$53,0))))</f>
        <v>0</v>
      </c>
      <c r="O43" s="74">
        <f t="array" ref="O43">IF(ISERROR(index(Com_AllFuels_SEDS_2022_TBtus!$S$3:$S$53,match($B30&amp;O$2,Com_AllFuels_SEDS_2022_TBtus!$B$3:$B$53&amp;Com_AllFuels_SEDS_2022_TBtus!$A$3:$A$53,0))),0,(index(Com_AllFuels_SEDS_2022_TBtus!$S$3:$S$53,match($B30&amp;O$2,Com_AllFuels_SEDS_2022_TBtus!$B$3:$B$53&amp;Com_AllFuels_SEDS_2022_TBtus!$A$3:$A$53,0))))</f>
        <v>0</v>
      </c>
      <c r="P43" s="74">
        <f t="array" ref="P43">IF(ISERROR(index(Com_AllFuels_SEDS_2022_TBtus!$S$3:$S$53,match($B30&amp;P$2,Com_AllFuels_SEDS_2022_TBtus!$B$3:$B$53&amp;Com_AllFuels_SEDS_2022_TBtus!$A$3:$A$53,0))),0,(index(Com_AllFuels_SEDS_2022_TBtus!$S$3:$S$53,match($B30&amp;P$2,Com_AllFuels_SEDS_2022_TBtus!$B$3:$B$53&amp;Com_AllFuels_SEDS_2022_TBtus!$A$3:$A$53,0))))</f>
        <v>0</v>
      </c>
      <c r="Q43" s="74">
        <f t="array" ref="Q43">IF(ISERROR(index(Com_AllFuels_SEDS_2022_TBtus!$S$3:$S$53,match($B30&amp;Q$2,Com_AllFuels_SEDS_2022_TBtus!$B$3:$B$53&amp;Com_AllFuels_SEDS_2022_TBtus!$A$3:$A$53,0))),0,(index(Com_AllFuels_SEDS_2022_TBtus!$S$3:$S$53,match($B30&amp;Q$2,Com_AllFuels_SEDS_2022_TBtus!$B$3:$B$53&amp;Com_AllFuels_SEDS_2022_TBtus!$A$3:$A$53,0))))</f>
        <v>0</v>
      </c>
      <c r="R43" s="74">
        <f t="array" ref="R43">IF(ISERROR(index(Com_AllFuels_SEDS_2022_TBtus!$S$3:$S$53,match($B30&amp;R$2,Com_AllFuels_SEDS_2022_TBtus!$B$3:$B$53&amp;Com_AllFuels_SEDS_2022_TBtus!$A$3:$A$53,0))),0,(index(Com_AllFuels_SEDS_2022_TBtus!$S$3:$S$53,match($B30&amp;R$2,Com_AllFuels_SEDS_2022_TBtus!$B$3:$B$53&amp;Com_AllFuels_SEDS_2022_TBtus!$A$3:$A$53,0))))</f>
        <v>0</v>
      </c>
      <c r="S43" s="74">
        <f t="array" ref="S43">IF(ISERROR(index(Com_AllFuels_SEDS_2022_TBtus!$S$3:$S$53,match($B30&amp;S$2,Com_AllFuels_SEDS_2022_TBtus!$B$3:$B$53&amp;Com_AllFuels_SEDS_2022_TBtus!$A$3:$A$53,0))),0,(index(Com_AllFuels_SEDS_2022_TBtus!$S$3:$S$53,match($B30&amp;S$2,Com_AllFuels_SEDS_2022_TBtus!$B$3:$B$53&amp;Com_AllFuels_SEDS_2022_TBtus!$A$3:$A$53,0))))</f>
        <v>0</v>
      </c>
      <c r="T43" s="74">
        <f t="array" ref="T43">IF(ISERROR(index(Com_AllFuels_SEDS_2022_TBtus!$S$3:$S$53,match($B30&amp;T$2,Com_AllFuels_SEDS_2022_TBtus!$B$3:$B$53&amp;Com_AllFuels_SEDS_2022_TBtus!$A$3:$A$53,0))),0,(index(Com_AllFuels_SEDS_2022_TBtus!$S$3:$S$53,match($B30&amp;T$2,Com_AllFuels_SEDS_2022_TBtus!$B$3:$B$53&amp;Com_AllFuels_SEDS_2022_TBtus!$A$3:$A$53,0))))</f>
        <v>0</v>
      </c>
      <c r="U43" s="74">
        <f t="array" ref="U43">IF(ISERROR(index(Com_AllFuels_SEDS_2022_TBtus!$S$3:$S$53,match($B30&amp;U$2,Com_AllFuels_SEDS_2022_TBtus!$B$3:$B$53&amp;Com_AllFuels_SEDS_2022_TBtus!$A$3:$A$53,0))),0,(index(Com_AllFuels_SEDS_2022_TBtus!$S$3:$S$53,match($B30&amp;U$2,Com_AllFuels_SEDS_2022_TBtus!$B$3:$B$53&amp;Com_AllFuels_SEDS_2022_TBtus!$A$3:$A$53,0))))</f>
        <v>0</v>
      </c>
      <c r="V43" s="74">
        <f t="array" ref="V43">IF(ISERROR(index(Com_AllFuels_SEDS_2022_TBtus!$S$3:$S$53,match($B30&amp;V$2,Com_AllFuels_SEDS_2022_TBtus!$B$3:$B$53&amp;Com_AllFuels_SEDS_2022_TBtus!$A$3:$A$53,0))),0,(index(Com_AllFuels_SEDS_2022_TBtus!$S$3:$S$53,match($B30&amp;V$2,Com_AllFuels_SEDS_2022_TBtus!$B$3:$B$53&amp;Com_AllFuels_SEDS_2022_TBtus!$A$3:$A$53,0))))</f>
        <v>8.9</v>
      </c>
      <c r="W43" s="74">
        <f t="array" ref="W43">IF(ISERROR(index(Com_AllFuels_SEDS_2022_TBtus!$S$3:$S$53,match($B30&amp;W$2,Com_AllFuels_SEDS_2022_TBtus!$B$3:$B$53&amp;Com_AllFuels_SEDS_2022_TBtus!$A$3:$A$53,0))),0,(index(Com_AllFuels_SEDS_2022_TBtus!$S$3:$S$53,match($B30&amp;W$2,Com_AllFuels_SEDS_2022_TBtus!$B$3:$B$53&amp;Com_AllFuels_SEDS_2022_TBtus!$A$3:$A$53,0))))</f>
        <v>0</v>
      </c>
      <c r="X43" s="74">
        <f t="array" ref="X43">IF(ISERROR(index(Com_AllFuels_SEDS_2022_TBtus!$S$3:$S$53,match($B30&amp;X$2,Com_AllFuels_SEDS_2022_TBtus!$B$3:$B$53&amp;Com_AllFuels_SEDS_2022_TBtus!$A$3:$A$53,0))),0,(index(Com_AllFuels_SEDS_2022_TBtus!$S$3:$S$53,match($B30&amp;X$2,Com_AllFuels_SEDS_2022_TBtus!$B$3:$B$53&amp;Com_AllFuels_SEDS_2022_TBtus!$A$3:$A$53,0))))</f>
        <v>13.2</v>
      </c>
      <c r="Y43" s="74">
        <f t="array" ref="Y43">IF(ISERROR(index(Com_AllFuels_SEDS_2022_TBtus!$S$3:$S$53,match($B30&amp;Y$2,Com_AllFuels_SEDS_2022_TBtus!$B$3:$B$53&amp;Com_AllFuels_SEDS_2022_TBtus!$A$3:$A$53,0))),0,(index(Com_AllFuels_SEDS_2022_TBtus!$S$3:$S$53,match($B30&amp;Y$2,Com_AllFuels_SEDS_2022_TBtus!$B$3:$B$53&amp;Com_AllFuels_SEDS_2022_TBtus!$A$3:$A$53,0))))</f>
        <v>0</v>
      </c>
      <c r="Z43" s="74">
        <f t="array" ref="Z43">IF(ISERROR(index(Com_AllFuels_SEDS_2022_TBtus!$S$3:$S$53,match($B30&amp;Z$2,Com_AllFuels_SEDS_2022_TBtus!$B$3:$B$53&amp;Com_AllFuels_SEDS_2022_TBtus!$A$3:$A$53,0))),0,(index(Com_AllFuels_SEDS_2022_TBtus!$S$3:$S$53,match($B30&amp;Z$2,Com_AllFuels_SEDS_2022_TBtus!$B$3:$B$53&amp;Com_AllFuels_SEDS_2022_TBtus!$A$3:$A$53,0))))</f>
        <v>0</v>
      </c>
      <c r="AA43" s="74">
        <f t="array" ref="AA43">IF(ISERROR(index(Com_AllFuels_SEDS_2022_TBtus!$S$3:$S$53,match($B30&amp;AA$2,Com_AllFuels_SEDS_2022_TBtus!$B$3:$B$53&amp;Com_AllFuels_SEDS_2022_TBtus!$A$3:$A$53,0))),0,(index(Com_AllFuels_SEDS_2022_TBtus!$S$3:$S$53,match($B30&amp;AA$2,Com_AllFuels_SEDS_2022_TBtus!$B$3:$B$53&amp;Com_AllFuels_SEDS_2022_TBtus!$A$3:$A$53,0))))</f>
        <v>0</v>
      </c>
      <c r="AB43" s="74">
        <f t="array" ref="AB43">IF(ISERROR(index(Com_AllFuels_SEDS_2022_TBtus!$S$3:$S$53,match($B30&amp;AB$2,Com_AllFuels_SEDS_2022_TBtus!$B$3:$B$53&amp;Com_AllFuels_SEDS_2022_TBtus!$A$3:$A$53,0))),0,(index(Com_AllFuels_SEDS_2022_TBtus!$S$3:$S$53,match($B30&amp;AB$2,Com_AllFuels_SEDS_2022_TBtus!$B$3:$B$53&amp;Com_AllFuels_SEDS_2022_TBtus!$A$3:$A$53,0))))</f>
        <v>0</v>
      </c>
      <c r="AC43" s="74">
        <f t="array" ref="AC43">IF(ISERROR(index(Com_AllFuels_SEDS_2022_TBtus!$S$3:$S$53,match($B30&amp;AC$2,Com_AllFuels_SEDS_2022_TBtus!$B$3:$B$53&amp;Com_AllFuels_SEDS_2022_TBtus!$A$3:$A$53,0))),0,(index(Com_AllFuels_SEDS_2022_TBtus!$S$3:$S$53,match($B30&amp;AC$2,Com_AllFuels_SEDS_2022_TBtus!$B$3:$B$53&amp;Com_AllFuels_SEDS_2022_TBtus!$A$3:$A$53,0))))</f>
        <v>0</v>
      </c>
      <c r="AD43" s="74">
        <f t="array" ref="AD43">IF(ISERROR(index(Com_AllFuels_SEDS_2022_TBtus!$S$3:$S$53,match($B30&amp;AD$2,Com_AllFuels_SEDS_2022_TBtus!$B$3:$B$53&amp;Com_AllFuels_SEDS_2022_TBtus!$A$3:$A$53,0))),0,(index(Com_AllFuels_SEDS_2022_TBtus!$S$3:$S$53,match($B30&amp;AD$2,Com_AllFuels_SEDS_2022_TBtus!$B$3:$B$53&amp;Com_AllFuels_SEDS_2022_TBtus!$A$3:$A$53,0))))</f>
        <v>0</v>
      </c>
      <c r="AE43" s="74">
        <f t="array" ref="AE43">IF(ISERROR(index(Com_AllFuels_SEDS_2022_TBtus!$S$3:$S$53,match($B30&amp;AE$2,Com_AllFuels_SEDS_2022_TBtus!$B$3:$B$53&amp;Com_AllFuels_SEDS_2022_TBtus!$A$3:$A$53,0))),0,(index(Com_AllFuels_SEDS_2022_TBtus!$S$3:$S$53,match($B30&amp;AE$2,Com_AllFuels_SEDS_2022_TBtus!$B$3:$B$53&amp;Com_AllFuels_SEDS_2022_TBtus!$A$3:$A$53,0))))</f>
        <v>0</v>
      </c>
      <c r="AF43" s="74">
        <f t="array" ref="AF43">IF(ISERROR(index(Com_AllFuels_SEDS_2022_TBtus!$S$3:$S$53,match($B30&amp;AF$2,Com_AllFuels_SEDS_2022_TBtus!$B$3:$B$53&amp;Com_AllFuels_SEDS_2022_TBtus!$A$3:$A$53,0))),0,(index(Com_AllFuels_SEDS_2022_TBtus!$S$3:$S$53,match($B30&amp;AF$2,Com_AllFuels_SEDS_2022_TBtus!$B$3:$B$53&amp;Com_AllFuels_SEDS_2022_TBtus!$A$3:$A$53,0))))</f>
        <v>4.7</v>
      </c>
      <c r="AG43" s="74">
        <f t="array" ref="AG43">IF(ISERROR(index(Com_AllFuels_SEDS_2022_TBtus!$S$3:$S$53,match($B30&amp;AG$2,Com_AllFuels_SEDS_2022_TBtus!$B$3:$B$53&amp;Com_AllFuels_SEDS_2022_TBtus!$A$3:$A$53,0))),0,(index(Com_AllFuels_SEDS_2022_TBtus!$S$3:$S$53,match($B30&amp;AG$2,Com_AllFuels_SEDS_2022_TBtus!$B$3:$B$53&amp;Com_AllFuels_SEDS_2022_TBtus!$A$3:$A$53,0))))</f>
        <v>0</v>
      </c>
      <c r="AH43" s="74">
        <f t="array" ref="AH43">IF(ISERROR(index(Com_AllFuels_SEDS_2022_TBtus!$S$3:$S$53,match($B30&amp;AH$2,Com_AllFuels_SEDS_2022_TBtus!$B$3:$B$53&amp;Com_AllFuels_SEDS_2022_TBtus!$A$3:$A$53,0))),0,(index(Com_AllFuels_SEDS_2022_TBtus!$S$3:$S$53,match($B30&amp;AH$2,Com_AllFuels_SEDS_2022_TBtus!$B$3:$B$53&amp;Com_AllFuels_SEDS_2022_TBtus!$A$3:$A$53,0))))</f>
        <v>0</v>
      </c>
      <c r="AI43" s="74">
        <f t="array" ref="AI43">IF(ISERROR(index(Com_AllFuels_SEDS_2022_TBtus!$S$3:$S$53,match($B30&amp;AI$2,Com_AllFuels_SEDS_2022_TBtus!$B$3:$B$53&amp;Com_AllFuels_SEDS_2022_TBtus!$A$3:$A$53,0))),0,(index(Com_AllFuels_SEDS_2022_TBtus!$S$3:$S$53,match($B30&amp;AI$2,Com_AllFuels_SEDS_2022_TBtus!$B$3:$B$53&amp;Com_AllFuels_SEDS_2022_TBtus!$A$3:$A$53,0))))</f>
        <v>0</v>
      </c>
      <c r="AJ43" s="74">
        <f t="array" ref="AJ43">IF(ISERROR(index(Com_AllFuels_SEDS_2022_TBtus!$S$3:$S$53,match($B30&amp;AJ$2,Com_AllFuels_SEDS_2022_TBtus!$B$3:$B$53&amp;Com_AllFuels_SEDS_2022_TBtus!$A$3:$A$53,0))),0,(index(Com_AllFuels_SEDS_2022_TBtus!$S$3:$S$53,match($B30&amp;AJ$2,Com_AllFuels_SEDS_2022_TBtus!$B$3:$B$53&amp;Com_AllFuels_SEDS_2022_TBtus!$A$3:$A$53,0))))</f>
        <v>0</v>
      </c>
      <c r="AK43" s="74">
        <f t="array" ref="AK43">IF(ISERROR(index(Com_AllFuels_SEDS_2022_TBtus!$S$3:$S$53,match($B30&amp;AK$2,Com_AllFuels_SEDS_2022_TBtus!$B$3:$B$53&amp;Com_AllFuels_SEDS_2022_TBtus!$A$3:$A$53,0))),0,(index(Com_AllFuels_SEDS_2022_TBtus!$S$3:$S$53,match($B30&amp;AK$2,Com_AllFuels_SEDS_2022_TBtus!$B$3:$B$53&amp;Com_AllFuels_SEDS_2022_TBtus!$A$3:$A$53,0))))</f>
        <v>0</v>
      </c>
      <c r="AL43" s="74">
        <f t="array" ref="AL43">IF(ISERROR(index(Com_AllFuels_SEDS_2022_TBtus!$S$3:$S$53,match($B30&amp;AL$2,Com_AllFuels_SEDS_2022_TBtus!$B$3:$B$53&amp;Com_AllFuels_SEDS_2022_TBtus!$A$3:$A$53,0))),0,(index(Com_AllFuels_SEDS_2022_TBtus!$S$3:$S$53,match($B30&amp;AL$2,Com_AllFuels_SEDS_2022_TBtus!$B$3:$B$53&amp;Com_AllFuels_SEDS_2022_TBtus!$A$3:$A$53,0))))</f>
        <v>0</v>
      </c>
      <c r="AM43" s="74">
        <f t="array" ref="AM43">IF(ISERROR(index(Com_AllFuels_SEDS_2022_TBtus!$S$3:$S$53,match($B30&amp;AM$2,Com_AllFuels_SEDS_2022_TBtus!$B$3:$B$53&amp;Com_AllFuels_SEDS_2022_TBtus!$A$3:$A$53,0))),0,(index(Com_AllFuels_SEDS_2022_TBtus!$S$3:$S$53,match($B30&amp;AM$2,Com_AllFuels_SEDS_2022_TBtus!$B$3:$B$53&amp;Com_AllFuels_SEDS_2022_TBtus!$A$3:$A$53,0))))</f>
        <v>0</v>
      </c>
      <c r="AN43" s="74">
        <f t="array" ref="AN43">IF(ISERROR(index(Com_AllFuels_SEDS_2022_TBtus!$S$3:$S$53,match($B30&amp;AN$2,Com_AllFuels_SEDS_2022_TBtus!$B$3:$B$53&amp;Com_AllFuels_SEDS_2022_TBtus!$A$3:$A$53,0))),0,(index(Com_AllFuels_SEDS_2022_TBtus!$S$3:$S$53,match($B30&amp;AN$2,Com_AllFuels_SEDS_2022_TBtus!$B$3:$B$53&amp;Com_AllFuels_SEDS_2022_TBtus!$A$3:$A$53,0))))</f>
        <v>0</v>
      </c>
      <c r="AO43" s="74">
        <f t="array" ref="AO43">IF(ISERROR(index(Com_AllFuels_SEDS_2022_TBtus!$S$3:$S$53,match($B30&amp;AO$2,Com_AllFuels_SEDS_2022_TBtus!$B$3:$B$53&amp;Com_AllFuels_SEDS_2022_TBtus!$A$3:$A$53,0))),0,(index(Com_AllFuels_SEDS_2022_TBtus!$S$3:$S$53,match($B30&amp;AO$2,Com_AllFuels_SEDS_2022_TBtus!$B$3:$B$53&amp;Com_AllFuels_SEDS_2022_TBtus!$A$3:$A$53,0))))</f>
        <v>0</v>
      </c>
      <c r="AP43" s="74">
        <f t="array" ref="AP43">IF(ISERROR(index(Com_AllFuels_SEDS_2022_TBtus!$S$3:$S$53,match($B30&amp;AP$2,Com_AllFuels_SEDS_2022_TBtus!$B$3:$B$53&amp;Com_AllFuels_SEDS_2022_TBtus!$A$3:$A$53,0))),0,(index(Com_AllFuels_SEDS_2022_TBtus!$S$3:$S$53,match($B30&amp;AP$2,Com_AllFuels_SEDS_2022_TBtus!$B$3:$B$53&amp;Com_AllFuels_SEDS_2022_TBtus!$A$3:$A$53,0))))</f>
        <v>2.7</v>
      </c>
      <c r="AQ43" s="74">
        <f t="array" ref="AQ43">IF(ISERROR(index(Com_AllFuels_SEDS_2022_TBtus!$S$3:$S$53,match($B30&amp;AQ$2,Com_AllFuels_SEDS_2022_TBtus!$B$3:$B$53&amp;Com_AllFuels_SEDS_2022_TBtus!$A$3:$A$53,0))),0,(index(Com_AllFuels_SEDS_2022_TBtus!$S$3:$S$53,match($B30&amp;AQ$2,Com_AllFuels_SEDS_2022_TBtus!$B$3:$B$53&amp;Com_AllFuels_SEDS_2022_TBtus!$A$3:$A$53,0))))</f>
        <v>0</v>
      </c>
      <c r="AR43" s="74">
        <f t="array" ref="AR43">IF(ISERROR(index(Com_AllFuels_SEDS_2022_TBtus!$S$3:$S$53,match($B30&amp;AR$2,Com_AllFuels_SEDS_2022_TBtus!$B$3:$B$53&amp;Com_AllFuels_SEDS_2022_TBtus!$A$3:$A$53,0))),0,(index(Com_AllFuels_SEDS_2022_TBtus!$S$3:$S$53,match($B30&amp;AR$2,Com_AllFuels_SEDS_2022_TBtus!$B$3:$B$53&amp;Com_AllFuels_SEDS_2022_TBtus!$A$3:$A$53,0))))</f>
        <v>0</v>
      </c>
      <c r="AS43" s="74">
        <f t="array" ref="AS43">IF(ISERROR(index(Com_AllFuels_SEDS_2022_TBtus!$S$3:$S$53,match($B30&amp;AS$2,Com_AllFuels_SEDS_2022_TBtus!$B$3:$B$53&amp;Com_AllFuels_SEDS_2022_TBtus!$A$3:$A$53,0))),0,(index(Com_AllFuels_SEDS_2022_TBtus!$S$3:$S$53,match($B30&amp;AS$2,Com_AllFuels_SEDS_2022_TBtus!$B$3:$B$53&amp;Com_AllFuels_SEDS_2022_TBtus!$A$3:$A$53,0))))</f>
        <v>0</v>
      </c>
      <c r="AT43" s="74">
        <f t="array" ref="AT43">IF(ISERROR(index(Com_AllFuels_SEDS_2022_TBtus!$S$3:$S$53,match($B30&amp;AT$2,Com_AllFuels_SEDS_2022_TBtus!$B$3:$B$53&amp;Com_AllFuels_SEDS_2022_TBtus!$A$3:$A$53,0))),0,(index(Com_AllFuels_SEDS_2022_TBtus!$S$3:$S$53,match($B30&amp;AT$2,Com_AllFuels_SEDS_2022_TBtus!$B$3:$B$53&amp;Com_AllFuels_SEDS_2022_TBtus!$A$3:$A$53,0))))</f>
        <v>0</v>
      </c>
      <c r="AU43" s="74">
        <f t="array" ref="AU43">IF(ISERROR(index(Com_AllFuels_SEDS_2022_TBtus!$S$3:$S$53,match($B30&amp;AU$2,Com_AllFuels_SEDS_2022_TBtus!$B$3:$B$53&amp;Com_AllFuels_SEDS_2022_TBtus!$A$3:$A$53,0))),0,(index(Com_AllFuels_SEDS_2022_TBtus!$S$3:$S$53,match($B30&amp;AU$2,Com_AllFuels_SEDS_2022_TBtus!$B$3:$B$53&amp;Com_AllFuels_SEDS_2022_TBtus!$A$3:$A$53,0))))</f>
        <v>0</v>
      </c>
      <c r="AV43" s="74">
        <f t="array" ref="AV43">IF(ISERROR(index(Com_AllFuels_SEDS_2022_TBtus!$S$3:$S$53,match($B30&amp;AV$2,Com_AllFuels_SEDS_2022_TBtus!$B$3:$B$53&amp;Com_AllFuels_SEDS_2022_TBtus!$A$3:$A$53,0))),0,(index(Com_AllFuels_SEDS_2022_TBtus!$S$3:$S$53,match($B30&amp;AV$2,Com_AllFuels_SEDS_2022_TBtus!$B$3:$B$53&amp;Com_AllFuels_SEDS_2022_TBtus!$A$3:$A$53,0))))</f>
        <v>3.3</v>
      </c>
      <c r="AW43" s="74">
        <f t="array" ref="AW43">IF(ISERROR(index(Com_AllFuels_SEDS_2022_TBtus!$S$3:$S$53,match($B30&amp;AW$2,Com_AllFuels_SEDS_2022_TBtus!$B$3:$B$53&amp;Com_AllFuels_SEDS_2022_TBtus!$A$3:$A$53,0))),0,(index(Com_AllFuels_SEDS_2022_TBtus!$S$3:$S$53,match($B30&amp;AW$2,Com_AllFuels_SEDS_2022_TBtus!$B$3:$B$53&amp;Com_AllFuels_SEDS_2022_TBtus!$A$3:$A$53,0))))</f>
        <v>0</v>
      </c>
      <c r="AX43" s="74">
        <f t="array" ref="AX43">IF(ISERROR(index(Com_AllFuels_SEDS_2022_TBtus!$S$3:$S$53,match($B30&amp;AX$2,Com_AllFuels_SEDS_2022_TBtus!$B$3:$B$53&amp;Com_AllFuels_SEDS_2022_TBtus!$A$3:$A$53,0))),0,(index(Com_AllFuels_SEDS_2022_TBtus!$S$3:$S$53,match($B30&amp;AX$2,Com_AllFuels_SEDS_2022_TBtus!$B$3:$B$53&amp;Com_AllFuels_SEDS_2022_TBtus!$A$3:$A$53,0))))</f>
        <v>0</v>
      </c>
      <c r="AY43" s="74">
        <f t="array" ref="AY43">IF(ISERROR(index(Com_AllFuels_SEDS_2022_TBtus!$S$3:$S$53,match($B30&amp;AY$2,Com_AllFuels_SEDS_2022_TBtus!$B$3:$B$53&amp;Com_AllFuels_SEDS_2022_TBtus!$A$3:$A$53,0))),0,(index(Com_AllFuels_SEDS_2022_TBtus!$S$3:$S$53,match($B30&amp;AY$2,Com_AllFuels_SEDS_2022_TBtus!$B$3:$B$53&amp;Com_AllFuels_SEDS_2022_TBtus!$A$3:$A$53,0))))</f>
        <v>0</v>
      </c>
      <c r="AZ43" s="74">
        <f t="array" ref="AZ43">IF(ISERROR(index(Com_AllFuels_SEDS_2022_TBtus!$S$3:$S$53,match($B30&amp;AZ$2,Com_AllFuels_SEDS_2022_TBtus!$B$3:$B$53&amp;Com_AllFuels_SEDS_2022_TBtus!$A$3:$A$53,0))),0,(index(Com_AllFuels_SEDS_2022_TBtus!$S$3:$S$53,match($B30&amp;AZ$2,Com_AllFuels_SEDS_2022_TBtus!$B$3:$B$53&amp;Com_AllFuels_SEDS_2022_TBtus!$A$3:$A$53,0))))</f>
        <v>0</v>
      </c>
      <c r="BA43" s="74">
        <f t="array" ref="BA43">IF(ISERROR(index(Com_AllFuels_SEDS_2022_TBtus!$S$3:$S$53,match($B30&amp;BA$2,Com_AllFuels_SEDS_2022_TBtus!$B$3:$B$53&amp;Com_AllFuels_SEDS_2022_TBtus!$A$3:$A$53,0))),0,(index(Com_AllFuels_SEDS_2022_TBtus!$S$3:$S$53,match($B30&amp;BA$2,Com_AllFuels_SEDS_2022_TBtus!$B$3:$B$53&amp;Com_AllFuels_SEDS_2022_TBtus!$A$3:$A$53,0))))</f>
        <v>0</v>
      </c>
      <c r="BB43" s="74">
        <f t="shared" ref="BB43:BB52" si="7">sum(C43:BA43)</f>
        <v>42.4</v>
      </c>
    </row>
    <row r="44" ht="15.75" customHeight="1">
      <c r="A44" s="78"/>
      <c r="B44" s="74">
        <v>2.0</v>
      </c>
      <c r="C44" s="74">
        <f t="array" ref="C44">IF(ISERROR(index(Com_AllFuels_SEDS_2022_TBtus!$S$3:$S$53,match($B31&amp;C$2,Com_AllFuels_SEDS_2022_TBtus!$B$3:$B$53&amp;Com_AllFuels_SEDS_2022_TBtus!$A$3:$A$53,0))),0,(index(Com_AllFuels_SEDS_2022_TBtus!$S$3:$S$53,match($B31&amp;C$2,Com_AllFuels_SEDS_2022_TBtus!$B$3:$B$53&amp;Com_AllFuels_SEDS_2022_TBtus!$A$3:$A$53,0))))</f>
        <v>0</v>
      </c>
      <c r="D44" s="74">
        <f t="array" ref="D44">IF(ISERROR(index(Com_AllFuels_SEDS_2022_TBtus!$S$3:$S$53,match($B31&amp;D$2,Com_AllFuels_SEDS_2022_TBtus!$B$3:$B$53&amp;Com_AllFuels_SEDS_2022_TBtus!$A$3:$A$53,0))),0,(index(Com_AllFuels_SEDS_2022_TBtus!$S$3:$S$53,match($B31&amp;D$2,Com_AllFuels_SEDS_2022_TBtus!$B$3:$B$53&amp;Com_AllFuels_SEDS_2022_TBtus!$A$3:$A$53,0))))</f>
        <v>0</v>
      </c>
      <c r="E44" s="74">
        <f t="array" ref="E44">IF(ISERROR(index(Com_AllFuels_SEDS_2022_TBtus!$S$3:$S$53,match($B31&amp;E$2,Com_AllFuels_SEDS_2022_TBtus!$B$3:$B$53&amp;Com_AllFuels_SEDS_2022_TBtus!$A$3:$A$53,0))),0,(index(Com_AllFuels_SEDS_2022_TBtus!$S$3:$S$53,match($B31&amp;E$2,Com_AllFuels_SEDS_2022_TBtus!$B$3:$B$53&amp;Com_AllFuels_SEDS_2022_TBtus!$A$3:$A$53,0))))</f>
        <v>0</v>
      </c>
      <c r="F44" s="74">
        <f t="array" ref="F44">IF(ISERROR(index(Com_AllFuels_SEDS_2022_TBtus!$S$3:$S$53,match($B31&amp;F$2,Com_AllFuels_SEDS_2022_TBtus!$B$3:$B$53&amp;Com_AllFuels_SEDS_2022_TBtus!$A$3:$A$53,0))),0,(index(Com_AllFuels_SEDS_2022_TBtus!$S$3:$S$53,match($B31&amp;F$2,Com_AllFuels_SEDS_2022_TBtus!$B$3:$B$53&amp;Com_AllFuels_SEDS_2022_TBtus!$A$3:$A$53,0))))</f>
        <v>0</v>
      </c>
      <c r="G44" s="74">
        <f t="array" ref="G44">IF(ISERROR(index(Com_AllFuels_SEDS_2022_TBtus!$S$3:$S$53,match($B31&amp;G$2,Com_AllFuels_SEDS_2022_TBtus!$B$3:$B$53&amp;Com_AllFuels_SEDS_2022_TBtus!$A$3:$A$53,0))),0,(index(Com_AllFuels_SEDS_2022_TBtus!$S$3:$S$53,match($B31&amp;G$2,Com_AllFuels_SEDS_2022_TBtus!$B$3:$B$53&amp;Com_AllFuels_SEDS_2022_TBtus!$A$3:$A$53,0))))</f>
        <v>0</v>
      </c>
      <c r="H44" s="74">
        <f t="array" ref="H44">IF(ISERROR(index(Com_AllFuels_SEDS_2022_TBtus!$S$3:$S$53,match($B31&amp;H$2,Com_AllFuels_SEDS_2022_TBtus!$B$3:$B$53&amp;Com_AllFuels_SEDS_2022_TBtus!$A$3:$A$53,0))),0,(index(Com_AllFuels_SEDS_2022_TBtus!$S$3:$S$53,match($B31&amp;H$2,Com_AllFuels_SEDS_2022_TBtus!$B$3:$B$53&amp;Com_AllFuels_SEDS_2022_TBtus!$A$3:$A$53,0))))</f>
        <v>0</v>
      </c>
      <c r="I44" s="74">
        <f t="array" ref="I44">IF(ISERROR(index(Com_AllFuels_SEDS_2022_TBtus!$S$3:$S$53,match($B31&amp;I$2,Com_AllFuels_SEDS_2022_TBtus!$B$3:$B$53&amp;Com_AllFuels_SEDS_2022_TBtus!$A$3:$A$53,0))),0,(index(Com_AllFuels_SEDS_2022_TBtus!$S$3:$S$53,match($B31&amp;I$2,Com_AllFuels_SEDS_2022_TBtus!$B$3:$B$53&amp;Com_AllFuels_SEDS_2022_TBtus!$A$3:$A$53,0))))</f>
        <v>0</v>
      </c>
      <c r="J44" s="74">
        <f t="array" ref="J44">IF(ISERROR(index(Com_AllFuels_SEDS_2022_TBtus!$S$3:$S$53,match($B31&amp;J$2,Com_AllFuels_SEDS_2022_TBtus!$B$3:$B$53&amp;Com_AllFuels_SEDS_2022_TBtus!$A$3:$A$53,0))),0,(index(Com_AllFuels_SEDS_2022_TBtus!$S$3:$S$53,match($B31&amp;J$2,Com_AllFuels_SEDS_2022_TBtus!$B$3:$B$53&amp;Com_AllFuels_SEDS_2022_TBtus!$A$3:$A$53,0))))</f>
        <v>0</v>
      </c>
      <c r="K44" s="74">
        <f t="array" ref="K44">IF(ISERROR(index(Com_AllFuels_SEDS_2022_TBtus!$S$3:$S$53,match($B31&amp;K$2,Com_AllFuels_SEDS_2022_TBtus!$B$3:$B$53&amp;Com_AllFuels_SEDS_2022_TBtus!$A$3:$A$53,0))),0,(index(Com_AllFuels_SEDS_2022_TBtus!$S$3:$S$53,match($B31&amp;K$2,Com_AllFuels_SEDS_2022_TBtus!$B$3:$B$53&amp;Com_AllFuels_SEDS_2022_TBtus!$A$3:$A$53,0))))</f>
        <v>0</v>
      </c>
      <c r="L44" s="74">
        <f t="array" ref="L44">IF(ISERROR(index(Com_AllFuels_SEDS_2022_TBtus!$S$3:$S$53,match($B31&amp;L$2,Com_AllFuels_SEDS_2022_TBtus!$B$3:$B$53&amp;Com_AllFuels_SEDS_2022_TBtus!$A$3:$A$53,0))),0,(index(Com_AllFuels_SEDS_2022_TBtus!$S$3:$S$53,match($B31&amp;L$2,Com_AllFuels_SEDS_2022_TBtus!$B$3:$B$53&amp;Com_AllFuels_SEDS_2022_TBtus!$A$3:$A$53,0))))</f>
        <v>0</v>
      </c>
      <c r="M44" s="74">
        <f t="array" ref="M44">IF(ISERROR(index(Com_AllFuels_SEDS_2022_TBtus!$S$3:$S$53,match($B31&amp;M$2,Com_AllFuels_SEDS_2022_TBtus!$B$3:$B$53&amp;Com_AllFuels_SEDS_2022_TBtus!$A$3:$A$53,0))),0,(index(Com_AllFuels_SEDS_2022_TBtus!$S$3:$S$53,match($B31&amp;M$2,Com_AllFuels_SEDS_2022_TBtus!$B$3:$B$53&amp;Com_AllFuels_SEDS_2022_TBtus!$A$3:$A$53,0))))</f>
        <v>0</v>
      </c>
      <c r="N44" s="74">
        <f t="array" ref="N44">IF(ISERROR(index(Com_AllFuels_SEDS_2022_TBtus!$S$3:$S$53,match($B31&amp;N$2,Com_AllFuels_SEDS_2022_TBtus!$B$3:$B$53&amp;Com_AllFuels_SEDS_2022_TBtus!$A$3:$A$53,0))),0,(index(Com_AllFuels_SEDS_2022_TBtus!$S$3:$S$53,match($B31&amp;N$2,Com_AllFuels_SEDS_2022_TBtus!$B$3:$B$53&amp;Com_AllFuels_SEDS_2022_TBtus!$A$3:$A$53,0))))</f>
        <v>0</v>
      </c>
      <c r="O44" s="74">
        <f t="array" ref="O44">IF(ISERROR(index(Com_AllFuels_SEDS_2022_TBtus!$S$3:$S$53,match($B31&amp;O$2,Com_AllFuels_SEDS_2022_TBtus!$B$3:$B$53&amp;Com_AllFuels_SEDS_2022_TBtus!$A$3:$A$53,0))),0,(index(Com_AllFuels_SEDS_2022_TBtus!$S$3:$S$53,match($B31&amp;O$2,Com_AllFuels_SEDS_2022_TBtus!$B$3:$B$53&amp;Com_AllFuels_SEDS_2022_TBtus!$A$3:$A$53,0))))</f>
        <v>0</v>
      </c>
      <c r="P44" s="74">
        <f t="array" ref="P44">IF(ISERROR(index(Com_AllFuels_SEDS_2022_TBtus!$S$3:$S$53,match($B31&amp;P$2,Com_AllFuels_SEDS_2022_TBtus!$B$3:$B$53&amp;Com_AllFuels_SEDS_2022_TBtus!$A$3:$A$53,0))),0,(index(Com_AllFuels_SEDS_2022_TBtus!$S$3:$S$53,match($B31&amp;P$2,Com_AllFuels_SEDS_2022_TBtus!$B$3:$B$53&amp;Com_AllFuels_SEDS_2022_TBtus!$A$3:$A$53,0))))</f>
        <v>0</v>
      </c>
      <c r="Q44" s="74">
        <f t="array" ref="Q44">IF(ISERROR(index(Com_AllFuels_SEDS_2022_TBtus!$S$3:$S$53,match($B31&amp;Q$2,Com_AllFuels_SEDS_2022_TBtus!$B$3:$B$53&amp;Com_AllFuels_SEDS_2022_TBtus!$A$3:$A$53,0))),0,(index(Com_AllFuels_SEDS_2022_TBtus!$S$3:$S$53,match($B31&amp;Q$2,Com_AllFuels_SEDS_2022_TBtus!$B$3:$B$53&amp;Com_AllFuels_SEDS_2022_TBtus!$A$3:$A$53,0))))</f>
        <v>0</v>
      </c>
      <c r="R44" s="74">
        <f t="array" ref="R44">IF(ISERROR(index(Com_AllFuels_SEDS_2022_TBtus!$S$3:$S$53,match($B31&amp;R$2,Com_AllFuels_SEDS_2022_TBtus!$B$3:$B$53&amp;Com_AllFuels_SEDS_2022_TBtus!$A$3:$A$53,0))),0,(index(Com_AllFuels_SEDS_2022_TBtus!$S$3:$S$53,match($B31&amp;R$2,Com_AllFuels_SEDS_2022_TBtus!$B$3:$B$53&amp;Com_AllFuels_SEDS_2022_TBtus!$A$3:$A$53,0))))</f>
        <v>0</v>
      </c>
      <c r="S44" s="74">
        <f t="array" ref="S44">IF(ISERROR(index(Com_AllFuels_SEDS_2022_TBtus!$S$3:$S$53,match($B31&amp;S$2,Com_AllFuels_SEDS_2022_TBtus!$B$3:$B$53&amp;Com_AllFuels_SEDS_2022_TBtus!$A$3:$A$53,0))),0,(index(Com_AllFuels_SEDS_2022_TBtus!$S$3:$S$53,match($B31&amp;S$2,Com_AllFuels_SEDS_2022_TBtus!$B$3:$B$53&amp;Com_AllFuels_SEDS_2022_TBtus!$A$3:$A$53,0))))</f>
        <v>0</v>
      </c>
      <c r="T44" s="74">
        <f t="array" ref="T44">IF(ISERROR(index(Com_AllFuels_SEDS_2022_TBtus!$S$3:$S$53,match($B31&amp;T$2,Com_AllFuels_SEDS_2022_TBtus!$B$3:$B$53&amp;Com_AllFuels_SEDS_2022_TBtus!$A$3:$A$53,0))),0,(index(Com_AllFuels_SEDS_2022_TBtus!$S$3:$S$53,match($B31&amp;T$2,Com_AllFuels_SEDS_2022_TBtus!$B$3:$B$53&amp;Com_AllFuels_SEDS_2022_TBtus!$A$3:$A$53,0))))</f>
        <v>0</v>
      </c>
      <c r="U44" s="74">
        <f t="array" ref="U44">IF(ISERROR(index(Com_AllFuels_SEDS_2022_TBtus!$S$3:$S$53,match($B31&amp;U$2,Com_AllFuels_SEDS_2022_TBtus!$B$3:$B$53&amp;Com_AllFuels_SEDS_2022_TBtus!$A$3:$A$53,0))),0,(index(Com_AllFuels_SEDS_2022_TBtus!$S$3:$S$53,match($B31&amp;U$2,Com_AllFuels_SEDS_2022_TBtus!$B$3:$B$53&amp;Com_AllFuels_SEDS_2022_TBtus!$A$3:$A$53,0))))</f>
        <v>0</v>
      </c>
      <c r="V44" s="74">
        <f t="array" ref="V44">IF(ISERROR(index(Com_AllFuels_SEDS_2022_TBtus!$S$3:$S$53,match($B31&amp;V$2,Com_AllFuels_SEDS_2022_TBtus!$B$3:$B$53&amp;Com_AllFuels_SEDS_2022_TBtus!$A$3:$A$53,0))),0,(index(Com_AllFuels_SEDS_2022_TBtus!$S$3:$S$53,match($B31&amp;V$2,Com_AllFuels_SEDS_2022_TBtus!$B$3:$B$53&amp;Com_AllFuels_SEDS_2022_TBtus!$A$3:$A$53,0))))</f>
        <v>0</v>
      </c>
      <c r="W44" s="74">
        <f t="array" ref="W44">IF(ISERROR(index(Com_AllFuels_SEDS_2022_TBtus!$S$3:$S$53,match($B31&amp;W$2,Com_AllFuels_SEDS_2022_TBtus!$B$3:$B$53&amp;Com_AllFuels_SEDS_2022_TBtus!$A$3:$A$53,0))),0,(index(Com_AllFuels_SEDS_2022_TBtus!$S$3:$S$53,match($B31&amp;W$2,Com_AllFuels_SEDS_2022_TBtus!$B$3:$B$53&amp;Com_AllFuels_SEDS_2022_TBtus!$A$3:$A$53,0))))</f>
        <v>0</v>
      </c>
      <c r="X44" s="74">
        <f t="array" ref="X44">IF(ISERROR(index(Com_AllFuels_SEDS_2022_TBtus!$S$3:$S$53,match($B31&amp;X$2,Com_AllFuels_SEDS_2022_TBtus!$B$3:$B$53&amp;Com_AllFuels_SEDS_2022_TBtus!$A$3:$A$53,0))),0,(index(Com_AllFuels_SEDS_2022_TBtus!$S$3:$S$53,match($B31&amp;X$2,Com_AllFuels_SEDS_2022_TBtus!$B$3:$B$53&amp;Com_AllFuels_SEDS_2022_TBtus!$A$3:$A$53,0))))</f>
        <v>0</v>
      </c>
      <c r="Y44" s="74">
        <f t="array" ref="Y44">IF(ISERROR(index(Com_AllFuels_SEDS_2022_TBtus!$S$3:$S$53,match($B31&amp;Y$2,Com_AllFuels_SEDS_2022_TBtus!$B$3:$B$53&amp;Com_AllFuels_SEDS_2022_TBtus!$A$3:$A$53,0))),0,(index(Com_AllFuels_SEDS_2022_TBtus!$S$3:$S$53,match($B31&amp;Y$2,Com_AllFuels_SEDS_2022_TBtus!$B$3:$B$53&amp;Com_AllFuels_SEDS_2022_TBtus!$A$3:$A$53,0))))</f>
        <v>0</v>
      </c>
      <c r="Z44" s="74">
        <f t="array" ref="Z44">IF(ISERROR(index(Com_AllFuels_SEDS_2022_TBtus!$S$3:$S$53,match($B31&amp;Z$2,Com_AllFuels_SEDS_2022_TBtus!$B$3:$B$53&amp;Com_AllFuels_SEDS_2022_TBtus!$A$3:$A$53,0))),0,(index(Com_AllFuels_SEDS_2022_TBtus!$S$3:$S$53,match($B31&amp;Z$2,Com_AllFuels_SEDS_2022_TBtus!$B$3:$B$53&amp;Com_AllFuels_SEDS_2022_TBtus!$A$3:$A$53,0))))</f>
        <v>0</v>
      </c>
      <c r="AA44" s="74">
        <f t="array" ref="AA44">IF(ISERROR(index(Com_AllFuels_SEDS_2022_TBtus!$S$3:$S$53,match($B31&amp;AA$2,Com_AllFuels_SEDS_2022_TBtus!$B$3:$B$53&amp;Com_AllFuels_SEDS_2022_TBtus!$A$3:$A$53,0))),0,(index(Com_AllFuels_SEDS_2022_TBtus!$S$3:$S$53,match($B31&amp;AA$2,Com_AllFuels_SEDS_2022_TBtus!$B$3:$B$53&amp;Com_AllFuels_SEDS_2022_TBtus!$A$3:$A$53,0))))</f>
        <v>0</v>
      </c>
      <c r="AB44" s="74">
        <f t="array" ref="AB44">IF(ISERROR(index(Com_AllFuels_SEDS_2022_TBtus!$S$3:$S$53,match($B31&amp;AB$2,Com_AllFuels_SEDS_2022_TBtus!$B$3:$B$53&amp;Com_AllFuels_SEDS_2022_TBtus!$A$3:$A$53,0))),0,(index(Com_AllFuels_SEDS_2022_TBtus!$S$3:$S$53,match($B31&amp;AB$2,Com_AllFuels_SEDS_2022_TBtus!$B$3:$B$53&amp;Com_AllFuels_SEDS_2022_TBtus!$A$3:$A$53,0))))</f>
        <v>0</v>
      </c>
      <c r="AC44" s="74">
        <f t="array" ref="AC44">IF(ISERROR(index(Com_AllFuels_SEDS_2022_TBtus!$S$3:$S$53,match($B31&amp;AC$2,Com_AllFuels_SEDS_2022_TBtus!$B$3:$B$53&amp;Com_AllFuels_SEDS_2022_TBtus!$A$3:$A$53,0))),0,(index(Com_AllFuels_SEDS_2022_TBtus!$S$3:$S$53,match($B31&amp;AC$2,Com_AllFuels_SEDS_2022_TBtus!$B$3:$B$53&amp;Com_AllFuels_SEDS_2022_TBtus!$A$3:$A$53,0))))</f>
        <v>0</v>
      </c>
      <c r="AD44" s="74">
        <f t="array" ref="AD44">IF(ISERROR(index(Com_AllFuels_SEDS_2022_TBtus!$S$3:$S$53,match($B31&amp;AD$2,Com_AllFuels_SEDS_2022_TBtus!$B$3:$B$53&amp;Com_AllFuels_SEDS_2022_TBtus!$A$3:$A$53,0))),0,(index(Com_AllFuels_SEDS_2022_TBtus!$S$3:$S$53,match($B31&amp;AD$2,Com_AllFuels_SEDS_2022_TBtus!$B$3:$B$53&amp;Com_AllFuels_SEDS_2022_TBtus!$A$3:$A$53,0))))</f>
        <v>0</v>
      </c>
      <c r="AE44" s="74">
        <f t="array" ref="AE44">IF(ISERROR(index(Com_AllFuels_SEDS_2022_TBtus!$S$3:$S$53,match($B31&amp;AE$2,Com_AllFuels_SEDS_2022_TBtus!$B$3:$B$53&amp;Com_AllFuels_SEDS_2022_TBtus!$A$3:$A$53,0))),0,(index(Com_AllFuels_SEDS_2022_TBtus!$S$3:$S$53,match($B31&amp;AE$2,Com_AllFuels_SEDS_2022_TBtus!$B$3:$B$53&amp;Com_AllFuels_SEDS_2022_TBtus!$A$3:$A$53,0))))</f>
        <v>0</v>
      </c>
      <c r="AF44" s="74">
        <f t="array" ref="AF44">IF(ISERROR(index(Com_AllFuels_SEDS_2022_TBtus!$S$3:$S$53,match($B31&amp;AF$2,Com_AllFuels_SEDS_2022_TBtus!$B$3:$B$53&amp;Com_AllFuels_SEDS_2022_TBtus!$A$3:$A$53,0))),0,(index(Com_AllFuels_SEDS_2022_TBtus!$S$3:$S$53,match($B31&amp;AF$2,Com_AllFuels_SEDS_2022_TBtus!$B$3:$B$53&amp;Com_AllFuels_SEDS_2022_TBtus!$A$3:$A$53,0))))</f>
        <v>0</v>
      </c>
      <c r="AG44" s="74">
        <f t="array" ref="AG44">IF(ISERROR(index(Com_AllFuels_SEDS_2022_TBtus!$S$3:$S$53,match($B31&amp;AG$2,Com_AllFuels_SEDS_2022_TBtus!$B$3:$B$53&amp;Com_AllFuels_SEDS_2022_TBtus!$A$3:$A$53,0))),0,(index(Com_AllFuels_SEDS_2022_TBtus!$S$3:$S$53,match($B31&amp;AG$2,Com_AllFuels_SEDS_2022_TBtus!$B$3:$B$53&amp;Com_AllFuels_SEDS_2022_TBtus!$A$3:$A$53,0))))</f>
        <v>10.3</v>
      </c>
      <c r="AH44" s="74">
        <f t="array" ref="AH44">IF(ISERROR(index(Com_AllFuels_SEDS_2022_TBtus!$S$3:$S$53,match($B31&amp;AH$2,Com_AllFuels_SEDS_2022_TBtus!$B$3:$B$53&amp;Com_AllFuels_SEDS_2022_TBtus!$A$3:$A$53,0))),0,(index(Com_AllFuels_SEDS_2022_TBtus!$S$3:$S$53,match($B31&amp;AH$2,Com_AllFuels_SEDS_2022_TBtus!$B$3:$B$53&amp;Com_AllFuels_SEDS_2022_TBtus!$A$3:$A$53,0))))</f>
        <v>0</v>
      </c>
      <c r="AI44" s="74">
        <f t="array" ref="AI44">IF(ISERROR(index(Com_AllFuels_SEDS_2022_TBtus!$S$3:$S$53,match($B31&amp;AI$2,Com_AllFuels_SEDS_2022_TBtus!$B$3:$B$53&amp;Com_AllFuels_SEDS_2022_TBtus!$A$3:$A$53,0))),0,(index(Com_AllFuels_SEDS_2022_TBtus!$S$3:$S$53,match($B31&amp;AI$2,Com_AllFuels_SEDS_2022_TBtus!$B$3:$B$53&amp;Com_AllFuels_SEDS_2022_TBtus!$A$3:$A$53,0))))</f>
        <v>48.7</v>
      </c>
      <c r="AJ44" s="74">
        <f t="array" ref="AJ44">IF(ISERROR(index(Com_AllFuels_SEDS_2022_TBtus!$S$3:$S$53,match($B31&amp;AJ$2,Com_AllFuels_SEDS_2022_TBtus!$B$3:$B$53&amp;Com_AllFuels_SEDS_2022_TBtus!$A$3:$A$53,0))),0,(index(Com_AllFuels_SEDS_2022_TBtus!$S$3:$S$53,match($B31&amp;AJ$2,Com_AllFuels_SEDS_2022_TBtus!$B$3:$B$53&amp;Com_AllFuels_SEDS_2022_TBtus!$A$3:$A$53,0))))</f>
        <v>0</v>
      </c>
      <c r="AK44" s="74">
        <f t="array" ref="AK44">IF(ISERROR(index(Com_AllFuels_SEDS_2022_TBtus!$S$3:$S$53,match($B31&amp;AK$2,Com_AllFuels_SEDS_2022_TBtus!$B$3:$B$53&amp;Com_AllFuels_SEDS_2022_TBtus!$A$3:$A$53,0))),0,(index(Com_AllFuels_SEDS_2022_TBtus!$S$3:$S$53,match($B31&amp;AK$2,Com_AllFuels_SEDS_2022_TBtus!$B$3:$B$53&amp;Com_AllFuels_SEDS_2022_TBtus!$A$3:$A$53,0))))</f>
        <v>0</v>
      </c>
      <c r="AL44" s="74">
        <f t="array" ref="AL44">IF(ISERROR(index(Com_AllFuels_SEDS_2022_TBtus!$S$3:$S$53,match($B31&amp;AL$2,Com_AllFuels_SEDS_2022_TBtus!$B$3:$B$53&amp;Com_AllFuels_SEDS_2022_TBtus!$A$3:$A$53,0))),0,(index(Com_AllFuels_SEDS_2022_TBtus!$S$3:$S$53,match($B31&amp;AL$2,Com_AllFuels_SEDS_2022_TBtus!$B$3:$B$53&amp;Com_AllFuels_SEDS_2022_TBtus!$A$3:$A$53,0))))</f>
        <v>0</v>
      </c>
      <c r="AM44" s="74">
        <f t="array" ref="AM44">IF(ISERROR(index(Com_AllFuels_SEDS_2022_TBtus!$S$3:$S$53,match($B31&amp;AM$2,Com_AllFuels_SEDS_2022_TBtus!$B$3:$B$53&amp;Com_AllFuels_SEDS_2022_TBtus!$A$3:$A$53,0))),0,(index(Com_AllFuels_SEDS_2022_TBtus!$S$3:$S$53,match($B31&amp;AM$2,Com_AllFuels_SEDS_2022_TBtus!$B$3:$B$53&amp;Com_AllFuels_SEDS_2022_TBtus!$A$3:$A$53,0))))</f>
        <v>0</v>
      </c>
      <c r="AN44" s="74">
        <f t="array" ref="AN44">IF(ISERROR(index(Com_AllFuels_SEDS_2022_TBtus!$S$3:$S$53,match($B31&amp;AN$2,Com_AllFuels_SEDS_2022_TBtus!$B$3:$B$53&amp;Com_AllFuels_SEDS_2022_TBtus!$A$3:$A$53,0))),0,(index(Com_AllFuels_SEDS_2022_TBtus!$S$3:$S$53,match($B31&amp;AN$2,Com_AllFuels_SEDS_2022_TBtus!$B$3:$B$53&amp;Com_AllFuels_SEDS_2022_TBtus!$A$3:$A$53,0))))</f>
        <v>0</v>
      </c>
      <c r="AO44" s="74">
        <f t="array" ref="AO44">IF(ISERROR(index(Com_AllFuels_SEDS_2022_TBtus!$S$3:$S$53,match($B31&amp;AO$2,Com_AllFuels_SEDS_2022_TBtus!$B$3:$B$53&amp;Com_AllFuels_SEDS_2022_TBtus!$A$3:$A$53,0))),0,(index(Com_AllFuels_SEDS_2022_TBtus!$S$3:$S$53,match($B31&amp;AO$2,Com_AllFuels_SEDS_2022_TBtus!$B$3:$B$53&amp;Com_AllFuels_SEDS_2022_TBtus!$A$3:$A$53,0))))</f>
        <v>18.7</v>
      </c>
      <c r="AP44" s="74">
        <f t="array" ref="AP44">IF(ISERROR(index(Com_AllFuels_SEDS_2022_TBtus!$S$3:$S$53,match($B31&amp;AP$2,Com_AllFuels_SEDS_2022_TBtus!$B$3:$B$53&amp;Com_AllFuels_SEDS_2022_TBtus!$A$3:$A$53,0))),0,(index(Com_AllFuels_SEDS_2022_TBtus!$S$3:$S$53,match($B31&amp;AP$2,Com_AllFuels_SEDS_2022_TBtus!$B$3:$B$53&amp;Com_AllFuels_SEDS_2022_TBtus!$A$3:$A$53,0))))</f>
        <v>0</v>
      </c>
      <c r="AQ44" s="74">
        <f t="array" ref="AQ44">IF(ISERROR(index(Com_AllFuels_SEDS_2022_TBtus!$S$3:$S$53,match($B31&amp;AQ$2,Com_AllFuels_SEDS_2022_TBtus!$B$3:$B$53&amp;Com_AllFuels_SEDS_2022_TBtus!$A$3:$A$53,0))),0,(index(Com_AllFuels_SEDS_2022_TBtus!$S$3:$S$53,match($B31&amp;AQ$2,Com_AllFuels_SEDS_2022_TBtus!$B$3:$B$53&amp;Com_AllFuels_SEDS_2022_TBtus!$A$3:$A$53,0))))</f>
        <v>0</v>
      </c>
      <c r="AR44" s="74">
        <f t="array" ref="AR44">IF(ISERROR(index(Com_AllFuels_SEDS_2022_TBtus!$S$3:$S$53,match($B31&amp;AR$2,Com_AllFuels_SEDS_2022_TBtus!$B$3:$B$53&amp;Com_AllFuels_SEDS_2022_TBtus!$A$3:$A$53,0))),0,(index(Com_AllFuels_SEDS_2022_TBtus!$S$3:$S$53,match($B31&amp;AR$2,Com_AllFuels_SEDS_2022_TBtus!$B$3:$B$53&amp;Com_AllFuels_SEDS_2022_TBtus!$A$3:$A$53,0))))</f>
        <v>0</v>
      </c>
      <c r="AS44" s="74">
        <f t="array" ref="AS44">IF(ISERROR(index(Com_AllFuels_SEDS_2022_TBtus!$S$3:$S$53,match($B31&amp;AS$2,Com_AllFuels_SEDS_2022_TBtus!$B$3:$B$53&amp;Com_AllFuels_SEDS_2022_TBtus!$A$3:$A$53,0))),0,(index(Com_AllFuels_SEDS_2022_TBtus!$S$3:$S$53,match($B31&amp;AS$2,Com_AllFuels_SEDS_2022_TBtus!$B$3:$B$53&amp;Com_AllFuels_SEDS_2022_TBtus!$A$3:$A$53,0))))</f>
        <v>0</v>
      </c>
      <c r="AT44" s="74">
        <f t="array" ref="AT44">IF(ISERROR(index(Com_AllFuels_SEDS_2022_TBtus!$S$3:$S$53,match($B31&amp;AT$2,Com_AllFuels_SEDS_2022_TBtus!$B$3:$B$53&amp;Com_AllFuels_SEDS_2022_TBtus!$A$3:$A$53,0))),0,(index(Com_AllFuels_SEDS_2022_TBtus!$S$3:$S$53,match($B31&amp;AT$2,Com_AllFuels_SEDS_2022_TBtus!$B$3:$B$53&amp;Com_AllFuels_SEDS_2022_TBtus!$A$3:$A$53,0))))</f>
        <v>0</v>
      </c>
      <c r="AU44" s="74">
        <f t="array" ref="AU44">IF(ISERROR(index(Com_AllFuels_SEDS_2022_TBtus!$S$3:$S$53,match($B31&amp;AU$2,Com_AllFuels_SEDS_2022_TBtus!$B$3:$B$53&amp;Com_AllFuels_SEDS_2022_TBtus!$A$3:$A$53,0))),0,(index(Com_AllFuels_SEDS_2022_TBtus!$S$3:$S$53,match($B31&amp;AU$2,Com_AllFuels_SEDS_2022_TBtus!$B$3:$B$53&amp;Com_AllFuels_SEDS_2022_TBtus!$A$3:$A$53,0))))</f>
        <v>0</v>
      </c>
      <c r="AV44" s="74">
        <f t="array" ref="AV44">IF(ISERROR(index(Com_AllFuels_SEDS_2022_TBtus!$S$3:$S$53,match($B31&amp;AV$2,Com_AllFuels_SEDS_2022_TBtus!$B$3:$B$53&amp;Com_AllFuels_SEDS_2022_TBtus!$A$3:$A$53,0))),0,(index(Com_AllFuels_SEDS_2022_TBtus!$S$3:$S$53,match($B31&amp;AV$2,Com_AllFuels_SEDS_2022_TBtus!$B$3:$B$53&amp;Com_AllFuels_SEDS_2022_TBtus!$A$3:$A$53,0))))</f>
        <v>0</v>
      </c>
      <c r="AW44" s="74">
        <f t="array" ref="AW44">IF(ISERROR(index(Com_AllFuels_SEDS_2022_TBtus!$S$3:$S$53,match($B31&amp;AW$2,Com_AllFuels_SEDS_2022_TBtus!$B$3:$B$53&amp;Com_AllFuels_SEDS_2022_TBtus!$A$3:$A$53,0))),0,(index(Com_AllFuels_SEDS_2022_TBtus!$S$3:$S$53,match($B31&amp;AW$2,Com_AllFuels_SEDS_2022_TBtus!$B$3:$B$53&amp;Com_AllFuels_SEDS_2022_TBtus!$A$3:$A$53,0))))</f>
        <v>0</v>
      </c>
      <c r="AX44" s="74">
        <f t="array" ref="AX44">IF(ISERROR(index(Com_AllFuels_SEDS_2022_TBtus!$S$3:$S$53,match($B31&amp;AX$2,Com_AllFuels_SEDS_2022_TBtus!$B$3:$B$53&amp;Com_AllFuels_SEDS_2022_TBtus!$A$3:$A$53,0))),0,(index(Com_AllFuels_SEDS_2022_TBtus!$S$3:$S$53,match($B31&amp;AX$2,Com_AllFuels_SEDS_2022_TBtus!$B$3:$B$53&amp;Com_AllFuels_SEDS_2022_TBtus!$A$3:$A$53,0))))</f>
        <v>0</v>
      </c>
      <c r="AY44" s="74">
        <f t="array" ref="AY44">IF(ISERROR(index(Com_AllFuels_SEDS_2022_TBtus!$S$3:$S$53,match($B31&amp;AY$2,Com_AllFuels_SEDS_2022_TBtus!$B$3:$B$53&amp;Com_AllFuels_SEDS_2022_TBtus!$A$3:$A$53,0))),0,(index(Com_AllFuels_SEDS_2022_TBtus!$S$3:$S$53,match($B31&amp;AY$2,Com_AllFuels_SEDS_2022_TBtus!$B$3:$B$53&amp;Com_AllFuels_SEDS_2022_TBtus!$A$3:$A$53,0))))</f>
        <v>0</v>
      </c>
      <c r="AZ44" s="74">
        <f t="array" ref="AZ44">IF(ISERROR(index(Com_AllFuels_SEDS_2022_TBtus!$S$3:$S$53,match($B31&amp;AZ$2,Com_AllFuels_SEDS_2022_TBtus!$B$3:$B$53&amp;Com_AllFuels_SEDS_2022_TBtus!$A$3:$A$53,0))),0,(index(Com_AllFuels_SEDS_2022_TBtus!$S$3:$S$53,match($B31&amp;AZ$2,Com_AllFuels_SEDS_2022_TBtus!$B$3:$B$53&amp;Com_AllFuels_SEDS_2022_TBtus!$A$3:$A$53,0))))</f>
        <v>0</v>
      </c>
      <c r="BA44" s="74">
        <f t="array" ref="BA44">IF(ISERROR(index(Com_AllFuels_SEDS_2022_TBtus!$S$3:$S$53,match($B31&amp;BA$2,Com_AllFuels_SEDS_2022_TBtus!$B$3:$B$53&amp;Com_AllFuels_SEDS_2022_TBtus!$A$3:$A$53,0))),0,(index(Com_AllFuels_SEDS_2022_TBtus!$S$3:$S$53,match($B31&amp;BA$2,Com_AllFuels_SEDS_2022_TBtus!$B$3:$B$53&amp;Com_AllFuels_SEDS_2022_TBtus!$A$3:$A$53,0))))</f>
        <v>0</v>
      </c>
      <c r="BB44" s="74">
        <f t="shared" si="7"/>
        <v>77.7</v>
      </c>
    </row>
    <row r="45" ht="15.75" customHeight="1">
      <c r="A45" s="78"/>
      <c r="B45" s="74">
        <v>3.0</v>
      </c>
      <c r="C45" s="74">
        <f t="array" ref="C45">IF(ISERROR(index(Com_AllFuels_SEDS_2022_TBtus!$S$3:$S$53,match($B32&amp;C$2,Com_AllFuels_SEDS_2022_TBtus!$B$3:$B$53&amp;Com_AllFuels_SEDS_2022_TBtus!$A$3:$A$53,0))),0,(index(Com_AllFuels_SEDS_2022_TBtus!$S$3:$S$53,match($B32&amp;C$2,Com_AllFuels_SEDS_2022_TBtus!$B$3:$B$53&amp;Com_AllFuels_SEDS_2022_TBtus!$A$3:$A$53,0))))</f>
        <v>0</v>
      </c>
      <c r="D45" s="74">
        <f t="array" ref="D45">IF(ISERROR(index(Com_AllFuels_SEDS_2022_TBtus!$S$3:$S$53,match($B32&amp;D$2,Com_AllFuels_SEDS_2022_TBtus!$B$3:$B$53&amp;Com_AllFuels_SEDS_2022_TBtus!$A$3:$A$53,0))),0,(index(Com_AllFuels_SEDS_2022_TBtus!$S$3:$S$53,match($B32&amp;D$2,Com_AllFuels_SEDS_2022_TBtus!$B$3:$B$53&amp;Com_AllFuels_SEDS_2022_TBtus!$A$3:$A$53,0))))</f>
        <v>0</v>
      </c>
      <c r="E45" s="74">
        <f t="array" ref="E45">IF(ISERROR(index(Com_AllFuels_SEDS_2022_TBtus!$S$3:$S$53,match($B32&amp;E$2,Com_AllFuels_SEDS_2022_TBtus!$B$3:$B$53&amp;Com_AllFuels_SEDS_2022_TBtus!$A$3:$A$53,0))),0,(index(Com_AllFuels_SEDS_2022_TBtus!$S$3:$S$53,match($B32&amp;E$2,Com_AllFuels_SEDS_2022_TBtus!$B$3:$B$53&amp;Com_AllFuels_SEDS_2022_TBtus!$A$3:$A$53,0))))</f>
        <v>0</v>
      </c>
      <c r="F45" s="74">
        <f t="array" ref="F45">IF(ISERROR(index(Com_AllFuels_SEDS_2022_TBtus!$S$3:$S$53,match($B32&amp;F$2,Com_AllFuels_SEDS_2022_TBtus!$B$3:$B$53&amp;Com_AllFuels_SEDS_2022_TBtus!$A$3:$A$53,0))),0,(index(Com_AllFuels_SEDS_2022_TBtus!$S$3:$S$53,match($B32&amp;F$2,Com_AllFuels_SEDS_2022_TBtus!$B$3:$B$53&amp;Com_AllFuels_SEDS_2022_TBtus!$A$3:$A$53,0))))</f>
        <v>0</v>
      </c>
      <c r="G45" s="74">
        <f t="array" ref="G45">IF(ISERROR(index(Com_AllFuels_SEDS_2022_TBtus!$S$3:$S$53,match($B32&amp;G$2,Com_AllFuels_SEDS_2022_TBtus!$B$3:$B$53&amp;Com_AllFuels_SEDS_2022_TBtus!$A$3:$A$53,0))),0,(index(Com_AllFuels_SEDS_2022_TBtus!$S$3:$S$53,match($B32&amp;G$2,Com_AllFuels_SEDS_2022_TBtus!$B$3:$B$53&amp;Com_AllFuels_SEDS_2022_TBtus!$A$3:$A$53,0))))</f>
        <v>0</v>
      </c>
      <c r="H45" s="74">
        <f t="array" ref="H45">IF(ISERROR(index(Com_AllFuels_SEDS_2022_TBtus!$S$3:$S$53,match($B32&amp;H$2,Com_AllFuels_SEDS_2022_TBtus!$B$3:$B$53&amp;Com_AllFuels_SEDS_2022_TBtus!$A$3:$A$53,0))),0,(index(Com_AllFuels_SEDS_2022_TBtus!$S$3:$S$53,match($B32&amp;H$2,Com_AllFuels_SEDS_2022_TBtus!$B$3:$B$53&amp;Com_AllFuels_SEDS_2022_TBtus!$A$3:$A$53,0))))</f>
        <v>0</v>
      </c>
      <c r="I45" s="74">
        <f t="array" ref="I45">IF(ISERROR(index(Com_AllFuels_SEDS_2022_TBtus!$S$3:$S$53,match($B32&amp;I$2,Com_AllFuels_SEDS_2022_TBtus!$B$3:$B$53&amp;Com_AllFuels_SEDS_2022_TBtus!$A$3:$A$53,0))),0,(index(Com_AllFuels_SEDS_2022_TBtus!$S$3:$S$53,match($B32&amp;I$2,Com_AllFuels_SEDS_2022_TBtus!$B$3:$B$53&amp;Com_AllFuels_SEDS_2022_TBtus!$A$3:$A$53,0))))</f>
        <v>0</v>
      </c>
      <c r="J45" s="74">
        <f t="array" ref="J45">IF(ISERROR(index(Com_AllFuels_SEDS_2022_TBtus!$S$3:$S$53,match($B32&amp;J$2,Com_AllFuels_SEDS_2022_TBtus!$B$3:$B$53&amp;Com_AllFuels_SEDS_2022_TBtus!$A$3:$A$53,0))),0,(index(Com_AllFuels_SEDS_2022_TBtus!$S$3:$S$53,match($B32&amp;J$2,Com_AllFuels_SEDS_2022_TBtus!$B$3:$B$53&amp;Com_AllFuels_SEDS_2022_TBtus!$A$3:$A$53,0))))</f>
        <v>0</v>
      </c>
      <c r="K45" s="74">
        <f t="array" ref="K45">IF(ISERROR(index(Com_AllFuels_SEDS_2022_TBtus!$S$3:$S$53,match($B32&amp;K$2,Com_AllFuels_SEDS_2022_TBtus!$B$3:$B$53&amp;Com_AllFuels_SEDS_2022_TBtus!$A$3:$A$53,0))),0,(index(Com_AllFuels_SEDS_2022_TBtus!$S$3:$S$53,match($B32&amp;K$2,Com_AllFuels_SEDS_2022_TBtus!$B$3:$B$53&amp;Com_AllFuels_SEDS_2022_TBtus!$A$3:$A$53,0))))</f>
        <v>0</v>
      </c>
      <c r="L45" s="74">
        <f t="array" ref="L45">IF(ISERROR(index(Com_AllFuels_SEDS_2022_TBtus!$S$3:$S$53,match($B32&amp;L$2,Com_AllFuels_SEDS_2022_TBtus!$B$3:$B$53&amp;Com_AllFuels_SEDS_2022_TBtus!$A$3:$A$53,0))),0,(index(Com_AllFuels_SEDS_2022_TBtus!$S$3:$S$53,match($B32&amp;L$2,Com_AllFuels_SEDS_2022_TBtus!$B$3:$B$53&amp;Com_AllFuels_SEDS_2022_TBtus!$A$3:$A$53,0))))</f>
        <v>0</v>
      </c>
      <c r="M45" s="74">
        <f t="array" ref="M45">IF(ISERROR(index(Com_AllFuels_SEDS_2022_TBtus!$S$3:$S$53,match($B32&amp;M$2,Com_AllFuels_SEDS_2022_TBtus!$B$3:$B$53&amp;Com_AllFuels_SEDS_2022_TBtus!$A$3:$A$53,0))),0,(index(Com_AllFuels_SEDS_2022_TBtus!$S$3:$S$53,match($B32&amp;M$2,Com_AllFuels_SEDS_2022_TBtus!$B$3:$B$53&amp;Com_AllFuels_SEDS_2022_TBtus!$A$3:$A$53,0))))</f>
        <v>0</v>
      </c>
      <c r="N45" s="74">
        <f t="array" ref="N45">IF(ISERROR(index(Com_AllFuels_SEDS_2022_TBtus!$S$3:$S$53,match($B32&amp;N$2,Com_AllFuels_SEDS_2022_TBtus!$B$3:$B$53&amp;Com_AllFuels_SEDS_2022_TBtus!$A$3:$A$53,0))),0,(index(Com_AllFuels_SEDS_2022_TBtus!$S$3:$S$53,match($B32&amp;N$2,Com_AllFuels_SEDS_2022_TBtus!$B$3:$B$53&amp;Com_AllFuels_SEDS_2022_TBtus!$A$3:$A$53,0))))</f>
        <v>0</v>
      </c>
      <c r="O45" s="74">
        <f t="array" ref="O45">IF(ISERROR(index(Com_AllFuels_SEDS_2022_TBtus!$S$3:$S$53,match($B32&amp;O$2,Com_AllFuels_SEDS_2022_TBtus!$B$3:$B$53&amp;Com_AllFuels_SEDS_2022_TBtus!$A$3:$A$53,0))),0,(index(Com_AllFuels_SEDS_2022_TBtus!$S$3:$S$53,match($B32&amp;O$2,Com_AllFuels_SEDS_2022_TBtus!$B$3:$B$53&amp;Com_AllFuels_SEDS_2022_TBtus!$A$3:$A$53,0))))</f>
        <v>0</v>
      </c>
      <c r="P45" s="74">
        <f t="array" ref="P45">IF(ISERROR(index(Com_AllFuels_SEDS_2022_TBtus!$S$3:$S$53,match($B32&amp;P$2,Com_AllFuels_SEDS_2022_TBtus!$B$3:$B$53&amp;Com_AllFuels_SEDS_2022_TBtus!$A$3:$A$53,0))),0,(index(Com_AllFuels_SEDS_2022_TBtus!$S$3:$S$53,match($B32&amp;P$2,Com_AllFuels_SEDS_2022_TBtus!$B$3:$B$53&amp;Com_AllFuels_SEDS_2022_TBtus!$A$3:$A$53,0))))</f>
        <v>6.3</v>
      </c>
      <c r="Q45" s="74">
        <f t="array" ref="Q45">IF(ISERROR(index(Com_AllFuels_SEDS_2022_TBtus!$S$3:$S$53,match($B32&amp;Q$2,Com_AllFuels_SEDS_2022_TBtus!$B$3:$B$53&amp;Com_AllFuels_SEDS_2022_TBtus!$A$3:$A$53,0))),0,(index(Com_AllFuels_SEDS_2022_TBtus!$S$3:$S$53,match($B32&amp;Q$2,Com_AllFuels_SEDS_2022_TBtus!$B$3:$B$53&amp;Com_AllFuels_SEDS_2022_TBtus!$A$3:$A$53,0))))</f>
        <v>4.1</v>
      </c>
      <c r="R45" s="74">
        <f t="array" ref="R45">IF(ISERROR(index(Com_AllFuels_SEDS_2022_TBtus!$S$3:$S$53,match($B32&amp;R$2,Com_AllFuels_SEDS_2022_TBtus!$B$3:$B$53&amp;Com_AllFuels_SEDS_2022_TBtus!$A$3:$A$53,0))),0,(index(Com_AllFuels_SEDS_2022_TBtus!$S$3:$S$53,match($B32&amp;R$2,Com_AllFuels_SEDS_2022_TBtus!$B$3:$B$53&amp;Com_AllFuels_SEDS_2022_TBtus!$A$3:$A$53,0))))</f>
        <v>0</v>
      </c>
      <c r="S45" s="74">
        <f t="array" ref="S45">IF(ISERROR(index(Com_AllFuels_SEDS_2022_TBtus!$S$3:$S$53,match($B32&amp;S$2,Com_AllFuels_SEDS_2022_TBtus!$B$3:$B$53&amp;Com_AllFuels_SEDS_2022_TBtus!$A$3:$A$53,0))),0,(index(Com_AllFuels_SEDS_2022_TBtus!$S$3:$S$53,match($B32&amp;S$2,Com_AllFuels_SEDS_2022_TBtus!$B$3:$B$53&amp;Com_AllFuels_SEDS_2022_TBtus!$A$3:$A$53,0))))</f>
        <v>0</v>
      </c>
      <c r="T45" s="74">
        <f t="array" ref="T45">IF(ISERROR(index(Com_AllFuels_SEDS_2022_TBtus!$S$3:$S$53,match($B32&amp;T$2,Com_AllFuels_SEDS_2022_TBtus!$B$3:$B$53&amp;Com_AllFuels_SEDS_2022_TBtus!$A$3:$A$53,0))),0,(index(Com_AllFuels_SEDS_2022_TBtus!$S$3:$S$53,match($B32&amp;T$2,Com_AllFuels_SEDS_2022_TBtus!$B$3:$B$53&amp;Com_AllFuels_SEDS_2022_TBtus!$A$3:$A$53,0))))</f>
        <v>0</v>
      </c>
      <c r="U45" s="74">
        <f t="array" ref="U45">IF(ISERROR(index(Com_AllFuels_SEDS_2022_TBtus!$S$3:$S$53,match($B32&amp;U$2,Com_AllFuels_SEDS_2022_TBtus!$B$3:$B$53&amp;Com_AllFuels_SEDS_2022_TBtus!$A$3:$A$53,0))),0,(index(Com_AllFuels_SEDS_2022_TBtus!$S$3:$S$53,match($B32&amp;U$2,Com_AllFuels_SEDS_2022_TBtus!$B$3:$B$53&amp;Com_AllFuels_SEDS_2022_TBtus!$A$3:$A$53,0))))</f>
        <v>0</v>
      </c>
      <c r="V45" s="74">
        <f t="array" ref="V45">IF(ISERROR(index(Com_AllFuels_SEDS_2022_TBtus!$S$3:$S$53,match($B32&amp;V$2,Com_AllFuels_SEDS_2022_TBtus!$B$3:$B$53&amp;Com_AllFuels_SEDS_2022_TBtus!$A$3:$A$53,0))),0,(index(Com_AllFuels_SEDS_2022_TBtus!$S$3:$S$53,match($B32&amp;V$2,Com_AllFuels_SEDS_2022_TBtus!$B$3:$B$53&amp;Com_AllFuels_SEDS_2022_TBtus!$A$3:$A$53,0))))</f>
        <v>0</v>
      </c>
      <c r="W45" s="74">
        <f t="array" ref="W45">IF(ISERROR(index(Com_AllFuels_SEDS_2022_TBtus!$S$3:$S$53,match($B32&amp;W$2,Com_AllFuels_SEDS_2022_TBtus!$B$3:$B$53&amp;Com_AllFuels_SEDS_2022_TBtus!$A$3:$A$53,0))),0,(index(Com_AllFuels_SEDS_2022_TBtus!$S$3:$S$53,match($B32&amp;W$2,Com_AllFuels_SEDS_2022_TBtus!$B$3:$B$53&amp;Com_AllFuels_SEDS_2022_TBtus!$A$3:$A$53,0))))</f>
        <v>0</v>
      </c>
      <c r="X45" s="74">
        <f t="array" ref="X45">IF(ISERROR(index(Com_AllFuels_SEDS_2022_TBtus!$S$3:$S$53,match($B32&amp;X$2,Com_AllFuels_SEDS_2022_TBtus!$B$3:$B$53&amp;Com_AllFuels_SEDS_2022_TBtus!$A$3:$A$53,0))),0,(index(Com_AllFuels_SEDS_2022_TBtus!$S$3:$S$53,match($B32&amp;X$2,Com_AllFuels_SEDS_2022_TBtus!$B$3:$B$53&amp;Com_AllFuels_SEDS_2022_TBtus!$A$3:$A$53,0))))</f>
        <v>0</v>
      </c>
      <c r="Y45" s="74">
        <f t="array" ref="Y45">IF(ISERROR(index(Com_AllFuels_SEDS_2022_TBtus!$S$3:$S$53,match($B32&amp;Y$2,Com_AllFuels_SEDS_2022_TBtus!$B$3:$B$53&amp;Com_AllFuels_SEDS_2022_TBtus!$A$3:$A$53,0))),0,(index(Com_AllFuels_SEDS_2022_TBtus!$S$3:$S$53,match($B32&amp;Y$2,Com_AllFuels_SEDS_2022_TBtus!$B$3:$B$53&amp;Com_AllFuels_SEDS_2022_TBtus!$A$3:$A$53,0))))</f>
        <v>6.8</v>
      </c>
      <c r="Z45" s="74">
        <f t="array" ref="Z45">IF(ISERROR(index(Com_AllFuels_SEDS_2022_TBtus!$S$3:$S$53,match($B32&amp;Z$2,Com_AllFuels_SEDS_2022_TBtus!$B$3:$B$53&amp;Com_AllFuels_SEDS_2022_TBtus!$A$3:$A$53,0))),0,(index(Com_AllFuels_SEDS_2022_TBtus!$S$3:$S$53,match($B32&amp;Z$2,Com_AllFuels_SEDS_2022_TBtus!$B$3:$B$53&amp;Com_AllFuels_SEDS_2022_TBtus!$A$3:$A$53,0))))</f>
        <v>0</v>
      </c>
      <c r="AA45" s="74">
        <f t="array" ref="AA45">IF(ISERROR(index(Com_AllFuels_SEDS_2022_TBtus!$S$3:$S$53,match($B32&amp;AA$2,Com_AllFuels_SEDS_2022_TBtus!$B$3:$B$53&amp;Com_AllFuels_SEDS_2022_TBtus!$A$3:$A$53,0))),0,(index(Com_AllFuels_SEDS_2022_TBtus!$S$3:$S$53,match($B32&amp;AA$2,Com_AllFuels_SEDS_2022_TBtus!$B$3:$B$53&amp;Com_AllFuels_SEDS_2022_TBtus!$A$3:$A$53,0))))</f>
        <v>0</v>
      </c>
      <c r="AB45" s="74">
        <f t="array" ref="AB45">IF(ISERROR(index(Com_AllFuels_SEDS_2022_TBtus!$S$3:$S$53,match($B32&amp;AB$2,Com_AllFuels_SEDS_2022_TBtus!$B$3:$B$53&amp;Com_AllFuels_SEDS_2022_TBtus!$A$3:$A$53,0))),0,(index(Com_AllFuels_SEDS_2022_TBtus!$S$3:$S$53,match($B32&amp;AB$2,Com_AllFuels_SEDS_2022_TBtus!$B$3:$B$53&amp;Com_AllFuels_SEDS_2022_TBtus!$A$3:$A$53,0))))</f>
        <v>0</v>
      </c>
      <c r="AC45" s="74">
        <f t="array" ref="AC45">IF(ISERROR(index(Com_AllFuels_SEDS_2022_TBtus!$S$3:$S$53,match($B32&amp;AC$2,Com_AllFuels_SEDS_2022_TBtus!$B$3:$B$53&amp;Com_AllFuels_SEDS_2022_TBtus!$A$3:$A$53,0))),0,(index(Com_AllFuels_SEDS_2022_TBtus!$S$3:$S$53,match($B32&amp;AC$2,Com_AllFuels_SEDS_2022_TBtus!$B$3:$B$53&amp;Com_AllFuels_SEDS_2022_TBtus!$A$3:$A$53,0))))</f>
        <v>0</v>
      </c>
      <c r="AD45" s="74">
        <f t="array" ref="AD45">IF(ISERROR(index(Com_AllFuels_SEDS_2022_TBtus!$S$3:$S$53,match($B32&amp;AD$2,Com_AllFuels_SEDS_2022_TBtus!$B$3:$B$53&amp;Com_AllFuels_SEDS_2022_TBtus!$A$3:$A$53,0))),0,(index(Com_AllFuels_SEDS_2022_TBtus!$S$3:$S$53,match($B32&amp;AD$2,Com_AllFuels_SEDS_2022_TBtus!$B$3:$B$53&amp;Com_AllFuels_SEDS_2022_TBtus!$A$3:$A$53,0))))</f>
        <v>0</v>
      </c>
      <c r="AE45" s="74">
        <f t="array" ref="AE45">IF(ISERROR(index(Com_AllFuels_SEDS_2022_TBtus!$S$3:$S$53,match($B32&amp;AE$2,Com_AllFuels_SEDS_2022_TBtus!$B$3:$B$53&amp;Com_AllFuels_SEDS_2022_TBtus!$A$3:$A$53,0))),0,(index(Com_AllFuels_SEDS_2022_TBtus!$S$3:$S$53,match($B32&amp;AE$2,Com_AllFuels_SEDS_2022_TBtus!$B$3:$B$53&amp;Com_AllFuels_SEDS_2022_TBtus!$A$3:$A$53,0))))</f>
        <v>0</v>
      </c>
      <c r="AF45" s="74">
        <f t="array" ref="AF45">IF(ISERROR(index(Com_AllFuels_SEDS_2022_TBtus!$S$3:$S$53,match($B32&amp;AF$2,Com_AllFuels_SEDS_2022_TBtus!$B$3:$B$53&amp;Com_AllFuels_SEDS_2022_TBtus!$A$3:$A$53,0))),0,(index(Com_AllFuels_SEDS_2022_TBtus!$S$3:$S$53,match($B32&amp;AF$2,Com_AllFuels_SEDS_2022_TBtus!$B$3:$B$53&amp;Com_AllFuels_SEDS_2022_TBtus!$A$3:$A$53,0))))</f>
        <v>0</v>
      </c>
      <c r="AG45" s="74">
        <f t="array" ref="AG45">IF(ISERROR(index(Com_AllFuels_SEDS_2022_TBtus!$S$3:$S$53,match($B32&amp;AG$2,Com_AllFuels_SEDS_2022_TBtus!$B$3:$B$53&amp;Com_AllFuels_SEDS_2022_TBtus!$A$3:$A$53,0))),0,(index(Com_AllFuels_SEDS_2022_TBtus!$S$3:$S$53,match($B32&amp;AG$2,Com_AllFuels_SEDS_2022_TBtus!$B$3:$B$53&amp;Com_AllFuels_SEDS_2022_TBtus!$A$3:$A$53,0))))</f>
        <v>0</v>
      </c>
      <c r="AH45" s="74">
        <f t="array" ref="AH45">IF(ISERROR(index(Com_AllFuels_SEDS_2022_TBtus!$S$3:$S$53,match($B32&amp;AH$2,Com_AllFuels_SEDS_2022_TBtus!$B$3:$B$53&amp;Com_AllFuels_SEDS_2022_TBtus!$A$3:$A$53,0))),0,(index(Com_AllFuels_SEDS_2022_TBtus!$S$3:$S$53,match($B32&amp;AH$2,Com_AllFuels_SEDS_2022_TBtus!$B$3:$B$53&amp;Com_AllFuels_SEDS_2022_TBtus!$A$3:$A$53,0))))</f>
        <v>0</v>
      </c>
      <c r="AI45" s="74">
        <f t="array" ref="AI45">IF(ISERROR(index(Com_AllFuels_SEDS_2022_TBtus!$S$3:$S$53,match($B32&amp;AI$2,Com_AllFuels_SEDS_2022_TBtus!$B$3:$B$53&amp;Com_AllFuels_SEDS_2022_TBtus!$A$3:$A$53,0))),0,(index(Com_AllFuels_SEDS_2022_TBtus!$S$3:$S$53,match($B32&amp;AI$2,Com_AllFuels_SEDS_2022_TBtus!$B$3:$B$53&amp;Com_AllFuels_SEDS_2022_TBtus!$A$3:$A$53,0))))</f>
        <v>0</v>
      </c>
      <c r="AJ45" s="74">
        <f t="array" ref="AJ45">IF(ISERROR(index(Com_AllFuels_SEDS_2022_TBtus!$S$3:$S$53,match($B32&amp;AJ$2,Com_AllFuels_SEDS_2022_TBtus!$B$3:$B$53&amp;Com_AllFuels_SEDS_2022_TBtus!$A$3:$A$53,0))),0,(index(Com_AllFuels_SEDS_2022_TBtus!$S$3:$S$53,match($B32&amp;AJ$2,Com_AllFuels_SEDS_2022_TBtus!$B$3:$B$53&amp;Com_AllFuels_SEDS_2022_TBtus!$A$3:$A$53,0))))</f>
        <v>0</v>
      </c>
      <c r="AK45" s="74">
        <f t="array" ref="AK45">IF(ISERROR(index(Com_AllFuels_SEDS_2022_TBtus!$S$3:$S$53,match($B32&amp;AK$2,Com_AllFuels_SEDS_2022_TBtus!$B$3:$B$53&amp;Com_AllFuels_SEDS_2022_TBtus!$A$3:$A$53,0))),0,(index(Com_AllFuels_SEDS_2022_TBtus!$S$3:$S$53,match($B32&amp;AK$2,Com_AllFuels_SEDS_2022_TBtus!$B$3:$B$53&amp;Com_AllFuels_SEDS_2022_TBtus!$A$3:$A$53,0))))</f>
        <v>0</v>
      </c>
      <c r="AL45" s="74">
        <f t="array" ref="AL45">IF(ISERROR(index(Com_AllFuels_SEDS_2022_TBtus!$S$3:$S$53,match($B32&amp;AL$2,Com_AllFuels_SEDS_2022_TBtus!$B$3:$B$53&amp;Com_AllFuels_SEDS_2022_TBtus!$A$3:$A$53,0))),0,(index(Com_AllFuels_SEDS_2022_TBtus!$S$3:$S$53,match($B32&amp;AL$2,Com_AllFuels_SEDS_2022_TBtus!$B$3:$B$53&amp;Com_AllFuels_SEDS_2022_TBtus!$A$3:$A$53,0))))</f>
        <v>12.2</v>
      </c>
      <c r="AM45" s="74">
        <f t="array" ref="AM45">IF(ISERROR(index(Com_AllFuels_SEDS_2022_TBtus!$S$3:$S$53,match($B32&amp;AM$2,Com_AllFuels_SEDS_2022_TBtus!$B$3:$B$53&amp;Com_AllFuels_SEDS_2022_TBtus!$A$3:$A$53,0))),0,(index(Com_AllFuels_SEDS_2022_TBtus!$S$3:$S$53,match($B32&amp;AM$2,Com_AllFuels_SEDS_2022_TBtus!$B$3:$B$53&amp;Com_AllFuels_SEDS_2022_TBtus!$A$3:$A$53,0))))</f>
        <v>0</v>
      </c>
      <c r="AN45" s="74">
        <f t="array" ref="AN45">IF(ISERROR(index(Com_AllFuels_SEDS_2022_TBtus!$S$3:$S$53,match($B32&amp;AN$2,Com_AllFuels_SEDS_2022_TBtus!$B$3:$B$53&amp;Com_AllFuels_SEDS_2022_TBtus!$A$3:$A$53,0))),0,(index(Com_AllFuels_SEDS_2022_TBtus!$S$3:$S$53,match($B32&amp;AN$2,Com_AllFuels_SEDS_2022_TBtus!$B$3:$B$53&amp;Com_AllFuels_SEDS_2022_TBtus!$A$3:$A$53,0))))</f>
        <v>0</v>
      </c>
      <c r="AO45" s="74">
        <f t="array" ref="AO45">IF(ISERROR(index(Com_AllFuels_SEDS_2022_TBtus!$S$3:$S$53,match($B32&amp;AO$2,Com_AllFuels_SEDS_2022_TBtus!$B$3:$B$53&amp;Com_AllFuels_SEDS_2022_TBtus!$A$3:$A$53,0))),0,(index(Com_AllFuels_SEDS_2022_TBtus!$S$3:$S$53,match($B32&amp;AO$2,Com_AllFuels_SEDS_2022_TBtus!$B$3:$B$53&amp;Com_AllFuels_SEDS_2022_TBtus!$A$3:$A$53,0))))</f>
        <v>0</v>
      </c>
      <c r="AP45" s="74">
        <f t="array" ref="AP45">IF(ISERROR(index(Com_AllFuels_SEDS_2022_TBtus!$S$3:$S$53,match($B32&amp;AP$2,Com_AllFuels_SEDS_2022_TBtus!$B$3:$B$53&amp;Com_AllFuels_SEDS_2022_TBtus!$A$3:$A$53,0))),0,(index(Com_AllFuels_SEDS_2022_TBtus!$S$3:$S$53,match($B32&amp;AP$2,Com_AllFuels_SEDS_2022_TBtus!$B$3:$B$53&amp;Com_AllFuels_SEDS_2022_TBtus!$A$3:$A$53,0))))</f>
        <v>0</v>
      </c>
      <c r="AQ45" s="74">
        <f t="array" ref="AQ45">IF(ISERROR(index(Com_AllFuels_SEDS_2022_TBtus!$S$3:$S$53,match($B32&amp;AQ$2,Com_AllFuels_SEDS_2022_TBtus!$B$3:$B$53&amp;Com_AllFuels_SEDS_2022_TBtus!$A$3:$A$53,0))),0,(index(Com_AllFuels_SEDS_2022_TBtus!$S$3:$S$53,match($B32&amp;AQ$2,Com_AllFuels_SEDS_2022_TBtus!$B$3:$B$53&amp;Com_AllFuels_SEDS_2022_TBtus!$A$3:$A$53,0))))</f>
        <v>0</v>
      </c>
      <c r="AR45" s="74">
        <f t="array" ref="AR45">IF(ISERROR(index(Com_AllFuels_SEDS_2022_TBtus!$S$3:$S$53,match($B32&amp;AR$2,Com_AllFuels_SEDS_2022_TBtus!$B$3:$B$53&amp;Com_AllFuels_SEDS_2022_TBtus!$A$3:$A$53,0))),0,(index(Com_AllFuels_SEDS_2022_TBtus!$S$3:$S$53,match($B32&amp;AR$2,Com_AllFuels_SEDS_2022_TBtus!$B$3:$B$53&amp;Com_AllFuels_SEDS_2022_TBtus!$A$3:$A$53,0))))</f>
        <v>0</v>
      </c>
      <c r="AS45" s="74">
        <f t="array" ref="AS45">IF(ISERROR(index(Com_AllFuels_SEDS_2022_TBtus!$S$3:$S$53,match($B32&amp;AS$2,Com_AllFuels_SEDS_2022_TBtus!$B$3:$B$53&amp;Com_AllFuels_SEDS_2022_TBtus!$A$3:$A$53,0))),0,(index(Com_AllFuels_SEDS_2022_TBtus!$S$3:$S$53,match($B32&amp;AS$2,Com_AllFuels_SEDS_2022_TBtus!$B$3:$B$53&amp;Com_AllFuels_SEDS_2022_TBtus!$A$3:$A$53,0))))</f>
        <v>0</v>
      </c>
      <c r="AT45" s="74">
        <f t="array" ref="AT45">IF(ISERROR(index(Com_AllFuels_SEDS_2022_TBtus!$S$3:$S$53,match($B32&amp;AT$2,Com_AllFuels_SEDS_2022_TBtus!$B$3:$B$53&amp;Com_AllFuels_SEDS_2022_TBtus!$A$3:$A$53,0))),0,(index(Com_AllFuels_SEDS_2022_TBtus!$S$3:$S$53,match($B32&amp;AT$2,Com_AllFuels_SEDS_2022_TBtus!$B$3:$B$53&amp;Com_AllFuels_SEDS_2022_TBtus!$A$3:$A$53,0))))</f>
        <v>0</v>
      </c>
      <c r="AU45" s="74">
        <f t="array" ref="AU45">IF(ISERROR(index(Com_AllFuels_SEDS_2022_TBtus!$S$3:$S$53,match($B32&amp;AU$2,Com_AllFuels_SEDS_2022_TBtus!$B$3:$B$53&amp;Com_AllFuels_SEDS_2022_TBtus!$A$3:$A$53,0))),0,(index(Com_AllFuels_SEDS_2022_TBtus!$S$3:$S$53,match($B32&amp;AU$2,Com_AllFuels_SEDS_2022_TBtus!$B$3:$B$53&amp;Com_AllFuels_SEDS_2022_TBtus!$A$3:$A$53,0))))</f>
        <v>0</v>
      </c>
      <c r="AV45" s="74">
        <f t="array" ref="AV45">IF(ISERROR(index(Com_AllFuels_SEDS_2022_TBtus!$S$3:$S$53,match($B32&amp;AV$2,Com_AllFuels_SEDS_2022_TBtus!$B$3:$B$53&amp;Com_AllFuels_SEDS_2022_TBtus!$A$3:$A$53,0))),0,(index(Com_AllFuels_SEDS_2022_TBtus!$S$3:$S$53,match($B32&amp;AV$2,Com_AllFuels_SEDS_2022_TBtus!$B$3:$B$53&amp;Com_AllFuels_SEDS_2022_TBtus!$A$3:$A$53,0))))</f>
        <v>0</v>
      </c>
      <c r="AW45" s="74">
        <f t="array" ref="AW45">IF(ISERROR(index(Com_AllFuels_SEDS_2022_TBtus!$S$3:$S$53,match($B32&amp;AW$2,Com_AllFuels_SEDS_2022_TBtus!$B$3:$B$53&amp;Com_AllFuels_SEDS_2022_TBtus!$A$3:$A$53,0))),0,(index(Com_AllFuels_SEDS_2022_TBtus!$S$3:$S$53,match($B32&amp;AW$2,Com_AllFuels_SEDS_2022_TBtus!$B$3:$B$53&amp;Com_AllFuels_SEDS_2022_TBtus!$A$3:$A$53,0))))</f>
        <v>0</v>
      </c>
      <c r="AX45" s="74">
        <f t="array" ref="AX45">IF(ISERROR(index(Com_AllFuels_SEDS_2022_TBtus!$S$3:$S$53,match($B32&amp;AX$2,Com_AllFuels_SEDS_2022_TBtus!$B$3:$B$53&amp;Com_AllFuels_SEDS_2022_TBtus!$A$3:$A$53,0))),0,(index(Com_AllFuels_SEDS_2022_TBtus!$S$3:$S$53,match($B32&amp;AX$2,Com_AllFuels_SEDS_2022_TBtus!$B$3:$B$53&amp;Com_AllFuels_SEDS_2022_TBtus!$A$3:$A$53,0))))</f>
        <v>0</v>
      </c>
      <c r="AY45" s="74">
        <f t="array" ref="AY45">IF(ISERROR(index(Com_AllFuels_SEDS_2022_TBtus!$S$3:$S$53,match($B32&amp;AY$2,Com_AllFuels_SEDS_2022_TBtus!$B$3:$B$53&amp;Com_AllFuels_SEDS_2022_TBtus!$A$3:$A$53,0))),0,(index(Com_AllFuels_SEDS_2022_TBtus!$S$3:$S$53,match($B32&amp;AY$2,Com_AllFuels_SEDS_2022_TBtus!$B$3:$B$53&amp;Com_AllFuels_SEDS_2022_TBtus!$A$3:$A$53,0))))</f>
        <v>0</v>
      </c>
      <c r="AZ45" s="74">
        <f t="array" ref="AZ45">IF(ISERROR(index(Com_AllFuels_SEDS_2022_TBtus!$S$3:$S$53,match($B32&amp;AZ$2,Com_AllFuels_SEDS_2022_TBtus!$B$3:$B$53&amp;Com_AllFuels_SEDS_2022_TBtus!$A$3:$A$53,0))),0,(index(Com_AllFuels_SEDS_2022_TBtus!$S$3:$S$53,match($B32&amp;AZ$2,Com_AllFuels_SEDS_2022_TBtus!$B$3:$B$53&amp;Com_AllFuels_SEDS_2022_TBtus!$A$3:$A$53,0))))</f>
        <v>4</v>
      </c>
      <c r="BA45" s="74">
        <f t="array" ref="BA45">IF(ISERROR(index(Com_AllFuels_SEDS_2022_TBtus!$S$3:$S$53,match($B32&amp;BA$2,Com_AllFuels_SEDS_2022_TBtus!$B$3:$B$53&amp;Com_AllFuels_SEDS_2022_TBtus!$A$3:$A$53,0))),0,(index(Com_AllFuels_SEDS_2022_TBtus!$S$3:$S$53,match($B32&amp;BA$2,Com_AllFuels_SEDS_2022_TBtus!$B$3:$B$53&amp;Com_AllFuels_SEDS_2022_TBtus!$A$3:$A$53,0))))</f>
        <v>0</v>
      </c>
      <c r="BB45" s="74">
        <f t="shared" si="7"/>
        <v>33.4</v>
      </c>
    </row>
    <row r="46" ht="15.75" customHeight="1">
      <c r="A46" s="78"/>
      <c r="B46" s="74">
        <v>4.0</v>
      </c>
      <c r="C46" s="74">
        <f t="array" ref="C46">IF(ISERROR(index(Com_AllFuels_SEDS_2022_TBtus!$S$3:$S$53,match($B33&amp;C$2,Com_AllFuels_SEDS_2022_TBtus!$B$3:$B$53&amp;Com_AllFuels_SEDS_2022_TBtus!$A$3:$A$53,0))),0,(index(Com_AllFuels_SEDS_2022_TBtus!$S$3:$S$53,match($B33&amp;C$2,Com_AllFuels_SEDS_2022_TBtus!$B$3:$B$53&amp;Com_AllFuels_SEDS_2022_TBtus!$A$3:$A$53,0))))</f>
        <v>0</v>
      </c>
      <c r="D46" s="74">
        <f t="array" ref="D46">IF(ISERROR(index(Com_AllFuels_SEDS_2022_TBtus!$S$3:$S$53,match($B33&amp;D$2,Com_AllFuels_SEDS_2022_TBtus!$B$3:$B$53&amp;Com_AllFuels_SEDS_2022_TBtus!$A$3:$A$53,0))),0,(index(Com_AllFuels_SEDS_2022_TBtus!$S$3:$S$53,match($B33&amp;D$2,Com_AllFuels_SEDS_2022_TBtus!$B$3:$B$53&amp;Com_AllFuels_SEDS_2022_TBtus!$A$3:$A$53,0))))</f>
        <v>0</v>
      </c>
      <c r="E46" s="74">
        <f t="array" ref="E46">IF(ISERROR(index(Com_AllFuels_SEDS_2022_TBtus!$S$3:$S$53,match($B33&amp;E$2,Com_AllFuels_SEDS_2022_TBtus!$B$3:$B$53&amp;Com_AllFuels_SEDS_2022_TBtus!$A$3:$A$53,0))),0,(index(Com_AllFuels_SEDS_2022_TBtus!$S$3:$S$53,match($B33&amp;E$2,Com_AllFuels_SEDS_2022_TBtus!$B$3:$B$53&amp;Com_AllFuels_SEDS_2022_TBtus!$A$3:$A$53,0))))</f>
        <v>0</v>
      </c>
      <c r="F46" s="74">
        <f t="array" ref="F46">IF(ISERROR(index(Com_AllFuels_SEDS_2022_TBtus!$S$3:$S$53,match($B33&amp;F$2,Com_AllFuels_SEDS_2022_TBtus!$B$3:$B$53&amp;Com_AllFuels_SEDS_2022_TBtus!$A$3:$A$53,0))),0,(index(Com_AllFuels_SEDS_2022_TBtus!$S$3:$S$53,match($B33&amp;F$2,Com_AllFuels_SEDS_2022_TBtus!$B$3:$B$53&amp;Com_AllFuels_SEDS_2022_TBtus!$A$3:$A$53,0))))</f>
        <v>0</v>
      </c>
      <c r="G46" s="74">
        <f t="array" ref="G46">IF(ISERROR(index(Com_AllFuels_SEDS_2022_TBtus!$S$3:$S$53,match($B33&amp;G$2,Com_AllFuels_SEDS_2022_TBtus!$B$3:$B$53&amp;Com_AllFuels_SEDS_2022_TBtus!$A$3:$A$53,0))),0,(index(Com_AllFuels_SEDS_2022_TBtus!$S$3:$S$53,match($B33&amp;G$2,Com_AllFuels_SEDS_2022_TBtus!$B$3:$B$53&amp;Com_AllFuels_SEDS_2022_TBtus!$A$3:$A$53,0))))</f>
        <v>0</v>
      </c>
      <c r="H46" s="74">
        <f t="array" ref="H46">IF(ISERROR(index(Com_AllFuels_SEDS_2022_TBtus!$S$3:$S$53,match($B33&amp;H$2,Com_AllFuels_SEDS_2022_TBtus!$B$3:$B$53&amp;Com_AllFuels_SEDS_2022_TBtus!$A$3:$A$53,0))),0,(index(Com_AllFuels_SEDS_2022_TBtus!$S$3:$S$53,match($B33&amp;H$2,Com_AllFuels_SEDS_2022_TBtus!$B$3:$B$53&amp;Com_AllFuels_SEDS_2022_TBtus!$A$3:$A$53,0))))</f>
        <v>0</v>
      </c>
      <c r="I46" s="74">
        <f t="array" ref="I46">IF(ISERROR(index(Com_AllFuels_SEDS_2022_TBtus!$S$3:$S$53,match($B33&amp;I$2,Com_AllFuels_SEDS_2022_TBtus!$B$3:$B$53&amp;Com_AllFuels_SEDS_2022_TBtus!$A$3:$A$53,0))),0,(index(Com_AllFuels_SEDS_2022_TBtus!$S$3:$S$53,match($B33&amp;I$2,Com_AllFuels_SEDS_2022_TBtus!$B$3:$B$53&amp;Com_AllFuels_SEDS_2022_TBtus!$A$3:$A$53,0))))</f>
        <v>0</v>
      </c>
      <c r="J46" s="74">
        <f t="array" ref="J46">IF(ISERROR(index(Com_AllFuels_SEDS_2022_TBtus!$S$3:$S$53,match($B33&amp;J$2,Com_AllFuels_SEDS_2022_TBtus!$B$3:$B$53&amp;Com_AllFuels_SEDS_2022_TBtus!$A$3:$A$53,0))),0,(index(Com_AllFuels_SEDS_2022_TBtus!$S$3:$S$53,match($B33&amp;J$2,Com_AllFuels_SEDS_2022_TBtus!$B$3:$B$53&amp;Com_AllFuels_SEDS_2022_TBtus!$A$3:$A$53,0))))</f>
        <v>0</v>
      </c>
      <c r="K46" s="74">
        <f t="array" ref="K46">IF(ISERROR(index(Com_AllFuels_SEDS_2022_TBtus!$S$3:$S$53,match($B33&amp;K$2,Com_AllFuels_SEDS_2022_TBtus!$B$3:$B$53&amp;Com_AllFuels_SEDS_2022_TBtus!$A$3:$A$53,0))),0,(index(Com_AllFuels_SEDS_2022_TBtus!$S$3:$S$53,match($B33&amp;K$2,Com_AllFuels_SEDS_2022_TBtus!$B$3:$B$53&amp;Com_AllFuels_SEDS_2022_TBtus!$A$3:$A$53,0))))</f>
        <v>0</v>
      </c>
      <c r="L46" s="74">
        <f t="array" ref="L46">IF(ISERROR(index(Com_AllFuels_SEDS_2022_TBtus!$S$3:$S$53,match($B33&amp;L$2,Com_AllFuels_SEDS_2022_TBtus!$B$3:$B$53&amp;Com_AllFuels_SEDS_2022_TBtus!$A$3:$A$53,0))),0,(index(Com_AllFuels_SEDS_2022_TBtus!$S$3:$S$53,match($B33&amp;L$2,Com_AllFuels_SEDS_2022_TBtus!$B$3:$B$53&amp;Com_AllFuels_SEDS_2022_TBtus!$A$3:$A$53,0))))</f>
        <v>0</v>
      </c>
      <c r="M46" s="74">
        <f t="array" ref="M46">IF(ISERROR(index(Com_AllFuels_SEDS_2022_TBtus!$S$3:$S$53,match($B33&amp;M$2,Com_AllFuels_SEDS_2022_TBtus!$B$3:$B$53&amp;Com_AllFuels_SEDS_2022_TBtus!$A$3:$A$53,0))),0,(index(Com_AllFuels_SEDS_2022_TBtus!$S$3:$S$53,match($B33&amp;M$2,Com_AllFuels_SEDS_2022_TBtus!$B$3:$B$53&amp;Com_AllFuels_SEDS_2022_TBtus!$A$3:$A$53,0))))</f>
        <v>0</v>
      </c>
      <c r="N46" s="74">
        <f t="array" ref="N46">IF(ISERROR(index(Com_AllFuels_SEDS_2022_TBtus!$S$3:$S$53,match($B33&amp;N$2,Com_AllFuels_SEDS_2022_TBtus!$B$3:$B$53&amp;Com_AllFuels_SEDS_2022_TBtus!$A$3:$A$53,0))),0,(index(Com_AllFuels_SEDS_2022_TBtus!$S$3:$S$53,match($B33&amp;N$2,Com_AllFuels_SEDS_2022_TBtus!$B$3:$B$53&amp;Com_AllFuels_SEDS_2022_TBtus!$A$3:$A$53,0))))</f>
        <v>0</v>
      </c>
      <c r="O46" s="74">
        <f t="array" ref="O46">IF(ISERROR(index(Com_AllFuels_SEDS_2022_TBtus!$S$3:$S$53,match($B33&amp;O$2,Com_AllFuels_SEDS_2022_TBtus!$B$3:$B$53&amp;Com_AllFuels_SEDS_2022_TBtus!$A$3:$A$53,0))),0,(index(Com_AllFuels_SEDS_2022_TBtus!$S$3:$S$53,match($B33&amp;O$2,Com_AllFuels_SEDS_2022_TBtus!$B$3:$B$53&amp;Com_AllFuels_SEDS_2022_TBtus!$A$3:$A$53,0))))</f>
        <v>0</v>
      </c>
      <c r="P46" s="74">
        <f t="array" ref="P46">IF(ISERROR(index(Com_AllFuels_SEDS_2022_TBtus!$S$3:$S$53,match($B33&amp;P$2,Com_AllFuels_SEDS_2022_TBtus!$B$3:$B$53&amp;Com_AllFuels_SEDS_2022_TBtus!$A$3:$A$53,0))),0,(index(Com_AllFuels_SEDS_2022_TBtus!$S$3:$S$53,match($B33&amp;P$2,Com_AllFuels_SEDS_2022_TBtus!$B$3:$B$53&amp;Com_AllFuels_SEDS_2022_TBtus!$A$3:$A$53,0))))</f>
        <v>0</v>
      </c>
      <c r="Q46" s="74">
        <f t="array" ref="Q46">IF(ISERROR(index(Com_AllFuels_SEDS_2022_TBtus!$S$3:$S$53,match($B33&amp;Q$2,Com_AllFuels_SEDS_2022_TBtus!$B$3:$B$53&amp;Com_AllFuels_SEDS_2022_TBtus!$A$3:$A$53,0))),0,(index(Com_AllFuels_SEDS_2022_TBtus!$S$3:$S$53,match($B33&amp;Q$2,Com_AllFuels_SEDS_2022_TBtus!$B$3:$B$53&amp;Com_AllFuels_SEDS_2022_TBtus!$A$3:$A$53,0))))</f>
        <v>0</v>
      </c>
      <c r="R46" s="74">
        <f t="array" ref="R46">IF(ISERROR(index(Com_AllFuels_SEDS_2022_TBtus!$S$3:$S$53,match($B33&amp;R$2,Com_AllFuels_SEDS_2022_TBtus!$B$3:$B$53&amp;Com_AllFuels_SEDS_2022_TBtus!$A$3:$A$53,0))),0,(index(Com_AllFuels_SEDS_2022_TBtus!$S$3:$S$53,match($B33&amp;R$2,Com_AllFuels_SEDS_2022_TBtus!$B$3:$B$53&amp;Com_AllFuels_SEDS_2022_TBtus!$A$3:$A$53,0))))</f>
        <v>5.2</v>
      </c>
      <c r="S46" s="74">
        <f t="array" ref="S46">IF(ISERROR(index(Com_AllFuels_SEDS_2022_TBtus!$S$3:$S$53,match($B33&amp;S$2,Com_AllFuels_SEDS_2022_TBtus!$B$3:$B$53&amp;Com_AllFuels_SEDS_2022_TBtus!$A$3:$A$53,0))),0,(index(Com_AllFuels_SEDS_2022_TBtus!$S$3:$S$53,match($B33&amp;S$2,Com_AllFuels_SEDS_2022_TBtus!$B$3:$B$53&amp;Com_AllFuels_SEDS_2022_TBtus!$A$3:$A$53,0))))</f>
        <v>2</v>
      </c>
      <c r="T46" s="74">
        <f t="array" ref="T46">IF(ISERROR(index(Com_AllFuels_SEDS_2022_TBtus!$S$3:$S$53,match($B33&amp;T$2,Com_AllFuels_SEDS_2022_TBtus!$B$3:$B$53&amp;Com_AllFuels_SEDS_2022_TBtus!$A$3:$A$53,0))),0,(index(Com_AllFuels_SEDS_2022_TBtus!$S$3:$S$53,match($B33&amp;T$2,Com_AllFuels_SEDS_2022_TBtus!$B$3:$B$53&amp;Com_AllFuels_SEDS_2022_TBtus!$A$3:$A$53,0))))</f>
        <v>0</v>
      </c>
      <c r="U46" s="74">
        <f t="array" ref="U46">IF(ISERROR(index(Com_AllFuels_SEDS_2022_TBtus!$S$3:$S$53,match($B33&amp;U$2,Com_AllFuels_SEDS_2022_TBtus!$B$3:$B$53&amp;Com_AllFuels_SEDS_2022_TBtus!$A$3:$A$53,0))),0,(index(Com_AllFuels_SEDS_2022_TBtus!$S$3:$S$53,match($B33&amp;U$2,Com_AllFuels_SEDS_2022_TBtus!$B$3:$B$53&amp;Com_AllFuels_SEDS_2022_TBtus!$A$3:$A$53,0))))</f>
        <v>0</v>
      </c>
      <c r="V46" s="74">
        <f t="array" ref="V46">IF(ISERROR(index(Com_AllFuels_SEDS_2022_TBtus!$S$3:$S$53,match($B33&amp;V$2,Com_AllFuels_SEDS_2022_TBtus!$B$3:$B$53&amp;Com_AllFuels_SEDS_2022_TBtus!$A$3:$A$53,0))),0,(index(Com_AllFuels_SEDS_2022_TBtus!$S$3:$S$53,match($B33&amp;V$2,Com_AllFuels_SEDS_2022_TBtus!$B$3:$B$53&amp;Com_AllFuels_SEDS_2022_TBtus!$A$3:$A$53,0))))</f>
        <v>0</v>
      </c>
      <c r="W46" s="74">
        <f t="array" ref="W46">IF(ISERROR(index(Com_AllFuels_SEDS_2022_TBtus!$S$3:$S$53,match($B33&amp;W$2,Com_AllFuels_SEDS_2022_TBtus!$B$3:$B$53&amp;Com_AllFuels_SEDS_2022_TBtus!$A$3:$A$53,0))),0,(index(Com_AllFuels_SEDS_2022_TBtus!$S$3:$S$53,match($B33&amp;W$2,Com_AllFuels_SEDS_2022_TBtus!$B$3:$B$53&amp;Com_AllFuels_SEDS_2022_TBtus!$A$3:$A$53,0))))</f>
        <v>0</v>
      </c>
      <c r="X46" s="74">
        <f t="array" ref="X46">IF(ISERROR(index(Com_AllFuels_SEDS_2022_TBtus!$S$3:$S$53,match($B33&amp;X$2,Com_AllFuels_SEDS_2022_TBtus!$B$3:$B$53&amp;Com_AllFuels_SEDS_2022_TBtus!$A$3:$A$53,0))),0,(index(Com_AllFuels_SEDS_2022_TBtus!$S$3:$S$53,match($B33&amp;X$2,Com_AllFuels_SEDS_2022_TBtus!$B$3:$B$53&amp;Com_AllFuels_SEDS_2022_TBtus!$A$3:$A$53,0))))</f>
        <v>0</v>
      </c>
      <c r="Y46" s="74">
        <f t="array" ref="Y46">IF(ISERROR(index(Com_AllFuels_SEDS_2022_TBtus!$S$3:$S$53,match($B33&amp;Y$2,Com_AllFuels_SEDS_2022_TBtus!$B$3:$B$53&amp;Com_AllFuels_SEDS_2022_TBtus!$A$3:$A$53,0))),0,(index(Com_AllFuels_SEDS_2022_TBtus!$S$3:$S$53,match($B33&amp;Y$2,Com_AllFuels_SEDS_2022_TBtus!$B$3:$B$53&amp;Com_AllFuels_SEDS_2022_TBtus!$A$3:$A$53,0))))</f>
        <v>0</v>
      </c>
      <c r="Z46" s="74">
        <f t="array" ref="Z46">IF(ISERROR(index(Com_AllFuels_SEDS_2022_TBtus!$S$3:$S$53,match($B33&amp;Z$2,Com_AllFuels_SEDS_2022_TBtus!$B$3:$B$53&amp;Com_AllFuels_SEDS_2022_TBtus!$A$3:$A$53,0))),0,(index(Com_AllFuels_SEDS_2022_TBtus!$S$3:$S$53,match($B33&amp;Z$2,Com_AllFuels_SEDS_2022_TBtus!$B$3:$B$53&amp;Com_AllFuels_SEDS_2022_TBtus!$A$3:$A$53,0))))</f>
        <v>5.9</v>
      </c>
      <c r="AA46" s="74">
        <f t="array" ref="AA46">IF(ISERROR(index(Com_AllFuels_SEDS_2022_TBtus!$S$3:$S$53,match($B33&amp;AA$2,Com_AllFuels_SEDS_2022_TBtus!$B$3:$B$53&amp;Com_AllFuels_SEDS_2022_TBtus!$A$3:$A$53,0))),0,(index(Com_AllFuels_SEDS_2022_TBtus!$S$3:$S$53,match($B33&amp;AA$2,Com_AllFuels_SEDS_2022_TBtus!$B$3:$B$53&amp;Com_AllFuels_SEDS_2022_TBtus!$A$3:$A$53,0))))</f>
        <v>0</v>
      </c>
      <c r="AB46" s="74">
        <f t="array" ref="AB46">IF(ISERROR(index(Com_AllFuels_SEDS_2022_TBtus!$S$3:$S$53,match($B33&amp;AB$2,Com_AllFuels_SEDS_2022_TBtus!$B$3:$B$53&amp;Com_AllFuels_SEDS_2022_TBtus!$A$3:$A$53,0))),0,(index(Com_AllFuels_SEDS_2022_TBtus!$S$3:$S$53,match($B33&amp;AB$2,Com_AllFuels_SEDS_2022_TBtus!$B$3:$B$53&amp;Com_AllFuels_SEDS_2022_TBtus!$A$3:$A$53,0))))</f>
        <v>4.1</v>
      </c>
      <c r="AC46" s="74">
        <f t="array" ref="AC46">IF(ISERROR(index(Com_AllFuels_SEDS_2022_TBtus!$S$3:$S$53,match($B33&amp;AC$2,Com_AllFuels_SEDS_2022_TBtus!$B$3:$B$53&amp;Com_AllFuels_SEDS_2022_TBtus!$A$3:$A$53,0))),0,(index(Com_AllFuels_SEDS_2022_TBtus!$S$3:$S$53,match($B33&amp;AC$2,Com_AllFuels_SEDS_2022_TBtus!$B$3:$B$53&amp;Com_AllFuels_SEDS_2022_TBtus!$A$3:$A$53,0))))</f>
        <v>0</v>
      </c>
      <c r="AD46" s="74">
        <f t="array" ref="AD46">IF(ISERROR(index(Com_AllFuels_SEDS_2022_TBtus!$S$3:$S$53,match($B33&amp;AD$2,Com_AllFuels_SEDS_2022_TBtus!$B$3:$B$53&amp;Com_AllFuels_SEDS_2022_TBtus!$A$3:$A$53,0))),0,(index(Com_AllFuels_SEDS_2022_TBtus!$S$3:$S$53,match($B33&amp;AD$2,Com_AllFuels_SEDS_2022_TBtus!$B$3:$B$53&amp;Com_AllFuels_SEDS_2022_TBtus!$A$3:$A$53,0))))</f>
        <v>1.8</v>
      </c>
      <c r="AE46" s="74">
        <f t="array" ref="AE46">IF(ISERROR(index(Com_AllFuels_SEDS_2022_TBtus!$S$3:$S$53,match($B33&amp;AE$2,Com_AllFuels_SEDS_2022_TBtus!$B$3:$B$53&amp;Com_AllFuels_SEDS_2022_TBtus!$A$3:$A$53,0))),0,(index(Com_AllFuels_SEDS_2022_TBtus!$S$3:$S$53,match($B33&amp;AE$2,Com_AllFuels_SEDS_2022_TBtus!$B$3:$B$53&amp;Com_AllFuels_SEDS_2022_TBtus!$A$3:$A$53,0))))</f>
        <v>0</v>
      </c>
      <c r="AF46" s="74">
        <f t="array" ref="AF46">IF(ISERROR(index(Com_AllFuels_SEDS_2022_TBtus!$S$3:$S$53,match($B33&amp;AF$2,Com_AllFuels_SEDS_2022_TBtus!$B$3:$B$53&amp;Com_AllFuels_SEDS_2022_TBtus!$A$3:$A$53,0))),0,(index(Com_AllFuels_SEDS_2022_TBtus!$S$3:$S$53,match($B33&amp;AF$2,Com_AllFuels_SEDS_2022_TBtus!$B$3:$B$53&amp;Com_AllFuels_SEDS_2022_TBtus!$A$3:$A$53,0))))</f>
        <v>0</v>
      </c>
      <c r="AG46" s="74">
        <f t="array" ref="AG46">IF(ISERROR(index(Com_AllFuels_SEDS_2022_TBtus!$S$3:$S$53,match($B33&amp;AG$2,Com_AllFuels_SEDS_2022_TBtus!$B$3:$B$53&amp;Com_AllFuels_SEDS_2022_TBtus!$A$3:$A$53,0))),0,(index(Com_AllFuels_SEDS_2022_TBtus!$S$3:$S$53,match($B33&amp;AG$2,Com_AllFuels_SEDS_2022_TBtus!$B$3:$B$53&amp;Com_AllFuels_SEDS_2022_TBtus!$A$3:$A$53,0))))</f>
        <v>0</v>
      </c>
      <c r="AH46" s="74">
        <f t="array" ref="AH46">IF(ISERROR(index(Com_AllFuels_SEDS_2022_TBtus!$S$3:$S$53,match($B33&amp;AH$2,Com_AllFuels_SEDS_2022_TBtus!$B$3:$B$53&amp;Com_AllFuels_SEDS_2022_TBtus!$A$3:$A$53,0))),0,(index(Com_AllFuels_SEDS_2022_TBtus!$S$3:$S$53,match($B33&amp;AH$2,Com_AllFuels_SEDS_2022_TBtus!$B$3:$B$53&amp;Com_AllFuels_SEDS_2022_TBtus!$A$3:$A$53,0))))</f>
        <v>0</v>
      </c>
      <c r="AI46" s="74">
        <f t="array" ref="AI46">IF(ISERROR(index(Com_AllFuels_SEDS_2022_TBtus!$S$3:$S$53,match($B33&amp;AI$2,Com_AllFuels_SEDS_2022_TBtus!$B$3:$B$53&amp;Com_AllFuels_SEDS_2022_TBtus!$A$3:$A$53,0))),0,(index(Com_AllFuels_SEDS_2022_TBtus!$S$3:$S$53,match($B33&amp;AI$2,Com_AllFuels_SEDS_2022_TBtus!$B$3:$B$53&amp;Com_AllFuels_SEDS_2022_TBtus!$A$3:$A$53,0))))</f>
        <v>0</v>
      </c>
      <c r="AJ46" s="74">
        <f t="array" ref="AJ46">IF(ISERROR(index(Com_AllFuels_SEDS_2022_TBtus!$S$3:$S$53,match($B33&amp;AJ$2,Com_AllFuels_SEDS_2022_TBtus!$B$3:$B$53&amp;Com_AllFuels_SEDS_2022_TBtus!$A$3:$A$53,0))),0,(index(Com_AllFuels_SEDS_2022_TBtus!$S$3:$S$53,match($B33&amp;AJ$2,Com_AllFuels_SEDS_2022_TBtus!$B$3:$B$53&amp;Com_AllFuels_SEDS_2022_TBtus!$A$3:$A$53,0))))</f>
        <v>0</v>
      </c>
      <c r="AK46" s="74">
        <f t="array" ref="AK46">IF(ISERROR(index(Com_AllFuels_SEDS_2022_TBtus!$S$3:$S$53,match($B33&amp;AK$2,Com_AllFuels_SEDS_2022_TBtus!$B$3:$B$53&amp;Com_AllFuels_SEDS_2022_TBtus!$A$3:$A$53,0))),0,(index(Com_AllFuels_SEDS_2022_TBtus!$S$3:$S$53,match($B33&amp;AK$2,Com_AllFuels_SEDS_2022_TBtus!$B$3:$B$53&amp;Com_AllFuels_SEDS_2022_TBtus!$A$3:$A$53,0))))</f>
        <v>3.6</v>
      </c>
      <c r="AL46" s="74">
        <f t="array" ref="AL46">IF(ISERROR(index(Com_AllFuels_SEDS_2022_TBtus!$S$3:$S$53,match($B33&amp;AL$2,Com_AllFuels_SEDS_2022_TBtus!$B$3:$B$53&amp;Com_AllFuels_SEDS_2022_TBtus!$A$3:$A$53,0))),0,(index(Com_AllFuels_SEDS_2022_TBtus!$S$3:$S$53,match($B33&amp;AL$2,Com_AllFuels_SEDS_2022_TBtus!$B$3:$B$53&amp;Com_AllFuels_SEDS_2022_TBtus!$A$3:$A$53,0))))</f>
        <v>0</v>
      </c>
      <c r="AM46" s="74">
        <f t="array" ref="AM46">IF(ISERROR(index(Com_AllFuels_SEDS_2022_TBtus!$S$3:$S$53,match($B33&amp;AM$2,Com_AllFuels_SEDS_2022_TBtus!$B$3:$B$53&amp;Com_AllFuels_SEDS_2022_TBtus!$A$3:$A$53,0))),0,(index(Com_AllFuels_SEDS_2022_TBtus!$S$3:$S$53,match($B33&amp;AM$2,Com_AllFuels_SEDS_2022_TBtus!$B$3:$B$53&amp;Com_AllFuels_SEDS_2022_TBtus!$A$3:$A$53,0))))</f>
        <v>0</v>
      </c>
      <c r="AN46" s="74">
        <f t="array" ref="AN46">IF(ISERROR(index(Com_AllFuels_SEDS_2022_TBtus!$S$3:$S$53,match($B33&amp;AN$2,Com_AllFuels_SEDS_2022_TBtus!$B$3:$B$53&amp;Com_AllFuels_SEDS_2022_TBtus!$A$3:$A$53,0))),0,(index(Com_AllFuels_SEDS_2022_TBtus!$S$3:$S$53,match($B33&amp;AN$2,Com_AllFuels_SEDS_2022_TBtus!$B$3:$B$53&amp;Com_AllFuels_SEDS_2022_TBtus!$A$3:$A$53,0))))</f>
        <v>0</v>
      </c>
      <c r="AO46" s="74">
        <f t="array" ref="AO46">IF(ISERROR(index(Com_AllFuels_SEDS_2022_TBtus!$S$3:$S$53,match($B33&amp;AO$2,Com_AllFuels_SEDS_2022_TBtus!$B$3:$B$53&amp;Com_AllFuels_SEDS_2022_TBtus!$A$3:$A$53,0))),0,(index(Com_AllFuels_SEDS_2022_TBtus!$S$3:$S$53,match($B33&amp;AO$2,Com_AllFuels_SEDS_2022_TBtus!$B$3:$B$53&amp;Com_AllFuels_SEDS_2022_TBtus!$A$3:$A$53,0))))</f>
        <v>0</v>
      </c>
      <c r="AP46" s="74">
        <f t="array" ref="AP46">IF(ISERROR(index(Com_AllFuels_SEDS_2022_TBtus!$S$3:$S$53,match($B33&amp;AP$2,Com_AllFuels_SEDS_2022_TBtus!$B$3:$B$53&amp;Com_AllFuels_SEDS_2022_TBtus!$A$3:$A$53,0))),0,(index(Com_AllFuels_SEDS_2022_TBtus!$S$3:$S$53,match($B33&amp;AP$2,Com_AllFuels_SEDS_2022_TBtus!$B$3:$B$53&amp;Com_AllFuels_SEDS_2022_TBtus!$A$3:$A$53,0))))</f>
        <v>0</v>
      </c>
      <c r="AQ46" s="74">
        <f t="array" ref="AQ46">IF(ISERROR(index(Com_AllFuels_SEDS_2022_TBtus!$S$3:$S$53,match($B33&amp;AQ$2,Com_AllFuels_SEDS_2022_TBtus!$B$3:$B$53&amp;Com_AllFuels_SEDS_2022_TBtus!$A$3:$A$53,0))),0,(index(Com_AllFuels_SEDS_2022_TBtus!$S$3:$S$53,match($B33&amp;AQ$2,Com_AllFuels_SEDS_2022_TBtus!$B$3:$B$53&amp;Com_AllFuels_SEDS_2022_TBtus!$A$3:$A$53,0))))</f>
        <v>0</v>
      </c>
      <c r="AR46" s="74">
        <f t="array" ref="AR46">IF(ISERROR(index(Com_AllFuels_SEDS_2022_TBtus!$S$3:$S$53,match($B33&amp;AR$2,Com_AllFuels_SEDS_2022_TBtus!$B$3:$B$53&amp;Com_AllFuels_SEDS_2022_TBtus!$A$3:$A$53,0))),0,(index(Com_AllFuels_SEDS_2022_TBtus!$S$3:$S$53,match($B33&amp;AR$2,Com_AllFuels_SEDS_2022_TBtus!$B$3:$B$53&amp;Com_AllFuels_SEDS_2022_TBtus!$A$3:$A$53,0))))</f>
        <v>0.9</v>
      </c>
      <c r="AS46" s="74">
        <f t="array" ref="AS46">IF(ISERROR(index(Com_AllFuels_SEDS_2022_TBtus!$S$3:$S$53,match($B33&amp;AS$2,Com_AllFuels_SEDS_2022_TBtus!$B$3:$B$53&amp;Com_AllFuels_SEDS_2022_TBtus!$A$3:$A$53,0))),0,(index(Com_AllFuels_SEDS_2022_TBtus!$S$3:$S$53,match($B33&amp;AS$2,Com_AllFuels_SEDS_2022_TBtus!$B$3:$B$53&amp;Com_AllFuels_SEDS_2022_TBtus!$A$3:$A$53,0))))</f>
        <v>0</v>
      </c>
      <c r="AT46" s="74">
        <f t="array" ref="AT46">IF(ISERROR(index(Com_AllFuels_SEDS_2022_TBtus!$S$3:$S$53,match($B33&amp;AT$2,Com_AllFuels_SEDS_2022_TBtus!$B$3:$B$53&amp;Com_AllFuels_SEDS_2022_TBtus!$A$3:$A$53,0))),0,(index(Com_AllFuels_SEDS_2022_TBtus!$S$3:$S$53,match($B33&amp;AT$2,Com_AllFuels_SEDS_2022_TBtus!$B$3:$B$53&amp;Com_AllFuels_SEDS_2022_TBtus!$A$3:$A$53,0))))</f>
        <v>0</v>
      </c>
      <c r="AU46" s="74">
        <f t="array" ref="AU46">IF(ISERROR(index(Com_AllFuels_SEDS_2022_TBtus!$S$3:$S$53,match($B33&amp;AU$2,Com_AllFuels_SEDS_2022_TBtus!$B$3:$B$53&amp;Com_AllFuels_SEDS_2022_TBtus!$A$3:$A$53,0))),0,(index(Com_AllFuels_SEDS_2022_TBtus!$S$3:$S$53,match($B33&amp;AU$2,Com_AllFuels_SEDS_2022_TBtus!$B$3:$B$53&amp;Com_AllFuels_SEDS_2022_TBtus!$A$3:$A$53,0))))</f>
        <v>0</v>
      </c>
      <c r="AV46" s="74">
        <f t="array" ref="AV46">IF(ISERROR(index(Com_AllFuels_SEDS_2022_TBtus!$S$3:$S$53,match($B33&amp;AV$2,Com_AllFuels_SEDS_2022_TBtus!$B$3:$B$53&amp;Com_AllFuels_SEDS_2022_TBtus!$A$3:$A$53,0))),0,(index(Com_AllFuels_SEDS_2022_TBtus!$S$3:$S$53,match($B33&amp;AV$2,Com_AllFuels_SEDS_2022_TBtus!$B$3:$B$53&amp;Com_AllFuels_SEDS_2022_TBtus!$A$3:$A$53,0))))</f>
        <v>0</v>
      </c>
      <c r="AW46" s="74">
        <f t="array" ref="AW46">IF(ISERROR(index(Com_AllFuels_SEDS_2022_TBtus!$S$3:$S$53,match($B33&amp;AW$2,Com_AllFuels_SEDS_2022_TBtus!$B$3:$B$53&amp;Com_AllFuels_SEDS_2022_TBtus!$A$3:$A$53,0))),0,(index(Com_AllFuels_SEDS_2022_TBtus!$S$3:$S$53,match($B33&amp;AW$2,Com_AllFuels_SEDS_2022_TBtus!$B$3:$B$53&amp;Com_AllFuels_SEDS_2022_TBtus!$A$3:$A$53,0))))</f>
        <v>0</v>
      </c>
      <c r="AX46" s="74">
        <f t="array" ref="AX46">IF(ISERROR(index(Com_AllFuels_SEDS_2022_TBtus!$S$3:$S$53,match($B33&amp;AX$2,Com_AllFuels_SEDS_2022_TBtus!$B$3:$B$53&amp;Com_AllFuels_SEDS_2022_TBtus!$A$3:$A$53,0))),0,(index(Com_AllFuels_SEDS_2022_TBtus!$S$3:$S$53,match($B33&amp;AX$2,Com_AllFuels_SEDS_2022_TBtus!$B$3:$B$53&amp;Com_AllFuels_SEDS_2022_TBtus!$A$3:$A$53,0))))</f>
        <v>0</v>
      </c>
      <c r="AY46" s="74">
        <f t="array" ref="AY46">IF(ISERROR(index(Com_AllFuels_SEDS_2022_TBtus!$S$3:$S$53,match($B33&amp;AY$2,Com_AllFuels_SEDS_2022_TBtus!$B$3:$B$53&amp;Com_AllFuels_SEDS_2022_TBtus!$A$3:$A$53,0))),0,(index(Com_AllFuels_SEDS_2022_TBtus!$S$3:$S$53,match($B33&amp;AY$2,Com_AllFuels_SEDS_2022_TBtus!$B$3:$B$53&amp;Com_AllFuels_SEDS_2022_TBtus!$A$3:$A$53,0))))</f>
        <v>0</v>
      </c>
      <c r="AZ46" s="74">
        <f t="array" ref="AZ46">IF(ISERROR(index(Com_AllFuels_SEDS_2022_TBtus!$S$3:$S$53,match($B33&amp;AZ$2,Com_AllFuels_SEDS_2022_TBtus!$B$3:$B$53&amp;Com_AllFuels_SEDS_2022_TBtus!$A$3:$A$53,0))),0,(index(Com_AllFuels_SEDS_2022_TBtus!$S$3:$S$53,match($B33&amp;AZ$2,Com_AllFuels_SEDS_2022_TBtus!$B$3:$B$53&amp;Com_AllFuels_SEDS_2022_TBtus!$A$3:$A$53,0))))</f>
        <v>0</v>
      </c>
      <c r="BA46" s="74">
        <f t="array" ref="BA46">IF(ISERROR(index(Com_AllFuels_SEDS_2022_TBtus!$S$3:$S$53,match($B33&amp;BA$2,Com_AllFuels_SEDS_2022_TBtus!$B$3:$B$53&amp;Com_AllFuels_SEDS_2022_TBtus!$A$3:$A$53,0))),0,(index(Com_AllFuels_SEDS_2022_TBtus!$S$3:$S$53,match($B33&amp;BA$2,Com_AllFuels_SEDS_2022_TBtus!$B$3:$B$53&amp;Com_AllFuels_SEDS_2022_TBtus!$A$3:$A$53,0))))</f>
        <v>0</v>
      </c>
      <c r="BB46" s="74">
        <f t="shared" si="7"/>
        <v>23.5</v>
      </c>
    </row>
    <row r="47" ht="15.75" customHeight="1">
      <c r="A47" s="78"/>
      <c r="B47" s="74">
        <v>5.0</v>
      </c>
      <c r="C47" s="74">
        <f t="array" ref="C47">IF(ISERROR(index(Com_AllFuels_SEDS_2022_TBtus!$S$3:$S$53,match($B34&amp;C$2,Com_AllFuels_SEDS_2022_TBtus!$B$3:$B$53&amp;Com_AllFuels_SEDS_2022_TBtus!$A$3:$A$53,0))),0,(index(Com_AllFuels_SEDS_2022_TBtus!$S$3:$S$53,match($B34&amp;C$2,Com_AllFuels_SEDS_2022_TBtus!$B$3:$B$53&amp;Com_AllFuels_SEDS_2022_TBtus!$A$3:$A$53,0))))</f>
        <v>0</v>
      </c>
      <c r="D47" s="74">
        <f t="array" ref="D47">IF(ISERROR(index(Com_AllFuels_SEDS_2022_TBtus!$S$3:$S$53,match($B34&amp;D$2,Com_AllFuels_SEDS_2022_TBtus!$B$3:$B$53&amp;Com_AllFuels_SEDS_2022_TBtus!$A$3:$A$53,0))),0,(index(Com_AllFuels_SEDS_2022_TBtus!$S$3:$S$53,match($B34&amp;D$2,Com_AllFuels_SEDS_2022_TBtus!$B$3:$B$53&amp;Com_AllFuels_SEDS_2022_TBtus!$A$3:$A$53,0))))</f>
        <v>0</v>
      </c>
      <c r="E47" s="74">
        <f t="array" ref="E47">IF(ISERROR(index(Com_AllFuels_SEDS_2022_TBtus!$S$3:$S$53,match($B34&amp;E$2,Com_AllFuels_SEDS_2022_TBtus!$B$3:$B$53&amp;Com_AllFuels_SEDS_2022_TBtus!$A$3:$A$53,0))),0,(index(Com_AllFuels_SEDS_2022_TBtus!$S$3:$S$53,match($B34&amp;E$2,Com_AllFuels_SEDS_2022_TBtus!$B$3:$B$53&amp;Com_AllFuels_SEDS_2022_TBtus!$A$3:$A$53,0))))</f>
        <v>0</v>
      </c>
      <c r="F47" s="74">
        <f t="array" ref="F47">IF(ISERROR(index(Com_AllFuels_SEDS_2022_TBtus!$S$3:$S$53,match($B34&amp;F$2,Com_AllFuels_SEDS_2022_TBtus!$B$3:$B$53&amp;Com_AllFuels_SEDS_2022_TBtus!$A$3:$A$53,0))),0,(index(Com_AllFuels_SEDS_2022_TBtus!$S$3:$S$53,match($B34&amp;F$2,Com_AllFuels_SEDS_2022_TBtus!$B$3:$B$53&amp;Com_AllFuels_SEDS_2022_TBtus!$A$3:$A$53,0))))</f>
        <v>0</v>
      </c>
      <c r="G47" s="74">
        <f t="array" ref="G47">IF(ISERROR(index(Com_AllFuels_SEDS_2022_TBtus!$S$3:$S$53,match($B34&amp;G$2,Com_AllFuels_SEDS_2022_TBtus!$B$3:$B$53&amp;Com_AllFuels_SEDS_2022_TBtus!$A$3:$A$53,0))),0,(index(Com_AllFuels_SEDS_2022_TBtus!$S$3:$S$53,match($B34&amp;G$2,Com_AllFuels_SEDS_2022_TBtus!$B$3:$B$53&amp;Com_AllFuels_SEDS_2022_TBtus!$A$3:$A$53,0))))</f>
        <v>0</v>
      </c>
      <c r="H47" s="74">
        <f t="array" ref="H47">IF(ISERROR(index(Com_AllFuels_SEDS_2022_TBtus!$S$3:$S$53,match($B34&amp;H$2,Com_AllFuels_SEDS_2022_TBtus!$B$3:$B$53&amp;Com_AllFuels_SEDS_2022_TBtus!$A$3:$A$53,0))),0,(index(Com_AllFuels_SEDS_2022_TBtus!$S$3:$S$53,match($B34&amp;H$2,Com_AllFuels_SEDS_2022_TBtus!$B$3:$B$53&amp;Com_AllFuels_SEDS_2022_TBtus!$A$3:$A$53,0))))</f>
        <v>0</v>
      </c>
      <c r="I47" s="74">
        <f t="array" ref="I47">IF(ISERROR(index(Com_AllFuels_SEDS_2022_TBtus!$S$3:$S$53,match($B34&amp;I$2,Com_AllFuels_SEDS_2022_TBtus!$B$3:$B$53&amp;Com_AllFuels_SEDS_2022_TBtus!$A$3:$A$53,0))),0,(index(Com_AllFuels_SEDS_2022_TBtus!$S$3:$S$53,match($B34&amp;I$2,Com_AllFuels_SEDS_2022_TBtus!$B$3:$B$53&amp;Com_AllFuels_SEDS_2022_TBtus!$A$3:$A$53,0))))</f>
        <v>0</v>
      </c>
      <c r="J47" s="74">
        <f t="array" ref="J47">IF(ISERROR(index(Com_AllFuels_SEDS_2022_TBtus!$S$3:$S$53,match($B34&amp;J$2,Com_AllFuels_SEDS_2022_TBtus!$B$3:$B$53&amp;Com_AllFuels_SEDS_2022_TBtus!$A$3:$A$53,0))),0,(index(Com_AllFuels_SEDS_2022_TBtus!$S$3:$S$53,match($B34&amp;J$2,Com_AllFuels_SEDS_2022_TBtus!$B$3:$B$53&amp;Com_AllFuels_SEDS_2022_TBtus!$A$3:$A$53,0))))</f>
        <v>1.2</v>
      </c>
      <c r="K47" s="74">
        <f t="array" ref="K47">IF(ISERROR(index(Com_AllFuels_SEDS_2022_TBtus!$S$3:$S$53,match($B34&amp;K$2,Com_AllFuels_SEDS_2022_TBtus!$B$3:$B$53&amp;Com_AllFuels_SEDS_2022_TBtus!$A$3:$A$53,0))),0,(index(Com_AllFuels_SEDS_2022_TBtus!$S$3:$S$53,match($B34&amp;K$2,Com_AllFuels_SEDS_2022_TBtus!$B$3:$B$53&amp;Com_AllFuels_SEDS_2022_TBtus!$A$3:$A$53,0))))</f>
        <v>0.6</v>
      </c>
      <c r="L47" s="74">
        <f t="array" ref="L47">IF(ISERROR(index(Com_AllFuels_SEDS_2022_TBtus!$S$3:$S$53,match($B34&amp;L$2,Com_AllFuels_SEDS_2022_TBtus!$B$3:$B$53&amp;Com_AllFuels_SEDS_2022_TBtus!$A$3:$A$53,0))),0,(index(Com_AllFuels_SEDS_2022_TBtus!$S$3:$S$53,match($B34&amp;L$2,Com_AllFuels_SEDS_2022_TBtus!$B$3:$B$53&amp;Com_AllFuels_SEDS_2022_TBtus!$A$3:$A$53,0))))</f>
        <v>10.6</v>
      </c>
      <c r="M47" s="74">
        <f t="array" ref="M47">IF(ISERROR(index(Com_AllFuels_SEDS_2022_TBtus!$S$3:$S$53,match($B34&amp;M$2,Com_AllFuels_SEDS_2022_TBtus!$B$3:$B$53&amp;Com_AllFuels_SEDS_2022_TBtus!$A$3:$A$53,0))),0,(index(Com_AllFuels_SEDS_2022_TBtus!$S$3:$S$53,match($B34&amp;M$2,Com_AllFuels_SEDS_2022_TBtus!$B$3:$B$53&amp;Com_AllFuels_SEDS_2022_TBtus!$A$3:$A$53,0))))</f>
        <v>7.5</v>
      </c>
      <c r="N47" s="74">
        <f t="array" ref="N47">IF(ISERROR(index(Com_AllFuels_SEDS_2022_TBtus!$S$3:$S$53,match($B34&amp;N$2,Com_AllFuels_SEDS_2022_TBtus!$B$3:$B$53&amp;Com_AllFuels_SEDS_2022_TBtus!$A$3:$A$53,0))),0,(index(Com_AllFuels_SEDS_2022_TBtus!$S$3:$S$53,match($B34&amp;N$2,Com_AllFuels_SEDS_2022_TBtus!$B$3:$B$53&amp;Com_AllFuels_SEDS_2022_TBtus!$A$3:$A$53,0))))</f>
        <v>0</v>
      </c>
      <c r="O47" s="74">
        <f t="array" ref="O47">IF(ISERROR(index(Com_AllFuels_SEDS_2022_TBtus!$S$3:$S$53,match($B34&amp;O$2,Com_AllFuels_SEDS_2022_TBtus!$B$3:$B$53&amp;Com_AllFuels_SEDS_2022_TBtus!$A$3:$A$53,0))),0,(index(Com_AllFuels_SEDS_2022_TBtus!$S$3:$S$53,match($B34&amp;O$2,Com_AllFuels_SEDS_2022_TBtus!$B$3:$B$53&amp;Com_AllFuels_SEDS_2022_TBtus!$A$3:$A$53,0))))</f>
        <v>0</v>
      </c>
      <c r="P47" s="74">
        <f t="array" ref="P47">IF(ISERROR(index(Com_AllFuels_SEDS_2022_TBtus!$S$3:$S$53,match($B34&amp;P$2,Com_AllFuels_SEDS_2022_TBtus!$B$3:$B$53&amp;Com_AllFuels_SEDS_2022_TBtus!$A$3:$A$53,0))),0,(index(Com_AllFuels_SEDS_2022_TBtus!$S$3:$S$53,match($B34&amp;P$2,Com_AllFuels_SEDS_2022_TBtus!$B$3:$B$53&amp;Com_AllFuels_SEDS_2022_TBtus!$A$3:$A$53,0))))</f>
        <v>0</v>
      </c>
      <c r="Q47" s="74">
        <f t="array" ref="Q47">IF(ISERROR(index(Com_AllFuels_SEDS_2022_TBtus!$S$3:$S$53,match($B34&amp;Q$2,Com_AllFuels_SEDS_2022_TBtus!$B$3:$B$53&amp;Com_AllFuels_SEDS_2022_TBtus!$A$3:$A$53,0))),0,(index(Com_AllFuels_SEDS_2022_TBtus!$S$3:$S$53,match($B34&amp;Q$2,Com_AllFuels_SEDS_2022_TBtus!$B$3:$B$53&amp;Com_AllFuels_SEDS_2022_TBtus!$A$3:$A$53,0))))</f>
        <v>0</v>
      </c>
      <c r="R47" s="74">
        <f t="array" ref="R47">IF(ISERROR(index(Com_AllFuels_SEDS_2022_TBtus!$S$3:$S$53,match($B34&amp;R$2,Com_AllFuels_SEDS_2022_TBtus!$B$3:$B$53&amp;Com_AllFuels_SEDS_2022_TBtus!$A$3:$A$53,0))),0,(index(Com_AllFuels_SEDS_2022_TBtus!$S$3:$S$53,match($B34&amp;R$2,Com_AllFuels_SEDS_2022_TBtus!$B$3:$B$53&amp;Com_AllFuels_SEDS_2022_TBtus!$A$3:$A$53,0))))</f>
        <v>0</v>
      </c>
      <c r="S47" s="74">
        <f t="array" ref="S47">IF(ISERROR(index(Com_AllFuels_SEDS_2022_TBtus!$S$3:$S$53,match($B34&amp;S$2,Com_AllFuels_SEDS_2022_TBtus!$B$3:$B$53&amp;Com_AllFuels_SEDS_2022_TBtus!$A$3:$A$53,0))),0,(index(Com_AllFuels_SEDS_2022_TBtus!$S$3:$S$53,match($B34&amp;S$2,Com_AllFuels_SEDS_2022_TBtus!$B$3:$B$53&amp;Com_AllFuels_SEDS_2022_TBtus!$A$3:$A$53,0))))</f>
        <v>0</v>
      </c>
      <c r="T47" s="74">
        <f t="array" ref="T47">IF(ISERROR(index(Com_AllFuels_SEDS_2022_TBtus!$S$3:$S$53,match($B34&amp;T$2,Com_AllFuels_SEDS_2022_TBtus!$B$3:$B$53&amp;Com_AllFuels_SEDS_2022_TBtus!$A$3:$A$53,0))),0,(index(Com_AllFuels_SEDS_2022_TBtus!$S$3:$S$53,match($B34&amp;T$2,Com_AllFuels_SEDS_2022_TBtus!$B$3:$B$53&amp;Com_AllFuels_SEDS_2022_TBtus!$A$3:$A$53,0))))</f>
        <v>0</v>
      </c>
      <c r="U47" s="74">
        <f t="array" ref="U47">IF(ISERROR(index(Com_AllFuels_SEDS_2022_TBtus!$S$3:$S$53,match($B34&amp;U$2,Com_AllFuels_SEDS_2022_TBtus!$B$3:$B$53&amp;Com_AllFuels_SEDS_2022_TBtus!$A$3:$A$53,0))),0,(index(Com_AllFuels_SEDS_2022_TBtus!$S$3:$S$53,match($B34&amp;U$2,Com_AllFuels_SEDS_2022_TBtus!$B$3:$B$53&amp;Com_AllFuels_SEDS_2022_TBtus!$A$3:$A$53,0))))</f>
        <v>0</v>
      </c>
      <c r="V47" s="74">
        <f t="array" ref="V47">IF(ISERROR(index(Com_AllFuels_SEDS_2022_TBtus!$S$3:$S$53,match($B34&amp;V$2,Com_AllFuels_SEDS_2022_TBtus!$B$3:$B$53&amp;Com_AllFuels_SEDS_2022_TBtus!$A$3:$A$53,0))),0,(index(Com_AllFuels_SEDS_2022_TBtus!$S$3:$S$53,match($B34&amp;V$2,Com_AllFuels_SEDS_2022_TBtus!$B$3:$B$53&amp;Com_AllFuels_SEDS_2022_TBtus!$A$3:$A$53,0))))</f>
        <v>0</v>
      </c>
      <c r="W47" s="74">
        <f t="array" ref="W47">IF(ISERROR(index(Com_AllFuels_SEDS_2022_TBtus!$S$3:$S$53,match($B34&amp;W$2,Com_AllFuels_SEDS_2022_TBtus!$B$3:$B$53&amp;Com_AllFuels_SEDS_2022_TBtus!$A$3:$A$53,0))),0,(index(Com_AllFuels_SEDS_2022_TBtus!$S$3:$S$53,match($B34&amp;W$2,Com_AllFuels_SEDS_2022_TBtus!$B$3:$B$53&amp;Com_AllFuels_SEDS_2022_TBtus!$A$3:$A$53,0))))</f>
        <v>7.5</v>
      </c>
      <c r="X47" s="74">
        <f t="array" ref="X47">IF(ISERROR(index(Com_AllFuels_SEDS_2022_TBtus!$S$3:$S$53,match($B34&amp;X$2,Com_AllFuels_SEDS_2022_TBtus!$B$3:$B$53&amp;Com_AllFuels_SEDS_2022_TBtus!$A$3:$A$53,0))),0,(index(Com_AllFuels_SEDS_2022_TBtus!$S$3:$S$53,match($B34&amp;X$2,Com_AllFuels_SEDS_2022_TBtus!$B$3:$B$53&amp;Com_AllFuels_SEDS_2022_TBtus!$A$3:$A$53,0))))</f>
        <v>0</v>
      </c>
      <c r="Y47" s="74">
        <f t="array" ref="Y47">IF(ISERROR(index(Com_AllFuels_SEDS_2022_TBtus!$S$3:$S$53,match($B34&amp;Y$2,Com_AllFuels_SEDS_2022_TBtus!$B$3:$B$53&amp;Com_AllFuels_SEDS_2022_TBtus!$A$3:$A$53,0))),0,(index(Com_AllFuels_SEDS_2022_TBtus!$S$3:$S$53,match($B34&amp;Y$2,Com_AllFuels_SEDS_2022_TBtus!$B$3:$B$53&amp;Com_AllFuels_SEDS_2022_TBtus!$A$3:$A$53,0))))</f>
        <v>0</v>
      </c>
      <c r="Z47" s="74">
        <f t="array" ref="Z47">IF(ISERROR(index(Com_AllFuels_SEDS_2022_TBtus!$S$3:$S$53,match($B34&amp;Z$2,Com_AllFuels_SEDS_2022_TBtus!$B$3:$B$53&amp;Com_AllFuels_SEDS_2022_TBtus!$A$3:$A$53,0))),0,(index(Com_AllFuels_SEDS_2022_TBtus!$S$3:$S$53,match($B34&amp;Z$2,Com_AllFuels_SEDS_2022_TBtus!$B$3:$B$53&amp;Com_AllFuels_SEDS_2022_TBtus!$A$3:$A$53,0))))</f>
        <v>0</v>
      </c>
      <c r="AA47" s="74">
        <f t="array" ref="AA47">IF(ISERROR(index(Com_AllFuels_SEDS_2022_TBtus!$S$3:$S$53,match($B34&amp;AA$2,Com_AllFuels_SEDS_2022_TBtus!$B$3:$B$53&amp;Com_AllFuels_SEDS_2022_TBtus!$A$3:$A$53,0))),0,(index(Com_AllFuels_SEDS_2022_TBtus!$S$3:$S$53,match($B34&amp;AA$2,Com_AllFuels_SEDS_2022_TBtus!$B$3:$B$53&amp;Com_AllFuels_SEDS_2022_TBtus!$A$3:$A$53,0))))</f>
        <v>0</v>
      </c>
      <c r="AB47" s="74">
        <f t="array" ref="AB47">IF(ISERROR(index(Com_AllFuels_SEDS_2022_TBtus!$S$3:$S$53,match($B34&amp;AB$2,Com_AllFuels_SEDS_2022_TBtus!$B$3:$B$53&amp;Com_AllFuels_SEDS_2022_TBtus!$A$3:$A$53,0))),0,(index(Com_AllFuels_SEDS_2022_TBtus!$S$3:$S$53,match($B34&amp;AB$2,Com_AllFuels_SEDS_2022_TBtus!$B$3:$B$53&amp;Com_AllFuels_SEDS_2022_TBtus!$A$3:$A$53,0))))</f>
        <v>0</v>
      </c>
      <c r="AC47" s="74">
        <f t="array" ref="AC47">IF(ISERROR(index(Com_AllFuels_SEDS_2022_TBtus!$S$3:$S$53,match($B34&amp;AC$2,Com_AllFuels_SEDS_2022_TBtus!$B$3:$B$53&amp;Com_AllFuels_SEDS_2022_TBtus!$A$3:$A$53,0))),0,(index(Com_AllFuels_SEDS_2022_TBtus!$S$3:$S$53,match($B34&amp;AC$2,Com_AllFuels_SEDS_2022_TBtus!$B$3:$B$53&amp;Com_AllFuels_SEDS_2022_TBtus!$A$3:$A$53,0))))</f>
        <v>0</v>
      </c>
      <c r="AD47" s="74">
        <f t="array" ref="AD47">IF(ISERROR(index(Com_AllFuels_SEDS_2022_TBtus!$S$3:$S$53,match($B34&amp;AD$2,Com_AllFuels_SEDS_2022_TBtus!$B$3:$B$53&amp;Com_AllFuels_SEDS_2022_TBtus!$A$3:$A$53,0))),0,(index(Com_AllFuels_SEDS_2022_TBtus!$S$3:$S$53,match($B34&amp;AD$2,Com_AllFuels_SEDS_2022_TBtus!$B$3:$B$53&amp;Com_AllFuels_SEDS_2022_TBtus!$A$3:$A$53,0))))</f>
        <v>0</v>
      </c>
      <c r="AE47" s="74">
        <f t="array" ref="AE47">IF(ISERROR(index(Com_AllFuels_SEDS_2022_TBtus!$S$3:$S$53,match($B34&amp;AE$2,Com_AllFuels_SEDS_2022_TBtus!$B$3:$B$53&amp;Com_AllFuels_SEDS_2022_TBtus!$A$3:$A$53,0))),0,(index(Com_AllFuels_SEDS_2022_TBtus!$S$3:$S$53,match($B34&amp;AE$2,Com_AllFuels_SEDS_2022_TBtus!$B$3:$B$53&amp;Com_AllFuels_SEDS_2022_TBtus!$A$3:$A$53,0))))</f>
        <v>0</v>
      </c>
      <c r="AF47" s="74">
        <f t="array" ref="AF47">IF(ISERROR(index(Com_AllFuels_SEDS_2022_TBtus!$S$3:$S$53,match($B34&amp;AF$2,Com_AllFuels_SEDS_2022_TBtus!$B$3:$B$53&amp;Com_AllFuels_SEDS_2022_TBtus!$A$3:$A$53,0))),0,(index(Com_AllFuels_SEDS_2022_TBtus!$S$3:$S$53,match($B34&amp;AF$2,Com_AllFuels_SEDS_2022_TBtus!$B$3:$B$53&amp;Com_AllFuels_SEDS_2022_TBtus!$A$3:$A$53,0))))</f>
        <v>0</v>
      </c>
      <c r="AG47" s="74">
        <f t="array" ref="AG47">IF(ISERROR(index(Com_AllFuels_SEDS_2022_TBtus!$S$3:$S$53,match($B34&amp;AG$2,Com_AllFuels_SEDS_2022_TBtus!$B$3:$B$53&amp;Com_AllFuels_SEDS_2022_TBtus!$A$3:$A$53,0))),0,(index(Com_AllFuels_SEDS_2022_TBtus!$S$3:$S$53,match($B34&amp;AG$2,Com_AllFuels_SEDS_2022_TBtus!$B$3:$B$53&amp;Com_AllFuels_SEDS_2022_TBtus!$A$3:$A$53,0))))</f>
        <v>0</v>
      </c>
      <c r="AH47" s="74">
        <f t="array" ref="AH47">IF(ISERROR(index(Com_AllFuels_SEDS_2022_TBtus!$S$3:$S$53,match($B34&amp;AH$2,Com_AllFuels_SEDS_2022_TBtus!$B$3:$B$53&amp;Com_AllFuels_SEDS_2022_TBtus!$A$3:$A$53,0))),0,(index(Com_AllFuels_SEDS_2022_TBtus!$S$3:$S$53,match($B34&amp;AH$2,Com_AllFuels_SEDS_2022_TBtus!$B$3:$B$53&amp;Com_AllFuels_SEDS_2022_TBtus!$A$3:$A$53,0))))</f>
        <v>0</v>
      </c>
      <c r="AI47" s="74">
        <f t="array" ref="AI47">IF(ISERROR(index(Com_AllFuels_SEDS_2022_TBtus!$S$3:$S$53,match($B34&amp;AI$2,Com_AllFuels_SEDS_2022_TBtus!$B$3:$B$53&amp;Com_AllFuels_SEDS_2022_TBtus!$A$3:$A$53,0))),0,(index(Com_AllFuels_SEDS_2022_TBtus!$S$3:$S$53,match($B34&amp;AI$2,Com_AllFuels_SEDS_2022_TBtus!$B$3:$B$53&amp;Com_AllFuels_SEDS_2022_TBtus!$A$3:$A$53,0))))</f>
        <v>0</v>
      </c>
      <c r="AJ47" s="74">
        <f t="array" ref="AJ47">IF(ISERROR(index(Com_AllFuels_SEDS_2022_TBtus!$S$3:$S$53,match($B34&amp;AJ$2,Com_AllFuels_SEDS_2022_TBtus!$B$3:$B$53&amp;Com_AllFuels_SEDS_2022_TBtus!$A$3:$A$53,0))),0,(index(Com_AllFuels_SEDS_2022_TBtus!$S$3:$S$53,match($B34&amp;AJ$2,Com_AllFuels_SEDS_2022_TBtus!$B$3:$B$53&amp;Com_AllFuels_SEDS_2022_TBtus!$A$3:$A$53,0))))</f>
        <v>7.1</v>
      </c>
      <c r="AK47" s="74">
        <f t="array" ref="AK47">IF(ISERROR(index(Com_AllFuels_SEDS_2022_TBtus!$S$3:$S$53,match($B34&amp;AK$2,Com_AllFuels_SEDS_2022_TBtus!$B$3:$B$53&amp;Com_AllFuels_SEDS_2022_TBtus!$A$3:$A$53,0))),0,(index(Com_AllFuels_SEDS_2022_TBtus!$S$3:$S$53,match($B34&amp;AK$2,Com_AllFuels_SEDS_2022_TBtus!$B$3:$B$53&amp;Com_AllFuels_SEDS_2022_TBtus!$A$3:$A$53,0))))</f>
        <v>0</v>
      </c>
      <c r="AL47" s="74">
        <f t="array" ref="AL47">IF(ISERROR(index(Com_AllFuels_SEDS_2022_TBtus!$S$3:$S$53,match($B34&amp;AL$2,Com_AllFuels_SEDS_2022_TBtus!$B$3:$B$53&amp;Com_AllFuels_SEDS_2022_TBtus!$A$3:$A$53,0))),0,(index(Com_AllFuels_SEDS_2022_TBtus!$S$3:$S$53,match($B34&amp;AL$2,Com_AllFuels_SEDS_2022_TBtus!$B$3:$B$53&amp;Com_AllFuels_SEDS_2022_TBtus!$A$3:$A$53,0))))</f>
        <v>0</v>
      </c>
      <c r="AM47" s="74">
        <f t="array" ref="AM47">IF(ISERROR(index(Com_AllFuels_SEDS_2022_TBtus!$S$3:$S$53,match($B34&amp;AM$2,Com_AllFuels_SEDS_2022_TBtus!$B$3:$B$53&amp;Com_AllFuels_SEDS_2022_TBtus!$A$3:$A$53,0))),0,(index(Com_AllFuels_SEDS_2022_TBtus!$S$3:$S$53,match($B34&amp;AM$2,Com_AllFuels_SEDS_2022_TBtus!$B$3:$B$53&amp;Com_AllFuels_SEDS_2022_TBtus!$A$3:$A$53,0))))</f>
        <v>0</v>
      </c>
      <c r="AN47" s="74">
        <f t="array" ref="AN47">IF(ISERROR(index(Com_AllFuels_SEDS_2022_TBtus!$S$3:$S$53,match($B34&amp;AN$2,Com_AllFuels_SEDS_2022_TBtus!$B$3:$B$53&amp;Com_AllFuels_SEDS_2022_TBtus!$A$3:$A$53,0))),0,(index(Com_AllFuels_SEDS_2022_TBtus!$S$3:$S$53,match($B34&amp;AN$2,Com_AllFuels_SEDS_2022_TBtus!$B$3:$B$53&amp;Com_AllFuels_SEDS_2022_TBtus!$A$3:$A$53,0))))</f>
        <v>0</v>
      </c>
      <c r="AO47" s="74">
        <f t="array" ref="AO47">IF(ISERROR(index(Com_AllFuels_SEDS_2022_TBtus!$S$3:$S$53,match($B34&amp;AO$2,Com_AllFuels_SEDS_2022_TBtus!$B$3:$B$53&amp;Com_AllFuels_SEDS_2022_TBtus!$A$3:$A$53,0))),0,(index(Com_AllFuels_SEDS_2022_TBtus!$S$3:$S$53,match($B34&amp;AO$2,Com_AllFuels_SEDS_2022_TBtus!$B$3:$B$53&amp;Com_AllFuels_SEDS_2022_TBtus!$A$3:$A$53,0))))</f>
        <v>0</v>
      </c>
      <c r="AP47" s="74">
        <f t="array" ref="AP47">IF(ISERROR(index(Com_AllFuels_SEDS_2022_TBtus!$S$3:$S$53,match($B34&amp;AP$2,Com_AllFuels_SEDS_2022_TBtus!$B$3:$B$53&amp;Com_AllFuels_SEDS_2022_TBtus!$A$3:$A$53,0))),0,(index(Com_AllFuels_SEDS_2022_TBtus!$S$3:$S$53,match($B34&amp;AP$2,Com_AllFuels_SEDS_2022_TBtus!$B$3:$B$53&amp;Com_AllFuels_SEDS_2022_TBtus!$A$3:$A$53,0))))</f>
        <v>0</v>
      </c>
      <c r="AQ47" s="74">
        <f t="array" ref="AQ47">IF(ISERROR(index(Com_AllFuels_SEDS_2022_TBtus!$S$3:$S$53,match($B34&amp;AQ$2,Com_AllFuels_SEDS_2022_TBtus!$B$3:$B$53&amp;Com_AllFuels_SEDS_2022_TBtus!$A$3:$A$53,0))),0,(index(Com_AllFuels_SEDS_2022_TBtus!$S$3:$S$53,match($B34&amp;AQ$2,Com_AllFuels_SEDS_2022_TBtus!$B$3:$B$53&amp;Com_AllFuels_SEDS_2022_TBtus!$A$3:$A$53,0))))</f>
        <v>3</v>
      </c>
      <c r="AR47" s="74">
        <f t="array" ref="AR47">IF(ISERROR(index(Com_AllFuels_SEDS_2022_TBtus!$S$3:$S$53,match($B34&amp;AR$2,Com_AllFuels_SEDS_2022_TBtus!$B$3:$B$53&amp;Com_AllFuels_SEDS_2022_TBtus!$A$3:$A$53,0))),0,(index(Com_AllFuels_SEDS_2022_TBtus!$S$3:$S$53,match($B34&amp;AR$2,Com_AllFuels_SEDS_2022_TBtus!$B$3:$B$53&amp;Com_AllFuels_SEDS_2022_TBtus!$A$3:$A$53,0))))</f>
        <v>0</v>
      </c>
      <c r="AS47" s="74">
        <f t="array" ref="AS47">IF(ISERROR(index(Com_AllFuels_SEDS_2022_TBtus!$S$3:$S$53,match($B34&amp;AS$2,Com_AllFuels_SEDS_2022_TBtus!$B$3:$B$53&amp;Com_AllFuels_SEDS_2022_TBtus!$A$3:$A$53,0))),0,(index(Com_AllFuels_SEDS_2022_TBtus!$S$3:$S$53,match($B34&amp;AS$2,Com_AllFuels_SEDS_2022_TBtus!$B$3:$B$53&amp;Com_AllFuels_SEDS_2022_TBtus!$A$3:$A$53,0))))</f>
        <v>0</v>
      </c>
      <c r="AT47" s="74">
        <f t="array" ref="AT47">IF(ISERROR(index(Com_AllFuels_SEDS_2022_TBtus!$S$3:$S$53,match($B34&amp;AT$2,Com_AllFuels_SEDS_2022_TBtus!$B$3:$B$53&amp;Com_AllFuels_SEDS_2022_TBtus!$A$3:$A$53,0))),0,(index(Com_AllFuels_SEDS_2022_TBtus!$S$3:$S$53,match($B34&amp;AT$2,Com_AllFuels_SEDS_2022_TBtus!$B$3:$B$53&amp;Com_AllFuels_SEDS_2022_TBtus!$A$3:$A$53,0))))</f>
        <v>0</v>
      </c>
      <c r="AU47" s="74">
        <f t="array" ref="AU47">IF(ISERROR(index(Com_AllFuels_SEDS_2022_TBtus!$S$3:$S$53,match($B34&amp;AU$2,Com_AllFuels_SEDS_2022_TBtus!$B$3:$B$53&amp;Com_AllFuels_SEDS_2022_TBtus!$A$3:$A$53,0))),0,(index(Com_AllFuels_SEDS_2022_TBtus!$S$3:$S$53,match($B34&amp;AU$2,Com_AllFuels_SEDS_2022_TBtus!$B$3:$B$53&amp;Com_AllFuels_SEDS_2022_TBtus!$A$3:$A$53,0))))</f>
        <v>0</v>
      </c>
      <c r="AV47" s="74">
        <f t="array" ref="AV47">IF(ISERROR(index(Com_AllFuels_SEDS_2022_TBtus!$S$3:$S$53,match($B34&amp;AV$2,Com_AllFuels_SEDS_2022_TBtus!$B$3:$B$53&amp;Com_AllFuels_SEDS_2022_TBtus!$A$3:$A$53,0))),0,(index(Com_AllFuels_SEDS_2022_TBtus!$S$3:$S$53,match($B34&amp;AV$2,Com_AllFuels_SEDS_2022_TBtus!$B$3:$B$53&amp;Com_AllFuels_SEDS_2022_TBtus!$A$3:$A$53,0))))</f>
        <v>0</v>
      </c>
      <c r="AW47" s="74">
        <f t="array" ref="AW47">IF(ISERROR(index(Com_AllFuels_SEDS_2022_TBtus!$S$3:$S$53,match($B34&amp;AW$2,Com_AllFuels_SEDS_2022_TBtus!$B$3:$B$53&amp;Com_AllFuels_SEDS_2022_TBtus!$A$3:$A$53,0))),0,(index(Com_AllFuels_SEDS_2022_TBtus!$S$3:$S$53,match($B34&amp;AW$2,Com_AllFuels_SEDS_2022_TBtus!$B$3:$B$53&amp;Com_AllFuels_SEDS_2022_TBtus!$A$3:$A$53,0))))</f>
        <v>8.7</v>
      </c>
      <c r="AX47" s="74">
        <f t="array" ref="AX47">IF(ISERROR(index(Com_AllFuels_SEDS_2022_TBtus!$S$3:$S$53,match($B34&amp;AX$2,Com_AllFuels_SEDS_2022_TBtus!$B$3:$B$53&amp;Com_AllFuels_SEDS_2022_TBtus!$A$3:$A$53,0))),0,(index(Com_AllFuels_SEDS_2022_TBtus!$S$3:$S$53,match($B34&amp;AX$2,Com_AllFuels_SEDS_2022_TBtus!$B$3:$B$53&amp;Com_AllFuels_SEDS_2022_TBtus!$A$3:$A$53,0))))</f>
        <v>0</v>
      </c>
      <c r="AY47" s="74">
        <f t="array" ref="AY47">IF(ISERROR(index(Com_AllFuels_SEDS_2022_TBtus!$S$3:$S$53,match($B34&amp;AY$2,Com_AllFuels_SEDS_2022_TBtus!$B$3:$B$53&amp;Com_AllFuels_SEDS_2022_TBtus!$A$3:$A$53,0))),0,(index(Com_AllFuels_SEDS_2022_TBtus!$S$3:$S$53,match($B34&amp;AY$2,Com_AllFuels_SEDS_2022_TBtus!$B$3:$B$53&amp;Com_AllFuels_SEDS_2022_TBtus!$A$3:$A$53,0))))</f>
        <v>2.3</v>
      </c>
      <c r="AZ47" s="74">
        <f t="array" ref="AZ47">IF(ISERROR(index(Com_AllFuels_SEDS_2022_TBtus!$S$3:$S$53,match($B34&amp;AZ$2,Com_AllFuels_SEDS_2022_TBtus!$B$3:$B$53&amp;Com_AllFuels_SEDS_2022_TBtus!$A$3:$A$53,0))),0,(index(Com_AllFuels_SEDS_2022_TBtus!$S$3:$S$53,match($B34&amp;AZ$2,Com_AllFuels_SEDS_2022_TBtus!$B$3:$B$53&amp;Com_AllFuels_SEDS_2022_TBtus!$A$3:$A$53,0))))</f>
        <v>0</v>
      </c>
      <c r="BA47" s="74">
        <f t="array" ref="BA47">IF(ISERROR(index(Com_AllFuels_SEDS_2022_TBtus!$S$3:$S$53,match($B34&amp;BA$2,Com_AllFuels_SEDS_2022_TBtus!$B$3:$B$53&amp;Com_AllFuels_SEDS_2022_TBtus!$A$3:$A$53,0))),0,(index(Com_AllFuels_SEDS_2022_TBtus!$S$3:$S$53,match($B34&amp;BA$2,Com_AllFuels_SEDS_2022_TBtus!$B$3:$B$53&amp;Com_AllFuels_SEDS_2022_TBtus!$A$3:$A$53,0))))</f>
        <v>0</v>
      </c>
      <c r="BB47" s="74">
        <f t="shared" si="7"/>
        <v>48.5</v>
      </c>
    </row>
    <row r="48" ht="15.75" customHeight="1">
      <c r="A48" s="78"/>
      <c r="B48" s="74">
        <v>6.0</v>
      </c>
      <c r="C48" s="74">
        <f t="array" ref="C48">IF(ISERROR(index(Com_AllFuels_SEDS_2022_TBtus!$S$3:$S$53,match($B35&amp;C$2,Com_AllFuels_SEDS_2022_TBtus!$B$3:$B$53&amp;Com_AllFuels_SEDS_2022_TBtus!$A$3:$A$53,0))),0,(index(Com_AllFuels_SEDS_2022_TBtus!$S$3:$S$53,match($B35&amp;C$2,Com_AllFuels_SEDS_2022_TBtus!$B$3:$B$53&amp;Com_AllFuels_SEDS_2022_TBtus!$A$3:$A$53,0))))</f>
        <v>4.8</v>
      </c>
      <c r="D48" s="74">
        <f t="array" ref="D48">IF(ISERROR(index(Com_AllFuels_SEDS_2022_TBtus!$S$3:$S$53,match($B35&amp;D$2,Com_AllFuels_SEDS_2022_TBtus!$B$3:$B$53&amp;Com_AllFuels_SEDS_2022_TBtus!$A$3:$A$53,0))),0,(index(Com_AllFuels_SEDS_2022_TBtus!$S$3:$S$53,match($B35&amp;D$2,Com_AllFuels_SEDS_2022_TBtus!$B$3:$B$53&amp;Com_AllFuels_SEDS_2022_TBtus!$A$3:$A$53,0))))</f>
        <v>0</v>
      </c>
      <c r="E48" s="74">
        <f t="array" ref="E48">IF(ISERROR(index(Com_AllFuels_SEDS_2022_TBtus!$S$3:$S$53,match($B35&amp;E$2,Com_AllFuels_SEDS_2022_TBtus!$B$3:$B$53&amp;Com_AllFuels_SEDS_2022_TBtus!$A$3:$A$53,0))),0,(index(Com_AllFuels_SEDS_2022_TBtus!$S$3:$S$53,match($B35&amp;E$2,Com_AllFuels_SEDS_2022_TBtus!$B$3:$B$53&amp;Com_AllFuels_SEDS_2022_TBtus!$A$3:$A$53,0))))</f>
        <v>0</v>
      </c>
      <c r="F48" s="74">
        <f t="array" ref="F48">IF(ISERROR(index(Com_AllFuels_SEDS_2022_TBtus!$S$3:$S$53,match($B35&amp;F$2,Com_AllFuels_SEDS_2022_TBtus!$B$3:$B$53&amp;Com_AllFuels_SEDS_2022_TBtus!$A$3:$A$53,0))),0,(index(Com_AllFuels_SEDS_2022_TBtus!$S$3:$S$53,match($B35&amp;F$2,Com_AllFuels_SEDS_2022_TBtus!$B$3:$B$53&amp;Com_AllFuels_SEDS_2022_TBtus!$A$3:$A$53,0))))</f>
        <v>0</v>
      </c>
      <c r="G48" s="74">
        <f t="array" ref="G48">IF(ISERROR(index(Com_AllFuels_SEDS_2022_TBtus!$S$3:$S$53,match($B35&amp;G$2,Com_AllFuels_SEDS_2022_TBtus!$B$3:$B$53&amp;Com_AllFuels_SEDS_2022_TBtus!$A$3:$A$53,0))),0,(index(Com_AllFuels_SEDS_2022_TBtus!$S$3:$S$53,match($B35&amp;G$2,Com_AllFuels_SEDS_2022_TBtus!$B$3:$B$53&amp;Com_AllFuels_SEDS_2022_TBtus!$A$3:$A$53,0))))</f>
        <v>0</v>
      </c>
      <c r="H48" s="74">
        <f t="array" ref="H48">IF(ISERROR(index(Com_AllFuels_SEDS_2022_TBtus!$S$3:$S$53,match($B35&amp;H$2,Com_AllFuels_SEDS_2022_TBtus!$B$3:$B$53&amp;Com_AllFuels_SEDS_2022_TBtus!$A$3:$A$53,0))),0,(index(Com_AllFuels_SEDS_2022_TBtus!$S$3:$S$53,match($B35&amp;H$2,Com_AllFuels_SEDS_2022_TBtus!$B$3:$B$53&amp;Com_AllFuels_SEDS_2022_TBtus!$A$3:$A$53,0))))</f>
        <v>0</v>
      </c>
      <c r="I48" s="74">
        <f t="array" ref="I48">IF(ISERROR(index(Com_AllFuels_SEDS_2022_TBtus!$S$3:$S$53,match($B35&amp;I$2,Com_AllFuels_SEDS_2022_TBtus!$B$3:$B$53&amp;Com_AllFuels_SEDS_2022_TBtus!$A$3:$A$53,0))),0,(index(Com_AllFuels_SEDS_2022_TBtus!$S$3:$S$53,match($B35&amp;I$2,Com_AllFuels_SEDS_2022_TBtus!$B$3:$B$53&amp;Com_AllFuels_SEDS_2022_TBtus!$A$3:$A$53,0))))</f>
        <v>0</v>
      </c>
      <c r="J48" s="74">
        <f t="array" ref="J48">IF(ISERROR(index(Com_AllFuels_SEDS_2022_TBtus!$S$3:$S$53,match($B35&amp;J$2,Com_AllFuels_SEDS_2022_TBtus!$B$3:$B$53&amp;Com_AllFuels_SEDS_2022_TBtus!$A$3:$A$53,0))),0,(index(Com_AllFuels_SEDS_2022_TBtus!$S$3:$S$53,match($B35&amp;J$2,Com_AllFuels_SEDS_2022_TBtus!$B$3:$B$53&amp;Com_AllFuels_SEDS_2022_TBtus!$A$3:$A$53,0))))</f>
        <v>0</v>
      </c>
      <c r="K48" s="74">
        <f t="array" ref="K48">IF(ISERROR(index(Com_AllFuels_SEDS_2022_TBtus!$S$3:$S$53,match($B35&amp;K$2,Com_AllFuels_SEDS_2022_TBtus!$B$3:$B$53&amp;Com_AllFuels_SEDS_2022_TBtus!$A$3:$A$53,0))),0,(index(Com_AllFuels_SEDS_2022_TBtus!$S$3:$S$53,match($B35&amp;K$2,Com_AllFuels_SEDS_2022_TBtus!$B$3:$B$53&amp;Com_AllFuels_SEDS_2022_TBtus!$A$3:$A$53,0))))</f>
        <v>0</v>
      </c>
      <c r="L48" s="74">
        <f t="array" ref="L48">IF(ISERROR(index(Com_AllFuels_SEDS_2022_TBtus!$S$3:$S$53,match($B35&amp;L$2,Com_AllFuels_SEDS_2022_TBtus!$B$3:$B$53&amp;Com_AllFuels_SEDS_2022_TBtus!$A$3:$A$53,0))),0,(index(Com_AllFuels_SEDS_2022_TBtus!$S$3:$S$53,match($B35&amp;L$2,Com_AllFuels_SEDS_2022_TBtus!$B$3:$B$53&amp;Com_AllFuels_SEDS_2022_TBtus!$A$3:$A$53,0))))</f>
        <v>0</v>
      </c>
      <c r="M48" s="74">
        <f t="array" ref="M48">IF(ISERROR(index(Com_AllFuels_SEDS_2022_TBtus!$S$3:$S$53,match($B35&amp;M$2,Com_AllFuels_SEDS_2022_TBtus!$B$3:$B$53&amp;Com_AllFuels_SEDS_2022_TBtus!$A$3:$A$53,0))),0,(index(Com_AllFuels_SEDS_2022_TBtus!$S$3:$S$53,match($B35&amp;M$2,Com_AllFuels_SEDS_2022_TBtus!$B$3:$B$53&amp;Com_AllFuels_SEDS_2022_TBtus!$A$3:$A$53,0))))</f>
        <v>0</v>
      </c>
      <c r="N48" s="74">
        <f t="array" ref="N48">IF(ISERROR(index(Com_AllFuels_SEDS_2022_TBtus!$S$3:$S$53,match($B35&amp;N$2,Com_AllFuels_SEDS_2022_TBtus!$B$3:$B$53&amp;Com_AllFuels_SEDS_2022_TBtus!$A$3:$A$53,0))),0,(index(Com_AllFuels_SEDS_2022_TBtus!$S$3:$S$53,match($B35&amp;N$2,Com_AllFuels_SEDS_2022_TBtus!$B$3:$B$53&amp;Com_AllFuels_SEDS_2022_TBtus!$A$3:$A$53,0))))</f>
        <v>0</v>
      </c>
      <c r="O48" s="74">
        <f t="array" ref="O48">IF(ISERROR(index(Com_AllFuels_SEDS_2022_TBtus!$S$3:$S$53,match($B35&amp;O$2,Com_AllFuels_SEDS_2022_TBtus!$B$3:$B$53&amp;Com_AllFuels_SEDS_2022_TBtus!$A$3:$A$53,0))),0,(index(Com_AllFuels_SEDS_2022_TBtus!$S$3:$S$53,match($B35&amp;O$2,Com_AllFuels_SEDS_2022_TBtus!$B$3:$B$53&amp;Com_AllFuels_SEDS_2022_TBtus!$A$3:$A$53,0))))</f>
        <v>0</v>
      </c>
      <c r="P48" s="74">
        <f t="array" ref="P48">IF(ISERROR(index(Com_AllFuels_SEDS_2022_TBtus!$S$3:$S$53,match($B35&amp;P$2,Com_AllFuels_SEDS_2022_TBtus!$B$3:$B$53&amp;Com_AllFuels_SEDS_2022_TBtus!$A$3:$A$53,0))),0,(index(Com_AllFuels_SEDS_2022_TBtus!$S$3:$S$53,match($B35&amp;P$2,Com_AllFuels_SEDS_2022_TBtus!$B$3:$B$53&amp;Com_AllFuels_SEDS_2022_TBtus!$A$3:$A$53,0))))</f>
        <v>0</v>
      </c>
      <c r="Q48" s="74">
        <f t="array" ref="Q48">IF(ISERROR(index(Com_AllFuels_SEDS_2022_TBtus!$S$3:$S$53,match($B35&amp;Q$2,Com_AllFuels_SEDS_2022_TBtus!$B$3:$B$53&amp;Com_AllFuels_SEDS_2022_TBtus!$A$3:$A$53,0))),0,(index(Com_AllFuels_SEDS_2022_TBtus!$S$3:$S$53,match($B35&amp;Q$2,Com_AllFuels_SEDS_2022_TBtus!$B$3:$B$53&amp;Com_AllFuels_SEDS_2022_TBtus!$A$3:$A$53,0))))</f>
        <v>0</v>
      </c>
      <c r="R48" s="74">
        <f t="array" ref="R48">IF(ISERROR(index(Com_AllFuels_SEDS_2022_TBtus!$S$3:$S$53,match($B35&amp;R$2,Com_AllFuels_SEDS_2022_TBtus!$B$3:$B$53&amp;Com_AllFuels_SEDS_2022_TBtus!$A$3:$A$53,0))),0,(index(Com_AllFuels_SEDS_2022_TBtus!$S$3:$S$53,match($B35&amp;R$2,Com_AllFuels_SEDS_2022_TBtus!$B$3:$B$53&amp;Com_AllFuels_SEDS_2022_TBtus!$A$3:$A$53,0))))</f>
        <v>0</v>
      </c>
      <c r="S48" s="74">
        <f t="array" ref="S48">IF(ISERROR(index(Com_AllFuels_SEDS_2022_TBtus!$S$3:$S$53,match($B35&amp;S$2,Com_AllFuels_SEDS_2022_TBtus!$B$3:$B$53&amp;Com_AllFuels_SEDS_2022_TBtus!$A$3:$A$53,0))),0,(index(Com_AllFuels_SEDS_2022_TBtus!$S$3:$S$53,match($B35&amp;S$2,Com_AllFuels_SEDS_2022_TBtus!$B$3:$B$53&amp;Com_AllFuels_SEDS_2022_TBtus!$A$3:$A$53,0))))</f>
        <v>0</v>
      </c>
      <c r="T48" s="74">
        <f t="array" ref="T48">IF(ISERROR(index(Com_AllFuels_SEDS_2022_TBtus!$S$3:$S$53,match($B35&amp;T$2,Com_AllFuels_SEDS_2022_TBtus!$B$3:$B$53&amp;Com_AllFuels_SEDS_2022_TBtus!$A$3:$A$53,0))),0,(index(Com_AllFuels_SEDS_2022_TBtus!$S$3:$S$53,match($B35&amp;T$2,Com_AllFuels_SEDS_2022_TBtus!$B$3:$B$53&amp;Com_AllFuels_SEDS_2022_TBtus!$A$3:$A$53,0))))</f>
        <v>3.4</v>
      </c>
      <c r="U48" s="74">
        <f t="array" ref="U48">IF(ISERROR(index(Com_AllFuels_SEDS_2022_TBtus!$S$3:$S$53,match($B35&amp;U$2,Com_AllFuels_SEDS_2022_TBtus!$B$3:$B$53&amp;Com_AllFuels_SEDS_2022_TBtus!$A$3:$A$53,0))),0,(index(Com_AllFuels_SEDS_2022_TBtus!$S$3:$S$53,match($B35&amp;U$2,Com_AllFuels_SEDS_2022_TBtus!$B$3:$B$53&amp;Com_AllFuels_SEDS_2022_TBtus!$A$3:$A$53,0))))</f>
        <v>0</v>
      </c>
      <c r="V48" s="74">
        <f t="array" ref="V48">IF(ISERROR(index(Com_AllFuels_SEDS_2022_TBtus!$S$3:$S$53,match($B35&amp;V$2,Com_AllFuels_SEDS_2022_TBtus!$B$3:$B$53&amp;Com_AllFuels_SEDS_2022_TBtus!$A$3:$A$53,0))),0,(index(Com_AllFuels_SEDS_2022_TBtus!$S$3:$S$53,match($B35&amp;V$2,Com_AllFuels_SEDS_2022_TBtus!$B$3:$B$53&amp;Com_AllFuels_SEDS_2022_TBtus!$A$3:$A$53,0))))</f>
        <v>0</v>
      </c>
      <c r="W48" s="74">
        <f t="array" ref="W48">IF(ISERROR(index(Com_AllFuels_SEDS_2022_TBtus!$S$3:$S$53,match($B35&amp;W$2,Com_AllFuels_SEDS_2022_TBtus!$B$3:$B$53&amp;Com_AllFuels_SEDS_2022_TBtus!$A$3:$A$53,0))),0,(index(Com_AllFuels_SEDS_2022_TBtus!$S$3:$S$53,match($B35&amp;W$2,Com_AllFuels_SEDS_2022_TBtus!$B$3:$B$53&amp;Com_AllFuels_SEDS_2022_TBtus!$A$3:$A$53,0))))</f>
        <v>0</v>
      </c>
      <c r="X48" s="74">
        <f t="array" ref="X48">IF(ISERROR(index(Com_AllFuels_SEDS_2022_TBtus!$S$3:$S$53,match($B35&amp;X$2,Com_AllFuels_SEDS_2022_TBtus!$B$3:$B$53&amp;Com_AllFuels_SEDS_2022_TBtus!$A$3:$A$53,0))),0,(index(Com_AllFuels_SEDS_2022_TBtus!$S$3:$S$53,match($B35&amp;X$2,Com_AllFuels_SEDS_2022_TBtus!$B$3:$B$53&amp;Com_AllFuels_SEDS_2022_TBtus!$A$3:$A$53,0))))</f>
        <v>0</v>
      </c>
      <c r="Y48" s="74">
        <f t="array" ref="Y48">IF(ISERROR(index(Com_AllFuels_SEDS_2022_TBtus!$S$3:$S$53,match($B35&amp;Y$2,Com_AllFuels_SEDS_2022_TBtus!$B$3:$B$53&amp;Com_AllFuels_SEDS_2022_TBtus!$A$3:$A$53,0))),0,(index(Com_AllFuels_SEDS_2022_TBtus!$S$3:$S$53,match($B35&amp;Y$2,Com_AllFuels_SEDS_2022_TBtus!$B$3:$B$53&amp;Com_AllFuels_SEDS_2022_TBtus!$A$3:$A$53,0))))</f>
        <v>0</v>
      </c>
      <c r="Z48" s="74">
        <f t="array" ref="Z48">IF(ISERROR(index(Com_AllFuels_SEDS_2022_TBtus!$S$3:$S$53,match($B35&amp;Z$2,Com_AllFuels_SEDS_2022_TBtus!$B$3:$B$53&amp;Com_AllFuels_SEDS_2022_TBtus!$A$3:$A$53,0))),0,(index(Com_AllFuels_SEDS_2022_TBtus!$S$3:$S$53,match($B35&amp;Z$2,Com_AllFuels_SEDS_2022_TBtus!$B$3:$B$53&amp;Com_AllFuels_SEDS_2022_TBtus!$A$3:$A$53,0))))</f>
        <v>0</v>
      </c>
      <c r="AA48" s="74">
        <f t="array" ref="AA48">IF(ISERROR(index(Com_AllFuels_SEDS_2022_TBtus!$S$3:$S$53,match($B35&amp;AA$2,Com_AllFuels_SEDS_2022_TBtus!$B$3:$B$53&amp;Com_AllFuels_SEDS_2022_TBtus!$A$3:$A$53,0))),0,(index(Com_AllFuels_SEDS_2022_TBtus!$S$3:$S$53,match($B35&amp;AA$2,Com_AllFuels_SEDS_2022_TBtus!$B$3:$B$53&amp;Com_AllFuels_SEDS_2022_TBtus!$A$3:$A$53,0))))</f>
        <v>3.4</v>
      </c>
      <c r="AB48" s="74">
        <f t="array" ref="AB48">IF(ISERROR(index(Com_AllFuels_SEDS_2022_TBtus!$S$3:$S$53,match($B35&amp;AB$2,Com_AllFuels_SEDS_2022_TBtus!$B$3:$B$53&amp;Com_AllFuels_SEDS_2022_TBtus!$A$3:$A$53,0))),0,(index(Com_AllFuels_SEDS_2022_TBtus!$S$3:$S$53,match($B35&amp;AB$2,Com_AllFuels_SEDS_2022_TBtus!$B$3:$B$53&amp;Com_AllFuels_SEDS_2022_TBtus!$A$3:$A$53,0))))</f>
        <v>0</v>
      </c>
      <c r="AC48" s="74">
        <f t="array" ref="AC48">IF(ISERROR(index(Com_AllFuels_SEDS_2022_TBtus!$S$3:$S$53,match($B35&amp;AC$2,Com_AllFuels_SEDS_2022_TBtus!$B$3:$B$53&amp;Com_AllFuels_SEDS_2022_TBtus!$A$3:$A$53,0))),0,(index(Com_AllFuels_SEDS_2022_TBtus!$S$3:$S$53,match($B35&amp;AC$2,Com_AllFuels_SEDS_2022_TBtus!$B$3:$B$53&amp;Com_AllFuels_SEDS_2022_TBtus!$A$3:$A$53,0))))</f>
        <v>0</v>
      </c>
      <c r="AD48" s="74">
        <f t="array" ref="AD48">IF(ISERROR(index(Com_AllFuels_SEDS_2022_TBtus!$S$3:$S$53,match($B35&amp;AD$2,Com_AllFuels_SEDS_2022_TBtus!$B$3:$B$53&amp;Com_AllFuels_SEDS_2022_TBtus!$A$3:$A$53,0))),0,(index(Com_AllFuels_SEDS_2022_TBtus!$S$3:$S$53,match($B35&amp;AD$2,Com_AllFuels_SEDS_2022_TBtus!$B$3:$B$53&amp;Com_AllFuels_SEDS_2022_TBtus!$A$3:$A$53,0))))</f>
        <v>0</v>
      </c>
      <c r="AE48" s="74">
        <f t="array" ref="AE48">IF(ISERROR(index(Com_AllFuels_SEDS_2022_TBtus!$S$3:$S$53,match($B35&amp;AE$2,Com_AllFuels_SEDS_2022_TBtus!$B$3:$B$53&amp;Com_AllFuels_SEDS_2022_TBtus!$A$3:$A$53,0))),0,(index(Com_AllFuels_SEDS_2022_TBtus!$S$3:$S$53,match($B35&amp;AE$2,Com_AllFuels_SEDS_2022_TBtus!$B$3:$B$53&amp;Com_AllFuels_SEDS_2022_TBtus!$A$3:$A$53,0))))</f>
        <v>0</v>
      </c>
      <c r="AF48" s="74">
        <f t="array" ref="AF48">IF(ISERROR(index(Com_AllFuels_SEDS_2022_TBtus!$S$3:$S$53,match($B35&amp;AF$2,Com_AllFuels_SEDS_2022_TBtus!$B$3:$B$53&amp;Com_AllFuels_SEDS_2022_TBtus!$A$3:$A$53,0))),0,(index(Com_AllFuels_SEDS_2022_TBtus!$S$3:$S$53,match($B35&amp;AF$2,Com_AllFuels_SEDS_2022_TBtus!$B$3:$B$53&amp;Com_AllFuels_SEDS_2022_TBtus!$A$3:$A$53,0))))</f>
        <v>0</v>
      </c>
      <c r="AG48" s="74">
        <f t="array" ref="AG48">IF(ISERROR(index(Com_AllFuels_SEDS_2022_TBtus!$S$3:$S$53,match($B35&amp;AG$2,Com_AllFuels_SEDS_2022_TBtus!$B$3:$B$53&amp;Com_AllFuels_SEDS_2022_TBtus!$A$3:$A$53,0))),0,(index(Com_AllFuels_SEDS_2022_TBtus!$S$3:$S$53,match($B35&amp;AG$2,Com_AllFuels_SEDS_2022_TBtus!$B$3:$B$53&amp;Com_AllFuels_SEDS_2022_TBtus!$A$3:$A$53,0))))</f>
        <v>0</v>
      </c>
      <c r="AH48" s="74">
        <f t="array" ref="AH48">IF(ISERROR(index(Com_AllFuels_SEDS_2022_TBtus!$S$3:$S$53,match($B35&amp;AH$2,Com_AllFuels_SEDS_2022_TBtus!$B$3:$B$53&amp;Com_AllFuels_SEDS_2022_TBtus!$A$3:$A$53,0))),0,(index(Com_AllFuels_SEDS_2022_TBtus!$S$3:$S$53,match($B35&amp;AH$2,Com_AllFuels_SEDS_2022_TBtus!$B$3:$B$53&amp;Com_AllFuels_SEDS_2022_TBtus!$A$3:$A$53,0))))</f>
        <v>0</v>
      </c>
      <c r="AI48" s="74">
        <f t="array" ref="AI48">IF(ISERROR(index(Com_AllFuels_SEDS_2022_TBtus!$S$3:$S$53,match($B35&amp;AI$2,Com_AllFuels_SEDS_2022_TBtus!$B$3:$B$53&amp;Com_AllFuels_SEDS_2022_TBtus!$A$3:$A$53,0))),0,(index(Com_AllFuels_SEDS_2022_TBtus!$S$3:$S$53,match($B35&amp;AI$2,Com_AllFuels_SEDS_2022_TBtus!$B$3:$B$53&amp;Com_AllFuels_SEDS_2022_TBtus!$A$3:$A$53,0))))</f>
        <v>0</v>
      </c>
      <c r="AJ48" s="74">
        <f t="array" ref="AJ48">IF(ISERROR(index(Com_AllFuels_SEDS_2022_TBtus!$S$3:$S$53,match($B35&amp;AJ$2,Com_AllFuels_SEDS_2022_TBtus!$B$3:$B$53&amp;Com_AllFuels_SEDS_2022_TBtus!$A$3:$A$53,0))),0,(index(Com_AllFuels_SEDS_2022_TBtus!$S$3:$S$53,match($B35&amp;AJ$2,Com_AllFuels_SEDS_2022_TBtus!$B$3:$B$53&amp;Com_AllFuels_SEDS_2022_TBtus!$A$3:$A$53,0))))</f>
        <v>0</v>
      </c>
      <c r="AK48" s="74">
        <f t="array" ref="AK48">IF(ISERROR(index(Com_AllFuels_SEDS_2022_TBtus!$S$3:$S$53,match($B35&amp;AK$2,Com_AllFuels_SEDS_2022_TBtus!$B$3:$B$53&amp;Com_AllFuels_SEDS_2022_TBtus!$A$3:$A$53,0))),0,(index(Com_AllFuels_SEDS_2022_TBtus!$S$3:$S$53,match($B35&amp;AK$2,Com_AllFuels_SEDS_2022_TBtus!$B$3:$B$53&amp;Com_AllFuels_SEDS_2022_TBtus!$A$3:$A$53,0))))</f>
        <v>0</v>
      </c>
      <c r="AL48" s="74">
        <f t="array" ref="AL48">IF(ISERROR(index(Com_AllFuels_SEDS_2022_TBtus!$S$3:$S$53,match($B35&amp;AL$2,Com_AllFuels_SEDS_2022_TBtus!$B$3:$B$53&amp;Com_AllFuels_SEDS_2022_TBtus!$A$3:$A$53,0))),0,(index(Com_AllFuels_SEDS_2022_TBtus!$S$3:$S$53,match($B35&amp;AL$2,Com_AllFuels_SEDS_2022_TBtus!$B$3:$B$53&amp;Com_AllFuels_SEDS_2022_TBtus!$A$3:$A$53,0))))</f>
        <v>0</v>
      </c>
      <c r="AM48" s="74">
        <f t="array" ref="AM48">IF(ISERROR(index(Com_AllFuels_SEDS_2022_TBtus!$S$3:$S$53,match($B35&amp;AM$2,Com_AllFuels_SEDS_2022_TBtus!$B$3:$B$53&amp;Com_AllFuels_SEDS_2022_TBtus!$A$3:$A$53,0))),0,(index(Com_AllFuels_SEDS_2022_TBtus!$S$3:$S$53,match($B35&amp;AM$2,Com_AllFuels_SEDS_2022_TBtus!$B$3:$B$53&amp;Com_AllFuels_SEDS_2022_TBtus!$A$3:$A$53,0))))</f>
        <v>0</v>
      </c>
      <c r="AN48" s="74">
        <f t="array" ref="AN48">IF(ISERROR(index(Com_AllFuels_SEDS_2022_TBtus!$S$3:$S$53,match($B35&amp;AN$2,Com_AllFuels_SEDS_2022_TBtus!$B$3:$B$53&amp;Com_AllFuels_SEDS_2022_TBtus!$A$3:$A$53,0))),0,(index(Com_AllFuels_SEDS_2022_TBtus!$S$3:$S$53,match($B35&amp;AN$2,Com_AllFuels_SEDS_2022_TBtus!$B$3:$B$53&amp;Com_AllFuels_SEDS_2022_TBtus!$A$3:$A$53,0))))</f>
        <v>0</v>
      </c>
      <c r="AO48" s="74">
        <f t="array" ref="AO48">IF(ISERROR(index(Com_AllFuels_SEDS_2022_TBtus!$S$3:$S$53,match($B35&amp;AO$2,Com_AllFuels_SEDS_2022_TBtus!$B$3:$B$53&amp;Com_AllFuels_SEDS_2022_TBtus!$A$3:$A$53,0))),0,(index(Com_AllFuels_SEDS_2022_TBtus!$S$3:$S$53,match($B35&amp;AO$2,Com_AllFuels_SEDS_2022_TBtus!$B$3:$B$53&amp;Com_AllFuels_SEDS_2022_TBtus!$A$3:$A$53,0))))</f>
        <v>0</v>
      </c>
      <c r="AP48" s="74">
        <f t="array" ref="AP48">IF(ISERROR(index(Com_AllFuels_SEDS_2022_TBtus!$S$3:$S$53,match($B35&amp;AP$2,Com_AllFuels_SEDS_2022_TBtus!$B$3:$B$53&amp;Com_AllFuels_SEDS_2022_TBtus!$A$3:$A$53,0))),0,(index(Com_AllFuels_SEDS_2022_TBtus!$S$3:$S$53,match($B35&amp;AP$2,Com_AllFuels_SEDS_2022_TBtus!$B$3:$B$53&amp;Com_AllFuels_SEDS_2022_TBtus!$A$3:$A$53,0))))</f>
        <v>0</v>
      </c>
      <c r="AQ48" s="74">
        <f t="array" ref="AQ48">IF(ISERROR(index(Com_AllFuels_SEDS_2022_TBtus!$S$3:$S$53,match($B35&amp;AQ$2,Com_AllFuels_SEDS_2022_TBtus!$B$3:$B$53&amp;Com_AllFuels_SEDS_2022_TBtus!$A$3:$A$53,0))),0,(index(Com_AllFuels_SEDS_2022_TBtus!$S$3:$S$53,match($B35&amp;AQ$2,Com_AllFuels_SEDS_2022_TBtus!$B$3:$B$53&amp;Com_AllFuels_SEDS_2022_TBtus!$A$3:$A$53,0))))</f>
        <v>0</v>
      </c>
      <c r="AR48" s="74">
        <f t="array" ref="AR48">IF(ISERROR(index(Com_AllFuels_SEDS_2022_TBtus!$S$3:$S$53,match($B35&amp;AR$2,Com_AllFuels_SEDS_2022_TBtus!$B$3:$B$53&amp;Com_AllFuels_SEDS_2022_TBtus!$A$3:$A$53,0))),0,(index(Com_AllFuels_SEDS_2022_TBtus!$S$3:$S$53,match($B35&amp;AR$2,Com_AllFuels_SEDS_2022_TBtus!$B$3:$B$53&amp;Com_AllFuels_SEDS_2022_TBtus!$A$3:$A$53,0))))</f>
        <v>0</v>
      </c>
      <c r="AS48" s="74">
        <f t="array" ref="AS48">IF(ISERROR(index(Com_AllFuels_SEDS_2022_TBtus!$S$3:$S$53,match($B35&amp;AS$2,Com_AllFuels_SEDS_2022_TBtus!$B$3:$B$53&amp;Com_AllFuels_SEDS_2022_TBtus!$A$3:$A$53,0))),0,(index(Com_AllFuels_SEDS_2022_TBtus!$S$3:$S$53,match($B35&amp;AS$2,Com_AllFuels_SEDS_2022_TBtus!$B$3:$B$53&amp;Com_AllFuels_SEDS_2022_TBtus!$A$3:$A$53,0))))</f>
        <v>5.2</v>
      </c>
      <c r="AT48" s="74">
        <f t="array" ref="AT48">IF(ISERROR(index(Com_AllFuels_SEDS_2022_TBtus!$S$3:$S$53,match($B35&amp;AT$2,Com_AllFuels_SEDS_2022_TBtus!$B$3:$B$53&amp;Com_AllFuels_SEDS_2022_TBtus!$A$3:$A$53,0))),0,(index(Com_AllFuels_SEDS_2022_TBtus!$S$3:$S$53,match($B35&amp;AT$2,Com_AllFuels_SEDS_2022_TBtus!$B$3:$B$53&amp;Com_AllFuels_SEDS_2022_TBtus!$A$3:$A$53,0))))</f>
        <v>0</v>
      </c>
      <c r="AU48" s="74">
        <f t="array" ref="AU48">IF(ISERROR(index(Com_AllFuels_SEDS_2022_TBtus!$S$3:$S$53,match($B35&amp;AU$2,Com_AllFuels_SEDS_2022_TBtus!$B$3:$B$53&amp;Com_AllFuels_SEDS_2022_TBtus!$A$3:$A$53,0))),0,(index(Com_AllFuels_SEDS_2022_TBtus!$S$3:$S$53,match($B35&amp;AU$2,Com_AllFuels_SEDS_2022_TBtus!$B$3:$B$53&amp;Com_AllFuels_SEDS_2022_TBtus!$A$3:$A$53,0))))</f>
        <v>0</v>
      </c>
      <c r="AV48" s="74">
        <f t="array" ref="AV48">IF(ISERROR(index(Com_AllFuels_SEDS_2022_TBtus!$S$3:$S$53,match($B35&amp;AV$2,Com_AllFuels_SEDS_2022_TBtus!$B$3:$B$53&amp;Com_AllFuels_SEDS_2022_TBtus!$A$3:$A$53,0))),0,(index(Com_AllFuels_SEDS_2022_TBtus!$S$3:$S$53,match($B35&amp;AV$2,Com_AllFuels_SEDS_2022_TBtus!$B$3:$B$53&amp;Com_AllFuels_SEDS_2022_TBtus!$A$3:$A$53,0))))</f>
        <v>0</v>
      </c>
      <c r="AW48" s="74">
        <f t="array" ref="AW48">IF(ISERROR(index(Com_AllFuels_SEDS_2022_TBtus!$S$3:$S$53,match($B35&amp;AW$2,Com_AllFuels_SEDS_2022_TBtus!$B$3:$B$53&amp;Com_AllFuels_SEDS_2022_TBtus!$A$3:$A$53,0))),0,(index(Com_AllFuels_SEDS_2022_TBtus!$S$3:$S$53,match($B35&amp;AW$2,Com_AllFuels_SEDS_2022_TBtus!$B$3:$B$53&amp;Com_AllFuels_SEDS_2022_TBtus!$A$3:$A$53,0))))</f>
        <v>0</v>
      </c>
      <c r="AX48" s="74">
        <f t="array" ref="AX48">IF(ISERROR(index(Com_AllFuels_SEDS_2022_TBtus!$S$3:$S$53,match($B35&amp;AX$2,Com_AllFuels_SEDS_2022_TBtus!$B$3:$B$53&amp;Com_AllFuels_SEDS_2022_TBtus!$A$3:$A$53,0))),0,(index(Com_AllFuels_SEDS_2022_TBtus!$S$3:$S$53,match($B35&amp;AX$2,Com_AllFuels_SEDS_2022_TBtus!$B$3:$B$53&amp;Com_AllFuels_SEDS_2022_TBtus!$A$3:$A$53,0))))</f>
        <v>0</v>
      </c>
      <c r="AY48" s="74">
        <f t="array" ref="AY48">IF(ISERROR(index(Com_AllFuels_SEDS_2022_TBtus!$S$3:$S$53,match($B35&amp;AY$2,Com_AllFuels_SEDS_2022_TBtus!$B$3:$B$53&amp;Com_AllFuels_SEDS_2022_TBtus!$A$3:$A$53,0))),0,(index(Com_AllFuels_SEDS_2022_TBtus!$S$3:$S$53,match($B35&amp;AY$2,Com_AllFuels_SEDS_2022_TBtus!$B$3:$B$53&amp;Com_AllFuels_SEDS_2022_TBtus!$A$3:$A$53,0))))</f>
        <v>0</v>
      </c>
      <c r="AZ48" s="74">
        <f t="array" ref="AZ48">IF(ISERROR(index(Com_AllFuels_SEDS_2022_TBtus!$S$3:$S$53,match($B35&amp;AZ$2,Com_AllFuels_SEDS_2022_TBtus!$B$3:$B$53&amp;Com_AllFuels_SEDS_2022_TBtus!$A$3:$A$53,0))),0,(index(Com_AllFuels_SEDS_2022_TBtus!$S$3:$S$53,match($B35&amp;AZ$2,Com_AllFuels_SEDS_2022_TBtus!$B$3:$B$53&amp;Com_AllFuels_SEDS_2022_TBtus!$A$3:$A$53,0))))</f>
        <v>0</v>
      </c>
      <c r="BA48" s="74">
        <f t="array" ref="BA48">IF(ISERROR(index(Com_AllFuels_SEDS_2022_TBtus!$S$3:$S$53,match($B35&amp;BA$2,Com_AllFuels_SEDS_2022_TBtus!$B$3:$B$53&amp;Com_AllFuels_SEDS_2022_TBtus!$A$3:$A$53,0))),0,(index(Com_AllFuels_SEDS_2022_TBtus!$S$3:$S$53,match($B35&amp;BA$2,Com_AllFuels_SEDS_2022_TBtus!$B$3:$B$53&amp;Com_AllFuels_SEDS_2022_TBtus!$A$3:$A$53,0))))</f>
        <v>0</v>
      </c>
      <c r="BB48" s="74">
        <f t="shared" si="7"/>
        <v>16.8</v>
      </c>
    </row>
    <row r="49" ht="15.75" customHeight="1">
      <c r="A49" s="78"/>
      <c r="B49" s="74">
        <v>7.0</v>
      </c>
      <c r="C49" s="74">
        <f t="array" ref="C49">IF(ISERROR(index(Com_AllFuels_SEDS_2022_TBtus!$S$3:$S$53,match($B36&amp;C$2,Com_AllFuels_SEDS_2022_TBtus!$B$3:$B$53&amp;Com_AllFuels_SEDS_2022_TBtus!$A$3:$A$53,0))),0,(index(Com_AllFuels_SEDS_2022_TBtus!$S$3:$S$53,match($B36&amp;C$2,Com_AllFuels_SEDS_2022_TBtus!$B$3:$B$53&amp;Com_AllFuels_SEDS_2022_TBtus!$A$3:$A$53,0))))</f>
        <v>0</v>
      </c>
      <c r="D49" s="74">
        <f t="array" ref="D49">IF(ISERROR(index(Com_AllFuels_SEDS_2022_TBtus!$S$3:$S$53,match($B36&amp;D$2,Com_AllFuels_SEDS_2022_TBtus!$B$3:$B$53&amp;Com_AllFuels_SEDS_2022_TBtus!$A$3:$A$53,0))),0,(index(Com_AllFuels_SEDS_2022_TBtus!$S$3:$S$53,match($B36&amp;D$2,Com_AllFuels_SEDS_2022_TBtus!$B$3:$B$53&amp;Com_AllFuels_SEDS_2022_TBtus!$A$3:$A$53,0))))</f>
        <v>0</v>
      </c>
      <c r="E49" s="74">
        <f t="array" ref="E49">IF(ISERROR(index(Com_AllFuels_SEDS_2022_TBtus!$S$3:$S$53,match($B36&amp;E$2,Com_AllFuels_SEDS_2022_TBtus!$B$3:$B$53&amp;Com_AllFuels_SEDS_2022_TBtus!$A$3:$A$53,0))),0,(index(Com_AllFuels_SEDS_2022_TBtus!$S$3:$S$53,match($B36&amp;E$2,Com_AllFuels_SEDS_2022_TBtus!$B$3:$B$53&amp;Com_AllFuels_SEDS_2022_TBtus!$A$3:$A$53,0))))</f>
        <v>0</v>
      </c>
      <c r="F49" s="74">
        <f t="array" ref="F49">IF(ISERROR(index(Com_AllFuels_SEDS_2022_TBtus!$S$3:$S$53,match($B36&amp;F$2,Com_AllFuels_SEDS_2022_TBtus!$B$3:$B$53&amp;Com_AllFuels_SEDS_2022_TBtus!$A$3:$A$53,0))),0,(index(Com_AllFuels_SEDS_2022_TBtus!$S$3:$S$53,match($B36&amp;F$2,Com_AllFuels_SEDS_2022_TBtus!$B$3:$B$53&amp;Com_AllFuels_SEDS_2022_TBtus!$A$3:$A$53,0))))</f>
        <v>3.2</v>
      </c>
      <c r="G49" s="74">
        <f t="array" ref="G49">IF(ISERROR(index(Com_AllFuels_SEDS_2022_TBtus!$S$3:$S$53,match($B36&amp;G$2,Com_AllFuels_SEDS_2022_TBtus!$B$3:$B$53&amp;Com_AllFuels_SEDS_2022_TBtus!$A$3:$A$53,0))),0,(index(Com_AllFuels_SEDS_2022_TBtus!$S$3:$S$53,match($B36&amp;G$2,Com_AllFuels_SEDS_2022_TBtus!$B$3:$B$53&amp;Com_AllFuels_SEDS_2022_TBtus!$A$3:$A$53,0))))</f>
        <v>0</v>
      </c>
      <c r="H49" s="74">
        <f t="array" ref="H49">IF(ISERROR(index(Com_AllFuels_SEDS_2022_TBtus!$S$3:$S$53,match($B36&amp;H$2,Com_AllFuels_SEDS_2022_TBtus!$B$3:$B$53&amp;Com_AllFuels_SEDS_2022_TBtus!$A$3:$A$53,0))),0,(index(Com_AllFuels_SEDS_2022_TBtus!$S$3:$S$53,match($B36&amp;H$2,Com_AllFuels_SEDS_2022_TBtus!$B$3:$B$53&amp;Com_AllFuels_SEDS_2022_TBtus!$A$3:$A$53,0))))</f>
        <v>0</v>
      </c>
      <c r="I49" s="74">
        <f t="array" ref="I49">IF(ISERROR(index(Com_AllFuels_SEDS_2022_TBtus!$S$3:$S$53,match($B36&amp;I$2,Com_AllFuels_SEDS_2022_TBtus!$B$3:$B$53&amp;Com_AllFuels_SEDS_2022_TBtus!$A$3:$A$53,0))),0,(index(Com_AllFuels_SEDS_2022_TBtus!$S$3:$S$53,match($B36&amp;I$2,Com_AllFuels_SEDS_2022_TBtus!$B$3:$B$53&amp;Com_AllFuels_SEDS_2022_TBtus!$A$3:$A$53,0))))</f>
        <v>0</v>
      </c>
      <c r="J49" s="74">
        <f t="array" ref="J49">IF(ISERROR(index(Com_AllFuels_SEDS_2022_TBtus!$S$3:$S$53,match($B36&amp;J$2,Com_AllFuels_SEDS_2022_TBtus!$B$3:$B$53&amp;Com_AllFuels_SEDS_2022_TBtus!$A$3:$A$53,0))),0,(index(Com_AllFuels_SEDS_2022_TBtus!$S$3:$S$53,match($B36&amp;J$2,Com_AllFuels_SEDS_2022_TBtus!$B$3:$B$53&amp;Com_AllFuels_SEDS_2022_TBtus!$A$3:$A$53,0))))</f>
        <v>0</v>
      </c>
      <c r="K49" s="74">
        <f t="array" ref="K49">IF(ISERROR(index(Com_AllFuels_SEDS_2022_TBtus!$S$3:$S$53,match($B36&amp;K$2,Com_AllFuels_SEDS_2022_TBtus!$B$3:$B$53&amp;Com_AllFuels_SEDS_2022_TBtus!$A$3:$A$53,0))),0,(index(Com_AllFuels_SEDS_2022_TBtus!$S$3:$S$53,match($B36&amp;K$2,Com_AllFuels_SEDS_2022_TBtus!$B$3:$B$53&amp;Com_AllFuels_SEDS_2022_TBtus!$A$3:$A$53,0))))</f>
        <v>0</v>
      </c>
      <c r="L49" s="74">
        <f t="array" ref="L49">IF(ISERROR(index(Com_AllFuels_SEDS_2022_TBtus!$S$3:$S$53,match($B36&amp;L$2,Com_AllFuels_SEDS_2022_TBtus!$B$3:$B$53&amp;Com_AllFuels_SEDS_2022_TBtus!$A$3:$A$53,0))),0,(index(Com_AllFuels_SEDS_2022_TBtus!$S$3:$S$53,match($B36&amp;L$2,Com_AllFuels_SEDS_2022_TBtus!$B$3:$B$53&amp;Com_AllFuels_SEDS_2022_TBtus!$A$3:$A$53,0))))</f>
        <v>0</v>
      </c>
      <c r="M49" s="74">
        <f t="array" ref="M49">IF(ISERROR(index(Com_AllFuels_SEDS_2022_TBtus!$S$3:$S$53,match($B36&amp;M$2,Com_AllFuels_SEDS_2022_TBtus!$B$3:$B$53&amp;Com_AllFuels_SEDS_2022_TBtus!$A$3:$A$53,0))),0,(index(Com_AllFuels_SEDS_2022_TBtus!$S$3:$S$53,match($B36&amp;M$2,Com_AllFuels_SEDS_2022_TBtus!$B$3:$B$53&amp;Com_AllFuels_SEDS_2022_TBtus!$A$3:$A$53,0))))</f>
        <v>0</v>
      </c>
      <c r="N49" s="74">
        <f t="array" ref="N49">IF(ISERROR(index(Com_AllFuels_SEDS_2022_TBtus!$S$3:$S$53,match($B36&amp;N$2,Com_AllFuels_SEDS_2022_TBtus!$B$3:$B$53&amp;Com_AllFuels_SEDS_2022_TBtus!$A$3:$A$53,0))),0,(index(Com_AllFuels_SEDS_2022_TBtus!$S$3:$S$53,match($B36&amp;N$2,Com_AllFuels_SEDS_2022_TBtus!$B$3:$B$53&amp;Com_AllFuels_SEDS_2022_TBtus!$A$3:$A$53,0))))</f>
        <v>0</v>
      </c>
      <c r="O49" s="74">
        <f t="array" ref="O49">IF(ISERROR(index(Com_AllFuels_SEDS_2022_TBtus!$S$3:$S$53,match($B36&amp;O$2,Com_AllFuels_SEDS_2022_TBtus!$B$3:$B$53&amp;Com_AllFuels_SEDS_2022_TBtus!$A$3:$A$53,0))),0,(index(Com_AllFuels_SEDS_2022_TBtus!$S$3:$S$53,match($B36&amp;O$2,Com_AllFuels_SEDS_2022_TBtus!$B$3:$B$53&amp;Com_AllFuels_SEDS_2022_TBtus!$A$3:$A$53,0))))</f>
        <v>0</v>
      </c>
      <c r="P49" s="74">
        <f t="array" ref="P49">IF(ISERROR(index(Com_AllFuels_SEDS_2022_TBtus!$S$3:$S$53,match($B36&amp;P$2,Com_AllFuels_SEDS_2022_TBtus!$B$3:$B$53&amp;Com_AllFuels_SEDS_2022_TBtus!$A$3:$A$53,0))),0,(index(Com_AllFuels_SEDS_2022_TBtus!$S$3:$S$53,match($B36&amp;P$2,Com_AllFuels_SEDS_2022_TBtus!$B$3:$B$53&amp;Com_AllFuels_SEDS_2022_TBtus!$A$3:$A$53,0))))</f>
        <v>0</v>
      </c>
      <c r="Q49" s="74">
        <f t="array" ref="Q49">IF(ISERROR(index(Com_AllFuels_SEDS_2022_TBtus!$S$3:$S$53,match($B36&amp;Q$2,Com_AllFuels_SEDS_2022_TBtus!$B$3:$B$53&amp;Com_AllFuels_SEDS_2022_TBtus!$A$3:$A$53,0))),0,(index(Com_AllFuels_SEDS_2022_TBtus!$S$3:$S$53,match($B36&amp;Q$2,Com_AllFuels_SEDS_2022_TBtus!$B$3:$B$53&amp;Com_AllFuels_SEDS_2022_TBtus!$A$3:$A$53,0))))</f>
        <v>0</v>
      </c>
      <c r="R49" s="74">
        <f t="array" ref="R49">IF(ISERROR(index(Com_AllFuels_SEDS_2022_TBtus!$S$3:$S$53,match($B36&amp;R$2,Com_AllFuels_SEDS_2022_TBtus!$B$3:$B$53&amp;Com_AllFuels_SEDS_2022_TBtus!$A$3:$A$53,0))),0,(index(Com_AllFuels_SEDS_2022_TBtus!$S$3:$S$53,match($B36&amp;R$2,Com_AllFuels_SEDS_2022_TBtus!$B$3:$B$53&amp;Com_AllFuels_SEDS_2022_TBtus!$A$3:$A$53,0))))</f>
        <v>0</v>
      </c>
      <c r="S49" s="74">
        <f t="array" ref="S49">IF(ISERROR(index(Com_AllFuels_SEDS_2022_TBtus!$S$3:$S$53,match($B36&amp;S$2,Com_AllFuels_SEDS_2022_TBtus!$B$3:$B$53&amp;Com_AllFuels_SEDS_2022_TBtus!$A$3:$A$53,0))),0,(index(Com_AllFuels_SEDS_2022_TBtus!$S$3:$S$53,match($B36&amp;S$2,Com_AllFuels_SEDS_2022_TBtus!$B$3:$B$53&amp;Com_AllFuels_SEDS_2022_TBtus!$A$3:$A$53,0))))</f>
        <v>0</v>
      </c>
      <c r="T49" s="74">
        <f t="array" ref="T49">IF(ISERROR(index(Com_AllFuels_SEDS_2022_TBtus!$S$3:$S$53,match($B36&amp;T$2,Com_AllFuels_SEDS_2022_TBtus!$B$3:$B$53&amp;Com_AllFuels_SEDS_2022_TBtus!$A$3:$A$53,0))),0,(index(Com_AllFuels_SEDS_2022_TBtus!$S$3:$S$53,match($B36&amp;T$2,Com_AllFuels_SEDS_2022_TBtus!$B$3:$B$53&amp;Com_AllFuels_SEDS_2022_TBtus!$A$3:$A$53,0))))</f>
        <v>0</v>
      </c>
      <c r="U49" s="74">
        <f t="array" ref="U49">IF(ISERROR(index(Com_AllFuels_SEDS_2022_TBtus!$S$3:$S$53,match($B36&amp;U$2,Com_AllFuels_SEDS_2022_TBtus!$B$3:$B$53&amp;Com_AllFuels_SEDS_2022_TBtus!$A$3:$A$53,0))),0,(index(Com_AllFuels_SEDS_2022_TBtus!$S$3:$S$53,match($B36&amp;U$2,Com_AllFuels_SEDS_2022_TBtus!$B$3:$B$53&amp;Com_AllFuels_SEDS_2022_TBtus!$A$3:$A$53,0))))</f>
        <v>3.6</v>
      </c>
      <c r="V49" s="74">
        <f t="array" ref="V49">IF(ISERROR(index(Com_AllFuels_SEDS_2022_TBtus!$S$3:$S$53,match($B36&amp;V$2,Com_AllFuels_SEDS_2022_TBtus!$B$3:$B$53&amp;Com_AllFuels_SEDS_2022_TBtus!$A$3:$A$53,0))),0,(index(Com_AllFuels_SEDS_2022_TBtus!$S$3:$S$53,match($B36&amp;V$2,Com_AllFuels_SEDS_2022_TBtus!$B$3:$B$53&amp;Com_AllFuels_SEDS_2022_TBtus!$A$3:$A$53,0))))</f>
        <v>0</v>
      </c>
      <c r="W49" s="74">
        <f t="array" ref="W49">IF(ISERROR(index(Com_AllFuels_SEDS_2022_TBtus!$S$3:$S$53,match($B36&amp;W$2,Com_AllFuels_SEDS_2022_TBtus!$B$3:$B$53&amp;Com_AllFuels_SEDS_2022_TBtus!$A$3:$A$53,0))),0,(index(Com_AllFuels_SEDS_2022_TBtus!$S$3:$S$53,match($B36&amp;W$2,Com_AllFuels_SEDS_2022_TBtus!$B$3:$B$53&amp;Com_AllFuels_SEDS_2022_TBtus!$A$3:$A$53,0))))</f>
        <v>0</v>
      </c>
      <c r="X49" s="74">
        <f t="array" ref="X49">IF(ISERROR(index(Com_AllFuels_SEDS_2022_TBtus!$S$3:$S$53,match($B36&amp;X$2,Com_AllFuels_SEDS_2022_TBtus!$B$3:$B$53&amp;Com_AllFuels_SEDS_2022_TBtus!$A$3:$A$53,0))),0,(index(Com_AllFuels_SEDS_2022_TBtus!$S$3:$S$53,match($B36&amp;X$2,Com_AllFuels_SEDS_2022_TBtus!$B$3:$B$53&amp;Com_AllFuels_SEDS_2022_TBtus!$A$3:$A$53,0))))</f>
        <v>0</v>
      </c>
      <c r="Y49" s="74">
        <f t="array" ref="Y49">IF(ISERROR(index(Com_AllFuels_SEDS_2022_TBtus!$S$3:$S$53,match($B36&amp;Y$2,Com_AllFuels_SEDS_2022_TBtus!$B$3:$B$53&amp;Com_AllFuels_SEDS_2022_TBtus!$A$3:$A$53,0))),0,(index(Com_AllFuels_SEDS_2022_TBtus!$S$3:$S$53,match($B36&amp;Y$2,Com_AllFuels_SEDS_2022_TBtus!$B$3:$B$53&amp;Com_AllFuels_SEDS_2022_TBtus!$A$3:$A$53,0))))</f>
        <v>0</v>
      </c>
      <c r="Z49" s="74">
        <f t="array" ref="Z49">IF(ISERROR(index(Com_AllFuels_SEDS_2022_TBtus!$S$3:$S$53,match($B36&amp;Z$2,Com_AllFuels_SEDS_2022_TBtus!$B$3:$B$53&amp;Com_AllFuels_SEDS_2022_TBtus!$A$3:$A$53,0))),0,(index(Com_AllFuels_SEDS_2022_TBtus!$S$3:$S$53,match($B36&amp;Z$2,Com_AllFuels_SEDS_2022_TBtus!$B$3:$B$53&amp;Com_AllFuels_SEDS_2022_TBtus!$A$3:$A$53,0))))</f>
        <v>0</v>
      </c>
      <c r="AA49" s="74">
        <f t="array" ref="AA49">IF(ISERROR(index(Com_AllFuels_SEDS_2022_TBtus!$S$3:$S$53,match($B36&amp;AA$2,Com_AllFuels_SEDS_2022_TBtus!$B$3:$B$53&amp;Com_AllFuels_SEDS_2022_TBtus!$A$3:$A$53,0))),0,(index(Com_AllFuels_SEDS_2022_TBtus!$S$3:$S$53,match($B36&amp;AA$2,Com_AllFuels_SEDS_2022_TBtus!$B$3:$B$53&amp;Com_AllFuels_SEDS_2022_TBtus!$A$3:$A$53,0))))</f>
        <v>0</v>
      </c>
      <c r="AB49" s="74">
        <f t="array" ref="AB49">IF(ISERROR(index(Com_AllFuels_SEDS_2022_TBtus!$S$3:$S$53,match($B36&amp;AB$2,Com_AllFuels_SEDS_2022_TBtus!$B$3:$B$53&amp;Com_AllFuels_SEDS_2022_TBtus!$A$3:$A$53,0))),0,(index(Com_AllFuels_SEDS_2022_TBtus!$S$3:$S$53,match($B36&amp;AB$2,Com_AllFuels_SEDS_2022_TBtus!$B$3:$B$53&amp;Com_AllFuels_SEDS_2022_TBtus!$A$3:$A$53,0))))</f>
        <v>0</v>
      </c>
      <c r="AC49" s="74">
        <f t="array" ref="AC49">IF(ISERROR(index(Com_AllFuels_SEDS_2022_TBtus!$S$3:$S$53,match($B36&amp;AC$2,Com_AllFuels_SEDS_2022_TBtus!$B$3:$B$53&amp;Com_AllFuels_SEDS_2022_TBtus!$A$3:$A$53,0))),0,(index(Com_AllFuels_SEDS_2022_TBtus!$S$3:$S$53,match($B36&amp;AC$2,Com_AllFuels_SEDS_2022_TBtus!$B$3:$B$53&amp;Com_AllFuels_SEDS_2022_TBtus!$A$3:$A$53,0))))</f>
        <v>0</v>
      </c>
      <c r="AD49" s="74">
        <f t="array" ref="AD49">IF(ISERROR(index(Com_AllFuels_SEDS_2022_TBtus!$S$3:$S$53,match($B36&amp;AD$2,Com_AllFuels_SEDS_2022_TBtus!$B$3:$B$53&amp;Com_AllFuels_SEDS_2022_TBtus!$A$3:$A$53,0))),0,(index(Com_AllFuels_SEDS_2022_TBtus!$S$3:$S$53,match($B36&amp;AD$2,Com_AllFuels_SEDS_2022_TBtus!$B$3:$B$53&amp;Com_AllFuels_SEDS_2022_TBtus!$A$3:$A$53,0))))</f>
        <v>0</v>
      </c>
      <c r="AE49" s="74">
        <f t="array" ref="AE49">IF(ISERROR(index(Com_AllFuels_SEDS_2022_TBtus!$S$3:$S$53,match($B36&amp;AE$2,Com_AllFuels_SEDS_2022_TBtus!$B$3:$B$53&amp;Com_AllFuels_SEDS_2022_TBtus!$A$3:$A$53,0))),0,(index(Com_AllFuels_SEDS_2022_TBtus!$S$3:$S$53,match($B36&amp;AE$2,Com_AllFuels_SEDS_2022_TBtus!$B$3:$B$53&amp;Com_AllFuels_SEDS_2022_TBtus!$A$3:$A$53,0))))</f>
        <v>0</v>
      </c>
      <c r="AF49" s="74">
        <f t="array" ref="AF49">IF(ISERROR(index(Com_AllFuels_SEDS_2022_TBtus!$S$3:$S$53,match($B36&amp;AF$2,Com_AllFuels_SEDS_2022_TBtus!$B$3:$B$53&amp;Com_AllFuels_SEDS_2022_TBtus!$A$3:$A$53,0))),0,(index(Com_AllFuels_SEDS_2022_TBtus!$S$3:$S$53,match($B36&amp;AF$2,Com_AllFuels_SEDS_2022_TBtus!$B$3:$B$53&amp;Com_AllFuels_SEDS_2022_TBtus!$A$3:$A$53,0))))</f>
        <v>0</v>
      </c>
      <c r="AG49" s="74">
        <f t="array" ref="AG49">IF(ISERROR(index(Com_AllFuels_SEDS_2022_TBtus!$S$3:$S$53,match($B36&amp;AG$2,Com_AllFuels_SEDS_2022_TBtus!$B$3:$B$53&amp;Com_AllFuels_SEDS_2022_TBtus!$A$3:$A$53,0))),0,(index(Com_AllFuels_SEDS_2022_TBtus!$S$3:$S$53,match($B36&amp;AG$2,Com_AllFuels_SEDS_2022_TBtus!$B$3:$B$53&amp;Com_AllFuels_SEDS_2022_TBtus!$A$3:$A$53,0))))</f>
        <v>0</v>
      </c>
      <c r="AH49" s="74">
        <f t="array" ref="AH49">IF(ISERROR(index(Com_AllFuels_SEDS_2022_TBtus!$S$3:$S$53,match($B36&amp;AH$2,Com_AllFuels_SEDS_2022_TBtus!$B$3:$B$53&amp;Com_AllFuels_SEDS_2022_TBtus!$A$3:$A$53,0))),0,(index(Com_AllFuels_SEDS_2022_TBtus!$S$3:$S$53,match($B36&amp;AH$2,Com_AllFuels_SEDS_2022_TBtus!$B$3:$B$53&amp;Com_AllFuels_SEDS_2022_TBtus!$A$3:$A$53,0))))</f>
        <v>0</v>
      </c>
      <c r="AI49" s="74">
        <f t="array" ref="AI49">IF(ISERROR(index(Com_AllFuels_SEDS_2022_TBtus!$S$3:$S$53,match($B36&amp;AI$2,Com_AllFuels_SEDS_2022_TBtus!$B$3:$B$53&amp;Com_AllFuels_SEDS_2022_TBtus!$A$3:$A$53,0))),0,(index(Com_AllFuels_SEDS_2022_TBtus!$S$3:$S$53,match($B36&amp;AI$2,Com_AllFuels_SEDS_2022_TBtus!$B$3:$B$53&amp;Com_AllFuels_SEDS_2022_TBtus!$A$3:$A$53,0))))</f>
        <v>0</v>
      </c>
      <c r="AJ49" s="74">
        <f t="array" ref="AJ49">IF(ISERROR(index(Com_AllFuels_SEDS_2022_TBtus!$S$3:$S$53,match($B36&amp;AJ$2,Com_AllFuels_SEDS_2022_TBtus!$B$3:$B$53&amp;Com_AllFuels_SEDS_2022_TBtus!$A$3:$A$53,0))),0,(index(Com_AllFuels_SEDS_2022_TBtus!$S$3:$S$53,match($B36&amp;AJ$2,Com_AllFuels_SEDS_2022_TBtus!$B$3:$B$53&amp;Com_AllFuels_SEDS_2022_TBtus!$A$3:$A$53,0))))</f>
        <v>0</v>
      </c>
      <c r="AK49" s="74">
        <f t="array" ref="AK49">IF(ISERROR(index(Com_AllFuels_SEDS_2022_TBtus!$S$3:$S$53,match($B36&amp;AK$2,Com_AllFuels_SEDS_2022_TBtus!$B$3:$B$53&amp;Com_AllFuels_SEDS_2022_TBtus!$A$3:$A$53,0))),0,(index(Com_AllFuels_SEDS_2022_TBtus!$S$3:$S$53,match($B36&amp;AK$2,Com_AllFuels_SEDS_2022_TBtus!$B$3:$B$53&amp;Com_AllFuels_SEDS_2022_TBtus!$A$3:$A$53,0))))</f>
        <v>0</v>
      </c>
      <c r="AL49" s="74">
        <f t="array" ref="AL49">IF(ISERROR(index(Com_AllFuels_SEDS_2022_TBtus!$S$3:$S$53,match($B36&amp;AL$2,Com_AllFuels_SEDS_2022_TBtus!$B$3:$B$53&amp;Com_AllFuels_SEDS_2022_TBtus!$A$3:$A$53,0))),0,(index(Com_AllFuels_SEDS_2022_TBtus!$S$3:$S$53,match($B36&amp;AL$2,Com_AllFuels_SEDS_2022_TBtus!$B$3:$B$53&amp;Com_AllFuels_SEDS_2022_TBtus!$A$3:$A$53,0))))</f>
        <v>0</v>
      </c>
      <c r="AM49" s="74">
        <f t="array" ref="AM49">IF(ISERROR(index(Com_AllFuels_SEDS_2022_TBtus!$S$3:$S$53,match($B36&amp;AM$2,Com_AllFuels_SEDS_2022_TBtus!$B$3:$B$53&amp;Com_AllFuels_SEDS_2022_TBtus!$A$3:$A$53,0))),0,(index(Com_AllFuels_SEDS_2022_TBtus!$S$3:$S$53,match($B36&amp;AM$2,Com_AllFuels_SEDS_2022_TBtus!$B$3:$B$53&amp;Com_AllFuels_SEDS_2022_TBtus!$A$3:$A$53,0))))</f>
        <v>4.1</v>
      </c>
      <c r="AN49" s="74">
        <f t="array" ref="AN49">IF(ISERROR(index(Com_AllFuels_SEDS_2022_TBtus!$S$3:$S$53,match($B36&amp;AN$2,Com_AllFuels_SEDS_2022_TBtus!$B$3:$B$53&amp;Com_AllFuels_SEDS_2022_TBtus!$A$3:$A$53,0))),0,(index(Com_AllFuels_SEDS_2022_TBtus!$S$3:$S$53,match($B36&amp;AN$2,Com_AllFuels_SEDS_2022_TBtus!$B$3:$B$53&amp;Com_AllFuels_SEDS_2022_TBtus!$A$3:$A$53,0))))</f>
        <v>0</v>
      </c>
      <c r="AO49" s="74">
        <f t="array" ref="AO49">IF(ISERROR(index(Com_AllFuels_SEDS_2022_TBtus!$S$3:$S$53,match($B36&amp;AO$2,Com_AllFuels_SEDS_2022_TBtus!$B$3:$B$53&amp;Com_AllFuels_SEDS_2022_TBtus!$A$3:$A$53,0))),0,(index(Com_AllFuels_SEDS_2022_TBtus!$S$3:$S$53,match($B36&amp;AO$2,Com_AllFuels_SEDS_2022_TBtus!$B$3:$B$53&amp;Com_AllFuels_SEDS_2022_TBtus!$A$3:$A$53,0))))</f>
        <v>0</v>
      </c>
      <c r="AP49" s="74">
        <f t="array" ref="AP49">IF(ISERROR(index(Com_AllFuels_SEDS_2022_TBtus!$S$3:$S$53,match($B36&amp;AP$2,Com_AllFuels_SEDS_2022_TBtus!$B$3:$B$53&amp;Com_AllFuels_SEDS_2022_TBtus!$A$3:$A$53,0))),0,(index(Com_AllFuels_SEDS_2022_TBtus!$S$3:$S$53,match($B36&amp;AP$2,Com_AllFuels_SEDS_2022_TBtus!$B$3:$B$53&amp;Com_AllFuels_SEDS_2022_TBtus!$A$3:$A$53,0))))</f>
        <v>0</v>
      </c>
      <c r="AQ49" s="74">
        <f t="array" ref="AQ49">IF(ISERROR(index(Com_AllFuels_SEDS_2022_TBtus!$S$3:$S$53,match($B36&amp;AQ$2,Com_AllFuels_SEDS_2022_TBtus!$B$3:$B$53&amp;Com_AllFuels_SEDS_2022_TBtus!$A$3:$A$53,0))),0,(index(Com_AllFuels_SEDS_2022_TBtus!$S$3:$S$53,match($B36&amp;AQ$2,Com_AllFuels_SEDS_2022_TBtus!$B$3:$B$53&amp;Com_AllFuels_SEDS_2022_TBtus!$A$3:$A$53,0))))</f>
        <v>0</v>
      </c>
      <c r="AR49" s="74">
        <f t="array" ref="AR49">IF(ISERROR(index(Com_AllFuels_SEDS_2022_TBtus!$S$3:$S$53,match($B36&amp;AR$2,Com_AllFuels_SEDS_2022_TBtus!$B$3:$B$53&amp;Com_AllFuels_SEDS_2022_TBtus!$A$3:$A$53,0))),0,(index(Com_AllFuels_SEDS_2022_TBtus!$S$3:$S$53,match($B36&amp;AR$2,Com_AllFuels_SEDS_2022_TBtus!$B$3:$B$53&amp;Com_AllFuels_SEDS_2022_TBtus!$A$3:$A$53,0))))</f>
        <v>0</v>
      </c>
      <c r="AS49" s="74">
        <f t="array" ref="AS49">IF(ISERROR(index(Com_AllFuels_SEDS_2022_TBtus!$S$3:$S$53,match($B36&amp;AS$2,Com_AllFuels_SEDS_2022_TBtus!$B$3:$B$53&amp;Com_AllFuels_SEDS_2022_TBtus!$A$3:$A$53,0))),0,(index(Com_AllFuels_SEDS_2022_TBtus!$S$3:$S$53,match($B36&amp;AS$2,Com_AllFuels_SEDS_2022_TBtus!$B$3:$B$53&amp;Com_AllFuels_SEDS_2022_TBtus!$A$3:$A$53,0))))</f>
        <v>0</v>
      </c>
      <c r="AT49" s="74">
        <f t="array" ref="AT49">IF(ISERROR(index(Com_AllFuels_SEDS_2022_TBtus!$S$3:$S$53,match($B36&amp;AT$2,Com_AllFuels_SEDS_2022_TBtus!$B$3:$B$53&amp;Com_AllFuels_SEDS_2022_TBtus!$A$3:$A$53,0))),0,(index(Com_AllFuels_SEDS_2022_TBtus!$S$3:$S$53,match($B36&amp;AT$2,Com_AllFuels_SEDS_2022_TBtus!$B$3:$B$53&amp;Com_AllFuels_SEDS_2022_TBtus!$A$3:$A$53,0))))</f>
        <v>17.8</v>
      </c>
      <c r="AU49" s="74">
        <f t="array" ref="AU49">IF(ISERROR(index(Com_AllFuels_SEDS_2022_TBtus!$S$3:$S$53,match($B36&amp;AU$2,Com_AllFuels_SEDS_2022_TBtus!$B$3:$B$53&amp;Com_AllFuels_SEDS_2022_TBtus!$A$3:$A$53,0))),0,(index(Com_AllFuels_SEDS_2022_TBtus!$S$3:$S$53,match($B36&amp;AU$2,Com_AllFuels_SEDS_2022_TBtus!$B$3:$B$53&amp;Com_AllFuels_SEDS_2022_TBtus!$A$3:$A$53,0))))</f>
        <v>0</v>
      </c>
      <c r="AV49" s="74">
        <f t="array" ref="AV49">IF(ISERROR(index(Com_AllFuels_SEDS_2022_TBtus!$S$3:$S$53,match($B36&amp;AV$2,Com_AllFuels_SEDS_2022_TBtus!$B$3:$B$53&amp;Com_AllFuels_SEDS_2022_TBtus!$A$3:$A$53,0))),0,(index(Com_AllFuels_SEDS_2022_TBtus!$S$3:$S$53,match($B36&amp;AV$2,Com_AllFuels_SEDS_2022_TBtus!$B$3:$B$53&amp;Com_AllFuels_SEDS_2022_TBtus!$A$3:$A$53,0))))</f>
        <v>0</v>
      </c>
      <c r="AW49" s="74">
        <f t="array" ref="AW49">IF(ISERROR(index(Com_AllFuels_SEDS_2022_TBtus!$S$3:$S$53,match($B36&amp;AW$2,Com_AllFuels_SEDS_2022_TBtus!$B$3:$B$53&amp;Com_AllFuels_SEDS_2022_TBtus!$A$3:$A$53,0))),0,(index(Com_AllFuels_SEDS_2022_TBtus!$S$3:$S$53,match($B36&amp;AW$2,Com_AllFuels_SEDS_2022_TBtus!$B$3:$B$53&amp;Com_AllFuels_SEDS_2022_TBtus!$A$3:$A$53,0))))</f>
        <v>0</v>
      </c>
      <c r="AX49" s="74">
        <f t="array" ref="AX49">IF(ISERROR(index(Com_AllFuels_SEDS_2022_TBtus!$S$3:$S$53,match($B36&amp;AX$2,Com_AllFuels_SEDS_2022_TBtus!$B$3:$B$53&amp;Com_AllFuels_SEDS_2022_TBtus!$A$3:$A$53,0))),0,(index(Com_AllFuels_SEDS_2022_TBtus!$S$3:$S$53,match($B36&amp;AX$2,Com_AllFuels_SEDS_2022_TBtus!$B$3:$B$53&amp;Com_AllFuels_SEDS_2022_TBtus!$A$3:$A$53,0))))</f>
        <v>0</v>
      </c>
      <c r="AY49" s="74">
        <f t="array" ref="AY49">IF(ISERROR(index(Com_AllFuels_SEDS_2022_TBtus!$S$3:$S$53,match($B36&amp;AY$2,Com_AllFuels_SEDS_2022_TBtus!$B$3:$B$53&amp;Com_AllFuels_SEDS_2022_TBtus!$A$3:$A$53,0))),0,(index(Com_AllFuels_SEDS_2022_TBtus!$S$3:$S$53,match($B36&amp;AY$2,Com_AllFuels_SEDS_2022_TBtus!$B$3:$B$53&amp;Com_AllFuels_SEDS_2022_TBtus!$A$3:$A$53,0))))</f>
        <v>0</v>
      </c>
      <c r="AZ49" s="74">
        <f t="array" ref="AZ49">IF(ISERROR(index(Com_AllFuels_SEDS_2022_TBtus!$S$3:$S$53,match($B36&amp;AZ$2,Com_AllFuels_SEDS_2022_TBtus!$B$3:$B$53&amp;Com_AllFuels_SEDS_2022_TBtus!$A$3:$A$53,0))),0,(index(Com_AllFuels_SEDS_2022_TBtus!$S$3:$S$53,match($B36&amp;AZ$2,Com_AllFuels_SEDS_2022_TBtus!$B$3:$B$53&amp;Com_AllFuels_SEDS_2022_TBtus!$A$3:$A$53,0))))</f>
        <v>0</v>
      </c>
      <c r="BA49" s="74">
        <f t="array" ref="BA49">IF(ISERROR(index(Com_AllFuels_SEDS_2022_TBtus!$S$3:$S$53,match($B36&amp;BA$2,Com_AllFuels_SEDS_2022_TBtus!$B$3:$B$53&amp;Com_AllFuels_SEDS_2022_TBtus!$A$3:$A$53,0))),0,(index(Com_AllFuels_SEDS_2022_TBtus!$S$3:$S$53,match($B36&amp;BA$2,Com_AllFuels_SEDS_2022_TBtus!$B$3:$B$53&amp;Com_AllFuels_SEDS_2022_TBtus!$A$3:$A$53,0))))</f>
        <v>0</v>
      </c>
      <c r="BB49" s="74">
        <f t="shared" si="7"/>
        <v>28.7</v>
      </c>
    </row>
    <row r="50" ht="15.75" customHeight="1">
      <c r="A50" s="78"/>
      <c r="B50" s="74">
        <v>8.0</v>
      </c>
      <c r="C50" s="74">
        <f t="array" ref="C50">IF(ISERROR(index(Com_AllFuels_SEDS_2022_TBtus!$S$3:$S$53,match($B37&amp;C$2,Com_AllFuels_SEDS_2022_TBtus!$B$3:$B$53&amp;Com_AllFuels_SEDS_2022_TBtus!$A$3:$A$53,0))),0,(index(Com_AllFuels_SEDS_2022_TBtus!$S$3:$S$53,match($B37&amp;C$2,Com_AllFuels_SEDS_2022_TBtus!$B$3:$B$53&amp;Com_AllFuels_SEDS_2022_TBtus!$A$3:$A$53,0))))</f>
        <v>0</v>
      </c>
      <c r="D50" s="74">
        <f t="array" ref="D50">IF(ISERROR(index(Com_AllFuels_SEDS_2022_TBtus!$S$3:$S$53,match($B37&amp;D$2,Com_AllFuels_SEDS_2022_TBtus!$B$3:$B$53&amp;Com_AllFuels_SEDS_2022_TBtus!$A$3:$A$53,0))),0,(index(Com_AllFuels_SEDS_2022_TBtus!$S$3:$S$53,match($B37&amp;D$2,Com_AllFuels_SEDS_2022_TBtus!$B$3:$B$53&amp;Com_AllFuels_SEDS_2022_TBtus!$A$3:$A$53,0))))</f>
        <v>0</v>
      </c>
      <c r="E50" s="74">
        <f t="array" ref="E50">IF(ISERROR(index(Com_AllFuels_SEDS_2022_TBtus!$S$3:$S$53,match($B37&amp;E$2,Com_AllFuels_SEDS_2022_TBtus!$B$3:$B$53&amp;Com_AllFuels_SEDS_2022_TBtus!$A$3:$A$53,0))),0,(index(Com_AllFuels_SEDS_2022_TBtus!$S$3:$S$53,match($B37&amp;E$2,Com_AllFuels_SEDS_2022_TBtus!$B$3:$B$53&amp;Com_AllFuels_SEDS_2022_TBtus!$A$3:$A$53,0))))</f>
        <v>6</v>
      </c>
      <c r="F50" s="74">
        <f t="array" ref="F50">IF(ISERROR(index(Com_AllFuels_SEDS_2022_TBtus!$S$3:$S$53,match($B37&amp;F$2,Com_AllFuels_SEDS_2022_TBtus!$B$3:$B$53&amp;Com_AllFuels_SEDS_2022_TBtus!$A$3:$A$53,0))),0,(index(Com_AllFuels_SEDS_2022_TBtus!$S$3:$S$53,match($B37&amp;F$2,Com_AllFuels_SEDS_2022_TBtus!$B$3:$B$53&amp;Com_AllFuels_SEDS_2022_TBtus!$A$3:$A$53,0))))</f>
        <v>0</v>
      </c>
      <c r="G50" s="74">
        <f t="array" ref="G50">IF(ISERROR(index(Com_AllFuels_SEDS_2022_TBtus!$S$3:$S$53,match($B37&amp;G$2,Com_AllFuels_SEDS_2022_TBtus!$B$3:$B$53&amp;Com_AllFuels_SEDS_2022_TBtus!$A$3:$A$53,0))),0,(index(Com_AllFuels_SEDS_2022_TBtus!$S$3:$S$53,match($B37&amp;G$2,Com_AllFuels_SEDS_2022_TBtus!$B$3:$B$53&amp;Com_AllFuels_SEDS_2022_TBtus!$A$3:$A$53,0))))</f>
        <v>0</v>
      </c>
      <c r="H50" s="74">
        <f t="array" ref="H50">IF(ISERROR(index(Com_AllFuels_SEDS_2022_TBtus!$S$3:$S$53,match($B37&amp;H$2,Com_AllFuels_SEDS_2022_TBtus!$B$3:$B$53&amp;Com_AllFuels_SEDS_2022_TBtus!$A$3:$A$53,0))),0,(index(Com_AllFuels_SEDS_2022_TBtus!$S$3:$S$53,match($B37&amp;H$2,Com_AllFuels_SEDS_2022_TBtus!$B$3:$B$53&amp;Com_AllFuels_SEDS_2022_TBtus!$A$3:$A$53,0))))</f>
        <v>4.9</v>
      </c>
      <c r="I50" s="74">
        <f t="array" ref="I50">IF(ISERROR(index(Com_AllFuels_SEDS_2022_TBtus!$S$3:$S$53,match($B37&amp;I$2,Com_AllFuels_SEDS_2022_TBtus!$B$3:$B$53&amp;Com_AllFuels_SEDS_2022_TBtus!$A$3:$A$53,0))),0,(index(Com_AllFuels_SEDS_2022_TBtus!$S$3:$S$53,match($B37&amp;I$2,Com_AllFuels_SEDS_2022_TBtus!$B$3:$B$53&amp;Com_AllFuels_SEDS_2022_TBtus!$A$3:$A$53,0))))</f>
        <v>0</v>
      </c>
      <c r="J50" s="74">
        <f t="array" ref="J50">IF(ISERROR(index(Com_AllFuels_SEDS_2022_TBtus!$S$3:$S$53,match($B37&amp;J$2,Com_AllFuels_SEDS_2022_TBtus!$B$3:$B$53&amp;Com_AllFuels_SEDS_2022_TBtus!$A$3:$A$53,0))),0,(index(Com_AllFuels_SEDS_2022_TBtus!$S$3:$S$53,match($B37&amp;J$2,Com_AllFuels_SEDS_2022_TBtus!$B$3:$B$53&amp;Com_AllFuels_SEDS_2022_TBtus!$A$3:$A$53,0))))</f>
        <v>0</v>
      </c>
      <c r="K50" s="74">
        <f t="array" ref="K50">IF(ISERROR(index(Com_AllFuels_SEDS_2022_TBtus!$S$3:$S$53,match($B37&amp;K$2,Com_AllFuels_SEDS_2022_TBtus!$B$3:$B$53&amp;Com_AllFuels_SEDS_2022_TBtus!$A$3:$A$53,0))),0,(index(Com_AllFuels_SEDS_2022_TBtus!$S$3:$S$53,match($B37&amp;K$2,Com_AllFuels_SEDS_2022_TBtus!$B$3:$B$53&amp;Com_AllFuels_SEDS_2022_TBtus!$A$3:$A$53,0))))</f>
        <v>0</v>
      </c>
      <c r="L50" s="74">
        <f t="array" ref="L50">IF(ISERROR(index(Com_AllFuels_SEDS_2022_TBtus!$S$3:$S$53,match($B37&amp;L$2,Com_AllFuels_SEDS_2022_TBtus!$B$3:$B$53&amp;Com_AllFuels_SEDS_2022_TBtus!$A$3:$A$53,0))),0,(index(Com_AllFuels_SEDS_2022_TBtus!$S$3:$S$53,match($B37&amp;L$2,Com_AllFuels_SEDS_2022_TBtus!$B$3:$B$53&amp;Com_AllFuels_SEDS_2022_TBtus!$A$3:$A$53,0))))</f>
        <v>0</v>
      </c>
      <c r="M50" s="74">
        <f t="array" ref="M50">IF(ISERROR(index(Com_AllFuels_SEDS_2022_TBtus!$S$3:$S$53,match($B37&amp;M$2,Com_AllFuels_SEDS_2022_TBtus!$B$3:$B$53&amp;Com_AllFuels_SEDS_2022_TBtus!$A$3:$A$53,0))),0,(index(Com_AllFuels_SEDS_2022_TBtus!$S$3:$S$53,match($B37&amp;M$2,Com_AllFuels_SEDS_2022_TBtus!$B$3:$B$53&amp;Com_AllFuels_SEDS_2022_TBtus!$A$3:$A$53,0))))</f>
        <v>0</v>
      </c>
      <c r="N50" s="74">
        <f t="array" ref="N50">IF(ISERROR(index(Com_AllFuels_SEDS_2022_TBtus!$S$3:$S$53,match($B37&amp;N$2,Com_AllFuels_SEDS_2022_TBtus!$B$3:$B$53&amp;Com_AllFuels_SEDS_2022_TBtus!$A$3:$A$53,0))),0,(index(Com_AllFuels_SEDS_2022_TBtus!$S$3:$S$53,match($B37&amp;N$2,Com_AllFuels_SEDS_2022_TBtus!$B$3:$B$53&amp;Com_AllFuels_SEDS_2022_TBtus!$A$3:$A$53,0))))</f>
        <v>0</v>
      </c>
      <c r="O50" s="74">
        <f t="array" ref="O50">IF(ISERROR(index(Com_AllFuels_SEDS_2022_TBtus!$S$3:$S$53,match($B37&amp;O$2,Com_AllFuels_SEDS_2022_TBtus!$B$3:$B$53&amp;Com_AllFuels_SEDS_2022_TBtus!$A$3:$A$53,0))),0,(index(Com_AllFuels_SEDS_2022_TBtus!$S$3:$S$53,match($B37&amp;O$2,Com_AllFuels_SEDS_2022_TBtus!$B$3:$B$53&amp;Com_AllFuels_SEDS_2022_TBtus!$A$3:$A$53,0))))</f>
        <v>2.4</v>
      </c>
      <c r="P50" s="74">
        <f t="array" ref="P50">IF(ISERROR(index(Com_AllFuels_SEDS_2022_TBtus!$S$3:$S$53,match($B37&amp;P$2,Com_AllFuels_SEDS_2022_TBtus!$B$3:$B$53&amp;Com_AllFuels_SEDS_2022_TBtus!$A$3:$A$53,0))),0,(index(Com_AllFuels_SEDS_2022_TBtus!$S$3:$S$53,match($B37&amp;P$2,Com_AllFuels_SEDS_2022_TBtus!$B$3:$B$53&amp;Com_AllFuels_SEDS_2022_TBtus!$A$3:$A$53,0))))</f>
        <v>0</v>
      </c>
      <c r="Q50" s="74">
        <f t="array" ref="Q50">IF(ISERROR(index(Com_AllFuels_SEDS_2022_TBtus!$S$3:$S$53,match($B37&amp;Q$2,Com_AllFuels_SEDS_2022_TBtus!$B$3:$B$53&amp;Com_AllFuels_SEDS_2022_TBtus!$A$3:$A$53,0))),0,(index(Com_AllFuels_SEDS_2022_TBtus!$S$3:$S$53,match($B37&amp;Q$2,Com_AllFuels_SEDS_2022_TBtus!$B$3:$B$53&amp;Com_AllFuels_SEDS_2022_TBtus!$A$3:$A$53,0))))</f>
        <v>0</v>
      </c>
      <c r="R50" s="74">
        <f t="array" ref="R50">IF(ISERROR(index(Com_AllFuels_SEDS_2022_TBtus!$S$3:$S$53,match($B37&amp;R$2,Com_AllFuels_SEDS_2022_TBtus!$B$3:$B$53&amp;Com_AllFuels_SEDS_2022_TBtus!$A$3:$A$53,0))),0,(index(Com_AllFuels_SEDS_2022_TBtus!$S$3:$S$53,match($B37&amp;R$2,Com_AllFuels_SEDS_2022_TBtus!$B$3:$B$53&amp;Com_AllFuels_SEDS_2022_TBtus!$A$3:$A$53,0))))</f>
        <v>0</v>
      </c>
      <c r="S50" s="74">
        <f t="array" ref="S50">IF(ISERROR(index(Com_AllFuels_SEDS_2022_TBtus!$S$3:$S$53,match($B37&amp;S$2,Com_AllFuels_SEDS_2022_TBtus!$B$3:$B$53&amp;Com_AllFuels_SEDS_2022_TBtus!$A$3:$A$53,0))),0,(index(Com_AllFuels_SEDS_2022_TBtus!$S$3:$S$53,match($B37&amp;S$2,Com_AllFuels_SEDS_2022_TBtus!$B$3:$B$53&amp;Com_AllFuels_SEDS_2022_TBtus!$A$3:$A$53,0))))</f>
        <v>0</v>
      </c>
      <c r="T50" s="74">
        <f t="array" ref="T50">IF(ISERROR(index(Com_AllFuels_SEDS_2022_TBtus!$S$3:$S$53,match($B37&amp;T$2,Com_AllFuels_SEDS_2022_TBtus!$B$3:$B$53&amp;Com_AllFuels_SEDS_2022_TBtus!$A$3:$A$53,0))),0,(index(Com_AllFuels_SEDS_2022_TBtus!$S$3:$S$53,match($B37&amp;T$2,Com_AllFuels_SEDS_2022_TBtus!$B$3:$B$53&amp;Com_AllFuels_SEDS_2022_TBtus!$A$3:$A$53,0))))</f>
        <v>0</v>
      </c>
      <c r="U50" s="74">
        <f t="array" ref="U50">IF(ISERROR(index(Com_AllFuels_SEDS_2022_TBtus!$S$3:$S$53,match($B37&amp;U$2,Com_AllFuels_SEDS_2022_TBtus!$B$3:$B$53&amp;Com_AllFuels_SEDS_2022_TBtus!$A$3:$A$53,0))),0,(index(Com_AllFuels_SEDS_2022_TBtus!$S$3:$S$53,match($B37&amp;U$2,Com_AllFuels_SEDS_2022_TBtus!$B$3:$B$53&amp;Com_AllFuels_SEDS_2022_TBtus!$A$3:$A$53,0))))</f>
        <v>0</v>
      </c>
      <c r="V50" s="74">
        <f t="array" ref="V50">IF(ISERROR(index(Com_AllFuels_SEDS_2022_TBtus!$S$3:$S$53,match($B37&amp;V$2,Com_AllFuels_SEDS_2022_TBtus!$B$3:$B$53&amp;Com_AllFuels_SEDS_2022_TBtus!$A$3:$A$53,0))),0,(index(Com_AllFuels_SEDS_2022_TBtus!$S$3:$S$53,match($B37&amp;V$2,Com_AllFuels_SEDS_2022_TBtus!$B$3:$B$53&amp;Com_AllFuels_SEDS_2022_TBtus!$A$3:$A$53,0))))</f>
        <v>0</v>
      </c>
      <c r="W50" s="74">
        <f t="array" ref="W50">IF(ISERROR(index(Com_AllFuels_SEDS_2022_TBtus!$S$3:$S$53,match($B37&amp;W$2,Com_AllFuels_SEDS_2022_TBtus!$B$3:$B$53&amp;Com_AllFuels_SEDS_2022_TBtus!$A$3:$A$53,0))),0,(index(Com_AllFuels_SEDS_2022_TBtus!$S$3:$S$53,match($B37&amp;W$2,Com_AllFuels_SEDS_2022_TBtus!$B$3:$B$53&amp;Com_AllFuels_SEDS_2022_TBtus!$A$3:$A$53,0))))</f>
        <v>0</v>
      </c>
      <c r="X50" s="74">
        <f t="array" ref="X50">IF(ISERROR(index(Com_AllFuels_SEDS_2022_TBtus!$S$3:$S$53,match($B37&amp;X$2,Com_AllFuels_SEDS_2022_TBtus!$B$3:$B$53&amp;Com_AllFuels_SEDS_2022_TBtus!$A$3:$A$53,0))),0,(index(Com_AllFuels_SEDS_2022_TBtus!$S$3:$S$53,match($B37&amp;X$2,Com_AllFuels_SEDS_2022_TBtus!$B$3:$B$53&amp;Com_AllFuels_SEDS_2022_TBtus!$A$3:$A$53,0))))</f>
        <v>0</v>
      </c>
      <c r="Y50" s="74">
        <f t="array" ref="Y50">IF(ISERROR(index(Com_AllFuels_SEDS_2022_TBtus!$S$3:$S$53,match($B37&amp;Y$2,Com_AllFuels_SEDS_2022_TBtus!$B$3:$B$53&amp;Com_AllFuels_SEDS_2022_TBtus!$A$3:$A$53,0))),0,(index(Com_AllFuels_SEDS_2022_TBtus!$S$3:$S$53,match($B37&amp;Y$2,Com_AllFuels_SEDS_2022_TBtus!$B$3:$B$53&amp;Com_AllFuels_SEDS_2022_TBtus!$A$3:$A$53,0))))</f>
        <v>0</v>
      </c>
      <c r="Z50" s="74">
        <f t="array" ref="Z50">IF(ISERROR(index(Com_AllFuels_SEDS_2022_TBtus!$S$3:$S$53,match($B37&amp;Z$2,Com_AllFuels_SEDS_2022_TBtus!$B$3:$B$53&amp;Com_AllFuels_SEDS_2022_TBtus!$A$3:$A$53,0))),0,(index(Com_AllFuels_SEDS_2022_TBtus!$S$3:$S$53,match($B37&amp;Z$2,Com_AllFuels_SEDS_2022_TBtus!$B$3:$B$53&amp;Com_AllFuels_SEDS_2022_TBtus!$A$3:$A$53,0))))</f>
        <v>0</v>
      </c>
      <c r="AA50" s="74">
        <f t="array" ref="AA50">IF(ISERROR(index(Com_AllFuels_SEDS_2022_TBtus!$S$3:$S$53,match($B37&amp;AA$2,Com_AllFuels_SEDS_2022_TBtus!$B$3:$B$53&amp;Com_AllFuels_SEDS_2022_TBtus!$A$3:$A$53,0))),0,(index(Com_AllFuels_SEDS_2022_TBtus!$S$3:$S$53,match($B37&amp;AA$2,Com_AllFuels_SEDS_2022_TBtus!$B$3:$B$53&amp;Com_AllFuels_SEDS_2022_TBtus!$A$3:$A$53,0))))</f>
        <v>0</v>
      </c>
      <c r="AB50" s="74">
        <f t="array" ref="AB50">IF(ISERROR(index(Com_AllFuels_SEDS_2022_TBtus!$S$3:$S$53,match($B37&amp;AB$2,Com_AllFuels_SEDS_2022_TBtus!$B$3:$B$53&amp;Com_AllFuels_SEDS_2022_TBtus!$A$3:$A$53,0))),0,(index(Com_AllFuels_SEDS_2022_TBtus!$S$3:$S$53,match($B37&amp;AB$2,Com_AllFuels_SEDS_2022_TBtus!$B$3:$B$53&amp;Com_AllFuels_SEDS_2022_TBtus!$A$3:$A$53,0))))</f>
        <v>0</v>
      </c>
      <c r="AC50" s="74">
        <f t="array" ref="AC50">IF(ISERROR(index(Com_AllFuels_SEDS_2022_TBtus!$S$3:$S$53,match($B37&amp;AC$2,Com_AllFuels_SEDS_2022_TBtus!$B$3:$B$53&amp;Com_AllFuels_SEDS_2022_TBtus!$A$3:$A$53,0))),0,(index(Com_AllFuels_SEDS_2022_TBtus!$S$3:$S$53,match($B37&amp;AC$2,Com_AllFuels_SEDS_2022_TBtus!$B$3:$B$53&amp;Com_AllFuels_SEDS_2022_TBtus!$A$3:$A$53,0))))</f>
        <v>0.6</v>
      </c>
      <c r="AD50" s="74">
        <f t="array" ref="AD50">IF(ISERROR(index(Com_AllFuels_SEDS_2022_TBtus!$S$3:$S$53,match($B37&amp;AD$2,Com_AllFuels_SEDS_2022_TBtus!$B$3:$B$53&amp;Com_AllFuels_SEDS_2022_TBtus!$A$3:$A$53,0))),0,(index(Com_AllFuels_SEDS_2022_TBtus!$S$3:$S$53,match($B37&amp;AD$2,Com_AllFuels_SEDS_2022_TBtus!$B$3:$B$53&amp;Com_AllFuels_SEDS_2022_TBtus!$A$3:$A$53,0))))</f>
        <v>0</v>
      </c>
      <c r="AE50" s="74">
        <f t="array" ref="AE50">IF(ISERROR(index(Com_AllFuels_SEDS_2022_TBtus!$S$3:$S$53,match($B37&amp;AE$2,Com_AllFuels_SEDS_2022_TBtus!$B$3:$B$53&amp;Com_AllFuels_SEDS_2022_TBtus!$A$3:$A$53,0))),0,(index(Com_AllFuels_SEDS_2022_TBtus!$S$3:$S$53,match($B37&amp;AE$2,Com_AllFuels_SEDS_2022_TBtus!$B$3:$B$53&amp;Com_AllFuels_SEDS_2022_TBtus!$A$3:$A$53,0))))</f>
        <v>2.2</v>
      </c>
      <c r="AF50" s="74">
        <f t="array" ref="AF50">IF(ISERROR(index(Com_AllFuels_SEDS_2022_TBtus!$S$3:$S$53,match($B37&amp;AF$2,Com_AllFuels_SEDS_2022_TBtus!$B$3:$B$53&amp;Com_AllFuels_SEDS_2022_TBtus!$A$3:$A$53,0))),0,(index(Com_AllFuels_SEDS_2022_TBtus!$S$3:$S$53,match($B37&amp;AF$2,Com_AllFuels_SEDS_2022_TBtus!$B$3:$B$53&amp;Com_AllFuels_SEDS_2022_TBtus!$A$3:$A$53,0))))</f>
        <v>0</v>
      </c>
      <c r="AG50" s="74">
        <f t="array" ref="AG50">IF(ISERROR(index(Com_AllFuels_SEDS_2022_TBtus!$S$3:$S$53,match($B37&amp;AG$2,Com_AllFuels_SEDS_2022_TBtus!$B$3:$B$53&amp;Com_AllFuels_SEDS_2022_TBtus!$A$3:$A$53,0))),0,(index(Com_AllFuels_SEDS_2022_TBtus!$S$3:$S$53,match($B37&amp;AG$2,Com_AllFuels_SEDS_2022_TBtus!$B$3:$B$53&amp;Com_AllFuels_SEDS_2022_TBtus!$A$3:$A$53,0))))</f>
        <v>0</v>
      </c>
      <c r="AH50" s="74">
        <f t="array" ref="AH50">IF(ISERROR(index(Com_AllFuels_SEDS_2022_TBtus!$S$3:$S$53,match($B37&amp;AH$2,Com_AllFuels_SEDS_2022_TBtus!$B$3:$B$53&amp;Com_AllFuels_SEDS_2022_TBtus!$A$3:$A$53,0))),0,(index(Com_AllFuels_SEDS_2022_TBtus!$S$3:$S$53,match($B37&amp;AH$2,Com_AllFuels_SEDS_2022_TBtus!$B$3:$B$53&amp;Com_AllFuels_SEDS_2022_TBtus!$A$3:$A$53,0))))</f>
        <v>1.4</v>
      </c>
      <c r="AI50" s="74">
        <f t="array" ref="AI50">IF(ISERROR(index(Com_AllFuels_SEDS_2022_TBtus!$S$3:$S$53,match($B37&amp;AI$2,Com_AllFuels_SEDS_2022_TBtus!$B$3:$B$53&amp;Com_AllFuels_SEDS_2022_TBtus!$A$3:$A$53,0))),0,(index(Com_AllFuels_SEDS_2022_TBtus!$S$3:$S$53,match($B37&amp;AI$2,Com_AllFuels_SEDS_2022_TBtus!$B$3:$B$53&amp;Com_AllFuels_SEDS_2022_TBtus!$A$3:$A$53,0))))</f>
        <v>0</v>
      </c>
      <c r="AJ50" s="74">
        <f t="array" ref="AJ50">IF(ISERROR(index(Com_AllFuels_SEDS_2022_TBtus!$S$3:$S$53,match($B37&amp;AJ$2,Com_AllFuels_SEDS_2022_TBtus!$B$3:$B$53&amp;Com_AllFuels_SEDS_2022_TBtus!$A$3:$A$53,0))),0,(index(Com_AllFuels_SEDS_2022_TBtus!$S$3:$S$53,match($B37&amp;AJ$2,Com_AllFuels_SEDS_2022_TBtus!$B$3:$B$53&amp;Com_AllFuels_SEDS_2022_TBtus!$A$3:$A$53,0))))</f>
        <v>0</v>
      </c>
      <c r="AK50" s="74">
        <f t="array" ref="AK50">IF(ISERROR(index(Com_AllFuels_SEDS_2022_TBtus!$S$3:$S$53,match($B37&amp;AK$2,Com_AllFuels_SEDS_2022_TBtus!$B$3:$B$53&amp;Com_AllFuels_SEDS_2022_TBtus!$A$3:$A$53,0))),0,(index(Com_AllFuels_SEDS_2022_TBtus!$S$3:$S$53,match($B37&amp;AK$2,Com_AllFuels_SEDS_2022_TBtus!$B$3:$B$53&amp;Com_AllFuels_SEDS_2022_TBtus!$A$3:$A$53,0))))</f>
        <v>0</v>
      </c>
      <c r="AL50" s="74">
        <f t="array" ref="AL50">IF(ISERROR(index(Com_AllFuels_SEDS_2022_TBtus!$S$3:$S$53,match($B37&amp;AL$2,Com_AllFuels_SEDS_2022_TBtus!$B$3:$B$53&amp;Com_AllFuels_SEDS_2022_TBtus!$A$3:$A$53,0))),0,(index(Com_AllFuels_SEDS_2022_TBtus!$S$3:$S$53,match($B37&amp;AL$2,Com_AllFuels_SEDS_2022_TBtus!$B$3:$B$53&amp;Com_AllFuels_SEDS_2022_TBtus!$A$3:$A$53,0))))</f>
        <v>0</v>
      </c>
      <c r="AM50" s="74">
        <f t="array" ref="AM50">IF(ISERROR(index(Com_AllFuels_SEDS_2022_TBtus!$S$3:$S$53,match($B37&amp;AM$2,Com_AllFuels_SEDS_2022_TBtus!$B$3:$B$53&amp;Com_AllFuels_SEDS_2022_TBtus!$A$3:$A$53,0))),0,(index(Com_AllFuels_SEDS_2022_TBtus!$S$3:$S$53,match($B37&amp;AM$2,Com_AllFuels_SEDS_2022_TBtus!$B$3:$B$53&amp;Com_AllFuels_SEDS_2022_TBtus!$A$3:$A$53,0))))</f>
        <v>0</v>
      </c>
      <c r="AN50" s="74">
        <f t="array" ref="AN50">IF(ISERROR(index(Com_AllFuels_SEDS_2022_TBtus!$S$3:$S$53,match($B37&amp;AN$2,Com_AllFuels_SEDS_2022_TBtus!$B$3:$B$53&amp;Com_AllFuels_SEDS_2022_TBtus!$A$3:$A$53,0))),0,(index(Com_AllFuels_SEDS_2022_TBtus!$S$3:$S$53,match($B37&amp;AN$2,Com_AllFuels_SEDS_2022_TBtus!$B$3:$B$53&amp;Com_AllFuels_SEDS_2022_TBtus!$A$3:$A$53,0))))</f>
        <v>0</v>
      </c>
      <c r="AO50" s="74">
        <f t="array" ref="AO50">IF(ISERROR(index(Com_AllFuels_SEDS_2022_TBtus!$S$3:$S$53,match($B37&amp;AO$2,Com_AllFuels_SEDS_2022_TBtus!$B$3:$B$53&amp;Com_AllFuels_SEDS_2022_TBtus!$A$3:$A$53,0))),0,(index(Com_AllFuels_SEDS_2022_TBtus!$S$3:$S$53,match($B37&amp;AO$2,Com_AllFuels_SEDS_2022_TBtus!$B$3:$B$53&amp;Com_AllFuels_SEDS_2022_TBtus!$A$3:$A$53,0))))</f>
        <v>0</v>
      </c>
      <c r="AP50" s="74">
        <f t="array" ref="AP50">IF(ISERROR(index(Com_AllFuels_SEDS_2022_TBtus!$S$3:$S$53,match($B37&amp;AP$2,Com_AllFuels_SEDS_2022_TBtus!$B$3:$B$53&amp;Com_AllFuels_SEDS_2022_TBtus!$A$3:$A$53,0))),0,(index(Com_AllFuels_SEDS_2022_TBtus!$S$3:$S$53,match($B37&amp;AP$2,Com_AllFuels_SEDS_2022_TBtus!$B$3:$B$53&amp;Com_AllFuels_SEDS_2022_TBtus!$A$3:$A$53,0))))</f>
        <v>0</v>
      </c>
      <c r="AQ50" s="74">
        <f t="array" ref="AQ50">IF(ISERROR(index(Com_AllFuels_SEDS_2022_TBtus!$S$3:$S$53,match($B37&amp;AQ$2,Com_AllFuels_SEDS_2022_TBtus!$B$3:$B$53&amp;Com_AllFuels_SEDS_2022_TBtus!$A$3:$A$53,0))),0,(index(Com_AllFuels_SEDS_2022_TBtus!$S$3:$S$53,match($B37&amp;AQ$2,Com_AllFuels_SEDS_2022_TBtus!$B$3:$B$53&amp;Com_AllFuels_SEDS_2022_TBtus!$A$3:$A$53,0))))</f>
        <v>0</v>
      </c>
      <c r="AR50" s="74">
        <f t="array" ref="AR50">IF(ISERROR(index(Com_AllFuels_SEDS_2022_TBtus!$S$3:$S$53,match($B37&amp;AR$2,Com_AllFuels_SEDS_2022_TBtus!$B$3:$B$53&amp;Com_AllFuels_SEDS_2022_TBtus!$A$3:$A$53,0))),0,(index(Com_AllFuels_SEDS_2022_TBtus!$S$3:$S$53,match($B37&amp;AR$2,Com_AllFuels_SEDS_2022_TBtus!$B$3:$B$53&amp;Com_AllFuels_SEDS_2022_TBtus!$A$3:$A$53,0))))</f>
        <v>0</v>
      </c>
      <c r="AS50" s="74">
        <f t="array" ref="AS50">IF(ISERROR(index(Com_AllFuels_SEDS_2022_TBtus!$S$3:$S$53,match($B37&amp;AS$2,Com_AllFuels_SEDS_2022_TBtus!$B$3:$B$53&amp;Com_AllFuels_SEDS_2022_TBtus!$A$3:$A$53,0))),0,(index(Com_AllFuels_SEDS_2022_TBtus!$S$3:$S$53,match($B37&amp;AS$2,Com_AllFuels_SEDS_2022_TBtus!$B$3:$B$53&amp;Com_AllFuels_SEDS_2022_TBtus!$A$3:$A$53,0))))</f>
        <v>0</v>
      </c>
      <c r="AT50" s="74">
        <f t="array" ref="AT50">IF(ISERROR(index(Com_AllFuels_SEDS_2022_TBtus!$S$3:$S$53,match($B37&amp;AT$2,Com_AllFuels_SEDS_2022_TBtus!$B$3:$B$53&amp;Com_AllFuels_SEDS_2022_TBtus!$A$3:$A$53,0))),0,(index(Com_AllFuels_SEDS_2022_TBtus!$S$3:$S$53,match($B37&amp;AT$2,Com_AllFuels_SEDS_2022_TBtus!$B$3:$B$53&amp;Com_AllFuels_SEDS_2022_TBtus!$A$3:$A$53,0))))</f>
        <v>0</v>
      </c>
      <c r="AU50" s="74">
        <f t="array" ref="AU50">IF(ISERROR(index(Com_AllFuels_SEDS_2022_TBtus!$S$3:$S$53,match($B37&amp;AU$2,Com_AllFuels_SEDS_2022_TBtus!$B$3:$B$53&amp;Com_AllFuels_SEDS_2022_TBtus!$A$3:$A$53,0))),0,(index(Com_AllFuels_SEDS_2022_TBtus!$S$3:$S$53,match($B37&amp;AU$2,Com_AllFuels_SEDS_2022_TBtus!$B$3:$B$53&amp;Com_AllFuels_SEDS_2022_TBtus!$A$3:$A$53,0))))</f>
        <v>2.9</v>
      </c>
      <c r="AV50" s="74">
        <f t="array" ref="AV50">IF(ISERROR(index(Com_AllFuels_SEDS_2022_TBtus!$S$3:$S$53,match($B37&amp;AV$2,Com_AllFuels_SEDS_2022_TBtus!$B$3:$B$53&amp;Com_AllFuels_SEDS_2022_TBtus!$A$3:$A$53,0))),0,(index(Com_AllFuels_SEDS_2022_TBtus!$S$3:$S$53,match($B37&amp;AV$2,Com_AllFuels_SEDS_2022_TBtus!$B$3:$B$53&amp;Com_AllFuels_SEDS_2022_TBtus!$A$3:$A$53,0))))</f>
        <v>0</v>
      </c>
      <c r="AW50" s="74">
        <f t="array" ref="AW50">IF(ISERROR(index(Com_AllFuels_SEDS_2022_TBtus!$S$3:$S$53,match($B37&amp;AW$2,Com_AllFuels_SEDS_2022_TBtus!$B$3:$B$53&amp;Com_AllFuels_SEDS_2022_TBtus!$A$3:$A$53,0))),0,(index(Com_AllFuels_SEDS_2022_TBtus!$S$3:$S$53,match($B37&amp;AW$2,Com_AllFuels_SEDS_2022_TBtus!$B$3:$B$53&amp;Com_AllFuels_SEDS_2022_TBtus!$A$3:$A$53,0))))</f>
        <v>0</v>
      </c>
      <c r="AX50" s="74">
        <f t="array" ref="AX50">IF(ISERROR(index(Com_AllFuels_SEDS_2022_TBtus!$S$3:$S$53,match($B37&amp;AX$2,Com_AllFuels_SEDS_2022_TBtus!$B$3:$B$53&amp;Com_AllFuels_SEDS_2022_TBtus!$A$3:$A$53,0))),0,(index(Com_AllFuels_SEDS_2022_TBtus!$S$3:$S$53,match($B37&amp;AX$2,Com_AllFuels_SEDS_2022_TBtus!$B$3:$B$53&amp;Com_AllFuels_SEDS_2022_TBtus!$A$3:$A$53,0))))</f>
        <v>0</v>
      </c>
      <c r="AY50" s="74">
        <f t="array" ref="AY50">IF(ISERROR(index(Com_AllFuels_SEDS_2022_TBtus!$S$3:$S$53,match($B37&amp;AY$2,Com_AllFuels_SEDS_2022_TBtus!$B$3:$B$53&amp;Com_AllFuels_SEDS_2022_TBtus!$A$3:$A$53,0))),0,(index(Com_AllFuels_SEDS_2022_TBtus!$S$3:$S$53,match($B37&amp;AY$2,Com_AllFuels_SEDS_2022_TBtus!$B$3:$B$53&amp;Com_AllFuels_SEDS_2022_TBtus!$A$3:$A$53,0))))</f>
        <v>0</v>
      </c>
      <c r="AZ50" s="74">
        <f t="array" ref="AZ50">IF(ISERROR(index(Com_AllFuels_SEDS_2022_TBtus!$S$3:$S$53,match($B37&amp;AZ$2,Com_AllFuels_SEDS_2022_TBtus!$B$3:$B$53&amp;Com_AllFuels_SEDS_2022_TBtus!$A$3:$A$53,0))),0,(index(Com_AllFuels_SEDS_2022_TBtus!$S$3:$S$53,match($B37&amp;AZ$2,Com_AllFuels_SEDS_2022_TBtus!$B$3:$B$53&amp;Com_AllFuels_SEDS_2022_TBtus!$A$3:$A$53,0))))</f>
        <v>0</v>
      </c>
      <c r="BA50" s="74">
        <f t="array" ref="BA50">IF(ISERROR(index(Com_AllFuels_SEDS_2022_TBtus!$S$3:$S$53,match($B37&amp;BA$2,Com_AllFuels_SEDS_2022_TBtus!$B$3:$B$53&amp;Com_AllFuels_SEDS_2022_TBtus!$A$3:$A$53,0))),0,(index(Com_AllFuels_SEDS_2022_TBtus!$S$3:$S$53,match($B37&amp;BA$2,Com_AllFuels_SEDS_2022_TBtus!$B$3:$B$53&amp;Com_AllFuels_SEDS_2022_TBtus!$A$3:$A$53,0))))</f>
        <v>1.6</v>
      </c>
      <c r="BB50" s="74">
        <f t="shared" si="7"/>
        <v>22</v>
      </c>
    </row>
    <row r="51" ht="15.75" customHeight="1">
      <c r="A51" s="78"/>
      <c r="B51" s="74">
        <v>9.0</v>
      </c>
      <c r="C51" s="74">
        <f t="array" ref="C51">IF(ISERROR(index(Com_AllFuels_SEDS_2022_TBtus!$S$3:$S$53,match($B38&amp;C$2,Com_AllFuels_SEDS_2022_TBtus!$B$3:$B$53&amp;Com_AllFuels_SEDS_2022_TBtus!$A$3:$A$53,0))),0,(index(Com_AllFuels_SEDS_2022_TBtus!$S$3:$S$53,match($B38&amp;C$2,Com_AllFuels_SEDS_2022_TBtus!$B$3:$B$53&amp;Com_AllFuels_SEDS_2022_TBtus!$A$3:$A$53,0))))</f>
        <v>0</v>
      </c>
      <c r="D51" s="74">
        <f t="array" ref="D51">IF(ISERROR(index(Com_AllFuels_SEDS_2022_TBtus!$S$3:$S$53,match($B38&amp;D$2,Com_AllFuels_SEDS_2022_TBtus!$B$3:$B$53&amp;Com_AllFuels_SEDS_2022_TBtus!$A$3:$A$53,0))),0,(index(Com_AllFuels_SEDS_2022_TBtus!$S$3:$S$53,match($B38&amp;D$2,Com_AllFuels_SEDS_2022_TBtus!$B$3:$B$53&amp;Com_AllFuels_SEDS_2022_TBtus!$A$3:$A$53,0))))</f>
        <v>7.5</v>
      </c>
      <c r="E51" s="74">
        <f t="array" ref="E51">IF(ISERROR(index(Com_AllFuels_SEDS_2022_TBtus!$S$3:$S$53,match($B38&amp;E$2,Com_AllFuels_SEDS_2022_TBtus!$B$3:$B$53&amp;Com_AllFuels_SEDS_2022_TBtus!$A$3:$A$53,0))),0,(index(Com_AllFuels_SEDS_2022_TBtus!$S$3:$S$53,match($B38&amp;E$2,Com_AllFuels_SEDS_2022_TBtus!$B$3:$B$53&amp;Com_AllFuels_SEDS_2022_TBtus!$A$3:$A$53,0))))</f>
        <v>0</v>
      </c>
      <c r="F51" s="74">
        <f t="array" ref="F51">IF(ISERROR(index(Com_AllFuels_SEDS_2022_TBtus!$S$3:$S$53,match($B38&amp;F$2,Com_AllFuels_SEDS_2022_TBtus!$B$3:$B$53&amp;Com_AllFuels_SEDS_2022_TBtus!$A$3:$A$53,0))),0,(index(Com_AllFuels_SEDS_2022_TBtus!$S$3:$S$53,match($B38&amp;F$2,Com_AllFuels_SEDS_2022_TBtus!$B$3:$B$53&amp;Com_AllFuels_SEDS_2022_TBtus!$A$3:$A$53,0))))</f>
        <v>0</v>
      </c>
      <c r="G51" s="74">
        <f t="array" ref="G51">IF(ISERROR(index(Com_AllFuels_SEDS_2022_TBtus!$S$3:$S$53,match($B38&amp;G$2,Com_AllFuels_SEDS_2022_TBtus!$B$3:$B$53&amp;Com_AllFuels_SEDS_2022_TBtus!$A$3:$A$53,0))),0,(index(Com_AllFuels_SEDS_2022_TBtus!$S$3:$S$53,match($B38&amp;G$2,Com_AllFuels_SEDS_2022_TBtus!$B$3:$B$53&amp;Com_AllFuels_SEDS_2022_TBtus!$A$3:$A$53,0))))</f>
        <v>20.5</v>
      </c>
      <c r="H51" s="74">
        <f t="array" ref="H51">IF(ISERROR(index(Com_AllFuels_SEDS_2022_TBtus!$S$3:$S$53,match($B38&amp;H$2,Com_AllFuels_SEDS_2022_TBtus!$B$3:$B$53&amp;Com_AllFuels_SEDS_2022_TBtus!$A$3:$A$53,0))),0,(index(Com_AllFuels_SEDS_2022_TBtus!$S$3:$S$53,match($B38&amp;H$2,Com_AllFuels_SEDS_2022_TBtus!$B$3:$B$53&amp;Com_AllFuels_SEDS_2022_TBtus!$A$3:$A$53,0))))</f>
        <v>0</v>
      </c>
      <c r="I51" s="74">
        <f t="array" ref="I51">IF(ISERROR(index(Com_AllFuels_SEDS_2022_TBtus!$S$3:$S$53,match($B38&amp;I$2,Com_AllFuels_SEDS_2022_TBtus!$B$3:$B$53&amp;Com_AllFuels_SEDS_2022_TBtus!$A$3:$A$53,0))),0,(index(Com_AllFuels_SEDS_2022_TBtus!$S$3:$S$53,match($B38&amp;I$2,Com_AllFuels_SEDS_2022_TBtus!$B$3:$B$53&amp;Com_AllFuels_SEDS_2022_TBtus!$A$3:$A$53,0))))</f>
        <v>0</v>
      </c>
      <c r="J51" s="74">
        <f t="array" ref="J51">IF(ISERROR(index(Com_AllFuels_SEDS_2022_TBtus!$S$3:$S$53,match($B38&amp;J$2,Com_AllFuels_SEDS_2022_TBtus!$B$3:$B$53&amp;Com_AllFuels_SEDS_2022_TBtus!$A$3:$A$53,0))),0,(index(Com_AllFuels_SEDS_2022_TBtus!$S$3:$S$53,match($B38&amp;J$2,Com_AllFuels_SEDS_2022_TBtus!$B$3:$B$53&amp;Com_AllFuels_SEDS_2022_TBtus!$A$3:$A$53,0))))</f>
        <v>0</v>
      </c>
      <c r="K51" s="74">
        <f t="array" ref="K51">IF(ISERROR(index(Com_AllFuels_SEDS_2022_TBtus!$S$3:$S$53,match($B38&amp;K$2,Com_AllFuels_SEDS_2022_TBtus!$B$3:$B$53&amp;Com_AllFuels_SEDS_2022_TBtus!$A$3:$A$53,0))),0,(index(Com_AllFuels_SEDS_2022_TBtus!$S$3:$S$53,match($B38&amp;K$2,Com_AllFuels_SEDS_2022_TBtus!$B$3:$B$53&amp;Com_AllFuels_SEDS_2022_TBtus!$A$3:$A$53,0))))</f>
        <v>0</v>
      </c>
      <c r="L51" s="74">
        <f t="array" ref="L51">IF(ISERROR(index(Com_AllFuels_SEDS_2022_TBtus!$S$3:$S$53,match($B38&amp;L$2,Com_AllFuels_SEDS_2022_TBtus!$B$3:$B$53&amp;Com_AllFuels_SEDS_2022_TBtus!$A$3:$A$53,0))),0,(index(Com_AllFuels_SEDS_2022_TBtus!$S$3:$S$53,match($B38&amp;L$2,Com_AllFuels_SEDS_2022_TBtus!$B$3:$B$53&amp;Com_AllFuels_SEDS_2022_TBtus!$A$3:$A$53,0))))</f>
        <v>0</v>
      </c>
      <c r="M51" s="74">
        <f t="array" ref="M51">IF(ISERROR(index(Com_AllFuels_SEDS_2022_TBtus!$S$3:$S$53,match($B38&amp;M$2,Com_AllFuels_SEDS_2022_TBtus!$B$3:$B$53&amp;Com_AllFuels_SEDS_2022_TBtus!$A$3:$A$53,0))),0,(index(Com_AllFuels_SEDS_2022_TBtus!$S$3:$S$53,match($B38&amp;M$2,Com_AllFuels_SEDS_2022_TBtus!$B$3:$B$53&amp;Com_AllFuels_SEDS_2022_TBtus!$A$3:$A$53,0))))</f>
        <v>0</v>
      </c>
      <c r="N51" s="74">
        <f t="array" ref="N51">IF(ISERROR(index(Com_AllFuels_SEDS_2022_TBtus!$S$3:$S$53,match($B38&amp;N$2,Com_AllFuels_SEDS_2022_TBtus!$B$3:$B$53&amp;Com_AllFuels_SEDS_2022_TBtus!$A$3:$A$53,0))),0,(index(Com_AllFuels_SEDS_2022_TBtus!$S$3:$S$53,match($B38&amp;N$2,Com_AllFuels_SEDS_2022_TBtus!$B$3:$B$53&amp;Com_AllFuels_SEDS_2022_TBtus!$A$3:$A$53,0))))</f>
        <v>1.3</v>
      </c>
      <c r="O51" s="74">
        <f t="array" ref="O51">IF(ISERROR(index(Com_AllFuels_SEDS_2022_TBtus!$S$3:$S$53,match($B38&amp;O$2,Com_AllFuels_SEDS_2022_TBtus!$B$3:$B$53&amp;Com_AllFuels_SEDS_2022_TBtus!$A$3:$A$53,0))),0,(index(Com_AllFuels_SEDS_2022_TBtus!$S$3:$S$53,match($B38&amp;O$2,Com_AllFuels_SEDS_2022_TBtus!$B$3:$B$53&amp;Com_AllFuels_SEDS_2022_TBtus!$A$3:$A$53,0))))</f>
        <v>0</v>
      </c>
      <c r="P51" s="74">
        <f t="array" ref="P51">IF(ISERROR(index(Com_AllFuels_SEDS_2022_TBtus!$S$3:$S$53,match($B38&amp;P$2,Com_AllFuels_SEDS_2022_TBtus!$B$3:$B$53&amp;Com_AllFuels_SEDS_2022_TBtus!$A$3:$A$53,0))),0,(index(Com_AllFuels_SEDS_2022_TBtus!$S$3:$S$53,match($B38&amp;P$2,Com_AllFuels_SEDS_2022_TBtus!$B$3:$B$53&amp;Com_AllFuels_SEDS_2022_TBtus!$A$3:$A$53,0))))</f>
        <v>0</v>
      </c>
      <c r="Q51" s="74">
        <f t="array" ref="Q51">IF(ISERROR(index(Com_AllFuels_SEDS_2022_TBtus!$S$3:$S$53,match($B38&amp;Q$2,Com_AllFuels_SEDS_2022_TBtus!$B$3:$B$53&amp;Com_AllFuels_SEDS_2022_TBtus!$A$3:$A$53,0))),0,(index(Com_AllFuels_SEDS_2022_TBtus!$S$3:$S$53,match($B38&amp;Q$2,Com_AllFuels_SEDS_2022_TBtus!$B$3:$B$53&amp;Com_AllFuels_SEDS_2022_TBtus!$A$3:$A$53,0))))</f>
        <v>0</v>
      </c>
      <c r="R51" s="74">
        <f t="array" ref="R51">IF(ISERROR(index(Com_AllFuels_SEDS_2022_TBtus!$S$3:$S$53,match($B38&amp;R$2,Com_AllFuels_SEDS_2022_TBtus!$B$3:$B$53&amp;Com_AllFuels_SEDS_2022_TBtus!$A$3:$A$53,0))),0,(index(Com_AllFuels_SEDS_2022_TBtus!$S$3:$S$53,match($B38&amp;R$2,Com_AllFuels_SEDS_2022_TBtus!$B$3:$B$53&amp;Com_AllFuels_SEDS_2022_TBtus!$A$3:$A$53,0))))</f>
        <v>0</v>
      </c>
      <c r="S51" s="74">
        <f t="array" ref="S51">IF(ISERROR(index(Com_AllFuels_SEDS_2022_TBtus!$S$3:$S$53,match($B38&amp;S$2,Com_AllFuels_SEDS_2022_TBtus!$B$3:$B$53&amp;Com_AllFuels_SEDS_2022_TBtus!$A$3:$A$53,0))),0,(index(Com_AllFuels_SEDS_2022_TBtus!$S$3:$S$53,match($B38&amp;S$2,Com_AllFuels_SEDS_2022_TBtus!$B$3:$B$53&amp;Com_AllFuels_SEDS_2022_TBtus!$A$3:$A$53,0))))</f>
        <v>0</v>
      </c>
      <c r="T51" s="74">
        <f t="array" ref="T51">IF(ISERROR(index(Com_AllFuels_SEDS_2022_TBtus!$S$3:$S$53,match($B38&amp;T$2,Com_AllFuels_SEDS_2022_TBtus!$B$3:$B$53&amp;Com_AllFuels_SEDS_2022_TBtus!$A$3:$A$53,0))),0,(index(Com_AllFuels_SEDS_2022_TBtus!$S$3:$S$53,match($B38&amp;T$2,Com_AllFuels_SEDS_2022_TBtus!$B$3:$B$53&amp;Com_AllFuels_SEDS_2022_TBtus!$A$3:$A$53,0))))</f>
        <v>0</v>
      </c>
      <c r="U51" s="74">
        <f t="array" ref="U51">IF(ISERROR(index(Com_AllFuels_SEDS_2022_TBtus!$S$3:$S$53,match($B38&amp;U$2,Com_AllFuels_SEDS_2022_TBtus!$B$3:$B$53&amp;Com_AllFuels_SEDS_2022_TBtus!$A$3:$A$53,0))),0,(index(Com_AllFuels_SEDS_2022_TBtus!$S$3:$S$53,match($B38&amp;U$2,Com_AllFuels_SEDS_2022_TBtus!$B$3:$B$53&amp;Com_AllFuels_SEDS_2022_TBtus!$A$3:$A$53,0))))</f>
        <v>0</v>
      </c>
      <c r="V51" s="74">
        <f t="array" ref="V51">IF(ISERROR(index(Com_AllFuels_SEDS_2022_TBtus!$S$3:$S$53,match($B38&amp;V$2,Com_AllFuels_SEDS_2022_TBtus!$B$3:$B$53&amp;Com_AllFuels_SEDS_2022_TBtus!$A$3:$A$53,0))),0,(index(Com_AllFuels_SEDS_2022_TBtus!$S$3:$S$53,match($B38&amp;V$2,Com_AllFuels_SEDS_2022_TBtus!$B$3:$B$53&amp;Com_AllFuels_SEDS_2022_TBtus!$A$3:$A$53,0))))</f>
        <v>0</v>
      </c>
      <c r="W51" s="74">
        <f t="array" ref="W51">IF(ISERROR(index(Com_AllFuels_SEDS_2022_TBtus!$S$3:$S$53,match($B38&amp;W$2,Com_AllFuels_SEDS_2022_TBtus!$B$3:$B$53&amp;Com_AllFuels_SEDS_2022_TBtus!$A$3:$A$53,0))),0,(index(Com_AllFuels_SEDS_2022_TBtus!$S$3:$S$53,match($B38&amp;W$2,Com_AllFuels_SEDS_2022_TBtus!$B$3:$B$53&amp;Com_AllFuels_SEDS_2022_TBtus!$A$3:$A$53,0))))</f>
        <v>0</v>
      </c>
      <c r="X51" s="74">
        <f t="array" ref="X51">IF(ISERROR(index(Com_AllFuels_SEDS_2022_TBtus!$S$3:$S$53,match($B38&amp;X$2,Com_AllFuels_SEDS_2022_TBtus!$B$3:$B$53&amp;Com_AllFuels_SEDS_2022_TBtus!$A$3:$A$53,0))),0,(index(Com_AllFuels_SEDS_2022_TBtus!$S$3:$S$53,match($B38&amp;X$2,Com_AllFuels_SEDS_2022_TBtus!$B$3:$B$53&amp;Com_AllFuels_SEDS_2022_TBtus!$A$3:$A$53,0))))</f>
        <v>0</v>
      </c>
      <c r="Y51" s="74">
        <f t="array" ref="Y51">IF(ISERROR(index(Com_AllFuels_SEDS_2022_TBtus!$S$3:$S$53,match($B38&amp;Y$2,Com_AllFuels_SEDS_2022_TBtus!$B$3:$B$53&amp;Com_AllFuels_SEDS_2022_TBtus!$A$3:$A$53,0))),0,(index(Com_AllFuels_SEDS_2022_TBtus!$S$3:$S$53,match($B38&amp;Y$2,Com_AllFuels_SEDS_2022_TBtus!$B$3:$B$53&amp;Com_AllFuels_SEDS_2022_TBtus!$A$3:$A$53,0))))</f>
        <v>0</v>
      </c>
      <c r="Z51" s="74">
        <f t="array" ref="Z51">IF(ISERROR(index(Com_AllFuels_SEDS_2022_TBtus!$S$3:$S$53,match($B38&amp;Z$2,Com_AllFuels_SEDS_2022_TBtus!$B$3:$B$53&amp;Com_AllFuels_SEDS_2022_TBtus!$A$3:$A$53,0))),0,(index(Com_AllFuels_SEDS_2022_TBtus!$S$3:$S$53,match($B38&amp;Z$2,Com_AllFuels_SEDS_2022_TBtus!$B$3:$B$53&amp;Com_AllFuels_SEDS_2022_TBtus!$A$3:$A$53,0))))</f>
        <v>0</v>
      </c>
      <c r="AA51" s="74">
        <f t="array" ref="AA51">IF(ISERROR(index(Com_AllFuels_SEDS_2022_TBtus!$S$3:$S$53,match($B38&amp;AA$2,Com_AllFuels_SEDS_2022_TBtus!$B$3:$B$53&amp;Com_AllFuels_SEDS_2022_TBtus!$A$3:$A$53,0))),0,(index(Com_AllFuels_SEDS_2022_TBtus!$S$3:$S$53,match($B38&amp;AA$2,Com_AllFuels_SEDS_2022_TBtus!$B$3:$B$53&amp;Com_AllFuels_SEDS_2022_TBtus!$A$3:$A$53,0))))</f>
        <v>0</v>
      </c>
      <c r="AB51" s="74">
        <f t="array" ref="AB51">IF(ISERROR(index(Com_AllFuels_SEDS_2022_TBtus!$S$3:$S$53,match($B38&amp;AB$2,Com_AllFuels_SEDS_2022_TBtus!$B$3:$B$53&amp;Com_AllFuels_SEDS_2022_TBtus!$A$3:$A$53,0))),0,(index(Com_AllFuels_SEDS_2022_TBtus!$S$3:$S$53,match($B38&amp;AB$2,Com_AllFuels_SEDS_2022_TBtus!$B$3:$B$53&amp;Com_AllFuels_SEDS_2022_TBtus!$A$3:$A$53,0))))</f>
        <v>0</v>
      </c>
      <c r="AC51" s="74">
        <f t="array" ref="AC51">IF(ISERROR(index(Com_AllFuels_SEDS_2022_TBtus!$S$3:$S$53,match($B38&amp;AC$2,Com_AllFuels_SEDS_2022_TBtus!$B$3:$B$53&amp;Com_AllFuels_SEDS_2022_TBtus!$A$3:$A$53,0))),0,(index(Com_AllFuels_SEDS_2022_TBtus!$S$3:$S$53,match($B38&amp;AC$2,Com_AllFuels_SEDS_2022_TBtus!$B$3:$B$53&amp;Com_AllFuels_SEDS_2022_TBtus!$A$3:$A$53,0))))</f>
        <v>0</v>
      </c>
      <c r="AD51" s="74">
        <f t="array" ref="AD51">IF(ISERROR(index(Com_AllFuels_SEDS_2022_TBtus!$S$3:$S$53,match($B38&amp;AD$2,Com_AllFuels_SEDS_2022_TBtus!$B$3:$B$53&amp;Com_AllFuels_SEDS_2022_TBtus!$A$3:$A$53,0))),0,(index(Com_AllFuels_SEDS_2022_TBtus!$S$3:$S$53,match($B38&amp;AD$2,Com_AllFuels_SEDS_2022_TBtus!$B$3:$B$53&amp;Com_AllFuels_SEDS_2022_TBtus!$A$3:$A$53,0))))</f>
        <v>0</v>
      </c>
      <c r="AE51" s="74">
        <f t="array" ref="AE51">IF(ISERROR(index(Com_AllFuels_SEDS_2022_TBtus!$S$3:$S$53,match($B38&amp;AE$2,Com_AllFuels_SEDS_2022_TBtus!$B$3:$B$53&amp;Com_AllFuels_SEDS_2022_TBtus!$A$3:$A$53,0))),0,(index(Com_AllFuels_SEDS_2022_TBtus!$S$3:$S$53,match($B38&amp;AE$2,Com_AllFuels_SEDS_2022_TBtus!$B$3:$B$53&amp;Com_AllFuels_SEDS_2022_TBtus!$A$3:$A$53,0))))</f>
        <v>0</v>
      </c>
      <c r="AF51" s="74">
        <f t="array" ref="AF51">IF(ISERROR(index(Com_AllFuels_SEDS_2022_TBtus!$S$3:$S$53,match($B38&amp;AF$2,Com_AllFuels_SEDS_2022_TBtus!$B$3:$B$53&amp;Com_AllFuels_SEDS_2022_TBtus!$A$3:$A$53,0))),0,(index(Com_AllFuels_SEDS_2022_TBtus!$S$3:$S$53,match($B38&amp;AF$2,Com_AllFuels_SEDS_2022_TBtus!$B$3:$B$53&amp;Com_AllFuels_SEDS_2022_TBtus!$A$3:$A$53,0))))</f>
        <v>0</v>
      </c>
      <c r="AG51" s="74">
        <f t="array" ref="AG51">IF(ISERROR(index(Com_AllFuels_SEDS_2022_TBtus!$S$3:$S$53,match($B38&amp;AG$2,Com_AllFuels_SEDS_2022_TBtus!$B$3:$B$53&amp;Com_AllFuels_SEDS_2022_TBtus!$A$3:$A$53,0))),0,(index(Com_AllFuels_SEDS_2022_TBtus!$S$3:$S$53,match($B38&amp;AG$2,Com_AllFuels_SEDS_2022_TBtus!$B$3:$B$53&amp;Com_AllFuels_SEDS_2022_TBtus!$A$3:$A$53,0))))</f>
        <v>0</v>
      </c>
      <c r="AH51" s="74">
        <f t="array" ref="AH51">IF(ISERROR(index(Com_AllFuels_SEDS_2022_TBtus!$S$3:$S$53,match($B38&amp;AH$2,Com_AllFuels_SEDS_2022_TBtus!$B$3:$B$53&amp;Com_AllFuels_SEDS_2022_TBtus!$A$3:$A$53,0))),0,(index(Com_AllFuels_SEDS_2022_TBtus!$S$3:$S$53,match($B38&amp;AH$2,Com_AllFuels_SEDS_2022_TBtus!$B$3:$B$53&amp;Com_AllFuels_SEDS_2022_TBtus!$A$3:$A$53,0))))</f>
        <v>0</v>
      </c>
      <c r="AI51" s="74">
        <f t="array" ref="AI51">IF(ISERROR(index(Com_AllFuels_SEDS_2022_TBtus!$S$3:$S$53,match($B38&amp;AI$2,Com_AllFuels_SEDS_2022_TBtus!$B$3:$B$53&amp;Com_AllFuels_SEDS_2022_TBtus!$A$3:$A$53,0))),0,(index(Com_AllFuels_SEDS_2022_TBtus!$S$3:$S$53,match($B38&amp;AI$2,Com_AllFuels_SEDS_2022_TBtus!$B$3:$B$53&amp;Com_AllFuels_SEDS_2022_TBtus!$A$3:$A$53,0))))</f>
        <v>0</v>
      </c>
      <c r="AJ51" s="74">
        <f t="array" ref="AJ51">IF(ISERROR(index(Com_AllFuels_SEDS_2022_TBtus!$S$3:$S$53,match($B38&amp;AJ$2,Com_AllFuels_SEDS_2022_TBtus!$B$3:$B$53&amp;Com_AllFuels_SEDS_2022_TBtus!$A$3:$A$53,0))),0,(index(Com_AllFuels_SEDS_2022_TBtus!$S$3:$S$53,match($B38&amp;AJ$2,Com_AllFuels_SEDS_2022_TBtus!$B$3:$B$53&amp;Com_AllFuels_SEDS_2022_TBtus!$A$3:$A$53,0))))</f>
        <v>0</v>
      </c>
      <c r="AK51" s="74">
        <f t="array" ref="AK51">IF(ISERROR(index(Com_AllFuels_SEDS_2022_TBtus!$S$3:$S$53,match($B38&amp;AK$2,Com_AllFuels_SEDS_2022_TBtus!$B$3:$B$53&amp;Com_AllFuels_SEDS_2022_TBtus!$A$3:$A$53,0))),0,(index(Com_AllFuels_SEDS_2022_TBtus!$S$3:$S$53,match($B38&amp;AK$2,Com_AllFuels_SEDS_2022_TBtus!$B$3:$B$53&amp;Com_AllFuels_SEDS_2022_TBtus!$A$3:$A$53,0))))</f>
        <v>0</v>
      </c>
      <c r="AL51" s="74">
        <f t="array" ref="AL51">IF(ISERROR(index(Com_AllFuels_SEDS_2022_TBtus!$S$3:$S$53,match($B38&amp;AL$2,Com_AllFuels_SEDS_2022_TBtus!$B$3:$B$53&amp;Com_AllFuels_SEDS_2022_TBtus!$A$3:$A$53,0))),0,(index(Com_AllFuels_SEDS_2022_TBtus!$S$3:$S$53,match($B38&amp;AL$2,Com_AllFuels_SEDS_2022_TBtus!$B$3:$B$53&amp;Com_AllFuels_SEDS_2022_TBtus!$A$3:$A$53,0))))</f>
        <v>0</v>
      </c>
      <c r="AM51" s="74">
        <f t="array" ref="AM51">IF(ISERROR(index(Com_AllFuels_SEDS_2022_TBtus!$S$3:$S$53,match($B38&amp;AM$2,Com_AllFuels_SEDS_2022_TBtus!$B$3:$B$53&amp;Com_AllFuels_SEDS_2022_TBtus!$A$3:$A$53,0))),0,(index(Com_AllFuels_SEDS_2022_TBtus!$S$3:$S$53,match($B38&amp;AM$2,Com_AllFuels_SEDS_2022_TBtus!$B$3:$B$53&amp;Com_AllFuels_SEDS_2022_TBtus!$A$3:$A$53,0))))</f>
        <v>0</v>
      </c>
      <c r="AN51" s="74">
        <f t="array" ref="AN51">IF(ISERROR(index(Com_AllFuels_SEDS_2022_TBtus!$S$3:$S$53,match($B38&amp;AN$2,Com_AllFuels_SEDS_2022_TBtus!$B$3:$B$53&amp;Com_AllFuels_SEDS_2022_TBtus!$A$3:$A$53,0))),0,(index(Com_AllFuels_SEDS_2022_TBtus!$S$3:$S$53,match($B38&amp;AN$2,Com_AllFuels_SEDS_2022_TBtus!$B$3:$B$53&amp;Com_AllFuels_SEDS_2022_TBtus!$A$3:$A$53,0))))</f>
        <v>2.4</v>
      </c>
      <c r="AO51" s="74">
        <f t="array" ref="AO51">IF(ISERROR(index(Com_AllFuels_SEDS_2022_TBtus!$S$3:$S$53,match($B38&amp;AO$2,Com_AllFuels_SEDS_2022_TBtus!$B$3:$B$53&amp;Com_AllFuels_SEDS_2022_TBtus!$A$3:$A$53,0))),0,(index(Com_AllFuels_SEDS_2022_TBtus!$S$3:$S$53,match($B38&amp;AO$2,Com_AllFuels_SEDS_2022_TBtus!$B$3:$B$53&amp;Com_AllFuels_SEDS_2022_TBtus!$A$3:$A$53,0))))</f>
        <v>0</v>
      </c>
      <c r="AP51" s="74">
        <f t="array" ref="AP51">IF(ISERROR(index(Com_AllFuels_SEDS_2022_TBtus!$S$3:$S$53,match($B38&amp;AP$2,Com_AllFuels_SEDS_2022_TBtus!$B$3:$B$53&amp;Com_AllFuels_SEDS_2022_TBtus!$A$3:$A$53,0))),0,(index(Com_AllFuels_SEDS_2022_TBtus!$S$3:$S$53,match($B38&amp;AP$2,Com_AllFuels_SEDS_2022_TBtus!$B$3:$B$53&amp;Com_AllFuels_SEDS_2022_TBtus!$A$3:$A$53,0))))</f>
        <v>0</v>
      </c>
      <c r="AQ51" s="74">
        <f t="array" ref="AQ51">IF(ISERROR(index(Com_AllFuels_SEDS_2022_TBtus!$S$3:$S$53,match($B38&amp;AQ$2,Com_AllFuels_SEDS_2022_TBtus!$B$3:$B$53&amp;Com_AllFuels_SEDS_2022_TBtus!$A$3:$A$53,0))),0,(index(Com_AllFuels_SEDS_2022_TBtus!$S$3:$S$53,match($B38&amp;AQ$2,Com_AllFuels_SEDS_2022_TBtus!$B$3:$B$53&amp;Com_AllFuels_SEDS_2022_TBtus!$A$3:$A$53,0))))</f>
        <v>0</v>
      </c>
      <c r="AR51" s="74">
        <f t="array" ref="AR51">IF(ISERROR(index(Com_AllFuels_SEDS_2022_TBtus!$S$3:$S$53,match($B38&amp;AR$2,Com_AllFuels_SEDS_2022_TBtus!$B$3:$B$53&amp;Com_AllFuels_SEDS_2022_TBtus!$A$3:$A$53,0))),0,(index(Com_AllFuels_SEDS_2022_TBtus!$S$3:$S$53,match($B38&amp;AR$2,Com_AllFuels_SEDS_2022_TBtus!$B$3:$B$53&amp;Com_AllFuels_SEDS_2022_TBtus!$A$3:$A$53,0))))</f>
        <v>0</v>
      </c>
      <c r="AS51" s="74">
        <f t="array" ref="AS51">IF(ISERROR(index(Com_AllFuels_SEDS_2022_TBtus!$S$3:$S$53,match($B38&amp;AS$2,Com_AllFuels_SEDS_2022_TBtus!$B$3:$B$53&amp;Com_AllFuels_SEDS_2022_TBtus!$A$3:$A$53,0))),0,(index(Com_AllFuels_SEDS_2022_TBtus!$S$3:$S$53,match($B38&amp;AS$2,Com_AllFuels_SEDS_2022_TBtus!$B$3:$B$53&amp;Com_AllFuels_SEDS_2022_TBtus!$A$3:$A$53,0))))</f>
        <v>0</v>
      </c>
      <c r="AT51" s="74">
        <f t="array" ref="AT51">IF(ISERROR(index(Com_AllFuels_SEDS_2022_TBtus!$S$3:$S$53,match($B38&amp;AT$2,Com_AllFuels_SEDS_2022_TBtus!$B$3:$B$53&amp;Com_AllFuels_SEDS_2022_TBtus!$A$3:$A$53,0))),0,(index(Com_AllFuels_SEDS_2022_TBtus!$S$3:$S$53,match($B38&amp;AT$2,Com_AllFuels_SEDS_2022_TBtus!$B$3:$B$53&amp;Com_AllFuels_SEDS_2022_TBtus!$A$3:$A$53,0))))</f>
        <v>0</v>
      </c>
      <c r="AU51" s="74">
        <f t="array" ref="AU51">IF(ISERROR(index(Com_AllFuels_SEDS_2022_TBtus!$S$3:$S$53,match($B38&amp;AU$2,Com_AllFuels_SEDS_2022_TBtus!$B$3:$B$53&amp;Com_AllFuels_SEDS_2022_TBtus!$A$3:$A$53,0))),0,(index(Com_AllFuels_SEDS_2022_TBtus!$S$3:$S$53,match($B38&amp;AU$2,Com_AllFuels_SEDS_2022_TBtus!$B$3:$B$53&amp;Com_AllFuels_SEDS_2022_TBtus!$A$3:$A$53,0))))</f>
        <v>0</v>
      </c>
      <c r="AV51" s="74">
        <f t="array" ref="AV51">IF(ISERROR(index(Com_AllFuels_SEDS_2022_TBtus!$S$3:$S$53,match($B38&amp;AV$2,Com_AllFuels_SEDS_2022_TBtus!$B$3:$B$53&amp;Com_AllFuels_SEDS_2022_TBtus!$A$3:$A$53,0))),0,(index(Com_AllFuels_SEDS_2022_TBtus!$S$3:$S$53,match($B38&amp;AV$2,Com_AllFuels_SEDS_2022_TBtus!$B$3:$B$53&amp;Com_AllFuels_SEDS_2022_TBtus!$A$3:$A$53,0))))</f>
        <v>0</v>
      </c>
      <c r="AW51" s="74">
        <f t="array" ref="AW51">IF(ISERROR(index(Com_AllFuels_SEDS_2022_TBtus!$S$3:$S$53,match($B38&amp;AW$2,Com_AllFuels_SEDS_2022_TBtus!$B$3:$B$53&amp;Com_AllFuels_SEDS_2022_TBtus!$A$3:$A$53,0))),0,(index(Com_AllFuels_SEDS_2022_TBtus!$S$3:$S$53,match($B38&amp;AW$2,Com_AllFuels_SEDS_2022_TBtus!$B$3:$B$53&amp;Com_AllFuels_SEDS_2022_TBtus!$A$3:$A$53,0))))</f>
        <v>0</v>
      </c>
      <c r="AX51" s="74">
        <f t="array" ref="AX51">IF(ISERROR(index(Com_AllFuels_SEDS_2022_TBtus!$S$3:$S$53,match($B38&amp;AX$2,Com_AllFuels_SEDS_2022_TBtus!$B$3:$B$53&amp;Com_AllFuels_SEDS_2022_TBtus!$A$3:$A$53,0))),0,(index(Com_AllFuels_SEDS_2022_TBtus!$S$3:$S$53,match($B38&amp;AX$2,Com_AllFuels_SEDS_2022_TBtus!$B$3:$B$53&amp;Com_AllFuels_SEDS_2022_TBtus!$A$3:$A$53,0))))</f>
        <v>6.7</v>
      </c>
      <c r="AY51" s="74">
        <f t="array" ref="AY51">IF(ISERROR(index(Com_AllFuels_SEDS_2022_TBtus!$S$3:$S$53,match($B38&amp;AY$2,Com_AllFuels_SEDS_2022_TBtus!$B$3:$B$53&amp;Com_AllFuels_SEDS_2022_TBtus!$A$3:$A$53,0))),0,(index(Com_AllFuels_SEDS_2022_TBtus!$S$3:$S$53,match($B38&amp;AY$2,Com_AllFuels_SEDS_2022_TBtus!$B$3:$B$53&amp;Com_AllFuels_SEDS_2022_TBtus!$A$3:$A$53,0))))</f>
        <v>0</v>
      </c>
      <c r="AZ51" s="74">
        <f t="array" ref="AZ51">IF(ISERROR(index(Com_AllFuels_SEDS_2022_TBtus!$S$3:$S$53,match($B38&amp;AZ$2,Com_AllFuels_SEDS_2022_TBtus!$B$3:$B$53&amp;Com_AllFuels_SEDS_2022_TBtus!$A$3:$A$53,0))),0,(index(Com_AllFuels_SEDS_2022_TBtus!$S$3:$S$53,match($B38&amp;AZ$2,Com_AllFuels_SEDS_2022_TBtus!$B$3:$B$53&amp;Com_AllFuels_SEDS_2022_TBtus!$A$3:$A$53,0))))</f>
        <v>0</v>
      </c>
      <c r="BA51" s="74">
        <f t="array" ref="BA51">IF(ISERROR(index(Com_AllFuels_SEDS_2022_TBtus!$S$3:$S$53,match($B38&amp;BA$2,Com_AllFuels_SEDS_2022_TBtus!$B$3:$B$53&amp;Com_AllFuels_SEDS_2022_TBtus!$A$3:$A$53,0))),0,(index(Com_AllFuels_SEDS_2022_TBtus!$S$3:$S$53,match($B38&amp;BA$2,Com_AllFuels_SEDS_2022_TBtus!$B$3:$B$53&amp;Com_AllFuels_SEDS_2022_TBtus!$A$3:$A$53,0))))</f>
        <v>0</v>
      </c>
      <c r="BB51" s="74">
        <f t="shared" si="7"/>
        <v>38.4</v>
      </c>
    </row>
    <row r="52" ht="15.75" customHeight="1">
      <c r="A52" s="78"/>
      <c r="B52" s="78" t="s">
        <v>4207</v>
      </c>
      <c r="C52" s="74">
        <f t="shared" ref="C52:BA52" si="8">sum(C43:C51)</f>
        <v>4.8</v>
      </c>
      <c r="D52" s="74">
        <f t="shared" si="8"/>
        <v>7.5</v>
      </c>
      <c r="E52" s="74">
        <f t="shared" si="8"/>
        <v>6</v>
      </c>
      <c r="F52" s="74">
        <f t="shared" si="8"/>
        <v>3.2</v>
      </c>
      <c r="G52" s="74">
        <f t="shared" si="8"/>
        <v>20.5</v>
      </c>
      <c r="H52" s="74">
        <f t="shared" si="8"/>
        <v>4.9</v>
      </c>
      <c r="I52" s="74">
        <f t="shared" si="8"/>
        <v>9.6</v>
      </c>
      <c r="J52" s="74">
        <f t="shared" si="8"/>
        <v>1.2</v>
      </c>
      <c r="K52" s="74">
        <f t="shared" si="8"/>
        <v>0.6</v>
      </c>
      <c r="L52" s="74">
        <f t="shared" si="8"/>
        <v>10.6</v>
      </c>
      <c r="M52" s="74">
        <f t="shared" si="8"/>
        <v>7.5</v>
      </c>
      <c r="N52" s="74">
        <f t="shared" si="8"/>
        <v>1.3</v>
      </c>
      <c r="O52" s="74">
        <f t="shared" si="8"/>
        <v>2.4</v>
      </c>
      <c r="P52" s="74">
        <f t="shared" si="8"/>
        <v>6.3</v>
      </c>
      <c r="Q52" s="74">
        <f t="shared" si="8"/>
        <v>4.1</v>
      </c>
      <c r="R52" s="74">
        <f t="shared" si="8"/>
        <v>5.2</v>
      </c>
      <c r="S52" s="74">
        <f t="shared" si="8"/>
        <v>2</v>
      </c>
      <c r="T52" s="74">
        <f t="shared" si="8"/>
        <v>3.4</v>
      </c>
      <c r="U52" s="74">
        <f t="shared" si="8"/>
        <v>3.6</v>
      </c>
      <c r="V52" s="74">
        <f t="shared" si="8"/>
        <v>8.9</v>
      </c>
      <c r="W52" s="74">
        <f t="shared" si="8"/>
        <v>7.5</v>
      </c>
      <c r="X52" s="74">
        <f t="shared" si="8"/>
        <v>13.2</v>
      </c>
      <c r="Y52" s="74">
        <f t="shared" si="8"/>
        <v>6.8</v>
      </c>
      <c r="Z52" s="74">
        <f t="shared" si="8"/>
        <v>5.9</v>
      </c>
      <c r="AA52" s="74">
        <f t="shared" si="8"/>
        <v>3.4</v>
      </c>
      <c r="AB52" s="74">
        <f t="shared" si="8"/>
        <v>4.1</v>
      </c>
      <c r="AC52" s="74">
        <f t="shared" si="8"/>
        <v>0.6</v>
      </c>
      <c r="AD52" s="74">
        <f t="shared" si="8"/>
        <v>1.8</v>
      </c>
      <c r="AE52" s="74">
        <f t="shared" si="8"/>
        <v>2.2</v>
      </c>
      <c r="AF52" s="74">
        <f t="shared" si="8"/>
        <v>4.7</v>
      </c>
      <c r="AG52" s="74">
        <f t="shared" si="8"/>
        <v>10.3</v>
      </c>
      <c r="AH52" s="74">
        <f t="shared" si="8"/>
        <v>1.4</v>
      </c>
      <c r="AI52" s="74">
        <f t="shared" si="8"/>
        <v>48.7</v>
      </c>
      <c r="AJ52" s="74">
        <f t="shared" si="8"/>
        <v>7.1</v>
      </c>
      <c r="AK52" s="74">
        <f t="shared" si="8"/>
        <v>3.6</v>
      </c>
      <c r="AL52" s="74">
        <f t="shared" si="8"/>
        <v>12.2</v>
      </c>
      <c r="AM52" s="74">
        <f t="shared" si="8"/>
        <v>4.1</v>
      </c>
      <c r="AN52" s="74">
        <f t="shared" si="8"/>
        <v>2.4</v>
      </c>
      <c r="AO52" s="74">
        <f t="shared" si="8"/>
        <v>18.7</v>
      </c>
      <c r="AP52" s="74">
        <f t="shared" si="8"/>
        <v>2.7</v>
      </c>
      <c r="AQ52" s="74">
        <f t="shared" si="8"/>
        <v>3</v>
      </c>
      <c r="AR52" s="74">
        <f t="shared" si="8"/>
        <v>0.9</v>
      </c>
      <c r="AS52" s="74">
        <f t="shared" si="8"/>
        <v>5.2</v>
      </c>
      <c r="AT52" s="74">
        <f t="shared" si="8"/>
        <v>17.8</v>
      </c>
      <c r="AU52" s="74">
        <f t="shared" si="8"/>
        <v>2.9</v>
      </c>
      <c r="AV52" s="74">
        <f t="shared" si="8"/>
        <v>3.3</v>
      </c>
      <c r="AW52" s="74">
        <f t="shared" si="8"/>
        <v>8.7</v>
      </c>
      <c r="AX52" s="74">
        <f t="shared" si="8"/>
        <v>6.7</v>
      </c>
      <c r="AY52" s="74">
        <f t="shared" si="8"/>
        <v>2.3</v>
      </c>
      <c r="AZ52" s="74">
        <f t="shared" si="8"/>
        <v>4</v>
      </c>
      <c r="BA52" s="74">
        <f t="shared" si="8"/>
        <v>1.6</v>
      </c>
      <c r="BB52" s="74">
        <f t="shared" si="7"/>
        <v>331.4</v>
      </c>
    </row>
    <row r="53" ht="15.75" customHeight="1"/>
    <row r="54" ht="15.75" customHeight="1">
      <c r="A54" s="77" t="s">
        <v>4242</v>
      </c>
    </row>
    <row r="55" ht="15.75" customHeight="1">
      <c r="A55" s="77" t="s">
        <v>4229</v>
      </c>
      <c r="B55" s="78" t="s">
        <v>48</v>
      </c>
      <c r="C55" s="79" t="s">
        <v>101</v>
      </c>
      <c r="D55" s="79" t="s">
        <v>171</v>
      </c>
      <c r="E55" s="79" t="s">
        <v>201</v>
      </c>
      <c r="F55" s="79" t="s">
        <v>220</v>
      </c>
      <c r="G55" s="79" t="s">
        <v>279</v>
      </c>
      <c r="H55" s="79" t="s">
        <v>339</v>
      </c>
      <c r="I55" s="79" t="s">
        <v>395</v>
      </c>
      <c r="J55" s="79" t="s">
        <v>405</v>
      </c>
      <c r="K55" s="79" t="s">
        <v>408</v>
      </c>
      <c r="L55" s="79" t="s">
        <v>410</v>
      </c>
      <c r="M55" s="79" t="s">
        <v>461</v>
      </c>
      <c r="N55" s="79" t="s">
        <v>570</v>
      </c>
      <c r="O55" s="79" t="s">
        <v>576</v>
      </c>
      <c r="P55" s="79" t="s">
        <v>608</v>
      </c>
      <c r="Q55" s="79" t="s">
        <v>663</v>
      </c>
      <c r="R55" s="79" t="s">
        <v>705</v>
      </c>
      <c r="S55" s="79" t="s">
        <v>750</v>
      </c>
      <c r="T55" s="79" t="s">
        <v>818</v>
      </c>
      <c r="U55" s="79" t="s">
        <v>875</v>
      </c>
      <c r="V55" s="79" t="s">
        <v>923</v>
      </c>
      <c r="W55" s="79" t="s">
        <v>934</v>
      </c>
      <c r="X55" s="79" t="s">
        <v>952</v>
      </c>
      <c r="Y55" s="79" t="s">
        <v>963</v>
      </c>
      <c r="Z55" s="79" t="s">
        <v>1026</v>
      </c>
      <c r="AA55" s="79" t="s">
        <v>255</v>
      </c>
      <c r="AB55" s="79" t="s">
        <v>1121</v>
      </c>
      <c r="AC55" s="79" t="s">
        <v>1162</v>
      </c>
      <c r="AD55" s="79" t="s">
        <v>1198</v>
      </c>
      <c r="AE55" s="79" t="s">
        <v>256</v>
      </c>
      <c r="AF55" s="79" t="s">
        <v>1251</v>
      </c>
      <c r="AG55" s="79" t="s">
        <v>1259</v>
      </c>
      <c r="AH55" s="79" t="s">
        <v>1271</v>
      </c>
      <c r="AI55" s="79" t="s">
        <v>1296</v>
      </c>
      <c r="AJ55" s="79" t="s">
        <v>1326</v>
      </c>
      <c r="AK55" s="79" t="s">
        <v>1390</v>
      </c>
      <c r="AL55" s="79" t="s">
        <v>683</v>
      </c>
      <c r="AM55" s="79" t="s">
        <v>1457</v>
      </c>
      <c r="AN55" s="79" t="s">
        <v>1144</v>
      </c>
      <c r="AO55" s="79" t="s">
        <v>1514</v>
      </c>
      <c r="AP55" s="79" t="s">
        <v>1546</v>
      </c>
      <c r="AQ55" s="79" t="s">
        <v>1550</v>
      </c>
      <c r="AR55" s="79" t="s">
        <v>1578</v>
      </c>
      <c r="AS55" s="79" t="s">
        <v>1616</v>
      </c>
      <c r="AT55" s="79" t="s">
        <v>1159</v>
      </c>
      <c r="AU55" s="79" t="s">
        <v>1802</v>
      </c>
      <c r="AV55" s="79" t="s">
        <v>1819</v>
      </c>
      <c r="AW55" s="79" t="s">
        <v>1828</v>
      </c>
      <c r="AX55" s="79" t="s">
        <v>167</v>
      </c>
      <c r="AY55" s="79" t="s">
        <v>1924</v>
      </c>
      <c r="AZ55" s="79" t="s">
        <v>1942</v>
      </c>
      <c r="BA55" s="79" t="s">
        <v>1323</v>
      </c>
      <c r="BB55" s="78" t="s">
        <v>4207</v>
      </c>
    </row>
    <row r="56" ht="15.75" customHeight="1">
      <c r="A56" s="52" t="s">
        <v>4230</v>
      </c>
      <c r="B56" s="74">
        <v>1.0</v>
      </c>
      <c r="C56" s="75">
        <f t="array" ref="C56">IF(ISERROR(index(Res_AllFuels_SEDS_2022_TBtus!$Q$3:$Q$53,match($B56&amp;C$2,Res_AllFuels_SEDS_2022_TBtus!$B$3:$B$53&amp;Res_AllFuels_SEDS_2022_TBtus!$A$3:$A$53,0))),0,(index(Res_AllFuels_SEDS_2022_TBtus!$Q$3:$Q$53,match($B56&amp;C$2,Res_AllFuels_SEDS_2022_TBtus!$B$3:$B$53&amp;Res_AllFuels_SEDS_2022_TBtus!$A$3:$A$53,0))))</f>
        <v>0</v>
      </c>
      <c r="D56" s="75">
        <f t="array" ref="D56">IF(ISERROR(index(Res_AllFuels_SEDS_2022_TBtus!$Q$3:$Q$53,match($B56&amp;D$2,Res_AllFuels_SEDS_2022_TBtus!$B$3:$B$53&amp;Res_AllFuels_SEDS_2022_TBtus!$A$3:$A$53,0))),0,(index(Res_AllFuels_SEDS_2022_TBtus!$Q$3:$Q$53,match($B56&amp;D$2,Res_AllFuels_SEDS_2022_TBtus!$B$3:$B$53&amp;Res_AllFuels_SEDS_2022_TBtus!$A$3:$A$53,0))))</f>
        <v>0</v>
      </c>
      <c r="E56" s="75">
        <f t="array" ref="E56">IF(ISERROR(index(Res_AllFuels_SEDS_2022_TBtus!$Q$3:$Q$53,match($B56&amp;E$2,Res_AllFuels_SEDS_2022_TBtus!$B$3:$B$53&amp;Res_AllFuels_SEDS_2022_TBtus!$A$3:$A$53,0))),0,(index(Res_AllFuels_SEDS_2022_TBtus!$Q$3:$Q$53,match($B56&amp;E$2,Res_AllFuels_SEDS_2022_TBtus!$B$3:$B$53&amp;Res_AllFuels_SEDS_2022_TBtus!$A$3:$A$53,0))))</f>
        <v>0</v>
      </c>
      <c r="F56" s="75">
        <f t="array" ref="F56">IF(ISERROR(index(Res_AllFuels_SEDS_2022_TBtus!$Q$3:$Q$53,match($B56&amp;F$2,Res_AllFuels_SEDS_2022_TBtus!$B$3:$B$53&amp;Res_AllFuels_SEDS_2022_TBtus!$A$3:$A$53,0))),0,(index(Res_AllFuels_SEDS_2022_TBtus!$Q$3:$Q$53,match($B56&amp;F$2,Res_AllFuels_SEDS_2022_TBtus!$B$3:$B$53&amp;Res_AllFuels_SEDS_2022_TBtus!$A$3:$A$53,0))))</f>
        <v>0</v>
      </c>
      <c r="G56" s="75">
        <f t="array" ref="G56">IF(ISERROR(index(Res_AllFuels_SEDS_2022_TBtus!$Q$3:$Q$53,match($B56&amp;G$2,Res_AllFuels_SEDS_2022_TBtus!$B$3:$B$53&amp;Res_AllFuels_SEDS_2022_TBtus!$A$3:$A$53,0))),0,(index(Res_AllFuels_SEDS_2022_TBtus!$Q$3:$Q$53,match($B56&amp;G$2,Res_AllFuels_SEDS_2022_TBtus!$B$3:$B$53&amp;Res_AllFuels_SEDS_2022_TBtus!$A$3:$A$53,0))))</f>
        <v>0</v>
      </c>
      <c r="H56" s="75">
        <f t="array" ref="H56">IF(ISERROR(index(Res_AllFuels_SEDS_2022_TBtus!$Q$3:$Q$53,match($B56&amp;H$2,Res_AllFuels_SEDS_2022_TBtus!$B$3:$B$53&amp;Res_AllFuels_SEDS_2022_TBtus!$A$3:$A$53,0))),0,(index(Res_AllFuels_SEDS_2022_TBtus!$Q$3:$Q$53,match($B56&amp;H$2,Res_AllFuels_SEDS_2022_TBtus!$B$3:$B$53&amp;Res_AllFuels_SEDS_2022_TBtus!$A$3:$A$53,0))))</f>
        <v>0</v>
      </c>
      <c r="I56" s="75">
        <f t="array" ref="I56">IF(ISERROR(index(Res_AllFuels_SEDS_2022_TBtus!$Q$3:$Q$53,match($B56&amp;I$2,Res_AllFuels_SEDS_2022_TBtus!$B$3:$B$53&amp;Res_AllFuels_SEDS_2022_TBtus!$A$3:$A$53,0))),0,(index(Res_AllFuels_SEDS_2022_TBtus!$Q$3:$Q$53,match($B56&amp;I$2,Res_AllFuels_SEDS_2022_TBtus!$B$3:$B$53&amp;Res_AllFuels_SEDS_2022_TBtus!$A$3:$A$53,0))))</f>
        <v>11.5</v>
      </c>
      <c r="J56" s="75">
        <f t="array" ref="J56">IF(ISERROR(index(Res_AllFuels_SEDS_2022_TBtus!$Q$3:$Q$53,match($B56&amp;J$2,Res_AllFuels_SEDS_2022_TBtus!$B$3:$B$53&amp;Res_AllFuels_SEDS_2022_TBtus!$A$3:$A$53,0))),0,(index(Res_AllFuels_SEDS_2022_TBtus!$Q$3:$Q$53,match($B56&amp;J$2,Res_AllFuels_SEDS_2022_TBtus!$B$3:$B$53&amp;Res_AllFuels_SEDS_2022_TBtus!$A$3:$A$53,0))))</f>
        <v>0</v>
      </c>
      <c r="K56" s="75">
        <f t="array" ref="K56">IF(ISERROR(index(Res_AllFuels_SEDS_2022_TBtus!$Q$3:$Q$53,match($B56&amp;K$2,Res_AllFuels_SEDS_2022_TBtus!$B$3:$B$53&amp;Res_AllFuels_SEDS_2022_TBtus!$A$3:$A$53,0))),0,(index(Res_AllFuels_SEDS_2022_TBtus!$Q$3:$Q$53,match($B56&amp;K$2,Res_AllFuels_SEDS_2022_TBtus!$B$3:$B$53&amp;Res_AllFuels_SEDS_2022_TBtus!$A$3:$A$53,0))))</f>
        <v>0</v>
      </c>
      <c r="L56" s="75">
        <f t="array" ref="L56">IF(ISERROR(index(Res_AllFuels_SEDS_2022_TBtus!$Q$3:$Q$53,match($B56&amp;L$2,Res_AllFuels_SEDS_2022_TBtus!$B$3:$B$53&amp;Res_AllFuels_SEDS_2022_TBtus!$A$3:$A$53,0))),0,(index(Res_AllFuels_SEDS_2022_TBtus!$Q$3:$Q$53,match($B56&amp;L$2,Res_AllFuels_SEDS_2022_TBtus!$B$3:$B$53&amp;Res_AllFuels_SEDS_2022_TBtus!$A$3:$A$53,0))))</f>
        <v>0</v>
      </c>
      <c r="M56" s="75">
        <f t="array" ref="M56">IF(ISERROR(index(Res_AllFuels_SEDS_2022_TBtus!$Q$3:$Q$53,match($B56&amp;M$2,Res_AllFuels_SEDS_2022_TBtus!$B$3:$B$53&amp;Res_AllFuels_SEDS_2022_TBtus!$A$3:$A$53,0))),0,(index(Res_AllFuels_SEDS_2022_TBtus!$Q$3:$Q$53,match($B56&amp;M$2,Res_AllFuels_SEDS_2022_TBtus!$B$3:$B$53&amp;Res_AllFuels_SEDS_2022_TBtus!$A$3:$A$53,0))))</f>
        <v>0</v>
      </c>
      <c r="N56" s="75">
        <f t="array" ref="N56">IF(ISERROR(index(Res_AllFuels_SEDS_2022_TBtus!$Q$3:$Q$53,match($B56&amp;N$2,Res_AllFuels_SEDS_2022_TBtus!$B$3:$B$53&amp;Res_AllFuels_SEDS_2022_TBtus!$A$3:$A$53,0))),0,(index(Res_AllFuels_SEDS_2022_TBtus!$Q$3:$Q$53,match($B56&amp;N$2,Res_AllFuels_SEDS_2022_TBtus!$B$3:$B$53&amp;Res_AllFuels_SEDS_2022_TBtus!$A$3:$A$53,0))))</f>
        <v>0</v>
      </c>
      <c r="O56" s="75">
        <f t="array" ref="O56">IF(ISERROR(index(Res_AllFuels_SEDS_2022_TBtus!$Q$3:$Q$53,match($B56&amp;O$2,Res_AllFuels_SEDS_2022_TBtus!$B$3:$B$53&amp;Res_AllFuels_SEDS_2022_TBtus!$A$3:$A$53,0))),0,(index(Res_AllFuels_SEDS_2022_TBtus!$Q$3:$Q$53,match($B56&amp;O$2,Res_AllFuels_SEDS_2022_TBtus!$B$3:$B$53&amp;Res_AllFuels_SEDS_2022_TBtus!$A$3:$A$53,0))))</f>
        <v>0</v>
      </c>
      <c r="P56" s="75">
        <f t="array" ref="P56">IF(ISERROR(index(Res_AllFuels_SEDS_2022_TBtus!$Q$3:$Q$53,match($B56&amp;P$2,Res_AllFuels_SEDS_2022_TBtus!$B$3:$B$53&amp;Res_AllFuels_SEDS_2022_TBtus!$A$3:$A$53,0))),0,(index(Res_AllFuels_SEDS_2022_TBtus!$Q$3:$Q$53,match($B56&amp;P$2,Res_AllFuels_SEDS_2022_TBtus!$B$3:$B$53&amp;Res_AllFuels_SEDS_2022_TBtus!$A$3:$A$53,0))))</f>
        <v>0</v>
      </c>
      <c r="Q56" s="75">
        <f t="array" ref="Q56">IF(ISERROR(index(Res_AllFuels_SEDS_2022_TBtus!$Q$3:$Q$53,match($B56&amp;Q$2,Res_AllFuels_SEDS_2022_TBtus!$B$3:$B$53&amp;Res_AllFuels_SEDS_2022_TBtus!$A$3:$A$53,0))),0,(index(Res_AllFuels_SEDS_2022_TBtus!$Q$3:$Q$53,match($B56&amp;Q$2,Res_AllFuels_SEDS_2022_TBtus!$B$3:$B$53&amp;Res_AllFuels_SEDS_2022_TBtus!$A$3:$A$53,0))))</f>
        <v>0</v>
      </c>
      <c r="R56" s="75">
        <f t="array" ref="R56">IF(ISERROR(index(Res_AllFuels_SEDS_2022_TBtus!$Q$3:$Q$53,match($B56&amp;R$2,Res_AllFuels_SEDS_2022_TBtus!$B$3:$B$53&amp;Res_AllFuels_SEDS_2022_TBtus!$A$3:$A$53,0))),0,(index(Res_AllFuels_SEDS_2022_TBtus!$Q$3:$Q$53,match($B56&amp;R$2,Res_AllFuels_SEDS_2022_TBtus!$B$3:$B$53&amp;Res_AllFuels_SEDS_2022_TBtus!$A$3:$A$53,0))))</f>
        <v>0</v>
      </c>
      <c r="S56" s="75">
        <f t="array" ref="S56">IF(ISERROR(index(Res_AllFuels_SEDS_2022_TBtus!$Q$3:$Q$53,match($B56&amp;S$2,Res_AllFuels_SEDS_2022_TBtus!$B$3:$B$53&amp;Res_AllFuels_SEDS_2022_TBtus!$A$3:$A$53,0))),0,(index(Res_AllFuels_SEDS_2022_TBtus!$Q$3:$Q$53,match($B56&amp;S$2,Res_AllFuels_SEDS_2022_TBtus!$B$3:$B$53&amp;Res_AllFuels_SEDS_2022_TBtus!$A$3:$A$53,0))))</f>
        <v>0</v>
      </c>
      <c r="T56" s="75">
        <f t="array" ref="T56">IF(ISERROR(index(Res_AllFuels_SEDS_2022_TBtus!$Q$3:$Q$53,match($B56&amp;T$2,Res_AllFuels_SEDS_2022_TBtus!$B$3:$B$53&amp;Res_AllFuels_SEDS_2022_TBtus!$A$3:$A$53,0))),0,(index(Res_AllFuels_SEDS_2022_TBtus!$Q$3:$Q$53,match($B56&amp;T$2,Res_AllFuels_SEDS_2022_TBtus!$B$3:$B$53&amp;Res_AllFuels_SEDS_2022_TBtus!$A$3:$A$53,0))))</f>
        <v>0</v>
      </c>
      <c r="U56" s="75">
        <f t="array" ref="U56">IF(ISERROR(index(Res_AllFuels_SEDS_2022_TBtus!$Q$3:$Q$53,match($B56&amp;U$2,Res_AllFuels_SEDS_2022_TBtus!$B$3:$B$53&amp;Res_AllFuels_SEDS_2022_TBtus!$A$3:$A$53,0))),0,(index(Res_AllFuels_SEDS_2022_TBtus!$Q$3:$Q$53,match($B56&amp;U$2,Res_AllFuels_SEDS_2022_TBtus!$B$3:$B$53&amp;Res_AllFuels_SEDS_2022_TBtus!$A$3:$A$53,0))))</f>
        <v>0</v>
      </c>
      <c r="V56" s="75">
        <f t="array" ref="V56">IF(ISERROR(index(Res_AllFuels_SEDS_2022_TBtus!$Q$3:$Q$53,match($B56&amp;V$2,Res_AllFuels_SEDS_2022_TBtus!$B$3:$B$53&amp;Res_AllFuels_SEDS_2022_TBtus!$A$3:$A$53,0))),0,(index(Res_AllFuels_SEDS_2022_TBtus!$Q$3:$Q$53,match($B56&amp;V$2,Res_AllFuels_SEDS_2022_TBtus!$B$3:$B$53&amp;Res_AllFuels_SEDS_2022_TBtus!$A$3:$A$53,0))))</f>
        <v>24.8</v>
      </c>
      <c r="W56" s="75">
        <f t="array" ref="W56">IF(ISERROR(index(Res_AllFuels_SEDS_2022_TBtus!$Q$3:$Q$53,match($B56&amp;W$2,Res_AllFuels_SEDS_2022_TBtus!$B$3:$B$53&amp;Res_AllFuels_SEDS_2022_TBtus!$A$3:$A$53,0))),0,(index(Res_AllFuels_SEDS_2022_TBtus!$Q$3:$Q$53,match($B56&amp;W$2,Res_AllFuels_SEDS_2022_TBtus!$B$3:$B$53&amp;Res_AllFuels_SEDS_2022_TBtus!$A$3:$A$53,0))))</f>
        <v>0</v>
      </c>
      <c r="X56" s="75">
        <f t="array" ref="X56">IF(ISERROR(index(Res_AllFuels_SEDS_2022_TBtus!$Q$3:$Q$53,match($B56&amp;X$2,Res_AllFuels_SEDS_2022_TBtus!$B$3:$B$53&amp;Res_AllFuels_SEDS_2022_TBtus!$A$3:$A$53,0))),0,(index(Res_AllFuels_SEDS_2022_TBtus!$Q$3:$Q$53,match($B56&amp;X$2,Res_AllFuels_SEDS_2022_TBtus!$B$3:$B$53&amp;Res_AllFuels_SEDS_2022_TBtus!$A$3:$A$53,0))))</f>
        <v>15.9</v>
      </c>
      <c r="Y56" s="75">
        <f t="array" ref="Y56">IF(ISERROR(index(Res_AllFuels_SEDS_2022_TBtus!$Q$3:$Q$53,match($B56&amp;Y$2,Res_AllFuels_SEDS_2022_TBtus!$B$3:$B$53&amp;Res_AllFuels_SEDS_2022_TBtus!$A$3:$A$53,0))),0,(index(Res_AllFuels_SEDS_2022_TBtus!$Q$3:$Q$53,match($B56&amp;Y$2,Res_AllFuels_SEDS_2022_TBtus!$B$3:$B$53&amp;Res_AllFuels_SEDS_2022_TBtus!$A$3:$A$53,0))))</f>
        <v>0</v>
      </c>
      <c r="Z56" s="75">
        <f t="array" ref="Z56">IF(ISERROR(index(Res_AllFuels_SEDS_2022_TBtus!$Q$3:$Q$53,match($B56&amp;Z$2,Res_AllFuels_SEDS_2022_TBtus!$B$3:$B$53&amp;Res_AllFuels_SEDS_2022_TBtus!$A$3:$A$53,0))),0,(index(Res_AllFuels_SEDS_2022_TBtus!$Q$3:$Q$53,match($B56&amp;Z$2,Res_AllFuels_SEDS_2022_TBtus!$B$3:$B$53&amp;Res_AllFuels_SEDS_2022_TBtus!$A$3:$A$53,0))))</f>
        <v>0</v>
      </c>
      <c r="AA56" s="75">
        <f t="array" ref="AA56">IF(ISERROR(index(Res_AllFuels_SEDS_2022_TBtus!$Q$3:$Q$53,match($B56&amp;AA$2,Res_AllFuels_SEDS_2022_TBtus!$B$3:$B$53&amp;Res_AllFuels_SEDS_2022_TBtus!$A$3:$A$53,0))),0,(index(Res_AllFuels_SEDS_2022_TBtus!$Q$3:$Q$53,match($B56&amp;AA$2,Res_AllFuels_SEDS_2022_TBtus!$B$3:$B$53&amp;Res_AllFuels_SEDS_2022_TBtus!$A$3:$A$53,0))))</f>
        <v>0</v>
      </c>
      <c r="AB56" s="75">
        <f t="array" ref="AB56">IF(ISERROR(index(Res_AllFuels_SEDS_2022_TBtus!$Q$3:$Q$53,match($B56&amp;AB$2,Res_AllFuels_SEDS_2022_TBtus!$B$3:$B$53&amp;Res_AllFuels_SEDS_2022_TBtus!$A$3:$A$53,0))),0,(index(Res_AllFuels_SEDS_2022_TBtus!$Q$3:$Q$53,match($B56&amp;AB$2,Res_AllFuels_SEDS_2022_TBtus!$B$3:$B$53&amp;Res_AllFuels_SEDS_2022_TBtus!$A$3:$A$53,0))))</f>
        <v>0</v>
      </c>
      <c r="AC56" s="75">
        <f t="array" ref="AC56">IF(ISERROR(index(Res_AllFuels_SEDS_2022_TBtus!$Q$3:$Q$53,match($B56&amp;AC$2,Res_AllFuels_SEDS_2022_TBtus!$B$3:$B$53&amp;Res_AllFuels_SEDS_2022_TBtus!$A$3:$A$53,0))),0,(index(Res_AllFuels_SEDS_2022_TBtus!$Q$3:$Q$53,match($B56&amp;AC$2,Res_AllFuels_SEDS_2022_TBtus!$B$3:$B$53&amp;Res_AllFuels_SEDS_2022_TBtus!$A$3:$A$53,0))))</f>
        <v>0</v>
      </c>
      <c r="AD56" s="75">
        <f t="array" ref="AD56">IF(ISERROR(index(Res_AllFuels_SEDS_2022_TBtus!$Q$3:$Q$53,match($B56&amp;AD$2,Res_AllFuels_SEDS_2022_TBtus!$B$3:$B$53&amp;Res_AllFuels_SEDS_2022_TBtus!$A$3:$A$53,0))),0,(index(Res_AllFuels_SEDS_2022_TBtus!$Q$3:$Q$53,match($B56&amp;AD$2,Res_AllFuels_SEDS_2022_TBtus!$B$3:$B$53&amp;Res_AllFuels_SEDS_2022_TBtus!$A$3:$A$53,0))))</f>
        <v>0</v>
      </c>
      <c r="AE56" s="75">
        <f t="array" ref="AE56">IF(ISERROR(index(Res_AllFuels_SEDS_2022_TBtus!$Q$3:$Q$53,match($B56&amp;AE$2,Res_AllFuels_SEDS_2022_TBtus!$B$3:$B$53&amp;Res_AllFuels_SEDS_2022_TBtus!$A$3:$A$53,0))),0,(index(Res_AllFuels_SEDS_2022_TBtus!$Q$3:$Q$53,match($B56&amp;AE$2,Res_AllFuels_SEDS_2022_TBtus!$B$3:$B$53&amp;Res_AllFuels_SEDS_2022_TBtus!$A$3:$A$53,0))))</f>
        <v>0</v>
      </c>
      <c r="AF56" s="75">
        <f t="array" ref="AF56">IF(ISERROR(index(Res_AllFuels_SEDS_2022_TBtus!$Q$3:$Q$53,match($B56&amp;AF$2,Res_AllFuels_SEDS_2022_TBtus!$B$3:$B$53&amp;Res_AllFuels_SEDS_2022_TBtus!$A$3:$A$53,0))),0,(index(Res_AllFuels_SEDS_2022_TBtus!$Q$3:$Q$53,match($B56&amp;AF$2,Res_AllFuels_SEDS_2022_TBtus!$B$3:$B$53&amp;Res_AllFuels_SEDS_2022_TBtus!$A$3:$A$53,0))))</f>
        <v>21.1</v>
      </c>
      <c r="AG56" s="75">
        <f t="array" ref="AG56">IF(ISERROR(index(Res_AllFuels_SEDS_2022_TBtus!$Q$3:$Q$53,match($B56&amp;AG$2,Res_AllFuels_SEDS_2022_TBtus!$B$3:$B$53&amp;Res_AllFuels_SEDS_2022_TBtus!$A$3:$A$53,0))),0,(index(Res_AllFuels_SEDS_2022_TBtus!$Q$3:$Q$53,match($B56&amp;AG$2,Res_AllFuels_SEDS_2022_TBtus!$B$3:$B$53&amp;Res_AllFuels_SEDS_2022_TBtus!$A$3:$A$53,0))))</f>
        <v>0</v>
      </c>
      <c r="AH56" s="75">
        <f t="array" ref="AH56">IF(ISERROR(index(Res_AllFuels_SEDS_2022_TBtus!$Q$3:$Q$53,match($B56&amp;AH$2,Res_AllFuels_SEDS_2022_TBtus!$B$3:$B$53&amp;Res_AllFuels_SEDS_2022_TBtus!$A$3:$A$53,0))),0,(index(Res_AllFuels_SEDS_2022_TBtus!$Q$3:$Q$53,match($B56&amp;AH$2,Res_AllFuels_SEDS_2022_TBtus!$B$3:$B$53&amp;Res_AllFuels_SEDS_2022_TBtus!$A$3:$A$53,0))))</f>
        <v>0</v>
      </c>
      <c r="AI56" s="75">
        <f t="array" ref="AI56">IF(ISERROR(index(Res_AllFuels_SEDS_2022_TBtus!$Q$3:$Q$53,match($B56&amp;AI$2,Res_AllFuels_SEDS_2022_TBtus!$B$3:$B$53&amp;Res_AllFuels_SEDS_2022_TBtus!$A$3:$A$53,0))),0,(index(Res_AllFuels_SEDS_2022_TBtus!$Q$3:$Q$53,match($B56&amp;AI$2,Res_AllFuels_SEDS_2022_TBtus!$B$3:$B$53&amp;Res_AllFuels_SEDS_2022_TBtus!$A$3:$A$53,0))))</f>
        <v>0</v>
      </c>
      <c r="AJ56" s="75">
        <f t="array" ref="AJ56">IF(ISERROR(index(Res_AllFuels_SEDS_2022_TBtus!$Q$3:$Q$53,match($B56&amp;AJ$2,Res_AllFuels_SEDS_2022_TBtus!$B$3:$B$53&amp;Res_AllFuels_SEDS_2022_TBtus!$A$3:$A$53,0))),0,(index(Res_AllFuels_SEDS_2022_TBtus!$Q$3:$Q$53,match($B56&amp;AJ$2,Res_AllFuels_SEDS_2022_TBtus!$B$3:$B$53&amp;Res_AllFuels_SEDS_2022_TBtus!$A$3:$A$53,0))))</f>
        <v>0</v>
      </c>
      <c r="AK56" s="75">
        <f t="array" ref="AK56">IF(ISERROR(index(Res_AllFuels_SEDS_2022_TBtus!$Q$3:$Q$53,match($B56&amp;AK$2,Res_AllFuels_SEDS_2022_TBtus!$B$3:$B$53&amp;Res_AllFuels_SEDS_2022_TBtus!$A$3:$A$53,0))),0,(index(Res_AllFuels_SEDS_2022_TBtus!$Q$3:$Q$53,match($B56&amp;AK$2,Res_AllFuels_SEDS_2022_TBtus!$B$3:$B$53&amp;Res_AllFuels_SEDS_2022_TBtus!$A$3:$A$53,0))))</f>
        <v>0</v>
      </c>
      <c r="AL56" s="75">
        <f t="array" ref="AL56">IF(ISERROR(index(Res_AllFuels_SEDS_2022_TBtus!$Q$3:$Q$53,match($B56&amp;AL$2,Res_AllFuels_SEDS_2022_TBtus!$B$3:$B$53&amp;Res_AllFuels_SEDS_2022_TBtus!$A$3:$A$53,0))),0,(index(Res_AllFuels_SEDS_2022_TBtus!$Q$3:$Q$53,match($B56&amp;AL$2,Res_AllFuels_SEDS_2022_TBtus!$B$3:$B$53&amp;Res_AllFuels_SEDS_2022_TBtus!$A$3:$A$53,0))))</f>
        <v>0</v>
      </c>
      <c r="AM56" s="75">
        <f t="array" ref="AM56">IF(ISERROR(index(Res_AllFuels_SEDS_2022_TBtus!$Q$3:$Q$53,match($B56&amp;AM$2,Res_AllFuels_SEDS_2022_TBtus!$B$3:$B$53&amp;Res_AllFuels_SEDS_2022_TBtus!$A$3:$A$53,0))),0,(index(Res_AllFuels_SEDS_2022_TBtus!$Q$3:$Q$53,match($B56&amp;AM$2,Res_AllFuels_SEDS_2022_TBtus!$B$3:$B$53&amp;Res_AllFuels_SEDS_2022_TBtus!$A$3:$A$53,0))))</f>
        <v>0</v>
      </c>
      <c r="AN56" s="75">
        <f t="array" ref="AN56">IF(ISERROR(index(Res_AllFuels_SEDS_2022_TBtus!$Q$3:$Q$53,match($B56&amp;AN$2,Res_AllFuels_SEDS_2022_TBtus!$B$3:$B$53&amp;Res_AllFuels_SEDS_2022_TBtus!$A$3:$A$53,0))),0,(index(Res_AllFuels_SEDS_2022_TBtus!$Q$3:$Q$53,match($B56&amp;AN$2,Res_AllFuels_SEDS_2022_TBtus!$B$3:$B$53&amp;Res_AllFuels_SEDS_2022_TBtus!$A$3:$A$53,0))))</f>
        <v>0</v>
      </c>
      <c r="AO56" s="75">
        <f t="array" ref="AO56">IF(ISERROR(index(Res_AllFuels_SEDS_2022_TBtus!$Q$3:$Q$53,match($B56&amp;AO$2,Res_AllFuels_SEDS_2022_TBtus!$B$3:$B$53&amp;Res_AllFuels_SEDS_2022_TBtus!$A$3:$A$53,0))),0,(index(Res_AllFuels_SEDS_2022_TBtus!$Q$3:$Q$53,match($B56&amp;AO$2,Res_AllFuels_SEDS_2022_TBtus!$B$3:$B$53&amp;Res_AllFuels_SEDS_2022_TBtus!$A$3:$A$53,0))))</f>
        <v>0</v>
      </c>
      <c r="AP56" s="75">
        <f t="array" ref="AP56">IF(ISERROR(index(Res_AllFuels_SEDS_2022_TBtus!$Q$3:$Q$53,match($B56&amp;AP$2,Res_AllFuels_SEDS_2022_TBtus!$B$3:$B$53&amp;Res_AllFuels_SEDS_2022_TBtus!$A$3:$A$53,0))),0,(index(Res_AllFuels_SEDS_2022_TBtus!$Q$3:$Q$53,match($B56&amp;AP$2,Res_AllFuels_SEDS_2022_TBtus!$B$3:$B$53&amp;Res_AllFuels_SEDS_2022_TBtus!$A$3:$A$53,0))))</f>
        <v>2.8</v>
      </c>
      <c r="AQ56" s="75">
        <f t="array" ref="AQ56">IF(ISERROR(index(Res_AllFuels_SEDS_2022_TBtus!$Q$3:$Q$53,match($B56&amp;AQ$2,Res_AllFuels_SEDS_2022_TBtus!$B$3:$B$53&amp;Res_AllFuels_SEDS_2022_TBtus!$A$3:$A$53,0))),0,(index(Res_AllFuels_SEDS_2022_TBtus!$Q$3:$Q$53,match($B56&amp;AQ$2,Res_AllFuels_SEDS_2022_TBtus!$B$3:$B$53&amp;Res_AllFuels_SEDS_2022_TBtus!$A$3:$A$53,0))))</f>
        <v>0</v>
      </c>
      <c r="AR56" s="75">
        <f t="array" ref="AR56">IF(ISERROR(index(Res_AllFuels_SEDS_2022_TBtus!$Q$3:$Q$53,match($B56&amp;AR$2,Res_AllFuels_SEDS_2022_TBtus!$B$3:$B$53&amp;Res_AllFuels_SEDS_2022_TBtus!$A$3:$A$53,0))),0,(index(Res_AllFuels_SEDS_2022_TBtus!$Q$3:$Q$53,match($B56&amp;AR$2,Res_AllFuels_SEDS_2022_TBtus!$B$3:$B$53&amp;Res_AllFuels_SEDS_2022_TBtus!$A$3:$A$53,0))))</f>
        <v>0</v>
      </c>
      <c r="AS56" s="75">
        <f t="array" ref="AS56">IF(ISERROR(index(Res_AllFuels_SEDS_2022_TBtus!$Q$3:$Q$53,match($B56&amp;AS$2,Res_AllFuels_SEDS_2022_TBtus!$B$3:$B$53&amp;Res_AllFuels_SEDS_2022_TBtus!$A$3:$A$53,0))),0,(index(Res_AllFuels_SEDS_2022_TBtus!$Q$3:$Q$53,match($B56&amp;AS$2,Res_AllFuels_SEDS_2022_TBtus!$B$3:$B$53&amp;Res_AllFuels_SEDS_2022_TBtus!$A$3:$A$53,0))))</f>
        <v>0</v>
      </c>
      <c r="AT56" s="75">
        <f t="array" ref="AT56">IF(ISERROR(index(Res_AllFuels_SEDS_2022_TBtus!$Q$3:$Q$53,match($B56&amp;AT$2,Res_AllFuels_SEDS_2022_TBtus!$B$3:$B$53&amp;Res_AllFuels_SEDS_2022_TBtus!$A$3:$A$53,0))),0,(index(Res_AllFuels_SEDS_2022_TBtus!$Q$3:$Q$53,match($B56&amp;AT$2,Res_AllFuels_SEDS_2022_TBtus!$B$3:$B$53&amp;Res_AllFuels_SEDS_2022_TBtus!$A$3:$A$53,0))))</f>
        <v>0</v>
      </c>
      <c r="AU56" s="75">
        <f t="array" ref="AU56">IF(ISERROR(index(Res_AllFuels_SEDS_2022_TBtus!$Q$3:$Q$53,match($B56&amp;AU$2,Res_AllFuels_SEDS_2022_TBtus!$B$3:$B$53&amp;Res_AllFuels_SEDS_2022_TBtus!$A$3:$A$53,0))),0,(index(Res_AllFuels_SEDS_2022_TBtus!$Q$3:$Q$53,match($B56&amp;AU$2,Res_AllFuels_SEDS_2022_TBtus!$B$3:$B$53&amp;Res_AllFuels_SEDS_2022_TBtus!$A$3:$A$53,0))))</f>
        <v>0</v>
      </c>
      <c r="AV56" s="75">
        <f t="array" ref="AV56">IF(ISERROR(index(Res_AllFuels_SEDS_2022_TBtus!$Q$3:$Q$53,match($B56&amp;AV$2,Res_AllFuels_SEDS_2022_TBtus!$B$3:$B$53&amp;Res_AllFuels_SEDS_2022_TBtus!$A$3:$A$53,0))),0,(index(Res_AllFuels_SEDS_2022_TBtus!$Q$3:$Q$53,match($B56&amp;AV$2,Res_AllFuels_SEDS_2022_TBtus!$B$3:$B$53&amp;Res_AllFuels_SEDS_2022_TBtus!$A$3:$A$53,0))))</f>
        <v>18.8</v>
      </c>
      <c r="AW56" s="75">
        <f t="array" ref="AW56">IF(ISERROR(index(Res_AllFuels_SEDS_2022_TBtus!$Q$3:$Q$53,match($B56&amp;AW$2,Res_AllFuels_SEDS_2022_TBtus!$B$3:$B$53&amp;Res_AllFuels_SEDS_2022_TBtus!$A$3:$A$53,0))),0,(index(Res_AllFuels_SEDS_2022_TBtus!$Q$3:$Q$53,match($B56&amp;AW$2,Res_AllFuels_SEDS_2022_TBtus!$B$3:$B$53&amp;Res_AllFuels_SEDS_2022_TBtus!$A$3:$A$53,0))))</f>
        <v>0</v>
      </c>
      <c r="AX56" s="75">
        <f t="array" ref="AX56">IF(ISERROR(index(Res_AllFuels_SEDS_2022_TBtus!$Q$3:$Q$53,match($B56&amp;AX$2,Res_AllFuels_SEDS_2022_TBtus!$B$3:$B$53&amp;Res_AllFuels_SEDS_2022_TBtus!$A$3:$A$53,0))),0,(index(Res_AllFuels_SEDS_2022_TBtus!$Q$3:$Q$53,match($B56&amp;AX$2,Res_AllFuels_SEDS_2022_TBtus!$B$3:$B$53&amp;Res_AllFuels_SEDS_2022_TBtus!$A$3:$A$53,0))))</f>
        <v>0</v>
      </c>
      <c r="AY56" s="75">
        <f t="array" ref="AY56">IF(ISERROR(index(Res_AllFuels_SEDS_2022_TBtus!$Q$3:$Q$53,match($B56&amp;AY$2,Res_AllFuels_SEDS_2022_TBtus!$B$3:$B$53&amp;Res_AllFuels_SEDS_2022_TBtus!$A$3:$A$53,0))),0,(index(Res_AllFuels_SEDS_2022_TBtus!$Q$3:$Q$53,match($B56&amp;AY$2,Res_AllFuels_SEDS_2022_TBtus!$B$3:$B$53&amp;Res_AllFuels_SEDS_2022_TBtus!$A$3:$A$53,0))))</f>
        <v>0</v>
      </c>
      <c r="AZ56" s="75">
        <f t="array" ref="AZ56">IF(ISERROR(index(Res_AllFuels_SEDS_2022_TBtus!$Q$3:$Q$53,match($B56&amp;AZ$2,Res_AllFuels_SEDS_2022_TBtus!$B$3:$B$53&amp;Res_AllFuels_SEDS_2022_TBtus!$A$3:$A$53,0))),0,(index(Res_AllFuels_SEDS_2022_TBtus!$Q$3:$Q$53,match($B56&amp;AZ$2,Res_AllFuels_SEDS_2022_TBtus!$B$3:$B$53&amp;Res_AllFuels_SEDS_2022_TBtus!$A$3:$A$53,0))))</f>
        <v>0</v>
      </c>
      <c r="BA56" s="75">
        <f t="array" ref="BA56">IF(ISERROR(index(Res_AllFuels_SEDS_2022_TBtus!$Q$3:$Q$53,match($B56&amp;BA$2,Res_AllFuels_SEDS_2022_TBtus!$B$3:$B$53&amp;Res_AllFuels_SEDS_2022_TBtus!$A$3:$A$53,0))),0,(index(Res_AllFuels_SEDS_2022_TBtus!$Q$3:$Q$53,match($B56&amp;BA$2,Res_AllFuels_SEDS_2022_TBtus!$B$3:$B$53&amp;Res_AllFuels_SEDS_2022_TBtus!$A$3:$A$53,0))))</f>
        <v>0</v>
      </c>
      <c r="BB56" s="74">
        <f t="shared" ref="BB56:BB65" si="9">sum(C56:BA56)</f>
        <v>94.9</v>
      </c>
    </row>
    <row r="57" ht="15.75" customHeight="1">
      <c r="A57" s="78"/>
      <c r="B57" s="74">
        <v>2.0</v>
      </c>
      <c r="C57" s="75">
        <f t="array" ref="C57">IF(ISERROR(index(Res_AllFuels_SEDS_2022_TBtus!$Q$3:$Q$53,match($B57&amp;C$2,Res_AllFuels_SEDS_2022_TBtus!$B$3:$B$53&amp;Res_AllFuels_SEDS_2022_TBtus!$A$3:$A$53,0))),0,(index(Res_AllFuels_SEDS_2022_TBtus!$Q$3:$Q$53,match($B57&amp;C$2,Res_AllFuels_SEDS_2022_TBtus!$B$3:$B$53&amp;Res_AllFuels_SEDS_2022_TBtus!$A$3:$A$53,0))))</f>
        <v>0</v>
      </c>
      <c r="D57" s="75">
        <f t="array" ref="D57">IF(ISERROR(index(Res_AllFuels_SEDS_2022_TBtus!$Q$3:$Q$53,match($B57&amp;D$2,Res_AllFuels_SEDS_2022_TBtus!$B$3:$B$53&amp;Res_AllFuels_SEDS_2022_TBtus!$A$3:$A$53,0))),0,(index(Res_AllFuels_SEDS_2022_TBtus!$Q$3:$Q$53,match($B57&amp;D$2,Res_AllFuels_SEDS_2022_TBtus!$B$3:$B$53&amp;Res_AllFuels_SEDS_2022_TBtus!$A$3:$A$53,0))))</f>
        <v>0</v>
      </c>
      <c r="E57" s="75">
        <f t="array" ref="E57">IF(ISERROR(index(Res_AllFuels_SEDS_2022_TBtus!$Q$3:$Q$53,match($B57&amp;E$2,Res_AllFuels_SEDS_2022_TBtus!$B$3:$B$53&amp;Res_AllFuels_SEDS_2022_TBtus!$A$3:$A$53,0))),0,(index(Res_AllFuels_SEDS_2022_TBtus!$Q$3:$Q$53,match($B57&amp;E$2,Res_AllFuels_SEDS_2022_TBtus!$B$3:$B$53&amp;Res_AllFuels_SEDS_2022_TBtus!$A$3:$A$53,0))))</f>
        <v>0</v>
      </c>
      <c r="F57" s="75">
        <f t="array" ref="F57">IF(ISERROR(index(Res_AllFuels_SEDS_2022_TBtus!$Q$3:$Q$53,match($B57&amp;F$2,Res_AllFuels_SEDS_2022_TBtus!$B$3:$B$53&amp;Res_AllFuels_SEDS_2022_TBtus!$A$3:$A$53,0))),0,(index(Res_AllFuels_SEDS_2022_TBtus!$Q$3:$Q$53,match($B57&amp;F$2,Res_AllFuels_SEDS_2022_TBtus!$B$3:$B$53&amp;Res_AllFuels_SEDS_2022_TBtus!$A$3:$A$53,0))))</f>
        <v>0</v>
      </c>
      <c r="G57" s="75">
        <f t="array" ref="G57">IF(ISERROR(index(Res_AllFuels_SEDS_2022_TBtus!$Q$3:$Q$53,match($B57&amp;G$2,Res_AllFuels_SEDS_2022_TBtus!$B$3:$B$53&amp;Res_AllFuels_SEDS_2022_TBtus!$A$3:$A$53,0))),0,(index(Res_AllFuels_SEDS_2022_TBtus!$Q$3:$Q$53,match($B57&amp;G$2,Res_AllFuels_SEDS_2022_TBtus!$B$3:$B$53&amp;Res_AllFuels_SEDS_2022_TBtus!$A$3:$A$53,0))))</f>
        <v>0</v>
      </c>
      <c r="H57" s="75">
        <f t="array" ref="H57">IF(ISERROR(index(Res_AllFuels_SEDS_2022_TBtus!$Q$3:$Q$53,match($B57&amp;H$2,Res_AllFuels_SEDS_2022_TBtus!$B$3:$B$53&amp;Res_AllFuels_SEDS_2022_TBtus!$A$3:$A$53,0))),0,(index(Res_AllFuels_SEDS_2022_TBtus!$Q$3:$Q$53,match($B57&amp;H$2,Res_AllFuels_SEDS_2022_TBtus!$B$3:$B$53&amp;Res_AllFuels_SEDS_2022_TBtus!$A$3:$A$53,0))))</f>
        <v>0</v>
      </c>
      <c r="I57" s="75">
        <f t="array" ref="I57">IF(ISERROR(index(Res_AllFuels_SEDS_2022_TBtus!$Q$3:$Q$53,match($B57&amp;I$2,Res_AllFuels_SEDS_2022_TBtus!$B$3:$B$53&amp;Res_AllFuels_SEDS_2022_TBtus!$A$3:$A$53,0))),0,(index(Res_AllFuels_SEDS_2022_TBtus!$Q$3:$Q$53,match($B57&amp;I$2,Res_AllFuels_SEDS_2022_TBtus!$B$3:$B$53&amp;Res_AllFuels_SEDS_2022_TBtus!$A$3:$A$53,0))))</f>
        <v>0</v>
      </c>
      <c r="J57" s="75">
        <f t="array" ref="J57">IF(ISERROR(index(Res_AllFuels_SEDS_2022_TBtus!$Q$3:$Q$53,match($B57&amp;J$2,Res_AllFuels_SEDS_2022_TBtus!$B$3:$B$53&amp;Res_AllFuels_SEDS_2022_TBtus!$A$3:$A$53,0))),0,(index(Res_AllFuels_SEDS_2022_TBtus!$Q$3:$Q$53,match($B57&amp;J$2,Res_AllFuels_SEDS_2022_TBtus!$B$3:$B$53&amp;Res_AllFuels_SEDS_2022_TBtus!$A$3:$A$53,0))))</f>
        <v>0</v>
      </c>
      <c r="K57" s="75">
        <f t="array" ref="K57">IF(ISERROR(index(Res_AllFuels_SEDS_2022_TBtus!$Q$3:$Q$53,match($B57&amp;K$2,Res_AllFuels_SEDS_2022_TBtus!$B$3:$B$53&amp;Res_AllFuels_SEDS_2022_TBtus!$A$3:$A$53,0))),0,(index(Res_AllFuels_SEDS_2022_TBtus!$Q$3:$Q$53,match($B57&amp;K$2,Res_AllFuels_SEDS_2022_TBtus!$B$3:$B$53&amp;Res_AllFuels_SEDS_2022_TBtus!$A$3:$A$53,0))))</f>
        <v>0</v>
      </c>
      <c r="L57" s="75">
        <f t="array" ref="L57">IF(ISERROR(index(Res_AllFuels_SEDS_2022_TBtus!$Q$3:$Q$53,match($B57&amp;L$2,Res_AllFuels_SEDS_2022_TBtus!$B$3:$B$53&amp;Res_AllFuels_SEDS_2022_TBtus!$A$3:$A$53,0))),0,(index(Res_AllFuels_SEDS_2022_TBtus!$Q$3:$Q$53,match($B57&amp;L$2,Res_AllFuels_SEDS_2022_TBtus!$B$3:$B$53&amp;Res_AllFuels_SEDS_2022_TBtus!$A$3:$A$53,0))))</f>
        <v>0</v>
      </c>
      <c r="M57" s="75">
        <f t="array" ref="M57">IF(ISERROR(index(Res_AllFuels_SEDS_2022_TBtus!$Q$3:$Q$53,match($B57&amp;M$2,Res_AllFuels_SEDS_2022_TBtus!$B$3:$B$53&amp;Res_AllFuels_SEDS_2022_TBtus!$A$3:$A$53,0))),0,(index(Res_AllFuels_SEDS_2022_TBtus!$Q$3:$Q$53,match($B57&amp;M$2,Res_AllFuels_SEDS_2022_TBtus!$B$3:$B$53&amp;Res_AllFuels_SEDS_2022_TBtus!$A$3:$A$53,0))))</f>
        <v>0</v>
      </c>
      <c r="N57" s="75">
        <f t="array" ref="N57">IF(ISERROR(index(Res_AllFuels_SEDS_2022_TBtus!$Q$3:$Q$53,match($B57&amp;N$2,Res_AllFuels_SEDS_2022_TBtus!$B$3:$B$53&amp;Res_AllFuels_SEDS_2022_TBtus!$A$3:$A$53,0))),0,(index(Res_AllFuels_SEDS_2022_TBtus!$Q$3:$Q$53,match($B57&amp;N$2,Res_AllFuels_SEDS_2022_TBtus!$B$3:$B$53&amp;Res_AllFuels_SEDS_2022_TBtus!$A$3:$A$53,0))))</f>
        <v>0</v>
      </c>
      <c r="O57" s="75">
        <f t="array" ref="O57">IF(ISERROR(index(Res_AllFuels_SEDS_2022_TBtus!$Q$3:$Q$53,match($B57&amp;O$2,Res_AllFuels_SEDS_2022_TBtus!$B$3:$B$53&amp;Res_AllFuels_SEDS_2022_TBtus!$A$3:$A$53,0))),0,(index(Res_AllFuels_SEDS_2022_TBtus!$Q$3:$Q$53,match($B57&amp;O$2,Res_AllFuels_SEDS_2022_TBtus!$B$3:$B$53&amp;Res_AllFuels_SEDS_2022_TBtus!$A$3:$A$53,0))))</f>
        <v>0</v>
      </c>
      <c r="P57" s="75">
        <f t="array" ref="P57">IF(ISERROR(index(Res_AllFuels_SEDS_2022_TBtus!$Q$3:$Q$53,match($B57&amp;P$2,Res_AllFuels_SEDS_2022_TBtus!$B$3:$B$53&amp;Res_AllFuels_SEDS_2022_TBtus!$A$3:$A$53,0))),0,(index(Res_AllFuels_SEDS_2022_TBtus!$Q$3:$Q$53,match($B57&amp;P$2,Res_AllFuels_SEDS_2022_TBtus!$B$3:$B$53&amp;Res_AllFuels_SEDS_2022_TBtus!$A$3:$A$53,0))))</f>
        <v>0</v>
      </c>
      <c r="Q57" s="75">
        <f t="array" ref="Q57">IF(ISERROR(index(Res_AllFuels_SEDS_2022_TBtus!$Q$3:$Q$53,match($B57&amp;Q$2,Res_AllFuels_SEDS_2022_TBtus!$B$3:$B$53&amp;Res_AllFuels_SEDS_2022_TBtus!$A$3:$A$53,0))),0,(index(Res_AllFuels_SEDS_2022_TBtus!$Q$3:$Q$53,match($B57&amp;Q$2,Res_AllFuels_SEDS_2022_TBtus!$B$3:$B$53&amp;Res_AllFuels_SEDS_2022_TBtus!$A$3:$A$53,0))))</f>
        <v>0</v>
      </c>
      <c r="R57" s="75">
        <f t="array" ref="R57">IF(ISERROR(index(Res_AllFuels_SEDS_2022_TBtus!$Q$3:$Q$53,match($B57&amp;R$2,Res_AllFuels_SEDS_2022_TBtus!$B$3:$B$53&amp;Res_AllFuels_SEDS_2022_TBtus!$A$3:$A$53,0))),0,(index(Res_AllFuels_SEDS_2022_TBtus!$Q$3:$Q$53,match($B57&amp;R$2,Res_AllFuels_SEDS_2022_TBtus!$B$3:$B$53&amp;Res_AllFuels_SEDS_2022_TBtus!$A$3:$A$53,0))))</f>
        <v>0</v>
      </c>
      <c r="S57" s="75">
        <f t="array" ref="S57">IF(ISERROR(index(Res_AllFuels_SEDS_2022_TBtus!$Q$3:$Q$53,match($B57&amp;S$2,Res_AllFuels_SEDS_2022_TBtus!$B$3:$B$53&amp;Res_AllFuels_SEDS_2022_TBtus!$A$3:$A$53,0))),0,(index(Res_AllFuels_SEDS_2022_TBtus!$Q$3:$Q$53,match($B57&amp;S$2,Res_AllFuels_SEDS_2022_TBtus!$B$3:$B$53&amp;Res_AllFuels_SEDS_2022_TBtus!$A$3:$A$53,0))))</f>
        <v>0</v>
      </c>
      <c r="T57" s="75">
        <f t="array" ref="T57">IF(ISERROR(index(Res_AllFuels_SEDS_2022_TBtus!$Q$3:$Q$53,match($B57&amp;T$2,Res_AllFuels_SEDS_2022_TBtus!$B$3:$B$53&amp;Res_AllFuels_SEDS_2022_TBtus!$A$3:$A$53,0))),0,(index(Res_AllFuels_SEDS_2022_TBtus!$Q$3:$Q$53,match($B57&amp;T$2,Res_AllFuels_SEDS_2022_TBtus!$B$3:$B$53&amp;Res_AllFuels_SEDS_2022_TBtus!$A$3:$A$53,0))))</f>
        <v>0</v>
      </c>
      <c r="U57" s="75">
        <f t="array" ref="U57">IF(ISERROR(index(Res_AllFuels_SEDS_2022_TBtus!$Q$3:$Q$53,match($B57&amp;U$2,Res_AllFuels_SEDS_2022_TBtus!$B$3:$B$53&amp;Res_AllFuels_SEDS_2022_TBtus!$A$3:$A$53,0))),0,(index(Res_AllFuels_SEDS_2022_TBtus!$Q$3:$Q$53,match($B57&amp;U$2,Res_AllFuels_SEDS_2022_TBtus!$B$3:$B$53&amp;Res_AllFuels_SEDS_2022_TBtus!$A$3:$A$53,0))))</f>
        <v>0</v>
      </c>
      <c r="V57" s="75">
        <f t="array" ref="V57">IF(ISERROR(index(Res_AllFuels_SEDS_2022_TBtus!$Q$3:$Q$53,match($B57&amp;V$2,Res_AllFuels_SEDS_2022_TBtus!$B$3:$B$53&amp;Res_AllFuels_SEDS_2022_TBtus!$A$3:$A$53,0))),0,(index(Res_AllFuels_SEDS_2022_TBtus!$Q$3:$Q$53,match($B57&amp;V$2,Res_AllFuels_SEDS_2022_TBtus!$B$3:$B$53&amp;Res_AllFuels_SEDS_2022_TBtus!$A$3:$A$53,0))))</f>
        <v>0</v>
      </c>
      <c r="W57" s="75">
        <f t="array" ref="W57">IF(ISERROR(index(Res_AllFuels_SEDS_2022_TBtus!$Q$3:$Q$53,match($B57&amp;W$2,Res_AllFuels_SEDS_2022_TBtus!$B$3:$B$53&amp;Res_AllFuels_SEDS_2022_TBtus!$A$3:$A$53,0))),0,(index(Res_AllFuels_SEDS_2022_TBtus!$Q$3:$Q$53,match($B57&amp;W$2,Res_AllFuels_SEDS_2022_TBtus!$B$3:$B$53&amp;Res_AllFuels_SEDS_2022_TBtus!$A$3:$A$53,0))))</f>
        <v>0</v>
      </c>
      <c r="X57" s="75">
        <f t="array" ref="X57">IF(ISERROR(index(Res_AllFuels_SEDS_2022_TBtus!$Q$3:$Q$53,match($B57&amp;X$2,Res_AllFuels_SEDS_2022_TBtus!$B$3:$B$53&amp;Res_AllFuels_SEDS_2022_TBtus!$A$3:$A$53,0))),0,(index(Res_AllFuels_SEDS_2022_TBtus!$Q$3:$Q$53,match($B57&amp;X$2,Res_AllFuels_SEDS_2022_TBtus!$B$3:$B$53&amp;Res_AllFuels_SEDS_2022_TBtus!$A$3:$A$53,0))))</f>
        <v>0</v>
      </c>
      <c r="Y57" s="75">
        <f t="array" ref="Y57">IF(ISERROR(index(Res_AllFuels_SEDS_2022_TBtus!$Q$3:$Q$53,match($B57&amp;Y$2,Res_AllFuels_SEDS_2022_TBtus!$B$3:$B$53&amp;Res_AllFuels_SEDS_2022_TBtus!$A$3:$A$53,0))),0,(index(Res_AllFuels_SEDS_2022_TBtus!$Q$3:$Q$53,match($B57&amp;Y$2,Res_AllFuels_SEDS_2022_TBtus!$B$3:$B$53&amp;Res_AllFuels_SEDS_2022_TBtus!$A$3:$A$53,0))))</f>
        <v>0</v>
      </c>
      <c r="Z57" s="75">
        <f t="array" ref="Z57">IF(ISERROR(index(Res_AllFuels_SEDS_2022_TBtus!$Q$3:$Q$53,match($B57&amp;Z$2,Res_AllFuels_SEDS_2022_TBtus!$B$3:$B$53&amp;Res_AllFuels_SEDS_2022_TBtus!$A$3:$A$53,0))),0,(index(Res_AllFuels_SEDS_2022_TBtus!$Q$3:$Q$53,match($B57&amp;Z$2,Res_AllFuels_SEDS_2022_TBtus!$B$3:$B$53&amp;Res_AllFuels_SEDS_2022_TBtus!$A$3:$A$53,0))))</f>
        <v>0</v>
      </c>
      <c r="AA57" s="75">
        <f t="array" ref="AA57">IF(ISERROR(index(Res_AllFuels_SEDS_2022_TBtus!$Q$3:$Q$53,match($B57&amp;AA$2,Res_AllFuels_SEDS_2022_TBtus!$B$3:$B$53&amp;Res_AllFuels_SEDS_2022_TBtus!$A$3:$A$53,0))),0,(index(Res_AllFuels_SEDS_2022_TBtus!$Q$3:$Q$53,match($B57&amp;AA$2,Res_AllFuels_SEDS_2022_TBtus!$B$3:$B$53&amp;Res_AllFuels_SEDS_2022_TBtus!$A$3:$A$53,0))))</f>
        <v>0</v>
      </c>
      <c r="AB57" s="75">
        <f t="array" ref="AB57">IF(ISERROR(index(Res_AllFuels_SEDS_2022_TBtus!$Q$3:$Q$53,match($B57&amp;AB$2,Res_AllFuels_SEDS_2022_TBtus!$B$3:$B$53&amp;Res_AllFuels_SEDS_2022_TBtus!$A$3:$A$53,0))),0,(index(Res_AllFuels_SEDS_2022_TBtus!$Q$3:$Q$53,match($B57&amp;AB$2,Res_AllFuels_SEDS_2022_TBtus!$B$3:$B$53&amp;Res_AllFuels_SEDS_2022_TBtus!$A$3:$A$53,0))))</f>
        <v>0</v>
      </c>
      <c r="AC57" s="75">
        <f t="array" ref="AC57">IF(ISERROR(index(Res_AllFuels_SEDS_2022_TBtus!$Q$3:$Q$53,match($B57&amp;AC$2,Res_AllFuels_SEDS_2022_TBtus!$B$3:$B$53&amp;Res_AllFuels_SEDS_2022_TBtus!$A$3:$A$53,0))),0,(index(Res_AllFuels_SEDS_2022_TBtus!$Q$3:$Q$53,match($B57&amp;AC$2,Res_AllFuels_SEDS_2022_TBtus!$B$3:$B$53&amp;Res_AllFuels_SEDS_2022_TBtus!$A$3:$A$53,0))))</f>
        <v>0</v>
      </c>
      <c r="AD57" s="75">
        <f t="array" ref="AD57">IF(ISERROR(index(Res_AllFuels_SEDS_2022_TBtus!$Q$3:$Q$53,match($B57&amp;AD$2,Res_AllFuels_SEDS_2022_TBtus!$B$3:$B$53&amp;Res_AllFuels_SEDS_2022_TBtus!$A$3:$A$53,0))),0,(index(Res_AllFuels_SEDS_2022_TBtus!$Q$3:$Q$53,match($B57&amp;AD$2,Res_AllFuels_SEDS_2022_TBtus!$B$3:$B$53&amp;Res_AllFuels_SEDS_2022_TBtus!$A$3:$A$53,0))))</f>
        <v>0</v>
      </c>
      <c r="AE57" s="75">
        <f t="array" ref="AE57">IF(ISERROR(index(Res_AllFuels_SEDS_2022_TBtus!$Q$3:$Q$53,match($B57&amp;AE$2,Res_AllFuels_SEDS_2022_TBtus!$B$3:$B$53&amp;Res_AllFuels_SEDS_2022_TBtus!$A$3:$A$53,0))),0,(index(Res_AllFuels_SEDS_2022_TBtus!$Q$3:$Q$53,match($B57&amp;AE$2,Res_AllFuels_SEDS_2022_TBtus!$B$3:$B$53&amp;Res_AllFuels_SEDS_2022_TBtus!$A$3:$A$53,0))))</f>
        <v>0</v>
      </c>
      <c r="AF57" s="75">
        <f t="array" ref="AF57">IF(ISERROR(index(Res_AllFuels_SEDS_2022_TBtus!$Q$3:$Q$53,match($B57&amp;AF$2,Res_AllFuels_SEDS_2022_TBtus!$B$3:$B$53&amp;Res_AllFuels_SEDS_2022_TBtus!$A$3:$A$53,0))),0,(index(Res_AllFuels_SEDS_2022_TBtus!$Q$3:$Q$53,match($B57&amp;AF$2,Res_AllFuels_SEDS_2022_TBtus!$B$3:$B$53&amp;Res_AllFuels_SEDS_2022_TBtus!$A$3:$A$53,0))))</f>
        <v>0</v>
      </c>
      <c r="AG57" s="75">
        <f t="array" ref="AG57">IF(ISERROR(index(Res_AllFuels_SEDS_2022_TBtus!$Q$3:$Q$53,match($B57&amp;AG$2,Res_AllFuels_SEDS_2022_TBtus!$B$3:$B$53&amp;Res_AllFuels_SEDS_2022_TBtus!$A$3:$A$53,0))),0,(index(Res_AllFuels_SEDS_2022_TBtus!$Q$3:$Q$53,match($B57&amp;AG$2,Res_AllFuels_SEDS_2022_TBtus!$B$3:$B$53&amp;Res_AllFuels_SEDS_2022_TBtus!$A$3:$A$53,0))))</f>
        <v>5.9</v>
      </c>
      <c r="AH57" s="75">
        <f t="array" ref="AH57">IF(ISERROR(index(Res_AllFuels_SEDS_2022_TBtus!$Q$3:$Q$53,match($B57&amp;AH$2,Res_AllFuels_SEDS_2022_TBtus!$B$3:$B$53&amp;Res_AllFuels_SEDS_2022_TBtus!$A$3:$A$53,0))),0,(index(Res_AllFuels_SEDS_2022_TBtus!$Q$3:$Q$53,match($B57&amp;AH$2,Res_AllFuels_SEDS_2022_TBtus!$B$3:$B$53&amp;Res_AllFuels_SEDS_2022_TBtus!$A$3:$A$53,0))))</f>
        <v>0</v>
      </c>
      <c r="AI57" s="75">
        <f t="array" ref="AI57">IF(ISERROR(index(Res_AllFuels_SEDS_2022_TBtus!$Q$3:$Q$53,match($B57&amp;AI$2,Res_AllFuels_SEDS_2022_TBtus!$B$3:$B$53&amp;Res_AllFuels_SEDS_2022_TBtus!$A$3:$A$53,0))),0,(index(Res_AllFuels_SEDS_2022_TBtus!$Q$3:$Q$53,match($B57&amp;AI$2,Res_AllFuels_SEDS_2022_TBtus!$B$3:$B$53&amp;Res_AllFuels_SEDS_2022_TBtus!$A$3:$A$53,0))))</f>
        <v>52.5</v>
      </c>
      <c r="AJ57" s="75">
        <f t="array" ref="AJ57">IF(ISERROR(index(Res_AllFuels_SEDS_2022_TBtus!$Q$3:$Q$53,match($B57&amp;AJ$2,Res_AllFuels_SEDS_2022_TBtus!$B$3:$B$53&amp;Res_AllFuels_SEDS_2022_TBtus!$A$3:$A$53,0))),0,(index(Res_AllFuels_SEDS_2022_TBtus!$Q$3:$Q$53,match($B57&amp;AJ$2,Res_AllFuels_SEDS_2022_TBtus!$B$3:$B$53&amp;Res_AllFuels_SEDS_2022_TBtus!$A$3:$A$53,0))))</f>
        <v>0</v>
      </c>
      <c r="AK57" s="75">
        <f t="array" ref="AK57">IF(ISERROR(index(Res_AllFuels_SEDS_2022_TBtus!$Q$3:$Q$53,match($B57&amp;AK$2,Res_AllFuels_SEDS_2022_TBtus!$B$3:$B$53&amp;Res_AllFuels_SEDS_2022_TBtus!$A$3:$A$53,0))),0,(index(Res_AllFuels_SEDS_2022_TBtus!$Q$3:$Q$53,match($B57&amp;AK$2,Res_AllFuels_SEDS_2022_TBtus!$B$3:$B$53&amp;Res_AllFuels_SEDS_2022_TBtus!$A$3:$A$53,0))))</f>
        <v>0</v>
      </c>
      <c r="AL57" s="75">
        <f t="array" ref="AL57">IF(ISERROR(index(Res_AllFuels_SEDS_2022_TBtus!$Q$3:$Q$53,match($B57&amp;AL$2,Res_AllFuels_SEDS_2022_TBtus!$B$3:$B$53&amp;Res_AllFuels_SEDS_2022_TBtus!$A$3:$A$53,0))),0,(index(Res_AllFuels_SEDS_2022_TBtus!$Q$3:$Q$53,match($B57&amp;AL$2,Res_AllFuels_SEDS_2022_TBtus!$B$3:$B$53&amp;Res_AllFuels_SEDS_2022_TBtus!$A$3:$A$53,0))))</f>
        <v>0</v>
      </c>
      <c r="AM57" s="75">
        <f t="array" ref="AM57">IF(ISERROR(index(Res_AllFuels_SEDS_2022_TBtus!$Q$3:$Q$53,match($B57&amp;AM$2,Res_AllFuels_SEDS_2022_TBtus!$B$3:$B$53&amp;Res_AllFuels_SEDS_2022_TBtus!$A$3:$A$53,0))),0,(index(Res_AllFuels_SEDS_2022_TBtus!$Q$3:$Q$53,match($B57&amp;AM$2,Res_AllFuels_SEDS_2022_TBtus!$B$3:$B$53&amp;Res_AllFuels_SEDS_2022_TBtus!$A$3:$A$53,0))))</f>
        <v>0</v>
      </c>
      <c r="AN57" s="75">
        <f t="array" ref="AN57">IF(ISERROR(index(Res_AllFuels_SEDS_2022_TBtus!$Q$3:$Q$53,match($B57&amp;AN$2,Res_AllFuels_SEDS_2022_TBtus!$B$3:$B$53&amp;Res_AllFuels_SEDS_2022_TBtus!$A$3:$A$53,0))),0,(index(Res_AllFuels_SEDS_2022_TBtus!$Q$3:$Q$53,match($B57&amp;AN$2,Res_AllFuels_SEDS_2022_TBtus!$B$3:$B$53&amp;Res_AllFuels_SEDS_2022_TBtus!$A$3:$A$53,0))))</f>
        <v>0</v>
      </c>
      <c r="AO57" s="75">
        <f t="array" ref="AO57">IF(ISERROR(index(Res_AllFuels_SEDS_2022_TBtus!$Q$3:$Q$53,match($B57&amp;AO$2,Res_AllFuels_SEDS_2022_TBtus!$B$3:$B$53&amp;Res_AllFuels_SEDS_2022_TBtus!$A$3:$A$53,0))),0,(index(Res_AllFuels_SEDS_2022_TBtus!$Q$3:$Q$53,match($B57&amp;AO$2,Res_AllFuels_SEDS_2022_TBtus!$B$3:$B$53&amp;Res_AllFuels_SEDS_2022_TBtus!$A$3:$A$53,0))))</f>
        <v>46.9</v>
      </c>
      <c r="AP57" s="75">
        <f t="array" ref="AP57">IF(ISERROR(index(Res_AllFuels_SEDS_2022_TBtus!$Q$3:$Q$53,match($B57&amp;AP$2,Res_AllFuels_SEDS_2022_TBtus!$B$3:$B$53&amp;Res_AllFuels_SEDS_2022_TBtus!$A$3:$A$53,0))),0,(index(Res_AllFuels_SEDS_2022_TBtus!$Q$3:$Q$53,match($B57&amp;AP$2,Res_AllFuels_SEDS_2022_TBtus!$B$3:$B$53&amp;Res_AllFuels_SEDS_2022_TBtus!$A$3:$A$53,0))))</f>
        <v>0</v>
      </c>
      <c r="AQ57" s="75">
        <f t="array" ref="AQ57">IF(ISERROR(index(Res_AllFuels_SEDS_2022_TBtus!$Q$3:$Q$53,match($B57&amp;AQ$2,Res_AllFuels_SEDS_2022_TBtus!$B$3:$B$53&amp;Res_AllFuels_SEDS_2022_TBtus!$A$3:$A$53,0))),0,(index(Res_AllFuels_SEDS_2022_TBtus!$Q$3:$Q$53,match($B57&amp;AQ$2,Res_AllFuels_SEDS_2022_TBtus!$B$3:$B$53&amp;Res_AllFuels_SEDS_2022_TBtus!$A$3:$A$53,0))))</f>
        <v>0</v>
      </c>
      <c r="AR57" s="75">
        <f t="array" ref="AR57">IF(ISERROR(index(Res_AllFuels_SEDS_2022_TBtus!$Q$3:$Q$53,match($B57&amp;AR$2,Res_AllFuels_SEDS_2022_TBtus!$B$3:$B$53&amp;Res_AllFuels_SEDS_2022_TBtus!$A$3:$A$53,0))),0,(index(Res_AllFuels_SEDS_2022_TBtus!$Q$3:$Q$53,match($B57&amp;AR$2,Res_AllFuels_SEDS_2022_TBtus!$B$3:$B$53&amp;Res_AllFuels_SEDS_2022_TBtus!$A$3:$A$53,0))))</f>
        <v>0</v>
      </c>
      <c r="AS57" s="75">
        <f t="array" ref="AS57">IF(ISERROR(index(Res_AllFuels_SEDS_2022_TBtus!$Q$3:$Q$53,match($B57&amp;AS$2,Res_AllFuels_SEDS_2022_TBtus!$B$3:$B$53&amp;Res_AllFuels_SEDS_2022_TBtus!$A$3:$A$53,0))),0,(index(Res_AllFuels_SEDS_2022_TBtus!$Q$3:$Q$53,match($B57&amp;AS$2,Res_AllFuels_SEDS_2022_TBtus!$B$3:$B$53&amp;Res_AllFuels_SEDS_2022_TBtus!$A$3:$A$53,0))))</f>
        <v>0</v>
      </c>
      <c r="AT57" s="75">
        <f t="array" ref="AT57">IF(ISERROR(index(Res_AllFuels_SEDS_2022_TBtus!$Q$3:$Q$53,match($B57&amp;AT$2,Res_AllFuels_SEDS_2022_TBtus!$B$3:$B$53&amp;Res_AllFuels_SEDS_2022_TBtus!$A$3:$A$53,0))),0,(index(Res_AllFuels_SEDS_2022_TBtus!$Q$3:$Q$53,match($B57&amp;AT$2,Res_AllFuels_SEDS_2022_TBtus!$B$3:$B$53&amp;Res_AllFuels_SEDS_2022_TBtus!$A$3:$A$53,0))))</f>
        <v>0</v>
      </c>
      <c r="AU57" s="75">
        <f t="array" ref="AU57">IF(ISERROR(index(Res_AllFuels_SEDS_2022_TBtus!$Q$3:$Q$53,match($B57&amp;AU$2,Res_AllFuels_SEDS_2022_TBtus!$B$3:$B$53&amp;Res_AllFuels_SEDS_2022_TBtus!$A$3:$A$53,0))),0,(index(Res_AllFuels_SEDS_2022_TBtus!$Q$3:$Q$53,match($B57&amp;AU$2,Res_AllFuels_SEDS_2022_TBtus!$B$3:$B$53&amp;Res_AllFuels_SEDS_2022_TBtus!$A$3:$A$53,0))))</f>
        <v>0</v>
      </c>
      <c r="AV57" s="75">
        <f t="array" ref="AV57">IF(ISERROR(index(Res_AllFuels_SEDS_2022_TBtus!$Q$3:$Q$53,match($B57&amp;AV$2,Res_AllFuels_SEDS_2022_TBtus!$B$3:$B$53&amp;Res_AllFuels_SEDS_2022_TBtus!$A$3:$A$53,0))),0,(index(Res_AllFuels_SEDS_2022_TBtus!$Q$3:$Q$53,match($B57&amp;AV$2,Res_AllFuels_SEDS_2022_TBtus!$B$3:$B$53&amp;Res_AllFuels_SEDS_2022_TBtus!$A$3:$A$53,0))))</f>
        <v>0</v>
      </c>
      <c r="AW57" s="75">
        <f t="array" ref="AW57">IF(ISERROR(index(Res_AllFuels_SEDS_2022_TBtus!$Q$3:$Q$53,match($B57&amp;AW$2,Res_AllFuels_SEDS_2022_TBtus!$B$3:$B$53&amp;Res_AllFuels_SEDS_2022_TBtus!$A$3:$A$53,0))),0,(index(Res_AllFuels_SEDS_2022_TBtus!$Q$3:$Q$53,match($B57&amp;AW$2,Res_AllFuels_SEDS_2022_TBtus!$B$3:$B$53&amp;Res_AllFuels_SEDS_2022_TBtus!$A$3:$A$53,0))))</f>
        <v>0</v>
      </c>
      <c r="AX57" s="75">
        <f t="array" ref="AX57">IF(ISERROR(index(Res_AllFuels_SEDS_2022_TBtus!$Q$3:$Q$53,match($B57&amp;AX$2,Res_AllFuels_SEDS_2022_TBtus!$B$3:$B$53&amp;Res_AllFuels_SEDS_2022_TBtus!$A$3:$A$53,0))),0,(index(Res_AllFuels_SEDS_2022_TBtus!$Q$3:$Q$53,match($B57&amp;AX$2,Res_AllFuels_SEDS_2022_TBtus!$B$3:$B$53&amp;Res_AllFuels_SEDS_2022_TBtus!$A$3:$A$53,0))))</f>
        <v>0</v>
      </c>
      <c r="AY57" s="75">
        <f t="array" ref="AY57">IF(ISERROR(index(Res_AllFuels_SEDS_2022_TBtus!$Q$3:$Q$53,match($B57&amp;AY$2,Res_AllFuels_SEDS_2022_TBtus!$B$3:$B$53&amp;Res_AllFuels_SEDS_2022_TBtus!$A$3:$A$53,0))),0,(index(Res_AllFuels_SEDS_2022_TBtus!$Q$3:$Q$53,match($B57&amp;AY$2,Res_AllFuels_SEDS_2022_TBtus!$B$3:$B$53&amp;Res_AllFuels_SEDS_2022_TBtus!$A$3:$A$53,0))))</f>
        <v>0</v>
      </c>
      <c r="AZ57" s="75">
        <f t="array" ref="AZ57">IF(ISERROR(index(Res_AllFuels_SEDS_2022_TBtus!$Q$3:$Q$53,match($B57&amp;AZ$2,Res_AllFuels_SEDS_2022_TBtus!$B$3:$B$53&amp;Res_AllFuels_SEDS_2022_TBtus!$A$3:$A$53,0))),0,(index(Res_AllFuels_SEDS_2022_TBtus!$Q$3:$Q$53,match($B57&amp;AZ$2,Res_AllFuels_SEDS_2022_TBtus!$B$3:$B$53&amp;Res_AllFuels_SEDS_2022_TBtus!$A$3:$A$53,0))))</f>
        <v>0</v>
      </c>
      <c r="BA57" s="75">
        <f t="array" ref="BA57">IF(ISERROR(index(Res_AllFuels_SEDS_2022_TBtus!$Q$3:$Q$53,match($B57&amp;BA$2,Res_AllFuels_SEDS_2022_TBtus!$B$3:$B$53&amp;Res_AllFuels_SEDS_2022_TBtus!$A$3:$A$53,0))),0,(index(Res_AllFuels_SEDS_2022_TBtus!$Q$3:$Q$53,match($B57&amp;BA$2,Res_AllFuels_SEDS_2022_TBtus!$B$3:$B$53&amp;Res_AllFuels_SEDS_2022_TBtus!$A$3:$A$53,0))))</f>
        <v>0</v>
      </c>
      <c r="BB57" s="74">
        <f t="shared" si="9"/>
        <v>105.3</v>
      </c>
    </row>
    <row r="58" ht="15.75" customHeight="1">
      <c r="A58" s="78"/>
      <c r="B58" s="74">
        <v>3.0</v>
      </c>
      <c r="C58" s="75">
        <f t="array" ref="C58">IF(ISERROR(index(Res_AllFuels_SEDS_2022_TBtus!$Q$3:$Q$53,match($B58&amp;C$2,Res_AllFuels_SEDS_2022_TBtus!$B$3:$B$53&amp;Res_AllFuels_SEDS_2022_TBtus!$A$3:$A$53,0))),0,(index(Res_AllFuels_SEDS_2022_TBtus!$Q$3:$Q$53,match($B58&amp;C$2,Res_AllFuels_SEDS_2022_TBtus!$B$3:$B$53&amp;Res_AllFuels_SEDS_2022_TBtus!$A$3:$A$53,0))))</f>
        <v>0</v>
      </c>
      <c r="D58" s="75">
        <f t="array" ref="D58">IF(ISERROR(index(Res_AllFuels_SEDS_2022_TBtus!$Q$3:$Q$53,match($B58&amp;D$2,Res_AllFuels_SEDS_2022_TBtus!$B$3:$B$53&amp;Res_AllFuels_SEDS_2022_TBtus!$A$3:$A$53,0))),0,(index(Res_AllFuels_SEDS_2022_TBtus!$Q$3:$Q$53,match($B58&amp;D$2,Res_AllFuels_SEDS_2022_TBtus!$B$3:$B$53&amp;Res_AllFuels_SEDS_2022_TBtus!$A$3:$A$53,0))))</f>
        <v>0</v>
      </c>
      <c r="E58" s="75">
        <f t="array" ref="E58">IF(ISERROR(index(Res_AllFuels_SEDS_2022_TBtus!$Q$3:$Q$53,match($B58&amp;E$2,Res_AllFuels_SEDS_2022_TBtus!$B$3:$B$53&amp;Res_AllFuels_SEDS_2022_TBtus!$A$3:$A$53,0))),0,(index(Res_AllFuels_SEDS_2022_TBtus!$Q$3:$Q$53,match($B58&amp;E$2,Res_AllFuels_SEDS_2022_TBtus!$B$3:$B$53&amp;Res_AllFuels_SEDS_2022_TBtus!$A$3:$A$53,0))))</f>
        <v>0</v>
      </c>
      <c r="F58" s="75">
        <f t="array" ref="F58">IF(ISERROR(index(Res_AllFuels_SEDS_2022_TBtus!$Q$3:$Q$53,match($B58&amp;F$2,Res_AllFuels_SEDS_2022_TBtus!$B$3:$B$53&amp;Res_AllFuels_SEDS_2022_TBtus!$A$3:$A$53,0))),0,(index(Res_AllFuels_SEDS_2022_TBtus!$Q$3:$Q$53,match($B58&amp;F$2,Res_AllFuels_SEDS_2022_TBtus!$B$3:$B$53&amp;Res_AllFuels_SEDS_2022_TBtus!$A$3:$A$53,0))))</f>
        <v>0</v>
      </c>
      <c r="G58" s="75">
        <f t="array" ref="G58">IF(ISERROR(index(Res_AllFuels_SEDS_2022_TBtus!$Q$3:$Q$53,match($B58&amp;G$2,Res_AllFuels_SEDS_2022_TBtus!$B$3:$B$53&amp;Res_AllFuels_SEDS_2022_TBtus!$A$3:$A$53,0))),0,(index(Res_AllFuels_SEDS_2022_TBtus!$Q$3:$Q$53,match($B58&amp;G$2,Res_AllFuels_SEDS_2022_TBtus!$B$3:$B$53&amp;Res_AllFuels_SEDS_2022_TBtus!$A$3:$A$53,0))))</f>
        <v>0</v>
      </c>
      <c r="H58" s="75">
        <f t="array" ref="H58">IF(ISERROR(index(Res_AllFuels_SEDS_2022_TBtus!$Q$3:$Q$53,match($B58&amp;H$2,Res_AllFuels_SEDS_2022_TBtus!$B$3:$B$53&amp;Res_AllFuels_SEDS_2022_TBtus!$A$3:$A$53,0))),0,(index(Res_AllFuels_SEDS_2022_TBtus!$Q$3:$Q$53,match($B58&amp;H$2,Res_AllFuels_SEDS_2022_TBtus!$B$3:$B$53&amp;Res_AllFuels_SEDS_2022_TBtus!$A$3:$A$53,0))))</f>
        <v>0</v>
      </c>
      <c r="I58" s="75">
        <f t="array" ref="I58">IF(ISERROR(index(Res_AllFuels_SEDS_2022_TBtus!$Q$3:$Q$53,match($B58&amp;I$2,Res_AllFuels_SEDS_2022_TBtus!$B$3:$B$53&amp;Res_AllFuels_SEDS_2022_TBtus!$A$3:$A$53,0))),0,(index(Res_AllFuels_SEDS_2022_TBtus!$Q$3:$Q$53,match($B58&amp;I$2,Res_AllFuels_SEDS_2022_TBtus!$B$3:$B$53&amp;Res_AllFuels_SEDS_2022_TBtus!$A$3:$A$53,0))))</f>
        <v>0</v>
      </c>
      <c r="J58" s="75">
        <f t="array" ref="J58">IF(ISERROR(index(Res_AllFuels_SEDS_2022_TBtus!$Q$3:$Q$53,match($B58&amp;J$2,Res_AllFuels_SEDS_2022_TBtus!$B$3:$B$53&amp;Res_AllFuels_SEDS_2022_TBtus!$A$3:$A$53,0))),0,(index(Res_AllFuels_SEDS_2022_TBtus!$Q$3:$Q$53,match($B58&amp;J$2,Res_AllFuels_SEDS_2022_TBtus!$B$3:$B$53&amp;Res_AllFuels_SEDS_2022_TBtus!$A$3:$A$53,0))))</f>
        <v>0</v>
      </c>
      <c r="K58" s="75">
        <f t="array" ref="K58">IF(ISERROR(index(Res_AllFuels_SEDS_2022_TBtus!$Q$3:$Q$53,match($B58&amp;K$2,Res_AllFuels_SEDS_2022_TBtus!$B$3:$B$53&amp;Res_AllFuels_SEDS_2022_TBtus!$A$3:$A$53,0))),0,(index(Res_AllFuels_SEDS_2022_TBtus!$Q$3:$Q$53,match($B58&amp;K$2,Res_AllFuels_SEDS_2022_TBtus!$B$3:$B$53&amp;Res_AllFuels_SEDS_2022_TBtus!$A$3:$A$53,0))))</f>
        <v>0</v>
      </c>
      <c r="L58" s="75">
        <f t="array" ref="L58">IF(ISERROR(index(Res_AllFuels_SEDS_2022_TBtus!$Q$3:$Q$53,match($B58&amp;L$2,Res_AllFuels_SEDS_2022_TBtus!$B$3:$B$53&amp;Res_AllFuels_SEDS_2022_TBtus!$A$3:$A$53,0))),0,(index(Res_AllFuels_SEDS_2022_TBtus!$Q$3:$Q$53,match($B58&amp;L$2,Res_AllFuels_SEDS_2022_TBtus!$B$3:$B$53&amp;Res_AllFuels_SEDS_2022_TBtus!$A$3:$A$53,0))))</f>
        <v>0</v>
      </c>
      <c r="M58" s="75">
        <f t="array" ref="M58">IF(ISERROR(index(Res_AllFuels_SEDS_2022_TBtus!$Q$3:$Q$53,match($B58&amp;M$2,Res_AllFuels_SEDS_2022_TBtus!$B$3:$B$53&amp;Res_AllFuels_SEDS_2022_TBtus!$A$3:$A$53,0))),0,(index(Res_AllFuels_SEDS_2022_TBtus!$Q$3:$Q$53,match($B58&amp;M$2,Res_AllFuels_SEDS_2022_TBtus!$B$3:$B$53&amp;Res_AllFuels_SEDS_2022_TBtus!$A$3:$A$53,0))))</f>
        <v>0</v>
      </c>
      <c r="N58" s="75">
        <f t="array" ref="N58">IF(ISERROR(index(Res_AllFuels_SEDS_2022_TBtus!$Q$3:$Q$53,match($B58&amp;N$2,Res_AllFuels_SEDS_2022_TBtus!$B$3:$B$53&amp;Res_AllFuels_SEDS_2022_TBtus!$A$3:$A$53,0))),0,(index(Res_AllFuels_SEDS_2022_TBtus!$Q$3:$Q$53,match($B58&amp;N$2,Res_AllFuels_SEDS_2022_TBtus!$B$3:$B$53&amp;Res_AllFuels_SEDS_2022_TBtus!$A$3:$A$53,0))))</f>
        <v>0</v>
      </c>
      <c r="O58" s="75">
        <f t="array" ref="O58">IF(ISERROR(index(Res_AllFuels_SEDS_2022_TBtus!$Q$3:$Q$53,match($B58&amp;O$2,Res_AllFuels_SEDS_2022_TBtus!$B$3:$B$53&amp;Res_AllFuels_SEDS_2022_TBtus!$A$3:$A$53,0))),0,(index(Res_AllFuels_SEDS_2022_TBtus!$Q$3:$Q$53,match($B58&amp;O$2,Res_AllFuels_SEDS_2022_TBtus!$B$3:$B$53&amp;Res_AllFuels_SEDS_2022_TBtus!$A$3:$A$53,0))))</f>
        <v>0</v>
      </c>
      <c r="P58" s="75">
        <f t="array" ref="P58">IF(ISERROR(index(Res_AllFuels_SEDS_2022_TBtus!$Q$3:$Q$53,match($B58&amp;P$2,Res_AllFuels_SEDS_2022_TBtus!$B$3:$B$53&amp;Res_AllFuels_SEDS_2022_TBtus!$A$3:$A$53,0))),0,(index(Res_AllFuels_SEDS_2022_TBtus!$Q$3:$Q$53,match($B58&amp;P$2,Res_AllFuels_SEDS_2022_TBtus!$B$3:$B$53&amp;Res_AllFuels_SEDS_2022_TBtus!$A$3:$A$53,0))))</f>
        <v>30.2</v>
      </c>
      <c r="Q58" s="75">
        <f t="array" ref="Q58">IF(ISERROR(index(Res_AllFuels_SEDS_2022_TBtus!$Q$3:$Q$53,match($B58&amp;Q$2,Res_AllFuels_SEDS_2022_TBtus!$B$3:$B$53&amp;Res_AllFuels_SEDS_2022_TBtus!$A$3:$A$53,0))),0,(index(Res_AllFuels_SEDS_2022_TBtus!$Q$3:$Q$53,match($B58&amp;Q$2,Res_AllFuels_SEDS_2022_TBtus!$B$3:$B$53&amp;Res_AllFuels_SEDS_2022_TBtus!$A$3:$A$53,0))))</f>
        <v>22</v>
      </c>
      <c r="R58" s="75">
        <f t="array" ref="R58">IF(ISERROR(index(Res_AllFuels_SEDS_2022_TBtus!$Q$3:$Q$53,match($B58&amp;R$2,Res_AllFuels_SEDS_2022_TBtus!$B$3:$B$53&amp;Res_AllFuels_SEDS_2022_TBtus!$A$3:$A$53,0))),0,(index(Res_AllFuels_SEDS_2022_TBtus!$Q$3:$Q$53,match($B58&amp;R$2,Res_AllFuels_SEDS_2022_TBtus!$B$3:$B$53&amp;Res_AllFuels_SEDS_2022_TBtus!$A$3:$A$53,0))))</f>
        <v>0</v>
      </c>
      <c r="S58" s="75">
        <f t="array" ref="S58">IF(ISERROR(index(Res_AllFuels_SEDS_2022_TBtus!$Q$3:$Q$53,match($B58&amp;S$2,Res_AllFuels_SEDS_2022_TBtus!$B$3:$B$53&amp;Res_AllFuels_SEDS_2022_TBtus!$A$3:$A$53,0))),0,(index(Res_AllFuels_SEDS_2022_TBtus!$Q$3:$Q$53,match($B58&amp;S$2,Res_AllFuels_SEDS_2022_TBtus!$B$3:$B$53&amp;Res_AllFuels_SEDS_2022_TBtus!$A$3:$A$53,0))))</f>
        <v>0</v>
      </c>
      <c r="T58" s="75">
        <f t="array" ref="T58">IF(ISERROR(index(Res_AllFuels_SEDS_2022_TBtus!$Q$3:$Q$53,match($B58&amp;T$2,Res_AllFuels_SEDS_2022_TBtus!$B$3:$B$53&amp;Res_AllFuels_SEDS_2022_TBtus!$A$3:$A$53,0))),0,(index(Res_AllFuels_SEDS_2022_TBtus!$Q$3:$Q$53,match($B58&amp;T$2,Res_AllFuels_SEDS_2022_TBtus!$B$3:$B$53&amp;Res_AllFuels_SEDS_2022_TBtus!$A$3:$A$53,0))))</f>
        <v>0</v>
      </c>
      <c r="U58" s="75">
        <f t="array" ref="U58">IF(ISERROR(index(Res_AllFuels_SEDS_2022_TBtus!$Q$3:$Q$53,match($B58&amp;U$2,Res_AllFuels_SEDS_2022_TBtus!$B$3:$B$53&amp;Res_AllFuels_SEDS_2022_TBtus!$A$3:$A$53,0))),0,(index(Res_AllFuels_SEDS_2022_TBtus!$Q$3:$Q$53,match($B58&amp;U$2,Res_AllFuels_SEDS_2022_TBtus!$B$3:$B$53&amp;Res_AllFuels_SEDS_2022_TBtus!$A$3:$A$53,0))))</f>
        <v>0</v>
      </c>
      <c r="V58" s="75">
        <f t="array" ref="V58">IF(ISERROR(index(Res_AllFuels_SEDS_2022_TBtus!$Q$3:$Q$53,match($B58&amp;V$2,Res_AllFuels_SEDS_2022_TBtus!$B$3:$B$53&amp;Res_AllFuels_SEDS_2022_TBtus!$A$3:$A$53,0))),0,(index(Res_AllFuels_SEDS_2022_TBtus!$Q$3:$Q$53,match($B58&amp;V$2,Res_AllFuels_SEDS_2022_TBtus!$B$3:$B$53&amp;Res_AllFuels_SEDS_2022_TBtus!$A$3:$A$53,0))))</f>
        <v>0</v>
      </c>
      <c r="W58" s="75">
        <f t="array" ref="W58">IF(ISERROR(index(Res_AllFuels_SEDS_2022_TBtus!$Q$3:$Q$53,match($B58&amp;W$2,Res_AllFuels_SEDS_2022_TBtus!$B$3:$B$53&amp;Res_AllFuels_SEDS_2022_TBtus!$A$3:$A$53,0))),0,(index(Res_AllFuels_SEDS_2022_TBtus!$Q$3:$Q$53,match($B58&amp;W$2,Res_AllFuels_SEDS_2022_TBtus!$B$3:$B$53&amp;Res_AllFuels_SEDS_2022_TBtus!$A$3:$A$53,0))))</f>
        <v>0</v>
      </c>
      <c r="X58" s="75">
        <f t="array" ref="X58">IF(ISERROR(index(Res_AllFuels_SEDS_2022_TBtus!$Q$3:$Q$53,match($B58&amp;X$2,Res_AllFuels_SEDS_2022_TBtus!$B$3:$B$53&amp;Res_AllFuels_SEDS_2022_TBtus!$A$3:$A$53,0))),0,(index(Res_AllFuels_SEDS_2022_TBtus!$Q$3:$Q$53,match($B58&amp;X$2,Res_AllFuels_SEDS_2022_TBtus!$B$3:$B$53&amp;Res_AllFuels_SEDS_2022_TBtus!$A$3:$A$53,0))))</f>
        <v>0</v>
      </c>
      <c r="Y58" s="75">
        <f t="array" ref="Y58">IF(ISERROR(index(Res_AllFuels_SEDS_2022_TBtus!$Q$3:$Q$53,match($B58&amp;Y$2,Res_AllFuels_SEDS_2022_TBtus!$B$3:$B$53&amp;Res_AllFuels_SEDS_2022_TBtus!$A$3:$A$53,0))),0,(index(Res_AllFuels_SEDS_2022_TBtus!$Q$3:$Q$53,match($B58&amp;Y$2,Res_AllFuels_SEDS_2022_TBtus!$B$3:$B$53&amp;Res_AllFuels_SEDS_2022_TBtus!$A$3:$A$53,0))))</f>
        <v>60.4</v>
      </c>
      <c r="Z58" s="75">
        <f t="array" ref="Z58">IF(ISERROR(index(Res_AllFuels_SEDS_2022_TBtus!$Q$3:$Q$53,match($B58&amp;Z$2,Res_AllFuels_SEDS_2022_TBtus!$B$3:$B$53&amp;Res_AllFuels_SEDS_2022_TBtus!$A$3:$A$53,0))),0,(index(Res_AllFuels_SEDS_2022_TBtus!$Q$3:$Q$53,match($B58&amp;Z$2,Res_AllFuels_SEDS_2022_TBtus!$B$3:$B$53&amp;Res_AllFuels_SEDS_2022_TBtus!$A$3:$A$53,0))))</f>
        <v>0</v>
      </c>
      <c r="AA58" s="75">
        <f t="array" ref="AA58">IF(ISERROR(index(Res_AllFuels_SEDS_2022_TBtus!$Q$3:$Q$53,match($B58&amp;AA$2,Res_AllFuels_SEDS_2022_TBtus!$B$3:$B$53&amp;Res_AllFuels_SEDS_2022_TBtus!$A$3:$A$53,0))),0,(index(Res_AllFuels_SEDS_2022_TBtus!$Q$3:$Q$53,match($B58&amp;AA$2,Res_AllFuels_SEDS_2022_TBtus!$B$3:$B$53&amp;Res_AllFuels_SEDS_2022_TBtus!$A$3:$A$53,0))))</f>
        <v>0</v>
      </c>
      <c r="AB58" s="75">
        <f t="array" ref="AB58">IF(ISERROR(index(Res_AllFuels_SEDS_2022_TBtus!$Q$3:$Q$53,match($B58&amp;AB$2,Res_AllFuels_SEDS_2022_TBtus!$B$3:$B$53&amp;Res_AllFuels_SEDS_2022_TBtus!$A$3:$A$53,0))),0,(index(Res_AllFuels_SEDS_2022_TBtus!$Q$3:$Q$53,match($B58&amp;AB$2,Res_AllFuels_SEDS_2022_TBtus!$B$3:$B$53&amp;Res_AllFuels_SEDS_2022_TBtus!$A$3:$A$53,0))))</f>
        <v>0</v>
      </c>
      <c r="AC58" s="75">
        <f t="array" ref="AC58">IF(ISERROR(index(Res_AllFuels_SEDS_2022_TBtus!$Q$3:$Q$53,match($B58&amp;AC$2,Res_AllFuels_SEDS_2022_TBtus!$B$3:$B$53&amp;Res_AllFuels_SEDS_2022_TBtus!$A$3:$A$53,0))),0,(index(Res_AllFuels_SEDS_2022_TBtus!$Q$3:$Q$53,match($B58&amp;AC$2,Res_AllFuels_SEDS_2022_TBtus!$B$3:$B$53&amp;Res_AllFuels_SEDS_2022_TBtus!$A$3:$A$53,0))))</f>
        <v>0</v>
      </c>
      <c r="AD58" s="75">
        <f t="array" ref="AD58">IF(ISERROR(index(Res_AllFuels_SEDS_2022_TBtus!$Q$3:$Q$53,match($B58&amp;AD$2,Res_AllFuels_SEDS_2022_TBtus!$B$3:$B$53&amp;Res_AllFuels_SEDS_2022_TBtus!$A$3:$A$53,0))),0,(index(Res_AllFuels_SEDS_2022_TBtus!$Q$3:$Q$53,match($B58&amp;AD$2,Res_AllFuels_SEDS_2022_TBtus!$B$3:$B$53&amp;Res_AllFuels_SEDS_2022_TBtus!$A$3:$A$53,0))))</f>
        <v>0</v>
      </c>
      <c r="AE58" s="75">
        <f t="array" ref="AE58">IF(ISERROR(index(Res_AllFuels_SEDS_2022_TBtus!$Q$3:$Q$53,match($B58&amp;AE$2,Res_AllFuels_SEDS_2022_TBtus!$B$3:$B$53&amp;Res_AllFuels_SEDS_2022_TBtus!$A$3:$A$53,0))),0,(index(Res_AllFuels_SEDS_2022_TBtus!$Q$3:$Q$53,match($B58&amp;AE$2,Res_AllFuels_SEDS_2022_TBtus!$B$3:$B$53&amp;Res_AllFuels_SEDS_2022_TBtus!$A$3:$A$53,0))))</f>
        <v>0</v>
      </c>
      <c r="AF58" s="75">
        <f t="array" ref="AF58">IF(ISERROR(index(Res_AllFuels_SEDS_2022_TBtus!$Q$3:$Q$53,match($B58&amp;AF$2,Res_AllFuels_SEDS_2022_TBtus!$B$3:$B$53&amp;Res_AllFuels_SEDS_2022_TBtus!$A$3:$A$53,0))),0,(index(Res_AllFuels_SEDS_2022_TBtus!$Q$3:$Q$53,match($B58&amp;AF$2,Res_AllFuels_SEDS_2022_TBtus!$B$3:$B$53&amp;Res_AllFuels_SEDS_2022_TBtus!$A$3:$A$53,0))))</f>
        <v>0</v>
      </c>
      <c r="AG58" s="75">
        <f t="array" ref="AG58">IF(ISERROR(index(Res_AllFuels_SEDS_2022_TBtus!$Q$3:$Q$53,match($B58&amp;AG$2,Res_AllFuels_SEDS_2022_TBtus!$B$3:$B$53&amp;Res_AllFuels_SEDS_2022_TBtus!$A$3:$A$53,0))),0,(index(Res_AllFuels_SEDS_2022_TBtus!$Q$3:$Q$53,match($B58&amp;AG$2,Res_AllFuels_SEDS_2022_TBtus!$B$3:$B$53&amp;Res_AllFuels_SEDS_2022_TBtus!$A$3:$A$53,0))))</f>
        <v>0</v>
      </c>
      <c r="AH58" s="75">
        <f t="array" ref="AH58">IF(ISERROR(index(Res_AllFuels_SEDS_2022_TBtus!$Q$3:$Q$53,match($B58&amp;AH$2,Res_AllFuels_SEDS_2022_TBtus!$B$3:$B$53&amp;Res_AllFuels_SEDS_2022_TBtus!$A$3:$A$53,0))),0,(index(Res_AllFuels_SEDS_2022_TBtus!$Q$3:$Q$53,match($B58&amp;AH$2,Res_AllFuels_SEDS_2022_TBtus!$B$3:$B$53&amp;Res_AllFuels_SEDS_2022_TBtus!$A$3:$A$53,0))))</f>
        <v>0</v>
      </c>
      <c r="AI58" s="75">
        <f t="array" ref="AI58">IF(ISERROR(index(Res_AllFuels_SEDS_2022_TBtus!$Q$3:$Q$53,match($B58&amp;AI$2,Res_AllFuels_SEDS_2022_TBtus!$B$3:$B$53&amp;Res_AllFuels_SEDS_2022_TBtus!$A$3:$A$53,0))),0,(index(Res_AllFuels_SEDS_2022_TBtus!$Q$3:$Q$53,match($B58&amp;AI$2,Res_AllFuels_SEDS_2022_TBtus!$B$3:$B$53&amp;Res_AllFuels_SEDS_2022_TBtus!$A$3:$A$53,0))))</f>
        <v>0</v>
      </c>
      <c r="AJ58" s="75">
        <f t="array" ref="AJ58">IF(ISERROR(index(Res_AllFuels_SEDS_2022_TBtus!$Q$3:$Q$53,match($B58&amp;AJ$2,Res_AllFuels_SEDS_2022_TBtus!$B$3:$B$53&amp;Res_AllFuels_SEDS_2022_TBtus!$A$3:$A$53,0))),0,(index(Res_AllFuels_SEDS_2022_TBtus!$Q$3:$Q$53,match($B58&amp;AJ$2,Res_AllFuels_SEDS_2022_TBtus!$B$3:$B$53&amp;Res_AllFuels_SEDS_2022_TBtus!$A$3:$A$53,0))))</f>
        <v>0</v>
      </c>
      <c r="AK58" s="75">
        <f t="array" ref="AK58">IF(ISERROR(index(Res_AllFuels_SEDS_2022_TBtus!$Q$3:$Q$53,match($B58&amp;AK$2,Res_AllFuels_SEDS_2022_TBtus!$B$3:$B$53&amp;Res_AllFuels_SEDS_2022_TBtus!$A$3:$A$53,0))),0,(index(Res_AllFuels_SEDS_2022_TBtus!$Q$3:$Q$53,match($B58&amp;AK$2,Res_AllFuels_SEDS_2022_TBtus!$B$3:$B$53&amp;Res_AllFuels_SEDS_2022_TBtus!$A$3:$A$53,0))))</f>
        <v>0</v>
      </c>
      <c r="AL58" s="75">
        <f t="array" ref="AL58">IF(ISERROR(index(Res_AllFuels_SEDS_2022_TBtus!$Q$3:$Q$53,match($B58&amp;AL$2,Res_AllFuels_SEDS_2022_TBtus!$B$3:$B$53&amp;Res_AllFuels_SEDS_2022_TBtus!$A$3:$A$53,0))),0,(index(Res_AllFuels_SEDS_2022_TBtus!$Q$3:$Q$53,match($B58&amp;AL$2,Res_AllFuels_SEDS_2022_TBtus!$B$3:$B$53&amp;Res_AllFuels_SEDS_2022_TBtus!$A$3:$A$53,0))))</f>
        <v>37.9</v>
      </c>
      <c r="AM58" s="75">
        <f t="array" ref="AM58">IF(ISERROR(index(Res_AllFuels_SEDS_2022_TBtus!$Q$3:$Q$53,match($B58&amp;AM$2,Res_AllFuels_SEDS_2022_TBtus!$B$3:$B$53&amp;Res_AllFuels_SEDS_2022_TBtus!$A$3:$A$53,0))),0,(index(Res_AllFuels_SEDS_2022_TBtus!$Q$3:$Q$53,match($B58&amp;AM$2,Res_AllFuels_SEDS_2022_TBtus!$B$3:$B$53&amp;Res_AllFuels_SEDS_2022_TBtus!$A$3:$A$53,0))))</f>
        <v>0</v>
      </c>
      <c r="AN58" s="75">
        <f t="array" ref="AN58">IF(ISERROR(index(Res_AllFuels_SEDS_2022_TBtus!$Q$3:$Q$53,match($B58&amp;AN$2,Res_AllFuels_SEDS_2022_TBtus!$B$3:$B$53&amp;Res_AllFuels_SEDS_2022_TBtus!$A$3:$A$53,0))),0,(index(Res_AllFuels_SEDS_2022_TBtus!$Q$3:$Q$53,match($B58&amp;AN$2,Res_AllFuels_SEDS_2022_TBtus!$B$3:$B$53&amp;Res_AllFuels_SEDS_2022_TBtus!$A$3:$A$53,0))))</f>
        <v>0</v>
      </c>
      <c r="AO58" s="75">
        <f t="array" ref="AO58">IF(ISERROR(index(Res_AllFuels_SEDS_2022_TBtus!$Q$3:$Q$53,match($B58&amp;AO$2,Res_AllFuels_SEDS_2022_TBtus!$B$3:$B$53&amp;Res_AllFuels_SEDS_2022_TBtus!$A$3:$A$53,0))),0,(index(Res_AllFuels_SEDS_2022_TBtus!$Q$3:$Q$53,match($B58&amp;AO$2,Res_AllFuels_SEDS_2022_TBtus!$B$3:$B$53&amp;Res_AllFuels_SEDS_2022_TBtus!$A$3:$A$53,0))))</f>
        <v>0</v>
      </c>
      <c r="AP58" s="75">
        <f t="array" ref="AP58">IF(ISERROR(index(Res_AllFuels_SEDS_2022_TBtus!$Q$3:$Q$53,match($B58&amp;AP$2,Res_AllFuels_SEDS_2022_TBtus!$B$3:$B$53&amp;Res_AllFuels_SEDS_2022_TBtus!$A$3:$A$53,0))),0,(index(Res_AllFuels_SEDS_2022_TBtus!$Q$3:$Q$53,match($B58&amp;AP$2,Res_AllFuels_SEDS_2022_TBtus!$B$3:$B$53&amp;Res_AllFuels_SEDS_2022_TBtus!$A$3:$A$53,0))))</f>
        <v>0</v>
      </c>
      <c r="AQ58" s="75">
        <f t="array" ref="AQ58">IF(ISERROR(index(Res_AllFuels_SEDS_2022_TBtus!$Q$3:$Q$53,match($B58&amp;AQ$2,Res_AllFuels_SEDS_2022_TBtus!$B$3:$B$53&amp;Res_AllFuels_SEDS_2022_TBtus!$A$3:$A$53,0))),0,(index(Res_AllFuels_SEDS_2022_TBtus!$Q$3:$Q$53,match($B58&amp;AQ$2,Res_AllFuels_SEDS_2022_TBtus!$B$3:$B$53&amp;Res_AllFuels_SEDS_2022_TBtus!$A$3:$A$53,0))))</f>
        <v>0</v>
      </c>
      <c r="AR58" s="75">
        <f t="array" ref="AR58">IF(ISERROR(index(Res_AllFuels_SEDS_2022_TBtus!$Q$3:$Q$53,match($B58&amp;AR$2,Res_AllFuels_SEDS_2022_TBtus!$B$3:$B$53&amp;Res_AllFuels_SEDS_2022_TBtus!$A$3:$A$53,0))),0,(index(Res_AllFuels_SEDS_2022_TBtus!$Q$3:$Q$53,match($B58&amp;AR$2,Res_AllFuels_SEDS_2022_TBtus!$B$3:$B$53&amp;Res_AllFuels_SEDS_2022_TBtus!$A$3:$A$53,0))))</f>
        <v>0</v>
      </c>
      <c r="AS58" s="75">
        <f t="array" ref="AS58">IF(ISERROR(index(Res_AllFuels_SEDS_2022_TBtus!$Q$3:$Q$53,match($B58&amp;AS$2,Res_AllFuels_SEDS_2022_TBtus!$B$3:$B$53&amp;Res_AllFuels_SEDS_2022_TBtus!$A$3:$A$53,0))),0,(index(Res_AllFuels_SEDS_2022_TBtus!$Q$3:$Q$53,match($B58&amp;AS$2,Res_AllFuels_SEDS_2022_TBtus!$B$3:$B$53&amp;Res_AllFuels_SEDS_2022_TBtus!$A$3:$A$53,0))))</f>
        <v>0</v>
      </c>
      <c r="AT58" s="75">
        <f t="array" ref="AT58">IF(ISERROR(index(Res_AllFuels_SEDS_2022_TBtus!$Q$3:$Q$53,match($B58&amp;AT$2,Res_AllFuels_SEDS_2022_TBtus!$B$3:$B$53&amp;Res_AllFuels_SEDS_2022_TBtus!$A$3:$A$53,0))),0,(index(Res_AllFuels_SEDS_2022_TBtus!$Q$3:$Q$53,match($B58&amp;AT$2,Res_AllFuels_SEDS_2022_TBtus!$B$3:$B$53&amp;Res_AllFuels_SEDS_2022_TBtus!$A$3:$A$53,0))))</f>
        <v>0</v>
      </c>
      <c r="AU58" s="75">
        <f t="array" ref="AU58">IF(ISERROR(index(Res_AllFuels_SEDS_2022_TBtus!$Q$3:$Q$53,match($B58&amp;AU$2,Res_AllFuels_SEDS_2022_TBtus!$B$3:$B$53&amp;Res_AllFuels_SEDS_2022_TBtus!$A$3:$A$53,0))),0,(index(Res_AllFuels_SEDS_2022_TBtus!$Q$3:$Q$53,match($B58&amp;AU$2,Res_AllFuels_SEDS_2022_TBtus!$B$3:$B$53&amp;Res_AllFuels_SEDS_2022_TBtus!$A$3:$A$53,0))))</f>
        <v>0</v>
      </c>
      <c r="AV58" s="75">
        <f t="array" ref="AV58">IF(ISERROR(index(Res_AllFuels_SEDS_2022_TBtus!$Q$3:$Q$53,match($B58&amp;AV$2,Res_AllFuels_SEDS_2022_TBtus!$B$3:$B$53&amp;Res_AllFuels_SEDS_2022_TBtus!$A$3:$A$53,0))),0,(index(Res_AllFuels_SEDS_2022_TBtus!$Q$3:$Q$53,match($B58&amp;AV$2,Res_AllFuels_SEDS_2022_TBtus!$B$3:$B$53&amp;Res_AllFuels_SEDS_2022_TBtus!$A$3:$A$53,0))))</f>
        <v>0</v>
      </c>
      <c r="AW58" s="75">
        <f t="array" ref="AW58">IF(ISERROR(index(Res_AllFuels_SEDS_2022_TBtus!$Q$3:$Q$53,match($B58&amp;AW$2,Res_AllFuels_SEDS_2022_TBtus!$B$3:$B$53&amp;Res_AllFuels_SEDS_2022_TBtus!$A$3:$A$53,0))),0,(index(Res_AllFuels_SEDS_2022_TBtus!$Q$3:$Q$53,match($B58&amp;AW$2,Res_AllFuels_SEDS_2022_TBtus!$B$3:$B$53&amp;Res_AllFuels_SEDS_2022_TBtus!$A$3:$A$53,0))))</f>
        <v>0</v>
      </c>
      <c r="AX58" s="75">
        <f t="array" ref="AX58">IF(ISERROR(index(Res_AllFuels_SEDS_2022_TBtus!$Q$3:$Q$53,match($B58&amp;AX$2,Res_AllFuels_SEDS_2022_TBtus!$B$3:$B$53&amp;Res_AllFuels_SEDS_2022_TBtus!$A$3:$A$53,0))),0,(index(Res_AllFuels_SEDS_2022_TBtus!$Q$3:$Q$53,match($B58&amp;AX$2,Res_AllFuels_SEDS_2022_TBtus!$B$3:$B$53&amp;Res_AllFuels_SEDS_2022_TBtus!$A$3:$A$53,0))))</f>
        <v>0</v>
      </c>
      <c r="AY58" s="75">
        <f t="array" ref="AY58">IF(ISERROR(index(Res_AllFuels_SEDS_2022_TBtus!$Q$3:$Q$53,match($B58&amp;AY$2,Res_AllFuels_SEDS_2022_TBtus!$B$3:$B$53&amp;Res_AllFuels_SEDS_2022_TBtus!$A$3:$A$53,0))),0,(index(Res_AllFuels_SEDS_2022_TBtus!$Q$3:$Q$53,match($B58&amp;AY$2,Res_AllFuels_SEDS_2022_TBtus!$B$3:$B$53&amp;Res_AllFuels_SEDS_2022_TBtus!$A$3:$A$53,0))))</f>
        <v>0</v>
      </c>
      <c r="AZ58" s="75">
        <f t="array" ref="AZ58">IF(ISERROR(index(Res_AllFuels_SEDS_2022_TBtus!$Q$3:$Q$53,match($B58&amp;AZ$2,Res_AllFuels_SEDS_2022_TBtus!$B$3:$B$53&amp;Res_AllFuels_SEDS_2022_TBtus!$A$3:$A$53,0))),0,(index(Res_AllFuels_SEDS_2022_TBtus!$Q$3:$Q$53,match($B58&amp;AZ$2,Res_AllFuels_SEDS_2022_TBtus!$B$3:$B$53&amp;Res_AllFuels_SEDS_2022_TBtus!$A$3:$A$53,0))))</f>
        <v>53.2</v>
      </c>
      <c r="BA58" s="75">
        <f t="array" ref="BA58">IF(ISERROR(index(Res_AllFuels_SEDS_2022_TBtus!$Q$3:$Q$53,match($B58&amp;BA$2,Res_AllFuels_SEDS_2022_TBtus!$B$3:$B$53&amp;Res_AllFuels_SEDS_2022_TBtus!$A$3:$A$53,0))),0,(index(Res_AllFuels_SEDS_2022_TBtus!$Q$3:$Q$53,match($B58&amp;BA$2,Res_AllFuels_SEDS_2022_TBtus!$B$3:$B$53&amp;Res_AllFuels_SEDS_2022_TBtus!$A$3:$A$53,0))))</f>
        <v>0</v>
      </c>
      <c r="BB58" s="74">
        <f t="shared" si="9"/>
        <v>203.7</v>
      </c>
    </row>
    <row r="59" ht="15.75" customHeight="1">
      <c r="A59" s="78"/>
      <c r="B59" s="74">
        <v>4.0</v>
      </c>
      <c r="C59" s="75">
        <f t="array" ref="C59">IF(ISERROR(index(Res_AllFuels_SEDS_2022_TBtus!$Q$3:$Q$53,match($B59&amp;C$2,Res_AllFuels_SEDS_2022_TBtus!$B$3:$B$53&amp;Res_AllFuels_SEDS_2022_TBtus!$A$3:$A$53,0))),0,(index(Res_AllFuels_SEDS_2022_TBtus!$Q$3:$Q$53,match($B59&amp;C$2,Res_AllFuels_SEDS_2022_TBtus!$B$3:$B$53&amp;Res_AllFuels_SEDS_2022_TBtus!$A$3:$A$53,0))))</f>
        <v>0</v>
      </c>
      <c r="D59" s="75">
        <f t="array" ref="D59">IF(ISERROR(index(Res_AllFuels_SEDS_2022_TBtus!$Q$3:$Q$53,match($B59&amp;D$2,Res_AllFuels_SEDS_2022_TBtus!$B$3:$B$53&amp;Res_AllFuels_SEDS_2022_TBtus!$A$3:$A$53,0))),0,(index(Res_AllFuels_SEDS_2022_TBtus!$Q$3:$Q$53,match($B59&amp;D$2,Res_AllFuels_SEDS_2022_TBtus!$B$3:$B$53&amp;Res_AllFuels_SEDS_2022_TBtus!$A$3:$A$53,0))))</f>
        <v>0</v>
      </c>
      <c r="E59" s="75">
        <f t="array" ref="E59">IF(ISERROR(index(Res_AllFuels_SEDS_2022_TBtus!$Q$3:$Q$53,match($B59&amp;E$2,Res_AllFuels_SEDS_2022_TBtus!$B$3:$B$53&amp;Res_AllFuels_SEDS_2022_TBtus!$A$3:$A$53,0))),0,(index(Res_AllFuels_SEDS_2022_TBtus!$Q$3:$Q$53,match($B59&amp;E$2,Res_AllFuels_SEDS_2022_TBtus!$B$3:$B$53&amp;Res_AllFuels_SEDS_2022_TBtus!$A$3:$A$53,0))))</f>
        <v>0</v>
      </c>
      <c r="F59" s="75">
        <f t="array" ref="F59">IF(ISERROR(index(Res_AllFuels_SEDS_2022_TBtus!$Q$3:$Q$53,match($B59&amp;F$2,Res_AllFuels_SEDS_2022_TBtus!$B$3:$B$53&amp;Res_AllFuels_SEDS_2022_TBtus!$A$3:$A$53,0))),0,(index(Res_AllFuels_SEDS_2022_TBtus!$Q$3:$Q$53,match($B59&amp;F$2,Res_AllFuels_SEDS_2022_TBtus!$B$3:$B$53&amp;Res_AllFuels_SEDS_2022_TBtus!$A$3:$A$53,0))))</f>
        <v>0</v>
      </c>
      <c r="G59" s="75">
        <f t="array" ref="G59">IF(ISERROR(index(Res_AllFuels_SEDS_2022_TBtus!$Q$3:$Q$53,match($B59&amp;G$2,Res_AllFuels_SEDS_2022_TBtus!$B$3:$B$53&amp;Res_AllFuels_SEDS_2022_TBtus!$A$3:$A$53,0))),0,(index(Res_AllFuels_SEDS_2022_TBtus!$Q$3:$Q$53,match($B59&amp;G$2,Res_AllFuels_SEDS_2022_TBtus!$B$3:$B$53&amp;Res_AllFuels_SEDS_2022_TBtus!$A$3:$A$53,0))))</f>
        <v>0</v>
      </c>
      <c r="H59" s="75">
        <f t="array" ref="H59">IF(ISERROR(index(Res_AllFuels_SEDS_2022_TBtus!$Q$3:$Q$53,match($B59&amp;H$2,Res_AllFuels_SEDS_2022_TBtus!$B$3:$B$53&amp;Res_AllFuels_SEDS_2022_TBtus!$A$3:$A$53,0))),0,(index(Res_AllFuels_SEDS_2022_TBtus!$Q$3:$Q$53,match($B59&amp;H$2,Res_AllFuels_SEDS_2022_TBtus!$B$3:$B$53&amp;Res_AllFuels_SEDS_2022_TBtus!$A$3:$A$53,0))))</f>
        <v>0</v>
      </c>
      <c r="I59" s="75">
        <f t="array" ref="I59">IF(ISERROR(index(Res_AllFuels_SEDS_2022_TBtus!$Q$3:$Q$53,match($B59&amp;I$2,Res_AllFuels_SEDS_2022_TBtus!$B$3:$B$53&amp;Res_AllFuels_SEDS_2022_TBtus!$A$3:$A$53,0))),0,(index(Res_AllFuels_SEDS_2022_TBtus!$Q$3:$Q$53,match($B59&amp;I$2,Res_AllFuels_SEDS_2022_TBtus!$B$3:$B$53&amp;Res_AllFuels_SEDS_2022_TBtus!$A$3:$A$53,0))))</f>
        <v>0</v>
      </c>
      <c r="J59" s="75">
        <f t="array" ref="J59">IF(ISERROR(index(Res_AllFuels_SEDS_2022_TBtus!$Q$3:$Q$53,match($B59&amp;J$2,Res_AllFuels_SEDS_2022_TBtus!$B$3:$B$53&amp;Res_AllFuels_SEDS_2022_TBtus!$A$3:$A$53,0))),0,(index(Res_AllFuels_SEDS_2022_TBtus!$Q$3:$Q$53,match($B59&amp;J$2,Res_AllFuels_SEDS_2022_TBtus!$B$3:$B$53&amp;Res_AllFuels_SEDS_2022_TBtus!$A$3:$A$53,0))))</f>
        <v>0</v>
      </c>
      <c r="K59" s="75">
        <f t="array" ref="K59">IF(ISERROR(index(Res_AllFuels_SEDS_2022_TBtus!$Q$3:$Q$53,match($B59&amp;K$2,Res_AllFuels_SEDS_2022_TBtus!$B$3:$B$53&amp;Res_AllFuels_SEDS_2022_TBtus!$A$3:$A$53,0))),0,(index(Res_AllFuels_SEDS_2022_TBtus!$Q$3:$Q$53,match($B59&amp;K$2,Res_AllFuels_SEDS_2022_TBtus!$B$3:$B$53&amp;Res_AllFuels_SEDS_2022_TBtus!$A$3:$A$53,0))))</f>
        <v>0</v>
      </c>
      <c r="L59" s="75">
        <f t="array" ref="L59">IF(ISERROR(index(Res_AllFuels_SEDS_2022_TBtus!$Q$3:$Q$53,match($B59&amp;L$2,Res_AllFuels_SEDS_2022_TBtus!$B$3:$B$53&amp;Res_AllFuels_SEDS_2022_TBtus!$A$3:$A$53,0))),0,(index(Res_AllFuels_SEDS_2022_TBtus!$Q$3:$Q$53,match($B59&amp;L$2,Res_AllFuels_SEDS_2022_TBtus!$B$3:$B$53&amp;Res_AllFuels_SEDS_2022_TBtus!$A$3:$A$53,0))))</f>
        <v>0</v>
      </c>
      <c r="M59" s="75">
        <f t="array" ref="M59">IF(ISERROR(index(Res_AllFuels_SEDS_2022_TBtus!$Q$3:$Q$53,match($B59&amp;M$2,Res_AllFuels_SEDS_2022_TBtus!$B$3:$B$53&amp;Res_AllFuels_SEDS_2022_TBtus!$A$3:$A$53,0))),0,(index(Res_AllFuels_SEDS_2022_TBtus!$Q$3:$Q$53,match($B59&amp;M$2,Res_AllFuels_SEDS_2022_TBtus!$B$3:$B$53&amp;Res_AllFuels_SEDS_2022_TBtus!$A$3:$A$53,0))))</f>
        <v>0</v>
      </c>
      <c r="N59" s="75">
        <f t="array" ref="N59">IF(ISERROR(index(Res_AllFuels_SEDS_2022_TBtus!$Q$3:$Q$53,match($B59&amp;N$2,Res_AllFuels_SEDS_2022_TBtus!$B$3:$B$53&amp;Res_AllFuels_SEDS_2022_TBtus!$A$3:$A$53,0))),0,(index(Res_AllFuels_SEDS_2022_TBtus!$Q$3:$Q$53,match($B59&amp;N$2,Res_AllFuels_SEDS_2022_TBtus!$B$3:$B$53&amp;Res_AllFuels_SEDS_2022_TBtus!$A$3:$A$53,0))))</f>
        <v>0</v>
      </c>
      <c r="O59" s="75">
        <f t="array" ref="O59">IF(ISERROR(index(Res_AllFuels_SEDS_2022_TBtus!$Q$3:$Q$53,match($B59&amp;O$2,Res_AllFuels_SEDS_2022_TBtus!$B$3:$B$53&amp;Res_AllFuels_SEDS_2022_TBtus!$A$3:$A$53,0))),0,(index(Res_AllFuels_SEDS_2022_TBtus!$Q$3:$Q$53,match($B59&amp;O$2,Res_AllFuels_SEDS_2022_TBtus!$B$3:$B$53&amp;Res_AllFuels_SEDS_2022_TBtus!$A$3:$A$53,0))))</f>
        <v>0</v>
      </c>
      <c r="P59" s="75">
        <f t="array" ref="P59">IF(ISERROR(index(Res_AllFuels_SEDS_2022_TBtus!$Q$3:$Q$53,match($B59&amp;P$2,Res_AllFuels_SEDS_2022_TBtus!$B$3:$B$53&amp;Res_AllFuels_SEDS_2022_TBtus!$A$3:$A$53,0))),0,(index(Res_AllFuels_SEDS_2022_TBtus!$Q$3:$Q$53,match($B59&amp;P$2,Res_AllFuels_SEDS_2022_TBtus!$B$3:$B$53&amp;Res_AllFuels_SEDS_2022_TBtus!$A$3:$A$53,0))))</f>
        <v>0</v>
      </c>
      <c r="Q59" s="75">
        <f t="array" ref="Q59">IF(ISERROR(index(Res_AllFuels_SEDS_2022_TBtus!$Q$3:$Q$53,match($B59&amp;Q$2,Res_AllFuels_SEDS_2022_TBtus!$B$3:$B$53&amp;Res_AllFuels_SEDS_2022_TBtus!$A$3:$A$53,0))),0,(index(Res_AllFuels_SEDS_2022_TBtus!$Q$3:$Q$53,match($B59&amp;Q$2,Res_AllFuels_SEDS_2022_TBtus!$B$3:$B$53&amp;Res_AllFuels_SEDS_2022_TBtus!$A$3:$A$53,0))))</f>
        <v>0</v>
      </c>
      <c r="R59" s="75">
        <f t="array" ref="R59">IF(ISERROR(index(Res_AllFuels_SEDS_2022_TBtus!$Q$3:$Q$53,match($B59&amp;R$2,Res_AllFuels_SEDS_2022_TBtus!$B$3:$B$53&amp;Res_AllFuels_SEDS_2022_TBtus!$A$3:$A$53,0))),0,(index(Res_AllFuels_SEDS_2022_TBtus!$Q$3:$Q$53,match($B59&amp;R$2,Res_AllFuels_SEDS_2022_TBtus!$B$3:$B$53&amp;Res_AllFuels_SEDS_2022_TBtus!$A$3:$A$53,0))))</f>
        <v>31.4</v>
      </c>
      <c r="S59" s="75">
        <f t="array" ref="S59">IF(ISERROR(index(Res_AllFuels_SEDS_2022_TBtus!$Q$3:$Q$53,match($B59&amp;S$2,Res_AllFuels_SEDS_2022_TBtus!$B$3:$B$53&amp;Res_AllFuels_SEDS_2022_TBtus!$A$3:$A$53,0))),0,(index(Res_AllFuels_SEDS_2022_TBtus!$Q$3:$Q$53,match($B59&amp;S$2,Res_AllFuels_SEDS_2022_TBtus!$B$3:$B$53&amp;Res_AllFuels_SEDS_2022_TBtus!$A$3:$A$53,0))))</f>
        <v>11.9</v>
      </c>
      <c r="T59" s="75">
        <f t="array" ref="T59">IF(ISERROR(index(Res_AllFuels_SEDS_2022_TBtus!$Q$3:$Q$53,match($B59&amp;T$2,Res_AllFuels_SEDS_2022_TBtus!$B$3:$B$53&amp;Res_AllFuels_SEDS_2022_TBtus!$A$3:$A$53,0))),0,(index(Res_AllFuels_SEDS_2022_TBtus!$Q$3:$Q$53,match($B59&amp;T$2,Res_AllFuels_SEDS_2022_TBtus!$B$3:$B$53&amp;Res_AllFuels_SEDS_2022_TBtus!$A$3:$A$53,0))))</f>
        <v>0</v>
      </c>
      <c r="U59" s="75">
        <f t="array" ref="U59">IF(ISERROR(index(Res_AllFuels_SEDS_2022_TBtus!$Q$3:$Q$53,match($B59&amp;U$2,Res_AllFuels_SEDS_2022_TBtus!$B$3:$B$53&amp;Res_AllFuels_SEDS_2022_TBtus!$A$3:$A$53,0))),0,(index(Res_AllFuels_SEDS_2022_TBtus!$Q$3:$Q$53,match($B59&amp;U$2,Res_AllFuels_SEDS_2022_TBtus!$B$3:$B$53&amp;Res_AllFuels_SEDS_2022_TBtus!$A$3:$A$53,0))))</f>
        <v>0</v>
      </c>
      <c r="V59" s="75">
        <f t="array" ref="V59">IF(ISERROR(index(Res_AllFuels_SEDS_2022_TBtus!$Q$3:$Q$53,match($B59&amp;V$2,Res_AllFuels_SEDS_2022_TBtus!$B$3:$B$53&amp;Res_AllFuels_SEDS_2022_TBtus!$A$3:$A$53,0))),0,(index(Res_AllFuels_SEDS_2022_TBtus!$Q$3:$Q$53,match($B59&amp;V$2,Res_AllFuels_SEDS_2022_TBtus!$B$3:$B$53&amp;Res_AllFuels_SEDS_2022_TBtus!$A$3:$A$53,0))))</f>
        <v>0</v>
      </c>
      <c r="W59" s="75">
        <f t="array" ref="W59">IF(ISERROR(index(Res_AllFuels_SEDS_2022_TBtus!$Q$3:$Q$53,match($B59&amp;W$2,Res_AllFuels_SEDS_2022_TBtus!$B$3:$B$53&amp;Res_AllFuels_SEDS_2022_TBtus!$A$3:$A$53,0))),0,(index(Res_AllFuels_SEDS_2022_TBtus!$Q$3:$Q$53,match($B59&amp;W$2,Res_AllFuels_SEDS_2022_TBtus!$B$3:$B$53&amp;Res_AllFuels_SEDS_2022_TBtus!$A$3:$A$53,0))))</f>
        <v>0</v>
      </c>
      <c r="X59" s="75">
        <f t="array" ref="X59">IF(ISERROR(index(Res_AllFuels_SEDS_2022_TBtus!$Q$3:$Q$53,match($B59&amp;X$2,Res_AllFuels_SEDS_2022_TBtus!$B$3:$B$53&amp;Res_AllFuels_SEDS_2022_TBtus!$A$3:$A$53,0))),0,(index(Res_AllFuels_SEDS_2022_TBtus!$Q$3:$Q$53,match($B59&amp;X$2,Res_AllFuels_SEDS_2022_TBtus!$B$3:$B$53&amp;Res_AllFuels_SEDS_2022_TBtus!$A$3:$A$53,0))))</f>
        <v>0</v>
      </c>
      <c r="Y59" s="75">
        <f t="array" ref="Y59">IF(ISERROR(index(Res_AllFuels_SEDS_2022_TBtus!$Q$3:$Q$53,match($B59&amp;Y$2,Res_AllFuels_SEDS_2022_TBtus!$B$3:$B$53&amp;Res_AllFuels_SEDS_2022_TBtus!$A$3:$A$53,0))),0,(index(Res_AllFuels_SEDS_2022_TBtus!$Q$3:$Q$53,match($B59&amp;Y$2,Res_AllFuels_SEDS_2022_TBtus!$B$3:$B$53&amp;Res_AllFuels_SEDS_2022_TBtus!$A$3:$A$53,0))))</f>
        <v>0</v>
      </c>
      <c r="Z59" s="75">
        <f t="array" ref="Z59">IF(ISERROR(index(Res_AllFuels_SEDS_2022_TBtus!$Q$3:$Q$53,match($B59&amp;Z$2,Res_AllFuels_SEDS_2022_TBtus!$B$3:$B$53&amp;Res_AllFuels_SEDS_2022_TBtus!$A$3:$A$53,0))),0,(index(Res_AllFuels_SEDS_2022_TBtus!$Q$3:$Q$53,match($B59&amp;Z$2,Res_AllFuels_SEDS_2022_TBtus!$B$3:$B$53&amp;Res_AllFuels_SEDS_2022_TBtus!$A$3:$A$53,0))))</f>
        <v>45</v>
      </c>
      <c r="AA59" s="75">
        <f t="array" ref="AA59">IF(ISERROR(index(Res_AllFuels_SEDS_2022_TBtus!$Q$3:$Q$53,match($B59&amp;AA$2,Res_AllFuels_SEDS_2022_TBtus!$B$3:$B$53&amp;Res_AllFuels_SEDS_2022_TBtus!$A$3:$A$53,0))),0,(index(Res_AllFuels_SEDS_2022_TBtus!$Q$3:$Q$53,match($B59&amp;AA$2,Res_AllFuels_SEDS_2022_TBtus!$B$3:$B$53&amp;Res_AllFuels_SEDS_2022_TBtus!$A$3:$A$53,0))))</f>
        <v>0</v>
      </c>
      <c r="AB59" s="75">
        <f t="array" ref="AB59">IF(ISERROR(index(Res_AllFuels_SEDS_2022_TBtus!$Q$3:$Q$53,match($B59&amp;AB$2,Res_AllFuels_SEDS_2022_TBtus!$B$3:$B$53&amp;Res_AllFuels_SEDS_2022_TBtus!$A$3:$A$53,0))),0,(index(Res_AllFuels_SEDS_2022_TBtus!$Q$3:$Q$53,match($B59&amp;AB$2,Res_AllFuels_SEDS_2022_TBtus!$B$3:$B$53&amp;Res_AllFuels_SEDS_2022_TBtus!$A$3:$A$53,0))))</f>
        <v>34.9</v>
      </c>
      <c r="AC59" s="75">
        <f t="array" ref="AC59">IF(ISERROR(index(Res_AllFuels_SEDS_2022_TBtus!$Q$3:$Q$53,match($B59&amp;AC$2,Res_AllFuels_SEDS_2022_TBtus!$B$3:$B$53&amp;Res_AllFuels_SEDS_2022_TBtus!$A$3:$A$53,0))),0,(index(Res_AllFuels_SEDS_2022_TBtus!$Q$3:$Q$53,match($B59&amp;AC$2,Res_AllFuels_SEDS_2022_TBtus!$B$3:$B$53&amp;Res_AllFuels_SEDS_2022_TBtus!$A$3:$A$53,0))))</f>
        <v>0</v>
      </c>
      <c r="AD59" s="75">
        <f t="array" ref="AD59">IF(ISERROR(index(Res_AllFuels_SEDS_2022_TBtus!$Q$3:$Q$53,match($B59&amp;AD$2,Res_AllFuels_SEDS_2022_TBtus!$B$3:$B$53&amp;Res_AllFuels_SEDS_2022_TBtus!$A$3:$A$53,0))),0,(index(Res_AllFuels_SEDS_2022_TBtus!$Q$3:$Q$53,match($B59&amp;AD$2,Res_AllFuels_SEDS_2022_TBtus!$B$3:$B$53&amp;Res_AllFuels_SEDS_2022_TBtus!$A$3:$A$53,0))))</f>
        <v>7.5</v>
      </c>
      <c r="AE59" s="75">
        <f t="array" ref="AE59">IF(ISERROR(index(Res_AllFuels_SEDS_2022_TBtus!$Q$3:$Q$53,match($B59&amp;AE$2,Res_AllFuels_SEDS_2022_TBtus!$B$3:$B$53&amp;Res_AllFuels_SEDS_2022_TBtus!$A$3:$A$53,0))),0,(index(Res_AllFuels_SEDS_2022_TBtus!$Q$3:$Q$53,match($B59&amp;AE$2,Res_AllFuels_SEDS_2022_TBtus!$B$3:$B$53&amp;Res_AllFuels_SEDS_2022_TBtus!$A$3:$A$53,0))))</f>
        <v>0</v>
      </c>
      <c r="AF59" s="75">
        <f t="array" ref="AF59">IF(ISERROR(index(Res_AllFuels_SEDS_2022_TBtus!$Q$3:$Q$53,match($B59&amp;AF$2,Res_AllFuels_SEDS_2022_TBtus!$B$3:$B$53&amp;Res_AllFuels_SEDS_2022_TBtus!$A$3:$A$53,0))),0,(index(Res_AllFuels_SEDS_2022_TBtus!$Q$3:$Q$53,match($B59&amp;AF$2,Res_AllFuels_SEDS_2022_TBtus!$B$3:$B$53&amp;Res_AllFuels_SEDS_2022_TBtus!$A$3:$A$53,0))))</f>
        <v>0</v>
      </c>
      <c r="AG59" s="75">
        <f t="array" ref="AG59">IF(ISERROR(index(Res_AllFuels_SEDS_2022_TBtus!$Q$3:$Q$53,match($B59&amp;AG$2,Res_AllFuels_SEDS_2022_TBtus!$B$3:$B$53&amp;Res_AllFuels_SEDS_2022_TBtus!$A$3:$A$53,0))),0,(index(Res_AllFuels_SEDS_2022_TBtus!$Q$3:$Q$53,match($B59&amp;AG$2,Res_AllFuels_SEDS_2022_TBtus!$B$3:$B$53&amp;Res_AllFuels_SEDS_2022_TBtus!$A$3:$A$53,0))))</f>
        <v>0</v>
      </c>
      <c r="AH59" s="75">
        <f t="array" ref="AH59">IF(ISERROR(index(Res_AllFuels_SEDS_2022_TBtus!$Q$3:$Q$53,match($B59&amp;AH$2,Res_AllFuels_SEDS_2022_TBtus!$B$3:$B$53&amp;Res_AllFuels_SEDS_2022_TBtus!$A$3:$A$53,0))),0,(index(Res_AllFuels_SEDS_2022_TBtus!$Q$3:$Q$53,match($B59&amp;AH$2,Res_AllFuels_SEDS_2022_TBtus!$B$3:$B$53&amp;Res_AllFuels_SEDS_2022_TBtus!$A$3:$A$53,0))))</f>
        <v>0</v>
      </c>
      <c r="AI59" s="75">
        <f t="array" ref="AI59">IF(ISERROR(index(Res_AllFuels_SEDS_2022_TBtus!$Q$3:$Q$53,match($B59&amp;AI$2,Res_AllFuels_SEDS_2022_TBtus!$B$3:$B$53&amp;Res_AllFuels_SEDS_2022_TBtus!$A$3:$A$53,0))),0,(index(Res_AllFuels_SEDS_2022_TBtus!$Q$3:$Q$53,match($B59&amp;AI$2,Res_AllFuels_SEDS_2022_TBtus!$B$3:$B$53&amp;Res_AllFuels_SEDS_2022_TBtus!$A$3:$A$53,0))))</f>
        <v>0</v>
      </c>
      <c r="AJ59" s="75">
        <f t="array" ref="AJ59">IF(ISERROR(index(Res_AllFuels_SEDS_2022_TBtus!$Q$3:$Q$53,match($B59&amp;AJ$2,Res_AllFuels_SEDS_2022_TBtus!$B$3:$B$53&amp;Res_AllFuels_SEDS_2022_TBtus!$A$3:$A$53,0))),0,(index(Res_AllFuels_SEDS_2022_TBtus!$Q$3:$Q$53,match($B59&amp;AJ$2,Res_AllFuels_SEDS_2022_TBtus!$B$3:$B$53&amp;Res_AllFuels_SEDS_2022_TBtus!$A$3:$A$53,0))))</f>
        <v>0</v>
      </c>
      <c r="AK59" s="75">
        <f t="array" ref="AK59">IF(ISERROR(index(Res_AllFuels_SEDS_2022_TBtus!$Q$3:$Q$53,match($B59&amp;AK$2,Res_AllFuels_SEDS_2022_TBtus!$B$3:$B$53&amp;Res_AllFuels_SEDS_2022_TBtus!$A$3:$A$53,0))),0,(index(Res_AllFuels_SEDS_2022_TBtus!$Q$3:$Q$53,match($B59&amp;AK$2,Res_AllFuels_SEDS_2022_TBtus!$B$3:$B$53&amp;Res_AllFuels_SEDS_2022_TBtus!$A$3:$A$53,0))))</f>
        <v>7</v>
      </c>
      <c r="AL59" s="75">
        <f t="array" ref="AL59">IF(ISERROR(index(Res_AllFuels_SEDS_2022_TBtus!$Q$3:$Q$53,match($B59&amp;AL$2,Res_AllFuels_SEDS_2022_TBtus!$B$3:$B$53&amp;Res_AllFuels_SEDS_2022_TBtus!$A$3:$A$53,0))),0,(index(Res_AllFuels_SEDS_2022_TBtus!$Q$3:$Q$53,match($B59&amp;AL$2,Res_AllFuels_SEDS_2022_TBtus!$B$3:$B$53&amp;Res_AllFuels_SEDS_2022_TBtus!$A$3:$A$53,0))))</f>
        <v>0</v>
      </c>
      <c r="AM59" s="75">
        <f t="array" ref="AM59">IF(ISERROR(index(Res_AllFuels_SEDS_2022_TBtus!$Q$3:$Q$53,match($B59&amp;AM$2,Res_AllFuels_SEDS_2022_TBtus!$B$3:$B$53&amp;Res_AllFuels_SEDS_2022_TBtus!$A$3:$A$53,0))),0,(index(Res_AllFuels_SEDS_2022_TBtus!$Q$3:$Q$53,match($B59&amp;AM$2,Res_AllFuels_SEDS_2022_TBtus!$B$3:$B$53&amp;Res_AllFuels_SEDS_2022_TBtus!$A$3:$A$53,0))))</f>
        <v>0</v>
      </c>
      <c r="AN59" s="75">
        <f t="array" ref="AN59">IF(ISERROR(index(Res_AllFuels_SEDS_2022_TBtus!$Q$3:$Q$53,match($B59&amp;AN$2,Res_AllFuels_SEDS_2022_TBtus!$B$3:$B$53&amp;Res_AllFuels_SEDS_2022_TBtus!$A$3:$A$53,0))),0,(index(Res_AllFuels_SEDS_2022_TBtus!$Q$3:$Q$53,match($B59&amp;AN$2,Res_AllFuels_SEDS_2022_TBtus!$B$3:$B$53&amp;Res_AllFuels_SEDS_2022_TBtus!$A$3:$A$53,0))))</f>
        <v>0</v>
      </c>
      <c r="AO59" s="75">
        <f t="array" ref="AO59">IF(ISERROR(index(Res_AllFuels_SEDS_2022_TBtus!$Q$3:$Q$53,match($B59&amp;AO$2,Res_AllFuels_SEDS_2022_TBtus!$B$3:$B$53&amp;Res_AllFuels_SEDS_2022_TBtus!$A$3:$A$53,0))),0,(index(Res_AllFuels_SEDS_2022_TBtus!$Q$3:$Q$53,match($B59&amp;AO$2,Res_AllFuels_SEDS_2022_TBtus!$B$3:$B$53&amp;Res_AllFuels_SEDS_2022_TBtus!$A$3:$A$53,0))))</f>
        <v>0</v>
      </c>
      <c r="AP59" s="75">
        <f t="array" ref="AP59">IF(ISERROR(index(Res_AllFuels_SEDS_2022_TBtus!$Q$3:$Q$53,match($B59&amp;AP$2,Res_AllFuels_SEDS_2022_TBtus!$B$3:$B$53&amp;Res_AllFuels_SEDS_2022_TBtus!$A$3:$A$53,0))),0,(index(Res_AllFuels_SEDS_2022_TBtus!$Q$3:$Q$53,match($B59&amp;AP$2,Res_AllFuels_SEDS_2022_TBtus!$B$3:$B$53&amp;Res_AllFuels_SEDS_2022_TBtus!$A$3:$A$53,0))))</f>
        <v>0</v>
      </c>
      <c r="AQ59" s="75">
        <f t="array" ref="AQ59">IF(ISERROR(index(Res_AllFuels_SEDS_2022_TBtus!$Q$3:$Q$53,match($B59&amp;AQ$2,Res_AllFuels_SEDS_2022_TBtus!$B$3:$B$53&amp;Res_AllFuels_SEDS_2022_TBtus!$A$3:$A$53,0))),0,(index(Res_AllFuels_SEDS_2022_TBtus!$Q$3:$Q$53,match($B59&amp;AQ$2,Res_AllFuels_SEDS_2022_TBtus!$B$3:$B$53&amp;Res_AllFuels_SEDS_2022_TBtus!$A$3:$A$53,0))))</f>
        <v>0</v>
      </c>
      <c r="AR59" s="75">
        <f t="array" ref="AR59">IF(ISERROR(index(Res_AllFuels_SEDS_2022_TBtus!$Q$3:$Q$53,match($B59&amp;AR$2,Res_AllFuels_SEDS_2022_TBtus!$B$3:$B$53&amp;Res_AllFuels_SEDS_2022_TBtus!$A$3:$A$53,0))),0,(index(Res_AllFuels_SEDS_2022_TBtus!$Q$3:$Q$53,match($B59&amp;AR$2,Res_AllFuels_SEDS_2022_TBtus!$B$3:$B$53&amp;Res_AllFuels_SEDS_2022_TBtus!$A$3:$A$53,0))))</f>
        <v>6.2</v>
      </c>
      <c r="AS59" s="75">
        <f t="array" ref="AS59">IF(ISERROR(index(Res_AllFuels_SEDS_2022_TBtus!$Q$3:$Q$53,match($B59&amp;AS$2,Res_AllFuels_SEDS_2022_TBtus!$B$3:$B$53&amp;Res_AllFuels_SEDS_2022_TBtus!$A$3:$A$53,0))),0,(index(Res_AllFuels_SEDS_2022_TBtus!$Q$3:$Q$53,match($B59&amp;AS$2,Res_AllFuels_SEDS_2022_TBtus!$B$3:$B$53&amp;Res_AllFuels_SEDS_2022_TBtus!$A$3:$A$53,0))))</f>
        <v>0</v>
      </c>
      <c r="AT59" s="75">
        <f t="array" ref="AT59">IF(ISERROR(index(Res_AllFuels_SEDS_2022_TBtus!$Q$3:$Q$53,match($B59&amp;AT$2,Res_AllFuels_SEDS_2022_TBtus!$B$3:$B$53&amp;Res_AllFuels_SEDS_2022_TBtus!$A$3:$A$53,0))),0,(index(Res_AllFuels_SEDS_2022_TBtus!$Q$3:$Q$53,match($B59&amp;AT$2,Res_AllFuels_SEDS_2022_TBtus!$B$3:$B$53&amp;Res_AllFuels_SEDS_2022_TBtus!$A$3:$A$53,0))))</f>
        <v>0</v>
      </c>
      <c r="AU59" s="75">
        <f t="array" ref="AU59">IF(ISERROR(index(Res_AllFuels_SEDS_2022_TBtus!$Q$3:$Q$53,match($B59&amp;AU$2,Res_AllFuels_SEDS_2022_TBtus!$B$3:$B$53&amp;Res_AllFuels_SEDS_2022_TBtus!$A$3:$A$53,0))),0,(index(Res_AllFuels_SEDS_2022_TBtus!$Q$3:$Q$53,match($B59&amp;AU$2,Res_AllFuels_SEDS_2022_TBtus!$B$3:$B$53&amp;Res_AllFuels_SEDS_2022_TBtus!$A$3:$A$53,0))))</f>
        <v>0</v>
      </c>
      <c r="AV59" s="75">
        <f t="array" ref="AV59">IF(ISERROR(index(Res_AllFuels_SEDS_2022_TBtus!$Q$3:$Q$53,match($B59&amp;AV$2,Res_AllFuels_SEDS_2022_TBtus!$B$3:$B$53&amp;Res_AllFuels_SEDS_2022_TBtus!$A$3:$A$53,0))),0,(index(Res_AllFuels_SEDS_2022_TBtus!$Q$3:$Q$53,match($B59&amp;AV$2,Res_AllFuels_SEDS_2022_TBtus!$B$3:$B$53&amp;Res_AllFuels_SEDS_2022_TBtus!$A$3:$A$53,0))))</f>
        <v>0</v>
      </c>
      <c r="AW59" s="75">
        <f t="array" ref="AW59">IF(ISERROR(index(Res_AllFuels_SEDS_2022_TBtus!$Q$3:$Q$53,match($B59&amp;AW$2,Res_AllFuels_SEDS_2022_TBtus!$B$3:$B$53&amp;Res_AllFuels_SEDS_2022_TBtus!$A$3:$A$53,0))),0,(index(Res_AllFuels_SEDS_2022_TBtus!$Q$3:$Q$53,match($B59&amp;AW$2,Res_AllFuels_SEDS_2022_TBtus!$B$3:$B$53&amp;Res_AllFuels_SEDS_2022_TBtus!$A$3:$A$53,0))))</f>
        <v>0</v>
      </c>
      <c r="AX59" s="75">
        <f t="array" ref="AX59">IF(ISERROR(index(Res_AllFuels_SEDS_2022_TBtus!$Q$3:$Q$53,match($B59&amp;AX$2,Res_AllFuels_SEDS_2022_TBtus!$B$3:$B$53&amp;Res_AllFuels_SEDS_2022_TBtus!$A$3:$A$53,0))),0,(index(Res_AllFuels_SEDS_2022_TBtus!$Q$3:$Q$53,match($B59&amp;AX$2,Res_AllFuels_SEDS_2022_TBtus!$B$3:$B$53&amp;Res_AllFuels_SEDS_2022_TBtus!$A$3:$A$53,0))))</f>
        <v>0</v>
      </c>
      <c r="AY59" s="75">
        <f t="array" ref="AY59">IF(ISERROR(index(Res_AllFuels_SEDS_2022_TBtus!$Q$3:$Q$53,match($B59&amp;AY$2,Res_AllFuels_SEDS_2022_TBtus!$B$3:$B$53&amp;Res_AllFuels_SEDS_2022_TBtus!$A$3:$A$53,0))),0,(index(Res_AllFuels_SEDS_2022_TBtus!$Q$3:$Q$53,match($B59&amp;AY$2,Res_AllFuels_SEDS_2022_TBtus!$B$3:$B$53&amp;Res_AllFuels_SEDS_2022_TBtus!$A$3:$A$53,0))))</f>
        <v>0</v>
      </c>
      <c r="AZ59" s="75">
        <f t="array" ref="AZ59">IF(ISERROR(index(Res_AllFuels_SEDS_2022_TBtus!$Q$3:$Q$53,match($B59&amp;AZ$2,Res_AllFuels_SEDS_2022_TBtus!$B$3:$B$53&amp;Res_AllFuels_SEDS_2022_TBtus!$A$3:$A$53,0))),0,(index(Res_AllFuels_SEDS_2022_TBtus!$Q$3:$Q$53,match($B59&amp;AZ$2,Res_AllFuels_SEDS_2022_TBtus!$B$3:$B$53&amp;Res_AllFuels_SEDS_2022_TBtus!$A$3:$A$53,0))))</f>
        <v>0</v>
      </c>
      <c r="BA59" s="75">
        <f t="array" ref="BA59">IF(ISERROR(index(Res_AllFuels_SEDS_2022_TBtus!$Q$3:$Q$53,match($B59&amp;BA$2,Res_AllFuels_SEDS_2022_TBtus!$B$3:$B$53&amp;Res_AllFuels_SEDS_2022_TBtus!$A$3:$A$53,0))),0,(index(Res_AllFuels_SEDS_2022_TBtus!$Q$3:$Q$53,match($B59&amp;BA$2,Res_AllFuels_SEDS_2022_TBtus!$B$3:$B$53&amp;Res_AllFuels_SEDS_2022_TBtus!$A$3:$A$53,0))))</f>
        <v>0</v>
      </c>
      <c r="BB59" s="74">
        <f t="shared" si="9"/>
        <v>143.9</v>
      </c>
    </row>
    <row r="60" ht="15.75" customHeight="1">
      <c r="A60" s="78"/>
      <c r="B60" s="74">
        <v>5.0</v>
      </c>
      <c r="C60" s="75">
        <f t="array" ref="C60">IF(ISERROR(index(Res_AllFuels_SEDS_2022_TBtus!$Q$3:$Q$53,match($B60&amp;C$2,Res_AllFuels_SEDS_2022_TBtus!$B$3:$B$53&amp;Res_AllFuels_SEDS_2022_TBtus!$A$3:$A$53,0))),0,(index(Res_AllFuels_SEDS_2022_TBtus!$Q$3:$Q$53,match($B60&amp;C$2,Res_AllFuels_SEDS_2022_TBtus!$B$3:$B$53&amp;Res_AllFuels_SEDS_2022_TBtus!$A$3:$A$53,0))))</f>
        <v>0</v>
      </c>
      <c r="D60" s="75">
        <f t="array" ref="D60">IF(ISERROR(index(Res_AllFuels_SEDS_2022_TBtus!$Q$3:$Q$53,match($B60&amp;D$2,Res_AllFuels_SEDS_2022_TBtus!$B$3:$B$53&amp;Res_AllFuels_SEDS_2022_TBtus!$A$3:$A$53,0))),0,(index(Res_AllFuels_SEDS_2022_TBtus!$Q$3:$Q$53,match($B60&amp;D$2,Res_AllFuels_SEDS_2022_TBtus!$B$3:$B$53&amp;Res_AllFuels_SEDS_2022_TBtus!$A$3:$A$53,0))))</f>
        <v>0</v>
      </c>
      <c r="E60" s="75">
        <f t="array" ref="E60">IF(ISERROR(index(Res_AllFuels_SEDS_2022_TBtus!$Q$3:$Q$53,match($B60&amp;E$2,Res_AllFuels_SEDS_2022_TBtus!$B$3:$B$53&amp;Res_AllFuels_SEDS_2022_TBtus!$A$3:$A$53,0))),0,(index(Res_AllFuels_SEDS_2022_TBtus!$Q$3:$Q$53,match($B60&amp;E$2,Res_AllFuels_SEDS_2022_TBtus!$B$3:$B$53&amp;Res_AllFuels_SEDS_2022_TBtus!$A$3:$A$53,0))))</f>
        <v>0</v>
      </c>
      <c r="F60" s="75">
        <f t="array" ref="F60">IF(ISERROR(index(Res_AllFuels_SEDS_2022_TBtus!$Q$3:$Q$53,match($B60&amp;F$2,Res_AllFuels_SEDS_2022_TBtus!$B$3:$B$53&amp;Res_AllFuels_SEDS_2022_TBtus!$A$3:$A$53,0))),0,(index(Res_AllFuels_SEDS_2022_TBtus!$Q$3:$Q$53,match($B60&amp;F$2,Res_AllFuels_SEDS_2022_TBtus!$B$3:$B$53&amp;Res_AllFuels_SEDS_2022_TBtus!$A$3:$A$53,0))))</f>
        <v>0</v>
      </c>
      <c r="G60" s="75">
        <f t="array" ref="G60">IF(ISERROR(index(Res_AllFuels_SEDS_2022_TBtus!$Q$3:$Q$53,match($B60&amp;G$2,Res_AllFuels_SEDS_2022_TBtus!$B$3:$B$53&amp;Res_AllFuels_SEDS_2022_TBtus!$A$3:$A$53,0))),0,(index(Res_AllFuels_SEDS_2022_TBtus!$Q$3:$Q$53,match($B60&amp;G$2,Res_AllFuels_SEDS_2022_TBtus!$B$3:$B$53&amp;Res_AllFuels_SEDS_2022_TBtus!$A$3:$A$53,0))))</f>
        <v>0</v>
      </c>
      <c r="H60" s="75">
        <f t="array" ref="H60">IF(ISERROR(index(Res_AllFuels_SEDS_2022_TBtus!$Q$3:$Q$53,match($B60&amp;H$2,Res_AllFuels_SEDS_2022_TBtus!$B$3:$B$53&amp;Res_AllFuels_SEDS_2022_TBtus!$A$3:$A$53,0))),0,(index(Res_AllFuels_SEDS_2022_TBtus!$Q$3:$Q$53,match($B60&amp;H$2,Res_AllFuels_SEDS_2022_TBtus!$B$3:$B$53&amp;Res_AllFuels_SEDS_2022_TBtus!$A$3:$A$53,0))))</f>
        <v>0</v>
      </c>
      <c r="I60" s="75">
        <f t="array" ref="I60">IF(ISERROR(index(Res_AllFuels_SEDS_2022_TBtus!$Q$3:$Q$53,match($B60&amp;I$2,Res_AllFuels_SEDS_2022_TBtus!$B$3:$B$53&amp;Res_AllFuels_SEDS_2022_TBtus!$A$3:$A$53,0))),0,(index(Res_AllFuels_SEDS_2022_TBtus!$Q$3:$Q$53,match($B60&amp;I$2,Res_AllFuels_SEDS_2022_TBtus!$B$3:$B$53&amp;Res_AllFuels_SEDS_2022_TBtus!$A$3:$A$53,0))))</f>
        <v>0</v>
      </c>
      <c r="J60" s="75">
        <f t="array" ref="J60">IF(ISERROR(index(Res_AllFuels_SEDS_2022_TBtus!$Q$3:$Q$53,match($B60&amp;J$2,Res_AllFuels_SEDS_2022_TBtus!$B$3:$B$53&amp;Res_AllFuels_SEDS_2022_TBtus!$A$3:$A$53,0))),0,(index(Res_AllFuels_SEDS_2022_TBtus!$Q$3:$Q$53,match($B60&amp;J$2,Res_AllFuels_SEDS_2022_TBtus!$B$3:$B$53&amp;Res_AllFuels_SEDS_2022_TBtus!$A$3:$A$53,0))))</f>
        <v>3.3</v>
      </c>
      <c r="K60" s="75">
        <f t="array" ref="K60">IF(ISERROR(index(Res_AllFuels_SEDS_2022_TBtus!$Q$3:$Q$53,match($B60&amp;K$2,Res_AllFuels_SEDS_2022_TBtus!$B$3:$B$53&amp;Res_AllFuels_SEDS_2022_TBtus!$A$3:$A$53,0))),0,(index(Res_AllFuels_SEDS_2022_TBtus!$Q$3:$Q$53,match($B60&amp;K$2,Res_AllFuels_SEDS_2022_TBtus!$B$3:$B$53&amp;Res_AllFuels_SEDS_2022_TBtus!$A$3:$A$53,0))))</f>
        <v>0</v>
      </c>
      <c r="L60" s="75">
        <f t="array" ref="L60">IF(ISERROR(index(Res_AllFuels_SEDS_2022_TBtus!$Q$3:$Q$53,match($B60&amp;L$2,Res_AllFuels_SEDS_2022_TBtus!$B$3:$B$53&amp;Res_AllFuels_SEDS_2022_TBtus!$A$3:$A$53,0))),0,(index(Res_AllFuels_SEDS_2022_TBtus!$Q$3:$Q$53,match($B60&amp;L$2,Res_AllFuels_SEDS_2022_TBtus!$B$3:$B$53&amp;Res_AllFuels_SEDS_2022_TBtus!$A$3:$A$53,0))))</f>
        <v>6.2</v>
      </c>
      <c r="M60" s="75">
        <f t="array" ref="M60">IF(ISERROR(index(Res_AllFuels_SEDS_2022_TBtus!$Q$3:$Q$53,match($B60&amp;M$2,Res_AllFuels_SEDS_2022_TBtus!$B$3:$B$53&amp;Res_AllFuels_SEDS_2022_TBtus!$A$3:$A$53,0))),0,(index(Res_AllFuels_SEDS_2022_TBtus!$Q$3:$Q$53,match($B60&amp;M$2,Res_AllFuels_SEDS_2022_TBtus!$B$3:$B$53&amp;Res_AllFuels_SEDS_2022_TBtus!$A$3:$A$53,0))))</f>
        <v>9.7</v>
      </c>
      <c r="N60" s="75">
        <f t="array" ref="N60">IF(ISERROR(index(Res_AllFuels_SEDS_2022_TBtus!$Q$3:$Q$53,match($B60&amp;N$2,Res_AllFuels_SEDS_2022_TBtus!$B$3:$B$53&amp;Res_AllFuels_SEDS_2022_TBtus!$A$3:$A$53,0))),0,(index(Res_AllFuels_SEDS_2022_TBtus!$Q$3:$Q$53,match($B60&amp;N$2,Res_AllFuels_SEDS_2022_TBtus!$B$3:$B$53&amp;Res_AllFuels_SEDS_2022_TBtus!$A$3:$A$53,0))))</f>
        <v>0</v>
      </c>
      <c r="O60" s="75">
        <f t="array" ref="O60">IF(ISERROR(index(Res_AllFuels_SEDS_2022_TBtus!$Q$3:$Q$53,match($B60&amp;O$2,Res_AllFuels_SEDS_2022_TBtus!$B$3:$B$53&amp;Res_AllFuels_SEDS_2022_TBtus!$A$3:$A$53,0))),0,(index(Res_AllFuels_SEDS_2022_TBtus!$Q$3:$Q$53,match($B60&amp;O$2,Res_AllFuels_SEDS_2022_TBtus!$B$3:$B$53&amp;Res_AllFuels_SEDS_2022_TBtus!$A$3:$A$53,0))))</f>
        <v>0</v>
      </c>
      <c r="P60" s="75">
        <f t="array" ref="P60">IF(ISERROR(index(Res_AllFuels_SEDS_2022_TBtus!$Q$3:$Q$53,match($B60&amp;P$2,Res_AllFuels_SEDS_2022_TBtus!$B$3:$B$53&amp;Res_AllFuels_SEDS_2022_TBtus!$A$3:$A$53,0))),0,(index(Res_AllFuels_SEDS_2022_TBtus!$Q$3:$Q$53,match($B60&amp;P$2,Res_AllFuels_SEDS_2022_TBtus!$B$3:$B$53&amp;Res_AllFuels_SEDS_2022_TBtus!$A$3:$A$53,0))))</f>
        <v>0</v>
      </c>
      <c r="Q60" s="75">
        <f t="array" ref="Q60">IF(ISERROR(index(Res_AllFuels_SEDS_2022_TBtus!$Q$3:$Q$53,match($B60&amp;Q$2,Res_AllFuels_SEDS_2022_TBtus!$B$3:$B$53&amp;Res_AllFuels_SEDS_2022_TBtus!$A$3:$A$53,0))),0,(index(Res_AllFuels_SEDS_2022_TBtus!$Q$3:$Q$53,match($B60&amp;Q$2,Res_AllFuels_SEDS_2022_TBtus!$B$3:$B$53&amp;Res_AllFuels_SEDS_2022_TBtus!$A$3:$A$53,0))))</f>
        <v>0</v>
      </c>
      <c r="R60" s="75">
        <f t="array" ref="R60">IF(ISERROR(index(Res_AllFuels_SEDS_2022_TBtus!$Q$3:$Q$53,match($B60&amp;R$2,Res_AllFuels_SEDS_2022_TBtus!$B$3:$B$53&amp;Res_AllFuels_SEDS_2022_TBtus!$A$3:$A$53,0))),0,(index(Res_AllFuels_SEDS_2022_TBtus!$Q$3:$Q$53,match($B60&amp;R$2,Res_AllFuels_SEDS_2022_TBtus!$B$3:$B$53&amp;Res_AllFuels_SEDS_2022_TBtus!$A$3:$A$53,0))))</f>
        <v>0</v>
      </c>
      <c r="S60" s="75">
        <f t="array" ref="S60">IF(ISERROR(index(Res_AllFuels_SEDS_2022_TBtus!$Q$3:$Q$53,match($B60&amp;S$2,Res_AllFuels_SEDS_2022_TBtus!$B$3:$B$53&amp;Res_AllFuels_SEDS_2022_TBtus!$A$3:$A$53,0))),0,(index(Res_AllFuels_SEDS_2022_TBtus!$Q$3:$Q$53,match($B60&amp;S$2,Res_AllFuels_SEDS_2022_TBtus!$B$3:$B$53&amp;Res_AllFuels_SEDS_2022_TBtus!$A$3:$A$53,0))))</f>
        <v>0</v>
      </c>
      <c r="T60" s="75">
        <f t="array" ref="T60">IF(ISERROR(index(Res_AllFuels_SEDS_2022_TBtus!$Q$3:$Q$53,match($B60&amp;T$2,Res_AllFuels_SEDS_2022_TBtus!$B$3:$B$53&amp;Res_AllFuels_SEDS_2022_TBtus!$A$3:$A$53,0))),0,(index(Res_AllFuels_SEDS_2022_TBtus!$Q$3:$Q$53,match($B60&amp;T$2,Res_AllFuels_SEDS_2022_TBtus!$B$3:$B$53&amp;Res_AllFuels_SEDS_2022_TBtus!$A$3:$A$53,0))))</f>
        <v>0</v>
      </c>
      <c r="U60" s="75">
        <f t="array" ref="U60">IF(ISERROR(index(Res_AllFuels_SEDS_2022_TBtus!$Q$3:$Q$53,match($B60&amp;U$2,Res_AllFuels_SEDS_2022_TBtus!$B$3:$B$53&amp;Res_AllFuels_SEDS_2022_TBtus!$A$3:$A$53,0))),0,(index(Res_AllFuels_SEDS_2022_TBtus!$Q$3:$Q$53,match($B60&amp;U$2,Res_AllFuels_SEDS_2022_TBtus!$B$3:$B$53&amp;Res_AllFuels_SEDS_2022_TBtus!$A$3:$A$53,0))))</f>
        <v>0</v>
      </c>
      <c r="V60" s="75">
        <f t="array" ref="V60">IF(ISERROR(index(Res_AllFuels_SEDS_2022_TBtus!$Q$3:$Q$53,match($B60&amp;V$2,Res_AllFuels_SEDS_2022_TBtus!$B$3:$B$53&amp;Res_AllFuels_SEDS_2022_TBtus!$A$3:$A$53,0))),0,(index(Res_AllFuels_SEDS_2022_TBtus!$Q$3:$Q$53,match($B60&amp;V$2,Res_AllFuels_SEDS_2022_TBtus!$B$3:$B$53&amp;Res_AllFuels_SEDS_2022_TBtus!$A$3:$A$53,0))))</f>
        <v>0</v>
      </c>
      <c r="W60" s="75">
        <f t="array" ref="W60">IF(ISERROR(index(Res_AllFuels_SEDS_2022_TBtus!$Q$3:$Q$53,match($B60&amp;W$2,Res_AllFuels_SEDS_2022_TBtus!$B$3:$B$53&amp;Res_AllFuels_SEDS_2022_TBtus!$A$3:$A$53,0))),0,(index(Res_AllFuels_SEDS_2022_TBtus!$Q$3:$Q$53,match($B60&amp;W$2,Res_AllFuels_SEDS_2022_TBtus!$B$3:$B$53&amp;Res_AllFuels_SEDS_2022_TBtus!$A$3:$A$53,0))))</f>
        <v>11.4</v>
      </c>
      <c r="X60" s="75">
        <f t="array" ref="X60">IF(ISERROR(index(Res_AllFuels_SEDS_2022_TBtus!$Q$3:$Q$53,match($B60&amp;X$2,Res_AllFuels_SEDS_2022_TBtus!$B$3:$B$53&amp;Res_AllFuels_SEDS_2022_TBtus!$A$3:$A$53,0))),0,(index(Res_AllFuels_SEDS_2022_TBtus!$Q$3:$Q$53,match($B60&amp;X$2,Res_AllFuels_SEDS_2022_TBtus!$B$3:$B$53&amp;Res_AllFuels_SEDS_2022_TBtus!$A$3:$A$53,0))))</f>
        <v>0</v>
      </c>
      <c r="Y60" s="75">
        <f t="array" ref="Y60">IF(ISERROR(index(Res_AllFuels_SEDS_2022_TBtus!$Q$3:$Q$53,match($B60&amp;Y$2,Res_AllFuels_SEDS_2022_TBtus!$B$3:$B$53&amp;Res_AllFuels_SEDS_2022_TBtus!$A$3:$A$53,0))),0,(index(Res_AllFuels_SEDS_2022_TBtus!$Q$3:$Q$53,match($B60&amp;Y$2,Res_AllFuels_SEDS_2022_TBtus!$B$3:$B$53&amp;Res_AllFuels_SEDS_2022_TBtus!$A$3:$A$53,0))))</f>
        <v>0</v>
      </c>
      <c r="Z60" s="75">
        <f t="array" ref="Z60">IF(ISERROR(index(Res_AllFuels_SEDS_2022_TBtus!$Q$3:$Q$53,match($B60&amp;Z$2,Res_AllFuels_SEDS_2022_TBtus!$B$3:$B$53&amp;Res_AllFuels_SEDS_2022_TBtus!$A$3:$A$53,0))),0,(index(Res_AllFuels_SEDS_2022_TBtus!$Q$3:$Q$53,match($B60&amp;Z$2,Res_AllFuels_SEDS_2022_TBtus!$B$3:$B$53&amp;Res_AllFuels_SEDS_2022_TBtus!$A$3:$A$53,0))))</f>
        <v>0</v>
      </c>
      <c r="AA60" s="75">
        <f t="array" ref="AA60">IF(ISERROR(index(Res_AllFuels_SEDS_2022_TBtus!$Q$3:$Q$53,match($B60&amp;AA$2,Res_AllFuels_SEDS_2022_TBtus!$B$3:$B$53&amp;Res_AllFuels_SEDS_2022_TBtus!$A$3:$A$53,0))),0,(index(Res_AllFuels_SEDS_2022_TBtus!$Q$3:$Q$53,match($B60&amp;AA$2,Res_AllFuels_SEDS_2022_TBtus!$B$3:$B$53&amp;Res_AllFuels_SEDS_2022_TBtus!$A$3:$A$53,0))))</f>
        <v>0</v>
      </c>
      <c r="AB60" s="75">
        <f t="array" ref="AB60">IF(ISERROR(index(Res_AllFuels_SEDS_2022_TBtus!$Q$3:$Q$53,match($B60&amp;AB$2,Res_AllFuels_SEDS_2022_TBtus!$B$3:$B$53&amp;Res_AllFuels_SEDS_2022_TBtus!$A$3:$A$53,0))),0,(index(Res_AllFuels_SEDS_2022_TBtus!$Q$3:$Q$53,match($B60&amp;AB$2,Res_AllFuels_SEDS_2022_TBtus!$B$3:$B$53&amp;Res_AllFuels_SEDS_2022_TBtus!$A$3:$A$53,0))))</f>
        <v>0</v>
      </c>
      <c r="AC60" s="75">
        <f t="array" ref="AC60">IF(ISERROR(index(Res_AllFuels_SEDS_2022_TBtus!$Q$3:$Q$53,match($B60&amp;AC$2,Res_AllFuels_SEDS_2022_TBtus!$B$3:$B$53&amp;Res_AllFuels_SEDS_2022_TBtus!$A$3:$A$53,0))),0,(index(Res_AllFuels_SEDS_2022_TBtus!$Q$3:$Q$53,match($B60&amp;AC$2,Res_AllFuels_SEDS_2022_TBtus!$B$3:$B$53&amp;Res_AllFuels_SEDS_2022_TBtus!$A$3:$A$53,0))))</f>
        <v>0</v>
      </c>
      <c r="AD60" s="75">
        <f t="array" ref="AD60">IF(ISERROR(index(Res_AllFuels_SEDS_2022_TBtus!$Q$3:$Q$53,match($B60&amp;AD$2,Res_AllFuels_SEDS_2022_TBtus!$B$3:$B$53&amp;Res_AllFuels_SEDS_2022_TBtus!$A$3:$A$53,0))),0,(index(Res_AllFuels_SEDS_2022_TBtus!$Q$3:$Q$53,match($B60&amp;AD$2,Res_AllFuels_SEDS_2022_TBtus!$B$3:$B$53&amp;Res_AllFuels_SEDS_2022_TBtus!$A$3:$A$53,0))))</f>
        <v>0</v>
      </c>
      <c r="AE60" s="75">
        <f t="array" ref="AE60">IF(ISERROR(index(Res_AllFuels_SEDS_2022_TBtus!$Q$3:$Q$53,match($B60&amp;AE$2,Res_AllFuels_SEDS_2022_TBtus!$B$3:$B$53&amp;Res_AllFuels_SEDS_2022_TBtus!$A$3:$A$53,0))),0,(index(Res_AllFuels_SEDS_2022_TBtus!$Q$3:$Q$53,match($B60&amp;AE$2,Res_AllFuels_SEDS_2022_TBtus!$B$3:$B$53&amp;Res_AllFuels_SEDS_2022_TBtus!$A$3:$A$53,0))))</f>
        <v>0</v>
      </c>
      <c r="AF60" s="75">
        <f t="array" ref="AF60">IF(ISERROR(index(Res_AllFuels_SEDS_2022_TBtus!$Q$3:$Q$53,match($B60&amp;AF$2,Res_AllFuels_SEDS_2022_TBtus!$B$3:$B$53&amp;Res_AllFuels_SEDS_2022_TBtus!$A$3:$A$53,0))),0,(index(Res_AllFuels_SEDS_2022_TBtus!$Q$3:$Q$53,match($B60&amp;AF$2,Res_AllFuels_SEDS_2022_TBtus!$B$3:$B$53&amp;Res_AllFuels_SEDS_2022_TBtus!$A$3:$A$53,0))))</f>
        <v>0</v>
      </c>
      <c r="AG60" s="75">
        <f t="array" ref="AG60">IF(ISERROR(index(Res_AllFuels_SEDS_2022_TBtus!$Q$3:$Q$53,match($B60&amp;AG$2,Res_AllFuels_SEDS_2022_TBtus!$B$3:$B$53&amp;Res_AllFuels_SEDS_2022_TBtus!$A$3:$A$53,0))),0,(index(Res_AllFuels_SEDS_2022_TBtus!$Q$3:$Q$53,match($B60&amp;AG$2,Res_AllFuels_SEDS_2022_TBtus!$B$3:$B$53&amp;Res_AllFuels_SEDS_2022_TBtus!$A$3:$A$53,0))))</f>
        <v>0</v>
      </c>
      <c r="AH60" s="75">
        <f t="array" ref="AH60">IF(ISERROR(index(Res_AllFuels_SEDS_2022_TBtus!$Q$3:$Q$53,match($B60&amp;AH$2,Res_AllFuels_SEDS_2022_TBtus!$B$3:$B$53&amp;Res_AllFuels_SEDS_2022_TBtus!$A$3:$A$53,0))),0,(index(Res_AllFuels_SEDS_2022_TBtus!$Q$3:$Q$53,match($B60&amp;AH$2,Res_AllFuels_SEDS_2022_TBtus!$B$3:$B$53&amp;Res_AllFuels_SEDS_2022_TBtus!$A$3:$A$53,0))))</f>
        <v>0</v>
      </c>
      <c r="AI60" s="75">
        <f t="array" ref="AI60">IF(ISERROR(index(Res_AllFuels_SEDS_2022_TBtus!$Q$3:$Q$53,match($B60&amp;AI$2,Res_AllFuels_SEDS_2022_TBtus!$B$3:$B$53&amp;Res_AllFuels_SEDS_2022_TBtus!$A$3:$A$53,0))),0,(index(Res_AllFuels_SEDS_2022_TBtus!$Q$3:$Q$53,match($B60&amp;AI$2,Res_AllFuels_SEDS_2022_TBtus!$B$3:$B$53&amp;Res_AllFuels_SEDS_2022_TBtus!$A$3:$A$53,0))))</f>
        <v>0</v>
      </c>
      <c r="AJ60" s="75">
        <f t="array" ref="AJ60">IF(ISERROR(index(Res_AllFuels_SEDS_2022_TBtus!$Q$3:$Q$53,match($B60&amp;AJ$2,Res_AllFuels_SEDS_2022_TBtus!$B$3:$B$53&amp;Res_AllFuels_SEDS_2022_TBtus!$A$3:$A$53,0))),0,(index(Res_AllFuels_SEDS_2022_TBtus!$Q$3:$Q$53,match($B60&amp;AJ$2,Res_AllFuels_SEDS_2022_TBtus!$B$3:$B$53&amp;Res_AllFuels_SEDS_2022_TBtus!$A$3:$A$53,0))))</f>
        <v>24.2</v>
      </c>
      <c r="AK60" s="75">
        <f t="array" ref="AK60">IF(ISERROR(index(Res_AllFuels_SEDS_2022_TBtus!$Q$3:$Q$53,match($B60&amp;AK$2,Res_AllFuels_SEDS_2022_TBtus!$B$3:$B$53&amp;Res_AllFuels_SEDS_2022_TBtus!$A$3:$A$53,0))),0,(index(Res_AllFuels_SEDS_2022_TBtus!$Q$3:$Q$53,match($B60&amp;AK$2,Res_AllFuels_SEDS_2022_TBtus!$B$3:$B$53&amp;Res_AllFuels_SEDS_2022_TBtus!$A$3:$A$53,0))))</f>
        <v>0</v>
      </c>
      <c r="AL60" s="75">
        <f t="array" ref="AL60">IF(ISERROR(index(Res_AllFuels_SEDS_2022_TBtus!$Q$3:$Q$53,match($B60&amp;AL$2,Res_AllFuels_SEDS_2022_TBtus!$B$3:$B$53&amp;Res_AllFuels_SEDS_2022_TBtus!$A$3:$A$53,0))),0,(index(Res_AllFuels_SEDS_2022_TBtus!$Q$3:$Q$53,match($B60&amp;AL$2,Res_AllFuels_SEDS_2022_TBtus!$B$3:$B$53&amp;Res_AllFuels_SEDS_2022_TBtus!$A$3:$A$53,0))))</f>
        <v>0</v>
      </c>
      <c r="AM60" s="75">
        <f t="array" ref="AM60">IF(ISERROR(index(Res_AllFuels_SEDS_2022_TBtus!$Q$3:$Q$53,match($B60&amp;AM$2,Res_AllFuels_SEDS_2022_TBtus!$B$3:$B$53&amp;Res_AllFuels_SEDS_2022_TBtus!$A$3:$A$53,0))),0,(index(Res_AllFuels_SEDS_2022_TBtus!$Q$3:$Q$53,match($B60&amp;AM$2,Res_AllFuels_SEDS_2022_TBtus!$B$3:$B$53&amp;Res_AllFuels_SEDS_2022_TBtus!$A$3:$A$53,0))))</f>
        <v>0</v>
      </c>
      <c r="AN60" s="75">
        <f t="array" ref="AN60">IF(ISERROR(index(Res_AllFuels_SEDS_2022_TBtus!$Q$3:$Q$53,match($B60&amp;AN$2,Res_AllFuels_SEDS_2022_TBtus!$B$3:$B$53&amp;Res_AllFuels_SEDS_2022_TBtus!$A$3:$A$53,0))),0,(index(Res_AllFuels_SEDS_2022_TBtus!$Q$3:$Q$53,match($B60&amp;AN$2,Res_AllFuels_SEDS_2022_TBtus!$B$3:$B$53&amp;Res_AllFuels_SEDS_2022_TBtus!$A$3:$A$53,0))))</f>
        <v>0</v>
      </c>
      <c r="AO60" s="75">
        <f t="array" ref="AO60">IF(ISERROR(index(Res_AllFuels_SEDS_2022_TBtus!$Q$3:$Q$53,match($B60&amp;AO$2,Res_AllFuels_SEDS_2022_TBtus!$B$3:$B$53&amp;Res_AllFuels_SEDS_2022_TBtus!$A$3:$A$53,0))),0,(index(Res_AllFuels_SEDS_2022_TBtus!$Q$3:$Q$53,match($B60&amp;AO$2,Res_AllFuels_SEDS_2022_TBtus!$B$3:$B$53&amp;Res_AllFuels_SEDS_2022_TBtus!$A$3:$A$53,0))))</f>
        <v>0</v>
      </c>
      <c r="AP60" s="75">
        <f t="array" ref="AP60">IF(ISERROR(index(Res_AllFuels_SEDS_2022_TBtus!$Q$3:$Q$53,match($B60&amp;AP$2,Res_AllFuels_SEDS_2022_TBtus!$B$3:$B$53&amp;Res_AllFuels_SEDS_2022_TBtus!$A$3:$A$53,0))),0,(index(Res_AllFuels_SEDS_2022_TBtus!$Q$3:$Q$53,match($B60&amp;AP$2,Res_AllFuels_SEDS_2022_TBtus!$B$3:$B$53&amp;Res_AllFuels_SEDS_2022_TBtus!$A$3:$A$53,0))))</f>
        <v>0</v>
      </c>
      <c r="AQ60" s="75">
        <f t="array" ref="AQ60">IF(ISERROR(index(Res_AllFuels_SEDS_2022_TBtus!$Q$3:$Q$53,match($B60&amp;AQ$2,Res_AllFuels_SEDS_2022_TBtus!$B$3:$B$53&amp;Res_AllFuels_SEDS_2022_TBtus!$A$3:$A$53,0))),0,(index(Res_AllFuels_SEDS_2022_TBtus!$Q$3:$Q$53,match($B60&amp;AQ$2,Res_AllFuels_SEDS_2022_TBtus!$B$3:$B$53&amp;Res_AllFuels_SEDS_2022_TBtus!$A$3:$A$53,0))))</f>
        <v>5.5</v>
      </c>
      <c r="AR60" s="75">
        <f t="array" ref="AR60">IF(ISERROR(index(Res_AllFuels_SEDS_2022_TBtus!$Q$3:$Q$53,match($B60&amp;AR$2,Res_AllFuels_SEDS_2022_TBtus!$B$3:$B$53&amp;Res_AllFuels_SEDS_2022_TBtus!$A$3:$A$53,0))),0,(index(Res_AllFuels_SEDS_2022_TBtus!$Q$3:$Q$53,match($B60&amp;AR$2,Res_AllFuels_SEDS_2022_TBtus!$B$3:$B$53&amp;Res_AllFuels_SEDS_2022_TBtus!$A$3:$A$53,0))))</f>
        <v>0</v>
      </c>
      <c r="AS60" s="75">
        <f t="array" ref="AS60">IF(ISERROR(index(Res_AllFuels_SEDS_2022_TBtus!$Q$3:$Q$53,match($B60&amp;AS$2,Res_AllFuels_SEDS_2022_TBtus!$B$3:$B$53&amp;Res_AllFuels_SEDS_2022_TBtus!$A$3:$A$53,0))),0,(index(Res_AllFuels_SEDS_2022_TBtus!$Q$3:$Q$53,match($B60&amp;AS$2,Res_AllFuels_SEDS_2022_TBtus!$B$3:$B$53&amp;Res_AllFuels_SEDS_2022_TBtus!$A$3:$A$53,0))))</f>
        <v>0</v>
      </c>
      <c r="AT60" s="75">
        <f t="array" ref="AT60">IF(ISERROR(index(Res_AllFuels_SEDS_2022_TBtus!$Q$3:$Q$53,match($B60&amp;AT$2,Res_AllFuels_SEDS_2022_TBtus!$B$3:$B$53&amp;Res_AllFuels_SEDS_2022_TBtus!$A$3:$A$53,0))),0,(index(Res_AllFuels_SEDS_2022_TBtus!$Q$3:$Q$53,match($B60&amp;AT$2,Res_AllFuels_SEDS_2022_TBtus!$B$3:$B$53&amp;Res_AllFuels_SEDS_2022_TBtus!$A$3:$A$53,0))))</f>
        <v>0</v>
      </c>
      <c r="AU60" s="75">
        <f t="array" ref="AU60">IF(ISERROR(index(Res_AllFuels_SEDS_2022_TBtus!$Q$3:$Q$53,match($B60&amp;AU$2,Res_AllFuels_SEDS_2022_TBtus!$B$3:$B$53&amp;Res_AllFuels_SEDS_2022_TBtus!$A$3:$A$53,0))),0,(index(Res_AllFuels_SEDS_2022_TBtus!$Q$3:$Q$53,match($B60&amp;AU$2,Res_AllFuels_SEDS_2022_TBtus!$B$3:$B$53&amp;Res_AllFuels_SEDS_2022_TBtus!$A$3:$A$53,0))))</f>
        <v>0</v>
      </c>
      <c r="AV60" s="75">
        <f t="array" ref="AV60">IF(ISERROR(index(Res_AllFuels_SEDS_2022_TBtus!$Q$3:$Q$53,match($B60&amp;AV$2,Res_AllFuels_SEDS_2022_TBtus!$B$3:$B$53&amp;Res_AllFuels_SEDS_2022_TBtus!$A$3:$A$53,0))),0,(index(Res_AllFuels_SEDS_2022_TBtus!$Q$3:$Q$53,match($B60&amp;AV$2,Res_AllFuels_SEDS_2022_TBtus!$B$3:$B$53&amp;Res_AllFuels_SEDS_2022_TBtus!$A$3:$A$53,0))))</f>
        <v>0</v>
      </c>
      <c r="AW60" s="75">
        <f t="array" ref="AW60">IF(ISERROR(index(Res_AllFuels_SEDS_2022_TBtus!$Q$3:$Q$53,match($B60&amp;AW$2,Res_AllFuels_SEDS_2022_TBtus!$B$3:$B$53&amp;Res_AllFuels_SEDS_2022_TBtus!$A$3:$A$53,0))),0,(index(Res_AllFuels_SEDS_2022_TBtus!$Q$3:$Q$53,match($B60&amp;AW$2,Res_AllFuels_SEDS_2022_TBtus!$B$3:$B$53&amp;Res_AllFuels_SEDS_2022_TBtus!$A$3:$A$53,0))))</f>
        <v>22.1</v>
      </c>
      <c r="AX60" s="75">
        <f t="array" ref="AX60">IF(ISERROR(index(Res_AllFuels_SEDS_2022_TBtus!$Q$3:$Q$53,match($B60&amp;AX$2,Res_AllFuels_SEDS_2022_TBtus!$B$3:$B$53&amp;Res_AllFuels_SEDS_2022_TBtus!$A$3:$A$53,0))),0,(index(Res_AllFuels_SEDS_2022_TBtus!$Q$3:$Q$53,match($B60&amp;AX$2,Res_AllFuels_SEDS_2022_TBtus!$B$3:$B$53&amp;Res_AllFuels_SEDS_2022_TBtus!$A$3:$A$53,0))))</f>
        <v>0</v>
      </c>
      <c r="AY60" s="75">
        <f t="array" ref="AY60">IF(ISERROR(index(Res_AllFuels_SEDS_2022_TBtus!$Q$3:$Q$53,match($B60&amp;AY$2,Res_AllFuels_SEDS_2022_TBtus!$B$3:$B$53&amp;Res_AllFuels_SEDS_2022_TBtus!$A$3:$A$53,0))),0,(index(Res_AllFuels_SEDS_2022_TBtus!$Q$3:$Q$53,match($B60&amp;AY$2,Res_AllFuels_SEDS_2022_TBtus!$B$3:$B$53&amp;Res_AllFuels_SEDS_2022_TBtus!$A$3:$A$53,0))))</f>
        <v>11.1</v>
      </c>
      <c r="AZ60" s="75">
        <f t="array" ref="AZ60">IF(ISERROR(index(Res_AllFuels_SEDS_2022_TBtus!$Q$3:$Q$53,match($B60&amp;AZ$2,Res_AllFuels_SEDS_2022_TBtus!$B$3:$B$53&amp;Res_AllFuels_SEDS_2022_TBtus!$A$3:$A$53,0))),0,(index(Res_AllFuels_SEDS_2022_TBtus!$Q$3:$Q$53,match($B60&amp;AZ$2,Res_AllFuels_SEDS_2022_TBtus!$B$3:$B$53&amp;Res_AllFuels_SEDS_2022_TBtus!$A$3:$A$53,0))))</f>
        <v>0</v>
      </c>
      <c r="BA60" s="75">
        <f t="array" ref="BA60">IF(ISERROR(index(Res_AllFuels_SEDS_2022_TBtus!$Q$3:$Q$53,match($B60&amp;BA$2,Res_AllFuels_SEDS_2022_TBtus!$B$3:$B$53&amp;Res_AllFuels_SEDS_2022_TBtus!$A$3:$A$53,0))),0,(index(Res_AllFuels_SEDS_2022_TBtus!$Q$3:$Q$53,match($B60&amp;BA$2,Res_AllFuels_SEDS_2022_TBtus!$B$3:$B$53&amp;Res_AllFuels_SEDS_2022_TBtus!$A$3:$A$53,0))))</f>
        <v>0</v>
      </c>
      <c r="BB60" s="74">
        <f t="shared" si="9"/>
        <v>93.5</v>
      </c>
    </row>
    <row r="61" ht="15.75" customHeight="1">
      <c r="A61" s="78"/>
      <c r="B61" s="74">
        <v>6.0</v>
      </c>
      <c r="C61" s="75">
        <f t="array" ref="C61">IF(ISERROR(index(Res_AllFuels_SEDS_2022_TBtus!$Q$3:$Q$53,match($B61&amp;C$2,Res_AllFuels_SEDS_2022_TBtus!$B$3:$B$53&amp;Res_AllFuels_SEDS_2022_TBtus!$A$3:$A$53,0))),0,(index(Res_AllFuels_SEDS_2022_TBtus!$Q$3:$Q$53,match($B61&amp;C$2,Res_AllFuels_SEDS_2022_TBtus!$B$3:$B$53&amp;Res_AllFuels_SEDS_2022_TBtus!$A$3:$A$53,0))))</f>
        <v>6.2</v>
      </c>
      <c r="D61" s="75">
        <f t="array" ref="D61">IF(ISERROR(index(Res_AllFuels_SEDS_2022_TBtus!$Q$3:$Q$53,match($B61&amp;D$2,Res_AllFuels_SEDS_2022_TBtus!$B$3:$B$53&amp;Res_AllFuels_SEDS_2022_TBtus!$A$3:$A$53,0))),0,(index(Res_AllFuels_SEDS_2022_TBtus!$Q$3:$Q$53,match($B61&amp;D$2,Res_AllFuels_SEDS_2022_TBtus!$B$3:$B$53&amp;Res_AllFuels_SEDS_2022_TBtus!$A$3:$A$53,0))))</f>
        <v>0</v>
      </c>
      <c r="E61" s="75">
        <f t="array" ref="E61">IF(ISERROR(index(Res_AllFuels_SEDS_2022_TBtus!$Q$3:$Q$53,match($B61&amp;E$2,Res_AllFuels_SEDS_2022_TBtus!$B$3:$B$53&amp;Res_AllFuels_SEDS_2022_TBtus!$A$3:$A$53,0))),0,(index(Res_AllFuels_SEDS_2022_TBtus!$Q$3:$Q$53,match($B61&amp;E$2,Res_AllFuels_SEDS_2022_TBtus!$B$3:$B$53&amp;Res_AllFuels_SEDS_2022_TBtus!$A$3:$A$53,0))))</f>
        <v>0</v>
      </c>
      <c r="F61" s="75">
        <f t="array" ref="F61">IF(ISERROR(index(Res_AllFuels_SEDS_2022_TBtus!$Q$3:$Q$53,match($B61&amp;F$2,Res_AllFuels_SEDS_2022_TBtus!$B$3:$B$53&amp;Res_AllFuels_SEDS_2022_TBtus!$A$3:$A$53,0))),0,(index(Res_AllFuels_SEDS_2022_TBtus!$Q$3:$Q$53,match($B61&amp;F$2,Res_AllFuels_SEDS_2022_TBtus!$B$3:$B$53&amp;Res_AllFuels_SEDS_2022_TBtus!$A$3:$A$53,0))))</f>
        <v>0</v>
      </c>
      <c r="G61" s="75">
        <f t="array" ref="G61">IF(ISERROR(index(Res_AllFuels_SEDS_2022_TBtus!$Q$3:$Q$53,match($B61&amp;G$2,Res_AllFuels_SEDS_2022_TBtus!$B$3:$B$53&amp;Res_AllFuels_SEDS_2022_TBtus!$A$3:$A$53,0))),0,(index(Res_AllFuels_SEDS_2022_TBtus!$Q$3:$Q$53,match($B61&amp;G$2,Res_AllFuels_SEDS_2022_TBtus!$B$3:$B$53&amp;Res_AllFuels_SEDS_2022_TBtus!$A$3:$A$53,0))))</f>
        <v>0</v>
      </c>
      <c r="H61" s="75">
        <f t="array" ref="H61">IF(ISERROR(index(Res_AllFuels_SEDS_2022_TBtus!$Q$3:$Q$53,match($B61&amp;H$2,Res_AllFuels_SEDS_2022_TBtus!$B$3:$B$53&amp;Res_AllFuels_SEDS_2022_TBtus!$A$3:$A$53,0))),0,(index(Res_AllFuels_SEDS_2022_TBtus!$Q$3:$Q$53,match($B61&amp;H$2,Res_AllFuels_SEDS_2022_TBtus!$B$3:$B$53&amp;Res_AllFuels_SEDS_2022_TBtus!$A$3:$A$53,0))))</f>
        <v>0</v>
      </c>
      <c r="I61" s="75">
        <f t="array" ref="I61">IF(ISERROR(index(Res_AllFuels_SEDS_2022_TBtus!$Q$3:$Q$53,match($B61&amp;I$2,Res_AllFuels_SEDS_2022_TBtus!$B$3:$B$53&amp;Res_AllFuels_SEDS_2022_TBtus!$A$3:$A$53,0))),0,(index(Res_AllFuels_SEDS_2022_TBtus!$Q$3:$Q$53,match($B61&amp;I$2,Res_AllFuels_SEDS_2022_TBtus!$B$3:$B$53&amp;Res_AllFuels_SEDS_2022_TBtus!$A$3:$A$53,0))))</f>
        <v>0</v>
      </c>
      <c r="J61" s="75">
        <f t="array" ref="J61">IF(ISERROR(index(Res_AllFuels_SEDS_2022_TBtus!$Q$3:$Q$53,match($B61&amp;J$2,Res_AllFuels_SEDS_2022_TBtus!$B$3:$B$53&amp;Res_AllFuels_SEDS_2022_TBtus!$A$3:$A$53,0))),0,(index(Res_AllFuels_SEDS_2022_TBtus!$Q$3:$Q$53,match($B61&amp;J$2,Res_AllFuels_SEDS_2022_TBtus!$B$3:$B$53&amp;Res_AllFuels_SEDS_2022_TBtus!$A$3:$A$53,0))))</f>
        <v>0</v>
      </c>
      <c r="K61" s="75">
        <f t="array" ref="K61">IF(ISERROR(index(Res_AllFuels_SEDS_2022_TBtus!$Q$3:$Q$53,match($B61&amp;K$2,Res_AllFuels_SEDS_2022_TBtus!$B$3:$B$53&amp;Res_AllFuels_SEDS_2022_TBtus!$A$3:$A$53,0))),0,(index(Res_AllFuels_SEDS_2022_TBtus!$Q$3:$Q$53,match($B61&amp;K$2,Res_AllFuels_SEDS_2022_TBtus!$B$3:$B$53&amp;Res_AllFuels_SEDS_2022_TBtus!$A$3:$A$53,0))))</f>
        <v>0</v>
      </c>
      <c r="L61" s="75">
        <f t="array" ref="L61">IF(ISERROR(index(Res_AllFuels_SEDS_2022_TBtus!$Q$3:$Q$53,match($B61&amp;L$2,Res_AllFuels_SEDS_2022_TBtus!$B$3:$B$53&amp;Res_AllFuels_SEDS_2022_TBtus!$A$3:$A$53,0))),0,(index(Res_AllFuels_SEDS_2022_TBtus!$Q$3:$Q$53,match($B61&amp;L$2,Res_AllFuels_SEDS_2022_TBtus!$B$3:$B$53&amp;Res_AllFuels_SEDS_2022_TBtus!$A$3:$A$53,0))))</f>
        <v>0</v>
      </c>
      <c r="M61" s="75">
        <f t="array" ref="M61">IF(ISERROR(index(Res_AllFuels_SEDS_2022_TBtus!$Q$3:$Q$53,match($B61&amp;M$2,Res_AllFuels_SEDS_2022_TBtus!$B$3:$B$53&amp;Res_AllFuels_SEDS_2022_TBtus!$A$3:$A$53,0))),0,(index(Res_AllFuels_SEDS_2022_TBtus!$Q$3:$Q$53,match($B61&amp;M$2,Res_AllFuels_SEDS_2022_TBtus!$B$3:$B$53&amp;Res_AllFuels_SEDS_2022_TBtus!$A$3:$A$53,0))))</f>
        <v>0</v>
      </c>
      <c r="N61" s="75">
        <f t="array" ref="N61">IF(ISERROR(index(Res_AllFuels_SEDS_2022_TBtus!$Q$3:$Q$53,match($B61&amp;N$2,Res_AllFuels_SEDS_2022_TBtus!$B$3:$B$53&amp;Res_AllFuels_SEDS_2022_TBtus!$A$3:$A$53,0))),0,(index(Res_AllFuels_SEDS_2022_TBtus!$Q$3:$Q$53,match($B61&amp;N$2,Res_AllFuels_SEDS_2022_TBtus!$B$3:$B$53&amp;Res_AllFuels_SEDS_2022_TBtus!$A$3:$A$53,0))))</f>
        <v>0</v>
      </c>
      <c r="O61" s="75">
        <f t="array" ref="O61">IF(ISERROR(index(Res_AllFuels_SEDS_2022_TBtus!$Q$3:$Q$53,match($B61&amp;O$2,Res_AllFuels_SEDS_2022_TBtus!$B$3:$B$53&amp;Res_AllFuels_SEDS_2022_TBtus!$A$3:$A$53,0))),0,(index(Res_AllFuels_SEDS_2022_TBtus!$Q$3:$Q$53,match($B61&amp;O$2,Res_AllFuels_SEDS_2022_TBtus!$B$3:$B$53&amp;Res_AllFuels_SEDS_2022_TBtus!$A$3:$A$53,0))))</f>
        <v>0</v>
      </c>
      <c r="P61" s="75">
        <f t="array" ref="P61">IF(ISERROR(index(Res_AllFuels_SEDS_2022_TBtus!$Q$3:$Q$53,match($B61&amp;P$2,Res_AllFuels_SEDS_2022_TBtus!$B$3:$B$53&amp;Res_AllFuels_SEDS_2022_TBtus!$A$3:$A$53,0))),0,(index(Res_AllFuels_SEDS_2022_TBtus!$Q$3:$Q$53,match($B61&amp;P$2,Res_AllFuels_SEDS_2022_TBtus!$B$3:$B$53&amp;Res_AllFuels_SEDS_2022_TBtus!$A$3:$A$53,0))))</f>
        <v>0</v>
      </c>
      <c r="Q61" s="75">
        <f t="array" ref="Q61">IF(ISERROR(index(Res_AllFuels_SEDS_2022_TBtus!$Q$3:$Q$53,match($B61&amp;Q$2,Res_AllFuels_SEDS_2022_TBtus!$B$3:$B$53&amp;Res_AllFuels_SEDS_2022_TBtus!$A$3:$A$53,0))),0,(index(Res_AllFuels_SEDS_2022_TBtus!$Q$3:$Q$53,match($B61&amp;Q$2,Res_AllFuels_SEDS_2022_TBtus!$B$3:$B$53&amp;Res_AllFuels_SEDS_2022_TBtus!$A$3:$A$53,0))))</f>
        <v>0</v>
      </c>
      <c r="R61" s="75">
        <f t="array" ref="R61">IF(ISERROR(index(Res_AllFuels_SEDS_2022_TBtus!$Q$3:$Q$53,match($B61&amp;R$2,Res_AllFuels_SEDS_2022_TBtus!$B$3:$B$53&amp;Res_AllFuels_SEDS_2022_TBtus!$A$3:$A$53,0))),0,(index(Res_AllFuels_SEDS_2022_TBtus!$Q$3:$Q$53,match($B61&amp;R$2,Res_AllFuels_SEDS_2022_TBtus!$B$3:$B$53&amp;Res_AllFuels_SEDS_2022_TBtus!$A$3:$A$53,0))))</f>
        <v>0</v>
      </c>
      <c r="S61" s="75">
        <f t="array" ref="S61">IF(ISERROR(index(Res_AllFuels_SEDS_2022_TBtus!$Q$3:$Q$53,match($B61&amp;S$2,Res_AllFuels_SEDS_2022_TBtus!$B$3:$B$53&amp;Res_AllFuels_SEDS_2022_TBtus!$A$3:$A$53,0))),0,(index(Res_AllFuels_SEDS_2022_TBtus!$Q$3:$Q$53,match($B61&amp;S$2,Res_AllFuels_SEDS_2022_TBtus!$B$3:$B$53&amp;Res_AllFuels_SEDS_2022_TBtus!$A$3:$A$53,0))))</f>
        <v>0</v>
      </c>
      <c r="T61" s="75">
        <f t="array" ref="T61">IF(ISERROR(index(Res_AllFuels_SEDS_2022_TBtus!$Q$3:$Q$53,match($B61&amp;T$2,Res_AllFuels_SEDS_2022_TBtus!$B$3:$B$53&amp;Res_AllFuels_SEDS_2022_TBtus!$A$3:$A$53,0))),0,(index(Res_AllFuels_SEDS_2022_TBtus!$Q$3:$Q$53,match($B61&amp;T$2,Res_AllFuels_SEDS_2022_TBtus!$B$3:$B$53&amp;Res_AllFuels_SEDS_2022_TBtus!$A$3:$A$53,0))))</f>
        <v>15.9</v>
      </c>
      <c r="U61" s="75">
        <f t="array" ref="U61">IF(ISERROR(index(Res_AllFuels_SEDS_2022_TBtus!$Q$3:$Q$53,match($B61&amp;U$2,Res_AllFuels_SEDS_2022_TBtus!$B$3:$B$53&amp;Res_AllFuels_SEDS_2022_TBtus!$A$3:$A$53,0))),0,(index(Res_AllFuels_SEDS_2022_TBtus!$Q$3:$Q$53,match($B61&amp;U$2,Res_AllFuels_SEDS_2022_TBtus!$B$3:$B$53&amp;Res_AllFuels_SEDS_2022_TBtus!$A$3:$A$53,0))))</f>
        <v>0</v>
      </c>
      <c r="V61" s="75">
        <f t="array" ref="V61">IF(ISERROR(index(Res_AllFuels_SEDS_2022_TBtus!$Q$3:$Q$53,match($B61&amp;V$2,Res_AllFuels_SEDS_2022_TBtus!$B$3:$B$53&amp;Res_AllFuels_SEDS_2022_TBtus!$A$3:$A$53,0))),0,(index(Res_AllFuels_SEDS_2022_TBtus!$Q$3:$Q$53,match($B61&amp;V$2,Res_AllFuels_SEDS_2022_TBtus!$B$3:$B$53&amp;Res_AllFuels_SEDS_2022_TBtus!$A$3:$A$53,0))))</f>
        <v>0</v>
      </c>
      <c r="W61" s="75">
        <f t="array" ref="W61">IF(ISERROR(index(Res_AllFuels_SEDS_2022_TBtus!$Q$3:$Q$53,match($B61&amp;W$2,Res_AllFuels_SEDS_2022_TBtus!$B$3:$B$53&amp;Res_AllFuels_SEDS_2022_TBtus!$A$3:$A$53,0))),0,(index(Res_AllFuels_SEDS_2022_TBtus!$Q$3:$Q$53,match($B61&amp;W$2,Res_AllFuels_SEDS_2022_TBtus!$B$3:$B$53&amp;Res_AllFuels_SEDS_2022_TBtus!$A$3:$A$53,0))))</f>
        <v>0</v>
      </c>
      <c r="X61" s="75">
        <f t="array" ref="X61">IF(ISERROR(index(Res_AllFuels_SEDS_2022_TBtus!$Q$3:$Q$53,match($B61&amp;X$2,Res_AllFuels_SEDS_2022_TBtus!$B$3:$B$53&amp;Res_AllFuels_SEDS_2022_TBtus!$A$3:$A$53,0))),0,(index(Res_AllFuels_SEDS_2022_TBtus!$Q$3:$Q$53,match($B61&amp;X$2,Res_AllFuels_SEDS_2022_TBtus!$B$3:$B$53&amp;Res_AllFuels_SEDS_2022_TBtus!$A$3:$A$53,0))))</f>
        <v>0</v>
      </c>
      <c r="Y61" s="75">
        <f t="array" ref="Y61">IF(ISERROR(index(Res_AllFuels_SEDS_2022_TBtus!$Q$3:$Q$53,match($B61&amp;Y$2,Res_AllFuels_SEDS_2022_TBtus!$B$3:$B$53&amp;Res_AllFuels_SEDS_2022_TBtus!$A$3:$A$53,0))),0,(index(Res_AllFuels_SEDS_2022_TBtus!$Q$3:$Q$53,match($B61&amp;Y$2,Res_AllFuels_SEDS_2022_TBtus!$B$3:$B$53&amp;Res_AllFuels_SEDS_2022_TBtus!$A$3:$A$53,0))))</f>
        <v>0</v>
      </c>
      <c r="Z61" s="75">
        <f t="array" ref="Z61">IF(ISERROR(index(Res_AllFuels_SEDS_2022_TBtus!$Q$3:$Q$53,match($B61&amp;Z$2,Res_AllFuels_SEDS_2022_TBtus!$B$3:$B$53&amp;Res_AllFuels_SEDS_2022_TBtus!$A$3:$A$53,0))),0,(index(Res_AllFuels_SEDS_2022_TBtus!$Q$3:$Q$53,match($B61&amp;Z$2,Res_AllFuels_SEDS_2022_TBtus!$B$3:$B$53&amp;Res_AllFuels_SEDS_2022_TBtus!$A$3:$A$53,0))))</f>
        <v>0</v>
      </c>
      <c r="AA61" s="75">
        <f t="array" ref="AA61">IF(ISERROR(index(Res_AllFuels_SEDS_2022_TBtus!$Q$3:$Q$53,match($B61&amp;AA$2,Res_AllFuels_SEDS_2022_TBtus!$B$3:$B$53&amp;Res_AllFuels_SEDS_2022_TBtus!$A$3:$A$53,0))),0,(index(Res_AllFuels_SEDS_2022_TBtus!$Q$3:$Q$53,match($B61&amp;AA$2,Res_AllFuels_SEDS_2022_TBtus!$B$3:$B$53&amp;Res_AllFuels_SEDS_2022_TBtus!$A$3:$A$53,0))))</f>
        <v>6.3</v>
      </c>
      <c r="AB61" s="75">
        <f t="array" ref="AB61">IF(ISERROR(index(Res_AllFuels_SEDS_2022_TBtus!$Q$3:$Q$53,match($B61&amp;AB$2,Res_AllFuels_SEDS_2022_TBtus!$B$3:$B$53&amp;Res_AllFuels_SEDS_2022_TBtus!$A$3:$A$53,0))),0,(index(Res_AllFuels_SEDS_2022_TBtus!$Q$3:$Q$53,match($B61&amp;AB$2,Res_AllFuels_SEDS_2022_TBtus!$B$3:$B$53&amp;Res_AllFuels_SEDS_2022_TBtus!$A$3:$A$53,0))))</f>
        <v>0</v>
      </c>
      <c r="AC61" s="75">
        <f t="array" ref="AC61">IF(ISERROR(index(Res_AllFuels_SEDS_2022_TBtus!$Q$3:$Q$53,match($B61&amp;AC$2,Res_AllFuels_SEDS_2022_TBtus!$B$3:$B$53&amp;Res_AllFuels_SEDS_2022_TBtus!$A$3:$A$53,0))),0,(index(Res_AllFuels_SEDS_2022_TBtus!$Q$3:$Q$53,match($B61&amp;AC$2,Res_AllFuels_SEDS_2022_TBtus!$B$3:$B$53&amp;Res_AllFuels_SEDS_2022_TBtus!$A$3:$A$53,0))))</f>
        <v>0</v>
      </c>
      <c r="AD61" s="75">
        <f t="array" ref="AD61">IF(ISERROR(index(Res_AllFuels_SEDS_2022_TBtus!$Q$3:$Q$53,match($B61&amp;AD$2,Res_AllFuels_SEDS_2022_TBtus!$B$3:$B$53&amp;Res_AllFuels_SEDS_2022_TBtus!$A$3:$A$53,0))),0,(index(Res_AllFuels_SEDS_2022_TBtus!$Q$3:$Q$53,match($B61&amp;AD$2,Res_AllFuels_SEDS_2022_TBtus!$B$3:$B$53&amp;Res_AllFuels_SEDS_2022_TBtus!$A$3:$A$53,0))))</f>
        <v>0</v>
      </c>
      <c r="AE61" s="75">
        <f t="array" ref="AE61">IF(ISERROR(index(Res_AllFuels_SEDS_2022_TBtus!$Q$3:$Q$53,match($B61&amp;AE$2,Res_AllFuels_SEDS_2022_TBtus!$B$3:$B$53&amp;Res_AllFuels_SEDS_2022_TBtus!$A$3:$A$53,0))),0,(index(Res_AllFuels_SEDS_2022_TBtus!$Q$3:$Q$53,match($B61&amp;AE$2,Res_AllFuels_SEDS_2022_TBtus!$B$3:$B$53&amp;Res_AllFuels_SEDS_2022_TBtus!$A$3:$A$53,0))))</f>
        <v>0</v>
      </c>
      <c r="AF61" s="75">
        <f t="array" ref="AF61">IF(ISERROR(index(Res_AllFuels_SEDS_2022_TBtus!$Q$3:$Q$53,match($B61&amp;AF$2,Res_AllFuels_SEDS_2022_TBtus!$B$3:$B$53&amp;Res_AllFuels_SEDS_2022_TBtus!$A$3:$A$53,0))),0,(index(Res_AllFuels_SEDS_2022_TBtus!$Q$3:$Q$53,match($B61&amp;AF$2,Res_AllFuels_SEDS_2022_TBtus!$B$3:$B$53&amp;Res_AllFuels_SEDS_2022_TBtus!$A$3:$A$53,0))))</f>
        <v>0</v>
      </c>
      <c r="AG61" s="75">
        <f t="array" ref="AG61">IF(ISERROR(index(Res_AllFuels_SEDS_2022_TBtus!$Q$3:$Q$53,match($B61&amp;AG$2,Res_AllFuels_SEDS_2022_TBtus!$B$3:$B$53&amp;Res_AllFuels_SEDS_2022_TBtus!$A$3:$A$53,0))),0,(index(Res_AllFuels_SEDS_2022_TBtus!$Q$3:$Q$53,match($B61&amp;AG$2,Res_AllFuels_SEDS_2022_TBtus!$B$3:$B$53&amp;Res_AllFuels_SEDS_2022_TBtus!$A$3:$A$53,0))))</f>
        <v>0</v>
      </c>
      <c r="AH61" s="75">
        <f t="array" ref="AH61">IF(ISERROR(index(Res_AllFuels_SEDS_2022_TBtus!$Q$3:$Q$53,match($B61&amp;AH$2,Res_AllFuels_SEDS_2022_TBtus!$B$3:$B$53&amp;Res_AllFuels_SEDS_2022_TBtus!$A$3:$A$53,0))),0,(index(Res_AllFuels_SEDS_2022_TBtus!$Q$3:$Q$53,match($B61&amp;AH$2,Res_AllFuels_SEDS_2022_TBtus!$B$3:$B$53&amp;Res_AllFuels_SEDS_2022_TBtus!$A$3:$A$53,0))))</f>
        <v>0</v>
      </c>
      <c r="AI61" s="75">
        <f t="array" ref="AI61">IF(ISERROR(index(Res_AllFuels_SEDS_2022_TBtus!$Q$3:$Q$53,match($B61&amp;AI$2,Res_AllFuels_SEDS_2022_TBtus!$B$3:$B$53&amp;Res_AllFuels_SEDS_2022_TBtus!$A$3:$A$53,0))),0,(index(Res_AllFuels_SEDS_2022_TBtus!$Q$3:$Q$53,match($B61&amp;AI$2,Res_AllFuels_SEDS_2022_TBtus!$B$3:$B$53&amp;Res_AllFuels_SEDS_2022_TBtus!$A$3:$A$53,0))))</f>
        <v>0</v>
      </c>
      <c r="AJ61" s="75">
        <f t="array" ref="AJ61">IF(ISERROR(index(Res_AllFuels_SEDS_2022_TBtus!$Q$3:$Q$53,match($B61&amp;AJ$2,Res_AllFuels_SEDS_2022_TBtus!$B$3:$B$53&amp;Res_AllFuels_SEDS_2022_TBtus!$A$3:$A$53,0))),0,(index(Res_AllFuels_SEDS_2022_TBtus!$Q$3:$Q$53,match($B61&amp;AJ$2,Res_AllFuels_SEDS_2022_TBtus!$B$3:$B$53&amp;Res_AllFuels_SEDS_2022_TBtus!$A$3:$A$53,0))))</f>
        <v>0</v>
      </c>
      <c r="AK61" s="75">
        <f t="array" ref="AK61">IF(ISERROR(index(Res_AllFuels_SEDS_2022_TBtus!$Q$3:$Q$53,match($B61&amp;AK$2,Res_AllFuels_SEDS_2022_TBtus!$B$3:$B$53&amp;Res_AllFuels_SEDS_2022_TBtus!$A$3:$A$53,0))),0,(index(Res_AllFuels_SEDS_2022_TBtus!$Q$3:$Q$53,match($B61&amp;AK$2,Res_AllFuels_SEDS_2022_TBtus!$B$3:$B$53&amp;Res_AllFuels_SEDS_2022_TBtus!$A$3:$A$53,0))))</f>
        <v>0</v>
      </c>
      <c r="AL61" s="75">
        <f t="array" ref="AL61">IF(ISERROR(index(Res_AllFuels_SEDS_2022_TBtus!$Q$3:$Q$53,match($B61&amp;AL$2,Res_AllFuels_SEDS_2022_TBtus!$B$3:$B$53&amp;Res_AllFuels_SEDS_2022_TBtus!$A$3:$A$53,0))),0,(index(Res_AllFuels_SEDS_2022_TBtus!$Q$3:$Q$53,match($B61&amp;AL$2,Res_AllFuels_SEDS_2022_TBtus!$B$3:$B$53&amp;Res_AllFuels_SEDS_2022_TBtus!$A$3:$A$53,0))))</f>
        <v>0</v>
      </c>
      <c r="AM61" s="75">
        <f t="array" ref="AM61">IF(ISERROR(index(Res_AllFuels_SEDS_2022_TBtus!$Q$3:$Q$53,match($B61&amp;AM$2,Res_AllFuels_SEDS_2022_TBtus!$B$3:$B$53&amp;Res_AllFuels_SEDS_2022_TBtus!$A$3:$A$53,0))),0,(index(Res_AllFuels_SEDS_2022_TBtus!$Q$3:$Q$53,match($B61&amp;AM$2,Res_AllFuels_SEDS_2022_TBtus!$B$3:$B$53&amp;Res_AllFuels_SEDS_2022_TBtus!$A$3:$A$53,0))))</f>
        <v>0</v>
      </c>
      <c r="AN61" s="75">
        <f t="array" ref="AN61">IF(ISERROR(index(Res_AllFuels_SEDS_2022_TBtus!$Q$3:$Q$53,match($B61&amp;AN$2,Res_AllFuels_SEDS_2022_TBtus!$B$3:$B$53&amp;Res_AllFuels_SEDS_2022_TBtus!$A$3:$A$53,0))),0,(index(Res_AllFuels_SEDS_2022_TBtus!$Q$3:$Q$53,match($B61&amp;AN$2,Res_AllFuels_SEDS_2022_TBtus!$B$3:$B$53&amp;Res_AllFuels_SEDS_2022_TBtus!$A$3:$A$53,0))))</f>
        <v>0</v>
      </c>
      <c r="AO61" s="75">
        <f t="array" ref="AO61">IF(ISERROR(index(Res_AllFuels_SEDS_2022_TBtus!$Q$3:$Q$53,match($B61&amp;AO$2,Res_AllFuels_SEDS_2022_TBtus!$B$3:$B$53&amp;Res_AllFuels_SEDS_2022_TBtus!$A$3:$A$53,0))),0,(index(Res_AllFuels_SEDS_2022_TBtus!$Q$3:$Q$53,match($B61&amp;AO$2,Res_AllFuels_SEDS_2022_TBtus!$B$3:$B$53&amp;Res_AllFuels_SEDS_2022_TBtus!$A$3:$A$53,0))))</f>
        <v>0</v>
      </c>
      <c r="AP61" s="75">
        <f t="array" ref="AP61">IF(ISERROR(index(Res_AllFuels_SEDS_2022_TBtus!$Q$3:$Q$53,match($B61&amp;AP$2,Res_AllFuels_SEDS_2022_TBtus!$B$3:$B$53&amp;Res_AllFuels_SEDS_2022_TBtus!$A$3:$A$53,0))),0,(index(Res_AllFuels_SEDS_2022_TBtus!$Q$3:$Q$53,match($B61&amp;AP$2,Res_AllFuels_SEDS_2022_TBtus!$B$3:$B$53&amp;Res_AllFuels_SEDS_2022_TBtus!$A$3:$A$53,0))))</f>
        <v>0</v>
      </c>
      <c r="AQ61" s="75">
        <f t="array" ref="AQ61">IF(ISERROR(index(Res_AllFuels_SEDS_2022_TBtus!$Q$3:$Q$53,match($B61&amp;AQ$2,Res_AllFuels_SEDS_2022_TBtus!$B$3:$B$53&amp;Res_AllFuels_SEDS_2022_TBtus!$A$3:$A$53,0))),0,(index(Res_AllFuels_SEDS_2022_TBtus!$Q$3:$Q$53,match($B61&amp;AQ$2,Res_AllFuels_SEDS_2022_TBtus!$B$3:$B$53&amp;Res_AllFuels_SEDS_2022_TBtus!$A$3:$A$53,0))))</f>
        <v>0</v>
      </c>
      <c r="AR61" s="75">
        <f t="array" ref="AR61">IF(ISERROR(index(Res_AllFuels_SEDS_2022_TBtus!$Q$3:$Q$53,match($B61&amp;AR$2,Res_AllFuels_SEDS_2022_TBtus!$B$3:$B$53&amp;Res_AllFuels_SEDS_2022_TBtus!$A$3:$A$53,0))),0,(index(Res_AllFuels_SEDS_2022_TBtus!$Q$3:$Q$53,match($B61&amp;AR$2,Res_AllFuels_SEDS_2022_TBtus!$B$3:$B$53&amp;Res_AllFuels_SEDS_2022_TBtus!$A$3:$A$53,0))))</f>
        <v>0</v>
      </c>
      <c r="AS61" s="75">
        <f t="array" ref="AS61">IF(ISERROR(index(Res_AllFuels_SEDS_2022_TBtus!$Q$3:$Q$53,match($B61&amp;AS$2,Res_AllFuels_SEDS_2022_TBtus!$B$3:$B$53&amp;Res_AllFuels_SEDS_2022_TBtus!$A$3:$A$53,0))),0,(index(Res_AllFuels_SEDS_2022_TBtus!$Q$3:$Q$53,match($B61&amp;AS$2,Res_AllFuels_SEDS_2022_TBtus!$B$3:$B$53&amp;Res_AllFuels_SEDS_2022_TBtus!$A$3:$A$53,0))))</f>
        <v>12.7</v>
      </c>
      <c r="AT61" s="75">
        <f t="array" ref="AT61">IF(ISERROR(index(Res_AllFuels_SEDS_2022_TBtus!$Q$3:$Q$53,match($B61&amp;AT$2,Res_AllFuels_SEDS_2022_TBtus!$B$3:$B$53&amp;Res_AllFuels_SEDS_2022_TBtus!$A$3:$A$53,0))),0,(index(Res_AllFuels_SEDS_2022_TBtus!$Q$3:$Q$53,match($B61&amp;AT$2,Res_AllFuels_SEDS_2022_TBtus!$B$3:$B$53&amp;Res_AllFuels_SEDS_2022_TBtus!$A$3:$A$53,0))))</f>
        <v>0</v>
      </c>
      <c r="AU61" s="75">
        <f t="array" ref="AU61">IF(ISERROR(index(Res_AllFuels_SEDS_2022_TBtus!$Q$3:$Q$53,match($B61&amp;AU$2,Res_AllFuels_SEDS_2022_TBtus!$B$3:$B$53&amp;Res_AllFuels_SEDS_2022_TBtus!$A$3:$A$53,0))),0,(index(Res_AllFuels_SEDS_2022_TBtus!$Q$3:$Q$53,match($B61&amp;AU$2,Res_AllFuels_SEDS_2022_TBtus!$B$3:$B$53&amp;Res_AllFuels_SEDS_2022_TBtus!$A$3:$A$53,0))))</f>
        <v>0</v>
      </c>
      <c r="AV61" s="75">
        <f t="array" ref="AV61">IF(ISERROR(index(Res_AllFuels_SEDS_2022_TBtus!$Q$3:$Q$53,match($B61&amp;AV$2,Res_AllFuels_SEDS_2022_TBtus!$B$3:$B$53&amp;Res_AllFuels_SEDS_2022_TBtus!$A$3:$A$53,0))),0,(index(Res_AllFuels_SEDS_2022_TBtus!$Q$3:$Q$53,match($B61&amp;AV$2,Res_AllFuels_SEDS_2022_TBtus!$B$3:$B$53&amp;Res_AllFuels_SEDS_2022_TBtus!$A$3:$A$53,0))))</f>
        <v>0</v>
      </c>
      <c r="AW61" s="75">
        <f t="array" ref="AW61">IF(ISERROR(index(Res_AllFuels_SEDS_2022_TBtus!$Q$3:$Q$53,match($B61&amp;AW$2,Res_AllFuels_SEDS_2022_TBtus!$B$3:$B$53&amp;Res_AllFuels_SEDS_2022_TBtus!$A$3:$A$53,0))),0,(index(Res_AllFuels_SEDS_2022_TBtus!$Q$3:$Q$53,match($B61&amp;AW$2,Res_AllFuels_SEDS_2022_TBtus!$B$3:$B$53&amp;Res_AllFuels_SEDS_2022_TBtus!$A$3:$A$53,0))))</f>
        <v>0</v>
      </c>
      <c r="AX61" s="75">
        <f t="array" ref="AX61">IF(ISERROR(index(Res_AllFuels_SEDS_2022_TBtus!$Q$3:$Q$53,match($B61&amp;AX$2,Res_AllFuels_SEDS_2022_TBtus!$B$3:$B$53&amp;Res_AllFuels_SEDS_2022_TBtus!$A$3:$A$53,0))),0,(index(Res_AllFuels_SEDS_2022_TBtus!$Q$3:$Q$53,match($B61&amp;AX$2,Res_AllFuels_SEDS_2022_TBtus!$B$3:$B$53&amp;Res_AllFuels_SEDS_2022_TBtus!$A$3:$A$53,0))))</f>
        <v>0</v>
      </c>
      <c r="AY61" s="75">
        <f t="array" ref="AY61">IF(ISERROR(index(Res_AllFuels_SEDS_2022_TBtus!$Q$3:$Q$53,match($B61&amp;AY$2,Res_AllFuels_SEDS_2022_TBtus!$B$3:$B$53&amp;Res_AllFuels_SEDS_2022_TBtus!$A$3:$A$53,0))),0,(index(Res_AllFuels_SEDS_2022_TBtus!$Q$3:$Q$53,match($B61&amp;AY$2,Res_AllFuels_SEDS_2022_TBtus!$B$3:$B$53&amp;Res_AllFuels_SEDS_2022_TBtus!$A$3:$A$53,0))))</f>
        <v>0</v>
      </c>
      <c r="AZ61" s="75">
        <f t="array" ref="AZ61">IF(ISERROR(index(Res_AllFuels_SEDS_2022_TBtus!$Q$3:$Q$53,match($B61&amp;AZ$2,Res_AllFuels_SEDS_2022_TBtus!$B$3:$B$53&amp;Res_AllFuels_SEDS_2022_TBtus!$A$3:$A$53,0))),0,(index(Res_AllFuels_SEDS_2022_TBtus!$Q$3:$Q$53,match($B61&amp;AZ$2,Res_AllFuels_SEDS_2022_TBtus!$B$3:$B$53&amp;Res_AllFuels_SEDS_2022_TBtus!$A$3:$A$53,0))))</f>
        <v>0</v>
      </c>
      <c r="BA61" s="75">
        <f t="array" ref="BA61">IF(ISERROR(index(Res_AllFuels_SEDS_2022_TBtus!$Q$3:$Q$53,match($B61&amp;BA$2,Res_AllFuels_SEDS_2022_TBtus!$B$3:$B$53&amp;Res_AllFuels_SEDS_2022_TBtus!$A$3:$A$53,0))),0,(index(Res_AllFuels_SEDS_2022_TBtus!$Q$3:$Q$53,match($B61&amp;BA$2,Res_AllFuels_SEDS_2022_TBtus!$B$3:$B$53&amp;Res_AllFuels_SEDS_2022_TBtus!$A$3:$A$53,0))))</f>
        <v>0</v>
      </c>
      <c r="BB61" s="74">
        <f t="shared" si="9"/>
        <v>41.1</v>
      </c>
    </row>
    <row r="62" ht="15.75" customHeight="1">
      <c r="A62" s="78"/>
      <c r="B62" s="74">
        <v>7.0</v>
      </c>
      <c r="C62" s="75">
        <f t="array" ref="C62">IF(ISERROR(index(Res_AllFuels_SEDS_2022_TBtus!$Q$3:$Q$53,match($B62&amp;C$2,Res_AllFuels_SEDS_2022_TBtus!$B$3:$B$53&amp;Res_AllFuels_SEDS_2022_TBtus!$A$3:$A$53,0))),0,(index(Res_AllFuels_SEDS_2022_TBtus!$Q$3:$Q$53,match($B62&amp;C$2,Res_AllFuels_SEDS_2022_TBtus!$B$3:$B$53&amp;Res_AllFuels_SEDS_2022_TBtus!$A$3:$A$53,0))))</f>
        <v>0</v>
      </c>
      <c r="D62" s="75">
        <f t="array" ref="D62">IF(ISERROR(index(Res_AllFuels_SEDS_2022_TBtus!$Q$3:$Q$53,match($B62&amp;D$2,Res_AllFuels_SEDS_2022_TBtus!$B$3:$B$53&amp;Res_AllFuels_SEDS_2022_TBtus!$A$3:$A$53,0))),0,(index(Res_AllFuels_SEDS_2022_TBtus!$Q$3:$Q$53,match($B62&amp;D$2,Res_AllFuels_SEDS_2022_TBtus!$B$3:$B$53&amp;Res_AllFuels_SEDS_2022_TBtus!$A$3:$A$53,0))))</f>
        <v>0</v>
      </c>
      <c r="E62" s="75">
        <f t="array" ref="E62">IF(ISERROR(index(Res_AllFuels_SEDS_2022_TBtus!$Q$3:$Q$53,match($B62&amp;E$2,Res_AllFuels_SEDS_2022_TBtus!$B$3:$B$53&amp;Res_AllFuels_SEDS_2022_TBtus!$A$3:$A$53,0))),0,(index(Res_AllFuels_SEDS_2022_TBtus!$Q$3:$Q$53,match($B62&amp;E$2,Res_AllFuels_SEDS_2022_TBtus!$B$3:$B$53&amp;Res_AllFuels_SEDS_2022_TBtus!$A$3:$A$53,0))))</f>
        <v>0</v>
      </c>
      <c r="F62" s="75">
        <f t="array" ref="F62">IF(ISERROR(index(Res_AllFuels_SEDS_2022_TBtus!$Q$3:$Q$53,match($B62&amp;F$2,Res_AllFuels_SEDS_2022_TBtus!$B$3:$B$53&amp;Res_AllFuels_SEDS_2022_TBtus!$A$3:$A$53,0))),0,(index(Res_AllFuels_SEDS_2022_TBtus!$Q$3:$Q$53,match($B62&amp;F$2,Res_AllFuels_SEDS_2022_TBtus!$B$3:$B$53&amp;Res_AllFuels_SEDS_2022_TBtus!$A$3:$A$53,0))))</f>
        <v>9.2</v>
      </c>
      <c r="G62" s="75">
        <f t="array" ref="G62">IF(ISERROR(index(Res_AllFuels_SEDS_2022_TBtus!$Q$3:$Q$53,match($B62&amp;G$2,Res_AllFuels_SEDS_2022_TBtus!$B$3:$B$53&amp;Res_AllFuels_SEDS_2022_TBtus!$A$3:$A$53,0))),0,(index(Res_AllFuels_SEDS_2022_TBtus!$Q$3:$Q$53,match($B62&amp;G$2,Res_AllFuels_SEDS_2022_TBtus!$B$3:$B$53&amp;Res_AllFuels_SEDS_2022_TBtus!$A$3:$A$53,0))))</f>
        <v>0</v>
      </c>
      <c r="H62" s="75">
        <f t="array" ref="H62">IF(ISERROR(index(Res_AllFuels_SEDS_2022_TBtus!$Q$3:$Q$53,match($B62&amp;H$2,Res_AllFuels_SEDS_2022_TBtus!$B$3:$B$53&amp;Res_AllFuels_SEDS_2022_TBtus!$A$3:$A$53,0))),0,(index(Res_AllFuels_SEDS_2022_TBtus!$Q$3:$Q$53,match($B62&amp;H$2,Res_AllFuels_SEDS_2022_TBtus!$B$3:$B$53&amp;Res_AllFuels_SEDS_2022_TBtus!$A$3:$A$53,0))))</f>
        <v>0</v>
      </c>
      <c r="I62" s="75">
        <f t="array" ref="I62">IF(ISERROR(index(Res_AllFuels_SEDS_2022_TBtus!$Q$3:$Q$53,match($B62&amp;I$2,Res_AllFuels_SEDS_2022_TBtus!$B$3:$B$53&amp;Res_AllFuels_SEDS_2022_TBtus!$A$3:$A$53,0))),0,(index(Res_AllFuels_SEDS_2022_TBtus!$Q$3:$Q$53,match($B62&amp;I$2,Res_AllFuels_SEDS_2022_TBtus!$B$3:$B$53&amp;Res_AllFuels_SEDS_2022_TBtus!$A$3:$A$53,0))))</f>
        <v>0</v>
      </c>
      <c r="J62" s="75">
        <f t="array" ref="J62">IF(ISERROR(index(Res_AllFuels_SEDS_2022_TBtus!$Q$3:$Q$53,match($B62&amp;J$2,Res_AllFuels_SEDS_2022_TBtus!$B$3:$B$53&amp;Res_AllFuels_SEDS_2022_TBtus!$A$3:$A$53,0))),0,(index(Res_AllFuels_SEDS_2022_TBtus!$Q$3:$Q$53,match($B62&amp;J$2,Res_AllFuels_SEDS_2022_TBtus!$B$3:$B$53&amp;Res_AllFuels_SEDS_2022_TBtus!$A$3:$A$53,0))))</f>
        <v>0</v>
      </c>
      <c r="K62" s="75">
        <f t="array" ref="K62">IF(ISERROR(index(Res_AllFuels_SEDS_2022_TBtus!$Q$3:$Q$53,match($B62&amp;K$2,Res_AllFuels_SEDS_2022_TBtus!$B$3:$B$53&amp;Res_AllFuels_SEDS_2022_TBtus!$A$3:$A$53,0))),0,(index(Res_AllFuels_SEDS_2022_TBtus!$Q$3:$Q$53,match($B62&amp;K$2,Res_AllFuels_SEDS_2022_TBtus!$B$3:$B$53&amp;Res_AllFuels_SEDS_2022_TBtus!$A$3:$A$53,0))))</f>
        <v>0</v>
      </c>
      <c r="L62" s="75">
        <f t="array" ref="L62">IF(ISERROR(index(Res_AllFuels_SEDS_2022_TBtus!$Q$3:$Q$53,match($B62&amp;L$2,Res_AllFuels_SEDS_2022_TBtus!$B$3:$B$53&amp;Res_AllFuels_SEDS_2022_TBtus!$A$3:$A$53,0))),0,(index(Res_AllFuels_SEDS_2022_TBtus!$Q$3:$Q$53,match($B62&amp;L$2,Res_AllFuels_SEDS_2022_TBtus!$B$3:$B$53&amp;Res_AllFuels_SEDS_2022_TBtus!$A$3:$A$53,0))))</f>
        <v>0</v>
      </c>
      <c r="M62" s="75">
        <f t="array" ref="M62">IF(ISERROR(index(Res_AllFuels_SEDS_2022_TBtus!$Q$3:$Q$53,match($B62&amp;M$2,Res_AllFuels_SEDS_2022_TBtus!$B$3:$B$53&amp;Res_AllFuels_SEDS_2022_TBtus!$A$3:$A$53,0))),0,(index(Res_AllFuels_SEDS_2022_TBtus!$Q$3:$Q$53,match($B62&amp;M$2,Res_AllFuels_SEDS_2022_TBtus!$B$3:$B$53&amp;Res_AllFuels_SEDS_2022_TBtus!$A$3:$A$53,0))))</f>
        <v>0</v>
      </c>
      <c r="N62" s="75">
        <f t="array" ref="N62">IF(ISERROR(index(Res_AllFuels_SEDS_2022_TBtus!$Q$3:$Q$53,match($B62&amp;N$2,Res_AllFuels_SEDS_2022_TBtus!$B$3:$B$53&amp;Res_AllFuels_SEDS_2022_TBtus!$A$3:$A$53,0))),0,(index(Res_AllFuels_SEDS_2022_TBtus!$Q$3:$Q$53,match($B62&amp;N$2,Res_AllFuels_SEDS_2022_TBtus!$B$3:$B$53&amp;Res_AllFuels_SEDS_2022_TBtus!$A$3:$A$53,0))))</f>
        <v>0</v>
      </c>
      <c r="O62" s="75">
        <f t="array" ref="O62">IF(ISERROR(index(Res_AllFuels_SEDS_2022_TBtus!$Q$3:$Q$53,match($B62&amp;O$2,Res_AllFuels_SEDS_2022_TBtus!$B$3:$B$53&amp;Res_AllFuels_SEDS_2022_TBtus!$A$3:$A$53,0))),0,(index(Res_AllFuels_SEDS_2022_TBtus!$Q$3:$Q$53,match($B62&amp;O$2,Res_AllFuels_SEDS_2022_TBtus!$B$3:$B$53&amp;Res_AllFuels_SEDS_2022_TBtus!$A$3:$A$53,0))))</f>
        <v>0</v>
      </c>
      <c r="P62" s="75">
        <f t="array" ref="P62">IF(ISERROR(index(Res_AllFuels_SEDS_2022_TBtus!$Q$3:$Q$53,match($B62&amp;P$2,Res_AllFuels_SEDS_2022_TBtus!$B$3:$B$53&amp;Res_AllFuels_SEDS_2022_TBtus!$A$3:$A$53,0))),0,(index(Res_AllFuels_SEDS_2022_TBtus!$Q$3:$Q$53,match($B62&amp;P$2,Res_AllFuels_SEDS_2022_TBtus!$B$3:$B$53&amp;Res_AllFuels_SEDS_2022_TBtus!$A$3:$A$53,0))))</f>
        <v>0</v>
      </c>
      <c r="Q62" s="75">
        <f t="array" ref="Q62">IF(ISERROR(index(Res_AllFuels_SEDS_2022_TBtus!$Q$3:$Q$53,match($B62&amp;Q$2,Res_AllFuels_SEDS_2022_TBtus!$B$3:$B$53&amp;Res_AllFuels_SEDS_2022_TBtus!$A$3:$A$53,0))),0,(index(Res_AllFuels_SEDS_2022_TBtus!$Q$3:$Q$53,match($B62&amp;Q$2,Res_AllFuels_SEDS_2022_TBtus!$B$3:$B$53&amp;Res_AllFuels_SEDS_2022_TBtus!$A$3:$A$53,0))))</f>
        <v>0</v>
      </c>
      <c r="R62" s="75">
        <f t="array" ref="R62">IF(ISERROR(index(Res_AllFuels_SEDS_2022_TBtus!$Q$3:$Q$53,match($B62&amp;R$2,Res_AllFuels_SEDS_2022_TBtus!$B$3:$B$53&amp;Res_AllFuels_SEDS_2022_TBtus!$A$3:$A$53,0))),0,(index(Res_AllFuels_SEDS_2022_TBtus!$Q$3:$Q$53,match($B62&amp;R$2,Res_AllFuels_SEDS_2022_TBtus!$B$3:$B$53&amp;Res_AllFuels_SEDS_2022_TBtus!$A$3:$A$53,0))))</f>
        <v>0</v>
      </c>
      <c r="S62" s="75">
        <f t="array" ref="S62">IF(ISERROR(index(Res_AllFuels_SEDS_2022_TBtus!$Q$3:$Q$53,match($B62&amp;S$2,Res_AllFuels_SEDS_2022_TBtus!$B$3:$B$53&amp;Res_AllFuels_SEDS_2022_TBtus!$A$3:$A$53,0))),0,(index(Res_AllFuels_SEDS_2022_TBtus!$Q$3:$Q$53,match($B62&amp;S$2,Res_AllFuels_SEDS_2022_TBtus!$B$3:$B$53&amp;Res_AllFuels_SEDS_2022_TBtus!$A$3:$A$53,0))))</f>
        <v>0</v>
      </c>
      <c r="T62" s="75">
        <f t="array" ref="T62">IF(ISERROR(index(Res_AllFuels_SEDS_2022_TBtus!$Q$3:$Q$53,match($B62&amp;T$2,Res_AllFuels_SEDS_2022_TBtus!$B$3:$B$53&amp;Res_AllFuels_SEDS_2022_TBtus!$A$3:$A$53,0))),0,(index(Res_AllFuels_SEDS_2022_TBtus!$Q$3:$Q$53,match($B62&amp;T$2,Res_AllFuels_SEDS_2022_TBtus!$B$3:$B$53&amp;Res_AllFuels_SEDS_2022_TBtus!$A$3:$A$53,0))))</f>
        <v>0</v>
      </c>
      <c r="U62" s="75">
        <f t="array" ref="U62">IF(ISERROR(index(Res_AllFuels_SEDS_2022_TBtus!$Q$3:$Q$53,match($B62&amp;U$2,Res_AllFuels_SEDS_2022_TBtus!$B$3:$B$53&amp;Res_AllFuels_SEDS_2022_TBtus!$A$3:$A$53,0))),0,(index(Res_AllFuels_SEDS_2022_TBtus!$Q$3:$Q$53,match($B62&amp;U$2,Res_AllFuels_SEDS_2022_TBtus!$B$3:$B$53&amp;Res_AllFuels_SEDS_2022_TBtus!$A$3:$A$53,0))))</f>
        <v>2.2</v>
      </c>
      <c r="V62" s="75">
        <f t="array" ref="V62">IF(ISERROR(index(Res_AllFuels_SEDS_2022_TBtus!$Q$3:$Q$53,match($B62&amp;V$2,Res_AllFuels_SEDS_2022_TBtus!$B$3:$B$53&amp;Res_AllFuels_SEDS_2022_TBtus!$A$3:$A$53,0))),0,(index(Res_AllFuels_SEDS_2022_TBtus!$Q$3:$Q$53,match($B62&amp;V$2,Res_AllFuels_SEDS_2022_TBtus!$B$3:$B$53&amp;Res_AllFuels_SEDS_2022_TBtus!$A$3:$A$53,0))))</f>
        <v>0</v>
      </c>
      <c r="W62" s="75">
        <f t="array" ref="W62">IF(ISERROR(index(Res_AllFuels_SEDS_2022_TBtus!$Q$3:$Q$53,match($B62&amp;W$2,Res_AllFuels_SEDS_2022_TBtus!$B$3:$B$53&amp;Res_AllFuels_SEDS_2022_TBtus!$A$3:$A$53,0))),0,(index(Res_AllFuels_SEDS_2022_TBtus!$Q$3:$Q$53,match($B62&amp;W$2,Res_AllFuels_SEDS_2022_TBtus!$B$3:$B$53&amp;Res_AllFuels_SEDS_2022_TBtus!$A$3:$A$53,0))))</f>
        <v>0</v>
      </c>
      <c r="X62" s="75">
        <f t="array" ref="X62">IF(ISERROR(index(Res_AllFuels_SEDS_2022_TBtus!$Q$3:$Q$53,match($B62&amp;X$2,Res_AllFuels_SEDS_2022_TBtus!$B$3:$B$53&amp;Res_AllFuels_SEDS_2022_TBtus!$A$3:$A$53,0))),0,(index(Res_AllFuels_SEDS_2022_TBtus!$Q$3:$Q$53,match($B62&amp;X$2,Res_AllFuels_SEDS_2022_TBtus!$B$3:$B$53&amp;Res_AllFuels_SEDS_2022_TBtus!$A$3:$A$53,0))))</f>
        <v>0</v>
      </c>
      <c r="Y62" s="75">
        <f t="array" ref="Y62">IF(ISERROR(index(Res_AllFuels_SEDS_2022_TBtus!$Q$3:$Q$53,match($B62&amp;Y$2,Res_AllFuels_SEDS_2022_TBtus!$B$3:$B$53&amp;Res_AllFuels_SEDS_2022_TBtus!$A$3:$A$53,0))),0,(index(Res_AllFuels_SEDS_2022_TBtus!$Q$3:$Q$53,match($B62&amp;Y$2,Res_AllFuels_SEDS_2022_TBtus!$B$3:$B$53&amp;Res_AllFuels_SEDS_2022_TBtus!$A$3:$A$53,0))))</f>
        <v>0</v>
      </c>
      <c r="Z62" s="75">
        <f t="array" ref="Z62">IF(ISERROR(index(Res_AllFuels_SEDS_2022_TBtus!$Q$3:$Q$53,match($B62&amp;Z$2,Res_AllFuels_SEDS_2022_TBtus!$B$3:$B$53&amp;Res_AllFuels_SEDS_2022_TBtus!$A$3:$A$53,0))),0,(index(Res_AllFuels_SEDS_2022_TBtus!$Q$3:$Q$53,match($B62&amp;Z$2,Res_AllFuels_SEDS_2022_TBtus!$B$3:$B$53&amp;Res_AllFuels_SEDS_2022_TBtus!$A$3:$A$53,0))))</f>
        <v>0</v>
      </c>
      <c r="AA62" s="75">
        <f t="array" ref="AA62">IF(ISERROR(index(Res_AllFuels_SEDS_2022_TBtus!$Q$3:$Q$53,match($B62&amp;AA$2,Res_AllFuels_SEDS_2022_TBtus!$B$3:$B$53&amp;Res_AllFuels_SEDS_2022_TBtus!$A$3:$A$53,0))),0,(index(Res_AllFuels_SEDS_2022_TBtus!$Q$3:$Q$53,match($B62&amp;AA$2,Res_AllFuels_SEDS_2022_TBtus!$B$3:$B$53&amp;Res_AllFuels_SEDS_2022_TBtus!$A$3:$A$53,0))))</f>
        <v>0</v>
      </c>
      <c r="AB62" s="75">
        <f t="array" ref="AB62">IF(ISERROR(index(Res_AllFuels_SEDS_2022_TBtus!$Q$3:$Q$53,match($B62&amp;AB$2,Res_AllFuels_SEDS_2022_TBtus!$B$3:$B$53&amp;Res_AllFuels_SEDS_2022_TBtus!$A$3:$A$53,0))),0,(index(Res_AllFuels_SEDS_2022_TBtus!$Q$3:$Q$53,match($B62&amp;AB$2,Res_AllFuels_SEDS_2022_TBtus!$B$3:$B$53&amp;Res_AllFuels_SEDS_2022_TBtus!$A$3:$A$53,0))))</f>
        <v>0</v>
      </c>
      <c r="AC62" s="75">
        <f t="array" ref="AC62">IF(ISERROR(index(Res_AllFuels_SEDS_2022_TBtus!$Q$3:$Q$53,match($B62&amp;AC$2,Res_AllFuels_SEDS_2022_TBtus!$B$3:$B$53&amp;Res_AllFuels_SEDS_2022_TBtus!$A$3:$A$53,0))),0,(index(Res_AllFuels_SEDS_2022_TBtus!$Q$3:$Q$53,match($B62&amp;AC$2,Res_AllFuels_SEDS_2022_TBtus!$B$3:$B$53&amp;Res_AllFuels_SEDS_2022_TBtus!$A$3:$A$53,0))))</f>
        <v>0</v>
      </c>
      <c r="AD62" s="75">
        <f t="array" ref="AD62">IF(ISERROR(index(Res_AllFuels_SEDS_2022_TBtus!$Q$3:$Q$53,match($B62&amp;AD$2,Res_AllFuels_SEDS_2022_TBtus!$B$3:$B$53&amp;Res_AllFuels_SEDS_2022_TBtus!$A$3:$A$53,0))),0,(index(Res_AllFuels_SEDS_2022_TBtus!$Q$3:$Q$53,match($B62&amp;AD$2,Res_AllFuels_SEDS_2022_TBtus!$B$3:$B$53&amp;Res_AllFuels_SEDS_2022_TBtus!$A$3:$A$53,0))))</f>
        <v>0</v>
      </c>
      <c r="AE62" s="75">
        <f t="array" ref="AE62">IF(ISERROR(index(Res_AllFuels_SEDS_2022_TBtus!$Q$3:$Q$53,match($B62&amp;AE$2,Res_AllFuels_SEDS_2022_TBtus!$B$3:$B$53&amp;Res_AllFuels_SEDS_2022_TBtus!$A$3:$A$53,0))),0,(index(Res_AllFuels_SEDS_2022_TBtus!$Q$3:$Q$53,match($B62&amp;AE$2,Res_AllFuels_SEDS_2022_TBtus!$B$3:$B$53&amp;Res_AllFuels_SEDS_2022_TBtus!$A$3:$A$53,0))))</f>
        <v>0</v>
      </c>
      <c r="AF62" s="75">
        <f t="array" ref="AF62">IF(ISERROR(index(Res_AllFuels_SEDS_2022_TBtus!$Q$3:$Q$53,match($B62&amp;AF$2,Res_AllFuels_SEDS_2022_TBtus!$B$3:$B$53&amp;Res_AllFuels_SEDS_2022_TBtus!$A$3:$A$53,0))),0,(index(Res_AllFuels_SEDS_2022_TBtus!$Q$3:$Q$53,match($B62&amp;AF$2,Res_AllFuels_SEDS_2022_TBtus!$B$3:$B$53&amp;Res_AllFuels_SEDS_2022_TBtus!$A$3:$A$53,0))))</f>
        <v>0</v>
      </c>
      <c r="AG62" s="75">
        <f t="array" ref="AG62">IF(ISERROR(index(Res_AllFuels_SEDS_2022_TBtus!$Q$3:$Q$53,match($B62&amp;AG$2,Res_AllFuels_SEDS_2022_TBtus!$B$3:$B$53&amp;Res_AllFuels_SEDS_2022_TBtus!$A$3:$A$53,0))),0,(index(Res_AllFuels_SEDS_2022_TBtus!$Q$3:$Q$53,match($B62&amp;AG$2,Res_AllFuels_SEDS_2022_TBtus!$B$3:$B$53&amp;Res_AllFuels_SEDS_2022_TBtus!$A$3:$A$53,0))))</f>
        <v>0</v>
      </c>
      <c r="AH62" s="75">
        <f t="array" ref="AH62">IF(ISERROR(index(Res_AllFuels_SEDS_2022_TBtus!$Q$3:$Q$53,match($B62&amp;AH$2,Res_AllFuels_SEDS_2022_TBtus!$B$3:$B$53&amp;Res_AllFuels_SEDS_2022_TBtus!$A$3:$A$53,0))),0,(index(Res_AllFuels_SEDS_2022_TBtus!$Q$3:$Q$53,match($B62&amp;AH$2,Res_AllFuels_SEDS_2022_TBtus!$B$3:$B$53&amp;Res_AllFuels_SEDS_2022_TBtus!$A$3:$A$53,0))))</f>
        <v>0</v>
      </c>
      <c r="AI62" s="75">
        <f t="array" ref="AI62">IF(ISERROR(index(Res_AllFuels_SEDS_2022_TBtus!$Q$3:$Q$53,match($B62&amp;AI$2,Res_AllFuels_SEDS_2022_TBtus!$B$3:$B$53&amp;Res_AllFuels_SEDS_2022_TBtus!$A$3:$A$53,0))),0,(index(Res_AllFuels_SEDS_2022_TBtus!$Q$3:$Q$53,match($B62&amp;AI$2,Res_AllFuels_SEDS_2022_TBtus!$B$3:$B$53&amp;Res_AllFuels_SEDS_2022_TBtus!$A$3:$A$53,0))))</f>
        <v>0</v>
      </c>
      <c r="AJ62" s="75">
        <f t="array" ref="AJ62">IF(ISERROR(index(Res_AllFuels_SEDS_2022_TBtus!$Q$3:$Q$53,match($B62&amp;AJ$2,Res_AllFuels_SEDS_2022_TBtus!$B$3:$B$53&amp;Res_AllFuels_SEDS_2022_TBtus!$A$3:$A$53,0))),0,(index(Res_AllFuels_SEDS_2022_TBtus!$Q$3:$Q$53,match($B62&amp;AJ$2,Res_AllFuels_SEDS_2022_TBtus!$B$3:$B$53&amp;Res_AllFuels_SEDS_2022_TBtus!$A$3:$A$53,0))))</f>
        <v>0</v>
      </c>
      <c r="AK62" s="75">
        <f t="array" ref="AK62">IF(ISERROR(index(Res_AllFuels_SEDS_2022_TBtus!$Q$3:$Q$53,match($B62&amp;AK$2,Res_AllFuels_SEDS_2022_TBtus!$B$3:$B$53&amp;Res_AllFuels_SEDS_2022_TBtus!$A$3:$A$53,0))),0,(index(Res_AllFuels_SEDS_2022_TBtus!$Q$3:$Q$53,match($B62&amp;AK$2,Res_AllFuels_SEDS_2022_TBtus!$B$3:$B$53&amp;Res_AllFuels_SEDS_2022_TBtus!$A$3:$A$53,0))))</f>
        <v>0</v>
      </c>
      <c r="AL62" s="75">
        <f t="array" ref="AL62">IF(ISERROR(index(Res_AllFuels_SEDS_2022_TBtus!$Q$3:$Q$53,match($B62&amp;AL$2,Res_AllFuels_SEDS_2022_TBtus!$B$3:$B$53&amp;Res_AllFuels_SEDS_2022_TBtus!$A$3:$A$53,0))),0,(index(Res_AllFuels_SEDS_2022_TBtus!$Q$3:$Q$53,match($B62&amp;AL$2,Res_AllFuels_SEDS_2022_TBtus!$B$3:$B$53&amp;Res_AllFuels_SEDS_2022_TBtus!$A$3:$A$53,0))))</f>
        <v>0</v>
      </c>
      <c r="AM62" s="75">
        <f t="array" ref="AM62">IF(ISERROR(index(Res_AllFuels_SEDS_2022_TBtus!$Q$3:$Q$53,match($B62&amp;AM$2,Res_AllFuels_SEDS_2022_TBtus!$B$3:$B$53&amp;Res_AllFuels_SEDS_2022_TBtus!$A$3:$A$53,0))),0,(index(Res_AllFuels_SEDS_2022_TBtus!$Q$3:$Q$53,match($B62&amp;AM$2,Res_AllFuels_SEDS_2022_TBtus!$B$3:$B$53&amp;Res_AllFuels_SEDS_2022_TBtus!$A$3:$A$53,0))))</f>
        <v>11.8</v>
      </c>
      <c r="AN62" s="75">
        <f t="array" ref="AN62">IF(ISERROR(index(Res_AllFuels_SEDS_2022_TBtus!$Q$3:$Q$53,match($B62&amp;AN$2,Res_AllFuels_SEDS_2022_TBtus!$B$3:$B$53&amp;Res_AllFuels_SEDS_2022_TBtus!$A$3:$A$53,0))),0,(index(Res_AllFuels_SEDS_2022_TBtus!$Q$3:$Q$53,match($B62&amp;AN$2,Res_AllFuels_SEDS_2022_TBtus!$B$3:$B$53&amp;Res_AllFuels_SEDS_2022_TBtus!$A$3:$A$53,0))))</f>
        <v>0</v>
      </c>
      <c r="AO62" s="75">
        <f t="array" ref="AO62">IF(ISERROR(index(Res_AllFuels_SEDS_2022_TBtus!$Q$3:$Q$53,match($B62&amp;AO$2,Res_AllFuels_SEDS_2022_TBtus!$B$3:$B$53&amp;Res_AllFuels_SEDS_2022_TBtus!$A$3:$A$53,0))),0,(index(Res_AllFuels_SEDS_2022_TBtus!$Q$3:$Q$53,match($B62&amp;AO$2,Res_AllFuels_SEDS_2022_TBtus!$B$3:$B$53&amp;Res_AllFuels_SEDS_2022_TBtus!$A$3:$A$53,0))))</f>
        <v>0</v>
      </c>
      <c r="AP62" s="75">
        <f t="array" ref="AP62">IF(ISERROR(index(Res_AllFuels_SEDS_2022_TBtus!$Q$3:$Q$53,match($B62&amp;AP$2,Res_AllFuels_SEDS_2022_TBtus!$B$3:$B$53&amp;Res_AllFuels_SEDS_2022_TBtus!$A$3:$A$53,0))),0,(index(Res_AllFuels_SEDS_2022_TBtus!$Q$3:$Q$53,match($B62&amp;AP$2,Res_AllFuels_SEDS_2022_TBtus!$B$3:$B$53&amp;Res_AllFuels_SEDS_2022_TBtus!$A$3:$A$53,0))))</f>
        <v>0</v>
      </c>
      <c r="AQ62" s="75">
        <f t="array" ref="AQ62">IF(ISERROR(index(Res_AllFuels_SEDS_2022_TBtus!$Q$3:$Q$53,match($B62&amp;AQ$2,Res_AllFuels_SEDS_2022_TBtus!$B$3:$B$53&amp;Res_AllFuels_SEDS_2022_TBtus!$A$3:$A$53,0))),0,(index(Res_AllFuels_SEDS_2022_TBtus!$Q$3:$Q$53,match($B62&amp;AQ$2,Res_AllFuels_SEDS_2022_TBtus!$B$3:$B$53&amp;Res_AllFuels_SEDS_2022_TBtus!$A$3:$A$53,0))))</f>
        <v>0</v>
      </c>
      <c r="AR62" s="75">
        <f t="array" ref="AR62">IF(ISERROR(index(Res_AllFuels_SEDS_2022_TBtus!$Q$3:$Q$53,match($B62&amp;AR$2,Res_AllFuels_SEDS_2022_TBtus!$B$3:$B$53&amp;Res_AllFuels_SEDS_2022_TBtus!$A$3:$A$53,0))),0,(index(Res_AllFuels_SEDS_2022_TBtus!$Q$3:$Q$53,match($B62&amp;AR$2,Res_AllFuels_SEDS_2022_TBtus!$B$3:$B$53&amp;Res_AllFuels_SEDS_2022_TBtus!$A$3:$A$53,0))))</f>
        <v>0</v>
      </c>
      <c r="AS62" s="75">
        <f t="array" ref="AS62">IF(ISERROR(index(Res_AllFuels_SEDS_2022_TBtus!$Q$3:$Q$53,match($B62&amp;AS$2,Res_AllFuels_SEDS_2022_TBtus!$B$3:$B$53&amp;Res_AllFuels_SEDS_2022_TBtus!$A$3:$A$53,0))),0,(index(Res_AllFuels_SEDS_2022_TBtus!$Q$3:$Q$53,match($B62&amp;AS$2,Res_AllFuels_SEDS_2022_TBtus!$B$3:$B$53&amp;Res_AllFuels_SEDS_2022_TBtus!$A$3:$A$53,0))))</f>
        <v>0</v>
      </c>
      <c r="AT62" s="75">
        <f t="array" ref="AT62">IF(ISERROR(index(Res_AllFuels_SEDS_2022_TBtus!$Q$3:$Q$53,match($B62&amp;AT$2,Res_AllFuels_SEDS_2022_TBtus!$B$3:$B$53&amp;Res_AllFuels_SEDS_2022_TBtus!$A$3:$A$53,0))),0,(index(Res_AllFuels_SEDS_2022_TBtus!$Q$3:$Q$53,match($B62&amp;AT$2,Res_AllFuels_SEDS_2022_TBtus!$B$3:$B$53&amp;Res_AllFuels_SEDS_2022_TBtus!$A$3:$A$53,0))))</f>
        <v>21.5</v>
      </c>
      <c r="AU62" s="75">
        <f t="array" ref="AU62">IF(ISERROR(index(Res_AllFuels_SEDS_2022_TBtus!$Q$3:$Q$53,match($B62&amp;AU$2,Res_AllFuels_SEDS_2022_TBtus!$B$3:$B$53&amp;Res_AllFuels_SEDS_2022_TBtus!$A$3:$A$53,0))),0,(index(Res_AllFuels_SEDS_2022_TBtus!$Q$3:$Q$53,match($B62&amp;AU$2,Res_AllFuels_SEDS_2022_TBtus!$B$3:$B$53&amp;Res_AllFuels_SEDS_2022_TBtus!$A$3:$A$53,0))))</f>
        <v>0</v>
      </c>
      <c r="AV62" s="75">
        <f t="array" ref="AV62">IF(ISERROR(index(Res_AllFuels_SEDS_2022_TBtus!$Q$3:$Q$53,match($B62&amp;AV$2,Res_AllFuels_SEDS_2022_TBtus!$B$3:$B$53&amp;Res_AllFuels_SEDS_2022_TBtus!$A$3:$A$53,0))),0,(index(Res_AllFuels_SEDS_2022_TBtus!$Q$3:$Q$53,match($B62&amp;AV$2,Res_AllFuels_SEDS_2022_TBtus!$B$3:$B$53&amp;Res_AllFuels_SEDS_2022_TBtus!$A$3:$A$53,0))))</f>
        <v>0</v>
      </c>
      <c r="AW62" s="75">
        <f t="array" ref="AW62">IF(ISERROR(index(Res_AllFuels_SEDS_2022_TBtus!$Q$3:$Q$53,match($B62&amp;AW$2,Res_AllFuels_SEDS_2022_TBtus!$B$3:$B$53&amp;Res_AllFuels_SEDS_2022_TBtus!$A$3:$A$53,0))),0,(index(Res_AllFuels_SEDS_2022_TBtus!$Q$3:$Q$53,match($B62&amp;AW$2,Res_AllFuels_SEDS_2022_TBtus!$B$3:$B$53&amp;Res_AllFuels_SEDS_2022_TBtus!$A$3:$A$53,0))))</f>
        <v>0</v>
      </c>
      <c r="AX62" s="75">
        <f t="array" ref="AX62">IF(ISERROR(index(Res_AllFuels_SEDS_2022_TBtus!$Q$3:$Q$53,match($B62&amp;AX$2,Res_AllFuels_SEDS_2022_TBtus!$B$3:$B$53&amp;Res_AllFuels_SEDS_2022_TBtus!$A$3:$A$53,0))),0,(index(Res_AllFuels_SEDS_2022_TBtus!$Q$3:$Q$53,match($B62&amp;AX$2,Res_AllFuels_SEDS_2022_TBtus!$B$3:$B$53&amp;Res_AllFuels_SEDS_2022_TBtus!$A$3:$A$53,0))))</f>
        <v>0</v>
      </c>
      <c r="AY62" s="75">
        <f t="array" ref="AY62">IF(ISERROR(index(Res_AllFuels_SEDS_2022_TBtus!$Q$3:$Q$53,match($B62&amp;AY$2,Res_AllFuels_SEDS_2022_TBtus!$B$3:$B$53&amp;Res_AllFuels_SEDS_2022_TBtus!$A$3:$A$53,0))),0,(index(Res_AllFuels_SEDS_2022_TBtus!$Q$3:$Q$53,match($B62&amp;AY$2,Res_AllFuels_SEDS_2022_TBtus!$B$3:$B$53&amp;Res_AllFuels_SEDS_2022_TBtus!$A$3:$A$53,0))))</f>
        <v>0</v>
      </c>
      <c r="AZ62" s="75">
        <f t="array" ref="AZ62">IF(ISERROR(index(Res_AllFuels_SEDS_2022_TBtus!$Q$3:$Q$53,match($B62&amp;AZ$2,Res_AllFuels_SEDS_2022_TBtus!$B$3:$B$53&amp;Res_AllFuels_SEDS_2022_TBtus!$A$3:$A$53,0))),0,(index(Res_AllFuels_SEDS_2022_TBtus!$Q$3:$Q$53,match($B62&amp;AZ$2,Res_AllFuels_SEDS_2022_TBtus!$B$3:$B$53&amp;Res_AllFuels_SEDS_2022_TBtus!$A$3:$A$53,0))))</f>
        <v>0</v>
      </c>
      <c r="BA62" s="75">
        <f t="array" ref="BA62">IF(ISERROR(index(Res_AllFuels_SEDS_2022_TBtus!$Q$3:$Q$53,match($B62&amp;BA$2,Res_AllFuels_SEDS_2022_TBtus!$B$3:$B$53&amp;Res_AllFuels_SEDS_2022_TBtus!$A$3:$A$53,0))),0,(index(Res_AllFuels_SEDS_2022_TBtus!$Q$3:$Q$53,match($B62&amp;BA$2,Res_AllFuels_SEDS_2022_TBtus!$B$3:$B$53&amp;Res_AllFuels_SEDS_2022_TBtus!$A$3:$A$53,0))))</f>
        <v>0</v>
      </c>
      <c r="BB62" s="74">
        <f t="shared" si="9"/>
        <v>44.7</v>
      </c>
    </row>
    <row r="63" ht="15.75" customHeight="1">
      <c r="A63" s="78"/>
      <c r="B63" s="74">
        <v>8.0</v>
      </c>
      <c r="C63" s="75">
        <f t="array" ref="C63">IF(ISERROR(index(Res_AllFuels_SEDS_2022_TBtus!$Q$3:$Q$53,match($B63&amp;C$2,Res_AllFuels_SEDS_2022_TBtus!$B$3:$B$53&amp;Res_AllFuels_SEDS_2022_TBtus!$A$3:$A$53,0))),0,(index(Res_AllFuels_SEDS_2022_TBtus!$Q$3:$Q$53,match($B63&amp;C$2,Res_AllFuels_SEDS_2022_TBtus!$B$3:$B$53&amp;Res_AllFuels_SEDS_2022_TBtus!$A$3:$A$53,0))))</f>
        <v>0</v>
      </c>
      <c r="D63" s="75">
        <f t="array" ref="D63">IF(ISERROR(index(Res_AllFuels_SEDS_2022_TBtus!$Q$3:$Q$53,match($B63&amp;D$2,Res_AllFuels_SEDS_2022_TBtus!$B$3:$B$53&amp;Res_AllFuels_SEDS_2022_TBtus!$A$3:$A$53,0))),0,(index(Res_AllFuels_SEDS_2022_TBtus!$Q$3:$Q$53,match($B63&amp;D$2,Res_AllFuels_SEDS_2022_TBtus!$B$3:$B$53&amp;Res_AllFuels_SEDS_2022_TBtus!$A$3:$A$53,0))))</f>
        <v>0</v>
      </c>
      <c r="E63" s="75">
        <f t="array" ref="E63">IF(ISERROR(index(Res_AllFuels_SEDS_2022_TBtus!$Q$3:$Q$53,match($B63&amp;E$2,Res_AllFuels_SEDS_2022_TBtus!$B$3:$B$53&amp;Res_AllFuels_SEDS_2022_TBtus!$A$3:$A$53,0))),0,(index(Res_AllFuels_SEDS_2022_TBtus!$Q$3:$Q$53,match($B63&amp;E$2,Res_AllFuels_SEDS_2022_TBtus!$B$3:$B$53&amp;Res_AllFuels_SEDS_2022_TBtus!$A$3:$A$53,0))))</f>
        <v>9</v>
      </c>
      <c r="F63" s="75">
        <f t="array" ref="F63">IF(ISERROR(index(Res_AllFuels_SEDS_2022_TBtus!$Q$3:$Q$53,match($B63&amp;F$2,Res_AllFuels_SEDS_2022_TBtus!$B$3:$B$53&amp;Res_AllFuels_SEDS_2022_TBtus!$A$3:$A$53,0))),0,(index(Res_AllFuels_SEDS_2022_TBtus!$Q$3:$Q$53,match($B63&amp;F$2,Res_AllFuels_SEDS_2022_TBtus!$B$3:$B$53&amp;Res_AllFuels_SEDS_2022_TBtus!$A$3:$A$53,0))))</f>
        <v>0</v>
      </c>
      <c r="G63" s="75">
        <f t="array" ref="G63">IF(ISERROR(index(Res_AllFuels_SEDS_2022_TBtus!$Q$3:$Q$53,match($B63&amp;G$2,Res_AllFuels_SEDS_2022_TBtus!$B$3:$B$53&amp;Res_AllFuels_SEDS_2022_TBtus!$A$3:$A$53,0))),0,(index(Res_AllFuels_SEDS_2022_TBtus!$Q$3:$Q$53,match($B63&amp;G$2,Res_AllFuels_SEDS_2022_TBtus!$B$3:$B$53&amp;Res_AllFuels_SEDS_2022_TBtus!$A$3:$A$53,0))))</f>
        <v>0</v>
      </c>
      <c r="H63" s="75">
        <f t="array" ref="H63">IF(ISERROR(index(Res_AllFuels_SEDS_2022_TBtus!$Q$3:$Q$53,match($B63&amp;H$2,Res_AllFuels_SEDS_2022_TBtus!$B$3:$B$53&amp;Res_AllFuels_SEDS_2022_TBtus!$A$3:$A$53,0))),0,(index(Res_AllFuels_SEDS_2022_TBtus!$Q$3:$Q$53,match($B63&amp;H$2,Res_AllFuels_SEDS_2022_TBtus!$B$3:$B$53&amp;Res_AllFuels_SEDS_2022_TBtus!$A$3:$A$53,0))))</f>
        <v>23.7</v>
      </c>
      <c r="I63" s="75">
        <f t="array" ref="I63">IF(ISERROR(index(Res_AllFuels_SEDS_2022_TBtus!$Q$3:$Q$53,match($B63&amp;I$2,Res_AllFuels_SEDS_2022_TBtus!$B$3:$B$53&amp;Res_AllFuels_SEDS_2022_TBtus!$A$3:$A$53,0))),0,(index(Res_AllFuels_SEDS_2022_TBtus!$Q$3:$Q$53,match($B63&amp;I$2,Res_AllFuels_SEDS_2022_TBtus!$B$3:$B$53&amp;Res_AllFuels_SEDS_2022_TBtus!$A$3:$A$53,0))))</f>
        <v>0</v>
      </c>
      <c r="J63" s="75">
        <f t="array" ref="J63">IF(ISERROR(index(Res_AllFuels_SEDS_2022_TBtus!$Q$3:$Q$53,match($B63&amp;J$2,Res_AllFuels_SEDS_2022_TBtus!$B$3:$B$53&amp;Res_AllFuels_SEDS_2022_TBtus!$A$3:$A$53,0))),0,(index(Res_AllFuels_SEDS_2022_TBtus!$Q$3:$Q$53,match($B63&amp;J$2,Res_AllFuels_SEDS_2022_TBtus!$B$3:$B$53&amp;Res_AllFuels_SEDS_2022_TBtus!$A$3:$A$53,0))))</f>
        <v>0</v>
      </c>
      <c r="K63" s="75">
        <f t="array" ref="K63">IF(ISERROR(index(Res_AllFuels_SEDS_2022_TBtus!$Q$3:$Q$53,match($B63&amp;K$2,Res_AllFuels_SEDS_2022_TBtus!$B$3:$B$53&amp;Res_AllFuels_SEDS_2022_TBtus!$A$3:$A$53,0))),0,(index(Res_AllFuels_SEDS_2022_TBtus!$Q$3:$Q$53,match($B63&amp;K$2,Res_AllFuels_SEDS_2022_TBtus!$B$3:$B$53&amp;Res_AllFuels_SEDS_2022_TBtus!$A$3:$A$53,0))))</f>
        <v>0</v>
      </c>
      <c r="L63" s="75">
        <f t="array" ref="L63">IF(ISERROR(index(Res_AllFuels_SEDS_2022_TBtus!$Q$3:$Q$53,match($B63&amp;L$2,Res_AllFuels_SEDS_2022_TBtus!$B$3:$B$53&amp;Res_AllFuels_SEDS_2022_TBtus!$A$3:$A$53,0))),0,(index(Res_AllFuels_SEDS_2022_TBtus!$Q$3:$Q$53,match($B63&amp;L$2,Res_AllFuels_SEDS_2022_TBtus!$B$3:$B$53&amp;Res_AllFuels_SEDS_2022_TBtus!$A$3:$A$53,0))))</f>
        <v>0</v>
      </c>
      <c r="M63" s="75">
        <f t="array" ref="M63">IF(ISERROR(index(Res_AllFuels_SEDS_2022_TBtus!$Q$3:$Q$53,match($B63&amp;M$2,Res_AllFuels_SEDS_2022_TBtus!$B$3:$B$53&amp;Res_AllFuels_SEDS_2022_TBtus!$A$3:$A$53,0))),0,(index(Res_AllFuels_SEDS_2022_TBtus!$Q$3:$Q$53,match($B63&amp;M$2,Res_AllFuels_SEDS_2022_TBtus!$B$3:$B$53&amp;Res_AllFuels_SEDS_2022_TBtus!$A$3:$A$53,0))))</f>
        <v>0</v>
      </c>
      <c r="N63" s="75">
        <f t="array" ref="N63">IF(ISERROR(index(Res_AllFuels_SEDS_2022_TBtus!$Q$3:$Q$53,match($B63&amp;N$2,Res_AllFuels_SEDS_2022_TBtus!$B$3:$B$53&amp;Res_AllFuels_SEDS_2022_TBtus!$A$3:$A$53,0))),0,(index(Res_AllFuels_SEDS_2022_TBtus!$Q$3:$Q$53,match($B63&amp;N$2,Res_AllFuels_SEDS_2022_TBtus!$B$3:$B$53&amp;Res_AllFuels_SEDS_2022_TBtus!$A$3:$A$53,0))))</f>
        <v>0</v>
      </c>
      <c r="O63" s="75">
        <f t="array" ref="O63">IF(ISERROR(index(Res_AllFuels_SEDS_2022_TBtus!$Q$3:$Q$53,match($B63&amp;O$2,Res_AllFuels_SEDS_2022_TBtus!$B$3:$B$53&amp;Res_AllFuels_SEDS_2022_TBtus!$A$3:$A$53,0))),0,(index(Res_AllFuels_SEDS_2022_TBtus!$Q$3:$Q$53,match($B63&amp;O$2,Res_AllFuels_SEDS_2022_TBtus!$B$3:$B$53&amp;Res_AllFuels_SEDS_2022_TBtus!$A$3:$A$53,0))))</f>
        <v>18.9</v>
      </c>
      <c r="P63" s="75">
        <f t="array" ref="P63">IF(ISERROR(index(Res_AllFuels_SEDS_2022_TBtus!$Q$3:$Q$53,match($B63&amp;P$2,Res_AllFuels_SEDS_2022_TBtus!$B$3:$B$53&amp;Res_AllFuels_SEDS_2022_TBtus!$A$3:$A$53,0))),0,(index(Res_AllFuels_SEDS_2022_TBtus!$Q$3:$Q$53,match($B63&amp;P$2,Res_AllFuels_SEDS_2022_TBtus!$B$3:$B$53&amp;Res_AllFuels_SEDS_2022_TBtus!$A$3:$A$53,0))))</f>
        <v>0</v>
      </c>
      <c r="Q63" s="75">
        <f t="array" ref="Q63">IF(ISERROR(index(Res_AllFuels_SEDS_2022_TBtus!$Q$3:$Q$53,match($B63&amp;Q$2,Res_AllFuels_SEDS_2022_TBtus!$B$3:$B$53&amp;Res_AllFuels_SEDS_2022_TBtus!$A$3:$A$53,0))),0,(index(Res_AllFuels_SEDS_2022_TBtus!$Q$3:$Q$53,match($B63&amp;Q$2,Res_AllFuels_SEDS_2022_TBtus!$B$3:$B$53&amp;Res_AllFuels_SEDS_2022_TBtus!$A$3:$A$53,0))))</f>
        <v>0</v>
      </c>
      <c r="R63" s="75">
        <f t="array" ref="R63">IF(ISERROR(index(Res_AllFuels_SEDS_2022_TBtus!$Q$3:$Q$53,match($B63&amp;R$2,Res_AllFuels_SEDS_2022_TBtus!$B$3:$B$53&amp;Res_AllFuels_SEDS_2022_TBtus!$A$3:$A$53,0))),0,(index(Res_AllFuels_SEDS_2022_TBtus!$Q$3:$Q$53,match($B63&amp;R$2,Res_AllFuels_SEDS_2022_TBtus!$B$3:$B$53&amp;Res_AllFuels_SEDS_2022_TBtus!$A$3:$A$53,0))))</f>
        <v>0</v>
      </c>
      <c r="S63" s="75">
        <f t="array" ref="S63">IF(ISERROR(index(Res_AllFuels_SEDS_2022_TBtus!$Q$3:$Q$53,match($B63&amp;S$2,Res_AllFuels_SEDS_2022_TBtus!$B$3:$B$53&amp;Res_AllFuels_SEDS_2022_TBtus!$A$3:$A$53,0))),0,(index(Res_AllFuels_SEDS_2022_TBtus!$Q$3:$Q$53,match($B63&amp;S$2,Res_AllFuels_SEDS_2022_TBtus!$B$3:$B$53&amp;Res_AllFuels_SEDS_2022_TBtus!$A$3:$A$53,0))))</f>
        <v>0</v>
      </c>
      <c r="T63" s="75">
        <f t="array" ref="T63">IF(ISERROR(index(Res_AllFuels_SEDS_2022_TBtus!$Q$3:$Q$53,match($B63&amp;T$2,Res_AllFuels_SEDS_2022_TBtus!$B$3:$B$53&amp;Res_AllFuels_SEDS_2022_TBtus!$A$3:$A$53,0))),0,(index(Res_AllFuels_SEDS_2022_TBtus!$Q$3:$Q$53,match($B63&amp;T$2,Res_AllFuels_SEDS_2022_TBtus!$B$3:$B$53&amp;Res_AllFuels_SEDS_2022_TBtus!$A$3:$A$53,0))))</f>
        <v>0</v>
      </c>
      <c r="U63" s="75">
        <f t="array" ref="U63">IF(ISERROR(index(Res_AllFuels_SEDS_2022_TBtus!$Q$3:$Q$53,match($B63&amp;U$2,Res_AllFuels_SEDS_2022_TBtus!$B$3:$B$53&amp;Res_AllFuels_SEDS_2022_TBtus!$A$3:$A$53,0))),0,(index(Res_AllFuels_SEDS_2022_TBtus!$Q$3:$Q$53,match($B63&amp;U$2,Res_AllFuels_SEDS_2022_TBtus!$B$3:$B$53&amp;Res_AllFuels_SEDS_2022_TBtus!$A$3:$A$53,0))))</f>
        <v>0</v>
      </c>
      <c r="V63" s="75">
        <f t="array" ref="V63">IF(ISERROR(index(Res_AllFuels_SEDS_2022_TBtus!$Q$3:$Q$53,match($B63&amp;V$2,Res_AllFuels_SEDS_2022_TBtus!$B$3:$B$53&amp;Res_AllFuels_SEDS_2022_TBtus!$A$3:$A$53,0))),0,(index(Res_AllFuels_SEDS_2022_TBtus!$Q$3:$Q$53,match($B63&amp;V$2,Res_AllFuels_SEDS_2022_TBtus!$B$3:$B$53&amp;Res_AllFuels_SEDS_2022_TBtus!$A$3:$A$53,0))))</f>
        <v>0</v>
      </c>
      <c r="W63" s="75">
        <f t="array" ref="W63">IF(ISERROR(index(Res_AllFuels_SEDS_2022_TBtus!$Q$3:$Q$53,match($B63&amp;W$2,Res_AllFuels_SEDS_2022_TBtus!$B$3:$B$53&amp;Res_AllFuels_SEDS_2022_TBtus!$A$3:$A$53,0))),0,(index(Res_AllFuels_SEDS_2022_TBtus!$Q$3:$Q$53,match($B63&amp;W$2,Res_AllFuels_SEDS_2022_TBtus!$B$3:$B$53&amp;Res_AllFuels_SEDS_2022_TBtus!$A$3:$A$53,0))))</f>
        <v>0</v>
      </c>
      <c r="X63" s="75">
        <f t="array" ref="X63">IF(ISERROR(index(Res_AllFuels_SEDS_2022_TBtus!$Q$3:$Q$53,match($B63&amp;X$2,Res_AllFuels_SEDS_2022_TBtus!$B$3:$B$53&amp;Res_AllFuels_SEDS_2022_TBtus!$A$3:$A$53,0))),0,(index(Res_AllFuels_SEDS_2022_TBtus!$Q$3:$Q$53,match($B63&amp;X$2,Res_AllFuels_SEDS_2022_TBtus!$B$3:$B$53&amp;Res_AllFuels_SEDS_2022_TBtus!$A$3:$A$53,0))))</f>
        <v>0</v>
      </c>
      <c r="Y63" s="75">
        <f t="array" ref="Y63">IF(ISERROR(index(Res_AllFuels_SEDS_2022_TBtus!$Q$3:$Q$53,match($B63&amp;Y$2,Res_AllFuels_SEDS_2022_TBtus!$B$3:$B$53&amp;Res_AllFuels_SEDS_2022_TBtus!$A$3:$A$53,0))),0,(index(Res_AllFuels_SEDS_2022_TBtus!$Q$3:$Q$53,match($B63&amp;Y$2,Res_AllFuels_SEDS_2022_TBtus!$B$3:$B$53&amp;Res_AllFuels_SEDS_2022_TBtus!$A$3:$A$53,0))))</f>
        <v>0</v>
      </c>
      <c r="Z63" s="75">
        <f t="array" ref="Z63">IF(ISERROR(index(Res_AllFuels_SEDS_2022_TBtus!$Q$3:$Q$53,match($B63&amp;Z$2,Res_AllFuels_SEDS_2022_TBtus!$B$3:$B$53&amp;Res_AllFuels_SEDS_2022_TBtus!$A$3:$A$53,0))),0,(index(Res_AllFuels_SEDS_2022_TBtus!$Q$3:$Q$53,match($B63&amp;Z$2,Res_AllFuels_SEDS_2022_TBtus!$B$3:$B$53&amp;Res_AllFuels_SEDS_2022_TBtus!$A$3:$A$53,0))))</f>
        <v>0</v>
      </c>
      <c r="AA63" s="75">
        <f t="array" ref="AA63">IF(ISERROR(index(Res_AllFuels_SEDS_2022_TBtus!$Q$3:$Q$53,match($B63&amp;AA$2,Res_AllFuels_SEDS_2022_TBtus!$B$3:$B$53&amp;Res_AllFuels_SEDS_2022_TBtus!$A$3:$A$53,0))),0,(index(Res_AllFuels_SEDS_2022_TBtus!$Q$3:$Q$53,match($B63&amp;AA$2,Res_AllFuels_SEDS_2022_TBtus!$B$3:$B$53&amp;Res_AllFuels_SEDS_2022_TBtus!$A$3:$A$53,0))))</f>
        <v>0</v>
      </c>
      <c r="AB63" s="75">
        <f t="array" ref="AB63">IF(ISERROR(index(Res_AllFuels_SEDS_2022_TBtus!$Q$3:$Q$53,match($B63&amp;AB$2,Res_AllFuels_SEDS_2022_TBtus!$B$3:$B$53&amp;Res_AllFuels_SEDS_2022_TBtus!$A$3:$A$53,0))),0,(index(Res_AllFuels_SEDS_2022_TBtus!$Q$3:$Q$53,match($B63&amp;AB$2,Res_AllFuels_SEDS_2022_TBtus!$B$3:$B$53&amp;Res_AllFuels_SEDS_2022_TBtus!$A$3:$A$53,0))))</f>
        <v>0</v>
      </c>
      <c r="AC63" s="75">
        <f t="array" ref="AC63">IF(ISERROR(index(Res_AllFuels_SEDS_2022_TBtus!$Q$3:$Q$53,match($B63&amp;AC$2,Res_AllFuels_SEDS_2022_TBtus!$B$3:$B$53&amp;Res_AllFuels_SEDS_2022_TBtus!$A$3:$A$53,0))),0,(index(Res_AllFuels_SEDS_2022_TBtus!$Q$3:$Q$53,match($B63&amp;AC$2,Res_AllFuels_SEDS_2022_TBtus!$B$3:$B$53&amp;Res_AllFuels_SEDS_2022_TBtus!$A$3:$A$53,0))))</f>
        <v>21.9</v>
      </c>
      <c r="AD63" s="75">
        <f t="array" ref="AD63">IF(ISERROR(index(Res_AllFuels_SEDS_2022_TBtus!$Q$3:$Q$53,match($B63&amp;AD$2,Res_AllFuels_SEDS_2022_TBtus!$B$3:$B$53&amp;Res_AllFuels_SEDS_2022_TBtus!$A$3:$A$53,0))),0,(index(Res_AllFuels_SEDS_2022_TBtus!$Q$3:$Q$53,match($B63&amp;AD$2,Res_AllFuels_SEDS_2022_TBtus!$B$3:$B$53&amp;Res_AllFuels_SEDS_2022_TBtus!$A$3:$A$53,0))))</f>
        <v>0</v>
      </c>
      <c r="AE63" s="75">
        <f t="array" ref="AE63">IF(ISERROR(index(Res_AllFuels_SEDS_2022_TBtus!$Q$3:$Q$53,match($B63&amp;AE$2,Res_AllFuels_SEDS_2022_TBtus!$B$3:$B$53&amp;Res_AllFuels_SEDS_2022_TBtus!$A$3:$A$53,0))),0,(index(Res_AllFuels_SEDS_2022_TBtus!$Q$3:$Q$53,match($B63&amp;AE$2,Res_AllFuels_SEDS_2022_TBtus!$B$3:$B$53&amp;Res_AllFuels_SEDS_2022_TBtus!$A$3:$A$53,0))))</f>
        <v>4.1</v>
      </c>
      <c r="AF63" s="75">
        <f t="array" ref="AF63">IF(ISERROR(index(Res_AllFuels_SEDS_2022_TBtus!$Q$3:$Q$53,match($B63&amp;AF$2,Res_AllFuels_SEDS_2022_TBtus!$B$3:$B$53&amp;Res_AllFuels_SEDS_2022_TBtus!$A$3:$A$53,0))),0,(index(Res_AllFuels_SEDS_2022_TBtus!$Q$3:$Q$53,match($B63&amp;AF$2,Res_AllFuels_SEDS_2022_TBtus!$B$3:$B$53&amp;Res_AllFuels_SEDS_2022_TBtus!$A$3:$A$53,0))))</f>
        <v>0</v>
      </c>
      <c r="AG63" s="75">
        <f t="array" ref="AG63">IF(ISERROR(index(Res_AllFuels_SEDS_2022_TBtus!$Q$3:$Q$53,match($B63&amp;AG$2,Res_AllFuels_SEDS_2022_TBtus!$B$3:$B$53&amp;Res_AllFuels_SEDS_2022_TBtus!$A$3:$A$53,0))),0,(index(Res_AllFuels_SEDS_2022_TBtus!$Q$3:$Q$53,match($B63&amp;AG$2,Res_AllFuels_SEDS_2022_TBtus!$B$3:$B$53&amp;Res_AllFuels_SEDS_2022_TBtus!$A$3:$A$53,0))))</f>
        <v>0</v>
      </c>
      <c r="AH63" s="75">
        <f t="array" ref="AH63">IF(ISERROR(index(Res_AllFuels_SEDS_2022_TBtus!$Q$3:$Q$53,match($B63&amp;AH$2,Res_AllFuels_SEDS_2022_TBtus!$B$3:$B$53&amp;Res_AllFuels_SEDS_2022_TBtus!$A$3:$A$53,0))),0,(index(Res_AllFuels_SEDS_2022_TBtus!$Q$3:$Q$53,match($B63&amp;AH$2,Res_AllFuels_SEDS_2022_TBtus!$B$3:$B$53&amp;Res_AllFuels_SEDS_2022_TBtus!$A$3:$A$53,0))))</f>
        <v>15.3</v>
      </c>
      <c r="AI63" s="75">
        <f t="array" ref="AI63">IF(ISERROR(index(Res_AllFuels_SEDS_2022_TBtus!$Q$3:$Q$53,match($B63&amp;AI$2,Res_AllFuels_SEDS_2022_TBtus!$B$3:$B$53&amp;Res_AllFuels_SEDS_2022_TBtus!$A$3:$A$53,0))),0,(index(Res_AllFuels_SEDS_2022_TBtus!$Q$3:$Q$53,match($B63&amp;AI$2,Res_AllFuels_SEDS_2022_TBtus!$B$3:$B$53&amp;Res_AllFuels_SEDS_2022_TBtus!$A$3:$A$53,0))))</f>
        <v>0</v>
      </c>
      <c r="AJ63" s="75">
        <f t="array" ref="AJ63">IF(ISERROR(index(Res_AllFuels_SEDS_2022_TBtus!$Q$3:$Q$53,match($B63&amp;AJ$2,Res_AllFuels_SEDS_2022_TBtus!$B$3:$B$53&amp;Res_AllFuels_SEDS_2022_TBtus!$A$3:$A$53,0))),0,(index(Res_AllFuels_SEDS_2022_TBtus!$Q$3:$Q$53,match($B63&amp;AJ$2,Res_AllFuels_SEDS_2022_TBtus!$B$3:$B$53&amp;Res_AllFuels_SEDS_2022_TBtus!$A$3:$A$53,0))))</f>
        <v>0</v>
      </c>
      <c r="AK63" s="75">
        <f t="array" ref="AK63">IF(ISERROR(index(Res_AllFuels_SEDS_2022_TBtus!$Q$3:$Q$53,match($B63&amp;AK$2,Res_AllFuels_SEDS_2022_TBtus!$B$3:$B$53&amp;Res_AllFuels_SEDS_2022_TBtus!$A$3:$A$53,0))),0,(index(Res_AllFuels_SEDS_2022_TBtus!$Q$3:$Q$53,match($B63&amp;AK$2,Res_AllFuels_SEDS_2022_TBtus!$B$3:$B$53&amp;Res_AllFuels_SEDS_2022_TBtus!$A$3:$A$53,0))))</f>
        <v>0</v>
      </c>
      <c r="AL63" s="75">
        <f t="array" ref="AL63">IF(ISERROR(index(Res_AllFuels_SEDS_2022_TBtus!$Q$3:$Q$53,match($B63&amp;AL$2,Res_AllFuels_SEDS_2022_TBtus!$B$3:$B$53&amp;Res_AllFuels_SEDS_2022_TBtus!$A$3:$A$53,0))),0,(index(Res_AllFuels_SEDS_2022_TBtus!$Q$3:$Q$53,match($B63&amp;AL$2,Res_AllFuels_SEDS_2022_TBtus!$B$3:$B$53&amp;Res_AllFuels_SEDS_2022_TBtus!$A$3:$A$53,0))))</f>
        <v>0</v>
      </c>
      <c r="AM63" s="75">
        <f t="array" ref="AM63">IF(ISERROR(index(Res_AllFuels_SEDS_2022_TBtus!$Q$3:$Q$53,match($B63&amp;AM$2,Res_AllFuels_SEDS_2022_TBtus!$B$3:$B$53&amp;Res_AllFuels_SEDS_2022_TBtus!$A$3:$A$53,0))),0,(index(Res_AllFuels_SEDS_2022_TBtus!$Q$3:$Q$53,match($B63&amp;AM$2,Res_AllFuels_SEDS_2022_TBtus!$B$3:$B$53&amp;Res_AllFuels_SEDS_2022_TBtus!$A$3:$A$53,0))))</f>
        <v>0</v>
      </c>
      <c r="AN63" s="75">
        <f t="array" ref="AN63">IF(ISERROR(index(Res_AllFuels_SEDS_2022_TBtus!$Q$3:$Q$53,match($B63&amp;AN$2,Res_AllFuels_SEDS_2022_TBtus!$B$3:$B$53&amp;Res_AllFuels_SEDS_2022_TBtus!$A$3:$A$53,0))),0,(index(Res_AllFuels_SEDS_2022_TBtus!$Q$3:$Q$53,match($B63&amp;AN$2,Res_AllFuels_SEDS_2022_TBtus!$B$3:$B$53&amp;Res_AllFuels_SEDS_2022_TBtus!$A$3:$A$53,0))))</f>
        <v>0</v>
      </c>
      <c r="AO63" s="75">
        <f t="array" ref="AO63">IF(ISERROR(index(Res_AllFuels_SEDS_2022_TBtus!$Q$3:$Q$53,match($B63&amp;AO$2,Res_AllFuels_SEDS_2022_TBtus!$B$3:$B$53&amp;Res_AllFuels_SEDS_2022_TBtus!$A$3:$A$53,0))),0,(index(Res_AllFuels_SEDS_2022_TBtus!$Q$3:$Q$53,match($B63&amp;AO$2,Res_AllFuels_SEDS_2022_TBtus!$B$3:$B$53&amp;Res_AllFuels_SEDS_2022_TBtus!$A$3:$A$53,0))))</f>
        <v>0</v>
      </c>
      <c r="AP63" s="75">
        <f t="array" ref="AP63">IF(ISERROR(index(Res_AllFuels_SEDS_2022_TBtus!$Q$3:$Q$53,match($B63&amp;AP$2,Res_AllFuels_SEDS_2022_TBtus!$B$3:$B$53&amp;Res_AllFuels_SEDS_2022_TBtus!$A$3:$A$53,0))),0,(index(Res_AllFuels_SEDS_2022_TBtus!$Q$3:$Q$53,match($B63&amp;AP$2,Res_AllFuels_SEDS_2022_TBtus!$B$3:$B$53&amp;Res_AllFuels_SEDS_2022_TBtus!$A$3:$A$53,0))))</f>
        <v>0</v>
      </c>
      <c r="AQ63" s="75">
        <f t="array" ref="AQ63">IF(ISERROR(index(Res_AllFuels_SEDS_2022_TBtus!$Q$3:$Q$53,match($B63&amp;AQ$2,Res_AllFuels_SEDS_2022_TBtus!$B$3:$B$53&amp;Res_AllFuels_SEDS_2022_TBtus!$A$3:$A$53,0))),0,(index(Res_AllFuels_SEDS_2022_TBtus!$Q$3:$Q$53,match($B63&amp;AQ$2,Res_AllFuels_SEDS_2022_TBtus!$B$3:$B$53&amp;Res_AllFuels_SEDS_2022_TBtus!$A$3:$A$53,0))))</f>
        <v>0</v>
      </c>
      <c r="AR63" s="75">
        <f t="array" ref="AR63">IF(ISERROR(index(Res_AllFuels_SEDS_2022_TBtus!$Q$3:$Q$53,match($B63&amp;AR$2,Res_AllFuels_SEDS_2022_TBtus!$B$3:$B$53&amp;Res_AllFuels_SEDS_2022_TBtus!$A$3:$A$53,0))),0,(index(Res_AllFuels_SEDS_2022_TBtus!$Q$3:$Q$53,match($B63&amp;AR$2,Res_AllFuels_SEDS_2022_TBtus!$B$3:$B$53&amp;Res_AllFuels_SEDS_2022_TBtus!$A$3:$A$53,0))))</f>
        <v>0</v>
      </c>
      <c r="AS63" s="75">
        <f t="array" ref="AS63">IF(ISERROR(index(Res_AllFuels_SEDS_2022_TBtus!$Q$3:$Q$53,match($B63&amp;AS$2,Res_AllFuels_SEDS_2022_TBtus!$B$3:$B$53&amp;Res_AllFuels_SEDS_2022_TBtus!$A$3:$A$53,0))),0,(index(Res_AllFuels_SEDS_2022_TBtus!$Q$3:$Q$53,match($B63&amp;AS$2,Res_AllFuels_SEDS_2022_TBtus!$B$3:$B$53&amp;Res_AllFuels_SEDS_2022_TBtus!$A$3:$A$53,0))))</f>
        <v>0</v>
      </c>
      <c r="AT63" s="75">
        <f t="array" ref="AT63">IF(ISERROR(index(Res_AllFuels_SEDS_2022_TBtus!$Q$3:$Q$53,match($B63&amp;AT$2,Res_AllFuels_SEDS_2022_TBtus!$B$3:$B$53&amp;Res_AllFuels_SEDS_2022_TBtus!$A$3:$A$53,0))),0,(index(Res_AllFuels_SEDS_2022_TBtus!$Q$3:$Q$53,match($B63&amp;AT$2,Res_AllFuels_SEDS_2022_TBtus!$B$3:$B$53&amp;Res_AllFuels_SEDS_2022_TBtus!$A$3:$A$53,0))))</f>
        <v>0</v>
      </c>
      <c r="AU63" s="75">
        <f t="array" ref="AU63">IF(ISERROR(index(Res_AllFuels_SEDS_2022_TBtus!$Q$3:$Q$53,match($B63&amp;AU$2,Res_AllFuels_SEDS_2022_TBtus!$B$3:$B$53&amp;Res_AllFuels_SEDS_2022_TBtus!$A$3:$A$53,0))),0,(index(Res_AllFuels_SEDS_2022_TBtus!$Q$3:$Q$53,match($B63&amp;AU$2,Res_AllFuels_SEDS_2022_TBtus!$B$3:$B$53&amp;Res_AllFuels_SEDS_2022_TBtus!$A$3:$A$53,0))))</f>
        <v>4.8</v>
      </c>
      <c r="AV63" s="75">
        <f t="array" ref="AV63">IF(ISERROR(index(Res_AllFuels_SEDS_2022_TBtus!$Q$3:$Q$53,match($B63&amp;AV$2,Res_AllFuels_SEDS_2022_TBtus!$B$3:$B$53&amp;Res_AllFuels_SEDS_2022_TBtus!$A$3:$A$53,0))),0,(index(Res_AllFuels_SEDS_2022_TBtus!$Q$3:$Q$53,match($B63&amp;AV$2,Res_AllFuels_SEDS_2022_TBtus!$B$3:$B$53&amp;Res_AllFuels_SEDS_2022_TBtus!$A$3:$A$53,0))))</f>
        <v>0</v>
      </c>
      <c r="AW63" s="75">
        <f t="array" ref="AW63">IF(ISERROR(index(Res_AllFuels_SEDS_2022_TBtus!$Q$3:$Q$53,match($B63&amp;AW$2,Res_AllFuels_SEDS_2022_TBtus!$B$3:$B$53&amp;Res_AllFuels_SEDS_2022_TBtus!$A$3:$A$53,0))),0,(index(Res_AllFuels_SEDS_2022_TBtus!$Q$3:$Q$53,match($B63&amp;AW$2,Res_AllFuels_SEDS_2022_TBtus!$B$3:$B$53&amp;Res_AllFuels_SEDS_2022_TBtus!$A$3:$A$53,0))))</f>
        <v>0</v>
      </c>
      <c r="AX63" s="75">
        <f t="array" ref="AX63">IF(ISERROR(index(Res_AllFuels_SEDS_2022_TBtus!$Q$3:$Q$53,match($B63&amp;AX$2,Res_AllFuels_SEDS_2022_TBtus!$B$3:$B$53&amp;Res_AllFuels_SEDS_2022_TBtus!$A$3:$A$53,0))),0,(index(Res_AllFuels_SEDS_2022_TBtus!$Q$3:$Q$53,match($B63&amp;AX$2,Res_AllFuels_SEDS_2022_TBtus!$B$3:$B$53&amp;Res_AllFuels_SEDS_2022_TBtus!$A$3:$A$53,0))))</f>
        <v>0</v>
      </c>
      <c r="AY63" s="75">
        <f t="array" ref="AY63">IF(ISERROR(index(Res_AllFuels_SEDS_2022_TBtus!$Q$3:$Q$53,match($B63&amp;AY$2,Res_AllFuels_SEDS_2022_TBtus!$B$3:$B$53&amp;Res_AllFuels_SEDS_2022_TBtus!$A$3:$A$53,0))),0,(index(Res_AllFuels_SEDS_2022_TBtus!$Q$3:$Q$53,match($B63&amp;AY$2,Res_AllFuels_SEDS_2022_TBtus!$B$3:$B$53&amp;Res_AllFuels_SEDS_2022_TBtus!$A$3:$A$53,0))))</f>
        <v>0</v>
      </c>
      <c r="AZ63" s="75">
        <f t="array" ref="AZ63">IF(ISERROR(index(Res_AllFuels_SEDS_2022_TBtus!$Q$3:$Q$53,match($B63&amp;AZ$2,Res_AllFuels_SEDS_2022_TBtus!$B$3:$B$53&amp;Res_AllFuels_SEDS_2022_TBtus!$A$3:$A$53,0))),0,(index(Res_AllFuels_SEDS_2022_TBtus!$Q$3:$Q$53,match($B63&amp;AZ$2,Res_AllFuels_SEDS_2022_TBtus!$B$3:$B$53&amp;Res_AllFuels_SEDS_2022_TBtus!$A$3:$A$53,0))))</f>
        <v>0</v>
      </c>
      <c r="BA63" s="75">
        <f t="array" ref="BA63">IF(ISERROR(index(Res_AllFuels_SEDS_2022_TBtus!$Q$3:$Q$53,match($B63&amp;BA$2,Res_AllFuels_SEDS_2022_TBtus!$B$3:$B$53&amp;Res_AllFuels_SEDS_2022_TBtus!$A$3:$A$53,0))),0,(index(Res_AllFuels_SEDS_2022_TBtus!$Q$3:$Q$53,match($B63&amp;BA$2,Res_AllFuels_SEDS_2022_TBtus!$B$3:$B$53&amp;Res_AllFuels_SEDS_2022_TBtus!$A$3:$A$53,0))))</f>
        <v>7.7</v>
      </c>
      <c r="BB63" s="74">
        <f t="shared" si="9"/>
        <v>105.4</v>
      </c>
    </row>
    <row r="64" ht="15.75" customHeight="1">
      <c r="A64" s="78"/>
      <c r="B64" s="74">
        <v>9.0</v>
      </c>
      <c r="C64" s="75">
        <f t="array" ref="C64">IF(ISERROR(index(Res_AllFuels_SEDS_2022_TBtus!$Q$3:$Q$53,match($B64&amp;C$2,Res_AllFuels_SEDS_2022_TBtus!$B$3:$B$53&amp;Res_AllFuels_SEDS_2022_TBtus!$A$3:$A$53,0))),0,(index(Res_AllFuels_SEDS_2022_TBtus!$Q$3:$Q$53,match($B64&amp;C$2,Res_AllFuels_SEDS_2022_TBtus!$B$3:$B$53&amp;Res_AllFuels_SEDS_2022_TBtus!$A$3:$A$53,0))))</f>
        <v>0</v>
      </c>
      <c r="D64" s="75">
        <f t="array" ref="D64">IF(ISERROR(index(Res_AllFuels_SEDS_2022_TBtus!$Q$3:$Q$53,match($B64&amp;D$2,Res_AllFuels_SEDS_2022_TBtus!$B$3:$B$53&amp;Res_AllFuels_SEDS_2022_TBtus!$A$3:$A$53,0))),0,(index(Res_AllFuels_SEDS_2022_TBtus!$Q$3:$Q$53,match($B64&amp;D$2,Res_AllFuels_SEDS_2022_TBtus!$B$3:$B$53&amp;Res_AllFuels_SEDS_2022_TBtus!$A$3:$A$53,0))))</f>
        <v>6.4</v>
      </c>
      <c r="E64" s="75">
        <f t="array" ref="E64">IF(ISERROR(index(Res_AllFuels_SEDS_2022_TBtus!$Q$3:$Q$53,match($B64&amp;E$2,Res_AllFuels_SEDS_2022_TBtus!$B$3:$B$53&amp;Res_AllFuels_SEDS_2022_TBtus!$A$3:$A$53,0))),0,(index(Res_AllFuels_SEDS_2022_TBtus!$Q$3:$Q$53,match($B64&amp;E$2,Res_AllFuels_SEDS_2022_TBtus!$B$3:$B$53&amp;Res_AllFuels_SEDS_2022_TBtus!$A$3:$A$53,0))))</f>
        <v>0</v>
      </c>
      <c r="F64" s="75">
        <f t="array" ref="F64">IF(ISERROR(index(Res_AllFuels_SEDS_2022_TBtus!$Q$3:$Q$53,match($B64&amp;F$2,Res_AllFuels_SEDS_2022_TBtus!$B$3:$B$53&amp;Res_AllFuels_SEDS_2022_TBtus!$A$3:$A$53,0))),0,(index(Res_AllFuels_SEDS_2022_TBtus!$Q$3:$Q$53,match($B64&amp;F$2,Res_AllFuels_SEDS_2022_TBtus!$B$3:$B$53&amp;Res_AllFuels_SEDS_2022_TBtus!$A$3:$A$53,0))))</f>
        <v>0</v>
      </c>
      <c r="G64" s="75">
        <f t="array" ref="G64">IF(ISERROR(index(Res_AllFuels_SEDS_2022_TBtus!$Q$3:$Q$53,match($B64&amp;G$2,Res_AllFuels_SEDS_2022_TBtus!$B$3:$B$53&amp;Res_AllFuels_SEDS_2022_TBtus!$A$3:$A$53,0))),0,(index(Res_AllFuels_SEDS_2022_TBtus!$Q$3:$Q$53,match($B64&amp;G$2,Res_AllFuels_SEDS_2022_TBtus!$B$3:$B$53&amp;Res_AllFuels_SEDS_2022_TBtus!$A$3:$A$53,0))))</f>
        <v>42.8</v>
      </c>
      <c r="H64" s="75">
        <f t="array" ref="H64">IF(ISERROR(index(Res_AllFuels_SEDS_2022_TBtus!$Q$3:$Q$53,match($B64&amp;H$2,Res_AllFuels_SEDS_2022_TBtus!$B$3:$B$53&amp;Res_AllFuels_SEDS_2022_TBtus!$A$3:$A$53,0))),0,(index(Res_AllFuels_SEDS_2022_TBtus!$Q$3:$Q$53,match($B64&amp;H$2,Res_AllFuels_SEDS_2022_TBtus!$B$3:$B$53&amp;Res_AllFuels_SEDS_2022_TBtus!$A$3:$A$53,0))))</f>
        <v>0</v>
      </c>
      <c r="I64" s="75">
        <f t="array" ref="I64">IF(ISERROR(index(Res_AllFuels_SEDS_2022_TBtus!$Q$3:$Q$53,match($B64&amp;I$2,Res_AllFuels_SEDS_2022_TBtus!$B$3:$B$53&amp;Res_AllFuels_SEDS_2022_TBtus!$A$3:$A$53,0))),0,(index(Res_AllFuels_SEDS_2022_TBtus!$Q$3:$Q$53,match($B64&amp;I$2,Res_AllFuels_SEDS_2022_TBtus!$B$3:$B$53&amp;Res_AllFuels_SEDS_2022_TBtus!$A$3:$A$53,0))))</f>
        <v>0</v>
      </c>
      <c r="J64" s="75">
        <f t="array" ref="J64">IF(ISERROR(index(Res_AllFuels_SEDS_2022_TBtus!$Q$3:$Q$53,match($B64&amp;J$2,Res_AllFuels_SEDS_2022_TBtus!$B$3:$B$53&amp;Res_AllFuels_SEDS_2022_TBtus!$A$3:$A$53,0))),0,(index(Res_AllFuels_SEDS_2022_TBtus!$Q$3:$Q$53,match($B64&amp;J$2,Res_AllFuels_SEDS_2022_TBtus!$B$3:$B$53&amp;Res_AllFuels_SEDS_2022_TBtus!$A$3:$A$53,0))))</f>
        <v>0</v>
      </c>
      <c r="K64" s="75">
        <f t="array" ref="K64">IF(ISERROR(index(Res_AllFuels_SEDS_2022_TBtus!$Q$3:$Q$53,match($B64&amp;K$2,Res_AllFuels_SEDS_2022_TBtus!$B$3:$B$53&amp;Res_AllFuels_SEDS_2022_TBtus!$A$3:$A$53,0))),0,(index(Res_AllFuels_SEDS_2022_TBtus!$Q$3:$Q$53,match($B64&amp;K$2,Res_AllFuels_SEDS_2022_TBtus!$B$3:$B$53&amp;Res_AllFuels_SEDS_2022_TBtus!$A$3:$A$53,0))))</f>
        <v>0</v>
      </c>
      <c r="L64" s="75">
        <f t="array" ref="L64">IF(ISERROR(index(Res_AllFuels_SEDS_2022_TBtus!$Q$3:$Q$53,match($B64&amp;L$2,Res_AllFuels_SEDS_2022_TBtus!$B$3:$B$53&amp;Res_AllFuels_SEDS_2022_TBtus!$A$3:$A$53,0))),0,(index(Res_AllFuels_SEDS_2022_TBtus!$Q$3:$Q$53,match($B64&amp;L$2,Res_AllFuels_SEDS_2022_TBtus!$B$3:$B$53&amp;Res_AllFuels_SEDS_2022_TBtus!$A$3:$A$53,0))))</f>
        <v>0</v>
      </c>
      <c r="M64" s="75">
        <f t="array" ref="M64">IF(ISERROR(index(Res_AllFuels_SEDS_2022_TBtus!$Q$3:$Q$53,match($B64&amp;M$2,Res_AllFuels_SEDS_2022_TBtus!$B$3:$B$53&amp;Res_AllFuels_SEDS_2022_TBtus!$A$3:$A$53,0))),0,(index(Res_AllFuels_SEDS_2022_TBtus!$Q$3:$Q$53,match($B64&amp;M$2,Res_AllFuels_SEDS_2022_TBtus!$B$3:$B$53&amp;Res_AllFuels_SEDS_2022_TBtus!$A$3:$A$53,0))))</f>
        <v>0</v>
      </c>
      <c r="N64" s="75">
        <f t="array" ref="N64">IF(ISERROR(index(Res_AllFuels_SEDS_2022_TBtus!$Q$3:$Q$53,match($B64&amp;N$2,Res_AllFuels_SEDS_2022_TBtus!$B$3:$B$53&amp;Res_AllFuels_SEDS_2022_TBtus!$A$3:$A$53,0))),0,(index(Res_AllFuels_SEDS_2022_TBtus!$Q$3:$Q$53,match($B64&amp;N$2,Res_AllFuels_SEDS_2022_TBtus!$B$3:$B$53&amp;Res_AllFuels_SEDS_2022_TBtus!$A$3:$A$53,0))))</f>
        <v>0.6</v>
      </c>
      <c r="O64" s="75">
        <f t="array" ref="O64">IF(ISERROR(index(Res_AllFuels_SEDS_2022_TBtus!$Q$3:$Q$53,match($B64&amp;O$2,Res_AllFuels_SEDS_2022_TBtus!$B$3:$B$53&amp;Res_AllFuels_SEDS_2022_TBtus!$A$3:$A$53,0))),0,(index(Res_AllFuels_SEDS_2022_TBtus!$Q$3:$Q$53,match($B64&amp;O$2,Res_AllFuels_SEDS_2022_TBtus!$B$3:$B$53&amp;Res_AllFuels_SEDS_2022_TBtus!$A$3:$A$53,0))))</f>
        <v>0</v>
      </c>
      <c r="P64" s="75">
        <f t="array" ref="P64">IF(ISERROR(index(Res_AllFuels_SEDS_2022_TBtus!$Q$3:$Q$53,match($B64&amp;P$2,Res_AllFuels_SEDS_2022_TBtus!$B$3:$B$53&amp;Res_AllFuels_SEDS_2022_TBtus!$A$3:$A$53,0))),0,(index(Res_AllFuels_SEDS_2022_TBtus!$Q$3:$Q$53,match($B64&amp;P$2,Res_AllFuels_SEDS_2022_TBtus!$B$3:$B$53&amp;Res_AllFuels_SEDS_2022_TBtus!$A$3:$A$53,0))))</f>
        <v>0</v>
      </c>
      <c r="Q64" s="75">
        <f t="array" ref="Q64">IF(ISERROR(index(Res_AllFuels_SEDS_2022_TBtus!$Q$3:$Q$53,match($B64&amp;Q$2,Res_AllFuels_SEDS_2022_TBtus!$B$3:$B$53&amp;Res_AllFuels_SEDS_2022_TBtus!$A$3:$A$53,0))),0,(index(Res_AllFuels_SEDS_2022_TBtus!$Q$3:$Q$53,match($B64&amp;Q$2,Res_AllFuels_SEDS_2022_TBtus!$B$3:$B$53&amp;Res_AllFuels_SEDS_2022_TBtus!$A$3:$A$53,0))))</f>
        <v>0</v>
      </c>
      <c r="R64" s="75">
        <f t="array" ref="R64">IF(ISERROR(index(Res_AllFuels_SEDS_2022_TBtus!$Q$3:$Q$53,match($B64&amp;R$2,Res_AllFuels_SEDS_2022_TBtus!$B$3:$B$53&amp;Res_AllFuels_SEDS_2022_TBtus!$A$3:$A$53,0))),0,(index(Res_AllFuels_SEDS_2022_TBtus!$Q$3:$Q$53,match($B64&amp;R$2,Res_AllFuels_SEDS_2022_TBtus!$B$3:$B$53&amp;Res_AllFuels_SEDS_2022_TBtus!$A$3:$A$53,0))))</f>
        <v>0</v>
      </c>
      <c r="S64" s="75">
        <f t="array" ref="S64">IF(ISERROR(index(Res_AllFuels_SEDS_2022_TBtus!$Q$3:$Q$53,match($B64&amp;S$2,Res_AllFuels_SEDS_2022_TBtus!$B$3:$B$53&amp;Res_AllFuels_SEDS_2022_TBtus!$A$3:$A$53,0))),0,(index(Res_AllFuels_SEDS_2022_TBtus!$Q$3:$Q$53,match($B64&amp;S$2,Res_AllFuels_SEDS_2022_TBtus!$B$3:$B$53&amp;Res_AllFuels_SEDS_2022_TBtus!$A$3:$A$53,0))))</f>
        <v>0</v>
      </c>
      <c r="T64" s="75">
        <f t="array" ref="T64">IF(ISERROR(index(Res_AllFuels_SEDS_2022_TBtus!$Q$3:$Q$53,match($B64&amp;T$2,Res_AllFuels_SEDS_2022_TBtus!$B$3:$B$53&amp;Res_AllFuels_SEDS_2022_TBtus!$A$3:$A$53,0))),0,(index(Res_AllFuels_SEDS_2022_TBtus!$Q$3:$Q$53,match($B64&amp;T$2,Res_AllFuels_SEDS_2022_TBtus!$B$3:$B$53&amp;Res_AllFuels_SEDS_2022_TBtus!$A$3:$A$53,0))))</f>
        <v>0</v>
      </c>
      <c r="U64" s="75">
        <f t="array" ref="U64">IF(ISERROR(index(Res_AllFuels_SEDS_2022_TBtus!$Q$3:$Q$53,match($B64&amp;U$2,Res_AllFuels_SEDS_2022_TBtus!$B$3:$B$53&amp;Res_AllFuels_SEDS_2022_TBtus!$A$3:$A$53,0))),0,(index(Res_AllFuels_SEDS_2022_TBtus!$Q$3:$Q$53,match($B64&amp;U$2,Res_AllFuels_SEDS_2022_TBtus!$B$3:$B$53&amp;Res_AllFuels_SEDS_2022_TBtus!$A$3:$A$53,0))))</f>
        <v>0</v>
      </c>
      <c r="V64" s="75">
        <f t="array" ref="V64">IF(ISERROR(index(Res_AllFuels_SEDS_2022_TBtus!$Q$3:$Q$53,match($B64&amp;V$2,Res_AllFuels_SEDS_2022_TBtus!$B$3:$B$53&amp;Res_AllFuels_SEDS_2022_TBtus!$A$3:$A$53,0))),0,(index(Res_AllFuels_SEDS_2022_TBtus!$Q$3:$Q$53,match($B64&amp;V$2,Res_AllFuels_SEDS_2022_TBtus!$B$3:$B$53&amp;Res_AllFuels_SEDS_2022_TBtus!$A$3:$A$53,0))))</f>
        <v>0</v>
      </c>
      <c r="W64" s="75">
        <f t="array" ref="W64">IF(ISERROR(index(Res_AllFuels_SEDS_2022_TBtus!$Q$3:$Q$53,match($B64&amp;W$2,Res_AllFuels_SEDS_2022_TBtus!$B$3:$B$53&amp;Res_AllFuels_SEDS_2022_TBtus!$A$3:$A$53,0))),0,(index(Res_AllFuels_SEDS_2022_TBtus!$Q$3:$Q$53,match($B64&amp;W$2,Res_AllFuels_SEDS_2022_TBtus!$B$3:$B$53&amp;Res_AllFuels_SEDS_2022_TBtus!$A$3:$A$53,0))))</f>
        <v>0</v>
      </c>
      <c r="X64" s="75">
        <f t="array" ref="X64">IF(ISERROR(index(Res_AllFuels_SEDS_2022_TBtus!$Q$3:$Q$53,match($B64&amp;X$2,Res_AllFuels_SEDS_2022_TBtus!$B$3:$B$53&amp;Res_AllFuels_SEDS_2022_TBtus!$A$3:$A$53,0))),0,(index(Res_AllFuels_SEDS_2022_TBtus!$Q$3:$Q$53,match($B64&amp;X$2,Res_AllFuels_SEDS_2022_TBtus!$B$3:$B$53&amp;Res_AllFuels_SEDS_2022_TBtus!$A$3:$A$53,0))))</f>
        <v>0</v>
      </c>
      <c r="Y64" s="75">
        <f t="array" ref="Y64">IF(ISERROR(index(Res_AllFuels_SEDS_2022_TBtus!$Q$3:$Q$53,match($B64&amp;Y$2,Res_AllFuels_SEDS_2022_TBtus!$B$3:$B$53&amp;Res_AllFuels_SEDS_2022_TBtus!$A$3:$A$53,0))),0,(index(Res_AllFuels_SEDS_2022_TBtus!$Q$3:$Q$53,match($B64&amp;Y$2,Res_AllFuels_SEDS_2022_TBtus!$B$3:$B$53&amp;Res_AllFuels_SEDS_2022_TBtus!$A$3:$A$53,0))))</f>
        <v>0</v>
      </c>
      <c r="Z64" s="75">
        <f t="array" ref="Z64">IF(ISERROR(index(Res_AllFuels_SEDS_2022_TBtus!$Q$3:$Q$53,match($B64&amp;Z$2,Res_AllFuels_SEDS_2022_TBtus!$B$3:$B$53&amp;Res_AllFuels_SEDS_2022_TBtus!$A$3:$A$53,0))),0,(index(Res_AllFuels_SEDS_2022_TBtus!$Q$3:$Q$53,match($B64&amp;Z$2,Res_AllFuels_SEDS_2022_TBtus!$B$3:$B$53&amp;Res_AllFuels_SEDS_2022_TBtus!$A$3:$A$53,0))))</f>
        <v>0</v>
      </c>
      <c r="AA64" s="75">
        <f t="array" ref="AA64">IF(ISERROR(index(Res_AllFuels_SEDS_2022_TBtus!$Q$3:$Q$53,match($B64&amp;AA$2,Res_AllFuels_SEDS_2022_TBtus!$B$3:$B$53&amp;Res_AllFuels_SEDS_2022_TBtus!$A$3:$A$53,0))),0,(index(Res_AllFuels_SEDS_2022_TBtus!$Q$3:$Q$53,match($B64&amp;AA$2,Res_AllFuels_SEDS_2022_TBtus!$B$3:$B$53&amp;Res_AllFuels_SEDS_2022_TBtus!$A$3:$A$53,0))))</f>
        <v>0</v>
      </c>
      <c r="AB64" s="75">
        <f t="array" ref="AB64">IF(ISERROR(index(Res_AllFuels_SEDS_2022_TBtus!$Q$3:$Q$53,match($B64&amp;AB$2,Res_AllFuels_SEDS_2022_TBtus!$B$3:$B$53&amp;Res_AllFuels_SEDS_2022_TBtus!$A$3:$A$53,0))),0,(index(Res_AllFuels_SEDS_2022_TBtus!$Q$3:$Q$53,match($B64&amp;AB$2,Res_AllFuels_SEDS_2022_TBtus!$B$3:$B$53&amp;Res_AllFuels_SEDS_2022_TBtus!$A$3:$A$53,0))))</f>
        <v>0</v>
      </c>
      <c r="AC64" s="75">
        <f t="array" ref="AC64">IF(ISERROR(index(Res_AllFuels_SEDS_2022_TBtus!$Q$3:$Q$53,match($B64&amp;AC$2,Res_AllFuels_SEDS_2022_TBtus!$B$3:$B$53&amp;Res_AllFuels_SEDS_2022_TBtus!$A$3:$A$53,0))),0,(index(Res_AllFuels_SEDS_2022_TBtus!$Q$3:$Q$53,match($B64&amp;AC$2,Res_AllFuels_SEDS_2022_TBtus!$B$3:$B$53&amp;Res_AllFuels_SEDS_2022_TBtus!$A$3:$A$53,0))))</f>
        <v>0</v>
      </c>
      <c r="AD64" s="75">
        <f t="array" ref="AD64">IF(ISERROR(index(Res_AllFuels_SEDS_2022_TBtus!$Q$3:$Q$53,match($B64&amp;AD$2,Res_AllFuels_SEDS_2022_TBtus!$B$3:$B$53&amp;Res_AllFuels_SEDS_2022_TBtus!$A$3:$A$53,0))),0,(index(Res_AllFuels_SEDS_2022_TBtus!$Q$3:$Q$53,match($B64&amp;AD$2,Res_AllFuels_SEDS_2022_TBtus!$B$3:$B$53&amp;Res_AllFuels_SEDS_2022_TBtus!$A$3:$A$53,0))))</f>
        <v>0</v>
      </c>
      <c r="AE64" s="75">
        <f t="array" ref="AE64">IF(ISERROR(index(Res_AllFuels_SEDS_2022_TBtus!$Q$3:$Q$53,match($B64&amp;AE$2,Res_AllFuels_SEDS_2022_TBtus!$B$3:$B$53&amp;Res_AllFuels_SEDS_2022_TBtus!$A$3:$A$53,0))),0,(index(Res_AllFuels_SEDS_2022_TBtus!$Q$3:$Q$53,match($B64&amp;AE$2,Res_AllFuels_SEDS_2022_TBtus!$B$3:$B$53&amp;Res_AllFuels_SEDS_2022_TBtus!$A$3:$A$53,0))))</f>
        <v>0</v>
      </c>
      <c r="AF64" s="75">
        <f t="array" ref="AF64">IF(ISERROR(index(Res_AllFuels_SEDS_2022_TBtus!$Q$3:$Q$53,match($B64&amp;AF$2,Res_AllFuels_SEDS_2022_TBtus!$B$3:$B$53&amp;Res_AllFuels_SEDS_2022_TBtus!$A$3:$A$53,0))),0,(index(Res_AllFuels_SEDS_2022_TBtus!$Q$3:$Q$53,match($B64&amp;AF$2,Res_AllFuels_SEDS_2022_TBtus!$B$3:$B$53&amp;Res_AllFuels_SEDS_2022_TBtus!$A$3:$A$53,0))))</f>
        <v>0</v>
      </c>
      <c r="AG64" s="75">
        <f t="array" ref="AG64">IF(ISERROR(index(Res_AllFuels_SEDS_2022_TBtus!$Q$3:$Q$53,match($B64&amp;AG$2,Res_AllFuels_SEDS_2022_TBtus!$B$3:$B$53&amp;Res_AllFuels_SEDS_2022_TBtus!$A$3:$A$53,0))),0,(index(Res_AllFuels_SEDS_2022_TBtus!$Q$3:$Q$53,match($B64&amp;AG$2,Res_AllFuels_SEDS_2022_TBtus!$B$3:$B$53&amp;Res_AllFuels_SEDS_2022_TBtus!$A$3:$A$53,0))))</f>
        <v>0</v>
      </c>
      <c r="AH64" s="75">
        <f t="array" ref="AH64">IF(ISERROR(index(Res_AllFuels_SEDS_2022_TBtus!$Q$3:$Q$53,match($B64&amp;AH$2,Res_AllFuels_SEDS_2022_TBtus!$B$3:$B$53&amp;Res_AllFuels_SEDS_2022_TBtus!$A$3:$A$53,0))),0,(index(Res_AllFuels_SEDS_2022_TBtus!$Q$3:$Q$53,match($B64&amp;AH$2,Res_AllFuels_SEDS_2022_TBtus!$B$3:$B$53&amp;Res_AllFuels_SEDS_2022_TBtus!$A$3:$A$53,0))))</f>
        <v>0</v>
      </c>
      <c r="AI64" s="75">
        <f t="array" ref="AI64">IF(ISERROR(index(Res_AllFuels_SEDS_2022_TBtus!$Q$3:$Q$53,match($B64&amp;AI$2,Res_AllFuels_SEDS_2022_TBtus!$B$3:$B$53&amp;Res_AllFuels_SEDS_2022_TBtus!$A$3:$A$53,0))),0,(index(Res_AllFuels_SEDS_2022_TBtus!$Q$3:$Q$53,match($B64&amp;AI$2,Res_AllFuels_SEDS_2022_TBtus!$B$3:$B$53&amp;Res_AllFuels_SEDS_2022_TBtus!$A$3:$A$53,0))))</f>
        <v>0</v>
      </c>
      <c r="AJ64" s="75">
        <f t="array" ref="AJ64">IF(ISERROR(index(Res_AllFuels_SEDS_2022_TBtus!$Q$3:$Q$53,match($B64&amp;AJ$2,Res_AllFuels_SEDS_2022_TBtus!$B$3:$B$53&amp;Res_AllFuels_SEDS_2022_TBtus!$A$3:$A$53,0))),0,(index(Res_AllFuels_SEDS_2022_TBtus!$Q$3:$Q$53,match($B64&amp;AJ$2,Res_AllFuels_SEDS_2022_TBtus!$B$3:$B$53&amp;Res_AllFuels_SEDS_2022_TBtus!$A$3:$A$53,0))))</f>
        <v>0</v>
      </c>
      <c r="AK64" s="75">
        <f t="array" ref="AK64">IF(ISERROR(index(Res_AllFuels_SEDS_2022_TBtus!$Q$3:$Q$53,match($B64&amp;AK$2,Res_AllFuels_SEDS_2022_TBtus!$B$3:$B$53&amp;Res_AllFuels_SEDS_2022_TBtus!$A$3:$A$53,0))),0,(index(Res_AllFuels_SEDS_2022_TBtus!$Q$3:$Q$53,match($B64&amp;AK$2,Res_AllFuels_SEDS_2022_TBtus!$B$3:$B$53&amp;Res_AllFuels_SEDS_2022_TBtus!$A$3:$A$53,0))))</f>
        <v>0</v>
      </c>
      <c r="AL64" s="75">
        <f t="array" ref="AL64">IF(ISERROR(index(Res_AllFuels_SEDS_2022_TBtus!$Q$3:$Q$53,match($B64&amp;AL$2,Res_AllFuels_SEDS_2022_TBtus!$B$3:$B$53&amp;Res_AllFuels_SEDS_2022_TBtus!$A$3:$A$53,0))),0,(index(Res_AllFuels_SEDS_2022_TBtus!$Q$3:$Q$53,match($B64&amp;AL$2,Res_AllFuels_SEDS_2022_TBtus!$B$3:$B$53&amp;Res_AllFuels_SEDS_2022_TBtus!$A$3:$A$53,0))))</f>
        <v>0</v>
      </c>
      <c r="AM64" s="75">
        <f t="array" ref="AM64">IF(ISERROR(index(Res_AllFuels_SEDS_2022_TBtus!$Q$3:$Q$53,match($B64&amp;AM$2,Res_AllFuels_SEDS_2022_TBtus!$B$3:$B$53&amp;Res_AllFuels_SEDS_2022_TBtus!$A$3:$A$53,0))),0,(index(Res_AllFuels_SEDS_2022_TBtus!$Q$3:$Q$53,match($B64&amp;AM$2,Res_AllFuels_SEDS_2022_TBtus!$B$3:$B$53&amp;Res_AllFuels_SEDS_2022_TBtus!$A$3:$A$53,0))))</f>
        <v>0</v>
      </c>
      <c r="AN64" s="75">
        <f t="array" ref="AN64">IF(ISERROR(index(Res_AllFuels_SEDS_2022_TBtus!$Q$3:$Q$53,match($B64&amp;AN$2,Res_AllFuels_SEDS_2022_TBtus!$B$3:$B$53&amp;Res_AllFuels_SEDS_2022_TBtus!$A$3:$A$53,0))),0,(index(Res_AllFuels_SEDS_2022_TBtus!$Q$3:$Q$53,match($B64&amp;AN$2,Res_AllFuels_SEDS_2022_TBtus!$B$3:$B$53&amp;Res_AllFuels_SEDS_2022_TBtus!$A$3:$A$53,0))))</f>
        <v>21</v>
      </c>
      <c r="AO64" s="75">
        <f t="array" ref="AO64">IF(ISERROR(index(Res_AllFuels_SEDS_2022_TBtus!$Q$3:$Q$53,match($B64&amp;AO$2,Res_AllFuels_SEDS_2022_TBtus!$B$3:$B$53&amp;Res_AllFuels_SEDS_2022_TBtus!$A$3:$A$53,0))),0,(index(Res_AllFuels_SEDS_2022_TBtus!$Q$3:$Q$53,match($B64&amp;AO$2,Res_AllFuels_SEDS_2022_TBtus!$B$3:$B$53&amp;Res_AllFuels_SEDS_2022_TBtus!$A$3:$A$53,0))))</f>
        <v>0</v>
      </c>
      <c r="AP64" s="75">
        <f t="array" ref="AP64">IF(ISERROR(index(Res_AllFuels_SEDS_2022_TBtus!$Q$3:$Q$53,match($B64&amp;AP$2,Res_AllFuels_SEDS_2022_TBtus!$B$3:$B$53&amp;Res_AllFuels_SEDS_2022_TBtus!$A$3:$A$53,0))),0,(index(Res_AllFuels_SEDS_2022_TBtus!$Q$3:$Q$53,match($B64&amp;AP$2,Res_AllFuels_SEDS_2022_TBtus!$B$3:$B$53&amp;Res_AllFuels_SEDS_2022_TBtus!$A$3:$A$53,0))))</f>
        <v>0</v>
      </c>
      <c r="AQ64" s="75">
        <f t="array" ref="AQ64">IF(ISERROR(index(Res_AllFuels_SEDS_2022_TBtus!$Q$3:$Q$53,match($B64&amp;AQ$2,Res_AllFuels_SEDS_2022_TBtus!$B$3:$B$53&amp;Res_AllFuels_SEDS_2022_TBtus!$A$3:$A$53,0))),0,(index(Res_AllFuels_SEDS_2022_TBtus!$Q$3:$Q$53,match($B64&amp;AQ$2,Res_AllFuels_SEDS_2022_TBtus!$B$3:$B$53&amp;Res_AllFuels_SEDS_2022_TBtus!$A$3:$A$53,0))))</f>
        <v>0</v>
      </c>
      <c r="AR64" s="75">
        <f t="array" ref="AR64">IF(ISERROR(index(Res_AllFuels_SEDS_2022_TBtus!$Q$3:$Q$53,match($B64&amp;AR$2,Res_AllFuels_SEDS_2022_TBtus!$B$3:$B$53&amp;Res_AllFuels_SEDS_2022_TBtus!$A$3:$A$53,0))),0,(index(Res_AllFuels_SEDS_2022_TBtus!$Q$3:$Q$53,match($B64&amp;AR$2,Res_AllFuels_SEDS_2022_TBtus!$B$3:$B$53&amp;Res_AllFuels_SEDS_2022_TBtus!$A$3:$A$53,0))))</f>
        <v>0</v>
      </c>
      <c r="AS64" s="75">
        <f t="array" ref="AS64">IF(ISERROR(index(Res_AllFuels_SEDS_2022_TBtus!$Q$3:$Q$53,match($B64&amp;AS$2,Res_AllFuels_SEDS_2022_TBtus!$B$3:$B$53&amp;Res_AllFuels_SEDS_2022_TBtus!$A$3:$A$53,0))),0,(index(Res_AllFuels_SEDS_2022_TBtus!$Q$3:$Q$53,match($B64&amp;AS$2,Res_AllFuels_SEDS_2022_TBtus!$B$3:$B$53&amp;Res_AllFuels_SEDS_2022_TBtus!$A$3:$A$53,0))))</f>
        <v>0</v>
      </c>
      <c r="AT64" s="75">
        <f t="array" ref="AT64">IF(ISERROR(index(Res_AllFuels_SEDS_2022_TBtus!$Q$3:$Q$53,match($B64&amp;AT$2,Res_AllFuels_SEDS_2022_TBtus!$B$3:$B$53&amp;Res_AllFuels_SEDS_2022_TBtus!$A$3:$A$53,0))),0,(index(Res_AllFuels_SEDS_2022_TBtus!$Q$3:$Q$53,match($B64&amp;AT$2,Res_AllFuels_SEDS_2022_TBtus!$B$3:$B$53&amp;Res_AllFuels_SEDS_2022_TBtus!$A$3:$A$53,0))))</f>
        <v>0</v>
      </c>
      <c r="AU64" s="75">
        <f t="array" ref="AU64">IF(ISERROR(index(Res_AllFuels_SEDS_2022_TBtus!$Q$3:$Q$53,match($B64&amp;AU$2,Res_AllFuels_SEDS_2022_TBtus!$B$3:$B$53&amp;Res_AllFuels_SEDS_2022_TBtus!$A$3:$A$53,0))),0,(index(Res_AllFuels_SEDS_2022_TBtus!$Q$3:$Q$53,match($B64&amp;AU$2,Res_AllFuels_SEDS_2022_TBtus!$B$3:$B$53&amp;Res_AllFuels_SEDS_2022_TBtus!$A$3:$A$53,0))))</f>
        <v>0</v>
      </c>
      <c r="AV64" s="75">
        <f t="array" ref="AV64">IF(ISERROR(index(Res_AllFuels_SEDS_2022_TBtus!$Q$3:$Q$53,match($B64&amp;AV$2,Res_AllFuels_SEDS_2022_TBtus!$B$3:$B$53&amp;Res_AllFuels_SEDS_2022_TBtus!$A$3:$A$53,0))),0,(index(Res_AllFuels_SEDS_2022_TBtus!$Q$3:$Q$53,match($B64&amp;AV$2,Res_AllFuels_SEDS_2022_TBtus!$B$3:$B$53&amp;Res_AllFuels_SEDS_2022_TBtus!$A$3:$A$53,0))))</f>
        <v>0</v>
      </c>
      <c r="AW64" s="75">
        <f t="array" ref="AW64">IF(ISERROR(index(Res_AllFuels_SEDS_2022_TBtus!$Q$3:$Q$53,match($B64&amp;AW$2,Res_AllFuels_SEDS_2022_TBtus!$B$3:$B$53&amp;Res_AllFuels_SEDS_2022_TBtus!$A$3:$A$53,0))),0,(index(Res_AllFuels_SEDS_2022_TBtus!$Q$3:$Q$53,match($B64&amp;AW$2,Res_AllFuels_SEDS_2022_TBtus!$B$3:$B$53&amp;Res_AllFuels_SEDS_2022_TBtus!$A$3:$A$53,0))))</f>
        <v>0</v>
      </c>
      <c r="AX64" s="75">
        <f t="array" ref="AX64">IF(ISERROR(index(Res_AllFuels_SEDS_2022_TBtus!$Q$3:$Q$53,match($B64&amp;AX$2,Res_AllFuels_SEDS_2022_TBtus!$B$3:$B$53&amp;Res_AllFuels_SEDS_2022_TBtus!$A$3:$A$53,0))),0,(index(Res_AllFuels_SEDS_2022_TBtus!$Q$3:$Q$53,match($B64&amp;AX$2,Res_AllFuels_SEDS_2022_TBtus!$B$3:$B$53&amp;Res_AllFuels_SEDS_2022_TBtus!$A$3:$A$53,0))))</f>
        <v>31.2</v>
      </c>
      <c r="AY64" s="75">
        <f t="array" ref="AY64">IF(ISERROR(index(Res_AllFuels_SEDS_2022_TBtus!$Q$3:$Q$53,match($B64&amp;AY$2,Res_AllFuels_SEDS_2022_TBtus!$B$3:$B$53&amp;Res_AllFuels_SEDS_2022_TBtus!$A$3:$A$53,0))),0,(index(Res_AllFuels_SEDS_2022_TBtus!$Q$3:$Q$53,match($B64&amp;AY$2,Res_AllFuels_SEDS_2022_TBtus!$B$3:$B$53&amp;Res_AllFuels_SEDS_2022_TBtus!$A$3:$A$53,0))))</f>
        <v>0</v>
      </c>
      <c r="AZ64" s="75">
        <f t="array" ref="AZ64">IF(ISERROR(index(Res_AllFuels_SEDS_2022_TBtus!$Q$3:$Q$53,match($B64&amp;AZ$2,Res_AllFuels_SEDS_2022_TBtus!$B$3:$B$53&amp;Res_AllFuels_SEDS_2022_TBtus!$A$3:$A$53,0))),0,(index(Res_AllFuels_SEDS_2022_TBtus!$Q$3:$Q$53,match($B64&amp;AZ$2,Res_AllFuels_SEDS_2022_TBtus!$B$3:$B$53&amp;Res_AllFuels_SEDS_2022_TBtus!$A$3:$A$53,0))))</f>
        <v>0</v>
      </c>
      <c r="BA64" s="75">
        <f t="array" ref="BA64">IF(ISERROR(index(Res_AllFuels_SEDS_2022_TBtus!$Q$3:$Q$53,match($B64&amp;BA$2,Res_AllFuels_SEDS_2022_TBtus!$B$3:$B$53&amp;Res_AllFuels_SEDS_2022_TBtus!$A$3:$A$53,0))),0,(index(Res_AllFuels_SEDS_2022_TBtus!$Q$3:$Q$53,match($B64&amp;BA$2,Res_AllFuels_SEDS_2022_TBtus!$B$3:$B$53&amp;Res_AllFuels_SEDS_2022_TBtus!$A$3:$A$53,0))))</f>
        <v>0</v>
      </c>
      <c r="BB64" s="74">
        <f t="shared" si="9"/>
        <v>102</v>
      </c>
    </row>
    <row r="65" ht="15.75" customHeight="1">
      <c r="A65" s="78"/>
      <c r="B65" s="78" t="s">
        <v>4207</v>
      </c>
      <c r="C65" s="74">
        <f t="shared" ref="C65:BA65" si="10">sum(C56:C64)</f>
        <v>6.2</v>
      </c>
      <c r="D65" s="74">
        <f t="shared" si="10"/>
        <v>6.4</v>
      </c>
      <c r="E65" s="74">
        <f t="shared" si="10"/>
        <v>9</v>
      </c>
      <c r="F65" s="74">
        <f t="shared" si="10"/>
        <v>9.2</v>
      </c>
      <c r="G65" s="74">
        <f t="shared" si="10"/>
        <v>42.8</v>
      </c>
      <c r="H65" s="74">
        <f t="shared" si="10"/>
        <v>23.7</v>
      </c>
      <c r="I65" s="74">
        <f t="shared" si="10"/>
        <v>11.5</v>
      </c>
      <c r="J65" s="74">
        <f t="shared" si="10"/>
        <v>3.3</v>
      </c>
      <c r="K65" s="74">
        <f t="shared" si="10"/>
        <v>0</v>
      </c>
      <c r="L65" s="74">
        <f t="shared" si="10"/>
        <v>6.2</v>
      </c>
      <c r="M65" s="74">
        <f t="shared" si="10"/>
        <v>9.7</v>
      </c>
      <c r="N65" s="74">
        <f t="shared" si="10"/>
        <v>0.6</v>
      </c>
      <c r="O65" s="74">
        <f t="shared" si="10"/>
        <v>18.9</v>
      </c>
      <c r="P65" s="74">
        <f t="shared" si="10"/>
        <v>30.2</v>
      </c>
      <c r="Q65" s="74">
        <f t="shared" si="10"/>
        <v>22</v>
      </c>
      <c r="R65" s="74">
        <f t="shared" si="10"/>
        <v>31.4</v>
      </c>
      <c r="S65" s="74">
        <f t="shared" si="10"/>
        <v>11.9</v>
      </c>
      <c r="T65" s="74">
        <f t="shared" si="10"/>
        <v>15.9</v>
      </c>
      <c r="U65" s="74">
        <f t="shared" si="10"/>
        <v>2.2</v>
      </c>
      <c r="V65" s="74">
        <f t="shared" si="10"/>
        <v>24.8</v>
      </c>
      <c r="W65" s="74">
        <f t="shared" si="10"/>
        <v>11.4</v>
      </c>
      <c r="X65" s="74">
        <f t="shared" si="10"/>
        <v>15.9</v>
      </c>
      <c r="Y65" s="74">
        <f t="shared" si="10"/>
        <v>60.4</v>
      </c>
      <c r="Z65" s="74">
        <f t="shared" si="10"/>
        <v>45</v>
      </c>
      <c r="AA65" s="74">
        <f t="shared" si="10"/>
        <v>6.3</v>
      </c>
      <c r="AB65" s="74">
        <f t="shared" si="10"/>
        <v>34.9</v>
      </c>
      <c r="AC65" s="74">
        <f t="shared" si="10"/>
        <v>21.9</v>
      </c>
      <c r="AD65" s="74">
        <f t="shared" si="10"/>
        <v>7.5</v>
      </c>
      <c r="AE65" s="74">
        <f t="shared" si="10"/>
        <v>4.1</v>
      </c>
      <c r="AF65" s="74">
        <f t="shared" si="10"/>
        <v>21.1</v>
      </c>
      <c r="AG65" s="74">
        <f t="shared" si="10"/>
        <v>5.9</v>
      </c>
      <c r="AH65" s="74">
        <f t="shared" si="10"/>
        <v>15.3</v>
      </c>
      <c r="AI65" s="74">
        <f t="shared" si="10"/>
        <v>52.5</v>
      </c>
      <c r="AJ65" s="74">
        <f t="shared" si="10"/>
        <v>24.2</v>
      </c>
      <c r="AK65" s="74">
        <f t="shared" si="10"/>
        <v>7</v>
      </c>
      <c r="AL65" s="74">
        <f t="shared" si="10"/>
        <v>37.9</v>
      </c>
      <c r="AM65" s="74">
        <f t="shared" si="10"/>
        <v>11.8</v>
      </c>
      <c r="AN65" s="74">
        <f t="shared" si="10"/>
        <v>21</v>
      </c>
      <c r="AO65" s="74">
        <f t="shared" si="10"/>
        <v>46.9</v>
      </c>
      <c r="AP65" s="74">
        <f t="shared" si="10"/>
        <v>2.8</v>
      </c>
      <c r="AQ65" s="74">
        <f t="shared" si="10"/>
        <v>5.5</v>
      </c>
      <c r="AR65" s="74">
        <f t="shared" si="10"/>
        <v>6.2</v>
      </c>
      <c r="AS65" s="74">
        <f t="shared" si="10"/>
        <v>12.7</v>
      </c>
      <c r="AT65" s="74">
        <f t="shared" si="10"/>
        <v>21.5</v>
      </c>
      <c r="AU65" s="74">
        <f t="shared" si="10"/>
        <v>4.8</v>
      </c>
      <c r="AV65" s="74">
        <f t="shared" si="10"/>
        <v>18.8</v>
      </c>
      <c r="AW65" s="74">
        <f t="shared" si="10"/>
        <v>22.1</v>
      </c>
      <c r="AX65" s="74">
        <f t="shared" si="10"/>
        <v>31.2</v>
      </c>
      <c r="AY65" s="74">
        <f t="shared" si="10"/>
        <v>11.1</v>
      </c>
      <c r="AZ65" s="74">
        <f t="shared" si="10"/>
        <v>53.2</v>
      </c>
      <c r="BA65" s="74">
        <f t="shared" si="10"/>
        <v>7.7</v>
      </c>
      <c r="BB65" s="74">
        <f t="shared" si="9"/>
        <v>934.5</v>
      </c>
    </row>
    <row r="66" ht="15.75" customHeight="1"/>
    <row r="67" ht="15.75" customHeight="1">
      <c r="A67" s="77" t="s">
        <v>4242</v>
      </c>
    </row>
    <row r="68" ht="15.75" customHeight="1">
      <c r="A68" s="80" t="s">
        <v>4235</v>
      </c>
      <c r="B68" s="78" t="s">
        <v>48</v>
      </c>
      <c r="C68" s="79" t="s">
        <v>101</v>
      </c>
      <c r="D68" s="79" t="s">
        <v>171</v>
      </c>
      <c r="E68" s="79" t="s">
        <v>201</v>
      </c>
      <c r="F68" s="79" t="s">
        <v>220</v>
      </c>
      <c r="G68" s="79" t="s">
        <v>279</v>
      </c>
      <c r="H68" s="79" t="s">
        <v>339</v>
      </c>
      <c r="I68" s="79" t="s">
        <v>395</v>
      </c>
      <c r="J68" s="79" t="s">
        <v>405</v>
      </c>
      <c r="K68" s="79" t="s">
        <v>408</v>
      </c>
      <c r="L68" s="79" t="s">
        <v>410</v>
      </c>
      <c r="M68" s="79" t="s">
        <v>461</v>
      </c>
      <c r="N68" s="79" t="s">
        <v>570</v>
      </c>
      <c r="O68" s="79" t="s">
        <v>576</v>
      </c>
      <c r="P68" s="79" t="s">
        <v>608</v>
      </c>
      <c r="Q68" s="79" t="s">
        <v>663</v>
      </c>
      <c r="R68" s="79" t="s">
        <v>705</v>
      </c>
      <c r="S68" s="79" t="s">
        <v>750</v>
      </c>
      <c r="T68" s="79" t="s">
        <v>818</v>
      </c>
      <c r="U68" s="79" t="s">
        <v>875</v>
      </c>
      <c r="V68" s="79" t="s">
        <v>923</v>
      </c>
      <c r="W68" s="79" t="s">
        <v>934</v>
      </c>
      <c r="X68" s="79" t="s">
        <v>952</v>
      </c>
      <c r="Y68" s="79" t="s">
        <v>963</v>
      </c>
      <c r="Z68" s="79" t="s">
        <v>1026</v>
      </c>
      <c r="AA68" s="79" t="s">
        <v>255</v>
      </c>
      <c r="AB68" s="79" t="s">
        <v>1121</v>
      </c>
      <c r="AC68" s="79" t="s">
        <v>1162</v>
      </c>
      <c r="AD68" s="79" t="s">
        <v>1198</v>
      </c>
      <c r="AE68" s="79" t="s">
        <v>256</v>
      </c>
      <c r="AF68" s="79" t="s">
        <v>1251</v>
      </c>
      <c r="AG68" s="79" t="s">
        <v>1259</v>
      </c>
      <c r="AH68" s="79" t="s">
        <v>1271</v>
      </c>
      <c r="AI68" s="79" t="s">
        <v>1296</v>
      </c>
      <c r="AJ68" s="79" t="s">
        <v>1326</v>
      </c>
      <c r="AK68" s="79" t="s">
        <v>1390</v>
      </c>
      <c r="AL68" s="79" t="s">
        <v>683</v>
      </c>
      <c r="AM68" s="79" t="s">
        <v>1457</v>
      </c>
      <c r="AN68" s="79" t="s">
        <v>1144</v>
      </c>
      <c r="AO68" s="79" t="s">
        <v>1514</v>
      </c>
      <c r="AP68" s="79" t="s">
        <v>1546</v>
      </c>
      <c r="AQ68" s="79" t="s">
        <v>1550</v>
      </c>
      <c r="AR68" s="79" t="s">
        <v>1578</v>
      </c>
      <c r="AS68" s="79" t="s">
        <v>1616</v>
      </c>
      <c r="AT68" s="79" t="s">
        <v>1159</v>
      </c>
      <c r="AU68" s="79" t="s">
        <v>1802</v>
      </c>
      <c r="AV68" s="79" t="s">
        <v>1819</v>
      </c>
      <c r="AW68" s="79" t="s">
        <v>1828</v>
      </c>
      <c r="AX68" s="79" t="s">
        <v>167</v>
      </c>
      <c r="AY68" s="79" t="s">
        <v>1924</v>
      </c>
      <c r="AZ68" s="79" t="s">
        <v>1942</v>
      </c>
      <c r="BA68" s="79" t="s">
        <v>1323</v>
      </c>
      <c r="BB68" s="78" t="s">
        <v>4207</v>
      </c>
    </row>
    <row r="69" ht="15.75" customHeight="1">
      <c r="A69" s="52" t="s">
        <v>4230</v>
      </c>
      <c r="B69" s="74">
        <v>1.0</v>
      </c>
      <c r="C69" s="75">
        <f t="array" ref="C69">IF(ISERROR(index(Com_AllFuels_SEDS_2022_TBtus!$T$3:$T$53,match($B56&amp;C$2,Com_AllFuels_SEDS_2022_TBtus!$B$3:$B$53&amp;Com_AllFuels_SEDS_2022_TBtus!$A$3:$A$53,0))),0,(index(Com_AllFuels_SEDS_2022_TBtus!$T$3:$T$53,match($B56&amp;C$2,Com_AllFuels_SEDS_2022_TBtus!$B$3:$B$53&amp;Com_AllFuels_SEDS_2022_TBtus!$A$3:$A$53,0))))</f>
        <v>0</v>
      </c>
      <c r="D69" s="75">
        <f t="array" ref="D69">IF(ISERROR(index(Com_AllFuels_SEDS_2022_TBtus!$T$3:$T$53,match($B56&amp;D$2,Com_AllFuels_SEDS_2022_TBtus!$B$3:$B$53&amp;Com_AllFuels_SEDS_2022_TBtus!$A$3:$A$53,0))),0,(index(Com_AllFuels_SEDS_2022_TBtus!$T$3:$T$53,match($B56&amp;D$2,Com_AllFuels_SEDS_2022_TBtus!$B$3:$B$53&amp;Com_AllFuels_SEDS_2022_TBtus!$A$3:$A$53,0))))</f>
        <v>0</v>
      </c>
      <c r="E69" s="75">
        <f t="array" ref="E69">IF(ISERROR(index(Com_AllFuels_SEDS_2022_TBtus!$T$3:$T$53,match($B56&amp;E$2,Com_AllFuels_SEDS_2022_TBtus!$B$3:$B$53&amp;Com_AllFuels_SEDS_2022_TBtus!$A$3:$A$53,0))),0,(index(Com_AllFuels_SEDS_2022_TBtus!$T$3:$T$53,match($B56&amp;E$2,Com_AllFuels_SEDS_2022_TBtus!$B$3:$B$53&amp;Com_AllFuels_SEDS_2022_TBtus!$A$3:$A$53,0))))</f>
        <v>0</v>
      </c>
      <c r="F69" s="75">
        <f t="array" ref="F69">IF(ISERROR(index(Com_AllFuels_SEDS_2022_TBtus!$T$3:$T$53,match($B56&amp;F$2,Com_AllFuels_SEDS_2022_TBtus!$B$3:$B$53&amp;Com_AllFuels_SEDS_2022_TBtus!$A$3:$A$53,0))),0,(index(Com_AllFuels_SEDS_2022_TBtus!$T$3:$T$53,match($B56&amp;F$2,Com_AllFuels_SEDS_2022_TBtus!$B$3:$B$53&amp;Com_AllFuels_SEDS_2022_TBtus!$A$3:$A$53,0))))</f>
        <v>0</v>
      </c>
      <c r="G69" s="75">
        <f t="array" ref="G69">IF(ISERROR(index(Com_AllFuels_SEDS_2022_TBtus!$T$3:$T$53,match($B56&amp;G$2,Com_AllFuels_SEDS_2022_TBtus!$B$3:$B$53&amp;Com_AllFuels_SEDS_2022_TBtus!$A$3:$A$53,0))),0,(index(Com_AllFuels_SEDS_2022_TBtus!$T$3:$T$53,match($B56&amp;G$2,Com_AllFuels_SEDS_2022_TBtus!$B$3:$B$53&amp;Com_AllFuels_SEDS_2022_TBtus!$A$3:$A$53,0))))</f>
        <v>0</v>
      </c>
      <c r="H69" s="75">
        <f t="array" ref="H69">IF(ISERROR(index(Com_AllFuels_SEDS_2022_TBtus!$T$3:$T$53,match($B56&amp;H$2,Com_AllFuels_SEDS_2022_TBtus!$B$3:$B$53&amp;Com_AllFuels_SEDS_2022_TBtus!$A$3:$A$53,0))),0,(index(Com_AllFuels_SEDS_2022_TBtus!$T$3:$T$53,match($B56&amp;H$2,Com_AllFuels_SEDS_2022_TBtus!$B$3:$B$53&amp;Com_AllFuels_SEDS_2022_TBtus!$A$3:$A$53,0))))</f>
        <v>0</v>
      </c>
      <c r="I69" s="75">
        <f t="array" ref="I69">IF(ISERROR(index(Com_AllFuels_SEDS_2022_TBtus!$T$3:$T$53,match($B56&amp;I$2,Com_AllFuels_SEDS_2022_TBtus!$B$3:$B$53&amp;Com_AllFuels_SEDS_2022_TBtus!$A$3:$A$53,0))),0,(index(Com_AllFuels_SEDS_2022_TBtus!$T$3:$T$53,match($B56&amp;I$2,Com_AllFuels_SEDS_2022_TBtus!$B$3:$B$53&amp;Com_AllFuels_SEDS_2022_TBtus!$A$3:$A$53,0))))</f>
        <v>7.8</v>
      </c>
      <c r="J69" s="75">
        <f t="array" ref="J69">IF(ISERROR(index(Com_AllFuels_SEDS_2022_TBtus!$T$3:$T$53,match($B56&amp;J$2,Com_AllFuels_SEDS_2022_TBtus!$B$3:$B$53&amp;Com_AllFuels_SEDS_2022_TBtus!$A$3:$A$53,0))),0,(index(Com_AllFuels_SEDS_2022_TBtus!$T$3:$T$53,match($B56&amp;J$2,Com_AllFuels_SEDS_2022_TBtus!$B$3:$B$53&amp;Com_AllFuels_SEDS_2022_TBtus!$A$3:$A$53,0))))</f>
        <v>0</v>
      </c>
      <c r="K69" s="75">
        <f t="array" ref="K69">IF(ISERROR(index(Com_AllFuels_SEDS_2022_TBtus!$T$3:$T$53,match($B56&amp;K$2,Com_AllFuels_SEDS_2022_TBtus!$B$3:$B$53&amp;Com_AllFuels_SEDS_2022_TBtus!$A$3:$A$53,0))),0,(index(Com_AllFuels_SEDS_2022_TBtus!$T$3:$T$53,match($B56&amp;K$2,Com_AllFuels_SEDS_2022_TBtus!$B$3:$B$53&amp;Com_AllFuels_SEDS_2022_TBtus!$A$3:$A$53,0))))</f>
        <v>0</v>
      </c>
      <c r="L69" s="75">
        <f t="array" ref="L69">IF(ISERROR(index(Com_AllFuels_SEDS_2022_TBtus!$T$3:$T$53,match($B56&amp;L$2,Com_AllFuels_SEDS_2022_TBtus!$B$3:$B$53&amp;Com_AllFuels_SEDS_2022_TBtus!$A$3:$A$53,0))),0,(index(Com_AllFuels_SEDS_2022_TBtus!$T$3:$T$53,match($B56&amp;L$2,Com_AllFuels_SEDS_2022_TBtus!$B$3:$B$53&amp;Com_AllFuels_SEDS_2022_TBtus!$A$3:$A$53,0))))</f>
        <v>0</v>
      </c>
      <c r="M69" s="75">
        <f t="array" ref="M69">IF(ISERROR(index(Com_AllFuels_SEDS_2022_TBtus!$T$3:$T$53,match($B56&amp;M$2,Com_AllFuels_SEDS_2022_TBtus!$B$3:$B$53&amp;Com_AllFuels_SEDS_2022_TBtus!$A$3:$A$53,0))),0,(index(Com_AllFuels_SEDS_2022_TBtus!$T$3:$T$53,match($B56&amp;M$2,Com_AllFuels_SEDS_2022_TBtus!$B$3:$B$53&amp;Com_AllFuels_SEDS_2022_TBtus!$A$3:$A$53,0))))</f>
        <v>0</v>
      </c>
      <c r="N69" s="75">
        <f t="array" ref="N69">IF(ISERROR(index(Com_AllFuels_SEDS_2022_TBtus!$T$3:$T$53,match($B56&amp;N$2,Com_AllFuels_SEDS_2022_TBtus!$B$3:$B$53&amp;Com_AllFuels_SEDS_2022_TBtus!$A$3:$A$53,0))),0,(index(Com_AllFuels_SEDS_2022_TBtus!$T$3:$T$53,match($B56&amp;N$2,Com_AllFuels_SEDS_2022_TBtus!$B$3:$B$53&amp;Com_AllFuels_SEDS_2022_TBtus!$A$3:$A$53,0))))</f>
        <v>0</v>
      </c>
      <c r="O69" s="75">
        <f t="array" ref="O69">IF(ISERROR(index(Com_AllFuels_SEDS_2022_TBtus!$T$3:$T$53,match($B56&amp;O$2,Com_AllFuels_SEDS_2022_TBtus!$B$3:$B$53&amp;Com_AllFuels_SEDS_2022_TBtus!$A$3:$A$53,0))),0,(index(Com_AllFuels_SEDS_2022_TBtus!$T$3:$T$53,match($B56&amp;O$2,Com_AllFuels_SEDS_2022_TBtus!$B$3:$B$53&amp;Com_AllFuels_SEDS_2022_TBtus!$A$3:$A$53,0))))</f>
        <v>0</v>
      </c>
      <c r="P69" s="75">
        <f t="array" ref="P69">IF(ISERROR(index(Com_AllFuels_SEDS_2022_TBtus!$T$3:$T$53,match($B56&amp;P$2,Com_AllFuels_SEDS_2022_TBtus!$B$3:$B$53&amp;Com_AllFuels_SEDS_2022_TBtus!$A$3:$A$53,0))),0,(index(Com_AllFuels_SEDS_2022_TBtus!$T$3:$T$53,match($B56&amp;P$2,Com_AllFuels_SEDS_2022_TBtus!$B$3:$B$53&amp;Com_AllFuels_SEDS_2022_TBtus!$A$3:$A$53,0))))</f>
        <v>0</v>
      </c>
      <c r="Q69" s="75">
        <f t="array" ref="Q69">IF(ISERROR(index(Com_AllFuels_SEDS_2022_TBtus!$T$3:$T$53,match($B56&amp;Q$2,Com_AllFuels_SEDS_2022_TBtus!$B$3:$B$53&amp;Com_AllFuels_SEDS_2022_TBtus!$A$3:$A$53,0))),0,(index(Com_AllFuels_SEDS_2022_TBtus!$T$3:$T$53,match($B56&amp;Q$2,Com_AllFuels_SEDS_2022_TBtus!$B$3:$B$53&amp;Com_AllFuels_SEDS_2022_TBtus!$A$3:$A$53,0))))</f>
        <v>0</v>
      </c>
      <c r="R69" s="75">
        <f t="array" ref="R69">IF(ISERROR(index(Com_AllFuels_SEDS_2022_TBtus!$T$3:$T$53,match($B56&amp;R$2,Com_AllFuels_SEDS_2022_TBtus!$B$3:$B$53&amp;Com_AllFuels_SEDS_2022_TBtus!$A$3:$A$53,0))),0,(index(Com_AllFuels_SEDS_2022_TBtus!$T$3:$T$53,match($B56&amp;R$2,Com_AllFuels_SEDS_2022_TBtus!$B$3:$B$53&amp;Com_AllFuels_SEDS_2022_TBtus!$A$3:$A$53,0))))</f>
        <v>0</v>
      </c>
      <c r="S69" s="75">
        <f t="array" ref="S69">IF(ISERROR(index(Com_AllFuels_SEDS_2022_TBtus!$T$3:$T$53,match($B56&amp;S$2,Com_AllFuels_SEDS_2022_TBtus!$B$3:$B$53&amp;Com_AllFuels_SEDS_2022_TBtus!$A$3:$A$53,0))),0,(index(Com_AllFuels_SEDS_2022_TBtus!$T$3:$T$53,match($B56&amp;S$2,Com_AllFuels_SEDS_2022_TBtus!$B$3:$B$53&amp;Com_AllFuels_SEDS_2022_TBtus!$A$3:$A$53,0))))</f>
        <v>0</v>
      </c>
      <c r="T69" s="75">
        <f t="array" ref="T69">IF(ISERROR(index(Com_AllFuels_SEDS_2022_TBtus!$T$3:$T$53,match($B56&amp;T$2,Com_AllFuels_SEDS_2022_TBtus!$B$3:$B$53&amp;Com_AllFuels_SEDS_2022_TBtus!$A$3:$A$53,0))),0,(index(Com_AllFuels_SEDS_2022_TBtus!$T$3:$T$53,match($B56&amp;T$2,Com_AllFuels_SEDS_2022_TBtus!$B$3:$B$53&amp;Com_AllFuels_SEDS_2022_TBtus!$A$3:$A$53,0))))</f>
        <v>0</v>
      </c>
      <c r="U69" s="75">
        <f t="array" ref="U69">IF(ISERROR(index(Com_AllFuels_SEDS_2022_TBtus!$T$3:$T$53,match($B56&amp;U$2,Com_AllFuels_SEDS_2022_TBtus!$B$3:$B$53&amp;Com_AllFuels_SEDS_2022_TBtus!$A$3:$A$53,0))),0,(index(Com_AllFuels_SEDS_2022_TBtus!$T$3:$T$53,match($B56&amp;U$2,Com_AllFuels_SEDS_2022_TBtus!$B$3:$B$53&amp;Com_AllFuels_SEDS_2022_TBtus!$A$3:$A$53,0))))</f>
        <v>0</v>
      </c>
      <c r="V69" s="75">
        <f t="array" ref="V69">IF(ISERROR(index(Com_AllFuels_SEDS_2022_TBtus!$T$3:$T$53,match($B56&amp;V$2,Com_AllFuels_SEDS_2022_TBtus!$B$3:$B$53&amp;Com_AllFuels_SEDS_2022_TBtus!$A$3:$A$53,0))),0,(index(Com_AllFuels_SEDS_2022_TBtus!$T$3:$T$53,match($B56&amp;V$2,Com_AllFuels_SEDS_2022_TBtus!$B$3:$B$53&amp;Com_AllFuels_SEDS_2022_TBtus!$A$3:$A$53,0))))</f>
        <v>9.1</v>
      </c>
      <c r="W69" s="75">
        <f t="array" ref="W69">IF(ISERROR(index(Com_AllFuels_SEDS_2022_TBtus!$T$3:$T$53,match($B56&amp;W$2,Com_AllFuels_SEDS_2022_TBtus!$B$3:$B$53&amp;Com_AllFuels_SEDS_2022_TBtus!$A$3:$A$53,0))),0,(index(Com_AllFuels_SEDS_2022_TBtus!$T$3:$T$53,match($B56&amp;W$2,Com_AllFuels_SEDS_2022_TBtus!$B$3:$B$53&amp;Com_AllFuels_SEDS_2022_TBtus!$A$3:$A$53,0))))</f>
        <v>0</v>
      </c>
      <c r="X69" s="75">
        <f t="array" ref="X69">IF(ISERROR(index(Com_AllFuels_SEDS_2022_TBtus!$T$3:$T$53,match($B56&amp;X$2,Com_AllFuels_SEDS_2022_TBtus!$B$3:$B$53&amp;Com_AllFuels_SEDS_2022_TBtus!$A$3:$A$53,0))),0,(index(Com_AllFuels_SEDS_2022_TBtus!$T$3:$T$53,match($B56&amp;X$2,Com_AllFuels_SEDS_2022_TBtus!$B$3:$B$53&amp;Com_AllFuels_SEDS_2022_TBtus!$A$3:$A$53,0))))</f>
        <v>12.1</v>
      </c>
      <c r="Y69" s="75">
        <f t="array" ref="Y69">IF(ISERROR(index(Com_AllFuels_SEDS_2022_TBtus!$T$3:$T$53,match($B56&amp;Y$2,Com_AllFuels_SEDS_2022_TBtus!$B$3:$B$53&amp;Com_AllFuels_SEDS_2022_TBtus!$A$3:$A$53,0))),0,(index(Com_AllFuels_SEDS_2022_TBtus!$T$3:$T$53,match($B56&amp;Y$2,Com_AllFuels_SEDS_2022_TBtus!$B$3:$B$53&amp;Com_AllFuels_SEDS_2022_TBtus!$A$3:$A$53,0))))</f>
        <v>0</v>
      </c>
      <c r="Z69" s="75">
        <f t="array" ref="Z69">IF(ISERROR(index(Com_AllFuels_SEDS_2022_TBtus!$T$3:$T$53,match($B56&amp;Z$2,Com_AllFuels_SEDS_2022_TBtus!$B$3:$B$53&amp;Com_AllFuels_SEDS_2022_TBtus!$A$3:$A$53,0))),0,(index(Com_AllFuels_SEDS_2022_TBtus!$T$3:$T$53,match($B56&amp;Z$2,Com_AllFuels_SEDS_2022_TBtus!$B$3:$B$53&amp;Com_AllFuels_SEDS_2022_TBtus!$A$3:$A$53,0))))</f>
        <v>0</v>
      </c>
      <c r="AA69" s="75">
        <f t="array" ref="AA69">IF(ISERROR(index(Com_AllFuels_SEDS_2022_TBtus!$T$3:$T$53,match($B56&amp;AA$2,Com_AllFuels_SEDS_2022_TBtus!$B$3:$B$53&amp;Com_AllFuels_SEDS_2022_TBtus!$A$3:$A$53,0))),0,(index(Com_AllFuels_SEDS_2022_TBtus!$T$3:$T$53,match($B56&amp;AA$2,Com_AllFuels_SEDS_2022_TBtus!$B$3:$B$53&amp;Com_AllFuels_SEDS_2022_TBtus!$A$3:$A$53,0))))</f>
        <v>0</v>
      </c>
      <c r="AB69" s="75">
        <f t="array" ref="AB69">IF(ISERROR(index(Com_AllFuels_SEDS_2022_TBtus!$T$3:$T$53,match($B56&amp;AB$2,Com_AllFuels_SEDS_2022_TBtus!$B$3:$B$53&amp;Com_AllFuels_SEDS_2022_TBtus!$A$3:$A$53,0))),0,(index(Com_AllFuels_SEDS_2022_TBtus!$T$3:$T$53,match($B56&amp;AB$2,Com_AllFuels_SEDS_2022_TBtus!$B$3:$B$53&amp;Com_AllFuels_SEDS_2022_TBtus!$A$3:$A$53,0))))</f>
        <v>0</v>
      </c>
      <c r="AC69" s="75">
        <f t="array" ref="AC69">IF(ISERROR(index(Com_AllFuels_SEDS_2022_TBtus!$T$3:$T$53,match($B56&amp;AC$2,Com_AllFuels_SEDS_2022_TBtus!$B$3:$B$53&amp;Com_AllFuels_SEDS_2022_TBtus!$A$3:$A$53,0))),0,(index(Com_AllFuels_SEDS_2022_TBtus!$T$3:$T$53,match($B56&amp;AC$2,Com_AllFuels_SEDS_2022_TBtus!$B$3:$B$53&amp;Com_AllFuels_SEDS_2022_TBtus!$A$3:$A$53,0))))</f>
        <v>0</v>
      </c>
      <c r="AD69" s="75">
        <f t="array" ref="AD69">IF(ISERROR(index(Com_AllFuels_SEDS_2022_TBtus!$T$3:$T$53,match($B56&amp;AD$2,Com_AllFuels_SEDS_2022_TBtus!$B$3:$B$53&amp;Com_AllFuels_SEDS_2022_TBtus!$A$3:$A$53,0))),0,(index(Com_AllFuels_SEDS_2022_TBtus!$T$3:$T$53,match($B56&amp;AD$2,Com_AllFuels_SEDS_2022_TBtus!$B$3:$B$53&amp;Com_AllFuels_SEDS_2022_TBtus!$A$3:$A$53,0))))</f>
        <v>0</v>
      </c>
      <c r="AE69" s="75">
        <f t="array" ref="AE69">IF(ISERROR(index(Com_AllFuels_SEDS_2022_TBtus!$T$3:$T$53,match($B56&amp;AE$2,Com_AllFuels_SEDS_2022_TBtus!$B$3:$B$53&amp;Com_AllFuels_SEDS_2022_TBtus!$A$3:$A$53,0))),0,(index(Com_AllFuels_SEDS_2022_TBtus!$T$3:$T$53,match($B56&amp;AE$2,Com_AllFuels_SEDS_2022_TBtus!$B$3:$B$53&amp;Com_AllFuels_SEDS_2022_TBtus!$A$3:$A$53,0))))</f>
        <v>0</v>
      </c>
      <c r="AF69" s="75">
        <f t="array" ref="AF69">IF(ISERROR(index(Com_AllFuels_SEDS_2022_TBtus!$T$3:$T$53,match($B56&amp;AF$2,Com_AllFuels_SEDS_2022_TBtus!$B$3:$B$53&amp;Com_AllFuels_SEDS_2022_TBtus!$A$3:$A$53,0))),0,(index(Com_AllFuels_SEDS_2022_TBtus!$T$3:$T$53,match($B56&amp;AF$2,Com_AllFuels_SEDS_2022_TBtus!$B$3:$B$53&amp;Com_AllFuels_SEDS_2022_TBtus!$A$3:$A$53,0))))</f>
        <v>8.7</v>
      </c>
      <c r="AG69" s="75">
        <f t="array" ref="AG69">IF(ISERROR(index(Com_AllFuels_SEDS_2022_TBtus!$T$3:$T$53,match($B56&amp;AG$2,Com_AllFuels_SEDS_2022_TBtus!$B$3:$B$53&amp;Com_AllFuels_SEDS_2022_TBtus!$A$3:$A$53,0))),0,(index(Com_AllFuels_SEDS_2022_TBtus!$T$3:$T$53,match($B56&amp;AG$2,Com_AllFuels_SEDS_2022_TBtus!$B$3:$B$53&amp;Com_AllFuels_SEDS_2022_TBtus!$A$3:$A$53,0))))</f>
        <v>0</v>
      </c>
      <c r="AH69" s="75">
        <f t="array" ref="AH69">IF(ISERROR(index(Com_AllFuels_SEDS_2022_TBtus!$T$3:$T$53,match($B56&amp;AH$2,Com_AllFuels_SEDS_2022_TBtus!$B$3:$B$53&amp;Com_AllFuels_SEDS_2022_TBtus!$A$3:$A$53,0))),0,(index(Com_AllFuels_SEDS_2022_TBtus!$T$3:$T$53,match($B56&amp;AH$2,Com_AllFuels_SEDS_2022_TBtus!$B$3:$B$53&amp;Com_AllFuels_SEDS_2022_TBtus!$A$3:$A$53,0))))</f>
        <v>0</v>
      </c>
      <c r="AI69" s="75">
        <f t="array" ref="AI69">IF(ISERROR(index(Com_AllFuels_SEDS_2022_TBtus!$T$3:$T$53,match($B56&amp;AI$2,Com_AllFuels_SEDS_2022_TBtus!$B$3:$B$53&amp;Com_AllFuels_SEDS_2022_TBtus!$A$3:$A$53,0))),0,(index(Com_AllFuels_SEDS_2022_TBtus!$T$3:$T$53,match($B56&amp;AI$2,Com_AllFuels_SEDS_2022_TBtus!$B$3:$B$53&amp;Com_AllFuels_SEDS_2022_TBtus!$A$3:$A$53,0))))</f>
        <v>0</v>
      </c>
      <c r="AJ69" s="75">
        <f t="array" ref="AJ69">IF(ISERROR(index(Com_AllFuels_SEDS_2022_TBtus!$T$3:$T$53,match($B56&amp;AJ$2,Com_AllFuels_SEDS_2022_TBtus!$B$3:$B$53&amp;Com_AllFuels_SEDS_2022_TBtus!$A$3:$A$53,0))),0,(index(Com_AllFuels_SEDS_2022_TBtus!$T$3:$T$53,match($B56&amp;AJ$2,Com_AllFuels_SEDS_2022_TBtus!$B$3:$B$53&amp;Com_AllFuels_SEDS_2022_TBtus!$A$3:$A$53,0))))</f>
        <v>0</v>
      </c>
      <c r="AK69" s="75">
        <f t="array" ref="AK69">IF(ISERROR(index(Com_AllFuels_SEDS_2022_TBtus!$T$3:$T$53,match($B56&amp;AK$2,Com_AllFuels_SEDS_2022_TBtus!$B$3:$B$53&amp;Com_AllFuels_SEDS_2022_TBtus!$A$3:$A$53,0))),0,(index(Com_AllFuels_SEDS_2022_TBtus!$T$3:$T$53,match($B56&amp;AK$2,Com_AllFuels_SEDS_2022_TBtus!$B$3:$B$53&amp;Com_AllFuels_SEDS_2022_TBtus!$A$3:$A$53,0))))</f>
        <v>0</v>
      </c>
      <c r="AL69" s="75">
        <f t="array" ref="AL69">IF(ISERROR(index(Com_AllFuels_SEDS_2022_TBtus!$T$3:$T$53,match($B56&amp;AL$2,Com_AllFuels_SEDS_2022_TBtus!$B$3:$B$53&amp;Com_AllFuels_SEDS_2022_TBtus!$A$3:$A$53,0))),0,(index(Com_AllFuels_SEDS_2022_TBtus!$T$3:$T$53,match($B56&amp;AL$2,Com_AllFuels_SEDS_2022_TBtus!$B$3:$B$53&amp;Com_AllFuels_SEDS_2022_TBtus!$A$3:$A$53,0))))</f>
        <v>0</v>
      </c>
      <c r="AM69" s="75">
        <f t="array" ref="AM69">IF(ISERROR(index(Com_AllFuels_SEDS_2022_TBtus!$T$3:$T$53,match($B56&amp;AM$2,Com_AllFuels_SEDS_2022_TBtus!$B$3:$B$53&amp;Com_AllFuels_SEDS_2022_TBtus!$A$3:$A$53,0))),0,(index(Com_AllFuels_SEDS_2022_TBtus!$T$3:$T$53,match($B56&amp;AM$2,Com_AllFuels_SEDS_2022_TBtus!$B$3:$B$53&amp;Com_AllFuels_SEDS_2022_TBtus!$A$3:$A$53,0))))</f>
        <v>0</v>
      </c>
      <c r="AN69" s="75">
        <f t="array" ref="AN69">IF(ISERROR(index(Com_AllFuels_SEDS_2022_TBtus!$T$3:$T$53,match($B56&amp;AN$2,Com_AllFuels_SEDS_2022_TBtus!$B$3:$B$53&amp;Com_AllFuels_SEDS_2022_TBtus!$A$3:$A$53,0))),0,(index(Com_AllFuels_SEDS_2022_TBtus!$T$3:$T$53,match($B56&amp;AN$2,Com_AllFuels_SEDS_2022_TBtus!$B$3:$B$53&amp;Com_AllFuels_SEDS_2022_TBtus!$A$3:$A$53,0))))</f>
        <v>0</v>
      </c>
      <c r="AO69" s="75">
        <f t="array" ref="AO69">IF(ISERROR(index(Com_AllFuels_SEDS_2022_TBtus!$T$3:$T$53,match($B56&amp;AO$2,Com_AllFuels_SEDS_2022_TBtus!$B$3:$B$53&amp;Com_AllFuels_SEDS_2022_TBtus!$A$3:$A$53,0))),0,(index(Com_AllFuels_SEDS_2022_TBtus!$T$3:$T$53,match($B56&amp;AO$2,Com_AllFuels_SEDS_2022_TBtus!$B$3:$B$53&amp;Com_AllFuels_SEDS_2022_TBtus!$A$3:$A$53,0))))</f>
        <v>0</v>
      </c>
      <c r="AP69" s="75">
        <f t="array" ref="AP69">IF(ISERROR(index(Com_AllFuels_SEDS_2022_TBtus!$T$3:$T$53,match($B56&amp;AP$2,Com_AllFuels_SEDS_2022_TBtus!$B$3:$B$53&amp;Com_AllFuels_SEDS_2022_TBtus!$A$3:$A$53,0))),0,(index(Com_AllFuels_SEDS_2022_TBtus!$T$3:$T$53,match($B56&amp;AP$2,Com_AllFuels_SEDS_2022_TBtus!$B$3:$B$53&amp;Com_AllFuels_SEDS_2022_TBtus!$A$3:$A$53,0))))</f>
        <v>1.8</v>
      </c>
      <c r="AQ69" s="75">
        <f t="array" ref="AQ69">IF(ISERROR(index(Com_AllFuels_SEDS_2022_TBtus!$T$3:$T$53,match($B56&amp;AQ$2,Com_AllFuels_SEDS_2022_TBtus!$B$3:$B$53&amp;Com_AllFuels_SEDS_2022_TBtus!$A$3:$A$53,0))),0,(index(Com_AllFuels_SEDS_2022_TBtus!$T$3:$T$53,match($B56&amp;AQ$2,Com_AllFuels_SEDS_2022_TBtus!$B$3:$B$53&amp;Com_AllFuels_SEDS_2022_TBtus!$A$3:$A$53,0))))</f>
        <v>0</v>
      </c>
      <c r="AR69" s="75">
        <f t="array" ref="AR69">IF(ISERROR(index(Com_AllFuels_SEDS_2022_TBtus!$T$3:$T$53,match($B56&amp;AR$2,Com_AllFuels_SEDS_2022_TBtus!$B$3:$B$53&amp;Com_AllFuels_SEDS_2022_TBtus!$A$3:$A$53,0))),0,(index(Com_AllFuels_SEDS_2022_TBtus!$T$3:$T$53,match($B56&amp;AR$2,Com_AllFuels_SEDS_2022_TBtus!$B$3:$B$53&amp;Com_AllFuels_SEDS_2022_TBtus!$A$3:$A$53,0))))</f>
        <v>0</v>
      </c>
      <c r="AS69" s="75">
        <f t="array" ref="AS69">IF(ISERROR(index(Com_AllFuels_SEDS_2022_TBtus!$T$3:$T$53,match($B56&amp;AS$2,Com_AllFuels_SEDS_2022_TBtus!$B$3:$B$53&amp;Com_AllFuels_SEDS_2022_TBtus!$A$3:$A$53,0))),0,(index(Com_AllFuels_SEDS_2022_TBtus!$T$3:$T$53,match($B56&amp;AS$2,Com_AllFuels_SEDS_2022_TBtus!$B$3:$B$53&amp;Com_AllFuels_SEDS_2022_TBtus!$A$3:$A$53,0))))</f>
        <v>0</v>
      </c>
      <c r="AT69" s="75">
        <f t="array" ref="AT69">IF(ISERROR(index(Com_AllFuels_SEDS_2022_TBtus!$T$3:$T$53,match($B56&amp;AT$2,Com_AllFuels_SEDS_2022_TBtus!$B$3:$B$53&amp;Com_AllFuels_SEDS_2022_TBtus!$A$3:$A$53,0))),0,(index(Com_AllFuels_SEDS_2022_TBtus!$T$3:$T$53,match($B56&amp;AT$2,Com_AllFuels_SEDS_2022_TBtus!$B$3:$B$53&amp;Com_AllFuels_SEDS_2022_TBtus!$A$3:$A$53,0))))</f>
        <v>0</v>
      </c>
      <c r="AU69" s="75">
        <f t="array" ref="AU69">IF(ISERROR(index(Com_AllFuels_SEDS_2022_TBtus!$T$3:$T$53,match($B56&amp;AU$2,Com_AllFuels_SEDS_2022_TBtus!$B$3:$B$53&amp;Com_AllFuels_SEDS_2022_TBtus!$A$3:$A$53,0))),0,(index(Com_AllFuels_SEDS_2022_TBtus!$T$3:$T$53,match($B56&amp;AU$2,Com_AllFuels_SEDS_2022_TBtus!$B$3:$B$53&amp;Com_AllFuels_SEDS_2022_TBtus!$A$3:$A$53,0))))</f>
        <v>0</v>
      </c>
      <c r="AV69" s="75">
        <f t="array" ref="AV69">IF(ISERROR(index(Com_AllFuels_SEDS_2022_TBtus!$T$3:$T$53,match($B56&amp;AV$2,Com_AllFuels_SEDS_2022_TBtus!$B$3:$B$53&amp;Com_AllFuels_SEDS_2022_TBtus!$A$3:$A$53,0))),0,(index(Com_AllFuels_SEDS_2022_TBtus!$T$3:$T$53,match($B56&amp;AV$2,Com_AllFuels_SEDS_2022_TBtus!$B$3:$B$53&amp;Com_AllFuels_SEDS_2022_TBtus!$A$3:$A$53,0))))</f>
        <v>4.3</v>
      </c>
      <c r="AW69" s="75">
        <f t="array" ref="AW69">IF(ISERROR(index(Com_AllFuels_SEDS_2022_TBtus!$T$3:$T$53,match($B56&amp;AW$2,Com_AllFuels_SEDS_2022_TBtus!$B$3:$B$53&amp;Com_AllFuels_SEDS_2022_TBtus!$A$3:$A$53,0))),0,(index(Com_AllFuels_SEDS_2022_TBtus!$T$3:$T$53,match($B56&amp;AW$2,Com_AllFuels_SEDS_2022_TBtus!$B$3:$B$53&amp;Com_AllFuels_SEDS_2022_TBtus!$A$3:$A$53,0))))</f>
        <v>0</v>
      </c>
      <c r="AX69" s="75">
        <f t="array" ref="AX69">IF(ISERROR(index(Com_AllFuels_SEDS_2022_TBtus!$T$3:$T$53,match($B56&amp;AX$2,Com_AllFuels_SEDS_2022_TBtus!$B$3:$B$53&amp;Com_AllFuels_SEDS_2022_TBtus!$A$3:$A$53,0))),0,(index(Com_AllFuels_SEDS_2022_TBtus!$T$3:$T$53,match($B56&amp;AX$2,Com_AllFuels_SEDS_2022_TBtus!$B$3:$B$53&amp;Com_AllFuels_SEDS_2022_TBtus!$A$3:$A$53,0))))</f>
        <v>0</v>
      </c>
      <c r="AY69" s="75">
        <f t="array" ref="AY69">IF(ISERROR(index(Com_AllFuels_SEDS_2022_TBtus!$T$3:$T$53,match($B56&amp;AY$2,Com_AllFuels_SEDS_2022_TBtus!$B$3:$B$53&amp;Com_AllFuels_SEDS_2022_TBtus!$A$3:$A$53,0))),0,(index(Com_AllFuels_SEDS_2022_TBtus!$T$3:$T$53,match($B56&amp;AY$2,Com_AllFuels_SEDS_2022_TBtus!$B$3:$B$53&amp;Com_AllFuels_SEDS_2022_TBtus!$A$3:$A$53,0))))</f>
        <v>0</v>
      </c>
      <c r="AZ69" s="75">
        <f t="array" ref="AZ69">IF(ISERROR(index(Com_AllFuels_SEDS_2022_TBtus!$T$3:$T$53,match($B56&amp;AZ$2,Com_AllFuels_SEDS_2022_TBtus!$B$3:$B$53&amp;Com_AllFuels_SEDS_2022_TBtus!$A$3:$A$53,0))),0,(index(Com_AllFuels_SEDS_2022_TBtus!$T$3:$T$53,match($B56&amp;AZ$2,Com_AllFuels_SEDS_2022_TBtus!$B$3:$B$53&amp;Com_AllFuels_SEDS_2022_TBtus!$A$3:$A$53,0))))</f>
        <v>0</v>
      </c>
      <c r="BA69" s="75">
        <f t="array" ref="BA69">IF(ISERROR(index(Com_AllFuels_SEDS_2022_TBtus!$T$3:$T$53,match($B56&amp;BA$2,Com_AllFuels_SEDS_2022_TBtus!$B$3:$B$53&amp;Com_AllFuels_SEDS_2022_TBtus!$A$3:$A$53,0))),0,(index(Com_AllFuels_SEDS_2022_TBtus!$T$3:$T$53,match($B56&amp;BA$2,Com_AllFuels_SEDS_2022_TBtus!$B$3:$B$53&amp;Com_AllFuels_SEDS_2022_TBtus!$A$3:$A$53,0))))</f>
        <v>0</v>
      </c>
      <c r="BB69" s="74">
        <f t="shared" ref="BB69:BB78" si="11">sum(C69:BA69)</f>
        <v>43.8</v>
      </c>
    </row>
    <row r="70" ht="15.75" customHeight="1">
      <c r="A70" s="78"/>
      <c r="B70" s="74">
        <v>2.0</v>
      </c>
      <c r="C70" s="75">
        <f t="array" ref="C70">IF(ISERROR(index(Com_AllFuels_SEDS_2022_TBtus!$T$3:$T$53,match($B57&amp;C$2,Com_AllFuels_SEDS_2022_TBtus!$B$3:$B$53&amp;Com_AllFuels_SEDS_2022_TBtus!$A$3:$A$53,0))),0,(index(Com_AllFuels_SEDS_2022_TBtus!$T$3:$T$53,match($B57&amp;C$2,Com_AllFuels_SEDS_2022_TBtus!$B$3:$B$53&amp;Com_AllFuels_SEDS_2022_TBtus!$A$3:$A$53,0))))</f>
        <v>0</v>
      </c>
      <c r="D70" s="75">
        <f t="array" ref="D70">IF(ISERROR(index(Com_AllFuels_SEDS_2022_TBtus!$T$3:$T$53,match($B57&amp;D$2,Com_AllFuels_SEDS_2022_TBtus!$B$3:$B$53&amp;Com_AllFuels_SEDS_2022_TBtus!$A$3:$A$53,0))),0,(index(Com_AllFuels_SEDS_2022_TBtus!$T$3:$T$53,match($B57&amp;D$2,Com_AllFuels_SEDS_2022_TBtus!$B$3:$B$53&amp;Com_AllFuels_SEDS_2022_TBtus!$A$3:$A$53,0))))</f>
        <v>0</v>
      </c>
      <c r="E70" s="75">
        <f t="array" ref="E70">IF(ISERROR(index(Com_AllFuels_SEDS_2022_TBtus!$T$3:$T$53,match($B57&amp;E$2,Com_AllFuels_SEDS_2022_TBtus!$B$3:$B$53&amp;Com_AllFuels_SEDS_2022_TBtus!$A$3:$A$53,0))),0,(index(Com_AllFuels_SEDS_2022_TBtus!$T$3:$T$53,match($B57&amp;E$2,Com_AllFuels_SEDS_2022_TBtus!$B$3:$B$53&amp;Com_AllFuels_SEDS_2022_TBtus!$A$3:$A$53,0))))</f>
        <v>0</v>
      </c>
      <c r="F70" s="75">
        <f t="array" ref="F70">IF(ISERROR(index(Com_AllFuels_SEDS_2022_TBtus!$T$3:$T$53,match($B57&amp;F$2,Com_AllFuels_SEDS_2022_TBtus!$B$3:$B$53&amp;Com_AllFuels_SEDS_2022_TBtus!$A$3:$A$53,0))),0,(index(Com_AllFuels_SEDS_2022_TBtus!$T$3:$T$53,match($B57&amp;F$2,Com_AllFuels_SEDS_2022_TBtus!$B$3:$B$53&amp;Com_AllFuels_SEDS_2022_TBtus!$A$3:$A$53,0))))</f>
        <v>0</v>
      </c>
      <c r="G70" s="75">
        <f t="array" ref="G70">IF(ISERROR(index(Com_AllFuels_SEDS_2022_TBtus!$T$3:$T$53,match($B57&amp;G$2,Com_AllFuels_SEDS_2022_TBtus!$B$3:$B$53&amp;Com_AllFuels_SEDS_2022_TBtus!$A$3:$A$53,0))),0,(index(Com_AllFuels_SEDS_2022_TBtus!$T$3:$T$53,match($B57&amp;G$2,Com_AllFuels_SEDS_2022_TBtus!$B$3:$B$53&amp;Com_AllFuels_SEDS_2022_TBtus!$A$3:$A$53,0))))</f>
        <v>0</v>
      </c>
      <c r="H70" s="75">
        <f t="array" ref="H70">IF(ISERROR(index(Com_AllFuels_SEDS_2022_TBtus!$T$3:$T$53,match($B57&amp;H$2,Com_AllFuels_SEDS_2022_TBtus!$B$3:$B$53&amp;Com_AllFuels_SEDS_2022_TBtus!$A$3:$A$53,0))),0,(index(Com_AllFuels_SEDS_2022_TBtus!$T$3:$T$53,match($B57&amp;H$2,Com_AllFuels_SEDS_2022_TBtus!$B$3:$B$53&amp;Com_AllFuels_SEDS_2022_TBtus!$A$3:$A$53,0))))</f>
        <v>0</v>
      </c>
      <c r="I70" s="75">
        <f t="array" ref="I70">IF(ISERROR(index(Com_AllFuels_SEDS_2022_TBtus!$T$3:$T$53,match($B57&amp;I$2,Com_AllFuels_SEDS_2022_TBtus!$B$3:$B$53&amp;Com_AllFuels_SEDS_2022_TBtus!$A$3:$A$53,0))),0,(index(Com_AllFuels_SEDS_2022_TBtus!$T$3:$T$53,match($B57&amp;I$2,Com_AllFuels_SEDS_2022_TBtus!$B$3:$B$53&amp;Com_AllFuels_SEDS_2022_TBtus!$A$3:$A$53,0))))</f>
        <v>0</v>
      </c>
      <c r="J70" s="75">
        <f t="array" ref="J70">IF(ISERROR(index(Com_AllFuels_SEDS_2022_TBtus!$T$3:$T$53,match($B57&amp;J$2,Com_AllFuels_SEDS_2022_TBtus!$B$3:$B$53&amp;Com_AllFuels_SEDS_2022_TBtus!$A$3:$A$53,0))),0,(index(Com_AllFuels_SEDS_2022_TBtus!$T$3:$T$53,match($B57&amp;J$2,Com_AllFuels_SEDS_2022_TBtus!$B$3:$B$53&amp;Com_AllFuels_SEDS_2022_TBtus!$A$3:$A$53,0))))</f>
        <v>0</v>
      </c>
      <c r="K70" s="75">
        <f t="array" ref="K70">IF(ISERROR(index(Com_AllFuels_SEDS_2022_TBtus!$T$3:$T$53,match($B57&amp;K$2,Com_AllFuels_SEDS_2022_TBtus!$B$3:$B$53&amp;Com_AllFuels_SEDS_2022_TBtus!$A$3:$A$53,0))),0,(index(Com_AllFuels_SEDS_2022_TBtus!$T$3:$T$53,match($B57&amp;K$2,Com_AllFuels_SEDS_2022_TBtus!$B$3:$B$53&amp;Com_AllFuels_SEDS_2022_TBtus!$A$3:$A$53,0))))</f>
        <v>0</v>
      </c>
      <c r="L70" s="75">
        <f t="array" ref="L70">IF(ISERROR(index(Com_AllFuels_SEDS_2022_TBtus!$T$3:$T$53,match($B57&amp;L$2,Com_AllFuels_SEDS_2022_TBtus!$B$3:$B$53&amp;Com_AllFuels_SEDS_2022_TBtus!$A$3:$A$53,0))),0,(index(Com_AllFuels_SEDS_2022_TBtus!$T$3:$T$53,match($B57&amp;L$2,Com_AllFuels_SEDS_2022_TBtus!$B$3:$B$53&amp;Com_AllFuels_SEDS_2022_TBtus!$A$3:$A$53,0))))</f>
        <v>0</v>
      </c>
      <c r="M70" s="75">
        <f t="array" ref="M70">IF(ISERROR(index(Com_AllFuels_SEDS_2022_TBtus!$T$3:$T$53,match($B57&amp;M$2,Com_AllFuels_SEDS_2022_TBtus!$B$3:$B$53&amp;Com_AllFuels_SEDS_2022_TBtus!$A$3:$A$53,0))),0,(index(Com_AllFuels_SEDS_2022_TBtus!$T$3:$T$53,match($B57&amp;M$2,Com_AllFuels_SEDS_2022_TBtus!$B$3:$B$53&amp;Com_AllFuels_SEDS_2022_TBtus!$A$3:$A$53,0))))</f>
        <v>0</v>
      </c>
      <c r="N70" s="75">
        <f t="array" ref="N70">IF(ISERROR(index(Com_AllFuels_SEDS_2022_TBtus!$T$3:$T$53,match($B57&amp;N$2,Com_AllFuels_SEDS_2022_TBtus!$B$3:$B$53&amp;Com_AllFuels_SEDS_2022_TBtus!$A$3:$A$53,0))),0,(index(Com_AllFuels_SEDS_2022_TBtus!$T$3:$T$53,match($B57&amp;N$2,Com_AllFuels_SEDS_2022_TBtus!$B$3:$B$53&amp;Com_AllFuels_SEDS_2022_TBtus!$A$3:$A$53,0))))</f>
        <v>0</v>
      </c>
      <c r="O70" s="75">
        <f t="array" ref="O70">IF(ISERROR(index(Com_AllFuels_SEDS_2022_TBtus!$T$3:$T$53,match($B57&amp;O$2,Com_AllFuels_SEDS_2022_TBtus!$B$3:$B$53&amp;Com_AllFuels_SEDS_2022_TBtus!$A$3:$A$53,0))),0,(index(Com_AllFuels_SEDS_2022_TBtus!$T$3:$T$53,match($B57&amp;O$2,Com_AllFuels_SEDS_2022_TBtus!$B$3:$B$53&amp;Com_AllFuels_SEDS_2022_TBtus!$A$3:$A$53,0))))</f>
        <v>0</v>
      </c>
      <c r="P70" s="75">
        <f t="array" ref="P70">IF(ISERROR(index(Com_AllFuels_SEDS_2022_TBtus!$T$3:$T$53,match($B57&amp;P$2,Com_AllFuels_SEDS_2022_TBtus!$B$3:$B$53&amp;Com_AllFuels_SEDS_2022_TBtus!$A$3:$A$53,0))),0,(index(Com_AllFuels_SEDS_2022_TBtus!$T$3:$T$53,match($B57&amp;P$2,Com_AllFuels_SEDS_2022_TBtus!$B$3:$B$53&amp;Com_AllFuels_SEDS_2022_TBtus!$A$3:$A$53,0))))</f>
        <v>0</v>
      </c>
      <c r="Q70" s="75">
        <f t="array" ref="Q70">IF(ISERROR(index(Com_AllFuels_SEDS_2022_TBtus!$T$3:$T$53,match($B57&amp;Q$2,Com_AllFuels_SEDS_2022_TBtus!$B$3:$B$53&amp;Com_AllFuels_SEDS_2022_TBtus!$A$3:$A$53,0))),0,(index(Com_AllFuels_SEDS_2022_TBtus!$T$3:$T$53,match($B57&amp;Q$2,Com_AllFuels_SEDS_2022_TBtus!$B$3:$B$53&amp;Com_AllFuels_SEDS_2022_TBtus!$A$3:$A$53,0))))</f>
        <v>0</v>
      </c>
      <c r="R70" s="75">
        <f t="array" ref="R70">IF(ISERROR(index(Com_AllFuels_SEDS_2022_TBtus!$T$3:$T$53,match($B57&amp;R$2,Com_AllFuels_SEDS_2022_TBtus!$B$3:$B$53&amp;Com_AllFuels_SEDS_2022_TBtus!$A$3:$A$53,0))),0,(index(Com_AllFuels_SEDS_2022_TBtus!$T$3:$T$53,match($B57&amp;R$2,Com_AllFuels_SEDS_2022_TBtus!$B$3:$B$53&amp;Com_AllFuels_SEDS_2022_TBtus!$A$3:$A$53,0))))</f>
        <v>0</v>
      </c>
      <c r="S70" s="75">
        <f t="array" ref="S70">IF(ISERROR(index(Com_AllFuels_SEDS_2022_TBtus!$T$3:$T$53,match($B57&amp;S$2,Com_AllFuels_SEDS_2022_TBtus!$B$3:$B$53&amp;Com_AllFuels_SEDS_2022_TBtus!$A$3:$A$53,0))),0,(index(Com_AllFuels_SEDS_2022_TBtus!$T$3:$T$53,match($B57&amp;S$2,Com_AllFuels_SEDS_2022_TBtus!$B$3:$B$53&amp;Com_AllFuels_SEDS_2022_TBtus!$A$3:$A$53,0))))</f>
        <v>0</v>
      </c>
      <c r="T70" s="75">
        <f t="array" ref="T70">IF(ISERROR(index(Com_AllFuels_SEDS_2022_TBtus!$T$3:$T$53,match($B57&amp;T$2,Com_AllFuels_SEDS_2022_TBtus!$B$3:$B$53&amp;Com_AllFuels_SEDS_2022_TBtus!$A$3:$A$53,0))),0,(index(Com_AllFuels_SEDS_2022_TBtus!$T$3:$T$53,match($B57&amp;T$2,Com_AllFuels_SEDS_2022_TBtus!$B$3:$B$53&amp;Com_AllFuels_SEDS_2022_TBtus!$A$3:$A$53,0))))</f>
        <v>0</v>
      </c>
      <c r="U70" s="75">
        <f t="array" ref="U70">IF(ISERROR(index(Com_AllFuels_SEDS_2022_TBtus!$T$3:$T$53,match($B57&amp;U$2,Com_AllFuels_SEDS_2022_TBtus!$B$3:$B$53&amp;Com_AllFuels_SEDS_2022_TBtus!$A$3:$A$53,0))),0,(index(Com_AllFuels_SEDS_2022_TBtus!$T$3:$T$53,match($B57&amp;U$2,Com_AllFuels_SEDS_2022_TBtus!$B$3:$B$53&amp;Com_AllFuels_SEDS_2022_TBtus!$A$3:$A$53,0))))</f>
        <v>0</v>
      </c>
      <c r="V70" s="75">
        <f t="array" ref="V70">IF(ISERROR(index(Com_AllFuels_SEDS_2022_TBtus!$T$3:$T$53,match($B57&amp;V$2,Com_AllFuels_SEDS_2022_TBtus!$B$3:$B$53&amp;Com_AllFuels_SEDS_2022_TBtus!$A$3:$A$53,0))),0,(index(Com_AllFuels_SEDS_2022_TBtus!$T$3:$T$53,match($B57&amp;V$2,Com_AllFuels_SEDS_2022_TBtus!$B$3:$B$53&amp;Com_AllFuels_SEDS_2022_TBtus!$A$3:$A$53,0))))</f>
        <v>0</v>
      </c>
      <c r="W70" s="75">
        <f t="array" ref="W70">IF(ISERROR(index(Com_AllFuels_SEDS_2022_TBtus!$T$3:$T$53,match($B57&amp;W$2,Com_AllFuels_SEDS_2022_TBtus!$B$3:$B$53&amp;Com_AllFuels_SEDS_2022_TBtus!$A$3:$A$53,0))),0,(index(Com_AllFuels_SEDS_2022_TBtus!$T$3:$T$53,match($B57&amp;W$2,Com_AllFuels_SEDS_2022_TBtus!$B$3:$B$53&amp;Com_AllFuels_SEDS_2022_TBtus!$A$3:$A$53,0))))</f>
        <v>0</v>
      </c>
      <c r="X70" s="75">
        <f t="array" ref="X70">IF(ISERROR(index(Com_AllFuels_SEDS_2022_TBtus!$T$3:$T$53,match($B57&amp;X$2,Com_AllFuels_SEDS_2022_TBtus!$B$3:$B$53&amp;Com_AllFuels_SEDS_2022_TBtus!$A$3:$A$53,0))),0,(index(Com_AllFuels_SEDS_2022_TBtus!$T$3:$T$53,match($B57&amp;X$2,Com_AllFuels_SEDS_2022_TBtus!$B$3:$B$53&amp;Com_AllFuels_SEDS_2022_TBtus!$A$3:$A$53,0))))</f>
        <v>0</v>
      </c>
      <c r="Y70" s="75">
        <f t="array" ref="Y70">IF(ISERROR(index(Com_AllFuels_SEDS_2022_TBtus!$T$3:$T$53,match($B57&amp;Y$2,Com_AllFuels_SEDS_2022_TBtus!$B$3:$B$53&amp;Com_AllFuels_SEDS_2022_TBtus!$A$3:$A$53,0))),0,(index(Com_AllFuels_SEDS_2022_TBtus!$T$3:$T$53,match($B57&amp;Y$2,Com_AllFuels_SEDS_2022_TBtus!$B$3:$B$53&amp;Com_AllFuels_SEDS_2022_TBtus!$A$3:$A$53,0))))</f>
        <v>0</v>
      </c>
      <c r="Z70" s="75">
        <f t="array" ref="Z70">IF(ISERROR(index(Com_AllFuels_SEDS_2022_TBtus!$T$3:$T$53,match($B57&amp;Z$2,Com_AllFuels_SEDS_2022_TBtus!$B$3:$B$53&amp;Com_AllFuels_SEDS_2022_TBtus!$A$3:$A$53,0))),0,(index(Com_AllFuels_SEDS_2022_TBtus!$T$3:$T$53,match($B57&amp;Z$2,Com_AllFuels_SEDS_2022_TBtus!$B$3:$B$53&amp;Com_AllFuels_SEDS_2022_TBtus!$A$3:$A$53,0))))</f>
        <v>0</v>
      </c>
      <c r="AA70" s="75">
        <f t="array" ref="AA70">IF(ISERROR(index(Com_AllFuels_SEDS_2022_TBtus!$T$3:$T$53,match($B57&amp;AA$2,Com_AllFuels_SEDS_2022_TBtus!$B$3:$B$53&amp;Com_AllFuels_SEDS_2022_TBtus!$A$3:$A$53,0))),0,(index(Com_AllFuels_SEDS_2022_TBtus!$T$3:$T$53,match($B57&amp;AA$2,Com_AllFuels_SEDS_2022_TBtus!$B$3:$B$53&amp;Com_AllFuels_SEDS_2022_TBtus!$A$3:$A$53,0))))</f>
        <v>0</v>
      </c>
      <c r="AB70" s="75">
        <f t="array" ref="AB70">IF(ISERROR(index(Com_AllFuels_SEDS_2022_TBtus!$T$3:$T$53,match($B57&amp;AB$2,Com_AllFuels_SEDS_2022_TBtus!$B$3:$B$53&amp;Com_AllFuels_SEDS_2022_TBtus!$A$3:$A$53,0))),0,(index(Com_AllFuels_SEDS_2022_TBtus!$T$3:$T$53,match($B57&amp;AB$2,Com_AllFuels_SEDS_2022_TBtus!$B$3:$B$53&amp;Com_AllFuels_SEDS_2022_TBtus!$A$3:$A$53,0))))</f>
        <v>0</v>
      </c>
      <c r="AC70" s="75">
        <f t="array" ref="AC70">IF(ISERROR(index(Com_AllFuels_SEDS_2022_TBtus!$T$3:$T$53,match($B57&amp;AC$2,Com_AllFuels_SEDS_2022_TBtus!$B$3:$B$53&amp;Com_AllFuels_SEDS_2022_TBtus!$A$3:$A$53,0))),0,(index(Com_AllFuels_SEDS_2022_TBtus!$T$3:$T$53,match($B57&amp;AC$2,Com_AllFuels_SEDS_2022_TBtus!$B$3:$B$53&amp;Com_AllFuels_SEDS_2022_TBtus!$A$3:$A$53,0))))</f>
        <v>0</v>
      </c>
      <c r="AD70" s="75">
        <f t="array" ref="AD70">IF(ISERROR(index(Com_AllFuels_SEDS_2022_TBtus!$T$3:$T$53,match($B57&amp;AD$2,Com_AllFuels_SEDS_2022_TBtus!$B$3:$B$53&amp;Com_AllFuels_SEDS_2022_TBtus!$A$3:$A$53,0))),0,(index(Com_AllFuels_SEDS_2022_TBtus!$T$3:$T$53,match($B57&amp;AD$2,Com_AllFuels_SEDS_2022_TBtus!$B$3:$B$53&amp;Com_AllFuels_SEDS_2022_TBtus!$A$3:$A$53,0))))</f>
        <v>0</v>
      </c>
      <c r="AE70" s="75">
        <f t="array" ref="AE70">IF(ISERROR(index(Com_AllFuels_SEDS_2022_TBtus!$T$3:$T$53,match($B57&amp;AE$2,Com_AllFuels_SEDS_2022_TBtus!$B$3:$B$53&amp;Com_AllFuels_SEDS_2022_TBtus!$A$3:$A$53,0))),0,(index(Com_AllFuels_SEDS_2022_TBtus!$T$3:$T$53,match($B57&amp;AE$2,Com_AllFuels_SEDS_2022_TBtus!$B$3:$B$53&amp;Com_AllFuels_SEDS_2022_TBtus!$A$3:$A$53,0))))</f>
        <v>0</v>
      </c>
      <c r="AF70" s="75">
        <f t="array" ref="AF70">IF(ISERROR(index(Com_AllFuels_SEDS_2022_TBtus!$T$3:$T$53,match($B57&amp;AF$2,Com_AllFuels_SEDS_2022_TBtus!$B$3:$B$53&amp;Com_AllFuels_SEDS_2022_TBtus!$A$3:$A$53,0))),0,(index(Com_AllFuels_SEDS_2022_TBtus!$T$3:$T$53,match($B57&amp;AF$2,Com_AllFuels_SEDS_2022_TBtus!$B$3:$B$53&amp;Com_AllFuels_SEDS_2022_TBtus!$A$3:$A$53,0))))</f>
        <v>0</v>
      </c>
      <c r="AG70" s="75">
        <f t="array" ref="AG70">IF(ISERROR(index(Com_AllFuels_SEDS_2022_TBtus!$T$3:$T$53,match($B57&amp;AG$2,Com_AllFuels_SEDS_2022_TBtus!$B$3:$B$53&amp;Com_AllFuels_SEDS_2022_TBtus!$A$3:$A$53,0))),0,(index(Com_AllFuels_SEDS_2022_TBtus!$T$3:$T$53,match($B57&amp;AG$2,Com_AllFuels_SEDS_2022_TBtus!$B$3:$B$53&amp;Com_AllFuels_SEDS_2022_TBtus!$A$3:$A$53,0))))</f>
        <v>13.9</v>
      </c>
      <c r="AH70" s="75">
        <f t="array" ref="AH70">IF(ISERROR(index(Com_AllFuels_SEDS_2022_TBtus!$T$3:$T$53,match($B57&amp;AH$2,Com_AllFuels_SEDS_2022_TBtus!$B$3:$B$53&amp;Com_AllFuels_SEDS_2022_TBtus!$A$3:$A$53,0))),0,(index(Com_AllFuels_SEDS_2022_TBtus!$T$3:$T$53,match($B57&amp;AH$2,Com_AllFuels_SEDS_2022_TBtus!$B$3:$B$53&amp;Com_AllFuels_SEDS_2022_TBtus!$A$3:$A$53,0))))</f>
        <v>0</v>
      </c>
      <c r="AI70" s="75">
        <f t="array" ref="AI70">IF(ISERROR(index(Com_AllFuels_SEDS_2022_TBtus!$T$3:$T$53,match($B57&amp;AI$2,Com_AllFuels_SEDS_2022_TBtus!$B$3:$B$53&amp;Com_AllFuels_SEDS_2022_TBtus!$A$3:$A$53,0))),0,(index(Com_AllFuels_SEDS_2022_TBtus!$T$3:$T$53,match($B57&amp;AI$2,Com_AllFuels_SEDS_2022_TBtus!$B$3:$B$53&amp;Com_AllFuels_SEDS_2022_TBtus!$A$3:$A$53,0))))</f>
        <v>30.9</v>
      </c>
      <c r="AJ70" s="75">
        <f t="array" ref="AJ70">IF(ISERROR(index(Com_AllFuels_SEDS_2022_TBtus!$T$3:$T$53,match($B57&amp;AJ$2,Com_AllFuels_SEDS_2022_TBtus!$B$3:$B$53&amp;Com_AllFuels_SEDS_2022_TBtus!$A$3:$A$53,0))),0,(index(Com_AllFuels_SEDS_2022_TBtus!$T$3:$T$53,match($B57&amp;AJ$2,Com_AllFuels_SEDS_2022_TBtus!$B$3:$B$53&amp;Com_AllFuels_SEDS_2022_TBtus!$A$3:$A$53,0))))</f>
        <v>0</v>
      </c>
      <c r="AK70" s="75">
        <f t="array" ref="AK70">IF(ISERROR(index(Com_AllFuels_SEDS_2022_TBtus!$T$3:$T$53,match($B57&amp;AK$2,Com_AllFuels_SEDS_2022_TBtus!$B$3:$B$53&amp;Com_AllFuels_SEDS_2022_TBtus!$A$3:$A$53,0))),0,(index(Com_AllFuels_SEDS_2022_TBtus!$T$3:$T$53,match($B57&amp;AK$2,Com_AllFuels_SEDS_2022_TBtus!$B$3:$B$53&amp;Com_AllFuels_SEDS_2022_TBtus!$A$3:$A$53,0))))</f>
        <v>0</v>
      </c>
      <c r="AL70" s="75">
        <f t="array" ref="AL70">IF(ISERROR(index(Com_AllFuels_SEDS_2022_TBtus!$T$3:$T$53,match($B57&amp;AL$2,Com_AllFuels_SEDS_2022_TBtus!$B$3:$B$53&amp;Com_AllFuels_SEDS_2022_TBtus!$A$3:$A$53,0))),0,(index(Com_AllFuels_SEDS_2022_TBtus!$T$3:$T$53,match($B57&amp;AL$2,Com_AllFuels_SEDS_2022_TBtus!$B$3:$B$53&amp;Com_AllFuels_SEDS_2022_TBtus!$A$3:$A$53,0))))</f>
        <v>0</v>
      </c>
      <c r="AM70" s="75">
        <f t="array" ref="AM70">IF(ISERROR(index(Com_AllFuels_SEDS_2022_TBtus!$T$3:$T$53,match($B57&amp;AM$2,Com_AllFuels_SEDS_2022_TBtus!$B$3:$B$53&amp;Com_AllFuels_SEDS_2022_TBtus!$A$3:$A$53,0))),0,(index(Com_AllFuels_SEDS_2022_TBtus!$T$3:$T$53,match($B57&amp;AM$2,Com_AllFuels_SEDS_2022_TBtus!$B$3:$B$53&amp;Com_AllFuels_SEDS_2022_TBtus!$A$3:$A$53,0))))</f>
        <v>0</v>
      </c>
      <c r="AN70" s="75">
        <f t="array" ref="AN70">IF(ISERROR(index(Com_AllFuels_SEDS_2022_TBtus!$T$3:$T$53,match($B57&amp;AN$2,Com_AllFuels_SEDS_2022_TBtus!$B$3:$B$53&amp;Com_AllFuels_SEDS_2022_TBtus!$A$3:$A$53,0))),0,(index(Com_AllFuels_SEDS_2022_TBtus!$T$3:$T$53,match($B57&amp;AN$2,Com_AllFuels_SEDS_2022_TBtus!$B$3:$B$53&amp;Com_AllFuels_SEDS_2022_TBtus!$A$3:$A$53,0))))</f>
        <v>0</v>
      </c>
      <c r="AO70" s="75">
        <f t="array" ref="AO70">IF(ISERROR(index(Com_AllFuels_SEDS_2022_TBtus!$T$3:$T$53,match($B57&amp;AO$2,Com_AllFuels_SEDS_2022_TBtus!$B$3:$B$53&amp;Com_AllFuels_SEDS_2022_TBtus!$A$3:$A$53,0))),0,(index(Com_AllFuels_SEDS_2022_TBtus!$T$3:$T$53,match($B57&amp;AO$2,Com_AllFuels_SEDS_2022_TBtus!$B$3:$B$53&amp;Com_AllFuels_SEDS_2022_TBtus!$A$3:$A$53,0))))</f>
        <v>23.6</v>
      </c>
      <c r="AP70" s="75">
        <f t="array" ref="AP70">IF(ISERROR(index(Com_AllFuels_SEDS_2022_TBtus!$T$3:$T$53,match($B57&amp;AP$2,Com_AllFuels_SEDS_2022_TBtus!$B$3:$B$53&amp;Com_AllFuels_SEDS_2022_TBtus!$A$3:$A$53,0))),0,(index(Com_AllFuels_SEDS_2022_TBtus!$T$3:$T$53,match($B57&amp;AP$2,Com_AllFuels_SEDS_2022_TBtus!$B$3:$B$53&amp;Com_AllFuels_SEDS_2022_TBtus!$A$3:$A$53,0))))</f>
        <v>0</v>
      </c>
      <c r="AQ70" s="75">
        <f t="array" ref="AQ70">IF(ISERROR(index(Com_AllFuels_SEDS_2022_TBtus!$T$3:$T$53,match($B57&amp;AQ$2,Com_AllFuels_SEDS_2022_TBtus!$B$3:$B$53&amp;Com_AllFuels_SEDS_2022_TBtus!$A$3:$A$53,0))),0,(index(Com_AllFuels_SEDS_2022_TBtus!$T$3:$T$53,match($B57&amp;AQ$2,Com_AllFuels_SEDS_2022_TBtus!$B$3:$B$53&amp;Com_AllFuels_SEDS_2022_TBtus!$A$3:$A$53,0))))</f>
        <v>0</v>
      </c>
      <c r="AR70" s="75">
        <f t="array" ref="AR70">IF(ISERROR(index(Com_AllFuels_SEDS_2022_TBtus!$T$3:$T$53,match($B57&amp;AR$2,Com_AllFuels_SEDS_2022_TBtus!$B$3:$B$53&amp;Com_AllFuels_SEDS_2022_TBtus!$A$3:$A$53,0))),0,(index(Com_AllFuels_SEDS_2022_TBtus!$T$3:$T$53,match($B57&amp;AR$2,Com_AllFuels_SEDS_2022_TBtus!$B$3:$B$53&amp;Com_AllFuels_SEDS_2022_TBtus!$A$3:$A$53,0))))</f>
        <v>0</v>
      </c>
      <c r="AS70" s="75">
        <f t="array" ref="AS70">IF(ISERROR(index(Com_AllFuels_SEDS_2022_TBtus!$T$3:$T$53,match($B57&amp;AS$2,Com_AllFuels_SEDS_2022_TBtus!$B$3:$B$53&amp;Com_AllFuels_SEDS_2022_TBtus!$A$3:$A$53,0))),0,(index(Com_AllFuels_SEDS_2022_TBtus!$T$3:$T$53,match($B57&amp;AS$2,Com_AllFuels_SEDS_2022_TBtus!$B$3:$B$53&amp;Com_AllFuels_SEDS_2022_TBtus!$A$3:$A$53,0))))</f>
        <v>0</v>
      </c>
      <c r="AT70" s="75">
        <f t="array" ref="AT70">IF(ISERROR(index(Com_AllFuels_SEDS_2022_TBtus!$T$3:$T$53,match($B57&amp;AT$2,Com_AllFuels_SEDS_2022_TBtus!$B$3:$B$53&amp;Com_AllFuels_SEDS_2022_TBtus!$A$3:$A$53,0))),0,(index(Com_AllFuels_SEDS_2022_TBtus!$T$3:$T$53,match($B57&amp;AT$2,Com_AllFuels_SEDS_2022_TBtus!$B$3:$B$53&amp;Com_AllFuels_SEDS_2022_TBtus!$A$3:$A$53,0))))</f>
        <v>0</v>
      </c>
      <c r="AU70" s="75">
        <f t="array" ref="AU70">IF(ISERROR(index(Com_AllFuels_SEDS_2022_TBtus!$T$3:$T$53,match($B57&amp;AU$2,Com_AllFuels_SEDS_2022_TBtus!$B$3:$B$53&amp;Com_AllFuels_SEDS_2022_TBtus!$A$3:$A$53,0))),0,(index(Com_AllFuels_SEDS_2022_TBtus!$T$3:$T$53,match($B57&amp;AU$2,Com_AllFuels_SEDS_2022_TBtus!$B$3:$B$53&amp;Com_AllFuels_SEDS_2022_TBtus!$A$3:$A$53,0))))</f>
        <v>0</v>
      </c>
      <c r="AV70" s="75">
        <f t="array" ref="AV70">IF(ISERROR(index(Com_AllFuels_SEDS_2022_TBtus!$T$3:$T$53,match($B57&amp;AV$2,Com_AllFuels_SEDS_2022_TBtus!$B$3:$B$53&amp;Com_AllFuels_SEDS_2022_TBtus!$A$3:$A$53,0))),0,(index(Com_AllFuels_SEDS_2022_TBtus!$T$3:$T$53,match($B57&amp;AV$2,Com_AllFuels_SEDS_2022_TBtus!$B$3:$B$53&amp;Com_AllFuels_SEDS_2022_TBtus!$A$3:$A$53,0))))</f>
        <v>0</v>
      </c>
      <c r="AW70" s="75">
        <f t="array" ref="AW70">IF(ISERROR(index(Com_AllFuels_SEDS_2022_TBtus!$T$3:$T$53,match($B57&amp;AW$2,Com_AllFuels_SEDS_2022_TBtus!$B$3:$B$53&amp;Com_AllFuels_SEDS_2022_TBtus!$A$3:$A$53,0))),0,(index(Com_AllFuels_SEDS_2022_TBtus!$T$3:$T$53,match($B57&amp;AW$2,Com_AllFuels_SEDS_2022_TBtus!$B$3:$B$53&amp;Com_AllFuels_SEDS_2022_TBtus!$A$3:$A$53,0))))</f>
        <v>0</v>
      </c>
      <c r="AX70" s="75">
        <f t="array" ref="AX70">IF(ISERROR(index(Com_AllFuels_SEDS_2022_TBtus!$T$3:$T$53,match($B57&amp;AX$2,Com_AllFuels_SEDS_2022_TBtus!$B$3:$B$53&amp;Com_AllFuels_SEDS_2022_TBtus!$A$3:$A$53,0))),0,(index(Com_AllFuels_SEDS_2022_TBtus!$T$3:$T$53,match($B57&amp;AX$2,Com_AllFuels_SEDS_2022_TBtus!$B$3:$B$53&amp;Com_AllFuels_SEDS_2022_TBtus!$A$3:$A$53,0))))</f>
        <v>0</v>
      </c>
      <c r="AY70" s="75">
        <f t="array" ref="AY70">IF(ISERROR(index(Com_AllFuels_SEDS_2022_TBtus!$T$3:$T$53,match($B57&amp;AY$2,Com_AllFuels_SEDS_2022_TBtus!$B$3:$B$53&amp;Com_AllFuels_SEDS_2022_TBtus!$A$3:$A$53,0))),0,(index(Com_AllFuels_SEDS_2022_TBtus!$T$3:$T$53,match($B57&amp;AY$2,Com_AllFuels_SEDS_2022_TBtus!$B$3:$B$53&amp;Com_AllFuels_SEDS_2022_TBtus!$A$3:$A$53,0))))</f>
        <v>0</v>
      </c>
      <c r="AZ70" s="75">
        <f t="array" ref="AZ70">IF(ISERROR(index(Com_AllFuels_SEDS_2022_TBtus!$T$3:$T$53,match($B57&amp;AZ$2,Com_AllFuels_SEDS_2022_TBtus!$B$3:$B$53&amp;Com_AllFuels_SEDS_2022_TBtus!$A$3:$A$53,0))),0,(index(Com_AllFuels_SEDS_2022_TBtus!$T$3:$T$53,match($B57&amp;AZ$2,Com_AllFuels_SEDS_2022_TBtus!$B$3:$B$53&amp;Com_AllFuels_SEDS_2022_TBtus!$A$3:$A$53,0))))</f>
        <v>0</v>
      </c>
      <c r="BA70" s="75">
        <f t="array" ref="BA70">IF(ISERROR(index(Com_AllFuels_SEDS_2022_TBtus!$T$3:$T$53,match($B57&amp;BA$2,Com_AllFuels_SEDS_2022_TBtus!$B$3:$B$53&amp;Com_AllFuels_SEDS_2022_TBtus!$A$3:$A$53,0))),0,(index(Com_AllFuels_SEDS_2022_TBtus!$T$3:$T$53,match($B57&amp;BA$2,Com_AllFuels_SEDS_2022_TBtus!$B$3:$B$53&amp;Com_AllFuels_SEDS_2022_TBtus!$A$3:$A$53,0))))</f>
        <v>0</v>
      </c>
      <c r="BB70" s="74">
        <f t="shared" si="11"/>
        <v>68.4</v>
      </c>
    </row>
    <row r="71" ht="15.75" customHeight="1">
      <c r="A71" s="78"/>
      <c r="B71" s="74">
        <v>3.0</v>
      </c>
      <c r="C71" s="75">
        <f t="array" ref="C71">IF(ISERROR(index(Com_AllFuels_SEDS_2022_TBtus!$T$3:$T$53,match($B58&amp;C$2,Com_AllFuels_SEDS_2022_TBtus!$B$3:$B$53&amp;Com_AllFuels_SEDS_2022_TBtus!$A$3:$A$53,0))),0,(index(Com_AllFuels_SEDS_2022_TBtus!$T$3:$T$53,match($B58&amp;C$2,Com_AllFuels_SEDS_2022_TBtus!$B$3:$B$53&amp;Com_AllFuels_SEDS_2022_TBtus!$A$3:$A$53,0))))</f>
        <v>0</v>
      </c>
      <c r="D71" s="75">
        <f t="array" ref="D71">IF(ISERROR(index(Com_AllFuels_SEDS_2022_TBtus!$T$3:$T$53,match($B58&amp;D$2,Com_AllFuels_SEDS_2022_TBtus!$B$3:$B$53&amp;Com_AllFuels_SEDS_2022_TBtus!$A$3:$A$53,0))),0,(index(Com_AllFuels_SEDS_2022_TBtus!$T$3:$T$53,match($B58&amp;D$2,Com_AllFuels_SEDS_2022_TBtus!$B$3:$B$53&amp;Com_AllFuels_SEDS_2022_TBtus!$A$3:$A$53,0))))</f>
        <v>0</v>
      </c>
      <c r="E71" s="75">
        <f t="array" ref="E71">IF(ISERROR(index(Com_AllFuels_SEDS_2022_TBtus!$T$3:$T$53,match($B58&amp;E$2,Com_AllFuels_SEDS_2022_TBtus!$B$3:$B$53&amp;Com_AllFuels_SEDS_2022_TBtus!$A$3:$A$53,0))),0,(index(Com_AllFuels_SEDS_2022_TBtus!$T$3:$T$53,match($B58&amp;E$2,Com_AllFuels_SEDS_2022_TBtus!$B$3:$B$53&amp;Com_AllFuels_SEDS_2022_TBtus!$A$3:$A$53,0))))</f>
        <v>0</v>
      </c>
      <c r="F71" s="75">
        <f t="array" ref="F71">IF(ISERROR(index(Com_AllFuels_SEDS_2022_TBtus!$T$3:$T$53,match($B58&amp;F$2,Com_AllFuels_SEDS_2022_TBtus!$B$3:$B$53&amp;Com_AllFuels_SEDS_2022_TBtus!$A$3:$A$53,0))),0,(index(Com_AllFuels_SEDS_2022_TBtus!$T$3:$T$53,match($B58&amp;F$2,Com_AllFuels_SEDS_2022_TBtus!$B$3:$B$53&amp;Com_AllFuels_SEDS_2022_TBtus!$A$3:$A$53,0))))</f>
        <v>0</v>
      </c>
      <c r="G71" s="75">
        <f t="array" ref="G71">IF(ISERROR(index(Com_AllFuels_SEDS_2022_TBtus!$T$3:$T$53,match($B58&amp;G$2,Com_AllFuels_SEDS_2022_TBtus!$B$3:$B$53&amp;Com_AllFuels_SEDS_2022_TBtus!$A$3:$A$53,0))),0,(index(Com_AllFuels_SEDS_2022_TBtus!$T$3:$T$53,match($B58&amp;G$2,Com_AllFuels_SEDS_2022_TBtus!$B$3:$B$53&amp;Com_AllFuels_SEDS_2022_TBtus!$A$3:$A$53,0))))</f>
        <v>0</v>
      </c>
      <c r="H71" s="75">
        <f t="array" ref="H71">IF(ISERROR(index(Com_AllFuels_SEDS_2022_TBtus!$T$3:$T$53,match($B58&amp;H$2,Com_AllFuels_SEDS_2022_TBtus!$B$3:$B$53&amp;Com_AllFuels_SEDS_2022_TBtus!$A$3:$A$53,0))),0,(index(Com_AllFuels_SEDS_2022_TBtus!$T$3:$T$53,match($B58&amp;H$2,Com_AllFuels_SEDS_2022_TBtus!$B$3:$B$53&amp;Com_AllFuels_SEDS_2022_TBtus!$A$3:$A$53,0))))</f>
        <v>0</v>
      </c>
      <c r="I71" s="75">
        <f t="array" ref="I71">IF(ISERROR(index(Com_AllFuels_SEDS_2022_TBtus!$T$3:$T$53,match($B58&amp;I$2,Com_AllFuels_SEDS_2022_TBtus!$B$3:$B$53&amp;Com_AllFuels_SEDS_2022_TBtus!$A$3:$A$53,0))),0,(index(Com_AllFuels_SEDS_2022_TBtus!$T$3:$T$53,match($B58&amp;I$2,Com_AllFuels_SEDS_2022_TBtus!$B$3:$B$53&amp;Com_AllFuels_SEDS_2022_TBtus!$A$3:$A$53,0))))</f>
        <v>0</v>
      </c>
      <c r="J71" s="75">
        <f t="array" ref="J71">IF(ISERROR(index(Com_AllFuels_SEDS_2022_TBtus!$T$3:$T$53,match($B58&amp;J$2,Com_AllFuels_SEDS_2022_TBtus!$B$3:$B$53&amp;Com_AllFuels_SEDS_2022_TBtus!$A$3:$A$53,0))),0,(index(Com_AllFuels_SEDS_2022_TBtus!$T$3:$T$53,match($B58&amp;J$2,Com_AllFuels_SEDS_2022_TBtus!$B$3:$B$53&amp;Com_AllFuels_SEDS_2022_TBtus!$A$3:$A$53,0))))</f>
        <v>0</v>
      </c>
      <c r="K71" s="75">
        <f t="array" ref="K71">IF(ISERROR(index(Com_AllFuels_SEDS_2022_TBtus!$T$3:$T$53,match($B58&amp;K$2,Com_AllFuels_SEDS_2022_TBtus!$B$3:$B$53&amp;Com_AllFuels_SEDS_2022_TBtus!$A$3:$A$53,0))),0,(index(Com_AllFuels_SEDS_2022_TBtus!$T$3:$T$53,match($B58&amp;K$2,Com_AllFuels_SEDS_2022_TBtus!$B$3:$B$53&amp;Com_AllFuels_SEDS_2022_TBtus!$A$3:$A$53,0))))</f>
        <v>0</v>
      </c>
      <c r="L71" s="75">
        <f t="array" ref="L71">IF(ISERROR(index(Com_AllFuels_SEDS_2022_TBtus!$T$3:$T$53,match($B58&amp;L$2,Com_AllFuels_SEDS_2022_TBtus!$B$3:$B$53&amp;Com_AllFuels_SEDS_2022_TBtus!$A$3:$A$53,0))),0,(index(Com_AllFuels_SEDS_2022_TBtus!$T$3:$T$53,match($B58&amp;L$2,Com_AllFuels_SEDS_2022_TBtus!$B$3:$B$53&amp;Com_AllFuels_SEDS_2022_TBtus!$A$3:$A$53,0))))</f>
        <v>0</v>
      </c>
      <c r="M71" s="75">
        <f t="array" ref="M71">IF(ISERROR(index(Com_AllFuels_SEDS_2022_TBtus!$T$3:$T$53,match($B58&amp;M$2,Com_AllFuels_SEDS_2022_TBtus!$B$3:$B$53&amp;Com_AllFuels_SEDS_2022_TBtus!$A$3:$A$53,0))),0,(index(Com_AllFuels_SEDS_2022_TBtus!$T$3:$T$53,match($B58&amp;M$2,Com_AllFuels_SEDS_2022_TBtus!$B$3:$B$53&amp;Com_AllFuels_SEDS_2022_TBtus!$A$3:$A$53,0))))</f>
        <v>0</v>
      </c>
      <c r="N71" s="75">
        <f t="array" ref="N71">IF(ISERROR(index(Com_AllFuels_SEDS_2022_TBtus!$T$3:$T$53,match($B58&amp;N$2,Com_AllFuels_SEDS_2022_TBtus!$B$3:$B$53&amp;Com_AllFuels_SEDS_2022_TBtus!$A$3:$A$53,0))),0,(index(Com_AllFuels_SEDS_2022_TBtus!$T$3:$T$53,match($B58&amp;N$2,Com_AllFuels_SEDS_2022_TBtus!$B$3:$B$53&amp;Com_AllFuels_SEDS_2022_TBtus!$A$3:$A$53,0))))</f>
        <v>0</v>
      </c>
      <c r="O71" s="75">
        <f t="array" ref="O71">IF(ISERROR(index(Com_AllFuels_SEDS_2022_TBtus!$T$3:$T$53,match($B58&amp;O$2,Com_AllFuels_SEDS_2022_TBtus!$B$3:$B$53&amp;Com_AllFuels_SEDS_2022_TBtus!$A$3:$A$53,0))),0,(index(Com_AllFuels_SEDS_2022_TBtus!$T$3:$T$53,match($B58&amp;O$2,Com_AllFuels_SEDS_2022_TBtus!$B$3:$B$53&amp;Com_AllFuels_SEDS_2022_TBtus!$A$3:$A$53,0))))</f>
        <v>0</v>
      </c>
      <c r="P71" s="75">
        <f t="array" ref="P71">IF(ISERROR(index(Com_AllFuels_SEDS_2022_TBtus!$T$3:$T$53,match($B58&amp;P$2,Com_AllFuels_SEDS_2022_TBtus!$B$3:$B$53&amp;Com_AllFuels_SEDS_2022_TBtus!$A$3:$A$53,0))),0,(index(Com_AllFuels_SEDS_2022_TBtus!$T$3:$T$53,match($B58&amp;P$2,Com_AllFuels_SEDS_2022_TBtus!$B$3:$B$53&amp;Com_AllFuels_SEDS_2022_TBtus!$A$3:$A$53,0))))</f>
        <v>21.8</v>
      </c>
      <c r="Q71" s="75">
        <f t="array" ref="Q71">IF(ISERROR(index(Com_AllFuels_SEDS_2022_TBtus!$T$3:$T$53,match($B58&amp;Q$2,Com_AllFuels_SEDS_2022_TBtus!$B$3:$B$53&amp;Com_AllFuels_SEDS_2022_TBtus!$A$3:$A$53,0))),0,(index(Com_AllFuels_SEDS_2022_TBtus!$T$3:$T$53,match($B58&amp;Q$2,Com_AllFuels_SEDS_2022_TBtus!$B$3:$B$53&amp;Com_AllFuels_SEDS_2022_TBtus!$A$3:$A$53,0))))</f>
        <v>12.8</v>
      </c>
      <c r="R71" s="75">
        <f t="array" ref="R71">IF(ISERROR(index(Com_AllFuels_SEDS_2022_TBtus!$T$3:$T$53,match($B58&amp;R$2,Com_AllFuels_SEDS_2022_TBtus!$B$3:$B$53&amp;Com_AllFuels_SEDS_2022_TBtus!$A$3:$A$53,0))),0,(index(Com_AllFuels_SEDS_2022_TBtus!$T$3:$T$53,match($B58&amp;R$2,Com_AllFuels_SEDS_2022_TBtus!$B$3:$B$53&amp;Com_AllFuels_SEDS_2022_TBtus!$A$3:$A$53,0))))</f>
        <v>0</v>
      </c>
      <c r="S71" s="75">
        <f t="array" ref="S71">IF(ISERROR(index(Com_AllFuels_SEDS_2022_TBtus!$T$3:$T$53,match($B58&amp;S$2,Com_AllFuels_SEDS_2022_TBtus!$B$3:$B$53&amp;Com_AllFuels_SEDS_2022_TBtus!$A$3:$A$53,0))),0,(index(Com_AllFuels_SEDS_2022_TBtus!$T$3:$T$53,match($B58&amp;S$2,Com_AllFuels_SEDS_2022_TBtus!$B$3:$B$53&amp;Com_AllFuels_SEDS_2022_TBtus!$A$3:$A$53,0))))</f>
        <v>0</v>
      </c>
      <c r="T71" s="75">
        <f t="array" ref="T71">IF(ISERROR(index(Com_AllFuels_SEDS_2022_TBtus!$T$3:$T$53,match($B58&amp;T$2,Com_AllFuels_SEDS_2022_TBtus!$B$3:$B$53&amp;Com_AllFuels_SEDS_2022_TBtus!$A$3:$A$53,0))),0,(index(Com_AllFuels_SEDS_2022_TBtus!$T$3:$T$53,match($B58&amp;T$2,Com_AllFuels_SEDS_2022_TBtus!$B$3:$B$53&amp;Com_AllFuels_SEDS_2022_TBtus!$A$3:$A$53,0))))</f>
        <v>0</v>
      </c>
      <c r="U71" s="75">
        <f t="array" ref="U71">IF(ISERROR(index(Com_AllFuels_SEDS_2022_TBtus!$T$3:$T$53,match($B58&amp;U$2,Com_AllFuels_SEDS_2022_TBtus!$B$3:$B$53&amp;Com_AllFuels_SEDS_2022_TBtus!$A$3:$A$53,0))),0,(index(Com_AllFuels_SEDS_2022_TBtus!$T$3:$T$53,match($B58&amp;U$2,Com_AllFuels_SEDS_2022_TBtus!$B$3:$B$53&amp;Com_AllFuels_SEDS_2022_TBtus!$A$3:$A$53,0))))</f>
        <v>0</v>
      </c>
      <c r="V71" s="75">
        <f t="array" ref="V71">IF(ISERROR(index(Com_AllFuels_SEDS_2022_TBtus!$T$3:$T$53,match($B58&amp;V$2,Com_AllFuels_SEDS_2022_TBtus!$B$3:$B$53&amp;Com_AllFuels_SEDS_2022_TBtus!$A$3:$A$53,0))),0,(index(Com_AllFuels_SEDS_2022_TBtus!$T$3:$T$53,match($B58&amp;V$2,Com_AllFuels_SEDS_2022_TBtus!$B$3:$B$53&amp;Com_AllFuels_SEDS_2022_TBtus!$A$3:$A$53,0))))</f>
        <v>0</v>
      </c>
      <c r="W71" s="75">
        <f t="array" ref="W71">IF(ISERROR(index(Com_AllFuels_SEDS_2022_TBtus!$T$3:$T$53,match($B58&amp;W$2,Com_AllFuels_SEDS_2022_TBtus!$B$3:$B$53&amp;Com_AllFuels_SEDS_2022_TBtus!$A$3:$A$53,0))),0,(index(Com_AllFuels_SEDS_2022_TBtus!$T$3:$T$53,match($B58&amp;W$2,Com_AllFuels_SEDS_2022_TBtus!$B$3:$B$53&amp;Com_AllFuels_SEDS_2022_TBtus!$A$3:$A$53,0))))</f>
        <v>0</v>
      </c>
      <c r="X71" s="75">
        <f t="array" ref="X71">IF(ISERROR(index(Com_AllFuels_SEDS_2022_TBtus!$T$3:$T$53,match($B58&amp;X$2,Com_AllFuels_SEDS_2022_TBtus!$B$3:$B$53&amp;Com_AllFuels_SEDS_2022_TBtus!$A$3:$A$53,0))),0,(index(Com_AllFuels_SEDS_2022_TBtus!$T$3:$T$53,match($B58&amp;X$2,Com_AllFuels_SEDS_2022_TBtus!$B$3:$B$53&amp;Com_AllFuels_SEDS_2022_TBtus!$A$3:$A$53,0))))</f>
        <v>0</v>
      </c>
      <c r="Y71" s="75">
        <f t="array" ref="Y71">IF(ISERROR(index(Com_AllFuels_SEDS_2022_TBtus!$T$3:$T$53,match($B58&amp;Y$2,Com_AllFuels_SEDS_2022_TBtus!$B$3:$B$53&amp;Com_AllFuels_SEDS_2022_TBtus!$A$3:$A$53,0))),0,(index(Com_AllFuels_SEDS_2022_TBtus!$T$3:$T$53,match($B58&amp;Y$2,Com_AllFuels_SEDS_2022_TBtus!$B$3:$B$53&amp;Com_AllFuels_SEDS_2022_TBtus!$A$3:$A$53,0))))</f>
        <v>18.1</v>
      </c>
      <c r="Z71" s="75">
        <f t="array" ref="Z71">IF(ISERROR(index(Com_AllFuels_SEDS_2022_TBtus!$T$3:$T$53,match($B58&amp;Z$2,Com_AllFuels_SEDS_2022_TBtus!$B$3:$B$53&amp;Com_AllFuels_SEDS_2022_TBtus!$A$3:$A$53,0))),0,(index(Com_AllFuels_SEDS_2022_TBtus!$T$3:$T$53,match($B58&amp;Z$2,Com_AllFuels_SEDS_2022_TBtus!$B$3:$B$53&amp;Com_AllFuels_SEDS_2022_TBtus!$A$3:$A$53,0))))</f>
        <v>0</v>
      </c>
      <c r="AA71" s="75">
        <f t="array" ref="AA71">IF(ISERROR(index(Com_AllFuels_SEDS_2022_TBtus!$T$3:$T$53,match($B58&amp;AA$2,Com_AllFuels_SEDS_2022_TBtus!$B$3:$B$53&amp;Com_AllFuels_SEDS_2022_TBtus!$A$3:$A$53,0))),0,(index(Com_AllFuels_SEDS_2022_TBtus!$T$3:$T$53,match($B58&amp;AA$2,Com_AllFuels_SEDS_2022_TBtus!$B$3:$B$53&amp;Com_AllFuels_SEDS_2022_TBtus!$A$3:$A$53,0))))</f>
        <v>0</v>
      </c>
      <c r="AB71" s="75">
        <f t="array" ref="AB71">IF(ISERROR(index(Com_AllFuels_SEDS_2022_TBtus!$T$3:$T$53,match($B58&amp;AB$2,Com_AllFuels_SEDS_2022_TBtus!$B$3:$B$53&amp;Com_AllFuels_SEDS_2022_TBtus!$A$3:$A$53,0))),0,(index(Com_AllFuels_SEDS_2022_TBtus!$T$3:$T$53,match($B58&amp;AB$2,Com_AllFuels_SEDS_2022_TBtus!$B$3:$B$53&amp;Com_AllFuels_SEDS_2022_TBtus!$A$3:$A$53,0))))</f>
        <v>0</v>
      </c>
      <c r="AC71" s="75">
        <f t="array" ref="AC71">IF(ISERROR(index(Com_AllFuels_SEDS_2022_TBtus!$T$3:$T$53,match($B58&amp;AC$2,Com_AllFuels_SEDS_2022_TBtus!$B$3:$B$53&amp;Com_AllFuels_SEDS_2022_TBtus!$A$3:$A$53,0))),0,(index(Com_AllFuels_SEDS_2022_TBtus!$T$3:$T$53,match($B58&amp;AC$2,Com_AllFuels_SEDS_2022_TBtus!$B$3:$B$53&amp;Com_AllFuels_SEDS_2022_TBtus!$A$3:$A$53,0))))</f>
        <v>0</v>
      </c>
      <c r="AD71" s="75">
        <f t="array" ref="AD71">IF(ISERROR(index(Com_AllFuels_SEDS_2022_TBtus!$T$3:$T$53,match($B58&amp;AD$2,Com_AllFuels_SEDS_2022_TBtus!$B$3:$B$53&amp;Com_AllFuels_SEDS_2022_TBtus!$A$3:$A$53,0))),0,(index(Com_AllFuels_SEDS_2022_TBtus!$T$3:$T$53,match($B58&amp;AD$2,Com_AllFuels_SEDS_2022_TBtus!$B$3:$B$53&amp;Com_AllFuels_SEDS_2022_TBtus!$A$3:$A$53,0))))</f>
        <v>0</v>
      </c>
      <c r="AE71" s="75">
        <f t="array" ref="AE71">IF(ISERROR(index(Com_AllFuels_SEDS_2022_TBtus!$T$3:$T$53,match($B58&amp;AE$2,Com_AllFuels_SEDS_2022_TBtus!$B$3:$B$53&amp;Com_AllFuels_SEDS_2022_TBtus!$A$3:$A$53,0))),0,(index(Com_AllFuels_SEDS_2022_TBtus!$T$3:$T$53,match($B58&amp;AE$2,Com_AllFuels_SEDS_2022_TBtus!$B$3:$B$53&amp;Com_AllFuels_SEDS_2022_TBtus!$A$3:$A$53,0))))</f>
        <v>0</v>
      </c>
      <c r="AF71" s="75">
        <f t="array" ref="AF71">IF(ISERROR(index(Com_AllFuels_SEDS_2022_TBtus!$T$3:$T$53,match($B58&amp;AF$2,Com_AllFuels_SEDS_2022_TBtus!$B$3:$B$53&amp;Com_AllFuels_SEDS_2022_TBtus!$A$3:$A$53,0))),0,(index(Com_AllFuels_SEDS_2022_TBtus!$T$3:$T$53,match($B58&amp;AF$2,Com_AllFuels_SEDS_2022_TBtus!$B$3:$B$53&amp;Com_AllFuels_SEDS_2022_TBtus!$A$3:$A$53,0))))</f>
        <v>0</v>
      </c>
      <c r="AG71" s="75">
        <f t="array" ref="AG71">IF(ISERROR(index(Com_AllFuels_SEDS_2022_TBtus!$T$3:$T$53,match($B58&amp;AG$2,Com_AllFuels_SEDS_2022_TBtus!$B$3:$B$53&amp;Com_AllFuels_SEDS_2022_TBtus!$A$3:$A$53,0))),0,(index(Com_AllFuels_SEDS_2022_TBtus!$T$3:$T$53,match($B58&amp;AG$2,Com_AllFuels_SEDS_2022_TBtus!$B$3:$B$53&amp;Com_AllFuels_SEDS_2022_TBtus!$A$3:$A$53,0))))</f>
        <v>0</v>
      </c>
      <c r="AH71" s="75">
        <f t="array" ref="AH71">IF(ISERROR(index(Com_AllFuels_SEDS_2022_TBtus!$T$3:$T$53,match($B58&amp;AH$2,Com_AllFuels_SEDS_2022_TBtus!$B$3:$B$53&amp;Com_AllFuels_SEDS_2022_TBtus!$A$3:$A$53,0))),0,(index(Com_AllFuels_SEDS_2022_TBtus!$T$3:$T$53,match($B58&amp;AH$2,Com_AllFuels_SEDS_2022_TBtus!$B$3:$B$53&amp;Com_AllFuels_SEDS_2022_TBtus!$A$3:$A$53,0))))</f>
        <v>0</v>
      </c>
      <c r="AI71" s="75">
        <f t="array" ref="AI71">IF(ISERROR(index(Com_AllFuels_SEDS_2022_TBtus!$T$3:$T$53,match($B58&amp;AI$2,Com_AllFuels_SEDS_2022_TBtus!$B$3:$B$53&amp;Com_AllFuels_SEDS_2022_TBtus!$A$3:$A$53,0))),0,(index(Com_AllFuels_SEDS_2022_TBtus!$T$3:$T$53,match($B58&amp;AI$2,Com_AllFuels_SEDS_2022_TBtus!$B$3:$B$53&amp;Com_AllFuels_SEDS_2022_TBtus!$A$3:$A$53,0))))</f>
        <v>0</v>
      </c>
      <c r="AJ71" s="75">
        <f t="array" ref="AJ71">IF(ISERROR(index(Com_AllFuels_SEDS_2022_TBtus!$T$3:$T$53,match($B58&amp;AJ$2,Com_AllFuels_SEDS_2022_TBtus!$B$3:$B$53&amp;Com_AllFuels_SEDS_2022_TBtus!$A$3:$A$53,0))),0,(index(Com_AllFuels_SEDS_2022_TBtus!$T$3:$T$53,match($B58&amp;AJ$2,Com_AllFuels_SEDS_2022_TBtus!$B$3:$B$53&amp;Com_AllFuels_SEDS_2022_TBtus!$A$3:$A$53,0))))</f>
        <v>0</v>
      </c>
      <c r="AK71" s="75">
        <f t="array" ref="AK71">IF(ISERROR(index(Com_AllFuels_SEDS_2022_TBtus!$T$3:$T$53,match($B58&amp;AK$2,Com_AllFuels_SEDS_2022_TBtus!$B$3:$B$53&amp;Com_AllFuels_SEDS_2022_TBtus!$A$3:$A$53,0))),0,(index(Com_AllFuels_SEDS_2022_TBtus!$T$3:$T$53,match($B58&amp;AK$2,Com_AllFuels_SEDS_2022_TBtus!$B$3:$B$53&amp;Com_AllFuels_SEDS_2022_TBtus!$A$3:$A$53,0))))</f>
        <v>0</v>
      </c>
      <c r="AL71" s="75">
        <f t="array" ref="AL71">IF(ISERROR(index(Com_AllFuels_SEDS_2022_TBtus!$T$3:$T$53,match($B58&amp;AL$2,Com_AllFuels_SEDS_2022_TBtus!$B$3:$B$53&amp;Com_AllFuels_SEDS_2022_TBtus!$A$3:$A$53,0))),0,(index(Com_AllFuels_SEDS_2022_TBtus!$T$3:$T$53,match($B58&amp;AL$2,Com_AllFuels_SEDS_2022_TBtus!$B$3:$B$53&amp;Com_AllFuels_SEDS_2022_TBtus!$A$3:$A$53,0))))</f>
        <v>23.3</v>
      </c>
      <c r="AM71" s="75">
        <f t="array" ref="AM71">IF(ISERROR(index(Com_AllFuels_SEDS_2022_TBtus!$T$3:$T$53,match($B58&amp;AM$2,Com_AllFuels_SEDS_2022_TBtus!$B$3:$B$53&amp;Com_AllFuels_SEDS_2022_TBtus!$A$3:$A$53,0))),0,(index(Com_AllFuels_SEDS_2022_TBtus!$T$3:$T$53,match($B58&amp;AM$2,Com_AllFuels_SEDS_2022_TBtus!$B$3:$B$53&amp;Com_AllFuels_SEDS_2022_TBtus!$A$3:$A$53,0))))</f>
        <v>0</v>
      </c>
      <c r="AN71" s="75">
        <f t="array" ref="AN71">IF(ISERROR(index(Com_AllFuels_SEDS_2022_TBtus!$T$3:$T$53,match($B58&amp;AN$2,Com_AllFuels_SEDS_2022_TBtus!$B$3:$B$53&amp;Com_AllFuels_SEDS_2022_TBtus!$A$3:$A$53,0))),0,(index(Com_AllFuels_SEDS_2022_TBtus!$T$3:$T$53,match($B58&amp;AN$2,Com_AllFuels_SEDS_2022_TBtus!$B$3:$B$53&amp;Com_AllFuels_SEDS_2022_TBtus!$A$3:$A$53,0))))</f>
        <v>0</v>
      </c>
      <c r="AO71" s="75">
        <f t="array" ref="AO71">IF(ISERROR(index(Com_AllFuels_SEDS_2022_TBtus!$T$3:$T$53,match($B58&amp;AO$2,Com_AllFuels_SEDS_2022_TBtus!$B$3:$B$53&amp;Com_AllFuels_SEDS_2022_TBtus!$A$3:$A$53,0))),0,(index(Com_AllFuels_SEDS_2022_TBtus!$T$3:$T$53,match($B58&amp;AO$2,Com_AllFuels_SEDS_2022_TBtus!$B$3:$B$53&amp;Com_AllFuels_SEDS_2022_TBtus!$A$3:$A$53,0))))</f>
        <v>0</v>
      </c>
      <c r="AP71" s="75">
        <f t="array" ref="AP71">IF(ISERROR(index(Com_AllFuels_SEDS_2022_TBtus!$T$3:$T$53,match($B58&amp;AP$2,Com_AllFuels_SEDS_2022_TBtus!$B$3:$B$53&amp;Com_AllFuels_SEDS_2022_TBtus!$A$3:$A$53,0))),0,(index(Com_AllFuels_SEDS_2022_TBtus!$T$3:$T$53,match($B58&amp;AP$2,Com_AllFuels_SEDS_2022_TBtus!$B$3:$B$53&amp;Com_AllFuels_SEDS_2022_TBtus!$A$3:$A$53,0))))</f>
        <v>0</v>
      </c>
      <c r="AQ71" s="75">
        <f t="array" ref="AQ71">IF(ISERROR(index(Com_AllFuels_SEDS_2022_TBtus!$T$3:$T$53,match($B58&amp;AQ$2,Com_AllFuels_SEDS_2022_TBtus!$B$3:$B$53&amp;Com_AllFuels_SEDS_2022_TBtus!$A$3:$A$53,0))),0,(index(Com_AllFuels_SEDS_2022_TBtus!$T$3:$T$53,match($B58&amp;AQ$2,Com_AllFuels_SEDS_2022_TBtus!$B$3:$B$53&amp;Com_AllFuels_SEDS_2022_TBtus!$A$3:$A$53,0))))</f>
        <v>0</v>
      </c>
      <c r="AR71" s="75">
        <f t="array" ref="AR71">IF(ISERROR(index(Com_AllFuels_SEDS_2022_TBtus!$T$3:$T$53,match($B58&amp;AR$2,Com_AllFuels_SEDS_2022_TBtus!$B$3:$B$53&amp;Com_AllFuels_SEDS_2022_TBtus!$A$3:$A$53,0))),0,(index(Com_AllFuels_SEDS_2022_TBtus!$T$3:$T$53,match($B58&amp;AR$2,Com_AllFuels_SEDS_2022_TBtus!$B$3:$B$53&amp;Com_AllFuels_SEDS_2022_TBtus!$A$3:$A$53,0))))</f>
        <v>0</v>
      </c>
      <c r="AS71" s="75">
        <f t="array" ref="AS71">IF(ISERROR(index(Com_AllFuels_SEDS_2022_TBtus!$T$3:$T$53,match($B58&amp;AS$2,Com_AllFuels_SEDS_2022_TBtus!$B$3:$B$53&amp;Com_AllFuels_SEDS_2022_TBtus!$A$3:$A$53,0))),0,(index(Com_AllFuels_SEDS_2022_TBtus!$T$3:$T$53,match($B58&amp;AS$2,Com_AllFuels_SEDS_2022_TBtus!$B$3:$B$53&amp;Com_AllFuels_SEDS_2022_TBtus!$A$3:$A$53,0))))</f>
        <v>0</v>
      </c>
      <c r="AT71" s="75">
        <f t="array" ref="AT71">IF(ISERROR(index(Com_AllFuels_SEDS_2022_TBtus!$T$3:$T$53,match($B58&amp;AT$2,Com_AllFuels_SEDS_2022_TBtus!$B$3:$B$53&amp;Com_AllFuels_SEDS_2022_TBtus!$A$3:$A$53,0))),0,(index(Com_AllFuels_SEDS_2022_TBtus!$T$3:$T$53,match($B58&amp;AT$2,Com_AllFuels_SEDS_2022_TBtus!$B$3:$B$53&amp;Com_AllFuels_SEDS_2022_TBtus!$A$3:$A$53,0))))</f>
        <v>0</v>
      </c>
      <c r="AU71" s="75">
        <f t="array" ref="AU71">IF(ISERROR(index(Com_AllFuels_SEDS_2022_TBtus!$T$3:$T$53,match($B58&amp;AU$2,Com_AllFuels_SEDS_2022_TBtus!$B$3:$B$53&amp;Com_AllFuels_SEDS_2022_TBtus!$A$3:$A$53,0))),0,(index(Com_AllFuels_SEDS_2022_TBtus!$T$3:$T$53,match($B58&amp;AU$2,Com_AllFuels_SEDS_2022_TBtus!$B$3:$B$53&amp;Com_AllFuels_SEDS_2022_TBtus!$A$3:$A$53,0))))</f>
        <v>0</v>
      </c>
      <c r="AV71" s="75">
        <f t="array" ref="AV71">IF(ISERROR(index(Com_AllFuels_SEDS_2022_TBtus!$T$3:$T$53,match($B58&amp;AV$2,Com_AllFuels_SEDS_2022_TBtus!$B$3:$B$53&amp;Com_AllFuels_SEDS_2022_TBtus!$A$3:$A$53,0))),0,(index(Com_AllFuels_SEDS_2022_TBtus!$T$3:$T$53,match($B58&amp;AV$2,Com_AllFuels_SEDS_2022_TBtus!$B$3:$B$53&amp;Com_AllFuels_SEDS_2022_TBtus!$A$3:$A$53,0))))</f>
        <v>0</v>
      </c>
      <c r="AW71" s="75">
        <f t="array" ref="AW71">IF(ISERROR(index(Com_AllFuels_SEDS_2022_TBtus!$T$3:$T$53,match($B58&amp;AW$2,Com_AllFuels_SEDS_2022_TBtus!$B$3:$B$53&amp;Com_AllFuels_SEDS_2022_TBtus!$A$3:$A$53,0))),0,(index(Com_AllFuels_SEDS_2022_TBtus!$T$3:$T$53,match($B58&amp;AW$2,Com_AllFuels_SEDS_2022_TBtus!$B$3:$B$53&amp;Com_AllFuels_SEDS_2022_TBtus!$A$3:$A$53,0))))</f>
        <v>0</v>
      </c>
      <c r="AX71" s="75">
        <f t="array" ref="AX71">IF(ISERROR(index(Com_AllFuels_SEDS_2022_TBtus!$T$3:$T$53,match($B58&amp;AX$2,Com_AllFuels_SEDS_2022_TBtus!$B$3:$B$53&amp;Com_AllFuels_SEDS_2022_TBtus!$A$3:$A$53,0))),0,(index(Com_AllFuels_SEDS_2022_TBtus!$T$3:$T$53,match($B58&amp;AX$2,Com_AllFuels_SEDS_2022_TBtus!$B$3:$B$53&amp;Com_AllFuels_SEDS_2022_TBtus!$A$3:$A$53,0))))</f>
        <v>0</v>
      </c>
      <c r="AY71" s="75">
        <f t="array" ref="AY71">IF(ISERROR(index(Com_AllFuels_SEDS_2022_TBtus!$T$3:$T$53,match($B58&amp;AY$2,Com_AllFuels_SEDS_2022_TBtus!$B$3:$B$53&amp;Com_AllFuels_SEDS_2022_TBtus!$A$3:$A$53,0))),0,(index(Com_AllFuels_SEDS_2022_TBtus!$T$3:$T$53,match($B58&amp;AY$2,Com_AllFuels_SEDS_2022_TBtus!$B$3:$B$53&amp;Com_AllFuels_SEDS_2022_TBtus!$A$3:$A$53,0))))</f>
        <v>0</v>
      </c>
      <c r="AZ71" s="75">
        <f t="array" ref="AZ71">IF(ISERROR(index(Com_AllFuels_SEDS_2022_TBtus!$T$3:$T$53,match($B58&amp;AZ$2,Com_AllFuels_SEDS_2022_TBtus!$B$3:$B$53&amp;Com_AllFuels_SEDS_2022_TBtus!$A$3:$A$53,0))),0,(index(Com_AllFuels_SEDS_2022_TBtus!$T$3:$T$53,match($B58&amp;AZ$2,Com_AllFuels_SEDS_2022_TBtus!$B$3:$B$53&amp;Com_AllFuels_SEDS_2022_TBtus!$A$3:$A$53,0))))</f>
        <v>11.7</v>
      </c>
      <c r="BA71" s="75">
        <f t="array" ref="BA71">IF(ISERROR(index(Com_AllFuels_SEDS_2022_TBtus!$T$3:$T$53,match($B58&amp;BA$2,Com_AllFuels_SEDS_2022_TBtus!$B$3:$B$53&amp;Com_AllFuels_SEDS_2022_TBtus!$A$3:$A$53,0))),0,(index(Com_AllFuels_SEDS_2022_TBtus!$T$3:$T$53,match($B58&amp;BA$2,Com_AllFuels_SEDS_2022_TBtus!$B$3:$B$53&amp;Com_AllFuels_SEDS_2022_TBtus!$A$3:$A$53,0))))</f>
        <v>0</v>
      </c>
      <c r="BB71" s="74">
        <f t="shared" si="11"/>
        <v>87.7</v>
      </c>
    </row>
    <row r="72" ht="15.75" customHeight="1">
      <c r="A72" s="78"/>
      <c r="B72" s="74">
        <v>4.0</v>
      </c>
      <c r="C72" s="75">
        <f t="array" ref="C72">IF(ISERROR(index(Com_AllFuels_SEDS_2022_TBtus!$T$3:$T$53,match($B59&amp;C$2,Com_AllFuels_SEDS_2022_TBtus!$B$3:$B$53&amp;Com_AllFuels_SEDS_2022_TBtus!$A$3:$A$53,0))),0,(index(Com_AllFuels_SEDS_2022_TBtus!$T$3:$T$53,match($B59&amp;C$2,Com_AllFuels_SEDS_2022_TBtus!$B$3:$B$53&amp;Com_AllFuels_SEDS_2022_TBtus!$A$3:$A$53,0))))</f>
        <v>0</v>
      </c>
      <c r="D72" s="75">
        <f t="array" ref="D72">IF(ISERROR(index(Com_AllFuels_SEDS_2022_TBtus!$T$3:$T$53,match($B59&amp;D$2,Com_AllFuels_SEDS_2022_TBtus!$B$3:$B$53&amp;Com_AllFuels_SEDS_2022_TBtus!$A$3:$A$53,0))),0,(index(Com_AllFuels_SEDS_2022_TBtus!$T$3:$T$53,match($B59&amp;D$2,Com_AllFuels_SEDS_2022_TBtus!$B$3:$B$53&amp;Com_AllFuels_SEDS_2022_TBtus!$A$3:$A$53,0))))</f>
        <v>0</v>
      </c>
      <c r="E72" s="75">
        <f t="array" ref="E72">IF(ISERROR(index(Com_AllFuels_SEDS_2022_TBtus!$T$3:$T$53,match($B59&amp;E$2,Com_AllFuels_SEDS_2022_TBtus!$B$3:$B$53&amp;Com_AllFuels_SEDS_2022_TBtus!$A$3:$A$53,0))),0,(index(Com_AllFuels_SEDS_2022_TBtus!$T$3:$T$53,match($B59&amp;E$2,Com_AllFuels_SEDS_2022_TBtus!$B$3:$B$53&amp;Com_AllFuels_SEDS_2022_TBtus!$A$3:$A$53,0))))</f>
        <v>0</v>
      </c>
      <c r="F72" s="75">
        <f t="array" ref="F72">IF(ISERROR(index(Com_AllFuels_SEDS_2022_TBtus!$T$3:$T$53,match($B59&amp;F$2,Com_AllFuels_SEDS_2022_TBtus!$B$3:$B$53&amp;Com_AllFuels_SEDS_2022_TBtus!$A$3:$A$53,0))),0,(index(Com_AllFuels_SEDS_2022_TBtus!$T$3:$T$53,match($B59&amp;F$2,Com_AllFuels_SEDS_2022_TBtus!$B$3:$B$53&amp;Com_AllFuels_SEDS_2022_TBtus!$A$3:$A$53,0))))</f>
        <v>0</v>
      </c>
      <c r="G72" s="75">
        <f t="array" ref="G72">IF(ISERROR(index(Com_AllFuels_SEDS_2022_TBtus!$T$3:$T$53,match($B59&amp;G$2,Com_AllFuels_SEDS_2022_TBtus!$B$3:$B$53&amp;Com_AllFuels_SEDS_2022_TBtus!$A$3:$A$53,0))),0,(index(Com_AllFuels_SEDS_2022_TBtus!$T$3:$T$53,match($B59&amp;G$2,Com_AllFuels_SEDS_2022_TBtus!$B$3:$B$53&amp;Com_AllFuels_SEDS_2022_TBtus!$A$3:$A$53,0))))</f>
        <v>0</v>
      </c>
      <c r="H72" s="75">
        <f t="array" ref="H72">IF(ISERROR(index(Com_AllFuels_SEDS_2022_TBtus!$T$3:$T$53,match($B59&amp;H$2,Com_AllFuels_SEDS_2022_TBtus!$B$3:$B$53&amp;Com_AllFuels_SEDS_2022_TBtus!$A$3:$A$53,0))),0,(index(Com_AllFuels_SEDS_2022_TBtus!$T$3:$T$53,match($B59&amp;H$2,Com_AllFuels_SEDS_2022_TBtus!$B$3:$B$53&amp;Com_AllFuels_SEDS_2022_TBtus!$A$3:$A$53,0))))</f>
        <v>0</v>
      </c>
      <c r="I72" s="75">
        <f t="array" ref="I72">IF(ISERROR(index(Com_AllFuels_SEDS_2022_TBtus!$T$3:$T$53,match($B59&amp;I$2,Com_AllFuels_SEDS_2022_TBtus!$B$3:$B$53&amp;Com_AllFuels_SEDS_2022_TBtus!$A$3:$A$53,0))),0,(index(Com_AllFuels_SEDS_2022_TBtus!$T$3:$T$53,match($B59&amp;I$2,Com_AllFuels_SEDS_2022_TBtus!$B$3:$B$53&amp;Com_AllFuels_SEDS_2022_TBtus!$A$3:$A$53,0))))</f>
        <v>0</v>
      </c>
      <c r="J72" s="75">
        <f t="array" ref="J72">IF(ISERROR(index(Com_AllFuels_SEDS_2022_TBtus!$T$3:$T$53,match($B59&amp;J$2,Com_AllFuels_SEDS_2022_TBtus!$B$3:$B$53&amp;Com_AllFuels_SEDS_2022_TBtus!$A$3:$A$53,0))),0,(index(Com_AllFuels_SEDS_2022_TBtus!$T$3:$T$53,match($B59&amp;J$2,Com_AllFuels_SEDS_2022_TBtus!$B$3:$B$53&amp;Com_AllFuels_SEDS_2022_TBtus!$A$3:$A$53,0))))</f>
        <v>0</v>
      </c>
      <c r="K72" s="75">
        <f t="array" ref="K72">IF(ISERROR(index(Com_AllFuels_SEDS_2022_TBtus!$T$3:$T$53,match($B59&amp;K$2,Com_AllFuels_SEDS_2022_TBtus!$B$3:$B$53&amp;Com_AllFuels_SEDS_2022_TBtus!$A$3:$A$53,0))),0,(index(Com_AllFuels_SEDS_2022_TBtus!$T$3:$T$53,match($B59&amp;K$2,Com_AllFuels_SEDS_2022_TBtus!$B$3:$B$53&amp;Com_AllFuels_SEDS_2022_TBtus!$A$3:$A$53,0))))</f>
        <v>0</v>
      </c>
      <c r="L72" s="75">
        <f t="array" ref="L72">IF(ISERROR(index(Com_AllFuels_SEDS_2022_TBtus!$T$3:$T$53,match($B59&amp;L$2,Com_AllFuels_SEDS_2022_TBtus!$B$3:$B$53&amp;Com_AllFuels_SEDS_2022_TBtus!$A$3:$A$53,0))),0,(index(Com_AllFuels_SEDS_2022_TBtus!$T$3:$T$53,match($B59&amp;L$2,Com_AllFuels_SEDS_2022_TBtus!$B$3:$B$53&amp;Com_AllFuels_SEDS_2022_TBtus!$A$3:$A$53,0))))</f>
        <v>0</v>
      </c>
      <c r="M72" s="75">
        <f t="array" ref="M72">IF(ISERROR(index(Com_AllFuels_SEDS_2022_TBtus!$T$3:$T$53,match($B59&amp;M$2,Com_AllFuels_SEDS_2022_TBtus!$B$3:$B$53&amp;Com_AllFuels_SEDS_2022_TBtus!$A$3:$A$53,0))),0,(index(Com_AllFuels_SEDS_2022_TBtus!$T$3:$T$53,match($B59&amp;M$2,Com_AllFuels_SEDS_2022_TBtus!$B$3:$B$53&amp;Com_AllFuels_SEDS_2022_TBtus!$A$3:$A$53,0))))</f>
        <v>0</v>
      </c>
      <c r="N72" s="75">
        <f t="array" ref="N72">IF(ISERROR(index(Com_AllFuels_SEDS_2022_TBtus!$T$3:$T$53,match($B59&amp;N$2,Com_AllFuels_SEDS_2022_TBtus!$B$3:$B$53&amp;Com_AllFuels_SEDS_2022_TBtus!$A$3:$A$53,0))),0,(index(Com_AllFuels_SEDS_2022_TBtus!$T$3:$T$53,match($B59&amp;N$2,Com_AllFuels_SEDS_2022_TBtus!$B$3:$B$53&amp;Com_AllFuels_SEDS_2022_TBtus!$A$3:$A$53,0))))</f>
        <v>0</v>
      </c>
      <c r="O72" s="75">
        <f t="array" ref="O72">IF(ISERROR(index(Com_AllFuels_SEDS_2022_TBtus!$T$3:$T$53,match($B59&amp;O$2,Com_AllFuels_SEDS_2022_TBtus!$B$3:$B$53&amp;Com_AllFuels_SEDS_2022_TBtus!$A$3:$A$53,0))),0,(index(Com_AllFuels_SEDS_2022_TBtus!$T$3:$T$53,match($B59&amp;O$2,Com_AllFuels_SEDS_2022_TBtus!$B$3:$B$53&amp;Com_AllFuels_SEDS_2022_TBtus!$A$3:$A$53,0))))</f>
        <v>0</v>
      </c>
      <c r="P72" s="75">
        <f t="array" ref="P72">IF(ISERROR(index(Com_AllFuels_SEDS_2022_TBtus!$T$3:$T$53,match($B59&amp;P$2,Com_AllFuels_SEDS_2022_TBtus!$B$3:$B$53&amp;Com_AllFuels_SEDS_2022_TBtus!$A$3:$A$53,0))),0,(index(Com_AllFuels_SEDS_2022_TBtus!$T$3:$T$53,match($B59&amp;P$2,Com_AllFuels_SEDS_2022_TBtus!$B$3:$B$53&amp;Com_AllFuels_SEDS_2022_TBtus!$A$3:$A$53,0))))</f>
        <v>0</v>
      </c>
      <c r="Q72" s="75">
        <f t="array" ref="Q72">IF(ISERROR(index(Com_AllFuels_SEDS_2022_TBtus!$T$3:$T$53,match($B59&amp;Q$2,Com_AllFuels_SEDS_2022_TBtus!$B$3:$B$53&amp;Com_AllFuels_SEDS_2022_TBtus!$A$3:$A$53,0))),0,(index(Com_AllFuels_SEDS_2022_TBtus!$T$3:$T$53,match($B59&amp;Q$2,Com_AllFuels_SEDS_2022_TBtus!$B$3:$B$53&amp;Com_AllFuels_SEDS_2022_TBtus!$A$3:$A$53,0))))</f>
        <v>0</v>
      </c>
      <c r="R72" s="75">
        <f t="array" ref="R72">IF(ISERROR(index(Com_AllFuels_SEDS_2022_TBtus!$T$3:$T$53,match($B59&amp;R$2,Com_AllFuels_SEDS_2022_TBtus!$B$3:$B$53&amp;Com_AllFuels_SEDS_2022_TBtus!$A$3:$A$53,0))),0,(index(Com_AllFuels_SEDS_2022_TBtus!$T$3:$T$53,match($B59&amp;R$2,Com_AllFuels_SEDS_2022_TBtus!$B$3:$B$53&amp;Com_AllFuels_SEDS_2022_TBtus!$A$3:$A$53,0))))</f>
        <v>17.2</v>
      </c>
      <c r="S72" s="75">
        <f t="array" ref="S72">IF(ISERROR(index(Com_AllFuels_SEDS_2022_TBtus!$T$3:$T$53,match($B59&amp;S$2,Com_AllFuels_SEDS_2022_TBtus!$B$3:$B$53&amp;Com_AllFuels_SEDS_2022_TBtus!$A$3:$A$53,0))),0,(index(Com_AllFuels_SEDS_2022_TBtus!$T$3:$T$53,match($B59&amp;S$2,Com_AllFuels_SEDS_2022_TBtus!$B$3:$B$53&amp;Com_AllFuels_SEDS_2022_TBtus!$A$3:$A$53,0))))</f>
        <v>4.8</v>
      </c>
      <c r="T72" s="75">
        <f t="array" ref="T72">IF(ISERROR(index(Com_AllFuels_SEDS_2022_TBtus!$T$3:$T$53,match($B59&amp;T$2,Com_AllFuels_SEDS_2022_TBtus!$B$3:$B$53&amp;Com_AllFuels_SEDS_2022_TBtus!$A$3:$A$53,0))),0,(index(Com_AllFuels_SEDS_2022_TBtus!$T$3:$T$53,match($B59&amp;T$2,Com_AllFuels_SEDS_2022_TBtus!$B$3:$B$53&amp;Com_AllFuels_SEDS_2022_TBtus!$A$3:$A$53,0))))</f>
        <v>0</v>
      </c>
      <c r="U72" s="75">
        <f t="array" ref="U72">IF(ISERROR(index(Com_AllFuels_SEDS_2022_TBtus!$T$3:$T$53,match($B59&amp;U$2,Com_AllFuels_SEDS_2022_TBtus!$B$3:$B$53&amp;Com_AllFuels_SEDS_2022_TBtus!$A$3:$A$53,0))),0,(index(Com_AllFuels_SEDS_2022_TBtus!$T$3:$T$53,match($B59&amp;U$2,Com_AllFuels_SEDS_2022_TBtus!$B$3:$B$53&amp;Com_AllFuels_SEDS_2022_TBtus!$A$3:$A$53,0))))</f>
        <v>0</v>
      </c>
      <c r="V72" s="75">
        <f t="array" ref="V72">IF(ISERROR(index(Com_AllFuels_SEDS_2022_TBtus!$T$3:$T$53,match($B59&amp;V$2,Com_AllFuels_SEDS_2022_TBtus!$B$3:$B$53&amp;Com_AllFuels_SEDS_2022_TBtus!$A$3:$A$53,0))),0,(index(Com_AllFuels_SEDS_2022_TBtus!$T$3:$T$53,match($B59&amp;V$2,Com_AllFuels_SEDS_2022_TBtus!$B$3:$B$53&amp;Com_AllFuels_SEDS_2022_TBtus!$A$3:$A$53,0))))</f>
        <v>0</v>
      </c>
      <c r="W72" s="75">
        <f t="array" ref="W72">IF(ISERROR(index(Com_AllFuels_SEDS_2022_TBtus!$T$3:$T$53,match($B59&amp;W$2,Com_AllFuels_SEDS_2022_TBtus!$B$3:$B$53&amp;Com_AllFuels_SEDS_2022_TBtus!$A$3:$A$53,0))),0,(index(Com_AllFuels_SEDS_2022_TBtus!$T$3:$T$53,match($B59&amp;W$2,Com_AllFuels_SEDS_2022_TBtus!$B$3:$B$53&amp;Com_AllFuels_SEDS_2022_TBtus!$A$3:$A$53,0))))</f>
        <v>0</v>
      </c>
      <c r="X72" s="75">
        <f t="array" ref="X72">IF(ISERROR(index(Com_AllFuels_SEDS_2022_TBtus!$T$3:$T$53,match($B59&amp;X$2,Com_AllFuels_SEDS_2022_TBtus!$B$3:$B$53&amp;Com_AllFuels_SEDS_2022_TBtus!$A$3:$A$53,0))),0,(index(Com_AllFuels_SEDS_2022_TBtus!$T$3:$T$53,match($B59&amp;X$2,Com_AllFuels_SEDS_2022_TBtus!$B$3:$B$53&amp;Com_AllFuels_SEDS_2022_TBtus!$A$3:$A$53,0))))</f>
        <v>0</v>
      </c>
      <c r="Y72" s="75">
        <f t="array" ref="Y72">IF(ISERROR(index(Com_AllFuels_SEDS_2022_TBtus!$T$3:$T$53,match($B59&amp;Y$2,Com_AllFuels_SEDS_2022_TBtus!$B$3:$B$53&amp;Com_AllFuels_SEDS_2022_TBtus!$A$3:$A$53,0))),0,(index(Com_AllFuels_SEDS_2022_TBtus!$T$3:$T$53,match($B59&amp;Y$2,Com_AllFuels_SEDS_2022_TBtus!$B$3:$B$53&amp;Com_AllFuels_SEDS_2022_TBtus!$A$3:$A$53,0))))</f>
        <v>0</v>
      </c>
      <c r="Z72" s="75">
        <f t="array" ref="Z72">IF(ISERROR(index(Com_AllFuels_SEDS_2022_TBtus!$T$3:$T$53,match($B59&amp;Z$2,Com_AllFuels_SEDS_2022_TBtus!$B$3:$B$53&amp;Com_AllFuels_SEDS_2022_TBtus!$A$3:$A$53,0))),0,(index(Com_AllFuels_SEDS_2022_TBtus!$T$3:$T$53,match($B59&amp;Z$2,Com_AllFuels_SEDS_2022_TBtus!$B$3:$B$53&amp;Com_AllFuels_SEDS_2022_TBtus!$A$3:$A$53,0))))</f>
        <v>15.2</v>
      </c>
      <c r="AA72" s="75">
        <f t="array" ref="AA72">IF(ISERROR(index(Com_AllFuels_SEDS_2022_TBtus!$T$3:$T$53,match($B59&amp;AA$2,Com_AllFuels_SEDS_2022_TBtus!$B$3:$B$53&amp;Com_AllFuels_SEDS_2022_TBtus!$A$3:$A$53,0))),0,(index(Com_AllFuels_SEDS_2022_TBtus!$T$3:$T$53,match($B59&amp;AA$2,Com_AllFuels_SEDS_2022_TBtus!$B$3:$B$53&amp;Com_AllFuels_SEDS_2022_TBtus!$A$3:$A$53,0))))</f>
        <v>0</v>
      </c>
      <c r="AB72" s="75">
        <f t="array" ref="AB72">IF(ISERROR(index(Com_AllFuels_SEDS_2022_TBtus!$T$3:$T$53,match($B59&amp;AB$2,Com_AllFuels_SEDS_2022_TBtus!$B$3:$B$53&amp;Com_AllFuels_SEDS_2022_TBtus!$A$3:$A$53,0))),0,(index(Com_AllFuels_SEDS_2022_TBtus!$T$3:$T$53,match($B59&amp;AB$2,Com_AllFuels_SEDS_2022_TBtus!$B$3:$B$53&amp;Com_AllFuels_SEDS_2022_TBtus!$A$3:$A$53,0))))</f>
        <v>11.4</v>
      </c>
      <c r="AC72" s="75">
        <f t="array" ref="AC72">IF(ISERROR(index(Com_AllFuels_SEDS_2022_TBtus!$T$3:$T$53,match($B59&amp;AC$2,Com_AllFuels_SEDS_2022_TBtus!$B$3:$B$53&amp;Com_AllFuels_SEDS_2022_TBtus!$A$3:$A$53,0))),0,(index(Com_AllFuels_SEDS_2022_TBtus!$T$3:$T$53,match($B59&amp;AC$2,Com_AllFuels_SEDS_2022_TBtus!$B$3:$B$53&amp;Com_AllFuels_SEDS_2022_TBtus!$A$3:$A$53,0))))</f>
        <v>0</v>
      </c>
      <c r="AD72" s="75">
        <f t="array" ref="AD72">IF(ISERROR(index(Com_AllFuels_SEDS_2022_TBtus!$T$3:$T$53,match($B59&amp;AD$2,Com_AllFuels_SEDS_2022_TBtus!$B$3:$B$53&amp;Com_AllFuels_SEDS_2022_TBtus!$A$3:$A$53,0))),0,(index(Com_AllFuels_SEDS_2022_TBtus!$T$3:$T$53,match($B59&amp;AD$2,Com_AllFuels_SEDS_2022_TBtus!$B$3:$B$53&amp;Com_AllFuels_SEDS_2022_TBtus!$A$3:$A$53,0))))</f>
        <v>3.4</v>
      </c>
      <c r="AE72" s="75">
        <f t="array" ref="AE72">IF(ISERROR(index(Com_AllFuels_SEDS_2022_TBtus!$T$3:$T$53,match($B59&amp;AE$2,Com_AllFuels_SEDS_2022_TBtus!$B$3:$B$53&amp;Com_AllFuels_SEDS_2022_TBtus!$A$3:$A$53,0))),0,(index(Com_AllFuels_SEDS_2022_TBtus!$T$3:$T$53,match($B59&amp;AE$2,Com_AllFuels_SEDS_2022_TBtus!$B$3:$B$53&amp;Com_AllFuels_SEDS_2022_TBtus!$A$3:$A$53,0))))</f>
        <v>0</v>
      </c>
      <c r="AF72" s="75">
        <f t="array" ref="AF72">IF(ISERROR(index(Com_AllFuels_SEDS_2022_TBtus!$T$3:$T$53,match($B59&amp;AF$2,Com_AllFuels_SEDS_2022_TBtus!$B$3:$B$53&amp;Com_AllFuels_SEDS_2022_TBtus!$A$3:$A$53,0))),0,(index(Com_AllFuels_SEDS_2022_TBtus!$T$3:$T$53,match($B59&amp;AF$2,Com_AllFuels_SEDS_2022_TBtus!$B$3:$B$53&amp;Com_AllFuels_SEDS_2022_TBtus!$A$3:$A$53,0))))</f>
        <v>0</v>
      </c>
      <c r="AG72" s="75">
        <f t="array" ref="AG72">IF(ISERROR(index(Com_AllFuels_SEDS_2022_TBtus!$T$3:$T$53,match($B59&amp;AG$2,Com_AllFuels_SEDS_2022_TBtus!$B$3:$B$53&amp;Com_AllFuels_SEDS_2022_TBtus!$A$3:$A$53,0))),0,(index(Com_AllFuels_SEDS_2022_TBtus!$T$3:$T$53,match($B59&amp;AG$2,Com_AllFuels_SEDS_2022_TBtus!$B$3:$B$53&amp;Com_AllFuels_SEDS_2022_TBtus!$A$3:$A$53,0))))</f>
        <v>0</v>
      </c>
      <c r="AH72" s="75">
        <f t="array" ref="AH72">IF(ISERROR(index(Com_AllFuels_SEDS_2022_TBtus!$T$3:$T$53,match($B59&amp;AH$2,Com_AllFuels_SEDS_2022_TBtus!$B$3:$B$53&amp;Com_AllFuels_SEDS_2022_TBtus!$A$3:$A$53,0))),0,(index(Com_AllFuels_SEDS_2022_TBtus!$T$3:$T$53,match($B59&amp;AH$2,Com_AllFuels_SEDS_2022_TBtus!$B$3:$B$53&amp;Com_AllFuels_SEDS_2022_TBtus!$A$3:$A$53,0))))</f>
        <v>0</v>
      </c>
      <c r="AI72" s="75">
        <f t="array" ref="AI72">IF(ISERROR(index(Com_AllFuels_SEDS_2022_TBtus!$T$3:$T$53,match($B59&amp;AI$2,Com_AllFuels_SEDS_2022_TBtus!$B$3:$B$53&amp;Com_AllFuels_SEDS_2022_TBtus!$A$3:$A$53,0))),0,(index(Com_AllFuels_SEDS_2022_TBtus!$T$3:$T$53,match($B59&amp;AI$2,Com_AllFuels_SEDS_2022_TBtus!$B$3:$B$53&amp;Com_AllFuels_SEDS_2022_TBtus!$A$3:$A$53,0))))</f>
        <v>0</v>
      </c>
      <c r="AJ72" s="75">
        <f t="array" ref="AJ72">IF(ISERROR(index(Com_AllFuels_SEDS_2022_TBtus!$T$3:$T$53,match($B59&amp;AJ$2,Com_AllFuels_SEDS_2022_TBtus!$B$3:$B$53&amp;Com_AllFuels_SEDS_2022_TBtus!$A$3:$A$53,0))),0,(index(Com_AllFuels_SEDS_2022_TBtus!$T$3:$T$53,match($B59&amp;AJ$2,Com_AllFuels_SEDS_2022_TBtus!$B$3:$B$53&amp;Com_AllFuels_SEDS_2022_TBtus!$A$3:$A$53,0))))</f>
        <v>0</v>
      </c>
      <c r="AK72" s="75">
        <f t="array" ref="AK72">IF(ISERROR(index(Com_AllFuels_SEDS_2022_TBtus!$T$3:$T$53,match($B59&amp;AK$2,Com_AllFuels_SEDS_2022_TBtus!$B$3:$B$53&amp;Com_AllFuels_SEDS_2022_TBtus!$A$3:$A$53,0))),0,(index(Com_AllFuels_SEDS_2022_TBtus!$T$3:$T$53,match($B59&amp;AK$2,Com_AllFuels_SEDS_2022_TBtus!$B$3:$B$53&amp;Com_AllFuels_SEDS_2022_TBtus!$A$3:$A$53,0))))</f>
        <v>2.2</v>
      </c>
      <c r="AL72" s="75">
        <f t="array" ref="AL72">IF(ISERROR(index(Com_AllFuels_SEDS_2022_TBtus!$T$3:$T$53,match($B59&amp;AL$2,Com_AllFuels_SEDS_2022_TBtus!$B$3:$B$53&amp;Com_AllFuels_SEDS_2022_TBtus!$A$3:$A$53,0))),0,(index(Com_AllFuels_SEDS_2022_TBtus!$T$3:$T$53,match($B59&amp;AL$2,Com_AllFuels_SEDS_2022_TBtus!$B$3:$B$53&amp;Com_AllFuels_SEDS_2022_TBtus!$A$3:$A$53,0))))</f>
        <v>0</v>
      </c>
      <c r="AM72" s="75">
        <f t="array" ref="AM72">IF(ISERROR(index(Com_AllFuels_SEDS_2022_TBtus!$T$3:$T$53,match($B59&amp;AM$2,Com_AllFuels_SEDS_2022_TBtus!$B$3:$B$53&amp;Com_AllFuels_SEDS_2022_TBtus!$A$3:$A$53,0))),0,(index(Com_AllFuels_SEDS_2022_TBtus!$T$3:$T$53,match($B59&amp;AM$2,Com_AllFuels_SEDS_2022_TBtus!$B$3:$B$53&amp;Com_AllFuels_SEDS_2022_TBtus!$A$3:$A$53,0))))</f>
        <v>0</v>
      </c>
      <c r="AN72" s="75">
        <f t="array" ref="AN72">IF(ISERROR(index(Com_AllFuels_SEDS_2022_TBtus!$T$3:$T$53,match($B59&amp;AN$2,Com_AllFuels_SEDS_2022_TBtus!$B$3:$B$53&amp;Com_AllFuels_SEDS_2022_TBtus!$A$3:$A$53,0))),0,(index(Com_AllFuels_SEDS_2022_TBtus!$T$3:$T$53,match($B59&amp;AN$2,Com_AllFuels_SEDS_2022_TBtus!$B$3:$B$53&amp;Com_AllFuels_SEDS_2022_TBtus!$A$3:$A$53,0))))</f>
        <v>0</v>
      </c>
      <c r="AO72" s="75">
        <f t="array" ref="AO72">IF(ISERROR(index(Com_AllFuels_SEDS_2022_TBtus!$T$3:$T$53,match($B59&amp;AO$2,Com_AllFuels_SEDS_2022_TBtus!$B$3:$B$53&amp;Com_AllFuels_SEDS_2022_TBtus!$A$3:$A$53,0))),0,(index(Com_AllFuels_SEDS_2022_TBtus!$T$3:$T$53,match($B59&amp;AO$2,Com_AllFuels_SEDS_2022_TBtus!$B$3:$B$53&amp;Com_AllFuels_SEDS_2022_TBtus!$A$3:$A$53,0))))</f>
        <v>0</v>
      </c>
      <c r="AP72" s="75">
        <f t="array" ref="AP72">IF(ISERROR(index(Com_AllFuels_SEDS_2022_TBtus!$T$3:$T$53,match($B59&amp;AP$2,Com_AllFuels_SEDS_2022_TBtus!$B$3:$B$53&amp;Com_AllFuels_SEDS_2022_TBtus!$A$3:$A$53,0))),0,(index(Com_AllFuels_SEDS_2022_TBtus!$T$3:$T$53,match($B59&amp;AP$2,Com_AllFuels_SEDS_2022_TBtus!$B$3:$B$53&amp;Com_AllFuels_SEDS_2022_TBtus!$A$3:$A$53,0))))</f>
        <v>0</v>
      </c>
      <c r="AQ72" s="75">
        <f t="array" ref="AQ72">IF(ISERROR(index(Com_AllFuels_SEDS_2022_TBtus!$T$3:$T$53,match($B59&amp;AQ$2,Com_AllFuels_SEDS_2022_TBtus!$B$3:$B$53&amp;Com_AllFuels_SEDS_2022_TBtus!$A$3:$A$53,0))),0,(index(Com_AllFuels_SEDS_2022_TBtus!$T$3:$T$53,match($B59&amp;AQ$2,Com_AllFuels_SEDS_2022_TBtus!$B$3:$B$53&amp;Com_AllFuels_SEDS_2022_TBtus!$A$3:$A$53,0))))</f>
        <v>0</v>
      </c>
      <c r="AR72" s="75">
        <f t="array" ref="AR72">IF(ISERROR(index(Com_AllFuels_SEDS_2022_TBtus!$T$3:$T$53,match($B59&amp;AR$2,Com_AllFuels_SEDS_2022_TBtus!$B$3:$B$53&amp;Com_AllFuels_SEDS_2022_TBtus!$A$3:$A$53,0))),0,(index(Com_AllFuels_SEDS_2022_TBtus!$T$3:$T$53,match($B59&amp;AR$2,Com_AllFuels_SEDS_2022_TBtus!$B$3:$B$53&amp;Com_AllFuels_SEDS_2022_TBtus!$A$3:$A$53,0))))</f>
        <v>1.4</v>
      </c>
      <c r="AS72" s="75">
        <f t="array" ref="AS72">IF(ISERROR(index(Com_AllFuels_SEDS_2022_TBtus!$T$3:$T$53,match($B59&amp;AS$2,Com_AllFuels_SEDS_2022_TBtus!$B$3:$B$53&amp;Com_AllFuels_SEDS_2022_TBtus!$A$3:$A$53,0))),0,(index(Com_AllFuels_SEDS_2022_TBtus!$T$3:$T$53,match($B59&amp;AS$2,Com_AllFuels_SEDS_2022_TBtus!$B$3:$B$53&amp;Com_AllFuels_SEDS_2022_TBtus!$A$3:$A$53,0))))</f>
        <v>0</v>
      </c>
      <c r="AT72" s="75">
        <f t="array" ref="AT72">IF(ISERROR(index(Com_AllFuels_SEDS_2022_TBtus!$T$3:$T$53,match($B59&amp;AT$2,Com_AllFuels_SEDS_2022_TBtus!$B$3:$B$53&amp;Com_AllFuels_SEDS_2022_TBtus!$A$3:$A$53,0))),0,(index(Com_AllFuels_SEDS_2022_TBtus!$T$3:$T$53,match($B59&amp;AT$2,Com_AllFuels_SEDS_2022_TBtus!$B$3:$B$53&amp;Com_AllFuels_SEDS_2022_TBtus!$A$3:$A$53,0))))</f>
        <v>0</v>
      </c>
      <c r="AU72" s="75">
        <f t="array" ref="AU72">IF(ISERROR(index(Com_AllFuels_SEDS_2022_TBtus!$T$3:$T$53,match($B59&amp;AU$2,Com_AllFuels_SEDS_2022_TBtus!$B$3:$B$53&amp;Com_AllFuels_SEDS_2022_TBtus!$A$3:$A$53,0))),0,(index(Com_AllFuels_SEDS_2022_TBtus!$T$3:$T$53,match($B59&amp;AU$2,Com_AllFuels_SEDS_2022_TBtus!$B$3:$B$53&amp;Com_AllFuels_SEDS_2022_TBtus!$A$3:$A$53,0))))</f>
        <v>0</v>
      </c>
      <c r="AV72" s="75">
        <f t="array" ref="AV72">IF(ISERROR(index(Com_AllFuels_SEDS_2022_TBtus!$T$3:$T$53,match($B59&amp;AV$2,Com_AllFuels_SEDS_2022_TBtus!$B$3:$B$53&amp;Com_AllFuels_SEDS_2022_TBtus!$A$3:$A$53,0))),0,(index(Com_AllFuels_SEDS_2022_TBtus!$T$3:$T$53,match($B59&amp;AV$2,Com_AllFuels_SEDS_2022_TBtus!$B$3:$B$53&amp;Com_AllFuels_SEDS_2022_TBtus!$A$3:$A$53,0))))</f>
        <v>0</v>
      </c>
      <c r="AW72" s="75">
        <f t="array" ref="AW72">IF(ISERROR(index(Com_AllFuels_SEDS_2022_TBtus!$T$3:$T$53,match($B59&amp;AW$2,Com_AllFuels_SEDS_2022_TBtus!$B$3:$B$53&amp;Com_AllFuels_SEDS_2022_TBtus!$A$3:$A$53,0))),0,(index(Com_AllFuels_SEDS_2022_TBtus!$T$3:$T$53,match($B59&amp;AW$2,Com_AllFuels_SEDS_2022_TBtus!$B$3:$B$53&amp;Com_AllFuels_SEDS_2022_TBtus!$A$3:$A$53,0))))</f>
        <v>0</v>
      </c>
      <c r="AX72" s="75">
        <f t="array" ref="AX72">IF(ISERROR(index(Com_AllFuels_SEDS_2022_TBtus!$T$3:$T$53,match($B59&amp;AX$2,Com_AllFuels_SEDS_2022_TBtus!$B$3:$B$53&amp;Com_AllFuels_SEDS_2022_TBtus!$A$3:$A$53,0))),0,(index(Com_AllFuels_SEDS_2022_TBtus!$T$3:$T$53,match($B59&amp;AX$2,Com_AllFuels_SEDS_2022_TBtus!$B$3:$B$53&amp;Com_AllFuels_SEDS_2022_TBtus!$A$3:$A$53,0))))</f>
        <v>0</v>
      </c>
      <c r="AY72" s="75">
        <f t="array" ref="AY72">IF(ISERROR(index(Com_AllFuels_SEDS_2022_TBtus!$T$3:$T$53,match($B59&amp;AY$2,Com_AllFuels_SEDS_2022_TBtus!$B$3:$B$53&amp;Com_AllFuels_SEDS_2022_TBtus!$A$3:$A$53,0))),0,(index(Com_AllFuels_SEDS_2022_TBtus!$T$3:$T$53,match($B59&amp;AY$2,Com_AllFuels_SEDS_2022_TBtus!$B$3:$B$53&amp;Com_AllFuels_SEDS_2022_TBtus!$A$3:$A$53,0))))</f>
        <v>0</v>
      </c>
      <c r="AZ72" s="75">
        <f t="array" ref="AZ72">IF(ISERROR(index(Com_AllFuels_SEDS_2022_TBtus!$T$3:$T$53,match($B59&amp;AZ$2,Com_AllFuels_SEDS_2022_TBtus!$B$3:$B$53&amp;Com_AllFuels_SEDS_2022_TBtus!$A$3:$A$53,0))),0,(index(Com_AllFuels_SEDS_2022_TBtus!$T$3:$T$53,match($B59&amp;AZ$2,Com_AllFuels_SEDS_2022_TBtus!$B$3:$B$53&amp;Com_AllFuels_SEDS_2022_TBtus!$A$3:$A$53,0))))</f>
        <v>0</v>
      </c>
      <c r="BA72" s="75">
        <f t="array" ref="BA72">IF(ISERROR(index(Com_AllFuels_SEDS_2022_TBtus!$T$3:$T$53,match($B59&amp;BA$2,Com_AllFuels_SEDS_2022_TBtus!$B$3:$B$53&amp;Com_AllFuels_SEDS_2022_TBtus!$A$3:$A$53,0))),0,(index(Com_AllFuels_SEDS_2022_TBtus!$T$3:$T$53,match($B59&amp;BA$2,Com_AllFuels_SEDS_2022_TBtus!$B$3:$B$53&amp;Com_AllFuels_SEDS_2022_TBtus!$A$3:$A$53,0))))</f>
        <v>0</v>
      </c>
      <c r="BB72" s="74">
        <f t="shared" si="11"/>
        <v>55.6</v>
      </c>
    </row>
    <row r="73" ht="15.75" customHeight="1">
      <c r="A73" s="78"/>
      <c r="B73" s="74">
        <v>5.0</v>
      </c>
      <c r="C73" s="75">
        <f t="array" ref="C73">IF(ISERROR(index(Com_AllFuels_SEDS_2022_TBtus!$T$3:$T$53,match($B60&amp;C$2,Com_AllFuels_SEDS_2022_TBtus!$B$3:$B$53&amp;Com_AllFuels_SEDS_2022_TBtus!$A$3:$A$53,0))),0,(index(Com_AllFuels_SEDS_2022_TBtus!$T$3:$T$53,match($B60&amp;C$2,Com_AllFuels_SEDS_2022_TBtus!$B$3:$B$53&amp;Com_AllFuels_SEDS_2022_TBtus!$A$3:$A$53,0))))</f>
        <v>0</v>
      </c>
      <c r="D73" s="75">
        <f t="array" ref="D73">IF(ISERROR(index(Com_AllFuels_SEDS_2022_TBtus!$T$3:$T$53,match($B60&amp;D$2,Com_AllFuels_SEDS_2022_TBtus!$B$3:$B$53&amp;Com_AllFuels_SEDS_2022_TBtus!$A$3:$A$53,0))),0,(index(Com_AllFuels_SEDS_2022_TBtus!$T$3:$T$53,match($B60&amp;D$2,Com_AllFuels_SEDS_2022_TBtus!$B$3:$B$53&amp;Com_AllFuels_SEDS_2022_TBtus!$A$3:$A$53,0))))</f>
        <v>0</v>
      </c>
      <c r="E73" s="75">
        <f t="array" ref="E73">IF(ISERROR(index(Com_AllFuels_SEDS_2022_TBtus!$T$3:$T$53,match($B60&amp;E$2,Com_AllFuels_SEDS_2022_TBtus!$B$3:$B$53&amp;Com_AllFuels_SEDS_2022_TBtus!$A$3:$A$53,0))),0,(index(Com_AllFuels_SEDS_2022_TBtus!$T$3:$T$53,match($B60&amp;E$2,Com_AllFuels_SEDS_2022_TBtus!$B$3:$B$53&amp;Com_AllFuels_SEDS_2022_TBtus!$A$3:$A$53,0))))</f>
        <v>0</v>
      </c>
      <c r="F73" s="75">
        <f t="array" ref="F73">IF(ISERROR(index(Com_AllFuels_SEDS_2022_TBtus!$T$3:$T$53,match($B60&amp;F$2,Com_AllFuels_SEDS_2022_TBtus!$B$3:$B$53&amp;Com_AllFuels_SEDS_2022_TBtus!$A$3:$A$53,0))),0,(index(Com_AllFuels_SEDS_2022_TBtus!$T$3:$T$53,match($B60&amp;F$2,Com_AllFuels_SEDS_2022_TBtus!$B$3:$B$53&amp;Com_AllFuels_SEDS_2022_TBtus!$A$3:$A$53,0))))</f>
        <v>0</v>
      </c>
      <c r="G73" s="75">
        <f t="array" ref="G73">IF(ISERROR(index(Com_AllFuels_SEDS_2022_TBtus!$T$3:$T$53,match($B60&amp;G$2,Com_AllFuels_SEDS_2022_TBtus!$B$3:$B$53&amp;Com_AllFuels_SEDS_2022_TBtus!$A$3:$A$53,0))),0,(index(Com_AllFuels_SEDS_2022_TBtus!$T$3:$T$53,match($B60&amp;G$2,Com_AllFuels_SEDS_2022_TBtus!$B$3:$B$53&amp;Com_AllFuels_SEDS_2022_TBtus!$A$3:$A$53,0))))</f>
        <v>0</v>
      </c>
      <c r="H73" s="75">
        <f t="array" ref="H73">IF(ISERROR(index(Com_AllFuels_SEDS_2022_TBtus!$T$3:$T$53,match($B60&amp;H$2,Com_AllFuels_SEDS_2022_TBtus!$B$3:$B$53&amp;Com_AllFuels_SEDS_2022_TBtus!$A$3:$A$53,0))),0,(index(Com_AllFuels_SEDS_2022_TBtus!$T$3:$T$53,match($B60&amp;H$2,Com_AllFuels_SEDS_2022_TBtus!$B$3:$B$53&amp;Com_AllFuels_SEDS_2022_TBtus!$A$3:$A$53,0))))</f>
        <v>0</v>
      </c>
      <c r="I73" s="75">
        <f t="array" ref="I73">IF(ISERROR(index(Com_AllFuels_SEDS_2022_TBtus!$T$3:$T$53,match($B60&amp;I$2,Com_AllFuels_SEDS_2022_TBtus!$B$3:$B$53&amp;Com_AllFuels_SEDS_2022_TBtus!$A$3:$A$53,0))),0,(index(Com_AllFuels_SEDS_2022_TBtus!$T$3:$T$53,match($B60&amp;I$2,Com_AllFuels_SEDS_2022_TBtus!$B$3:$B$53&amp;Com_AllFuels_SEDS_2022_TBtus!$A$3:$A$53,0))))</f>
        <v>0</v>
      </c>
      <c r="J73" s="75">
        <f t="array" ref="J73">IF(ISERROR(index(Com_AllFuels_SEDS_2022_TBtus!$T$3:$T$53,match($B60&amp;J$2,Com_AllFuels_SEDS_2022_TBtus!$B$3:$B$53&amp;Com_AllFuels_SEDS_2022_TBtus!$A$3:$A$53,0))),0,(index(Com_AllFuels_SEDS_2022_TBtus!$T$3:$T$53,match($B60&amp;J$2,Com_AllFuels_SEDS_2022_TBtus!$B$3:$B$53&amp;Com_AllFuels_SEDS_2022_TBtus!$A$3:$A$53,0))))</f>
        <v>2.2</v>
      </c>
      <c r="K73" s="75">
        <f t="array" ref="K73">IF(ISERROR(index(Com_AllFuels_SEDS_2022_TBtus!$T$3:$T$53,match($B60&amp;K$2,Com_AllFuels_SEDS_2022_TBtus!$B$3:$B$53&amp;Com_AllFuels_SEDS_2022_TBtus!$A$3:$A$53,0))),0,(index(Com_AllFuels_SEDS_2022_TBtus!$T$3:$T$53,match($B60&amp;K$2,Com_AllFuels_SEDS_2022_TBtus!$B$3:$B$53&amp;Com_AllFuels_SEDS_2022_TBtus!$A$3:$A$53,0))))</f>
        <v>0.4</v>
      </c>
      <c r="L73" s="75">
        <f t="array" ref="L73">IF(ISERROR(index(Com_AllFuels_SEDS_2022_TBtus!$T$3:$T$53,match($B60&amp;L$2,Com_AllFuels_SEDS_2022_TBtus!$B$3:$B$53&amp;Com_AllFuels_SEDS_2022_TBtus!$A$3:$A$53,0))),0,(index(Com_AllFuels_SEDS_2022_TBtus!$T$3:$T$53,match($B60&amp;L$2,Com_AllFuels_SEDS_2022_TBtus!$B$3:$B$53&amp;Com_AllFuels_SEDS_2022_TBtus!$A$3:$A$53,0))))</f>
        <v>39.1</v>
      </c>
      <c r="M73" s="75">
        <f t="array" ref="M73">IF(ISERROR(index(Com_AllFuels_SEDS_2022_TBtus!$T$3:$T$53,match($B60&amp;M$2,Com_AllFuels_SEDS_2022_TBtus!$B$3:$B$53&amp;Com_AllFuels_SEDS_2022_TBtus!$A$3:$A$53,0))),0,(index(Com_AllFuels_SEDS_2022_TBtus!$T$3:$T$53,match($B60&amp;M$2,Com_AllFuels_SEDS_2022_TBtus!$B$3:$B$53&amp;Com_AllFuels_SEDS_2022_TBtus!$A$3:$A$53,0))))</f>
        <v>18.1</v>
      </c>
      <c r="N73" s="75">
        <f t="array" ref="N73">IF(ISERROR(index(Com_AllFuels_SEDS_2022_TBtus!$T$3:$T$53,match($B60&amp;N$2,Com_AllFuels_SEDS_2022_TBtus!$B$3:$B$53&amp;Com_AllFuels_SEDS_2022_TBtus!$A$3:$A$53,0))),0,(index(Com_AllFuels_SEDS_2022_TBtus!$T$3:$T$53,match($B60&amp;N$2,Com_AllFuels_SEDS_2022_TBtus!$B$3:$B$53&amp;Com_AllFuels_SEDS_2022_TBtus!$A$3:$A$53,0))))</f>
        <v>0</v>
      </c>
      <c r="O73" s="75">
        <f t="array" ref="O73">IF(ISERROR(index(Com_AllFuels_SEDS_2022_TBtus!$T$3:$T$53,match($B60&amp;O$2,Com_AllFuels_SEDS_2022_TBtus!$B$3:$B$53&amp;Com_AllFuels_SEDS_2022_TBtus!$A$3:$A$53,0))),0,(index(Com_AllFuels_SEDS_2022_TBtus!$T$3:$T$53,match($B60&amp;O$2,Com_AllFuels_SEDS_2022_TBtus!$B$3:$B$53&amp;Com_AllFuels_SEDS_2022_TBtus!$A$3:$A$53,0))))</f>
        <v>0</v>
      </c>
      <c r="P73" s="75">
        <f t="array" ref="P73">IF(ISERROR(index(Com_AllFuels_SEDS_2022_TBtus!$T$3:$T$53,match($B60&amp;P$2,Com_AllFuels_SEDS_2022_TBtus!$B$3:$B$53&amp;Com_AllFuels_SEDS_2022_TBtus!$A$3:$A$53,0))),0,(index(Com_AllFuels_SEDS_2022_TBtus!$T$3:$T$53,match($B60&amp;P$2,Com_AllFuels_SEDS_2022_TBtus!$B$3:$B$53&amp;Com_AllFuels_SEDS_2022_TBtus!$A$3:$A$53,0))))</f>
        <v>0</v>
      </c>
      <c r="Q73" s="75">
        <f t="array" ref="Q73">IF(ISERROR(index(Com_AllFuels_SEDS_2022_TBtus!$T$3:$T$53,match($B60&amp;Q$2,Com_AllFuels_SEDS_2022_TBtus!$B$3:$B$53&amp;Com_AllFuels_SEDS_2022_TBtus!$A$3:$A$53,0))),0,(index(Com_AllFuels_SEDS_2022_TBtus!$T$3:$T$53,match($B60&amp;Q$2,Com_AllFuels_SEDS_2022_TBtus!$B$3:$B$53&amp;Com_AllFuels_SEDS_2022_TBtus!$A$3:$A$53,0))))</f>
        <v>0</v>
      </c>
      <c r="R73" s="75">
        <f t="array" ref="R73">IF(ISERROR(index(Com_AllFuels_SEDS_2022_TBtus!$T$3:$T$53,match($B60&amp;R$2,Com_AllFuels_SEDS_2022_TBtus!$B$3:$B$53&amp;Com_AllFuels_SEDS_2022_TBtus!$A$3:$A$53,0))),0,(index(Com_AllFuels_SEDS_2022_TBtus!$T$3:$T$53,match($B60&amp;R$2,Com_AllFuels_SEDS_2022_TBtus!$B$3:$B$53&amp;Com_AllFuels_SEDS_2022_TBtus!$A$3:$A$53,0))))</f>
        <v>0</v>
      </c>
      <c r="S73" s="75">
        <f t="array" ref="S73">IF(ISERROR(index(Com_AllFuels_SEDS_2022_TBtus!$T$3:$T$53,match($B60&amp;S$2,Com_AllFuels_SEDS_2022_TBtus!$B$3:$B$53&amp;Com_AllFuels_SEDS_2022_TBtus!$A$3:$A$53,0))),0,(index(Com_AllFuels_SEDS_2022_TBtus!$T$3:$T$53,match($B60&amp;S$2,Com_AllFuels_SEDS_2022_TBtus!$B$3:$B$53&amp;Com_AllFuels_SEDS_2022_TBtus!$A$3:$A$53,0))))</f>
        <v>0</v>
      </c>
      <c r="T73" s="75">
        <f t="array" ref="T73">IF(ISERROR(index(Com_AllFuels_SEDS_2022_TBtus!$T$3:$T$53,match($B60&amp;T$2,Com_AllFuels_SEDS_2022_TBtus!$B$3:$B$53&amp;Com_AllFuels_SEDS_2022_TBtus!$A$3:$A$53,0))),0,(index(Com_AllFuels_SEDS_2022_TBtus!$T$3:$T$53,match($B60&amp;T$2,Com_AllFuels_SEDS_2022_TBtus!$B$3:$B$53&amp;Com_AllFuels_SEDS_2022_TBtus!$A$3:$A$53,0))))</f>
        <v>0</v>
      </c>
      <c r="U73" s="75">
        <f t="array" ref="U73">IF(ISERROR(index(Com_AllFuels_SEDS_2022_TBtus!$T$3:$T$53,match($B60&amp;U$2,Com_AllFuels_SEDS_2022_TBtus!$B$3:$B$53&amp;Com_AllFuels_SEDS_2022_TBtus!$A$3:$A$53,0))),0,(index(Com_AllFuels_SEDS_2022_TBtus!$T$3:$T$53,match($B60&amp;U$2,Com_AllFuels_SEDS_2022_TBtus!$B$3:$B$53&amp;Com_AllFuels_SEDS_2022_TBtus!$A$3:$A$53,0))))</f>
        <v>0</v>
      </c>
      <c r="V73" s="75">
        <f t="array" ref="V73">IF(ISERROR(index(Com_AllFuels_SEDS_2022_TBtus!$T$3:$T$53,match($B60&amp;V$2,Com_AllFuels_SEDS_2022_TBtus!$B$3:$B$53&amp;Com_AllFuels_SEDS_2022_TBtus!$A$3:$A$53,0))),0,(index(Com_AllFuels_SEDS_2022_TBtus!$T$3:$T$53,match($B60&amp;V$2,Com_AllFuels_SEDS_2022_TBtus!$B$3:$B$53&amp;Com_AllFuels_SEDS_2022_TBtus!$A$3:$A$53,0))))</f>
        <v>0</v>
      </c>
      <c r="W73" s="75">
        <f t="array" ref="W73">IF(ISERROR(index(Com_AllFuels_SEDS_2022_TBtus!$T$3:$T$53,match($B60&amp;W$2,Com_AllFuels_SEDS_2022_TBtus!$B$3:$B$53&amp;Com_AllFuels_SEDS_2022_TBtus!$A$3:$A$53,0))),0,(index(Com_AllFuels_SEDS_2022_TBtus!$T$3:$T$53,match($B60&amp;W$2,Com_AllFuels_SEDS_2022_TBtus!$B$3:$B$53&amp;Com_AllFuels_SEDS_2022_TBtus!$A$3:$A$53,0))))</f>
        <v>12.6</v>
      </c>
      <c r="X73" s="75">
        <f t="array" ref="X73">IF(ISERROR(index(Com_AllFuels_SEDS_2022_TBtus!$T$3:$T$53,match($B60&amp;X$2,Com_AllFuels_SEDS_2022_TBtus!$B$3:$B$53&amp;Com_AllFuels_SEDS_2022_TBtus!$A$3:$A$53,0))),0,(index(Com_AllFuels_SEDS_2022_TBtus!$T$3:$T$53,match($B60&amp;X$2,Com_AllFuels_SEDS_2022_TBtus!$B$3:$B$53&amp;Com_AllFuels_SEDS_2022_TBtus!$A$3:$A$53,0))))</f>
        <v>0</v>
      </c>
      <c r="Y73" s="75">
        <f t="array" ref="Y73">IF(ISERROR(index(Com_AllFuels_SEDS_2022_TBtus!$T$3:$T$53,match($B60&amp;Y$2,Com_AllFuels_SEDS_2022_TBtus!$B$3:$B$53&amp;Com_AllFuels_SEDS_2022_TBtus!$A$3:$A$53,0))),0,(index(Com_AllFuels_SEDS_2022_TBtus!$T$3:$T$53,match($B60&amp;Y$2,Com_AllFuels_SEDS_2022_TBtus!$B$3:$B$53&amp;Com_AllFuels_SEDS_2022_TBtus!$A$3:$A$53,0))))</f>
        <v>0</v>
      </c>
      <c r="Z73" s="75">
        <f t="array" ref="Z73">IF(ISERROR(index(Com_AllFuels_SEDS_2022_TBtus!$T$3:$T$53,match($B60&amp;Z$2,Com_AllFuels_SEDS_2022_TBtus!$B$3:$B$53&amp;Com_AllFuels_SEDS_2022_TBtus!$A$3:$A$53,0))),0,(index(Com_AllFuels_SEDS_2022_TBtus!$T$3:$T$53,match($B60&amp;Z$2,Com_AllFuels_SEDS_2022_TBtus!$B$3:$B$53&amp;Com_AllFuels_SEDS_2022_TBtus!$A$3:$A$53,0))))</f>
        <v>0</v>
      </c>
      <c r="AA73" s="75">
        <f t="array" ref="AA73">IF(ISERROR(index(Com_AllFuels_SEDS_2022_TBtus!$T$3:$T$53,match($B60&amp;AA$2,Com_AllFuels_SEDS_2022_TBtus!$B$3:$B$53&amp;Com_AllFuels_SEDS_2022_TBtus!$A$3:$A$53,0))),0,(index(Com_AllFuels_SEDS_2022_TBtus!$T$3:$T$53,match($B60&amp;AA$2,Com_AllFuels_SEDS_2022_TBtus!$B$3:$B$53&amp;Com_AllFuels_SEDS_2022_TBtus!$A$3:$A$53,0))))</f>
        <v>0</v>
      </c>
      <c r="AB73" s="75">
        <f t="array" ref="AB73">IF(ISERROR(index(Com_AllFuels_SEDS_2022_TBtus!$T$3:$T$53,match($B60&amp;AB$2,Com_AllFuels_SEDS_2022_TBtus!$B$3:$B$53&amp;Com_AllFuels_SEDS_2022_TBtus!$A$3:$A$53,0))),0,(index(Com_AllFuels_SEDS_2022_TBtus!$T$3:$T$53,match($B60&amp;AB$2,Com_AllFuels_SEDS_2022_TBtus!$B$3:$B$53&amp;Com_AllFuels_SEDS_2022_TBtus!$A$3:$A$53,0))))</f>
        <v>0</v>
      </c>
      <c r="AC73" s="75">
        <f t="array" ref="AC73">IF(ISERROR(index(Com_AllFuels_SEDS_2022_TBtus!$T$3:$T$53,match($B60&amp;AC$2,Com_AllFuels_SEDS_2022_TBtus!$B$3:$B$53&amp;Com_AllFuels_SEDS_2022_TBtus!$A$3:$A$53,0))),0,(index(Com_AllFuels_SEDS_2022_TBtus!$T$3:$T$53,match($B60&amp;AC$2,Com_AllFuels_SEDS_2022_TBtus!$B$3:$B$53&amp;Com_AllFuels_SEDS_2022_TBtus!$A$3:$A$53,0))))</f>
        <v>0</v>
      </c>
      <c r="AD73" s="75">
        <f t="array" ref="AD73">IF(ISERROR(index(Com_AllFuels_SEDS_2022_TBtus!$T$3:$T$53,match($B60&amp;AD$2,Com_AllFuels_SEDS_2022_TBtus!$B$3:$B$53&amp;Com_AllFuels_SEDS_2022_TBtus!$A$3:$A$53,0))),0,(index(Com_AllFuels_SEDS_2022_TBtus!$T$3:$T$53,match($B60&amp;AD$2,Com_AllFuels_SEDS_2022_TBtus!$B$3:$B$53&amp;Com_AllFuels_SEDS_2022_TBtus!$A$3:$A$53,0))))</f>
        <v>0</v>
      </c>
      <c r="AE73" s="75">
        <f t="array" ref="AE73">IF(ISERROR(index(Com_AllFuels_SEDS_2022_TBtus!$T$3:$T$53,match($B60&amp;AE$2,Com_AllFuels_SEDS_2022_TBtus!$B$3:$B$53&amp;Com_AllFuels_SEDS_2022_TBtus!$A$3:$A$53,0))),0,(index(Com_AllFuels_SEDS_2022_TBtus!$T$3:$T$53,match($B60&amp;AE$2,Com_AllFuels_SEDS_2022_TBtus!$B$3:$B$53&amp;Com_AllFuels_SEDS_2022_TBtus!$A$3:$A$53,0))))</f>
        <v>0</v>
      </c>
      <c r="AF73" s="75">
        <f t="array" ref="AF73">IF(ISERROR(index(Com_AllFuels_SEDS_2022_TBtus!$T$3:$T$53,match($B60&amp;AF$2,Com_AllFuels_SEDS_2022_TBtus!$B$3:$B$53&amp;Com_AllFuels_SEDS_2022_TBtus!$A$3:$A$53,0))),0,(index(Com_AllFuels_SEDS_2022_TBtus!$T$3:$T$53,match($B60&amp;AF$2,Com_AllFuels_SEDS_2022_TBtus!$B$3:$B$53&amp;Com_AllFuels_SEDS_2022_TBtus!$A$3:$A$53,0))))</f>
        <v>0</v>
      </c>
      <c r="AG73" s="75">
        <f t="array" ref="AG73">IF(ISERROR(index(Com_AllFuels_SEDS_2022_TBtus!$T$3:$T$53,match($B60&amp;AG$2,Com_AllFuels_SEDS_2022_TBtus!$B$3:$B$53&amp;Com_AllFuels_SEDS_2022_TBtus!$A$3:$A$53,0))),0,(index(Com_AllFuels_SEDS_2022_TBtus!$T$3:$T$53,match($B60&amp;AG$2,Com_AllFuels_SEDS_2022_TBtus!$B$3:$B$53&amp;Com_AllFuels_SEDS_2022_TBtus!$A$3:$A$53,0))))</f>
        <v>0</v>
      </c>
      <c r="AH73" s="75">
        <f t="array" ref="AH73">IF(ISERROR(index(Com_AllFuels_SEDS_2022_TBtus!$T$3:$T$53,match($B60&amp;AH$2,Com_AllFuels_SEDS_2022_TBtus!$B$3:$B$53&amp;Com_AllFuels_SEDS_2022_TBtus!$A$3:$A$53,0))),0,(index(Com_AllFuels_SEDS_2022_TBtus!$T$3:$T$53,match($B60&amp;AH$2,Com_AllFuels_SEDS_2022_TBtus!$B$3:$B$53&amp;Com_AllFuels_SEDS_2022_TBtus!$A$3:$A$53,0))))</f>
        <v>0</v>
      </c>
      <c r="AI73" s="75">
        <f t="array" ref="AI73">IF(ISERROR(index(Com_AllFuels_SEDS_2022_TBtus!$T$3:$T$53,match($B60&amp;AI$2,Com_AllFuels_SEDS_2022_TBtus!$B$3:$B$53&amp;Com_AllFuels_SEDS_2022_TBtus!$A$3:$A$53,0))),0,(index(Com_AllFuels_SEDS_2022_TBtus!$T$3:$T$53,match($B60&amp;AI$2,Com_AllFuels_SEDS_2022_TBtus!$B$3:$B$53&amp;Com_AllFuels_SEDS_2022_TBtus!$A$3:$A$53,0))))</f>
        <v>0</v>
      </c>
      <c r="AJ73" s="75">
        <f t="array" ref="AJ73">IF(ISERROR(index(Com_AllFuels_SEDS_2022_TBtus!$T$3:$T$53,match($B60&amp;AJ$2,Com_AllFuels_SEDS_2022_TBtus!$B$3:$B$53&amp;Com_AllFuels_SEDS_2022_TBtus!$A$3:$A$53,0))),0,(index(Com_AllFuels_SEDS_2022_TBtus!$T$3:$T$53,match($B60&amp;AJ$2,Com_AllFuels_SEDS_2022_TBtus!$B$3:$B$53&amp;Com_AllFuels_SEDS_2022_TBtus!$A$3:$A$53,0))))</f>
        <v>41.2</v>
      </c>
      <c r="AK73" s="75">
        <f t="array" ref="AK73">IF(ISERROR(index(Com_AllFuels_SEDS_2022_TBtus!$T$3:$T$53,match($B60&amp;AK$2,Com_AllFuels_SEDS_2022_TBtus!$B$3:$B$53&amp;Com_AllFuels_SEDS_2022_TBtus!$A$3:$A$53,0))),0,(index(Com_AllFuels_SEDS_2022_TBtus!$T$3:$T$53,match($B60&amp;AK$2,Com_AllFuels_SEDS_2022_TBtus!$B$3:$B$53&amp;Com_AllFuels_SEDS_2022_TBtus!$A$3:$A$53,0))))</f>
        <v>0</v>
      </c>
      <c r="AL73" s="75">
        <f t="array" ref="AL73">IF(ISERROR(index(Com_AllFuels_SEDS_2022_TBtus!$T$3:$T$53,match($B60&amp;AL$2,Com_AllFuels_SEDS_2022_TBtus!$B$3:$B$53&amp;Com_AllFuels_SEDS_2022_TBtus!$A$3:$A$53,0))),0,(index(Com_AllFuels_SEDS_2022_TBtus!$T$3:$T$53,match($B60&amp;AL$2,Com_AllFuels_SEDS_2022_TBtus!$B$3:$B$53&amp;Com_AllFuels_SEDS_2022_TBtus!$A$3:$A$53,0))))</f>
        <v>0</v>
      </c>
      <c r="AM73" s="75">
        <f t="array" ref="AM73">IF(ISERROR(index(Com_AllFuels_SEDS_2022_TBtus!$T$3:$T$53,match($B60&amp;AM$2,Com_AllFuels_SEDS_2022_TBtus!$B$3:$B$53&amp;Com_AllFuels_SEDS_2022_TBtus!$A$3:$A$53,0))),0,(index(Com_AllFuels_SEDS_2022_TBtus!$T$3:$T$53,match($B60&amp;AM$2,Com_AllFuels_SEDS_2022_TBtus!$B$3:$B$53&amp;Com_AllFuels_SEDS_2022_TBtus!$A$3:$A$53,0))))</f>
        <v>0</v>
      </c>
      <c r="AN73" s="75">
        <f t="array" ref="AN73">IF(ISERROR(index(Com_AllFuels_SEDS_2022_TBtus!$T$3:$T$53,match($B60&amp;AN$2,Com_AllFuels_SEDS_2022_TBtus!$B$3:$B$53&amp;Com_AllFuels_SEDS_2022_TBtus!$A$3:$A$53,0))),0,(index(Com_AllFuels_SEDS_2022_TBtus!$T$3:$T$53,match($B60&amp;AN$2,Com_AllFuels_SEDS_2022_TBtus!$B$3:$B$53&amp;Com_AllFuels_SEDS_2022_TBtus!$A$3:$A$53,0))))</f>
        <v>0</v>
      </c>
      <c r="AO73" s="75">
        <f t="array" ref="AO73">IF(ISERROR(index(Com_AllFuels_SEDS_2022_TBtus!$T$3:$T$53,match($B60&amp;AO$2,Com_AllFuels_SEDS_2022_TBtus!$B$3:$B$53&amp;Com_AllFuels_SEDS_2022_TBtus!$A$3:$A$53,0))),0,(index(Com_AllFuels_SEDS_2022_TBtus!$T$3:$T$53,match($B60&amp;AO$2,Com_AllFuels_SEDS_2022_TBtus!$B$3:$B$53&amp;Com_AllFuels_SEDS_2022_TBtus!$A$3:$A$53,0))))</f>
        <v>0</v>
      </c>
      <c r="AP73" s="75">
        <f t="array" ref="AP73">IF(ISERROR(index(Com_AllFuels_SEDS_2022_TBtus!$T$3:$T$53,match($B60&amp;AP$2,Com_AllFuels_SEDS_2022_TBtus!$B$3:$B$53&amp;Com_AllFuels_SEDS_2022_TBtus!$A$3:$A$53,0))),0,(index(Com_AllFuels_SEDS_2022_TBtus!$T$3:$T$53,match($B60&amp;AP$2,Com_AllFuels_SEDS_2022_TBtus!$B$3:$B$53&amp;Com_AllFuels_SEDS_2022_TBtus!$A$3:$A$53,0))))</f>
        <v>0</v>
      </c>
      <c r="AQ73" s="75">
        <f t="array" ref="AQ73">IF(ISERROR(index(Com_AllFuels_SEDS_2022_TBtus!$T$3:$T$53,match($B60&amp;AQ$2,Com_AllFuels_SEDS_2022_TBtus!$B$3:$B$53&amp;Com_AllFuels_SEDS_2022_TBtus!$A$3:$A$53,0))),0,(index(Com_AllFuels_SEDS_2022_TBtus!$T$3:$T$53,match($B60&amp;AQ$2,Com_AllFuels_SEDS_2022_TBtus!$B$3:$B$53&amp;Com_AllFuels_SEDS_2022_TBtus!$A$3:$A$53,0))))</f>
        <v>10.4</v>
      </c>
      <c r="AR73" s="75">
        <f t="array" ref="AR73">IF(ISERROR(index(Com_AllFuels_SEDS_2022_TBtus!$T$3:$T$53,match($B60&amp;AR$2,Com_AllFuels_SEDS_2022_TBtus!$B$3:$B$53&amp;Com_AllFuels_SEDS_2022_TBtus!$A$3:$A$53,0))),0,(index(Com_AllFuels_SEDS_2022_TBtus!$T$3:$T$53,match($B60&amp;AR$2,Com_AllFuels_SEDS_2022_TBtus!$B$3:$B$53&amp;Com_AllFuels_SEDS_2022_TBtus!$A$3:$A$53,0))))</f>
        <v>0</v>
      </c>
      <c r="AS73" s="75">
        <f t="array" ref="AS73">IF(ISERROR(index(Com_AllFuels_SEDS_2022_TBtus!$T$3:$T$53,match($B60&amp;AS$2,Com_AllFuels_SEDS_2022_TBtus!$B$3:$B$53&amp;Com_AllFuels_SEDS_2022_TBtus!$A$3:$A$53,0))),0,(index(Com_AllFuels_SEDS_2022_TBtus!$T$3:$T$53,match($B60&amp;AS$2,Com_AllFuels_SEDS_2022_TBtus!$B$3:$B$53&amp;Com_AllFuels_SEDS_2022_TBtus!$A$3:$A$53,0))))</f>
        <v>0</v>
      </c>
      <c r="AT73" s="75">
        <f t="array" ref="AT73">IF(ISERROR(index(Com_AllFuels_SEDS_2022_TBtus!$T$3:$T$53,match($B60&amp;AT$2,Com_AllFuels_SEDS_2022_TBtus!$B$3:$B$53&amp;Com_AllFuels_SEDS_2022_TBtus!$A$3:$A$53,0))),0,(index(Com_AllFuels_SEDS_2022_TBtus!$T$3:$T$53,match($B60&amp;AT$2,Com_AllFuels_SEDS_2022_TBtus!$B$3:$B$53&amp;Com_AllFuels_SEDS_2022_TBtus!$A$3:$A$53,0))))</f>
        <v>0</v>
      </c>
      <c r="AU73" s="75">
        <f t="array" ref="AU73">IF(ISERROR(index(Com_AllFuels_SEDS_2022_TBtus!$T$3:$T$53,match($B60&amp;AU$2,Com_AllFuels_SEDS_2022_TBtus!$B$3:$B$53&amp;Com_AllFuels_SEDS_2022_TBtus!$A$3:$A$53,0))),0,(index(Com_AllFuels_SEDS_2022_TBtus!$T$3:$T$53,match($B60&amp;AU$2,Com_AllFuels_SEDS_2022_TBtus!$B$3:$B$53&amp;Com_AllFuels_SEDS_2022_TBtus!$A$3:$A$53,0))))</f>
        <v>0</v>
      </c>
      <c r="AV73" s="75">
        <f t="array" ref="AV73">IF(ISERROR(index(Com_AllFuels_SEDS_2022_TBtus!$T$3:$T$53,match($B60&amp;AV$2,Com_AllFuels_SEDS_2022_TBtus!$B$3:$B$53&amp;Com_AllFuels_SEDS_2022_TBtus!$A$3:$A$53,0))),0,(index(Com_AllFuels_SEDS_2022_TBtus!$T$3:$T$53,match($B60&amp;AV$2,Com_AllFuels_SEDS_2022_TBtus!$B$3:$B$53&amp;Com_AllFuels_SEDS_2022_TBtus!$A$3:$A$53,0))))</f>
        <v>0</v>
      </c>
      <c r="AW73" s="75">
        <f t="array" ref="AW73">IF(ISERROR(index(Com_AllFuels_SEDS_2022_TBtus!$T$3:$T$53,match($B60&amp;AW$2,Com_AllFuels_SEDS_2022_TBtus!$B$3:$B$53&amp;Com_AllFuels_SEDS_2022_TBtus!$A$3:$A$53,0))),0,(index(Com_AllFuels_SEDS_2022_TBtus!$T$3:$T$53,match($B60&amp;AW$2,Com_AllFuels_SEDS_2022_TBtus!$B$3:$B$53&amp;Com_AllFuels_SEDS_2022_TBtus!$A$3:$A$53,0))))</f>
        <v>20.2</v>
      </c>
      <c r="AX73" s="75">
        <f t="array" ref="AX73">IF(ISERROR(index(Com_AllFuels_SEDS_2022_TBtus!$T$3:$T$53,match($B60&amp;AX$2,Com_AllFuels_SEDS_2022_TBtus!$B$3:$B$53&amp;Com_AllFuels_SEDS_2022_TBtus!$A$3:$A$53,0))),0,(index(Com_AllFuels_SEDS_2022_TBtus!$T$3:$T$53,match($B60&amp;AX$2,Com_AllFuels_SEDS_2022_TBtus!$B$3:$B$53&amp;Com_AllFuels_SEDS_2022_TBtus!$A$3:$A$53,0))))</f>
        <v>0</v>
      </c>
      <c r="AY73" s="75">
        <f t="array" ref="AY73">IF(ISERROR(index(Com_AllFuels_SEDS_2022_TBtus!$T$3:$T$53,match($B60&amp;AY$2,Com_AllFuels_SEDS_2022_TBtus!$B$3:$B$53&amp;Com_AllFuels_SEDS_2022_TBtus!$A$3:$A$53,0))),0,(index(Com_AllFuels_SEDS_2022_TBtus!$T$3:$T$53,match($B60&amp;AY$2,Com_AllFuels_SEDS_2022_TBtus!$B$3:$B$53&amp;Com_AllFuels_SEDS_2022_TBtus!$A$3:$A$53,0))))</f>
        <v>3.1</v>
      </c>
      <c r="AZ73" s="75">
        <f t="array" ref="AZ73">IF(ISERROR(index(Com_AllFuels_SEDS_2022_TBtus!$T$3:$T$53,match($B60&amp;AZ$2,Com_AllFuels_SEDS_2022_TBtus!$B$3:$B$53&amp;Com_AllFuels_SEDS_2022_TBtus!$A$3:$A$53,0))),0,(index(Com_AllFuels_SEDS_2022_TBtus!$T$3:$T$53,match($B60&amp;AZ$2,Com_AllFuels_SEDS_2022_TBtus!$B$3:$B$53&amp;Com_AllFuels_SEDS_2022_TBtus!$A$3:$A$53,0))))</f>
        <v>0</v>
      </c>
      <c r="BA73" s="75">
        <f t="array" ref="BA73">IF(ISERROR(index(Com_AllFuels_SEDS_2022_TBtus!$T$3:$T$53,match($B60&amp;BA$2,Com_AllFuels_SEDS_2022_TBtus!$B$3:$B$53&amp;Com_AllFuels_SEDS_2022_TBtus!$A$3:$A$53,0))),0,(index(Com_AllFuels_SEDS_2022_TBtus!$T$3:$T$53,match($B60&amp;BA$2,Com_AllFuels_SEDS_2022_TBtus!$B$3:$B$53&amp;Com_AllFuels_SEDS_2022_TBtus!$A$3:$A$53,0))))</f>
        <v>0</v>
      </c>
      <c r="BB73" s="74">
        <f t="shared" si="11"/>
        <v>147.3</v>
      </c>
    </row>
    <row r="74" ht="15.75" customHeight="1">
      <c r="A74" s="78"/>
      <c r="B74" s="74">
        <v>6.0</v>
      </c>
      <c r="C74" s="75">
        <f t="array" ref="C74">IF(ISERROR(index(Com_AllFuels_SEDS_2022_TBtus!$T$3:$T$53,match($B61&amp;C$2,Com_AllFuels_SEDS_2022_TBtus!$B$3:$B$53&amp;Com_AllFuels_SEDS_2022_TBtus!$A$3:$A$53,0))),0,(index(Com_AllFuels_SEDS_2022_TBtus!$T$3:$T$53,match($B61&amp;C$2,Com_AllFuels_SEDS_2022_TBtus!$B$3:$B$53&amp;Com_AllFuels_SEDS_2022_TBtus!$A$3:$A$53,0))))</f>
        <v>11.9</v>
      </c>
      <c r="D74" s="75">
        <f t="array" ref="D74">IF(ISERROR(index(Com_AllFuels_SEDS_2022_TBtus!$T$3:$T$53,match($B61&amp;D$2,Com_AllFuels_SEDS_2022_TBtus!$B$3:$B$53&amp;Com_AllFuels_SEDS_2022_TBtus!$A$3:$A$53,0))),0,(index(Com_AllFuels_SEDS_2022_TBtus!$T$3:$T$53,match($B61&amp;D$2,Com_AllFuels_SEDS_2022_TBtus!$B$3:$B$53&amp;Com_AllFuels_SEDS_2022_TBtus!$A$3:$A$53,0))))</f>
        <v>0</v>
      </c>
      <c r="E74" s="75">
        <f t="array" ref="E74">IF(ISERROR(index(Com_AllFuels_SEDS_2022_TBtus!$T$3:$T$53,match($B61&amp;E$2,Com_AllFuels_SEDS_2022_TBtus!$B$3:$B$53&amp;Com_AllFuels_SEDS_2022_TBtus!$A$3:$A$53,0))),0,(index(Com_AllFuels_SEDS_2022_TBtus!$T$3:$T$53,match($B61&amp;E$2,Com_AllFuels_SEDS_2022_TBtus!$B$3:$B$53&amp;Com_AllFuels_SEDS_2022_TBtus!$A$3:$A$53,0))))</f>
        <v>0</v>
      </c>
      <c r="F74" s="75">
        <f t="array" ref="F74">IF(ISERROR(index(Com_AllFuels_SEDS_2022_TBtus!$T$3:$T$53,match($B61&amp;F$2,Com_AllFuels_SEDS_2022_TBtus!$B$3:$B$53&amp;Com_AllFuels_SEDS_2022_TBtus!$A$3:$A$53,0))),0,(index(Com_AllFuels_SEDS_2022_TBtus!$T$3:$T$53,match($B61&amp;F$2,Com_AllFuels_SEDS_2022_TBtus!$B$3:$B$53&amp;Com_AllFuels_SEDS_2022_TBtus!$A$3:$A$53,0))))</f>
        <v>0</v>
      </c>
      <c r="G74" s="75">
        <f t="array" ref="G74">IF(ISERROR(index(Com_AllFuels_SEDS_2022_TBtus!$T$3:$T$53,match($B61&amp;G$2,Com_AllFuels_SEDS_2022_TBtus!$B$3:$B$53&amp;Com_AllFuels_SEDS_2022_TBtus!$A$3:$A$53,0))),0,(index(Com_AllFuels_SEDS_2022_TBtus!$T$3:$T$53,match($B61&amp;G$2,Com_AllFuels_SEDS_2022_TBtus!$B$3:$B$53&amp;Com_AllFuels_SEDS_2022_TBtus!$A$3:$A$53,0))))</f>
        <v>0</v>
      </c>
      <c r="H74" s="75">
        <f t="array" ref="H74">IF(ISERROR(index(Com_AllFuels_SEDS_2022_TBtus!$T$3:$T$53,match($B61&amp;H$2,Com_AllFuels_SEDS_2022_TBtus!$B$3:$B$53&amp;Com_AllFuels_SEDS_2022_TBtus!$A$3:$A$53,0))),0,(index(Com_AllFuels_SEDS_2022_TBtus!$T$3:$T$53,match($B61&amp;H$2,Com_AllFuels_SEDS_2022_TBtus!$B$3:$B$53&amp;Com_AllFuels_SEDS_2022_TBtus!$A$3:$A$53,0))))</f>
        <v>0</v>
      </c>
      <c r="I74" s="75">
        <f t="array" ref="I74">IF(ISERROR(index(Com_AllFuels_SEDS_2022_TBtus!$T$3:$T$53,match($B61&amp;I$2,Com_AllFuels_SEDS_2022_TBtus!$B$3:$B$53&amp;Com_AllFuels_SEDS_2022_TBtus!$A$3:$A$53,0))),0,(index(Com_AllFuels_SEDS_2022_TBtus!$T$3:$T$53,match($B61&amp;I$2,Com_AllFuels_SEDS_2022_TBtus!$B$3:$B$53&amp;Com_AllFuels_SEDS_2022_TBtus!$A$3:$A$53,0))))</f>
        <v>0</v>
      </c>
      <c r="J74" s="75">
        <f t="array" ref="J74">IF(ISERROR(index(Com_AllFuels_SEDS_2022_TBtus!$T$3:$T$53,match($B61&amp;J$2,Com_AllFuels_SEDS_2022_TBtus!$B$3:$B$53&amp;Com_AllFuels_SEDS_2022_TBtus!$A$3:$A$53,0))),0,(index(Com_AllFuels_SEDS_2022_TBtus!$T$3:$T$53,match($B61&amp;J$2,Com_AllFuels_SEDS_2022_TBtus!$B$3:$B$53&amp;Com_AllFuels_SEDS_2022_TBtus!$A$3:$A$53,0))))</f>
        <v>0</v>
      </c>
      <c r="K74" s="75">
        <f t="array" ref="K74">IF(ISERROR(index(Com_AllFuels_SEDS_2022_TBtus!$T$3:$T$53,match($B61&amp;K$2,Com_AllFuels_SEDS_2022_TBtus!$B$3:$B$53&amp;Com_AllFuels_SEDS_2022_TBtus!$A$3:$A$53,0))),0,(index(Com_AllFuels_SEDS_2022_TBtus!$T$3:$T$53,match($B61&amp;K$2,Com_AllFuels_SEDS_2022_TBtus!$B$3:$B$53&amp;Com_AllFuels_SEDS_2022_TBtus!$A$3:$A$53,0))))</f>
        <v>0</v>
      </c>
      <c r="L74" s="75">
        <f t="array" ref="L74">IF(ISERROR(index(Com_AllFuels_SEDS_2022_TBtus!$T$3:$T$53,match($B61&amp;L$2,Com_AllFuels_SEDS_2022_TBtus!$B$3:$B$53&amp;Com_AllFuels_SEDS_2022_TBtus!$A$3:$A$53,0))),0,(index(Com_AllFuels_SEDS_2022_TBtus!$T$3:$T$53,match($B61&amp;L$2,Com_AllFuels_SEDS_2022_TBtus!$B$3:$B$53&amp;Com_AllFuels_SEDS_2022_TBtus!$A$3:$A$53,0))))</f>
        <v>0</v>
      </c>
      <c r="M74" s="75">
        <f t="array" ref="M74">IF(ISERROR(index(Com_AllFuels_SEDS_2022_TBtus!$T$3:$T$53,match($B61&amp;M$2,Com_AllFuels_SEDS_2022_TBtus!$B$3:$B$53&amp;Com_AllFuels_SEDS_2022_TBtus!$A$3:$A$53,0))),0,(index(Com_AllFuels_SEDS_2022_TBtus!$T$3:$T$53,match($B61&amp;M$2,Com_AllFuels_SEDS_2022_TBtus!$B$3:$B$53&amp;Com_AllFuels_SEDS_2022_TBtus!$A$3:$A$53,0))))</f>
        <v>0</v>
      </c>
      <c r="N74" s="75">
        <f t="array" ref="N74">IF(ISERROR(index(Com_AllFuels_SEDS_2022_TBtus!$T$3:$T$53,match($B61&amp;N$2,Com_AllFuels_SEDS_2022_TBtus!$B$3:$B$53&amp;Com_AllFuels_SEDS_2022_TBtus!$A$3:$A$53,0))),0,(index(Com_AllFuels_SEDS_2022_TBtus!$T$3:$T$53,match($B61&amp;N$2,Com_AllFuels_SEDS_2022_TBtus!$B$3:$B$53&amp;Com_AllFuels_SEDS_2022_TBtus!$A$3:$A$53,0))))</f>
        <v>0</v>
      </c>
      <c r="O74" s="75">
        <f t="array" ref="O74">IF(ISERROR(index(Com_AllFuels_SEDS_2022_TBtus!$T$3:$T$53,match($B61&amp;O$2,Com_AllFuels_SEDS_2022_TBtus!$B$3:$B$53&amp;Com_AllFuels_SEDS_2022_TBtus!$A$3:$A$53,0))),0,(index(Com_AllFuels_SEDS_2022_TBtus!$T$3:$T$53,match($B61&amp;O$2,Com_AllFuels_SEDS_2022_TBtus!$B$3:$B$53&amp;Com_AllFuels_SEDS_2022_TBtus!$A$3:$A$53,0))))</f>
        <v>0</v>
      </c>
      <c r="P74" s="75">
        <f t="array" ref="P74">IF(ISERROR(index(Com_AllFuels_SEDS_2022_TBtus!$T$3:$T$53,match($B61&amp;P$2,Com_AllFuels_SEDS_2022_TBtus!$B$3:$B$53&amp;Com_AllFuels_SEDS_2022_TBtus!$A$3:$A$53,0))),0,(index(Com_AllFuels_SEDS_2022_TBtus!$T$3:$T$53,match($B61&amp;P$2,Com_AllFuels_SEDS_2022_TBtus!$B$3:$B$53&amp;Com_AllFuels_SEDS_2022_TBtus!$A$3:$A$53,0))))</f>
        <v>0</v>
      </c>
      <c r="Q74" s="75">
        <f t="array" ref="Q74">IF(ISERROR(index(Com_AllFuels_SEDS_2022_TBtus!$T$3:$T$53,match($B61&amp;Q$2,Com_AllFuels_SEDS_2022_TBtus!$B$3:$B$53&amp;Com_AllFuels_SEDS_2022_TBtus!$A$3:$A$53,0))),0,(index(Com_AllFuels_SEDS_2022_TBtus!$T$3:$T$53,match($B61&amp;Q$2,Com_AllFuels_SEDS_2022_TBtus!$B$3:$B$53&amp;Com_AllFuels_SEDS_2022_TBtus!$A$3:$A$53,0))))</f>
        <v>0</v>
      </c>
      <c r="R74" s="75">
        <f t="array" ref="R74">IF(ISERROR(index(Com_AllFuels_SEDS_2022_TBtus!$T$3:$T$53,match($B61&amp;R$2,Com_AllFuels_SEDS_2022_TBtus!$B$3:$B$53&amp;Com_AllFuels_SEDS_2022_TBtus!$A$3:$A$53,0))),0,(index(Com_AllFuels_SEDS_2022_TBtus!$T$3:$T$53,match($B61&amp;R$2,Com_AllFuels_SEDS_2022_TBtus!$B$3:$B$53&amp;Com_AllFuels_SEDS_2022_TBtus!$A$3:$A$53,0))))</f>
        <v>0</v>
      </c>
      <c r="S74" s="75">
        <f t="array" ref="S74">IF(ISERROR(index(Com_AllFuels_SEDS_2022_TBtus!$T$3:$T$53,match($B61&amp;S$2,Com_AllFuels_SEDS_2022_TBtus!$B$3:$B$53&amp;Com_AllFuels_SEDS_2022_TBtus!$A$3:$A$53,0))),0,(index(Com_AllFuels_SEDS_2022_TBtus!$T$3:$T$53,match($B61&amp;S$2,Com_AllFuels_SEDS_2022_TBtus!$B$3:$B$53&amp;Com_AllFuels_SEDS_2022_TBtus!$A$3:$A$53,0))))</f>
        <v>0</v>
      </c>
      <c r="T74" s="75">
        <f t="array" ref="T74">IF(ISERROR(index(Com_AllFuels_SEDS_2022_TBtus!$T$3:$T$53,match($B61&amp;T$2,Com_AllFuels_SEDS_2022_TBtus!$B$3:$B$53&amp;Com_AllFuels_SEDS_2022_TBtus!$A$3:$A$53,0))),0,(index(Com_AllFuels_SEDS_2022_TBtus!$T$3:$T$53,match($B61&amp;T$2,Com_AllFuels_SEDS_2022_TBtus!$B$3:$B$53&amp;Com_AllFuels_SEDS_2022_TBtus!$A$3:$A$53,0))))</f>
        <v>7.1</v>
      </c>
      <c r="U74" s="75">
        <f t="array" ref="U74">IF(ISERROR(index(Com_AllFuels_SEDS_2022_TBtus!$T$3:$T$53,match($B61&amp;U$2,Com_AllFuels_SEDS_2022_TBtus!$B$3:$B$53&amp;Com_AllFuels_SEDS_2022_TBtus!$A$3:$A$53,0))),0,(index(Com_AllFuels_SEDS_2022_TBtus!$T$3:$T$53,match($B61&amp;U$2,Com_AllFuels_SEDS_2022_TBtus!$B$3:$B$53&amp;Com_AllFuels_SEDS_2022_TBtus!$A$3:$A$53,0))))</f>
        <v>0</v>
      </c>
      <c r="V74" s="75">
        <f t="array" ref="V74">IF(ISERROR(index(Com_AllFuels_SEDS_2022_TBtus!$T$3:$T$53,match($B61&amp;V$2,Com_AllFuels_SEDS_2022_TBtus!$B$3:$B$53&amp;Com_AllFuels_SEDS_2022_TBtus!$A$3:$A$53,0))),0,(index(Com_AllFuels_SEDS_2022_TBtus!$T$3:$T$53,match($B61&amp;V$2,Com_AllFuels_SEDS_2022_TBtus!$B$3:$B$53&amp;Com_AllFuels_SEDS_2022_TBtus!$A$3:$A$53,0))))</f>
        <v>0</v>
      </c>
      <c r="W74" s="75">
        <f t="array" ref="W74">IF(ISERROR(index(Com_AllFuels_SEDS_2022_TBtus!$T$3:$T$53,match($B61&amp;W$2,Com_AllFuels_SEDS_2022_TBtus!$B$3:$B$53&amp;Com_AllFuels_SEDS_2022_TBtus!$A$3:$A$53,0))),0,(index(Com_AllFuels_SEDS_2022_TBtus!$T$3:$T$53,match($B61&amp;W$2,Com_AllFuels_SEDS_2022_TBtus!$B$3:$B$53&amp;Com_AllFuels_SEDS_2022_TBtus!$A$3:$A$53,0))))</f>
        <v>0</v>
      </c>
      <c r="X74" s="75">
        <f t="array" ref="X74">IF(ISERROR(index(Com_AllFuels_SEDS_2022_TBtus!$T$3:$T$53,match($B61&amp;X$2,Com_AllFuels_SEDS_2022_TBtus!$B$3:$B$53&amp;Com_AllFuels_SEDS_2022_TBtus!$A$3:$A$53,0))),0,(index(Com_AllFuels_SEDS_2022_TBtus!$T$3:$T$53,match($B61&amp;X$2,Com_AllFuels_SEDS_2022_TBtus!$B$3:$B$53&amp;Com_AllFuels_SEDS_2022_TBtus!$A$3:$A$53,0))))</f>
        <v>0</v>
      </c>
      <c r="Y74" s="75">
        <f t="array" ref="Y74">IF(ISERROR(index(Com_AllFuels_SEDS_2022_TBtus!$T$3:$T$53,match($B61&amp;Y$2,Com_AllFuels_SEDS_2022_TBtus!$B$3:$B$53&amp;Com_AllFuels_SEDS_2022_TBtus!$A$3:$A$53,0))),0,(index(Com_AllFuels_SEDS_2022_TBtus!$T$3:$T$53,match($B61&amp;Y$2,Com_AllFuels_SEDS_2022_TBtus!$B$3:$B$53&amp;Com_AllFuels_SEDS_2022_TBtus!$A$3:$A$53,0))))</f>
        <v>0</v>
      </c>
      <c r="Z74" s="75">
        <f t="array" ref="Z74">IF(ISERROR(index(Com_AllFuels_SEDS_2022_TBtus!$T$3:$T$53,match($B61&amp;Z$2,Com_AllFuels_SEDS_2022_TBtus!$B$3:$B$53&amp;Com_AllFuels_SEDS_2022_TBtus!$A$3:$A$53,0))),0,(index(Com_AllFuels_SEDS_2022_TBtus!$T$3:$T$53,match($B61&amp;Z$2,Com_AllFuels_SEDS_2022_TBtus!$B$3:$B$53&amp;Com_AllFuels_SEDS_2022_TBtus!$A$3:$A$53,0))))</f>
        <v>0</v>
      </c>
      <c r="AA74" s="75">
        <f t="array" ref="AA74">IF(ISERROR(index(Com_AllFuels_SEDS_2022_TBtus!$T$3:$T$53,match($B61&amp;AA$2,Com_AllFuels_SEDS_2022_TBtus!$B$3:$B$53&amp;Com_AllFuels_SEDS_2022_TBtus!$A$3:$A$53,0))),0,(index(Com_AllFuels_SEDS_2022_TBtus!$T$3:$T$53,match($B61&amp;AA$2,Com_AllFuels_SEDS_2022_TBtus!$B$3:$B$53&amp;Com_AllFuels_SEDS_2022_TBtus!$A$3:$A$53,0))))</f>
        <v>4.9</v>
      </c>
      <c r="AB74" s="75">
        <f t="array" ref="AB74">IF(ISERROR(index(Com_AllFuels_SEDS_2022_TBtus!$T$3:$T$53,match($B61&amp;AB$2,Com_AllFuels_SEDS_2022_TBtus!$B$3:$B$53&amp;Com_AllFuels_SEDS_2022_TBtus!$A$3:$A$53,0))),0,(index(Com_AllFuels_SEDS_2022_TBtus!$T$3:$T$53,match($B61&amp;AB$2,Com_AllFuels_SEDS_2022_TBtus!$B$3:$B$53&amp;Com_AllFuels_SEDS_2022_TBtus!$A$3:$A$53,0))))</f>
        <v>0</v>
      </c>
      <c r="AC74" s="75">
        <f t="array" ref="AC74">IF(ISERROR(index(Com_AllFuels_SEDS_2022_TBtus!$T$3:$T$53,match($B61&amp;AC$2,Com_AllFuels_SEDS_2022_TBtus!$B$3:$B$53&amp;Com_AllFuels_SEDS_2022_TBtus!$A$3:$A$53,0))),0,(index(Com_AllFuels_SEDS_2022_TBtus!$T$3:$T$53,match($B61&amp;AC$2,Com_AllFuels_SEDS_2022_TBtus!$B$3:$B$53&amp;Com_AllFuels_SEDS_2022_TBtus!$A$3:$A$53,0))))</f>
        <v>0</v>
      </c>
      <c r="AD74" s="75">
        <f t="array" ref="AD74">IF(ISERROR(index(Com_AllFuels_SEDS_2022_TBtus!$T$3:$T$53,match($B61&amp;AD$2,Com_AllFuels_SEDS_2022_TBtus!$B$3:$B$53&amp;Com_AllFuels_SEDS_2022_TBtus!$A$3:$A$53,0))),0,(index(Com_AllFuels_SEDS_2022_TBtus!$T$3:$T$53,match($B61&amp;AD$2,Com_AllFuels_SEDS_2022_TBtus!$B$3:$B$53&amp;Com_AllFuels_SEDS_2022_TBtus!$A$3:$A$53,0))))</f>
        <v>0</v>
      </c>
      <c r="AE74" s="75">
        <f t="array" ref="AE74">IF(ISERROR(index(Com_AllFuels_SEDS_2022_TBtus!$T$3:$T$53,match($B61&amp;AE$2,Com_AllFuels_SEDS_2022_TBtus!$B$3:$B$53&amp;Com_AllFuels_SEDS_2022_TBtus!$A$3:$A$53,0))),0,(index(Com_AllFuels_SEDS_2022_TBtus!$T$3:$T$53,match($B61&amp;AE$2,Com_AllFuels_SEDS_2022_TBtus!$B$3:$B$53&amp;Com_AllFuels_SEDS_2022_TBtus!$A$3:$A$53,0))))</f>
        <v>0</v>
      </c>
      <c r="AF74" s="75">
        <f t="array" ref="AF74">IF(ISERROR(index(Com_AllFuels_SEDS_2022_TBtus!$T$3:$T$53,match($B61&amp;AF$2,Com_AllFuels_SEDS_2022_TBtus!$B$3:$B$53&amp;Com_AllFuels_SEDS_2022_TBtus!$A$3:$A$53,0))),0,(index(Com_AllFuels_SEDS_2022_TBtus!$T$3:$T$53,match($B61&amp;AF$2,Com_AllFuels_SEDS_2022_TBtus!$B$3:$B$53&amp;Com_AllFuels_SEDS_2022_TBtus!$A$3:$A$53,0))))</f>
        <v>0</v>
      </c>
      <c r="AG74" s="75">
        <f t="array" ref="AG74">IF(ISERROR(index(Com_AllFuels_SEDS_2022_TBtus!$T$3:$T$53,match($B61&amp;AG$2,Com_AllFuels_SEDS_2022_TBtus!$B$3:$B$53&amp;Com_AllFuels_SEDS_2022_TBtus!$A$3:$A$53,0))),0,(index(Com_AllFuels_SEDS_2022_TBtus!$T$3:$T$53,match($B61&amp;AG$2,Com_AllFuels_SEDS_2022_TBtus!$B$3:$B$53&amp;Com_AllFuels_SEDS_2022_TBtus!$A$3:$A$53,0))))</f>
        <v>0</v>
      </c>
      <c r="AH74" s="75">
        <f t="array" ref="AH74">IF(ISERROR(index(Com_AllFuels_SEDS_2022_TBtus!$T$3:$T$53,match($B61&amp;AH$2,Com_AllFuels_SEDS_2022_TBtus!$B$3:$B$53&amp;Com_AllFuels_SEDS_2022_TBtus!$A$3:$A$53,0))),0,(index(Com_AllFuels_SEDS_2022_TBtus!$T$3:$T$53,match($B61&amp;AH$2,Com_AllFuels_SEDS_2022_TBtus!$B$3:$B$53&amp;Com_AllFuels_SEDS_2022_TBtus!$A$3:$A$53,0))))</f>
        <v>0</v>
      </c>
      <c r="AI74" s="75">
        <f t="array" ref="AI74">IF(ISERROR(index(Com_AllFuels_SEDS_2022_TBtus!$T$3:$T$53,match($B61&amp;AI$2,Com_AllFuels_SEDS_2022_TBtus!$B$3:$B$53&amp;Com_AllFuels_SEDS_2022_TBtus!$A$3:$A$53,0))),0,(index(Com_AllFuels_SEDS_2022_TBtus!$T$3:$T$53,match($B61&amp;AI$2,Com_AllFuels_SEDS_2022_TBtus!$B$3:$B$53&amp;Com_AllFuels_SEDS_2022_TBtus!$A$3:$A$53,0))))</f>
        <v>0</v>
      </c>
      <c r="AJ74" s="75">
        <f t="array" ref="AJ74">IF(ISERROR(index(Com_AllFuels_SEDS_2022_TBtus!$T$3:$T$53,match($B61&amp;AJ$2,Com_AllFuels_SEDS_2022_TBtus!$B$3:$B$53&amp;Com_AllFuels_SEDS_2022_TBtus!$A$3:$A$53,0))),0,(index(Com_AllFuels_SEDS_2022_TBtus!$T$3:$T$53,match($B61&amp;AJ$2,Com_AllFuels_SEDS_2022_TBtus!$B$3:$B$53&amp;Com_AllFuels_SEDS_2022_TBtus!$A$3:$A$53,0))))</f>
        <v>0</v>
      </c>
      <c r="AK74" s="75">
        <f t="array" ref="AK74">IF(ISERROR(index(Com_AllFuels_SEDS_2022_TBtus!$T$3:$T$53,match($B61&amp;AK$2,Com_AllFuels_SEDS_2022_TBtus!$B$3:$B$53&amp;Com_AllFuels_SEDS_2022_TBtus!$A$3:$A$53,0))),0,(index(Com_AllFuels_SEDS_2022_TBtus!$T$3:$T$53,match($B61&amp;AK$2,Com_AllFuels_SEDS_2022_TBtus!$B$3:$B$53&amp;Com_AllFuels_SEDS_2022_TBtus!$A$3:$A$53,0))))</f>
        <v>0</v>
      </c>
      <c r="AL74" s="75">
        <f t="array" ref="AL74">IF(ISERROR(index(Com_AllFuels_SEDS_2022_TBtus!$T$3:$T$53,match($B61&amp;AL$2,Com_AllFuels_SEDS_2022_TBtus!$B$3:$B$53&amp;Com_AllFuels_SEDS_2022_TBtus!$A$3:$A$53,0))),0,(index(Com_AllFuels_SEDS_2022_TBtus!$T$3:$T$53,match($B61&amp;AL$2,Com_AllFuels_SEDS_2022_TBtus!$B$3:$B$53&amp;Com_AllFuels_SEDS_2022_TBtus!$A$3:$A$53,0))))</f>
        <v>0</v>
      </c>
      <c r="AM74" s="75">
        <f t="array" ref="AM74">IF(ISERROR(index(Com_AllFuels_SEDS_2022_TBtus!$T$3:$T$53,match($B61&amp;AM$2,Com_AllFuels_SEDS_2022_TBtus!$B$3:$B$53&amp;Com_AllFuels_SEDS_2022_TBtus!$A$3:$A$53,0))),0,(index(Com_AllFuels_SEDS_2022_TBtus!$T$3:$T$53,match($B61&amp;AM$2,Com_AllFuels_SEDS_2022_TBtus!$B$3:$B$53&amp;Com_AllFuels_SEDS_2022_TBtus!$A$3:$A$53,0))))</f>
        <v>0</v>
      </c>
      <c r="AN74" s="75">
        <f t="array" ref="AN74">IF(ISERROR(index(Com_AllFuels_SEDS_2022_TBtus!$T$3:$T$53,match($B61&amp;AN$2,Com_AllFuels_SEDS_2022_TBtus!$B$3:$B$53&amp;Com_AllFuels_SEDS_2022_TBtus!$A$3:$A$53,0))),0,(index(Com_AllFuels_SEDS_2022_TBtus!$T$3:$T$53,match($B61&amp;AN$2,Com_AllFuels_SEDS_2022_TBtus!$B$3:$B$53&amp;Com_AllFuels_SEDS_2022_TBtus!$A$3:$A$53,0))))</f>
        <v>0</v>
      </c>
      <c r="AO74" s="75">
        <f t="array" ref="AO74">IF(ISERROR(index(Com_AllFuels_SEDS_2022_TBtus!$T$3:$T$53,match($B61&amp;AO$2,Com_AllFuels_SEDS_2022_TBtus!$B$3:$B$53&amp;Com_AllFuels_SEDS_2022_TBtus!$A$3:$A$53,0))),0,(index(Com_AllFuels_SEDS_2022_TBtus!$T$3:$T$53,match($B61&amp;AO$2,Com_AllFuels_SEDS_2022_TBtus!$B$3:$B$53&amp;Com_AllFuels_SEDS_2022_TBtus!$A$3:$A$53,0))))</f>
        <v>0</v>
      </c>
      <c r="AP74" s="75">
        <f t="array" ref="AP74">IF(ISERROR(index(Com_AllFuels_SEDS_2022_TBtus!$T$3:$T$53,match($B61&amp;AP$2,Com_AllFuels_SEDS_2022_TBtus!$B$3:$B$53&amp;Com_AllFuels_SEDS_2022_TBtus!$A$3:$A$53,0))),0,(index(Com_AllFuels_SEDS_2022_TBtus!$T$3:$T$53,match($B61&amp;AP$2,Com_AllFuels_SEDS_2022_TBtus!$B$3:$B$53&amp;Com_AllFuels_SEDS_2022_TBtus!$A$3:$A$53,0))))</f>
        <v>0</v>
      </c>
      <c r="AQ74" s="75">
        <f t="array" ref="AQ74">IF(ISERROR(index(Com_AllFuels_SEDS_2022_TBtus!$T$3:$T$53,match($B61&amp;AQ$2,Com_AllFuels_SEDS_2022_TBtus!$B$3:$B$53&amp;Com_AllFuels_SEDS_2022_TBtus!$A$3:$A$53,0))),0,(index(Com_AllFuels_SEDS_2022_TBtus!$T$3:$T$53,match($B61&amp;AQ$2,Com_AllFuels_SEDS_2022_TBtus!$B$3:$B$53&amp;Com_AllFuels_SEDS_2022_TBtus!$A$3:$A$53,0))))</f>
        <v>0</v>
      </c>
      <c r="AR74" s="75">
        <f t="array" ref="AR74">IF(ISERROR(index(Com_AllFuels_SEDS_2022_TBtus!$T$3:$T$53,match($B61&amp;AR$2,Com_AllFuels_SEDS_2022_TBtus!$B$3:$B$53&amp;Com_AllFuels_SEDS_2022_TBtus!$A$3:$A$53,0))),0,(index(Com_AllFuels_SEDS_2022_TBtus!$T$3:$T$53,match($B61&amp;AR$2,Com_AllFuels_SEDS_2022_TBtus!$B$3:$B$53&amp;Com_AllFuels_SEDS_2022_TBtus!$A$3:$A$53,0))))</f>
        <v>0</v>
      </c>
      <c r="AS74" s="75">
        <f t="array" ref="AS74">IF(ISERROR(index(Com_AllFuels_SEDS_2022_TBtus!$T$3:$T$53,match($B61&amp;AS$2,Com_AllFuels_SEDS_2022_TBtus!$B$3:$B$53&amp;Com_AllFuels_SEDS_2022_TBtus!$A$3:$A$53,0))),0,(index(Com_AllFuels_SEDS_2022_TBtus!$T$3:$T$53,match($B61&amp;AS$2,Com_AllFuels_SEDS_2022_TBtus!$B$3:$B$53&amp;Com_AllFuels_SEDS_2022_TBtus!$A$3:$A$53,0))))</f>
        <v>9.7</v>
      </c>
      <c r="AT74" s="75">
        <f t="array" ref="AT74">IF(ISERROR(index(Com_AllFuels_SEDS_2022_TBtus!$T$3:$T$53,match($B61&amp;AT$2,Com_AllFuels_SEDS_2022_TBtus!$B$3:$B$53&amp;Com_AllFuels_SEDS_2022_TBtus!$A$3:$A$53,0))),0,(index(Com_AllFuels_SEDS_2022_TBtus!$T$3:$T$53,match($B61&amp;AT$2,Com_AllFuels_SEDS_2022_TBtus!$B$3:$B$53&amp;Com_AllFuels_SEDS_2022_TBtus!$A$3:$A$53,0))))</f>
        <v>0</v>
      </c>
      <c r="AU74" s="75">
        <f t="array" ref="AU74">IF(ISERROR(index(Com_AllFuels_SEDS_2022_TBtus!$T$3:$T$53,match($B61&amp;AU$2,Com_AllFuels_SEDS_2022_TBtus!$B$3:$B$53&amp;Com_AllFuels_SEDS_2022_TBtus!$A$3:$A$53,0))),0,(index(Com_AllFuels_SEDS_2022_TBtus!$T$3:$T$53,match($B61&amp;AU$2,Com_AllFuels_SEDS_2022_TBtus!$B$3:$B$53&amp;Com_AllFuels_SEDS_2022_TBtus!$A$3:$A$53,0))))</f>
        <v>0</v>
      </c>
      <c r="AV74" s="75">
        <f t="array" ref="AV74">IF(ISERROR(index(Com_AllFuels_SEDS_2022_TBtus!$T$3:$T$53,match($B61&amp;AV$2,Com_AllFuels_SEDS_2022_TBtus!$B$3:$B$53&amp;Com_AllFuels_SEDS_2022_TBtus!$A$3:$A$53,0))),0,(index(Com_AllFuels_SEDS_2022_TBtus!$T$3:$T$53,match($B61&amp;AV$2,Com_AllFuels_SEDS_2022_TBtus!$B$3:$B$53&amp;Com_AllFuels_SEDS_2022_TBtus!$A$3:$A$53,0))))</f>
        <v>0</v>
      </c>
      <c r="AW74" s="75">
        <f t="array" ref="AW74">IF(ISERROR(index(Com_AllFuels_SEDS_2022_TBtus!$T$3:$T$53,match($B61&amp;AW$2,Com_AllFuels_SEDS_2022_TBtus!$B$3:$B$53&amp;Com_AllFuels_SEDS_2022_TBtus!$A$3:$A$53,0))),0,(index(Com_AllFuels_SEDS_2022_TBtus!$T$3:$T$53,match($B61&amp;AW$2,Com_AllFuels_SEDS_2022_TBtus!$B$3:$B$53&amp;Com_AllFuels_SEDS_2022_TBtus!$A$3:$A$53,0))))</f>
        <v>0</v>
      </c>
      <c r="AX74" s="75">
        <f t="array" ref="AX74">IF(ISERROR(index(Com_AllFuels_SEDS_2022_TBtus!$T$3:$T$53,match($B61&amp;AX$2,Com_AllFuels_SEDS_2022_TBtus!$B$3:$B$53&amp;Com_AllFuels_SEDS_2022_TBtus!$A$3:$A$53,0))),0,(index(Com_AllFuels_SEDS_2022_TBtus!$T$3:$T$53,match($B61&amp;AX$2,Com_AllFuels_SEDS_2022_TBtus!$B$3:$B$53&amp;Com_AllFuels_SEDS_2022_TBtus!$A$3:$A$53,0))))</f>
        <v>0</v>
      </c>
      <c r="AY74" s="75">
        <f t="array" ref="AY74">IF(ISERROR(index(Com_AllFuels_SEDS_2022_TBtus!$T$3:$T$53,match($B61&amp;AY$2,Com_AllFuels_SEDS_2022_TBtus!$B$3:$B$53&amp;Com_AllFuels_SEDS_2022_TBtus!$A$3:$A$53,0))),0,(index(Com_AllFuels_SEDS_2022_TBtus!$T$3:$T$53,match($B61&amp;AY$2,Com_AllFuels_SEDS_2022_TBtus!$B$3:$B$53&amp;Com_AllFuels_SEDS_2022_TBtus!$A$3:$A$53,0))))</f>
        <v>0</v>
      </c>
      <c r="AZ74" s="75">
        <f t="array" ref="AZ74">IF(ISERROR(index(Com_AllFuels_SEDS_2022_TBtus!$T$3:$T$53,match($B61&amp;AZ$2,Com_AllFuels_SEDS_2022_TBtus!$B$3:$B$53&amp;Com_AllFuels_SEDS_2022_TBtus!$A$3:$A$53,0))),0,(index(Com_AllFuels_SEDS_2022_TBtus!$T$3:$T$53,match($B61&amp;AZ$2,Com_AllFuels_SEDS_2022_TBtus!$B$3:$B$53&amp;Com_AllFuels_SEDS_2022_TBtus!$A$3:$A$53,0))))</f>
        <v>0</v>
      </c>
      <c r="BA74" s="75">
        <f t="array" ref="BA74">IF(ISERROR(index(Com_AllFuels_SEDS_2022_TBtus!$T$3:$T$53,match($B61&amp;BA$2,Com_AllFuels_SEDS_2022_TBtus!$B$3:$B$53&amp;Com_AllFuels_SEDS_2022_TBtus!$A$3:$A$53,0))),0,(index(Com_AllFuels_SEDS_2022_TBtus!$T$3:$T$53,match($B61&amp;BA$2,Com_AllFuels_SEDS_2022_TBtus!$B$3:$B$53&amp;Com_AllFuels_SEDS_2022_TBtus!$A$3:$A$53,0))))</f>
        <v>0</v>
      </c>
      <c r="BB74" s="74">
        <f t="shared" si="11"/>
        <v>33.6</v>
      </c>
    </row>
    <row r="75" ht="15.75" customHeight="1">
      <c r="A75" s="78"/>
      <c r="B75" s="74">
        <v>7.0</v>
      </c>
      <c r="C75" s="75">
        <f t="array" ref="C75">IF(ISERROR(index(Com_AllFuels_SEDS_2022_TBtus!$T$3:$T$53,match($B62&amp;C$2,Com_AllFuels_SEDS_2022_TBtus!$B$3:$B$53&amp;Com_AllFuels_SEDS_2022_TBtus!$A$3:$A$53,0))),0,(index(Com_AllFuels_SEDS_2022_TBtus!$T$3:$T$53,match($B62&amp;C$2,Com_AllFuels_SEDS_2022_TBtus!$B$3:$B$53&amp;Com_AllFuels_SEDS_2022_TBtus!$A$3:$A$53,0))))</f>
        <v>0</v>
      </c>
      <c r="D75" s="75">
        <f t="array" ref="D75">IF(ISERROR(index(Com_AllFuels_SEDS_2022_TBtus!$T$3:$T$53,match($B62&amp;D$2,Com_AllFuels_SEDS_2022_TBtus!$B$3:$B$53&amp;Com_AllFuels_SEDS_2022_TBtus!$A$3:$A$53,0))),0,(index(Com_AllFuels_SEDS_2022_TBtus!$T$3:$T$53,match($B62&amp;D$2,Com_AllFuels_SEDS_2022_TBtus!$B$3:$B$53&amp;Com_AllFuels_SEDS_2022_TBtus!$A$3:$A$53,0))))</f>
        <v>0</v>
      </c>
      <c r="E75" s="75">
        <f t="array" ref="E75">IF(ISERROR(index(Com_AllFuels_SEDS_2022_TBtus!$T$3:$T$53,match($B62&amp;E$2,Com_AllFuels_SEDS_2022_TBtus!$B$3:$B$53&amp;Com_AllFuels_SEDS_2022_TBtus!$A$3:$A$53,0))),0,(index(Com_AllFuels_SEDS_2022_TBtus!$T$3:$T$53,match($B62&amp;E$2,Com_AllFuels_SEDS_2022_TBtus!$B$3:$B$53&amp;Com_AllFuels_SEDS_2022_TBtus!$A$3:$A$53,0))))</f>
        <v>0</v>
      </c>
      <c r="F75" s="75">
        <f t="array" ref="F75">IF(ISERROR(index(Com_AllFuels_SEDS_2022_TBtus!$T$3:$T$53,match($B62&amp;F$2,Com_AllFuels_SEDS_2022_TBtus!$B$3:$B$53&amp;Com_AllFuels_SEDS_2022_TBtus!$A$3:$A$53,0))),0,(index(Com_AllFuels_SEDS_2022_TBtus!$T$3:$T$53,match($B62&amp;F$2,Com_AllFuels_SEDS_2022_TBtus!$B$3:$B$53&amp;Com_AllFuels_SEDS_2022_TBtus!$A$3:$A$53,0))))</f>
        <v>4.5</v>
      </c>
      <c r="G75" s="75">
        <f t="array" ref="G75">IF(ISERROR(index(Com_AllFuels_SEDS_2022_TBtus!$T$3:$T$53,match($B62&amp;G$2,Com_AllFuels_SEDS_2022_TBtus!$B$3:$B$53&amp;Com_AllFuels_SEDS_2022_TBtus!$A$3:$A$53,0))),0,(index(Com_AllFuels_SEDS_2022_TBtus!$T$3:$T$53,match($B62&amp;G$2,Com_AllFuels_SEDS_2022_TBtus!$B$3:$B$53&amp;Com_AllFuels_SEDS_2022_TBtus!$A$3:$A$53,0))))</f>
        <v>0</v>
      </c>
      <c r="H75" s="75">
        <f t="array" ref="H75">IF(ISERROR(index(Com_AllFuels_SEDS_2022_TBtus!$T$3:$T$53,match($B62&amp;H$2,Com_AllFuels_SEDS_2022_TBtus!$B$3:$B$53&amp;Com_AllFuels_SEDS_2022_TBtus!$A$3:$A$53,0))),0,(index(Com_AllFuels_SEDS_2022_TBtus!$T$3:$T$53,match($B62&amp;H$2,Com_AllFuels_SEDS_2022_TBtus!$B$3:$B$53&amp;Com_AllFuels_SEDS_2022_TBtus!$A$3:$A$53,0))))</f>
        <v>0</v>
      </c>
      <c r="I75" s="75">
        <f t="array" ref="I75">IF(ISERROR(index(Com_AllFuels_SEDS_2022_TBtus!$T$3:$T$53,match($B62&amp;I$2,Com_AllFuels_SEDS_2022_TBtus!$B$3:$B$53&amp;Com_AllFuels_SEDS_2022_TBtus!$A$3:$A$53,0))),0,(index(Com_AllFuels_SEDS_2022_TBtus!$T$3:$T$53,match($B62&amp;I$2,Com_AllFuels_SEDS_2022_TBtus!$B$3:$B$53&amp;Com_AllFuels_SEDS_2022_TBtus!$A$3:$A$53,0))))</f>
        <v>0</v>
      </c>
      <c r="J75" s="75">
        <f t="array" ref="J75">IF(ISERROR(index(Com_AllFuels_SEDS_2022_TBtus!$T$3:$T$53,match($B62&amp;J$2,Com_AllFuels_SEDS_2022_TBtus!$B$3:$B$53&amp;Com_AllFuels_SEDS_2022_TBtus!$A$3:$A$53,0))),0,(index(Com_AllFuels_SEDS_2022_TBtus!$T$3:$T$53,match($B62&amp;J$2,Com_AllFuels_SEDS_2022_TBtus!$B$3:$B$53&amp;Com_AllFuels_SEDS_2022_TBtus!$A$3:$A$53,0))))</f>
        <v>0</v>
      </c>
      <c r="K75" s="75">
        <f t="array" ref="K75">IF(ISERROR(index(Com_AllFuels_SEDS_2022_TBtus!$T$3:$T$53,match($B62&amp;K$2,Com_AllFuels_SEDS_2022_TBtus!$B$3:$B$53&amp;Com_AllFuels_SEDS_2022_TBtus!$A$3:$A$53,0))),0,(index(Com_AllFuels_SEDS_2022_TBtus!$T$3:$T$53,match($B62&amp;K$2,Com_AllFuels_SEDS_2022_TBtus!$B$3:$B$53&amp;Com_AllFuels_SEDS_2022_TBtus!$A$3:$A$53,0))))</f>
        <v>0</v>
      </c>
      <c r="L75" s="75">
        <f t="array" ref="L75">IF(ISERROR(index(Com_AllFuels_SEDS_2022_TBtus!$T$3:$T$53,match($B62&amp;L$2,Com_AllFuels_SEDS_2022_TBtus!$B$3:$B$53&amp;Com_AllFuels_SEDS_2022_TBtus!$A$3:$A$53,0))),0,(index(Com_AllFuels_SEDS_2022_TBtus!$T$3:$T$53,match($B62&amp;L$2,Com_AllFuels_SEDS_2022_TBtus!$B$3:$B$53&amp;Com_AllFuels_SEDS_2022_TBtus!$A$3:$A$53,0))))</f>
        <v>0</v>
      </c>
      <c r="M75" s="75">
        <f t="array" ref="M75">IF(ISERROR(index(Com_AllFuels_SEDS_2022_TBtus!$T$3:$T$53,match($B62&amp;M$2,Com_AllFuels_SEDS_2022_TBtus!$B$3:$B$53&amp;Com_AllFuels_SEDS_2022_TBtus!$A$3:$A$53,0))),0,(index(Com_AllFuels_SEDS_2022_TBtus!$T$3:$T$53,match($B62&amp;M$2,Com_AllFuels_SEDS_2022_TBtus!$B$3:$B$53&amp;Com_AllFuels_SEDS_2022_TBtus!$A$3:$A$53,0))))</f>
        <v>0</v>
      </c>
      <c r="N75" s="75">
        <f t="array" ref="N75">IF(ISERROR(index(Com_AllFuels_SEDS_2022_TBtus!$T$3:$T$53,match($B62&amp;N$2,Com_AllFuels_SEDS_2022_TBtus!$B$3:$B$53&amp;Com_AllFuels_SEDS_2022_TBtus!$A$3:$A$53,0))),0,(index(Com_AllFuels_SEDS_2022_TBtus!$T$3:$T$53,match($B62&amp;N$2,Com_AllFuels_SEDS_2022_TBtus!$B$3:$B$53&amp;Com_AllFuels_SEDS_2022_TBtus!$A$3:$A$53,0))))</f>
        <v>0</v>
      </c>
      <c r="O75" s="75">
        <f t="array" ref="O75">IF(ISERROR(index(Com_AllFuels_SEDS_2022_TBtus!$T$3:$T$53,match($B62&amp;O$2,Com_AllFuels_SEDS_2022_TBtus!$B$3:$B$53&amp;Com_AllFuels_SEDS_2022_TBtus!$A$3:$A$53,0))),0,(index(Com_AllFuels_SEDS_2022_TBtus!$T$3:$T$53,match($B62&amp;O$2,Com_AllFuels_SEDS_2022_TBtus!$B$3:$B$53&amp;Com_AllFuels_SEDS_2022_TBtus!$A$3:$A$53,0))))</f>
        <v>0</v>
      </c>
      <c r="P75" s="75">
        <f t="array" ref="P75">IF(ISERROR(index(Com_AllFuels_SEDS_2022_TBtus!$T$3:$T$53,match($B62&amp;P$2,Com_AllFuels_SEDS_2022_TBtus!$B$3:$B$53&amp;Com_AllFuels_SEDS_2022_TBtus!$A$3:$A$53,0))),0,(index(Com_AllFuels_SEDS_2022_TBtus!$T$3:$T$53,match($B62&amp;P$2,Com_AllFuels_SEDS_2022_TBtus!$B$3:$B$53&amp;Com_AllFuels_SEDS_2022_TBtus!$A$3:$A$53,0))))</f>
        <v>0</v>
      </c>
      <c r="Q75" s="75">
        <f t="array" ref="Q75">IF(ISERROR(index(Com_AllFuels_SEDS_2022_TBtus!$T$3:$T$53,match($B62&amp;Q$2,Com_AllFuels_SEDS_2022_TBtus!$B$3:$B$53&amp;Com_AllFuels_SEDS_2022_TBtus!$A$3:$A$53,0))),0,(index(Com_AllFuels_SEDS_2022_TBtus!$T$3:$T$53,match($B62&amp;Q$2,Com_AllFuels_SEDS_2022_TBtus!$B$3:$B$53&amp;Com_AllFuels_SEDS_2022_TBtus!$A$3:$A$53,0))))</f>
        <v>0</v>
      </c>
      <c r="R75" s="75">
        <f t="array" ref="R75">IF(ISERROR(index(Com_AllFuels_SEDS_2022_TBtus!$T$3:$T$53,match($B62&amp;R$2,Com_AllFuels_SEDS_2022_TBtus!$B$3:$B$53&amp;Com_AllFuels_SEDS_2022_TBtus!$A$3:$A$53,0))),0,(index(Com_AllFuels_SEDS_2022_TBtus!$T$3:$T$53,match($B62&amp;R$2,Com_AllFuels_SEDS_2022_TBtus!$B$3:$B$53&amp;Com_AllFuels_SEDS_2022_TBtus!$A$3:$A$53,0))))</f>
        <v>0</v>
      </c>
      <c r="S75" s="75">
        <f t="array" ref="S75">IF(ISERROR(index(Com_AllFuels_SEDS_2022_TBtus!$T$3:$T$53,match($B62&amp;S$2,Com_AllFuels_SEDS_2022_TBtus!$B$3:$B$53&amp;Com_AllFuels_SEDS_2022_TBtus!$A$3:$A$53,0))),0,(index(Com_AllFuels_SEDS_2022_TBtus!$T$3:$T$53,match($B62&amp;S$2,Com_AllFuels_SEDS_2022_TBtus!$B$3:$B$53&amp;Com_AllFuels_SEDS_2022_TBtus!$A$3:$A$53,0))))</f>
        <v>0</v>
      </c>
      <c r="T75" s="75">
        <f t="array" ref="T75">IF(ISERROR(index(Com_AllFuels_SEDS_2022_TBtus!$T$3:$T$53,match($B62&amp;T$2,Com_AllFuels_SEDS_2022_TBtus!$B$3:$B$53&amp;Com_AllFuels_SEDS_2022_TBtus!$A$3:$A$53,0))),0,(index(Com_AllFuels_SEDS_2022_TBtus!$T$3:$T$53,match($B62&amp;T$2,Com_AllFuels_SEDS_2022_TBtus!$B$3:$B$53&amp;Com_AllFuels_SEDS_2022_TBtus!$A$3:$A$53,0))))</f>
        <v>0</v>
      </c>
      <c r="U75" s="75">
        <f t="array" ref="U75">IF(ISERROR(index(Com_AllFuels_SEDS_2022_TBtus!$T$3:$T$53,match($B62&amp;U$2,Com_AllFuels_SEDS_2022_TBtus!$B$3:$B$53&amp;Com_AllFuels_SEDS_2022_TBtus!$A$3:$A$53,0))),0,(index(Com_AllFuels_SEDS_2022_TBtus!$T$3:$T$53,match($B62&amp;U$2,Com_AllFuels_SEDS_2022_TBtus!$B$3:$B$53&amp;Com_AllFuels_SEDS_2022_TBtus!$A$3:$A$53,0))))</f>
        <v>5.8</v>
      </c>
      <c r="V75" s="75">
        <f t="array" ref="V75">IF(ISERROR(index(Com_AllFuels_SEDS_2022_TBtus!$T$3:$T$53,match($B62&amp;V$2,Com_AllFuels_SEDS_2022_TBtus!$B$3:$B$53&amp;Com_AllFuels_SEDS_2022_TBtus!$A$3:$A$53,0))),0,(index(Com_AllFuels_SEDS_2022_TBtus!$T$3:$T$53,match($B62&amp;V$2,Com_AllFuels_SEDS_2022_TBtus!$B$3:$B$53&amp;Com_AllFuels_SEDS_2022_TBtus!$A$3:$A$53,0))))</f>
        <v>0</v>
      </c>
      <c r="W75" s="75">
        <f t="array" ref="W75">IF(ISERROR(index(Com_AllFuels_SEDS_2022_TBtus!$T$3:$T$53,match($B62&amp;W$2,Com_AllFuels_SEDS_2022_TBtus!$B$3:$B$53&amp;Com_AllFuels_SEDS_2022_TBtus!$A$3:$A$53,0))),0,(index(Com_AllFuels_SEDS_2022_TBtus!$T$3:$T$53,match($B62&amp;W$2,Com_AllFuels_SEDS_2022_TBtus!$B$3:$B$53&amp;Com_AllFuels_SEDS_2022_TBtus!$A$3:$A$53,0))))</f>
        <v>0</v>
      </c>
      <c r="X75" s="75">
        <f t="array" ref="X75">IF(ISERROR(index(Com_AllFuels_SEDS_2022_TBtus!$T$3:$T$53,match($B62&amp;X$2,Com_AllFuels_SEDS_2022_TBtus!$B$3:$B$53&amp;Com_AllFuels_SEDS_2022_TBtus!$A$3:$A$53,0))),0,(index(Com_AllFuels_SEDS_2022_TBtus!$T$3:$T$53,match($B62&amp;X$2,Com_AllFuels_SEDS_2022_TBtus!$B$3:$B$53&amp;Com_AllFuels_SEDS_2022_TBtus!$A$3:$A$53,0))))</f>
        <v>0</v>
      </c>
      <c r="Y75" s="75">
        <f t="array" ref="Y75">IF(ISERROR(index(Com_AllFuels_SEDS_2022_TBtus!$T$3:$T$53,match($B62&amp;Y$2,Com_AllFuels_SEDS_2022_TBtus!$B$3:$B$53&amp;Com_AllFuels_SEDS_2022_TBtus!$A$3:$A$53,0))),0,(index(Com_AllFuels_SEDS_2022_TBtus!$T$3:$T$53,match($B62&amp;Y$2,Com_AllFuels_SEDS_2022_TBtus!$B$3:$B$53&amp;Com_AllFuels_SEDS_2022_TBtus!$A$3:$A$53,0))))</f>
        <v>0</v>
      </c>
      <c r="Z75" s="75">
        <f t="array" ref="Z75">IF(ISERROR(index(Com_AllFuels_SEDS_2022_TBtus!$T$3:$T$53,match($B62&amp;Z$2,Com_AllFuels_SEDS_2022_TBtus!$B$3:$B$53&amp;Com_AllFuels_SEDS_2022_TBtus!$A$3:$A$53,0))),0,(index(Com_AllFuels_SEDS_2022_TBtus!$T$3:$T$53,match($B62&amp;Z$2,Com_AllFuels_SEDS_2022_TBtus!$B$3:$B$53&amp;Com_AllFuels_SEDS_2022_TBtus!$A$3:$A$53,0))))</f>
        <v>0</v>
      </c>
      <c r="AA75" s="75">
        <f t="array" ref="AA75">IF(ISERROR(index(Com_AllFuels_SEDS_2022_TBtus!$T$3:$T$53,match($B62&amp;AA$2,Com_AllFuels_SEDS_2022_TBtus!$B$3:$B$53&amp;Com_AllFuels_SEDS_2022_TBtus!$A$3:$A$53,0))),0,(index(Com_AllFuels_SEDS_2022_TBtus!$T$3:$T$53,match($B62&amp;AA$2,Com_AllFuels_SEDS_2022_TBtus!$B$3:$B$53&amp;Com_AllFuels_SEDS_2022_TBtus!$A$3:$A$53,0))))</f>
        <v>0</v>
      </c>
      <c r="AB75" s="75">
        <f t="array" ref="AB75">IF(ISERROR(index(Com_AllFuels_SEDS_2022_TBtus!$T$3:$T$53,match($B62&amp;AB$2,Com_AllFuels_SEDS_2022_TBtus!$B$3:$B$53&amp;Com_AllFuels_SEDS_2022_TBtus!$A$3:$A$53,0))),0,(index(Com_AllFuels_SEDS_2022_TBtus!$T$3:$T$53,match($B62&amp;AB$2,Com_AllFuels_SEDS_2022_TBtus!$B$3:$B$53&amp;Com_AllFuels_SEDS_2022_TBtus!$A$3:$A$53,0))))</f>
        <v>0</v>
      </c>
      <c r="AC75" s="75">
        <f t="array" ref="AC75">IF(ISERROR(index(Com_AllFuels_SEDS_2022_TBtus!$T$3:$T$53,match($B62&amp;AC$2,Com_AllFuels_SEDS_2022_TBtus!$B$3:$B$53&amp;Com_AllFuels_SEDS_2022_TBtus!$A$3:$A$53,0))),0,(index(Com_AllFuels_SEDS_2022_TBtus!$T$3:$T$53,match($B62&amp;AC$2,Com_AllFuels_SEDS_2022_TBtus!$B$3:$B$53&amp;Com_AllFuels_SEDS_2022_TBtus!$A$3:$A$53,0))))</f>
        <v>0</v>
      </c>
      <c r="AD75" s="75">
        <f t="array" ref="AD75">IF(ISERROR(index(Com_AllFuels_SEDS_2022_TBtus!$T$3:$T$53,match($B62&amp;AD$2,Com_AllFuels_SEDS_2022_TBtus!$B$3:$B$53&amp;Com_AllFuels_SEDS_2022_TBtus!$A$3:$A$53,0))),0,(index(Com_AllFuels_SEDS_2022_TBtus!$T$3:$T$53,match($B62&amp;AD$2,Com_AllFuels_SEDS_2022_TBtus!$B$3:$B$53&amp;Com_AllFuels_SEDS_2022_TBtus!$A$3:$A$53,0))))</f>
        <v>0</v>
      </c>
      <c r="AE75" s="75">
        <f t="array" ref="AE75">IF(ISERROR(index(Com_AllFuels_SEDS_2022_TBtus!$T$3:$T$53,match($B62&amp;AE$2,Com_AllFuels_SEDS_2022_TBtus!$B$3:$B$53&amp;Com_AllFuels_SEDS_2022_TBtus!$A$3:$A$53,0))),0,(index(Com_AllFuels_SEDS_2022_TBtus!$T$3:$T$53,match($B62&amp;AE$2,Com_AllFuels_SEDS_2022_TBtus!$B$3:$B$53&amp;Com_AllFuels_SEDS_2022_TBtus!$A$3:$A$53,0))))</f>
        <v>0</v>
      </c>
      <c r="AF75" s="75">
        <f t="array" ref="AF75">IF(ISERROR(index(Com_AllFuels_SEDS_2022_TBtus!$T$3:$T$53,match($B62&amp;AF$2,Com_AllFuels_SEDS_2022_TBtus!$B$3:$B$53&amp;Com_AllFuels_SEDS_2022_TBtus!$A$3:$A$53,0))),0,(index(Com_AllFuels_SEDS_2022_TBtus!$T$3:$T$53,match($B62&amp;AF$2,Com_AllFuels_SEDS_2022_TBtus!$B$3:$B$53&amp;Com_AllFuels_SEDS_2022_TBtus!$A$3:$A$53,0))))</f>
        <v>0</v>
      </c>
      <c r="AG75" s="75">
        <f t="array" ref="AG75">IF(ISERROR(index(Com_AllFuels_SEDS_2022_TBtus!$T$3:$T$53,match($B62&amp;AG$2,Com_AllFuels_SEDS_2022_TBtus!$B$3:$B$53&amp;Com_AllFuels_SEDS_2022_TBtus!$A$3:$A$53,0))),0,(index(Com_AllFuels_SEDS_2022_TBtus!$T$3:$T$53,match($B62&amp;AG$2,Com_AllFuels_SEDS_2022_TBtus!$B$3:$B$53&amp;Com_AllFuels_SEDS_2022_TBtus!$A$3:$A$53,0))))</f>
        <v>0</v>
      </c>
      <c r="AH75" s="75">
        <f t="array" ref="AH75">IF(ISERROR(index(Com_AllFuels_SEDS_2022_TBtus!$T$3:$T$53,match($B62&amp;AH$2,Com_AllFuels_SEDS_2022_TBtus!$B$3:$B$53&amp;Com_AllFuels_SEDS_2022_TBtus!$A$3:$A$53,0))),0,(index(Com_AllFuels_SEDS_2022_TBtus!$T$3:$T$53,match($B62&amp;AH$2,Com_AllFuels_SEDS_2022_TBtus!$B$3:$B$53&amp;Com_AllFuels_SEDS_2022_TBtus!$A$3:$A$53,0))))</f>
        <v>0</v>
      </c>
      <c r="AI75" s="75">
        <f t="array" ref="AI75">IF(ISERROR(index(Com_AllFuels_SEDS_2022_TBtus!$T$3:$T$53,match($B62&amp;AI$2,Com_AllFuels_SEDS_2022_TBtus!$B$3:$B$53&amp;Com_AllFuels_SEDS_2022_TBtus!$A$3:$A$53,0))),0,(index(Com_AllFuels_SEDS_2022_TBtus!$T$3:$T$53,match($B62&amp;AI$2,Com_AllFuels_SEDS_2022_TBtus!$B$3:$B$53&amp;Com_AllFuels_SEDS_2022_TBtus!$A$3:$A$53,0))))</f>
        <v>0</v>
      </c>
      <c r="AJ75" s="75">
        <f t="array" ref="AJ75">IF(ISERROR(index(Com_AllFuels_SEDS_2022_TBtus!$T$3:$T$53,match($B62&amp;AJ$2,Com_AllFuels_SEDS_2022_TBtus!$B$3:$B$53&amp;Com_AllFuels_SEDS_2022_TBtus!$A$3:$A$53,0))),0,(index(Com_AllFuels_SEDS_2022_TBtus!$T$3:$T$53,match($B62&amp;AJ$2,Com_AllFuels_SEDS_2022_TBtus!$B$3:$B$53&amp;Com_AllFuels_SEDS_2022_TBtus!$A$3:$A$53,0))))</f>
        <v>0</v>
      </c>
      <c r="AK75" s="75">
        <f t="array" ref="AK75">IF(ISERROR(index(Com_AllFuels_SEDS_2022_TBtus!$T$3:$T$53,match($B62&amp;AK$2,Com_AllFuels_SEDS_2022_TBtus!$B$3:$B$53&amp;Com_AllFuels_SEDS_2022_TBtus!$A$3:$A$53,0))),0,(index(Com_AllFuels_SEDS_2022_TBtus!$T$3:$T$53,match($B62&amp;AK$2,Com_AllFuels_SEDS_2022_TBtus!$B$3:$B$53&amp;Com_AllFuels_SEDS_2022_TBtus!$A$3:$A$53,0))))</f>
        <v>0</v>
      </c>
      <c r="AL75" s="75">
        <f t="array" ref="AL75">IF(ISERROR(index(Com_AllFuels_SEDS_2022_TBtus!$T$3:$T$53,match($B62&amp;AL$2,Com_AllFuels_SEDS_2022_TBtus!$B$3:$B$53&amp;Com_AllFuels_SEDS_2022_TBtus!$A$3:$A$53,0))),0,(index(Com_AllFuels_SEDS_2022_TBtus!$T$3:$T$53,match($B62&amp;AL$2,Com_AllFuels_SEDS_2022_TBtus!$B$3:$B$53&amp;Com_AllFuels_SEDS_2022_TBtus!$A$3:$A$53,0))))</f>
        <v>0</v>
      </c>
      <c r="AM75" s="75">
        <f t="array" ref="AM75">IF(ISERROR(index(Com_AllFuels_SEDS_2022_TBtus!$T$3:$T$53,match($B62&amp;AM$2,Com_AllFuels_SEDS_2022_TBtus!$B$3:$B$53&amp;Com_AllFuels_SEDS_2022_TBtus!$A$3:$A$53,0))),0,(index(Com_AllFuels_SEDS_2022_TBtus!$T$3:$T$53,match($B62&amp;AM$2,Com_AllFuels_SEDS_2022_TBtus!$B$3:$B$53&amp;Com_AllFuels_SEDS_2022_TBtus!$A$3:$A$53,0))))</f>
        <v>8</v>
      </c>
      <c r="AN75" s="75">
        <f t="array" ref="AN75">IF(ISERROR(index(Com_AllFuels_SEDS_2022_TBtus!$T$3:$T$53,match($B62&amp;AN$2,Com_AllFuels_SEDS_2022_TBtus!$B$3:$B$53&amp;Com_AllFuels_SEDS_2022_TBtus!$A$3:$A$53,0))),0,(index(Com_AllFuels_SEDS_2022_TBtus!$T$3:$T$53,match($B62&amp;AN$2,Com_AllFuels_SEDS_2022_TBtus!$B$3:$B$53&amp;Com_AllFuels_SEDS_2022_TBtus!$A$3:$A$53,0))))</f>
        <v>0</v>
      </c>
      <c r="AO75" s="75">
        <f t="array" ref="AO75">IF(ISERROR(index(Com_AllFuels_SEDS_2022_TBtus!$T$3:$T$53,match($B62&amp;AO$2,Com_AllFuels_SEDS_2022_TBtus!$B$3:$B$53&amp;Com_AllFuels_SEDS_2022_TBtus!$A$3:$A$53,0))),0,(index(Com_AllFuels_SEDS_2022_TBtus!$T$3:$T$53,match($B62&amp;AO$2,Com_AllFuels_SEDS_2022_TBtus!$B$3:$B$53&amp;Com_AllFuels_SEDS_2022_TBtus!$A$3:$A$53,0))))</f>
        <v>0</v>
      </c>
      <c r="AP75" s="75">
        <f t="array" ref="AP75">IF(ISERROR(index(Com_AllFuels_SEDS_2022_TBtus!$T$3:$T$53,match($B62&amp;AP$2,Com_AllFuels_SEDS_2022_TBtus!$B$3:$B$53&amp;Com_AllFuels_SEDS_2022_TBtus!$A$3:$A$53,0))),0,(index(Com_AllFuels_SEDS_2022_TBtus!$T$3:$T$53,match($B62&amp;AP$2,Com_AllFuels_SEDS_2022_TBtus!$B$3:$B$53&amp;Com_AllFuels_SEDS_2022_TBtus!$A$3:$A$53,0))))</f>
        <v>0</v>
      </c>
      <c r="AQ75" s="75">
        <f t="array" ref="AQ75">IF(ISERROR(index(Com_AllFuels_SEDS_2022_TBtus!$T$3:$T$53,match($B62&amp;AQ$2,Com_AllFuels_SEDS_2022_TBtus!$B$3:$B$53&amp;Com_AllFuels_SEDS_2022_TBtus!$A$3:$A$53,0))),0,(index(Com_AllFuels_SEDS_2022_TBtus!$T$3:$T$53,match($B62&amp;AQ$2,Com_AllFuels_SEDS_2022_TBtus!$B$3:$B$53&amp;Com_AllFuels_SEDS_2022_TBtus!$A$3:$A$53,0))))</f>
        <v>0</v>
      </c>
      <c r="AR75" s="75">
        <f t="array" ref="AR75">IF(ISERROR(index(Com_AllFuels_SEDS_2022_TBtus!$T$3:$T$53,match($B62&amp;AR$2,Com_AllFuels_SEDS_2022_TBtus!$B$3:$B$53&amp;Com_AllFuels_SEDS_2022_TBtus!$A$3:$A$53,0))),0,(index(Com_AllFuels_SEDS_2022_TBtus!$T$3:$T$53,match($B62&amp;AR$2,Com_AllFuels_SEDS_2022_TBtus!$B$3:$B$53&amp;Com_AllFuels_SEDS_2022_TBtus!$A$3:$A$53,0))))</f>
        <v>0</v>
      </c>
      <c r="AS75" s="75">
        <f t="array" ref="AS75">IF(ISERROR(index(Com_AllFuels_SEDS_2022_TBtus!$T$3:$T$53,match($B62&amp;AS$2,Com_AllFuels_SEDS_2022_TBtus!$B$3:$B$53&amp;Com_AllFuels_SEDS_2022_TBtus!$A$3:$A$53,0))),0,(index(Com_AllFuels_SEDS_2022_TBtus!$T$3:$T$53,match($B62&amp;AS$2,Com_AllFuels_SEDS_2022_TBtus!$B$3:$B$53&amp;Com_AllFuels_SEDS_2022_TBtus!$A$3:$A$53,0))))</f>
        <v>0</v>
      </c>
      <c r="AT75" s="75">
        <f t="array" ref="AT75">IF(ISERROR(index(Com_AllFuels_SEDS_2022_TBtus!$T$3:$T$53,match($B62&amp;AT$2,Com_AllFuels_SEDS_2022_TBtus!$B$3:$B$53&amp;Com_AllFuels_SEDS_2022_TBtus!$A$3:$A$53,0))),0,(index(Com_AllFuels_SEDS_2022_TBtus!$T$3:$T$53,match($B62&amp;AT$2,Com_AllFuels_SEDS_2022_TBtus!$B$3:$B$53&amp;Com_AllFuels_SEDS_2022_TBtus!$A$3:$A$53,0))))</f>
        <v>40.2</v>
      </c>
      <c r="AU75" s="75">
        <f t="array" ref="AU75">IF(ISERROR(index(Com_AllFuels_SEDS_2022_TBtus!$T$3:$T$53,match($B62&amp;AU$2,Com_AllFuels_SEDS_2022_TBtus!$B$3:$B$53&amp;Com_AllFuels_SEDS_2022_TBtus!$A$3:$A$53,0))),0,(index(Com_AllFuels_SEDS_2022_TBtus!$T$3:$T$53,match($B62&amp;AU$2,Com_AllFuels_SEDS_2022_TBtus!$B$3:$B$53&amp;Com_AllFuels_SEDS_2022_TBtus!$A$3:$A$53,0))))</f>
        <v>0</v>
      </c>
      <c r="AV75" s="75">
        <f t="array" ref="AV75">IF(ISERROR(index(Com_AllFuels_SEDS_2022_TBtus!$T$3:$T$53,match($B62&amp;AV$2,Com_AllFuels_SEDS_2022_TBtus!$B$3:$B$53&amp;Com_AllFuels_SEDS_2022_TBtus!$A$3:$A$53,0))),0,(index(Com_AllFuels_SEDS_2022_TBtus!$T$3:$T$53,match($B62&amp;AV$2,Com_AllFuels_SEDS_2022_TBtus!$B$3:$B$53&amp;Com_AllFuels_SEDS_2022_TBtus!$A$3:$A$53,0))))</f>
        <v>0</v>
      </c>
      <c r="AW75" s="75">
        <f t="array" ref="AW75">IF(ISERROR(index(Com_AllFuels_SEDS_2022_TBtus!$T$3:$T$53,match($B62&amp;AW$2,Com_AllFuels_SEDS_2022_TBtus!$B$3:$B$53&amp;Com_AllFuels_SEDS_2022_TBtus!$A$3:$A$53,0))),0,(index(Com_AllFuels_SEDS_2022_TBtus!$T$3:$T$53,match($B62&amp;AW$2,Com_AllFuels_SEDS_2022_TBtus!$B$3:$B$53&amp;Com_AllFuels_SEDS_2022_TBtus!$A$3:$A$53,0))))</f>
        <v>0</v>
      </c>
      <c r="AX75" s="75">
        <f t="array" ref="AX75">IF(ISERROR(index(Com_AllFuels_SEDS_2022_TBtus!$T$3:$T$53,match($B62&amp;AX$2,Com_AllFuels_SEDS_2022_TBtus!$B$3:$B$53&amp;Com_AllFuels_SEDS_2022_TBtus!$A$3:$A$53,0))),0,(index(Com_AllFuels_SEDS_2022_TBtus!$T$3:$T$53,match($B62&amp;AX$2,Com_AllFuels_SEDS_2022_TBtus!$B$3:$B$53&amp;Com_AllFuels_SEDS_2022_TBtus!$A$3:$A$53,0))))</f>
        <v>0</v>
      </c>
      <c r="AY75" s="75">
        <f t="array" ref="AY75">IF(ISERROR(index(Com_AllFuels_SEDS_2022_TBtus!$T$3:$T$53,match($B62&amp;AY$2,Com_AllFuels_SEDS_2022_TBtus!$B$3:$B$53&amp;Com_AllFuels_SEDS_2022_TBtus!$A$3:$A$53,0))),0,(index(Com_AllFuels_SEDS_2022_TBtus!$T$3:$T$53,match($B62&amp;AY$2,Com_AllFuels_SEDS_2022_TBtus!$B$3:$B$53&amp;Com_AllFuels_SEDS_2022_TBtus!$A$3:$A$53,0))))</f>
        <v>0</v>
      </c>
      <c r="AZ75" s="75">
        <f t="array" ref="AZ75">IF(ISERROR(index(Com_AllFuels_SEDS_2022_TBtus!$T$3:$T$53,match($B62&amp;AZ$2,Com_AllFuels_SEDS_2022_TBtus!$B$3:$B$53&amp;Com_AllFuels_SEDS_2022_TBtus!$A$3:$A$53,0))),0,(index(Com_AllFuels_SEDS_2022_TBtus!$T$3:$T$53,match($B62&amp;AZ$2,Com_AllFuels_SEDS_2022_TBtus!$B$3:$B$53&amp;Com_AllFuels_SEDS_2022_TBtus!$A$3:$A$53,0))))</f>
        <v>0</v>
      </c>
      <c r="BA75" s="75">
        <f t="array" ref="BA75">IF(ISERROR(index(Com_AllFuels_SEDS_2022_TBtus!$T$3:$T$53,match($B62&amp;BA$2,Com_AllFuels_SEDS_2022_TBtus!$B$3:$B$53&amp;Com_AllFuels_SEDS_2022_TBtus!$A$3:$A$53,0))),0,(index(Com_AllFuels_SEDS_2022_TBtus!$T$3:$T$53,match($B62&amp;BA$2,Com_AllFuels_SEDS_2022_TBtus!$B$3:$B$53&amp;Com_AllFuels_SEDS_2022_TBtus!$A$3:$A$53,0))))</f>
        <v>0</v>
      </c>
      <c r="BB75" s="74">
        <f t="shared" si="11"/>
        <v>58.5</v>
      </c>
    </row>
    <row r="76" ht="15.75" customHeight="1">
      <c r="A76" s="78"/>
      <c r="B76" s="74">
        <v>8.0</v>
      </c>
      <c r="C76" s="75">
        <f t="array" ref="C76">IF(ISERROR(index(Com_AllFuels_SEDS_2022_TBtus!$T$3:$T$53,match($B63&amp;C$2,Com_AllFuels_SEDS_2022_TBtus!$B$3:$B$53&amp;Com_AllFuels_SEDS_2022_TBtus!$A$3:$A$53,0))),0,(index(Com_AllFuels_SEDS_2022_TBtus!$T$3:$T$53,match($B63&amp;C$2,Com_AllFuels_SEDS_2022_TBtus!$B$3:$B$53&amp;Com_AllFuels_SEDS_2022_TBtus!$A$3:$A$53,0))))</f>
        <v>0</v>
      </c>
      <c r="D76" s="75">
        <f t="array" ref="D76">IF(ISERROR(index(Com_AllFuels_SEDS_2022_TBtus!$T$3:$T$53,match($B63&amp;D$2,Com_AllFuels_SEDS_2022_TBtus!$B$3:$B$53&amp;Com_AllFuels_SEDS_2022_TBtus!$A$3:$A$53,0))),0,(index(Com_AllFuels_SEDS_2022_TBtus!$T$3:$T$53,match($B63&amp;D$2,Com_AllFuels_SEDS_2022_TBtus!$B$3:$B$53&amp;Com_AllFuels_SEDS_2022_TBtus!$A$3:$A$53,0))))</f>
        <v>0</v>
      </c>
      <c r="E76" s="75">
        <f t="array" ref="E76">IF(ISERROR(index(Com_AllFuels_SEDS_2022_TBtus!$T$3:$T$53,match($B63&amp;E$2,Com_AllFuels_SEDS_2022_TBtus!$B$3:$B$53&amp;Com_AllFuels_SEDS_2022_TBtus!$A$3:$A$53,0))),0,(index(Com_AllFuels_SEDS_2022_TBtus!$T$3:$T$53,match($B63&amp;E$2,Com_AllFuels_SEDS_2022_TBtus!$B$3:$B$53&amp;Com_AllFuels_SEDS_2022_TBtus!$A$3:$A$53,0))))</f>
        <v>13.2</v>
      </c>
      <c r="F76" s="75">
        <f t="array" ref="F76">IF(ISERROR(index(Com_AllFuels_SEDS_2022_TBtus!$T$3:$T$53,match($B63&amp;F$2,Com_AllFuels_SEDS_2022_TBtus!$B$3:$B$53&amp;Com_AllFuels_SEDS_2022_TBtus!$A$3:$A$53,0))),0,(index(Com_AllFuels_SEDS_2022_TBtus!$T$3:$T$53,match($B63&amp;F$2,Com_AllFuels_SEDS_2022_TBtus!$B$3:$B$53&amp;Com_AllFuels_SEDS_2022_TBtus!$A$3:$A$53,0))))</f>
        <v>0</v>
      </c>
      <c r="G76" s="75">
        <f t="array" ref="G76">IF(ISERROR(index(Com_AllFuels_SEDS_2022_TBtus!$T$3:$T$53,match($B63&amp;G$2,Com_AllFuels_SEDS_2022_TBtus!$B$3:$B$53&amp;Com_AllFuels_SEDS_2022_TBtus!$A$3:$A$53,0))),0,(index(Com_AllFuels_SEDS_2022_TBtus!$T$3:$T$53,match($B63&amp;G$2,Com_AllFuels_SEDS_2022_TBtus!$B$3:$B$53&amp;Com_AllFuels_SEDS_2022_TBtus!$A$3:$A$53,0))))</f>
        <v>0</v>
      </c>
      <c r="H76" s="75">
        <f t="array" ref="H76">IF(ISERROR(index(Com_AllFuels_SEDS_2022_TBtus!$T$3:$T$53,match($B63&amp;H$2,Com_AllFuels_SEDS_2022_TBtus!$B$3:$B$53&amp;Com_AllFuels_SEDS_2022_TBtus!$A$3:$A$53,0))),0,(index(Com_AllFuels_SEDS_2022_TBtus!$T$3:$T$53,match($B63&amp;H$2,Com_AllFuels_SEDS_2022_TBtus!$B$3:$B$53&amp;Com_AllFuels_SEDS_2022_TBtus!$A$3:$A$53,0))))</f>
        <v>12.4</v>
      </c>
      <c r="I76" s="75">
        <f t="array" ref="I76">IF(ISERROR(index(Com_AllFuels_SEDS_2022_TBtus!$T$3:$T$53,match($B63&amp;I$2,Com_AllFuels_SEDS_2022_TBtus!$B$3:$B$53&amp;Com_AllFuels_SEDS_2022_TBtus!$A$3:$A$53,0))),0,(index(Com_AllFuels_SEDS_2022_TBtus!$T$3:$T$53,match($B63&amp;I$2,Com_AllFuels_SEDS_2022_TBtus!$B$3:$B$53&amp;Com_AllFuels_SEDS_2022_TBtus!$A$3:$A$53,0))))</f>
        <v>0</v>
      </c>
      <c r="J76" s="75">
        <f t="array" ref="J76">IF(ISERROR(index(Com_AllFuels_SEDS_2022_TBtus!$T$3:$T$53,match($B63&amp;J$2,Com_AllFuels_SEDS_2022_TBtus!$B$3:$B$53&amp;Com_AllFuels_SEDS_2022_TBtus!$A$3:$A$53,0))),0,(index(Com_AllFuels_SEDS_2022_TBtus!$T$3:$T$53,match($B63&amp;J$2,Com_AllFuels_SEDS_2022_TBtus!$B$3:$B$53&amp;Com_AllFuels_SEDS_2022_TBtus!$A$3:$A$53,0))))</f>
        <v>0</v>
      </c>
      <c r="K76" s="75">
        <f t="array" ref="K76">IF(ISERROR(index(Com_AllFuels_SEDS_2022_TBtus!$T$3:$T$53,match($B63&amp;K$2,Com_AllFuels_SEDS_2022_TBtus!$B$3:$B$53&amp;Com_AllFuels_SEDS_2022_TBtus!$A$3:$A$53,0))),0,(index(Com_AllFuels_SEDS_2022_TBtus!$T$3:$T$53,match($B63&amp;K$2,Com_AllFuels_SEDS_2022_TBtus!$B$3:$B$53&amp;Com_AllFuels_SEDS_2022_TBtus!$A$3:$A$53,0))))</f>
        <v>0</v>
      </c>
      <c r="L76" s="75">
        <f t="array" ref="L76">IF(ISERROR(index(Com_AllFuels_SEDS_2022_TBtus!$T$3:$T$53,match($B63&amp;L$2,Com_AllFuels_SEDS_2022_TBtus!$B$3:$B$53&amp;Com_AllFuels_SEDS_2022_TBtus!$A$3:$A$53,0))),0,(index(Com_AllFuels_SEDS_2022_TBtus!$T$3:$T$53,match($B63&amp;L$2,Com_AllFuels_SEDS_2022_TBtus!$B$3:$B$53&amp;Com_AllFuels_SEDS_2022_TBtus!$A$3:$A$53,0))))</f>
        <v>0</v>
      </c>
      <c r="M76" s="75">
        <f t="array" ref="M76">IF(ISERROR(index(Com_AllFuels_SEDS_2022_TBtus!$T$3:$T$53,match($B63&amp;M$2,Com_AllFuels_SEDS_2022_TBtus!$B$3:$B$53&amp;Com_AllFuels_SEDS_2022_TBtus!$A$3:$A$53,0))),0,(index(Com_AllFuels_SEDS_2022_TBtus!$T$3:$T$53,match($B63&amp;M$2,Com_AllFuels_SEDS_2022_TBtus!$B$3:$B$53&amp;Com_AllFuels_SEDS_2022_TBtus!$A$3:$A$53,0))))</f>
        <v>0</v>
      </c>
      <c r="N76" s="75">
        <f t="array" ref="N76">IF(ISERROR(index(Com_AllFuels_SEDS_2022_TBtus!$T$3:$T$53,match($B63&amp;N$2,Com_AllFuels_SEDS_2022_TBtus!$B$3:$B$53&amp;Com_AllFuels_SEDS_2022_TBtus!$A$3:$A$53,0))),0,(index(Com_AllFuels_SEDS_2022_TBtus!$T$3:$T$53,match($B63&amp;N$2,Com_AllFuels_SEDS_2022_TBtus!$B$3:$B$53&amp;Com_AllFuels_SEDS_2022_TBtus!$A$3:$A$53,0))))</f>
        <v>0</v>
      </c>
      <c r="O76" s="75">
        <f t="array" ref="O76">IF(ISERROR(index(Com_AllFuels_SEDS_2022_TBtus!$T$3:$T$53,match($B63&amp;O$2,Com_AllFuels_SEDS_2022_TBtus!$B$3:$B$53&amp;Com_AllFuels_SEDS_2022_TBtus!$A$3:$A$53,0))),0,(index(Com_AllFuels_SEDS_2022_TBtus!$T$3:$T$53,match($B63&amp;O$2,Com_AllFuels_SEDS_2022_TBtus!$B$3:$B$53&amp;Com_AllFuels_SEDS_2022_TBtus!$A$3:$A$53,0))))</f>
        <v>3.6</v>
      </c>
      <c r="P76" s="75">
        <f t="array" ref="P76">IF(ISERROR(index(Com_AllFuels_SEDS_2022_TBtus!$T$3:$T$53,match($B63&amp;P$2,Com_AllFuels_SEDS_2022_TBtus!$B$3:$B$53&amp;Com_AllFuels_SEDS_2022_TBtus!$A$3:$A$53,0))),0,(index(Com_AllFuels_SEDS_2022_TBtus!$T$3:$T$53,match($B63&amp;P$2,Com_AllFuels_SEDS_2022_TBtus!$B$3:$B$53&amp;Com_AllFuels_SEDS_2022_TBtus!$A$3:$A$53,0))))</f>
        <v>0</v>
      </c>
      <c r="Q76" s="75">
        <f t="array" ref="Q76">IF(ISERROR(index(Com_AllFuels_SEDS_2022_TBtus!$T$3:$T$53,match($B63&amp;Q$2,Com_AllFuels_SEDS_2022_TBtus!$B$3:$B$53&amp;Com_AllFuels_SEDS_2022_TBtus!$A$3:$A$53,0))),0,(index(Com_AllFuels_SEDS_2022_TBtus!$T$3:$T$53,match($B63&amp;Q$2,Com_AllFuels_SEDS_2022_TBtus!$B$3:$B$53&amp;Com_AllFuels_SEDS_2022_TBtus!$A$3:$A$53,0))))</f>
        <v>0</v>
      </c>
      <c r="R76" s="75">
        <f t="array" ref="R76">IF(ISERROR(index(Com_AllFuels_SEDS_2022_TBtus!$T$3:$T$53,match($B63&amp;R$2,Com_AllFuels_SEDS_2022_TBtus!$B$3:$B$53&amp;Com_AllFuels_SEDS_2022_TBtus!$A$3:$A$53,0))),0,(index(Com_AllFuels_SEDS_2022_TBtus!$T$3:$T$53,match($B63&amp;R$2,Com_AllFuels_SEDS_2022_TBtus!$B$3:$B$53&amp;Com_AllFuels_SEDS_2022_TBtus!$A$3:$A$53,0))))</f>
        <v>0</v>
      </c>
      <c r="S76" s="75">
        <f t="array" ref="S76">IF(ISERROR(index(Com_AllFuels_SEDS_2022_TBtus!$T$3:$T$53,match($B63&amp;S$2,Com_AllFuels_SEDS_2022_TBtus!$B$3:$B$53&amp;Com_AllFuels_SEDS_2022_TBtus!$A$3:$A$53,0))),0,(index(Com_AllFuels_SEDS_2022_TBtus!$T$3:$T$53,match($B63&amp;S$2,Com_AllFuels_SEDS_2022_TBtus!$B$3:$B$53&amp;Com_AllFuels_SEDS_2022_TBtus!$A$3:$A$53,0))))</f>
        <v>0</v>
      </c>
      <c r="T76" s="75">
        <f t="array" ref="T76">IF(ISERROR(index(Com_AllFuels_SEDS_2022_TBtus!$T$3:$T$53,match($B63&amp;T$2,Com_AllFuels_SEDS_2022_TBtus!$B$3:$B$53&amp;Com_AllFuels_SEDS_2022_TBtus!$A$3:$A$53,0))),0,(index(Com_AllFuels_SEDS_2022_TBtus!$T$3:$T$53,match($B63&amp;T$2,Com_AllFuels_SEDS_2022_TBtus!$B$3:$B$53&amp;Com_AllFuels_SEDS_2022_TBtus!$A$3:$A$53,0))))</f>
        <v>0</v>
      </c>
      <c r="U76" s="75">
        <f t="array" ref="U76">IF(ISERROR(index(Com_AllFuels_SEDS_2022_TBtus!$T$3:$T$53,match($B63&amp;U$2,Com_AllFuels_SEDS_2022_TBtus!$B$3:$B$53&amp;Com_AllFuels_SEDS_2022_TBtus!$A$3:$A$53,0))),0,(index(Com_AllFuels_SEDS_2022_TBtus!$T$3:$T$53,match($B63&amp;U$2,Com_AllFuels_SEDS_2022_TBtus!$B$3:$B$53&amp;Com_AllFuels_SEDS_2022_TBtus!$A$3:$A$53,0))))</f>
        <v>0</v>
      </c>
      <c r="V76" s="75">
        <f t="array" ref="V76">IF(ISERROR(index(Com_AllFuels_SEDS_2022_TBtus!$T$3:$T$53,match($B63&amp;V$2,Com_AllFuels_SEDS_2022_TBtus!$B$3:$B$53&amp;Com_AllFuels_SEDS_2022_TBtus!$A$3:$A$53,0))),0,(index(Com_AllFuels_SEDS_2022_TBtus!$T$3:$T$53,match($B63&amp;V$2,Com_AllFuels_SEDS_2022_TBtus!$B$3:$B$53&amp;Com_AllFuels_SEDS_2022_TBtus!$A$3:$A$53,0))))</f>
        <v>0</v>
      </c>
      <c r="W76" s="75">
        <f t="array" ref="W76">IF(ISERROR(index(Com_AllFuels_SEDS_2022_TBtus!$T$3:$T$53,match($B63&amp;W$2,Com_AllFuels_SEDS_2022_TBtus!$B$3:$B$53&amp;Com_AllFuels_SEDS_2022_TBtus!$A$3:$A$53,0))),0,(index(Com_AllFuels_SEDS_2022_TBtus!$T$3:$T$53,match($B63&amp;W$2,Com_AllFuels_SEDS_2022_TBtus!$B$3:$B$53&amp;Com_AllFuels_SEDS_2022_TBtus!$A$3:$A$53,0))))</f>
        <v>0</v>
      </c>
      <c r="X76" s="75">
        <f t="array" ref="X76">IF(ISERROR(index(Com_AllFuels_SEDS_2022_TBtus!$T$3:$T$53,match($B63&amp;X$2,Com_AllFuels_SEDS_2022_TBtus!$B$3:$B$53&amp;Com_AllFuels_SEDS_2022_TBtus!$A$3:$A$53,0))),0,(index(Com_AllFuels_SEDS_2022_TBtus!$T$3:$T$53,match($B63&amp;X$2,Com_AllFuels_SEDS_2022_TBtus!$B$3:$B$53&amp;Com_AllFuels_SEDS_2022_TBtus!$A$3:$A$53,0))))</f>
        <v>0</v>
      </c>
      <c r="Y76" s="75">
        <f t="array" ref="Y76">IF(ISERROR(index(Com_AllFuels_SEDS_2022_TBtus!$T$3:$T$53,match($B63&amp;Y$2,Com_AllFuels_SEDS_2022_TBtus!$B$3:$B$53&amp;Com_AllFuels_SEDS_2022_TBtus!$A$3:$A$53,0))),0,(index(Com_AllFuels_SEDS_2022_TBtus!$T$3:$T$53,match($B63&amp;Y$2,Com_AllFuels_SEDS_2022_TBtus!$B$3:$B$53&amp;Com_AllFuels_SEDS_2022_TBtus!$A$3:$A$53,0))))</f>
        <v>0</v>
      </c>
      <c r="Z76" s="75">
        <f t="array" ref="Z76">IF(ISERROR(index(Com_AllFuels_SEDS_2022_TBtus!$T$3:$T$53,match($B63&amp;Z$2,Com_AllFuels_SEDS_2022_TBtus!$B$3:$B$53&amp;Com_AllFuels_SEDS_2022_TBtus!$A$3:$A$53,0))),0,(index(Com_AllFuels_SEDS_2022_TBtus!$T$3:$T$53,match($B63&amp;Z$2,Com_AllFuels_SEDS_2022_TBtus!$B$3:$B$53&amp;Com_AllFuels_SEDS_2022_TBtus!$A$3:$A$53,0))))</f>
        <v>0</v>
      </c>
      <c r="AA76" s="75">
        <f t="array" ref="AA76">IF(ISERROR(index(Com_AllFuels_SEDS_2022_TBtus!$T$3:$T$53,match($B63&amp;AA$2,Com_AllFuels_SEDS_2022_TBtus!$B$3:$B$53&amp;Com_AllFuels_SEDS_2022_TBtus!$A$3:$A$53,0))),0,(index(Com_AllFuels_SEDS_2022_TBtus!$T$3:$T$53,match($B63&amp;AA$2,Com_AllFuels_SEDS_2022_TBtus!$B$3:$B$53&amp;Com_AllFuels_SEDS_2022_TBtus!$A$3:$A$53,0))))</f>
        <v>0</v>
      </c>
      <c r="AB76" s="75">
        <f t="array" ref="AB76">IF(ISERROR(index(Com_AllFuels_SEDS_2022_TBtus!$T$3:$T$53,match($B63&amp;AB$2,Com_AllFuels_SEDS_2022_TBtus!$B$3:$B$53&amp;Com_AllFuels_SEDS_2022_TBtus!$A$3:$A$53,0))),0,(index(Com_AllFuels_SEDS_2022_TBtus!$T$3:$T$53,match($B63&amp;AB$2,Com_AllFuels_SEDS_2022_TBtus!$B$3:$B$53&amp;Com_AllFuels_SEDS_2022_TBtus!$A$3:$A$53,0))))</f>
        <v>0</v>
      </c>
      <c r="AC76" s="75">
        <f t="array" ref="AC76">IF(ISERROR(index(Com_AllFuels_SEDS_2022_TBtus!$T$3:$T$53,match($B63&amp;AC$2,Com_AllFuels_SEDS_2022_TBtus!$B$3:$B$53&amp;Com_AllFuels_SEDS_2022_TBtus!$A$3:$A$53,0))),0,(index(Com_AllFuels_SEDS_2022_TBtus!$T$3:$T$53,match($B63&amp;AC$2,Com_AllFuels_SEDS_2022_TBtus!$B$3:$B$53&amp;Com_AllFuels_SEDS_2022_TBtus!$A$3:$A$53,0))))</f>
        <v>3.4</v>
      </c>
      <c r="AD76" s="75">
        <f t="array" ref="AD76">IF(ISERROR(index(Com_AllFuels_SEDS_2022_TBtus!$T$3:$T$53,match($B63&amp;AD$2,Com_AllFuels_SEDS_2022_TBtus!$B$3:$B$53&amp;Com_AllFuels_SEDS_2022_TBtus!$A$3:$A$53,0))),0,(index(Com_AllFuels_SEDS_2022_TBtus!$T$3:$T$53,match($B63&amp;AD$2,Com_AllFuels_SEDS_2022_TBtus!$B$3:$B$53&amp;Com_AllFuels_SEDS_2022_TBtus!$A$3:$A$53,0))))</f>
        <v>0</v>
      </c>
      <c r="AE76" s="75">
        <f t="array" ref="AE76">IF(ISERROR(index(Com_AllFuels_SEDS_2022_TBtus!$T$3:$T$53,match($B63&amp;AE$2,Com_AllFuels_SEDS_2022_TBtus!$B$3:$B$53&amp;Com_AllFuels_SEDS_2022_TBtus!$A$3:$A$53,0))),0,(index(Com_AllFuels_SEDS_2022_TBtus!$T$3:$T$53,match($B63&amp;AE$2,Com_AllFuels_SEDS_2022_TBtus!$B$3:$B$53&amp;Com_AllFuels_SEDS_2022_TBtus!$A$3:$A$53,0))))</f>
        <v>6.5</v>
      </c>
      <c r="AF76" s="75">
        <f t="array" ref="AF76">IF(ISERROR(index(Com_AllFuels_SEDS_2022_TBtus!$T$3:$T$53,match($B63&amp;AF$2,Com_AllFuels_SEDS_2022_TBtus!$B$3:$B$53&amp;Com_AllFuels_SEDS_2022_TBtus!$A$3:$A$53,0))),0,(index(Com_AllFuels_SEDS_2022_TBtus!$T$3:$T$53,match($B63&amp;AF$2,Com_AllFuels_SEDS_2022_TBtus!$B$3:$B$53&amp;Com_AllFuels_SEDS_2022_TBtus!$A$3:$A$53,0))))</f>
        <v>0</v>
      </c>
      <c r="AG76" s="75">
        <f t="array" ref="AG76">IF(ISERROR(index(Com_AllFuels_SEDS_2022_TBtus!$T$3:$T$53,match($B63&amp;AG$2,Com_AllFuels_SEDS_2022_TBtus!$B$3:$B$53&amp;Com_AllFuels_SEDS_2022_TBtus!$A$3:$A$53,0))),0,(index(Com_AllFuels_SEDS_2022_TBtus!$T$3:$T$53,match($B63&amp;AG$2,Com_AllFuels_SEDS_2022_TBtus!$B$3:$B$53&amp;Com_AllFuels_SEDS_2022_TBtus!$A$3:$A$53,0))))</f>
        <v>0</v>
      </c>
      <c r="AH76" s="75">
        <f t="array" ref="AH76">IF(ISERROR(index(Com_AllFuels_SEDS_2022_TBtus!$T$3:$T$53,match($B63&amp;AH$2,Com_AllFuels_SEDS_2022_TBtus!$B$3:$B$53&amp;Com_AllFuels_SEDS_2022_TBtus!$A$3:$A$53,0))),0,(index(Com_AllFuels_SEDS_2022_TBtus!$T$3:$T$53,match($B63&amp;AH$2,Com_AllFuels_SEDS_2022_TBtus!$B$3:$B$53&amp;Com_AllFuels_SEDS_2022_TBtus!$A$3:$A$53,0))))</f>
        <v>4.1</v>
      </c>
      <c r="AI76" s="75">
        <f t="array" ref="AI76">IF(ISERROR(index(Com_AllFuels_SEDS_2022_TBtus!$T$3:$T$53,match($B63&amp;AI$2,Com_AllFuels_SEDS_2022_TBtus!$B$3:$B$53&amp;Com_AllFuels_SEDS_2022_TBtus!$A$3:$A$53,0))),0,(index(Com_AllFuels_SEDS_2022_TBtus!$T$3:$T$53,match($B63&amp;AI$2,Com_AllFuels_SEDS_2022_TBtus!$B$3:$B$53&amp;Com_AllFuels_SEDS_2022_TBtus!$A$3:$A$53,0))))</f>
        <v>0</v>
      </c>
      <c r="AJ76" s="75">
        <f t="array" ref="AJ76">IF(ISERROR(index(Com_AllFuels_SEDS_2022_TBtus!$T$3:$T$53,match($B63&amp;AJ$2,Com_AllFuels_SEDS_2022_TBtus!$B$3:$B$53&amp;Com_AllFuels_SEDS_2022_TBtus!$A$3:$A$53,0))),0,(index(Com_AllFuels_SEDS_2022_TBtus!$T$3:$T$53,match($B63&amp;AJ$2,Com_AllFuels_SEDS_2022_TBtus!$B$3:$B$53&amp;Com_AllFuels_SEDS_2022_TBtus!$A$3:$A$53,0))))</f>
        <v>0</v>
      </c>
      <c r="AK76" s="75">
        <f t="array" ref="AK76">IF(ISERROR(index(Com_AllFuels_SEDS_2022_TBtus!$T$3:$T$53,match($B63&amp;AK$2,Com_AllFuels_SEDS_2022_TBtus!$B$3:$B$53&amp;Com_AllFuels_SEDS_2022_TBtus!$A$3:$A$53,0))),0,(index(Com_AllFuels_SEDS_2022_TBtus!$T$3:$T$53,match($B63&amp;AK$2,Com_AllFuels_SEDS_2022_TBtus!$B$3:$B$53&amp;Com_AllFuels_SEDS_2022_TBtus!$A$3:$A$53,0))))</f>
        <v>0</v>
      </c>
      <c r="AL76" s="75">
        <f t="array" ref="AL76">IF(ISERROR(index(Com_AllFuels_SEDS_2022_TBtus!$T$3:$T$53,match($B63&amp;AL$2,Com_AllFuels_SEDS_2022_TBtus!$B$3:$B$53&amp;Com_AllFuels_SEDS_2022_TBtus!$A$3:$A$53,0))),0,(index(Com_AllFuels_SEDS_2022_TBtus!$T$3:$T$53,match($B63&amp;AL$2,Com_AllFuels_SEDS_2022_TBtus!$B$3:$B$53&amp;Com_AllFuels_SEDS_2022_TBtus!$A$3:$A$53,0))))</f>
        <v>0</v>
      </c>
      <c r="AM76" s="75">
        <f t="array" ref="AM76">IF(ISERROR(index(Com_AllFuels_SEDS_2022_TBtus!$T$3:$T$53,match($B63&amp;AM$2,Com_AllFuels_SEDS_2022_TBtus!$B$3:$B$53&amp;Com_AllFuels_SEDS_2022_TBtus!$A$3:$A$53,0))),0,(index(Com_AllFuels_SEDS_2022_TBtus!$T$3:$T$53,match($B63&amp;AM$2,Com_AllFuels_SEDS_2022_TBtus!$B$3:$B$53&amp;Com_AllFuels_SEDS_2022_TBtus!$A$3:$A$53,0))))</f>
        <v>0</v>
      </c>
      <c r="AN76" s="75">
        <f t="array" ref="AN76">IF(ISERROR(index(Com_AllFuels_SEDS_2022_TBtus!$T$3:$T$53,match($B63&amp;AN$2,Com_AllFuels_SEDS_2022_TBtus!$B$3:$B$53&amp;Com_AllFuels_SEDS_2022_TBtus!$A$3:$A$53,0))),0,(index(Com_AllFuels_SEDS_2022_TBtus!$T$3:$T$53,match($B63&amp;AN$2,Com_AllFuels_SEDS_2022_TBtus!$B$3:$B$53&amp;Com_AllFuels_SEDS_2022_TBtus!$A$3:$A$53,0))))</f>
        <v>0</v>
      </c>
      <c r="AO76" s="75">
        <f t="array" ref="AO76">IF(ISERROR(index(Com_AllFuels_SEDS_2022_TBtus!$T$3:$T$53,match($B63&amp;AO$2,Com_AllFuels_SEDS_2022_TBtus!$B$3:$B$53&amp;Com_AllFuels_SEDS_2022_TBtus!$A$3:$A$53,0))),0,(index(Com_AllFuels_SEDS_2022_TBtus!$T$3:$T$53,match($B63&amp;AO$2,Com_AllFuels_SEDS_2022_TBtus!$B$3:$B$53&amp;Com_AllFuels_SEDS_2022_TBtus!$A$3:$A$53,0))))</f>
        <v>0</v>
      </c>
      <c r="AP76" s="75">
        <f t="array" ref="AP76">IF(ISERROR(index(Com_AllFuels_SEDS_2022_TBtus!$T$3:$T$53,match($B63&amp;AP$2,Com_AllFuels_SEDS_2022_TBtus!$B$3:$B$53&amp;Com_AllFuels_SEDS_2022_TBtus!$A$3:$A$53,0))),0,(index(Com_AllFuels_SEDS_2022_TBtus!$T$3:$T$53,match($B63&amp;AP$2,Com_AllFuels_SEDS_2022_TBtus!$B$3:$B$53&amp;Com_AllFuels_SEDS_2022_TBtus!$A$3:$A$53,0))))</f>
        <v>0</v>
      </c>
      <c r="AQ76" s="75">
        <f t="array" ref="AQ76">IF(ISERROR(index(Com_AllFuels_SEDS_2022_TBtus!$T$3:$T$53,match($B63&amp;AQ$2,Com_AllFuels_SEDS_2022_TBtus!$B$3:$B$53&amp;Com_AllFuels_SEDS_2022_TBtus!$A$3:$A$53,0))),0,(index(Com_AllFuels_SEDS_2022_TBtus!$T$3:$T$53,match($B63&amp;AQ$2,Com_AllFuels_SEDS_2022_TBtus!$B$3:$B$53&amp;Com_AllFuels_SEDS_2022_TBtus!$A$3:$A$53,0))))</f>
        <v>0</v>
      </c>
      <c r="AR76" s="75">
        <f t="array" ref="AR76">IF(ISERROR(index(Com_AllFuels_SEDS_2022_TBtus!$T$3:$T$53,match($B63&amp;AR$2,Com_AllFuels_SEDS_2022_TBtus!$B$3:$B$53&amp;Com_AllFuels_SEDS_2022_TBtus!$A$3:$A$53,0))),0,(index(Com_AllFuels_SEDS_2022_TBtus!$T$3:$T$53,match($B63&amp;AR$2,Com_AllFuels_SEDS_2022_TBtus!$B$3:$B$53&amp;Com_AllFuels_SEDS_2022_TBtus!$A$3:$A$53,0))))</f>
        <v>0</v>
      </c>
      <c r="AS76" s="75">
        <f t="array" ref="AS76">IF(ISERROR(index(Com_AllFuels_SEDS_2022_TBtus!$T$3:$T$53,match($B63&amp;AS$2,Com_AllFuels_SEDS_2022_TBtus!$B$3:$B$53&amp;Com_AllFuels_SEDS_2022_TBtus!$A$3:$A$53,0))),0,(index(Com_AllFuels_SEDS_2022_TBtus!$T$3:$T$53,match($B63&amp;AS$2,Com_AllFuels_SEDS_2022_TBtus!$B$3:$B$53&amp;Com_AllFuels_SEDS_2022_TBtus!$A$3:$A$53,0))))</f>
        <v>0</v>
      </c>
      <c r="AT76" s="75">
        <f t="array" ref="AT76">IF(ISERROR(index(Com_AllFuels_SEDS_2022_TBtus!$T$3:$T$53,match($B63&amp;AT$2,Com_AllFuels_SEDS_2022_TBtus!$B$3:$B$53&amp;Com_AllFuels_SEDS_2022_TBtus!$A$3:$A$53,0))),0,(index(Com_AllFuels_SEDS_2022_TBtus!$T$3:$T$53,match($B63&amp;AT$2,Com_AllFuels_SEDS_2022_TBtus!$B$3:$B$53&amp;Com_AllFuels_SEDS_2022_TBtus!$A$3:$A$53,0))))</f>
        <v>0</v>
      </c>
      <c r="AU76" s="75">
        <f t="array" ref="AU76">IF(ISERROR(index(Com_AllFuels_SEDS_2022_TBtus!$T$3:$T$53,match($B63&amp;AU$2,Com_AllFuels_SEDS_2022_TBtus!$B$3:$B$53&amp;Com_AllFuels_SEDS_2022_TBtus!$A$3:$A$53,0))),0,(index(Com_AllFuels_SEDS_2022_TBtus!$T$3:$T$53,match($B63&amp;AU$2,Com_AllFuels_SEDS_2022_TBtus!$B$3:$B$53&amp;Com_AllFuels_SEDS_2022_TBtus!$A$3:$A$53,0))))</f>
        <v>5.9</v>
      </c>
      <c r="AV76" s="75">
        <f t="array" ref="AV76">IF(ISERROR(index(Com_AllFuels_SEDS_2022_TBtus!$T$3:$T$53,match($B63&amp;AV$2,Com_AllFuels_SEDS_2022_TBtus!$B$3:$B$53&amp;Com_AllFuels_SEDS_2022_TBtus!$A$3:$A$53,0))),0,(index(Com_AllFuels_SEDS_2022_TBtus!$T$3:$T$53,match($B63&amp;AV$2,Com_AllFuels_SEDS_2022_TBtus!$B$3:$B$53&amp;Com_AllFuels_SEDS_2022_TBtus!$A$3:$A$53,0))))</f>
        <v>0</v>
      </c>
      <c r="AW76" s="75">
        <f t="array" ref="AW76">IF(ISERROR(index(Com_AllFuels_SEDS_2022_TBtus!$T$3:$T$53,match($B63&amp;AW$2,Com_AllFuels_SEDS_2022_TBtus!$B$3:$B$53&amp;Com_AllFuels_SEDS_2022_TBtus!$A$3:$A$53,0))),0,(index(Com_AllFuels_SEDS_2022_TBtus!$T$3:$T$53,match($B63&amp;AW$2,Com_AllFuels_SEDS_2022_TBtus!$B$3:$B$53&amp;Com_AllFuels_SEDS_2022_TBtus!$A$3:$A$53,0))))</f>
        <v>0</v>
      </c>
      <c r="AX76" s="75">
        <f t="array" ref="AX76">IF(ISERROR(index(Com_AllFuels_SEDS_2022_TBtus!$T$3:$T$53,match($B63&amp;AX$2,Com_AllFuels_SEDS_2022_TBtus!$B$3:$B$53&amp;Com_AllFuels_SEDS_2022_TBtus!$A$3:$A$53,0))),0,(index(Com_AllFuels_SEDS_2022_TBtus!$T$3:$T$53,match($B63&amp;AX$2,Com_AllFuels_SEDS_2022_TBtus!$B$3:$B$53&amp;Com_AllFuels_SEDS_2022_TBtus!$A$3:$A$53,0))))</f>
        <v>0</v>
      </c>
      <c r="AY76" s="75">
        <f t="array" ref="AY76">IF(ISERROR(index(Com_AllFuels_SEDS_2022_TBtus!$T$3:$T$53,match($B63&amp;AY$2,Com_AllFuels_SEDS_2022_TBtus!$B$3:$B$53&amp;Com_AllFuels_SEDS_2022_TBtus!$A$3:$A$53,0))),0,(index(Com_AllFuels_SEDS_2022_TBtus!$T$3:$T$53,match($B63&amp;AY$2,Com_AllFuels_SEDS_2022_TBtus!$B$3:$B$53&amp;Com_AllFuels_SEDS_2022_TBtus!$A$3:$A$53,0))))</f>
        <v>0</v>
      </c>
      <c r="AZ76" s="75">
        <f t="array" ref="AZ76">IF(ISERROR(index(Com_AllFuels_SEDS_2022_TBtus!$T$3:$T$53,match($B63&amp;AZ$2,Com_AllFuels_SEDS_2022_TBtus!$B$3:$B$53&amp;Com_AllFuels_SEDS_2022_TBtus!$A$3:$A$53,0))),0,(index(Com_AllFuels_SEDS_2022_TBtus!$T$3:$T$53,match($B63&amp;AZ$2,Com_AllFuels_SEDS_2022_TBtus!$B$3:$B$53&amp;Com_AllFuels_SEDS_2022_TBtus!$A$3:$A$53,0))))</f>
        <v>0</v>
      </c>
      <c r="BA76" s="75">
        <f t="array" ref="BA76">IF(ISERROR(index(Com_AllFuels_SEDS_2022_TBtus!$T$3:$T$53,match($B63&amp;BA$2,Com_AllFuels_SEDS_2022_TBtus!$B$3:$B$53&amp;Com_AllFuels_SEDS_2022_TBtus!$A$3:$A$53,0))),0,(index(Com_AllFuels_SEDS_2022_TBtus!$T$3:$T$53,match($B63&amp;BA$2,Com_AllFuels_SEDS_2022_TBtus!$B$3:$B$53&amp;Com_AllFuels_SEDS_2022_TBtus!$A$3:$A$53,0))))</f>
        <v>3.1</v>
      </c>
      <c r="BB76" s="74">
        <f t="shared" si="11"/>
        <v>52.2</v>
      </c>
    </row>
    <row r="77" ht="15.75" customHeight="1">
      <c r="A77" s="78"/>
      <c r="B77" s="74">
        <v>9.0</v>
      </c>
      <c r="C77" s="75">
        <f t="array" ref="C77">IF(ISERROR(index(Com_AllFuels_SEDS_2022_TBtus!$T$3:$T$53,match($B64&amp;C$2,Com_AllFuels_SEDS_2022_TBtus!$B$3:$B$53&amp;Com_AllFuels_SEDS_2022_TBtus!$A$3:$A$53,0))),0,(index(Com_AllFuels_SEDS_2022_TBtus!$T$3:$T$53,match($B64&amp;C$2,Com_AllFuels_SEDS_2022_TBtus!$B$3:$B$53&amp;Com_AllFuels_SEDS_2022_TBtus!$A$3:$A$53,0))))</f>
        <v>0</v>
      </c>
      <c r="D77" s="75">
        <f t="array" ref="D77">IF(ISERROR(index(Com_AllFuels_SEDS_2022_TBtus!$T$3:$T$53,match($B64&amp;D$2,Com_AllFuels_SEDS_2022_TBtus!$B$3:$B$53&amp;Com_AllFuels_SEDS_2022_TBtus!$A$3:$A$53,0))),0,(index(Com_AllFuels_SEDS_2022_TBtus!$T$3:$T$53,match($B64&amp;D$2,Com_AllFuels_SEDS_2022_TBtus!$B$3:$B$53&amp;Com_AllFuels_SEDS_2022_TBtus!$A$3:$A$53,0))))</f>
        <v>1.8</v>
      </c>
      <c r="E77" s="75">
        <f t="array" ref="E77">IF(ISERROR(index(Com_AllFuels_SEDS_2022_TBtus!$T$3:$T$53,match($B64&amp;E$2,Com_AllFuels_SEDS_2022_TBtus!$B$3:$B$53&amp;Com_AllFuels_SEDS_2022_TBtus!$A$3:$A$53,0))),0,(index(Com_AllFuels_SEDS_2022_TBtus!$T$3:$T$53,match($B64&amp;E$2,Com_AllFuels_SEDS_2022_TBtus!$B$3:$B$53&amp;Com_AllFuels_SEDS_2022_TBtus!$A$3:$A$53,0))))</f>
        <v>0</v>
      </c>
      <c r="F77" s="75">
        <f t="array" ref="F77">IF(ISERROR(index(Com_AllFuels_SEDS_2022_TBtus!$T$3:$T$53,match($B64&amp;F$2,Com_AllFuels_SEDS_2022_TBtus!$B$3:$B$53&amp;Com_AllFuels_SEDS_2022_TBtus!$A$3:$A$53,0))),0,(index(Com_AllFuels_SEDS_2022_TBtus!$T$3:$T$53,match($B64&amp;F$2,Com_AllFuels_SEDS_2022_TBtus!$B$3:$B$53&amp;Com_AllFuels_SEDS_2022_TBtus!$A$3:$A$53,0))))</f>
        <v>0</v>
      </c>
      <c r="G77" s="75">
        <f t="array" ref="G77">IF(ISERROR(index(Com_AllFuels_SEDS_2022_TBtus!$T$3:$T$53,match($B64&amp;G$2,Com_AllFuels_SEDS_2022_TBtus!$B$3:$B$53&amp;Com_AllFuels_SEDS_2022_TBtus!$A$3:$A$53,0))),0,(index(Com_AllFuels_SEDS_2022_TBtus!$T$3:$T$53,match($B64&amp;G$2,Com_AllFuels_SEDS_2022_TBtus!$B$3:$B$53&amp;Com_AllFuels_SEDS_2022_TBtus!$A$3:$A$53,0))))</f>
        <v>69.1</v>
      </c>
      <c r="H77" s="75">
        <f t="array" ref="H77">IF(ISERROR(index(Com_AllFuels_SEDS_2022_TBtus!$T$3:$T$53,match($B64&amp;H$2,Com_AllFuels_SEDS_2022_TBtus!$B$3:$B$53&amp;Com_AllFuels_SEDS_2022_TBtus!$A$3:$A$53,0))),0,(index(Com_AllFuels_SEDS_2022_TBtus!$T$3:$T$53,match($B64&amp;H$2,Com_AllFuels_SEDS_2022_TBtus!$B$3:$B$53&amp;Com_AllFuels_SEDS_2022_TBtus!$A$3:$A$53,0))))</f>
        <v>0</v>
      </c>
      <c r="I77" s="75">
        <f t="array" ref="I77">IF(ISERROR(index(Com_AllFuels_SEDS_2022_TBtus!$T$3:$T$53,match($B64&amp;I$2,Com_AllFuels_SEDS_2022_TBtus!$B$3:$B$53&amp;Com_AllFuels_SEDS_2022_TBtus!$A$3:$A$53,0))),0,(index(Com_AllFuels_SEDS_2022_TBtus!$T$3:$T$53,match($B64&amp;I$2,Com_AllFuels_SEDS_2022_TBtus!$B$3:$B$53&amp;Com_AllFuels_SEDS_2022_TBtus!$A$3:$A$53,0))))</f>
        <v>0</v>
      </c>
      <c r="J77" s="75">
        <f t="array" ref="J77">IF(ISERROR(index(Com_AllFuels_SEDS_2022_TBtus!$T$3:$T$53,match($B64&amp;J$2,Com_AllFuels_SEDS_2022_TBtus!$B$3:$B$53&amp;Com_AllFuels_SEDS_2022_TBtus!$A$3:$A$53,0))),0,(index(Com_AllFuels_SEDS_2022_TBtus!$T$3:$T$53,match($B64&amp;J$2,Com_AllFuels_SEDS_2022_TBtus!$B$3:$B$53&amp;Com_AllFuels_SEDS_2022_TBtus!$A$3:$A$53,0))))</f>
        <v>0</v>
      </c>
      <c r="K77" s="75">
        <f t="array" ref="K77">IF(ISERROR(index(Com_AllFuels_SEDS_2022_TBtus!$T$3:$T$53,match($B64&amp;K$2,Com_AllFuels_SEDS_2022_TBtus!$B$3:$B$53&amp;Com_AllFuels_SEDS_2022_TBtus!$A$3:$A$53,0))),0,(index(Com_AllFuels_SEDS_2022_TBtus!$T$3:$T$53,match($B64&amp;K$2,Com_AllFuels_SEDS_2022_TBtus!$B$3:$B$53&amp;Com_AllFuels_SEDS_2022_TBtus!$A$3:$A$53,0))))</f>
        <v>0</v>
      </c>
      <c r="L77" s="75">
        <f t="array" ref="L77">IF(ISERROR(index(Com_AllFuels_SEDS_2022_TBtus!$T$3:$T$53,match($B64&amp;L$2,Com_AllFuels_SEDS_2022_TBtus!$B$3:$B$53&amp;Com_AllFuels_SEDS_2022_TBtus!$A$3:$A$53,0))),0,(index(Com_AllFuels_SEDS_2022_TBtus!$T$3:$T$53,match($B64&amp;L$2,Com_AllFuels_SEDS_2022_TBtus!$B$3:$B$53&amp;Com_AllFuels_SEDS_2022_TBtus!$A$3:$A$53,0))))</f>
        <v>0</v>
      </c>
      <c r="M77" s="75">
        <f t="array" ref="M77">IF(ISERROR(index(Com_AllFuels_SEDS_2022_TBtus!$T$3:$T$53,match($B64&amp;M$2,Com_AllFuels_SEDS_2022_TBtus!$B$3:$B$53&amp;Com_AllFuels_SEDS_2022_TBtus!$A$3:$A$53,0))),0,(index(Com_AllFuels_SEDS_2022_TBtus!$T$3:$T$53,match($B64&amp;M$2,Com_AllFuels_SEDS_2022_TBtus!$B$3:$B$53&amp;Com_AllFuels_SEDS_2022_TBtus!$A$3:$A$53,0))))</f>
        <v>0</v>
      </c>
      <c r="N77" s="75">
        <f t="array" ref="N77">IF(ISERROR(index(Com_AllFuels_SEDS_2022_TBtus!$T$3:$T$53,match($B64&amp;N$2,Com_AllFuels_SEDS_2022_TBtus!$B$3:$B$53&amp;Com_AllFuels_SEDS_2022_TBtus!$A$3:$A$53,0))),0,(index(Com_AllFuels_SEDS_2022_TBtus!$T$3:$T$53,match($B64&amp;N$2,Com_AllFuels_SEDS_2022_TBtus!$B$3:$B$53&amp;Com_AllFuels_SEDS_2022_TBtus!$A$3:$A$53,0))))</f>
        <v>4.9</v>
      </c>
      <c r="O77" s="75">
        <f t="array" ref="O77">IF(ISERROR(index(Com_AllFuels_SEDS_2022_TBtus!$T$3:$T$53,match($B64&amp;O$2,Com_AllFuels_SEDS_2022_TBtus!$B$3:$B$53&amp;Com_AllFuels_SEDS_2022_TBtus!$A$3:$A$53,0))),0,(index(Com_AllFuels_SEDS_2022_TBtus!$T$3:$T$53,match($B64&amp;O$2,Com_AllFuels_SEDS_2022_TBtus!$B$3:$B$53&amp;Com_AllFuels_SEDS_2022_TBtus!$A$3:$A$53,0))))</f>
        <v>0</v>
      </c>
      <c r="P77" s="75">
        <f t="array" ref="P77">IF(ISERROR(index(Com_AllFuels_SEDS_2022_TBtus!$T$3:$T$53,match($B64&amp;P$2,Com_AllFuels_SEDS_2022_TBtus!$B$3:$B$53&amp;Com_AllFuels_SEDS_2022_TBtus!$A$3:$A$53,0))),0,(index(Com_AllFuels_SEDS_2022_TBtus!$T$3:$T$53,match($B64&amp;P$2,Com_AllFuels_SEDS_2022_TBtus!$B$3:$B$53&amp;Com_AllFuels_SEDS_2022_TBtus!$A$3:$A$53,0))))</f>
        <v>0</v>
      </c>
      <c r="Q77" s="75">
        <f t="array" ref="Q77">IF(ISERROR(index(Com_AllFuels_SEDS_2022_TBtus!$T$3:$T$53,match($B64&amp;Q$2,Com_AllFuels_SEDS_2022_TBtus!$B$3:$B$53&amp;Com_AllFuels_SEDS_2022_TBtus!$A$3:$A$53,0))),0,(index(Com_AllFuels_SEDS_2022_TBtus!$T$3:$T$53,match($B64&amp;Q$2,Com_AllFuels_SEDS_2022_TBtus!$B$3:$B$53&amp;Com_AllFuels_SEDS_2022_TBtus!$A$3:$A$53,0))))</f>
        <v>0</v>
      </c>
      <c r="R77" s="75">
        <f t="array" ref="R77">IF(ISERROR(index(Com_AllFuels_SEDS_2022_TBtus!$T$3:$T$53,match($B64&amp;R$2,Com_AllFuels_SEDS_2022_TBtus!$B$3:$B$53&amp;Com_AllFuels_SEDS_2022_TBtus!$A$3:$A$53,0))),0,(index(Com_AllFuels_SEDS_2022_TBtus!$T$3:$T$53,match($B64&amp;R$2,Com_AllFuels_SEDS_2022_TBtus!$B$3:$B$53&amp;Com_AllFuels_SEDS_2022_TBtus!$A$3:$A$53,0))))</f>
        <v>0</v>
      </c>
      <c r="S77" s="75">
        <f t="array" ref="S77">IF(ISERROR(index(Com_AllFuels_SEDS_2022_TBtus!$T$3:$T$53,match($B64&amp;S$2,Com_AllFuels_SEDS_2022_TBtus!$B$3:$B$53&amp;Com_AllFuels_SEDS_2022_TBtus!$A$3:$A$53,0))),0,(index(Com_AllFuels_SEDS_2022_TBtus!$T$3:$T$53,match($B64&amp;S$2,Com_AllFuels_SEDS_2022_TBtus!$B$3:$B$53&amp;Com_AllFuels_SEDS_2022_TBtus!$A$3:$A$53,0))))</f>
        <v>0</v>
      </c>
      <c r="T77" s="75">
        <f t="array" ref="T77">IF(ISERROR(index(Com_AllFuels_SEDS_2022_TBtus!$T$3:$T$53,match($B64&amp;T$2,Com_AllFuels_SEDS_2022_TBtus!$B$3:$B$53&amp;Com_AllFuels_SEDS_2022_TBtus!$A$3:$A$53,0))),0,(index(Com_AllFuels_SEDS_2022_TBtus!$T$3:$T$53,match($B64&amp;T$2,Com_AllFuels_SEDS_2022_TBtus!$B$3:$B$53&amp;Com_AllFuels_SEDS_2022_TBtus!$A$3:$A$53,0))))</f>
        <v>0</v>
      </c>
      <c r="U77" s="75">
        <f t="array" ref="U77">IF(ISERROR(index(Com_AllFuels_SEDS_2022_TBtus!$T$3:$T$53,match($B64&amp;U$2,Com_AllFuels_SEDS_2022_TBtus!$B$3:$B$53&amp;Com_AllFuels_SEDS_2022_TBtus!$A$3:$A$53,0))),0,(index(Com_AllFuels_SEDS_2022_TBtus!$T$3:$T$53,match($B64&amp;U$2,Com_AllFuels_SEDS_2022_TBtus!$B$3:$B$53&amp;Com_AllFuels_SEDS_2022_TBtus!$A$3:$A$53,0))))</f>
        <v>0</v>
      </c>
      <c r="V77" s="75">
        <f t="array" ref="V77">IF(ISERROR(index(Com_AllFuels_SEDS_2022_TBtus!$T$3:$T$53,match($B64&amp;V$2,Com_AllFuels_SEDS_2022_TBtus!$B$3:$B$53&amp;Com_AllFuels_SEDS_2022_TBtus!$A$3:$A$53,0))),0,(index(Com_AllFuels_SEDS_2022_TBtus!$T$3:$T$53,match($B64&amp;V$2,Com_AllFuels_SEDS_2022_TBtus!$B$3:$B$53&amp;Com_AllFuels_SEDS_2022_TBtus!$A$3:$A$53,0))))</f>
        <v>0</v>
      </c>
      <c r="W77" s="75">
        <f t="array" ref="W77">IF(ISERROR(index(Com_AllFuels_SEDS_2022_TBtus!$T$3:$T$53,match($B64&amp;W$2,Com_AllFuels_SEDS_2022_TBtus!$B$3:$B$53&amp;Com_AllFuels_SEDS_2022_TBtus!$A$3:$A$53,0))),0,(index(Com_AllFuels_SEDS_2022_TBtus!$T$3:$T$53,match($B64&amp;W$2,Com_AllFuels_SEDS_2022_TBtus!$B$3:$B$53&amp;Com_AllFuels_SEDS_2022_TBtus!$A$3:$A$53,0))))</f>
        <v>0</v>
      </c>
      <c r="X77" s="75">
        <f t="array" ref="X77">IF(ISERROR(index(Com_AllFuels_SEDS_2022_TBtus!$T$3:$T$53,match($B64&amp;X$2,Com_AllFuels_SEDS_2022_TBtus!$B$3:$B$53&amp;Com_AllFuels_SEDS_2022_TBtus!$A$3:$A$53,0))),0,(index(Com_AllFuels_SEDS_2022_TBtus!$T$3:$T$53,match($B64&amp;X$2,Com_AllFuels_SEDS_2022_TBtus!$B$3:$B$53&amp;Com_AllFuels_SEDS_2022_TBtus!$A$3:$A$53,0))))</f>
        <v>0</v>
      </c>
      <c r="Y77" s="75">
        <f t="array" ref="Y77">IF(ISERROR(index(Com_AllFuels_SEDS_2022_TBtus!$T$3:$T$53,match($B64&amp;Y$2,Com_AllFuels_SEDS_2022_TBtus!$B$3:$B$53&amp;Com_AllFuels_SEDS_2022_TBtus!$A$3:$A$53,0))),0,(index(Com_AllFuels_SEDS_2022_TBtus!$T$3:$T$53,match($B64&amp;Y$2,Com_AllFuels_SEDS_2022_TBtus!$B$3:$B$53&amp;Com_AllFuels_SEDS_2022_TBtus!$A$3:$A$53,0))))</f>
        <v>0</v>
      </c>
      <c r="Z77" s="75">
        <f t="array" ref="Z77">IF(ISERROR(index(Com_AllFuels_SEDS_2022_TBtus!$T$3:$T$53,match($B64&amp;Z$2,Com_AllFuels_SEDS_2022_TBtus!$B$3:$B$53&amp;Com_AllFuels_SEDS_2022_TBtus!$A$3:$A$53,0))),0,(index(Com_AllFuels_SEDS_2022_TBtus!$T$3:$T$53,match($B64&amp;Z$2,Com_AllFuels_SEDS_2022_TBtus!$B$3:$B$53&amp;Com_AllFuels_SEDS_2022_TBtus!$A$3:$A$53,0))))</f>
        <v>0</v>
      </c>
      <c r="AA77" s="75">
        <f t="array" ref="AA77">IF(ISERROR(index(Com_AllFuels_SEDS_2022_TBtus!$T$3:$T$53,match($B64&amp;AA$2,Com_AllFuels_SEDS_2022_TBtus!$B$3:$B$53&amp;Com_AllFuels_SEDS_2022_TBtus!$A$3:$A$53,0))),0,(index(Com_AllFuels_SEDS_2022_TBtus!$T$3:$T$53,match($B64&amp;AA$2,Com_AllFuels_SEDS_2022_TBtus!$B$3:$B$53&amp;Com_AllFuels_SEDS_2022_TBtus!$A$3:$A$53,0))))</f>
        <v>0</v>
      </c>
      <c r="AB77" s="75">
        <f t="array" ref="AB77">IF(ISERROR(index(Com_AllFuels_SEDS_2022_TBtus!$T$3:$T$53,match($B64&amp;AB$2,Com_AllFuels_SEDS_2022_TBtus!$B$3:$B$53&amp;Com_AllFuels_SEDS_2022_TBtus!$A$3:$A$53,0))),0,(index(Com_AllFuels_SEDS_2022_TBtus!$T$3:$T$53,match($B64&amp;AB$2,Com_AllFuels_SEDS_2022_TBtus!$B$3:$B$53&amp;Com_AllFuels_SEDS_2022_TBtus!$A$3:$A$53,0))))</f>
        <v>0</v>
      </c>
      <c r="AC77" s="75">
        <f t="array" ref="AC77">IF(ISERROR(index(Com_AllFuels_SEDS_2022_TBtus!$T$3:$T$53,match($B64&amp;AC$2,Com_AllFuels_SEDS_2022_TBtus!$B$3:$B$53&amp;Com_AllFuels_SEDS_2022_TBtus!$A$3:$A$53,0))),0,(index(Com_AllFuels_SEDS_2022_TBtus!$T$3:$T$53,match($B64&amp;AC$2,Com_AllFuels_SEDS_2022_TBtus!$B$3:$B$53&amp;Com_AllFuels_SEDS_2022_TBtus!$A$3:$A$53,0))))</f>
        <v>0</v>
      </c>
      <c r="AD77" s="75">
        <f t="array" ref="AD77">IF(ISERROR(index(Com_AllFuels_SEDS_2022_TBtus!$T$3:$T$53,match($B64&amp;AD$2,Com_AllFuels_SEDS_2022_TBtus!$B$3:$B$53&amp;Com_AllFuels_SEDS_2022_TBtus!$A$3:$A$53,0))),0,(index(Com_AllFuels_SEDS_2022_TBtus!$T$3:$T$53,match($B64&amp;AD$2,Com_AllFuels_SEDS_2022_TBtus!$B$3:$B$53&amp;Com_AllFuels_SEDS_2022_TBtus!$A$3:$A$53,0))))</f>
        <v>0</v>
      </c>
      <c r="AE77" s="75">
        <f t="array" ref="AE77">IF(ISERROR(index(Com_AllFuels_SEDS_2022_TBtus!$T$3:$T$53,match($B64&amp;AE$2,Com_AllFuels_SEDS_2022_TBtus!$B$3:$B$53&amp;Com_AllFuels_SEDS_2022_TBtus!$A$3:$A$53,0))),0,(index(Com_AllFuels_SEDS_2022_TBtus!$T$3:$T$53,match($B64&amp;AE$2,Com_AllFuels_SEDS_2022_TBtus!$B$3:$B$53&amp;Com_AllFuels_SEDS_2022_TBtus!$A$3:$A$53,0))))</f>
        <v>0</v>
      </c>
      <c r="AF77" s="75">
        <f t="array" ref="AF77">IF(ISERROR(index(Com_AllFuels_SEDS_2022_TBtus!$T$3:$T$53,match($B64&amp;AF$2,Com_AllFuels_SEDS_2022_TBtus!$B$3:$B$53&amp;Com_AllFuels_SEDS_2022_TBtus!$A$3:$A$53,0))),0,(index(Com_AllFuels_SEDS_2022_TBtus!$T$3:$T$53,match($B64&amp;AF$2,Com_AllFuels_SEDS_2022_TBtus!$B$3:$B$53&amp;Com_AllFuels_SEDS_2022_TBtus!$A$3:$A$53,0))))</f>
        <v>0</v>
      </c>
      <c r="AG77" s="75">
        <f t="array" ref="AG77">IF(ISERROR(index(Com_AllFuels_SEDS_2022_TBtus!$T$3:$T$53,match($B64&amp;AG$2,Com_AllFuels_SEDS_2022_TBtus!$B$3:$B$53&amp;Com_AllFuels_SEDS_2022_TBtus!$A$3:$A$53,0))),0,(index(Com_AllFuels_SEDS_2022_TBtus!$T$3:$T$53,match($B64&amp;AG$2,Com_AllFuels_SEDS_2022_TBtus!$B$3:$B$53&amp;Com_AllFuels_SEDS_2022_TBtus!$A$3:$A$53,0))))</f>
        <v>0</v>
      </c>
      <c r="AH77" s="75">
        <f t="array" ref="AH77">IF(ISERROR(index(Com_AllFuels_SEDS_2022_TBtus!$T$3:$T$53,match($B64&amp;AH$2,Com_AllFuels_SEDS_2022_TBtus!$B$3:$B$53&amp;Com_AllFuels_SEDS_2022_TBtus!$A$3:$A$53,0))),0,(index(Com_AllFuels_SEDS_2022_TBtus!$T$3:$T$53,match($B64&amp;AH$2,Com_AllFuels_SEDS_2022_TBtus!$B$3:$B$53&amp;Com_AllFuels_SEDS_2022_TBtus!$A$3:$A$53,0))))</f>
        <v>0</v>
      </c>
      <c r="AI77" s="75">
        <f t="array" ref="AI77">IF(ISERROR(index(Com_AllFuels_SEDS_2022_TBtus!$T$3:$T$53,match($B64&amp;AI$2,Com_AllFuels_SEDS_2022_TBtus!$B$3:$B$53&amp;Com_AllFuels_SEDS_2022_TBtus!$A$3:$A$53,0))),0,(index(Com_AllFuels_SEDS_2022_TBtus!$T$3:$T$53,match($B64&amp;AI$2,Com_AllFuels_SEDS_2022_TBtus!$B$3:$B$53&amp;Com_AllFuels_SEDS_2022_TBtus!$A$3:$A$53,0))))</f>
        <v>0</v>
      </c>
      <c r="AJ77" s="75">
        <f t="array" ref="AJ77">IF(ISERROR(index(Com_AllFuels_SEDS_2022_TBtus!$T$3:$T$53,match($B64&amp;AJ$2,Com_AllFuels_SEDS_2022_TBtus!$B$3:$B$53&amp;Com_AllFuels_SEDS_2022_TBtus!$A$3:$A$53,0))),0,(index(Com_AllFuels_SEDS_2022_TBtus!$T$3:$T$53,match($B64&amp;AJ$2,Com_AllFuels_SEDS_2022_TBtus!$B$3:$B$53&amp;Com_AllFuels_SEDS_2022_TBtus!$A$3:$A$53,0))))</f>
        <v>0</v>
      </c>
      <c r="AK77" s="75">
        <f t="array" ref="AK77">IF(ISERROR(index(Com_AllFuels_SEDS_2022_TBtus!$T$3:$T$53,match($B64&amp;AK$2,Com_AllFuels_SEDS_2022_TBtus!$B$3:$B$53&amp;Com_AllFuels_SEDS_2022_TBtus!$A$3:$A$53,0))),0,(index(Com_AllFuels_SEDS_2022_TBtus!$T$3:$T$53,match($B64&amp;AK$2,Com_AllFuels_SEDS_2022_TBtus!$B$3:$B$53&amp;Com_AllFuels_SEDS_2022_TBtus!$A$3:$A$53,0))))</f>
        <v>0</v>
      </c>
      <c r="AL77" s="75">
        <f t="array" ref="AL77">IF(ISERROR(index(Com_AllFuels_SEDS_2022_TBtus!$T$3:$T$53,match($B64&amp;AL$2,Com_AllFuels_SEDS_2022_TBtus!$B$3:$B$53&amp;Com_AllFuels_SEDS_2022_TBtus!$A$3:$A$53,0))),0,(index(Com_AllFuels_SEDS_2022_TBtus!$T$3:$T$53,match($B64&amp;AL$2,Com_AllFuels_SEDS_2022_TBtus!$B$3:$B$53&amp;Com_AllFuels_SEDS_2022_TBtus!$A$3:$A$53,0))))</f>
        <v>0</v>
      </c>
      <c r="AM77" s="75">
        <f t="array" ref="AM77">IF(ISERROR(index(Com_AllFuels_SEDS_2022_TBtus!$T$3:$T$53,match($B64&amp;AM$2,Com_AllFuels_SEDS_2022_TBtus!$B$3:$B$53&amp;Com_AllFuels_SEDS_2022_TBtus!$A$3:$A$53,0))),0,(index(Com_AllFuels_SEDS_2022_TBtus!$T$3:$T$53,match($B64&amp;AM$2,Com_AllFuels_SEDS_2022_TBtus!$B$3:$B$53&amp;Com_AllFuels_SEDS_2022_TBtus!$A$3:$A$53,0))))</f>
        <v>0</v>
      </c>
      <c r="AN77" s="75">
        <f t="array" ref="AN77">IF(ISERROR(index(Com_AllFuels_SEDS_2022_TBtus!$T$3:$T$53,match($B64&amp;AN$2,Com_AllFuels_SEDS_2022_TBtus!$B$3:$B$53&amp;Com_AllFuels_SEDS_2022_TBtus!$A$3:$A$53,0))),0,(index(Com_AllFuels_SEDS_2022_TBtus!$T$3:$T$53,match($B64&amp;AN$2,Com_AllFuels_SEDS_2022_TBtus!$B$3:$B$53&amp;Com_AllFuels_SEDS_2022_TBtus!$A$3:$A$53,0))))</f>
        <v>9</v>
      </c>
      <c r="AO77" s="75">
        <f t="array" ref="AO77">IF(ISERROR(index(Com_AllFuels_SEDS_2022_TBtus!$T$3:$T$53,match($B64&amp;AO$2,Com_AllFuels_SEDS_2022_TBtus!$B$3:$B$53&amp;Com_AllFuels_SEDS_2022_TBtus!$A$3:$A$53,0))),0,(index(Com_AllFuels_SEDS_2022_TBtus!$T$3:$T$53,match($B64&amp;AO$2,Com_AllFuels_SEDS_2022_TBtus!$B$3:$B$53&amp;Com_AllFuels_SEDS_2022_TBtus!$A$3:$A$53,0))))</f>
        <v>0</v>
      </c>
      <c r="AP77" s="75">
        <f t="array" ref="AP77">IF(ISERROR(index(Com_AllFuels_SEDS_2022_TBtus!$T$3:$T$53,match($B64&amp;AP$2,Com_AllFuels_SEDS_2022_TBtus!$B$3:$B$53&amp;Com_AllFuels_SEDS_2022_TBtus!$A$3:$A$53,0))),0,(index(Com_AllFuels_SEDS_2022_TBtus!$T$3:$T$53,match($B64&amp;AP$2,Com_AllFuels_SEDS_2022_TBtus!$B$3:$B$53&amp;Com_AllFuels_SEDS_2022_TBtus!$A$3:$A$53,0))))</f>
        <v>0</v>
      </c>
      <c r="AQ77" s="75">
        <f t="array" ref="AQ77">IF(ISERROR(index(Com_AllFuels_SEDS_2022_TBtus!$T$3:$T$53,match($B64&amp;AQ$2,Com_AllFuels_SEDS_2022_TBtus!$B$3:$B$53&amp;Com_AllFuels_SEDS_2022_TBtus!$A$3:$A$53,0))),0,(index(Com_AllFuels_SEDS_2022_TBtus!$T$3:$T$53,match($B64&amp;AQ$2,Com_AllFuels_SEDS_2022_TBtus!$B$3:$B$53&amp;Com_AllFuels_SEDS_2022_TBtus!$A$3:$A$53,0))))</f>
        <v>0</v>
      </c>
      <c r="AR77" s="75">
        <f t="array" ref="AR77">IF(ISERROR(index(Com_AllFuels_SEDS_2022_TBtus!$T$3:$T$53,match($B64&amp;AR$2,Com_AllFuels_SEDS_2022_TBtus!$B$3:$B$53&amp;Com_AllFuels_SEDS_2022_TBtus!$A$3:$A$53,0))),0,(index(Com_AllFuels_SEDS_2022_TBtus!$T$3:$T$53,match($B64&amp;AR$2,Com_AllFuels_SEDS_2022_TBtus!$B$3:$B$53&amp;Com_AllFuels_SEDS_2022_TBtus!$A$3:$A$53,0))))</f>
        <v>0</v>
      </c>
      <c r="AS77" s="75">
        <f t="array" ref="AS77">IF(ISERROR(index(Com_AllFuels_SEDS_2022_TBtus!$T$3:$T$53,match($B64&amp;AS$2,Com_AllFuels_SEDS_2022_TBtus!$B$3:$B$53&amp;Com_AllFuels_SEDS_2022_TBtus!$A$3:$A$53,0))),0,(index(Com_AllFuels_SEDS_2022_TBtus!$T$3:$T$53,match($B64&amp;AS$2,Com_AllFuels_SEDS_2022_TBtus!$B$3:$B$53&amp;Com_AllFuels_SEDS_2022_TBtus!$A$3:$A$53,0))))</f>
        <v>0</v>
      </c>
      <c r="AT77" s="75">
        <f t="array" ref="AT77">IF(ISERROR(index(Com_AllFuels_SEDS_2022_TBtus!$T$3:$T$53,match($B64&amp;AT$2,Com_AllFuels_SEDS_2022_TBtus!$B$3:$B$53&amp;Com_AllFuels_SEDS_2022_TBtus!$A$3:$A$53,0))),0,(index(Com_AllFuels_SEDS_2022_TBtus!$T$3:$T$53,match($B64&amp;AT$2,Com_AllFuels_SEDS_2022_TBtus!$B$3:$B$53&amp;Com_AllFuels_SEDS_2022_TBtus!$A$3:$A$53,0))))</f>
        <v>0</v>
      </c>
      <c r="AU77" s="75">
        <f t="array" ref="AU77">IF(ISERROR(index(Com_AllFuels_SEDS_2022_TBtus!$T$3:$T$53,match($B64&amp;AU$2,Com_AllFuels_SEDS_2022_TBtus!$B$3:$B$53&amp;Com_AllFuels_SEDS_2022_TBtus!$A$3:$A$53,0))),0,(index(Com_AllFuels_SEDS_2022_TBtus!$T$3:$T$53,match($B64&amp;AU$2,Com_AllFuels_SEDS_2022_TBtus!$B$3:$B$53&amp;Com_AllFuels_SEDS_2022_TBtus!$A$3:$A$53,0))))</f>
        <v>0</v>
      </c>
      <c r="AV77" s="75">
        <f t="array" ref="AV77">IF(ISERROR(index(Com_AllFuels_SEDS_2022_TBtus!$T$3:$T$53,match($B64&amp;AV$2,Com_AllFuels_SEDS_2022_TBtus!$B$3:$B$53&amp;Com_AllFuels_SEDS_2022_TBtus!$A$3:$A$53,0))),0,(index(Com_AllFuels_SEDS_2022_TBtus!$T$3:$T$53,match($B64&amp;AV$2,Com_AllFuels_SEDS_2022_TBtus!$B$3:$B$53&amp;Com_AllFuels_SEDS_2022_TBtus!$A$3:$A$53,0))))</f>
        <v>0</v>
      </c>
      <c r="AW77" s="75">
        <f t="array" ref="AW77">IF(ISERROR(index(Com_AllFuels_SEDS_2022_TBtus!$T$3:$T$53,match($B64&amp;AW$2,Com_AllFuels_SEDS_2022_TBtus!$B$3:$B$53&amp;Com_AllFuels_SEDS_2022_TBtus!$A$3:$A$53,0))),0,(index(Com_AllFuels_SEDS_2022_TBtus!$T$3:$T$53,match($B64&amp;AW$2,Com_AllFuels_SEDS_2022_TBtus!$B$3:$B$53&amp;Com_AllFuels_SEDS_2022_TBtus!$A$3:$A$53,0))))</f>
        <v>0</v>
      </c>
      <c r="AX77" s="75">
        <f t="array" ref="AX77">IF(ISERROR(index(Com_AllFuels_SEDS_2022_TBtus!$T$3:$T$53,match($B64&amp;AX$2,Com_AllFuels_SEDS_2022_TBtus!$B$3:$B$53&amp;Com_AllFuels_SEDS_2022_TBtus!$A$3:$A$53,0))),0,(index(Com_AllFuels_SEDS_2022_TBtus!$T$3:$T$53,match($B64&amp;AX$2,Com_AllFuels_SEDS_2022_TBtus!$B$3:$B$53&amp;Com_AllFuels_SEDS_2022_TBtus!$A$3:$A$53,0))))</f>
        <v>13.4</v>
      </c>
      <c r="AY77" s="75">
        <f t="array" ref="AY77">IF(ISERROR(index(Com_AllFuels_SEDS_2022_TBtus!$T$3:$T$53,match($B64&amp;AY$2,Com_AllFuels_SEDS_2022_TBtus!$B$3:$B$53&amp;Com_AllFuels_SEDS_2022_TBtus!$A$3:$A$53,0))),0,(index(Com_AllFuels_SEDS_2022_TBtus!$T$3:$T$53,match($B64&amp;AY$2,Com_AllFuels_SEDS_2022_TBtus!$B$3:$B$53&amp;Com_AllFuels_SEDS_2022_TBtus!$A$3:$A$53,0))))</f>
        <v>0</v>
      </c>
      <c r="AZ77" s="75">
        <f t="array" ref="AZ77">IF(ISERROR(index(Com_AllFuels_SEDS_2022_TBtus!$T$3:$T$53,match($B64&amp;AZ$2,Com_AllFuels_SEDS_2022_TBtus!$B$3:$B$53&amp;Com_AllFuels_SEDS_2022_TBtus!$A$3:$A$53,0))),0,(index(Com_AllFuels_SEDS_2022_TBtus!$T$3:$T$53,match($B64&amp;AZ$2,Com_AllFuels_SEDS_2022_TBtus!$B$3:$B$53&amp;Com_AllFuels_SEDS_2022_TBtus!$A$3:$A$53,0))))</f>
        <v>0</v>
      </c>
      <c r="BA77" s="75">
        <f t="array" ref="BA77">IF(ISERROR(index(Com_AllFuels_SEDS_2022_TBtus!$T$3:$T$53,match($B64&amp;BA$2,Com_AllFuels_SEDS_2022_TBtus!$B$3:$B$53&amp;Com_AllFuels_SEDS_2022_TBtus!$A$3:$A$53,0))),0,(index(Com_AllFuels_SEDS_2022_TBtus!$T$3:$T$53,match($B64&amp;BA$2,Com_AllFuels_SEDS_2022_TBtus!$B$3:$B$53&amp;Com_AllFuels_SEDS_2022_TBtus!$A$3:$A$53,0))))</f>
        <v>0</v>
      </c>
      <c r="BB77" s="74">
        <f t="shared" si="11"/>
        <v>98.2</v>
      </c>
    </row>
    <row r="78" ht="15.75" customHeight="1">
      <c r="A78" s="78"/>
      <c r="B78" s="78" t="s">
        <v>4207</v>
      </c>
      <c r="C78" s="74">
        <f t="shared" ref="C78:BA78" si="12">sum(C69:C77)</f>
        <v>11.9</v>
      </c>
      <c r="D78" s="74">
        <f t="shared" si="12"/>
        <v>1.8</v>
      </c>
      <c r="E78" s="74">
        <f t="shared" si="12"/>
        <v>13.2</v>
      </c>
      <c r="F78" s="74">
        <f t="shared" si="12"/>
        <v>4.5</v>
      </c>
      <c r="G78" s="74">
        <f t="shared" si="12"/>
        <v>69.1</v>
      </c>
      <c r="H78" s="74">
        <f t="shared" si="12"/>
        <v>12.4</v>
      </c>
      <c r="I78" s="74">
        <f t="shared" si="12"/>
        <v>7.8</v>
      </c>
      <c r="J78" s="74">
        <f t="shared" si="12"/>
        <v>2.2</v>
      </c>
      <c r="K78" s="74">
        <f t="shared" si="12"/>
        <v>0.4</v>
      </c>
      <c r="L78" s="74">
        <f t="shared" si="12"/>
        <v>39.1</v>
      </c>
      <c r="M78" s="74">
        <f t="shared" si="12"/>
        <v>18.1</v>
      </c>
      <c r="N78" s="74">
        <f t="shared" si="12"/>
        <v>4.9</v>
      </c>
      <c r="O78" s="74">
        <f t="shared" si="12"/>
        <v>3.6</v>
      </c>
      <c r="P78" s="74">
        <f t="shared" si="12"/>
        <v>21.8</v>
      </c>
      <c r="Q78" s="74">
        <f t="shared" si="12"/>
        <v>12.8</v>
      </c>
      <c r="R78" s="74">
        <f t="shared" si="12"/>
        <v>17.2</v>
      </c>
      <c r="S78" s="74">
        <f t="shared" si="12"/>
        <v>4.8</v>
      </c>
      <c r="T78" s="74">
        <f t="shared" si="12"/>
        <v>7.1</v>
      </c>
      <c r="U78" s="74">
        <f t="shared" si="12"/>
        <v>5.8</v>
      </c>
      <c r="V78" s="74">
        <f t="shared" si="12"/>
        <v>9.1</v>
      </c>
      <c r="W78" s="74">
        <f t="shared" si="12"/>
        <v>12.6</v>
      </c>
      <c r="X78" s="74">
        <f t="shared" si="12"/>
        <v>12.1</v>
      </c>
      <c r="Y78" s="74">
        <f t="shared" si="12"/>
        <v>18.1</v>
      </c>
      <c r="Z78" s="74">
        <f t="shared" si="12"/>
        <v>15.2</v>
      </c>
      <c r="AA78" s="74">
        <f t="shared" si="12"/>
        <v>4.9</v>
      </c>
      <c r="AB78" s="74">
        <f t="shared" si="12"/>
        <v>11.4</v>
      </c>
      <c r="AC78" s="74">
        <f t="shared" si="12"/>
        <v>3.4</v>
      </c>
      <c r="AD78" s="74">
        <f t="shared" si="12"/>
        <v>3.4</v>
      </c>
      <c r="AE78" s="74">
        <f t="shared" si="12"/>
        <v>6.5</v>
      </c>
      <c r="AF78" s="74">
        <f t="shared" si="12"/>
        <v>8.7</v>
      </c>
      <c r="AG78" s="74">
        <f t="shared" si="12"/>
        <v>13.9</v>
      </c>
      <c r="AH78" s="74">
        <f t="shared" si="12"/>
        <v>4.1</v>
      </c>
      <c r="AI78" s="74">
        <f t="shared" si="12"/>
        <v>30.9</v>
      </c>
      <c r="AJ78" s="74">
        <f t="shared" si="12"/>
        <v>41.2</v>
      </c>
      <c r="AK78" s="74">
        <f t="shared" si="12"/>
        <v>2.2</v>
      </c>
      <c r="AL78" s="74">
        <f t="shared" si="12"/>
        <v>23.3</v>
      </c>
      <c r="AM78" s="74">
        <f t="shared" si="12"/>
        <v>8</v>
      </c>
      <c r="AN78" s="74">
        <f t="shared" si="12"/>
        <v>9</v>
      </c>
      <c r="AO78" s="74">
        <f t="shared" si="12"/>
        <v>23.6</v>
      </c>
      <c r="AP78" s="74">
        <f t="shared" si="12"/>
        <v>1.8</v>
      </c>
      <c r="AQ78" s="74">
        <f t="shared" si="12"/>
        <v>10.4</v>
      </c>
      <c r="AR78" s="74">
        <f t="shared" si="12"/>
        <v>1.4</v>
      </c>
      <c r="AS78" s="74">
        <f t="shared" si="12"/>
        <v>9.7</v>
      </c>
      <c r="AT78" s="74">
        <f t="shared" si="12"/>
        <v>40.2</v>
      </c>
      <c r="AU78" s="74">
        <f t="shared" si="12"/>
        <v>5.9</v>
      </c>
      <c r="AV78" s="74">
        <f t="shared" si="12"/>
        <v>4.3</v>
      </c>
      <c r="AW78" s="74">
        <f t="shared" si="12"/>
        <v>20.2</v>
      </c>
      <c r="AX78" s="74">
        <f t="shared" si="12"/>
        <v>13.4</v>
      </c>
      <c r="AY78" s="74">
        <f t="shared" si="12"/>
        <v>3.1</v>
      </c>
      <c r="AZ78" s="74">
        <f t="shared" si="12"/>
        <v>11.7</v>
      </c>
      <c r="BA78" s="74">
        <f t="shared" si="12"/>
        <v>3.1</v>
      </c>
      <c r="BB78" s="74">
        <f t="shared" si="11"/>
        <v>645.3</v>
      </c>
    </row>
    <row r="79" ht="15.75" customHeight="1"/>
    <row r="80" ht="15.75" customHeight="1">
      <c r="A80" s="80" t="s">
        <v>4243</v>
      </c>
    </row>
    <row r="81" ht="15.75" customHeight="1">
      <c r="A81" s="77" t="s">
        <v>4229</v>
      </c>
      <c r="B81" s="78" t="s">
        <v>48</v>
      </c>
      <c r="C81" s="79" t="s">
        <v>101</v>
      </c>
      <c r="D81" s="79" t="s">
        <v>171</v>
      </c>
      <c r="E81" s="79" t="s">
        <v>201</v>
      </c>
      <c r="F81" s="79" t="s">
        <v>220</v>
      </c>
      <c r="G81" s="79" t="s">
        <v>279</v>
      </c>
      <c r="H81" s="79" t="s">
        <v>339</v>
      </c>
      <c r="I81" s="79" t="s">
        <v>395</v>
      </c>
      <c r="J81" s="79" t="s">
        <v>405</v>
      </c>
      <c r="K81" s="79" t="s">
        <v>408</v>
      </c>
      <c r="L81" s="79" t="s">
        <v>410</v>
      </c>
      <c r="M81" s="79" t="s">
        <v>461</v>
      </c>
      <c r="N81" s="79" t="s">
        <v>570</v>
      </c>
      <c r="O81" s="79" t="s">
        <v>576</v>
      </c>
      <c r="P81" s="79" t="s">
        <v>608</v>
      </c>
      <c r="Q81" s="79" t="s">
        <v>663</v>
      </c>
      <c r="R81" s="79" t="s">
        <v>705</v>
      </c>
      <c r="S81" s="79" t="s">
        <v>750</v>
      </c>
      <c r="T81" s="79" t="s">
        <v>818</v>
      </c>
      <c r="U81" s="79" t="s">
        <v>875</v>
      </c>
      <c r="V81" s="79" t="s">
        <v>923</v>
      </c>
      <c r="W81" s="79" t="s">
        <v>934</v>
      </c>
      <c r="X81" s="79" t="s">
        <v>952</v>
      </c>
      <c r="Y81" s="79" t="s">
        <v>963</v>
      </c>
      <c r="Z81" s="79" t="s">
        <v>1026</v>
      </c>
      <c r="AA81" s="79" t="s">
        <v>255</v>
      </c>
      <c r="AB81" s="79" t="s">
        <v>1121</v>
      </c>
      <c r="AC81" s="79" t="s">
        <v>1162</v>
      </c>
      <c r="AD81" s="79" t="s">
        <v>1198</v>
      </c>
      <c r="AE81" s="79" t="s">
        <v>256</v>
      </c>
      <c r="AF81" s="79" t="s">
        <v>1251</v>
      </c>
      <c r="AG81" s="79" t="s">
        <v>1259</v>
      </c>
      <c r="AH81" s="79" t="s">
        <v>1271</v>
      </c>
      <c r="AI81" s="79" t="s">
        <v>1296</v>
      </c>
      <c r="AJ81" s="79" t="s">
        <v>1326</v>
      </c>
      <c r="AK81" s="79" t="s">
        <v>1390</v>
      </c>
      <c r="AL81" s="79" t="s">
        <v>683</v>
      </c>
      <c r="AM81" s="79" t="s">
        <v>1457</v>
      </c>
      <c r="AN81" s="79" t="s">
        <v>1144</v>
      </c>
      <c r="AO81" s="79" t="s">
        <v>1514</v>
      </c>
      <c r="AP81" s="79" t="s">
        <v>1546</v>
      </c>
      <c r="AQ81" s="79" t="s">
        <v>1550</v>
      </c>
      <c r="AR81" s="79" t="s">
        <v>1578</v>
      </c>
      <c r="AS81" s="79" t="s">
        <v>1616</v>
      </c>
      <c r="AT81" s="79" t="s">
        <v>1159</v>
      </c>
      <c r="AU81" s="79" t="s">
        <v>1802</v>
      </c>
      <c r="AV81" s="79" t="s">
        <v>1819</v>
      </c>
      <c r="AW81" s="79" t="s">
        <v>1828</v>
      </c>
      <c r="AX81" s="79" t="s">
        <v>167</v>
      </c>
      <c r="AY81" s="79" t="s">
        <v>1924</v>
      </c>
      <c r="AZ81" s="79" t="s">
        <v>1942</v>
      </c>
      <c r="BA81" s="79" t="s">
        <v>1323</v>
      </c>
      <c r="BB81" s="78" t="s">
        <v>4207</v>
      </c>
    </row>
    <row r="82" ht="15.75" customHeight="1">
      <c r="A82" s="52" t="s">
        <v>4230</v>
      </c>
      <c r="B82" s="74">
        <v>1.0</v>
      </c>
      <c r="C82" s="75">
        <f t="array" ref="C82">IF(ISERROR(index(Res_AllFuels_SEDS_2022_TBtus!$M$3:$M$53,match($B82&amp;C$2,Res_AllFuels_SEDS_2022_TBtus!$B$3:$B$53&amp;Res_AllFuels_SEDS_2022_TBtus!$A$3:$A$53,0))),0,(index(Res_AllFuels_SEDS_2022_TBtus!$M$3:$M$53,match($B82&amp;C$2,Res_AllFuels_SEDS_2022_TBtus!$B$3:$B$53&amp;Res_AllFuels_SEDS_2022_TBtus!$A$3:$A$53,0))))</f>
        <v>0</v>
      </c>
      <c r="D82" s="75">
        <f t="array" ref="D82">IF(ISERROR(index(Res_AllFuels_SEDS_2022_TBtus!$M$3:$M$53,match($B82&amp;D$2,Res_AllFuels_SEDS_2022_TBtus!$B$3:$B$53&amp;Res_AllFuels_SEDS_2022_TBtus!$A$3:$A$53,0))),0,(index(Res_AllFuels_SEDS_2022_TBtus!$M$3:$M$53,match($B82&amp;D$2,Res_AllFuels_SEDS_2022_TBtus!$B$3:$B$53&amp;Res_AllFuels_SEDS_2022_TBtus!$A$3:$A$53,0))))</f>
        <v>0</v>
      </c>
      <c r="E82" s="75">
        <f t="array" ref="E82">IF(ISERROR(index(Res_AllFuels_SEDS_2022_TBtus!$M$3:$M$53,match($B82&amp;E$2,Res_AllFuels_SEDS_2022_TBtus!$B$3:$B$53&amp;Res_AllFuels_SEDS_2022_TBtus!$A$3:$A$53,0))),0,(index(Res_AllFuels_SEDS_2022_TBtus!$M$3:$M$53,match($B82&amp;E$2,Res_AllFuels_SEDS_2022_TBtus!$B$3:$B$53&amp;Res_AllFuels_SEDS_2022_TBtus!$A$3:$A$53,0))))</f>
        <v>0</v>
      </c>
      <c r="F82" s="75">
        <f t="array" ref="F82">IF(ISERROR(index(Res_AllFuels_SEDS_2022_TBtus!$M$3:$M$53,match($B82&amp;F$2,Res_AllFuels_SEDS_2022_TBtus!$B$3:$B$53&amp;Res_AllFuels_SEDS_2022_TBtus!$A$3:$A$53,0))),0,(index(Res_AllFuels_SEDS_2022_TBtus!$M$3:$M$53,match($B82&amp;F$2,Res_AllFuels_SEDS_2022_TBtus!$B$3:$B$53&amp;Res_AllFuels_SEDS_2022_TBtus!$A$3:$A$53,0))))</f>
        <v>0</v>
      </c>
      <c r="G82" s="75">
        <f t="array" ref="G82">IF(ISERROR(index(Res_AllFuels_SEDS_2022_TBtus!$M$3:$M$53,match($B82&amp;G$2,Res_AllFuels_SEDS_2022_TBtus!$B$3:$B$53&amp;Res_AllFuels_SEDS_2022_TBtus!$A$3:$A$53,0))),0,(index(Res_AllFuels_SEDS_2022_TBtus!$M$3:$M$53,match($B82&amp;G$2,Res_AllFuels_SEDS_2022_TBtus!$B$3:$B$53&amp;Res_AllFuels_SEDS_2022_TBtus!$A$3:$A$53,0))))</f>
        <v>0</v>
      </c>
      <c r="H82" s="75">
        <f t="array" ref="H82">IF(ISERROR(index(Res_AllFuels_SEDS_2022_TBtus!$M$3:$M$53,match($B82&amp;H$2,Res_AllFuels_SEDS_2022_TBtus!$B$3:$B$53&amp;Res_AllFuels_SEDS_2022_TBtus!$A$3:$A$53,0))),0,(index(Res_AllFuels_SEDS_2022_TBtus!$M$3:$M$53,match($B82&amp;H$2,Res_AllFuels_SEDS_2022_TBtus!$B$3:$B$53&amp;Res_AllFuels_SEDS_2022_TBtus!$A$3:$A$53,0))))</f>
        <v>0</v>
      </c>
      <c r="I82" s="75">
        <f t="array" ref="I82">IF(ISERROR(index(Res_AllFuels_SEDS_2022_TBtus!$M$3:$M$53,match($B82&amp;I$2,Res_AllFuels_SEDS_2022_TBtus!$B$3:$B$53&amp;Res_AllFuels_SEDS_2022_TBtus!$A$3:$A$53,0))),0,(index(Res_AllFuels_SEDS_2022_TBtus!$M$3:$M$53,match($B82&amp;I$2,Res_AllFuels_SEDS_2022_TBtus!$B$3:$B$53&amp;Res_AllFuels_SEDS_2022_TBtus!$A$3:$A$53,0))))</f>
        <v>164.9</v>
      </c>
      <c r="J82" s="75">
        <f t="array" ref="J82">IF(ISERROR(index(Res_AllFuels_SEDS_2022_TBtus!$M$3:$M$53,match($B82&amp;J$2,Res_AllFuels_SEDS_2022_TBtus!$B$3:$B$53&amp;Res_AllFuels_SEDS_2022_TBtus!$A$3:$A$53,0))),0,(index(Res_AllFuels_SEDS_2022_TBtus!$M$3:$M$53,match($B82&amp;J$2,Res_AllFuels_SEDS_2022_TBtus!$B$3:$B$53&amp;Res_AllFuels_SEDS_2022_TBtus!$A$3:$A$53,0))))</f>
        <v>0</v>
      </c>
      <c r="K82" s="75">
        <f t="array" ref="K82">IF(ISERROR(index(Res_AllFuels_SEDS_2022_TBtus!$M$3:$M$53,match($B82&amp;K$2,Res_AllFuels_SEDS_2022_TBtus!$B$3:$B$53&amp;Res_AllFuels_SEDS_2022_TBtus!$A$3:$A$53,0))),0,(index(Res_AllFuels_SEDS_2022_TBtus!$M$3:$M$53,match($B82&amp;K$2,Res_AllFuels_SEDS_2022_TBtus!$B$3:$B$53&amp;Res_AllFuels_SEDS_2022_TBtus!$A$3:$A$53,0))))</f>
        <v>0</v>
      </c>
      <c r="L82" s="75">
        <f t="array" ref="L82">IF(ISERROR(index(Res_AllFuels_SEDS_2022_TBtus!$M$3:$M$53,match($B82&amp;L$2,Res_AllFuels_SEDS_2022_TBtus!$B$3:$B$53&amp;Res_AllFuels_SEDS_2022_TBtus!$A$3:$A$53,0))),0,(index(Res_AllFuels_SEDS_2022_TBtus!$M$3:$M$53,match($B82&amp;L$2,Res_AllFuels_SEDS_2022_TBtus!$B$3:$B$53&amp;Res_AllFuels_SEDS_2022_TBtus!$A$3:$A$53,0))))</f>
        <v>0</v>
      </c>
      <c r="M82" s="75">
        <f t="array" ref="M82">IF(ISERROR(index(Res_AllFuels_SEDS_2022_TBtus!$M$3:$M$53,match($B82&amp;M$2,Res_AllFuels_SEDS_2022_TBtus!$B$3:$B$53&amp;Res_AllFuels_SEDS_2022_TBtus!$A$3:$A$53,0))),0,(index(Res_AllFuels_SEDS_2022_TBtus!$M$3:$M$53,match($B82&amp;M$2,Res_AllFuels_SEDS_2022_TBtus!$B$3:$B$53&amp;Res_AllFuels_SEDS_2022_TBtus!$A$3:$A$53,0))))</f>
        <v>0</v>
      </c>
      <c r="N82" s="75">
        <f t="array" ref="N82">IF(ISERROR(index(Res_AllFuels_SEDS_2022_TBtus!$M$3:$M$53,match($B82&amp;N$2,Res_AllFuels_SEDS_2022_TBtus!$B$3:$B$53&amp;Res_AllFuels_SEDS_2022_TBtus!$A$3:$A$53,0))),0,(index(Res_AllFuels_SEDS_2022_TBtus!$M$3:$M$53,match($B82&amp;N$2,Res_AllFuels_SEDS_2022_TBtus!$B$3:$B$53&amp;Res_AllFuels_SEDS_2022_TBtus!$A$3:$A$53,0))))</f>
        <v>0</v>
      </c>
      <c r="O82" s="75">
        <f t="array" ref="O82">IF(ISERROR(index(Res_AllFuels_SEDS_2022_TBtus!$M$3:$M$53,match($B82&amp;O$2,Res_AllFuels_SEDS_2022_TBtus!$B$3:$B$53&amp;Res_AllFuels_SEDS_2022_TBtus!$A$3:$A$53,0))),0,(index(Res_AllFuels_SEDS_2022_TBtus!$M$3:$M$53,match($B82&amp;O$2,Res_AllFuels_SEDS_2022_TBtus!$B$3:$B$53&amp;Res_AllFuels_SEDS_2022_TBtus!$A$3:$A$53,0))))</f>
        <v>0</v>
      </c>
      <c r="P82" s="75">
        <f t="array" ref="P82">IF(ISERROR(index(Res_AllFuels_SEDS_2022_TBtus!$M$3:$M$53,match($B82&amp;P$2,Res_AllFuels_SEDS_2022_TBtus!$B$3:$B$53&amp;Res_AllFuels_SEDS_2022_TBtus!$A$3:$A$53,0))),0,(index(Res_AllFuels_SEDS_2022_TBtus!$M$3:$M$53,match($B82&amp;P$2,Res_AllFuels_SEDS_2022_TBtus!$B$3:$B$53&amp;Res_AllFuels_SEDS_2022_TBtus!$A$3:$A$53,0))))</f>
        <v>0</v>
      </c>
      <c r="Q82" s="75">
        <f t="array" ref="Q82">IF(ISERROR(index(Res_AllFuels_SEDS_2022_TBtus!$M$3:$M$53,match($B82&amp;Q$2,Res_AllFuels_SEDS_2022_TBtus!$B$3:$B$53&amp;Res_AllFuels_SEDS_2022_TBtus!$A$3:$A$53,0))),0,(index(Res_AllFuels_SEDS_2022_TBtus!$M$3:$M$53,match($B82&amp;Q$2,Res_AllFuels_SEDS_2022_TBtus!$B$3:$B$53&amp;Res_AllFuels_SEDS_2022_TBtus!$A$3:$A$53,0))))</f>
        <v>0</v>
      </c>
      <c r="R82" s="75">
        <f t="array" ref="R82">IF(ISERROR(index(Res_AllFuels_SEDS_2022_TBtus!$M$3:$M$53,match($B82&amp;R$2,Res_AllFuels_SEDS_2022_TBtus!$B$3:$B$53&amp;Res_AllFuels_SEDS_2022_TBtus!$A$3:$A$53,0))),0,(index(Res_AllFuels_SEDS_2022_TBtus!$M$3:$M$53,match($B82&amp;R$2,Res_AllFuels_SEDS_2022_TBtus!$B$3:$B$53&amp;Res_AllFuels_SEDS_2022_TBtus!$A$3:$A$53,0))))</f>
        <v>0</v>
      </c>
      <c r="S82" s="75">
        <f t="array" ref="S82">IF(ISERROR(index(Res_AllFuels_SEDS_2022_TBtus!$M$3:$M$53,match($B82&amp;S$2,Res_AllFuels_SEDS_2022_TBtus!$B$3:$B$53&amp;Res_AllFuels_SEDS_2022_TBtus!$A$3:$A$53,0))),0,(index(Res_AllFuels_SEDS_2022_TBtus!$M$3:$M$53,match($B82&amp;S$2,Res_AllFuels_SEDS_2022_TBtus!$B$3:$B$53&amp;Res_AllFuels_SEDS_2022_TBtus!$A$3:$A$53,0))))</f>
        <v>0</v>
      </c>
      <c r="T82" s="75">
        <f t="array" ref="T82">IF(ISERROR(index(Res_AllFuels_SEDS_2022_TBtus!$M$3:$M$53,match($B82&amp;T$2,Res_AllFuels_SEDS_2022_TBtus!$B$3:$B$53&amp;Res_AllFuels_SEDS_2022_TBtus!$A$3:$A$53,0))),0,(index(Res_AllFuels_SEDS_2022_TBtus!$M$3:$M$53,match($B82&amp;T$2,Res_AllFuels_SEDS_2022_TBtus!$B$3:$B$53&amp;Res_AllFuels_SEDS_2022_TBtus!$A$3:$A$53,0))))</f>
        <v>0</v>
      </c>
      <c r="U82" s="75">
        <f t="array" ref="U82">IF(ISERROR(index(Res_AllFuels_SEDS_2022_TBtus!$M$3:$M$53,match($B82&amp;U$2,Res_AllFuels_SEDS_2022_TBtus!$B$3:$B$53&amp;Res_AllFuels_SEDS_2022_TBtus!$A$3:$A$53,0))),0,(index(Res_AllFuels_SEDS_2022_TBtus!$M$3:$M$53,match($B82&amp;U$2,Res_AllFuels_SEDS_2022_TBtus!$B$3:$B$53&amp;Res_AllFuels_SEDS_2022_TBtus!$A$3:$A$53,0))))</f>
        <v>0</v>
      </c>
      <c r="V82" s="75">
        <f t="array" ref="V82">IF(ISERROR(index(Res_AllFuels_SEDS_2022_TBtus!$M$3:$M$53,match($B82&amp;V$2,Res_AllFuels_SEDS_2022_TBtus!$B$3:$B$53&amp;Res_AllFuels_SEDS_2022_TBtus!$A$3:$A$53,0))),0,(index(Res_AllFuels_SEDS_2022_TBtus!$M$3:$M$53,match($B82&amp;V$2,Res_AllFuels_SEDS_2022_TBtus!$B$3:$B$53&amp;Res_AllFuels_SEDS_2022_TBtus!$A$3:$A$53,0))))</f>
        <v>72.7</v>
      </c>
      <c r="W82" s="75">
        <f t="array" ref="W82">IF(ISERROR(index(Res_AllFuels_SEDS_2022_TBtus!$M$3:$M$53,match($B82&amp;W$2,Res_AllFuels_SEDS_2022_TBtus!$B$3:$B$53&amp;Res_AllFuels_SEDS_2022_TBtus!$A$3:$A$53,0))),0,(index(Res_AllFuels_SEDS_2022_TBtus!$M$3:$M$53,match($B82&amp;W$2,Res_AllFuels_SEDS_2022_TBtus!$B$3:$B$53&amp;Res_AllFuels_SEDS_2022_TBtus!$A$3:$A$53,0))))</f>
        <v>0</v>
      </c>
      <c r="X82" s="75">
        <f t="array" ref="X82">IF(ISERROR(index(Res_AllFuels_SEDS_2022_TBtus!$M$3:$M$53,match($B82&amp;X$2,Res_AllFuels_SEDS_2022_TBtus!$B$3:$B$53&amp;Res_AllFuels_SEDS_2022_TBtus!$A$3:$A$53,0))),0,(index(Res_AllFuels_SEDS_2022_TBtus!$M$3:$M$53,match($B82&amp;X$2,Res_AllFuels_SEDS_2022_TBtus!$B$3:$B$53&amp;Res_AllFuels_SEDS_2022_TBtus!$A$3:$A$53,0))))</f>
        <v>295.3</v>
      </c>
      <c r="Y82" s="75">
        <f t="array" ref="Y82">IF(ISERROR(index(Res_AllFuels_SEDS_2022_TBtus!$M$3:$M$53,match($B82&amp;Y$2,Res_AllFuels_SEDS_2022_TBtus!$B$3:$B$53&amp;Res_AllFuels_SEDS_2022_TBtus!$A$3:$A$53,0))),0,(index(Res_AllFuels_SEDS_2022_TBtus!$M$3:$M$53,match($B82&amp;Y$2,Res_AllFuels_SEDS_2022_TBtus!$B$3:$B$53&amp;Res_AllFuels_SEDS_2022_TBtus!$A$3:$A$53,0))))</f>
        <v>0</v>
      </c>
      <c r="Z82" s="75">
        <f t="array" ref="Z82">IF(ISERROR(index(Res_AllFuels_SEDS_2022_TBtus!$M$3:$M$53,match($B82&amp;Z$2,Res_AllFuels_SEDS_2022_TBtus!$B$3:$B$53&amp;Res_AllFuels_SEDS_2022_TBtus!$A$3:$A$53,0))),0,(index(Res_AllFuels_SEDS_2022_TBtus!$M$3:$M$53,match($B82&amp;Z$2,Res_AllFuels_SEDS_2022_TBtus!$B$3:$B$53&amp;Res_AllFuels_SEDS_2022_TBtus!$A$3:$A$53,0))))</f>
        <v>0</v>
      </c>
      <c r="AA82" s="75">
        <f t="array" ref="AA82">IF(ISERROR(index(Res_AllFuels_SEDS_2022_TBtus!$M$3:$M$53,match($B82&amp;AA$2,Res_AllFuels_SEDS_2022_TBtus!$B$3:$B$53&amp;Res_AllFuels_SEDS_2022_TBtus!$A$3:$A$53,0))),0,(index(Res_AllFuels_SEDS_2022_TBtus!$M$3:$M$53,match($B82&amp;AA$2,Res_AllFuels_SEDS_2022_TBtus!$B$3:$B$53&amp;Res_AllFuels_SEDS_2022_TBtus!$A$3:$A$53,0))))</f>
        <v>0</v>
      </c>
      <c r="AB82" s="75">
        <f t="array" ref="AB82">IF(ISERROR(index(Res_AllFuels_SEDS_2022_TBtus!$M$3:$M$53,match($B82&amp;AB$2,Res_AllFuels_SEDS_2022_TBtus!$B$3:$B$53&amp;Res_AllFuels_SEDS_2022_TBtus!$A$3:$A$53,0))),0,(index(Res_AllFuels_SEDS_2022_TBtus!$M$3:$M$53,match($B82&amp;AB$2,Res_AllFuels_SEDS_2022_TBtus!$B$3:$B$53&amp;Res_AllFuels_SEDS_2022_TBtus!$A$3:$A$53,0))))</f>
        <v>0</v>
      </c>
      <c r="AC82" s="75">
        <f t="array" ref="AC82">IF(ISERROR(index(Res_AllFuels_SEDS_2022_TBtus!$M$3:$M$53,match($B82&amp;AC$2,Res_AllFuels_SEDS_2022_TBtus!$B$3:$B$53&amp;Res_AllFuels_SEDS_2022_TBtus!$A$3:$A$53,0))),0,(index(Res_AllFuels_SEDS_2022_TBtus!$M$3:$M$53,match($B82&amp;AC$2,Res_AllFuels_SEDS_2022_TBtus!$B$3:$B$53&amp;Res_AllFuels_SEDS_2022_TBtus!$A$3:$A$53,0))))</f>
        <v>0</v>
      </c>
      <c r="AD82" s="75">
        <f t="array" ref="AD82">IF(ISERROR(index(Res_AllFuels_SEDS_2022_TBtus!$M$3:$M$53,match($B82&amp;AD$2,Res_AllFuels_SEDS_2022_TBtus!$B$3:$B$53&amp;Res_AllFuels_SEDS_2022_TBtus!$A$3:$A$53,0))),0,(index(Res_AllFuels_SEDS_2022_TBtus!$M$3:$M$53,match($B82&amp;AD$2,Res_AllFuels_SEDS_2022_TBtus!$B$3:$B$53&amp;Res_AllFuels_SEDS_2022_TBtus!$A$3:$A$53,0))))</f>
        <v>0</v>
      </c>
      <c r="AE82" s="75">
        <f t="array" ref="AE82">IF(ISERROR(index(Res_AllFuels_SEDS_2022_TBtus!$M$3:$M$53,match($B82&amp;AE$2,Res_AllFuels_SEDS_2022_TBtus!$B$3:$B$53&amp;Res_AllFuels_SEDS_2022_TBtus!$A$3:$A$53,0))),0,(index(Res_AllFuels_SEDS_2022_TBtus!$M$3:$M$53,match($B82&amp;AE$2,Res_AllFuels_SEDS_2022_TBtus!$B$3:$B$53&amp;Res_AllFuels_SEDS_2022_TBtus!$A$3:$A$53,0))))</f>
        <v>0</v>
      </c>
      <c r="AF82" s="75">
        <f t="array" ref="AF82">IF(ISERROR(index(Res_AllFuels_SEDS_2022_TBtus!$M$3:$M$53,match($B82&amp;AF$2,Res_AllFuels_SEDS_2022_TBtus!$B$3:$B$53&amp;Res_AllFuels_SEDS_2022_TBtus!$A$3:$A$53,0))),0,(index(Res_AllFuels_SEDS_2022_TBtus!$M$3:$M$53,match($B82&amp;AF$2,Res_AllFuels_SEDS_2022_TBtus!$B$3:$B$53&amp;Res_AllFuels_SEDS_2022_TBtus!$A$3:$A$53,0))))</f>
        <v>64.8</v>
      </c>
      <c r="AG82" s="75">
        <f t="array" ref="AG82">IF(ISERROR(index(Res_AllFuels_SEDS_2022_TBtus!$M$3:$M$53,match($B82&amp;AG$2,Res_AllFuels_SEDS_2022_TBtus!$B$3:$B$53&amp;Res_AllFuels_SEDS_2022_TBtus!$A$3:$A$53,0))),0,(index(Res_AllFuels_SEDS_2022_TBtus!$M$3:$M$53,match($B82&amp;AG$2,Res_AllFuels_SEDS_2022_TBtus!$B$3:$B$53&amp;Res_AllFuels_SEDS_2022_TBtus!$A$3:$A$53,0))))</f>
        <v>0</v>
      </c>
      <c r="AH82" s="75">
        <f t="array" ref="AH82">IF(ISERROR(index(Res_AllFuels_SEDS_2022_TBtus!$M$3:$M$53,match($B82&amp;AH$2,Res_AllFuels_SEDS_2022_TBtus!$B$3:$B$53&amp;Res_AllFuels_SEDS_2022_TBtus!$A$3:$A$53,0))),0,(index(Res_AllFuels_SEDS_2022_TBtus!$M$3:$M$53,match($B82&amp;AH$2,Res_AllFuels_SEDS_2022_TBtus!$B$3:$B$53&amp;Res_AllFuels_SEDS_2022_TBtus!$A$3:$A$53,0))))</f>
        <v>0</v>
      </c>
      <c r="AI82" s="75">
        <f t="array" ref="AI82">IF(ISERROR(index(Res_AllFuels_SEDS_2022_TBtus!$M$3:$M$53,match($B82&amp;AI$2,Res_AllFuels_SEDS_2022_TBtus!$B$3:$B$53&amp;Res_AllFuels_SEDS_2022_TBtus!$A$3:$A$53,0))),0,(index(Res_AllFuels_SEDS_2022_TBtus!$M$3:$M$53,match($B82&amp;AI$2,Res_AllFuels_SEDS_2022_TBtus!$B$3:$B$53&amp;Res_AllFuels_SEDS_2022_TBtus!$A$3:$A$53,0))))</f>
        <v>0</v>
      </c>
      <c r="AJ82" s="75">
        <f t="array" ref="AJ82">IF(ISERROR(index(Res_AllFuels_SEDS_2022_TBtus!$M$3:$M$53,match($B82&amp;AJ$2,Res_AllFuels_SEDS_2022_TBtus!$B$3:$B$53&amp;Res_AllFuels_SEDS_2022_TBtus!$A$3:$A$53,0))),0,(index(Res_AllFuels_SEDS_2022_TBtus!$M$3:$M$53,match($B82&amp;AJ$2,Res_AllFuels_SEDS_2022_TBtus!$B$3:$B$53&amp;Res_AllFuels_SEDS_2022_TBtus!$A$3:$A$53,0))))</f>
        <v>0</v>
      </c>
      <c r="AK82" s="75">
        <f t="array" ref="AK82">IF(ISERROR(index(Res_AllFuels_SEDS_2022_TBtus!$M$3:$M$53,match($B82&amp;AK$2,Res_AllFuels_SEDS_2022_TBtus!$B$3:$B$53&amp;Res_AllFuels_SEDS_2022_TBtus!$A$3:$A$53,0))),0,(index(Res_AllFuels_SEDS_2022_TBtus!$M$3:$M$53,match($B82&amp;AK$2,Res_AllFuels_SEDS_2022_TBtus!$B$3:$B$53&amp;Res_AllFuels_SEDS_2022_TBtus!$A$3:$A$53,0))))</f>
        <v>0</v>
      </c>
      <c r="AL82" s="75">
        <f t="array" ref="AL82">IF(ISERROR(index(Res_AllFuels_SEDS_2022_TBtus!$M$3:$M$53,match($B82&amp;AL$2,Res_AllFuels_SEDS_2022_TBtus!$B$3:$B$53&amp;Res_AllFuels_SEDS_2022_TBtus!$A$3:$A$53,0))),0,(index(Res_AllFuels_SEDS_2022_TBtus!$M$3:$M$53,match($B82&amp;AL$2,Res_AllFuels_SEDS_2022_TBtus!$B$3:$B$53&amp;Res_AllFuels_SEDS_2022_TBtus!$A$3:$A$53,0))))</f>
        <v>0</v>
      </c>
      <c r="AM82" s="75">
        <f t="array" ref="AM82">IF(ISERROR(index(Res_AllFuels_SEDS_2022_TBtus!$M$3:$M$53,match($B82&amp;AM$2,Res_AllFuels_SEDS_2022_TBtus!$B$3:$B$53&amp;Res_AllFuels_SEDS_2022_TBtus!$A$3:$A$53,0))),0,(index(Res_AllFuels_SEDS_2022_TBtus!$M$3:$M$53,match($B82&amp;AM$2,Res_AllFuels_SEDS_2022_TBtus!$B$3:$B$53&amp;Res_AllFuels_SEDS_2022_TBtus!$A$3:$A$53,0))))</f>
        <v>0</v>
      </c>
      <c r="AN82" s="75">
        <f t="array" ref="AN82">IF(ISERROR(index(Res_AllFuels_SEDS_2022_TBtus!$M$3:$M$53,match($B82&amp;AN$2,Res_AllFuels_SEDS_2022_TBtus!$B$3:$B$53&amp;Res_AllFuels_SEDS_2022_TBtus!$A$3:$A$53,0))),0,(index(Res_AllFuels_SEDS_2022_TBtus!$M$3:$M$53,match($B82&amp;AN$2,Res_AllFuels_SEDS_2022_TBtus!$B$3:$B$53&amp;Res_AllFuels_SEDS_2022_TBtus!$A$3:$A$53,0))))</f>
        <v>0</v>
      </c>
      <c r="AO82" s="75">
        <f t="array" ref="AO82">IF(ISERROR(index(Res_AllFuels_SEDS_2022_TBtus!$M$3:$M$53,match($B82&amp;AO$2,Res_AllFuels_SEDS_2022_TBtus!$B$3:$B$53&amp;Res_AllFuels_SEDS_2022_TBtus!$A$3:$A$53,0))),0,(index(Res_AllFuels_SEDS_2022_TBtus!$M$3:$M$53,match($B82&amp;AO$2,Res_AllFuels_SEDS_2022_TBtus!$B$3:$B$53&amp;Res_AllFuels_SEDS_2022_TBtus!$A$3:$A$53,0))))</f>
        <v>0</v>
      </c>
      <c r="AP82" s="75">
        <f t="array" ref="AP82">IF(ISERROR(index(Res_AllFuels_SEDS_2022_TBtus!$M$3:$M$53,match($B82&amp;AP$2,Res_AllFuels_SEDS_2022_TBtus!$B$3:$B$53&amp;Res_AllFuels_SEDS_2022_TBtus!$A$3:$A$53,0))),0,(index(Res_AllFuels_SEDS_2022_TBtus!$M$3:$M$53,match($B82&amp;AP$2,Res_AllFuels_SEDS_2022_TBtus!$B$3:$B$53&amp;Res_AllFuels_SEDS_2022_TBtus!$A$3:$A$53,0))))</f>
        <v>46.5</v>
      </c>
      <c r="AQ82" s="75">
        <f t="array" ref="AQ82">IF(ISERROR(index(Res_AllFuels_SEDS_2022_TBtus!$M$3:$M$53,match($B82&amp;AQ$2,Res_AllFuels_SEDS_2022_TBtus!$B$3:$B$53&amp;Res_AllFuels_SEDS_2022_TBtus!$A$3:$A$53,0))),0,(index(Res_AllFuels_SEDS_2022_TBtus!$M$3:$M$53,match($B82&amp;AQ$2,Res_AllFuels_SEDS_2022_TBtus!$B$3:$B$53&amp;Res_AllFuels_SEDS_2022_TBtus!$A$3:$A$53,0))))</f>
        <v>0</v>
      </c>
      <c r="AR82" s="75">
        <f t="array" ref="AR82">IF(ISERROR(index(Res_AllFuels_SEDS_2022_TBtus!$M$3:$M$53,match($B82&amp;AR$2,Res_AllFuels_SEDS_2022_TBtus!$B$3:$B$53&amp;Res_AllFuels_SEDS_2022_TBtus!$A$3:$A$53,0))),0,(index(Res_AllFuels_SEDS_2022_TBtus!$M$3:$M$53,match($B82&amp;AR$2,Res_AllFuels_SEDS_2022_TBtus!$B$3:$B$53&amp;Res_AllFuels_SEDS_2022_TBtus!$A$3:$A$53,0))))</f>
        <v>0</v>
      </c>
      <c r="AS82" s="75">
        <f t="array" ref="AS82">IF(ISERROR(index(Res_AllFuels_SEDS_2022_TBtus!$M$3:$M$53,match($B82&amp;AS$2,Res_AllFuels_SEDS_2022_TBtus!$B$3:$B$53&amp;Res_AllFuels_SEDS_2022_TBtus!$A$3:$A$53,0))),0,(index(Res_AllFuels_SEDS_2022_TBtus!$M$3:$M$53,match($B82&amp;AS$2,Res_AllFuels_SEDS_2022_TBtus!$B$3:$B$53&amp;Res_AllFuels_SEDS_2022_TBtus!$A$3:$A$53,0))))</f>
        <v>0</v>
      </c>
      <c r="AT82" s="75">
        <f t="array" ref="AT82">IF(ISERROR(index(Res_AllFuels_SEDS_2022_TBtus!$M$3:$M$53,match($B82&amp;AT$2,Res_AllFuels_SEDS_2022_TBtus!$B$3:$B$53&amp;Res_AllFuels_SEDS_2022_TBtus!$A$3:$A$53,0))),0,(index(Res_AllFuels_SEDS_2022_TBtus!$M$3:$M$53,match($B82&amp;AT$2,Res_AllFuels_SEDS_2022_TBtus!$B$3:$B$53&amp;Res_AllFuels_SEDS_2022_TBtus!$A$3:$A$53,0))))</f>
        <v>0</v>
      </c>
      <c r="AU82" s="75">
        <f t="array" ref="AU82">IF(ISERROR(index(Res_AllFuels_SEDS_2022_TBtus!$M$3:$M$53,match($B82&amp;AU$2,Res_AllFuels_SEDS_2022_TBtus!$B$3:$B$53&amp;Res_AllFuels_SEDS_2022_TBtus!$A$3:$A$53,0))),0,(index(Res_AllFuels_SEDS_2022_TBtus!$M$3:$M$53,match($B82&amp;AU$2,Res_AllFuels_SEDS_2022_TBtus!$B$3:$B$53&amp;Res_AllFuels_SEDS_2022_TBtus!$A$3:$A$53,0))))</f>
        <v>0</v>
      </c>
      <c r="AV82" s="75">
        <f t="array" ref="AV82">IF(ISERROR(index(Res_AllFuels_SEDS_2022_TBtus!$M$3:$M$53,match($B82&amp;AV$2,Res_AllFuels_SEDS_2022_TBtus!$B$3:$B$53&amp;Res_AllFuels_SEDS_2022_TBtus!$A$3:$A$53,0))),0,(index(Res_AllFuels_SEDS_2022_TBtus!$M$3:$M$53,match($B82&amp;AV$2,Res_AllFuels_SEDS_2022_TBtus!$B$3:$B$53&amp;Res_AllFuels_SEDS_2022_TBtus!$A$3:$A$53,0))))</f>
        <v>40.6</v>
      </c>
      <c r="AW82" s="75">
        <f t="array" ref="AW82">IF(ISERROR(index(Res_AllFuels_SEDS_2022_TBtus!$M$3:$M$53,match($B82&amp;AW$2,Res_AllFuels_SEDS_2022_TBtus!$B$3:$B$53&amp;Res_AllFuels_SEDS_2022_TBtus!$A$3:$A$53,0))),0,(index(Res_AllFuels_SEDS_2022_TBtus!$M$3:$M$53,match($B82&amp;AW$2,Res_AllFuels_SEDS_2022_TBtus!$B$3:$B$53&amp;Res_AllFuels_SEDS_2022_TBtus!$A$3:$A$53,0))))</f>
        <v>0</v>
      </c>
      <c r="AX82" s="75">
        <f t="array" ref="AX82">IF(ISERROR(index(Res_AllFuels_SEDS_2022_TBtus!$M$3:$M$53,match($B82&amp;AX$2,Res_AllFuels_SEDS_2022_TBtus!$B$3:$B$53&amp;Res_AllFuels_SEDS_2022_TBtus!$A$3:$A$53,0))),0,(index(Res_AllFuels_SEDS_2022_TBtus!$M$3:$M$53,match($B82&amp;AX$2,Res_AllFuels_SEDS_2022_TBtus!$B$3:$B$53&amp;Res_AllFuels_SEDS_2022_TBtus!$A$3:$A$53,0))))</f>
        <v>0</v>
      </c>
      <c r="AY82" s="75">
        <f t="array" ref="AY82">IF(ISERROR(index(Res_AllFuels_SEDS_2022_TBtus!$M$3:$M$53,match($B82&amp;AY$2,Res_AllFuels_SEDS_2022_TBtus!$B$3:$B$53&amp;Res_AllFuels_SEDS_2022_TBtus!$A$3:$A$53,0))),0,(index(Res_AllFuels_SEDS_2022_TBtus!$M$3:$M$53,match($B82&amp;AY$2,Res_AllFuels_SEDS_2022_TBtus!$B$3:$B$53&amp;Res_AllFuels_SEDS_2022_TBtus!$A$3:$A$53,0))))</f>
        <v>0</v>
      </c>
      <c r="AZ82" s="75">
        <f t="array" ref="AZ82">IF(ISERROR(index(Res_AllFuels_SEDS_2022_TBtus!$M$3:$M$53,match($B82&amp;AZ$2,Res_AllFuels_SEDS_2022_TBtus!$B$3:$B$53&amp;Res_AllFuels_SEDS_2022_TBtus!$A$3:$A$53,0))),0,(index(Res_AllFuels_SEDS_2022_TBtus!$M$3:$M$53,match($B82&amp;AZ$2,Res_AllFuels_SEDS_2022_TBtus!$B$3:$B$53&amp;Res_AllFuels_SEDS_2022_TBtus!$A$3:$A$53,0))))</f>
        <v>0</v>
      </c>
      <c r="BA82" s="75">
        <f t="array" ref="BA82">IF(ISERROR(index(Res_AllFuels_SEDS_2022_TBtus!$M$3:$M$53,match($B82&amp;BA$2,Res_AllFuels_SEDS_2022_TBtus!$B$3:$B$53&amp;Res_AllFuels_SEDS_2022_TBtus!$A$3:$A$53,0))),0,(index(Res_AllFuels_SEDS_2022_TBtus!$M$3:$M$53,match($B82&amp;BA$2,Res_AllFuels_SEDS_2022_TBtus!$B$3:$B$53&amp;Res_AllFuels_SEDS_2022_TBtus!$A$3:$A$53,0))))</f>
        <v>0</v>
      </c>
      <c r="BB82" s="74">
        <f t="shared" ref="BB82:BB91" si="13">sum(C82:BA82)</f>
        <v>684.8</v>
      </c>
    </row>
    <row r="83" ht="15.75" customHeight="1">
      <c r="A83" s="78"/>
      <c r="B83" s="74">
        <v>2.0</v>
      </c>
      <c r="C83" s="75">
        <f t="array" ref="C83">IF(ISERROR(index(Res_AllFuels_SEDS_2022_TBtus!$M$3:$M$53,match($B83&amp;C$2,Res_AllFuels_SEDS_2022_TBtus!$B$3:$B$53&amp;Res_AllFuels_SEDS_2022_TBtus!$A$3:$A$53,0))),0,(index(Res_AllFuels_SEDS_2022_TBtus!$M$3:$M$53,match($B83&amp;C$2,Res_AllFuels_SEDS_2022_TBtus!$B$3:$B$53&amp;Res_AllFuels_SEDS_2022_TBtus!$A$3:$A$53,0))))</f>
        <v>0</v>
      </c>
      <c r="D83" s="75">
        <f t="array" ref="D83">IF(ISERROR(index(Res_AllFuels_SEDS_2022_TBtus!$M$3:$M$53,match($B83&amp;D$2,Res_AllFuels_SEDS_2022_TBtus!$B$3:$B$53&amp;Res_AllFuels_SEDS_2022_TBtus!$A$3:$A$53,0))),0,(index(Res_AllFuels_SEDS_2022_TBtus!$M$3:$M$53,match($B83&amp;D$2,Res_AllFuels_SEDS_2022_TBtus!$B$3:$B$53&amp;Res_AllFuels_SEDS_2022_TBtus!$A$3:$A$53,0))))</f>
        <v>0</v>
      </c>
      <c r="E83" s="75">
        <f t="array" ref="E83">IF(ISERROR(index(Res_AllFuels_SEDS_2022_TBtus!$M$3:$M$53,match($B83&amp;E$2,Res_AllFuels_SEDS_2022_TBtus!$B$3:$B$53&amp;Res_AllFuels_SEDS_2022_TBtus!$A$3:$A$53,0))),0,(index(Res_AllFuels_SEDS_2022_TBtus!$M$3:$M$53,match($B83&amp;E$2,Res_AllFuels_SEDS_2022_TBtus!$B$3:$B$53&amp;Res_AllFuels_SEDS_2022_TBtus!$A$3:$A$53,0))))</f>
        <v>0</v>
      </c>
      <c r="F83" s="75">
        <f t="array" ref="F83">IF(ISERROR(index(Res_AllFuels_SEDS_2022_TBtus!$M$3:$M$53,match($B83&amp;F$2,Res_AllFuels_SEDS_2022_TBtus!$B$3:$B$53&amp;Res_AllFuels_SEDS_2022_TBtus!$A$3:$A$53,0))),0,(index(Res_AllFuels_SEDS_2022_TBtus!$M$3:$M$53,match($B83&amp;F$2,Res_AllFuels_SEDS_2022_TBtus!$B$3:$B$53&amp;Res_AllFuels_SEDS_2022_TBtus!$A$3:$A$53,0))))</f>
        <v>0</v>
      </c>
      <c r="G83" s="75">
        <f t="array" ref="G83">IF(ISERROR(index(Res_AllFuels_SEDS_2022_TBtus!$M$3:$M$53,match($B83&amp;G$2,Res_AllFuels_SEDS_2022_TBtus!$B$3:$B$53&amp;Res_AllFuels_SEDS_2022_TBtus!$A$3:$A$53,0))),0,(index(Res_AllFuels_SEDS_2022_TBtus!$M$3:$M$53,match($B83&amp;G$2,Res_AllFuels_SEDS_2022_TBtus!$B$3:$B$53&amp;Res_AllFuels_SEDS_2022_TBtus!$A$3:$A$53,0))))</f>
        <v>0</v>
      </c>
      <c r="H83" s="75">
        <f t="array" ref="H83">IF(ISERROR(index(Res_AllFuels_SEDS_2022_TBtus!$M$3:$M$53,match($B83&amp;H$2,Res_AllFuels_SEDS_2022_TBtus!$B$3:$B$53&amp;Res_AllFuels_SEDS_2022_TBtus!$A$3:$A$53,0))),0,(index(Res_AllFuels_SEDS_2022_TBtus!$M$3:$M$53,match($B83&amp;H$2,Res_AllFuels_SEDS_2022_TBtus!$B$3:$B$53&amp;Res_AllFuels_SEDS_2022_TBtus!$A$3:$A$53,0))))</f>
        <v>0</v>
      </c>
      <c r="I83" s="75">
        <f t="array" ref="I83">IF(ISERROR(index(Res_AllFuels_SEDS_2022_TBtus!$M$3:$M$53,match($B83&amp;I$2,Res_AllFuels_SEDS_2022_TBtus!$B$3:$B$53&amp;Res_AllFuels_SEDS_2022_TBtus!$A$3:$A$53,0))),0,(index(Res_AllFuels_SEDS_2022_TBtus!$M$3:$M$53,match($B83&amp;I$2,Res_AllFuels_SEDS_2022_TBtus!$B$3:$B$53&amp;Res_AllFuels_SEDS_2022_TBtus!$A$3:$A$53,0))))</f>
        <v>0</v>
      </c>
      <c r="J83" s="75">
        <f t="array" ref="J83">IF(ISERROR(index(Res_AllFuels_SEDS_2022_TBtus!$M$3:$M$53,match($B83&amp;J$2,Res_AllFuels_SEDS_2022_TBtus!$B$3:$B$53&amp;Res_AllFuels_SEDS_2022_TBtus!$A$3:$A$53,0))),0,(index(Res_AllFuels_SEDS_2022_TBtus!$M$3:$M$53,match($B83&amp;J$2,Res_AllFuels_SEDS_2022_TBtus!$B$3:$B$53&amp;Res_AllFuels_SEDS_2022_TBtus!$A$3:$A$53,0))))</f>
        <v>0</v>
      </c>
      <c r="K83" s="75">
        <f t="array" ref="K83">IF(ISERROR(index(Res_AllFuels_SEDS_2022_TBtus!$M$3:$M$53,match($B83&amp;K$2,Res_AllFuels_SEDS_2022_TBtus!$B$3:$B$53&amp;Res_AllFuels_SEDS_2022_TBtus!$A$3:$A$53,0))),0,(index(Res_AllFuels_SEDS_2022_TBtus!$M$3:$M$53,match($B83&amp;K$2,Res_AllFuels_SEDS_2022_TBtus!$B$3:$B$53&amp;Res_AllFuels_SEDS_2022_TBtus!$A$3:$A$53,0))))</f>
        <v>0</v>
      </c>
      <c r="L83" s="75">
        <f t="array" ref="L83">IF(ISERROR(index(Res_AllFuels_SEDS_2022_TBtus!$M$3:$M$53,match($B83&amp;L$2,Res_AllFuels_SEDS_2022_TBtus!$B$3:$B$53&amp;Res_AllFuels_SEDS_2022_TBtus!$A$3:$A$53,0))),0,(index(Res_AllFuels_SEDS_2022_TBtus!$M$3:$M$53,match($B83&amp;L$2,Res_AllFuels_SEDS_2022_TBtus!$B$3:$B$53&amp;Res_AllFuels_SEDS_2022_TBtus!$A$3:$A$53,0))))</f>
        <v>0</v>
      </c>
      <c r="M83" s="75">
        <f t="array" ref="M83">IF(ISERROR(index(Res_AllFuels_SEDS_2022_TBtus!$M$3:$M$53,match($B83&amp;M$2,Res_AllFuels_SEDS_2022_TBtus!$B$3:$B$53&amp;Res_AllFuels_SEDS_2022_TBtus!$A$3:$A$53,0))),0,(index(Res_AllFuels_SEDS_2022_TBtus!$M$3:$M$53,match($B83&amp;M$2,Res_AllFuels_SEDS_2022_TBtus!$B$3:$B$53&amp;Res_AllFuels_SEDS_2022_TBtus!$A$3:$A$53,0))))</f>
        <v>0</v>
      </c>
      <c r="N83" s="75">
        <f t="array" ref="N83">IF(ISERROR(index(Res_AllFuels_SEDS_2022_TBtus!$M$3:$M$53,match($B83&amp;N$2,Res_AllFuels_SEDS_2022_TBtus!$B$3:$B$53&amp;Res_AllFuels_SEDS_2022_TBtus!$A$3:$A$53,0))),0,(index(Res_AllFuels_SEDS_2022_TBtus!$M$3:$M$53,match($B83&amp;N$2,Res_AllFuels_SEDS_2022_TBtus!$B$3:$B$53&amp;Res_AllFuels_SEDS_2022_TBtus!$A$3:$A$53,0))))</f>
        <v>0</v>
      </c>
      <c r="O83" s="75">
        <f t="array" ref="O83">IF(ISERROR(index(Res_AllFuels_SEDS_2022_TBtus!$M$3:$M$53,match($B83&amp;O$2,Res_AllFuels_SEDS_2022_TBtus!$B$3:$B$53&amp;Res_AllFuels_SEDS_2022_TBtus!$A$3:$A$53,0))),0,(index(Res_AllFuels_SEDS_2022_TBtus!$M$3:$M$53,match($B83&amp;O$2,Res_AllFuels_SEDS_2022_TBtus!$B$3:$B$53&amp;Res_AllFuels_SEDS_2022_TBtus!$A$3:$A$53,0))))</f>
        <v>0</v>
      </c>
      <c r="P83" s="75">
        <f t="array" ref="P83">IF(ISERROR(index(Res_AllFuels_SEDS_2022_TBtus!$M$3:$M$53,match($B83&amp;P$2,Res_AllFuels_SEDS_2022_TBtus!$B$3:$B$53&amp;Res_AllFuels_SEDS_2022_TBtus!$A$3:$A$53,0))),0,(index(Res_AllFuels_SEDS_2022_TBtus!$M$3:$M$53,match($B83&amp;P$2,Res_AllFuels_SEDS_2022_TBtus!$B$3:$B$53&amp;Res_AllFuels_SEDS_2022_TBtus!$A$3:$A$53,0))))</f>
        <v>0</v>
      </c>
      <c r="Q83" s="75">
        <f t="array" ref="Q83">IF(ISERROR(index(Res_AllFuels_SEDS_2022_TBtus!$M$3:$M$53,match($B83&amp;Q$2,Res_AllFuels_SEDS_2022_TBtus!$B$3:$B$53&amp;Res_AllFuels_SEDS_2022_TBtus!$A$3:$A$53,0))),0,(index(Res_AllFuels_SEDS_2022_TBtus!$M$3:$M$53,match($B83&amp;Q$2,Res_AllFuels_SEDS_2022_TBtus!$B$3:$B$53&amp;Res_AllFuels_SEDS_2022_TBtus!$A$3:$A$53,0))))</f>
        <v>0</v>
      </c>
      <c r="R83" s="75">
        <f t="array" ref="R83">IF(ISERROR(index(Res_AllFuels_SEDS_2022_TBtus!$M$3:$M$53,match($B83&amp;R$2,Res_AllFuels_SEDS_2022_TBtus!$B$3:$B$53&amp;Res_AllFuels_SEDS_2022_TBtus!$A$3:$A$53,0))),0,(index(Res_AllFuels_SEDS_2022_TBtus!$M$3:$M$53,match($B83&amp;R$2,Res_AllFuels_SEDS_2022_TBtus!$B$3:$B$53&amp;Res_AllFuels_SEDS_2022_TBtus!$A$3:$A$53,0))))</f>
        <v>0</v>
      </c>
      <c r="S83" s="75">
        <f t="array" ref="S83">IF(ISERROR(index(Res_AllFuels_SEDS_2022_TBtus!$M$3:$M$53,match($B83&amp;S$2,Res_AllFuels_SEDS_2022_TBtus!$B$3:$B$53&amp;Res_AllFuels_SEDS_2022_TBtus!$A$3:$A$53,0))),0,(index(Res_AllFuels_SEDS_2022_TBtus!$M$3:$M$53,match($B83&amp;S$2,Res_AllFuels_SEDS_2022_TBtus!$B$3:$B$53&amp;Res_AllFuels_SEDS_2022_TBtus!$A$3:$A$53,0))))</f>
        <v>0</v>
      </c>
      <c r="T83" s="75">
        <f t="array" ref="T83">IF(ISERROR(index(Res_AllFuels_SEDS_2022_TBtus!$M$3:$M$53,match($B83&amp;T$2,Res_AllFuels_SEDS_2022_TBtus!$B$3:$B$53&amp;Res_AllFuels_SEDS_2022_TBtus!$A$3:$A$53,0))),0,(index(Res_AllFuels_SEDS_2022_TBtus!$M$3:$M$53,match($B83&amp;T$2,Res_AllFuels_SEDS_2022_TBtus!$B$3:$B$53&amp;Res_AllFuels_SEDS_2022_TBtus!$A$3:$A$53,0))))</f>
        <v>0</v>
      </c>
      <c r="U83" s="75">
        <f t="array" ref="U83">IF(ISERROR(index(Res_AllFuels_SEDS_2022_TBtus!$M$3:$M$53,match($B83&amp;U$2,Res_AllFuels_SEDS_2022_TBtus!$B$3:$B$53&amp;Res_AllFuels_SEDS_2022_TBtus!$A$3:$A$53,0))),0,(index(Res_AllFuels_SEDS_2022_TBtus!$M$3:$M$53,match($B83&amp;U$2,Res_AllFuels_SEDS_2022_TBtus!$B$3:$B$53&amp;Res_AllFuels_SEDS_2022_TBtus!$A$3:$A$53,0))))</f>
        <v>0</v>
      </c>
      <c r="V83" s="75">
        <f t="array" ref="V83">IF(ISERROR(index(Res_AllFuels_SEDS_2022_TBtus!$M$3:$M$53,match($B83&amp;V$2,Res_AllFuels_SEDS_2022_TBtus!$B$3:$B$53&amp;Res_AllFuels_SEDS_2022_TBtus!$A$3:$A$53,0))),0,(index(Res_AllFuels_SEDS_2022_TBtus!$M$3:$M$53,match($B83&amp;V$2,Res_AllFuels_SEDS_2022_TBtus!$B$3:$B$53&amp;Res_AllFuels_SEDS_2022_TBtus!$A$3:$A$53,0))))</f>
        <v>0</v>
      </c>
      <c r="W83" s="75">
        <f t="array" ref="W83">IF(ISERROR(index(Res_AllFuels_SEDS_2022_TBtus!$M$3:$M$53,match($B83&amp;W$2,Res_AllFuels_SEDS_2022_TBtus!$B$3:$B$53&amp;Res_AllFuels_SEDS_2022_TBtus!$A$3:$A$53,0))),0,(index(Res_AllFuels_SEDS_2022_TBtus!$M$3:$M$53,match($B83&amp;W$2,Res_AllFuels_SEDS_2022_TBtus!$B$3:$B$53&amp;Res_AllFuels_SEDS_2022_TBtus!$A$3:$A$53,0))))</f>
        <v>0</v>
      </c>
      <c r="X83" s="75">
        <f t="array" ref="X83">IF(ISERROR(index(Res_AllFuels_SEDS_2022_TBtus!$M$3:$M$53,match($B83&amp;X$2,Res_AllFuels_SEDS_2022_TBtus!$B$3:$B$53&amp;Res_AllFuels_SEDS_2022_TBtus!$A$3:$A$53,0))),0,(index(Res_AllFuels_SEDS_2022_TBtus!$M$3:$M$53,match($B83&amp;X$2,Res_AllFuels_SEDS_2022_TBtus!$B$3:$B$53&amp;Res_AllFuels_SEDS_2022_TBtus!$A$3:$A$53,0))))</f>
        <v>0</v>
      </c>
      <c r="Y83" s="75">
        <f t="array" ref="Y83">IF(ISERROR(index(Res_AllFuels_SEDS_2022_TBtus!$M$3:$M$53,match($B83&amp;Y$2,Res_AllFuels_SEDS_2022_TBtus!$B$3:$B$53&amp;Res_AllFuels_SEDS_2022_TBtus!$A$3:$A$53,0))),0,(index(Res_AllFuels_SEDS_2022_TBtus!$M$3:$M$53,match($B83&amp;Y$2,Res_AllFuels_SEDS_2022_TBtus!$B$3:$B$53&amp;Res_AllFuels_SEDS_2022_TBtus!$A$3:$A$53,0))))</f>
        <v>0</v>
      </c>
      <c r="Z83" s="75">
        <f t="array" ref="Z83">IF(ISERROR(index(Res_AllFuels_SEDS_2022_TBtus!$M$3:$M$53,match($B83&amp;Z$2,Res_AllFuels_SEDS_2022_TBtus!$B$3:$B$53&amp;Res_AllFuels_SEDS_2022_TBtus!$A$3:$A$53,0))),0,(index(Res_AllFuels_SEDS_2022_TBtus!$M$3:$M$53,match($B83&amp;Z$2,Res_AllFuels_SEDS_2022_TBtus!$B$3:$B$53&amp;Res_AllFuels_SEDS_2022_TBtus!$A$3:$A$53,0))))</f>
        <v>0</v>
      </c>
      <c r="AA83" s="75">
        <f t="array" ref="AA83">IF(ISERROR(index(Res_AllFuels_SEDS_2022_TBtus!$M$3:$M$53,match($B83&amp;AA$2,Res_AllFuels_SEDS_2022_TBtus!$B$3:$B$53&amp;Res_AllFuels_SEDS_2022_TBtus!$A$3:$A$53,0))),0,(index(Res_AllFuels_SEDS_2022_TBtus!$M$3:$M$53,match($B83&amp;AA$2,Res_AllFuels_SEDS_2022_TBtus!$B$3:$B$53&amp;Res_AllFuels_SEDS_2022_TBtus!$A$3:$A$53,0))))</f>
        <v>0</v>
      </c>
      <c r="AB83" s="75">
        <f t="array" ref="AB83">IF(ISERROR(index(Res_AllFuels_SEDS_2022_TBtus!$M$3:$M$53,match($B83&amp;AB$2,Res_AllFuels_SEDS_2022_TBtus!$B$3:$B$53&amp;Res_AllFuels_SEDS_2022_TBtus!$A$3:$A$53,0))),0,(index(Res_AllFuels_SEDS_2022_TBtus!$M$3:$M$53,match($B83&amp;AB$2,Res_AllFuels_SEDS_2022_TBtus!$B$3:$B$53&amp;Res_AllFuels_SEDS_2022_TBtus!$A$3:$A$53,0))))</f>
        <v>0</v>
      </c>
      <c r="AC83" s="75">
        <f t="array" ref="AC83">IF(ISERROR(index(Res_AllFuels_SEDS_2022_TBtus!$M$3:$M$53,match($B83&amp;AC$2,Res_AllFuels_SEDS_2022_TBtus!$B$3:$B$53&amp;Res_AllFuels_SEDS_2022_TBtus!$A$3:$A$53,0))),0,(index(Res_AllFuels_SEDS_2022_TBtus!$M$3:$M$53,match($B83&amp;AC$2,Res_AllFuels_SEDS_2022_TBtus!$B$3:$B$53&amp;Res_AllFuels_SEDS_2022_TBtus!$A$3:$A$53,0))))</f>
        <v>0</v>
      </c>
      <c r="AD83" s="75">
        <f t="array" ref="AD83">IF(ISERROR(index(Res_AllFuels_SEDS_2022_TBtus!$M$3:$M$53,match($B83&amp;AD$2,Res_AllFuels_SEDS_2022_TBtus!$B$3:$B$53&amp;Res_AllFuels_SEDS_2022_TBtus!$A$3:$A$53,0))),0,(index(Res_AllFuels_SEDS_2022_TBtus!$M$3:$M$53,match($B83&amp;AD$2,Res_AllFuels_SEDS_2022_TBtus!$B$3:$B$53&amp;Res_AllFuels_SEDS_2022_TBtus!$A$3:$A$53,0))))</f>
        <v>0</v>
      </c>
      <c r="AE83" s="75">
        <f t="array" ref="AE83">IF(ISERROR(index(Res_AllFuels_SEDS_2022_TBtus!$M$3:$M$53,match($B83&amp;AE$2,Res_AllFuels_SEDS_2022_TBtus!$B$3:$B$53&amp;Res_AllFuels_SEDS_2022_TBtus!$A$3:$A$53,0))),0,(index(Res_AllFuels_SEDS_2022_TBtus!$M$3:$M$53,match($B83&amp;AE$2,Res_AllFuels_SEDS_2022_TBtus!$B$3:$B$53&amp;Res_AllFuels_SEDS_2022_TBtus!$A$3:$A$53,0))))</f>
        <v>0</v>
      </c>
      <c r="AF83" s="75">
        <f t="array" ref="AF83">IF(ISERROR(index(Res_AllFuels_SEDS_2022_TBtus!$M$3:$M$53,match($B83&amp;AF$2,Res_AllFuels_SEDS_2022_TBtus!$B$3:$B$53&amp;Res_AllFuels_SEDS_2022_TBtus!$A$3:$A$53,0))),0,(index(Res_AllFuels_SEDS_2022_TBtus!$M$3:$M$53,match($B83&amp;AF$2,Res_AllFuels_SEDS_2022_TBtus!$B$3:$B$53&amp;Res_AllFuels_SEDS_2022_TBtus!$A$3:$A$53,0))))</f>
        <v>0</v>
      </c>
      <c r="AG83" s="75">
        <f t="array" ref="AG83">IF(ISERROR(index(Res_AllFuels_SEDS_2022_TBtus!$M$3:$M$53,match($B83&amp;AG$2,Res_AllFuels_SEDS_2022_TBtus!$B$3:$B$53&amp;Res_AllFuels_SEDS_2022_TBtus!$A$3:$A$53,0))),0,(index(Res_AllFuels_SEDS_2022_TBtus!$M$3:$M$53,match($B83&amp;AG$2,Res_AllFuels_SEDS_2022_TBtus!$B$3:$B$53&amp;Res_AllFuels_SEDS_2022_TBtus!$A$3:$A$53,0))))</f>
        <v>388.6</v>
      </c>
      <c r="AH83" s="75">
        <f t="array" ref="AH83">IF(ISERROR(index(Res_AllFuels_SEDS_2022_TBtus!$M$3:$M$53,match($B83&amp;AH$2,Res_AllFuels_SEDS_2022_TBtus!$B$3:$B$53&amp;Res_AllFuels_SEDS_2022_TBtus!$A$3:$A$53,0))),0,(index(Res_AllFuels_SEDS_2022_TBtus!$M$3:$M$53,match($B83&amp;AH$2,Res_AllFuels_SEDS_2022_TBtus!$B$3:$B$53&amp;Res_AllFuels_SEDS_2022_TBtus!$A$3:$A$53,0))))</f>
        <v>0</v>
      </c>
      <c r="AI83" s="75">
        <f t="array" ref="AI83">IF(ISERROR(index(Res_AllFuels_SEDS_2022_TBtus!$M$3:$M$53,match($B83&amp;AI$2,Res_AllFuels_SEDS_2022_TBtus!$B$3:$B$53&amp;Res_AllFuels_SEDS_2022_TBtus!$A$3:$A$53,0))),0,(index(Res_AllFuels_SEDS_2022_TBtus!$M$3:$M$53,match($B83&amp;AI$2,Res_AllFuels_SEDS_2022_TBtus!$B$3:$B$53&amp;Res_AllFuels_SEDS_2022_TBtus!$A$3:$A$53,0))))</f>
        <v>805.2</v>
      </c>
      <c r="AJ83" s="75">
        <f t="array" ref="AJ83">IF(ISERROR(index(Res_AllFuels_SEDS_2022_TBtus!$M$3:$M$53,match($B83&amp;AJ$2,Res_AllFuels_SEDS_2022_TBtus!$B$3:$B$53&amp;Res_AllFuels_SEDS_2022_TBtus!$A$3:$A$53,0))),0,(index(Res_AllFuels_SEDS_2022_TBtus!$M$3:$M$53,match($B83&amp;AJ$2,Res_AllFuels_SEDS_2022_TBtus!$B$3:$B$53&amp;Res_AllFuels_SEDS_2022_TBtus!$A$3:$A$53,0))))</f>
        <v>0</v>
      </c>
      <c r="AK83" s="75">
        <f t="array" ref="AK83">IF(ISERROR(index(Res_AllFuels_SEDS_2022_TBtus!$M$3:$M$53,match($B83&amp;AK$2,Res_AllFuels_SEDS_2022_TBtus!$B$3:$B$53&amp;Res_AllFuels_SEDS_2022_TBtus!$A$3:$A$53,0))),0,(index(Res_AllFuels_SEDS_2022_TBtus!$M$3:$M$53,match($B83&amp;AK$2,Res_AllFuels_SEDS_2022_TBtus!$B$3:$B$53&amp;Res_AllFuels_SEDS_2022_TBtus!$A$3:$A$53,0))))</f>
        <v>0</v>
      </c>
      <c r="AL83" s="75">
        <f t="array" ref="AL83">IF(ISERROR(index(Res_AllFuels_SEDS_2022_TBtus!$M$3:$M$53,match($B83&amp;AL$2,Res_AllFuels_SEDS_2022_TBtus!$B$3:$B$53&amp;Res_AllFuels_SEDS_2022_TBtus!$A$3:$A$53,0))),0,(index(Res_AllFuels_SEDS_2022_TBtus!$M$3:$M$53,match($B83&amp;AL$2,Res_AllFuels_SEDS_2022_TBtus!$B$3:$B$53&amp;Res_AllFuels_SEDS_2022_TBtus!$A$3:$A$53,0))))</f>
        <v>0</v>
      </c>
      <c r="AM83" s="75">
        <f t="array" ref="AM83">IF(ISERROR(index(Res_AllFuels_SEDS_2022_TBtus!$M$3:$M$53,match($B83&amp;AM$2,Res_AllFuels_SEDS_2022_TBtus!$B$3:$B$53&amp;Res_AllFuels_SEDS_2022_TBtus!$A$3:$A$53,0))),0,(index(Res_AllFuels_SEDS_2022_TBtus!$M$3:$M$53,match($B83&amp;AM$2,Res_AllFuels_SEDS_2022_TBtus!$B$3:$B$53&amp;Res_AllFuels_SEDS_2022_TBtus!$A$3:$A$53,0))))</f>
        <v>0</v>
      </c>
      <c r="AN83" s="75">
        <f t="array" ref="AN83">IF(ISERROR(index(Res_AllFuels_SEDS_2022_TBtus!$M$3:$M$53,match($B83&amp;AN$2,Res_AllFuels_SEDS_2022_TBtus!$B$3:$B$53&amp;Res_AllFuels_SEDS_2022_TBtus!$A$3:$A$53,0))),0,(index(Res_AllFuels_SEDS_2022_TBtus!$M$3:$M$53,match($B83&amp;AN$2,Res_AllFuels_SEDS_2022_TBtus!$B$3:$B$53&amp;Res_AllFuels_SEDS_2022_TBtus!$A$3:$A$53,0))))</f>
        <v>0</v>
      </c>
      <c r="AO83" s="75">
        <f t="array" ref="AO83">IF(ISERROR(index(Res_AllFuels_SEDS_2022_TBtus!$M$3:$M$53,match($B83&amp;AO$2,Res_AllFuels_SEDS_2022_TBtus!$B$3:$B$53&amp;Res_AllFuels_SEDS_2022_TBtus!$A$3:$A$53,0))),0,(index(Res_AllFuels_SEDS_2022_TBtus!$M$3:$M$53,match($B83&amp;AO$2,Res_AllFuels_SEDS_2022_TBtus!$B$3:$B$53&amp;Res_AllFuels_SEDS_2022_TBtus!$A$3:$A$53,0))))</f>
        <v>567.7</v>
      </c>
      <c r="AP83" s="75">
        <f t="array" ref="AP83">IF(ISERROR(index(Res_AllFuels_SEDS_2022_TBtus!$M$3:$M$53,match($B83&amp;AP$2,Res_AllFuels_SEDS_2022_TBtus!$B$3:$B$53&amp;Res_AllFuels_SEDS_2022_TBtus!$A$3:$A$53,0))),0,(index(Res_AllFuels_SEDS_2022_TBtus!$M$3:$M$53,match($B83&amp;AP$2,Res_AllFuels_SEDS_2022_TBtus!$B$3:$B$53&amp;Res_AllFuels_SEDS_2022_TBtus!$A$3:$A$53,0))))</f>
        <v>0</v>
      </c>
      <c r="AQ83" s="75">
        <f t="array" ref="AQ83">IF(ISERROR(index(Res_AllFuels_SEDS_2022_TBtus!$M$3:$M$53,match($B83&amp;AQ$2,Res_AllFuels_SEDS_2022_TBtus!$B$3:$B$53&amp;Res_AllFuels_SEDS_2022_TBtus!$A$3:$A$53,0))),0,(index(Res_AllFuels_SEDS_2022_TBtus!$M$3:$M$53,match($B83&amp;AQ$2,Res_AllFuels_SEDS_2022_TBtus!$B$3:$B$53&amp;Res_AllFuels_SEDS_2022_TBtus!$A$3:$A$53,0))))</f>
        <v>0</v>
      </c>
      <c r="AR83" s="75">
        <f t="array" ref="AR83">IF(ISERROR(index(Res_AllFuels_SEDS_2022_TBtus!$M$3:$M$53,match($B83&amp;AR$2,Res_AllFuels_SEDS_2022_TBtus!$B$3:$B$53&amp;Res_AllFuels_SEDS_2022_TBtus!$A$3:$A$53,0))),0,(index(Res_AllFuels_SEDS_2022_TBtus!$M$3:$M$53,match($B83&amp;AR$2,Res_AllFuels_SEDS_2022_TBtus!$B$3:$B$53&amp;Res_AllFuels_SEDS_2022_TBtus!$A$3:$A$53,0))))</f>
        <v>0</v>
      </c>
      <c r="AS83" s="75">
        <f t="array" ref="AS83">IF(ISERROR(index(Res_AllFuels_SEDS_2022_TBtus!$M$3:$M$53,match($B83&amp;AS$2,Res_AllFuels_SEDS_2022_TBtus!$B$3:$B$53&amp;Res_AllFuels_SEDS_2022_TBtus!$A$3:$A$53,0))),0,(index(Res_AllFuels_SEDS_2022_TBtus!$M$3:$M$53,match($B83&amp;AS$2,Res_AllFuels_SEDS_2022_TBtus!$B$3:$B$53&amp;Res_AllFuels_SEDS_2022_TBtus!$A$3:$A$53,0))))</f>
        <v>0</v>
      </c>
      <c r="AT83" s="75">
        <f t="array" ref="AT83">IF(ISERROR(index(Res_AllFuels_SEDS_2022_TBtus!$M$3:$M$53,match($B83&amp;AT$2,Res_AllFuels_SEDS_2022_TBtus!$B$3:$B$53&amp;Res_AllFuels_SEDS_2022_TBtus!$A$3:$A$53,0))),0,(index(Res_AllFuels_SEDS_2022_TBtus!$M$3:$M$53,match($B83&amp;AT$2,Res_AllFuels_SEDS_2022_TBtus!$B$3:$B$53&amp;Res_AllFuels_SEDS_2022_TBtus!$A$3:$A$53,0))))</f>
        <v>0</v>
      </c>
      <c r="AU83" s="75">
        <f t="array" ref="AU83">IF(ISERROR(index(Res_AllFuels_SEDS_2022_TBtus!$M$3:$M$53,match($B83&amp;AU$2,Res_AllFuels_SEDS_2022_TBtus!$B$3:$B$53&amp;Res_AllFuels_SEDS_2022_TBtus!$A$3:$A$53,0))),0,(index(Res_AllFuels_SEDS_2022_TBtus!$M$3:$M$53,match($B83&amp;AU$2,Res_AllFuels_SEDS_2022_TBtus!$B$3:$B$53&amp;Res_AllFuels_SEDS_2022_TBtus!$A$3:$A$53,0))))</f>
        <v>0</v>
      </c>
      <c r="AV83" s="75">
        <f t="array" ref="AV83">IF(ISERROR(index(Res_AllFuels_SEDS_2022_TBtus!$M$3:$M$53,match($B83&amp;AV$2,Res_AllFuels_SEDS_2022_TBtus!$B$3:$B$53&amp;Res_AllFuels_SEDS_2022_TBtus!$A$3:$A$53,0))),0,(index(Res_AllFuels_SEDS_2022_TBtus!$M$3:$M$53,match($B83&amp;AV$2,Res_AllFuels_SEDS_2022_TBtus!$B$3:$B$53&amp;Res_AllFuels_SEDS_2022_TBtus!$A$3:$A$53,0))))</f>
        <v>0</v>
      </c>
      <c r="AW83" s="75">
        <f t="array" ref="AW83">IF(ISERROR(index(Res_AllFuels_SEDS_2022_TBtus!$M$3:$M$53,match($B83&amp;AW$2,Res_AllFuels_SEDS_2022_TBtus!$B$3:$B$53&amp;Res_AllFuels_SEDS_2022_TBtus!$A$3:$A$53,0))),0,(index(Res_AllFuels_SEDS_2022_TBtus!$M$3:$M$53,match($B83&amp;AW$2,Res_AllFuels_SEDS_2022_TBtus!$B$3:$B$53&amp;Res_AllFuels_SEDS_2022_TBtus!$A$3:$A$53,0))))</f>
        <v>0</v>
      </c>
      <c r="AX83" s="75">
        <f t="array" ref="AX83">IF(ISERROR(index(Res_AllFuels_SEDS_2022_TBtus!$M$3:$M$53,match($B83&amp;AX$2,Res_AllFuels_SEDS_2022_TBtus!$B$3:$B$53&amp;Res_AllFuels_SEDS_2022_TBtus!$A$3:$A$53,0))),0,(index(Res_AllFuels_SEDS_2022_TBtus!$M$3:$M$53,match($B83&amp;AX$2,Res_AllFuels_SEDS_2022_TBtus!$B$3:$B$53&amp;Res_AllFuels_SEDS_2022_TBtus!$A$3:$A$53,0))))</f>
        <v>0</v>
      </c>
      <c r="AY83" s="75">
        <f t="array" ref="AY83">IF(ISERROR(index(Res_AllFuels_SEDS_2022_TBtus!$M$3:$M$53,match($B83&amp;AY$2,Res_AllFuels_SEDS_2022_TBtus!$B$3:$B$53&amp;Res_AllFuels_SEDS_2022_TBtus!$A$3:$A$53,0))),0,(index(Res_AllFuels_SEDS_2022_TBtus!$M$3:$M$53,match($B83&amp;AY$2,Res_AllFuels_SEDS_2022_TBtus!$B$3:$B$53&amp;Res_AllFuels_SEDS_2022_TBtus!$A$3:$A$53,0))))</f>
        <v>0</v>
      </c>
      <c r="AZ83" s="75">
        <f t="array" ref="AZ83">IF(ISERROR(index(Res_AllFuels_SEDS_2022_TBtus!$M$3:$M$53,match($B83&amp;AZ$2,Res_AllFuels_SEDS_2022_TBtus!$B$3:$B$53&amp;Res_AllFuels_SEDS_2022_TBtus!$A$3:$A$53,0))),0,(index(Res_AllFuels_SEDS_2022_TBtus!$M$3:$M$53,match($B83&amp;AZ$2,Res_AllFuels_SEDS_2022_TBtus!$B$3:$B$53&amp;Res_AllFuels_SEDS_2022_TBtus!$A$3:$A$53,0))))</f>
        <v>0</v>
      </c>
      <c r="BA83" s="75">
        <f t="array" ref="BA83">IF(ISERROR(index(Res_AllFuels_SEDS_2022_TBtus!$M$3:$M$53,match($B83&amp;BA$2,Res_AllFuels_SEDS_2022_TBtus!$B$3:$B$53&amp;Res_AllFuels_SEDS_2022_TBtus!$A$3:$A$53,0))),0,(index(Res_AllFuels_SEDS_2022_TBtus!$M$3:$M$53,match($B83&amp;BA$2,Res_AllFuels_SEDS_2022_TBtus!$B$3:$B$53&amp;Res_AllFuels_SEDS_2022_TBtus!$A$3:$A$53,0))))</f>
        <v>0</v>
      </c>
      <c r="BB83" s="74">
        <f t="shared" si="13"/>
        <v>1761.5</v>
      </c>
    </row>
    <row r="84" ht="15.75" customHeight="1">
      <c r="A84" s="78"/>
      <c r="B84" s="74">
        <v>3.0</v>
      </c>
      <c r="C84" s="75">
        <f t="array" ref="C84">IF(ISERROR(index(Res_AllFuels_SEDS_2022_TBtus!$M$3:$M$53,match($B84&amp;C$2,Res_AllFuels_SEDS_2022_TBtus!$B$3:$B$53&amp;Res_AllFuels_SEDS_2022_TBtus!$A$3:$A$53,0))),0,(index(Res_AllFuels_SEDS_2022_TBtus!$M$3:$M$53,match($B84&amp;C$2,Res_AllFuels_SEDS_2022_TBtus!$B$3:$B$53&amp;Res_AllFuels_SEDS_2022_TBtus!$A$3:$A$53,0))))</f>
        <v>0</v>
      </c>
      <c r="D84" s="75">
        <f t="array" ref="D84">IF(ISERROR(index(Res_AllFuels_SEDS_2022_TBtus!$M$3:$M$53,match($B84&amp;D$2,Res_AllFuels_SEDS_2022_TBtus!$B$3:$B$53&amp;Res_AllFuels_SEDS_2022_TBtus!$A$3:$A$53,0))),0,(index(Res_AllFuels_SEDS_2022_TBtus!$M$3:$M$53,match($B84&amp;D$2,Res_AllFuels_SEDS_2022_TBtus!$B$3:$B$53&amp;Res_AllFuels_SEDS_2022_TBtus!$A$3:$A$53,0))))</f>
        <v>0</v>
      </c>
      <c r="E84" s="75">
        <f t="array" ref="E84">IF(ISERROR(index(Res_AllFuels_SEDS_2022_TBtus!$M$3:$M$53,match($B84&amp;E$2,Res_AllFuels_SEDS_2022_TBtus!$B$3:$B$53&amp;Res_AllFuels_SEDS_2022_TBtus!$A$3:$A$53,0))),0,(index(Res_AllFuels_SEDS_2022_TBtus!$M$3:$M$53,match($B84&amp;E$2,Res_AllFuels_SEDS_2022_TBtus!$B$3:$B$53&amp;Res_AllFuels_SEDS_2022_TBtus!$A$3:$A$53,0))))</f>
        <v>0</v>
      </c>
      <c r="F84" s="75">
        <f t="array" ref="F84">IF(ISERROR(index(Res_AllFuels_SEDS_2022_TBtus!$M$3:$M$53,match($B84&amp;F$2,Res_AllFuels_SEDS_2022_TBtus!$B$3:$B$53&amp;Res_AllFuels_SEDS_2022_TBtus!$A$3:$A$53,0))),0,(index(Res_AllFuels_SEDS_2022_TBtus!$M$3:$M$53,match($B84&amp;F$2,Res_AllFuels_SEDS_2022_TBtus!$B$3:$B$53&amp;Res_AllFuels_SEDS_2022_TBtus!$A$3:$A$53,0))))</f>
        <v>0</v>
      </c>
      <c r="G84" s="75">
        <f t="array" ref="G84">IF(ISERROR(index(Res_AllFuels_SEDS_2022_TBtus!$M$3:$M$53,match($B84&amp;G$2,Res_AllFuels_SEDS_2022_TBtus!$B$3:$B$53&amp;Res_AllFuels_SEDS_2022_TBtus!$A$3:$A$53,0))),0,(index(Res_AllFuels_SEDS_2022_TBtus!$M$3:$M$53,match($B84&amp;G$2,Res_AllFuels_SEDS_2022_TBtus!$B$3:$B$53&amp;Res_AllFuels_SEDS_2022_TBtus!$A$3:$A$53,0))))</f>
        <v>0</v>
      </c>
      <c r="H84" s="75">
        <f t="array" ref="H84">IF(ISERROR(index(Res_AllFuels_SEDS_2022_TBtus!$M$3:$M$53,match($B84&amp;H$2,Res_AllFuels_SEDS_2022_TBtus!$B$3:$B$53&amp;Res_AllFuels_SEDS_2022_TBtus!$A$3:$A$53,0))),0,(index(Res_AllFuels_SEDS_2022_TBtus!$M$3:$M$53,match($B84&amp;H$2,Res_AllFuels_SEDS_2022_TBtus!$B$3:$B$53&amp;Res_AllFuels_SEDS_2022_TBtus!$A$3:$A$53,0))))</f>
        <v>0</v>
      </c>
      <c r="I84" s="75">
        <f t="array" ref="I84">IF(ISERROR(index(Res_AllFuels_SEDS_2022_TBtus!$M$3:$M$53,match($B84&amp;I$2,Res_AllFuels_SEDS_2022_TBtus!$B$3:$B$53&amp;Res_AllFuels_SEDS_2022_TBtus!$A$3:$A$53,0))),0,(index(Res_AllFuels_SEDS_2022_TBtus!$M$3:$M$53,match($B84&amp;I$2,Res_AllFuels_SEDS_2022_TBtus!$B$3:$B$53&amp;Res_AllFuels_SEDS_2022_TBtus!$A$3:$A$53,0))))</f>
        <v>0</v>
      </c>
      <c r="J84" s="75">
        <f t="array" ref="J84">IF(ISERROR(index(Res_AllFuels_SEDS_2022_TBtus!$M$3:$M$53,match($B84&amp;J$2,Res_AllFuels_SEDS_2022_TBtus!$B$3:$B$53&amp;Res_AllFuels_SEDS_2022_TBtus!$A$3:$A$53,0))),0,(index(Res_AllFuels_SEDS_2022_TBtus!$M$3:$M$53,match($B84&amp;J$2,Res_AllFuels_SEDS_2022_TBtus!$B$3:$B$53&amp;Res_AllFuels_SEDS_2022_TBtus!$A$3:$A$53,0))))</f>
        <v>0</v>
      </c>
      <c r="K84" s="75">
        <f t="array" ref="K84">IF(ISERROR(index(Res_AllFuels_SEDS_2022_TBtus!$M$3:$M$53,match($B84&amp;K$2,Res_AllFuels_SEDS_2022_TBtus!$B$3:$B$53&amp;Res_AllFuels_SEDS_2022_TBtus!$A$3:$A$53,0))),0,(index(Res_AllFuels_SEDS_2022_TBtus!$M$3:$M$53,match($B84&amp;K$2,Res_AllFuels_SEDS_2022_TBtus!$B$3:$B$53&amp;Res_AllFuels_SEDS_2022_TBtus!$A$3:$A$53,0))))</f>
        <v>0</v>
      </c>
      <c r="L84" s="75">
        <f t="array" ref="L84">IF(ISERROR(index(Res_AllFuels_SEDS_2022_TBtus!$M$3:$M$53,match($B84&amp;L$2,Res_AllFuels_SEDS_2022_TBtus!$B$3:$B$53&amp;Res_AllFuels_SEDS_2022_TBtus!$A$3:$A$53,0))),0,(index(Res_AllFuels_SEDS_2022_TBtus!$M$3:$M$53,match($B84&amp;L$2,Res_AllFuels_SEDS_2022_TBtus!$B$3:$B$53&amp;Res_AllFuels_SEDS_2022_TBtus!$A$3:$A$53,0))))</f>
        <v>0</v>
      </c>
      <c r="M84" s="75">
        <f t="array" ref="M84">IF(ISERROR(index(Res_AllFuels_SEDS_2022_TBtus!$M$3:$M$53,match($B84&amp;M$2,Res_AllFuels_SEDS_2022_TBtus!$B$3:$B$53&amp;Res_AllFuels_SEDS_2022_TBtus!$A$3:$A$53,0))),0,(index(Res_AllFuels_SEDS_2022_TBtus!$M$3:$M$53,match($B84&amp;M$2,Res_AllFuels_SEDS_2022_TBtus!$B$3:$B$53&amp;Res_AllFuels_SEDS_2022_TBtus!$A$3:$A$53,0))))</f>
        <v>0</v>
      </c>
      <c r="N84" s="75">
        <f t="array" ref="N84">IF(ISERROR(index(Res_AllFuels_SEDS_2022_TBtus!$M$3:$M$53,match($B84&amp;N$2,Res_AllFuels_SEDS_2022_TBtus!$B$3:$B$53&amp;Res_AllFuels_SEDS_2022_TBtus!$A$3:$A$53,0))),0,(index(Res_AllFuels_SEDS_2022_TBtus!$M$3:$M$53,match($B84&amp;N$2,Res_AllFuels_SEDS_2022_TBtus!$B$3:$B$53&amp;Res_AllFuels_SEDS_2022_TBtus!$A$3:$A$53,0))))</f>
        <v>0</v>
      </c>
      <c r="O84" s="75">
        <f t="array" ref="O84">IF(ISERROR(index(Res_AllFuels_SEDS_2022_TBtus!$M$3:$M$53,match($B84&amp;O$2,Res_AllFuels_SEDS_2022_TBtus!$B$3:$B$53&amp;Res_AllFuels_SEDS_2022_TBtus!$A$3:$A$53,0))),0,(index(Res_AllFuels_SEDS_2022_TBtus!$M$3:$M$53,match($B84&amp;O$2,Res_AllFuels_SEDS_2022_TBtus!$B$3:$B$53&amp;Res_AllFuels_SEDS_2022_TBtus!$A$3:$A$53,0))))</f>
        <v>0</v>
      </c>
      <c r="P84" s="75">
        <f t="array" ref="P84">IF(ISERROR(index(Res_AllFuels_SEDS_2022_TBtus!$M$3:$M$53,match($B84&amp;P$2,Res_AllFuels_SEDS_2022_TBtus!$B$3:$B$53&amp;Res_AllFuels_SEDS_2022_TBtus!$A$3:$A$53,0))),0,(index(Res_AllFuels_SEDS_2022_TBtus!$M$3:$M$53,match($B84&amp;P$2,Res_AllFuels_SEDS_2022_TBtus!$B$3:$B$53&amp;Res_AllFuels_SEDS_2022_TBtus!$A$3:$A$53,0))))</f>
        <v>631.9</v>
      </c>
      <c r="Q84" s="75">
        <f t="array" ref="Q84">IF(ISERROR(index(Res_AllFuels_SEDS_2022_TBtus!$M$3:$M$53,match($B84&amp;Q$2,Res_AllFuels_SEDS_2022_TBtus!$B$3:$B$53&amp;Res_AllFuels_SEDS_2022_TBtus!$A$3:$A$53,0))),0,(index(Res_AllFuels_SEDS_2022_TBtus!$M$3:$M$53,match($B84&amp;Q$2,Res_AllFuels_SEDS_2022_TBtus!$B$3:$B$53&amp;Res_AllFuels_SEDS_2022_TBtus!$A$3:$A$53,0))))</f>
        <v>294.1</v>
      </c>
      <c r="R84" s="75">
        <f t="array" ref="R84">IF(ISERROR(index(Res_AllFuels_SEDS_2022_TBtus!$M$3:$M$53,match($B84&amp;R$2,Res_AllFuels_SEDS_2022_TBtus!$B$3:$B$53&amp;Res_AllFuels_SEDS_2022_TBtus!$A$3:$A$53,0))),0,(index(Res_AllFuels_SEDS_2022_TBtus!$M$3:$M$53,match($B84&amp;R$2,Res_AllFuels_SEDS_2022_TBtus!$B$3:$B$53&amp;Res_AllFuels_SEDS_2022_TBtus!$A$3:$A$53,0))))</f>
        <v>0</v>
      </c>
      <c r="S84" s="75">
        <f t="array" ref="S84">IF(ISERROR(index(Res_AllFuels_SEDS_2022_TBtus!$M$3:$M$53,match($B84&amp;S$2,Res_AllFuels_SEDS_2022_TBtus!$B$3:$B$53&amp;Res_AllFuels_SEDS_2022_TBtus!$A$3:$A$53,0))),0,(index(Res_AllFuels_SEDS_2022_TBtus!$M$3:$M$53,match($B84&amp;S$2,Res_AllFuels_SEDS_2022_TBtus!$B$3:$B$53&amp;Res_AllFuels_SEDS_2022_TBtus!$A$3:$A$53,0))))</f>
        <v>0</v>
      </c>
      <c r="T84" s="75">
        <f t="array" ref="T84">IF(ISERROR(index(Res_AllFuels_SEDS_2022_TBtus!$M$3:$M$53,match($B84&amp;T$2,Res_AllFuels_SEDS_2022_TBtus!$B$3:$B$53&amp;Res_AllFuels_SEDS_2022_TBtus!$A$3:$A$53,0))),0,(index(Res_AllFuels_SEDS_2022_TBtus!$M$3:$M$53,match($B84&amp;T$2,Res_AllFuels_SEDS_2022_TBtus!$B$3:$B$53&amp;Res_AllFuels_SEDS_2022_TBtus!$A$3:$A$53,0))))</f>
        <v>0</v>
      </c>
      <c r="U84" s="75">
        <f t="array" ref="U84">IF(ISERROR(index(Res_AllFuels_SEDS_2022_TBtus!$M$3:$M$53,match($B84&amp;U$2,Res_AllFuels_SEDS_2022_TBtus!$B$3:$B$53&amp;Res_AllFuels_SEDS_2022_TBtus!$A$3:$A$53,0))),0,(index(Res_AllFuels_SEDS_2022_TBtus!$M$3:$M$53,match($B84&amp;U$2,Res_AllFuels_SEDS_2022_TBtus!$B$3:$B$53&amp;Res_AllFuels_SEDS_2022_TBtus!$A$3:$A$53,0))))</f>
        <v>0</v>
      </c>
      <c r="V84" s="75">
        <f t="array" ref="V84">IF(ISERROR(index(Res_AllFuels_SEDS_2022_TBtus!$M$3:$M$53,match($B84&amp;V$2,Res_AllFuels_SEDS_2022_TBtus!$B$3:$B$53&amp;Res_AllFuels_SEDS_2022_TBtus!$A$3:$A$53,0))),0,(index(Res_AllFuels_SEDS_2022_TBtus!$M$3:$M$53,match($B84&amp;V$2,Res_AllFuels_SEDS_2022_TBtus!$B$3:$B$53&amp;Res_AllFuels_SEDS_2022_TBtus!$A$3:$A$53,0))))</f>
        <v>0</v>
      </c>
      <c r="W84" s="75">
        <f t="array" ref="W84">IF(ISERROR(index(Res_AllFuels_SEDS_2022_TBtus!$M$3:$M$53,match($B84&amp;W$2,Res_AllFuels_SEDS_2022_TBtus!$B$3:$B$53&amp;Res_AllFuels_SEDS_2022_TBtus!$A$3:$A$53,0))),0,(index(Res_AllFuels_SEDS_2022_TBtus!$M$3:$M$53,match($B84&amp;W$2,Res_AllFuels_SEDS_2022_TBtus!$B$3:$B$53&amp;Res_AllFuels_SEDS_2022_TBtus!$A$3:$A$53,0))))</f>
        <v>0</v>
      </c>
      <c r="X84" s="75">
        <f t="array" ref="X84">IF(ISERROR(index(Res_AllFuels_SEDS_2022_TBtus!$M$3:$M$53,match($B84&amp;X$2,Res_AllFuels_SEDS_2022_TBtus!$B$3:$B$53&amp;Res_AllFuels_SEDS_2022_TBtus!$A$3:$A$53,0))),0,(index(Res_AllFuels_SEDS_2022_TBtus!$M$3:$M$53,match($B84&amp;X$2,Res_AllFuels_SEDS_2022_TBtus!$B$3:$B$53&amp;Res_AllFuels_SEDS_2022_TBtus!$A$3:$A$53,0))))</f>
        <v>0</v>
      </c>
      <c r="Y84" s="75">
        <f t="array" ref="Y84">IF(ISERROR(index(Res_AllFuels_SEDS_2022_TBtus!$M$3:$M$53,match($B84&amp;Y$2,Res_AllFuels_SEDS_2022_TBtus!$B$3:$B$53&amp;Res_AllFuels_SEDS_2022_TBtus!$A$3:$A$53,0))),0,(index(Res_AllFuels_SEDS_2022_TBtus!$M$3:$M$53,match($B84&amp;Y$2,Res_AllFuels_SEDS_2022_TBtus!$B$3:$B$53&amp;Res_AllFuels_SEDS_2022_TBtus!$A$3:$A$53,0))))</f>
        <v>536.1</v>
      </c>
      <c r="Z84" s="75">
        <f t="array" ref="Z84">IF(ISERROR(index(Res_AllFuels_SEDS_2022_TBtus!$M$3:$M$53,match($B84&amp;Z$2,Res_AllFuels_SEDS_2022_TBtus!$B$3:$B$53&amp;Res_AllFuels_SEDS_2022_TBtus!$A$3:$A$53,0))),0,(index(Res_AllFuels_SEDS_2022_TBtus!$M$3:$M$53,match($B84&amp;Z$2,Res_AllFuels_SEDS_2022_TBtus!$B$3:$B$53&amp;Res_AllFuels_SEDS_2022_TBtus!$A$3:$A$53,0))))</f>
        <v>0</v>
      </c>
      <c r="AA84" s="75">
        <f t="array" ref="AA84">IF(ISERROR(index(Res_AllFuels_SEDS_2022_TBtus!$M$3:$M$53,match($B84&amp;AA$2,Res_AllFuels_SEDS_2022_TBtus!$B$3:$B$53&amp;Res_AllFuels_SEDS_2022_TBtus!$A$3:$A$53,0))),0,(index(Res_AllFuels_SEDS_2022_TBtus!$M$3:$M$53,match($B84&amp;AA$2,Res_AllFuels_SEDS_2022_TBtus!$B$3:$B$53&amp;Res_AllFuels_SEDS_2022_TBtus!$A$3:$A$53,0))))</f>
        <v>0</v>
      </c>
      <c r="AB84" s="75">
        <f t="array" ref="AB84">IF(ISERROR(index(Res_AllFuels_SEDS_2022_TBtus!$M$3:$M$53,match($B84&amp;AB$2,Res_AllFuels_SEDS_2022_TBtus!$B$3:$B$53&amp;Res_AllFuels_SEDS_2022_TBtus!$A$3:$A$53,0))),0,(index(Res_AllFuels_SEDS_2022_TBtus!$M$3:$M$53,match($B84&amp;AB$2,Res_AllFuels_SEDS_2022_TBtus!$B$3:$B$53&amp;Res_AllFuels_SEDS_2022_TBtus!$A$3:$A$53,0))))</f>
        <v>0</v>
      </c>
      <c r="AC84" s="75">
        <f t="array" ref="AC84">IF(ISERROR(index(Res_AllFuels_SEDS_2022_TBtus!$M$3:$M$53,match($B84&amp;AC$2,Res_AllFuels_SEDS_2022_TBtus!$B$3:$B$53&amp;Res_AllFuels_SEDS_2022_TBtus!$A$3:$A$53,0))),0,(index(Res_AllFuels_SEDS_2022_TBtus!$M$3:$M$53,match($B84&amp;AC$2,Res_AllFuels_SEDS_2022_TBtus!$B$3:$B$53&amp;Res_AllFuels_SEDS_2022_TBtus!$A$3:$A$53,0))))</f>
        <v>0</v>
      </c>
      <c r="AD84" s="75">
        <f t="array" ref="AD84">IF(ISERROR(index(Res_AllFuels_SEDS_2022_TBtus!$M$3:$M$53,match($B84&amp;AD$2,Res_AllFuels_SEDS_2022_TBtus!$B$3:$B$53&amp;Res_AllFuels_SEDS_2022_TBtus!$A$3:$A$53,0))),0,(index(Res_AllFuels_SEDS_2022_TBtus!$M$3:$M$53,match($B84&amp;AD$2,Res_AllFuels_SEDS_2022_TBtus!$B$3:$B$53&amp;Res_AllFuels_SEDS_2022_TBtus!$A$3:$A$53,0))))</f>
        <v>0</v>
      </c>
      <c r="AE84" s="75">
        <f t="array" ref="AE84">IF(ISERROR(index(Res_AllFuels_SEDS_2022_TBtus!$M$3:$M$53,match($B84&amp;AE$2,Res_AllFuels_SEDS_2022_TBtus!$B$3:$B$53&amp;Res_AllFuels_SEDS_2022_TBtus!$A$3:$A$53,0))),0,(index(Res_AllFuels_SEDS_2022_TBtus!$M$3:$M$53,match($B84&amp;AE$2,Res_AllFuels_SEDS_2022_TBtus!$B$3:$B$53&amp;Res_AllFuels_SEDS_2022_TBtus!$A$3:$A$53,0))))</f>
        <v>0</v>
      </c>
      <c r="AF84" s="75">
        <f t="array" ref="AF84">IF(ISERROR(index(Res_AllFuels_SEDS_2022_TBtus!$M$3:$M$53,match($B84&amp;AF$2,Res_AllFuels_SEDS_2022_TBtus!$B$3:$B$53&amp;Res_AllFuels_SEDS_2022_TBtus!$A$3:$A$53,0))),0,(index(Res_AllFuels_SEDS_2022_TBtus!$M$3:$M$53,match($B84&amp;AF$2,Res_AllFuels_SEDS_2022_TBtus!$B$3:$B$53&amp;Res_AllFuels_SEDS_2022_TBtus!$A$3:$A$53,0))))</f>
        <v>0</v>
      </c>
      <c r="AG84" s="75">
        <f t="array" ref="AG84">IF(ISERROR(index(Res_AllFuels_SEDS_2022_TBtus!$M$3:$M$53,match($B84&amp;AG$2,Res_AllFuels_SEDS_2022_TBtus!$B$3:$B$53&amp;Res_AllFuels_SEDS_2022_TBtus!$A$3:$A$53,0))),0,(index(Res_AllFuels_SEDS_2022_TBtus!$M$3:$M$53,match($B84&amp;AG$2,Res_AllFuels_SEDS_2022_TBtus!$B$3:$B$53&amp;Res_AllFuels_SEDS_2022_TBtus!$A$3:$A$53,0))))</f>
        <v>0</v>
      </c>
      <c r="AH84" s="75">
        <f t="array" ref="AH84">IF(ISERROR(index(Res_AllFuels_SEDS_2022_TBtus!$M$3:$M$53,match($B84&amp;AH$2,Res_AllFuels_SEDS_2022_TBtus!$B$3:$B$53&amp;Res_AllFuels_SEDS_2022_TBtus!$A$3:$A$53,0))),0,(index(Res_AllFuels_SEDS_2022_TBtus!$M$3:$M$53,match($B84&amp;AH$2,Res_AllFuels_SEDS_2022_TBtus!$B$3:$B$53&amp;Res_AllFuels_SEDS_2022_TBtus!$A$3:$A$53,0))))</f>
        <v>0</v>
      </c>
      <c r="AI84" s="75">
        <f t="array" ref="AI84">IF(ISERROR(index(Res_AllFuels_SEDS_2022_TBtus!$M$3:$M$53,match($B84&amp;AI$2,Res_AllFuels_SEDS_2022_TBtus!$B$3:$B$53&amp;Res_AllFuels_SEDS_2022_TBtus!$A$3:$A$53,0))),0,(index(Res_AllFuels_SEDS_2022_TBtus!$M$3:$M$53,match($B84&amp;AI$2,Res_AllFuels_SEDS_2022_TBtus!$B$3:$B$53&amp;Res_AllFuels_SEDS_2022_TBtus!$A$3:$A$53,0))))</f>
        <v>0</v>
      </c>
      <c r="AJ84" s="75">
        <f t="array" ref="AJ84">IF(ISERROR(index(Res_AllFuels_SEDS_2022_TBtus!$M$3:$M$53,match($B84&amp;AJ$2,Res_AllFuels_SEDS_2022_TBtus!$B$3:$B$53&amp;Res_AllFuels_SEDS_2022_TBtus!$A$3:$A$53,0))),0,(index(Res_AllFuels_SEDS_2022_TBtus!$M$3:$M$53,match($B84&amp;AJ$2,Res_AllFuels_SEDS_2022_TBtus!$B$3:$B$53&amp;Res_AllFuels_SEDS_2022_TBtus!$A$3:$A$53,0))))</f>
        <v>0</v>
      </c>
      <c r="AK84" s="75">
        <f t="array" ref="AK84">IF(ISERROR(index(Res_AllFuels_SEDS_2022_TBtus!$M$3:$M$53,match($B84&amp;AK$2,Res_AllFuels_SEDS_2022_TBtus!$B$3:$B$53&amp;Res_AllFuels_SEDS_2022_TBtus!$A$3:$A$53,0))),0,(index(Res_AllFuels_SEDS_2022_TBtus!$M$3:$M$53,match($B84&amp;AK$2,Res_AllFuels_SEDS_2022_TBtus!$B$3:$B$53&amp;Res_AllFuels_SEDS_2022_TBtus!$A$3:$A$53,0))))</f>
        <v>0</v>
      </c>
      <c r="AL84" s="75">
        <f t="array" ref="AL84">IF(ISERROR(index(Res_AllFuels_SEDS_2022_TBtus!$M$3:$M$53,match($B84&amp;AL$2,Res_AllFuels_SEDS_2022_TBtus!$B$3:$B$53&amp;Res_AllFuels_SEDS_2022_TBtus!$A$3:$A$53,0))),0,(index(Res_AllFuels_SEDS_2022_TBtus!$M$3:$M$53,match($B84&amp;AL$2,Res_AllFuels_SEDS_2022_TBtus!$B$3:$B$53&amp;Res_AllFuels_SEDS_2022_TBtus!$A$3:$A$53,0))))</f>
        <v>544</v>
      </c>
      <c r="AM84" s="75">
        <f t="array" ref="AM84">IF(ISERROR(index(Res_AllFuels_SEDS_2022_TBtus!$M$3:$M$53,match($B84&amp;AM$2,Res_AllFuels_SEDS_2022_TBtus!$B$3:$B$53&amp;Res_AllFuels_SEDS_2022_TBtus!$A$3:$A$53,0))),0,(index(Res_AllFuels_SEDS_2022_TBtus!$M$3:$M$53,match($B84&amp;AM$2,Res_AllFuels_SEDS_2022_TBtus!$B$3:$B$53&amp;Res_AllFuels_SEDS_2022_TBtus!$A$3:$A$53,0))))</f>
        <v>0</v>
      </c>
      <c r="AN84" s="75">
        <f t="array" ref="AN84">IF(ISERROR(index(Res_AllFuels_SEDS_2022_TBtus!$M$3:$M$53,match($B84&amp;AN$2,Res_AllFuels_SEDS_2022_TBtus!$B$3:$B$53&amp;Res_AllFuels_SEDS_2022_TBtus!$A$3:$A$53,0))),0,(index(Res_AllFuels_SEDS_2022_TBtus!$M$3:$M$53,match($B84&amp;AN$2,Res_AllFuels_SEDS_2022_TBtus!$B$3:$B$53&amp;Res_AllFuels_SEDS_2022_TBtus!$A$3:$A$53,0))))</f>
        <v>0</v>
      </c>
      <c r="AO84" s="75">
        <f t="array" ref="AO84">IF(ISERROR(index(Res_AllFuels_SEDS_2022_TBtus!$M$3:$M$53,match($B84&amp;AO$2,Res_AllFuels_SEDS_2022_TBtus!$B$3:$B$53&amp;Res_AllFuels_SEDS_2022_TBtus!$A$3:$A$53,0))),0,(index(Res_AllFuels_SEDS_2022_TBtus!$M$3:$M$53,match($B84&amp;AO$2,Res_AllFuels_SEDS_2022_TBtus!$B$3:$B$53&amp;Res_AllFuels_SEDS_2022_TBtus!$A$3:$A$53,0))))</f>
        <v>0</v>
      </c>
      <c r="AP84" s="75">
        <f t="array" ref="AP84">IF(ISERROR(index(Res_AllFuels_SEDS_2022_TBtus!$M$3:$M$53,match($B84&amp;AP$2,Res_AllFuels_SEDS_2022_TBtus!$B$3:$B$53&amp;Res_AllFuels_SEDS_2022_TBtus!$A$3:$A$53,0))),0,(index(Res_AllFuels_SEDS_2022_TBtus!$M$3:$M$53,match($B84&amp;AP$2,Res_AllFuels_SEDS_2022_TBtus!$B$3:$B$53&amp;Res_AllFuels_SEDS_2022_TBtus!$A$3:$A$53,0))))</f>
        <v>0</v>
      </c>
      <c r="AQ84" s="75">
        <f t="array" ref="AQ84">IF(ISERROR(index(Res_AllFuels_SEDS_2022_TBtus!$M$3:$M$53,match($B84&amp;AQ$2,Res_AllFuels_SEDS_2022_TBtus!$B$3:$B$53&amp;Res_AllFuels_SEDS_2022_TBtus!$A$3:$A$53,0))),0,(index(Res_AllFuels_SEDS_2022_TBtus!$M$3:$M$53,match($B84&amp;AQ$2,Res_AllFuels_SEDS_2022_TBtus!$B$3:$B$53&amp;Res_AllFuels_SEDS_2022_TBtus!$A$3:$A$53,0))))</f>
        <v>0</v>
      </c>
      <c r="AR84" s="75">
        <f t="array" ref="AR84">IF(ISERROR(index(Res_AllFuels_SEDS_2022_TBtus!$M$3:$M$53,match($B84&amp;AR$2,Res_AllFuels_SEDS_2022_TBtus!$B$3:$B$53&amp;Res_AllFuels_SEDS_2022_TBtus!$A$3:$A$53,0))),0,(index(Res_AllFuels_SEDS_2022_TBtus!$M$3:$M$53,match($B84&amp;AR$2,Res_AllFuels_SEDS_2022_TBtus!$B$3:$B$53&amp;Res_AllFuels_SEDS_2022_TBtus!$A$3:$A$53,0))))</f>
        <v>0</v>
      </c>
      <c r="AS84" s="75">
        <f t="array" ref="AS84">IF(ISERROR(index(Res_AllFuels_SEDS_2022_TBtus!$M$3:$M$53,match($B84&amp;AS$2,Res_AllFuels_SEDS_2022_TBtus!$B$3:$B$53&amp;Res_AllFuels_SEDS_2022_TBtus!$A$3:$A$53,0))),0,(index(Res_AllFuels_SEDS_2022_TBtus!$M$3:$M$53,match($B84&amp;AS$2,Res_AllFuels_SEDS_2022_TBtus!$B$3:$B$53&amp;Res_AllFuels_SEDS_2022_TBtus!$A$3:$A$53,0))))</f>
        <v>0</v>
      </c>
      <c r="AT84" s="75">
        <f t="array" ref="AT84">IF(ISERROR(index(Res_AllFuels_SEDS_2022_TBtus!$M$3:$M$53,match($B84&amp;AT$2,Res_AllFuels_SEDS_2022_TBtus!$B$3:$B$53&amp;Res_AllFuels_SEDS_2022_TBtus!$A$3:$A$53,0))),0,(index(Res_AllFuels_SEDS_2022_TBtus!$M$3:$M$53,match($B84&amp;AT$2,Res_AllFuels_SEDS_2022_TBtus!$B$3:$B$53&amp;Res_AllFuels_SEDS_2022_TBtus!$A$3:$A$53,0))))</f>
        <v>0</v>
      </c>
      <c r="AU84" s="75">
        <f t="array" ref="AU84">IF(ISERROR(index(Res_AllFuels_SEDS_2022_TBtus!$M$3:$M$53,match($B84&amp;AU$2,Res_AllFuels_SEDS_2022_TBtus!$B$3:$B$53&amp;Res_AllFuels_SEDS_2022_TBtus!$A$3:$A$53,0))),0,(index(Res_AllFuels_SEDS_2022_TBtus!$M$3:$M$53,match($B84&amp;AU$2,Res_AllFuels_SEDS_2022_TBtus!$B$3:$B$53&amp;Res_AllFuels_SEDS_2022_TBtus!$A$3:$A$53,0))))</f>
        <v>0</v>
      </c>
      <c r="AV84" s="75">
        <f t="array" ref="AV84">IF(ISERROR(index(Res_AllFuels_SEDS_2022_TBtus!$M$3:$M$53,match($B84&amp;AV$2,Res_AllFuels_SEDS_2022_TBtus!$B$3:$B$53&amp;Res_AllFuels_SEDS_2022_TBtus!$A$3:$A$53,0))),0,(index(Res_AllFuels_SEDS_2022_TBtus!$M$3:$M$53,match($B84&amp;AV$2,Res_AllFuels_SEDS_2022_TBtus!$B$3:$B$53&amp;Res_AllFuels_SEDS_2022_TBtus!$A$3:$A$53,0))))</f>
        <v>0</v>
      </c>
      <c r="AW84" s="75">
        <f t="array" ref="AW84">IF(ISERROR(index(Res_AllFuels_SEDS_2022_TBtus!$M$3:$M$53,match($B84&amp;AW$2,Res_AllFuels_SEDS_2022_TBtus!$B$3:$B$53&amp;Res_AllFuels_SEDS_2022_TBtus!$A$3:$A$53,0))),0,(index(Res_AllFuels_SEDS_2022_TBtus!$M$3:$M$53,match($B84&amp;AW$2,Res_AllFuels_SEDS_2022_TBtus!$B$3:$B$53&amp;Res_AllFuels_SEDS_2022_TBtus!$A$3:$A$53,0))))</f>
        <v>0</v>
      </c>
      <c r="AX84" s="75">
        <f t="array" ref="AX84">IF(ISERROR(index(Res_AllFuels_SEDS_2022_TBtus!$M$3:$M$53,match($B84&amp;AX$2,Res_AllFuels_SEDS_2022_TBtus!$B$3:$B$53&amp;Res_AllFuels_SEDS_2022_TBtus!$A$3:$A$53,0))),0,(index(Res_AllFuels_SEDS_2022_TBtus!$M$3:$M$53,match($B84&amp;AX$2,Res_AllFuels_SEDS_2022_TBtus!$B$3:$B$53&amp;Res_AllFuels_SEDS_2022_TBtus!$A$3:$A$53,0))))</f>
        <v>0</v>
      </c>
      <c r="AY84" s="75">
        <f t="array" ref="AY84">IF(ISERROR(index(Res_AllFuels_SEDS_2022_TBtus!$M$3:$M$53,match($B84&amp;AY$2,Res_AllFuels_SEDS_2022_TBtus!$B$3:$B$53&amp;Res_AllFuels_SEDS_2022_TBtus!$A$3:$A$53,0))),0,(index(Res_AllFuels_SEDS_2022_TBtus!$M$3:$M$53,match($B84&amp;AY$2,Res_AllFuels_SEDS_2022_TBtus!$B$3:$B$53&amp;Res_AllFuels_SEDS_2022_TBtus!$A$3:$A$53,0))))</f>
        <v>0</v>
      </c>
      <c r="AZ84" s="75">
        <f t="array" ref="AZ84">IF(ISERROR(index(Res_AllFuels_SEDS_2022_TBtus!$M$3:$M$53,match($B84&amp;AZ$2,Res_AllFuels_SEDS_2022_TBtus!$B$3:$B$53&amp;Res_AllFuels_SEDS_2022_TBtus!$A$3:$A$53,0))),0,(index(Res_AllFuels_SEDS_2022_TBtus!$M$3:$M$53,match($B84&amp;AZ$2,Res_AllFuels_SEDS_2022_TBtus!$B$3:$B$53&amp;Res_AllFuels_SEDS_2022_TBtus!$A$3:$A$53,0))))</f>
        <v>294.1</v>
      </c>
      <c r="BA84" s="75">
        <f t="array" ref="BA84">IF(ISERROR(index(Res_AllFuels_SEDS_2022_TBtus!$M$3:$M$53,match($B84&amp;BA$2,Res_AllFuels_SEDS_2022_TBtus!$B$3:$B$53&amp;Res_AllFuels_SEDS_2022_TBtus!$A$3:$A$53,0))),0,(index(Res_AllFuels_SEDS_2022_TBtus!$M$3:$M$53,match($B84&amp;BA$2,Res_AllFuels_SEDS_2022_TBtus!$B$3:$B$53&amp;Res_AllFuels_SEDS_2022_TBtus!$A$3:$A$53,0))))</f>
        <v>0</v>
      </c>
      <c r="BB84" s="74">
        <f t="shared" si="13"/>
        <v>2300.2</v>
      </c>
    </row>
    <row r="85" ht="15.75" customHeight="1">
      <c r="A85" s="78"/>
      <c r="B85" s="74">
        <v>4.0</v>
      </c>
      <c r="C85" s="75">
        <f t="array" ref="C85">IF(ISERROR(index(Res_AllFuels_SEDS_2022_TBtus!$M$3:$M$53,match($B85&amp;C$2,Res_AllFuels_SEDS_2022_TBtus!$B$3:$B$53&amp;Res_AllFuels_SEDS_2022_TBtus!$A$3:$A$53,0))),0,(index(Res_AllFuels_SEDS_2022_TBtus!$M$3:$M$53,match($B85&amp;C$2,Res_AllFuels_SEDS_2022_TBtus!$B$3:$B$53&amp;Res_AllFuels_SEDS_2022_TBtus!$A$3:$A$53,0))))</f>
        <v>0</v>
      </c>
      <c r="D85" s="75">
        <f t="array" ref="D85">IF(ISERROR(index(Res_AllFuels_SEDS_2022_TBtus!$M$3:$M$53,match($B85&amp;D$2,Res_AllFuels_SEDS_2022_TBtus!$B$3:$B$53&amp;Res_AllFuels_SEDS_2022_TBtus!$A$3:$A$53,0))),0,(index(Res_AllFuels_SEDS_2022_TBtus!$M$3:$M$53,match($B85&amp;D$2,Res_AllFuels_SEDS_2022_TBtus!$B$3:$B$53&amp;Res_AllFuels_SEDS_2022_TBtus!$A$3:$A$53,0))))</f>
        <v>0</v>
      </c>
      <c r="E85" s="75">
        <f t="array" ref="E85">IF(ISERROR(index(Res_AllFuels_SEDS_2022_TBtus!$M$3:$M$53,match($B85&amp;E$2,Res_AllFuels_SEDS_2022_TBtus!$B$3:$B$53&amp;Res_AllFuels_SEDS_2022_TBtus!$A$3:$A$53,0))),0,(index(Res_AllFuels_SEDS_2022_TBtus!$M$3:$M$53,match($B85&amp;E$2,Res_AllFuels_SEDS_2022_TBtus!$B$3:$B$53&amp;Res_AllFuels_SEDS_2022_TBtus!$A$3:$A$53,0))))</f>
        <v>0</v>
      </c>
      <c r="F85" s="75">
        <f t="array" ref="F85">IF(ISERROR(index(Res_AllFuels_SEDS_2022_TBtus!$M$3:$M$53,match($B85&amp;F$2,Res_AllFuels_SEDS_2022_TBtus!$B$3:$B$53&amp;Res_AllFuels_SEDS_2022_TBtus!$A$3:$A$53,0))),0,(index(Res_AllFuels_SEDS_2022_TBtus!$M$3:$M$53,match($B85&amp;F$2,Res_AllFuels_SEDS_2022_TBtus!$B$3:$B$53&amp;Res_AllFuels_SEDS_2022_TBtus!$A$3:$A$53,0))))</f>
        <v>0</v>
      </c>
      <c r="G85" s="75">
        <f t="array" ref="G85">IF(ISERROR(index(Res_AllFuels_SEDS_2022_TBtus!$M$3:$M$53,match($B85&amp;G$2,Res_AllFuels_SEDS_2022_TBtus!$B$3:$B$53&amp;Res_AllFuels_SEDS_2022_TBtus!$A$3:$A$53,0))),0,(index(Res_AllFuels_SEDS_2022_TBtus!$M$3:$M$53,match($B85&amp;G$2,Res_AllFuels_SEDS_2022_TBtus!$B$3:$B$53&amp;Res_AllFuels_SEDS_2022_TBtus!$A$3:$A$53,0))))</f>
        <v>0</v>
      </c>
      <c r="H85" s="75">
        <f t="array" ref="H85">IF(ISERROR(index(Res_AllFuels_SEDS_2022_TBtus!$M$3:$M$53,match($B85&amp;H$2,Res_AllFuels_SEDS_2022_TBtus!$B$3:$B$53&amp;Res_AllFuels_SEDS_2022_TBtus!$A$3:$A$53,0))),0,(index(Res_AllFuels_SEDS_2022_TBtus!$M$3:$M$53,match($B85&amp;H$2,Res_AllFuels_SEDS_2022_TBtus!$B$3:$B$53&amp;Res_AllFuels_SEDS_2022_TBtus!$A$3:$A$53,0))))</f>
        <v>0</v>
      </c>
      <c r="I85" s="75">
        <f t="array" ref="I85">IF(ISERROR(index(Res_AllFuels_SEDS_2022_TBtus!$M$3:$M$53,match($B85&amp;I$2,Res_AllFuels_SEDS_2022_TBtus!$B$3:$B$53&amp;Res_AllFuels_SEDS_2022_TBtus!$A$3:$A$53,0))),0,(index(Res_AllFuels_SEDS_2022_TBtus!$M$3:$M$53,match($B85&amp;I$2,Res_AllFuels_SEDS_2022_TBtus!$B$3:$B$53&amp;Res_AllFuels_SEDS_2022_TBtus!$A$3:$A$53,0))))</f>
        <v>0</v>
      </c>
      <c r="J85" s="75">
        <f t="array" ref="J85">IF(ISERROR(index(Res_AllFuels_SEDS_2022_TBtus!$M$3:$M$53,match($B85&amp;J$2,Res_AllFuels_SEDS_2022_TBtus!$B$3:$B$53&amp;Res_AllFuels_SEDS_2022_TBtus!$A$3:$A$53,0))),0,(index(Res_AllFuels_SEDS_2022_TBtus!$M$3:$M$53,match($B85&amp;J$2,Res_AllFuels_SEDS_2022_TBtus!$B$3:$B$53&amp;Res_AllFuels_SEDS_2022_TBtus!$A$3:$A$53,0))))</f>
        <v>0</v>
      </c>
      <c r="K85" s="75">
        <f t="array" ref="K85">IF(ISERROR(index(Res_AllFuels_SEDS_2022_TBtus!$M$3:$M$53,match($B85&amp;K$2,Res_AllFuels_SEDS_2022_TBtus!$B$3:$B$53&amp;Res_AllFuels_SEDS_2022_TBtus!$A$3:$A$53,0))),0,(index(Res_AllFuels_SEDS_2022_TBtus!$M$3:$M$53,match($B85&amp;K$2,Res_AllFuels_SEDS_2022_TBtus!$B$3:$B$53&amp;Res_AllFuels_SEDS_2022_TBtus!$A$3:$A$53,0))))</f>
        <v>0</v>
      </c>
      <c r="L85" s="75">
        <f t="array" ref="L85">IF(ISERROR(index(Res_AllFuels_SEDS_2022_TBtus!$M$3:$M$53,match($B85&amp;L$2,Res_AllFuels_SEDS_2022_TBtus!$B$3:$B$53&amp;Res_AllFuels_SEDS_2022_TBtus!$A$3:$A$53,0))),0,(index(Res_AllFuels_SEDS_2022_TBtus!$M$3:$M$53,match($B85&amp;L$2,Res_AllFuels_SEDS_2022_TBtus!$B$3:$B$53&amp;Res_AllFuels_SEDS_2022_TBtus!$A$3:$A$53,0))))</f>
        <v>0</v>
      </c>
      <c r="M85" s="75">
        <f t="array" ref="M85">IF(ISERROR(index(Res_AllFuels_SEDS_2022_TBtus!$M$3:$M$53,match($B85&amp;M$2,Res_AllFuels_SEDS_2022_TBtus!$B$3:$B$53&amp;Res_AllFuels_SEDS_2022_TBtus!$A$3:$A$53,0))),0,(index(Res_AllFuels_SEDS_2022_TBtus!$M$3:$M$53,match($B85&amp;M$2,Res_AllFuels_SEDS_2022_TBtus!$B$3:$B$53&amp;Res_AllFuels_SEDS_2022_TBtus!$A$3:$A$53,0))))</f>
        <v>0</v>
      </c>
      <c r="N85" s="75">
        <f t="array" ref="N85">IF(ISERROR(index(Res_AllFuels_SEDS_2022_TBtus!$M$3:$M$53,match($B85&amp;N$2,Res_AllFuels_SEDS_2022_TBtus!$B$3:$B$53&amp;Res_AllFuels_SEDS_2022_TBtus!$A$3:$A$53,0))),0,(index(Res_AllFuels_SEDS_2022_TBtus!$M$3:$M$53,match($B85&amp;N$2,Res_AllFuels_SEDS_2022_TBtus!$B$3:$B$53&amp;Res_AllFuels_SEDS_2022_TBtus!$A$3:$A$53,0))))</f>
        <v>0</v>
      </c>
      <c r="O85" s="75">
        <f t="array" ref="O85">IF(ISERROR(index(Res_AllFuels_SEDS_2022_TBtus!$M$3:$M$53,match($B85&amp;O$2,Res_AllFuels_SEDS_2022_TBtus!$B$3:$B$53&amp;Res_AllFuels_SEDS_2022_TBtus!$A$3:$A$53,0))),0,(index(Res_AllFuels_SEDS_2022_TBtus!$M$3:$M$53,match($B85&amp;O$2,Res_AllFuels_SEDS_2022_TBtus!$B$3:$B$53&amp;Res_AllFuels_SEDS_2022_TBtus!$A$3:$A$53,0))))</f>
        <v>0</v>
      </c>
      <c r="P85" s="75">
        <f t="array" ref="P85">IF(ISERROR(index(Res_AllFuels_SEDS_2022_TBtus!$M$3:$M$53,match($B85&amp;P$2,Res_AllFuels_SEDS_2022_TBtus!$B$3:$B$53&amp;Res_AllFuels_SEDS_2022_TBtus!$A$3:$A$53,0))),0,(index(Res_AllFuels_SEDS_2022_TBtus!$M$3:$M$53,match($B85&amp;P$2,Res_AllFuels_SEDS_2022_TBtus!$B$3:$B$53&amp;Res_AllFuels_SEDS_2022_TBtus!$A$3:$A$53,0))))</f>
        <v>0</v>
      </c>
      <c r="Q85" s="75">
        <f t="array" ref="Q85">IF(ISERROR(index(Res_AllFuels_SEDS_2022_TBtus!$M$3:$M$53,match($B85&amp;Q$2,Res_AllFuels_SEDS_2022_TBtus!$B$3:$B$53&amp;Res_AllFuels_SEDS_2022_TBtus!$A$3:$A$53,0))),0,(index(Res_AllFuels_SEDS_2022_TBtus!$M$3:$M$53,match($B85&amp;Q$2,Res_AllFuels_SEDS_2022_TBtus!$B$3:$B$53&amp;Res_AllFuels_SEDS_2022_TBtus!$A$3:$A$53,0))))</f>
        <v>0</v>
      </c>
      <c r="R85" s="75">
        <f t="array" ref="R85">IF(ISERROR(index(Res_AllFuels_SEDS_2022_TBtus!$M$3:$M$53,match($B85&amp;R$2,Res_AllFuels_SEDS_2022_TBtus!$B$3:$B$53&amp;Res_AllFuels_SEDS_2022_TBtus!$A$3:$A$53,0))),0,(index(Res_AllFuels_SEDS_2022_TBtus!$M$3:$M$53,match($B85&amp;R$2,Res_AllFuels_SEDS_2022_TBtus!$B$3:$B$53&amp;Res_AllFuels_SEDS_2022_TBtus!$A$3:$A$53,0))))</f>
        <v>155.2</v>
      </c>
      <c r="S85" s="75">
        <f t="array" ref="S85">IF(ISERROR(index(Res_AllFuels_SEDS_2022_TBtus!$M$3:$M$53,match($B85&amp;S$2,Res_AllFuels_SEDS_2022_TBtus!$B$3:$B$53&amp;Res_AllFuels_SEDS_2022_TBtus!$A$3:$A$53,0))),0,(index(Res_AllFuels_SEDS_2022_TBtus!$M$3:$M$53,match($B85&amp;S$2,Res_AllFuels_SEDS_2022_TBtus!$B$3:$B$53&amp;Res_AllFuels_SEDS_2022_TBtus!$A$3:$A$53,0))))</f>
        <v>129.1</v>
      </c>
      <c r="T85" s="75">
        <f t="array" ref="T85">IF(ISERROR(index(Res_AllFuels_SEDS_2022_TBtus!$M$3:$M$53,match($B85&amp;T$2,Res_AllFuels_SEDS_2022_TBtus!$B$3:$B$53&amp;Res_AllFuels_SEDS_2022_TBtus!$A$3:$A$53,0))),0,(index(Res_AllFuels_SEDS_2022_TBtus!$M$3:$M$53,match($B85&amp;T$2,Res_AllFuels_SEDS_2022_TBtus!$B$3:$B$53&amp;Res_AllFuels_SEDS_2022_TBtus!$A$3:$A$53,0))))</f>
        <v>0</v>
      </c>
      <c r="U85" s="75">
        <f t="array" ref="U85">IF(ISERROR(index(Res_AllFuels_SEDS_2022_TBtus!$M$3:$M$53,match($B85&amp;U$2,Res_AllFuels_SEDS_2022_TBtus!$B$3:$B$53&amp;Res_AllFuels_SEDS_2022_TBtus!$A$3:$A$53,0))),0,(index(Res_AllFuels_SEDS_2022_TBtus!$M$3:$M$53,match($B85&amp;U$2,Res_AllFuels_SEDS_2022_TBtus!$B$3:$B$53&amp;Res_AllFuels_SEDS_2022_TBtus!$A$3:$A$53,0))))</f>
        <v>0</v>
      </c>
      <c r="V85" s="75">
        <f t="array" ref="V85">IF(ISERROR(index(Res_AllFuels_SEDS_2022_TBtus!$M$3:$M$53,match($B85&amp;V$2,Res_AllFuels_SEDS_2022_TBtus!$B$3:$B$53&amp;Res_AllFuels_SEDS_2022_TBtus!$A$3:$A$53,0))),0,(index(Res_AllFuels_SEDS_2022_TBtus!$M$3:$M$53,match($B85&amp;V$2,Res_AllFuels_SEDS_2022_TBtus!$B$3:$B$53&amp;Res_AllFuels_SEDS_2022_TBtus!$A$3:$A$53,0))))</f>
        <v>0</v>
      </c>
      <c r="W85" s="75">
        <f t="array" ref="W85">IF(ISERROR(index(Res_AllFuels_SEDS_2022_TBtus!$M$3:$M$53,match($B85&amp;W$2,Res_AllFuels_SEDS_2022_TBtus!$B$3:$B$53&amp;Res_AllFuels_SEDS_2022_TBtus!$A$3:$A$53,0))),0,(index(Res_AllFuels_SEDS_2022_TBtus!$M$3:$M$53,match($B85&amp;W$2,Res_AllFuels_SEDS_2022_TBtus!$B$3:$B$53&amp;Res_AllFuels_SEDS_2022_TBtus!$A$3:$A$53,0))))</f>
        <v>0</v>
      </c>
      <c r="X85" s="75">
        <f t="array" ref="X85">IF(ISERROR(index(Res_AllFuels_SEDS_2022_TBtus!$M$3:$M$53,match($B85&amp;X$2,Res_AllFuels_SEDS_2022_TBtus!$B$3:$B$53&amp;Res_AllFuels_SEDS_2022_TBtus!$A$3:$A$53,0))),0,(index(Res_AllFuels_SEDS_2022_TBtus!$M$3:$M$53,match($B85&amp;X$2,Res_AllFuels_SEDS_2022_TBtus!$B$3:$B$53&amp;Res_AllFuels_SEDS_2022_TBtus!$A$3:$A$53,0))))</f>
        <v>0</v>
      </c>
      <c r="Y85" s="75">
        <f t="array" ref="Y85">IF(ISERROR(index(Res_AllFuels_SEDS_2022_TBtus!$M$3:$M$53,match($B85&amp;Y$2,Res_AllFuels_SEDS_2022_TBtus!$B$3:$B$53&amp;Res_AllFuels_SEDS_2022_TBtus!$A$3:$A$53,0))),0,(index(Res_AllFuels_SEDS_2022_TBtus!$M$3:$M$53,match($B85&amp;Y$2,Res_AllFuels_SEDS_2022_TBtus!$B$3:$B$53&amp;Res_AllFuels_SEDS_2022_TBtus!$A$3:$A$53,0))))</f>
        <v>0</v>
      </c>
      <c r="Z85" s="75">
        <f t="array" ref="Z85">IF(ISERROR(index(Res_AllFuels_SEDS_2022_TBtus!$M$3:$M$53,match($B85&amp;Z$2,Res_AllFuels_SEDS_2022_TBtus!$B$3:$B$53&amp;Res_AllFuels_SEDS_2022_TBtus!$A$3:$A$53,0))),0,(index(Res_AllFuels_SEDS_2022_TBtus!$M$3:$M$53,match($B85&amp;Z$2,Res_AllFuels_SEDS_2022_TBtus!$B$3:$B$53&amp;Res_AllFuels_SEDS_2022_TBtus!$A$3:$A$53,0))))</f>
        <v>290</v>
      </c>
      <c r="AA85" s="75">
        <f t="array" ref="AA85">IF(ISERROR(index(Res_AllFuels_SEDS_2022_TBtus!$M$3:$M$53,match($B85&amp;AA$2,Res_AllFuels_SEDS_2022_TBtus!$B$3:$B$53&amp;Res_AllFuels_SEDS_2022_TBtus!$A$3:$A$53,0))),0,(index(Res_AllFuels_SEDS_2022_TBtus!$M$3:$M$53,match($B85&amp;AA$2,Res_AllFuels_SEDS_2022_TBtus!$B$3:$B$53&amp;Res_AllFuels_SEDS_2022_TBtus!$A$3:$A$53,0))))</f>
        <v>0</v>
      </c>
      <c r="AB85" s="75">
        <f t="array" ref="AB85">IF(ISERROR(index(Res_AllFuels_SEDS_2022_TBtus!$M$3:$M$53,match($B85&amp;AB$2,Res_AllFuels_SEDS_2022_TBtus!$B$3:$B$53&amp;Res_AllFuels_SEDS_2022_TBtus!$A$3:$A$53,0))),0,(index(Res_AllFuels_SEDS_2022_TBtus!$M$3:$M$53,match($B85&amp;AB$2,Res_AllFuels_SEDS_2022_TBtus!$B$3:$B$53&amp;Res_AllFuels_SEDS_2022_TBtus!$A$3:$A$53,0))))</f>
        <v>269.5</v>
      </c>
      <c r="AC85" s="75">
        <f t="array" ref="AC85">IF(ISERROR(index(Res_AllFuels_SEDS_2022_TBtus!$M$3:$M$53,match($B85&amp;AC$2,Res_AllFuels_SEDS_2022_TBtus!$B$3:$B$53&amp;Res_AllFuels_SEDS_2022_TBtus!$A$3:$A$53,0))),0,(index(Res_AllFuels_SEDS_2022_TBtus!$M$3:$M$53,match($B85&amp;AC$2,Res_AllFuels_SEDS_2022_TBtus!$B$3:$B$53&amp;Res_AllFuels_SEDS_2022_TBtus!$A$3:$A$53,0))))</f>
        <v>0</v>
      </c>
      <c r="AD85" s="75">
        <f t="array" ref="AD85">IF(ISERROR(index(Res_AllFuels_SEDS_2022_TBtus!$M$3:$M$53,match($B85&amp;AD$2,Res_AllFuels_SEDS_2022_TBtus!$B$3:$B$53&amp;Res_AllFuels_SEDS_2022_TBtus!$A$3:$A$53,0))),0,(index(Res_AllFuels_SEDS_2022_TBtus!$M$3:$M$53,match($B85&amp;AD$2,Res_AllFuels_SEDS_2022_TBtus!$B$3:$B$53&amp;Res_AllFuels_SEDS_2022_TBtus!$A$3:$A$53,0))))</f>
        <v>87.2</v>
      </c>
      <c r="AE85" s="75">
        <f t="array" ref="AE85">IF(ISERROR(index(Res_AllFuels_SEDS_2022_TBtus!$M$3:$M$53,match($B85&amp;AE$2,Res_AllFuels_SEDS_2022_TBtus!$B$3:$B$53&amp;Res_AllFuels_SEDS_2022_TBtus!$A$3:$A$53,0))),0,(index(Res_AllFuels_SEDS_2022_TBtus!$M$3:$M$53,match($B85&amp;AE$2,Res_AllFuels_SEDS_2022_TBtus!$B$3:$B$53&amp;Res_AllFuels_SEDS_2022_TBtus!$A$3:$A$53,0))))</f>
        <v>0</v>
      </c>
      <c r="AF85" s="75">
        <f t="array" ref="AF85">IF(ISERROR(index(Res_AllFuels_SEDS_2022_TBtus!$M$3:$M$53,match($B85&amp;AF$2,Res_AllFuels_SEDS_2022_TBtus!$B$3:$B$53&amp;Res_AllFuels_SEDS_2022_TBtus!$A$3:$A$53,0))),0,(index(Res_AllFuels_SEDS_2022_TBtus!$M$3:$M$53,match($B85&amp;AF$2,Res_AllFuels_SEDS_2022_TBtus!$B$3:$B$53&amp;Res_AllFuels_SEDS_2022_TBtus!$A$3:$A$53,0))))</f>
        <v>0</v>
      </c>
      <c r="AG85" s="75">
        <f t="array" ref="AG85">IF(ISERROR(index(Res_AllFuels_SEDS_2022_TBtus!$M$3:$M$53,match($B85&amp;AG$2,Res_AllFuels_SEDS_2022_TBtus!$B$3:$B$53&amp;Res_AllFuels_SEDS_2022_TBtus!$A$3:$A$53,0))),0,(index(Res_AllFuels_SEDS_2022_TBtus!$M$3:$M$53,match($B85&amp;AG$2,Res_AllFuels_SEDS_2022_TBtus!$B$3:$B$53&amp;Res_AllFuels_SEDS_2022_TBtus!$A$3:$A$53,0))))</f>
        <v>0</v>
      </c>
      <c r="AH85" s="75">
        <f t="array" ref="AH85">IF(ISERROR(index(Res_AllFuels_SEDS_2022_TBtus!$M$3:$M$53,match($B85&amp;AH$2,Res_AllFuels_SEDS_2022_TBtus!$B$3:$B$53&amp;Res_AllFuels_SEDS_2022_TBtus!$A$3:$A$53,0))),0,(index(Res_AllFuels_SEDS_2022_TBtus!$M$3:$M$53,match($B85&amp;AH$2,Res_AllFuels_SEDS_2022_TBtus!$B$3:$B$53&amp;Res_AllFuels_SEDS_2022_TBtus!$A$3:$A$53,0))))</f>
        <v>0</v>
      </c>
      <c r="AI85" s="75">
        <f t="array" ref="AI85">IF(ISERROR(index(Res_AllFuels_SEDS_2022_TBtus!$M$3:$M$53,match($B85&amp;AI$2,Res_AllFuels_SEDS_2022_TBtus!$B$3:$B$53&amp;Res_AllFuels_SEDS_2022_TBtus!$A$3:$A$53,0))),0,(index(Res_AllFuels_SEDS_2022_TBtus!$M$3:$M$53,match($B85&amp;AI$2,Res_AllFuels_SEDS_2022_TBtus!$B$3:$B$53&amp;Res_AllFuels_SEDS_2022_TBtus!$A$3:$A$53,0))))</f>
        <v>0</v>
      </c>
      <c r="AJ85" s="75">
        <f t="array" ref="AJ85">IF(ISERROR(index(Res_AllFuels_SEDS_2022_TBtus!$M$3:$M$53,match($B85&amp;AJ$2,Res_AllFuels_SEDS_2022_TBtus!$B$3:$B$53&amp;Res_AllFuels_SEDS_2022_TBtus!$A$3:$A$53,0))),0,(index(Res_AllFuels_SEDS_2022_TBtus!$M$3:$M$53,match($B85&amp;AJ$2,Res_AllFuels_SEDS_2022_TBtus!$B$3:$B$53&amp;Res_AllFuels_SEDS_2022_TBtus!$A$3:$A$53,0))))</f>
        <v>0</v>
      </c>
      <c r="AK85" s="75">
        <f t="array" ref="AK85">IF(ISERROR(index(Res_AllFuels_SEDS_2022_TBtus!$M$3:$M$53,match($B85&amp;AK$2,Res_AllFuels_SEDS_2022_TBtus!$B$3:$B$53&amp;Res_AllFuels_SEDS_2022_TBtus!$A$3:$A$53,0))),0,(index(Res_AllFuels_SEDS_2022_TBtus!$M$3:$M$53,match($B85&amp;AK$2,Res_AllFuels_SEDS_2022_TBtus!$B$3:$B$53&amp;Res_AllFuels_SEDS_2022_TBtus!$A$3:$A$53,0))))</f>
        <v>40.4</v>
      </c>
      <c r="AL85" s="75">
        <f t="array" ref="AL85">IF(ISERROR(index(Res_AllFuels_SEDS_2022_TBtus!$M$3:$M$53,match($B85&amp;AL$2,Res_AllFuels_SEDS_2022_TBtus!$B$3:$B$53&amp;Res_AllFuels_SEDS_2022_TBtus!$A$3:$A$53,0))),0,(index(Res_AllFuels_SEDS_2022_TBtus!$M$3:$M$53,match($B85&amp;AL$2,Res_AllFuels_SEDS_2022_TBtus!$B$3:$B$53&amp;Res_AllFuels_SEDS_2022_TBtus!$A$3:$A$53,0))))</f>
        <v>0</v>
      </c>
      <c r="AM85" s="75">
        <f t="array" ref="AM85">IF(ISERROR(index(Res_AllFuels_SEDS_2022_TBtus!$M$3:$M$53,match($B85&amp;AM$2,Res_AllFuels_SEDS_2022_TBtus!$B$3:$B$53&amp;Res_AllFuels_SEDS_2022_TBtus!$A$3:$A$53,0))),0,(index(Res_AllFuels_SEDS_2022_TBtus!$M$3:$M$53,match($B85&amp;AM$2,Res_AllFuels_SEDS_2022_TBtus!$B$3:$B$53&amp;Res_AllFuels_SEDS_2022_TBtus!$A$3:$A$53,0))))</f>
        <v>0</v>
      </c>
      <c r="AN85" s="75">
        <f t="array" ref="AN85">IF(ISERROR(index(Res_AllFuels_SEDS_2022_TBtus!$M$3:$M$53,match($B85&amp;AN$2,Res_AllFuels_SEDS_2022_TBtus!$B$3:$B$53&amp;Res_AllFuels_SEDS_2022_TBtus!$A$3:$A$53,0))),0,(index(Res_AllFuels_SEDS_2022_TBtus!$M$3:$M$53,match($B85&amp;AN$2,Res_AllFuels_SEDS_2022_TBtus!$B$3:$B$53&amp;Res_AllFuels_SEDS_2022_TBtus!$A$3:$A$53,0))))</f>
        <v>0</v>
      </c>
      <c r="AO85" s="75">
        <f t="array" ref="AO85">IF(ISERROR(index(Res_AllFuels_SEDS_2022_TBtus!$M$3:$M$53,match($B85&amp;AO$2,Res_AllFuels_SEDS_2022_TBtus!$B$3:$B$53&amp;Res_AllFuels_SEDS_2022_TBtus!$A$3:$A$53,0))),0,(index(Res_AllFuels_SEDS_2022_TBtus!$M$3:$M$53,match($B85&amp;AO$2,Res_AllFuels_SEDS_2022_TBtus!$B$3:$B$53&amp;Res_AllFuels_SEDS_2022_TBtus!$A$3:$A$53,0))))</f>
        <v>0</v>
      </c>
      <c r="AP85" s="75">
        <f t="array" ref="AP85">IF(ISERROR(index(Res_AllFuels_SEDS_2022_TBtus!$M$3:$M$53,match($B85&amp;AP$2,Res_AllFuels_SEDS_2022_TBtus!$B$3:$B$53&amp;Res_AllFuels_SEDS_2022_TBtus!$A$3:$A$53,0))),0,(index(Res_AllFuels_SEDS_2022_TBtus!$M$3:$M$53,match($B85&amp;AP$2,Res_AllFuels_SEDS_2022_TBtus!$B$3:$B$53&amp;Res_AllFuels_SEDS_2022_TBtus!$A$3:$A$53,0))))</f>
        <v>0</v>
      </c>
      <c r="AQ85" s="75">
        <f t="array" ref="AQ85">IF(ISERROR(index(Res_AllFuels_SEDS_2022_TBtus!$M$3:$M$53,match($B85&amp;AQ$2,Res_AllFuels_SEDS_2022_TBtus!$B$3:$B$53&amp;Res_AllFuels_SEDS_2022_TBtus!$A$3:$A$53,0))),0,(index(Res_AllFuels_SEDS_2022_TBtus!$M$3:$M$53,match($B85&amp;AQ$2,Res_AllFuels_SEDS_2022_TBtus!$B$3:$B$53&amp;Res_AllFuels_SEDS_2022_TBtus!$A$3:$A$53,0))))</f>
        <v>0</v>
      </c>
      <c r="AR85" s="75">
        <f t="array" ref="AR85">IF(ISERROR(index(Res_AllFuels_SEDS_2022_TBtus!$M$3:$M$53,match($B85&amp;AR$2,Res_AllFuels_SEDS_2022_TBtus!$B$3:$B$53&amp;Res_AllFuels_SEDS_2022_TBtus!$A$3:$A$53,0))),0,(index(Res_AllFuels_SEDS_2022_TBtus!$M$3:$M$53,match($B85&amp;AR$2,Res_AllFuels_SEDS_2022_TBtus!$B$3:$B$53&amp;Res_AllFuels_SEDS_2022_TBtus!$A$3:$A$53,0))))</f>
        <v>41.3</v>
      </c>
      <c r="AS85" s="75">
        <f t="array" ref="AS85">IF(ISERROR(index(Res_AllFuels_SEDS_2022_TBtus!$M$3:$M$53,match($B85&amp;AS$2,Res_AllFuels_SEDS_2022_TBtus!$B$3:$B$53&amp;Res_AllFuels_SEDS_2022_TBtus!$A$3:$A$53,0))),0,(index(Res_AllFuels_SEDS_2022_TBtus!$M$3:$M$53,match($B85&amp;AS$2,Res_AllFuels_SEDS_2022_TBtus!$B$3:$B$53&amp;Res_AllFuels_SEDS_2022_TBtus!$A$3:$A$53,0))))</f>
        <v>0</v>
      </c>
      <c r="AT85" s="75">
        <f t="array" ref="AT85">IF(ISERROR(index(Res_AllFuels_SEDS_2022_TBtus!$M$3:$M$53,match($B85&amp;AT$2,Res_AllFuels_SEDS_2022_TBtus!$B$3:$B$53&amp;Res_AllFuels_SEDS_2022_TBtus!$A$3:$A$53,0))),0,(index(Res_AllFuels_SEDS_2022_TBtus!$M$3:$M$53,match($B85&amp;AT$2,Res_AllFuels_SEDS_2022_TBtus!$B$3:$B$53&amp;Res_AllFuels_SEDS_2022_TBtus!$A$3:$A$53,0))))</f>
        <v>0</v>
      </c>
      <c r="AU85" s="75">
        <f t="array" ref="AU85">IF(ISERROR(index(Res_AllFuels_SEDS_2022_TBtus!$M$3:$M$53,match($B85&amp;AU$2,Res_AllFuels_SEDS_2022_TBtus!$B$3:$B$53&amp;Res_AllFuels_SEDS_2022_TBtus!$A$3:$A$53,0))),0,(index(Res_AllFuels_SEDS_2022_TBtus!$M$3:$M$53,match($B85&amp;AU$2,Res_AllFuels_SEDS_2022_TBtus!$B$3:$B$53&amp;Res_AllFuels_SEDS_2022_TBtus!$A$3:$A$53,0))))</f>
        <v>0</v>
      </c>
      <c r="AV85" s="75">
        <f t="array" ref="AV85">IF(ISERROR(index(Res_AllFuels_SEDS_2022_TBtus!$M$3:$M$53,match($B85&amp;AV$2,Res_AllFuels_SEDS_2022_TBtus!$B$3:$B$53&amp;Res_AllFuels_SEDS_2022_TBtus!$A$3:$A$53,0))),0,(index(Res_AllFuels_SEDS_2022_TBtus!$M$3:$M$53,match($B85&amp;AV$2,Res_AllFuels_SEDS_2022_TBtus!$B$3:$B$53&amp;Res_AllFuels_SEDS_2022_TBtus!$A$3:$A$53,0))))</f>
        <v>0</v>
      </c>
      <c r="AW85" s="75">
        <f t="array" ref="AW85">IF(ISERROR(index(Res_AllFuels_SEDS_2022_TBtus!$M$3:$M$53,match($B85&amp;AW$2,Res_AllFuels_SEDS_2022_TBtus!$B$3:$B$53&amp;Res_AllFuels_SEDS_2022_TBtus!$A$3:$A$53,0))),0,(index(Res_AllFuels_SEDS_2022_TBtus!$M$3:$M$53,match($B85&amp;AW$2,Res_AllFuels_SEDS_2022_TBtus!$B$3:$B$53&amp;Res_AllFuels_SEDS_2022_TBtus!$A$3:$A$53,0))))</f>
        <v>0</v>
      </c>
      <c r="AX85" s="75">
        <f t="array" ref="AX85">IF(ISERROR(index(Res_AllFuels_SEDS_2022_TBtus!$M$3:$M$53,match($B85&amp;AX$2,Res_AllFuels_SEDS_2022_TBtus!$B$3:$B$53&amp;Res_AllFuels_SEDS_2022_TBtus!$A$3:$A$53,0))),0,(index(Res_AllFuels_SEDS_2022_TBtus!$M$3:$M$53,match($B85&amp;AX$2,Res_AllFuels_SEDS_2022_TBtus!$B$3:$B$53&amp;Res_AllFuels_SEDS_2022_TBtus!$A$3:$A$53,0))))</f>
        <v>0</v>
      </c>
      <c r="AY85" s="75">
        <f t="array" ref="AY85">IF(ISERROR(index(Res_AllFuels_SEDS_2022_TBtus!$M$3:$M$53,match($B85&amp;AY$2,Res_AllFuels_SEDS_2022_TBtus!$B$3:$B$53&amp;Res_AllFuels_SEDS_2022_TBtus!$A$3:$A$53,0))),0,(index(Res_AllFuels_SEDS_2022_TBtus!$M$3:$M$53,match($B85&amp;AY$2,Res_AllFuels_SEDS_2022_TBtus!$B$3:$B$53&amp;Res_AllFuels_SEDS_2022_TBtus!$A$3:$A$53,0))))</f>
        <v>0</v>
      </c>
      <c r="AZ85" s="75">
        <f t="array" ref="AZ85">IF(ISERROR(index(Res_AllFuels_SEDS_2022_TBtus!$M$3:$M$53,match($B85&amp;AZ$2,Res_AllFuels_SEDS_2022_TBtus!$B$3:$B$53&amp;Res_AllFuels_SEDS_2022_TBtus!$A$3:$A$53,0))),0,(index(Res_AllFuels_SEDS_2022_TBtus!$M$3:$M$53,match($B85&amp;AZ$2,Res_AllFuels_SEDS_2022_TBtus!$B$3:$B$53&amp;Res_AllFuels_SEDS_2022_TBtus!$A$3:$A$53,0))))</f>
        <v>0</v>
      </c>
      <c r="BA85" s="75">
        <f t="array" ref="BA85">IF(ISERROR(index(Res_AllFuels_SEDS_2022_TBtus!$M$3:$M$53,match($B85&amp;BA$2,Res_AllFuels_SEDS_2022_TBtus!$B$3:$B$53&amp;Res_AllFuels_SEDS_2022_TBtus!$A$3:$A$53,0))),0,(index(Res_AllFuels_SEDS_2022_TBtus!$M$3:$M$53,match($B85&amp;BA$2,Res_AllFuels_SEDS_2022_TBtus!$B$3:$B$53&amp;Res_AllFuels_SEDS_2022_TBtus!$A$3:$A$53,0))))</f>
        <v>0</v>
      </c>
      <c r="BB85" s="74">
        <f t="shared" si="13"/>
        <v>1012.7</v>
      </c>
    </row>
    <row r="86" ht="15.75" customHeight="1">
      <c r="A86" s="78"/>
      <c r="B86" s="74">
        <v>5.0</v>
      </c>
      <c r="C86" s="75">
        <f t="array" ref="C86">IF(ISERROR(index(Res_AllFuels_SEDS_2022_TBtus!$M$3:$M$53,match($B86&amp;C$2,Res_AllFuels_SEDS_2022_TBtus!$B$3:$B$53&amp;Res_AllFuels_SEDS_2022_TBtus!$A$3:$A$53,0))),0,(index(Res_AllFuels_SEDS_2022_TBtus!$M$3:$M$53,match($B86&amp;C$2,Res_AllFuels_SEDS_2022_TBtus!$B$3:$B$53&amp;Res_AllFuels_SEDS_2022_TBtus!$A$3:$A$53,0))))</f>
        <v>0</v>
      </c>
      <c r="D86" s="75">
        <f t="array" ref="D86">IF(ISERROR(index(Res_AllFuels_SEDS_2022_TBtus!$M$3:$M$53,match($B86&amp;D$2,Res_AllFuels_SEDS_2022_TBtus!$B$3:$B$53&amp;Res_AllFuels_SEDS_2022_TBtus!$A$3:$A$53,0))),0,(index(Res_AllFuels_SEDS_2022_TBtus!$M$3:$M$53,match($B86&amp;D$2,Res_AllFuels_SEDS_2022_TBtus!$B$3:$B$53&amp;Res_AllFuels_SEDS_2022_TBtus!$A$3:$A$53,0))))</f>
        <v>0</v>
      </c>
      <c r="E86" s="75">
        <f t="array" ref="E86">IF(ISERROR(index(Res_AllFuels_SEDS_2022_TBtus!$M$3:$M$53,match($B86&amp;E$2,Res_AllFuels_SEDS_2022_TBtus!$B$3:$B$53&amp;Res_AllFuels_SEDS_2022_TBtus!$A$3:$A$53,0))),0,(index(Res_AllFuels_SEDS_2022_TBtus!$M$3:$M$53,match($B86&amp;E$2,Res_AllFuels_SEDS_2022_TBtus!$B$3:$B$53&amp;Res_AllFuels_SEDS_2022_TBtus!$A$3:$A$53,0))))</f>
        <v>0</v>
      </c>
      <c r="F86" s="75">
        <f t="array" ref="F86">IF(ISERROR(index(Res_AllFuels_SEDS_2022_TBtus!$M$3:$M$53,match($B86&amp;F$2,Res_AllFuels_SEDS_2022_TBtus!$B$3:$B$53&amp;Res_AllFuels_SEDS_2022_TBtus!$A$3:$A$53,0))),0,(index(Res_AllFuels_SEDS_2022_TBtus!$M$3:$M$53,match($B86&amp;F$2,Res_AllFuels_SEDS_2022_TBtus!$B$3:$B$53&amp;Res_AllFuels_SEDS_2022_TBtus!$A$3:$A$53,0))))</f>
        <v>0</v>
      </c>
      <c r="G86" s="75">
        <f t="array" ref="G86">IF(ISERROR(index(Res_AllFuels_SEDS_2022_TBtus!$M$3:$M$53,match($B86&amp;G$2,Res_AllFuels_SEDS_2022_TBtus!$B$3:$B$53&amp;Res_AllFuels_SEDS_2022_TBtus!$A$3:$A$53,0))),0,(index(Res_AllFuels_SEDS_2022_TBtus!$M$3:$M$53,match($B86&amp;G$2,Res_AllFuels_SEDS_2022_TBtus!$B$3:$B$53&amp;Res_AllFuels_SEDS_2022_TBtus!$A$3:$A$53,0))))</f>
        <v>0</v>
      </c>
      <c r="H86" s="75">
        <f t="array" ref="H86">IF(ISERROR(index(Res_AllFuels_SEDS_2022_TBtus!$M$3:$M$53,match($B86&amp;H$2,Res_AllFuels_SEDS_2022_TBtus!$B$3:$B$53&amp;Res_AllFuels_SEDS_2022_TBtus!$A$3:$A$53,0))),0,(index(Res_AllFuels_SEDS_2022_TBtus!$M$3:$M$53,match($B86&amp;H$2,Res_AllFuels_SEDS_2022_TBtus!$B$3:$B$53&amp;Res_AllFuels_SEDS_2022_TBtus!$A$3:$A$53,0))))</f>
        <v>0</v>
      </c>
      <c r="I86" s="75">
        <f t="array" ref="I86">IF(ISERROR(index(Res_AllFuels_SEDS_2022_TBtus!$M$3:$M$53,match($B86&amp;I$2,Res_AllFuels_SEDS_2022_TBtus!$B$3:$B$53&amp;Res_AllFuels_SEDS_2022_TBtus!$A$3:$A$53,0))),0,(index(Res_AllFuels_SEDS_2022_TBtus!$M$3:$M$53,match($B86&amp;I$2,Res_AllFuels_SEDS_2022_TBtus!$B$3:$B$53&amp;Res_AllFuels_SEDS_2022_TBtus!$A$3:$A$53,0))))</f>
        <v>0</v>
      </c>
      <c r="J86" s="75">
        <f t="array" ref="J86">IF(ISERROR(index(Res_AllFuels_SEDS_2022_TBtus!$M$3:$M$53,match($B86&amp;J$2,Res_AllFuels_SEDS_2022_TBtus!$B$3:$B$53&amp;Res_AllFuels_SEDS_2022_TBtus!$A$3:$A$53,0))),0,(index(Res_AllFuels_SEDS_2022_TBtus!$M$3:$M$53,match($B86&amp;J$2,Res_AllFuels_SEDS_2022_TBtus!$B$3:$B$53&amp;Res_AllFuels_SEDS_2022_TBtus!$A$3:$A$53,0))))</f>
        <v>36.8</v>
      </c>
      <c r="K86" s="75">
        <f t="array" ref="K86">IF(ISERROR(index(Res_AllFuels_SEDS_2022_TBtus!$M$3:$M$53,match($B86&amp;K$2,Res_AllFuels_SEDS_2022_TBtus!$B$3:$B$53&amp;Res_AllFuels_SEDS_2022_TBtus!$A$3:$A$53,0))),0,(index(Res_AllFuels_SEDS_2022_TBtus!$M$3:$M$53,match($B86&amp;K$2,Res_AllFuels_SEDS_2022_TBtus!$B$3:$B$53&amp;Res_AllFuels_SEDS_2022_TBtus!$A$3:$A$53,0))))</f>
        <v>21.9</v>
      </c>
      <c r="L86" s="75">
        <f t="array" ref="L86">IF(ISERROR(index(Res_AllFuels_SEDS_2022_TBtus!$M$3:$M$53,match($B86&amp;L$2,Res_AllFuels_SEDS_2022_TBtus!$B$3:$B$53&amp;Res_AllFuels_SEDS_2022_TBtus!$A$3:$A$53,0))),0,(index(Res_AllFuels_SEDS_2022_TBtus!$M$3:$M$53,match($B86&amp;L$2,Res_AllFuels_SEDS_2022_TBtus!$B$3:$B$53&amp;Res_AllFuels_SEDS_2022_TBtus!$A$3:$A$53,0))))</f>
        <v>526.9</v>
      </c>
      <c r="M86" s="75">
        <f t="array" ref="M86">IF(ISERROR(index(Res_AllFuels_SEDS_2022_TBtus!$M$3:$M$53,match($B86&amp;M$2,Res_AllFuels_SEDS_2022_TBtus!$B$3:$B$53&amp;Res_AllFuels_SEDS_2022_TBtus!$A$3:$A$53,0))),0,(index(Res_AllFuels_SEDS_2022_TBtus!$M$3:$M$53,match($B86&amp;M$2,Res_AllFuels_SEDS_2022_TBtus!$B$3:$B$53&amp;Res_AllFuels_SEDS_2022_TBtus!$A$3:$A$53,0))))</f>
        <v>357.6</v>
      </c>
      <c r="N86" s="75">
        <f t="array" ref="N86">IF(ISERROR(index(Res_AllFuels_SEDS_2022_TBtus!$M$3:$M$53,match($B86&amp;N$2,Res_AllFuels_SEDS_2022_TBtus!$B$3:$B$53&amp;Res_AllFuels_SEDS_2022_TBtus!$A$3:$A$53,0))),0,(index(Res_AllFuels_SEDS_2022_TBtus!$M$3:$M$53,match($B86&amp;N$2,Res_AllFuels_SEDS_2022_TBtus!$B$3:$B$53&amp;Res_AllFuels_SEDS_2022_TBtus!$A$3:$A$53,0))))</f>
        <v>0</v>
      </c>
      <c r="O86" s="75">
        <f t="array" ref="O86">IF(ISERROR(index(Res_AllFuels_SEDS_2022_TBtus!$M$3:$M$53,match($B86&amp;O$2,Res_AllFuels_SEDS_2022_TBtus!$B$3:$B$53&amp;Res_AllFuels_SEDS_2022_TBtus!$A$3:$A$53,0))),0,(index(Res_AllFuels_SEDS_2022_TBtus!$M$3:$M$53,match($B86&amp;O$2,Res_AllFuels_SEDS_2022_TBtus!$B$3:$B$53&amp;Res_AllFuels_SEDS_2022_TBtus!$A$3:$A$53,0))))</f>
        <v>0</v>
      </c>
      <c r="P86" s="75">
        <f t="array" ref="P86">IF(ISERROR(index(Res_AllFuels_SEDS_2022_TBtus!$M$3:$M$53,match($B86&amp;P$2,Res_AllFuels_SEDS_2022_TBtus!$B$3:$B$53&amp;Res_AllFuels_SEDS_2022_TBtus!$A$3:$A$53,0))),0,(index(Res_AllFuels_SEDS_2022_TBtus!$M$3:$M$53,match($B86&amp;P$2,Res_AllFuels_SEDS_2022_TBtus!$B$3:$B$53&amp;Res_AllFuels_SEDS_2022_TBtus!$A$3:$A$53,0))))</f>
        <v>0</v>
      </c>
      <c r="Q86" s="75">
        <f t="array" ref="Q86">IF(ISERROR(index(Res_AllFuels_SEDS_2022_TBtus!$M$3:$M$53,match($B86&amp;Q$2,Res_AllFuels_SEDS_2022_TBtus!$B$3:$B$53&amp;Res_AllFuels_SEDS_2022_TBtus!$A$3:$A$53,0))),0,(index(Res_AllFuels_SEDS_2022_TBtus!$M$3:$M$53,match($B86&amp;Q$2,Res_AllFuels_SEDS_2022_TBtus!$B$3:$B$53&amp;Res_AllFuels_SEDS_2022_TBtus!$A$3:$A$53,0))))</f>
        <v>0</v>
      </c>
      <c r="R86" s="75">
        <f t="array" ref="R86">IF(ISERROR(index(Res_AllFuels_SEDS_2022_TBtus!$M$3:$M$53,match($B86&amp;R$2,Res_AllFuels_SEDS_2022_TBtus!$B$3:$B$53&amp;Res_AllFuels_SEDS_2022_TBtus!$A$3:$A$53,0))),0,(index(Res_AllFuels_SEDS_2022_TBtus!$M$3:$M$53,match($B86&amp;R$2,Res_AllFuels_SEDS_2022_TBtus!$B$3:$B$53&amp;Res_AllFuels_SEDS_2022_TBtus!$A$3:$A$53,0))))</f>
        <v>0</v>
      </c>
      <c r="S86" s="75">
        <f t="array" ref="S86">IF(ISERROR(index(Res_AllFuels_SEDS_2022_TBtus!$M$3:$M$53,match($B86&amp;S$2,Res_AllFuels_SEDS_2022_TBtus!$B$3:$B$53&amp;Res_AllFuels_SEDS_2022_TBtus!$A$3:$A$53,0))),0,(index(Res_AllFuels_SEDS_2022_TBtus!$M$3:$M$53,match($B86&amp;S$2,Res_AllFuels_SEDS_2022_TBtus!$B$3:$B$53&amp;Res_AllFuels_SEDS_2022_TBtus!$A$3:$A$53,0))))</f>
        <v>0</v>
      </c>
      <c r="T86" s="75">
        <f t="array" ref="T86">IF(ISERROR(index(Res_AllFuels_SEDS_2022_TBtus!$M$3:$M$53,match($B86&amp;T$2,Res_AllFuels_SEDS_2022_TBtus!$B$3:$B$53&amp;Res_AllFuels_SEDS_2022_TBtus!$A$3:$A$53,0))),0,(index(Res_AllFuels_SEDS_2022_TBtus!$M$3:$M$53,match($B86&amp;T$2,Res_AllFuels_SEDS_2022_TBtus!$B$3:$B$53&amp;Res_AllFuels_SEDS_2022_TBtus!$A$3:$A$53,0))))</f>
        <v>0</v>
      </c>
      <c r="U86" s="75">
        <f t="array" ref="U86">IF(ISERROR(index(Res_AllFuels_SEDS_2022_TBtus!$M$3:$M$53,match($B86&amp;U$2,Res_AllFuels_SEDS_2022_TBtus!$B$3:$B$53&amp;Res_AllFuels_SEDS_2022_TBtus!$A$3:$A$53,0))),0,(index(Res_AllFuels_SEDS_2022_TBtus!$M$3:$M$53,match($B86&amp;U$2,Res_AllFuels_SEDS_2022_TBtus!$B$3:$B$53&amp;Res_AllFuels_SEDS_2022_TBtus!$A$3:$A$53,0))))</f>
        <v>0</v>
      </c>
      <c r="V86" s="75">
        <f t="array" ref="V86">IF(ISERROR(index(Res_AllFuels_SEDS_2022_TBtus!$M$3:$M$53,match($B86&amp;V$2,Res_AllFuels_SEDS_2022_TBtus!$B$3:$B$53&amp;Res_AllFuels_SEDS_2022_TBtus!$A$3:$A$53,0))),0,(index(Res_AllFuels_SEDS_2022_TBtus!$M$3:$M$53,match($B86&amp;V$2,Res_AllFuels_SEDS_2022_TBtus!$B$3:$B$53&amp;Res_AllFuels_SEDS_2022_TBtus!$A$3:$A$53,0))))</f>
        <v>0</v>
      </c>
      <c r="W86" s="75">
        <f t="array" ref="W86">IF(ISERROR(index(Res_AllFuels_SEDS_2022_TBtus!$M$3:$M$53,match($B86&amp;W$2,Res_AllFuels_SEDS_2022_TBtus!$B$3:$B$53&amp;Res_AllFuels_SEDS_2022_TBtus!$A$3:$A$53,0))),0,(index(Res_AllFuels_SEDS_2022_TBtus!$M$3:$M$53,match($B86&amp;W$2,Res_AllFuels_SEDS_2022_TBtus!$B$3:$B$53&amp;Res_AllFuels_SEDS_2022_TBtus!$A$3:$A$53,0))))</f>
        <v>211.2</v>
      </c>
      <c r="X86" s="75">
        <f t="array" ref="X86">IF(ISERROR(index(Res_AllFuels_SEDS_2022_TBtus!$M$3:$M$53,match($B86&amp;X$2,Res_AllFuels_SEDS_2022_TBtus!$B$3:$B$53&amp;Res_AllFuels_SEDS_2022_TBtus!$A$3:$A$53,0))),0,(index(Res_AllFuels_SEDS_2022_TBtus!$M$3:$M$53,match($B86&amp;X$2,Res_AllFuels_SEDS_2022_TBtus!$B$3:$B$53&amp;Res_AllFuels_SEDS_2022_TBtus!$A$3:$A$53,0))))</f>
        <v>0</v>
      </c>
      <c r="Y86" s="75">
        <f t="array" ref="Y86">IF(ISERROR(index(Res_AllFuels_SEDS_2022_TBtus!$M$3:$M$53,match($B86&amp;Y$2,Res_AllFuels_SEDS_2022_TBtus!$B$3:$B$53&amp;Res_AllFuels_SEDS_2022_TBtus!$A$3:$A$53,0))),0,(index(Res_AllFuels_SEDS_2022_TBtus!$M$3:$M$53,match($B86&amp;Y$2,Res_AllFuels_SEDS_2022_TBtus!$B$3:$B$53&amp;Res_AllFuels_SEDS_2022_TBtus!$A$3:$A$53,0))))</f>
        <v>0</v>
      </c>
      <c r="Z86" s="75">
        <f t="array" ref="Z86">IF(ISERROR(index(Res_AllFuels_SEDS_2022_TBtus!$M$3:$M$53,match($B86&amp;Z$2,Res_AllFuels_SEDS_2022_TBtus!$B$3:$B$53&amp;Res_AllFuels_SEDS_2022_TBtus!$A$3:$A$53,0))),0,(index(Res_AllFuels_SEDS_2022_TBtus!$M$3:$M$53,match($B86&amp;Z$2,Res_AllFuels_SEDS_2022_TBtus!$B$3:$B$53&amp;Res_AllFuels_SEDS_2022_TBtus!$A$3:$A$53,0))))</f>
        <v>0</v>
      </c>
      <c r="AA86" s="75">
        <f t="array" ref="AA86">IF(ISERROR(index(Res_AllFuels_SEDS_2022_TBtus!$M$3:$M$53,match($B86&amp;AA$2,Res_AllFuels_SEDS_2022_TBtus!$B$3:$B$53&amp;Res_AllFuels_SEDS_2022_TBtus!$A$3:$A$53,0))),0,(index(Res_AllFuels_SEDS_2022_TBtus!$M$3:$M$53,match($B86&amp;AA$2,Res_AllFuels_SEDS_2022_TBtus!$B$3:$B$53&amp;Res_AllFuels_SEDS_2022_TBtus!$A$3:$A$53,0))))</f>
        <v>0</v>
      </c>
      <c r="AB86" s="75">
        <f t="array" ref="AB86">IF(ISERROR(index(Res_AllFuels_SEDS_2022_TBtus!$M$3:$M$53,match($B86&amp;AB$2,Res_AllFuels_SEDS_2022_TBtus!$B$3:$B$53&amp;Res_AllFuels_SEDS_2022_TBtus!$A$3:$A$53,0))),0,(index(Res_AllFuels_SEDS_2022_TBtus!$M$3:$M$53,match($B86&amp;AB$2,Res_AllFuels_SEDS_2022_TBtus!$B$3:$B$53&amp;Res_AllFuels_SEDS_2022_TBtus!$A$3:$A$53,0))))</f>
        <v>0</v>
      </c>
      <c r="AC86" s="75">
        <f t="array" ref="AC86">IF(ISERROR(index(Res_AllFuels_SEDS_2022_TBtus!$M$3:$M$53,match($B86&amp;AC$2,Res_AllFuels_SEDS_2022_TBtus!$B$3:$B$53&amp;Res_AllFuels_SEDS_2022_TBtus!$A$3:$A$53,0))),0,(index(Res_AllFuels_SEDS_2022_TBtus!$M$3:$M$53,match($B86&amp;AC$2,Res_AllFuels_SEDS_2022_TBtus!$B$3:$B$53&amp;Res_AllFuels_SEDS_2022_TBtus!$A$3:$A$53,0))))</f>
        <v>0</v>
      </c>
      <c r="AD86" s="75">
        <f t="array" ref="AD86">IF(ISERROR(index(Res_AllFuels_SEDS_2022_TBtus!$M$3:$M$53,match($B86&amp;AD$2,Res_AllFuels_SEDS_2022_TBtus!$B$3:$B$53&amp;Res_AllFuels_SEDS_2022_TBtus!$A$3:$A$53,0))),0,(index(Res_AllFuels_SEDS_2022_TBtus!$M$3:$M$53,match($B86&amp;AD$2,Res_AllFuels_SEDS_2022_TBtus!$B$3:$B$53&amp;Res_AllFuels_SEDS_2022_TBtus!$A$3:$A$53,0))))</f>
        <v>0</v>
      </c>
      <c r="AE86" s="75">
        <f t="array" ref="AE86">IF(ISERROR(index(Res_AllFuels_SEDS_2022_TBtus!$M$3:$M$53,match($B86&amp;AE$2,Res_AllFuels_SEDS_2022_TBtus!$B$3:$B$53&amp;Res_AllFuels_SEDS_2022_TBtus!$A$3:$A$53,0))),0,(index(Res_AllFuels_SEDS_2022_TBtus!$M$3:$M$53,match($B86&amp;AE$2,Res_AllFuels_SEDS_2022_TBtus!$B$3:$B$53&amp;Res_AllFuels_SEDS_2022_TBtus!$A$3:$A$53,0))))</f>
        <v>0</v>
      </c>
      <c r="AF86" s="75">
        <f t="array" ref="AF86">IF(ISERROR(index(Res_AllFuels_SEDS_2022_TBtus!$M$3:$M$53,match($B86&amp;AF$2,Res_AllFuels_SEDS_2022_TBtus!$B$3:$B$53&amp;Res_AllFuels_SEDS_2022_TBtus!$A$3:$A$53,0))),0,(index(Res_AllFuels_SEDS_2022_TBtus!$M$3:$M$53,match($B86&amp;AF$2,Res_AllFuels_SEDS_2022_TBtus!$B$3:$B$53&amp;Res_AllFuels_SEDS_2022_TBtus!$A$3:$A$53,0))))</f>
        <v>0</v>
      </c>
      <c r="AG86" s="75">
        <f t="array" ref="AG86">IF(ISERROR(index(Res_AllFuels_SEDS_2022_TBtus!$M$3:$M$53,match($B86&amp;AG$2,Res_AllFuels_SEDS_2022_TBtus!$B$3:$B$53&amp;Res_AllFuels_SEDS_2022_TBtus!$A$3:$A$53,0))),0,(index(Res_AllFuels_SEDS_2022_TBtus!$M$3:$M$53,match($B86&amp;AG$2,Res_AllFuels_SEDS_2022_TBtus!$B$3:$B$53&amp;Res_AllFuels_SEDS_2022_TBtus!$A$3:$A$53,0))))</f>
        <v>0</v>
      </c>
      <c r="AH86" s="75">
        <f t="array" ref="AH86">IF(ISERROR(index(Res_AllFuels_SEDS_2022_TBtus!$M$3:$M$53,match($B86&amp;AH$2,Res_AllFuels_SEDS_2022_TBtus!$B$3:$B$53&amp;Res_AllFuels_SEDS_2022_TBtus!$A$3:$A$53,0))),0,(index(Res_AllFuels_SEDS_2022_TBtus!$M$3:$M$53,match($B86&amp;AH$2,Res_AllFuels_SEDS_2022_TBtus!$B$3:$B$53&amp;Res_AllFuels_SEDS_2022_TBtus!$A$3:$A$53,0))))</f>
        <v>0</v>
      </c>
      <c r="AI86" s="75">
        <f t="array" ref="AI86">IF(ISERROR(index(Res_AllFuels_SEDS_2022_TBtus!$M$3:$M$53,match($B86&amp;AI$2,Res_AllFuels_SEDS_2022_TBtus!$B$3:$B$53&amp;Res_AllFuels_SEDS_2022_TBtus!$A$3:$A$53,0))),0,(index(Res_AllFuels_SEDS_2022_TBtus!$M$3:$M$53,match($B86&amp;AI$2,Res_AllFuels_SEDS_2022_TBtus!$B$3:$B$53&amp;Res_AllFuels_SEDS_2022_TBtus!$A$3:$A$53,0))))</f>
        <v>0</v>
      </c>
      <c r="AJ86" s="75">
        <f t="array" ref="AJ86">IF(ISERROR(index(Res_AllFuels_SEDS_2022_TBtus!$M$3:$M$53,match($B86&amp;AJ$2,Res_AllFuels_SEDS_2022_TBtus!$B$3:$B$53&amp;Res_AllFuels_SEDS_2022_TBtus!$A$3:$A$53,0))),0,(index(Res_AllFuels_SEDS_2022_TBtus!$M$3:$M$53,match($B86&amp;AJ$2,Res_AllFuels_SEDS_2022_TBtus!$B$3:$B$53&amp;Res_AllFuels_SEDS_2022_TBtus!$A$3:$A$53,0))))</f>
        <v>319.7</v>
      </c>
      <c r="AK86" s="75">
        <f t="array" ref="AK86">IF(ISERROR(index(Res_AllFuels_SEDS_2022_TBtus!$M$3:$M$53,match($B86&amp;AK$2,Res_AllFuels_SEDS_2022_TBtus!$B$3:$B$53&amp;Res_AllFuels_SEDS_2022_TBtus!$A$3:$A$53,0))),0,(index(Res_AllFuels_SEDS_2022_TBtus!$M$3:$M$53,match($B86&amp;AK$2,Res_AllFuels_SEDS_2022_TBtus!$B$3:$B$53&amp;Res_AllFuels_SEDS_2022_TBtus!$A$3:$A$53,0))))</f>
        <v>0</v>
      </c>
      <c r="AL86" s="75">
        <f t="array" ref="AL86">IF(ISERROR(index(Res_AllFuels_SEDS_2022_TBtus!$M$3:$M$53,match($B86&amp;AL$2,Res_AllFuels_SEDS_2022_TBtus!$B$3:$B$53&amp;Res_AllFuels_SEDS_2022_TBtus!$A$3:$A$53,0))),0,(index(Res_AllFuels_SEDS_2022_TBtus!$M$3:$M$53,match($B86&amp;AL$2,Res_AllFuels_SEDS_2022_TBtus!$B$3:$B$53&amp;Res_AllFuels_SEDS_2022_TBtus!$A$3:$A$53,0))))</f>
        <v>0</v>
      </c>
      <c r="AM86" s="75">
        <f t="array" ref="AM86">IF(ISERROR(index(Res_AllFuels_SEDS_2022_TBtus!$M$3:$M$53,match($B86&amp;AM$2,Res_AllFuels_SEDS_2022_TBtus!$B$3:$B$53&amp;Res_AllFuels_SEDS_2022_TBtus!$A$3:$A$53,0))),0,(index(Res_AllFuels_SEDS_2022_TBtus!$M$3:$M$53,match($B86&amp;AM$2,Res_AllFuels_SEDS_2022_TBtus!$B$3:$B$53&amp;Res_AllFuels_SEDS_2022_TBtus!$A$3:$A$53,0))))</f>
        <v>0</v>
      </c>
      <c r="AN86" s="75">
        <f t="array" ref="AN86">IF(ISERROR(index(Res_AllFuels_SEDS_2022_TBtus!$M$3:$M$53,match($B86&amp;AN$2,Res_AllFuels_SEDS_2022_TBtus!$B$3:$B$53&amp;Res_AllFuels_SEDS_2022_TBtus!$A$3:$A$53,0))),0,(index(Res_AllFuels_SEDS_2022_TBtus!$M$3:$M$53,match($B86&amp;AN$2,Res_AllFuels_SEDS_2022_TBtus!$B$3:$B$53&amp;Res_AllFuels_SEDS_2022_TBtus!$A$3:$A$53,0))))</f>
        <v>0</v>
      </c>
      <c r="AO86" s="75">
        <f t="array" ref="AO86">IF(ISERROR(index(Res_AllFuels_SEDS_2022_TBtus!$M$3:$M$53,match($B86&amp;AO$2,Res_AllFuels_SEDS_2022_TBtus!$B$3:$B$53&amp;Res_AllFuels_SEDS_2022_TBtus!$A$3:$A$53,0))),0,(index(Res_AllFuels_SEDS_2022_TBtus!$M$3:$M$53,match($B86&amp;AO$2,Res_AllFuels_SEDS_2022_TBtus!$B$3:$B$53&amp;Res_AllFuels_SEDS_2022_TBtus!$A$3:$A$53,0))))</f>
        <v>0</v>
      </c>
      <c r="AP86" s="75">
        <f t="array" ref="AP86">IF(ISERROR(index(Res_AllFuels_SEDS_2022_TBtus!$M$3:$M$53,match($B86&amp;AP$2,Res_AllFuels_SEDS_2022_TBtus!$B$3:$B$53&amp;Res_AllFuels_SEDS_2022_TBtus!$A$3:$A$53,0))),0,(index(Res_AllFuels_SEDS_2022_TBtus!$M$3:$M$53,match($B86&amp;AP$2,Res_AllFuels_SEDS_2022_TBtus!$B$3:$B$53&amp;Res_AllFuels_SEDS_2022_TBtus!$A$3:$A$53,0))))</f>
        <v>0</v>
      </c>
      <c r="AQ86" s="75">
        <f t="array" ref="AQ86">IF(ISERROR(index(Res_AllFuels_SEDS_2022_TBtus!$M$3:$M$53,match($B86&amp;AQ$2,Res_AllFuels_SEDS_2022_TBtus!$B$3:$B$53&amp;Res_AllFuels_SEDS_2022_TBtus!$A$3:$A$53,0))),0,(index(Res_AllFuels_SEDS_2022_TBtus!$M$3:$M$53,match($B86&amp;AQ$2,Res_AllFuels_SEDS_2022_TBtus!$B$3:$B$53&amp;Res_AllFuels_SEDS_2022_TBtus!$A$3:$A$53,0))))</f>
        <v>152.6</v>
      </c>
      <c r="AR86" s="75">
        <f t="array" ref="AR86">IF(ISERROR(index(Res_AllFuels_SEDS_2022_TBtus!$M$3:$M$53,match($B86&amp;AR$2,Res_AllFuels_SEDS_2022_TBtus!$B$3:$B$53&amp;Res_AllFuels_SEDS_2022_TBtus!$A$3:$A$53,0))),0,(index(Res_AllFuels_SEDS_2022_TBtus!$M$3:$M$53,match($B86&amp;AR$2,Res_AllFuels_SEDS_2022_TBtus!$B$3:$B$53&amp;Res_AllFuels_SEDS_2022_TBtus!$A$3:$A$53,0))))</f>
        <v>0</v>
      </c>
      <c r="AS86" s="75">
        <f t="array" ref="AS86">IF(ISERROR(index(Res_AllFuels_SEDS_2022_TBtus!$M$3:$M$53,match($B86&amp;AS$2,Res_AllFuels_SEDS_2022_TBtus!$B$3:$B$53&amp;Res_AllFuels_SEDS_2022_TBtus!$A$3:$A$53,0))),0,(index(Res_AllFuels_SEDS_2022_TBtus!$M$3:$M$53,match($B86&amp;AS$2,Res_AllFuels_SEDS_2022_TBtus!$B$3:$B$53&amp;Res_AllFuels_SEDS_2022_TBtus!$A$3:$A$53,0))))</f>
        <v>0</v>
      </c>
      <c r="AT86" s="75">
        <f t="array" ref="AT86">IF(ISERROR(index(Res_AllFuels_SEDS_2022_TBtus!$M$3:$M$53,match($B86&amp;AT$2,Res_AllFuels_SEDS_2022_TBtus!$B$3:$B$53&amp;Res_AllFuels_SEDS_2022_TBtus!$A$3:$A$53,0))),0,(index(Res_AllFuels_SEDS_2022_TBtus!$M$3:$M$53,match($B86&amp;AT$2,Res_AllFuels_SEDS_2022_TBtus!$B$3:$B$53&amp;Res_AllFuels_SEDS_2022_TBtus!$A$3:$A$53,0))))</f>
        <v>0</v>
      </c>
      <c r="AU86" s="75">
        <f t="array" ref="AU86">IF(ISERROR(index(Res_AllFuels_SEDS_2022_TBtus!$M$3:$M$53,match($B86&amp;AU$2,Res_AllFuels_SEDS_2022_TBtus!$B$3:$B$53&amp;Res_AllFuels_SEDS_2022_TBtus!$A$3:$A$53,0))),0,(index(Res_AllFuels_SEDS_2022_TBtus!$M$3:$M$53,match($B86&amp;AU$2,Res_AllFuels_SEDS_2022_TBtus!$B$3:$B$53&amp;Res_AllFuels_SEDS_2022_TBtus!$A$3:$A$53,0))))</f>
        <v>0</v>
      </c>
      <c r="AV86" s="75">
        <f t="array" ref="AV86">IF(ISERROR(index(Res_AllFuels_SEDS_2022_TBtus!$M$3:$M$53,match($B86&amp;AV$2,Res_AllFuels_SEDS_2022_TBtus!$B$3:$B$53&amp;Res_AllFuels_SEDS_2022_TBtus!$A$3:$A$53,0))),0,(index(Res_AllFuels_SEDS_2022_TBtus!$M$3:$M$53,match($B86&amp;AV$2,Res_AllFuels_SEDS_2022_TBtus!$B$3:$B$53&amp;Res_AllFuels_SEDS_2022_TBtus!$A$3:$A$53,0))))</f>
        <v>0</v>
      </c>
      <c r="AW86" s="75">
        <f t="array" ref="AW86">IF(ISERROR(index(Res_AllFuels_SEDS_2022_TBtus!$M$3:$M$53,match($B86&amp;AW$2,Res_AllFuels_SEDS_2022_TBtus!$B$3:$B$53&amp;Res_AllFuels_SEDS_2022_TBtus!$A$3:$A$53,0))),0,(index(Res_AllFuels_SEDS_2022_TBtus!$M$3:$M$53,match($B86&amp;AW$2,Res_AllFuels_SEDS_2022_TBtus!$B$3:$B$53&amp;Res_AllFuels_SEDS_2022_TBtus!$A$3:$A$53,0))))</f>
        <v>285.2</v>
      </c>
      <c r="AX86" s="75">
        <f t="array" ref="AX86">IF(ISERROR(index(Res_AllFuels_SEDS_2022_TBtus!$M$3:$M$53,match($B86&amp;AX$2,Res_AllFuels_SEDS_2022_TBtus!$B$3:$B$53&amp;Res_AllFuels_SEDS_2022_TBtus!$A$3:$A$53,0))),0,(index(Res_AllFuels_SEDS_2022_TBtus!$M$3:$M$53,match($B86&amp;AX$2,Res_AllFuels_SEDS_2022_TBtus!$B$3:$B$53&amp;Res_AllFuels_SEDS_2022_TBtus!$A$3:$A$53,0))))</f>
        <v>0</v>
      </c>
      <c r="AY86" s="75">
        <f t="array" ref="AY86">IF(ISERROR(index(Res_AllFuels_SEDS_2022_TBtus!$M$3:$M$53,match($B86&amp;AY$2,Res_AllFuels_SEDS_2022_TBtus!$B$3:$B$53&amp;Res_AllFuels_SEDS_2022_TBtus!$A$3:$A$53,0))),0,(index(Res_AllFuels_SEDS_2022_TBtus!$M$3:$M$53,match($B86&amp;AY$2,Res_AllFuels_SEDS_2022_TBtus!$B$3:$B$53&amp;Res_AllFuels_SEDS_2022_TBtus!$A$3:$A$53,0))))</f>
        <v>78</v>
      </c>
      <c r="AZ86" s="75">
        <f t="array" ref="AZ86">IF(ISERROR(index(Res_AllFuels_SEDS_2022_TBtus!$M$3:$M$53,match($B86&amp;AZ$2,Res_AllFuels_SEDS_2022_TBtus!$B$3:$B$53&amp;Res_AllFuels_SEDS_2022_TBtus!$A$3:$A$53,0))),0,(index(Res_AllFuels_SEDS_2022_TBtus!$M$3:$M$53,match($B86&amp;AZ$2,Res_AllFuels_SEDS_2022_TBtus!$B$3:$B$53&amp;Res_AllFuels_SEDS_2022_TBtus!$A$3:$A$53,0))))</f>
        <v>0</v>
      </c>
      <c r="BA86" s="75">
        <f t="array" ref="BA86">IF(ISERROR(index(Res_AllFuels_SEDS_2022_TBtus!$M$3:$M$53,match($B86&amp;BA$2,Res_AllFuels_SEDS_2022_TBtus!$B$3:$B$53&amp;Res_AllFuels_SEDS_2022_TBtus!$A$3:$A$53,0))),0,(index(Res_AllFuels_SEDS_2022_TBtus!$M$3:$M$53,match($B86&amp;BA$2,Res_AllFuels_SEDS_2022_TBtus!$B$3:$B$53&amp;Res_AllFuels_SEDS_2022_TBtus!$A$3:$A$53,0))))</f>
        <v>0</v>
      </c>
      <c r="BB86" s="74">
        <f t="shared" si="13"/>
        <v>1989.9</v>
      </c>
    </row>
    <row r="87" ht="15.75" customHeight="1">
      <c r="A87" s="78"/>
      <c r="B87" s="74">
        <v>6.0</v>
      </c>
      <c r="C87" s="75">
        <f t="array" ref="C87">IF(ISERROR(index(Res_AllFuels_SEDS_2022_TBtus!$M$3:$M$53,match($B87&amp;C$2,Res_AllFuels_SEDS_2022_TBtus!$B$3:$B$53&amp;Res_AllFuels_SEDS_2022_TBtus!$A$3:$A$53,0))),0,(index(Res_AllFuels_SEDS_2022_TBtus!$M$3:$M$53,match($B87&amp;C$2,Res_AllFuels_SEDS_2022_TBtus!$B$3:$B$53&amp;Res_AllFuels_SEDS_2022_TBtus!$A$3:$A$53,0))))</f>
        <v>150.2</v>
      </c>
      <c r="D87" s="75">
        <f t="array" ref="D87">IF(ISERROR(index(Res_AllFuels_SEDS_2022_TBtus!$M$3:$M$53,match($B87&amp;D$2,Res_AllFuels_SEDS_2022_TBtus!$B$3:$B$53&amp;Res_AllFuels_SEDS_2022_TBtus!$A$3:$A$53,0))),0,(index(Res_AllFuels_SEDS_2022_TBtus!$M$3:$M$53,match($B87&amp;D$2,Res_AllFuels_SEDS_2022_TBtus!$B$3:$B$53&amp;Res_AllFuels_SEDS_2022_TBtus!$A$3:$A$53,0))))</f>
        <v>0</v>
      </c>
      <c r="E87" s="75">
        <f t="array" ref="E87">IF(ISERROR(index(Res_AllFuels_SEDS_2022_TBtus!$M$3:$M$53,match($B87&amp;E$2,Res_AllFuels_SEDS_2022_TBtus!$B$3:$B$53&amp;Res_AllFuels_SEDS_2022_TBtus!$A$3:$A$53,0))),0,(index(Res_AllFuels_SEDS_2022_TBtus!$M$3:$M$53,match($B87&amp;E$2,Res_AllFuels_SEDS_2022_TBtus!$B$3:$B$53&amp;Res_AllFuels_SEDS_2022_TBtus!$A$3:$A$53,0))))</f>
        <v>0</v>
      </c>
      <c r="F87" s="75">
        <f t="array" ref="F87">IF(ISERROR(index(Res_AllFuels_SEDS_2022_TBtus!$M$3:$M$53,match($B87&amp;F$2,Res_AllFuels_SEDS_2022_TBtus!$B$3:$B$53&amp;Res_AllFuels_SEDS_2022_TBtus!$A$3:$A$53,0))),0,(index(Res_AllFuels_SEDS_2022_TBtus!$M$3:$M$53,match($B87&amp;F$2,Res_AllFuels_SEDS_2022_TBtus!$B$3:$B$53&amp;Res_AllFuels_SEDS_2022_TBtus!$A$3:$A$53,0))))</f>
        <v>0</v>
      </c>
      <c r="G87" s="75">
        <f t="array" ref="G87">IF(ISERROR(index(Res_AllFuels_SEDS_2022_TBtus!$M$3:$M$53,match($B87&amp;G$2,Res_AllFuels_SEDS_2022_TBtus!$B$3:$B$53&amp;Res_AllFuels_SEDS_2022_TBtus!$A$3:$A$53,0))),0,(index(Res_AllFuels_SEDS_2022_TBtus!$M$3:$M$53,match($B87&amp;G$2,Res_AllFuels_SEDS_2022_TBtus!$B$3:$B$53&amp;Res_AllFuels_SEDS_2022_TBtus!$A$3:$A$53,0))))</f>
        <v>0</v>
      </c>
      <c r="H87" s="75">
        <f t="array" ref="H87">IF(ISERROR(index(Res_AllFuels_SEDS_2022_TBtus!$M$3:$M$53,match($B87&amp;H$2,Res_AllFuels_SEDS_2022_TBtus!$B$3:$B$53&amp;Res_AllFuels_SEDS_2022_TBtus!$A$3:$A$53,0))),0,(index(Res_AllFuels_SEDS_2022_TBtus!$M$3:$M$53,match($B87&amp;H$2,Res_AllFuels_SEDS_2022_TBtus!$B$3:$B$53&amp;Res_AllFuels_SEDS_2022_TBtus!$A$3:$A$53,0))))</f>
        <v>0</v>
      </c>
      <c r="I87" s="75">
        <f t="array" ref="I87">IF(ISERROR(index(Res_AllFuels_SEDS_2022_TBtus!$M$3:$M$53,match($B87&amp;I$2,Res_AllFuels_SEDS_2022_TBtus!$B$3:$B$53&amp;Res_AllFuels_SEDS_2022_TBtus!$A$3:$A$53,0))),0,(index(Res_AllFuels_SEDS_2022_TBtus!$M$3:$M$53,match($B87&amp;I$2,Res_AllFuels_SEDS_2022_TBtus!$B$3:$B$53&amp;Res_AllFuels_SEDS_2022_TBtus!$A$3:$A$53,0))))</f>
        <v>0</v>
      </c>
      <c r="J87" s="75">
        <f t="array" ref="J87">IF(ISERROR(index(Res_AllFuels_SEDS_2022_TBtus!$M$3:$M$53,match($B87&amp;J$2,Res_AllFuels_SEDS_2022_TBtus!$B$3:$B$53&amp;Res_AllFuels_SEDS_2022_TBtus!$A$3:$A$53,0))),0,(index(Res_AllFuels_SEDS_2022_TBtus!$M$3:$M$53,match($B87&amp;J$2,Res_AllFuels_SEDS_2022_TBtus!$B$3:$B$53&amp;Res_AllFuels_SEDS_2022_TBtus!$A$3:$A$53,0))))</f>
        <v>0</v>
      </c>
      <c r="K87" s="75">
        <f t="array" ref="K87">IF(ISERROR(index(Res_AllFuels_SEDS_2022_TBtus!$M$3:$M$53,match($B87&amp;K$2,Res_AllFuels_SEDS_2022_TBtus!$B$3:$B$53&amp;Res_AllFuels_SEDS_2022_TBtus!$A$3:$A$53,0))),0,(index(Res_AllFuels_SEDS_2022_TBtus!$M$3:$M$53,match($B87&amp;K$2,Res_AllFuels_SEDS_2022_TBtus!$B$3:$B$53&amp;Res_AllFuels_SEDS_2022_TBtus!$A$3:$A$53,0))))</f>
        <v>0</v>
      </c>
      <c r="L87" s="75">
        <f t="array" ref="L87">IF(ISERROR(index(Res_AllFuels_SEDS_2022_TBtus!$M$3:$M$53,match($B87&amp;L$2,Res_AllFuels_SEDS_2022_TBtus!$B$3:$B$53&amp;Res_AllFuels_SEDS_2022_TBtus!$A$3:$A$53,0))),0,(index(Res_AllFuels_SEDS_2022_TBtus!$M$3:$M$53,match($B87&amp;L$2,Res_AllFuels_SEDS_2022_TBtus!$B$3:$B$53&amp;Res_AllFuels_SEDS_2022_TBtus!$A$3:$A$53,0))))</f>
        <v>0</v>
      </c>
      <c r="M87" s="75">
        <f t="array" ref="M87">IF(ISERROR(index(Res_AllFuels_SEDS_2022_TBtus!$M$3:$M$53,match($B87&amp;M$2,Res_AllFuels_SEDS_2022_TBtus!$B$3:$B$53&amp;Res_AllFuels_SEDS_2022_TBtus!$A$3:$A$53,0))),0,(index(Res_AllFuels_SEDS_2022_TBtus!$M$3:$M$53,match($B87&amp;M$2,Res_AllFuels_SEDS_2022_TBtus!$B$3:$B$53&amp;Res_AllFuels_SEDS_2022_TBtus!$A$3:$A$53,0))))</f>
        <v>0</v>
      </c>
      <c r="N87" s="75">
        <f t="array" ref="N87">IF(ISERROR(index(Res_AllFuels_SEDS_2022_TBtus!$M$3:$M$53,match($B87&amp;N$2,Res_AllFuels_SEDS_2022_TBtus!$B$3:$B$53&amp;Res_AllFuels_SEDS_2022_TBtus!$A$3:$A$53,0))),0,(index(Res_AllFuels_SEDS_2022_TBtus!$M$3:$M$53,match($B87&amp;N$2,Res_AllFuels_SEDS_2022_TBtus!$B$3:$B$53&amp;Res_AllFuels_SEDS_2022_TBtus!$A$3:$A$53,0))))</f>
        <v>0</v>
      </c>
      <c r="O87" s="75">
        <f t="array" ref="O87">IF(ISERROR(index(Res_AllFuels_SEDS_2022_TBtus!$M$3:$M$53,match($B87&amp;O$2,Res_AllFuels_SEDS_2022_TBtus!$B$3:$B$53&amp;Res_AllFuels_SEDS_2022_TBtus!$A$3:$A$53,0))),0,(index(Res_AllFuels_SEDS_2022_TBtus!$M$3:$M$53,match($B87&amp;O$2,Res_AllFuels_SEDS_2022_TBtus!$B$3:$B$53&amp;Res_AllFuels_SEDS_2022_TBtus!$A$3:$A$53,0))))</f>
        <v>0</v>
      </c>
      <c r="P87" s="75">
        <f t="array" ref="P87">IF(ISERROR(index(Res_AllFuels_SEDS_2022_TBtus!$M$3:$M$53,match($B87&amp;P$2,Res_AllFuels_SEDS_2022_TBtus!$B$3:$B$53&amp;Res_AllFuels_SEDS_2022_TBtus!$A$3:$A$53,0))),0,(index(Res_AllFuels_SEDS_2022_TBtus!$M$3:$M$53,match($B87&amp;P$2,Res_AllFuels_SEDS_2022_TBtus!$B$3:$B$53&amp;Res_AllFuels_SEDS_2022_TBtus!$A$3:$A$53,0))))</f>
        <v>0</v>
      </c>
      <c r="Q87" s="75">
        <f t="array" ref="Q87">IF(ISERROR(index(Res_AllFuels_SEDS_2022_TBtus!$M$3:$M$53,match($B87&amp;Q$2,Res_AllFuels_SEDS_2022_TBtus!$B$3:$B$53&amp;Res_AllFuels_SEDS_2022_TBtus!$A$3:$A$53,0))),0,(index(Res_AllFuels_SEDS_2022_TBtus!$M$3:$M$53,match($B87&amp;Q$2,Res_AllFuels_SEDS_2022_TBtus!$B$3:$B$53&amp;Res_AllFuels_SEDS_2022_TBtus!$A$3:$A$53,0))))</f>
        <v>0</v>
      </c>
      <c r="R87" s="75">
        <f t="array" ref="R87">IF(ISERROR(index(Res_AllFuels_SEDS_2022_TBtus!$M$3:$M$53,match($B87&amp;R$2,Res_AllFuels_SEDS_2022_TBtus!$B$3:$B$53&amp;Res_AllFuels_SEDS_2022_TBtus!$A$3:$A$53,0))),0,(index(Res_AllFuels_SEDS_2022_TBtus!$M$3:$M$53,match($B87&amp;R$2,Res_AllFuels_SEDS_2022_TBtus!$B$3:$B$53&amp;Res_AllFuels_SEDS_2022_TBtus!$A$3:$A$53,0))))</f>
        <v>0</v>
      </c>
      <c r="S87" s="75">
        <f t="array" ref="S87">IF(ISERROR(index(Res_AllFuels_SEDS_2022_TBtus!$M$3:$M$53,match($B87&amp;S$2,Res_AllFuels_SEDS_2022_TBtus!$B$3:$B$53&amp;Res_AllFuels_SEDS_2022_TBtus!$A$3:$A$53,0))),0,(index(Res_AllFuels_SEDS_2022_TBtus!$M$3:$M$53,match($B87&amp;S$2,Res_AllFuels_SEDS_2022_TBtus!$B$3:$B$53&amp;Res_AllFuels_SEDS_2022_TBtus!$A$3:$A$53,0))))</f>
        <v>0</v>
      </c>
      <c r="T87" s="75">
        <f t="array" ref="T87">IF(ISERROR(index(Res_AllFuels_SEDS_2022_TBtus!$M$3:$M$53,match($B87&amp;T$2,Res_AllFuels_SEDS_2022_TBtus!$B$3:$B$53&amp;Res_AllFuels_SEDS_2022_TBtus!$A$3:$A$53,0))),0,(index(Res_AllFuels_SEDS_2022_TBtus!$M$3:$M$53,match($B87&amp;T$2,Res_AllFuels_SEDS_2022_TBtus!$B$3:$B$53&amp;Res_AllFuels_SEDS_2022_TBtus!$A$3:$A$53,0))))</f>
        <v>162.7</v>
      </c>
      <c r="U87" s="75">
        <f t="array" ref="U87">IF(ISERROR(index(Res_AllFuels_SEDS_2022_TBtus!$M$3:$M$53,match($B87&amp;U$2,Res_AllFuels_SEDS_2022_TBtus!$B$3:$B$53&amp;Res_AllFuels_SEDS_2022_TBtus!$A$3:$A$53,0))),0,(index(Res_AllFuels_SEDS_2022_TBtus!$M$3:$M$53,match($B87&amp;U$2,Res_AllFuels_SEDS_2022_TBtus!$B$3:$B$53&amp;Res_AllFuels_SEDS_2022_TBtus!$A$3:$A$53,0))))</f>
        <v>0</v>
      </c>
      <c r="V87" s="75">
        <f t="array" ref="V87">IF(ISERROR(index(Res_AllFuels_SEDS_2022_TBtus!$M$3:$M$53,match($B87&amp;V$2,Res_AllFuels_SEDS_2022_TBtus!$B$3:$B$53&amp;Res_AllFuels_SEDS_2022_TBtus!$A$3:$A$53,0))),0,(index(Res_AllFuels_SEDS_2022_TBtus!$M$3:$M$53,match($B87&amp;V$2,Res_AllFuels_SEDS_2022_TBtus!$B$3:$B$53&amp;Res_AllFuels_SEDS_2022_TBtus!$A$3:$A$53,0))))</f>
        <v>0</v>
      </c>
      <c r="W87" s="75">
        <f t="array" ref="W87">IF(ISERROR(index(Res_AllFuels_SEDS_2022_TBtus!$M$3:$M$53,match($B87&amp;W$2,Res_AllFuels_SEDS_2022_TBtus!$B$3:$B$53&amp;Res_AllFuels_SEDS_2022_TBtus!$A$3:$A$53,0))),0,(index(Res_AllFuels_SEDS_2022_TBtus!$M$3:$M$53,match($B87&amp;W$2,Res_AllFuels_SEDS_2022_TBtus!$B$3:$B$53&amp;Res_AllFuels_SEDS_2022_TBtus!$A$3:$A$53,0))))</f>
        <v>0</v>
      </c>
      <c r="X87" s="75">
        <f t="array" ref="X87">IF(ISERROR(index(Res_AllFuels_SEDS_2022_TBtus!$M$3:$M$53,match($B87&amp;X$2,Res_AllFuels_SEDS_2022_TBtus!$B$3:$B$53&amp;Res_AllFuels_SEDS_2022_TBtus!$A$3:$A$53,0))),0,(index(Res_AllFuels_SEDS_2022_TBtus!$M$3:$M$53,match($B87&amp;X$2,Res_AllFuels_SEDS_2022_TBtus!$B$3:$B$53&amp;Res_AllFuels_SEDS_2022_TBtus!$A$3:$A$53,0))))</f>
        <v>0</v>
      </c>
      <c r="Y87" s="75">
        <f t="array" ref="Y87">IF(ISERROR(index(Res_AllFuels_SEDS_2022_TBtus!$M$3:$M$53,match($B87&amp;Y$2,Res_AllFuels_SEDS_2022_TBtus!$B$3:$B$53&amp;Res_AllFuels_SEDS_2022_TBtus!$A$3:$A$53,0))),0,(index(Res_AllFuels_SEDS_2022_TBtus!$M$3:$M$53,match($B87&amp;Y$2,Res_AllFuels_SEDS_2022_TBtus!$B$3:$B$53&amp;Res_AllFuels_SEDS_2022_TBtus!$A$3:$A$53,0))))</f>
        <v>0</v>
      </c>
      <c r="Z87" s="75">
        <f t="array" ref="Z87">IF(ISERROR(index(Res_AllFuels_SEDS_2022_TBtus!$M$3:$M$53,match($B87&amp;Z$2,Res_AllFuels_SEDS_2022_TBtus!$B$3:$B$53&amp;Res_AllFuels_SEDS_2022_TBtus!$A$3:$A$53,0))),0,(index(Res_AllFuels_SEDS_2022_TBtus!$M$3:$M$53,match($B87&amp;Z$2,Res_AllFuels_SEDS_2022_TBtus!$B$3:$B$53&amp;Res_AllFuels_SEDS_2022_TBtus!$A$3:$A$53,0))))</f>
        <v>0</v>
      </c>
      <c r="AA87" s="75">
        <f t="array" ref="AA87">IF(ISERROR(index(Res_AllFuels_SEDS_2022_TBtus!$M$3:$M$53,match($B87&amp;AA$2,Res_AllFuels_SEDS_2022_TBtus!$B$3:$B$53&amp;Res_AllFuels_SEDS_2022_TBtus!$A$3:$A$53,0))),0,(index(Res_AllFuels_SEDS_2022_TBtus!$M$3:$M$53,match($B87&amp;AA$2,Res_AllFuels_SEDS_2022_TBtus!$B$3:$B$53&amp;Res_AllFuels_SEDS_2022_TBtus!$A$3:$A$53,0))))</f>
        <v>94.2</v>
      </c>
      <c r="AB87" s="75">
        <f t="array" ref="AB87">IF(ISERROR(index(Res_AllFuels_SEDS_2022_TBtus!$M$3:$M$53,match($B87&amp;AB$2,Res_AllFuels_SEDS_2022_TBtus!$B$3:$B$53&amp;Res_AllFuels_SEDS_2022_TBtus!$A$3:$A$53,0))),0,(index(Res_AllFuels_SEDS_2022_TBtus!$M$3:$M$53,match($B87&amp;AB$2,Res_AllFuels_SEDS_2022_TBtus!$B$3:$B$53&amp;Res_AllFuels_SEDS_2022_TBtus!$A$3:$A$53,0))))</f>
        <v>0</v>
      </c>
      <c r="AC87" s="75">
        <f t="array" ref="AC87">IF(ISERROR(index(Res_AllFuels_SEDS_2022_TBtus!$M$3:$M$53,match($B87&amp;AC$2,Res_AllFuels_SEDS_2022_TBtus!$B$3:$B$53&amp;Res_AllFuels_SEDS_2022_TBtus!$A$3:$A$53,0))),0,(index(Res_AllFuels_SEDS_2022_TBtus!$M$3:$M$53,match($B87&amp;AC$2,Res_AllFuels_SEDS_2022_TBtus!$B$3:$B$53&amp;Res_AllFuels_SEDS_2022_TBtus!$A$3:$A$53,0))))</f>
        <v>0</v>
      </c>
      <c r="AD87" s="75">
        <f t="array" ref="AD87">IF(ISERROR(index(Res_AllFuels_SEDS_2022_TBtus!$M$3:$M$53,match($B87&amp;AD$2,Res_AllFuels_SEDS_2022_TBtus!$B$3:$B$53&amp;Res_AllFuels_SEDS_2022_TBtus!$A$3:$A$53,0))),0,(index(Res_AllFuels_SEDS_2022_TBtus!$M$3:$M$53,match($B87&amp;AD$2,Res_AllFuels_SEDS_2022_TBtus!$B$3:$B$53&amp;Res_AllFuels_SEDS_2022_TBtus!$A$3:$A$53,0))))</f>
        <v>0</v>
      </c>
      <c r="AE87" s="75">
        <f t="array" ref="AE87">IF(ISERROR(index(Res_AllFuels_SEDS_2022_TBtus!$M$3:$M$53,match($B87&amp;AE$2,Res_AllFuels_SEDS_2022_TBtus!$B$3:$B$53&amp;Res_AllFuels_SEDS_2022_TBtus!$A$3:$A$53,0))),0,(index(Res_AllFuels_SEDS_2022_TBtus!$M$3:$M$53,match($B87&amp;AE$2,Res_AllFuels_SEDS_2022_TBtus!$B$3:$B$53&amp;Res_AllFuels_SEDS_2022_TBtus!$A$3:$A$53,0))))</f>
        <v>0</v>
      </c>
      <c r="AF87" s="75">
        <f t="array" ref="AF87">IF(ISERROR(index(Res_AllFuels_SEDS_2022_TBtus!$M$3:$M$53,match($B87&amp;AF$2,Res_AllFuels_SEDS_2022_TBtus!$B$3:$B$53&amp;Res_AllFuels_SEDS_2022_TBtus!$A$3:$A$53,0))),0,(index(Res_AllFuels_SEDS_2022_TBtus!$M$3:$M$53,match($B87&amp;AF$2,Res_AllFuels_SEDS_2022_TBtus!$B$3:$B$53&amp;Res_AllFuels_SEDS_2022_TBtus!$A$3:$A$53,0))))</f>
        <v>0</v>
      </c>
      <c r="AG87" s="75">
        <f t="array" ref="AG87">IF(ISERROR(index(Res_AllFuels_SEDS_2022_TBtus!$M$3:$M$53,match($B87&amp;AG$2,Res_AllFuels_SEDS_2022_TBtus!$B$3:$B$53&amp;Res_AllFuels_SEDS_2022_TBtus!$A$3:$A$53,0))),0,(index(Res_AllFuels_SEDS_2022_TBtus!$M$3:$M$53,match($B87&amp;AG$2,Res_AllFuels_SEDS_2022_TBtus!$B$3:$B$53&amp;Res_AllFuels_SEDS_2022_TBtus!$A$3:$A$53,0))))</f>
        <v>0</v>
      </c>
      <c r="AH87" s="75">
        <f t="array" ref="AH87">IF(ISERROR(index(Res_AllFuels_SEDS_2022_TBtus!$M$3:$M$53,match($B87&amp;AH$2,Res_AllFuels_SEDS_2022_TBtus!$B$3:$B$53&amp;Res_AllFuels_SEDS_2022_TBtus!$A$3:$A$53,0))),0,(index(Res_AllFuels_SEDS_2022_TBtus!$M$3:$M$53,match($B87&amp;AH$2,Res_AllFuels_SEDS_2022_TBtus!$B$3:$B$53&amp;Res_AllFuels_SEDS_2022_TBtus!$A$3:$A$53,0))))</f>
        <v>0</v>
      </c>
      <c r="AI87" s="75">
        <f t="array" ref="AI87">IF(ISERROR(index(Res_AllFuels_SEDS_2022_TBtus!$M$3:$M$53,match($B87&amp;AI$2,Res_AllFuels_SEDS_2022_TBtus!$B$3:$B$53&amp;Res_AllFuels_SEDS_2022_TBtus!$A$3:$A$53,0))),0,(index(Res_AllFuels_SEDS_2022_TBtus!$M$3:$M$53,match($B87&amp;AI$2,Res_AllFuels_SEDS_2022_TBtus!$B$3:$B$53&amp;Res_AllFuels_SEDS_2022_TBtus!$A$3:$A$53,0))))</f>
        <v>0</v>
      </c>
      <c r="AJ87" s="75">
        <f t="array" ref="AJ87">IF(ISERROR(index(Res_AllFuels_SEDS_2022_TBtus!$M$3:$M$53,match($B87&amp;AJ$2,Res_AllFuels_SEDS_2022_TBtus!$B$3:$B$53&amp;Res_AllFuels_SEDS_2022_TBtus!$A$3:$A$53,0))),0,(index(Res_AllFuels_SEDS_2022_TBtus!$M$3:$M$53,match($B87&amp;AJ$2,Res_AllFuels_SEDS_2022_TBtus!$B$3:$B$53&amp;Res_AllFuels_SEDS_2022_TBtus!$A$3:$A$53,0))))</f>
        <v>0</v>
      </c>
      <c r="AK87" s="75">
        <f t="array" ref="AK87">IF(ISERROR(index(Res_AllFuels_SEDS_2022_TBtus!$M$3:$M$53,match($B87&amp;AK$2,Res_AllFuels_SEDS_2022_TBtus!$B$3:$B$53&amp;Res_AllFuels_SEDS_2022_TBtus!$A$3:$A$53,0))),0,(index(Res_AllFuels_SEDS_2022_TBtus!$M$3:$M$53,match($B87&amp;AK$2,Res_AllFuels_SEDS_2022_TBtus!$B$3:$B$53&amp;Res_AllFuels_SEDS_2022_TBtus!$A$3:$A$53,0))))</f>
        <v>0</v>
      </c>
      <c r="AL87" s="75">
        <f t="array" ref="AL87">IF(ISERROR(index(Res_AllFuels_SEDS_2022_TBtus!$M$3:$M$53,match($B87&amp;AL$2,Res_AllFuels_SEDS_2022_TBtus!$B$3:$B$53&amp;Res_AllFuels_SEDS_2022_TBtus!$A$3:$A$53,0))),0,(index(Res_AllFuels_SEDS_2022_TBtus!$M$3:$M$53,match($B87&amp;AL$2,Res_AllFuels_SEDS_2022_TBtus!$B$3:$B$53&amp;Res_AllFuels_SEDS_2022_TBtus!$A$3:$A$53,0))))</f>
        <v>0</v>
      </c>
      <c r="AM87" s="75">
        <f t="array" ref="AM87">IF(ISERROR(index(Res_AllFuels_SEDS_2022_TBtus!$M$3:$M$53,match($B87&amp;AM$2,Res_AllFuels_SEDS_2022_TBtus!$B$3:$B$53&amp;Res_AllFuels_SEDS_2022_TBtus!$A$3:$A$53,0))),0,(index(Res_AllFuels_SEDS_2022_TBtus!$M$3:$M$53,match($B87&amp;AM$2,Res_AllFuels_SEDS_2022_TBtus!$B$3:$B$53&amp;Res_AllFuels_SEDS_2022_TBtus!$A$3:$A$53,0))))</f>
        <v>0</v>
      </c>
      <c r="AN87" s="75">
        <f t="array" ref="AN87">IF(ISERROR(index(Res_AllFuels_SEDS_2022_TBtus!$M$3:$M$53,match($B87&amp;AN$2,Res_AllFuels_SEDS_2022_TBtus!$B$3:$B$53&amp;Res_AllFuels_SEDS_2022_TBtus!$A$3:$A$53,0))),0,(index(Res_AllFuels_SEDS_2022_TBtus!$M$3:$M$53,match($B87&amp;AN$2,Res_AllFuels_SEDS_2022_TBtus!$B$3:$B$53&amp;Res_AllFuels_SEDS_2022_TBtus!$A$3:$A$53,0))))</f>
        <v>0</v>
      </c>
      <c r="AO87" s="75">
        <f t="array" ref="AO87">IF(ISERROR(index(Res_AllFuels_SEDS_2022_TBtus!$M$3:$M$53,match($B87&amp;AO$2,Res_AllFuels_SEDS_2022_TBtus!$B$3:$B$53&amp;Res_AllFuels_SEDS_2022_TBtus!$A$3:$A$53,0))),0,(index(Res_AllFuels_SEDS_2022_TBtus!$M$3:$M$53,match($B87&amp;AO$2,Res_AllFuels_SEDS_2022_TBtus!$B$3:$B$53&amp;Res_AllFuels_SEDS_2022_TBtus!$A$3:$A$53,0))))</f>
        <v>0</v>
      </c>
      <c r="AP87" s="75">
        <f t="array" ref="AP87">IF(ISERROR(index(Res_AllFuels_SEDS_2022_TBtus!$M$3:$M$53,match($B87&amp;AP$2,Res_AllFuels_SEDS_2022_TBtus!$B$3:$B$53&amp;Res_AllFuels_SEDS_2022_TBtus!$A$3:$A$53,0))),0,(index(Res_AllFuels_SEDS_2022_TBtus!$M$3:$M$53,match($B87&amp;AP$2,Res_AllFuels_SEDS_2022_TBtus!$B$3:$B$53&amp;Res_AllFuels_SEDS_2022_TBtus!$A$3:$A$53,0))))</f>
        <v>0</v>
      </c>
      <c r="AQ87" s="75">
        <f t="array" ref="AQ87">IF(ISERROR(index(Res_AllFuels_SEDS_2022_TBtus!$M$3:$M$53,match($B87&amp;AQ$2,Res_AllFuels_SEDS_2022_TBtus!$B$3:$B$53&amp;Res_AllFuels_SEDS_2022_TBtus!$A$3:$A$53,0))),0,(index(Res_AllFuels_SEDS_2022_TBtus!$M$3:$M$53,match($B87&amp;AQ$2,Res_AllFuels_SEDS_2022_TBtus!$B$3:$B$53&amp;Res_AllFuels_SEDS_2022_TBtus!$A$3:$A$53,0))))</f>
        <v>0</v>
      </c>
      <c r="AR87" s="75">
        <f t="array" ref="AR87">IF(ISERROR(index(Res_AllFuels_SEDS_2022_TBtus!$M$3:$M$53,match($B87&amp;AR$2,Res_AllFuels_SEDS_2022_TBtus!$B$3:$B$53&amp;Res_AllFuels_SEDS_2022_TBtus!$A$3:$A$53,0))),0,(index(Res_AllFuels_SEDS_2022_TBtus!$M$3:$M$53,match($B87&amp;AR$2,Res_AllFuels_SEDS_2022_TBtus!$B$3:$B$53&amp;Res_AllFuels_SEDS_2022_TBtus!$A$3:$A$53,0))))</f>
        <v>0</v>
      </c>
      <c r="AS87" s="75">
        <f t="array" ref="AS87">IF(ISERROR(index(Res_AllFuels_SEDS_2022_TBtus!$M$3:$M$53,match($B87&amp;AS$2,Res_AllFuels_SEDS_2022_TBtus!$B$3:$B$53&amp;Res_AllFuels_SEDS_2022_TBtus!$A$3:$A$53,0))),0,(index(Res_AllFuels_SEDS_2022_TBtus!$M$3:$M$53,match($B87&amp;AS$2,Res_AllFuels_SEDS_2022_TBtus!$B$3:$B$53&amp;Res_AllFuels_SEDS_2022_TBtus!$A$3:$A$53,0))))</f>
        <v>237.9</v>
      </c>
      <c r="AT87" s="75">
        <f t="array" ref="AT87">IF(ISERROR(index(Res_AllFuels_SEDS_2022_TBtus!$M$3:$M$53,match($B87&amp;AT$2,Res_AllFuels_SEDS_2022_TBtus!$B$3:$B$53&amp;Res_AllFuels_SEDS_2022_TBtus!$A$3:$A$53,0))),0,(index(Res_AllFuels_SEDS_2022_TBtus!$M$3:$M$53,match($B87&amp;AT$2,Res_AllFuels_SEDS_2022_TBtus!$B$3:$B$53&amp;Res_AllFuels_SEDS_2022_TBtus!$A$3:$A$53,0))))</f>
        <v>0</v>
      </c>
      <c r="AU87" s="75">
        <f t="array" ref="AU87">IF(ISERROR(index(Res_AllFuels_SEDS_2022_TBtus!$M$3:$M$53,match($B87&amp;AU$2,Res_AllFuels_SEDS_2022_TBtus!$B$3:$B$53&amp;Res_AllFuels_SEDS_2022_TBtus!$A$3:$A$53,0))),0,(index(Res_AllFuels_SEDS_2022_TBtus!$M$3:$M$53,match($B87&amp;AU$2,Res_AllFuels_SEDS_2022_TBtus!$B$3:$B$53&amp;Res_AllFuels_SEDS_2022_TBtus!$A$3:$A$53,0))))</f>
        <v>0</v>
      </c>
      <c r="AV87" s="75">
        <f t="array" ref="AV87">IF(ISERROR(index(Res_AllFuels_SEDS_2022_TBtus!$M$3:$M$53,match($B87&amp;AV$2,Res_AllFuels_SEDS_2022_TBtus!$B$3:$B$53&amp;Res_AllFuels_SEDS_2022_TBtus!$A$3:$A$53,0))),0,(index(Res_AllFuels_SEDS_2022_TBtus!$M$3:$M$53,match($B87&amp;AV$2,Res_AllFuels_SEDS_2022_TBtus!$B$3:$B$53&amp;Res_AllFuels_SEDS_2022_TBtus!$A$3:$A$53,0))))</f>
        <v>0</v>
      </c>
      <c r="AW87" s="75">
        <f t="array" ref="AW87">IF(ISERROR(index(Res_AllFuels_SEDS_2022_TBtus!$M$3:$M$53,match($B87&amp;AW$2,Res_AllFuels_SEDS_2022_TBtus!$B$3:$B$53&amp;Res_AllFuels_SEDS_2022_TBtus!$A$3:$A$53,0))),0,(index(Res_AllFuels_SEDS_2022_TBtus!$M$3:$M$53,match($B87&amp;AW$2,Res_AllFuels_SEDS_2022_TBtus!$B$3:$B$53&amp;Res_AllFuels_SEDS_2022_TBtus!$A$3:$A$53,0))))</f>
        <v>0</v>
      </c>
      <c r="AX87" s="75">
        <f t="array" ref="AX87">IF(ISERROR(index(Res_AllFuels_SEDS_2022_TBtus!$M$3:$M$53,match($B87&amp;AX$2,Res_AllFuels_SEDS_2022_TBtus!$B$3:$B$53&amp;Res_AllFuels_SEDS_2022_TBtus!$A$3:$A$53,0))),0,(index(Res_AllFuels_SEDS_2022_TBtus!$M$3:$M$53,match($B87&amp;AX$2,Res_AllFuels_SEDS_2022_TBtus!$B$3:$B$53&amp;Res_AllFuels_SEDS_2022_TBtus!$A$3:$A$53,0))))</f>
        <v>0</v>
      </c>
      <c r="AY87" s="75">
        <f t="array" ref="AY87">IF(ISERROR(index(Res_AllFuels_SEDS_2022_TBtus!$M$3:$M$53,match($B87&amp;AY$2,Res_AllFuels_SEDS_2022_TBtus!$B$3:$B$53&amp;Res_AllFuels_SEDS_2022_TBtus!$A$3:$A$53,0))),0,(index(Res_AllFuels_SEDS_2022_TBtus!$M$3:$M$53,match($B87&amp;AY$2,Res_AllFuels_SEDS_2022_TBtus!$B$3:$B$53&amp;Res_AllFuels_SEDS_2022_TBtus!$A$3:$A$53,0))))</f>
        <v>0</v>
      </c>
      <c r="AZ87" s="75">
        <f t="array" ref="AZ87">IF(ISERROR(index(Res_AllFuels_SEDS_2022_TBtus!$M$3:$M$53,match($B87&amp;AZ$2,Res_AllFuels_SEDS_2022_TBtus!$B$3:$B$53&amp;Res_AllFuels_SEDS_2022_TBtus!$A$3:$A$53,0))),0,(index(Res_AllFuels_SEDS_2022_TBtus!$M$3:$M$53,match($B87&amp;AZ$2,Res_AllFuels_SEDS_2022_TBtus!$B$3:$B$53&amp;Res_AllFuels_SEDS_2022_TBtus!$A$3:$A$53,0))))</f>
        <v>0</v>
      </c>
      <c r="BA87" s="75">
        <f t="array" ref="BA87">IF(ISERROR(index(Res_AllFuels_SEDS_2022_TBtus!$M$3:$M$53,match($B87&amp;BA$2,Res_AllFuels_SEDS_2022_TBtus!$B$3:$B$53&amp;Res_AllFuels_SEDS_2022_TBtus!$A$3:$A$53,0))),0,(index(Res_AllFuels_SEDS_2022_TBtus!$M$3:$M$53,match($B87&amp;BA$2,Res_AllFuels_SEDS_2022_TBtus!$B$3:$B$53&amp;Res_AllFuels_SEDS_2022_TBtus!$A$3:$A$53,0))))</f>
        <v>0</v>
      </c>
      <c r="BB87" s="74">
        <f t="shared" si="13"/>
        <v>645</v>
      </c>
    </row>
    <row r="88" ht="15.75" customHeight="1">
      <c r="A88" s="78"/>
      <c r="B88" s="74">
        <v>7.0</v>
      </c>
      <c r="C88" s="75">
        <f t="array" ref="C88">IF(ISERROR(index(Res_AllFuels_SEDS_2022_TBtus!$M$3:$M$53,match($B88&amp;C$2,Res_AllFuels_SEDS_2022_TBtus!$B$3:$B$53&amp;Res_AllFuels_SEDS_2022_TBtus!$A$3:$A$53,0))),0,(index(Res_AllFuels_SEDS_2022_TBtus!$M$3:$M$53,match($B88&amp;C$2,Res_AllFuels_SEDS_2022_TBtus!$B$3:$B$53&amp;Res_AllFuels_SEDS_2022_TBtus!$A$3:$A$53,0))))</f>
        <v>0</v>
      </c>
      <c r="D88" s="75">
        <f t="array" ref="D88">IF(ISERROR(index(Res_AllFuels_SEDS_2022_TBtus!$M$3:$M$53,match($B88&amp;D$2,Res_AllFuels_SEDS_2022_TBtus!$B$3:$B$53&amp;Res_AllFuels_SEDS_2022_TBtus!$A$3:$A$53,0))),0,(index(Res_AllFuels_SEDS_2022_TBtus!$M$3:$M$53,match($B88&amp;D$2,Res_AllFuels_SEDS_2022_TBtus!$B$3:$B$53&amp;Res_AllFuels_SEDS_2022_TBtus!$A$3:$A$53,0))))</f>
        <v>0</v>
      </c>
      <c r="E88" s="75">
        <f t="array" ref="E88">IF(ISERROR(index(Res_AllFuels_SEDS_2022_TBtus!$M$3:$M$53,match($B88&amp;E$2,Res_AllFuels_SEDS_2022_TBtus!$B$3:$B$53&amp;Res_AllFuels_SEDS_2022_TBtus!$A$3:$A$53,0))),0,(index(Res_AllFuels_SEDS_2022_TBtus!$M$3:$M$53,match($B88&amp;E$2,Res_AllFuels_SEDS_2022_TBtus!$B$3:$B$53&amp;Res_AllFuels_SEDS_2022_TBtus!$A$3:$A$53,0))))</f>
        <v>0</v>
      </c>
      <c r="F88" s="75">
        <f t="array" ref="F88">IF(ISERROR(index(Res_AllFuels_SEDS_2022_TBtus!$M$3:$M$53,match($B88&amp;F$2,Res_AllFuels_SEDS_2022_TBtus!$B$3:$B$53&amp;Res_AllFuels_SEDS_2022_TBtus!$A$3:$A$53,0))),0,(index(Res_AllFuels_SEDS_2022_TBtus!$M$3:$M$53,match($B88&amp;F$2,Res_AllFuels_SEDS_2022_TBtus!$B$3:$B$53&amp;Res_AllFuels_SEDS_2022_TBtus!$A$3:$A$53,0))))</f>
        <v>108.1</v>
      </c>
      <c r="G88" s="75">
        <f t="array" ref="G88">IF(ISERROR(index(Res_AllFuels_SEDS_2022_TBtus!$M$3:$M$53,match($B88&amp;G$2,Res_AllFuels_SEDS_2022_TBtus!$B$3:$B$53&amp;Res_AllFuels_SEDS_2022_TBtus!$A$3:$A$53,0))),0,(index(Res_AllFuels_SEDS_2022_TBtus!$M$3:$M$53,match($B88&amp;G$2,Res_AllFuels_SEDS_2022_TBtus!$B$3:$B$53&amp;Res_AllFuels_SEDS_2022_TBtus!$A$3:$A$53,0))))</f>
        <v>0</v>
      </c>
      <c r="H88" s="75">
        <f t="array" ref="H88">IF(ISERROR(index(Res_AllFuels_SEDS_2022_TBtus!$M$3:$M$53,match($B88&amp;H$2,Res_AllFuels_SEDS_2022_TBtus!$B$3:$B$53&amp;Res_AllFuels_SEDS_2022_TBtus!$A$3:$A$53,0))),0,(index(Res_AllFuels_SEDS_2022_TBtus!$M$3:$M$53,match($B88&amp;H$2,Res_AllFuels_SEDS_2022_TBtus!$B$3:$B$53&amp;Res_AllFuels_SEDS_2022_TBtus!$A$3:$A$53,0))))</f>
        <v>0</v>
      </c>
      <c r="I88" s="75">
        <f t="array" ref="I88">IF(ISERROR(index(Res_AllFuels_SEDS_2022_TBtus!$M$3:$M$53,match($B88&amp;I$2,Res_AllFuels_SEDS_2022_TBtus!$B$3:$B$53&amp;Res_AllFuels_SEDS_2022_TBtus!$A$3:$A$53,0))),0,(index(Res_AllFuels_SEDS_2022_TBtus!$M$3:$M$53,match($B88&amp;I$2,Res_AllFuels_SEDS_2022_TBtus!$B$3:$B$53&amp;Res_AllFuels_SEDS_2022_TBtus!$A$3:$A$53,0))))</f>
        <v>0</v>
      </c>
      <c r="J88" s="75">
        <f t="array" ref="J88">IF(ISERROR(index(Res_AllFuels_SEDS_2022_TBtus!$M$3:$M$53,match($B88&amp;J$2,Res_AllFuels_SEDS_2022_TBtus!$B$3:$B$53&amp;Res_AllFuels_SEDS_2022_TBtus!$A$3:$A$53,0))),0,(index(Res_AllFuels_SEDS_2022_TBtus!$M$3:$M$53,match($B88&amp;J$2,Res_AllFuels_SEDS_2022_TBtus!$B$3:$B$53&amp;Res_AllFuels_SEDS_2022_TBtus!$A$3:$A$53,0))))</f>
        <v>0</v>
      </c>
      <c r="K88" s="75">
        <f t="array" ref="K88">IF(ISERROR(index(Res_AllFuels_SEDS_2022_TBtus!$M$3:$M$53,match($B88&amp;K$2,Res_AllFuels_SEDS_2022_TBtus!$B$3:$B$53&amp;Res_AllFuels_SEDS_2022_TBtus!$A$3:$A$53,0))),0,(index(Res_AllFuels_SEDS_2022_TBtus!$M$3:$M$53,match($B88&amp;K$2,Res_AllFuels_SEDS_2022_TBtus!$B$3:$B$53&amp;Res_AllFuels_SEDS_2022_TBtus!$A$3:$A$53,0))))</f>
        <v>0</v>
      </c>
      <c r="L88" s="75">
        <f t="array" ref="L88">IF(ISERROR(index(Res_AllFuels_SEDS_2022_TBtus!$M$3:$M$53,match($B88&amp;L$2,Res_AllFuels_SEDS_2022_TBtus!$B$3:$B$53&amp;Res_AllFuels_SEDS_2022_TBtus!$A$3:$A$53,0))),0,(index(Res_AllFuels_SEDS_2022_TBtus!$M$3:$M$53,match($B88&amp;L$2,Res_AllFuels_SEDS_2022_TBtus!$B$3:$B$53&amp;Res_AllFuels_SEDS_2022_TBtus!$A$3:$A$53,0))))</f>
        <v>0</v>
      </c>
      <c r="M88" s="75">
        <f t="array" ref="M88">IF(ISERROR(index(Res_AllFuels_SEDS_2022_TBtus!$M$3:$M$53,match($B88&amp;M$2,Res_AllFuels_SEDS_2022_TBtus!$B$3:$B$53&amp;Res_AllFuels_SEDS_2022_TBtus!$A$3:$A$53,0))),0,(index(Res_AllFuels_SEDS_2022_TBtus!$M$3:$M$53,match($B88&amp;M$2,Res_AllFuels_SEDS_2022_TBtus!$B$3:$B$53&amp;Res_AllFuels_SEDS_2022_TBtus!$A$3:$A$53,0))))</f>
        <v>0</v>
      </c>
      <c r="N88" s="75">
        <f t="array" ref="N88">IF(ISERROR(index(Res_AllFuels_SEDS_2022_TBtus!$M$3:$M$53,match($B88&amp;N$2,Res_AllFuels_SEDS_2022_TBtus!$B$3:$B$53&amp;Res_AllFuels_SEDS_2022_TBtus!$A$3:$A$53,0))),0,(index(Res_AllFuels_SEDS_2022_TBtus!$M$3:$M$53,match($B88&amp;N$2,Res_AllFuels_SEDS_2022_TBtus!$B$3:$B$53&amp;Res_AllFuels_SEDS_2022_TBtus!$A$3:$A$53,0))))</f>
        <v>0</v>
      </c>
      <c r="O88" s="75">
        <f t="array" ref="O88">IF(ISERROR(index(Res_AllFuels_SEDS_2022_TBtus!$M$3:$M$53,match($B88&amp;O$2,Res_AllFuels_SEDS_2022_TBtus!$B$3:$B$53&amp;Res_AllFuels_SEDS_2022_TBtus!$A$3:$A$53,0))),0,(index(Res_AllFuels_SEDS_2022_TBtus!$M$3:$M$53,match($B88&amp;O$2,Res_AllFuels_SEDS_2022_TBtus!$B$3:$B$53&amp;Res_AllFuels_SEDS_2022_TBtus!$A$3:$A$53,0))))</f>
        <v>0</v>
      </c>
      <c r="P88" s="75">
        <f t="array" ref="P88">IF(ISERROR(index(Res_AllFuels_SEDS_2022_TBtus!$M$3:$M$53,match($B88&amp;P$2,Res_AllFuels_SEDS_2022_TBtus!$B$3:$B$53&amp;Res_AllFuels_SEDS_2022_TBtus!$A$3:$A$53,0))),0,(index(Res_AllFuels_SEDS_2022_TBtus!$M$3:$M$53,match($B88&amp;P$2,Res_AllFuels_SEDS_2022_TBtus!$B$3:$B$53&amp;Res_AllFuels_SEDS_2022_TBtus!$A$3:$A$53,0))))</f>
        <v>0</v>
      </c>
      <c r="Q88" s="75">
        <f t="array" ref="Q88">IF(ISERROR(index(Res_AllFuels_SEDS_2022_TBtus!$M$3:$M$53,match($B88&amp;Q$2,Res_AllFuels_SEDS_2022_TBtus!$B$3:$B$53&amp;Res_AllFuels_SEDS_2022_TBtus!$A$3:$A$53,0))),0,(index(Res_AllFuels_SEDS_2022_TBtus!$M$3:$M$53,match($B88&amp;Q$2,Res_AllFuels_SEDS_2022_TBtus!$B$3:$B$53&amp;Res_AllFuels_SEDS_2022_TBtus!$A$3:$A$53,0))))</f>
        <v>0</v>
      </c>
      <c r="R88" s="75">
        <f t="array" ref="R88">IF(ISERROR(index(Res_AllFuels_SEDS_2022_TBtus!$M$3:$M$53,match($B88&amp;R$2,Res_AllFuels_SEDS_2022_TBtus!$B$3:$B$53&amp;Res_AllFuels_SEDS_2022_TBtus!$A$3:$A$53,0))),0,(index(Res_AllFuels_SEDS_2022_TBtus!$M$3:$M$53,match($B88&amp;R$2,Res_AllFuels_SEDS_2022_TBtus!$B$3:$B$53&amp;Res_AllFuels_SEDS_2022_TBtus!$A$3:$A$53,0))))</f>
        <v>0</v>
      </c>
      <c r="S88" s="75">
        <f t="array" ref="S88">IF(ISERROR(index(Res_AllFuels_SEDS_2022_TBtus!$M$3:$M$53,match($B88&amp;S$2,Res_AllFuels_SEDS_2022_TBtus!$B$3:$B$53&amp;Res_AllFuels_SEDS_2022_TBtus!$A$3:$A$53,0))),0,(index(Res_AllFuels_SEDS_2022_TBtus!$M$3:$M$53,match($B88&amp;S$2,Res_AllFuels_SEDS_2022_TBtus!$B$3:$B$53&amp;Res_AllFuels_SEDS_2022_TBtus!$A$3:$A$53,0))))</f>
        <v>0</v>
      </c>
      <c r="T88" s="75">
        <f t="array" ref="T88">IF(ISERROR(index(Res_AllFuels_SEDS_2022_TBtus!$M$3:$M$53,match($B88&amp;T$2,Res_AllFuels_SEDS_2022_TBtus!$B$3:$B$53&amp;Res_AllFuels_SEDS_2022_TBtus!$A$3:$A$53,0))),0,(index(Res_AllFuels_SEDS_2022_TBtus!$M$3:$M$53,match($B88&amp;T$2,Res_AllFuels_SEDS_2022_TBtus!$B$3:$B$53&amp;Res_AllFuels_SEDS_2022_TBtus!$A$3:$A$53,0))))</f>
        <v>0</v>
      </c>
      <c r="U88" s="75">
        <f t="array" ref="U88">IF(ISERROR(index(Res_AllFuels_SEDS_2022_TBtus!$M$3:$M$53,match($B88&amp;U$2,Res_AllFuels_SEDS_2022_TBtus!$B$3:$B$53&amp;Res_AllFuels_SEDS_2022_TBtus!$A$3:$A$53,0))),0,(index(Res_AllFuels_SEDS_2022_TBtus!$M$3:$M$53,match($B88&amp;U$2,Res_AllFuels_SEDS_2022_TBtus!$B$3:$B$53&amp;Res_AllFuels_SEDS_2022_TBtus!$A$3:$A$53,0))))</f>
        <v>147.6</v>
      </c>
      <c r="V88" s="75">
        <f t="array" ref="V88">IF(ISERROR(index(Res_AllFuels_SEDS_2022_TBtus!$M$3:$M$53,match($B88&amp;V$2,Res_AllFuels_SEDS_2022_TBtus!$B$3:$B$53&amp;Res_AllFuels_SEDS_2022_TBtus!$A$3:$A$53,0))),0,(index(Res_AllFuels_SEDS_2022_TBtus!$M$3:$M$53,match($B88&amp;V$2,Res_AllFuels_SEDS_2022_TBtus!$B$3:$B$53&amp;Res_AllFuels_SEDS_2022_TBtus!$A$3:$A$53,0))))</f>
        <v>0</v>
      </c>
      <c r="W88" s="75">
        <f t="array" ref="W88">IF(ISERROR(index(Res_AllFuels_SEDS_2022_TBtus!$M$3:$M$53,match($B88&amp;W$2,Res_AllFuels_SEDS_2022_TBtus!$B$3:$B$53&amp;Res_AllFuels_SEDS_2022_TBtus!$A$3:$A$53,0))),0,(index(Res_AllFuels_SEDS_2022_TBtus!$M$3:$M$53,match($B88&amp;W$2,Res_AllFuels_SEDS_2022_TBtus!$B$3:$B$53&amp;Res_AllFuels_SEDS_2022_TBtus!$A$3:$A$53,0))))</f>
        <v>0</v>
      </c>
      <c r="X88" s="75">
        <f t="array" ref="X88">IF(ISERROR(index(Res_AllFuels_SEDS_2022_TBtus!$M$3:$M$53,match($B88&amp;X$2,Res_AllFuels_SEDS_2022_TBtus!$B$3:$B$53&amp;Res_AllFuels_SEDS_2022_TBtus!$A$3:$A$53,0))),0,(index(Res_AllFuels_SEDS_2022_TBtus!$M$3:$M$53,match($B88&amp;X$2,Res_AllFuels_SEDS_2022_TBtus!$B$3:$B$53&amp;Res_AllFuels_SEDS_2022_TBtus!$A$3:$A$53,0))))</f>
        <v>0</v>
      </c>
      <c r="Y88" s="75">
        <f t="array" ref="Y88">IF(ISERROR(index(Res_AllFuels_SEDS_2022_TBtus!$M$3:$M$53,match($B88&amp;Y$2,Res_AllFuels_SEDS_2022_TBtus!$B$3:$B$53&amp;Res_AllFuels_SEDS_2022_TBtus!$A$3:$A$53,0))),0,(index(Res_AllFuels_SEDS_2022_TBtus!$M$3:$M$53,match($B88&amp;Y$2,Res_AllFuels_SEDS_2022_TBtus!$B$3:$B$53&amp;Res_AllFuels_SEDS_2022_TBtus!$A$3:$A$53,0))))</f>
        <v>0</v>
      </c>
      <c r="Z88" s="75">
        <f t="array" ref="Z88">IF(ISERROR(index(Res_AllFuels_SEDS_2022_TBtus!$M$3:$M$53,match($B88&amp;Z$2,Res_AllFuels_SEDS_2022_TBtus!$B$3:$B$53&amp;Res_AllFuels_SEDS_2022_TBtus!$A$3:$A$53,0))),0,(index(Res_AllFuels_SEDS_2022_TBtus!$M$3:$M$53,match($B88&amp;Z$2,Res_AllFuels_SEDS_2022_TBtus!$B$3:$B$53&amp;Res_AllFuels_SEDS_2022_TBtus!$A$3:$A$53,0))))</f>
        <v>0</v>
      </c>
      <c r="AA88" s="75">
        <f t="array" ref="AA88">IF(ISERROR(index(Res_AllFuels_SEDS_2022_TBtus!$M$3:$M$53,match($B88&amp;AA$2,Res_AllFuels_SEDS_2022_TBtus!$B$3:$B$53&amp;Res_AllFuels_SEDS_2022_TBtus!$A$3:$A$53,0))),0,(index(Res_AllFuels_SEDS_2022_TBtus!$M$3:$M$53,match($B88&amp;AA$2,Res_AllFuels_SEDS_2022_TBtus!$B$3:$B$53&amp;Res_AllFuels_SEDS_2022_TBtus!$A$3:$A$53,0))))</f>
        <v>0</v>
      </c>
      <c r="AB88" s="75">
        <f t="array" ref="AB88">IF(ISERROR(index(Res_AllFuels_SEDS_2022_TBtus!$M$3:$M$53,match($B88&amp;AB$2,Res_AllFuels_SEDS_2022_TBtus!$B$3:$B$53&amp;Res_AllFuels_SEDS_2022_TBtus!$A$3:$A$53,0))),0,(index(Res_AllFuels_SEDS_2022_TBtus!$M$3:$M$53,match($B88&amp;AB$2,Res_AllFuels_SEDS_2022_TBtus!$B$3:$B$53&amp;Res_AllFuels_SEDS_2022_TBtus!$A$3:$A$53,0))))</f>
        <v>0</v>
      </c>
      <c r="AC88" s="75">
        <f t="array" ref="AC88">IF(ISERROR(index(Res_AllFuels_SEDS_2022_TBtus!$M$3:$M$53,match($B88&amp;AC$2,Res_AllFuels_SEDS_2022_TBtus!$B$3:$B$53&amp;Res_AllFuels_SEDS_2022_TBtus!$A$3:$A$53,0))),0,(index(Res_AllFuels_SEDS_2022_TBtus!$M$3:$M$53,match($B88&amp;AC$2,Res_AllFuels_SEDS_2022_TBtus!$B$3:$B$53&amp;Res_AllFuels_SEDS_2022_TBtus!$A$3:$A$53,0))))</f>
        <v>0</v>
      </c>
      <c r="AD88" s="75">
        <f t="array" ref="AD88">IF(ISERROR(index(Res_AllFuels_SEDS_2022_TBtus!$M$3:$M$53,match($B88&amp;AD$2,Res_AllFuels_SEDS_2022_TBtus!$B$3:$B$53&amp;Res_AllFuels_SEDS_2022_TBtus!$A$3:$A$53,0))),0,(index(Res_AllFuels_SEDS_2022_TBtus!$M$3:$M$53,match($B88&amp;AD$2,Res_AllFuels_SEDS_2022_TBtus!$B$3:$B$53&amp;Res_AllFuels_SEDS_2022_TBtus!$A$3:$A$53,0))))</f>
        <v>0</v>
      </c>
      <c r="AE88" s="75">
        <f t="array" ref="AE88">IF(ISERROR(index(Res_AllFuels_SEDS_2022_TBtus!$M$3:$M$53,match($B88&amp;AE$2,Res_AllFuels_SEDS_2022_TBtus!$B$3:$B$53&amp;Res_AllFuels_SEDS_2022_TBtus!$A$3:$A$53,0))),0,(index(Res_AllFuels_SEDS_2022_TBtus!$M$3:$M$53,match($B88&amp;AE$2,Res_AllFuels_SEDS_2022_TBtus!$B$3:$B$53&amp;Res_AllFuels_SEDS_2022_TBtus!$A$3:$A$53,0))))</f>
        <v>0</v>
      </c>
      <c r="AF88" s="75">
        <f t="array" ref="AF88">IF(ISERROR(index(Res_AllFuels_SEDS_2022_TBtus!$M$3:$M$53,match($B88&amp;AF$2,Res_AllFuels_SEDS_2022_TBtus!$B$3:$B$53&amp;Res_AllFuels_SEDS_2022_TBtus!$A$3:$A$53,0))),0,(index(Res_AllFuels_SEDS_2022_TBtus!$M$3:$M$53,match($B88&amp;AF$2,Res_AllFuels_SEDS_2022_TBtus!$B$3:$B$53&amp;Res_AllFuels_SEDS_2022_TBtus!$A$3:$A$53,0))))</f>
        <v>0</v>
      </c>
      <c r="AG88" s="75">
        <f t="array" ref="AG88">IF(ISERROR(index(Res_AllFuels_SEDS_2022_TBtus!$M$3:$M$53,match($B88&amp;AG$2,Res_AllFuels_SEDS_2022_TBtus!$B$3:$B$53&amp;Res_AllFuels_SEDS_2022_TBtus!$A$3:$A$53,0))),0,(index(Res_AllFuels_SEDS_2022_TBtus!$M$3:$M$53,match($B88&amp;AG$2,Res_AllFuels_SEDS_2022_TBtus!$B$3:$B$53&amp;Res_AllFuels_SEDS_2022_TBtus!$A$3:$A$53,0))))</f>
        <v>0</v>
      </c>
      <c r="AH88" s="75">
        <f t="array" ref="AH88">IF(ISERROR(index(Res_AllFuels_SEDS_2022_TBtus!$M$3:$M$53,match($B88&amp;AH$2,Res_AllFuels_SEDS_2022_TBtus!$B$3:$B$53&amp;Res_AllFuels_SEDS_2022_TBtus!$A$3:$A$53,0))),0,(index(Res_AllFuels_SEDS_2022_TBtus!$M$3:$M$53,match($B88&amp;AH$2,Res_AllFuels_SEDS_2022_TBtus!$B$3:$B$53&amp;Res_AllFuels_SEDS_2022_TBtus!$A$3:$A$53,0))))</f>
        <v>0</v>
      </c>
      <c r="AI88" s="75">
        <f t="array" ref="AI88">IF(ISERROR(index(Res_AllFuels_SEDS_2022_TBtus!$M$3:$M$53,match($B88&amp;AI$2,Res_AllFuels_SEDS_2022_TBtus!$B$3:$B$53&amp;Res_AllFuels_SEDS_2022_TBtus!$A$3:$A$53,0))),0,(index(Res_AllFuels_SEDS_2022_TBtus!$M$3:$M$53,match($B88&amp;AI$2,Res_AllFuels_SEDS_2022_TBtus!$B$3:$B$53&amp;Res_AllFuels_SEDS_2022_TBtus!$A$3:$A$53,0))))</f>
        <v>0</v>
      </c>
      <c r="AJ88" s="75">
        <f t="array" ref="AJ88">IF(ISERROR(index(Res_AllFuels_SEDS_2022_TBtus!$M$3:$M$53,match($B88&amp;AJ$2,Res_AllFuels_SEDS_2022_TBtus!$B$3:$B$53&amp;Res_AllFuels_SEDS_2022_TBtus!$A$3:$A$53,0))),0,(index(Res_AllFuels_SEDS_2022_TBtus!$M$3:$M$53,match($B88&amp;AJ$2,Res_AllFuels_SEDS_2022_TBtus!$B$3:$B$53&amp;Res_AllFuels_SEDS_2022_TBtus!$A$3:$A$53,0))))</f>
        <v>0</v>
      </c>
      <c r="AK88" s="75">
        <f t="array" ref="AK88">IF(ISERROR(index(Res_AllFuels_SEDS_2022_TBtus!$M$3:$M$53,match($B88&amp;AK$2,Res_AllFuels_SEDS_2022_TBtus!$B$3:$B$53&amp;Res_AllFuels_SEDS_2022_TBtus!$A$3:$A$53,0))),0,(index(Res_AllFuels_SEDS_2022_TBtus!$M$3:$M$53,match($B88&amp;AK$2,Res_AllFuels_SEDS_2022_TBtus!$B$3:$B$53&amp;Res_AllFuels_SEDS_2022_TBtus!$A$3:$A$53,0))))</f>
        <v>0</v>
      </c>
      <c r="AL88" s="75">
        <f t="array" ref="AL88">IF(ISERROR(index(Res_AllFuels_SEDS_2022_TBtus!$M$3:$M$53,match($B88&amp;AL$2,Res_AllFuels_SEDS_2022_TBtus!$B$3:$B$53&amp;Res_AllFuels_SEDS_2022_TBtus!$A$3:$A$53,0))),0,(index(Res_AllFuels_SEDS_2022_TBtus!$M$3:$M$53,match($B88&amp;AL$2,Res_AllFuels_SEDS_2022_TBtus!$B$3:$B$53&amp;Res_AllFuels_SEDS_2022_TBtus!$A$3:$A$53,0))))</f>
        <v>0</v>
      </c>
      <c r="AM88" s="75">
        <f t="array" ref="AM88">IF(ISERROR(index(Res_AllFuels_SEDS_2022_TBtus!$M$3:$M$53,match($B88&amp;AM$2,Res_AllFuels_SEDS_2022_TBtus!$B$3:$B$53&amp;Res_AllFuels_SEDS_2022_TBtus!$A$3:$A$53,0))),0,(index(Res_AllFuels_SEDS_2022_TBtus!$M$3:$M$53,match($B88&amp;AM$2,Res_AllFuels_SEDS_2022_TBtus!$B$3:$B$53&amp;Res_AllFuels_SEDS_2022_TBtus!$A$3:$A$53,0))))</f>
        <v>162.3</v>
      </c>
      <c r="AN88" s="75">
        <f t="array" ref="AN88">IF(ISERROR(index(Res_AllFuels_SEDS_2022_TBtus!$M$3:$M$53,match($B88&amp;AN$2,Res_AllFuels_SEDS_2022_TBtus!$B$3:$B$53&amp;Res_AllFuels_SEDS_2022_TBtus!$A$3:$A$53,0))),0,(index(Res_AllFuels_SEDS_2022_TBtus!$M$3:$M$53,match($B88&amp;AN$2,Res_AllFuels_SEDS_2022_TBtus!$B$3:$B$53&amp;Res_AllFuels_SEDS_2022_TBtus!$A$3:$A$53,0))))</f>
        <v>0</v>
      </c>
      <c r="AO88" s="75">
        <f t="array" ref="AO88">IF(ISERROR(index(Res_AllFuels_SEDS_2022_TBtus!$M$3:$M$53,match($B88&amp;AO$2,Res_AllFuels_SEDS_2022_TBtus!$B$3:$B$53&amp;Res_AllFuels_SEDS_2022_TBtus!$A$3:$A$53,0))),0,(index(Res_AllFuels_SEDS_2022_TBtus!$M$3:$M$53,match($B88&amp;AO$2,Res_AllFuels_SEDS_2022_TBtus!$B$3:$B$53&amp;Res_AllFuels_SEDS_2022_TBtus!$A$3:$A$53,0))))</f>
        <v>0</v>
      </c>
      <c r="AP88" s="75">
        <f t="array" ref="AP88">IF(ISERROR(index(Res_AllFuels_SEDS_2022_TBtus!$M$3:$M$53,match($B88&amp;AP$2,Res_AllFuels_SEDS_2022_TBtus!$B$3:$B$53&amp;Res_AllFuels_SEDS_2022_TBtus!$A$3:$A$53,0))),0,(index(Res_AllFuels_SEDS_2022_TBtus!$M$3:$M$53,match($B88&amp;AP$2,Res_AllFuels_SEDS_2022_TBtus!$B$3:$B$53&amp;Res_AllFuels_SEDS_2022_TBtus!$A$3:$A$53,0))))</f>
        <v>0</v>
      </c>
      <c r="AQ88" s="75">
        <f t="array" ref="AQ88">IF(ISERROR(index(Res_AllFuels_SEDS_2022_TBtus!$M$3:$M$53,match($B88&amp;AQ$2,Res_AllFuels_SEDS_2022_TBtus!$B$3:$B$53&amp;Res_AllFuels_SEDS_2022_TBtus!$A$3:$A$53,0))),0,(index(Res_AllFuels_SEDS_2022_TBtus!$M$3:$M$53,match($B88&amp;AQ$2,Res_AllFuels_SEDS_2022_TBtus!$B$3:$B$53&amp;Res_AllFuels_SEDS_2022_TBtus!$A$3:$A$53,0))))</f>
        <v>0</v>
      </c>
      <c r="AR88" s="75">
        <f t="array" ref="AR88">IF(ISERROR(index(Res_AllFuels_SEDS_2022_TBtus!$M$3:$M$53,match($B88&amp;AR$2,Res_AllFuels_SEDS_2022_TBtus!$B$3:$B$53&amp;Res_AllFuels_SEDS_2022_TBtus!$A$3:$A$53,0))),0,(index(Res_AllFuels_SEDS_2022_TBtus!$M$3:$M$53,match($B88&amp;AR$2,Res_AllFuels_SEDS_2022_TBtus!$B$3:$B$53&amp;Res_AllFuels_SEDS_2022_TBtus!$A$3:$A$53,0))))</f>
        <v>0</v>
      </c>
      <c r="AS88" s="75">
        <f t="array" ref="AS88">IF(ISERROR(index(Res_AllFuels_SEDS_2022_TBtus!$M$3:$M$53,match($B88&amp;AS$2,Res_AllFuels_SEDS_2022_TBtus!$B$3:$B$53&amp;Res_AllFuels_SEDS_2022_TBtus!$A$3:$A$53,0))),0,(index(Res_AllFuels_SEDS_2022_TBtus!$M$3:$M$53,match($B88&amp;AS$2,Res_AllFuels_SEDS_2022_TBtus!$B$3:$B$53&amp;Res_AllFuels_SEDS_2022_TBtus!$A$3:$A$53,0))))</f>
        <v>0</v>
      </c>
      <c r="AT88" s="75">
        <f t="array" ref="AT88">IF(ISERROR(index(Res_AllFuels_SEDS_2022_TBtus!$M$3:$M$53,match($B88&amp;AT$2,Res_AllFuels_SEDS_2022_TBtus!$B$3:$B$53&amp;Res_AllFuels_SEDS_2022_TBtus!$A$3:$A$53,0))),0,(index(Res_AllFuels_SEDS_2022_TBtus!$M$3:$M$53,match($B88&amp;AT$2,Res_AllFuels_SEDS_2022_TBtus!$B$3:$B$53&amp;Res_AllFuels_SEDS_2022_TBtus!$A$3:$A$53,0))))</f>
        <v>851.4</v>
      </c>
      <c r="AU88" s="75">
        <f t="array" ref="AU88">IF(ISERROR(index(Res_AllFuels_SEDS_2022_TBtus!$M$3:$M$53,match($B88&amp;AU$2,Res_AllFuels_SEDS_2022_TBtus!$B$3:$B$53&amp;Res_AllFuels_SEDS_2022_TBtus!$A$3:$A$53,0))),0,(index(Res_AllFuels_SEDS_2022_TBtus!$M$3:$M$53,match($B88&amp;AU$2,Res_AllFuels_SEDS_2022_TBtus!$B$3:$B$53&amp;Res_AllFuels_SEDS_2022_TBtus!$A$3:$A$53,0))))</f>
        <v>0</v>
      </c>
      <c r="AV88" s="75">
        <f t="array" ref="AV88">IF(ISERROR(index(Res_AllFuels_SEDS_2022_TBtus!$M$3:$M$53,match($B88&amp;AV$2,Res_AllFuels_SEDS_2022_TBtus!$B$3:$B$53&amp;Res_AllFuels_SEDS_2022_TBtus!$A$3:$A$53,0))),0,(index(Res_AllFuels_SEDS_2022_TBtus!$M$3:$M$53,match($B88&amp;AV$2,Res_AllFuels_SEDS_2022_TBtus!$B$3:$B$53&amp;Res_AllFuels_SEDS_2022_TBtus!$A$3:$A$53,0))))</f>
        <v>0</v>
      </c>
      <c r="AW88" s="75">
        <f t="array" ref="AW88">IF(ISERROR(index(Res_AllFuels_SEDS_2022_TBtus!$M$3:$M$53,match($B88&amp;AW$2,Res_AllFuels_SEDS_2022_TBtus!$B$3:$B$53&amp;Res_AllFuels_SEDS_2022_TBtus!$A$3:$A$53,0))),0,(index(Res_AllFuels_SEDS_2022_TBtus!$M$3:$M$53,match($B88&amp;AW$2,Res_AllFuels_SEDS_2022_TBtus!$B$3:$B$53&amp;Res_AllFuels_SEDS_2022_TBtus!$A$3:$A$53,0))))</f>
        <v>0</v>
      </c>
      <c r="AX88" s="75">
        <f t="array" ref="AX88">IF(ISERROR(index(Res_AllFuels_SEDS_2022_TBtus!$M$3:$M$53,match($B88&amp;AX$2,Res_AllFuels_SEDS_2022_TBtus!$B$3:$B$53&amp;Res_AllFuels_SEDS_2022_TBtus!$A$3:$A$53,0))),0,(index(Res_AllFuels_SEDS_2022_TBtus!$M$3:$M$53,match($B88&amp;AX$2,Res_AllFuels_SEDS_2022_TBtus!$B$3:$B$53&amp;Res_AllFuels_SEDS_2022_TBtus!$A$3:$A$53,0))))</f>
        <v>0</v>
      </c>
      <c r="AY88" s="75">
        <f t="array" ref="AY88">IF(ISERROR(index(Res_AllFuels_SEDS_2022_TBtus!$M$3:$M$53,match($B88&amp;AY$2,Res_AllFuels_SEDS_2022_TBtus!$B$3:$B$53&amp;Res_AllFuels_SEDS_2022_TBtus!$A$3:$A$53,0))),0,(index(Res_AllFuels_SEDS_2022_TBtus!$M$3:$M$53,match($B88&amp;AY$2,Res_AllFuels_SEDS_2022_TBtus!$B$3:$B$53&amp;Res_AllFuels_SEDS_2022_TBtus!$A$3:$A$53,0))))</f>
        <v>0</v>
      </c>
      <c r="AZ88" s="75">
        <f t="array" ref="AZ88">IF(ISERROR(index(Res_AllFuels_SEDS_2022_TBtus!$M$3:$M$53,match($B88&amp;AZ$2,Res_AllFuels_SEDS_2022_TBtus!$B$3:$B$53&amp;Res_AllFuels_SEDS_2022_TBtus!$A$3:$A$53,0))),0,(index(Res_AllFuels_SEDS_2022_TBtus!$M$3:$M$53,match($B88&amp;AZ$2,Res_AllFuels_SEDS_2022_TBtus!$B$3:$B$53&amp;Res_AllFuels_SEDS_2022_TBtus!$A$3:$A$53,0))))</f>
        <v>0</v>
      </c>
      <c r="BA88" s="75">
        <f t="array" ref="BA88">IF(ISERROR(index(Res_AllFuels_SEDS_2022_TBtus!$M$3:$M$53,match($B88&amp;BA$2,Res_AllFuels_SEDS_2022_TBtus!$B$3:$B$53&amp;Res_AllFuels_SEDS_2022_TBtus!$A$3:$A$53,0))),0,(index(Res_AllFuels_SEDS_2022_TBtus!$M$3:$M$53,match($B88&amp;BA$2,Res_AllFuels_SEDS_2022_TBtus!$B$3:$B$53&amp;Res_AllFuels_SEDS_2022_TBtus!$A$3:$A$53,0))))</f>
        <v>0</v>
      </c>
      <c r="BB88" s="74">
        <f t="shared" si="13"/>
        <v>1269.4</v>
      </c>
    </row>
    <row r="89" ht="15.75" customHeight="1">
      <c r="A89" s="78"/>
      <c r="B89" s="74">
        <v>8.0</v>
      </c>
      <c r="C89" s="75">
        <f t="array" ref="C89">IF(ISERROR(index(Res_AllFuels_SEDS_2022_TBtus!$M$3:$M$53,match($B89&amp;C$2,Res_AllFuels_SEDS_2022_TBtus!$B$3:$B$53&amp;Res_AllFuels_SEDS_2022_TBtus!$A$3:$A$53,0))),0,(index(Res_AllFuels_SEDS_2022_TBtus!$M$3:$M$53,match($B89&amp;C$2,Res_AllFuels_SEDS_2022_TBtus!$B$3:$B$53&amp;Res_AllFuels_SEDS_2022_TBtus!$A$3:$A$53,0))))</f>
        <v>0</v>
      </c>
      <c r="D89" s="75">
        <f t="array" ref="D89">IF(ISERROR(index(Res_AllFuels_SEDS_2022_TBtus!$M$3:$M$53,match($B89&amp;D$2,Res_AllFuels_SEDS_2022_TBtus!$B$3:$B$53&amp;Res_AllFuels_SEDS_2022_TBtus!$A$3:$A$53,0))),0,(index(Res_AllFuels_SEDS_2022_TBtus!$M$3:$M$53,match($B89&amp;D$2,Res_AllFuels_SEDS_2022_TBtus!$B$3:$B$53&amp;Res_AllFuels_SEDS_2022_TBtus!$A$3:$A$53,0))))</f>
        <v>0</v>
      </c>
      <c r="E89" s="75">
        <f t="array" ref="E89">IF(ISERROR(index(Res_AllFuels_SEDS_2022_TBtus!$M$3:$M$53,match($B89&amp;E$2,Res_AllFuels_SEDS_2022_TBtus!$B$3:$B$53&amp;Res_AllFuels_SEDS_2022_TBtus!$A$3:$A$53,0))),0,(index(Res_AllFuels_SEDS_2022_TBtus!$M$3:$M$53,match($B89&amp;E$2,Res_AllFuels_SEDS_2022_TBtus!$B$3:$B$53&amp;Res_AllFuels_SEDS_2022_TBtus!$A$3:$A$53,0))))</f>
        <v>197.6</v>
      </c>
      <c r="F89" s="75">
        <f t="array" ref="F89">IF(ISERROR(index(Res_AllFuels_SEDS_2022_TBtus!$M$3:$M$53,match($B89&amp;F$2,Res_AllFuels_SEDS_2022_TBtus!$B$3:$B$53&amp;Res_AllFuels_SEDS_2022_TBtus!$A$3:$A$53,0))),0,(index(Res_AllFuels_SEDS_2022_TBtus!$M$3:$M$53,match($B89&amp;F$2,Res_AllFuels_SEDS_2022_TBtus!$B$3:$B$53&amp;Res_AllFuels_SEDS_2022_TBtus!$A$3:$A$53,0))))</f>
        <v>0</v>
      </c>
      <c r="G89" s="75">
        <f t="array" ref="G89">IF(ISERROR(index(Res_AllFuels_SEDS_2022_TBtus!$M$3:$M$53,match($B89&amp;G$2,Res_AllFuels_SEDS_2022_TBtus!$B$3:$B$53&amp;Res_AllFuels_SEDS_2022_TBtus!$A$3:$A$53,0))),0,(index(Res_AllFuels_SEDS_2022_TBtus!$M$3:$M$53,match($B89&amp;G$2,Res_AllFuels_SEDS_2022_TBtus!$B$3:$B$53&amp;Res_AllFuels_SEDS_2022_TBtus!$A$3:$A$53,0))))</f>
        <v>0</v>
      </c>
      <c r="H89" s="75">
        <f t="array" ref="H89">IF(ISERROR(index(Res_AllFuels_SEDS_2022_TBtus!$M$3:$M$53,match($B89&amp;H$2,Res_AllFuels_SEDS_2022_TBtus!$B$3:$B$53&amp;Res_AllFuels_SEDS_2022_TBtus!$A$3:$A$53,0))),0,(index(Res_AllFuels_SEDS_2022_TBtus!$M$3:$M$53,match($B89&amp;H$2,Res_AllFuels_SEDS_2022_TBtus!$B$3:$B$53&amp;Res_AllFuels_SEDS_2022_TBtus!$A$3:$A$53,0))))</f>
        <v>245.1</v>
      </c>
      <c r="I89" s="75">
        <f t="array" ref="I89">IF(ISERROR(index(Res_AllFuels_SEDS_2022_TBtus!$M$3:$M$53,match($B89&amp;I$2,Res_AllFuels_SEDS_2022_TBtus!$B$3:$B$53&amp;Res_AllFuels_SEDS_2022_TBtus!$A$3:$A$53,0))),0,(index(Res_AllFuels_SEDS_2022_TBtus!$M$3:$M$53,match($B89&amp;I$2,Res_AllFuels_SEDS_2022_TBtus!$B$3:$B$53&amp;Res_AllFuels_SEDS_2022_TBtus!$A$3:$A$53,0))))</f>
        <v>0</v>
      </c>
      <c r="J89" s="75">
        <f t="array" ref="J89">IF(ISERROR(index(Res_AllFuels_SEDS_2022_TBtus!$M$3:$M$53,match($B89&amp;J$2,Res_AllFuels_SEDS_2022_TBtus!$B$3:$B$53&amp;Res_AllFuels_SEDS_2022_TBtus!$A$3:$A$53,0))),0,(index(Res_AllFuels_SEDS_2022_TBtus!$M$3:$M$53,match($B89&amp;J$2,Res_AllFuels_SEDS_2022_TBtus!$B$3:$B$53&amp;Res_AllFuels_SEDS_2022_TBtus!$A$3:$A$53,0))))</f>
        <v>0</v>
      </c>
      <c r="K89" s="75">
        <f t="array" ref="K89">IF(ISERROR(index(Res_AllFuels_SEDS_2022_TBtus!$M$3:$M$53,match($B89&amp;K$2,Res_AllFuels_SEDS_2022_TBtus!$B$3:$B$53&amp;Res_AllFuels_SEDS_2022_TBtus!$A$3:$A$53,0))),0,(index(Res_AllFuels_SEDS_2022_TBtus!$M$3:$M$53,match($B89&amp;K$2,Res_AllFuels_SEDS_2022_TBtus!$B$3:$B$53&amp;Res_AllFuels_SEDS_2022_TBtus!$A$3:$A$53,0))))</f>
        <v>0</v>
      </c>
      <c r="L89" s="75">
        <f t="array" ref="L89">IF(ISERROR(index(Res_AllFuels_SEDS_2022_TBtus!$M$3:$M$53,match($B89&amp;L$2,Res_AllFuels_SEDS_2022_TBtus!$B$3:$B$53&amp;Res_AllFuels_SEDS_2022_TBtus!$A$3:$A$53,0))),0,(index(Res_AllFuels_SEDS_2022_TBtus!$M$3:$M$53,match($B89&amp;L$2,Res_AllFuels_SEDS_2022_TBtus!$B$3:$B$53&amp;Res_AllFuels_SEDS_2022_TBtus!$A$3:$A$53,0))))</f>
        <v>0</v>
      </c>
      <c r="M89" s="75">
        <f t="array" ref="M89">IF(ISERROR(index(Res_AllFuels_SEDS_2022_TBtus!$M$3:$M$53,match($B89&amp;M$2,Res_AllFuels_SEDS_2022_TBtus!$B$3:$B$53&amp;Res_AllFuels_SEDS_2022_TBtus!$A$3:$A$53,0))),0,(index(Res_AllFuels_SEDS_2022_TBtus!$M$3:$M$53,match($B89&amp;M$2,Res_AllFuels_SEDS_2022_TBtus!$B$3:$B$53&amp;Res_AllFuels_SEDS_2022_TBtus!$A$3:$A$53,0))))</f>
        <v>0</v>
      </c>
      <c r="N89" s="75">
        <f t="array" ref="N89">IF(ISERROR(index(Res_AllFuels_SEDS_2022_TBtus!$M$3:$M$53,match($B89&amp;N$2,Res_AllFuels_SEDS_2022_TBtus!$B$3:$B$53&amp;Res_AllFuels_SEDS_2022_TBtus!$A$3:$A$53,0))),0,(index(Res_AllFuels_SEDS_2022_TBtus!$M$3:$M$53,match($B89&amp;N$2,Res_AllFuels_SEDS_2022_TBtus!$B$3:$B$53&amp;Res_AllFuels_SEDS_2022_TBtus!$A$3:$A$53,0))))</f>
        <v>0</v>
      </c>
      <c r="O89" s="75">
        <f t="array" ref="O89">IF(ISERROR(index(Res_AllFuels_SEDS_2022_TBtus!$M$3:$M$53,match($B89&amp;O$2,Res_AllFuels_SEDS_2022_TBtus!$B$3:$B$53&amp;Res_AllFuels_SEDS_2022_TBtus!$A$3:$A$53,0))),0,(index(Res_AllFuels_SEDS_2022_TBtus!$M$3:$M$53,match($B89&amp;O$2,Res_AllFuels_SEDS_2022_TBtus!$B$3:$B$53&amp;Res_AllFuels_SEDS_2022_TBtus!$A$3:$A$53,0))))</f>
        <v>91.2</v>
      </c>
      <c r="P89" s="75">
        <f t="array" ref="P89">IF(ISERROR(index(Res_AllFuels_SEDS_2022_TBtus!$M$3:$M$53,match($B89&amp;P$2,Res_AllFuels_SEDS_2022_TBtus!$B$3:$B$53&amp;Res_AllFuels_SEDS_2022_TBtus!$A$3:$A$53,0))),0,(index(Res_AllFuels_SEDS_2022_TBtus!$M$3:$M$53,match($B89&amp;P$2,Res_AllFuels_SEDS_2022_TBtus!$B$3:$B$53&amp;Res_AllFuels_SEDS_2022_TBtus!$A$3:$A$53,0))))</f>
        <v>0</v>
      </c>
      <c r="Q89" s="75">
        <f t="array" ref="Q89">IF(ISERROR(index(Res_AllFuels_SEDS_2022_TBtus!$M$3:$M$53,match($B89&amp;Q$2,Res_AllFuels_SEDS_2022_TBtus!$B$3:$B$53&amp;Res_AllFuels_SEDS_2022_TBtus!$A$3:$A$53,0))),0,(index(Res_AllFuels_SEDS_2022_TBtus!$M$3:$M$53,match($B89&amp;Q$2,Res_AllFuels_SEDS_2022_TBtus!$B$3:$B$53&amp;Res_AllFuels_SEDS_2022_TBtus!$A$3:$A$53,0))))</f>
        <v>0</v>
      </c>
      <c r="R89" s="75">
        <f t="array" ref="R89">IF(ISERROR(index(Res_AllFuels_SEDS_2022_TBtus!$M$3:$M$53,match($B89&amp;R$2,Res_AllFuels_SEDS_2022_TBtus!$B$3:$B$53&amp;Res_AllFuels_SEDS_2022_TBtus!$A$3:$A$53,0))),0,(index(Res_AllFuels_SEDS_2022_TBtus!$M$3:$M$53,match($B89&amp;R$2,Res_AllFuels_SEDS_2022_TBtus!$B$3:$B$53&amp;Res_AllFuels_SEDS_2022_TBtus!$A$3:$A$53,0))))</f>
        <v>0</v>
      </c>
      <c r="S89" s="75">
        <f t="array" ref="S89">IF(ISERROR(index(Res_AllFuels_SEDS_2022_TBtus!$M$3:$M$53,match($B89&amp;S$2,Res_AllFuels_SEDS_2022_TBtus!$B$3:$B$53&amp;Res_AllFuels_SEDS_2022_TBtus!$A$3:$A$53,0))),0,(index(Res_AllFuels_SEDS_2022_TBtus!$M$3:$M$53,match($B89&amp;S$2,Res_AllFuels_SEDS_2022_TBtus!$B$3:$B$53&amp;Res_AllFuels_SEDS_2022_TBtus!$A$3:$A$53,0))))</f>
        <v>0</v>
      </c>
      <c r="T89" s="75">
        <f t="array" ref="T89">IF(ISERROR(index(Res_AllFuels_SEDS_2022_TBtus!$M$3:$M$53,match($B89&amp;T$2,Res_AllFuels_SEDS_2022_TBtus!$B$3:$B$53&amp;Res_AllFuels_SEDS_2022_TBtus!$A$3:$A$53,0))),0,(index(Res_AllFuels_SEDS_2022_TBtus!$M$3:$M$53,match($B89&amp;T$2,Res_AllFuels_SEDS_2022_TBtus!$B$3:$B$53&amp;Res_AllFuels_SEDS_2022_TBtus!$A$3:$A$53,0))))</f>
        <v>0</v>
      </c>
      <c r="U89" s="75">
        <f t="array" ref="U89">IF(ISERROR(index(Res_AllFuels_SEDS_2022_TBtus!$M$3:$M$53,match($B89&amp;U$2,Res_AllFuels_SEDS_2022_TBtus!$B$3:$B$53&amp;Res_AllFuels_SEDS_2022_TBtus!$A$3:$A$53,0))),0,(index(Res_AllFuels_SEDS_2022_TBtus!$M$3:$M$53,match($B89&amp;U$2,Res_AllFuels_SEDS_2022_TBtus!$B$3:$B$53&amp;Res_AllFuels_SEDS_2022_TBtus!$A$3:$A$53,0))))</f>
        <v>0</v>
      </c>
      <c r="V89" s="75">
        <f t="array" ref="V89">IF(ISERROR(index(Res_AllFuels_SEDS_2022_TBtus!$M$3:$M$53,match($B89&amp;V$2,Res_AllFuels_SEDS_2022_TBtus!$B$3:$B$53&amp;Res_AllFuels_SEDS_2022_TBtus!$A$3:$A$53,0))),0,(index(Res_AllFuels_SEDS_2022_TBtus!$M$3:$M$53,match($B89&amp;V$2,Res_AllFuels_SEDS_2022_TBtus!$B$3:$B$53&amp;Res_AllFuels_SEDS_2022_TBtus!$A$3:$A$53,0))))</f>
        <v>0</v>
      </c>
      <c r="W89" s="75">
        <f t="array" ref="W89">IF(ISERROR(index(Res_AllFuels_SEDS_2022_TBtus!$M$3:$M$53,match($B89&amp;W$2,Res_AllFuels_SEDS_2022_TBtus!$B$3:$B$53&amp;Res_AllFuels_SEDS_2022_TBtus!$A$3:$A$53,0))),0,(index(Res_AllFuels_SEDS_2022_TBtus!$M$3:$M$53,match($B89&amp;W$2,Res_AllFuels_SEDS_2022_TBtus!$B$3:$B$53&amp;Res_AllFuels_SEDS_2022_TBtus!$A$3:$A$53,0))))</f>
        <v>0</v>
      </c>
      <c r="X89" s="75">
        <f t="array" ref="X89">IF(ISERROR(index(Res_AllFuels_SEDS_2022_TBtus!$M$3:$M$53,match($B89&amp;X$2,Res_AllFuels_SEDS_2022_TBtus!$B$3:$B$53&amp;Res_AllFuels_SEDS_2022_TBtus!$A$3:$A$53,0))),0,(index(Res_AllFuels_SEDS_2022_TBtus!$M$3:$M$53,match($B89&amp;X$2,Res_AllFuels_SEDS_2022_TBtus!$B$3:$B$53&amp;Res_AllFuels_SEDS_2022_TBtus!$A$3:$A$53,0))))</f>
        <v>0</v>
      </c>
      <c r="Y89" s="75">
        <f t="array" ref="Y89">IF(ISERROR(index(Res_AllFuels_SEDS_2022_TBtus!$M$3:$M$53,match($B89&amp;Y$2,Res_AllFuels_SEDS_2022_TBtus!$B$3:$B$53&amp;Res_AllFuels_SEDS_2022_TBtus!$A$3:$A$53,0))),0,(index(Res_AllFuels_SEDS_2022_TBtus!$M$3:$M$53,match($B89&amp;Y$2,Res_AllFuels_SEDS_2022_TBtus!$B$3:$B$53&amp;Res_AllFuels_SEDS_2022_TBtus!$A$3:$A$53,0))))</f>
        <v>0</v>
      </c>
      <c r="Z89" s="75">
        <f t="array" ref="Z89">IF(ISERROR(index(Res_AllFuels_SEDS_2022_TBtus!$M$3:$M$53,match($B89&amp;Z$2,Res_AllFuels_SEDS_2022_TBtus!$B$3:$B$53&amp;Res_AllFuels_SEDS_2022_TBtus!$A$3:$A$53,0))),0,(index(Res_AllFuels_SEDS_2022_TBtus!$M$3:$M$53,match($B89&amp;Z$2,Res_AllFuels_SEDS_2022_TBtus!$B$3:$B$53&amp;Res_AllFuels_SEDS_2022_TBtus!$A$3:$A$53,0))))</f>
        <v>0</v>
      </c>
      <c r="AA89" s="75">
        <f t="array" ref="AA89">IF(ISERROR(index(Res_AllFuels_SEDS_2022_TBtus!$M$3:$M$53,match($B89&amp;AA$2,Res_AllFuels_SEDS_2022_TBtus!$B$3:$B$53&amp;Res_AllFuels_SEDS_2022_TBtus!$A$3:$A$53,0))),0,(index(Res_AllFuels_SEDS_2022_TBtus!$M$3:$M$53,match($B89&amp;AA$2,Res_AllFuels_SEDS_2022_TBtus!$B$3:$B$53&amp;Res_AllFuels_SEDS_2022_TBtus!$A$3:$A$53,0))))</f>
        <v>0</v>
      </c>
      <c r="AB89" s="75">
        <f t="array" ref="AB89">IF(ISERROR(index(Res_AllFuels_SEDS_2022_TBtus!$M$3:$M$53,match($B89&amp;AB$2,Res_AllFuels_SEDS_2022_TBtus!$B$3:$B$53&amp;Res_AllFuels_SEDS_2022_TBtus!$A$3:$A$53,0))),0,(index(Res_AllFuels_SEDS_2022_TBtus!$M$3:$M$53,match($B89&amp;AB$2,Res_AllFuels_SEDS_2022_TBtus!$B$3:$B$53&amp;Res_AllFuels_SEDS_2022_TBtus!$A$3:$A$53,0))))</f>
        <v>0</v>
      </c>
      <c r="AC89" s="75">
        <f t="array" ref="AC89">IF(ISERROR(index(Res_AllFuels_SEDS_2022_TBtus!$M$3:$M$53,match($B89&amp;AC$2,Res_AllFuels_SEDS_2022_TBtus!$B$3:$B$53&amp;Res_AllFuels_SEDS_2022_TBtus!$A$3:$A$53,0))),0,(index(Res_AllFuels_SEDS_2022_TBtus!$M$3:$M$53,match($B89&amp;AC$2,Res_AllFuels_SEDS_2022_TBtus!$B$3:$B$53&amp;Res_AllFuels_SEDS_2022_TBtus!$A$3:$A$53,0))))</f>
        <v>67.2</v>
      </c>
      <c r="AD89" s="75">
        <f t="array" ref="AD89">IF(ISERROR(index(Res_AllFuels_SEDS_2022_TBtus!$M$3:$M$53,match($B89&amp;AD$2,Res_AllFuels_SEDS_2022_TBtus!$B$3:$B$53&amp;Res_AllFuels_SEDS_2022_TBtus!$A$3:$A$53,0))),0,(index(Res_AllFuels_SEDS_2022_TBtus!$M$3:$M$53,match($B89&amp;AD$2,Res_AllFuels_SEDS_2022_TBtus!$B$3:$B$53&amp;Res_AllFuels_SEDS_2022_TBtus!$A$3:$A$53,0))))</f>
        <v>0</v>
      </c>
      <c r="AE89" s="75">
        <f t="array" ref="AE89">IF(ISERROR(index(Res_AllFuels_SEDS_2022_TBtus!$M$3:$M$53,match($B89&amp;AE$2,Res_AllFuels_SEDS_2022_TBtus!$B$3:$B$53&amp;Res_AllFuels_SEDS_2022_TBtus!$A$3:$A$53,0))),0,(index(Res_AllFuels_SEDS_2022_TBtus!$M$3:$M$53,match($B89&amp;AE$2,Res_AllFuels_SEDS_2022_TBtus!$B$3:$B$53&amp;Res_AllFuels_SEDS_2022_TBtus!$A$3:$A$53,0))))</f>
        <v>107.9</v>
      </c>
      <c r="AF89" s="75">
        <f t="array" ref="AF89">IF(ISERROR(index(Res_AllFuels_SEDS_2022_TBtus!$M$3:$M$53,match($B89&amp;AF$2,Res_AllFuels_SEDS_2022_TBtus!$B$3:$B$53&amp;Res_AllFuels_SEDS_2022_TBtus!$A$3:$A$53,0))),0,(index(Res_AllFuels_SEDS_2022_TBtus!$M$3:$M$53,match($B89&amp;AF$2,Res_AllFuels_SEDS_2022_TBtus!$B$3:$B$53&amp;Res_AllFuels_SEDS_2022_TBtus!$A$3:$A$53,0))))</f>
        <v>0</v>
      </c>
      <c r="AG89" s="75">
        <f t="array" ref="AG89">IF(ISERROR(index(Res_AllFuels_SEDS_2022_TBtus!$M$3:$M$53,match($B89&amp;AG$2,Res_AllFuels_SEDS_2022_TBtus!$B$3:$B$53&amp;Res_AllFuels_SEDS_2022_TBtus!$A$3:$A$53,0))),0,(index(Res_AllFuels_SEDS_2022_TBtus!$M$3:$M$53,match($B89&amp;AG$2,Res_AllFuels_SEDS_2022_TBtus!$B$3:$B$53&amp;Res_AllFuels_SEDS_2022_TBtus!$A$3:$A$53,0))))</f>
        <v>0</v>
      </c>
      <c r="AH89" s="75">
        <f t="array" ref="AH89">IF(ISERROR(index(Res_AllFuels_SEDS_2022_TBtus!$M$3:$M$53,match($B89&amp;AH$2,Res_AllFuels_SEDS_2022_TBtus!$B$3:$B$53&amp;Res_AllFuels_SEDS_2022_TBtus!$A$3:$A$53,0))),0,(index(Res_AllFuels_SEDS_2022_TBtus!$M$3:$M$53,match($B89&amp;AH$2,Res_AllFuels_SEDS_2022_TBtus!$B$3:$B$53&amp;Res_AllFuels_SEDS_2022_TBtus!$A$3:$A$53,0))))</f>
        <v>79.7</v>
      </c>
      <c r="AI89" s="75">
        <f t="array" ref="AI89">IF(ISERROR(index(Res_AllFuels_SEDS_2022_TBtus!$M$3:$M$53,match($B89&amp;AI$2,Res_AllFuels_SEDS_2022_TBtus!$B$3:$B$53&amp;Res_AllFuels_SEDS_2022_TBtus!$A$3:$A$53,0))),0,(index(Res_AllFuels_SEDS_2022_TBtus!$M$3:$M$53,match($B89&amp;AI$2,Res_AllFuels_SEDS_2022_TBtus!$B$3:$B$53&amp;Res_AllFuels_SEDS_2022_TBtus!$A$3:$A$53,0))))</f>
        <v>0</v>
      </c>
      <c r="AJ89" s="75">
        <f t="array" ref="AJ89">IF(ISERROR(index(Res_AllFuels_SEDS_2022_TBtus!$M$3:$M$53,match($B89&amp;AJ$2,Res_AllFuels_SEDS_2022_TBtus!$B$3:$B$53&amp;Res_AllFuels_SEDS_2022_TBtus!$A$3:$A$53,0))),0,(index(Res_AllFuels_SEDS_2022_TBtus!$M$3:$M$53,match($B89&amp;AJ$2,Res_AllFuels_SEDS_2022_TBtus!$B$3:$B$53&amp;Res_AllFuels_SEDS_2022_TBtus!$A$3:$A$53,0))))</f>
        <v>0</v>
      </c>
      <c r="AK89" s="75">
        <f t="array" ref="AK89">IF(ISERROR(index(Res_AllFuels_SEDS_2022_TBtus!$M$3:$M$53,match($B89&amp;AK$2,Res_AllFuels_SEDS_2022_TBtus!$B$3:$B$53&amp;Res_AllFuels_SEDS_2022_TBtus!$A$3:$A$53,0))),0,(index(Res_AllFuels_SEDS_2022_TBtus!$M$3:$M$53,match($B89&amp;AK$2,Res_AllFuels_SEDS_2022_TBtus!$B$3:$B$53&amp;Res_AllFuels_SEDS_2022_TBtus!$A$3:$A$53,0))))</f>
        <v>0</v>
      </c>
      <c r="AL89" s="75">
        <f t="array" ref="AL89">IF(ISERROR(index(Res_AllFuels_SEDS_2022_TBtus!$M$3:$M$53,match($B89&amp;AL$2,Res_AllFuels_SEDS_2022_TBtus!$B$3:$B$53&amp;Res_AllFuels_SEDS_2022_TBtus!$A$3:$A$53,0))),0,(index(Res_AllFuels_SEDS_2022_TBtus!$M$3:$M$53,match($B89&amp;AL$2,Res_AllFuels_SEDS_2022_TBtus!$B$3:$B$53&amp;Res_AllFuels_SEDS_2022_TBtus!$A$3:$A$53,0))))</f>
        <v>0</v>
      </c>
      <c r="AM89" s="75">
        <f t="array" ref="AM89">IF(ISERROR(index(Res_AllFuels_SEDS_2022_TBtus!$M$3:$M$53,match($B89&amp;AM$2,Res_AllFuels_SEDS_2022_TBtus!$B$3:$B$53&amp;Res_AllFuels_SEDS_2022_TBtus!$A$3:$A$53,0))),0,(index(Res_AllFuels_SEDS_2022_TBtus!$M$3:$M$53,match($B89&amp;AM$2,Res_AllFuels_SEDS_2022_TBtus!$B$3:$B$53&amp;Res_AllFuels_SEDS_2022_TBtus!$A$3:$A$53,0))))</f>
        <v>0</v>
      </c>
      <c r="AN89" s="75">
        <f t="array" ref="AN89">IF(ISERROR(index(Res_AllFuels_SEDS_2022_TBtus!$M$3:$M$53,match($B89&amp;AN$2,Res_AllFuels_SEDS_2022_TBtus!$B$3:$B$53&amp;Res_AllFuels_SEDS_2022_TBtus!$A$3:$A$53,0))),0,(index(Res_AllFuels_SEDS_2022_TBtus!$M$3:$M$53,match($B89&amp;AN$2,Res_AllFuels_SEDS_2022_TBtus!$B$3:$B$53&amp;Res_AllFuels_SEDS_2022_TBtus!$A$3:$A$53,0))))</f>
        <v>0</v>
      </c>
      <c r="AO89" s="75">
        <f t="array" ref="AO89">IF(ISERROR(index(Res_AllFuels_SEDS_2022_TBtus!$M$3:$M$53,match($B89&amp;AO$2,Res_AllFuels_SEDS_2022_TBtus!$B$3:$B$53&amp;Res_AllFuels_SEDS_2022_TBtus!$A$3:$A$53,0))),0,(index(Res_AllFuels_SEDS_2022_TBtus!$M$3:$M$53,match($B89&amp;AO$2,Res_AllFuels_SEDS_2022_TBtus!$B$3:$B$53&amp;Res_AllFuels_SEDS_2022_TBtus!$A$3:$A$53,0))))</f>
        <v>0</v>
      </c>
      <c r="AP89" s="75">
        <f t="array" ref="AP89">IF(ISERROR(index(Res_AllFuels_SEDS_2022_TBtus!$M$3:$M$53,match($B89&amp;AP$2,Res_AllFuels_SEDS_2022_TBtus!$B$3:$B$53&amp;Res_AllFuels_SEDS_2022_TBtus!$A$3:$A$53,0))),0,(index(Res_AllFuels_SEDS_2022_TBtus!$M$3:$M$53,match($B89&amp;AP$2,Res_AllFuels_SEDS_2022_TBtus!$B$3:$B$53&amp;Res_AllFuels_SEDS_2022_TBtus!$A$3:$A$53,0))))</f>
        <v>0</v>
      </c>
      <c r="AQ89" s="75">
        <f t="array" ref="AQ89">IF(ISERROR(index(Res_AllFuels_SEDS_2022_TBtus!$M$3:$M$53,match($B89&amp;AQ$2,Res_AllFuels_SEDS_2022_TBtus!$B$3:$B$53&amp;Res_AllFuels_SEDS_2022_TBtus!$A$3:$A$53,0))),0,(index(Res_AllFuels_SEDS_2022_TBtus!$M$3:$M$53,match($B89&amp;AQ$2,Res_AllFuels_SEDS_2022_TBtus!$B$3:$B$53&amp;Res_AllFuels_SEDS_2022_TBtus!$A$3:$A$53,0))))</f>
        <v>0</v>
      </c>
      <c r="AR89" s="75">
        <f t="array" ref="AR89">IF(ISERROR(index(Res_AllFuels_SEDS_2022_TBtus!$M$3:$M$53,match($B89&amp;AR$2,Res_AllFuels_SEDS_2022_TBtus!$B$3:$B$53&amp;Res_AllFuels_SEDS_2022_TBtus!$A$3:$A$53,0))),0,(index(Res_AllFuels_SEDS_2022_TBtus!$M$3:$M$53,match($B89&amp;AR$2,Res_AllFuels_SEDS_2022_TBtus!$B$3:$B$53&amp;Res_AllFuels_SEDS_2022_TBtus!$A$3:$A$53,0))))</f>
        <v>0</v>
      </c>
      <c r="AS89" s="75">
        <f t="array" ref="AS89">IF(ISERROR(index(Res_AllFuels_SEDS_2022_TBtus!$M$3:$M$53,match($B89&amp;AS$2,Res_AllFuels_SEDS_2022_TBtus!$B$3:$B$53&amp;Res_AllFuels_SEDS_2022_TBtus!$A$3:$A$53,0))),0,(index(Res_AllFuels_SEDS_2022_TBtus!$M$3:$M$53,match($B89&amp;AS$2,Res_AllFuels_SEDS_2022_TBtus!$B$3:$B$53&amp;Res_AllFuels_SEDS_2022_TBtus!$A$3:$A$53,0))))</f>
        <v>0</v>
      </c>
      <c r="AT89" s="75">
        <f t="array" ref="AT89">IF(ISERROR(index(Res_AllFuels_SEDS_2022_TBtus!$M$3:$M$53,match($B89&amp;AT$2,Res_AllFuels_SEDS_2022_TBtus!$B$3:$B$53&amp;Res_AllFuels_SEDS_2022_TBtus!$A$3:$A$53,0))),0,(index(Res_AllFuels_SEDS_2022_TBtus!$M$3:$M$53,match($B89&amp;AT$2,Res_AllFuels_SEDS_2022_TBtus!$B$3:$B$53&amp;Res_AllFuels_SEDS_2022_TBtus!$A$3:$A$53,0))))</f>
        <v>0</v>
      </c>
      <c r="AU89" s="75">
        <f t="array" ref="AU89">IF(ISERROR(index(Res_AllFuels_SEDS_2022_TBtus!$M$3:$M$53,match($B89&amp;AU$2,Res_AllFuels_SEDS_2022_TBtus!$B$3:$B$53&amp;Res_AllFuels_SEDS_2022_TBtus!$A$3:$A$53,0))),0,(index(Res_AllFuels_SEDS_2022_TBtus!$M$3:$M$53,match($B89&amp;AU$2,Res_AllFuels_SEDS_2022_TBtus!$B$3:$B$53&amp;Res_AllFuels_SEDS_2022_TBtus!$A$3:$A$53,0))))</f>
        <v>128.4</v>
      </c>
      <c r="AV89" s="75">
        <f t="array" ref="AV89">IF(ISERROR(index(Res_AllFuels_SEDS_2022_TBtus!$M$3:$M$53,match($B89&amp;AV$2,Res_AllFuels_SEDS_2022_TBtus!$B$3:$B$53&amp;Res_AllFuels_SEDS_2022_TBtus!$A$3:$A$53,0))),0,(index(Res_AllFuels_SEDS_2022_TBtus!$M$3:$M$53,match($B89&amp;AV$2,Res_AllFuels_SEDS_2022_TBtus!$B$3:$B$53&amp;Res_AllFuels_SEDS_2022_TBtus!$A$3:$A$53,0))))</f>
        <v>0</v>
      </c>
      <c r="AW89" s="75">
        <f t="array" ref="AW89">IF(ISERROR(index(Res_AllFuels_SEDS_2022_TBtus!$M$3:$M$53,match($B89&amp;AW$2,Res_AllFuels_SEDS_2022_TBtus!$B$3:$B$53&amp;Res_AllFuels_SEDS_2022_TBtus!$A$3:$A$53,0))),0,(index(Res_AllFuels_SEDS_2022_TBtus!$M$3:$M$53,match($B89&amp;AW$2,Res_AllFuels_SEDS_2022_TBtus!$B$3:$B$53&amp;Res_AllFuels_SEDS_2022_TBtus!$A$3:$A$53,0))))</f>
        <v>0</v>
      </c>
      <c r="AX89" s="75">
        <f t="array" ref="AX89">IF(ISERROR(index(Res_AllFuels_SEDS_2022_TBtus!$M$3:$M$53,match($B89&amp;AX$2,Res_AllFuels_SEDS_2022_TBtus!$B$3:$B$53&amp;Res_AllFuels_SEDS_2022_TBtus!$A$3:$A$53,0))),0,(index(Res_AllFuels_SEDS_2022_TBtus!$M$3:$M$53,match($B89&amp;AX$2,Res_AllFuels_SEDS_2022_TBtus!$B$3:$B$53&amp;Res_AllFuels_SEDS_2022_TBtus!$A$3:$A$53,0))))</f>
        <v>0</v>
      </c>
      <c r="AY89" s="75">
        <f t="array" ref="AY89">IF(ISERROR(index(Res_AllFuels_SEDS_2022_TBtus!$M$3:$M$53,match($B89&amp;AY$2,Res_AllFuels_SEDS_2022_TBtus!$B$3:$B$53&amp;Res_AllFuels_SEDS_2022_TBtus!$A$3:$A$53,0))),0,(index(Res_AllFuels_SEDS_2022_TBtus!$M$3:$M$53,match($B89&amp;AY$2,Res_AllFuels_SEDS_2022_TBtus!$B$3:$B$53&amp;Res_AllFuels_SEDS_2022_TBtus!$A$3:$A$53,0))))</f>
        <v>0</v>
      </c>
      <c r="AZ89" s="75">
        <f t="array" ref="AZ89">IF(ISERROR(index(Res_AllFuels_SEDS_2022_TBtus!$M$3:$M$53,match($B89&amp;AZ$2,Res_AllFuels_SEDS_2022_TBtus!$B$3:$B$53&amp;Res_AllFuels_SEDS_2022_TBtus!$A$3:$A$53,0))),0,(index(Res_AllFuels_SEDS_2022_TBtus!$M$3:$M$53,match($B89&amp;AZ$2,Res_AllFuels_SEDS_2022_TBtus!$B$3:$B$53&amp;Res_AllFuels_SEDS_2022_TBtus!$A$3:$A$53,0))))</f>
        <v>0</v>
      </c>
      <c r="BA89" s="75">
        <f t="array" ref="BA89">IF(ISERROR(index(Res_AllFuels_SEDS_2022_TBtus!$M$3:$M$53,match($B89&amp;BA$2,Res_AllFuels_SEDS_2022_TBtus!$B$3:$B$53&amp;Res_AllFuels_SEDS_2022_TBtus!$A$3:$A$53,0))),0,(index(Res_AllFuels_SEDS_2022_TBtus!$M$3:$M$53,match($B89&amp;BA$2,Res_AllFuels_SEDS_2022_TBtus!$B$3:$B$53&amp;Res_AllFuels_SEDS_2022_TBtus!$A$3:$A$53,0))))</f>
        <v>32.5</v>
      </c>
      <c r="BB89" s="74">
        <f t="shared" si="13"/>
        <v>949.6</v>
      </c>
    </row>
    <row r="90" ht="15.75" customHeight="1">
      <c r="A90" s="78"/>
      <c r="B90" s="74">
        <v>9.0</v>
      </c>
      <c r="C90" s="75">
        <f t="array" ref="C90">IF(ISERROR(index(Res_AllFuels_SEDS_2022_TBtus!$M$3:$M$53,match($B90&amp;C$2,Res_AllFuels_SEDS_2022_TBtus!$B$3:$B$53&amp;Res_AllFuels_SEDS_2022_TBtus!$A$3:$A$53,0))),0,(index(Res_AllFuels_SEDS_2022_TBtus!$M$3:$M$53,match($B90&amp;C$2,Res_AllFuels_SEDS_2022_TBtus!$B$3:$B$53&amp;Res_AllFuels_SEDS_2022_TBtus!$A$3:$A$53,0))))</f>
        <v>0</v>
      </c>
      <c r="D90" s="75">
        <f t="array" ref="D90">IF(ISERROR(index(Res_AllFuels_SEDS_2022_TBtus!$M$3:$M$53,match($B90&amp;D$2,Res_AllFuels_SEDS_2022_TBtus!$B$3:$B$53&amp;Res_AllFuels_SEDS_2022_TBtus!$A$3:$A$53,0))),0,(index(Res_AllFuels_SEDS_2022_TBtus!$M$3:$M$53,match($B90&amp;D$2,Res_AllFuels_SEDS_2022_TBtus!$B$3:$B$53&amp;Res_AllFuels_SEDS_2022_TBtus!$A$3:$A$53,0))))</f>
        <v>40.4</v>
      </c>
      <c r="E90" s="75">
        <f t="array" ref="E90">IF(ISERROR(index(Res_AllFuels_SEDS_2022_TBtus!$M$3:$M$53,match($B90&amp;E$2,Res_AllFuels_SEDS_2022_TBtus!$B$3:$B$53&amp;Res_AllFuels_SEDS_2022_TBtus!$A$3:$A$53,0))),0,(index(Res_AllFuels_SEDS_2022_TBtus!$M$3:$M$53,match($B90&amp;E$2,Res_AllFuels_SEDS_2022_TBtus!$B$3:$B$53&amp;Res_AllFuels_SEDS_2022_TBtus!$A$3:$A$53,0))))</f>
        <v>0</v>
      </c>
      <c r="F90" s="75">
        <f t="array" ref="F90">IF(ISERROR(index(Res_AllFuels_SEDS_2022_TBtus!$M$3:$M$53,match($B90&amp;F$2,Res_AllFuels_SEDS_2022_TBtus!$B$3:$B$53&amp;Res_AllFuels_SEDS_2022_TBtus!$A$3:$A$53,0))),0,(index(Res_AllFuels_SEDS_2022_TBtus!$M$3:$M$53,match($B90&amp;F$2,Res_AllFuels_SEDS_2022_TBtus!$B$3:$B$53&amp;Res_AllFuels_SEDS_2022_TBtus!$A$3:$A$53,0))))</f>
        <v>0</v>
      </c>
      <c r="G90" s="75">
        <f t="array" ref="G90">IF(ISERROR(index(Res_AllFuels_SEDS_2022_TBtus!$M$3:$M$53,match($B90&amp;G$2,Res_AllFuels_SEDS_2022_TBtus!$B$3:$B$53&amp;Res_AllFuels_SEDS_2022_TBtus!$A$3:$A$53,0))),0,(index(Res_AllFuels_SEDS_2022_TBtus!$M$3:$M$53,match($B90&amp;G$2,Res_AllFuels_SEDS_2022_TBtus!$B$3:$B$53&amp;Res_AllFuels_SEDS_2022_TBtus!$A$3:$A$53,0))))</f>
        <v>869.4</v>
      </c>
      <c r="H90" s="75">
        <f t="array" ref="H90">IF(ISERROR(index(Res_AllFuels_SEDS_2022_TBtus!$M$3:$M$53,match($B90&amp;H$2,Res_AllFuels_SEDS_2022_TBtus!$B$3:$B$53&amp;Res_AllFuels_SEDS_2022_TBtus!$A$3:$A$53,0))),0,(index(Res_AllFuels_SEDS_2022_TBtus!$M$3:$M$53,match($B90&amp;H$2,Res_AllFuels_SEDS_2022_TBtus!$B$3:$B$53&amp;Res_AllFuels_SEDS_2022_TBtus!$A$3:$A$53,0))))</f>
        <v>0</v>
      </c>
      <c r="I90" s="75">
        <f t="array" ref="I90">IF(ISERROR(index(Res_AllFuels_SEDS_2022_TBtus!$M$3:$M$53,match($B90&amp;I$2,Res_AllFuels_SEDS_2022_TBtus!$B$3:$B$53&amp;Res_AllFuels_SEDS_2022_TBtus!$A$3:$A$53,0))),0,(index(Res_AllFuels_SEDS_2022_TBtus!$M$3:$M$53,match($B90&amp;I$2,Res_AllFuels_SEDS_2022_TBtus!$B$3:$B$53&amp;Res_AllFuels_SEDS_2022_TBtus!$A$3:$A$53,0))))</f>
        <v>0</v>
      </c>
      <c r="J90" s="75">
        <f t="array" ref="J90">IF(ISERROR(index(Res_AllFuels_SEDS_2022_TBtus!$M$3:$M$53,match($B90&amp;J$2,Res_AllFuels_SEDS_2022_TBtus!$B$3:$B$53&amp;Res_AllFuels_SEDS_2022_TBtus!$A$3:$A$53,0))),0,(index(Res_AllFuels_SEDS_2022_TBtus!$M$3:$M$53,match($B90&amp;J$2,Res_AllFuels_SEDS_2022_TBtus!$B$3:$B$53&amp;Res_AllFuels_SEDS_2022_TBtus!$A$3:$A$53,0))))</f>
        <v>0</v>
      </c>
      <c r="K90" s="75">
        <f t="array" ref="K90">IF(ISERROR(index(Res_AllFuels_SEDS_2022_TBtus!$M$3:$M$53,match($B90&amp;K$2,Res_AllFuels_SEDS_2022_TBtus!$B$3:$B$53&amp;Res_AllFuels_SEDS_2022_TBtus!$A$3:$A$53,0))),0,(index(Res_AllFuels_SEDS_2022_TBtus!$M$3:$M$53,match($B90&amp;K$2,Res_AllFuels_SEDS_2022_TBtus!$B$3:$B$53&amp;Res_AllFuels_SEDS_2022_TBtus!$A$3:$A$53,0))))</f>
        <v>0</v>
      </c>
      <c r="L90" s="75">
        <f t="array" ref="L90">IF(ISERROR(index(Res_AllFuels_SEDS_2022_TBtus!$M$3:$M$53,match($B90&amp;L$2,Res_AllFuels_SEDS_2022_TBtus!$B$3:$B$53&amp;Res_AllFuels_SEDS_2022_TBtus!$A$3:$A$53,0))),0,(index(Res_AllFuels_SEDS_2022_TBtus!$M$3:$M$53,match($B90&amp;L$2,Res_AllFuels_SEDS_2022_TBtus!$B$3:$B$53&amp;Res_AllFuels_SEDS_2022_TBtus!$A$3:$A$53,0))))</f>
        <v>0</v>
      </c>
      <c r="M90" s="75">
        <f t="array" ref="M90">IF(ISERROR(index(Res_AllFuels_SEDS_2022_TBtus!$M$3:$M$53,match($B90&amp;M$2,Res_AllFuels_SEDS_2022_TBtus!$B$3:$B$53&amp;Res_AllFuels_SEDS_2022_TBtus!$A$3:$A$53,0))),0,(index(Res_AllFuels_SEDS_2022_TBtus!$M$3:$M$53,match($B90&amp;M$2,Res_AllFuels_SEDS_2022_TBtus!$B$3:$B$53&amp;Res_AllFuels_SEDS_2022_TBtus!$A$3:$A$53,0))))</f>
        <v>0</v>
      </c>
      <c r="N90" s="75">
        <f t="array" ref="N90">IF(ISERROR(index(Res_AllFuels_SEDS_2022_TBtus!$M$3:$M$53,match($B90&amp;N$2,Res_AllFuels_SEDS_2022_TBtus!$B$3:$B$53&amp;Res_AllFuels_SEDS_2022_TBtus!$A$3:$A$53,0))),0,(index(Res_AllFuels_SEDS_2022_TBtus!$M$3:$M$53,match($B90&amp;N$2,Res_AllFuels_SEDS_2022_TBtus!$B$3:$B$53&amp;Res_AllFuels_SEDS_2022_TBtus!$A$3:$A$53,0))))</f>
        <v>14.9</v>
      </c>
      <c r="O90" s="75">
        <f t="array" ref="O90">IF(ISERROR(index(Res_AllFuels_SEDS_2022_TBtus!$M$3:$M$53,match($B90&amp;O$2,Res_AllFuels_SEDS_2022_TBtus!$B$3:$B$53&amp;Res_AllFuels_SEDS_2022_TBtus!$A$3:$A$53,0))),0,(index(Res_AllFuels_SEDS_2022_TBtus!$M$3:$M$53,match($B90&amp;O$2,Res_AllFuels_SEDS_2022_TBtus!$B$3:$B$53&amp;Res_AllFuels_SEDS_2022_TBtus!$A$3:$A$53,0))))</f>
        <v>0</v>
      </c>
      <c r="P90" s="75">
        <f t="array" ref="P90">IF(ISERROR(index(Res_AllFuels_SEDS_2022_TBtus!$M$3:$M$53,match($B90&amp;P$2,Res_AllFuels_SEDS_2022_TBtus!$B$3:$B$53&amp;Res_AllFuels_SEDS_2022_TBtus!$A$3:$A$53,0))),0,(index(Res_AllFuels_SEDS_2022_TBtus!$M$3:$M$53,match($B90&amp;P$2,Res_AllFuels_SEDS_2022_TBtus!$B$3:$B$53&amp;Res_AllFuels_SEDS_2022_TBtus!$A$3:$A$53,0))))</f>
        <v>0</v>
      </c>
      <c r="Q90" s="75">
        <f t="array" ref="Q90">IF(ISERROR(index(Res_AllFuels_SEDS_2022_TBtus!$M$3:$M$53,match($B90&amp;Q$2,Res_AllFuels_SEDS_2022_TBtus!$B$3:$B$53&amp;Res_AllFuels_SEDS_2022_TBtus!$A$3:$A$53,0))),0,(index(Res_AllFuels_SEDS_2022_TBtus!$M$3:$M$53,match($B90&amp;Q$2,Res_AllFuels_SEDS_2022_TBtus!$B$3:$B$53&amp;Res_AllFuels_SEDS_2022_TBtus!$A$3:$A$53,0))))</f>
        <v>0</v>
      </c>
      <c r="R90" s="75">
        <f t="array" ref="R90">IF(ISERROR(index(Res_AllFuels_SEDS_2022_TBtus!$M$3:$M$53,match($B90&amp;R$2,Res_AllFuels_SEDS_2022_TBtus!$B$3:$B$53&amp;Res_AllFuels_SEDS_2022_TBtus!$A$3:$A$53,0))),0,(index(Res_AllFuels_SEDS_2022_TBtus!$M$3:$M$53,match($B90&amp;R$2,Res_AllFuels_SEDS_2022_TBtus!$B$3:$B$53&amp;Res_AllFuels_SEDS_2022_TBtus!$A$3:$A$53,0))))</f>
        <v>0</v>
      </c>
      <c r="S90" s="75">
        <f t="array" ref="S90">IF(ISERROR(index(Res_AllFuels_SEDS_2022_TBtus!$M$3:$M$53,match($B90&amp;S$2,Res_AllFuels_SEDS_2022_TBtus!$B$3:$B$53&amp;Res_AllFuels_SEDS_2022_TBtus!$A$3:$A$53,0))),0,(index(Res_AllFuels_SEDS_2022_TBtus!$M$3:$M$53,match($B90&amp;S$2,Res_AllFuels_SEDS_2022_TBtus!$B$3:$B$53&amp;Res_AllFuels_SEDS_2022_TBtus!$A$3:$A$53,0))))</f>
        <v>0</v>
      </c>
      <c r="T90" s="75">
        <f t="array" ref="T90">IF(ISERROR(index(Res_AllFuels_SEDS_2022_TBtus!$M$3:$M$53,match($B90&amp;T$2,Res_AllFuels_SEDS_2022_TBtus!$B$3:$B$53&amp;Res_AllFuels_SEDS_2022_TBtus!$A$3:$A$53,0))),0,(index(Res_AllFuels_SEDS_2022_TBtus!$M$3:$M$53,match($B90&amp;T$2,Res_AllFuels_SEDS_2022_TBtus!$B$3:$B$53&amp;Res_AllFuels_SEDS_2022_TBtus!$A$3:$A$53,0))))</f>
        <v>0</v>
      </c>
      <c r="U90" s="75">
        <f t="array" ref="U90">IF(ISERROR(index(Res_AllFuels_SEDS_2022_TBtus!$M$3:$M$53,match($B90&amp;U$2,Res_AllFuels_SEDS_2022_TBtus!$B$3:$B$53&amp;Res_AllFuels_SEDS_2022_TBtus!$A$3:$A$53,0))),0,(index(Res_AllFuels_SEDS_2022_TBtus!$M$3:$M$53,match($B90&amp;U$2,Res_AllFuels_SEDS_2022_TBtus!$B$3:$B$53&amp;Res_AllFuels_SEDS_2022_TBtus!$A$3:$A$53,0))))</f>
        <v>0</v>
      </c>
      <c r="V90" s="75">
        <f t="array" ref="V90">IF(ISERROR(index(Res_AllFuels_SEDS_2022_TBtus!$M$3:$M$53,match($B90&amp;V$2,Res_AllFuels_SEDS_2022_TBtus!$B$3:$B$53&amp;Res_AllFuels_SEDS_2022_TBtus!$A$3:$A$53,0))),0,(index(Res_AllFuels_SEDS_2022_TBtus!$M$3:$M$53,match($B90&amp;V$2,Res_AllFuels_SEDS_2022_TBtus!$B$3:$B$53&amp;Res_AllFuels_SEDS_2022_TBtus!$A$3:$A$53,0))))</f>
        <v>0</v>
      </c>
      <c r="W90" s="75">
        <f t="array" ref="W90">IF(ISERROR(index(Res_AllFuels_SEDS_2022_TBtus!$M$3:$M$53,match($B90&amp;W$2,Res_AllFuels_SEDS_2022_TBtus!$B$3:$B$53&amp;Res_AllFuels_SEDS_2022_TBtus!$A$3:$A$53,0))),0,(index(Res_AllFuels_SEDS_2022_TBtus!$M$3:$M$53,match($B90&amp;W$2,Res_AllFuels_SEDS_2022_TBtus!$B$3:$B$53&amp;Res_AllFuels_SEDS_2022_TBtus!$A$3:$A$53,0))))</f>
        <v>0</v>
      </c>
      <c r="X90" s="75">
        <f t="array" ref="X90">IF(ISERROR(index(Res_AllFuels_SEDS_2022_TBtus!$M$3:$M$53,match($B90&amp;X$2,Res_AllFuels_SEDS_2022_TBtus!$B$3:$B$53&amp;Res_AllFuels_SEDS_2022_TBtus!$A$3:$A$53,0))),0,(index(Res_AllFuels_SEDS_2022_TBtus!$M$3:$M$53,match($B90&amp;X$2,Res_AllFuels_SEDS_2022_TBtus!$B$3:$B$53&amp;Res_AllFuels_SEDS_2022_TBtus!$A$3:$A$53,0))))</f>
        <v>0</v>
      </c>
      <c r="Y90" s="75">
        <f t="array" ref="Y90">IF(ISERROR(index(Res_AllFuels_SEDS_2022_TBtus!$M$3:$M$53,match($B90&amp;Y$2,Res_AllFuels_SEDS_2022_TBtus!$B$3:$B$53&amp;Res_AllFuels_SEDS_2022_TBtus!$A$3:$A$53,0))),0,(index(Res_AllFuels_SEDS_2022_TBtus!$M$3:$M$53,match($B90&amp;Y$2,Res_AllFuels_SEDS_2022_TBtus!$B$3:$B$53&amp;Res_AllFuels_SEDS_2022_TBtus!$A$3:$A$53,0))))</f>
        <v>0</v>
      </c>
      <c r="Z90" s="75">
        <f t="array" ref="Z90">IF(ISERROR(index(Res_AllFuels_SEDS_2022_TBtus!$M$3:$M$53,match($B90&amp;Z$2,Res_AllFuels_SEDS_2022_TBtus!$B$3:$B$53&amp;Res_AllFuels_SEDS_2022_TBtus!$A$3:$A$53,0))),0,(index(Res_AllFuels_SEDS_2022_TBtus!$M$3:$M$53,match($B90&amp;Z$2,Res_AllFuels_SEDS_2022_TBtus!$B$3:$B$53&amp;Res_AllFuels_SEDS_2022_TBtus!$A$3:$A$53,0))))</f>
        <v>0</v>
      </c>
      <c r="AA90" s="75">
        <f t="array" ref="AA90">IF(ISERROR(index(Res_AllFuels_SEDS_2022_TBtus!$M$3:$M$53,match($B90&amp;AA$2,Res_AllFuels_SEDS_2022_TBtus!$B$3:$B$53&amp;Res_AllFuels_SEDS_2022_TBtus!$A$3:$A$53,0))),0,(index(Res_AllFuels_SEDS_2022_TBtus!$M$3:$M$53,match($B90&amp;AA$2,Res_AllFuels_SEDS_2022_TBtus!$B$3:$B$53&amp;Res_AllFuels_SEDS_2022_TBtus!$A$3:$A$53,0))))</f>
        <v>0</v>
      </c>
      <c r="AB90" s="75">
        <f t="array" ref="AB90">IF(ISERROR(index(Res_AllFuels_SEDS_2022_TBtus!$M$3:$M$53,match($B90&amp;AB$2,Res_AllFuels_SEDS_2022_TBtus!$B$3:$B$53&amp;Res_AllFuels_SEDS_2022_TBtus!$A$3:$A$53,0))),0,(index(Res_AllFuels_SEDS_2022_TBtus!$M$3:$M$53,match($B90&amp;AB$2,Res_AllFuels_SEDS_2022_TBtus!$B$3:$B$53&amp;Res_AllFuels_SEDS_2022_TBtus!$A$3:$A$53,0))))</f>
        <v>0</v>
      </c>
      <c r="AC90" s="75">
        <f t="array" ref="AC90">IF(ISERROR(index(Res_AllFuels_SEDS_2022_TBtus!$M$3:$M$53,match($B90&amp;AC$2,Res_AllFuels_SEDS_2022_TBtus!$B$3:$B$53&amp;Res_AllFuels_SEDS_2022_TBtus!$A$3:$A$53,0))),0,(index(Res_AllFuels_SEDS_2022_TBtus!$M$3:$M$53,match($B90&amp;AC$2,Res_AllFuels_SEDS_2022_TBtus!$B$3:$B$53&amp;Res_AllFuels_SEDS_2022_TBtus!$A$3:$A$53,0))))</f>
        <v>0</v>
      </c>
      <c r="AD90" s="75">
        <f t="array" ref="AD90">IF(ISERROR(index(Res_AllFuels_SEDS_2022_TBtus!$M$3:$M$53,match($B90&amp;AD$2,Res_AllFuels_SEDS_2022_TBtus!$B$3:$B$53&amp;Res_AllFuels_SEDS_2022_TBtus!$A$3:$A$53,0))),0,(index(Res_AllFuels_SEDS_2022_TBtus!$M$3:$M$53,match($B90&amp;AD$2,Res_AllFuels_SEDS_2022_TBtus!$B$3:$B$53&amp;Res_AllFuels_SEDS_2022_TBtus!$A$3:$A$53,0))))</f>
        <v>0</v>
      </c>
      <c r="AE90" s="75">
        <f t="array" ref="AE90">IF(ISERROR(index(Res_AllFuels_SEDS_2022_TBtus!$M$3:$M$53,match($B90&amp;AE$2,Res_AllFuels_SEDS_2022_TBtus!$B$3:$B$53&amp;Res_AllFuels_SEDS_2022_TBtus!$A$3:$A$53,0))),0,(index(Res_AllFuels_SEDS_2022_TBtus!$M$3:$M$53,match($B90&amp;AE$2,Res_AllFuels_SEDS_2022_TBtus!$B$3:$B$53&amp;Res_AllFuels_SEDS_2022_TBtus!$A$3:$A$53,0))))</f>
        <v>0</v>
      </c>
      <c r="AF90" s="75">
        <f t="array" ref="AF90">IF(ISERROR(index(Res_AllFuels_SEDS_2022_TBtus!$M$3:$M$53,match($B90&amp;AF$2,Res_AllFuels_SEDS_2022_TBtus!$B$3:$B$53&amp;Res_AllFuels_SEDS_2022_TBtus!$A$3:$A$53,0))),0,(index(Res_AllFuels_SEDS_2022_TBtus!$M$3:$M$53,match($B90&amp;AF$2,Res_AllFuels_SEDS_2022_TBtus!$B$3:$B$53&amp;Res_AllFuels_SEDS_2022_TBtus!$A$3:$A$53,0))))</f>
        <v>0</v>
      </c>
      <c r="AG90" s="75">
        <f t="array" ref="AG90">IF(ISERROR(index(Res_AllFuels_SEDS_2022_TBtus!$M$3:$M$53,match($B90&amp;AG$2,Res_AllFuels_SEDS_2022_TBtus!$B$3:$B$53&amp;Res_AllFuels_SEDS_2022_TBtus!$A$3:$A$53,0))),0,(index(Res_AllFuels_SEDS_2022_TBtus!$M$3:$M$53,match($B90&amp;AG$2,Res_AllFuels_SEDS_2022_TBtus!$B$3:$B$53&amp;Res_AllFuels_SEDS_2022_TBtus!$A$3:$A$53,0))))</f>
        <v>0</v>
      </c>
      <c r="AH90" s="75">
        <f t="array" ref="AH90">IF(ISERROR(index(Res_AllFuels_SEDS_2022_TBtus!$M$3:$M$53,match($B90&amp;AH$2,Res_AllFuels_SEDS_2022_TBtus!$B$3:$B$53&amp;Res_AllFuels_SEDS_2022_TBtus!$A$3:$A$53,0))),0,(index(Res_AllFuels_SEDS_2022_TBtus!$M$3:$M$53,match($B90&amp;AH$2,Res_AllFuels_SEDS_2022_TBtus!$B$3:$B$53&amp;Res_AllFuels_SEDS_2022_TBtus!$A$3:$A$53,0))))</f>
        <v>0</v>
      </c>
      <c r="AI90" s="75">
        <f t="array" ref="AI90">IF(ISERROR(index(Res_AllFuels_SEDS_2022_TBtus!$M$3:$M$53,match($B90&amp;AI$2,Res_AllFuels_SEDS_2022_TBtus!$B$3:$B$53&amp;Res_AllFuels_SEDS_2022_TBtus!$A$3:$A$53,0))),0,(index(Res_AllFuels_SEDS_2022_TBtus!$M$3:$M$53,match($B90&amp;AI$2,Res_AllFuels_SEDS_2022_TBtus!$B$3:$B$53&amp;Res_AllFuels_SEDS_2022_TBtus!$A$3:$A$53,0))))</f>
        <v>0</v>
      </c>
      <c r="AJ90" s="75">
        <f t="array" ref="AJ90">IF(ISERROR(index(Res_AllFuels_SEDS_2022_TBtus!$M$3:$M$53,match($B90&amp;AJ$2,Res_AllFuels_SEDS_2022_TBtus!$B$3:$B$53&amp;Res_AllFuels_SEDS_2022_TBtus!$A$3:$A$53,0))),0,(index(Res_AllFuels_SEDS_2022_TBtus!$M$3:$M$53,match($B90&amp;AJ$2,Res_AllFuels_SEDS_2022_TBtus!$B$3:$B$53&amp;Res_AllFuels_SEDS_2022_TBtus!$A$3:$A$53,0))))</f>
        <v>0</v>
      </c>
      <c r="AK90" s="75">
        <f t="array" ref="AK90">IF(ISERROR(index(Res_AllFuels_SEDS_2022_TBtus!$M$3:$M$53,match($B90&amp;AK$2,Res_AllFuels_SEDS_2022_TBtus!$B$3:$B$53&amp;Res_AllFuels_SEDS_2022_TBtus!$A$3:$A$53,0))),0,(index(Res_AllFuels_SEDS_2022_TBtus!$M$3:$M$53,match($B90&amp;AK$2,Res_AllFuels_SEDS_2022_TBtus!$B$3:$B$53&amp;Res_AllFuels_SEDS_2022_TBtus!$A$3:$A$53,0))))</f>
        <v>0</v>
      </c>
      <c r="AL90" s="75">
        <f t="array" ref="AL90">IF(ISERROR(index(Res_AllFuels_SEDS_2022_TBtus!$M$3:$M$53,match($B90&amp;AL$2,Res_AllFuels_SEDS_2022_TBtus!$B$3:$B$53&amp;Res_AllFuels_SEDS_2022_TBtus!$A$3:$A$53,0))),0,(index(Res_AllFuels_SEDS_2022_TBtus!$M$3:$M$53,match($B90&amp;AL$2,Res_AllFuels_SEDS_2022_TBtus!$B$3:$B$53&amp;Res_AllFuels_SEDS_2022_TBtus!$A$3:$A$53,0))))</f>
        <v>0</v>
      </c>
      <c r="AM90" s="75">
        <f t="array" ref="AM90">IF(ISERROR(index(Res_AllFuels_SEDS_2022_TBtus!$M$3:$M$53,match($B90&amp;AM$2,Res_AllFuels_SEDS_2022_TBtus!$B$3:$B$53&amp;Res_AllFuels_SEDS_2022_TBtus!$A$3:$A$53,0))),0,(index(Res_AllFuels_SEDS_2022_TBtus!$M$3:$M$53,match($B90&amp;AM$2,Res_AllFuels_SEDS_2022_TBtus!$B$3:$B$53&amp;Res_AllFuels_SEDS_2022_TBtus!$A$3:$A$53,0))))</f>
        <v>0</v>
      </c>
      <c r="AN90" s="75">
        <f t="array" ref="AN90">IF(ISERROR(index(Res_AllFuels_SEDS_2022_TBtus!$M$3:$M$53,match($B90&amp;AN$2,Res_AllFuels_SEDS_2022_TBtus!$B$3:$B$53&amp;Res_AllFuels_SEDS_2022_TBtus!$A$3:$A$53,0))),0,(index(Res_AllFuels_SEDS_2022_TBtus!$M$3:$M$53,match($B90&amp;AN$2,Res_AllFuels_SEDS_2022_TBtus!$B$3:$B$53&amp;Res_AllFuels_SEDS_2022_TBtus!$A$3:$A$53,0))))</f>
        <v>148.8</v>
      </c>
      <c r="AO90" s="75">
        <f t="array" ref="AO90">IF(ISERROR(index(Res_AllFuels_SEDS_2022_TBtus!$M$3:$M$53,match($B90&amp;AO$2,Res_AllFuels_SEDS_2022_TBtus!$B$3:$B$53&amp;Res_AllFuels_SEDS_2022_TBtus!$A$3:$A$53,0))),0,(index(Res_AllFuels_SEDS_2022_TBtus!$M$3:$M$53,match($B90&amp;AO$2,Res_AllFuels_SEDS_2022_TBtus!$B$3:$B$53&amp;Res_AllFuels_SEDS_2022_TBtus!$A$3:$A$53,0))))</f>
        <v>0</v>
      </c>
      <c r="AP90" s="75">
        <f t="array" ref="AP90">IF(ISERROR(index(Res_AllFuels_SEDS_2022_TBtus!$M$3:$M$53,match($B90&amp;AP$2,Res_AllFuels_SEDS_2022_TBtus!$B$3:$B$53&amp;Res_AllFuels_SEDS_2022_TBtus!$A$3:$A$53,0))),0,(index(Res_AllFuels_SEDS_2022_TBtus!$M$3:$M$53,match($B90&amp;AP$2,Res_AllFuels_SEDS_2022_TBtus!$B$3:$B$53&amp;Res_AllFuels_SEDS_2022_TBtus!$A$3:$A$53,0))))</f>
        <v>0</v>
      </c>
      <c r="AQ90" s="75">
        <f t="array" ref="AQ90">IF(ISERROR(index(Res_AllFuels_SEDS_2022_TBtus!$M$3:$M$53,match($B90&amp;AQ$2,Res_AllFuels_SEDS_2022_TBtus!$B$3:$B$53&amp;Res_AllFuels_SEDS_2022_TBtus!$A$3:$A$53,0))),0,(index(Res_AllFuels_SEDS_2022_TBtus!$M$3:$M$53,match($B90&amp;AQ$2,Res_AllFuels_SEDS_2022_TBtus!$B$3:$B$53&amp;Res_AllFuels_SEDS_2022_TBtus!$A$3:$A$53,0))))</f>
        <v>0</v>
      </c>
      <c r="AR90" s="75">
        <f t="array" ref="AR90">IF(ISERROR(index(Res_AllFuels_SEDS_2022_TBtus!$M$3:$M$53,match($B90&amp;AR$2,Res_AllFuels_SEDS_2022_TBtus!$B$3:$B$53&amp;Res_AllFuels_SEDS_2022_TBtus!$A$3:$A$53,0))),0,(index(Res_AllFuels_SEDS_2022_TBtus!$M$3:$M$53,match($B90&amp;AR$2,Res_AllFuels_SEDS_2022_TBtus!$B$3:$B$53&amp;Res_AllFuels_SEDS_2022_TBtus!$A$3:$A$53,0))))</f>
        <v>0</v>
      </c>
      <c r="AS90" s="75">
        <f t="array" ref="AS90">IF(ISERROR(index(Res_AllFuels_SEDS_2022_TBtus!$M$3:$M$53,match($B90&amp;AS$2,Res_AllFuels_SEDS_2022_TBtus!$B$3:$B$53&amp;Res_AllFuels_SEDS_2022_TBtus!$A$3:$A$53,0))),0,(index(Res_AllFuels_SEDS_2022_TBtus!$M$3:$M$53,match($B90&amp;AS$2,Res_AllFuels_SEDS_2022_TBtus!$B$3:$B$53&amp;Res_AllFuels_SEDS_2022_TBtus!$A$3:$A$53,0))))</f>
        <v>0</v>
      </c>
      <c r="AT90" s="75">
        <f t="array" ref="AT90">IF(ISERROR(index(Res_AllFuels_SEDS_2022_TBtus!$M$3:$M$53,match($B90&amp;AT$2,Res_AllFuels_SEDS_2022_TBtus!$B$3:$B$53&amp;Res_AllFuels_SEDS_2022_TBtus!$A$3:$A$53,0))),0,(index(Res_AllFuels_SEDS_2022_TBtus!$M$3:$M$53,match($B90&amp;AT$2,Res_AllFuels_SEDS_2022_TBtus!$B$3:$B$53&amp;Res_AllFuels_SEDS_2022_TBtus!$A$3:$A$53,0))))</f>
        <v>0</v>
      </c>
      <c r="AU90" s="75">
        <f t="array" ref="AU90">IF(ISERROR(index(Res_AllFuels_SEDS_2022_TBtus!$M$3:$M$53,match($B90&amp;AU$2,Res_AllFuels_SEDS_2022_TBtus!$B$3:$B$53&amp;Res_AllFuels_SEDS_2022_TBtus!$A$3:$A$53,0))),0,(index(Res_AllFuels_SEDS_2022_TBtus!$M$3:$M$53,match($B90&amp;AU$2,Res_AllFuels_SEDS_2022_TBtus!$B$3:$B$53&amp;Res_AllFuels_SEDS_2022_TBtus!$A$3:$A$53,0))))</f>
        <v>0</v>
      </c>
      <c r="AV90" s="75">
        <f t="array" ref="AV90">IF(ISERROR(index(Res_AllFuels_SEDS_2022_TBtus!$M$3:$M$53,match($B90&amp;AV$2,Res_AllFuels_SEDS_2022_TBtus!$B$3:$B$53&amp;Res_AllFuels_SEDS_2022_TBtus!$A$3:$A$53,0))),0,(index(Res_AllFuels_SEDS_2022_TBtus!$M$3:$M$53,match($B90&amp;AV$2,Res_AllFuels_SEDS_2022_TBtus!$B$3:$B$53&amp;Res_AllFuels_SEDS_2022_TBtus!$A$3:$A$53,0))))</f>
        <v>0</v>
      </c>
      <c r="AW90" s="75">
        <f t="array" ref="AW90">IF(ISERROR(index(Res_AllFuels_SEDS_2022_TBtus!$M$3:$M$53,match($B90&amp;AW$2,Res_AllFuels_SEDS_2022_TBtus!$B$3:$B$53&amp;Res_AllFuels_SEDS_2022_TBtus!$A$3:$A$53,0))),0,(index(Res_AllFuels_SEDS_2022_TBtus!$M$3:$M$53,match($B90&amp;AW$2,Res_AllFuels_SEDS_2022_TBtus!$B$3:$B$53&amp;Res_AllFuels_SEDS_2022_TBtus!$A$3:$A$53,0))))</f>
        <v>0</v>
      </c>
      <c r="AX90" s="75">
        <f t="array" ref="AX90">IF(ISERROR(index(Res_AllFuels_SEDS_2022_TBtus!$M$3:$M$53,match($B90&amp;AX$2,Res_AllFuels_SEDS_2022_TBtus!$B$3:$B$53&amp;Res_AllFuels_SEDS_2022_TBtus!$A$3:$A$53,0))),0,(index(Res_AllFuels_SEDS_2022_TBtus!$M$3:$M$53,match($B90&amp;AX$2,Res_AllFuels_SEDS_2022_TBtus!$B$3:$B$53&amp;Res_AllFuels_SEDS_2022_TBtus!$A$3:$A$53,0))))</f>
        <v>275</v>
      </c>
      <c r="AY90" s="75">
        <f t="array" ref="AY90">IF(ISERROR(index(Res_AllFuels_SEDS_2022_TBtus!$M$3:$M$53,match($B90&amp;AY$2,Res_AllFuels_SEDS_2022_TBtus!$B$3:$B$53&amp;Res_AllFuels_SEDS_2022_TBtus!$A$3:$A$53,0))),0,(index(Res_AllFuels_SEDS_2022_TBtus!$M$3:$M$53,match($B90&amp;AY$2,Res_AllFuels_SEDS_2022_TBtus!$B$3:$B$53&amp;Res_AllFuels_SEDS_2022_TBtus!$A$3:$A$53,0))))</f>
        <v>0</v>
      </c>
      <c r="AZ90" s="75">
        <f t="array" ref="AZ90">IF(ISERROR(index(Res_AllFuels_SEDS_2022_TBtus!$M$3:$M$53,match($B90&amp;AZ$2,Res_AllFuels_SEDS_2022_TBtus!$B$3:$B$53&amp;Res_AllFuels_SEDS_2022_TBtus!$A$3:$A$53,0))),0,(index(Res_AllFuels_SEDS_2022_TBtus!$M$3:$M$53,match($B90&amp;AZ$2,Res_AllFuels_SEDS_2022_TBtus!$B$3:$B$53&amp;Res_AllFuels_SEDS_2022_TBtus!$A$3:$A$53,0))))</f>
        <v>0</v>
      </c>
      <c r="BA90" s="75">
        <f t="array" ref="BA90">IF(ISERROR(index(Res_AllFuels_SEDS_2022_TBtus!$M$3:$M$53,match($B90&amp;BA$2,Res_AllFuels_SEDS_2022_TBtus!$B$3:$B$53&amp;Res_AllFuels_SEDS_2022_TBtus!$A$3:$A$53,0))),0,(index(Res_AllFuels_SEDS_2022_TBtus!$M$3:$M$53,match($B90&amp;BA$2,Res_AllFuels_SEDS_2022_TBtus!$B$3:$B$53&amp;Res_AllFuels_SEDS_2022_TBtus!$A$3:$A$53,0))))</f>
        <v>0</v>
      </c>
      <c r="BB90" s="74">
        <f t="shared" si="13"/>
        <v>1348.5</v>
      </c>
    </row>
    <row r="91" ht="15.75" customHeight="1">
      <c r="A91" s="78"/>
      <c r="B91" s="78" t="s">
        <v>4207</v>
      </c>
      <c r="C91" s="74">
        <f t="shared" ref="C91:BA91" si="14">sum(C82:C90)</f>
        <v>150.2</v>
      </c>
      <c r="D91" s="74">
        <f t="shared" si="14"/>
        <v>40.4</v>
      </c>
      <c r="E91" s="74">
        <f t="shared" si="14"/>
        <v>197.6</v>
      </c>
      <c r="F91" s="74">
        <f t="shared" si="14"/>
        <v>108.1</v>
      </c>
      <c r="G91" s="74">
        <f t="shared" si="14"/>
        <v>869.4</v>
      </c>
      <c r="H91" s="74">
        <f t="shared" si="14"/>
        <v>245.1</v>
      </c>
      <c r="I91" s="74">
        <f t="shared" si="14"/>
        <v>164.9</v>
      </c>
      <c r="J91" s="74">
        <f t="shared" si="14"/>
        <v>36.8</v>
      </c>
      <c r="K91" s="74">
        <f t="shared" si="14"/>
        <v>21.9</v>
      </c>
      <c r="L91" s="74">
        <f t="shared" si="14"/>
        <v>526.9</v>
      </c>
      <c r="M91" s="74">
        <f t="shared" si="14"/>
        <v>357.6</v>
      </c>
      <c r="N91" s="74">
        <f t="shared" si="14"/>
        <v>14.9</v>
      </c>
      <c r="O91" s="74">
        <f t="shared" si="14"/>
        <v>91.2</v>
      </c>
      <c r="P91" s="74">
        <f t="shared" si="14"/>
        <v>631.9</v>
      </c>
      <c r="Q91" s="74">
        <f t="shared" si="14"/>
        <v>294.1</v>
      </c>
      <c r="R91" s="74">
        <f t="shared" si="14"/>
        <v>155.2</v>
      </c>
      <c r="S91" s="74">
        <f t="shared" si="14"/>
        <v>129.1</v>
      </c>
      <c r="T91" s="74">
        <f t="shared" si="14"/>
        <v>162.7</v>
      </c>
      <c r="U91" s="74">
        <f t="shared" si="14"/>
        <v>147.6</v>
      </c>
      <c r="V91" s="74">
        <f t="shared" si="14"/>
        <v>72.7</v>
      </c>
      <c r="W91" s="74">
        <f t="shared" si="14"/>
        <v>211.2</v>
      </c>
      <c r="X91" s="74">
        <f t="shared" si="14"/>
        <v>295.3</v>
      </c>
      <c r="Y91" s="74">
        <f t="shared" si="14"/>
        <v>536.1</v>
      </c>
      <c r="Z91" s="74">
        <f t="shared" si="14"/>
        <v>290</v>
      </c>
      <c r="AA91" s="74">
        <f t="shared" si="14"/>
        <v>94.2</v>
      </c>
      <c r="AB91" s="74">
        <f t="shared" si="14"/>
        <v>269.5</v>
      </c>
      <c r="AC91" s="74">
        <f t="shared" si="14"/>
        <v>67.2</v>
      </c>
      <c r="AD91" s="74">
        <f t="shared" si="14"/>
        <v>87.2</v>
      </c>
      <c r="AE91" s="74">
        <f t="shared" si="14"/>
        <v>107.9</v>
      </c>
      <c r="AF91" s="74">
        <f t="shared" si="14"/>
        <v>64.8</v>
      </c>
      <c r="AG91" s="74">
        <f t="shared" si="14"/>
        <v>388.6</v>
      </c>
      <c r="AH91" s="74">
        <f t="shared" si="14"/>
        <v>79.7</v>
      </c>
      <c r="AI91" s="74">
        <f t="shared" si="14"/>
        <v>805.2</v>
      </c>
      <c r="AJ91" s="74">
        <f t="shared" si="14"/>
        <v>319.7</v>
      </c>
      <c r="AK91" s="74">
        <f t="shared" si="14"/>
        <v>40.4</v>
      </c>
      <c r="AL91" s="74">
        <f t="shared" si="14"/>
        <v>544</v>
      </c>
      <c r="AM91" s="74">
        <f t="shared" si="14"/>
        <v>162.3</v>
      </c>
      <c r="AN91" s="74">
        <f t="shared" si="14"/>
        <v>148.8</v>
      </c>
      <c r="AO91" s="74">
        <f t="shared" si="14"/>
        <v>567.7</v>
      </c>
      <c r="AP91" s="74">
        <f t="shared" si="14"/>
        <v>46.5</v>
      </c>
      <c r="AQ91" s="74">
        <f t="shared" si="14"/>
        <v>152.6</v>
      </c>
      <c r="AR91" s="74">
        <f t="shared" si="14"/>
        <v>41.3</v>
      </c>
      <c r="AS91" s="74">
        <f t="shared" si="14"/>
        <v>237.9</v>
      </c>
      <c r="AT91" s="74">
        <f t="shared" si="14"/>
        <v>851.4</v>
      </c>
      <c r="AU91" s="74">
        <f t="shared" si="14"/>
        <v>128.4</v>
      </c>
      <c r="AV91" s="74">
        <f t="shared" si="14"/>
        <v>40.6</v>
      </c>
      <c r="AW91" s="74">
        <f t="shared" si="14"/>
        <v>285.2</v>
      </c>
      <c r="AX91" s="74">
        <f t="shared" si="14"/>
        <v>275</v>
      </c>
      <c r="AY91" s="74">
        <f t="shared" si="14"/>
        <v>78</v>
      </c>
      <c r="AZ91" s="74">
        <f t="shared" si="14"/>
        <v>294.1</v>
      </c>
      <c r="BA91" s="74">
        <f t="shared" si="14"/>
        <v>32.5</v>
      </c>
      <c r="BB91" s="74">
        <f t="shared" si="13"/>
        <v>11961.6</v>
      </c>
    </row>
    <row r="92" ht="15.75" customHeight="1"/>
    <row r="93" ht="15.75" customHeight="1">
      <c r="A93" s="80" t="s">
        <v>4243</v>
      </c>
    </row>
    <row r="94" ht="15.75" customHeight="1">
      <c r="A94" s="80" t="s">
        <v>4235</v>
      </c>
      <c r="B94" s="78" t="s">
        <v>48</v>
      </c>
      <c r="C94" s="79" t="s">
        <v>101</v>
      </c>
      <c r="D94" s="79" t="s">
        <v>171</v>
      </c>
      <c r="E94" s="79" t="s">
        <v>201</v>
      </c>
      <c r="F94" s="79" t="s">
        <v>220</v>
      </c>
      <c r="G94" s="79" t="s">
        <v>279</v>
      </c>
      <c r="H94" s="79" t="s">
        <v>339</v>
      </c>
      <c r="I94" s="79" t="s">
        <v>395</v>
      </c>
      <c r="J94" s="79" t="s">
        <v>405</v>
      </c>
      <c r="K94" s="79" t="s">
        <v>408</v>
      </c>
      <c r="L94" s="79" t="s">
        <v>410</v>
      </c>
      <c r="M94" s="79" t="s">
        <v>461</v>
      </c>
      <c r="N94" s="79" t="s">
        <v>570</v>
      </c>
      <c r="O94" s="79" t="s">
        <v>576</v>
      </c>
      <c r="P94" s="79" t="s">
        <v>608</v>
      </c>
      <c r="Q94" s="79" t="s">
        <v>663</v>
      </c>
      <c r="R94" s="79" t="s">
        <v>705</v>
      </c>
      <c r="S94" s="79" t="s">
        <v>750</v>
      </c>
      <c r="T94" s="79" t="s">
        <v>818</v>
      </c>
      <c r="U94" s="79" t="s">
        <v>875</v>
      </c>
      <c r="V94" s="79" t="s">
        <v>923</v>
      </c>
      <c r="W94" s="79" t="s">
        <v>934</v>
      </c>
      <c r="X94" s="79" t="s">
        <v>952</v>
      </c>
      <c r="Y94" s="79" t="s">
        <v>963</v>
      </c>
      <c r="Z94" s="79" t="s">
        <v>1026</v>
      </c>
      <c r="AA94" s="79" t="s">
        <v>255</v>
      </c>
      <c r="AB94" s="79" t="s">
        <v>1121</v>
      </c>
      <c r="AC94" s="79" t="s">
        <v>1162</v>
      </c>
      <c r="AD94" s="79" t="s">
        <v>1198</v>
      </c>
      <c r="AE94" s="79" t="s">
        <v>256</v>
      </c>
      <c r="AF94" s="79" t="s">
        <v>1251</v>
      </c>
      <c r="AG94" s="79" t="s">
        <v>1259</v>
      </c>
      <c r="AH94" s="79" t="s">
        <v>1271</v>
      </c>
      <c r="AI94" s="79" t="s">
        <v>1296</v>
      </c>
      <c r="AJ94" s="79" t="s">
        <v>1326</v>
      </c>
      <c r="AK94" s="79" t="s">
        <v>1390</v>
      </c>
      <c r="AL94" s="79" t="s">
        <v>683</v>
      </c>
      <c r="AM94" s="79" t="s">
        <v>1457</v>
      </c>
      <c r="AN94" s="79" t="s">
        <v>1144</v>
      </c>
      <c r="AO94" s="79" t="s">
        <v>1514</v>
      </c>
      <c r="AP94" s="79" t="s">
        <v>1546</v>
      </c>
      <c r="AQ94" s="79" t="s">
        <v>1550</v>
      </c>
      <c r="AR94" s="79" t="s">
        <v>1578</v>
      </c>
      <c r="AS94" s="79" t="s">
        <v>1616</v>
      </c>
      <c r="AT94" s="79" t="s">
        <v>1159</v>
      </c>
      <c r="AU94" s="79" t="s">
        <v>1802</v>
      </c>
      <c r="AV94" s="79" t="s">
        <v>1819</v>
      </c>
      <c r="AW94" s="79" t="s">
        <v>1828</v>
      </c>
      <c r="AX94" s="79" t="s">
        <v>167</v>
      </c>
      <c r="AY94" s="79" t="s">
        <v>1924</v>
      </c>
      <c r="AZ94" s="79" t="s">
        <v>1942</v>
      </c>
      <c r="BA94" s="79" t="s">
        <v>1323</v>
      </c>
      <c r="BB94" s="78" t="s">
        <v>4207</v>
      </c>
    </row>
    <row r="95" ht="15.75" customHeight="1">
      <c r="A95" s="52" t="s">
        <v>4230</v>
      </c>
      <c r="B95" s="74">
        <v>1.0</v>
      </c>
      <c r="C95" s="75">
        <f t="array" ref="C95">IF(ISERROR(index(Com_AllFuels_SEDS_2022_TBtus!$P$3:$P$53,match($B82&amp;C$2,Com_AllFuels_SEDS_2022_TBtus!$B$3:$B$53&amp;Com_AllFuels_SEDS_2022_TBtus!$A$3:$A$53,0))),0,(index(Com_AllFuels_SEDS_2022_TBtus!$P$3:$P$53,match($B82&amp;C$2,Com_AllFuels_SEDS_2022_TBtus!$B$3:$B$53&amp;Com_AllFuels_SEDS_2022_TBtus!$A$3:$A$53,0))))</f>
        <v>0</v>
      </c>
      <c r="D95" s="75">
        <f t="array" ref="D95">IF(ISERROR(index(Com_AllFuels_SEDS_2022_TBtus!$P$3:$P$53,match($B82&amp;D$2,Com_AllFuels_SEDS_2022_TBtus!$B$3:$B$53&amp;Com_AllFuels_SEDS_2022_TBtus!$A$3:$A$53,0))),0,(index(Com_AllFuels_SEDS_2022_TBtus!$P$3:$P$53,match($B82&amp;D$2,Com_AllFuels_SEDS_2022_TBtus!$B$3:$B$53&amp;Com_AllFuels_SEDS_2022_TBtus!$A$3:$A$53,0))))</f>
        <v>0</v>
      </c>
      <c r="E95" s="75">
        <f t="array" ref="E95">IF(ISERROR(index(Com_AllFuels_SEDS_2022_TBtus!$P$3:$P$53,match($B82&amp;E$2,Com_AllFuels_SEDS_2022_TBtus!$B$3:$B$53&amp;Com_AllFuels_SEDS_2022_TBtus!$A$3:$A$53,0))),0,(index(Com_AllFuels_SEDS_2022_TBtus!$P$3:$P$53,match($B82&amp;E$2,Com_AllFuels_SEDS_2022_TBtus!$B$3:$B$53&amp;Com_AllFuels_SEDS_2022_TBtus!$A$3:$A$53,0))))</f>
        <v>0</v>
      </c>
      <c r="F95" s="75">
        <f t="array" ref="F95">IF(ISERROR(index(Com_AllFuels_SEDS_2022_TBtus!$P$3:$P$53,match($B82&amp;F$2,Com_AllFuels_SEDS_2022_TBtus!$B$3:$B$53&amp;Com_AllFuels_SEDS_2022_TBtus!$A$3:$A$53,0))),0,(index(Com_AllFuels_SEDS_2022_TBtus!$P$3:$P$53,match($B82&amp;F$2,Com_AllFuels_SEDS_2022_TBtus!$B$3:$B$53&amp;Com_AllFuels_SEDS_2022_TBtus!$A$3:$A$53,0))))</f>
        <v>0</v>
      </c>
      <c r="G95" s="75">
        <f t="array" ref="G95">IF(ISERROR(index(Com_AllFuels_SEDS_2022_TBtus!$P$3:$P$53,match($B82&amp;G$2,Com_AllFuels_SEDS_2022_TBtus!$B$3:$B$53&amp;Com_AllFuels_SEDS_2022_TBtus!$A$3:$A$53,0))),0,(index(Com_AllFuels_SEDS_2022_TBtus!$P$3:$P$53,match($B82&amp;G$2,Com_AllFuels_SEDS_2022_TBtus!$B$3:$B$53&amp;Com_AllFuels_SEDS_2022_TBtus!$A$3:$A$53,0))))</f>
        <v>0</v>
      </c>
      <c r="H95" s="75">
        <f t="array" ref="H95">IF(ISERROR(index(Com_AllFuels_SEDS_2022_TBtus!$P$3:$P$53,match($B82&amp;H$2,Com_AllFuels_SEDS_2022_TBtus!$B$3:$B$53&amp;Com_AllFuels_SEDS_2022_TBtus!$A$3:$A$53,0))),0,(index(Com_AllFuels_SEDS_2022_TBtus!$P$3:$P$53,match($B82&amp;H$2,Com_AllFuels_SEDS_2022_TBtus!$B$3:$B$53&amp;Com_AllFuels_SEDS_2022_TBtus!$A$3:$A$53,0))))</f>
        <v>0</v>
      </c>
      <c r="I95" s="75">
        <f t="array" ref="I95">IF(ISERROR(index(Com_AllFuels_SEDS_2022_TBtus!$P$3:$P$53,match($B82&amp;I$2,Com_AllFuels_SEDS_2022_TBtus!$B$3:$B$53&amp;Com_AllFuels_SEDS_2022_TBtus!$A$3:$A$53,0))),0,(index(Com_AllFuels_SEDS_2022_TBtus!$P$3:$P$53,match($B82&amp;I$2,Com_AllFuels_SEDS_2022_TBtus!$B$3:$B$53&amp;Com_AllFuels_SEDS_2022_TBtus!$A$3:$A$53,0))))</f>
        <v>116</v>
      </c>
      <c r="J95" s="75">
        <f t="array" ref="J95">IF(ISERROR(index(Com_AllFuels_SEDS_2022_TBtus!$P$3:$P$53,match($B82&amp;J$2,Com_AllFuels_SEDS_2022_TBtus!$B$3:$B$53&amp;Com_AllFuels_SEDS_2022_TBtus!$A$3:$A$53,0))),0,(index(Com_AllFuels_SEDS_2022_TBtus!$P$3:$P$53,match($B82&amp;J$2,Com_AllFuels_SEDS_2022_TBtus!$B$3:$B$53&amp;Com_AllFuels_SEDS_2022_TBtus!$A$3:$A$53,0))))</f>
        <v>0</v>
      </c>
      <c r="K95" s="75">
        <f t="array" ref="K95">IF(ISERROR(index(Com_AllFuels_SEDS_2022_TBtus!$P$3:$P$53,match($B82&amp;K$2,Com_AllFuels_SEDS_2022_TBtus!$B$3:$B$53&amp;Com_AllFuels_SEDS_2022_TBtus!$A$3:$A$53,0))),0,(index(Com_AllFuels_SEDS_2022_TBtus!$P$3:$P$53,match($B82&amp;K$2,Com_AllFuels_SEDS_2022_TBtus!$B$3:$B$53&amp;Com_AllFuels_SEDS_2022_TBtus!$A$3:$A$53,0))))</f>
        <v>0</v>
      </c>
      <c r="L95" s="75">
        <f t="array" ref="L95">IF(ISERROR(index(Com_AllFuels_SEDS_2022_TBtus!$P$3:$P$53,match($B82&amp;L$2,Com_AllFuels_SEDS_2022_TBtus!$B$3:$B$53&amp;Com_AllFuels_SEDS_2022_TBtus!$A$3:$A$53,0))),0,(index(Com_AllFuels_SEDS_2022_TBtus!$P$3:$P$53,match($B82&amp;L$2,Com_AllFuels_SEDS_2022_TBtus!$B$3:$B$53&amp;Com_AllFuels_SEDS_2022_TBtus!$A$3:$A$53,0))))</f>
        <v>0</v>
      </c>
      <c r="M95" s="75">
        <f t="array" ref="M95">IF(ISERROR(index(Com_AllFuels_SEDS_2022_TBtus!$P$3:$P$53,match($B82&amp;M$2,Com_AllFuels_SEDS_2022_TBtus!$B$3:$B$53&amp;Com_AllFuels_SEDS_2022_TBtus!$A$3:$A$53,0))),0,(index(Com_AllFuels_SEDS_2022_TBtus!$P$3:$P$53,match($B82&amp;M$2,Com_AllFuels_SEDS_2022_TBtus!$B$3:$B$53&amp;Com_AllFuels_SEDS_2022_TBtus!$A$3:$A$53,0))))</f>
        <v>0</v>
      </c>
      <c r="N95" s="75">
        <f t="array" ref="N95">IF(ISERROR(index(Com_AllFuels_SEDS_2022_TBtus!$P$3:$P$53,match($B82&amp;N$2,Com_AllFuels_SEDS_2022_TBtus!$B$3:$B$53&amp;Com_AllFuels_SEDS_2022_TBtus!$A$3:$A$53,0))),0,(index(Com_AllFuels_SEDS_2022_TBtus!$P$3:$P$53,match($B82&amp;N$2,Com_AllFuels_SEDS_2022_TBtus!$B$3:$B$53&amp;Com_AllFuels_SEDS_2022_TBtus!$A$3:$A$53,0))))</f>
        <v>0</v>
      </c>
      <c r="O95" s="75">
        <f t="array" ref="O95">IF(ISERROR(index(Com_AllFuels_SEDS_2022_TBtus!$P$3:$P$53,match($B82&amp;O$2,Com_AllFuels_SEDS_2022_TBtus!$B$3:$B$53&amp;Com_AllFuels_SEDS_2022_TBtus!$A$3:$A$53,0))),0,(index(Com_AllFuels_SEDS_2022_TBtus!$P$3:$P$53,match($B82&amp;O$2,Com_AllFuels_SEDS_2022_TBtus!$B$3:$B$53&amp;Com_AllFuels_SEDS_2022_TBtus!$A$3:$A$53,0))))</f>
        <v>0</v>
      </c>
      <c r="P95" s="75">
        <f t="array" ref="P95">IF(ISERROR(index(Com_AllFuels_SEDS_2022_TBtus!$P$3:$P$53,match($B82&amp;P$2,Com_AllFuels_SEDS_2022_TBtus!$B$3:$B$53&amp;Com_AllFuels_SEDS_2022_TBtus!$A$3:$A$53,0))),0,(index(Com_AllFuels_SEDS_2022_TBtus!$P$3:$P$53,match($B82&amp;P$2,Com_AllFuels_SEDS_2022_TBtus!$B$3:$B$53&amp;Com_AllFuels_SEDS_2022_TBtus!$A$3:$A$53,0))))</f>
        <v>0</v>
      </c>
      <c r="Q95" s="75">
        <f t="array" ref="Q95">IF(ISERROR(index(Com_AllFuels_SEDS_2022_TBtus!$P$3:$P$53,match($B82&amp;Q$2,Com_AllFuels_SEDS_2022_TBtus!$B$3:$B$53&amp;Com_AllFuels_SEDS_2022_TBtus!$A$3:$A$53,0))),0,(index(Com_AllFuels_SEDS_2022_TBtus!$P$3:$P$53,match($B82&amp;Q$2,Com_AllFuels_SEDS_2022_TBtus!$B$3:$B$53&amp;Com_AllFuels_SEDS_2022_TBtus!$A$3:$A$53,0))))</f>
        <v>0</v>
      </c>
      <c r="R95" s="75">
        <f t="array" ref="R95">IF(ISERROR(index(Com_AllFuels_SEDS_2022_TBtus!$P$3:$P$53,match($B82&amp;R$2,Com_AllFuels_SEDS_2022_TBtus!$B$3:$B$53&amp;Com_AllFuels_SEDS_2022_TBtus!$A$3:$A$53,0))),0,(index(Com_AllFuels_SEDS_2022_TBtus!$P$3:$P$53,match($B82&amp;R$2,Com_AllFuels_SEDS_2022_TBtus!$B$3:$B$53&amp;Com_AllFuels_SEDS_2022_TBtus!$A$3:$A$53,0))))</f>
        <v>0</v>
      </c>
      <c r="S95" s="75">
        <f t="array" ref="S95">IF(ISERROR(index(Com_AllFuels_SEDS_2022_TBtus!$P$3:$P$53,match($B82&amp;S$2,Com_AllFuels_SEDS_2022_TBtus!$B$3:$B$53&amp;Com_AllFuels_SEDS_2022_TBtus!$A$3:$A$53,0))),0,(index(Com_AllFuels_SEDS_2022_TBtus!$P$3:$P$53,match($B82&amp;S$2,Com_AllFuels_SEDS_2022_TBtus!$B$3:$B$53&amp;Com_AllFuels_SEDS_2022_TBtus!$A$3:$A$53,0))))</f>
        <v>0</v>
      </c>
      <c r="T95" s="75">
        <f t="array" ref="T95">IF(ISERROR(index(Com_AllFuels_SEDS_2022_TBtus!$P$3:$P$53,match($B82&amp;T$2,Com_AllFuels_SEDS_2022_TBtus!$B$3:$B$53&amp;Com_AllFuels_SEDS_2022_TBtus!$A$3:$A$53,0))),0,(index(Com_AllFuels_SEDS_2022_TBtus!$P$3:$P$53,match($B82&amp;T$2,Com_AllFuels_SEDS_2022_TBtus!$B$3:$B$53&amp;Com_AllFuels_SEDS_2022_TBtus!$A$3:$A$53,0))))</f>
        <v>0</v>
      </c>
      <c r="U95" s="75">
        <f t="array" ref="U95">IF(ISERROR(index(Com_AllFuels_SEDS_2022_TBtus!$P$3:$P$53,match($B82&amp;U$2,Com_AllFuels_SEDS_2022_TBtus!$B$3:$B$53&amp;Com_AllFuels_SEDS_2022_TBtus!$A$3:$A$53,0))),0,(index(Com_AllFuels_SEDS_2022_TBtus!$P$3:$P$53,match($B82&amp;U$2,Com_AllFuels_SEDS_2022_TBtus!$B$3:$B$53&amp;Com_AllFuels_SEDS_2022_TBtus!$A$3:$A$53,0))))</f>
        <v>0</v>
      </c>
      <c r="V95" s="75">
        <f t="array" ref="V95">IF(ISERROR(index(Com_AllFuels_SEDS_2022_TBtus!$P$3:$P$53,match($B82&amp;V$2,Com_AllFuels_SEDS_2022_TBtus!$B$3:$B$53&amp;Com_AllFuels_SEDS_2022_TBtus!$A$3:$A$53,0))),0,(index(Com_AllFuels_SEDS_2022_TBtus!$P$3:$P$53,match($B82&amp;V$2,Com_AllFuels_SEDS_2022_TBtus!$B$3:$B$53&amp;Com_AllFuels_SEDS_2022_TBtus!$A$3:$A$53,0))))</f>
        <v>46.8</v>
      </c>
      <c r="W95" s="75">
        <f t="array" ref="W95">IF(ISERROR(index(Com_AllFuels_SEDS_2022_TBtus!$P$3:$P$53,match($B82&amp;W$2,Com_AllFuels_SEDS_2022_TBtus!$B$3:$B$53&amp;Com_AllFuels_SEDS_2022_TBtus!$A$3:$A$53,0))),0,(index(Com_AllFuels_SEDS_2022_TBtus!$P$3:$P$53,match($B82&amp;W$2,Com_AllFuels_SEDS_2022_TBtus!$B$3:$B$53&amp;Com_AllFuels_SEDS_2022_TBtus!$A$3:$A$53,0))))</f>
        <v>0</v>
      </c>
      <c r="X95" s="75">
        <f t="array" ref="X95">IF(ISERROR(index(Com_AllFuels_SEDS_2022_TBtus!$P$3:$P$53,match($B82&amp;X$2,Com_AllFuels_SEDS_2022_TBtus!$B$3:$B$53&amp;Com_AllFuels_SEDS_2022_TBtus!$A$3:$A$53,0))),0,(index(Com_AllFuels_SEDS_2022_TBtus!$P$3:$P$53,match($B82&amp;X$2,Com_AllFuels_SEDS_2022_TBtus!$B$3:$B$53&amp;Com_AllFuels_SEDS_2022_TBtus!$A$3:$A$53,0))))</f>
        <v>246.1</v>
      </c>
      <c r="Y95" s="75">
        <f t="array" ref="Y95">IF(ISERROR(index(Com_AllFuels_SEDS_2022_TBtus!$P$3:$P$53,match($B82&amp;Y$2,Com_AllFuels_SEDS_2022_TBtus!$B$3:$B$53&amp;Com_AllFuels_SEDS_2022_TBtus!$A$3:$A$53,0))),0,(index(Com_AllFuels_SEDS_2022_TBtus!$P$3:$P$53,match($B82&amp;Y$2,Com_AllFuels_SEDS_2022_TBtus!$B$3:$B$53&amp;Com_AllFuels_SEDS_2022_TBtus!$A$3:$A$53,0))))</f>
        <v>0</v>
      </c>
      <c r="Z95" s="75">
        <f t="array" ref="Z95">IF(ISERROR(index(Com_AllFuels_SEDS_2022_TBtus!$P$3:$P$53,match($B82&amp;Z$2,Com_AllFuels_SEDS_2022_TBtus!$B$3:$B$53&amp;Com_AllFuels_SEDS_2022_TBtus!$A$3:$A$53,0))),0,(index(Com_AllFuels_SEDS_2022_TBtus!$P$3:$P$53,match($B82&amp;Z$2,Com_AllFuels_SEDS_2022_TBtus!$B$3:$B$53&amp;Com_AllFuels_SEDS_2022_TBtus!$A$3:$A$53,0))))</f>
        <v>0</v>
      </c>
      <c r="AA95" s="75">
        <f t="array" ref="AA95">IF(ISERROR(index(Com_AllFuels_SEDS_2022_TBtus!$P$3:$P$53,match($B82&amp;AA$2,Com_AllFuels_SEDS_2022_TBtus!$B$3:$B$53&amp;Com_AllFuels_SEDS_2022_TBtus!$A$3:$A$53,0))),0,(index(Com_AllFuels_SEDS_2022_TBtus!$P$3:$P$53,match($B82&amp;AA$2,Com_AllFuels_SEDS_2022_TBtus!$B$3:$B$53&amp;Com_AllFuels_SEDS_2022_TBtus!$A$3:$A$53,0))))</f>
        <v>0</v>
      </c>
      <c r="AB95" s="75">
        <f t="array" ref="AB95">IF(ISERROR(index(Com_AllFuels_SEDS_2022_TBtus!$P$3:$P$53,match($B82&amp;AB$2,Com_AllFuels_SEDS_2022_TBtus!$B$3:$B$53&amp;Com_AllFuels_SEDS_2022_TBtus!$A$3:$A$53,0))),0,(index(Com_AllFuels_SEDS_2022_TBtus!$P$3:$P$53,match($B82&amp;AB$2,Com_AllFuels_SEDS_2022_TBtus!$B$3:$B$53&amp;Com_AllFuels_SEDS_2022_TBtus!$A$3:$A$53,0))))</f>
        <v>0</v>
      </c>
      <c r="AC95" s="75">
        <f t="array" ref="AC95">IF(ISERROR(index(Com_AllFuels_SEDS_2022_TBtus!$P$3:$P$53,match($B82&amp;AC$2,Com_AllFuels_SEDS_2022_TBtus!$B$3:$B$53&amp;Com_AllFuels_SEDS_2022_TBtus!$A$3:$A$53,0))),0,(index(Com_AllFuels_SEDS_2022_TBtus!$P$3:$P$53,match($B82&amp;AC$2,Com_AllFuels_SEDS_2022_TBtus!$B$3:$B$53&amp;Com_AllFuels_SEDS_2022_TBtus!$A$3:$A$53,0))))</f>
        <v>0</v>
      </c>
      <c r="AD95" s="75">
        <f t="array" ref="AD95">IF(ISERROR(index(Com_AllFuels_SEDS_2022_TBtus!$P$3:$P$53,match($B82&amp;AD$2,Com_AllFuels_SEDS_2022_TBtus!$B$3:$B$53&amp;Com_AllFuels_SEDS_2022_TBtus!$A$3:$A$53,0))),0,(index(Com_AllFuels_SEDS_2022_TBtus!$P$3:$P$53,match($B82&amp;AD$2,Com_AllFuels_SEDS_2022_TBtus!$B$3:$B$53&amp;Com_AllFuels_SEDS_2022_TBtus!$A$3:$A$53,0))))</f>
        <v>0</v>
      </c>
      <c r="AE95" s="75">
        <f t="array" ref="AE95">IF(ISERROR(index(Com_AllFuels_SEDS_2022_TBtus!$P$3:$P$53,match($B82&amp;AE$2,Com_AllFuels_SEDS_2022_TBtus!$B$3:$B$53&amp;Com_AllFuels_SEDS_2022_TBtus!$A$3:$A$53,0))),0,(index(Com_AllFuels_SEDS_2022_TBtus!$P$3:$P$53,match($B82&amp;AE$2,Com_AllFuels_SEDS_2022_TBtus!$B$3:$B$53&amp;Com_AllFuels_SEDS_2022_TBtus!$A$3:$A$53,0))))</f>
        <v>0</v>
      </c>
      <c r="AF95" s="75">
        <f t="array" ref="AF95">IF(ISERROR(index(Com_AllFuels_SEDS_2022_TBtus!$P$3:$P$53,match($B82&amp;AF$2,Com_AllFuels_SEDS_2022_TBtus!$B$3:$B$53&amp;Com_AllFuels_SEDS_2022_TBtus!$A$3:$A$53,0))),0,(index(Com_AllFuels_SEDS_2022_TBtus!$P$3:$P$53,match($B82&amp;AF$2,Com_AllFuels_SEDS_2022_TBtus!$B$3:$B$53&amp;Com_AllFuels_SEDS_2022_TBtus!$A$3:$A$53,0))))</f>
        <v>39.8</v>
      </c>
      <c r="AG95" s="75">
        <f t="array" ref="AG95">IF(ISERROR(index(Com_AllFuels_SEDS_2022_TBtus!$P$3:$P$53,match($B82&amp;AG$2,Com_AllFuels_SEDS_2022_TBtus!$B$3:$B$53&amp;Com_AllFuels_SEDS_2022_TBtus!$A$3:$A$53,0))),0,(index(Com_AllFuels_SEDS_2022_TBtus!$P$3:$P$53,match($B82&amp;AG$2,Com_AllFuels_SEDS_2022_TBtus!$B$3:$B$53&amp;Com_AllFuels_SEDS_2022_TBtus!$A$3:$A$53,0))))</f>
        <v>0</v>
      </c>
      <c r="AH95" s="75">
        <f t="array" ref="AH95">IF(ISERROR(index(Com_AllFuels_SEDS_2022_TBtus!$P$3:$P$53,match($B82&amp;AH$2,Com_AllFuels_SEDS_2022_TBtus!$B$3:$B$53&amp;Com_AllFuels_SEDS_2022_TBtus!$A$3:$A$53,0))),0,(index(Com_AllFuels_SEDS_2022_TBtus!$P$3:$P$53,match($B82&amp;AH$2,Com_AllFuels_SEDS_2022_TBtus!$B$3:$B$53&amp;Com_AllFuels_SEDS_2022_TBtus!$A$3:$A$53,0))))</f>
        <v>0</v>
      </c>
      <c r="AI95" s="75">
        <f t="array" ref="AI95">IF(ISERROR(index(Com_AllFuels_SEDS_2022_TBtus!$P$3:$P$53,match($B82&amp;AI$2,Com_AllFuels_SEDS_2022_TBtus!$B$3:$B$53&amp;Com_AllFuels_SEDS_2022_TBtus!$A$3:$A$53,0))),0,(index(Com_AllFuels_SEDS_2022_TBtus!$P$3:$P$53,match($B82&amp;AI$2,Com_AllFuels_SEDS_2022_TBtus!$B$3:$B$53&amp;Com_AllFuels_SEDS_2022_TBtus!$A$3:$A$53,0))))</f>
        <v>0</v>
      </c>
      <c r="AJ95" s="75">
        <f t="array" ref="AJ95">IF(ISERROR(index(Com_AllFuels_SEDS_2022_TBtus!$P$3:$P$53,match($B82&amp;AJ$2,Com_AllFuels_SEDS_2022_TBtus!$B$3:$B$53&amp;Com_AllFuels_SEDS_2022_TBtus!$A$3:$A$53,0))),0,(index(Com_AllFuels_SEDS_2022_TBtus!$P$3:$P$53,match($B82&amp;AJ$2,Com_AllFuels_SEDS_2022_TBtus!$B$3:$B$53&amp;Com_AllFuels_SEDS_2022_TBtus!$A$3:$A$53,0))))</f>
        <v>0</v>
      </c>
      <c r="AK95" s="75">
        <f t="array" ref="AK95">IF(ISERROR(index(Com_AllFuels_SEDS_2022_TBtus!$P$3:$P$53,match($B82&amp;AK$2,Com_AllFuels_SEDS_2022_TBtus!$B$3:$B$53&amp;Com_AllFuels_SEDS_2022_TBtus!$A$3:$A$53,0))),0,(index(Com_AllFuels_SEDS_2022_TBtus!$P$3:$P$53,match($B82&amp;AK$2,Com_AllFuels_SEDS_2022_TBtus!$B$3:$B$53&amp;Com_AllFuels_SEDS_2022_TBtus!$A$3:$A$53,0))))</f>
        <v>0</v>
      </c>
      <c r="AL95" s="75">
        <f t="array" ref="AL95">IF(ISERROR(index(Com_AllFuels_SEDS_2022_TBtus!$P$3:$P$53,match($B82&amp;AL$2,Com_AllFuels_SEDS_2022_TBtus!$B$3:$B$53&amp;Com_AllFuels_SEDS_2022_TBtus!$A$3:$A$53,0))),0,(index(Com_AllFuels_SEDS_2022_TBtus!$P$3:$P$53,match($B82&amp;AL$2,Com_AllFuels_SEDS_2022_TBtus!$B$3:$B$53&amp;Com_AllFuels_SEDS_2022_TBtus!$A$3:$A$53,0))))</f>
        <v>0</v>
      </c>
      <c r="AM95" s="75">
        <f t="array" ref="AM95">IF(ISERROR(index(Com_AllFuels_SEDS_2022_TBtus!$P$3:$P$53,match($B82&amp;AM$2,Com_AllFuels_SEDS_2022_TBtus!$B$3:$B$53&amp;Com_AllFuels_SEDS_2022_TBtus!$A$3:$A$53,0))),0,(index(Com_AllFuels_SEDS_2022_TBtus!$P$3:$P$53,match($B82&amp;AM$2,Com_AllFuels_SEDS_2022_TBtus!$B$3:$B$53&amp;Com_AllFuels_SEDS_2022_TBtus!$A$3:$A$53,0))))</f>
        <v>0</v>
      </c>
      <c r="AN95" s="75">
        <f t="array" ref="AN95">IF(ISERROR(index(Com_AllFuels_SEDS_2022_TBtus!$P$3:$P$53,match($B82&amp;AN$2,Com_AllFuels_SEDS_2022_TBtus!$B$3:$B$53&amp;Com_AllFuels_SEDS_2022_TBtus!$A$3:$A$53,0))),0,(index(Com_AllFuels_SEDS_2022_TBtus!$P$3:$P$53,match($B82&amp;AN$2,Com_AllFuels_SEDS_2022_TBtus!$B$3:$B$53&amp;Com_AllFuels_SEDS_2022_TBtus!$A$3:$A$53,0))))</f>
        <v>0</v>
      </c>
      <c r="AO95" s="75">
        <f t="array" ref="AO95">IF(ISERROR(index(Com_AllFuels_SEDS_2022_TBtus!$P$3:$P$53,match($B82&amp;AO$2,Com_AllFuels_SEDS_2022_TBtus!$B$3:$B$53&amp;Com_AllFuels_SEDS_2022_TBtus!$A$3:$A$53,0))),0,(index(Com_AllFuels_SEDS_2022_TBtus!$P$3:$P$53,match($B82&amp;AO$2,Com_AllFuels_SEDS_2022_TBtus!$B$3:$B$53&amp;Com_AllFuels_SEDS_2022_TBtus!$A$3:$A$53,0))))</f>
        <v>0</v>
      </c>
      <c r="AP95" s="75">
        <f t="array" ref="AP95">IF(ISERROR(index(Com_AllFuels_SEDS_2022_TBtus!$P$3:$P$53,match($B82&amp;AP$2,Com_AllFuels_SEDS_2022_TBtus!$B$3:$B$53&amp;Com_AllFuels_SEDS_2022_TBtus!$A$3:$A$53,0))),0,(index(Com_AllFuels_SEDS_2022_TBtus!$P$3:$P$53,match($B82&amp;AP$2,Com_AllFuels_SEDS_2022_TBtus!$B$3:$B$53&amp;Com_AllFuels_SEDS_2022_TBtus!$A$3:$A$53,0))))</f>
        <v>30.3</v>
      </c>
      <c r="AQ95" s="75">
        <f t="array" ref="AQ95">IF(ISERROR(index(Com_AllFuels_SEDS_2022_TBtus!$P$3:$P$53,match($B82&amp;AQ$2,Com_AllFuels_SEDS_2022_TBtus!$B$3:$B$53&amp;Com_AllFuels_SEDS_2022_TBtus!$A$3:$A$53,0))),0,(index(Com_AllFuels_SEDS_2022_TBtus!$P$3:$P$53,match($B82&amp;AQ$2,Com_AllFuels_SEDS_2022_TBtus!$B$3:$B$53&amp;Com_AllFuels_SEDS_2022_TBtus!$A$3:$A$53,0))))</f>
        <v>0</v>
      </c>
      <c r="AR95" s="75">
        <f t="array" ref="AR95">IF(ISERROR(index(Com_AllFuels_SEDS_2022_TBtus!$P$3:$P$53,match($B82&amp;AR$2,Com_AllFuels_SEDS_2022_TBtus!$B$3:$B$53&amp;Com_AllFuels_SEDS_2022_TBtus!$A$3:$A$53,0))),0,(index(Com_AllFuels_SEDS_2022_TBtus!$P$3:$P$53,match($B82&amp;AR$2,Com_AllFuels_SEDS_2022_TBtus!$B$3:$B$53&amp;Com_AllFuels_SEDS_2022_TBtus!$A$3:$A$53,0))))</f>
        <v>0</v>
      </c>
      <c r="AS95" s="75">
        <f t="array" ref="AS95">IF(ISERROR(index(Com_AllFuels_SEDS_2022_TBtus!$P$3:$P$53,match($B82&amp;AS$2,Com_AllFuels_SEDS_2022_TBtus!$B$3:$B$53&amp;Com_AllFuels_SEDS_2022_TBtus!$A$3:$A$53,0))),0,(index(Com_AllFuels_SEDS_2022_TBtus!$P$3:$P$53,match($B82&amp;AS$2,Com_AllFuels_SEDS_2022_TBtus!$B$3:$B$53&amp;Com_AllFuels_SEDS_2022_TBtus!$A$3:$A$53,0))))</f>
        <v>0</v>
      </c>
      <c r="AT95" s="75">
        <f t="array" ref="AT95">IF(ISERROR(index(Com_AllFuels_SEDS_2022_TBtus!$P$3:$P$53,match($B82&amp;AT$2,Com_AllFuels_SEDS_2022_TBtus!$B$3:$B$53&amp;Com_AllFuels_SEDS_2022_TBtus!$A$3:$A$53,0))),0,(index(Com_AllFuels_SEDS_2022_TBtus!$P$3:$P$53,match($B82&amp;AT$2,Com_AllFuels_SEDS_2022_TBtus!$B$3:$B$53&amp;Com_AllFuels_SEDS_2022_TBtus!$A$3:$A$53,0))))</f>
        <v>0</v>
      </c>
      <c r="AU95" s="75">
        <f t="array" ref="AU95">IF(ISERROR(index(Com_AllFuels_SEDS_2022_TBtus!$P$3:$P$53,match($B82&amp;AU$2,Com_AllFuels_SEDS_2022_TBtus!$B$3:$B$53&amp;Com_AllFuels_SEDS_2022_TBtus!$A$3:$A$53,0))),0,(index(Com_AllFuels_SEDS_2022_TBtus!$P$3:$P$53,match($B82&amp;AU$2,Com_AllFuels_SEDS_2022_TBtus!$B$3:$B$53&amp;Com_AllFuels_SEDS_2022_TBtus!$A$3:$A$53,0))))</f>
        <v>0</v>
      </c>
      <c r="AV95" s="75">
        <f t="array" ref="AV95">IF(ISERROR(index(Com_AllFuels_SEDS_2022_TBtus!$P$3:$P$53,match($B82&amp;AV$2,Com_AllFuels_SEDS_2022_TBtus!$B$3:$B$53&amp;Com_AllFuels_SEDS_2022_TBtus!$A$3:$A$53,0))),0,(index(Com_AllFuels_SEDS_2022_TBtus!$P$3:$P$53,match($B82&amp;AV$2,Com_AllFuels_SEDS_2022_TBtus!$B$3:$B$53&amp;Com_AllFuels_SEDS_2022_TBtus!$A$3:$A$53,0))))</f>
        <v>24.6</v>
      </c>
      <c r="AW95" s="75">
        <f t="array" ref="AW95">IF(ISERROR(index(Com_AllFuels_SEDS_2022_TBtus!$P$3:$P$53,match($B82&amp;AW$2,Com_AllFuels_SEDS_2022_TBtus!$B$3:$B$53&amp;Com_AllFuels_SEDS_2022_TBtus!$A$3:$A$53,0))),0,(index(Com_AllFuels_SEDS_2022_TBtus!$P$3:$P$53,match($B82&amp;AW$2,Com_AllFuels_SEDS_2022_TBtus!$B$3:$B$53&amp;Com_AllFuels_SEDS_2022_TBtus!$A$3:$A$53,0))))</f>
        <v>0</v>
      </c>
      <c r="AX95" s="75">
        <f t="array" ref="AX95">IF(ISERROR(index(Com_AllFuels_SEDS_2022_TBtus!$P$3:$P$53,match($B82&amp;AX$2,Com_AllFuels_SEDS_2022_TBtus!$B$3:$B$53&amp;Com_AllFuels_SEDS_2022_TBtus!$A$3:$A$53,0))),0,(index(Com_AllFuels_SEDS_2022_TBtus!$P$3:$P$53,match($B82&amp;AX$2,Com_AllFuels_SEDS_2022_TBtus!$B$3:$B$53&amp;Com_AllFuels_SEDS_2022_TBtus!$A$3:$A$53,0))))</f>
        <v>0</v>
      </c>
      <c r="AY95" s="75">
        <f t="array" ref="AY95">IF(ISERROR(index(Com_AllFuels_SEDS_2022_TBtus!$P$3:$P$53,match($B82&amp;AY$2,Com_AllFuels_SEDS_2022_TBtus!$B$3:$B$53&amp;Com_AllFuels_SEDS_2022_TBtus!$A$3:$A$53,0))),0,(index(Com_AllFuels_SEDS_2022_TBtus!$P$3:$P$53,match($B82&amp;AY$2,Com_AllFuels_SEDS_2022_TBtus!$B$3:$B$53&amp;Com_AllFuels_SEDS_2022_TBtus!$A$3:$A$53,0))))</f>
        <v>0</v>
      </c>
      <c r="AZ95" s="75">
        <f t="array" ref="AZ95">IF(ISERROR(index(Com_AllFuels_SEDS_2022_TBtus!$P$3:$P$53,match($B82&amp;AZ$2,Com_AllFuels_SEDS_2022_TBtus!$B$3:$B$53&amp;Com_AllFuels_SEDS_2022_TBtus!$A$3:$A$53,0))),0,(index(Com_AllFuels_SEDS_2022_TBtus!$P$3:$P$53,match($B82&amp;AZ$2,Com_AllFuels_SEDS_2022_TBtus!$B$3:$B$53&amp;Com_AllFuels_SEDS_2022_TBtus!$A$3:$A$53,0))))</f>
        <v>0</v>
      </c>
      <c r="BA95" s="75">
        <f t="array" ref="BA95">IF(ISERROR(index(Com_AllFuels_SEDS_2022_TBtus!$P$3:$P$53,match($B82&amp;BA$2,Com_AllFuels_SEDS_2022_TBtus!$B$3:$B$53&amp;Com_AllFuels_SEDS_2022_TBtus!$A$3:$A$53,0))),0,(index(Com_AllFuels_SEDS_2022_TBtus!$P$3:$P$53,match($B82&amp;BA$2,Com_AllFuels_SEDS_2022_TBtus!$B$3:$B$53&amp;Com_AllFuels_SEDS_2022_TBtus!$A$3:$A$53,0))))</f>
        <v>0</v>
      </c>
      <c r="BB95" s="74">
        <f t="shared" ref="BB95:BB104" si="15">sum(C95:BA95)</f>
        <v>503.6</v>
      </c>
    </row>
    <row r="96" ht="15.75" customHeight="1">
      <c r="A96" s="78"/>
      <c r="B96" s="74">
        <v>2.0</v>
      </c>
      <c r="C96" s="75">
        <f t="array" ref="C96">IF(ISERROR(index(Com_AllFuels_SEDS_2022_TBtus!$P$3:$P$53,match($B83&amp;C$2,Com_AllFuels_SEDS_2022_TBtus!$B$3:$B$53&amp;Com_AllFuels_SEDS_2022_TBtus!$A$3:$A$53,0))),0,(index(Com_AllFuels_SEDS_2022_TBtus!$P$3:$P$53,match($B83&amp;C$2,Com_AllFuels_SEDS_2022_TBtus!$B$3:$B$53&amp;Com_AllFuels_SEDS_2022_TBtus!$A$3:$A$53,0))))</f>
        <v>0</v>
      </c>
      <c r="D96" s="75">
        <f t="array" ref="D96">IF(ISERROR(index(Com_AllFuels_SEDS_2022_TBtus!$P$3:$P$53,match($B83&amp;D$2,Com_AllFuels_SEDS_2022_TBtus!$B$3:$B$53&amp;Com_AllFuels_SEDS_2022_TBtus!$A$3:$A$53,0))),0,(index(Com_AllFuels_SEDS_2022_TBtus!$P$3:$P$53,match($B83&amp;D$2,Com_AllFuels_SEDS_2022_TBtus!$B$3:$B$53&amp;Com_AllFuels_SEDS_2022_TBtus!$A$3:$A$53,0))))</f>
        <v>0</v>
      </c>
      <c r="E96" s="75">
        <f t="array" ref="E96">IF(ISERROR(index(Com_AllFuels_SEDS_2022_TBtus!$P$3:$P$53,match($B83&amp;E$2,Com_AllFuels_SEDS_2022_TBtus!$B$3:$B$53&amp;Com_AllFuels_SEDS_2022_TBtus!$A$3:$A$53,0))),0,(index(Com_AllFuels_SEDS_2022_TBtus!$P$3:$P$53,match($B83&amp;E$2,Com_AllFuels_SEDS_2022_TBtus!$B$3:$B$53&amp;Com_AllFuels_SEDS_2022_TBtus!$A$3:$A$53,0))))</f>
        <v>0</v>
      </c>
      <c r="F96" s="75">
        <f t="array" ref="F96">IF(ISERROR(index(Com_AllFuels_SEDS_2022_TBtus!$P$3:$P$53,match($B83&amp;F$2,Com_AllFuels_SEDS_2022_TBtus!$B$3:$B$53&amp;Com_AllFuels_SEDS_2022_TBtus!$A$3:$A$53,0))),0,(index(Com_AllFuels_SEDS_2022_TBtus!$P$3:$P$53,match($B83&amp;F$2,Com_AllFuels_SEDS_2022_TBtus!$B$3:$B$53&amp;Com_AllFuels_SEDS_2022_TBtus!$A$3:$A$53,0))))</f>
        <v>0</v>
      </c>
      <c r="G96" s="75">
        <f t="array" ref="G96">IF(ISERROR(index(Com_AllFuels_SEDS_2022_TBtus!$P$3:$P$53,match($B83&amp;G$2,Com_AllFuels_SEDS_2022_TBtus!$B$3:$B$53&amp;Com_AllFuels_SEDS_2022_TBtus!$A$3:$A$53,0))),0,(index(Com_AllFuels_SEDS_2022_TBtus!$P$3:$P$53,match($B83&amp;G$2,Com_AllFuels_SEDS_2022_TBtus!$B$3:$B$53&amp;Com_AllFuels_SEDS_2022_TBtus!$A$3:$A$53,0))))</f>
        <v>0</v>
      </c>
      <c r="H96" s="75">
        <f t="array" ref="H96">IF(ISERROR(index(Com_AllFuels_SEDS_2022_TBtus!$P$3:$P$53,match($B83&amp;H$2,Com_AllFuels_SEDS_2022_TBtus!$B$3:$B$53&amp;Com_AllFuels_SEDS_2022_TBtus!$A$3:$A$53,0))),0,(index(Com_AllFuels_SEDS_2022_TBtus!$P$3:$P$53,match($B83&amp;H$2,Com_AllFuels_SEDS_2022_TBtus!$B$3:$B$53&amp;Com_AllFuels_SEDS_2022_TBtus!$A$3:$A$53,0))))</f>
        <v>0</v>
      </c>
      <c r="I96" s="75">
        <f t="array" ref="I96">IF(ISERROR(index(Com_AllFuels_SEDS_2022_TBtus!$P$3:$P$53,match($B83&amp;I$2,Com_AllFuels_SEDS_2022_TBtus!$B$3:$B$53&amp;Com_AllFuels_SEDS_2022_TBtus!$A$3:$A$53,0))),0,(index(Com_AllFuels_SEDS_2022_TBtus!$P$3:$P$53,match($B83&amp;I$2,Com_AllFuels_SEDS_2022_TBtus!$B$3:$B$53&amp;Com_AllFuels_SEDS_2022_TBtus!$A$3:$A$53,0))))</f>
        <v>0</v>
      </c>
      <c r="J96" s="75">
        <f t="array" ref="J96">IF(ISERROR(index(Com_AllFuels_SEDS_2022_TBtus!$P$3:$P$53,match($B83&amp;J$2,Com_AllFuels_SEDS_2022_TBtus!$B$3:$B$53&amp;Com_AllFuels_SEDS_2022_TBtus!$A$3:$A$53,0))),0,(index(Com_AllFuels_SEDS_2022_TBtus!$P$3:$P$53,match($B83&amp;J$2,Com_AllFuels_SEDS_2022_TBtus!$B$3:$B$53&amp;Com_AllFuels_SEDS_2022_TBtus!$A$3:$A$53,0))))</f>
        <v>0</v>
      </c>
      <c r="K96" s="75">
        <f t="array" ref="K96">IF(ISERROR(index(Com_AllFuels_SEDS_2022_TBtus!$P$3:$P$53,match($B83&amp;K$2,Com_AllFuels_SEDS_2022_TBtus!$B$3:$B$53&amp;Com_AllFuels_SEDS_2022_TBtus!$A$3:$A$53,0))),0,(index(Com_AllFuels_SEDS_2022_TBtus!$P$3:$P$53,match($B83&amp;K$2,Com_AllFuels_SEDS_2022_TBtus!$B$3:$B$53&amp;Com_AllFuels_SEDS_2022_TBtus!$A$3:$A$53,0))))</f>
        <v>0</v>
      </c>
      <c r="L96" s="75">
        <f t="array" ref="L96">IF(ISERROR(index(Com_AllFuels_SEDS_2022_TBtus!$P$3:$P$53,match($B83&amp;L$2,Com_AllFuels_SEDS_2022_TBtus!$B$3:$B$53&amp;Com_AllFuels_SEDS_2022_TBtus!$A$3:$A$53,0))),0,(index(Com_AllFuels_SEDS_2022_TBtus!$P$3:$P$53,match($B83&amp;L$2,Com_AllFuels_SEDS_2022_TBtus!$B$3:$B$53&amp;Com_AllFuels_SEDS_2022_TBtus!$A$3:$A$53,0))))</f>
        <v>0</v>
      </c>
      <c r="M96" s="75">
        <f t="array" ref="M96">IF(ISERROR(index(Com_AllFuels_SEDS_2022_TBtus!$P$3:$P$53,match($B83&amp;M$2,Com_AllFuels_SEDS_2022_TBtus!$B$3:$B$53&amp;Com_AllFuels_SEDS_2022_TBtus!$A$3:$A$53,0))),0,(index(Com_AllFuels_SEDS_2022_TBtus!$P$3:$P$53,match($B83&amp;M$2,Com_AllFuels_SEDS_2022_TBtus!$B$3:$B$53&amp;Com_AllFuels_SEDS_2022_TBtus!$A$3:$A$53,0))))</f>
        <v>0</v>
      </c>
      <c r="N96" s="75">
        <f t="array" ref="N96">IF(ISERROR(index(Com_AllFuels_SEDS_2022_TBtus!$P$3:$P$53,match($B83&amp;N$2,Com_AllFuels_SEDS_2022_TBtus!$B$3:$B$53&amp;Com_AllFuels_SEDS_2022_TBtus!$A$3:$A$53,0))),0,(index(Com_AllFuels_SEDS_2022_TBtus!$P$3:$P$53,match($B83&amp;N$2,Com_AllFuels_SEDS_2022_TBtus!$B$3:$B$53&amp;Com_AllFuels_SEDS_2022_TBtus!$A$3:$A$53,0))))</f>
        <v>0</v>
      </c>
      <c r="O96" s="75">
        <f t="array" ref="O96">IF(ISERROR(index(Com_AllFuels_SEDS_2022_TBtus!$P$3:$P$53,match($B83&amp;O$2,Com_AllFuels_SEDS_2022_TBtus!$B$3:$B$53&amp;Com_AllFuels_SEDS_2022_TBtus!$A$3:$A$53,0))),0,(index(Com_AllFuels_SEDS_2022_TBtus!$P$3:$P$53,match($B83&amp;O$2,Com_AllFuels_SEDS_2022_TBtus!$B$3:$B$53&amp;Com_AllFuels_SEDS_2022_TBtus!$A$3:$A$53,0))))</f>
        <v>0</v>
      </c>
      <c r="P96" s="75">
        <f t="array" ref="P96">IF(ISERROR(index(Com_AllFuels_SEDS_2022_TBtus!$P$3:$P$53,match($B83&amp;P$2,Com_AllFuels_SEDS_2022_TBtus!$B$3:$B$53&amp;Com_AllFuels_SEDS_2022_TBtus!$A$3:$A$53,0))),0,(index(Com_AllFuels_SEDS_2022_TBtus!$P$3:$P$53,match($B83&amp;P$2,Com_AllFuels_SEDS_2022_TBtus!$B$3:$B$53&amp;Com_AllFuels_SEDS_2022_TBtus!$A$3:$A$53,0))))</f>
        <v>0</v>
      </c>
      <c r="Q96" s="75">
        <f t="array" ref="Q96">IF(ISERROR(index(Com_AllFuels_SEDS_2022_TBtus!$P$3:$P$53,match($B83&amp;Q$2,Com_AllFuels_SEDS_2022_TBtus!$B$3:$B$53&amp;Com_AllFuels_SEDS_2022_TBtus!$A$3:$A$53,0))),0,(index(Com_AllFuels_SEDS_2022_TBtus!$P$3:$P$53,match($B83&amp;Q$2,Com_AllFuels_SEDS_2022_TBtus!$B$3:$B$53&amp;Com_AllFuels_SEDS_2022_TBtus!$A$3:$A$53,0))))</f>
        <v>0</v>
      </c>
      <c r="R96" s="75">
        <f t="array" ref="R96">IF(ISERROR(index(Com_AllFuels_SEDS_2022_TBtus!$P$3:$P$53,match($B83&amp;R$2,Com_AllFuels_SEDS_2022_TBtus!$B$3:$B$53&amp;Com_AllFuels_SEDS_2022_TBtus!$A$3:$A$53,0))),0,(index(Com_AllFuels_SEDS_2022_TBtus!$P$3:$P$53,match($B83&amp;R$2,Com_AllFuels_SEDS_2022_TBtus!$B$3:$B$53&amp;Com_AllFuels_SEDS_2022_TBtus!$A$3:$A$53,0))))</f>
        <v>0</v>
      </c>
      <c r="S96" s="75">
        <f t="array" ref="S96">IF(ISERROR(index(Com_AllFuels_SEDS_2022_TBtus!$P$3:$P$53,match($B83&amp;S$2,Com_AllFuels_SEDS_2022_TBtus!$B$3:$B$53&amp;Com_AllFuels_SEDS_2022_TBtus!$A$3:$A$53,0))),0,(index(Com_AllFuels_SEDS_2022_TBtus!$P$3:$P$53,match($B83&amp;S$2,Com_AllFuels_SEDS_2022_TBtus!$B$3:$B$53&amp;Com_AllFuels_SEDS_2022_TBtus!$A$3:$A$53,0))))</f>
        <v>0</v>
      </c>
      <c r="T96" s="75">
        <f t="array" ref="T96">IF(ISERROR(index(Com_AllFuels_SEDS_2022_TBtus!$P$3:$P$53,match($B83&amp;T$2,Com_AllFuels_SEDS_2022_TBtus!$B$3:$B$53&amp;Com_AllFuels_SEDS_2022_TBtus!$A$3:$A$53,0))),0,(index(Com_AllFuels_SEDS_2022_TBtus!$P$3:$P$53,match($B83&amp;T$2,Com_AllFuels_SEDS_2022_TBtus!$B$3:$B$53&amp;Com_AllFuels_SEDS_2022_TBtus!$A$3:$A$53,0))))</f>
        <v>0</v>
      </c>
      <c r="U96" s="75">
        <f t="array" ref="U96">IF(ISERROR(index(Com_AllFuels_SEDS_2022_TBtus!$P$3:$P$53,match($B83&amp;U$2,Com_AllFuels_SEDS_2022_TBtus!$B$3:$B$53&amp;Com_AllFuels_SEDS_2022_TBtus!$A$3:$A$53,0))),0,(index(Com_AllFuels_SEDS_2022_TBtus!$P$3:$P$53,match($B83&amp;U$2,Com_AllFuels_SEDS_2022_TBtus!$B$3:$B$53&amp;Com_AllFuels_SEDS_2022_TBtus!$A$3:$A$53,0))))</f>
        <v>0</v>
      </c>
      <c r="V96" s="75">
        <f t="array" ref="V96">IF(ISERROR(index(Com_AllFuels_SEDS_2022_TBtus!$P$3:$P$53,match($B83&amp;V$2,Com_AllFuels_SEDS_2022_TBtus!$B$3:$B$53&amp;Com_AllFuels_SEDS_2022_TBtus!$A$3:$A$53,0))),0,(index(Com_AllFuels_SEDS_2022_TBtus!$P$3:$P$53,match($B83&amp;V$2,Com_AllFuels_SEDS_2022_TBtus!$B$3:$B$53&amp;Com_AllFuels_SEDS_2022_TBtus!$A$3:$A$53,0))))</f>
        <v>0</v>
      </c>
      <c r="W96" s="75">
        <f t="array" ref="W96">IF(ISERROR(index(Com_AllFuels_SEDS_2022_TBtus!$P$3:$P$53,match($B83&amp;W$2,Com_AllFuels_SEDS_2022_TBtus!$B$3:$B$53&amp;Com_AllFuels_SEDS_2022_TBtus!$A$3:$A$53,0))),0,(index(Com_AllFuels_SEDS_2022_TBtus!$P$3:$P$53,match($B83&amp;W$2,Com_AllFuels_SEDS_2022_TBtus!$B$3:$B$53&amp;Com_AllFuels_SEDS_2022_TBtus!$A$3:$A$53,0))))</f>
        <v>0</v>
      </c>
      <c r="X96" s="75">
        <f t="array" ref="X96">IF(ISERROR(index(Com_AllFuels_SEDS_2022_TBtus!$P$3:$P$53,match($B83&amp;X$2,Com_AllFuels_SEDS_2022_TBtus!$B$3:$B$53&amp;Com_AllFuels_SEDS_2022_TBtus!$A$3:$A$53,0))),0,(index(Com_AllFuels_SEDS_2022_TBtus!$P$3:$P$53,match($B83&amp;X$2,Com_AllFuels_SEDS_2022_TBtus!$B$3:$B$53&amp;Com_AllFuels_SEDS_2022_TBtus!$A$3:$A$53,0))))</f>
        <v>0</v>
      </c>
      <c r="Y96" s="75">
        <f t="array" ref="Y96">IF(ISERROR(index(Com_AllFuels_SEDS_2022_TBtus!$P$3:$P$53,match($B83&amp;Y$2,Com_AllFuels_SEDS_2022_TBtus!$B$3:$B$53&amp;Com_AllFuels_SEDS_2022_TBtus!$A$3:$A$53,0))),0,(index(Com_AllFuels_SEDS_2022_TBtus!$P$3:$P$53,match($B83&amp;Y$2,Com_AllFuels_SEDS_2022_TBtus!$B$3:$B$53&amp;Com_AllFuels_SEDS_2022_TBtus!$A$3:$A$53,0))))</f>
        <v>0</v>
      </c>
      <c r="Z96" s="75">
        <f t="array" ref="Z96">IF(ISERROR(index(Com_AllFuels_SEDS_2022_TBtus!$P$3:$P$53,match($B83&amp;Z$2,Com_AllFuels_SEDS_2022_TBtus!$B$3:$B$53&amp;Com_AllFuels_SEDS_2022_TBtus!$A$3:$A$53,0))),0,(index(Com_AllFuels_SEDS_2022_TBtus!$P$3:$P$53,match($B83&amp;Z$2,Com_AllFuels_SEDS_2022_TBtus!$B$3:$B$53&amp;Com_AllFuels_SEDS_2022_TBtus!$A$3:$A$53,0))))</f>
        <v>0</v>
      </c>
      <c r="AA96" s="75">
        <f t="array" ref="AA96">IF(ISERROR(index(Com_AllFuels_SEDS_2022_TBtus!$P$3:$P$53,match($B83&amp;AA$2,Com_AllFuels_SEDS_2022_TBtus!$B$3:$B$53&amp;Com_AllFuels_SEDS_2022_TBtus!$A$3:$A$53,0))),0,(index(Com_AllFuels_SEDS_2022_TBtus!$P$3:$P$53,match($B83&amp;AA$2,Com_AllFuels_SEDS_2022_TBtus!$B$3:$B$53&amp;Com_AllFuels_SEDS_2022_TBtus!$A$3:$A$53,0))))</f>
        <v>0</v>
      </c>
      <c r="AB96" s="75">
        <f t="array" ref="AB96">IF(ISERROR(index(Com_AllFuels_SEDS_2022_TBtus!$P$3:$P$53,match($B83&amp;AB$2,Com_AllFuels_SEDS_2022_TBtus!$B$3:$B$53&amp;Com_AllFuels_SEDS_2022_TBtus!$A$3:$A$53,0))),0,(index(Com_AllFuels_SEDS_2022_TBtus!$P$3:$P$53,match($B83&amp;AB$2,Com_AllFuels_SEDS_2022_TBtus!$B$3:$B$53&amp;Com_AllFuels_SEDS_2022_TBtus!$A$3:$A$53,0))))</f>
        <v>0</v>
      </c>
      <c r="AC96" s="75">
        <f t="array" ref="AC96">IF(ISERROR(index(Com_AllFuels_SEDS_2022_TBtus!$P$3:$P$53,match($B83&amp;AC$2,Com_AllFuels_SEDS_2022_TBtus!$B$3:$B$53&amp;Com_AllFuels_SEDS_2022_TBtus!$A$3:$A$53,0))),0,(index(Com_AllFuels_SEDS_2022_TBtus!$P$3:$P$53,match($B83&amp;AC$2,Com_AllFuels_SEDS_2022_TBtus!$B$3:$B$53&amp;Com_AllFuels_SEDS_2022_TBtus!$A$3:$A$53,0))))</f>
        <v>0</v>
      </c>
      <c r="AD96" s="75">
        <f t="array" ref="AD96">IF(ISERROR(index(Com_AllFuels_SEDS_2022_TBtus!$P$3:$P$53,match($B83&amp;AD$2,Com_AllFuels_SEDS_2022_TBtus!$B$3:$B$53&amp;Com_AllFuels_SEDS_2022_TBtus!$A$3:$A$53,0))),0,(index(Com_AllFuels_SEDS_2022_TBtus!$P$3:$P$53,match($B83&amp;AD$2,Com_AllFuels_SEDS_2022_TBtus!$B$3:$B$53&amp;Com_AllFuels_SEDS_2022_TBtus!$A$3:$A$53,0))))</f>
        <v>0</v>
      </c>
      <c r="AE96" s="75">
        <f t="array" ref="AE96">IF(ISERROR(index(Com_AllFuels_SEDS_2022_TBtus!$P$3:$P$53,match($B83&amp;AE$2,Com_AllFuels_SEDS_2022_TBtus!$B$3:$B$53&amp;Com_AllFuels_SEDS_2022_TBtus!$A$3:$A$53,0))),0,(index(Com_AllFuels_SEDS_2022_TBtus!$P$3:$P$53,match($B83&amp;AE$2,Com_AllFuels_SEDS_2022_TBtus!$B$3:$B$53&amp;Com_AllFuels_SEDS_2022_TBtus!$A$3:$A$53,0))))</f>
        <v>0</v>
      </c>
      <c r="AF96" s="75">
        <f t="array" ref="AF96">IF(ISERROR(index(Com_AllFuels_SEDS_2022_TBtus!$P$3:$P$53,match($B83&amp;AF$2,Com_AllFuels_SEDS_2022_TBtus!$B$3:$B$53&amp;Com_AllFuels_SEDS_2022_TBtus!$A$3:$A$53,0))),0,(index(Com_AllFuels_SEDS_2022_TBtus!$P$3:$P$53,match($B83&amp;AF$2,Com_AllFuels_SEDS_2022_TBtus!$B$3:$B$53&amp;Com_AllFuels_SEDS_2022_TBtus!$A$3:$A$53,0))))</f>
        <v>0</v>
      </c>
      <c r="AG96" s="75">
        <f t="array" ref="AG96">IF(ISERROR(index(Com_AllFuels_SEDS_2022_TBtus!$P$3:$P$53,match($B83&amp;AG$2,Com_AllFuels_SEDS_2022_TBtus!$B$3:$B$53&amp;Com_AllFuels_SEDS_2022_TBtus!$A$3:$A$53,0))),0,(index(Com_AllFuels_SEDS_2022_TBtus!$P$3:$P$53,match($B83&amp;AG$2,Com_AllFuels_SEDS_2022_TBtus!$B$3:$B$53&amp;Com_AllFuels_SEDS_2022_TBtus!$A$3:$A$53,0))))</f>
        <v>324.1</v>
      </c>
      <c r="AH96" s="75">
        <f t="array" ref="AH96">IF(ISERROR(index(Com_AllFuels_SEDS_2022_TBtus!$P$3:$P$53,match($B83&amp;AH$2,Com_AllFuels_SEDS_2022_TBtus!$B$3:$B$53&amp;Com_AllFuels_SEDS_2022_TBtus!$A$3:$A$53,0))),0,(index(Com_AllFuels_SEDS_2022_TBtus!$P$3:$P$53,match($B83&amp;AH$2,Com_AllFuels_SEDS_2022_TBtus!$B$3:$B$53&amp;Com_AllFuels_SEDS_2022_TBtus!$A$3:$A$53,0))))</f>
        <v>0</v>
      </c>
      <c r="AI96" s="81">
        <f t="array" ref="AI96">IF(ISERROR(index(Com_AllFuels_SEDS_2022_TBtus!$P$3:$P$53,match($B83&amp;AI$2,Com_AllFuels_SEDS_2022_TBtus!$B$3:$B$53&amp;Com_AllFuels_SEDS_2022_TBtus!$A$3:$A$53,0))),0,(index(Com_AllFuels_SEDS_2022_TBtus!$P$3:$P$53,match($B83&amp;AI$2,Com_AllFuels_SEDS_2022_TBtus!$B$3:$B$53&amp;Com_AllFuels_SEDS_2022_TBtus!$A$3:$A$53,0))))</f>
        <v>666.2</v>
      </c>
      <c r="AJ96" s="75">
        <f t="array" ref="AJ96">IF(ISERROR(index(Com_AllFuels_SEDS_2022_TBtus!$P$3:$P$53,match($B83&amp;AJ$2,Com_AllFuels_SEDS_2022_TBtus!$B$3:$B$53&amp;Com_AllFuels_SEDS_2022_TBtus!$A$3:$A$53,0))),0,(index(Com_AllFuels_SEDS_2022_TBtus!$P$3:$P$53,match($B83&amp;AJ$2,Com_AllFuels_SEDS_2022_TBtus!$B$3:$B$53&amp;Com_AllFuels_SEDS_2022_TBtus!$A$3:$A$53,0))))</f>
        <v>0</v>
      </c>
      <c r="AK96" s="75">
        <f t="array" ref="AK96">IF(ISERROR(index(Com_AllFuels_SEDS_2022_TBtus!$P$3:$P$53,match($B83&amp;AK$2,Com_AllFuels_SEDS_2022_TBtus!$B$3:$B$53&amp;Com_AllFuels_SEDS_2022_TBtus!$A$3:$A$53,0))),0,(index(Com_AllFuels_SEDS_2022_TBtus!$P$3:$P$53,match($B83&amp;AK$2,Com_AllFuels_SEDS_2022_TBtus!$B$3:$B$53&amp;Com_AllFuels_SEDS_2022_TBtus!$A$3:$A$53,0))))</f>
        <v>0</v>
      </c>
      <c r="AL96" s="75">
        <f t="array" ref="AL96">IF(ISERROR(index(Com_AllFuels_SEDS_2022_TBtus!$P$3:$P$53,match($B83&amp;AL$2,Com_AllFuels_SEDS_2022_TBtus!$B$3:$B$53&amp;Com_AllFuels_SEDS_2022_TBtus!$A$3:$A$53,0))),0,(index(Com_AllFuels_SEDS_2022_TBtus!$P$3:$P$53,match($B83&amp;AL$2,Com_AllFuels_SEDS_2022_TBtus!$B$3:$B$53&amp;Com_AllFuels_SEDS_2022_TBtus!$A$3:$A$53,0))))</f>
        <v>0</v>
      </c>
      <c r="AM96" s="75">
        <f t="array" ref="AM96">IF(ISERROR(index(Com_AllFuels_SEDS_2022_TBtus!$P$3:$P$53,match($B83&amp;AM$2,Com_AllFuels_SEDS_2022_TBtus!$B$3:$B$53&amp;Com_AllFuels_SEDS_2022_TBtus!$A$3:$A$53,0))),0,(index(Com_AllFuels_SEDS_2022_TBtus!$P$3:$P$53,match($B83&amp;AM$2,Com_AllFuels_SEDS_2022_TBtus!$B$3:$B$53&amp;Com_AllFuels_SEDS_2022_TBtus!$A$3:$A$53,0))))</f>
        <v>0</v>
      </c>
      <c r="AN96" s="75">
        <f t="array" ref="AN96">IF(ISERROR(index(Com_AllFuels_SEDS_2022_TBtus!$P$3:$P$53,match($B83&amp;AN$2,Com_AllFuels_SEDS_2022_TBtus!$B$3:$B$53&amp;Com_AllFuels_SEDS_2022_TBtus!$A$3:$A$53,0))),0,(index(Com_AllFuels_SEDS_2022_TBtus!$P$3:$P$53,match($B83&amp;AN$2,Com_AllFuels_SEDS_2022_TBtus!$B$3:$B$53&amp;Com_AllFuels_SEDS_2022_TBtus!$A$3:$A$53,0))))</f>
        <v>0</v>
      </c>
      <c r="AO96" s="75">
        <f t="array" ref="AO96">IF(ISERROR(index(Com_AllFuels_SEDS_2022_TBtus!$P$3:$P$53,match($B83&amp;AO$2,Com_AllFuels_SEDS_2022_TBtus!$B$3:$B$53&amp;Com_AllFuels_SEDS_2022_TBtus!$A$3:$A$53,0))),0,(index(Com_AllFuels_SEDS_2022_TBtus!$P$3:$P$53,match($B83&amp;AO$2,Com_AllFuels_SEDS_2022_TBtus!$B$3:$B$53&amp;Com_AllFuels_SEDS_2022_TBtus!$A$3:$A$53,0))))</f>
        <v>353</v>
      </c>
      <c r="AP96" s="75">
        <f t="array" ref="AP96">IF(ISERROR(index(Com_AllFuels_SEDS_2022_TBtus!$P$3:$P$53,match($B83&amp;AP$2,Com_AllFuels_SEDS_2022_TBtus!$B$3:$B$53&amp;Com_AllFuels_SEDS_2022_TBtus!$A$3:$A$53,0))),0,(index(Com_AllFuels_SEDS_2022_TBtus!$P$3:$P$53,match($B83&amp;AP$2,Com_AllFuels_SEDS_2022_TBtus!$B$3:$B$53&amp;Com_AllFuels_SEDS_2022_TBtus!$A$3:$A$53,0))))</f>
        <v>0</v>
      </c>
      <c r="AQ96" s="75">
        <f t="array" ref="AQ96">IF(ISERROR(index(Com_AllFuels_SEDS_2022_TBtus!$P$3:$P$53,match($B83&amp;AQ$2,Com_AllFuels_SEDS_2022_TBtus!$B$3:$B$53&amp;Com_AllFuels_SEDS_2022_TBtus!$A$3:$A$53,0))),0,(index(Com_AllFuels_SEDS_2022_TBtus!$P$3:$P$53,match($B83&amp;AQ$2,Com_AllFuels_SEDS_2022_TBtus!$B$3:$B$53&amp;Com_AllFuels_SEDS_2022_TBtus!$A$3:$A$53,0))))</f>
        <v>0</v>
      </c>
      <c r="AR96" s="75">
        <f t="array" ref="AR96">IF(ISERROR(index(Com_AllFuels_SEDS_2022_TBtus!$P$3:$P$53,match($B83&amp;AR$2,Com_AllFuels_SEDS_2022_TBtus!$B$3:$B$53&amp;Com_AllFuels_SEDS_2022_TBtus!$A$3:$A$53,0))),0,(index(Com_AllFuels_SEDS_2022_TBtus!$P$3:$P$53,match($B83&amp;AR$2,Com_AllFuels_SEDS_2022_TBtus!$B$3:$B$53&amp;Com_AllFuels_SEDS_2022_TBtus!$A$3:$A$53,0))))</f>
        <v>0</v>
      </c>
      <c r="AS96" s="75">
        <f t="array" ref="AS96">IF(ISERROR(index(Com_AllFuels_SEDS_2022_TBtus!$P$3:$P$53,match($B83&amp;AS$2,Com_AllFuels_SEDS_2022_TBtus!$B$3:$B$53&amp;Com_AllFuels_SEDS_2022_TBtus!$A$3:$A$53,0))),0,(index(Com_AllFuels_SEDS_2022_TBtus!$P$3:$P$53,match($B83&amp;AS$2,Com_AllFuels_SEDS_2022_TBtus!$B$3:$B$53&amp;Com_AllFuels_SEDS_2022_TBtus!$A$3:$A$53,0))))</f>
        <v>0</v>
      </c>
      <c r="AT96" s="75">
        <f t="array" ref="AT96">IF(ISERROR(index(Com_AllFuels_SEDS_2022_TBtus!$P$3:$P$53,match($B83&amp;AT$2,Com_AllFuels_SEDS_2022_TBtus!$B$3:$B$53&amp;Com_AllFuels_SEDS_2022_TBtus!$A$3:$A$53,0))),0,(index(Com_AllFuels_SEDS_2022_TBtus!$P$3:$P$53,match($B83&amp;AT$2,Com_AllFuels_SEDS_2022_TBtus!$B$3:$B$53&amp;Com_AllFuels_SEDS_2022_TBtus!$A$3:$A$53,0))))</f>
        <v>0</v>
      </c>
      <c r="AU96" s="75">
        <f t="array" ref="AU96">IF(ISERROR(index(Com_AllFuels_SEDS_2022_TBtus!$P$3:$P$53,match($B83&amp;AU$2,Com_AllFuels_SEDS_2022_TBtus!$B$3:$B$53&amp;Com_AllFuels_SEDS_2022_TBtus!$A$3:$A$53,0))),0,(index(Com_AllFuels_SEDS_2022_TBtus!$P$3:$P$53,match($B83&amp;AU$2,Com_AllFuels_SEDS_2022_TBtus!$B$3:$B$53&amp;Com_AllFuels_SEDS_2022_TBtus!$A$3:$A$53,0))))</f>
        <v>0</v>
      </c>
      <c r="AV96" s="75">
        <f t="array" ref="AV96">IF(ISERROR(index(Com_AllFuels_SEDS_2022_TBtus!$P$3:$P$53,match($B83&amp;AV$2,Com_AllFuels_SEDS_2022_TBtus!$B$3:$B$53&amp;Com_AllFuels_SEDS_2022_TBtus!$A$3:$A$53,0))),0,(index(Com_AllFuels_SEDS_2022_TBtus!$P$3:$P$53,match($B83&amp;AV$2,Com_AllFuels_SEDS_2022_TBtus!$B$3:$B$53&amp;Com_AllFuels_SEDS_2022_TBtus!$A$3:$A$53,0))))</f>
        <v>0</v>
      </c>
      <c r="AW96" s="75">
        <f t="array" ref="AW96">IF(ISERROR(index(Com_AllFuels_SEDS_2022_TBtus!$P$3:$P$53,match($B83&amp;AW$2,Com_AllFuels_SEDS_2022_TBtus!$B$3:$B$53&amp;Com_AllFuels_SEDS_2022_TBtus!$A$3:$A$53,0))),0,(index(Com_AllFuels_SEDS_2022_TBtus!$P$3:$P$53,match($B83&amp;AW$2,Com_AllFuels_SEDS_2022_TBtus!$B$3:$B$53&amp;Com_AllFuels_SEDS_2022_TBtus!$A$3:$A$53,0))))</f>
        <v>0</v>
      </c>
      <c r="AX96" s="75">
        <f t="array" ref="AX96">IF(ISERROR(index(Com_AllFuels_SEDS_2022_TBtus!$P$3:$P$53,match($B83&amp;AX$2,Com_AllFuels_SEDS_2022_TBtus!$B$3:$B$53&amp;Com_AllFuels_SEDS_2022_TBtus!$A$3:$A$53,0))),0,(index(Com_AllFuels_SEDS_2022_TBtus!$P$3:$P$53,match($B83&amp;AX$2,Com_AllFuels_SEDS_2022_TBtus!$B$3:$B$53&amp;Com_AllFuels_SEDS_2022_TBtus!$A$3:$A$53,0))))</f>
        <v>0</v>
      </c>
      <c r="AY96" s="75">
        <f t="array" ref="AY96">IF(ISERROR(index(Com_AllFuels_SEDS_2022_TBtus!$P$3:$P$53,match($B83&amp;AY$2,Com_AllFuels_SEDS_2022_TBtus!$B$3:$B$53&amp;Com_AllFuels_SEDS_2022_TBtus!$A$3:$A$53,0))),0,(index(Com_AllFuels_SEDS_2022_TBtus!$P$3:$P$53,match($B83&amp;AY$2,Com_AllFuels_SEDS_2022_TBtus!$B$3:$B$53&amp;Com_AllFuels_SEDS_2022_TBtus!$A$3:$A$53,0))))</f>
        <v>0</v>
      </c>
      <c r="AZ96" s="75">
        <f t="array" ref="AZ96">IF(ISERROR(index(Com_AllFuels_SEDS_2022_TBtus!$P$3:$P$53,match($B83&amp;AZ$2,Com_AllFuels_SEDS_2022_TBtus!$B$3:$B$53&amp;Com_AllFuels_SEDS_2022_TBtus!$A$3:$A$53,0))),0,(index(Com_AllFuels_SEDS_2022_TBtus!$P$3:$P$53,match($B83&amp;AZ$2,Com_AllFuels_SEDS_2022_TBtus!$B$3:$B$53&amp;Com_AllFuels_SEDS_2022_TBtus!$A$3:$A$53,0))))</f>
        <v>0</v>
      </c>
      <c r="BA96" s="75">
        <f t="array" ref="BA96">IF(ISERROR(index(Com_AllFuels_SEDS_2022_TBtus!$P$3:$P$53,match($B83&amp;BA$2,Com_AllFuels_SEDS_2022_TBtus!$B$3:$B$53&amp;Com_AllFuels_SEDS_2022_TBtus!$A$3:$A$53,0))),0,(index(Com_AllFuels_SEDS_2022_TBtus!$P$3:$P$53,match($B83&amp;BA$2,Com_AllFuels_SEDS_2022_TBtus!$B$3:$B$53&amp;Com_AllFuels_SEDS_2022_TBtus!$A$3:$A$53,0))))</f>
        <v>0</v>
      </c>
      <c r="BB96" s="74">
        <f t="shared" si="15"/>
        <v>1343.3</v>
      </c>
    </row>
    <row r="97" ht="15.75" customHeight="1">
      <c r="A97" s="78"/>
      <c r="B97" s="74">
        <v>3.0</v>
      </c>
      <c r="C97" s="75">
        <f t="array" ref="C97">IF(ISERROR(index(Com_AllFuels_SEDS_2022_TBtus!$P$3:$P$53,match($B84&amp;C$2,Com_AllFuels_SEDS_2022_TBtus!$B$3:$B$53&amp;Com_AllFuels_SEDS_2022_TBtus!$A$3:$A$53,0))),0,(index(Com_AllFuels_SEDS_2022_TBtus!$P$3:$P$53,match($B84&amp;C$2,Com_AllFuels_SEDS_2022_TBtus!$B$3:$B$53&amp;Com_AllFuels_SEDS_2022_TBtus!$A$3:$A$53,0))))</f>
        <v>0</v>
      </c>
      <c r="D97" s="75">
        <f t="array" ref="D97">IF(ISERROR(index(Com_AllFuels_SEDS_2022_TBtus!$P$3:$P$53,match($B84&amp;D$2,Com_AllFuels_SEDS_2022_TBtus!$B$3:$B$53&amp;Com_AllFuels_SEDS_2022_TBtus!$A$3:$A$53,0))),0,(index(Com_AllFuels_SEDS_2022_TBtus!$P$3:$P$53,match($B84&amp;D$2,Com_AllFuels_SEDS_2022_TBtus!$B$3:$B$53&amp;Com_AllFuels_SEDS_2022_TBtus!$A$3:$A$53,0))))</f>
        <v>0</v>
      </c>
      <c r="E97" s="75">
        <f t="array" ref="E97">IF(ISERROR(index(Com_AllFuels_SEDS_2022_TBtus!$P$3:$P$53,match($B84&amp;E$2,Com_AllFuels_SEDS_2022_TBtus!$B$3:$B$53&amp;Com_AllFuels_SEDS_2022_TBtus!$A$3:$A$53,0))),0,(index(Com_AllFuels_SEDS_2022_TBtus!$P$3:$P$53,match($B84&amp;E$2,Com_AllFuels_SEDS_2022_TBtus!$B$3:$B$53&amp;Com_AllFuels_SEDS_2022_TBtus!$A$3:$A$53,0))))</f>
        <v>0</v>
      </c>
      <c r="F97" s="75">
        <f t="array" ref="F97">IF(ISERROR(index(Com_AllFuels_SEDS_2022_TBtus!$P$3:$P$53,match($B84&amp;F$2,Com_AllFuels_SEDS_2022_TBtus!$B$3:$B$53&amp;Com_AllFuels_SEDS_2022_TBtus!$A$3:$A$53,0))),0,(index(Com_AllFuels_SEDS_2022_TBtus!$P$3:$P$53,match($B84&amp;F$2,Com_AllFuels_SEDS_2022_TBtus!$B$3:$B$53&amp;Com_AllFuels_SEDS_2022_TBtus!$A$3:$A$53,0))))</f>
        <v>0</v>
      </c>
      <c r="G97" s="75">
        <f t="array" ref="G97">IF(ISERROR(index(Com_AllFuels_SEDS_2022_TBtus!$P$3:$P$53,match($B84&amp;G$2,Com_AllFuels_SEDS_2022_TBtus!$B$3:$B$53&amp;Com_AllFuels_SEDS_2022_TBtus!$A$3:$A$53,0))),0,(index(Com_AllFuels_SEDS_2022_TBtus!$P$3:$P$53,match($B84&amp;G$2,Com_AllFuels_SEDS_2022_TBtus!$B$3:$B$53&amp;Com_AllFuels_SEDS_2022_TBtus!$A$3:$A$53,0))))</f>
        <v>0</v>
      </c>
      <c r="H97" s="75">
        <f t="array" ref="H97">IF(ISERROR(index(Com_AllFuels_SEDS_2022_TBtus!$P$3:$P$53,match($B84&amp;H$2,Com_AllFuels_SEDS_2022_TBtus!$B$3:$B$53&amp;Com_AllFuels_SEDS_2022_TBtus!$A$3:$A$53,0))),0,(index(Com_AllFuels_SEDS_2022_TBtus!$P$3:$P$53,match($B84&amp;H$2,Com_AllFuels_SEDS_2022_TBtus!$B$3:$B$53&amp;Com_AllFuels_SEDS_2022_TBtus!$A$3:$A$53,0))))</f>
        <v>0</v>
      </c>
      <c r="I97" s="75">
        <f t="array" ref="I97">IF(ISERROR(index(Com_AllFuels_SEDS_2022_TBtus!$P$3:$P$53,match($B84&amp;I$2,Com_AllFuels_SEDS_2022_TBtus!$B$3:$B$53&amp;Com_AllFuels_SEDS_2022_TBtus!$A$3:$A$53,0))),0,(index(Com_AllFuels_SEDS_2022_TBtus!$P$3:$P$53,match($B84&amp;I$2,Com_AllFuels_SEDS_2022_TBtus!$B$3:$B$53&amp;Com_AllFuels_SEDS_2022_TBtus!$A$3:$A$53,0))))</f>
        <v>0</v>
      </c>
      <c r="J97" s="75">
        <f t="array" ref="J97">IF(ISERROR(index(Com_AllFuels_SEDS_2022_TBtus!$P$3:$P$53,match($B84&amp;J$2,Com_AllFuels_SEDS_2022_TBtus!$B$3:$B$53&amp;Com_AllFuels_SEDS_2022_TBtus!$A$3:$A$53,0))),0,(index(Com_AllFuels_SEDS_2022_TBtus!$P$3:$P$53,match($B84&amp;J$2,Com_AllFuels_SEDS_2022_TBtus!$B$3:$B$53&amp;Com_AllFuels_SEDS_2022_TBtus!$A$3:$A$53,0))))</f>
        <v>0</v>
      </c>
      <c r="K97" s="75">
        <f t="array" ref="K97">IF(ISERROR(index(Com_AllFuels_SEDS_2022_TBtus!$P$3:$P$53,match($B84&amp;K$2,Com_AllFuels_SEDS_2022_TBtus!$B$3:$B$53&amp;Com_AllFuels_SEDS_2022_TBtus!$A$3:$A$53,0))),0,(index(Com_AllFuels_SEDS_2022_TBtus!$P$3:$P$53,match($B84&amp;K$2,Com_AllFuels_SEDS_2022_TBtus!$B$3:$B$53&amp;Com_AllFuels_SEDS_2022_TBtus!$A$3:$A$53,0))))</f>
        <v>0</v>
      </c>
      <c r="L97" s="75">
        <f t="array" ref="L97">IF(ISERROR(index(Com_AllFuels_SEDS_2022_TBtus!$P$3:$P$53,match($B84&amp;L$2,Com_AllFuels_SEDS_2022_TBtus!$B$3:$B$53&amp;Com_AllFuels_SEDS_2022_TBtus!$A$3:$A$53,0))),0,(index(Com_AllFuels_SEDS_2022_TBtus!$P$3:$P$53,match($B84&amp;L$2,Com_AllFuels_SEDS_2022_TBtus!$B$3:$B$53&amp;Com_AllFuels_SEDS_2022_TBtus!$A$3:$A$53,0))))</f>
        <v>0</v>
      </c>
      <c r="M97" s="75">
        <f t="array" ref="M97">IF(ISERROR(index(Com_AllFuels_SEDS_2022_TBtus!$P$3:$P$53,match($B84&amp;M$2,Com_AllFuels_SEDS_2022_TBtus!$B$3:$B$53&amp;Com_AllFuels_SEDS_2022_TBtus!$A$3:$A$53,0))),0,(index(Com_AllFuels_SEDS_2022_TBtus!$P$3:$P$53,match($B84&amp;M$2,Com_AllFuels_SEDS_2022_TBtus!$B$3:$B$53&amp;Com_AllFuels_SEDS_2022_TBtus!$A$3:$A$53,0))))</f>
        <v>0</v>
      </c>
      <c r="N97" s="75">
        <f t="array" ref="N97">IF(ISERROR(index(Com_AllFuels_SEDS_2022_TBtus!$P$3:$P$53,match($B84&amp;N$2,Com_AllFuels_SEDS_2022_TBtus!$B$3:$B$53&amp;Com_AllFuels_SEDS_2022_TBtus!$A$3:$A$53,0))),0,(index(Com_AllFuels_SEDS_2022_TBtus!$P$3:$P$53,match($B84&amp;N$2,Com_AllFuels_SEDS_2022_TBtus!$B$3:$B$53&amp;Com_AllFuels_SEDS_2022_TBtus!$A$3:$A$53,0))))</f>
        <v>0</v>
      </c>
      <c r="O97" s="75">
        <f t="array" ref="O97">IF(ISERROR(index(Com_AllFuels_SEDS_2022_TBtus!$P$3:$P$53,match($B84&amp;O$2,Com_AllFuels_SEDS_2022_TBtus!$B$3:$B$53&amp;Com_AllFuels_SEDS_2022_TBtus!$A$3:$A$53,0))),0,(index(Com_AllFuels_SEDS_2022_TBtus!$P$3:$P$53,match($B84&amp;O$2,Com_AllFuels_SEDS_2022_TBtus!$B$3:$B$53&amp;Com_AllFuels_SEDS_2022_TBtus!$A$3:$A$53,0))))</f>
        <v>0</v>
      </c>
      <c r="P97" s="75">
        <f t="array" ref="P97">IF(ISERROR(index(Com_AllFuels_SEDS_2022_TBtus!$P$3:$P$53,match($B84&amp;P$2,Com_AllFuels_SEDS_2022_TBtus!$B$3:$B$53&amp;Com_AllFuels_SEDS_2022_TBtus!$A$3:$A$53,0))),0,(index(Com_AllFuels_SEDS_2022_TBtus!$P$3:$P$53,match($B84&amp;P$2,Com_AllFuels_SEDS_2022_TBtus!$B$3:$B$53&amp;Com_AllFuels_SEDS_2022_TBtus!$A$3:$A$53,0))))</f>
        <v>446.3</v>
      </c>
      <c r="Q97" s="75">
        <f t="array" ref="Q97">IF(ISERROR(index(Com_AllFuels_SEDS_2022_TBtus!$P$3:$P$53,match($B84&amp;Q$2,Com_AllFuels_SEDS_2022_TBtus!$B$3:$B$53&amp;Com_AllFuels_SEDS_2022_TBtus!$A$3:$A$53,0))),0,(index(Com_AllFuels_SEDS_2022_TBtus!$P$3:$P$53,match($B84&amp;Q$2,Com_AllFuels_SEDS_2022_TBtus!$B$3:$B$53&amp;Com_AllFuels_SEDS_2022_TBtus!$A$3:$A$53,0))))</f>
        <v>205.2</v>
      </c>
      <c r="R97" s="75">
        <f t="array" ref="R97">IF(ISERROR(index(Com_AllFuels_SEDS_2022_TBtus!$P$3:$P$53,match($B84&amp;R$2,Com_AllFuels_SEDS_2022_TBtus!$B$3:$B$53&amp;Com_AllFuels_SEDS_2022_TBtus!$A$3:$A$53,0))),0,(index(Com_AllFuels_SEDS_2022_TBtus!$P$3:$P$53,match($B84&amp;R$2,Com_AllFuels_SEDS_2022_TBtus!$B$3:$B$53&amp;Com_AllFuels_SEDS_2022_TBtus!$A$3:$A$53,0))))</f>
        <v>0</v>
      </c>
      <c r="S97" s="75">
        <f t="array" ref="S97">IF(ISERROR(index(Com_AllFuels_SEDS_2022_TBtus!$P$3:$P$53,match($B84&amp;S$2,Com_AllFuels_SEDS_2022_TBtus!$B$3:$B$53&amp;Com_AllFuels_SEDS_2022_TBtus!$A$3:$A$53,0))),0,(index(Com_AllFuels_SEDS_2022_TBtus!$P$3:$P$53,match($B84&amp;S$2,Com_AllFuels_SEDS_2022_TBtus!$B$3:$B$53&amp;Com_AllFuels_SEDS_2022_TBtus!$A$3:$A$53,0))))</f>
        <v>0</v>
      </c>
      <c r="T97" s="75">
        <f t="array" ref="T97">IF(ISERROR(index(Com_AllFuels_SEDS_2022_TBtus!$P$3:$P$53,match($B84&amp;T$2,Com_AllFuels_SEDS_2022_TBtus!$B$3:$B$53&amp;Com_AllFuels_SEDS_2022_TBtus!$A$3:$A$53,0))),0,(index(Com_AllFuels_SEDS_2022_TBtus!$P$3:$P$53,match($B84&amp;T$2,Com_AllFuels_SEDS_2022_TBtus!$B$3:$B$53&amp;Com_AllFuels_SEDS_2022_TBtus!$A$3:$A$53,0))))</f>
        <v>0</v>
      </c>
      <c r="U97" s="75">
        <f t="array" ref="U97">IF(ISERROR(index(Com_AllFuels_SEDS_2022_TBtus!$P$3:$P$53,match($B84&amp;U$2,Com_AllFuels_SEDS_2022_TBtus!$B$3:$B$53&amp;Com_AllFuels_SEDS_2022_TBtus!$A$3:$A$53,0))),0,(index(Com_AllFuels_SEDS_2022_TBtus!$P$3:$P$53,match($B84&amp;U$2,Com_AllFuels_SEDS_2022_TBtus!$B$3:$B$53&amp;Com_AllFuels_SEDS_2022_TBtus!$A$3:$A$53,0))))</f>
        <v>0</v>
      </c>
      <c r="V97" s="75">
        <f t="array" ref="V97">IF(ISERROR(index(Com_AllFuels_SEDS_2022_TBtus!$P$3:$P$53,match($B84&amp;V$2,Com_AllFuels_SEDS_2022_TBtus!$B$3:$B$53&amp;Com_AllFuels_SEDS_2022_TBtus!$A$3:$A$53,0))),0,(index(Com_AllFuels_SEDS_2022_TBtus!$P$3:$P$53,match($B84&amp;V$2,Com_AllFuels_SEDS_2022_TBtus!$B$3:$B$53&amp;Com_AllFuels_SEDS_2022_TBtus!$A$3:$A$53,0))))</f>
        <v>0</v>
      </c>
      <c r="W97" s="75">
        <f t="array" ref="W97">IF(ISERROR(index(Com_AllFuels_SEDS_2022_TBtus!$P$3:$P$53,match($B84&amp;W$2,Com_AllFuels_SEDS_2022_TBtus!$B$3:$B$53&amp;Com_AllFuels_SEDS_2022_TBtus!$A$3:$A$53,0))),0,(index(Com_AllFuels_SEDS_2022_TBtus!$P$3:$P$53,match($B84&amp;W$2,Com_AllFuels_SEDS_2022_TBtus!$B$3:$B$53&amp;Com_AllFuels_SEDS_2022_TBtus!$A$3:$A$53,0))))</f>
        <v>0</v>
      </c>
      <c r="X97" s="75">
        <f t="array" ref="X97">IF(ISERROR(index(Com_AllFuels_SEDS_2022_TBtus!$P$3:$P$53,match($B84&amp;X$2,Com_AllFuels_SEDS_2022_TBtus!$B$3:$B$53&amp;Com_AllFuels_SEDS_2022_TBtus!$A$3:$A$53,0))),0,(index(Com_AllFuels_SEDS_2022_TBtus!$P$3:$P$53,match($B84&amp;X$2,Com_AllFuels_SEDS_2022_TBtus!$B$3:$B$53&amp;Com_AllFuels_SEDS_2022_TBtus!$A$3:$A$53,0))))</f>
        <v>0</v>
      </c>
      <c r="Y97" s="75">
        <f t="array" ref="Y97">IF(ISERROR(index(Com_AllFuels_SEDS_2022_TBtus!$P$3:$P$53,match($B84&amp;Y$2,Com_AllFuels_SEDS_2022_TBtus!$B$3:$B$53&amp;Com_AllFuels_SEDS_2022_TBtus!$A$3:$A$53,0))),0,(index(Com_AllFuels_SEDS_2022_TBtus!$P$3:$P$53,match($B84&amp;Y$2,Com_AllFuels_SEDS_2022_TBtus!$B$3:$B$53&amp;Com_AllFuels_SEDS_2022_TBtus!$A$3:$A$53,0))))</f>
        <v>348.3</v>
      </c>
      <c r="Z97" s="75">
        <f t="array" ref="Z97">IF(ISERROR(index(Com_AllFuels_SEDS_2022_TBtus!$P$3:$P$53,match($B84&amp;Z$2,Com_AllFuels_SEDS_2022_TBtus!$B$3:$B$53&amp;Com_AllFuels_SEDS_2022_TBtus!$A$3:$A$53,0))),0,(index(Com_AllFuels_SEDS_2022_TBtus!$P$3:$P$53,match($B84&amp;Z$2,Com_AllFuels_SEDS_2022_TBtus!$B$3:$B$53&amp;Com_AllFuels_SEDS_2022_TBtus!$A$3:$A$53,0))))</f>
        <v>0</v>
      </c>
      <c r="AA97" s="75">
        <f t="array" ref="AA97">IF(ISERROR(index(Com_AllFuels_SEDS_2022_TBtus!$P$3:$P$53,match($B84&amp;AA$2,Com_AllFuels_SEDS_2022_TBtus!$B$3:$B$53&amp;Com_AllFuels_SEDS_2022_TBtus!$A$3:$A$53,0))),0,(index(Com_AllFuels_SEDS_2022_TBtus!$P$3:$P$53,match($B84&amp;AA$2,Com_AllFuels_SEDS_2022_TBtus!$B$3:$B$53&amp;Com_AllFuels_SEDS_2022_TBtus!$A$3:$A$53,0))))</f>
        <v>0</v>
      </c>
      <c r="AB97" s="75">
        <f t="array" ref="AB97">IF(ISERROR(index(Com_AllFuels_SEDS_2022_TBtus!$P$3:$P$53,match($B84&amp;AB$2,Com_AllFuels_SEDS_2022_TBtus!$B$3:$B$53&amp;Com_AllFuels_SEDS_2022_TBtus!$A$3:$A$53,0))),0,(index(Com_AllFuels_SEDS_2022_TBtus!$P$3:$P$53,match($B84&amp;AB$2,Com_AllFuels_SEDS_2022_TBtus!$B$3:$B$53&amp;Com_AllFuels_SEDS_2022_TBtus!$A$3:$A$53,0))))</f>
        <v>0</v>
      </c>
      <c r="AC97" s="75">
        <f t="array" ref="AC97">IF(ISERROR(index(Com_AllFuels_SEDS_2022_TBtus!$P$3:$P$53,match($B84&amp;AC$2,Com_AllFuels_SEDS_2022_TBtus!$B$3:$B$53&amp;Com_AllFuels_SEDS_2022_TBtus!$A$3:$A$53,0))),0,(index(Com_AllFuels_SEDS_2022_TBtus!$P$3:$P$53,match($B84&amp;AC$2,Com_AllFuels_SEDS_2022_TBtus!$B$3:$B$53&amp;Com_AllFuels_SEDS_2022_TBtus!$A$3:$A$53,0))))</f>
        <v>0</v>
      </c>
      <c r="AD97" s="75">
        <f t="array" ref="AD97">IF(ISERROR(index(Com_AllFuels_SEDS_2022_TBtus!$P$3:$P$53,match($B84&amp;AD$2,Com_AllFuels_SEDS_2022_TBtus!$B$3:$B$53&amp;Com_AllFuels_SEDS_2022_TBtus!$A$3:$A$53,0))),0,(index(Com_AllFuels_SEDS_2022_TBtus!$P$3:$P$53,match($B84&amp;AD$2,Com_AllFuels_SEDS_2022_TBtus!$B$3:$B$53&amp;Com_AllFuels_SEDS_2022_TBtus!$A$3:$A$53,0))))</f>
        <v>0</v>
      </c>
      <c r="AE97" s="75">
        <f t="array" ref="AE97">IF(ISERROR(index(Com_AllFuels_SEDS_2022_TBtus!$P$3:$P$53,match($B84&amp;AE$2,Com_AllFuels_SEDS_2022_TBtus!$B$3:$B$53&amp;Com_AllFuels_SEDS_2022_TBtus!$A$3:$A$53,0))),0,(index(Com_AllFuels_SEDS_2022_TBtus!$P$3:$P$53,match($B84&amp;AE$2,Com_AllFuels_SEDS_2022_TBtus!$B$3:$B$53&amp;Com_AllFuels_SEDS_2022_TBtus!$A$3:$A$53,0))))</f>
        <v>0</v>
      </c>
      <c r="AF97" s="75">
        <f t="array" ref="AF97">IF(ISERROR(index(Com_AllFuels_SEDS_2022_TBtus!$P$3:$P$53,match($B84&amp;AF$2,Com_AllFuels_SEDS_2022_TBtus!$B$3:$B$53&amp;Com_AllFuels_SEDS_2022_TBtus!$A$3:$A$53,0))),0,(index(Com_AllFuels_SEDS_2022_TBtus!$P$3:$P$53,match($B84&amp;AF$2,Com_AllFuels_SEDS_2022_TBtus!$B$3:$B$53&amp;Com_AllFuels_SEDS_2022_TBtus!$A$3:$A$53,0))))</f>
        <v>0</v>
      </c>
      <c r="AG97" s="75">
        <f t="array" ref="AG97">IF(ISERROR(index(Com_AllFuels_SEDS_2022_TBtus!$P$3:$P$53,match($B84&amp;AG$2,Com_AllFuels_SEDS_2022_TBtus!$B$3:$B$53&amp;Com_AllFuels_SEDS_2022_TBtus!$A$3:$A$53,0))),0,(index(Com_AllFuels_SEDS_2022_TBtus!$P$3:$P$53,match($B84&amp;AG$2,Com_AllFuels_SEDS_2022_TBtus!$B$3:$B$53&amp;Com_AllFuels_SEDS_2022_TBtus!$A$3:$A$53,0))))</f>
        <v>0</v>
      </c>
      <c r="AH97" s="75">
        <f t="array" ref="AH97">IF(ISERROR(index(Com_AllFuels_SEDS_2022_TBtus!$P$3:$P$53,match($B84&amp;AH$2,Com_AllFuels_SEDS_2022_TBtus!$B$3:$B$53&amp;Com_AllFuels_SEDS_2022_TBtus!$A$3:$A$53,0))),0,(index(Com_AllFuels_SEDS_2022_TBtus!$P$3:$P$53,match($B84&amp;AH$2,Com_AllFuels_SEDS_2022_TBtus!$B$3:$B$53&amp;Com_AllFuels_SEDS_2022_TBtus!$A$3:$A$53,0))))</f>
        <v>0</v>
      </c>
      <c r="AI97" s="75">
        <f t="array" ref="AI97">IF(ISERROR(index(Com_AllFuels_SEDS_2022_TBtus!$P$3:$P$53,match($B84&amp;AI$2,Com_AllFuels_SEDS_2022_TBtus!$B$3:$B$53&amp;Com_AllFuels_SEDS_2022_TBtus!$A$3:$A$53,0))),0,(index(Com_AllFuels_SEDS_2022_TBtus!$P$3:$P$53,match($B84&amp;AI$2,Com_AllFuels_SEDS_2022_TBtus!$B$3:$B$53&amp;Com_AllFuels_SEDS_2022_TBtus!$A$3:$A$53,0))))</f>
        <v>0</v>
      </c>
      <c r="AJ97" s="75">
        <f t="array" ref="AJ97">IF(ISERROR(index(Com_AllFuels_SEDS_2022_TBtus!$P$3:$P$53,match($B84&amp;AJ$2,Com_AllFuels_SEDS_2022_TBtus!$B$3:$B$53&amp;Com_AllFuels_SEDS_2022_TBtus!$A$3:$A$53,0))),0,(index(Com_AllFuels_SEDS_2022_TBtus!$P$3:$P$53,match($B84&amp;AJ$2,Com_AllFuels_SEDS_2022_TBtus!$B$3:$B$53&amp;Com_AllFuels_SEDS_2022_TBtus!$A$3:$A$53,0))))</f>
        <v>0</v>
      </c>
      <c r="AK97" s="75">
        <f t="array" ref="AK97">IF(ISERROR(index(Com_AllFuels_SEDS_2022_TBtus!$P$3:$P$53,match($B84&amp;AK$2,Com_AllFuels_SEDS_2022_TBtus!$B$3:$B$53&amp;Com_AllFuels_SEDS_2022_TBtus!$A$3:$A$53,0))),0,(index(Com_AllFuels_SEDS_2022_TBtus!$P$3:$P$53,match($B84&amp;AK$2,Com_AllFuels_SEDS_2022_TBtus!$B$3:$B$53&amp;Com_AllFuels_SEDS_2022_TBtus!$A$3:$A$53,0))))</f>
        <v>0</v>
      </c>
      <c r="AL97" s="75">
        <f t="array" ref="AL97">IF(ISERROR(index(Com_AllFuels_SEDS_2022_TBtus!$P$3:$P$53,match($B84&amp;AL$2,Com_AllFuels_SEDS_2022_TBtus!$B$3:$B$53&amp;Com_AllFuels_SEDS_2022_TBtus!$A$3:$A$53,0))),0,(index(Com_AllFuels_SEDS_2022_TBtus!$P$3:$P$53,match($B84&amp;AL$2,Com_AllFuels_SEDS_2022_TBtus!$B$3:$B$53&amp;Com_AllFuels_SEDS_2022_TBtus!$A$3:$A$53,0))))</f>
        <v>391.6</v>
      </c>
      <c r="AM97" s="75">
        <f t="array" ref="AM97">IF(ISERROR(index(Com_AllFuels_SEDS_2022_TBtus!$P$3:$P$53,match($B84&amp;AM$2,Com_AllFuels_SEDS_2022_TBtus!$B$3:$B$53&amp;Com_AllFuels_SEDS_2022_TBtus!$A$3:$A$53,0))),0,(index(Com_AllFuels_SEDS_2022_TBtus!$P$3:$P$53,match($B84&amp;AM$2,Com_AllFuels_SEDS_2022_TBtus!$B$3:$B$53&amp;Com_AllFuels_SEDS_2022_TBtus!$A$3:$A$53,0))))</f>
        <v>0</v>
      </c>
      <c r="AN97" s="75">
        <f t="array" ref="AN97">IF(ISERROR(index(Com_AllFuels_SEDS_2022_TBtus!$P$3:$P$53,match($B84&amp;AN$2,Com_AllFuels_SEDS_2022_TBtus!$B$3:$B$53&amp;Com_AllFuels_SEDS_2022_TBtus!$A$3:$A$53,0))),0,(index(Com_AllFuels_SEDS_2022_TBtus!$P$3:$P$53,match($B84&amp;AN$2,Com_AllFuels_SEDS_2022_TBtus!$B$3:$B$53&amp;Com_AllFuels_SEDS_2022_TBtus!$A$3:$A$53,0))))</f>
        <v>0</v>
      </c>
      <c r="AO97" s="75">
        <f t="array" ref="AO97">IF(ISERROR(index(Com_AllFuels_SEDS_2022_TBtus!$P$3:$P$53,match($B84&amp;AO$2,Com_AllFuels_SEDS_2022_TBtus!$B$3:$B$53&amp;Com_AllFuels_SEDS_2022_TBtus!$A$3:$A$53,0))),0,(index(Com_AllFuels_SEDS_2022_TBtus!$P$3:$P$53,match($B84&amp;AO$2,Com_AllFuels_SEDS_2022_TBtus!$B$3:$B$53&amp;Com_AllFuels_SEDS_2022_TBtus!$A$3:$A$53,0))))</f>
        <v>0</v>
      </c>
      <c r="AP97" s="75">
        <f t="array" ref="AP97">IF(ISERROR(index(Com_AllFuels_SEDS_2022_TBtus!$P$3:$P$53,match($B84&amp;AP$2,Com_AllFuels_SEDS_2022_TBtus!$B$3:$B$53&amp;Com_AllFuels_SEDS_2022_TBtus!$A$3:$A$53,0))),0,(index(Com_AllFuels_SEDS_2022_TBtus!$P$3:$P$53,match($B84&amp;AP$2,Com_AllFuels_SEDS_2022_TBtus!$B$3:$B$53&amp;Com_AllFuels_SEDS_2022_TBtus!$A$3:$A$53,0))))</f>
        <v>0</v>
      </c>
      <c r="AQ97" s="75">
        <f t="array" ref="AQ97">IF(ISERROR(index(Com_AllFuels_SEDS_2022_TBtus!$P$3:$P$53,match($B84&amp;AQ$2,Com_AllFuels_SEDS_2022_TBtus!$B$3:$B$53&amp;Com_AllFuels_SEDS_2022_TBtus!$A$3:$A$53,0))),0,(index(Com_AllFuels_SEDS_2022_TBtus!$P$3:$P$53,match($B84&amp;AQ$2,Com_AllFuels_SEDS_2022_TBtus!$B$3:$B$53&amp;Com_AllFuels_SEDS_2022_TBtus!$A$3:$A$53,0))))</f>
        <v>0</v>
      </c>
      <c r="AR97" s="75">
        <f t="array" ref="AR97">IF(ISERROR(index(Com_AllFuels_SEDS_2022_TBtus!$P$3:$P$53,match($B84&amp;AR$2,Com_AllFuels_SEDS_2022_TBtus!$B$3:$B$53&amp;Com_AllFuels_SEDS_2022_TBtus!$A$3:$A$53,0))),0,(index(Com_AllFuels_SEDS_2022_TBtus!$P$3:$P$53,match($B84&amp;AR$2,Com_AllFuels_SEDS_2022_TBtus!$B$3:$B$53&amp;Com_AllFuels_SEDS_2022_TBtus!$A$3:$A$53,0))))</f>
        <v>0</v>
      </c>
      <c r="AS97" s="75">
        <f t="array" ref="AS97">IF(ISERROR(index(Com_AllFuels_SEDS_2022_TBtus!$P$3:$P$53,match($B84&amp;AS$2,Com_AllFuels_SEDS_2022_TBtus!$B$3:$B$53&amp;Com_AllFuels_SEDS_2022_TBtus!$A$3:$A$53,0))),0,(index(Com_AllFuels_SEDS_2022_TBtus!$P$3:$P$53,match($B84&amp;AS$2,Com_AllFuels_SEDS_2022_TBtus!$B$3:$B$53&amp;Com_AllFuels_SEDS_2022_TBtus!$A$3:$A$53,0))))</f>
        <v>0</v>
      </c>
      <c r="AT97" s="75">
        <f t="array" ref="AT97">IF(ISERROR(index(Com_AllFuels_SEDS_2022_TBtus!$P$3:$P$53,match($B84&amp;AT$2,Com_AllFuels_SEDS_2022_TBtus!$B$3:$B$53&amp;Com_AllFuels_SEDS_2022_TBtus!$A$3:$A$53,0))),0,(index(Com_AllFuels_SEDS_2022_TBtus!$P$3:$P$53,match($B84&amp;AT$2,Com_AllFuels_SEDS_2022_TBtus!$B$3:$B$53&amp;Com_AllFuels_SEDS_2022_TBtus!$A$3:$A$53,0))))</f>
        <v>0</v>
      </c>
      <c r="AU97" s="75">
        <f t="array" ref="AU97">IF(ISERROR(index(Com_AllFuels_SEDS_2022_TBtus!$P$3:$P$53,match($B84&amp;AU$2,Com_AllFuels_SEDS_2022_TBtus!$B$3:$B$53&amp;Com_AllFuels_SEDS_2022_TBtus!$A$3:$A$53,0))),0,(index(Com_AllFuels_SEDS_2022_TBtus!$P$3:$P$53,match($B84&amp;AU$2,Com_AllFuels_SEDS_2022_TBtus!$B$3:$B$53&amp;Com_AllFuels_SEDS_2022_TBtus!$A$3:$A$53,0))))</f>
        <v>0</v>
      </c>
      <c r="AV97" s="75">
        <f t="array" ref="AV97">IF(ISERROR(index(Com_AllFuels_SEDS_2022_TBtus!$P$3:$P$53,match($B84&amp;AV$2,Com_AllFuels_SEDS_2022_TBtus!$B$3:$B$53&amp;Com_AllFuels_SEDS_2022_TBtus!$A$3:$A$53,0))),0,(index(Com_AllFuels_SEDS_2022_TBtus!$P$3:$P$53,match($B84&amp;AV$2,Com_AllFuels_SEDS_2022_TBtus!$B$3:$B$53&amp;Com_AllFuels_SEDS_2022_TBtus!$A$3:$A$53,0))))</f>
        <v>0</v>
      </c>
      <c r="AW97" s="75">
        <f t="array" ref="AW97">IF(ISERROR(index(Com_AllFuels_SEDS_2022_TBtus!$P$3:$P$53,match($B84&amp;AW$2,Com_AllFuels_SEDS_2022_TBtus!$B$3:$B$53&amp;Com_AllFuels_SEDS_2022_TBtus!$A$3:$A$53,0))),0,(index(Com_AllFuels_SEDS_2022_TBtus!$P$3:$P$53,match($B84&amp;AW$2,Com_AllFuels_SEDS_2022_TBtus!$B$3:$B$53&amp;Com_AllFuels_SEDS_2022_TBtus!$A$3:$A$53,0))))</f>
        <v>0</v>
      </c>
      <c r="AX97" s="75">
        <f t="array" ref="AX97">IF(ISERROR(index(Com_AllFuels_SEDS_2022_TBtus!$P$3:$P$53,match($B84&amp;AX$2,Com_AllFuels_SEDS_2022_TBtus!$B$3:$B$53&amp;Com_AllFuels_SEDS_2022_TBtus!$A$3:$A$53,0))),0,(index(Com_AllFuels_SEDS_2022_TBtus!$P$3:$P$53,match($B84&amp;AX$2,Com_AllFuels_SEDS_2022_TBtus!$B$3:$B$53&amp;Com_AllFuels_SEDS_2022_TBtus!$A$3:$A$53,0))))</f>
        <v>0</v>
      </c>
      <c r="AY97" s="75">
        <f t="array" ref="AY97">IF(ISERROR(index(Com_AllFuels_SEDS_2022_TBtus!$P$3:$P$53,match($B84&amp;AY$2,Com_AllFuels_SEDS_2022_TBtus!$B$3:$B$53&amp;Com_AllFuels_SEDS_2022_TBtus!$A$3:$A$53,0))),0,(index(Com_AllFuels_SEDS_2022_TBtus!$P$3:$P$53,match($B84&amp;AY$2,Com_AllFuels_SEDS_2022_TBtus!$B$3:$B$53&amp;Com_AllFuels_SEDS_2022_TBtus!$A$3:$A$53,0))))</f>
        <v>0</v>
      </c>
      <c r="AZ97" s="75">
        <f t="array" ref="AZ97">IF(ISERROR(index(Com_AllFuels_SEDS_2022_TBtus!$P$3:$P$53,match($B84&amp;AZ$2,Com_AllFuels_SEDS_2022_TBtus!$B$3:$B$53&amp;Com_AllFuels_SEDS_2022_TBtus!$A$3:$A$53,0))),0,(index(Com_AllFuels_SEDS_2022_TBtus!$P$3:$P$53,match($B84&amp;AZ$2,Com_AllFuels_SEDS_2022_TBtus!$B$3:$B$53&amp;Com_AllFuels_SEDS_2022_TBtus!$A$3:$A$53,0))))</f>
        <v>223.5</v>
      </c>
      <c r="BA97" s="75">
        <f t="array" ref="BA97">IF(ISERROR(index(Com_AllFuels_SEDS_2022_TBtus!$P$3:$P$53,match($B84&amp;BA$2,Com_AllFuels_SEDS_2022_TBtus!$B$3:$B$53&amp;Com_AllFuels_SEDS_2022_TBtus!$A$3:$A$53,0))),0,(index(Com_AllFuels_SEDS_2022_TBtus!$P$3:$P$53,match($B84&amp;BA$2,Com_AllFuels_SEDS_2022_TBtus!$B$3:$B$53&amp;Com_AllFuels_SEDS_2022_TBtus!$A$3:$A$53,0))))</f>
        <v>0</v>
      </c>
      <c r="BB97" s="74">
        <f t="shared" si="15"/>
        <v>1614.9</v>
      </c>
    </row>
    <row r="98" ht="15.75" customHeight="1">
      <c r="A98" s="78"/>
      <c r="B98" s="74">
        <v>4.0</v>
      </c>
      <c r="C98" s="75">
        <f t="array" ref="C98">IF(ISERROR(index(Com_AllFuels_SEDS_2022_TBtus!$P$3:$P$53,match($B85&amp;C$2,Com_AllFuels_SEDS_2022_TBtus!$B$3:$B$53&amp;Com_AllFuels_SEDS_2022_TBtus!$A$3:$A$53,0))),0,(index(Com_AllFuels_SEDS_2022_TBtus!$P$3:$P$53,match($B85&amp;C$2,Com_AllFuels_SEDS_2022_TBtus!$B$3:$B$53&amp;Com_AllFuels_SEDS_2022_TBtus!$A$3:$A$53,0))))</f>
        <v>0</v>
      </c>
      <c r="D98" s="75">
        <f t="array" ref="D98">IF(ISERROR(index(Com_AllFuels_SEDS_2022_TBtus!$P$3:$P$53,match($B85&amp;D$2,Com_AllFuels_SEDS_2022_TBtus!$B$3:$B$53&amp;Com_AllFuels_SEDS_2022_TBtus!$A$3:$A$53,0))),0,(index(Com_AllFuels_SEDS_2022_TBtus!$P$3:$P$53,match($B85&amp;D$2,Com_AllFuels_SEDS_2022_TBtus!$B$3:$B$53&amp;Com_AllFuels_SEDS_2022_TBtus!$A$3:$A$53,0))))</f>
        <v>0</v>
      </c>
      <c r="E98" s="75">
        <f t="array" ref="E98">IF(ISERROR(index(Com_AllFuels_SEDS_2022_TBtus!$P$3:$P$53,match($B85&amp;E$2,Com_AllFuels_SEDS_2022_TBtus!$B$3:$B$53&amp;Com_AllFuels_SEDS_2022_TBtus!$A$3:$A$53,0))),0,(index(Com_AllFuels_SEDS_2022_TBtus!$P$3:$P$53,match($B85&amp;E$2,Com_AllFuels_SEDS_2022_TBtus!$B$3:$B$53&amp;Com_AllFuels_SEDS_2022_TBtus!$A$3:$A$53,0))))</f>
        <v>0</v>
      </c>
      <c r="F98" s="75">
        <f t="array" ref="F98">IF(ISERROR(index(Com_AllFuels_SEDS_2022_TBtus!$P$3:$P$53,match($B85&amp;F$2,Com_AllFuels_SEDS_2022_TBtus!$B$3:$B$53&amp;Com_AllFuels_SEDS_2022_TBtus!$A$3:$A$53,0))),0,(index(Com_AllFuels_SEDS_2022_TBtus!$P$3:$P$53,match($B85&amp;F$2,Com_AllFuels_SEDS_2022_TBtus!$B$3:$B$53&amp;Com_AllFuels_SEDS_2022_TBtus!$A$3:$A$53,0))))</f>
        <v>0</v>
      </c>
      <c r="G98" s="75">
        <f t="array" ref="G98">IF(ISERROR(index(Com_AllFuels_SEDS_2022_TBtus!$P$3:$P$53,match($B85&amp;G$2,Com_AllFuels_SEDS_2022_TBtus!$B$3:$B$53&amp;Com_AllFuels_SEDS_2022_TBtus!$A$3:$A$53,0))),0,(index(Com_AllFuels_SEDS_2022_TBtus!$P$3:$P$53,match($B85&amp;G$2,Com_AllFuels_SEDS_2022_TBtus!$B$3:$B$53&amp;Com_AllFuels_SEDS_2022_TBtus!$A$3:$A$53,0))))</f>
        <v>0</v>
      </c>
      <c r="H98" s="75">
        <f t="array" ref="H98">IF(ISERROR(index(Com_AllFuels_SEDS_2022_TBtus!$P$3:$P$53,match($B85&amp;H$2,Com_AllFuels_SEDS_2022_TBtus!$B$3:$B$53&amp;Com_AllFuels_SEDS_2022_TBtus!$A$3:$A$53,0))),0,(index(Com_AllFuels_SEDS_2022_TBtus!$P$3:$P$53,match($B85&amp;H$2,Com_AllFuels_SEDS_2022_TBtus!$B$3:$B$53&amp;Com_AllFuels_SEDS_2022_TBtus!$A$3:$A$53,0))))</f>
        <v>0</v>
      </c>
      <c r="I98" s="75">
        <f t="array" ref="I98">IF(ISERROR(index(Com_AllFuels_SEDS_2022_TBtus!$P$3:$P$53,match($B85&amp;I$2,Com_AllFuels_SEDS_2022_TBtus!$B$3:$B$53&amp;Com_AllFuels_SEDS_2022_TBtus!$A$3:$A$53,0))),0,(index(Com_AllFuels_SEDS_2022_TBtus!$P$3:$P$53,match($B85&amp;I$2,Com_AllFuels_SEDS_2022_TBtus!$B$3:$B$53&amp;Com_AllFuels_SEDS_2022_TBtus!$A$3:$A$53,0))))</f>
        <v>0</v>
      </c>
      <c r="J98" s="75">
        <f t="array" ref="J98">IF(ISERROR(index(Com_AllFuels_SEDS_2022_TBtus!$P$3:$P$53,match($B85&amp;J$2,Com_AllFuels_SEDS_2022_TBtus!$B$3:$B$53&amp;Com_AllFuels_SEDS_2022_TBtus!$A$3:$A$53,0))),0,(index(Com_AllFuels_SEDS_2022_TBtus!$P$3:$P$53,match($B85&amp;J$2,Com_AllFuels_SEDS_2022_TBtus!$B$3:$B$53&amp;Com_AllFuels_SEDS_2022_TBtus!$A$3:$A$53,0))))</f>
        <v>0</v>
      </c>
      <c r="K98" s="75">
        <f t="array" ref="K98">IF(ISERROR(index(Com_AllFuels_SEDS_2022_TBtus!$P$3:$P$53,match($B85&amp;K$2,Com_AllFuels_SEDS_2022_TBtus!$B$3:$B$53&amp;Com_AllFuels_SEDS_2022_TBtus!$A$3:$A$53,0))),0,(index(Com_AllFuels_SEDS_2022_TBtus!$P$3:$P$53,match($B85&amp;K$2,Com_AllFuels_SEDS_2022_TBtus!$B$3:$B$53&amp;Com_AllFuels_SEDS_2022_TBtus!$A$3:$A$53,0))))</f>
        <v>0</v>
      </c>
      <c r="L98" s="75">
        <f t="array" ref="L98">IF(ISERROR(index(Com_AllFuels_SEDS_2022_TBtus!$P$3:$P$53,match($B85&amp;L$2,Com_AllFuels_SEDS_2022_TBtus!$B$3:$B$53&amp;Com_AllFuels_SEDS_2022_TBtus!$A$3:$A$53,0))),0,(index(Com_AllFuels_SEDS_2022_TBtus!$P$3:$P$53,match($B85&amp;L$2,Com_AllFuels_SEDS_2022_TBtus!$B$3:$B$53&amp;Com_AllFuels_SEDS_2022_TBtus!$A$3:$A$53,0))))</f>
        <v>0</v>
      </c>
      <c r="M98" s="75">
        <f t="array" ref="M98">IF(ISERROR(index(Com_AllFuels_SEDS_2022_TBtus!$P$3:$P$53,match($B85&amp;M$2,Com_AllFuels_SEDS_2022_TBtus!$B$3:$B$53&amp;Com_AllFuels_SEDS_2022_TBtus!$A$3:$A$53,0))),0,(index(Com_AllFuels_SEDS_2022_TBtus!$P$3:$P$53,match($B85&amp;M$2,Com_AllFuels_SEDS_2022_TBtus!$B$3:$B$53&amp;Com_AllFuels_SEDS_2022_TBtus!$A$3:$A$53,0))))</f>
        <v>0</v>
      </c>
      <c r="N98" s="75">
        <f t="array" ref="N98">IF(ISERROR(index(Com_AllFuels_SEDS_2022_TBtus!$P$3:$P$53,match($B85&amp;N$2,Com_AllFuels_SEDS_2022_TBtus!$B$3:$B$53&amp;Com_AllFuels_SEDS_2022_TBtus!$A$3:$A$53,0))),0,(index(Com_AllFuels_SEDS_2022_TBtus!$P$3:$P$53,match($B85&amp;N$2,Com_AllFuels_SEDS_2022_TBtus!$B$3:$B$53&amp;Com_AllFuels_SEDS_2022_TBtus!$A$3:$A$53,0))))</f>
        <v>0</v>
      </c>
      <c r="O98" s="75">
        <f t="array" ref="O98">IF(ISERROR(index(Com_AllFuels_SEDS_2022_TBtus!$P$3:$P$53,match($B85&amp;O$2,Com_AllFuels_SEDS_2022_TBtus!$B$3:$B$53&amp;Com_AllFuels_SEDS_2022_TBtus!$A$3:$A$53,0))),0,(index(Com_AllFuels_SEDS_2022_TBtus!$P$3:$P$53,match($B85&amp;O$2,Com_AllFuels_SEDS_2022_TBtus!$B$3:$B$53&amp;Com_AllFuels_SEDS_2022_TBtus!$A$3:$A$53,0))))</f>
        <v>0</v>
      </c>
      <c r="P98" s="75">
        <f t="array" ref="P98">IF(ISERROR(index(Com_AllFuels_SEDS_2022_TBtus!$P$3:$P$53,match($B85&amp;P$2,Com_AllFuels_SEDS_2022_TBtus!$B$3:$B$53&amp;Com_AllFuels_SEDS_2022_TBtus!$A$3:$A$53,0))),0,(index(Com_AllFuels_SEDS_2022_TBtus!$P$3:$P$53,match($B85&amp;P$2,Com_AllFuels_SEDS_2022_TBtus!$B$3:$B$53&amp;Com_AllFuels_SEDS_2022_TBtus!$A$3:$A$53,0))))</f>
        <v>0</v>
      </c>
      <c r="Q98" s="75">
        <f t="array" ref="Q98">IF(ISERROR(index(Com_AllFuels_SEDS_2022_TBtus!$P$3:$P$53,match($B85&amp;Q$2,Com_AllFuels_SEDS_2022_TBtus!$B$3:$B$53&amp;Com_AllFuels_SEDS_2022_TBtus!$A$3:$A$53,0))),0,(index(Com_AllFuels_SEDS_2022_TBtus!$P$3:$P$53,match($B85&amp;Q$2,Com_AllFuels_SEDS_2022_TBtus!$B$3:$B$53&amp;Com_AllFuels_SEDS_2022_TBtus!$A$3:$A$53,0))))</f>
        <v>0</v>
      </c>
      <c r="R98" s="75">
        <f t="array" ref="R98">IF(ISERROR(index(Com_AllFuels_SEDS_2022_TBtus!$P$3:$P$53,match($B85&amp;R$2,Com_AllFuels_SEDS_2022_TBtus!$B$3:$B$53&amp;Com_AllFuels_SEDS_2022_TBtus!$A$3:$A$53,0))),0,(index(Com_AllFuels_SEDS_2022_TBtus!$P$3:$P$53,match($B85&amp;R$2,Com_AllFuels_SEDS_2022_TBtus!$B$3:$B$53&amp;Com_AllFuels_SEDS_2022_TBtus!$A$3:$A$53,0))))</f>
        <v>127.8</v>
      </c>
      <c r="S98" s="75">
        <f t="array" ref="S98">IF(ISERROR(index(Com_AllFuels_SEDS_2022_TBtus!$P$3:$P$53,match($B85&amp;S$2,Com_AllFuels_SEDS_2022_TBtus!$B$3:$B$53&amp;Com_AllFuels_SEDS_2022_TBtus!$A$3:$A$53,0))),0,(index(Com_AllFuels_SEDS_2022_TBtus!$P$3:$P$53,match($B85&amp;S$2,Com_AllFuels_SEDS_2022_TBtus!$B$3:$B$53&amp;Com_AllFuels_SEDS_2022_TBtus!$A$3:$A$53,0))))</f>
        <v>109.4</v>
      </c>
      <c r="T98" s="75">
        <f t="array" ref="T98">IF(ISERROR(index(Com_AllFuels_SEDS_2022_TBtus!$P$3:$P$53,match($B85&amp;T$2,Com_AllFuels_SEDS_2022_TBtus!$B$3:$B$53&amp;Com_AllFuels_SEDS_2022_TBtus!$A$3:$A$53,0))),0,(index(Com_AllFuels_SEDS_2022_TBtus!$P$3:$P$53,match($B85&amp;T$2,Com_AllFuels_SEDS_2022_TBtus!$B$3:$B$53&amp;Com_AllFuels_SEDS_2022_TBtus!$A$3:$A$53,0))))</f>
        <v>0</v>
      </c>
      <c r="U98" s="75">
        <f t="array" ref="U98">IF(ISERROR(index(Com_AllFuels_SEDS_2022_TBtus!$P$3:$P$53,match($B85&amp;U$2,Com_AllFuels_SEDS_2022_TBtus!$B$3:$B$53&amp;Com_AllFuels_SEDS_2022_TBtus!$A$3:$A$53,0))),0,(index(Com_AllFuels_SEDS_2022_TBtus!$P$3:$P$53,match($B85&amp;U$2,Com_AllFuels_SEDS_2022_TBtus!$B$3:$B$53&amp;Com_AllFuels_SEDS_2022_TBtus!$A$3:$A$53,0))))</f>
        <v>0</v>
      </c>
      <c r="V98" s="75">
        <f t="array" ref="V98">IF(ISERROR(index(Com_AllFuels_SEDS_2022_TBtus!$P$3:$P$53,match($B85&amp;V$2,Com_AllFuels_SEDS_2022_TBtus!$B$3:$B$53&amp;Com_AllFuels_SEDS_2022_TBtus!$A$3:$A$53,0))),0,(index(Com_AllFuels_SEDS_2022_TBtus!$P$3:$P$53,match($B85&amp;V$2,Com_AllFuels_SEDS_2022_TBtus!$B$3:$B$53&amp;Com_AllFuels_SEDS_2022_TBtus!$A$3:$A$53,0))))</f>
        <v>0</v>
      </c>
      <c r="W98" s="75">
        <f t="array" ref="W98">IF(ISERROR(index(Com_AllFuels_SEDS_2022_TBtus!$P$3:$P$53,match($B85&amp;W$2,Com_AllFuels_SEDS_2022_TBtus!$B$3:$B$53&amp;Com_AllFuels_SEDS_2022_TBtus!$A$3:$A$53,0))),0,(index(Com_AllFuels_SEDS_2022_TBtus!$P$3:$P$53,match($B85&amp;W$2,Com_AllFuels_SEDS_2022_TBtus!$B$3:$B$53&amp;Com_AllFuels_SEDS_2022_TBtus!$A$3:$A$53,0))))</f>
        <v>0</v>
      </c>
      <c r="X98" s="75">
        <f t="array" ref="X98">IF(ISERROR(index(Com_AllFuels_SEDS_2022_TBtus!$P$3:$P$53,match($B85&amp;X$2,Com_AllFuels_SEDS_2022_TBtus!$B$3:$B$53&amp;Com_AllFuels_SEDS_2022_TBtus!$A$3:$A$53,0))),0,(index(Com_AllFuels_SEDS_2022_TBtus!$P$3:$P$53,match($B85&amp;X$2,Com_AllFuels_SEDS_2022_TBtus!$B$3:$B$53&amp;Com_AllFuels_SEDS_2022_TBtus!$A$3:$A$53,0))))</f>
        <v>0</v>
      </c>
      <c r="Y98" s="75">
        <f t="array" ref="Y98">IF(ISERROR(index(Com_AllFuels_SEDS_2022_TBtus!$P$3:$P$53,match($B85&amp;Y$2,Com_AllFuels_SEDS_2022_TBtus!$B$3:$B$53&amp;Com_AllFuels_SEDS_2022_TBtus!$A$3:$A$53,0))),0,(index(Com_AllFuels_SEDS_2022_TBtus!$P$3:$P$53,match($B85&amp;Y$2,Com_AllFuels_SEDS_2022_TBtus!$B$3:$B$53&amp;Com_AllFuels_SEDS_2022_TBtus!$A$3:$A$53,0))))</f>
        <v>0</v>
      </c>
      <c r="Z98" s="75">
        <f t="array" ref="Z98">IF(ISERROR(index(Com_AllFuels_SEDS_2022_TBtus!$P$3:$P$53,match($B85&amp;Z$2,Com_AllFuels_SEDS_2022_TBtus!$B$3:$B$53&amp;Com_AllFuels_SEDS_2022_TBtus!$A$3:$A$53,0))),0,(index(Com_AllFuels_SEDS_2022_TBtus!$P$3:$P$53,match($B85&amp;Z$2,Com_AllFuels_SEDS_2022_TBtus!$B$3:$B$53&amp;Com_AllFuels_SEDS_2022_TBtus!$A$3:$A$53,0))))</f>
        <v>229.7</v>
      </c>
      <c r="AA98" s="75">
        <f t="array" ref="AA98">IF(ISERROR(index(Com_AllFuels_SEDS_2022_TBtus!$P$3:$P$53,match($B85&amp;AA$2,Com_AllFuels_SEDS_2022_TBtus!$B$3:$B$53&amp;Com_AllFuels_SEDS_2022_TBtus!$A$3:$A$53,0))),0,(index(Com_AllFuels_SEDS_2022_TBtus!$P$3:$P$53,match($B85&amp;AA$2,Com_AllFuels_SEDS_2022_TBtus!$B$3:$B$53&amp;Com_AllFuels_SEDS_2022_TBtus!$A$3:$A$53,0))))</f>
        <v>0</v>
      </c>
      <c r="AB98" s="75">
        <f t="array" ref="AB98">IF(ISERROR(index(Com_AllFuels_SEDS_2022_TBtus!$P$3:$P$53,match($B85&amp;AB$2,Com_AllFuels_SEDS_2022_TBtus!$B$3:$B$53&amp;Com_AllFuels_SEDS_2022_TBtus!$A$3:$A$53,0))),0,(index(Com_AllFuels_SEDS_2022_TBtus!$P$3:$P$53,match($B85&amp;AB$2,Com_AllFuels_SEDS_2022_TBtus!$B$3:$B$53&amp;Com_AllFuels_SEDS_2022_TBtus!$A$3:$A$53,0))))</f>
        <v>189.4</v>
      </c>
      <c r="AC98" s="75">
        <f t="array" ref="AC98">IF(ISERROR(index(Com_AllFuels_SEDS_2022_TBtus!$P$3:$P$53,match($B85&amp;AC$2,Com_AllFuels_SEDS_2022_TBtus!$B$3:$B$53&amp;Com_AllFuels_SEDS_2022_TBtus!$A$3:$A$53,0))),0,(index(Com_AllFuels_SEDS_2022_TBtus!$P$3:$P$53,match($B85&amp;AC$2,Com_AllFuels_SEDS_2022_TBtus!$B$3:$B$53&amp;Com_AllFuels_SEDS_2022_TBtus!$A$3:$A$53,0))))</f>
        <v>0</v>
      </c>
      <c r="AD98" s="75">
        <f t="array" ref="AD98">IF(ISERROR(index(Com_AllFuels_SEDS_2022_TBtus!$P$3:$P$53,match($B85&amp;AD$2,Com_AllFuels_SEDS_2022_TBtus!$B$3:$B$53&amp;Com_AllFuels_SEDS_2022_TBtus!$A$3:$A$53,0))),0,(index(Com_AllFuels_SEDS_2022_TBtus!$P$3:$P$53,match($B85&amp;AD$2,Com_AllFuels_SEDS_2022_TBtus!$B$3:$B$53&amp;Com_AllFuels_SEDS_2022_TBtus!$A$3:$A$53,0))))</f>
        <v>73.9</v>
      </c>
      <c r="AE98" s="75">
        <f t="array" ref="AE98">IF(ISERROR(index(Com_AllFuels_SEDS_2022_TBtus!$P$3:$P$53,match($B85&amp;AE$2,Com_AllFuels_SEDS_2022_TBtus!$B$3:$B$53&amp;Com_AllFuels_SEDS_2022_TBtus!$A$3:$A$53,0))),0,(index(Com_AllFuels_SEDS_2022_TBtus!$P$3:$P$53,match($B85&amp;AE$2,Com_AllFuels_SEDS_2022_TBtus!$B$3:$B$53&amp;Com_AllFuels_SEDS_2022_TBtus!$A$3:$A$53,0))))</f>
        <v>0</v>
      </c>
      <c r="AF98" s="75">
        <f t="array" ref="AF98">IF(ISERROR(index(Com_AllFuels_SEDS_2022_TBtus!$P$3:$P$53,match($B85&amp;AF$2,Com_AllFuels_SEDS_2022_TBtus!$B$3:$B$53&amp;Com_AllFuels_SEDS_2022_TBtus!$A$3:$A$53,0))),0,(index(Com_AllFuels_SEDS_2022_TBtus!$P$3:$P$53,match($B85&amp;AF$2,Com_AllFuels_SEDS_2022_TBtus!$B$3:$B$53&amp;Com_AllFuels_SEDS_2022_TBtus!$A$3:$A$53,0))))</f>
        <v>0</v>
      </c>
      <c r="AG98" s="75">
        <f t="array" ref="AG98">IF(ISERROR(index(Com_AllFuels_SEDS_2022_TBtus!$P$3:$P$53,match($B85&amp;AG$2,Com_AllFuels_SEDS_2022_TBtus!$B$3:$B$53&amp;Com_AllFuels_SEDS_2022_TBtus!$A$3:$A$53,0))),0,(index(Com_AllFuels_SEDS_2022_TBtus!$P$3:$P$53,match($B85&amp;AG$2,Com_AllFuels_SEDS_2022_TBtus!$B$3:$B$53&amp;Com_AllFuels_SEDS_2022_TBtus!$A$3:$A$53,0))))</f>
        <v>0</v>
      </c>
      <c r="AH98" s="75">
        <f t="array" ref="AH98">IF(ISERROR(index(Com_AllFuels_SEDS_2022_TBtus!$P$3:$P$53,match($B85&amp;AH$2,Com_AllFuels_SEDS_2022_TBtus!$B$3:$B$53&amp;Com_AllFuels_SEDS_2022_TBtus!$A$3:$A$53,0))),0,(index(Com_AllFuels_SEDS_2022_TBtus!$P$3:$P$53,match($B85&amp;AH$2,Com_AllFuels_SEDS_2022_TBtus!$B$3:$B$53&amp;Com_AllFuels_SEDS_2022_TBtus!$A$3:$A$53,0))))</f>
        <v>0</v>
      </c>
      <c r="AI98" s="75">
        <f t="array" ref="AI98">IF(ISERROR(index(Com_AllFuels_SEDS_2022_TBtus!$P$3:$P$53,match($B85&amp;AI$2,Com_AllFuels_SEDS_2022_TBtus!$B$3:$B$53&amp;Com_AllFuels_SEDS_2022_TBtus!$A$3:$A$53,0))),0,(index(Com_AllFuels_SEDS_2022_TBtus!$P$3:$P$53,match($B85&amp;AI$2,Com_AllFuels_SEDS_2022_TBtus!$B$3:$B$53&amp;Com_AllFuels_SEDS_2022_TBtus!$A$3:$A$53,0))))</f>
        <v>0</v>
      </c>
      <c r="AJ98" s="75">
        <f t="array" ref="AJ98">IF(ISERROR(index(Com_AllFuels_SEDS_2022_TBtus!$P$3:$P$53,match($B85&amp;AJ$2,Com_AllFuels_SEDS_2022_TBtus!$B$3:$B$53&amp;Com_AllFuels_SEDS_2022_TBtus!$A$3:$A$53,0))),0,(index(Com_AllFuels_SEDS_2022_TBtus!$P$3:$P$53,match($B85&amp;AJ$2,Com_AllFuels_SEDS_2022_TBtus!$B$3:$B$53&amp;Com_AllFuels_SEDS_2022_TBtus!$A$3:$A$53,0))))</f>
        <v>0</v>
      </c>
      <c r="AK98" s="75">
        <f t="array" ref="AK98">IF(ISERROR(index(Com_AllFuels_SEDS_2022_TBtus!$P$3:$P$53,match($B85&amp;AK$2,Com_AllFuels_SEDS_2022_TBtus!$B$3:$B$53&amp;Com_AllFuels_SEDS_2022_TBtus!$A$3:$A$53,0))),0,(index(Com_AllFuels_SEDS_2022_TBtus!$P$3:$P$53,match($B85&amp;AK$2,Com_AllFuels_SEDS_2022_TBtus!$B$3:$B$53&amp;Com_AllFuels_SEDS_2022_TBtus!$A$3:$A$53,0))))</f>
        <v>52.5</v>
      </c>
      <c r="AL98" s="75">
        <f t="array" ref="AL98">IF(ISERROR(index(Com_AllFuels_SEDS_2022_TBtus!$P$3:$P$53,match($B85&amp;AL$2,Com_AllFuels_SEDS_2022_TBtus!$B$3:$B$53&amp;Com_AllFuels_SEDS_2022_TBtus!$A$3:$A$53,0))),0,(index(Com_AllFuels_SEDS_2022_TBtus!$P$3:$P$53,match($B85&amp;AL$2,Com_AllFuels_SEDS_2022_TBtus!$B$3:$B$53&amp;Com_AllFuels_SEDS_2022_TBtus!$A$3:$A$53,0))))</f>
        <v>0</v>
      </c>
      <c r="AM98" s="75">
        <f t="array" ref="AM98">IF(ISERROR(index(Com_AllFuels_SEDS_2022_TBtus!$P$3:$P$53,match($B85&amp;AM$2,Com_AllFuels_SEDS_2022_TBtus!$B$3:$B$53&amp;Com_AllFuels_SEDS_2022_TBtus!$A$3:$A$53,0))),0,(index(Com_AllFuels_SEDS_2022_TBtus!$P$3:$P$53,match($B85&amp;AM$2,Com_AllFuels_SEDS_2022_TBtus!$B$3:$B$53&amp;Com_AllFuels_SEDS_2022_TBtus!$A$3:$A$53,0))))</f>
        <v>0</v>
      </c>
      <c r="AN98" s="75">
        <f t="array" ref="AN98">IF(ISERROR(index(Com_AllFuels_SEDS_2022_TBtus!$P$3:$P$53,match($B85&amp;AN$2,Com_AllFuels_SEDS_2022_TBtus!$B$3:$B$53&amp;Com_AllFuels_SEDS_2022_TBtus!$A$3:$A$53,0))),0,(index(Com_AllFuels_SEDS_2022_TBtus!$P$3:$P$53,match($B85&amp;AN$2,Com_AllFuels_SEDS_2022_TBtus!$B$3:$B$53&amp;Com_AllFuels_SEDS_2022_TBtus!$A$3:$A$53,0))))</f>
        <v>0</v>
      </c>
      <c r="AO98" s="75">
        <f t="array" ref="AO98">IF(ISERROR(index(Com_AllFuels_SEDS_2022_TBtus!$P$3:$P$53,match($B85&amp;AO$2,Com_AllFuels_SEDS_2022_TBtus!$B$3:$B$53&amp;Com_AllFuels_SEDS_2022_TBtus!$A$3:$A$53,0))),0,(index(Com_AllFuels_SEDS_2022_TBtus!$P$3:$P$53,match($B85&amp;AO$2,Com_AllFuels_SEDS_2022_TBtus!$B$3:$B$53&amp;Com_AllFuels_SEDS_2022_TBtus!$A$3:$A$53,0))))</f>
        <v>0</v>
      </c>
      <c r="AP98" s="75">
        <f t="array" ref="AP98">IF(ISERROR(index(Com_AllFuels_SEDS_2022_TBtus!$P$3:$P$53,match($B85&amp;AP$2,Com_AllFuels_SEDS_2022_TBtus!$B$3:$B$53&amp;Com_AllFuels_SEDS_2022_TBtus!$A$3:$A$53,0))),0,(index(Com_AllFuels_SEDS_2022_TBtus!$P$3:$P$53,match($B85&amp;AP$2,Com_AllFuels_SEDS_2022_TBtus!$B$3:$B$53&amp;Com_AllFuels_SEDS_2022_TBtus!$A$3:$A$53,0))))</f>
        <v>0</v>
      </c>
      <c r="AQ98" s="75">
        <f t="array" ref="AQ98">IF(ISERROR(index(Com_AllFuels_SEDS_2022_TBtus!$P$3:$P$53,match($B85&amp;AQ$2,Com_AllFuels_SEDS_2022_TBtus!$B$3:$B$53&amp;Com_AllFuels_SEDS_2022_TBtus!$A$3:$A$53,0))),0,(index(Com_AllFuels_SEDS_2022_TBtus!$P$3:$P$53,match($B85&amp;AQ$2,Com_AllFuels_SEDS_2022_TBtus!$B$3:$B$53&amp;Com_AllFuels_SEDS_2022_TBtus!$A$3:$A$53,0))))</f>
        <v>0</v>
      </c>
      <c r="AR98" s="75">
        <f t="array" ref="AR98">IF(ISERROR(index(Com_AllFuels_SEDS_2022_TBtus!$P$3:$P$53,match($B85&amp;AR$2,Com_AllFuels_SEDS_2022_TBtus!$B$3:$B$53&amp;Com_AllFuels_SEDS_2022_TBtus!$A$3:$A$53,0))),0,(index(Com_AllFuels_SEDS_2022_TBtus!$P$3:$P$53,match($B85&amp;AR$2,Com_AllFuels_SEDS_2022_TBtus!$B$3:$B$53&amp;Com_AllFuels_SEDS_2022_TBtus!$A$3:$A$53,0))))</f>
        <v>34.6</v>
      </c>
      <c r="AS98" s="75">
        <f t="array" ref="AS98">IF(ISERROR(index(Com_AllFuels_SEDS_2022_TBtus!$P$3:$P$53,match($B85&amp;AS$2,Com_AllFuels_SEDS_2022_TBtus!$B$3:$B$53&amp;Com_AllFuels_SEDS_2022_TBtus!$A$3:$A$53,0))),0,(index(Com_AllFuels_SEDS_2022_TBtus!$P$3:$P$53,match($B85&amp;AS$2,Com_AllFuels_SEDS_2022_TBtus!$B$3:$B$53&amp;Com_AllFuels_SEDS_2022_TBtus!$A$3:$A$53,0))))</f>
        <v>0</v>
      </c>
      <c r="AT98" s="75">
        <f t="array" ref="AT98">IF(ISERROR(index(Com_AllFuels_SEDS_2022_TBtus!$P$3:$P$53,match($B85&amp;AT$2,Com_AllFuels_SEDS_2022_TBtus!$B$3:$B$53&amp;Com_AllFuels_SEDS_2022_TBtus!$A$3:$A$53,0))),0,(index(Com_AllFuels_SEDS_2022_TBtus!$P$3:$P$53,match($B85&amp;AT$2,Com_AllFuels_SEDS_2022_TBtus!$B$3:$B$53&amp;Com_AllFuels_SEDS_2022_TBtus!$A$3:$A$53,0))))</f>
        <v>0</v>
      </c>
      <c r="AU98" s="75">
        <f t="array" ref="AU98">IF(ISERROR(index(Com_AllFuels_SEDS_2022_TBtus!$P$3:$P$53,match($B85&amp;AU$2,Com_AllFuels_SEDS_2022_TBtus!$B$3:$B$53&amp;Com_AllFuels_SEDS_2022_TBtus!$A$3:$A$53,0))),0,(index(Com_AllFuels_SEDS_2022_TBtus!$P$3:$P$53,match($B85&amp;AU$2,Com_AllFuels_SEDS_2022_TBtus!$B$3:$B$53&amp;Com_AllFuels_SEDS_2022_TBtus!$A$3:$A$53,0))))</f>
        <v>0</v>
      </c>
      <c r="AV98" s="75">
        <f t="array" ref="AV98">IF(ISERROR(index(Com_AllFuels_SEDS_2022_TBtus!$P$3:$P$53,match($B85&amp;AV$2,Com_AllFuels_SEDS_2022_TBtus!$B$3:$B$53&amp;Com_AllFuels_SEDS_2022_TBtus!$A$3:$A$53,0))),0,(index(Com_AllFuels_SEDS_2022_TBtus!$P$3:$P$53,match($B85&amp;AV$2,Com_AllFuels_SEDS_2022_TBtus!$B$3:$B$53&amp;Com_AllFuels_SEDS_2022_TBtus!$A$3:$A$53,0))))</f>
        <v>0</v>
      </c>
      <c r="AW98" s="75">
        <f t="array" ref="AW98">IF(ISERROR(index(Com_AllFuels_SEDS_2022_TBtus!$P$3:$P$53,match($B85&amp;AW$2,Com_AllFuels_SEDS_2022_TBtus!$B$3:$B$53&amp;Com_AllFuels_SEDS_2022_TBtus!$A$3:$A$53,0))),0,(index(Com_AllFuels_SEDS_2022_TBtus!$P$3:$P$53,match($B85&amp;AW$2,Com_AllFuels_SEDS_2022_TBtus!$B$3:$B$53&amp;Com_AllFuels_SEDS_2022_TBtus!$A$3:$A$53,0))))</f>
        <v>0</v>
      </c>
      <c r="AX98" s="75">
        <f t="array" ref="AX98">IF(ISERROR(index(Com_AllFuels_SEDS_2022_TBtus!$P$3:$P$53,match($B85&amp;AX$2,Com_AllFuels_SEDS_2022_TBtus!$B$3:$B$53&amp;Com_AllFuels_SEDS_2022_TBtus!$A$3:$A$53,0))),0,(index(Com_AllFuels_SEDS_2022_TBtus!$P$3:$P$53,match($B85&amp;AX$2,Com_AllFuels_SEDS_2022_TBtus!$B$3:$B$53&amp;Com_AllFuels_SEDS_2022_TBtus!$A$3:$A$53,0))))</f>
        <v>0</v>
      </c>
      <c r="AY98" s="75">
        <f t="array" ref="AY98">IF(ISERROR(index(Com_AllFuels_SEDS_2022_TBtus!$P$3:$P$53,match($B85&amp;AY$2,Com_AllFuels_SEDS_2022_TBtus!$B$3:$B$53&amp;Com_AllFuels_SEDS_2022_TBtus!$A$3:$A$53,0))),0,(index(Com_AllFuels_SEDS_2022_TBtus!$P$3:$P$53,match($B85&amp;AY$2,Com_AllFuels_SEDS_2022_TBtus!$B$3:$B$53&amp;Com_AllFuels_SEDS_2022_TBtus!$A$3:$A$53,0))))</f>
        <v>0</v>
      </c>
      <c r="AZ98" s="75">
        <f t="array" ref="AZ98">IF(ISERROR(index(Com_AllFuels_SEDS_2022_TBtus!$P$3:$P$53,match($B85&amp;AZ$2,Com_AllFuels_SEDS_2022_TBtus!$B$3:$B$53&amp;Com_AllFuels_SEDS_2022_TBtus!$A$3:$A$53,0))),0,(index(Com_AllFuels_SEDS_2022_TBtus!$P$3:$P$53,match($B85&amp;AZ$2,Com_AllFuels_SEDS_2022_TBtus!$B$3:$B$53&amp;Com_AllFuels_SEDS_2022_TBtus!$A$3:$A$53,0))))</f>
        <v>0</v>
      </c>
      <c r="BA98" s="75">
        <f t="array" ref="BA98">IF(ISERROR(index(Com_AllFuels_SEDS_2022_TBtus!$P$3:$P$53,match($B85&amp;BA$2,Com_AllFuels_SEDS_2022_TBtus!$B$3:$B$53&amp;Com_AllFuels_SEDS_2022_TBtus!$A$3:$A$53,0))),0,(index(Com_AllFuels_SEDS_2022_TBtus!$P$3:$P$53,match($B85&amp;BA$2,Com_AllFuels_SEDS_2022_TBtus!$B$3:$B$53&amp;Com_AllFuels_SEDS_2022_TBtus!$A$3:$A$53,0))))</f>
        <v>0</v>
      </c>
      <c r="BB98" s="74">
        <f t="shared" si="15"/>
        <v>817.3</v>
      </c>
    </row>
    <row r="99" ht="15.75" customHeight="1">
      <c r="A99" s="78"/>
      <c r="B99" s="74">
        <v>5.0</v>
      </c>
      <c r="C99" s="75">
        <f t="array" ref="C99">IF(ISERROR(index(Com_AllFuels_SEDS_2022_TBtus!$P$3:$P$53,match($B86&amp;C$2,Com_AllFuels_SEDS_2022_TBtus!$B$3:$B$53&amp;Com_AllFuels_SEDS_2022_TBtus!$A$3:$A$53,0))),0,(index(Com_AllFuels_SEDS_2022_TBtus!$P$3:$P$53,match($B86&amp;C$2,Com_AllFuels_SEDS_2022_TBtus!$B$3:$B$53&amp;Com_AllFuels_SEDS_2022_TBtus!$A$3:$A$53,0))))</f>
        <v>0</v>
      </c>
      <c r="D99" s="75">
        <f t="array" ref="D99">IF(ISERROR(index(Com_AllFuels_SEDS_2022_TBtus!$P$3:$P$53,match($B86&amp;D$2,Com_AllFuels_SEDS_2022_TBtus!$B$3:$B$53&amp;Com_AllFuels_SEDS_2022_TBtus!$A$3:$A$53,0))),0,(index(Com_AllFuels_SEDS_2022_TBtus!$P$3:$P$53,match($B86&amp;D$2,Com_AllFuels_SEDS_2022_TBtus!$B$3:$B$53&amp;Com_AllFuels_SEDS_2022_TBtus!$A$3:$A$53,0))))</f>
        <v>0</v>
      </c>
      <c r="E99" s="75">
        <f t="array" ref="E99">IF(ISERROR(index(Com_AllFuels_SEDS_2022_TBtus!$P$3:$P$53,match($B86&amp;E$2,Com_AllFuels_SEDS_2022_TBtus!$B$3:$B$53&amp;Com_AllFuels_SEDS_2022_TBtus!$A$3:$A$53,0))),0,(index(Com_AllFuels_SEDS_2022_TBtus!$P$3:$P$53,match($B86&amp;E$2,Com_AllFuels_SEDS_2022_TBtus!$B$3:$B$53&amp;Com_AllFuels_SEDS_2022_TBtus!$A$3:$A$53,0))))</f>
        <v>0</v>
      </c>
      <c r="F99" s="75">
        <f t="array" ref="F99">IF(ISERROR(index(Com_AllFuels_SEDS_2022_TBtus!$P$3:$P$53,match($B86&amp;F$2,Com_AllFuels_SEDS_2022_TBtus!$B$3:$B$53&amp;Com_AllFuels_SEDS_2022_TBtus!$A$3:$A$53,0))),0,(index(Com_AllFuels_SEDS_2022_TBtus!$P$3:$P$53,match($B86&amp;F$2,Com_AllFuels_SEDS_2022_TBtus!$B$3:$B$53&amp;Com_AllFuels_SEDS_2022_TBtus!$A$3:$A$53,0))))</f>
        <v>0</v>
      </c>
      <c r="G99" s="75">
        <f t="array" ref="G99">IF(ISERROR(index(Com_AllFuels_SEDS_2022_TBtus!$P$3:$P$53,match($B86&amp;G$2,Com_AllFuels_SEDS_2022_TBtus!$B$3:$B$53&amp;Com_AllFuels_SEDS_2022_TBtus!$A$3:$A$53,0))),0,(index(Com_AllFuels_SEDS_2022_TBtus!$P$3:$P$53,match($B86&amp;G$2,Com_AllFuels_SEDS_2022_TBtus!$B$3:$B$53&amp;Com_AllFuels_SEDS_2022_TBtus!$A$3:$A$53,0))))</f>
        <v>0</v>
      </c>
      <c r="H99" s="75">
        <f t="array" ref="H99">IF(ISERROR(index(Com_AllFuels_SEDS_2022_TBtus!$P$3:$P$53,match($B86&amp;H$2,Com_AllFuels_SEDS_2022_TBtus!$B$3:$B$53&amp;Com_AllFuels_SEDS_2022_TBtus!$A$3:$A$53,0))),0,(index(Com_AllFuels_SEDS_2022_TBtus!$P$3:$P$53,match($B86&amp;H$2,Com_AllFuels_SEDS_2022_TBtus!$B$3:$B$53&amp;Com_AllFuels_SEDS_2022_TBtus!$A$3:$A$53,0))))</f>
        <v>0</v>
      </c>
      <c r="I99" s="75">
        <f t="array" ref="I99">IF(ISERROR(index(Com_AllFuels_SEDS_2022_TBtus!$P$3:$P$53,match($B86&amp;I$2,Com_AllFuels_SEDS_2022_TBtus!$B$3:$B$53&amp;Com_AllFuels_SEDS_2022_TBtus!$A$3:$A$53,0))),0,(index(Com_AllFuels_SEDS_2022_TBtus!$P$3:$P$53,match($B86&amp;I$2,Com_AllFuels_SEDS_2022_TBtus!$B$3:$B$53&amp;Com_AllFuels_SEDS_2022_TBtus!$A$3:$A$53,0))))</f>
        <v>0</v>
      </c>
      <c r="J99" s="75">
        <f t="array" ref="J99">IF(ISERROR(index(Com_AllFuels_SEDS_2022_TBtus!$P$3:$P$53,match($B86&amp;J$2,Com_AllFuels_SEDS_2022_TBtus!$B$3:$B$53&amp;Com_AllFuels_SEDS_2022_TBtus!$A$3:$A$53,0))),0,(index(Com_AllFuels_SEDS_2022_TBtus!$P$3:$P$53,match($B86&amp;J$2,Com_AllFuels_SEDS_2022_TBtus!$B$3:$B$53&amp;Com_AllFuels_SEDS_2022_TBtus!$A$3:$A$53,0))))</f>
        <v>29.5</v>
      </c>
      <c r="K99" s="75">
        <f t="array" ref="K99">IF(ISERROR(index(Com_AllFuels_SEDS_2022_TBtus!$P$3:$P$53,match($B86&amp;K$2,Com_AllFuels_SEDS_2022_TBtus!$B$3:$B$53&amp;Com_AllFuels_SEDS_2022_TBtus!$A$3:$A$53,0))),0,(index(Com_AllFuels_SEDS_2022_TBtus!$P$3:$P$53,match($B86&amp;K$2,Com_AllFuels_SEDS_2022_TBtus!$B$3:$B$53&amp;Com_AllFuels_SEDS_2022_TBtus!$A$3:$A$53,0))))</f>
        <v>43.1</v>
      </c>
      <c r="L99" s="81">
        <f t="array" ref="L99">IF(ISERROR(index(Com_AllFuels_SEDS_2022_TBtus!$P$3:$P$53,match($B86&amp;L$2,Com_AllFuels_SEDS_2022_TBtus!$B$3:$B$53&amp;Com_AllFuels_SEDS_2022_TBtus!$A$3:$A$53,0))),0,(index(Com_AllFuels_SEDS_2022_TBtus!$P$3:$P$53,match($B86&amp;L$2,Com_AllFuels_SEDS_2022_TBtus!$B$3:$B$53&amp;Com_AllFuels_SEDS_2022_TBtus!$A$3:$A$53,0))))</f>
        <v>457.3</v>
      </c>
      <c r="M99" s="75">
        <f t="array" ref="M99">IF(ISERROR(index(Com_AllFuels_SEDS_2022_TBtus!$P$3:$P$53,match($B86&amp;M$2,Com_AllFuels_SEDS_2022_TBtus!$B$3:$B$53&amp;Com_AllFuels_SEDS_2022_TBtus!$A$3:$A$53,0))),0,(index(Com_AllFuels_SEDS_2022_TBtus!$P$3:$P$53,match($B86&amp;M$2,Com_AllFuels_SEDS_2022_TBtus!$B$3:$B$53&amp;Com_AllFuels_SEDS_2022_TBtus!$A$3:$A$53,0))))</f>
        <v>252.2</v>
      </c>
      <c r="N99" s="75">
        <f t="array" ref="N99">IF(ISERROR(index(Com_AllFuels_SEDS_2022_TBtus!$P$3:$P$53,match($B86&amp;N$2,Com_AllFuels_SEDS_2022_TBtus!$B$3:$B$53&amp;Com_AllFuels_SEDS_2022_TBtus!$A$3:$A$53,0))),0,(index(Com_AllFuels_SEDS_2022_TBtus!$P$3:$P$53,match($B86&amp;N$2,Com_AllFuels_SEDS_2022_TBtus!$B$3:$B$53&amp;Com_AllFuels_SEDS_2022_TBtus!$A$3:$A$53,0))))</f>
        <v>0</v>
      </c>
      <c r="O99" s="75">
        <f t="array" ref="O99">IF(ISERROR(index(Com_AllFuels_SEDS_2022_TBtus!$P$3:$P$53,match($B86&amp;O$2,Com_AllFuels_SEDS_2022_TBtus!$B$3:$B$53&amp;Com_AllFuels_SEDS_2022_TBtus!$A$3:$A$53,0))),0,(index(Com_AllFuels_SEDS_2022_TBtus!$P$3:$P$53,match($B86&amp;O$2,Com_AllFuels_SEDS_2022_TBtus!$B$3:$B$53&amp;Com_AllFuels_SEDS_2022_TBtus!$A$3:$A$53,0))))</f>
        <v>0</v>
      </c>
      <c r="P99" s="75">
        <f t="array" ref="P99">IF(ISERROR(index(Com_AllFuels_SEDS_2022_TBtus!$P$3:$P$53,match($B86&amp;P$2,Com_AllFuels_SEDS_2022_TBtus!$B$3:$B$53&amp;Com_AllFuels_SEDS_2022_TBtus!$A$3:$A$53,0))),0,(index(Com_AllFuels_SEDS_2022_TBtus!$P$3:$P$53,match($B86&amp;P$2,Com_AllFuels_SEDS_2022_TBtus!$B$3:$B$53&amp;Com_AllFuels_SEDS_2022_TBtus!$A$3:$A$53,0))))</f>
        <v>0</v>
      </c>
      <c r="Q99" s="75">
        <f t="array" ref="Q99">IF(ISERROR(index(Com_AllFuels_SEDS_2022_TBtus!$P$3:$P$53,match($B86&amp;Q$2,Com_AllFuels_SEDS_2022_TBtus!$B$3:$B$53&amp;Com_AllFuels_SEDS_2022_TBtus!$A$3:$A$53,0))),0,(index(Com_AllFuels_SEDS_2022_TBtus!$P$3:$P$53,match($B86&amp;Q$2,Com_AllFuels_SEDS_2022_TBtus!$B$3:$B$53&amp;Com_AllFuels_SEDS_2022_TBtus!$A$3:$A$53,0))))</f>
        <v>0</v>
      </c>
      <c r="R99" s="75">
        <f t="array" ref="R99">IF(ISERROR(index(Com_AllFuels_SEDS_2022_TBtus!$P$3:$P$53,match($B86&amp;R$2,Com_AllFuels_SEDS_2022_TBtus!$B$3:$B$53&amp;Com_AllFuels_SEDS_2022_TBtus!$A$3:$A$53,0))),0,(index(Com_AllFuels_SEDS_2022_TBtus!$P$3:$P$53,match($B86&amp;R$2,Com_AllFuels_SEDS_2022_TBtus!$B$3:$B$53&amp;Com_AllFuels_SEDS_2022_TBtus!$A$3:$A$53,0))))</f>
        <v>0</v>
      </c>
      <c r="S99" s="75">
        <f t="array" ref="S99">IF(ISERROR(index(Com_AllFuels_SEDS_2022_TBtus!$P$3:$P$53,match($B86&amp;S$2,Com_AllFuels_SEDS_2022_TBtus!$B$3:$B$53&amp;Com_AllFuels_SEDS_2022_TBtus!$A$3:$A$53,0))),0,(index(Com_AllFuels_SEDS_2022_TBtus!$P$3:$P$53,match($B86&amp;S$2,Com_AllFuels_SEDS_2022_TBtus!$B$3:$B$53&amp;Com_AllFuels_SEDS_2022_TBtus!$A$3:$A$53,0))))</f>
        <v>0</v>
      </c>
      <c r="T99" s="75">
        <f t="array" ref="T99">IF(ISERROR(index(Com_AllFuels_SEDS_2022_TBtus!$P$3:$P$53,match($B86&amp;T$2,Com_AllFuels_SEDS_2022_TBtus!$B$3:$B$53&amp;Com_AllFuels_SEDS_2022_TBtus!$A$3:$A$53,0))),0,(index(Com_AllFuels_SEDS_2022_TBtus!$P$3:$P$53,match($B86&amp;T$2,Com_AllFuels_SEDS_2022_TBtus!$B$3:$B$53&amp;Com_AllFuels_SEDS_2022_TBtus!$A$3:$A$53,0))))</f>
        <v>0</v>
      </c>
      <c r="U99" s="75">
        <f t="array" ref="U99">IF(ISERROR(index(Com_AllFuels_SEDS_2022_TBtus!$P$3:$P$53,match($B86&amp;U$2,Com_AllFuels_SEDS_2022_TBtus!$B$3:$B$53&amp;Com_AllFuels_SEDS_2022_TBtus!$A$3:$A$53,0))),0,(index(Com_AllFuels_SEDS_2022_TBtus!$P$3:$P$53,match($B86&amp;U$2,Com_AllFuels_SEDS_2022_TBtus!$B$3:$B$53&amp;Com_AllFuels_SEDS_2022_TBtus!$A$3:$A$53,0))))</f>
        <v>0</v>
      </c>
      <c r="V99" s="75">
        <f t="array" ref="V99">IF(ISERROR(index(Com_AllFuels_SEDS_2022_TBtus!$P$3:$P$53,match($B86&amp;V$2,Com_AllFuels_SEDS_2022_TBtus!$B$3:$B$53&amp;Com_AllFuels_SEDS_2022_TBtus!$A$3:$A$53,0))),0,(index(Com_AllFuels_SEDS_2022_TBtus!$P$3:$P$53,match($B86&amp;V$2,Com_AllFuels_SEDS_2022_TBtus!$B$3:$B$53&amp;Com_AllFuels_SEDS_2022_TBtus!$A$3:$A$53,0))))</f>
        <v>0</v>
      </c>
      <c r="W99" s="75">
        <f t="array" ref="W99">IF(ISERROR(index(Com_AllFuels_SEDS_2022_TBtus!$P$3:$P$53,match($B86&amp;W$2,Com_AllFuels_SEDS_2022_TBtus!$B$3:$B$53&amp;Com_AllFuels_SEDS_2022_TBtus!$A$3:$A$53,0))),0,(index(Com_AllFuels_SEDS_2022_TBtus!$P$3:$P$53,match($B86&amp;W$2,Com_AllFuels_SEDS_2022_TBtus!$B$3:$B$53&amp;Com_AllFuels_SEDS_2022_TBtus!$A$3:$A$53,0))))</f>
        <v>193.6</v>
      </c>
      <c r="X99" s="75">
        <f t="array" ref="X99">IF(ISERROR(index(Com_AllFuels_SEDS_2022_TBtus!$P$3:$P$53,match($B86&amp;X$2,Com_AllFuels_SEDS_2022_TBtus!$B$3:$B$53&amp;Com_AllFuels_SEDS_2022_TBtus!$A$3:$A$53,0))),0,(index(Com_AllFuels_SEDS_2022_TBtus!$P$3:$P$53,match($B86&amp;X$2,Com_AllFuels_SEDS_2022_TBtus!$B$3:$B$53&amp;Com_AllFuels_SEDS_2022_TBtus!$A$3:$A$53,0))))</f>
        <v>0</v>
      </c>
      <c r="Y99" s="75">
        <f t="array" ref="Y99">IF(ISERROR(index(Com_AllFuels_SEDS_2022_TBtus!$P$3:$P$53,match($B86&amp;Y$2,Com_AllFuels_SEDS_2022_TBtus!$B$3:$B$53&amp;Com_AllFuels_SEDS_2022_TBtus!$A$3:$A$53,0))),0,(index(Com_AllFuels_SEDS_2022_TBtus!$P$3:$P$53,match($B86&amp;Y$2,Com_AllFuels_SEDS_2022_TBtus!$B$3:$B$53&amp;Com_AllFuels_SEDS_2022_TBtus!$A$3:$A$53,0))))</f>
        <v>0</v>
      </c>
      <c r="Z99" s="75">
        <f t="array" ref="Z99">IF(ISERROR(index(Com_AllFuels_SEDS_2022_TBtus!$P$3:$P$53,match($B86&amp;Z$2,Com_AllFuels_SEDS_2022_TBtus!$B$3:$B$53&amp;Com_AllFuels_SEDS_2022_TBtus!$A$3:$A$53,0))),0,(index(Com_AllFuels_SEDS_2022_TBtus!$P$3:$P$53,match($B86&amp;Z$2,Com_AllFuels_SEDS_2022_TBtus!$B$3:$B$53&amp;Com_AllFuels_SEDS_2022_TBtus!$A$3:$A$53,0))))</f>
        <v>0</v>
      </c>
      <c r="AA99" s="75">
        <f t="array" ref="AA99">IF(ISERROR(index(Com_AllFuels_SEDS_2022_TBtus!$P$3:$P$53,match($B86&amp;AA$2,Com_AllFuels_SEDS_2022_TBtus!$B$3:$B$53&amp;Com_AllFuels_SEDS_2022_TBtus!$A$3:$A$53,0))),0,(index(Com_AllFuels_SEDS_2022_TBtus!$P$3:$P$53,match($B86&amp;AA$2,Com_AllFuels_SEDS_2022_TBtus!$B$3:$B$53&amp;Com_AllFuels_SEDS_2022_TBtus!$A$3:$A$53,0))))</f>
        <v>0</v>
      </c>
      <c r="AB99" s="75">
        <f t="array" ref="AB99">IF(ISERROR(index(Com_AllFuels_SEDS_2022_TBtus!$P$3:$P$53,match($B86&amp;AB$2,Com_AllFuels_SEDS_2022_TBtus!$B$3:$B$53&amp;Com_AllFuels_SEDS_2022_TBtus!$A$3:$A$53,0))),0,(index(Com_AllFuels_SEDS_2022_TBtus!$P$3:$P$53,match($B86&amp;AB$2,Com_AllFuels_SEDS_2022_TBtus!$B$3:$B$53&amp;Com_AllFuels_SEDS_2022_TBtus!$A$3:$A$53,0))))</f>
        <v>0</v>
      </c>
      <c r="AC99" s="75">
        <f t="array" ref="AC99">IF(ISERROR(index(Com_AllFuels_SEDS_2022_TBtus!$P$3:$P$53,match($B86&amp;AC$2,Com_AllFuels_SEDS_2022_TBtus!$B$3:$B$53&amp;Com_AllFuels_SEDS_2022_TBtus!$A$3:$A$53,0))),0,(index(Com_AllFuels_SEDS_2022_TBtus!$P$3:$P$53,match($B86&amp;AC$2,Com_AllFuels_SEDS_2022_TBtus!$B$3:$B$53&amp;Com_AllFuels_SEDS_2022_TBtus!$A$3:$A$53,0))))</f>
        <v>0</v>
      </c>
      <c r="AD99" s="75">
        <f t="array" ref="AD99">IF(ISERROR(index(Com_AllFuels_SEDS_2022_TBtus!$P$3:$P$53,match($B86&amp;AD$2,Com_AllFuels_SEDS_2022_TBtus!$B$3:$B$53&amp;Com_AllFuels_SEDS_2022_TBtus!$A$3:$A$53,0))),0,(index(Com_AllFuels_SEDS_2022_TBtus!$P$3:$P$53,match($B86&amp;AD$2,Com_AllFuels_SEDS_2022_TBtus!$B$3:$B$53&amp;Com_AllFuels_SEDS_2022_TBtus!$A$3:$A$53,0))))</f>
        <v>0</v>
      </c>
      <c r="AE99" s="75">
        <f t="array" ref="AE99">IF(ISERROR(index(Com_AllFuels_SEDS_2022_TBtus!$P$3:$P$53,match($B86&amp;AE$2,Com_AllFuels_SEDS_2022_TBtus!$B$3:$B$53&amp;Com_AllFuels_SEDS_2022_TBtus!$A$3:$A$53,0))),0,(index(Com_AllFuels_SEDS_2022_TBtus!$P$3:$P$53,match($B86&amp;AE$2,Com_AllFuels_SEDS_2022_TBtus!$B$3:$B$53&amp;Com_AllFuels_SEDS_2022_TBtus!$A$3:$A$53,0))))</f>
        <v>0</v>
      </c>
      <c r="AF99" s="75">
        <f t="array" ref="AF99">IF(ISERROR(index(Com_AllFuels_SEDS_2022_TBtus!$P$3:$P$53,match($B86&amp;AF$2,Com_AllFuels_SEDS_2022_TBtus!$B$3:$B$53&amp;Com_AllFuels_SEDS_2022_TBtus!$A$3:$A$53,0))),0,(index(Com_AllFuels_SEDS_2022_TBtus!$P$3:$P$53,match($B86&amp;AF$2,Com_AllFuels_SEDS_2022_TBtus!$B$3:$B$53&amp;Com_AllFuels_SEDS_2022_TBtus!$A$3:$A$53,0))))</f>
        <v>0</v>
      </c>
      <c r="AG99" s="75">
        <f t="array" ref="AG99">IF(ISERROR(index(Com_AllFuels_SEDS_2022_TBtus!$P$3:$P$53,match($B86&amp;AG$2,Com_AllFuels_SEDS_2022_TBtus!$B$3:$B$53&amp;Com_AllFuels_SEDS_2022_TBtus!$A$3:$A$53,0))),0,(index(Com_AllFuels_SEDS_2022_TBtus!$P$3:$P$53,match($B86&amp;AG$2,Com_AllFuels_SEDS_2022_TBtus!$B$3:$B$53&amp;Com_AllFuels_SEDS_2022_TBtus!$A$3:$A$53,0))))</f>
        <v>0</v>
      </c>
      <c r="AH99" s="75">
        <f t="array" ref="AH99">IF(ISERROR(index(Com_AllFuels_SEDS_2022_TBtus!$P$3:$P$53,match($B86&amp;AH$2,Com_AllFuels_SEDS_2022_TBtus!$B$3:$B$53&amp;Com_AllFuels_SEDS_2022_TBtus!$A$3:$A$53,0))),0,(index(Com_AllFuels_SEDS_2022_TBtus!$P$3:$P$53,match($B86&amp;AH$2,Com_AllFuels_SEDS_2022_TBtus!$B$3:$B$53&amp;Com_AllFuels_SEDS_2022_TBtus!$A$3:$A$53,0))))</f>
        <v>0</v>
      </c>
      <c r="AI99" s="75">
        <f t="array" ref="AI99">IF(ISERROR(index(Com_AllFuels_SEDS_2022_TBtus!$P$3:$P$53,match($B86&amp;AI$2,Com_AllFuels_SEDS_2022_TBtus!$B$3:$B$53&amp;Com_AllFuels_SEDS_2022_TBtus!$A$3:$A$53,0))),0,(index(Com_AllFuels_SEDS_2022_TBtus!$P$3:$P$53,match($B86&amp;AI$2,Com_AllFuels_SEDS_2022_TBtus!$B$3:$B$53&amp;Com_AllFuels_SEDS_2022_TBtus!$A$3:$A$53,0))))</f>
        <v>0</v>
      </c>
      <c r="AJ99" s="75">
        <f t="array" ref="AJ99">IF(ISERROR(index(Com_AllFuels_SEDS_2022_TBtus!$P$3:$P$53,match($B86&amp;AJ$2,Com_AllFuels_SEDS_2022_TBtus!$B$3:$B$53&amp;Com_AllFuels_SEDS_2022_TBtus!$A$3:$A$53,0))),0,(index(Com_AllFuels_SEDS_2022_TBtus!$P$3:$P$53,match($B86&amp;AJ$2,Com_AllFuels_SEDS_2022_TBtus!$B$3:$B$53&amp;Com_AllFuels_SEDS_2022_TBtus!$A$3:$A$53,0))))</f>
        <v>280.1</v>
      </c>
      <c r="AK99" s="75">
        <f t="array" ref="AK99">IF(ISERROR(index(Com_AllFuels_SEDS_2022_TBtus!$P$3:$P$53,match($B86&amp;AK$2,Com_AllFuels_SEDS_2022_TBtus!$B$3:$B$53&amp;Com_AllFuels_SEDS_2022_TBtus!$A$3:$A$53,0))),0,(index(Com_AllFuels_SEDS_2022_TBtus!$P$3:$P$53,match($B86&amp;AK$2,Com_AllFuels_SEDS_2022_TBtus!$B$3:$B$53&amp;Com_AllFuels_SEDS_2022_TBtus!$A$3:$A$53,0))))</f>
        <v>0</v>
      </c>
      <c r="AL99" s="75">
        <f t="array" ref="AL99">IF(ISERROR(index(Com_AllFuels_SEDS_2022_TBtus!$P$3:$P$53,match($B86&amp;AL$2,Com_AllFuels_SEDS_2022_TBtus!$B$3:$B$53&amp;Com_AllFuels_SEDS_2022_TBtus!$A$3:$A$53,0))),0,(index(Com_AllFuels_SEDS_2022_TBtus!$P$3:$P$53,match($B86&amp;AL$2,Com_AllFuels_SEDS_2022_TBtus!$B$3:$B$53&amp;Com_AllFuels_SEDS_2022_TBtus!$A$3:$A$53,0))))</f>
        <v>0</v>
      </c>
      <c r="AM99" s="75">
        <f t="array" ref="AM99">IF(ISERROR(index(Com_AllFuels_SEDS_2022_TBtus!$P$3:$P$53,match($B86&amp;AM$2,Com_AllFuels_SEDS_2022_TBtus!$B$3:$B$53&amp;Com_AllFuels_SEDS_2022_TBtus!$A$3:$A$53,0))),0,(index(Com_AllFuels_SEDS_2022_TBtus!$P$3:$P$53,match($B86&amp;AM$2,Com_AllFuels_SEDS_2022_TBtus!$B$3:$B$53&amp;Com_AllFuels_SEDS_2022_TBtus!$A$3:$A$53,0))))</f>
        <v>0</v>
      </c>
      <c r="AN99" s="75">
        <f t="array" ref="AN99">IF(ISERROR(index(Com_AllFuels_SEDS_2022_TBtus!$P$3:$P$53,match($B86&amp;AN$2,Com_AllFuels_SEDS_2022_TBtus!$B$3:$B$53&amp;Com_AllFuels_SEDS_2022_TBtus!$A$3:$A$53,0))),0,(index(Com_AllFuels_SEDS_2022_TBtus!$P$3:$P$53,match($B86&amp;AN$2,Com_AllFuels_SEDS_2022_TBtus!$B$3:$B$53&amp;Com_AllFuels_SEDS_2022_TBtus!$A$3:$A$53,0))))</f>
        <v>0</v>
      </c>
      <c r="AO99" s="75">
        <f t="array" ref="AO99">IF(ISERROR(index(Com_AllFuels_SEDS_2022_TBtus!$P$3:$P$53,match($B86&amp;AO$2,Com_AllFuels_SEDS_2022_TBtus!$B$3:$B$53&amp;Com_AllFuels_SEDS_2022_TBtus!$A$3:$A$53,0))),0,(index(Com_AllFuels_SEDS_2022_TBtus!$P$3:$P$53,match($B86&amp;AO$2,Com_AllFuels_SEDS_2022_TBtus!$B$3:$B$53&amp;Com_AllFuels_SEDS_2022_TBtus!$A$3:$A$53,0))))</f>
        <v>0</v>
      </c>
      <c r="AP99" s="75">
        <f t="array" ref="AP99">IF(ISERROR(index(Com_AllFuels_SEDS_2022_TBtus!$P$3:$P$53,match($B86&amp;AP$2,Com_AllFuels_SEDS_2022_TBtus!$B$3:$B$53&amp;Com_AllFuels_SEDS_2022_TBtus!$A$3:$A$53,0))),0,(index(Com_AllFuels_SEDS_2022_TBtus!$P$3:$P$53,match($B86&amp;AP$2,Com_AllFuels_SEDS_2022_TBtus!$B$3:$B$53&amp;Com_AllFuels_SEDS_2022_TBtus!$A$3:$A$53,0))))</f>
        <v>0</v>
      </c>
      <c r="AQ99" s="75">
        <f t="array" ref="AQ99">IF(ISERROR(index(Com_AllFuels_SEDS_2022_TBtus!$P$3:$P$53,match($B86&amp;AQ$2,Com_AllFuels_SEDS_2022_TBtus!$B$3:$B$53&amp;Com_AllFuels_SEDS_2022_TBtus!$A$3:$A$53,0))),0,(index(Com_AllFuels_SEDS_2022_TBtus!$P$3:$P$53,match($B86&amp;AQ$2,Com_AllFuels_SEDS_2022_TBtus!$B$3:$B$53&amp;Com_AllFuels_SEDS_2022_TBtus!$A$3:$A$53,0))))</f>
        <v>123.1</v>
      </c>
      <c r="AR99" s="75">
        <f t="array" ref="AR99">IF(ISERROR(index(Com_AllFuels_SEDS_2022_TBtus!$P$3:$P$53,match($B86&amp;AR$2,Com_AllFuels_SEDS_2022_TBtus!$B$3:$B$53&amp;Com_AllFuels_SEDS_2022_TBtus!$A$3:$A$53,0))),0,(index(Com_AllFuels_SEDS_2022_TBtus!$P$3:$P$53,match($B86&amp;AR$2,Com_AllFuels_SEDS_2022_TBtus!$B$3:$B$53&amp;Com_AllFuels_SEDS_2022_TBtus!$A$3:$A$53,0))))</f>
        <v>0</v>
      </c>
      <c r="AS99" s="75">
        <f t="array" ref="AS99">IF(ISERROR(index(Com_AllFuels_SEDS_2022_TBtus!$P$3:$P$53,match($B86&amp;AS$2,Com_AllFuels_SEDS_2022_TBtus!$B$3:$B$53&amp;Com_AllFuels_SEDS_2022_TBtus!$A$3:$A$53,0))),0,(index(Com_AllFuels_SEDS_2022_TBtus!$P$3:$P$53,match($B86&amp;AS$2,Com_AllFuels_SEDS_2022_TBtus!$B$3:$B$53&amp;Com_AllFuels_SEDS_2022_TBtus!$A$3:$A$53,0))))</f>
        <v>0</v>
      </c>
      <c r="AT99" s="75">
        <f t="array" ref="AT99">IF(ISERROR(index(Com_AllFuels_SEDS_2022_TBtus!$P$3:$P$53,match($B86&amp;AT$2,Com_AllFuels_SEDS_2022_TBtus!$B$3:$B$53&amp;Com_AllFuels_SEDS_2022_TBtus!$A$3:$A$53,0))),0,(index(Com_AllFuels_SEDS_2022_TBtus!$P$3:$P$53,match($B86&amp;AT$2,Com_AllFuels_SEDS_2022_TBtus!$B$3:$B$53&amp;Com_AllFuels_SEDS_2022_TBtus!$A$3:$A$53,0))))</f>
        <v>0</v>
      </c>
      <c r="AU99" s="75">
        <f t="array" ref="AU99">IF(ISERROR(index(Com_AllFuels_SEDS_2022_TBtus!$P$3:$P$53,match($B86&amp;AU$2,Com_AllFuels_SEDS_2022_TBtus!$B$3:$B$53&amp;Com_AllFuels_SEDS_2022_TBtus!$A$3:$A$53,0))),0,(index(Com_AllFuels_SEDS_2022_TBtus!$P$3:$P$53,match($B86&amp;AU$2,Com_AllFuels_SEDS_2022_TBtus!$B$3:$B$53&amp;Com_AllFuels_SEDS_2022_TBtus!$A$3:$A$53,0))))</f>
        <v>0</v>
      </c>
      <c r="AV99" s="75">
        <f t="array" ref="AV99">IF(ISERROR(index(Com_AllFuels_SEDS_2022_TBtus!$P$3:$P$53,match($B86&amp;AV$2,Com_AllFuels_SEDS_2022_TBtus!$B$3:$B$53&amp;Com_AllFuels_SEDS_2022_TBtus!$A$3:$A$53,0))),0,(index(Com_AllFuels_SEDS_2022_TBtus!$P$3:$P$53,match($B86&amp;AV$2,Com_AllFuels_SEDS_2022_TBtus!$B$3:$B$53&amp;Com_AllFuels_SEDS_2022_TBtus!$A$3:$A$53,0))))</f>
        <v>0</v>
      </c>
      <c r="AW99" s="75">
        <f t="array" ref="AW99">IF(ISERROR(index(Com_AllFuels_SEDS_2022_TBtus!$P$3:$P$53,match($B86&amp;AW$2,Com_AllFuels_SEDS_2022_TBtus!$B$3:$B$53&amp;Com_AllFuels_SEDS_2022_TBtus!$A$3:$A$53,0))),0,(index(Com_AllFuels_SEDS_2022_TBtus!$P$3:$P$53,match($B86&amp;AW$2,Com_AllFuels_SEDS_2022_TBtus!$B$3:$B$53&amp;Com_AllFuels_SEDS_2022_TBtus!$A$3:$A$53,0))))</f>
        <v>353.9</v>
      </c>
      <c r="AX99" s="75">
        <f t="array" ref="AX99">IF(ISERROR(index(Com_AllFuels_SEDS_2022_TBtus!$P$3:$P$53,match($B86&amp;AX$2,Com_AllFuels_SEDS_2022_TBtus!$B$3:$B$53&amp;Com_AllFuels_SEDS_2022_TBtus!$A$3:$A$53,0))),0,(index(Com_AllFuels_SEDS_2022_TBtus!$P$3:$P$53,match($B86&amp;AX$2,Com_AllFuels_SEDS_2022_TBtus!$B$3:$B$53&amp;Com_AllFuels_SEDS_2022_TBtus!$A$3:$A$53,0))))</f>
        <v>0</v>
      </c>
      <c r="AY99" s="75">
        <f t="array" ref="AY99">IF(ISERROR(index(Com_AllFuels_SEDS_2022_TBtus!$P$3:$P$53,match($B86&amp;AY$2,Com_AllFuels_SEDS_2022_TBtus!$B$3:$B$53&amp;Com_AllFuels_SEDS_2022_TBtus!$A$3:$A$53,0))),0,(index(Com_AllFuels_SEDS_2022_TBtus!$P$3:$P$53,match($B86&amp;AY$2,Com_AllFuels_SEDS_2022_TBtus!$B$3:$B$53&amp;Com_AllFuels_SEDS_2022_TBtus!$A$3:$A$53,0))))</f>
        <v>57.5</v>
      </c>
      <c r="AZ99" s="75">
        <f t="array" ref="AZ99">IF(ISERROR(index(Com_AllFuels_SEDS_2022_TBtus!$P$3:$P$53,match($B86&amp;AZ$2,Com_AllFuels_SEDS_2022_TBtus!$B$3:$B$53&amp;Com_AllFuels_SEDS_2022_TBtus!$A$3:$A$53,0))),0,(index(Com_AllFuels_SEDS_2022_TBtus!$P$3:$P$53,match($B86&amp;AZ$2,Com_AllFuels_SEDS_2022_TBtus!$B$3:$B$53&amp;Com_AllFuels_SEDS_2022_TBtus!$A$3:$A$53,0))))</f>
        <v>0</v>
      </c>
      <c r="BA99" s="75">
        <f t="array" ref="BA99">IF(ISERROR(index(Com_AllFuels_SEDS_2022_TBtus!$P$3:$P$53,match($B86&amp;BA$2,Com_AllFuels_SEDS_2022_TBtus!$B$3:$B$53&amp;Com_AllFuels_SEDS_2022_TBtus!$A$3:$A$53,0))),0,(index(Com_AllFuels_SEDS_2022_TBtus!$P$3:$P$53,match($B86&amp;BA$2,Com_AllFuels_SEDS_2022_TBtus!$B$3:$B$53&amp;Com_AllFuels_SEDS_2022_TBtus!$A$3:$A$53,0))))</f>
        <v>0</v>
      </c>
      <c r="BB99" s="74">
        <f t="shared" si="15"/>
        <v>1790.3</v>
      </c>
    </row>
    <row r="100" ht="15.75" customHeight="1">
      <c r="A100" s="78"/>
      <c r="B100" s="74">
        <v>6.0</v>
      </c>
      <c r="C100" s="75">
        <f t="array" ref="C100">IF(ISERROR(index(Com_AllFuels_SEDS_2022_TBtus!$P$3:$P$53,match($B87&amp;C$2,Com_AllFuels_SEDS_2022_TBtus!$B$3:$B$53&amp;Com_AllFuels_SEDS_2022_TBtus!$A$3:$A$53,0))),0,(index(Com_AllFuels_SEDS_2022_TBtus!$P$3:$P$53,match($B87&amp;C$2,Com_AllFuels_SEDS_2022_TBtus!$B$3:$B$53&amp;Com_AllFuels_SEDS_2022_TBtus!$A$3:$A$53,0))))</f>
        <v>120.1</v>
      </c>
      <c r="D100" s="75">
        <f t="array" ref="D100">IF(ISERROR(index(Com_AllFuels_SEDS_2022_TBtus!$P$3:$P$53,match($B87&amp;D$2,Com_AllFuels_SEDS_2022_TBtus!$B$3:$B$53&amp;Com_AllFuels_SEDS_2022_TBtus!$A$3:$A$53,0))),0,(index(Com_AllFuels_SEDS_2022_TBtus!$P$3:$P$53,match($B87&amp;D$2,Com_AllFuels_SEDS_2022_TBtus!$B$3:$B$53&amp;Com_AllFuels_SEDS_2022_TBtus!$A$3:$A$53,0))))</f>
        <v>0</v>
      </c>
      <c r="E100" s="75">
        <f t="array" ref="E100">IF(ISERROR(index(Com_AllFuels_SEDS_2022_TBtus!$P$3:$P$53,match($B87&amp;E$2,Com_AllFuels_SEDS_2022_TBtus!$B$3:$B$53&amp;Com_AllFuels_SEDS_2022_TBtus!$A$3:$A$53,0))),0,(index(Com_AllFuels_SEDS_2022_TBtus!$P$3:$P$53,match($B87&amp;E$2,Com_AllFuels_SEDS_2022_TBtus!$B$3:$B$53&amp;Com_AllFuels_SEDS_2022_TBtus!$A$3:$A$53,0))))</f>
        <v>0</v>
      </c>
      <c r="F100" s="75">
        <f t="array" ref="F100">IF(ISERROR(index(Com_AllFuels_SEDS_2022_TBtus!$P$3:$P$53,match($B87&amp;F$2,Com_AllFuels_SEDS_2022_TBtus!$B$3:$B$53&amp;Com_AllFuels_SEDS_2022_TBtus!$A$3:$A$53,0))),0,(index(Com_AllFuels_SEDS_2022_TBtus!$P$3:$P$53,match($B87&amp;F$2,Com_AllFuels_SEDS_2022_TBtus!$B$3:$B$53&amp;Com_AllFuels_SEDS_2022_TBtus!$A$3:$A$53,0))))</f>
        <v>0</v>
      </c>
      <c r="G100" s="75">
        <f t="array" ref="G100">IF(ISERROR(index(Com_AllFuels_SEDS_2022_TBtus!$P$3:$P$53,match($B87&amp;G$2,Com_AllFuels_SEDS_2022_TBtus!$B$3:$B$53&amp;Com_AllFuels_SEDS_2022_TBtus!$A$3:$A$53,0))),0,(index(Com_AllFuels_SEDS_2022_TBtus!$P$3:$P$53,match($B87&amp;G$2,Com_AllFuels_SEDS_2022_TBtus!$B$3:$B$53&amp;Com_AllFuels_SEDS_2022_TBtus!$A$3:$A$53,0))))</f>
        <v>0</v>
      </c>
      <c r="H100" s="75">
        <f t="array" ref="H100">IF(ISERROR(index(Com_AllFuels_SEDS_2022_TBtus!$P$3:$P$53,match($B87&amp;H$2,Com_AllFuels_SEDS_2022_TBtus!$B$3:$B$53&amp;Com_AllFuels_SEDS_2022_TBtus!$A$3:$A$53,0))),0,(index(Com_AllFuels_SEDS_2022_TBtus!$P$3:$P$53,match($B87&amp;H$2,Com_AllFuels_SEDS_2022_TBtus!$B$3:$B$53&amp;Com_AllFuels_SEDS_2022_TBtus!$A$3:$A$53,0))))</f>
        <v>0</v>
      </c>
      <c r="I100" s="75">
        <f t="array" ref="I100">IF(ISERROR(index(Com_AllFuels_SEDS_2022_TBtus!$P$3:$P$53,match($B87&amp;I$2,Com_AllFuels_SEDS_2022_TBtus!$B$3:$B$53&amp;Com_AllFuels_SEDS_2022_TBtus!$A$3:$A$53,0))),0,(index(Com_AllFuels_SEDS_2022_TBtus!$P$3:$P$53,match($B87&amp;I$2,Com_AllFuels_SEDS_2022_TBtus!$B$3:$B$53&amp;Com_AllFuels_SEDS_2022_TBtus!$A$3:$A$53,0))))</f>
        <v>0</v>
      </c>
      <c r="J100" s="75">
        <f t="array" ref="J100">IF(ISERROR(index(Com_AllFuels_SEDS_2022_TBtus!$P$3:$P$53,match($B87&amp;J$2,Com_AllFuels_SEDS_2022_TBtus!$B$3:$B$53&amp;Com_AllFuels_SEDS_2022_TBtus!$A$3:$A$53,0))),0,(index(Com_AllFuels_SEDS_2022_TBtus!$P$3:$P$53,match($B87&amp;J$2,Com_AllFuels_SEDS_2022_TBtus!$B$3:$B$53&amp;Com_AllFuels_SEDS_2022_TBtus!$A$3:$A$53,0))))</f>
        <v>0</v>
      </c>
      <c r="K100" s="75">
        <f t="array" ref="K100">IF(ISERROR(index(Com_AllFuels_SEDS_2022_TBtus!$P$3:$P$53,match($B87&amp;K$2,Com_AllFuels_SEDS_2022_TBtus!$B$3:$B$53&amp;Com_AllFuels_SEDS_2022_TBtus!$A$3:$A$53,0))),0,(index(Com_AllFuels_SEDS_2022_TBtus!$P$3:$P$53,match($B87&amp;K$2,Com_AllFuels_SEDS_2022_TBtus!$B$3:$B$53&amp;Com_AllFuels_SEDS_2022_TBtus!$A$3:$A$53,0))))</f>
        <v>0</v>
      </c>
      <c r="L100" s="75">
        <f t="array" ref="L100">IF(ISERROR(index(Com_AllFuels_SEDS_2022_TBtus!$P$3:$P$53,match($B87&amp;L$2,Com_AllFuels_SEDS_2022_TBtus!$B$3:$B$53&amp;Com_AllFuels_SEDS_2022_TBtus!$A$3:$A$53,0))),0,(index(Com_AllFuels_SEDS_2022_TBtus!$P$3:$P$53,match($B87&amp;L$2,Com_AllFuels_SEDS_2022_TBtus!$B$3:$B$53&amp;Com_AllFuels_SEDS_2022_TBtus!$A$3:$A$53,0))))</f>
        <v>0</v>
      </c>
      <c r="M100" s="75">
        <f t="array" ref="M100">IF(ISERROR(index(Com_AllFuels_SEDS_2022_TBtus!$P$3:$P$53,match($B87&amp;M$2,Com_AllFuels_SEDS_2022_TBtus!$B$3:$B$53&amp;Com_AllFuels_SEDS_2022_TBtus!$A$3:$A$53,0))),0,(index(Com_AllFuels_SEDS_2022_TBtus!$P$3:$P$53,match($B87&amp;M$2,Com_AllFuels_SEDS_2022_TBtus!$B$3:$B$53&amp;Com_AllFuels_SEDS_2022_TBtus!$A$3:$A$53,0))))</f>
        <v>0</v>
      </c>
      <c r="N100" s="75">
        <f t="array" ref="N100">IF(ISERROR(index(Com_AllFuels_SEDS_2022_TBtus!$P$3:$P$53,match($B87&amp;N$2,Com_AllFuels_SEDS_2022_TBtus!$B$3:$B$53&amp;Com_AllFuels_SEDS_2022_TBtus!$A$3:$A$53,0))),0,(index(Com_AllFuels_SEDS_2022_TBtus!$P$3:$P$53,match($B87&amp;N$2,Com_AllFuels_SEDS_2022_TBtus!$B$3:$B$53&amp;Com_AllFuels_SEDS_2022_TBtus!$A$3:$A$53,0))))</f>
        <v>0</v>
      </c>
      <c r="O100" s="75">
        <f t="array" ref="O100">IF(ISERROR(index(Com_AllFuels_SEDS_2022_TBtus!$P$3:$P$53,match($B87&amp;O$2,Com_AllFuels_SEDS_2022_TBtus!$B$3:$B$53&amp;Com_AllFuels_SEDS_2022_TBtus!$A$3:$A$53,0))),0,(index(Com_AllFuels_SEDS_2022_TBtus!$P$3:$P$53,match($B87&amp;O$2,Com_AllFuels_SEDS_2022_TBtus!$B$3:$B$53&amp;Com_AllFuels_SEDS_2022_TBtus!$A$3:$A$53,0))))</f>
        <v>0</v>
      </c>
      <c r="P100" s="75">
        <f t="array" ref="P100">IF(ISERROR(index(Com_AllFuels_SEDS_2022_TBtus!$P$3:$P$53,match($B87&amp;P$2,Com_AllFuels_SEDS_2022_TBtus!$B$3:$B$53&amp;Com_AllFuels_SEDS_2022_TBtus!$A$3:$A$53,0))),0,(index(Com_AllFuels_SEDS_2022_TBtus!$P$3:$P$53,match($B87&amp;P$2,Com_AllFuels_SEDS_2022_TBtus!$B$3:$B$53&amp;Com_AllFuels_SEDS_2022_TBtus!$A$3:$A$53,0))))</f>
        <v>0</v>
      </c>
      <c r="Q100" s="75">
        <f t="array" ref="Q100">IF(ISERROR(index(Com_AllFuels_SEDS_2022_TBtus!$P$3:$P$53,match($B87&amp;Q$2,Com_AllFuels_SEDS_2022_TBtus!$B$3:$B$53&amp;Com_AllFuels_SEDS_2022_TBtus!$A$3:$A$53,0))),0,(index(Com_AllFuels_SEDS_2022_TBtus!$P$3:$P$53,match($B87&amp;Q$2,Com_AllFuels_SEDS_2022_TBtus!$B$3:$B$53&amp;Com_AllFuels_SEDS_2022_TBtus!$A$3:$A$53,0))))</f>
        <v>0</v>
      </c>
      <c r="R100" s="75">
        <f t="array" ref="R100">IF(ISERROR(index(Com_AllFuels_SEDS_2022_TBtus!$P$3:$P$53,match($B87&amp;R$2,Com_AllFuels_SEDS_2022_TBtus!$B$3:$B$53&amp;Com_AllFuels_SEDS_2022_TBtus!$A$3:$A$53,0))),0,(index(Com_AllFuels_SEDS_2022_TBtus!$P$3:$P$53,match($B87&amp;R$2,Com_AllFuels_SEDS_2022_TBtus!$B$3:$B$53&amp;Com_AllFuels_SEDS_2022_TBtus!$A$3:$A$53,0))))</f>
        <v>0</v>
      </c>
      <c r="S100" s="75">
        <f t="array" ref="S100">IF(ISERROR(index(Com_AllFuels_SEDS_2022_TBtus!$P$3:$P$53,match($B87&amp;S$2,Com_AllFuels_SEDS_2022_TBtus!$B$3:$B$53&amp;Com_AllFuels_SEDS_2022_TBtus!$A$3:$A$53,0))),0,(index(Com_AllFuels_SEDS_2022_TBtus!$P$3:$P$53,match($B87&amp;S$2,Com_AllFuels_SEDS_2022_TBtus!$B$3:$B$53&amp;Com_AllFuels_SEDS_2022_TBtus!$A$3:$A$53,0))))</f>
        <v>0</v>
      </c>
      <c r="T100" s="75">
        <f t="array" ref="T100">IF(ISERROR(index(Com_AllFuels_SEDS_2022_TBtus!$P$3:$P$53,match($B87&amp;T$2,Com_AllFuels_SEDS_2022_TBtus!$B$3:$B$53&amp;Com_AllFuels_SEDS_2022_TBtus!$A$3:$A$53,0))),0,(index(Com_AllFuels_SEDS_2022_TBtus!$P$3:$P$53,match($B87&amp;T$2,Com_AllFuels_SEDS_2022_TBtus!$B$3:$B$53&amp;Com_AllFuels_SEDS_2022_TBtus!$A$3:$A$53,0))))</f>
        <v>120.6</v>
      </c>
      <c r="U100" s="75">
        <f t="array" ref="U100">IF(ISERROR(index(Com_AllFuels_SEDS_2022_TBtus!$P$3:$P$53,match($B87&amp;U$2,Com_AllFuels_SEDS_2022_TBtus!$B$3:$B$53&amp;Com_AllFuels_SEDS_2022_TBtus!$A$3:$A$53,0))),0,(index(Com_AllFuels_SEDS_2022_TBtus!$P$3:$P$53,match($B87&amp;U$2,Com_AllFuels_SEDS_2022_TBtus!$B$3:$B$53&amp;Com_AllFuels_SEDS_2022_TBtus!$A$3:$A$53,0))))</f>
        <v>0</v>
      </c>
      <c r="V100" s="75">
        <f t="array" ref="V100">IF(ISERROR(index(Com_AllFuels_SEDS_2022_TBtus!$P$3:$P$53,match($B87&amp;V$2,Com_AllFuels_SEDS_2022_TBtus!$B$3:$B$53&amp;Com_AllFuels_SEDS_2022_TBtus!$A$3:$A$53,0))),0,(index(Com_AllFuels_SEDS_2022_TBtus!$P$3:$P$53,match($B87&amp;V$2,Com_AllFuels_SEDS_2022_TBtus!$B$3:$B$53&amp;Com_AllFuels_SEDS_2022_TBtus!$A$3:$A$53,0))))</f>
        <v>0</v>
      </c>
      <c r="W100" s="75">
        <f t="array" ref="W100">IF(ISERROR(index(Com_AllFuels_SEDS_2022_TBtus!$P$3:$P$53,match($B87&amp;W$2,Com_AllFuels_SEDS_2022_TBtus!$B$3:$B$53&amp;Com_AllFuels_SEDS_2022_TBtus!$A$3:$A$53,0))),0,(index(Com_AllFuels_SEDS_2022_TBtus!$P$3:$P$53,match($B87&amp;W$2,Com_AllFuels_SEDS_2022_TBtus!$B$3:$B$53&amp;Com_AllFuels_SEDS_2022_TBtus!$A$3:$A$53,0))))</f>
        <v>0</v>
      </c>
      <c r="X100" s="75">
        <f t="array" ref="X100">IF(ISERROR(index(Com_AllFuels_SEDS_2022_TBtus!$P$3:$P$53,match($B87&amp;X$2,Com_AllFuels_SEDS_2022_TBtus!$B$3:$B$53&amp;Com_AllFuels_SEDS_2022_TBtus!$A$3:$A$53,0))),0,(index(Com_AllFuels_SEDS_2022_TBtus!$P$3:$P$53,match($B87&amp;X$2,Com_AllFuels_SEDS_2022_TBtus!$B$3:$B$53&amp;Com_AllFuels_SEDS_2022_TBtus!$A$3:$A$53,0))))</f>
        <v>0</v>
      </c>
      <c r="Y100" s="75">
        <f t="array" ref="Y100">IF(ISERROR(index(Com_AllFuels_SEDS_2022_TBtus!$P$3:$P$53,match($B87&amp;Y$2,Com_AllFuels_SEDS_2022_TBtus!$B$3:$B$53&amp;Com_AllFuels_SEDS_2022_TBtus!$A$3:$A$53,0))),0,(index(Com_AllFuels_SEDS_2022_TBtus!$P$3:$P$53,match($B87&amp;Y$2,Com_AllFuels_SEDS_2022_TBtus!$B$3:$B$53&amp;Com_AllFuels_SEDS_2022_TBtus!$A$3:$A$53,0))))</f>
        <v>0</v>
      </c>
      <c r="Z100" s="75">
        <f t="array" ref="Z100">IF(ISERROR(index(Com_AllFuels_SEDS_2022_TBtus!$P$3:$P$53,match($B87&amp;Z$2,Com_AllFuels_SEDS_2022_TBtus!$B$3:$B$53&amp;Com_AllFuels_SEDS_2022_TBtus!$A$3:$A$53,0))),0,(index(Com_AllFuels_SEDS_2022_TBtus!$P$3:$P$53,match($B87&amp;Z$2,Com_AllFuels_SEDS_2022_TBtus!$B$3:$B$53&amp;Com_AllFuels_SEDS_2022_TBtus!$A$3:$A$53,0))))</f>
        <v>0</v>
      </c>
      <c r="AA100" s="75">
        <f t="array" ref="AA100">IF(ISERROR(index(Com_AllFuels_SEDS_2022_TBtus!$P$3:$P$53,match($B87&amp;AA$2,Com_AllFuels_SEDS_2022_TBtus!$B$3:$B$53&amp;Com_AllFuels_SEDS_2022_TBtus!$A$3:$A$53,0))),0,(index(Com_AllFuels_SEDS_2022_TBtus!$P$3:$P$53,match($B87&amp;AA$2,Com_AllFuels_SEDS_2022_TBtus!$B$3:$B$53&amp;Com_AllFuels_SEDS_2022_TBtus!$A$3:$A$53,0))))</f>
        <v>78.1</v>
      </c>
      <c r="AB100" s="75">
        <f t="array" ref="AB100">IF(ISERROR(index(Com_AllFuels_SEDS_2022_TBtus!$P$3:$P$53,match($B87&amp;AB$2,Com_AllFuels_SEDS_2022_TBtus!$B$3:$B$53&amp;Com_AllFuels_SEDS_2022_TBtus!$A$3:$A$53,0))),0,(index(Com_AllFuels_SEDS_2022_TBtus!$P$3:$P$53,match($B87&amp;AB$2,Com_AllFuels_SEDS_2022_TBtus!$B$3:$B$53&amp;Com_AllFuels_SEDS_2022_TBtus!$A$3:$A$53,0))))</f>
        <v>0</v>
      </c>
      <c r="AC100" s="75">
        <f t="array" ref="AC100">IF(ISERROR(index(Com_AllFuels_SEDS_2022_TBtus!$P$3:$P$53,match($B87&amp;AC$2,Com_AllFuels_SEDS_2022_TBtus!$B$3:$B$53&amp;Com_AllFuels_SEDS_2022_TBtus!$A$3:$A$53,0))),0,(index(Com_AllFuels_SEDS_2022_TBtus!$P$3:$P$53,match($B87&amp;AC$2,Com_AllFuels_SEDS_2022_TBtus!$B$3:$B$53&amp;Com_AllFuels_SEDS_2022_TBtus!$A$3:$A$53,0))))</f>
        <v>0</v>
      </c>
      <c r="AD100" s="75">
        <f t="array" ref="AD100">IF(ISERROR(index(Com_AllFuels_SEDS_2022_TBtus!$P$3:$P$53,match($B87&amp;AD$2,Com_AllFuels_SEDS_2022_TBtus!$B$3:$B$53&amp;Com_AllFuels_SEDS_2022_TBtus!$A$3:$A$53,0))),0,(index(Com_AllFuels_SEDS_2022_TBtus!$P$3:$P$53,match($B87&amp;AD$2,Com_AllFuels_SEDS_2022_TBtus!$B$3:$B$53&amp;Com_AllFuels_SEDS_2022_TBtus!$A$3:$A$53,0))))</f>
        <v>0</v>
      </c>
      <c r="AE100" s="75">
        <f t="array" ref="AE100">IF(ISERROR(index(Com_AllFuels_SEDS_2022_TBtus!$P$3:$P$53,match($B87&amp;AE$2,Com_AllFuels_SEDS_2022_TBtus!$B$3:$B$53&amp;Com_AllFuels_SEDS_2022_TBtus!$A$3:$A$53,0))),0,(index(Com_AllFuels_SEDS_2022_TBtus!$P$3:$P$53,match($B87&amp;AE$2,Com_AllFuels_SEDS_2022_TBtus!$B$3:$B$53&amp;Com_AllFuels_SEDS_2022_TBtus!$A$3:$A$53,0))))</f>
        <v>0</v>
      </c>
      <c r="AF100" s="75">
        <f t="array" ref="AF100">IF(ISERROR(index(Com_AllFuels_SEDS_2022_TBtus!$P$3:$P$53,match($B87&amp;AF$2,Com_AllFuels_SEDS_2022_TBtus!$B$3:$B$53&amp;Com_AllFuels_SEDS_2022_TBtus!$A$3:$A$53,0))),0,(index(Com_AllFuels_SEDS_2022_TBtus!$P$3:$P$53,match($B87&amp;AF$2,Com_AllFuels_SEDS_2022_TBtus!$B$3:$B$53&amp;Com_AllFuels_SEDS_2022_TBtus!$A$3:$A$53,0))))</f>
        <v>0</v>
      </c>
      <c r="AG100" s="75">
        <f t="array" ref="AG100">IF(ISERROR(index(Com_AllFuels_SEDS_2022_TBtus!$P$3:$P$53,match($B87&amp;AG$2,Com_AllFuels_SEDS_2022_TBtus!$B$3:$B$53&amp;Com_AllFuels_SEDS_2022_TBtus!$A$3:$A$53,0))),0,(index(Com_AllFuels_SEDS_2022_TBtus!$P$3:$P$53,match($B87&amp;AG$2,Com_AllFuels_SEDS_2022_TBtus!$B$3:$B$53&amp;Com_AllFuels_SEDS_2022_TBtus!$A$3:$A$53,0))))</f>
        <v>0</v>
      </c>
      <c r="AH100" s="75">
        <f t="array" ref="AH100">IF(ISERROR(index(Com_AllFuels_SEDS_2022_TBtus!$P$3:$P$53,match($B87&amp;AH$2,Com_AllFuels_SEDS_2022_TBtus!$B$3:$B$53&amp;Com_AllFuels_SEDS_2022_TBtus!$A$3:$A$53,0))),0,(index(Com_AllFuels_SEDS_2022_TBtus!$P$3:$P$53,match($B87&amp;AH$2,Com_AllFuels_SEDS_2022_TBtus!$B$3:$B$53&amp;Com_AllFuels_SEDS_2022_TBtus!$A$3:$A$53,0))))</f>
        <v>0</v>
      </c>
      <c r="AI100" s="75">
        <f t="array" ref="AI100">IF(ISERROR(index(Com_AllFuels_SEDS_2022_TBtus!$P$3:$P$53,match($B87&amp;AI$2,Com_AllFuels_SEDS_2022_TBtus!$B$3:$B$53&amp;Com_AllFuels_SEDS_2022_TBtus!$A$3:$A$53,0))),0,(index(Com_AllFuels_SEDS_2022_TBtus!$P$3:$P$53,match($B87&amp;AI$2,Com_AllFuels_SEDS_2022_TBtus!$B$3:$B$53&amp;Com_AllFuels_SEDS_2022_TBtus!$A$3:$A$53,0))))</f>
        <v>0</v>
      </c>
      <c r="AJ100" s="75">
        <f t="array" ref="AJ100">IF(ISERROR(index(Com_AllFuels_SEDS_2022_TBtus!$P$3:$P$53,match($B87&amp;AJ$2,Com_AllFuels_SEDS_2022_TBtus!$B$3:$B$53&amp;Com_AllFuels_SEDS_2022_TBtus!$A$3:$A$53,0))),0,(index(Com_AllFuels_SEDS_2022_TBtus!$P$3:$P$53,match($B87&amp;AJ$2,Com_AllFuels_SEDS_2022_TBtus!$B$3:$B$53&amp;Com_AllFuels_SEDS_2022_TBtus!$A$3:$A$53,0))))</f>
        <v>0</v>
      </c>
      <c r="AK100" s="75">
        <f t="array" ref="AK100">IF(ISERROR(index(Com_AllFuels_SEDS_2022_TBtus!$P$3:$P$53,match($B87&amp;AK$2,Com_AllFuels_SEDS_2022_TBtus!$B$3:$B$53&amp;Com_AllFuels_SEDS_2022_TBtus!$A$3:$A$53,0))),0,(index(Com_AllFuels_SEDS_2022_TBtus!$P$3:$P$53,match($B87&amp;AK$2,Com_AllFuels_SEDS_2022_TBtus!$B$3:$B$53&amp;Com_AllFuels_SEDS_2022_TBtus!$A$3:$A$53,0))))</f>
        <v>0</v>
      </c>
      <c r="AL100" s="75">
        <f t="array" ref="AL100">IF(ISERROR(index(Com_AllFuels_SEDS_2022_TBtus!$P$3:$P$53,match($B87&amp;AL$2,Com_AllFuels_SEDS_2022_TBtus!$B$3:$B$53&amp;Com_AllFuels_SEDS_2022_TBtus!$A$3:$A$53,0))),0,(index(Com_AllFuels_SEDS_2022_TBtus!$P$3:$P$53,match($B87&amp;AL$2,Com_AllFuels_SEDS_2022_TBtus!$B$3:$B$53&amp;Com_AllFuels_SEDS_2022_TBtus!$A$3:$A$53,0))))</f>
        <v>0</v>
      </c>
      <c r="AM100" s="75">
        <f t="array" ref="AM100">IF(ISERROR(index(Com_AllFuels_SEDS_2022_TBtus!$P$3:$P$53,match($B87&amp;AM$2,Com_AllFuels_SEDS_2022_TBtus!$B$3:$B$53&amp;Com_AllFuels_SEDS_2022_TBtus!$A$3:$A$53,0))),0,(index(Com_AllFuels_SEDS_2022_TBtus!$P$3:$P$53,match($B87&amp;AM$2,Com_AllFuels_SEDS_2022_TBtus!$B$3:$B$53&amp;Com_AllFuels_SEDS_2022_TBtus!$A$3:$A$53,0))))</f>
        <v>0</v>
      </c>
      <c r="AN100" s="75">
        <f t="array" ref="AN100">IF(ISERROR(index(Com_AllFuels_SEDS_2022_TBtus!$P$3:$P$53,match($B87&amp;AN$2,Com_AllFuels_SEDS_2022_TBtus!$B$3:$B$53&amp;Com_AllFuels_SEDS_2022_TBtus!$A$3:$A$53,0))),0,(index(Com_AllFuels_SEDS_2022_TBtus!$P$3:$P$53,match($B87&amp;AN$2,Com_AllFuels_SEDS_2022_TBtus!$B$3:$B$53&amp;Com_AllFuels_SEDS_2022_TBtus!$A$3:$A$53,0))))</f>
        <v>0</v>
      </c>
      <c r="AO100" s="75">
        <f t="array" ref="AO100">IF(ISERROR(index(Com_AllFuels_SEDS_2022_TBtus!$P$3:$P$53,match($B87&amp;AO$2,Com_AllFuels_SEDS_2022_TBtus!$B$3:$B$53&amp;Com_AllFuels_SEDS_2022_TBtus!$A$3:$A$53,0))),0,(index(Com_AllFuels_SEDS_2022_TBtus!$P$3:$P$53,match($B87&amp;AO$2,Com_AllFuels_SEDS_2022_TBtus!$B$3:$B$53&amp;Com_AllFuels_SEDS_2022_TBtus!$A$3:$A$53,0))))</f>
        <v>0</v>
      </c>
      <c r="AP100" s="75">
        <f t="array" ref="AP100">IF(ISERROR(index(Com_AllFuels_SEDS_2022_TBtus!$P$3:$P$53,match($B87&amp;AP$2,Com_AllFuels_SEDS_2022_TBtus!$B$3:$B$53&amp;Com_AllFuels_SEDS_2022_TBtus!$A$3:$A$53,0))),0,(index(Com_AllFuels_SEDS_2022_TBtus!$P$3:$P$53,match($B87&amp;AP$2,Com_AllFuels_SEDS_2022_TBtus!$B$3:$B$53&amp;Com_AllFuels_SEDS_2022_TBtus!$A$3:$A$53,0))))</f>
        <v>0</v>
      </c>
      <c r="AQ100" s="75">
        <f t="array" ref="AQ100">IF(ISERROR(index(Com_AllFuels_SEDS_2022_TBtus!$P$3:$P$53,match($B87&amp;AQ$2,Com_AllFuels_SEDS_2022_TBtus!$B$3:$B$53&amp;Com_AllFuels_SEDS_2022_TBtus!$A$3:$A$53,0))),0,(index(Com_AllFuels_SEDS_2022_TBtus!$P$3:$P$53,match($B87&amp;AQ$2,Com_AllFuels_SEDS_2022_TBtus!$B$3:$B$53&amp;Com_AllFuels_SEDS_2022_TBtus!$A$3:$A$53,0))))</f>
        <v>0</v>
      </c>
      <c r="AR100" s="75">
        <f t="array" ref="AR100">IF(ISERROR(index(Com_AllFuels_SEDS_2022_TBtus!$P$3:$P$53,match($B87&amp;AR$2,Com_AllFuels_SEDS_2022_TBtus!$B$3:$B$53&amp;Com_AllFuels_SEDS_2022_TBtus!$A$3:$A$53,0))),0,(index(Com_AllFuels_SEDS_2022_TBtus!$P$3:$P$53,match($B87&amp;AR$2,Com_AllFuels_SEDS_2022_TBtus!$B$3:$B$53&amp;Com_AllFuels_SEDS_2022_TBtus!$A$3:$A$53,0))))</f>
        <v>0</v>
      </c>
      <c r="AS100" s="75">
        <f t="array" ref="AS100">IF(ISERROR(index(Com_AllFuels_SEDS_2022_TBtus!$P$3:$P$53,match($B87&amp;AS$2,Com_AllFuels_SEDS_2022_TBtus!$B$3:$B$53&amp;Com_AllFuels_SEDS_2022_TBtus!$A$3:$A$53,0))),0,(index(Com_AllFuels_SEDS_2022_TBtus!$P$3:$P$53,match($B87&amp;AS$2,Com_AllFuels_SEDS_2022_TBtus!$B$3:$B$53&amp;Com_AllFuels_SEDS_2022_TBtus!$A$3:$A$53,0))))</f>
        <v>201.1</v>
      </c>
      <c r="AT100" s="75">
        <f t="array" ref="AT100">IF(ISERROR(index(Com_AllFuels_SEDS_2022_TBtus!$P$3:$P$53,match($B87&amp;AT$2,Com_AllFuels_SEDS_2022_TBtus!$B$3:$B$53&amp;Com_AllFuels_SEDS_2022_TBtus!$A$3:$A$53,0))),0,(index(Com_AllFuels_SEDS_2022_TBtus!$P$3:$P$53,match($B87&amp;AT$2,Com_AllFuels_SEDS_2022_TBtus!$B$3:$B$53&amp;Com_AllFuels_SEDS_2022_TBtus!$A$3:$A$53,0))))</f>
        <v>0</v>
      </c>
      <c r="AU100" s="75">
        <f t="array" ref="AU100">IF(ISERROR(index(Com_AllFuels_SEDS_2022_TBtus!$P$3:$P$53,match($B87&amp;AU$2,Com_AllFuels_SEDS_2022_TBtus!$B$3:$B$53&amp;Com_AllFuels_SEDS_2022_TBtus!$A$3:$A$53,0))),0,(index(Com_AllFuels_SEDS_2022_TBtus!$P$3:$P$53,match($B87&amp;AU$2,Com_AllFuels_SEDS_2022_TBtus!$B$3:$B$53&amp;Com_AllFuels_SEDS_2022_TBtus!$A$3:$A$53,0))))</f>
        <v>0</v>
      </c>
      <c r="AV100" s="75">
        <f t="array" ref="AV100">IF(ISERROR(index(Com_AllFuels_SEDS_2022_TBtus!$P$3:$P$53,match($B87&amp;AV$2,Com_AllFuels_SEDS_2022_TBtus!$B$3:$B$53&amp;Com_AllFuels_SEDS_2022_TBtus!$A$3:$A$53,0))),0,(index(Com_AllFuels_SEDS_2022_TBtus!$P$3:$P$53,match($B87&amp;AV$2,Com_AllFuels_SEDS_2022_TBtus!$B$3:$B$53&amp;Com_AllFuels_SEDS_2022_TBtus!$A$3:$A$53,0))))</f>
        <v>0</v>
      </c>
      <c r="AW100" s="75">
        <f t="array" ref="AW100">IF(ISERROR(index(Com_AllFuels_SEDS_2022_TBtus!$P$3:$P$53,match($B87&amp;AW$2,Com_AllFuels_SEDS_2022_TBtus!$B$3:$B$53&amp;Com_AllFuels_SEDS_2022_TBtus!$A$3:$A$53,0))),0,(index(Com_AllFuels_SEDS_2022_TBtus!$P$3:$P$53,match($B87&amp;AW$2,Com_AllFuels_SEDS_2022_TBtus!$B$3:$B$53&amp;Com_AllFuels_SEDS_2022_TBtus!$A$3:$A$53,0))))</f>
        <v>0</v>
      </c>
      <c r="AX100" s="75">
        <f t="array" ref="AX100">IF(ISERROR(index(Com_AllFuels_SEDS_2022_TBtus!$P$3:$P$53,match($B87&amp;AX$2,Com_AllFuels_SEDS_2022_TBtus!$B$3:$B$53&amp;Com_AllFuels_SEDS_2022_TBtus!$A$3:$A$53,0))),0,(index(Com_AllFuels_SEDS_2022_TBtus!$P$3:$P$53,match($B87&amp;AX$2,Com_AllFuels_SEDS_2022_TBtus!$B$3:$B$53&amp;Com_AllFuels_SEDS_2022_TBtus!$A$3:$A$53,0))))</f>
        <v>0</v>
      </c>
      <c r="AY100" s="75">
        <f t="array" ref="AY100">IF(ISERROR(index(Com_AllFuels_SEDS_2022_TBtus!$P$3:$P$53,match($B87&amp;AY$2,Com_AllFuels_SEDS_2022_TBtus!$B$3:$B$53&amp;Com_AllFuels_SEDS_2022_TBtus!$A$3:$A$53,0))),0,(index(Com_AllFuels_SEDS_2022_TBtus!$P$3:$P$53,match($B87&amp;AY$2,Com_AllFuels_SEDS_2022_TBtus!$B$3:$B$53&amp;Com_AllFuels_SEDS_2022_TBtus!$A$3:$A$53,0))))</f>
        <v>0</v>
      </c>
      <c r="AZ100" s="75">
        <f t="array" ref="AZ100">IF(ISERROR(index(Com_AllFuels_SEDS_2022_TBtus!$P$3:$P$53,match($B87&amp;AZ$2,Com_AllFuels_SEDS_2022_TBtus!$B$3:$B$53&amp;Com_AllFuels_SEDS_2022_TBtus!$A$3:$A$53,0))),0,(index(Com_AllFuels_SEDS_2022_TBtus!$P$3:$P$53,match($B87&amp;AZ$2,Com_AllFuels_SEDS_2022_TBtus!$B$3:$B$53&amp;Com_AllFuels_SEDS_2022_TBtus!$A$3:$A$53,0))))</f>
        <v>0</v>
      </c>
      <c r="BA100" s="75">
        <f t="array" ref="BA100">IF(ISERROR(index(Com_AllFuels_SEDS_2022_TBtus!$P$3:$P$53,match($B87&amp;BA$2,Com_AllFuels_SEDS_2022_TBtus!$B$3:$B$53&amp;Com_AllFuels_SEDS_2022_TBtus!$A$3:$A$53,0))),0,(index(Com_AllFuels_SEDS_2022_TBtus!$P$3:$P$53,match($B87&amp;BA$2,Com_AllFuels_SEDS_2022_TBtus!$B$3:$B$53&amp;Com_AllFuels_SEDS_2022_TBtus!$A$3:$A$53,0))))</f>
        <v>0</v>
      </c>
      <c r="BB100" s="74">
        <f t="shared" si="15"/>
        <v>519.9</v>
      </c>
    </row>
    <row r="101" ht="15.75" customHeight="1">
      <c r="A101" s="78"/>
      <c r="B101" s="74">
        <v>7.0</v>
      </c>
      <c r="C101" s="75">
        <f t="array" ref="C101">IF(ISERROR(index(Com_AllFuels_SEDS_2022_TBtus!$P$3:$P$53,match($B88&amp;C$2,Com_AllFuels_SEDS_2022_TBtus!$B$3:$B$53&amp;Com_AllFuels_SEDS_2022_TBtus!$A$3:$A$53,0))),0,(index(Com_AllFuels_SEDS_2022_TBtus!$P$3:$P$53,match($B88&amp;C$2,Com_AllFuels_SEDS_2022_TBtus!$B$3:$B$53&amp;Com_AllFuels_SEDS_2022_TBtus!$A$3:$A$53,0))))</f>
        <v>0</v>
      </c>
      <c r="D101" s="75">
        <f t="array" ref="D101">IF(ISERROR(index(Com_AllFuels_SEDS_2022_TBtus!$P$3:$P$53,match($B88&amp;D$2,Com_AllFuels_SEDS_2022_TBtus!$B$3:$B$53&amp;Com_AllFuels_SEDS_2022_TBtus!$A$3:$A$53,0))),0,(index(Com_AllFuels_SEDS_2022_TBtus!$P$3:$P$53,match($B88&amp;D$2,Com_AllFuels_SEDS_2022_TBtus!$B$3:$B$53&amp;Com_AllFuels_SEDS_2022_TBtus!$A$3:$A$53,0))))</f>
        <v>0</v>
      </c>
      <c r="E101" s="75">
        <f t="array" ref="E101">IF(ISERROR(index(Com_AllFuels_SEDS_2022_TBtus!$P$3:$P$53,match($B88&amp;E$2,Com_AllFuels_SEDS_2022_TBtus!$B$3:$B$53&amp;Com_AllFuels_SEDS_2022_TBtus!$A$3:$A$53,0))),0,(index(Com_AllFuels_SEDS_2022_TBtus!$P$3:$P$53,match($B88&amp;E$2,Com_AllFuels_SEDS_2022_TBtus!$B$3:$B$53&amp;Com_AllFuels_SEDS_2022_TBtus!$A$3:$A$53,0))))</f>
        <v>0</v>
      </c>
      <c r="F101" s="75">
        <f t="array" ref="F101">IF(ISERROR(index(Com_AllFuels_SEDS_2022_TBtus!$P$3:$P$53,match($B88&amp;F$2,Com_AllFuels_SEDS_2022_TBtus!$B$3:$B$53&amp;Com_AllFuels_SEDS_2022_TBtus!$A$3:$A$53,0))),0,(index(Com_AllFuels_SEDS_2022_TBtus!$P$3:$P$53,match($B88&amp;F$2,Com_AllFuels_SEDS_2022_TBtus!$B$3:$B$53&amp;Com_AllFuels_SEDS_2022_TBtus!$A$3:$A$53,0))))</f>
        <v>105.2</v>
      </c>
      <c r="G101" s="75">
        <f t="array" ref="G101">IF(ISERROR(index(Com_AllFuels_SEDS_2022_TBtus!$P$3:$P$53,match($B88&amp;G$2,Com_AllFuels_SEDS_2022_TBtus!$B$3:$B$53&amp;Com_AllFuels_SEDS_2022_TBtus!$A$3:$A$53,0))),0,(index(Com_AllFuels_SEDS_2022_TBtus!$P$3:$P$53,match($B88&amp;G$2,Com_AllFuels_SEDS_2022_TBtus!$B$3:$B$53&amp;Com_AllFuels_SEDS_2022_TBtus!$A$3:$A$53,0))))</f>
        <v>0</v>
      </c>
      <c r="H101" s="75">
        <f t="array" ref="H101">IF(ISERROR(index(Com_AllFuels_SEDS_2022_TBtus!$P$3:$P$53,match($B88&amp;H$2,Com_AllFuels_SEDS_2022_TBtus!$B$3:$B$53&amp;Com_AllFuels_SEDS_2022_TBtus!$A$3:$A$53,0))),0,(index(Com_AllFuels_SEDS_2022_TBtus!$P$3:$P$53,match($B88&amp;H$2,Com_AllFuels_SEDS_2022_TBtus!$B$3:$B$53&amp;Com_AllFuels_SEDS_2022_TBtus!$A$3:$A$53,0))))</f>
        <v>0</v>
      </c>
      <c r="I101" s="75">
        <f t="array" ref="I101">IF(ISERROR(index(Com_AllFuels_SEDS_2022_TBtus!$P$3:$P$53,match($B88&amp;I$2,Com_AllFuels_SEDS_2022_TBtus!$B$3:$B$53&amp;Com_AllFuels_SEDS_2022_TBtus!$A$3:$A$53,0))),0,(index(Com_AllFuels_SEDS_2022_TBtus!$P$3:$P$53,match($B88&amp;I$2,Com_AllFuels_SEDS_2022_TBtus!$B$3:$B$53&amp;Com_AllFuels_SEDS_2022_TBtus!$A$3:$A$53,0))))</f>
        <v>0</v>
      </c>
      <c r="J101" s="75">
        <f t="array" ref="J101">IF(ISERROR(index(Com_AllFuels_SEDS_2022_TBtus!$P$3:$P$53,match($B88&amp;J$2,Com_AllFuels_SEDS_2022_TBtus!$B$3:$B$53&amp;Com_AllFuels_SEDS_2022_TBtus!$A$3:$A$53,0))),0,(index(Com_AllFuels_SEDS_2022_TBtus!$P$3:$P$53,match($B88&amp;J$2,Com_AllFuels_SEDS_2022_TBtus!$B$3:$B$53&amp;Com_AllFuels_SEDS_2022_TBtus!$A$3:$A$53,0))))</f>
        <v>0</v>
      </c>
      <c r="K101" s="75">
        <f t="array" ref="K101">IF(ISERROR(index(Com_AllFuels_SEDS_2022_TBtus!$P$3:$P$53,match($B88&amp;K$2,Com_AllFuels_SEDS_2022_TBtus!$B$3:$B$53&amp;Com_AllFuels_SEDS_2022_TBtus!$A$3:$A$53,0))),0,(index(Com_AllFuels_SEDS_2022_TBtus!$P$3:$P$53,match($B88&amp;K$2,Com_AllFuels_SEDS_2022_TBtus!$B$3:$B$53&amp;Com_AllFuels_SEDS_2022_TBtus!$A$3:$A$53,0))))</f>
        <v>0</v>
      </c>
      <c r="L101" s="75">
        <f t="array" ref="L101">IF(ISERROR(index(Com_AllFuels_SEDS_2022_TBtus!$P$3:$P$53,match($B88&amp;L$2,Com_AllFuels_SEDS_2022_TBtus!$B$3:$B$53&amp;Com_AllFuels_SEDS_2022_TBtus!$A$3:$A$53,0))),0,(index(Com_AllFuels_SEDS_2022_TBtus!$P$3:$P$53,match($B88&amp;L$2,Com_AllFuels_SEDS_2022_TBtus!$B$3:$B$53&amp;Com_AllFuels_SEDS_2022_TBtus!$A$3:$A$53,0))))</f>
        <v>0</v>
      </c>
      <c r="M101" s="75">
        <f t="array" ref="M101">IF(ISERROR(index(Com_AllFuels_SEDS_2022_TBtus!$P$3:$P$53,match($B88&amp;M$2,Com_AllFuels_SEDS_2022_TBtus!$B$3:$B$53&amp;Com_AllFuels_SEDS_2022_TBtus!$A$3:$A$53,0))),0,(index(Com_AllFuels_SEDS_2022_TBtus!$P$3:$P$53,match($B88&amp;M$2,Com_AllFuels_SEDS_2022_TBtus!$B$3:$B$53&amp;Com_AllFuels_SEDS_2022_TBtus!$A$3:$A$53,0))))</f>
        <v>0</v>
      </c>
      <c r="N101" s="75">
        <f t="array" ref="N101">IF(ISERROR(index(Com_AllFuels_SEDS_2022_TBtus!$P$3:$P$53,match($B88&amp;N$2,Com_AllFuels_SEDS_2022_TBtus!$B$3:$B$53&amp;Com_AllFuels_SEDS_2022_TBtus!$A$3:$A$53,0))),0,(index(Com_AllFuels_SEDS_2022_TBtus!$P$3:$P$53,match($B88&amp;N$2,Com_AllFuels_SEDS_2022_TBtus!$B$3:$B$53&amp;Com_AllFuels_SEDS_2022_TBtus!$A$3:$A$53,0))))</f>
        <v>0</v>
      </c>
      <c r="O101" s="75">
        <f t="array" ref="O101">IF(ISERROR(index(Com_AllFuels_SEDS_2022_TBtus!$P$3:$P$53,match($B88&amp;O$2,Com_AllFuels_SEDS_2022_TBtus!$B$3:$B$53&amp;Com_AllFuels_SEDS_2022_TBtus!$A$3:$A$53,0))),0,(index(Com_AllFuels_SEDS_2022_TBtus!$P$3:$P$53,match($B88&amp;O$2,Com_AllFuels_SEDS_2022_TBtus!$B$3:$B$53&amp;Com_AllFuels_SEDS_2022_TBtus!$A$3:$A$53,0))))</f>
        <v>0</v>
      </c>
      <c r="P101" s="75">
        <f t="array" ref="P101">IF(ISERROR(index(Com_AllFuels_SEDS_2022_TBtus!$P$3:$P$53,match($B88&amp;P$2,Com_AllFuels_SEDS_2022_TBtus!$B$3:$B$53&amp;Com_AllFuels_SEDS_2022_TBtus!$A$3:$A$53,0))),0,(index(Com_AllFuels_SEDS_2022_TBtus!$P$3:$P$53,match($B88&amp;P$2,Com_AllFuels_SEDS_2022_TBtus!$B$3:$B$53&amp;Com_AllFuels_SEDS_2022_TBtus!$A$3:$A$53,0))))</f>
        <v>0</v>
      </c>
      <c r="Q101" s="75">
        <f t="array" ref="Q101">IF(ISERROR(index(Com_AllFuels_SEDS_2022_TBtus!$P$3:$P$53,match($B88&amp;Q$2,Com_AllFuels_SEDS_2022_TBtus!$B$3:$B$53&amp;Com_AllFuels_SEDS_2022_TBtus!$A$3:$A$53,0))),0,(index(Com_AllFuels_SEDS_2022_TBtus!$P$3:$P$53,match($B88&amp;Q$2,Com_AllFuels_SEDS_2022_TBtus!$B$3:$B$53&amp;Com_AllFuels_SEDS_2022_TBtus!$A$3:$A$53,0))))</f>
        <v>0</v>
      </c>
      <c r="R101" s="75">
        <f t="array" ref="R101">IF(ISERROR(index(Com_AllFuels_SEDS_2022_TBtus!$P$3:$P$53,match($B88&amp;R$2,Com_AllFuels_SEDS_2022_TBtus!$B$3:$B$53&amp;Com_AllFuels_SEDS_2022_TBtus!$A$3:$A$53,0))),0,(index(Com_AllFuels_SEDS_2022_TBtus!$P$3:$P$53,match($B88&amp;R$2,Com_AllFuels_SEDS_2022_TBtus!$B$3:$B$53&amp;Com_AllFuels_SEDS_2022_TBtus!$A$3:$A$53,0))))</f>
        <v>0</v>
      </c>
      <c r="S101" s="75">
        <f t="array" ref="S101">IF(ISERROR(index(Com_AllFuels_SEDS_2022_TBtus!$P$3:$P$53,match($B88&amp;S$2,Com_AllFuels_SEDS_2022_TBtus!$B$3:$B$53&amp;Com_AllFuels_SEDS_2022_TBtus!$A$3:$A$53,0))),0,(index(Com_AllFuels_SEDS_2022_TBtus!$P$3:$P$53,match($B88&amp;S$2,Com_AllFuels_SEDS_2022_TBtus!$B$3:$B$53&amp;Com_AllFuels_SEDS_2022_TBtus!$A$3:$A$53,0))))</f>
        <v>0</v>
      </c>
      <c r="T101" s="75">
        <f t="array" ref="T101">IF(ISERROR(index(Com_AllFuels_SEDS_2022_TBtus!$P$3:$P$53,match($B88&amp;T$2,Com_AllFuels_SEDS_2022_TBtus!$B$3:$B$53&amp;Com_AllFuels_SEDS_2022_TBtus!$A$3:$A$53,0))),0,(index(Com_AllFuels_SEDS_2022_TBtus!$P$3:$P$53,match($B88&amp;T$2,Com_AllFuels_SEDS_2022_TBtus!$B$3:$B$53&amp;Com_AllFuels_SEDS_2022_TBtus!$A$3:$A$53,0))))</f>
        <v>0</v>
      </c>
      <c r="U101" s="75">
        <f t="array" ref="U101">IF(ISERROR(index(Com_AllFuels_SEDS_2022_TBtus!$P$3:$P$53,match($B88&amp;U$2,Com_AllFuels_SEDS_2022_TBtus!$B$3:$B$53&amp;Com_AllFuels_SEDS_2022_TBtus!$A$3:$A$53,0))),0,(index(Com_AllFuels_SEDS_2022_TBtus!$P$3:$P$53,match($B88&amp;U$2,Com_AllFuels_SEDS_2022_TBtus!$B$3:$B$53&amp;Com_AllFuels_SEDS_2022_TBtus!$A$3:$A$53,0))))</f>
        <v>123.1</v>
      </c>
      <c r="V101" s="75">
        <f t="array" ref="V101">IF(ISERROR(index(Com_AllFuels_SEDS_2022_TBtus!$P$3:$P$53,match($B88&amp;V$2,Com_AllFuels_SEDS_2022_TBtus!$B$3:$B$53&amp;Com_AllFuels_SEDS_2022_TBtus!$A$3:$A$53,0))),0,(index(Com_AllFuels_SEDS_2022_TBtus!$P$3:$P$53,match($B88&amp;V$2,Com_AllFuels_SEDS_2022_TBtus!$B$3:$B$53&amp;Com_AllFuels_SEDS_2022_TBtus!$A$3:$A$53,0))))</f>
        <v>0</v>
      </c>
      <c r="W101" s="75">
        <f t="array" ref="W101">IF(ISERROR(index(Com_AllFuels_SEDS_2022_TBtus!$P$3:$P$53,match($B88&amp;W$2,Com_AllFuels_SEDS_2022_TBtus!$B$3:$B$53&amp;Com_AllFuels_SEDS_2022_TBtus!$A$3:$A$53,0))),0,(index(Com_AllFuels_SEDS_2022_TBtus!$P$3:$P$53,match($B88&amp;W$2,Com_AllFuels_SEDS_2022_TBtus!$B$3:$B$53&amp;Com_AllFuels_SEDS_2022_TBtus!$A$3:$A$53,0))))</f>
        <v>0</v>
      </c>
      <c r="X101" s="75">
        <f t="array" ref="X101">IF(ISERROR(index(Com_AllFuels_SEDS_2022_TBtus!$P$3:$P$53,match($B88&amp;X$2,Com_AllFuels_SEDS_2022_TBtus!$B$3:$B$53&amp;Com_AllFuels_SEDS_2022_TBtus!$A$3:$A$53,0))),0,(index(Com_AllFuels_SEDS_2022_TBtus!$P$3:$P$53,match($B88&amp;X$2,Com_AllFuels_SEDS_2022_TBtus!$B$3:$B$53&amp;Com_AllFuels_SEDS_2022_TBtus!$A$3:$A$53,0))))</f>
        <v>0</v>
      </c>
      <c r="Y101" s="75">
        <f t="array" ref="Y101">IF(ISERROR(index(Com_AllFuels_SEDS_2022_TBtus!$P$3:$P$53,match($B88&amp;Y$2,Com_AllFuels_SEDS_2022_TBtus!$B$3:$B$53&amp;Com_AllFuels_SEDS_2022_TBtus!$A$3:$A$53,0))),0,(index(Com_AllFuels_SEDS_2022_TBtus!$P$3:$P$53,match($B88&amp;Y$2,Com_AllFuels_SEDS_2022_TBtus!$B$3:$B$53&amp;Com_AllFuels_SEDS_2022_TBtus!$A$3:$A$53,0))))</f>
        <v>0</v>
      </c>
      <c r="Z101" s="75">
        <f t="array" ref="Z101">IF(ISERROR(index(Com_AllFuels_SEDS_2022_TBtus!$P$3:$P$53,match($B88&amp;Z$2,Com_AllFuels_SEDS_2022_TBtus!$B$3:$B$53&amp;Com_AllFuels_SEDS_2022_TBtus!$A$3:$A$53,0))),0,(index(Com_AllFuels_SEDS_2022_TBtus!$P$3:$P$53,match($B88&amp;Z$2,Com_AllFuels_SEDS_2022_TBtus!$B$3:$B$53&amp;Com_AllFuels_SEDS_2022_TBtus!$A$3:$A$53,0))))</f>
        <v>0</v>
      </c>
      <c r="AA101" s="75">
        <f t="array" ref="AA101">IF(ISERROR(index(Com_AllFuels_SEDS_2022_TBtus!$P$3:$P$53,match($B88&amp;AA$2,Com_AllFuels_SEDS_2022_TBtus!$B$3:$B$53&amp;Com_AllFuels_SEDS_2022_TBtus!$A$3:$A$53,0))),0,(index(Com_AllFuels_SEDS_2022_TBtus!$P$3:$P$53,match($B88&amp;AA$2,Com_AllFuels_SEDS_2022_TBtus!$B$3:$B$53&amp;Com_AllFuels_SEDS_2022_TBtus!$A$3:$A$53,0))))</f>
        <v>0</v>
      </c>
      <c r="AB101" s="75">
        <f t="array" ref="AB101">IF(ISERROR(index(Com_AllFuels_SEDS_2022_TBtus!$P$3:$P$53,match($B88&amp;AB$2,Com_AllFuels_SEDS_2022_TBtus!$B$3:$B$53&amp;Com_AllFuels_SEDS_2022_TBtus!$A$3:$A$53,0))),0,(index(Com_AllFuels_SEDS_2022_TBtus!$P$3:$P$53,match($B88&amp;AB$2,Com_AllFuels_SEDS_2022_TBtus!$B$3:$B$53&amp;Com_AllFuels_SEDS_2022_TBtus!$A$3:$A$53,0))))</f>
        <v>0</v>
      </c>
      <c r="AC101" s="75">
        <f t="array" ref="AC101">IF(ISERROR(index(Com_AllFuels_SEDS_2022_TBtus!$P$3:$P$53,match($B88&amp;AC$2,Com_AllFuels_SEDS_2022_TBtus!$B$3:$B$53&amp;Com_AllFuels_SEDS_2022_TBtus!$A$3:$A$53,0))),0,(index(Com_AllFuels_SEDS_2022_TBtus!$P$3:$P$53,match($B88&amp;AC$2,Com_AllFuels_SEDS_2022_TBtus!$B$3:$B$53&amp;Com_AllFuels_SEDS_2022_TBtus!$A$3:$A$53,0))))</f>
        <v>0</v>
      </c>
      <c r="AD101" s="75">
        <f t="array" ref="AD101">IF(ISERROR(index(Com_AllFuels_SEDS_2022_TBtus!$P$3:$P$53,match($B88&amp;AD$2,Com_AllFuels_SEDS_2022_TBtus!$B$3:$B$53&amp;Com_AllFuels_SEDS_2022_TBtus!$A$3:$A$53,0))),0,(index(Com_AllFuels_SEDS_2022_TBtus!$P$3:$P$53,match($B88&amp;AD$2,Com_AllFuels_SEDS_2022_TBtus!$B$3:$B$53&amp;Com_AllFuels_SEDS_2022_TBtus!$A$3:$A$53,0))))</f>
        <v>0</v>
      </c>
      <c r="AE101" s="75">
        <f t="array" ref="AE101">IF(ISERROR(index(Com_AllFuels_SEDS_2022_TBtus!$P$3:$P$53,match($B88&amp;AE$2,Com_AllFuels_SEDS_2022_TBtus!$B$3:$B$53&amp;Com_AllFuels_SEDS_2022_TBtus!$A$3:$A$53,0))),0,(index(Com_AllFuels_SEDS_2022_TBtus!$P$3:$P$53,match($B88&amp;AE$2,Com_AllFuels_SEDS_2022_TBtus!$B$3:$B$53&amp;Com_AllFuels_SEDS_2022_TBtus!$A$3:$A$53,0))))</f>
        <v>0</v>
      </c>
      <c r="AF101" s="75">
        <f t="array" ref="AF101">IF(ISERROR(index(Com_AllFuels_SEDS_2022_TBtus!$P$3:$P$53,match($B88&amp;AF$2,Com_AllFuels_SEDS_2022_TBtus!$B$3:$B$53&amp;Com_AllFuels_SEDS_2022_TBtus!$A$3:$A$53,0))),0,(index(Com_AllFuels_SEDS_2022_TBtus!$P$3:$P$53,match($B88&amp;AF$2,Com_AllFuels_SEDS_2022_TBtus!$B$3:$B$53&amp;Com_AllFuels_SEDS_2022_TBtus!$A$3:$A$53,0))))</f>
        <v>0</v>
      </c>
      <c r="AG101" s="75">
        <f t="array" ref="AG101">IF(ISERROR(index(Com_AllFuels_SEDS_2022_TBtus!$P$3:$P$53,match($B88&amp;AG$2,Com_AllFuels_SEDS_2022_TBtus!$B$3:$B$53&amp;Com_AllFuels_SEDS_2022_TBtus!$A$3:$A$53,0))),0,(index(Com_AllFuels_SEDS_2022_TBtus!$P$3:$P$53,match($B88&amp;AG$2,Com_AllFuels_SEDS_2022_TBtus!$B$3:$B$53&amp;Com_AllFuels_SEDS_2022_TBtus!$A$3:$A$53,0))))</f>
        <v>0</v>
      </c>
      <c r="AH101" s="75">
        <f t="array" ref="AH101">IF(ISERROR(index(Com_AllFuels_SEDS_2022_TBtus!$P$3:$P$53,match($B88&amp;AH$2,Com_AllFuels_SEDS_2022_TBtus!$B$3:$B$53&amp;Com_AllFuels_SEDS_2022_TBtus!$A$3:$A$53,0))),0,(index(Com_AllFuels_SEDS_2022_TBtus!$P$3:$P$53,match($B88&amp;AH$2,Com_AllFuels_SEDS_2022_TBtus!$B$3:$B$53&amp;Com_AllFuels_SEDS_2022_TBtus!$A$3:$A$53,0))))</f>
        <v>0</v>
      </c>
      <c r="AI101" s="75">
        <f t="array" ref="AI101">IF(ISERROR(index(Com_AllFuels_SEDS_2022_TBtus!$P$3:$P$53,match($B88&amp;AI$2,Com_AllFuels_SEDS_2022_TBtus!$B$3:$B$53&amp;Com_AllFuels_SEDS_2022_TBtus!$A$3:$A$53,0))),0,(index(Com_AllFuels_SEDS_2022_TBtus!$P$3:$P$53,match($B88&amp;AI$2,Com_AllFuels_SEDS_2022_TBtus!$B$3:$B$53&amp;Com_AllFuels_SEDS_2022_TBtus!$A$3:$A$53,0))))</f>
        <v>0</v>
      </c>
      <c r="AJ101" s="75">
        <f t="array" ref="AJ101">IF(ISERROR(index(Com_AllFuels_SEDS_2022_TBtus!$P$3:$P$53,match($B88&amp;AJ$2,Com_AllFuels_SEDS_2022_TBtus!$B$3:$B$53&amp;Com_AllFuels_SEDS_2022_TBtus!$A$3:$A$53,0))),0,(index(Com_AllFuels_SEDS_2022_TBtus!$P$3:$P$53,match($B88&amp;AJ$2,Com_AllFuels_SEDS_2022_TBtus!$B$3:$B$53&amp;Com_AllFuels_SEDS_2022_TBtus!$A$3:$A$53,0))))</f>
        <v>0</v>
      </c>
      <c r="AK101" s="75">
        <f t="array" ref="AK101">IF(ISERROR(index(Com_AllFuels_SEDS_2022_TBtus!$P$3:$P$53,match($B88&amp;AK$2,Com_AllFuels_SEDS_2022_TBtus!$B$3:$B$53&amp;Com_AllFuels_SEDS_2022_TBtus!$A$3:$A$53,0))),0,(index(Com_AllFuels_SEDS_2022_TBtus!$P$3:$P$53,match($B88&amp;AK$2,Com_AllFuels_SEDS_2022_TBtus!$B$3:$B$53&amp;Com_AllFuels_SEDS_2022_TBtus!$A$3:$A$53,0))))</f>
        <v>0</v>
      </c>
      <c r="AL101" s="75">
        <f t="array" ref="AL101">IF(ISERROR(index(Com_AllFuels_SEDS_2022_TBtus!$P$3:$P$53,match($B88&amp;AL$2,Com_AllFuels_SEDS_2022_TBtus!$B$3:$B$53&amp;Com_AllFuels_SEDS_2022_TBtus!$A$3:$A$53,0))),0,(index(Com_AllFuels_SEDS_2022_TBtus!$P$3:$P$53,match($B88&amp;AL$2,Com_AllFuels_SEDS_2022_TBtus!$B$3:$B$53&amp;Com_AllFuels_SEDS_2022_TBtus!$A$3:$A$53,0))))</f>
        <v>0</v>
      </c>
      <c r="AM101" s="75">
        <f t="array" ref="AM101">IF(ISERROR(index(Com_AllFuels_SEDS_2022_TBtus!$P$3:$P$53,match($B88&amp;AM$2,Com_AllFuels_SEDS_2022_TBtus!$B$3:$B$53&amp;Com_AllFuels_SEDS_2022_TBtus!$A$3:$A$53,0))),0,(index(Com_AllFuels_SEDS_2022_TBtus!$P$3:$P$53,match($B88&amp;AM$2,Com_AllFuels_SEDS_2022_TBtus!$B$3:$B$53&amp;Com_AllFuels_SEDS_2022_TBtus!$A$3:$A$53,0))))</f>
        <v>136.5</v>
      </c>
      <c r="AN101" s="75">
        <f t="array" ref="AN101">IF(ISERROR(index(Com_AllFuels_SEDS_2022_TBtus!$P$3:$P$53,match($B88&amp;AN$2,Com_AllFuels_SEDS_2022_TBtus!$B$3:$B$53&amp;Com_AllFuels_SEDS_2022_TBtus!$A$3:$A$53,0))),0,(index(Com_AllFuels_SEDS_2022_TBtus!$P$3:$P$53,match($B88&amp;AN$2,Com_AllFuels_SEDS_2022_TBtus!$B$3:$B$53&amp;Com_AllFuels_SEDS_2022_TBtus!$A$3:$A$53,0))))</f>
        <v>0</v>
      </c>
      <c r="AO101" s="75">
        <f t="array" ref="AO101">IF(ISERROR(index(Com_AllFuels_SEDS_2022_TBtus!$P$3:$P$53,match($B88&amp;AO$2,Com_AllFuels_SEDS_2022_TBtus!$B$3:$B$53&amp;Com_AllFuels_SEDS_2022_TBtus!$A$3:$A$53,0))),0,(index(Com_AllFuels_SEDS_2022_TBtus!$P$3:$P$53,match($B88&amp;AO$2,Com_AllFuels_SEDS_2022_TBtus!$B$3:$B$53&amp;Com_AllFuels_SEDS_2022_TBtus!$A$3:$A$53,0))))</f>
        <v>0</v>
      </c>
      <c r="AP101" s="75">
        <f t="array" ref="AP101">IF(ISERROR(index(Com_AllFuels_SEDS_2022_TBtus!$P$3:$P$53,match($B88&amp;AP$2,Com_AllFuels_SEDS_2022_TBtus!$B$3:$B$53&amp;Com_AllFuels_SEDS_2022_TBtus!$A$3:$A$53,0))),0,(index(Com_AllFuels_SEDS_2022_TBtus!$P$3:$P$53,match($B88&amp;AP$2,Com_AllFuels_SEDS_2022_TBtus!$B$3:$B$53&amp;Com_AllFuels_SEDS_2022_TBtus!$A$3:$A$53,0))))</f>
        <v>0</v>
      </c>
      <c r="AQ101" s="75">
        <f t="array" ref="AQ101">IF(ISERROR(index(Com_AllFuels_SEDS_2022_TBtus!$P$3:$P$53,match($B88&amp;AQ$2,Com_AllFuels_SEDS_2022_TBtus!$B$3:$B$53&amp;Com_AllFuels_SEDS_2022_TBtus!$A$3:$A$53,0))),0,(index(Com_AllFuels_SEDS_2022_TBtus!$P$3:$P$53,match($B88&amp;AQ$2,Com_AllFuels_SEDS_2022_TBtus!$B$3:$B$53&amp;Com_AllFuels_SEDS_2022_TBtus!$A$3:$A$53,0))))</f>
        <v>0</v>
      </c>
      <c r="AR101" s="75">
        <f t="array" ref="AR101">IF(ISERROR(index(Com_AllFuels_SEDS_2022_TBtus!$P$3:$P$53,match($B88&amp;AR$2,Com_AllFuels_SEDS_2022_TBtus!$B$3:$B$53&amp;Com_AllFuels_SEDS_2022_TBtus!$A$3:$A$53,0))),0,(index(Com_AllFuels_SEDS_2022_TBtus!$P$3:$P$53,match($B88&amp;AR$2,Com_AllFuels_SEDS_2022_TBtus!$B$3:$B$53&amp;Com_AllFuels_SEDS_2022_TBtus!$A$3:$A$53,0))))</f>
        <v>0</v>
      </c>
      <c r="AS101" s="75">
        <f t="array" ref="AS101">IF(ISERROR(index(Com_AllFuels_SEDS_2022_TBtus!$P$3:$P$53,match($B88&amp;AS$2,Com_AllFuels_SEDS_2022_TBtus!$B$3:$B$53&amp;Com_AllFuels_SEDS_2022_TBtus!$A$3:$A$53,0))),0,(index(Com_AllFuels_SEDS_2022_TBtus!$P$3:$P$53,match($B88&amp;AS$2,Com_AllFuels_SEDS_2022_TBtus!$B$3:$B$53&amp;Com_AllFuels_SEDS_2022_TBtus!$A$3:$A$53,0))))</f>
        <v>0</v>
      </c>
      <c r="AT101" s="81">
        <f t="array" ref="AT101">IF(ISERROR(index(Com_AllFuels_SEDS_2022_TBtus!$P$3:$P$53,match($B88&amp;AT$2,Com_AllFuels_SEDS_2022_TBtus!$B$3:$B$53&amp;Com_AllFuels_SEDS_2022_TBtus!$A$3:$A$53,0))),0,(index(Com_AllFuels_SEDS_2022_TBtus!$P$3:$P$53,match($B88&amp;AT$2,Com_AllFuels_SEDS_2022_TBtus!$B$3:$B$53&amp;Com_AllFuels_SEDS_2022_TBtus!$A$3:$A$53,0))))</f>
        <v>809.5</v>
      </c>
      <c r="AU101" s="75">
        <f t="array" ref="AU101">IF(ISERROR(index(Com_AllFuels_SEDS_2022_TBtus!$P$3:$P$53,match($B88&amp;AU$2,Com_AllFuels_SEDS_2022_TBtus!$B$3:$B$53&amp;Com_AllFuels_SEDS_2022_TBtus!$A$3:$A$53,0))),0,(index(Com_AllFuels_SEDS_2022_TBtus!$P$3:$P$53,match($B88&amp;AU$2,Com_AllFuels_SEDS_2022_TBtus!$B$3:$B$53&amp;Com_AllFuels_SEDS_2022_TBtus!$A$3:$A$53,0))))</f>
        <v>0</v>
      </c>
      <c r="AV101" s="75">
        <f t="array" ref="AV101">IF(ISERROR(index(Com_AllFuels_SEDS_2022_TBtus!$P$3:$P$53,match($B88&amp;AV$2,Com_AllFuels_SEDS_2022_TBtus!$B$3:$B$53&amp;Com_AllFuels_SEDS_2022_TBtus!$A$3:$A$53,0))),0,(index(Com_AllFuels_SEDS_2022_TBtus!$P$3:$P$53,match($B88&amp;AV$2,Com_AllFuels_SEDS_2022_TBtus!$B$3:$B$53&amp;Com_AllFuels_SEDS_2022_TBtus!$A$3:$A$53,0))))</f>
        <v>0</v>
      </c>
      <c r="AW101" s="75">
        <f t="array" ref="AW101">IF(ISERROR(index(Com_AllFuels_SEDS_2022_TBtus!$P$3:$P$53,match($B88&amp;AW$2,Com_AllFuels_SEDS_2022_TBtus!$B$3:$B$53&amp;Com_AllFuels_SEDS_2022_TBtus!$A$3:$A$53,0))),0,(index(Com_AllFuels_SEDS_2022_TBtus!$P$3:$P$53,match($B88&amp;AW$2,Com_AllFuels_SEDS_2022_TBtus!$B$3:$B$53&amp;Com_AllFuels_SEDS_2022_TBtus!$A$3:$A$53,0))))</f>
        <v>0</v>
      </c>
      <c r="AX101" s="75">
        <f t="array" ref="AX101">IF(ISERROR(index(Com_AllFuels_SEDS_2022_TBtus!$P$3:$P$53,match($B88&amp;AX$2,Com_AllFuels_SEDS_2022_TBtus!$B$3:$B$53&amp;Com_AllFuels_SEDS_2022_TBtus!$A$3:$A$53,0))),0,(index(Com_AllFuels_SEDS_2022_TBtus!$P$3:$P$53,match($B88&amp;AX$2,Com_AllFuels_SEDS_2022_TBtus!$B$3:$B$53&amp;Com_AllFuels_SEDS_2022_TBtus!$A$3:$A$53,0))))</f>
        <v>0</v>
      </c>
      <c r="AY101" s="75">
        <f t="array" ref="AY101">IF(ISERROR(index(Com_AllFuels_SEDS_2022_TBtus!$P$3:$P$53,match($B88&amp;AY$2,Com_AllFuels_SEDS_2022_TBtus!$B$3:$B$53&amp;Com_AllFuels_SEDS_2022_TBtus!$A$3:$A$53,0))),0,(index(Com_AllFuels_SEDS_2022_TBtus!$P$3:$P$53,match($B88&amp;AY$2,Com_AllFuels_SEDS_2022_TBtus!$B$3:$B$53&amp;Com_AllFuels_SEDS_2022_TBtus!$A$3:$A$53,0))))</f>
        <v>0</v>
      </c>
      <c r="AZ101" s="75">
        <f t="array" ref="AZ101">IF(ISERROR(index(Com_AllFuels_SEDS_2022_TBtus!$P$3:$P$53,match($B88&amp;AZ$2,Com_AllFuels_SEDS_2022_TBtus!$B$3:$B$53&amp;Com_AllFuels_SEDS_2022_TBtus!$A$3:$A$53,0))),0,(index(Com_AllFuels_SEDS_2022_TBtus!$P$3:$P$53,match($B88&amp;AZ$2,Com_AllFuels_SEDS_2022_TBtus!$B$3:$B$53&amp;Com_AllFuels_SEDS_2022_TBtus!$A$3:$A$53,0))))</f>
        <v>0</v>
      </c>
      <c r="BA101" s="75">
        <f t="array" ref="BA101">IF(ISERROR(index(Com_AllFuels_SEDS_2022_TBtus!$P$3:$P$53,match($B88&amp;BA$2,Com_AllFuels_SEDS_2022_TBtus!$B$3:$B$53&amp;Com_AllFuels_SEDS_2022_TBtus!$A$3:$A$53,0))),0,(index(Com_AllFuels_SEDS_2022_TBtus!$P$3:$P$53,match($B88&amp;BA$2,Com_AllFuels_SEDS_2022_TBtus!$B$3:$B$53&amp;Com_AllFuels_SEDS_2022_TBtus!$A$3:$A$53,0))))</f>
        <v>0</v>
      </c>
      <c r="BB101" s="74">
        <f t="shared" si="15"/>
        <v>1174.3</v>
      </c>
    </row>
    <row r="102" ht="15.75" customHeight="1">
      <c r="A102" s="78"/>
      <c r="B102" s="74">
        <v>8.0</v>
      </c>
      <c r="C102" s="75">
        <f t="array" ref="C102">IF(ISERROR(index(Com_AllFuels_SEDS_2022_TBtus!$P$3:$P$53,match($B89&amp;C$2,Com_AllFuels_SEDS_2022_TBtus!$B$3:$B$53&amp;Com_AllFuels_SEDS_2022_TBtus!$A$3:$A$53,0))),0,(index(Com_AllFuels_SEDS_2022_TBtus!$P$3:$P$53,match($B89&amp;C$2,Com_AllFuels_SEDS_2022_TBtus!$B$3:$B$53&amp;Com_AllFuels_SEDS_2022_TBtus!$A$3:$A$53,0))))</f>
        <v>0</v>
      </c>
      <c r="D102" s="75">
        <f t="array" ref="D102">IF(ISERROR(index(Com_AllFuels_SEDS_2022_TBtus!$P$3:$P$53,match($B89&amp;D$2,Com_AllFuels_SEDS_2022_TBtus!$B$3:$B$53&amp;Com_AllFuels_SEDS_2022_TBtus!$A$3:$A$53,0))),0,(index(Com_AllFuels_SEDS_2022_TBtus!$P$3:$P$53,match($B89&amp;D$2,Com_AllFuels_SEDS_2022_TBtus!$B$3:$B$53&amp;Com_AllFuels_SEDS_2022_TBtus!$A$3:$A$53,0))))</f>
        <v>0</v>
      </c>
      <c r="E102" s="75">
        <f t="array" ref="E102">IF(ISERROR(index(Com_AllFuels_SEDS_2022_TBtus!$P$3:$P$53,match($B89&amp;E$2,Com_AllFuels_SEDS_2022_TBtus!$B$3:$B$53&amp;Com_AllFuels_SEDS_2022_TBtus!$A$3:$A$53,0))),0,(index(Com_AllFuels_SEDS_2022_TBtus!$P$3:$P$53,match($B89&amp;E$2,Com_AllFuels_SEDS_2022_TBtus!$B$3:$B$53&amp;Com_AllFuels_SEDS_2022_TBtus!$A$3:$A$53,0))))</f>
        <v>167.3</v>
      </c>
      <c r="F102" s="75">
        <f t="array" ref="F102">IF(ISERROR(index(Com_AllFuels_SEDS_2022_TBtus!$P$3:$P$53,match($B89&amp;F$2,Com_AllFuels_SEDS_2022_TBtus!$B$3:$B$53&amp;Com_AllFuels_SEDS_2022_TBtus!$A$3:$A$53,0))),0,(index(Com_AllFuels_SEDS_2022_TBtus!$P$3:$P$53,match($B89&amp;F$2,Com_AllFuels_SEDS_2022_TBtus!$B$3:$B$53&amp;Com_AllFuels_SEDS_2022_TBtus!$A$3:$A$53,0))))</f>
        <v>0</v>
      </c>
      <c r="G102" s="75">
        <f t="array" ref="G102">IF(ISERROR(index(Com_AllFuels_SEDS_2022_TBtus!$P$3:$P$53,match($B89&amp;G$2,Com_AllFuels_SEDS_2022_TBtus!$B$3:$B$53&amp;Com_AllFuels_SEDS_2022_TBtus!$A$3:$A$53,0))),0,(index(Com_AllFuels_SEDS_2022_TBtus!$P$3:$P$53,match($B89&amp;G$2,Com_AllFuels_SEDS_2022_TBtus!$B$3:$B$53&amp;Com_AllFuels_SEDS_2022_TBtus!$A$3:$A$53,0))))</f>
        <v>0</v>
      </c>
      <c r="H102" s="75">
        <f t="array" ref="H102">IF(ISERROR(index(Com_AllFuels_SEDS_2022_TBtus!$P$3:$P$53,match($B89&amp;H$2,Com_AllFuels_SEDS_2022_TBtus!$B$3:$B$53&amp;Com_AllFuels_SEDS_2022_TBtus!$A$3:$A$53,0))),0,(index(Com_AllFuels_SEDS_2022_TBtus!$P$3:$P$53,match($B89&amp;H$2,Com_AllFuels_SEDS_2022_TBtus!$B$3:$B$53&amp;Com_AllFuels_SEDS_2022_TBtus!$A$3:$A$53,0))))</f>
        <v>156.6</v>
      </c>
      <c r="I102" s="75">
        <f t="array" ref="I102">IF(ISERROR(index(Com_AllFuels_SEDS_2022_TBtus!$P$3:$P$53,match($B89&amp;I$2,Com_AllFuels_SEDS_2022_TBtus!$B$3:$B$53&amp;Com_AllFuels_SEDS_2022_TBtus!$A$3:$A$53,0))),0,(index(Com_AllFuels_SEDS_2022_TBtus!$P$3:$P$53,match($B89&amp;I$2,Com_AllFuels_SEDS_2022_TBtus!$B$3:$B$53&amp;Com_AllFuels_SEDS_2022_TBtus!$A$3:$A$53,0))))</f>
        <v>0</v>
      </c>
      <c r="J102" s="75">
        <f t="array" ref="J102">IF(ISERROR(index(Com_AllFuels_SEDS_2022_TBtus!$P$3:$P$53,match($B89&amp;J$2,Com_AllFuels_SEDS_2022_TBtus!$B$3:$B$53&amp;Com_AllFuels_SEDS_2022_TBtus!$A$3:$A$53,0))),0,(index(Com_AllFuels_SEDS_2022_TBtus!$P$3:$P$53,match($B89&amp;J$2,Com_AllFuels_SEDS_2022_TBtus!$B$3:$B$53&amp;Com_AllFuels_SEDS_2022_TBtus!$A$3:$A$53,0))))</f>
        <v>0</v>
      </c>
      <c r="K102" s="75">
        <f t="array" ref="K102">IF(ISERROR(index(Com_AllFuels_SEDS_2022_TBtus!$P$3:$P$53,match($B89&amp;K$2,Com_AllFuels_SEDS_2022_TBtus!$B$3:$B$53&amp;Com_AllFuels_SEDS_2022_TBtus!$A$3:$A$53,0))),0,(index(Com_AllFuels_SEDS_2022_TBtus!$P$3:$P$53,match($B89&amp;K$2,Com_AllFuels_SEDS_2022_TBtus!$B$3:$B$53&amp;Com_AllFuels_SEDS_2022_TBtus!$A$3:$A$53,0))))</f>
        <v>0</v>
      </c>
      <c r="L102" s="75">
        <f t="array" ref="L102">IF(ISERROR(index(Com_AllFuels_SEDS_2022_TBtus!$P$3:$P$53,match($B89&amp;L$2,Com_AllFuels_SEDS_2022_TBtus!$B$3:$B$53&amp;Com_AllFuels_SEDS_2022_TBtus!$A$3:$A$53,0))),0,(index(Com_AllFuels_SEDS_2022_TBtus!$P$3:$P$53,match($B89&amp;L$2,Com_AllFuels_SEDS_2022_TBtus!$B$3:$B$53&amp;Com_AllFuels_SEDS_2022_TBtus!$A$3:$A$53,0))))</f>
        <v>0</v>
      </c>
      <c r="M102" s="75">
        <f t="array" ref="M102">IF(ISERROR(index(Com_AllFuels_SEDS_2022_TBtus!$P$3:$P$53,match($B89&amp;M$2,Com_AllFuels_SEDS_2022_TBtus!$B$3:$B$53&amp;Com_AllFuels_SEDS_2022_TBtus!$A$3:$A$53,0))),0,(index(Com_AllFuels_SEDS_2022_TBtus!$P$3:$P$53,match($B89&amp;M$2,Com_AllFuels_SEDS_2022_TBtus!$B$3:$B$53&amp;Com_AllFuels_SEDS_2022_TBtus!$A$3:$A$53,0))))</f>
        <v>0</v>
      </c>
      <c r="N102" s="75">
        <f t="array" ref="N102">IF(ISERROR(index(Com_AllFuels_SEDS_2022_TBtus!$P$3:$P$53,match($B89&amp;N$2,Com_AllFuels_SEDS_2022_TBtus!$B$3:$B$53&amp;Com_AllFuels_SEDS_2022_TBtus!$A$3:$A$53,0))),0,(index(Com_AllFuels_SEDS_2022_TBtus!$P$3:$P$53,match($B89&amp;N$2,Com_AllFuels_SEDS_2022_TBtus!$B$3:$B$53&amp;Com_AllFuels_SEDS_2022_TBtus!$A$3:$A$53,0))))</f>
        <v>0</v>
      </c>
      <c r="O102" s="75">
        <f t="array" ref="O102">IF(ISERROR(index(Com_AllFuels_SEDS_2022_TBtus!$P$3:$P$53,match($B89&amp;O$2,Com_AllFuels_SEDS_2022_TBtus!$B$3:$B$53&amp;Com_AllFuels_SEDS_2022_TBtus!$A$3:$A$53,0))),0,(index(Com_AllFuels_SEDS_2022_TBtus!$P$3:$P$53,match($B89&amp;O$2,Com_AllFuels_SEDS_2022_TBtus!$B$3:$B$53&amp;Com_AllFuels_SEDS_2022_TBtus!$A$3:$A$53,0))))</f>
        <v>56.4</v>
      </c>
      <c r="P102" s="75">
        <f t="array" ref="P102">IF(ISERROR(index(Com_AllFuels_SEDS_2022_TBtus!$P$3:$P$53,match($B89&amp;P$2,Com_AllFuels_SEDS_2022_TBtus!$B$3:$B$53&amp;Com_AllFuels_SEDS_2022_TBtus!$A$3:$A$53,0))),0,(index(Com_AllFuels_SEDS_2022_TBtus!$P$3:$P$53,match($B89&amp;P$2,Com_AllFuels_SEDS_2022_TBtus!$B$3:$B$53&amp;Com_AllFuels_SEDS_2022_TBtus!$A$3:$A$53,0))))</f>
        <v>0</v>
      </c>
      <c r="Q102" s="75">
        <f t="array" ref="Q102">IF(ISERROR(index(Com_AllFuels_SEDS_2022_TBtus!$P$3:$P$53,match($B89&amp;Q$2,Com_AllFuels_SEDS_2022_TBtus!$B$3:$B$53&amp;Com_AllFuels_SEDS_2022_TBtus!$A$3:$A$53,0))),0,(index(Com_AllFuels_SEDS_2022_TBtus!$P$3:$P$53,match($B89&amp;Q$2,Com_AllFuels_SEDS_2022_TBtus!$B$3:$B$53&amp;Com_AllFuels_SEDS_2022_TBtus!$A$3:$A$53,0))))</f>
        <v>0</v>
      </c>
      <c r="R102" s="75">
        <f t="array" ref="R102">IF(ISERROR(index(Com_AllFuels_SEDS_2022_TBtus!$P$3:$P$53,match($B89&amp;R$2,Com_AllFuels_SEDS_2022_TBtus!$B$3:$B$53&amp;Com_AllFuels_SEDS_2022_TBtus!$A$3:$A$53,0))),0,(index(Com_AllFuels_SEDS_2022_TBtus!$P$3:$P$53,match($B89&amp;R$2,Com_AllFuels_SEDS_2022_TBtus!$B$3:$B$53&amp;Com_AllFuels_SEDS_2022_TBtus!$A$3:$A$53,0))))</f>
        <v>0</v>
      </c>
      <c r="S102" s="75">
        <f t="array" ref="S102">IF(ISERROR(index(Com_AllFuels_SEDS_2022_TBtus!$P$3:$P$53,match($B89&amp;S$2,Com_AllFuels_SEDS_2022_TBtus!$B$3:$B$53&amp;Com_AllFuels_SEDS_2022_TBtus!$A$3:$A$53,0))),0,(index(Com_AllFuels_SEDS_2022_TBtus!$P$3:$P$53,match($B89&amp;S$2,Com_AllFuels_SEDS_2022_TBtus!$B$3:$B$53&amp;Com_AllFuels_SEDS_2022_TBtus!$A$3:$A$53,0))))</f>
        <v>0</v>
      </c>
      <c r="T102" s="75">
        <f t="array" ref="T102">IF(ISERROR(index(Com_AllFuels_SEDS_2022_TBtus!$P$3:$P$53,match($B89&amp;T$2,Com_AllFuels_SEDS_2022_TBtus!$B$3:$B$53&amp;Com_AllFuels_SEDS_2022_TBtus!$A$3:$A$53,0))),0,(index(Com_AllFuels_SEDS_2022_TBtus!$P$3:$P$53,match($B89&amp;T$2,Com_AllFuels_SEDS_2022_TBtus!$B$3:$B$53&amp;Com_AllFuels_SEDS_2022_TBtus!$A$3:$A$53,0))))</f>
        <v>0</v>
      </c>
      <c r="U102" s="75">
        <f t="array" ref="U102">IF(ISERROR(index(Com_AllFuels_SEDS_2022_TBtus!$P$3:$P$53,match($B89&amp;U$2,Com_AllFuels_SEDS_2022_TBtus!$B$3:$B$53&amp;Com_AllFuels_SEDS_2022_TBtus!$A$3:$A$53,0))),0,(index(Com_AllFuels_SEDS_2022_TBtus!$P$3:$P$53,match($B89&amp;U$2,Com_AllFuels_SEDS_2022_TBtus!$B$3:$B$53&amp;Com_AllFuels_SEDS_2022_TBtus!$A$3:$A$53,0))))</f>
        <v>0</v>
      </c>
      <c r="V102" s="75">
        <f t="array" ref="V102">IF(ISERROR(index(Com_AllFuels_SEDS_2022_TBtus!$P$3:$P$53,match($B89&amp;V$2,Com_AllFuels_SEDS_2022_TBtus!$B$3:$B$53&amp;Com_AllFuels_SEDS_2022_TBtus!$A$3:$A$53,0))),0,(index(Com_AllFuels_SEDS_2022_TBtus!$P$3:$P$53,match($B89&amp;V$2,Com_AllFuels_SEDS_2022_TBtus!$B$3:$B$53&amp;Com_AllFuels_SEDS_2022_TBtus!$A$3:$A$53,0))))</f>
        <v>0</v>
      </c>
      <c r="W102" s="75">
        <f t="array" ref="W102">IF(ISERROR(index(Com_AllFuels_SEDS_2022_TBtus!$P$3:$P$53,match($B89&amp;W$2,Com_AllFuels_SEDS_2022_TBtus!$B$3:$B$53&amp;Com_AllFuels_SEDS_2022_TBtus!$A$3:$A$53,0))),0,(index(Com_AllFuels_SEDS_2022_TBtus!$P$3:$P$53,match($B89&amp;W$2,Com_AllFuels_SEDS_2022_TBtus!$B$3:$B$53&amp;Com_AllFuels_SEDS_2022_TBtus!$A$3:$A$53,0))))</f>
        <v>0</v>
      </c>
      <c r="X102" s="75">
        <f t="array" ref="X102">IF(ISERROR(index(Com_AllFuels_SEDS_2022_TBtus!$P$3:$P$53,match($B89&amp;X$2,Com_AllFuels_SEDS_2022_TBtus!$B$3:$B$53&amp;Com_AllFuels_SEDS_2022_TBtus!$A$3:$A$53,0))),0,(index(Com_AllFuels_SEDS_2022_TBtus!$P$3:$P$53,match($B89&amp;X$2,Com_AllFuels_SEDS_2022_TBtus!$B$3:$B$53&amp;Com_AllFuels_SEDS_2022_TBtus!$A$3:$A$53,0))))</f>
        <v>0</v>
      </c>
      <c r="Y102" s="75">
        <f t="array" ref="Y102">IF(ISERROR(index(Com_AllFuels_SEDS_2022_TBtus!$P$3:$P$53,match($B89&amp;Y$2,Com_AllFuels_SEDS_2022_TBtus!$B$3:$B$53&amp;Com_AllFuels_SEDS_2022_TBtus!$A$3:$A$53,0))),0,(index(Com_AllFuels_SEDS_2022_TBtus!$P$3:$P$53,match($B89&amp;Y$2,Com_AllFuels_SEDS_2022_TBtus!$B$3:$B$53&amp;Com_AllFuels_SEDS_2022_TBtus!$A$3:$A$53,0))))</f>
        <v>0</v>
      </c>
      <c r="Z102" s="75">
        <f t="array" ref="Z102">IF(ISERROR(index(Com_AllFuels_SEDS_2022_TBtus!$P$3:$P$53,match($B89&amp;Z$2,Com_AllFuels_SEDS_2022_TBtus!$B$3:$B$53&amp;Com_AllFuels_SEDS_2022_TBtus!$A$3:$A$53,0))),0,(index(Com_AllFuels_SEDS_2022_TBtus!$P$3:$P$53,match($B89&amp;Z$2,Com_AllFuels_SEDS_2022_TBtus!$B$3:$B$53&amp;Com_AllFuels_SEDS_2022_TBtus!$A$3:$A$53,0))))</f>
        <v>0</v>
      </c>
      <c r="AA102" s="75">
        <f t="array" ref="AA102">IF(ISERROR(index(Com_AllFuels_SEDS_2022_TBtus!$P$3:$P$53,match($B89&amp;AA$2,Com_AllFuels_SEDS_2022_TBtus!$B$3:$B$53&amp;Com_AllFuels_SEDS_2022_TBtus!$A$3:$A$53,0))),0,(index(Com_AllFuels_SEDS_2022_TBtus!$P$3:$P$53,match($B89&amp;AA$2,Com_AllFuels_SEDS_2022_TBtus!$B$3:$B$53&amp;Com_AllFuels_SEDS_2022_TBtus!$A$3:$A$53,0))))</f>
        <v>0</v>
      </c>
      <c r="AB102" s="75">
        <f t="array" ref="AB102">IF(ISERROR(index(Com_AllFuels_SEDS_2022_TBtus!$P$3:$P$53,match($B89&amp;AB$2,Com_AllFuels_SEDS_2022_TBtus!$B$3:$B$53&amp;Com_AllFuels_SEDS_2022_TBtus!$A$3:$A$53,0))),0,(index(Com_AllFuels_SEDS_2022_TBtus!$P$3:$P$53,match($B89&amp;AB$2,Com_AllFuels_SEDS_2022_TBtus!$B$3:$B$53&amp;Com_AllFuels_SEDS_2022_TBtus!$A$3:$A$53,0))))</f>
        <v>0</v>
      </c>
      <c r="AC102" s="75">
        <f t="array" ref="AC102">IF(ISERROR(index(Com_AllFuels_SEDS_2022_TBtus!$P$3:$P$53,match($B89&amp;AC$2,Com_AllFuels_SEDS_2022_TBtus!$B$3:$B$53&amp;Com_AllFuels_SEDS_2022_TBtus!$A$3:$A$53,0))),0,(index(Com_AllFuels_SEDS_2022_TBtus!$P$3:$P$53,match($B89&amp;AC$2,Com_AllFuels_SEDS_2022_TBtus!$B$3:$B$53&amp;Com_AllFuels_SEDS_2022_TBtus!$A$3:$A$53,0))))</f>
        <v>52.1</v>
      </c>
      <c r="AD102" s="75">
        <f t="array" ref="AD102">IF(ISERROR(index(Com_AllFuels_SEDS_2022_TBtus!$P$3:$P$53,match($B89&amp;AD$2,Com_AllFuels_SEDS_2022_TBtus!$B$3:$B$53&amp;Com_AllFuels_SEDS_2022_TBtus!$A$3:$A$53,0))),0,(index(Com_AllFuels_SEDS_2022_TBtus!$P$3:$P$53,match($B89&amp;AD$2,Com_AllFuels_SEDS_2022_TBtus!$B$3:$B$53&amp;Com_AllFuels_SEDS_2022_TBtus!$A$3:$A$53,0))))</f>
        <v>0</v>
      </c>
      <c r="AE102" s="75">
        <f t="array" ref="AE102">IF(ISERROR(index(Com_AllFuels_SEDS_2022_TBtus!$P$3:$P$53,match($B89&amp;AE$2,Com_AllFuels_SEDS_2022_TBtus!$B$3:$B$53&amp;Com_AllFuels_SEDS_2022_TBtus!$A$3:$A$53,0))),0,(index(Com_AllFuels_SEDS_2022_TBtus!$P$3:$P$53,match($B89&amp;AE$2,Com_AllFuels_SEDS_2022_TBtus!$B$3:$B$53&amp;Com_AllFuels_SEDS_2022_TBtus!$A$3:$A$53,0))))</f>
        <v>87</v>
      </c>
      <c r="AF102" s="75">
        <f t="array" ref="AF102">IF(ISERROR(index(Com_AllFuels_SEDS_2022_TBtus!$P$3:$P$53,match($B89&amp;AF$2,Com_AllFuels_SEDS_2022_TBtus!$B$3:$B$53&amp;Com_AllFuels_SEDS_2022_TBtus!$A$3:$A$53,0))),0,(index(Com_AllFuels_SEDS_2022_TBtus!$P$3:$P$53,match($B89&amp;AF$2,Com_AllFuels_SEDS_2022_TBtus!$B$3:$B$53&amp;Com_AllFuels_SEDS_2022_TBtus!$A$3:$A$53,0))))</f>
        <v>0</v>
      </c>
      <c r="AG102" s="75">
        <f t="array" ref="AG102">IF(ISERROR(index(Com_AllFuels_SEDS_2022_TBtus!$P$3:$P$53,match($B89&amp;AG$2,Com_AllFuels_SEDS_2022_TBtus!$B$3:$B$53&amp;Com_AllFuels_SEDS_2022_TBtus!$A$3:$A$53,0))),0,(index(Com_AllFuels_SEDS_2022_TBtus!$P$3:$P$53,match($B89&amp;AG$2,Com_AllFuels_SEDS_2022_TBtus!$B$3:$B$53&amp;Com_AllFuels_SEDS_2022_TBtus!$A$3:$A$53,0))))</f>
        <v>0</v>
      </c>
      <c r="AH102" s="75">
        <f t="array" ref="AH102">IF(ISERROR(index(Com_AllFuels_SEDS_2022_TBtus!$P$3:$P$53,match($B89&amp;AH$2,Com_AllFuels_SEDS_2022_TBtus!$B$3:$B$53&amp;Com_AllFuels_SEDS_2022_TBtus!$A$3:$A$53,0))),0,(index(Com_AllFuels_SEDS_2022_TBtus!$P$3:$P$53,match($B89&amp;AH$2,Com_AllFuels_SEDS_2022_TBtus!$B$3:$B$53&amp;Com_AllFuels_SEDS_2022_TBtus!$A$3:$A$53,0))))</f>
        <v>67.6</v>
      </c>
      <c r="AI102" s="75">
        <f t="array" ref="AI102">IF(ISERROR(index(Com_AllFuels_SEDS_2022_TBtus!$P$3:$P$53,match($B89&amp;AI$2,Com_AllFuels_SEDS_2022_TBtus!$B$3:$B$53&amp;Com_AllFuels_SEDS_2022_TBtus!$A$3:$A$53,0))),0,(index(Com_AllFuels_SEDS_2022_TBtus!$P$3:$P$53,match($B89&amp;AI$2,Com_AllFuels_SEDS_2022_TBtus!$B$3:$B$53&amp;Com_AllFuels_SEDS_2022_TBtus!$A$3:$A$53,0))))</f>
        <v>0</v>
      </c>
      <c r="AJ102" s="75">
        <f t="array" ref="AJ102">IF(ISERROR(index(Com_AllFuels_SEDS_2022_TBtus!$P$3:$P$53,match($B89&amp;AJ$2,Com_AllFuels_SEDS_2022_TBtus!$B$3:$B$53&amp;Com_AllFuels_SEDS_2022_TBtus!$A$3:$A$53,0))),0,(index(Com_AllFuels_SEDS_2022_TBtus!$P$3:$P$53,match($B89&amp;AJ$2,Com_AllFuels_SEDS_2022_TBtus!$B$3:$B$53&amp;Com_AllFuels_SEDS_2022_TBtus!$A$3:$A$53,0))))</f>
        <v>0</v>
      </c>
      <c r="AK102" s="75">
        <f t="array" ref="AK102">IF(ISERROR(index(Com_AllFuels_SEDS_2022_TBtus!$P$3:$P$53,match($B89&amp;AK$2,Com_AllFuels_SEDS_2022_TBtus!$B$3:$B$53&amp;Com_AllFuels_SEDS_2022_TBtus!$A$3:$A$53,0))),0,(index(Com_AllFuels_SEDS_2022_TBtus!$P$3:$P$53,match($B89&amp;AK$2,Com_AllFuels_SEDS_2022_TBtus!$B$3:$B$53&amp;Com_AllFuels_SEDS_2022_TBtus!$A$3:$A$53,0))))</f>
        <v>0</v>
      </c>
      <c r="AL102" s="75">
        <f t="array" ref="AL102">IF(ISERROR(index(Com_AllFuels_SEDS_2022_TBtus!$P$3:$P$53,match($B89&amp;AL$2,Com_AllFuels_SEDS_2022_TBtus!$B$3:$B$53&amp;Com_AllFuels_SEDS_2022_TBtus!$A$3:$A$53,0))),0,(index(Com_AllFuels_SEDS_2022_TBtus!$P$3:$P$53,match($B89&amp;AL$2,Com_AllFuels_SEDS_2022_TBtus!$B$3:$B$53&amp;Com_AllFuels_SEDS_2022_TBtus!$A$3:$A$53,0))))</f>
        <v>0</v>
      </c>
      <c r="AM102" s="75">
        <f t="array" ref="AM102">IF(ISERROR(index(Com_AllFuels_SEDS_2022_TBtus!$P$3:$P$53,match($B89&amp;AM$2,Com_AllFuels_SEDS_2022_TBtus!$B$3:$B$53&amp;Com_AllFuels_SEDS_2022_TBtus!$A$3:$A$53,0))),0,(index(Com_AllFuels_SEDS_2022_TBtus!$P$3:$P$53,match($B89&amp;AM$2,Com_AllFuels_SEDS_2022_TBtus!$B$3:$B$53&amp;Com_AllFuels_SEDS_2022_TBtus!$A$3:$A$53,0))))</f>
        <v>0</v>
      </c>
      <c r="AN102" s="75">
        <f t="array" ref="AN102">IF(ISERROR(index(Com_AllFuels_SEDS_2022_TBtus!$P$3:$P$53,match($B89&amp;AN$2,Com_AllFuels_SEDS_2022_TBtus!$B$3:$B$53&amp;Com_AllFuels_SEDS_2022_TBtus!$A$3:$A$53,0))),0,(index(Com_AllFuels_SEDS_2022_TBtus!$P$3:$P$53,match($B89&amp;AN$2,Com_AllFuels_SEDS_2022_TBtus!$B$3:$B$53&amp;Com_AllFuels_SEDS_2022_TBtus!$A$3:$A$53,0))))</f>
        <v>0</v>
      </c>
      <c r="AO102" s="75">
        <f t="array" ref="AO102">IF(ISERROR(index(Com_AllFuels_SEDS_2022_TBtus!$P$3:$P$53,match($B89&amp;AO$2,Com_AllFuels_SEDS_2022_TBtus!$B$3:$B$53&amp;Com_AllFuels_SEDS_2022_TBtus!$A$3:$A$53,0))),0,(index(Com_AllFuels_SEDS_2022_TBtus!$P$3:$P$53,match($B89&amp;AO$2,Com_AllFuels_SEDS_2022_TBtus!$B$3:$B$53&amp;Com_AllFuels_SEDS_2022_TBtus!$A$3:$A$53,0))))</f>
        <v>0</v>
      </c>
      <c r="AP102" s="75">
        <f t="array" ref="AP102">IF(ISERROR(index(Com_AllFuels_SEDS_2022_TBtus!$P$3:$P$53,match($B89&amp;AP$2,Com_AllFuels_SEDS_2022_TBtus!$B$3:$B$53&amp;Com_AllFuels_SEDS_2022_TBtus!$A$3:$A$53,0))),0,(index(Com_AllFuels_SEDS_2022_TBtus!$P$3:$P$53,match($B89&amp;AP$2,Com_AllFuels_SEDS_2022_TBtus!$B$3:$B$53&amp;Com_AllFuels_SEDS_2022_TBtus!$A$3:$A$53,0))))</f>
        <v>0</v>
      </c>
      <c r="AQ102" s="75">
        <f t="array" ref="AQ102">IF(ISERROR(index(Com_AllFuels_SEDS_2022_TBtus!$P$3:$P$53,match($B89&amp;AQ$2,Com_AllFuels_SEDS_2022_TBtus!$B$3:$B$53&amp;Com_AllFuels_SEDS_2022_TBtus!$A$3:$A$53,0))),0,(index(Com_AllFuels_SEDS_2022_TBtus!$P$3:$P$53,match($B89&amp;AQ$2,Com_AllFuels_SEDS_2022_TBtus!$B$3:$B$53&amp;Com_AllFuels_SEDS_2022_TBtus!$A$3:$A$53,0))))</f>
        <v>0</v>
      </c>
      <c r="AR102" s="75">
        <f t="array" ref="AR102">IF(ISERROR(index(Com_AllFuels_SEDS_2022_TBtus!$P$3:$P$53,match($B89&amp;AR$2,Com_AllFuels_SEDS_2022_TBtus!$B$3:$B$53&amp;Com_AllFuels_SEDS_2022_TBtus!$A$3:$A$53,0))),0,(index(Com_AllFuels_SEDS_2022_TBtus!$P$3:$P$53,match($B89&amp;AR$2,Com_AllFuels_SEDS_2022_TBtus!$B$3:$B$53&amp;Com_AllFuels_SEDS_2022_TBtus!$A$3:$A$53,0))))</f>
        <v>0</v>
      </c>
      <c r="AS102" s="75">
        <f t="array" ref="AS102">IF(ISERROR(index(Com_AllFuels_SEDS_2022_TBtus!$P$3:$P$53,match($B89&amp;AS$2,Com_AllFuels_SEDS_2022_TBtus!$B$3:$B$53&amp;Com_AllFuels_SEDS_2022_TBtus!$A$3:$A$53,0))),0,(index(Com_AllFuels_SEDS_2022_TBtus!$P$3:$P$53,match($B89&amp;AS$2,Com_AllFuels_SEDS_2022_TBtus!$B$3:$B$53&amp;Com_AllFuels_SEDS_2022_TBtus!$A$3:$A$53,0))))</f>
        <v>0</v>
      </c>
      <c r="AT102" s="75">
        <f t="array" ref="AT102">IF(ISERROR(index(Com_AllFuels_SEDS_2022_TBtus!$P$3:$P$53,match($B89&amp;AT$2,Com_AllFuels_SEDS_2022_TBtus!$B$3:$B$53&amp;Com_AllFuels_SEDS_2022_TBtus!$A$3:$A$53,0))),0,(index(Com_AllFuels_SEDS_2022_TBtus!$P$3:$P$53,match($B89&amp;AT$2,Com_AllFuels_SEDS_2022_TBtus!$B$3:$B$53&amp;Com_AllFuels_SEDS_2022_TBtus!$A$3:$A$53,0))))</f>
        <v>0</v>
      </c>
      <c r="AU102" s="75">
        <f t="array" ref="AU102">IF(ISERROR(index(Com_AllFuels_SEDS_2022_TBtus!$P$3:$P$53,match($B89&amp;AU$2,Com_AllFuels_SEDS_2022_TBtus!$B$3:$B$53&amp;Com_AllFuels_SEDS_2022_TBtus!$A$3:$A$53,0))),0,(index(Com_AllFuels_SEDS_2022_TBtus!$P$3:$P$53,match($B89&amp;AU$2,Com_AllFuels_SEDS_2022_TBtus!$B$3:$B$53&amp;Com_AllFuels_SEDS_2022_TBtus!$A$3:$A$53,0))))</f>
        <v>103.9</v>
      </c>
      <c r="AV102" s="75">
        <f t="array" ref="AV102">IF(ISERROR(index(Com_AllFuels_SEDS_2022_TBtus!$P$3:$P$53,match($B89&amp;AV$2,Com_AllFuels_SEDS_2022_TBtus!$B$3:$B$53&amp;Com_AllFuels_SEDS_2022_TBtus!$A$3:$A$53,0))),0,(index(Com_AllFuels_SEDS_2022_TBtus!$P$3:$P$53,match($B89&amp;AV$2,Com_AllFuels_SEDS_2022_TBtus!$B$3:$B$53&amp;Com_AllFuels_SEDS_2022_TBtus!$A$3:$A$53,0))))</f>
        <v>0</v>
      </c>
      <c r="AW102" s="75">
        <f t="array" ref="AW102">IF(ISERROR(index(Com_AllFuels_SEDS_2022_TBtus!$P$3:$P$53,match($B89&amp;AW$2,Com_AllFuels_SEDS_2022_TBtus!$B$3:$B$53&amp;Com_AllFuels_SEDS_2022_TBtus!$A$3:$A$53,0))),0,(index(Com_AllFuels_SEDS_2022_TBtus!$P$3:$P$53,match($B89&amp;AW$2,Com_AllFuels_SEDS_2022_TBtus!$B$3:$B$53&amp;Com_AllFuels_SEDS_2022_TBtus!$A$3:$A$53,0))))</f>
        <v>0</v>
      </c>
      <c r="AX102" s="75">
        <f t="array" ref="AX102">IF(ISERROR(index(Com_AllFuels_SEDS_2022_TBtus!$P$3:$P$53,match($B89&amp;AX$2,Com_AllFuels_SEDS_2022_TBtus!$B$3:$B$53&amp;Com_AllFuels_SEDS_2022_TBtus!$A$3:$A$53,0))),0,(index(Com_AllFuels_SEDS_2022_TBtus!$P$3:$P$53,match($B89&amp;AX$2,Com_AllFuels_SEDS_2022_TBtus!$B$3:$B$53&amp;Com_AllFuels_SEDS_2022_TBtus!$A$3:$A$53,0))))</f>
        <v>0</v>
      </c>
      <c r="AY102" s="75">
        <f t="array" ref="AY102">IF(ISERROR(index(Com_AllFuels_SEDS_2022_TBtus!$P$3:$P$53,match($B89&amp;AY$2,Com_AllFuels_SEDS_2022_TBtus!$B$3:$B$53&amp;Com_AllFuels_SEDS_2022_TBtus!$A$3:$A$53,0))),0,(index(Com_AllFuels_SEDS_2022_TBtus!$P$3:$P$53,match($B89&amp;AY$2,Com_AllFuels_SEDS_2022_TBtus!$B$3:$B$53&amp;Com_AllFuels_SEDS_2022_TBtus!$A$3:$A$53,0))))</f>
        <v>0</v>
      </c>
      <c r="AZ102" s="75">
        <f t="array" ref="AZ102">IF(ISERROR(index(Com_AllFuels_SEDS_2022_TBtus!$P$3:$P$53,match($B89&amp;AZ$2,Com_AllFuels_SEDS_2022_TBtus!$B$3:$B$53&amp;Com_AllFuels_SEDS_2022_TBtus!$A$3:$A$53,0))),0,(index(Com_AllFuels_SEDS_2022_TBtus!$P$3:$P$53,match($B89&amp;AZ$2,Com_AllFuels_SEDS_2022_TBtus!$B$3:$B$53&amp;Com_AllFuels_SEDS_2022_TBtus!$A$3:$A$53,0))))</f>
        <v>0</v>
      </c>
      <c r="BA102" s="75">
        <f t="array" ref="BA102">IF(ISERROR(index(Com_AllFuels_SEDS_2022_TBtus!$P$3:$P$53,match($B89&amp;BA$2,Com_AllFuels_SEDS_2022_TBtus!$B$3:$B$53&amp;Com_AllFuels_SEDS_2022_TBtus!$A$3:$A$53,0))),0,(index(Com_AllFuels_SEDS_2022_TBtus!$P$3:$P$53,match($B89&amp;BA$2,Com_AllFuels_SEDS_2022_TBtus!$B$3:$B$53&amp;Com_AllFuels_SEDS_2022_TBtus!$A$3:$A$53,0))))</f>
        <v>32.4</v>
      </c>
      <c r="BB102" s="74">
        <f t="shared" si="15"/>
        <v>723.3</v>
      </c>
    </row>
    <row r="103" ht="15.75" customHeight="1">
      <c r="A103" s="78"/>
      <c r="B103" s="74">
        <v>9.0</v>
      </c>
      <c r="C103" s="75">
        <f t="array" ref="C103">IF(ISERROR(index(Com_AllFuels_SEDS_2022_TBtus!$P$3:$P$53,match($B90&amp;C$2,Com_AllFuels_SEDS_2022_TBtus!$B$3:$B$53&amp;Com_AllFuels_SEDS_2022_TBtus!$A$3:$A$53,0))),0,(index(Com_AllFuels_SEDS_2022_TBtus!$P$3:$P$53,match($B90&amp;C$2,Com_AllFuels_SEDS_2022_TBtus!$B$3:$B$53&amp;Com_AllFuels_SEDS_2022_TBtus!$A$3:$A$53,0))))</f>
        <v>0</v>
      </c>
      <c r="D103" s="75">
        <f t="array" ref="D103">IF(ISERROR(index(Com_AllFuels_SEDS_2022_TBtus!$P$3:$P$53,match($B90&amp;D$2,Com_AllFuels_SEDS_2022_TBtus!$B$3:$B$53&amp;Com_AllFuels_SEDS_2022_TBtus!$A$3:$A$53,0))),0,(index(Com_AllFuels_SEDS_2022_TBtus!$P$3:$P$53,match($B90&amp;D$2,Com_AllFuels_SEDS_2022_TBtus!$B$3:$B$53&amp;Com_AllFuels_SEDS_2022_TBtus!$A$3:$A$53,0))))</f>
        <v>43.5</v>
      </c>
      <c r="E103" s="75">
        <f t="array" ref="E103">IF(ISERROR(index(Com_AllFuels_SEDS_2022_TBtus!$P$3:$P$53,match($B90&amp;E$2,Com_AllFuels_SEDS_2022_TBtus!$B$3:$B$53&amp;Com_AllFuels_SEDS_2022_TBtus!$A$3:$A$53,0))),0,(index(Com_AllFuels_SEDS_2022_TBtus!$P$3:$P$53,match($B90&amp;E$2,Com_AllFuels_SEDS_2022_TBtus!$B$3:$B$53&amp;Com_AllFuels_SEDS_2022_TBtus!$A$3:$A$53,0))))</f>
        <v>0</v>
      </c>
      <c r="F103" s="75">
        <f t="array" ref="F103">IF(ISERROR(index(Com_AllFuels_SEDS_2022_TBtus!$P$3:$P$53,match($B90&amp;F$2,Com_AllFuels_SEDS_2022_TBtus!$B$3:$B$53&amp;Com_AllFuels_SEDS_2022_TBtus!$A$3:$A$53,0))),0,(index(Com_AllFuels_SEDS_2022_TBtus!$P$3:$P$53,match($B90&amp;F$2,Com_AllFuels_SEDS_2022_TBtus!$B$3:$B$53&amp;Com_AllFuels_SEDS_2022_TBtus!$A$3:$A$53,0))))</f>
        <v>0</v>
      </c>
      <c r="G103" s="81">
        <f t="array" ref="G103">IF(ISERROR(index(Com_AllFuels_SEDS_2022_TBtus!$P$3:$P$53,match($B90&amp;G$2,Com_AllFuels_SEDS_2022_TBtus!$B$3:$B$53&amp;Com_AllFuels_SEDS_2022_TBtus!$A$3:$A$53,0))),0,(index(Com_AllFuels_SEDS_2022_TBtus!$P$3:$P$53,match($B90&amp;G$2,Com_AllFuels_SEDS_2022_TBtus!$B$3:$B$53&amp;Com_AllFuels_SEDS_2022_TBtus!$A$3:$A$53,0))))</f>
        <v>766.9</v>
      </c>
      <c r="H103" s="75">
        <f t="array" ref="H103">IF(ISERROR(index(Com_AllFuels_SEDS_2022_TBtus!$P$3:$P$53,match($B90&amp;H$2,Com_AllFuels_SEDS_2022_TBtus!$B$3:$B$53&amp;Com_AllFuels_SEDS_2022_TBtus!$A$3:$A$53,0))),0,(index(Com_AllFuels_SEDS_2022_TBtus!$P$3:$P$53,match($B90&amp;H$2,Com_AllFuels_SEDS_2022_TBtus!$B$3:$B$53&amp;Com_AllFuels_SEDS_2022_TBtus!$A$3:$A$53,0))))</f>
        <v>0</v>
      </c>
      <c r="I103" s="75">
        <f t="array" ref="I103">IF(ISERROR(index(Com_AllFuels_SEDS_2022_TBtus!$P$3:$P$53,match($B90&amp;I$2,Com_AllFuels_SEDS_2022_TBtus!$B$3:$B$53&amp;Com_AllFuels_SEDS_2022_TBtus!$A$3:$A$53,0))),0,(index(Com_AllFuels_SEDS_2022_TBtus!$P$3:$P$53,match($B90&amp;I$2,Com_AllFuels_SEDS_2022_TBtus!$B$3:$B$53&amp;Com_AllFuels_SEDS_2022_TBtus!$A$3:$A$53,0))))</f>
        <v>0</v>
      </c>
      <c r="J103" s="75">
        <f t="array" ref="J103">IF(ISERROR(index(Com_AllFuels_SEDS_2022_TBtus!$P$3:$P$53,match($B90&amp;J$2,Com_AllFuels_SEDS_2022_TBtus!$B$3:$B$53&amp;Com_AllFuels_SEDS_2022_TBtus!$A$3:$A$53,0))),0,(index(Com_AllFuels_SEDS_2022_TBtus!$P$3:$P$53,match($B90&amp;J$2,Com_AllFuels_SEDS_2022_TBtus!$B$3:$B$53&amp;Com_AllFuels_SEDS_2022_TBtus!$A$3:$A$53,0))))</f>
        <v>0</v>
      </c>
      <c r="K103" s="75">
        <f t="array" ref="K103">IF(ISERROR(index(Com_AllFuels_SEDS_2022_TBtus!$P$3:$P$53,match($B90&amp;K$2,Com_AllFuels_SEDS_2022_TBtus!$B$3:$B$53&amp;Com_AllFuels_SEDS_2022_TBtus!$A$3:$A$53,0))),0,(index(Com_AllFuels_SEDS_2022_TBtus!$P$3:$P$53,match($B90&amp;K$2,Com_AllFuels_SEDS_2022_TBtus!$B$3:$B$53&amp;Com_AllFuels_SEDS_2022_TBtus!$A$3:$A$53,0))))</f>
        <v>0</v>
      </c>
      <c r="L103" s="75">
        <f t="array" ref="L103">IF(ISERROR(index(Com_AllFuels_SEDS_2022_TBtus!$P$3:$P$53,match($B90&amp;L$2,Com_AllFuels_SEDS_2022_TBtus!$B$3:$B$53&amp;Com_AllFuels_SEDS_2022_TBtus!$A$3:$A$53,0))),0,(index(Com_AllFuels_SEDS_2022_TBtus!$P$3:$P$53,match($B90&amp;L$2,Com_AllFuels_SEDS_2022_TBtus!$B$3:$B$53&amp;Com_AllFuels_SEDS_2022_TBtus!$A$3:$A$53,0))))</f>
        <v>0</v>
      </c>
      <c r="M103" s="75">
        <f t="array" ref="M103">IF(ISERROR(index(Com_AllFuels_SEDS_2022_TBtus!$P$3:$P$53,match($B90&amp;M$2,Com_AllFuels_SEDS_2022_TBtus!$B$3:$B$53&amp;Com_AllFuels_SEDS_2022_TBtus!$A$3:$A$53,0))),0,(index(Com_AllFuels_SEDS_2022_TBtus!$P$3:$P$53,match($B90&amp;M$2,Com_AllFuels_SEDS_2022_TBtus!$B$3:$B$53&amp;Com_AllFuels_SEDS_2022_TBtus!$A$3:$A$53,0))))</f>
        <v>0</v>
      </c>
      <c r="N103" s="75">
        <f t="array" ref="N103">IF(ISERROR(index(Com_AllFuels_SEDS_2022_TBtus!$P$3:$P$53,match($B90&amp;N$2,Com_AllFuels_SEDS_2022_TBtus!$B$3:$B$53&amp;Com_AllFuels_SEDS_2022_TBtus!$A$3:$A$53,0))),0,(index(Com_AllFuels_SEDS_2022_TBtus!$P$3:$P$53,match($B90&amp;N$2,Com_AllFuels_SEDS_2022_TBtus!$B$3:$B$53&amp;Com_AllFuels_SEDS_2022_TBtus!$A$3:$A$53,0))))</f>
        <v>20.9</v>
      </c>
      <c r="O103" s="75">
        <f t="array" ref="O103">IF(ISERROR(index(Com_AllFuels_SEDS_2022_TBtus!$P$3:$P$53,match($B90&amp;O$2,Com_AllFuels_SEDS_2022_TBtus!$B$3:$B$53&amp;Com_AllFuels_SEDS_2022_TBtus!$A$3:$A$53,0))),0,(index(Com_AllFuels_SEDS_2022_TBtus!$P$3:$P$53,match($B90&amp;O$2,Com_AllFuels_SEDS_2022_TBtus!$B$3:$B$53&amp;Com_AllFuels_SEDS_2022_TBtus!$A$3:$A$53,0))))</f>
        <v>0</v>
      </c>
      <c r="P103" s="75">
        <f t="array" ref="P103">IF(ISERROR(index(Com_AllFuels_SEDS_2022_TBtus!$P$3:$P$53,match($B90&amp;P$2,Com_AllFuels_SEDS_2022_TBtus!$B$3:$B$53&amp;Com_AllFuels_SEDS_2022_TBtus!$A$3:$A$53,0))),0,(index(Com_AllFuels_SEDS_2022_TBtus!$P$3:$P$53,match($B90&amp;P$2,Com_AllFuels_SEDS_2022_TBtus!$B$3:$B$53&amp;Com_AllFuels_SEDS_2022_TBtus!$A$3:$A$53,0))))</f>
        <v>0</v>
      </c>
      <c r="Q103" s="75">
        <f t="array" ref="Q103">IF(ISERROR(index(Com_AllFuels_SEDS_2022_TBtus!$P$3:$P$53,match($B90&amp;Q$2,Com_AllFuels_SEDS_2022_TBtus!$B$3:$B$53&amp;Com_AllFuels_SEDS_2022_TBtus!$A$3:$A$53,0))),0,(index(Com_AllFuels_SEDS_2022_TBtus!$P$3:$P$53,match($B90&amp;Q$2,Com_AllFuels_SEDS_2022_TBtus!$B$3:$B$53&amp;Com_AllFuels_SEDS_2022_TBtus!$A$3:$A$53,0))))</f>
        <v>0</v>
      </c>
      <c r="R103" s="75">
        <f t="array" ref="R103">IF(ISERROR(index(Com_AllFuels_SEDS_2022_TBtus!$P$3:$P$53,match($B90&amp;R$2,Com_AllFuels_SEDS_2022_TBtus!$B$3:$B$53&amp;Com_AllFuels_SEDS_2022_TBtus!$A$3:$A$53,0))),0,(index(Com_AllFuels_SEDS_2022_TBtus!$P$3:$P$53,match($B90&amp;R$2,Com_AllFuels_SEDS_2022_TBtus!$B$3:$B$53&amp;Com_AllFuels_SEDS_2022_TBtus!$A$3:$A$53,0))))</f>
        <v>0</v>
      </c>
      <c r="S103" s="75">
        <f t="array" ref="S103">IF(ISERROR(index(Com_AllFuels_SEDS_2022_TBtus!$P$3:$P$53,match($B90&amp;S$2,Com_AllFuels_SEDS_2022_TBtus!$B$3:$B$53&amp;Com_AllFuels_SEDS_2022_TBtus!$A$3:$A$53,0))),0,(index(Com_AllFuels_SEDS_2022_TBtus!$P$3:$P$53,match($B90&amp;S$2,Com_AllFuels_SEDS_2022_TBtus!$B$3:$B$53&amp;Com_AllFuels_SEDS_2022_TBtus!$A$3:$A$53,0))))</f>
        <v>0</v>
      </c>
      <c r="T103" s="75">
        <f t="array" ref="T103">IF(ISERROR(index(Com_AllFuels_SEDS_2022_TBtus!$P$3:$P$53,match($B90&amp;T$2,Com_AllFuels_SEDS_2022_TBtus!$B$3:$B$53&amp;Com_AllFuels_SEDS_2022_TBtus!$A$3:$A$53,0))),0,(index(Com_AllFuels_SEDS_2022_TBtus!$P$3:$P$53,match($B90&amp;T$2,Com_AllFuels_SEDS_2022_TBtus!$B$3:$B$53&amp;Com_AllFuels_SEDS_2022_TBtus!$A$3:$A$53,0))))</f>
        <v>0</v>
      </c>
      <c r="U103" s="75">
        <f t="array" ref="U103">IF(ISERROR(index(Com_AllFuels_SEDS_2022_TBtus!$P$3:$P$53,match($B90&amp;U$2,Com_AllFuels_SEDS_2022_TBtus!$B$3:$B$53&amp;Com_AllFuels_SEDS_2022_TBtus!$A$3:$A$53,0))),0,(index(Com_AllFuels_SEDS_2022_TBtus!$P$3:$P$53,match($B90&amp;U$2,Com_AllFuels_SEDS_2022_TBtus!$B$3:$B$53&amp;Com_AllFuels_SEDS_2022_TBtus!$A$3:$A$53,0))))</f>
        <v>0</v>
      </c>
      <c r="V103" s="75">
        <f t="array" ref="V103">IF(ISERROR(index(Com_AllFuels_SEDS_2022_TBtus!$P$3:$P$53,match($B90&amp;V$2,Com_AllFuels_SEDS_2022_TBtus!$B$3:$B$53&amp;Com_AllFuels_SEDS_2022_TBtus!$A$3:$A$53,0))),0,(index(Com_AllFuels_SEDS_2022_TBtus!$P$3:$P$53,match($B90&amp;V$2,Com_AllFuels_SEDS_2022_TBtus!$B$3:$B$53&amp;Com_AllFuels_SEDS_2022_TBtus!$A$3:$A$53,0))))</f>
        <v>0</v>
      </c>
      <c r="W103" s="75">
        <f t="array" ref="W103">IF(ISERROR(index(Com_AllFuels_SEDS_2022_TBtus!$P$3:$P$53,match($B90&amp;W$2,Com_AllFuels_SEDS_2022_TBtus!$B$3:$B$53&amp;Com_AllFuels_SEDS_2022_TBtus!$A$3:$A$53,0))),0,(index(Com_AllFuels_SEDS_2022_TBtus!$P$3:$P$53,match($B90&amp;W$2,Com_AllFuels_SEDS_2022_TBtus!$B$3:$B$53&amp;Com_AllFuels_SEDS_2022_TBtus!$A$3:$A$53,0))))</f>
        <v>0</v>
      </c>
      <c r="X103" s="75">
        <f t="array" ref="X103">IF(ISERROR(index(Com_AllFuels_SEDS_2022_TBtus!$P$3:$P$53,match($B90&amp;X$2,Com_AllFuels_SEDS_2022_TBtus!$B$3:$B$53&amp;Com_AllFuels_SEDS_2022_TBtus!$A$3:$A$53,0))),0,(index(Com_AllFuels_SEDS_2022_TBtus!$P$3:$P$53,match($B90&amp;X$2,Com_AllFuels_SEDS_2022_TBtus!$B$3:$B$53&amp;Com_AllFuels_SEDS_2022_TBtus!$A$3:$A$53,0))))</f>
        <v>0</v>
      </c>
      <c r="Y103" s="75">
        <f t="array" ref="Y103">IF(ISERROR(index(Com_AllFuels_SEDS_2022_TBtus!$P$3:$P$53,match($B90&amp;Y$2,Com_AllFuels_SEDS_2022_TBtus!$B$3:$B$53&amp;Com_AllFuels_SEDS_2022_TBtus!$A$3:$A$53,0))),0,(index(Com_AllFuels_SEDS_2022_TBtus!$P$3:$P$53,match($B90&amp;Y$2,Com_AllFuels_SEDS_2022_TBtus!$B$3:$B$53&amp;Com_AllFuels_SEDS_2022_TBtus!$A$3:$A$53,0))))</f>
        <v>0</v>
      </c>
      <c r="Z103" s="75">
        <f t="array" ref="Z103">IF(ISERROR(index(Com_AllFuels_SEDS_2022_TBtus!$P$3:$P$53,match($B90&amp;Z$2,Com_AllFuels_SEDS_2022_TBtus!$B$3:$B$53&amp;Com_AllFuels_SEDS_2022_TBtus!$A$3:$A$53,0))),0,(index(Com_AllFuels_SEDS_2022_TBtus!$P$3:$P$53,match($B90&amp;Z$2,Com_AllFuels_SEDS_2022_TBtus!$B$3:$B$53&amp;Com_AllFuels_SEDS_2022_TBtus!$A$3:$A$53,0))))</f>
        <v>0</v>
      </c>
      <c r="AA103" s="75">
        <f t="array" ref="AA103">IF(ISERROR(index(Com_AllFuels_SEDS_2022_TBtus!$P$3:$P$53,match($B90&amp;AA$2,Com_AllFuels_SEDS_2022_TBtus!$B$3:$B$53&amp;Com_AllFuels_SEDS_2022_TBtus!$A$3:$A$53,0))),0,(index(Com_AllFuels_SEDS_2022_TBtus!$P$3:$P$53,match($B90&amp;AA$2,Com_AllFuels_SEDS_2022_TBtus!$B$3:$B$53&amp;Com_AllFuels_SEDS_2022_TBtus!$A$3:$A$53,0))))</f>
        <v>0</v>
      </c>
      <c r="AB103" s="75">
        <f t="array" ref="AB103">IF(ISERROR(index(Com_AllFuels_SEDS_2022_TBtus!$P$3:$P$53,match($B90&amp;AB$2,Com_AllFuels_SEDS_2022_TBtus!$B$3:$B$53&amp;Com_AllFuels_SEDS_2022_TBtus!$A$3:$A$53,0))),0,(index(Com_AllFuels_SEDS_2022_TBtus!$P$3:$P$53,match($B90&amp;AB$2,Com_AllFuels_SEDS_2022_TBtus!$B$3:$B$53&amp;Com_AllFuels_SEDS_2022_TBtus!$A$3:$A$53,0))))</f>
        <v>0</v>
      </c>
      <c r="AC103" s="75">
        <f t="array" ref="AC103">IF(ISERROR(index(Com_AllFuels_SEDS_2022_TBtus!$P$3:$P$53,match($B90&amp;AC$2,Com_AllFuels_SEDS_2022_TBtus!$B$3:$B$53&amp;Com_AllFuels_SEDS_2022_TBtus!$A$3:$A$53,0))),0,(index(Com_AllFuels_SEDS_2022_TBtus!$P$3:$P$53,match($B90&amp;AC$2,Com_AllFuels_SEDS_2022_TBtus!$B$3:$B$53&amp;Com_AllFuels_SEDS_2022_TBtus!$A$3:$A$53,0))))</f>
        <v>0</v>
      </c>
      <c r="AD103" s="75">
        <f t="array" ref="AD103">IF(ISERROR(index(Com_AllFuels_SEDS_2022_TBtus!$P$3:$P$53,match($B90&amp;AD$2,Com_AllFuels_SEDS_2022_TBtus!$B$3:$B$53&amp;Com_AllFuels_SEDS_2022_TBtus!$A$3:$A$53,0))),0,(index(Com_AllFuels_SEDS_2022_TBtus!$P$3:$P$53,match($B90&amp;AD$2,Com_AllFuels_SEDS_2022_TBtus!$B$3:$B$53&amp;Com_AllFuels_SEDS_2022_TBtus!$A$3:$A$53,0))))</f>
        <v>0</v>
      </c>
      <c r="AE103" s="75">
        <f t="array" ref="AE103">IF(ISERROR(index(Com_AllFuels_SEDS_2022_TBtus!$P$3:$P$53,match($B90&amp;AE$2,Com_AllFuels_SEDS_2022_TBtus!$B$3:$B$53&amp;Com_AllFuels_SEDS_2022_TBtus!$A$3:$A$53,0))),0,(index(Com_AllFuels_SEDS_2022_TBtus!$P$3:$P$53,match($B90&amp;AE$2,Com_AllFuels_SEDS_2022_TBtus!$B$3:$B$53&amp;Com_AllFuels_SEDS_2022_TBtus!$A$3:$A$53,0))))</f>
        <v>0</v>
      </c>
      <c r="AF103" s="75">
        <f t="array" ref="AF103">IF(ISERROR(index(Com_AllFuels_SEDS_2022_TBtus!$P$3:$P$53,match($B90&amp;AF$2,Com_AllFuels_SEDS_2022_TBtus!$B$3:$B$53&amp;Com_AllFuels_SEDS_2022_TBtus!$A$3:$A$53,0))),0,(index(Com_AllFuels_SEDS_2022_TBtus!$P$3:$P$53,match($B90&amp;AF$2,Com_AllFuels_SEDS_2022_TBtus!$B$3:$B$53&amp;Com_AllFuels_SEDS_2022_TBtus!$A$3:$A$53,0))))</f>
        <v>0</v>
      </c>
      <c r="AG103" s="75">
        <f t="array" ref="AG103">IF(ISERROR(index(Com_AllFuels_SEDS_2022_TBtus!$P$3:$P$53,match($B90&amp;AG$2,Com_AllFuels_SEDS_2022_TBtus!$B$3:$B$53&amp;Com_AllFuels_SEDS_2022_TBtus!$A$3:$A$53,0))),0,(index(Com_AllFuels_SEDS_2022_TBtus!$P$3:$P$53,match($B90&amp;AG$2,Com_AllFuels_SEDS_2022_TBtus!$B$3:$B$53&amp;Com_AllFuels_SEDS_2022_TBtus!$A$3:$A$53,0))))</f>
        <v>0</v>
      </c>
      <c r="AH103" s="75">
        <f t="array" ref="AH103">IF(ISERROR(index(Com_AllFuels_SEDS_2022_TBtus!$P$3:$P$53,match($B90&amp;AH$2,Com_AllFuels_SEDS_2022_TBtus!$B$3:$B$53&amp;Com_AllFuels_SEDS_2022_TBtus!$A$3:$A$53,0))),0,(index(Com_AllFuels_SEDS_2022_TBtus!$P$3:$P$53,match($B90&amp;AH$2,Com_AllFuels_SEDS_2022_TBtus!$B$3:$B$53&amp;Com_AllFuels_SEDS_2022_TBtus!$A$3:$A$53,0))))</f>
        <v>0</v>
      </c>
      <c r="AI103" s="75">
        <f t="array" ref="AI103">IF(ISERROR(index(Com_AllFuels_SEDS_2022_TBtus!$P$3:$P$53,match($B90&amp;AI$2,Com_AllFuels_SEDS_2022_TBtus!$B$3:$B$53&amp;Com_AllFuels_SEDS_2022_TBtus!$A$3:$A$53,0))),0,(index(Com_AllFuels_SEDS_2022_TBtus!$P$3:$P$53,match($B90&amp;AI$2,Com_AllFuels_SEDS_2022_TBtus!$B$3:$B$53&amp;Com_AllFuels_SEDS_2022_TBtus!$A$3:$A$53,0))))</f>
        <v>0</v>
      </c>
      <c r="AJ103" s="75">
        <f t="array" ref="AJ103">IF(ISERROR(index(Com_AllFuels_SEDS_2022_TBtus!$P$3:$P$53,match($B90&amp;AJ$2,Com_AllFuels_SEDS_2022_TBtus!$B$3:$B$53&amp;Com_AllFuels_SEDS_2022_TBtus!$A$3:$A$53,0))),0,(index(Com_AllFuels_SEDS_2022_TBtus!$P$3:$P$53,match($B90&amp;AJ$2,Com_AllFuels_SEDS_2022_TBtus!$B$3:$B$53&amp;Com_AllFuels_SEDS_2022_TBtus!$A$3:$A$53,0))))</f>
        <v>0</v>
      </c>
      <c r="AK103" s="75">
        <f t="array" ref="AK103">IF(ISERROR(index(Com_AllFuels_SEDS_2022_TBtus!$P$3:$P$53,match($B90&amp;AK$2,Com_AllFuels_SEDS_2022_TBtus!$B$3:$B$53&amp;Com_AllFuels_SEDS_2022_TBtus!$A$3:$A$53,0))),0,(index(Com_AllFuels_SEDS_2022_TBtus!$P$3:$P$53,match($B90&amp;AK$2,Com_AllFuels_SEDS_2022_TBtus!$B$3:$B$53&amp;Com_AllFuels_SEDS_2022_TBtus!$A$3:$A$53,0))))</f>
        <v>0</v>
      </c>
      <c r="AL103" s="75">
        <f t="array" ref="AL103">IF(ISERROR(index(Com_AllFuels_SEDS_2022_TBtus!$P$3:$P$53,match($B90&amp;AL$2,Com_AllFuels_SEDS_2022_TBtus!$B$3:$B$53&amp;Com_AllFuels_SEDS_2022_TBtus!$A$3:$A$53,0))),0,(index(Com_AllFuels_SEDS_2022_TBtus!$P$3:$P$53,match($B90&amp;AL$2,Com_AllFuels_SEDS_2022_TBtus!$B$3:$B$53&amp;Com_AllFuels_SEDS_2022_TBtus!$A$3:$A$53,0))))</f>
        <v>0</v>
      </c>
      <c r="AM103" s="75">
        <f t="array" ref="AM103">IF(ISERROR(index(Com_AllFuels_SEDS_2022_TBtus!$P$3:$P$53,match($B90&amp;AM$2,Com_AllFuels_SEDS_2022_TBtus!$B$3:$B$53&amp;Com_AllFuels_SEDS_2022_TBtus!$A$3:$A$53,0))),0,(index(Com_AllFuels_SEDS_2022_TBtus!$P$3:$P$53,match($B90&amp;AM$2,Com_AllFuels_SEDS_2022_TBtus!$B$3:$B$53&amp;Com_AllFuels_SEDS_2022_TBtus!$A$3:$A$53,0))))</f>
        <v>0</v>
      </c>
      <c r="AN103" s="75">
        <f t="array" ref="AN103">IF(ISERROR(index(Com_AllFuels_SEDS_2022_TBtus!$P$3:$P$53,match($B90&amp;AN$2,Com_AllFuels_SEDS_2022_TBtus!$B$3:$B$53&amp;Com_AllFuels_SEDS_2022_TBtus!$A$3:$A$53,0))),0,(index(Com_AllFuels_SEDS_2022_TBtus!$P$3:$P$53,match($B90&amp;AN$2,Com_AllFuels_SEDS_2022_TBtus!$B$3:$B$53&amp;Com_AllFuels_SEDS_2022_TBtus!$A$3:$A$53,0))))</f>
        <v>108.2</v>
      </c>
      <c r="AO103" s="75">
        <f t="array" ref="AO103">IF(ISERROR(index(Com_AllFuels_SEDS_2022_TBtus!$P$3:$P$53,match($B90&amp;AO$2,Com_AllFuels_SEDS_2022_TBtus!$B$3:$B$53&amp;Com_AllFuels_SEDS_2022_TBtus!$A$3:$A$53,0))),0,(index(Com_AllFuels_SEDS_2022_TBtus!$P$3:$P$53,match($B90&amp;AO$2,Com_AllFuels_SEDS_2022_TBtus!$B$3:$B$53&amp;Com_AllFuels_SEDS_2022_TBtus!$A$3:$A$53,0))))</f>
        <v>0</v>
      </c>
      <c r="AP103" s="75">
        <f t="array" ref="AP103">IF(ISERROR(index(Com_AllFuels_SEDS_2022_TBtus!$P$3:$P$53,match($B90&amp;AP$2,Com_AllFuels_SEDS_2022_TBtus!$B$3:$B$53&amp;Com_AllFuels_SEDS_2022_TBtus!$A$3:$A$53,0))),0,(index(Com_AllFuels_SEDS_2022_TBtus!$P$3:$P$53,match($B90&amp;AP$2,Com_AllFuels_SEDS_2022_TBtus!$B$3:$B$53&amp;Com_AllFuels_SEDS_2022_TBtus!$A$3:$A$53,0))))</f>
        <v>0</v>
      </c>
      <c r="AQ103" s="75">
        <f t="array" ref="AQ103">IF(ISERROR(index(Com_AllFuels_SEDS_2022_TBtus!$P$3:$P$53,match($B90&amp;AQ$2,Com_AllFuels_SEDS_2022_TBtus!$B$3:$B$53&amp;Com_AllFuels_SEDS_2022_TBtus!$A$3:$A$53,0))),0,(index(Com_AllFuels_SEDS_2022_TBtus!$P$3:$P$53,match($B90&amp;AQ$2,Com_AllFuels_SEDS_2022_TBtus!$B$3:$B$53&amp;Com_AllFuels_SEDS_2022_TBtus!$A$3:$A$53,0))))</f>
        <v>0</v>
      </c>
      <c r="AR103" s="75">
        <f t="array" ref="AR103">IF(ISERROR(index(Com_AllFuels_SEDS_2022_TBtus!$P$3:$P$53,match($B90&amp;AR$2,Com_AllFuels_SEDS_2022_TBtus!$B$3:$B$53&amp;Com_AllFuels_SEDS_2022_TBtus!$A$3:$A$53,0))),0,(index(Com_AllFuels_SEDS_2022_TBtus!$P$3:$P$53,match($B90&amp;AR$2,Com_AllFuels_SEDS_2022_TBtus!$B$3:$B$53&amp;Com_AllFuels_SEDS_2022_TBtus!$A$3:$A$53,0))))</f>
        <v>0</v>
      </c>
      <c r="AS103" s="75">
        <f t="array" ref="AS103">IF(ISERROR(index(Com_AllFuels_SEDS_2022_TBtus!$P$3:$P$53,match($B90&amp;AS$2,Com_AllFuels_SEDS_2022_TBtus!$B$3:$B$53&amp;Com_AllFuels_SEDS_2022_TBtus!$A$3:$A$53,0))),0,(index(Com_AllFuels_SEDS_2022_TBtus!$P$3:$P$53,match($B90&amp;AS$2,Com_AllFuels_SEDS_2022_TBtus!$B$3:$B$53&amp;Com_AllFuels_SEDS_2022_TBtus!$A$3:$A$53,0))))</f>
        <v>0</v>
      </c>
      <c r="AT103" s="75">
        <f t="array" ref="AT103">IF(ISERROR(index(Com_AllFuels_SEDS_2022_TBtus!$P$3:$P$53,match($B90&amp;AT$2,Com_AllFuels_SEDS_2022_TBtus!$B$3:$B$53&amp;Com_AllFuels_SEDS_2022_TBtus!$A$3:$A$53,0))),0,(index(Com_AllFuels_SEDS_2022_TBtus!$P$3:$P$53,match($B90&amp;AT$2,Com_AllFuels_SEDS_2022_TBtus!$B$3:$B$53&amp;Com_AllFuels_SEDS_2022_TBtus!$A$3:$A$53,0))))</f>
        <v>0</v>
      </c>
      <c r="AU103" s="75">
        <f t="array" ref="AU103">IF(ISERROR(index(Com_AllFuels_SEDS_2022_TBtus!$P$3:$P$53,match($B90&amp;AU$2,Com_AllFuels_SEDS_2022_TBtus!$B$3:$B$53&amp;Com_AllFuels_SEDS_2022_TBtus!$A$3:$A$53,0))),0,(index(Com_AllFuels_SEDS_2022_TBtus!$P$3:$P$53,match($B90&amp;AU$2,Com_AllFuels_SEDS_2022_TBtus!$B$3:$B$53&amp;Com_AllFuels_SEDS_2022_TBtus!$A$3:$A$53,0))))</f>
        <v>0</v>
      </c>
      <c r="AV103" s="75">
        <f t="array" ref="AV103">IF(ISERROR(index(Com_AllFuels_SEDS_2022_TBtus!$P$3:$P$53,match($B90&amp;AV$2,Com_AllFuels_SEDS_2022_TBtus!$B$3:$B$53&amp;Com_AllFuels_SEDS_2022_TBtus!$A$3:$A$53,0))),0,(index(Com_AllFuels_SEDS_2022_TBtus!$P$3:$P$53,match($B90&amp;AV$2,Com_AllFuels_SEDS_2022_TBtus!$B$3:$B$53&amp;Com_AllFuels_SEDS_2022_TBtus!$A$3:$A$53,0))))</f>
        <v>0</v>
      </c>
      <c r="AW103" s="75">
        <f t="array" ref="AW103">IF(ISERROR(index(Com_AllFuels_SEDS_2022_TBtus!$P$3:$P$53,match($B90&amp;AW$2,Com_AllFuels_SEDS_2022_TBtus!$B$3:$B$53&amp;Com_AllFuels_SEDS_2022_TBtus!$A$3:$A$53,0))),0,(index(Com_AllFuels_SEDS_2022_TBtus!$P$3:$P$53,match($B90&amp;AW$2,Com_AllFuels_SEDS_2022_TBtus!$B$3:$B$53&amp;Com_AllFuels_SEDS_2022_TBtus!$A$3:$A$53,0))))</f>
        <v>0</v>
      </c>
      <c r="AX103" s="75">
        <f t="array" ref="AX103">IF(ISERROR(index(Com_AllFuels_SEDS_2022_TBtus!$P$3:$P$53,match($B90&amp;AX$2,Com_AllFuels_SEDS_2022_TBtus!$B$3:$B$53&amp;Com_AllFuels_SEDS_2022_TBtus!$A$3:$A$53,0))),0,(index(Com_AllFuels_SEDS_2022_TBtus!$P$3:$P$53,match($B90&amp;AX$2,Com_AllFuels_SEDS_2022_TBtus!$B$3:$B$53&amp;Com_AllFuels_SEDS_2022_TBtus!$A$3:$A$53,0))))</f>
        <v>195.8</v>
      </c>
      <c r="AY103" s="75">
        <f t="array" ref="AY103">IF(ISERROR(index(Com_AllFuels_SEDS_2022_TBtus!$P$3:$P$53,match($B90&amp;AY$2,Com_AllFuels_SEDS_2022_TBtus!$B$3:$B$53&amp;Com_AllFuels_SEDS_2022_TBtus!$A$3:$A$53,0))),0,(index(Com_AllFuels_SEDS_2022_TBtus!$P$3:$P$53,match($B90&amp;AY$2,Com_AllFuels_SEDS_2022_TBtus!$B$3:$B$53&amp;Com_AllFuels_SEDS_2022_TBtus!$A$3:$A$53,0))))</f>
        <v>0</v>
      </c>
      <c r="AZ103" s="75">
        <f t="array" ref="AZ103">IF(ISERROR(index(Com_AllFuels_SEDS_2022_TBtus!$P$3:$P$53,match($B90&amp;AZ$2,Com_AllFuels_SEDS_2022_TBtus!$B$3:$B$53&amp;Com_AllFuels_SEDS_2022_TBtus!$A$3:$A$53,0))),0,(index(Com_AllFuels_SEDS_2022_TBtus!$P$3:$P$53,match($B90&amp;AZ$2,Com_AllFuels_SEDS_2022_TBtus!$B$3:$B$53&amp;Com_AllFuels_SEDS_2022_TBtus!$A$3:$A$53,0))))</f>
        <v>0</v>
      </c>
      <c r="BA103" s="75">
        <f t="array" ref="BA103">IF(ISERROR(index(Com_AllFuels_SEDS_2022_TBtus!$P$3:$P$53,match($B90&amp;BA$2,Com_AllFuels_SEDS_2022_TBtus!$B$3:$B$53&amp;Com_AllFuels_SEDS_2022_TBtus!$A$3:$A$53,0))),0,(index(Com_AllFuels_SEDS_2022_TBtus!$P$3:$P$53,match($B90&amp;BA$2,Com_AllFuels_SEDS_2022_TBtus!$B$3:$B$53&amp;Com_AllFuels_SEDS_2022_TBtus!$A$3:$A$53,0))))</f>
        <v>0</v>
      </c>
      <c r="BB103" s="74">
        <f t="shared" si="15"/>
        <v>1135.3</v>
      </c>
    </row>
    <row r="104" ht="15.75" customHeight="1">
      <c r="A104" s="78"/>
      <c r="B104" s="78" t="s">
        <v>4207</v>
      </c>
      <c r="C104" s="74">
        <f t="shared" ref="C104:BA104" si="16">sum(C95:C103)</f>
        <v>120.1</v>
      </c>
      <c r="D104" s="74">
        <f t="shared" si="16"/>
        <v>43.5</v>
      </c>
      <c r="E104" s="74">
        <f t="shared" si="16"/>
        <v>167.3</v>
      </c>
      <c r="F104" s="74">
        <f t="shared" si="16"/>
        <v>105.2</v>
      </c>
      <c r="G104" s="74">
        <f t="shared" si="16"/>
        <v>766.9</v>
      </c>
      <c r="H104" s="74">
        <f t="shared" si="16"/>
        <v>156.6</v>
      </c>
      <c r="I104" s="74">
        <f t="shared" si="16"/>
        <v>116</v>
      </c>
      <c r="J104" s="74">
        <f t="shared" si="16"/>
        <v>29.5</v>
      </c>
      <c r="K104" s="74">
        <f t="shared" si="16"/>
        <v>43.1</v>
      </c>
      <c r="L104" s="74">
        <f t="shared" si="16"/>
        <v>457.3</v>
      </c>
      <c r="M104" s="74">
        <f t="shared" si="16"/>
        <v>252.2</v>
      </c>
      <c r="N104" s="74">
        <f t="shared" si="16"/>
        <v>20.9</v>
      </c>
      <c r="O104" s="74">
        <f t="shared" si="16"/>
        <v>56.4</v>
      </c>
      <c r="P104" s="74">
        <f t="shared" si="16"/>
        <v>446.3</v>
      </c>
      <c r="Q104" s="74">
        <f t="shared" si="16"/>
        <v>205.2</v>
      </c>
      <c r="R104" s="74">
        <f t="shared" si="16"/>
        <v>127.8</v>
      </c>
      <c r="S104" s="74">
        <f t="shared" si="16"/>
        <v>109.4</v>
      </c>
      <c r="T104" s="74">
        <f t="shared" si="16"/>
        <v>120.6</v>
      </c>
      <c r="U104" s="74">
        <f t="shared" si="16"/>
        <v>123.1</v>
      </c>
      <c r="V104" s="74">
        <f t="shared" si="16"/>
        <v>46.8</v>
      </c>
      <c r="W104" s="74">
        <f t="shared" si="16"/>
        <v>193.6</v>
      </c>
      <c r="X104" s="74">
        <f t="shared" si="16"/>
        <v>246.1</v>
      </c>
      <c r="Y104" s="74">
        <f t="shared" si="16"/>
        <v>348.3</v>
      </c>
      <c r="Z104" s="74">
        <f t="shared" si="16"/>
        <v>229.7</v>
      </c>
      <c r="AA104" s="74">
        <f t="shared" si="16"/>
        <v>78.1</v>
      </c>
      <c r="AB104" s="74">
        <f t="shared" si="16"/>
        <v>189.4</v>
      </c>
      <c r="AC104" s="74">
        <f t="shared" si="16"/>
        <v>52.1</v>
      </c>
      <c r="AD104" s="74">
        <f t="shared" si="16"/>
        <v>73.9</v>
      </c>
      <c r="AE104" s="74">
        <f t="shared" si="16"/>
        <v>87</v>
      </c>
      <c r="AF104" s="74">
        <f t="shared" si="16"/>
        <v>39.8</v>
      </c>
      <c r="AG104" s="74">
        <f t="shared" si="16"/>
        <v>324.1</v>
      </c>
      <c r="AH104" s="74">
        <f t="shared" si="16"/>
        <v>67.6</v>
      </c>
      <c r="AI104" s="74">
        <f t="shared" si="16"/>
        <v>666.2</v>
      </c>
      <c r="AJ104" s="74">
        <f t="shared" si="16"/>
        <v>280.1</v>
      </c>
      <c r="AK104" s="74">
        <f t="shared" si="16"/>
        <v>52.5</v>
      </c>
      <c r="AL104" s="74">
        <f t="shared" si="16"/>
        <v>391.6</v>
      </c>
      <c r="AM104" s="74">
        <f t="shared" si="16"/>
        <v>136.5</v>
      </c>
      <c r="AN104" s="74">
        <f t="shared" si="16"/>
        <v>108.2</v>
      </c>
      <c r="AO104" s="74">
        <f t="shared" si="16"/>
        <v>353</v>
      </c>
      <c r="AP104" s="74">
        <f t="shared" si="16"/>
        <v>30.3</v>
      </c>
      <c r="AQ104" s="74">
        <f t="shared" si="16"/>
        <v>123.1</v>
      </c>
      <c r="AR104" s="74">
        <f t="shared" si="16"/>
        <v>34.6</v>
      </c>
      <c r="AS104" s="74">
        <f t="shared" si="16"/>
        <v>201.1</v>
      </c>
      <c r="AT104" s="74">
        <f t="shared" si="16"/>
        <v>809.5</v>
      </c>
      <c r="AU104" s="74">
        <f t="shared" si="16"/>
        <v>103.9</v>
      </c>
      <c r="AV104" s="74">
        <f t="shared" si="16"/>
        <v>24.6</v>
      </c>
      <c r="AW104" s="74">
        <f t="shared" si="16"/>
        <v>353.9</v>
      </c>
      <c r="AX104" s="74">
        <f t="shared" si="16"/>
        <v>195.8</v>
      </c>
      <c r="AY104" s="74">
        <f t="shared" si="16"/>
        <v>57.5</v>
      </c>
      <c r="AZ104" s="74">
        <f t="shared" si="16"/>
        <v>223.5</v>
      </c>
      <c r="BA104" s="74">
        <f t="shared" si="16"/>
        <v>32.4</v>
      </c>
      <c r="BB104" s="74">
        <f t="shared" si="15"/>
        <v>9622.2</v>
      </c>
    </row>
    <row r="105" ht="15.75" customHeight="1"/>
    <row r="106" ht="15.75" customHeight="1"/>
    <row r="107" ht="15.75" customHeight="1">
      <c r="A107" s="80" t="s">
        <v>4244</v>
      </c>
    </row>
    <row r="108" ht="15.75" customHeight="1">
      <c r="A108" s="77" t="s">
        <v>4229</v>
      </c>
      <c r="B108" s="78" t="s">
        <v>48</v>
      </c>
      <c r="C108" s="79" t="s">
        <v>101</v>
      </c>
      <c r="D108" s="79" t="s">
        <v>171</v>
      </c>
      <c r="E108" s="79" t="s">
        <v>201</v>
      </c>
      <c r="F108" s="79" t="s">
        <v>220</v>
      </c>
      <c r="G108" s="79" t="s">
        <v>279</v>
      </c>
      <c r="H108" s="79" t="s">
        <v>339</v>
      </c>
      <c r="I108" s="79" t="s">
        <v>395</v>
      </c>
      <c r="J108" s="79" t="s">
        <v>405</v>
      </c>
      <c r="K108" s="79" t="s">
        <v>408</v>
      </c>
      <c r="L108" s="79" t="s">
        <v>410</v>
      </c>
      <c r="M108" s="79" t="s">
        <v>461</v>
      </c>
      <c r="N108" s="79" t="s">
        <v>570</v>
      </c>
      <c r="O108" s="79" t="s">
        <v>576</v>
      </c>
      <c r="P108" s="79" t="s">
        <v>608</v>
      </c>
      <c r="Q108" s="79" t="s">
        <v>663</v>
      </c>
      <c r="R108" s="79" t="s">
        <v>705</v>
      </c>
      <c r="S108" s="79" t="s">
        <v>750</v>
      </c>
      <c r="T108" s="79" t="s">
        <v>818</v>
      </c>
      <c r="U108" s="79" t="s">
        <v>875</v>
      </c>
      <c r="V108" s="79" t="s">
        <v>923</v>
      </c>
      <c r="W108" s="79" t="s">
        <v>934</v>
      </c>
      <c r="X108" s="79" t="s">
        <v>952</v>
      </c>
      <c r="Y108" s="79" t="s">
        <v>963</v>
      </c>
      <c r="Z108" s="79" t="s">
        <v>1026</v>
      </c>
      <c r="AA108" s="79" t="s">
        <v>255</v>
      </c>
      <c r="AB108" s="79" t="s">
        <v>1121</v>
      </c>
      <c r="AC108" s="79" t="s">
        <v>1162</v>
      </c>
      <c r="AD108" s="79" t="s">
        <v>1198</v>
      </c>
      <c r="AE108" s="79" t="s">
        <v>256</v>
      </c>
      <c r="AF108" s="79" t="s">
        <v>1251</v>
      </c>
      <c r="AG108" s="79" t="s">
        <v>1259</v>
      </c>
      <c r="AH108" s="79" t="s">
        <v>1271</v>
      </c>
      <c r="AI108" s="79" t="s">
        <v>1296</v>
      </c>
      <c r="AJ108" s="79" t="s">
        <v>1326</v>
      </c>
      <c r="AK108" s="79" t="s">
        <v>1390</v>
      </c>
      <c r="AL108" s="79" t="s">
        <v>683</v>
      </c>
      <c r="AM108" s="79" t="s">
        <v>1457</v>
      </c>
      <c r="AN108" s="79" t="s">
        <v>1144</v>
      </c>
      <c r="AO108" s="79" t="s">
        <v>1514</v>
      </c>
      <c r="AP108" s="79" t="s">
        <v>1546</v>
      </c>
      <c r="AQ108" s="79" t="s">
        <v>1550</v>
      </c>
      <c r="AR108" s="79" t="s">
        <v>1578</v>
      </c>
      <c r="AS108" s="79" t="s">
        <v>1616</v>
      </c>
      <c r="AT108" s="79" t="s">
        <v>1159</v>
      </c>
      <c r="AU108" s="79" t="s">
        <v>1802</v>
      </c>
      <c r="AV108" s="79" t="s">
        <v>1819</v>
      </c>
      <c r="AW108" s="79" t="s">
        <v>1828</v>
      </c>
      <c r="AX108" s="79" t="s">
        <v>167</v>
      </c>
      <c r="AY108" s="79" t="s">
        <v>1924</v>
      </c>
      <c r="AZ108" s="79" t="s">
        <v>1942</v>
      </c>
      <c r="BA108" s="79" t="s">
        <v>1323</v>
      </c>
      <c r="BB108" s="78" t="s">
        <v>4207</v>
      </c>
    </row>
    <row r="109" ht="15.75" customHeight="1">
      <c r="A109" s="52" t="s">
        <v>4230</v>
      </c>
      <c r="B109" s="74">
        <v>1.0</v>
      </c>
      <c r="C109" s="75">
        <f t="array" ref="C109">IF(ISERROR(index(Res_SF_Homes_RECS_2020!$D$2:$D$52,match($B109&amp;C$2,Res_SF_Homes_RECS_2020!$B$2:$B$52&amp;Res_SF_Homes_RECS_2020!$A$2:$A$52,0))),0,index(Res_SF_Homes_RECS_2020!$D$2:$D$52,match($B109&amp;C$2,Res_SF_Homes_RECS_2020!$B$2:$B$52&amp;Res_SF_Homes_RECS_2020!$A$2:$A$52,0)))</f>
        <v>0</v>
      </c>
      <c r="D109" s="75">
        <f t="array" ref="D109">IF(ISERROR(index(Res_SF_Homes_RECS_2020!$D$2:$D$52,match($B109&amp;D$2,Res_SF_Homes_RECS_2020!$B$2:$B$52&amp;Res_SF_Homes_RECS_2020!$A$2:$A$52,0))),0,index(Res_SF_Homes_RECS_2020!$D$2:$D$52,match($B109&amp;D$2,Res_SF_Homes_RECS_2020!$B$2:$B$52&amp;Res_SF_Homes_RECS_2020!$A$2:$A$52,0)))</f>
        <v>0</v>
      </c>
      <c r="E109" s="75">
        <f t="array" ref="E109">IF(ISERROR(index(Res_SF_Homes_RECS_2020!$D$2:$D$52,match($B109&amp;E$2,Res_SF_Homes_RECS_2020!$B$2:$B$52&amp;Res_SF_Homes_RECS_2020!$A$2:$A$52,0))),0,index(Res_SF_Homes_RECS_2020!$D$2:$D$52,match($B109&amp;E$2,Res_SF_Homes_RECS_2020!$B$2:$B$52&amp;Res_SF_Homes_RECS_2020!$A$2:$A$52,0)))</f>
        <v>0</v>
      </c>
      <c r="F109" s="75">
        <f t="array" ref="F109">IF(ISERROR(index(Res_SF_Homes_RECS_2020!$D$2:$D$52,match($B109&amp;F$2,Res_SF_Homes_RECS_2020!$B$2:$B$52&amp;Res_SF_Homes_RECS_2020!$A$2:$A$52,0))),0,index(Res_SF_Homes_RECS_2020!$D$2:$D$52,match($B109&amp;F$2,Res_SF_Homes_RECS_2020!$B$2:$B$52&amp;Res_SF_Homes_RECS_2020!$A$2:$A$52,0)))</f>
        <v>0</v>
      </c>
      <c r="G109" s="75">
        <f t="array" ref="G109">IF(ISERROR(index(Res_SF_Homes_RECS_2020!$D$2:$D$52,match($B109&amp;G$2,Res_SF_Homes_RECS_2020!$B$2:$B$52&amp;Res_SF_Homes_RECS_2020!$A$2:$A$52,0))),0,index(Res_SF_Homes_RECS_2020!$D$2:$D$52,match($B109&amp;G$2,Res_SF_Homes_RECS_2020!$B$2:$B$52&amp;Res_SF_Homes_RECS_2020!$A$2:$A$52,0)))</f>
        <v>0</v>
      </c>
      <c r="H109" s="75">
        <f t="array" ref="H109">IF(ISERROR(index(Res_SF_Homes_RECS_2020!$D$2:$D$52,match($B109&amp;H$2,Res_SF_Homes_RECS_2020!$B$2:$B$52&amp;Res_SF_Homes_RECS_2020!$A$2:$A$52,0))),0,index(Res_SF_Homes_RECS_2020!$D$2:$D$52,match($B109&amp;H$2,Res_SF_Homes_RECS_2020!$B$2:$B$52&amp;Res_SF_Homes_RECS_2020!$A$2:$A$52,0)))</f>
        <v>0</v>
      </c>
      <c r="I109" s="75">
        <f t="array" ref="I109">IF(ISERROR(index(Res_SF_Homes_RECS_2020!$D$2:$D$52,match($B109&amp;I$2,Res_SF_Homes_RECS_2020!$B$2:$B$52&amp;Res_SF_Homes_RECS_2020!$A$2:$A$52,0))),0,index(Res_SF_Homes_RECS_2020!$D$2:$D$52,match($B109&amp;I$2,Res_SF_Homes_RECS_2020!$B$2:$B$52&amp;Res_SF_Homes_RECS_2020!$A$2:$A$52,0)))</f>
        <v>1.38</v>
      </c>
      <c r="J109" s="75">
        <f t="array" ref="J109">IF(ISERROR(index(Res_SF_Homes_RECS_2020!$D$2:$D$52,match($B109&amp;J$2,Res_SF_Homes_RECS_2020!$B$2:$B$52&amp;Res_SF_Homes_RECS_2020!$A$2:$A$52,0))),0,index(Res_SF_Homes_RECS_2020!$D$2:$D$52,match($B109&amp;J$2,Res_SF_Homes_RECS_2020!$B$2:$B$52&amp;Res_SF_Homes_RECS_2020!$A$2:$A$52,0)))</f>
        <v>0</v>
      </c>
      <c r="K109" s="75">
        <f t="array" ref="K109">IF(ISERROR(index(Res_SF_Homes_RECS_2020!$D$2:$D$52,match($B109&amp;K$2,Res_SF_Homes_RECS_2020!$B$2:$B$52&amp;Res_SF_Homes_RECS_2020!$A$2:$A$52,0))),0,index(Res_SF_Homes_RECS_2020!$D$2:$D$52,match($B109&amp;K$2,Res_SF_Homes_RECS_2020!$B$2:$B$52&amp;Res_SF_Homes_RECS_2020!$A$2:$A$52,0)))</f>
        <v>0</v>
      </c>
      <c r="L109" s="75">
        <f t="array" ref="L109">IF(ISERROR(index(Res_SF_Homes_RECS_2020!$D$2:$D$52,match($B109&amp;L$2,Res_SF_Homes_RECS_2020!$B$2:$B$52&amp;Res_SF_Homes_RECS_2020!$A$2:$A$52,0))),0,index(Res_SF_Homes_RECS_2020!$D$2:$D$52,match($B109&amp;L$2,Res_SF_Homes_RECS_2020!$B$2:$B$52&amp;Res_SF_Homes_RECS_2020!$A$2:$A$52,0)))</f>
        <v>0</v>
      </c>
      <c r="M109" s="75">
        <f t="array" ref="M109">IF(ISERROR(index(Res_SF_Homes_RECS_2020!$D$2:$D$52,match($B109&amp;M$2,Res_SF_Homes_RECS_2020!$B$2:$B$52&amp;Res_SF_Homes_RECS_2020!$A$2:$A$52,0))),0,index(Res_SF_Homes_RECS_2020!$D$2:$D$52,match($B109&amp;M$2,Res_SF_Homes_RECS_2020!$B$2:$B$52&amp;Res_SF_Homes_RECS_2020!$A$2:$A$52,0)))</f>
        <v>0</v>
      </c>
      <c r="N109" s="75">
        <f t="array" ref="N109">IF(ISERROR(index(Res_SF_Homes_RECS_2020!$D$2:$D$52,match($B109&amp;N$2,Res_SF_Homes_RECS_2020!$B$2:$B$52&amp;Res_SF_Homes_RECS_2020!$A$2:$A$52,0))),0,index(Res_SF_Homes_RECS_2020!$D$2:$D$52,match($B109&amp;N$2,Res_SF_Homes_RECS_2020!$B$2:$B$52&amp;Res_SF_Homes_RECS_2020!$A$2:$A$52,0)))</f>
        <v>0</v>
      </c>
      <c r="O109" s="75">
        <f t="array" ref="O109">IF(ISERROR(index(Res_SF_Homes_RECS_2020!$D$2:$D$52,match($B109&amp;O$2,Res_SF_Homes_RECS_2020!$B$2:$B$52&amp;Res_SF_Homes_RECS_2020!$A$2:$A$52,0))),0,index(Res_SF_Homes_RECS_2020!$D$2:$D$52,match($B109&amp;O$2,Res_SF_Homes_RECS_2020!$B$2:$B$52&amp;Res_SF_Homes_RECS_2020!$A$2:$A$52,0)))</f>
        <v>0</v>
      </c>
      <c r="P109" s="75">
        <f t="array" ref="P109">IF(ISERROR(index(Res_SF_Homes_RECS_2020!$D$2:$D$52,match($B109&amp;P$2,Res_SF_Homes_RECS_2020!$B$2:$B$52&amp;Res_SF_Homes_RECS_2020!$A$2:$A$52,0))),0,index(Res_SF_Homes_RECS_2020!$D$2:$D$52,match($B109&amp;P$2,Res_SF_Homes_RECS_2020!$B$2:$B$52&amp;Res_SF_Homes_RECS_2020!$A$2:$A$52,0)))</f>
        <v>0</v>
      </c>
      <c r="Q109" s="75">
        <f t="array" ref="Q109">IF(ISERROR(index(Res_SF_Homes_RECS_2020!$D$2:$D$52,match($B109&amp;Q$2,Res_SF_Homes_RECS_2020!$B$2:$B$52&amp;Res_SF_Homes_RECS_2020!$A$2:$A$52,0))),0,index(Res_SF_Homes_RECS_2020!$D$2:$D$52,match($B109&amp;Q$2,Res_SF_Homes_RECS_2020!$B$2:$B$52&amp;Res_SF_Homes_RECS_2020!$A$2:$A$52,0)))</f>
        <v>0</v>
      </c>
      <c r="R109" s="75">
        <f t="array" ref="R109">IF(ISERROR(index(Res_SF_Homes_RECS_2020!$D$2:$D$52,match($B109&amp;R$2,Res_SF_Homes_RECS_2020!$B$2:$B$52&amp;Res_SF_Homes_RECS_2020!$A$2:$A$52,0))),0,index(Res_SF_Homes_RECS_2020!$D$2:$D$52,match($B109&amp;R$2,Res_SF_Homes_RECS_2020!$B$2:$B$52&amp;Res_SF_Homes_RECS_2020!$A$2:$A$52,0)))</f>
        <v>0</v>
      </c>
      <c r="S109" s="75">
        <f t="array" ref="S109">IF(ISERROR(index(Res_SF_Homes_RECS_2020!$D$2:$D$52,match($B109&amp;S$2,Res_SF_Homes_RECS_2020!$B$2:$B$52&amp;Res_SF_Homes_RECS_2020!$A$2:$A$52,0))),0,index(Res_SF_Homes_RECS_2020!$D$2:$D$52,match($B109&amp;S$2,Res_SF_Homes_RECS_2020!$B$2:$B$52&amp;Res_SF_Homes_RECS_2020!$A$2:$A$52,0)))</f>
        <v>0</v>
      </c>
      <c r="T109" s="75">
        <f t="array" ref="T109">IF(ISERROR(index(Res_SF_Homes_RECS_2020!$D$2:$D$52,match($B109&amp;T$2,Res_SF_Homes_RECS_2020!$B$2:$B$52&amp;Res_SF_Homes_RECS_2020!$A$2:$A$52,0))),0,index(Res_SF_Homes_RECS_2020!$D$2:$D$52,match($B109&amp;T$2,Res_SF_Homes_RECS_2020!$B$2:$B$52&amp;Res_SF_Homes_RECS_2020!$A$2:$A$52,0)))</f>
        <v>0</v>
      </c>
      <c r="U109" s="75">
        <f t="array" ref="U109">IF(ISERROR(index(Res_SF_Homes_RECS_2020!$D$2:$D$52,match($B109&amp;U$2,Res_SF_Homes_RECS_2020!$B$2:$B$52&amp;Res_SF_Homes_RECS_2020!$A$2:$A$52,0))),0,index(Res_SF_Homes_RECS_2020!$D$2:$D$52,match($B109&amp;U$2,Res_SF_Homes_RECS_2020!$B$2:$B$52&amp;Res_SF_Homes_RECS_2020!$A$2:$A$52,0)))</f>
        <v>0</v>
      </c>
      <c r="V109" s="75">
        <f t="array" ref="V109">IF(ISERROR(index(Res_SF_Homes_RECS_2020!$D$2:$D$52,match($B109&amp;V$2,Res_SF_Homes_RECS_2020!$B$2:$B$52&amp;Res_SF_Homes_RECS_2020!$A$2:$A$52,0))),0,index(Res_SF_Homes_RECS_2020!$D$2:$D$52,match($B109&amp;V$2,Res_SF_Homes_RECS_2020!$B$2:$B$52&amp;Res_SF_Homes_RECS_2020!$A$2:$A$52,0)))</f>
        <v>0.56</v>
      </c>
      <c r="W109" s="75">
        <f t="array" ref="W109">IF(ISERROR(index(Res_SF_Homes_RECS_2020!$D$2:$D$52,match($B109&amp;W$2,Res_SF_Homes_RECS_2020!$B$2:$B$52&amp;Res_SF_Homes_RECS_2020!$A$2:$A$52,0))),0,index(Res_SF_Homes_RECS_2020!$D$2:$D$52,match($B109&amp;W$2,Res_SF_Homes_RECS_2020!$B$2:$B$52&amp;Res_SF_Homes_RECS_2020!$A$2:$A$52,0)))</f>
        <v>0</v>
      </c>
      <c r="X109" s="75">
        <f t="array" ref="X109">IF(ISERROR(index(Res_SF_Homes_RECS_2020!$D$2:$D$52,match($B109&amp;X$2,Res_SF_Homes_RECS_2020!$B$2:$B$52&amp;Res_SF_Homes_RECS_2020!$A$2:$A$52,0))),0,index(Res_SF_Homes_RECS_2020!$D$2:$D$52,match($B109&amp;X$2,Res_SF_Homes_RECS_2020!$B$2:$B$52&amp;Res_SF_Homes_RECS_2020!$A$2:$A$52,0)))</f>
        <v>2.71</v>
      </c>
      <c r="Y109" s="75">
        <f t="array" ref="Y109">IF(ISERROR(index(Res_SF_Homes_RECS_2020!$D$2:$D$52,match($B109&amp;Y$2,Res_SF_Homes_RECS_2020!$B$2:$B$52&amp;Res_SF_Homes_RECS_2020!$A$2:$A$52,0))),0,index(Res_SF_Homes_RECS_2020!$D$2:$D$52,match($B109&amp;Y$2,Res_SF_Homes_RECS_2020!$B$2:$B$52&amp;Res_SF_Homes_RECS_2020!$A$2:$A$52,0)))</f>
        <v>0</v>
      </c>
      <c r="Z109" s="75">
        <f t="array" ref="Z109">IF(ISERROR(index(Res_SF_Homes_RECS_2020!$D$2:$D$52,match($B109&amp;Z$2,Res_SF_Homes_RECS_2020!$B$2:$B$52&amp;Res_SF_Homes_RECS_2020!$A$2:$A$52,0))),0,index(Res_SF_Homes_RECS_2020!$D$2:$D$52,match($B109&amp;Z$2,Res_SF_Homes_RECS_2020!$B$2:$B$52&amp;Res_SF_Homes_RECS_2020!$A$2:$A$52,0)))</f>
        <v>0</v>
      </c>
      <c r="AA109" s="75">
        <f t="array" ref="AA109">IF(ISERROR(index(Res_SF_Homes_RECS_2020!$D$2:$D$52,match($B109&amp;AA$2,Res_SF_Homes_RECS_2020!$B$2:$B$52&amp;Res_SF_Homes_RECS_2020!$A$2:$A$52,0))),0,index(Res_SF_Homes_RECS_2020!$D$2:$D$52,match($B109&amp;AA$2,Res_SF_Homes_RECS_2020!$B$2:$B$52&amp;Res_SF_Homes_RECS_2020!$A$2:$A$52,0)))</f>
        <v>0</v>
      </c>
      <c r="AB109" s="75">
        <f t="array" ref="AB109">IF(ISERROR(index(Res_SF_Homes_RECS_2020!$D$2:$D$52,match($B109&amp;AB$2,Res_SF_Homes_RECS_2020!$B$2:$B$52&amp;Res_SF_Homes_RECS_2020!$A$2:$A$52,0))),0,index(Res_SF_Homes_RECS_2020!$D$2:$D$52,match($B109&amp;AB$2,Res_SF_Homes_RECS_2020!$B$2:$B$52&amp;Res_SF_Homes_RECS_2020!$A$2:$A$52,0)))</f>
        <v>0</v>
      </c>
      <c r="AC109" s="75">
        <f t="array" ref="AC109">IF(ISERROR(index(Res_SF_Homes_RECS_2020!$D$2:$D$52,match($B109&amp;AC$2,Res_SF_Homes_RECS_2020!$B$2:$B$52&amp;Res_SF_Homes_RECS_2020!$A$2:$A$52,0))),0,index(Res_SF_Homes_RECS_2020!$D$2:$D$52,match($B109&amp;AC$2,Res_SF_Homes_RECS_2020!$B$2:$B$52&amp;Res_SF_Homes_RECS_2020!$A$2:$A$52,0)))</f>
        <v>0</v>
      </c>
      <c r="AD109" s="75">
        <f t="array" ref="AD109">IF(ISERROR(index(Res_SF_Homes_RECS_2020!$D$2:$D$52,match($B109&amp;AD$2,Res_SF_Homes_RECS_2020!$B$2:$B$52&amp;Res_SF_Homes_RECS_2020!$A$2:$A$52,0))),0,index(Res_SF_Homes_RECS_2020!$D$2:$D$52,match($B109&amp;AD$2,Res_SF_Homes_RECS_2020!$B$2:$B$52&amp;Res_SF_Homes_RECS_2020!$A$2:$A$52,0)))</f>
        <v>0</v>
      </c>
      <c r="AE109" s="75">
        <f t="array" ref="AE109">IF(ISERROR(index(Res_SF_Homes_RECS_2020!$D$2:$D$52,match($B109&amp;AE$2,Res_SF_Homes_RECS_2020!$B$2:$B$52&amp;Res_SF_Homes_RECS_2020!$A$2:$A$52,0))),0,index(Res_SF_Homes_RECS_2020!$D$2:$D$52,match($B109&amp;AE$2,Res_SF_Homes_RECS_2020!$B$2:$B$52&amp;Res_SF_Homes_RECS_2020!$A$2:$A$52,0)))</f>
        <v>0</v>
      </c>
      <c r="AF109" s="75">
        <f t="array" ref="AF109">IF(ISERROR(index(Res_SF_Homes_RECS_2020!$D$2:$D$52,match($B109&amp;AF$2,Res_SF_Homes_RECS_2020!$B$2:$B$52&amp;Res_SF_Homes_RECS_2020!$A$2:$A$52,0))),0,index(Res_SF_Homes_RECS_2020!$D$2:$D$52,match($B109&amp;AF$2,Res_SF_Homes_RECS_2020!$B$2:$B$52&amp;Res_SF_Homes_RECS_2020!$A$2:$A$52,0)))</f>
        <v>0.54</v>
      </c>
      <c r="AG109" s="75">
        <f t="array" ref="AG109">IF(ISERROR(index(Res_SF_Homes_RECS_2020!$D$2:$D$52,match($B109&amp;AG$2,Res_SF_Homes_RECS_2020!$B$2:$B$52&amp;Res_SF_Homes_RECS_2020!$A$2:$A$52,0))),0,index(Res_SF_Homes_RECS_2020!$D$2:$D$52,match($B109&amp;AG$2,Res_SF_Homes_RECS_2020!$B$2:$B$52&amp;Res_SF_Homes_RECS_2020!$A$2:$A$52,0)))</f>
        <v>0</v>
      </c>
      <c r="AH109" s="75">
        <f t="array" ref="AH109">IF(ISERROR(index(Res_SF_Homes_RECS_2020!$D$2:$D$52,match($B109&amp;AH$2,Res_SF_Homes_RECS_2020!$B$2:$B$52&amp;Res_SF_Homes_RECS_2020!$A$2:$A$52,0))),0,index(Res_SF_Homes_RECS_2020!$D$2:$D$52,match($B109&amp;AH$2,Res_SF_Homes_RECS_2020!$B$2:$B$52&amp;Res_SF_Homes_RECS_2020!$A$2:$A$52,0)))</f>
        <v>0</v>
      </c>
      <c r="AI109" s="75">
        <f t="array" ref="AI109">IF(ISERROR(index(Res_SF_Homes_RECS_2020!$D$2:$D$52,match($B109&amp;AI$2,Res_SF_Homes_RECS_2020!$B$2:$B$52&amp;Res_SF_Homes_RECS_2020!$A$2:$A$52,0))),0,index(Res_SF_Homes_RECS_2020!$D$2:$D$52,match($B109&amp;AI$2,Res_SF_Homes_RECS_2020!$B$2:$B$52&amp;Res_SF_Homes_RECS_2020!$A$2:$A$52,0)))</f>
        <v>0</v>
      </c>
      <c r="AJ109" s="75">
        <f t="array" ref="AJ109">IF(ISERROR(index(Res_SF_Homes_RECS_2020!$D$2:$D$52,match($B109&amp;AJ$2,Res_SF_Homes_RECS_2020!$B$2:$B$52&amp;Res_SF_Homes_RECS_2020!$A$2:$A$52,0))),0,index(Res_SF_Homes_RECS_2020!$D$2:$D$52,match($B109&amp;AJ$2,Res_SF_Homes_RECS_2020!$B$2:$B$52&amp;Res_SF_Homes_RECS_2020!$A$2:$A$52,0)))</f>
        <v>0</v>
      </c>
      <c r="AK109" s="75">
        <f t="array" ref="AK109">IF(ISERROR(index(Res_SF_Homes_RECS_2020!$D$2:$D$52,match($B109&amp;AK$2,Res_SF_Homes_RECS_2020!$B$2:$B$52&amp;Res_SF_Homes_RECS_2020!$A$2:$A$52,0))),0,index(Res_SF_Homes_RECS_2020!$D$2:$D$52,match($B109&amp;AK$2,Res_SF_Homes_RECS_2020!$B$2:$B$52&amp;Res_SF_Homes_RECS_2020!$A$2:$A$52,0)))</f>
        <v>0</v>
      </c>
      <c r="AL109" s="75">
        <f t="array" ref="AL109">IF(ISERROR(index(Res_SF_Homes_RECS_2020!$D$2:$D$52,match($B109&amp;AL$2,Res_SF_Homes_RECS_2020!$B$2:$B$52&amp;Res_SF_Homes_RECS_2020!$A$2:$A$52,0))),0,index(Res_SF_Homes_RECS_2020!$D$2:$D$52,match($B109&amp;AL$2,Res_SF_Homes_RECS_2020!$B$2:$B$52&amp;Res_SF_Homes_RECS_2020!$A$2:$A$52,0)))</f>
        <v>0</v>
      </c>
      <c r="AM109" s="75">
        <f t="array" ref="AM109">IF(ISERROR(index(Res_SF_Homes_RECS_2020!$D$2:$D$52,match($B109&amp;AM$2,Res_SF_Homes_RECS_2020!$B$2:$B$52&amp;Res_SF_Homes_RECS_2020!$A$2:$A$52,0))),0,index(Res_SF_Homes_RECS_2020!$D$2:$D$52,match($B109&amp;AM$2,Res_SF_Homes_RECS_2020!$B$2:$B$52&amp;Res_SF_Homes_RECS_2020!$A$2:$A$52,0)))</f>
        <v>0</v>
      </c>
      <c r="AN109" s="75">
        <f t="array" ref="AN109">IF(ISERROR(index(Res_SF_Homes_RECS_2020!$D$2:$D$52,match($B109&amp;AN$2,Res_SF_Homes_RECS_2020!$B$2:$B$52&amp;Res_SF_Homes_RECS_2020!$A$2:$A$52,0))),0,index(Res_SF_Homes_RECS_2020!$D$2:$D$52,match($B109&amp;AN$2,Res_SF_Homes_RECS_2020!$B$2:$B$52&amp;Res_SF_Homes_RECS_2020!$A$2:$A$52,0)))</f>
        <v>0</v>
      </c>
      <c r="AO109" s="75">
        <f t="array" ref="AO109">IF(ISERROR(index(Res_SF_Homes_RECS_2020!$D$2:$D$52,match($B109&amp;AO$2,Res_SF_Homes_RECS_2020!$B$2:$B$52&amp;Res_SF_Homes_RECS_2020!$A$2:$A$52,0))),0,index(Res_SF_Homes_RECS_2020!$D$2:$D$52,match($B109&amp;AO$2,Res_SF_Homes_RECS_2020!$B$2:$B$52&amp;Res_SF_Homes_RECS_2020!$A$2:$A$52,0)))</f>
        <v>0</v>
      </c>
      <c r="AP109" s="75">
        <f t="array" ref="AP109">IF(ISERROR(index(Res_SF_Homes_RECS_2020!$D$2:$D$52,match($B109&amp;AP$2,Res_SF_Homes_RECS_2020!$B$2:$B$52&amp;Res_SF_Homes_RECS_2020!$A$2:$A$52,0))),0,index(Res_SF_Homes_RECS_2020!$D$2:$D$52,match($B109&amp;AP$2,Res_SF_Homes_RECS_2020!$B$2:$B$52&amp;Res_SF_Homes_RECS_2020!$A$2:$A$52,0)))</f>
        <v>0.42</v>
      </c>
      <c r="AQ109" s="75">
        <f t="array" ref="AQ109">IF(ISERROR(index(Res_SF_Homes_RECS_2020!$D$2:$D$52,match($B109&amp;AQ$2,Res_SF_Homes_RECS_2020!$B$2:$B$52&amp;Res_SF_Homes_RECS_2020!$A$2:$A$52,0))),0,index(Res_SF_Homes_RECS_2020!$D$2:$D$52,match($B109&amp;AQ$2,Res_SF_Homes_RECS_2020!$B$2:$B$52&amp;Res_SF_Homes_RECS_2020!$A$2:$A$52,0)))</f>
        <v>0</v>
      </c>
      <c r="AR109" s="75">
        <f t="array" ref="AR109">IF(ISERROR(index(Res_SF_Homes_RECS_2020!$D$2:$D$52,match($B109&amp;AR$2,Res_SF_Homes_RECS_2020!$B$2:$B$52&amp;Res_SF_Homes_RECS_2020!$A$2:$A$52,0))),0,index(Res_SF_Homes_RECS_2020!$D$2:$D$52,match($B109&amp;AR$2,Res_SF_Homes_RECS_2020!$B$2:$B$52&amp;Res_SF_Homes_RECS_2020!$A$2:$A$52,0)))</f>
        <v>0</v>
      </c>
      <c r="AS109" s="75">
        <f t="array" ref="AS109">IF(ISERROR(index(Res_SF_Homes_RECS_2020!$D$2:$D$52,match($B109&amp;AS$2,Res_SF_Homes_RECS_2020!$B$2:$B$52&amp;Res_SF_Homes_RECS_2020!$A$2:$A$52,0))),0,index(Res_SF_Homes_RECS_2020!$D$2:$D$52,match($B109&amp;AS$2,Res_SF_Homes_RECS_2020!$B$2:$B$52&amp;Res_SF_Homes_RECS_2020!$A$2:$A$52,0)))</f>
        <v>0</v>
      </c>
      <c r="AT109" s="75">
        <f t="array" ref="AT109">IF(ISERROR(index(Res_SF_Homes_RECS_2020!$D$2:$D$52,match($B109&amp;AT$2,Res_SF_Homes_RECS_2020!$B$2:$B$52&amp;Res_SF_Homes_RECS_2020!$A$2:$A$52,0))),0,index(Res_SF_Homes_RECS_2020!$D$2:$D$52,match($B109&amp;AT$2,Res_SF_Homes_RECS_2020!$B$2:$B$52&amp;Res_SF_Homes_RECS_2020!$A$2:$A$52,0)))</f>
        <v>0</v>
      </c>
      <c r="AU109" s="75">
        <f t="array" ref="AU109">IF(ISERROR(index(Res_SF_Homes_RECS_2020!$D$2:$D$52,match($B109&amp;AU$2,Res_SF_Homes_RECS_2020!$B$2:$B$52&amp;Res_SF_Homes_RECS_2020!$A$2:$A$52,0))),0,index(Res_SF_Homes_RECS_2020!$D$2:$D$52,match($B109&amp;AU$2,Res_SF_Homes_RECS_2020!$B$2:$B$52&amp;Res_SF_Homes_RECS_2020!$A$2:$A$52,0)))</f>
        <v>0</v>
      </c>
      <c r="AV109" s="75">
        <f t="array" ref="AV109">IF(ISERROR(index(Res_SF_Homes_RECS_2020!$D$2:$D$52,match($B109&amp;AV$2,Res_SF_Homes_RECS_2020!$B$2:$B$52&amp;Res_SF_Homes_RECS_2020!$A$2:$A$52,0))),0,index(Res_SF_Homes_RECS_2020!$D$2:$D$52,match($B109&amp;AV$2,Res_SF_Homes_RECS_2020!$B$2:$B$52&amp;Res_SF_Homes_RECS_2020!$A$2:$A$52,0)))</f>
        <v>0.26</v>
      </c>
      <c r="AW109" s="75">
        <f t="array" ref="AW109">IF(ISERROR(index(Res_SF_Homes_RECS_2020!$D$2:$D$52,match($B109&amp;AW$2,Res_SF_Homes_RECS_2020!$B$2:$B$52&amp;Res_SF_Homes_RECS_2020!$A$2:$A$52,0))),0,index(Res_SF_Homes_RECS_2020!$D$2:$D$52,match($B109&amp;AW$2,Res_SF_Homes_RECS_2020!$B$2:$B$52&amp;Res_SF_Homes_RECS_2020!$A$2:$A$52,0)))</f>
        <v>0</v>
      </c>
      <c r="AX109" s="75">
        <f t="array" ref="AX109">IF(ISERROR(index(Res_SF_Homes_RECS_2020!$D$2:$D$52,match($B109&amp;AX$2,Res_SF_Homes_RECS_2020!$B$2:$B$52&amp;Res_SF_Homes_RECS_2020!$A$2:$A$52,0))),0,index(Res_SF_Homes_RECS_2020!$D$2:$D$52,match($B109&amp;AX$2,Res_SF_Homes_RECS_2020!$B$2:$B$52&amp;Res_SF_Homes_RECS_2020!$A$2:$A$52,0)))</f>
        <v>0</v>
      </c>
      <c r="AY109" s="75">
        <f t="array" ref="AY109">IF(ISERROR(index(Res_SF_Homes_RECS_2020!$D$2:$D$52,match($B109&amp;AY$2,Res_SF_Homes_RECS_2020!$B$2:$B$52&amp;Res_SF_Homes_RECS_2020!$A$2:$A$52,0))),0,index(Res_SF_Homes_RECS_2020!$D$2:$D$52,match($B109&amp;AY$2,Res_SF_Homes_RECS_2020!$B$2:$B$52&amp;Res_SF_Homes_RECS_2020!$A$2:$A$52,0)))</f>
        <v>0</v>
      </c>
      <c r="AZ109" s="75">
        <f t="array" ref="AZ109">IF(ISERROR(index(Res_SF_Homes_RECS_2020!$D$2:$D$52,match($B109&amp;AZ$2,Res_SF_Homes_RECS_2020!$B$2:$B$52&amp;Res_SF_Homes_RECS_2020!$A$2:$A$52,0))),0,index(Res_SF_Homes_RECS_2020!$D$2:$D$52,match($B109&amp;AZ$2,Res_SF_Homes_RECS_2020!$B$2:$B$52&amp;Res_SF_Homes_RECS_2020!$A$2:$A$52,0)))</f>
        <v>0</v>
      </c>
      <c r="BA109" s="75">
        <f t="array" ref="BA109">IF(ISERROR(index(Res_SF_Homes_RECS_2020!$D$2:$D$52,match($B109&amp;BA$2,Res_SF_Homes_RECS_2020!$B$2:$B$52&amp;Res_SF_Homes_RECS_2020!$A$2:$A$52,0))),0,index(Res_SF_Homes_RECS_2020!$D$2:$D$52,match($B109&amp;BA$2,Res_SF_Homes_RECS_2020!$B$2:$B$52&amp;Res_SF_Homes_RECS_2020!$A$2:$A$52,0)))</f>
        <v>0</v>
      </c>
      <c r="BB109" s="74">
        <f t="shared" ref="BB109:BB118" si="17">sum(C109:BA109)</f>
        <v>5.87</v>
      </c>
    </row>
    <row r="110" ht="15.75" customHeight="1">
      <c r="A110" s="78"/>
      <c r="B110" s="74">
        <v>2.0</v>
      </c>
      <c r="C110" s="75">
        <f t="array" ref="C110">IF(ISERROR(index(Res_SF_Homes_RECS_2020!$D$2:$D$52,match($B110&amp;C$2,Res_SF_Homes_RECS_2020!$B$2:$B$52&amp;Res_SF_Homes_RECS_2020!$A$2:$A$52,0))),0,index(Res_SF_Homes_RECS_2020!$D$2:$D$52,match($B110&amp;C$2,Res_SF_Homes_RECS_2020!$B$2:$B$52&amp;Res_SF_Homes_RECS_2020!$A$2:$A$52,0)))</f>
        <v>0</v>
      </c>
      <c r="D110" s="75">
        <f t="array" ref="D110">IF(ISERROR(index(Res_SF_Homes_RECS_2020!$D$2:$D$52,match($B110&amp;D$2,Res_SF_Homes_RECS_2020!$B$2:$B$52&amp;Res_SF_Homes_RECS_2020!$A$2:$A$52,0))),0,index(Res_SF_Homes_RECS_2020!$D$2:$D$52,match($B110&amp;D$2,Res_SF_Homes_RECS_2020!$B$2:$B$52&amp;Res_SF_Homes_RECS_2020!$A$2:$A$52,0)))</f>
        <v>0</v>
      </c>
      <c r="E110" s="75">
        <f t="array" ref="E110">IF(ISERROR(index(Res_SF_Homes_RECS_2020!$D$2:$D$52,match($B110&amp;E$2,Res_SF_Homes_RECS_2020!$B$2:$B$52&amp;Res_SF_Homes_RECS_2020!$A$2:$A$52,0))),0,index(Res_SF_Homes_RECS_2020!$D$2:$D$52,match($B110&amp;E$2,Res_SF_Homes_RECS_2020!$B$2:$B$52&amp;Res_SF_Homes_RECS_2020!$A$2:$A$52,0)))</f>
        <v>0</v>
      </c>
      <c r="F110" s="75">
        <f t="array" ref="F110">IF(ISERROR(index(Res_SF_Homes_RECS_2020!$D$2:$D$52,match($B110&amp;F$2,Res_SF_Homes_RECS_2020!$B$2:$B$52&amp;Res_SF_Homes_RECS_2020!$A$2:$A$52,0))),0,index(Res_SF_Homes_RECS_2020!$D$2:$D$52,match($B110&amp;F$2,Res_SF_Homes_RECS_2020!$B$2:$B$52&amp;Res_SF_Homes_RECS_2020!$A$2:$A$52,0)))</f>
        <v>0</v>
      </c>
      <c r="G110" s="75">
        <f t="array" ref="G110">IF(ISERROR(index(Res_SF_Homes_RECS_2020!$D$2:$D$52,match($B110&amp;G$2,Res_SF_Homes_RECS_2020!$B$2:$B$52&amp;Res_SF_Homes_RECS_2020!$A$2:$A$52,0))),0,index(Res_SF_Homes_RECS_2020!$D$2:$D$52,match($B110&amp;G$2,Res_SF_Homes_RECS_2020!$B$2:$B$52&amp;Res_SF_Homes_RECS_2020!$A$2:$A$52,0)))</f>
        <v>0</v>
      </c>
      <c r="H110" s="75">
        <f t="array" ref="H110">IF(ISERROR(index(Res_SF_Homes_RECS_2020!$D$2:$D$52,match($B110&amp;H$2,Res_SF_Homes_RECS_2020!$B$2:$B$52&amp;Res_SF_Homes_RECS_2020!$A$2:$A$52,0))),0,index(Res_SF_Homes_RECS_2020!$D$2:$D$52,match($B110&amp;H$2,Res_SF_Homes_RECS_2020!$B$2:$B$52&amp;Res_SF_Homes_RECS_2020!$A$2:$A$52,0)))</f>
        <v>0</v>
      </c>
      <c r="I110" s="75">
        <f t="array" ref="I110">IF(ISERROR(index(Res_SF_Homes_RECS_2020!$D$2:$D$52,match($B110&amp;I$2,Res_SF_Homes_RECS_2020!$B$2:$B$52&amp;Res_SF_Homes_RECS_2020!$A$2:$A$52,0))),0,index(Res_SF_Homes_RECS_2020!$D$2:$D$52,match($B110&amp;I$2,Res_SF_Homes_RECS_2020!$B$2:$B$52&amp;Res_SF_Homes_RECS_2020!$A$2:$A$52,0)))</f>
        <v>0</v>
      </c>
      <c r="J110" s="75">
        <f t="array" ref="J110">IF(ISERROR(index(Res_SF_Homes_RECS_2020!$D$2:$D$52,match($B110&amp;J$2,Res_SF_Homes_RECS_2020!$B$2:$B$52&amp;Res_SF_Homes_RECS_2020!$A$2:$A$52,0))),0,index(Res_SF_Homes_RECS_2020!$D$2:$D$52,match($B110&amp;J$2,Res_SF_Homes_RECS_2020!$B$2:$B$52&amp;Res_SF_Homes_RECS_2020!$A$2:$A$52,0)))</f>
        <v>0</v>
      </c>
      <c r="K110" s="75">
        <f t="array" ref="K110">IF(ISERROR(index(Res_SF_Homes_RECS_2020!$D$2:$D$52,match($B110&amp;K$2,Res_SF_Homes_RECS_2020!$B$2:$B$52&amp;Res_SF_Homes_RECS_2020!$A$2:$A$52,0))),0,index(Res_SF_Homes_RECS_2020!$D$2:$D$52,match($B110&amp;K$2,Res_SF_Homes_RECS_2020!$B$2:$B$52&amp;Res_SF_Homes_RECS_2020!$A$2:$A$52,0)))</f>
        <v>0</v>
      </c>
      <c r="L110" s="75">
        <f t="array" ref="L110">IF(ISERROR(index(Res_SF_Homes_RECS_2020!$D$2:$D$52,match($B110&amp;L$2,Res_SF_Homes_RECS_2020!$B$2:$B$52&amp;Res_SF_Homes_RECS_2020!$A$2:$A$52,0))),0,index(Res_SF_Homes_RECS_2020!$D$2:$D$52,match($B110&amp;L$2,Res_SF_Homes_RECS_2020!$B$2:$B$52&amp;Res_SF_Homes_RECS_2020!$A$2:$A$52,0)))</f>
        <v>0</v>
      </c>
      <c r="M110" s="75">
        <f t="array" ref="M110">IF(ISERROR(index(Res_SF_Homes_RECS_2020!$D$2:$D$52,match($B110&amp;M$2,Res_SF_Homes_RECS_2020!$B$2:$B$52&amp;Res_SF_Homes_RECS_2020!$A$2:$A$52,0))),0,index(Res_SF_Homes_RECS_2020!$D$2:$D$52,match($B110&amp;M$2,Res_SF_Homes_RECS_2020!$B$2:$B$52&amp;Res_SF_Homes_RECS_2020!$A$2:$A$52,0)))</f>
        <v>0</v>
      </c>
      <c r="N110" s="75">
        <f t="array" ref="N110">IF(ISERROR(index(Res_SF_Homes_RECS_2020!$D$2:$D$52,match($B110&amp;N$2,Res_SF_Homes_RECS_2020!$B$2:$B$52&amp;Res_SF_Homes_RECS_2020!$A$2:$A$52,0))),0,index(Res_SF_Homes_RECS_2020!$D$2:$D$52,match($B110&amp;N$2,Res_SF_Homes_RECS_2020!$B$2:$B$52&amp;Res_SF_Homes_RECS_2020!$A$2:$A$52,0)))</f>
        <v>0</v>
      </c>
      <c r="O110" s="75">
        <f t="array" ref="O110">IF(ISERROR(index(Res_SF_Homes_RECS_2020!$D$2:$D$52,match($B110&amp;O$2,Res_SF_Homes_RECS_2020!$B$2:$B$52&amp;Res_SF_Homes_RECS_2020!$A$2:$A$52,0))),0,index(Res_SF_Homes_RECS_2020!$D$2:$D$52,match($B110&amp;O$2,Res_SF_Homes_RECS_2020!$B$2:$B$52&amp;Res_SF_Homes_RECS_2020!$A$2:$A$52,0)))</f>
        <v>0</v>
      </c>
      <c r="P110" s="75">
        <f t="array" ref="P110">IF(ISERROR(index(Res_SF_Homes_RECS_2020!$D$2:$D$52,match($B110&amp;P$2,Res_SF_Homes_RECS_2020!$B$2:$B$52&amp;Res_SF_Homes_RECS_2020!$A$2:$A$52,0))),0,index(Res_SF_Homes_RECS_2020!$D$2:$D$52,match($B110&amp;P$2,Res_SF_Homes_RECS_2020!$B$2:$B$52&amp;Res_SF_Homes_RECS_2020!$A$2:$A$52,0)))</f>
        <v>0</v>
      </c>
      <c r="Q110" s="75">
        <f t="array" ref="Q110">IF(ISERROR(index(Res_SF_Homes_RECS_2020!$D$2:$D$52,match($B110&amp;Q$2,Res_SF_Homes_RECS_2020!$B$2:$B$52&amp;Res_SF_Homes_RECS_2020!$A$2:$A$52,0))),0,index(Res_SF_Homes_RECS_2020!$D$2:$D$52,match($B110&amp;Q$2,Res_SF_Homes_RECS_2020!$B$2:$B$52&amp;Res_SF_Homes_RECS_2020!$A$2:$A$52,0)))</f>
        <v>0</v>
      </c>
      <c r="R110" s="75">
        <f t="array" ref="R110">IF(ISERROR(index(Res_SF_Homes_RECS_2020!$D$2:$D$52,match($B110&amp;R$2,Res_SF_Homes_RECS_2020!$B$2:$B$52&amp;Res_SF_Homes_RECS_2020!$A$2:$A$52,0))),0,index(Res_SF_Homes_RECS_2020!$D$2:$D$52,match($B110&amp;R$2,Res_SF_Homes_RECS_2020!$B$2:$B$52&amp;Res_SF_Homes_RECS_2020!$A$2:$A$52,0)))</f>
        <v>0</v>
      </c>
      <c r="S110" s="75">
        <f t="array" ref="S110">IF(ISERROR(index(Res_SF_Homes_RECS_2020!$D$2:$D$52,match($B110&amp;S$2,Res_SF_Homes_RECS_2020!$B$2:$B$52&amp;Res_SF_Homes_RECS_2020!$A$2:$A$52,0))),0,index(Res_SF_Homes_RECS_2020!$D$2:$D$52,match($B110&amp;S$2,Res_SF_Homes_RECS_2020!$B$2:$B$52&amp;Res_SF_Homes_RECS_2020!$A$2:$A$52,0)))</f>
        <v>0</v>
      </c>
      <c r="T110" s="75">
        <f t="array" ref="T110">IF(ISERROR(index(Res_SF_Homes_RECS_2020!$D$2:$D$52,match($B110&amp;T$2,Res_SF_Homes_RECS_2020!$B$2:$B$52&amp;Res_SF_Homes_RECS_2020!$A$2:$A$52,0))),0,index(Res_SF_Homes_RECS_2020!$D$2:$D$52,match($B110&amp;T$2,Res_SF_Homes_RECS_2020!$B$2:$B$52&amp;Res_SF_Homes_RECS_2020!$A$2:$A$52,0)))</f>
        <v>0</v>
      </c>
      <c r="U110" s="75">
        <f t="array" ref="U110">IF(ISERROR(index(Res_SF_Homes_RECS_2020!$D$2:$D$52,match($B110&amp;U$2,Res_SF_Homes_RECS_2020!$B$2:$B$52&amp;Res_SF_Homes_RECS_2020!$A$2:$A$52,0))),0,index(Res_SF_Homes_RECS_2020!$D$2:$D$52,match($B110&amp;U$2,Res_SF_Homes_RECS_2020!$B$2:$B$52&amp;Res_SF_Homes_RECS_2020!$A$2:$A$52,0)))</f>
        <v>0</v>
      </c>
      <c r="V110" s="75">
        <f t="array" ref="V110">IF(ISERROR(index(Res_SF_Homes_RECS_2020!$D$2:$D$52,match($B110&amp;V$2,Res_SF_Homes_RECS_2020!$B$2:$B$52&amp;Res_SF_Homes_RECS_2020!$A$2:$A$52,0))),0,index(Res_SF_Homes_RECS_2020!$D$2:$D$52,match($B110&amp;V$2,Res_SF_Homes_RECS_2020!$B$2:$B$52&amp;Res_SF_Homes_RECS_2020!$A$2:$A$52,0)))</f>
        <v>0</v>
      </c>
      <c r="W110" s="75">
        <f t="array" ref="W110">IF(ISERROR(index(Res_SF_Homes_RECS_2020!$D$2:$D$52,match($B110&amp;W$2,Res_SF_Homes_RECS_2020!$B$2:$B$52&amp;Res_SF_Homes_RECS_2020!$A$2:$A$52,0))),0,index(Res_SF_Homes_RECS_2020!$D$2:$D$52,match($B110&amp;W$2,Res_SF_Homes_RECS_2020!$B$2:$B$52&amp;Res_SF_Homes_RECS_2020!$A$2:$A$52,0)))</f>
        <v>0</v>
      </c>
      <c r="X110" s="75">
        <f t="array" ref="X110">IF(ISERROR(index(Res_SF_Homes_RECS_2020!$D$2:$D$52,match($B110&amp;X$2,Res_SF_Homes_RECS_2020!$B$2:$B$52&amp;Res_SF_Homes_RECS_2020!$A$2:$A$52,0))),0,index(Res_SF_Homes_RECS_2020!$D$2:$D$52,match($B110&amp;X$2,Res_SF_Homes_RECS_2020!$B$2:$B$52&amp;Res_SF_Homes_RECS_2020!$A$2:$A$52,0)))</f>
        <v>0</v>
      </c>
      <c r="Y110" s="75">
        <f t="array" ref="Y110">IF(ISERROR(index(Res_SF_Homes_RECS_2020!$D$2:$D$52,match($B110&amp;Y$2,Res_SF_Homes_RECS_2020!$B$2:$B$52&amp;Res_SF_Homes_RECS_2020!$A$2:$A$52,0))),0,index(Res_SF_Homes_RECS_2020!$D$2:$D$52,match($B110&amp;Y$2,Res_SF_Homes_RECS_2020!$B$2:$B$52&amp;Res_SF_Homes_RECS_2020!$A$2:$A$52,0)))</f>
        <v>0</v>
      </c>
      <c r="Z110" s="75">
        <f t="array" ref="Z110">IF(ISERROR(index(Res_SF_Homes_RECS_2020!$D$2:$D$52,match($B110&amp;Z$2,Res_SF_Homes_RECS_2020!$B$2:$B$52&amp;Res_SF_Homes_RECS_2020!$A$2:$A$52,0))),0,index(Res_SF_Homes_RECS_2020!$D$2:$D$52,match($B110&amp;Z$2,Res_SF_Homes_RECS_2020!$B$2:$B$52&amp;Res_SF_Homes_RECS_2020!$A$2:$A$52,0)))</f>
        <v>0</v>
      </c>
      <c r="AA110" s="75">
        <f t="array" ref="AA110">IF(ISERROR(index(Res_SF_Homes_RECS_2020!$D$2:$D$52,match($B110&amp;AA$2,Res_SF_Homes_RECS_2020!$B$2:$B$52&amp;Res_SF_Homes_RECS_2020!$A$2:$A$52,0))),0,index(Res_SF_Homes_RECS_2020!$D$2:$D$52,match($B110&amp;AA$2,Res_SF_Homes_RECS_2020!$B$2:$B$52&amp;Res_SF_Homes_RECS_2020!$A$2:$A$52,0)))</f>
        <v>0</v>
      </c>
      <c r="AB110" s="75">
        <f t="array" ref="AB110">IF(ISERROR(index(Res_SF_Homes_RECS_2020!$D$2:$D$52,match($B110&amp;AB$2,Res_SF_Homes_RECS_2020!$B$2:$B$52&amp;Res_SF_Homes_RECS_2020!$A$2:$A$52,0))),0,index(Res_SF_Homes_RECS_2020!$D$2:$D$52,match($B110&amp;AB$2,Res_SF_Homes_RECS_2020!$B$2:$B$52&amp;Res_SF_Homes_RECS_2020!$A$2:$A$52,0)))</f>
        <v>0</v>
      </c>
      <c r="AC110" s="75">
        <f t="array" ref="AC110">IF(ISERROR(index(Res_SF_Homes_RECS_2020!$D$2:$D$52,match($B110&amp;AC$2,Res_SF_Homes_RECS_2020!$B$2:$B$52&amp;Res_SF_Homes_RECS_2020!$A$2:$A$52,0))),0,index(Res_SF_Homes_RECS_2020!$D$2:$D$52,match($B110&amp;AC$2,Res_SF_Homes_RECS_2020!$B$2:$B$52&amp;Res_SF_Homes_RECS_2020!$A$2:$A$52,0)))</f>
        <v>0</v>
      </c>
      <c r="AD110" s="75">
        <f t="array" ref="AD110">IF(ISERROR(index(Res_SF_Homes_RECS_2020!$D$2:$D$52,match($B110&amp;AD$2,Res_SF_Homes_RECS_2020!$B$2:$B$52&amp;Res_SF_Homes_RECS_2020!$A$2:$A$52,0))),0,index(Res_SF_Homes_RECS_2020!$D$2:$D$52,match($B110&amp;AD$2,Res_SF_Homes_RECS_2020!$B$2:$B$52&amp;Res_SF_Homes_RECS_2020!$A$2:$A$52,0)))</f>
        <v>0</v>
      </c>
      <c r="AE110" s="75">
        <f t="array" ref="AE110">IF(ISERROR(index(Res_SF_Homes_RECS_2020!$D$2:$D$52,match($B110&amp;AE$2,Res_SF_Homes_RECS_2020!$B$2:$B$52&amp;Res_SF_Homes_RECS_2020!$A$2:$A$52,0))),0,index(Res_SF_Homes_RECS_2020!$D$2:$D$52,match($B110&amp;AE$2,Res_SF_Homes_RECS_2020!$B$2:$B$52&amp;Res_SF_Homes_RECS_2020!$A$2:$A$52,0)))</f>
        <v>0</v>
      </c>
      <c r="AF110" s="75">
        <f t="array" ref="AF110">IF(ISERROR(index(Res_SF_Homes_RECS_2020!$D$2:$D$52,match($B110&amp;AF$2,Res_SF_Homes_RECS_2020!$B$2:$B$52&amp;Res_SF_Homes_RECS_2020!$A$2:$A$52,0))),0,index(Res_SF_Homes_RECS_2020!$D$2:$D$52,match($B110&amp;AF$2,Res_SF_Homes_RECS_2020!$B$2:$B$52&amp;Res_SF_Homes_RECS_2020!$A$2:$A$52,0)))</f>
        <v>0</v>
      </c>
      <c r="AG110" s="75">
        <f t="array" ref="AG110">IF(ISERROR(index(Res_SF_Homes_RECS_2020!$D$2:$D$52,match($B110&amp;AG$2,Res_SF_Homes_RECS_2020!$B$2:$B$52&amp;Res_SF_Homes_RECS_2020!$A$2:$A$52,0))),0,index(Res_SF_Homes_RECS_2020!$D$2:$D$52,match($B110&amp;AG$2,Res_SF_Homes_RECS_2020!$B$2:$B$52&amp;Res_SF_Homes_RECS_2020!$A$2:$A$52,0)))</f>
        <v>3.39</v>
      </c>
      <c r="AH110" s="75">
        <f t="array" ref="AH110">IF(ISERROR(index(Res_SF_Homes_RECS_2020!$D$2:$D$52,match($B110&amp;AH$2,Res_SF_Homes_RECS_2020!$B$2:$B$52&amp;Res_SF_Homes_RECS_2020!$A$2:$A$52,0))),0,index(Res_SF_Homes_RECS_2020!$D$2:$D$52,match($B110&amp;AH$2,Res_SF_Homes_RECS_2020!$B$2:$B$52&amp;Res_SF_Homes_RECS_2020!$A$2:$A$52,0)))</f>
        <v>0</v>
      </c>
      <c r="AI110" s="75">
        <f t="array" ref="AI110">IF(ISERROR(index(Res_SF_Homes_RECS_2020!$D$2:$D$52,match($B110&amp;AI$2,Res_SF_Homes_RECS_2020!$B$2:$B$52&amp;Res_SF_Homes_RECS_2020!$A$2:$A$52,0))),0,index(Res_SF_Homes_RECS_2020!$D$2:$D$52,match($B110&amp;AI$2,Res_SF_Homes_RECS_2020!$B$2:$B$52&amp;Res_SF_Homes_RECS_2020!$A$2:$A$52,0)))</f>
        <v>7.52</v>
      </c>
      <c r="AJ110" s="75">
        <f t="array" ref="AJ110">IF(ISERROR(index(Res_SF_Homes_RECS_2020!$D$2:$D$52,match($B110&amp;AJ$2,Res_SF_Homes_RECS_2020!$B$2:$B$52&amp;Res_SF_Homes_RECS_2020!$A$2:$A$52,0))),0,index(Res_SF_Homes_RECS_2020!$D$2:$D$52,match($B110&amp;AJ$2,Res_SF_Homes_RECS_2020!$B$2:$B$52&amp;Res_SF_Homes_RECS_2020!$A$2:$A$52,0)))</f>
        <v>0</v>
      </c>
      <c r="AK110" s="75">
        <f t="array" ref="AK110">IF(ISERROR(index(Res_SF_Homes_RECS_2020!$D$2:$D$52,match($B110&amp;AK$2,Res_SF_Homes_RECS_2020!$B$2:$B$52&amp;Res_SF_Homes_RECS_2020!$A$2:$A$52,0))),0,index(Res_SF_Homes_RECS_2020!$D$2:$D$52,match($B110&amp;AK$2,Res_SF_Homes_RECS_2020!$B$2:$B$52&amp;Res_SF_Homes_RECS_2020!$A$2:$A$52,0)))</f>
        <v>0</v>
      </c>
      <c r="AL110" s="75">
        <f t="array" ref="AL110">IF(ISERROR(index(Res_SF_Homes_RECS_2020!$D$2:$D$52,match($B110&amp;AL$2,Res_SF_Homes_RECS_2020!$B$2:$B$52&amp;Res_SF_Homes_RECS_2020!$A$2:$A$52,0))),0,index(Res_SF_Homes_RECS_2020!$D$2:$D$52,match($B110&amp;AL$2,Res_SF_Homes_RECS_2020!$B$2:$B$52&amp;Res_SF_Homes_RECS_2020!$A$2:$A$52,0)))</f>
        <v>0</v>
      </c>
      <c r="AM110" s="75">
        <f t="array" ref="AM110">IF(ISERROR(index(Res_SF_Homes_RECS_2020!$D$2:$D$52,match($B110&amp;AM$2,Res_SF_Homes_RECS_2020!$B$2:$B$52&amp;Res_SF_Homes_RECS_2020!$A$2:$A$52,0))),0,index(Res_SF_Homes_RECS_2020!$D$2:$D$52,match($B110&amp;AM$2,Res_SF_Homes_RECS_2020!$B$2:$B$52&amp;Res_SF_Homes_RECS_2020!$A$2:$A$52,0)))</f>
        <v>0</v>
      </c>
      <c r="AN110" s="75">
        <f t="array" ref="AN110">IF(ISERROR(index(Res_SF_Homes_RECS_2020!$D$2:$D$52,match($B110&amp;AN$2,Res_SF_Homes_RECS_2020!$B$2:$B$52&amp;Res_SF_Homes_RECS_2020!$A$2:$A$52,0))),0,index(Res_SF_Homes_RECS_2020!$D$2:$D$52,match($B110&amp;AN$2,Res_SF_Homes_RECS_2020!$B$2:$B$52&amp;Res_SF_Homes_RECS_2020!$A$2:$A$52,0)))</f>
        <v>0</v>
      </c>
      <c r="AO110" s="75">
        <f t="array" ref="AO110">IF(ISERROR(index(Res_SF_Homes_RECS_2020!$D$2:$D$52,match($B110&amp;AO$2,Res_SF_Homes_RECS_2020!$B$2:$B$52&amp;Res_SF_Homes_RECS_2020!$A$2:$A$52,0))),0,index(Res_SF_Homes_RECS_2020!$D$2:$D$52,match($B110&amp;AO$2,Res_SF_Homes_RECS_2020!$B$2:$B$52&amp;Res_SF_Homes_RECS_2020!$A$2:$A$52,0)))</f>
        <v>5.13</v>
      </c>
      <c r="AP110" s="75">
        <f t="array" ref="AP110">IF(ISERROR(index(Res_SF_Homes_RECS_2020!$D$2:$D$52,match($B110&amp;AP$2,Res_SF_Homes_RECS_2020!$B$2:$B$52&amp;Res_SF_Homes_RECS_2020!$A$2:$A$52,0))),0,index(Res_SF_Homes_RECS_2020!$D$2:$D$52,match($B110&amp;AP$2,Res_SF_Homes_RECS_2020!$B$2:$B$52&amp;Res_SF_Homes_RECS_2020!$A$2:$A$52,0)))</f>
        <v>0</v>
      </c>
      <c r="AQ110" s="75">
        <f t="array" ref="AQ110">IF(ISERROR(index(Res_SF_Homes_RECS_2020!$D$2:$D$52,match($B110&amp;AQ$2,Res_SF_Homes_RECS_2020!$B$2:$B$52&amp;Res_SF_Homes_RECS_2020!$A$2:$A$52,0))),0,index(Res_SF_Homes_RECS_2020!$D$2:$D$52,match($B110&amp;AQ$2,Res_SF_Homes_RECS_2020!$B$2:$B$52&amp;Res_SF_Homes_RECS_2020!$A$2:$A$52,0)))</f>
        <v>0</v>
      </c>
      <c r="AR110" s="75">
        <f t="array" ref="AR110">IF(ISERROR(index(Res_SF_Homes_RECS_2020!$D$2:$D$52,match($B110&amp;AR$2,Res_SF_Homes_RECS_2020!$B$2:$B$52&amp;Res_SF_Homes_RECS_2020!$A$2:$A$52,0))),0,index(Res_SF_Homes_RECS_2020!$D$2:$D$52,match($B110&amp;AR$2,Res_SF_Homes_RECS_2020!$B$2:$B$52&amp;Res_SF_Homes_RECS_2020!$A$2:$A$52,0)))</f>
        <v>0</v>
      </c>
      <c r="AS110" s="75">
        <f t="array" ref="AS110">IF(ISERROR(index(Res_SF_Homes_RECS_2020!$D$2:$D$52,match($B110&amp;AS$2,Res_SF_Homes_RECS_2020!$B$2:$B$52&amp;Res_SF_Homes_RECS_2020!$A$2:$A$52,0))),0,index(Res_SF_Homes_RECS_2020!$D$2:$D$52,match($B110&amp;AS$2,Res_SF_Homes_RECS_2020!$B$2:$B$52&amp;Res_SF_Homes_RECS_2020!$A$2:$A$52,0)))</f>
        <v>0</v>
      </c>
      <c r="AT110" s="75">
        <f t="array" ref="AT110">IF(ISERROR(index(Res_SF_Homes_RECS_2020!$D$2:$D$52,match($B110&amp;AT$2,Res_SF_Homes_RECS_2020!$B$2:$B$52&amp;Res_SF_Homes_RECS_2020!$A$2:$A$52,0))),0,index(Res_SF_Homes_RECS_2020!$D$2:$D$52,match($B110&amp;AT$2,Res_SF_Homes_RECS_2020!$B$2:$B$52&amp;Res_SF_Homes_RECS_2020!$A$2:$A$52,0)))</f>
        <v>0</v>
      </c>
      <c r="AU110" s="75">
        <f t="array" ref="AU110">IF(ISERROR(index(Res_SF_Homes_RECS_2020!$D$2:$D$52,match($B110&amp;AU$2,Res_SF_Homes_RECS_2020!$B$2:$B$52&amp;Res_SF_Homes_RECS_2020!$A$2:$A$52,0))),0,index(Res_SF_Homes_RECS_2020!$D$2:$D$52,match($B110&amp;AU$2,Res_SF_Homes_RECS_2020!$B$2:$B$52&amp;Res_SF_Homes_RECS_2020!$A$2:$A$52,0)))</f>
        <v>0</v>
      </c>
      <c r="AV110" s="75">
        <f t="array" ref="AV110">IF(ISERROR(index(Res_SF_Homes_RECS_2020!$D$2:$D$52,match($B110&amp;AV$2,Res_SF_Homes_RECS_2020!$B$2:$B$52&amp;Res_SF_Homes_RECS_2020!$A$2:$A$52,0))),0,index(Res_SF_Homes_RECS_2020!$D$2:$D$52,match($B110&amp;AV$2,Res_SF_Homes_RECS_2020!$B$2:$B$52&amp;Res_SF_Homes_RECS_2020!$A$2:$A$52,0)))</f>
        <v>0</v>
      </c>
      <c r="AW110" s="75">
        <f t="array" ref="AW110">IF(ISERROR(index(Res_SF_Homes_RECS_2020!$D$2:$D$52,match($B110&amp;AW$2,Res_SF_Homes_RECS_2020!$B$2:$B$52&amp;Res_SF_Homes_RECS_2020!$A$2:$A$52,0))),0,index(Res_SF_Homes_RECS_2020!$D$2:$D$52,match($B110&amp;AW$2,Res_SF_Homes_RECS_2020!$B$2:$B$52&amp;Res_SF_Homes_RECS_2020!$A$2:$A$52,0)))</f>
        <v>0</v>
      </c>
      <c r="AX110" s="75">
        <f t="array" ref="AX110">IF(ISERROR(index(Res_SF_Homes_RECS_2020!$D$2:$D$52,match($B110&amp;AX$2,Res_SF_Homes_RECS_2020!$B$2:$B$52&amp;Res_SF_Homes_RECS_2020!$A$2:$A$52,0))),0,index(Res_SF_Homes_RECS_2020!$D$2:$D$52,match($B110&amp;AX$2,Res_SF_Homes_RECS_2020!$B$2:$B$52&amp;Res_SF_Homes_RECS_2020!$A$2:$A$52,0)))</f>
        <v>0</v>
      </c>
      <c r="AY110" s="75">
        <f t="array" ref="AY110">IF(ISERROR(index(Res_SF_Homes_RECS_2020!$D$2:$D$52,match($B110&amp;AY$2,Res_SF_Homes_RECS_2020!$B$2:$B$52&amp;Res_SF_Homes_RECS_2020!$A$2:$A$52,0))),0,index(Res_SF_Homes_RECS_2020!$D$2:$D$52,match($B110&amp;AY$2,Res_SF_Homes_RECS_2020!$B$2:$B$52&amp;Res_SF_Homes_RECS_2020!$A$2:$A$52,0)))</f>
        <v>0</v>
      </c>
      <c r="AZ110" s="75">
        <f t="array" ref="AZ110">IF(ISERROR(index(Res_SF_Homes_RECS_2020!$D$2:$D$52,match($B110&amp;AZ$2,Res_SF_Homes_RECS_2020!$B$2:$B$52&amp;Res_SF_Homes_RECS_2020!$A$2:$A$52,0))),0,index(Res_SF_Homes_RECS_2020!$D$2:$D$52,match($B110&amp;AZ$2,Res_SF_Homes_RECS_2020!$B$2:$B$52&amp;Res_SF_Homes_RECS_2020!$A$2:$A$52,0)))</f>
        <v>0</v>
      </c>
      <c r="BA110" s="75">
        <f t="array" ref="BA110">IF(ISERROR(index(Res_SF_Homes_RECS_2020!$D$2:$D$52,match($B110&amp;BA$2,Res_SF_Homes_RECS_2020!$B$2:$B$52&amp;Res_SF_Homes_RECS_2020!$A$2:$A$52,0))),0,index(Res_SF_Homes_RECS_2020!$D$2:$D$52,match($B110&amp;BA$2,Res_SF_Homes_RECS_2020!$B$2:$B$52&amp;Res_SF_Homes_RECS_2020!$A$2:$A$52,0)))</f>
        <v>0</v>
      </c>
      <c r="BB110" s="74">
        <f t="shared" si="17"/>
        <v>16.04</v>
      </c>
    </row>
    <row r="111" ht="15.75" customHeight="1">
      <c r="A111" s="78"/>
      <c r="B111" s="74">
        <v>3.0</v>
      </c>
      <c r="C111" s="75">
        <f t="array" ref="C111">IF(ISERROR(index(Res_SF_Homes_RECS_2020!$D$2:$D$52,match($B111&amp;C$2,Res_SF_Homes_RECS_2020!$B$2:$B$52&amp;Res_SF_Homes_RECS_2020!$A$2:$A$52,0))),0,index(Res_SF_Homes_RECS_2020!$D$2:$D$52,match($B111&amp;C$2,Res_SF_Homes_RECS_2020!$B$2:$B$52&amp;Res_SF_Homes_RECS_2020!$A$2:$A$52,0)))</f>
        <v>0</v>
      </c>
      <c r="D111" s="75">
        <f t="array" ref="D111">IF(ISERROR(index(Res_SF_Homes_RECS_2020!$D$2:$D$52,match($B111&amp;D$2,Res_SF_Homes_RECS_2020!$B$2:$B$52&amp;Res_SF_Homes_RECS_2020!$A$2:$A$52,0))),0,index(Res_SF_Homes_RECS_2020!$D$2:$D$52,match($B111&amp;D$2,Res_SF_Homes_RECS_2020!$B$2:$B$52&amp;Res_SF_Homes_RECS_2020!$A$2:$A$52,0)))</f>
        <v>0</v>
      </c>
      <c r="E111" s="75">
        <f t="array" ref="E111">IF(ISERROR(index(Res_SF_Homes_RECS_2020!$D$2:$D$52,match($B111&amp;E$2,Res_SF_Homes_RECS_2020!$B$2:$B$52&amp;Res_SF_Homes_RECS_2020!$A$2:$A$52,0))),0,index(Res_SF_Homes_RECS_2020!$D$2:$D$52,match($B111&amp;E$2,Res_SF_Homes_RECS_2020!$B$2:$B$52&amp;Res_SF_Homes_RECS_2020!$A$2:$A$52,0)))</f>
        <v>0</v>
      </c>
      <c r="F111" s="75">
        <f t="array" ref="F111">IF(ISERROR(index(Res_SF_Homes_RECS_2020!$D$2:$D$52,match($B111&amp;F$2,Res_SF_Homes_RECS_2020!$B$2:$B$52&amp;Res_SF_Homes_RECS_2020!$A$2:$A$52,0))),0,index(Res_SF_Homes_RECS_2020!$D$2:$D$52,match($B111&amp;F$2,Res_SF_Homes_RECS_2020!$B$2:$B$52&amp;Res_SF_Homes_RECS_2020!$A$2:$A$52,0)))</f>
        <v>0</v>
      </c>
      <c r="G111" s="75">
        <f t="array" ref="G111">IF(ISERROR(index(Res_SF_Homes_RECS_2020!$D$2:$D$52,match($B111&amp;G$2,Res_SF_Homes_RECS_2020!$B$2:$B$52&amp;Res_SF_Homes_RECS_2020!$A$2:$A$52,0))),0,index(Res_SF_Homes_RECS_2020!$D$2:$D$52,match($B111&amp;G$2,Res_SF_Homes_RECS_2020!$B$2:$B$52&amp;Res_SF_Homes_RECS_2020!$A$2:$A$52,0)))</f>
        <v>0</v>
      </c>
      <c r="H111" s="75">
        <f t="array" ref="H111">IF(ISERROR(index(Res_SF_Homes_RECS_2020!$D$2:$D$52,match($B111&amp;H$2,Res_SF_Homes_RECS_2020!$B$2:$B$52&amp;Res_SF_Homes_RECS_2020!$A$2:$A$52,0))),0,index(Res_SF_Homes_RECS_2020!$D$2:$D$52,match($B111&amp;H$2,Res_SF_Homes_RECS_2020!$B$2:$B$52&amp;Res_SF_Homes_RECS_2020!$A$2:$A$52,0)))</f>
        <v>0</v>
      </c>
      <c r="I111" s="75">
        <f t="array" ref="I111">IF(ISERROR(index(Res_SF_Homes_RECS_2020!$D$2:$D$52,match($B111&amp;I$2,Res_SF_Homes_RECS_2020!$B$2:$B$52&amp;Res_SF_Homes_RECS_2020!$A$2:$A$52,0))),0,index(Res_SF_Homes_RECS_2020!$D$2:$D$52,match($B111&amp;I$2,Res_SF_Homes_RECS_2020!$B$2:$B$52&amp;Res_SF_Homes_RECS_2020!$A$2:$A$52,0)))</f>
        <v>0</v>
      </c>
      <c r="J111" s="75">
        <f t="array" ref="J111">IF(ISERROR(index(Res_SF_Homes_RECS_2020!$D$2:$D$52,match($B111&amp;J$2,Res_SF_Homes_RECS_2020!$B$2:$B$52&amp;Res_SF_Homes_RECS_2020!$A$2:$A$52,0))),0,index(Res_SF_Homes_RECS_2020!$D$2:$D$52,match($B111&amp;J$2,Res_SF_Homes_RECS_2020!$B$2:$B$52&amp;Res_SF_Homes_RECS_2020!$A$2:$A$52,0)))</f>
        <v>0</v>
      </c>
      <c r="K111" s="75">
        <f t="array" ref="K111">IF(ISERROR(index(Res_SF_Homes_RECS_2020!$D$2:$D$52,match($B111&amp;K$2,Res_SF_Homes_RECS_2020!$B$2:$B$52&amp;Res_SF_Homes_RECS_2020!$A$2:$A$52,0))),0,index(Res_SF_Homes_RECS_2020!$D$2:$D$52,match($B111&amp;K$2,Res_SF_Homes_RECS_2020!$B$2:$B$52&amp;Res_SF_Homes_RECS_2020!$A$2:$A$52,0)))</f>
        <v>0</v>
      </c>
      <c r="L111" s="75">
        <f t="array" ref="L111">IF(ISERROR(index(Res_SF_Homes_RECS_2020!$D$2:$D$52,match($B111&amp;L$2,Res_SF_Homes_RECS_2020!$B$2:$B$52&amp;Res_SF_Homes_RECS_2020!$A$2:$A$52,0))),0,index(Res_SF_Homes_RECS_2020!$D$2:$D$52,match($B111&amp;L$2,Res_SF_Homes_RECS_2020!$B$2:$B$52&amp;Res_SF_Homes_RECS_2020!$A$2:$A$52,0)))</f>
        <v>0</v>
      </c>
      <c r="M111" s="75">
        <f t="array" ref="M111">IF(ISERROR(index(Res_SF_Homes_RECS_2020!$D$2:$D$52,match($B111&amp;M$2,Res_SF_Homes_RECS_2020!$B$2:$B$52&amp;Res_SF_Homes_RECS_2020!$A$2:$A$52,0))),0,index(Res_SF_Homes_RECS_2020!$D$2:$D$52,match($B111&amp;M$2,Res_SF_Homes_RECS_2020!$B$2:$B$52&amp;Res_SF_Homes_RECS_2020!$A$2:$A$52,0)))</f>
        <v>0</v>
      </c>
      <c r="N111" s="75">
        <f t="array" ref="N111">IF(ISERROR(index(Res_SF_Homes_RECS_2020!$D$2:$D$52,match($B111&amp;N$2,Res_SF_Homes_RECS_2020!$B$2:$B$52&amp;Res_SF_Homes_RECS_2020!$A$2:$A$52,0))),0,index(Res_SF_Homes_RECS_2020!$D$2:$D$52,match($B111&amp;N$2,Res_SF_Homes_RECS_2020!$B$2:$B$52&amp;Res_SF_Homes_RECS_2020!$A$2:$A$52,0)))</f>
        <v>0</v>
      </c>
      <c r="O111" s="75">
        <f t="array" ref="O111">IF(ISERROR(index(Res_SF_Homes_RECS_2020!$D$2:$D$52,match($B111&amp;O$2,Res_SF_Homes_RECS_2020!$B$2:$B$52&amp;Res_SF_Homes_RECS_2020!$A$2:$A$52,0))),0,index(Res_SF_Homes_RECS_2020!$D$2:$D$52,match($B111&amp;O$2,Res_SF_Homes_RECS_2020!$B$2:$B$52&amp;Res_SF_Homes_RECS_2020!$A$2:$A$52,0)))</f>
        <v>0</v>
      </c>
      <c r="P111" s="75">
        <f t="array" ref="P111">IF(ISERROR(index(Res_SF_Homes_RECS_2020!$D$2:$D$52,match($B111&amp;P$2,Res_SF_Homes_RECS_2020!$B$2:$B$52&amp;Res_SF_Homes_RECS_2020!$A$2:$A$52,0))),0,index(Res_SF_Homes_RECS_2020!$D$2:$D$52,match($B111&amp;P$2,Res_SF_Homes_RECS_2020!$B$2:$B$52&amp;Res_SF_Homes_RECS_2020!$A$2:$A$52,0)))</f>
        <v>4.9</v>
      </c>
      <c r="Q111" s="75">
        <f t="array" ref="Q111">IF(ISERROR(index(Res_SF_Homes_RECS_2020!$D$2:$D$52,match($B111&amp;Q$2,Res_SF_Homes_RECS_2020!$B$2:$B$52&amp;Res_SF_Homes_RECS_2020!$A$2:$A$52,0))),0,index(Res_SF_Homes_RECS_2020!$D$2:$D$52,match($B111&amp;Q$2,Res_SF_Homes_RECS_2020!$B$2:$B$52&amp;Res_SF_Homes_RECS_2020!$A$2:$A$52,0)))</f>
        <v>2.6</v>
      </c>
      <c r="R111" s="75">
        <f t="array" ref="R111">IF(ISERROR(index(Res_SF_Homes_RECS_2020!$D$2:$D$52,match($B111&amp;R$2,Res_SF_Homes_RECS_2020!$B$2:$B$52&amp;Res_SF_Homes_RECS_2020!$A$2:$A$52,0))),0,index(Res_SF_Homes_RECS_2020!$D$2:$D$52,match($B111&amp;R$2,Res_SF_Homes_RECS_2020!$B$2:$B$52&amp;Res_SF_Homes_RECS_2020!$A$2:$A$52,0)))</f>
        <v>0</v>
      </c>
      <c r="S111" s="75">
        <f t="array" ref="S111">IF(ISERROR(index(Res_SF_Homes_RECS_2020!$D$2:$D$52,match($B111&amp;S$2,Res_SF_Homes_RECS_2020!$B$2:$B$52&amp;Res_SF_Homes_RECS_2020!$A$2:$A$52,0))),0,index(Res_SF_Homes_RECS_2020!$D$2:$D$52,match($B111&amp;S$2,Res_SF_Homes_RECS_2020!$B$2:$B$52&amp;Res_SF_Homes_RECS_2020!$A$2:$A$52,0)))</f>
        <v>0</v>
      </c>
      <c r="T111" s="75">
        <f t="array" ref="T111">IF(ISERROR(index(Res_SF_Homes_RECS_2020!$D$2:$D$52,match($B111&amp;T$2,Res_SF_Homes_RECS_2020!$B$2:$B$52&amp;Res_SF_Homes_RECS_2020!$A$2:$A$52,0))),0,index(Res_SF_Homes_RECS_2020!$D$2:$D$52,match($B111&amp;T$2,Res_SF_Homes_RECS_2020!$B$2:$B$52&amp;Res_SF_Homes_RECS_2020!$A$2:$A$52,0)))</f>
        <v>0</v>
      </c>
      <c r="U111" s="75">
        <f t="array" ref="U111">IF(ISERROR(index(Res_SF_Homes_RECS_2020!$D$2:$D$52,match($B111&amp;U$2,Res_SF_Homes_RECS_2020!$B$2:$B$52&amp;Res_SF_Homes_RECS_2020!$A$2:$A$52,0))),0,index(Res_SF_Homes_RECS_2020!$D$2:$D$52,match($B111&amp;U$2,Res_SF_Homes_RECS_2020!$B$2:$B$52&amp;Res_SF_Homes_RECS_2020!$A$2:$A$52,0)))</f>
        <v>0</v>
      </c>
      <c r="V111" s="75">
        <f t="array" ref="V111">IF(ISERROR(index(Res_SF_Homes_RECS_2020!$D$2:$D$52,match($B111&amp;V$2,Res_SF_Homes_RECS_2020!$B$2:$B$52&amp;Res_SF_Homes_RECS_2020!$A$2:$A$52,0))),0,index(Res_SF_Homes_RECS_2020!$D$2:$D$52,match($B111&amp;V$2,Res_SF_Homes_RECS_2020!$B$2:$B$52&amp;Res_SF_Homes_RECS_2020!$A$2:$A$52,0)))</f>
        <v>0</v>
      </c>
      <c r="W111" s="75">
        <f t="array" ref="W111">IF(ISERROR(index(Res_SF_Homes_RECS_2020!$D$2:$D$52,match($B111&amp;W$2,Res_SF_Homes_RECS_2020!$B$2:$B$52&amp;Res_SF_Homes_RECS_2020!$A$2:$A$52,0))),0,index(Res_SF_Homes_RECS_2020!$D$2:$D$52,match($B111&amp;W$2,Res_SF_Homes_RECS_2020!$B$2:$B$52&amp;Res_SF_Homes_RECS_2020!$A$2:$A$52,0)))</f>
        <v>0</v>
      </c>
      <c r="X111" s="75">
        <f t="array" ref="X111">IF(ISERROR(index(Res_SF_Homes_RECS_2020!$D$2:$D$52,match($B111&amp;X$2,Res_SF_Homes_RECS_2020!$B$2:$B$52&amp;Res_SF_Homes_RECS_2020!$A$2:$A$52,0))),0,index(Res_SF_Homes_RECS_2020!$D$2:$D$52,match($B111&amp;X$2,Res_SF_Homes_RECS_2020!$B$2:$B$52&amp;Res_SF_Homes_RECS_2020!$A$2:$A$52,0)))</f>
        <v>0</v>
      </c>
      <c r="Y111" s="75">
        <f t="array" ref="Y111">IF(ISERROR(index(Res_SF_Homes_RECS_2020!$D$2:$D$52,match($B111&amp;Y$2,Res_SF_Homes_RECS_2020!$B$2:$B$52&amp;Res_SF_Homes_RECS_2020!$A$2:$A$52,0))),0,index(Res_SF_Homes_RECS_2020!$D$2:$D$52,match($B111&amp;Y$2,Res_SF_Homes_RECS_2020!$B$2:$B$52&amp;Res_SF_Homes_RECS_2020!$A$2:$A$52,0)))</f>
        <v>3.92</v>
      </c>
      <c r="Z111" s="75">
        <f t="array" ref="Z111">IF(ISERROR(index(Res_SF_Homes_RECS_2020!$D$2:$D$52,match($B111&amp;Z$2,Res_SF_Homes_RECS_2020!$B$2:$B$52&amp;Res_SF_Homes_RECS_2020!$A$2:$A$52,0))),0,index(Res_SF_Homes_RECS_2020!$D$2:$D$52,match($B111&amp;Z$2,Res_SF_Homes_RECS_2020!$B$2:$B$52&amp;Res_SF_Homes_RECS_2020!$A$2:$A$52,0)))</f>
        <v>0</v>
      </c>
      <c r="AA111" s="75">
        <f t="array" ref="AA111">IF(ISERROR(index(Res_SF_Homes_RECS_2020!$D$2:$D$52,match($B111&amp;AA$2,Res_SF_Homes_RECS_2020!$B$2:$B$52&amp;Res_SF_Homes_RECS_2020!$A$2:$A$52,0))),0,index(Res_SF_Homes_RECS_2020!$D$2:$D$52,match($B111&amp;AA$2,Res_SF_Homes_RECS_2020!$B$2:$B$52&amp;Res_SF_Homes_RECS_2020!$A$2:$A$52,0)))</f>
        <v>0</v>
      </c>
      <c r="AB111" s="75">
        <f t="array" ref="AB111">IF(ISERROR(index(Res_SF_Homes_RECS_2020!$D$2:$D$52,match($B111&amp;AB$2,Res_SF_Homes_RECS_2020!$B$2:$B$52&amp;Res_SF_Homes_RECS_2020!$A$2:$A$52,0))),0,index(Res_SF_Homes_RECS_2020!$D$2:$D$52,match($B111&amp;AB$2,Res_SF_Homes_RECS_2020!$B$2:$B$52&amp;Res_SF_Homes_RECS_2020!$A$2:$A$52,0)))</f>
        <v>0</v>
      </c>
      <c r="AC111" s="75">
        <f t="array" ref="AC111">IF(ISERROR(index(Res_SF_Homes_RECS_2020!$D$2:$D$52,match($B111&amp;AC$2,Res_SF_Homes_RECS_2020!$B$2:$B$52&amp;Res_SF_Homes_RECS_2020!$A$2:$A$52,0))),0,index(Res_SF_Homes_RECS_2020!$D$2:$D$52,match($B111&amp;AC$2,Res_SF_Homes_RECS_2020!$B$2:$B$52&amp;Res_SF_Homes_RECS_2020!$A$2:$A$52,0)))</f>
        <v>0</v>
      </c>
      <c r="AD111" s="75">
        <f t="array" ref="AD111">IF(ISERROR(index(Res_SF_Homes_RECS_2020!$D$2:$D$52,match($B111&amp;AD$2,Res_SF_Homes_RECS_2020!$B$2:$B$52&amp;Res_SF_Homes_RECS_2020!$A$2:$A$52,0))),0,index(Res_SF_Homes_RECS_2020!$D$2:$D$52,match($B111&amp;AD$2,Res_SF_Homes_RECS_2020!$B$2:$B$52&amp;Res_SF_Homes_RECS_2020!$A$2:$A$52,0)))</f>
        <v>0</v>
      </c>
      <c r="AE111" s="75">
        <f t="array" ref="AE111">IF(ISERROR(index(Res_SF_Homes_RECS_2020!$D$2:$D$52,match($B111&amp;AE$2,Res_SF_Homes_RECS_2020!$B$2:$B$52&amp;Res_SF_Homes_RECS_2020!$A$2:$A$52,0))),0,index(Res_SF_Homes_RECS_2020!$D$2:$D$52,match($B111&amp;AE$2,Res_SF_Homes_RECS_2020!$B$2:$B$52&amp;Res_SF_Homes_RECS_2020!$A$2:$A$52,0)))</f>
        <v>0</v>
      </c>
      <c r="AF111" s="75">
        <f t="array" ref="AF111">IF(ISERROR(index(Res_SF_Homes_RECS_2020!$D$2:$D$52,match($B111&amp;AF$2,Res_SF_Homes_RECS_2020!$B$2:$B$52&amp;Res_SF_Homes_RECS_2020!$A$2:$A$52,0))),0,index(Res_SF_Homes_RECS_2020!$D$2:$D$52,match($B111&amp;AF$2,Res_SF_Homes_RECS_2020!$B$2:$B$52&amp;Res_SF_Homes_RECS_2020!$A$2:$A$52,0)))</f>
        <v>0</v>
      </c>
      <c r="AG111" s="75">
        <f t="array" ref="AG111">IF(ISERROR(index(Res_SF_Homes_RECS_2020!$D$2:$D$52,match($B111&amp;AG$2,Res_SF_Homes_RECS_2020!$B$2:$B$52&amp;Res_SF_Homes_RECS_2020!$A$2:$A$52,0))),0,index(Res_SF_Homes_RECS_2020!$D$2:$D$52,match($B111&amp;AG$2,Res_SF_Homes_RECS_2020!$B$2:$B$52&amp;Res_SF_Homes_RECS_2020!$A$2:$A$52,0)))</f>
        <v>0</v>
      </c>
      <c r="AH111" s="75">
        <f t="array" ref="AH111">IF(ISERROR(index(Res_SF_Homes_RECS_2020!$D$2:$D$52,match($B111&amp;AH$2,Res_SF_Homes_RECS_2020!$B$2:$B$52&amp;Res_SF_Homes_RECS_2020!$A$2:$A$52,0))),0,index(Res_SF_Homes_RECS_2020!$D$2:$D$52,match($B111&amp;AH$2,Res_SF_Homes_RECS_2020!$B$2:$B$52&amp;Res_SF_Homes_RECS_2020!$A$2:$A$52,0)))</f>
        <v>0</v>
      </c>
      <c r="AI111" s="75">
        <f t="array" ref="AI111">IF(ISERROR(index(Res_SF_Homes_RECS_2020!$D$2:$D$52,match($B111&amp;AI$2,Res_SF_Homes_RECS_2020!$B$2:$B$52&amp;Res_SF_Homes_RECS_2020!$A$2:$A$52,0))),0,index(Res_SF_Homes_RECS_2020!$D$2:$D$52,match($B111&amp;AI$2,Res_SF_Homes_RECS_2020!$B$2:$B$52&amp;Res_SF_Homes_RECS_2020!$A$2:$A$52,0)))</f>
        <v>0</v>
      </c>
      <c r="AJ111" s="75">
        <f t="array" ref="AJ111">IF(ISERROR(index(Res_SF_Homes_RECS_2020!$D$2:$D$52,match($B111&amp;AJ$2,Res_SF_Homes_RECS_2020!$B$2:$B$52&amp;Res_SF_Homes_RECS_2020!$A$2:$A$52,0))),0,index(Res_SF_Homes_RECS_2020!$D$2:$D$52,match($B111&amp;AJ$2,Res_SF_Homes_RECS_2020!$B$2:$B$52&amp;Res_SF_Homes_RECS_2020!$A$2:$A$52,0)))</f>
        <v>0</v>
      </c>
      <c r="AK111" s="75">
        <f t="array" ref="AK111">IF(ISERROR(index(Res_SF_Homes_RECS_2020!$D$2:$D$52,match($B111&amp;AK$2,Res_SF_Homes_RECS_2020!$B$2:$B$52&amp;Res_SF_Homes_RECS_2020!$A$2:$A$52,0))),0,index(Res_SF_Homes_RECS_2020!$D$2:$D$52,match($B111&amp;AK$2,Res_SF_Homes_RECS_2020!$B$2:$B$52&amp;Res_SF_Homes_RECS_2020!$A$2:$A$52,0)))</f>
        <v>0</v>
      </c>
      <c r="AL111" s="75">
        <f t="array" ref="AL111">IF(ISERROR(index(Res_SF_Homes_RECS_2020!$D$2:$D$52,match($B111&amp;AL$2,Res_SF_Homes_RECS_2020!$B$2:$B$52&amp;Res_SF_Homes_RECS_2020!$A$2:$A$52,0))),0,index(Res_SF_Homes_RECS_2020!$D$2:$D$52,match($B111&amp;AL$2,Res_SF_Homes_RECS_2020!$B$2:$B$52&amp;Res_SF_Homes_RECS_2020!$A$2:$A$52,0)))</f>
        <v>4.74</v>
      </c>
      <c r="AM111" s="75">
        <f t="array" ref="AM111">IF(ISERROR(index(Res_SF_Homes_RECS_2020!$D$2:$D$52,match($B111&amp;AM$2,Res_SF_Homes_RECS_2020!$B$2:$B$52&amp;Res_SF_Homes_RECS_2020!$A$2:$A$52,0))),0,index(Res_SF_Homes_RECS_2020!$D$2:$D$52,match($B111&amp;AM$2,Res_SF_Homes_RECS_2020!$B$2:$B$52&amp;Res_SF_Homes_RECS_2020!$A$2:$A$52,0)))</f>
        <v>0</v>
      </c>
      <c r="AN111" s="75">
        <f t="array" ref="AN111">IF(ISERROR(index(Res_SF_Homes_RECS_2020!$D$2:$D$52,match($B111&amp;AN$2,Res_SF_Homes_RECS_2020!$B$2:$B$52&amp;Res_SF_Homes_RECS_2020!$A$2:$A$52,0))),0,index(Res_SF_Homes_RECS_2020!$D$2:$D$52,match($B111&amp;AN$2,Res_SF_Homes_RECS_2020!$B$2:$B$52&amp;Res_SF_Homes_RECS_2020!$A$2:$A$52,0)))</f>
        <v>0</v>
      </c>
      <c r="AO111" s="75">
        <f t="array" ref="AO111">IF(ISERROR(index(Res_SF_Homes_RECS_2020!$D$2:$D$52,match($B111&amp;AO$2,Res_SF_Homes_RECS_2020!$B$2:$B$52&amp;Res_SF_Homes_RECS_2020!$A$2:$A$52,0))),0,index(Res_SF_Homes_RECS_2020!$D$2:$D$52,match($B111&amp;AO$2,Res_SF_Homes_RECS_2020!$B$2:$B$52&amp;Res_SF_Homes_RECS_2020!$A$2:$A$52,0)))</f>
        <v>0</v>
      </c>
      <c r="AP111" s="75">
        <f t="array" ref="AP111">IF(ISERROR(index(Res_SF_Homes_RECS_2020!$D$2:$D$52,match($B111&amp;AP$2,Res_SF_Homes_RECS_2020!$B$2:$B$52&amp;Res_SF_Homes_RECS_2020!$A$2:$A$52,0))),0,index(Res_SF_Homes_RECS_2020!$D$2:$D$52,match($B111&amp;AP$2,Res_SF_Homes_RECS_2020!$B$2:$B$52&amp;Res_SF_Homes_RECS_2020!$A$2:$A$52,0)))</f>
        <v>0</v>
      </c>
      <c r="AQ111" s="75">
        <f t="array" ref="AQ111">IF(ISERROR(index(Res_SF_Homes_RECS_2020!$D$2:$D$52,match($B111&amp;AQ$2,Res_SF_Homes_RECS_2020!$B$2:$B$52&amp;Res_SF_Homes_RECS_2020!$A$2:$A$52,0))),0,index(Res_SF_Homes_RECS_2020!$D$2:$D$52,match($B111&amp;AQ$2,Res_SF_Homes_RECS_2020!$B$2:$B$52&amp;Res_SF_Homes_RECS_2020!$A$2:$A$52,0)))</f>
        <v>0</v>
      </c>
      <c r="AR111" s="75">
        <f t="array" ref="AR111">IF(ISERROR(index(Res_SF_Homes_RECS_2020!$D$2:$D$52,match($B111&amp;AR$2,Res_SF_Homes_RECS_2020!$B$2:$B$52&amp;Res_SF_Homes_RECS_2020!$A$2:$A$52,0))),0,index(Res_SF_Homes_RECS_2020!$D$2:$D$52,match($B111&amp;AR$2,Res_SF_Homes_RECS_2020!$B$2:$B$52&amp;Res_SF_Homes_RECS_2020!$A$2:$A$52,0)))</f>
        <v>0</v>
      </c>
      <c r="AS111" s="75">
        <f t="array" ref="AS111">IF(ISERROR(index(Res_SF_Homes_RECS_2020!$D$2:$D$52,match($B111&amp;AS$2,Res_SF_Homes_RECS_2020!$B$2:$B$52&amp;Res_SF_Homes_RECS_2020!$A$2:$A$52,0))),0,index(Res_SF_Homes_RECS_2020!$D$2:$D$52,match($B111&amp;AS$2,Res_SF_Homes_RECS_2020!$B$2:$B$52&amp;Res_SF_Homes_RECS_2020!$A$2:$A$52,0)))</f>
        <v>0</v>
      </c>
      <c r="AT111" s="75">
        <f t="array" ref="AT111">IF(ISERROR(index(Res_SF_Homes_RECS_2020!$D$2:$D$52,match($B111&amp;AT$2,Res_SF_Homes_RECS_2020!$B$2:$B$52&amp;Res_SF_Homes_RECS_2020!$A$2:$A$52,0))),0,index(Res_SF_Homes_RECS_2020!$D$2:$D$52,match($B111&amp;AT$2,Res_SF_Homes_RECS_2020!$B$2:$B$52&amp;Res_SF_Homes_RECS_2020!$A$2:$A$52,0)))</f>
        <v>0</v>
      </c>
      <c r="AU111" s="75">
        <f t="array" ref="AU111">IF(ISERROR(index(Res_SF_Homes_RECS_2020!$D$2:$D$52,match($B111&amp;AU$2,Res_SF_Homes_RECS_2020!$B$2:$B$52&amp;Res_SF_Homes_RECS_2020!$A$2:$A$52,0))),0,index(Res_SF_Homes_RECS_2020!$D$2:$D$52,match($B111&amp;AU$2,Res_SF_Homes_RECS_2020!$B$2:$B$52&amp;Res_SF_Homes_RECS_2020!$A$2:$A$52,0)))</f>
        <v>0</v>
      </c>
      <c r="AV111" s="75">
        <f t="array" ref="AV111">IF(ISERROR(index(Res_SF_Homes_RECS_2020!$D$2:$D$52,match($B111&amp;AV$2,Res_SF_Homes_RECS_2020!$B$2:$B$52&amp;Res_SF_Homes_RECS_2020!$A$2:$A$52,0))),0,index(Res_SF_Homes_RECS_2020!$D$2:$D$52,match($B111&amp;AV$2,Res_SF_Homes_RECS_2020!$B$2:$B$52&amp;Res_SF_Homes_RECS_2020!$A$2:$A$52,0)))</f>
        <v>0</v>
      </c>
      <c r="AW111" s="75">
        <f t="array" ref="AW111">IF(ISERROR(index(Res_SF_Homes_RECS_2020!$D$2:$D$52,match($B111&amp;AW$2,Res_SF_Homes_RECS_2020!$B$2:$B$52&amp;Res_SF_Homes_RECS_2020!$A$2:$A$52,0))),0,index(Res_SF_Homes_RECS_2020!$D$2:$D$52,match($B111&amp;AW$2,Res_SF_Homes_RECS_2020!$B$2:$B$52&amp;Res_SF_Homes_RECS_2020!$A$2:$A$52,0)))</f>
        <v>0</v>
      </c>
      <c r="AX111" s="75">
        <f t="array" ref="AX111">IF(ISERROR(index(Res_SF_Homes_RECS_2020!$D$2:$D$52,match($B111&amp;AX$2,Res_SF_Homes_RECS_2020!$B$2:$B$52&amp;Res_SF_Homes_RECS_2020!$A$2:$A$52,0))),0,index(Res_SF_Homes_RECS_2020!$D$2:$D$52,match($B111&amp;AX$2,Res_SF_Homes_RECS_2020!$B$2:$B$52&amp;Res_SF_Homes_RECS_2020!$A$2:$A$52,0)))</f>
        <v>0</v>
      </c>
      <c r="AY111" s="75">
        <f t="array" ref="AY111">IF(ISERROR(index(Res_SF_Homes_RECS_2020!$D$2:$D$52,match($B111&amp;AY$2,Res_SF_Homes_RECS_2020!$B$2:$B$52&amp;Res_SF_Homes_RECS_2020!$A$2:$A$52,0))),0,index(Res_SF_Homes_RECS_2020!$D$2:$D$52,match($B111&amp;AY$2,Res_SF_Homes_RECS_2020!$B$2:$B$52&amp;Res_SF_Homes_RECS_2020!$A$2:$A$52,0)))</f>
        <v>0</v>
      </c>
      <c r="AZ111" s="75">
        <f t="array" ref="AZ111">IF(ISERROR(index(Res_SF_Homes_RECS_2020!$D$2:$D$52,match($B111&amp;AZ$2,Res_SF_Homes_RECS_2020!$B$2:$B$52&amp;Res_SF_Homes_RECS_2020!$A$2:$A$52,0))),0,index(Res_SF_Homes_RECS_2020!$D$2:$D$52,match($B111&amp;AZ$2,Res_SF_Homes_RECS_2020!$B$2:$B$52&amp;Res_SF_Homes_RECS_2020!$A$2:$A$52,0)))</f>
        <v>2.39</v>
      </c>
      <c r="BA111" s="75">
        <f t="array" ref="BA111">IF(ISERROR(index(Res_SF_Homes_RECS_2020!$D$2:$D$52,match($B111&amp;BA$2,Res_SF_Homes_RECS_2020!$B$2:$B$52&amp;Res_SF_Homes_RECS_2020!$A$2:$A$52,0))),0,index(Res_SF_Homes_RECS_2020!$D$2:$D$52,match($B111&amp;BA$2,Res_SF_Homes_RECS_2020!$B$2:$B$52&amp;Res_SF_Homes_RECS_2020!$A$2:$A$52,0)))</f>
        <v>0</v>
      </c>
      <c r="BB111" s="74">
        <f t="shared" si="17"/>
        <v>18.55</v>
      </c>
    </row>
    <row r="112" ht="15.75" customHeight="1">
      <c r="A112" s="78"/>
      <c r="B112" s="74">
        <v>4.0</v>
      </c>
      <c r="C112" s="75">
        <f t="array" ref="C112">IF(ISERROR(index(Res_SF_Homes_RECS_2020!$D$2:$D$52,match($B112&amp;C$2,Res_SF_Homes_RECS_2020!$B$2:$B$52&amp;Res_SF_Homes_RECS_2020!$A$2:$A$52,0))),0,index(Res_SF_Homes_RECS_2020!$D$2:$D$52,match($B112&amp;C$2,Res_SF_Homes_RECS_2020!$B$2:$B$52&amp;Res_SF_Homes_RECS_2020!$A$2:$A$52,0)))</f>
        <v>0</v>
      </c>
      <c r="D112" s="75">
        <f t="array" ref="D112">IF(ISERROR(index(Res_SF_Homes_RECS_2020!$D$2:$D$52,match($B112&amp;D$2,Res_SF_Homes_RECS_2020!$B$2:$B$52&amp;Res_SF_Homes_RECS_2020!$A$2:$A$52,0))),0,index(Res_SF_Homes_RECS_2020!$D$2:$D$52,match($B112&amp;D$2,Res_SF_Homes_RECS_2020!$B$2:$B$52&amp;Res_SF_Homes_RECS_2020!$A$2:$A$52,0)))</f>
        <v>0</v>
      </c>
      <c r="E112" s="75">
        <f t="array" ref="E112">IF(ISERROR(index(Res_SF_Homes_RECS_2020!$D$2:$D$52,match($B112&amp;E$2,Res_SF_Homes_RECS_2020!$B$2:$B$52&amp;Res_SF_Homes_RECS_2020!$A$2:$A$52,0))),0,index(Res_SF_Homes_RECS_2020!$D$2:$D$52,match($B112&amp;E$2,Res_SF_Homes_RECS_2020!$B$2:$B$52&amp;Res_SF_Homes_RECS_2020!$A$2:$A$52,0)))</f>
        <v>0</v>
      </c>
      <c r="F112" s="75">
        <f t="array" ref="F112">IF(ISERROR(index(Res_SF_Homes_RECS_2020!$D$2:$D$52,match($B112&amp;F$2,Res_SF_Homes_RECS_2020!$B$2:$B$52&amp;Res_SF_Homes_RECS_2020!$A$2:$A$52,0))),0,index(Res_SF_Homes_RECS_2020!$D$2:$D$52,match($B112&amp;F$2,Res_SF_Homes_RECS_2020!$B$2:$B$52&amp;Res_SF_Homes_RECS_2020!$A$2:$A$52,0)))</f>
        <v>0</v>
      </c>
      <c r="G112" s="75">
        <f t="array" ref="G112">IF(ISERROR(index(Res_SF_Homes_RECS_2020!$D$2:$D$52,match($B112&amp;G$2,Res_SF_Homes_RECS_2020!$B$2:$B$52&amp;Res_SF_Homes_RECS_2020!$A$2:$A$52,0))),0,index(Res_SF_Homes_RECS_2020!$D$2:$D$52,match($B112&amp;G$2,Res_SF_Homes_RECS_2020!$B$2:$B$52&amp;Res_SF_Homes_RECS_2020!$A$2:$A$52,0)))</f>
        <v>0</v>
      </c>
      <c r="H112" s="75">
        <f t="array" ref="H112">IF(ISERROR(index(Res_SF_Homes_RECS_2020!$D$2:$D$52,match($B112&amp;H$2,Res_SF_Homes_RECS_2020!$B$2:$B$52&amp;Res_SF_Homes_RECS_2020!$A$2:$A$52,0))),0,index(Res_SF_Homes_RECS_2020!$D$2:$D$52,match($B112&amp;H$2,Res_SF_Homes_RECS_2020!$B$2:$B$52&amp;Res_SF_Homes_RECS_2020!$A$2:$A$52,0)))</f>
        <v>0</v>
      </c>
      <c r="I112" s="75">
        <f t="array" ref="I112">IF(ISERROR(index(Res_SF_Homes_RECS_2020!$D$2:$D$52,match($B112&amp;I$2,Res_SF_Homes_RECS_2020!$B$2:$B$52&amp;Res_SF_Homes_RECS_2020!$A$2:$A$52,0))),0,index(Res_SF_Homes_RECS_2020!$D$2:$D$52,match($B112&amp;I$2,Res_SF_Homes_RECS_2020!$B$2:$B$52&amp;Res_SF_Homes_RECS_2020!$A$2:$A$52,0)))</f>
        <v>0</v>
      </c>
      <c r="J112" s="75">
        <f t="array" ref="J112">IF(ISERROR(index(Res_SF_Homes_RECS_2020!$D$2:$D$52,match($B112&amp;J$2,Res_SF_Homes_RECS_2020!$B$2:$B$52&amp;Res_SF_Homes_RECS_2020!$A$2:$A$52,0))),0,index(Res_SF_Homes_RECS_2020!$D$2:$D$52,match($B112&amp;J$2,Res_SF_Homes_RECS_2020!$B$2:$B$52&amp;Res_SF_Homes_RECS_2020!$A$2:$A$52,0)))</f>
        <v>0</v>
      </c>
      <c r="K112" s="75">
        <f t="array" ref="K112">IF(ISERROR(index(Res_SF_Homes_RECS_2020!$D$2:$D$52,match($B112&amp;K$2,Res_SF_Homes_RECS_2020!$B$2:$B$52&amp;Res_SF_Homes_RECS_2020!$A$2:$A$52,0))),0,index(Res_SF_Homes_RECS_2020!$D$2:$D$52,match($B112&amp;K$2,Res_SF_Homes_RECS_2020!$B$2:$B$52&amp;Res_SF_Homes_RECS_2020!$A$2:$A$52,0)))</f>
        <v>0</v>
      </c>
      <c r="L112" s="75">
        <f t="array" ref="L112">IF(ISERROR(index(Res_SF_Homes_RECS_2020!$D$2:$D$52,match($B112&amp;L$2,Res_SF_Homes_RECS_2020!$B$2:$B$52&amp;Res_SF_Homes_RECS_2020!$A$2:$A$52,0))),0,index(Res_SF_Homes_RECS_2020!$D$2:$D$52,match($B112&amp;L$2,Res_SF_Homes_RECS_2020!$B$2:$B$52&amp;Res_SF_Homes_RECS_2020!$A$2:$A$52,0)))</f>
        <v>0</v>
      </c>
      <c r="M112" s="75">
        <f t="array" ref="M112">IF(ISERROR(index(Res_SF_Homes_RECS_2020!$D$2:$D$52,match($B112&amp;M$2,Res_SF_Homes_RECS_2020!$B$2:$B$52&amp;Res_SF_Homes_RECS_2020!$A$2:$A$52,0))),0,index(Res_SF_Homes_RECS_2020!$D$2:$D$52,match($B112&amp;M$2,Res_SF_Homes_RECS_2020!$B$2:$B$52&amp;Res_SF_Homes_RECS_2020!$A$2:$A$52,0)))</f>
        <v>0</v>
      </c>
      <c r="N112" s="75">
        <f t="array" ref="N112">IF(ISERROR(index(Res_SF_Homes_RECS_2020!$D$2:$D$52,match($B112&amp;N$2,Res_SF_Homes_RECS_2020!$B$2:$B$52&amp;Res_SF_Homes_RECS_2020!$A$2:$A$52,0))),0,index(Res_SF_Homes_RECS_2020!$D$2:$D$52,match($B112&amp;N$2,Res_SF_Homes_RECS_2020!$B$2:$B$52&amp;Res_SF_Homes_RECS_2020!$A$2:$A$52,0)))</f>
        <v>0</v>
      </c>
      <c r="O112" s="75">
        <f t="array" ref="O112">IF(ISERROR(index(Res_SF_Homes_RECS_2020!$D$2:$D$52,match($B112&amp;O$2,Res_SF_Homes_RECS_2020!$B$2:$B$52&amp;Res_SF_Homes_RECS_2020!$A$2:$A$52,0))),0,index(Res_SF_Homes_RECS_2020!$D$2:$D$52,match($B112&amp;O$2,Res_SF_Homes_RECS_2020!$B$2:$B$52&amp;Res_SF_Homes_RECS_2020!$A$2:$A$52,0)))</f>
        <v>0</v>
      </c>
      <c r="P112" s="75">
        <f t="array" ref="P112">IF(ISERROR(index(Res_SF_Homes_RECS_2020!$D$2:$D$52,match($B112&amp;P$2,Res_SF_Homes_RECS_2020!$B$2:$B$52&amp;Res_SF_Homes_RECS_2020!$A$2:$A$52,0))),0,index(Res_SF_Homes_RECS_2020!$D$2:$D$52,match($B112&amp;P$2,Res_SF_Homes_RECS_2020!$B$2:$B$52&amp;Res_SF_Homes_RECS_2020!$A$2:$A$52,0)))</f>
        <v>0</v>
      </c>
      <c r="Q112" s="75">
        <f t="array" ref="Q112">IF(ISERROR(index(Res_SF_Homes_RECS_2020!$D$2:$D$52,match($B112&amp;Q$2,Res_SF_Homes_RECS_2020!$B$2:$B$52&amp;Res_SF_Homes_RECS_2020!$A$2:$A$52,0))),0,index(Res_SF_Homes_RECS_2020!$D$2:$D$52,match($B112&amp;Q$2,Res_SF_Homes_RECS_2020!$B$2:$B$52&amp;Res_SF_Homes_RECS_2020!$A$2:$A$52,0)))</f>
        <v>0</v>
      </c>
      <c r="R112" s="75">
        <f t="array" ref="R112">IF(ISERROR(index(Res_SF_Homes_RECS_2020!$D$2:$D$52,match($B112&amp;R$2,Res_SF_Homes_RECS_2020!$B$2:$B$52&amp;Res_SF_Homes_RECS_2020!$A$2:$A$52,0))),0,index(Res_SF_Homes_RECS_2020!$D$2:$D$52,match($B112&amp;R$2,Res_SF_Homes_RECS_2020!$B$2:$B$52&amp;Res_SF_Homes_RECS_2020!$A$2:$A$52,0)))</f>
        <v>1.28</v>
      </c>
      <c r="S112" s="75">
        <f t="array" ref="S112">IF(ISERROR(index(Res_SF_Homes_RECS_2020!$D$2:$D$52,match($B112&amp;S$2,Res_SF_Homes_RECS_2020!$B$2:$B$52&amp;Res_SF_Homes_RECS_2020!$A$2:$A$52,0))),0,index(Res_SF_Homes_RECS_2020!$D$2:$D$52,match($B112&amp;S$2,Res_SF_Homes_RECS_2020!$B$2:$B$52&amp;Res_SF_Homes_RECS_2020!$A$2:$A$52,0)))</f>
        <v>1.13</v>
      </c>
      <c r="T112" s="75">
        <f t="array" ref="T112">IF(ISERROR(index(Res_SF_Homes_RECS_2020!$D$2:$D$52,match($B112&amp;T$2,Res_SF_Homes_RECS_2020!$B$2:$B$52&amp;Res_SF_Homes_RECS_2020!$A$2:$A$52,0))),0,index(Res_SF_Homes_RECS_2020!$D$2:$D$52,match($B112&amp;T$2,Res_SF_Homes_RECS_2020!$B$2:$B$52&amp;Res_SF_Homes_RECS_2020!$A$2:$A$52,0)))</f>
        <v>0</v>
      </c>
      <c r="U112" s="75">
        <f t="array" ref="U112">IF(ISERROR(index(Res_SF_Homes_RECS_2020!$D$2:$D$52,match($B112&amp;U$2,Res_SF_Homes_RECS_2020!$B$2:$B$52&amp;Res_SF_Homes_RECS_2020!$A$2:$A$52,0))),0,index(Res_SF_Homes_RECS_2020!$D$2:$D$52,match($B112&amp;U$2,Res_SF_Homes_RECS_2020!$B$2:$B$52&amp;Res_SF_Homes_RECS_2020!$A$2:$A$52,0)))</f>
        <v>0</v>
      </c>
      <c r="V112" s="75">
        <f t="array" ref="V112">IF(ISERROR(index(Res_SF_Homes_RECS_2020!$D$2:$D$52,match($B112&amp;V$2,Res_SF_Homes_RECS_2020!$B$2:$B$52&amp;Res_SF_Homes_RECS_2020!$A$2:$A$52,0))),0,index(Res_SF_Homes_RECS_2020!$D$2:$D$52,match($B112&amp;V$2,Res_SF_Homes_RECS_2020!$B$2:$B$52&amp;Res_SF_Homes_RECS_2020!$A$2:$A$52,0)))</f>
        <v>0</v>
      </c>
      <c r="W112" s="75">
        <f t="array" ref="W112">IF(ISERROR(index(Res_SF_Homes_RECS_2020!$D$2:$D$52,match($B112&amp;W$2,Res_SF_Homes_RECS_2020!$B$2:$B$52&amp;Res_SF_Homes_RECS_2020!$A$2:$A$52,0))),0,index(Res_SF_Homes_RECS_2020!$D$2:$D$52,match($B112&amp;W$2,Res_SF_Homes_RECS_2020!$B$2:$B$52&amp;Res_SF_Homes_RECS_2020!$A$2:$A$52,0)))</f>
        <v>0</v>
      </c>
      <c r="X112" s="75">
        <f t="array" ref="X112">IF(ISERROR(index(Res_SF_Homes_RECS_2020!$D$2:$D$52,match($B112&amp;X$2,Res_SF_Homes_RECS_2020!$B$2:$B$52&amp;Res_SF_Homes_RECS_2020!$A$2:$A$52,0))),0,index(Res_SF_Homes_RECS_2020!$D$2:$D$52,match($B112&amp;X$2,Res_SF_Homes_RECS_2020!$B$2:$B$52&amp;Res_SF_Homes_RECS_2020!$A$2:$A$52,0)))</f>
        <v>0</v>
      </c>
      <c r="Y112" s="75">
        <f t="array" ref="Y112">IF(ISERROR(index(Res_SF_Homes_RECS_2020!$D$2:$D$52,match($B112&amp;Y$2,Res_SF_Homes_RECS_2020!$B$2:$B$52&amp;Res_SF_Homes_RECS_2020!$A$2:$A$52,0))),0,index(Res_SF_Homes_RECS_2020!$D$2:$D$52,match($B112&amp;Y$2,Res_SF_Homes_RECS_2020!$B$2:$B$52&amp;Res_SF_Homes_RECS_2020!$A$2:$A$52,0)))</f>
        <v>0</v>
      </c>
      <c r="Z112" s="75">
        <f t="array" ref="Z112">IF(ISERROR(index(Res_SF_Homes_RECS_2020!$D$2:$D$52,match($B112&amp;Z$2,Res_SF_Homes_RECS_2020!$B$2:$B$52&amp;Res_SF_Homes_RECS_2020!$A$2:$A$52,0))),0,index(Res_SF_Homes_RECS_2020!$D$2:$D$52,match($B112&amp;Z$2,Res_SF_Homes_RECS_2020!$B$2:$B$52&amp;Res_SF_Homes_RECS_2020!$A$2:$A$52,0)))</f>
        <v>2.23</v>
      </c>
      <c r="AA112" s="75">
        <f t="array" ref="AA112">IF(ISERROR(index(Res_SF_Homes_RECS_2020!$D$2:$D$52,match($B112&amp;AA$2,Res_SF_Homes_RECS_2020!$B$2:$B$52&amp;Res_SF_Homes_RECS_2020!$A$2:$A$52,0))),0,index(Res_SF_Homes_RECS_2020!$D$2:$D$52,match($B112&amp;AA$2,Res_SF_Homes_RECS_2020!$B$2:$B$52&amp;Res_SF_Homes_RECS_2020!$A$2:$A$52,0)))</f>
        <v>0</v>
      </c>
      <c r="AB112" s="75">
        <f t="array" ref="AB112">IF(ISERROR(index(Res_SF_Homes_RECS_2020!$D$2:$D$52,match($B112&amp;AB$2,Res_SF_Homes_RECS_2020!$B$2:$B$52&amp;Res_SF_Homes_RECS_2020!$A$2:$A$52,0))),0,index(Res_SF_Homes_RECS_2020!$D$2:$D$52,match($B112&amp;AB$2,Res_SF_Homes_RECS_2020!$B$2:$B$52&amp;Res_SF_Homes_RECS_2020!$A$2:$A$52,0)))</f>
        <v>2.43</v>
      </c>
      <c r="AC112" s="75">
        <f t="array" ref="AC112">IF(ISERROR(index(Res_SF_Homes_RECS_2020!$D$2:$D$52,match($B112&amp;AC$2,Res_SF_Homes_RECS_2020!$B$2:$B$52&amp;Res_SF_Homes_RECS_2020!$A$2:$A$52,0))),0,index(Res_SF_Homes_RECS_2020!$D$2:$D$52,match($B112&amp;AC$2,Res_SF_Homes_RECS_2020!$B$2:$B$52&amp;Res_SF_Homes_RECS_2020!$A$2:$A$52,0)))</f>
        <v>0</v>
      </c>
      <c r="AD112" s="75">
        <f t="array" ref="AD112">IF(ISERROR(index(Res_SF_Homes_RECS_2020!$D$2:$D$52,match($B112&amp;AD$2,Res_SF_Homes_RECS_2020!$B$2:$B$52&amp;Res_SF_Homes_RECS_2020!$A$2:$A$52,0))),0,index(Res_SF_Homes_RECS_2020!$D$2:$D$52,match($B112&amp;AD$2,Res_SF_Homes_RECS_2020!$B$2:$B$52&amp;Res_SF_Homes_RECS_2020!$A$2:$A$52,0)))</f>
        <v>0.77</v>
      </c>
      <c r="AE112" s="75">
        <f t="array" ref="AE112">IF(ISERROR(index(Res_SF_Homes_RECS_2020!$D$2:$D$52,match($B112&amp;AE$2,Res_SF_Homes_RECS_2020!$B$2:$B$52&amp;Res_SF_Homes_RECS_2020!$A$2:$A$52,0))),0,index(Res_SF_Homes_RECS_2020!$D$2:$D$52,match($B112&amp;AE$2,Res_SF_Homes_RECS_2020!$B$2:$B$52&amp;Res_SF_Homes_RECS_2020!$A$2:$A$52,0)))</f>
        <v>0</v>
      </c>
      <c r="AF112" s="75">
        <f t="array" ref="AF112">IF(ISERROR(index(Res_SF_Homes_RECS_2020!$D$2:$D$52,match($B112&amp;AF$2,Res_SF_Homes_RECS_2020!$B$2:$B$52&amp;Res_SF_Homes_RECS_2020!$A$2:$A$52,0))),0,index(Res_SF_Homes_RECS_2020!$D$2:$D$52,match($B112&amp;AF$2,Res_SF_Homes_RECS_2020!$B$2:$B$52&amp;Res_SF_Homes_RECS_2020!$A$2:$A$52,0)))</f>
        <v>0</v>
      </c>
      <c r="AG112" s="75">
        <f t="array" ref="AG112">IF(ISERROR(index(Res_SF_Homes_RECS_2020!$D$2:$D$52,match($B112&amp;AG$2,Res_SF_Homes_RECS_2020!$B$2:$B$52&amp;Res_SF_Homes_RECS_2020!$A$2:$A$52,0))),0,index(Res_SF_Homes_RECS_2020!$D$2:$D$52,match($B112&amp;AG$2,Res_SF_Homes_RECS_2020!$B$2:$B$52&amp;Res_SF_Homes_RECS_2020!$A$2:$A$52,0)))</f>
        <v>0</v>
      </c>
      <c r="AH112" s="75">
        <f t="array" ref="AH112">IF(ISERROR(index(Res_SF_Homes_RECS_2020!$D$2:$D$52,match($B112&amp;AH$2,Res_SF_Homes_RECS_2020!$B$2:$B$52&amp;Res_SF_Homes_RECS_2020!$A$2:$A$52,0))),0,index(Res_SF_Homes_RECS_2020!$D$2:$D$52,match($B112&amp;AH$2,Res_SF_Homes_RECS_2020!$B$2:$B$52&amp;Res_SF_Homes_RECS_2020!$A$2:$A$52,0)))</f>
        <v>0</v>
      </c>
      <c r="AI112" s="75">
        <f t="array" ref="AI112">IF(ISERROR(index(Res_SF_Homes_RECS_2020!$D$2:$D$52,match($B112&amp;AI$2,Res_SF_Homes_RECS_2020!$B$2:$B$52&amp;Res_SF_Homes_RECS_2020!$A$2:$A$52,0))),0,index(Res_SF_Homes_RECS_2020!$D$2:$D$52,match($B112&amp;AI$2,Res_SF_Homes_RECS_2020!$B$2:$B$52&amp;Res_SF_Homes_RECS_2020!$A$2:$A$52,0)))</f>
        <v>0</v>
      </c>
      <c r="AJ112" s="75">
        <f t="array" ref="AJ112">IF(ISERROR(index(Res_SF_Homes_RECS_2020!$D$2:$D$52,match($B112&amp;AJ$2,Res_SF_Homes_RECS_2020!$B$2:$B$52&amp;Res_SF_Homes_RECS_2020!$A$2:$A$52,0))),0,index(Res_SF_Homes_RECS_2020!$D$2:$D$52,match($B112&amp;AJ$2,Res_SF_Homes_RECS_2020!$B$2:$B$52&amp;Res_SF_Homes_RECS_2020!$A$2:$A$52,0)))</f>
        <v>0</v>
      </c>
      <c r="AK112" s="75">
        <f t="array" ref="AK112">IF(ISERROR(index(Res_SF_Homes_RECS_2020!$D$2:$D$52,match($B112&amp;AK$2,Res_SF_Homes_RECS_2020!$B$2:$B$52&amp;Res_SF_Homes_RECS_2020!$A$2:$A$52,0))),0,index(Res_SF_Homes_RECS_2020!$D$2:$D$52,match($B112&amp;AK$2,Res_SF_Homes_RECS_2020!$B$2:$B$52&amp;Res_SF_Homes_RECS_2020!$A$2:$A$52,0)))</f>
        <v>0.32</v>
      </c>
      <c r="AL112" s="75">
        <f t="array" ref="AL112">IF(ISERROR(index(Res_SF_Homes_RECS_2020!$D$2:$D$52,match($B112&amp;AL$2,Res_SF_Homes_RECS_2020!$B$2:$B$52&amp;Res_SF_Homes_RECS_2020!$A$2:$A$52,0))),0,index(Res_SF_Homes_RECS_2020!$D$2:$D$52,match($B112&amp;AL$2,Res_SF_Homes_RECS_2020!$B$2:$B$52&amp;Res_SF_Homes_RECS_2020!$A$2:$A$52,0)))</f>
        <v>0</v>
      </c>
      <c r="AM112" s="75">
        <f t="array" ref="AM112">IF(ISERROR(index(Res_SF_Homes_RECS_2020!$D$2:$D$52,match($B112&amp;AM$2,Res_SF_Homes_RECS_2020!$B$2:$B$52&amp;Res_SF_Homes_RECS_2020!$A$2:$A$52,0))),0,index(Res_SF_Homes_RECS_2020!$D$2:$D$52,match($B112&amp;AM$2,Res_SF_Homes_RECS_2020!$B$2:$B$52&amp;Res_SF_Homes_RECS_2020!$A$2:$A$52,0)))</f>
        <v>0</v>
      </c>
      <c r="AN112" s="75">
        <f t="array" ref="AN112">IF(ISERROR(index(Res_SF_Homes_RECS_2020!$D$2:$D$52,match($B112&amp;AN$2,Res_SF_Homes_RECS_2020!$B$2:$B$52&amp;Res_SF_Homes_RECS_2020!$A$2:$A$52,0))),0,index(Res_SF_Homes_RECS_2020!$D$2:$D$52,match($B112&amp;AN$2,Res_SF_Homes_RECS_2020!$B$2:$B$52&amp;Res_SF_Homes_RECS_2020!$A$2:$A$52,0)))</f>
        <v>0</v>
      </c>
      <c r="AO112" s="75">
        <f t="array" ref="AO112">IF(ISERROR(index(Res_SF_Homes_RECS_2020!$D$2:$D$52,match($B112&amp;AO$2,Res_SF_Homes_RECS_2020!$B$2:$B$52&amp;Res_SF_Homes_RECS_2020!$A$2:$A$52,0))),0,index(Res_SF_Homes_RECS_2020!$D$2:$D$52,match($B112&amp;AO$2,Res_SF_Homes_RECS_2020!$B$2:$B$52&amp;Res_SF_Homes_RECS_2020!$A$2:$A$52,0)))</f>
        <v>0</v>
      </c>
      <c r="AP112" s="75">
        <f t="array" ref="AP112">IF(ISERROR(index(Res_SF_Homes_RECS_2020!$D$2:$D$52,match($B112&amp;AP$2,Res_SF_Homes_RECS_2020!$B$2:$B$52&amp;Res_SF_Homes_RECS_2020!$A$2:$A$52,0))),0,index(Res_SF_Homes_RECS_2020!$D$2:$D$52,match($B112&amp;AP$2,Res_SF_Homes_RECS_2020!$B$2:$B$52&amp;Res_SF_Homes_RECS_2020!$A$2:$A$52,0)))</f>
        <v>0</v>
      </c>
      <c r="AQ112" s="75">
        <f t="array" ref="AQ112">IF(ISERROR(index(Res_SF_Homes_RECS_2020!$D$2:$D$52,match($B112&amp;AQ$2,Res_SF_Homes_RECS_2020!$B$2:$B$52&amp;Res_SF_Homes_RECS_2020!$A$2:$A$52,0))),0,index(Res_SF_Homes_RECS_2020!$D$2:$D$52,match($B112&amp;AQ$2,Res_SF_Homes_RECS_2020!$B$2:$B$52&amp;Res_SF_Homes_RECS_2020!$A$2:$A$52,0)))</f>
        <v>0</v>
      </c>
      <c r="AR112" s="75">
        <f t="array" ref="AR112">IF(ISERROR(index(Res_SF_Homes_RECS_2020!$D$2:$D$52,match($B112&amp;AR$2,Res_SF_Homes_RECS_2020!$B$2:$B$52&amp;Res_SF_Homes_RECS_2020!$A$2:$A$52,0))),0,index(Res_SF_Homes_RECS_2020!$D$2:$D$52,match($B112&amp;AR$2,Res_SF_Homes_RECS_2020!$B$2:$B$52&amp;Res_SF_Homes_RECS_2020!$A$2:$A$52,0)))</f>
        <v>0.35</v>
      </c>
      <c r="AS112" s="75">
        <f t="array" ref="AS112">IF(ISERROR(index(Res_SF_Homes_RECS_2020!$D$2:$D$52,match($B112&amp;AS$2,Res_SF_Homes_RECS_2020!$B$2:$B$52&amp;Res_SF_Homes_RECS_2020!$A$2:$A$52,0))),0,index(Res_SF_Homes_RECS_2020!$D$2:$D$52,match($B112&amp;AS$2,Res_SF_Homes_RECS_2020!$B$2:$B$52&amp;Res_SF_Homes_RECS_2020!$A$2:$A$52,0)))</f>
        <v>0</v>
      </c>
      <c r="AT112" s="75">
        <f t="array" ref="AT112">IF(ISERROR(index(Res_SF_Homes_RECS_2020!$D$2:$D$52,match($B112&amp;AT$2,Res_SF_Homes_RECS_2020!$B$2:$B$52&amp;Res_SF_Homes_RECS_2020!$A$2:$A$52,0))),0,index(Res_SF_Homes_RECS_2020!$D$2:$D$52,match($B112&amp;AT$2,Res_SF_Homes_RECS_2020!$B$2:$B$52&amp;Res_SF_Homes_RECS_2020!$A$2:$A$52,0)))</f>
        <v>0</v>
      </c>
      <c r="AU112" s="75">
        <f t="array" ref="AU112">IF(ISERROR(index(Res_SF_Homes_RECS_2020!$D$2:$D$52,match($B112&amp;AU$2,Res_SF_Homes_RECS_2020!$B$2:$B$52&amp;Res_SF_Homes_RECS_2020!$A$2:$A$52,0))),0,index(Res_SF_Homes_RECS_2020!$D$2:$D$52,match($B112&amp;AU$2,Res_SF_Homes_RECS_2020!$B$2:$B$52&amp;Res_SF_Homes_RECS_2020!$A$2:$A$52,0)))</f>
        <v>0</v>
      </c>
      <c r="AV112" s="75">
        <f t="array" ref="AV112">IF(ISERROR(index(Res_SF_Homes_RECS_2020!$D$2:$D$52,match($B112&amp;AV$2,Res_SF_Homes_RECS_2020!$B$2:$B$52&amp;Res_SF_Homes_RECS_2020!$A$2:$A$52,0))),0,index(Res_SF_Homes_RECS_2020!$D$2:$D$52,match($B112&amp;AV$2,Res_SF_Homes_RECS_2020!$B$2:$B$52&amp;Res_SF_Homes_RECS_2020!$A$2:$A$52,0)))</f>
        <v>0</v>
      </c>
      <c r="AW112" s="75">
        <f t="array" ref="AW112">IF(ISERROR(index(Res_SF_Homes_RECS_2020!$D$2:$D$52,match($B112&amp;AW$2,Res_SF_Homes_RECS_2020!$B$2:$B$52&amp;Res_SF_Homes_RECS_2020!$A$2:$A$52,0))),0,index(Res_SF_Homes_RECS_2020!$D$2:$D$52,match($B112&amp;AW$2,Res_SF_Homes_RECS_2020!$B$2:$B$52&amp;Res_SF_Homes_RECS_2020!$A$2:$A$52,0)))</f>
        <v>0</v>
      </c>
      <c r="AX112" s="75">
        <f t="array" ref="AX112">IF(ISERROR(index(Res_SF_Homes_RECS_2020!$D$2:$D$52,match($B112&amp;AX$2,Res_SF_Homes_RECS_2020!$B$2:$B$52&amp;Res_SF_Homes_RECS_2020!$A$2:$A$52,0))),0,index(Res_SF_Homes_RECS_2020!$D$2:$D$52,match($B112&amp;AX$2,Res_SF_Homes_RECS_2020!$B$2:$B$52&amp;Res_SF_Homes_RECS_2020!$A$2:$A$52,0)))</f>
        <v>0</v>
      </c>
      <c r="AY112" s="75">
        <f t="array" ref="AY112">IF(ISERROR(index(Res_SF_Homes_RECS_2020!$D$2:$D$52,match($B112&amp;AY$2,Res_SF_Homes_RECS_2020!$B$2:$B$52&amp;Res_SF_Homes_RECS_2020!$A$2:$A$52,0))),0,index(Res_SF_Homes_RECS_2020!$D$2:$D$52,match($B112&amp;AY$2,Res_SF_Homes_RECS_2020!$B$2:$B$52&amp;Res_SF_Homes_RECS_2020!$A$2:$A$52,0)))</f>
        <v>0</v>
      </c>
      <c r="AZ112" s="75">
        <f t="array" ref="AZ112">IF(ISERROR(index(Res_SF_Homes_RECS_2020!$D$2:$D$52,match($B112&amp;AZ$2,Res_SF_Homes_RECS_2020!$B$2:$B$52&amp;Res_SF_Homes_RECS_2020!$A$2:$A$52,0))),0,index(Res_SF_Homes_RECS_2020!$D$2:$D$52,match($B112&amp;AZ$2,Res_SF_Homes_RECS_2020!$B$2:$B$52&amp;Res_SF_Homes_RECS_2020!$A$2:$A$52,0)))</f>
        <v>0</v>
      </c>
      <c r="BA112" s="75">
        <f t="array" ref="BA112">IF(ISERROR(index(Res_SF_Homes_RECS_2020!$D$2:$D$52,match($B112&amp;BA$2,Res_SF_Homes_RECS_2020!$B$2:$B$52&amp;Res_SF_Homes_RECS_2020!$A$2:$A$52,0))),0,index(Res_SF_Homes_RECS_2020!$D$2:$D$52,match($B112&amp;BA$2,Res_SF_Homes_RECS_2020!$B$2:$B$52&amp;Res_SF_Homes_RECS_2020!$A$2:$A$52,0)))</f>
        <v>0</v>
      </c>
      <c r="BB112" s="74">
        <f t="shared" si="17"/>
        <v>8.51</v>
      </c>
    </row>
    <row r="113" ht="15.75" customHeight="1">
      <c r="A113" s="78"/>
      <c r="B113" s="74">
        <v>5.0</v>
      </c>
      <c r="C113" s="75">
        <f t="array" ref="C113">IF(ISERROR(index(Res_SF_Homes_RECS_2020!$D$2:$D$52,match($B113&amp;C$2,Res_SF_Homes_RECS_2020!$B$2:$B$52&amp;Res_SF_Homes_RECS_2020!$A$2:$A$52,0))),0,index(Res_SF_Homes_RECS_2020!$D$2:$D$52,match($B113&amp;C$2,Res_SF_Homes_RECS_2020!$B$2:$B$52&amp;Res_SF_Homes_RECS_2020!$A$2:$A$52,0)))</f>
        <v>0</v>
      </c>
      <c r="D113" s="75">
        <f t="array" ref="D113">IF(ISERROR(index(Res_SF_Homes_RECS_2020!$D$2:$D$52,match($B113&amp;D$2,Res_SF_Homes_RECS_2020!$B$2:$B$52&amp;Res_SF_Homes_RECS_2020!$A$2:$A$52,0))),0,index(Res_SF_Homes_RECS_2020!$D$2:$D$52,match($B113&amp;D$2,Res_SF_Homes_RECS_2020!$B$2:$B$52&amp;Res_SF_Homes_RECS_2020!$A$2:$A$52,0)))</f>
        <v>0</v>
      </c>
      <c r="E113" s="75">
        <f t="array" ref="E113">IF(ISERROR(index(Res_SF_Homes_RECS_2020!$D$2:$D$52,match($B113&amp;E$2,Res_SF_Homes_RECS_2020!$B$2:$B$52&amp;Res_SF_Homes_RECS_2020!$A$2:$A$52,0))),0,index(Res_SF_Homes_RECS_2020!$D$2:$D$52,match($B113&amp;E$2,Res_SF_Homes_RECS_2020!$B$2:$B$52&amp;Res_SF_Homes_RECS_2020!$A$2:$A$52,0)))</f>
        <v>0</v>
      </c>
      <c r="F113" s="75">
        <f t="array" ref="F113">IF(ISERROR(index(Res_SF_Homes_RECS_2020!$D$2:$D$52,match($B113&amp;F$2,Res_SF_Homes_RECS_2020!$B$2:$B$52&amp;Res_SF_Homes_RECS_2020!$A$2:$A$52,0))),0,index(Res_SF_Homes_RECS_2020!$D$2:$D$52,match($B113&amp;F$2,Res_SF_Homes_RECS_2020!$B$2:$B$52&amp;Res_SF_Homes_RECS_2020!$A$2:$A$52,0)))</f>
        <v>0</v>
      </c>
      <c r="G113" s="75">
        <f t="array" ref="G113">IF(ISERROR(index(Res_SF_Homes_RECS_2020!$D$2:$D$52,match($B113&amp;G$2,Res_SF_Homes_RECS_2020!$B$2:$B$52&amp;Res_SF_Homes_RECS_2020!$A$2:$A$52,0))),0,index(Res_SF_Homes_RECS_2020!$D$2:$D$52,match($B113&amp;G$2,Res_SF_Homes_RECS_2020!$B$2:$B$52&amp;Res_SF_Homes_RECS_2020!$A$2:$A$52,0)))</f>
        <v>0</v>
      </c>
      <c r="H113" s="75">
        <f t="array" ref="H113">IF(ISERROR(index(Res_SF_Homes_RECS_2020!$D$2:$D$52,match($B113&amp;H$2,Res_SF_Homes_RECS_2020!$B$2:$B$52&amp;Res_SF_Homes_RECS_2020!$A$2:$A$52,0))),0,index(Res_SF_Homes_RECS_2020!$D$2:$D$52,match($B113&amp;H$2,Res_SF_Homes_RECS_2020!$B$2:$B$52&amp;Res_SF_Homes_RECS_2020!$A$2:$A$52,0)))</f>
        <v>0</v>
      </c>
      <c r="I113" s="75">
        <f t="array" ref="I113">IF(ISERROR(index(Res_SF_Homes_RECS_2020!$D$2:$D$52,match($B113&amp;I$2,Res_SF_Homes_RECS_2020!$B$2:$B$52&amp;Res_SF_Homes_RECS_2020!$A$2:$A$52,0))),0,index(Res_SF_Homes_RECS_2020!$D$2:$D$52,match($B113&amp;I$2,Res_SF_Homes_RECS_2020!$B$2:$B$52&amp;Res_SF_Homes_RECS_2020!$A$2:$A$52,0)))</f>
        <v>0</v>
      </c>
      <c r="J113" s="75">
        <f t="array" ref="J113">IF(ISERROR(index(Res_SF_Homes_RECS_2020!$D$2:$D$52,match($B113&amp;J$2,Res_SF_Homes_RECS_2020!$B$2:$B$52&amp;Res_SF_Homes_RECS_2020!$A$2:$A$52,0))),0,index(Res_SF_Homes_RECS_2020!$D$2:$D$52,match($B113&amp;J$2,Res_SF_Homes_RECS_2020!$B$2:$B$52&amp;Res_SF_Homes_RECS_2020!$A$2:$A$52,0)))</f>
        <v>0.38</v>
      </c>
      <c r="K113" s="75">
        <f t="array" ref="K113">IF(ISERROR(index(Res_SF_Homes_RECS_2020!$D$2:$D$52,match($B113&amp;K$2,Res_SF_Homes_RECS_2020!$B$2:$B$52&amp;Res_SF_Homes_RECS_2020!$A$2:$A$52,0))),0,index(Res_SF_Homes_RECS_2020!$D$2:$D$52,match($B113&amp;K$2,Res_SF_Homes_RECS_2020!$B$2:$B$52&amp;Res_SF_Homes_RECS_2020!$A$2:$A$52,0)))</f>
        <v>0.32</v>
      </c>
      <c r="L113" s="75">
        <f t="array" ref="L113">IF(ISERROR(index(Res_SF_Homes_RECS_2020!$D$2:$D$52,match($B113&amp;L$2,Res_SF_Homes_RECS_2020!$B$2:$B$52&amp;Res_SF_Homes_RECS_2020!$A$2:$A$52,0))),0,index(Res_SF_Homes_RECS_2020!$D$2:$D$52,match($B113&amp;L$2,Res_SF_Homes_RECS_2020!$B$2:$B$52&amp;Res_SF_Homes_RECS_2020!$A$2:$A$52,0)))</f>
        <v>8.06</v>
      </c>
      <c r="M113" s="75">
        <f t="array" ref="M113">IF(ISERROR(index(Res_SF_Homes_RECS_2020!$D$2:$D$52,match($B113&amp;M$2,Res_SF_Homes_RECS_2020!$B$2:$B$52&amp;Res_SF_Homes_RECS_2020!$A$2:$A$52,0))),0,index(Res_SF_Homes_RECS_2020!$D$2:$D$52,match($B113&amp;M$2,Res_SF_Homes_RECS_2020!$B$2:$B$52&amp;Res_SF_Homes_RECS_2020!$A$2:$A$52,0)))</f>
        <v>3.88</v>
      </c>
      <c r="N113" s="75">
        <f t="array" ref="N113">IF(ISERROR(index(Res_SF_Homes_RECS_2020!$D$2:$D$52,match($B113&amp;N$2,Res_SF_Homes_RECS_2020!$B$2:$B$52&amp;Res_SF_Homes_RECS_2020!$A$2:$A$52,0))),0,index(Res_SF_Homes_RECS_2020!$D$2:$D$52,match($B113&amp;N$2,Res_SF_Homes_RECS_2020!$B$2:$B$52&amp;Res_SF_Homes_RECS_2020!$A$2:$A$52,0)))</f>
        <v>0</v>
      </c>
      <c r="O113" s="75">
        <f t="array" ref="O113">IF(ISERROR(index(Res_SF_Homes_RECS_2020!$D$2:$D$52,match($B113&amp;O$2,Res_SF_Homes_RECS_2020!$B$2:$B$52&amp;Res_SF_Homes_RECS_2020!$A$2:$A$52,0))),0,index(Res_SF_Homes_RECS_2020!$D$2:$D$52,match($B113&amp;O$2,Res_SF_Homes_RECS_2020!$B$2:$B$52&amp;Res_SF_Homes_RECS_2020!$A$2:$A$52,0)))</f>
        <v>0</v>
      </c>
      <c r="P113" s="75">
        <f t="array" ref="P113">IF(ISERROR(index(Res_SF_Homes_RECS_2020!$D$2:$D$52,match($B113&amp;P$2,Res_SF_Homes_RECS_2020!$B$2:$B$52&amp;Res_SF_Homes_RECS_2020!$A$2:$A$52,0))),0,index(Res_SF_Homes_RECS_2020!$D$2:$D$52,match($B113&amp;P$2,Res_SF_Homes_RECS_2020!$B$2:$B$52&amp;Res_SF_Homes_RECS_2020!$A$2:$A$52,0)))</f>
        <v>0</v>
      </c>
      <c r="Q113" s="75">
        <f t="array" ref="Q113">IF(ISERROR(index(Res_SF_Homes_RECS_2020!$D$2:$D$52,match($B113&amp;Q$2,Res_SF_Homes_RECS_2020!$B$2:$B$52&amp;Res_SF_Homes_RECS_2020!$A$2:$A$52,0))),0,index(Res_SF_Homes_RECS_2020!$D$2:$D$52,match($B113&amp;Q$2,Res_SF_Homes_RECS_2020!$B$2:$B$52&amp;Res_SF_Homes_RECS_2020!$A$2:$A$52,0)))</f>
        <v>0</v>
      </c>
      <c r="R113" s="75">
        <f t="array" ref="R113">IF(ISERROR(index(Res_SF_Homes_RECS_2020!$D$2:$D$52,match($B113&amp;R$2,Res_SF_Homes_RECS_2020!$B$2:$B$52&amp;Res_SF_Homes_RECS_2020!$A$2:$A$52,0))),0,index(Res_SF_Homes_RECS_2020!$D$2:$D$52,match($B113&amp;R$2,Res_SF_Homes_RECS_2020!$B$2:$B$52&amp;Res_SF_Homes_RECS_2020!$A$2:$A$52,0)))</f>
        <v>0</v>
      </c>
      <c r="S113" s="75">
        <f t="array" ref="S113">IF(ISERROR(index(Res_SF_Homes_RECS_2020!$D$2:$D$52,match($B113&amp;S$2,Res_SF_Homes_RECS_2020!$B$2:$B$52&amp;Res_SF_Homes_RECS_2020!$A$2:$A$52,0))),0,index(Res_SF_Homes_RECS_2020!$D$2:$D$52,match($B113&amp;S$2,Res_SF_Homes_RECS_2020!$B$2:$B$52&amp;Res_SF_Homes_RECS_2020!$A$2:$A$52,0)))</f>
        <v>0</v>
      </c>
      <c r="T113" s="75">
        <f t="array" ref="T113">IF(ISERROR(index(Res_SF_Homes_RECS_2020!$D$2:$D$52,match($B113&amp;T$2,Res_SF_Homes_RECS_2020!$B$2:$B$52&amp;Res_SF_Homes_RECS_2020!$A$2:$A$52,0))),0,index(Res_SF_Homes_RECS_2020!$D$2:$D$52,match($B113&amp;T$2,Res_SF_Homes_RECS_2020!$B$2:$B$52&amp;Res_SF_Homes_RECS_2020!$A$2:$A$52,0)))</f>
        <v>0</v>
      </c>
      <c r="U113" s="75">
        <f t="array" ref="U113">IF(ISERROR(index(Res_SF_Homes_RECS_2020!$D$2:$D$52,match($B113&amp;U$2,Res_SF_Homes_RECS_2020!$B$2:$B$52&amp;Res_SF_Homes_RECS_2020!$A$2:$A$52,0))),0,index(Res_SF_Homes_RECS_2020!$D$2:$D$52,match($B113&amp;U$2,Res_SF_Homes_RECS_2020!$B$2:$B$52&amp;Res_SF_Homes_RECS_2020!$A$2:$A$52,0)))</f>
        <v>0</v>
      </c>
      <c r="V113" s="75">
        <f t="array" ref="V113">IF(ISERROR(index(Res_SF_Homes_RECS_2020!$D$2:$D$52,match($B113&amp;V$2,Res_SF_Homes_RECS_2020!$B$2:$B$52&amp;Res_SF_Homes_RECS_2020!$A$2:$A$52,0))),0,index(Res_SF_Homes_RECS_2020!$D$2:$D$52,match($B113&amp;V$2,Res_SF_Homes_RECS_2020!$B$2:$B$52&amp;Res_SF_Homes_RECS_2020!$A$2:$A$52,0)))</f>
        <v>0</v>
      </c>
      <c r="W113" s="75">
        <f t="array" ref="W113">IF(ISERROR(index(Res_SF_Homes_RECS_2020!$D$2:$D$52,match($B113&amp;W$2,Res_SF_Homes_RECS_2020!$B$2:$B$52&amp;Res_SF_Homes_RECS_2020!$A$2:$A$52,0))),0,index(Res_SF_Homes_RECS_2020!$D$2:$D$52,match($B113&amp;W$2,Res_SF_Homes_RECS_2020!$B$2:$B$52&amp;Res_SF_Homes_RECS_2020!$A$2:$A$52,0)))</f>
        <v>2.28</v>
      </c>
      <c r="X113" s="75">
        <f t="array" ref="X113">IF(ISERROR(index(Res_SF_Homes_RECS_2020!$D$2:$D$52,match($B113&amp;X$2,Res_SF_Homes_RECS_2020!$B$2:$B$52&amp;Res_SF_Homes_RECS_2020!$A$2:$A$52,0))),0,index(Res_SF_Homes_RECS_2020!$D$2:$D$52,match($B113&amp;X$2,Res_SF_Homes_RECS_2020!$B$2:$B$52&amp;Res_SF_Homes_RECS_2020!$A$2:$A$52,0)))</f>
        <v>0</v>
      </c>
      <c r="Y113" s="75">
        <f t="array" ref="Y113">IF(ISERROR(index(Res_SF_Homes_RECS_2020!$D$2:$D$52,match($B113&amp;Y$2,Res_SF_Homes_RECS_2020!$B$2:$B$52&amp;Res_SF_Homes_RECS_2020!$A$2:$A$52,0))),0,index(Res_SF_Homes_RECS_2020!$D$2:$D$52,match($B113&amp;Y$2,Res_SF_Homes_RECS_2020!$B$2:$B$52&amp;Res_SF_Homes_RECS_2020!$A$2:$A$52,0)))</f>
        <v>0</v>
      </c>
      <c r="Z113" s="75">
        <f t="array" ref="Z113">IF(ISERROR(index(Res_SF_Homes_RECS_2020!$D$2:$D$52,match($B113&amp;Z$2,Res_SF_Homes_RECS_2020!$B$2:$B$52&amp;Res_SF_Homes_RECS_2020!$A$2:$A$52,0))),0,index(Res_SF_Homes_RECS_2020!$D$2:$D$52,match($B113&amp;Z$2,Res_SF_Homes_RECS_2020!$B$2:$B$52&amp;Res_SF_Homes_RECS_2020!$A$2:$A$52,0)))</f>
        <v>0</v>
      </c>
      <c r="AA113" s="75">
        <f t="array" ref="AA113">IF(ISERROR(index(Res_SF_Homes_RECS_2020!$D$2:$D$52,match($B113&amp;AA$2,Res_SF_Homes_RECS_2020!$B$2:$B$52&amp;Res_SF_Homes_RECS_2020!$A$2:$A$52,0))),0,index(Res_SF_Homes_RECS_2020!$D$2:$D$52,match($B113&amp;AA$2,Res_SF_Homes_RECS_2020!$B$2:$B$52&amp;Res_SF_Homes_RECS_2020!$A$2:$A$52,0)))</f>
        <v>0</v>
      </c>
      <c r="AB113" s="75">
        <f t="array" ref="AB113">IF(ISERROR(index(Res_SF_Homes_RECS_2020!$D$2:$D$52,match($B113&amp;AB$2,Res_SF_Homes_RECS_2020!$B$2:$B$52&amp;Res_SF_Homes_RECS_2020!$A$2:$A$52,0))),0,index(Res_SF_Homes_RECS_2020!$D$2:$D$52,match($B113&amp;AB$2,Res_SF_Homes_RECS_2020!$B$2:$B$52&amp;Res_SF_Homes_RECS_2020!$A$2:$A$52,0)))</f>
        <v>0</v>
      </c>
      <c r="AC113" s="75">
        <f t="array" ref="AC113">IF(ISERROR(index(Res_SF_Homes_RECS_2020!$D$2:$D$52,match($B113&amp;AC$2,Res_SF_Homes_RECS_2020!$B$2:$B$52&amp;Res_SF_Homes_RECS_2020!$A$2:$A$52,0))),0,index(Res_SF_Homes_RECS_2020!$D$2:$D$52,match($B113&amp;AC$2,Res_SF_Homes_RECS_2020!$B$2:$B$52&amp;Res_SF_Homes_RECS_2020!$A$2:$A$52,0)))</f>
        <v>0</v>
      </c>
      <c r="AD113" s="75">
        <f t="array" ref="AD113">IF(ISERROR(index(Res_SF_Homes_RECS_2020!$D$2:$D$52,match($B113&amp;AD$2,Res_SF_Homes_RECS_2020!$B$2:$B$52&amp;Res_SF_Homes_RECS_2020!$A$2:$A$52,0))),0,index(Res_SF_Homes_RECS_2020!$D$2:$D$52,match($B113&amp;AD$2,Res_SF_Homes_RECS_2020!$B$2:$B$52&amp;Res_SF_Homes_RECS_2020!$A$2:$A$52,0)))</f>
        <v>0</v>
      </c>
      <c r="AE113" s="75">
        <f t="array" ref="AE113">IF(ISERROR(index(Res_SF_Homes_RECS_2020!$D$2:$D$52,match($B113&amp;AE$2,Res_SF_Homes_RECS_2020!$B$2:$B$52&amp;Res_SF_Homes_RECS_2020!$A$2:$A$52,0))),0,index(Res_SF_Homes_RECS_2020!$D$2:$D$52,match($B113&amp;AE$2,Res_SF_Homes_RECS_2020!$B$2:$B$52&amp;Res_SF_Homes_RECS_2020!$A$2:$A$52,0)))</f>
        <v>0</v>
      </c>
      <c r="AF113" s="75">
        <f t="array" ref="AF113">IF(ISERROR(index(Res_SF_Homes_RECS_2020!$D$2:$D$52,match($B113&amp;AF$2,Res_SF_Homes_RECS_2020!$B$2:$B$52&amp;Res_SF_Homes_RECS_2020!$A$2:$A$52,0))),0,index(Res_SF_Homes_RECS_2020!$D$2:$D$52,match($B113&amp;AF$2,Res_SF_Homes_RECS_2020!$B$2:$B$52&amp;Res_SF_Homes_RECS_2020!$A$2:$A$52,0)))</f>
        <v>0</v>
      </c>
      <c r="AG113" s="75">
        <f t="array" ref="AG113">IF(ISERROR(index(Res_SF_Homes_RECS_2020!$D$2:$D$52,match($B113&amp;AG$2,Res_SF_Homes_RECS_2020!$B$2:$B$52&amp;Res_SF_Homes_RECS_2020!$A$2:$A$52,0))),0,index(Res_SF_Homes_RECS_2020!$D$2:$D$52,match($B113&amp;AG$2,Res_SF_Homes_RECS_2020!$B$2:$B$52&amp;Res_SF_Homes_RECS_2020!$A$2:$A$52,0)))</f>
        <v>0</v>
      </c>
      <c r="AH113" s="75">
        <f t="array" ref="AH113">IF(ISERROR(index(Res_SF_Homes_RECS_2020!$D$2:$D$52,match($B113&amp;AH$2,Res_SF_Homes_RECS_2020!$B$2:$B$52&amp;Res_SF_Homes_RECS_2020!$A$2:$A$52,0))),0,index(Res_SF_Homes_RECS_2020!$D$2:$D$52,match($B113&amp;AH$2,Res_SF_Homes_RECS_2020!$B$2:$B$52&amp;Res_SF_Homes_RECS_2020!$A$2:$A$52,0)))</f>
        <v>0</v>
      </c>
      <c r="AI113" s="75">
        <f t="array" ref="AI113">IF(ISERROR(index(Res_SF_Homes_RECS_2020!$D$2:$D$52,match($B113&amp;AI$2,Res_SF_Homes_RECS_2020!$B$2:$B$52&amp;Res_SF_Homes_RECS_2020!$A$2:$A$52,0))),0,index(Res_SF_Homes_RECS_2020!$D$2:$D$52,match($B113&amp;AI$2,Res_SF_Homes_RECS_2020!$B$2:$B$52&amp;Res_SF_Homes_RECS_2020!$A$2:$A$52,0)))</f>
        <v>0</v>
      </c>
      <c r="AJ113" s="75">
        <f t="array" ref="AJ113">IF(ISERROR(index(Res_SF_Homes_RECS_2020!$D$2:$D$52,match($B113&amp;AJ$2,Res_SF_Homes_RECS_2020!$B$2:$B$52&amp;Res_SF_Homes_RECS_2020!$A$2:$A$52,0))),0,index(Res_SF_Homes_RECS_2020!$D$2:$D$52,match($B113&amp;AJ$2,Res_SF_Homes_RECS_2020!$B$2:$B$52&amp;Res_SF_Homes_RECS_2020!$A$2:$A$52,0)))</f>
        <v>4.01</v>
      </c>
      <c r="AK113" s="75">
        <f t="array" ref="AK113">IF(ISERROR(index(Res_SF_Homes_RECS_2020!$D$2:$D$52,match($B113&amp;AK$2,Res_SF_Homes_RECS_2020!$B$2:$B$52&amp;Res_SF_Homes_RECS_2020!$A$2:$A$52,0))),0,index(Res_SF_Homes_RECS_2020!$D$2:$D$52,match($B113&amp;AK$2,Res_SF_Homes_RECS_2020!$B$2:$B$52&amp;Res_SF_Homes_RECS_2020!$A$2:$A$52,0)))</f>
        <v>0</v>
      </c>
      <c r="AL113" s="75">
        <f t="array" ref="AL113">IF(ISERROR(index(Res_SF_Homes_RECS_2020!$D$2:$D$52,match($B113&amp;AL$2,Res_SF_Homes_RECS_2020!$B$2:$B$52&amp;Res_SF_Homes_RECS_2020!$A$2:$A$52,0))),0,index(Res_SF_Homes_RECS_2020!$D$2:$D$52,match($B113&amp;AL$2,Res_SF_Homes_RECS_2020!$B$2:$B$52&amp;Res_SF_Homes_RECS_2020!$A$2:$A$52,0)))</f>
        <v>0</v>
      </c>
      <c r="AM113" s="75">
        <f t="array" ref="AM113">IF(ISERROR(index(Res_SF_Homes_RECS_2020!$D$2:$D$52,match($B113&amp;AM$2,Res_SF_Homes_RECS_2020!$B$2:$B$52&amp;Res_SF_Homes_RECS_2020!$A$2:$A$52,0))),0,index(Res_SF_Homes_RECS_2020!$D$2:$D$52,match($B113&amp;AM$2,Res_SF_Homes_RECS_2020!$B$2:$B$52&amp;Res_SF_Homes_RECS_2020!$A$2:$A$52,0)))</f>
        <v>0</v>
      </c>
      <c r="AN113" s="75">
        <f t="array" ref="AN113">IF(ISERROR(index(Res_SF_Homes_RECS_2020!$D$2:$D$52,match($B113&amp;AN$2,Res_SF_Homes_RECS_2020!$B$2:$B$52&amp;Res_SF_Homes_RECS_2020!$A$2:$A$52,0))),0,index(Res_SF_Homes_RECS_2020!$D$2:$D$52,match($B113&amp;AN$2,Res_SF_Homes_RECS_2020!$B$2:$B$52&amp;Res_SF_Homes_RECS_2020!$A$2:$A$52,0)))</f>
        <v>0</v>
      </c>
      <c r="AO113" s="75">
        <f t="array" ref="AO113">IF(ISERROR(index(Res_SF_Homes_RECS_2020!$D$2:$D$52,match($B113&amp;AO$2,Res_SF_Homes_RECS_2020!$B$2:$B$52&amp;Res_SF_Homes_RECS_2020!$A$2:$A$52,0))),0,index(Res_SF_Homes_RECS_2020!$D$2:$D$52,match($B113&amp;AO$2,Res_SF_Homes_RECS_2020!$B$2:$B$52&amp;Res_SF_Homes_RECS_2020!$A$2:$A$52,0)))</f>
        <v>0</v>
      </c>
      <c r="AP113" s="75">
        <f t="array" ref="AP113">IF(ISERROR(index(Res_SF_Homes_RECS_2020!$D$2:$D$52,match($B113&amp;AP$2,Res_SF_Homes_RECS_2020!$B$2:$B$52&amp;Res_SF_Homes_RECS_2020!$A$2:$A$52,0))),0,index(Res_SF_Homes_RECS_2020!$D$2:$D$52,match($B113&amp;AP$2,Res_SF_Homes_RECS_2020!$B$2:$B$52&amp;Res_SF_Homes_RECS_2020!$A$2:$A$52,0)))</f>
        <v>0</v>
      </c>
      <c r="AQ113" s="75">
        <f t="array" ref="AQ113">IF(ISERROR(index(Res_SF_Homes_RECS_2020!$D$2:$D$52,match($B113&amp;AQ$2,Res_SF_Homes_RECS_2020!$B$2:$B$52&amp;Res_SF_Homes_RECS_2020!$A$2:$A$52,0))),0,index(Res_SF_Homes_RECS_2020!$D$2:$D$52,match($B113&amp;AQ$2,Res_SF_Homes_RECS_2020!$B$2:$B$52&amp;Res_SF_Homes_RECS_2020!$A$2:$A$52,0)))</f>
        <v>1.97</v>
      </c>
      <c r="AR113" s="75">
        <f t="array" ref="AR113">IF(ISERROR(index(Res_SF_Homes_RECS_2020!$D$2:$D$52,match($B113&amp;AR$2,Res_SF_Homes_RECS_2020!$B$2:$B$52&amp;Res_SF_Homes_RECS_2020!$A$2:$A$52,0))),0,index(Res_SF_Homes_RECS_2020!$D$2:$D$52,match($B113&amp;AR$2,Res_SF_Homes_RECS_2020!$B$2:$B$52&amp;Res_SF_Homes_RECS_2020!$A$2:$A$52,0)))</f>
        <v>0</v>
      </c>
      <c r="AS113" s="75">
        <f t="array" ref="AS113">IF(ISERROR(index(Res_SF_Homes_RECS_2020!$D$2:$D$52,match($B113&amp;AS$2,Res_SF_Homes_RECS_2020!$B$2:$B$52&amp;Res_SF_Homes_RECS_2020!$A$2:$A$52,0))),0,index(Res_SF_Homes_RECS_2020!$D$2:$D$52,match($B113&amp;AS$2,Res_SF_Homes_RECS_2020!$B$2:$B$52&amp;Res_SF_Homes_RECS_2020!$A$2:$A$52,0)))</f>
        <v>0</v>
      </c>
      <c r="AT113" s="75">
        <f t="array" ref="AT113">IF(ISERROR(index(Res_SF_Homes_RECS_2020!$D$2:$D$52,match($B113&amp;AT$2,Res_SF_Homes_RECS_2020!$B$2:$B$52&amp;Res_SF_Homes_RECS_2020!$A$2:$A$52,0))),0,index(Res_SF_Homes_RECS_2020!$D$2:$D$52,match($B113&amp;AT$2,Res_SF_Homes_RECS_2020!$B$2:$B$52&amp;Res_SF_Homes_RECS_2020!$A$2:$A$52,0)))</f>
        <v>0</v>
      </c>
      <c r="AU113" s="75">
        <f t="array" ref="AU113">IF(ISERROR(index(Res_SF_Homes_RECS_2020!$D$2:$D$52,match($B113&amp;AU$2,Res_SF_Homes_RECS_2020!$B$2:$B$52&amp;Res_SF_Homes_RECS_2020!$A$2:$A$52,0))),0,index(Res_SF_Homes_RECS_2020!$D$2:$D$52,match($B113&amp;AU$2,Res_SF_Homes_RECS_2020!$B$2:$B$52&amp;Res_SF_Homes_RECS_2020!$A$2:$A$52,0)))</f>
        <v>0</v>
      </c>
      <c r="AV113" s="75">
        <f t="array" ref="AV113">IF(ISERROR(index(Res_SF_Homes_RECS_2020!$D$2:$D$52,match($B113&amp;AV$2,Res_SF_Homes_RECS_2020!$B$2:$B$52&amp;Res_SF_Homes_RECS_2020!$A$2:$A$52,0))),0,index(Res_SF_Homes_RECS_2020!$D$2:$D$52,match($B113&amp;AV$2,Res_SF_Homes_RECS_2020!$B$2:$B$52&amp;Res_SF_Homes_RECS_2020!$A$2:$A$52,0)))</f>
        <v>0</v>
      </c>
      <c r="AW113" s="75">
        <f t="array" ref="AW113">IF(ISERROR(index(Res_SF_Homes_RECS_2020!$D$2:$D$52,match($B113&amp;AW$2,Res_SF_Homes_RECS_2020!$B$2:$B$52&amp;Res_SF_Homes_RECS_2020!$A$2:$A$52,0))),0,index(Res_SF_Homes_RECS_2020!$D$2:$D$52,match($B113&amp;AW$2,Res_SF_Homes_RECS_2020!$B$2:$B$52&amp;Res_SF_Homes_RECS_2020!$A$2:$A$52,0)))</f>
        <v>3.24</v>
      </c>
      <c r="AX113" s="75">
        <f t="array" ref="AX113">IF(ISERROR(index(Res_SF_Homes_RECS_2020!$D$2:$D$52,match($B113&amp;AX$2,Res_SF_Homes_RECS_2020!$B$2:$B$52&amp;Res_SF_Homes_RECS_2020!$A$2:$A$52,0))),0,index(Res_SF_Homes_RECS_2020!$D$2:$D$52,match($B113&amp;AX$2,Res_SF_Homes_RECS_2020!$B$2:$B$52&amp;Res_SF_Homes_RECS_2020!$A$2:$A$52,0)))</f>
        <v>0</v>
      </c>
      <c r="AY113" s="75">
        <f t="array" ref="AY113">IF(ISERROR(index(Res_SF_Homes_RECS_2020!$D$2:$D$52,match($B113&amp;AY$2,Res_SF_Homes_RECS_2020!$B$2:$B$52&amp;Res_SF_Homes_RECS_2020!$A$2:$A$52,0))),0,index(Res_SF_Homes_RECS_2020!$D$2:$D$52,match($B113&amp;AY$2,Res_SF_Homes_RECS_2020!$B$2:$B$52&amp;Res_SF_Homes_RECS_2020!$A$2:$A$52,0)))</f>
        <v>0.7</v>
      </c>
      <c r="AZ113" s="75">
        <f t="array" ref="AZ113">IF(ISERROR(index(Res_SF_Homes_RECS_2020!$D$2:$D$52,match($B113&amp;AZ$2,Res_SF_Homes_RECS_2020!$B$2:$B$52&amp;Res_SF_Homes_RECS_2020!$A$2:$A$52,0))),0,index(Res_SF_Homes_RECS_2020!$D$2:$D$52,match($B113&amp;AZ$2,Res_SF_Homes_RECS_2020!$B$2:$B$52&amp;Res_SF_Homes_RECS_2020!$A$2:$A$52,0)))</f>
        <v>0</v>
      </c>
      <c r="BA113" s="75">
        <f t="array" ref="BA113">IF(ISERROR(index(Res_SF_Homes_RECS_2020!$D$2:$D$52,match($B113&amp;BA$2,Res_SF_Homes_RECS_2020!$B$2:$B$52&amp;Res_SF_Homes_RECS_2020!$A$2:$A$52,0))),0,index(Res_SF_Homes_RECS_2020!$D$2:$D$52,match($B113&amp;BA$2,Res_SF_Homes_RECS_2020!$B$2:$B$52&amp;Res_SF_Homes_RECS_2020!$A$2:$A$52,0)))</f>
        <v>0</v>
      </c>
      <c r="BB113" s="74">
        <f t="shared" si="17"/>
        <v>24.84</v>
      </c>
    </row>
    <row r="114" ht="15.75" customHeight="1">
      <c r="A114" s="78"/>
      <c r="B114" s="74">
        <v>6.0</v>
      </c>
      <c r="C114" s="75">
        <f t="array" ref="C114">IF(ISERROR(index(Res_SF_Homes_RECS_2020!$D$2:$D$52,match($B114&amp;C$2,Res_SF_Homes_RECS_2020!$B$2:$B$52&amp;Res_SF_Homes_RECS_2020!$A$2:$A$52,0))),0,index(Res_SF_Homes_RECS_2020!$D$2:$D$52,match($B114&amp;C$2,Res_SF_Homes_RECS_2020!$B$2:$B$52&amp;Res_SF_Homes_RECS_2020!$A$2:$A$52,0)))</f>
        <v>1.9</v>
      </c>
      <c r="D114" s="75">
        <f t="array" ref="D114">IF(ISERROR(index(Res_SF_Homes_RECS_2020!$D$2:$D$52,match($B114&amp;D$2,Res_SF_Homes_RECS_2020!$B$2:$B$52&amp;Res_SF_Homes_RECS_2020!$A$2:$A$52,0))),0,index(Res_SF_Homes_RECS_2020!$D$2:$D$52,match($B114&amp;D$2,Res_SF_Homes_RECS_2020!$B$2:$B$52&amp;Res_SF_Homes_RECS_2020!$A$2:$A$52,0)))</f>
        <v>0</v>
      </c>
      <c r="E114" s="75">
        <f t="array" ref="E114">IF(ISERROR(index(Res_SF_Homes_RECS_2020!$D$2:$D$52,match($B114&amp;E$2,Res_SF_Homes_RECS_2020!$B$2:$B$52&amp;Res_SF_Homes_RECS_2020!$A$2:$A$52,0))),0,index(Res_SF_Homes_RECS_2020!$D$2:$D$52,match($B114&amp;E$2,Res_SF_Homes_RECS_2020!$B$2:$B$52&amp;Res_SF_Homes_RECS_2020!$A$2:$A$52,0)))</f>
        <v>0</v>
      </c>
      <c r="F114" s="75">
        <f t="array" ref="F114">IF(ISERROR(index(Res_SF_Homes_RECS_2020!$D$2:$D$52,match($B114&amp;F$2,Res_SF_Homes_RECS_2020!$B$2:$B$52&amp;Res_SF_Homes_RECS_2020!$A$2:$A$52,0))),0,index(Res_SF_Homes_RECS_2020!$D$2:$D$52,match($B114&amp;F$2,Res_SF_Homes_RECS_2020!$B$2:$B$52&amp;Res_SF_Homes_RECS_2020!$A$2:$A$52,0)))</f>
        <v>0</v>
      </c>
      <c r="G114" s="75">
        <f t="array" ref="G114">IF(ISERROR(index(Res_SF_Homes_RECS_2020!$D$2:$D$52,match($B114&amp;G$2,Res_SF_Homes_RECS_2020!$B$2:$B$52&amp;Res_SF_Homes_RECS_2020!$A$2:$A$52,0))),0,index(Res_SF_Homes_RECS_2020!$D$2:$D$52,match($B114&amp;G$2,Res_SF_Homes_RECS_2020!$B$2:$B$52&amp;Res_SF_Homes_RECS_2020!$A$2:$A$52,0)))</f>
        <v>0</v>
      </c>
      <c r="H114" s="75">
        <f t="array" ref="H114">IF(ISERROR(index(Res_SF_Homes_RECS_2020!$D$2:$D$52,match($B114&amp;H$2,Res_SF_Homes_RECS_2020!$B$2:$B$52&amp;Res_SF_Homes_RECS_2020!$A$2:$A$52,0))),0,index(Res_SF_Homes_RECS_2020!$D$2:$D$52,match($B114&amp;H$2,Res_SF_Homes_RECS_2020!$B$2:$B$52&amp;Res_SF_Homes_RECS_2020!$A$2:$A$52,0)))</f>
        <v>0</v>
      </c>
      <c r="I114" s="75">
        <f t="array" ref="I114">IF(ISERROR(index(Res_SF_Homes_RECS_2020!$D$2:$D$52,match($B114&amp;I$2,Res_SF_Homes_RECS_2020!$B$2:$B$52&amp;Res_SF_Homes_RECS_2020!$A$2:$A$52,0))),0,index(Res_SF_Homes_RECS_2020!$D$2:$D$52,match($B114&amp;I$2,Res_SF_Homes_RECS_2020!$B$2:$B$52&amp;Res_SF_Homes_RECS_2020!$A$2:$A$52,0)))</f>
        <v>0</v>
      </c>
      <c r="J114" s="75">
        <f t="array" ref="J114">IF(ISERROR(index(Res_SF_Homes_RECS_2020!$D$2:$D$52,match($B114&amp;J$2,Res_SF_Homes_RECS_2020!$B$2:$B$52&amp;Res_SF_Homes_RECS_2020!$A$2:$A$52,0))),0,index(Res_SF_Homes_RECS_2020!$D$2:$D$52,match($B114&amp;J$2,Res_SF_Homes_RECS_2020!$B$2:$B$52&amp;Res_SF_Homes_RECS_2020!$A$2:$A$52,0)))</f>
        <v>0</v>
      </c>
      <c r="K114" s="75">
        <f t="array" ref="K114">IF(ISERROR(index(Res_SF_Homes_RECS_2020!$D$2:$D$52,match($B114&amp;K$2,Res_SF_Homes_RECS_2020!$B$2:$B$52&amp;Res_SF_Homes_RECS_2020!$A$2:$A$52,0))),0,index(Res_SF_Homes_RECS_2020!$D$2:$D$52,match($B114&amp;K$2,Res_SF_Homes_RECS_2020!$B$2:$B$52&amp;Res_SF_Homes_RECS_2020!$A$2:$A$52,0)))</f>
        <v>0</v>
      </c>
      <c r="L114" s="75">
        <f t="array" ref="L114">IF(ISERROR(index(Res_SF_Homes_RECS_2020!$D$2:$D$52,match($B114&amp;L$2,Res_SF_Homes_RECS_2020!$B$2:$B$52&amp;Res_SF_Homes_RECS_2020!$A$2:$A$52,0))),0,index(Res_SF_Homes_RECS_2020!$D$2:$D$52,match($B114&amp;L$2,Res_SF_Homes_RECS_2020!$B$2:$B$52&amp;Res_SF_Homes_RECS_2020!$A$2:$A$52,0)))</f>
        <v>0</v>
      </c>
      <c r="M114" s="75">
        <f t="array" ref="M114">IF(ISERROR(index(Res_SF_Homes_RECS_2020!$D$2:$D$52,match($B114&amp;M$2,Res_SF_Homes_RECS_2020!$B$2:$B$52&amp;Res_SF_Homes_RECS_2020!$A$2:$A$52,0))),0,index(Res_SF_Homes_RECS_2020!$D$2:$D$52,match($B114&amp;M$2,Res_SF_Homes_RECS_2020!$B$2:$B$52&amp;Res_SF_Homes_RECS_2020!$A$2:$A$52,0)))</f>
        <v>0</v>
      </c>
      <c r="N114" s="75">
        <f t="array" ref="N114">IF(ISERROR(index(Res_SF_Homes_RECS_2020!$D$2:$D$52,match($B114&amp;N$2,Res_SF_Homes_RECS_2020!$B$2:$B$52&amp;Res_SF_Homes_RECS_2020!$A$2:$A$52,0))),0,index(Res_SF_Homes_RECS_2020!$D$2:$D$52,match($B114&amp;N$2,Res_SF_Homes_RECS_2020!$B$2:$B$52&amp;Res_SF_Homes_RECS_2020!$A$2:$A$52,0)))</f>
        <v>0</v>
      </c>
      <c r="O114" s="75">
        <f t="array" ref="O114">IF(ISERROR(index(Res_SF_Homes_RECS_2020!$D$2:$D$52,match($B114&amp;O$2,Res_SF_Homes_RECS_2020!$B$2:$B$52&amp;Res_SF_Homes_RECS_2020!$A$2:$A$52,0))),0,index(Res_SF_Homes_RECS_2020!$D$2:$D$52,match($B114&amp;O$2,Res_SF_Homes_RECS_2020!$B$2:$B$52&amp;Res_SF_Homes_RECS_2020!$A$2:$A$52,0)))</f>
        <v>0</v>
      </c>
      <c r="P114" s="75">
        <f t="array" ref="P114">IF(ISERROR(index(Res_SF_Homes_RECS_2020!$D$2:$D$52,match($B114&amp;P$2,Res_SF_Homes_RECS_2020!$B$2:$B$52&amp;Res_SF_Homes_RECS_2020!$A$2:$A$52,0))),0,index(Res_SF_Homes_RECS_2020!$D$2:$D$52,match($B114&amp;P$2,Res_SF_Homes_RECS_2020!$B$2:$B$52&amp;Res_SF_Homes_RECS_2020!$A$2:$A$52,0)))</f>
        <v>0</v>
      </c>
      <c r="Q114" s="75">
        <f t="array" ref="Q114">IF(ISERROR(index(Res_SF_Homes_RECS_2020!$D$2:$D$52,match($B114&amp;Q$2,Res_SF_Homes_RECS_2020!$B$2:$B$52&amp;Res_SF_Homes_RECS_2020!$A$2:$A$52,0))),0,index(Res_SF_Homes_RECS_2020!$D$2:$D$52,match($B114&amp;Q$2,Res_SF_Homes_RECS_2020!$B$2:$B$52&amp;Res_SF_Homes_RECS_2020!$A$2:$A$52,0)))</f>
        <v>0</v>
      </c>
      <c r="R114" s="75">
        <f t="array" ref="R114">IF(ISERROR(index(Res_SF_Homes_RECS_2020!$D$2:$D$52,match($B114&amp;R$2,Res_SF_Homes_RECS_2020!$B$2:$B$52&amp;Res_SF_Homes_RECS_2020!$A$2:$A$52,0))),0,index(Res_SF_Homes_RECS_2020!$D$2:$D$52,match($B114&amp;R$2,Res_SF_Homes_RECS_2020!$B$2:$B$52&amp;Res_SF_Homes_RECS_2020!$A$2:$A$52,0)))</f>
        <v>0</v>
      </c>
      <c r="S114" s="75">
        <f t="array" ref="S114">IF(ISERROR(index(Res_SF_Homes_RECS_2020!$D$2:$D$52,match($B114&amp;S$2,Res_SF_Homes_RECS_2020!$B$2:$B$52&amp;Res_SF_Homes_RECS_2020!$A$2:$A$52,0))),0,index(Res_SF_Homes_RECS_2020!$D$2:$D$52,match($B114&amp;S$2,Res_SF_Homes_RECS_2020!$B$2:$B$52&amp;Res_SF_Homes_RECS_2020!$A$2:$A$52,0)))</f>
        <v>0</v>
      </c>
      <c r="T114" s="75">
        <f t="array" ref="T114">IF(ISERROR(index(Res_SF_Homes_RECS_2020!$D$2:$D$52,match($B114&amp;T$2,Res_SF_Homes_RECS_2020!$B$2:$B$52&amp;Res_SF_Homes_RECS_2020!$A$2:$A$52,0))),0,index(Res_SF_Homes_RECS_2020!$D$2:$D$52,match($B114&amp;T$2,Res_SF_Homes_RECS_2020!$B$2:$B$52&amp;Res_SF_Homes_RECS_2020!$A$2:$A$52,0)))</f>
        <v>1.74</v>
      </c>
      <c r="U114" s="75">
        <f t="array" ref="U114">IF(ISERROR(index(Res_SF_Homes_RECS_2020!$D$2:$D$52,match($B114&amp;U$2,Res_SF_Homes_RECS_2020!$B$2:$B$52&amp;Res_SF_Homes_RECS_2020!$A$2:$A$52,0))),0,index(Res_SF_Homes_RECS_2020!$D$2:$D$52,match($B114&amp;U$2,Res_SF_Homes_RECS_2020!$B$2:$B$52&amp;Res_SF_Homes_RECS_2020!$A$2:$A$52,0)))</f>
        <v>0</v>
      </c>
      <c r="V114" s="75">
        <f t="array" ref="V114">IF(ISERROR(index(Res_SF_Homes_RECS_2020!$D$2:$D$52,match($B114&amp;V$2,Res_SF_Homes_RECS_2020!$B$2:$B$52&amp;Res_SF_Homes_RECS_2020!$A$2:$A$52,0))),0,index(Res_SF_Homes_RECS_2020!$D$2:$D$52,match($B114&amp;V$2,Res_SF_Homes_RECS_2020!$B$2:$B$52&amp;Res_SF_Homes_RECS_2020!$A$2:$A$52,0)))</f>
        <v>0</v>
      </c>
      <c r="W114" s="75">
        <f t="array" ref="W114">IF(ISERROR(index(Res_SF_Homes_RECS_2020!$D$2:$D$52,match($B114&amp;W$2,Res_SF_Homes_RECS_2020!$B$2:$B$52&amp;Res_SF_Homes_RECS_2020!$A$2:$A$52,0))),0,index(Res_SF_Homes_RECS_2020!$D$2:$D$52,match($B114&amp;W$2,Res_SF_Homes_RECS_2020!$B$2:$B$52&amp;Res_SF_Homes_RECS_2020!$A$2:$A$52,0)))</f>
        <v>0</v>
      </c>
      <c r="X114" s="75">
        <f t="array" ref="X114">IF(ISERROR(index(Res_SF_Homes_RECS_2020!$D$2:$D$52,match($B114&amp;X$2,Res_SF_Homes_RECS_2020!$B$2:$B$52&amp;Res_SF_Homes_RECS_2020!$A$2:$A$52,0))),0,index(Res_SF_Homes_RECS_2020!$D$2:$D$52,match($B114&amp;X$2,Res_SF_Homes_RECS_2020!$B$2:$B$52&amp;Res_SF_Homes_RECS_2020!$A$2:$A$52,0)))</f>
        <v>0</v>
      </c>
      <c r="Y114" s="75">
        <f t="array" ref="Y114">IF(ISERROR(index(Res_SF_Homes_RECS_2020!$D$2:$D$52,match($B114&amp;Y$2,Res_SF_Homes_RECS_2020!$B$2:$B$52&amp;Res_SF_Homes_RECS_2020!$A$2:$A$52,0))),0,index(Res_SF_Homes_RECS_2020!$D$2:$D$52,match($B114&amp;Y$2,Res_SF_Homes_RECS_2020!$B$2:$B$52&amp;Res_SF_Homes_RECS_2020!$A$2:$A$52,0)))</f>
        <v>0</v>
      </c>
      <c r="Z114" s="75">
        <f t="array" ref="Z114">IF(ISERROR(index(Res_SF_Homes_RECS_2020!$D$2:$D$52,match($B114&amp;Z$2,Res_SF_Homes_RECS_2020!$B$2:$B$52&amp;Res_SF_Homes_RECS_2020!$A$2:$A$52,0))),0,index(Res_SF_Homes_RECS_2020!$D$2:$D$52,match($B114&amp;Z$2,Res_SF_Homes_RECS_2020!$B$2:$B$52&amp;Res_SF_Homes_RECS_2020!$A$2:$A$52,0)))</f>
        <v>0</v>
      </c>
      <c r="AA114" s="75">
        <f t="array" ref="AA114">IF(ISERROR(index(Res_SF_Homes_RECS_2020!$D$2:$D$52,match($B114&amp;AA$2,Res_SF_Homes_RECS_2020!$B$2:$B$52&amp;Res_SF_Homes_RECS_2020!$A$2:$A$52,0))),0,index(Res_SF_Homes_RECS_2020!$D$2:$D$52,match($B114&amp;AA$2,Res_SF_Homes_RECS_2020!$B$2:$B$52&amp;Res_SF_Homes_RECS_2020!$A$2:$A$52,0)))</f>
        <v>1.08</v>
      </c>
      <c r="AB114" s="75">
        <f t="array" ref="AB114">IF(ISERROR(index(Res_SF_Homes_RECS_2020!$D$2:$D$52,match($B114&amp;AB$2,Res_SF_Homes_RECS_2020!$B$2:$B$52&amp;Res_SF_Homes_RECS_2020!$A$2:$A$52,0))),0,index(Res_SF_Homes_RECS_2020!$D$2:$D$52,match($B114&amp;AB$2,Res_SF_Homes_RECS_2020!$B$2:$B$52&amp;Res_SF_Homes_RECS_2020!$A$2:$A$52,0)))</f>
        <v>0</v>
      </c>
      <c r="AC114" s="75">
        <f t="array" ref="AC114">IF(ISERROR(index(Res_SF_Homes_RECS_2020!$D$2:$D$52,match($B114&amp;AC$2,Res_SF_Homes_RECS_2020!$B$2:$B$52&amp;Res_SF_Homes_RECS_2020!$A$2:$A$52,0))),0,index(Res_SF_Homes_RECS_2020!$D$2:$D$52,match($B114&amp;AC$2,Res_SF_Homes_RECS_2020!$B$2:$B$52&amp;Res_SF_Homes_RECS_2020!$A$2:$A$52,0)))</f>
        <v>0</v>
      </c>
      <c r="AD114" s="75">
        <f t="array" ref="AD114">IF(ISERROR(index(Res_SF_Homes_RECS_2020!$D$2:$D$52,match($B114&amp;AD$2,Res_SF_Homes_RECS_2020!$B$2:$B$52&amp;Res_SF_Homes_RECS_2020!$A$2:$A$52,0))),0,index(Res_SF_Homes_RECS_2020!$D$2:$D$52,match($B114&amp;AD$2,Res_SF_Homes_RECS_2020!$B$2:$B$52&amp;Res_SF_Homes_RECS_2020!$A$2:$A$52,0)))</f>
        <v>0</v>
      </c>
      <c r="AE114" s="75">
        <f t="array" ref="AE114">IF(ISERROR(index(Res_SF_Homes_RECS_2020!$D$2:$D$52,match($B114&amp;AE$2,Res_SF_Homes_RECS_2020!$B$2:$B$52&amp;Res_SF_Homes_RECS_2020!$A$2:$A$52,0))),0,index(Res_SF_Homes_RECS_2020!$D$2:$D$52,match($B114&amp;AE$2,Res_SF_Homes_RECS_2020!$B$2:$B$52&amp;Res_SF_Homes_RECS_2020!$A$2:$A$52,0)))</f>
        <v>0</v>
      </c>
      <c r="AF114" s="75">
        <f t="array" ref="AF114">IF(ISERROR(index(Res_SF_Homes_RECS_2020!$D$2:$D$52,match($B114&amp;AF$2,Res_SF_Homes_RECS_2020!$B$2:$B$52&amp;Res_SF_Homes_RECS_2020!$A$2:$A$52,0))),0,index(Res_SF_Homes_RECS_2020!$D$2:$D$52,match($B114&amp;AF$2,Res_SF_Homes_RECS_2020!$B$2:$B$52&amp;Res_SF_Homes_RECS_2020!$A$2:$A$52,0)))</f>
        <v>0</v>
      </c>
      <c r="AG114" s="75">
        <f t="array" ref="AG114">IF(ISERROR(index(Res_SF_Homes_RECS_2020!$D$2:$D$52,match($B114&amp;AG$2,Res_SF_Homes_RECS_2020!$B$2:$B$52&amp;Res_SF_Homes_RECS_2020!$A$2:$A$52,0))),0,index(Res_SF_Homes_RECS_2020!$D$2:$D$52,match($B114&amp;AG$2,Res_SF_Homes_RECS_2020!$B$2:$B$52&amp;Res_SF_Homes_RECS_2020!$A$2:$A$52,0)))</f>
        <v>0</v>
      </c>
      <c r="AH114" s="75">
        <f t="array" ref="AH114">IF(ISERROR(index(Res_SF_Homes_RECS_2020!$D$2:$D$52,match($B114&amp;AH$2,Res_SF_Homes_RECS_2020!$B$2:$B$52&amp;Res_SF_Homes_RECS_2020!$A$2:$A$52,0))),0,index(Res_SF_Homes_RECS_2020!$D$2:$D$52,match($B114&amp;AH$2,Res_SF_Homes_RECS_2020!$B$2:$B$52&amp;Res_SF_Homes_RECS_2020!$A$2:$A$52,0)))</f>
        <v>0</v>
      </c>
      <c r="AI114" s="75">
        <f t="array" ref="AI114">IF(ISERROR(index(Res_SF_Homes_RECS_2020!$D$2:$D$52,match($B114&amp;AI$2,Res_SF_Homes_RECS_2020!$B$2:$B$52&amp;Res_SF_Homes_RECS_2020!$A$2:$A$52,0))),0,index(Res_SF_Homes_RECS_2020!$D$2:$D$52,match($B114&amp;AI$2,Res_SF_Homes_RECS_2020!$B$2:$B$52&amp;Res_SF_Homes_RECS_2020!$A$2:$A$52,0)))</f>
        <v>0</v>
      </c>
      <c r="AJ114" s="75">
        <f t="array" ref="AJ114">IF(ISERROR(index(Res_SF_Homes_RECS_2020!$D$2:$D$52,match($B114&amp;AJ$2,Res_SF_Homes_RECS_2020!$B$2:$B$52&amp;Res_SF_Homes_RECS_2020!$A$2:$A$52,0))),0,index(Res_SF_Homes_RECS_2020!$D$2:$D$52,match($B114&amp;AJ$2,Res_SF_Homes_RECS_2020!$B$2:$B$52&amp;Res_SF_Homes_RECS_2020!$A$2:$A$52,0)))</f>
        <v>0</v>
      </c>
      <c r="AK114" s="75">
        <f t="array" ref="AK114">IF(ISERROR(index(Res_SF_Homes_RECS_2020!$D$2:$D$52,match($B114&amp;AK$2,Res_SF_Homes_RECS_2020!$B$2:$B$52&amp;Res_SF_Homes_RECS_2020!$A$2:$A$52,0))),0,index(Res_SF_Homes_RECS_2020!$D$2:$D$52,match($B114&amp;AK$2,Res_SF_Homes_RECS_2020!$B$2:$B$52&amp;Res_SF_Homes_RECS_2020!$A$2:$A$52,0)))</f>
        <v>0</v>
      </c>
      <c r="AL114" s="75">
        <f t="array" ref="AL114">IF(ISERROR(index(Res_SF_Homes_RECS_2020!$D$2:$D$52,match($B114&amp;AL$2,Res_SF_Homes_RECS_2020!$B$2:$B$52&amp;Res_SF_Homes_RECS_2020!$A$2:$A$52,0))),0,index(Res_SF_Homes_RECS_2020!$D$2:$D$52,match($B114&amp;AL$2,Res_SF_Homes_RECS_2020!$B$2:$B$52&amp;Res_SF_Homes_RECS_2020!$A$2:$A$52,0)))</f>
        <v>0</v>
      </c>
      <c r="AM114" s="75">
        <f t="array" ref="AM114">IF(ISERROR(index(Res_SF_Homes_RECS_2020!$D$2:$D$52,match($B114&amp;AM$2,Res_SF_Homes_RECS_2020!$B$2:$B$52&amp;Res_SF_Homes_RECS_2020!$A$2:$A$52,0))),0,index(Res_SF_Homes_RECS_2020!$D$2:$D$52,match($B114&amp;AM$2,Res_SF_Homes_RECS_2020!$B$2:$B$52&amp;Res_SF_Homes_RECS_2020!$A$2:$A$52,0)))</f>
        <v>0</v>
      </c>
      <c r="AN114" s="75">
        <f t="array" ref="AN114">IF(ISERROR(index(Res_SF_Homes_RECS_2020!$D$2:$D$52,match($B114&amp;AN$2,Res_SF_Homes_RECS_2020!$B$2:$B$52&amp;Res_SF_Homes_RECS_2020!$A$2:$A$52,0))),0,index(Res_SF_Homes_RECS_2020!$D$2:$D$52,match($B114&amp;AN$2,Res_SF_Homes_RECS_2020!$B$2:$B$52&amp;Res_SF_Homes_RECS_2020!$A$2:$A$52,0)))</f>
        <v>0</v>
      </c>
      <c r="AO114" s="75">
        <f t="array" ref="AO114">IF(ISERROR(index(Res_SF_Homes_RECS_2020!$D$2:$D$52,match($B114&amp;AO$2,Res_SF_Homes_RECS_2020!$B$2:$B$52&amp;Res_SF_Homes_RECS_2020!$A$2:$A$52,0))),0,index(Res_SF_Homes_RECS_2020!$D$2:$D$52,match($B114&amp;AO$2,Res_SF_Homes_RECS_2020!$B$2:$B$52&amp;Res_SF_Homes_RECS_2020!$A$2:$A$52,0)))</f>
        <v>0</v>
      </c>
      <c r="AP114" s="75">
        <f t="array" ref="AP114">IF(ISERROR(index(Res_SF_Homes_RECS_2020!$D$2:$D$52,match($B114&amp;AP$2,Res_SF_Homes_RECS_2020!$B$2:$B$52&amp;Res_SF_Homes_RECS_2020!$A$2:$A$52,0))),0,index(Res_SF_Homes_RECS_2020!$D$2:$D$52,match($B114&amp;AP$2,Res_SF_Homes_RECS_2020!$B$2:$B$52&amp;Res_SF_Homes_RECS_2020!$A$2:$A$52,0)))</f>
        <v>0</v>
      </c>
      <c r="AQ114" s="75">
        <f t="array" ref="AQ114">IF(ISERROR(index(Res_SF_Homes_RECS_2020!$D$2:$D$52,match($B114&amp;AQ$2,Res_SF_Homes_RECS_2020!$B$2:$B$52&amp;Res_SF_Homes_RECS_2020!$A$2:$A$52,0))),0,index(Res_SF_Homes_RECS_2020!$D$2:$D$52,match($B114&amp;AQ$2,Res_SF_Homes_RECS_2020!$B$2:$B$52&amp;Res_SF_Homes_RECS_2020!$A$2:$A$52,0)))</f>
        <v>0</v>
      </c>
      <c r="AR114" s="75">
        <f t="array" ref="AR114">IF(ISERROR(index(Res_SF_Homes_RECS_2020!$D$2:$D$52,match($B114&amp;AR$2,Res_SF_Homes_RECS_2020!$B$2:$B$52&amp;Res_SF_Homes_RECS_2020!$A$2:$A$52,0))),0,index(Res_SF_Homes_RECS_2020!$D$2:$D$52,match($B114&amp;AR$2,Res_SF_Homes_RECS_2020!$B$2:$B$52&amp;Res_SF_Homes_RECS_2020!$A$2:$A$52,0)))</f>
        <v>0</v>
      </c>
      <c r="AS114" s="75">
        <f t="array" ref="AS114">IF(ISERROR(index(Res_SF_Homes_RECS_2020!$D$2:$D$52,match($B114&amp;AS$2,Res_SF_Homes_RECS_2020!$B$2:$B$52&amp;Res_SF_Homes_RECS_2020!$A$2:$A$52,0))),0,index(Res_SF_Homes_RECS_2020!$D$2:$D$52,match($B114&amp;AS$2,Res_SF_Homes_RECS_2020!$B$2:$B$52&amp;Res_SF_Homes_RECS_2020!$A$2:$A$52,0)))</f>
        <v>2.66</v>
      </c>
      <c r="AT114" s="75">
        <f t="array" ref="AT114">IF(ISERROR(index(Res_SF_Homes_RECS_2020!$D$2:$D$52,match($B114&amp;AT$2,Res_SF_Homes_RECS_2020!$B$2:$B$52&amp;Res_SF_Homes_RECS_2020!$A$2:$A$52,0))),0,index(Res_SF_Homes_RECS_2020!$D$2:$D$52,match($B114&amp;AT$2,Res_SF_Homes_RECS_2020!$B$2:$B$52&amp;Res_SF_Homes_RECS_2020!$A$2:$A$52,0)))</f>
        <v>0</v>
      </c>
      <c r="AU114" s="75">
        <f t="array" ref="AU114">IF(ISERROR(index(Res_SF_Homes_RECS_2020!$D$2:$D$52,match($B114&amp;AU$2,Res_SF_Homes_RECS_2020!$B$2:$B$52&amp;Res_SF_Homes_RECS_2020!$A$2:$A$52,0))),0,index(Res_SF_Homes_RECS_2020!$D$2:$D$52,match($B114&amp;AU$2,Res_SF_Homes_RECS_2020!$B$2:$B$52&amp;Res_SF_Homes_RECS_2020!$A$2:$A$52,0)))</f>
        <v>0</v>
      </c>
      <c r="AV114" s="75">
        <f t="array" ref="AV114">IF(ISERROR(index(Res_SF_Homes_RECS_2020!$D$2:$D$52,match($B114&amp;AV$2,Res_SF_Homes_RECS_2020!$B$2:$B$52&amp;Res_SF_Homes_RECS_2020!$A$2:$A$52,0))),0,index(Res_SF_Homes_RECS_2020!$D$2:$D$52,match($B114&amp;AV$2,Res_SF_Homes_RECS_2020!$B$2:$B$52&amp;Res_SF_Homes_RECS_2020!$A$2:$A$52,0)))</f>
        <v>0</v>
      </c>
      <c r="AW114" s="75">
        <f t="array" ref="AW114">IF(ISERROR(index(Res_SF_Homes_RECS_2020!$D$2:$D$52,match($B114&amp;AW$2,Res_SF_Homes_RECS_2020!$B$2:$B$52&amp;Res_SF_Homes_RECS_2020!$A$2:$A$52,0))),0,index(Res_SF_Homes_RECS_2020!$D$2:$D$52,match($B114&amp;AW$2,Res_SF_Homes_RECS_2020!$B$2:$B$52&amp;Res_SF_Homes_RECS_2020!$A$2:$A$52,0)))</f>
        <v>0</v>
      </c>
      <c r="AX114" s="75">
        <f t="array" ref="AX114">IF(ISERROR(index(Res_SF_Homes_RECS_2020!$D$2:$D$52,match($B114&amp;AX$2,Res_SF_Homes_RECS_2020!$B$2:$B$52&amp;Res_SF_Homes_RECS_2020!$A$2:$A$52,0))),0,index(Res_SF_Homes_RECS_2020!$D$2:$D$52,match($B114&amp;AX$2,Res_SF_Homes_RECS_2020!$B$2:$B$52&amp;Res_SF_Homes_RECS_2020!$A$2:$A$52,0)))</f>
        <v>0</v>
      </c>
      <c r="AY114" s="75">
        <f t="array" ref="AY114">IF(ISERROR(index(Res_SF_Homes_RECS_2020!$D$2:$D$52,match($B114&amp;AY$2,Res_SF_Homes_RECS_2020!$B$2:$B$52&amp;Res_SF_Homes_RECS_2020!$A$2:$A$52,0))),0,index(Res_SF_Homes_RECS_2020!$D$2:$D$52,match($B114&amp;AY$2,Res_SF_Homes_RECS_2020!$B$2:$B$52&amp;Res_SF_Homes_RECS_2020!$A$2:$A$52,0)))</f>
        <v>0</v>
      </c>
      <c r="AZ114" s="75">
        <f t="array" ref="AZ114">IF(ISERROR(index(Res_SF_Homes_RECS_2020!$D$2:$D$52,match($B114&amp;AZ$2,Res_SF_Homes_RECS_2020!$B$2:$B$52&amp;Res_SF_Homes_RECS_2020!$A$2:$A$52,0))),0,index(Res_SF_Homes_RECS_2020!$D$2:$D$52,match($B114&amp;AZ$2,Res_SF_Homes_RECS_2020!$B$2:$B$52&amp;Res_SF_Homes_RECS_2020!$A$2:$A$52,0)))</f>
        <v>0</v>
      </c>
      <c r="BA114" s="75">
        <f t="array" ref="BA114">IF(ISERROR(index(Res_SF_Homes_RECS_2020!$D$2:$D$52,match($B114&amp;BA$2,Res_SF_Homes_RECS_2020!$B$2:$B$52&amp;Res_SF_Homes_RECS_2020!$A$2:$A$52,0))),0,index(Res_SF_Homes_RECS_2020!$D$2:$D$52,match($B114&amp;BA$2,Res_SF_Homes_RECS_2020!$B$2:$B$52&amp;Res_SF_Homes_RECS_2020!$A$2:$A$52,0)))</f>
        <v>0</v>
      </c>
      <c r="BB114" s="74">
        <f t="shared" si="17"/>
        <v>7.38</v>
      </c>
    </row>
    <row r="115" ht="15.75" customHeight="1">
      <c r="A115" s="78"/>
      <c r="B115" s="74">
        <v>7.0</v>
      </c>
      <c r="C115" s="75">
        <f t="array" ref="C115">IF(ISERROR(index(Res_SF_Homes_RECS_2020!$D$2:$D$52,match($B115&amp;C$2,Res_SF_Homes_RECS_2020!$B$2:$B$52&amp;Res_SF_Homes_RECS_2020!$A$2:$A$52,0))),0,index(Res_SF_Homes_RECS_2020!$D$2:$D$52,match($B115&amp;C$2,Res_SF_Homes_RECS_2020!$B$2:$B$52&amp;Res_SF_Homes_RECS_2020!$A$2:$A$52,0)))</f>
        <v>0</v>
      </c>
      <c r="D115" s="75">
        <f t="array" ref="D115">IF(ISERROR(index(Res_SF_Homes_RECS_2020!$D$2:$D$52,match($B115&amp;D$2,Res_SF_Homes_RECS_2020!$B$2:$B$52&amp;Res_SF_Homes_RECS_2020!$A$2:$A$52,0))),0,index(Res_SF_Homes_RECS_2020!$D$2:$D$52,match($B115&amp;D$2,Res_SF_Homes_RECS_2020!$B$2:$B$52&amp;Res_SF_Homes_RECS_2020!$A$2:$A$52,0)))</f>
        <v>0</v>
      </c>
      <c r="E115" s="75">
        <f t="array" ref="E115">IF(ISERROR(index(Res_SF_Homes_RECS_2020!$D$2:$D$52,match($B115&amp;E$2,Res_SF_Homes_RECS_2020!$B$2:$B$52&amp;Res_SF_Homes_RECS_2020!$A$2:$A$52,0))),0,index(Res_SF_Homes_RECS_2020!$D$2:$D$52,match($B115&amp;E$2,Res_SF_Homes_RECS_2020!$B$2:$B$52&amp;Res_SF_Homes_RECS_2020!$A$2:$A$52,0)))</f>
        <v>0</v>
      </c>
      <c r="F115" s="75">
        <f t="array" ref="F115">IF(ISERROR(index(Res_SF_Homes_RECS_2020!$D$2:$D$52,match($B115&amp;F$2,Res_SF_Homes_RECS_2020!$B$2:$B$52&amp;Res_SF_Homes_RECS_2020!$A$2:$A$52,0))),0,index(Res_SF_Homes_RECS_2020!$D$2:$D$52,match($B115&amp;F$2,Res_SF_Homes_RECS_2020!$B$2:$B$52&amp;Res_SF_Homes_RECS_2020!$A$2:$A$52,0)))</f>
        <v>1.14</v>
      </c>
      <c r="G115" s="75">
        <f t="array" ref="G115">IF(ISERROR(index(Res_SF_Homes_RECS_2020!$D$2:$D$52,match($B115&amp;G$2,Res_SF_Homes_RECS_2020!$B$2:$B$52&amp;Res_SF_Homes_RECS_2020!$A$2:$A$52,0))),0,index(Res_SF_Homes_RECS_2020!$D$2:$D$52,match($B115&amp;G$2,Res_SF_Homes_RECS_2020!$B$2:$B$52&amp;Res_SF_Homes_RECS_2020!$A$2:$A$52,0)))</f>
        <v>0</v>
      </c>
      <c r="H115" s="75">
        <f t="array" ref="H115">IF(ISERROR(index(Res_SF_Homes_RECS_2020!$D$2:$D$52,match($B115&amp;H$2,Res_SF_Homes_RECS_2020!$B$2:$B$52&amp;Res_SF_Homes_RECS_2020!$A$2:$A$52,0))),0,index(Res_SF_Homes_RECS_2020!$D$2:$D$52,match($B115&amp;H$2,Res_SF_Homes_RECS_2020!$B$2:$B$52&amp;Res_SF_Homes_RECS_2020!$A$2:$A$52,0)))</f>
        <v>0</v>
      </c>
      <c r="I115" s="75">
        <f t="array" ref="I115">IF(ISERROR(index(Res_SF_Homes_RECS_2020!$D$2:$D$52,match($B115&amp;I$2,Res_SF_Homes_RECS_2020!$B$2:$B$52&amp;Res_SF_Homes_RECS_2020!$A$2:$A$52,0))),0,index(Res_SF_Homes_RECS_2020!$D$2:$D$52,match($B115&amp;I$2,Res_SF_Homes_RECS_2020!$B$2:$B$52&amp;Res_SF_Homes_RECS_2020!$A$2:$A$52,0)))</f>
        <v>0</v>
      </c>
      <c r="J115" s="75">
        <f t="array" ref="J115">IF(ISERROR(index(Res_SF_Homes_RECS_2020!$D$2:$D$52,match($B115&amp;J$2,Res_SF_Homes_RECS_2020!$B$2:$B$52&amp;Res_SF_Homes_RECS_2020!$A$2:$A$52,0))),0,index(Res_SF_Homes_RECS_2020!$D$2:$D$52,match($B115&amp;J$2,Res_SF_Homes_RECS_2020!$B$2:$B$52&amp;Res_SF_Homes_RECS_2020!$A$2:$A$52,0)))</f>
        <v>0</v>
      </c>
      <c r="K115" s="75">
        <f t="array" ref="K115">IF(ISERROR(index(Res_SF_Homes_RECS_2020!$D$2:$D$52,match($B115&amp;K$2,Res_SF_Homes_RECS_2020!$B$2:$B$52&amp;Res_SF_Homes_RECS_2020!$A$2:$A$52,0))),0,index(Res_SF_Homes_RECS_2020!$D$2:$D$52,match($B115&amp;K$2,Res_SF_Homes_RECS_2020!$B$2:$B$52&amp;Res_SF_Homes_RECS_2020!$A$2:$A$52,0)))</f>
        <v>0</v>
      </c>
      <c r="L115" s="75">
        <f t="array" ref="L115">IF(ISERROR(index(Res_SF_Homes_RECS_2020!$D$2:$D$52,match($B115&amp;L$2,Res_SF_Homes_RECS_2020!$B$2:$B$52&amp;Res_SF_Homes_RECS_2020!$A$2:$A$52,0))),0,index(Res_SF_Homes_RECS_2020!$D$2:$D$52,match($B115&amp;L$2,Res_SF_Homes_RECS_2020!$B$2:$B$52&amp;Res_SF_Homes_RECS_2020!$A$2:$A$52,0)))</f>
        <v>0</v>
      </c>
      <c r="M115" s="75">
        <f t="array" ref="M115">IF(ISERROR(index(Res_SF_Homes_RECS_2020!$D$2:$D$52,match($B115&amp;M$2,Res_SF_Homes_RECS_2020!$B$2:$B$52&amp;Res_SF_Homes_RECS_2020!$A$2:$A$52,0))),0,index(Res_SF_Homes_RECS_2020!$D$2:$D$52,match($B115&amp;M$2,Res_SF_Homes_RECS_2020!$B$2:$B$52&amp;Res_SF_Homes_RECS_2020!$A$2:$A$52,0)))</f>
        <v>0</v>
      </c>
      <c r="N115" s="75">
        <f t="array" ref="N115">IF(ISERROR(index(Res_SF_Homes_RECS_2020!$D$2:$D$52,match($B115&amp;N$2,Res_SF_Homes_RECS_2020!$B$2:$B$52&amp;Res_SF_Homes_RECS_2020!$A$2:$A$52,0))),0,index(Res_SF_Homes_RECS_2020!$D$2:$D$52,match($B115&amp;N$2,Res_SF_Homes_RECS_2020!$B$2:$B$52&amp;Res_SF_Homes_RECS_2020!$A$2:$A$52,0)))</f>
        <v>0</v>
      </c>
      <c r="O115" s="75">
        <f t="array" ref="O115">IF(ISERROR(index(Res_SF_Homes_RECS_2020!$D$2:$D$52,match($B115&amp;O$2,Res_SF_Homes_RECS_2020!$B$2:$B$52&amp;Res_SF_Homes_RECS_2020!$A$2:$A$52,0))),0,index(Res_SF_Homes_RECS_2020!$D$2:$D$52,match($B115&amp;O$2,Res_SF_Homes_RECS_2020!$B$2:$B$52&amp;Res_SF_Homes_RECS_2020!$A$2:$A$52,0)))</f>
        <v>0</v>
      </c>
      <c r="P115" s="75">
        <f t="array" ref="P115">IF(ISERROR(index(Res_SF_Homes_RECS_2020!$D$2:$D$52,match($B115&amp;P$2,Res_SF_Homes_RECS_2020!$B$2:$B$52&amp;Res_SF_Homes_RECS_2020!$A$2:$A$52,0))),0,index(Res_SF_Homes_RECS_2020!$D$2:$D$52,match($B115&amp;P$2,Res_SF_Homes_RECS_2020!$B$2:$B$52&amp;Res_SF_Homes_RECS_2020!$A$2:$A$52,0)))</f>
        <v>0</v>
      </c>
      <c r="Q115" s="75">
        <f t="array" ref="Q115">IF(ISERROR(index(Res_SF_Homes_RECS_2020!$D$2:$D$52,match($B115&amp;Q$2,Res_SF_Homes_RECS_2020!$B$2:$B$52&amp;Res_SF_Homes_RECS_2020!$A$2:$A$52,0))),0,index(Res_SF_Homes_RECS_2020!$D$2:$D$52,match($B115&amp;Q$2,Res_SF_Homes_RECS_2020!$B$2:$B$52&amp;Res_SF_Homes_RECS_2020!$A$2:$A$52,0)))</f>
        <v>0</v>
      </c>
      <c r="R115" s="75">
        <f t="array" ref="R115">IF(ISERROR(index(Res_SF_Homes_RECS_2020!$D$2:$D$52,match($B115&amp;R$2,Res_SF_Homes_RECS_2020!$B$2:$B$52&amp;Res_SF_Homes_RECS_2020!$A$2:$A$52,0))),0,index(Res_SF_Homes_RECS_2020!$D$2:$D$52,match($B115&amp;R$2,Res_SF_Homes_RECS_2020!$B$2:$B$52&amp;Res_SF_Homes_RECS_2020!$A$2:$A$52,0)))</f>
        <v>0</v>
      </c>
      <c r="S115" s="75">
        <f t="array" ref="S115">IF(ISERROR(index(Res_SF_Homes_RECS_2020!$D$2:$D$52,match($B115&amp;S$2,Res_SF_Homes_RECS_2020!$B$2:$B$52&amp;Res_SF_Homes_RECS_2020!$A$2:$A$52,0))),0,index(Res_SF_Homes_RECS_2020!$D$2:$D$52,match($B115&amp;S$2,Res_SF_Homes_RECS_2020!$B$2:$B$52&amp;Res_SF_Homes_RECS_2020!$A$2:$A$52,0)))</f>
        <v>0</v>
      </c>
      <c r="T115" s="75">
        <f t="array" ref="T115">IF(ISERROR(index(Res_SF_Homes_RECS_2020!$D$2:$D$52,match($B115&amp;T$2,Res_SF_Homes_RECS_2020!$B$2:$B$52&amp;Res_SF_Homes_RECS_2020!$A$2:$A$52,0))),0,index(Res_SF_Homes_RECS_2020!$D$2:$D$52,match($B115&amp;T$2,Res_SF_Homes_RECS_2020!$B$2:$B$52&amp;Res_SF_Homes_RECS_2020!$A$2:$A$52,0)))</f>
        <v>0</v>
      </c>
      <c r="U115" s="75">
        <f t="array" ref="U115">IF(ISERROR(index(Res_SF_Homes_RECS_2020!$D$2:$D$52,match($B115&amp;U$2,Res_SF_Homes_RECS_2020!$B$2:$B$52&amp;Res_SF_Homes_RECS_2020!$A$2:$A$52,0))),0,index(Res_SF_Homes_RECS_2020!$D$2:$D$52,match($B115&amp;U$2,Res_SF_Homes_RECS_2020!$B$2:$B$52&amp;Res_SF_Homes_RECS_2020!$A$2:$A$52,0)))</f>
        <v>1.73</v>
      </c>
      <c r="V115" s="75">
        <f t="array" ref="V115">IF(ISERROR(index(Res_SF_Homes_RECS_2020!$D$2:$D$52,match($B115&amp;V$2,Res_SF_Homes_RECS_2020!$B$2:$B$52&amp;Res_SF_Homes_RECS_2020!$A$2:$A$52,0))),0,index(Res_SF_Homes_RECS_2020!$D$2:$D$52,match($B115&amp;V$2,Res_SF_Homes_RECS_2020!$B$2:$B$52&amp;Res_SF_Homes_RECS_2020!$A$2:$A$52,0)))</f>
        <v>0</v>
      </c>
      <c r="W115" s="75">
        <f t="array" ref="W115">IF(ISERROR(index(Res_SF_Homes_RECS_2020!$D$2:$D$52,match($B115&amp;W$2,Res_SF_Homes_RECS_2020!$B$2:$B$52&amp;Res_SF_Homes_RECS_2020!$A$2:$A$52,0))),0,index(Res_SF_Homes_RECS_2020!$D$2:$D$52,match($B115&amp;W$2,Res_SF_Homes_RECS_2020!$B$2:$B$52&amp;Res_SF_Homes_RECS_2020!$A$2:$A$52,0)))</f>
        <v>0</v>
      </c>
      <c r="X115" s="75">
        <f t="array" ref="X115">IF(ISERROR(index(Res_SF_Homes_RECS_2020!$D$2:$D$52,match($B115&amp;X$2,Res_SF_Homes_RECS_2020!$B$2:$B$52&amp;Res_SF_Homes_RECS_2020!$A$2:$A$52,0))),0,index(Res_SF_Homes_RECS_2020!$D$2:$D$52,match($B115&amp;X$2,Res_SF_Homes_RECS_2020!$B$2:$B$52&amp;Res_SF_Homes_RECS_2020!$A$2:$A$52,0)))</f>
        <v>0</v>
      </c>
      <c r="Y115" s="75">
        <f t="array" ref="Y115">IF(ISERROR(index(Res_SF_Homes_RECS_2020!$D$2:$D$52,match($B115&amp;Y$2,Res_SF_Homes_RECS_2020!$B$2:$B$52&amp;Res_SF_Homes_RECS_2020!$A$2:$A$52,0))),0,index(Res_SF_Homes_RECS_2020!$D$2:$D$52,match($B115&amp;Y$2,Res_SF_Homes_RECS_2020!$B$2:$B$52&amp;Res_SF_Homes_RECS_2020!$A$2:$A$52,0)))</f>
        <v>0</v>
      </c>
      <c r="Z115" s="75">
        <f t="array" ref="Z115">IF(ISERROR(index(Res_SF_Homes_RECS_2020!$D$2:$D$52,match($B115&amp;Z$2,Res_SF_Homes_RECS_2020!$B$2:$B$52&amp;Res_SF_Homes_RECS_2020!$A$2:$A$52,0))),0,index(Res_SF_Homes_RECS_2020!$D$2:$D$52,match($B115&amp;Z$2,Res_SF_Homes_RECS_2020!$B$2:$B$52&amp;Res_SF_Homes_RECS_2020!$A$2:$A$52,0)))</f>
        <v>0</v>
      </c>
      <c r="AA115" s="75">
        <f t="array" ref="AA115">IF(ISERROR(index(Res_SF_Homes_RECS_2020!$D$2:$D$52,match($B115&amp;AA$2,Res_SF_Homes_RECS_2020!$B$2:$B$52&amp;Res_SF_Homes_RECS_2020!$A$2:$A$52,0))),0,index(Res_SF_Homes_RECS_2020!$D$2:$D$52,match($B115&amp;AA$2,Res_SF_Homes_RECS_2020!$B$2:$B$52&amp;Res_SF_Homes_RECS_2020!$A$2:$A$52,0)))</f>
        <v>0</v>
      </c>
      <c r="AB115" s="75">
        <f t="array" ref="AB115">IF(ISERROR(index(Res_SF_Homes_RECS_2020!$D$2:$D$52,match($B115&amp;AB$2,Res_SF_Homes_RECS_2020!$B$2:$B$52&amp;Res_SF_Homes_RECS_2020!$A$2:$A$52,0))),0,index(Res_SF_Homes_RECS_2020!$D$2:$D$52,match($B115&amp;AB$2,Res_SF_Homes_RECS_2020!$B$2:$B$52&amp;Res_SF_Homes_RECS_2020!$A$2:$A$52,0)))</f>
        <v>0</v>
      </c>
      <c r="AC115" s="75">
        <f t="array" ref="AC115">IF(ISERROR(index(Res_SF_Homes_RECS_2020!$D$2:$D$52,match($B115&amp;AC$2,Res_SF_Homes_RECS_2020!$B$2:$B$52&amp;Res_SF_Homes_RECS_2020!$A$2:$A$52,0))),0,index(Res_SF_Homes_RECS_2020!$D$2:$D$52,match($B115&amp;AC$2,Res_SF_Homes_RECS_2020!$B$2:$B$52&amp;Res_SF_Homes_RECS_2020!$A$2:$A$52,0)))</f>
        <v>0</v>
      </c>
      <c r="AD115" s="75">
        <f t="array" ref="AD115">IF(ISERROR(index(Res_SF_Homes_RECS_2020!$D$2:$D$52,match($B115&amp;AD$2,Res_SF_Homes_RECS_2020!$B$2:$B$52&amp;Res_SF_Homes_RECS_2020!$A$2:$A$52,0))),0,index(Res_SF_Homes_RECS_2020!$D$2:$D$52,match($B115&amp;AD$2,Res_SF_Homes_RECS_2020!$B$2:$B$52&amp;Res_SF_Homes_RECS_2020!$A$2:$A$52,0)))</f>
        <v>0</v>
      </c>
      <c r="AE115" s="75">
        <f t="array" ref="AE115">IF(ISERROR(index(Res_SF_Homes_RECS_2020!$D$2:$D$52,match($B115&amp;AE$2,Res_SF_Homes_RECS_2020!$B$2:$B$52&amp;Res_SF_Homes_RECS_2020!$A$2:$A$52,0))),0,index(Res_SF_Homes_RECS_2020!$D$2:$D$52,match($B115&amp;AE$2,Res_SF_Homes_RECS_2020!$B$2:$B$52&amp;Res_SF_Homes_RECS_2020!$A$2:$A$52,0)))</f>
        <v>0</v>
      </c>
      <c r="AF115" s="75">
        <f t="array" ref="AF115">IF(ISERROR(index(Res_SF_Homes_RECS_2020!$D$2:$D$52,match($B115&amp;AF$2,Res_SF_Homes_RECS_2020!$B$2:$B$52&amp;Res_SF_Homes_RECS_2020!$A$2:$A$52,0))),0,index(Res_SF_Homes_RECS_2020!$D$2:$D$52,match($B115&amp;AF$2,Res_SF_Homes_RECS_2020!$B$2:$B$52&amp;Res_SF_Homes_RECS_2020!$A$2:$A$52,0)))</f>
        <v>0</v>
      </c>
      <c r="AG115" s="75">
        <f t="array" ref="AG115">IF(ISERROR(index(Res_SF_Homes_RECS_2020!$D$2:$D$52,match($B115&amp;AG$2,Res_SF_Homes_RECS_2020!$B$2:$B$52&amp;Res_SF_Homes_RECS_2020!$A$2:$A$52,0))),0,index(Res_SF_Homes_RECS_2020!$D$2:$D$52,match($B115&amp;AG$2,Res_SF_Homes_RECS_2020!$B$2:$B$52&amp;Res_SF_Homes_RECS_2020!$A$2:$A$52,0)))</f>
        <v>0</v>
      </c>
      <c r="AH115" s="75">
        <f t="array" ref="AH115">IF(ISERROR(index(Res_SF_Homes_RECS_2020!$D$2:$D$52,match($B115&amp;AH$2,Res_SF_Homes_RECS_2020!$B$2:$B$52&amp;Res_SF_Homes_RECS_2020!$A$2:$A$52,0))),0,index(Res_SF_Homes_RECS_2020!$D$2:$D$52,match($B115&amp;AH$2,Res_SF_Homes_RECS_2020!$B$2:$B$52&amp;Res_SF_Homes_RECS_2020!$A$2:$A$52,0)))</f>
        <v>0</v>
      </c>
      <c r="AI115" s="75">
        <f t="array" ref="AI115">IF(ISERROR(index(Res_SF_Homes_RECS_2020!$D$2:$D$52,match($B115&amp;AI$2,Res_SF_Homes_RECS_2020!$B$2:$B$52&amp;Res_SF_Homes_RECS_2020!$A$2:$A$52,0))),0,index(Res_SF_Homes_RECS_2020!$D$2:$D$52,match($B115&amp;AI$2,Res_SF_Homes_RECS_2020!$B$2:$B$52&amp;Res_SF_Homes_RECS_2020!$A$2:$A$52,0)))</f>
        <v>0</v>
      </c>
      <c r="AJ115" s="75">
        <f t="array" ref="AJ115">IF(ISERROR(index(Res_SF_Homes_RECS_2020!$D$2:$D$52,match($B115&amp;AJ$2,Res_SF_Homes_RECS_2020!$B$2:$B$52&amp;Res_SF_Homes_RECS_2020!$A$2:$A$52,0))),0,index(Res_SF_Homes_RECS_2020!$D$2:$D$52,match($B115&amp;AJ$2,Res_SF_Homes_RECS_2020!$B$2:$B$52&amp;Res_SF_Homes_RECS_2020!$A$2:$A$52,0)))</f>
        <v>0</v>
      </c>
      <c r="AK115" s="75">
        <f t="array" ref="AK115">IF(ISERROR(index(Res_SF_Homes_RECS_2020!$D$2:$D$52,match($B115&amp;AK$2,Res_SF_Homes_RECS_2020!$B$2:$B$52&amp;Res_SF_Homes_RECS_2020!$A$2:$A$52,0))),0,index(Res_SF_Homes_RECS_2020!$D$2:$D$52,match($B115&amp;AK$2,Res_SF_Homes_RECS_2020!$B$2:$B$52&amp;Res_SF_Homes_RECS_2020!$A$2:$A$52,0)))</f>
        <v>0</v>
      </c>
      <c r="AL115" s="75">
        <f t="array" ref="AL115">IF(ISERROR(index(Res_SF_Homes_RECS_2020!$D$2:$D$52,match($B115&amp;AL$2,Res_SF_Homes_RECS_2020!$B$2:$B$52&amp;Res_SF_Homes_RECS_2020!$A$2:$A$52,0))),0,index(Res_SF_Homes_RECS_2020!$D$2:$D$52,match($B115&amp;AL$2,Res_SF_Homes_RECS_2020!$B$2:$B$52&amp;Res_SF_Homes_RECS_2020!$A$2:$A$52,0)))</f>
        <v>0</v>
      </c>
      <c r="AM115" s="75">
        <f t="array" ref="AM115">IF(ISERROR(index(Res_SF_Homes_RECS_2020!$D$2:$D$52,match($B115&amp;AM$2,Res_SF_Homes_RECS_2020!$B$2:$B$52&amp;Res_SF_Homes_RECS_2020!$A$2:$A$52,0))),0,index(Res_SF_Homes_RECS_2020!$D$2:$D$52,match($B115&amp;AM$2,Res_SF_Homes_RECS_2020!$B$2:$B$52&amp;Res_SF_Homes_RECS_2020!$A$2:$A$52,0)))</f>
        <v>1.49</v>
      </c>
      <c r="AN115" s="75">
        <f t="array" ref="AN115">IF(ISERROR(index(Res_SF_Homes_RECS_2020!$D$2:$D$52,match($B115&amp;AN$2,Res_SF_Homes_RECS_2020!$B$2:$B$52&amp;Res_SF_Homes_RECS_2020!$A$2:$A$52,0))),0,index(Res_SF_Homes_RECS_2020!$D$2:$D$52,match($B115&amp;AN$2,Res_SF_Homes_RECS_2020!$B$2:$B$52&amp;Res_SF_Homes_RECS_2020!$A$2:$A$52,0)))</f>
        <v>0</v>
      </c>
      <c r="AO115" s="75">
        <f t="array" ref="AO115">IF(ISERROR(index(Res_SF_Homes_RECS_2020!$D$2:$D$52,match($B115&amp;AO$2,Res_SF_Homes_RECS_2020!$B$2:$B$52&amp;Res_SF_Homes_RECS_2020!$A$2:$A$52,0))),0,index(Res_SF_Homes_RECS_2020!$D$2:$D$52,match($B115&amp;AO$2,Res_SF_Homes_RECS_2020!$B$2:$B$52&amp;Res_SF_Homes_RECS_2020!$A$2:$A$52,0)))</f>
        <v>0</v>
      </c>
      <c r="AP115" s="75">
        <f t="array" ref="AP115">IF(ISERROR(index(Res_SF_Homes_RECS_2020!$D$2:$D$52,match($B115&amp;AP$2,Res_SF_Homes_RECS_2020!$B$2:$B$52&amp;Res_SF_Homes_RECS_2020!$A$2:$A$52,0))),0,index(Res_SF_Homes_RECS_2020!$D$2:$D$52,match($B115&amp;AP$2,Res_SF_Homes_RECS_2020!$B$2:$B$52&amp;Res_SF_Homes_RECS_2020!$A$2:$A$52,0)))</f>
        <v>0</v>
      </c>
      <c r="AQ115" s="75">
        <f t="array" ref="AQ115">IF(ISERROR(index(Res_SF_Homes_RECS_2020!$D$2:$D$52,match($B115&amp;AQ$2,Res_SF_Homes_RECS_2020!$B$2:$B$52&amp;Res_SF_Homes_RECS_2020!$A$2:$A$52,0))),0,index(Res_SF_Homes_RECS_2020!$D$2:$D$52,match($B115&amp;AQ$2,Res_SF_Homes_RECS_2020!$B$2:$B$52&amp;Res_SF_Homes_RECS_2020!$A$2:$A$52,0)))</f>
        <v>0</v>
      </c>
      <c r="AR115" s="75">
        <f t="array" ref="AR115">IF(ISERROR(index(Res_SF_Homes_RECS_2020!$D$2:$D$52,match($B115&amp;AR$2,Res_SF_Homes_RECS_2020!$B$2:$B$52&amp;Res_SF_Homes_RECS_2020!$A$2:$A$52,0))),0,index(Res_SF_Homes_RECS_2020!$D$2:$D$52,match($B115&amp;AR$2,Res_SF_Homes_RECS_2020!$B$2:$B$52&amp;Res_SF_Homes_RECS_2020!$A$2:$A$52,0)))</f>
        <v>0</v>
      </c>
      <c r="AS115" s="75">
        <f t="array" ref="AS115">IF(ISERROR(index(Res_SF_Homes_RECS_2020!$D$2:$D$52,match($B115&amp;AS$2,Res_SF_Homes_RECS_2020!$B$2:$B$52&amp;Res_SF_Homes_RECS_2020!$A$2:$A$52,0))),0,index(Res_SF_Homes_RECS_2020!$D$2:$D$52,match($B115&amp;AS$2,Res_SF_Homes_RECS_2020!$B$2:$B$52&amp;Res_SF_Homes_RECS_2020!$A$2:$A$52,0)))</f>
        <v>0</v>
      </c>
      <c r="AT115" s="75">
        <f t="array" ref="AT115">IF(ISERROR(index(Res_SF_Homes_RECS_2020!$D$2:$D$52,match($B115&amp;AT$2,Res_SF_Homes_RECS_2020!$B$2:$B$52&amp;Res_SF_Homes_RECS_2020!$A$2:$A$52,0))),0,index(Res_SF_Homes_RECS_2020!$D$2:$D$52,match($B115&amp;AT$2,Res_SF_Homes_RECS_2020!$B$2:$B$52&amp;Res_SF_Homes_RECS_2020!$A$2:$A$52,0)))</f>
        <v>10.26</v>
      </c>
      <c r="AU115" s="75">
        <f t="array" ref="AU115">IF(ISERROR(index(Res_SF_Homes_RECS_2020!$D$2:$D$52,match($B115&amp;AU$2,Res_SF_Homes_RECS_2020!$B$2:$B$52&amp;Res_SF_Homes_RECS_2020!$A$2:$A$52,0))),0,index(Res_SF_Homes_RECS_2020!$D$2:$D$52,match($B115&amp;AU$2,Res_SF_Homes_RECS_2020!$B$2:$B$52&amp;Res_SF_Homes_RECS_2020!$A$2:$A$52,0)))</f>
        <v>0</v>
      </c>
      <c r="AV115" s="75">
        <f t="array" ref="AV115">IF(ISERROR(index(Res_SF_Homes_RECS_2020!$D$2:$D$52,match($B115&amp;AV$2,Res_SF_Homes_RECS_2020!$B$2:$B$52&amp;Res_SF_Homes_RECS_2020!$A$2:$A$52,0))),0,index(Res_SF_Homes_RECS_2020!$D$2:$D$52,match($B115&amp;AV$2,Res_SF_Homes_RECS_2020!$B$2:$B$52&amp;Res_SF_Homes_RECS_2020!$A$2:$A$52,0)))</f>
        <v>0</v>
      </c>
      <c r="AW115" s="75">
        <f t="array" ref="AW115">IF(ISERROR(index(Res_SF_Homes_RECS_2020!$D$2:$D$52,match($B115&amp;AW$2,Res_SF_Homes_RECS_2020!$B$2:$B$52&amp;Res_SF_Homes_RECS_2020!$A$2:$A$52,0))),0,index(Res_SF_Homes_RECS_2020!$D$2:$D$52,match($B115&amp;AW$2,Res_SF_Homes_RECS_2020!$B$2:$B$52&amp;Res_SF_Homes_RECS_2020!$A$2:$A$52,0)))</f>
        <v>0</v>
      </c>
      <c r="AX115" s="75">
        <f t="array" ref="AX115">IF(ISERROR(index(Res_SF_Homes_RECS_2020!$D$2:$D$52,match($B115&amp;AX$2,Res_SF_Homes_RECS_2020!$B$2:$B$52&amp;Res_SF_Homes_RECS_2020!$A$2:$A$52,0))),0,index(Res_SF_Homes_RECS_2020!$D$2:$D$52,match($B115&amp;AX$2,Res_SF_Homes_RECS_2020!$B$2:$B$52&amp;Res_SF_Homes_RECS_2020!$A$2:$A$52,0)))</f>
        <v>0</v>
      </c>
      <c r="AY115" s="75">
        <f t="array" ref="AY115">IF(ISERROR(index(Res_SF_Homes_RECS_2020!$D$2:$D$52,match($B115&amp;AY$2,Res_SF_Homes_RECS_2020!$B$2:$B$52&amp;Res_SF_Homes_RECS_2020!$A$2:$A$52,0))),0,index(Res_SF_Homes_RECS_2020!$D$2:$D$52,match($B115&amp;AY$2,Res_SF_Homes_RECS_2020!$B$2:$B$52&amp;Res_SF_Homes_RECS_2020!$A$2:$A$52,0)))</f>
        <v>0</v>
      </c>
      <c r="AZ115" s="75">
        <f t="array" ref="AZ115">IF(ISERROR(index(Res_SF_Homes_RECS_2020!$D$2:$D$52,match($B115&amp;AZ$2,Res_SF_Homes_RECS_2020!$B$2:$B$52&amp;Res_SF_Homes_RECS_2020!$A$2:$A$52,0))),0,index(Res_SF_Homes_RECS_2020!$D$2:$D$52,match($B115&amp;AZ$2,Res_SF_Homes_RECS_2020!$B$2:$B$52&amp;Res_SF_Homes_RECS_2020!$A$2:$A$52,0)))</f>
        <v>0</v>
      </c>
      <c r="BA115" s="75">
        <f t="array" ref="BA115">IF(ISERROR(index(Res_SF_Homes_RECS_2020!$D$2:$D$52,match($B115&amp;BA$2,Res_SF_Homes_RECS_2020!$B$2:$B$52&amp;Res_SF_Homes_RECS_2020!$A$2:$A$52,0))),0,index(Res_SF_Homes_RECS_2020!$D$2:$D$52,match($B115&amp;BA$2,Res_SF_Homes_RECS_2020!$B$2:$B$52&amp;Res_SF_Homes_RECS_2020!$A$2:$A$52,0)))</f>
        <v>0</v>
      </c>
      <c r="BB115" s="74">
        <f t="shared" si="17"/>
        <v>14.62</v>
      </c>
    </row>
    <row r="116" ht="15.75" customHeight="1">
      <c r="A116" s="78"/>
      <c r="B116" s="74">
        <v>8.0</v>
      </c>
      <c r="C116" s="75">
        <f t="array" ref="C116">IF(ISERROR(index(Res_SF_Homes_RECS_2020!$D$2:$D$52,match($B116&amp;C$2,Res_SF_Homes_RECS_2020!$B$2:$B$52&amp;Res_SF_Homes_RECS_2020!$A$2:$A$52,0))),0,index(Res_SF_Homes_RECS_2020!$D$2:$D$52,match($B116&amp;C$2,Res_SF_Homes_RECS_2020!$B$2:$B$52&amp;Res_SF_Homes_RECS_2020!$A$2:$A$52,0)))</f>
        <v>0</v>
      </c>
      <c r="D116" s="75">
        <f t="array" ref="D116">IF(ISERROR(index(Res_SF_Homes_RECS_2020!$D$2:$D$52,match($B116&amp;D$2,Res_SF_Homes_RECS_2020!$B$2:$B$52&amp;Res_SF_Homes_RECS_2020!$A$2:$A$52,0))),0,index(Res_SF_Homes_RECS_2020!$D$2:$D$52,match($B116&amp;D$2,Res_SF_Homes_RECS_2020!$B$2:$B$52&amp;Res_SF_Homes_RECS_2020!$A$2:$A$52,0)))</f>
        <v>0</v>
      </c>
      <c r="E116" s="75">
        <f t="array" ref="E116">IF(ISERROR(index(Res_SF_Homes_RECS_2020!$D$2:$D$52,match($B116&amp;E$2,Res_SF_Homes_RECS_2020!$B$2:$B$52&amp;Res_SF_Homes_RECS_2020!$A$2:$A$52,0))),0,index(Res_SF_Homes_RECS_2020!$D$2:$D$52,match($B116&amp;E$2,Res_SF_Homes_RECS_2020!$B$2:$B$52&amp;Res_SF_Homes_RECS_2020!$A$2:$A$52,0)))</f>
        <v>2.68</v>
      </c>
      <c r="F116" s="75">
        <f t="array" ref="F116">IF(ISERROR(index(Res_SF_Homes_RECS_2020!$D$2:$D$52,match($B116&amp;F$2,Res_SF_Homes_RECS_2020!$B$2:$B$52&amp;Res_SF_Homes_RECS_2020!$A$2:$A$52,0))),0,index(Res_SF_Homes_RECS_2020!$D$2:$D$52,match($B116&amp;F$2,Res_SF_Homes_RECS_2020!$B$2:$B$52&amp;Res_SF_Homes_RECS_2020!$A$2:$A$52,0)))</f>
        <v>0</v>
      </c>
      <c r="G116" s="75">
        <f t="array" ref="G116">IF(ISERROR(index(Res_SF_Homes_RECS_2020!$D$2:$D$52,match($B116&amp;G$2,Res_SF_Homes_RECS_2020!$B$2:$B$52&amp;Res_SF_Homes_RECS_2020!$A$2:$A$52,0))),0,index(Res_SF_Homes_RECS_2020!$D$2:$D$52,match($B116&amp;G$2,Res_SF_Homes_RECS_2020!$B$2:$B$52&amp;Res_SF_Homes_RECS_2020!$A$2:$A$52,0)))</f>
        <v>0</v>
      </c>
      <c r="H116" s="75">
        <f t="array" ref="H116">IF(ISERROR(index(Res_SF_Homes_RECS_2020!$D$2:$D$52,match($B116&amp;H$2,Res_SF_Homes_RECS_2020!$B$2:$B$52&amp;Res_SF_Homes_RECS_2020!$A$2:$A$52,0))),0,index(Res_SF_Homes_RECS_2020!$D$2:$D$52,match($B116&amp;H$2,Res_SF_Homes_RECS_2020!$B$2:$B$52&amp;Res_SF_Homes_RECS_2020!$A$2:$A$52,0)))</f>
        <v>2.26</v>
      </c>
      <c r="I116" s="75">
        <f t="array" ref="I116">IF(ISERROR(index(Res_SF_Homes_RECS_2020!$D$2:$D$52,match($B116&amp;I$2,Res_SF_Homes_RECS_2020!$B$2:$B$52&amp;Res_SF_Homes_RECS_2020!$A$2:$A$52,0))),0,index(Res_SF_Homes_RECS_2020!$D$2:$D$52,match($B116&amp;I$2,Res_SF_Homes_RECS_2020!$B$2:$B$52&amp;Res_SF_Homes_RECS_2020!$A$2:$A$52,0)))</f>
        <v>0</v>
      </c>
      <c r="J116" s="75">
        <f t="array" ref="J116">IF(ISERROR(index(Res_SF_Homes_RECS_2020!$D$2:$D$52,match($B116&amp;J$2,Res_SF_Homes_RECS_2020!$B$2:$B$52&amp;Res_SF_Homes_RECS_2020!$A$2:$A$52,0))),0,index(Res_SF_Homes_RECS_2020!$D$2:$D$52,match($B116&amp;J$2,Res_SF_Homes_RECS_2020!$B$2:$B$52&amp;Res_SF_Homes_RECS_2020!$A$2:$A$52,0)))</f>
        <v>0</v>
      </c>
      <c r="K116" s="75">
        <f t="array" ref="K116">IF(ISERROR(index(Res_SF_Homes_RECS_2020!$D$2:$D$52,match($B116&amp;K$2,Res_SF_Homes_RECS_2020!$B$2:$B$52&amp;Res_SF_Homes_RECS_2020!$A$2:$A$52,0))),0,index(Res_SF_Homes_RECS_2020!$D$2:$D$52,match($B116&amp;K$2,Res_SF_Homes_RECS_2020!$B$2:$B$52&amp;Res_SF_Homes_RECS_2020!$A$2:$A$52,0)))</f>
        <v>0</v>
      </c>
      <c r="L116" s="75">
        <f t="array" ref="L116">IF(ISERROR(index(Res_SF_Homes_RECS_2020!$D$2:$D$52,match($B116&amp;L$2,Res_SF_Homes_RECS_2020!$B$2:$B$52&amp;Res_SF_Homes_RECS_2020!$A$2:$A$52,0))),0,index(Res_SF_Homes_RECS_2020!$D$2:$D$52,match($B116&amp;L$2,Res_SF_Homes_RECS_2020!$B$2:$B$52&amp;Res_SF_Homes_RECS_2020!$A$2:$A$52,0)))</f>
        <v>0</v>
      </c>
      <c r="M116" s="75">
        <f t="array" ref="M116">IF(ISERROR(index(Res_SF_Homes_RECS_2020!$D$2:$D$52,match($B116&amp;M$2,Res_SF_Homes_RECS_2020!$B$2:$B$52&amp;Res_SF_Homes_RECS_2020!$A$2:$A$52,0))),0,index(Res_SF_Homes_RECS_2020!$D$2:$D$52,match($B116&amp;M$2,Res_SF_Homes_RECS_2020!$B$2:$B$52&amp;Res_SF_Homes_RECS_2020!$A$2:$A$52,0)))</f>
        <v>0</v>
      </c>
      <c r="N116" s="75">
        <f t="array" ref="N116">IF(ISERROR(index(Res_SF_Homes_RECS_2020!$D$2:$D$52,match($B116&amp;N$2,Res_SF_Homes_RECS_2020!$B$2:$B$52&amp;Res_SF_Homes_RECS_2020!$A$2:$A$52,0))),0,index(Res_SF_Homes_RECS_2020!$D$2:$D$52,match($B116&amp;N$2,Res_SF_Homes_RECS_2020!$B$2:$B$52&amp;Res_SF_Homes_RECS_2020!$A$2:$A$52,0)))</f>
        <v>0</v>
      </c>
      <c r="O116" s="75">
        <f t="array" ref="O116">IF(ISERROR(index(Res_SF_Homes_RECS_2020!$D$2:$D$52,match($B116&amp;O$2,Res_SF_Homes_RECS_2020!$B$2:$B$52&amp;Res_SF_Homes_RECS_2020!$A$2:$A$52,0))),0,index(Res_SF_Homes_RECS_2020!$D$2:$D$52,match($B116&amp;O$2,Res_SF_Homes_RECS_2020!$B$2:$B$52&amp;Res_SF_Homes_RECS_2020!$A$2:$A$52,0)))</f>
        <v>0.66</v>
      </c>
      <c r="P116" s="75">
        <f t="array" ref="P116">IF(ISERROR(index(Res_SF_Homes_RECS_2020!$D$2:$D$52,match($B116&amp;P$2,Res_SF_Homes_RECS_2020!$B$2:$B$52&amp;Res_SF_Homes_RECS_2020!$A$2:$A$52,0))),0,index(Res_SF_Homes_RECS_2020!$D$2:$D$52,match($B116&amp;P$2,Res_SF_Homes_RECS_2020!$B$2:$B$52&amp;Res_SF_Homes_RECS_2020!$A$2:$A$52,0)))</f>
        <v>0</v>
      </c>
      <c r="Q116" s="75">
        <f t="array" ref="Q116">IF(ISERROR(index(Res_SF_Homes_RECS_2020!$D$2:$D$52,match($B116&amp;Q$2,Res_SF_Homes_RECS_2020!$B$2:$B$52&amp;Res_SF_Homes_RECS_2020!$A$2:$A$52,0))),0,index(Res_SF_Homes_RECS_2020!$D$2:$D$52,match($B116&amp;Q$2,Res_SF_Homes_RECS_2020!$B$2:$B$52&amp;Res_SF_Homes_RECS_2020!$A$2:$A$52,0)))</f>
        <v>0</v>
      </c>
      <c r="R116" s="75">
        <f t="array" ref="R116">IF(ISERROR(index(Res_SF_Homes_RECS_2020!$D$2:$D$52,match($B116&amp;R$2,Res_SF_Homes_RECS_2020!$B$2:$B$52&amp;Res_SF_Homes_RECS_2020!$A$2:$A$52,0))),0,index(Res_SF_Homes_RECS_2020!$D$2:$D$52,match($B116&amp;R$2,Res_SF_Homes_RECS_2020!$B$2:$B$52&amp;Res_SF_Homes_RECS_2020!$A$2:$A$52,0)))</f>
        <v>0</v>
      </c>
      <c r="S116" s="75">
        <f t="array" ref="S116">IF(ISERROR(index(Res_SF_Homes_RECS_2020!$D$2:$D$52,match($B116&amp;S$2,Res_SF_Homes_RECS_2020!$B$2:$B$52&amp;Res_SF_Homes_RECS_2020!$A$2:$A$52,0))),0,index(Res_SF_Homes_RECS_2020!$D$2:$D$52,match($B116&amp;S$2,Res_SF_Homes_RECS_2020!$B$2:$B$52&amp;Res_SF_Homes_RECS_2020!$A$2:$A$52,0)))</f>
        <v>0</v>
      </c>
      <c r="T116" s="75">
        <f t="array" ref="T116">IF(ISERROR(index(Res_SF_Homes_RECS_2020!$D$2:$D$52,match($B116&amp;T$2,Res_SF_Homes_RECS_2020!$B$2:$B$52&amp;Res_SF_Homes_RECS_2020!$A$2:$A$52,0))),0,index(Res_SF_Homes_RECS_2020!$D$2:$D$52,match($B116&amp;T$2,Res_SF_Homes_RECS_2020!$B$2:$B$52&amp;Res_SF_Homes_RECS_2020!$A$2:$A$52,0)))</f>
        <v>0</v>
      </c>
      <c r="U116" s="75">
        <f t="array" ref="U116">IF(ISERROR(index(Res_SF_Homes_RECS_2020!$D$2:$D$52,match($B116&amp;U$2,Res_SF_Homes_RECS_2020!$B$2:$B$52&amp;Res_SF_Homes_RECS_2020!$A$2:$A$52,0))),0,index(Res_SF_Homes_RECS_2020!$D$2:$D$52,match($B116&amp;U$2,Res_SF_Homes_RECS_2020!$B$2:$B$52&amp;Res_SF_Homes_RECS_2020!$A$2:$A$52,0)))</f>
        <v>0</v>
      </c>
      <c r="V116" s="75">
        <f t="array" ref="V116">IF(ISERROR(index(Res_SF_Homes_RECS_2020!$D$2:$D$52,match($B116&amp;V$2,Res_SF_Homes_RECS_2020!$B$2:$B$52&amp;Res_SF_Homes_RECS_2020!$A$2:$A$52,0))),0,index(Res_SF_Homes_RECS_2020!$D$2:$D$52,match($B116&amp;V$2,Res_SF_Homes_RECS_2020!$B$2:$B$52&amp;Res_SF_Homes_RECS_2020!$A$2:$A$52,0)))</f>
        <v>0</v>
      </c>
      <c r="W116" s="75">
        <f t="array" ref="W116">IF(ISERROR(index(Res_SF_Homes_RECS_2020!$D$2:$D$52,match($B116&amp;W$2,Res_SF_Homes_RECS_2020!$B$2:$B$52&amp;Res_SF_Homes_RECS_2020!$A$2:$A$52,0))),0,index(Res_SF_Homes_RECS_2020!$D$2:$D$52,match($B116&amp;W$2,Res_SF_Homes_RECS_2020!$B$2:$B$52&amp;Res_SF_Homes_RECS_2020!$A$2:$A$52,0)))</f>
        <v>0</v>
      </c>
      <c r="X116" s="75">
        <f t="array" ref="X116">IF(ISERROR(index(Res_SF_Homes_RECS_2020!$D$2:$D$52,match($B116&amp;X$2,Res_SF_Homes_RECS_2020!$B$2:$B$52&amp;Res_SF_Homes_RECS_2020!$A$2:$A$52,0))),0,index(Res_SF_Homes_RECS_2020!$D$2:$D$52,match($B116&amp;X$2,Res_SF_Homes_RECS_2020!$B$2:$B$52&amp;Res_SF_Homes_RECS_2020!$A$2:$A$52,0)))</f>
        <v>0</v>
      </c>
      <c r="Y116" s="75">
        <f t="array" ref="Y116">IF(ISERROR(index(Res_SF_Homes_RECS_2020!$D$2:$D$52,match($B116&amp;Y$2,Res_SF_Homes_RECS_2020!$B$2:$B$52&amp;Res_SF_Homes_RECS_2020!$A$2:$A$52,0))),0,index(Res_SF_Homes_RECS_2020!$D$2:$D$52,match($B116&amp;Y$2,Res_SF_Homes_RECS_2020!$B$2:$B$52&amp;Res_SF_Homes_RECS_2020!$A$2:$A$52,0)))</f>
        <v>0</v>
      </c>
      <c r="Z116" s="75">
        <f t="array" ref="Z116">IF(ISERROR(index(Res_SF_Homes_RECS_2020!$D$2:$D$52,match($B116&amp;Z$2,Res_SF_Homes_RECS_2020!$B$2:$B$52&amp;Res_SF_Homes_RECS_2020!$A$2:$A$52,0))),0,index(Res_SF_Homes_RECS_2020!$D$2:$D$52,match($B116&amp;Z$2,Res_SF_Homes_RECS_2020!$B$2:$B$52&amp;Res_SF_Homes_RECS_2020!$A$2:$A$52,0)))</f>
        <v>0</v>
      </c>
      <c r="AA116" s="75">
        <f t="array" ref="AA116">IF(ISERROR(index(Res_SF_Homes_RECS_2020!$D$2:$D$52,match($B116&amp;AA$2,Res_SF_Homes_RECS_2020!$B$2:$B$52&amp;Res_SF_Homes_RECS_2020!$A$2:$A$52,0))),0,index(Res_SF_Homes_RECS_2020!$D$2:$D$52,match($B116&amp;AA$2,Res_SF_Homes_RECS_2020!$B$2:$B$52&amp;Res_SF_Homes_RECS_2020!$A$2:$A$52,0)))</f>
        <v>0</v>
      </c>
      <c r="AB116" s="75">
        <f t="array" ref="AB116">IF(ISERROR(index(Res_SF_Homes_RECS_2020!$D$2:$D$52,match($B116&amp;AB$2,Res_SF_Homes_RECS_2020!$B$2:$B$52&amp;Res_SF_Homes_RECS_2020!$A$2:$A$52,0))),0,index(Res_SF_Homes_RECS_2020!$D$2:$D$52,match($B116&amp;AB$2,Res_SF_Homes_RECS_2020!$B$2:$B$52&amp;Res_SF_Homes_RECS_2020!$A$2:$A$52,0)))</f>
        <v>0</v>
      </c>
      <c r="AC116" s="75">
        <f t="array" ref="AC116">IF(ISERROR(index(Res_SF_Homes_RECS_2020!$D$2:$D$52,match($B116&amp;AC$2,Res_SF_Homes_RECS_2020!$B$2:$B$52&amp;Res_SF_Homes_RECS_2020!$A$2:$A$52,0))),0,index(Res_SF_Homes_RECS_2020!$D$2:$D$52,match($B116&amp;AC$2,Res_SF_Homes_RECS_2020!$B$2:$B$52&amp;Res_SF_Homes_RECS_2020!$A$2:$A$52,0)))</f>
        <v>0.43</v>
      </c>
      <c r="AD116" s="75">
        <f t="array" ref="AD116">IF(ISERROR(index(Res_SF_Homes_RECS_2020!$D$2:$D$52,match($B116&amp;AD$2,Res_SF_Homes_RECS_2020!$B$2:$B$52&amp;Res_SF_Homes_RECS_2020!$A$2:$A$52,0))),0,index(Res_SF_Homes_RECS_2020!$D$2:$D$52,match($B116&amp;AD$2,Res_SF_Homes_RECS_2020!$B$2:$B$52&amp;Res_SF_Homes_RECS_2020!$A$2:$A$52,0)))</f>
        <v>0</v>
      </c>
      <c r="AE116" s="75">
        <f t="array" ref="AE116">IF(ISERROR(index(Res_SF_Homes_RECS_2020!$D$2:$D$52,match($B116&amp;AE$2,Res_SF_Homes_RECS_2020!$B$2:$B$52&amp;Res_SF_Homes_RECS_2020!$A$2:$A$52,0))),0,index(Res_SF_Homes_RECS_2020!$D$2:$D$52,match($B116&amp;AE$2,Res_SF_Homes_RECS_2020!$B$2:$B$52&amp;Res_SF_Homes_RECS_2020!$A$2:$A$52,0)))</f>
        <v>1.14</v>
      </c>
      <c r="AF116" s="75">
        <f t="array" ref="AF116">IF(ISERROR(index(Res_SF_Homes_RECS_2020!$D$2:$D$52,match($B116&amp;AF$2,Res_SF_Homes_RECS_2020!$B$2:$B$52&amp;Res_SF_Homes_RECS_2020!$A$2:$A$52,0))),0,index(Res_SF_Homes_RECS_2020!$D$2:$D$52,match($B116&amp;AF$2,Res_SF_Homes_RECS_2020!$B$2:$B$52&amp;Res_SF_Homes_RECS_2020!$A$2:$A$52,0)))</f>
        <v>0</v>
      </c>
      <c r="AG116" s="75">
        <f t="array" ref="AG116">IF(ISERROR(index(Res_SF_Homes_RECS_2020!$D$2:$D$52,match($B116&amp;AG$2,Res_SF_Homes_RECS_2020!$B$2:$B$52&amp;Res_SF_Homes_RECS_2020!$A$2:$A$52,0))),0,index(Res_SF_Homes_RECS_2020!$D$2:$D$52,match($B116&amp;AG$2,Res_SF_Homes_RECS_2020!$B$2:$B$52&amp;Res_SF_Homes_RECS_2020!$A$2:$A$52,0)))</f>
        <v>0</v>
      </c>
      <c r="AH116" s="75">
        <f t="array" ref="AH116">IF(ISERROR(index(Res_SF_Homes_RECS_2020!$D$2:$D$52,match($B116&amp;AH$2,Res_SF_Homes_RECS_2020!$B$2:$B$52&amp;Res_SF_Homes_RECS_2020!$A$2:$A$52,0))),0,index(Res_SF_Homes_RECS_2020!$D$2:$D$52,match($B116&amp;AH$2,Res_SF_Homes_RECS_2020!$B$2:$B$52&amp;Res_SF_Homes_RECS_2020!$A$2:$A$52,0)))</f>
        <v>0.79</v>
      </c>
      <c r="AI116" s="75">
        <f t="array" ref="AI116">IF(ISERROR(index(Res_SF_Homes_RECS_2020!$D$2:$D$52,match($B116&amp;AI$2,Res_SF_Homes_RECS_2020!$B$2:$B$52&amp;Res_SF_Homes_RECS_2020!$A$2:$A$52,0))),0,index(Res_SF_Homes_RECS_2020!$D$2:$D$52,match($B116&amp;AI$2,Res_SF_Homes_RECS_2020!$B$2:$B$52&amp;Res_SF_Homes_RECS_2020!$A$2:$A$52,0)))</f>
        <v>0</v>
      </c>
      <c r="AJ116" s="75">
        <f t="array" ref="AJ116">IF(ISERROR(index(Res_SF_Homes_RECS_2020!$D$2:$D$52,match($B116&amp;AJ$2,Res_SF_Homes_RECS_2020!$B$2:$B$52&amp;Res_SF_Homes_RECS_2020!$A$2:$A$52,0))),0,index(Res_SF_Homes_RECS_2020!$D$2:$D$52,match($B116&amp;AJ$2,Res_SF_Homes_RECS_2020!$B$2:$B$52&amp;Res_SF_Homes_RECS_2020!$A$2:$A$52,0)))</f>
        <v>0</v>
      </c>
      <c r="AK116" s="75">
        <f t="array" ref="AK116">IF(ISERROR(index(Res_SF_Homes_RECS_2020!$D$2:$D$52,match($B116&amp;AK$2,Res_SF_Homes_RECS_2020!$B$2:$B$52&amp;Res_SF_Homes_RECS_2020!$A$2:$A$52,0))),0,index(Res_SF_Homes_RECS_2020!$D$2:$D$52,match($B116&amp;AK$2,Res_SF_Homes_RECS_2020!$B$2:$B$52&amp;Res_SF_Homes_RECS_2020!$A$2:$A$52,0)))</f>
        <v>0</v>
      </c>
      <c r="AL116" s="75">
        <f t="array" ref="AL116">IF(ISERROR(index(Res_SF_Homes_RECS_2020!$D$2:$D$52,match($B116&amp;AL$2,Res_SF_Homes_RECS_2020!$B$2:$B$52&amp;Res_SF_Homes_RECS_2020!$A$2:$A$52,0))),0,index(Res_SF_Homes_RECS_2020!$D$2:$D$52,match($B116&amp;AL$2,Res_SF_Homes_RECS_2020!$B$2:$B$52&amp;Res_SF_Homes_RECS_2020!$A$2:$A$52,0)))</f>
        <v>0</v>
      </c>
      <c r="AM116" s="75">
        <f t="array" ref="AM116">IF(ISERROR(index(Res_SF_Homes_RECS_2020!$D$2:$D$52,match($B116&amp;AM$2,Res_SF_Homes_RECS_2020!$B$2:$B$52&amp;Res_SF_Homes_RECS_2020!$A$2:$A$52,0))),0,index(Res_SF_Homes_RECS_2020!$D$2:$D$52,match($B116&amp;AM$2,Res_SF_Homes_RECS_2020!$B$2:$B$52&amp;Res_SF_Homes_RECS_2020!$A$2:$A$52,0)))</f>
        <v>0</v>
      </c>
      <c r="AN116" s="75">
        <f t="array" ref="AN116">IF(ISERROR(index(Res_SF_Homes_RECS_2020!$D$2:$D$52,match($B116&amp;AN$2,Res_SF_Homes_RECS_2020!$B$2:$B$52&amp;Res_SF_Homes_RECS_2020!$A$2:$A$52,0))),0,index(Res_SF_Homes_RECS_2020!$D$2:$D$52,match($B116&amp;AN$2,Res_SF_Homes_RECS_2020!$B$2:$B$52&amp;Res_SF_Homes_RECS_2020!$A$2:$A$52,0)))</f>
        <v>0</v>
      </c>
      <c r="AO116" s="75">
        <f t="array" ref="AO116">IF(ISERROR(index(Res_SF_Homes_RECS_2020!$D$2:$D$52,match($B116&amp;AO$2,Res_SF_Homes_RECS_2020!$B$2:$B$52&amp;Res_SF_Homes_RECS_2020!$A$2:$A$52,0))),0,index(Res_SF_Homes_RECS_2020!$D$2:$D$52,match($B116&amp;AO$2,Res_SF_Homes_RECS_2020!$B$2:$B$52&amp;Res_SF_Homes_RECS_2020!$A$2:$A$52,0)))</f>
        <v>0</v>
      </c>
      <c r="AP116" s="75">
        <f t="array" ref="AP116">IF(ISERROR(index(Res_SF_Homes_RECS_2020!$D$2:$D$52,match($B116&amp;AP$2,Res_SF_Homes_RECS_2020!$B$2:$B$52&amp;Res_SF_Homes_RECS_2020!$A$2:$A$52,0))),0,index(Res_SF_Homes_RECS_2020!$D$2:$D$52,match($B116&amp;AP$2,Res_SF_Homes_RECS_2020!$B$2:$B$52&amp;Res_SF_Homes_RECS_2020!$A$2:$A$52,0)))</f>
        <v>0</v>
      </c>
      <c r="AQ116" s="75">
        <f t="array" ref="AQ116">IF(ISERROR(index(Res_SF_Homes_RECS_2020!$D$2:$D$52,match($B116&amp;AQ$2,Res_SF_Homes_RECS_2020!$B$2:$B$52&amp;Res_SF_Homes_RECS_2020!$A$2:$A$52,0))),0,index(Res_SF_Homes_RECS_2020!$D$2:$D$52,match($B116&amp;AQ$2,Res_SF_Homes_RECS_2020!$B$2:$B$52&amp;Res_SF_Homes_RECS_2020!$A$2:$A$52,0)))</f>
        <v>0</v>
      </c>
      <c r="AR116" s="75">
        <f t="array" ref="AR116">IF(ISERROR(index(Res_SF_Homes_RECS_2020!$D$2:$D$52,match($B116&amp;AR$2,Res_SF_Homes_RECS_2020!$B$2:$B$52&amp;Res_SF_Homes_RECS_2020!$A$2:$A$52,0))),0,index(Res_SF_Homes_RECS_2020!$D$2:$D$52,match($B116&amp;AR$2,Res_SF_Homes_RECS_2020!$B$2:$B$52&amp;Res_SF_Homes_RECS_2020!$A$2:$A$52,0)))</f>
        <v>0</v>
      </c>
      <c r="AS116" s="75">
        <f t="array" ref="AS116">IF(ISERROR(index(Res_SF_Homes_RECS_2020!$D$2:$D$52,match($B116&amp;AS$2,Res_SF_Homes_RECS_2020!$B$2:$B$52&amp;Res_SF_Homes_RECS_2020!$A$2:$A$52,0))),0,index(Res_SF_Homes_RECS_2020!$D$2:$D$52,match($B116&amp;AS$2,Res_SF_Homes_RECS_2020!$B$2:$B$52&amp;Res_SF_Homes_RECS_2020!$A$2:$A$52,0)))</f>
        <v>0</v>
      </c>
      <c r="AT116" s="75">
        <f t="array" ref="AT116">IF(ISERROR(index(Res_SF_Homes_RECS_2020!$D$2:$D$52,match($B116&amp;AT$2,Res_SF_Homes_RECS_2020!$B$2:$B$52&amp;Res_SF_Homes_RECS_2020!$A$2:$A$52,0))),0,index(Res_SF_Homes_RECS_2020!$D$2:$D$52,match($B116&amp;AT$2,Res_SF_Homes_RECS_2020!$B$2:$B$52&amp;Res_SF_Homes_RECS_2020!$A$2:$A$52,0)))</f>
        <v>0</v>
      </c>
      <c r="AU116" s="75">
        <f t="array" ref="AU116">IF(ISERROR(index(Res_SF_Homes_RECS_2020!$D$2:$D$52,match($B116&amp;AU$2,Res_SF_Homes_RECS_2020!$B$2:$B$52&amp;Res_SF_Homes_RECS_2020!$A$2:$A$52,0))),0,index(Res_SF_Homes_RECS_2020!$D$2:$D$52,match($B116&amp;AU$2,Res_SF_Homes_RECS_2020!$B$2:$B$52&amp;Res_SF_Homes_RECS_2020!$A$2:$A$52,0)))</f>
        <v>1.04</v>
      </c>
      <c r="AV116" s="75">
        <f t="array" ref="AV116">IF(ISERROR(index(Res_SF_Homes_RECS_2020!$D$2:$D$52,match($B116&amp;AV$2,Res_SF_Homes_RECS_2020!$B$2:$B$52&amp;Res_SF_Homes_RECS_2020!$A$2:$A$52,0))),0,index(Res_SF_Homes_RECS_2020!$D$2:$D$52,match($B116&amp;AV$2,Res_SF_Homes_RECS_2020!$B$2:$B$52&amp;Res_SF_Homes_RECS_2020!$A$2:$A$52,0)))</f>
        <v>0</v>
      </c>
      <c r="AW116" s="75">
        <f t="array" ref="AW116">IF(ISERROR(index(Res_SF_Homes_RECS_2020!$D$2:$D$52,match($B116&amp;AW$2,Res_SF_Homes_RECS_2020!$B$2:$B$52&amp;Res_SF_Homes_RECS_2020!$A$2:$A$52,0))),0,index(Res_SF_Homes_RECS_2020!$D$2:$D$52,match($B116&amp;AW$2,Res_SF_Homes_RECS_2020!$B$2:$B$52&amp;Res_SF_Homes_RECS_2020!$A$2:$A$52,0)))</f>
        <v>0</v>
      </c>
      <c r="AX116" s="75">
        <f t="array" ref="AX116">IF(ISERROR(index(Res_SF_Homes_RECS_2020!$D$2:$D$52,match($B116&amp;AX$2,Res_SF_Homes_RECS_2020!$B$2:$B$52&amp;Res_SF_Homes_RECS_2020!$A$2:$A$52,0))),0,index(Res_SF_Homes_RECS_2020!$D$2:$D$52,match($B116&amp;AX$2,Res_SF_Homes_RECS_2020!$B$2:$B$52&amp;Res_SF_Homes_RECS_2020!$A$2:$A$52,0)))</f>
        <v>0</v>
      </c>
      <c r="AY116" s="75">
        <f t="array" ref="AY116">IF(ISERROR(index(Res_SF_Homes_RECS_2020!$D$2:$D$52,match($B116&amp;AY$2,Res_SF_Homes_RECS_2020!$B$2:$B$52&amp;Res_SF_Homes_RECS_2020!$A$2:$A$52,0))),0,index(Res_SF_Homes_RECS_2020!$D$2:$D$52,match($B116&amp;AY$2,Res_SF_Homes_RECS_2020!$B$2:$B$52&amp;Res_SF_Homes_RECS_2020!$A$2:$A$52,0)))</f>
        <v>0</v>
      </c>
      <c r="AZ116" s="75">
        <f t="array" ref="AZ116">IF(ISERROR(index(Res_SF_Homes_RECS_2020!$D$2:$D$52,match($B116&amp;AZ$2,Res_SF_Homes_RECS_2020!$B$2:$B$52&amp;Res_SF_Homes_RECS_2020!$A$2:$A$52,0))),0,index(Res_SF_Homes_RECS_2020!$D$2:$D$52,match($B116&amp;AZ$2,Res_SF_Homes_RECS_2020!$B$2:$B$52&amp;Res_SF_Homes_RECS_2020!$A$2:$A$52,0)))</f>
        <v>0</v>
      </c>
      <c r="BA116" s="75">
        <f t="array" ref="BA116">IF(ISERROR(index(Res_SF_Homes_RECS_2020!$D$2:$D$52,match($B116&amp;BA$2,Res_SF_Homes_RECS_2020!$B$2:$B$52&amp;Res_SF_Homes_RECS_2020!$A$2:$A$52,0))),0,index(Res_SF_Homes_RECS_2020!$D$2:$D$52,match($B116&amp;BA$2,Res_SF_Homes_RECS_2020!$B$2:$B$52&amp;Res_SF_Homes_RECS_2020!$A$2:$A$52,0)))</f>
        <v>0.23</v>
      </c>
      <c r="BB116" s="74">
        <f t="shared" si="17"/>
        <v>9.23</v>
      </c>
    </row>
    <row r="117" ht="15.75" customHeight="1">
      <c r="A117" s="78"/>
      <c r="B117" s="74">
        <v>9.0</v>
      </c>
      <c r="C117" s="75">
        <f t="array" ref="C117">IF(ISERROR(index(Res_SF_Homes_RECS_2020!$D$2:$D$52,match($B117&amp;C$2,Res_SF_Homes_RECS_2020!$B$2:$B$52&amp;Res_SF_Homes_RECS_2020!$A$2:$A$52,0))),0,index(Res_SF_Homes_RECS_2020!$D$2:$D$52,match($B117&amp;C$2,Res_SF_Homes_RECS_2020!$B$2:$B$52&amp;Res_SF_Homes_RECS_2020!$A$2:$A$52,0)))</f>
        <v>0</v>
      </c>
      <c r="D117" s="75">
        <f t="array" ref="D117">IF(ISERROR(index(Res_SF_Homes_RECS_2020!$D$2:$D$52,match($B117&amp;D$2,Res_SF_Homes_RECS_2020!$B$2:$B$52&amp;Res_SF_Homes_RECS_2020!$A$2:$A$52,0))),0,index(Res_SF_Homes_RECS_2020!$D$2:$D$52,match($B117&amp;D$2,Res_SF_Homes_RECS_2020!$B$2:$B$52&amp;Res_SF_Homes_RECS_2020!$A$2:$A$52,0)))</f>
        <v>0.26</v>
      </c>
      <c r="E117" s="75">
        <f t="array" ref="E117">IF(ISERROR(index(Res_SF_Homes_RECS_2020!$D$2:$D$52,match($B117&amp;E$2,Res_SF_Homes_RECS_2020!$B$2:$B$52&amp;Res_SF_Homes_RECS_2020!$A$2:$A$52,0))),0,index(Res_SF_Homes_RECS_2020!$D$2:$D$52,match($B117&amp;E$2,Res_SF_Homes_RECS_2020!$B$2:$B$52&amp;Res_SF_Homes_RECS_2020!$A$2:$A$52,0)))</f>
        <v>0</v>
      </c>
      <c r="F117" s="75">
        <f t="array" ref="F117">IF(ISERROR(index(Res_SF_Homes_RECS_2020!$D$2:$D$52,match($B117&amp;F$2,Res_SF_Homes_RECS_2020!$B$2:$B$52&amp;Res_SF_Homes_RECS_2020!$A$2:$A$52,0))),0,index(Res_SF_Homes_RECS_2020!$D$2:$D$52,match($B117&amp;F$2,Res_SF_Homes_RECS_2020!$B$2:$B$52&amp;Res_SF_Homes_RECS_2020!$A$2:$A$52,0)))</f>
        <v>0</v>
      </c>
      <c r="G117" s="75">
        <f t="array" ref="G117">IF(ISERROR(index(Res_SF_Homes_RECS_2020!$D$2:$D$52,match($B117&amp;G$2,Res_SF_Homes_RECS_2020!$B$2:$B$52&amp;Res_SF_Homes_RECS_2020!$A$2:$A$52,0))),0,index(Res_SF_Homes_RECS_2020!$D$2:$D$52,match($B117&amp;G$2,Res_SF_Homes_RECS_2020!$B$2:$B$52&amp;Res_SF_Homes_RECS_2020!$A$2:$A$52,0)))</f>
        <v>13.18</v>
      </c>
      <c r="H117" s="75">
        <f t="array" ref="H117">IF(ISERROR(index(Res_SF_Homes_RECS_2020!$D$2:$D$52,match($B117&amp;H$2,Res_SF_Homes_RECS_2020!$B$2:$B$52&amp;Res_SF_Homes_RECS_2020!$A$2:$A$52,0))),0,index(Res_SF_Homes_RECS_2020!$D$2:$D$52,match($B117&amp;H$2,Res_SF_Homes_RECS_2020!$B$2:$B$52&amp;Res_SF_Homes_RECS_2020!$A$2:$A$52,0)))</f>
        <v>0</v>
      </c>
      <c r="I117" s="75">
        <f t="array" ref="I117">IF(ISERROR(index(Res_SF_Homes_RECS_2020!$D$2:$D$52,match($B117&amp;I$2,Res_SF_Homes_RECS_2020!$B$2:$B$52&amp;Res_SF_Homes_RECS_2020!$A$2:$A$52,0))),0,index(Res_SF_Homes_RECS_2020!$D$2:$D$52,match($B117&amp;I$2,Res_SF_Homes_RECS_2020!$B$2:$B$52&amp;Res_SF_Homes_RECS_2020!$A$2:$A$52,0)))</f>
        <v>0</v>
      </c>
      <c r="J117" s="75">
        <f t="array" ref="J117">IF(ISERROR(index(Res_SF_Homes_RECS_2020!$D$2:$D$52,match($B117&amp;J$2,Res_SF_Homes_RECS_2020!$B$2:$B$52&amp;Res_SF_Homes_RECS_2020!$A$2:$A$52,0))),0,index(Res_SF_Homes_RECS_2020!$D$2:$D$52,match($B117&amp;J$2,Res_SF_Homes_RECS_2020!$B$2:$B$52&amp;Res_SF_Homes_RECS_2020!$A$2:$A$52,0)))</f>
        <v>0</v>
      </c>
      <c r="K117" s="75">
        <f t="array" ref="K117">IF(ISERROR(index(Res_SF_Homes_RECS_2020!$D$2:$D$52,match($B117&amp;K$2,Res_SF_Homes_RECS_2020!$B$2:$B$52&amp;Res_SF_Homes_RECS_2020!$A$2:$A$52,0))),0,index(Res_SF_Homes_RECS_2020!$D$2:$D$52,match($B117&amp;K$2,Res_SF_Homes_RECS_2020!$B$2:$B$52&amp;Res_SF_Homes_RECS_2020!$A$2:$A$52,0)))</f>
        <v>0</v>
      </c>
      <c r="L117" s="75">
        <f t="array" ref="L117">IF(ISERROR(index(Res_SF_Homes_RECS_2020!$D$2:$D$52,match($B117&amp;L$2,Res_SF_Homes_RECS_2020!$B$2:$B$52&amp;Res_SF_Homes_RECS_2020!$A$2:$A$52,0))),0,index(Res_SF_Homes_RECS_2020!$D$2:$D$52,match($B117&amp;L$2,Res_SF_Homes_RECS_2020!$B$2:$B$52&amp;Res_SF_Homes_RECS_2020!$A$2:$A$52,0)))</f>
        <v>0</v>
      </c>
      <c r="M117" s="75">
        <f t="array" ref="M117">IF(ISERROR(index(Res_SF_Homes_RECS_2020!$D$2:$D$52,match($B117&amp;M$2,Res_SF_Homes_RECS_2020!$B$2:$B$52&amp;Res_SF_Homes_RECS_2020!$A$2:$A$52,0))),0,index(Res_SF_Homes_RECS_2020!$D$2:$D$52,match($B117&amp;M$2,Res_SF_Homes_RECS_2020!$B$2:$B$52&amp;Res_SF_Homes_RECS_2020!$A$2:$A$52,0)))</f>
        <v>0</v>
      </c>
      <c r="N117" s="75">
        <f t="array" ref="N117">IF(ISERROR(index(Res_SF_Homes_RECS_2020!$D$2:$D$52,match($B117&amp;N$2,Res_SF_Homes_RECS_2020!$B$2:$B$52&amp;Res_SF_Homes_RECS_2020!$A$2:$A$52,0))),0,index(Res_SF_Homes_RECS_2020!$D$2:$D$52,match($B117&amp;N$2,Res_SF_Homes_RECS_2020!$B$2:$B$52&amp;Res_SF_Homes_RECS_2020!$A$2:$A$52,0)))</f>
        <v>0.47</v>
      </c>
      <c r="O117" s="75">
        <f t="array" ref="O117">IF(ISERROR(index(Res_SF_Homes_RECS_2020!$D$2:$D$52,match($B117&amp;O$2,Res_SF_Homes_RECS_2020!$B$2:$B$52&amp;Res_SF_Homes_RECS_2020!$A$2:$A$52,0))),0,index(Res_SF_Homes_RECS_2020!$D$2:$D$52,match($B117&amp;O$2,Res_SF_Homes_RECS_2020!$B$2:$B$52&amp;Res_SF_Homes_RECS_2020!$A$2:$A$52,0)))</f>
        <v>0</v>
      </c>
      <c r="P117" s="75">
        <f t="array" ref="P117">IF(ISERROR(index(Res_SF_Homes_RECS_2020!$D$2:$D$52,match($B117&amp;P$2,Res_SF_Homes_RECS_2020!$B$2:$B$52&amp;Res_SF_Homes_RECS_2020!$A$2:$A$52,0))),0,index(Res_SF_Homes_RECS_2020!$D$2:$D$52,match($B117&amp;P$2,Res_SF_Homes_RECS_2020!$B$2:$B$52&amp;Res_SF_Homes_RECS_2020!$A$2:$A$52,0)))</f>
        <v>0</v>
      </c>
      <c r="Q117" s="75">
        <f t="array" ref="Q117">IF(ISERROR(index(Res_SF_Homes_RECS_2020!$D$2:$D$52,match($B117&amp;Q$2,Res_SF_Homes_RECS_2020!$B$2:$B$52&amp;Res_SF_Homes_RECS_2020!$A$2:$A$52,0))),0,index(Res_SF_Homes_RECS_2020!$D$2:$D$52,match($B117&amp;Q$2,Res_SF_Homes_RECS_2020!$B$2:$B$52&amp;Res_SF_Homes_RECS_2020!$A$2:$A$52,0)))</f>
        <v>0</v>
      </c>
      <c r="R117" s="75">
        <f t="array" ref="R117">IF(ISERROR(index(Res_SF_Homes_RECS_2020!$D$2:$D$52,match($B117&amp;R$2,Res_SF_Homes_RECS_2020!$B$2:$B$52&amp;Res_SF_Homes_RECS_2020!$A$2:$A$52,0))),0,index(Res_SF_Homes_RECS_2020!$D$2:$D$52,match($B117&amp;R$2,Res_SF_Homes_RECS_2020!$B$2:$B$52&amp;Res_SF_Homes_RECS_2020!$A$2:$A$52,0)))</f>
        <v>0</v>
      </c>
      <c r="S117" s="75">
        <f t="array" ref="S117">IF(ISERROR(index(Res_SF_Homes_RECS_2020!$D$2:$D$52,match($B117&amp;S$2,Res_SF_Homes_RECS_2020!$B$2:$B$52&amp;Res_SF_Homes_RECS_2020!$A$2:$A$52,0))),0,index(Res_SF_Homes_RECS_2020!$D$2:$D$52,match($B117&amp;S$2,Res_SF_Homes_RECS_2020!$B$2:$B$52&amp;Res_SF_Homes_RECS_2020!$A$2:$A$52,0)))</f>
        <v>0</v>
      </c>
      <c r="T117" s="75">
        <f t="array" ref="T117">IF(ISERROR(index(Res_SF_Homes_RECS_2020!$D$2:$D$52,match($B117&amp;T$2,Res_SF_Homes_RECS_2020!$B$2:$B$52&amp;Res_SF_Homes_RECS_2020!$A$2:$A$52,0))),0,index(Res_SF_Homes_RECS_2020!$D$2:$D$52,match($B117&amp;T$2,Res_SF_Homes_RECS_2020!$B$2:$B$52&amp;Res_SF_Homes_RECS_2020!$A$2:$A$52,0)))</f>
        <v>0</v>
      </c>
      <c r="U117" s="75">
        <f t="array" ref="U117">IF(ISERROR(index(Res_SF_Homes_RECS_2020!$D$2:$D$52,match($B117&amp;U$2,Res_SF_Homes_RECS_2020!$B$2:$B$52&amp;Res_SF_Homes_RECS_2020!$A$2:$A$52,0))),0,index(Res_SF_Homes_RECS_2020!$D$2:$D$52,match($B117&amp;U$2,Res_SF_Homes_RECS_2020!$B$2:$B$52&amp;Res_SF_Homes_RECS_2020!$A$2:$A$52,0)))</f>
        <v>0</v>
      </c>
      <c r="V117" s="75">
        <f t="array" ref="V117">IF(ISERROR(index(Res_SF_Homes_RECS_2020!$D$2:$D$52,match($B117&amp;V$2,Res_SF_Homes_RECS_2020!$B$2:$B$52&amp;Res_SF_Homes_RECS_2020!$A$2:$A$52,0))),0,index(Res_SF_Homes_RECS_2020!$D$2:$D$52,match($B117&amp;V$2,Res_SF_Homes_RECS_2020!$B$2:$B$52&amp;Res_SF_Homes_RECS_2020!$A$2:$A$52,0)))</f>
        <v>0</v>
      </c>
      <c r="W117" s="75">
        <f t="array" ref="W117">IF(ISERROR(index(Res_SF_Homes_RECS_2020!$D$2:$D$52,match($B117&amp;W$2,Res_SF_Homes_RECS_2020!$B$2:$B$52&amp;Res_SF_Homes_RECS_2020!$A$2:$A$52,0))),0,index(Res_SF_Homes_RECS_2020!$D$2:$D$52,match($B117&amp;W$2,Res_SF_Homes_RECS_2020!$B$2:$B$52&amp;Res_SF_Homes_RECS_2020!$A$2:$A$52,0)))</f>
        <v>0</v>
      </c>
      <c r="X117" s="75">
        <f t="array" ref="X117">IF(ISERROR(index(Res_SF_Homes_RECS_2020!$D$2:$D$52,match($B117&amp;X$2,Res_SF_Homes_RECS_2020!$B$2:$B$52&amp;Res_SF_Homes_RECS_2020!$A$2:$A$52,0))),0,index(Res_SF_Homes_RECS_2020!$D$2:$D$52,match($B117&amp;X$2,Res_SF_Homes_RECS_2020!$B$2:$B$52&amp;Res_SF_Homes_RECS_2020!$A$2:$A$52,0)))</f>
        <v>0</v>
      </c>
      <c r="Y117" s="75">
        <f t="array" ref="Y117">IF(ISERROR(index(Res_SF_Homes_RECS_2020!$D$2:$D$52,match($B117&amp;Y$2,Res_SF_Homes_RECS_2020!$B$2:$B$52&amp;Res_SF_Homes_RECS_2020!$A$2:$A$52,0))),0,index(Res_SF_Homes_RECS_2020!$D$2:$D$52,match($B117&amp;Y$2,Res_SF_Homes_RECS_2020!$B$2:$B$52&amp;Res_SF_Homes_RECS_2020!$A$2:$A$52,0)))</f>
        <v>0</v>
      </c>
      <c r="Z117" s="75">
        <f t="array" ref="Z117">IF(ISERROR(index(Res_SF_Homes_RECS_2020!$D$2:$D$52,match($B117&amp;Z$2,Res_SF_Homes_RECS_2020!$B$2:$B$52&amp;Res_SF_Homes_RECS_2020!$A$2:$A$52,0))),0,index(Res_SF_Homes_RECS_2020!$D$2:$D$52,match($B117&amp;Z$2,Res_SF_Homes_RECS_2020!$B$2:$B$52&amp;Res_SF_Homes_RECS_2020!$A$2:$A$52,0)))</f>
        <v>0</v>
      </c>
      <c r="AA117" s="75">
        <f t="array" ref="AA117">IF(ISERROR(index(Res_SF_Homes_RECS_2020!$D$2:$D$52,match($B117&amp;AA$2,Res_SF_Homes_RECS_2020!$B$2:$B$52&amp;Res_SF_Homes_RECS_2020!$A$2:$A$52,0))),0,index(Res_SF_Homes_RECS_2020!$D$2:$D$52,match($B117&amp;AA$2,Res_SF_Homes_RECS_2020!$B$2:$B$52&amp;Res_SF_Homes_RECS_2020!$A$2:$A$52,0)))</f>
        <v>0</v>
      </c>
      <c r="AB117" s="75">
        <f t="array" ref="AB117">IF(ISERROR(index(Res_SF_Homes_RECS_2020!$D$2:$D$52,match($B117&amp;AB$2,Res_SF_Homes_RECS_2020!$B$2:$B$52&amp;Res_SF_Homes_RECS_2020!$A$2:$A$52,0))),0,index(Res_SF_Homes_RECS_2020!$D$2:$D$52,match($B117&amp;AB$2,Res_SF_Homes_RECS_2020!$B$2:$B$52&amp;Res_SF_Homes_RECS_2020!$A$2:$A$52,0)))</f>
        <v>0</v>
      </c>
      <c r="AC117" s="75">
        <f t="array" ref="AC117">IF(ISERROR(index(Res_SF_Homes_RECS_2020!$D$2:$D$52,match($B117&amp;AC$2,Res_SF_Homes_RECS_2020!$B$2:$B$52&amp;Res_SF_Homes_RECS_2020!$A$2:$A$52,0))),0,index(Res_SF_Homes_RECS_2020!$D$2:$D$52,match($B117&amp;AC$2,Res_SF_Homes_RECS_2020!$B$2:$B$52&amp;Res_SF_Homes_RECS_2020!$A$2:$A$52,0)))</f>
        <v>0</v>
      </c>
      <c r="AD117" s="75">
        <f t="array" ref="AD117">IF(ISERROR(index(Res_SF_Homes_RECS_2020!$D$2:$D$52,match($B117&amp;AD$2,Res_SF_Homes_RECS_2020!$B$2:$B$52&amp;Res_SF_Homes_RECS_2020!$A$2:$A$52,0))),0,index(Res_SF_Homes_RECS_2020!$D$2:$D$52,match($B117&amp;AD$2,Res_SF_Homes_RECS_2020!$B$2:$B$52&amp;Res_SF_Homes_RECS_2020!$A$2:$A$52,0)))</f>
        <v>0</v>
      </c>
      <c r="AE117" s="75">
        <f t="array" ref="AE117">IF(ISERROR(index(Res_SF_Homes_RECS_2020!$D$2:$D$52,match($B117&amp;AE$2,Res_SF_Homes_RECS_2020!$B$2:$B$52&amp;Res_SF_Homes_RECS_2020!$A$2:$A$52,0))),0,index(Res_SF_Homes_RECS_2020!$D$2:$D$52,match($B117&amp;AE$2,Res_SF_Homes_RECS_2020!$B$2:$B$52&amp;Res_SF_Homes_RECS_2020!$A$2:$A$52,0)))</f>
        <v>0</v>
      </c>
      <c r="AF117" s="75">
        <f t="array" ref="AF117">IF(ISERROR(index(Res_SF_Homes_RECS_2020!$D$2:$D$52,match($B117&amp;AF$2,Res_SF_Homes_RECS_2020!$B$2:$B$52&amp;Res_SF_Homes_RECS_2020!$A$2:$A$52,0))),0,index(Res_SF_Homes_RECS_2020!$D$2:$D$52,match($B117&amp;AF$2,Res_SF_Homes_RECS_2020!$B$2:$B$52&amp;Res_SF_Homes_RECS_2020!$A$2:$A$52,0)))</f>
        <v>0</v>
      </c>
      <c r="AG117" s="75">
        <f t="array" ref="AG117">IF(ISERROR(index(Res_SF_Homes_RECS_2020!$D$2:$D$52,match($B117&amp;AG$2,Res_SF_Homes_RECS_2020!$B$2:$B$52&amp;Res_SF_Homes_RECS_2020!$A$2:$A$52,0))),0,index(Res_SF_Homes_RECS_2020!$D$2:$D$52,match($B117&amp;AG$2,Res_SF_Homes_RECS_2020!$B$2:$B$52&amp;Res_SF_Homes_RECS_2020!$A$2:$A$52,0)))</f>
        <v>0</v>
      </c>
      <c r="AH117" s="75">
        <f t="array" ref="AH117">IF(ISERROR(index(Res_SF_Homes_RECS_2020!$D$2:$D$52,match($B117&amp;AH$2,Res_SF_Homes_RECS_2020!$B$2:$B$52&amp;Res_SF_Homes_RECS_2020!$A$2:$A$52,0))),0,index(Res_SF_Homes_RECS_2020!$D$2:$D$52,match($B117&amp;AH$2,Res_SF_Homes_RECS_2020!$B$2:$B$52&amp;Res_SF_Homes_RECS_2020!$A$2:$A$52,0)))</f>
        <v>0</v>
      </c>
      <c r="AI117" s="75">
        <f t="array" ref="AI117">IF(ISERROR(index(Res_SF_Homes_RECS_2020!$D$2:$D$52,match($B117&amp;AI$2,Res_SF_Homes_RECS_2020!$B$2:$B$52&amp;Res_SF_Homes_RECS_2020!$A$2:$A$52,0))),0,index(Res_SF_Homes_RECS_2020!$D$2:$D$52,match($B117&amp;AI$2,Res_SF_Homes_RECS_2020!$B$2:$B$52&amp;Res_SF_Homes_RECS_2020!$A$2:$A$52,0)))</f>
        <v>0</v>
      </c>
      <c r="AJ117" s="75">
        <f t="array" ref="AJ117">IF(ISERROR(index(Res_SF_Homes_RECS_2020!$D$2:$D$52,match($B117&amp;AJ$2,Res_SF_Homes_RECS_2020!$B$2:$B$52&amp;Res_SF_Homes_RECS_2020!$A$2:$A$52,0))),0,index(Res_SF_Homes_RECS_2020!$D$2:$D$52,match($B117&amp;AJ$2,Res_SF_Homes_RECS_2020!$B$2:$B$52&amp;Res_SF_Homes_RECS_2020!$A$2:$A$52,0)))</f>
        <v>0</v>
      </c>
      <c r="AK117" s="75">
        <f t="array" ref="AK117">IF(ISERROR(index(Res_SF_Homes_RECS_2020!$D$2:$D$52,match($B117&amp;AK$2,Res_SF_Homes_RECS_2020!$B$2:$B$52&amp;Res_SF_Homes_RECS_2020!$A$2:$A$52,0))),0,index(Res_SF_Homes_RECS_2020!$D$2:$D$52,match($B117&amp;AK$2,Res_SF_Homes_RECS_2020!$B$2:$B$52&amp;Res_SF_Homes_RECS_2020!$A$2:$A$52,0)))</f>
        <v>0</v>
      </c>
      <c r="AL117" s="75">
        <f t="array" ref="AL117">IF(ISERROR(index(Res_SF_Homes_RECS_2020!$D$2:$D$52,match($B117&amp;AL$2,Res_SF_Homes_RECS_2020!$B$2:$B$52&amp;Res_SF_Homes_RECS_2020!$A$2:$A$52,0))),0,index(Res_SF_Homes_RECS_2020!$D$2:$D$52,match($B117&amp;AL$2,Res_SF_Homes_RECS_2020!$B$2:$B$52&amp;Res_SF_Homes_RECS_2020!$A$2:$A$52,0)))</f>
        <v>0</v>
      </c>
      <c r="AM117" s="75">
        <f t="array" ref="AM117">IF(ISERROR(index(Res_SF_Homes_RECS_2020!$D$2:$D$52,match($B117&amp;AM$2,Res_SF_Homes_RECS_2020!$B$2:$B$52&amp;Res_SF_Homes_RECS_2020!$A$2:$A$52,0))),0,index(Res_SF_Homes_RECS_2020!$D$2:$D$52,match($B117&amp;AM$2,Res_SF_Homes_RECS_2020!$B$2:$B$52&amp;Res_SF_Homes_RECS_2020!$A$2:$A$52,0)))</f>
        <v>0</v>
      </c>
      <c r="AN117" s="75">
        <f t="array" ref="AN117">IF(ISERROR(index(Res_SF_Homes_RECS_2020!$D$2:$D$52,match($B117&amp;AN$2,Res_SF_Homes_RECS_2020!$B$2:$B$52&amp;Res_SF_Homes_RECS_2020!$A$2:$A$52,0))),0,index(Res_SF_Homes_RECS_2020!$D$2:$D$52,match($B117&amp;AN$2,Res_SF_Homes_RECS_2020!$B$2:$B$52&amp;Res_SF_Homes_RECS_2020!$A$2:$A$52,0)))</f>
        <v>1.65</v>
      </c>
      <c r="AO117" s="75">
        <f t="array" ref="AO117">IF(ISERROR(index(Res_SF_Homes_RECS_2020!$D$2:$D$52,match($B117&amp;AO$2,Res_SF_Homes_RECS_2020!$B$2:$B$52&amp;Res_SF_Homes_RECS_2020!$A$2:$A$52,0))),0,index(Res_SF_Homes_RECS_2020!$D$2:$D$52,match($B117&amp;AO$2,Res_SF_Homes_RECS_2020!$B$2:$B$52&amp;Res_SF_Homes_RECS_2020!$A$2:$A$52,0)))</f>
        <v>0</v>
      </c>
      <c r="AP117" s="75">
        <f t="array" ref="AP117">IF(ISERROR(index(Res_SF_Homes_RECS_2020!$D$2:$D$52,match($B117&amp;AP$2,Res_SF_Homes_RECS_2020!$B$2:$B$52&amp;Res_SF_Homes_RECS_2020!$A$2:$A$52,0))),0,index(Res_SF_Homes_RECS_2020!$D$2:$D$52,match($B117&amp;AP$2,Res_SF_Homes_RECS_2020!$B$2:$B$52&amp;Res_SF_Homes_RECS_2020!$A$2:$A$52,0)))</f>
        <v>0</v>
      </c>
      <c r="AQ117" s="75">
        <f t="array" ref="AQ117">IF(ISERROR(index(Res_SF_Homes_RECS_2020!$D$2:$D$52,match($B117&amp;AQ$2,Res_SF_Homes_RECS_2020!$B$2:$B$52&amp;Res_SF_Homes_RECS_2020!$A$2:$A$52,0))),0,index(Res_SF_Homes_RECS_2020!$D$2:$D$52,match($B117&amp;AQ$2,Res_SF_Homes_RECS_2020!$B$2:$B$52&amp;Res_SF_Homes_RECS_2020!$A$2:$A$52,0)))</f>
        <v>0</v>
      </c>
      <c r="AR117" s="75">
        <f t="array" ref="AR117">IF(ISERROR(index(Res_SF_Homes_RECS_2020!$D$2:$D$52,match($B117&amp;AR$2,Res_SF_Homes_RECS_2020!$B$2:$B$52&amp;Res_SF_Homes_RECS_2020!$A$2:$A$52,0))),0,index(Res_SF_Homes_RECS_2020!$D$2:$D$52,match($B117&amp;AR$2,Res_SF_Homes_RECS_2020!$B$2:$B$52&amp;Res_SF_Homes_RECS_2020!$A$2:$A$52,0)))</f>
        <v>0</v>
      </c>
      <c r="AS117" s="75">
        <f t="array" ref="AS117">IF(ISERROR(index(Res_SF_Homes_RECS_2020!$D$2:$D$52,match($B117&amp;AS$2,Res_SF_Homes_RECS_2020!$B$2:$B$52&amp;Res_SF_Homes_RECS_2020!$A$2:$A$52,0))),0,index(Res_SF_Homes_RECS_2020!$D$2:$D$52,match($B117&amp;AS$2,Res_SF_Homes_RECS_2020!$B$2:$B$52&amp;Res_SF_Homes_RECS_2020!$A$2:$A$52,0)))</f>
        <v>0</v>
      </c>
      <c r="AT117" s="75">
        <f t="array" ref="AT117">IF(ISERROR(index(Res_SF_Homes_RECS_2020!$D$2:$D$52,match($B117&amp;AT$2,Res_SF_Homes_RECS_2020!$B$2:$B$52&amp;Res_SF_Homes_RECS_2020!$A$2:$A$52,0))),0,index(Res_SF_Homes_RECS_2020!$D$2:$D$52,match($B117&amp;AT$2,Res_SF_Homes_RECS_2020!$B$2:$B$52&amp;Res_SF_Homes_RECS_2020!$A$2:$A$52,0)))</f>
        <v>0</v>
      </c>
      <c r="AU117" s="75">
        <f t="array" ref="AU117">IF(ISERROR(index(Res_SF_Homes_RECS_2020!$D$2:$D$52,match($B117&amp;AU$2,Res_SF_Homes_RECS_2020!$B$2:$B$52&amp;Res_SF_Homes_RECS_2020!$A$2:$A$52,0))),0,index(Res_SF_Homes_RECS_2020!$D$2:$D$52,match($B117&amp;AU$2,Res_SF_Homes_RECS_2020!$B$2:$B$52&amp;Res_SF_Homes_RECS_2020!$A$2:$A$52,0)))</f>
        <v>0</v>
      </c>
      <c r="AV117" s="75">
        <f t="array" ref="AV117">IF(ISERROR(index(Res_SF_Homes_RECS_2020!$D$2:$D$52,match($B117&amp;AV$2,Res_SF_Homes_RECS_2020!$B$2:$B$52&amp;Res_SF_Homes_RECS_2020!$A$2:$A$52,0))),0,index(Res_SF_Homes_RECS_2020!$D$2:$D$52,match($B117&amp;AV$2,Res_SF_Homes_RECS_2020!$B$2:$B$52&amp;Res_SF_Homes_RECS_2020!$A$2:$A$52,0)))</f>
        <v>0</v>
      </c>
      <c r="AW117" s="75">
        <f t="array" ref="AW117">IF(ISERROR(index(Res_SF_Homes_RECS_2020!$D$2:$D$52,match($B117&amp;AW$2,Res_SF_Homes_RECS_2020!$B$2:$B$52&amp;Res_SF_Homes_RECS_2020!$A$2:$A$52,0))),0,index(Res_SF_Homes_RECS_2020!$D$2:$D$52,match($B117&amp;AW$2,Res_SF_Homes_RECS_2020!$B$2:$B$52&amp;Res_SF_Homes_RECS_2020!$A$2:$A$52,0)))</f>
        <v>0</v>
      </c>
      <c r="AX117" s="75">
        <f t="array" ref="AX117">IF(ISERROR(index(Res_SF_Homes_RECS_2020!$D$2:$D$52,match($B117&amp;AX$2,Res_SF_Homes_RECS_2020!$B$2:$B$52&amp;Res_SF_Homes_RECS_2020!$A$2:$A$52,0))),0,index(Res_SF_Homes_RECS_2020!$D$2:$D$52,match($B117&amp;AX$2,Res_SF_Homes_RECS_2020!$B$2:$B$52&amp;Res_SF_Homes_RECS_2020!$A$2:$A$52,0)))</f>
        <v>2.94</v>
      </c>
      <c r="AY117" s="75">
        <f t="array" ref="AY117">IF(ISERROR(index(Res_SF_Homes_RECS_2020!$D$2:$D$52,match($B117&amp;AY$2,Res_SF_Homes_RECS_2020!$B$2:$B$52&amp;Res_SF_Homes_RECS_2020!$A$2:$A$52,0))),0,index(Res_SF_Homes_RECS_2020!$D$2:$D$52,match($B117&amp;AY$2,Res_SF_Homes_RECS_2020!$B$2:$B$52&amp;Res_SF_Homes_RECS_2020!$A$2:$A$52,0)))</f>
        <v>0</v>
      </c>
      <c r="AZ117" s="75">
        <f t="array" ref="AZ117">IF(ISERROR(index(Res_SF_Homes_RECS_2020!$D$2:$D$52,match($B117&amp;AZ$2,Res_SF_Homes_RECS_2020!$B$2:$B$52&amp;Res_SF_Homes_RECS_2020!$A$2:$A$52,0))),0,index(Res_SF_Homes_RECS_2020!$D$2:$D$52,match($B117&amp;AZ$2,Res_SF_Homes_RECS_2020!$B$2:$B$52&amp;Res_SF_Homes_RECS_2020!$A$2:$A$52,0)))</f>
        <v>0</v>
      </c>
      <c r="BA117" s="75">
        <f t="array" ref="BA117">IF(ISERROR(index(Res_SF_Homes_RECS_2020!$D$2:$D$52,match($B117&amp;BA$2,Res_SF_Homes_RECS_2020!$B$2:$B$52&amp;Res_SF_Homes_RECS_2020!$A$2:$A$52,0))),0,index(Res_SF_Homes_RECS_2020!$D$2:$D$52,match($B117&amp;BA$2,Res_SF_Homes_RECS_2020!$B$2:$B$52&amp;Res_SF_Homes_RECS_2020!$A$2:$A$52,0)))</f>
        <v>0</v>
      </c>
      <c r="BB117" s="74">
        <f t="shared" si="17"/>
        <v>18.5</v>
      </c>
    </row>
    <row r="118" ht="15.75" customHeight="1">
      <c r="A118" s="78"/>
      <c r="B118" s="78" t="s">
        <v>4207</v>
      </c>
      <c r="C118" s="74">
        <f t="shared" ref="C118:BA118" si="18">sum(C109:C117)</f>
        <v>1.9</v>
      </c>
      <c r="D118" s="74">
        <f t="shared" si="18"/>
        <v>0.26</v>
      </c>
      <c r="E118" s="74">
        <f t="shared" si="18"/>
        <v>2.68</v>
      </c>
      <c r="F118" s="74">
        <f t="shared" si="18"/>
        <v>1.14</v>
      </c>
      <c r="G118" s="74">
        <f t="shared" si="18"/>
        <v>13.18</v>
      </c>
      <c r="H118" s="74">
        <f t="shared" si="18"/>
        <v>2.26</v>
      </c>
      <c r="I118" s="74">
        <f t="shared" si="18"/>
        <v>1.38</v>
      </c>
      <c r="J118" s="74">
        <f t="shared" si="18"/>
        <v>0.38</v>
      </c>
      <c r="K118" s="74">
        <f t="shared" si="18"/>
        <v>0.32</v>
      </c>
      <c r="L118" s="74">
        <f t="shared" si="18"/>
        <v>8.06</v>
      </c>
      <c r="M118" s="74">
        <f t="shared" si="18"/>
        <v>3.88</v>
      </c>
      <c r="N118" s="74">
        <f t="shared" si="18"/>
        <v>0.47</v>
      </c>
      <c r="O118" s="74">
        <f t="shared" si="18"/>
        <v>0.66</v>
      </c>
      <c r="P118" s="74">
        <f t="shared" si="18"/>
        <v>4.9</v>
      </c>
      <c r="Q118" s="74">
        <f t="shared" si="18"/>
        <v>2.6</v>
      </c>
      <c r="R118" s="74">
        <f t="shared" si="18"/>
        <v>1.28</v>
      </c>
      <c r="S118" s="74">
        <f t="shared" si="18"/>
        <v>1.13</v>
      </c>
      <c r="T118" s="74">
        <f t="shared" si="18"/>
        <v>1.74</v>
      </c>
      <c r="U118" s="74">
        <f t="shared" si="18"/>
        <v>1.73</v>
      </c>
      <c r="V118" s="74">
        <f t="shared" si="18"/>
        <v>0.56</v>
      </c>
      <c r="W118" s="74">
        <f t="shared" si="18"/>
        <v>2.28</v>
      </c>
      <c r="X118" s="74">
        <f t="shared" si="18"/>
        <v>2.71</v>
      </c>
      <c r="Y118" s="74">
        <f t="shared" si="18"/>
        <v>3.92</v>
      </c>
      <c r="Z118" s="74">
        <f t="shared" si="18"/>
        <v>2.23</v>
      </c>
      <c r="AA118" s="74">
        <f t="shared" si="18"/>
        <v>1.08</v>
      </c>
      <c r="AB118" s="74">
        <f t="shared" si="18"/>
        <v>2.43</v>
      </c>
      <c r="AC118" s="74">
        <f t="shared" si="18"/>
        <v>0.43</v>
      </c>
      <c r="AD118" s="74">
        <f t="shared" si="18"/>
        <v>0.77</v>
      </c>
      <c r="AE118" s="74">
        <f t="shared" si="18"/>
        <v>1.14</v>
      </c>
      <c r="AF118" s="74">
        <f t="shared" si="18"/>
        <v>0.54</v>
      </c>
      <c r="AG118" s="74">
        <f t="shared" si="18"/>
        <v>3.39</v>
      </c>
      <c r="AH118" s="74">
        <f t="shared" si="18"/>
        <v>0.79</v>
      </c>
      <c r="AI118" s="74">
        <f t="shared" si="18"/>
        <v>7.52</v>
      </c>
      <c r="AJ118" s="74">
        <f t="shared" si="18"/>
        <v>4.01</v>
      </c>
      <c r="AK118" s="74">
        <f t="shared" si="18"/>
        <v>0.32</v>
      </c>
      <c r="AL118" s="74">
        <f t="shared" si="18"/>
        <v>4.74</v>
      </c>
      <c r="AM118" s="74">
        <f t="shared" si="18"/>
        <v>1.49</v>
      </c>
      <c r="AN118" s="74">
        <f t="shared" si="18"/>
        <v>1.65</v>
      </c>
      <c r="AO118" s="74">
        <f t="shared" si="18"/>
        <v>5.13</v>
      </c>
      <c r="AP118" s="74">
        <f t="shared" si="18"/>
        <v>0.42</v>
      </c>
      <c r="AQ118" s="74">
        <f t="shared" si="18"/>
        <v>1.97</v>
      </c>
      <c r="AR118" s="74">
        <f t="shared" si="18"/>
        <v>0.35</v>
      </c>
      <c r="AS118" s="74">
        <f t="shared" si="18"/>
        <v>2.66</v>
      </c>
      <c r="AT118" s="74">
        <f t="shared" si="18"/>
        <v>10.26</v>
      </c>
      <c r="AU118" s="74">
        <f t="shared" si="18"/>
        <v>1.04</v>
      </c>
      <c r="AV118" s="74">
        <f t="shared" si="18"/>
        <v>0.26</v>
      </c>
      <c r="AW118" s="74">
        <f t="shared" si="18"/>
        <v>3.24</v>
      </c>
      <c r="AX118" s="74">
        <f t="shared" si="18"/>
        <v>2.94</v>
      </c>
      <c r="AY118" s="74">
        <f t="shared" si="18"/>
        <v>0.7</v>
      </c>
      <c r="AZ118" s="74">
        <f t="shared" si="18"/>
        <v>2.39</v>
      </c>
      <c r="BA118" s="74">
        <f t="shared" si="18"/>
        <v>0.23</v>
      </c>
      <c r="BB118" s="74">
        <f t="shared" si="17"/>
        <v>123.54</v>
      </c>
    </row>
    <row r="119" ht="15.75" customHeight="1"/>
    <row r="120" ht="15.75" customHeight="1">
      <c r="A120" s="80" t="s">
        <v>4245</v>
      </c>
    </row>
    <row r="121" ht="15.75" customHeight="1">
      <c r="A121" s="77" t="s">
        <v>4229</v>
      </c>
      <c r="B121" s="78" t="s">
        <v>48</v>
      </c>
      <c r="C121" s="79" t="s">
        <v>101</v>
      </c>
      <c r="D121" s="79" t="s">
        <v>171</v>
      </c>
      <c r="E121" s="79" t="s">
        <v>201</v>
      </c>
      <c r="F121" s="79" t="s">
        <v>220</v>
      </c>
      <c r="G121" s="79" t="s">
        <v>279</v>
      </c>
      <c r="H121" s="79" t="s">
        <v>339</v>
      </c>
      <c r="I121" s="79" t="s">
        <v>395</v>
      </c>
      <c r="J121" s="79" t="s">
        <v>405</v>
      </c>
      <c r="K121" s="79" t="s">
        <v>408</v>
      </c>
      <c r="L121" s="79" t="s">
        <v>410</v>
      </c>
      <c r="M121" s="79" t="s">
        <v>461</v>
      </c>
      <c r="N121" s="79" t="s">
        <v>570</v>
      </c>
      <c r="O121" s="79" t="s">
        <v>576</v>
      </c>
      <c r="P121" s="79" t="s">
        <v>608</v>
      </c>
      <c r="Q121" s="79" t="s">
        <v>663</v>
      </c>
      <c r="R121" s="79" t="s">
        <v>705</v>
      </c>
      <c r="S121" s="79" t="s">
        <v>750</v>
      </c>
      <c r="T121" s="79" t="s">
        <v>818</v>
      </c>
      <c r="U121" s="79" t="s">
        <v>875</v>
      </c>
      <c r="V121" s="79" t="s">
        <v>923</v>
      </c>
      <c r="W121" s="79" t="s">
        <v>934</v>
      </c>
      <c r="X121" s="79" t="s">
        <v>952</v>
      </c>
      <c r="Y121" s="79" t="s">
        <v>963</v>
      </c>
      <c r="Z121" s="79" t="s">
        <v>1026</v>
      </c>
      <c r="AA121" s="79" t="s">
        <v>255</v>
      </c>
      <c r="AB121" s="79" t="s">
        <v>1121</v>
      </c>
      <c r="AC121" s="79" t="s">
        <v>1162</v>
      </c>
      <c r="AD121" s="79" t="s">
        <v>1198</v>
      </c>
      <c r="AE121" s="79" t="s">
        <v>256</v>
      </c>
      <c r="AF121" s="79" t="s">
        <v>1251</v>
      </c>
      <c r="AG121" s="79" t="s">
        <v>1259</v>
      </c>
      <c r="AH121" s="79" t="s">
        <v>1271</v>
      </c>
      <c r="AI121" s="79" t="s">
        <v>1296</v>
      </c>
      <c r="AJ121" s="79" t="s">
        <v>1326</v>
      </c>
      <c r="AK121" s="79" t="s">
        <v>1390</v>
      </c>
      <c r="AL121" s="79" t="s">
        <v>683</v>
      </c>
      <c r="AM121" s="79" t="s">
        <v>1457</v>
      </c>
      <c r="AN121" s="79" t="s">
        <v>1144</v>
      </c>
      <c r="AO121" s="79" t="s">
        <v>1514</v>
      </c>
      <c r="AP121" s="79" t="s">
        <v>1546</v>
      </c>
      <c r="AQ121" s="79" t="s">
        <v>1550</v>
      </c>
      <c r="AR121" s="79" t="s">
        <v>1578</v>
      </c>
      <c r="AS121" s="79" t="s">
        <v>1616</v>
      </c>
      <c r="AT121" s="79" t="s">
        <v>1159</v>
      </c>
      <c r="AU121" s="79" t="s">
        <v>1802</v>
      </c>
      <c r="AV121" s="79" t="s">
        <v>1819</v>
      </c>
      <c r="AW121" s="79" t="s">
        <v>1828</v>
      </c>
      <c r="AX121" s="79" t="s">
        <v>167</v>
      </c>
      <c r="AY121" s="79" t="s">
        <v>1924</v>
      </c>
      <c r="AZ121" s="79" t="s">
        <v>1942</v>
      </c>
      <c r="BA121" s="79" t="s">
        <v>1323</v>
      </c>
      <c r="BB121" s="78" t="s">
        <v>4207</v>
      </c>
    </row>
    <row r="122" ht="15.75" customHeight="1">
      <c r="A122" s="52" t="s">
        <v>4230</v>
      </c>
      <c r="B122" s="74">
        <v>1.0</v>
      </c>
      <c r="C122" s="75">
        <f t="array" ref="C122">IF(ISERROR(index(Res_SF_Homes_RECS_2020!$E$2:$E$52,match($B122&amp;C$2,Res_SF_Homes_RECS_2020!$B$2:$B$52&amp;Res_SF_Homes_RECS_2020!$A$2:$A$52,0))),0,index(Res_SF_Homes_RECS_2020!$E$2:$E$52,match($B122&amp;C$2,Res_SF_Homes_RECS_2020!$B$2:$B$52&amp;Res_SF_Homes_RECS_2020!$A$2:$A$52,0)))</f>
        <v>0</v>
      </c>
      <c r="D122" s="75">
        <f t="array" ref="D122">IF(ISERROR(index(Res_SF_Homes_RECS_2020!$E$2:$E$52,match($B122&amp;D$2,Res_SF_Homes_RECS_2020!$B$2:$B$52&amp;Res_SF_Homes_RECS_2020!$A$2:$A$52,0))),0,index(Res_SF_Homes_RECS_2020!$E$2:$E$52,match($B122&amp;D$2,Res_SF_Homes_RECS_2020!$B$2:$B$52&amp;Res_SF_Homes_RECS_2020!$A$2:$A$52,0)))</f>
        <v>0</v>
      </c>
      <c r="E122" s="75">
        <f t="array" ref="E122">IF(ISERROR(index(Res_SF_Homes_RECS_2020!$E$2:$E$52,match($B122&amp;E$2,Res_SF_Homes_RECS_2020!$B$2:$B$52&amp;Res_SF_Homes_RECS_2020!$A$2:$A$52,0))),0,index(Res_SF_Homes_RECS_2020!$E$2:$E$52,match($B122&amp;E$2,Res_SF_Homes_RECS_2020!$B$2:$B$52&amp;Res_SF_Homes_RECS_2020!$A$2:$A$52,0)))</f>
        <v>0</v>
      </c>
      <c r="F122" s="75">
        <f t="array" ref="F122">IF(ISERROR(index(Res_SF_Homes_RECS_2020!$E$2:$E$52,match($B122&amp;F$2,Res_SF_Homes_RECS_2020!$B$2:$B$52&amp;Res_SF_Homes_RECS_2020!$A$2:$A$52,0))),0,index(Res_SF_Homes_RECS_2020!$E$2:$E$52,match($B122&amp;F$2,Res_SF_Homes_RECS_2020!$B$2:$B$52&amp;Res_SF_Homes_RECS_2020!$A$2:$A$52,0)))</f>
        <v>0</v>
      </c>
      <c r="G122" s="75">
        <f t="array" ref="G122">IF(ISERROR(index(Res_SF_Homes_RECS_2020!$E$2:$E$52,match($B122&amp;G$2,Res_SF_Homes_RECS_2020!$B$2:$B$52&amp;Res_SF_Homes_RECS_2020!$A$2:$A$52,0))),0,index(Res_SF_Homes_RECS_2020!$E$2:$E$52,match($B122&amp;G$2,Res_SF_Homes_RECS_2020!$B$2:$B$52&amp;Res_SF_Homes_RECS_2020!$A$2:$A$52,0)))</f>
        <v>0</v>
      </c>
      <c r="H122" s="75">
        <f t="array" ref="H122">IF(ISERROR(index(Res_SF_Homes_RECS_2020!$E$2:$E$52,match($B122&amp;H$2,Res_SF_Homes_RECS_2020!$B$2:$B$52&amp;Res_SF_Homes_RECS_2020!$A$2:$A$52,0))),0,index(Res_SF_Homes_RECS_2020!$E$2:$E$52,match($B122&amp;H$2,Res_SF_Homes_RECS_2020!$B$2:$B$52&amp;Res_SF_Homes_RECS_2020!$A$2:$A$52,0)))</f>
        <v>0</v>
      </c>
      <c r="I122" s="75">
        <f t="array" ref="I122">IF(ISERROR(index(Res_SF_Homes_RECS_2020!$E$2:$E$52,match($B122&amp;I$2,Res_SF_Homes_RECS_2020!$B$2:$B$52&amp;Res_SF_Homes_RECS_2020!$A$2:$A$52,0))),0,index(Res_SF_Homes_RECS_2020!$E$2:$E$52,match($B122&amp;I$2,Res_SF_Homes_RECS_2020!$B$2:$B$52&amp;Res_SF_Homes_RECS_2020!$A$2:$A$52,0)))</f>
        <v>2.79</v>
      </c>
      <c r="J122" s="75">
        <f t="array" ref="J122">IF(ISERROR(index(Res_SF_Homes_RECS_2020!$E$2:$E$52,match($B122&amp;J$2,Res_SF_Homes_RECS_2020!$B$2:$B$52&amp;Res_SF_Homes_RECS_2020!$A$2:$A$52,0))),0,index(Res_SF_Homes_RECS_2020!$E$2:$E$52,match($B122&amp;J$2,Res_SF_Homes_RECS_2020!$B$2:$B$52&amp;Res_SF_Homes_RECS_2020!$A$2:$A$52,0)))</f>
        <v>0</v>
      </c>
      <c r="K122" s="75">
        <f t="array" ref="K122">IF(ISERROR(index(Res_SF_Homes_RECS_2020!$E$2:$E$52,match($B122&amp;K$2,Res_SF_Homes_RECS_2020!$B$2:$B$52&amp;Res_SF_Homes_RECS_2020!$A$2:$A$52,0))),0,index(Res_SF_Homes_RECS_2020!$E$2:$E$52,match($B122&amp;K$2,Res_SF_Homes_RECS_2020!$B$2:$B$52&amp;Res_SF_Homes_RECS_2020!$A$2:$A$52,0)))</f>
        <v>0</v>
      </c>
      <c r="L122" s="75">
        <f t="array" ref="L122">IF(ISERROR(index(Res_SF_Homes_RECS_2020!$E$2:$E$52,match($B122&amp;L$2,Res_SF_Homes_RECS_2020!$B$2:$B$52&amp;Res_SF_Homes_RECS_2020!$A$2:$A$52,0))),0,index(Res_SF_Homes_RECS_2020!$E$2:$E$52,match($B122&amp;L$2,Res_SF_Homes_RECS_2020!$B$2:$B$52&amp;Res_SF_Homes_RECS_2020!$A$2:$A$52,0)))</f>
        <v>0</v>
      </c>
      <c r="M122" s="75">
        <f t="array" ref="M122">IF(ISERROR(index(Res_SF_Homes_RECS_2020!$E$2:$E$52,match($B122&amp;M$2,Res_SF_Homes_RECS_2020!$B$2:$B$52&amp;Res_SF_Homes_RECS_2020!$A$2:$A$52,0))),0,index(Res_SF_Homes_RECS_2020!$E$2:$E$52,match($B122&amp;M$2,Res_SF_Homes_RECS_2020!$B$2:$B$52&amp;Res_SF_Homes_RECS_2020!$A$2:$A$52,0)))</f>
        <v>0</v>
      </c>
      <c r="N122" s="75">
        <f t="array" ref="N122">IF(ISERROR(index(Res_SF_Homes_RECS_2020!$E$2:$E$52,match($B122&amp;N$2,Res_SF_Homes_RECS_2020!$B$2:$B$52&amp;Res_SF_Homes_RECS_2020!$A$2:$A$52,0))),0,index(Res_SF_Homes_RECS_2020!$E$2:$E$52,match($B122&amp;N$2,Res_SF_Homes_RECS_2020!$B$2:$B$52&amp;Res_SF_Homes_RECS_2020!$A$2:$A$52,0)))</f>
        <v>0</v>
      </c>
      <c r="O122" s="75">
        <f t="array" ref="O122">IF(ISERROR(index(Res_SF_Homes_RECS_2020!$E$2:$E$52,match($B122&amp;O$2,Res_SF_Homes_RECS_2020!$B$2:$B$52&amp;Res_SF_Homes_RECS_2020!$A$2:$A$52,0))),0,index(Res_SF_Homes_RECS_2020!$E$2:$E$52,match($B122&amp;O$2,Res_SF_Homes_RECS_2020!$B$2:$B$52&amp;Res_SF_Homes_RECS_2020!$A$2:$A$52,0)))</f>
        <v>0</v>
      </c>
      <c r="P122" s="75">
        <f t="array" ref="P122">IF(ISERROR(index(Res_SF_Homes_RECS_2020!$E$2:$E$52,match($B122&amp;P$2,Res_SF_Homes_RECS_2020!$B$2:$B$52&amp;Res_SF_Homes_RECS_2020!$A$2:$A$52,0))),0,index(Res_SF_Homes_RECS_2020!$E$2:$E$52,match($B122&amp;P$2,Res_SF_Homes_RECS_2020!$B$2:$B$52&amp;Res_SF_Homes_RECS_2020!$A$2:$A$52,0)))</f>
        <v>0</v>
      </c>
      <c r="Q122" s="75">
        <f t="array" ref="Q122">IF(ISERROR(index(Res_SF_Homes_RECS_2020!$E$2:$E$52,match($B122&amp;Q$2,Res_SF_Homes_RECS_2020!$B$2:$B$52&amp;Res_SF_Homes_RECS_2020!$A$2:$A$52,0))),0,index(Res_SF_Homes_RECS_2020!$E$2:$E$52,match($B122&amp;Q$2,Res_SF_Homes_RECS_2020!$B$2:$B$52&amp;Res_SF_Homes_RECS_2020!$A$2:$A$52,0)))</f>
        <v>0</v>
      </c>
      <c r="R122" s="75">
        <f t="array" ref="R122">IF(ISERROR(index(Res_SF_Homes_RECS_2020!$E$2:$E$52,match($B122&amp;R$2,Res_SF_Homes_RECS_2020!$B$2:$B$52&amp;Res_SF_Homes_RECS_2020!$A$2:$A$52,0))),0,index(Res_SF_Homes_RECS_2020!$E$2:$E$52,match($B122&amp;R$2,Res_SF_Homes_RECS_2020!$B$2:$B$52&amp;Res_SF_Homes_RECS_2020!$A$2:$A$52,0)))</f>
        <v>0</v>
      </c>
      <c r="S122" s="75">
        <f t="array" ref="S122">IF(ISERROR(index(Res_SF_Homes_RECS_2020!$E$2:$E$52,match($B122&amp;S$2,Res_SF_Homes_RECS_2020!$B$2:$B$52&amp;Res_SF_Homes_RECS_2020!$A$2:$A$52,0))),0,index(Res_SF_Homes_RECS_2020!$E$2:$E$52,match($B122&amp;S$2,Res_SF_Homes_RECS_2020!$B$2:$B$52&amp;Res_SF_Homes_RECS_2020!$A$2:$A$52,0)))</f>
        <v>0</v>
      </c>
      <c r="T122" s="75">
        <f t="array" ref="T122">IF(ISERROR(index(Res_SF_Homes_RECS_2020!$E$2:$E$52,match($B122&amp;T$2,Res_SF_Homes_RECS_2020!$B$2:$B$52&amp;Res_SF_Homes_RECS_2020!$A$2:$A$52,0))),0,index(Res_SF_Homes_RECS_2020!$E$2:$E$52,match($B122&amp;T$2,Res_SF_Homes_RECS_2020!$B$2:$B$52&amp;Res_SF_Homes_RECS_2020!$A$2:$A$52,0)))</f>
        <v>0</v>
      </c>
      <c r="U122" s="75">
        <f t="array" ref="U122">IF(ISERROR(index(Res_SF_Homes_RECS_2020!$E$2:$E$52,match($B122&amp;U$2,Res_SF_Homes_RECS_2020!$B$2:$B$52&amp;Res_SF_Homes_RECS_2020!$A$2:$A$52,0))),0,index(Res_SF_Homes_RECS_2020!$E$2:$E$52,match($B122&amp;U$2,Res_SF_Homes_RECS_2020!$B$2:$B$52&amp;Res_SF_Homes_RECS_2020!$A$2:$A$52,0)))</f>
        <v>0</v>
      </c>
      <c r="V122" s="75">
        <f t="array" ref="V122">IF(ISERROR(index(Res_SF_Homes_RECS_2020!$E$2:$E$52,match($B122&amp;V$2,Res_SF_Homes_RECS_2020!$B$2:$B$52&amp;Res_SF_Homes_RECS_2020!$A$2:$A$52,0))),0,index(Res_SF_Homes_RECS_2020!$E$2:$E$52,match($B122&amp;V$2,Res_SF_Homes_RECS_2020!$B$2:$B$52&amp;Res_SF_Homes_RECS_2020!$A$2:$A$52,0)))</f>
        <v>1.12</v>
      </c>
      <c r="W122" s="75">
        <f t="array" ref="W122">IF(ISERROR(index(Res_SF_Homes_RECS_2020!$E$2:$E$52,match($B122&amp;W$2,Res_SF_Homes_RECS_2020!$B$2:$B$52&amp;Res_SF_Homes_RECS_2020!$A$2:$A$52,0))),0,index(Res_SF_Homes_RECS_2020!$E$2:$E$52,match($B122&amp;W$2,Res_SF_Homes_RECS_2020!$B$2:$B$52&amp;Res_SF_Homes_RECS_2020!$A$2:$A$52,0)))</f>
        <v>0</v>
      </c>
      <c r="X122" s="75">
        <f t="array" ref="X122">IF(ISERROR(index(Res_SF_Homes_RECS_2020!$E$2:$E$52,match($B122&amp;X$2,Res_SF_Homes_RECS_2020!$B$2:$B$52&amp;Res_SF_Homes_RECS_2020!$A$2:$A$52,0))),0,index(Res_SF_Homes_RECS_2020!$E$2:$E$52,match($B122&amp;X$2,Res_SF_Homes_RECS_2020!$B$2:$B$52&amp;Res_SF_Homes_RECS_2020!$A$2:$A$52,0)))</f>
        <v>5.03</v>
      </c>
      <c r="Y122" s="75">
        <f t="array" ref="Y122">IF(ISERROR(index(Res_SF_Homes_RECS_2020!$E$2:$E$52,match($B122&amp;Y$2,Res_SF_Homes_RECS_2020!$B$2:$B$52&amp;Res_SF_Homes_RECS_2020!$A$2:$A$52,0))),0,index(Res_SF_Homes_RECS_2020!$E$2:$E$52,match($B122&amp;Y$2,Res_SF_Homes_RECS_2020!$B$2:$B$52&amp;Res_SF_Homes_RECS_2020!$A$2:$A$52,0)))</f>
        <v>0</v>
      </c>
      <c r="Z122" s="75">
        <f t="array" ref="Z122">IF(ISERROR(index(Res_SF_Homes_RECS_2020!$E$2:$E$52,match($B122&amp;Z$2,Res_SF_Homes_RECS_2020!$B$2:$B$52&amp;Res_SF_Homes_RECS_2020!$A$2:$A$52,0))),0,index(Res_SF_Homes_RECS_2020!$E$2:$E$52,match($B122&amp;Z$2,Res_SF_Homes_RECS_2020!$B$2:$B$52&amp;Res_SF_Homes_RECS_2020!$A$2:$A$52,0)))</f>
        <v>0</v>
      </c>
      <c r="AA122" s="75">
        <f t="array" ref="AA122">IF(ISERROR(index(Res_SF_Homes_RECS_2020!$E$2:$E$52,match($B122&amp;AA$2,Res_SF_Homes_RECS_2020!$B$2:$B$52&amp;Res_SF_Homes_RECS_2020!$A$2:$A$52,0))),0,index(Res_SF_Homes_RECS_2020!$E$2:$E$52,match($B122&amp;AA$2,Res_SF_Homes_RECS_2020!$B$2:$B$52&amp;Res_SF_Homes_RECS_2020!$A$2:$A$52,0)))</f>
        <v>0</v>
      </c>
      <c r="AB122" s="75">
        <f t="array" ref="AB122">IF(ISERROR(index(Res_SF_Homes_RECS_2020!$E$2:$E$52,match($B122&amp;AB$2,Res_SF_Homes_RECS_2020!$B$2:$B$52&amp;Res_SF_Homes_RECS_2020!$A$2:$A$52,0))),0,index(Res_SF_Homes_RECS_2020!$E$2:$E$52,match($B122&amp;AB$2,Res_SF_Homes_RECS_2020!$B$2:$B$52&amp;Res_SF_Homes_RECS_2020!$A$2:$A$52,0)))</f>
        <v>0</v>
      </c>
      <c r="AC122" s="75">
        <f t="array" ref="AC122">IF(ISERROR(index(Res_SF_Homes_RECS_2020!$E$2:$E$52,match($B122&amp;AC$2,Res_SF_Homes_RECS_2020!$B$2:$B$52&amp;Res_SF_Homes_RECS_2020!$A$2:$A$52,0))),0,index(Res_SF_Homes_RECS_2020!$E$2:$E$52,match($B122&amp;AC$2,Res_SF_Homes_RECS_2020!$B$2:$B$52&amp;Res_SF_Homes_RECS_2020!$A$2:$A$52,0)))</f>
        <v>0</v>
      </c>
      <c r="AD122" s="75">
        <f t="array" ref="AD122">IF(ISERROR(index(Res_SF_Homes_RECS_2020!$E$2:$E$52,match($B122&amp;AD$2,Res_SF_Homes_RECS_2020!$B$2:$B$52&amp;Res_SF_Homes_RECS_2020!$A$2:$A$52,0))),0,index(Res_SF_Homes_RECS_2020!$E$2:$E$52,match($B122&amp;AD$2,Res_SF_Homes_RECS_2020!$B$2:$B$52&amp;Res_SF_Homes_RECS_2020!$A$2:$A$52,0)))</f>
        <v>0</v>
      </c>
      <c r="AE122" s="75">
        <f t="array" ref="AE122">IF(ISERROR(index(Res_SF_Homes_RECS_2020!$E$2:$E$52,match($B122&amp;AE$2,Res_SF_Homes_RECS_2020!$B$2:$B$52&amp;Res_SF_Homes_RECS_2020!$A$2:$A$52,0))),0,index(Res_SF_Homes_RECS_2020!$E$2:$E$52,match($B122&amp;AE$2,Res_SF_Homes_RECS_2020!$B$2:$B$52&amp;Res_SF_Homes_RECS_2020!$A$2:$A$52,0)))</f>
        <v>0</v>
      </c>
      <c r="AF122" s="75">
        <f t="array" ref="AF122">IF(ISERROR(index(Res_SF_Homes_RECS_2020!$E$2:$E$52,match($B122&amp;AF$2,Res_SF_Homes_RECS_2020!$B$2:$B$52&amp;Res_SF_Homes_RECS_2020!$A$2:$A$52,0))),0,index(Res_SF_Homes_RECS_2020!$E$2:$E$52,match($B122&amp;AF$2,Res_SF_Homes_RECS_2020!$B$2:$B$52&amp;Res_SF_Homes_RECS_2020!$A$2:$A$52,0)))</f>
        <v>1.13</v>
      </c>
      <c r="AG122" s="75">
        <f t="array" ref="AG122">IF(ISERROR(index(Res_SF_Homes_RECS_2020!$E$2:$E$52,match($B122&amp;AG$2,Res_SF_Homes_RECS_2020!$B$2:$B$52&amp;Res_SF_Homes_RECS_2020!$A$2:$A$52,0))),0,index(Res_SF_Homes_RECS_2020!$E$2:$E$52,match($B122&amp;AG$2,Res_SF_Homes_RECS_2020!$B$2:$B$52&amp;Res_SF_Homes_RECS_2020!$A$2:$A$52,0)))</f>
        <v>0</v>
      </c>
      <c r="AH122" s="75">
        <f t="array" ref="AH122">IF(ISERROR(index(Res_SF_Homes_RECS_2020!$E$2:$E$52,match($B122&amp;AH$2,Res_SF_Homes_RECS_2020!$B$2:$B$52&amp;Res_SF_Homes_RECS_2020!$A$2:$A$52,0))),0,index(Res_SF_Homes_RECS_2020!$E$2:$E$52,match($B122&amp;AH$2,Res_SF_Homes_RECS_2020!$B$2:$B$52&amp;Res_SF_Homes_RECS_2020!$A$2:$A$52,0)))</f>
        <v>0</v>
      </c>
      <c r="AI122" s="75">
        <f t="array" ref="AI122">IF(ISERROR(index(Res_SF_Homes_RECS_2020!$E$2:$E$52,match($B122&amp;AI$2,Res_SF_Homes_RECS_2020!$B$2:$B$52&amp;Res_SF_Homes_RECS_2020!$A$2:$A$52,0))),0,index(Res_SF_Homes_RECS_2020!$E$2:$E$52,match($B122&amp;AI$2,Res_SF_Homes_RECS_2020!$B$2:$B$52&amp;Res_SF_Homes_RECS_2020!$A$2:$A$52,0)))</f>
        <v>0</v>
      </c>
      <c r="AJ122" s="75">
        <f t="array" ref="AJ122">IF(ISERROR(index(Res_SF_Homes_RECS_2020!$E$2:$E$52,match($B122&amp;AJ$2,Res_SF_Homes_RECS_2020!$B$2:$B$52&amp;Res_SF_Homes_RECS_2020!$A$2:$A$52,0))),0,index(Res_SF_Homes_RECS_2020!$E$2:$E$52,match($B122&amp;AJ$2,Res_SF_Homes_RECS_2020!$B$2:$B$52&amp;Res_SF_Homes_RECS_2020!$A$2:$A$52,0)))</f>
        <v>0</v>
      </c>
      <c r="AK122" s="75">
        <f t="array" ref="AK122">IF(ISERROR(index(Res_SF_Homes_RECS_2020!$E$2:$E$52,match($B122&amp;AK$2,Res_SF_Homes_RECS_2020!$B$2:$B$52&amp;Res_SF_Homes_RECS_2020!$A$2:$A$52,0))),0,index(Res_SF_Homes_RECS_2020!$E$2:$E$52,match($B122&amp;AK$2,Res_SF_Homes_RECS_2020!$B$2:$B$52&amp;Res_SF_Homes_RECS_2020!$A$2:$A$52,0)))</f>
        <v>0</v>
      </c>
      <c r="AL122" s="75">
        <f t="array" ref="AL122">IF(ISERROR(index(Res_SF_Homes_RECS_2020!$E$2:$E$52,match($B122&amp;AL$2,Res_SF_Homes_RECS_2020!$B$2:$B$52&amp;Res_SF_Homes_RECS_2020!$A$2:$A$52,0))),0,index(Res_SF_Homes_RECS_2020!$E$2:$E$52,match($B122&amp;AL$2,Res_SF_Homes_RECS_2020!$B$2:$B$52&amp;Res_SF_Homes_RECS_2020!$A$2:$A$52,0)))</f>
        <v>0</v>
      </c>
      <c r="AM122" s="75">
        <f t="array" ref="AM122">IF(ISERROR(index(Res_SF_Homes_RECS_2020!$E$2:$E$52,match($B122&amp;AM$2,Res_SF_Homes_RECS_2020!$B$2:$B$52&amp;Res_SF_Homes_RECS_2020!$A$2:$A$52,0))),0,index(Res_SF_Homes_RECS_2020!$E$2:$E$52,match($B122&amp;AM$2,Res_SF_Homes_RECS_2020!$B$2:$B$52&amp;Res_SF_Homes_RECS_2020!$A$2:$A$52,0)))</f>
        <v>0</v>
      </c>
      <c r="AN122" s="75">
        <f t="array" ref="AN122">IF(ISERROR(index(Res_SF_Homes_RECS_2020!$E$2:$E$52,match($B122&amp;AN$2,Res_SF_Homes_RECS_2020!$B$2:$B$52&amp;Res_SF_Homes_RECS_2020!$A$2:$A$52,0))),0,index(Res_SF_Homes_RECS_2020!$E$2:$E$52,match($B122&amp;AN$2,Res_SF_Homes_RECS_2020!$B$2:$B$52&amp;Res_SF_Homes_RECS_2020!$A$2:$A$52,0)))</f>
        <v>0</v>
      </c>
      <c r="AO122" s="75">
        <f t="array" ref="AO122">IF(ISERROR(index(Res_SF_Homes_RECS_2020!$E$2:$E$52,match($B122&amp;AO$2,Res_SF_Homes_RECS_2020!$B$2:$B$52&amp;Res_SF_Homes_RECS_2020!$A$2:$A$52,0))),0,index(Res_SF_Homes_RECS_2020!$E$2:$E$52,match($B122&amp;AO$2,Res_SF_Homes_RECS_2020!$B$2:$B$52&amp;Res_SF_Homes_RECS_2020!$A$2:$A$52,0)))</f>
        <v>0</v>
      </c>
      <c r="AP122" s="75">
        <f t="array" ref="AP122">IF(ISERROR(index(Res_SF_Homes_RECS_2020!$E$2:$E$52,match($B122&amp;AP$2,Res_SF_Homes_RECS_2020!$B$2:$B$52&amp;Res_SF_Homes_RECS_2020!$A$2:$A$52,0))),0,index(Res_SF_Homes_RECS_2020!$E$2:$E$52,match($B122&amp;AP$2,Res_SF_Homes_RECS_2020!$B$2:$B$52&amp;Res_SF_Homes_RECS_2020!$A$2:$A$52,0)))</f>
        <v>0.78</v>
      </c>
      <c r="AQ122" s="75">
        <f t="array" ref="AQ122">IF(ISERROR(index(Res_SF_Homes_RECS_2020!$E$2:$E$52,match($B122&amp;AQ$2,Res_SF_Homes_RECS_2020!$B$2:$B$52&amp;Res_SF_Homes_RECS_2020!$A$2:$A$52,0))),0,index(Res_SF_Homes_RECS_2020!$E$2:$E$52,match($B122&amp;AQ$2,Res_SF_Homes_RECS_2020!$B$2:$B$52&amp;Res_SF_Homes_RECS_2020!$A$2:$A$52,0)))</f>
        <v>0</v>
      </c>
      <c r="AR122" s="75">
        <f t="array" ref="AR122">IF(ISERROR(index(Res_SF_Homes_RECS_2020!$E$2:$E$52,match($B122&amp;AR$2,Res_SF_Homes_RECS_2020!$B$2:$B$52&amp;Res_SF_Homes_RECS_2020!$A$2:$A$52,0))),0,index(Res_SF_Homes_RECS_2020!$E$2:$E$52,match($B122&amp;AR$2,Res_SF_Homes_RECS_2020!$B$2:$B$52&amp;Res_SF_Homes_RECS_2020!$A$2:$A$52,0)))</f>
        <v>0</v>
      </c>
      <c r="AS122" s="75">
        <f t="array" ref="AS122">IF(ISERROR(index(Res_SF_Homes_RECS_2020!$E$2:$E$52,match($B122&amp;AS$2,Res_SF_Homes_RECS_2020!$B$2:$B$52&amp;Res_SF_Homes_RECS_2020!$A$2:$A$52,0))),0,index(Res_SF_Homes_RECS_2020!$E$2:$E$52,match($B122&amp;AS$2,Res_SF_Homes_RECS_2020!$B$2:$B$52&amp;Res_SF_Homes_RECS_2020!$A$2:$A$52,0)))</f>
        <v>0</v>
      </c>
      <c r="AT122" s="75">
        <f t="array" ref="AT122">IF(ISERROR(index(Res_SF_Homes_RECS_2020!$E$2:$E$52,match($B122&amp;AT$2,Res_SF_Homes_RECS_2020!$B$2:$B$52&amp;Res_SF_Homes_RECS_2020!$A$2:$A$52,0))),0,index(Res_SF_Homes_RECS_2020!$E$2:$E$52,match($B122&amp;AT$2,Res_SF_Homes_RECS_2020!$B$2:$B$52&amp;Res_SF_Homes_RECS_2020!$A$2:$A$52,0)))</f>
        <v>0</v>
      </c>
      <c r="AU122" s="75">
        <f t="array" ref="AU122">IF(ISERROR(index(Res_SF_Homes_RECS_2020!$E$2:$E$52,match($B122&amp;AU$2,Res_SF_Homes_RECS_2020!$B$2:$B$52&amp;Res_SF_Homes_RECS_2020!$A$2:$A$52,0))),0,index(Res_SF_Homes_RECS_2020!$E$2:$E$52,match($B122&amp;AU$2,Res_SF_Homes_RECS_2020!$B$2:$B$52&amp;Res_SF_Homes_RECS_2020!$A$2:$A$52,0)))</f>
        <v>0</v>
      </c>
      <c r="AV122" s="75">
        <f t="array" ref="AV122">IF(ISERROR(index(Res_SF_Homes_RECS_2020!$E$2:$E$52,match($B122&amp;AV$2,Res_SF_Homes_RECS_2020!$B$2:$B$52&amp;Res_SF_Homes_RECS_2020!$A$2:$A$52,0))),0,index(Res_SF_Homes_RECS_2020!$E$2:$E$52,match($B122&amp;AV$2,Res_SF_Homes_RECS_2020!$B$2:$B$52&amp;Res_SF_Homes_RECS_2020!$A$2:$A$52,0)))</f>
        <v>0.49</v>
      </c>
      <c r="AW122" s="75">
        <f t="array" ref="AW122">IF(ISERROR(index(Res_SF_Homes_RECS_2020!$E$2:$E$52,match($B122&amp;AW$2,Res_SF_Homes_RECS_2020!$B$2:$B$52&amp;Res_SF_Homes_RECS_2020!$A$2:$A$52,0))),0,index(Res_SF_Homes_RECS_2020!$E$2:$E$52,match($B122&amp;AW$2,Res_SF_Homes_RECS_2020!$B$2:$B$52&amp;Res_SF_Homes_RECS_2020!$A$2:$A$52,0)))</f>
        <v>0</v>
      </c>
      <c r="AX122" s="75">
        <f t="array" ref="AX122">IF(ISERROR(index(Res_SF_Homes_RECS_2020!$E$2:$E$52,match($B122&amp;AX$2,Res_SF_Homes_RECS_2020!$B$2:$B$52&amp;Res_SF_Homes_RECS_2020!$A$2:$A$52,0))),0,index(Res_SF_Homes_RECS_2020!$E$2:$E$52,match($B122&amp;AX$2,Res_SF_Homes_RECS_2020!$B$2:$B$52&amp;Res_SF_Homes_RECS_2020!$A$2:$A$52,0)))</f>
        <v>0</v>
      </c>
      <c r="AY122" s="75">
        <f t="array" ref="AY122">IF(ISERROR(index(Res_SF_Homes_RECS_2020!$E$2:$E$52,match($B122&amp;AY$2,Res_SF_Homes_RECS_2020!$B$2:$B$52&amp;Res_SF_Homes_RECS_2020!$A$2:$A$52,0))),0,index(Res_SF_Homes_RECS_2020!$E$2:$E$52,match($B122&amp;AY$2,Res_SF_Homes_RECS_2020!$B$2:$B$52&amp;Res_SF_Homes_RECS_2020!$A$2:$A$52,0)))</f>
        <v>0</v>
      </c>
      <c r="AZ122" s="75">
        <f t="array" ref="AZ122">IF(ISERROR(index(Res_SF_Homes_RECS_2020!$E$2:$E$52,match($B122&amp;AZ$2,Res_SF_Homes_RECS_2020!$B$2:$B$52&amp;Res_SF_Homes_RECS_2020!$A$2:$A$52,0))),0,index(Res_SF_Homes_RECS_2020!$E$2:$E$52,match($B122&amp;AZ$2,Res_SF_Homes_RECS_2020!$B$2:$B$52&amp;Res_SF_Homes_RECS_2020!$A$2:$A$52,0)))</f>
        <v>0</v>
      </c>
      <c r="BA122" s="75">
        <f t="array" ref="BA122">IF(ISERROR(index(Res_SF_Homes_RECS_2020!$E$2:$E$52,match($B122&amp;BA$2,Res_SF_Homes_RECS_2020!$B$2:$B$52&amp;Res_SF_Homes_RECS_2020!$A$2:$A$52,0))),0,index(Res_SF_Homes_RECS_2020!$E$2:$E$52,match($B122&amp;BA$2,Res_SF_Homes_RECS_2020!$B$2:$B$52&amp;Res_SF_Homes_RECS_2020!$A$2:$A$52,0)))</f>
        <v>0</v>
      </c>
      <c r="BB122" s="74">
        <f t="shared" ref="BB122:BB131" si="19">sum(C122:BA122)</f>
        <v>11.34</v>
      </c>
    </row>
    <row r="123" ht="15.75" customHeight="1">
      <c r="A123" s="78"/>
      <c r="B123" s="74">
        <v>2.0</v>
      </c>
      <c r="C123" s="75">
        <f t="array" ref="C123">IF(ISERROR(index(Res_SF_Homes_RECS_2020!$E$2:$E$52,match($B123&amp;C$2,Res_SF_Homes_RECS_2020!$B$2:$B$52&amp;Res_SF_Homes_RECS_2020!$A$2:$A$52,0))),0,index(Res_SF_Homes_RECS_2020!$E$2:$E$52,match($B123&amp;C$2,Res_SF_Homes_RECS_2020!$B$2:$B$52&amp;Res_SF_Homes_RECS_2020!$A$2:$A$52,0)))</f>
        <v>0</v>
      </c>
      <c r="D123" s="75">
        <f t="array" ref="D123">IF(ISERROR(index(Res_SF_Homes_RECS_2020!$E$2:$E$52,match($B123&amp;D$2,Res_SF_Homes_RECS_2020!$B$2:$B$52&amp;Res_SF_Homes_RECS_2020!$A$2:$A$52,0))),0,index(Res_SF_Homes_RECS_2020!$E$2:$E$52,match($B123&amp;D$2,Res_SF_Homes_RECS_2020!$B$2:$B$52&amp;Res_SF_Homes_RECS_2020!$A$2:$A$52,0)))</f>
        <v>0</v>
      </c>
      <c r="E123" s="75">
        <f t="array" ref="E123">IF(ISERROR(index(Res_SF_Homes_RECS_2020!$E$2:$E$52,match($B123&amp;E$2,Res_SF_Homes_RECS_2020!$B$2:$B$52&amp;Res_SF_Homes_RECS_2020!$A$2:$A$52,0))),0,index(Res_SF_Homes_RECS_2020!$E$2:$E$52,match($B123&amp;E$2,Res_SF_Homes_RECS_2020!$B$2:$B$52&amp;Res_SF_Homes_RECS_2020!$A$2:$A$52,0)))</f>
        <v>0</v>
      </c>
      <c r="F123" s="75">
        <f t="array" ref="F123">IF(ISERROR(index(Res_SF_Homes_RECS_2020!$E$2:$E$52,match($B123&amp;F$2,Res_SF_Homes_RECS_2020!$B$2:$B$52&amp;Res_SF_Homes_RECS_2020!$A$2:$A$52,0))),0,index(Res_SF_Homes_RECS_2020!$E$2:$E$52,match($B123&amp;F$2,Res_SF_Homes_RECS_2020!$B$2:$B$52&amp;Res_SF_Homes_RECS_2020!$A$2:$A$52,0)))</f>
        <v>0</v>
      </c>
      <c r="G123" s="75">
        <f t="array" ref="G123">IF(ISERROR(index(Res_SF_Homes_RECS_2020!$E$2:$E$52,match($B123&amp;G$2,Res_SF_Homes_RECS_2020!$B$2:$B$52&amp;Res_SF_Homes_RECS_2020!$A$2:$A$52,0))),0,index(Res_SF_Homes_RECS_2020!$E$2:$E$52,match($B123&amp;G$2,Res_SF_Homes_RECS_2020!$B$2:$B$52&amp;Res_SF_Homes_RECS_2020!$A$2:$A$52,0)))</f>
        <v>0</v>
      </c>
      <c r="H123" s="75">
        <f t="array" ref="H123">IF(ISERROR(index(Res_SF_Homes_RECS_2020!$E$2:$E$52,match($B123&amp;H$2,Res_SF_Homes_RECS_2020!$B$2:$B$52&amp;Res_SF_Homes_RECS_2020!$A$2:$A$52,0))),0,index(Res_SF_Homes_RECS_2020!$E$2:$E$52,match($B123&amp;H$2,Res_SF_Homes_RECS_2020!$B$2:$B$52&amp;Res_SF_Homes_RECS_2020!$A$2:$A$52,0)))</f>
        <v>0</v>
      </c>
      <c r="I123" s="75">
        <f t="array" ref="I123">IF(ISERROR(index(Res_SF_Homes_RECS_2020!$E$2:$E$52,match($B123&amp;I$2,Res_SF_Homes_RECS_2020!$B$2:$B$52&amp;Res_SF_Homes_RECS_2020!$A$2:$A$52,0))),0,index(Res_SF_Homes_RECS_2020!$E$2:$E$52,match($B123&amp;I$2,Res_SF_Homes_RECS_2020!$B$2:$B$52&amp;Res_SF_Homes_RECS_2020!$A$2:$A$52,0)))</f>
        <v>0</v>
      </c>
      <c r="J123" s="75">
        <f t="array" ref="J123">IF(ISERROR(index(Res_SF_Homes_RECS_2020!$E$2:$E$52,match($B123&amp;J$2,Res_SF_Homes_RECS_2020!$B$2:$B$52&amp;Res_SF_Homes_RECS_2020!$A$2:$A$52,0))),0,index(Res_SF_Homes_RECS_2020!$E$2:$E$52,match($B123&amp;J$2,Res_SF_Homes_RECS_2020!$B$2:$B$52&amp;Res_SF_Homes_RECS_2020!$A$2:$A$52,0)))</f>
        <v>0</v>
      </c>
      <c r="K123" s="75">
        <f t="array" ref="K123">IF(ISERROR(index(Res_SF_Homes_RECS_2020!$E$2:$E$52,match($B123&amp;K$2,Res_SF_Homes_RECS_2020!$B$2:$B$52&amp;Res_SF_Homes_RECS_2020!$A$2:$A$52,0))),0,index(Res_SF_Homes_RECS_2020!$E$2:$E$52,match($B123&amp;K$2,Res_SF_Homes_RECS_2020!$B$2:$B$52&amp;Res_SF_Homes_RECS_2020!$A$2:$A$52,0)))</f>
        <v>0</v>
      </c>
      <c r="L123" s="75">
        <f t="array" ref="L123">IF(ISERROR(index(Res_SF_Homes_RECS_2020!$E$2:$E$52,match($B123&amp;L$2,Res_SF_Homes_RECS_2020!$B$2:$B$52&amp;Res_SF_Homes_RECS_2020!$A$2:$A$52,0))),0,index(Res_SF_Homes_RECS_2020!$E$2:$E$52,match($B123&amp;L$2,Res_SF_Homes_RECS_2020!$B$2:$B$52&amp;Res_SF_Homes_RECS_2020!$A$2:$A$52,0)))</f>
        <v>0</v>
      </c>
      <c r="M123" s="75">
        <f t="array" ref="M123">IF(ISERROR(index(Res_SF_Homes_RECS_2020!$E$2:$E$52,match($B123&amp;M$2,Res_SF_Homes_RECS_2020!$B$2:$B$52&amp;Res_SF_Homes_RECS_2020!$A$2:$A$52,0))),0,index(Res_SF_Homes_RECS_2020!$E$2:$E$52,match($B123&amp;M$2,Res_SF_Homes_RECS_2020!$B$2:$B$52&amp;Res_SF_Homes_RECS_2020!$A$2:$A$52,0)))</f>
        <v>0</v>
      </c>
      <c r="N123" s="75">
        <f t="array" ref="N123">IF(ISERROR(index(Res_SF_Homes_RECS_2020!$E$2:$E$52,match($B123&amp;N$2,Res_SF_Homes_RECS_2020!$B$2:$B$52&amp;Res_SF_Homes_RECS_2020!$A$2:$A$52,0))),0,index(Res_SF_Homes_RECS_2020!$E$2:$E$52,match($B123&amp;N$2,Res_SF_Homes_RECS_2020!$B$2:$B$52&amp;Res_SF_Homes_RECS_2020!$A$2:$A$52,0)))</f>
        <v>0</v>
      </c>
      <c r="O123" s="75">
        <f t="array" ref="O123">IF(ISERROR(index(Res_SF_Homes_RECS_2020!$E$2:$E$52,match($B123&amp;O$2,Res_SF_Homes_RECS_2020!$B$2:$B$52&amp;Res_SF_Homes_RECS_2020!$A$2:$A$52,0))),0,index(Res_SF_Homes_RECS_2020!$E$2:$E$52,match($B123&amp;O$2,Res_SF_Homes_RECS_2020!$B$2:$B$52&amp;Res_SF_Homes_RECS_2020!$A$2:$A$52,0)))</f>
        <v>0</v>
      </c>
      <c r="P123" s="75">
        <f t="array" ref="P123">IF(ISERROR(index(Res_SF_Homes_RECS_2020!$E$2:$E$52,match($B123&amp;P$2,Res_SF_Homes_RECS_2020!$B$2:$B$52&amp;Res_SF_Homes_RECS_2020!$A$2:$A$52,0))),0,index(Res_SF_Homes_RECS_2020!$E$2:$E$52,match($B123&amp;P$2,Res_SF_Homes_RECS_2020!$B$2:$B$52&amp;Res_SF_Homes_RECS_2020!$A$2:$A$52,0)))</f>
        <v>0</v>
      </c>
      <c r="Q123" s="75">
        <f t="array" ref="Q123">IF(ISERROR(index(Res_SF_Homes_RECS_2020!$E$2:$E$52,match($B123&amp;Q$2,Res_SF_Homes_RECS_2020!$B$2:$B$52&amp;Res_SF_Homes_RECS_2020!$A$2:$A$52,0))),0,index(Res_SF_Homes_RECS_2020!$E$2:$E$52,match($B123&amp;Q$2,Res_SF_Homes_RECS_2020!$B$2:$B$52&amp;Res_SF_Homes_RECS_2020!$A$2:$A$52,0)))</f>
        <v>0</v>
      </c>
      <c r="R123" s="75">
        <f t="array" ref="R123">IF(ISERROR(index(Res_SF_Homes_RECS_2020!$E$2:$E$52,match($B123&amp;R$2,Res_SF_Homes_RECS_2020!$B$2:$B$52&amp;Res_SF_Homes_RECS_2020!$A$2:$A$52,0))),0,index(Res_SF_Homes_RECS_2020!$E$2:$E$52,match($B123&amp;R$2,Res_SF_Homes_RECS_2020!$B$2:$B$52&amp;Res_SF_Homes_RECS_2020!$A$2:$A$52,0)))</f>
        <v>0</v>
      </c>
      <c r="S123" s="75">
        <f t="array" ref="S123">IF(ISERROR(index(Res_SF_Homes_RECS_2020!$E$2:$E$52,match($B123&amp;S$2,Res_SF_Homes_RECS_2020!$B$2:$B$52&amp;Res_SF_Homes_RECS_2020!$A$2:$A$52,0))),0,index(Res_SF_Homes_RECS_2020!$E$2:$E$52,match($B123&amp;S$2,Res_SF_Homes_RECS_2020!$B$2:$B$52&amp;Res_SF_Homes_RECS_2020!$A$2:$A$52,0)))</f>
        <v>0</v>
      </c>
      <c r="T123" s="75">
        <f t="array" ref="T123">IF(ISERROR(index(Res_SF_Homes_RECS_2020!$E$2:$E$52,match($B123&amp;T$2,Res_SF_Homes_RECS_2020!$B$2:$B$52&amp;Res_SF_Homes_RECS_2020!$A$2:$A$52,0))),0,index(Res_SF_Homes_RECS_2020!$E$2:$E$52,match($B123&amp;T$2,Res_SF_Homes_RECS_2020!$B$2:$B$52&amp;Res_SF_Homes_RECS_2020!$A$2:$A$52,0)))</f>
        <v>0</v>
      </c>
      <c r="U123" s="75">
        <f t="array" ref="U123">IF(ISERROR(index(Res_SF_Homes_RECS_2020!$E$2:$E$52,match($B123&amp;U$2,Res_SF_Homes_RECS_2020!$B$2:$B$52&amp;Res_SF_Homes_RECS_2020!$A$2:$A$52,0))),0,index(Res_SF_Homes_RECS_2020!$E$2:$E$52,match($B123&amp;U$2,Res_SF_Homes_RECS_2020!$B$2:$B$52&amp;Res_SF_Homes_RECS_2020!$A$2:$A$52,0)))</f>
        <v>0</v>
      </c>
      <c r="V123" s="75">
        <f t="array" ref="V123">IF(ISERROR(index(Res_SF_Homes_RECS_2020!$E$2:$E$52,match($B123&amp;V$2,Res_SF_Homes_RECS_2020!$B$2:$B$52&amp;Res_SF_Homes_RECS_2020!$A$2:$A$52,0))),0,index(Res_SF_Homes_RECS_2020!$E$2:$E$52,match($B123&amp;V$2,Res_SF_Homes_RECS_2020!$B$2:$B$52&amp;Res_SF_Homes_RECS_2020!$A$2:$A$52,0)))</f>
        <v>0</v>
      </c>
      <c r="W123" s="75">
        <f t="array" ref="W123">IF(ISERROR(index(Res_SF_Homes_RECS_2020!$E$2:$E$52,match($B123&amp;W$2,Res_SF_Homes_RECS_2020!$B$2:$B$52&amp;Res_SF_Homes_RECS_2020!$A$2:$A$52,0))),0,index(Res_SF_Homes_RECS_2020!$E$2:$E$52,match($B123&amp;W$2,Res_SF_Homes_RECS_2020!$B$2:$B$52&amp;Res_SF_Homes_RECS_2020!$A$2:$A$52,0)))</f>
        <v>0</v>
      </c>
      <c r="X123" s="75">
        <f t="array" ref="X123">IF(ISERROR(index(Res_SF_Homes_RECS_2020!$E$2:$E$52,match($B123&amp;X$2,Res_SF_Homes_RECS_2020!$B$2:$B$52&amp;Res_SF_Homes_RECS_2020!$A$2:$A$52,0))),0,index(Res_SF_Homes_RECS_2020!$E$2:$E$52,match($B123&amp;X$2,Res_SF_Homes_RECS_2020!$B$2:$B$52&amp;Res_SF_Homes_RECS_2020!$A$2:$A$52,0)))</f>
        <v>0</v>
      </c>
      <c r="Y123" s="75">
        <f t="array" ref="Y123">IF(ISERROR(index(Res_SF_Homes_RECS_2020!$E$2:$E$52,match($B123&amp;Y$2,Res_SF_Homes_RECS_2020!$B$2:$B$52&amp;Res_SF_Homes_RECS_2020!$A$2:$A$52,0))),0,index(Res_SF_Homes_RECS_2020!$E$2:$E$52,match($B123&amp;Y$2,Res_SF_Homes_RECS_2020!$B$2:$B$52&amp;Res_SF_Homes_RECS_2020!$A$2:$A$52,0)))</f>
        <v>0</v>
      </c>
      <c r="Z123" s="75">
        <f t="array" ref="Z123">IF(ISERROR(index(Res_SF_Homes_RECS_2020!$E$2:$E$52,match($B123&amp;Z$2,Res_SF_Homes_RECS_2020!$B$2:$B$52&amp;Res_SF_Homes_RECS_2020!$A$2:$A$52,0))),0,index(Res_SF_Homes_RECS_2020!$E$2:$E$52,match($B123&amp;Z$2,Res_SF_Homes_RECS_2020!$B$2:$B$52&amp;Res_SF_Homes_RECS_2020!$A$2:$A$52,0)))</f>
        <v>0</v>
      </c>
      <c r="AA123" s="75">
        <f t="array" ref="AA123">IF(ISERROR(index(Res_SF_Homes_RECS_2020!$E$2:$E$52,match($B123&amp;AA$2,Res_SF_Homes_RECS_2020!$B$2:$B$52&amp;Res_SF_Homes_RECS_2020!$A$2:$A$52,0))),0,index(Res_SF_Homes_RECS_2020!$E$2:$E$52,match($B123&amp;AA$2,Res_SF_Homes_RECS_2020!$B$2:$B$52&amp;Res_SF_Homes_RECS_2020!$A$2:$A$52,0)))</f>
        <v>0</v>
      </c>
      <c r="AB123" s="75">
        <f t="array" ref="AB123">IF(ISERROR(index(Res_SF_Homes_RECS_2020!$E$2:$E$52,match($B123&amp;AB$2,Res_SF_Homes_RECS_2020!$B$2:$B$52&amp;Res_SF_Homes_RECS_2020!$A$2:$A$52,0))),0,index(Res_SF_Homes_RECS_2020!$E$2:$E$52,match($B123&amp;AB$2,Res_SF_Homes_RECS_2020!$B$2:$B$52&amp;Res_SF_Homes_RECS_2020!$A$2:$A$52,0)))</f>
        <v>0</v>
      </c>
      <c r="AC123" s="75">
        <f t="array" ref="AC123">IF(ISERROR(index(Res_SF_Homes_RECS_2020!$E$2:$E$52,match($B123&amp;AC$2,Res_SF_Homes_RECS_2020!$B$2:$B$52&amp;Res_SF_Homes_RECS_2020!$A$2:$A$52,0))),0,index(Res_SF_Homes_RECS_2020!$E$2:$E$52,match($B123&amp;AC$2,Res_SF_Homes_RECS_2020!$B$2:$B$52&amp;Res_SF_Homes_RECS_2020!$A$2:$A$52,0)))</f>
        <v>0</v>
      </c>
      <c r="AD123" s="75">
        <f t="array" ref="AD123">IF(ISERROR(index(Res_SF_Homes_RECS_2020!$E$2:$E$52,match($B123&amp;AD$2,Res_SF_Homes_RECS_2020!$B$2:$B$52&amp;Res_SF_Homes_RECS_2020!$A$2:$A$52,0))),0,index(Res_SF_Homes_RECS_2020!$E$2:$E$52,match($B123&amp;AD$2,Res_SF_Homes_RECS_2020!$B$2:$B$52&amp;Res_SF_Homes_RECS_2020!$A$2:$A$52,0)))</f>
        <v>0</v>
      </c>
      <c r="AE123" s="75">
        <f t="array" ref="AE123">IF(ISERROR(index(Res_SF_Homes_RECS_2020!$E$2:$E$52,match($B123&amp;AE$2,Res_SF_Homes_RECS_2020!$B$2:$B$52&amp;Res_SF_Homes_RECS_2020!$A$2:$A$52,0))),0,index(Res_SF_Homes_RECS_2020!$E$2:$E$52,match($B123&amp;AE$2,Res_SF_Homes_RECS_2020!$B$2:$B$52&amp;Res_SF_Homes_RECS_2020!$A$2:$A$52,0)))</f>
        <v>0</v>
      </c>
      <c r="AF123" s="75">
        <f t="array" ref="AF123">IF(ISERROR(index(Res_SF_Homes_RECS_2020!$E$2:$E$52,match($B123&amp;AF$2,Res_SF_Homes_RECS_2020!$B$2:$B$52&amp;Res_SF_Homes_RECS_2020!$A$2:$A$52,0))),0,index(Res_SF_Homes_RECS_2020!$E$2:$E$52,match($B123&amp;AF$2,Res_SF_Homes_RECS_2020!$B$2:$B$52&amp;Res_SF_Homes_RECS_2020!$A$2:$A$52,0)))</f>
        <v>0</v>
      </c>
      <c r="AG123" s="75">
        <f t="array" ref="AG123">IF(ISERROR(index(Res_SF_Homes_RECS_2020!$E$2:$E$52,match($B123&amp;AG$2,Res_SF_Homes_RECS_2020!$B$2:$B$52&amp;Res_SF_Homes_RECS_2020!$A$2:$A$52,0))),0,index(Res_SF_Homes_RECS_2020!$E$2:$E$52,match($B123&amp;AG$2,Res_SF_Homes_RECS_2020!$B$2:$B$52&amp;Res_SF_Homes_RECS_2020!$A$2:$A$52,0)))</f>
        <v>6.35</v>
      </c>
      <c r="AH123" s="75">
        <f t="array" ref="AH123">IF(ISERROR(index(Res_SF_Homes_RECS_2020!$E$2:$E$52,match($B123&amp;AH$2,Res_SF_Homes_RECS_2020!$B$2:$B$52&amp;Res_SF_Homes_RECS_2020!$A$2:$A$52,0))),0,index(Res_SF_Homes_RECS_2020!$E$2:$E$52,match($B123&amp;AH$2,Res_SF_Homes_RECS_2020!$B$2:$B$52&amp;Res_SF_Homes_RECS_2020!$A$2:$A$52,0)))</f>
        <v>0</v>
      </c>
      <c r="AI123" s="75">
        <f t="array" ref="AI123">IF(ISERROR(index(Res_SF_Homes_RECS_2020!$E$2:$E$52,match($B123&amp;AI$2,Res_SF_Homes_RECS_2020!$B$2:$B$52&amp;Res_SF_Homes_RECS_2020!$A$2:$A$52,0))),0,index(Res_SF_Homes_RECS_2020!$E$2:$E$52,match($B123&amp;AI$2,Res_SF_Homes_RECS_2020!$B$2:$B$52&amp;Res_SF_Homes_RECS_2020!$A$2:$A$52,0)))</f>
        <v>12.14</v>
      </c>
      <c r="AJ123" s="75">
        <f t="array" ref="AJ123">IF(ISERROR(index(Res_SF_Homes_RECS_2020!$E$2:$E$52,match($B123&amp;AJ$2,Res_SF_Homes_RECS_2020!$B$2:$B$52&amp;Res_SF_Homes_RECS_2020!$A$2:$A$52,0))),0,index(Res_SF_Homes_RECS_2020!$E$2:$E$52,match($B123&amp;AJ$2,Res_SF_Homes_RECS_2020!$B$2:$B$52&amp;Res_SF_Homes_RECS_2020!$A$2:$A$52,0)))</f>
        <v>0</v>
      </c>
      <c r="AK123" s="75">
        <f t="array" ref="AK123">IF(ISERROR(index(Res_SF_Homes_RECS_2020!$E$2:$E$52,match($B123&amp;AK$2,Res_SF_Homes_RECS_2020!$B$2:$B$52&amp;Res_SF_Homes_RECS_2020!$A$2:$A$52,0))),0,index(Res_SF_Homes_RECS_2020!$E$2:$E$52,match($B123&amp;AK$2,Res_SF_Homes_RECS_2020!$B$2:$B$52&amp;Res_SF_Homes_RECS_2020!$A$2:$A$52,0)))</f>
        <v>0</v>
      </c>
      <c r="AL123" s="75">
        <f t="array" ref="AL123">IF(ISERROR(index(Res_SF_Homes_RECS_2020!$E$2:$E$52,match($B123&amp;AL$2,Res_SF_Homes_RECS_2020!$B$2:$B$52&amp;Res_SF_Homes_RECS_2020!$A$2:$A$52,0))),0,index(Res_SF_Homes_RECS_2020!$E$2:$E$52,match($B123&amp;AL$2,Res_SF_Homes_RECS_2020!$B$2:$B$52&amp;Res_SF_Homes_RECS_2020!$A$2:$A$52,0)))</f>
        <v>0</v>
      </c>
      <c r="AM123" s="75">
        <f t="array" ref="AM123">IF(ISERROR(index(Res_SF_Homes_RECS_2020!$E$2:$E$52,match($B123&amp;AM$2,Res_SF_Homes_RECS_2020!$B$2:$B$52&amp;Res_SF_Homes_RECS_2020!$A$2:$A$52,0))),0,index(Res_SF_Homes_RECS_2020!$E$2:$E$52,match($B123&amp;AM$2,Res_SF_Homes_RECS_2020!$B$2:$B$52&amp;Res_SF_Homes_RECS_2020!$A$2:$A$52,0)))</f>
        <v>0</v>
      </c>
      <c r="AN123" s="75">
        <f t="array" ref="AN123">IF(ISERROR(index(Res_SF_Homes_RECS_2020!$E$2:$E$52,match($B123&amp;AN$2,Res_SF_Homes_RECS_2020!$B$2:$B$52&amp;Res_SF_Homes_RECS_2020!$A$2:$A$52,0))),0,index(Res_SF_Homes_RECS_2020!$E$2:$E$52,match($B123&amp;AN$2,Res_SF_Homes_RECS_2020!$B$2:$B$52&amp;Res_SF_Homes_RECS_2020!$A$2:$A$52,0)))</f>
        <v>0</v>
      </c>
      <c r="AO123" s="75">
        <f t="array" ref="AO123">IF(ISERROR(index(Res_SF_Homes_RECS_2020!$E$2:$E$52,match($B123&amp;AO$2,Res_SF_Homes_RECS_2020!$B$2:$B$52&amp;Res_SF_Homes_RECS_2020!$A$2:$A$52,0))),0,index(Res_SF_Homes_RECS_2020!$E$2:$E$52,match($B123&amp;AO$2,Res_SF_Homes_RECS_2020!$B$2:$B$52&amp;Res_SF_Homes_RECS_2020!$A$2:$A$52,0)))</f>
        <v>10.21</v>
      </c>
      <c r="AP123" s="75">
        <f t="array" ref="AP123">IF(ISERROR(index(Res_SF_Homes_RECS_2020!$E$2:$E$52,match($B123&amp;AP$2,Res_SF_Homes_RECS_2020!$B$2:$B$52&amp;Res_SF_Homes_RECS_2020!$A$2:$A$52,0))),0,index(Res_SF_Homes_RECS_2020!$E$2:$E$52,match($B123&amp;AP$2,Res_SF_Homes_RECS_2020!$B$2:$B$52&amp;Res_SF_Homes_RECS_2020!$A$2:$A$52,0)))</f>
        <v>0</v>
      </c>
      <c r="AQ123" s="75">
        <f t="array" ref="AQ123">IF(ISERROR(index(Res_SF_Homes_RECS_2020!$E$2:$E$52,match($B123&amp;AQ$2,Res_SF_Homes_RECS_2020!$B$2:$B$52&amp;Res_SF_Homes_RECS_2020!$A$2:$A$52,0))),0,index(Res_SF_Homes_RECS_2020!$E$2:$E$52,match($B123&amp;AQ$2,Res_SF_Homes_RECS_2020!$B$2:$B$52&amp;Res_SF_Homes_RECS_2020!$A$2:$A$52,0)))</f>
        <v>0</v>
      </c>
      <c r="AR123" s="75">
        <f t="array" ref="AR123">IF(ISERROR(index(Res_SF_Homes_RECS_2020!$E$2:$E$52,match($B123&amp;AR$2,Res_SF_Homes_RECS_2020!$B$2:$B$52&amp;Res_SF_Homes_RECS_2020!$A$2:$A$52,0))),0,index(Res_SF_Homes_RECS_2020!$E$2:$E$52,match($B123&amp;AR$2,Res_SF_Homes_RECS_2020!$B$2:$B$52&amp;Res_SF_Homes_RECS_2020!$A$2:$A$52,0)))</f>
        <v>0</v>
      </c>
      <c r="AS123" s="75">
        <f t="array" ref="AS123">IF(ISERROR(index(Res_SF_Homes_RECS_2020!$E$2:$E$52,match($B123&amp;AS$2,Res_SF_Homes_RECS_2020!$B$2:$B$52&amp;Res_SF_Homes_RECS_2020!$A$2:$A$52,0))),0,index(Res_SF_Homes_RECS_2020!$E$2:$E$52,match($B123&amp;AS$2,Res_SF_Homes_RECS_2020!$B$2:$B$52&amp;Res_SF_Homes_RECS_2020!$A$2:$A$52,0)))</f>
        <v>0</v>
      </c>
      <c r="AT123" s="75">
        <f t="array" ref="AT123">IF(ISERROR(index(Res_SF_Homes_RECS_2020!$E$2:$E$52,match($B123&amp;AT$2,Res_SF_Homes_RECS_2020!$B$2:$B$52&amp;Res_SF_Homes_RECS_2020!$A$2:$A$52,0))),0,index(Res_SF_Homes_RECS_2020!$E$2:$E$52,match($B123&amp;AT$2,Res_SF_Homes_RECS_2020!$B$2:$B$52&amp;Res_SF_Homes_RECS_2020!$A$2:$A$52,0)))</f>
        <v>0</v>
      </c>
      <c r="AU123" s="75">
        <f t="array" ref="AU123">IF(ISERROR(index(Res_SF_Homes_RECS_2020!$E$2:$E$52,match($B123&amp;AU$2,Res_SF_Homes_RECS_2020!$B$2:$B$52&amp;Res_SF_Homes_RECS_2020!$A$2:$A$52,0))),0,index(Res_SF_Homes_RECS_2020!$E$2:$E$52,match($B123&amp;AU$2,Res_SF_Homes_RECS_2020!$B$2:$B$52&amp;Res_SF_Homes_RECS_2020!$A$2:$A$52,0)))</f>
        <v>0</v>
      </c>
      <c r="AV123" s="75">
        <f t="array" ref="AV123">IF(ISERROR(index(Res_SF_Homes_RECS_2020!$E$2:$E$52,match($B123&amp;AV$2,Res_SF_Homes_RECS_2020!$B$2:$B$52&amp;Res_SF_Homes_RECS_2020!$A$2:$A$52,0))),0,index(Res_SF_Homes_RECS_2020!$E$2:$E$52,match($B123&amp;AV$2,Res_SF_Homes_RECS_2020!$B$2:$B$52&amp;Res_SF_Homes_RECS_2020!$A$2:$A$52,0)))</f>
        <v>0</v>
      </c>
      <c r="AW123" s="75">
        <f t="array" ref="AW123">IF(ISERROR(index(Res_SF_Homes_RECS_2020!$E$2:$E$52,match($B123&amp;AW$2,Res_SF_Homes_RECS_2020!$B$2:$B$52&amp;Res_SF_Homes_RECS_2020!$A$2:$A$52,0))),0,index(Res_SF_Homes_RECS_2020!$E$2:$E$52,match($B123&amp;AW$2,Res_SF_Homes_RECS_2020!$B$2:$B$52&amp;Res_SF_Homes_RECS_2020!$A$2:$A$52,0)))</f>
        <v>0</v>
      </c>
      <c r="AX123" s="75">
        <f t="array" ref="AX123">IF(ISERROR(index(Res_SF_Homes_RECS_2020!$E$2:$E$52,match($B123&amp;AX$2,Res_SF_Homes_RECS_2020!$B$2:$B$52&amp;Res_SF_Homes_RECS_2020!$A$2:$A$52,0))),0,index(Res_SF_Homes_RECS_2020!$E$2:$E$52,match($B123&amp;AX$2,Res_SF_Homes_RECS_2020!$B$2:$B$52&amp;Res_SF_Homes_RECS_2020!$A$2:$A$52,0)))</f>
        <v>0</v>
      </c>
      <c r="AY123" s="75">
        <f t="array" ref="AY123">IF(ISERROR(index(Res_SF_Homes_RECS_2020!$E$2:$E$52,match($B123&amp;AY$2,Res_SF_Homes_RECS_2020!$B$2:$B$52&amp;Res_SF_Homes_RECS_2020!$A$2:$A$52,0))),0,index(Res_SF_Homes_RECS_2020!$E$2:$E$52,match($B123&amp;AY$2,Res_SF_Homes_RECS_2020!$B$2:$B$52&amp;Res_SF_Homes_RECS_2020!$A$2:$A$52,0)))</f>
        <v>0</v>
      </c>
      <c r="AZ123" s="75">
        <f t="array" ref="AZ123">IF(ISERROR(index(Res_SF_Homes_RECS_2020!$E$2:$E$52,match($B123&amp;AZ$2,Res_SF_Homes_RECS_2020!$B$2:$B$52&amp;Res_SF_Homes_RECS_2020!$A$2:$A$52,0))),0,index(Res_SF_Homes_RECS_2020!$E$2:$E$52,match($B123&amp;AZ$2,Res_SF_Homes_RECS_2020!$B$2:$B$52&amp;Res_SF_Homes_RECS_2020!$A$2:$A$52,0)))</f>
        <v>0</v>
      </c>
      <c r="BA123" s="75">
        <f t="array" ref="BA123">IF(ISERROR(index(Res_SF_Homes_RECS_2020!$E$2:$E$52,match($B123&amp;BA$2,Res_SF_Homes_RECS_2020!$B$2:$B$52&amp;Res_SF_Homes_RECS_2020!$A$2:$A$52,0))),0,index(Res_SF_Homes_RECS_2020!$E$2:$E$52,match($B123&amp;BA$2,Res_SF_Homes_RECS_2020!$B$2:$B$52&amp;Res_SF_Homes_RECS_2020!$A$2:$A$52,0)))</f>
        <v>0</v>
      </c>
      <c r="BB123" s="74">
        <f t="shared" si="19"/>
        <v>28.7</v>
      </c>
    </row>
    <row r="124" ht="15.75" customHeight="1">
      <c r="A124" s="78"/>
      <c r="B124" s="74">
        <v>3.0</v>
      </c>
      <c r="C124" s="75">
        <f t="array" ref="C124">IF(ISERROR(index(Res_SF_Homes_RECS_2020!$E$2:$E$52,match($B124&amp;C$2,Res_SF_Homes_RECS_2020!$B$2:$B$52&amp;Res_SF_Homes_RECS_2020!$A$2:$A$52,0))),0,index(Res_SF_Homes_RECS_2020!$E$2:$E$52,match($B124&amp;C$2,Res_SF_Homes_RECS_2020!$B$2:$B$52&amp;Res_SF_Homes_RECS_2020!$A$2:$A$52,0)))</f>
        <v>0</v>
      </c>
      <c r="D124" s="75">
        <f t="array" ref="D124">IF(ISERROR(index(Res_SF_Homes_RECS_2020!$E$2:$E$52,match($B124&amp;D$2,Res_SF_Homes_RECS_2020!$B$2:$B$52&amp;Res_SF_Homes_RECS_2020!$A$2:$A$52,0))),0,index(Res_SF_Homes_RECS_2020!$E$2:$E$52,match($B124&amp;D$2,Res_SF_Homes_RECS_2020!$B$2:$B$52&amp;Res_SF_Homes_RECS_2020!$A$2:$A$52,0)))</f>
        <v>0</v>
      </c>
      <c r="E124" s="75">
        <f t="array" ref="E124">IF(ISERROR(index(Res_SF_Homes_RECS_2020!$E$2:$E$52,match($B124&amp;E$2,Res_SF_Homes_RECS_2020!$B$2:$B$52&amp;Res_SF_Homes_RECS_2020!$A$2:$A$52,0))),0,index(Res_SF_Homes_RECS_2020!$E$2:$E$52,match($B124&amp;E$2,Res_SF_Homes_RECS_2020!$B$2:$B$52&amp;Res_SF_Homes_RECS_2020!$A$2:$A$52,0)))</f>
        <v>0</v>
      </c>
      <c r="F124" s="75">
        <f t="array" ref="F124">IF(ISERROR(index(Res_SF_Homes_RECS_2020!$E$2:$E$52,match($B124&amp;F$2,Res_SF_Homes_RECS_2020!$B$2:$B$52&amp;Res_SF_Homes_RECS_2020!$A$2:$A$52,0))),0,index(Res_SF_Homes_RECS_2020!$E$2:$E$52,match($B124&amp;F$2,Res_SF_Homes_RECS_2020!$B$2:$B$52&amp;Res_SF_Homes_RECS_2020!$A$2:$A$52,0)))</f>
        <v>0</v>
      </c>
      <c r="G124" s="75">
        <f t="array" ref="G124">IF(ISERROR(index(Res_SF_Homes_RECS_2020!$E$2:$E$52,match($B124&amp;G$2,Res_SF_Homes_RECS_2020!$B$2:$B$52&amp;Res_SF_Homes_RECS_2020!$A$2:$A$52,0))),0,index(Res_SF_Homes_RECS_2020!$E$2:$E$52,match($B124&amp;G$2,Res_SF_Homes_RECS_2020!$B$2:$B$52&amp;Res_SF_Homes_RECS_2020!$A$2:$A$52,0)))</f>
        <v>0</v>
      </c>
      <c r="H124" s="75">
        <f t="array" ref="H124">IF(ISERROR(index(Res_SF_Homes_RECS_2020!$E$2:$E$52,match($B124&amp;H$2,Res_SF_Homes_RECS_2020!$B$2:$B$52&amp;Res_SF_Homes_RECS_2020!$A$2:$A$52,0))),0,index(Res_SF_Homes_RECS_2020!$E$2:$E$52,match($B124&amp;H$2,Res_SF_Homes_RECS_2020!$B$2:$B$52&amp;Res_SF_Homes_RECS_2020!$A$2:$A$52,0)))</f>
        <v>0</v>
      </c>
      <c r="I124" s="75">
        <f t="array" ref="I124">IF(ISERROR(index(Res_SF_Homes_RECS_2020!$E$2:$E$52,match($B124&amp;I$2,Res_SF_Homes_RECS_2020!$B$2:$B$52&amp;Res_SF_Homes_RECS_2020!$A$2:$A$52,0))),0,index(Res_SF_Homes_RECS_2020!$E$2:$E$52,match($B124&amp;I$2,Res_SF_Homes_RECS_2020!$B$2:$B$52&amp;Res_SF_Homes_RECS_2020!$A$2:$A$52,0)))</f>
        <v>0</v>
      </c>
      <c r="J124" s="75">
        <f t="array" ref="J124">IF(ISERROR(index(Res_SF_Homes_RECS_2020!$E$2:$E$52,match($B124&amp;J$2,Res_SF_Homes_RECS_2020!$B$2:$B$52&amp;Res_SF_Homes_RECS_2020!$A$2:$A$52,0))),0,index(Res_SF_Homes_RECS_2020!$E$2:$E$52,match($B124&amp;J$2,Res_SF_Homes_RECS_2020!$B$2:$B$52&amp;Res_SF_Homes_RECS_2020!$A$2:$A$52,0)))</f>
        <v>0</v>
      </c>
      <c r="K124" s="75">
        <f t="array" ref="K124">IF(ISERROR(index(Res_SF_Homes_RECS_2020!$E$2:$E$52,match($B124&amp;K$2,Res_SF_Homes_RECS_2020!$B$2:$B$52&amp;Res_SF_Homes_RECS_2020!$A$2:$A$52,0))),0,index(Res_SF_Homes_RECS_2020!$E$2:$E$52,match($B124&amp;K$2,Res_SF_Homes_RECS_2020!$B$2:$B$52&amp;Res_SF_Homes_RECS_2020!$A$2:$A$52,0)))</f>
        <v>0</v>
      </c>
      <c r="L124" s="75">
        <f t="array" ref="L124">IF(ISERROR(index(Res_SF_Homes_RECS_2020!$E$2:$E$52,match($B124&amp;L$2,Res_SF_Homes_RECS_2020!$B$2:$B$52&amp;Res_SF_Homes_RECS_2020!$A$2:$A$52,0))),0,index(Res_SF_Homes_RECS_2020!$E$2:$E$52,match($B124&amp;L$2,Res_SF_Homes_RECS_2020!$B$2:$B$52&amp;Res_SF_Homes_RECS_2020!$A$2:$A$52,0)))</f>
        <v>0</v>
      </c>
      <c r="M124" s="75">
        <f t="array" ref="M124">IF(ISERROR(index(Res_SF_Homes_RECS_2020!$E$2:$E$52,match($B124&amp;M$2,Res_SF_Homes_RECS_2020!$B$2:$B$52&amp;Res_SF_Homes_RECS_2020!$A$2:$A$52,0))),0,index(Res_SF_Homes_RECS_2020!$E$2:$E$52,match($B124&amp;M$2,Res_SF_Homes_RECS_2020!$B$2:$B$52&amp;Res_SF_Homes_RECS_2020!$A$2:$A$52,0)))</f>
        <v>0</v>
      </c>
      <c r="N124" s="75">
        <f t="array" ref="N124">IF(ISERROR(index(Res_SF_Homes_RECS_2020!$E$2:$E$52,match($B124&amp;N$2,Res_SF_Homes_RECS_2020!$B$2:$B$52&amp;Res_SF_Homes_RECS_2020!$A$2:$A$52,0))),0,index(Res_SF_Homes_RECS_2020!$E$2:$E$52,match($B124&amp;N$2,Res_SF_Homes_RECS_2020!$B$2:$B$52&amp;Res_SF_Homes_RECS_2020!$A$2:$A$52,0)))</f>
        <v>0</v>
      </c>
      <c r="O124" s="75">
        <f t="array" ref="O124">IF(ISERROR(index(Res_SF_Homes_RECS_2020!$E$2:$E$52,match($B124&amp;O$2,Res_SF_Homes_RECS_2020!$B$2:$B$52&amp;Res_SF_Homes_RECS_2020!$A$2:$A$52,0))),0,index(Res_SF_Homes_RECS_2020!$E$2:$E$52,match($B124&amp;O$2,Res_SF_Homes_RECS_2020!$B$2:$B$52&amp;Res_SF_Homes_RECS_2020!$A$2:$A$52,0)))</f>
        <v>0</v>
      </c>
      <c r="P124" s="75">
        <f t="array" ref="P124">IF(ISERROR(index(Res_SF_Homes_RECS_2020!$E$2:$E$52,match($B124&amp;P$2,Res_SF_Homes_RECS_2020!$B$2:$B$52&amp;Res_SF_Homes_RECS_2020!$A$2:$A$52,0))),0,index(Res_SF_Homes_RECS_2020!$E$2:$E$52,match($B124&amp;P$2,Res_SF_Homes_RECS_2020!$B$2:$B$52&amp;Res_SF_Homes_RECS_2020!$A$2:$A$52,0)))</f>
        <v>9.43</v>
      </c>
      <c r="Q124" s="75">
        <f t="array" ref="Q124">IF(ISERROR(index(Res_SF_Homes_RECS_2020!$E$2:$E$52,match($B124&amp;Q$2,Res_SF_Homes_RECS_2020!$B$2:$B$52&amp;Res_SF_Homes_RECS_2020!$A$2:$A$52,0))),0,index(Res_SF_Homes_RECS_2020!$E$2:$E$52,match($B124&amp;Q$2,Res_SF_Homes_RECS_2020!$B$2:$B$52&amp;Res_SF_Homes_RECS_2020!$A$2:$A$52,0)))</f>
        <v>5.25</v>
      </c>
      <c r="R124" s="75">
        <f t="array" ref="R124">IF(ISERROR(index(Res_SF_Homes_RECS_2020!$E$2:$E$52,match($B124&amp;R$2,Res_SF_Homes_RECS_2020!$B$2:$B$52&amp;Res_SF_Homes_RECS_2020!$A$2:$A$52,0))),0,index(Res_SF_Homes_RECS_2020!$E$2:$E$52,match($B124&amp;R$2,Res_SF_Homes_RECS_2020!$B$2:$B$52&amp;Res_SF_Homes_RECS_2020!$A$2:$A$52,0)))</f>
        <v>0</v>
      </c>
      <c r="S124" s="75">
        <f t="array" ref="S124">IF(ISERROR(index(Res_SF_Homes_RECS_2020!$E$2:$E$52,match($B124&amp;S$2,Res_SF_Homes_RECS_2020!$B$2:$B$52&amp;Res_SF_Homes_RECS_2020!$A$2:$A$52,0))),0,index(Res_SF_Homes_RECS_2020!$E$2:$E$52,match($B124&amp;S$2,Res_SF_Homes_RECS_2020!$B$2:$B$52&amp;Res_SF_Homes_RECS_2020!$A$2:$A$52,0)))</f>
        <v>0</v>
      </c>
      <c r="T124" s="75">
        <f t="array" ref="T124">IF(ISERROR(index(Res_SF_Homes_RECS_2020!$E$2:$E$52,match($B124&amp;T$2,Res_SF_Homes_RECS_2020!$B$2:$B$52&amp;Res_SF_Homes_RECS_2020!$A$2:$A$52,0))),0,index(Res_SF_Homes_RECS_2020!$E$2:$E$52,match($B124&amp;T$2,Res_SF_Homes_RECS_2020!$B$2:$B$52&amp;Res_SF_Homes_RECS_2020!$A$2:$A$52,0)))</f>
        <v>0</v>
      </c>
      <c r="U124" s="75">
        <f t="array" ref="U124">IF(ISERROR(index(Res_SF_Homes_RECS_2020!$E$2:$E$52,match($B124&amp;U$2,Res_SF_Homes_RECS_2020!$B$2:$B$52&amp;Res_SF_Homes_RECS_2020!$A$2:$A$52,0))),0,index(Res_SF_Homes_RECS_2020!$E$2:$E$52,match($B124&amp;U$2,Res_SF_Homes_RECS_2020!$B$2:$B$52&amp;Res_SF_Homes_RECS_2020!$A$2:$A$52,0)))</f>
        <v>0</v>
      </c>
      <c r="V124" s="75">
        <f t="array" ref="V124">IF(ISERROR(index(Res_SF_Homes_RECS_2020!$E$2:$E$52,match($B124&amp;V$2,Res_SF_Homes_RECS_2020!$B$2:$B$52&amp;Res_SF_Homes_RECS_2020!$A$2:$A$52,0))),0,index(Res_SF_Homes_RECS_2020!$E$2:$E$52,match($B124&amp;V$2,Res_SF_Homes_RECS_2020!$B$2:$B$52&amp;Res_SF_Homes_RECS_2020!$A$2:$A$52,0)))</f>
        <v>0</v>
      </c>
      <c r="W124" s="75">
        <f t="array" ref="W124">IF(ISERROR(index(Res_SF_Homes_RECS_2020!$E$2:$E$52,match($B124&amp;W$2,Res_SF_Homes_RECS_2020!$B$2:$B$52&amp;Res_SF_Homes_RECS_2020!$A$2:$A$52,0))),0,index(Res_SF_Homes_RECS_2020!$E$2:$E$52,match($B124&amp;W$2,Res_SF_Homes_RECS_2020!$B$2:$B$52&amp;Res_SF_Homes_RECS_2020!$A$2:$A$52,0)))</f>
        <v>0</v>
      </c>
      <c r="X124" s="75">
        <f t="array" ref="X124">IF(ISERROR(index(Res_SF_Homes_RECS_2020!$E$2:$E$52,match($B124&amp;X$2,Res_SF_Homes_RECS_2020!$B$2:$B$52&amp;Res_SF_Homes_RECS_2020!$A$2:$A$52,0))),0,index(Res_SF_Homes_RECS_2020!$E$2:$E$52,match($B124&amp;X$2,Res_SF_Homes_RECS_2020!$B$2:$B$52&amp;Res_SF_Homes_RECS_2020!$A$2:$A$52,0)))</f>
        <v>0</v>
      </c>
      <c r="Y124" s="75">
        <f t="array" ref="Y124">IF(ISERROR(index(Res_SF_Homes_RECS_2020!$E$2:$E$52,match($B124&amp;Y$2,Res_SF_Homes_RECS_2020!$B$2:$B$52&amp;Res_SF_Homes_RECS_2020!$A$2:$A$52,0))),0,index(Res_SF_Homes_RECS_2020!$E$2:$E$52,match($B124&amp;Y$2,Res_SF_Homes_RECS_2020!$B$2:$B$52&amp;Res_SF_Homes_RECS_2020!$A$2:$A$52,0)))</f>
        <v>7.95</v>
      </c>
      <c r="Z124" s="75">
        <f t="array" ref="Z124">IF(ISERROR(index(Res_SF_Homes_RECS_2020!$E$2:$E$52,match($B124&amp;Z$2,Res_SF_Homes_RECS_2020!$B$2:$B$52&amp;Res_SF_Homes_RECS_2020!$A$2:$A$52,0))),0,index(Res_SF_Homes_RECS_2020!$E$2:$E$52,match($B124&amp;Z$2,Res_SF_Homes_RECS_2020!$B$2:$B$52&amp;Res_SF_Homes_RECS_2020!$A$2:$A$52,0)))</f>
        <v>0</v>
      </c>
      <c r="AA124" s="75">
        <f t="array" ref="AA124">IF(ISERROR(index(Res_SF_Homes_RECS_2020!$E$2:$E$52,match($B124&amp;AA$2,Res_SF_Homes_RECS_2020!$B$2:$B$52&amp;Res_SF_Homes_RECS_2020!$A$2:$A$52,0))),0,index(Res_SF_Homes_RECS_2020!$E$2:$E$52,match($B124&amp;AA$2,Res_SF_Homes_RECS_2020!$B$2:$B$52&amp;Res_SF_Homes_RECS_2020!$A$2:$A$52,0)))</f>
        <v>0</v>
      </c>
      <c r="AB124" s="75">
        <f t="array" ref="AB124">IF(ISERROR(index(Res_SF_Homes_RECS_2020!$E$2:$E$52,match($B124&amp;AB$2,Res_SF_Homes_RECS_2020!$B$2:$B$52&amp;Res_SF_Homes_RECS_2020!$A$2:$A$52,0))),0,index(Res_SF_Homes_RECS_2020!$E$2:$E$52,match($B124&amp;AB$2,Res_SF_Homes_RECS_2020!$B$2:$B$52&amp;Res_SF_Homes_RECS_2020!$A$2:$A$52,0)))</f>
        <v>0</v>
      </c>
      <c r="AC124" s="75">
        <f t="array" ref="AC124">IF(ISERROR(index(Res_SF_Homes_RECS_2020!$E$2:$E$52,match($B124&amp;AC$2,Res_SF_Homes_RECS_2020!$B$2:$B$52&amp;Res_SF_Homes_RECS_2020!$A$2:$A$52,0))),0,index(Res_SF_Homes_RECS_2020!$E$2:$E$52,match($B124&amp;AC$2,Res_SF_Homes_RECS_2020!$B$2:$B$52&amp;Res_SF_Homes_RECS_2020!$A$2:$A$52,0)))</f>
        <v>0</v>
      </c>
      <c r="AD124" s="75">
        <f t="array" ref="AD124">IF(ISERROR(index(Res_SF_Homes_RECS_2020!$E$2:$E$52,match($B124&amp;AD$2,Res_SF_Homes_RECS_2020!$B$2:$B$52&amp;Res_SF_Homes_RECS_2020!$A$2:$A$52,0))),0,index(Res_SF_Homes_RECS_2020!$E$2:$E$52,match($B124&amp;AD$2,Res_SF_Homes_RECS_2020!$B$2:$B$52&amp;Res_SF_Homes_RECS_2020!$A$2:$A$52,0)))</f>
        <v>0</v>
      </c>
      <c r="AE124" s="75">
        <f t="array" ref="AE124">IF(ISERROR(index(Res_SF_Homes_RECS_2020!$E$2:$E$52,match($B124&amp;AE$2,Res_SF_Homes_RECS_2020!$B$2:$B$52&amp;Res_SF_Homes_RECS_2020!$A$2:$A$52,0))),0,index(Res_SF_Homes_RECS_2020!$E$2:$E$52,match($B124&amp;AE$2,Res_SF_Homes_RECS_2020!$B$2:$B$52&amp;Res_SF_Homes_RECS_2020!$A$2:$A$52,0)))</f>
        <v>0</v>
      </c>
      <c r="AF124" s="75">
        <f t="array" ref="AF124">IF(ISERROR(index(Res_SF_Homes_RECS_2020!$E$2:$E$52,match($B124&amp;AF$2,Res_SF_Homes_RECS_2020!$B$2:$B$52&amp;Res_SF_Homes_RECS_2020!$A$2:$A$52,0))),0,index(Res_SF_Homes_RECS_2020!$E$2:$E$52,match($B124&amp;AF$2,Res_SF_Homes_RECS_2020!$B$2:$B$52&amp;Res_SF_Homes_RECS_2020!$A$2:$A$52,0)))</f>
        <v>0</v>
      </c>
      <c r="AG124" s="75">
        <f t="array" ref="AG124">IF(ISERROR(index(Res_SF_Homes_RECS_2020!$E$2:$E$52,match($B124&amp;AG$2,Res_SF_Homes_RECS_2020!$B$2:$B$52&amp;Res_SF_Homes_RECS_2020!$A$2:$A$52,0))),0,index(Res_SF_Homes_RECS_2020!$E$2:$E$52,match($B124&amp;AG$2,Res_SF_Homes_RECS_2020!$B$2:$B$52&amp;Res_SF_Homes_RECS_2020!$A$2:$A$52,0)))</f>
        <v>0</v>
      </c>
      <c r="AH124" s="75">
        <f t="array" ref="AH124">IF(ISERROR(index(Res_SF_Homes_RECS_2020!$E$2:$E$52,match($B124&amp;AH$2,Res_SF_Homes_RECS_2020!$B$2:$B$52&amp;Res_SF_Homes_RECS_2020!$A$2:$A$52,0))),0,index(Res_SF_Homes_RECS_2020!$E$2:$E$52,match($B124&amp;AH$2,Res_SF_Homes_RECS_2020!$B$2:$B$52&amp;Res_SF_Homes_RECS_2020!$A$2:$A$52,0)))</f>
        <v>0</v>
      </c>
      <c r="AI124" s="75">
        <f t="array" ref="AI124">IF(ISERROR(index(Res_SF_Homes_RECS_2020!$E$2:$E$52,match($B124&amp;AI$2,Res_SF_Homes_RECS_2020!$B$2:$B$52&amp;Res_SF_Homes_RECS_2020!$A$2:$A$52,0))),0,index(Res_SF_Homes_RECS_2020!$E$2:$E$52,match($B124&amp;AI$2,Res_SF_Homes_RECS_2020!$B$2:$B$52&amp;Res_SF_Homes_RECS_2020!$A$2:$A$52,0)))</f>
        <v>0</v>
      </c>
      <c r="AJ124" s="75">
        <f t="array" ref="AJ124">IF(ISERROR(index(Res_SF_Homes_RECS_2020!$E$2:$E$52,match($B124&amp;AJ$2,Res_SF_Homes_RECS_2020!$B$2:$B$52&amp;Res_SF_Homes_RECS_2020!$A$2:$A$52,0))),0,index(Res_SF_Homes_RECS_2020!$E$2:$E$52,match($B124&amp;AJ$2,Res_SF_Homes_RECS_2020!$B$2:$B$52&amp;Res_SF_Homes_RECS_2020!$A$2:$A$52,0)))</f>
        <v>0</v>
      </c>
      <c r="AK124" s="75">
        <f t="array" ref="AK124">IF(ISERROR(index(Res_SF_Homes_RECS_2020!$E$2:$E$52,match($B124&amp;AK$2,Res_SF_Homes_RECS_2020!$B$2:$B$52&amp;Res_SF_Homes_RECS_2020!$A$2:$A$52,0))),0,index(Res_SF_Homes_RECS_2020!$E$2:$E$52,match($B124&amp;AK$2,Res_SF_Homes_RECS_2020!$B$2:$B$52&amp;Res_SF_Homes_RECS_2020!$A$2:$A$52,0)))</f>
        <v>0</v>
      </c>
      <c r="AL124" s="75">
        <f t="array" ref="AL124">IF(ISERROR(index(Res_SF_Homes_RECS_2020!$E$2:$E$52,match($B124&amp;AL$2,Res_SF_Homes_RECS_2020!$B$2:$B$52&amp;Res_SF_Homes_RECS_2020!$A$2:$A$52,0))),0,index(Res_SF_Homes_RECS_2020!$E$2:$E$52,match($B124&amp;AL$2,Res_SF_Homes_RECS_2020!$B$2:$B$52&amp;Res_SF_Homes_RECS_2020!$A$2:$A$52,0)))</f>
        <v>9.54</v>
      </c>
      <c r="AM124" s="75">
        <f t="array" ref="AM124">IF(ISERROR(index(Res_SF_Homes_RECS_2020!$E$2:$E$52,match($B124&amp;AM$2,Res_SF_Homes_RECS_2020!$B$2:$B$52&amp;Res_SF_Homes_RECS_2020!$A$2:$A$52,0))),0,index(Res_SF_Homes_RECS_2020!$E$2:$E$52,match($B124&amp;AM$2,Res_SF_Homes_RECS_2020!$B$2:$B$52&amp;Res_SF_Homes_RECS_2020!$A$2:$A$52,0)))</f>
        <v>0</v>
      </c>
      <c r="AN124" s="75">
        <f t="array" ref="AN124">IF(ISERROR(index(Res_SF_Homes_RECS_2020!$E$2:$E$52,match($B124&amp;AN$2,Res_SF_Homes_RECS_2020!$B$2:$B$52&amp;Res_SF_Homes_RECS_2020!$A$2:$A$52,0))),0,index(Res_SF_Homes_RECS_2020!$E$2:$E$52,match($B124&amp;AN$2,Res_SF_Homes_RECS_2020!$B$2:$B$52&amp;Res_SF_Homes_RECS_2020!$A$2:$A$52,0)))</f>
        <v>0</v>
      </c>
      <c r="AO124" s="75">
        <f t="array" ref="AO124">IF(ISERROR(index(Res_SF_Homes_RECS_2020!$E$2:$E$52,match($B124&amp;AO$2,Res_SF_Homes_RECS_2020!$B$2:$B$52&amp;Res_SF_Homes_RECS_2020!$A$2:$A$52,0))),0,index(Res_SF_Homes_RECS_2020!$E$2:$E$52,match($B124&amp;AO$2,Res_SF_Homes_RECS_2020!$B$2:$B$52&amp;Res_SF_Homes_RECS_2020!$A$2:$A$52,0)))</f>
        <v>0</v>
      </c>
      <c r="AP124" s="75">
        <f t="array" ref="AP124">IF(ISERROR(index(Res_SF_Homes_RECS_2020!$E$2:$E$52,match($B124&amp;AP$2,Res_SF_Homes_RECS_2020!$B$2:$B$52&amp;Res_SF_Homes_RECS_2020!$A$2:$A$52,0))),0,index(Res_SF_Homes_RECS_2020!$E$2:$E$52,match($B124&amp;AP$2,Res_SF_Homes_RECS_2020!$B$2:$B$52&amp;Res_SF_Homes_RECS_2020!$A$2:$A$52,0)))</f>
        <v>0</v>
      </c>
      <c r="AQ124" s="75">
        <f t="array" ref="AQ124">IF(ISERROR(index(Res_SF_Homes_RECS_2020!$E$2:$E$52,match($B124&amp;AQ$2,Res_SF_Homes_RECS_2020!$B$2:$B$52&amp;Res_SF_Homes_RECS_2020!$A$2:$A$52,0))),0,index(Res_SF_Homes_RECS_2020!$E$2:$E$52,match($B124&amp;AQ$2,Res_SF_Homes_RECS_2020!$B$2:$B$52&amp;Res_SF_Homes_RECS_2020!$A$2:$A$52,0)))</f>
        <v>0</v>
      </c>
      <c r="AR124" s="75">
        <f t="array" ref="AR124">IF(ISERROR(index(Res_SF_Homes_RECS_2020!$E$2:$E$52,match($B124&amp;AR$2,Res_SF_Homes_RECS_2020!$B$2:$B$52&amp;Res_SF_Homes_RECS_2020!$A$2:$A$52,0))),0,index(Res_SF_Homes_RECS_2020!$E$2:$E$52,match($B124&amp;AR$2,Res_SF_Homes_RECS_2020!$B$2:$B$52&amp;Res_SF_Homes_RECS_2020!$A$2:$A$52,0)))</f>
        <v>0</v>
      </c>
      <c r="AS124" s="75">
        <f t="array" ref="AS124">IF(ISERROR(index(Res_SF_Homes_RECS_2020!$E$2:$E$52,match($B124&amp;AS$2,Res_SF_Homes_RECS_2020!$B$2:$B$52&amp;Res_SF_Homes_RECS_2020!$A$2:$A$52,0))),0,index(Res_SF_Homes_RECS_2020!$E$2:$E$52,match($B124&amp;AS$2,Res_SF_Homes_RECS_2020!$B$2:$B$52&amp;Res_SF_Homes_RECS_2020!$A$2:$A$52,0)))</f>
        <v>0</v>
      </c>
      <c r="AT124" s="75">
        <f t="array" ref="AT124">IF(ISERROR(index(Res_SF_Homes_RECS_2020!$E$2:$E$52,match($B124&amp;AT$2,Res_SF_Homes_RECS_2020!$B$2:$B$52&amp;Res_SF_Homes_RECS_2020!$A$2:$A$52,0))),0,index(Res_SF_Homes_RECS_2020!$E$2:$E$52,match($B124&amp;AT$2,Res_SF_Homes_RECS_2020!$B$2:$B$52&amp;Res_SF_Homes_RECS_2020!$A$2:$A$52,0)))</f>
        <v>0</v>
      </c>
      <c r="AU124" s="75">
        <f t="array" ref="AU124">IF(ISERROR(index(Res_SF_Homes_RECS_2020!$E$2:$E$52,match($B124&amp;AU$2,Res_SF_Homes_RECS_2020!$B$2:$B$52&amp;Res_SF_Homes_RECS_2020!$A$2:$A$52,0))),0,index(Res_SF_Homes_RECS_2020!$E$2:$E$52,match($B124&amp;AU$2,Res_SF_Homes_RECS_2020!$B$2:$B$52&amp;Res_SF_Homes_RECS_2020!$A$2:$A$52,0)))</f>
        <v>0</v>
      </c>
      <c r="AV124" s="75">
        <f t="array" ref="AV124">IF(ISERROR(index(Res_SF_Homes_RECS_2020!$E$2:$E$52,match($B124&amp;AV$2,Res_SF_Homes_RECS_2020!$B$2:$B$52&amp;Res_SF_Homes_RECS_2020!$A$2:$A$52,0))),0,index(Res_SF_Homes_RECS_2020!$E$2:$E$52,match($B124&amp;AV$2,Res_SF_Homes_RECS_2020!$B$2:$B$52&amp;Res_SF_Homes_RECS_2020!$A$2:$A$52,0)))</f>
        <v>0</v>
      </c>
      <c r="AW124" s="75">
        <f t="array" ref="AW124">IF(ISERROR(index(Res_SF_Homes_RECS_2020!$E$2:$E$52,match($B124&amp;AW$2,Res_SF_Homes_RECS_2020!$B$2:$B$52&amp;Res_SF_Homes_RECS_2020!$A$2:$A$52,0))),0,index(Res_SF_Homes_RECS_2020!$E$2:$E$52,match($B124&amp;AW$2,Res_SF_Homes_RECS_2020!$B$2:$B$52&amp;Res_SF_Homes_RECS_2020!$A$2:$A$52,0)))</f>
        <v>0</v>
      </c>
      <c r="AX124" s="75">
        <f t="array" ref="AX124">IF(ISERROR(index(Res_SF_Homes_RECS_2020!$E$2:$E$52,match($B124&amp;AX$2,Res_SF_Homes_RECS_2020!$B$2:$B$52&amp;Res_SF_Homes_RECS_2020!$A$2:$A$52,0))),0,index(Res_SF_Homes_RECS_2020!$E$2:$E$52,match($B124&amp;AX$2,Res_SF_Homes_RECS_2020!$B$2:$B$52&amp;Res_SF_Homes_RECS_2020!$A$2:$A$52,0)))</f>
        <v>0</v>
      </c>
      <c r="AY124" s="75">
        <f t="array" ref="AY124">IF(ISERROR(index(Res_SF_Homes_RECS_2020!$E$2:$E$52,match($B124&amp;AY$2,Res_SF_Homes_RECS_2020!$B$2:$B$52&amp;Res_SF_Homes_RECS_2020!$A$2:$A$52,0))),0,index(Res_SF_Homes_RECS_2020!$E$2:$E$52,match($B124&amp;AY$2,Res_SF_Homes_RECS_2020!$B$2:$B$52&amp;Res_SF_Homes_RECS_2020!$A$2:$A$52,0)))</f>
        <v>0</v>
      </c>
      <c r="AZ124" s="75">
        <f t="array" ref="AZ124">IF(ISERROR(index(Res_SF_Homes_RECS_2020!$E$2:$E$52,match($B124&amp;AZ$2,Res_SF_Homes_RECS_2020!$B$2:$B$52&amp;Res_SF_Homes_RECS_2020!$A$2:$A$52,0))),0,index(Res_SF_Homes_RECS_2020!$E$2:$E$52,match($B124&amp;AZ$2,Res_SF_Homes_RECS_2020!$B$2:$B$52&amp;Res_SF_Homes_RECS_2020!$A$2:$A$52,0)))</f>
        <v>4.94</v>
      </c>
      <c r="BA124" s="75">
        <f t="array" ref="BA124">IF(ISERROR(index(Res_SF_Homes_RECS_2020!$E$2:$E$52,match($B124&amp;BA$2,Res_SF_Homes_RECS_2020!$B$2:$B$52&amp;Res_SF_Homes_RECS_2020!$A$2:$A$52,0))),0,index(Res_SF_Homes_RECS_2020!$E$2:$E$52,match($B124&amp;BA$2,Res_SF_Homes_RECS_2020!$B$2:$B$52&amp;Res_SF_Homes_RECS_2020!$A$2:$A$52,0)))</f>
        <v>0</v>
      </c>
      <c r="BB124" s="74">
        <f t="shared" si="19"/>
        <v>37.11</v>
      </c>
    </row>
    <row r="125" ht="15.75" customHeight="1">
      <c r="A125" s="78"/>
      <c r="B125" s="74">
        <v>4.0</v>
      </c>
      <c r="C125" s="75">
        <f t="array" ref="C125">IF(ISERROR(index(Res_SF_Homes_RECS_2020!$E$2:$E$52,match($B125&amp;C$2,Res_SF_Homes_RECS_2020!$B$2:$B$52&amp;Res_SF_Homes_RECS_2020!$A$2:$A$52,0))),0,index(Res_SF_Homes_RECS_2020!$E$2:$E$52,match($B125&amp;C$2,Res_SF_Homes_RECS_2020!$B$2:$B$52&amp;Res_SF_Homes_RECS_2020!$A$2:$A$52,0)))</f>
        <v>0</v>
      </c>
      <c r="D125" s="75">
        <f t="array" ref="D125">IF(ISERROR(index(Res_SF_Homes_RECS_2020!$E$2:$E$52,match($B125&amp;D$2,Res_SF_Homes_RECS_2020!$B$2:$B$52&amp;Res_SF_Homes_RECS_2020!$A$2:$A$52,0))),0,index(Res_SF_Homes_RECS_2020!$E$2:$E$52,match($B125&amp;D$2,Res_SF_Homes_RECS_2020!$B$2:$B$52&amp;Res_SF_Homes_RECS_2020!$A$2:$A$52,0)))</f>
        <v>0</v>
      </c>
      <c r="E125" s="75">
        <f t="array" ref="E125">IF(ISERROR(index(Res_SF_Homes_RECS_2020!$E$2:$E$52,match($B125&amp;E$2,Res_SF_Homes_RECS_2020!$B$2:$B$52&amp;Res_SF_Homes_RECS_2020!$A$2:$A$52,0))),0,index(Res_SF_Homes_RECS_2020!$E$2:$E$52,match($B125&amp;E$2,Res_SF_Homes_RECS_2020!$B$2:$B$52&amp;Res_SF_Homes_RECS_2020!$A$2:$A$52,0)))</f>
        <v>0</v>
      </c>
      <c r="F125" s="75">
        <f t="array" ref="F125">IF(ISERROR(index(Res_SF_Homes_RECS_2020!$E$2:$E$52,match($B125&amp;F$2,Res_SF_Homes_RECS_2020!$B$2:$B$52&amp;Res_SF_Homes_RECS_2020!$A$2:$A$52,0))),0,index(Res_SF_Homes_RECS_2020!$E$2:$E$52,match($B125&amp;F$2,Res_SF_Homes_RECS_2020!$B$2:$B$52&amp;Res_SF_Homes_RECS_2020!$A$2:$A$52,0)))</f>
        <v>0</v>
      </c>
      <c r="G125" s="75">
        <f t="array" ref="G125">IF(ISERROR(index(Res_SF_Homes_RECS_2020!$E$2:$E$52,match($B125&amp;G$2,Res_SF_Homes_RECS_2020!$B$2:$B$52&amp;Res_SF_Homes_RECS_2020!$A$2:$A$52,0))),0,index(Res_SF_Homes_RECS_2020!$E$2:$E$52,match($B125&amp;G$2,Res_SF_Homes_RECS_2020!$B$2:$B$52&amp;Res_SF_Homes_RECS_2020!$A$2:$A$52,0)))</f>
        <v>0</v>
      </c>
      <c r="H125" s="75">
        <f t="array" ref="H125">IF(ISERROR(index(Res_SF_Homes_RECS_2020!$E$2:$E$52,match($B125&amp;H$2,Res_SF_Homes_RECS_2020!$B$2:$B$52&amp;Res_SF_Homes_RECS_2020!$A$2:$A$52,0))),0,index(Res_SF_Homes_RECS_2020!$E$2:$E$52,match($B125&amp;H$2,Res_SF_Homes_RECS_2020!$B$2:$B$52&amp;Res_SF_Homes_RECS_2020!$A$2:$A$52,0)))</f>
        <v>0</v>
      </c>
      <c r="I125" s="75">
        <f t="array" ref="I125">IF(ISERROR(index(Res_SF_Homes_RECS_2020!$E$2:$E$52,match($B125&amp;I$2,Res_SF_Homes_RECS_2020!$B$2:$B$52&amp;Res_SF_Homes_RECS_2020!$A$2:$A$52,0))),0,index(Res_SF_Homes_RECS_2020!$E$2:$E$52,match($B125&amp;I$2,Res_SF_Homes_RECS_2020!$B$2:$B$52&amp;Res_SF_Homes_RECS_2020!$A$2:$A$52,0)))</f>
        <v>0</v>
      </c>
      <c r="J125" s="75">
        <f t="array" ref="J125">IF(ISERROR(index(Res_SF_Homes_RECS_2020!$E$2:$E$52,match($B125&amp;J$2,Res_SF_Homes_RECS_2020!$B$2:$B$52&amp;Res_SF_Homes_RECS_2020!$A$2:$A$52,0))),0,index(Res_SF_Homes_RECS_2020!$E$2:$E$52,match($B125&amp;J$2,Res_SF_Homes_RECS_2020!$B$2:$B$52&amp;Res_SF_Homes_RECS_2020!$A$2:$A$52,0)))</f>
        <v>0</v>
      </c>
      <c r="K125" s="75">
        <f t="array" ref="K125">IF(ISERROR(index(Res_SF_Homes_RECS_2020!$E$2:$E$52,match($B125&amp;K$2,Res_SF_Homes_RECS_2020!$B$2:$B$52&amp;Res_SF_Homes_RECS_2020!$A$2:$A$52,0))),0,index(Res_SF_Homes_RECS_2020!$E$2:$E$52,match($B125&amp;K$2,Res_SF_Homes_RECS_2020!$B$2:$B$52&amp;Res_SF_Homes_RECS_2020!$A$2:$A$52,0)))</f>
        <v>0</v>
      </c>
      <c r="L125" s="75">
        <f t="array" ref="L125">IF(ISERROR(index(Res_SF_Homes_RECS_2020!$E$2:$E$52,match($B125&amp;L$2,Res_SF_Homes_RECS_2020!$B$2:$B$52&amp;Res_SF_Homes_RECS_2020!$A$2:$A$52,0))),0,index(Res_SF_Homes_RECS_2020!$E$2:$E$52,match($B125&amp;L$2,Res_SF_Homes_RECS_2020!$B$2:$B$52&amp;Res_SF_Homes_RECS_2020!$A$2:$A$52,0)))</f>
        <v>0</v>
      </c>
      <c r="M125" s="75">
        <f t="array" ref="M125">IF(ISERROR(index(Res_SF_Homes_RECS_2020!$E$2:$E$52,match($B125&amp;M$2,Res_SF_Homes_RECS_2020!$B$2:$B$52&amp;Res_SF_Homes_RECS_2020!$A$2:$A$52,0))),0,index(Res_SF_Homes_RECS_2020!$E$2:$E$52,match($B125&amp;M$2,Res_SF_Homes_RECS_2020!$B$2:$B$52&amp;Res_SF_Homes_RECS_2020!$A$2:$A$52,0)))</f>
        <v>0</v>
      </c>
      <c r="N125" s="75">
        <f t="array" ref="N125">IF(ISERROR(index(Res_SF_Homes_RECS_2020!$E$2:$E$52,match($B125&amp;N$2,Res_SF_Homes_RECS_2020!$B$2:$B$52&amp;Res_SF_Homes_RECS_2020!$A$2:$A$52,0))),0,index(Res_SF_Homes_RECS_2020!$E$2:$E$52,match($B125&amp;N$2,Res_SF_Homes_RECS_2020!$B$2:$B$52&amp;Res_SF_Homes_RECS_2020!$A$2:$A$52,0)))</f>
        <v>0</v>
      </c>
      <c r="O125" s="75">
        <f t="array" ref="O125">IF(ISERROR(index(Res_SF_Homes_RECS_2020!$E$2:$E$52,match($B125&amp;O$2,Res_SF_Homes_RECS_2020!$B$2:$B$52&amp;Res_SF_Homes_RECS_2020!$A$2:$A$52,0))),0,index(Res_SF_Homes_RECS_2020!$E$2:$E$52,match($B125&amp;O$2,Res_SF_Homes_RECS_2020!$B$2:$B$52&amp;Res_SF_Homes_RECS_2020!$A$2:$A$52,0)))</f>
        <v>0</v>
      </c>
      <c r="P125" s="75">
        <f t="array" ref="P125">IF(ISERROR(index(Res_SF_Homes_RECS_2020!$E$2:$E$52,match($B125&amp;P$2,Res_SF_Homes_RECS_2020!$B$2:$B$52&amp;Res_SF_Homes_RECS_2020!$A$2:$A$52,0))),0,index(Res_SF_Homes_RECS_2020!$E$2:$E$52,match($B125&amp;P$2,Res_SF_Homes_RECS_2020!$B$2:$B$52&amp;Res_SF_Homes_RECS_2020!$A$2:$A$52,0)))</f>
        <v>0</v>
      </c>
      <c r="Q125" s="75">
        <f t="array" ref="Q125">IF(ISERROR(index(Res_SF_Homes_RECS_2020!$E$2:$E$52,match($B125&amp;Q$2,Res_SF_Homes_RECS_2020!$B$2:$B$52&amp;Res_SF_Homes_RECS_2020!$A$2:$A$52,0))),0,index(Res_SF_Homes_RECS_2020!$E$2:$E$52,match($B125&amp;Q$2,Res_SF_Homes_RECS_2020!$B$2:$B$52&amp;Res_SF_Homes_RECS_2020!$A$2:$A$52,0)))</f>
        <v>0</v>
      </c>
      <c r="R125" s="75">
        <f t="array" ref="R125">IF(ISERROR(index(Res_SF_Homes_RECS_2020!$E$2:$E$52,match($B125&amp;R$2,Res_SF_Homes_RECS_2020!$B$2:$B$52&amp;Res_SF_Homes_RECS_2020!$A$2:$A$52,0))),0,index(Res_SF_Homes_RECS_2020!$E$2:$E$52,match($B125&amp;R$2,Res_SF_Homes_RECS_2020!$B$2:$B$52&amp;Res_SF_Homes_RECS_2020!$A$2:$A$52,0)))</f>
        <v>2.7</v>
      </c>
      <c r="S125" s="75">
        <f t="array" ref="S125">IF(ISERROR(index(Res_SF_Homes_RECS_2020!$E$2:$E$52,match($B125&amp;S$2,Res_SF_Homes_RECS_2020!$B$2:$B$52&amp;Res_SF_Homes_RECS_2020!$A$2:$A$52,0))),0,index(Res_SF_Homes_RECS_2020!$E$2:$E$52,match($B125&amp;S$2,Res_SF_Homes_RECS_2020!$B$2:$B$52&amp;Res_SF_Homes_RECS_2020!$A$2:$A$52,0)))</f>
        <v>2.2</v>
      </c>
      <c r="T125" s="75">
        <f t="array" ref="T125">IF(ISERROR(index(Res_SF_Homes_RECS_2020!$E$2:$E$52,match($B125&amp;T$2,Res_SF_Homes_RECS_2020!$B$2:$B$52&amp;Res_SF_Homes_RECS_2020!$A$2:$A$52,0))),0,index(Res_SF_Homes_RECS_2020!$E$2:$E$52,match($B125&amp;T$2,Res_SF_Homes_RECS_2020!$B$2:$B$52&amp;Res_SF_Homes_RECS_2020!$A$2:$A$52,0)))</f>
        <v>0</v>
      </c>
      <c r="U125" s="75">
        <f t="array" ref="U125">IF(ISERROR(index(Res_SF_Homes_RECS_2020!$E$2:$E$52,match($B125&amp;U$2,Res_SF_Homes_RECS_2020!$B$2:$B$52&amp;Res_SF_Homes_RECS_2020!$A$2:$A$52,0))),0,index(Res_SF_Homes_RECS_2020!$E$2:$E$52,match($B125&amp;U$2,Res_SF_Homes_RECS_2020!$B$2:$B$52&amp;Res_SF_Homes_RECS_2020!$A$2:$A$52,0)))</f>
        <v>0</v>
      </c>
      <c r="V125" s="75">
        <f t="array" ref="V125">IF(ISERROR(index(Res_SF_Homes_RECS_2020!$E$2:$E$52,match($B125&amp;V$2,Res_SF_Homes_RECS_2020!$B$2:$B$52&amp;Res_SF_Homes_RECS_2020!$A$2:$A$52,0))),0,index(Res_SF_Homes_RECS_2020!$E$2:$E$52,match($B125&amp;V$2,Res_SF_Homes_RECS_2020!$B$2:$B$52&amp;Res_SF_Homes_RECS_2020!$A$2:$A$52,0)))</f>
        <v>0</v>
      </c>
      <c r="W125" s="75">
        <f t="array" ref="W125">IF(ISERROR(index(Res_SF_Homes_RECS_2020!$E$2:$E$52,match($B125&amp;W$2,Res_SF_Homes_RECS_2020!$B$2:$B$52&amp;Res_SF_Homes_RECS_2020!$A$2:$A$52,0))),0,index(Res_SF_Homes_RECS_2020!$E$2:$E$52,match($B125&amp;W$2,Res_SF_Homes_RECS_2020!$B$2:$B$52&amp;Res_SF_Homes_RECS_2020!$A$2:$A$52,0)))</f>
        <v>0</v>
      </c>
      <c r="X125" s="75">
        <f t="array" ref="X125">IF(ISERROR(index(Res_SF_Homes_RECS_2020!$E$2:$E$52,match($B125&amp;X$2,Res_SF_Homes_RECS_2020!$B$2:$B$52&amp;Res_SF_Homes_RECS_2020!$A$2:$A$52,0))),0,index(Res_SF_Homes_RECS_2020!$E$2:$E$52,match($B125&amp;X$2,Res_SF_Homes_RECS_2020!$B$2:$B$52&amp;Res_SF_Homes_RECS_2020!$A$2:$A$52,0)))</f>
        <v>0</v>
      </c>
      <c r="Y125" s="75">
        <f t="array" ref="Y125">IF(ISERROR(index(Res_SF_Homes_RECS_2020!$E$2:$E$52,match($B125&amp;Y$2,Res_SF_Homes_RECS_2020!$B$2:$B$52&amp;Res_SF_Homes_RECS_2020!$A$2:$A$52,0))),0,index(Res_SF_Homes_RECS_2020!$E$2:$E$52,match($B125&amp;Y$2,Res_SF_Homes_RECS_2020!$B$2:$B$52&amp;Res_SF_Homes_RECS_2020!$A$2:$A$52,0)))</f>
        <v>0</v>
      </c>
      <c r="Z125" s="75">
        <f t="array" ref="Z125">IF(ISERROR(index(Res_SF_Homes_RECS_2020!$E$2:$E$52,match($B125&amp;Z$2,Res_SF_Homes_RECS_2020!$B$2:$B$52&amp;Res_SF_Homes_RECS_2020!$A$2:$A$52,0))),0,index(Res_SF_Homes_RECS_2020!$E$2:$E$52,match($B125&amp;Z$2,Res_SF_Homes_RECS_2020!$B$2:$B$52&amp;Res_SF_Homes_RECS_2020!$A$2:$A$52,0)))</f>
        <v>4.45</v>
      </c>
      <c r="AA125" s="75">
        <f t="array" ref="AA125">IF(ISERROR(index(Res_SF_Homes_RECS_2020!$E$2:$E$52,match($B125&amp;AA$2,Res_SF_Homes_RECS_2020!$B$2:$B$52&amp;Res_SF_Homes_RECS_2020!$A$2:$A$52,0))),0,index(Res_SF_Homes_RECS_2020!$E$2:$E$52,match($B125&amp;AA$2,Res_SF_Homes_RECS_2020!$B$2:$B$52&amp;Res_SF_Homes_RECS_2020!$A$2:$A$52,0)))</f>
        <v>0</v>
      </c>
      <c r="AB125" s="75">
        <f t="array" ref="AB125">IF(ISERROR(index(Res_SF_Homes_RECS_2020!$E$2:$E$52,match($B125&amp;AB$2,Res_SF_Homes_RECS_2020!$B$2:$B$52&amp;Res_SF_Homes_RECS_2020!$A$2:$A$52,0))),0,index(Res_SF_Homes_RECS_2020!$E$2:$E$52,match($B125&amp;AB$2,Res_SF_Homes_RECS_2020!$B$2:$B$52&amp;Res_SF_Homes_RECS_2020!$A$2:$A$52,0)))</f>
        <v>4.96</v>
      </c>
      <c r="AC125" s="75">
        <f t="array" ref="AC125">IF(ISERROR(index(Res_SF_Homes_RECS_2020!$E$2:$E$52,match($B125&amp;AC$2,Res_SF_Homes_RECS_2020!$B$2:$B$52&amp;Res_SF_Homes_RECS_2020!$A$2:$A$52,0))),0,index(Res_SF_Homes_RECS_2020!$E$2:$E$52,match($B125&amp;AC$2,Res_SF_Homes_RECS_2020!$B$2:$B$52&amp;Res_SF_Homes_RECS_2020!$A$2:$A$52,0)))</f>
        <v>0</v>
      </c>
      <c r="AD125" s="75">
        <f t="array" ref="AD125">IF(ISERROR(index(Res_SF_Homes_RECS_2020!$E$2:$E$52,match($B125&amp;AD$2,Res_SF_Homes_RECS_2020!$B$2:$B$52&amp;Res_SF_Homes_RECS_2020!$A$2:$A$52,0))),0,index(Res_SF_Homes_RECS_2020!$E$2:$E$52,match($B125&amp;AD$2,Res_SF_Homes_RECS_2020!$B$2:$B$52&amp;Res_SF_Homes_RECS_2020!$A$2:$A$52,0)))</f>
        <v>1.48</v>
      </c>
      <c r="AE125" s="75">
        <f t="array" ref="AE125">IF(ISERROR(index(Res_SF_Homes_RECS_2020!$E$2:$E$52,match($B125&amp;AE$2,Res_SF_Homes_RECS_2020!$B$2:$B$52&amp;Res_SF_Homes_RECS_2020!$A$2:$A$52,0))),0,index(Res_SF_Homes_RECS_2020!$E$2:$E$52,match($B125&amp;AE$2,Res_SF_Homes_RECS_2020!$B$2:$B$52&amp;Res_SF_Homes_RECS_2020!$A$2:$A$52,0)))</f>
        <v>0</v>
      </c>
      <c r="AF125" s="75">
        <f t="array" ref="AF125">IF(ISERROR(index(Res_SF_Homes_RECS_2020!$E$2:$E$52,match($B125&amp;AF$2,Res_SF_Homes_RECS_2020!$B$2:$B$52&amp;Res_SF_Homes_RECS_2020!$A$2:$A$52,0))),0,index(Res_SF_Homes_RECS_2020!$E$2:$E$52,match($B125&amp;AF$2,Res_SF_Homes_RECS_2020!$B$2:$B$52&amp;Res_SF_Homes_RECS_2020!$A$2:$A$52,0)))</f>
        <v>0</v>
      </c>
      <c r="AG125" s="75">
        <f t="array" ref="AG125">IF(ISERROR(index(Res_SF_Homes_RECS_2020!$E$2:$E$52,match($B125&amp;AG$2,Res_SF_Homes_RECS_2020!$B$2:$B$52&amp;Res_SF_Homes_RECS_2020!$A$2:$A$52,0))),0,index(Res_SF_Homes_RECS_2020!$E$2:$E$52,match($B125&amp;AG$2,Res_SF_Homes_RECS_2020!$B$2:$B$52&amp;Res_SF_Homes_RECS_2020!$A$2:$A$52,0)))</f>
        <v>0</v>
      </c>
      <c r="AH125" s="75">
        <f t="array" ref="AH125">IF(ISERROR(index(Res_SF_Homes_RECS_2020!$E$2:$E$52,match($B125&amp;AH$2,Res_SF_Homes_RECS_2020!$B$2:$B$52&amp;Res_SF_Homes_RECS_2020!$A$2:$A$52,0))),0,index(Res_SF_Homes_RECS_2020!$E$2:$E$52,match($B125&amp;AH$2,Res_SF_Homes_RECS_2020!$B$2:$B$52&amp;Res_SF_Homes_RECS_2020!$A$2:$A$52,0)))</f>
        <v>0</v>
      </c>
      <c r="AI125" s="75">
        <f t="array" ref="AI125">IF(ISERROR(index(Res_SF_Homes_RECS_2020!$E$2:$E$52,match($B125&amp;AI$2,Res_SF_Homes_RECS_2020!$B$2:$B$52&amp;Res_SF_Homes_RECS_2020!$A$2:$A$52,0))),0,index(Res_SF_Homes_RECS_2020!$E$2:$E$52,match($B125&amp;AI$2,Res_SF_Homes_RECS_2020!$B$2:$B$52&amp;Res_SF_Homes_RECS_2020!$A$2:$A$52,0)))</f>
        <v>0</v>
      </c>
      <c r="AJ125" s="75">
        <f t="array" ref="AJ125">IF(ISERROR(index(Res_SF_Homes_RECS_2020!$E$2:$E$52,match($B125&amp;AJ$2,Res_SF_Homes_RECS_2020!$B$2:$B$52&amp;Res_SF_Homes_RECS_2020!$A$2:$A$52,0))),0,index(Res_SF_Homes_RECS_2020!$E$2:$E$52,match($B125&amp;AJ$2,Res_SF_Homes_RECS_2020!$B$2:$B$52&amp;Res_SF_Homes_RECS_2020!$A$2:$A$52,0)))</f>
        <v>0</v>
      </c>
      <c r="AK125" s="75">
        <f t="array" ref="AK125">IF(ISERROR(index(Res_SF_Homes_RECS_2020!$E$2:$E$52,match($B125&amp;AK$2,Res_SF_Homes_RECS_2020!$B$2:$B$52&amp;Res_SF_Homes_RECS_2020!$A$2:$A$52,0))),0,index(Res_SF_Homes_RECS_2020!$E$2:$E$52,match($B125&amp;AK$2,Res_SF_Homes_RECS_2020!$B$2:$B$52&amp;Res_SF_Homes_RECS_2020!$A$2:$A$52,0)))</f>
        <v>0.64</v>
      </c>
      <c r="AL125" s="75">
        <f t="array" ref="AL125">IF(ISERROR(index(Res_SF_Homes_RECS_2020!$E$2:$E$52,match($B125&amp;AL$2,Res_SF_Homes_RECS_2020!$B$2:$B$52&amp;Res_SF_Homes_RECS_2020!$A$2:$A$52,0))),0,index(Res_SF_Homes_RECS_2020!$E$2:$E$52,match($B125&amp;AL$2,Res_SF_Homes_RECS_2020!$B$2:$B$52&amp;Res_SF_Homes_RECS_2020!$A$2:$A$52,0)))</f>
        <v>0</v>
      </c>
      <c r="AM125" s="75">
        <f t="array" ref="AM125">IF(ISERROR(index(Res_SF_Homes_RECS_2020!$E$2:$E$52,match($B125&amp;AM$2,Res_SF_Homes_RECS_2020!$B$2:$B$52&amp;Res_SF_Homes_RECS_2020!$A$2:$A$52,0))),0,index(Res_SF_Homes_RECS_2020!$E$2:$E$52,match($B125&amp;AM$2,Res_SF_Homes_RECS_2020!$B$2:$B$52&amp;Res_SF_Homes_RECS_2020!$A$2:$A$52,0)))</f>
        <v>0</v>
      </c>
      <c r="AN125" s="75">
        <f t="array" ref="AN125">IF(ISERROR(index(Res_SF_Homes_RECS_2020!$E$2:$E$52,match($B125&amp;AN$2,Res_SF_Homes_RECS_2020!$B$2:$B$52&amp;Res_SF_Homes_RECS_2020!$A$2:$A$52,0))),0,index(Res_SF_Homes_RECS_2020!$E$2:$E$52,match($B125&amp;AN$2,Res_SF_Homes_RECS_2020!$B$2:$B$52&amp;Res_SF_Homes_RECS_2020!$A$2:$A$52,0)))</f>
        <v>0</v>
      </c>
      <c r="AO125" s="75">
        <f t="array" ref="AO125">IF(ISERROR(index(Res_SF_Homes_RECS_2020!$E$2:$E$52,match($B125&amp;AO$2,Res_SF_Homes_RECS_2020!$B$2:$B$52&amp;Res_SF_Homes_RECS_2020!$A$2:$A$52,0))),0,index(Res_SF_Homes_RECS_2020!$E$2:$E$52,match($B125&amp;AO$2,Res_SF_Homes_RECS_2020!$B$2:$B$52&amp;Res_SF_Homes_RECS_2020!$A$2:$A$52,0)))</f>
        <v>0</v>
      </c>
      <c r="AP125" s="75">
        <f t="array" ref="AP125">IF(ISERROR(index(Res_SF_Homes_RECS_2020!$E$2:$E$52,match($B125&amp;AP$2,Res_SF_Homes_RECS_2020!$B$2:$B$52&amp;Res_SF_Homes_RECS_2020!$A$2:$A$52,0))),0,index(Res_SF_Homes_RECS_2020!$E$2:$E$52,match($B125&amp;AP$2,Res_SF_Homes_RECS_2020!$B$2:$B$52&amp;Res_SF_Homes_RECS_2020!$A$2:$A$52,0)))</f>
        <v>0</v>
      </c>
      <c r="AQ125" s="75">
        <f t="array" ref="AQ125">IF(ISERROR(index(Res_SF_Homes_RECS_2020!$E$2:$E$52,match($B125&amp;AQ$2,Res_SF_Homes_RECS_2020!$B$2:$B$52&amp;Res_SF_Homes_RECS_2020!$A$2:$A$52,0))),0,index(Res_SF_Homes_RECS_2020!$E$2:$E$52,match($B125&amp;AQ$2,Res_SF_Homes_RECS_2020!$B$2:$B$52&amp;Res_SF_Homes_RECS_2020!$A$2:$A$52,0)))</f>
        <v>0</v>
      </c>
      <c r="AR125" s="75">
        <f t="array" ref="AR125">IF(ISERROR(index(Res_SF_Homes_RECS_2020!$E$2:$E$52,match($B125&amp;AR$2,Res_SF_Homes_RECS_2020!$B$2:$B$52&amp;Res_SF_Homes_RECS_2020!$A$2:$A$52,0))),0,index(Res_SF_Homes_RECS_2020!$E$2:$E$52,match($B125&amp;AR$2,Res_SF_Homes_RECS_2020!$B$2:$B$52&amp;Res_SF_Homes_RECS_2020!$A$2:$A$52,0)))</f>
        <v>0.71</v>
      </c>
      <c r="AS125" s="75">
        <f t="array" ref="AS125">IF(ISERROR(index(Res_SF_Homes_RECS_2020!$E$2:$E$52,match($B125&amp;AS$2,Res_SF_Homes_RECS_2020!$B$2:$B$52&amp;Res_SF_Homes_RECS_2020!$A$2:$A$52,0))),0,index(Res_SF_Homes_RECS_2020!$E$2:$E$52,match($B125&amp;AS$2,Res_SF_Homes_RECS_2020!$B$2:$B$52&amp;Res_SF_Homes_RECS_2020!$A$2:$A$52,0)))</f>
        <v>0</v>
      </c>
      <c r="AT125" s="75">
        <f t="array" ref="AT125">IF(ISERROR(index(Res_SF_Homes_RECS_2020!$E$2:$E$52,match($B125&amp;AT$2,Res_SF_Homes_RECS_2020!$B$2:$B$52&amp;Res_SF_Homes_RECS_2020!$A$2:$A$52,0))),0,index(Res_SF_Homes_RECS_2020!$E$2:$E$52,match($B125&amp;AT$2,Res_SF_Homes_RECS_2020!$B$2:$B$52&amp;Res_SF_Homes_RECS_2020!$A$2:$A$52,0)))</f>
        <v>0</v>
      </c>
      <c r="AU125" s="75">
        <f t="array" ref="AU125">IF(ISERROR(index(Res_SF_Homes_RECS_2020!$E$2:$E$52,match($B125&amp;AU$2,Res_SF_Homes_RECS_2020!$B$2:$B$52&amp;Res_SF_Homes_RECS_2020!$A$2:$A$52,0))),0,index(Res_SF_Homes_RECS_2020!$E$2:$E$52,match($B125&amp;AU$2,Res_SF_Homes_RECS_2020!$B$2:$B$52&amp;Res_SF_Homes_RECS_2020!$A$2:$A$52,0)))</f>
        <v>0</v>
      </c>
      <c r="AV125" s="75">
        <f t="array" ref="AV125">IF(ISERROR(index(Res_SF_Homes_RECS_2020!$E$2:$E$52,match($B125&amp;AV$2,Res_SF_Homes_RECS_2020!$B$2:$B$52&amp;Res_SF_Homes_RECS_2020!$A$2:$A$52,0))),0,index(Res_SF_Homes_RECS_2020!$E$2:$E$52,match($B125&amp;AV$2,Res_SF_Homes_RECS_2020!$B$2:$B$52&amp;Res_SF_Homes_RECS_2020!$A$2:$A$52,0)))</f>
        <v>0</v>
      </c>
      <c r="AW125" s="75">
        <f t="array" ref="AW125">IF(ISERROR(index(Res_SF_Homes_RECS_2020!$E$2:$E$52,match($B125&amp;AW$2,Res_SF_Homes_RECS_2020!$B$2:$B$52&amp;Res_SF_Homes_RECS_2020!$A$2:$A$52,0))),0,index(Res_SF_Homes_RECS_2020!$E$2:$E$52,match($B125&amp;AW$2,Res_SF_Homes_RECS_2020!$B$2:$B$52&amp;Res_SF_Homes_RECS_2020!$A$2:$A$52,0)))</f>
        <v>0</v>
      </c>
      <c r="AX125" s="75">
        <f t="array" ref="AX125">IF(ISERROR(index(Res_SF_Homes_RECS_2020!$E$2:$E$52,match($B125&amp;AX$2,Res_SF_Homes_RECS_2020!$B$2:$B$52&amp;Res_SF_Homes_RECS_2020!$A$2:$A$52,0))),0,index(Res_SF_Homes_RECS_2020!$E$2:$E$52,match($B125&amp;AX$2,Res_SF_Homes_RECS_2020!$B$2:$B$52&amp;Res_SF_Homes_RECS_2020!$A$2:$A$52,0)))</f>
        <v>0</v>
      </c>
      <c r="AY125" s="75">
        <f t="array" ref="AY125">IF(ISERROR(index(Res_SF_Homes_RECS_2020!$E$2:$E$52,match($B125&amp;AY$2,Res_SF_Homes_RECS_2020!$B$2:$B$52&amp;Res_SF_Homes_RECS_2020!$A$2:$A$52,0))),0,index(Res_SF_Homes_RECS_2020!$E$2:$E$52,match($B125&amp;AY$2,Res_SF_Homes_RECS_2020!$B$2:$B$52&amp;Res_SF_Homes_RECS_2020!$A$2:$A$52,0)))</f>
        <v>0</v>
      </c>
      <c r="AZ125" s="75">
        <f t="array" ref="AZ125">IF(ISERROR(index(Res_SF_Homes_RECS_2020!$E$2:$E$52,match($B125&amp;AZ$2,Res_SF_Homes_RECS_2020!$B$2:$B$52&amp;Res_SF_Homes_RECS_2020!$A$2:$A$52,0))),0,index(Res_SF_Homes_RECS_2020!$E$2:$E$52,match($B125&amp;AZ$2,Res_SF_Homes_RECS_2020!$B$2:$B$52&amp;Res_SF_Homes_RECS_2020!$A$2:$A$52,0)))</f>
        <v>0</v>
      </c>
      <c r="BA125" s="75">
        <f t="array" ref="BA125">IF(ISERROR(index(Res_SF_Homes_RECS_2020!$E$2:$E$52,match($B125&amp;BA$2,Res_SF_Homes_RECS_2020!$B$2:$B$52&amp;Res_SF_Homes_RECS_2020!$A$2:$A$52,0))),0,index(Res_SF_Homes_RECS_2020!$E$2:$E$52,match($B125&amp;BA$2,Res_SF_Homes_RECS_2020!$B$2:$B$52&amp;Res_SF_Homes_RECS_2020!$A$2:$A$52,0)))</f>
        <v>0</v>
      </c>
      <c r="BB125" s="74">
        <f t="shared" si="19"/>
        <v>17.14</v>
      </c>
    </row>
    <row r="126" ht="15.75" customHeight="1">
      <c r="A126" s="78"/>
      <c r="B126" s="74">
        <v>5.0</v>
      </c>
      <c r="C126" s="75">
        <f t="array" ref="C126">IF(ISERROR(index(Res_SF_Homes_RECS_2020!$E$2:$E$52,match($B126&amp;C$2,Res_SF_Homes_RECS_2020!$B$2:$B$52&amp;Res_SF_Homes_RECS_2020!$A$2:$A$52,0))),0,index(Res_SF_Homes_RECS_2020!$E$2:$E$52,match($B126&amp;C$2,Res_SF_Homes_RECS_2020!$B$2:$B$52&amp;Res_SF_Homes_RECS_2020!$A$2:$A$52,0)))</f>
        <v>0</v>
      </c>
      <c r="D126" s="75">
        <f t="array" ref="D126">IF(ISERROR(index(Res_SF_Homes_RECS_2020!$E$2:$E$52,match($B126&amp;D$2,Res_SF_Homes_RECS_2020!$B$2:$B$52&amp;Res_SF_Homes_RECS_2020!$A$2:$A$52,0))),0,index(Res_SF_Homes_RECS_2020!$E$2:$E$52,match($B126&amp;D$2,Res_SF_Homes_RECS_2020!$B$2:$B$52&amp;Res_SF_Homes_RECS_2020!$A$2:$A$52,0)))</f>
        <v>0</v>
      </c>
      <c r="E126" s="75">
        <f t="array" ref="E126">IF(ISERROR(index(Res_SF_Homes_RECS_2020!$E$2:$E$52,match($B126&amp;E$2,Res_SF_Homes_RECS_2020!$B$2:$B$52&amp;Res_SF_Homes_RECS_2020!$A$2:$A$52,0))),0,index(Res_SF_Homes_RECS_2020!$E$2:$E$52,match($B126&amp;E$2,Res_SF_Homes_RECS_2020!$B$2:$B$52&amp;Res_SF_Homes_RECS_2020!$A$2:$A$52,0)))</f>
        <v>0</v>
      </c>
      <c r="F126" s="75">
        <f t="array" ref="F126">IF(ISERROR(index(Res_SF_Homes_RECS_2020!$E$2:$E$52,match($B126&amp;F$2,Res_SF_Homes_RECS_2020!$B$2:$B$52&amp;Res_SF_Homes_RECS_2020!$A$2:$A$52,0))),0,index(Res_SF_Homes_RECS_2020!$E$2:$E$52,match($B126&amp;F$2,Res_SF_Homes_RECS_2020!$B$2:$B$52&amp;Res_SF_Homes_RECS_2020!$A$2:$A$52,0)))</f>
        <v>0</v>
      </c>
      <c r="G126" s="75">
        <f t="array" ref="G126">IF(ISERROR(index(Res_SF_Homes_RECS_2020!$E$2:$E$52,match($B126&amp;G$2,Res_SF_Homes_RECS_2020!$B$2:$B$52&amp;Res_SF_Homes_RECS_2020!$A$2:$A$52,0))),0,index(Res_SF_Homes_RECS_2020!$E$2:$E$52,match($B126&amp;G$2,Res_SF_Homes_RECS_2020!$B$2:$B$52&amp;Res_SF_Homes_RECS_2020!$A$2:$A$52,0)))</f>
        <v>0</v>
      </c>
      <c r="H126" s="75">
        <f t="array" ref="H126">IF(ISERROR(index(Res_SF_Homes_RECS_2020!$E$2:$E$52,match($B126&amp;H$2,Res_SF_Homes_RECS_2020!$B$2:$B$52&amp;Res_SF_Homes_RECS_2020!$A$2:$A$52,0))),0,index(Res_SF_Homes_RECS_2020!$E$2:$E$52,match($B126&amp;H$2,Res_SF_Homes_RECS_2020!$B$2:$B$52&amp;Res_SF_Homes_RECS_2020!$A$2:$A$52,0)))</f>
        <v>0</v>
      </c>
      <c r="I126" s="75">
        <f t="array" ref="I126">IF(ISERROR(index(Res_SF_Homes_RECS_2020!$E$2:$E$52,match($B126&amp;I$2,Res_SF_Homes_RECS_2020!$B$2:$B$52&amp;Res_SF_Homes_RECS_2020!$A$2:$A$52,0))),0,index(Res_SF_Homes_RECS_2020!$E$2:$E$52,match($B126&amp;I$2,Res_SF_Homes_RECS_2020!$B$2:$B$52&amp;Res_SF_Homes_RECS_2020!$A$2:$A$52,0)))</f>
        <v>0</v>
      </c>
      <c r="J126" s="75">
        <f t="array" ref="J126">IF(ISERROR(index(Res_SF_Homes_RECS_2020!$E$2:$E$52,match($B126&amp;J$2,Res_SF_Homes_RECS_2020!$B$2:$B$52&amp;Res_SF_Homes_RECS_2020!$A$2:$A$52,0))),0,index(Res_SF_Homes_RECS_2020!$E$2:$E$52,match($B126&amp;J$2,Res_SF_Homes_RECS_2020!$B$2:$B$52&amp;Res_SF_Homes_RECS_2020!$A$2:$A$52,0)))</f>
        <v>0.79</v>
      </c>
      <c r="K126" s="75">
        <f t="array" ref="K126">IF(ISERROR(index(Res_SF_Homes_RECS_2020!$E$2:$E$52,match($B126&amp;K$2,Res_SF_Homes_RECS_2020!$B$2:$B$52&amp;Res_SF_Homes_RECS_2020!$A$2:$A$52,0))),0,index(Res_SF_Homes_RECS_2020!$E$2:$E$52,match($B126&amp;K$2,Res_SF_Homes_RECS_2020!$B$2:$B$52&amp;Res_SF_Homes_RECS_2020!$A$2:$A$52,0)))</f>
        <v>0.38</v>
      </c>
      <c r="L126" s="75">
        <f t="array" ref="L126">IF(ISERROR(index(Res_SF_Homes_RECS_2020!$E$2:$E$52,match($B126&amp;L$2,Res_SF_Homes_RECS_2020!$B$2:$B$52&amp;Res_SF_Homes_RECS_2020!$A$2:$A$52,0))),0,index(Res_SF_Homes_RECS_2020!$E$2:$E$52,match($B126&amp;L$2,Res_SF_Homes_RECS_2020!$B$2:$B$52&amp;Res_SF_Homes_RECS_2020!$A$2:$A$52,0)))</f>
        <v>13.08</v>
      </c>
      <c r="M126" s="75">
        <f t="array" ref="M126">IF(ISERROR(index(Res_SF_Homes_RECS_2020!$E$2:$E$52,match($B126&amp;M$2,Res_SF_Homes_RECS_2020!$B$2:$B$52&amp;Res_SF_Homes_RECS_2020!$A$2:$A$52,0))),0,index(Res_SF_Homes_RECS_2020!$E$2:$E$52,match($B126&amp;M$2,Res_SF_Homes_RECS_2020!$B$2:$B$52&amp;Res_SF_Homes_RECS_2020!$A$2:$A$52,0)))</f>
        <v>7.66</v>
      </c>
      <c r="N126" s="75">
        <f t="array" ref="N126">IF(ISERROR(index(Res_SF_Homes_RECS_2020!$E$2:$E$52,match($B126&amp;N$2,Res_SF_Homes_RECS_2020!$B$2:$B$52&amp;Res_SF_Homes_RECS_2020!$A$2:$A$52,0))),0,index(Res_SF_Homes_RECS_2020!$E$2:$E$52,match($B126&amp;N$2,Res_SF_Homes_RECS_2020!$B$2:$B$52&amp;Res_SF_Homes_RECS_2020!$A$2:$A$52,0)))</f>
        <v>0</v>
      </c>
      <c r="O126" s="75">
        <f t="array" ref="O126">IF(ISERROR(index(Res_SF_Homes_RECS_2020!$E$2:$E$52,match($B126&amp;O$2,Res_SF_Homes_RECS_2020!$B$2:$B$52&amp;Res_SF_Homes_RECS_2020!$A$2:$A$52,0))),0,index(Res_SF_Homes_RECS_2020!$E$2:$E$52,match($B126&amp;O$2,Res_SF_Homes_RECS_2020!$B$2:$B$52&amp;Res_SF_Homes_RECS_2020!$A$2:$A$52,0)))</f>
        <v>0</v>
      </c>
      <c r="P126" s="75">
        <f t="array" ref="P126">IF(ISERROR(index(Res_SF_Homes_RECS_2020!$E$2:$E$52,match($B126&amp;P$2,Res_SF_Homes_RECS_2020!$B$2:$B$52&amp;Res_SF_Homes_RECS_2020!$A$2:$A$52,0))),0,index(Res_SF_Homes_RECS_2020!$E$2:$E$52,match($B126&amp;P$2,Res_SF_Homes_RECS_2020!$B$2:$B$52&amp;Res_SF_Homes_RECS_2020!$A$2:$A$52,0)))</f>
        <v>0</v>
      </c>
      <c r="Q126" s="75">
        <f t="array" ref="Q126">IF(ISERROR(index(Res_SF_Homes_RECS_2020!$E$2:$E$52,match($B126&amp;Q$2,Res_SF_Homes_RECS_2020!$B$2:$B$52&amp;Res_SF_Homes_RECS_2020!$A$2:$A$52,0))),0,index(Res_SF_Homes_RECS_2020!$E$2:$E$52,match($B126&amp;Q$2,Res_SF_Homes_RECS_2020!$B$2:$B$52&amp;Res_SF_Homes_RECS_2020!$A$2:$A$52,0)))</f>
        <v>0</v>
      </c>
      <c r="R126" s="75">
        <f t="array" ref="R126">IF(ISERROR(index(Res_SF_Homes_RECS_2020!$E$2:$E$52,match($B126&amp;R$2,Res_SF_Homes_RECS_2020!$B$2:$B$52&amp;Res_SF_Homes_RECS_2020!$A$2:$A$52,0))),0,index(Res_SF_Homes_RECS_2020!$E$2:$E$52,match($B126&amp;R$2,Res_SF_Homes_RECS_2020!$B$2:$B$52&amp;Res_SF_Homes_RECS_2020!$A$2:$A$52,0)))</f>
        <v>0</v>
      </c>
      <c r="S126" s="75">
        <f t="array" ref="S126">IF(ISERROR(index(Res_SF_Homes_RECS_2020!$E$2:$E$52,match($B126&amp;S$2,Res_SF_Homes_RECS_2020!$B$2:$B$52&amp;Res_SF_Homes_RECS_2020!$A$2:$A$52,0))),0,index(Res_SF_Homes_RECS_2020!$E$2:$E$52,match($B126&amp;S$2,Res_SF_Homes_RECS_2020!$B$2:$B$52&amp;Res_SF_Homes_RECS_2020!$A$2:$A$52,0)))</f>
        <v>0</v>
      </c>
      <c r="T126" s="75">
        <f t="array" ref="T126">IF(ISERROR(index(Res_SF_Homes_RECS_2020!$E$2:$E$52,match($B126&amp;T$2,Res_SF_Homes_RECS_2020!$B$2:$B$52&amp;Res_SF_Homes_RECS_2020!$A$2:$A$52,0))),0,index(Res_SF_Homes_RECS_2020!$E$2:$E$52,match($B126&amp;T$2,Res_SF_Homes_RECS_2020!$B$2:$B$52&amp;Res_SF_Homes_RECS_2020!$A$2:$A$52,0)))</f>
        <v>0</v>
      </c>
      <c r="U126" s="75">
        <f t="array" ref="U126">IF(ISERROR(index(Res_SF_Homes_RECS_2020!$E$2:$E$52,match($B126&amp;U$2,Res_SF_Homes_RECS_2020!$B$2:$B$52&amp;Res_SF_Homes_RECS_2020!$A$2:$A$52,0))),0,index(Res_SF_Homes_RECS_2020!$E$2:$E$52,match($B126&amp;U$2,Res_SF_Homes_RECS_2020!$B$2:$B$52&amp;Res_SF_Homes_RECS_2020!$A$2:$A$52,0)))</f>
        <v>0</v>
      </c>
      <c r="V126" s="75">
        <f t="array" ref="V126">IF(ISERROR(index(Res_SF_Homes_RECS_2020!$E$2:$E$52,match($B126&amp;V$2,Res_SF_Homes_RECS_2020!$B$2:$B$52&amp;Res_SF_Homes_RECS_2020!$A$2:$A$52,0))),0,index(Res_SF_Homes_RECS_2020!$E$2:$E$52,match($B126&amp;V$2,Res_SF_Homes_RECS_2020!$B$2:$B$52&amp;Res_SF_Homes_RECS_2020!$A$2:$A$52,0)))</f>
        <v>0</v>
      </c>
      <c r="W126" s="75">
        <f t="array" ref="W126">IF(ISERROR(index(Res_SF_Homes_RECS_2020!$E$2:$E$52,match($B126&amp;W$2,Res_SF_Homes_RECS_2020!$B$2:$B$52&amp;Res_SF_Homes_RECS_2020!$A$2:$A$52,0))),0,index(Res_SF_Homes_RECS_2020!$E$2:$E$52,match($B126&amp;W$2,Res_SF_Homes_RECS_2020!$B$2:$B$52&amp;Res_SF_Homes_RECS_2020!$A$2:$A$52,0)))</f>
        <v>4.53</v>
      </c>
      <c r="X126" s="75">
        <f t="array" ref="X126">IF(ISERROR(index(Res_SF_Homes_RECS_2020!$E$2:$E$52,match($B126&amp;X$2,Res_SF_Homes_RECS_2020!$B$2:$B$52&amp;Res_SF_Homes_RECS_2020!$A$2:$A$52,0))),0,index(Res_SF_Homes_RECS_2020!$E$2:$E$52,match($B126&amp;X$2,Res_SF_Homes_RECS_2020!$B$2:$B$52&amp;Res_SF_Homes_RECS_2020!$A$2:$A$52,0)))</f>
        <v>0</v>
      </c>
      <c r="Y126" s="75">
        <f t="array" ref="Y126">IF(ISERROR(index(Res_SF_Homes_RECS_2020!$E$2:$E$52,match($B126&amp;Y$2,Res_SF_Homes_RECS_2020!$B$2:$B$52&amp;Res_SF_Homes_RECS_2020!$A$2:$A$52,0))),0,index(Res_SF_Homes_RECS_2020!$E$2:$E$52,match($B126&amp;Y$2,Res_SF_Homes_RECS_2020!$B$2:$B$52&amp;Res_SF_Homes_RECS_2020!$A$2:$A$52,0)))</f>
        <v>0</v>
      </c>
      <c r="Z126" s="75">
        <f t="array" ref="Z126">IF(ISERROR(index(Res_SF_Homes_RECS_2020!$E$2:$E$52,match($B126&amp;Z$2,Res_SF_Homes_RECS_2020!$B$2:$B$52&amp;Res_SF_Homes_RECS_2020!$A$2:$A$52,0))),0,index(Res_SF_Homes_RECS_2020!$E$2:$E$52,match($B126&amp;Z$2,Res_SF_Homes_RECS_2020!$B$2:$B$52&amp;Res_SF_Homes_RECS_2020!$A$2:$A$52,0)))</f>
        <v>0</v>
      </c>
      <c r="AA126" s="75">
        <f t="array" ref="AA126">IF(ISERROR(index(Res_SF_Homes_RECS_2020!$E$2:$E$52,match($B126&amp;AA$2,Res_SF_Homes_RECS_2020!$B$2:$B$52&amp;Res_SF_Homes_RECS_2020!$A$2:$A$52,0))),0,index(Res_SF_Homes_RECS_2020!$E$2:$E$52,match($B126&amp;AA$2,Res_SF_Homes_RECS_2020!$B$2:$B$52&amp;Res_SF_Homes_RECS_2020!$A$2:$A$52,0)))</f>
        <v>0</v>
      </c>
      <c r="AB126" s="75">
        <f t="array" ref="AB126">IF(ISERROR(index(Res_SF_Homes_RECS_2020!$E$2:$E$52,match($B126&amp;AB$2,Res_SF_Homes_RECS_2020!$B$2:$B$52&amp;Res_SF_Homes_RECS_2020!$A$2:$A$52,0))),0,index(Res_SF_Homes_RECS_2020!$E$2:$E$52,match($B126&amp;AB$2,Res_SF_Homes_RECS_2020!$B$2:$B$52&amp;Res_SF_Homes_RECS_2020!$A$2:$A$52,0)))</f>
        <v>0</v>
      </c>
      <c r="AC126" s="75">
        <f t="array" ref="AC126">IF(ISERROR(index(Res_SF_Homes_RECS_2020!$E$2:$E$52,match($B126&amp;AC$2,Res_SF_Homes_RECS_2020!$B$2:$B$52&amp;Res_SF_Homes_RECS_2020!$A$2:$A$52,0))),0,index(Res_SF_Homes_RECS_2020!$E$2:$E$52,match($B126&amp;AC$2,Res_SF_Homes_RECS_2020!$B$2:$B$52&amp;Res_SF_Homes_RECS_2020!$A$2:$A$52,0)))</f>
        <v>0</v>
      </c>
      <c r="AD126" s="75">
        <f t="array" ref="AD126">IF(ISERROR(index(Res_SF_Homes_RECS_2020!$E$2:$E$52,match($B126&amp;AD$2,Res_SF_Homes_RECS_2020!$B$2:$B$52&amp;Res_SF_Homes_RECS_2020!$A$2:$A$52,0))),0,index(Res_SF_Homes_RECS_2020!$E$2:$E$52,match($B126&amp;AD$2,Res_SF_Homes_RECS_2020!$B$2:$B$52&amp;Res_SF_Homes_RECS_2020!$A$2:$A$52,0)))</f>
        <v>0</v>
      </c>
      <c r="AE126" s="75">
        <f t="array" ref="AE126">IF(ISERROR(index(Res_SF_Homes_RECS_2020!$E$2:$E$52,match($B126&amp;AE$2,Res_SF_Homes_RECS_2020!$B$2:$B$52&amp;Res_SF_Homes_RECS_2020!$A$2:$A$52,0))),0,index(Res_SF_Homes_RECS_2020!$E$2:$E$52,match($B126&amp;AE$2,Res_SF_Homes_RECS_2020!$B$2:$B$52&amp;Res_SF_Homes_RECS_2020!$A$2:$A$52,0)))</f>
        <v>0</v>
      </c>
      <c r="AF126" s="75">
        <f t="array" ref="AF126">IF(ISERROR(index(Res_SF_Homes_RECS_2020!$E$2:$E$52,match($B126&amp;AF$2,Res_SF_Homes_RECS_2020!$B$2:$B$52&amp;Res_SF_Homes_RECS_2020!$A$2:$A$52,0))),0,index(Res_SF_Homes_RECS_2020!$E$2:$E$52,match($B126&amp;AF$2,Res_SF_Homes_RECS_2020!$B$2:$B$52&amp;Res_SF_Homes_RECS_2020!$A$2:$A$52,0)))</f>
        <v>0</v>
      </c>
      <c r="AG126" s="75">
        <f t="array" ref="AG126">IF(ISERROR(index(Res_SF_Homes_RECS_2020!$E$2:$E$52,match($B126&amp;AG$2,Res_SF_Homes_RECS_2020!$B$2:$B$52&amp;Res_SF_Homes_RECS_2020!$A$2:$A$52,0))),0,index(Res_SF_Homes_RECS_2020!$E$2:$E$52,match($B126&amp;AG$2,Res_SF_Homes_RECS_2020!$B$2:$B$52&amp;Res_SF_Homes_RECS_2020!$A$2:$A$52,0)))</f>
        <v>0</v>
      </c>
      <c r="AH126" s="75">
        <f t="array" ref="AH126">IF(ISERROR(index(Res_SF_Homes_RECS_2020!$E$2:$E$52,match($B126&amp;AH$2,Res_SF_Homes_RECS_2020!$B$2:$B$52&amp;Res_SF_Homes_RECS_2020!$A$2:$A$52,0))),0,index(Res_SF_Homes_RECS_2020!$E$2:$E$52,match($B126&amp;AH$2,Res_SF_Homes_RECS_2020!$B$2:$B$52&amp;Res_SF_Homes_RECS_2020!$A$2:$A$52,0)))</f>
        <v>0</v>
      </c>
      <c r="AI126" s="75">
        <f t="array" ref="AI126">IF(ISERROR(index(Res_SF_Homes_RECS_2020!$E$2:$E$52,match($B126&amp;AI$2,Res_SF_Homes_RECS_2020!$B$2:$B$52&amp;Res_SF_Homes_RECS_2020!$A$2:$A$52,0))),0,index(Res_SF_Homes_RECS_2020!$E$2:$E$52,match($B126&amp;AI$2,Res_SF_Homes_RECS_2020!$B$2:$B$52&amp;Res_SF_Homes_RECS_2020!$A$2:$A$52,0)))</f>
        <v>0</v>
      </c>
      <c r="AJ126" s="75">
        <f t="array" ref="AJ126">IF(ISERROR(index(Res_SF_Homes_RECS_2020!$E$2:$E$52,match($B126&amp;AJ$2,Res_SF_Homes_RECS_2020!$B$2:$B$52&amp;Res_SF_Homes_RECS_2020!$A$2:$A$52,0))),0,index(Res_SF_Homes_RECS_2020!$E$2:$E$52,match($B126&amp;AJ$2,Res_SF_Homes_RECS_2020!$B$2:$B$52&amp;Res_SF_Homes_RECS_2020!$A$2:$A$52,0)))</f>
        <v>7.63</v>
      </c>
      <c r="AK126" s="75">
        <f t="array" ref="AK126">IF(ISERROR(index(Res_SF_Homes_RECS_2020!$E$2:$E$52,match($B126&amp;AK$2,Res_SF_Homes_RECS_2020!$B$2:$B$52&amp;Res_SF_Homes_RECS_2020!$A$2:$A$52,0))),0,index(Res_SF_Homes_RECS_2020!$E$2:$E$52,match($B126&amp;AK$2,Res_SF_Homes_RECS_2020!$B$2:$B$52&amp;Res_SF_Homes_RECS_2020!$A$2:$A$52,0)))</f>
        <v>0</v>
      </c>
      <c r="AL126" s="75">
        <f t="array" ref="AL126">IF(ISERROR(index(Res_SF_Homes_RECS_2020!$E$2:$E$52,match($B126&amp;AL$2,Res_SF_Homes_RECS_2020!$B$2:$B$52&amp;Res_SF_Homes_RECS_2020!$A$2:$A$52,0))),0,index(Res_SF_Homes_RECS_2020!$E$2:$E$52,match($B126&amp;AL$2,Res_SF_Homes_RECS_2020!$B$2:$B$52&amp;Res_SF_Homes_RECS_2020!$A$2:$A$52,0)))</f>
        <v>0</v>
      </c>
      <c r="AM126" s="75">
        <f t="array" ref="AM126">IF(ISERROR(index(Res_SF_Homes_RECS_2020!$E$2:$E$52,match($B126&amp;AM$2,Res_SF_Homes_RECS_2020!$B$2:$B$52&amp;Res_SF_Homes_RECS_2020!$A$2:$A$52,0))),0,index(Res_SF_Homes_RECS_2020!$E$2:$E$52,match($B126&amp;AM$2,Res_SF_Homes_RECS_2020!$B$2:$B$52&amp;Res_SF_Homes_RECS_2020!$A$2:$A$52,0)))</f>
        <v>0</v>
      </c>
      <c r="AN126" s="75">
        <f t="array" ref="AN126">IF(ISERROR(index(Res_SF_Homes_RECS_2020!$E$2:$E$52,match($B126&amp;AN$2,Res_SF_Homes_RECS_2020!$B$2:$B$52&amp;Res_SF_Homes_RECS_2020!$A$2:$A$52,0))),0,index(Res_SF_Homes_RECS_2020!$E$2:$E$52,match($B126&amp;AN$2,Res_SF_Homes_RECS_2020!$B$2:$B$52&amp;Res_SF_Homes_RECS_2020!$A$2:$A$52,0)))</f>
        <v>0</v>
      </c>
      <c r="AO126" s="75">
        <f t="array" ref="AO126">IF(ISERROR(index(Res_SF_Homes_RECS_2020!$E$2:$E$52,match($B126&amp;AO$2,Res_SF_Homes_RECS_2020!$B$2:$B$52&amp;Res_SF_Homes_RECS_2020!$A$2:$A$52,0))),0,index(Res_SF_Homes_RECS_2020!$E$2:$E$52,match($B126&amp;AO$2,Res_SF_Homes_RECS_2020!$B$2:$B$52&amp;Res_SF_Homes_RECS_2020!$A$2:$A$52,0)))</f>
        <v>0</v>
      </c>
      <c r="AP126" s="75">
        <f t="array" ref="AP126">IF(ISERROR(index(Res_SF_Homes_RECS_2020!$E$2:$E$52,match($B126&amp;AP$2,Res_SF_Homes_RECS_2020!$B$2:$B$52&amp;Res_SF_Homes_RECS_2020!$A$2:$A$52,0))),0,index(Res_SF_Homes_RECS_2020!$E$2:$E$52,match($B126&amp;AP$2,Res_SF_Homes_RECS_2020!$B$2:$B$52&amp;Res_SF_Homes_RECS_2020!$A$2:$A$52,0)))</f>
        <v>0</v>
      </c>
      <c r="AQ126" s="75">
        <f t="array" ref="AQ126">IF(ISERROR(index(Res_SF_Homes_RECS_2020!$E$2:$E$52,match($B126&amp;AQ$2,Res_SF_Homes_RECS_2020!$B$2:$B$52&amp;Res_SF_Homes_RECS_2020!$A$2:$A$52,0))),0,index(Res_SF_Homes_RECS_2020!$E$2:$E$52,match($B126&amp;AQ$2,Res_SF_Homes_RECS_2020!$B$2:$B$52&amp;Res_SF_Homes_RECS_2020!$A$2:$A$52,0)))</f>
        <v>3.49</v>
      </c>
      <c r="AR126" s="75">
        <f t="array" ref="AR126">IF(ISERROR(index(Res_SF_Homes_RECS_2020!$E$2:$E$52,match($B126&amp;AR$2,Res_SF_Homes_RECS_2020!$B$2:$B$52&amp;Res_SF_Homes_RECS_2020!$A$2:$A$52,0))),0,index(Res_SF_Homes_RECS_2020!$E$2:$E$52,match($B126&amp;AR$2,Res_SF_Homes_RECS_2020!$B$2:$B$52&amp;Res_SF_Homes_RECS_2020!$A$2:$A$52,0)))</f>
        <v>0</v>
      </c>
      <c r="AS126" s="75">
        <f t="array" ref="AS126">IF(ISERROR(index(Res_SF_Homes_RECS_2020!$E$2:$E$52,match($B126&amp;AS$2,Res_SF_Homes_RECS_2020!$B$2:$B$52&amp;Res_SF_Homes_RECS_2020!$A$2:$A$52,0))),0,index(Res_SF_Homes_RECS_2020!$E$2:$E$52,match($B126&amp;AS$2,Res_SF_Homes_RECS_2020!$B$2:$B$52&amp;Res_SF_Homes_RECS_2020!$A$2:$A$52,0)))</f>
        <v>0</v>
      </c>
      <c r="AT126" s="75">
        <f t="array" ref="AT126">IF(ISERROR(index(Res_SF_Homes_RECS_2020!$E$2:$E$52,match($B126&amp;AT$2,Res_SF_Homes_RECS_2020!$B$2:$B$52&amp;Res_SF_Homes_RECS_2020!$A$2:$A$52,0))),0,index(Res_SF_Homes_RECS_2020!$E$2:$E$52,match($B126&amp;AT$2,Res_SF_Homes_RECS_2020!$B$2:$B$52&amp;Res_SF_Homes_RECS_2020!$A$2:$A$52,0)))</f>
        <v>0</v>
      </c>
      <c r="AU126" s="75">
        <f t="array" ref="AU126">IF(ISERROR(index(Res_SF_Homes_RECS_2020!$E$2:$E$52,match($B126&amp;AU$2,Res_SF_Homes_RECS_2020!$B$2:$B$52&amp;Res_SF_Homes_RECS_2020!$A$2:$A$52,0))),0,index(Res_SF_Homes_RECS_2020!$E$2:$E$52,match($B126&amp;AU$2,Res_SF_Homes_RECS_2020!$B$2:$B$52&amp;Res_SF_Homes_RECS_2020!$A$2:$A$52,0)))</f>
        <v>0</v>
      </c>
      <c r="AV126" s="75">
        <f t="array" ref="AV126">IF(ISERROR(index(Res_SF_Homes_RECS_2020!$E$2:$E$52,match($B126&amp;AV$2,Res_SF_Homes_RECS_2020!$B$2:$B$52&amp;Res_SF_Homes_RECS_2020!$A$2:$A$52,0))),0,index(Res_SF_Homes_RECS_2020!$E$2:$E$52,match($B126&amp;AV$2,Res_SF_Homes_RECS_2020!$B$2:$B$52&amp;Res_SF_Homes_RECS_2020!$A$2:$A$52,0)))</f>
        <v>0</v>
      </c>
      <c r="AW126" s="75">
        <f t="array" ref="AW126">IF(ISERROR(index(Res_SF_Homes_RECS_2020!$E$2:$E$52,match($B126&amp;AW$2,Res_SF_Homes_RECS_2020!$B$2:$B$52&amp;Res_SF_Homes_RECS_2020!$A$2:$A$52,0))),0,index(Res_SF_Homes_RECS_2020!$E$2:$E$52,match($B126&amp;AW$2,Res_SF_Homes_RECS_2020!$B$2:$B$52&amp;Res_SF_Homes_RECS_2020!$A$2:$A$52,0)))</f>
        <v>6.44</v>
      </c>
      <c r="AX126" s="75">
        <f t="array" ref="AX126">IF(ISERROR(index(Res_SF_Homes_RECS_2020!$E$2:$E$52,match($B126&amp;AX$2,Res_SF_Homes_RECS_2020!$B$2:$B$52&amp;Res_SF_Homes_RECS_2020!$A$2:$A$52,0))),0,index(Res_SF_Homes_RECS_2020!$E$2:$E$52,match($B126&amp;AX$2,Res_SF_Homes_RECS_2020!$B$2:$B$52&amp;Res_SF_Homes_RECS_2020!$A$2:$A$52,0)))</f>
        <v>0</v>
      </c>
      <c r="AY126" s="75">
        <f t="array" ref="AY126">IF(ISERROR(index(Res_SF_Homes_RECS_2020!$E$2:$E$52,match($B126&amp;AY$2,Res_SF_Homes_RECS_2020!$B$2:$B$52&amp;Res_SF_Homes_RECS_2020!$A$2:$A$52,0))),0,index(Res_SF_Homes_RECS_2020!$E$2:$E$52,match($B126&amp;AY$2,Res_SF_Homes_RECS_2020!$B$2:$B$52&amp;Res_SF_Homes_RECS_2020!$A$2:$A$52,0)))</f>
        <v>1.32</v>
      </c>
      <c r="AZ126" s="75">
        <f t="array" ref="AZ126">IF(ISERROR(index(Res_SF_Homes_RECS_2020!$E$2:$E$52,match($B126&amp;AZ$2,Res_SF_Homes_RECS_2020!$B$2:$B$52&amp;Res_SF_Homes_RECS_2020!$A$2:$A$52,0))),0,index(Res_SF_Homes_RECS_2020!$E$2:$E$52,match($B126&amp;AZ$2,Res_SF_Homes_RECS_2020!$B$2:$B$52&amp;Res_SF_Homes_RECS_2020!$A$2:$A$52,0)))</f>
        <v>0</v>
      </c>
      <c r="BA126" s="75">
        <f t="array" ref="BA126">IF(ISERROR(index(Res_SF_Homes_RECS_2020!$E$2:$E$52,match($B126&amp;BA$2,Res_SF_Homes_RECS_2020!$B$2:$B$52&amp;Res_SF_Homes_RECS_2020!$A$2:$A$52,0))),0,index(Res_SF_Homes_RECS_2020!$E$2:$E$52,match($B126&amp;BA$2,Res_SF_Homes_RECS_2020!$B$2:$B$52&amp;Res_SF_Homes_RECS_2020!$A$2:$A$52,0)))</f>
        <v>0</v>
      </c>
      <c r="BB126" s="74">
        <f t="shared" si="19"/>
        <v>45.32</v>
      </c>
    </row>
    <row r="127" ht="15.75" customHeight="1">
      <c r="A127" s="78"/>
      <c r="B127" s="74">
        <v>6.0</v>
      </c>
      <c r="C127" s="75">
        <f t="array" ref="C127">IF(ISERROR(index(Res_SF_Homes_RECS_2020!$E$2:$E$52,match($B127&amp;C$2,Res_SF_Homes_RECS_2020!$B$2:$B$52&amp;Res_SF_Homes_RECS_2020!$A$2:$A$52,0))),0,index(Res_SF_Homes_RECS_2020!$E$2:$E$52,match($B127&amp;C$2,Res_SF_Homes_RECS_2020!$B$2:$B$52&amp;Res_SF_Homes_RECS_2020!$A$2:$A$52,0)))</f>
        <v>3.36</v>
      </c>
      <c r="D127" s="75">
        <f t="array" ref="D127">IF(ISERROR(index(Res_SF_Homes_RECS_2020!$E$2:$E$52,match($B127&amp;D$2,Res_SF_Homes_RECS_2020!$B$2:$B$52&amp;Res_SF_Homes_RECS_2020!$A$2:$A$52,0))),0,index(Res_SF_Homes_RECS_2020!$E$2:$E$52,match($B127&amp;D$2,Res_SF_Homes_RECS_2020!$B$2:$B$52&amp;Res_SF_Homes_RECS_2020!$A$2:$A$52,0)))</f>
        <v>0</v>
      </c>
      <c r="E127" s="75">
        <f t="array" ref="E127">IF(ISERROR(index(Res_SF_Homes_RECS_2020!$E$2:$E$52,match($B127&amp;E$2,Res_SF_Homes_RECS_2020!$B$2:$B$52&amp;Res_SF_Homes_RECS_2020!$A$2:$A$52,0))),0,index(Res_SF_Homes_RECS_2020!$E$2:$E$52,match($B127&amp;E$2,Res_SF_Homes_RECS_2020!$B$2:$B$52&amp;Res_SF_Homes_RECS_2020!$A$2:$A$52,0)))</f>
        <v>0</v>
      </c>
      <c r="F127" s="75">
        <f t="array" ref="F127">IF(ISERROR(index(Res_SF_Homes_RECS_2020!$E$2:$E$52,match($B127&amp;F$2,Res_SF_Homes_RECS_2020!$B$2:$B$52&amp;Res_SF_Homes_RECS_2020!$A$2:$A$52,0))),0,index(Res_SF_Homes_RECS_2020!$E$2:$E$52,match($B127&amp;F$2,Res_SF_Homes_RECS_2020!$B$2:$B$52&amp;Res_SF_Homes_RECS_2020!$A$2:$A$52,0)))</f>
        <v>0</v>
      </c>
      <c r="G127" s="75">
        <f t="array" ref="G127">IF(ISERROR(index(Res_SF_Homes_RECS_2020!$E$2:$E$52,match($B127&amp;G$2,Res_SF_Homes_RECS_2020!$B$2:$B$52&amp;Res_SF_Homes_RECS_2020!$A$2:$A$52,0))),0,index(Res_SF_Homes_RECS_2020!$E$2:$E$52,match($B127&amp;G$2,Res_SF_Homes_RECS_2020!$B$2:$B$52&amp;Res_SF_Homes_RECS_2020!$A$2:$A$52,0)))</f>
        <v>0</v>
      </c>
      <c r="H127" s="75">
        <f t="array" ref="H127">IF(ISERROR(index(Res_SF_Homes_RECS_2020!$E$2:$E$52,match($B127&amp;H$2,Res_SF_Homes_RECS_2020!$B$2:$B$52&amp;Res_SF_Homes_RECS_2020!$A$2:$A$52,0))),0,index(Res_SF_Homes_RECS_2020!$E$2:$E$52,match($B127&amp;H$2,Res_SF_Homes_RECS_2020!$B$2:$B$52&amp;Res_SF_Homes_RECS_2020!$A$2:$A$52,0)))</f>
        <v>0</v>
      </c>
      <c r="I127" s="75">
        <f t="array" ref="I127">IF(ISERROR(index(Res_SF_Homes_RECS_2020!$E$2:$E$52,match($B127&amp;I$2,Res_SF_Homes_RECS_2020!$B$2:$B$52&amp;Res_SF_Homes_RECS_2020!$A$2:$A$52,0))),0,index(Res_SF_Homes_RECS_2020!$E$2:$E$52,match($B127&amp;I$2,Res_SF_Homes_RECS_2020!$B$2:$B$52&amp;Res_SF_Homes_RECS_2020!$A$2:$A$52,0)))</f>
        <v>0</v>
      </c>
      <c r="J127" s="75">
        <f t="array" ref="J127">IF(ISERROR(index(Res_SF_Homes_RECS_2020!$E$2:$E$52,match($B127&amp;J$2,Res_SF_Homes_RECS_2020!$B$2:$B$52&amp;Res_SF_Homes_RECS_2020!$A$2:$A$52,0))),0,index(Res_SF_Homes_RECS_2020!$E$2:$E$52,match($B127&amp;J$2,Res_SF_Homes_RECS_2020!$B$2:$B$52&amp;Res_SF_Homes_RECS_2020!$A$2:$A$52,0)))</f>
        <v>0</v>
      </c>
      <c r="K127" s="75">
        <f t="array" ref="K127">IF(ISERROR(index(Res_SF_Homes_RECS_2020!$E$2:$E$52,match($B127&amp;K$2,Res_SF_Homes_RECS_2020!$B$2:$B$52&amp;Res_SF_Homes_RECS_2020!$A$2:$A$52,0))),0,index(Res_SF_Homes_RECS_2020!$E$2:$E$52,match($B127&amp;K$2,Res_SF_Homes_RECS_2020!$B$2:$B$52&amp;Res_SF_Homes_RECS_2020!$A$2:$A$52,0)))</f>
        <v>0</v>
      </c>
      <c r="L127" s="75">
        <f t="array" ref="L127">IF(ISERROR(index(Res_SF_Homes_RECS_2020!$E$2:$E$52,match($B127&amp;L$2,Res_SF_Homes_RECS_2020!$B$2:$B$52&amp;Res_SF_Homes_RECS_2020!$A$2:$A$52,0))),0,index(Res_SF_Homes_RECS_2020!$E$2:$E$52,match($B127&amp;L$2,Res_SF_Homes_RECS_2020!$B$2:$B$52&amp;Res_SF_Homes_RECS_2020!$A$2:$A$52,0)))</f>
        <v>0</v>
      </c>
      <c r="M127" s="75">
        <f t="array" ref="M127">IF(ISERROR(index(Res_SF_Homes_RECS_2020!$E$2:$E$52,match($B127&amp;M$2,Res_SF_Homes_RECS_2020!$B$2:$B$52&amp;Res_SF_Homes_RECS_2020!$A$2:$A$52,0))),0,index(Res_SF_Homes_RECS_2020!$E$2:$E$52,match($B127&amp;M$2,Res_SF_Homes_RECS_2020!$B$2:$B$52&amp;Res_SF_Homes_RECS_2020!$A$2:$A$52,0)))</f>
        <v>0</v>
      </c>
      <c r="N127" s="75">
        <f t="array" ref="N127">IF(ISERROR(index(Res_SF_Homes_RECS_2020!$E$2:$E$52,match($B127&amp;N$2,Res_SF_Homes_RECS_2020!$B$2:$B$52&amp;Res_SF_Homes_RECS_2020!$A$2:$A$52,0))),0,index(Res_SF_Homes_RECS_2020!$E$2:$E$52,match($B127&amp;N$2,Res_SF_Homes_RECS_2020!$B$2:$B$52&amp;Res_SF_Homes_RECS_2020!$A$2:$A$52,0)))</f>
        <v>0</v>
      </c>
      <c r="O127" s="75">
        <f t="array" ref="O127">IF(ISERROR(index(Res_SF_Homes_RECS_2020!$E$2:$E$52,match($B127&amp;O$2,Res_SF_Homes_RECS_2020!$B$2:$B$52&amp;Res_SF_Homes_RECS_2020!$A$2:$A$52,0))),0,index(Res_SF_Homes_RECS_2020!$E$2:$E$52,match($B127&amp;O$2,Res_SF_Homes_RECS_2020!$B$2:$B$52&amp;Res_SF_Homes_RECS_2020!$A$2:$A$52,0)))</f>
        <v>0</v>
      </c>
      <c r="P127" s="75">
        <f t="array" ref="P127">IF(ISERROR(index(Res_SF_Homes_RECS_2020!$E$2:$E$52,match($B127&amp;P$2,Res_SF_Homes_RECS_2020!$B$2:$B$52&amp;Res_SF_Homes_RECS_2020!$A$2:$A$52,0))),0,index(Res_SF_Homes_RECS_2020!$E$2:$E$52,match($B127&amp;P$2,Res_SF_Homes_RECS_2020!$B$2:$B$52&amp;Res_SF_Homes_RECS_2020!$A$2:$A$52,0)))</f>
        <v>0</v>
      </c>
      <c r="Q127" s="75">
        <f t="array" ref="Q127">IF(ISERROR(index(Res_SF_Homes_RECS_2020!$E$2:$E$52,match($B127&amp;Q$2,Res_SF_Homes_RECS_2020!$B$2:$B$52&amp;Res_SF_Homes_RECS_2020!$A$2:$A$52,0))),0,index(Res_SF_Homes_RECS_2020!$E$2:$E$52,match($B127&amp;Q$2,Res_SF_Homes_RECS_2020!$B$2:$B$52&amp;Res_SF_Homes_RECS_2020!$A$2:$A$52,0)))</f>
        <v>0</v>
      </c>
      <c r="R127" s="75">
        <f t="array" ref="R127">IF(ISERROR(index(Res_SF_Homes_RECS_2020!$E$2:$E$52,match($B127&amp;R$2,Res_SF_Homes_RECS_2020!$B$2:$B$52&amp;Res_SF_Homes_RECS_2020!$A$2:$A$52,0))),0,index(Res_SF_Homes_RECS_2020!$E$2:$E$52,match($B127&amp;R$2,Res_SF_Homes_RECS_2020!$B$2:$B$52&amp;Res_SF_Homes_RECS_2020!$A$2:$A$52,0)))</f>
        <v>0</v>
      </c>
      <c r="S127" s="75">
        <f t="array" ref="S127">IF(ISERROR(index(Res_SF_Homes_RECS_2020!$E$2:$E$52,match($B127&amp;S$2,Res_SF_Homes_RECS_2020!$B$2:$B$52&amp;Res_SF_Homes_RECS_2020!$A$2:$A$52,0))),0,index(Res_SF_Homes_RECS_2020!$E$2:$E$52,match($B127&amp;S$2,Res_SF_Homes_RECS_2020!$B$2:$B$52&amp;Res_SF_Homes_RECS_2020!$A$2:$A$52,0)))</f>
        <v>0</v>
      </c>
      <c r="T127" s="75">
        <f t="array" ref="T127">IF(ISERROR(index(Res_SF_Homes_RECS_2020!$E$2:$E$52,match($B127&amp;T$2,Res_SF_Homes_RECS_2020!$B$2:$B$52&amp;Res_SF_Homes_RECS_2020!$A$2:$A$52,0))),0,index(Res_SF_Homes_RECS_2020!$E$2:$E$52,match($B127&amp;T$2,Res_SF_Homes_RECS_2020!$B$2:$B$52&amp;Res_SF_Homes_RECS_2020!$A$2:$A$52,0)))</f>
        <v>3.32</v>
      </c>
      <c r="U127" s="75">
        <f t="array" ref="U127">IF(ISERROR(index(Res_SF_Homes_RECS_2020!$E$2:$E$52,match($B127&amp;U$2,Res_SF_Homes_RECS_2020!$B$2:$B$52&amp;Res_SF_Homes_RECS_2020!$A$2:$A$52,0))),0,index(Res_SF_Homes_RECS_2020!$E$2:$E$52,match($B127&amp;U$2,Res_SF_Homes_RECS_2020!$B$2:$B$52&amp;Res_SF_Homes_RECS_2020!$A$2:$A$52,0)))</f>
        <v>0</v>
      </c>
      <c r="V127" s="75">
        <f t="array" ref="V127">IF(ISERROR(index(Res_SF_Homes_RECS_2020!$E$2:$E$52,match($B127&amp;V$2,Res_SF_Homes_RECS_2020!$B$2:$B$52&amp;Res_SF_Homes_RECS_2020!$A$2:$A$52,0))),0,index(Res_SF_Homes_RECS_2020!$E$2:$E$52,match($B127&amp;V$2,Res_SF_Homes_RECS_2020!$B$2:$B$52&amp;Res_SF_Homes_RECS_2020!$A$2:$A$52,0)))</f>
        <v>0</v>
      </c>
      <c r="W127" s="75">
        <f t="array" ref="W127">IF(ISERROR(index(Res_SF_Homes_RECS_2020!$E$2:$E$52,match($B127&amp;W$2,Res_SF_Homes_RECS_2020!$B$2:$B$52&amp;Res_SF_Homes_RECS_2020!$A$2:$A$52,0))),0,index(Res_SF_Homes_RECS_2020!$E$2:$E$52,match($B127&amp;W$2,Res_SF_Homes_RECS_2020!$B$2:$B$52&amp;Res_SF_Homes_RECS_2020!$A$2:$A$52,0)))</f>
        <v>0</v>
      </c>
      <c r="X127" s="75">
        <f t="array" ref="X127">IF(ISERROR(index(Res_SF_Homes_RECS_2020!$E$2:$E$52,match($B127&amp;X$2,Res_SF_Homes_RECS_2020!$B$2:$B$52&amp;Res_SF_Homes_RECS_2020!$A$2:$A$52,0))),0,index(Res_SF_Homes_RECS_2020!$E$2:$E$52,match($B127&amp;X$2,Res_SF_Homes_RECS_2020!$B$2:$B$52&amp;Res_SF_Homes_RECS_2020!$A$2:$A$52,0)))</f>
        <v>0</v>
      </c>
      <c r="Y127" s="75">
        <f t="array" ref="Y127">IF(ISERROR(index(Res_SF_Homes_RECS_2020!$E$2:$E$52,match($B127&amp;Y$2,Res_SF_Homes_RECS_2020!$B$2:$B$52&amp;Res_SF_Homes_RECS_2020!$A$2:$A$52,0))),0,index(Res_SF_Homes_RECS_2020!$E$2:$E$52,match($B127&amp;Y$2,Res_SF_Homes_RECS_2020!$B$2:$B$52&amp;Res_SF_Homes_RECS_2020!$A$2:$A$52,0)))</f>
        <v>0</v>
      </c>
      <c r="Z127" s="75">
        <f t="array" ref="Z127">IF(ISERROR(index(Res_SF_Homes_RECS_2020!$E$2:$E$52,match($B127&amp;Z$2,Res_SF_Homes_RECS_2020!$B$2:$B$52&amp;Res_SF_Homes_RECS_2020!$A$2:$A$52,0))),0,index(Res_SF_Homes_RECS_2020!$E$2:$E$52,match($B127&amp;Z$2,Res_SF_Homes_RECS_2020!$B$2:$B$52&amp;Res_SF_Homes_RECS_2020!$A$2:$A$52,0)))</f>
        <v>0</v>
      </c>
      <c r="AA127" s="75">
        <f t="array" ref="AA127">IF(ISERROR(index(Res_SF_Homes_RECS_2020!$E$2:$E$52,match($B127&amp;AA$2,Res_SF_Homes_RECS_2020!$B$2:$B$52&amp;Res_SF_Homes_RECS_2020!$A$2:$A$52,0))),0,index(Res_SF_Homes_RECS_2020!$E$2:$E$52,match($B127&amp;AA$2,Res_SF_Homes_RECS_2020!$B$2:$B$52&amp;Res_SF_Homes_RECS_2020!$A$2:$A$52,0)))</f>
        <v>2.01</v>
      </c>
      <c r="AB127" s="75">
        <f t="array" ref="AB127">IF(ISERROR(index(Res_SF_Homes_RECS_2020!$E$2:$E$52,match($B127&amp;AB$2,Res_SF_Homes_RECS_2020!$B$2:$B$52&amp;Res_SF_Homes_RECS_2020!$A$2:$A$52,0))),0,index(Res_SF_Homes_RECS_2020!$E$2:$E$52,match($B127&amp;AB$2,Res_SF_Homes_RECS_2020!$B$2:$B$52&amp;Res_SF_Homes_RECS_2020!$A$2:$A$52,0)))</f>
        <v>0</v>
      </c>
      <c r="AC127" s="75">
        <f t="array" ref="AC127">IF(ISERROR(index(Res_SF_Homes_RECS_2020!$E$2:$E$52,match($B127&amp;AC$2,Res_SF_Homes_RECS_2020!$B$2:$B$52&amp;Res_SF_Homes_RECS_2020!$A$2:$A$52,0))),0,index(Res_SF_Homes_RECS_2020!$E$2:$E$52,match($B127&amp;AC$2,Res_SF_Homes_RECS_2020!$B$2:$B$52&amp;Res_SF_Homes_RECS_2020!$A$2:$A$52,0)))</f>
        <v>0</v>
      </c>
      <c r="AD127" s="75">
        <f t="array" ref="AD127">IF(ISERROR(index(Res_SF_Homes_RECS_2020!$E$2:$E$52,match($B127&amp;AD$2,Res_SF_Homes_RECS_2020!$B$2:$B$52&amp;Res_SF_Homes_RECS_2020!$A$2:$A$52,0))),0,index(Res_SF_Homes_RECS_2020!$E$2:$E$52,match($B127&amp;AD$2,Res_SF_Homes_RECS_2020!$B$2:$B$52&amp;Res_SF_Homes_RECS_2020!$A$2:$A$52,0)))</f>
        <v>0</v>
      </c>
      <c r="AE127" s="75">
        <f t="array" ref="AE127">IF(ISERROR(index(Res_SF_Homes_RECS_2020!$E$2:$E$52,match($B127&amp;AE$2,Res_SF_Homes_RECS_2020!$B$2:$B$52&amp;Res_SF_Homes_RECS_2020!$A$2:$A$52,0))),0,index(Res_SF_Homes_RECS_2020!$E$2:$E$52,match($B127&amp;AE$2,Res_SF_Homes_RECS_2020!$B$2:$B$52&amp;Res_SF_Homes_RECS_2020!$A$2:$A$52,0)))</f>
        <v>0</v>
      </c>
      <c r="AF127" s="75">
        <f t="array" ref="AF127">IF(ISERROR(index(Res_SF_Homes_RECS_2020!$E$2:$E$52,match($B127&amp;AF$2,Res_SF_Homes_RECS_2020!$B$2:$B$52&amp;Res_SF_Homes_RECS_2020!$A$2:$A$52,0))),0,index(Res_SF_Homes_RECS_2020!$E$2:$E$52,match($B127&amp;AF$2,Res_SF_Homes_RECS_2020!$B$2:$B$52&amp;Res_SF_Homes_RECS_2020!$A$2:$A$52,0)))</f>
        <v>0</v>
      </c>
      <c r="AG127" s="75">
        <f t="array" ref="AG127">IF(ISERROR(index(Res_SF_Homes_RECS_2020!$E$2:$E$52,match($B127&amp;AG$2,Res_SF_Homes_RECS_2020!$B$2:$B$52&amp;Res_SF_Homes_RECS_2020!$A$2:$A$52,0))),0,index(Res_SF_Homes_RECS_2020!$E$2:$E$52,match($B127&amp;AG$2,Res_SF_Homes_RECS_2020!$B$2:$B$52&amp;Res_SF_Homes_RECS_2020!$A$2:$A$52,0)))</f>
        <v>0</v>
      </c>
      <c r="AH127" s="75">
        <f t="array" ref="AH127">IF(ISERROR(index(Res_SF_Homes_RECS_2020!$E$2:$E$52,match($B127&amp;AH$2,Res_SF_Homes_RECS_2020!$B$2:$B$52&amp;Res_SF_Homes_RECS_2020!$A$2:$A$52,0))),0,index(Res_SF_Homes_RECS_2020!$E$2:$E$52,match($B127&amp;AH$2,Res_SF_Homes_RECS_2020!$B$2:$B$52&amp;Res_SF_Homes_RECS_2020!$A$2:$A$52,0)))</f>
        <v>0</v>
      </c>
      <c r="AI127" s="75">
        <f t="array" ref="AI127">IF(ISERROR(index(Res_SF_Homes_RECS_2020!$E$2:$E$52,match($B127&amp;AI$2,Res_SF_Homes_RECS_2020!$B$2:$B$52&amp;Res_SF_Homes_RECS_2020!$A$2:$A$52,0))),0,index(Res_SF_Homes_RECS_2020!$E$2:$E$52,match($B127&amp;AI$2,Res_SF_Homes_RECS_2020!$B$2:$B$52&amp;Res_SF_Homes_RECS_2020!$A$2:$A$52,0)))</f>
        <v>0</v>
      </c>
      <c r="AJ127" s="75">
        <f t="array" ref="AJ127">IF(ISERROR(index(Res_SF_Homes_RECS_2020!$E$2:$E$52,match($B127&amp;AJ$2,Res_SF_Homes_RECS_2020!$B$2:$B$52&amp;Res_SF_Homes_RECS_2020!$A$2:$A$52,0))),0,index(Res_SF_Homes_RECS_2020!$E$2:$E$52,match($B127&amp;AJ$2,Res_SF_Homes_RECS_2020!$B$2:$B$52&amp;Res_SF_Homes_RECS_2020!$A$2:$A$52,0)))</f>
        <v>0</v>
      </c>
      <c r="AK127" s="75">
        <f t="array" ref="AK127">IF(ISERROR(index(Res_SF_Homes_RECS_2020!$E$2:$E$52,match($B127&amp;AK$2,Res_SF_Homes_RECS_2020!$B$2:$B$52&amp;Res_SF_Homes_RECS_2020!$A$2:$A$52,0))),0,index(Res_SF_Homes_RECS_2020!$E$2:$E$52,match($B127&amp;AK$2,Res_SF_Homes_RECS_2020!$B$2:$B$52&amp;Res_SF_Homes_RECS_2020!$A$2:$A$52,0)))</f>
        <v>0</v>
      </c>
      <c r="AL127" s="75">
        <f t="array" ref="AL127">IF(ISERROR(index(Res_SF_Homes_RECS_2020!$E$2:$E$52,match($B127&amp;AL$2,Res_SF_Homes_RECS_2020!$B$2:$B$52&amp;Res_SF_Homes_RECS_2020!$A$2:$A$52,0))),0,index(Res_SF_Homes_RECS_2020!$E$2:$E$52,match($B127&amp;AL$2,Res_SF_Homes_RECS_2020!$B$2:$B$52&amp;Res_SF_Homes_RECS_2020!$A$2:$A$52,0)))</f>
        <v>0</v>
      </c>
      <c r="AM127" s="75">
        <f t="array" ref="AM127">IF(ISERROR(index(Res_SF_Homes_RECS_2020!$E$2:$E$52,match($B127&amp;AM$2,Res_SF_Homes_RECS_2020!$B$2:$B$52&amp;Res_SF_Homes_RECS_2020!$A$2:$A$52,0))),0,index(Res_SF_Homes_RECS_2020!$E$2:$E$52,match($B127&amp;AM$2,Res_SF_Homes_RECS_2020!$B$2:$B$52&amp;Res_SF_Homes_RECS_2020!$A$2:$A$52,0)))</f>
        <v>0</v>
      </c>
      <c r="AN127" s="75">
        <f t="array" ref="AN127">IF(ISERROR(index(Res_SF_Homes_RECS_2020!$E$2:$E$52,match($B127&amp;AN$2,Res_SF_Homes_RECS_2020!$B$2:$B$52&amp;Res_SF_Homes_RECS_2020!$A$2:$A$52,0))),0,index(Res_SF_Homes_RECS_2020!$E$2:$E$52,match($B127&amp;AN$2,Res_SF_Homes_RECS_2020!$B$2:$B$52&amp;Res_SF_Homes_RECS_2020!$A$2:$A$52,0)))</f>
        <v>0</v>
      </c>
      <c r="AO127" s="75">
        <f t="array" ref="AO127">IF(ISERROR(index(Res_SF_Homes_RECS_2020!$E$2:$E$52,match($B127&amp;AO$2,Res_SF_Homes_RECS_2020!$B$2:$B$52&amp;Res_SF_Homes_RECS_2020!$A$2:$A$52,0))),0,index(Res_SF_Homes_RECS_2020!$E$2:$E$52,match($B127&amp;AO$2,Res_SF_Homes_RECS_2020!$B$2:$B$52&amp;Res_SF_Homes_RECS_2020!$A$2:$A$52,0)))</f>
        <v>0</v>
      </c>
      <c r="AP127" s="75">
        <f t="array" ref="AP127">IF(ISERROR(index(Res_SF_Homes_RECS_2020!$E$2:$E$52,match($B127&amp;AP$2,Res_SF_Homes_RECS_2020!$B$2:$B$52&amp;Res_SF_Homes_RECS_2020!$A$2:$A$52,0))),0,index(Res_SF_Homes_RECS_2020!$E$2:$E$52,match($B127&amp;AP$2,Res_SF_Homes_RECS_2020!$B$2:$B$52&amp;Res_SF_Homes_RECS_2020!$A$2:$A$52,0)))</f>
        <v>0</v>
      </c>
      <c r="AQ127" s="75">
        <f t="array" ref="AQ127">IF(ISERROR(index(Res_SF_Homes_RECS_2020!$E$2:$E$52,match($B127&amp;AQ$2,Res_SF_Homes_RECS_2020!$B$2:$B$52&amp;Res_SF_Homes_RECS_2020!$A$2:$A$52,0))),0,index(Res_SF_Homes_RECS_2020!$E$2:$E$52,match($B127&amp;AQ$2,Res_SF_Homes_RECS_2020!$B$2:$B$52&amp;Res_SF_Homes_RECS_2020!$A$2:$A$52,0)))</f>
        <v>0</v>
      </c>
      <c r="AR127" s="75">
        <f t="array" ref="AR127">IF(ISERROR(index(Res_SF_Homes_RECS_2020!$E$2:$E$52,match($B127&amp;AR$2,Res_SF_Homes_RECS_2020!$B$2:$B$52&amp;Res_SF_Homes_RECS_2020!$A$2:$A$52,0))),0,index(Res_SF_Homes_RECS_2020!$E$2:$E$52,match($B127&amp;AR$2,Res_SF_Homes_RECS_2020!$B$2:$B$52&amp;Res_SF_Homes_RECS_2020!$A$2:$A$52,0)))</f>
        <v>0</v>
      </c>
      <c r="AS127" s="75">
        <f t="array" ref="AS127">IF(ISERROR(index(Res_SF_Homes_RECS_2020!$E$2:$E$52,match($B127&amp;AS$2,Res_SF_Homes_RECS_2020!$B$2:$B$52&amp;Res_SF_Homes_RECS_2020!$A$2:$A$52,0))),0,index(Res_SF_Homes_RECS_2020!$E$2:$E$52,match($B127&amp;AS$2,Res_SF_Homes_RECS_2020!$B$2:$B$52&amp;Res_SF_Homes_RECS_2020!$A$2:$A$52,0)))</f>
        <v>5.17</v>
      </c>
      <c r="AT127" s="75">
        <f t="array" ref="AT127">IF(ISERROR(index(Res_SF_Homes_RECS_2020!$E$2:$E$52,match($B127&amp;AT$2,Res_SF_Homes_RECS_2020!$B$2:$B$52&amp;Res_SF_Homes_RECS_2020!$A$2:$A$52,0))),0,index(Res_SF_Homes_RECS_2020!$E$2:$E$52,match($B127&amp;AT$2,Res_SF_Homes_RECS_2020!$B$2:$B$52&amp;Res_SF_Homes_RECS_2020!$A$2:$A$52,0)))</f>
        <v>0</v>
      </c>
      <c r="AU127" s="75">
        <f t="array" ref="AU127">IF(ISERROR(index(Res_SF_Homes_RECS_2020!$E$2:$E$52,match($B127&amp;AU$2,Res_SF_Homes_RECS_2020!$B$2:$B$52&amp;Res_SF_Homes_RECS_2020!$A$2:$A$52,0))),0,index(Res_SF_Homes_RECS_2020!$E$2:$E$52,match($B127&amp;AU$2,Res_SF_Homes_RECS_2020!$B$2:$B$52&amp;Res_SF_Homes_RECS_2020!$A$2:$A$52,0)))</f>
        <v>0</v>
      </c>
      <c r="AV127" s="75">
        <f t="array" ref="AV127">IF(ISERROR(index(Res_SF_Homes_RECS_2020!$E$2:$E$52,match($B127&amp;AV$2,Res_SF_Homes_RECS_2020!$B$2:$B$52&amp;Res_SF_Homes_RECS_2020!$A$2:$A$52,0))),0,index(Res_SF_Homes_RECS_2020!$E$2:$E$52,match($B127&amp;AV$2,Res_SF_Homes_RECS_2020!$B$2:$B$52&amp;Res_SF_Homes_RECS_2020!$A$2:$A$52,0)))</f>
        <v>0</v>
      </c>
      <c r="AW127" s="75">
        <f t="array" ref="AW127">IF(ISERROR(index(Res_SF_Homes_RECS_2020!$E$2:$E$52,match($B127&amp;AW$2,Res_SF_Homes_RECS_2020!$B$2:$B$52&amp;Res_SF_Homes_RECS_2020!$A$2:$A$52,0))),0,index(Res_SF_Homes_RECS_2020!$E$2:$E$52,match($B127&amp;AW$2,Res_SF_Homes_RECS_2020!$B$2:$B$52&amp;Res_SF_Homes_RECS_2020!$A$2:$A$52,0)))</f>
        <v>0</v>
      </c>
      <c r="AX127" s="75">
        <f t="array" ref="AX127">IF(ISERROR(index(Res_SF_Homes_RECS_2020!$E$2:$E$52,match($B127&amp;AX$2,Res_SF_Homes_RECS_2020!$B$2:$B$52&amp;Res_SF_Homes_RECS_2020!$A$2:$A$52,0))),0,index(Res_SF_Homes_RECS_2020!$E$2:$E$52,match($B127&amp;AX$2,Res_SF_Homes_RECS_2020!$B$2:$B$52&amp;Res_SF_Homes_RECS_2020!$A$2:$A$52,0)))</f>
        <v>0</v>
      </c>
      <c r="AY127" s="75">
        <f t="array" ref="AY127">IF(ISERROR(index(Res_SF_Homes_RECS_2020!$E$2:$E$52,match($B127&amp;AY$2,Res_SF_Homes_RECS_2020!$B$2:$B$52&amp;Res_SF_Homes_RECS_2020!$A$2:$A$52,0))),0,index(Res_SF_Homes_RECS_2020!$E$2:$E$52,match($B127&amp;AY$2,Res_SF_Homes_RECS_2020!$B$2:$B$52&amp;Res_SF_Homes_RECS_2020!$A$2:$A$52,0)))</f>
        <v>0</v>
      </c>
      <c r="AZ127" s="75">
        <f t="array" ref="AZ127">IF(ISERROR(index(Res_SF_Homes_RECS_2020!$E$2:$E$52,match($B127&amp;AZ$2,Res_SF_Homes_RECS_2020!$B$2:$B$52&amp;Res_SF_Homes_RECS_2020!$A$2:$A$52,0))),0,index(Res_SF_Homes_RECS_2020!$E$2:$E$52,match($B127&amp;AZ$2,Res_SF_Homes_RECS_2020!$B$2:$B$52&amp;Res_SF_Homes_RECS_2020!$A$2:$A$52,0)))</f>
        <v>0</v>
      </c>
      <c r="BA127" s="75">
        <f t="array" ref="BA127">IF(ISERROR(index(Res_SF_Homes_RECS_2020!$E$2:$E$52,match($B127&amp;BA$2,Res_SF_Homes_RECS_2020!$B$2:$B$52&amp;Res_SF_Homes_RECS_2020!$A$2:$A$52,0))),0,index(Res_SF_Homes_RECS_2020!$E$2:$E$52,match($B127&amp;BA$2,Res_SF_Homes_RECS_2020!$B$2:$B$52&amp;Res_SF_Homes_RECS_2020!$A$2:$A$52,0)))</f>
        <v>0</v>
      </c>
      <c r="BB127" s="74">
        <f t="shared" si="19"/>
        <v>13.86</v>
      </c>
    </row>
    <row r="128" ht="15.75" customHeight="1">
      <c r="A128" s="78"/>
      <c r="B128" s="74">
        <v>7.0</v>
      </c>
      <c r="C128" s="75">
        <f t="array" ref="C128">IF(ISERROR(index(Res_SF_Homes_RECS_2020!$E$2:$E$52,match($B128&amp;C$2,Res_SF_Homes_RECS_2020!$B$2:$B$52&amp;Res_SF_Homes_RECS_2020!$A$2:$A$52,0))),0,index(Res_SF_Homes_RECS_2020!$E$2:$E$52,match($B128&amp;C$2,Res_SF_Homes_RECS_2020!$B$2:$B$52&amp;Res_SF_Homes_RECS_2020!$A$2:$A$52,0)))</f>
        <v>0</v>
      </c>
      <c r="D128" s="75">
        <f t="array" ref="D128">IF(ISERROR(index(Res_SF_Homes_RECS_2020!$E$2:$E$52,match($B128&amp;D$2,Res_SF_Homes_RECS_2020!$B$2:$B$52&amp;Res_SF_Homes_RECS_2020!$A$2:$A$52,0))),0,index(Res_SF_Homes_RECS_2020!$E$2:$E$52,match($B128&amp;D$2,Res_SF_Homes_RECS_2020!$B$2:$B$52&amp;Res_SF_Homes_RECS_2020!$A$2:$A$52,0)))</f>
        <v>0</v>
      </c>
      <c r="E128" s="75">
        <f t="array" ref="E128">IF(ISERROR(index(Res_SF_Homes_RECS_2020!$E$2:$E$52,match($B128&amp;E$2,Res_SF_Homes_RECS_2020!$B$2:$B$52&amp;Res_SF_Homes_RECS_2020!$A$2:$A$52,0))),0,index(Res_SF_Homes_RECS_2020!$E$2:$E$52,match($B128&amp;E$2,Res_SF_Homes_RECS_2020!$B$2:$B$52&amp;Res_SF_Homes_RECS_2020!$A$2:$A$52,0)))</f>
        <v>0</v>
      </c>
      <c r="F128" s="75">
        <f t="array" ref="F128">IF(ISERROR(index(Res_SF_Homes_RECS_2020!$E$2:$E$52,match($B128&amp;F$2,Res_SF_Homes_RECS_2020!$B$2:$B$52&amp;Res_SF_Homes_RECS_2020!$A$2:$A$52,0))),0,index(Res_SF_Homes_RECS_2020!$E$2:$E$52,match($B128&amp;F$2,Res_SF_Homes_RECS_2020!$B$2:$B$52&amp;Res_SF_Homes_RECS_2020!$A$2:$A$52,0)))</f>
        <v>2.05</v>
      </c>
      <c r="G128" s="75">
        <f t="array" ref="G128">IF(ISERROR(index(Res_SF_Homes_RECS_2020!$E$2:$E$52,match($B128&amp;G$2,Res_SF_Homes_RECS_2020!$B$2:$B$52&amp;Res_SF_Homes_RECS_2020!$A$2:$A$52,0))),0,index(Res_SF_Homes_RECS_2020!$E$2:$E$52,match($B128&amp;G$2,Res_SF_Homes_RECS_2020!$B$2:$B$52&amp;Res_SF_Homes_RECS_2020!$A$2:$A$52,0)))</f>
        <v>0</v>
      </c>
      <c r="H128" s="75">
        <f t="array" ref="H128">IF(ISERROR(index(Res_SF_Homes_RECS_2020!$E$2:$E$52,match($B128&amp;H$2,Res_SF_Homes_RECS_2020!$B$2:$B$52&amp;Res_SF_Homes_RECS_2020!$A$2:$A$52,0))),0,index(Res_SF_Homes_RECS_2020!$E$2:$E$52,match($B128&amp;H$2,Res_SF_Homes_RECS_2020!$B$2:$B$52&amp;Res_SF_Homes_RECS_2020!$A$2:$A$52,0)))</f>
        <v>0</v>
      </c>
      <c r="I128" s="75">
        <f t="array" ref="I128">IF(ISERROR(index(Res_SF_Homes_RECS_2020!$E$2:$E$52,match($B128&amp;I$2,Res_SF_Homes_RECS_2020!$B$2:$B$52&amp;Res_SF_Homes_RECS_2020!$A$2:$A$52,0))),0,index(Res_SF_Homes_RECS_2020!$E$2:$E$52,match($B128&amp;I$2,Res_SF_Homes_RECS_2020!$B$2:$B$52&amp;Res_SF_Homes_RECS_2020!$A$2:$A$52,0)))</f>
        <v>0</v>
      </c>
      <c r="J128" s="75">
        <f t="array" ref="J128">IF(ISERROR(index(Res_SF_Homes_RECS_2020!$E$2:$E$52,match($B128&amp;J$2,Res_SF_Homes_RECS_2020!$B$2:$B$52&amp;Res_SF_Homes_RECS_2020!$A$2:$A$52,0))),0,index(Res_SF_Homes_RECS_2020!$E$2:$E$52,match($B128&amp;J$2,Res_SF_Homes_RECS_2020!$B$2:$B$52&amp;Res_SF_Homes_RECS_2020!$A$2:$A$52,0)))</f>
        <v>0</v>
      </c>
      <c r="K128" s="75">
        <f t="array" ref="K128">IF(ISERROR(index(Res_SF_Homes_RECS_2020!$E$2:$E$52,match($B128&amp;K$2,Res_SF_Homes_RECS_2020!$B$2:$B$52&amp;Res_SF_Homes_RECS_2020!$A$2:$A$52,0))),0,index(Res_SF_Homes_RECS_2020!$E$2:$E$52,match($B128&amp;K$2,Res_SF_Homes_RECS_2020!$B$2:$B$52&amp;Res_SF_Homes_RECS_2020!$A$2:$A$52,0)))</f>
        <v>0</v>
      </c>
      <c r="L128" s="75">
        <f t="array" ref="L128">IF(ISERROR(index(Res_SF_Homes_RECS_2020!$E$2:$E$52,match($B128&amp;L$2,Res_SF_Homes_RECS_2020!$B$2:$B$52&amp;Res_SF_Homes_RECS_2020!$A$2:$A$52,0))),0,index(Res_SF_Homes_RECS_2020!$E$2:$E$52,match($B128&amp;L$2,Res_SF_Homes_RECS_2020!$B$2:$B$52&amp;Res_SF_Homes_RECS_2020!$A$2:$A$52,0)))</f>
        <v>0</v>
      </c>
      <c r="M128" s="75">
        <f t="array" ref="M128">IF(ISERROR(index(Res_SF_Homes_RECS_2020!$E$2:$E$52,match($B128&amp;M$2,Res_SF_Homes_RECS_2020!$B$2:$B$52&amp;Res_SF_Homes_RECS_2020!$A$2:$A$52,0))),0,index(Res_SF_Homes_RECS_2020!$E$2:$E$52,match($B128&amp;M$2,Res_SF_Homes_RECS_2020!$B$2:$B$52&amp;Res_SF_Homes_RECS_2020!$A$2:$A$52,0)))</f>
        <v>0</v>
      </c>
      <c r="N128" s="75">
        <f t="array" ref="N128">IF(ISERROR(index(Res_SF_Homes_RECS_2020!$E$2:$E$52,match($B128&amp;N$2,Res_SF_Homes_RECS_2020!$B$2:$B$52&amp;Res_SF_Homes_RECS_2020!$A$2:$A$52,0))),0,index(Res_SF_Homes_RECS_2020!$E$2:$E$52,match($B128&amp;N$2,Res_SF_Homes_RECS_2020!$B$2:$B$52&amp;Res_SF_Homes_RECS_2020!$A$2:$A$52,0)))</f>
        <v>0</v>
      </c>
      <c r="O128" s="75">
        <f t="array" ref="O128">IF(ISERROR(index(Res_SF_Homes_RECS_2020!$E$2:$E$52,match($B128&amp;O$2,Res_SF_Homes_RECS_2020!$B$2:$B$52&amp;Res_SF_Homes_RECS_2020!$A$2:$A$52,0))),0,index(Res_SF_Homes_RECS_2020!$E$2:$E$52,match($B128&amp;O$2,Res_SF_Homes_RECS_2020!$B$2:$B$52&amp;Res_SF_Homes_RECS_2020!$A$2:$A$52,0)))</f>
        <v>0</v>
      </c>
      <c r="P128" s="75">
        <f t="array" ref="P128">IF(ISERROR(index(Res_SF_Homes_RECS_2020!$E$2:$E$52,match($B128&amp;P$2,Res_SF_Homes_RECS_2020!$B$2:$B$52&amp;Res_SF_Homes_RECS_2020!$A$2:$A$52,0))),0,index(Res_SF_Homes_RECS_2020!$E$2:$E$52,match($B128&amp;P$2,Res_SF_Homes_RECS_2020!$B$2:$B$52&amp;Res_SF_Homes_RECS_2020!$A$2:$A$52,0)))</f>
        <v>0</v>
      </c>
      <c r="Q128" s="75">
        <f t="array" ref="Q128">IF(ISERROR(index(Res_SF_Homes_RECS_2020!$E$2:$E$52,match($B128&amp;Q$2,Res_SF_Homes_RECS_2020!$B$2:$B$52&amp;Res_SF_Homes_RECS_2020!$A$2:$A$52,0))),0,index(Res_SF_Homes_RECS_2020!$E$2:$E$52,match($B128&amp;Q$2,Res_SF_Homes_RECS_2020!$B$2:$B$52&amp;Res_SF_Homes_RECS_2020!$A$2:$A$52,0)))</f>
        <v>0</v>
      </c>
      <c r="R128" s="75">
        <f t="array" ref="R128">IF(ISERROR(index(Res_SF_Homes_RECS_2020!$E$2:$E$52,match($B128&amp;R$2,Res_SF_Homes_RECS_2020!$B$2:$B$52&amp;Res_SF_Homes_RECS_2020!$A$2:$A$52,0))),0,index(Res_SF_Homes_RECS_2020!$E$2:$E$52,match($B128&amp;R$2,Res_SF_Homes_RECS_2020!$B$2:$B$52&amp;Res_SF_Homes_RECS_2020!$A$2:$A$52,0)))</f>
        <v>0</v>
      </c>
      <c r="S128" s="75">
        <f t="array" ref="S128">IF(ISERROR(index(Res_SF_Homes_RECS_2020!$E$2:$E$52,match($B128&amp;S$2,Res_SF_Homes_RECS_2020!$B$2:$B$52&amp;Res_SF_Homes_RECS_2020!$A$2:$A$52,0))),0,index(Res_SF_Homes_RECS_2020!$E$2:$E$52,match($B128&amp;S$2,Res_SF_Homes_RECS_2020!$B$2:$B$52&amp;Res_SF_Homes_RECS_2020!$A$2:$A$52,0)))</f>
        <v>0</v>
      </c>
      <c r="T128" s="75">
        <f t="array" ref="T128">IF(ISERROR(index(Res_SF_Homes_RECS_2020!$E$2:$E$52,match($B128&amp;T$2,Res_SF_Homes_RECS_2020!$B$2:$B$52&amp;Res_SF_Homes_RECS_2020!$A$2:$A$52,0))),0,index(Res_SF_Homes_RECS_2020!$E$2:$E$52,match($B128&amp;T$2,Res_SF_Homes_RECS_2020!$B$2:$B$52&amp;Res_SF_Homes_RECS_2020!$A$2:$A$52,0)))</f>
        <v>0</v>
      </c>
      <c r="U128" s="75">
        <f t="array" ref="U128">IF(ISERROR(index(Res_SF_Homes_RECS_2020!$E$2:$E$52,match($B128&amp;U$2,Res_SF_Homes_RECS_2020!$B$2:$B$52&amp;Res_SF_Homes_RECS_2020!$A$2:$A$52,0))),0,index(Res_SF_Homes_RECS_2020!$E$2:$E$52,match($B128&amp;U$2,Res_SF_Homes_RECS_2020!$B$2:$B$52&amp;Res_SF_Homes_RECS_2020!$A$2:$A$52,0)))</f>
        <v>3.01</v>
      </c>
      <c r="V128" s="75">
        <f t="array" ref="V128">IF(ISERROR(index(Res_SF_Homes_RECS_2020!$E$2:$E$52,match($B128&amp;V$2,Res_SF_Homes_RECS_2020!$B$2:$B$52&amp;Res_SF_Homes_RECS_2020!$A$2:$A$52,0))),0,index(Res_SF_Homes_RECS_2020!$E$2:$E$52,match($B128&amp;V$2,Res_SF_Homes_RECS_2020!$B$2:$B$52&amp;Res_SF_Homes_RECS_2020!$A$2:$A$52,0)))</f>
        <v>0</v>
      </c>
      <c r="W128" s="75">
        <f t="array" ref="W128">IF(ISERROR(index(Res_SF_Homes_RECS_2020!$E$2:$E$52,match($B128&amp;W$2,Res_SF_Homes_RECS_2020!$B$2:$B$52&amp;Res_SF_Homes_RECS_2020!$A$2:$A$52,0))),0,index(Res_SF_Homes_RECS_2020!$E$2:$E$52,match($B128&amp;W$2,Res_SF_Homes_RECS_2020!$B$2:$B$52&amp;Res_SF_Homes_RECS_2020!$A$2:$A$52,0)))</f>
        <v>0</v>
      </c>
      <c r="X128" s="75">
        <f t="array" ref="X128">IF(ISERROR(index(Res_SF_Homes_RECS_2020!$E$2:$E$52,match($B128&amp;X$2,Res_SF_Homes_RECS_2020!$B$2:$B$52&amp;Res_SF_Homes_RECS_2020!$A$2:$A$52,0))),0,index(Res_SF_Homes_RECS_2020!$E$2:$E$52,match($B128&amp;X$2,Res_SF_Homes_RECS_2020!$B$2:$B$52&amp;Res_SF_Homes_RECS_2020!$A$2:$A$52,0)))</f>
        <v>0</v>
      </c>
      <c r="Y128" s="75">
        <f t="array" ref="Y128">IF(ISERROR(index(Res_SF_Homes_RECS_2020!$E$2:$E$52,match($B128&amp;Y$2,Res_SF_Homes_RECS_2020!$B$2:$B$52&amp;Res_SF_Homes_RECS_2020!$A$2:$A$52,0))),0,index(Res_SF_Homes_RECS_2020!$E$2:$E$52,match($B128&amp;Y$2,Res_SF_Homes_RECS_2020!$B$2:$B$52&amp;Res_SF_Homes_RECS_2020!$A$2:$A$52,0)))</f>
        <v>0</v>
      </c>
      <c r="Z128" s="75">
        <f t="array" ref="Z128">IF(ISERROR(index(Res_SF_Homes_RECS_2020!$E$2:$E$52,match($B128&amp;Z$2,Res_SF_Homes_RECS_2020!$B$2:$B$52&amp;Res_SF_Homes_RECS_2020!$A$2:$A$52,0))),0,index(Res_SF_Homes_RECS_2020!$E$2:$E$52,match($B128&amp;Z$2,Res_SF_Homes_RECS_2020!$B$2:$B$52&amp;Res_SF_Homes_RECS_2020!$A$2:$A$52,0)))</f>
        <v>0</v>
      </c>
      <c r="AA128" s="75">
        <f t="array" ref="AA128">IF(ISERROR(index(Res_SF_Homes_RECS_2020!$E$2:$E$52,match($B128&amp;AA$2,Res_SF_Homes_RECS_2020!$B$2:$B$52&amp;Res_SF_Homes_RECS_2020!$A$2:$A$52,0))),0,index(Res_SF_Homes_RECS_2020!$E$2:$E$52,match($B128&amp;AA$2,Res_SF_Homes_RECS_2020!$B$2:$B$52&amp;Res_SF_Homes_RECS_2020!$A$2:$A$52,0)))</f>
        <v>0</v>
      </c>
      <c r="AB128" s="75">
        <f t="array" ref="AB128">IF(ISERROR(index(Res_SF_Homes_RECS_2020!$E$2:$E$52,match($B128&amp;AB$2,Res_SF_Homes_RECS_2020!$B$2:$B$52&amp;Res_SF_Homes_RECS_2020!$A$2:$A$52,0))),0,index(Res_SF_Homes_RECS_2020!$E$2:$E$52,match($B128&amp;AB$2,Res_SF_Homes_RECS_2020!$B$2:$B$52&amp;Res_SF_Homes_RECS_2020!$A$2:$A$52,0)))</f>
        <v>0</v>
      </c>
      <c r="AC128" s="75">
        <f t="array" ref="AC128">IF(ISERROR(index(Res_SF_Homes_RECS_2020!$E$2:$E$52,match($B128&amp;AC$2,Res_SF_Homes_RECS_2020!$B$2:$B$52&amp;Res_SF_Homes_RECS_2020!$A$2:$A$52,0))),0,index(Res_SF_Homes_RECS_2020!$E$2:$E$52,match($B128&amp;AC$2,Res_SF_Homes_RECS_2020!$B$2:$B$52&amp;Res_SF_Homes_RECS_2020!$A$2:$A$52,0)))</f>
        <v>0</v>
      </c>
      <c r="AD128" s="75">
        <f t="array" ref="AD128">IF(ISERROR(index(Res_SF_Homes_RECS_2020!$E$2:$E$52,match($B128&amp;AD$2,Res_SF_Homes_RECS_2020!$B$2:$B$52&amp;Res_SF_Homes_RECS_2020!$A$2:$A$52,0))),0,index(Res_SF_Homes_RECS_2020!$E$2:$E$52,match($B128&amp;AD$2,Res_SF_Homes_RECS_2020!$B$2:$B$52&amp;Res_SF_Homes_RECS_2020!$A$2:$A$52,0)))</f>
        <v>0</v>
      </c>
      <c r="AE128" s="75">
        <f t="array" ref="AE128">IF(ISERROR(index(Res_SF_Homes_RECS_2020!$E$2:$E$52,match($B128&amp;AE$2,Res_SF_Homes_RECS_2020!$B$2:$B$52&amp;Res_SF_Homes_RECS_2020!$A$2:$A$52,0))),0,index(Res_SF_Homes_RECS_2020!$E$2:$E$52,match($B128&amp;AE$2,Res_SF_Homes_RECS_2020!$B$2:$B$52&amp;Res_SF_Homes_RECS_2020!$A$2:$A$52,0)))</f>
        <v>0</v>
      </c>
      <c r="AF128" s="75">
        <f t="array" ref="AF128">IF(ISERROR(index(Res_SF_Homes_RECS_2020!$E$2:$E$52,match($B128&amp;AF$2,Res_SF_Homes_RECS_2020!$B$2:$B$52&amp;Res_SF_Homes_RECS_2020!$A$2:$A$52,0))),0,index(Res_SF_Homes_RECS_2020!$E$2:$E$52,match($B128&amp;AF$2,Res_SF_Homes_RECS_2020!$B$2:$B$52&amp;Res_SF_Homes_RECS_2020!$A$2:$A$52,0)))</f>
        <v>0</v>
      </c>
      <c r="AG128" s="75">
        <f t="array" ref="AG128">IF(ISERROR(index(Res_SF_Homes_RECS_2020!$E$2:$E$52,match($B128&amp;AG$2,Res_SF_Homes_RECS_2020!$B$2:$B$52&amp;Res_SF_Homes_RECS_2020!$A$2:$A$52,0))),0,index(Res_SF_Homes_RECS_2020!$E$2:$E$52,match($B128&amp;AG$2,Res_SF_Homes_RECS_2020!$B$2:$B$52&amp;Res_SF_Homes_RECS_2020!$A$2:$A$52,0)))</f>
        <v>0</v>
      </c>
      <c r="AH128" s="75">
        <f t="array" ref="AH128">IF(ISERROR(index(Res_SF_Homes_RECS_2020!$E$2:$E$52,match($B128&amp;AH$2,Res_SF_Homes_RECS_2020!$B$2:$B$52&amp;Res_SF_Homes_RECS_2020!$A$2:$A$52,0))),0,index(Res_SF_Homes_RECS_2020!$E$2:$E$52,match($B128&amp;AH$2,Res_SF_Homes_RECS_2020!$B$2:$B$52&amp;Res_SF_Homes_RECS_2020!$A$2:$A$52,0)))</f>
        <v>0</v>
      </c>
      <c r="AI128" s="75">
        <f t="array" ref="AI128">IF(ISERROR(index(Res_SF_Homes_RECS_2020!$E$2:$E$52,match($B128&amp;AI$2,Res_SF_Homes_RECS_2020!$B$2:$B$52&amp;Res_SF_Homes_RECS_2020!$A$2:$A$52,0))),0,index(Res_SF_Homes_RECS_2020!$E$2:$E$52,match($B128&amp;AI$2,Res_SF_Homes_RECS_2020!$B$2:$B$52&amp;Res_SF_Homes_RECS_2020!$A$2:$A$52,0)))</f>
        <v>0</v>
      </c>
      <c r="AJ128" s="75">
        <f t="array" ref="AJ128">IF(ISERROR(index(Res_SF_Homes_RECS_2020!$E$2:$E$52,match($B128&amp;AJ$2,Res_SF_Homes_RECS_2020!$B$2:$B$52&amp;Res_SF_Homes_RECS_2020!$A$2:$A$52,0))),0,index(Res_SF_Homes_RECS_2020!$E$2:$E$52,match($B128&amp;AJ$2,Res_SF_Homes_RECS_2020!$B$2:$B$52&amp;Res_SF_Homes_RECS_2020!$A$2:$A$52,0)))</f>
        <v>0</v>
      </c>
      <c r="AK128" s="75">
        <f t="array" ref="AK128">IF(ISERROR(index(Res_SF_Homes_RECS_2020!$E$2:$E$52,match($B128&amp;AK$2,Res_SF_Homes_RECS_2020!$B$2:$B$52&amp;Res_SF_Homes_RECS_2020!$A$2:$A$52,0))),0,index(Res_SF_Homes_RECS_2020!$E$2:$E$52,match($B128&amp;AK$2,Res_SF_Homes_RECS_2020!$B$2:$B$52&amp;Res_SF_Homes_RECS_2020!$A$2:$A$52,0)))</f>
        <v>0</v>
      </c>
      <c r="AL128" s="75">
        <f t="array" ref="AL128">IF(ISERROR(index(Res_SF_Homes_RECS_2020!$E$2:$E$52,match($B128&amp;AL$2,Res_SF_Homes_RECS_2020!$B$2:$B$52&amp;Res_SF_Homes_RECS_2020!$A$2:$A$52,0))),0,index(Res_SF_Homes_RECS_2020!$E$2:$E$52,match($B128&amp;AL$2,Res_SF_Homes_RECS_2020!$B$2:$B$52&amp;Res_SF_Homes_RECS_2020!$A$2:$A$52,0)))</f>
        <v>0</v>
      </c>
      <c r="AM128" s="75">
        <f t="array" ref="AM128">IF(ISERROR(index(Res_SF_Homes_RECS_2020!$E$2:$E$52,match($B128&amp;AM$2,Res_SF_Homes_RECS_2020!$B$2:$B$52&amp;Res_SF_Homes_RECS_2020!$A$2:$A$52,0))),0,index(Res_SF_Homes_RECS_2020!$E$2:$E$52,match($B128&amp;AM$2,Res_SF_Homes_RECS_2020!$B$2:$B$52&amp;Res_SF_Homes_RECS_2020!$A$2:$A$52,0)))</f>
        <v>2.58</v>
      </c>
      <c r="AN128" s="75">
        <f t="array" ref="AN128">IF(ISERROR(index(Res_SF_Homes_RECS_2020!$E$2:$E$52,match($B128&amp;AN$2,Res_SF_Homes_RECS_2020!$B$2:$B$52&amp;Res_SF_Homes_RECS_2020!$A$2:$A$52,0))),0,index(Res_SF_Homes_RECS_2020!$E$2:$E$52,match($B128&amp;AN$2,Res_SF_Homes_RECS_2020!$B$2:$B$52&amp;Res_SF_Homes_RECS_2020!$A$2:$A$52,0)))</f>
        <v>0</v>
      </c>
      <c r="AO128" s="75">
        <f t="array" ref="AO128">IF(ISERROR(index(Res_SF_Homes_RECS_2020!$E$2:$E$52,match($B128&amp;AO$2,Res_SF_Homes_RECS_2020!$B$2:$B$52&amp;Res_SF_Homes_RECS_2020!$A$2:$A$52,0))),0,index(Res_SF_Homes_RECS_2020!$E$2:$E$52,match($B128&amp;AO$2,Res_SF_Homes_RECS_2020!$B$2:$B$52&amp;Res_SF_Homes_RECS_2020!$A$2:$A$52,0)))</f>
        <v>0</v>
      </c>
      <c r="AP128" s="75">
        <f t="array" ref="AP128">IF(ISERROR(index(Res_SF_Homes_RECS_2020!$E$2:$E$52,match($B128&amp;AP$2,Res_SF_Homes_RECS_2020!$B$2:$B$52&amp;Res_SF_Homes_RECS_2020!$A$2:$A$52,0))),0,index(Res_SF_Homes_RECS_2020!$E$2:$E$52,match($B128&amp;AP$2,Res_SF_Homes_RECS_2020!$B$2:$B$52&amp;Res_SF_Homes_RECS_2020!$A$2:$A$52,0)))</f>
        <v>0</v>
      </c>
      <c r="AQ128" s="75">
        <f t="array" ref="AQ128">IF(ISERROR(index(Res_SF_Homes_RECS_2020!$E$2:$E$52,match($B128&amp;AQ$2,Res_SF_Homes_RECS_2020!$B$2:$B$52&amp;Res_SF_Homes_RECS_2020!$A$2:$A$52,0))),0,index(Res_SF_Homes_RECS_2020!$E$2:$E$52,match($B128&amp;AQ$2,Res_SF_Homes_RECS_2020!$B$2:$B$52&amp;Res_SF_Homes_RECS_2020!$A$2:$A$52,0)))</f>
        <v>0</v>
      </c>
      <c r="AR128" s="75">
        <f t="array" ref="AR128">IF(ISERROR(index(Res_SF_Homes_RECS_2020!$E$2:$E$52,match($B128&amp;AR$2,Res_SF_Homes_RECS_2020!$B$2:$B$52&amp;Res_SF_Homes_RECS_2020!$A$2:$A$52,0))),0,index(Res_SF_Homes_RECS_2020!$E$2:$E$52,match($B128&amp;AR$2,Res_SF_Homes_RECS_2020!$B$2:$B$52&amp;Res_SF_Homes_RECS_2020!$A$2:$A$52,0)))</f>
        <v>0</v>
      </c>
      <c r="AS128" s="75">
        <f t="array" ref="AS128">IF(ISERROR(index(Res_SF_Homes_RECS_2020!$E$2:$E$52,match($B128&amp;AS$2,Res_SF_Homes_RECS_2020!$B$2:$B$52&amp;Res_SF_Homes_RECS_2020!$A$2:$A$52,0))),0,index(Res_SF_Homes_RECS_2020!$E$2:$E$52,match($B128&amp;AS$2,Res_SF_Homes_RECS_2020!$B$2:$B$52&amp;Res_SF_Homes_RECS_2020!$A$2:$A$52,0)))</f>
        <v>0</v>
      </c>
      <c r="AT128" s="75">
        <f t="array" ref="AT128">IF(ISERROR(index(Res_SF_Homes_RECS_2020!$E$2:$E$52,match($B128&amp;AT$2,Res_SF_Homes_RECS_2020!$B$2:$B$52&amp;Res_SF_Homes_RECS_2020!$A$2:$A$52,0))),0,index(Res_SF_Homes_RECS_2020!$E$2:$E$52,match($B128&amp;AT$2,Res_SF_Homes_RECS_2020!$B$2:$B$52&amp;Res_SF_Homes_RECS_2020!$A$2:$A$52,0)))</f>
        <v>17.78</v>
      </c>
      <c r="AU128" s="75">
        <f t="array" ref="AU128">IF(ISERROR(index(Res_SF_Homes_RECS_2020!$E$2:$E$52,match($B128&amp;AU$2,Res_SF_Homes_RECS_2020!$B$2:$B$52&amp;Res_SF_Homes_RECS_2020!$A$2:$A$52,0))),0,index(Res_SF_Homes_RECS_2020!$E$2:$E$52,match($B128&amp;AU$2,Res_SF_Homes_RECS_2020!$B$2:$B$52&amp;Res_SF_Homes_RECS_2020!$A$2:$A$52,0)))</f>
        <v>0</v>
      </c>
      <c r="AV128" s="75">
        <f t="array" ref="AV128">IF(ISERROR(index(Res_SF_Homes_RECS_2020!$E$2:$E$52,match($B128&amp;AV$2,Res_SF_Homes_RECS_2020!$B$2:$B$52&amp;Res_SF_Homes_RECS_2020!$A$2:$A$52,0))),0,index(Res_SF_Homes_RECS_2020!$E$2:$E$52,match($B128&amp;AV$2,Res_SF_Homes_RECS_2020!$B$2:$B$52&amp;Res_SF_Homes_RECS_2020!$A$2:$A$52,0)))</f>
        <v>0</v>
      </c>
      <c r="AW128" s="75">
        <f t="array" ref="AW128">IF(ISERROR(index(Res_SF_Homes_RECS_2020!$E$2:$E$52,match($B128&amp;AW$2,Res_SF_Homes_RECS_2020!$B$2:$B$52&amp;Res_SF_Homes_RECS_2020!$A$2:$A$52,0))),0,index(Res_SF_Homes_RECS_2020!$E$2:$E$52,match($B128&amp;AW$2,Res_SF_Homes_RECS_2020!$B$2:$B$52&amp;Res_SF_Homes_RECS_2020!$A$2:$A$52,0)))</f>
        <v>0</v>
      </c>
      <c r="AX128" s="75">
        <f t="array" ref="AX128">IF(ISERROR(index(Res_SF_Homes_RECS_2020!$E$2:$E$52,match($B128&amp;AX$2,Res_SF_Homes_RECS_2020!$B$2:$B$52&amp;Res_SF_Homes_RECS_2020!$A$2:$A$52,0))),0,index(Res_SF_Homes_RECS_2020!$E$2:$E$52,match($B128&amp;AX$2,Res_SF_Homes_RECS_2020!$B$2:$B$52&amp;Res_SF_Homes_RECS_2020!$A$2:$A$52,0)))</f>
        <v>0</v>
      </c>
      <c r="AY128" s="75">
        <f t="array" ref="AY128">IF(ISERROR(index(Res_SF_Homes_RECS_2020!$E$2:$E$52,match($B128&amp;AY$2,Res_SF_Homes_RECS_2020!$B$2:$B$52&amp;Res_SF_Homes_RECS_2020!$A$2:$A$52,0))),0,index(Res_SF_Homes_RECS_2020!$E$2:$E$52,match($B128&amp;AY$2,Res_SF_Homes_RECS_2020!$B$2:$B$52&amp;Res_SF_Homes_RECS_2020!$A$2:$A$52,0)))</f>
        <v>0</v>
      </c>
      <c r="AZ128" s="75">
        <f t="array" ref="AZ128">IF(ISERROR(index(Res_SF_Homes_RECS_2020!$E$2:$E$52,match($B128&amp;AZ$2,Res_SF_Homes_RECS_2020!$B$2:$B$52&amp;Res_SF_Homes_RECS_2020!$A$2:$A$52,0))),0,index(Res_SF_Homes_RECS_2020!$E$2:$E$52,match($B128&amp;AZ$2,Res_SF_Homes_RECS_2020!$B$2:$B$52&amp;Res_SF_Homes_RECS_2020!$A$2:$A$52,0)))</f>
        <v>0</v>
      </c>
      <c r="BA128" s="75">
        <f t="array" ref="BA128">IF(ISERROR(index(Res_SF_Homes_RECS_2020!$E$2:$E$52,match($B128&amp;BA$2,Res_SF_Homes_RECS_2020!$B$2:$B$52&amp;Res_SF_Homes_RECS_2020!$A$2:$A$52,0))),0,index(Res_SF_Homes_RECS_2020!$E$2:$E$52,match($B128&amp;BA$2,Res_SF_Homes_RECS_2020!$B$2:$B$52&amp;Res_SF_Homes_RECS_2020!$A$2:$A$52,0)))</f>
        <v>0</v>
      </c>
      <c r="BB128" s="74">
        <f t="shared" si="19"/>
        <v>25.42</v>
      </c>
    </row>
    <row r="129" ht="15.75" customHeight="1">
      <c r="A129" s="78"/>
      <c r="B129" s="74">
        <v>8.0</v>
      </c>
      <c r="C129" s="75">
        <f t="array" ref="C129">IF(ISERROR(index(Res_SF_Homes_RECS_2020!$E$2:$E$52,match($B129&amp;C$2,Res_SF_Homes_RECS_2020!$B$2:$B$52&amp;Res_SF_Homes_RECS_2020!$A$2:$A$52,0))),0,index(Res_SF_Homes_RECS_2020!$E$2:$E$52,match($B129&amp;C$2,Res_SF_Homes_RECS_2020!$B$2:$B$52&amp;Res_SF_Homes_RECS_2020!$A$2:$A$52,0)))</f>
        <v>0</v>
      </c>
      <c r="D129" s="75">
        <f t="array" ref="D129">IF(ISERROR(index(Res_SF_Homes_RECS_2020!$E$2:$E$52,match($B129&amp;D$2,Res_SF_Homes_RECS_2020!$B$2:$B$52&amp;Res_SF_Homes_RECS_2020!$A$2:$A$52,0))),0,index(Res_SF_Homes_RECS_2020!$E$2:$E$52,match($B129&amp;D$2,Res_SF_Homes_RECS_2020!$B$2:$B$52&amp;Res_SF_Homes_RECS_2020!$A$2:$A$52,0)))</f>
        <v>0</v>
      </c>
      <c r="E129" s="75">
        <f t="array" ref="E129">IF(ISERROR(index(Res_SF_Homes_RECS_2020!$E$2:$E$52,match($B129&amp;E$2,Res_SF_Homes_RECS_2020!$B$2:$B$52&amp;Res_SF_Homes_RECS_2020!$A$2:$A$52,0))),0,index(Res_SF_Homes_RECS_2020!$E$2:$E$52,match($B129&amp;E$2,Res_SF_Homes_RECS_2020!$B$2:$B$52&amp;Res_SF_Homes_RECS_2020!$A$2:$A$52,0)))</f>
        <v>4.58</v>
      </c>
      <c r="F129" s="75">
        <f t="array" ref="F129">IF(ISERROR(index(Res_SF_Homes_RECS_2020!$E$2:$E$52,match($B129&amp;F$2,Res_SF_Homes_RECS_2020!$B$2:$B$52&amp;Res_SF_Homes_RECS_2020!$A$2:$A$52,0))),0,index(Res_SF_Homes_RECS_2020!$E$2:$E$52,match($B129&amp;F$2,Res_SF_Homes_RECS_2020!$B$2:$B$52&amp;Res_SF_Homes_RECS_2020!$A$2:$A$52,0)))</f>
        <v>0</v>
      </c>
      <c r="G129" s="75">
        <f t="array" ref="G129">IF(ISERROR(index(Res_SF_Homes_RECS_2020!$E$2:$E$52,match($B129&amp;G$2,Res_SF_Homes_RECS_2020!$B$2:$B$52&amp;Res_SF_Homes_RECS_2020!$A$2:$A$52,0))),0,index(Res_SF_Homes_RECS_2020!$E$2:$E$52,match($B129&amp;G$2,Res_SF_Homes_RECS_2020!$B$2:$B$52&amp;Res_SF_Homes_RECS_2020!$A$2:$A$52,0)))</f>
        <v>0</v>
      </c>
      <c r="H129" s="75">
        <f t="array" ref="H129">IF(ISERROR(index(Res_SF_Homes_RECS_2020!$E$2:$E$52,match($B129&amp;H$2,Res_SF_Homes_RECS_2020!$B$2:$B$52&amp;Res_SF_Homes_RECS_2020!$A$2:$A$52,0))),0,index(Res_SF_Homes_RECS_2020!$E$2:$E$52,match($B129&amp;H$2,Res_SF_Homes_RECS_2020!$B$2:$B$52&amp;Res_SF_Homes_RECS_2020!$A$2:$A$52,0)))</f>
        <v>4.52</v>
      </c>
      <c r="I129" s="75">
        <f t="array" ref="I129">IF(ISERROR(index(Res_SF_Homes_RECS_2020!$E$2:$E$52,match($B129&amp;I$2,Res_SF_Homes_RECS_2020!$B$2:$B$52&amp;Res_SF_Homes_RECS_2020!$A$2:$A$52,0))),0,index(Res_SF_Homes_RECS_2020!$E$2:$E$52,match($B129&amp;I$2,Res_SF_Homes_RECS_2020!$B$2:$B$52&amp;Res_SF_Homes_RECS_2020!$A$2:$A$52,0)))</f>
        <v>0</v>
      </c>
      <c r="J129" s="75">
        <f t="array" ref="J129">IF(ISERROR(index(Res_SF_Homes_RECS_2020!$E$2:$E$52,match($B129&amp;J$2,Res_SF_Homes_RECS_2020!$B$2:$B$52&amp;Res_SF_Homes_RECS_2020!$A$2:$A$52,0))),0,index(Res_SF_Homes_RECS_2020!$E$2:$E$52,match($B129&amp;J$2,Res_SF_Homes_RECS_2020!$B$2:$B$52&amp;Res_SF_Homes_RECS_2020!$A$2:$A$52,0)))</f>
        <v>0</v>
      </c>
      <c r="K129" s="75">
        <f t="array" ref="K129">IF(ISERROR(index(Res_SF_Homes_RECS_2020!$E$2:$E$52,match($B129&amp;K$2,Res_SF_Homes_RECS_2020!$B$2:$B$52&amp;Res_SF_Homes_RECS_2020!$A$2:$A$52,0))),0,index(Res_SF_Homes_RECS_2020!$E$2:$E$52,match($B129&amp;K$2,Res_SF_Homes_RECS_2020!$B$2:$B$52&amp;Res_SF_Homes_RECS_2020!$A$2:$A$52,0)))</f>
        <v>0</v>
      </c>
      <c r="L129" s="75">
        <f t="array" ref="L129">IF(ISERROR(index(Res_SF_Homes_RECS_2020!$E$2:$E$52,match($B129&amp;L$2,Res_SF_Homes_RECS_2020!$B$2:$B$52&amp;Res_SF_Homes_RECS_2020!$A$2:$A$52,0))),0,index(Res_SF_Homes_RECS_2020!$E$2:$E$52,match($B129&amp;L$2,Res_SF_Homes_RECS_2020!$B$2:$B$52&amp;Res_SF_Homes_RECS_2020!$A$2:$A$52,0)))</f>
        <v>0</v>
      </c>
      <c r="M129" s="75">
        <f t="array" ref="M129">IF(ISERROR(index(Res_SF_Homes_RECS_2020!$E$2:$E$52,match($B129&amp;M$2,Res_SF_Homes_RECS_2020!$B$2:$B$52&amp;Res_SF_Homes_RECS_2020!$A$2:$A$52,0))),0,index(Res_SF_Homes_RECS_2020!$E$2:$E$52,match($B129&amp;M$2,Res_SF_Homes_RECS_2020!$B$2:$B$52&amp;Res_SF_Homes_RECS_2020!$A$2:$A$52,0)))</f>
        <v>0</v>
      </c>
      <c r="N129" s="75">
        <f t="array" ref="N129">IF(ISERROR(index(Res_SF_Homes_RECS_2020!$E$2:$E$52,match($B129&amp;N$2,Res_SF_Homes_RECS_2020!$B$2:$B$52&amp;Res_SF_Homes_RECS_2020!$A$2:$A$52,0))),0,index(Res_SF_Homes_RECS_2020!$E$2:$E$52,match($B129&amp;N$2,Res_SF_Homes_RECS_2020!$B$2:$B$52&amp;Res_SF_Homes_RECS_2020!$A$2:$A$52,0)))</f>
        <v>0</v>
      </c>
      <c r="O129" s="75">
        <f t="array" ref="O129">IF(ISERROR(index(Res_SF_Homes_RECS_2020!$E$2:$E$52,match($B129&amp;O$2,Res_SF_Homes_RECS_2020!$B$2:$B$52&amp;Res_SF_Homes_RECS_2020!$A$2:$A$52,0))),0,index(Res_SF_Homes_RECS_2020!$E$2:$E$52,match($B129&amp;O$2,Res_SF_Homes_RECS_2020!$B$2:$B$52&amp;Res_SF_Homes_RECS_2020!$A$2:$A$52,0)))</f>
        <v>1.3</v>
      </c>
      <c r="P129" s="75">
        <f t="array" ref="P129">IF(ISERROR(index(Res_SF_Homes_RECS_2020!$E$2:$E$52,match($B129&amp;P$2,Res_SF_Homes_RECS_2020!$B$2:$B$52&amp;Res_SF_Homes_RECS_2020!$A$2:$A$52,0))),0,index(Res_SF_Homes_RECS_2020!$E$2:$E$52,match($B129&amp;P$2,Res_SF_Homes_RECS_2020!$B$2:$B$52&amp;Res_SF_Homes_RECS_2020!$A$2:$A$52,0)))</f>
        <v>0</v>
      </c>
      <c r="Q129" s="75">
        <f t="array" ref="Q129">IF(ISERROR(index(Res_SF_Homes_RECS_2020!$E$2:$E$52,match($B129&amp;Q$2,Res_SF_Homes_RECS_2020!$B$2:$B$52&amp;Res_SF_Homes_RECS_2020!$A$2:$A$52,0))),0,index(Res_SF_Homes_RECS_2020!$E$2:$E$52,match($B129&amp;Q$2,Res_SF_Homes_RECS_2020!$B$2:$B$52&amp;Res_SF_Homes_RECS_2020!$A$2:$A$52,0)))</f>
        <v>0</v>
      </c>
      <c r="R129" s="75">
        <f t="array" ref="R129">IF(ISERROR(index(Res_SF_Homes_RECS_2020!$E$2:$E$52,match($B129&amp;R$2,Res_SF_Homes_RECS_2020!$B$2:$B$52&amp;Res_SF_Homes_RECS_2020!$A$2:$A$52,0))),0,index(Res_SF_Homes_RECS_2020!$E$2:$E$52,match($B129&amp;R$2,Res_SF_Homes_RECS_2020!$B$2:$B$52&amp;Res_SF_Homes_RECS_2020!$A$2:$A$52,0)))</f>
        <v>0</v>
      </c>
      <c r="S129" s="75">
        <f t="array" ref="S129">IF(ISERROR(index(Res_SF_Homes_RECS_2020!$E$2:$E$52,match($B129&amp;S$2,Res_SF_Homes_RECS_2020!$B$2:$B$52&amp;Res_SF_Homes_RECS_2020!$A$2:$A$52,0))),0,index(Res_SF_Homes_RECS_2020!$E$2:$E$52,match($B129&amp;S$2,Res_SF_Homes_RECS_2020!$B$2:$B$52&amp;Res_SF_Homes_RECS_2020!$A$2:$A$52,0)))</f>
        <v>0</v>
      </c>
      <c r="T129" s="75">
        <f t="array" ref="T129">IF(ISERROR(index(Res_SF_Homes_RECS_2020!$E$2:$E$52,match($B129&amp;T$2,Res_SF_Homes_RECS_2020!$B$2:$B$52&amp;Res_SF_Homes_RECS_2020!$A$2:$A$52,0))),0,index(Res_SF_Homes_RECS_2020!$E$2:$E$52,match($B129&amp;T$2,Res_SF_Homes_RECS_2020!$B$2:$B$52&amp;Res_SF_Homes_RECS_2020!$A$2:$A$52,0)))</f>
        <v>0</v>
      </c>
      <c r="U129" s="75">
        <f t="array" ref="U129">IF(ISERROR(index(Res_SF_Homes_RECS_2020!$E$2:$E$52,match($B129&amp;U$2,Res_SF_Homes_RECS_2020!$B$2:$B$52&amp;Res_SF_Homes_RECS_2020!$A$2:$A$52,0))),0,index(Res_SF_Homes_RECS_2020!$E$2:$E$52,match($B129&amp;U$2,Res_SF_Homes_RECS_2020!$B$2:$B$52&amp;Res_SF_Homes_RECS_2020!$A$2:$A$52,0)))</f>
        <v>0</v>
      </c>
      <c r="V129" s="75">
        <f t="array" ref="V129">IF(ISERROR(index(Res_SF_Homes_RECS_2020!$E$2:$E$52,match($B129&amp;V$2,Res_SF_Homes_RECS_2020!$B$2:$B$52&amp;Res_SF_Homes_RECS_2020!$A$2:$A$52,0))),0,index(Res_SF_Homes_RECS_2020!$E$2:$E$52,match($B129&amp;V$2,Res_SF_Homes_RECS_2020!$B$2:$B$52&amp;Res_SF_Homes_RECS_2020!$A$2:$A$52,0)))</f>
        <v>0</v>
      </c>
      <c r="W129" s="75">
        <f t="array" ref="W129">IF(ISERROR(index(Res_SF_Homes_RECS_2020!$E$2:$E$52,match($B129&amp;W$2,Res_SF_Homes_RECS_2020!$B$2:$B$52&amp;Res_SF_Homes_RECS_2020!$A$2:$A$52,0))),0,index(Res_SF_Homes_RECS_2020!$E$2:$E$52,match($B129&amp;W$2,Res_SF_Homes_RECS_2020!$B$2:$B$52&amp;Res_SF_Homes_RECS_2020!$A$2:$A$52,0)))</f>
        <v>0</v>
      </c>
      <c r="X129" s="75">
        <f t="array" ref="X129">IF(ISERROR(index(Res_SF_Homes_RECS_2020!$E$2:$E$52,match($B129&amp;X$2,Res_SF_Homes_RECS_2020!$B$2:$B$52&amp;Res_SF_Homes_RECS_2020!$A$2:$A$52,0))),0,index(Res_SF_Homes_RECS_2020!$E$2:$E$52,match($B129&amp;X$2,Res_SF_Homes_RECS_2020!$B$2:$B$52&amp;Res_SF_Homes_RECS_2020!$A$2:$A$52,0)))</f>
        <v>0</v>
      </c>
      <c r="Y129" s="75">
        <f t="array" ref="Y129">IF(ISERROR(index(Res_SF_Homes_RECS_2020!$E$2:$E$52,match($B129&amp;Y$2,Res_SF_Homes_RECS_2020!$B$2:$B$52&amp;Res_SF_Homes_RECS_2020!$A$2:$A$52,0))),0,index(Res_SF_Homes_RECS_2020!$E$2:$E$52,match($B129&amp;Y$2,Res_SF_Homes_RECS_2020!$B$2:$B$52&amp;Res_SF_Homes_RECS_2020!$A$2:$A$52,0)))</f>
        <v>0</v>
      </c>
      <c r="Z129" s="75">
        <f t="array" ref="Z129">IF(ISERROR(index(Res_SF_Homes_RECS_2020!$E$2:$E$52,match($B129&amp;Z$2,Res_SF_Homes_RECS_2020!$B$2:$B$52&amp;Res_SF_Homes_RECS_2020!$A$2:$A$52,0))),0,index(Res_SF_Homes_RECS_2020!$E$2:$E$52,match($B129&amp;Z$2,Res_SF_Homes_RECS_2020!$B$2:$B$52&amp;Res_SF_Homes_RECS_2020!$A$2:$A$52,0)))</f>
        <v>0</v>
      </c>
      <c r="AA129" s="75">
        <f t="array" ref="AA129">IF(ISERROR(index(Res_SF_Homes_RECS_2020!$E$2:$E$52,match($B129&amp;AA$2,Res_SF_Homes_RECS_2020!$B$2:$B$52&amp;Res_SF_Homes_RECS_2020!$A$2:$A$52,0))),0,index(Res_SF_Homes_RECS_2020!$E$2:$E$52,match($B129&amp;AA$2,Res_SF_Homes_RECS_2020!$B$2:$B$52&amp;Res_SF_Homes_RECS_2020!$A$2:$A$52,0)))</f>
        <v>0</v>
      </c>
      <c r="AB129" s="75">
        <f t="array" ref="AB129">IF(ISERROR(index(Res_SF_Homes_RECS_2020!$E$2:$E$52,match($B129&amp;AB$2,Res_SF_Homes_RECS_2020!$B$2:$B$52&amp;Res_SF_Homes_RECS_2020!$A$2:$A$52,0))),0,index(Res_SF_Homes_RECS_2020!$E$2:$E$52,match($B129&amp;AB$2,Res_SF_Homes_RECS_2020!$B$2:$B$52&amp;Res_SF_Homes_RECS_2020!$A$2:$A$52,0)))</f>
        <v>0</v>
      </c>
      <c r="AC129" s="75">
        <f t="array" ref="AC129">IF(ISERROR(index(Res_SF_Homes_RECS_2020!$E$2:$E$52,match($B129&amp;AC$2,Res_SF_Homes_RECS_2020!$B$2:$B$52&amp;Res_SF_Homes_RECS_2020!$A$2:$A$52,0))),0,index(Res_SF_Homes_RECS_2020!$E$2:$E$52,match($B129&amp;AC$2,Res_SF_Homes_RECS_2020!$B$2:$B$52&amp;Res_SF_Homes_RECS_2020!$A$2:$A$52,0)))</f>
        <v>0.81</v>
      </c>
      <c r="AD129" s="75">
        <f t="array" ref="AD129">IF(ISERROR(index(Res_SF_Homes_RECS_2020!$E$2:$E$52,match($B129&amp;AD$2,Res_SF_Homes_RECS_2020!$B$2:$B$52&amp;Res_SF_Homes_RECS_2020!$A$2:$A$52,0))),0,index(Res_SF_Homes_RECS_2020!$E$2:$E$52,match($B129&amp;AD$2,Res_SF_Homes_RECS_2020!$B$2:$B$52&amp;Res_SF_Homes_RECS_2020!$A$2:$A$52,0)))</f>
        <v>0</v>
      </c>
      <c r="AE129" s="75">
        <f t="array" ref="AE129">IF(ISERROR(index(Res_SF_Homes_RECS_2020!$E$2:$E$52,match($B129&amp;AE$2,Res_SF_Homes_RECS_2020!$B$2:$B$52&amp;Res_SF_Homes_RECS_2020!$A$2:$A$52,0))),0,index(Res_SF_Homes_RECS_2020!$E$2:$E$52,match($B129&amp;AE$2,Res_SF_Homes_RECS_2020!$B$2:$B$52&amp;Res_SF_Homes_RECS_2020!$A$2:$A$52,0)))</f>
        <v>1.84</v>
      </c>
      <c r="AF129" s="75">
        <f t="array" ref="AF129">IF(ISERROR(index(Res_SF_Homes_RECS_2020!$E$2:$E$52,match($B129&amp;AF$2,Res_SF_Homes_RECS_2020!$B$2:$B$52&amp;Res_SF_Homes_RECS_2020!$A$2:$A$52,0))),0,index(Res_SF_Homes_RECS_2020!$E$2:$E$52,match($B129&amp;AF$2,Res_SF_Homes_RECS_2020!$B$2:$B$52&amp;Res_SF_Homes_RECS_2020!$A$2:$A$52,0)))</f>
        <v>0</v>
      </c>
      <c r="AG129" s="75">
        <f t="array" ref="AG129">IF(ISERROR(index(Res_SF_Homes_RECS_2020!$E$2:$E$52,match($B129&amp;AG$2,Res_SF_Homes_RECS_2020!$B$2:$B$52&amp;Res_SF_Homes_RECS_2020!$A$2:$A$52,0))),0,index(Res_SF_Homes_RECS_2020!$E$2:$E$52,match($B129&amp;AG$2,Res_SF_Homes_RECS_2020!$B$2:$B$52&amp;Res_SF_Homes_RECS_2020!$A$2:$A$52,0)))</f>
        <v>0</v>
      </c>
      <c r="AH129" s="75">
        <f t="array" ref="AH129">IF(ISERROR(index(Res_SF_Homes_RECS_2020!$E$2:$E$52,match($B129&amp;AH$2,Res_SF_Homes_RECS_2020!$B$2:$B$52&amp;Res_SF_Homes_RECS_2020!$A$2:$A$52,0))),0,index(Res_SF_Homes_RECS_2020!$E$2:$E$52,match($B129&amp;AH$2,Res_SF_Homes_RECS_2020!$B$2:$B$52&amp;Res_SF_Homes_RECS_2020!$A$2:$A$52,0)))</f>
        <v>1.32</v>
      </c>
      <c r="AI129" s="75">
        <f t="array" ref="AI129">IF(ISERROR(index(Res_SF_Homes_RECS_2020!$E$2:$E$52,match($B129&amp;AI$2,Res_SF_Homes_RECS_2020!$B$2:$B$52&amp;Res_SF_Homes_RECS_2020!$A$2:$A$52,0))),0,index(Res_SF_Homes_RECS_2020!$E$2:$E$52,match($B129&amp;AI$2,Res_SF_Homes_RECS_2020!$B$2:$B$52&amp;Res_SF_Homes_RECS_2020!$A$2:$A$52,0)))</f>
        <v>0</v>
      </c>
      <c r="AJ129" s="75">
        <f t="array" ref="AJ129">IF(ISERROR(index(Res_SF_Homes_RECS_2020!$E$2:$E$52,match($B129&amp;AJ$2,Res_SF_Homes_RECS_2020!$B$2:$B$52&amp;Res_SF_Homes_RECS_2020!$A$2:$A$52,0))),0,index(Res_SF_Homes_RECS_2020!$E$2:$E$52,match($B129&amp;AJ$2,Res_SF_Homes_RECS_2020!$B$2:$B$52&amp;Res_SF_Homes_RECS_2020!$A$2:$A$52,0)))</f>
        <v>0</v>
      </c>
      <c r="AK129" s="75">
        <f t="array" ref="AK129">IF(ISERROR(index(Res_SF_Homes_RECS_2020!$E$2:$E$52,match($B129&amp;AK$2,Res_SF_Homes_RECS_2020!$B$2:$B$52&amp;Res_SF_Homes_RECS_2020!$A$2:$A$52,0))),0,index(Res_SF_Homes_RECS_2020!$E$2:$E$52,match($B129&amp;AK$2,Res_SF_Homes_RECS_2020!$B$2:$B$52&amp;Res_SF_Homes_RECS_2020!$A$2:$A$52,0)))</f>
        <v>0</v>
      </c>
      <c r="AL129" s="75">
        <f t="array" ref="AL129">IF(ISERROR(index(Res_SF_Homes_RECS_2020!$E$2:$E$52,match($B129&amp;AL$2,Res_SF_Homes_RECS_2020!$B$2:$B$52&amp;Res_SF_Homes_RECS_2020!$A$2:$A$52,0))),0,index(Res_SF_Homes_RECS_2020!$E$2:$E$52,match($B129&amp;AL$2,Res_SF_Homes_RECS_2020!$B$2:$B$52&amp;Res_SF_Homes_RECS_2020!$A$2:$A$52,0)))</f>
        <v>0</v>
      </c>
      <c r="AM129" s="75">
        <f t="array" ref="AM129">IF(ISERROR(index(Res_SF_Homes_RECS_2020!$E$2:$E$52,match($B129&amp;AM$2,Res_SF_Homes_RECS_2020!$B$2:$B$52&amp;Res_SF_Homes_RECS_2020!$A$2:$A$52,0))),0,index(Res_SF_Homes_RECS_2020!$E$2:$E$52,match($B129&amp;AM$2,Res_SF_Homes_RECS_2020!$B$2:$B$52&amp;Res_SF_Homes_RECS_2020!$A$2:$A$52,0)))</f>
        <v>0</v>
      </c>
      <c r="AN129" s="75">
        <f t="array" ref="AN129">IF(ISERROR(index(Res_SF_Homes_RECS_2020!$E$2:$E$52,match($B129&amp;AN$2,Res_SF_Homes_RECS_2020!$B$2:$B$52&amp;Res_SF_Homes_RECS_2020!$A$2:$A$52,0))),0,index(Res_SF_Homes_RECS_2020!$E$2:$E$52,match($B129&amp;AN$2,Res_SF_Homes_RECS_2020!$B$2:$B$52&amp;Res_SF_Homes_RECS_2020!$A$2:$A$52,0)))</f>
        <v>0</v>
      </c>
      <c r="AO129" s="75">
        <f t="array" ref="AO129">IF(ISERROR(index(Res_SF_Homes_RECS_2020!$E$2:$E$52,match($B129&amp;AO$2,Res_SF_Homes_RECS_2020!$B$2:$B$52&amp;Res_SF_Homes_RECS_2020!$A$2:$A$52,0))),0,index(Res_SF_Homes_RECS_2020!$E$2:$E$52,match($B129&amp;AO$2,Res_SF_Homes_RECS_2020!$B$2:$B$52&amp;Res_SF_Homes_RECS_2020!$A$2:$A$52,0)))</f>
        <v>0</v>
      </c>
      <c r="AP129" s="75">
        <f t="array" ref="AP129">IF(ISERROR(index(Res_SF_Homes_RECS_2020!$E$2:$E$52,match($B129&amp;AP$2,Res_SF_Homes_RECS_2020!$B$2:$B$52&amp;Res_SF_Homes_RECS_2020!$A$2:$A$52,0))),0,index(Res_SF_Homes_RECS_2020!$E$2:$E$52,match($B129&amp;AP$2,Res_SF_Homes_RECS_2020!$B$2:$B$52&amp;Res_SF_Homes_RECS_2020!$A$2:$A$52,0)))</f>
        <v>0</v>
      </c>
      <c r="AQ129" s="75">
        <f t="array" ref="AQ129">IF(ISERROR(index(Res_SF_Homes_RECS_2020!$E$2:$E$52,match($B129&amp;AQ$2,Res_SF_Homes_RECS_2020!$B$2:$B$52&amp;Res_SF_Homes_RECS_2020!$A$2:$A$52,0))),0,index(Res_SF_Homes_RECS_2020!$E$2:$E$52,match($B129&amp;AQ$2,Res_SF_Homes_RECS_2020!$B$2:$B$52&amp;Res_SF_Homes_RECS_2020!$A$2:$A$52,0)))</f>
        <v>0</v>
      </c>
      <c r="AR129" s="75">
        <f t="array" ref="AR129">IF(ISERROR(index(Res_SF_Homes_RECS_2020!$E$2:$E$52,match($B129&amp;AR$2,Res_SF_Homes_RECS_2020!$B$2:$B$52&amp;Res_SF_Homes_RECS_2020!$A$2:$A$52,0))),0,index(Res_SF_Homes_RECS_2020!$E$2:$E$52,match($B129&amp;AR$2,Res_SF_Homes_RECS_2020!$B$2:$B$52&amp;Res_SF_Homes_RECS_2020!$A$2:$A$52,0)))</f>
        <v>0</v>
      </c>
      <c r="AS129" s="75">
        <f t="array" ref="AS129">IF(ISERROR(index(Res_SF_Homes_RECS_2020!$E$2:$E$52,match($B129&amp;AS$2,Res_SF_Homes_RECS_2020!$B$2:$B$52&amp;Res_SF_Homes_RECS_2020!$A$2:$A$52,0))),0,index(Res_SF_Homes_RECS_2020!$E$2:$E$52,match($B129&amp;AS$2,Res_SF_Homes_RECS_2020!$B$2:$B$52&amp;Res_SF_Homes_RECS_2020!$A$2:$A$52,0)))</f>
        <v>0</v>
      </c>
      <c r="AT129" s="75">
        <f t="array" ref="AT129">IF(ISERROR(index(Res_SF_Homes_RECS_2020!$E$2:$E$52,match($B129&amp;AT$2,Res_SF_Homes_RECS_2020!$B$2:$B$52&amp;Res_SF_Homes_RECS_2020!$A$2:$A$52,0))),0,index(Res_SF_Homes_RECS_2020!$E$2:$E$52,match($B129&amp;AT$2,Res_SF_Homes_RECS_2020!$B$2:$B$52&amp;Res_SF_Homes_RECS_2020!$A$2:$A$52,0)))</f>
        <v>0</v>
      </c>
      <c r="AU129" s="75">
        <f t="array" ref="AU129">IF(ISERROR(index(Res_SF_Homes_RECS_2020!$E$2:$E$52,match($B129&amp;AU$2,Res_SF_Homes_RECS_2020!$B$2:$B$52&amp;Res_SF_Homes_RECS_2020!$A$2:$A$52,0))),0,index(Res_SF_Homes_RECS_2020!$E$2:$E$52,match($B129&amp;AU$2,Res_SF_Homes_RECS_2020!$B$2:$B$52&amp;Res_SF_Homes_RECS_2020!$A$2:$A$52,0)))</f>
        <v>2.24</v>
      </c>
      <c r="AV129" s="75">
        <f t="array" ref="AV129">IF(ISERROR(index(Res_SF_Homes_RECS_2020!$E$2:$E$52,match($B129&amp;AV$2,Res_SF_Homes_RECS_2020!$B$2:$B$52&amp;Res_SF_Homes_RECS_2020!$A$2:$A$52,0))),0,index(Res_SF_Homes_RECS_2020!$E$2:$E$52,match($B129&amp;AV$2,Res_SF_Homes_RECS_2020!$B$2:$B$52&amp;Res_SF_Homes_RECS_2020!$A$2:$A$52,0)))</f>
        <v>0</v>
      </c>
      <c r="AW129" s="75">
        <f t="array" ref="AW129">IF(ISERROR(index(Res_SF_Homes_RECS_2020!$E$2:$E$52,match($B129&amp;AW$2,Res_SF_Homes_RECS_2020!$B$2:$B$52&amp;Res_SF_Homes_RECS_2020!$A$2:$A$52,0))),0,index(Res_SF_Homes_RECS_2020!$E$2:$E$52,match($B129&amp;AW$2,Res_SF_Homes_RECS_2020!$B$2:$B$52&amp;Res_SF_Homes_RECS_2020!$A$2:$A$52,0)))</f>
        <v>0</v>
      </c>
      <c r="AX129" s="75">
        <f t="array" ref="AX129">IF(ISERROR(index(Res_SF_Homes_RECS_2020!$E$2:$E$52,match($B129&amp;AX$2,Res_SF_Homes_RECS_2020!$B$2:$B$52&amp;Res_SF_Homes_RECS_2020!$A$2:$A$52,0))),0,index(Res_SF_Homes_RECS_2020!$E$2:$E$52,match($B129&amp;AX$2,Res_SF_Homes_RECS_2020!$B$2:$B$52&amp;Res_SF_Homes_RECS_2020!$A$2:$A$52,0)))</f>
        <v>0</v>
      </c>
      <c r="AY129" s="75">
        <f t="array" ref="AY129">IF(ISERROR(index(Res_SF_Homes_RECS_2020!$E$2:$E$52,match($B129&amp;AY$2,Res_SF_Homes_RECS_2020!$B$2:$B$52&amp;Res_SF_Homes_RECS_2020!$A$2:$A$52,0))),0,index(Res_SF_Homes_RECS_2020!$E$2:$E$52,match($B129&amp;AY$2,Res_SF_Homes_RECS_2020!$B$2:$B$52&amp;Res_SF_Homes_RECS_2020!$A$2:$A$52,0)))</f>
        <v>0</v>
      </c>
      <c r="AZ129" s="75">
        <f t="array" ref="AZ129">IF(ISERROR(index(Res_SF_Homes_RECS_2020!$E$2:$E$52,match($B129&amp;AZ$2,Res_SF_Homes_RECS_2020!$B$2:$B$52&amp;Res_SF_Homes_RECS_2020!$A$2:$A$52,0))),0,index(Res_SF_Homes_RECS_2020!$E$2:$E$52,match($B129&amp;AZ$2,Res_SF_Homes_RECS_2020!$B$2:$B$52&amp;Res_SF_Homes_RECS_2020!$A$2:$A$52,0)))</f>
        <v>0</v>
      </c>
      <c r="BA129" s="75">
        <f t="array" ref="BA129">IF(ISERROR(index(Res_SF_Homes_RECS_2020!$E$2:$E$52,match($B129&amp;BA$2,Res_SF_Homes_RECS_2020!$B$2:$B$52&amp;Res_SF_Homes_RECS_2020!$A$2:$A$52,0))),0,index(Res_SF_Homes_RECS_2020!$E$2:$E$52,match($B129&amp;BA$2,Res_SF_Homes_RECS_2020!$B$2:$B$52&amp;Res_SF_Homes_RECS_2020!$A$2:$A$52,0)))</f>
        <v>0.43</v>
      </c>
      <c r="BB129" s="74">
        <f t="shared" si="19"/>
        <v>17.04</v>
      </c>
    </row>
    <row r="130" ht="15.75" customHeight="1">
      <c r="A130" s="78"/>
      <c r="B130" s="74">
        <v>9.0</v>
      </c>
      <c r="C130" s="75">
        <f t="array" ref="C130">IF(ISERROR(index(Res_SF_Homes_RECS_2020!$E$2:$E$52,match($B130&amp;C$2,Res_SF_Homes_RECS_2020!$B$2:$B$52&amp;Res_SF_Homes_RECS_2020!$A$2:$A$52,0))),0,index(Res_SF_Homes_RECS_2020!$E$2:$E$52,match($B130&amp;C$2,Res_SF_Homes_RECS_2020!$B$2:$B$52&amp;Res_SF_Homes_RECS_2020!$A$2:$A$52,0)))</f>
        <v>0</v>
      </c>
      <c r="D130" s="75">
        <f t="array" ref="D130">IF(ISERROR(index(Res_SF_Homes_RECS_2020!$E$2:$E$52,match($B130&amp;D$2,Res_SF_Homes_RECS_2020!$B$2:$B$52&amp;Res_SF_Homes_RECS_2020!$A$2:$A$52,0))),0,index(Res_SF_Homes_RECS_2020!$E$2:$E$52,match($B130&amp;D$2,Res_SF_Homes_RECS_2020!$B$2:$B$52&amp;Res_SF_Homes_RECS_2020!$A$2:$A$52,0)))</f>
        <v>0.45</v>
      </c>
      <c r="E130" s="75">
        <f t="array" ref="E130">IF(ISERROR(index(Res_SF_Homes_RECS_2020!$E$2:$E$52,match($B130&amp;E$2,Res_SF_Homes_RECS_2020!$B$2:$B$52&amp;Res_SF_Homes_RECS_2020!$A$2:$A$52,0))),0,index(Res_SF_Homes_RECS_2020!$E$2:$E$52,match($B130&amp;E$2,Res_SF_Homes_RECS_2020!$B$2:$B$52&amp;Res_SF_Homes_RECS_2020!$A$2:$A$52,0)))</f>
        <v>0</v>
      </c>
      <c r="F130" s="75">
        <f t="array" ref="F130">IF(ISERROR(index(Res_SF_Homes_RECS_2020!$E$2:$E$52,match($B130&amp;F$2,Res_SF_Homes_RECS_2020!$B$2:$B$52&amp;Res_SF_Homes_RECS_2020!$A$2:$A$52,0))),0,index(Res_SF_Homes_RECS_2020!$E$2:$E$52,match($B130&amp;F$2,Res_SF_Homes_RECS_2020!$B$2:$B$52&amp;Res_SF_Homes_RECS_2020!$A$2:$A$52,0)))</f>
        <v>0</v>
      </c>
      <c r="G130" s="75">
        <f t="array" ref="G130">IF(ISERROR(index(Res_SF_Homes_RECS_2020!$E$2:$E$52,match($B130&amp;G$2,Res_SF_Homes_RECS_2020!$B$2:$B$52&amp;Res_SF_Homes_RECS_2020!$A$2:$A$52,0))),0,index(Res_SF_Homes_RECS_2020!$E$2:$E$52,match($B130&amp;G$2,Res_SF_Homes_RECS_2020!$B$2:$B$52&amp;Res_SF_Homes_RECS_2020!$A$2:$A$52,0)))</f>
        <v>19.83</v>
      </c>
      <c r="H130" s="75">
        <f t="array" ref="H130">IF(ISERROR(index(Res_SF_Homes_RECS_2020!$E$2:$E$52,match($B130&amp;H$2,Res_SF_Homes_RECS_2020!$B$2:$B$52&amp;Res_SF_Homes_RECS_2020!$A$2:$A$52,0))),0,index(Res_SF_Homes_RECS_2020!$E$2:$E$52,match($B130&amp;H$2,Res_SF_Homes_RECS_2020!$B$2:$B$52&amp;Res_SF_Homes_RECS_2020!$A$2:$A$52,0)))</f>
        <v>0</v>
      </c>
      <c r="I130" s="75">
        <f t="array" ref="I130">IF(ISERROR(index(Res_SF_Homes_RECS_2020!$E$2:$E$52,match($B130&amp;I$2,Res_SF_Homes_RECS_2020!$B$2:$B$52&amp;Res_SF_Homes_RECS_2020!$A$2:$A$52,0))),0,index(Res_SF_Homes_RECS_2020!$E$2:$E$52,match($B130&amp;I$2,Res_SF_Homes_RECS_2020!$B$2:$B$52&amp;Res_SF_Homes_RECS_2020!$A$2:$A$52,0)))</f>
        <v>0</v>
      </c>
      <c r="J130" s="75">
        <f t="array" ref="J130">IF(ISERROR(index(Res_SF_Homes_RECS_2020!$E$2:$E$52,match($B130&amp;J$2,Res_SF_Homes_RECS_2020!$B$2:$B$52&amp;Res_SF_Homes_RECS_2020!$A$2:$A$52,0))),0,index(Res_SF_Homes_RECS_2020!$E$2:$E$52,match($B130&amp;J$2,Res_SF_Homes_RECS_2020!$B$2:$B$52&amp;Res_SF_Homes_RECS_2020!$A$2:$A$52,0)))</f>
        <v>0</v>
      </c>
      <c r="K130" s="75">
        <f t="array" ref="K130">IF(ISERROR(index(Res_SF_Homes_RECS_2020!$E$2:$E$52,match($B130&amp;K$2,Res_SF_Homes_RECS_2020!$B$2:$B$52&amp;Res_SF_Homes_RECS_2020!$A$2:$A$52,0))),0,index(Res_SF_Homes_RECS_2020!$E$2:$E$52,match($B130&amp;K$2,Res_SF_Homes_RECS_2020!$B$2:$B$52&amp;Res_SF_Homes_RECS_2020!$A$2:$A$52,0)))</f>
        <v>0</v>
      </c>
      <c r="L130" s="75">
        <f t="array" ref="L130">IF(ISERROR(index(Res_SF_Homes_RECS_2020!$E$2:$E$52,match($B130&amp;L$2,Res_SF_Homes_RECS_2020!$B$2:$B$52&amp;Res_SF_Homes_RECS_2020!$A$2:$A$52,0))),0,index(Res_SF_Homes_RECS_2020!$E$2:$E$52,match($B130&amp;L$2,Res_SF_Homes_RECS_2020!$B$2:$B$52&amp;Res_SF_Homes_RECS_2020!$A$2:$A$52,0)))</f>
        <v>0</v>
      </c>
      <c r="M130" s="75">
        <f t="array" ref="M130">IF(ISERROR(index(Res_SF_Homes_RECS_2020!$E$2:$E$52,match($B130&amp;M$2,Res_SF_Homes_RECS_2020!$B$2:$B$52&amp;Res_SF_Homes_RECS_2020!$A$2:$A$52,0))),0,index(Res_SF_Homes_RECS_2020!$E$2:$E$52,match($B130&amp;M$2,Res_SF_Homes_RECS_2020!$B$2:$B$52&amp;Res_SF_Homes_RECS_2020!$A$2:$A$52,0)))</f>
        <v>0</v>
      </c>
      <c r="N130" s="75">
        <f t="array" ref="N130">IF(ISERROR(index(Res_SF_Homes_RECS_2020!$E$2:$E$52,match($B130&amp;N$2,Res_SF_Homes_RECS_2020!$B$2:$B$52&amp;Res_SF_Homes_RECS_2020!$A$2:$A$52,0))),0,index(Res_SF_Homes_RECS_2020!$E$2:$E$52,match($B130&amp;N$2,Res_SF_Homes_RECS_2020!$B$2:$B$52&amp;Res_SF_Homes_RECS_2020!$A$2:$A$52,0)))</f>
        <v>0.69</v>
      </c>
      <c r="O130" s="75">
        <f t="array" ref="O130">IF(ISERROR(index(Res_SF_Homes_RECS_2020!$E$2:$E$52,match($B130&amp;O$2,Res_SF_Homes_RECS_2020!$B$2:$B$52&amp;Res_SF_Homes_RECS_2020!$A$2:$A$52,0))),0,index(Res_SF_Homes_RECS_2020!$E$2:$E$52,match($B130&amp;O$2,Res_SF_Homes_RECS_2020!$B$2:$B$52&amp;Res_SF_Homes_RECS_2020!$A$2:$A$52,0)))</f>
        <v>0</v>
      </c>
      <c r="P130" s="75">
        <f t="array" ref="P130">IF(ISERROR(index(Res_SF_Homes_RECS_2020!$E$2:$E$52,match($B130&amp;P$2,Res_SF_Homes_RECS_2020!$B$2:$B$52&amp;Res_SF_Homes_RECS_2020!$A$2:$A$52,0))),0,index(Res_SF_Homes_RECS_2020!$E$2:$E$52,match($B130&amp;P$2,Res_SF_Homes_RECS_2020!$B$2:$B$52&amp;Res_SF_Homes_RECS_2020!$A$2:$A$52,0)))</f>
        <v>0</v>
      </c>
      <c r="Q130" s="75">
        <f t="array" ref="Q130">IF(ISERROR(index(Res_SF_Homes_RECS_2020!$E$2:$E$52,match($B130&amp;Q$2,Res_SF_Homes_RECS_2020!$B$2:$B$52&amp;Res_SF_Homes_RECS_2020!$A$2:$A$52,0))),0,index(Res_SF_Homes_RECS_2020!$E$2:$E$52,match($B130&amp;Q$2,Res_SF_Homes_RECS_2020!$B$2:$B$52&amp;Res_SF_Homes_RECS_2020!$A$2:$A$52,0)))</f>
        <v>0</v>
      </c>
      <c r="R130" s="75">
        <f t="array" ref="R130">IF(ISERROR(index(Res_SF_Homes_RECS_2020!$E$2:$E$52,match($B130&amp;R$2,Res_SF_Homes_RECS_2020!$B$2:$B$52&amp;Res_SF_Homes_RECS_2020!$A$2:$A$52,0))),0,index(Res_SF_Homes_RECS_2020!$E$2:$E$52,match($B130&amp;R$2,Res_SF_Homes_RECS_2020!$B$2:$B$52&amp;Res_SF_Homes_RECS_2020!$A$2:$A$52,0)))</f>
        <v>0</v>
      </c>
      <c r="S130" s="75">
        <f t="array" ref="S130">IF(ISERROR(index(Res_SF_Homes_RECS_2020!$E$2:$E$52,match($B130&amp;S$2,Res_SF_Homes_RECS_2020!$B$2:$B$52&amp;Res_SF_Homes_RECS_2020!$A$2:$A$52,0))),0,index(Res_SF_Homes_RECS_2020!$E$2:$E$52,match($B130&amp;S$2,Res_SF_Homes_RECS_2020!$B$2:$B$52&amp;Res_SF_Homes_RECS_2020!$A$2:$A$52,0)))</f>
        <v>0</v>
      </c>
      <c r="T130" s="75">
        <f t="array" ref="T130">IF(ISERROR(index(Res_SF_Homes_RECS_2020!$E$2:$E$52,match($B130&amp;T$2,Res_SF_Homes_RECS_2020!$B$2:$B$52&amp;Res_SF_Homes_RECS_2020!$A$2:$A$52,0))),0,index(Res_SF_Homes_RECS_2020!$E$2:$E$52,match($B130&amp;T$2,Res_SF_Homes_RECS_2020!$B$2:$B$52&amp;Res_SF_Homes_RECS_2020!$A$2:$A$52,0)))</f>
        <v>0</v>
      </c>
      <c r="U130" s="75">
        <f t="array" ref="U130">IF(ISERROR(index(Res_SF_Homes_RECS_2020!$E$2:$E$52,match($B130&amp;U$2,Res_SF_Homes_RECS_2020!$B$2:$B$52&amp;Res_SF_Homes_RECS_2020!$A$2:$A$52,0))),0,index(Res_SF_Homes_RECS_2020!$E$2:$E$52,match($B130&amp;U$2,Res_SF_Homes_RECS_2020!$B$2:$B$52&amp;Res_SF_Homes_RECS_2020!$A$2:$A$52,0)))</f>
        <v>0</v>
      </c>
      <c r="V130" s="75">
        <f t="array" ref="V130">IF(ISERROR(index(Res_SF_Homes_RECS_2020!$E$2:$E$52,match($B130&amp;V$2,Res_SF_Homes_RECS_2020!$B$2:$B$52&amp;Res_SF_Homes_RECS_2020!$A$2:$A$52,0))),0,index(Res_SF_Homes_RECS_2020!$E$2:$E$52,match($B130&amp;V$2,Res_SF_Homes_RECS_2020!$B$2:$B$52&amp;Res_SF_Homes_RECS_2020!$A$2:$A$52,0)))</f>
        <v>0</v>
      </c>
      <c r="W130" s="75">
        <f t="array" ref="W130">IF(ISERROR(index(Res_SF_Homes_RECS_2020!$E$2:$E$52,match($B130&amp;W$2,Res_SF_Homes_RECS_2020!$B$2:$B$52&amp;Res_SF_Homes_RECS_2020!$A$2:$A$52,0))),0,index(Res_SF_Homes_RECS_2020!$E$2:$E$52,match($B130&amp;W$2,Res_SF_Homes_RECS_2020!$B$2:$B$52&amp;Res_SF_Homes_RECS_2020!$A$2:$A$52,0)))</f>
        <v>0</v>
      </c>
      <c r="X130" s="75">
        <f t="array" ref="X130">IF(ISERROR(index(Res_SF_Homes_RECS_2020!$E$2:$E$52,match($B130&amp;X$2,Res_SF_Homes_RECS_2020!$B$2:$B$52&amp;Res_SF_Homes_RECS_2020!$A$2:$A$52,0))),0,index(Res_SF_Homes_RECS_2020!$E$2:$E$52,match($B130&amp;X$2,Res_SF_Homes_RECS_2020!$B$2:$B$52&amp;Res_SF_Homes_RECS_2020!$A$2:$A$52,0)))</f>
        <v>0</v>
      </c>
      <c r="Y130" s="75">
        <f t="array" ref="Y130">IF(ISERROR(index(Res_SF_Homes_RECS_2020!$E$2:$E$52,match($B130&amp;Y$2,Res_SF_Homes_RECS_2020!$B$2:$B$52&amp;Res_SF_Homes_RECS_2020!$A$2:$A$52,0))),0,index(Res_SF_Homes_RECS_2020!$E$2:$E$52,match($B130&amp;Y$2,Res_SF_Homes_RECS_2020!$B$2:$B$52&amp;Res_SF_Homes_RECS_2020!$A$2:$A$52,0)))</f>
        <v>0</v>
      </c>
      <c r="Z130" s="75">
        <f t="array" ref="Z130">IF(ISERROR(index(Res_SF_Homes_RECS_2020!$E$2:$E$52,match($B130&amp;Z$2,Res_SF_Homes_RECS_2020!$B$2:$B$52&amp;Res_SF_Homes_RECS_2020!$A$2:$A$52,0))),0,index(Res_SF_Homes_RECS_2020!$E$2:$E$52,match($B130&amp;Z$2,Res_SF_Homes_RECS_2020!$B$2:$B$52&amp;Res_SF_Homes_RECS_2020!$A$2:$A$52,0)))</f>
        <v>0</v>
      </c>
      <c r="AA130" s="75">
        <f t="array" ref="AA130">IF(ISERROR(index(Res_SF_Homes_RECS_2020!$E$2:$E$52,match($B130&amp;AA$2,Res_SF_Homes_RECS_2020!$B$2:$B$52&amp;Res_SF_Homes_RECS_2020!$A$2:$A$52,0))),0,index(Res_SF_Homes_RECS_2020!$E$2:$E$52,match($B130&amp;AA$2,Res_SF_Homes_RECS_2020!$B$2:$B$52&amp;Res_SF_Homes_RECS_2020!$A$2:$A$52,0)))</f>
        <v>0</v>
      </c>
      <c r="AB130" s="75">
        <f t="array" ref="AB130">IF(ISERROR(index(Res_SF_Homes_RECS_2020!$E$2:$E$52,match($B130&amp;AB$2,Res_SF_Homes_RECS_2020!$B$2:$B$52&amp;Res_SF_Homes_RECS_2020!$A$2:$A$52,0))),0,index(Res_SF_Homes_RECS_2020!$E$2:$E$52,match($B130&amp;AB$2,Res_SF_Homes_RECS_2020!$B$2:$B$52&amp;Res_SF_Homes_RECS_2020!$A$2:$A$52,0)))</f>
        <v>0</v>
      </c>
      <c r="AC130" s="75">
        <f t="array" ref="AC130">IF(ISERROR(index(Res_SF_Homes_RECS_2020!$E$2:$E$52,match($B130&amp;AC$2,Res_SF_Homes_RECS_2020!$B$2:$B$52&amp;Res_SF_Homes_RECS_2020!$A$2:$A$52,0))),0,index(Res_SF_Homes_RECS_2020!$E$2:$E$52,match($B130&amp;AC$2,Res_SF_Homes_RECS_2020!$B$2:$B$52&amp;Res_SF_Homes_RECS_2020!$A$2:$A$52,0)))</f>
        <v>0</v>
      </c>
      <c r="AD130" s="75">
        <f t="array" ref="AD130">IF(ISERROR(index(Res_SF_Homes_RECS_2020!$E$2:$E$52,match($B130&amp;AD$2,Res_SF_Homes_RECS_2020!$B$2:$B$52&amp;Res_SF_Homes_RECS_2020!$A$2:$A$52,0))),0,index(Res_SF_Homes_RECS_2020!$E$2:$E$52,match($B130&amp;AD$2,Res_SF_Homes_RECS_2020!$B$2:$B$52&amp;Res_SF_Homes_RECS_2020!$A$2:$A$52,0)))</f>
        <v>0</v>
      </c>
      <c r="AE130" s="75">
        <f t="array" ref="AE130">IF(ISERROR(index(Res_SF_Homes_RECS_2020!$E$2:$E$52,match($B130&amp;AE$2,Res_SF_Homes_RECS_2020!$B$2:$B$52&amp;Res_SF_Homes_RECS_2020!$A$2:$A$52,0))),0,index(Res_SF_Homes_RECS_2020!$E$2:$E$52,match($B130&amp;AE$2,Res_SF_Homes_RECS_2020!$B$2:$B$52&amp;Res_SF_Homes_RECS_2020!$A$2:$A$52,0)))</f>
        <v>0</v>
      </c>
      <c r="AF130" s="75">
        <f t="array" ref="AF130">IF(ISERROR(index(Res_SF_Homes_RECS_2020!$E$2:$E$52,match($B130&amp;AF$2,Res_SF_Homes_RECS_2020!$B$2:$B$52&amp;Res_SF_Homes_RECS_2020!$A$2:$A$52,0))),0,index(Res_SF_Homes_RECS_2020!$E$2:$E$52,match($B130&amp;AF$2,Res_SF_Homes_RECS_2020!$B$2:$B$52&amp;Res_SF_Homes_RECS_2020!$A$2:$A$52,0)))</f>
        <v>0</v>
      </c>
      <c r="AG130" s="75">
        <f t="array" ref="AG130">IF(ISERROR(index(Res_SF_Homes_RECS_2020!$E$2:$E$52,match($B130&amp;AG$2,Res_SF_Homes_RECS_2020!$B$2:$B$52&amp;Res_SF_Homes_RECS_2020!$A$2:$A$52,0))),0,index(Res_SF_Homes_RECS_2020!$E$2:$E$52,match($B130&amp;AG$2,Res_SF_Homes_RECS_2020!$B$2:$B$52&amp;Res_SF_Homes_RECS_2020!$A$2:$A$52,0)))</f>
        <v>0</v>
      </c>
      <c r="AH130" s="75">
        <f t="array" ref="AH130">IF(ISERROR(index(Res_SF_Homes_RECS_2020!$E$2:$E$52,match($B130&amp;AH$2,Res_SF_Homes_RECS_2020!$B$2:$B$52&amp;Res_SF_Homes_RECS_2020!$A$2:$A$52,0))),0,index(Res_SF_Homes_RECS_2020!$E$2:$E$52,match($B130&amp;AH$2,Res_SF_Homes_RECS_2020!$B$2:$B$52&amp;Res_SF_Homes_RECS_2020!$A$2:$A$52,0)))</f>
        <v>0</v>
      </c>
      <c r="AI130" s="75">
        <f t="array" ref="AI130">IF(ISERROR(index(Res_SF_Homes_RECS_2020!$E$2:$E$52,match($B130&amp;AI$2,Res_SF_Homes_RECS_2020!$B$2:$B$52&amp;Res_SF_Homes_RECS_2020!$A$2:$A$52,0))),0,index(Res_SF_Homes_RECS_2020!$E$2:$E$52,match($B130&amp;AI$2,Res_SF_Homes_RECS_2020!$B$2:$B$52&amp;Res_SF_Homes_RECS_2020!$A$2:$A$52,0)))</f>
        <v>0</v>
      </c>
      <c r="AJ130" s="75">
        <f t="array" ref="AJ130">IF(ISERROR(index(Res_SF_Homes_RECS_2020!$E$2:$E$52,match($B130&amp;AJ$2,Res_SF_Homes_RECS_2020!$B$2:$B$52&amp;Res_SF_Homes_RECS_2020!$A$2:$A$52,0))),0,index(Res_SF_Homes_RECS_2020!$E$2:$E$52,match($B130&amp;AJ$2,Res_SF_Homes_RECS_2020!$B$2:$B$52&amp;Res_SF_Homes_RECS_2020!$A$2:$A$52,0)))</f>
        <v>0</v>
      </c>
      <c r="AK130" s="75">
        <f t="array" ref="AK130">IF(ISERROR(index(Res_SF_Homes_RECS_2020!$E$2:$E$52,match($B130&amp;AK$2,Res_SF_Homes_RECS_2020!$B$2:$B$52&amp;Res_SF_Homes_RECS_2020!$A$2:$A$52,0))),0,index(Res_SF_Homes_RECS_2020!$E$2:$E$52,match($B130&amp;AK$2,Res_SF_Homes_RECS_2020!$B$2:$B$52&amp;Res_SF_Homes_RECS_2020!$A$2:$A$52,0)))</f>
        <v>0</v>
      </c>
      <c r="AL130" s="75">
        <f t="array" ref="AL130">IF(ISERROR(index(Res_SF_Homes_RECS_2020!$E$2:$E$52,match($B130&amp;AL$2,Res_SF_Homes_RECS_2020!$B$2:$B$52&amp;Res_SF_Homes_RECS_2020!$A$2:$A$52,0))),0,index(Res_SF_Homes_RECS_2020!$E$2:$E$52,match($B130&amp;AL$2,Res_SF_Homes_RECS_2020!$B$2:$B$52&amp;Res_SF_Homes_RECS_2020!$A$2:$A$52,0)))</f>
        <v>0</v>
      </c>
      <c r="AM130" s="75">
        <f t="array" ref="AM130">IF(ISERROR(index(Res_SF_Homes_RECS_2020!$E$2:$E$52,match($B130&amp;AM$2,Res_SF_Homes_RECS_2020!$B$2:$B$52&amp;Res_SF_Homes_RECS_2020!$A$2:$A$52,0))),0,index(Res_SF_Homes_RECS_2020!$E$2:$E$52,match($B130&amp;AM$2,Res_SF_Homes_RECS_2020!$B$2:$B$52&amp;Res_SF_Homes_RECS_2020!$A$2:$A$52,0)))</f>
        <v>0</v>
      </c>
      <c r="AN130" s="75">
        <f t="array" ref="AN130">IF(ISERROR(index(Res_SF_Homes_RECS_2020!$E$2:$E$52,match($B130&amp;AN$2,Res_SF_Homes_RECS_2020!$B$2:$B$52&amp;Res_SF_Homes_RECS_2020!$A$2:$A$52,0))),0,index(Res_SF_Homes_RECS_2020!$E$2:$E$52,match($B130&amp;AN$2,Res_SF_Homes_RECS_2020!$B$2:$B$52&amp;Res_SF_Homes_RECS_2020!$A$2:$A$52,0)))</f>
        <v>2.81</v>
      </c>
      <c r="AO130" s="75">
        <f t="array" ref="AO130">IF(ISERROR(index(Res_SF_Homes_RECS_2020!$E$2:$E$52,match($B130&amp;AO$2,Res_SF_Homes_RECS_2020!$B$2:$B$52&amp;Res_SF_Homes_RECS_2020!$A$2:$A$52,0))),0,index(Res_SF_Homes_RECS_2020!$E$2:$E$52,match($B130&amp;AO$2,Res_SF_Homes_RECS_2020!$B$2:$B$52&amp;Res_SF_Homes_RECS_2020!$A$2:$A$52,0)))</f>
        <v>0</v>
      </c>
      <c r="AP130" s="75">
        <f t="array" ref="AP130">IF(ISERROR(index(Res_SF_Homes_RECS_2020!$E$2:$E$52,match($B130&amp;AP$2,Res_SF_Homes_RECS_2020!$B$2:$B$52&amp;Res_SF_Homes_RECS_2020!$A$2:$A$52,0))),0,index(Res_SF_Homes_RECS_2020!$E$2:$E$52,match($B130&amp;AP$2,Res_SF_Homes_RECS_2020!$B$2:$B$52&amp;Res_SF_Homes_RECS_2020!$A$2:$A$52,0)))</f>
        <v>0</v>
      </c>
      <c r="AQ130" s="75">
        <f t="array" ref="AQ130">IF(ISERROR(index(Res_SF_Homes_RECS_2020!$E$2:$E$52,match($B130&amp;AQ$2,Res_SF_Homes_RECS_2020!$B$2:$B$52&amp;Res_SF_Homes_RECS_2020!$A$2:$A$52,0))),0,index(Res_SF_Homes_RECS_2020!$E$2:$E$52,match($B130&amp;AQ$2,Res_SF_Homes_RECS_2020!$B$2:$B$52&amp;Res_SF_Homes_RECS_2020!$A$2:$A$52,0)))</f>
        <v>0</v>
      </c>
      <c r="AR130" s="75">
        <f t="array" ref="AR130">IF(ISERROR(index(Res_SF_Homes_RECS_2020!$E$2:$E$52,match($B130&amp;AR$2,Res_SF_Homes_RECS_2020!$B$2:$B$52&amp;Res_SF_Homes_RECS_2020!$A$2:$A$52,0))),0,index(Res_SF_Homes_RECS_2020!$E$2:$E$52,match($B130&amp;AR$2,Res_SF_Homes_RECS_2020!$B$2:$B$52&amp;Res_SF_Homes_RECS_2020!$A$2:$A$52,0)))</f>
        <v>0</v>
      </c>
      <c r="AS130" s="75">
        <f t="array" ref="AS130">IF(ISERROR(index(Res_SF_Homes_RECS_2020!$E$2:$E$52,match($B130&amp;AS$2,Res_SF_Homes_RECS_2020!$B$2:$B$52&amp;Res_SF_Homes_RECS_2020!$A$2:$A$52,0))),0,index(Res_SF_Homes_RECS_2020!$E$2:$E$52,match($B130&amp;AS$2,Res_SF_Homes_RECS_2020!$B$2:$B$52&amp;Res_SF_Homes_RECS_2020!$A$2:$A$52,0)))</f>
        <v>0</v>
      </c>
      <c r="AT130" s="75">
        <f t="array" ref="AT130">IF(ISERROR(index(Res_SF_Homes_RECS_2020!$E$2:$E$52,match($B130&amp;AT$2,Res_SF_Homes_RECS_2020!$B$2:$B$52&amp;Res_SF_Homes_RECS_2020!$A$2:$A$52,0))),0,index(Res_SF_Homes_RECS_2020!$E$2:$E$52,match($B130&amp;AT$2,Res_SF_Homes_RECS_2020!$B$2:$B$52&amp;Res_SF_Homes_RECS_2020!$A$2:$A$52,0)))</f>
        <v>0</v>
      </c>
      <c r="AU130" s="75">
        <f t="array" ref="AU130">IF(ISERROR(index(Res_SF_Homes_RECS_2020!$E$2:$E$52,match($B130&amp;AU$2,Res_SF_Homes_RECS_2020!$B$2:$B$52&amp;Res_SF_Homes_RECS_2020!$A$2:$A$52,0))),0,index(Res_SF_Homes_RECS_2020!$E$2:$E$52,match($B130&amp;AU$2,Res_SF_Homes_RECS_2020!$B$2:$B$52&amp;Res_SF_Homes_RECS_2020!$A$2:$A$52,0)))</f>
        <v>0</v>
      </c>
      <c r="AV130" s="75">
        <f t="array" ref="AV130">IF(ISERROR(index(Res_SF_Homes_RECS_2020!$E$2:$E$52,match($B130&amp;AV$2,Res_SF_Homes_RECS_2020!$B$2:$B$52&amp;Res_SF_Homes_RECS_2020!$A$2:$A$52,0))),0,index(Res_SF_Homes_RECS_2020!$E$2:$E$52,match($B130&amp;AV$2,Res_SF_Homes_RECS_2020!$B$2:$B$52&amp;Res_SF_Homes_RECS_2020!$A$2:$A$52,0)))</f>
        <v>0</v>
      </c>
      <c r="AW130" s="75">
        <f t="array" ref="AW130">IF(ISERROR(index(Res_SF_Homes_RECS_2020!$E$2:$E$52,match($B130&amp;AW$2,Res_SF_Homes_RECS_2020!$B$2:$B$52&amp;Res_SF_Homes_RECS_2020!$A$2:$A$52,0))),0,index(Res_SF_Homes_RECS_2020!$E$2:$E$52,match($B130&amp;AW$2,Res_SF_Homes_RECS_2020!$B$2:$B$52&amp;Res_SF_Homes_RECS_2020!$A$2:$A$52,0)))</f>
        <v>0</v>
      </c>
      <c r="AX130" s="75">
        <f t="array" ref="AX130">IF(ISERROR(index(Res_SF_Homes_RECS_2020!$E$2:$E$52,match($B130&amp;AX$2,Res_SF_Homes_RECS_2020!$B$2:$B$52&amp;Res_SF_Homes_RECS_2020!$A$2:$A$52,0))),0,index(Res_SF_Homes_RECS_2020!$E$2:$E$52,match($B130&amp;AX$2,Res_SF_Homes_RECS_2020!$B$2:$B$52&amp;Res_SF_Homes_RECS_2020!$A$2:$A$52,0)))</f>
        <v>4.92</v>
      </c>
      <c r="AY130" s="75">
        <f t="array" ref="AY130">IF(ISERROR(index(Res_SF_Homes_RECS_2020!$E$2:$E$52,match($B130&amp;AY$2,Res_SF_Homes_RECS_2020!$B$2:$B$52&amp;Res_SF_Homes_RECS_2020!$A$2:$A$52,0))),0,index(Res_SF_Homes_RECS_2020!$E$2:$E$52,match($B130&amp;AY$2,Res_SF_Homes_RECS_2020!$B$2:$B$52&amp;Res_SF_Homes_RECS_2020!$A$2:$A$52,0)))</f>
        <v>0</v>
      </c>
      <c r="AZ130" s="75">
        <f t="array" ref="AZ130">IF(ISERROR(index(Res_SF_Homes_RECS_2020!$E$2:$E$52,match($B130&amp;AZ$2,Res_SF_Homes_RECS_2020!$B$2:$B$52&amp;Res_SF_Homes_RECS_2020!$A$2:$A$52,0))),0,index(Res_SF_Homes_RECS_2020!$E$2:$E$52,match($B130&amp;AZ$2,Res_SF_Homes_RECS_2020!$B$2:$B$52&amp;Res_SF_Homes_RECS_2020!$A$2:$A$52,0)))</f>
        <v>0</v>
      </c>
      <c r="BA130" s="75">
        <f t="array" ref="BA130">IF(ISERROR(index(Res_SF_Homes_RECS_2020!$E$2:$E$52,match($B130&amp;BA$2,Res_SF_Homes_RECS_2020!$B$2:$B$52&amp;Res_SF_Homes_RECS_2020!$A$2:$A$52,0))),0,index(Res_SF_Homes_RECS_2020!$E$2:$E$52,match($B130&amp;BA$2,Res_SF_Homes_RECS_2020!$B$2:$B$52&amp;Res_SF_Homes_RECS_2020!$A$2:$A$52,0)))</f>
        <v>0</v>
      </c>
      <c r="BB130" s="74">
        <f t="shared" si="19"/>
        <v>28.7</v>
      </c>
    </row>
    <row r="131" ht="15.75" customHeight="1">
      <c r="A131" s="78"/>
      <c r="B131" s="78" t="s">
        <v>4207</v>
      </c>
      <c r="C131" s="74">
        <f t="shared" ref="C131:BA131" si="20">sum(C122:C130)</f>
        <v>3.36</v>
      </c>
      <c r="D131" s="74">
        <f t="shared" si="20"/>
        <v>0.45</v>
      </c>
      <c r="E131" s="74">
        <f t="shared" si="20"/>
        <v>4.58</v>
      </c>
      <c r="F131" s="74">
        <f t="shared" si="20"/>
        <v>2.05</v>
      </c>
      <c r="G131" s="74">
        <f t="shared" si="20"/>
        <v>19.83</v>
      </c>
      <c r="H131" s="74">
        <f t="shared" si="20"/>
        <v>4.52</v>
      </c>
      <c r="I131" s="74">
        <f t="shared" si="20"/>
        <v>2.79</v>
      </c>
      <c r="J131" s="74">
        <f t="shared" si="20"/>
        <v>0.79</v>
      </c>
      <c r="K131" s="74">
        <f t="shared" si="20"/>
        <v>0.38</v>
      </c>
      <c r="L131" s="74">
        <f t="shared" si="20"/>
        <v>13.08</v>
      </c>
      <c r="M131" s="74">
        <f t="shared" si="20"/>
        <v>7.66</v>
      </c>
      <c r="N131" s="74">
        <f t="shared" si="20"/>
        <v>0.69</v>
      </c>
      <c r="O131" s="74">
        <f t="shared" si="20"/>
        <v>1.3</v>
      </c>
      <c r="P131" s="74">
        <f t="shared" si="20"/>
        <v>9.43</v>
      </c>
      <c r="Q131" s="74">
        <f t="shared" si="20"/>
        <v>5.25</v>
      </c>
      <c r="R131" s="74">
        <f t="shared" si="20"/>
        <v>2.7</v>
      </c>
      <c r="S131" s="74">
        <f t="shared" si="20"/>
        <v>2.2</v>
      </c>
      <c r="T131" s="74">
        <f t="shared" si="20"/>
        <v>3.32</v>
      </c>
      <c r="U131" s="74">
        <f t="shared" si="20"/>
        <v>3.01</v>
      </c>
      <c r="V131" s="74">
        <f t="shared" si="20"/>
        <v>1.12</v>
      </c>
      <c r="W131" s="74">
        <f t="shared" si="20"/>
        <v>4.53</v>
      </c>
      <c r="X131" s="74">
        <f t="shared" si="20"/>
        <v>5.03</v>
      </c>
      <c r="Y131" s="74">
        <f t="shared" si="20"/>
        <v>7.95</v>
      </c>
      <c r="Z131" s="74">
        <f t="shared" si="20"/>
        <v>4.45</v>
      </c>
      <c r="AA131" s="74">
        <f t="shared" si="20"/>
        <v>2.01</v>
      </c>
      <c r="AB131" s="74">
        <f t="shared" si="20"/>
        <v>4.96</v>
      </c>
      <c r="AC131" s="74">
        <f t="shared" si="20"/>
        <v>0.81</v>
      </c>
      <c r="AD131" s="74">
        <f t="shared" si="20"/>
        <v>1.48</v>
      </c>
      <c r="AE131" s="74">
        <f t="shared" si="20"/>
        <v>1.84</v>
      </c>
      <c r="AF131" s="74">
        <f t="shared" si="20"/>
        <v>1.13</v>
      </c>
      <c r="AG131" s="74">
        <f t="shared" si="20"/>
        <v>6.35</v>
      </c>
      <c r="AH131" s="74">
        <f t="shared" si="20"/>
        <v>1.32</v>
      </c>
      <c r="AI131" s="74">
        <f t="shared" si="20"/>
        <v>12.14</v>
      </c>
      <c r="AJ131" s="74">
        <f t="shared" si="20"/>
        <v>7.63</v>
      </c>
      <c r="AK131" s="74">
        <f t="shared" si="20"/>
        <v>0.64</v>
      </c>
      <c r="AL131" s="74">
        <f t="shared" si="20"/>
        <v>9.54</v>
      </c>
      <c r="AM131" s="74">
        <f t="shared" si="20"/>
        <v>2.58</v>
      </c>
      <c r="AN131" s="74">
        <f t="shared" si="20"/>
        <v>2.81</v>
      </c>
      <c r="AO131" s="74">
        <f t="shared" si="20"/>
        <v>10.21</v>
      </c>
      <c r="AP131" s="74">
        <f t="shared" si="20"/>
        <v>0.78</v>
      </c>
      <c r="AQ131" s="74">
        <f t="shared" si="20"/>
        <v>3.49</v>
      </c>
      <c r="AR131" s="74">
        <f t="shared" si="20"/>
        <v>0.71</v>
      </c>
      <c r="AS131" s="74">
        <f t="shared" si="20"/>
        <v>5.17</v>
      </c>
      <c r="AT131" s="74">
        <f t="shared" si="20"/>
        <v>17.78</v>
      </c>
      <c r="AU131" s="74">
        <f t="shared" si="20"/>
        <v>2.24</v>
      </c>
      <c r="AV131" s="74">
        <f t="shared" si="20"/>
        <v>0.49</v>
      </c>
      <c r="AW131" s="74">
        <f t="shared" si="20"/>
        <v>6.44</v>
      </c>
      <c r="AX131" s="74">
        <f t="shared" si="20"/>
        <v>4.92</v>
      </c>
      <c r="AY131" s="74">
        <f t="shared" si="20"/>
        <v>1.32</v>
      </c>
      <c r="AZ131" s="74">
        <f t="shared" si="20"/>
        <v>4.94</v>
      </c>
      <c r="BA131" s="74">
        <f t="shared" si="20"/>
        <v>0.43</v>
      </c>
      <c r="BB131" s="74">
        <f t="shared" si="19"/>
        <v>224.63</v>
      </c>
    </row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32" t="s">
        <v>94</v>
      </c>
      <c r="B1" s="32" t="s">
        <v>4010</v>
      </c>
      <c r="C1" s="32" t="s">
        <v>3989</v>
      </c>
      <c r="D1" s="32" t="s">
        <v>3996</v>
      </c>
      <c r="E1" s="32" t="s">
        <v>3992</v>
      </c>
      <c r="F1" s="32" t="s">
        <v>4003</v>
      </c>
      <c r="G1" s="32" t="s">
        <v>3974</v>
      </c>
      <c r="H1" s="32" t="s">
        <v>3985</v>
      </c>
      <c r="I1" s="32" t="s">
        <v>4006</v>
      </c>
      <c r="J1" s="32" t="s">
        <v>4005</v>
      </c>
      <c r="K1" s="32" t="s">
        <v>3987</v>
      </c>
      <c r="L1" s="32" t="s">
        <v>3997</v>
      </c>
      <c r="M1" s="32" t="s">
        <v>3994</v>
      </c>
      <c r="N1" s="32" t="s">
        <v>3988</v>
      </c>
      <c r="O1" s="32" t="s">
        <v>4009</v>
      </c>
      <c r="P1" s="32" t="s">
        <v>3969</v>
      </c>
      <c r="Q1" s="32" t="s">
        <v>3970</v>
      </c>
      <c r="R1" s="32" t="s">
        <v>3976</v>
      </c>
      <c r="S1" s="32" t="s">
        <v>4001</v>
      </c>
      <c r="T1" s="32" t="s">
        <v>3999</v>
      </c>
      <c r="U1" s="32" t="s">
        <v>3972</v>
      </c>
      <c r="V1" s="32" t="s">
        <v>3979</v>
      </c>
      <c r="W1" s="32" t="s">
        <v>3981</v>
      </c>
      <c r="X1" s="32" t="s">
        <v>3980</v>
      </c>
      <c r="Y1" s="32" t="s">
        <v>3983</v>
      </c>
      <c r="Z1" s="32" t="s">
        <v>3990</v>
      </c>
    </row>
    <row r="2" ht="15.75" customHeight="1">
      <c r="A2" s="32">
        <v>1.0</v>
      </c>
      <c r="B2" s="34">
        <f>EMM_State_Elec_Map_NEMS_SEDS!P33/EMM_State_Elec_Map_NEMS_SEDS!$AQ33</f>
        <v>0</v>
      </c>
      <c r="C2" s="34">
        <f>EMM_State_Elec_Map_NEMS_SEDS!Q33/EMM_State_Elec_Map_NEMS_SEDS!$AQ33</f>
        <v>0</v>
      </c>
      <c r="D2" s="34">
        <f>EMM_State_Elec_Map_NEMS_SEDS!R33/EMM_State_Elec_Map_NEMS_SEDS!$AQ33</f>
        <v>0</v>
      </c>
      <c r="E2" s="34">
        <f>EMM_State_Elec_Map_NEMS_SEDS!S33/EMM_State_Elec_Map_NEMS_SEDS!$AQ33</f>
        <v>0</v>
      </c>
      <c r="F2" s="34">
        <f>EMM_State_Elec_Map_NEMS_SEDS!T33/EMM_State_Elec_Map_NEMS_SEDS!$AQ33</f>
        <v>0</v>
      </c>
      <c r="G2" s="34">
        <f>EMM_State_Elec_Map_NEMS_SEDS!U33/EMM_State_Elec_Map_NEMS_SEDS!$AQ33</f>
        <v>0</v>
      </c>
      <c r="H2" s="34">
        <f>EMM_State_Elec_Map_NEMS_SEDS!V33/EMM_State_Elec_Map_NEMS_SEDS!$AQ33</f>
        <v>1</v>
      </c>
      <c r="I2" s="34">
        <f>EMM_State_Elec_Map_NEMS_SEDS!W33/EMM_State_Elec_Map_NEMS_SEDS!$AQ33</f>
        <v>0</v>
      </c>
      <c r="J2" s="34">
        <f>EMM_State_Elec_Map_NEMS_SEDS!X33/EMM_State_Elec_Map_NEMS_SEDS!$AQ33</f>
        <v>0</v>
      </c>
      <c r="K2" s="34">
        <f>EMM_State_Elec_Map_NEMS_SEDS!Y33/EMM_State_Elec_Map_NEMS_SEDS!$AQ33</f>
        <v>0</v>
      </c>
      <c r="L2" s="34">
        <f>EMM_State_Elec_Map_NEMS_SEDS!Z33/EMM_State_Elec_Map_NEMS_SEDS!$AQ33</f>
        <v>0</v>
      </c>
      <c r="M2" s="34">
        <f>EMM_State_Elec_Map_NEMS_SEDS!AA33/EMM_State_Elec_Map_NEMS_SEDS!$AQ33</f>
        <v>0</v>
      </c>
      <c r="N2" s="34">
        <f>EMM_State_Elec_Map_NEMS_SEDS!AB33/EMM_State_Elec_Map_NEMS_SEDS!$AQ33</f>
        <v>0</v>
      </c>
      <c r="O2" s="34">
        <f>EMM_State_Elec_Map_NEMS_SEDS!AC33/EMM_State_Elec_Map_NEMS_SEDS!$AQ33</f>
        <v>0</v>
      </c>
      <c r="P2" s="34">
        <f>EMM_State_Elec_Map_NEMS_SEDS!AD33/EMM_State_Elec_Map_NEMS_SEDS!$AQ33</f>
        <v>0</v>
      </c>
      <c r="Q2" s="34">
        <f>EMM_State_Elec_Map_NEMS_SEDS!AE33/EMM_State_Elec_Map_NEMS_SEDS!$AQ33</f>
        <v>0</v>
      </c>
      <c r="R2" s="34">
        <f>EMM_State_Elec_Map_NEMS_SEDS!AF33/EMM_State_Elec_Map_NEMS_SEDS!$AQ33</f>
        <v>0</v>
      </c>
      <c r="S2" s="34">
        <f>EMM_State_Elec_Map_NEMS_SEDS!AG33/EMM_State_Elec_Map_NEMS_SEDS!$AQ33</f>
        <v>0</v>
      </c>
      <c r="T2" s="34">
        <f>EMM_State_Elec_Map_NEMS_SEDS!AH33/EMM_State_Elec_Map_NEMS_SEDS!$AQ33</f>
        <v>0</v>
      </c>
      <c r="U2" s="34">
        <f>EMM_State_Elec_Map_NEMS_SEDS!AI33/EMM_State_Elec_Map_NEMS_SEDS!$AQ33</f>
        <v>0</v>
      </c>
      <c r="V2" s="34">
        <f>EMM_State_Elec_Map_NEMS_SEDS!AJ33/EMM_State_Elec_Map_NEMS_SEDS!$AQ33</f>
        <v>0</v>
      </c>
      <c r="W2" s="34">
        <f>EMM_State_Elec_Map_NEMS_SEDS!AK33/EMM_State_Elec_Map_NEMS_SEDS!$AQ33</f>
        <v>0</v>
      </c>
      <c r="X2" s="34">
        <f>EMM_State_Elec_Map_NEMS_SEDS!AL33/EMM_State_Elec_Map_NEMS_SEDS!$AQ33</f>
        <v>0</v>
      </c>
      <c r="Y2" s="34">
        <f>EMM_State_Elec_Map_NEMS_SEDS!AM33/EMM_State_Elec_Map_NEMS_SEDS!$AQ33</f>
        <v>0</v>
      </c>
      <c r="Z2" s="34">
        <f>EMM_State_Elec_Map_NEMS_SEDS!AN33/EMM_State_Elec_Map_NEMS_SEDS!$AQ33</f>
        <v>0</v>
      </c>
    </row>
    <row r="3" ht="15.75" customHeight="1">
      <c r="A3" s="32">
        <v>2.0</v>
      </c>
      <c r="B3" s="34">
        <f>EMM_State_Elec_Map_NEMS_SEDS!P34/EMM_State_Elec_Map_NEMS_SEDS!$AQ34</f>
        <v>0</v>
      </c>
      <c r="C3" s="34">
        <f>EMM_State_Elec_Map_NEMS_SEDS!Q34/EMM_State_Elec_Map_NEMS_SEDS!$AQ34</f>
        <v>0</v>
      </c>
      <c r="D3" s="34">
        <f>EMM_State_Elec_Map_NEMS_SEDS!R34/EMM_State_Elec_Map_NEMS_SEDS!$AQ34</f>
        <v>0</v>
      </c>
      <c r="E3" s="34">
        <f>EMM_State_Elec_Map_NEMS_SEDS!S34/EMM_State_Elec_Map_NEMS_SEDS!$AQ34</f>
        <v>0</v>
      </c>
      <c r="F3" s="34">
        <f>EMM_State_Elec_Map_NEMS_SEDS!T34/EMM_State_Elec_Map_NEMS_SEDS!$AQ34</f>
        <v>0</v>
      </c>
      <c r="G3" s="34">
        <f>EMM_State_Elec_Map_NEMS_SEDS!U34/EMM_State_Elec_Map_NEMS_SEDS!$AQ34</f>
        <v>0</v>
      </c>
      <c r="H3" s="34">
        <f>EMM_State_Elec_Map_NEMS_SEDS!V34/EMM_State_Elec_Map_NEMS_SEDS!$AQ34</f>
        <v>0.00006908259042</v>
      </c>
      <c r="I3" s="34">
        <f>EMM_State_Elec_Map_NEMS_SEDS!W34/EMM_State_Elec_Map_NEMS_SEDS!$AQ34</f>
        <v>0.2845602578</v>
      </c>
      <c r="J3" s="34">
        <f>EMM_State_Elec_Map_NEMS_SEDS!X34/EMM_State_Elec_Map_NEMS_SEDS!$AQ34</f>
        <v>0.2056681675</v>
      </c>
      <c r="K3" s="34">
        <f>EMM_State_Elec_Map_NEMS_SEDS!Y34/EMM_State_Elec_Map_NEMS_SEDS!$AQ34</f>
        <v>0.4396056152</v>
      </c>
      <c r="L3" s="34">
        <f>EMM_State_Elec_Map_NEMS_SEDS!Z34/EMM_State_Elec_Map_NEMS_SEDS!$AQ34</f>
        <v>0.07009687693</v>
      </c>
      <c r="M3" s="34">
        <f>EMM_State_Elec_Map_NEMS_SEDS!AA34/EMM_State_Elec_Map_NEMS_SEDS!$AQ34</f>
        <v>0</v>
      </c>
      <c r="N3" s="34">
        <f>EMM_State_Elec_Map_NEMS_SEDS!AB34/EMM_State_Elec_Map_NEMS_SEDS!$AQ34</f>
        <v>0</v>
      </c>
      <c r="O3" s="34">
        <f>EMM_State_Elec_Map_NEMS_SEDS!AC34/EMM_State_Elec_Map_NEMS_SEDS!$AQ34</f>
        <v>0</v>
      </c>
      <c r="P3" s="34">
        <f>EMM_State_Elec_Map_NEMS_SEDS!AD34/EMM_State_Elec_Map_NEMS_SEDS!$AQ34</f>
        <v>0</v>
      </c>
      <c r="Q3" s="34">
        <f>EMM_State_Elec_Map_NEMS_SEDS!AE34/EMM_State_Elec_Map_NEMS_SEDS!$AQ34</f>
        <v>0</v>
      </c>
      <c r="R3" s="34">
        <f>EMM_State_Elec_Map_NEMS_SEDS!AF34/EMM_State_Elec_Map_NEMS_SEDS!$AQ34</f>
        <v>0</v>
      </c>
      <c r="S3" s="34">
        <f>EMM_State_Elec_Map_NEMS_SEDS!AG34/EMM_State_Elec_Map_NEMS_SEDS!$AQ34</f>
        <v>0</v>
      </c>
      <c r="T3" s="34">
        <f>EMM_State_Elec_Map_NEMS_SEDS!AH34/EMM_State_Elec_Map_NEMS_SEDS!$AQ34</f>
        <v>0</v>
      </c>
      <c r="U3" s="34">
        <f>EMM_State_Elec_Map_NEMS_SEDS!AI34/EMM_State_Elec_Map_NEMS_SEDS!$AQ34</f>
        <v>0</v>
      </c>
      <c r="V3" s="34">
        <f>EMM_State_Elec_Map_NEMS_SEDS!AJ34/EMM_State_Elec_Map_NEMS_SEDS!$AQ34</f>
        <v>0</v>
      </c>
      <c r="W3" s="34">
        <f>EMM_State_Elec_Map_NEMS_SEDS!AK34/EMM_State_Elec_Map_NEMS_SEDS!$AQ34</f>
        <v>0</v>
      </c>
      <c r="X3" s="34">
        <f>EMM_State_Elec_Map_NEMS_SEDS!AL34/EMM_State_Elec_Map_NEMS_SEDS!$AQ34</f>
        <v>0</v>
      </c>
      <c r="Y3" s="34">
        <f>EMM_State_Elec_Map_NEMS_SEDS!AM34/EMM_State_Elec_Map_NEMS_SEDS!$AQ34</f>
        <v>0</v>
      </c>
      <c r="Z3" s="34">
        <f>EMM_State_Elec_Map_NEMS_SEDS!AN34/EMM_State_Elec_Map_NEMS_SEDS!$AQ34</f>
        <v>0</v>
      </c>
    </row>
    <row r="4" ht="15.75" customHeight="1">
      <c r="A4" s="32">
        <v>3.0</v>
      </c>
      <c r="B4" s="34">
        <f>EMM_State_Elec_Map_NEMS_SEDS!P35/EMM_State_Elec_Map_NEMS_SEDS!$AQ35</f>
        <v>0</v>
      </c>
      <c r="C4" s="34">
        <f>EMM_State_Elec_Map_NEMS_SEDS!Q35/EMM_State_Elec_Map_NEMS_SEDS!$AQ35</f>
        <v>0</v>
      </c>
      <c r="D4" s="34">
        <f>EMM_State_Elec_Map_NEMS_SEDS!R35/EMM_State_Elec_Map_NEMS_SEDS!$AQ35</f>
        <v>0.1366523024</v>
      </c>
      <c r="E4" s="34">
        <f>EMM_State_Elec_Map_NEMS_SEDS!S35/EMM_State_Elec_Map_NEMS_SEDS!$AQ35</f>
        <v>0.1907018013</v>
      </c>
      <c r="F4" s="34">
        <f>EMM_State_Elec_Map_NEMS_SEDS!T35/EMM_State_Elec_Map_NEMS_SEDS!$AQ35</f>
        <v>0.1980481544</v>
      </c>
      <c r="G4" s="34">
        <f>EMM_State_Elec_Map_NEMS_SEDS!U35/EMM_State_Elec_Map_NEMS_SEDS!$AQ35</f>
        <v>0</v>
      </c>
      <c r="H4" s="34">
        <f>EMM_State_Elec_Map_NEMS_SEDS!V35/EMM_State_Elec_Map_NEMS_SEDS!$AQ35</f>
        <v>0</v>
      </c>
      <c r="I4" s="34">
        <f>EMM_State_Elec_Map_NEMS_SEDS!W35/EMM_State_Elec_Map_NEMS_SEDS!$AQ35</f>
        <v>0</v>
      </c>
      <c r="J4" s="34">
        <f>EMM_State_Elec_Map_NEMS_SEDS!X35/EMM_State_Elec_Map_NEMS_SEDS!$AQ35</f>
        <v>0</v>
      </c>
      <c r="K4" s="34">
        <f>EMM_State_Elec_Map_NEMS_SEDS!Y35/EMM_State_Elec_Map_NEMS_SEDS!$AQ35</f>
        <v>0</v>
      </c>
      <c r="L4" s="34">
        <f>EMM_State_Elec_Map_NEMS_SEDS!Z35/EMM_State_Elec_Map_NEMS_SEDS!$AQ35</f>
        <v>0.2928731982</v>
      </c>
      <c r="M4" s="34">
        <f>EMM_State_Elec_Map_NEMS_SEDS!AA35/EMM_State_Elec_Map_NEMS_SEDS!$AQ35</f>
        <v>0.1817245437</v>
      </c>
      <c r="N4" s="34">
        <f>EMM_State_Elec_Map_NEMS_SEDS!AB35/EMM_State_Elec_Map_NEMS_SEDS!$AQ35</f>
        <v>0</v>
      </c>
      <c r="O4" s="34">
        <f>EMM_State_Elec_Map_NEMS_SEDS!AC35/EMM_State_Elec_Map_NEMS_SEDS!$AQ35</f>
        <v>0</v>
      </c>
      <c r="P4" s="34">
        <f>EMM_State_Elec_Map_NEMS_SEDS!AD35/EMM_State_Elec_Map_NEMS_SEDS!$AQ35</f>
        <v>0</v>
      </c>
      <c r="Q4" s="34">
        <f>EMM_State_Elec_Map_NEMS_SEDS!AE35/EMM_State_Elec_Map_NEMS_SEDS!$AQ35</f>
        <v>0</v>
      </c>
      <c r="R4" s="34">
        <f>EMM_State_Elec_Map_NEMS_SEDS!AF35/EMM_State_Elec_Map_NEMS_SEDS!$AQ35</f>
        <v>0</v>
      </c>
      <c r="S4" s="34">
        <f>EMM_State_Elec_Map_NEMS_SEDS!AG35/EMM_State_Elec_Map_NEMS_SEDS!$AQ35</f>
        <v>0</v>
      </c>
      <c r="T4" s="34">
        <f>EMM_State_Elec_Map_NEMS_SEDS!AH35/EMM_State_Elec_Map_NEMS_SEDS!$AQ35</f>
        <v>0</v>
      </c>
      <c r="U4" s="34">
        <f>EMM_State_Elec_Map_NEMS_SEDS!AI35/EMM_State_Elec_Map_NEMS_SEDS!$AQ35</f>
        <v>0</v>
      </c>
      <c r="V4" s="34">
        <f>EMM_State_Elec_Map_NEMS_SEDS!AJ35/EMM_State_Elec_Map_NEMS_SEDS!$AQ35</f>
        <v>0</v>
      </c>
      <c r="W4" s="34">
        <f>EMM_State_Elec_Map_NEMS_SEDS!AK35/EMM_State_Elec_Map_NEMS_SEDS!$AQ35</f>
        <v>0</v>
      </c>
      <c r="X4" s="34">
        <f>EMM_State_Elec_Map_NEMS_SEDS!AL35/EMM_State_Elec_Map_NEMS_SEDS!$AQ35</f>
        <v>0</v>
      </c>
      <c r="Y4" s="34">
        <f>EMM_State_Elec_Map_NEMS_SEDS!AM35/EMM_State_Elec_Map_NEMS_SEDS!$AQ35</f>
        <v>0</v>
      </c>
      <c r="Z4" s="34">
        <f>EMM_State_Elec_Map_NEMS_SEDS!AN35/EMM_State_Elec_Map_NEMS_SEDS!$AQ35</f>
        <v>0</v>
      </c>
    </row>
    <row r="5" ht="15.75" customHeight="1">
      <c r="A5" s="32">
        <v>4.0</v>
      </c>
      <c r="B5" s="34">
        <f>EMM_State_Elec_Map_NEMS_SEDS!P36/EMM_State_Elec_Map_NEMS_SEDS!$AQ36</f>
        <v>0</v>
      </c>
      <c r="C5" s="34">
        <f>EMM_State_Elec_Map_NEMS_SEDS!Q36/EMM_State_Elec_Map_NEMS_SEDS!$AQ36</f>
        <v>0</v>
      </c>
      <c r="D5" s="34">
        <f>EMM_State_Elec_Map_NEMS_SEDS!R36/EMM_State_Elec_Map_NEMS_SEDS!$AQ36</f>
        <v>0.3911829948</v>
      </c>
      <c r="E5" s="34">
        <f>EMM_State_Elec_Map_NEMS_SEDS!S36/EMM_State_Elec_Map_NEMS_SEDS!$AQ36</f>
        <v>0.1760895523</v>
      </c>
      <c r="F5" s="34">
        <f>EMM_State_Elec_Map_NEMS_SEDS!T36/EMM_State_Elec_Map_NEMS_SEDS!$AQ36</f>
        <v>0.0000004547874521</v>
      </c>
      <c r="G5" s="34">
        <f>EMM_State_Elec_Map_NEMS_SEDS!U36/EMM_State_Elec_Map_NEMS_SEDS!$AQ36</f>
        <v>0.0000005899054632</v>
      </c>
      <c r="H5" s="34">
        <f>EMM_State_Elec_Map_NEMS_SEDS!V36/EMM_State_Elec_Map_NEMS_SEDS!$AQ36</f>
        <v>0</v>
      </c>
      <c r="I5" s="34">
        <f>EMM_State_Elec_Map_NEMS_SEDS!W36/EMM_State_Elec_Map_NEMS_SEDS!$AQ36</f>
        <v>0</v>
      </c>
      <c r="J5" s="34">
        <f>EMM_State_Elec_Map_NEMS_SEDS!X36/EMM_State_Elec_Map_NEMS_SEDS!$AQ36</f>
        <v>0</v>
      </c>
      <c r="K5" s="34">
        <f>EMM_State_Elec_Map_NEMS_SEDS!Y36/EMM_State_Elec_Map_NEMS_SEDS!$AQ36</f>
        <v>0</v>
      </c>
      <c r="L5" s="34">
        <f>EMM_State_Elec_Map_NEMS_SEDS!Z36/EMM_State_Elec_Map_NEMS_SEDS!$AQ36</f>
        <v>0</v>
      </c>
      <c r="M5" s="34">
        <f>EMM_State_Elec_Map_NEMS_SEDS!AA36/EMM_State_Elec_Map_NEMS_SEDS!$AQ36</f>
        <v>0</v>
      </c>
      <c r="N5" s="34">
        <f>EMM_State_Elec_Map_NEMS_SEDS!AB36/EMM_State_Elec_Map_NEMS_SEDS!$AQ36</f>
        <v>0</v>
      </c>
      <c r="O5" s="34">
        <f>EMM_State_Elec_Map_NEMS_SEDS!AC36/EMM_State_Elec_Map_NEMS_SEDS!$AQ36</f>
        <v>0</v>
      </c>
      <c r="P5" s="34">
        <f>EMM_State_Elec_Map_NEMS_SEDS!AD36/EMM_State_Elec_Map_NEMS_SEDS!$AQ36</f>
        <v>0</v>
      </c>
      <c r="Q5" s="34">
        <f>EMM_State_Elec_Map_NEMS_SEDS!AE36/EMM_State_Elec_Map_NEMS_SEDS!$AQ36</f>
        <v>0</v>
      </c>
      <c r="R5" s="34">
        <f>EMM_State_Elec_Map_NEMS_SEDS!AF36/EMM_State_Elec_Map_NEMS_SEDS!$AQ36</f>
        <v>0</v>
      </c>
      <c r="S5" s="34">
        <f>EMM_State_Elec_Map_NEMS_SEDS!AG36/EMM_State_Elec_Map_NEMS_SEDS!$AQ36</f>
        <v>0.2734586198</v>
      </c>
      <c r="T5" s="34">
        <f>EMM_State_Elec_Map_NEMS_SEDS!AH36/EMM_State_Elec_Map_NEMS_SEDS!$AQ36</f>
        <v>0.1427800559</v>
      </c>
      <c r="U5" s="34">
        <f>EMM_State_Elec_Map_NEMS_SEDS!AI36/EMM_State_Elec_Map_NEMS_SEDS!$AQ36</f>
        <v>0</v>
      </c>
      <c r="V5" s="34">
        <f>EMM_State_Elec_Map_NEMS_SEDS!AJ36/EMM_State_Elec_Map_NEMS_SEDS!$AQ36</f>
        <v>0</v>
      </c>
      <c r="W5" s="34">
        <f>EMM_State_Elec_Map_NEMS_SEDS!AK36/EMM_State_Elec_Map_NEMS_SEDS!$AQ36</f>
        <v>0</v>
      </c>
      <c r="X5" s="34">
        <f>EMM_State_Elec_Map_NEMS_SEDS!AL36/EMM_State_Elec_Map_NEMS_SEDS!$AQ36</f>
        <v>0</v>
      </c>
      <c r="Y5" s="34">
        <f>EMM_State_Elec_Map_NEMS_SEDS!AM36/EMM_State_Elec_Map_NEMS_SEDS!$AQ36</f>
        <v>0.01648773576</v>
      </c>
      <c r="Z5" s="34">
        <f>EMM_State_Elec_Map_NEMS_SEDS!AN36/EMM_State_Elec_Map_NEMS_SEDS!$AQ36</f>
        <v>0</v>
      </c>
    </row>
    <row r="6" ht="15.75" customHeight="1">
      <c r="A6" s="32">
        <v>5.0</v>
      </c>
      <c r="B6" s="34">
        <f>EMM_State_Elec_Map_NEMS_SEDS!P37/EMM_State_Elec_Map_NEMS_SEDS!$AQ37</f>
        <v>0</v>
      </c>
      <c r="C6" s="34">
        <f>EMM_State_Elec_Map_NEMS_SEDS!Q37/EMM_State_Elec_Map_NEMS_SEDS!$AQ37</f>
        <v>0.2911916089</v>
      </c>
      <c r="D6" s="34">
        <f>EMM_State_Elec_Map_NEMS_SEDS!R37/EMM_State_Elec_Map_NEMS_SEDS!$AQ37</f>
        <v>0</v>
      </c>
      <c r="E6" s="34">
        <f>EMM_State_Elec_Map_NEMS_SEDS!S37/EMM_State_Elec_Map_NEMS_SEDS!$AQ37</f>
        <v>0</v>
      </c>
      <c r="F6" s="34">
        <f>EMM_State_Elec_Map_NEMS_SEDS!T37/EMM_State_Elec_Map_NEMS_SEDS!$AQ37</f>
        <v>0</v>
      </c>
      <c r="G6" s="34">
        <f>EMM_State_Elec_Map_NEMS_SEDS!U37/EMM_State_Elec_Map_NEMS_SEDS!$AQ37</f>
        <v>0</v>
      </c>
      <c r="H6" s="34">
        <f>EMM_State_Elec_Map_NEMS_SEDS!V37/EMM_State_Elec_Map_NEMS_SEDS!$AQ37</f>
        <v>0</v>
      </c>
      <c r="I6" s="34">
        <f>EMM_State_Elec_Map_NEMS_SEDS!W37/EMM_State_Elec_Map_NEMS_SEDS!$AQ37</f>
        <v>0</v>
      </c>
      <c r="J6" s="34">
        <f>EMM_State_Elec_Map_NEMS_SEDS!X37/EMM_State_Elec_Map_NEMS_SEDS!$AQ37</f>
        <v>0</v>
      </c>
      <c r="K6" s="34">
        <f>EMM_State_Elec_Map_NEMS_SEDS!Y37/EMM_State_Elec_Map_NEMS_SEDS!$AQ37</f>
        <v>0.1228172003</v>
      </c>
      <c r="L6" s="34">
        <f>EMM_State_Elec_Map_NEMS_SEDS!Z37/EMM_State_Elec_Map_NEMS_SEDS!$AQ37</f>
        <v>0.04847171957</v>
      </c>
      <c r="M6" s="34">
        <f>EMM_State_Elec_Map_NEMS_SEDS!AA37/EMM_State_Elec_Map_NEMS_SEDS!$AQ37</f>
        <v>0</v>
      </c>
      <c r="N6" s="34">
        <f>EMM_State_Elec_Map_NEMS_SEDS!AB37/EMM_State_Elec_Map_NEMS_SEDS!$AQ37</f>
        <v>0.1545423083</v>
      </c>
      <c r="O6" s="34">
        <f>EMM_State_Elec_Map_NEMS_SEDS!AC37/EMM_State_Elec_Map_NEMS_SEDS!$AQ37</f>
        <v>0.2189866997</v>
      </c>
      <c r="P6" s="34">
        <f>EMM_State_Elec_Map_NEMS_SEDS!AD37/EMM_State_Elec_Map_NEMS_SEDS!$AQ37</f>
        <v>0.1588286798</v>
      </c>
      <c r="Q6" s="34">
        <f>EMM_State_Elec_Map_NEMS_SEDS!AE37/EMM_State_Elec_Map_NEMS_SEDS!$AQ37</f>
        <v>0.005161783523</v>
      </c>
      <c r="R6" s="34">
        <f>EMM_State_Elec_Map_NEMS_SEDS!AF37/EMM_State_Elec_Map_NEMS_SEDS!$AQ37</f>
        <v>0</v>
      </c>
      <c r="S6" s="34">
        <f>EMM_State_Elec_Map_NEMS_SEDS!AG37/EMM_State_Elec_Map_NEMS_SEDS!$AQ37</f>
        <v>0</v>
      </c>
      <c r="T6" s="34">
        <f>EMM_State_Elec_Map_NEMS_SEDS!AH37/EMM_State_Elec_Map_NEMS_SEDS!$AQ37</f>
        <v>0</v>
      </c>
      <c r="U6" s="34">
        <f>EMM_State_Elec_Map_NEMS_SEDS!AI37/EMM_State_Elec_Map_NEMS_SEDS!$AQ37</f>
        <v>0</v>
      </c>
      <c r="V6" s="34">
        <f>EMM_State_Elec_Map_NEMS_SEDS!AJ37/EMM_State_Elec_Map_NEMS_SEDS!$AQ37</f>
        <v>0</v>
      </c>
      <c r="W6" s="34">
        <f>EMM_State_Elec_Map_NEMS_SEDS!AK37/EMM_State_Elec_Map_NEMS_SEDS!$AQ37</f>
        <v>0</v>
      </c>
      <c r="X6" s="34">
        <f>EMM_State_Elec_Map_NEMS_SEDS!AL37/EMM_State_Elec_Map_NEMS_SEDS!$AQ37</f>
        <v>0</v>
      </c>
      <c r="Y6" s="34">
        <f>EMM_State_Elec_Map_NEMS_SEDS!AM37/EMM_State_Elec_Map_NEMS_SEDS!$AQ37</f>
        <v>0</v>
      </c>
      <c r="Z6" s="34">
        <f>EMM_State_Elec_Map_NEMS_SEDS!AN37/EMM_State_Elec_Map_NEMS_SEDS!$AQ37</f>
        <v>0</v>
      </c>
    </row>
    <row r="7" ht="15.75" customHeight="1">
      <c r="A7" s="32">
        <v>6.0</v>
      </c>
      <c r="B7" s="34">
        <f>EMM_State_Elec_Map_NEMS_SEDS!P38/EMM_State_Elec_Map_NEMS_SEDS!$AQ38</f>
        <v>0</v>
      </c>
      <c r="C7" s="34">
        <f>EMM_State_Elec_Map_NEMS_SEDS!Q38/EMM_State_Elec_Map_NEMS_SEDS!$AQ38</f>
        <v>0</v>
      </c>
      <c r="D7" s="34">
        <f>EMM_State_Elec_Map_NEMS_SEDS!R38/EMM_State_Elec_Map_NEMS_SEDS!$AQ38</f>
        <v>0</v>
      </c>
      <c r="E7" s="34">
        <f>EMM_State_Elec_Map_NEMS_SEDS!S38/EMM_State_Elec_Map_NEMS_SEDS!$AQ38</f>
        <v>0.007939791237</v>
      </c>
      <c r="F7" s="34">
        <f>EMM_State_Elec_Map_NEMS_SEDS!T38/EMM_State_Elec_Map_NEMS_SEDS!$AQ38</f>
        <v>0</v>
      </c>
      <c r="G7" s="34">
        <f>EMM_State_Elec_Map_NEMS_SEDS!U38/EMM_State_Elec_Map_NEMS_SEDS!$AQ38</f>
        <v>0.07358249443</v>
      </c>
      <c r="H7" s="34">
        <f>EMM_State_Elec_Map_NEMS_SEDS!V38/EMM_State_Elec_Map_NEMS_SEDS!$AQ38</f>
        <v>0</v>
      </c>
      <c r="I7" s="34">
        <f>EMM_State_Elec_Map_NEMS_SEDS!W38/EMM_State_Elec_Map_NEMS_SEDS!$AQ38</f>
        <v>0</v>
      </c>
      <c r="J7" s="34">
        <f>EMM_State_Elec_Map_NEMS_SEDS!X38/EMM_State_Elec_Map_NEMS_SEDS!$AQ38</f>
        <v>0</v>
      </c>
      <c r="K7" s="34">
        <f>EMM_State_Elec_Map_NEMS_SEDS!Y38/EMM_State_Elec_Map_NEMS_SEDS!$AQ38</f>
        <v>0</v>
      </c>
      <c r="L7" s="34">
        <f>EMM_State_Elec_Map_NEMS_SEDS!Z38/EMM_State_Elec_Map_NEMS_SEDS!$AQ38</f>
        <v>0.05524543772</v>
      </c>
      <c r="M7" s="34">
        <f>EMM_State_Elec_Map_NEMS_SEDS!AA38/EMM_State_Elec_Map_NEMS_SEDS!$AQ38</f>
        <v>0</v>
      </c>
      <c r="N7" s="34">
        <f>EMM_State_Elec_Map_NEMS_SEDS!AB38/EMM_State_Elec_Map_NEMS_SEDS!$AQ38</f>
        <v>0</v>
      </c>
      <c r="O7" s="34">
        <f>EMM_State_Elec_Map_NEMS_SEDS!AC38/EMM_State_Elec_Map_NEMS_SEDS!$AQ38</f>
        <v>0.000005035815339</v>
      </c>
      <c r="P7" s="34">
        <f>EMM_State_Elec_Map_NEMS_SEDS!AD38/EMM_State_Elec_Map_NEMS_SEDS!$AQ38</f>
        <v>0.2126583108</v>
      </c>
      <c r="Q7" s="34">
        <f>EMM_State_Elec_Map_NEMS_SEDS!AE38/EMM_State_Elec_Map_NEMS_SEDS!$AQ38</f>
        <v>0.65056893</v>
      </c>
      <c r="R7" s="34">
        <f>EMM_State_Elec_Map_NEMS_SEDS!AF38/EMM_State_Elec_Map_NEMS_SEDS!$AQ38</f>
        <v>0</v>
      </c>
      <c r="S7" s="34">
        <f>EMM_State_Elec_Map_NEMS_SEDS!AG38/EMM_State_Elec_Map_NEMS_SEDS!$AQ38</f>
        <v>0</v>
      </c>
      <c r="T7" s="34">
        <f>EMM_State_Elec_Map_NEMS_SEDS!AH38/EMM_State_Elec_Map_NEMS_SEDS!$AQ38</f>
        <v>0</v>
      </c>
      <c r="U7" s="34">
        <f>EMM_State_Elec_Map_NEMS_SEDS!AI38/EMM_State_Elec_Map_NEMS_SEDS!$AQ38</f>
        <v>0</v>
      </c>
      <c r="V7" s="34">
        <f>EMM_State_Elec_Map_NEMS_SEDS!AJ38/EMM_State_Elec_Map_NEMS_SEDS!$AQ38</f>
        <v>0</v>
      </c>
      <c r="W7" s="34">
        <f>EMM_State_Elec_Map_NEMS_SEDS!AK38/EMM_State_Elec_Map_NEMS_SEDS!$AQ38</f>
        <v>0</v>
      </c>
      <c r="X7" s="34">
        <f>EMM_State_Elec_Map_NEMS_SEDS!AL38/EMM_State_Elec_Map_NEMS_SEDS!$AQ38</f>
        <v>0</v>
      </c>
      <c r="Y7" s="34">
        <f>EMM_State_Elec_Map_NEMS_SEDS!AM38/EMM_State_Elec_Map_NEMS_SEDS!$AQ38</f>
        <v>0</v>
      </c>
      <c r="Z7" s="34">
        <f>EMM_State_Elec_Map_NEMS_SEDS!AN38/EMM_State_Elec_Map_NEMS_SEDS!$AQ38</f>
        <v>0</v>
      </c>
    </row>
    <row r="8" ht="15.75" customHeight="1">
      <c r="A8" s="32">
        <v>7.0</v>
      </c>
      <c r="B8" s="34">
        <f>EMM_State_Elec_Map_NEMS_SEDS!P39/EMM_State_Elec_Map_NEMS_SEDS!$AQ39</f>
        <v>0.628033911</v>
      </c>
      <c r="C8" s="34">
        <f>EMM_State_Elec_Map_NEMS_SEDS!Q39/EMM_State_Elec_Map_NEMS_SEDS!$AQ39</f>
        <v>0</v>
      </c>
      <c r="D8" s="34">
        <f>EMM_State_Elec_Map_NEMS_SEDS!R39/EMM_State_Elec_Map_NEMS_SEDS!$AQ39</f>
        <v>0</v>
      </c>
      <c r="E8" s="34">
        <f>EMM_State_Elec_Map_NEMS_SEDS!S39/EMM_State_Elec_Map_NEMS_SEDS!$AQ39</f>
        <v>0</v>
      </c>
      <c r="F8" s="34">
        <f>EMM_State_Elec_Map_NEMS_SEDS!T39/EMM_State_Elec_Map_NEMS_SEDS!$AQ39</f>
        <v>0</v>
      </c>
      <c r="G8" s="34">
        <f>EMM_State_Elec_Map_NEMS_SEDS!U39/EMM_State_Elec_Map_NEMS_SEDS!$AQ39</f>
        <v>0.1754645601</v>
      </c>
      <c r="H8" s="34">
        <f>EMM_State_Elec_Map_NEMS_SEDS!V39/EMM_State_Elec_Map_NEMS_SEDS!$AQ39</f>
        <v>0</v>
      </c>
      <c r="I8" s="34">
        <f>EMM_State_Elec_Map_NEMS_SEDS!W39/EMM_State_Elec_Map_NEMS_SEDS!$AQ39</f>
        <v>0</v>
      </c>
      <c r="J8" s="34">
        <f>EMM_State_Elec_Map_NEMS_SEDS!X39/EMM_State_Elec_Map_NEMS_SEDS!$AQ39</f>
        <v>0</v>
      </c>
      <c r="K8" s="34">
        <f>EMM_State_Elec_Map_NEMS_SEDS!Y39/EMM_State_Elec_Map_NEMS_SEDS!$AQ39</f>
        <v>0</v>
      </c>
      <c r="L8" s="34">
        <f>EMM_State_Elec_Map_NEMS_SEDS!Z39/EMM_State_Elec_Map_NEMS_SEDS!$AQ39</f>
        <v>0</v>
      </c>
      <c r="M8" s="34">
        <f>EMM_State_Elec_Map_NEMS_SEDS!AA39/EMM_State_Elec_Map_NEMS_SEDS!$AQ39</f>
        <v>0</v>
      </c>
      <c r="N8" s="34">
        <f>EMM_State_Elec_Map_NEMS_SEDS!AB39/EMM_State_Elec_Map_NEMS_SEDS!$AQ39</f>
        <v>0</v>
      </c>
      <c r="O8" s="34">
        <f>EMM_State_Elec_Map_NEMS_SEDS!AC39/EMM_State_Elec_Map_NEMS_SEDS!$AQ39</f>
        <v>0</v>
      </c>
      <c r="P8" s="34">
        <f>EMM_State_Elec_Map_NEMS_SEDS!AD39/EMM_State_Elec_Map_NEMS_SEDS!$AQ39</f>
        <v>0</v>
      </c>
      <c r="Q8" s="34">
        <f>EMM_State_Elec_Map_NEMS_SEDS!AE39/EMM_State_Elec_Map_NEMS_SEDS!$AQ39</f>
        <v>0</v>
      </c>
      <c r="R8" s="34">
        <f>EMM_State_Elec_Map_NEMS_SEDS!AF39/EMM_State_Elec_Map_NEMS_SEDS!$AQ39</f>
        <v>0.1810732722</v>
      </c>
      <c r="S8" s="34">
        <f>EMM_State_Elec_Map_NEMS_SEDS!AG39/EMM_State_Elec_Map_NEMS_SEDS!$AQ39</f>
        <v>0.0001127416157</v>
      </c>
      <c r="T8" s="34">
        <f>EMM_State_Elec_Map_NEMS_SEDS!AH39/EMM_State_Elec_Map_NEMS_SEDS!$AQ39</f>
        <v>0</v>
      </c>
      <c r="U8" s="34">
        <f>EMM_State_Elec_Map_NEMS_SEDS!AI39/EMM_State_Elec_Map_NEMS_SEDS!$AQ39</f>
        <v>0.01531551513</v>
      </c>
      <c r="V8" s="34">
        <f>EMM_State_Elec_Map_NEMS_SEDS!AJ39/EMM_State_Elec_Map_NEMS_SEDS!$AQ39</f>
        <v>0</v>
      </c>
      <c r="W8" s="34">
        <f>EMM_State_Elec_Map_NEMS_SEDS!AK39/EMM_State_Elec_Map_NEMS_SEDS!$AQ39</f>
        <v>0</v>
      </c>
      <c r="X8" s="34">
        <f>EMM_State_Elec_Map_NEMS_SEDS!AL39/EMM_State_Elec_Map_NEMS_SEDS!$AQ39</f>
        <v>0</v>
      </c>
      <c r="Y8" s="34">
        <f>EMM_State_Elec_Map_NEMS_SEDS!AM39/EMM_State_Elec_Map_NEMS_SEDS!$AQ39</f>
        <v>0</v>
      </c>
      <c r="Z8" s="34">
        <f>EMM_State_Elec_Map_NEMS_SEDS!AN39/EMM_State_Elec_Map_NEMS_SEDS!$AQ39</f>
        <v>0</v>
      </c>
    </row>
    <row r="9" ht="15.75" customHeight="1">
      <c r="A9" s="32">
        <v>8.0</v>
      </c>
      <c r="B9" s="34">
        <f>EMM_State_Elec_Map_NEMS_SEDS!P40/EMM_State_Elec_Map_NEMS_SEDS!$AQ40</f>
        <v>0</v>
      </c>
      <c r="C9" s="34">
        <f>EMM_State_Elec_Map_NEMS_SEDS!Q40/EMM_State_Elec_Map_NEMS_SEDS!$AQ40</f>
        <v>0</v>
      </c>
      <c r="D9" s="34">
        <f>EMM_State_Elec_Map_NEMS_SEDS!R40/EMM_State_Elec_Map_NEMS_SEDS!$AQ40</f>
        <v>0</v>
      </c>
      <c r="E9" s="34">
        <f>EMM_State_Elec_Map_NEMS_SEDS!S40/EMM_State_Elec_Map_NEMS_SEDS!$AQ40</f>
        <v>0</v>
      </c>
      <c r="F9" s="34">
        <f>EMM_State_Elec_Map_NEMS_SEDS!T40/EMM_State_Elec_Map_NEMS_SEDS!$AQ40</f>
        <v>0</v>
      </c>
      <c r="G9" s="34">
        <f>EMM_State_Elec_Map_NEMS_SEDS!U40/EMM_State_Elec_Map_NEMS_SEDS!$AQ40</f>
        <v>0</v>
      </c>
      <c r="H9" s="34">
        <f>EMM_State_Elec_Map_NEMS_SEDS!V40/EMM_State_Elec_Map_NEMS_SEDS!$AQ40</f>
        <v>0</v>
      </c>
      <c r="I9" s="34">
        <f>EMM_State_Elec_Map_NEMS_SEDS!W40/EMM_State_Elec_Map_NEMS_SEDS!$AQ40</f>
        <v>0</v>
      </c>
      <c r="J9" s="34">
        <f>EMM_State_Elec_Map_NEMS_SEDS!X40/EMM_State_Elec_Map_NEMS_SEDS!$AQ40</f>
        <v>0</v>
      </c>
      <c r="K9" s="34">
        <f>EMM_State_Elec_Map_NEMS_SEDS!Y40/EMM_State_Elec_Map_NEMS_SEDS!$AQ40</f>
        <v>0</v>
      </c>
      <c r="L9" s="34">
        <f>EMM_State_Elec_Map_NEMS_SEDS!Z40/EMM_State_Elec_Map_NEMS_SEDS!$AQ40</f>
        <v>0</v>
      </c>
      <c r="M9" s="34">
        <f>EMM_State_Elec_Map_NEMS_SEDS!AA40/EMM_State_Elec_Map_NEMS_SEDS!$AQ40</f>
        <v>0</v>
      </c>
      <c r="N9" s="34">
        <f>EMM_State_Elec_Map_NEMS_SEDS!AB40/EMM_State_Elec_Map_NEMS_SEDS!$AQ40</f>
        <v>0</v>
      </c>
      <c r="O9" s="34">
        <f>EMM_State_Elec_Map_NEMS_SEDS!AC40/EMM_State_Elec_Map_NEMS_SEDS!$AQ40</f>
        <v>0</v>
      </c>
      <c r="P9" s="34">
        <f>EMM_State_Elec_Map_NEMS_SEDS!AD40/EMM_State_Elec_Map_NEMS_SEDS!$AQ40</f>
        <v>0</v>
      </c>
      <c r="Q9" s="34">
        <f>EMM_State_Elec_Map_NEMS_SEDS!AE40/EMM_State_Elec_Map_NEMS_SEDS!$AQ40</f>
        <v>0</v>
      </c>
      <c r="R9" s="34">
        <f>EMM_State_Elec_Map_NEMS_SEDS!AF40/EMM_State_Elec_Map_NEMS_SEDS!$AQ40</f>
        <v>0.02613874831</v>
      </c>
      <c r="S9" s="34">
        <f>EMM_State_Elec_Map_NEMS_SEDS!AG40/EMM_State_Elec_Map_NEMS_SEDS!$AQ40</f>
        <v>0.00004937708933</v>
      </c>
      <c r="T9" s="34">
        <f>EMM_State_Elec_Map_NEMS_SEDS!AH40/EMM_State_Elec_Map_NEMS_SEDS!$AQ40</f>
        <v>0.004645037085</v>
      </c>
      <c r="U9" s="34">
        <f>EMM_State_Elec_Map_NEMS_SEDS!AI40/EMM_State_Elec_Map_NEMS_SEDS!$AQ40</f>
        <v>0.3603527703</v>
      </c>
      <c r="V9" s="34">
        <f>EMM_State_Elec_Map_NEMS_SEDS!AJ40/EMM_State_Elec_Map_NEMS_SEDS!$AQ40</f>
        <v>0.00000003419702842</v>
      </c>
      <c r="W9" s="34">
        <f>EMM_State_Elec_Map_NEMS_SEDS!AK40/EMM_State_Elec_Map_NEMS_SEDS!$AQ40</f>
        <v>0.0000004719189921</v>
      </c>
      <c r="X9" s="34">
        <f>EMM_State_Elec_Map_NEMS_SEDS!AL40/EMM_State_Elec_Map_NEMS_SEDS!$AQ40</f>
        <v>0.0667375391</v>
      </c>
      <c r="Y9" s="34">
        <f>EMM_State_Elec_Map_NEMS_SEDS!AM40/EMM_State_Elec_Map_NEMS_SEDS!$AQ40</f>
        <v>0.23808373</v>
      </c>
      <c r="Z9" s="34">
        <f>EMM_State_Elec_Map_NEMS_SEDS!AN40/EMM_State_Elec_Map_NEMS_SEDS!$AQ40</f>
        <v>0.3039922955</v>
      </c>
    </row>
    <row r="10" ht="15.75" customHeight="1">
      <c r="A10" s="32">
        <v>9.0</v>
      </c>
      <c r="B10" s="34">
        <f>EMM_State_Elec_Map_NEMS_SEDS!P41/EMM_State_Elec_Map_NEMS_SEDS!$AQ41</f>
        <v>0</v>
      </c>
      <c r="C10" s="34">
        <f>EMM_State_Elec_Map_NEMS_SEDS!Q41/EMM_State_Elec_Map_NEMS_SEDS!$AQ41</f>
        <v>0</v>
      </c>
      <c r="D10" s="34">
        <f>EMM_State_Elec_Map_NEMS_SEDS!R41/EMM_State_Elec_Map_NEMS_SEDS!$AQ41</f>
        <v>0</v>
      </c>
      <c r="E10" s="34">
        <f>EMM_State_Elec_Map_NEMS_SEDS!S41/EMM_State_Elec_Map_NEMS_SEDS!$AQ41</f>
        <v>0</v>
      </c>
      <c r="F10" s="34">
        <f>EMM_State_Elec_Map_NEMS_SEDS!T41/EMM_State_Elec_Map_NEMS_SEDS!$AQ41</f>
        <v>0</v>
      </c>
      <c r="G10" s="34">
        <f>EMM_State_Elec_Map_NEMS_SEDS!U41/EMM_State_Elec_Map_NEMS_SEDS!$AQ41</f>
        <v>0</v>
      </c>
      <c r="H10" s="34">
        <f>EMM_State_Elec_Map_NEMS_SEDS!V41/EMM_State_Elec_Map_NEMS_SEDS!$AQ41</f>
        <v>0</v>
      </c>
      <c r="I10" s="34">
        <f>EMM_State_Elec_Map_NEMS_SEDS!W41/EMM_State_Elec_Map_NEMS_SEDS!$AQ41</f>
        <v>0</v>
      </c>
      <c r="J10" s="34">
        <f>EMM_State_Elec_Map_NEMS_SEDS!X41/EMM_State_Elec_Map_NEMS_SEDS!$AQ41</f>
        <v>0</v>
      </c>
      <c r="K10" s="34">
        <f>EMM_State_Elec_Map_NEMS_SEDS!Y41/EMM_State_Elec_Map_NEMS_SEDS!$AQ41</f>
        <v>0</v>
      </c>
      <c r="L10" s="34">
        <f>EMM_State_Elec_Map_NEMS_SEDS!Z41/EMM_State_Elec_Map_NEMS_SEDS!$AQ41</f>
        <v>0</v>
      </c>
      <c r="M10" s="34">
        <f>EMM_State_Elec_Map_NEMS_SEDS!AA41/EMM_State_Elec_Map_NEMS_SEDS!$AQ41</f>
        <v>0</v>
      </c>
      <c r="N10" s="34">
        <f>EMM_State_Elec_Map_NEMS_SEDS!AB41/EMM_State_Elec_Map_NEMS_SEDS!$AQ41</f>
        <v>0</v>
      </c>
      <c r="O10" s="34">
        <f>EMM_State_Elec_Map_NEMS_SEDS!AC41/EMM_State_Elec_Map_NEMS_SEDS!$AQ41</f>
        <v>0</v>
      </c>
      <c r="P10" s="34">
        <f>EMM_State_Elec_Map_NEMS_SEDS!AD41/EMM_State_Elec_Map_NEMS_SEDS!$AQ41</f>
        <v>0</v>
      </c>
      <c r="Q10" s="34">
        <f>EMM_State_Elec_Map_NEMS_SEDS!AE41/EMM_State_Elec_Map_NEMS_SEDS!$AQ41</f>
        <v>0</v>
      </c>
      <c r="R10" s="34">
        <f>EMM_State_Elec_Map_NEMS_SEDS!AF41/EMM_State_Elec_Map_NEMS_SEDS!$AQ41</f>
        <v>0</v>
      </c>
      <c r="S10" s="34">
        <f>EMM_State_Elec_Map_NEMS_SEDS!AG41/EMM_State_Elec_Map_NEMS_SEDS!$AQ41</f>
        <v>0</v>
      </c>
      <c r="T10" s="34">
        <f>EMM_State_Elec_Map_NEMS_SEDS!AH41/EMM_State_Elec_Map_NEMS_SEDS!$AQ41</f>
        <v>0</v>
      </c>
      <c r="U10" s="34">
        <f>EMM_State_Elec_Map_NEMS_SEDS!AI41/EMM_State_Elec_Map_NEMS_SEDS!$AQ41</f>
        <v>0.01800455278</v>
      </c>
      <c r="V10" s="34">
        <f>EMM_State_Elec_Map_NEMS_SEDS!AJ41/EMM_State_Elec_Map_NEMS_SEDS!$AQ41</f>
        <v>0.2642246978</v>
      </c>
      <c r="W10" s="34">
        <f>EMM_State_Elec_Map_NEMS_SEDS!AK41/EMM_State_Elec_Map_NEMS_SEDS!$AQ41</f>
        <v>0.4061722773</v>
      </c>
      <c r="X10" s="34">
        <f>EMM_State_Elec_Map_NEMS_SEDS!AL41/EMM_State_Elec_Map_NEMS_SEDS!$AQ41</f>
        <v>0.2762835046</v>
      </c>
      <c r="Y10" s="34">
        <f>EMM_State_Elec_Map_NEMS_SEDS!AM41/EMM_State_Elec_Map_NEMS_SEDS!$AQ41</f>
        <v>0</v>
      </c>
      <c r="Z10" s="34">
        <f>EMM_State_Elec_Map_NEMS_SEDS!AN41/EMM_State_Elec_Map_NEMS_SEDS!$AQ41</f>
        <v>0.001349875274</v>
      </c>
    </row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32" t="s">
        <v>94</v>
      </c>
      <c r="B1" s="32" t="s">
        <v>4010</v>
      </c>
      <c r="C1" s="32" t="s">
        <v>3989</v>
      </c>
      <c r="D1" s="32" t="s">
        <v>3996</v>
      </c>
      <c r="E1" s="32" t="s">
        <v>3992</v>
      </c>
      <c r="F1" s="32" t="s">
        <v>4003</v>
      </c>
      <c r="G1" s="32" t="s">
        <v>3974</v>
      </c>
      <c r="H1" s="32" t="s">
        <v>3985</v>
      </c>
      <c r="I1" s="32" t="s">
        <v>4006</v>
      </c>
      <c r="J1" s="32" t="s">
        <v>4005</v>
      </c>
      <c r="K1" s="32" t="s">
        <v>3987</v>
      </c>
      <c r="L1" s="32" t="s">
        <v>3997</v>
      </c>
      <c r="M1" s="32" t="s">
        <v>3994</v>
      </c>
      <c r="N1" s="32" t="s">
        <v>3988</v>
      </c>
      <c r="O1" s="32" t="s">
        <v>4009</v>
      </c>
      <c r="P1" s="32" t="s">
        <v>3969</v>
      </c>
      <c r="Q1" s="32" t="s">
        <v>3970</v>
      </c>
      <c r="R1" s="32" t="s">
        <v>3976</v>
      </c>
      <c r="S1" s="32" t="s">
        <v>4001</v>
      </c>
      <c r="T1" s="32" t="s">
        <v>3999</v>
      </c>
      <c r="U1" s="32" t="s">
        <v>3972</v>
      </c>
      <c r="V1" s="32" t="s">
        <v>3979</v>
      </c>
      <c r="W1" s="32" t="s">
        <v>3981</v>
      </c>
      <c r="X1" s="32" t="s">
        <v>3980</v>
      </c>
      <c r="Y1" s="32" t="s">
        <v>3983</v>
      </c>
      <c r="Z1" s="32" t="s">
        <v>3990</v>
      </c>
    </row>
    <row r="2" ht="15.75" customHeight="1">
      <c r="A2" s="32">
        <v>1.0</v>
      </c>
      <c r="B2" s="34">
        <f>EMM_State_Elec_Map_NEMS_SEDS!P33/EMM_State_Elec_Map_NEMS_SEDS!P$42</f>
        <v>0</v>
      </c>
      <c r="C2" s="34">
        <f>EMM_State_Elec_Map_NEMS_SEDS!Q33/EMM_State_Elec_Map_NEMS_SEDS!Q$42</f>
        <v>0</v>
      </c>
      <c r="D2" s="34">
        <f>EMM_State_Elec_Map_NEMS_SEDS!R33/EMM_State_Elec_Map_NEMS_SEDS!R$42</f>
        <v>0</v>
      </c>
      <c r="E2" s="34">
        <f>EMM_State_Elec_Map_NEMS_SEDS!S33/EMM_State_Elec_Map_NEMS_SEDS!S$42</f>
        <v>0</v>
      </c>
      <c r="F2" s="34">
        <f>EMM_State_Elec_Map_NEMS_SEDS!T33/EMM_State_Elec_Map_NEMS_SEDS!T$42</f>
        <v>0</v>
      </c>
      <c r="G2" s="34">
        <f>EMM_State_Elec_Map_NEMS_SEDS!U33/EMM_State_Elec_Map_NEMS_SEDS!U$42</f>
        <v>0</v>
      </c>
      <c r="H2" s="34">
        <f>EMM_State_Elec_Map_NEMS_SEDS!V33/EMM_State_Elec_Map_NEMS_SEDS!V$42</f>
        <v>0.9997946055</v>
      </c>
      <c r="I2" s="34">
        <f>EMM_State_Elec_Map_NEMS_SEDS!W33/EMM_State_Elec_Map_NEMS_SEDS!W$42</f>
        <v>0</v>
      </c>
      <c r="J2" s="34">
        <f>EMM_State_Elec_Map_NEMS_SEDS!X33/EMM_State_Elec_Map_NEMS_SEDS!X$42</f>
        <v>0</v>
      </c>
      <c r="K2" s="34">
        <f>EMM_State_Elec_Map_NEMS_SEDS!Y33/EMM_State_Elec_Map_NEMS_SEDS!Y$42</f>
        <v>0</v>
      </c>
      <c r="L2" s="34">
        <f>EMM_State_Elec_Map_NEMS_SEDS!Z33/EMM_State_Elec_Map_NEMS_SEDS!Z$42</f>
        <v>0</v>
      </c>
      <c r="M2" s="34">
        <f>EMM_State_Elec_Map_NEMS_SEDS!AA33/EMM_State_Elec_Map_NEMS_SEDS!AA$42</f>
        <v>0</v>
      </c>
      <c r="N2" s="34">
        <f>EMM_State_Elec_Map_NEMS_SEDS!AB33/EMM_State_Elec_Map_NEMS_SEDS!AB$42</f>
        <v>0</v>
      </c>
      <c r="O2" s="34">
        <f>EMM_State_Elec_Map_NEMS_SEDS!AC33/EMM_State_Elec_Map_NEMS_SEDS!AC$42</f>
        <v>0</v>
      </c>
      <c r="P2" s="34">
        <f>EMM_State_Elec_Map_NEMS_SEDS!AD33/EMM_State_Elec_Map_NEMS_SEDS!AD$42</f>
        <v>0</v>
      </c>
      <c r="Q2" s="34">
        <f>EMM_State_Elec_Map_NEMS_SEDS!AE33/EMM_State_Elec_Map_NEMS_SEDS!AE$42</f>
        <v>0</v>
      </c>
      <c r="R2" s="34">
        <f>EMM_State_Elec_Map_NEMS_SEDS!AF33/EMM_State_Elec_Map_NEMS_SEDS!AF$42</f>
        <v>0</v>
      </c>
      <c r="S2" s="34">
        <f>EMM_State_Elec_Map_NEMS_SEDS!AG33/EMM_State_Elec_Map_NEMS_SEDS!AG$42</f>
        <v>0</v>
      </c>
      <c r="T2" s="34">
        <f>EMM_State_Elec_Map_NEMS_SEDS!AH33/EMM_State_Elec_Map_NEMS_SEDS!AH$42</f>
        <v>0</v>
      </c>
      <c r="U2" s="34">
        <f>EMM_State_Elec_Map_NEMS_SEDS!AI33/EMM_State_Elec_Map_NEMS_SEDS!AI$42</f>
        <v>0</v>
      </c>
      <c r="V2" s="34">
        <f>EMM_State_Elec_Map_NEMS_SEDS!AJ33/EMM_State_Elec_Map_NEMS_SEDS!AJ$42</f>
        <v>0</v>
      </c>
      <c r="W2" s="34">
        <f>EMM_State_Elec_Map_NEMS_SEDS!AK33/EMM_State_Elec_Map_NEMS_SEDS!AK$42</f>
        <v>0</v>
      </c>
      <c r="X2" s="34">
        <f>EMM_State_Elec_Map_NEMS_SEDS!AL33/EMM_State_Elec_Map_NEMS_SEDS!AL$42</f>
        <v>0</v>
      </c>
      <c r="Y2" s="34">
        <f>EMM_State_Elec_Map_NEMS_SEDS!AM33/EMM_State_Elec_Map_NEMS_SEDS!AM$42</f>
        <v>0</v>
      </c>
      <c r="Z2" s="34">
        <f>EMM_State_Elec_Map_NEMS_SEDS!AN33/EMM_State_Elec_Map_NEMS_SEDS!AN$42</f>
        <v>0</v>
      </c>
    </row>
    <row r="3" ht="15.75" customHeight="1">
      <c r="A3" s="32">
        <v>2.0</v>
      </c>
      <c r="B3" s="34">
        <f>EMM_State_Elec_Map_NEMS_SEDS!P34/EMM_State_Elec_Map_NEMS_SEDS!P$42</f>
        <v>0</v>
      </c>
      <c r="C3" s="34">
        <f>EMM_State_Elec_Map_NEMS_SEDS!Q34/EMM_State_Elec_Map_NEMS_SEDS!Q$42</f>
        <v>0</v>
      </c>
      <c r="D3" s="34">
        <f>EMM_State_Elec_Map_NEMS_SEDS!R34/EMM_State_Elec_Map_NEMS_SEDS!R$42</f>
        <v>0</v>
      </c>
      <c r="E3" s="34">
        <f>EMM_State_Elec_Map_NEMS_SEDS!S34/EMM_State_Elec_Map_NEMS_SEDS!S$42</f>
        <v>0</v>
      </c>
      <c r="F3" s="34">
        <f>EMM_State_Elec_Map_NEMS_SEDS!T34/EMM_State_Elec_Map_NEMS_SEDS!T$42</f>
        <v>0</v>
      </c>
      <c r="G3" s="34">
        <f>EMM_State_Elec_Map_NEMS_SEDS!U34/EMM_State_Elec_Map_NEMS_SEDS!U$42</f>
        <v>0</v>
      </c>
      <c r="H3" s="34">
        <f>EMM_State_Elec_Map_NEMS_SEDS!V34/EMM_State_Elec_Map_NEMS_SEDS!V$42</f>
        <v>0.0002053945055</v>
      </c>
      <c r="I3" s="34">
        <f>EMM_State_Elec_Map_NEMS_SEDS!W34/EMM_State_Elec_Map_NEMS_SEDS!W$42</f>
        <v>0.9999999977</v>
      </c>
      <c r="J3" s="34">
        <f>EMM_State_Elec_Map_NEMS_SEDS!X34/EMM_State_Elec_Map_NEMS_SEDS!X$42</f>
        <v>0.9999999983</v>
      </c>
      <c r="K3" s="34">
        <f>EMM_State_Elec_Map_NEMS_SEDS!Y34/EMM_State_Elec_Map_NEMS_SEDS!Y$42</f>
        <v>0.6331525054</v>
      </c>
      <c r="L3" s="34">
        <f>EMM_State_Elec_Map_NEMS_SEDS!Z34/EMM_State_Elec_Map_NEMS_SEDS!Z$42</f>
        <v>0.1273477345</v>
      </c>
      <c r="M3" s="34">
        <f>EMM_State_Elec_Map_NEMS_SEDS!AA34/EMM_State_Elec_Map_NEMS_SEDS!AA$42</f>
        <v>0</v>
      </c>
      <c r="N3" s="34">
        <f>EMM_State_Elec_Map_NEMS_SEDS!AB34/EMM_State_Elec_Map_NEMS_SEDS!AB$42</f>
        <v>0</v>
      </c>
      <c r="O3" s="34">
        <f>EMM_State_Elec_Map_NEMS_SEDS!AC34/EMM_State_Elec_Map_NEMS_SEDS!AC$42</f>
        <v>0</v>
      </c>
      <c r="P3" s="34">
        <f>EMM_State_Elec_Map_NEMS_SEDS!AD34/EMM_State_Elec_Map_NEMS_SEDS!AD$42</f>
        <v>0</v>
      </c>
      <c r="Q3" s="34">
        <f>EMM_State_Elec_Map_NEMS_SEDS!AE34/EMM_State_Elec_Map_NEMS_SEDS!AE$42</f>
        <v>0</v>
      </c>
      <c r="R3" s="34">
        <f>EMM_State_Elec_Map_NEMS_SEDS!AF34/EMM_State_Elec_Map_NEMS_SEDS!AF$42</f>
        <v>0</v>
      </c>
      <c r="S3" s="34">
        <f>EMM_State_Elec_Map_NEMS_SEDS!AG34/EMM_State_Elec_Map_NEMS_SEDS!AG$42</f>
        <v>0</v>
      </c>
      <c r="T3" s="34">
        <f>EMM_State_Elec_Map_NEMS_SEDS!AH34/EMM_State_Elec_Map_NEMS_SEDS!AH$42</f>
        <v>0</v>
      </c>
      <c r="U3" s="34">
        <f>EMM_State_Elec_Map_NEMS_SEDS!AI34/EMM_State_Elec_Map_NEMS_SEDS!AI$42</f>
        <v>0</v>
      </c>
      <c r="V3" s="34">
        <f>EMM_State_Elec_Map_NEMS_SEDS!AJ34/EMM_State_Elec_Map_NEMS_SEDS!AJ$42</f>
        <v>0</v>
      </c>
      <c r="W3" s="34">
        <f>EMM_State_Elec_Map_NEMS_SEDS!AK34/EMM_State_Elec_Map_NEMS_SEDS!AK$42</f>
        <v>0</v>
      </c>
      <c r="X3" s="34">
        <f>EMM_State_Elec_Map_NEMS_SEDS!AL34/EMM_State_Elec_Map_NEMS_SEDS!AL$42</f>
        <v>0</v>
      </c>
      <c r="Y3" s="34">
        <f>EMM_State_Elec_Map_NEMS_SEDS!AM34/EMM_State_Elec_Map_NEMS_SEDS!AM$42</f>
        <v>0</v>
      </c>
      <c r="Z3" s="34">
        <f>EMM_State_Elec_Map_NEMS_SEDS!AN34/EMM_State_Elec_Map_NEMS_SEDS!AN$42</f>
        <v>0</v>
      </c>
    </row>
    <row r="4" ht="15.75" customHeight="1">
      <c r="A4" s="32">
        <v>3.0</v>
      </c>
      <c r="B4" s="34">
        <f>EMM_State_Elec_Map_NEMS_SEDS!P35/EMM_State_Elec_Map_NEMS_SEDS!P$42</f>
        <v>0</v>
      </c>
      <c r="C4" s="34">
        <f>EMM_State_Elec_Map_NEMS_SEDS!Q35/EMM_State_Elec_Map_NEMS_SEDS!Q$42</f>
        <v>0</v>
      </c>
      <c r="D4" s="34">
        <f>EMM_State_Elec_Map_NEMS_SEDS!R35/EMM_State_Elec_Map_NEMS_SEDS!R$42</f>
        <v>0.380761406</v>
      </c>
      <c r="E4" s="34">
        <f>EMM_State_Elec_Map_NEMS_SEDS!S35/EMM_State_Elec_Map_NEMS_SEDS!S$42</f>
        <v>0.6468503165</v>
      </c>
      <c r="F4" s="34">
        <f>EMM_State_Elec_Map_NEMS_SEDS!T35/EMM_State_Elec_Map_NEMS_SEDS!T$42</f>
        <v>0.9999986916</v>
      </c>
      <c r="G4" s="34">
        <f>EMM_State_Elec_Map_NEMS_SEDS!U35/EMM_State_Elec_Map_NEMS_SEDS!U$42</f>
        <v>0</v>
      </c>
      <c r="H4" s="34">
        <f>EMM_State_Elec_Map_NEMS_SEDS!V35/EMM_State_Elec_Map_NEMS_SEDS!V$42</f>
        <v>0</v>
      </c>
      <c r="I4" s="34">
        <f>EMM_State_Elec_Map_NEMS_SEDS!W35/EMM_State_Elec_Map_NEMS_SEDS!W$42</f>
        <v>0</v>
      </c>
      <c r="J4" s="34">
        <f>EMM_State_Elec_Map_NEMS_SEDS!X35/EMM_State_Elec_Map_NEMS_SEDS!X$42</f>
        <v>0</v>
      </c>
      <c r="K4" s="34">
        <f>EMM_State_Elec_Map_NEMS_SEDS!Y35/EMM_State_Elec_Map_NEMS_SEDS!Y$42</f>
        <v>0</v>
      </c>
      <c r="L4" s="34">
        <f>EMM_State_Elec_Map_NEMS_SEDS!Z35/EMM_State_Elec_Map_NEMS_SEDS!Z$42</f>
        <v>0.6291368759</v>
      </c>
      <c r="M4" s="34">
        <f>EMM_State_Elec_Map_NEMS_SEDS!AA35/EMM_State_Elec_Map_NEMS_SEDS!AA$42</f>
        <v>1</v>
      </c>
      <c r="N4" s="34">
        <f>EMM_State_Elec_Map_NEMS_SEDS!AB35/EMM_State_Elec_Map_NEMS_SEDS!AB$42</f>
        <v>0</v>
      </c>
      <c r="O4" s="34">
        <f>EMM_State_Elec_Map_NEMS_SEDS!AC35/EMM_State_Elec_Map_NEMS_SEDS!AC$42</f>
        <v>0</v>
      </c>
      <c r="P4" s="34">
        <f>EMM_State_Elec_Map_NEMS_SEDS!AD35/EMM_State_Elec_Map_NEMS_SEDS!AD$42</f>
        <v>0</v>
      </c>
      <c r="Q4" s="34">
        <f>EMM_State_Elec_Map_NEMS_SEDS!AE35/EMM_State_Elec_Map_NEMS_SEDS!AE$42</f>
        <v>0</v>
      </c>
      <c r="R4" s="34">
        <f>EMM_State_Elec_Map_NEMS_SEDS!AF35/EMM_State_Elec_Map_NEMS_SEDS!AF$42</f>
        <v>0</v>
      </c>
      <c r="S4" s="34">
        <f>EMM_State_Elec_Map_NEMS_SEDS!AG35/EMM_State_Elec_Map_NEMS_SEDS!AG$42</f>
        <v>0</v>
      </c>
      <c r="T4" s="34">
        <f>EMM_State_Elec_Map_NEMS_SEDS!AH35/EMM_State_Elec_Map_NEMS_SEDS!AH$42</f>
        <v>0</v>
      </c>
      <c r="U4" s="34">
        <f>EMM_State_Elec_Map_NEMS_SEDS!AI35/EMM_State_Elec_Map_NEMS_SEDS!AI$42</f>
        <v>0</v>
      </c>
      <c r="V4" s="34">
        <f>EMM_State_Elec_Map_NEMS_SEDS!AJ35/EMM_State_Elec_Map_NEMS_SEDS!AJ$42</f>
        <v>0</v>
      </c>
      <c r="W4" s="34">
        <f>EMM_State_Elec_Map_NEMS_SEDS!AK35/EMM_State_Elec_Map_NEMS_SEDS!AK$42</f>
        <v>0</v>
      </c>
      <c r="X4" s="34">
        <f>EMM_State_Elec_Map_NEMS_SEDS!AL35/EMM_State_Elec_Map_NEMS_SEDS!AL$42</f>
        <v>0</v>
      </c>
      <c r="Y4" s="34">
        <f>EMM_State_Elec_Map_NEMS_SEDS!AM35/EMM_State_Elec_Map_NEMS_SEDS!AM$42</f>
        <v>0</v>
      </c>
      <c r="Z4" s="34">
        <f>EMM_State_Elec_Map_NEMS_SEDS!AN35/EMM_State_Elec_Map_NEMS_SEDS!AN$42</f>
        <v>0</v>
      </c>
    </row>
    <row r="5" ht="15.75" customHeight="1">
      <c r="A5" s="32">
        <v>4.0</v>
      </c>
      <c r="B5" s="34">
        <f>EMM_State_Elec_Map_NEMS_SEDS!P36/EMM_State_Elec_Map_NEMS_SEDS!P$42</f>
        <v>0</v>
      </c>
      <c r="C5" s="34">
        <f>EMM_State_Elec_Map_NEMS_SEDS!Q36/EMM_State_Elec_Map_NEMS_SEDS!Q$42</f>
        <v>0</v>
      </c>
      <c r="D5" s="34">
        <f>EMM_State_Elec_Map_NEMS_SEDS!R36/EMM_State_Elec_Map_NEMS_SEDS!R$42</f>
        <v>0.6192385976</v>
      </c>
      <c r="E5" s="34">
        <f>EMM_State_Elec_Map_NEMS_SEDS!S36/EMM_State_Elec_Map_NEMS_SEDS!S$42</f>
        <v>0.3393318867</v>
      </c>
      <c r="F5" s="34">
        <f>EMM_State_Elec_Map_NEMS_SEDS!T36/EMM_State_Elec_Map_NEMS_SEDS!T$42</f>
        <v>0.00000130460545</v>
      </c>
      <c r="G5" s="34">
        <f>EMM_State_Elec_Map_NEMS_SEDS!U36/EMM_State_Elec_Map_NEMS_SEDS!U$42</f>
        <v>0.000001432110025</v>
      </c>
      <c r="H5" s="34">
        <f>EMM_State_Elec_Map_NEMS_SEDS!V36/EMM_State_Elec_Map_NEMS_SEDS!V$42</f>
        <v>0</v>
      </c>
      <c r="I5" s="34">
        <f>EMM_State_Elec_Map_NEMS_SEDS!W36/EMM_State_Elec_Map_NEMS_SEDS!W$42</f>
        <v>0</v>
      </c>
      <c r="J5" s="34">
        <f>EMM_State_Elec_Map_NEMS_SEDS!X36/EMM_State_Elec_Map_NEMS_SEDS!X$42</f>
        <v>0</v>
      </c>
      <c r="K5" s="34">
        <f>EMM_State_Elec_Map_NEMS_SEDS!Y36/EMM_State_Elec_Map_NEMS_SEDS!Y$42</f>
        <v>0</v>
      </c>
      <c r="L5" s="34">
        <f>EMM_State_Elec_Map_NEMS_SEDS!Z36/EMM_State_Elec_Map_NEMS_SEDS!Z$42</f>
        <v>0</v>
      </c>
      <c r="M5" s="34">
        <f>EMM_State_Elec_Map_NEMS_SEDS!AA36/EMM_State_Elec_Map_NEMS_SEDS!AA$42</f>
        <v>0</v>
      </c>
      <c r="N5" s="34">
        <f>EMM_State_Elec_Map_NEMS_SEDS!AB36/EMM_State_Elec_Map_NEMS_SEDS!AB$42</f>
        <v>0</v>
      </c>
      <c r="O5" s="34">
        <f>EMM_State_Elec_Map_NEMS_SEDS!AC36/EMM_State_Elec_Map_NEMS_SEDS!AC$42</f>
        <v>0</v>
      </c>
      <c r="P5" s="34">
        <f>EMM_State_Elec_Map_NEMS_SEDS!AD36/EMM_State_Elec_Map_NEMS_SEDS!AD$42</f>
        <v>0</v>
      </c>
      <c r="Q5" s="34">
        <f>EMM_State_Elec_Map_NEMS_SEDS!AE36/EMM_State_Elec_Map_NEMS_SEDS!AE$42</f>
        <v>0</v>
      </c>
      <c r="R5" s="34">
        <f>EMM_State_Elec_Map_NEMS_SEDS!AF36/EMM_State_Elec_Map_NEMS_SEDS!AF$42</f>
        <v>0</v>
      </c>
      <c r="S5" s="34">
        <f>EMM_State_Elec_Map_NEMS_SEDS!AG36/EMM_State_Elec_Map_NEMS_SEDS!AG$42</f>
        <v>0.9990152529</v>
      </c>
      <c r="T5" s="34">
        <f>EMM_State_Elec_Map_NEMS_SEDS!AH36/EMM_State_Elec_Map_NEMS_SEDS!AH$42</f>
        <v>0.9696012434</v>
      </c>
      <c r="U5" s="34">
        <f>EMM_State_Elec_Map_NEMS_SEDS!AI36/EMM_State_Elec_Map_NEMS_SEDS!AI$42</f>
        <v>0</v>
      </c>
      <c r="V5" s="34">
        <f>EMM_State_Elec_Map_NEMS_SEDS!AJ36/EMM_State_Elec_Map_NEMS_SEDS!AJ$42</f>
        <v>0</v>
      </c>
      <c r="W5" s="34">
        <f>EMM_State_Elec_Map_NEMS_SEDS!AK36/EMM_State_Elec_Map_NEMS_SEDS!AK$42</f>
        <v>0</v>
      </c>
      <c r="X5" s="34">
        <f>EMM_State_Elec_Map_NEMS_SEDS!AL36/EMM_State_Elec_Map_NEMS_SEDS!AL$42</f>
        <v>0</v>
      </c>
      <c r="Y5" s="34">
        <f>EMM_State_Elec_Map_NEMS_SEDS!AM36/EMM_State_Elec_Map_NEMS_SEDS!AM$42</f>
        <v>0.06704277987</v>
      </c>
      <c r="Z5" s="34">
        <f>EMM_State_Elec_Map_NEMS_SEDS!AN36/EMM_State_Elec_Map_NEMS_SEDS!AN$42</f>
        <v>0</v>
      </c>
    </row>
    <row r="6" ht="15.75" customHeight="1">
      <c r="A6" s="32">
        <v>5.0</v>
      </c>
      <c r="B6" s="34">
        <f>EMM_State_Elec_Map_NEMS_SEDS!P37/EMM_State_Elec_Map_NEMS_SEDS!P$42</f>
        <v>0</v>
      </c>
      <c r="C6" s="34">
        <f>EMM_State_Elec_Map_NEMS_SEDS!Q37/EMM_State_Elec_Map_NEMS_SEDS!Q$42</f>
        <v>1</v>
      </c>
      <c r="D6" s="34">
        <f>EMM_State_Elec_Map_NEMS_SEDS!R37/EMM_State_Elec_Map_NEMS_SEDS!R$42</f>
        <v>0</v>
      </c>
      <c r="E6" s="34">
        <f>EMM_State_Elec_Map_NEMS_SEDS!S37/EMM_State_Elec_Map_NEMS_SEDS!S$42</f>
        <v>0</v>
      </c>
      <c r="F6" s="34">
        <f>EMM_State_Elec_Map_NEMS_SEDS!T37/EMM_State_Elec_Map_NEMS_SEDS!T$42</f>
        <v>0</v>
      </c>
      <c r="G6" s="34">
        <f>EMM_State_Elec_Map_NEMS_SEDS!U37/EMM_State_Elec_Map_NEMS_SEDS!U$42</f>
        <v>0</v>
      </c>
      <c r="H6" s="34">
        <f>EMM_State_Elec_Map_NEMS_SEDS!V37/EMM_State_Elec_Map_NEMS_SEDS!V$42</f>
        <v>0</v>
      </c>
      <c r="I6" s="34">
        <f>EMM_State_Elec_Map_NEMS_SEDS!W37/EMM_State_Elec_Map_NEMS_SEDS!W$42</f>
        <v>0</v>
      </c>
      <c r="J6" s="34">
        <f>EMM_State_Elec_Map_NEMS_SEDS!X37/EMM_State_Elec_Map_NEMS_SEDS!X$42</f>
        <v>0</v>
      </c>
      <c r="K6" s="34">
        <f>EMM_State_Elec_Map_NEMS_SEDS!Y37/EMM_State_Elec_Map_NEMS_SEDS!Y$42</f>
        <v>0.3668474962</v>
      </c>
      <c r="L6" s="34">
        <f>EMM_State_Elec_Map_NEMS_SEDS!Z37/EMM_State_Elec_Map_NEMS_SEDS!Z$42</f>
        <v>0.1826258495</v>
      </c>
      <c r="M6" s="34">
        <f>EMM_State_Elec_Map_NEMS_SEDS!AA37/EMM_State_Elec_Map_NEMS_SEDS!AA$42</f>
        <v>0</v>
      </c>
      <c r="N6" s="34">
        <f>EMM_State_Elec_Map_NEMS_SEDS!AB37/EMM_State_Elec_Map_NEMS_SEDS!AB$42</f>
        <v>1.000000001</v>
      </c>
      <c r="O6" s="34">
        <f>EMM_State_Elec_Map_NEMS_SEDS!AC37/EMM_State_Elec_Map_NEMS_SEDS!AC$42</f>
        <v>0.999993273</v>
      </c>
      <c r="P6" s="34">
        <f>EMM_State_Elec_Map_NEMS_SEDS!AD37/EMM_State_Elec_Map_NEMS_SEDS!AD$42</f>
        <v>0.7185585556</v>
      </c>
      <c r="Q6" s="34">
        <f>EMM_State_Elec_Map_NEMS_SEDS!AE37/EMM_State_Elec_Map_NEMS_SEDS!AE$42</f>
        <v>0.02640654994</v>
      </c>
      <c r="R6" s="34">
        <f>EMM_State_Elec_Map_NEMS_SEDS!AF37/EMM_State_Elec_Map_NEMS_SEDS!AF$42</f>
        <v>0</v>
      </c>
      <c r="S6" s="34">
        <f>EMM_State_Elec_Map_NEMS_SEDS!AG37/EMM_State_Elec_Map_NEMS_SEDS!AG$42</f>
        <v>0</v>
      </c>
      <c r="T6" s="34">
        <f>EMM_State_Elec_Map_NEMS_SEDS!AH37/EMM_State_Elec_Map_NEMS_SEDS!AH$42</f>
        <v>0</v>
      </c>
      <c r="U6" s="34">
        <f>EMM_State_Elec_Map_NEMS_SEDS!AI37/EMM_State_Elec_Map_NEMS_SEDS!AI$42</f>
        <v>0</v>
      </c>
      <c r="V6" s="34">
        <f>EMM_State_Elec_Map_NEMS_SEDS!AJ37/EMM_State_Elec_Map_NEMS_SEDS!AJ$42</f>
        <v>0</v>
      </c>
      <c r="W6" s="34">
        <f>EMM_State_Elec_Map_NEMS_SEDS!AK37/EMM_State_Elec_Map_NEMS_SEDS!AK$42</f>
        <v>0</v>
      </c>
      <c r="X6" s="34">
        <f>EMM_State_Elec_Map_NEMS_SEDS!AL37/EMM_State_Elec_Map_NEMS_SEDS!AL$42</f>
        <v>0</v>
      </c>
      <c r="Y6" s="34">
        <f>EMM_State_Elec_Map_NEMS_SEDS!AM37/EMM_State_Elec_Map_NEMS_SEDS!AM$42</f>
        <v>0</v>
      </c>
      <c r="Z6" s="34">
        <f>EMM_State_Elec_Map_NEMS_SEDS!AN37/EMM_State_Elec_Map_NEMS_SEDS!AN$42</f>
        <v>0</v>
      </c>
    </row>
    <row r="7" ht="15.75" customHeight="1">
      <c r="A7" s="32">
        <v>6.0</v>
      </c>
      <c r="B7" s="34">
        <f>EMM_State_Elec_Map_NEMS_SEDS!P38/EMM_State_Elec_Map_NEMS_SEDS!P$42</f>
        <v>0</v>
      </c>
      <c r="C7" s="34">
        <f>EMM_State_Elec_Map_NEMS_SEDS!Q38/EMM_State_Elec_Map_NEMS_SEDS!Q$42</f>
        <v>0</v>
      </c>
      <c r="D7" s="34">
        <f>EMM_State_Elec_Map_NEMS_SEDS!R38/EMM_State_Elec_Map_NEMS_SEDS!R$42</f>
        <v>0</v>
      </c>
      <c r="E7" s="34">
        <f>EMM_State_Elec_Map_NEMS_SEDS!S38/EMM_State_Elec_Map_NEMS_SEDS!S$42</f>
        <v>0.01381779812</v>
      </c>
      <c r="F7" s="34">
        <f>EMM_State_Elec_Map_NEMS_SEDS!T38/EMM_State_Elec_Map_NEMS_SEDS!T$42</f>
        <v>0</v>
      </c>
      <c r="G7" s="34">
        <f>EMM_State_Elec_Map_NEMS_SEDS!U38/EMM_State_Elec_Map_NEMS_SEDS!U$42</f>
        <v>0.1613270343</v>
      </c>
      <c r="H7" s="34">
        <f>EMM_State_Elec_Map_NEMS_SEDS!V38/EMM_State_Elec_Map_NEMS_SEDS!V$42</f>
        <v>0</v>
      </c>
      <c r="I7" s="34">
        <f>EMM_State_Elec_Map_NEMS_SEDS!W38/EMM_State_Elec_Map_NEMS_SEDS!W$42</f>
        <v>0</v>
      </c>
      <c r="J7" s="34">
        <f>EMM_State_Elec_Map_NEMS_SEDS!X38/EMM_State_Elec_Map_NEMS_SEDS!X$42</f>
        <v>0</v>
      </c>
      <c r="K7" s="34">
        <f>EMM_State_Elec_Map_NEMS_SEDS!Y38/EMM_State_Elec_Map_NEMS_SEDS!Y$42</f>
        <v>0</v>
      </c>
      <c r="L7" s="34">
        <f>EMM_State_Elec_Map_NEMS_SEDS!Z38/EMM_State_Elec_Map_NEMS_SEDS!Z$42</f>
        <v>0.06088953964</v>
      </c>
      <c r="M7" s="34">
        <f>EMM_State_Elec_Map_NEMS_SEDS!AA38/EMM_State_Elec_Map_NEMS_SEDS!AA$42</f>
        <v>0</v>
      </c>
      <c r="N7" s="34">
        <f>EMM_State_Elec_Map_NEMS_SEDS!AB38/EMM_State_Elec_Map_NEMS_SEDS!AB$42</f>
        <v>0</v>
      </c>
      <c r="O7" s="34">
        <f>EMM_State_Elec_Map_NEMS_SEDS!AC38/EMM_State_Elec_Map_NEMS_SEDS!AC$42</f>
        <v>0.000006727002452</v>
      </c>
      <c r="P7" s="34">
        <f>EMM_State_Elec_Map_NEMS_SEDS!AD38/EMM_State_Elec_Map_NEMS_SEDS!AD$42</f>
        <v>0.2814414425</v>
      </c>
      <c r="Q7" s="34">
        <f>EMM_State_Elec_Map_NEMS_SEDS!AE38/EMM_State_Elec_Map_NEMS_SEDS!AE$42</f>
        <v>0.9735934522</v>
      </c>
      <c r="R7" s="34">
        <f>EMM_State_Elec_Map_NEMS_SEDS!AF38/EMM_State_Elec_Map_NEMS_SEDS!AF$42</f>
        <v>0</v>
      </c>
      <c r="S7" s="34">
        <f>EMM_State_Elec_Map_NEMS_SEDS!AG38/EMM_State_Elec_Map_NEMS_SEDS!AG$42</f>
        <v>0</v>
      </c>
      <c r="T7" s="34">
        <f>EMM_State_Elec_Map_NEMS_SEDS!AH38/EMM_State_Elec_Map_NEMS_SEDS!AH$42</f>
        <v>0</v>
      </c>
      <c r="U7" s="34">
        <f>EMM_State_Elec_Map_NEMS_SEDS!AI38/EMM_State_Elec_Map_NEMS_SEDS!AI$42</f>
        <v>0</v>
      </c>
      <c r="V7" s="34">
        <f>EMM_State_Elec_Map_NEMS_SEDS!AJ38/EMM_State_Elec_Map_NEMS_SEDS!AJ$42</f>
        <v>0</v>
      </c>
      <c r="W7" s="34">
        <f>EMM_State_Elec_Map_NEMS_SEDS!AK38/EMM_State_Elec_Map_NEMS_SEDS!AK$42</f>
        <v>0</v>
      </c>
      <c r="X7" s="34">
        <f>EMM_State_Elec_Map_NEMS_SEDS!AL38/EMM_State_Elec_Map_NEMS_SEDS!AL$42</f>
        <v>0</v>
      </c>
      <c r="Y7" s="34">
        <f>EMM_State_Elec_Map_NEMS_SEDS!AM38/EMM_State_Elec_Map_NEMS_SEDS!AM$42</f>
        <v>0</v>
      </c>
      <c r="Z7" s="34">
        <f>EMM_State_Elec_Map_NEMS_SEDS!AN38/EMM_State_Elec_Map_NEMS_SEDS!AN$42</f>
        <v>0</v>
      </c>
    </row>
    <row r="8" ht="15.75" customHeight="1">
      <c r="A8" s="32">
        <v>7.0</v>
      </c>
      <c r="B8" s="34">
        <f>EMM_State_Elec_Map_NEMS_SEDS!P39/EMM_State_Elec_Map_NEMS_SEDS!P$42</f>
        <v>1</v>
      </c>
      <c r="C8" s="34">
        <f>EMM_State_Elec_Map_NEMS_SEDS!Q39/EMM_State_Elec_Map_NEMS_SEDS!Q$42</f>
        <v>0</v>
      </c>
      <c r="D8" s="34">
        <f>EMM_State_Elec_Map_NEMS_SEDS!R39/EMM_State_Elec_Map_NEMS_SEDS!R$42</f>
        <v>0</v>
      </c>
      <c r="E8" s="34">
        <f>EMM_State_Elec_Map_NEMS_SEDS!S39/EMM_State_Elec_Map_NEMS_SEDS!S$42</f>
        <v>0</v>
      </c>
      <c r="F8" s="34">
        <f>EMM_State_Elec_Map_NEMS_SEDS!T39/EMM_State_Elec_Map_NEMS_SEDS!T$42</f>
        <v>0</v>
      </c>
      <c r="G8" s="34">
        <f>EMM_State_Elec_Map_NEMS_SEDS!U39/EMM_State_Elec_Map_NEMS_SEDS!U$42</f>
        <v>0.8386715368</v>
      </c>
      <c r="H8" s="34">
        <f>EMM_State_Elec_Map_NEMS_SEDS!V39/EMM_State_Elec_Map_NEMS_SEDS!V$42</f>
        <v>0</v>
      </c>
      <c r="I8" s="34">
        <f>EMM_State_Elec_Map_NEMS_SEDS!W39/EMM_State_Elec_Map_NEMS_SEDS!W$42</f>
        <v>0</v>
      </c>
      <c r="J8" s="34">
        <f>EMM_State_Elec_Map_NEMS_SEDS!X39/EMM_State_Elec_Map_NEMS_SEDS!X$42</f>
        <v>0</v>
      </c>
      <c r="K8" s="34">
        <f>EMM_State_Elec_Map_NEMS_SEDS!Y39/EMM_State_Elec_Map_NEMS_SEDS!Y$42</f>
        <v>0</v>
      </c>
      <c r="L8" s="34">
        <f>EMM_State_Elec_Map_NEMS_SEDS!Z39/EMM_State_Elec_Map_NEMS_SEDS!Z$42</f>
        <v>0</v>
      </c>
      <c r="M8" s="34">
        <f>EMM_State_Elec_Map_NEMS_SEDS!AA39/EMM_State_Elec_Map_NEMS_SEDS!AA$42</f>
        <v>0</v>
      </c>
      <c r="N8" s="34">
        <f>EMM_State_Elec_Map_NEMS_SEDS!AB39/EMM_State_Elec_Map_NEMS_SEDS!AB$42</f>
        <v>0</v>
      </c>
      <c r="O8" s="34">
        <f>EMM_State_Elec_Map_NEMS_SEDS!AC39/EMM_State_Elec_Map_NEMS_SEDS!AC$42</f>
        <v>0</v>
      </c>
      <c r="P8" s="34">
        <f>EMM_State_Elec_Map_NEMS_SEDS!AD39/EMM_State_Elec_Map_NEMS_SEDS!AD$42</f>
        <v>0</v>
      </c>
      <c r="Q8" s="34">
        <f>EMM_State_Elec_Map_NEMS_SEDS!AE39/EMM_State_Elec_Map_NEMS_SEDS!AE$42</f>
        <v>0</v>
      </c>
      <c r="R8" s="34">
        <f>EMM_State_Elec_Map_NEMS_SEDS!AF39/EMM_State_Elec_Map_NEMS_SEDS!AF$42</f>
        <v>0.9340048434</v>
      </c>
      <c r="S8" s="34">
        <f>EMM_State_Elec_Map_NEMS_SEDS!AG39/EMM_State_Elec_Map_NEMS_SEDS!AG$42</f>
        <v>0.0008109111677</v>
      </c>
      <c r="T8" s="34">
        <f>EMM_State_Elec_Map_NEMS_SEDS!AH39/EMM_State_Elec_Map_NEMS_SEDS!AH$42</f>
        <v>0</v>
      </c>
      <c r="U8" s="34">
        <f>EMM_State_Elec_Map_NEMS_SEDS!AI39/EMM_State_Elec_Map_NEMS_SEDS!AI$42</f>
        <v>0.07419763276</v>
      </c>
      <c r="V8" s="34">
        <f>EMM_State_Elec_Map_NEMS_SEDS!AJ39/EMM_State_Elec_Map_NEMS_SEDS!AJ$42</f>
        <v>0</v>
      </c>
      <c r="W8" s="34">
        <f>EMM_State_Elec_Map_NEMS_SEDS!AK39/EMM_State_Elec_Map_NEMS_SEDS!AK$42</f>
        <v>0</v>
      </c>
      <c r="X8" s="34">
        <f>EMM_State_Elec_Map_NEMS_SEDS!AL39/EMM_State_Elec_Map_NEMS_SEDS!AL$42</f>
        <v>0</v>
      </c>
      <c r="Y8" s="34">
        <f>EMM_State_Elec_Map_NEMS_SEDS!AM39/EMM_State_Elec_Map_NEMS_SEDS!AM$42</f>
        <v>0</v>
      </c>
      <c r="Z8" s="34">
        <f>EMM_State_Elec_Map_NEMS_SEDS!AN39/EMM_State_Elec_Map_NEMS_SEDS!AN$42</f>
        <v>0</v>
      </c>
    </row>
    <row r="9" ht="15.75" customHeight="1">
      <c r="A9" s="32">
        <v>8.0</v>
      </c>
      <c r="B9" s="34">
        <f>EMM_State_Elec_Map_NEMS_SEDS!P40/EMM_State_Elec_Map_NEMS_SEDS!P$42</f>
        <v>0</v>
      </c>
      <c r="C9" s="34">
        <f>EMM_State_Elec_Map_NEMS_SEDS!Q40/EMM_State_Elec_Map_NEMS_SEDS!Q$42</f>
        <v>0</v>
      </c>
      <c r="D9" s="34">
        <f>EMM_State_Elec_Map_NEMS_SEDS!R40/EMM_State_Elec_Map_NEMS_SEDS!R$42</f>
        <v>0</v>
      </c>
      <c r="E9" s="34">
        <f>EMM_State_Elec_Map_NEMS_SEDS!S40/EMM_State_Elec_Map_NEMS_SEDS!S$42</f>
        <v>0</v>
      </c>
      <c r="F9" s="34">
        <f>EMM_State_Elec_Map_NEMS_SEDS!T40/EMM_State_Elec_Map_NEMS_SEDS!T$42</f>
        <v>0</v>
      </c>
      <c r="G9" s="34">
        <f>EMM_State_Elec_Map_NEMS_SEDS!U40/EMM_State_Elec_Map_NEMS_SEDS!U$42</f>
        <v>0</v>
      </c>
      <c r="H9" s="34">
        <f>EMM_State_Elec_Map_NEMS_SEDS!V40/EMM_State_Elec_Map_NEMS_SEDS!V$42</f>
        <v>0</v>
      </c>
      <c r="I9" s="34">
        <f>EMM_State_Elec_Map_NEMS_SEDS!W40/EMM_State_Elec_Map_NEMS_SEDS!W$42</f>
        <v>0</v>
      </c>
      <c r="J9" s="34">
        <f>EMM_State_Elec_Map_NEMS_SEDS!X40/EMM_State_Elec_Map_NEMS_SEDS!X$42</f>
        <v>0</v>
      </c>
      <c r="K9" s="34">
        <f>EMM_State_Elec_Map_NEMS_SEDS!Y40/EMM_State_Elec_Map_NEMS_SEDS!Y$42</f>
        <v>0</v>
      </c>
      <c r="L9" s="34">
        <f>EMM_State_Elec_Map_NEMS_SEDS!Z40/EMM_State_Elec_Map_NEMS_SEDS!Z$42</f>
        <v>0</v>
      </c>
      <c r="M9" s="34">
        <f>EMM_State_Elec_Map_NEMS_SEDS!AA40/EMM_State_Elec_Map_NEMS_SEDS!AA$42</f>
        <v>0</v>
      </c>
      <c r="N9" s="34">
        <f>EMM_State_Elec_Map_NEMS_SEDS!AB40/EMM_State_Elec_Map_NEMS_SEDS!AB$42</f>
        <v>0</v>
      </c>
      <c r="O9" s="34">
        <f>EMM_State_Elec_Map_NEMS_SEDS!AC40/EMM_State_Elec_Map_NEMS_SEDS!AC$42</f>
        <v>0</v>
      </c>
      <c r="P9" s="34">
        <f>EMM_State_Elec_Map_NEMS_SEDS!AD40/EMM_State_Elec_Map_NEMS_SEDS!AD$42</f>
        <v>0</v>
      </c>
      <c r="Q9" s="34">
        <f>EMM_State_Elec_Map_NEMS_SEDS!AE40/EMM_State_Elec_Map_NEMS_SEDS!AE$42</f>
        <v>0</v>
      </c>
      <c r="R9" s="34">
        <f>EMM_State_Elec_Map_NEMS_SEDS!AF40/EMM_State_Elec_Map_NEMS_SEDS!AF$42</f>
        <v>0.06599515573</v>
      </c>
      <c r="S9" s="34">
        <f>EMM_State_Elec_Map_NEMS_SEDS!AG40/EMM_State_Elec_Map_NEMS_SEDS!AG$42</f>
        <v>0.000173838916</v>
      </c>
      <c r="T9" s="34">
        <f>EMM_State_Elec_Map_NEMS_SEDS!AH40/EMM_State_Elec_Map_NEMS_SEDS!AH$42</f>
        <v>0.03039875658</v>
      </c>
      <c r="U9" s="34">
        <f>EMM_State_Elec_Map_NEMS_SEDS!AI40/EMM_State_Elec_Map_NEMS_SEDS!AI$42</f>
        <v>0.8545132448</v>
      </c>
      <c r="V9" s="34">
        <f>EMM_State_Elec_Map_NEMS_SEDS!AJ40/EMM_State_Elec_Map_NEMS_SEDS!AJ$42</f>
        <v>0.00000007751128448</v>
      </c>
      <c r="W9" s="34">
        <f>EMM_State_Elec_Map_NEMS_SEDS!AK40/EMM_State_Elec_Map_NEMS_SEDS!AK$42</f>
        <v>0.0000006958359848</v>
      </c>
      <c r="X9" s="34">
        <f>EMM_State_Elec_Map_NEMS_SEDS!AL40/EMM_State_Elec_Map_NEMS_SEDS!AL$42</f>
        <v>0.1263824041</v>
      </c>
      <c r="Y9" s="34">
        <f>EMM_State_Elec_Map_NEMS_SEDS!AM40/EMM_State_Elec_Map_NEMS_SEDS!AM$42</f>
        <v>0.9329572219</v>
      </c>
      <c r="Z9" s="34">
        <f>EMM_State_Elec_Map_NEMS_SEDS!AN40/EMM_State_Elec_Map_NEMS_SEDS!AN$42</f>
        <v>0.9926400888</v>
      </c>
    </row>
    <row r="10" ht="15.75" customHeight="1">
      <c r="A10" s="32">
        <v>9.0</v>
      </c>
      <c r="B10" s="34">
        <f>EMM_State_Elec_Map_NEMS_SEDS!P41/EMM_State_Elec_Map_NEMS_SEDS!P$42</f>
        <v>0</v>
      </c>
      <c r="C10" s="34">
        <f>EMM_State_Elec_Map_NEMS_SEDS!Q41/EMM_State_Elec_Map_NEMS_SEDS!Q$42</f>
        <v>0</v>
      </c>
      <c r="D10" s="34">
        <f>EMM_State_Elec_Map_NEMS_SEDS!R41/EMM_State_Elec_Map_NEMS_SEDS!R$42</f>
        <v>0</v>
      </c>
      <c r="E10" s="34">
        <f>EMM_State_Elec_Map_NEMS_SEDS!S41/EMM_State_Elec_Map_NEMS_SEDS!S$42</f>
        <v>0</v>
      </c>
      <c r="F10" s="34">
        <f>EMM_State_Elec_Map_NEMS_SEDS!T41/EMM_State_Elec_Map_NEMS_SEDS!T$42</f>
        <v>0</v>
      </c>
      <c r="G10" s="34">
        <f>EMM_State_Elec_Map_NEMS_SEDS!U41/EMM_State_Elec_Map_NEMS_SEDS!U$42</f>
        <v>0</v>
      </c>
      <c r="H10" s="34">
        <f>EMM_State_Elec_Map_NEMS_SEDS!V41/EMM_State_Elec_Map_NEMS_SEDS!V$42</f>
        <v>0</v>
      </c>
      <c r="I10" s="34">
        <f>EMM_State_Elec_Map_NEMS_SEDS!W41/EMM_State_Elec_Map_NEMS_SEDS!W$42</f>
        <v>0</v>
      </c>
      <c r="J10" s="34">
        <f>EMM_State_Elec_Map_NEMS_SEDS!X41/EMM_State_Elec_Map_NEMS_SEDS!X$42</f>
        <v>0</v>
      </c>
      <c r="K10" s="34">
        <f>EMM_State_Elec_Map_NEMS_SEDS!Y41/EMM_State_Elec_Map_NEMS_SEDS!Y$42</f>
        <v>0</v>
      </c>
      <c r="L10" s="34">
        <f>EMM_State_Elec_Map_NEMS_SEDS!Z41/EMM_State_Elec_Map_NEMS_SEDS!Z$42</f>
        <v>0</v>
      </c>
      <c r="M10" s="34">
        <f>EMM_State_Elec_Map_NEMS_SEDS!AA41/EMM_State_Elec_Map_NEMS_SEDS!AA$42</f>
        <v>0</v>
      </c>
      <c r="N10" s="34">
        <f>EMM_State_Elec_Map_NEMS_SEDS!AB41/EMM_State_Elec_Map_NEMS_SEDS!AB$42</f>
        <v>0</v>
      </c>
      <c r="O10" s="34">
        <f>EMM_State_Elec_Map_NEMS_SEDS!AC41/EMM_State_Elec_Map_NEMS_SEDS!AC$42</f>
        <v>0</v>
      </c>
      <c r="P10" s="34">
        <f>EMM_State_Elec_Map_NEMS_SEDS!AD41/EMM_State_Elec_Map_NEMS_SEDS!AD$42</f>
        <v>0</v>
      </c>
      <c r="Q10" s="34">
        <f>EMM_State_Elec_Map_NEMS_SEDS!AE41/EMM_State_Elec_Map_NEMS_SEDS!AE$42</f>
        <v>0</v>
      </c>
      <c r="R10" s="34">
        <f>EMM_State_Elec_Map_NEMS_SEDS!AF41/EMM_State_Elec_Map_NEMS_SEDS!AF$42</f>
        <v>0</v>
      </c>
      <c r="S10" s="34">
        <f>EMM_State_Elec_Map_NEMS_SEDS!AG41/EMM_State_Elec_Map_NEMS_SEDS!AG$42</f>
        <v>0</v>
      </c>
      <c r="T10" s="34">
        <f>EMM_State_Elec_Map_NEMS_SEDS!AH41/EMM_State_Elec_Map_NEMS_SEDS!AH$42</f>
        <v>0</v>
      </c>
      <c r="U10" s="34">
        <f>EMM_State_Elec_Map_NEMS_SEDS!AI41/EMM_State_Elec_Map_NEMS_SEDS!AI$42</f>
        <v>0.07128912168</v>
      </c>
      <c r="V10" s="34">
        <f>EMM_State_Elec_Map_NEMS_SEDS!AJ41/EMM_State_Elec_Map_NEMS_SEDS!AJ$42</f>
        <v>0.9999999233</v>
      </c>
      <c r="W10" s="34">
        <f>EMM_State_Elec_Map_NEMS_SEDS!AK41/EMM_State_Elec_Map_NEMS_SEDS!AK$42</f>
        <v>0.9999993062</v>
      </c>
      <c r="X10" s="34">
        <f>EMM_State_Elec_Map_NEMS_SEDS!AL41/EMM_State_Elec_Map_NEMS_SEDS!AL$42</f>
        <v>0.8736175953</v>
      </c>
      <c r="Y10" s="34">
        <f>EMM_State_Elec_Map_NEMS_SEDS!AM41/EMM_State_Elec_Map_NEMS_SEDS!AM$42</f>
        <v>0</v>
      </c>
      <c r="Z10" s="34">
        <f>EMM_State_Elec_Map_NEMS_SEDS!AN41/EMM_State_Elec_Map_NEMS_SEDS!AN$42</f>
        <v>0.007359916179</v>
      </c>
    </row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32" t="s">
        <v>94</v>
      </c>
      <c r="B1" s="32" t="s">
        <v>4010</v>
      </c>
      <c r="C1" s="32" t="s">
        <v>3989</v>
      </c>
      <c r="D1" s="32" t="s">
        <v>3996</v>
      </c>
      <c r="E1" s="32" t="s">
        <v>3992</v>
      </c>
      <c r="F1" s="32" t="s">
        <v>4003</v>
      </c>
      <c r="G1" s="32" t="s">
        <v>3974</v>
      </c>
      <c r="H1" s="32" t="s">
        <v>3985</v>
      </c>
      <c r="I1" s="32" t="s">
        <v>4006</v>
      </c>
      <c r="J1" s="32" t="s">
        <v>4005</v>
      </c>
      <c r="K1" s="32" t="s">
        <v>3987</v>
      </c>
      <c r="L1" s="32" t="s">
        <v>3997</v>
      </c>
      <c r="M1" s="32" t="s">
        <v>3994</v>
      </c>
      <c r="N1" s="32" t="s">
        <v>3988</v>
      </c>
      <c r="O1" s="32" t="s">
        <v>4009</v>
      </c>
      <c r="P1" s="32" t="s">
        <v>3969</v>
      </c>
      <c r="Q1" s="32" t="s">
        <v>3970</v>
      </c>
      <c r="R1" s="32" t="s">
        <v>3976</v>
      </c>
      <c r="S1" s="32" t="s">
        <v>4001</v>
      </c>
      <c r="T1" s="32" t="s">
        <v>3999</v>
      </c>
      <c r="U1" s="32" t="s">
        <v>3972</v>
      </c>
      <c r="V1" s="32" t="s">
        <v>3979</v>
      </c>
      <c r="W1" s="32" t="s">
        <v>3981</v>
      </c>
      <c r="X1" s="32" t="s">
        <v>3980</v>
      </c>
      <c r="Y1" s="32" t="s">
        <v>3983</v>
      </c>
      <c r="Z1" s="32" t="s">
        <v>3990</v>
      </c>
    </row>
    <row r="2" ht="15.75" customHeight="1">
      <c r="A2" s="32">
        <v>1.0</v>
      </c>
      <c r="B2" s="34">
        <f>EMM_State_Elec_Map_NEMS_SEDS!P3/EMM_State_Elec_Map_NEMS_SEDS!$AQ3</f>
        <v>0</v>
      </c>
      <c r="C2" s="34">
        <f>EMM_State_Elec_Map_NEMS_SEDS!Q3/EMM_State_Elec_Map_NEMS_SEDS!$AQ3</f>
        <v>0</v>
      </c>
      <c r="D2" s="34">
        <f>EMM_State_Elec_Map_NEMS_SEDS!R3/EMM_State_Elec_Map_NEMS_SEDS!$AQ3</f>
        <v>0</v>
      </c>
      <c r="E2" s="34">
        <f>EMM_State_Elec_Map_NEMS_SEDS!S3/EMM_State_Elec_Map_NEMS_SEDS!$AQ3</f>
        <v>0</v>
      </c>
      <c r="F2" s="34">
        <f>EMM_State_Elec_Map_NEMS_SEDS!T3/EMM_State_Elec_Map_NEMS_SEDS!$AQ3</f>
        <v>0</v>
      </c>
      <c r="G2" s="34">
        <f>EMM_State_Elec_Map_NEMS_SEDS!U3/EMM_State_Elec_Map_NEMS_SEDS!$AQ3</f>
        <v>0</v>
      </c>
      <c r="H2" s="34">
        <f>EMM_State_Elec_Map_NEMS_SEDS!V3/EMM_State_Elec_Map_NEMS_SEDS!$AQ3</f>
        <v>1</v>
      </c>
      <c r="I2" s="34">
        <f>EMM_State_Elec_Map_NEMS_SEDS!W3/EMM_State_Elec_Map_NEMS_SEDS!$AQ3</f>
        <v>0</v>
      </c>
      <c r="J2" s="34">
        <f>EMM_State_Elec_Map_NEMS_SEDS!X3/EMM_State_Elec_Map_NEMS_SEDS!$AQ3</f>
        <v>0</v>
      </c>
      <c r="K2" s="34">
        <f>EMM_State_Elec_Map_NEMS_SEDS!Y3/EMM_State_Elec_Map_NEMS_SEDS!$AQ3</f>
        <v>0</v>
      </c>
      <c r="L2" s="34">
        <f>EMM_State_Elec_Map_NEMS_SEDS!Z3/EMM_State_Elec_Map_NEMS_SEDS!$AQ3</f>
        <v>0</v>
      </c>
      <c r="M2" s="34">
        <f>EMM_State_Elec_Map_NEMS_SEDS!AA3/EMM_State_Elec_Map_NEMS_SEDS!$AQ3</f>
        <v>0</v>
      </c>
      <c r="N2" s="34">
        <f>EMM_State_Elec_Map_NEMS_SEDS!AB3/EMM_State_Elec_Map_NEMS_SEDS!$AQ3</f>
        <v>0</v>
      </c>
      <c r="O2" s="34">
        <f>EMM_State_Elec_Map_NEMS_SEDS!AC3/EMM_State_Elec_Map_NEMS_SEDS!$AQ3</f>
        <v>0</v>
      </c>
      <c r="P2" s="34">
        <f>EMM_State_Elec_Map_NEMS_SEDS!AD3/EMM_State_Elec_Map_NEMS_SEDS!$AQ3</f>
        <v>0</v>
      </c>
      <c r="Q2" s="34">
        <f>EMM_State_Elec_Map_NEMS_SEDS!AE3/EMM_State_Elec_Map_NEMS_SEDS!$AQ3</f>
        <v>0</v>
      </c>
      <c r="R2" s="34">
        <f>EMM_State_Elec_Map_NEMS_SEDS!AF3/EMM_State_Elec_Map_NEMS_SEDS!$AQ3</f>
        <v>0</v>
      </c>
      <c r="S2" s="34">
        <f>EMM_State_Elec_Map_NEMS_SEDS!AG3/EMM_State_Elec_Map_NEMS_SEDS!$AQ3</f>
        <v>0</v>
      </c>
      <c r="T2" s="34">
        <f>EMM_State_Elec_Map_NEMS_SEDS!AH3/EMM_State_Elec_Map_NEMS_SEDS!$AQ3</f>
        <v>0</v>
      </c>
      <c r="U2" s="34">
        <f>EMM_State_Elec_Map_NEMS_SEDS!AI3/EMM_State_Elec_Map_NEMS_SEDS!$AQ3</f>
        <v>0</v>
      </c>
      <c r="V2" s="34">
        <f>EMM_State_Elec_Map_NEMS_SEDS!AJ3/EMM_State_Elec_Map_NEMS_SEDS!$AQ3</f>
        <v>0</v>
      </c>
      <c r="W2" s="34">
        <f>EMM_State_Elec_Map_NEMS_SEDS!AK3/EMM_State_Elec_Map_NEMS_SEDS!$AQ3</f>
        <v>0</v>
      </c>
      <c r="X2" s="34">
        <f>EMM_State_Elec_Map_NEMS_SEDS!AL3/EMM_State_Elec_Map_NEMS_SEDS!$AQ3</f>
        <v>0</v>
      </c>
      <c r="Y2" s="34">
        <f>EMM_State_Elec_Map_NEMS_SEDS!AM3/EMM_State_Elec_Map_NEMS_SEDS!$AQ3</f>
        <v>0</v>
      </c>
      <c r="Z2" s="34">
        <f>EMM_State_Elec_Map_NEMS_SEDS!AN3/EMM_State_Elec_Map_NEMS_SEDS!$AQ3</f>
        <v>0</v>
      </c>
    </row>
    <row r="3" ht="15.75" customHeight="1">
      <c r="A3" s="32">
        <v>2.0</v>
      </c>
      <c r="B3" s="34">
        <f>EMM_State_Elec_Map_NEMS_SEDS!P4/EMM_State_Elec_Map_NEMS_SEDS!$AQ4</f>
        <v>0</v>
      </c>
      <c r="C3" s="34">
        <f>EMM_State_Elec_Map_NEMS_SEDS!Q4/EMM_State_Elec_Map_NEMS_SEDS!$AQ4</f>
        <v>0</v>
      </c>
      <c r="D3" s="34">
        <f>EMM_State_Elec_Map_NEMS_SEDS!R4/EMM_State_Elec_Map_NEMS_SEDS!$AQ4</f>
        <v>0</v>
      </c>
      <c r="E3" s="34">
        <f>EMM_State_Elec_Map_NEMS_SEDS!S4/EMM_State_Elec_Map_NEMS_SEDS!$AQ4</f>
        <v>0</v>
      </c>
      <c r="F3" s="34">
        <f>EMM_State_Elec_Map_NEMS_SEDS!T4/EMM_State_Elec_Map_NEMS_SEDS!$AQ4</f>
        <v>0</v>
      </c>
      <c r="G3" s="34">
        <f>EMM_State_Elec_Map_NEMS_SEDS!U4/EMM_State_Elec_Map_NEMS_SEDS!$AQ4</f>
        <v>0</v>
      </c>
      <c r="H3" s="34">
        <f>EMM_State_Elec_Map_NEMS_SEDS!V4/EMM_State_Elec_Map_NEMS_SEDS!$AQ4</f>
        <v>0.0001440934969</v>
      </c>
      <c r="I3" s="34">
        <f>EMM_State_Elec_Map_NEMS_SEDS!W4/EMM_State_Elec_Map_NEMS_SEDS!$AQ4</f>
        <v>0.1775981787</v>
      </c>
      <c r="J3" s="34">
        <f>EMM_State_Elec_Map_NEMS_SEDS!X4/EMM_State_Elec_Map_NEMS_SEDS!$AQ4</f>
        <v>0.2003604534</v>
      </c>
      <c r="K3" s="34">
        <f>EMM_State_Elec_Map_NEMS_SEDS!Y4/EMM_State_Elec_Map_NEMS_SEDS!$AQ4</f>
        <v>0.5167331533</v>
      </c>
      <c r="L3" s="34">
        <f>EMM_State_Elec_Map_NEMS_SEDS!Z4/EMM_State_Elec_Map_NEMS_SEDS!$AQ4</f>
        <v>0.1051641211</v>
      </c>
      <c r="M3" s="34">
        <f>EMM_State_Elec_Map_NEMS_SEDS!AA4/EMM_State_Elec_Map_NEMS_SEDS!$AQ4</f>
        <v>0</v>
      </c>
      <c r="N3" s="34">
        <f>EMM_State_Elec_Map_NEMS_SEDS!AB4/EMM_State_Elec_Map_NEMS_SEDS!$AQ4</f>
        <v>0</v>
      </c>
      <c r="O3" s="34">
        <f>EMM_State_Elec_Map_NEMS_SEDS!AC4/EMM_State_Elec_Map_NEMS_SEDS!$AQ4</f>
        <v>0</v>
      </c>
      <c r="P3" s="34">
        <f>EMM_State_Elec_Map_NEMS_SEDS!AD4/EMM_State_Elec_Map_NEMS_SEDS!$AQ4</f>
        <v>0</v>
      </c>
      <c r="Q3" s="34">
        <f>EMM_State_Elec_Map_NEMS_SEDS!AE4/EMM_State_Elec_Map_NEMS_SEDS!$AQ4</f>
        <v>0</v>
      </c>
      <c r="R3" s="34">
        <f>EMM_State_Elec_Map_NEMS_SEDS!AF4/EMM_State_Elec_Map_NEMS_SEDS!$AQ4</f>
        <v>0</v>
      </c>
      <c r="S3" s="34">
        <f>EMM_State_Elec_Map_NEMS_SEDS!AG4/EMM_State_Elec_Map_NEMS_SEDS!$AQ4</f>
        <v>0</v>
      </c>
      <c r="T3" s="34">
        <f>EMM_State_Elec_Map_NEMS_SEDS!AH4/EMM_State_Elec_Map_NEMS_SEDS!$AQ4</f>
        <v>0</v>
      </c>
      <c r="U3" s="34">
        <f>EMM_State_Elec_Map_NEMS_SEDS!AI4/EMM_State_Elec_Map_NEMS_SEDS!$AQ4</f>
        <v>0</v>
      </c>
      <c r="V3" s="34">
        <f>EMM_State_Elec_Map_NEMS_SEDS!AJ4/EMM_State_Elec_Map_NEMS_SEDS!$AQ4</f>
        <v>0</v>
      </c>
      <c r="W3" s="34">
        <f>EMM_State_Elec_Map_NEMS_SEDS!AK4/EMM_State_Elec_Map_NEMS_SEDS!$AQ4</f>
        <v>0</v>
      </c>
      <c r="X3" s="34">
        <f>EMM_State_Elec_Map_NEMS_SEDS!AL4/EMM_State_Elec_Map_NEMS_SEDS!$AQ4</f>
        <v>0</v>
      </c>
      <c r="Y3" s="34">
        <f>EMM_State_Elec_Map_NEMS_SEDS!AM4/EMM_State_Elec_Map_NEMS_SEDS!$AQ4</f>
        <v>0</v>
      </c>
      <c r="Z3" s="34">
        <f>EMM_State_Elec_Map_NEMS_SEDS!AN4/EMM_State_Elec_Map_NEMS_SEDS!$AQ4</f>
        <v>0</v>
      </c>
    </row>
    <row r="4" ht="15.75" customHeight="1">
      <c r="A4" s="32">
        <v>3.0</v>
      </c>
      <c r="B4" s="34">
        <f>EMM_State_Elec_Map_NEMS_SEDS!P5/EMM_State_Elec_Map_NEMS_SEDS!$AQ5</f>
        <v>0</v>
      </c>
      <c r="C4" s="34">
        <f>EMM_State_Elec_Map_NEMS_SEDS!Q5/EMM_State_Elec_Map_NEMS_SEDS!$AQ5</f>
        <v>0</v>
      </c>
      <c r="D4" s="34">
        <f>EMM_State_Elec_Map_NEMS_SEDS!R5/EMM_State_Elec_Map_NEMS_SEDS!$AQ5</f>
        <v>0.1236478516</v>
      </c>
      <c r="E4" s="34">
        <f>EMM_State_Elec_Map_NEMS_SEDS!S5/EMM_State_Elec_Map_NEMS_SEDS!$AQ5</f>
        <v>0.2358862033</v>
      </c>
      <c r="F4" s="34">
        <f>EMM_State_Elec_Map_NEMS_SEDS!T5/EMM_State_Elec_Map_NEMS_SEDS!$AQ5</f>
        <v>0.1684858657</v>
      </c>
      <c r="G4" s="34">
        <f>EMM_State_Elec_Map_NEMS_SEDS!U5/EMM_State_Elec_Map_NEMS_SEDS!$AQ5</f>
        <v>0</v>
      </c>
      <c r="H4" s="34">
        <f>EMM_State_Elec_Map_NEMS_SEDS!V5/EMM_State_Elec_Map_NEMS_SEDS!$AQ5</f>
        <v>0</v>
      </c>
      <c r="I4" s="34">
        <f>EMM_State_Elec_Map_NEMS_SEDS!W5/EMM_State_Elec_Map_NEMS_SEDS!$AQ5</f>
        <v>0</v>
      </c>
      <c r="J4" s="34">
        <f>EMM_State_Elec_Map_NEMS_SEDS!X5/EMM_State_Elec_Map_NEMS_SEDS!$AQ5</f>
        <v>0</v>
      </c>
      <c r="K4" s="34">
        <f>EMM_State_Elec_Map_NEMS_SEDS!Y5/EMM_State_Elec_Map_NEMS_SEDS!$AQ5</f>
        <v>0</v>
      </c>
      <c r="L4" s="34">
        <f>EMM_State_Elec_Map_NEMS_SEDS!Z5/EMM_State_Elec_Map_NEMS_SEDS!$AQ5</f>
        <v>0.3212972281</v>
      </c>
      <c r="M4" s="34">
        <f>EMM_State_Elec_Map_NEMS_SEDS!AA5/EMM_State_Elec_Map_NEMS_SEDS!$AQ5</f>
        <v>0.1506828513</v>
      </c>
      <c r="N4" s="34">
        <f>EMM_State_Elec_Map_NEMS_SEDS!AB5/EMM_State_Elec_Map_NEMS_SEDS!$AQ5</f>
        <v>0</v>
      </c>
      <c r="O4" s="34">
        <f>EMM_State_Elec_Map_NEMS_SEDS!AC5/EMM_State_Elec_Map_NEMS_SEDS!$AQ5</f>
        <v>0</v>
      </c>
      <c r="P4" s="34">
        <f>EMM_State_Elec_Map_NEMS_SEDS!AD5/EMM_State_Elec_Map_NEMS_SEDS!$AQ5</f>
        <v>0</v>
      </c>
      <c r="Q4" s="34">
        <f>EMM_State_Elec_Map_NEMS_SEDS!AE5/EMM_State_Elec_Map_NEMS_SEDS!$AQ5</f>
        <v>0</v>
      </c>
      <c r="R4" s="34">
        <f>EMM_State_Elec_Map_NEMS_SEDS!AF5/EMM_State_Elec_Map_NEMS_SEDS!$AQ5</f>
        <v>0</v>
      </c>
      <c r="S4" s="34">
        <f>EMM_State_Elec_Map_NEMS_SEDS!AG5/EMM_State_Elec_Map_NEMS_SEDS!$AQ5</f>
        <v>0</v>
      </c>
      <c r="T4" s="34">
        <f>EMM_State_Elec_Map_NEMS_SEDS!AH5/EMM_State_Elec_Map_NEMS_SEDS!$AQ5</f>
        <v>0</v>
      </c>
      <c r="U4" s="34">
        <f>EMM_State_Elec_Map_NEMS_SEDS!AI5/EMM_State_Elec_Map_NEMS_SEDS!$AQ5</f>
        <v>0</v>
      </c>
      <c r="V4" s="34">
        <f>EMM_State_Elec_Map_NEMS_SEDS!AJ5/EMM_State_Elec_Map_NEMS_SEDS!$AQ5</f>
        <v>0</v>
      </c>
      <c r="W4" s="34">
        <f>EMM_State_Elec_Map_NEMS_SEDS!AK5/EMM_State_Elec_Map_NEMS_SEDS!$AQ5</f>
        <v>0</v>
      </c>
      <c r="X4" s="34">
        <f>EMM_State_Elec_Map_NEMS_SEDS!AL5/EMM_State_Elec_Map_NEMS_SEDS!$AQ5</f>
        <v>0</v>
      </c>
      <c r="Y4" s="34">
        <f>EMM_State_Elec_Map_NEMS_SEDS!AM5/EMM_State_Elec_Map_NEMS_SEDS!$AQ5</f>
        <v>0</v>
      </c>
      <c r="Z4" s="34">
        <f>EMM_State_Elec_Map_NEMS_SEDS!AN5/EMM_State_Elec_Map_NEMS_SEDS!$AQ5</f>
        <v>0</v>
      </c>
    </row>
    <row r="5" ht="15.75" customHeight="1">
      <c r="A5" s="32">
        <v>4.0</v>
      </c>
      <c r="B5" s="34">
        <f>EMM_State_Elec_Map_NEMS_SEDS!P6/EMM_State_Elec_Map_NEMS_SEDS!$AQ6</f>
        <v>0</v>
      </c>
      <c r="C5" s="34">
        <f>EMM_State_Elec_Map_NEMS_SEDS!Q6/EMM_State_Elec_Map_NEMS_SEDS!$AQ6</f>
        <v>0</v>
      </c>
      <c r="D5" s="34">
        <f>EMM_State_Elec_Map_NEMS_SEDS!R6/EMM_State_Elec_Map_NEMS_SEDS!$AQ6</f>
        <v>0.3778396178</v>
      </c>
      <c r="E5" s="34">
        <f>EMM_State_Elec_Map_NEMS_SEDS!S6/EMM_State_Elec_Map_NEMS_SEDS!$AQ6</f>
        <v>0.2369080572</v>
      </c>
      <c r="F5" s="34">
        <f>EMM_State_Elec_Map_NEMS_SEDS!T6/EMM_State_Elec_Map_NEMS_SEDS!$AQ6</f>
        <v>0.000001219193223</v>
      </c>
      <c r="G5" s="34">
        <f>EMM_State_Elec_Map_NEMS_SEDS!U6/EMM_State_Elec_Map_NEMS_SEDS!$AQ6</f>
        <v>0.000002128946542</v>
      </c>
      <c r="H5" s="34">
        <f>EMM_State_Elec_Map_NEMS_SEDS!V6/EMM_State_Elec_Map_NEMS_SEDS!$AQ6</f>
        <v>0</v>
      </c>
      <c r="I5" s="34">
        <f>EMM_State_Elec_Map_NEMS_SEDS!W6/EMM_State_Elec_Map_NEMS_SEDS!$AQ6</f>
        <v>0</v>
      </c>
      <c r="J5" s="34">
        <f>EMM_State_Elec_Map_NEMS_SEDS!X6/EMM_State_Elec_Map_NEMS_SEDS!$AQ6</f>
        <v>0</v>
      </c>
      <c r="K5" s="34">
        <f>EMM_State_Elec_Map_NEMS_SEDS!Y6/EMM_State_Elec_Map_NEMS_SEDS!$AQ6</f>
        <v>0</v>
      </c>
      <c r="L5" s="34">
        <f>EMM_State_Elec_Map_NEMS_SEDS!Z6/EMM_State_Elec_Map_NEMS_SEDS!$AQ6</f>
        <v>0</v>
      </c>
      <c r="M5" s="34">
        <f>EMM_State_Elec_Map_NEMS_SEDS!AA6/EMM_State_Elec_Map_NEMS_SEDS!$AQ6</f>
        <v>0</v>
      </c>
      <c r="N5" s="34">
        <f>EMM_State_Elec_Map_NEMS_SEDS!AB6/EMM_State_Elec_Map_NEMS_SEDS!$AQ6</f>
        <v>0</v>
      </c>
      <c r="O5" s="34">
        <f>EMM_State_Elec_Map_NEMS_SEDS!AC6/EMM_State_Elec_Map_NEMS_SEDS!$AQ6</f>
        <v>0</v>
      </c>
      <c r="P5" s="34">
        <f>EMM_State_Elec_Map_NEMS_SEDS!AD6/EMM_State_Elec_Map_NEMS_SEDS!$AQ6</f>
        <v>0</v>
      </c>
      <c r="Q5" s="34">
        <f>EMM_State_Elec_Map_NEMS_SEDS!AE6/EMM_State_Elec_Map_NEMS_SEDS!$AQ6</f>
        <v>0</v>
      </c>
      <c r="R5" s="34">
        <f>EMM_State_Elec_Map_NEMS_SEDS!AF6/EMM_State_Elec_Map_NEMS_SEDS!$AQ6</f>
        <v>0</v>
      </c>
      <c r="S5" s="34">
        <f>EMM_State_Elec_Map_NEMS_SEDS!AG6/EMM_State_Elec_Map_NEMS_SEDS!$AQ6</f>
        <v>0.2282492541</v>
      </c>
      <c r="T5" s="34">
        <f>EMM_State_Elec_Map_NEMS_SEDS!AH6/EMM_State_Elec_Map_NEMS_SEDS!$AQ6</f>
        <v>0.1442340642</v>
      </c>
      <c r="U5" s="34">
        <f>EMM_State_Elec_Map_NEMS_SEDS!AI6/EMM_State_Elec_Map_NEMS_SEDS!$AQ6</f>
        <v>0</v>
      </c>
      <c r="V5" s="34">
        <f>EMM_State_Elec_Map_NEMS_SEDS!AJ6/EMM_State_Elec_Map_NEMS_SEDS!$AQ6</f>
        <v>0</v>
      </c>
      <c r="W5" s="34">
        <f>EMM_State_Elec_Map_NEMS_SEDS!AK6/EMM_State_Elec_Map_NEMS_SEDS!$AQ6</f>
        <v>0</v>
      </c>
      <c r="X5" s="34">
        <f>EMM_State_Elec_Map_NEMS_SEDS!AL6/EMM_State_Elec_Map_NEMS_SEDS!$AQ6</f>
        <v>0</v>
      </c>
      <c r="Y5" s="34">
        <f>EMM_State_Elec_Map_NEMS_SEDS!AM6/EMM_State_Elec_Map_NEMS_SEDS!$AQ6</f>
        <v>0.01276565857</v>
      </c>
      <c r="Z5" s="34">
        <f>EMM_State_Elec_Map_NEMS_SEDS!AN6/EMM_State_Elec_Map_NEMS_SEDS!$AQ6</f>
        <v>0</v>
      </c>
    </row>
    <row r="6" ht="15.75" customHeight="1">
      <c r="A6" s="32">
        <v>5.0</v>
      </c>
      <c r="B6" s="34">
        <f>EMM_State_Elec_Map_NEMS_SEDS!P7/EMM_State_Elec_Map_NEMS_SEDS!$AQ7</f>
        <v>0</v>
      </c>
      <c r="C6" s="34">
        <f>EMM_State_Elec_Map_NEMS_SEDS!Q7/EMM_State_Elec_Map_NEMS_SEDS!$AQ7</f>
        <v>0.3264207476</v>
      </c>
      <c r="D6" s="34">
        <f>EMM_State_Elec_Map_NEMS_SEDS!R7/EMM_State_Elec_Map_NEMS_SEDS!$AQ7</f>
        <v>0</v>
      </c>
      <c r="E6" s="34">
        <f>EMM_State_Elec_Map_NEMS_SEDS!S7/EMM_State_Elec_Map_NEMS_SEDS!$AQ7</f>
        <v>0</v>
      </c>
      <c r="F6" s="34">
        <f>EMM_State_Elec_Map_NEMS_SEDS!T7/EMM_State_Elec_Map_NEMS_SEDS!$AQ7</f>
        <v>0</v>
      </c>
      <c r="G6" s="34">
        <f>EMM_State_Elec_Map_NEMS_SEDS!U7/EMM_State_Elec_Map_NEMS_SEDS!$AQ7</f>
        <v>0</v>
      </c>
      <c r="H6" s="34">
        <f>EMM_State_Elec_Map_NEMS_SEDS!V7/EMM_State_Elec_Map_NEMS_SEDS!$AQ7</f>
        <v>0</v>
      </c>
      <c r="I6" s="34">
        <f>EMM_State_Elec_Map_NEMS_SEDS!W7/EMM_State_Elec_Map_NEMS_SEDS!$AQ7</f>
        <v>0</v>
      </c>
      <c r="J6" s="34">
        <f>EMM_State_Elec_Map_NEMS_SEDS!X7/EMM_State_Elec_Map_NEMS_SEDS!$AQ7</f>
        <v>0</v>
      </c>
      <c r="K6" s="34">
        <f>EMM_State_Elec_Map_NEMS_SEDS!Y7/EMM_State_Elec_Map_NEMS_SEDS!$AQ7</f>
        <v>0.08637601126</v>
      </c>
      <c r="L6" s="34">
        <f>EMM_State_Elec_Map_NEMS_SEDS!Z7/EMM_State_Elec_Map_NEMS_SEDS!$AQ7</f>
        <v>0.06237516442</v>
      </c>
      <c r="M6" s="34">
        <f>EMM_State_Elec_Map_NEMS_SEDS!AA7/EMM_State_Elec_Map_NEMS_SEDS!$AQ7</f>
        <v>0</v>
      </c>
      <c r="N6" s="34">
        <f>EMM_State_Elec_Map_NEMS_SEDS!AB7/EMM_State_Elec_Map_NEMS_SEDS!$AQ7</f>
        <v>0.1069800055</v>
      </c>
      <c r="O6" s="34">
        <f>EMM_State_Elec_Map_NEMS_SEDS!AC7/EMM_State_Elec_Map_NEMS_SEDS!$AQ7</f>
        <v>0.2373953212</v>
      </c>
      <c r="P6" s="34">
        <f>EMM_State_Elec_Map_NEMS_SEDS!AD7/EMM_State_Elec_Map_NEMS_SEDS!$AQ7</f>
        <v>0.172235245</v>
      </c>
      <c r="Q6" s="34">
        <f>EMM_State_Elec_Map_NEMS_SEDS!AE7/EMM_State_Elec_Map_NEMS_SEDS!$AQ7</f>
        <v>0.008217504992</v>
      </c>
      <c r="R6" s="34">
        <f>EMM_State_Elec_Map_NEMS_SEDS!AF7/EMM_State_Elec_Map_NEMS_SEDS!$AQ7</f>
        <v>0</v>
      </c>
      <c r="S6" s="34">
        <f>EMM_State_Elec_Map_NEMS_SEDS!AG7/EMM_State_Elec_Map_NEMS_SEDS!$AQ7</f>
        <v>0</v>
      </c>
      <c r="T6" s="34">
        <f>EMM_State_Elec_Map_NEMS_SEDS!AH7/EMM_State_Elec_Map_NEMS_SEDS!$AQ7</f>
        <v>0</v>
      </c>
      <c r="U6" s="34">
        <f>EMM_State_Elec_Map_NEMS_SEDS!AI7/EMM_State_Elec_Map_NEMS_SEDS!$AQ7</f>
        <v>0</v>
      </c>
      <c r="V6" s="34">
        <f>EMM_State_Elec_Map_NEMS_SEDS!AJ7/EMM_State_Elec_Map_NEMS_SEDS!$AQ7</f>
        <v>0</v>
      </c>
      <c r="W6" s="34">
        <f>EMM_State_Elec_Map_NEMS_SEDS!AK7/EMM_State_Elec_Map_NEMS_SEDS!$AQ7</f>
        <v>0</v>
      </c>
      <c r="X6" s="34">
        <f>EMM_State_Elec_Map_NEMS_SEDS!AL7/EMM_State_Elec_Map_NEMS_SEDS!$AQ7</f>
        <v>0</v>
      </c>
      <c r="Y6" s="34">
        <f>EMM_State_Elec_Map_NEMS_SEDS!AM7/EMM_State_Elec_Map_NEMS_SEDS!$AQ7</f>
        <v>0</v>
      </c>
      <c r="Z6" s="34">
        <f>EMM_State_Elec_Map_NEMS_SEDS!AN7/EMM_State_Elec_Map_NEMS_SEDS!$AQ7</f>
        <v>0</v>
      </c>
    </row>
    <row r="7" ht="15.75" customHeight="1">
      <c r="A7" s="32">
        <v>6.0</v>
      </c>
      <c r="B7" s="34">
        <f>EMM_State_Elec_Map_NEMS_SEDS!P8/EMM_State_Elec_Map_NEMS_SEDS!$AQ8</f>
        <v>0</v>
      </c>
      <c r="C7" s="34">
        <f>EMM_State_Elec_Map_NEMS_SEDS!Q8/EMM_State_Elec_Map_NEMS_SEDS!$AQ8</f>
        <v>0</v>
      </c>
      <c r="D7" s="34">
        <f>EMM_State_Elec_Map_NEMS_SEDS!R8/EMM_State_Elec_Map_NEMS_SEDS!$AQ8</f>
        <v>0</v>
      </c>
      <c r="E7" s="34">
        <f>EMM_State_Elec_Map_NEMS_SEDS!S8/EMM_State_Elec_Map_NEMS_SEDS!$AQ8</f>
        <v>0.01283919916</v>
      </c>
      <c r="F7" s="34">
        <f>EMM_State_Elec_Map_NEMS_SEDS!T8/EMM_State_Elec_Map_NEMS_SEDS!$AQ8</f>
        <v>0</v>
      </c>
      <c r="G7" s="34">
        <f>EMM_State_Elec_Map_NEMS_SEDS!U8/EMM_State_Elec_Map_NEMS_SEDS!$AQ8</f>
        <v>0.08585325912</v>
      </c>
      <c r="H7" s="34">
        <f>EMM_State_Elec_Map_NEMS_SEDS!V8/EMM_State_Elec_Map_NEMS_SEDS!$AQ8</f>
        <v>0</v>
      </c>
      <c r="I7" s="34">
        <f>EMM_State_Elec_Map_NEMS_SEDS!W8/EMM_State_Elec_Map_NEMS_SEDS!$AQ8</f>
        <v>0</v>
      </c>
      <c r="J7" s="34">
        <f>EMM_State_Elec_Map_NEMS_SEDS!X8/EMM_State_Elec_Map_NEMS_SEDS!$AQ8</f>
        <v>0</v>
      </c>
      <c r="K7" s="34">
        <f>EMM_State_Elec_Map_NEMS_SEDS!Y8/EMM_State_Elec_Map_NEMS_SEDS!$AQ8</f>
        <v>0</v>
      </c>
      <c r="L7" s="34">
        <f>EMM_State_Elec_Map_NEMS_SEDS!Z8/EMM_State_Elec_Map_NEMS_SEDS!$AQ8</f>
        <v>0.09490887891</v>
      </c>
      <c r="M7" s="34">
        <f>EMM_State_Elec_Map_NEMS_SEDS!AA8/EMM_State_Elec_Map_NEMS_SEDS!$AQ8</f>
        <v>0</v>
      </c>
      <c r="N7" s="34">
        <f>EMM_State_Elec_Map_NEMS_SEDS!AB8/EMM_State_Elec_Map_NEMS_SEDS!$AQ8</f>
        <v>0</v>
      </c>
      <c r="O7" s="34">
        <f>EMM_State_Elec_Map_NEMS_SEDS!AC8/EMM_State_Elec_Map_NEMS_SEDS!$AQ8</f>
        <v>0.00007043813066</v>
      </c>
      <c r="P7" s="34">
        <f>EMM_State_Elec_Map_NEMS_SEDS!AD8/EMM_State_Elec_Map_NEMS_SEDS!$AQ8</f>
        <v>0.230257018</v>
      </c>
      <c r="Q7" s="34">
        <f>EMM_State_Elec_Map_NEMS_SEDS!AE8/EMM_State_Elec_Map_NEMS_SEDS!$AQ8</f>
        <v>0.5760712066</v>
      </c>
      <c r="R7" s="34">
        <f>EMM_State_Elec_Map_NEMS_SEDS!AF8/EMM_State_Elec_Map_NEMS_SEDS!$AQ8</f>
        <v>0</v>
      </c>
      <c r="S7" s="34">
        <f>EMM_State_Elec_Map_NEMS_SEDS!AG8/EMM_State_Elec_Map_NEMS_SEDS!$AQ8</f>
        <v>0</v>
      </c>
      <c r="T7" s="34">
        <f>EMM_State_Elec_Map_NEMS_SEDS!AH8/EMM_State_Elec_Map_NEMS_SEDS!$AQ8</f>
        <v>0</v>
      </c>
      <c r="U7" s="34">
        <f>EMM_State_Elec_Map_NEMS_SEDS!AI8/EMM_State_Elec_Map_NEMS_SEDS!$AQ8</f>
        <v>0</v>
      </c>
      <c r="V7" s="34">
        <f>EMM_State_Elec_Map_NEMS_SEDS!AJ8/EMM_State_Elec_Map_NEMS_SEDS!$AQ8</f>
        <v>0</v>
      </c>
      <c r="W7" s="34">
        <f>EMM_State_Elec_Map_NEMS_SEDS!AK8/EMM_State_Elec_Map_NEMS_SEDS!$AQ8</f>
        <v>0</v>
      </c>
      <c r="X7" s="34">
        <f>EMM_State_Elec_Map_NEMS_SEDS!AL8/EMM_State_Elec_Map_NEMS_SEDS!$AQ8</f>
        <v>0</v>
      </c>
      <c r="Y7" s="34">
        <f>EMM_State_Elec_Map_NEMS_SEDS!AM8/EMM_State_Elec_Map_NEMS_SEDS!$AQ8</f>
        <v>0</v>
      </c>
      <c r="Z7" s="34">
        <f>EMM_State_Elec_Map_NEMS_SEDS!AN8/EMM_State_Elec_Map_NEMS_SEDS!$AQ8</f>
        <v>0</v>
      </c>
    </row>
    <row r="8" ht="15.75" customHeight="1">
      <c r="A8" s="32">
        <v>7.0</v>
      </c>
      <c r="B8" s="34">
        <f>EMM_State_Elec_Map_NEMS_SEDS!P9/EMM_State_Elec_Map_NEMS_SEDS!$AQ9</f>
        <v>0.5973435303</v>
      </c>
      <c r="C8" s="34">
        <f>EMM_State_Elec_Map_NEMS_SEDS!Q9/EMM_State_Elec_Map_NEMS_SEDS!$AQ9</f>
        <v>0</v>
      </c>
      <c r="D8" s="34">
        <f>EMM_State_Elec_Map_NEMS_SEDS!R9/EMM_State_Elec_Map_NEMS_SEDS!$AQ9</f>
        <v>0</v>
      </c>
      <c r="E8" s="34">
        <f>EMM_State_Elec_Map_NEMS_SEDS!S9/EMM_State_Elec_Map_NEMS_SEDS!$AQ9</f>
        <v>0</v>
      </c>
      <c r="F8" s="34">
        <f>EMM_State_Elec_Map_NEMS_SEDS!T9/EMM_State_Elec_Map_NEMS_SEDS!$AQ9</f>
        <v>0</v>
      </c>
      <c r="G8" s="34">
        <f>EMM_State_Elec_Map_NEMS_SEDS!U9/EMM_State_Elec_Map_NEMS_SEDS!$AQ9</f>
        <v>0.2148171185</v>
      </c>
      <c r="H8" s="34">
        <f>EMM_State_Elec_Map_NEMS_SEDS!V9/EMM_State_Elec_Map_NEMS_SEDS!$AQ9</f>
        <v>0</v>
      </c>
      <c r="I8" s="34">
        <f>EMM_State_Elec_Map_NEMS_SEDS!W9/EMM_State_Elec_Map_NEMS_SEDS!$AQ9</f>
        <v>0</v>
      </c>
      <c r="J8" s="34">
        <f>EMM_State_Elec_Map_NEMS_SEDS!X9/EMM_State_Elec_Map_NEMS_SEDS!$AQ9</f>
        <v>0</v>
      </c>
      <c r="K8" s="34">
        <f>EMM_State_Elec_Map_NEMS_SEDS!Y9/EMM_State_Elec_Map_NEMS_SEDS!$AQ9</f>
        <v>0</v>
      </c>
      <c r="L8" s="34">
        <f>EMM_State_Elec_Map_NEMS_SEDS!Z9/EMM_State_Elec_Map_NEMS_SEDS!$AQ9</f>
        <v>0</v>
      </c>
      <c r="M8" s="34">
        <f>EMM_State_Elec_Map_NEMS_SEDS!AA9/EMM_State_Elec_Map_NEMS_SEDS!$AQ9</f>
        <v>0</v>
      </c>
      <c r="N8" s="34">
        <f>EMM_State_Elec_Map_NEMS_SEDS!AB9/EMM_State_Elec_Map_NEMS_SEDS!$AQ9</f>
        <v>0</v>
      </c>
      <c r="O8" s="34">
        <f>EMM_State_Elec_Map_NEMS_SEDS!AC9/EMM_State_Elec_Map_NEMS_SEDS!$AQ9</f>
        <v>0</v>
      </c>
      <c r="P8" s="34">
        <f>EMM_State_Elec_Map_NEMS_SEDS!AD9/EMM_State_Elec_Map_NEMS_SEDS!$AQ9</f>
        <v>0</v>
      </c>
      <c r="Q8" s="34">
        <f>EMM_State_Elec_Map_NEMS_SEDS!AE9/EMM_State_Elec_Map_NEMS_SEDS!$AQ9</f>
        <v>0</v>
      </c>
      <c r="R8" s="34">
        <f>EMM_State_Elec_Map_NEMS_SEDS!AF9/EMM_State_Elec_Map_NEMS_SEDS!$AQ9</f>
        <v>0.1774510316</v>
      </c>
      <c r="S8" s="34">
        <f>EMM_State_Elec_Map_NEMS_SEDS!AG9/EMM_State_Elec_Map_NEMS_SEDS!$AQ9</f>
        <v>0.00008165752203</v>
      </c>
      <c r="T8" s="34">
        <f>EMM_State_Elec_Map_NEMS_SEDS!AH9/EMM_State_Elec_Map_NEMS_SEDS!$AQ9</f>
        <v>0</v>
      </c>
      <c r="U8" s="34">
        <f>EMM_State_Elec_Map_NEMS_SEDS!AI9/EMM_State_Elec_Map_NEMS_SEDS!$AQ9</f>
        <v>0.01030666207</v>
      </c>
      <c r="V8" s="34">
        <f>EMM_State_Elec_Map_NEMS_SEDS!AJ9/EMM_State_Elec_Map_NEMS_SEDS!$AQ9</f>
        <v>0</v>
      </c>
      <c r="W8" s="34">
        <f>EMM_State_Elec_Map_NEMS_SEDS!AK9/EMM_State_Elec_Map_NEMS_SEDS!$AQ9</f>
        <v>0</v>
      </c>
      <c r="X8" s="34">
        <f>EMM_State_Elec_Map_NEMS_SEDS!AL9/EMM_State_Elec_Map_NEMS_SEDS!$AQ9</f>
        <v>0</v>
      </c>
      <c r="Y8" s="34">
        <f>EMM_State_Elec_Map_NEMS_SEDS!AM9/EMM_State_Elec_Map_NEMS_SEDS!$AQ9</f>
        <v>0</v>
      </c>
      <c r="Z8" s="34">
        <f>EMM_State_Elec_Map_NEMS_SEDS!AN9/EMM_State_Elec_Map_NEMS_SEDS!$AQ9</f>
        <v>0</v>
      </c>
    </row>
    <row r="9" ht="15.75" customHeight="1">
      <c r="A9" s="32">
        <v>8.0</v>
      </c>
      <c r="B9" s="34">
        <f>EMM_State_Elec_Map_NEMS_SEDS!P10/EMM_State_Elec_Map_NEMS_SEDS!$AQ10</f>
        <v>0</v>
      </c>
      <c r="C9" s="34">
        <f>EMM_State_Elec_Map_NEMS_SEDS!Q10/EMM_State_Elec_Map_NEMS_SEDS!$AQ10</f>
        <v>0</v>
      </c>
      <c r="D9" s="34">
        <f>EMM_State_Elec_Map_NEMS_SEDS!R10/EMM_State_Elec_Map_NEMS_SEDS!$AQ10</f>
        <v>0</v>
      </c>
      <c r="E9" s="34">
        <f>EMM_State_Elec_Map_NEMS_SEDS!S10/EMM_State_Elec_Map_NEMS_SEDS!$AQ10</f>
        <v>0</v>
      </c>
      <c r="F9" s="34">
        <f>EMM_State_Elec_Map_NEMS_SEDS!T10/EMM_State_Elec_Map_NEMS_SEDS!$AQ10</f>
        <v>0</v>
      </c>
      <c r="G9" s="34">
        <f>EMM_State_Elec_Map_NEMS_SEDS!U10/EMM_State_Elec_Map_NEMS_SEDS!$AQ10</f>
        <v>0</v>
      </c>
      <c r="H9" s="34">
        <f>EMM_State_Elec_Map_NEMS_SEDS!V10/EMM_State_Elec_Map_NEMS_SEDS!$AQ10</f>
        <v>0</v>
      </c>
      <c r="I9" s="34">
        <f>EMM_State_Elec_Map_NEMS_SEDS!W10/EMM_State_Elec_Map_NEMS_SEDS!$AQ10</f>
        <v>0</v>
      </c>
      <c r="J9" s="34">
        <f>EMM_State_Elec_Map_NEMS_SEDS!X10/EMM_State_Elec_Map_NEMS_SEDS!$AQ10</f>
        <v>0</v>
      </c>
      <c r="K9" s="34">
        <f>EMM_State_Elec_Map_NEMS_SEDS!Y10/EMM_State_Elec_Map_NEMS_SEDS!$AQ10</f>
        <v>0</v>
      </c>
      <c r="L9" s="34">
        <f>EMM_State_Elec_Map_NEMS_SEDS!Z10/EMM_State_Elec_Map_NEMS_SEDS!$AQ10</f>
        <v>0</v>
      </c>
      <c r="M9" s="34">
        <f>EMM_State_Elec_Map_NEMS_SEDS!AA10/EMM_State_Elec_Map_NEMS_SEDS!$AQ10</f>
        <v>0</v>
      </c>
      <c r="N9" s="34">
        <f>EMM_State_Elec_Map_NEMS_SEDS!AB10/EMM_State_Elec_Map_NEMS_SEDS!$AQ10</f>
        <v>0</v>
      </c>
      <c r="O9" s="34">
        <f>EMM_State_Elec_Map_NEMS_SEDS!AC10/EMM_State_Elec_Map_NEMS_SEDS!$AQ10</f>
        <v>0</v>
      </c>
      <c r="P9" s="34">
        <f>EMM_State_Elec_Map_NEMS_SEDS!AD10/EMM_State_Elec_Map_NEMS_SEDS!$AQ10</f>
        <v>0</v>
      </c>
      <c r="Q9" s="34">
        <f>EMM_State_Elec_Map_NEMS_SEDS!AE10/EMM_State_Elec_Map_NEMS_SEDS!$AQ10</f>
        <v>0</v>
      </c>
      <c r="R9" s="34">
        <f>EMM_State_Elec_Map_NEMS_SEDS!AF10/EMM_State_Elec_Map_NEMS_SEDS!$AQ10</f>
        <v>0.01453537657</v>
      </c>
      <c r="S9" s="34">
        <f>EMM_State_Elec_Map_NEMS_SEDS!AG10/EMM_State_Elec_Map_NEMS_SEDS!$AQ10</f>
        <v>0.000002670200711</v>
      </c>
      <c r="T9" s="34">
        <f>EMM_State_Elec_Map_NEMS_SEDS!AH10/EMM_State_Elec_Map_NEMS_SEDS!$AQ10</f>
        <v>0.002569735217</v>
      </c>
      <c r="U9" s="34">
        <f>EMM_State_Elec_Map_NEMS_SEDS!AI10/EMM_State_Elec_Map_NEMS_SEDS!$AQ10</f>
        <v>0.3983372027</v>
      </c>
      <c r="V9" s="34">
        <f>EMM_State_Elec_Map_NEMS_SEDS!AJ10/EMM_State_Elec_Map_NEMS_SEDS!$AQ10</f>
        <v>0.00001763754852</v>
      </c>
      <c r="W9" s="34">
        <f>EMM_State_Elec_Map_NEMS_SEDS!AK10/EMM_State_Elec_Map_NEMS_SEDS!$AQ10</f>
        <v>0.00006441778397</v>
      </c>
      <c r="X9" s="34">
        <f>EMM_State_Elec_Map_NEMS_SEDS!AL10/EMM_State_Elec_Map_NEMS_SEDS!$AQ10</f>
        <v>0.07911777228</v>
      </c>
      <c r="Y9" s="34">
        <f>EMM_State_Elec_Map_NEMS_SEDS!AM10/EMM_State_Elec_Map_NEMS_SEDS!$AQ10</f>
        <v>0.2082219734</v>
      </c>
      <c r="Z9" s="34">
        <f>EMM_State_Elec_Map_NEMS_SEDS!AN10/EMM_State_Elec_Map_NEMS_SEDS!$AQ10</f>
        <v>0.2971332143</v>
      </c>
    </row>
    <row r="10" ht="15.75" customHeight="1">
      <c r="A10" s="32">
        <v>9.0</v>
      </c>
      <c r="B10" s="34">
        <f>EMM_State_Elec_Map_NEMS_SEDS!P11/EMM_State_Elec_Map_NEMS_SEDS!$AQ11</f>
        <v>0</v>
      </c>
      <c r="C10" s="34">
        <f>EMM_State_Elec_Map_NEMS_SEDS!Q11/EMM_State_Elec_Map_NEMS_SEDS!$AQ11</f>
        <v>0</v>
      </c>
      <c r="D10" s="34">
        <f>EMM_State_Elec_Map_NEMS_SEDS!R11/EMM_State_Elec_Map_NEMS_SEDS!$AQ11</f>
        <v>0</v>
      </c>
      <c r="E10" s="34">
        <f>EMM_State_Elec_Map_NEMS_SEDS!S11/EMM_State_Elec_Map_NEMS_SEDS!$AQ11</f>
        <v>0</v>
      </c>
      <c r="F10" s="34">
        <f>EMM_State_Elec_Map_NEMS_SEDS!T11/EMM_State_Elec_Map_NEMS_SEDS!$AQ11</f>
        <v>0</v>
      </c>
      <c r="G10" s="34">
        <f>EMM_State_Elec_Map_NEMS_SEDS!U11/EMM_State_Elec_Map_NEMS_SEDS!$AQ11</f>
        <v>0</v>
      </c>
      <c r="H10" s="34">
        <f>EMM_State_Elec_Map_NEMS_SEDS!V11/EMM_State_Elec_Map_NEMS_SEDS!$AQ11</f>
        <v>0</v>
      </c>
      <c r="I10" s="34">
        <f>EMM_State_Elec_Map_NEMS_SEDS!W11/EMM_State_Elec_Map_NEMS_SEDS!$AQ11</f>
        <v>0</v>
      </c>
      <c r="J10" s="34">
        <f>EMM_State_Elec_Map_NEMS_SEDS!X11/EMM_State_Elec_Map_NEMS_SEDS!$AQ11</f>
        <v>0</v>
      </c>
      <c r="K10" s="34">
        <f>EMM_State_Elec_Map_NEMS_SEDS!Y11/EMM_State_Elec_Map_NEMS_SEDS!$AQ11</f>
        <v>0</v>
      </c>
      <c r="L10" s="34">
        <f>EMM_State_Elec_Map_NEMS_SEDS!Z11/EMM_State_Elec_Map_NEMS_SEDS!$AQ11</f>
        <v>0</v>
      </c>
      <c r="M10" s="34">
        <f>EMM_State_Elec_Map_NEMS_SEDS!AA11/EMM_State_Elec_Map_NEMS_SEDS!$AQ11</f>
        <v>0</v>
      </c>
      <c r="N10" s="34">
        <f>EMM_State_Elec_Map_NEMS_SEDS!AB11/EMM_State_Elec_Map_NEMS_SEDS!$AQ11</f>
        <v>0</v>
      </c>
      <c r="O10" s="34">
        <f>EMM_State_Elec_Map_NEMS_SEDS!AC11/EMM_State_Elec_Map_NEMS_SEDS!$AQ11</f>
        <v>0</v>
      </c>
      <c r="P10" s="34">
        <f>EMM_State_Elec_Map_NEMS_SEDS!AD11/EMM_State_Elec_Map_NEMS_SEDS!$AQ11</f>
        <v>0</v>
      </c>
      <c r="Q10" s="34">
        <f>EMM_State_Elec_Map_NEMS_SEDS!AE11/EMM_State_Elec_Map_NEMS_SEDS!$AQ11</f>
        <v>0</v>
      </c>
      <c r="R10" s="34">
        <f>EMM_State_Elec_Map_NEMS_SEDS!AF11/EMM_State_Elec_Map_NEMS_SEDS!$AQ11</f>
        <v>0</v>
      </c>
      <c r="S10" s="34">
        <f>EMM_State_Elec_Map_NEMS_SEDS!AG11/EMM_State_Elec_Map_NEMS_SEDS!$AQ11</f>
        <v>0</v>
      </c>
      <c r="T10" s="34">
        <f>EMM_State_Elec_Map_NEMS_SEDS!AH11/EMM_State_Elec_Map_NEMS_SEDS!$AQ11</f>
        <v>0</v>
      </c>
      <c r="U10" s="34">
        <f>EMM_State_Elec_Map_NEMS_SEDS!AI11/EMM_State_Elec_Map_NEMS_SEDS!$AQ11</f>
        <v>0.01257633263</v>
      </c>
      <c r="V10" s="34">
        <f>EMM_State_Elec_Map_NEMS_SEDS!AJ11/EMM_State_Elec_Map_NEMS_SEDS!$AQ11</f>
        <v>0.2545650944</v>
      </c>
      <c r="W10" s="34">
        <f>EMM_State_Elec_Map_NEMS_SEDS!AK11/EMM_State_Elec_Map_NEMS_SEDS!$AQ11</f>
        <v>0.3296931413</v>
      </c>
      <c r="X10" s="34">
        <f>EMM_State_Elec_Map_NEMS_SEDS!AL11/EMM_State_Elec_Map_NEMS_SEDS!$AQ11</f>
        <v>0.3697512418</v>
      </c>
      <c r="Y10" s="34">
        <f>EMM_State_Elec_Map_NEMS_SEDS!AM11/EMM_State_Elec_Map_NEMS_SEDS!$AQ11</f>
        <v>0</v>
      </c>
      <c r="Z10" s="34">
        <f>EMM_State_Elec_Map_NEMS_SEDS!AN11/EMM_State_Elec_Map_NEMS_SEDS!$AQ11</f>
        <v>0.001768669288</v>
      </c>
    </row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32" t="s">
        <v>94</v>
      </c>
      <c r="B1" s="32" t="s">
        <v>4010</v>
      </c>
      <c r="C1" s="32" t="s">
        <v>3989</v>
      </c>
      <c r="D1" s="32" t="s">
        <v>3996</v>
      </c>
      <c r="E1" s="32" t="s">
        <v>3992</v>
      </c>
      <c r="F1" s="32" t="s">
        <v>4003</v>
      </c>
      <c r="G1" s="32" t="s">
        <v>3974</v>
      </c>
      <c r="H1" s="32" t="s">
        <v>3985</v>
      </c>
      <c r="I1" s="32" t="s">
        <v>4006</v>
      </c>
      <c r="J1" s="32" t="s">
        <v>4005</v>
      </c>
      <c r="K1" s="32" t="s">
        <v>3987</v>
      </c>
      <c r="L1" s="32" t="s">
        <v>3997</v>
      </c>
      <c r="M1" s="32" t="s">
        <v>3994</v>
      </c>
      <c r="N1" s="32" t="s">
        <v>3988</v>
      </c>
      <c r="O1" s="32" t="s">
        <v>4009</v>
      </c>
      <c r="P1" s="32" t="s">
        <v>3969</v>
      </c>
      <c r="Q1" s="32" t="s">
        <v>3970</v>
      </c>
      <c r="R1" s="32" t="s">
        <v>3976</v>
      </c>
      <c r="S1" s="32" t="s">
        <v>4001</v>
      </c>
      <c r="T1" s="32" t="s">
        <v>3999</v>
      </c>
      <c r="U1" s="32" t="s">
        <v>3972</v>
      </c>
      <c r="V1" s="32" t="s">
        <v>3979</v>
      </c>
      <c r="W1" s="32" t="s">
        <v>3981</v>
      </c>
      <c r="X1" s="32" t="s">
        <v>3980</v>
      </c>
      <c r="Y1" s="32" t="s">
        <v>3983</v>
      </c>
      <c r="Z1" s="32" t="s">
        <v>3990</v>
      </c>
    </row>
    <row r="2" ht="15.75" customHeight="1">
      <c r="A2" s="32">
        <v>1.0</v>
      </c>
      <c r="B2" s="34">
        <f>EMM_State_Elec_Map_NEMS_SEDS!P3/EMM_State_Elec_Map_NEMS_SEDS!P$12</f>
        <v>0</v>
      </c>
      <c r="C2" s="34">
        <f>EMM_State_Elec_Map_NEMS_SEDS!Q3/EMM_State_Elec_Map_NEMS_SEDS!Q$12</f>
        <v>0</v>
      </c>
      <c r="D2" s="34">
        <f>EMM_State_Elec_Map_NEMS_SEDS!R3/EMM_State_Elec_Map_NEMS_SEDS!R$12</f>
        <v>0</v>
      </c>
      <c r="E2" s="34">
        <f>EMM_State_Elec_Map_NEMS_SEDS!S3/EMM_State_Elec_Map_NEMS_SEDS!S$12</f>
        <v>0</v>
      </c>
      <c r="F2" s="34">
        <f>EMM_State_Elec_Map_NEMS_SEDS!T3/EMM_State_Elec_Map_NEMS_SEDS!T$12</f>
        <v>0</v>
      </c>
      <c r="G2" s="34">
        <f>EMM_State_Elec_Map_NEMS_SEDS!U3/EMM_State_Elec_Map_NEMS_SEDS!U$12</f>
        <v>0</v>
      </c>
      <c r="H2" s="34">
        <f>EMM_State_Elec_Map_NEMS_SEDS!V3/EMM_State_Elec_Map_NEMS_SEDS!V$12</f>
        <v>0.9995879287</v>
      </c>
      <c r="I2" s="34">
        <f>EMM_State_Elec_Map_NEMS_SEDS!W3/EMM_State_Elec_Map_NEMS_SEDS!W$12</f>
        <v>0</v>
      </c>
      <c r="J2" s="34">
        <f>EMM_State_Elec_Map_NEMS_SEDS!X3/EMM_State_Elec_Map_NEMS_SEDS!X$12</f>
        <v>0</v>
      </c>
      <c r="K2" s="34">
        <f>EMM_State_Elec_Map_NEMS_SEDS!Y3/EMM_State_Elec_Map_NEMS_SEDS!Y$12</f>
        <v>0</v>
      </c>
      <c r="L2" s="34">
        <f>EMM_State_Elec_Map_NEMS_SEDS!Z3/EMM_State_Elec_Map_NEMS_SEDS!Z$12</f>
        <v>0</v>
      </c>
      <c r="M2" s="34">
        <f>EMM_State_Elec_Map_NEMS_SEDS!AA3/EMM_State_Elec_Map_NEMS_SEDS!AA$12</f>
        <v>0</v>
      </c>
      <c r="N2" s="34">
        <f>EMM_State_Elec_Map_NEMS_SEDS!AB3/EMM_State_Elec_Map_NEMS_SEDS!AB$12</f>
        <v>0</v>
      </c>
      <c r="O2" s="34">
        <f>EMM_State_Elec_Map_NEMS_SEDS!AC3/EMM_State_Elec_Map_NEMS_SEDS!AC$12</f>
        <v>0</v>
      </c>
      <c r="P2" s="34">
        <f>EMM_State_Elec_Map_NEMS_SEDS!AD3/EMM_State_Elec_Map_NEMS_SEDS!AD$12</f>
        <v>0</v>
      </c>
      <c r="Q2" s="34">
        <f>EMM_State_Elec_Map_NEMS_SEDS!AE3/EMM_State_Elec_Map_NEMS_SEDS!AE$12</f>
        <v>0</v>
      </c>
      <c r="R2" s="34">
        <f>EMM_State_Elec_Map_NEMS_SEDS!AF3/EMM_State_Elec_Map_NEMS_SEDS!AF$12</f>
        <v>0</v>
      </c>
      <c r="S2" s="34">
        <f>EMM_State_Elec_Map_NEMS_SEDS!AG3/EMM_State_Elec_Map_NEMS_SEDS!AG$12</f>
        <v>0</v>
      </c>
      <c r="T2" s="34">
        <f>EMM_State_Elec_Map_NEMS_SEDS!AH3/EMM_State_Elec_Map_NEMS_SEDS!AH$12</f>
        <v>0</v>
      </c>
      <c r="U2" s="34">
        <f>EMM_State_Elec_Map_NEMS_SEDS!AI3/EMM_State_Elec_Map_NEMS_SEDS!AI$12</f>
        <v>0</v>
      </c>
      <c r="V2" s="34">
        <f>EMM_State_Elec_Map_NEMS_SEDS!AJ3/EMM_State_Elec_Map_NEMS_SEDS!AJ$12</f>
        <v>0</v>
      </c>
      <c r="W2" s="34">
        <f>EMM_State_Elec_Map_NEMS_SEDS!AK3/EMM_State_Elec_Map_NEMS_SEDS!AK$12</f>
        <v>0</v>
      </c>
      <c r="X2" s="34">
        <f>EMM_State_Elec_Map_NEMS_SEDS!AL3/EMM_State_Elec_Map_NEMS_SEDS!AL$12</f>
        <v>0</v>
      </c>
      <c r="Y2" s="34">
        <f>EMM_State_Elec_Map_NEMS_SEDS!AM3/EMM_State_Elec_Map_NEMS_SEDS!AM$12</f>
        <v>0</v>
      </c>
      <c r="Z2" s="34">
        <f>EMM_State_Elec_Map_NEMS_SEDS!AN3/EMM_State_Elec_Map_NEMS_SEDS!AN$12</f>
        <v>0</v>
      </c>
    </row>
    <row r="3" ht="15.75" customHeight="1">
      <c r="A3" s="32">
        <v>2.0</v>
      </c>
      <c r="B3" s="34">
        <f>EMM_State_Elec_Map_NEMS_SEDS!P4/EMM_State_Elec_Map_NEMS_SEDS!P$12</f>
        <v>0</v>
      </c>
      <c r="C3" s="34">
        <f>EMM_State_Elec_Map_NEMS_SEDS!Q4/EMM_State_Elec_Map_NEMS_SEDS!Q$12</f>
        <v>0</v>
      </c>
      <c r="D3" s="34">
        <f>EMM_State_Elec_Map_NEMS_SEDS!R4/EMM_State_Elec_Map_NEMS_SEDS!R$12</f>
        <v>0</v>
      </c>
      <c r="E3" s="34">
        <f>EMM_State_Elec_Map_NEMS_SEDS!S4/EMM_State_Elec_Map_NEMS_SEDS!S$12</f>
        <v>0</v>
      </c>
      <c r="F3" s="34">
        <f>EMM_State_Elec_Map_NEMS_SEDS!T4/EMM_State_Elec_Map_NEMS_SEDS!T$12</f>
        <v>0</v>
      </c>
      <c r="G3" s="34">
        <f>EMM_State_Elec_Map_NEMS_SEDS!U4/EMM_State_Elec_Map_NEMS_SEDS!U$12</f>
        <v>0</v>
      </c>
      <c r="H3" s="34">
        <f>EMM_State_Elec_Map_NEMS_SEDS!V4/EMM_State_Elec_Map_NEMS_SEDS!V$12</f>
        <v>0.0004120733967</v>
      </c>
      <c r="I3" s="34">
        <f>EMM_State_Elec_Map_NEMS_SEDS!W4/EMM_State_Elec_Map_NEMS_SEDS!W$12</f>
        <v>1.000000002</v>
      </c>
      <c r="J3" s="34">
        <f>EMM_State_Elec_Map_NEMS_SEDS!X4/EMM_State_Elec_Map_NEMS_SEDS!X$12</f>
        <v>1.000000002</v>
      </c>
      <c r="K3" s="34">
        <f>EMM_State_Elec_Map_NEMS_SEDS!Y4/EMM_State_Elec_Map_NEMS_SEDS!Y$12</f>
        <v>0.6859756213</v>
      </c>
      <c r="L3" s="34">
        <f>EMM_State_Elec_Map_NEMS_SEDS!Z4/EMM_State_Elec_Map_NEMS_SEDS!Z$12</f>
        <v>0.12996846</v>
      </c>
      <c r="M3" s="34">
        <f>EMM_State_Elec_Map_NEMS_SEDS!AA4/EMM_State_Elec_Map_NEMS_SEDS!AA$12</f>
        <v>0</v>
      </c>
      <c r="N3" s="34">
        <f>EMM_State_Elec_Map_NEMS_SEDS!AB4/EMM_State_Elec_Map_NEMS_SEDS!AB$12</f>
        <v>0</v>
      </c>
      <c r="O3" s="34">
        <f>EMM_State_Elec_Map_NEMS_SEDS!AC4/EMM_State_Elec_Map_NEMS_SEDS!AC$12</f>
        <v>0</v>
      </c>
      <c r="P3" s="34">
        <f>EMM_State_Elec_Map_NEMS_SEDS!AD4/EMM_State_Elec_Map_NEMS_SEDS!AD$12</f>
        <v>0</v>
      </c>
      <c r="Q3" s="34">
        <f>EMM_State_Elec_Map_NEMS_SEDS!AE4/EMM_State_Elec_Map_NEMS_SEDS!AE$12</f>
        <v>0</v>
      </c>
      <c r="R3" s="34">
        <f>EMM_State_Elec_Map_NEMS_SEDS!AF4/EMM_State_Elec_Map_NEMS_SEDS!AF$12</f>
        <v>0</v>
      </c>
      <c r="S3" s="34">
        <f>EMM_State_Elec_Map_NEMS_SEDS!AG4/EMM_State_Elec_Map_NEMS_SEDS!AG$12</f>
        <v>0</v>
      </c>
      <c r="T3" s="34">
        <f>EMM_State_Elec_Map_NEMS_SEDS!AH4/EMM_State_Elec_Map_NEMS_SEDS!AH$12</f>
        <v>0</v>
      </c>
      <c r="U3" s="34">
        <f>EMM_State_Elec_Map_NEMS_SEDS!AI4/EMM_State_Elec_Map_NEMS_SEDS!AI$12</f>
        <v>0</v>
      </c>
      <c r="V3" s="34">
        <f>EMM_State_Elec_Map_NEMS_SEDS!AJ4/EMM_State_Elec_Map_NEMS_SEDS!AJ$12</f>
        <v>0</v>
      </c>
      <c r="W3" s="34">
        <f>EMM_State_Elec_Map_NEMS_SEDS!AK4/EMM_State_Elec_Map_NEMS_SEDS!AK$12</f>
        <v>0</v>
      </c>
      <c r="X3" s="34">
        <f>EMM_State_Elec_Map_NEMS_SEDS!AL4/EMM_State_Elec_Map_NEMS_SEDS!AL$12</f>
        <v>0</v>
      </c>
      <c r="Y3" s="34">
        <f>EMM_State_Elec_Map_NEMS_SEDS!AM4/EMM_State_Elec_Map_NEMS_SEDS!AM$12</f>
        <v>0</v>
      </c>
      <c r="Z3" s="34">
        <f>EMM_State_Elec_Map_NEMS_SEDS!AN4/EMM_State_Elec_Map_NEMS_SEDS!AN$12</f>
        <v>0</v>
      </c>
    </row>
    <row r="4" ht="15.75" customHeight="1">
      <c r="A4" s="32">
        <v>3.0</v>
      </c>
      <c r="B4" s="34">
        <f>EMM_State_Elec_Map_NEMS_SEDS!P5/EMM_State_Elec_Map_NEMS_SEDS!P$12</f>
        <v>0</v>
      </c>
      <c r="C4" s="34">
        <f>EMM_State_Elec_Map_NEMS_SEDS!Q5/EMM_State_Elec_Map_NEMS_SEDS!Q$12</f>
        <v>0</v>
      </c>
      <c r="D4" s="34">
        <f>EMM_State_Elec_Map_NEMS_SEDS!R5/EMM_State_Elec_Map_NEMS_SEDS!R$12</f>
        <v>0.3660995541</v>
      </c>
      <c r="E4" s="34">
        <f>EMM_State_Elec_Map_NEMS_SEDS!S5/EMM_State_Elec_Map_NEMS_SEDS!S$12</f>
        <v>0.6236165543</v>
      </c>
      <c r="F4" s="34">
        <f>EMM_State_Elec_Map_NEMS_SEDS!T5/EMM_State_Elec_Map_NEMS_SEDS!T$12</f>
        <v>0.9999958963</v>
      </c>
      <c r="G4" s="34">
        <f>EMM_State_Elec_Map_NEMS_SEDS!U5/EMM_State_Elec_Map_NEMS_SEDS!U$12</f>
        <v>0</v>
      </c>
      <c r="H4" s="34">
        <f>EMM_State_Elec_Map_NEMS_SEDS!V5/EMM_State_Elec_Map_NEMS_SEDS!V$12</f>
        <v>0</v>
      </c>
      <c r="I4" s="34">
        <f>EMM_State_Elec_Map_NEMS_SEDS!W5/EMM_State_Elec_Map_NEMS_SEDS!W$12</f>
        <v>0</v>
      </c>
      <c r="J4" s="34">
        <f>EMM_State_Elec_Map_NEMS_SEDS!X5/EMM_State_Elec_Map_NEMS_SEDS!X$12</f>
        <v>0</v>
      </c>
      <c r="K4" s="34">
        <f>EMM_State_Elec_Map_NEMS_SEDS!Y5/EMM_State_Elec_Map_NEMS_SEDS!Y$12</f>
        <v>0</v>
      </c>
      <c r="L4" s="34">
        <f>EMM_State_Elec_Map_NEMS_SEDS!Z5/EMM_State_Elec_Map_NEMS_SEDS!Z$12</f>
        <v>0.5550991568</v>
      </c>
      <c r="M4" s="34">
        <f>EMM_State_Elec_Map_NEMS_SEDS!AA5/EMM_State_Elec_Map_NEMS_SEDS!AA$12</f>
        <v>1</v>
      </c>
      <c r="N4" s="34">
        <f>EMM_State_Elec_Map_NEMS_SEDS!AB5/EMM_State_Elec_Map_NEMS_SEDS!AB$12</f>
        <v>0</v>
      </c>
      <c r="O4" s="34">
        <f>EMM_State_Elec_Map_NEMS_SEDS!AC5/EMM_State_Elec_Map_NEMS_SEDS!AC$12</f>
        <v>0</v>
      </c>
      <c r="P4" s="34">
        <f>EMM_State_Elec_Map_NEMS_SEDS!AD5/EMM_State_Elec_Map_NEMS_SEDS!AD$12</f>
        <v>0</v>
      </c>
      <c r="Q4" s="34">
        <f>EMM_State_Elec_Map_NEMS_SEDS!AE5/EMM_State_Elec_Map_NEMS_SEDS!AE$12</f>
        <v>0</v>
      </c>
      <c r="R4" s="34">
        <f>EMM_State_Elec_Map_NEMS_SEDS!AF5/EMM_State_Elec_Map_NEMS_SEDS!AF$12</f>
        <v>0</v>
      </c>
      <c r="S4" s="34">
        <f>EMM_State_Elec_Map_NEMS_SEDS!AG5/EMM_State_Elec_Map_NEMS_SEDS!AG$12</f>
        <v>0</v>
      </c>
      <c r="T4" s="34">
        <f>EMM_State_Elec_Map_NEMS_SEDS!AH5/EMM_State_Elec_Map_NEMS_SEDS!AH$12</f>
        <v>0</v>
      </c>
      <c r="U4" s="34">
        <f>EMM_State_Elec_Map_NEMS_SEDS!AI5/EMM_State_Elec_Map_NEMS_SEDS!AI$12</f>
        <v>0</v>
      </c>
      <c r="V4" s="34">
        <f>EMM_State_Elec_Map_NEMS_SEDS!AJ5/EMM_State_Elec_Map_NEMS_SEDS!AJ$12</f>
        <v>0</v>
      </c>
      <c r="W4" s="34">
        <f>EMM_State_Elec_Map_NEMS_SEDS!AK5/EMM_State_Elec_Map_NEMS_SEDS!AK$12</f>
        <v>0</v>
      </c>
      <c r="X4" s="34">
        <f>EMM_State_Elec_Map_NEMS_SEDS!AL5/EMM_State_Elec_Map_NEMS_SEDS!AL$12</f>
        <v>0</v>
      </c>
      <c r="Y4" s="34">
        <f>EMM_State_Elec_Map_NEMS_SEDS!AM5/EMM_State_Elec_Map_NEMS_SEDS!AM$12</f>
        <v>0</v>
      </c>
      <c r="Z4" s="34">
        <f>EMM_State_Elec_Map_NEMS_SEDS!AN5/EMM_State_Elec_Map_NEMS_SEDS!AN$12</f>
        <v>0</v>
      </c>
    </row>
    <row r="5" ht="15.75" customHeight="1">
      <c r="A5" s="32">
        <v>4.0</v>
      </c>
      <c r="B5" s="34">
        <f>EMM_State_Elec_Map_NEMS_SEDS!P6/EMM_State_Elec_Map_NEMS_SEDS!P$12</f>
        <v>0</v>
      </c>
      <c r="C5" s="34">
        <f>EMM_State_Elec_Map_NEMS_SEDS!Q6/EMM_State_Elec_Map_NEMS_SEDS!Q$12</f>
        <v>0</v>
      </c>
      <c r="D5" s="34">
        <f>EMM_State_Elec_Map_NEMS_SEDS!R6/EMM_State_Elec_Map_NEMS_SEDS!R$12</f>
        <v>0.6339004475</v>
      </c>
      <c r="E5" s="34">
        <f>EMM_State_Elec_Map_NEMS_SEDS!S6/EMM_State_Elec_Map_NEMS_SEDS!S$12</f>
        <v>0.3548917194</v>
      </c>
      <c r="F5" s="34">
        <f>EMM_State_Elec_Map_NEMS_SEDS!T6/EMM_State_Elec_Map_NEMS_SEDS!T$12</f>
        <v>0.000004100230047</v>
      </c>
      <c r="G5" s="34">
        <f>EMM_State_Elec_Map_NEMS_SEDS!U6/EMM_State_Elec_Map_NEMS_SEDS!U$12</f>
        <v>0.000003839702729</v>
      </c>
      <c r="H5" s="34">
        <f>EMM_State_Elec_Map_NEMS_SEDS!V6/EMM_State_Elec_Map_NEMS_SEDS!V$12</f>
        <v>0</v>
      </c>
      <c r="I5" s="34">
        <f>EMM_State_Elec_Map_NEMS_SEDS!W6/EMM_State_Elec_Map_NEMS_SEDS!W$12</f>
        <v>0</v>
      </c>
      <c r="J5" s="34">
        <f>EMM_State_Elec_Map_NEMS_SEDS!X6/EMM_State_Elec_Map_NEMS_SEDS!X$12</f>
        <v>0</v>
      </c>
      <c r="K5" s="34">
        <f>EMM_State_Elec_Map_NEMS_SEDS!Y6/EMM_State_Elec_Map_NEMS_SEDS!Y$12</f>
        <v>0</v>
      </c>
      <c r="L5" s="34">
        <f>EMM_State_Elec_Map_NEMS_SEDS!Z6/EMM_State_Elec_Map_NEMS_SEDS!Z$12</f>
        <v>0</v>
      </c>
      <c r="M5" s="34">
        <f>EMM_State_Elec_Map_NEMS_SEDS!AA6/EMM_State_Elec_Map_NEMS_SEDS!AA$12</f>
        <v>0</v>
      </c>
      <c r="N5" s="34">
        <f>EMM_State_Elec_Map_NEMS_SEDS!AB6/EMM_State_Elec_Map_NEMS_SEDS!AB$12</f>
        <v>0</v>
      </c>
      <c r="O5" s="34">
        <f>EMM_State_Elec_Map_NEMS_SEDS!AC6/EMM_State_Elec_Map_NEMS_SEDS!AC$12</f>
        <v>0</v>
      </c>
      <c r="P5" s="34">
        <f>EMM_State_Elec_Map_NEMS_SEDS!AD6/EMM_State_Elec_Map_NEMS_SEDS!AD$12</f>
        <v>0</v>
      </c>
      <c r="Q5" s="34">
        <f>EMM_State_Elec_Map_NEMS_SEDS!AE6/EMM_State_Elec_Map_NEMS_SEDS!AE$12</f>
        <v>0</v>
      </c>
      <c r="R5" s="34">
        <f>EMM_State_Elec_Map_NEMS_SEDS!AF6/EMM_State_Elec_Map_NEMS_SEDS!AF$12</f>
        <v>0</v>
      </c>
      <c r="S5" s="34">
        <f>EMM_State_Elec_Map_NEMS_SEDS!AG6/EMM_State_Elec_Map_NEMS_SEDS!AG$12</f>
        <v>0.9992257858</v>
      </c>
      <c r="T5" s="34">
        <f>EMM_State_Elec_Map_NEMS_SEDS!AH6/EMM_State_Elec_Map_NEMS_SEDS!AH$12</f>
        <v>0.9832317064</v>
      </c>
      <c r="U5" s="34">
        <f>EMM_State_Elec_Map_NEMS_SEDS!AI6/EMM_State_Elec_Map_NEMS_SEDS!AI$12</f>
        <v>0</v>
      </c>
      <c r="V5" s="34">
        <f>EMM_State_Elec_Map_NEMS_SEDS!AJ6/EMM_State_Elec_Map_NEMS_SEDS!AJ$12</f>
        <v>0</v>
      </c>
      <c r="W5" s="34">
        <f>EMM_State_Elec_Map_NEMS_SEDS!AK6/EMM_State_Elec_Map_NEMS_SEDS!AK$12</f>
        <v>0</v>
      </c>
      <c r="X5" s="34">
        <f>EMM_State_Elec_Map_NEMS_SEDS!AL6/EMM_State_Elec_Map_NEMS_SEDS!AL$12</f>
        <v>0</v>
      </c>
      <c r="Y5" s="34">
        <f>EMM_State_Elec_Map_NEMS_SEDS!AM6/EMM_State_Elec_Map_NEMS_SEDS!AM$12</f>
        <v>0.06019259551</v>
      </c>
      <c r="Z5" s="34">
        <f>EMM_State_Elec_Map_NEMS_SEDS!AN6/EMM_State_Elec_Map_NEMS_SEDS!AN$12</f>
        <v>0</v>
      </c>
    </row>
    <row r="6" ht="15.75" customHeight="1">
      <c r="A6" s="32">
        <v>5.0</v>
      </c>
      <c r="B6" s="34">
        <f>EMM_State_Elec_Map_NEMS_SEDS!P7/EMM_State_Elec_Map_NEMS_SEDS!P$12</f>
        <v>0</v>
      </c>
      <c r="C6" s="34">
        <f>EMM_State_Elec_Map_NEMS_SEDS!Q7/EMM_State_Elec_Map_NEMS_SEDS!Q$12</f>
        <v>1</v>
      </c>
      <c r="D6" s="34">
        <f>EMM_State_Elec_Map_NEMS_SEDS!R7/EMM_State_Elec_Map_NEMS_SEDS!R$12</f>
        <v>0</v>
      </c>
      <c r="E6" s="34">
        <f>EMM_State_Elec_Map_NEMS_SEDS!S7/EMM_State_Elec_Map_NEMS_SEDS!S$12</f>
        <v>0</v>
      </c>
      <c r="F6" s="34">
        <f>EMM_State_Elec_Map_NEMS_SEDS!T7/EMM_State_Elec_Map_NEMS_SEDS!T$12</f>
        <v>0</v>
      </c>
      <c r="G6" s="34">
        <f>EMM_State_Elec_Map_NEMS_SEDS!U7/EMM_State_Elec_Map_NEMS_SEDS!U$12</f>
        <v>0</v>
      </c>
      <c r="H6" s="34">
        <f>EMM_State_Elec_Map_NEMS_SEDS!V7/EMM_State_Elec_Map_NEMS_SEDS!V$12</f>
        <v>0</v>
      </c>
      <c r="I6" s="34">
        <f>EMM_State_Elec_Map_NEMS_SEDS!W7/EMM_State_Elec_Map_NEMS_SEDS!W$12</f>
        <v>0</v>
      </c>
      <c r="J6" s="34">
        <f>EMM_State_Elec_Map_NEMS_SEDS!X7/EMM_State_Elec_Map_NEMS_SEDS!X$12</f>
        <v>0</v>
      </c>
      <c r="K6" s="34">
        <f>EMM_State_Elec_Map_NEMS_SEDS!Y7/EMM_State_Elec_Map_NEMS_SEDS!Y$12</f>
        <v>0.3140243758</v>
      </c>
      <c r="L6" s="34">
        <f>EMM_State_Elec_Map_NEMS_SEDS!Z7/EMM_State_Elec_Map_NEMS_SEDS!Z$12</f>
        <v>0.2111105516</v>
      </c>
      <c r="M6" s="34">
        <f>EMM_State_Elec_Map_NEMS_SEDS!AA7/EMM_State_Elec_Map_NEMS_SEDS!AA$12</f>
        <v>0</v>
      </c>
      <c r="N6" s="34">
        <f>EMM_State_Elec_Map_NEMS_SEDS!AB7/EMM_State_Elec_Map_NEMS_SEDS!AB$12</f>
        <v>1.000000003</v>
      </c>
      <c r="O6" s="34">
        <f>EMM_State_Elec_Map_NEMS_SEDS!AC7/EMM_State_Elec_Map_NEMS_SEDS!AC$12</f>
        <v>0.999904109</v>
      </c>
      <c r="P6" s="34">
        <f>EMM_State_Elec_Map_NEMS_SEDS!AD7/EMM_State_Elec_Map_NEMS_SEDS!AD$12</f>
        <v>0.6982800207</v>
      </c>
      <c r="Q6" s="34">
        <f>EMM_State_Elec_Map_NEMS_SEDS!AE7/EMM_State_Elec_Map_NEMS_SEDS!AE$12</f>
        <v>0.04226916545</v>
      </c>
      <c r="R6" s="34">
        <f>EMM_State_Elec_Map_NEMS_SEDS!AF7/EMM_State_Elec_Map_NEMS_SEDS!AF$12</f>
        <v>0</v>
      </c>
      <c r="S6" s="34">
        <f>EMM_State_Elec_Map_NEMS_SEDS!AG7/EMM_State_Elec_Map_NEMS_SEDS!AG$12</f>
        <v>0</v>
      </c>
      <c r="T6" s="34">
        <f>EMM_State_Elec_Map_NEMS_SEDS!AH7/EMM_State_Elec_Map_NEMS_SEDS!AH$12</f>
        <v>0</v>
      </c>
      <c r="U6" s="34">
        <f>EMM_State_Elec_Map_NEMS_SEDS!AI7/EMM_State_Elec_Map_NEMS_SEDS!AI$12</f>
        <v>0</v>
      </c>
      <c r="V6" s="34">
        <f>EMM_State_Elec_Map_NEMS_SEDS!AJ7/EMM_State_Elec_Map_NEMS_SEDS!AJ$12</f>
        <v>0</v>
      </c>
      <c r="W6" s="34">
        <f>EMM_State_Elec_Map_NEMS_SEDS!AK7/EMM_State_Elec_Map_NEMS_SEDS!AK$12</f>
        <v>0</v>
      </c>
      <c r="X6" s="34">
        <f>EMM_State_Elec_Map_NEMS_SEDS!AL7/EMM_State_Elec_Map_NEMS_SEDS!AL$12</f>
        <v>0</v>
      </c>
      <c r="Y6" s="34">
        <f>EMM_State_Elec_Map_NEMS_SEDS!AM7/EMM_State_Elec_Map_NEMS_SEDS!AM$12</f>
        <v>0</v>
      </c>
      <c r="Z6" s="34">
        <f>EMM_State_Elec_Map_NEMS_SEDS!AN7/EMM_State_Elec_Map_NEMS_SEDS!AN$12</f>
        <v>0</v>
      </c>
    </row>
    <row r="7" ht="15.75" customHeight="1">
      <c r="A7" s="32">
        <v>6.0</v>
      </c>
      <c r="B7" s="34">
        <f>EMM_State_Elec_Map_NEMS_SEDS!P8/EMM_State_Elec_Map_NEMS_SEDS!P$12</f>
        <v>0</v>
      </c>
      <c r="C7" s="34">
        <f>EMM_State_Elec_Map_NEMS_SEDS!Q8/EMM_State_Elec_Map_NEMS_SEDS!Q$12</f>
        <v>0</v>
      </c>
      <c r="D7" s="34">
        <f>EMM_State_Elec_Map_NEMS_SEDS!R8/EMM_State_Elec_Map_NEMS_SEDS!R$12</f>
        <v>0</v>
      </c>
      <c r="E7" s="34">
        <f>EMM_State_Elec_Map_NEMS_SEDS!S8/EMM_State_Elec_Map_NEMS_SEDS!S$12</f>
        <v>0.02149172541</v>
      </c>
      <c r="F7" s="34">
        <f>EMM_State_Elec_Map_NEMS_SEDS!T8/EMM_State_Elec_Map_NEMS_SEDS!T$12</f>
        <v>0</v>
      </c>
      <c r="G7" s="34">
        <f>EMM_State_Elec_Map_NEMS_SEDS!U8/EMM_State_Elec_Map_NEMS_SEDS!U$12</f>
        <v>0.1730242379</v>
      </c>
      <c r="H7" s="34">
        <f>EMM_State_Elec_Map_NEMS_SEDS!V8/EMM_State_Elec_Map_NEMS_SEDS!V$12</f>
        <v>0</v>
      </c>
      <c r="I7" s="34">
        <f>EMM_State_Elec_Map_NEMS_SEDS!W8/EMM_State_Elec_Map_NEMS_SEDS!W$12</f>
        <v>0</v>
      </c>
      <c r="J7" s="34">
        <f>EMM_State_Elec_Map_NEMS_SEDS!X8/EMM_State_Elec_Map_NEMS_SEDS!X$12</f>
        <v>0</v>
      </c>
      <c r="K7" s="34">
        <f>EMM_State_Elec_Map_NEMS_SEDS!Y8/EMM_State_Elec_Map_NEMS_SEDS!Y$12</f>
        <v>0</v>
      </c>
      <c r="L7" s="34">
        <f>EMM_State_Elec_Map_NEMS_SEDS!Z8/EMM_State_Elec_Map_NEMS_SEDS!Z$12</f>
        <v>0.1038218313</v>
      </c>
      <c r="M7" s="34">
        <f>EMM_State_Elec_Map_NEMS_SEDS!AA8/EMM_State_Elec_Map_NEMS_SEDS!AA$12</f>
        <v>0</v>
      </c>
      <c r="N7" s="34">
        <f>EMM_State_Elec_Map_NEMS_SEDS!AB8/EMM_State_Elec_Map_NEMS_SEDS!AB$12</f>
        <v>0</v>
      </c>
      <c r="O7" s="34">
        <f>EMM_State_Elec_Map_NEMS_SEDS!AC8/EMM_State_Elec_Map_NEMS_SEDS!AC$12</f>
        <v>0.00009589095062</v>
      </c>
      <c r="P7" s="34">
        <f>EMM_State_Elec_Map_NEMS_SEDS!AD8/EMM_State_Elec_Map_NEMS_SEDS!AD$12</f>
        <v>0.3017199793</v>
      </c>
      <c r="Q7" s="34">
        <f>EMM_State_Elec_Map_NEMS_SEDS!AE8/EMM_State_Elec_Map_NEMS_SEDS!AE$12</f>
        <v>0.9577308345</v>
      </c>
      <c r="R7" s="34">
        <f>EMM_State_Elec_Map_NEMS_SEDS!AF8/EMM_State_Elec_Map_NEMS_SEDS!AF$12</f>
        <v>0</v>
      </c>
      <c r="S7" s="34">
        <f>EMM_State_Elec_Map_NEMS_SEDS!AG8/EMM_State_Elec_Map_NEMS_SEDS!AG$12</f>
        <v>0</v>
      </c>
      <c r="T7" s="34">
        <f>EMM_State_Elec_Map_NEMS_SEDS!AH8/EMM_State_Elec_Map_NEMS_SEDS!AH$12</f>
        <v>0</v>
      </c>
      <c r="U7" s="34">
        <f>EMM_State_Elec_Map_NEMS_SEDS!AI8/EMM_State_Elec_Map_NEMS_SEDS!AI$12</f>
        <v>0</v>
      </c>
      <c r="V7" s="34">
        <f>EMM_State_Elec_Map_NEMS_SEDS!AJ8/EMM_State_Elec_Map_NEMS_SEDS!AJ$12</f>
        <v>0</v>
      </c>
      <c r="W7" s="34">
        <f>EMM_State_Elec_Map_NEMS_SEDS!AK8/EMM_State_Elec_Map_NEMS_SEDS!AK$12</f>
        <v>0</v>
      </c>
      <c r="X7" s="34">
        <f>EMM_State_Elec_Map_NEMS_SEDS!AL8/EMM_State_Elec_Map_NEMS_SEDS!AL$12</f>
        <v>0</v>
      </c>
      <c r="Y7" s="34">
        <f>EMM_State_Elec_Map_NEMS_SEDS!AM8/EMM_State_Elec_Map_NEMS_SEDS!AM$12</f>
        <v>0</v>
      </c>
      <c r="Z7" s="34">
        <f>EMM_State_Elec_Map_NEMS_SEDS!AN8/EMM_State_Elec_Map_NEMS_SEDS!AN$12</f>
        <v>0</v>
      </c>
    </row>
    <row r="8" ht="15.75" customHeight="1">
      <c r="A8" s="32">
        <v>7.0</v>
      </c>
      <c r="B8" s="34">
        <f>EMM_State_Elec_Map_NEMS_SEDS!P9/EMM_State_Elec_Map_NEMS_SEDS!P$12</f>
        <v>1</v>
      </c>
      <c r="C8" s="34">
        <f>EMM_State_Elec_Map_NEMS_SEDS!Q9/EMM_State_Elec_Map_NEMS_SEDS!Q$12</f>
        <v>0</v>
      </c>
      <c r="D8" s="34">
        <f>EMM_State_Elec_Map_NEMS_SEDS!R9/EMM_State_Elec_Map_NEMS_SEDS!R$12</f>
        <v>0</v>
      </c>
      <c r="E8" s="34">
        <f>EMM_State_Elec_Map_NEMS_SEDS!S9/EMM_State_Elec_Map_NEMS_SEDS!S$12</f>
        <v>0</v>
      </c>
      <c r="F8" s="34">
        <f>EMM_State_Elec_Map_NEMS_SEDS!T9/EMM_State_Elec_Map_NEMS_SEDS!T$12</f>
        <v>0</v>
      </c>
      <c r="G8" s="34">
        <f>EMM_State_Elec_Map_NEMS_SEDS!U9/EMM_State_Elec_Map_NEMS_SEDS!U$12</f>
        <v>0.8269719235</v>
      </c>
      <c r="H8" s="34">
        <f>EMM_State_Elec_Map_NEMS_SEDS!V9/EMM_State_Elec_Map_NEMS_SEDS!V$12</f>
        <v>0</v>
      </c>
      <c r="I8" s="34">
        <f>EMM_State_Elec_Map_NEMS_SEDS!W9/EMM_State_Elec_Map_NEMS_SEDS!W$12</f>
        <v>0</v>
      </c>
      <c r="J8" s="34">
        <f>EMM_State_Elec_Map_NEMS_SEDS!X9/EMM_State_Elec_Map_NEMS_SEDS!X$12</f>
        <v>0</v>
      </c>
      <c r="K8" s="34">
        <f>EMM_State_Elec_Map_NEMS_SEDS!Y9/EMM_State_Elec_Map_NEMS_SEDS!Y$12</f>
        <v>0</v>
      </c>
      <c r="L8" s="34">
        <f>EMM_State_Elec_Map_NEMS_SEDS!Z9/EMM_State_Elec_Map_NEMS_SEDS!Z$12</f>
        <v>0</v>
      </c>
      <c r="M8" s="34">
        <f>EMM_State_Elec_Map_NEMS_SEDS!AA9/EMM_State_Elec_Map_NEMS_SEDS!AA$12</f>
        <v>0</v>
      </c>
      <c r="N8" s="34">
        <f>EMM_State_Elec_Map_NEMS_SEDS!AB9/EMM_State_Elec_Map_NEMS_SEDS!AB$12</f>
        <v>0</v>
      </c>
      <c r="O8" s="34">
        <f>EMM_State_Elec_Map_NEMS_SEDS!AC9/EMM_State_Elec_Map_NEMS_SEDS!AC$12</f>
        <v>0</v>
      </c>
      <c r="P8" s="34">
        <f>EMM_State_Elec_Map_NEMS_SEDS!AD9/EMM_State_Elec_Map_NEMS_SEDS!AD$12</f>
        <v>0</v>
      </c>
      <c r="Q8" s="34">
        <f>EMM_State_Elec_Map_NEMS_SEDS!AE9/EMM_State_Elec_Map_NEMS_SEDS!AE$12</f>
        <v>0</v>
      </c>
      <c r="R8" s="34">
        <f>EMM_State_Elec_Map_NEMS_SEDS!AF9/EMM_State_Elec_Map_NEMS_SEDS!AF$12</f>
        <v>0.96456734</v>
      </c>
      <c r="S8" s="34">
        <f>EMM_State_Elec_Map_NEMS_SEDS!AG9/EMM_State_Elec_Map_NEMS_SEDS!AG$12</f>
        <v>0.0007630262778</v>
      </c>
      <c r="T8" s="34">
        <f>EMM_State_Elec_Map_NEMS_SEDS!AH9/EMM_State_Elec_Map_NEMS_SEDS!AH$12</f>
        <v>0</v>
      </c>
      <c r="U8" s="34">
        <f>EMM_State_Elec_Map_NEMS_SEDS!AI9/EMM_State_Elec_Map_NEMS_SEDS!AI$12</f>
        <v>0.05226755581</v>
      </c>
      <c r="V8" s="34">
        <f>EMM_State_Elec_Map_NEMS_SEDS!AJ9/EMM_State_Elec_Map_NEMS_SEDS!AJ$12</f>
        <v>0</v>
      </c>
      <c r="W8" s="34">
        <f>EMM_State_Elec_Map_NEMS_SEDS!AK9/EMM_State_Elec_Map_NEMS_SEDS!AK$12</f>
        <v>0</v>
      </c>
      <c r="X8" s="34">
        <f>EMM_State_Elec_Map_NEMS_SEDS!AL9/EMM_State_Elec_Map_NEMS_SEDS!AL$12</f>
        <v>0</v>
      </c>
      <c r="Y8" s="34">
        <f>EMM_State_Elec_Map_NEMS_SEDS!AM9/EMM_State_Elec_Map_NEMS_SEDS!AM$12</f>
        <v>0</v>
      </c>
      <c r="Z8" s="34">
        <f>EMM_State_Elec_Map_NEMS_SEDS!AN9/EMM_State_Elec_Map_NEMS_SEDS!AN$12</f>
        <v>0</v>
      </c>
    </row>
    <row r="9" ht="15.75" customHeight="1">
      <c r="A9" s="32">
        <v>8.0</v>
      </c>
      <c r="B9" s="34">
        <f>EMM_State_Elec_Map_NEMS_SEDS!P10/EMM_State_Elec_Map_NEMS_SEDS!P$12</f>
        <v>0</v>
      </c>
      <c r="C9" s="34">
        <f>EMM_State_Elec_Map_NEMS_SEDS!Q10/EMM_State_Elec_Map_NEMS_SEDS!Q$12</f>
        <v>0</v>
      </c>
      <c r="D9" s="34">
        <f>EMM_State_Elec_Map_NEMS_SEDS!R10/EMM_State_Elec_Map_NEMS_SEDS!R$12</f>
        <v>0</v>
      </c>
      <c r="E9" s="34">
        <f>EMM_State_Elec_Map_NEMS_SEDS!S10/EMM_State_Elec_Map_NEMS_SEDS!S$12</f>
        <v>0</v>
      </c>
      <c r="F9" s="34">
        <f>EMM_State_Elec_Map_NEMS_SEDS!T10/EMM_State_Elec_Map_NEMS_SEDS!T$12</f>
        <v>0</v>
      </c>
      <c r="G9" s="34">
        <f>EMM_State_Elec_Map_NEMS_SEDS!U10/EMM_State_Elec_Map_NEMS_SEDS!U$12</f>
        <v>0</v>
      </c>
      <c r="H9" s="34">
        <f>EMM_State_Elec_Map_NEMS_SEDS!V10/EMM_State_Elec_Map_NEMS_SEDS!V$12</f>
        <v>0</v>
      </c>
      <c r="I9" s="34">
        <f>EMM_State_Elec_Map_NEMS_SEDS!W10/EMM_State_Elec_Map_NEMS_SEDS!W$12</f>
        <v>0</v>
      </c>
      <c r="J9" s="34">
        <f>EMM_State_Elec_Map_NEMS_SEDS!X10/EMM_State_Elec_Map_NEMS_SEDS!X$12</f>
        <v>0</v>
      </c>
      <c r="K9" s="34">
        <f>EMM_State_Elec_Map_NEMS_SEDS!Y10/EMM_State_Elec_Map_NEMS_SEDS!Y$12</f>
        <v>0</v>
      </c>
      <c r="L9" s="34">
        <f>EMM_State_Elec_Map_NEMS_SEDS!Z10/EMM_State_Elec_Map_NEMS_SEDS!Z$12</f>
        <v>0</v>
      </c>
      <c r="M9" s="34">
        <f>EMM_State_Elec_Map_NEMS_SEDS!AA10/EMM_State_Elec_Map_NEMS_SEDS!AA$12</f>
        <v>0</v>
      </c>
      <c r="N9" s="34">
        <f>EMM_State_Elec_Map_NEMS_SEDS!AB10/EMM_State_Elec_Map_NEMS_SEDS!AB$12</f>
        <v>0</v>
      </c>
      <c r="O9" s="34">
        <f>EMM_State_Elec_Map_NEMS_SEDS!AC10/EMM_State_Elec_Map_NEMS_SEDS!AC$12</f>
        <v>0</v>
      </c>
      <c r="P9" s="34">
        <f>EMM_State_Elec_Map_NEMS_SEDS!AD10/EMM_State_Elec_Map_NEMS_SEDS!AD$12</f>
        <v>0</v>
      </c>
      <c r="Q9" s="34">
        <f>EMM_State_Elec_Map_NEMS_SEDS!AE10/EMM_State_Elec_Map_NEMS_SEDS!AE$12</f>
        <v>0</v>
      </c>
      <c r="R9" s="34">
        <f>EMM_State_Elec_Map_NEMS_SEDS!AF10/EMM_State_Elec_Map_NEMS_SEDS!AF$12</f>
        <v>0.03543265846</v>
      </c>
      <c r="S9" s="34">
        <f>EMM_State_Elec_Map_NEMS_SEDS!AG10/EMM_State_Elec_Map_NEMS_SEDS!AG$12</f>
        <v>0.00001118949873</v>
      </c>
      <c r="T9" s="34">
        <f>EMM_State_Elec_Map_NEMS_SEDS!AH10/EMM_State_Elec_Map_NEMS_SEDS!AH$12</f>
        <v>0.01676829355</v>
      </c>
      <c r="U9" s="34">
        <f>EMM_State_Elec_Map_NEMS_SEDS!AI10/EMM_State_Elec_Map_NEMS_SEDS!AI$12</f>
        <v>0.905917085</v>
      </c>
      <c r="V9" s="34">
        <f>EMM_State_Elec_Map_NEMS_SEDS!AJ10/EMM_State_Elec_Map_NEMS_SEDS!AJ$12</f>
        <v>0.00004738867367</v>
      </c>
      <c r="W9" s="34">
        <f>EMM_State_Elec_Map_NEMS_SEDS!AK10/EMM_State_Elec_Map_NEMS_SEDS!AK$12</f>
        <v>0.000133626808</v>
      </c>
      <c r="X9" s="34">
        <f>EMM_State_Elec_Map_NEMS_SEDS!AL10/EMM_State_Elec_Map_NEMS_SEDS!AL$12</f>
        <v>0.1276731092</v>
      </c>
      <c r="Y9" s="34">
        <f>EMM_State_Elec_Map_NEMS_SEDS!AM10/EMM_State_Elec_Map_NEMS_SEDS!AM$12</f>
        <v>0.9398074045</v>
      </c>
      <c r="Z9" s="34">
        <f>EMM_State_Elec_Map_NEMS_SEDS!AN10/EMM_State_Elec_Map_NEMS_SEDS!AN$12</f>
        <v>0.9913726661</v>
      </c>
    </row>
    <row r="10" ht="15.75" customHeight="1">
      <c r="A10" s="32">
        <v>9.0</v>
      </c>
      <c r="B10" s="34">
        <f>EMM_State_Elec_Map_NEMS_SEDS!P11/EMM_State_Elec_Map_NEMS_SEDS!P$12</f>
        <v>0</v>
      </c>
      <c r="C10" s="34">
        <f>EMM_State_Elec_Map_NEMS_SEDS!Q11/EMM_State_Elec_Map_NEMS_SEDS!Q$12</f>
        <v>0</v>
      </c>
      <c r="D10" s="34">
        <f>EMM_State_Elec_Map_NEMS_SEDS!R11/EMM_State_Elec_Map_NEMS_SEDS!R$12</f>
        <v>0</v>
      </c>
      <c r="E10" s="34">
        <f>EMM_State_Elec_Map_NEMS_SEDS!S11/EMM_State_Elec_Map_NEMS_SEDS!S$12</f>
        <v>0</v>
      </c>
      <c r="F10" s="34">
        <f>EMM_State_Elec_Map_NEMS_SEDS!T11/EMM_State_Elec_Map_NEMS_SEDS!T$12</f>
        <v>0</v>
      </c>
      <c r="G10" s="34">
        <f>EMM_State_Elec_Map_NEMS_SEDS!U11/EMM_State_Elec_Map_NEMS_SEDS!U$12</f>
        <v>0</v>
      </c>
      <c r="H10" s="34">
        <f>EMM_State_Elec_Map_NEMS_SEDS!V11/EMM_State_Elec_Map_NEMS_SEDS!V$12</f>
        <v>0</v>
      </c>
      <c r="I10" s="34">
        <f>EMM_State_Elec_Map_NEMS_SEDS!W11/EMM_State_Elec_Map_NEMS_SEDS!W$12</f>
        <v>0</v>
      </c>
      <c r="J10" s="34">
        <f>EMM_State_Elec_Map_NEMS_SEDS!X11/EMM_State_Elec_Map_NEMS_SEDS!X$12</f>
        <v>0</v>
      </c>
      <c r="K10" s="34">
        <f>EMM_State_Elec_Map_NEMS_SEDS!Y11/EMM_State_Elec_Map_NEMS_SEDS!Y$12</f>
        <v>0</v>
      </c>
      <c r="L10" s="34">
        <f>EMM_State_Elec_Map_NEMS_SEDS!Z11/EMM_State_Elec_Map_NEMS_SEDS!Z$12</f>
        <v>0</v>
      </c>
      <c r="M10" s="34">
        <f>EMM_State_Elec_Map_NEMS_SEDS!AA11/EMM_State_Elec_Map_NEMS_SEDS!AA$12</f>
        <v>0</v>
      </c>
      <c r="N10" s="34">
        <f>EMM_State_Elec_Map_NEMS_SEDS!AB11/EMM_State_Elec_Map_NEMS_SEDS!AB$12</f>
        <v>0</v>
      </c>
      <c r="O10" s="34">
        <f>EMM_State_Elec_Map_NEMS_SEDS!AC11/EMM_State_Elec_Map_NEMS_SEDS!AC$12</f>
        <v>0</v>
      </c>
      <c r="P10" s="34">
        <f>EMM_State_Elec_Map_NEMS_SEDS!AD11/EMM_State_Elec_Map_NEMS_SEDS!AD$12</f>
        <v>0</v>
      </c>
      <c r="Q10" s="34">
        <f>EMM_State_Elec_Map_NEMS_SEDS!AE11/EMM_State_Elec_Map_NEMS_SEDS!AE$12</f>
        <v>0</v>
      </c>
      <c r="R10" s="34">
        <f>EMM_State_Elec_Map_NEMS_SEDS!AF11/EMM_State_Elec_Map_NEMS_SEDS!AF$12</f>
        <v>0</v>
      </c>
      <c r="S10" s="34">
        <f>EMM_State_Elec_Map_NEMS_SEDS!AG11/EMM_State_Elec_Map_NEMS_SEDS!AG$12</f>
        <v>0</v>
      </c>
      <c r="T10" s="34">
        <f>EMM_State_Elec_Map_NEMS_SEDS!AH11/EMM_State_Elec_Map_NEMS_SEDS!AH$12</f>
        <v>0</v>
      </c>
      <c r="U10" s="34">
        <f>EMM_State_Elec_Map_NEMS_SEDS!AI11/EMM_State_Elec_Map_NEMS_SEDS!AI$12</f>
        <v>0.04181535917</v>
      </c>
      <c r="V10" s="34">
        <f>EMM_State_Elec_Map_NEMS_SEDS!AJ11/EMM_State_Elec_Map_NEMS_SEDS!AJ$12</f>
        <v>0.9999526157</v>
      </c>
      <c r="W10" s="34">
        <f>EMM_State_Elec_Map_NEMS_SEDS!AK11/EMM_State_Elec_Map_NEMS_SEDS!AK$12</f>
        <v>0.9998663698</v>
      </c>
      <c r="X10" s="34">
        <f>EMM_State_Elec_Map_NEMS_SEDS!AL11/EMM_State_Elec_Map_NEMS_SEDS!AL$12</f>
        <v>0.8723268908</v>
      </c>
      <c r="Y10" s="34">
        <f>EMM_State_Elec_Map_NEMS_SEDS!AM11/EMM_State_Elec_Map_NEMS_SEDS!AM$12</f>
        <v>0</v>
      </c>
      <c r="Z10" s="34">
        <f>EMM_State_Elec_Map_NEMS_SEDS!AN11/EMM_State_Elec_Map_NEMS_SEDS!AN$12</f>
        <v>0.008627333945</v>
      </c>
    </row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32" t="s">
        <v>94</v>
      </c>
      <c r="B1" s="32" t="s">
        <v>4010</v>
      </c>
      <c r="C1" s="32" t="s">
        <v>3989</v>
      </c>
      <c r="D1" s="32" t="s">
        <v>3996</v>
      </c>
      <c r="E1" s="32" t="s">
        <v>3992</v>
      </c>
      <c r="F1" s="32" t="s">
        <v>4003</v>
      </c>
      <c r="G1" s="32" t="s">
        <v>3974</v>
      </c>
      <c r="H1" s="32" t="s">
        <v>3985</v>
      </c>
      <c r="I1" s="32" t="s">
        <v>4006</v>
      </c>
      <c r="J1" s="32" t="s">
        <v>4005</v>
      </c>
      <c r="K1" s="32" t="s">
        <v>3987</v>
      </c>
      <c r="L1" s="32" t="s">
        <v>3997</v>
      </c>
      <c r="M1" s="32" t="s">
        <v>3994</v>
      </c>
      <c r="N1" s="32" t="s">
        <v>3988</v>
      </c>
      <c r="O1" s="32" t="s">
        <v>4009</v>
      </c>
      <c r="P1" s="32" t="s">
        <v>3969</v>
      </c>
      <c r="Q1" s="32" t="s">
        <v>3970</v>
      </c>
      <c r="R1" s="32" t="s">
        <v>3976</v>
      </c>
      <c r="S1" s="32" t="s">
        <v>4001</v>
      </c>
      <c r="T1" s="32" t="s">
        <v>3999</v>
      </c>
      <c r="U1" s="32" t="s">
        <v>3972</v>
      </c>
      <c r="V1" s="32" t="s">
        <v>3979</v>
      </c>
      <c r="W1" s="32" t="s">
        <v>3981</v>
      </c>
      <c r="X1" s="32" t="s">
        <v>3980</v>
      </c>
      <c r="Y1" s="32" t="s">
        <v>3983</v>
      </c>
      <c r="Z1" s="32" t="s">
        <v>3990</v>
      </c>
    </row>
    <row r="2" ht="15.75" customHeight="1">
      <c r="A2" s="32">
        <v>1.0</v>
      </c>
      <c r="B2" s="34">
        <f>IFERROR(__xludf.DUMMYFUNCTION("IF(ISNA(sum(filter(
Master_Mapping_Sheet!$E$2:$E$3143, ISNUMBER(
Master_Mapping_Sheet!$E$2:$E$3143),
Master_Mapping_Sheet!$H$2:$H$3143=B$1,
Master_Mapping_Sheet!$I$2:$I$3143=$A2))/sum(filter(
Master_Mapping_Sheet!$E$2:$E$3143, ISNUMBER(
Master_Mapping_She"&amp;"et!$E$2:$E$3143),
Master_Mapping_Sheet!$I$2:$I$3143=$A2))), 0, sum(filter(
Master_Mapping_Sheet!$E$2:$E$3143, ISNUMBER(
Master_Mapping_Sheet!$E$2:$E$3143),
Master_Mapping_Sheet!$H$2:$H$3143=B$1,
Master_Mapping_Sheet!$I$2:$I$3143=$A2))/sum(filter(
Master_M"&amp;"apping_Sheet!$E$2:$E$3143, ISNUMBER(
Master_Mapping_Sheet!$E$2:$E$3143),
Master_Mapping_Sheet!$I$2:$I$3143=$A2)))"),0.0)</f>
        <v>0</v>
      </c>
      <c r="C2" s="34">
        <f>IFERROR(__xludf.DUMMYFUNCTION("IF(ISNA(sum(filter(
Master_Mapping_Sheet!$E$2:$E$3143, ISNUMBER(
Master_Mapping_Sheet!$E$2:$E$3143),
Master_Mapping_Sheet!$H$2:$H$3143=C$1,
Master_Mapping_Sheet!$I$2:$I$3143=$A2))/sum(filter(
Master_Mapping_Sheet!$E$2:$E$3143, ISNUMBER(
Master_Mapping_She"&amp;"et!$E$2:$E$3143),
Master_Mapping_Sheet!$I$2:$I$3143=$A2))), 0, sum(filter(
Master_Mapping_Sheet!$E$2:$E$3143, ISNUMBER(
Master_Mapping_Sheet!$E$2:$E$3143),
Master_Mapping_Sheet!$H$2:$H$3143=C$1,
Master_Mapping_Sheet!$I$2:$I$3143=$A2))/sum(filter(
Master_M"&amp;"apping_Sheet!$E$2:$E$3143, ISNUMBER(
Master_Mapping_Sheet!$E$2:$E$3143),
Master_Mapping_Sheet!$I$2:$I$3143=$A2)))"),0.0)</f>
        <v>0</v>
      </c>
      <c r="D2" s="34">
        <f>IFERROR(__xludf.DUMMYFUNCTION("IF(ISNA(sum(filter(
Master_Mapping_Sheet!$E$2:$E$3143, ISNUMBER(
Master_Mapping_Sheet!$E$2:$E$3143),
Master_Mapping_Sheet!$H$2:$H$3143=D$1,
Master_Mapping_Sheet!$I$2:$I$3143=$A2))/sum(filter(
Master_Mapping_Sheet!$E$2:$E$3143, ISNUMBER(
Master_Mapping_She"&amp;"et!$E$2:$E$3143),
Master_Mapping_Sheet!$I$2:$I$3143=$A2))), 0, sum(filter(
Master_Mapping_Sheet!$E$2:$E$3143, ISNUMBER(
Master_Mapping_Sheet!$E$2:$E$3143),
Master_Mapping_Sheet!$H$2:$H$3143=D$1,
Master_Mapping_Sheet!$I$2:$I$3143=$A2))/sum(filter(
Master_M"&amp;"apping_Sheet!$E$2:$E$3143, ISNUMBER(
Master_Mapping_Sheet!$E$2:$E$3143),
Master_Mapping_Sheet!$I$2:$I$3143=$A2)))"),0.0)</f>
        <v>0</v>
      </c>
      <c r="E2" s="34">
        <f>IFERROR(__xludf.DUMMYFUNCTION("IF(ISNA(sum(filter(
Master_Mapping_Sheet!$E$2:$E$3143, ISNUMBER(
Master_Mapping_Sheet!$E$2:$E$3143),
Master_Mapping_Sheet!$H$2:$H$3143=E$1,
Master_Mapping_Sheet!$I$2:$I$3143=$A2))/sum(filter(
Master_Mapping_Sheet!$E$2:$E$3143, ISNUMBER(
Master_Mapping_She"&amp;"et!$E$2:$E$3143),
Master_Mapping_Sheet!$I$2:$I$3143=$A2))), 0, sum(filter(
Master_Mapping_Sheet!$E$2:$E$3143, ISNUMBER(
Master_Mapping_Sheet!$E$2:$E$3143),
Master_Mapping_Sheet!$H$2:$H$3143=E$1,
Master_Mapping_Sheet!$I$2:$I$3143=$A2))/sum(filter(
Master_M"&amp;"apping_Sheet!$E$2:$E$3143, ISNUMBER(
Master_Mapping_Sheet!$E$2:$E$3143),
Master_Mapping_Sheet!$I$2:$I$3143=$A2)))"),0.0)</f>
        <v>0</v>
      </c>
      <c r="F2" s="34">
        <f>IFERROR(__xludf.DUMMYFUNCTION("IF(ISNA(sum(filter(
Master_Mapping_Sheet!$E$2:$E$3143, ISNUMBER(
Master_Mapping_Sheet!$E$2:$E$3143),
Master_Mapping_Sheet!$H$2:$H$3143=F$1,
Master_Mapping_Sheet!$I$2:$I$3143=$A2))/sum(filter(
Master_Mapping_Sheet!$E$2:$E$3143, ISNUMBER(
Master_Mapping_She"&amp;"et!$E$2:$E$3143),
Master_Mapping_Sheet!$I$2:$I$3143=$A2))), 0, sum(filter(
Master_Mapping_Sheet!$E$2:$E$3143, ISNUMBER(
Master_Mapping_Sheet!$E$2:$E$3143),
Master_Mapping_Sheet!$H$2:$H$3143=F$1,
Master_Mapping_Sheet!$I$2:$I$3143=$A2))/sum(filter(
Master_M"&amp;"apping_Sheet!$E$2:$E$3143, ISNUMBER(
Master_Mapping_Sheet!$E$2:$E$3143),
Master_Mapping_Sheet!$I$2:$I$3143=$A2)))"),0.0)</f>
        <v>0</v>
      </c>
      <c r="G2" s="34">
        <f>IFERROR(__xludf.DUMMYFUNCTION("IF(ISNA(sum(filter(
Master_Mapping_Sheet!$E$2:$E$3143, ISNUMBER(
Master_Mapping_Sheet!$E$2:$E$3143),
Master_Mapping_Sheet!$H$2:$H$3143=G$1,
Master_Mapping_Sheet!$I$2:$I$3143=$A2))/sum(filter(
Master_Mapping_Sheet!$E$2:$E$3143, ISNUMBER(
Master_Mapping_She"&amp;"et!$E$2:$E$3143),
Master_Mapping_Sheet!$I$2:$I$3143=$A2))), 0, sum(filter(
Master_Mapping_Sheet!$E$2:$E$3143, ISNUMBER(
Master_Mapping_Sheet!$E$2:$E$3143),
Master_Mapping_Sheet!$H$2:$H$3143=G$1,
Master_Mapping_Sheet!$I$2:$I$3143=$A2))/sum(filter(
Master_M"&amp;"apping_Sheet!$E$2:$E$3143, ISNUMBER(
Master_Mapping_Sheet!$E$2:$E$3143),
Master_Mapping_Sheet!$I$2:$I$3143=$A2)))"),0.0)</f>
        <v>0</v>
      </c>
      <c r="H2" s="34">
        <f>IFERROR(__xludf.DUMMYFUNCTION("IF(ISNA(sum(filter(
Master_Mapping_Sheet!$E$2:$E$3143, ISNUMBER(
Master_Mapping_Sheet!$E$2:$E$3143),
Master_Mapping_Sheet!$H$2:$H$3143=H$1,
Master_Mapping_Sheet!$I$2:$I$3143=$A2))/sum(filter(
Master_Mapping_Sheet!$E$2:$E$3143, ISNUMBER(
Master_Mapping_She"&amp;"et!$E$2:$E$3143),
Master_Mapping_Sheet!$I$2:$I$3143=$A2))), 0, sum(filter(
Master_Mapping_Sheet!$E$2:$E$3143, ISNUMBER(
Master_Mapping_Sheet!$E$2:$E$3143),
Master_Mapping_Sheet!$H$2:$H$3143=H$1,
Master_Mapping_Sheet!$I$2:$I$3143=$A2))/sum(filter(
Master_M"&amp;"apping_Sheet!$E$2:$E$3143, ISNUMBER(
Master_Mapping_Sheet!$E$2:$E$3143),
Master_Mapping_Sheet!$I$2:$I$3143=$A2)))"),1.0)</f>
        <v>1</v>
      </c>
      <c r="I2" s="34">
        <f>IFERROR(__xludf.DUMMYFUNCTION("IF(ISNA(sum(filter(
Master_Mapping_Sheet!$E$2:$E$3143, ISNUMBER(
Master_Mapping_Sheet!$E$2:$E$3143),
Master_Mapping_Sheet!$H$2:$H$3143=I$1,
Master_Mapping_Sheet!$I$2:$I$3143=$A2))/sum(filter(
Master_Mapping_Sheet!$E$2:$E$3143, ISNUMBER(
Master_Mapping_She"&amp;"et!$E$2:$E$3143),
Master_Mapping_Sheet!$I$2:$I$3143=$A2))), 0, sum(filter(
Master_Mapping_Sheet!$E$2:$E$3143, ISNUMBER(
Master_Mapping_Sheet!$E$2:$E$3143),
Master_Mapping_Sheet!$H$2:$H$3143=I$1,
Master_Mapping_Sheet!$I$2:$I$3143=$A2))/sum(filter(
Master_M"&amp;"apping_Sheet!$E$2:$E$3143, ISNUMBER(
Master_Mapping_Sheet!$E$2:$E$3143),
Master_Mapping_Sheet!$I$2:$I$3143=$A2)))"),0.0)</f>
        <v>0</v>
      </c>
      <c r="J2" s="34">
        <f>IFERROR(__xludf.DUMMYFUNCTION("IF(ISNA(sum(filter(
Master_Mapping_Sheet!$E$2:$E$3143, ISNUMBER(
Master_Mapping_Sheet!$E$2:$E$3143),
Master_Mapping_Sheet!$H$2:$H$3143=J$1,
Master_Mapping_Sheet!$I$2:$I$3143=$A2))/sum(filter(
Master_Mapping_Sheet!$E$2:$E$3143, ISNUMBER(
Master_Mapping_She"&amp;"et!$E$2:$E$3143),
Master_Mapping_Sheet!$I$2:$I$3143=$A2))), 0, sum(filter(
Master_Mapping_Sheet!$E$2:$E$3143, ISNUMBER(
Master_Mapping_Sheet!$E$2:$E$3143),
Master_Mapping_Sheet!$H$2:$H$3143=J$1,
Master_Mapping_Sheet!$I$2:$I$3143=$A2))/sum(filter(
Master_M"&amp;"apping_Sheet!$E$2:$E$3143, ISNUMBER(
Master_Mapping_Sheet!$E$2:$E$3143),
Master_Mapping_Sheet!$I$2:$I$3143=$A2)))"),0.0)</f>
        <v>0</v>
      </c>
      <c r="K2" s="34">
        <f>IFERROR(__xludf.DUMMYFUNCTION("IF(ISNA(sum(filter(
Master_Mapping_Sheet!$E$2:$E$3143, ISNUMBER(
Master_Mapping_Sheet!$E$2:$E$3143),
Master_Mapping_Sheet!$H$2:$H$3143=K$1,
Master_Mapping_Sheet!$I$2:$I$3143=$A2))/sum(filter(
Master_Mapping_Sheet!$E$2:$E$3143, ISNUMBER(
Master_Mapping_She"&amp;"et!$E$2:$E$3143),
Master_Mapping_Sheet!$I$2:$I$3143=$A2))), 0, sum(filter(
Master_Mapping_Sheet!$E$2:$E$3143, ISNUMBER(
Master_Mapping_Sheet!$E$2:$E$3143),
Master_Mapping_Sheet!$H$2:$H$3143=K$1,
Master_Mapping_Sheet!$I$2:$I$3143=$A2))/sum(filter(
Master_M"&amp;"apping_Sheet!$E$2:$E$3143, ISNUMBER(
Master_Mapping_Sheet!$E$2:$E$3143),
Master_Mapping_Sheet!$I$2:$I$3143=$A2)))"),0.0)</f>
        <v>0</v>
      </c>
      <c r="L2" s="34">
        <f>IFERROR(__xludf.DUMMYFUNCTION("IF(ISNA(sum(filter(
Master_Mapping_Sheet!$E$2:$E$3143, ISNUMBER(
Master_Mapping_Sheet!$E$2:$E$3143),
Master_Mapping_Sheet!$H$2:$H$3143=L$1,
Master_Mapping_Sheet!$I$2:$I$3143=$A2))/sum(filter(
Master_Mapping_Sheet!$E$2:$E$3143, ISNUMBER(
Master_Mapping_She"&amp;"et!$E$2:$E$3143),
Master_Mapping_Sheet!$I$2:$I$3143=$A2))), 0, sum(filter(
Master_Mapping_Sheet!$E$2:$E$3143, ISNUMBER(
Master_Mapping_Sheet!$E$2:$E$3143),
Master_Mapping_Sheet!$H$2:$H$3143=L$1,
Master_Mapping_Sheet!$I$2:$I$3143=$A2))/sum(filter(
Master_M"&amp;"apping_Sheet!$E$2:$E$3143, ISNUMBER(
Master_Mapping_Sheet!$E$2:$E$3143),
Master_Mapping_Sheet!$I$2:$I$3143=$A2)))"),0.0)</f>
        <v>0</v>
      </c>
      <c r="M2" s="34">
        <f>IFERROR(__xludf.DUMMYFUNCTION("IF(ISNA(sum(filter(
Master_Mapping_Sheet!$E$2:$E$3143, ISNUMBER(
Master_Mapping_Sheet!$E$2:$E$3143),
Master_Mapping_Sheet!$H$2:$H$3143=M$1,
Master_Mapping_Sheet!$I$2:$I$3143=$A2))/sum(filter(
Master_Mapping_Sheet!$E$2:$E$3143, ISNUMBER(
Master_Mapping_She"&amp;"et!$E$2:$E$3143),
Master_Mapping_Sheet!$I$2:$I$3143=$A2))), 0, sum(filter(
Master_Mapping_Sheet!$E$2:$E$3143, ISNUMBER(
Master_Mapping_Sheet!$E$2:$E$3143),
Master_Mapping_Sheet!$H$2:$H$3143=M$1,
Master_Mapping_Sheet!$I$2:$I$3143=$A2))/sum(filter(
Master_M"&amp;"apping_Sheet!$E$2:$E$3143, ISNUMBER(
Master_Mapping_Sheet!$E$2:$E$3143),
Master_Mapping_Sheet!$I$2:$I$3143=$A2)))"),0.0)</f>
        <v>0</v>
      </c>
      <c r="N2" s="34">
        <f>IFERROR(__xludf.DUMMYFUNCTION("IF(ISNA(sum(filter(
Master_Mapping_Sheet!$E$2:$E$3143, ISNUMBER(
Master_Mapping_Sheet!$E$2:$E$3143),
Master_Mapping_Sheet!$H$2:$H$3143=N$1,
Master_Mapping_Sheet!$I$2:$I$3143=$A2))/sum(filter(
Master_Mapping_Sheet!$E$2:$E$3143, ISNUMBER(
Master_Mapping_She"&amp;"et!$E$2:$E$3143),
Master_Mapping_Sheet!$I$2:$I$3143=$A2))), 0, sum(filter(
Master_Mapping_Sheet!$E$2:$E$3143, ISNUMBER(
Master_Mapping_Sheet!$E$2:$E$3143),
Master_Mapping_Sheet!$H$2:$H$3143=N$1,
Master_Mapping_Sheet!$I$2:$I$3143=$A2))/sum(filter(
Master_M"&amp;"apping_Sheet!$E$2:$E$3143, ISNUMBER(
Master_Mapping_Sheet!$E$2:$E$3143),
Master_Mapping_Sheet!$I$2:$I$3143=$A2)))"),0.0)</f>
        <v>0</v>
      </c>
      <c r="O2" s="34">
        <f>IFERROR(__xludf.DUMMYFUNCTION("IF(ISNA(sum(filter(
Master_Mapping_Sheet!$E$2:$E$3143, ISNUMBER(
Master_Mapping_Sheet!$E$2:$E$3143),
Master_Mapping_Sheet!$H$2:$H$3143=O$1,
Master_Mapping_Sheet!$I$2:$I$3143=$A2))/sum(filter(
Master_Mapping_Sheet!$E$2:$E$3143, ISNUMBER(
Master_Mapping_She"&amp;"et!$E$2:$E$3143),
Master_Mapping_Sheet!$I$2:$I$3143=$A2))), 0, sum(filter(
Master_Mapping_Sheet!$E$2:$E$3143, ISNUMBER(
Master_Mapping_Sheet!$E$2:$E$3143),
Master_Mapping_Sheet!$H$2:$H$3143=O$1,
Master_Mapping_Sheet!$I$2:$I$3143=$A2))/sum(filter(
Master_M"&amp;"apping_Sheet!$E$2:$E$3143, ISNUMBER(
Master_Mapping_Sheet!$E$2:$E$3143),
Master_Mapping_Sheet!$I$2:$I$3143=$A2)))"),0.0)</f>
        <v>0</v>
      </c>
      <c r="P2" s="34">
        <f>IFERROR(__xludf.DUMMYFUNCTION("IF(ISNA(sum(filter(
Master_Mapping_Sheet!$E$2:$E$3143, ISNUMBER(
Master_Mapping_Sheet!$E$2:$E$3143),
Master_Mapping_Sheet!$H$2:$H$3143=P$1,
Master_Mapping_Sheet!$I$2:$I$3143=$A2))/sum(filter(
Master_Mapping_Sheet!$E$2:$E$3143, ISNUMBER(
Master_Mapping_She"&amp;"et!$E$2:$E$3143),
Master_Mapping_Sheet!$I$2:$I$3143=$A2))), 0, sum(filter(
Master_Mapping_Sheet!$E$2:$E$3143, ISNUMBER(
Master_Mapping_Sheet!$E$2:$E$3143),
Master_Mapping_Sheet!$H$2:$H$3143=P$1,
Master_Mapping_Sheet!$I$2:$I$3143=$A2))/sum(filter(
Master_M"&amp;"apping_Sheet!$E$2:$E$3143, ISNUMBER(
Master_Mapping_Sheet!$E$2:$E$3143),
Master_Mapping_Sheet!$I$2:$I$3143=$A2)))"),0.0)</f>
        <v>0</v>
      </c>
      <c r="Q2" s="34">
        <f>IFERROR(__xludf.DUMMYFUNCTION("IF(ISNA(sum(filter(
Master_Mapping_Sheet!$E$2:$E$3143, ISNUMBER(
Master_Mapping_Sheet!$E$2:$E$3143),
Master_Mapping_Sheet!$H$2:$H$3143=Q$1,
Master_Mapping_Sheet!$I$2:$I$3143=$A2))/sum(filter(
Master_Mapping_Sheet!$E$2:$E$3143, ISNUMBER(
Master_Mapping_She"&amp;"et!$E$2:$E$3143),
Master_Mapping_Sheet!$I$2:$I$3143=$A2))), 0, sum(filter(
Master_Mapping_Sheet!$E$2:$E$3143, ISNUMBER(
Master_Mapping_Sheet!$E$2:$E$3143),
Master_Mapping_Sheet!$H$2:$H$3143=Q$1,
Master_Mapping_Sheet!$I$2:$I$3143=$A2))/sum(filter(
Master_M"&amp;"apping_Sheet!$E$2:$E$3143, ISNUMBER(
Master_Mapping_Sheet!$E$2:$E$3143),
Master_Mapping_Sheet!$I$2:$I$3143=$A2)))"),0.0)</f>
        <v>0</v>
      </c>
      <c r="R2" s="34">
        <f>IFERROR(__xludf.DUMMYFUNCTION("IF(ISNA(sum(filter(
Master_Mapping_Sheet!$E$2:$E$3143, ISNUMBER(
Master_Mapping_Sheet!$E$2:$E$3143),
Master_Mapping_Sheet!$H$2:$H$3143=R$1,
Master_Mapping_Sheet!$I$2:$I$3143=$A2))/sum(filter(
Master_Mapping_Sheet!$E$2:$E$3143, ISNUMBER(
Master_Mapping_She"&amp;"et!$E$2:$E$3143),
Master_Mapping_Sheet!$I$2:$I$3143=$A2))), 0, sum(filter(
Master_Mapping_Sheet!$E$2:$E$3143, ISNUMBER(
Master_Mapping_Sheet!$E$2:$E$3143),
Master_Mapping_Sheet!$H$2:$H$3143=R$1,
Master_Mapping_Sheet!$I$2:$I$3143=$A2))/sum(filter(
Master_M"&amp;"apping_Sheet!$E$2:$E$3143, ISNUMBER(
Master_Mapping_Sheet!$E$2:$E$3143),
Master_Mapping_Sheet!$I$2:$I$3143=$A2)))"),0.0)</f>
        <v>0</v>
      </c>
      <c r="S2" s="34">
        <f>IFERROR(__xludf.DUMMYFUNCTION("IF(ISNA(sum(filter(
Master_Mapping_Sheet!$E$2:$E$3143, ISNUMBER(
Master_Mapping_Sheet!$E$2:$E$3143),
Master_Mapping_Sheet!$H$2:$H$3143=S$1,
Master_Mapping_Sheet!$I$2:$I$3143=$A2))/sum(filter(
Master_Mapping_Sheet!$E$2:$E$3143, ISNUMBER(
Master_Mapping_She"&amp;"et!$E$2:$E$3143),
Master_Mapping_Sheet!$I$2:$I$3143=$A2))), 0, sum(filter(
Master_Mapping_Sheet!$E$2:$E$3143, ISNUMBER(
Master_Mapping_Sheet!$E$2:$E$3143),
Master_Mapping_Sheet!$H$2:$H$3143=S$1,
Master_Mapping_Sheet!$I$2:$I$3143=$A2))/sum(filter(
Master_M"&amp;"apping_Sheet!$E$2:$E$3143, ISNUMBER(
Master_Mapping_Sheet!$E$2:$E$3143),
Master_Mapping_Sheet!$I$2:$I$3143=$A2)))"),0.0)</f>
        <v>0</v>
      </c>
      <c r="T2" s="34">
        <f>IFERROR(__xludf.DUMMYFUNCTION("IF(ISNA(sum(filter(
Master_Mapping_Sheet!$E$2:$E$3143, ISNUMBER(
Master_Mapping_Sheet!$E$2:$E$3143),
Master_Mapping_Sheet!$H$2:$H$3143=T$1,
Master_Mapping_Sheet!$I$2:$I$3143=$A2))/sum(filter(
Master_Mapping_Sheet!$E$2:$E$3143, ISNUMBER(
Master_Mapping_She"&amp;"et!$E$2:$E$3143),
Master_Mapping_Sheet!$I$2:$I$3143=$A2))), 0, sum(filter(
Master_Mapping_Sheet!$E$2:$E$3143, ISNUMBER(
Master_Mapping_Sheet!$E$2:$E$3143),
Master_Mapping_Sheet!$H$2:$H$3143=T$1,
Master_Mapping_Sheet!$I$2:$I$3143=$A2))/sum(filter(
Master_M"&amp;"apping_Sheet!$E$2:$E$3143, ISNUMBER(
Master_Mapping_Sheet!$E$2:$E$3143),
Master_Mapping_Sheet!$I$2:$I$3143=$A2)))"),0.0)</f>
        <v>0</v>
      </c>
      <c r="U2" s="34">
        <f>IFERROR(__xludf.DUMMYFUNCTION("IF(ISNA(sum(filter(
Master_Mapping_Sheet!$E$2:$E$3143, ISNUMBER(
Master_Mapping_Sheet!$E$2:$E$3143),
Master_Mapping_Sheet!$H$2:$H$3143=U$1,
Master_Mapping_Sheet!$I$2:$I$3143=$A2))/sum(filter(
Master_Mapping_Sheet!$E$2:$E$3143, ISNUMBER(
Master_Mapping_She"&amp;"et!$E$2:$E$3143),
Master_Mapping_Sheet!$I$2:$I$3143=$A2))), 0, sum(filter(
Master_Mapping_Sheet!$E$2:$E$3143, ISNUMBER(
Master_Mapping_Sheet!$E$2:$E$3143),
Master_Mapping_Sheet!$H$2:$H$3143=U$1,
Master_Mapping_Sheet!$I$2:$I$3143=$A2))/sum(filter(
Master_M"&amp;"apping_Sheet!$E$2:$E$3143, ISNUMBER(
Master_Mapping_Sheet!$E$2:$E$3143),
Master_Mapping_Sheet!$I$2:$I$3143=$A2)))"),0.0)</f>
        <v>0</v>
      </c>
      <c r="V2" s="34">
        <f>IFERROR(__xludf.DUMMYFUNCTION("IF(ISNA(sum(filter(
Master_Mapping_Sheet!$E$2:$E$3143, ISNUMBER(
Master_Mapping_Sheet!$E$2:$E$3143),
Master_Mapping_Sheet!$H$2:$H$3143=V$1,
Master_Mapping_Sheet!$I$2:$I$3143=$A2))/sum(filter(
Master_Mapping_Sheet!$E$2:$E$3143, ISNUMBER(
Master_Mapping_She"&amp;"et!$E$2:$E$3143),
Master_Mapping_Sheet!$I$2:$I$3143=$A2))), 0, sum(filter(
Master_Mapping_Sheet!$E$2:$E$3143, ISNUMBER(
Master_Mapping_Sheet!$E$2:$E$3143),
Master_Mapping_Sheet!$H$2:$H$3143=V$1,
Master_Mapping_Sheet!$I$2:$I$3143=$A2))/sum(filter(
Master_M"&amp;"apping_Sheet!$E$2:$E$3143, ISNUMBER(
Master_Mapping_Sheet!$E$2:$E$3143),
Master_Mapping_Sheet!$I$2:$I$3143=$A2)))"),0.0)</f>
        <v>0</v>
      </c>
      <c r="W2" s="34">
        <f>IFERROR(__xludf.DUMMYFUNCTION("IF(ISNA(sum(filter(
Master_Mapping_Sheet!$E$2:$E$3143, ISNUMBER(
Master_Mapping_Sheet!$E$2:$E$3143),
Master_Mapping_Sheet!$H$2:$H$3143=W$1,
Master_Mapping_Sheet!$I$2:$I$3143=$A2))/sum(filter(
Master_Mapping_Sheet!$E$2:$E$3143, ISNUMBER(
Master_Mapping_She"&amp;"et!$E$2:$E$3143),
Master_Mapping_Sheet!$I$2:$I$3143=$A2))), 0, sum(filter(
Master_Mapping_Sheet!$E$2:$E$3143, ISNUMBER(
Master_Mapping_Sheet!$E$2:$E$3143),
Master_Mapping_Sheet!$H$2:$H$3143=W$1,
Master_Mapping_Sheet!$I$2:$I$3143=$A2))/sum(filter(
Master_M"&amp;"apping_Sheet!$E$2:$E$3143, ISNUMBER(
Master_Mapping_Sheet!$E$2:$E$3143),
Master_Mapping_Sheet!$I$2:$I$3143=$A2)))"),0.0)</f>
        <v>0</v>
      </c>
      <c r="X2" s="34">
        <f>IFERROR(__xludf.DUMMYFUNCTION("IF(ISNA(sum(filter(
Master_Mapping_Sheet!$E$2:$E$3143, ISNUMBER(
Master_Mapping_Sheet!$E$2:$E$3143),
Master_Mapping_Sheet!$H$2:$H$3143=X$1,
Master_Mapping_Sheet!$I$2:$I$3143=$A2))/sum(filter(
Master_Mapping_Sheet!$E$2:$E$3143, ISNUMBER(
Master_Mapping_She"&amp;"et!$E$2:$E$3143),
Master_Mapping_Sheet!$I$2:$I$3143=$A2))), 0, sum(filter(
Master_Mapping_Sheet!$E$2:$E$3143, ISNUMBER(
Master_Mapping_Sheet!$E$2:$E$3143),
Master_Mapping_Sheet!$H$2:$H$3143=X$1,
Master_Mapping_Sheet!$I$2:$I$3143=$A2))/sum(filter(
Master_M"&amp;"apping_Sheet!$E$2:$E$3143, ISNUMBER(
Master_Mapping_Sheet!$E$2:$E$3143),
Master_Mapping_Sheet!$I$2:$I$3143=$A2)))"),0.0)</f>
        <v>0</v>
      </c>
      <c r="Y2" s="34">
        <f>IFERROR(__xludf.DUMMYFUNCTION("IF(ISNA(sum(filter(
Master_Mapping_Sheet!$E$2:$E$3143, ISNUMBER(
Master_Mapping_Sheet!$E$2:$E$3143),
Master_Mapping_Sheet!$H$2:$H$3143=Y$1,
Master_Mapping_Sheet!$I$2:$I$3143=$A2))/sum(filter(
Master_Mapping_Sheet!$E$2:$E$3143, ISNUMBER(
Master_Mapping_She"&amp;"et!$E$2:$E$3143),
Master_Mapping_Sheet!$I$2:$I$3143=$A2))), 0, sum(filter(
Master_Mapping_Sheet!$E$2:$E$3143, ISNUMBER(
Master_Mapping_Sheet!$E$2:$E$3143),
Master_Mapping_Sheet!$H$2:$H$3143=Y$1,
Master_Mapping_Sheet!$I$2:$I$3143=$A2))/sum(filter(
Master_M"&amp;"apping_Sheet!$E$2:$E$3143, ISNUMBER(
Master_Mapping_Sheet!$E$2:$E$3143),
Master_Mapping_Sheet!$I$2:$I$3143=$A2)))"),0.0)</f>
        <v>0</v>
      </c>
      <c r="Z2" s="34">
        <f>IFERROR(__xludf.DUMMYFUNCTION("IF(ISNA(sum(filter(
Master_Mapping_Sheet!$E$2:$E$3143, ISNUMBER(
Master_Mapping_Sheet!$E$2:$E$3143),
Master_Mapping_Sheet!$H$2:$H$3143=Z$1,
Master_Mapping_Sheet!$I$2:$I$3143=$A2))/sum(filter(
Master_Mapping_Sheet!$E$2:$E$3143, ISNUMBER(
Master_Mapping_She"&amp;"et!$E$2:$E$3143),
Master_Mapping_Sheet!$I$2:$I$3143=$A2))), 0, sum(filter(
Master_Mapping_Sheet!$E$2:$E$3143, ISNUMBER(
Master_Mapping_Sheet!$E$2:$E$3143),
Master_Mapping_Sheet!$H$2:$H$3143=Z$1,
Master_Mapping_Sheet!$I$2:$I$3143=$A2))/sum(filter(
Master_M"&amp;"apping_Sheet!$E$2:$E$3143, ISNUMBER(
Master_Mapping_Sheet!$E$2:$E$3143),
Master_Mapping_Sheet!$I$2:$I$3143=$A2)))"),0.0)</f>
        <v>0</v>
      </c>
    </row>
    <row r="3" ht="15.75" customHeight="1">
      <c r="A3" s="32">
        <v>2.0</v>
      </c>
      <c r="B3" s="34">
        <f>IFERROR(__xludf.DUMMYFUNCTION("IF(ISNA(sum(filter(
Master_Mapping_Sheet!$E$2:$E$3143, ISNUMBER(
Master_Mapping_Sheet!$E$2:$E$3143),
Master_Mapping_Sheet!$H$2:$H$3143=B$1,
Master_Mapping_Sheet!$I$2:$I$3143=$A3))/sum(filter(
Master_Mapping_Sheet!$E$2:$E$3143, ISNUMBER(
Master_Mapping_She"&amp;"et!$E$2:$E$3143),
Master_Mapping_Sheet!$I$2:$I$3143=$A3))), 0, sum(filter(
Master_Mapping_Sheet!$E$2:$E$3143, ISNUMBER(
Master_Mapping_Sheet!$E$2:$E$3143),
Master_Mapping_Sheet!$H$2:$H$3143=B$1,
Master_Mapping_Sheet!$I$2:$I$3143=$A3))/sum(filter(
Master_M"&amp;"apping_Sheet!$E$2:$E$3143, ISNUMBER(
Master_Mapping_Sheet!$E$2:$E$3143),
Master_Mapping_Sheet!$I$2:$I$3143=$A3)))"),0.0)</f>
        <v>0</v>
      </c>
      <c r="C3" s="34">
        <f>IFERROR(__xludf.DUMMYFUNCTION("IF(ISNA(sum(filter(
Master_Mapping_Sheet!$E$2:$E$3143, ISNUMBER(
Master_Mapping_Sheet!$E$2:$E$3143),
Master_Mapping_Sheet!$H$2:$H$3143=C$1,
Master_Mapping_Sheet!$I$2:$I$3143=$A3))/sum(filter(
Master_Mapping_Sheet!$E$2:$E$3143, ISNUMBER(
Master_Mapping_She"&amp;"et!$E$2:$E$3143),
Master_Mapping_Sheet!$I$2:$I$3143=$A3))), 0, sum(filter(
Master_Mapping_Sheet!$E$2:$E$3143, ISNUMBER(
Master_Mapping_Sheet!$E$2:$E$3143),
Master_Mapping_Sheet!$H$2:$H$3143=C$1,
Master_Mapping_Sheet!$I$2:$I$3143=$A3))/sum(filter(
Master_M"&amp;"apping_Sheet!$E$2:$E$3143, ISNUMBER(
Master_Mapping_Sheet!$E$2:$E$3143),
Master_Mapping_Sheet!$I$2:$I$3143=$A3)))"),0.0)</f>
        <v>0</v>
      </c>
      <c r="D3" s="34">
        <f>IFERROR(__xludf.DUMMYFUNCTION("IF(ISNA(sum(filter(
Master_Mapping_Sheet!$E$2:$E$3143, ISNUMBER(
Master_Mapping_Sheet!$E$2:$E$3143),
Master_Mapping_Sheet!$H$2:$H$3143=D$1,
Master_Mapping_Sheet!$I$2:$I$3143=$A3))/sum(filter(
Master_Mapping_Sheet!$E$2:$E$3143, ISNUMBER(
Master_Mapping_She"&amp;"et!$E$2:$E$3143),
Master_Mapping_Sheet!$I$2:$I$3143=$A3))), 0, sum(filter(
Master_Mapping_Sheet!$E$2:$E$3143, ISNUMBER(
Master_Mapping_Sheet!$E$2:$E$3143),
Master_Mapping_Sheet!$H$2:$H$3143=D$1,
Master_Mapping_Sheet!$I$2:$I$3143=$A3))/sum(filter(
Master_M"&amp;"apping_Sheet!$E$2:$E$3143, ISNUMBER(
Master_Mapping_Sheet!$E$2:$E$3143),
Master_Mapping_Sheet!$I$2:$I$3143=$A3)))"),0.0)</f>
        <v>0</v>
      </c>
      <c r="E3" s="34">
        <f>IFERROR(__xludf.DUMMYFUNCTION("IF(ISNA(sum(filter(
Master_Mapping_Sheet!$E$2:$E$3143, ISNUMBER(
Master_Mapping_Sheet!$E$2:$E$3143),
Master_Mapping_Sheet!$H$2:$H$3143=E$1,
Master_Mapping_Sheet!$I$2:$I$3143=$A3))/sum(filter(
Master_Mapping_Sheet!$E$2:$E$3143, ISNUMBER(
Master_Mapping_She"&amp;"et!$E$2:$E$3143),
Master_Mapping_Sheet!$I$2:$I$3143=$A3))), 0, sum(filter(
Master_Mapping_Sheet!$E$2:$E$3143, ISNUMBER(
Master_Mapping_Sheet!$E$2:$E$3143),
Master_Mapping_Sheet!$H$2:$H$3143=E$1,
Master_Mapping_Sheet!$I$2:$I$3143=$A3))/sum(filter(
Master_M"&amp;"apping_Sheet!$E$2:$E$3143, ISNUMBER(
Master_Mapping_Sheet!$E$2:$E$3143),
Master_Mapping_Sheet!$I$2:$I$3143=$A3)))"),0.0)</f>
        <v>0</v>
      </c>
      <c r="F3" s="34">
        <f>IFERROR(__xludf.DUMMYFUNCTION("IF(ISNA(sum(filter(
Master_Mapping_Sheet!$E$2:$E$3143, ISNUMBER(
Master_Mapping_Sheet!$E$2:$E$3143),
Master_Mapping_Sheet!$H$2:$H$3143=F$1,
Master_Mapping_Sheet!$I$2:$I$3143=$A3))/sum(filter(
Master_Mapping_Sheet!$E$2:$E$3143, ISNUMBER(
Master_Mapping_She"&amp;"et!$E$2:$E$3143),
Master_Mapping_Sheet!$I$2:$I$3143=$A3))), 0, sum(filter(
Master_Mapping_Sheet!$E$2:$E$3143, ISNUMBER(
Master_Mapping_Sheet!$E$2:$E$3143),
Master_Mapping_Sheet!$H$2:$H$3143=F$1,
Master_Mapping_Sheet!$I$2:$I$3143=$A3))/sum(filter(
Master_M"&amp;"apping_Sheet!$E$2:$E$3143, ISNUMBER(
Master_Mapping_Sheet!$E$2:$E$3143),
Master_Mapping_Sheet!$I$2:$I$3143=$A3)))"),0.0)</f>
        <v>0</v>
      </c>
      <c r="G3" s="34">
        <f>IFERROR(__xludf.DUMMYFUNCTION("IF(ISNA(sum(filter(
Master_Mapping_Sheet!$E$2:$E$3143, ISNUMBER(
Master_Mapping_Sheet!$E$2:$E$3143),
Master_Mapping_Sheet!$H$2:$H$3143=G$1,
Master_Mapping_Sheet!$I$2:$I$3143=$A3))/sum(filter(
Master_Mapping_Sheet!$E$2:$E$3143, ISNUMBER(
Master_Mapping_She"&amp;"et!$E$2:$E$3143),
Master_Mapping_Sheet!$I$2:$I$3143=$A3))), 0, sum(filter(
Master_Mapping_Sheet!$E$2:$E$3143, ISNUMBER(
Master_Mapping_Sheet!$E$2:$E$3143),
Master_Mapping_Sheet!$H$2:$H$3143=G$1,
Master_Mapping_Sheet!$I$2:$I$3143=$A3))/sum(filter(
Master_M"&amp;"apping_Sheet!$E$2:$E$3143, ISNUMBER(
Master_Mapping_Sheet!$E$2:$E$3143),
Master_Mapping_Sheet!$I$2:$I$3143=$A3)))"),0.0)</f>
        <v>0</v>
      </c>
      <c r="H3" s="34">
        <f>IFERROR(__xludf.DUMMYFUNCTION("IF(ISNA(sum(filter(
Master_Mapping_Sheet!$E$2:$E$3143, ISNUMBER(
Master_Mapping_Sheet!$E$2:$E$3143),
Master_Mapping_Sheet!$H$2:$H$3143=H$1,
Master_Mapping_Sheet!$I$2:$I$3143=$A3))/sum(filter(
Master_Mapping_Sheet!$E$2:$E$3143, ISNUMBER(
Master_Mapping_She"&amp;"et!$E$2:$E$3143),
Master_Mapping_Sheet!$I$2:$I$3143=$A3))), 0, sum(filter(
Master_Mapping_Sheet!$E$2:$E$3143, ISNUMBER(
Master_Mapping_Sheet!$E$2:$E$3143),
Master_Mapping_Sheet!$H$2:$H$3143=H$1,
Master_Mapping_Sheet!$I$2:$I$3143=$A3))/sum(filter(
Master_M"&amp;"apping_Sheet!$E$2:$E$3143, ISNUMBER(
Master_Mapping_Sheet!$E$2:$E$3143),
Master_Mapping_Sheet!$I$2:$I$3143=$A3)))"),0.0)</f>
        <v>0</v>
      </c>
      <c r="I3" s="34">
        <f>IFERROR(__xludf.DUMMYFUNCTION("IF(ISNA(sum(filter(
Master_Mapping_Sheet!$E$2:$E$3143, ISNUMBER(
Master_Mapping_Sheet!$E$2:$E$3143),
Master_Mapping_Sheet!$H$2:$H$3143=I$1,
Master_Mapping_Sheet!$I$2:$I$3143=$A3))/sum(filter(
Master_Mapping_Sheet!$E$2:$E$3143, ISNUMBER(
Master_Mapping_She"&amp;"et!$E$2:$E$3143),
Master_Mapping_Sheet!$I$2:$I$3143=$A3))), 0, sum(filter(
Master_Mapping_Sheet!$E$2:$E$3143, ISNUMBER(
Master_Mapping_Sheet!$E$2:$E$3143),
Master_Mapping_Sheet!$H$2:$H$3143=I$1,
Master_Mapping_Sheet!$I$2:$I$3143=$A3))/sum(filter(
Master_M"&amp;"apping_Sheet!$E$2:$E$3143, ISNUMBER(
Master_Mapping_Sheet!$E$2:$E$3143),
Master_Mapping_Sheet!$I$2:$I$3143=$A3)))"),0.27886195734766905)</f>
        <v>0.2788619573</v>
      </c>
      <c r="J3" s="34">
        <f>IFERROR(__xludf.DUMMYFUNCTION("IF(ISNA(sum(filter(
Master_Mapping_Sheet!$E$2:$E$3143, ISNUMBER(
Master_Mapping_Sheet!$E$2:$E$3143),
Master_Mapping_Sheet!$H$2:$H$3143=J$1,
Master_Mapping_Sheet!$I$2:$I$3143=$A3))/sum(filter(
Master_Mapping_Sheet!$E$2:$E$3143, ISNUMBER(
Master_Mapping_She"&amp;"et!$E$2:$E$3143),
Master_Mapping_Sheet!$I$2:$I$3143=$A3))), 0, sum(filter(
Master_Mapping_Sheet!$E$2:$E$3143, ISNUMBER(
Master_Mapping_Sheet!$E$2:$E$3143),
Master_Mapping_Sheet!$H$2:$H$3143=J$1,
Master_Mapping_Sheet!$I$2:$I$3143=$A3))/sum(filter(
Master_M"&amp;"apping_Sheet!$E$2:$E$3143, ISNUMBER(
Master_Mapping_Sheet!$E$2:$E$3143),
Master_Mapping_Sheet!$I$2:$I$3143=$A3)))"),0.1773509255748051)</f>
        <v>0.1773509256</v>
      </c>
      <c r="K3" s="34">
        <f>IFERROR(__xludf.DUMMYFUNCTION("IF(ISNA(sum(filter(
Master_Mapping_Sheet!$E$2:$E$3143, ISNUMBER(
Master_Mapping_Sheet!$E$2:$E$3143),
Master_Mapping_Sheet!$H$2:$H$3143=K$1,
Master_Mapping_Sheet!$I$2:$I$3143=$A3))/sum(filter(
Master_Mapping_Sheet!$E$2:$E$3143, ISNUMBER(
Master_Mapping_She"&amp;"et!$E$2:$E$3143),
Master_Mapping_Sheet!$I$2:$I$3143=$A3))), 0, sum(filter(
Master_Mapping_Sheet!$E$2:$E$3143, ISNUMBER(
Master_Mapping_Sheet!$E$2:$E$3143),
Master_Mapping_Sheet!$H$2:$H$3143=K$1,
Master_Mapping_Sheet!$I$2:$I$3143=$A3))/sum(filter(
Master_M"&amp;"apping_Sheet!$E$2:$E$3143, ISNUMBER(
Master_Mapping_Sheet!$E$2:$E$3143),
Master_Mapping_Sheet!$I$2:$I$3143=$A3)))"),0.47719199669852574)</f>
        <v>0.4771919967</v>
      </c>
      <c r="L3" s="34">
        <f>IFERROR(__xludf.DUMMYFUNCTION("IF(ISNA(sum(filter(
Master_Mapping_Sheet!$E$2:$E$3143, ISNUMBER(
Master_Mapping_Sheet!$E$2:$E$3143),
Master_Mapping_Sheet!$H$2:$H$3143=L$1,
Master_Mapping_Sheet!$I$2:$I$3143=$A3))/sum(filter(
Master_Mapping_Sheet!$E$2:$E$3143, ISNUMBER(
Master_Mapping_She"&amp;"et!$E$2:$E$3143),
Master_Mapping_Sheet!$I$2:$I$3143=$A3))), 0, sum(filter(
Master_Mapping_Sheet!$E$2:$E$3143, ISNUMBER(
Master_Mapping_Sheet!$E$2:$E$3143),
Master_Mapping_Sheet!$H$2:$H$3143=L$1,
Master_Mapping_Sheet!$I$2:$I$3143=$A3))/sum(filter(
Master_M"&amp;"apping_Sheet!$E$2:$E$3143, ISNUMBER(
Master_Mapping_Sheet!$E$2:$E$3143),
Master_Mapping_Sheet!$I$2:$I$3143=$A3)))"),0.06659512037900006)</f>
        <v>0.06659512038</v>
      </c>
      <c r="M3" s="34">
        <f>IFERROR(__xludf.DUMMYFUNCTION("IF(ISNA(sum(filter(
Master_Mapping_Sheet!$E$2:$E$3143, ISNUMBER(
Master_Mapping_Sheet!$E$2:$E$3143),
Master_Mapping_Sheet!$H$2:$H$3143=M$1,
Master_Mapping_Sheet!$I$2:$I$3143=$A3))/sum(filter(
Master_Mapping_Sheet!$E$2:$E$3143, ISNUMBER(
Master_Mapping_She"&amp;"et!$E$2:$E$3143),
Master_Mapping_Sheet!$I$2:$I$3143=$A3))), 0, sum(filter(
Master_Mapping_Sheet!$E$2:$E$3143, ISNUMBER(
Master_Mapping_Sheet!$E$2:$E$3143),
Master_Mapping_Sheet!$H$2:$H$3143=M$1,
Master_Mapping_Sheet!$I$2:$I$3143=$A3))/sum(filter(
Master_M"&amp;"apping_Sheet!$E$2:$E$3143, ISNUMBER(
Master_Mapping_Sheet!$E$2:$E$3143),
Master_Mapping_Sheet!$I$2:$I$3143=$A3)))"),0.0)</f>
        <v>0</v>
      </c>
      <c r="N3" s="34">
        <f>IFERROR(__xludf.DUMMYFUNCTION("IF(ISNA(sum(filter(
Master_Mapping_Sheet!$E$2:$E$3143, ISNUMBER(
Master_Mapping_Sheet!$E$2:$E$3143),
Master_Mapping_Sheet!$H$2:$H$3143=N$1,
Master_Mapping_Sheet!$I$2:$I$3143=$A3))/sum(filter(
Master_Mapping_Sheet!$E$2:$E$3143, ISNUMBER(
Master_Mapping_She"&amp;"et!$E$2:$E$3143),
Master_Mapping_Sheet!$I$2:$I$3143=$A3))), 0, sum(filter(
Master_Mapping_Sheet!$E$2:$E$3143, ISNUMBER(
Master_Mapping_Sheet!$E$2:$E$3143),
Master_Mapping_Sheet!$H$2:$H$3143=N$1,
Master_Mapping_Sheet!$I$2:$I$3143=$A3))/sum(filter(
Master_M"&amp;"apping_Sheet!$E$2:$E$3143, ISNUMBER(
Master_Mapping_Sheet!$E$2:$E$3143),
Master_Mapping_Sheet!$I$2:$I$3143=$A3)))"),0.0)</f>
        <v>0</v>
      </c>
      <c r="O3" s="34">
        <f>IFERROR(__xludf.DUMMYFUNCTION("IF(ISNA(sum(filter(
Master_Mapping_Sheet!$E$2:$E$3143, ISNUMBER(
Master_Mapping_Sheet!$E$2:$E$3143),
Master_Mapping_Sheet!$H$2:$H$3143=O$1,
Master_Mapping_Sheet!$I$2:$I$3143=$A3))/sum(filter(
Master_Mapping_Sheet!$E$2:$E$3143, ISNUMBER(
Master_Mapping_She"&amp;"et!$E$2:$E$3143),
Master_Mapping_Sheet!$I$2:$I$3143=$A3))), 0, sum(filter(
Master_Mapping_Sheet!$E$2:$E$3143, ISNUMBER(
Master_Mapping_Sheet!$E$2:$E$3143),
Master_Mapping_Sheet!$H$2:$H$3143=O$1,
Master_Mapping_Sheet!$I$2:$I$3143=$A3))/sum(filter(
Master_M"&amp;"apping_Sheet!$E$2:$E$3143, ISNUMBER(
Master_Mapping_Sheet!$E$2:$E$3143),
Master_Mapping_Sheet!$I$2:$I$3143=$A3)))"),0.0)</f>
        <v>0</v>
      </c>
      <c r="P3" s="34">
        <f>IFERROR(__xludf.DUMMYFUNCTION("IF(ISNA(sum(filter(
Master_Mapping_Sheet!$E$2:$E$3143, ISNUMBER(
Master_Mapping_Sheet!$E$2:$E$3143),
Master_Mapping_Sheet!$H$2:$H$3143=P$1,
Master_Mapping_Sheet!$I$2:$I$3143=$A3))/sum(filter(
Master_Mapping_Sheet!$E$2:$E$3143, ISNUMBER(
Master_Mapping_She"&amp;"et!$E$2:$E$3143),
Master_Mapping_Sheet!$I$2:$I$3143=$A3))), 0, sum(filter(
Master_Mapping_Sheet!$E$2:$E$3143, ISNUMBER(
Master_Mapping_Sheet!$E$2:$E$3143),
Master_Mapping_Sheet!$H$2:$H$3143=P$1,
Master_Mapping_Sheet!$I$2:$I$3143=$A3))/sum(filter(
Master_M"&amp;"apping_Sheet!$E$2:$E$3143, ISNUMBER(
Master_Mapping_Sheet!$E$2:$E$3143),
Master_Mapping_Sheet!$I$2:$I$3143=$A3)))"),0.0)</f>
        <v>0</v>
      </c>
      <c r="Q3" s="34">
        <f>IFERROR(__xludf.DUMMYFUNCTION("IF(ISNA(sum(filter(
Master_Mapping_Sheet!$E$2:$E$3143, ISNUMBER(
Master_Mapping_Sheet!$E$2:$E$3143),
Master_Mapping_Sheet!$H$2:$H$3143=Q$1,
Master_Mapping_Sheet!$I$2:$I$3143=$A3))/sum(filter(
Master_Mapping_Sheet!$E$2:$E$3143, ISNUMBER(
Master_Mapping_She"&amp;"et!$E$2:$E$3143),
Master_Mapping_Sheet!$I$2:$I$3143=$A3))), 0, sum(filter(
Master_Mapping_Sheet!$E$2:$E$3143, ISNUMBER(
Master_Mapping_Sheet!$E$2:$E$3143),
Master_Mapping_Sheet!$H$2:$H$3143=Q$1,
Master_Mapping_Sheet!$I$2:$I$3143=$A3))/sum(filter(
Master_M"&amp;"apping_Sheet!$E$2:$E$3143, ISNUMBER(
Master_Mapping_Sheet!$E$2:$E$3143),
Master_Mapping_Sheet!$I$2:$I$3143=$A3)))"),0.0)</f>
        <v>0</v>
      </c>
      <c r="R3" s="34">
        <f>IFERROR(__xludf.DUMMYFUNCTION("IF(ISNA(sum(filter(
Master_Mapping_Sheet!$E$2:$E$3143, ISNUMBER(
Master_Mapping_Sheet!$E$2:$E$3143),
Master_Mapping_Sheet!$H$2:$H$3143=R$1,
Master_Mapping_Sheet!$I$2:$I$3143=$A3))/sum(filter(
Master_Mapping_Sheet!$E$2:$E$3143, ISNUMBER(
Master_Mapping_She"&amp;"et!$E$2:$E$3143),
Master_Mapping_Sheet!$I$2:$I$3143=$A3))), 0, sum(filter(
Master_Mapping_Sheet!$E$2:$E$3143, ISNUMBER(
Master_Mapping_Sheet!$E$2:$E$3143),
Master_Mapping_Sheet!$H$2:$H$3143=R$1,
Master_Mapping_Sheet!$I$2:$I$3143=$A3))/sum(filter(
Master_M"&amp;"apping_Sheet!$E$2:$E$3143, ISNUMBER(
Master_Mapping_Sheet!$E$2:$E$3143),
Master_Mapping_Sheet!$I$2:$I$3143=$A3)))"),0.0)</f>
        <v>0</v>
      </c>
      <c r="S3" s="34">
        <f>IFERROR(__xludf.DUMMYFUNCTION("IF(ISNA(sum(filter(
Master_Mapping_Sheet!$E$2:$E$3143, ISNUMBER(
Master_Mapping_Sheet!$E$2:$E$3143),
Master_Mapping_Sheet!$H$2:$H$3143=S$1,
Master_Mapping_Sheet!$I$2:$I$3143=$A3))/sum(filter(
Master_Mapping_Sheet!$E$2:$E$3143, ISNUMBER(
Master_Mapping_She"&amp;"et!$E$2:$E$3143),
Master_Mapping_Sheet!$I$2:$I$3143=$A3))), 0, sum(filter(
Master_Mapping_Sheet!$E$2:$E$3143, ISNUMBER(
Master_Mapping_Sheet!$E$2:$E$3143),
Master_Mapping_Sheet!$H$2:$H$3143=S$1,
Master_Mapping_Sheet!$I$2:$I$3143=$A3))/sum(filter(
Master_M"&amp;"apping_Sheet!$E$2:$E$3143, ISNUMBER(
Master_Mapping_Sheet!$E$2:$E$3143),
Master_Mapping_Sheet!$I$2:$I$3143=$A3)))"),0.0)</f>
        <v>0</v>
      </c>
      <c r="T3" s="34">
        <f>IFERROR(__xludf.DUMMYFUNCTION("IF(ISNA(sum(filter(
Master_Mapping_Sheet!$E$2:$E$3143, ISNUMBER(
Master_Mapping_Sheet!$E$2:$E$3143),
Master_Mapping_Sheet!$H$2:$H$3143=T$1,
Master_Mapping_Sheet!$I$2:$I$3143=$A3))/sum(filter(
Master_Mapping_Sheet!$E$2:$E$3143, ISNUMBER(
Master_Mapping_She"&amp;"et!$E$2:$E$3143),
Master_Mapping_Sheet!$I$2:$I$3143=$A3))), 0, sum(filter(
Master_Mapping_Sheet!$E$2:$E$3143, ISNUMBER(
Master_Mapping_Sheet!$E$2:$E$3143),
Master_Mapping_Sheet!$H$2:$H$3143=T$1,
Master_Mapping_Sheet!$I$2:$I$3143=$A3))/sum(filter(
Master_M"&amp;"apping_Sheet!$E$2:$E$3143, ISNUMBER(
Master_Mapping_Sheet!$E$2:$E$3143),
Master_Mapping_Sheet!$I$2:$I$3143=$A3)))"),0.0)</f>
        <v>0</v>
      </c>
      <c r="U3" s="34">
        <f>IFERROR(__xludf.DUMMYFUNCTION("IF(ISNA(sum(filter(
Master_Mapping_Sheet!$E$2:$E$3143, ISNUMBER(
Master_Mapping_Sheet!$E$2:$E$3143),
Master_Mapping_Sheet!$H$2:$H$3143=U$1,
Master_Mapping_Sheet!$I$2:$I$3143=$A3))/sum(filter(
Master_Mapping_Sheet!$E$2:$E$3143, ISNUMBER(
Master_Mapping_She"&amp;"et!$E$2:$E$3143),
Master_Mapping_Sheet!$I$2:$I$3143=$A3))), 0, sum(filter(
Master_Mapping_Sheet!$E$2:$E$3143, ISNUMBER(
Master_Mapping_Sheet!$E$2:$E$3143),
Master_Mapping_Sheet!$H$2:$H$3143=U$1,
Master_Mapping_Sheet!$I$2:$I$3143=$A3))/sum(filter(
Master_M"&amp;"apping_Sheet!$E$2:$E$3143, ISNUMBER(
Master_Mapping_Sheet!$E$2:$E$3143),
Master_Mapping_Sheet!$I$2:$I$3143=$A3)))"),0.0)</f>
        <v>0</v>
      </c>
      <c r="V3" s="34">
        <f>IFERROR(__xludf.DUMMYFUNCTION("IF(ISNA(sum(filter(
Master_Mapping_Sheet!$E$2:$E$3143, ISNUMBER(
Master_Mapping_Sheet!$E$2:$E$3143),
Master_Mapping_Sheet!$H$2:$H$3143=V$1,
Master_Mapping_Sheet!$I$2:$I$3143=$A3))/sum(filter(
Master_Mapping_Sheet!$E$2:$E$3143, ISNUMBER(
Master_Mapping_She"&amp;"et!$E$2:$E$3143),
Master_Mapping_Sheet!$I$2:$I$3143=$A3))), 0, sum(filter(
Master_Mapping_Sheet!$E$2:$E$3143, ISNUMBER(
Master_Mapping_Sheet!$E$2:$E$3143),
Master_Mapping_Sheet!$H$2:$H$3143=V$1,
Master_Mapping_Sheet!$I$2:$I$3143=$A3))/sum(filter(
Master_M"&amp;"apping_Sheet!$E$2:$E$3143, ISNUMBER(
Master_Mapping_Sheet!$E$2:$E$3143),
Master_Mapping_Sheet!$I$2:$I$3143=$A3)))"),0.0)</f>
        <v>0</v>
      </c>
      <c r="W3" s="34">
        <f>IFERROR(__xludf.DUMMYFUNCTION("IF(ISNA(sum(filter(
Master_Mapping_Sheet!$E$2:$E$3143, ISNUMBER(
Master_Mapping_Sheet!$E$2:$E$3143),
Master_Mapping_Sheet!$H$2:$H$3143=W$1,
Master_Mapping_Sheet!$I$2:$I$3143=$A3))/sum(filter(
Master_Mapping_Sheet!$E$2:$E$3143, ISNUMBER(
Master_Mapping_She"&amp;"et!$E$2:$E$3143),
Master_Mapping_Sheet!$I$2:$I$3143=$A3))), 0, sum(filter(
Master_Mapping_Sheet!$E$2:$E$3143, ISNUMBER(
Master_Mapping_Sheet!$E$2:$E$3143),
Master_Mapping_Sheet!$H$2:$H$3143=W$1,
Master_Mapping_Sheet!$I$2:$I$3143=$A3))/sum(filter(
Master_M"&amp;"apping_Sheet!$E$2:$E$3143, ISNUMBER(
Master_Mapping_Sheet!$E$2:$E$3143),
Master_Mapping_Sheet!$I$2:$I$3143=$A3)))"),0.0)</f>
        <v>0</v>
      </c>
      <c r="X3" s="34">
        <f>IFERROR(__xludf.DUMMYFUNCTION("IF(ISNA(sum(filter(
Master_Mapping_Sheet!$E$2:$E$3143, ISNUMBER(
Master_Mapping_Sheet!$E$2:$E$3143),
Master_Mapping_Sheet!$H$2:$H$3143=X$1,
Master_Mapping_Sheet!$I$2:$I$3143=$A3))/sum(filter(
Master_Mapping_Sheet!$E$2:$E$3143, ISNUMBER(
Master_Mapping_She"&amp;"et!$E$2:$E$3143),
Master_Mapping_Sheet!$I$2:$I$3143=$A3))), 0, sum(filter(
Master_Mapping_Sheet!$E$2:$E$3143, ISNUMBER(
Master_Mapping_Sheet!$E$2:$E$3143),
Master_Mapping_Sheet!$H$2:$H$3143=X$1,
Master_Mapping_Sheet!$I$2:$I$3143=$A3))/sum(filter(
Master_M"&amp;"apping_Sheet!$E$2:$E$3143, ISNUMBER(
Master_Mapping_Sheet!$E$2:$E$3143),
Master_Mapping_Sheet!$I$2:$I$3143=$A3)))"),0.0)</f>
        <v>0</v>
      </c>
      <c r="Y3" s="34">
        <f>IFERROR(__xludf.DUMMYFUNCTION("IF(ISNA(sum(filter(
Master_Mapping_Sheet!$E$2:$E$3143, ISNUMBER(
Master_Mapping_Sheet!$E$2:$E$3143),
Master_Mapping_Sheet!$H$2:$H$3143=Y$1,
Master_Mapping_Sheet!$I$2:$I$3143=$A3))/sum(filter(
Master_Mapping_Sheet!$E$2:$E$3143, ISNUMBER(
Master_Mapping_She"&amp;"et!$E$2:$E$3143),
Master_Mapping_Sheet!$I$2:$I$3143=$A3))), 0, sum(filter(
Master_Mapping_Sheet!$E$2:$E$3143, ISNUMBER(
Master_Mapping_Sheet!$E$2:$E$3143),
Master_Mapping_Sheet!$H$2:$H$3143=Y$1,
Master_Mapping_Sheet!$I$2:$I$3143=$A3))/sum(filter(
Master_M"&amp;"apping_Sheet!$E$2:$E$3143, ISNUMBER(
Master_Mapping_Sheet!$E$2:$E$3143),
Master_Mapping_Sheet!$I$2:$I$3143=$A3)))"),0.0)</f>
        <v>0</v>
      </c>
      <c r="Z3" s="34">
        <f>IFERROR(__xludf.DUMMYFUNCTION("IF(ISNA(sum(filter(
Master_Mapping_Sheet!$E$2:$E$3143, ISNUMBER(
Master_Mapping_Sheet!$E$2:$E$3143),
Master_Mapping_Sheet!$H$2:$H$3143=Z$1,
Master_Mapping_Sheet!$I$2:$I$3143=$A3))/sum(filter(
Master_Mapping_Sheet!$E$2:$E$3143, ISNUMBER(
Master_Mapping_She"&amp;"et!$E$2:$E$3143),
Master_Mapping_Sheet!$I$2:$I$3143=$A3))), 0, sum(filter(
Master_Mapping_Sheet!$E$2:$E$3143, ISNUMBER(
Master_Mapping_Sheet!$E$2:$E$3143),
Master_Mapping_Sheet!$H$2:$H$3143=Z$1,
Master_Mapping_Sheet!$I$2:$I$3143=$A3))/sum(filter(
Master_M"&amp;"apping_Sheet!$E$2:$E$3143, ISNUMBER(
Master_Mapping_Sheet!$E$2:$E$3143),
Master_Mapping_Sheet!$I$2:$I$3143=$A3)))"),0.0)</f>
        <v>0</v>
      </c>
    </row>
    <row r="4" ht="15.75" customHeight="1">
      <c r="A4" s="32">
        <v>3.0</v>
      </c>
      <c r="B4" s="34">
        <f>IFERROR(__xludf.DUMMYFUNCTION("IF(ISNA(sum(filter(
Master_Mapping_Sheet!$E$2:$E$3143, ISNUMBER(
Master_Mapping_Sheet!$E$2:$E$3143),
Master_Mapping_Sheet!$H$2:$H$3143=B$1,
Master_Mapping_Sheet!$I$2:$I$3143=$A4))/sum(filter(
Master_Mapping_Sheet!$E$2:$E$3143, ISNUMBER(
Master_Mapping_She"&amp;"et!$E$2:$E$3143),
Master_Mapping_Sheet!$I$2:$I$3143=$A4))), 0, sum(filter(
Master_Mapping_Sheet!$E$2:$E$3143, ISNUMBER(
Master_Mapping_Sheet!$E$2:$E$3143),
Master_Mapping_Sheet!$H$2:$H$3143=B$1,
Master_Mapping_Sheet!$I$2:$I$3143=$A4))/sum(filter(
Master_M"&amp;"apping_Sheet!$E$2:$E$3143, ISNUMBER(
Master_Mapping_Sheet!$E$2:$E$3143),
Master_Mapping_Sheet!$I$2:$I$3143=$A4)))"),0.0)</f>
        <v>0</v>
      </c>
      <c r="C4" s="34">
        <f>IFERROR(__xludf.DUMMYFUNCTION("IF(ISNA(sum(filter(
Master_Mapping_Sheet!$E$2:$E$3143, ISNUMBER(
Master_Mapping_Sheet!$E$2:$E$3143),
Master_Mapping_Sheet!$H$2:$H$3143=C$1,
Master_Mapping_Sheet!$I$2:$I$3143=$A4))/sum(filter(
Master_Mapping_Sheet!$E$2:$E$3143, ISNUMBER(
Master_Mapping_She"&amp;"et!$E$2:$E$3143),
Master_Mapping_Sheet!$I$2:$I$3143=$A4))), 0, sum(filter(
Master_Mapping_Sheet!$E$2:$E$3143, ISNUMBER(
Master_Mapping_Sheet!$E$2:$E$3143),
Master_Mapping_Sheet!$H$2:$H$3143=C$1,
Master_Mapping_Sheet!$I$2:$I$3143=$A4))/sum(filter(
Master_M"&amp;"apping_Sheet!$E$2:$E$3143, ISNUMBER(
Master_Mapping_Sheet!$E$2:$E$3143),
Master_Mapping_Sheet!$I$2:$I$3143=$A4)))"),0.0)</f>
        <v>0</v>
      </c>
      <c r="D4" s="34">
        <f>IFERROR(__xludf.DUMMYFUNCTION("IF(ISNA(sum(filter(
Master_Mapping_Sheet!$E$2:$E$3143, ISNUMBER(
Master_Mapping_Sheet!$E$2:$E$3143),
Master_Mapping_Sheet!$H$2:$H$3143=D$1,
Master_Mapping_Sheet!$I$2:$I$3143=$A4))/sum(filter(
Master_Mapping_Sheet!$E$2:$E$3143, ISNUMBER(
Master_Mapping_She"&amp;"et!$E$2:$E$3143),
Master_Mapping_Sheet!$I$2:$I$3143=$A4))), 0, sum(filter(
Master_Mapping_Sheet!$E$2:$E$3143, ISNUMBER(
Master_Mapping_Sheet!$E$2:$E$3143),
Master_Mapping_Sheet!$H$2:$H$3143=D$1,
Master_Mapping_Sheet!$I$2:$I$3143=$A4))/sum(filter(
Master_M"&amp;"apping_Sheet!$E$2:$E$3143, ISNUMBER(
Master_Mapping_Sheet!$E$2:$E$3143),
Master_Mapping_Sheet!$I$2:$I$3143=$A4)))"),0.13226633949036526)</f>
        <v>0.1322663395</v>
      </c>
      <c r="E4" s="34">
        <f>IFERROR(__xludf.DUMMYFUNCTION("IF(ISNA(sum(filter(
Master_Mapping_Sheet!$E$2:$E$3143, ISNUMBER(
Master_Mapping_Sheet!$E$2:$E$3143),
Master_Mapping_Sheet!$H$2:$H$3143=E$1,
Master_Mapping_Sheet!$I$2:$I$3143=$A4))/sum(filter(
Master_Mapping_Sheet!$E$2:$E$3143, ISNUMBER(
Master_Mapping_She"&amp;"et!$E$2:$E$3143),
Master_Mapping_Sheet!$I$2:$I$3143=$A4))), 0, sum(filter(
Master_Mapping_Sheet!$E$2:$E$3143, ISNUMBER(
Master_Mapping_Sheet!$E$2:$E$3143),
Master_Mapping_Sheet!$H$2:$H$3143=E$1,
Master_Mapping_Sheet!$I$2:$I$3143=$A4))/sum(filter(
Master_M"&amp;"apping_Sheet!$E$2:$E$3143, ISNUMBER(
Master_Mapping_Sheet!$E$2:$E$3143),
Master_Mapping_Sheet!$I$2:$I$3143=$A4)))"),0.17146886931476896)</f>
        <v>0.1714688693</v>
      </c>
      <c r="F4" s="34">
        <f>IFERROR(__xludf.DUMMYFUNCTION("IF(ISNA(sum(filter(
Master_Mapping_Sheet!$E$2:$E$3143, ISNUMBER(
Master_Mapping_Sheet!$E$2:$E$3143),
Master_Mapping_Sheet!$H$2:$H$3143=F$1,
Master_Mapping_Sheet!$I$2:$I$3143=$A4))/sum(filter(
Master_Mapping_Sheet!$E$2:$E$3143, ISNUMBER(
Master_Mapping_She"&amp;"et!$E$2:$E$3143),
Master_Mapping_Sheet!$I$2:$I$3143=$A4))), 0, sum(filter(
Master_Mapping_Sheet!$E$2:$E$3143, ISNUMBER(
Master_Mapping_Sheet!$E$2:$E$3143),
Master_Mapping_Sheet!$H$2:$H$3143=F$1,
Master_Mapping_Sheet!$I$2:$I$3143=$A4))/sum(filter(
Master_M"&amp;"apping_Sheet!$E$2:$E$3143, ISNUMBER(
Master_Mapping_Sheet!$E$2:$E$3143),
Master_Mapping_Sheet!$I$2:$I$3143=$A4)))"),0.19109569310796184)</f>
        <v>0.1910956931</v>
      </c>
      <c r="G4" s="34">
        <f>IFERROR(__xludf.DUMMYFUNCTION("IF(ISNA(sum(filter(
Master_Mapping_Sheet!$E$2:$E$3143, ISNUMBER(
Master_Mapping_Sheet!$E$2:$E$3143),
Master_Mapping_Sheet!$H$2:$H$3143=G$1,
Master_Mapping_Sheet!$I$2:$I$3143=$A4))/sum(filter(
Master_Mapping_Sheet!$E$2:$E$3143, ISNUMBER(
Master_Mapping_She"&amp;"et!$E$2:$E$3143),
Master_Mapping_Sheet!$I$2:$I$3143=$A4))), 0, sum(filter(
Master_Mapping_Sheet!$E$2:$E$3143, ISNUMBER(
Master_Mapping_Sheet!$E$2:$E$3143),
Master_Mapping_Sheet!$H$2:$H$3143=G$1,
Master_Mapping_Sheet!$I$2:$I$3143=$A4))/sum(filter(
Master_M"&amp;"apping_Sheet!$E$2:$E$3143, ISNUMBER(
Master_Mapping_Sheet!$E$2:$E$3143),
Master_Mapping_Sheet!$I$2:$I$3143=$A4)))"),0.0)</f>
        <v>0</v>
      </c>
      <c r="H4" s="34">
        <f>IFERROR(__xludf.DUMMYFUNCTION("IF(ISNA(sum(filter(
Master_Mapping_Sheet!$E$2:$E$3143, ISNUMBER(
Master_Mapping_Sheet!$E$2:$E$3143),
Master_Mapping_Sheet!$H$2:$H$3143=H$1,
Master_Mapping_Sheet!$I$2:$I$3143=$A4))/sum(filter(
Master_Mapping_Sheet!$E$2:$E$3143, ISNUMBER(
Master_Mapping_She"&amp;"et!$E$2:$E$3143),
Master_Mapping_Sheet!$I$2:$I$3143=$A4))), 0, sum(filter(
Master_Mapping_Sheet!$E$2:$E$3143, ISNUMBER(
Master_Mapping_Sheet!$E$2:$E$3143),
Master_Mapping_Sheet!$H$2:$H$3143=H$1,
Master_Mapping_Sheet!$I$2:$I$3143=$A4))/sum(filter(
Master_M"&amp;"apping_Sheet!$E$2:$E$3143, ISNUMBER(
Master_Mapping_Sheet!$E$2:$E$3143),
Master_Mapping_Sheet!$I$2:$I$3143=$A4)))"),0.0)</f>
        <v>0</v>
      </c>
      <c r="I4" s="34">
        <f>IFERROR(__xludf.DUMMYFUNCTION("IF(ISNA(sum(filter(
Master_Mapping_Sheet!$E$2:$E$3143, ISNUMBER(
Master_Mapping_Sheet!$E$2:$E$3143),
Master_Mapping_Sheet!$H$2:$H$3143=I$1,
Master_Mapping_Sheet!$I$2:$I$3143=$A4))/sum(filter(
Master_Mapping_Sheet!$E$2:$E$3143, ISNUMBER(
Master_Mapping_She"&amp;"et!$E$2:$E$3143),
Master_Mapping_Sheet!$I$2:$I$3143=$A4))), 0, sum(filter(
Master_Mapping_Sheet!$E$2:$E$3143, ISNUMBER(
Master_Mapping_Sheet!$E$2:$E$3143),
Master_Mapping_Sheet!$H$2:$H$3143=I$1,
Master_Mapping_Sheet!$I$2:$I$3143=$A4))/sum(filter(
Master_M"&amp;"apping_Sheet!$E$2:$E$3143, ISNUMBER(
Master_Mapping_Sheet!$E$2:$E$3143),
Master_Mapping_Sheet!$I$2:$I$3143=$A4)))"),0.0)</f>
        <v>0</v>
      </c>
      <c r="J4" s="34">
        <f>IFERROR(__xludf.DUMMYFUNCTION("IF(ISNA(sum(filter(
Master_Mapping_Sheet!$E$2:$E$3143, ISNUMBER(
Master_Mapping_Sheet!$E$2:$E$3143),
Master_Mapping_Sheet!$H$2:$H$3143=J$1,
Master_Mapping_Sheet!$I$2:$I$3143=$A4))/sum(filter(
Master_Mapping_Sheet!$E$2:$E$3143, ISNUMBER(
Master_Mapping_She"&amp;"et!$E$2:$E$3143),
Master_Mapping_Sheet!$I$2:$I$3143=$A4))), 0, sum(filter(
Master_Mapping_Sheet!$E$2:$E$3143, ISNUMBER(
Master_Mapping_Sheet!$E$2:$E$3143),
Master_Mapping_Sheet!$H$2:$H$3143=J$1,
Master_Mapping_Sheet!$I$2:$I$3143=$A4))/sum(filter(
Master_M"&amp;"apping_Sheet!$E$2:$E$3143, ISNUMBER(
Master_Mapping_Sheet!$E$2:$E$3143),
Master_Mapping_Sheet!$I$2:$I$3143=$A4)))"),0.0)</f>
        <v>0</v>
      </c>
      <c r="K4" s="34">
        <f>IFERROR(__xludf.DUMMYFUNCTION("IF(ISNA(sum(filter(
Master_Mapping_Sheet!$E$2:$E$3143, ISNUMBER(
Master_Mapping_Sheet!$E$2:$E$3143),
Master_Mapping_Sheet!$H$2:$H$3143=K$1,
Master_Mapping_Sheet!$I$2:$I$3143=$A4))/sum(filter(
Master_Mapping_Sheet!$E$2:$E$3143, ISNUMBER(
Master_Mapping_She"&amp;"et!$E$2:$E$3143),
Master_Mapping_Sheet!$I$2:$I$3143=$A4))), 0, sum(filter(
Master_Mapping_Sheet!$E$2:$E$3143, ISNUMBER(
Master_Mapping_Sheet!$E$2:$E$3143),
Master_Mapping_Sheet!$H$2:$H$3143=K$1,
Master_Mapping_Sheet!$I$2:$I$3143=$A4))/sum(filter(
Master_M"&amp;"apping_Sheet!$E$2:$E$3143, ISNUMBER(
Master_Mapping_Sheet!$E$2:$E$3143),
Master_Mapping_Sheet!$I$2:$I$3143=$A4)))"),0.0)</f>
        <v>0</v>
      </c>
      <c r="L4" s="34">
        <f>IFERROR(__xludf.DUMMYFUNCTION("IF(ISNA(sum(filter(
Master_Mapping_Sheet!$E$2:$E$3143, ISNUMBER(
Master_Mapping_Sheet!$E$2:$E$3143),
Master_Mapping_Sheet!$H$2:$H$3143=L$1,
Master_Mapping_Sheet!$I$2:$I$3143=$A4))/sum(filter(
Master_Mapping_Sheet!$E$2:$E$3143, ISNUMBER(
Master_Mapping_She"&amp;"et!$E$2:$E$3143),
Master_Mapping_Sheet!$I$2:$I$3143=$A4))), 0, sum(filter(
Master_Mapping_Sheet!$E$2:$E$3143, ISNUMBER(
Master_Mapping_Sheet!$E$2:$E$3143),
Master_Mapping_Sheet!$H$2:$H$3143=L$1,
Master_Mapping_Sheet!$I$2:$I$3143=$A4))/sum(filter(
Master_M"&amp;"apping_Sheet!$E$2:$E$3143, ISNUMBER(
Master_Mapping_Sheet!$E$2:$E$3143),
Master_Mapping_Sheet!$I$2:$I$3143=$A4)))"),0.3168602774879985)</f>
        <v>0.3168602775</v>
      </c>
      <c r="M4" s="34">
        <f>IFERROR(__xludf.DUMMYFUNCTION("IF(ISNA(sum(filter(
Master_Mapping_Sheet!$E$2:$E$3143, ISNUMBER(
Master_Mapping_Sheet!$E$2:$E$3143),
Master_Mapping_Sheet!$H$2:$H$3143=M$1,
Master_Mapping_Sheet!$I$2:$I$3143=$A4))/sum(filter(
Master_Mapping_Sheet!$E$2:$E$3143, ISNUMBER(
Master_Mapping_She"&amp;"et!$E$2:$E$3143),
Master_Mapping_Sheet!$I$2:$I$3143=$A4))), 0, sum(filter(
Master_Mapping_Sheet!$E$2:$E$3143, ISNUMBER(
Master_Mapping_Sheet!$E$2:$E$3143),
Master_Mapping_Sheet!$H$2:$H$3143=M$1,
Master_Mapping_Sheet!$I$2:$I$3143=$A4))/sum(filter(
Master_M"&amp;"apping_Sheet!$E$2:$E$3143, ISNUMBER(
Master_Mapping_Sheet!$E$2:$E$3143),
Master_Mapping_Sheet!$I$2:$I$3143=$A4)))"),0.18830882059890547)</f>
        <v>0.1883088206</v>
      </c>
      <c r="N4" s="34">
        <f>IFERROR(__xludf.DUMMYFUNCTION("IF(ISNA(sum(filter(
Master_Mapping_Sheet!$E$2:$E$3143, ISNUMBER(
Master_Mapping_Sheet!$E$2:$E$3143),
Master_Mapping_Sheet!$H$2:$H$3143=N$1,
Master_Mapping_Sheet!$I$2:$I$3143=$A4))/sum(filter(
Master_Mapping_Sheet!$E$2:$E$3143, ISNUMBER(
Master_Mapping_She"&amp;"et!$E$2:$E$3143),
Master_Mapping_Sheet!$I$2:$I$3143=$A4))), 0, sum(filter(
Master_Mapping_Sheet!$E$2:$E$3143, ISNUMBER(
Master_Mapping_Sheet!$E$2:$E$3143),
Master_Mapping_Sheet!$H$2:$H$3143=N$1,
Master_Mapping_Sheet!$I$2:$I$3143=$A4))/sum(filter(
Master_M"&amp;"apping_Sheet!$E$2:$E$3143, ISNUMBER(
Master_Mapping_Sheet!$E$2:$E$3143),
Master_Mapping_Sheet!$I$2:$I$3143=$A4)))"),0.0)</f>
        <v>0</v>
      </c>
      <c r="O4" s="34">
        <f>IFERROR(__xludf.DUMMYFUNCTION("IF(ISNA(sum(filter(
Master_Mapping_Sheet!$E$2:$E$3143, ISNUMBER(
Master_Mapping_Sheet!$E$2:$E$3143),
Master_Mapping_Sheet!$H$2:$H$3143=O$1,
Master_Mapping_Sheet!$I$2:$I$3143=$A4))/sum(filter(
Master_Mapping_Sheet!$E$2:$E$3143, ISNUMBER(
Master_Mapping_She"&amp;"et!$E$2:$E$3143),
Master_Mapping_Sheet!$I$2:$I$3143=$A4))), 0, sum(filter(
Master_Mapping_Sheet!$E$2:$E$3143, ISNUMBER(
Master_Mapping_Sheet!$E$2:$E$3143),
Master_Mapping_Sheet!$H$2:$H$3143=O$1,
Master_Mapping_Sheet!$I$2:$I$3143=$A4))/sum(filter(
Master_M"&amp;"apping_Sheet!$E$2:$E$3143, ISNUMBER(
Master_Mapping_Sheet!$E$2:$E$3143),
Master_Mapping_Sheet!$I$2:$I$3143=$A4)))"),0.0)</f>
        <v>0</v>
      </c>
      <c r="P4" s="34">
        <f>IFERROR(__xludf.DUMMYFUNCTION("IF(ISNA(sum(filter(
Master_Mapping_Sheet!$E$2:$E$3143, ISNUMBER(
Master_Mapping_Sheet!$E$2:$E$3143),
Master_Mapping_Sheet!$H$2:$H$3143=P$1,
Master_Mapping_Sheet!$I$2:$I$3143=$A4))/sum(filter(
Master_Mapping_Sheet!$E$2:$E$3143, ISNUMBER(
Master_Mapping_She"&amp;"et!$E$2:$E$3143),
Master_Mapping_Sheet!$I$2:$I$3143=$A4))), 0, sum(filter(
Master_Mapping_Sheet!$E$2:$E$3143, ISNUMBER(
Master_Mapping_Sheet!$E$2:$E$3143),
Master_Mapping_Sheet!$H$2:$H$3143=P$1,
Master_Mapping_Sheet!$I$2:$I$3143=$A4))/sum(filter(
Master_M"&amp;"apping_Sheet!$E$2:$E$3143, ISNUMBER(
Master_Mapping_Sheet!$E$2:$E$3143),
Master_Mapping_Sheet!$I$2:$I$3143=$A4)))"),0.0)</f>
        <v>0</v>
      </c>
      <c r="Q4" s="34">
        <f>IFERROR(__xludf.DUMMYFUNCTION("IF(ISNA(sum(filter(
Master_Mapping_Sheet!$E$2:$E$3143, ISNUMBER(
Master_Mapping_Sheet!$E$2:$E$3143),
Master_Mapping_Sheet!$H$2:$H$3143=Q$1,
Master_Mapping_Sheet!$I$2:$I$3143=$A4))/sum(filter(
Master_Mapping_Sheet!$E$2:$E$3143, ISNUMBER(
Master_Mapping_She"&amp;"et!$E$2:$E$3143),
Master_Mapping_Sheet!$I$2:$I$3143=$A4))), 0, sum(filter(
Master_Mapping_Sheet!$E$2:$E$3143, ISNUMBER(
Master_Mapping_Sheet!$E$2:$E$3143),
Master_Mapping_Sheet!$H$2:$H$3143=Q$1,
Master_Mapping_Sheet!$I$2:$I$3143=$A4))/sum(filter(
Master_M"&amp;"apping_Sheet!$E$2:$E$3143, ISNUMBER(
Master_Mapping_Sheet!$E$2:$E$3143),
Master_Mapping_Sheet!$I$2:$I$3143=$A4)))"),0.0)</f>
        <v>0</v>
      </c>
      <c r="R4" s="34">
        <f>IFERROR(__xludf.DUMMYFUNCTION("IF(ISNA(sum(filter(
Master_Mapping_Sheet!$E$2:$E$3143, ISNUMBER(
Master_Mapping_Sheet!$E$2:$E$3143),
Master_Mapping_Sheet!$H$2:$H$3143=R$1,
Master_Mapping_Sheet!$I$2:$I$3143=$A4))/sum(filter(
Master_Mapping_Sheet!$E$2:$E$3143, ISNUMBER(
Master_Mapping_She"&amp;"et!$E$2:$E$3143),
Master_Mapping_Sheet!$I$2:$I$3143=$A4))), 0, sum(filter(
Master_Mapping_Sheet!$E$2:$E$3143, ISNUMBER(
Master_Mapping_Sheet!$E$2:$E$3143),
Master_Mapping_Sheet!$H$2:$H$3143=R$1,
Master_Mapping_Sheet!$I$2:$I$3143=$A4))/sum(filter(
Master_M"&amp;"apping_Sheet!$E$2:$E$3143, ISNUMBER(
Master_Mapping_Sheet!$E$2:$E$3143),
Master_Mapping_Sheet!$I$2:$I$3143=$A4)))"),0.0)</f>
        <v>0</v>
      </c>
      <c r="S4" s="34">
        <f>IFERROR(__xludf.DUMMYFUNCTION("IF(ISNA(sum(filter(
Master_Mapping_Sheet!$E$2:$E$3143, ISNUMBER(
Master_Mapping_Sheet!$E$2:$E$3143),
Master_Mapping_Sheet!$H$2:$H$3143=S$1,
Master_Mapping_Sheet!$I$2:$I$3143=$A4))/sum(filter(
Master_Mapping_Sheet!$E$2:$E$3143, ISNUMBER(
Master_Mapping_She"&amp;"et!$E$2:$E$3143),
Master_Mapping_Sheet!$I$2:$I$3143=$A4))), 0, sum(filter(
Master_Mapping_Sheet!$E$2:$E$3143, ISNUMBER(
Master_Mapping_Sheet!$E$2:$E$3143),
Master_Mapping_Sheet!$H$2:$H$3143=S$1,
Master_Mapping_Sheet!$I$2:$I$3143=$A4))/sum(filter(
Master_M"&amp;"apping_Sheet!$E$2:$E$3143, ISNUMBER(
Master_Mapping_Sheet!$E$2:$E$3143),
Master_Mapping_Sheet!$I$2:$I$3143=$A4)))"),0.0)</f>
        <v>0</v>
      </c>
      <c r="T4" s="34">
        <f>IFERROR(__xludf.DUMMYFUNCTION("IF(ISNA(sum(filter(
Master_Mapping_Sheet!$E$2:$E$3143, ISNUMBER(
Master_Mapping_Sheet!$E$2:$E$3143),
Master_Mapping_Sheet!$H$2:$H$3143=T$1,
Master_Mapping_Sheet!$I$2:$I$3143=$A4))/sum(filter(
Master_Mapping_Sheet!$E$2:$E$3143, ISNUMBER(
Master_Mapping_She"&amp;"et!$E$2:$E$3143),
Master_Mapping_Sheet!$I$2:$I$3143=$A4))), 0, sum(filter(
Master_Mapping_Sheet!$E$2:$E$3143, ISNUMBER(
Master_Mapping_Sheet!$E$2:$E$3143),
Master_Mapping_Sheet!$H$2:$H$3143=T$1,
Master_Mapping_Sheet!$I$2:$I$3143=$A4))/sum(filter(
Master_M"&amp;"apping_Sheet!$E$2:$E$3143, ISNUMBER(
Master_Mapping_Sheet!$E$2:$E$3143),
Master_Mapping_Sheet!$I$2:$I$3143=$A4)))"),0.0)</f>
        <v>0</v>
      </c>
      <c r="U4" s="34">
        <f>IFERROR(__xludf.DUMMYFUNCTION("IF(ISNA(sum(filter(
Master_Mapping_Sheet!$E$2:$E$3143, ISNUMBER(
Master_Mapping_Sheet!$E$2:$E$3143),
Master_Mapping_Sheet!$H$2:$H$3143=U$1,
Master_Mapping_Sheet!$I$2:$I$3143=$A4))/sum(filter(
Master_Mapping_Sheet!$E$2:$E$3143, ISNUMBER(
Master_Mapping_She"&amp;"et!$E$2:$E$3143),
Master_Mapping_Sheet!$I$2:$I$3143=$A4))), 0, sum(filter(
Master_Mapping_Sheet!$E$2:$E$3143, ISNUMBER(
Master_Mapping_Sheet!$E$2:$E$3143),
Master_Mapping_Sheet!$H$2:$H$3143=U$1,
Master_Mapping_Sheet!$I$2:$I$3143=$A4))/sum(filter(
Master_M"&amp;"apping_Sheet!$E$2:$E$3143, ISNUMBER(
Master_Mapping_Sheet!$E$2:$E$3143),
Master_Mapping_Sheet!$I$2:$I$3143=$A4)))"),0.0)</f>
        <v>0</v>
      </c>
      <c r="V4" s="34">
        <f>IFERROR(__xludf.DUMMYFUNCTION("IF(ISNA(sum(filter(
Master_Mapping_Sheet!$E$2:$E$3143, ISNUMBER(
Master_Mapping_Sheet!$E$2:$E$3143),
Master_Mapping_Sheet!$H$2:$H$3143=V$1,
Master_Mapping_Sheet!$I$2:$I$3143=$A4))/sum(filter(
Master_Mapping_Sheet!$E$2:$E$3143, ISNUMBER(
Master_Mapping_She"&amp;"et!$E$2:$E$3143),
Master_Mapping_Sheet!$I$2:$I$3143=$A4))), 0, sum(filter(
Master_Mapping_Sheet!$E$2:$E$3143, ISNUMBER(
Master_Mapping_Sheet!$E$2:$E$3143),
Master_Mapping_Sheet!$H$2:$H$3143=V$1,
Master_Mapping_Sheet!$I$2:$I$3143=$A4))/sum(filter(
Master_M"&amp;"apping_Sheet!$E$2:$E$3143, ISNUMBER(
Master_Mapping_Sheet!$E$2:$E$3143),
Master_Mapping_Sheet!$I$2:$I$3143=$A4)))"),0.0)</f>
        <v>0</v>
      </c>
      <c r="W4" s="34">
        <f>IFERROR(__xludf.DUMMYFUNCTION("IF(ISNA(sum(filter(
Master_Mapping_Sheet!$E$2:$E$3143, ISNUMBER(
Master_Mapping_Sheet!$E$2:$E$3143),
Master_Mapping_Sheet!$H$2:$H$3143=W$1,
Master_Mapping_Sheet!$I$2:$I$3143=$A4))/sum(filter(
Master_Mapping_Sheet!$E$2:$E$3143, ISNUMBER(
Master_Mapping_She"&amp;"et!$E$2:$E$3143),
Master_Mapping_Sheet!$I$2:$I$3143=$A4))), 0, sum(filter(
Master_Mapping_Sheet!$E$2:$E$3143, ISNUMBER(
Master_Mapping_Sheet!$E$2:$E$3143),
Master_Mapping_Sheet!$H$2:$H$3143=W$1,
Master_Mapping_Sheet!$I$2:$I$3143=$A4))/sum(filter(
Master_M"&amp;"apping_Sheet!$E$2:$E$3143, ISNUMBER(
Master_Mapping_Sheet!$E$2:$E$3143),
Master_Mapping_Sheet!$I$2:$I$3143=$A4)))"),0.0)</f>
        <v>0</v>
      </c>
      <c r="X4" s="34">
        <f>IFERROR(__xludf.DUMMYFUNCTION("IF(ISNA(sum(filter(
Master_Mapping_Sheet!$E$2:$E$3143, ISNUMBER(
Master_Mapping_Sheet!$E$2:$E$3143),
Master_Mapping_Sheet!$H$2:$H$3143=X$1,
Master_Mapping_Sheet!$I$2:$I$3143=$A4))/sum(filter(
Master_Mapping_Sheet!$E$2:$E$3143, ISNUMBER(
Master_Mapping_She"&amp;"et!$E$2:$E$3143),
Master_Mapping_Sheet!$I$2:$I$3143=$A4))), 0, sum(filter(
Master_Mapping_Sheet!$E$2:$E$3143, ISNUMBER(
Master_Mapping_Sheet!$E$2:$E$3143),
Master_Mapping_Sheet!$H$2:$H$3143=X$1,
Master_Mapping_Sheet!$I$2:$I$3143=$A4))/sum(filter(
Master_M"&amp;"apping_Sheet!$E$2:$E$3143, ISNUMBER(
Master_Mapping_Sheet!$E$2:$E$3143),
Master_Mapping_Sheet!$I$2:$I$3143=$A4)))"),0.0)</f>
        <v>0</v>
      </c>
      <c r="Y4" s="34">
        <f>IFERROR(__xludf.DUMMYFUNCTION("IF(ISNA(sum(filter(
Master_Mapping_Sheet!$E$2:$E$3143, ISNUMBER(
Master_Mapping_Sheet!$E$2:$E$3143),
Master_Mapping_Sheet!$H$2:$H$3143=Y$1,
Master_Mapping_Sheet!$I$2:$I$3143=$A4))/sum(filter(
Master_Mapping_Sheet!$E$2:$E$3143, ISNUMBER(
Master_Mapping_She"&amp;"et!$E$2:$E$3143),
Master_Mapping_Sheet!$I$2:$I$3143=$A4))), 0, sum(filter(
Master_Mapping_Sheet!$E$2:$E$3143, ISNUMBER(
Master_Mapping_Sheet!$E$2:$E$3143),
Master_Mapping_Sheet!$H$2:$H$3143=Y$1,
Master_Mapping_Sheet!$I$2:$I$3143=$A4))/sum(filter(
Master_M"&amp;"apping_Sheet!$E$2:$E$3143, ISNUMBER(
Master_Mapping_Sheet!$E$2:$E$3143),
Master_Mapping_Sheet!$I$2:$I$3143=$A4)))"),0.0)</f>
        <v>0</v>
      </c>
      <c r="Z4" s="34">
        <f>IFERROR(__xludf.DUMMYFUNCTION("IF(ISNA(sum(filter(
Master_Mapping_Sheet!$E$2:$E$3143, ISNUMBER(
Master_Mapping_Sheet!$E$2:$E$3143),
Master_Mapping_Sheet!$H$2:$H$3143=Z$1,
Master_Mapping_Sheet!$I$2:$I$3143=$A4))/sum(filter(
Master_Mapping_Sheet!$E$2:$E$3143, ISNUMBER(
Master_Mapping_She"&amp;"et!$E$2:$E$3143),
Master_Mapping_Sheet!$I$2:$I$3143=$A4))), 0, sum(filter(
Master_Mapping_Sheet!$E$2:$E$3143, ISNUMBER(
Master_Mapping_Sheet!$E$2:$E$3143),
Master_Mapping_Sheet!$H$2:$H$3143=Z$1,
Master_Mapping_Sheet!$I$2:$I$3143=$A4))/sum(filter(
Master_M"&amp;"apping_Sheet!$E$2:$E$3143, ISNUMBER(
Master_Mapping_Sheet!$E$2:$E$3143),
Master_Mapping_Sheet!$I$2:$I$3143=$A4)))"),0.0)</f>
        <v>0</v>
      </c>
    </row>
    <row r="5" ht="15.75" customHeight="1">
      <c r="A5" s="32">
        <v>4.0</v>
      </c>
      <c r="B5" s="34">
        <f>IFERROR(__xludf.DUMMYFUNCTION("IF(ISNA(sum(filter(
Master_Mapping_Sheet!$E$2:$E$3143, ISNUMBER(
Master_Mapping_Sheet!$E$2:$E$3143),
Master_Mapping_Sheet!$H$2:$H$3143=B$1,
Master_Mapping_Sheet!$I$2:$I$3143=$A5))/sum(filter(
Master_Mapping_Sheet!$E$2:$E$3143, ISNUMBER(
Master_Mapping_She"&amp;"et!$E$2:$E$3143),
Master_Mapping_Sheet!$I$2:$I$3143=$A5))), 0, sum(filter(
Master_Mapping_Sheet!$E$2:$E$3143, ISNUMBER(
Master_Mapping_Sheet!$E$2:$E$3143),
Master_Mapping_Sheet!$H$2:$H$3143=B$1,
Master_Mapping_Sheet!$I$2:$I$3143=$A5))/sum(filter(
Master_M"&amp;"apping_Sheet!$E$2:$E$3143, ISNUMBER(
Master_Mapping_Sheet!$E$2:$E$3143),
Master_Mapping_Sheet!$I$2:$I$3143=$A5)))"),0.0)</f>
        <v>0</v>
      </c>
      <c r="C5" s="34">
        <f>IFERROR(__xludf.DUMMYFUNCTION("IF(ISNA(sum(filter(
Master_Mapping_Sheet!$E$2:$E$3143, ISNUMBER(
Master_Mapping_Sheet!$E$2:$E$3143),
Master_Mapping_Sheet!$H$2:$H$3143=C$1,
Master_Mapping_Sheet!$I$2:$I$3143=$A5))/sum(filter(
Master_Mapping_Sheet!$E$2:$E$3143, ISNUMBER(
Master_Mapping_She"&amp;"et!$E$2:$E$3143),
Master_Mapping_Sheet!$I$2:$I$3143=$A5))), 0, sum(filter(
Master_Mapping_Sheet!$E$2:$E$3143, ISNUMBER(
Master_Mapping_Sheet!$E$2:$E$3143),
Master_Mapping_Sheet!$H$2:$H$3143=C$1,
Master_Mapping_Sheet!$I$2:$I$3143=$A5))/sum(filter(
Master_M"&amp;"apping_Sheet!$E$2:$E$3143, ISNUMBER(
Master_Mapping_Sheet!$E$2:$E$3143),
Master_Mapping_Sheet!$I$2:$I$3143=$A5)))"),0.0)</f>
        <v>0</v>
      </c>
      <c r="D5" s="34">
        <f>IFERROR(__xludf.DUMMYFUNCTION("IF(ISNA(sum(filter(
Master_Mapping_Sheet!$E$2:$E$3143, ISNUMBER(
Master_Mapping_Sheet!$E$2:$E$3143),
Master_Mapping_Sheet!$H$2:$H$3143=D$1,
Master_Mapping_Sheet!$I$2:$I$3143=$A5))/sum(filter(
Master_Mapping_Sheet!$E$2:$E$3143, ISNUMBER(
Master_Mapping_She"&amp;"et!$E$2:$E$3143),
Master_Mapping_Sheet!$I$2:$I$3143=$A5))), 0, sum(filter(
Master_Mapping_Sheet!$E$2:$E$3143, ISNUMBER(
Master_Mapping_Sheet!$E$2:$E$3143),
Master_Mapping_Sheet!$H$2:$H$3143=D$1,
Master_Mapping_Sheet!$I$2:$I$3143=$A5))/sum(filter(
Master_M"&amp;"apping_Sheet!$E$2:$E$3143, ISNUMBER(
Master_Mapping_Sheet!$E$2:$E$3143),
Master_Mapping_Sheet!$I$2:$I$3143=$A5)))"),0.3771168029913188)</f>
        <v>0.377116803</v>
      </c>
      <c r="E5" s="34">
        <f>IFERROR(__xludf.DUMMYFUNCTION("IF(ISNA(sum(filter(
Master_Mapping_Sheet!$E$2:$E$3143, ISNUMBER(
Master_Mapping_Sheet!$E$2:$E$3143),
Master_Mapping_Sheet!$H$2:$H$3143=E$1,
Master_Mapping_Sheet!$I$2:$I$3143=$A5))/sum(filter(
Master_Mapping_Sheet!$E$2:$E$3143, ISNUMBER(
Master_Mapping_She"&amp;"et!$E$2:$E$3143),
Master_Mapping_Sheet!$I$2:$I$3143=$A5))), 0, sum(filter(
Master_Mapping_Sheet!$E$2:$E$3143, ISNUMBER(
Master_Mapping_Sheet!$E$2:$E$3143),
Master_Mapping_Sheet!$H$2:$H$3143=E$1,
Master_Mapping_Sheet!$I$2:$I$3143=$A5))/sum(filter(
Master_M"&amp;"apping_Sheet!$E$2:$E$3143, ISNUMBER(
Master_Mapping_Sheet!$E$2:$E$3143),
Master_Mapping_Sheet!$I$2:$I$3143=$A5)))"),0.16387566118359928)</f>
        <v>0.1638756612</v>
      </c>
      <c r="F5" s="34">
        <f>IFERROR(__xludf.DUMMYFUNCTION("IF(ISNA(sum(filter(
Master_Mapping_Sheet!$E$2:$E$3143, ISNUMBER(
Master_Mapping_Sheet!$E$2:$E$3143),
Master_Mapping_Sheet!$H$2:$H$3143=F$1,
Master_Mapping_Sheet!$I$2:$I$3143=$A5))/sum(filter(
Master_Mapping_Sheet!$E$2:$E$3143, ISNUMBER(
Master_Mapping_She"&amp;"et!$E$2:$E$3143),
Master_Mapping_Sheet!$I$2:$I$3143=$A5))), 0, sum(filter(
Master_Mapping_Sheet!$E$2:$E$3143, ISNUMBER(
Master_Mapping_Sheet!$E$2:$E$3143),
Master_Mapping_Sheet!$H$2:$H$3143=F$1,
Master_Mapping_Sheet!$I$2:$I$3143=$A5))/sum(filter(
Master_M"&amp;"apping_Sheet!$E$2:$E$3143, ISNUMBER(
Master_Mapping_Sheet!$E$2:$E$3143),
Master_Mapping_Sheet!$I$2:$I$3143=$A5)))"),0.0)</f>
        <v>0</v>
      </c>
      <c r="G5" s="34">
        <f>IFERROR(__xludf.DUMMYFUNCTION("IF(ISNA(sum(filter(
Master_Mapping_Sheet!$E$2:$E$3143, ISNUMBER(
Master_Mapping_Sheet!$E$2:$E$3143),
Master_Mapping_Sheet!$H$2:$H$3143=G$1,
Master_Mapping_Sheet!$I$2:$I$3143=$A5))/sum(filter(
Master_Mapping_Sheet!$E$2:$E$3143, ISNUMBER(
Master_Mapping_She"&amp;"et!$E$2:$E$3143),
Master_Mapping_Sheet!$I$2:$I$3143=$A5))), 0, sum(filter(
Master_Mapping_Sheet!$E$2:$E$3143, ISNUMBER(
Master_Mapping_Sheet!$E$2:$E$3143),
Master_Mapping_Sheet!$H$2:$H$3143=G$1,
Master_Mapping_Sheet!$I$2:$I$3143=$A5))/sum(filter(
Master_M"&amp;"apping_Sheet!$E$2:$E$3143, ISNUMBER(
Master_Mapping_Sheet!$E$2:$E$3143),
Master_Mapping_Sheet!$I$2:$I$3143=$A5)))"),0.0)</f>
        <v>0</v>
      </c>
      <c r="H5" s="34">
        <f>IFERROR(__xludf.DUMMYFUNCTION("IF(ISNA(sum(filter(
Master_Mapping_Sheet!$E$2:$E$3143, ISNUMBER(
Master_Mapping_Sheet!$E$2:$E$3143),
Master_Mapping_Sheet!$H$2:$H$3143=H$1,
Master_Mapping_Sheet!$I$2:$I$3143=$A5))/sum(filter(
Master_Mapping_Sheet!$E$2:$E$3143, ISNUMBER(
Master_Mapping_She"&amp;"et!$E$2:$E$3143),
Master_Mapping_Sheet!$I$2:$I$3143=$A5))), 0, sum(filter(
Master_Mapping_Sheet!$E$2:$E$3143, ISNUMBER(
Master_Mapping_Sheet!$E$2:$E$3143),
Master_Mapping_Sheet!$H$2:$H$3143=H$1,
Master_Mapping_Sheet!$I$2:$I$3143=$A5))/sum(filter(
Master_M"&amp;"apping_Sheet!$E$2:$E$3143, ISNUMBER(
Master_Mapping_Sheet!$E$2:$E$3143),
Master_Mapping_Sheet!$I$2:$I$3143=$A5)))"),0.0)</f>
        <v>0</v>
      </c>
      <c r="I5" s="34">
        <f>IFERROR(__xludf.DUMMYFUNCTION("IF(ISNA(sum(filter(
Master_Mapping_Sheet!$E$2:$E$3143, ISNUMBER(
Master_Mapping_Sheet!$E$2:$E$3143),
Master_Mapping_Sheet!$H$2:$H$3143=I$1,
Master_Mapping_Sheet!$I$2:$I$3143=$A5))/sum(filter(
Master_Mapping_Sheet!$E$2:$E$3143, ISNUMBER(
Master_Mapping_She"&amp;"et!$E$2:$E$3143),
Master_Mapping_Sheet!$I$2:$I$3143=$A5))), 0, sum(filter(
Master_Mapping_Sheet!$E$2:$E$3143, ISNUMBER(
Master_Mapping_Sheet!$E$2:$E$3143),
Master_Mapping_Sheet!$H$2:$H$3143=I$1,
Master_Mapping_Sheet!$I$2:$I$3143=$A5))/sum(filter(
Master_M"&amp;"apping_Sheet!$E$2:$E$3143, ISNUMBER(
Master_Mapping_Sheet!$E$2:$E$3143),
Master_Mapping_Sheet!$I$2:$I$3143=$A5)))"),0.0)</f>
        <v>0</v>
      </c>
      <c r="J5" s="34">
        <f>IFERROR(__xludf.DUMMYFUNCTION("IF(ISNA(sum(filter(
Master_Mapping_Sheet!$E$2:$E$3143, ISNUMBER(
Master_Mapping_Sheet!$E$2:$E$3143),
Master_Mapping_Sheet!$H$2:$H$3143=J$1,
Master_Mapping_Sheet!$I$2:$I$3143=$A5))/sum(filter(
Master_Mapping_Sheet!$E$2:$E$3143, ISNUMBER(
Master_Mapping_She"&amp;"et!$E$2:$E$3143),
Master_Mapping_Sheet!$I$2:$I$3143=$A5))), 0, sum(filter(
Master_Mapping_Sheet!$E$2:$E$3143, ISNUMBER(
Master_Mapping_Sheet!$E$2:$E$3143),
Master_Mapping_Sheet!$H$2:$H$3143=J$1,
Master_Mapping_Sheet!$I$2:$I$3143=$A5))/sum(filter(
Master_M"&amp;"apping_Sheet!$E$2:$E$3143, ISNUMBER(
Master_Mapping_Sheet!$E$2:$E$3143),
Master_Mapping_Sheet!$I$2:$I$3143=$A5)))"),0.0)</f>
        <v>0</v>
      </c>
      <c r="K5" s="34">
        <f>IFERROR(__xludf.DUMMYFUNCTION("IF(ISNA(sum(filter(
Master_Mapping_Sheet!$E$2:$E$3143, ISNUMBER(
Master_Mapping_Sheet!$E$2:$E$3143),
Master_Mapping_Sheet!$H$2:$H$3143=K$1,
Master_Mapping_Sheet!$I$2:$I$3143=$A5))/sum(filter(
Master_Mapping_Sheet!$E$2:$E$3143, ISNUMBER(
Master_Mapping_She"&amp;"et!$E$2:$E$3143),
Master_Mapping_Sheet!$I$2:$I$3143=$A5))), 0, sum(filter(
Master_Mapping_Sheet!$E$2:$E$3143, ISNUMBER(
Master_Mapping_Sheet!$E$2:$E$3143),
Master_Mapping_Sheet!$H$2:$H$3143=K$1,
Master_Mapping_Sheet!$I$2:$I$3143=$A5))/sum(filter(
Master_M"&amp;"apping_Sheet!$E$2:$E$3143, ISNUMBER(
Master_Mapping_Sheet!$E$2:$E$3143),
Master_Mapping_Sheet!$I$2:$I$3143=$A5)))"),0.0)</f>
        <v>0</v>
      </c>
      <c r="L5" s="34">
        <f>IFERROR(__xludf.DUMMYFUNCTION("IF(ISNA(sum(filter(
Master_Mapping_Sheet!$E$2:$E$3143, ISNUMBER(
Master_Mapping_Sheet!$E$2:$E$3143),
Master_Mapping_Sheet!$H$2:$H$3143=L$1,
Master_Mapping_Sheet!$I$2:$I$3143=$A5))/sum(filter(
Master_Mapping_Sheet!$E$2:$E$3143, ISNUMBER(
Master_Mapping_She"&amp;"et!$E$2:$E$3143),
Master_Mapping_Sheet!$I$2:$I$3143=$A5))), 0, sum(filter(
Master_Mapping_Sheet!$E$2:$E$3143, ISNUMBER(
Master_Mapping_Sheet!$E$2:$E$3143),
Master_Mapping_Sheet!$H$2:$H$3143=L$1,
Master_Mapping_Sheet!$I$2:$I$3143=$A5))/sum(filter(
Master_M"&amp;"apping_Sheet!$E$2:$E$3143, ISNUMBER(
Master_Mapping_Sheet!$E$2:$E$3143),
Master_Mapping_Sheet!$I$2:$I$3143=$A5)))"),0.0)</f>
        <v>0</v>
      </c>
      <c r="M5" s="34">
        <f>IFERROR(__xludf.DUMMYFUNCTION("IF(ISNA(sum(filter(
Master_Mapping_Sheet!$E$2:$E$3143, ISNUMBER(
Master_Mapping_Sheet!$E$2:$E$3143),
Master_Mapping_Sheet!$H$2:$H$3143=M$1,
Master_Mapping_Sheet!$I$2:$I$3143=$A5))/sum(filter(
Master_Mapping_Sheet!$E$2:$E$3143, ISNUMBER(
Master_Mapping_She"&amp;"et!$E$2:$E$3143),
Master_Mapping_Sheet!$I$2:$I$3143=$A5))), 0, sum(filter(
Master_Mapping_Sheet!$E$2:$E$3143, ISNUMBER(
Master_Mapping_Sheet!$E$2:$E$3143),
Master_Mapping_Sheet!$H$2:$H$3143=M$1,
Master_Mapping_Sheet!$I$2:$I$3143=$A5))/sum(filter(
Master_M"&amp;"apping_Sheet!$E$2:$E$3143, ISNUMBER(
Master_Mapping_Sheet!$E$2:$E$3143),
Master_Mapping_Sheet!$I$2:$I$3143=$A5)))"),0.0)</f>
        <v>0</v>
      </c>
      <c r="N5" s="34">
        <f>IFERROR(__xludf.DUMMYFUNCTION("IF(ISNA(sum(filter(
Master_Mapping_Sheet!$E$2:$E$3143, ISNUMBER(
Master_Mapping_Sheet!$E$2:$E$3143),
Master_Mapping_Sheet!$H$2:$H$3143=N$1,
Master_Mapping_Sheet!$I$2:$I$3143=$A5))/sum(filter(
Master_Mapping_Sheet!$E$2:$E$3143, ISNUMBER(
Master_Mapping_She"&amp;"et!$E$2:$E$3143),
Master_Mapping_Sheet!$I$2:$I$3143=$A5))), 0, sum(filter(
Master_Mapping_Sheet!$E$2:$E$3143, ISNUMBER(
Master_Mapping_Sheet!$E$2:$E$3143),
Master_Mapping_Sheet!$H$2:$H$3143=N$1,
Master_Mapping_Sheet!$I$2:$I$3143=$A5))/sum(filter(
Master_M"&amp;"apping_Sheet!$E$2:$E$3143, ISNUMBER(
Master_Mapping_Sheet!$E$2:$E$3143),
Master_Mapping_Sheet!$I$2:$I$3143=$A5)))"),0.0)</f>
        <v>0</v>
      </c>
      <c r="O5" s="34">
        <f>IFERROR(__xludf.DUMMYFUNCTION("IF(ISNA(sum(filter(
Master_Mapping_Sheet!$E$2:$E$3143, ISNUMBER(
Master_Mapping_Sheet!$E$2:$E$3143),
Master_Mapping_Sheet!$H$2:$H$3143=O$1,
Master_Mapping_Sheet!$I$2:$I$3143=$A5))/sum(filter(
Master_Mapping_Sheet!$E$2:$E$3143, ISNUMBER(
Master_Mapping_She"&amp;"et!$E$2:$E$3143),
Master_Mapping_Sheet!$I$2:$I$3143=$A5))), 0, sum(filter(
Master_Mapping_Sheet!$E$2:$E$3143, ISNUMBER(
Master_Mapping_Sheet!$E$2:$E$3143),
Master_Mapping_Sheet!$H$2:$H$3143=O$1,
Master_Mapping_Sheet!$I$2:$I$3143=$A5))/sum(filter(
Master_M"&amp;"apping_Sheet!$E$2:$E$3143, ISNUMBER(
Master_Mapping_Sheet!$E$2:$E$3143),
Master_Mapping_Sheet!$I$2:$I$3143=$A5)))"),0.0)</f>
        <v>0</v>
      </c>
      <c r="P5" s="34">
        <f>IFERROR(__xludf.DUMMYFUNCTION("IF(ISNA(sum(filter(
Master_Mapping_Sheet!$E$2:$E$3143, ISNUMBER(
Master_Mapping_Sheet!$E$2:$E$3143),
Master_Mapping_Sheet!$H$2:$H$3143=P$1,
Master_Mapping_Sheet!$I$2:$I$3143=$A5))/sum(filter(
Master_Mapping_Sheet!$E$2:$E$3143, ISNUMBER(
Master_Mapping_She"&amp;"et!$E$2:$E$3143),
Master_Mapping_Sheet!$I$2:$I$3143=$A5))), 0, sum(filter(
Master_Mapping_Sheet!$E$2:$E$3143, ISNUMBER(
Master_Mapping_Sheet!$E$2:$E$3143),
Master_Mapping_Sheet!$H$2:$H$3143=P$1,
Master_Mapping_Sheet!$I$2:$I$3143=$A5))/sum(filter(
Master_M"&amp;"apping_Sheet!$E$2:$E$3143, ISNUMBER(
Master_Mapping_Sheet!$E$2:$E$3143),
Master_Mapping_Sheet!$I$2:$I$3143=$A5)))"),0.0)</f>
        <v>0</v>
      </c>
      <c r="Q5" s="34">
        <f>IFERROR(__xludf.DUMMYFUNCTION("IF(ISNA(sum(filter(
Master_Mapping_Sheet!$E$2:$E$3143, ISNUMBER(
Master_Mapping_Sheet!$E$2:$E$3143),
Master_Mapping_Sheet!$H$2:$H$3143=Q$1,
Master_Mapping_Sheet!$I$2:$I$3143=$A5))/sum(filter(
Master_Mapping_Sheet!$E$2:$E$3143, ISNUMBER(
Master_Mapping_She"&amp;"et!$E$2:$E$3143),
Master_Mapping_Sheet!$I$2:$I$3143=$A5))), 0, sum(filter(
Master_Mapping_Sheet!$E$2:$E$3143, ISNUMBER(
Master_Mapping_Sheet!$E$2:$E$3143),
Master_Mapping_Sheet!$H$2:$H$3143=Q$1,
Master_Mapping_Sheet!$I$2:$I$3143=$A5))/sum(filter(
Master_M"&amp;"apping_Sheet!$E$2:$E$3143, ISNUMBER(
Master_Mapping_Sheet!$E$2:$E$3143),
Master_Mapping_Sheet!$I$2:$I$3143=$A5)))"),0.0)</f>
        <v>0</v>
      </c>
      <c r="R5" s="34">
        <f>IFERROR(__xludf.DUMMYFUNCTION("IF(ISNA(sum(filter(
Master_Mapping_Sheet!$E$2:$E$3143, ISNUMBER(
Master_Mapping_Sheet!$E$2:$E$3143),
Master_Mapping_Sheet!$H$2:$H$3143=R$1,
Master_Mapping_Sheet!$I$2:$I$3143=$A5))/sum(filter(
Master_Mapping_Sheet!$E$2:$E$3143, ISNUMBER(
Master_Mapping_She"&amp;"et!$E$2:$E$3143),
Master_Mapping_Sheet!$I$2:$I$3143=$A5))), 0, sum(filter(
Master_Mapping_Sheet!$E$2:$E$3143, ISNUMBER(
Master_Mapping_Sheet!$E$2:$E$3143),
Master_Mapping_Sheet!$H$2:$H$3143=R$1,
Master_Mapping_Sheet!$I$2:$I$3143=$A5))/sum(filter(
Master_M"&amp;"apping_Sheet!$E$2:$E$3143, ISNUMBER(
Master_Mapping_Sheet!$E$2:$E$3143),
Master_Mapping_Sheet!$I$2:$I$3143=$A5)))"),0.0)</f>
        <v>0</v>
      </c>
      <c r="S5" s="34">
        <f>IFERROR(__xludf.DUMMYFUNCTION("IF(ISNA(sum(filter(
Master_Mapping_Sheet!$E$2:$E$3143, ISNUMBER(
Master_Mapping_Sheet!$E$2:$E$3143),
Master_Mapping_Sheet!$H$2:$H$3143=S$1,
Master_Mapping_Sheet!$I$2:$I$3143=$A5))/sum(filter(
Master_Mapping_Sheet!$E$2:$E$3143, ISNUMBER(
Master_Mapping_She"&amp;"et!$E$2:$E$3143),
Master_Mapping_Sheet!$I$2:$I$3143=$A5))), 0, sum(filter(
Master_Mapping_Sheet!$E$2:$E$3143, ISNUMBER(
Master_Mapping_Sheet!$E$2:$E$3143),
Master_Mapping_Sheet!$H$2:$H$3143=S$1,
Master_Mapping_Sheet!$I$2:$I$3143=$A5))/sum(filter(
Master_M"&amp;"apping_Sheet!$E$2:$E$3143, ISNUMBER(
Master_Mapping_Sheet!$E$2:$E$3143),
Master_Mapping_Sheet!$I$2:$I$3143=$A5)))"),0.25594695349645485)</f>
        <v>0.2559469535</v>
      </c>
      <c r="T5" s="34">
        <f>IFERROR(__xludf.DUMMYFUNCTION("IF(ISNA(sum(filter(
Master_Mapping_Sheet!$E$2:$E$3143, ISNUMBER(
Master_Mapping_Sheet!$E$2:$E$3143),
Master_Mapping_Sheet!$H$2:$H$3143=T$1,
Master_Mapping_Sheet!$I$2:$I$3143=$A5))/sum(filter(
Master_Mapping_Sheet!$E$2:$E$3143, ISNUMBER(
Master_Mapping_She"&amp;"et!$E$2:$E$3143),
Master_Mapping_Sheet!$I$2:$I$3143=$A5))), 0, sum(filter(
Master_Mapping_Sheet!$E$2:$E$3143, ISNUMBER(
Master_Mapping_Sheet!$E$2:$E$3143),
Master_Mapping_Sheet!$H$2:$H$3143=T$1,
Master_Mapping_Sheet!$I$2:$I$3143=$A5))/sum(filter(
Master_M"&amp;"apping_Sheet!$E$2:$E$3143, ISNUMBER(
Master_Mapping_Sheet!$E$2:$E$3143),
Master_Mapping_Sheet!$I$2:$I$3143=$A5)))"),0.19946658687464056)</f>
        <v>0.1994665869</v>
      </c>
      <c r="U5" s="34">
        <f>IFERROR(__xludf.DUMMYFUNCTION("IF(ISNA(sum(filter(
Master_Mapping_Sheet!$E$2:$E$3143, ISNUMBER(
Master_Mapping_Sheet!$E$2:$E$3143),
Master_Mapping_Sheet!$H$2:$H$3143=U$1,
Master_Mapping_Sheet!$I$2:$I$3143=$A5))/sum(filter(
Master_Mapping_Sheet!$E$2:$E$3143, ISNUMBER(
Master_Mapping_She"&amp;"et!$E$2:$E$3143),
Master_Mapping_Sheet!$I$2:$I$3143=$A5))), 0, sum(filter(
Master_Mapping_Sheet!$E$2:$E$3143, ISNUMBER(
Master_Mapping_Sheet!$E$2:$E$3143),
Master_Mapping_Sheet!$H$2:$H$3143=U$1,
Master_Mapping_Sheet!$I$2:$I$3143=$A5))/sum(filter(
Master_M"&amp;"apping_Sheet!$E$2:$E$3143, ISNUMBER(
Master_Mapping_Sheet!$E$2:$E$3143),
Master_Mapping_Sheet!$I$2:$I$3143=$A5)))"),0.0)</f>
        <v>0</v>
      </c>
      <c r="V5" s="34">
        <f>IFERROR(__xludf.DUMMYFUNCTION("IF(ISNA(sum(filter(
Master_Mapping_Sheet!$E$2:$E$3143, ISNUMBER(
Master_Mapping_Sheet!$E$2:$E$3143),
Master_Mapping_Sheet!$H$2:$H$3143=V$1,
Master_Mapping_Sheet!$I$2:$I$3143=$A5))/sum(filter(
Master_Mapping_Sheet!$E$2:$E$3143, ISNUMBER(
Master_Mapping_She"&amp;"et!$E$2:$E$3143),
Master_Mapping_Sheet!$I$2:$I$3143=$A5))), 0, sum(filter(
Master_Mapping_Sheet!$E$2:$E$3143, ISNUMBER(
Master_Mapping_Sheet!$E$2:$E$3143),
Master_Mapping_Sheet!$H$2:$H$3143=V$1,
Master_Mapping_Sheet!$I$2:$I$3143=$A5))/sum(filter(
Master_M"&amp;"apping_Sheet!$E$2:$E$3143, ISNUMBER(
Master_Mapping_Sheet!$E$2:$E$3143),
Master_Mapping_Sheet!$I$2:$I$3143=$A5)))"),0.0)</f>
        <v>0</v>
      </c>
      <c r="W5" s="34">
        <f>IFERROR(__xludf.DUMMYFUNCTION("IF(ISNA(sum(filter(
Master_Mapping_Sheet!$E$2:$E$3143, ISNUMBER(
Master_Mapping_Sheet!$E$2:$E$3143),
Master_Mapping_Sheet!$H$2:$H$3143=W$1,
Master_Mapping_Sheet!$I$2:$I$3143=$A5))/sum(filter(
Master_Mapping_Sheet!$E$2:$E$3143, ISNUMBER(
Master_Mapping_She"&amp;"et!$E$2:$E$3143),
Master_Mapping_Sheet!$I$2:$I$3143=$A5))), 0, sum(filter(
Master_Mapping_Sheet!$E$2:$E$3143, ISNUMBER(
Master_Mapping_Sheet!$E$2:$E$3143),
Master_Mapping_Sheet!$H$2:$H$3143=W$1,
Master_Mapping_Sheet!$I$2:$I$3143=$A5))/sum(filter(
Master_M"&amp;"apping_Sheet!$E$2:$E$3143, ISNUMBER(
Master_Mapping_Sheet!$E$2:$E$3143),
Master_Mapping_Sheet!$I$2:$I$3143=$A5)))"),0.0)</f>
        <v>0</v>
      </c>
      <c r="X5" s="34">
        <f>IFERROR(__xludf.DUMMYFUNCTION("IF(ISNA(sum(filter(
Master_Mapping_Sheet!$E$2:$E$3143, ISNUMBER(
Master_Mapping_Sheet!$E$2:$E$3143),
Master_Mapping_Sheet!$H$2:$H$3143=X$1,
Master_Mapping_Sheet!$I$2:$I$3143=$A5))/sum(filter(
Master_Mapping_Sheet!$E$2:$E$3143, ISNUMBER(
Master_Mapping_She"&amp;"et!$E$2:$E$3143),
Master_Mapping_Sheet!$I$2:$I$3143=$A5))), 0, sum(filter(
Master_Mapping_Sheet!$E$2:$E$3143, ISNUMBER(
Master_Mapping_Sheet!$E$2:$E$3143),
Master_Mapping_Sheet!$H$2:$H$3143=X$1,
Master_Mapping_Sheet!$I$2:$I$3143=$A5))/sum(filter(
Master_M"&amp;"apping_Sheet!$E$2:$E$3143, ISNUMBER(
Master_Mapping_Sheet!$E$2:$E$3143),
Master_Mapping_Sheet!$I$2:$I$3143=$A5)))"),0.0)</f>
        <v>0</v>
      </c>
      <c r="Y5" s="34">
        <f>IFERROR(__xludf.DUMMYFUNCTION("IF(ISNA(sum(filter(
Master_Mapping_Sheet!$E$2:$E$3143, ISNUMBER(
Master_Mapping_Sheet!$E$2:$E$3143),
Master_Mapping_Sheet!$H$2:$H$3143=Y$1,
Master_Mapping_Sheet!$I$2:$I$3143=$A5))/sum(filter(
Master_Mapping_Sheet!$E$2:$E$3143, ISNUMBER(
Master_Mapping_She"&amp;"et!$E$2:$E$3143),
Master_Mapping_Sheet!$I$2:$I$3143=$A5))), 0, sum(filter(
Master_Mapping_Sheet!$E$2:$E$3143, ISNUMBER(
Master_Mapping_Sheet!$E$2:$E$3143),
Master_Mapping_Sheet!$H$2:$H$3143=Y$1,
Master_Mapping_Sheet!$I$2:$I$3143=$A5))/sum(filter(
Master_M"&amp;"apping_Sheet!$E$2:$E$3143, ISNUMBER(
Master_Mapping_Sheet!$E$2:$E$3143),
Master_Mapping_Sheet!$I$2:$I$3143=$A5)))"),0.003593995453986547)</f>
        <v>0.003593995454</v>
      </c>
      <c r="Z5" s="34">
        <f>IFERROR(__xludf.DUMMYFUNCTION("IF(ISNA(sum(filter(
Master_Mapping_Sheet!$E$2:$E$3143, ISNUMBER(
Master_Mapping_Sheet!$E$2:$E$3143),
Master_Mapping_Sheet!$H$2:$H$3143=Z$1,
Master_Mapping_Sheet!$I$2:$I$3143=$A5))/sum(filter(
Master_Mapping_Sheet!$E$2:$E$3143, ISNUMBER(
Master_Mapping_She"&amp;"et!$E$2:$E$3143),
Master_Mapping_Sheet!$I$2:$I$3143=$A5))), 0, sum(filter(
Master_Mapping_Sheet!$E$2:$E$3143, ISNUMBER(
Master_Mapping_Sheet!$E$2:$E$3143),
Master_Mapping_Sheet!$H$2:$H$3143=Z$1,
Master_Mapping_Sheet!$I$2:$I$3143=$A5))/sum(filter(
Master_M"&amp;"apping_Sheet!$E$2:$E$3143, ISNUMBER(
Master_Mapping_Sheet!$E$2:$E$3143),
Master_Mapping_Sheet!$I$2:$I$3143=$A5)))"),0.0)</f>
        <v>0</v>
      </c>
    </row>
    <row r="6" ht="15.75" customHeight="1">
      <c r="A6" s="32">
        <v>5.0</v>
      </c>
      <c r="B6" s="34">
        <f>IFERROR(__xludf.DUMMYFUNCTION("IF(ISNA(sum(filter(
Master_Mapping_Sheet!$E$2:$E$3143, ISNUMBER(
Master_Mapping_Sheet!$E$2:$E$3143),
Master_Mapping_Sheet!$H$2:$H$3143=B$1,
Master_Mapping_Sheet!$I$2:$I$3143=$A6))/sum(filter(
Master_Mapping_Sheet!$E$2:$E$3143, ISNUMBER(
Master_Mapping_She"&amp;"et!$E$2:$E$3143),
Master_Mapping_Sheet!$I$2:$I$3143=$A6))), 0, sum(filter(
Master_Mapping_Sheet!$E$2:$E$3143, ISNUMBER(
Master_Mapping_Sheet!$E$2:$E$3143),
Master_Mapping_Sheet!$H$2:$H$3143=B$1,
Master_Mapping_Sheet!$I$2:$I$3143=$A6))/sum(filter(
Master_M"&amp;"apping_Sheet!$E$2:$E$3143, ISNUMBER(
Master_Mapping_Sheet!$E$2:$E$3143),
Master_Mapping_Sheet!$I$2:$I$3143=$A6)))"),0.0)</f>
        <v>0</v>
      </c>
      <c r="C6" s="34">
        <f>IFERROR(__xludf.DUMMYFUNCTION("IF(ISNA(sum(filter(
Master_Mapping_Sheet!$E$2:$E$3143, ISNUMBER(
Master_Mapping_Sheet!$E$2:$E$3143),
Master_Mapping_Sheet!$H$2:$H$3143=C$1,
Master_Mapping_Sheet!$I$2:$I$3143=$A6))/sum(filter(
Master_Mapping_Sheet!$E$2:$E$3143, ISNUMBER(
Master_Mapping_She"&amp;"et!$E$2:$E$3143),
Master_Mapping_Sheet!$I$2:$I$3143=$A6))), 0, sum(filter(
Master_Mapping_Sheet!$E$2:$E$3143, ISNUMBER(
Master_Mapping_Sheet!$E$2:$E$3143),
Master_Mapping_Sheet!$H$2:$H$3143=C$1,
Master_Mapping_Sheet!$I$2:$I$3143=$A6))/sum(filter(
Master_M"&amp;"apping_Sheet!$E$2:$E$3143, ISNUMBER(
Master_Mapping_Sheet!$E$2:$E$3143),
Master_Mapping_Sheet!$I$2:$I$3143=$A6)))"),0.3145685633705906)</f>
        <v>0.3145685634</v>
      </c>
      <c r="D6" s="34">
        <f>IFERROR(__xludf.DUMMYFUNCTION("IF(ISNA(sum(filter(
Master_Mapping_Sheet!$E$2:$E$3143, ISNUMBER(
Master_Mapping_Sheet!$E$2:$E$3143),
Master_Mapping_Sheet!$H$2:$H$3143=D$1,
Master_Mapping_Sheet!$I$2:$I$3143=$A6))/sum(filter(
Master_Mapping_Sheet!$E$2:$E$3143, ISNUMBER(
Master_Mapping_She"&amp;"et!$E$2:$E$3143),
Master_Mapping_Sheet!$I$2:$I$3143=$A6))), 0, sum(filter(
Master_Mapping_Sheet!$E$2:$E$3143, ISNUMBER(
Master_Mapping_Sheet!$E$2:$E$3143),
Master_Mapping_Sheet!$H$2:$H$3143=D$1,
Master_Mapping_Sheet!$I$2:$I$3143=$A6))/sum(filter(
Master_M"&amp;"apping_Sheet!$E$2:$E$3143, ISNUMBER(
Master_Mapping_Sheet!$E$2:$E$3143),
Master_Mapping_Sheet!$I$2:$I$3143=$A6)))"),0.0)</f>
        <v>0</v>
      </c>
      <c r="E6" s="34">
        <f>IFERROR(__xludf.DUMMYFUNCTION("IF(ISNA(sum(filter(
Master_Mapping_Sheet!$E$2:$E$3143, ISNUMBER(
Master_Mapping_Sheet!$E$2:$E$3143),
Master_Mapping_Sheet!$H$2:$H$3143=E$1,
Master_Mapping_Sheet!$I$2:$I$3143=$A6))/sum(filter(
Master_Mapping_Sheet!$E$2:$E$3143, ISNUMBER(
Master_Mapping_She"&amp;"et!$E$2:$E$3143),
Master_Mapping_Sheet!$I$2:$I$3143=$A6))), 0, sum(filter(
Master_Mapping_Sheet!$E$2:$E$3143, ISNUMBER(
Master_Mapping_Sheet!$E$2:$E$3143),
Master_Mapping_Sheet!$H$2:$H$3143=E$1,
Master_Mapping_Sheet!$I$2:$I$3143=$A6))/sum(filter(
Master_M"&amp;"apping_Sheet!$E$2:$E$3143, ISNUMBER(
Master_Mapping_Sheet!$E$2:$E$3143),
Master_Mapping_Sheet!$I$2:$I$3143=$A6)))"),0.0)</f>
        <v>0</v>
      </c>
      <c r="F6" s="34">
        <f>IFERROR(__xludf.DUMMYFUNCTION("IF(ISNA(sum(filter(
Master_Mapping_Sheet!$E$2:$E$3143, ISNUMBER(
Master_Mapping_Sheet!$E$2:$E$3143),
Master_Mapping_Sheet!$H$2:$H$3143=F$1,
Master_Mapping_Sheet!$I$2:$I$3143=$A6))/sum(filter(
Master_Mapping_Sheet!$E$2:$E$3143, ISNUMBER(
Master_Mapping_She"&amp;"et!$E$2:$E$3143),
Master_Mapping_Sheet!$I$2:$I$3143=$A6))), 0, sum(filter(
Master_Mapping_Sheet!$E$2:$E$3143, ISNUMBER(
Master_Mapping_Sheet!$E$2:$E$3143),
Master_Mapping_Sheet!$H$2:$H$3143=F$1,
Master_Mapping_Sheet!$I$2:$I$3143=$A6))/sum(filter(
Master_M"&amp;"apping_Sheet!$E$2:$E$3143, ISNUMBER(
Master_Mapping_Sheet!$E$2:$E$3143),
Master_Mapping_Sheet!$I$2:$I$3143=$A6)))"),0.0)</f>
        <v>0</v>
      </c>
      <c r="G6" s="34">
        <f>IFERROR(__xludf.DUMMYFUNCTION("IF(ISNA(sum(filter(
Master_Mapping_Sheet!$E$2:$E$3143, ISNUMBER(
Master_Mapping_Sheet!$E$2:$E$3143),
Master_Mapping_Sheet!$H$2:$H$3143=G$1,
Master_Mapping_Sheet!$I$2:$I$3143=$A6))/sum(filter(
Master_Mapping_Sheet!$E$2:$E$3143, ISNUMBER(
Master_Mapping_She"&amp;"et!$E$2:$E$3143),
Master_Mapping_Sheet!$I$2:$I$3143=$A6))), 0, sum(filter(
Master_Mapping_Sheet!$E$2:$E$3143, ISNUMBER(
Master_Mapping_Sheet!$E$2:$E$3143),
Master_Mapping_Sheet!$H$2:$H$3143=G$1,
Master_Mapping_Sheet!$I$2:$I$3143=$A6))/sum(filter(
Master_M"&amp;"apping_Sheet!$E$2:$E$3143, ISNUMBER(
Master_Mapping_Sheet!$E$2:$E$3143),
Master_Mapping_Sheet!$I$2:$I$3143=$A6)))"),0.0)</f>
        <v>0</v>
      </c>
      <c r="H6" s="34">
        <f>IFERROR(__xludf.DUMMYFUNCTION("IF(ISNA(sum(filter(
Master_Mapping_Sheet!$E$2:$E$3143, ISNUMBER(
Master_Mapping_Sheet!$E$2:$E$3143),
Master_Mapping_Sheet!$H$2:$H$3143=H$1,
Master_Mapping_Sheet!$I$2:$I$3143=$A6))/sum(filter(
Master_Mapping_Sheet!$E$2:$E$3143, ISNUMBER(
Master_Mapping_She"&amp;"et!$E$2:$E$3143),
Master_Mapping_Sheet!$I$2:$I$3143=$A6))), 0, sum(filter(
Master_Mapping_Sheet!$E$2:$E$3143, ISNUMBER(
Master_Mapping_Sheet!$E$2:$E$3143),
Master_Mapping_Sheet!$H$2:$H$3143=H$1,
Master_Mapping_Sheet!$I$2:$I$3143=$A6))/sum(filter(
Master_M"&amp;"apping_Sheet!$E$2:$E$3143, ISNUMBER(
Master_Mapping_Sheet!$E$2:$E$3143),
Master_Mapping_Sheet!$I$2:$I$3143=$A6)))"),0.0)</f>
        <v>0</v>
      </c>
      <c r="I6" s="34">
        <f>IFERROR(__xludf.DUMMYFUNCTION("IF(ISNA(sum(filter(
Master_Mapping_Sheet!$E$2:$E$3143, ISNUMBER(
Master_Mapping_Sheet!$E$2:$E$3143),
Master_Mapping_Sheet!$H$2:$H$3143=I$1,
Master_Mapping_Sheet!$I$2:$I$3143=$A6))/sum(filter(
Master_Mapping_Sheet!$E$2:$E$3143, ISNUMBER(
Master_Mapping_She"&amp;"et!$E$2:$E$3143),
Master_Mapping_Sheet!$I$2:$I$3143=$A6))), 0, sum(filter(
Master_Mapping_Sheet!$E$2:$E$3143, ISNUMBER(
Master_Mapping_Sheet!$E$2:$E$3143),
Master_Mapping_Sheet!$H$2:$H$3143=I$1,
Master_Mapping_Sheet!$I$2:$I$3143=$A6))/sum(filter(
Master_M"&amp;"apping_Sheet!$E$2:$E$3143, ISNUMBER(
Master_Mapping_Sheet!$E$2:$E$3143),
Master_Mapping_Sheet!$I$2:$I$3143=$A6)))"),0.0)</f>
        <v>0</v>
      </c>
      <c r="J6" s="34">
        <f>IFERROR(__xludf.DUMMYFUNCTION("IF(ISNA(sum(filter(
Master_Mapping_Sheet!$E$2:$E$3143, ISNUMBER(
Master_Mapping_Sheet!$E$2:$E$3143),
Master_Mapping_Sheet!$H$2:$H$3143=J$1,
Master_Mapping_Sheet!$I$2:$I$3143=$A6))/sum(filter(
Master_Mapping_Sheet!$E$2:$E$3143, ISNUMBER(
Master_Mapping_She"&amp;"et!$E$2:$E$3143),
Master_Mapping_Sheet!$I$2:$I$3143=$A6))), 0, sum(filter(
Master_Mapping_Sheet!$E$2:$E$3143, ISNUMBER(
Master_Mapping_Sheet!$E$2:$E$3143),
Master_Mapping_Sheet!$H$2:$H$3143=J$1,
Master_Mapping_Sheet!$I$2:$I$3143=$A6))/sum(filter(
Master_M"&amp;"apping_Sheet!$E$2:$E$3143, ISNUMBER(
Master_Mapping_Sheet!$E$2:$E$3143),
Master_Mapping_Sheet!$I$2:$I$3143=$A6)))"),0.0)</f>
        <v>0</v>
      </c>
      <c r="K6" s="34">
        <f>IFERROR(__xludf.DUMMYFUNCTION("IF(ISNA(sum(filter(
Master_Mapping_Sheet!$E$2:$E$3143, ISNUMBER(
Master_Mapping_Sheet!$E$2:$E$3143),
Master_Mapping_Sheet!$H$2:$H$3143=K$1,
Master_Mapping_Sheet!$I$2:$I$3143=$A6))/sum(filter(
Master_Mapping_Sheet!$E$2:$E$3143, ISNUMBER(
Master_Mapping_She"&amp;"et!$E$2:$E$3143),
Master_Mapping_Sheet!$I$2:$I$3143=$A6))), 0, sum(filter(
Master_Mapping_Sheet!$E$2:$E$3143, ISNUMBER(
Master_Mapping_Sheet!$E$2:$E$3143),
Master_Mapping_Sheet!$H$2:$H$3143=K$1,
Master_Mapping_Sheet!$I$2:$I$3143=$A6))/sum(filter(
Master_M"&amp;"apping_Sheet!$E$2:$E$3143, ISNUMBER(
Master_Mapping_Sheet!$E$2:$E$3143),
Master_Mapping_Sheet!$I$2:$I$3143=$A6)))"),0.08287219968996223)</f>
        <v>0.08287219969</v>
      </c>
      <c r="L6" s="34">
        <f>IFERROR(__xludf.DUMMYFUNCTION("IF(ISNA(sum(filter(
Master_Mapping_Sheet!$E$2:$E$3143, ISNUMBER(
Master_Mapping_Sheet!$E$2:$E$3143),
Master_Mapping_Sheet!$H$2:$H$3143=L$1,
Master_Mapping_Sheet!$I$2:$I$3143=$A6))/sum(filter(
Master_Mapping_Sheet!$E$2:$E$3143, ISNUMBER(
Master_Mapping_She"&amp;"et!$E$2:$E$3143),
Master_Mapping_Sheet!$I$2:$I$3143=$A6))), 0, sum(filter(
Master_Mapping_Sheet!$E$2:$E$3143, ISNUMBER(
Master_Mapping_Sheet!$E$2:$E$3143),
Master_Mapping_Sheet!$H$2:$H$3143=L$1,
Master_Mapping_Sheet!$I$2:$I$3143=$A6))/sum(filter(
Master_M"&amp;"apping_Sheet!$E$2:$E$3143, ISNUMBER(
Master_Mapping_Sheet!$E$2:$E$3143),
Master_Mapping_Sheet!$I$2:$I$3143=$A6)))"),0.06906629555824144)</f>
        <v>0.06906629556</v>
      </c>
      <c r="M6" s="34">
        <f>IFERROR(__xludf.DUMMYFUNCTION("IF(ISNA(sum(filter(
Master_Mapping_Sheet!$E$2:$E$3143, ISNUMBER(
Master_Mapping_Sheet!$E$2:$E$3143),
Master_Mapping_Sheet!$H$2:$H$3143=M$1,
Master_Mapping_Sheet!$I$2:$I$3143=$A6))/sum(filter(
Master_Mapping_Sheet!$E$2:$E$3143, ISNUMBER(
Master_Mapping_She"&amp;"et!$E$2:$E$3143),
Master_Mapping_Sheet!$I$2:$I$3143=$A6))), 0, sum(filter(
Master_Mapping_Sheet!$E$2:$E$3143, ISNUMBER(
Master_Mapping_Sheet!$E$2:$E$3143),
Master_Mapping_Sheet!$H$2:$H$3143=M$1,
Master_Mapping_Sheet!$I$2:$I$3143=$A6))/sum(filter(
Master_M"&amp;"apping_Sheet!$E$2:$E$3143, ISNUMBER(
Master_Mapping_Sheet!$E$2:$E$3143),
Master_Mapping_Sheet!$I$2:$I$3143=$A6)))"),0.0)</f>
        <v>0</v>
      </c>
      <c r="N6" s="34">
        <f>IFERROR(__xludf.DUMMYFUNCTION("IF(ISNA(sum(filter(
Master_Mapping_Sheet!$E$2:$E$3143, ISNUMBER(
Master_Mapping_Sheet!$E$2:$E$3143),
Master_Mapping_Sheet!$H$2:$H$3143=N$1,
Master_Mapping_Sheet!$I$2:$I$3143=$A6))/sum(filter(
Master_Mapping_Sheet!$E$2:$E$3143, ISNUMBER(
Master_Mapping_She"&amp;"et!$E$2:$E$3143),
Master_Mapping_Sheet!$I$2:$I$3143=$A6))), 0, sum(filter(
Master_Mapping_Sheet!$E$2:$E$3143, ISNUMBER(
Master_Mapping_Sheet!$E$2:$E$3143),
Master_Mapping_Sheet!$H$2:$H$3143=N$1,
Master_Mapping_Sheet!$I$2:$I$3143=$A6))/sum(filter(
Master_M"&amp;"apping_Sheet!$E$2:$E$3143, ISNUMBER(
Master_Mapping_Sheet!$E$2:$E$3143),
Master_Mapping_Sheet!$I$2:$I$3143=$A6)))"),0.1274934616822768)</f>
        <v>0.1274934617</v>
      </c>
      <c r="O6" s="34">
        <f>IFERROR(__xludf.DUMMYFUNCTION("IF(ISNA(sum(filter(
Master_Mapping_Sheet!$E$2:$E$3143, ISNUMBER(
Master_Mapping_Sheet!$E$2:$E$3143),
Master_Mapping_Sheet!$H$2:$H$3143=O$1,
Master_Mapping_Sheet!$I$2:$I$3143=$A6))/sum(filter(
Master_Mapping_Sheet!$E$2:$E$3143, ISNUMBER(
Master_Mapping_She"&amp;"et!$E$2:$E$3143),
Master_Mapping_Sheet!$I$2:$I$3143=$A6))), 0, sum(filter(
Master_Mapping_Sheet!$E$2:$E$3143, ISNUMBER(
Master_Mapping_Sheet!$E$2:$E$3143),
Master_Mapping_Sheet!$H$2:$H$3143=O$1,
Master_Mapping_Sheet!$I$2:$I$3143=$A6))/sum(filter(
Master_M"&amp;"apping_Sheet!$E$2:$E$3143, ISNUMBER(
Master_Mapping_Sheet!$E$2:$E$3143),
Master_Mapping_Sheet!$I$2:$I$3143=$A6)))"),0.226054780412296)</f>
        <v>0.2260547804</v>
      </c>
      <c r="P6" s="34">
        <f>IFERROR(__xludf.DUMMYFUNCTION("IF(ISNA(sum(filter(
Master_Mapping_Sheet!$E$2:$E$3143, ISNUMBER(
Master_Mapping_Sheet!$E$2:$E$3143),
Master_Mapping_Sheet!$H$2:$H$3143=P$1,
Master_Mapping_Sheet!$I$2:$I$3143=$A6))/sum(filter(
Master_Mapping_Sheet!$E$2:$E$3143, ISNUMBER(
Master_Mapping_She"&amp;"et!$E$2:$E$3143),
Master_Mapping_Sheet!$I$2:$I$3143=$A6))), 0, sum(filter(
Master_Mapping_Sheet!$E$2:$E$3143, ISNUMBER(
Master_Mapping_Sheet!$E$2:$E$3143),
Master_Mapping_Sheet!$H$2:$H$3143=P$1,
Master_Mapping_Sheet!$I$2:$I$3143=$A6))/sum(filter(
Master_M"&amp;"apping_Sheet!$E$2:$E$3143, ISNUMBER(
Master_Mapping_Sheet!$E$2:$E$3143),
Master_Mapping_Sheet!$I$2:$I$3143=$A6)))"),0.17767320065318906)</f>
        <v>0.1776732007</v>
      </c>
      <c r="Q6" s="34">
        <f>IFERROR(__xludf.DUMMYFUNCTION("IF(ISNA(sum(filter(
Master_Mapping_Sheet!$E$2:$E$3143, ISNUMBER(
Master_Mapping_Sheet!$E$2:$E$3143),
Master_Mapping_Sheet!$H$2:$H$3143=Q$1,
Master_Mapping_Sheet!$I$2:$I$3143=$A6))/sum(filter(
Master_Mapping_Sheet!$E$2:$E$3143, ISNUMBER(
Master_Mapping_She"&amp;"et!$E$2:$E$3143),
Master_Mapping_Sheet!$I$2:$I$3143=$A6))), 0, sum(filter(
Master_Mapping_Sheet!$E$2:$E$3143, ISNUMBER(
Master_Mapping_Sheet!$E$2:$E$3143),
Master_Mapping_Sheet!$H$2:$H$3143=Q$1,
Master_Mapping_Sheet!$I$2:$I$3143=$A6))/sum(filter(
Master_M"&amp;"apping_Sheet!$E$2:$E$3143, ISNUMBER(
Master_Mapping_Sheet!$E$2:$E$3143),
Master_Mapping_Sheet!$I$2:$I$3143=$A6)))"),0.00227149863344385)</f>
        <v>0.002271498633</v>
      </c>
      <c r="R6" s="34">
        <f>IFERROR(__xludf.DUMMYFUNCTION("IF(ISNA(sum(filter(
Master_Mapping_Sheet!$E$2:$E$3143, ISNUMBER(
Master_Mapping_Sheet!$E$2:$E$3143),
Master_Mapping_Sheet!$H$2:$H$3143=R$1,
Master_Mapping_Sheet!$I$2:$I$3143=$A6))/sum(filter(
Master_Mapping_Sheet!$E$2:$E$3143, ISNUMBER(
Master_Mapping_She"&amp;"et!$E$2:$E$3143),
Master_Mapping_Sheet!$I$2:$I$3143=$A6))), 0, sum(filter(
Master_Mapping_Sheet!$E$2:$E$3143, ISNUMBER(
Master_Mapping_Sheet!$E$2:$E$3143),
Master_Mapping_Sheet!$H$2:$H$3143=R$1,
Master_Mapping_Sheet!$I$2:$I$3143=$A6))/sum(filter(
Master_M"&amp;"apping_Sheet!$E$2:$E$3143, ISNUMBER(
Master_Mapping_Sheet!$E$2:$E$3143),
Master_Mapping_Sheet!$I$2:$I$3143=$A6)))"),0.0)</f>
        <v>0</v>
      </c>
      <c r="S6" s="34">
        <f>IFERROR(__xludf.DUMMYFUNCTION("IF(ISNA(sum(filter(
Master_Mapping_Sheet!$E$2:$E$3143, ISNUMBER(
Master_Mapping_Sheet!$E$2:$E$3143),
Master_Mapping_Sheet!$H$2:$H$3143=S$1,
Master_Mapping_Sheet!$I$2:$I$3143=$A6))/sum(filter(
Master_Mapping_Sheet!$E$2:$E$3143, ISNUMBER(
Master_Mapping_She"&amp;"et!$E$2:$E$3143),
Master_Mapping_Sheet!$I$2:$I$3143=$A6))), 0, sum(filter(
Master_Mapping_Sheet!$E$2:$E$3143, ISNUMBER(
Master_Mapping_Sheet!$E$2:$E$3143),
Master_Mapping_Sheet!$H$2:$H$3143=S$1,
Master_Mapping_Sheet!$I$2:$I$3143=$A6))/sum(filter(
Master_M"&amp;"apping_Sheet!$E$2:$E$3143, ISNUMBER(
Master_Mapping_Sheet!$E$2:$E$3143),
Master_Mapping_Sheet!$I$2:$I$3143=$A6)))"),0.0)</f>
        <v>0</v>
      </c>
      <c r="T6" s="34">
        <f>IFERROR(__xludf.DUMMYFUNCTION("IF(ISNA(sum(filter(
Master_Mapping_Sheet!$E$2:$E$3143, ISNUMBER(
Master_Mapping_Sheet!$E$2:$E$3143),
Master_Mapping_Sheet!$H$2:$H$3143=T$1,
Master_Mapping_Sheet!$I$2:$I$3143=$A6))/sum(filter(
Master_Mapping_Sheet!$E$2:$E$3143, ISNUMBER(
Master_Mapping_She"&amp;"et!$E$2:$E$3143),
Master_Mapping_Sheet!$I$2:$I$3143=$A6))), 0, sum(filter(
Master_Mapping_Sheet!$E$2:$E$3143, ISNUMBER(
Master_Mapping_Sheet!$E$2:$E$3143),
Master_Mapping_Sheet!$H$2:$H$3143=T$1,
Master_Mapping_Sheet!$I$2:$I$3143=$A6))/sum(filter(
Master_M"&amp;"apping_Sheet!$E$2:$E$3143, ISNUMBER(
Master_Mapping_Sheet!$E$2:$E$3143),
Master_Mapping_Sheet!$I$2:$I$3143=$A6)))"),0.0)</f>
        <v>0</v>
      </c>
      <c r="U6" s="34">
        <f>IFERROR(__xludf.DUMMYFUNCTION("IF(ISNA(sum(filter(
Master_Mapping_Sheet!$E$2:$E$3143, ISNUMBER(
Master_Mapping_Sheet!$E$2:$E$3143),
Master_Mapping_Sheet!$H$2:$H$3143=U$1,
Master_Mapping_Sheet!$I$2:$I$3143=$A6))/sum(filter(
Master_Mapping_Sheet!$E$2:$E$3143, ISNUMBER(
Master_Mapping_She"&amp;"et!$E$2:$E$3143),
Master_Mapping_Sheet!$I$2:$I$3143=$A6))), 0, sum(filter(
Master_Mapping_Sheet!$E$2:$E$3143, ISNUMBER(
Master_Mapping_Sheet!$E$2:$E$3143),
Master_Mapping_Sheet!$H$2:$H$3143=U$1,
Master_Mapping_Sheet!$I$2:$I$3143=$A6))/sum(filter(
Master_M"&amp;"apping_Sheet!$E$2:$E$3143, ISNUMBER(
Master_Mapping_Sheet!$E$2:$E$3143),
Master_Mapping_Sheet!$I$2:$I$3143=$A6)))"),0.0)</f>
        <v>0</v>
      </c>
      <c r="V6" s="34">
        <f>IFERROR(__xludf.DUMMYFUNCTION("IF(ISNA(sum(filter(
Master_Mapping_Sheet!$E$2:$E$3143, ISNUMBER(
Master_Mapping_Sheet!$E$2:$E$3143),
Master_Mapping_Sheet!$H$2:$H$3143=V$1,
Master_Mapping_Sheet!$I$2:$I$3143=$A6))/sum(filter(
Master_Mapping_Sheet!$E$2:$E$3143, ISNUMBER(
Master_Mapping_She"&amp;"et!$E$2:$E$3143),
Master_Mapping_Sheet!$I$2:$I$3143=$A6))), 0, sum(filter(
Master_Mapping_Sheet!$E$2:$E$3143, ISNUMBER(
Master_Mapping_Sheet!$E$2:$E$3143),
Master_Mapping_Sheet!$H$2:$H$3143=V$1,
Master_Mapping_Sheet!$I$2:$I$3143=$A6))/sum(filter(
Master_M"&amp;"apping_Sheet!$E$2:$E$3143, ISNUMBER(
Master_Mapping_Sheet!$E$2:$E$3143),
Master_Mapping_Sheet!$I$2:$I$3143=$A6)))"),0.0)</f>
        <v>0</v>
      </c>
      <c r="W6" s="34">
        <f>IFERROR(__xludf.DUMMYFUNCTION("IF(ISNA(sum(filter(
Master_Mapping_Sheet!$E$2:$E$3143, ISNUMBER(
Master_Mapping_Sheet!$E$2:$E$3143),
Master_Mapping_Sheet!$H$2:$H$3143=W$1,
Master_Mapping_Sheet!$I$2:$I$3143=$A6))/sum(filter(
Master_Mapping_Sheet!$E$2:$E$3143, ISNUMBER(
Master_Mapping_She"&amp;"et!$E$2:$E$3143),
Master_Mapping_Sheet!$I$2:$I$3143=$A6))), 0, sum(filter(
Master_Mapping_Sheet!$E$2:$E$3143, ISNUMBER(
Master_Mapping_Sheet!$E$2:$E$3143),
Master_Mapping_Sheet!$H$2:$H$3143=W$1,
Master_Mapping_Sheet!$I$2:$I$3143=$A6))/sum(filter(
Master_M"&amp;"apping_Sheet!$E$2:$E$3143, ISNUMBER(
Master_Mapping_Sheet!$E$2:$E$3143),
Master_Mapping_Sheet!$I$2:$I$3143=$A6)))"),0.0)</f>
        <v>0</v>
      </c>
      <c r="X6" s="34">
        <f>IFERROR(__xludf.DUMMYFUNCTION("IF(ISNA(sum(filter(
Master_Mapping_Sheet!$E$2:$E$3143, ISNUMBER(
Master_Mapping_Sheet!$E$2:$E$3143),
Master_Mapping_Sheet!$H$2:$H$3143=X$1,
Master_Mapping_Sheet!$I$2:$I$3143=$A6))/sum(filter(
Master_Mapping_Sheet!$E$2:$E$3143, ISNUMBER(
Master_Mapping_She"&amp;"et!$E$2:$E$3143),
Master_Mapping_Sheet!$I$2:$I$3143=$A6))), 0, sum(filter(
Master_Mapping_Sheet!$E$2:$E$3143, ISNUMBER(
Master_Mapping_Sheet!$E$2:$E$3143),
Master_Mapping_Sheet!$H$2:$H$3143=X$1,
Master_Mapping_Sheet!$I$2:$I$3143=$A6))/sum(filter(
Master_M"&amp;"apping_Sheet!$E$2:$E$3143, ISNUMBER(
Master_Mapping_Sheet!$E$2:$E$3143),
Master_Mapping_Sheet!$I$2:$I$3143=$A6)))"),0.0)</f>
        <v>0</v>
      </c>
      <c r="Y6" s="34">
        <f>IFERROR(__xludf.DUMMYFUNCTION("IF(ISNA(sum(filter(
Master_Mapping_Sheet!$E$2:$E$3143, ISNUMBER(
Master_Mapping_Sheet!$E$2:$E$3143),
Master_Mapping_Sheet!$H$2:$H$3143=Y$1,
Master_Mapping_Sheet!$I$2:$I$3143=$A6))/sum(filter(
Master_Mapping_Sheet!$E$2:$E$3143, ISNUMBER(
Master_Mapping_She"&amp;"et!$E$2:$E$3143),
Master_Mapping_Sheet!$I$2:$I$3143=$A6))), 0, sum(filter(
Master_Mapping_Sheet!$E$2:$E$3143, ISNUMBER(
Master_Mapping_Sheet!$E$2:$E$3143),
Master_Mapping_Sheet!$H$2:$H$3143=Y$1,
Master_Mapping_Sheet!$I$2:$I$3143=$A6))/sum(filter(
Master_M"&amp;"apping_Sheet!$E$2:$E$3143, ISNUMBER(
Master_Mapping_Sheet!$E$2:$E$3143),
Master_Mapping_Sheet!$I$2:$I$3143=$A6)))"),0.0)</f>
        <v>0</v>
      </c>
      <c r="Z6" s="34">
        <f>IFERROR(__xludf.DUMMYFUNCTION("IF(ISNA(sum(filter(
Master_Mapping_Sheet!$E$2:$E$3143, ISNUMBER(
Master_Mapping_Sheet!$E$2:$E$3143),
Master_Mapping_Sheet!$H$2:$H$3143=Z$1,
Master_Mapping_Sheet!$I$2:$I$3143=$A6))/sum(filter(
Master_Mapping_Sheet!$E$2:$E$3143, ISNUMBER(
Master_Mapping_She"&amp;"et!$E$2:$E$3143),
Master_Mapping_Sheet!$I$2:$I$3143=$A6))), 0, sum(filter(
Master_Mapping_Sheet!$E$2:$E$3143, ISNUMBER(
Master_Mapping_Sheet!$E$2:$E$3143),
Master_Mapping_Sheet!$H$2:$H$3143=Z$1,
Master_Mapping_Sheet!$I$2:$I$3143=$A6))/sum(filter(
Master_M"&amp;"apping_Sheet!$E$2:$E$3143, ISNUMBER(
Master_Mapping_Sheet!$E$2:$E$3143),
Master_Mapping_Sheet!$I$2:$I$3143=$A6)))"),0.0)</f>
        <v>0</v>
      </c>
    </row>
    <row r="7" ht="15.75" customHeight="1">
      <c r="A7" s="32">
        <v>6.0</v>
      </c>
      <c r="B7" s="34">
        <f>IFERROR(__xludf.DUMMYFUNCTION("IF(ISNA(sum(filter(
Master_Mapping_Sheet!$E$2:$E$3143, ISNUMBER(
Master_Mapping_Sheet!$E$2:$E$3143),
Master_Mapping_Sheet!$H$2:$H$3143=B$1,
Master_Mapping_Sheet!$I$2:$I$3143=$A7))/sum(filter(
Master_Mapping_Sheet!$E$2:$E$3143, ISNUMBER(
Master_Mapping_She"&amp;"et!$E$2:$E$3143),
Master_Mapping_Sheet!$I$2:$I$3143=$A7))), 0, sum(filter(
Master_Mapping_Sheet!$E$2:$E$3143, ISNUMBER(
Master_Mapping_Sheet!$E$2:$E$3143),
Master_Mapping_Sheet!$H$2:$H$3143=B$1,
Master_Mapping_Sheet!$I$2:$I$3143=$A7))/sum(filter(
Master_M"&amp;"apping_Sheet!$E$2:$E$3143, ISNUMBER(
Master_Mapping_Sheet!$E$2:$E$3143),
Master_Mapping_Sheet!$I$2:$I$3143=$A7)))"),0.0)</f>
        <v>0</v>
      </c>
      <c r="C7" s="34">
        <f>IFERROR(__xludf.DUMMYFUNCTION("IF(ISNA(sum(filter(
Master_Mapping_Sheet!$E$2:$E$3143, ISNUMBER(
Master_Mapping_Sheet!$E$2:$E$3143),
Master_Mapping_Sheet!$H$2:$H$3143=C$1,
Master_Mapping_Sheet!$I$2:$I$3143=$A7))/sum(filter(
Master_Mapping_Sheet!$E$2:$E$3143, ISNUMBER(
Master_Mapping_She"&amp;"et!$E$2:$E$3143),
Master_Mapping_Sheet!$I$2:$I$3143=$A7))), 0, sum(filter(
Master_Mapping_Sheet!$E$2:$E$3143, ISNUMBER(
Master_Mapping_Sheet!$E$2:$E$3143),
Master_Mapping_Sheet!$H$2:$H$3143=C$1,
Master_Mapping_Sheet!$I$2:$I$3143=$A7))/sum(filter(
Master_M"&amp;"apping_Sheet!$E$2:$E$3143, ISNUMBER(
Master_Mapping_Sheet!$E$2:$E$3143),
Master_Mapping_Sheet!$I$2:$I$3143=$A7)))"),0.0)</f>
        <v>0</v>
      </c>
      <c r="D7" s="34">
        <f>IFERROR(__xludf.DUMMYFUNCTION("IF(ISNA(sum(filter(
Master_Mapping_Sheet!$E$2:$E$3143, ISNUMBER(
Master_Mapping_Sheet!$E$2:$E$3143),
Master_Mapping_Sheet!$H$2:$H$3143=D$1,
Master_Mapping_Sheet!$I$2:$I$3143=$A7))/sum(filter(
Master_Mapping_Sheet!$E$2:$E$3143, ISNUMBER(
Master_Mapping_She"&amp;"et!$E$2:$E$3143),
Master_Mapping_Sheet!$I$2:$I$3143=$A7))), 0, sum(filter(
Master_Mapping_Sheet!$E$2:$E$3143, ISNUMBER(
Master_Mapping_Sheet!$E$2:$E$3143),
Master_Mapping_Sheet!$H$2:$H$3143=D$1,
Master_Mapping_Sheet!$I$2:$I$3143=$A7))/sum(filter(
Master_M"&amp;"apping_Sheet!$E$2:$E$3143, ISNUMBER(
Master_Mapping_Sheet!$E$2:$E$3143),
Master_Mapping_Sheet!$I$2:$I$3143=$A7)))"),0.0)</f>
        <v>0</v>
      </c>
      <c r="E7" s="34">
        <f>IFERROR(__xludf.DUMMYFUNCTION("IF(ISNA(sum(filter(
Master_Mapping_Sheet!$E$2:$E$3143, ISNUMBER(
Master_Mapping_Sheet!$E$2:$E$3143),
Master_Mapping_Sheet!$H$2:$H$3143=E$1,
Master_Mapping_Sheet!$I$2:$I$3143=$A7))/sum(filter(
Master_Mapping_Sheet!$E$2:$E$3143, ISNUMBER(
Master_Mapping_She"&amp;"et!$E$2:$E$3143),
Master_Mapping_Sheet!$I$2:$I$3143=$A7))), 0, sum(filter(
Master_Mapping_Sheet!$E$2:$E$3143, ISNUMBER(
Master_Mapping_Sheet!$E$2:$E$3143),
Master_Mapping_Sheet!$H$2:$H$3143=E$1,
Master_Mapping_Sheet!$I$2:$I$3143=$A7))/sum(filter(
Master_M"&amp;"apping_Sheet!$E$2:$E$3143, ISNUMBER(
Master_Mapping_Sheet!$E$2:$E$3143),
Master_Mapping_Sheet!$I$2:$I$3143=$A7)))"),0.0)</f>
        <v>0</v>
      </c>
      <c r="F7" s="34">
        <f>IFERROR(__xludf.DUMMYFUNCTION("IF(ISNA(sum(filter(
Master_Mapping_Sheet!$E$2:$E$3143, ISNUMBER(
Master_Mapping_Sheet!$E$2:$E$3143),
Master_Mapping_Sheet!$H$2:$H$3143=F$1,
Master_Mapping_Sheet!$I$2:$I$3143=$A7))/sum(filter(
Master_Mapping_Sheet!$E$2:$E$3143, ISNUMBER(
Master_Mapping_She"&amp;"et!$E$2:$E$3143),
Master_Mapping_Sheet!$I$2:$I$3143=$A7))), 0, sum(filter(
Master_Mapping_Sheet!$E$2:$E$3143, ISNUMBER(
Master_Mapping_Sheet!$E$2:$E$3143),
Master_Mapping_Sheet!$H$2:$H$3143=F$1,
Master_Mapping_Sheet!$I$2:$I$3143=$A7))/sum(filter(
Master_M"&amp;"apping_Sheet!$E$2:$E$3143, ISNUMBER(
Master_Mapping_Sheet!$E$2:$E$3143),
Master_Mapping_Sheet!$I$2:$I$3143=$A7)))"),0.0)</f>
        <v>0</v>
      </c>
      <c r="G7" s="34">
        <f>IFERROR(__xludf.DUMMYFUNCTION("IF(ISNA(sum(filter(
Master_Mapping_Sheet!$E$2:$E$3143, ISNUMBER(
Master_Mapping_Sheet!$E$2:$E$3143),
Master_Mapping_Sheet!$H$2:$H$3143=G$1,
Master_Mapping_Sheet!$I$2:$I$3143=$A7))/sum(filter(
Master_Mapping_Sheet!$E$2:$E$3143, ISNUMBER(
Master_Mapping_She"&amp;"et!$E$2:$E$3143),
Master_Mapping_Sheet!$I$2:$I$3143=$A7))), 0, sum(filter(
Master_Mapping_Sheet!$E$2:$E$3143, ISNUMBER(
Master_Mapping_Sheet!$E$2:$E$3143),
Master_Mapping_Sheet!$H$2:$H$3143=G$1,
Master_Mapping_Sheet!$I$2:$I$3143=$A7))/sum(filter(
Master_M"&amp;"apping_Sheet!$E$2:$E$3143, ISNUMBER(
Master_Mapping_Sheet!$E$2:$E$3143),
Master_Mapping_Sheet!$I$2:$I$3143=$A7)))"),0.07321022124937966)</f>
        <v>0.07321022125</v>
      </c>
      <c r="H7" s="34">
        <f>IFERROR(__xludf.DUMMYFUNCTION("IF(ISNA(sum(filter(
Master_Mapping_Sheet!$E$2:$E$3143, ISNUMBER(
Master_Mapping_Sheet!$E$2:$E$3143),
Master_Mapping_Sheet!$H$2:$H$3143=H$1,
Master_Mapping_Sheet!$I$2:$I$3143=$A7))/sum(filter(
Master_Mapping_Sheet!$E$2:$E$3143, ISNUMBER(
Master_Mapping_She"&amp;"et!$E$2:$E$3143),
Master_Mapping_Sheet!$I$2:$I$3143=$A7))), 0, sum(filter(
Master_Mapping_Sheet!$E$2:$E$3143, ISNUMBER(
Master_Mapping_Sheet!$E$2:$E$3143),
Master_Mapping_Sheet!$H$2:$H$3143=H$1,
Master_Mapping_Sheet!$I$2:$I$3143=$A7))/sum(filter(
Master_M"&amp;"apping_Sheet!$E$2:$E$3143, ISNUMBER(
Master_Mapping_Sheet!$E$2:$E$3143),
Master_Mapping_Sheet!$I$2:$I$3143=$A7)))"),0.0)</f>
        <v>0</v>
      </c>
      <c r="I7" s="34">
        <f>IFERROR(__xludf.DUMMYFUNCTION("IF(ISNA(sum(filter(
Master_Mapping_Sheet!$E$2:$E$3143, ISNUMBER(
Master_Mapping_Sheet!$E$2:$E$3143),
Master_Mapping_Sheet!$H$2:$H$3143=I$1,
Master_Mapping_Sheet!$I$2:$I$3143=$A7))/sum(filter(
Master_Mapping_Sheet!$E$2:$E$3143, ISNUMBER(
Master_Mapping_She"&amp;"et!$E$2:$E$3143),
Master_Mapping_Sheet!$I$2:$I$3143=$A7))), 0, sum(filter(
Master_Mapping_Sheet!$E$2:$E$3143, ISNUMBER(
Master_Mapping_Sheet!$E$2:$E$3143),
Master_Mapping_Sheet!$H$2:$H$3143=I$1,
Master_Mapping_Sheet!$I$2:$I$3143=$A7))/sum(filter(
Master_M"&amp;"apping_Sheet!$E$2:$E$3143, ISNUMBER(
Master_Mapping_Sheet!$E$2:$E$3143),
Master_Mapping_Sheet!$I$2:$I$3143=$A7)))"),0.0)</f>
        <v>0</v>
      </c>
      <c r="J7" s="34">
        <f>IFERROR(__xludf.DUMMYFUNCTION("IF(ISNA(sum(filter(
Master_Mapping_Sheet!$E$2:$E$3143, ISNUMBER(
Master_Mapping_Sheet!$E$2:$E$3143),
Master_Mapping_Sheet!$H$2:$H$3143=J$1,
Master_Mapping_Sheet!$I$2:$I$3143=$A7))/sum(filter(
Master_Mapping_Sheet!$E$2:$E$3143, ISNUMBER(
Master_Mapping_She"&amp;"et!$E$2:$E$3143),
Master_Mapping_Sheet!$I$2:$I$3143=$A7))), 0, sum(filter(
Master_Mapping_Sheet!$E$2:$E$3143, ISNUMBER(
Master_Mapping_Sheet!$E$2:$E$3143),
Master_Mapping_Sheet!$H$2:$H$3143=J$1,
Master_Mapping_Sheet!$I$2:$I$3143=$A7))/sum(filter(
Master_M"&amp;"apping_Sheet!$E$2:$E$3143, ISNUMBER(
Master_Mapping_Sheet!$E$2:$E$3143),
Master_Mapping_Sheet!$I$2:$I$3143=$A7)))"),0.0)</f>
        <v>0</v>
      </c>
      <c r="K7" s="34">
        <f>IFERROR(__xludf.DUMMYFUNCTION("IF(ISNA(sum(filter(
Master_Mapping_Sheet!$E$2:$E$3143, ISNUMBER(
Master_Mapping_Sheet!$E$2:$E$3143),
Master_Mapping_Sheet!$H$2:$H$3143=K$1,
Master_Mapping_Sheet!$I$2:$I$3143=$A7))/sum(filter(
Master_Mapping_Sheet!$E$2:$E$3143, ISNUMBER(
Master_Mapping_She"&amp;"et!$E$2:$E$3143),
Master_Mapping_Sheet!$I$2:$I$3143=$A7))), 0, sum(filter(
Master_Mapping_Sheet!$E$2:$E$3143, ISNUMBER(
Master_Mapping_Sheet!$E$2:$E$3143),
Master_Mapping_Sheet!$H$2:$H$3143=K$1,
Master_Mapping_Sheet!$I$2:$I$3143=$A7))/sum(filter(
Master_M"&amp;"apping_Sheet!$E$2:$E$3143, ISNUMBER(
Master_Mapping_Sheet!$E$2:$E$3143),
Master_Mapping_Sheet!$I$2:$I$3143=$A7)))"),0.0)</f>
        <v>0</v>
      </c>
      <c r="L7" s="34">
        <f>IFERROR(__xludf.DUMMYFUNCTION("IF(ISNA(sum(filter(
Master_Mapping_Sheet!$E$2:$E$3143, ISNUMBER(
Master_Mapping_Sheet!$E$2:$E$3143),
Master_Mapping_Sheet!$H$2:$H$3143=L$1,
Master_Mapping_Sheet!$I$2:$I$3143=$A7))/sum(filter(
Master_Mapping_Sheet!$E$2:$E$3143, ISNUMBER(
Master_Mapping_She"&amp;"et!$E$2:$E$3143),
Master_Mapping_Sheet!$I$2:$I$3143=$A7))), 0, sum(filter(
Master_Mapping_Sheet!$E$2:$E$3143, ISNUMBER(
Master_Mapping_Sheet!$E$2:$E$3143),
Master_Mapping_Sheet!$H$2:$H$3143=L$1,
Master_Mapping_Sheet!$I$2:$I$3143=$A7))/sum(filter(
Master_M"&amp;"apping_Sheet!$E$2:$E$3143, ISNUMBER(
Master_Mapping_Sheet!$E$2:$E$3143),
Master_Mapping_Sheet!$I$2:$I$3143=$A7)))"),0.021903931723385256)</f>
        <v>0.02190393172</v>
      </c>
      <c r="M7" s="34">
        <f>IFERROR(__xludf.DUMMYFUNCTION("IF(ISNA(sum(filter(
Master_Mapping_Sheet!$E$2:$E$3143, ISNUMBER(
Master_Mapping_Sheet!$E$2:$E$3143),
Master_Mapping_Sheet!$H$2:$H$3143=M$1,
Master_Mapping_Sheet!$I$2:$I$3143=$A7))/sum(filter(
Master_Mapping_Sheet!$E$2:$E$3143, ISNUMBER(
Master_Mapping_She"&amp;"et!$E$2:$E$3143),
Master_Mapping_Sheet!$I$2:$I$3143=$A7))), 0, sum(filter(
Master_Mapping_Sheet!$E$2:$E$3143, ISNUMBER(
Master_Mapping_Sheet!$E$2:$E$3143),
Master_Mapping_Sheet!$H$2:$H$3143=M$1,
Master_Mapping_Sheet!$I$2:$I$3143=$A7))/sum(filter(
Master_M"&amp;"apping_Sheet!$E$2:$E$3143, ISNUMBER(
Master_Mapping_Sheet!$E$2:$E$3143),
Master_Mapping_Sheet!$I$2:$I$3143=$A7)))"),0.0)</f>
        <v>0</v>
      </c>
      <c r="N7" s="34">
        <f>IFERROR(__xludf.DUMMYFUNCTION("IF(ISNA(sum(filter(
Master_Mapping_Sheet!$E$2:$E$3143, ISNUMBER(
Master_Mapping_Sheet!$E$2:$E$3143),
Master_Mapping_Sheet!$H$2:$H$3143=N$1,
Master_Mapping_Sheet!$I$2:$I$3143=$A7))/sum(filter(
Master_Mapping_Sheet!$E$2:$E$3143, ISNUMBER(
Master_Mapping_She"&amp;"et!$E$2:$E$3143),
Master_Mapping_Sheet!$I$2:$I$3143=$A7))), 0, sum(filter(
Master_Mapping_Sheet!$E$2:$E$3143, ISNUMBER(
Master_Mapping_Sheet!$E$2:$E$3143),
Master_Mapping_Sheet!$H$2:$H$3143=N$1,
Master_Mapping_Sheet!$I$2:$I$3143=$A7))/sum(filter(
Master_M"&amp;"apping_Sheet!$E$2:$E$3143, ISNUMBER(
Master_Mapping_Sheet!$E$2:$E$3143),
Master_Mapping_Sheet!$I$2:$I$3143=$A7)))"),0.0)</f>
        <v>0</v>
      </c>
      <c r="O7" s="34">
        <f>IFERROR(__xludf.DUMMYFUNCTION("IF(ISNA(sum(filter(
Master_Mapping_Sheet!$E$2:$E$3143, ISNUMBER(
Master_Mapping_Sheet!$E$2:$E$3143),
Master_Mapping_Sheet!$H$2:$H$3143=O$1,
Master_Mapping_Sheet!$I$2:$I$3143=$A7))/sum(filter(
Master_Mapping_Sheet!$E$2:$E$3143, ISNUMBER(
Master_Mapping_She"&amp;"et!$E$2:$E$3143),
Master_Mapping_Sheet!$I$2:$I$3143=$A7))), 0, sum(filter(
Master_Mapping_Sheet!$E$2:$E$3143, ISNUMBER(
Master_Mapping_Sheet!$E$2:$E$3143),
Master_Mapping_Sheet!$H$2:$H$3143=O$1,
Master_Mapping_Sheet!$I$2:$I$3143=$A7))/sum(filter(
Master_M"&amp;"apping_Sheet!$E$2:$E$3143, ISNUMBER(
Master_Mapping_Sheet!$E$2:$E$3143),
Master_Mapping_Sheet!$I$2:$I$3143=$A7)))"),0.0)</f>
        <v>0</v>
      </c>
      <c r="P7" s="34">
        <f>IFERROR(__xludf.DUMMYFUNCTION("IF(ISNA(sum(filter(
Master_Mapping_Sheet!$E$2:$E$3143, ISNUMBER(
Master_Mapping_Sheet!$E$2:$E$3143),
Master_Mapping_Sheet!$H$2:$H$3143=P$1,
Master_Mapping_Sheet!$I$2:$I$3143=$A7))/sum(filter(
Master_Mapping_Sheet!$E$2:$E$3143, ISNUMBER(
Master_Mapping_She"&amp;"et!$E$2:$E$3143),
Master_Mapping_Sheet!$I$2:$I$3143=$A7))), 0, sum(filter(
Master_Mapping_Sheet!$E$2:$E$3143, ISNUMBER(
Master_Mapping_Sheet!$E$2:$E$3143),
Master_Mapping_Sheet!$H$2:$H$3143=P$1,
Master_Mapping_Sheet!$I$2:$I$3143=$A7))/sum(filter(
Master_M"&amp;"apping_Sheet!$E$2:$E$3143, ISNUMBER(
Master_Mapping_Sheet!$E$2:$E$3143),
Master_Mapping_Sheet!$I$2:$I$3143=$A7)))"),0.26325609806423605)</f>
        <v>0.2632560981</v>
      </c>
      <c r="Q7" s="34">
        <f>IFERROR(__xludf.DUMMYFUNCTION("IF(ISNA(sum(filter(
Master_Mapping_Sheet!$E$2:$E$3143, ISNUMBER(
Master_Mapping_Sheet!$E$2:$E$3143),
Master_Mapping_Sheet!$H$2:$H$3143=Q$1,
Master_Mapping_Sheet!$I$2:$I$3143=$A7))/sum(filter(
Master_Mapping_Sheet!$E$2:$E$3143, ISNUMBER(
Master_Mapping_She"&amp;"et!$E$2:$E$3143),
Master_Mapping_Sheet!$I$2:$I$3143=$A7))), 0, sum(filter(
Master_Mapping_Sheet!$E$2:$E$3143, ISNUMBER(
Master_Mapping_Sheet!$E$2:$E$3143),
Master_Mapping_Sheet!$H$2:$H$3143=Q$1,
Master_Mapping_Sheet!$I$2:$I$3143=$A7))/sum(filter(
Master_M"&amp;"apping_Sheet!$E$2:$E$3143, ISNUMBER(
Master_Mapping_Sheet!$E$2:$E$3143),
Master_Mapping_Sheet!$I$2:$I$3143=$A7)))"),0.6416297489629991)</f>
        <v>0.641629749</v>
      </c>
      <c r="R7" s="34">
        <f>IFERROR(__xludf.DUMMYFUNCTION("IF(ISNA(sum(filter(
Master_Mapping_Sheet!$E$2:$E$3143, ISNUMBER(
Master_Mapping_Sheet!$E$2:$E$3143),
Master_Mapping_Sheet!$H$2:$H$3143=R$1,
Master_Mapping_Sheet!$I$2:$I$3143=$A7))/sum(filter(
Master_Mapping_Sheet!$E$2:$E$3143, ISNUMBER(
Master_Mapping_She"&amp;"et!$E$2:$E$3143),
Master_Mapping_Sheet!$I$2:$I$3143=$A7))), 0, sum(filter(
Master_Mapping_Sheet!$E$2:$E$3143, ISNUMBER(
Master_Mapping_Sheet!$E$2:$E$3143),
Master_Mapping_Sheet!$H$2:$H$3143=R$1,
Master_Mapping_Sheet!$I$2:$I$3143=$A7))/sum(filter(
Master_M"&amp;"apping_Sheet!$E$2:$E$3143, ISNUMBER(
Master_Mapping_Sheet!$E$2:$E$3143),
Master_Mapping_Sheet!$I$2:$I$3143=$A7)))"),0.0)</f>
        <v>0</v>
      </c>
      <c r="S7" s="34">
        <f>IFERROR(__xludf.DUMMYFUNCTION("IF(ISNA(sum(filter(
Master_Mapping_Sheet!$E$2:$E$3143, ISNUMBER(
Master_Mapping_Sheet!$E$2:$E$3143),
Master_Mapping_Sheet!$H$2:$H$3143=S$1,
Master_Mapping_Sheet!$I$2:$I$3143=$A7))/sum(filter(
Master_Mapping_Sheet!$E$2:$E$3143, ISNUMBER(
Master_Mapping_She"&amp;"et!$E$2:$E$3143),
Master_Mapping_Sheet!$I$2:$I$3143=$A7))), 0, sum(filter(
Master_Mapping_Sheet!$E$2:$E$3143, ISNUMBER(
Master_Mapping_Sheet!$E$2:$E$3143),
Master_Mapping_Sheet!$H$2:$H$3143=S$1,
Master_Mapping_Sheet!$I$2:$I$3143=$A7))/sum(filter(
Master_M"&amp;"apping_Sheet!$E$2:$E$3143, ISNUMBER(
Master_Mapping_Sheet!$E$2:$E$3143),
Master_Mapping_Sheet!$I$2:$I$3143=$A7)))"),0.0)</f>
        <v>0</v>
      </c>
      <c r="T7" s="34">
        <f>IFERROR(__xludf.DUMMYFUNCTION("IF(ISNA(sum(filter(
Master_Mapping_Sheet!$E$2:$E$3143, ISNUMBER(
Master_Mapping_Sheet!$E$2:$E$3143),
Master_Mapping_Sheet!$H$2:$H$3143=T$1,
Master_Mapping_Sheet!$I$2:$I$3143=$A7))/sum(filter(
Master_Mapping_Sheet!$E$2:$E$3143, ISNUMBER(
Master_Mapping_She"&amp;"et!$E$2:$E$3143),
Master_Mapping_Sheet!$I$2:$I$3143=$A7))), 0, sum(filter(
Master_Mapping_Sheet!$E$2:$E$3143, ISNUMBER(
Master_Mapping_Sheet!$E$2:$E$3143),
Master_Mapping_Sheet!$H$2:$H$3143=T$1,
Master_Mapping_Sheet!$I$2:$I$3143=$A7))/sum(filter(
Master_M"&amp;"apping_Sheet!$E$2:$E$3143, ISNUMBER(
Master_Mapping_Sheet!$E$2:$E$3143),
Master_Mapping_Sheet!$I$2:$I$3143=$A7)))"),0.0)</f>
        <v>0</v>
      </c>
      <c r="U7" s="34">
        <f>IFERROR(__xludf.DUMMYFUNCTION("IF(ISNA(sum(filter(
Master_Mapping_Sheet!$E$2:$E$3143, ISNUMBER(
Master_Mapping_Sheet!$E$2:$E$3143),
Master_Mapping_Sheet!$H$2:$H$3143=U$1,
Master_Mapping_Sheet!$I$2:$I$3143=$A7))/sum(filter(
Master_Mapping_Sheet!$E$2:$E$3143, ISNUMBER(
Master_Mapping_She"&amp;"et!$E$2:$E$3143),
Master_Mapping_Sheet!$I$2:$I$3143=$A7))), 0, sum(filter(
Master_Mapping_Sheet!$E$2:$E$3143, ISNUMBER(
Master_Mapping_Sheet!$E$2:$E$3143),
Master_Mapping_Sheet!$H$2:$H$3143=U$1,
Master_Mapping_Sheet!$I$2:$I$3143=$A7))/sum(filter(
Master_M"&amp;"apping_Sheet!$E$2:$E$3143, ISNUMBER(
Master_Mapping_Sheet!$E$2:$E$3143),
Master_Mapping_Sheet!$I$2:$I$3143=$A7)))"),0.0)</f>
        <v>0</v>
      </c>
      <c r="V7" s="34">
        <f>IFERROR(__xludf.DUMMYFUNCTION("IF(ISNA(sum(filter(
Master_Mapping_Sheet!$E$2:$E$3143, ISNUMBER(
Master_Mapping_Sheet!$E$2:$E$3143),
Master_Mapping_Sheet!$H$2:$H$3143=V$1,
Master_Mapping_Sheet!$I$2:$I$3143=$A7))/sum(filter(
Master_Mapping_Sheet!$E$2:$E$3143, ISNUMBER(
Master_Mapping_She"&amp;"et!$E$2:$E$3143),
Master_Mapping_Sheet!$I$2:$I$3143=$A7))), 0, sum(filter(
Master_Mapping_Sheet!$E$2:$E$3143, ISNUMBER(
Master_Mapping_Sheet!$E$2:$E$3143),
Master_Mapping_Sheet!$H$2:$H$3143=V$1,
Master_Mapping_Sheet!$I$2:$I$3143=$A7))/sum(filter(
Master_M"&amp;"apping_Sheet!$E$2:$E$3143, ISNUMBER(
Master_Mapping_Sheet!$E$2:$E$3143),
Master_Mapping_Sheet!$I$2:$I$3143=$A7)))"),0.0)</f>
        <v>0</v>
      </c>
      <c r="W7" s="34">
        <f>IFERROR(__xludf.DUMMYFUNCTION("IF(ISNA(sum(filter(
Master_Mapping_Sheet!$E$2:$E$3143, ISNUMBER(
Master_Mapping_Sheet!$E$2:$E$3143),
Master_Mapping_Sheet!$H$2:$H$3143=W$1,
Master_Mapping_Sheet!$I$2:$I$3143=$A7))/sum(filter(
Master_Mapping_Sheet!$E$2:$E$3143, ISNUMBER(
Master_Mapping_She"&amp;"et!$E$2:$E$3143),
Master_Mapping_Sheet!$I$2:$I$3143=$A7))), 0, sum(filter(
Master_Mapping_Sheet!$E$2:$E$3143, ISNUMBER(
Master_Mapping_Sheet!$E$2:$E$3143),
Master_Mapping_Sheet!$H$2:$H$3143=W$1,
Master_Mapping_Sheet!$I$2:$I$3143=$A7))/sum(filter(
Master_M"&amp;"apping_Sheet!$E$2:$E$3143, ISNUMBER(
Master_Mapping_Sheet!$E$2:$E$3143),
Master_Mapping_Sheet!$I$2:$I$3143=$A7)))"),0.0)</f>
        <v>0</v>
      </c>
      <c r="X7" s="34">
        <f>IFERROR(__xludf.DUMMYFUNCTION("IF(ISNA(sum(filter(
Master_Mapping_Sheet!$E$2:$E$3143, ISNUMBER(
Master_Mapping_Sheet!$E$2:$E$3143),
Master_Mapping_Sheet!$H$2:$H$3143=X$1,
Master_Mapping_Sheet!$I$2:$I$3143=$A7))/sum(filter(
Master_Mapping_Sheet!$E$2:$E$3143, ISNUMBER(
Master_Mapping_She"&amp;"et!$E$2:$E$3143),
Master_Mapping_Sheet!$I$2:$I$3143=$A7))), 0, sum(filter(
Master_Mapping_Sheet!$E$2:$E$3143, ISNUMBER(
Master_Mapping_Sheet!$E$2:$E$3143),
Master_Mapping_Sheet!$H$2:$H$3143=X$1,
Master_Mapping_Sheet!$I$2:$I$3143=$A7))/sum(filter(
Master_M"&amp;"apping_Sheet!$E$2:$E$3143, ISNUMBER(
Master_Mapping_Sheet!$E$2:$E$3143),
Master_Mapping_Sheet!$I$2:$I$3143=$A7)))"),0.0)</f>
        <v>0</v>
      </c>
      <c r="Y7" s="34">
        <f>IFERROR(__xludf.DUMMYFUNCTION("IF(ISNA(sum(filter(
Master_Mapping_Sheet!$E$2:$E$3143, ISNUMBER(
Master_Mapping_Sheet!$E$2:$E$3143),
Master_Mapping_Sheet!$H$2:$H$3143=Y$1,
Master_Mapping_Sheet!$I$2:$I$3143=$A7))/sum(filter(
Master_Mapping_Sheet!$E$2:$E$3143, ISNUMBER(
Master_Mapping_She"&amp;"et!$E$2:$E$3143),
Master_Mapping_Sheet!$I$2:$I$3143=$A7))), 0, sum(filter(
Master_Mapping_Sheet!$E$2:$E$3143, ISNUMBER(
Master_Mapping_Sheet!$E$2:$E$3143),
Master_Mapping_Sheet!$H$2:$H$3143=Y$1,
Master_Mapping_Sheet!$I$2:$I$3143=$A7))/sum(filter(
Master_M"&amp;"apping_Sheet!$E$2:$E$3143, ISNUMBER(
Master_Mapping_Sheet!$E$2:$E$3143),
Master_Mapping_Sheet!$I$2:$I$3143=$A7)))"),0.0)</f>
        <v>0</v>
      </c>
      <c r="Z7" s="34">
        <f>IFERROR(__xludf.DUMMYFUNCTION("IF(ISNA(sum(filter(
Master_Mapping_Sheet!$E$2:$E$3143, ISNUMBER(
Master_Mapping_Sheet!$E$2:$E$3143),
Master_Mapping_Sheet!$H$2:$H$3143=Z$1,
Master_Mapping_Sheet!$I$2:$I$3143=$A7))/sum(filter(
Master_Mapping_Sheet!$E$2:$E$3143, ISNUMBER(
Master_Mapping_She"&amp;"et!$E$2:$E$3143),
Master_Mapping_Sheet!$I$2:$I$3143=$A7))), 0, sum(filter(
Master_Mapping_Sheet!$E$2:$E$3143, ISNUMBER(
Master_Mapping_Sheet!$E$2:$E$3143),
Master_Mapping_Sheet!$H$2:$H$3143=Z$1,
Master_Mapping_Sheet!$I$2:$I$3143=$A7))/sum(filter(
Master_M"&amp;"apping_Sheet!$E$2:$E$3143, ISNUMBER(
Master_Mapping_Sheet!$E$2:$E$3143),
Master_Mapping_Sheet!$I$2:$I$3143=$A7)))"),0.0)</f>
        <v>0</v>
      </c>
    </row>
    <row r="8" ht="15.75" customHeight="1">
      <c r="A8" s="32">
        <v>7.0</v>
      </c>
      <c r="B8" s="34">
        <f>IFERROR(__xludf.DUMMYFUNCTION("IF(ISNA(sum(filter(
Master_Mapping_Sheet!$E$2:$E$3143, ISNUMBER(
Master_Mapping_Sheet!$E$2:$E$3143),
Master_Mapping_Sheet!$H$2:$H$3143=B$1,
Master_Mapping_Sheet!$I$2:$I$3143=$A8))/sum(filter(
Master_Mapping_Sheet!$E$2:$E$3143, ISNUMBER(
Master_Mapping_She"&amp;"et!$E$2:$E$3143),
Master_Mapping_Sheet!$I$2:$I$3143=$A8))), 0, sum(filter(
Master_Mapping_Sheet!$E$2:$E$3143, ISNUMBER(
Master_Mapping_Sheet!$E$2:$E$3143),
Master_Mapping_Sheet!$H$2:$H$3143=B$1,
Master_Mapping_Sheet!$I$2:$I$3143=$A8))/sum(filter(
Master_M"&amp;"apping_Sheet!$E$2:$E$3143, ISNUMBER(
Master_Mapping_Sheet!$E$2:$E$3143),
Master_Mapping_Sheet!$I$2:$I$3143=$A8)))"),0.6246424585684182)</f>
        <v>0.6246424586</v>
      </c>
      <c r="C8" s="34">
        <f>IFERROR(__xludf.DUMMYFUNCTION("IF(ISNA(sum(filter(
Master_Mapping_Sheet!$E$2:$E$3143, ISNUMBER(
Master_Mapping_Sheet!$E$2:$E$3143),
Master_Mapping_Sheet!$H$2:$H$3143=C$1,
Master_Mapping_Sheet!$I$2:$I$3143=$A8))/sum(filter(
Master_Mapping_Sheet!$E$2:$E$3143, ISNUMBER(
Master_Mapping_She"&amp;"et!$E$2:$E$3143),
Master_Mapping_Sheet!$I$2:$I$3143=$A8))), 0, sum(filter(
Master_Mapping_Sheet!$E$2:$E$3143, ISNUMBER(
Master_Mapping_Sheet!$E$2:$E$3143),
Master_Mapping_Sheet!$H$2:$H$3143=C$1,
Master_Mapping_Sheet!$I$2:$I$3143=$A8))/sum(filter(
Master_M"&amp;"apping_Sheet!$E$2:$E$3143, ISNUMBER(
Master_Mapping_Sheet!$E$2:$E$3143),
Master_Mapping_Sheet!$I$2:$I$3143=$A8)))"),0.0)</f>
        <v>0</v>
      </c>
      <c r="D8" s="34">
        <f>IFERROR(__xludf.DUMMYFUNCTION("IF(ISNA(sum(filter(
Master_Mapping_Sheet!$E$2:$E$3143, ISNUMBER(
Master_Mapping_Sheet!$E$2:$E$3143),
Master_Mapping_Sheet!$H$2:$H$3143=D$1,
Master_Mapping_Sheet!$I$2:$I$3143=$A8))/sum(filter(
Master_Mapping_Sheet!$E$2:$E$3143, ISNUMBER(
Master_Mapping_She"&amp;"et!$E$2:$E$3143),
Master_Mapping_Sheet!$I$2:$I$3143=$A8))), 0, sum(filter(
Master_Mapping_Sheet!$E$2:$E$3143, ISNUMBER(
Master_Mapping_Sheet!$E$2:$E$3143),
Master_Mapping_Sheet!$H$2:$H$3143=D$1,
Master_Mapping_Sheet!$I$2:$I$3143=$A8))/sum(filter(
Master_M"&amp;"apping_Sheet!$E$2:$E$3143, ISNUMBER(
Master_Mapping_Sheet!$E$2:$E$3143),
Master_Mapping_Sheet!$I$2:$I$3143=$A8)))"),0.0)</f>
        <v>0</v>
      </c>
      <c r="E8" s="34">
        <f>IFERROR(__xludf.DUMMYFUNCTION("IF(ISNA(sum(filter(
Master_Mapping_Sheet!$E$2:$E$3143, ISNUMBER(
Master_Mapping_Sheet!$E$2:$E$3143),
Master_Mapping_Sheet!$H$2:$H$3143=E$1,
Master_Mapping_Sheet!$I$2:$I$3143=$A8))/sum(filter(
Master_Mapping_Sheet!$E$2:$E$3143, ISNUMBER(
Master_Mapping_She"&amp;"et!$E$2:$E$3143),
Master_Mapping_Sheet!$I$2:$I$3143=$A8))), 0, sum(filter(
Master_Mapping_Sheet!$E$2:$E$3143, ISNUMBER(
Master_Mapping_Sheet!$E$2:$E$3143),
Master_Mapping_Sheet!$H$2:$H$3143=E$1,
Master_Mapping_Sheet!$I$2:$I$3143=$A8))/sum(filter(
Master_M"&amp;"apping_Sheet!$E$2:$E$3143, ISNUMBER(
Master_Mapping_Sheet!$E$2:$E$3143),
Master_Mapping_Sheet!$I$2:$I$3143=$A8)))"),0.0)</f>
        <v>0</v>
      </c>
      <c r="F8" s="34">
        <f>IFERROR(__xludf.DUMMYFUNCTION("IF(ISNA(sum(filter(
Master_Mapping_Sheet!$E$2:$E$3143, ISNUMBER(
Master_Mapping_Sheet!$E$2:$E$3143),
Master_Mapping_Sheet!$H$2:$H$3143=F$1,
Master_Mapping_Sheet!$I$2:$I$3143=$A8))/sum(filter(
Master_Mapping_Sheet!$E$2:$E$3143, ISNUMBER(
Master_Mapping_She"&amp;"et!$E$2:$E$3143),
Master_Mapping_Sheet!$I$2:$I$3143=$A8))), 0, sum(filter(
Master_Mapping_Sheet!$E$2:$E$3143, ISNUMBER(
Master_Mapping_Sheet!$E$2:$E$3143),
Master_Mapping_Sheet!$H$2:$H$3143=F$1,
Master_Mapping_Sheet!$I$2:$I$3143=$A8))/sum(filter(
Master_M"&amp;"apping_Sheet!$E$2:$E$3143, ISNUMBER(
Master_Mapping_Sheet!$E$2:$E$3143),
Master_Mapping_Sheet!$I$2:$I$3143=$A8)))"),0.0)</f>
        <v>0</v>
      </c>
      <c r="G8" s="34">
        <f>IFERROR(__xludf.DUMMYFUNCTION("IF(ISNA(sum(filter(
Master_Mapping_Sheet!$E$2:$E$3143, ISNUMBER(
Master_Mapping_Sheet!$E$2:$E$3143),
Master_Mapping_Sheet!$H$2:$H$3143=G$1,
Master_Mapping_Sheet!$I$2:$I$3143=$A8))/sum(filter(
Master_Mapping_Sheet!$E$2:$E$3143, ISNUMBER(
Master_Mapping_She"&amp;"et!$E$2:$E$3143),
Master_Mapping_Sheet!$I$2:$I$3143=$A8))), 0, sum(filter(
Master_Mapping_Sheet!$E$2:$E$3143, ISNUMBER(
Master_Mapping_Sheet!$E$2:$E$3143),
Master_Mapping_Sheet!$H$2:$H$3143=G$1,
Master_Mapping_Sheet!$I$2:$I$3143=$A8))/sum(filter(
Master_M"&amp;"apping_Sheet!$E$2:$E$3143, ISNUMBER(
Master_Mapping_Sheet!$E$2:$E$3143),
Master_Mapping_Sheet!$I$2:$I$3143=$A8)))"),0.17851099157161732)</f>
        <v>0.1785109916</v>
      </c>
      <c r="H8" s="34">
        <f>IFERROR(__xludf.DUMMYFUNCTION("IF(ISNA(sum(filter(
Master_Mapping_Sheet!$E$2:$E$3143, ISNUMBER(
Master_Mapping_Sheet!$E$2:$E$3143),
Master_Mapping_Sheet!$H$2:$H$3143=H$1,
Master_Mapping_Sheet!$I$2:$I$3143=$A8))/sum(filter(
Master_Mapping_Sheet!$E$2:$E$3143, ISNUMBER(
Master_Mapping_She"&amp;"et!$E$2:$E$3143),
Master_Mapping_Sheet!$I$2:$I$3143=$A8))), 0, sum(filter(
Master_Mapping_Sheet!$E$2:$E$3143, ISNUMBER(
Master_Mapping_Sheet!$E$2:$E$3143),
Master_Mapping_Sheet!$H$2:$H$3143=H$1,
Master_Mapping_Sheet!$I$2:$I$3143=$A8))/sum(filter(
Master_M"&amp;"apping_Sheet!$E$2:$E$3143, ISNUMBER(
Master_Mapping_Sheet!$E$2:$E$3143),
Master_Mapping_Sheet!$I$2:$I$3143=$A8)))"),0.0)</f>
        <v>0</v>
      </c>
      <c r="I8" s="34">
        <f>IFERROR(__xludf.DUMMYFUNCTION("IF(ISNA(sum(filter(
Master_Mapping_Sheet!$E$2:$E$3143, ISNUMBER(
Master_Mapping_Sheet!$E$2:$E$3143),
Master_Mapping_Sheet!$H$2:$H$3143=I$1,
Master_Mapping_Sheet!$I$2:$I$3143=$A8))/sum(filter(
Master_Mapping_Sheet!$E$2:$E$3143, ISNUMBER(
Master_Mapping_She"&amp;"et!$E$2:$E$3143),
Master_Mapping_Sheet!$I$2:$I$3143=$A8))), 0, sum(filter(
Master_Mapping_Sheet!$E$2:$E$3143, ISNUMBER(
Master_Mapping_Sheet!$E$2:$E$3143),
Master_Mapping_Sheet!$H$2:$H$3143=I$1,
Master_Mapping_Sheet!$I$2:$I$3143=$A8))/sum(filter(
Master_M"&amp;"apping_Sheet!$E$2:$E$3143, ISNUMBER(
Master_Mapping_Sheet!$E$2:$E$3143),
Master_Mapping_Sheet!$I$2:$I$3143=$A8)))"),0.0)</f>
        <v>0</v>
      </c>
      <c r="J8" s="34">
        <f>IFERROR(__xludf.DUMMYFUNCTION("IF(ISNA(sum(filter(
Master_Mapping_Sheet!$E$2:$E$3143, ISNUMBER(
Master_Mapping_Sheet!$E$2:$E$3143),
Master_Mapping_Sheet!$H$2:$H$3143=J$1,
Master_Mapping_Sheet!$I$2:$I$3143=$A8))/sum(filter(
Master_Mapping_Sheet!$E$2:$E$3143, ISNUMBER(
Master_Mapping_She"&amp;"et!$E$2:$E$3143),
Master_Mapping_Sheet!$I$2:$I$3143=$A8))), 0, sum(filter(
Master_Mapping_Sheet!$E$2:$E$3143, ISNUMBER(
Master_Mapping_Sheet!$E$2:$E$3143),
Master_Mapping_Sheet!$H$2:$H$3143=J$1,
Master_Mapping_Sheet!$I$2:$I$3143=$A8))/sum(filter(
Master_M"&amp;"apping_Sheet!$E$2:$E$3143, ISNUMBER(
Master_Mapping_Sheet!$E$2:$E$3143),
Master_Mapping_Sheet!$I$2:$I$3143=$A8)))"),0.0)</f>
        <v>0</v>
      </c>
      <c r="K8" s="34">
        <f>IFERROR(__xludf.DUMMYFUNCTION("IF(ISNA(sum(filter(
Master_Mapping_Sheet!$E$2:$E$3143, ISNUMBER(
Master_Mapping_Sheet!$E$2:$E$3143),
Master_Mapping_Sheet!$H$2:$H$3143=K$1,
Master_Mapping_Sheet!$I$2:$I$3143=$A8))/sum(filter(
Master_Mapping_Sheet!$E$2:$E$3143, ISNUMBER(
Master_Mapping_She"&amp;"et!$E$2:$E$3143),
Master_Mapping_Sheet!$I$2:$I$3143=$A8))), 0, sum(filter(
Master_Mapping_Sheet!$E$2:$E$3143, ISNUMBER(
Master_Mapping_Sheet!$E$2:$E$3143),
Master_Mapping_Sheet!$H$2:$H$3143=K$1,
Master_Mapping_Sheet!$I$2:$I$3143=$A8))/sum(filter(
Master_M"&amp;"apping_Sheet!$E$2:$E$3143, ISNUMBER(
Master_Mapping_Sheet!$E$2:$E$3143),
Master_Mapping_Sheet!$I$2:$I$3143=$A8)))"),0.0)</f>
        <v>0</v>
      </c>
      <c r="L8" s="34">
        <f>IFERROR(__xludf.DUMMYFUNCTION("IF(ISNA(sum(filter(
Master_Mapping_Sheet!$E$2:$E$3143, ISNUMBER(
Master_Mapping_Sheet!$E$2:$E$3143),
Master_Mapping_Sheet!$H$2:$H$3143=L$1,
Master_Mapping_Sheet!$I$2:$I$3143=$A8))/sum(filter(
Master_Mapping_Sheet!$E$2:$E$3143, ISNUMBER(
Master_Mapping_She"&amp;"et!$E$2:$E$3143),
Master_Mapping_Sheet!$I$2:$I$3143=$A8))), 0, sum(filter(
Master_Mapping_Sheet!$E$2:$E$3143, ISNUMBER(
Master_Mapping_Sheet!$E$2:$E$3143),
Master_Mapping_Sheet!$H$2:$H$3143=L$1,
Master_Mapping_Sheet!$I$2:$I$3143=$A8))/sum(filter(
Master_M"&amp;"apping_Sheet!$E$2:$E$3143, ISNUMBER(
Master_Mapping_Sheet!$E$2:$E$3143),
Master_Mapping_Sheet!$I$2:$I$3143=$A8)))"),0.0)</f>
        <v>0</v>
      </c>
      <c r="M8" s="34">
        <f>IFERROR(__xludf.DUMMYFUNCTION("IF(ISNA(sum(filter(
Master_Mapping_Sheet!$E$2:$E$3143, ISNUMBER(
Master_Mapping_Sheet!$E$2:$E$3143),
Master_Mapping_Sheet!$H$2:$H$3143=M$1,
Master_Mapping_Sheet!$I$2:$I$3143=$A8))/sum(filter(
Master_Mapping_Sheet!$E$2:$E$3143, ISNUMBER(
Master_Mapping_She"&amp;"et!$E$2:$E$3143),
Master_Mapping_Sheet!$I$2:$I$3143=$A8))), 0, sum(filter(
Master_Mapping_Sheet!$E$2:$E$3143, ISNUMBER(
Master_Mapping_Sheet!$E$2:$E$3143),
Master_Mapping_Sheet!$H$2:$H$3143=M$1,
Master_Mapping_Sheet!$I$2:$I$3143=$A8))/sum(filter(
Master_M"&amp;"apping_Sheet!$E$2:$E$3143, ISNUMBER(
Master_Mapping_Sheet!$E$2:$E$3143),
Master_Mapping_Sheet!$I$2:$I$3143=$A8)))"),0.0)</f>
        <v>0</v>
      </c>
      <c r="N8" s="34">
        <f>IFERROR(__xludf.DUMMYFUNCTION("IF(ISNA(sum(filter(
Master_Mapping_Sheet!$E$2:$E$3143, ISNUMBER(
Master_Mapping_Sheet!$E$2:$E$3143),
Master_Mapping_Sheet!$H$2:$H$3143=N$1,
Master_Mapping_Sheet!$I$2:$I$3143=$A8))/sum(filter(
Master_Mapping_Sheet!$E$2:$E$3143, ISNUMBER(
Master_Mapping_She"&amp;"et!$E$2:$E$3143),
Master_Mapping_Sheet!$I$2:$I$3143=$A8))), 0, sum(filter(
Master_Mapping_Sheet!$E$2:$E$3143, ISNUMBER(
Master_Mapping_Sheet!$E$2:$E$3143),
Master_Mapping_Sheet!$H$2:$H$3143=N$1,
Master_Mapping_Sheet!$I$2:$I$3143=$A8))/sum(filter(
Master_M"&amp;"apping_Sheet!$E$2:$E$3143, ISNUMBER(
Master_Mapping_Sheet!$E$2:$E$3143),
Master_Mapping_Sheet!$I$2:$I$3143=$A8)))"),0.0)</f>
        <v>0</v>
      </c>
      <c r="O8" s="34">
        <f>IFERROR(__xludf.DUMMYFUNCTION("IF(ISNA(sum(filter(
Master_Mapping_Sheet!$E$2:$E$3143, ISNUMBER(
Master_Mapping_Sheet!$E$2:$E$3143),
Master_Mapping_Sheet!$H$2:$H$3143=O$1,
Master_Mapping_Sheet!$I$2:$I$3143=$A8))/sum(filter(
Master_Mapping_Sheet!$E$2:$E$3143, ISNUMBER(
Master_Mapping_She"&amp;"et!$E$2:$E$3143),
Master_Mapping_Sheet!$I$2:$I$3143=$A8))), 0, sum(filter(
Master_Mapping_Sheet!$E$2:$E$3143, ISNUMBER(
Master_Mapping_Sheet!$E$2:$E$3143),
Master_Mapping_Sheet!$H$2:$H$3143=O$1,
Master_Mapping_Sheet!$I$2:$I$3143=$A8))/sum(filter(
Master_M"&amp;"apping_Sheet!$E$2:$E$3143, ISNUMBER(
Master_Mapping_Sheet!$E$2:$E$3143),
Master_Mapping_Sheet!$I$2:$I$3143=$A8)))"),0.0)</f>
        <v>0</v>
      </c>
      <c r="P8" s="34">
        <f>IFERROR(__xludf.DUMMYFUNCTION("IF(ISNA(sum(filter(
Master_Mapping_Sheet!$E$2:$E$3143, ISNUMBER(
Master_Mapping_Sheet!$E$2:$E$3143),
Master_Mapping_Sheet!$H$2:$H$3143=P$1,
Master_Mapping_Sheet!$I$2:$I$3143=$A8))/sum(filter(
Master_Mapping_Sheet!$E$2:$E$3143, ISNUMBER(
Master_Mapping_She"&amp;"et!$E$2:$E$3143),
Master_Mapping_Sheet!$I$2:$I$3143=$A8))), 0, sum(filter(
Master_Mapping_Sheet!$E$2:$E$3143, ISNUMBER(
Master_Mapping_Sheet!$E$2:$E$3143),
Master_Mapping_Sheet!$H$2:$H$3143=P$1,
Master_Mapping_Sheet!$I$2:$I$3143=$A8))/sum(filter(
Master_M"&amp;"apping_Sheet!$E$2:$E$3143, ISNUMBER(
Master_Mapping_Sheet!$E$2:$E$3143),
Master_Mapping_Sheet!$I$2:$I$3143=$A8)))"),0.0)</f>
        <v>0</v>
      </c>
      <c r="Q8" s="34">
        <f>IFERROR(__xludf.DUMMYFUNCTION("IF(ISNA(sum(filter(
Master_Mapping_Sheet!$E$2:$E$3143, ISNUMBER(
Master_Mapping_Sheet!$E$2:$E$3143),
Master_Mapping_Sheet!$H$2:$H$3143=Q$1,
Master_Mapping_Sheet!$I$2:$I$3143=$A8))/sum(filter(
Master_Mapping_Sheet!$E$2:$E$3143, ISNUMBER(
Master_Mapping_She"&amp;"et!$E$2:$E$3143),
Master_Mapping_Sheet!$I$2:$I$3143=$A8))), 0, sum(filter(
Master_Mapping_Sheet!$E$2:$E$3143, ISNUMBER(
Master_Mapping_Sheet!$E$2:$E$3143),
Master_Mapping_Sheet!$H$2:$H$3143=Q$1,
Master_Mapping_Sheet!$I$2:$I$3143=$A8))/sum(filter(
Master_M"&amp;"apping_Sheet!$E$2:$E$3143, ISNUMBER(
Master_Mapping_Sheet!$E$2:$E$3143),
Master_Mapping_Sheet!$I$2:$I$3143=$A8)))"),0.0)</f>
        <v>0</v>
      </c>
      <c r="R8" s="34">
        <f>IFERROR(__xludf.DUMMYFUNCTION("IF(ISNA(sum(filter(
Master_Mapping_Sheet!$E$2:$E$3143, ISNUMBER(
Master_Mapping_Sheet!$E$2:$E$3143),
Master_Mapping_Sheet!$H$2:$H$3143=R$1,
Master_Mapping_Sheet!$I$2:$I$3143=$A8))/sum(filter(
Master_Mapping_Sheet!$E$2:$E$3143, ISNUMBER(
Master_Mapping_She"&amp;"et!$E$2:$E$3143),
Master_Mapping_Sheet!$I$2:$I$3143=$A8))), 0, sum(filter(
Master_Mapping_Sheet!$E$2:$E$3143, ISNUMBER(
Master_Mapping_Sheet!$E$2:$E$3143),
Master_Mapping_Sheet!$H$2:$H$3143=R$1,
Master_Mapping_Sheet!$I$2:$I$3143=$A8))/sum(filter(
Master_M"&amp;"apping_Sheet!$E$2:$E$3143, ISNUMBER(
Master_Mapping_Sheet!$E$2:$E$3143),
Master_Mapping_Sheet!$I$2:$I$3143=$A8)))"),0.17615081882088712)</f>
        <v>0.1761508188</v>
      </c>
      <c r="S8" s="34">
        <f>IFERROR(__xludf.DUMMYFUNCTION("IF(ISNA(sum(filter(
Master_Mapping_Sheet!$E$2:$E$3143, ISNUMBER(
Master_Mapping_Sheet!$E$2:$E$3143),
Master_Mapping_Sheet!$H$2:$H$3143=S$1,
Master_Mapping_Sheet!$I$2:$I$3143=$A8))/sum(filter(
Master_Mapping_Sheet!$E$2:$E$3143, ISNUMBER(
Master_Mapping_She"&amp;"et!$E$2:$E$3143),
Master_Mapping_Sheet!$I$2:$I$3143=$A8))), 0, sum(filter(
Master_Mapping_Sheet!$E$2:$E$3143, ISNUMBER(
Master_Mapping_Sheet!$E$2:$E$3143),
Master_Mapping_Sheet!$H$2:$H$3143=S$1,
Master_Mapping_Sheet!$I$2:$I$3143=$A8))/sum(filter(
Master_M"&amp;"apping_Sheet!$E$2:$E$3143, ISNUMBER(
Master_Mapping_Sheet!$E$2:$E$3143),
Master_Mapping_Sheet!$I$2:$I$3143=$A8)))"),0.0)</f>
        <v>0</v>
      </c>
      <c r="T8" s="34">
        <f>IFERROR(__xludf.DUMMYFUNCTION("IF(ISNA(sum(filter(
Master_Mapping_Sheet!$E$2:$E$3143, ISNUMBER(
Master_Mapping_Sheet!$E$2:$E$3143),
Master_Mapping_Sheet!$H$2:$H$3143=T$1,
Master_Mapping_Sheet!$I$2:$I$3143=$A8))/sum(filter(
Master_Mapping_Sheet!$E$2:$E$3143, ISNUMBER(
Master_Mapping_She"&amp;"et!$E$2:$E$3143),
Master_Mapping_Sheet!$I$2:$I$3143=$A8))), 0, sum(filter(
Master_Mapping_Sheet!$E$2:$E$3143, ISNUMBER(
Master_Mapping_Sheet!$E$2:$E$3143),
Master_Mapping_Sheet!$H$2:$H$3143=T$1,
Master_Mapping_Sheet!$I$2:$I$3143=$A8))/sum(filter(
Master_M"&amp;"apping_Sheet!$E$2:$E$3143, ISNUMBER(
Master_Mapping_Sheet!$E$2:$E$3143),
Master_Mapping_Sheet!$I$2:$I$3143=$A8)))"),0.0)</f>
        <v>0</v>
      </c>
      <c r="U8" s="34">
        <f>IFERROR(__xludf.DUMMYFUNCTION("IF(ISNA(sum(filter(
Master_Mapping_Sheet!$E$2:$E$3143, ISNUMBER(
Master_Mapping_Sheet!$E$2:$E$3143),
Master_Mapping_Sheet!$H$2:$H$3143=U$1,
Master_Mapping_Sheet!$I$2:$I$3143=$A8))/sum(filter(
Master_Mapping_Sheet!$E$2:$E$3143, ISNUMBER(
Master_Mapping_She"&amp;"et!$E$2:$E$3143),
Master_Mapping_Sheet!$I$2:$I$3143=$A8))), 0, sum(filter(
Master_Mapping_Sheet!$E$2:$E$3143, ISNUMBER(
Master_Mapping_Sheet!$E$2:$E$3143),
Master_Mapping_Sheet!$H$2:$H$3143=U$1,
Master_Mapping_Sheet!$I$2:$I$3143=$A8))/sum(filter(
Master_M"&amp;"apping_Sheet!$E$2:$E$3143, ISNUMBER(
Master_Mapping_Sheet!$E$2:$E$3143),
Master_Mapping_Sheet!$I$2:$I$3143=$A8)))"),0.02069573103907745)</f>
        <v>0.02069573104</v>
      </c>
      <c r="V8" s="34">
        <f>IFERROR(__xludf.DUMMYFUNCTION("IF(ISNA(sum(filter(
Master_Mapping_Sheet!$E$2:$E$3143, ISNUMBER(
Master_Mapping_Sheet!$E$2:$E$3143),
Master_Mapping_Sheet!$H$2:$H$3143=V$1,
Master_Mapping_Sheet!$I$2:$I$3143=$A8))/sum(filter(
Master_Mapping_Sheet!$E$2:$E$3143, ISNUMBER(
Master_Mapping_She"&amp;"et!$E$2:$E$3143),
Master_Mapping_Sheet!$I$2:$I$3143=$A8))), 0, sum(filter(
Master_Mapping_Sheet!$E$2:$E$3143, ISNUMBER(
Master_Mapping_Sheet!$E$2:$E$3143),
Master_Mapping_Sheet!$H$2:$H$3143=V$1,
Master_Mapping_Sheet!$I$2:$I$3143=$A8))/sum(filter(
Master_M"&amp;"apping_Sheet!$E$2:$E$3143, ISNUMBER(
Master_Mapping_Sheet!$E$2:$E$3143),
Master_Mapping_Sheet!$I$2:$I$3143=$A8)))"),0.0)</f>
        <v>0</v>
      </c>
      <c r="W8" s="34">
        <f>IFERROR(__xludf.DUMMYFUNCTION("IF(ISNA(sum(filter(
Master_Mapping_Sheet!$E$2:$E$3143, ISNUMBER(
Master_Mapping_Sheet!$E$2:$E$3143),
Master_Mapping_Sheet!$H$2:$H$3143=W$1,
Master_Mapping_Sheet!$I$2:$I$3143=$A8))/sum(filter(
Master_Mapping_Sheet!$E$2:$E$3143, ISNUMBER(
Master_Mapping_She"&amp;"et!$E$2:$E$3143),
Master_Mapping_Sheet!$I$2:$I$3143=$A8))), 0, sum(filter(
Master_Mapping_Sheet!$E$2:$E$3143, ISNUMBER(
Master_Mapping_Sheet!$E$2:$E$3143),
Master_Mapping_Sheet!$H$2:$H$3143=W$1,
Master_Mapping_Sheet!$I$2:$I$3143=$A8))/sum(filter(
Master_M"&amp;"apping_Sheet!$E$2:$E$3143, ISNUMBER(
Master_Mapping_Sheet!$E$2:$E$3143),
Master_Mapping_Sheet!$I$2:$I$3143=$A8)))"),0.0)</f>
        <v>0</v>
      </c>
      <c r="X8" s="34">
        <f>IFERROR(__xludf.DUMMYFUNCTION("IF(ISNA(sum(filter(
Master_Mapping_Sheet!$E$2:$E$3143, ISNUMBER(
Master_Mapping_Sheet!$E$2:$E$3143),
Master_Mapping_Sheet!$H$2:$H$3143=X$1,
Master_Mapping_Sheet!$I$2:$I$3143=$A8))/sum(filter(
Master_Mapping_Sheet!$E$2:$E$3143, ISNUMBER(
Master_Mapping_She"&amp;"et!$E$2:$E$3143),
Master_Mapping_Sheet!$I$2:$I$3143=$A8))), 0, sum(filter(
Master_Mapping_Sheet!$E$2:$E$3143, ISNUMBER(
Master_Mapping_Sheet!$E$2:$E$3143),
Master_Mapping_Sheet!$H$2:$H$3143=X$1,
Master_Mapping_Sheet!$I$2:$I$3143=$A8))/sum(filter(
Master_M"&amp;"apping_Sheet!$E$2:$E$3143, ISNUMBER(
Master_Mapping_Sheet!$E$2:$E$3143),
Master_Mapping_Sheet!$I$2:$I$3143=$A8)))"),0.0)</f>
        <v>0</v>
      </c>
      <c r="Y8" s="34">
        <f>IFERROR(__xludf.DUMMYFUNCTION("IF(ISNA(sum(filter(
Master_Mapping_Sheet!$E$2:$E$3143, ISNUMBER(
Master_Mapping_Sheet!$E$2:$E$3143),
Master_Mapping_Sheet!$H$2:$H$3143=Y$1,
Master_Mapping_Sheet!$I$2:$I$3143=$A8))/sum(filter(
Master_Mapping_Sheet!$E$2:$E$3143, ISNUMBER(
Master_Mapping_She"&amp;"et!$E$2:$E$3143),
Master_Mapping_Sheet!$I$2:$I$3143=$A8))), 0, sum(filter(
Master_Mapping_Sheet!$E$2:$E$3143, ISNUMBER(
Master_Mapping_Sheet!$E$2:$E$3143),
Master_Mapping_Sheet!$H$2:$H$3143=Y$1,
Master_Mapping_Sheet!$I$2:$I$3143=$A8))/sum(filter(
Master_M"&amp;"apping_Sheet!$E$2:$E$3143, ISNUMBER(
Master_Mapping_Sheet!$E$2:$E$3143),
Master_Mapping_Sheet!$I$2:$I$3143=$A8)))"),0.0)</f>
        <v>0</v>
      </c>
      <c r="Z8" s="34">
        <f>IFERROR(__xludf.DUMMYFUNCTION("IF(ISNA(sum(filter(
Master_Mapping_Sheet!$E$2:$E$3143, ISNUMBER(
Master_Mapping_Sheet!$E$2:$E$3143),
Master_Mapping_Sheet!$H$2:$H$3143=Z$1,
Master_Mapping_Sheet!$I$2:$I$3143=$A8))/sum(filter(
Master_Mapping_Sheet!$E$2:$E$3143, ISNUMBER(
Master_Mapping_She"&amp;"et!$E$2:$E$3143),
Master_Mapping_Sheet!$I$2:$I$3143=$A8))), 0, sum(filter(
Master_Mapping_Sheet!$E$2:$E$3143, ISNUMBER(
Master_Mapping_Sheet!$E$2:$E$3143),
Master_Mapping_Sheet!$H$2:$H$3143=Z$1,
Master_Mapping_Sheet!$I$2:$I$3143=$A8))/sum(filter(
Master_M"&amp;"apping_Sheet!$E$2:$E$3143, ISNUMBER(
Master_Mapping_Sheet!$E$2:$E$3143),
Master_Mapping_Sheet!$I$2:$I$3143=$A8)))"),0.0)</f>
        <v>0</v>
      </c>
    </row>
    <row r="9" ht="15.75" customHeight="1">
      <c r="A9" s="32">
        <v>8.0</v>
      </c>
      <c r="B9" s="32">
        <f>IFERROR(__xludf.DUMMYFUNCTION("IF(ISNA(sum(filter(
Master_Mapping_Sheet!$E$2:$E$3143, ISNUMBER(
Master_Mapping_Sheet!$E$2:$E$3143),
Master_Mapping_Sheet!$H$2:$H$3143=B$1,
Master_Mapping_Sheet!$I$2:$I$3143=$A9))/sum(filter(
Master_Mapping_Sheet!$E$2:$E$3143, ISNUMBER(
Master_Mapping_She"&amp;"et!$E$2:$E$3143),
Master_Mapping_Sheet!$I$2:$I$3143=$A9))), 0, sum(filter(
Master_Mapping_Sheet!$E$2:$E$3143, ISNUMBER(
Master_Mapping_Sheet!$E$2:$E$3143),
Master_Mapping_Sheet!$H$2:$H$3143=B$1,
Master_Mapping_Sheet!$I$2:$I$3143=$A9))/sum(filter(
Master_M"&amp;"apping_Sheet!$E$2:$E$3143, ISNUMBER(
Master_Mapping_Sheet!$E$2:$E$3143),
Master_Mapping_Sheet!$I$2:$I$3143=$A9)))"),0.0)</f>
        <v>0</v>
      </c>
      <c r="C9" s="32">
        <f>IFERROR(__xludf.DUMMYFUNCTION("IF(ISNA(sum(filter(
Master_Mapping_Sheet!$E$2:$E$3143, ISNUMBER(
Master_Mapping_Sheet!$E$2:$E$3143),
Master_Mapping_Sheet!$H$2:$H$3143=C$1,
Master_Mapping_Sheet!$I$2:$I$3143=$A9))/sum(filter(
Master_Mapping_Sheet!$E$2:$E$3143, ISNUMBER(
Master_Mapping_She"&amp;"et!$E$2:$E$3143),
Master_Mapping_Sheet!$I$2:$I$3143=$A9))), 0, sum(filter(
Master_Mapping_Sheet!$E$2:$E$3143, ISNUMBER(
Master_Mapping_Sheet!$E$2:$E$3143),
Master_Mapping_Sheet!$H$2:$H$3143=C$1,
Master_Mapping_Sheet!$I$2:$I$3143=$A9))/sum(filter(
Master_M"&amp;"apping_Sheet!$E$2:$E$3143, ISNUMBER(
Master_Mapping_Sheet!$E$2:$E$3143),
Master_Mapping_Sheet!$I$2:$I$3143=$A9)))"),0.0)</f>
        <v>0</v>
      </c>
      <c r="D9" s="32">
        <f>IFERROR(__xludf.DUMMYFUNCTION("IF(ISNA(sum(filter(
Master_Mapping_Sheet!$E$2:$E$3143, ISNUMBER(
Master_Mapping_Sheet!$E$2:$E$3143),
Master_Mapping_Sheet!$H$2:$H$3143=D$1,
Master_Mapping_Sheet!$I$2:$I$3143=$A9))/sum(filter(
Master_Mapping_Sheet!$E$2:$E$3143, ISNUMBER(
Master_Mapping_She"&amp;"et!$E$2:$E$3143),
Master_Mapping_Sheet!$I$2:$I$3143=$A9))), 0, sum(filter(
Master_Mapping_Sheet!$E$2:$E$3143, ISNUMBER(
Master_Mapping_Sheet!$E$2:$E$3143),
Master_Mapping_Sheet!$H$2:$H$3143=D$1,
Master_Mapping_Sheet!$I$2:$I$3143=$A9))/sum(filter(
Master_M"&amp;"apping_Sheet!$E$2:$E$3143, ISNUMBER(
Master_Mapping_Sheet!$E$2:$E$3143),
Master_Mapping_Sheet!$I$2:$I$3143=$A9)))"),2.646904770144687E-4)</f>
        <v>0.000264690477</v>
      </c>
      <c r="E9" s="32">
        <f>IFERROR(__xludf.DUMMYFUNCTION("IF(ISNA(sum(filter(
Master_Mapping_Sheet!$E$2:$E$3143, ISNUMBER(
Master_Mapping_Sheet!$E$2:$E$3143),
Master_Mapping_Sheet!$H$2:$H$3143=E$1,
Master_Mapping_Sheet!$I$2:$I$3143=$A9))/sum(filter(
Master_Mapping_Sheet!$E$2:$E$3143, ISNUMBER(
Master_Mapping_She"&amp;"et!$E$2:$E$3143),
Master_Mapping_Sheet!$I$2:$I$3143=$A9))), 0, sum(filter(
Master_Mapping_Sheet!$E$2:$E$3143, ISNUMBER(
Master_Mapping_Sheet!$E$2:$E$3143),
Master_Mapping_Sheet!$H$2:$H$3143=E$1,
Master_Mapping_Sheet!$I$2:$I$3143=$A9))/sum(filter(
Master_M"&amp;"apping_Sheet!$E$2:$E$3143, ISNUMBER(
Master_Mapping_Sheet!$E$2:$E$3143),
Master_Mapping_Sheet!$I$2:$I$3143=$A9)))"),0.0)</f>
        <v>0</v>
      </c>
      <c r="F9" s="32">
        <f>IFERROR(__xludf.DUMMYFUNCTION("IF(ISNA(sum(filter(
Master_Mapping_Sheet!$E$2:$E$3143, ISNUMBER(
Master_Mapping_Sheet!$E$2:$E$3143),
Master_Mapping_Sheet!$H$2:$H$3143=F$1,
Master_Mapping_Sheet!$I$2:$I$3143=$A9))/sum(filter(
Master_Mapping_Sheet!$E$2:$E$3143, ISNUMBER(
Master_Mapping_She"&amp;"et!$E$2:$E$3143),
Master_Mapping_Sheet!$I$2:$I$3143=$A9))), 0, sum(filter(
Master_Mapping_Sheet!$E$2:$E$3143, ISNUMBER(
Master_Mapping_Sheet!$E$2:$E$3143),
Master_Mapping_Sheet!$H$2:$H$3143=F$1,
Master_Mapping_Sheet!$I$2:$I$3143=$A9))/sum(filter(
Master_M"&amp;"apping_Sheet!$E$2:$E$3143, ISNUMBER(
Master_Mapping_Sheet!$E$2:$E$3143),
Master_Mapping_Sheet!$I$2:$I$3143=$A9)))"),0.0)</f>
        <v>0</v>
      </c>
      <c r="G9" s="32">
        <f>IFERROR(__xludf.DUMMYFUNCTION("IF(ISNA(sum(filter(
Master_Mapping_Sheet!$E$2:$E$3143, ISNUMBER(
Master_Mapping_Sheet!$E$2:$E$3143),
Master_Mapping_Sheet!$H$2:$H$3143=G$1,
Master_Mapping_Sheet!$I$2:$I$3143=$A9))/sum(filter(
Master_Mapping_Sheet!$E$2:$E$3143, ISNUMBER(
Master_Mapping_She"&amp;"et!$E$2:$E$3143),
Master_Mapping_Sheet!$I$2:$I$3143=$A9))), 0, sum(filter(
Master_Mapping_Sheet!$E$2:$E$3143, ISNUMBER(
Master_Mapping_Sheet!$E$2:$E$3143),
Master_Mapping_Sheet!$H$2:$H$3143=G$1,
Master_Mapping_Sheet!$I$2:$I$3143=$A9))/sum(filter(
Master_M"&amp;"apping_Sheet!$E$2:$E$3143, ISNUMBER(
Master_Mapping_Sheet!$E$2:$E$3143),
Master_Mapping_Sheet!$I$2:$I$3143=$A9)))"),0.0)</f>
        <v>0</v>
      </c>
      <c r="H9" s="32">
        <f>IFERROR(__xludf.DUMMYFUNCTION("IF(ISNA(sum(filter(
Master_Mapping_Sheet!$E$2:$E$3143, ISNUMBER(
Master_Mapping_Sheet!$E$2:$E$3143),
Master_Mapping_Sheet!$H$2:$H$3143=H$1,
Master_Mapping_Sheet!$I$2:$I$3143=$A9))/sum(filter(
Master_Mapping_Sheet!$E$2:$E$3143, ISNUMBER(
Master_Mapping_She"&amp;"et!$E$2:$E$3143),
Master_Mapping_Sheet!$I$2:$I$3143=$A9))), 0, sum(filter(
Master_Mapping_Sheet!$E$2:$E$3143, ISNUMBER(
Master_Mapping_Sheet!$E$2:$E$3143),
Master_Mapping_Sheet!$H$2:$H$3143=H$1,
Master_Mapping_Sheet!$I$2:$I$3143=$A9))/sum(filter(
Master_M"&amp;"apping_Sheet!$E$2:$E$3143, ISNUMBER(
Master_Mapping_Sheet!$E$2:$E$3143),
Master_Mapping_Sheet!$I$2:$I$3143=$A9)))"),0.0)</f>
        <v>0</v>
      </c>
      <c r="I9" s="32">
        <f>IFERROR(__xludf.DUMMYFUNCTION("IF(ISNA(sum(filter(
Master_Mapping_Sheet!$E$2:$E$3143, ISNUMBER(
Master_Mapping_Sheet!$E$2:$E$3143),
Master_Mapping_Sheet!$H$2:$H$3143=I$1,
Master_Mapping_Sheet!$I$2:$I$3143=$A9))/sum(filter(
Master_Mapping_Sheet!$E$2:$E$3143, ISNUMBER(
Master_Mapping_She"&amp;"et!$E$2:$E$3143),
Master_Mapping_Sheet!$I$2:$I$3143=$A9))), 0, sum(filter(
Master_Mapping_Sheet!$E$2:$E$3143, ISNUMBER(
Master_Mapping_Sheet!$E$2:$E$3143),
Master_Mapping_Sheet!$H$2:$H$3143=I$1,
Master_Mapping_Sheet!$I$2:$I$3143=$A9))/sum(filter(
Master_M"&amp;"apping_Sheet!$E$2:$E$3143, ISNUMBER(
Master_Mapping_Sheet!$E$2:$E$3143),
Master_Mapping_Sheet!$I$2:$I$3143=$A9)))"),0.0)</f>
        <v>0</v>
      </c>
      <c r="J9" s="32">
        <f>IFERROR(__xludf.DUMMYFUNCTION("IF(ISNA(sum(filter(
Master_Mapping_Sheet!$E$2:$E$3143, ISNUMBER(
Master_Mapping_Sheet!$E$2:$E$3143),
Master_Mapping_Sheet!$H$2:$H$3143=J$1,
Master_Mapping_Sheet!$I$2:$I$3143=$A9))/sum(filter(
Master_Mapping_Sheet!$E$2:$E$3143, ISNUMBER(
Master_Mapping_She"&amp;"et!$E$2:$E$3143),
Master_Mapping_Sheet!$I$2:$I$3143=$A9))), 0, sum(filter(
Master_Mapping_Sheet!$E$2:$E$3143, ISNUMBER(
Master_Mapping_Sheet!$E$2:$E$3143),
Master_Mapping_Sheet!$H$2:$H$3143=J$1,
Master_Mapping_Sheet!$I$2:$I$3143=$A9))/sum(filter(
Master_M"&amp;"apping_Sheet!$E$2:$E$3143, ISNUMBER(
Master_Mapping_Sheet!$E$2:$E$3143),
Master_Mapping_Sheet!$I$2:$I$3143=$A9)))"),0.0)</f>
        <v>0</v>
      </c>
      <c r="K9" s="32">
        <f>IFERROR(__xludf.DUMMYFUNCTION("IF(ISNA(sum(filter(
Master_Mapping_Sheet!$E$2:$E$3143, ISNUMBER(
Master_Mapping_Sheet!$E$2:$E$3143),
Master_Mapping_Sheet!$H$2:$H$3143=K$1,
Master_Mapping_Sheet!$I$2:$I$3143=$A9))/sum(filter(
Master_Mapping_Sheet!$E$2:$E$3143, ISNUMBER(
Master_Mapping_She"&amp;"et!$E$2:$E$3143),
Master_Mapping_Sheet!$I$2:$I$3143=$A9))), 0, sum(filter(
Master_Mapping_Sheet!$E$2:$E$3143, ISNUMBER(
Master_Mapping_Sheet!$E$2:$E$3143),
Master_Mapping_Sheet!$H$2:$H$3143=K$1,
Master_Mapping_Sheet!$I$2:$I$3143=$A9))/sum(filter(
Master_M"&amp;"apping_Sheet!$E$2:$E$3143, ISNUMBER(
Master_Mapping_Sheet!$E$2:$E$3143),
Master_Mapping_Sheet!$I$2:$I$3143=$A9)))"),0.0)</f>
        <v>0</v>
      </c>
      <c r="L9" s="32">
        <f>IFERROR(__xludf.DUMMYFUNCTION("IF(ISNA(sum(filter(
Master_Mapping_Sheet!$E$2:$E$3143, ISNUMBER(
Master_Mapping_Sheet!$E$2:$E$3143),
Master_Mapping_Sheet!$H$2:$H$3143=L$1,
Master_Mapping_Sheet!$I$2:$I$3143=$A9))/sum(filter(
Master_Mapping_Sheet!$E$2:$E$3143, ISNUMBER(
Master_Mapping_She"&amp;"et!$E$2:$E$3143),
Master_Mapping_Sheet!$I$2:$I$3143=$A9))), 0, sum(filter(
Master_Mapping_Sheet!$E$2:$E$3143, ISNUMBER(
Master_Mapping_Sheet!$E$2:$E$3143),
Master_Mapping_Sheet!$H$2:$H$3143=L$1,
Master_Mapping_Sheet!$I$2:$I$3143=$A9))/sum(filter(
Master_M"&amp;"apping_Sheet!$E$2:$E$3143, ISNUMBER(
Master_Mapping_Sheet!$E$2:$E$3143),
Master_Mapping_Sheet!$I$2:$I$3143=$A9)))"),0.0)</f>
        <v>0</v>
      </c>
      <c r="M9" s="32">
        <f>IFERROR(__xludf.DUMMYFUNCTION("IF(ISNA(sum(filter(
Master_Mapping_Sheet!$E$2:$E$3143, ISNUMBER(
Master_Mapping_Sheet!$E$2:$E$3143),
Master_Mapping_Sheet!$H$2:$H$3143=M$1,
Master_Mapping_Sheet!$I$2:$I$3143=$A9))/sum(filter(
Master_Mapping_Sheet!$E$2:$E$3143, ISNUMBER(
Master_Mapping_She"&amp;"et!$E$2:$E$3143),
Master_Mapping_Sheet!$I$2:$I$3143=$A9))), 0, sum(filter(
Master_Mapping_Sheet!$E$2:$E$3143, ISNUMBER(
Master_Mapping_Sheet!$E$2:$E$3143),
Master_Mapping_Sheet!$H$2:$H$3143=M$1,
Master_Mapping_Sheet!$I$2:$I$3143=$A9))/sum(filter(
Master_M"&amp;"apping_Sheet!$E$2:$E$3143, ISNUMBER(
Master_Mapping_Sheet!$E$2:$E$3143),
Master_Mapping_Sheet!$I$2:$I$3143=$A9)))"),0.0)</f>
        <v>0</v>
      </c>
      <c r="N9" s="32">
        <f>IFERROR(__xludf.DUMMYFUNCTION("IF(ISNA(sum(filter(
Master_Mapping_Sheet!$E$2:$E$3143, ISNUMBER(
Master_Mapping_Sheet!$E$2:$E$3143),
Master_Mapping_Sheet!$H$2:$H$3143=N$1,
Master_Mapping_Sheet!$I$2:$I$3143=$A9))/sum(filter(
Master_Mapping_Sheet!$E$2:$E$3143, ISNUMBER(
Master_Mapping_She"&amp;"et!$E$2:$E$3143),
Master_Mapping_Sheet!$I$2:$I$3143=$A9))), 0, sum(filter(
Master_Mapping_Sheet!$E$2:$E$3143, ISNUMBER(
Master_Mapping_Sheet!$E$2:$E$3143),
Master_Mapping_Sheet!$H$2:$H$3143=N$1,
Master_Mapping_Sheet!$I$2:$I$3143=$A9))/sum(filter(
Master_M"&amp;"apping_Sheet!$E$2:$E$3143, ISNUMBER(
Master_Mapping_Sheet!$E$2:$E$3143),
Master_Mapping_Sheet!$I$2:$I$3143=$A9)))"),0.0)</f>
        <v>0</v>
      </c>
      <c r="O9" s="32">
        <f>IFERROR(__xludf.DUMMYFUNCTION("IF(ISNA(sum(filter(
Master_Mapping_Sheet!$E$2:$E$3143, ISNUMBER(
Master_Mapping_Sheet!$E$2:$E$3143),
Master_Mapping_Sheet!$H$2:$H$3143=O$1,
Master_Mapping_Sheet!$I$2:$I$3143=$A9))/sum(filter(
Master_Mapping_Sheet!$E$2:$E$3143, ISNUMBER(
Master_Mapping_She"&amp;"et!$E$2:$E$3143),
Master_Mapping_Sheet!$I$2:$I$3143=$A9))), 0, sum(filter(
Master_Mapping_Sheet!$E$2:$E$3143, ISNUMBER(
Master_Mapping_Sheet!$E$2:$E$3143),
Master_Mapping_Sheet!$H$2:$H$3143=O$1,
Master_Mapping_Sheet!$I$2:$I$3143=$A9))/sum(filter(
Master_M"&amp;"apping_Sheet!$E$2:$E$3143, ISNUMBER(
Master_Mapping_Sheet!$E$2:$E$3143),
Master_Mapping_Sheet!$I$2:$I$3143=$A9)))"),0.0)</f>
        <v>0</v>
      </c>
      <c r="P9" s="32">
        <f>IFERROR(__xludf.DUMMYFUNCTION("IF(ISNA(sum(filter(
Master_Mapping_Sheet!$E$2:$E$3143, ISNUMBER(
Master_Mapping_Sheet!$E$2:$E$3143),
Master_Mapping_Sheet!$H$2:$H$3143=P$1,
Master_Mapping_Sheet!$I$2:$I$3143=$A9))/sum(filter(
Master_Mapping_Sheet!$E$2:$E$3143, ISNUMBER(
Master_Mapping_She"&amp;"et!$E$2:$E$3143),
Master_Mapping_Sheet!$I$2:$I$3143=$A9))), 0, sum(filter(
Master_Mapping_Sheet!$E$2:$E$3143, ISNUMBER(
Master_Mapping_Sheet!$E$2:$E$3143),
Master_Mapping_Sheet!$H$2:$H$3143=P$1,
Master_Mapping_Sheet!$I$2:$I$3143=$A9))/sum(filter(
Master_M"&amp;"apping_Sheet!$E$2:$E$3143, ISNUMBER(
Master_Mapping_Sheet!$E$2:$E$3143),
Master_Mapping_Sheet!$I$2:$I$3143=$A9)))"),0.0)</f>
        <v>0</v>
      </c>
      <c r="Q9" s="32">
        <f>IFERROR(__xludf.DUMMYFUNCTION("IF(ISNA(sum(filter(
Master_Mapping_Sheet!$E$2:$E$3143, ISNUMBER(
Master_Mapping_Sheet!$E$2:$E$3143),
Master_Mapping_Sheet!$H$2:$H$3143=Q$1,
Master_Mapping_Sheet!$I$2:$I$3143=$A9))/sum(filter(
Master_Mapping_Sheet!$E$2:$E$3143, ISNUMBER(
Master_Mapping_She"&amp;"et!$E$2:$E$3143),
Master_Mapping_Sheet!$I$2:$I$3143=$A9))), 0, sum(filter(
Master_Mapping_Sheet!$E$2:$E$3143, ISNUMBER(
Master_Mapping_Sheet!$E$2:$E$3143),
Master_Mapping_Sheet!$H$2:$H$3143=Q$1,
Master_Mapping_Sheet!$I$2:$I$3143=$A9))/sum(filter(
Master_M"&amp;"apping_Sheet!$E$2:$E$3143, ISNUMBER(
Master_Mapping_Sheet!$E$2:$E$3143),
Master_Mapping_Sheet!$I$2:$I$3143=$A9)))"),0.0)</f>
        <v>0</v>
      </c>
      <c r="R9" s="32">
        <f>IFERROR(__xludf.DUMMYFUNCTION("IF(ISNA(sum(filter(
Master_Mapping_Sheet!$E$2:$E$3143, ISNUMBER(
Master_Mapping_Sheet!$E$2:$E$3143),
Master_Mapping_Sheet!$H$2:$H$3143=R$1,
Master_Mapping_Sheet!$I$2:$I$3143=$A9))/sum(filter(
Master_Mapping_Sheet!$E$2:$E$3143, ISNUMBER(
Master_Mapping_She"&amp;"et!$E$2:$E$3143),
Master_Mapping_Sheet!$I$2:$I$3143=$A9))), 0, sum(filter(
Master_Mapping_Sheet!$E$2:$E$3143, ISNUMBER(
Master_Mapping_Sheet!$E$2:$E$3143),
Master_Mapping_Sheet!$H$2:$H$3143=R$1,
Master_Mapping_Sheet!$I$2:$I$3143=$A9))/sum(filter(
Master_M"&amp;"apping_Sheet!$E$2:$E$3143, ISNUMBER(
Master_Mapping_Sheet!$E$2:$E$3143),
Master_Mapping_Sheet!$I$2:$I$3143=$A9)))"),0.010516692765010306)</f>
        <v>0.01051669277</v>
      </c>
      <c r="S9" s="32">
        <f>IFERROR(__xludf.DUMMYFUNCTION("IF(ISNA(sum(filter(
Master_Mapping_Sheet!$E$2:$E$3143, ISNUMBER(
Master_Mapping_Sheet!$E$2:$E$3143),
Master_Mapping_Sheet!$H$2:$H$3143=S$1,
Master_Mapping_Sheet!$I$2:$I$3143=$A9))/sum(filter(
Master_Mapping_Sheet!$E$2:$E$3143, ISNUMBER(
Master_Mapping_She"&amp;"et!$E$2:$E$3143),
Master_Mapping_Sheet!$I$2:$I$3143=$A9))), 0, sum(filter(
Master_Mapping_Sheet!$E$2:$E$3143, ISNUMBER(
Master_Mapping_Sheet!$E$2:$E$3143),
Master_Mapping_Sheet!$H$2:$H$3143=S$1,
Master_Mapping_Sheet!$I$2:$I$3143=$A9))/sum(filter(
Master_M"&amp;"apping_Sheet!$E$2:$E$3143, ISNUMBER(
Master_Mapping_Sheet!$E$2:$E$3143),
Master_Mapping_Sheet!$I$2:$I$3143=$A9)))"),0.0)</f>
        <v>0</v>
      </c>
      <c r="T9" s="32">
        <f>IFERROR(__xludf.DUMMYFUNCTION("IF(ISNA(sum(filter(
Master_Mapping_Sheet!$E$2:$E$3143, ISNUMBER(
Master_Mapping_Sheet!$E$2:$E$3143),
Master_Mapping_Sheet!$H$2:$H$3143=T$1,
Master_Mapping_Sheet!$I$2:$I$3143=$A9))/sum(filter(
Master_Mapping_Sheet!$E$2:$E$3143, ISNUMBER(
Master_Mapping_She"&amp;"et!$E$2:$E$3143),
Master_Mapping_Sheet!$I$2:$I$3143=$A9))), 0, sum(filter(
Master_Mapping_Sheet!$E$2:$E$3143, ISNUMBER(
Master_Mapping_Sheet!$E$2:$E$3143),
Master_Mapping_Sheet!$H$2:$H$3143=T$1,
Master_Mapping_Sheet!$I$2:$I$3143=$A9))/sum(filter(
Master_M"&amp;"apping_Sheet!$E$2:$E$3143, ISNUMBER(
Master_Mapping_Sheet!$E$2:$E$3143),
Master_Mapping_Sheet!$I$2:$I$3143=$A9)))"),0.0013733418932271202)</f>
        <v>0.001373341893</v>
      </c>
      <c r="U9" s="32">
        <f>IFERROR(__xludf.DUMMYFUNCTION("IF(ISNA(sum(filter(
Master_Mapping_Sheet!$E$2:$E$3143, ISNUMBER(
Master_Mapping_Sheet!$E$2:$E$3143),
Master_Mapping_Sheet!$H$2:$H$3143=U$1,
Master_Mapping_Sheet!$I$2:$I$3143=$A9))/sum(filter(
Master_Mapping_Sheet!$E$2:$E$3143, ISNUMBER(
Master_Mapping_She"&amp;"et!$E$2:$E$3143),
Master_Mapping_Sheet!$I$2:$I$3143=$A9))), 0, sum(filter(
Master_Mapping_Sheet!$E$2:$E$3143, ISNUMBER(
Master_Mapping_Sheet!$E$2:$E$3143),
Master_Mapping_Sheet!$H$2:$H$3143=U$1,
Master_Mapping_Sheet!$I$2:$I$3143=$A9))/sum(filter(
Master_M"&amp;"apping_Sheet!$E$2:$E$3143, ISNUMBER(
Master_Mapping_Sheet!$E$2:$E$3143),
Master_Mapping_Sheet!$I$2:$I$3143=$A9)))"),0.3559763781150321)</f>
        <v>0.3559763781</v>
      </c>
      <c r="V9" s="32">
        <f>IFERROR(__xludf.DUMMYFUNCTION("IF(ISNA(sum(filter(
Master_Mapping_Sheet!$E$2:$E$3143, ISNUMBER(
Master_Mapping_Sheet!$E$2:$E$3143),
Master_Mapping_Sheet!$H$2:$H$3143=V$1,
Master_Mapping_Sheet!$I$2:$I$3143=$A9))/sum(filter(
Master_Mapping_Sheet!$E$2:$E$3143, ISNUMBER(
Master_Mapping_She"&amp;"et!$E$2:$E$3143),
Master_Mapping_Sheet!$I$2:$I$3143=$A9))), 0, sum(filter(
Master_Mapping_Sheet!$E$2:$E$3143, ISNUMBER(
Master_Mapping_Sheet!$E$2:$E$3143),
Master_Mapping_Sheet!$H$2:$H$3143=V$1,
Master_Mapping_Sheet!$I$2:$I$3143=$A9))/sum(filter(
Master_M"&amp;"apping_Sheet!$E$2:$E$3143, ISNUMBER(
Master_Mapping_Sheet!$E$2:$E$3143),
Master_Mapping_Sheet!$I$2:$I$3143=$A9)))"),0.0)</f>
        <v>0</v>
      </c>
      <c r="W9" s="32">
        <f>IFERROR(__xludf.DUMMYFUNCTION("IF(ISNA(sum(filter(
Master_Mapping_Sheet!$E$2:$E$3143, ISNUMBER(
Master_Mapping_Sheet!$E$2:$E$3143),
Master_Mapping_Sheet!$H$2:$H$3143=W$1,
Master_Mapping_Sheet!$I$2:$I$3143=$A9))/sum(filter(
Master_Mapping_Sheet!$E$2:$E$3143, ISNUMBER(
Master_Mapping_She"&amp;"et!$E$2:$E$3143),
Master_Mapping_Sheet!$I$2:$I$3143=$A9))), 0, sum(filter(
Master_Mapping_Sheet!$E$2:$E$3143, ISNUMBER(
Master_Mapping_Sheet!$E$2:$E$3143),
Master_Mapping_Sheet!$H$2:$H$3143=W$1,
Master_Mapping_Sheet!$I$2:$I$3143=$A9))/sum(filter(
Master_M"&amp;"apping_Sheet!$E$2:$E$3143, ISNUMBER(
Master_Mapping_Sheet!$E$2:$E$3143),
Master_Mapping_Sheet!$I$2:$I$3143=$A9)))"),0.0)</f>
        <v>0</v>
      </c>
      <c r="X9" s="32">
        <f>IFERROR(__xludf.DUMMYFUNCTION("IF(ISNA(sum(filter(
Master_Mapping_Sheet!$E$2:$E$3143, ISNUMBER(
Master_Mapping_Sheet!$E$2:$E$3143),
Master_Mapping_Sheet!$H$2:$H$3143=X$1,
Master_Mapping_Sheet!$I$2:$I$3143=$A9))/sum(filter(
Master_Mapping_Sheet!$E$2:$E$3143, ISNUMBER(
Master_Mapping_She"&amp;"et!$E$2:$E$3143),
Master_Mapping_Sheet!$I$2:$I$3143=$A9))), 0, sum(filter(
Master_Mapping_Sheet!$E$2:$E$3143, ISNUMBER(
Master_Mapping_Sheet!$E$2:$E$3143),
Master_Mapping_Sheet!$H$2:$H$3143=X$1,
Master_Mapping_Sheet!$I$2:$I$3143=$A9))/sum(filter(
Master_M"&amp;"apping_Sheet!$E$2:$E$3143, ISNUMBER(
Master_Mapping_Sheet!$E$2:$E$3143),
Master_Mapping_Sheet!$I$2:$I$3143=$A9)))"),0.056905808375293535)</f>
        <v>0.05690580838</v>
      </c>
      <c r="Y9" s="32">
        <f>IFERROR(__xludf.DUMMYFUNCTION("IF(ISNA(sum(filter(
Master_Mapping_Sheet!$E$2:$E$3143, ISNUMBER(
Master_Mapping_Sheet!$E$2:$E$3143),
Master_Mapping_Sheet!$H$2:$H$3143=Y$1,
Master_Mapping_Sheet!$I$2:$I$3143=$A9))/sum(filter(
Master_Mapping_Sheet!$E$2:$E$3143, ISNUMBER(
Master_Mapping_She"&amp;"et!$E$2:$E$3143),
Master_Mapping_Sheet!$I$2:$I$3143=$A9))), 0, sum(filter(
Master_Mapping_Sheet!$E$2:$E$3143, ISNUMBER(
Master_Mapping_Sheet!$E$2:$E$3143),
Master_Mapping_Sheet!$H$2:$H$3143=Y$1,
Master_Mapping_Sheet!$I$2:$I$3143=$A9))/sum(filter(
Master_M"&amp;"apping_Sheet!$E$2:$E$3143, ISNUMBER(
Master_Mapping_Sheet!$E$2:$E$3143),
Master_Mapping_Sheet!$I$2:$I$3143=$A9)))"),0.2441223510051589)</f>
        <v>0.244122351</v>
      </c>
      <c r="Z9" s="32">
        <f>IFERROR(__xludf.DUMMYFUNCTION("IF(ISNA(sum(filter(
Master_Mapping_Sheet!$E$2:$E$3143, ISNUMBER(
Master_Mapping_Sheet!$E$2:$E$3143),
Master_Mapping_Sheet!$H$2:$H$3143=Z$1,
Master_Mapping_Sheet!$I$2:$I$3143=$A9))/sum(filter(
Master_Mapping_Sheet!$E$2:$E$3143, ISNUMBER(
Master_Mapping_She"&amp;"et!$E$2:$E$3143),
Master_Mapping_Sheet!$I$2:$I$3143=$A9))), 0, sum(filter(
Master_Mapping_Sheet!$E$2:$E$3143, ISNUMBER(
Master_Mapping_Sheet!$E$2:$E$3143),
Master_Mapping_Sheet!$H$2:$H$3143=Z$1,
Master_Mapping_Sheet!$I$2:$I$3143=$A9))/sum(filter(
Master_M"&amp;"apping_Sheet!$E$2:$E$3143, ISNUMBER(
Master_Mapping_Sheet!$E$2:$E$3143),
Master_Mapping_Sheet!$I$2:$I$3143=$A9)))"),0.3308407373692636)</f>
        <v>0.3308407374</v>
      </c>
    </row>
    <row r="10" ht="15.75" customHeight="1">
      <c r="A10" s="32">
        <v>9.0</v>
      </c>
      <c r="B10" s="34">
        <f>IFERROR(__xludf.DUMMYFUNCTION("IF(ISNA(sum(filter(
Master_Mapping_Sheet!$E$2:$E$3143, ISNUMBER(
Master_Mapping_Sheet!$E$2:$E$3143),
Master_Mapping_Sheet!$H$2:$H$3143=B$1,
Master_Mapping_Sheet!$I$2:$I$3143=$A10))/sum(filter(
Master_Mapping_Sheet!$E$2:$E$3143, ISNUMBER(
Master_Mapping_Sh"&amp;"eet!$E$2:$E$3143),
Master_Mapping_Sheet!$I$2:$I$3143=$A10))), 0, sum(filter(
Master_Mapping_Sheet!$E$2:$E$3143, ISNUMBER(
Master_Mapping_Sheet!$E$2:$E$3143),
Master_Mapping_Sheet!$H$2:$H$3143=B$1,
Master_Mapping_Sheet!$I$2:$I$3143=$A10))/sum(filter(
Maste"&amp;"r_Mapping_Sheet!$E$2:$E$3143, ISNUMBER(
Master_Mapping_Sheet!$E$2:$E$3143),
Master_Mapping_Sheet!$I$2:$I$3143=$A10)))"),0.0)</f>
        <v>0</v>
      </c>
      <c r="C10" s="34">
        <f>IFERROR(__xludf.DUMMYFUNCTION("IF(ISNA(sum(filter(
Master_Mapping_Sheet!$E$2:$E$3143, ISNUMBER(
Master_Mapping_Sheet!$E$2:$E$3143),
Master_Mapping_Sheet!$H$2:$H$3143=C$1,
Master_Mapping_Sheet!$I$2:$I$3143=$A10))/sum(filter(
Master_Mapping_Sheet!$E$2:$E$3143, ISNUMBER(
Master_Mapping_Sh"&amp;"eet!$E$2:$E$3143),
Master_Mapping_Sheet!$I$2:$I$3143=$A10))), 0, sum(filter(
Master_Mapping_Sheet!$E$2:$E$3143, ISNUMBER(
Master_Mapping_Sheet!$E$2:$E$3143),
Master_Mapping_Sheet!$H$2:$H$3143=C$1,
Master_Mapping_Sheet!$I$2:$I$3143=$A10))/sum(filter(
Maste"&amp;"r_Mapping_Sheet!$E$2:$E$3143, ISNUMBER(
Master_Mapping_Sheet!$E$2:$E$3143),
Master_Mapping_Sheet!$I$2:$I$3143=$A10)))"),0.0)</f>
        <v>0</v>
      </c>
      <c r="D10" s="34">
        <f>IFERROR(__xludf.DUMMYFUNCTION("IF(ISNA(sum(filter(
Master_Mapping_Sheet!$E$2:$E$3143, ISNUMBER(
Master_Mapping_Sheet!$E$2:$E$3143),
Master_Mapping_Sheet!$H$2:$H$3143=D$1,
Master_Mapping_Sheet!$I$2:$I$3143=$A10))/sum(filter(
Master_Mapping_Sheet!$E$2:$E$3143, ISNUMBER(
Master_Mapping_Sh"&amp;"eet!$E$2:$E$3143),
Master_Mapping_Sheet!$I$2:$I$3143=$A10))), 0, sum(filter(
Master_Mapping_Sheet!$E$2:$E$3143, ISNUMBER(
Master_Mapping_Sheet!$E$2:$E$3143),
Master_Mapping_Sheet!$H$2:$H$3143=D$1,
Master_Mapping_Sheet!$I$2:$I$3143=$A10))/sum(filter(
Maste"&amp;"r_Mapping_Sheet!$E$2:$E$3143, ISNUMBER(
Master_Mapping_Sheet!$E$2:$E$3143),
Master_Mapping_Sheet!$I$2:$I$3143=$A10)))"),0.0)</f>
        <v>0</v>
      </c>
      <c r="E10" s="34">
        <f>IFERROR(__xludf.DUMMYFUNCTION("IF(ISNA(sum(filter(
Master_Mapping_Sheet!$E$2:$E$3143, ISNUMBER(
Master_Mapping_Sheet!$E$2:$E$3143),
Master_Mapping_Sheet!$H$2:$H$3143=E$1,
Master_Mapping_Sheet!$I$2:$I$3143=$A10))/sum(filter(
Master_Mapping_Sheet!$E$2:$E$3143, ISNUMBER(
Master_Mapping_Sh"&amp;"eet!$E$2:$E$3143),
Master_Mapping_Sheet!$I$2:$I$3143=$A10))), 0, sum(filter(
Master_Mapping_Sheet!$E$2:$E$3143, ISNUMBER(
Master_Mapping_Sheet!$E$2:$E$3143),
Master_Mapping_Sheet!$H$2:$H$3143=E$1,
Master_Mapping_Sheet!$I$2:$I$3143=$A10))/sum(filter(
Maste"&amp;"r_Mapping_Sheet!$E$2:$E$3143, ISNUMBER(
Master_Mapping_Sheet!$E$2:$E$3143),
Master_Mapping_Sheet!$I$2:$I$3143=$A10)))"),0.0)</f>
        <v>0</v>
      </c>
      <c r="F10" s="34">
        <f>IFERROR(__xludf.DUMMYFUNCTION("IF(ISNA(sum(filter(
Master_Mapping_Sheet!$E$2:$E$3143, ISNUMBER(
Master_Mapping_Sheet!$E$2:$E$3143),
Master_Mapping_Sheet!$H$2:$H$3143=F$1,
Master_Mapping_Sheet!$I$2:$I$3143=$A10))/sum(filter(
Master_Mapping_Sheet!$E$2:$E$3143, ISNUMBER(
Master_Mapping_Sh"&amp;"eet!$E$2:$E$3143),
Master_Mapping_Sheet!$I$2:$I$3143=$A10))), 0, sum(filter(
Master_Mapping_Sheet!$E$2:$E$3143, ISNUMBER(
Master_Mapping_Sheet!$E$2:$E$3143),
Master_Mapping_Sheet!$H$2:$H$3143=F$1,
Master_Mapping_Sheet!$I$2:$I$3143=$A10))/sum(filter(
Maste"&amp;"r_Mapping_Sheet!$E$2:$E$3143, ISNUMBER(
Master_Mapping_Sheet!$E$2:$E$3143),
Master_Mapping_Sheet!$I$2:$I$3143=$A10)))"),0.0)</f>
        <v>0</v>
      </c>
      <c r="G10" s="34">
        <f>IFERROR(__xludf.DUMMYFUNCTION("IF(ISNA(sum(filter(
Master_Mapping_Sheet!$E$2:$E$3143, ISNUMBER(
Master_Mapping_Sheet!$E$2:$E$3143),
Master_Mapping_Sheet!$H$2:$H$3143=G$1,
Master_Mapping_Sheet!$I$2:$I$3143=$A10))/sum(filter(
Master_Mapping_Sheet!$E$2:$E$3143, ISNUMBER(
Master_Mapping_Sh"&amp;"eet!$E$2:$E$3143),
Master_Mapping_Sheet!$I$2:$I$3143=$A10))), 0, sum(filter(
Master_Mapping_Sheet!$E$2:$E$3143, ISNUMBER(
Master_Mapping_Sheet!$E$2:$E$3143),
Master_Mapping_Sheet!$H$2:$H$3143=G$1,
Master_Mapping_Sheet!$I$2:$I$3143=$A10))/sum(filter(
Maste"&amp;"r_Mapping_Sheet!$E$2:$E$3143, ISNUMBER(
Master_Mapping_Sheet!$E$2:$E$3143),
Master_Mapping_Sheet!$I$2:$I$3143=$A10)))"),0.0)</f>
        <v>0</v>
      </c>
      <c r="H10" s="34">
        <f>IFERROR(__xludf.DUMMYFUNCTION("IF(ISNA(sum(filter(
Master_Mapping_Sheet!$E$2:$E$3143, ISNUMBER(
Master_Mapping_Sheet!$E$2:$E$3143),
Master_Mapping_Sheet!$H$2:$H$3143=H$1,
Master_Mapping_Sheet!$I$2:$I$3143=$A10))/sum(filter(
Master_Mapping_Sheet!$E$2:$E$3143, ISNUMBER(
Master_Mapping_Sh"&amp;"eet!$E$2:$E$3143),
Master_Mapping_Sheet!$I$2:$I$3143=$A10))), 0, sum(filter(
Master_Mapping_Sheet!$E$2:$E$3143, ISNUMBER(
Master_Mapping_Sheet!$E$2:$E$3143),
Master_Mapping_Sheet!$H$2:$H$3143=H$1,
Master_Mapping_Sheet!$I$2:$I$3143=$A10))/sum(filter(
Maste"&amp;"r_Mapping_Sheet!$E$2:$E$3143, ISNUMBER(
Master_Mapping_Sheet!$E$2:$E$3143),
Master_Mapping_Sheet!$I$2:$I$3143=$A10)))"),0.0)</f>
        <v>0</v>
      </c>
      <c r="I10" s="34">
        <f>IFERROR(__xludf.DUMMYFUNCTION("IF(ISNA(sum(filter(
Master_Mapping_Sheet!$E$2:$E$3143, ISNUMBER(
Master_Mapping_Sheet!$E$2:$E$3143),
Master_Mapping_Sheet!$H$2:$H$3143=I$1,
Master_Mapping_Sheet!$I$2:$I$3143=$A10))/sum(filter(
Master_Mapping_Sheet!$E$2:$E$3143, ISNUMBER(
Master_Mapping_Sh"&amp;"eet!$E$2:$E$3143),
Master_Mapping_Sheet!$I$2:$I$3143=$A10))), 0, sum(filter(
Master_Mapping_Sheet!$E$2:$E$3143, ISNUMBER(
Master_Mapping_Sheet!$E$2:$E$3143),
Master_Mapping_Sheet!$H$2:$H$3143=I$1,
Master_Mapping_Sheet!$I$2:$I$3143=$A10))/sum(filter(
Maste"&amp;"r_Mapping_Sheet!$E$2:$E$3143, ISNUMBER(
Master_Mapping_Sheet!$E$2:$E$3143),
Master_Mapping_Sheet!$I$2:$I$3143=$A10)))"),0.0)</f>
        <v>0</v>
      </c>
      <c r="J10" s="34">
        <f>IFERROR(__xludf.DUMMYFUNCTION("IF(ISNA(sum(filter(
Master_Mapping_Sheet!$E$2:$E$3143, ISNUMBER(
Master_Mapping_Sheet!$E$2:$E$3143),
Master_Mapping_Sheet!$H$2:$H$3143=J$1,
Master_Mapping_Sheet!$I$2:$I$3143=$A10))/sum(filter(
Master_Mapping_Sheet!$E$2:$E$3143, ISNUMBER(
Master_Mapping_Sh"&amp;"eet!$E$2:$E$3143),
Master_Mapping_Sheet!$I$2:$I$3143=$A10))), 0, sum(filter(
Master_Mapping_Sheet!$E$2:$E$3143, ISNUMBER(
Master_Mapping_Sheet!$E$2:$E$3143),
Master_Mapping_Sheet!$H$2:$H$3143=J$1,
Master_Mapping_Sheet!$I$2:$I$3143=$A10))/sum(filter(
Maste"&amp;"r_Mapping_Sheet!$E$2:$E$3143, ISNUMBER(
Master_Mapping_Sheet!$E$2:$E$3143),
Master_Mapping_Sheet!$I$2:$I$3143=$A10)))"),0.0)</f>
        <v>0</v>
      </c>
      <c r="K10" s="34">
        <f>IFERROR(__xludf.DUMMYFUNCTION("IF(ISNA(sum(filter(
Master_Mapping_Sheet!$E$2:$E$3143, ISNUMBER(
Master_Mapping_Sheet!$E$2:$E$3143),
Master_Mapping_Sheet!$H$2:$H$3143=K$1,
Master_Mapping_Sheet!$I$2:$I$3143=$A10))/sum(filter(
Master_Mapping_Sheet!$E$2:$E$3143, ISNUMBER(
Master_Mapping_Sh"&amp;"eet!$E$2:$E$3143),
Master_Mapping_Sheet!$I$2:$I$3143=$A10))), 0, sum(filter(
Master_Mapping_Sheet!$E$2:$E$3143, ISNUMBER(
Master_Mapping_Sheet!$E$2:$E$3143),
Master_Mapping_Sheet!$H$2:$H$3143=K$1,
Master_Mapping_Sheet!$I$2:$I$3143=$A10))/sum(filter(
Maste"&amp;"r_Mapping_Sheet!$E$2:$E$3143, ISNUMBER(
Master_Mapping_Sheet!$E$2:$E$3143),
Master_Mapping_Sheet!$I$2:$I$3143=$A10)))"),0.0)</f>
        <v>0</v>
      </c>
      <c r="L10" s="34">
        <f>IFERROR(__xludf.DUMMYFUNCTION("IF(ISNA(sum(filter(
Master_Mapping_Sheet!$E$2:$E$3143, ISNUMBER(
Master_Mapping_Sheet!$E$2:$E$3143),
Master_Mapping_Sheet!$H$2:$H$3143=L$1,
Master_Mapping_Sheet!$I$2:$I$3143=$A10))/sum(filter(
Master_Mapping_Sheet!$E$2:$E$3143, ISNUMBER(
Master_Mapping_Sh"&amp;"eet!$E$2:$E$3143),
Master_Mapping_Sheet!$I$2:$I$3143=$A10))), 0, sum(filter(
Master_Mapping_Sheet!$E$2:$E$3143, ISNUMBER(
Master_Mapping_Sheet!$E$2:$E$3143),
Master_Mapping_Sheet!$H$2:$H$3143=L$1,
Master_Mapping_Sheet!$I$2:$I$3143=$A10))/sum(filter(
Maste"&amp;"r_Mapping_Sheet!$E$2:$E$3143, ISNUMBER(
Master_Mapping_Sheet!$E$2:$E$3143),
Master_Mapping_Sheet!$I$2:$I$3143=$A10)))"),0.0)</f>
        <v>0</v>
      </c>
      <c r="M10" s="34">
        <f>IFERROR(__xludf.DUMMYFUNCTION("IF(ISNA(sum(filter(
Master_Mapping_Sheet!$E$2:$E$3143, ISNUMBER(
Master_Mapping_Sheet!$E$2:$E$3143),
Master_Mapping_Sheet!$H$2:$H$3143=M$1,
Master_Mapping_Sheet!$I$2:$I$3143=$A10))/sum(filter(
Master_Mapping_Sheet!$E$2:$E$3143, ISNUMBER(
Master_Mapping_Sh"&amp;"eet!$E$2:$E$3143),
Master_Mapping_Sheet!$I$2:$I$3143=$A10))), 0, sum(filter(
Master_Mapping_Sheet!$E$2:$E$3143, ISNUMBER(
Master_Mapping_Sheet!$E$2:$E$3143),
Master_Mapping_Sheet!$H$2:$H$3143=M$1,
Master_Mapping_Sheet!$I$2:$I$3143=$A10))/sum(filter(
Maste"&amp;"r_Mapping_Sheet!$E$2:$E$3143, ISNUMBER(
Master_Mapping_Sheet!$E$2:$E$3143),
Master_Mapping_Sheet!$I$2:$I$3143=$A10)))"),0.0)</f>
        <v>0</v>
      </c>
      <c r="N10" s="34">
        <f>IFERROR(__xludf.DUMMYFUNCTION("IF(ISNA(sum(filter(
Master_Mapping_Sheet!$E$2:$E$3143, ISNUMBER(
Master_Mapping_Sheet!$E$2:$E$3143),
Master_Mapping_Sheet!$H$2:$H$3143=N$1,
Master_Mapping_Sheet!$I$2:$I$3143=$A10))/sum(filter(
Master_Mapping_Sheet!$E$2:$E$3143, ISNUMBER(
Master_Mapping_Sh"&amp;"eet!$E$2:$E$3143),
Master_Mapping_Sheet!$I$2:$I$3143=$A10))), 0, sum(filter(
Master_Mapping_Sheet!$E$2:$E$3143, ISNUMBER(
Master_Mapping_Sheet!$E$2:$E$3143),
Master_Mapping_Sheet!$H$2:$H$3143=N$1,
Master_Mapping_Sheet!$I$2:$I$3143=$A10))/sum(filter(
Maste"&amp;"r_Mapping_Sheet!$E$2:$E$3143, ISNUMBER(
Master_Mapping_Sheet!$E$2:$E$3143),
Master_Mapping_Sheet!$I$2:$I$3143=$A10)))"),0.0)</f>
        <v>0</v>
      </c>
      <c r="O10" s="34">
        <f>IFERROR(__xludf.DUMMYFUNCTION("IF(ISNA(sum(filter(
Master_Mapping_Sheet!$E$2:$E$3143, ISNUMBER(
Master_Mapping_Sheet!$E$2:$E$3143),
Master_Mapping_Sheet!$H$2:$H$3143=O$1,
Master_Mapping_Sheet!$I$2:$I$3143=$A10))/sum(filter(
Master_Mapping_Sheet!$E$2:$E$3143, ISNUMBER(
Master_Mapping_Sh"&amp;"eet!$E$2:$E$3143),
Master_Mapping_Sheet!$I$2:$I$3143=$A10))), 0, sum(filter(
Master_Mapping_Sheet!$E$2:$E$3143, ISNUMBER(
Master_Mapping_Sheet!$E$2:$E$3143),
Master_Mapping_Sheet!$H$2:$H$3143=O$1,
Master_Mapping_Sheet!$I$2:$I$3143=$A10))/sum(filter(
Maste"&amp;"r_Mapping_Sheet!$E$2:$E$3143, ISNUMBER(
Master_Mapping_Sheet!$E$2:$E$3143),
Master_Mapping_Sheet!$I$2:$I$3143=$A10)))"),0.0)</f>
        <v>0</v>
      </c>
      <c r="P10" s="34">
        <f>IFERROR(__xludf.DUMMYFUNCTION("IF(ISNA(sum(filter(
Master_Mapping_Sheet!$E$2:$E$3143, ISNUMBER(
Master_Mapping_Sheet!$E$2:$E$3143),
Master_Mapping_Sheet!$H$2:$H$3143=P$1,
Master_Mapping_Sheet!$I$2:$I$3143=$A10))/sum(filter(
Master_Mapping_Sheet!$E$2:$E$3143, ISNUMBER(
Master_Mapping_Sh"&amp;"eet!$E$2:$E$3143),
Master_Mapping_Sheet!$I$2:$I$3143=$A10))), 0, sum(filter(
Master_Mapping_Sheet!$E$2:$E$3143, ISNUMBER(
Master_Mapping_Sheet!$E$2:$E$3143),
Master_Mapping_Sheet!$H$2:$H$3143=P$1,
Master_Mapping_Sheet!$I$2:$I$3143=$A10))/sum(filter(
Maste"&amp;"r_Mapping_Sheet!$E$2:$E$3143, ISNUMBER(
Master_Mapping_Sheet!$E$2:$E$3143),
Master_Mapping_Sheet!$I$2:$I$3143=$A10)))"),0.0)</f>
        <v>0</v>
      </c>
      <c r="Q10" s="34">
        <f>IFERROR(__xludf.DUMMYFUNCTION("IF(ISNA(sum(filter(
Master_Mapping_Sheet!$E$2:$E$3143, ISNUMBER(
Master_Mapping_Sheet!$E$2:$E$3143),
Master_Mapping_Sheet!$H$2:$H$3143=Q$1,
Master_Mapping_Sheet!$I$2:$I$3143=$A10))/sum(filter(
Master_Mapping_Sheet!$E$2:$E$3143, ISNUMBER(
Master_Mapping_Sh"&amp;"eet!$E$2:$E$3143),
Master_Mapping_Sheet!$I$2:$I$3143=$A10))), 0, sum(filter(
Master_Mapping_Sheet!$E$2:$E$3143, ISNUMBER(
Master_Mapping_Sheet!$E$2:$E$3143),
Master_Mapping_Sheet!$H$2:$H$3143=Q$1,
Master_Mapping_Sheet!$I$2:$I$3143=$A10))/sum(filter(
Maste"&amp;"r_Mapping_Sheet!$E$2:$E$3143, ISNUMBER(
Master_Mapping_Sheet!$E$2:$E$3143),
Master_Mapping_Sheet!$I$2:$I$3143=$A10)))"),0.0)</f>
        <v>0</v>
      </c>
      <c r="R10" s="34">
        <f>IFERROR(__xludf.DUMMYFUNCTION("IF(ISNA(sum(filter(
Master_Mapping_Sheet!$E$2:$E$3143, ISNUMBER(
Master_Mapping_Sheet!$E$2:$E$3143),
Master_Mapping_Sheet!$H$2:$H$3143=R$1,
Master_Mapping_Sheet!$I$2:$I$3143=$A10))/sum(filter(
Master_Mapping_Sheet!$E$2:$E$3143, ISNUMBER(
Master_Mapping_Sh"&amp;"eet!$E$2:$E$3143),
Master_Mapping_Sheet!$I$2:$I$3143=$A10))), 0, sum(filter(
Master_Mapping_Sheet!$E$2:$E$3143, ISNUMBER(
Master_Mapping_Sheet!$E$2:$E$3143),
Master_Mapping_Sheet!$H$2:$H$3143=R$1,
Master_Mapping_Sheet!$I$2:$I$3143=$A10))/sum(filter(
Maste"&amp;"r_Mapping_Sheet!$E$2:$E$3143, ISNUMBER(
Master_Mapping_Sheet!$E$2:$E$3143),
Master_Mapping_Sheet!$I$2:$I$3143=$A10)))"),0.0)</f>
        <v>0</v>
      </c>
      <c r="S10" s="34">
        <f>IFERROR(__xludf.DUMMYFUNCTION("IF(ISNA(sum(filter(
Master_Mapping_Sheet!$E$2:$E$3143, ISNUMBER(
Master_Mapping_Sheet!$E$2:$E$3143),
Master_Mapping_Sheet!$H$2:$H$3143=S$1,
Master_Mapping_Sheet!$I$2:$I$3143=$A10))/sum(filter(
Master_Mapping_Sheet!$E$2:$E$3143, ISNUMBER(
Master_Mapping_Sh"&amp;"eet!$E$2:$E$3143),
Master_Mapping_Sheet!$I$2:$I$3143=$A10))), 0, sum(filter(
Master_Mapping_Sheet!$E$2:$E$3143, ISNUMBER(
Master_Mapping_Sheet!$E$2:$E$3143),
Master_Mapping_Sheet!$H$2:$H$3143=S$1,
Master_Mapping_Sheet!$I$2:$I$3143=$A10))/sum(filter(
Maste"&amp;"r_Mapping_Sheet!$E$2:$E$3143, ISNUMBER(
Master_Mapping_Sheet!$E$2:$E$3143),
Master_Mapping_Sheet!$I$2:$I$3143=$A10)))"),0.0)</f>
        <v>0</v>
      </c>
      <c r="T10" s="34">
        <f>IFERROR(__xludf.DUMMYFUNCTION("IF(ISNA(sum(filter(
Master_Mapping_Sheet!$E$2:$E$3143, ISNUMBER(
Master_Mapping_Sheet!$E$2:$E$3143),
Master_Mapping_Sheet!$H$2:$H$3143=T$1,
Master_Mapping_Sheet!$I$2:$I$3143=$A10))/sum(filter(
Master_Mapping_Sheet!$E$2:$E$3143, ISNUMBER(
Master_Mapping_Sh"&amp;"eet!$E$2:$E$3143),
Master_Mapping_Sheet!$I$2:$I$3143=$A10))), 0, sum(filter(
Master_Mapping_Sheet!$E$2:$E$3143, ISNUMBER(
Master_Mapping_Sheet!$E$2:$E$3143),
Master_Mapping_Sheet!$H$2:$H$3143=T$1,
Master_Mapping_Sheet!$I$2:$I$3143=$A10))/sum(filter(
Maste"&amp;"r_Mapping_Sheet!$E$2:$E$3143, ISNUMBER(
Master_Mapping_Sheet!$E$2:$E$3143),
Master_Mapping_Sheet!$I$2:$I$3143=$A10)))"),0.0)</f>
        <v>0</v>
      </c>
      <c r="U10" s="34">
        <f>IFERROR(__xludf.DUMMYFUNCTION("IF(ISNA(sum(filter(
Master_Mapping_Sheet!$E$2:$E$3143, ISNUMBER(
Master_Mapping_Sheet!$E$2:$E$3143),
Master_Mapping_Sheet!$H$2:$H$3143=U$1,
Master_Mapping_Sheet!$I$2:$I$3143=$A10))/sum(filter(
Master_Mapping_Sheet!$E$2:$E$3143, ISNUMBER(
Master_Mapping_Sh"&amp;"eet!$E$2:$E$3143),
Master_Mapping_Sheet!$I$2:$I$3143=$A10))), 0, sum(filter(
Master_Mapping_Sheet!$E$2:$E$3143, ISNUMBER(
Master_Mapping_Sheet!$E$2:$E$3143),
Master_Mapping_Sheet!$H$2:$H$3143=U$1,
Master_Mapping_Sheet!$I$2:$I$3143=$A10))/sum(filter(
Maste"&amp;"r_Mapping_Sheet!$E$2:$E$3143, ISNUMBER(
Master_Mapping_Sheet!$E$2:$E$3143),
Master_Mapping_Sheet!$I$2:$I$3143=$A10)))"),0.0033670157131662224)</f>
        <v>0.003367015713</v>
      </c>
      <c r="V10" s="34">
        <f>IFERROR(__xludf.DUMMYFUNCTION("IF(ISNA(sum(filter(
Master_Mapping_Sheet!$E$2:$E$3143, ISNUMBER(
Master_Mapping_Sheet!$E$2:$E$3143),
Master_Mapping_Sheet!$H$2:$H$3143=V$1,
Master_Mapping_Sheet!$I$2:$I$3143=$A10))/sum(filter(
Master_Mapping_Sheet!$E$2:$E$3143, ISNUMBER(
Master_Mapping_Sh"&amp;"eet!$E$2:$E$3143),
Master_Mapping_Sheet!$I$2:$I$3143=$A10))), 0, sum(filter(
Master_Mapping_Sheet!$E$2:$E$3143, ISNUMBER(
Master_Mapping_Sheet!$E$2:$E$3143),
Master_Mapping_Sheet!$H$2:$H$3143=V$1,
Master_Mapping_Sheet!$I$2:$I$3143=$A10))/sum(filter(
Maste"&amp;"r_Mapping_Sheet!$E$2:$E$3143, ISNUMBER(
Master_Mapping_Sheet!$E$2:$E$3143),
Master_Mapping_Sheet!$I$2:$I$3143=$A10)))"),0.29461756991864607)</f>
        <v>0.2946175699</v>
      </c>
      <c r="W10" s="34">
        <f>IFERROR(__xludf.DUMMYFUNCTION("IF(ISNA(sum(filter(
Master_Mapping_Sheet!$E$2:$E$3143, ISNUMBER(
Master_Mapping_Sheet!$E$2:$E$3143),
Master_Mapping_Sheet!$H$2:$H$3143=W$1,
Master_Mapping_Sheet!$I$2:$I$3143=$A10))/sum(filter(
Master_Mapping_Sheet!$E$2:$E$3143, ISNUMBER(
Master_Mapping_Sh"&amp;"eet!$E$2:$E$3143),
Master_Mapping_Sheet!$I$2:$I$3143=$A10))), 0, sum(filter(
Master_Mapping_Sheet!$E$2:$E$3143, ISNUMBER(
Master_Mapping_Sheet!$E$2:$E$3143),
Master_Mapping_Sheet!$H$2:$H$3143=W$1,
Master_Mapping_Sheet!$I$2:$I$3143=$A10))/sum(filter(
Maste"&amp;"r_Mapping_Sheet!$E$2:$E$3143, ISNUMBER(
Master_Mapping_Sheet!$E$2:$E$3143),
Master_Mapping_Sheet!$I$2:$I$3143=$A10)))"),0.43271365366363057)</f>
        <v>0.4327136537</v>
      </c>
      <c r="X10" s="34">
        <f>IFERROR(__xludf.DUMMYFUNCTION("IF(ISNA(sum(filter(
Master_Mapping_Sheet!$E$2:$E$3143, ISNUMBER(
Master_Mapping_Sheet!$E$2:$E$3143),
Master_Mapping_Sheet!$H$2:$H$3143=X$1,
Master_Mapping_Sheet!$I$2:$I$3143=$A10))/sum(filter(
Master_Mapping_Sheet!$E$2:$E$3143, ISNUMBER(
Master_Mapping_Sh"&amp;"eet!$E$2:$E$3143),
Master_Mapping_Sheet!$I$2:$I$3143=$A10))), 0, sum(filter(
Master_Mapping_Sheet!$E$2:$E$3143, ISNUMBER(
Master_Mapping_Sheet!$E$2:$E$3143),
Master_Mapping_Sheet!$H$2:$H$3143=X$1,
Master_Mapping_Sheet!$I$2:$I$3143=$A10))/sum(filter(
Maste"&amp;"r_Mapping_Sheet!$E$2:$E$3143, ISNUMBER(
Master_Mapping_Sheet!$E$2:$E$3143),
Master_Mapping_Sheet!$I$2:$I$3143=$A10)))"),0.22852865341522768)</f>
        <v>0.2285286534</v>
      </c>
      <c r="Y10" s="34">
        <f>IFERROR(__xludf.DUMMYFUNCTION("IF(ISNA(sum(filter(
Master_Mapping_Sheet!$E$2:$E$3143, ISNUMBER(
Master_Mapping_Sheet!$E$2:$E$3143),
Master_Mapping_Sheet!$H$2:$H$3143=Y$1,
Master_Mapping_Sheet!$I$2:$I$3143=$A10))/sum(filter(
Master_Mapping_Sheet!$E$2:$E$3143, ISNUMBER(
Master_Mapping_Sh"&amp;"eet!$E$2:$E$3143),
Master_Mapping_Sheet!$I$2:$I$3143=$A10))), 0, sum(filter(
Master_Mapping_Sheet!$E$2:$E$3143, ISNUMBER(
Master_Mapping_Sheet!$E$2:$E$3143),
Master_Mapping_Sheet!$H$2:$H$3143=Y$1,
Master_Mapping_Sheet!$I$2:$I$3143=$A10))/sum(filter(
Maste"&amp;"r_Mapping_Sheet!$E$2:$E$3143, ISNUMBER(
Master_Mapping_Sheet!$E$2:$E$3143),
Master_Mapping_Sheet!$I$2:$I$3143=$A10)))"),0.0)</f>
        <v>0</v>
      </c>
      <c r="Z10" s="34">
        <f>IFERROR(__xludf.DUMMYFUNCTION("IF(ISNA(sum(filter(
Master_Mapping_Sheet!$E$2:$E$3143, ISNUMBER(
Master_Mapping_Sheet!$E$2:$E$3143),
Master_Mapping_Sheet!$H$2:$H$3143=Z$1,
Master_Mapping_Sheet!$I$2:$I$3143=$A10))/sum(filter(
Master_Mapping_Sheet!$E$2:$E$3143, ISNUMBER(
Master_Mapping_Sh"&amp;"eet!$E$2:$E$3143),
Master_Mapping_Sheet!$I$2:$I$3143=$A10))), 0, sum(filter(
Master_Mapping_Sheet!$E$2:$E$3143, ISNUMBER(
Master_Mapping_Sheet!$E$2:$E$3143),
Master_Mapping_Sheet!$H$2:$H$3143=Z$1,
Master_Mapping_Sheet!$I$2:$I$3143=$A10))/sum(filter(
Maste"&amp;"r_Mapping_Sheet!$E$2:$E$3143, ISNUMBER(
Master_Mapping_Sheet!$E$2:$E$3143),
Master_Mapping_Sheet!$I$2:$I$3143=$A10)))"),0.0)</f>
        <v>0</v>
      </c>
    </row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32" t="s">
        <v>94</v>
      </c>
      <c r="B1" s="32" t="s">
        <v>4010</v>
      </c>
      <c r="C1" s="32" t="s">
        <v>3989</v>
      </c>
      <c r="D1" s="32" t="s">
        <v>3996</v>
      </c>
      <c r="E1" s="32" t="s">
        <v>3992</v>
      </c>
      <c r="F1" s="32" t="s">
        <v>4003</v>
      </c>
      <c r="G1" s="32" t="s">
        <v>3974</v>
      </c>
      <c r="H1" s="32" t="s">
        <v>3985</v>
      </c>
      <c r="I1" s="32" t="s">
        <v>4006</v>
      </c>
      <c r="J1" s="32" t="s">
        <v>4005</v>
      </c>
      <c r="K1" s="32" t="s">
        <v>3987</v>
      </c>
      <c r="L1" s="32" t="s">
        <v>3997</v>
      </c>
      <c r="M1" s="32" t="s">
        <v>3994</v>
      </c>
      <c r="N1" s="32" t="s">
        <v>3988</v>
      </c>
      <c r="O1" s="32" t="s">
        <v>4009</v>
      </c>
      <c r="P1" s="32" t="s">
        <v>3969</v>
      </c>
      <c r="Q1" s="32" t="s">
        <v>3970</v>
      </c>
      <c r="R1" s="32" t="s">
        <v>3976</v>
      </c>
      <c r="S1" s="32" t="s">
        <v>4001</v>
      </c>
      <c r="T1" s="32" t="s">
        <v>3999</v>
      </c>
      <c r="U1" s="32" t="s">
        <v>3972</v>
      </c>
      <c r="V1" s="32" t="s">
        <v>3979</v>
      </c>
      <c r="W1" s="32" t="s">
        <v>3981</v>
      </c>
      <c r="X1" s="32" t="s">
        <v>3980</v>
      </c>
      <c r="Y1" s="32" t="s">
        <v>3983</v>
      </c>
      <c r="Z1" s="32" t="s">
        <v>3990</v>
      </c>
    </row>
    <row r="2" ht="15.75" customHeight="1">
      <c r="A2" s="32">
        <v>1.0</v>
      </c>
      <c r="B2" s="34">
        <f>IFERROR(__xludf.DUMMYFUNCTION("IF(ISNA(sum(filter(
Master_Mapping_Sheet!$E$2:$E$3143, ISNUMBER(
Master_Mapping_Sheet!$E$2:$E$3143),
Master_Mapping_Sheet!$H$2:$H$3143=B$1,
Master_Mapping_Sheet!$I$2:$I$3143=$A2))/sum(filter(
Master_Mapping_Sheet!$E$2:$E$3143, ISNUMBER(
Master_Mapping_She"&amp;"et!$E$2:$E$3143),
Master_Mapping_Sheet!$H$2:$H$3143=B$1))), 0, sum(filter(
Master_Mapping_Sheet!$E$2:$E$3143, ISNUMBER(
Master_Mapping_Sheet!$E$2:$E$3143),
Master_Mapping_Sheet!$H$2:$H$3143=B$1,
Master_Mapping_Sheet!$I$2:$I$3143=$A2))/sum(filter(
Master_M"&amp;"apping_Sheet!$E$2:$E$3143, ISNUMBER(
Master_Mapping_Sheet!$E$2:$E$3143),
Master_Mapping_Sheet!$H$2:$H$3143=B$1)))"),0.0)</f>
        <v>0</v>
      </c>
      <c r="C2" s="34">
        <f>IFERROR(__xludf.DUMMYFUNCTION("IF(ISNA(sum(filter(
Master_Mapping_Sheet!$E$2:$E$3143, ISNUMBER(
Master_Mapping_Sheet!$E$2:$E$3143),
Master_Mapping_Sheet!$H$2:$H$3143=C$1,
Master_Mapping_Sheet!$I$2:$I$3143=$A2))/sum(filter(
Master_Mapping_Sheet!$E$2:$E$3143, ISNUMBER(
Master_Mapping_She"&amp;"et!$E$2:$E$3143),
Master_Mapping_Sheet!$H$2:$H$3143=C$1))), 0, sum(filter(
Master_Mapping_Sheet!$E$2:$E$3143, ISNUMBER(
Master_Mapping_Sheet!$E$2:$E$3143),
Master_Mapping_Sheet!$H$2:$H$3143=C$1,
Master_Mapping_Sheet!$I$2:$I$3143=$A2))/sum(filter(
Master_M"&amp;"apping_Sheet!$E$2:$E$3143, ISNUMBER(
Master_Mapping_Sheet!$E$2:$E$3143),
Master_Mapping_Sheet!$H$2:$H$3143=C$1)))"),0.0)</f>
        <v>0</v>
      </c>
      <c r="D2" s="34">
        <f>IFERROR(__xludf.DUMMYFUNCTION("IF(ISNA(sum(filter(
Master_Mapping_Sheet!$E$2:$E$3143, ISNUMBER(
Master_Mapping_Sheet!$E$2:$E$3143),
Master_Mapping_Sheet!$H$2:$H$3143=D$1,
Master_Mapping_Sheet!$I$2:$I$3143=$A2))/sum(filter(
Master_Mapping_Sheet!$E$2:$E$3143, ISNUMBER(
Master_Mapping_She"&amp;"et!$E$2:$E$3143),
Master_Mapping_Sheet!$H$2:$H$3143=D$1))), 0, sum(filter(
Master_Mapping_Sheet!$E$2:$E$3143, ISNUMBER(
Master_Mapping_Sheet!$E$2:$E$3143),
Master_Mapping_Sheet!$H$2:$H$3143=D$1,
Master_Mapping_Sheet!$I$2:$I$3143=$A2))/sum(filter(
Master_M"&amp;"apping_Sheet!$E$2:$E$3143, ISNUMBER(
Master_Mapping_Sheet!$E$2:$E$3143),
Master_Mapping_Sheet!$H$2:$H$3143=D$1)))"),0.0)</f>
        <v>0</v>
      </c>
      <c r="E2" s="34">
        <f>IFERROR(__xludf.DUMMYFUNCTION("IF(ISNA(sum(filter(
Master_Mapping_Sheet!$E$2:$E$3143, ISNUMBER(
Master_Mapping_Sheet!$E$2:$E$3143),
Master_Mapping_Sheet!$H$2:$H$3143=E$1,
Master_Mapping_Sheet!$I$2:$I$3143=$A2))/sum(filter(
Master_Mapping_Sheet!$E$2:$E$3143, ISNUMBER(
Master_Mapping_She"&amp;"et!$E$2:$E$3143),
Master_Mapping_Sheet!$H$2:$H$3143=E$1))), 0, sum(filter(
Master_Mapping_Sheet!$E$2:$E$3143, ISNUMBER(
Master_Mapping_Sheet!$E$2:$E$3143),
Master_Mapping_Sheet!$H$2:$H$3143=E$1,
Master_Mapping_Sheet!$I$2:$I$3143=$A2))/sum(filter(
Master_M"&amp;"apping_Sheet!$E$2:$E$3143, ISNUMBER(
Master_Mapping_Sheet!$E$2:$E$3143),
Master_Mapping_Sheet!$H$2:$H$3143=E$1)))"),0.0)</f>
        <v>0</v>
      </c>
      <c r="F2" s="34">
        <f>IFERROR(__xludf.DUMMYFUNCTION("IF(ISNA(sum(filter(
Master_Mapping_Sheet!$E$2:$E$3143, ISNUMBER(
Master_Mapping_Sheet!$E$2:$E$3143),
Master_Mapping_Sheet!$H$2:$H$3143=F$1,
Master_Mapping_Sheet!$I$2:$I$3143=$A2))/sum(filter(
Master_Mapping_Sheet!$E$2:$E$3143, ISNUMBER(
Master_Mapping_She"&amp;"et!$E$2:$E$3143),
Master_Mapping_Sheet!$H$2:$H$3143=F$1))), 0, sum(filter(
Master_Mapping_Sheet!$E$2:$E$3143, ISNUMBER(
Master_Mapping_Sheet!$E$2:$E$3143),
Master_Mapping_Sheet!$H$2:$H$3143=F$1,
Master_Mapping_Sheet!$I$2:$I$3143=$A2))/sum(filter(
Master_M"&amp;"apping_Sheet!$E$2:$E$3143, ISNUMBER(
Master_Mapping_Sheet!$E$2:$E$3143),
Master_Mapping_Sheet!$H$2:$H$3143=F$1)))"),0.0)</f>
        <v>0</v>
      </c>
      <c r="G2" s="34">
        <f>IFERROR(__xludf.DUMMYFUNCTION("IF(ISNA(sum(filter(
Master_Mapping_Sheet!$E$2:$E$3143, ISNUMBER(
Master_Mapping_Sheet!$E$2:$E$3143),
Master_Mapping_Sheet!$H$2:$H$3143=G$1,
Master_Mapping_Sheet!$I$2:$I$3143=$A2))/sum(filter(
Master_Mapping_Sheet!$E$2:$E$3143, ISNUMBER(
Master_Mapping_She"&amp;"et!$E$2:$E$3143),
Master_Mapping_Sheet!$H$2:$H$3143=G$1))), 0, sum(filter(
Master_Mapping_Sheet!$E$2:$E$3143, ISNUMBER(
Master_Mapping_Sheet!$E$2:$E$3143),
Master_Mapping_Sheet!$H$2:$H$3143=G$1,
Master_Mapping_Sheet!$I$2:$I$3143=$A2))/sum(filter(
Master_M"&amp;"apping_Sheet!$E$2:$E$3143, ISNUMBER(
Master_Mapping_Sheet!$E$2:$E$3143),
Master_Mapping_Sheet!$H$2:$H$3143=G$1)))"),0.0)</f>
        <v>0</v>
      </c>
      <c r="H2" s="34">
        <f>IFERROR(__xludf.DUMMYFUNCTION("IF(ISNA(sum(filter(
Master_Mapping_Sheet!$E$2:$E$3143, ISNUMBER(
Master_Mapping_Sheet!$E$2:$E$3143),
Master_Mapping_Sheet!$H$2:$H$3143=H$1,
Master_Mapping_Sheet!$I$2:$I$3143=$A2))/sum(filter(
Master_Mapping_Sheet!$E$2:$E$3143, ISNUMBER(
Master_Mapping_She"&amp;"et!$E$2:$E$3143),
Master_Mapping_Sheet!$H$2:$H$3143=H$1))), 0, sum(filter(
Master_Mapping_Sheet!$E$2:$E$3143, ISNUMBER(
Master_Mapping_Sheet!$E$2:$E$3143),
Master_Mapping_Sheet!$H$2:$H$3143=H$1,
Master_Mapping_Sheet!$I$2:$I$3143=$A2))/sum(filter(
Master_M"&amp;"apping_Sheet!$E$2:$E$3143, ISNUMBER(
Master_Mapping_Sheet!$E$2:$E$3143),
Master_Mapping_Sheet!$H$2:$H$3143=H$1)))"),1.0)</f>
        <v>1</v>
      </c>
      <c r="I2" s="34">
        <f>IFERROR(__xludf.DUMMYFUNCTION("IF(ISNA(sum(filter(
Master_Mapping_Sheet!$E$2:$E$3143, ISNUMBER(
Master_Mapping_Sheet!$E$2:$E$3143),
Master_Mapping_Sheet!$H$2:$H$3143=I$1,
Master_Mapping_Sheet!$I$2:$I$3143=$A2))/sum(filter(
Master_Mapping_Sheet!$E$2:$E$3143, ISNUMBER(
Master_Mapping_She"&amp;"et!$E$2:$E$3143),
Master_Mapping_Sheet!$H$2:$H$3143=I$1))), 0, sum(filter(
Master_Mapping_Sheet!$E$2:$E$3143, ISNUMBER(
Master_Mapping_Sheet!$E$2:$E$3143),
Master_Mapping_Sheet!$H$2:$H$3143=I$1,
Master_Mapping_Sheet!$I$2:$I$3143=$A2))/sum(filter(
Master_M"&amp;"apping_Sheet!$E$2:$E$3143, ISNUMBER(
Master_Mapping_Sheet!$E$2:$E$3143),
Master_Mapping_Sheet!$H$2:$H$3143=I$1)))"),0.0)</f>
        <v>0</v>
      </c>
      <c r="J2" s="34">
        <f>IFERROR(__xludf.DUMMYFUNCTION("IF(ISNA(sum(filter(
Master_Mapping_Sheet!$E$2:$E$3143, ISNUMBER(
Master_Mapping_Sheet!$E$2:$E$3143),
Master_Mapping_Sheet!$H$2:$H$3143=J$1,
Master_Mapping_Sheet!$I$2:$I$3143=$A2))/sum(filter(
Master_Mapping_Sheet!$E$2:$E$3143, ISNUMBER(
Master_Mapping_She"&amp;"et!$E$2:$E$3143),
Master_Mapping_Sheet!$H$2:$H$3143=J$1))), 0, sum(filter(
Master_Mapping_Sheet!$E$2:$E$3143, ISNUMBER(
Master_Mapping_Sheet!$E$2:$E$3143),
Master_Mapping_Sheet!$H$2:$H$3143=J$1,
Master_Mapping_Sheet!$I$2:$I$3143=$A2))/sum(filter(
Master_M"&amp;"apping_Sheet!$E$2:$E$3143, ISNUMBER(
Master_Mapping_Sheet!$E$2:$E$3143),
Master_Mapping_Sheet!$H$2:$H$3143=J$1)))"),0.0)</f>
        <v>0</v>
      </c>
      <c r="K2" s="34">
        <f>IFERROR(__xludf.DUMMYFUNCTION("IF(ISNA(sum(filter(
Master_Mapping_Sheet!$E$2:$E$3143, ISNUMBER(
Master_Mapping_Sheet!$E$2:$E$3143),
Master_Mapping_Sheet!$H$2:$H$3143=K$1,
Master_Mapping_Sheet!$I$2:$I$3143=$A2))/sum(filter(
Master_Mapping_Sheet!$E$2:$E$3143, ISNUMBER(
Master_Mapping_She"&amp;"et!$E$2:$E$3143),
Master_Mapping_Sheet!$H$2:$H$3143=K$1))), 0, sum(filter(
Master_Mapping_Sheet!$E$2:$E$3143, ISNUMBER(
Master_Mapping_Sheet!$E$2:$E$3143),
Master_Mapping_Sheet!$H$2:$H$3143=K$1,
Master_Mapping_Sheet!$I$2:$I$3143=$A2))/sum(filter(
Master_M"&amp;"apping_Sheet!$E$2:$E$3143, ISNUMBER(
Master_Mapping_Sheet!$E$2:$E$3143),
Master_Mapping_Sheet!$H$2:$H$3143=K$1)))"),0.0)</f>
        <v>0</v>
      </c>
      <c r="L2" s="34">
        <f>IFERROR(__xludf.DUMMYFUNCTION("IF(ISNA(sum(filter(
Master_Mapping_Sheet!$E$2:$E$3143, ISNUMBER(
Master_Mapping_Sheet!$E$2:$E$3143),
Master_Mapping_Sheet!$H$2:$H$3143=L$1,
Master_Mapping_Sheet!$I$2:$I$3143=$A2))/sum(filter(
Master_Mapping_Sheet!$E$2:$E$3143, ISNUMBER(
Master_Mapping_She"&amp;"et!$E$2:$E$3143),
Master_Mapping_Sheet!$H$2:$H$3143=L$1))), 0, sum(filter(
Master_Mapping_Sheet!$E$2:$E$3143, ISNUMBER(
Master_Mapping_Sheet!$E$2:$E$3143),
Master_Mapping_Sheet!$H$2:$H$3143=L$1,
Master_Mapping_Sheet!$I$2:$I$3143=$A2))/sum(filter(
Master_M"&amp;"apping_Sheet!$E$2:$E$3143, ISNUMBER(
Master_Mapping_Sheet!$E$2:$E$3143),
Master_Mapping_Sheet!$H$2:$H$3143=L$1)))"),0.0)</f>
        <v>0</v>
      </c>
      <c r="M2" s="34">
        <f>IFERROR(__xludf.DUMMYFUNCTION("IF(ISNA(sum(filter(
Master_Mapping_Sheet!$E$2:$E$3143, ISNUMBER(
Master_Mapping_Sheet!$E$2:$E$3143),
Master_Mapping_Sheet!$H$2:$H$3143=M$1,
Master_Mapping_Sheet!$I$2:$I$3143=$A2))/sum(filter(
Master_Mapping_Sheet!$E$2:$E$3143, ISNUMBER(
Master_Mapping_She"&amp;"et!$E$2:$E$3143),
Master_Mapping_Sheet!$H$2:$H$3143=M$1))), 0, sum(filter(
Master_Mapping_Sheet!$E$2:$E$3143, ISNUMBER(
Master_Mapping_Sheet!$E$2:$E$3143),
Master_Mapping_Sheet!$H$2:$H$3143=M$1,
Master_Mapping_Sheet!$I$2:$I$3143=$A2))/sum(filter(
Master_M"&amp;"apping_Sheet!$E$2:$E$3143, ISNUMBER(
Master_Mapping_Sheet!$E$2:$E$3143),
Master_Mapping_Sheet!$H$2:$H$3143=M$1)))"),0.0)</f>
        <v>0</v>
      </c>
      <c r="N2" s="34">
        <f>IFERROR(__xludf.DUMMYFUNCTION("IF(ISNA(sum(filter(
Master_Mapping_Sheet!$E$2:$E$3143, ISNUMBER(
Master_Mapping_Sheet!$E$2:$E$3143),
Master_Mapping_Sheet!$H$2:$H$3143=N$1,
Master_Mapping_Sheet!$I$2:$I$3143=$A2))/sum(filter(
Master_Mapping_Sheet!$E$2:$E$3143, ISNUMBER(
Master_Mapping_She"&amp;"et!$E$2:$E$3143),
Master_Mapping_Sheet!$H$2:$H$3143=N$1))), 0, sum(filter(
Master_Mapping_Sheet!$E$2:$E$3143, ISNUMBER(
Master_Mapping_Sheet!$E$2:$E$3143),
Master_Mapping_Sheet!$H$2:$H$3143=N$1,
Master_Mapping_Sheet!$I$2:$I$3143=$A2))/sum(filter(
Master_M"&amp;"apping_Sheet!$E$2:$E$3143, ISNUMBER(
Master_Mapping_Sheet!$E$2:$E$3143),
Master_Mapping_Sheet!$H$2:$H$3143=N$1)))"),0.0)</f>
        <v>0</v>
      </c>
      <c r="O2" s="34">
        <f>IFERROR(__xludf.DUMMYFUNCTION("IF(ISNA(sum(filter(
Master_Mapping_Sheet!$E$2:$E$3143, ISNUMBER(
Master_Mapping_Sheet!$E$2:$E$3143),
Master_Mapping_Sheet!$H$2:$H$3143=O$1,
Master_Mapping_Sheet!$I$2:$I$3143=$A2))/sum(filter(
Master_Mapping_Sheet!$E$2:$E$3143, ISNUMBER(
Master_Mapping_She"&amp;"et!$E$2:$E$3143),
Master_Mapping_Sheet!$H$2:$H$3143=O$1))), 0, sum(filter(
Master_Mapping_Sheet!$E$2:$E$3143, ISNUMBER(
Master_Mapping_Sheet!$E$2:$E$3143),
Master_Mapping_Sheet!$H$2:$H$3143=O$1,
Master_Mapping_Sheet!$I$2:$I$3143=$A2))/sum(filter(
Master_M"&amp;"apping_Sheet!$E$2:$E$3143, ISNUMBER(
Master_Mapping_Sheet!$E$2:$E$3143),
Master_Mapping_Sheet!$H$2:$H$3143=O$1)))"),0.0)</f>
        <v>0</v>
      </c>
      <c r="P2" s="34">
        <f>IFERROR(__xludf.DUMMYFUNCTION("IF(ISNA(sum(filter(
Master_Mapping_Sheet!$E$2:$E$3143, ISNUMBER(
Master_Mapping_Sheet!$E$2:$E$3143),
Master_Mapping_Sheet!$H$2:$H$3143=P$1,
Master_Mapping_Sheet!$I$2:$I$3143=$A2))/sum(filter(
Master_Mapping_Sheet!$E$2:$E$3143, ISNUMBER(
Master_Mapping_She"&amp;"et!$E$2:$E$3143),
Master_Mapping_Sheet!$H$2:$H$3143=P$1))), 0, sum(filter(
Master_Mapping_Sheet!$E$2:$E$3143, ISNUMBER(
Master_Mapping_Sheet!$E$2:$E$3143),
Master_Mapping_Sheet!$H$2:$H$3143=P$1,
Master_Mapping_Sheet!$I$2:$I$3143=$A2))/sum(filter(
Master_M"&amp;"apping_Sheet!$E$2:$E$3143, ISNUMBER(
Master_Mapping_Sheet!$E$2:$E$3143),
Master_Mapping_Sheet!$H$2:$H$3143=P$1)))"),0.0)</f>
        <v>0</v>
      </c>
      <c r="Q2" s="34">
        <f>IFERROR(__xludf.DUMMYFUNCTION("IF(ISNA(sum(filter(
Master_Mapping_Sheet!$E$2:$E$3143, ISNUMBER(
Master_Mapping_Sheet!$E$2:$E$3143),
Master_Mapping_Sheet!$H$2:$H$3143=Q$1,
Master_Mapping_Sheet!$I$2:$I$3143=$A2))/sum(filter(
Master_Mapping_Sheet!$E$2:$E$3143, ISNUMBER(
Master_Mapping_She"&amp;"et!$E$2:$E$3143),
Master_Mapping_Sheet!$H$2:$H$3143=Q$1))), 0, sum(filter(
Master_Mapping_Sheet!$E$2:$E$3143, ISNUMBER(
Master_Mapping_Sheet!$E$2:$E$3143),
Master_Mapping_Sheet!$H$2:$H$3143=Q$1,
Master_Mapping_Sheet!$I$2:$I$3143=$A2))/sum(filter(
Master_M"&amp;"apping_Sheet!$E$2:$E$3143, ISNUMBER(
Master_Mapping_Sheet!$E$2:$E$3143),
Master_Mapping_Sheet!$H$2:$H$3143=Q$1)))"),0.0)</f>
        <v>0</v>
      </c>
      <c r="R2" s="34">
        <f>IFERROR(__xludf.DUMMYFUNCTION("IF(ISNA(sum(filter(
Master_Mapping_Sheet!$E$2:$E$3143, ISNUMBER(
Master_Mapping_Sheet!$E$2:$E$3143),
Master_Mapping_Sheet!$H$2:$H$3143=R$1,
Master_Mapping_Sheet!$I$2:$I$3143=$A2))/sum(filter(
Master_Mapping_Sheet!$E$2:$E$3143, ISNUMBER(
Master_Mapping_She"&amp;"et!$E$2:$E$3143),
Master_Mapping_Sheet!$H$2:$H$3143=R$1))), 0, sum(filter(
Master_Mapping_Sheet!$E$2:$E$3143, ISNUMBER(
Master_Mapping_Sheet!$E$2:$E$3143),
Master_Mapping_Sheet!$H$2:$H$3143=R$1,
Master_Mapping_Sheet!$I$2:$I$3143=$A2))/sum(filter(
Master_M"&amp;"apping_Sheet!$E$2:$E$3143, ISNUMBER(
Master_Mapping_Sheet!$E$2:$E$3143),
Master_Mapping_Sheet!$H$2:$H$3143=R$1)))"),0.0)</f>
        <v>0</v>
      </c>
      <c r="S2" s="34">
        <f>IFERROR(__xludf.DUMMYFUNCTION("IF(ISNA(sum(filter(
Master_Mapping_Sheet!$E$2:$E$3143, ISNUMBER(
Master_Mapping_Sheet!$E$2:$E$3143),
Master_Mapping_Sheet!$H$2:$H$3143=S$1,
Master_Mapping_Sheet!$I$2:$I$3143=$A2))/sum(filter(
Master_Mapping_Sheet!$E$2:$E$3143, ISNUMBER(
Master_Mapping_She"&amp;"et!$E$2:$E$3143),
Master_Mapping_Sheet!$H$2:$H$3143=S$1))), 0, sum(filter(
Master_Mapping_Sheet!$E$2:$E$3143, ISNUMBER(
Master_Mapping_Sheet!$E$2:$E$3143),
Master_Mapping_Sheet!$H$2:$H$3143=S$1,
Master_Mapping_Sheet!$I$2:$I$3143=$A2))/sum(filter(
Master_M"&amp;"apping_Sheet!$E$2:$E$3143, ISNUMBER(
Master_Mapping_Sheet!$E$2:$E$3143),
Master_Mapping_Sheet!$H$2:$H$3143=S$1)))"),0.0)</f>
        <v>0</v>
      </c>
      <c r="T2" s="34">
        <f>IFERROR(__xludf.DUMMYFUNCTION("IF(ISNA(sum(filter(
Master_Mapping_Sheet!$E$2:$E$3143, ISNUMBER(
Master_Mapping_Sheet!$E$2:$E$3143),
Master_Mapping_Sheet!$H$2:$H$3143=T$1,
Master_Mapping_Sheet!$I$2:$I$3143=$A2))/sum(filter(
Master_Mapping_Sheet!$E$2:$E$3143, ISNUMBER(
Master_Mapping_She"&amp;"et!$E$2:$E$3143),
Master_Mapping_Sheet!$H$2:$H$3143=T$1))), 0, sum(filter(
Master_Mapping_Sheet!$E$2:$E$3143, ISNUMBER(
Master_Mapping_Sheet!$E$2:$E$3143),
Master_Mapping_Sheet!$H$2:$H$3143=T$1,
Master_Mapping_Sheet!$I$2:$I$3143=$A2))/sum(filter(
Master_M"&amp;"apping_Sheet!$E$2:$E$3143, ISNUMBER(
Master_Mapping_Sheet!$E$2:$E$3143),
Master_Mapping_Sheet!$H$2:$H$3143=T$1)))"),0.0)</f>
        <v>0</v>
      </c>
      <c r="U2" s="34">
        <f>IFERROR(__xludf.DUMMYFUNCTION("IF(ISNA(sum(filter(
Master_Mapping_Sheet!$E$2:$E$3143, ISNUMBER(
Master_Mapping_Sheet!$E$2:$E$3143),
Master_Mapping_Sheet!$H$2:$H$3143=U$1,
Master_Mapping_Sheet!$I$2:$I$3143=$A2))/sum(filter(
Master_Mapping_Sheet!$E$2:$E$3143, ISNUMBER(
Master_Mapping_She"&amp;"et!$E$2:$E$3143),
Master_Mapping_Sheet!$H$2:$H$3143=U$1))), 0, sum(filter(
Master_Mapping_Sheet!$E$2:$E$3143, ISNUMBER(
Master_Mapping_Sheet!$E$2:$E$3143),
Master_Mapping_Sheet!$H$2:$H$3143=U$1,
Master_Mapping_Sheet!$I$2:$I$3143=$A2))/sum(filter(
Master_M"&amp;"apping_Sheet!$E$2:$E$3143, ISNUMBER(
Master_Mapping_Sheet!$E$2:$E$3143),
Master_Mapping_Sheet!$H$2:$H$3143=U$1)))"),0.0)</f>
        <v>0</v>
      </c>
      <c r="V2" s="34">
        <f>IFERROR(__xludf.DUMMYFUNCTION("IF(ISNA(sum(filter(
Master_Mapping_Sheet!$E$2:$E$3143, ISNUMBER(
Master_Mapping_Sheet!$E$2:$E$3143),
Master_Mapping_Sheet!$H$2:$H$3143=V$1,
Master_Mapping_Sheet!$I$2:$I$3143=$A2))/sum(filter(
Master_Mapping_Sheet!$E$2:$E$3143, ISNUMBER(
Master_Mapping_She"&amp;"et!$E$2:$E$3143),
Master_Mapping_Sheet!$H$2:$H$3143=V$1))), 0, sum(filter(
Master_Mapping_Sheet!$E$2:$E$3143, ISNUMBER(
Master_Mapping_Sheet!$E$2:$E$3143),
Master_Mapping_Sheet!$H$2:$H$3143=V$1,
Master_Mapping_Sheet!$I$2:$I$3143=$A2))/sum(filter(
Master_M"&amp;"apping_Sheet!$E$2:$E$3143, ISNUMBER(
Master_Mapping_Sheet!$E$2:$E$3143),
Master_Mapping_Sheet!$H$2:$H$3143=V$1)))"),0.0)</f>
        <v>0</v>
      </c>
      <c r="W2" s="34">
        <f>IFERROR(__xludf.DUMMYFUNCTION("IF(ISNA(sum(filter(
Master_Mapping_Sheet!$E$2:$E$3143, ISNUMBER(
Master_Mapping_Sheet!$E$2:$E$3143),
Master_Mapping_Sheet!$H$2:$H$3143=W$1,
Master_Mapping_Sheet!$I$2:$I$3143=$A2))/sum(filter(
Master_Mapping_Sheet!$E$2:$E$3143, ISNUMBER(
Master_Mapping_She"&amp;"et!$E$2:$E$3143),
Master_Mapping_Sheet!$H$2:$H$3143=W$1))), 0, sum(filter(
Master_Mapping_Sheet!$E$2:$E$3143, ISNUMBER(
Master_Mapping_Sheet!$E$2:$E$3143),
Master_Mapping_Sheet!$H$2:$H$3143=W$1,
Master_Mapping_Sheet!$I$2:$I$3143=$A2))/sum(filter(
Master_M"&amp;"apping_Sheet!$E$2:$E$3143, ISNUMBER(
Master_Mapping_Sheet!$E$2:$E$3143),
Master_Mapping_Sheet!$H$2:$H$3143=W$1)))"),0.0)</f>
        <v>0</v>
      </c>
      <c r="X2" s="34">
        <f>IFERROR(__xludf.DUMMYFUNCTION("IF(ISNA(sum(filter(
Master_Mapping_Sheet!$E$2:$E$3143, ISNUMBER(
Master_Mapping_Sheet!$E$2:$E$3143),
Master_Mapping_Sheet!$H$2:$H$3143=X$1,
Master_Mapping_Sheet!$I$2:$I$3143=$A2))/sum(filter(
Master_Mapping_Sheet!$E$2:$E$3143, ISNUMBER(
Master_Mapping_She"&amp;"et!$E$2:$E$3143),
Master_Mapping_Sheet!$H$2:$H$3143=X$1))), 0, sum(filter(
Master_Mapping_Sheet!$E$2:$E$3143, ISNUMBER(
Master_Mapping_Sheet!$E$2:$E$3143),
Master_Mapping_Sheet!$H$2:$H$3143=X$1,
Master_Mapping_Sheet!$I$2:$I$3143=$A2))/sum(filter(
Master_M"&amp;"apping_Sheet!$E$2:$E$3143, ISNUMBER(
Master_Mapping_Sheet!$E$2:$E$3143),
Master_Mapping_Sheet!$H$2:$H$3143=X$1)))"),0.0)</f>
        <v>0</v>
      </c>
      <c r="Y2" s="34">
        <f>IFERROR(__xludf.DUMMYFUNCTION("IF(ISNA(sum(filter(
Master_Mapping_Sheet!$E$2:$E$3143, ISNUMBER(
Master_Mapping_Sheet!$E$2:$E$3143),
Master_Mapping_Sheet!$H$2:$H$3143=Y$1,
Master_Mapping_Sheet!$I$2:$I$3143=$A2))/sum(filter(
Master_Mapping_Sheet!$E$2:$E$3143, ISNUMBER(
Master_Mapping_She"&amp;"et!$E$2:$E$3143),
Master_Mapping_Sheet!$H$2:$H$3143=Y$1))), 0, sum(filter(
Master_Mapping_Sheet!$E$2:$E$3143, ISNUMBER(
Master_Mapping_Sheet!$E$2:$E$3143),
Master_Mapping_Sheet!$H$2:$H$3143=Y$1,
Master_Mapping_Sheet!$I$2:$I$3143=$A2))/sum(filter(
Master_M"&amp;"apping_Sheet!$E$2:$E$3143, ISNUMBER(
Master_Mapping_Sheet!$E$2:$E$3143),
Master_Mapping_Sheet!$H$2:$H$3143=Y$1)))"),0.0)</f>
        <v>0</v>
      </c>
      <c r="Z2" s="34">
        <f>IFERROR(__xludf.DUMMYFUNCTION("IF(ISNA(sum(filter(
Master_Mapping_Sheet!$E$2:$E$3143, ISNUMBER(
Master_Mapping_Sheet!$E$2:$E$3143),
Master_Mapping_Sheet!$H$2:$H$3143=Z$1,
Master_Mapping_Sheet!$I$2:$I$3143=$A2))/sum(filter(
Master_Mapping_Sheet!$E$2:$E$3143, ISNUMBER(
Master_Mapping_She"&amp;"et!$E$2:$E$3143),
Master_Mapping_Sheet!$H$2:$H$3143=Z$1))), 0, sum(filter(
Master_Mapping_Sheet!$E$2:$E$3143, ISNUMBER(
Master_Mapping_Sheet!$E$2:$E$3143),
Master_Mapping_Sheet!$H$2:$H$3143=Z$1,
Master_Mapping_Sheet!$I$2:$I$3143=$A2))/sum(filter(
Master_M"&amp;"apping_Sheet!$E$2:$E$3143, ISNUMBER(
Master_Mapping_Sheet!$E$2:$E$3143),
Master_Mapping_Sheet!$H$2:$H$3143=Z$1)))"),0.0)</f>
        <v>0</v>
      </c>
    </row>
    <row r="3" ht="15.75" customHeight="1">
      <c r="A3" s="32">
        <v>2.0</v>
      </c>
      <c r="B3" s="34">
        <f>IFERROR(__xludf.DUMMYFUNCTION("IF(ISNA(sum(filter(
Master_Mapping_Sheet!$E$2:$E$3143, ISNUMBER(
Master_Mapping_Sheet!$E$2:$E$3143),
Master_Mapping_Sheet!$H$2:$H$3143=B$1,
Master_Mapping_Sheet!$I$2:$I$3143=$A3))/sum(filter(
Master_Mapping_Sheet!$E$2:$E$3143, ISNUMBER(
Master_Mapping_She"&amp;"et!$E$2:$E$3143),
Master_Mapping_Sheet!$H$2:$H$3143=B$1))), 0, sum(filter(
Master_Mapping_Sheet!$E$2:$E$3143, ISNUMBER(
Master_Mapping_Sheet!$E$2:$E$3143),
Master_Mapping_Sheet!$H$2:$H$3143=B$1,
Master_Mapping_Sheet!$I$2:$I$3143=$A3))/sum(filter(
Master_M"&amp;"apping_Sheet!$E$2:$E$3143, ISNUMBER(
Master_Mapping_Sheet!$E$2:$E$3143),
Master_Mapping_Sheet!$H$2:$H$3143=B$1)))"),0.0)</f>
        <v>0</v>
      </c>
      <c r="C3" s="34">
        <f>IFERROR(__xludf.DUMMYFUNCTION("IF(ISNA(sum(filter(
Master_Mapping_Sheet!$E$2:$E$3143, ISNUMBER(
Master_Mapping_Sheet!$E$2:$E$3143),
Master_Mapping_Sheet!$H$2:$H$3143=C$1,
Master_Mapping_Sheet!$I$2:$I$3143=$A3))/sum(filter(
Master_Mapping_Sheet!$E$2:$E$3143, ISNUMBER(
Master_Mapping_She"&amp;"et!$E$2:$E$3143),
Master_Mapping_Sheet!$H$2:$H$3143=C$1))), 0, sum(filter(
Master_Mapping_Sheet!$E$2:$E$3143, ISNUMBER(
Master_Mapping_Sheet!$E$2:$E$3143),
Master_Mapping_Sheet!$H$2:$H$3143=C$1,
Master_Mapping_Sheet!$I$2:$I$3143=$A3))/sum(filter(
Master_M"&amp;"apping_Sheet!$E$2:$E$3143, ISNUMBER(
Master_Mapping_Sheet!$E$2:$E$3143),
Master_Mapping_Sheet!$H$2:$H$3143=C$1)))"),0.0)</f>
        <v>0</v>
      </c>
      <c r="D3" s="34">
        <f>IFERROR(__xludf.DUMMYFUNCTION("IF(ISNA(sum(filter(
Master_Mapping_Sheet!$E$2:$E$3143, ISNUMBER(
Master_Mapping_Sheet!$E$2:$E$3143),
Master_Mapping_Sheet!$H$2:$H$3143=D$1,
Master_Mapping_Sheet!$I$2:$I$3143=$A3))/sum(filter(
Master_Mapping_Sheet!$E$2:$E$3143, ISNUMBER(
Master_Mapping_She"&amp;"et!$E$2:$E$3143),
Master_Mapping_Sheet!$H$2:$H$3143=D$1))), 0, sum(filter(
Master_Mapping_Sheet!$E$2:$E$3143, ISNUMBER(
Master_Mapping_Sheet!$E$2:$E$3143),
Master_Mapping_Sheet!$H$2:$H$3143=D$1,
Master_Mapping_Sheet!$I$2:$I$3143=$A3))/sum(filter(
Master_M"&amp;"apping_Sheet!$E$2:$E$3143, ISNUMBER(
Master_Mapping_Sheet!$E$2:$E$3143),
Master_Mapping_Sheet!$H$2:$H$3143=D$1)))"),0.0)</f>
        <v>0</v>
      </c>
      <c r="E3" s="34">
        <f>IFERROR(__xludf.DUMMYFUNCTION("IF(ISNA(sum(filter(
Master_Mapping_Sheet!$E$2:$E$3143, ISNUMBER(
Master_Mapping_Sheet!$E$2:$E$3143),
Master_Mapping_Sheet!$H$2:$H$3143=E$1,
Master_Mapping_Sheet!$I$2:$I$3143=$A3))/sum(filter(
Master_Mapping_Sheet!$E$2:$E$3143, ISNUMBER(
Master_Mapping_She"&amp;"et!$E$2:$E$3143),
Master_Mapping_Sheet!$H$2:$H$3143=E$1))), 0, sum(filter(
Master_Mapping_Sheet!$E$2:$E$3143, ISNUMBER(
Master_Mapping_Sheet!$E$2:$E$3143),
Master_Mapping_Sheet!$H$2:$H$3143=E$1,
Master_Mapping_Sheet!$I$2:$I$3143=$A3))/sum(filter(
Master_M"&amp;"apping_Sheet!$E$2:$E$3143, ISNUMBER(
Master_Mapping_Sheet!$E$2:$E$3143),
Master_Mapping_Sheet!$H$2:$H$3143=E$1)))"),0.0)</f>
        <v>0</v>
      </c>
      <c r="F3" s="34">
        <f>IFERROR(__xludf.DUMMYFUNCTION("IF(ISNA(sum(filter(
Master_Mapping_Sheet!$E$2:$E$3143, ISNUMBER(
Master_Mapping_Sheet!$E$2:$E$3143),
Master_Mapping_Sheet!$H$2:$H$3143=F$1,
Master_Mapping_Sheet!$I$2:$I$3143=$A3))/sum(filter(
Master_Mapping_Sheet!$E$2:$E$3143, ISNUMBER(
Master_Mapping_She"&amp;"et!$E$2:$E$3143),
Master_Mapping_Sheet!$H$2:$H$3143=F$1))), 0, sum(filter(
Master_Mapping_Sheet!$E$2:$E$3143, ISNUMBER(
Master_Mapping_Sheet!$E$2:$E$3143),
Master_Mapping_Sheet!$H$2:$H$3143=F$1,
Master_Mapping_Sheet!$I$2:$I$3143=$A3))/sum(filter(
Master_M"&amp;"apping_Sheet!$E$2:$E$3143, ISNUMBER(
Master_Mapping_Sheet!$E$2:$E$3143),
Master_Mapping_Sheet!$H$2:$H$3143=F$1)))"),0.0)</f>
        <v>0</v>
      </c>
      <c r="G3" s="34">
        <f>IFERROR(__xludf.DUMMYFUNCTION("IF(ISNA(sum(filter(
Master_Mapping_Sheet!$E$2:$E$3143, ISNUMBER(
Master_Mapping_Sheet!$E$2:$E$3143),
Master_Mapping_Sheet!$H$2:$H$3143=G$1,
Master_Mapping_Sheet!$I$2:$I$3143=$A3))/sum(filter(
Master_Mapping_Sheet!$E$2:$E$3143, ISNUMBER(
Master_Mapping_She"&amp;"et!$E$2:$E$3143),
Master_Mapping_Sheet!$H$2:$H$3143=G$1))), 0, sum(filter(
Master_Mapping_Sheet!$E$2:$E$3143, ISNUMBER(
Master_Mapping_Sheet!$E$2:$E$3143),
Master_Mapping_Sheet!$H$2:$H$3143=G$1,
Master_Mapping_Sheet!$I$2:$I$3143=$A3))/sum(filter(
Master_M"&amp;"apping_Sheet!$E$2:$E$3143, ISNUMBER(
Master_Mapping_Sheet!$E$2:$E$3143),
Master_Mapping_Sheet!$H$2:$H$3143=G$1)))"),0.0)</f>
        <v>0</v>
      </c>
      <c r="H3" s="34">
        <f>IFERROR(__xludf.DUMMYFUNCTION("IF(ISNA(sum(filter(
Master_Mapping_Sheet!$E$2:$E$3143, ISNUMBER(
Master_Mapping_Sheet!$E$2:$E$3143),
Master_Mapping_Sheet!$H$2:$H$3143=H$1,
Master_Mapping_Sheet!$I$2:$I$3143=$A3))/sum(filter(
Master_Mapping_Sheet!$E$2:$E$3143, ISNUMBER(
Master_Mapping_She"&amp;"et!$E$2:$E$3143),
Master_Mapping_Sheet!$H$2:$H$3143=H$1))), 0, sum(filter(
Master_Mapping_Sheet!$E$2:$E$3143, ISNUMBER(
Master_Mapping_Sheet!$E$2:$E$3143),
Master_Mapping_Sheet!$H$2:$H$3143=H$1,
Master_Mapping_Sheet!$I$2:$I$3143=$A3))/sum(filter(
Master_M"&amp;"apping_Sheet!$E$2:$E$3143, ISNUMBER(
Master_Mapping_Sheet!$E$2:$E$3143),
Master_Mapping_Sheet!$H$2:$H$3143=H$1)))"),0.0)</f>
        <v>0</v>
      </c>
      <c r="I3" s="34">
        <f>IFERROR(__xludf.DUMMYFUNCTION("IF(ISNA(sum(filter(
Master_Mapping_Sheet!$E$2:$E$3143, ISNUMBER(
Master_Mapping_Sheet!$E$2:$E$3143),
Master_Mapping_Sheet!$H$2:$H$3143=I$1,
Master_Mapping_Sheet!$I$2:$I$3143=$A3))/sum(filter(
Master_Mapping_Sheet!$E$2:$E$3143, ISNUMBER(
Master_Mapping_She"&amp;"et!$E$2:$E$3143),
Master_Mapping_Sheet!$H$2:$H$3143=I$1))), 0, sum(filter(
Master_Mapping_Sheet!$E$2:$E$3143, ISNUMBER(
Master_Mapping_Sheet!$E$2:$E$3143),
Master_Mapping_Sheet!$H$2:$H$3143=I$1,
Master_Mapping_Sheet!$I$2:$I$3143=$A3))/sum(filter(
Master_M"&amp;"apping_Sheet!$E$2:$E$3143, ISNUMBER(
Master_Mapping_Sheet!$E$2:$E$3143),
Master_Mapping_Sheet!$H$2:$H$3143=I$1)))"),1.0)</f>
        <v>1</v>
      </c>
      <c r="J3" s="34">
        <f>IFERROR(__xludf.DUMMYFUNCTION("IF(ISNA(sum(filter(
Master_Mapping_Sheet!$E$2:$E$3143, ISNUMBER(
Master_Mapping_Sheet!$E$2:$E$3143),
Master_Mapping_Sheet!$H$2:$H$3143=J$1,
Master_Mapping_Sheet!$I$2:$I$3143=$A3))/sum(filter(
Master_Mapping_Sheet!$E$2:$E$3143, ISNUMBER(
Master_Mapping_She"&amp;"et!$E$2:$E$3143),
Master_Mapping_Sheet!$H$2:$H$3143=J$1))), 0, sum(filter(
Master_Mapping_Sheet!$E$2:$E$3143, ISNUMBER(
Master_Mapping_Sheet!$E$2:$E$3143),
Master_Mapping_Sheet!$H$2:$H$3143=J$1,
Master_Mapping_Sheet!$I$2:$I$3143=$A3))/sum(filter(
Master_M"&amp;"apping_Sheet!$E$2:$E$3143, ISNUMBER(
Master_Mapping_Sheet!$E$2:$E$3143),
Master_Mapping_Sheet!$H$2:$H$3143=J$1)))"),1.0)</f>
        <v>1</v>
      </c>
      <c r="K3" s="34">
        <f>IFERROR(__xludf.DUMMYFUNCTION("IF(ISNA(sum(filter(
Master_Mapping_Sheet!$E$2:$E$3143, ISNUMBER(
Master_Mapping_Sheet!$E$2:$E$3143),
Master_Mapping_Sheet!$H$2:$H$3143=K$1,
Master_Mapping_Sheet!$I$2:$I$3143=$A3))/sum(filter(
Master_Mapping_Sheet!$E$2:$E$3143, ISNUMBER(
Master_Mapping_She"&amp;"et!$E$2:$E$3143),
Master_Mapping_Sheet!$H$2:$H$3143=K$1))), 0, sum(filter(
Master_Mapping_Sheet!$E$2:$E$3143, ISNUMBER(
Master_Mapping_Sheet!$E$2:$E$3143),
Master_Mapping_Sheet!$H$2:$H$3143=K$1,
Master_Mapping_Sheet!$I$2:$I$3143=$A3))/sum(filter(
Master_M"&amp;"apping_Sheet!$E$2:$E$3143, ISNUMBER(
Master_Mapping_Sheet!$E$2:$E$3143),
Master_Mapping_Sheet!$H$2:$H$3143=K$1)))"),0.7792428255164779)</f>
        <v>0.7792428255</v>
      </c>
      <c r="L3" s="34">
        <f>IFERROR(__xludf.DUMMYFUNCTION("IF(ISNA(sum(filter(
Master_Mapping_Sheet!$E$2:$E$3143, ISNUMBER(
Master_Mapping_Sheet!$E$2:$E$3143),
Master_Mapping_Sheet!$H$2:$H$3143=L$1,
Master_Mapping_Sheet!$I$2:$I$3143=$A3))/sum(filter(
Master_Mapping_Sheet!$E$2:$E$3143, ISNUMBER(
Master_Mapping_She"&amp;"et!$E$2:$E$3143),
Master_Mapping_Sheet!$H$2:$H$3143=L$1))), 0, sum(filter(
Master_Mapping_Sheet!$E$2:$E$3143, ISNUMBER(
Master_Mapping_Sheet!$E$2:$E$3143),
Master_Mapping_Sheet!$H$2:$H$3143=L$1,
Master_Mapping_Sheet!$I$2:$I$3143=$A3))/sum(filter(
Master_M"&amp;"apping_Sheet!$E$2:$E$3143, ISNUMBER(
Master_Mapping_Sheet!$E$2:$E$3143),
Master_Mapping_Sheet!$H$2:$H$3143=L$1)))"),0.12179928123627151)</f>
        <v>0.1217992812</v>
      </c>
      <c r="M3" s="34">
        <f>IFERROR(__xludf.DUMMYFUNCTION("IF(ISNA(sum(filter(
Master_Mapping_Sheet!$E$2:$E$3143, ISNUMBER(
Master_Mapping_Sheet!$E$2:$E$3143),
Master_Mapping_Sheet!$H$2:$H$3143=M$1,
Master_Mapping_Sheet!$I$2:$I$3143=$A3))/sum(filter(
Master_Mapping_Sheet!$E$2:$E$3143, ISNUMBER(
Master_Mapping_She"&amp;"et!$E$2:$E$3143),
Master_Mapping_Sheet!$H$2:$H$3143=M$1))), 0, sum(filter(
Master_Mapping_Sheet!$E$2:$E$3143, ISNUMBER(
Master_Mapping_Sheet!$E$2:$E$3143),
Master_Mapping_Sheet!$H$2:$H$3143=M$1,
Master_Mapping_Sheet!$I$2:$I$3143=$A3))/sum(filter(
Master_M"&amp;"apping_Sheet!$E$2:$E$3143, ISNUMBER(
Master_Mapping_Sheet!$E$2:$E$3143),
Master_Mapping_Sheet!$H$2:$H$3143=M$1)))"),0.0)</f>
        <v>0</v>
      </c>
      <c r="N3" s="34">
        <f>IFERROR(__xludf.DUMMYFUNCTION("IF(ISNA(sum(filter(
Master_Mapping_Sheet!$E$2:$E$3143, ISNUMBER(
Master_Mapping_Sheet!$E$2:$E$3143),
Master_Mapping_Sheet!$H$2:$H$3143=N$1,
Master_Mapping_Sheet!$I$2:$I$3143=$A3))/sum(filter(
Master_Mapping_Sheet!$E$2:$E$3143, ISNUMBER(
Master_Mapping_She"&amp;"et!$E$2:$E$3143),
Master_Mapping_Sheet!$H$2:$H$3143=N$1))), 0, sum(filter(
Master_Mapping_Sheet!$E$2:$E$3143, ISNUMBER(
Master_Mapping_Sheet!$E$2:$E$3143),
Master_Mapping_Sheet!$H$2:$H$3143=N$1,
Master_Mapping_Sheet!$I$2:$I$3143=$A3))/sum(filter(
Master_M"&amp;"apping_Sheet!$E$2:$E$3143, ISNUMBER(
Master_Mapping_Sheet!$E$2:$E$3143),
Master_Mapping_Sheet!$H$2:$H$3143=N$1)))"),0.0)</f>
        <v>0</v>
      </c>
      <c r="O3" s="34">
        <f>IFERROR(__xludf.DUMMYFUNCTION("IF(ISNA(sum(filter(
Master_Mapping_Sheet!$E$2:$E$3143, ISNUMBER(
Master_Mapping_Sheet!$E$2:$E$3143),
Master_Mapping_Sheet!$H$2:$H$3143=O$1,
Master_Mapping_Sheet!$I$2:$I$3143=$A3))/sum(filter(
Master_Mapping_Sheet!$E$2:$E$3143, ISNUMBER(
Master_Mapping_She"&amp;"et!$E$2:$E$3143),
Master_Mapping_Sheet!$H$2:$H$3143=O$1))), 0, sum(filter(
Master_Mapping_Sheet!$E$2:$E$3143, ISNUMBER(
Master_Mapping_Sheet!$E$2:$E$3143),
Master_Mapping_Sheet!$H$2:$H$3143=O$1,
Master_Mapping_Sheet!$I$2:$I$3143=$A3))/sum(filter(
Master_M"&amp;"apping_Sheet!$E$2:$E$3143, ISNUMBER(
Master_Mapping_Sheet!$E$2:$E$3143),
Master_Mapping_Sheet!$H$2:$H$3143=O$1)))"),0.0)</f>
        <v>0</v>
      </c>
      <c r="P3" s="34">
        <f>IFERROR(__xludf.DUMMYFUNCTION("IF(ISNA(sum(filter(
Master_Mapping_Sheet!$E$2:$E$3143, ISNUMBER(
Master_Mapping_Sheet!$E$2:$E$3143),
Master_Mapping_Sheet!$H$2:$H$3143=P$1,
Master_Mapping_Sheet!$I$2:$I$3143=$A3))/sum(filter(
Master_Mapping_Sheet!$E$2:$E$3143, ISNUMBER(
Master_Mapping_She"&amp;"et!$E$2:$E$3143),
Master_Mapping_Sheet!$H$2:$H$3143=P$1))), 0, sum(filter(
Master_Mapping_Sheet!$E$2:$E$3143, ISNUMBER(
Master_Mapping_Sheet!$E$2:$E$3143),
Master_Mapping_Sheet!$H$2:$H$3143=P$1,
Master_Mapping_Sheet!$I$2:$I$3143=$A3))/sum(filter(
Master_M"&amp;"apping_Sheet!$E$2:$E$3143, ISNUMBER(
Master_Mapping_Sheet!$E$2:$E$3143),
Master_Mapping_Sheet!$H$2:$H$3143=P$1)))"),0.0)</f>
        <v>0</v>
      </c>
      <c r="Q3" s="34">
        <f>IFERROR(__xludf.DUMMYFUNCTION("IF(ISNA(sum(filter(
Master_Mapping_Sheet!$E$2:$E$3143, ISNUMBER(
Master_Mapping_Sheet!$E$2:$E$3143),
Master_Mapping_Sheet!$H$2:$H$3143=Q$1,
Master_Mapping_Sheet!$I$2:$I$3143=$A3))/sum(filter(
Master_Mapping_Sheet!$E$2:$E$3143, ISNUMBER(
Master_Mapping_She"&amp;"et!$E$2:$E$3143),
Master_Mapping_Sheet!$H$2:$H$3143=Q$1))), 0, sum(filter(
Master_Mapping_Sheet!$E$2:$E$3143, ISNUMBER(
Master_Mapping_Sheet!$E$2:$E$3143),
Master_Mapping_Sheet!$H$2:$H$3143=Q$1,
Master_Mapping_Sheet!$I$2:$I$3143=$A3))/sum(filter(
Master_M"&amp;"apping_Sheet!$E$2:$E$3143, ISNUMBER(
Master_Mapping_Sheet!$E$2:$E$3143),
Master_Mapping_Sheet!$H$2:$H$3143=Q$1)))"),0.0)</f>
        <v>0</v>
      </c>
      <c r="R3" s="34">
        <f>IFERROR(__xludf.DUMMYFUNCTION("IF(ISNA(sum(filter(
Master_Mapping_Sheet!$E$2:$E$3143, ISNUMBER(
Master_Mapping_Sheet!$E$2:$E$3143),
Master_Mapping_Sheet!$H$2:$H$3143=R$1,
Master_Mapping_Sheet!$I$2:$I$3143=$A3))/sum(filter(
Master_Mapping_Sheet!$E$2:$E$3143, ISNUMBER(
Master_Mapping_She"&amp;"et!$E$2:$E$3143),
Master_Mapping_Sheet!$H$2:$H$3143=R$1))), 0, sum(filter(
Master_Mapping_Sheet!$E$2:$E$3143, ISNUMBER(
Master_Mapping_Sheet!$E$2:$E$3143),
Master_Mapping_Sheet!$H$2:$H$3143=R$1,
Master_Mapping_Sheet!$I$2:$I$3143=$A3))/sum(filter(
Master_M"&amp;"apping_Sheet!$E$2:$E$3143, ISNUMBER(
Master_Mapping_Sheet!$E$2:$E$3143),
Master_Mapping_Sheet!$H$2:$H$3143=R$1)))"),0.0)</f>
        <v>0</v>
      </c>
      <c r="S3" s="34">
        <f>IFERROR(__xludf.DUMMYFUNCTION("IF(ISNA(sum(filter(
Master_Mapping_Sheet!$E$2:$E$3143, ISNUMBER(
Master_Mapping_Sheet!$E$2:$E$3143),
Master_Mapping_Sheet!$H$2:$H$3143=S$1,
Master_Mapping_Sheet!$I$2:$I$3143=$A3))/sum(filter(
Master_Mapping_Sheet!$E$2:$E$3143, ISNUMBER(
Master_Mapping_She"&amp;"et!$E$2:$E$3143),
Master_Mapping_Sheet!$H$2:$H$3143=S$1))), 0, sum(filter(
Master_Mapping_Sheet!$E$2:$E$3143, ISNUMBER(
Master_Mapping_Sheet!$E$2:$E$3143),
Master_Mapping_Sheet!$H$2:$H$3143=S$1,
Master_Mapping_Sheet!$I$2:$I$3143=$A3))/sum(filter(
Master_M"&amp;"apping_Sheet!$E$2:$E$3143, ISNUMBER(
Master_Mapping_Sheet!$E$2:$E$3143),
Master_Mapping_Sheet!$H$2:$H$3143=S$1)))"),0.0)</f>
        <v>0</v>
      </c>
      <c r="T3" s="34">
        <f>IFERROR(__xludf.DUMMYFUNCTION("IF(ISNA(sum(filter(
Master_Mapping_Sheet!$E$2:$E$3143, ISNUMBER(
Master_Mapping_Sheet!$E$2:$E$3143),
Master_Mapping_Sheet!$H$2:$H$3143=T$1,
Master_Mapping_Sheet!$I$2:$I$3143=$A3))/sum(filter(
Master_Mapping_Sheet!$E$2:$E$3143, ISNUMBER(
Master_Mapping_She"&amp;"et!$E$2:$E$3143),
Master_Mapping_Sheet!$H$2:$H$3143=T$1))), 0, sum(filter(
Master_Mapping_Sheet!$E$2:$E$3143, ISNUMBER(
Master_Mapping_Sheet!$E$2:$E$3143),
Master_Mapping_Sheet!$H$2:$H$3143=T$1,
Master_Mapping_Sheet!$I$2:$I$3143=$A3))/sum(filter(
Master_M"&amp;"apping_Sheet!$E$2:$E$3143, ISNUMBER(
Master_Mapping_Sheet!$E$2:$E$3143),
Master_Mapping_Sheet!$H$2:$H$3143=T$1)))"),0.0)</f>
        <v>0</v>
      </c>
      <c r="U3" s="34">
        <f>IFERROR(__xludf.DUMMYFUNCTION("IF(ISNA(sum(filter(
Master_Mapping_Sheet!$E$2:$E$3143, ISNUMBER(
Master_Mapping_Sheet!$E$2:$E$3143),
Master_Mapping_Sheet!$H$2:$H$3143=U$1,
Master_Mapping_Sheet!$I$2:$I$3143=$A3))/sum(filter(
Master_Mapping_Sheet!$E$2:$E$3143, ISNUMBER(
Master_Mapping_She"&amp;"et!$E$2:$E$3143),
Master_Mapping_Sheet!$H$2:$H$3143=U$1))), 0, sum(filter(
Master_Mapping_Sheet!$E$2:$E$3143, ISNUMBER(
Master_Mapping_Sheet!$E$2:$E$3143),
Master_Mapping_Sheet!$H$2:$H$3143=U$1,
Master_Mapping_Sheet!$I$2:$I$3143=$A3))/sum(filter(
Master_M"&amp;"apping_Sheet!$E$2:$E$3143, ISNUMBER(
Master_Mapping_Sheet!$E$2:$E$3143),
Master_Mapping_Sheet!$H$2:$H$3143=U$1)))"),0.0)</f>
        <v>0</v>
      </c>
      <c r="V3" s="34">
        <f>IFERROR(__xludf.DUMMYFUNCTION("IF(ISNA(sum(filter(
Master_Mapping_Sheet!$E$2:$E$3143, ISNUMBER(
Master_Mapping_Sheet!$E$2:$E$3143),
Master_Mapping_Sheet!$H$2:$H$3143=V$1,
Master_Mapping_Sheet!$I$2:$I$3143=$A3))/sum(filter(
Master_Mapping_Sheet!$E$2:$E$3143, ISNUMBER(
Master_Mapping_She"&amp;"et!$E$2:$E$3143),
Master_Mapping_Sheet!$H$2:$H$3143=V$1))), 0, sum(filter(
Master_Mapping_Sheet!$E$2:$E$3143, ISNUMBER(
Master_Mapping_Sheet!$E$2:$E$3143),
Master_Mapping_Sheet!$H$2:$H$3143=V$1,
Master_Mapping_Sheet!$I$2:$I$3143=$A3))/sum(filter(
Master_M"&amp;"apping_Sheet!$E$2:$E$3143, ISNUMBER(
Master_Mapping_Sheet!$E$2:$E$3143),
Master_Mapping_Sheet!$H$2:$H$3143=V$1)))"),0.0)</f>
        <v>0</v>
      </c>
      <c r="W3" s="34">
        <f>IFERROR(__xludf.DUMMYFUNCTION("IF(ISNA(sum(filter(
Master_Mapping_Sheet!$E$2:$E$3143, ISNUMBER(
Master_Mapping_Sheet!$E$2:$E$3143),
Master_Mapping_Sheet!$H$2:$H$3143=W$1,
Master_Mapping_Sheet!$I$2:$I$3143=$A3))/sum(filter(
Master_Mapping_Sheet!$E$2:$E$3143, ISNUMBER(
Master_Mapping_She"&amp;"et!$E$2:$E$3143),
Master_Mapping_Sheet!$H$2:$H$3143=W$1))), 0, sum(filter(
Master_Mapping_Sheet!$E$2:$E$3143, ISNUMBER(
Master_Mapping_Sheet!$E$2:$E$3143),
Master_Mapping_Sheet!$H$2:$H$3143=W$1,
Master_Mapping_Sheet!$I$2:$I$3143=$A3))/sum(filter(
Master_M"&amp;"apping_Sheet!$E$2:$E$3143, ISNUMBER(
Master_Mapping_Sheet!$E$2:$E$3143),
Master_Mapping_Sheet!$H$2:$H$3143=W$1)))"),0.0)</f>
        <v>0</v>
      </c>
      <c r="X3" s="34">
        <f>IFERROR(__xludf.DUMMYFUNCTION("IF(ISNA(sum(filter(
Master_Mapping_Sheet!$E$2:$E$3143, ISNUMBER(
Master_Mapping_Sheet!$E$2:$E$3143),
Master_Mapping_Sheet!$H$2:$H$3143=X$1,
Master_Mapping_Sheet!$I$2:$I$3143=$A3))/sum(filter(
Master_Mapping_Sheet!$E$2:$E$3143, ISNUMBER(
Master_Mapping_She"&amp;"et!$E$2:$E$3143),
Master_Mapping_Sheet!$H$2:$H$3143=X$1))), 0, sum(filter(
Master_Mapping_Sheet!$E$2:$E$3143, ISNUMBER(
Master_Mapping_Sheet!$E$2:$E$3143),
Master_Mapping_Sheet!$H$2:$H$3143=X$1,
Master_Mapping_Sheet!$I$2:$I$3143=$A3))/sum(filter(
Master_M"&amp;"apping_Sheet!$E$2:$E$3143, ISNUMBER(
Master_Mapping_Sheet!$E$2:$E$3143),
Master_Mapping_Sheet!$H$2:$H$3143=X$1)))"),0.0)</f>
        <v>0</v>
      </c>
      <c r="Y3" s="34">
        <f>IFERROR(__xludf.DUMMYFUNCTION("IF(ISNA(sum(filter(
Master_Mapping_Sheet!$E$2:$E$3143, ISNUMBER(
Master_Mapping_Sheet!$E$2:$E$3143),
Master_Mapping_Sheet!$H$2:$H$3143=Y$1,
Master_Mapping_Sheet!$I$2:$I$3143=$A3))/sum(filter(
Master_Mapping_Sheet!$E$2:$E$3143, ISNUMBER(
Master_Mapping_She"&amp;"et!$E$2:$E$3143),
Master_Mapping_Sheet!$H$2:$H$3143=Y$1))), 0, sum(filter(
Master_Mapping_Sheet!$E$2:$E$3143, ISNUMBER(
Master_Mapping_Sheet!$E$2:$E$3143),
Master_Mapping_Sheet!$H$2:$H$3143=Y$1,
Master_Mapping_Sheet!$I$2:$I$3143=$A3))/sum(filter(
Master_M"&amp;"apping_Sheet!$E$2:$E$3143, ISNUMBER(
Master_Mapping_Sheet!$E$2:$E$3143),
Master_Mapping_Sheet!$H$2:$H$3143=Y$1)))"),0.0)</f>
        <v>0</v>
      </c>
      <c r="Z3" s="34">
        <f>IFERROR(__xludf.DUMMYFUNCTION("IF(ISNA(sum(filter(
Master_Mapping_Sheet!$E$2:$E$3143, ISNUMBER(
Master_Mapping_Sheet!$E$2:$E$3143),
Master_Mapping_Sheet!$H$2:$H$3143=Z$1,
Master_Mapping_Sheet!$I$2:$I$3143=$A3))/sum(filter(
Master_Mapping_Sheet!$E$2:$E$3143, ISNUMBER(
Master_Mapping_She"&amp;"et!$E$2:$E$3143),
Master_Mapping_Sheet!$H$2:$H$3143=Z$1))), 0, sum(filter(
Master_Mapping_Sheet!$E$2:$E$3143, ISNUMBER(
Master_Mapping_Sheet!$E$2:$E$3143),
Master_Mapping_Sheet!$H$2:$H$3143=Z$1,
Master_Mapping_Sheet!$I$2:$I$3143=$A3))/sum(filter(
Master_M"&amp;"apping_Sheet!$E$2:$E$3143, ISNUMBER(
Master_Mapping_Sheet!$E$2:$E$3143),
Master_Mapping_Sheet!$H$2:$H$3143=Z$1)))"),0.0)</f>
        <v>0</v>
      </c>
    </row>
    <row r="4" ht="15.75" customHeight="1">
      <c r="A4" s="32">
        <v>3.0</v>
      </c>
      <c r="B4" s="34">
        <f>IFERROR(__xludf.DUMMYFUNCTION("IF(ISNA(sum(filter(
Master_Mapping_Sheet!$E$2:$E$3143, ISNUMBER(
Master_Mapping_Sheet!$E$2:$E$3143),
Master_Mapping_Sheet!$H$2:$H$3143=B$1,
Master_Mapping_Sheet!$I$2:$I$3143=$A4))/sum(filter(
Master_Mapping_Sheet!$E$2:$E$3143, ISNUMBER(
Master_Mapping_She"&amp;"et!$E$2:$E$3143),
Master_Mapping_Sheet!$H$2:$H$3143=B$1))), 0, sum(filter(
Master_Mapping_Sheet!$E$2:$E$3143, ISNUMBER(
Master_Mapping_Sheet!$E$2:$E$3143),
Master_Mapping_Sheet!$H$2:$H$3143=B$1,
Master_Mapping_Sheet!$I$2:$I$3143=$A4))/sum(filter(
Master_M"&amp;"apping_Sheet!$E$2:$E$3143, ISNUMBER(
Master_Mapping_Sheet!$E$2:$E$3143),
Master_Mapping_Sheet!$H$2:$H$3143=B$1)))"),0.0)</f>
        <v>0</v>
      </c>
      <c r="C4" s="34">
        <f>IFERROR(__xludf.DUMMYFUNCTION("IF(ISNA(sum(filter(
Master_Mapping_Sheet!$E$2:$E$3143, ISNUMBER(
Master_Mapping_Sheet!$E$2:$E$3143),
Master_Mapping_Sheet!$H$2:$H$3143=C$1,
Master_Mapping_Sheet!$I$2:$I$3143=$A4))/sum(filter(
Master_Mapping_Sheet!$E$2:$E$3143, ISNUMBER(
Master_Mapping_She"&amp;"et!$E$2:$E$3143),
Master_Mapping_Sheet!$H$2:$H$3143=C$1))), 0, sum(filter(
Master_Mapping_Sheet!$E$2:$E$3143, ISNUMBER(
Master_Mapping_Sheet!$E$2:$E$3143),
Master_Mapping_Sheet!$H$2:$H$3143=C$1,
Master_Mapping_Sheet!$I$2:$I$3143=$A4))/sum(filter(
Master_M"&amp;"apping_Sheet!$E$2:$E$3143, ISNUMBER(
Master_Mapping_Sheet!$E$2:$E$3143),
Master_Mapping_Sheet!$H$2:$H$3143=C$1)))"),0.0)</f>
        <v>0</v>
      </c>
      <c r="D4" s="34">
        <f>IFERROR(__xludf.DUMMYFUNCTION("IF(ISNA(sum(filter(
Master_Mapping_Sheet!$E$2:$E$3143, ISNUMBER(
Master_Mapping_Sheet!$E$2:$E$3143),
Master_Mapping_Sheet!$H$2:$H$3143=D$1,
Master_Mapping_Sheet!$I$2:$I$3143=$A4))/sum(filter(
Master_Mapping_Sheet!$E$2:$E$3143, ISNUMBER(
Master_Mapping_She"&amp;"et!$E$2:$E$3143),
Master_Mapping_Sheet!$H$2:$H$3143=D$1))), 0, sum(filter(
Master_Mapping_Sheet!$E$2:$E$3143, ISNUMBER(
Master_Mapping_Sheet!$E$2:$E$3143),
Master_Mapping_Sheet!$H$2:$H$3143=D$1,
Master_Mapping_Sheet!$I$2:$I$3143=$A4))/sum(filter(
Master_M"&amp;"apping_Sheet!$E$2:$E$3143, ISNUMBER(
Master_Mapping_Sheet!$E$2:$E$3143),
Master_Mapping_Sheet!$H$2:$H$3143=D$1)))"),0.43154781553898613)</f>
        <v>0.4315478155</v>
      </c>
      <c r="E4" s="34">
        <f>IFERROR(__xludf.DUMMYFUNCTION("IF(ISNA(sum(filter(
Master_Mapping_Sheet!$E$2:$E$3143, ISNUMBER(
Master_Mapping_Sheet!$E$2:$E$3143),
Master_Mapping_Sheet!$H$2:$H$3143=E$1,
Master_Mapping_Sheet!$I$2:$I$3143=$A4))/sum(filter(
Master_Mapping_Sheet!$E$2:$E$3143, ISNUMBER(
Master_Mapping_She"&amp;"et!$E$2:$E$3143),
Master_Mapping_Sheet!$H$2:$H$3143=E$1))), 0, sum(filter(
Master_Mapping_Sheet!$E$2:$E$3143, ISNUMBER(
Master_Mapping_Sheet!$E$2:$E$3143),
Master_Mapping_Sheet!$H$2:$H$3143=E$1,
Master_Mapping_Sheet!$I$2:$I$3143=$A4))/sum(filter(
Master_M"&amp;"apping_Sheet!$E$2:$E$3143, ISNUMBER(
Master_Mapping_Sheet!$E$2:$E$3143),
Master_Mapping_Sheet!$H$2:$H$3143=E$1)))"),0.6938798737638345)</f>
        <v>0.6938798738</v>
      </c>
      <c r="F4" s="34">
        <f>IFERROR(__xludf.DUMMYFUNCTION("IF(ISNA(sum(filter(
Master_Mapping_Sheet!$E$2:$E$3143, ISNUMBER(
Master_Mapping_Sheet!$E$2:$E$3143),
Master_Mapping_Sheet!$H$2:$H$3143=F$1,
Master_Mapping_Sheet!$I$2:$I$3143=$A4))/sum(filter(
Master_Mapping_Sheet!$E$2:$E$3143, ISNUMBER(
Master_Mapping_She"&amp;"et!$E$2:$E$3143),
Master_Mapping_Sheet!$H$2:$H$3143=F$1))), 0, sum(filter(
Master_Mapping_Sheet!$E$2:$E$3143, ISNUMBER(
Master_Mapping_Sheet!$E$2:$E$3143),
Master_Mapping_Sheet!$H$2:$H$3143=F$1,
Master_Mapping_Sheet!$I$2:$I$3143=$A4))/sum(filter(
Master_M"&amp;"apping_Sheet!$E$2:$E$3143, ISNUMBER(
Master_Mapping_Sheet!$E$2:$E$3143),
Master_Mapping_Sheet!$H$2:$H$3143=F$1)))"),1.0)</f>
        <v>1</v>
      </c>
      <c r="G4" s="34">
        <f>IFERROR(__xludf.DUMMYFUNCTION("IF(ISNA(sum(filter(
Master_Mapping_Sheet!$E$2:$E$3143, ISNUMBER(
Master_Mapping_Sheet!$E$2:$E$3143),
Master_Mapping_Sheet!$H$2:$H$3143=G$1,
Master_Mapping_Sheet!$I$2:$I$3143=$A4))/sum(filter(
Master_Mapping_Sheet!$E$2:$E$3143, ISNUMBER(
Master_Mapping_She"&amp;"et!$E$2:$E$3143),
Master_Mapping_Sheet!$H$2:$H$3143=G$1))), 0, sum(filter(
Master_Mapping_Sheet!$E$2:$E$3143, ISNUMBER(
Master_Mapping_Sheet!$E$2:$E$3143),
Master_Mapping_Sheet!$H$2:$H$3143=G$1,
Master_Mapping_Sheet!$I$2:$I$3143=$A4))/sum(filter(
Master_M"&amp;"apping_Sheet!$E$2:$E$3143, ISNUMBER(
Master_Mapping_Sheet!$E$2:$E$3143),
Master_Mapping_Sheet!$H$2:$H$3143=G$1)))"),0.0)</f>
        <v>0</v>
      </c>
      <c r="H4" s="34">
        <f>IFERROR(__xludf.DUMMYFUNCTION("IF(ISNA(sum(filter(
Master_Mapping_Sheet!$E$2:$E$3143, ISNUMBER(
Master_Mapping_Sheet!$E$2:$E$3143),
Master_Mapping_Sheet!$H$2:$H$3143=H$1,
Master_Mapping_Sheet!$I$2:$I$3143=$A4))/sum(filter(
Master_Mapping_Sheet!$E$2:$E$3143, ISNUMBER(
Master_Mapping_She"&amp;"et!$E$2:$E$3143),
Master_Mapping_Sheet!$H$2:$H$3143=H$1))), 0, sum(filter(
Master_Mapping_Sheet!$E$2:$E$3143, ISNUMBER(
Master_Mapping_Sheet!$E$2:$E$3143),
Master_Mapping_Sheet!$H$2:$H$3143=H$1,
Master_Mapping_Sheet!$I$2:$I$3143=$A4))/sum(filter(
Master_M"&amp;"apping_Sheet!$E$2:$E$3143, ISNUMBER(
Master_Mapping_Sheet!$E$2:$E$3143),
Master_Mapping_Sheet!$H$2:$H$3143=H$1)))"),0.0)</f>
        <v>0</v>
      </c>
      <c r="I4" s="34">
        <f>IFERROR(__xludf.DUMMYFUNCTION("IF(ISNA(sum(filter(
Master_Mapping_Sheet!$E$2:$E$3143, ISNUMBER(
Master_Mapping_Sheet!$E$2:$E$3143),
Master_Mapping_Sheet!$H$2:$H$3143=I$1,
Master_Mapping_Sheet!$I$2:$I$3143=$A4))/sum(filter(
Master_Mapping_Sheet!$E$2:$E$3143, ISNUMBER(
Master_Mapping_She"&amp;"et!$E$2:$E$3143),
Master_Mapping_Sheet!$H$2:$H$3143=I$1))), 0, sum(filter(
Master_Mapping_Sheet!$E$2:$E$3143, ISNUMBER(
Master_Mapping_Sheet!$E$2:$E$3143),
Master_Mapping_Sheet!$H$2:$H$3143=I$1,
Master_Mapping_Sheet!$I$2:$I$3143=$A4))/sum(filter(
Master_M"&amp;"apping_Sheet!$E$2:$E$3143, ISNUMBER(
Master_Mapping_Sheet!$E$2:$E$3143),
Master_Mapping_Sheet!$H$2:$H$3143=I$1)))"),0.0)</f>
        <v>0</v>
      </c>
      <c r="J4" s="34">
        <f>IFERROR(__xludf.DUMMYFUNCTION("IF(ISNA(sum(filter(
Master_Mapping_Sheet!$E$2:$E$3143, ISNUMBER(
Master_Mapping_Sheet!$E$2:$E$3143),
Master_Mapping_Sheet!$H$2:$H$3143=J$1,
Master_Mapping_Sheet!$I$2:$I$3143=$A4))/sum(filter(
Master_Mapping_Sheet!$E$2:$E$3143, ISNUMBER(
Master_Mapping_She"&amp;"et!$E$2:$E$3143),
Master_Mapping_Sheet!$H$2:$H$3143=J$1))), 0, sum(filter(
Master_Mapping_Sheet!$E$2:$E$3143, ISNUMBER(
Master_Mapping_Sheet!$E$2:$E$3143),
Master_Mapping_Sheet!$H$2:$H$3143=J$1,
Master_Mapping_Sheet!$I$2:$I$3143=$A4))/sum(filter(
Master_M"&amp;"apping_Sheet!$E$2:$E$3143, ISNUMBER(
Master_Mapping_Sheet!$E$2:$E$3143),
Master_Mapping_Sheet!$H$2:$H$3143=J$1)))"),0.0)</f>
        <v>0</v>
      </c>
      <c r="K4" s="34">
        <f>IFERROR(__xludf.DUMMYFUNCTION("IF(ISNA(sum(filter(
Master_Mapping_Sheet!$E$2:$E$3143, ISNUMBER(
Master_Mapping_Sheet!$E$2:$E$3143),
Master_Mapping_Sheet!$H$2:$H$3143=K$1,
Master_Mapping_Sheet!$I$2:$I$3143=$A4))/sum(filter(
Master_Mapping_Sheet!$E$2:$E$3143, ISNUMBER(
Master_Mapping_She"&amp;"et!$E$2:$E$3143),
Master_Mapping_Sheet!$H$2:$H$3143=K$1))), 0, sum(filter(
Master_Mapping_Sheet!$E$2:$E$3143, ISNUMBER(
Master_Mapping_Sheet!$E$2:$E$3143),
Master_Mapping_Sheet!$H$2:$H$3143=K$1,
Master_Mapping_Sheet!$I$2:$I$3143=$A4))/sum(filter(
Master_M"&amp;"apping_Sheet!$E$2:$E$3143, ISNUMBER(
Master_Mapping_Sheet!$E$2:$E$3143),
Master_Mapping_Sheet!$H$2:$H$3143=K$1)))"),0.0)</f>
        <v>0</v>
      </c>
      <c r="L4" s="34">
        <f>IFERROR(__xludf.DUMMYFUNCTION("IF(ISNA(sum(filter(
Master_Mapping_Sheet!$E$2:$E$3143, ISNUMBER(
Master_Mapping_Sheet!$E$2:$E$3143),
Master_Mapping_Sheet!$H$2:$H$3143=L$1,
Master_Mapping_Sheet!$I$2:$I$3143=$A4))/sum(filter(
Master_Mapping_Sheet!$E$2:$E$3143, ISNUMBER(
Master_Mapping_She"&amp;"et!$E$2:$E$3143),
Master_Mapping_Sheet!$H$2:$H$3143=L$1))), 0, sum(filter(
Master_Mapping_Sheet!$E$2:$E$3143, ISNUMBER(
Master_Mapping_Sheet!$E$2:$E$3143),
Master_Mapping_Sheet!$H$2:$H$3143=L$1,
Master_Mapping_Sheet!$I$2:$I$3143=$A4))/sum(filter(
Master_M"&amp;"apping_Sheet!$E$2:$E$3143, ISNUMBER(
Master_Mapping_Sheet!$E$2:$E$3143),
Master_Mapping_Sheet!$H$2:$H$3143=L$1)))"),0.6532696175610574)</f>
        <v>0.6532696176</v>
      </c>
      <c r="M4" s="34">
        <f>IFERROR(__xludf.DUMMYFUNCTION("IF(ISNA(sum(filter(
Master_Mapping_Sheet!$E$2:$E$3143, ISNUMBER(
Master_Mapping_Sheet!$E$2:$E$3143),
Master_Mapping_Sheet!$H$2:$H$3143=M$1,
Master_Mapping_Sheet!$I$2:$I$3143=$A4))/sum(filter(
Master_Mapping_Sheet!$E$2:$E$3143, ISNUMBER(
Master_Mapping_She"&amp;"et!$E$2:$E$3143),
Master_Mapping_Sheet!$H$2:$H$3143=M$1))), 0, sum(filter(
Master_Mapping_Sheet!$E$2:$E$3143, ISNUMBER(
Master_Mapping_Sheet!$E$2:$E$3143),
Master_Mapping_Sheet!$H$2:$H$3143=M$1,
Master_Mapping_Sheet!$I$2:$I$3143=$A4))/sum(filter(
Master_M"&amp;"apping_Sheet!$E$2:$E$3143, ISNUMBER(
Master_Mapping_Sheet!$E$2:$E$3143),
Master_Mapping_Sheet!$H$2:$H$3143=M$1)))"),1.0)</f>
        <v>1</v>
      </c>
      <c r="N4" s="34">
        <f>IFERROR(__xludf.DUMMYFUNCTION("IF(ISNA(sum(filter(
Master_Mapping_Sheet!$E$2:$E$3143, ISNUMBER(
Master_Mapping_Sheet!$E$2:$E$3143),
Master_Mapping_Sheet!$H$2:$H$3143=N$1,
Master_Mapping_Sheet!$I$2:$I$3143=$A4))/sum(filter(
Master_Mapping_Sheet!$E$2:$E$3143, ISNUMBER(
Master_Mapping_She"&amp;"et!$E$2:$E$3143),
Master_Mapping_Sheet!$H$2:$H$3143=N$1))), 0, sum(filter(
Master_Mapping_Sheet!$E$2:$E$3143, ISNUMBER(
Master_Mapping_Sheet!$E$2:$E$3143),
Master_Mapping_Sheet!$H$2:$H$3143=N$1,
Master_Mapping_Sheet!$I$2:$I$3143=$A4))/sum(filter(
Master_M"&amp;"apping_Sheet!$E$2:$E$3143, ISNUMBER(
Master_Mapping_Sheet!$E$2:$E$3143),
Master_Mapping_Sheet!$H$2:$H$3143=N$1)))"),0.0)</f>
        <v>0</v>
      </c>
      <c r="O4" s="34">
        <f>IFERROR(__xludf.DUMMYFUNCTION("IF(ISNA(sum(filter(
Master_Mapping_Sheet!$E$2:$E$3143, ISNUMBER(
Master_Mapping_Sheet!$E$2:$E$3143),
Master_Mapping_Sheet!$H$2:$H$3143=O$1,
Master_Mapping_Sheet!$I$2:$I$3143=$A4))/sum(filter(
Master_Mapping_Sheet!$E$2:$E$3143, ISNUMBER(
Master_Mapping_She"&amp;"et!$E$2:$E$3143),
Master_Mapping_Sheet!$H$2:$H$3143=O$1))), 0, sum(filter(
Master_Mapping_Sheet!$E$2:$E$3143, ISNUMBER(
Master_Mapping_Sheet!$E$2:$E$3143),
Master_Mapping_Sheet!$H$2:$H$3143=O$1,
Master_Mapping_Sheet!$I$2:$I$3143=$A4))/sum(filter(
Master_M"&amp;"apping_Sheet!$E$2:$E$3143, ISNUMBER(
Master_Mapping_Sheet!$E$2:$E$3143),
Master_Mapping_Sheet!$H$2:$H$3143=O$1)))"),0.0)</f>
        <v>0</v>
      </c>
      <c r="P4" s="34">
        <f>IFERROR(__xludf.DUMMYFUNCTION("IF(ISNA(sum(filter(
Master_Mapping_Sheet!$E$2:$E$3143, ISNUMBER(
Master_Mapping_Sheet!$E$2:$E$3143),
Master_Mapping_Sheet!$H$2:$H$3143=P$1,
Master_Mapping_Sheet!$I$2:$I$3143=$A4))/sum(filter(
Master_Mapping_Sheet!$E$2:$E$3143, ISNUMBER(
Master_Mapping_She"&amp;"et!$E$2:$E$3143),
Master_Mapping_Sheet!$H$2:$H$3143=P$1))), 0, sum(filter(
Master_Mapping_Sheet!$E$2:$E$3143, ISNUMBER(
Master_Mapping_Sheet!$E$2:$E$3143),
Master_Mapping_Sheet!$H$2:$H$3143=P$1,
Master_Mapping_Sheet!$I$2:$I$3143=$A4))/sum(filter(
Master_M"&amp;"apping_Sheet!$E$2:$E$3143, ISNUMBER(
Master_Mapping_Sheet!$E$2:$E$3143),
Master_Mapping_Sheet!$H$2:$H$3143=P$1)))"),0.0)</f>
        <v>0</v>
      </c>
      <c r="Q4" s="34">
        <f>IFERROR(__xludf.DUMMYFUNCTION("IF(ISNA(sum(filter(
Master_Mapping_Sheet!$E$2:$E$3143, ISNUMBER(
Master_Mapping_Sheet!$E$2:$E$3143),
Master_Mapping_Sheet!$H$2:$H$3143=Q$1,
Master_Mapping_Sheet!$I$2:$I$3143=$A4))/sum(filter(
Master_Mapping_Sheet!$E$2:$E$3143, ISNUMBER(
Master_Mapping_She"&amp;"et!$E$2:$E$3143),
Master_Mapping_Sheet!$H$2:$H$3143=Q$1))), 0, sum(filter(
Master_Mapping_Sheet!$E$2:$E$3143, ISNUMBER(
Master_Mapping_Sheet!$E$2:$E$3143),
Master_Mapping_Sheet!$H$2:$H$3143=Q$1,
Master_Mapping_Sheet!$I$2:$I$3143=$A4))/sum(filter(
Master_M"&amp;"apping_Sheet!$E$2:$E$3143, ISNUMBER(
Master_Mapping_Sheet!$E$2:$E$3143),
Master_Mapping_Sheet!$H$2:$H$3143=Q$1)))"),0.0)</f>
        <v>0</v>
      </c>
      <c r="R4" s="34">
        <f>IFERROR(__xludf.DUMMYFUNCTION("IF(ISNA(sum(filter(
Master_Mapping_Sheet!$E$2:$E$3143, ISNUMBER(
Master_Mapping_Sheet!$E$2:$E$3143),
Master_Mapping_Sheet!$H$2:$H$3143=R$1,
Master_Mapping_Sheet!$I$2:$I$3143=$A4))/sum(filter(
Master_Mapping_Sheet!$E$2:$E$3143, ISNUMBER(
Master_Mapping_She"&amp;"et!$E$2:$E$3143),
Master_Mapping_Sheet!$H$2:$H$3143=R$1))), 0, sum(filter(
Master_Mapping_Sheet!$E$2:$E$3143, ISNUMBER(
Master_Mapping_Sheet!$E$2:$E$3143),
Master_Mapping_Sheet!$H$2:$H$3143=R$1,
Master_Mapping_Sheet!$I$2:$I$3143=$A4))/sum(filter(
Master_M"&amp;"apping_Sheet!$E$2:$E$3143, ISNUMBER(
Master_Mapping_Sheet!$E$2:$E$3143),
Master_Mapping_Sheet!$H$2:$H$3143=R$1)))"),0.0)</f>
        <v>0</v>
      </c>
      <c r="S4" s="34">
        <f>IFERROR(__xludf.DUMMYFUNCTION("IF(ISNA(sum(filter(
Master_Mapping_Sheet!$E$2:$E$3143, ISNUMBER(
Master_Mapping_Sheet!$E$2:$E$3143),
Master_Mapping_Sheet!$H$2:$H$3143=S$1,
Master_Mapping_Sheet!$I$2:$I$3143=$A4))/sum(filter(
Master_Mapping_Sheet!$E$2:$E$3143, ISNUMBER(
Master_Mapping_She"&amp;"et!$E$2:$E$3143),
Master_Mapping_Sheet!$H$2:$H$3143=S$1))), 0, sum(filter(
Master_Mapping_Sheet!$E$2:$E$3143, ISNUMBER(
Master_Mapping_Sheet!$E$2:$E$3143),
Master_Mapping_Sheet!$H$2:$H$3143=S$1,
Master_Mapping_Sheet!$I$2:$I$3143=$A4))/sum(filter(
Master_M"&amp;"apping_Sheet!$E$2:$E$3143, ISNUMBER(
Master_Mapping_Sheet!$E$2:$E$3143),
Master_Mapping_Sheet!$H$2:$H$3143=S$1)))"),0.0)</f>
        <v>0</v>
      </c>
      <c r="T4" s="34">
        <f>IFERROR(__xludf.DUMMYFUNCTION("IF(ISNA(sum(filter(
Master_Mapping_Sheet!$E$2:$E$3143, ISNUMBER(
Master_Mapping_Sheet!$E$2:$E$3143),
Master_Mapping_Sheet!$H$2:$H$3143=T$1,
Master_Mapping_Sheet!$I$2:$I$3143=$A4))/sum(filter(
Master_Mapping_Sheet!$E$2:$E$3143, ISNUMBER(
Master_Mapping_She"&amp;"et!$E$2:$E$3143),
Master_Mapping_Sheet!$H$2:$H$3143=T$1))), 0, sum(filter(
Master_Mapping_Sheet!$E$2:$E$3143, ISNUMBER(
Master_Mapping_Sheet!$E$2:$E$3143),
Master_Mapping_Sheet!$H$2:$H$3143=T$1,
Master_Mapping_Sheet!$I$2:$I$3143=$A4))/sum(filter(
Master_M"&amp;"apping_Sheet!$E$2:$E$3143, ISNUMBER(
Master_Mapping_Sheet!$E$2:$E$3143),
Master_Mapping_Sheet!$H$2:$H$3143=T$1)))"),0.0)</f>
        <v>0</v>
      </c>
      <c r="U4" s="34">
        <f>IFERROR(__xludf.DUMMYFUNCTION("IF(ISNA(sum(filter(
Master_Mapping_Sheet!$E$2:$E$3143, ISNUMBER(
Master_Mapping_Sheet!$E$2:$E$3143),
Master_Mapping_Sheet!$H$2:$H$3143=U$1,
Master_Mapping_Sheet!$I$2:$I$3143=$A4))/sum(filter(
Master_Mapping_Sheet!$E$2:$E$3143, ISNUMBER(
Master_Mapping_She"&amp;"et!$E$2:$E$3143),
Master_Mapping_Sheet!$H$2:$H$3143=U$1))), 0, sum(filter(
Master_Mapping_Sheet!$E$2:$E$3143, ISNUMBER(
Master_Mapping_Sheet!$E$2:$E$3143),
Master_Mapping_Sheet!$H$2:$H$3143=U$1,
Master_Mapping_Sheet!$I$2:$I$3143=$A4))/sum(filter(
Master_M"&amp;"apping_Sheet!$E$2:$E$3143, ISNUMBER(
Master_Mapping_Sheet!$E$2:$E$3143),
Master_Mapping_Sheet!$H$2:$H$3143=U$1)))"),0.0)</f>
        <v>0</v>
      </c>
      <c r="V4" s="34">
        <f>IFERROR(__xludf.DUMMYFUNCTION("IF(ISNA(sum(filter(
Master_Mapping_Sheet!$E$2:$E$3143, ISNUMBER(
Master_Mapping_Sheet!$E$2:$E$3143),
Master_Mapping_Sheet!$H$2:$H$3143=V$1,
Master_Mapping_Sheet!$I$2:$I$3143=$A4))/sum(filter(
Master_Mapping_Sheet!$E$2:$E$3143, ISNUMBER(
Master_Mapping_She"&amp;"et!$E$2:$E$3143),
Master_Mapping_Sheet!$H$2:$H$3143=V$1))), 0, sum(filter(
Master_Mapping_Sheet!$E$2:$E$3143, ISNUMBER(
Master_Mapping_Sheet!$E$2:$E$3143),
Master_Mapping_Sheet!$H$2:$H$3143=V$1,
Master_Mapping_Sheet!$I$2:$I$3143=$A4))/sum(filter(
Master_M"&amp;"apping_Sheet!$E$2:$E$3143, ISNUMBER(
Master_Mapping_Sheet!$E$2:$E$3143),
Master_Mapping_Sheet!$H$2:$H$3143=V$1)))"),0.0)</f>
        <v>0</v>
      </c>
      <c r="W4" s="34">
        <f>IFERROR(__xludf.DUMMYFUNCTION("IF(ISNA(sum(filter(
Master_Mapping_Sheet!$E$2:$E$3143, ISNUMBER(
Master_Mapping_Sheet!$E$2:$E$3143),
Master_Mapping_Sheet!$H$2:$H$3143=W$1,
Master_Mapping_Sheet!$I$2:$I$3143=$A4))/sum(filter(
Master_Mapping_Sheet!$E$2:$E$3143, ISNUMBER(
Master_Mapping_She"&amp;"et!$E$2:$E$3143),
Master_Mapping_Sheet!$H$2:$H$3143=W$1))), 0, sum(filter(
Master_Mapping_Sheet!$E$2:$E$3143, ISNUMBER(
Master_Mapping_Sheet!$E$2:$E$3143),
Master_Mapping_Sheet!$H$2:$H$3143=W$1,
Master_Mapping_Sheet!$I$2:$I$3143=$A4))/sum(filter(
Master_M"&amp;"apping_Sheet!$E$2:$E$3143, ISNUMBER(
Master_Mapping_Sheet!$E$2:$E$3143),
Master_Mapping_Sheet!$H$2:$H$3143=W$1)))"),0.0)</f>
        <v>0</v>
      </c>
      <c r="X4" s="34">
        <f>IFERROR(__xludf.DUMMYFUNCTION("IF(ISNA(sum(filter(
Master_Mapping_Sheet!$E$2:$E$3143, ISNUMBER(
Master_Mapping_Sheet!$E$2:$E$3143),
Master_Mapping_Sheet!$H$2:$H$3143=X$1,
Master_Mapping_Sheet!$I$2:$I$3143=$A4))/sum(filter(
Master_Mapping_Sheet!$E$2:$E$3143, ISNUMBER(
Master_Mapping_She"&amp;"et!$E$2:$E$3143),
Master_Mapping_Sheet!$H$2:$H$3143=X$1))), 0, sum(filter(
Master_Mapping_Sheet!$E$2:$E$3143, ISNUMBER(
Master_Mapping_Sheet!$E$2:$E$3143),
Master_Mapping_Sheet!$H$2:$H$3143=X$1,
Master_Mapping_Sheet!$I$2:$I$3143=$A4))/sum(filter(
Master_M"&amp;"apping_Sheet!$E$2:$E$3143, ISNUMBER(
Master_Mapping_Sheet!$E$2:$E$3143),
Master_Mapping_Sheet!$H$2:$H$3143=X$1)))"),0.0)</f>
        <v>0</v>
      </c>
      <c r="Y4" s="34">
        <f>IFERROR(__xludf.DUMMYFUNCTION("IF(ISNA(sum(filter(
Master_Mapping_Sheet!$E$2:$E$3143, ISNUMBER(
Master_Mapping_Sheet!$E$2:$E$3143),
Master_Mapping_Sheet!$H$2:$H$3143=Y$1,
Master_Mapping_Sheet!$I$2:$I$3143=$A4))/sum(filter(
Master_Mapping_Sheet!$E$2:$E$3143, ISNUMBER(
Master_Mapping_She"&amp;"et!$E$2:$E$3143),
Master_Mapping_Sheet!$H$2:$H$3143=Y$1))), 0, sum(filter(
Master_Mapping_Sheet!$E$2:$E$3143, ISNUMBER(
Master_Mapping_Sheet!$E$2:$E$3143),
Master_Mapping_Sheet!$H$2:$H$3143=Y$1,
Master_Mapping_Sheet!$I$2:$I$3143=$A4))/sum(filter(
Master_M"&amp;"apping_Sheet!$E$2:$E$3143, ISNUMBER(
Master_Mapping_Sheet!$E$2:$E$3143),
Master_Mapping_Sheet!$H$2:$H$3143=Y$1)))"),0.0)</f>
        <v>0</v>
      </c>
      <c r="Z4" s="34">
        <f>IFERROR(__xludf.DUMMYFUNCTION("IF(ISNA(sum(filter(
Master_Mapping_Sheet!$E$2:$E$3143, ISNUMBER(
Master_Mapping_Sheet!$E$2:$E$3143),
Master_Mapping_Sheet!$H$2:$H$3143=Z$1,
Master_Mapping_Sheet!$I$2:$I$3143=$A4))/sum(filter(
Master_Mapping_Sheet!$E$2:$E$3143, ISNUMBER(
Master_Mapping_She"&amp;"et!$E$2:$E$3143),
Master_Mapping_Sheet!$H$2:$H$3143=Z$1))), 0, sum(filter(
Master_Mapping_Sheet!$E$2:$E$3143, ISNUMBER(
Master_Mapping_Sheet!$E$2:$E$3143),
Master_Mapping_Sheet!$H$2:$H$3143=Z$1,
Master_Mapping_Sheet!$I$2:$I$3143=$A4))/sum(filter(
Master_M"&amp;"apping_Sheet!$E$2:$E$3143, ISNUMBER(
Master_Mapping_Sheet!$E$2:$E$3143),
Master_Mapping_Sheet!$H$2:$H$3143=Z$1)))"),0.0)</f>
        <v>0</v>
      </c>
    </row>
    <row r="5" ht="15.75" customHeight="1">
      <c r="A5" s="32">
        <v>4.0</v>
      </c>
      <c r="B5" s="34">
        <f>IFERROR(__xludf.DUMMYFUNCTION("IF(ISNA(sum(filter(
Master_Mapping_Sheet!$E$2:$E$3143, ISNUMBER(
Master_Mapping_Sheet!$E$2:$E$3143),
Master_Mapping_Sheet!$H$2:$H$3143=B$1,
Master_Mapping_Sheet!$I$2:$I$3143=$A5))/sum(filter(
Master_Mapping_Sheet!$E$2:$E$3143, ISNUMBER(
Master_Mapping_She"&amp;"et!$E$2:$E$3143),
Master_Mapping_Sheet!$H$2:$H$3143=B$1))), 0, sum(filter(
Master_Mapping_Sheet!$E$2:$E$3143, ISNUMBER(
Master_Mapping_Sheet!$E$2:$E$3143),
Master_Mapping_Sheet!$H$2:$H$3143=B$1,
Master_Mapping_Sheet!$I$2:$I$3143=$A5))/sum(filter(
Master_M"&amp;"apping_Sheet!$E$2:$E$3143, ISNUMBER(
Master_Mapping_Sheet!$E$2:$E$3143),
Master_Mapping_Sheet!$H$2:$H$3143=B$1)))"),0.0)</f>
        <v>0</v>
      </c>
      <c r="C5" s="34">
        <f>IFERROR(__xludf.DUMMYFUNCTION("IF(ISNA(sum(filter(
Master_Mapping_Sheet!$E$2:$E$3143, ISNUMBER(
Master_Mapping_Sheet!$E$2:$E$3143),
Master_Mapping_Sheet!$H$2:$H$3143=C$1,
Master_Mapping_Sheet!$I$2:$I$3143=$A5))/sum(filter(
Master_Mapping_Sheet!$E$2:$E$3143, ISNUMBER(
Master_Mapping_She"&amp;"et!$E$2:$E$3143),
Master_Mapping_Sheet!$H$2:$H$3143=C$1))), 0, sum(filter(
Master_Mapping_Sheet!$E$2:$E$3143, ISNUMBER(
Master_Mapping_Sheet!$E$2:$E$3143),
Master_Mapping_Sheet!$H$2:$H$3143=C$1,
Master_Mapping_Sheet!$I$2:$I$3143=$A5))/sum(filter(
Master_M"&amp;"apping_Sheet!$E$2:$E$3143, ISNUMBER(
Master_Mapping_Sheet!$E$2:$E$3143),
Master_Mapping_Sheet!$H$2:$H$3143=C$1)))"),0.0)</f>
        <v>0</v>
      </c>
      <c r="D5" s="34">
        <f>IFERROR(__xludf.DUMMYFUNCTION("IF(ISNA(sum(filter(
Master_Mapping_Sheet!$E$2:$E$3143, ISNUMBER(
Master_Mapping_Sheet!$E$2:$E$3143),
Master_Mapping_Sheet!$H$2:$H$3143=D$1,
Master_Mapping_Sheet!$I$2:$I$3143=$A5))/sum(filter(
Master_Mapping_Sheet!$E$2:$E$3143, ISNUMBER(
Master_Mapping_She"&amp;"et!$E$2:$E$3143),
Master_Mapping_Sheet!$H$2:$H$3143=D$1))), 0, sum(filter(
Master_Mapping_Sheet!$E$2:$E$3143, ISNUMBER(
Master_Mapping_Sheet!$E$2:$E$3143),
Master_Mapping_Sheet!$H$2:$H$3143=D$1,
Master_Mapping_Sheet!$I$2:$I$3143=$A5))/sum(filter(
Master_M"&amp;"apping_Sheet!$E$2:$E$3143, ISNUMBER(
Master_Mapping_Sheet!$E$2:$E$3143),
Master_Mapping_Sheet!$H$2:$H$3143=D$1)))"),0.567981109384228)</f>
        <v>0.5679811094</v>
      </c>
      <c r="E5" s="34">
        <f>IFERROR(__xludf.DUMMYFUNCTION("IF(ISNA(sum(filter(
Master_Mapping_Sheet!$E$2:$E$3143, ISNUMBER(
Master_Mapping_Sheet!$E$2:$E$3143),
Master_Mapping_Sheet!$H$2:$H$3143=E$1,
Master_Mapping_Sheet!$I$2:$I$3143=$A5))/sum(filter(
Master_Mapping_Sheet!$E$2:$E$3143, ISNUMBER(
Master_Mapping_She"&amp;"et!$E$2:$E$3143),
Master_Mapping_Sheet!$H$2:$H$3143=E$1))), 0, sum(filter(
Master_Mapping_Sheet!$E$2:$E$3143, ISNUMBER(
Master_Mapping_Sheet!$E$2:$E$3143),
Master_Mapping_Sheet!$H$2:$H$3143=E$1,
Master_Mapping_Sheet!$I$2:$I$3143=$A5))/sum(filter(
Master_M"&amp;"apping_Sheet!$E$2:$E$3143, ISNUMBER(
Master_Mapping_Sheet!$E$2:$E$3143),
Master_Mapping_Sheet!$H$2:$H$3143=E$1)))"),0.30612012623616547)</f>
        <v>0.3061201262</v>
      </c>
      <c r="F5" s="34">
        <f>IFERROR(__xludf.DUMMYFUNCTION("IF(ISNA(sum(filter(
Master_Mapping_Sheet!$E$2:$E$3143, ISNUMBER(
Master_Mapping_Sheet!$E$2:$E$3143),
Master_Mapping_Sheet!$H$2:$H$3143=F$1,
Master_Mapping_Sheet!$I$2:$I$3143=$A5))/sum(filter(
Master_Mapping_Sheet!$E$2:$E$3143, ISNUMBER(
Master_Mapping_She"&amp;"et!$E$2:$E$3143),
Master_Mapping_Sheet!$H$2:$H$3143=F$1))), 0, sum(filter(
Master_Mapping_Sheet!$E$2:$E$3143, ISNUMBER(
Master_Mapping_Sheet!$E$2:$E$3143),
Master_Mapping_Sheet!$H$2:$H$3143=F$1,
Master_Mapping_Sheet!$I$2:$I$3143=$A5))/sum(filter(
Master_M"&amp;"apping_Sheet!$E$2:$E$3143, ISNUMBER(
Master_Mapping_Sheet!$E$2:$E$3143),
Master_Mapping_Sheet!$H$2:$H$3143=F$1)))"),0.0)</f>
        <v>0</v>
      </c>
      <c r="G5" s="34">
        <f>IFERROR(__xludf.DUMMYFUNCTION("IF(ISNA(sum(filter(
Master_Mapping_Sheet!$E$2:$E$3143, ISNUMBER(
Master_Mapping_Sheet!$E$2:$E$3143),
Master_Mapping_Sheet!$H$2:$H$3143=G$1,
Master_Mapping_Sheet!$I$2:$I$3143=$A5))/sum(filter(
Master_Mapping_Sheet!$E$2:$E$3143, ISNUMBER(
Master_Mapping_She"&amp;"et!$E$2:$E$3143),
Master_Mapping_Sheet!$H$2:$H$3143=G$1))), 0, sum(filter(
Master_Mapping_Sheet!$E$2:$E$3143, ISNUMBER(
Master_Mapping_Sheet!$E$2:$E$3143),
Master_Mapping_Sheet!$H$2:$H$3143=G$1,
Master_Mapping_Sheet!$I$2:$I$3143=$A5))/sum(filter(
Master_M"&amp;"apping_Sheet!$E$2:$E$3143, ISNUMBER(
Master_Mapping_Sheet!$E$2:$E$3143),
Master_Mapping_Sheet!$H$2:$H$3143=G$1)))"),0.0)</f>
        <v>0</v>
      </c>
      <c r="H5" s="34">
        <f>IFERROR(__xludf.DUMMYFUNCTION("IF(ISNA(sum(filter(
Master_Mapping_Sheet!$E$2:$E$3143, ISNUMBER(
Master_Mapping_Sheet!$E$2:$E$3143),
Master_Mapping_Sheet!$H$2:$H$3143=H$1,
Master_Mapping_Sheet!$I$2:$I$3143=$A5))/sum(filter(
Master_Mapping_Sheet!$E$2:$E$3143, ISNUMBER(
Master_Mapping_She"&amp;"et!$E$2:$E$3143),
Master_Mapping_Sheet!$H$2:$H$3143=H$1))), 0, sum(filter(
Master_Mapping_Sheet!$E$2:$E$3143, ISNUMBER(
Master_Mapping_Sheet!$E$2:$E$3143),
Master_Mapping_Sheet!$H$2:$H$3143=H$1,
Master_Mapping_Sheet!$I$2:$I$3143=$A5))/sum(filter(
Master_M"&amp;"apping_Sheet!$E$2:$E$3143, ISNUMBER(
Master_Mapping_Sheet!$E$2:$E$3143),
Master_Mapping_Sheet!$H$2:$H$3143=H$1)))"),0.0)</f>
        <v>0</v>
      </c>
      <c r="I5" s="34">
        <f>IFERROR(__xludf.DUMMYFUNCTION("IF(ISNA(sum(filter(
Master_Mapping_Sheet!$E$2:$E$3143, ISNUMBER(
Master_Mapping_Sheet!$E$2:$E$3143),
Master_Mapping_Sheet!$H$2:$H$3143=I$1,
Master_Mapping_Sheet!$I$2:$I$3143=$A5))/sum(filter(
Master_Mapping_Sheet!$E$2:$E$3143, ISNUMBER(
Master_Mapping_She"&amp;"et!$E$2:$E$3143),
Master_Mapping_Sheet!$H$2:$H$3143=I$1))), 0, sum(filter(
Master_Mapping_Sheet!$E$2:$E$3143, ISNUMBER(
Master_Mapping_Sheet!$E$2:$E$3143),
Master_Mapping_Sheet!$H$2:$H$3143=I$1,
Master_Mapping_Sheet!$I$2:$I$3143=$A5))/sum(filter(
Master_M"&amp;"apping_Sheet!$E$2:$E$3143, ISNUMBER(
Master_Mapping_Sheet!$E$2:$E$3143),
Master_Mapping_Sheet!$H$2:$H$3143=I$1)))"),0.0)</f>
        <v>0</v>
      </c>
      <c r="J5" s="34">
        <f>IFERROR(__xludf.DUMMYFUNCTION("IF(ISNA(sum(filter(
Master_Mapping_Sheet!$E$2:$E$3143, ISNUMBER(
Master_Mapping_Sheet!$E$2:$E$3143),
Master_Mapping_Sheet!$H$2:$H$3143=J$1,
Master_Mapping_Sheet!$I$2:$I$3143=$A5))/sum(filter(
Master_Mapping_Sheet!$E$2:$E$3143, ISNUMBER(
Master_Mapping_She"&amp;"et!$E$2:$E$3143),
Master_Mapping_Sheet!$H$2:$H$3143=J$1))), 0, sum(filter(
Master_Mapping_Sheet!$E$2:$E$3143, ISNUMBER(
Master_Mapping_Sheet!$E$2:$E$3143),
Master_Mapping_Sheet!$H$2:$H$3143=J$1,
Master_Mapping_Sheet!$I$2:$I$3143=$A5))/sum(filter(
Master_M"&amp;"apping_Sheet!$E$2:$E$3143, ISNUMBER(
Master_Mapping_Sheet!$E$2:$E$3143),
Master_Mapping_Sheet!$H$2:$H$3143=J$1)))"),0.0)</f>
        <v>0</v>
      </c>
      <c r="K5" s="34">
        <f>IFERROR(__xludf.DUMMYFUNCTION("IF(ISNA(sum(filter(
Master_Mapping_Sheet!$E$2:$E$3143, ISNUMBER(
Master_Mapping_Sheet!$E$2:$E$3143),
Master_Mapping_Sheet!$H$2:$H$3143=K$1,
Master_Mapping_Sheet!$I$2:$I$3143=$A5))/sum(filter(
Master_Mapping_Sheet!$E$2:$E$3143, ISNUMBER(
Master_Mapping_She"&amp;"et!$E$2:$E$3143),
Master_Mapping_Sheet!$H$2:$H$3143=K$1))), 0, sum(filter(
Master_Mapping_Sheet!$E$2:$E$3143, ISNUMBER(
Master_Mapping_Sheet!$E$2:$E$3143),
Master_Mapping_Sheet!$H$2:$H$3143=K$1,
Master_Mapping_Sheet!$I$2:$I$3143=$A5))/sum(filter(
Master_M"&amp;"apping_Sheet!$E$2:$E$3143, ISNUMBER(
Master_Mapping_Sheet!$E$2:$E$3143),
Master_Mapping_Sheet!$H$2:$H$3143=K$1)))"),0.0)</f>
        <v>0</v>
      </c>
      <c r="L5" s="34">
        <f>IFERROR(__xludf.DUMMYFUNCTION("IF(ISNA(sum(filter(
Master_Mapping_Sheet!$E$2:$E$3143, ISNUMBER(
Master_Mapping_Sheet!$E$2:$E$3143),
Master_Mapping_Sheet!$H$2:$H$3143=L$1,
Master_Mapping_Sheet!$I$2:$I$3143=$A5))/sum(filter(
Master_Mapping_Sheet!$E$2:$E$3143, ISNUMBER(
Master_Mapping_She"&amp;"et!$E$2:$E$3143),
Master_Mapping_Sheet!$H$2:$H$3143=L$1))), 0, sum(filter(
Master_Mapping_Sheet!$E$2:$E$3143, ISNUMBER(
Master_Mapping_Sheet!$E$2:$E$3143),
Master_Mapping_Sheet!$H$2:$H$3143=L$1,
Master_Mapping_Sheet!$I$2:$I$3143=$A5))/sum(filter(
Master_M"&amp;"apping_Sheet!$E$2:$E$3143, ISNUMBER(
Master_Mapping_Sheet!$E$2:$E$3143),
Master_Mapping_Sheet!$H$2:$H$3143=L$1)))"),0.0)</f>
        <v>0</v>
      </c>
      <c r="M5" s="34">
        <f>IFERROR(__xludf.DUMMYFUNCTION("IF(ISNA(sum(filter(
Master_Mapping_Sheet!$E$2:$E$3143, ISNUMBER(
Master_Mapping_Sheet!$E$2:$E$3143),
Master_Mapping_Sheet!$H$2:$H$3143=M$1,
Master_Mapping_Sheet!$I$2:$I$3143=$A5))/sum(filter(
Master_Mapping_Sheet!$E$2:$E$3143, ISNUMBER(
Master_Mapping_She"&amp;"et!$E$2:$E$3143),
Master_Mapping_Sheet!$H$2:$H$3143=M$1))), 0, sum(filter(
Master_Mapping_Sheet!$E$2:$E$3143, ISNUMBER(
Master_Mapping_Sheet!$E$2:$E$3143),
Master_Mapping_Sheet!$H$2:$H$3143=M$1,
Master_Mapping_Sheet!$I$2:$I$3143=$A5))/sum(filter(
Master_M"&amp;"apping_Sheet!$E$2:$E$3143, ISNUMBER(
Master_Mapping_Sheet!$E$2:$E$3143),
Master_Mapping_Sheet!$H$2:$H$3143=M$1)))"),0.0)</f>
        <v>0</v>
      </c>
      <c r="N5" s="34">
        <f>IFERROR(__xludf.DUMMYFUNCTION("IF(ISNA(sum(filter(
Master_Mapping_Sheet!$E$2:$E$3143, ISNUMBER(
Master_Mapping_Sheet!$E$2:$E$3143),
Master_Mapping_Sheet!$H$2:$H$3143=N$1,
Master_Mapping_Sheet!$I$2:$I$3143=$A5))/sum(filter(
Master_Mapping_Sheet!$E$2:$E$3143, ISNUMBER(
Master_Mapping_She"&amp;"et!$E$2:$E$3143),
Master_Mapping_Sheet!$H$2:$H$3143=N$1))), 0, sum(filter(
Master_Mapping_Sheet!$E$2:$E$3143, ISNUMBER(
Master_Mapping_Sheet!$E$2:$E$3143),
Master_Mapping_Sheet!$H$2:$H$3143=N$1,
Master_Mapping_Sheet!$I$2:$I$3143=$A5))/sum(filter(
Master_M"&amp;"apping_Sheet!$E$2:$E$3143, ISNUMBER(
Master_Mapping_Sheet!$E$2:$E$3143),
Master_Mapping_Sheet!$H$2:$H$3143=N$1)))"),0.0)</f>
        <v>0</v>
      </c>
      <c r="O5" s="34">
        <f>IFERROR(__xludf.DUMMYFUNCTION("IF(ISNA(sum(filter(
Master_Mapping_Sheet!$E$2:$E$3143, ISNUMBER(
Master_Mapping_Sheet!$E$2:$E$3143),
Master_Mapping_Sheet!$H$2:$H$3143=O$1,
Master_Mapping_Sheet!$I$2:$I$3143=$A5))/sum(filter(
Master_Mapping_Sheet!$E$2:$E$3143, ISNUMBER(
Master_Mapping_She"&amp;"et!$E$2:$E$3143),
Master_Mapping_Sheet!$H$2:$H$3143=O$1))), 0, sum(filter(
Master_Mapping_Sheet!$E$2:$E$3143, ISNUMBER(
Master_Mapping_Sheet!$E$2:$E$3143),
Master_Mapping_Sheet!$H$2:$H$3143=O$1,
Master_Mapping_Sheet!$I$2:$I$3143=$A5))/sum(filter(
Master_M"&amp;"apping_Sheet!$E$2:$E$3143, ISNUMBER(
Master_Mapping_Sheet!$E$2:$E$3143),
Master_Mapping_Sheet!$H$2:$H$3143=O$1)))"),0.0)</f>
        <v>0</v>
      </c>
      <c r="P5" s="34">
        <f>IFERROR(__xludf.DUMMYFUNCTION("IF(ISNA(sum(filter(
Master_Mapping_Sheet!$E$2:$E$3143, ISNUMBER(
Master_Mapping_Sheet!$E$2:$E$3143),
Master_Mapping_Sheet!$H$2:$H$3143=P$1,
Master_Mapping_Sheet!$I$2:$I$3143=$A5))/sum(filter(
Master_Mapping_Sheet!$E$2:$E$3143, ISNUMBER(
Master_Mapping_She"&amp;"et!$E$2:$E$3143),
Master_Mapping_Sheet!$H$2:$H$3143=P$1))), 0, sum(filter(
Master_Mapping_Sheet!$E$2:$E$3143, ISNUMBER(
Master_Mapping_Sheet!$E$2:$E$3143),
Master_Mapping_Sheet!$H$2:$H$3143=P$1,
Master_Mapping_Sheet!$I$2:$I$3143=$A5))/sum(filter(
Master_M"&amp;"apping_Sheet!$E$2:$E$3143, ISNUMBER(
Master_Mapping_Sheet!$E$2:$E$3143),
Master_Mapping_Sheet!$H$2:$H$3143=P$1)))"),0.0)</f>
        <v>0</v>
      </c>
      <c r="Q5" s="34">
        <f>IFERROR(__xludf.DUMMYFUNCTION("IF(ISNA(sum(filter(
Master_Mapping_Sheet!$E$2:$E$3143, ISNUMBER(
Master_Mapping_Sheet!$E$2:$E$3143),
Master_Mapping_Sheet!$H$2:$H$3143=Q$1,
Master_Mapping_Sheet!$I$2:$I$3143=$A5))/sum(filter(
Master_Mapping_Sheet!$E$2:$E$3143, ISNUMBER(
Master_Mapping_She"&amp;"et!$E$2:$E$3143),
Master_Mapping_Sheet!$H$2:$H$3143=Q$1))), 0, sum(filter(
Master_Mapping_Sheet!$E$2:$E$3143, ISNUMBER(
Master_Mapping_Sheet!$E$2:$E$3143),
Master_Mapping_Sheet!$H$2:$H$3143=Q$1,
Master_Mapping_Sheet!$I$2:$I$3143=$A5))/sum(filter(
Master_M"&amp;"apping_Sheet!$E$2:$E$3143, ISNUMBER(
Master_Mapping_Sheet!$E$2:$E$3143),
Master_Mapping_Sheet!$H$2:$H$3143=Q$1)))"),0.0)</f>
        <v>0</v>
      </c>
      <c r="R5" s="34">
        <f>IFERROR(__xludf.DUMMYFUNCTION("IF(ISNA(sum(filter(
Master_Mapping_Sheet!$E$2:$E$3143, ISNUMBER(
Master_Mapping_Sheet!$E$2:$E$3143),
Master_Mapping_Sheet!$H$2:$H$3143=R$1,
Master_Mapping_Sheet!$I$2:$I$3143=$A5))/sum(filter(
Master_Mapping_Sheet!$E$2:$E$3143, ISNUMBER(
Master_Mapping_She"&amp;"et!$E$2:$E$3143),
Master_Mapping_Sheet!$H$2:$H$3143=R$1))), 0, sum(filter(
Master_Mapping_Sheet!$E$2:$E$3143, ISNUMBER(
Master_Mapping_Sheet!$E$2:$E$3143),
Master_Mapping_Sheet!$H$2:$H$3143=R$1,
Master_Mapping_Sheet!$I$2:$I$3143=$A5))/sum(filter(
Master_M"&amp;"apping_Sheet!$E$2:$E$3143, ISNUMBER(
Master_Mapping_Sheet!$E$2:$E$3143),
Master_Mapping_Sheet!$H$2:$H$3143=R$1)))"),0.0)</f>
        <v>0</v>
      </c>
      <c r="S5" s="34">
        <f>IFERROR(__xludf.DUMMYFUNCTION("IF(ISNA(sum(filter(
Master_Mapping_Sheet!$E$2:$E$3143, ISNUMBER(
Master_Mapping_Sheet!$E$2:$E$3143),
Master_Mapping_Sheet!$H$2:$H$3143=S$1,
Master_Mapping_Sheet!$I$2:$I$3143=$A5))/sum(filter(
Master_Mapping_Sheet!$E$2:$E$3143, ISNUMBER(
Master_Mapping_She"&amp;"et!$E$2:$E$3143),
Master_Mapping_Sheet!$H$2:$H$3143=S$1))), 0, sum(filter(
Master_Mapping_Sheet!$E$2:$E$3143, ISNUMBER(
Master_Mapping_Sheet!$E$2:$E$3143),
Master_Mapping_Sheet!$H$2:$H$3143=S$1,
Master_Mapping_Sheet!$I$2:$I$3143=$A5))/sum(filter(
Master_M"&amp;"apping_Sheet!$E$2:$E$3143, ISNUMBER(
Master_Mapping_Sheet!$E$2:$E$3143),
Master_Mapping_Sheet!$H$2:$H$3143=S$1)))"),1.0)</f>
        <v>1</v>
      </c>
      <c r="T5" s="34">
        <f>IFERROR(__xludf.DUMMYFUNCTION("IF(ISNA(sum(filter(
Master_Mapping_Sheet!$E$2:$E$3143, ISNUMBER(
Master_Mapping_Sheet!$E$2:$E$3143),
Master_Mapping_Sheet!$H$2:$H$3143=T$1,
Master_Mapping_Sheet!$I$2:$I$3143=$A5))/sum(filter(
Master_Mapping_Sheet!$E$2:$E$3143, ISNUMBER(
Master_Mapping_She"&amp;"et!$E$2:$E$3143),
Master_Mapping_Sheet!$H$2:$H$3143=T$1))), 0, sum(filter(
Master_Mapping_Sheet!$E$2:$E$3143, ISNUMBER(
Master_Mapping_Sheet!$E$2:$E$3143),
Master_Mapping_Sheet!$H$2:$H$3143=T$1,
Master_Mapping_Sheet!$I$2:$I$3143=$A5))/sum(filter(
Master_M"&amp;"apping_Sheet!$E$2:$E$3143, ISNUMBER(
Master_Mapping_Sheet!$E$2:$E$3143),
Master_Mapping_Sheet!$H$2:$H$3143=T$1)))"),0.9919298192698129)</f>
        <v>0.9919298193</v>
      </c>
      <c r="U5" s="34">
        <f>IFERROR(__xludf.DUMMYFUNCTION("IF(ISNA(sum(filter(
Master_Mapping_Sheet!$E$2:$E$3143, ISNUMBER(
Master_Mapping_Sheet!$E$2:$E$3143),
Master_Mapping_Sheet!$H$2:$H$3143=U$1,
Master_Mapping_Sheet!$I$2:$I$3143=$A5))/sum(filter(
Master_Mapping_Sheet!$E$2:$E$3143, ISNUMBER(
Master_Mapping_She"&amp;"et!$E$2:$E$3143),
Master_Mapping_Sheet!$H$2:$H$3143=U$1))), 0, sum(filter(
Master_Mapping_Sheet!$E$2:$E$3143, ISNUMBER(
Master_Mapping_Sheet!$E$2:$E$3143),
Master_Mapping_Sheet!$H$2:$H$3143=U$1,
Master_Mapping_Sheet!$I$2:$I$3143=$A5))/sum(filter(
Master_M"&amp;"apping_Sheet!$E$2:$E$3143, ISNUMBER(
Master_Mapping_Sheet!$E$2:$E$3143),
Master_Mapping_Sheet!$H$2:$H$3143=U$1)))"),0.0)</f>
        <v>0</v>
      </c>
      <c r="V5" s="34">
        <f>IFERROR(__xludf.DUMMYFUNCTION("IF(ISNA(sum(filter(
Master_Mapping_Sheet!$E$2:$E$3143, ISNUMBER(
Master_Mapping_Sheet!$E$2:$E$3143),
Master_Mapping_Sheet!$H$2:$H$3143=V$1,
Master_Mapping_Sheet!$I$2:$I$3143=$A5))/sum(filter(
Master_Mapping_Sheet!$E$2:$E$3143, ISNUMBER(
Master_Mapping_She"&amp;"et!$E$2:$E$3143),
Master_Mapping_Sheet!$H$2:$H$3143=V$1))), 0, sum(filter(
Master_Mapping_Sheet!$E$2:$E$3143, ISNUMBER(
Master_Mapping_Sheet!$E$2:$E$3143),
Master_Mapping_Sheet!$H$2:$H$3143=V$1,
Master_Mapping_Sheet!$I$2:$I$3143=$A5))/sum(filter(
Master_M"&amp;"apping_Sheet!$E$2:$E$3143, ISNUMBER(
Master_Mapping_Sheet!$E$2:$E$3143),
Master_Mapping_Sheet!$H$2:$H$3143=V$1)))"),0.0)</f>
        <v>0</v>
      </c>
      <c r="W5" s="34">
        <f>IFERROR(__xludf.DUMMYFUNCTION("IF(ISNA(sum(filter(
Master_Mapping_Sheet!$E$2:$E$3143, ISNUMBER(
Master_Mapping_Sheet!$E$2:$E$3143),
Master_Mapping_Sheet!$H$2:$H$3143=W$1,
Master_Mapping_Sheet!$I$2:$I$3143=$A5))/sum(filter(
Master_Mapping_Sheet!$E$2:$E$3143, ISNUMBER(
Master_Mapping_She"&amp;"et!$E$2:$E$3143),
Master_Mapping_Sheet!$H$2:$H$3143=W$1))), 0, sum(filter(
Master_Mapping_Sheet!$E$2:$E$3143, ISNUMBER(
Master_Mapping_Sheet!$E$2:$E$3143),
Master_Mapping_Sheet!$H$2:$H$3143=W$1,
Master_Mapping_Sheet!$I$2:$I$3143=$A5))/sum(filter(
Master_M"&amp;"apping_Sheet!$E$2:$E$3143, ISNUMBER(
Master_Mapping_Sheet!$E$2:$E$3143),
Master_Mapping_Sheet!$H$2:$H$3143=W$1)))"),0.0)</f>
        <v>0</v>
      </c>
      <c r="X5" s="34">
        <f>IFERROR(__xludf.DUMMYFUNCTION("IF(ISNA(sum(filter(
Master_Mapping_Sheet!$E$2:$E$3143, ISNUMBER(
Master_Mapping_Sheet!$E$2:$E$3143),
Master_Mapping_Sheet!$H$2:$H$3143=X$1,
Master_Mapping_Sheet!$I$2:$I$3143=$A5))/sum(filter(
Master_Mapping_Sheet!$E$2:$E$3143, ISNUMBER(
Master_Mapping_She"&amp;"et!$E$2:$E$3143),
Master_Mapping_Sheet!$H$2:$H$3143=X$1))), 0, sum(filter(
Master_Mapping_Sheet!$E$2:$E$3143, ISNUMBER(
Master_Mapping_Sheet!$E$2:$E$3143),
Master_Mapping_Sheet!$H$2:$H$3143=X$1,
Master_Mapping_Sheet!$I$2:$I$3143=$A5))/sum(filter(
Master_M"&amp;"apping_Sheet!$E$2:$E$3143, ISNUMBER(
Master_Mapping_Sheet!$E$2:$E$3143),
Master_Mapping_Sheet!$H$2:$H$3143=X$1)))"),0.0)</f>
        <v>0</v>
      </c>
      <c r="Y5" s="34">
        <f>IFERROR(__xludf.DUMMYFUNCTION("IF(ISNA(sum(filter(
Master_Mapping_Sheet!$E$2:$E$3143, ISNUMBER(
Master_Mapping_Sheet!$E$2:$E$3143),
Master_Mapping_Sheet!$H$2:$H$3143=Y$1,
Master_Mapping_Sheet!$I$2:$I$3143=$A5))/sum(filter(
Master_Mapping_Sheet!$E$2:$E$3143, ISNUMBER(
Master_Mapping_She"&amp;"et!$E$2:$E$3143),
Master_Mapping_Sheet!$H$2:$H$3143=Y$1))), 0, sum(filter(
Master_Mapping_Sheet!$E$2:$E$3143, ISNUMBER(
Master_Mapping_Sheet!$E$2:$E$3143),
Master_Mapping_Sheet!$H$2:$H$3143=Y$1,
Master_Mapping_Sheet!$I$2:$I$3143=$A5))/sum(filter(
Master_M"&amp;"apping_Sheet!$E$2:$E$3143, ISNUMBER(
Master_Mapping_Sheet!$E$2:$E$3143),
Master_Mapping_Sheet!$H$2:$H$3143=Y$1)))"),0.012305487337699626)</f>
        <v>0.01230548734</v>
      </c>
      <c r="Z5" s="34">
        <f>IFERROR(__xludf.DUMMYFUNCTION("IF(ISNA(sum(filter(
Master_Mapping_Sheet!$E$2:$E$3143, ISNUMBER(
Master_Mapping_Sheet!$E$2:$E$3143),
Master_Mapping_Sheet!$H$2:$H$3143=Z$1,
Master_Mapping_Sheet!$I$2:$I$3143=$A5))/sum(filter(
Master_Mapping_Sheet!$E$2:$E$3143, ISNUMBER(
Master_Mapping_She"&amp;"et!$E$2:$E$3143),
Master_Mapping_Sheet!$H$2:$H$3143=Z$1))), 0, sum(filter(
Master_Mapping_Sheet!$E$2:$E$3143, ISNUMBER(
Master_Mapping_Sheet!$E$2:$E$3143),
Master_Mapping_Sheet!$H$2:$H$3143=Z$1,
Master_Mapping_Sheet!$I$2:$I$3143=$A5))/sum(filter(
Master_M"&amp;"apping_Sheet!$E$2:$E$3143, ISNUMBER(
Master_Mapping_Sheet!$E$2:$E$3143),
Master_Mapping_Sheet!$H$2:$H$3143=Z$1)))"),0.0)</f>
        <v>0</v>
      </c>
    </row>
    <row r="6" ht="15.75" customHeight="1">
      <c r="A6" s="32">
        <v>5.0</v>
      </c>
      <c r="B6" s="34">
        <f>IFERROR(__xludf.DUMMYFUNCTION("IF(ISNA(sum(filter(
Master_Mapping_Sheet!$E$2:$E$3143, ISNUMBER(
Master_Mapping_Sheet!$E$2:$E$3143),
Master_Mapping_Sheet!$H$2:$H$3143=B$1,
Master_Mapping_Sheet!$I$2:$I$3143=$A6))/sum(filter(
Master_Mapping_Sheet!$E$2:$E$3143, ISNUMBER(
Master_Mapping_She"&amp;"et!$E$2:$E$3143),
Master_Mapping_Sheet!$H$2:$H$3143=B$1))), 0, sum(filter(
Master_Mapping_Sheet!$E$2:$E$3143, ISNUMBER(
Master_Mapping_Sheet!$E$2:$E$3143),
Master_Mapping_Sheet!$H$2:$H$3143=B$1,
Master_Mapping_Sheet!$I$2:$I$3143=$A6))/sum(filter(
Master_M"&amp;"apping_Sheet!$E$2:$E$3143, ISNUMBER(
Master_Mapping_Sheet!$E$2:$E$3143),
Master_Mapping_Sheet!$H$2:$H$3143=B$1)))"),0.0)</f>
        <v>0</v>
      </c>
      <c r="C6" s="34">
        <f>IFERROR(__xludf.DUMMYFUNCTION("IF(ISNA(sum(filter(
Master_Mapping_Sheet!$E$2:$E$3143, ISNUMBER(
Master_Mapping_Sheet!$E$2:$E$3143),
Master_Mapping_Sheet!$H$2:$H$3143=C$1,
Master_Mapping_Sheet!$I$2:$I$3143=$A6))/sum(filter(
Master_Mapping_Sheet!$E$2:$E$3143, ISNUMBER(
Master_Mapping_She"&amp;"et!$E$2:$E$3143),
Master_Mapping_Sheet!$H$2:$H$3143=C$1))), 0, sum(filter(
Master_Mapping_Sheet!$E$2:$E$3143, ISNUMBER(
Master_Mapping_Sheet!$E$2:$E$3143),
Master_Mapping_Sheet!$H$2:$H$3143=C$1,
Master_Mapping_Sheet!$I$2:$I$3143=$A6))/sum(filter(
Master_M"&amp;"apping_Sheet!$E$2:$E$3143, ISNUMBER(
Master_Mapping_Sheet!$E$2:$E$3143),
Master_Mapping_Sheet!$H$2:$H$3143=C$1)))"),1.0)</f>
        <v>1</v>
      </c>
      <c r="D6" s="34">
        <f>IFERROR(__xludf.DUMMYFUNCTION("IF(ISNA(sum(filter(
Master_Mapping_Sheet!$E$2:$E$3143, ISNUMBER(
Master_Mapping_Sheet!$E$2:$E$3143),
Master_Mapping_Sheet!$H$2:$H$3143=D$1,
Master_Mapping_Sheet!$I$2:$I$3143=$A6))/sum(filter(
Master_Mapping_Sheet!$E$2:$E$3143, ISNUMBER(
Master_Mapping_She"&amp;"et!$E$2:$E$3143),
Master_Mapping_Sheet!$H$2:$H$3143=D$1))), 0, sum(filter(
Master_Mapping_Sheet!$E$2:$E$3143, ISNUMBER(
Master_Mapping_Sheet!$E$2:$E$3143),
Master_Mapping_Sheet!$H$2:$H$3143=D$1,
Master_Mapping_Sheet!$I$2:$I$3143=$A6))/sum(filter(
Master_M"&amp;"apping_Sheet!$E$2:$E$3143, ISNUMBER(
Master_Mapping_Sheet!$E$2:$E$3143),
Master_Mapping_Sheet!$H$2:$H$3143=D$1)))"),0.0)</f>
        <v>0</v>
      </c>
      <c r="E6" s="34">
        <f>IFERROR(__xludf.DUMMYFUNCTION("IF(ISNA(sum(filter(
Master_Mapping_Sheet!$E$2:$E$3143, ISNUMBER(
Master_Mapping_Sheet!$E$2:$E$3143),
Master_Mapping_Sheet!$H$2:$H$3143=E$1,
Master_Mapping_Sheet!$I$2:$I$3143=$A6))/sum(filter(
Master_Mapping_Sheet!$E$2:$E$3143, ISNUMBER(
Master_Mapping_She"&amp;"et!$E$2:$E$3143),
Master_Mapping_Sheet!$H$2:$H$3143=E$1))), 0, sum(filter(
Master_Mapping_Sheet!$E$2:$E$3143, ISNUMBER(
Master_Mapping_Sheet!$E$2:$E$3143),
Master_Mapping_Sheet!$H$2:$H$3143=E$1,
Master_Mapping_Sheet!$I$2:$I$3143=$A6))/sum(filter(
Master_M"&amp;"apping_Sheet!$E$2:$E$3143, ISNUMBER(
Master_Mapping_Sheet!$E$2:$E$3143),
Master_Mapping_Sheet!$H$2:$H$3143=E$1)))"),0.0)</f>
        <v>0</v>
      </c>
      <c r="F6" s="34">
        <f>IFERROR(__xludf.DUMMYFUNCTION("IF(ISNA(sum(filter(
Master_Mapping_Sheet!$E$2:$E$3143, ISNUMBER(
Master_Mapping_Sheet!$E$2:$E$3143),
Master_Mapping_Sheet!$H$2:$H$3143=F$1,
Master_Mapping_Sheet!$I$2:$I$3143=$A6))/sum(filter(
Master_Mapping_Sheet!$E$2:$E$3143, ISNUMBER(
Master_Mapping_She"&amp;"et!$E$2:$E$3143),
Master_Mapping_Sheet!$H$2:$H$3143=F$1))), 0, sum(filter(
Master_Mapping_Sheet!$E$2:$E$3143, ISNUMBER(
Master_Mapping_Sheet!$E$2:$E$3143),
Master_Mapping_Sheet!$H$2:$H$3143=F$1,
Master_Mapping_Sheet!$I$2:$I$3143=$A6))/sum(filter(
Master_M"&amp;"apping_Sheet!$E$2:$E$3143, ISNUMBER(
Master_Mapping_Sheet!$E$2:$E$3143),
Master_Mapping_Sheet!$H$2:$H$3143=F$1)))"),0.0)</f>
        <v>0</v>
      </c>
      <c r="G6" s="34">
        <f>IFERROR(__xludf.DUMMYFUNCTION("IF(ISNA(sum(filter(
Master_Mapping_Sheet!$E$2:$E$3143, ISNUMBER(
Master_Mapping_Sheet!$E$2:$E$3143),
Master_Mapping_Sheet!$H$2:$H$3143=G$1,
Master_Mapping_Sheet!$I$2:$I$3143=$A6))/sum(filter(
Master_Mapping_Sheet!$E$2:$E$3143, ISNUMBER(
Master_Mapping_She"&amp;"et!$E$2:$E$3143),
Master_Mapping_Sheet!$H$2:$H$3143=G$1))), 0, sum(filter(
Master_Mapping_Sheet!$E$2:$E$3143, ISNUMBER(
Master_Mapping_Sheet!$E$2:$E$3143),
Master_Mapping_Sheet!$H$2:$H$3143=G$1,
Master_Mapping_Sheet!$I$2:$I$3143=$A6))/sum(filter(
Master_M"&amp;"apping_Sheet!$E$2:$E$3143, ISNUMBER(
Master_Mapping_Sheet!$E$2:$E$3143),
Master_Mapping_Sheet!$H$2:$H$3143=G$1)))"),0.0)</f>
        <v>0</v>
      </c>
      <c r="H6" s="34">
        <f>IFERROR(__xludf.DUMMYFUNCTION("IF(ISNA(sum(filter(
Master_Mapping_Sheet!$E$2:$E$3143, ISNUMBER(
Master_Mapping_Sheet!$E$2:$E$3143),
Master_Mapping_Sheet!$H$2:$H$3143=H$1,
Master_Mapping_Sheet!$I$2:$I$3143=$A6))/sum(filter(
Master_Mapping_Sheet!$E$2:$E$3143, ISNUMBER(
Master_Mapping_She"&amp;"et!$E$2:$E$3143),
Master_Mapping_Sheet!$H$2:$H$3143=H$1))), 0, sum(filter(
Master_Mapping_Sheet!$E$2:$E$3143, ISNUMBER(
Master_Mapping_Sheet!$E$2:$E$3143),
Master_Mapping_Sheet!$H$2:$H$3143=H$1,
Master_Mapping_Sheet!$I$2:$I$3143=$A6))/sum(filter(
Master_M"&amp;"apping_Sheet!$E$2:$E$3143, ISNUMBER(
Master_Mapping_Sheet!$E$2:$E$3143),
Master_Mapping_Sheet!$H$2:$H$3143=H$1)))"),0.0)</f>
        <v>0</v>
      </c>
      <c r="I6" s="34">
        <f>IFERROR(__xludf.DUMMYFUNCTION("IF(ISNA(sum(filter(
Master_Mapping_Sheet!$E$2:$E$3143, ISNUMBER(
Master_Mapping_Sheet!$E$2:$E$3143),
Master_Mapping_Sheet!$H$2:$H$3143=I$1,
Master_Mapping_Sheet!$I$2:$I$3143=$A6))/sum(filter(
Master_Mapping_Sheet!$E$2:$E$3143, ISNUMBER(
Master_Mapping_She"&amp;"et!$E$2:$E$3143),
Master_Mapping_Sheet!$H$2:$H$3143=I$1))), 0, sum(filter(
Master_Mapping_Sheet!$E$2:$E$3143, ISNUMBER(
Master_Mapping_Sheet!$E$2:$E$3143),
Master_Mapping_Sheet!$H$2:$H$3143=I$1,
Master_Mapping_Sheet!$I$2:$I$3143=$A6))/sum(filter(
Master_M"&amp;"apping_Sheet!$E$2:$E$3143, ISNUMBER(
Master_Mapping_Sheet!$E$2:$E$3143),
Master_Mapping_Sheet!$H$2:$H$3143=I$1)))"),0.0)</f>
        <v>0</v>
      </c>
      <c r="J6" s="34">
        <f>IFERROR(__xludf.DUMMYFUNCTION("IF(ISNA(sum(filter(
Master_Mapping_Sheet!$E$2:$E$3143, ISNUMBER(
Master_Mapping_Sheet!$E$2:$E$3143),
Master_Mapping_Sheet!$H$2:$H$3143=J$1,
Master_Mapping_Sheet!$I$2:$I$3143=$A6))/sum(filter(
Master_Mapping_Sheet!$E$2:$E$3143, ISNUMBER(
Master_Mapping_She"&amp;"et!$E$2:$E$3143),
Master_Mapping_Sheet!$H$2:$H$3143=J$1))), 0, sum(filter(
Master_Mapping_Sheet!$E$2:$E$3143, ISNUMBER(
Master_Mapping_Sheet!$E$2:$E$3143),
Master_Mapping_Sheet!$H$2:$H$3143=J$1,
Master_Mapping_Sheet!$I$2:$I$3143=$A6))/sum(filter(
Master_M"&amp;"apping_Sheet!$E$2:$E$3143, ISNUMBER(
Master_Mapping_Sheet!$E$2:$E$3143),
Master_Mapping_Sheet!$H$2:$H$3143=J$1)))"),0.0)</f>
        <v>0</v>
      </c>
      <c r="K6" s="34">
        <f>IFERROR(__xludf.DUMMYFUNCTION("IF(ISNA(sum(filter(
Master_Mapping_Sheet!$E$2:$E$3143, ISNUMBER(
Master_Mapping_Sheet!$E$2:$E$3143),
Master_Mapping_Sheet!$H$2:$H$3143=K$1,
Master_Mapping_Sheet!$I$2:$I$3143=$A6))/sum(filter(
Master_Mapping_Sheet!$E$2:$E$3143, ISNUMBER(
Master_Mapping_She"&amp;"et!$E$2:$E$3143),
Master_Mapping_Sheet!$H$2:$H$3143=K$1))), 0, sum(filter(
Master_Mapping_Sheet!$E$2:$E$3143, ISNUMBER(
Master_Mapping_Sheet!$E$2:$E$3143),
Master_Mapping_Sheet!$H$2:$H$3143=K$1,
Master_Mapping_Sheet!$I$2:$I$3143=$A6))/sum(filter(
Master_M"&amp;"apping_Sheet!$E$2:$E$3143, ISNUMBER(
Master_Mapping_Sheet!$E$2:$E$3143),
Master_Mapping_Sheet!$H$2:$H$3143=K$1)))"),0.22075717448352203)</f>
        <v>0.2207571745</v>
      </c>
      <c r="L6" s="34">
        <f>IFERROR(__xludf.DUMMYFUNCTION("IF(ISNA(sum(filter(
Master_Mapping_Sheet!$E$2:$E$3143, ISNUMBER(
Master_Mapping_Sheet!$E$2:$E$3143),
Master_Mapping_Sheet!$H$2:$H$3143=L$1,
Master_Mapping_Sheet!$I$2:$I$3143=$A6))/sum(filter(
Master_Mapping_Sheet!$E$2:$E$3143, ISNUMBER(
Master_Mapping_She"&amp;"et!$E$2:$E$3143),
Master_Mapping_Sheet!$H$2:$H$3143=L$1))), 0, sum(filter(
Master_Mapping_Sheet!$E$2:$E$3143, ISNUMBER(
Master_Mapping_Sheet!$E$2:$E$3143),
Master_Mapping_Sheet!$H$2:$H$3143=L$1,
Master_Mapping_Sheet!$I$2:$I$3143=$A6))/sum(filter(
Master_M"&amp;"apping_Sheet!$E$2:$E$3143, ISNUMBER(
Master_Mapping_Sheet!$E$2:$E$3143),
Master_Mapping_Sheet!$H$2:$H$3143=L$1)))"),0.2060605140950965)</f>
        <v>0.2060605141</v>
      </c>
      <c r="M6" s="34">
        <f>IFERROR(__xludf.DUMMYFUNCTION("IF(ISNA(sum(filter(
Master_Mapping_Sheet!$E$2:$E$3143, ISNUMBER(
Master_Mapping_Sheet!$E$2:$E$3143),
Master_Mapping_Sheet!$H$2:$H$3143=M$1,
Master_Mapping_Sheet!$I$2:$I$3143=$A6))/sum(filter(
Master_Mapping_Sheet!$E$2:$E$3143, ISNUMBER(
Master_Mapping_She"&amp;"et!$E$2:$E$3143),
Master_Mapping_Sheet!$H$2:$H$3143=M$1))), 0, sum(filter(
Master_Mapping_Sheet!$E$2:$E$3143, ISNUMBER(
Master_Mapping_Sheet!$E$2:$E$3143),
Master_Mapping_Sheet!$H$2:$H$3143=M$1,
Master_Mapping_Sheet!$I$2:$I$3143=$A6))/sum(filter(
Master_M"&amp;"apping_Sheet!$E$2:$E$3143, ISNUMBER(
Master_Mapping_Sheet!$E$2:$E$3143),
Master_Mapping_Sheet!$H$2:$H$3143=M$1)))"),0.0)</f>
        <v>0</v>
      </c>
      <c r="N6" s="34">
        <f>IFERROR(__xludf.DUMMYFUNCTION("IF(ISNA(sum(filter(
Master_Mapping_Sheet!$E$2:$E$3143, ISNUMBER(
Master_Mapping_Sheet!$E$2:$E$3143),
Master_Mapping_Sheet!$H$2:$H$3143=N$1,
Master_Mapping_Sheet!$I$2:$I$3143=$A6))/sum(filter(
Master_Mapping_Sheet!$E$2:$E$3143, ISNUMBER(
Master_Mapping_She"&amp;"et!$E$2:$E$3143),
Master_Mapping_Sheet!$H$2:$H$3143=N$1))), 0, sum(filter(
Master_Mapping_Sheet!$E$2:$E$3143, ISNUMBER(
Master_Mapping_Sheet!$E$2:$E$3143),
Master_Mapping_Sheet!$H$2:$H$3143=N$1,
Master_Mapping_Sheet!$I$2:$I$3143=$A6))/sum(filter(
Master_M"&amp;"apping_Sheet!$E$2:$E$3143, ISNUMBER(
Master_Mapping_Sheet!$E$2:$E$3143),
Master_Mapping_Sheet!$H$2:$H$3143=N$1)))"),1.0)</f>
        <v>1</v>
      </c>
      <c r="O6" s="34">
        <f>IFERROR(__xludf.DUMMYFUNCTION("IF(ISNA(sum(filter(
Master_Mapping_Sheet!$E$2:$E$3143, ISNUMBER(
Master_Mapping_Sheet!$E$2:$E$3143),
Master_Mapping_Sheet!$H$2:$H$3143=O$1,
Master_Mapping_Sheet!$I$2:$I$3143=$A6))/sum(filter(
Master_Mapping_Sheet!$E$2:$E$3143, ISNUMBER(
Master_Mapping_She"&amp;"et!$E$2:$E$3143),
Master_Mapping_Sheet!$H$2:$H$3143=O$1))), 0, sum(filter(
Master_Mapping_Sheet!$E$2:$E$3143, ISNUMBER(
Master_Mapping_Sheet!$E$2:$E$3143),
Master_Mapping_Sheet!$H$2:$H$3143=O$1,
Master_Mapping_Sheet!$I$2:$I$3143=$A6))/sum(filter(
Master_M"&amp;"apping_Sheet!$E$2:$E$3143, ISNUMBER(
Master_Mapping_Sheet!$E$2:$E$3143),
Master_Mapping_Sheet!$H$2:$H$3143=O$1)))"),1.0)</f>
        <v>1</v>
      </c>
      <c r="P6" s="34">
        <f>IFERROR(__xludf.DUMMYFUNCTION("IF(ISNA(sum(filter(
Master_Mapping_Sheet!$E$2:$E$3143, ISNUMBER(
Master_Mapping_Sheet!$E$2:$E$3143),
Master_Mapping_Sheet!$H$2:$H$3143=P$1,
Master_Mapping_Sheet!$I$2:$I$3143=$A6))/sum(filter(
Master_Mapping_Sheet!$E$2:$E$3143, ISNUMBER(
Master_Mapping_She"&amp;"et!$E$2:$E$3143),
Master_Mapping_Sheet!$H$2:$H$3143=P$1))), 0, sum(filter(
Master_Mapping_Sheet!$E$2:$E$3143, ISNUMBER(
Master_Mapping_Sheet!$E$2:$E$3143),
Master_Mapping_Sheet!$H$2:$H$3143=P$1,
Master_Mapping_Sheet!$I$2:$I$3143=$A6))/sum(filter(
Master_M"&amp;"apping_Sheet!$E$2:$E$3143, ISNUMBER(
Master_Mapping_Sheet!$E$2:$E$3143),
Master_Mapping_Sheet!$H$2:$H$3143=P$1)))"),0.7003538251403216)</f>
        <v>0.7003538251</v>
      </c>
      <c r="Q6" s="34">
        <f>IFERROR(__xludf.DUMMYFUNCTION("IF(ISNA(sum(filter(
Master_Mapping_Sheet!$E$2:$E$3143, ISNUMBER(
Master_Mapping_Sheet!$E$2:$E$3143),
Master_Mapping_Sheet!$H$2:$H$3143=Q$1,
Master_Mapping_Sheet!$I$2:$I$3143=$A6))/sum(filter(
Master_Mapping_Sheet!$E$2:$E$3143, ISNUMBER(
Master_Mapping_She"&amp;"et!$E$2:$E$3143),
Master_Mapping_Sheet!$H$2:$H$3143=Q$1))), 0, sum(filter(
Master_Mapping_Sheet!$E$2:$E$3143, ISNUMBER(
Master_Mapping_Sheet!$E$2:$E$3143),
Master_Mapping_Sheet!$H$2:$H$3143=Q$1,
Master_Mapping_Sheet!$I$2:$I$3143=$A6))/sum(filter(
Master_M"&amp;"apping_Sheet!$E$2:$E$3143, ISNUMBER(
Master_Mapping_Sheet!$E$2:$E$3143),
Master_Mapping_Sheet!$H$2:$H$3143=Q$1)))"),0.012111589965140347)</f>
        <v>0.01211158997</v>
      </c>
      <c r="R6" s="34">
        <f>IFERROR(__xludf.DUMMYFUNCTION("IF(ISNA(sum(filter(
Master_Mapping_Sheet!$E$2:$E$3143, ISNUMBER(
Master_Mapping_Sheet!$E$2:$E$3143),
Master_Mapping_Sheet!$H$2:$H$3143=R$1,
Master_Mapping_Sheet!$I$2:$I$3143=$A6))/sum(filter(
Master_Mapping_Sheet!$E$2:$E$3143, ISNUMBER(
Master_Mapping_She"&amp;"et!$E$2:$E$3143),
Master_Mapping_Sheet!$H$2:$H$3143=R$1))), 0, sum(filter(
Master_Mapping_Sheet!$E$2:$E$3143, ISNUMBER(
Master_Mapping_Sheet!$E$2:$E$3143),
Master_Mapping_Sheet!$H$2:$H$3143=R$1,
Master_Mapping_Sheet!$I$2:$I$3143=$A6))/sum(filter(
Master_M"&amp;"apping_Sheet!$E$2:$E$3143, ISNUMBER(
Master_Mapping_Sheet!$E$2:$E$3143),
Master_Mapping_Sheet!$H$2:$H$3143=R$1)))"),0.0)</f>
        <v>0</v>
      </c>
      <c r="S6" s="34">
        <f>IFERROR(__xludf.DUMMYFUNCTION("IF(ISNA(sum(filter(
Master_Mapping_Sheet!$E$2:$E$3143, ISNUMBER(
Master_Mapping_Sheet!$E$2:$E$3143),
Master_Mapping_Sheet!$H$2:$H$3143=S$1,
Master_Mapping_Sheet!$I$2:$I$3143=$A6))/sum(filter(
Master_Mapping_Sheet!$E$2:$E$3143, ISNUMBER(
Master_Mapping_She"&amp;"et!$E$2:$E$3143),
Master_Mapping_Sheet!$H$2:$H$3143=S$1))), 0, sum(filter(
Master_Mapping_Sheet!$E$2:$E$3143, ISNUMBER(
Master_Mapping_Sheet!$E$2:$E$3143),
Master_Mapping_Sheet!$H$2:$H$3143=S$1,
Master_Mapping_Sheet!$I$2:$I$3143=$A6))/sum(filter(
Master_M"&amp;"apping_Sheet!$E$2:$E$3143, ISNUMBER(
Master_Mapping_Sheet!$E$2:$E$3143),
Master_Mapping_Sheet!$H$2:$H$3143=S$1)))"),0.0)</f>
        <v>0</v>
      </c>
      <c r="T6" s="34">
        <f>IFERROR(__xludf.DUMMYFUNCTION("IF(ISNA(sum(filter(
Master_Mapping_Sheet!$E$2:$E$3143, ISNUMBER(
Master_Mapping_Sheet!$E$2:$E$3143),
Master_Mapping_Sheet!$H$2:$H$3143=T$1,
Master_Mapping_Sheet!$I$2:$I$3143=$A6))/sum(filter(
Master_Mapping_Sheet!$E$2:$E$3143, ISNUMBER(
Master_Mapping_She"&amp;"et!$E$2:$E$3143),
Master_Mapping_Sheet!$H$2:$H$3143=T$1))), 0, sum(filter(
Master_Mapping_Sheet!$E$2:$E$3143, ISNUMBER(
Master_Mapping_Sheet!$E$2:$E$3143),
Master_Mapping_Sheet!$H$2:$H$3143=T$1,
Master_Mapping_Sheet!$I$2:$I$3143=$A6))/sum(filter(
Master_M"&amp;"apping_Sheet!$E$2:$E$3143, ISNUMBER(
Master_Mapping_Sheet!$E$2:$E$3143),
Master_Mapping_Sheet!$H$2:$H$3143=T$1)))"),0.0)</f>
        <v>0</v>
      </c>
      <c r="U6" s="34">
        <f>IFERROR(__xludf.DUMMYFUNCTION("IF(ISNA(sum(filter(
Master_Mapping_Sheet!$E$2:$E$3143, ISNUMBER(
Master_Mapping_Sheet!$E$2:$E$3143),
Master_Mapping_Sheet!$H$2:$H$3143=U$1,
Master_Mapping_Sheet!$I$2:$I$3143=$A6))/sum(filter(
Master_Mapping_Sheet!$E$2:$E$3143, ISNUMBER(
Master_Mapping_She"&amp;"et!$E$2:$E$3143),
Master_Mapping_Sheet!$H$2:$H$3143=U$1))), 0, sum(filter(
Master_Mapping_Sheet!$E$2:$E$3143, ISNUMBER(
Master_Mapping_Sheet!$E$2:$E$3143),
Master_Mapping_Sheet!$H$2:$H$3143=U$1,
Master_Mapping_Sheet!$I$2:$I$3143=$A6))/sum(filter(
Master_M"&amp;"apping_Sheet!$E$2:$E$3143, ISNUMBER(
Master_Mapping_Sheet!$E$2:$E$3143),
Master_Mapping_Sheet!$H$2:$H$3143=U$1)))"),0.0)</f>
        <v>0</v>
      </c>
      <c r="V6" s="34">
        <f>IFERROR(__xludf.DUMMYFUNCTION("IF(ISNA(sum(filter(
Master_Mapping_Sheet!$E$2:$E$3143, ISNUMBER(
Master_Mapping_Sheet!$E$2:$E$3143),
Master_Mapping_Sheet!$H$2:$H$3143=V$1,
Master_Mapping_Sheet!$I$2:$I$3143=$A6))/sum(filter(
Master_Mapping_Sheet!$E$2:$E$3143, ISNUMBER(
Master_Mapping_She"&amp;"et!$E$2:$E$3143),
Master_Mapping_Sheet!$H$2:$H$3143=V$1))), 0, sum(filter(
Master_Mapping_Sheet!$E$2:$E$3143, ISNUMBER(
Master_Mapping_Sheet!$E$2:$E$3143),
Master_Mapping_Sheet!$H$2:$H$3143=V$1,
Master_Mapping_Sheet!$I$2:$I$3143=$A6))/sum(filter(
Master_M"&amp;"apping_Sheet!$E$2:$E$3143, ISNUMBER(
Master_Mapping_Sheet!$E$2:$E$3143),
Master_Mapping_Sheet!$H$2:$H$3143=V$1)))"),0.0)</f>
        <v>0</v>
      </c>
      <c r="W6" s="34">
        <f>IFERROR(__xludf.DUMMYFUNCTION("IF(ISNA(sum(filter(
Master_Mapping_Sheet!$E$2:$E$3143, ISNUMBER(
Master_Mapping_Sheet!$E$2:$E$3143),
Master_Mapping_Sheet!$H$2:$H$3143=W$1,
Master_Mapping_Sheet!$I$2:$I$3143=$A6))/sum(filter(
Master_Mapping_Sheet!$E$2:$E$3143, ISNUMBER(
Master_Mapping_She"&amp;"et!$E$2:$E$3143),
Master_Mapping_Sheet!$H$2:$H$3143=W$1))), 0, sum(filter(
Master_Mapping_Sheet!$E$2:$E$3143, ISNUMBER(
Master_Mapping_Sheet!$E$2:$E$3143),
Master_Mapping_Sheet!$H$2:$H$3143=W$1,
Master_Mapping_Sheet!$I$2:$I$3143=$A6))/sum(filter(
Master_M"&amp;"apping_Sheet!$E$2:$E$3143, ISNUMBER(
Master_Mapping_Sheet!$E$2:$E$3143),
Master_Mapping_Sheet!$H$2:$H$3143=W$1)))"),0.0)</f>
        <v>0</v>
      </c>
      <c r="X6" s="34">
        <f>IFERROR(__xludf.DUMMYFUNCTION("IF(ISNA(sum(filter(
Master_Mapping_Sheet!$E$2:$E$3143, ISNUMBER(
Master_Mapping_Sheet!$E$2:$E$3143),
Master_Mapping_Sheet!$H$2:$H$3143=X$1,
Master_Mapping_Sheet!$I$2:$I$3143=$A6))/sum(filter(
Master_Mapping_Sheet!$E$2:$E$3143, ISNUMBER(
Master_Mapping_She"&amp;"et!$E$2:$E$3143),
Master_Mapping_Sheet!$H$2:$H$3143=X$1))), 0, sum(filter(
Master_Mapping_Sheet!$E$2:$E$3143, ISNUMBER(
Master_Mapping_Sheet!$E$2:$E$3143),
Master_Mapping_Sheet!$H$2:$H$3143=X$1,
Master_Mapping_Sheet!$I$2:$I$3143=$A6))/sum(filter(
Master_M"&amp;"apping_Sheet!$E$2:$E$3143, ISNUMBER(
Master_Mapping_Sheet!$E$2:$E$3143),
Master_Mapping_Sheet!$H$2:$H$3143=X$1)))"),0.0)</f>
        <v>0</v>
      </c>
      <c r="Y6" s="34">
        <f>IFERROR(__xludf.DUMMYFUNCTION("IF(ISNA(sum(filter(
Master_Mapping_Sheet!$E$2:$E$3143, ISNUMBER(
Master_Mapping_Sheet!$E$2:$E$3143),
Master_Mapping_Sheet!$H$2:$H$3143=Y$1,
Master_Mapping_Sheet!$I$2:$I$3143=$A6))/sum(filter(
Master_Mapping_Sheet!$E$2:$E$3143, ISNUMBER(
Master_Mapping_She"&amp;"et!$E$2:$E$3143),
Master_Mapping_Sheet!$H$2:$H$3143=Y$1))), 0, sum(filter(
Master_Mapping_Sheet!$E$2:$E$3143, ISNUMBER(
Master_Mapping_Sheet!$E$2:$E$3143),
Master_Mapping_Sheet!$H$2:$H$3143=Y$1,
Master_Mapping_Sheet!$I$2:$I$3143=$A6))/sum(filter(
Master_M"&amp;"apping_Sheet!$E$2:$E$3143, ISNUMBER(
Master_Mapping_Sheet!$E$2:$E$3143),
Master_Mapping_Sheet!$H$2:$H$3143=Y$1)))"),0.0)</f>
        <v>0</v>
      </c>
      <c r="Z6" s="34">
        <f>IFERROR(__xludf.DUMMYFUNCTION("IF(ISNA(sum(filter(
Master_Mapping_Sheet!$E$2:$E$3143, ISNUMBER(
Master_Mapping_Sheet!$E$2:$E$3143),
Master_Mapping_Sheet!$H$2:$H$3143=Z$1,
Master_Mapping_Sheet!$I$2:$I$3143=$A6))/sum(filter(
Master_Mapping_Sheet!$E$2:$E$3143, ISNUMBER(
Master_Mapping_She"&amp;"et!$E$2:$E$3143),
Master_Mapping_Sheet!$H$2:$H$3143=Z$1))), 0, sum(filter(
Master_Mapping_Sheet!$E$2:$E$3143, ISNUMBER(
Master_Mapping_Sheet!$E$2:$E$3143),
Master_Mapping_Sheet!$H$2:$H$3143=Z$1,
Master_Mapping_Sheet!$I$2:$I$3143=$A6))/sum(filter(
Master_M"&amp;"apping_Sheet!$E$2:$E$3143, ISNUMBER(
Master_Mapping_Sheet!$E$2:$E$3143),
Master_Mapping_Sheet!$H$2:$H$3143=Z$1)))"),0.0)</f>
        <v>0</v>
      </c>
    </row>
    <row r="7" ht="15.75" customHeight="1">
      <c r="A7" s="32">
        <v>6.0</v>
      </c>
      <c r="B7" s="34">
        <f>IFERROR(__xludf.DUMMYFUNCTION("IF(ISNA(sum(filter(
Master_Mapping_Sheet!$E$2:$E$3143, ISNUMBER(
Master_Mapping_Sheet!$E$2:$E$3143),
Master_Mapping_Sheet!$H$2:$H$3143=B$1,
Master_Mapping_Sheet!$I$2:$I$3143=$A7))/sum(filter(
Master_Mapping_Sheet!$E$2:$E$3143, ISNUMBER(
Master_Mapping_She"&amp;"et!$E$2:$E$3143),
Master_Mapping_Sheet!$H$2:$H$3143=B$1))), 0, sum(filter(
Master_Mapping_Sheet!$E$2:$E$3143, ISNUMBER(
Master_Mapping_Sheet!$E$2:$E$3143),
Master_Mapping_Sheet!$H$2:$H$3143=B$1,
Master_Mapping_Sheet!$I$2:$I$3143=$A7))/sum(filter(
Master_M"&amp;"apping_Sheet!$E$2:$E$3143, ISNUMBER(
Master_Mapping_Sheet!$E$2:$E$3143),
Master_Mapping_Sheet!$H$2:$H$3143=B$1)))"),0.0)</f>
        <v>0</v>
      </c>
      <c r="C7" s="34">
        <f>IFERROR(__xludf.DUMMYFUNCTION("IF(ISNA(sum(filter(
Master_Mapping_Sheet!$E$2:$E$3143, ISNUMBER(
Master_Mapping_Sheet!$E$2:$E$3143),
Master_Mapping_Sheet!$H$2:$H$3143=C$1,
Master_Mapping_Sheet!$I$2:$I$3143=$A7))/sum(filter(
Master_Mapping_Sheet!$E$2:$E$3143, ISNUMBER(
Master_Mapping_She"&amp;"et!$E$2:$E$3143),
Master_Mapping_Sheet!$H$2:$H$3143=C$1))), 0, sum(filter(
Master_Mapping_Sheet!$E$2:$E$3143, ISNUMBER(
Master_Mapping_Sheet!$E$2:$E$3143),
Master_Mapping_Sheet!$H$2:$H$3143=C$1,
Master_Mapping_Sheet!$I$2:$I$3143=$A7))/sum(filter(
Master_M"&amp;"apping_Sheet!$E$2:$E$3143, ISNUMBER(
Master_Mapping_Sheet!$E$2:$E$3143),
Master_Mapping_Sheet!$H$2:$H$3143=C$1)))"),0.0)</f>
        <v>0</v>
      </c>
      <c r="D7" s="34">
        <f>IFERROR(__xludf.DUMMYFUNCTION("IF(ISNA(sum(filter(
Master_Mapping_Sheet!$E$2:$E$3143, ISNUMBER(
Master_Mapping_Sheet!$E$2:$E$3143),
Master_Mapping_Sheet!$H$2:$H$3143=D$1,
Master_Mapping_Sheet!$I$2:$I$3143=$A7))/sum(filter(
Master_Mapping_Sheet!$E$2:$E$3143, ISNUMBER(
Master_Mapping_She"&amp;"et!$E$2:$E$3143),
Master_Mapping_Sheet!$H$2:$H$3143=D$1))), 0, sum(filter(
Master_Mapping_Sheet!$E$2:$E$3143, ISNUMBER(
Master_Mapping_Sheet!$E$2:$E$3143),
Master_Mapping_Sheet!$H$2:$H$3143=D$1,
Master_Mapping_Sheet!$I$2:$I$3143=$A7))/sum(filter(
Master_M"&amp;"apping_Sheet!$E$2:$E$3143, ISNUMBER(
Master_Mapping_Sheet!$E$2:$E$3143),
Master_Mapping_Sheet!$H$2:$H$3143=D$1)))"),0.0)</f>
        <v>0</v>
      </c>
      <c r="E7" s="34">
        <f>IFERROR(__xludf.DUMMYFUNCTION("IF(ISNA(sum(filter(
Master_Mapping_Sheet!$E$2:$E$3143, ISNUMBER(
Master_Mapping_Sheet!$E$2:$E$3143),
Master_Mapping_Sheet!$H$2:$H$3143=E$1,
Master_Mapping_Sheet!$I$2:$I$3143=$A7))/sum(filter(
Master_Mapping_Sheet!$E$2:$E$3143, ISNUMBER(
Master_Mapping_She"&amp;"et!$E$2:$E$3143),
Master_Mapping_Sheet!$H$2:$H$3143=E$1))), 0, sum(filter(
Master_Mapping_Sheet!$E$2:$E$3143, ISNUMBER(
Master_Mapping_Sheet!$E$2:$E$3143),
Master_Mapping_Sheet!$H$2:$H$3143=E$1,
Master_Mapping_Sheet!$I$2:$I$3143=$A7))/sum(filter(
Master_M"&amp;"apping_Sheet!$E$2:$E$3143, ISNUMBER(
Master_Mapping_Sheet!$E$2:$E$3143),
Master_Mapping_Sheet!$H$2:$H$3143=E$1)))"),0.0)</f>
        <v>0</v>
      </c>
      <c r="F7" s="34">
        <f>IFERROR(__xludf.DUMMYFUNCTION("IF(ISNA(sum(filter(
Master_Mapping_Sheet!$E$2:$E$3143, ISNUMBER(
Master_Mapping_Sheet!$E$2:$E$3143),
Master_Mapping_Sheet!$H$2:$H$3143=F$1,
Master_Mapping_Sheet!$I$2:$I$3143=$A7))/sum(filter(
Master_Mapping_Sheet!$E$2:$E$3143, ISNUMBER(
Master_Mapping_She"&amp;"et!$E$2:$E$3143),
Master_Mapping_Sheet!$H$2:$H$3143=F$1))), 0, sum(filter(
Master_Mapping_Sheet!$E$2:$E$3143, ISNUMBER(
Master_Mapping_Sheet!$E$2:$E$3143),
Master_Mapping_Sheet!$H$2:$H$3143=F$1,
Master_Mapping_Sheet!$I$2:$I$3143=$A7))/sum(filter(
Master_M"&amp;"apping_Sheet!$E$2:$E$3143, ISNUMBER(
Master_Mapping_Sheet!$E$2:$E$3143),
Master_Mapping_Sheet!$H$2:$H$3143=F$1)))"),0.0)</f>
        <v>0</v>
      </c>
      <c r="G7" s="34">
        <f>IFERROR(__xludf.DUMMYFUNCTION("IF(ISNA(sum(filter(
Master_Mapping_Sheet!$E$2:$E$3143, ISNUMBER(
Master_Mapping_Sheet!$E$2:$E$3143),
Master_Mapping_Sheet!$H$2:$H$3143=G$1,
Master_Mapping_Sheet!$I$2:$I$3143=$A7))/sum(filter(
Master_Mapping_Sheet!$E$2:$E$3143, ISNUMBER(
Master_Mapping_She"&amp;"et!$E$2:$E$3143),
Master_Mapping_Sheet!$H$2:$H$3143=G$1))), 0, sum(filter(
Master_Mapping_Sheet!$E$2:$E$3143, ISNUMBER(
Master_Mapping_Sheet!$E$2:$E$3143),
Master_Mapping_Sheet!$H$2:$H$3143=G$1,
Master_Mapping_Sheet!$I$2:$I$3143=$A7))/sum(filter(
Master_M"&amp;"apping_Sheet!$E$2:$E$3143, ISNUMBER(
Master_Mapping_Sheet!$E$2:$E$3143),
Master_Mapping_Sheet!$H$2:$H$3143=G$1)))"),0.16069810026835013)</f>
        <v>0.1606981003</v>
      </c>
      <c r="H7" s="34">
        <f>IFERROR(__xludf.DUMMYFUNCTION("IF(ISNA(sum(filter(
Master_Mapping_Sheet!$E$2:$E$3143, ISNUMBER(
Master_Mapping_Sheet!$E$2:$E$3143),
Master_Mapping_Sheet!$H$2:$H$3143=H$1,
Master_Mapping_Sheet!$I$2:$I$3143=$A7))/sum(filter(
Master_Mapping_Sheet!$E$2:$E$3143, ISNUMBER(
Master_Mapping_She"&amp;"et!$E$2:$E$3143),
Master_Mapping_Sheet!$H$2:$H$3143=H$1))), 0, sum(filter(
Master_Mapping_Sheet!$E$2:$E$3143, ISNUMBER(
Master_Mapping_Sheet!$E$2:$E$3143),
Master_Mapping_Sheet!$H$2:$H$3143=H$1,
Master_Mapping_Sheet!$I$2:$I$3143=$A7))/sum(filter(
Master_M"&amp;"apping_Sheet!$E$2:$E$3143, ISNUMBER(
Master_Mapping_Sheet!$E$2:$E$3143),
Master_Mapping_Sheet!$H$2:$H$3143=H$1)))"),0.0)</f>
        <v>0</v>
      </c>
      <c r="I7" s="34">
        <f>IFERROR(__xludf.DUMMYFUNCTION("IF(ISNA(sum(filter(
Master_Mapping_Sheet!$E$2:$E$3143, ISNUMBER(
Master_Mapping_Sheet!$E$2:$E$3143),
Master_Mapping_Sheet!$H$2:$H$3143=I$1,
Master_Mapping_Sheet!$I$2:$I$3143=$A7))/sum(filter(
Master_Mapping_Sheet!$E$2:$E$3143, ISNUMBER(
Master_Mapping_She"&amp;"et!$E$2:$E$3143),
Master_Mapping_Sheet!$H$2:$H$3143=I$1))), 0, sum(filter(
Master_Mapping_Sheet!$E$2:$E$3143, ISNUMBER(
Master_Mapping_Sheet!$E$2:$E$3143),
Master_Mapping_Sheet!$H$2:$H$3143=I$1,
Master_Mapping_Sheet!$I$2:$I$3143=$A7))/sum(filter(
Master_M"&amp;"apping_Sheet!$E$2:$E$3143, ISNUMBER(
Master_Mapping_Sheet!$E$2:$E$3143),
Master_Mapping_Sheet!$H$2:$H$3143=I$1)))"),0.0)</f>
        <v>0</v>
      </c>
      <c r="J7" s="34">
        <f>IFERROR(__xludf.DUMMYFUNCTION("IF(ISNA(sum(filter(
Master_Mapping_Sheet!$E$2:$E$3143, ISNUMBER(
Master_Mapping_Sheet!$E$2:$E$3143),
Master_Mapping_Sheet!$H$2:$H$3143=J$1,
Master_Mapping_Sheet!$I$2:$I$3143=$A7))/sum(filter(
Master_Mapping_Sheet!$E$2:$E$3143, ISNUMBER(
Master_Mapping_She"&amp;"et!$E$2:$E$3143),
Master_Mapping_Sheet!$H$2:$H$3143=J$1))), 0, sum(filter(
Master_Mapping_Sheet!$E$2:$E$3143, ISNUMBER(
Master_Mapping_Sheet!$E$2:$E$3143),
Master_Mapping_Sheet!$H$2:$H$3143=J$1,
Master_Mapping_Sheet!$I$2:$I$3143=$A7))/sum(filter(
Master_M"&amp;"apping_Sheet!$E$2:$E$3143, ISNUMBER(
Master_Mapping_Sheet!$E$2:$E$3143),
Master_Mapping_Sheet!$H$2:$H$3143=J$1)))"),0.0)</f>
        <v>0</v>
      </c>
      <c r="K7" s="34">
        <f>IFERROR(__xludf.DUMMYFUNCTION("IF(ISNA(sum(filter(
Master_Mapping_Sheet!$E$2:$E$3143, ISNUMBER(
Master_Mapping_Sheet!$E$2:$E$3143),
Master_Mapping_Sheet!$H$2:$H$3143=K$1,
Master_Mapping_Sheet!$I$2:$I$3143=$A7))/sum(filter(
Master_Mapping_Sheet!$E$2:$E$3143, ISNUMBER(
Master_Mapping_She"&amp;"et!$E$2:$E$3143),
Master_Mapping_Sheet!$H$2:$H$3143=K$1))), 0, sum(filter(
Master_Mapping_Sheet!$E$2:$E$3143, ISNUMBER(
Master_Mapping_Sheet!$E$2:$E$3143),
Master_Mapping_Sheet!$H$2:$H$3143=K$1,
Master_Mapping_Sheet!$I$2:$I$3143=$A7))/sum(filter(
Master_M"&amp;"apping_Sheet!$E$2:$E$3143, ISNUMBER(
Master_Mapping_Sheet!$E$2:$E$3143),
Master_Mapping_Sheet!$H$2:$H$3143=K$1)))"),0.0)</f>
        <v>0</v>
      </c>
      <c r="L7" s="34">
        <f>IFERROR(__xludf.DUMMYFUNCTION("IF(ISNA(sum(filter(
Master_Mapping_Sheet!$E$2:$E$3143, ISNUMBER(
Master_Mapping_Sheet!$E$2:$E$3143),
Master_Mapping_Sheet!$H$2:$H$3143=L$1,
Master_Mapping_Sheet!$I$2:$I$3143=$A7))/sum(filter(
Master_Mapping_Sheet!$E$2:$E$3143, ISNUMBER(
Master_Mapping_She"&amp;"et!$E$2:$E$3143),
Master_Mapping_Sheet!$H$2:$H$3143=L$1))), 0, sum(filter(
Master_Mapping_Sheet!$E$2:$E$3143, ISNUMBER(
Master_Mapping_Sheet!$E$2:$E$3143),
Master_Mapping_Sheet!$H$2:$H$3143=L$1,
Master_Mapping_Sheet!$I$2:$I$3143=$A7))/sum(filter(
Master_M"&amp;"apping_Sheet!$E$2:$E$3143, ISNUMBER(
Master_Mapping_Sheet!$E$2:$E$3143),
Master_Mapping_Sheet!$H$2:$H$3143=L$1)))"),0.018870587107574655)</f>
        <v>0.01887058711</v>
      </c>
      <c r="M7" s="34">
        <f>IFERROR(__xludf.DUMMYFUNCTION("IF(ISNA(sum(filter(
Master_Mapping_Sheet!$E$2:$E$3143, ISNUMBER(
Master_Mapping_Sheet!$E$2:$E$3143),
Master_Mapping_Sheet!$H$2:$H$3143=M$1,
Master_Mapping_Sheet!$I$2:$I$3143=$A7))/sum(filter(
Master_Mapping_Sheet!$E$2:$E$3143, ISNUMBER(
Master_Mapping_She"&amp;"et!$E$2:$E$3143),
Master_Mapping_Sheet!$H$2:$H$3143=M$1))), 0, sum(filter(
Master_Mapping_Sheet!$E$2:$E$3143, ISNUMBER(
Master_Mapping_Sheet!$E$2:$E$3143),
Master_Mapping_Sheet!$H$2:$H$3143=M$1,
Master_Mapping_Sheet!$I$2:$I$3143=$A7))/sum(filter(
Master_M"&amp;"apping_Sheet!$E$2:$E$3143, ISNUMBER(
Master_Mapping_Sheet!$E$2:$E$3143),
Master_Mapping_Sheet!$H$2:$H$3143=M$1)))"),0.0)</f>
        <v>0</v>
      </c>
      <c r="N7" s="34">
        <f>IFERROR(__xludf.DUMMYFUNCTION("IF(ISNA(sum(filter(
Master_Mapping_Sheet!$E$2:$E$3143, ISNUMBER(
Master_Mapping_Sheet!$E$2:$E$3143),
Master_Mapping_Sheet!$H$2:$H$3143=N$1,
Master_Mapping_Sheet!$I$2:$I$3143=$A7))/sum(filter(
Master_Mapping_Sheet!$E$2:$E$3143, ISNUMBER(
Master_Mapping_She"&amp;"et!$E$2:$E$3143),
Master_Mapping_Sheet!$H$2:$H$3143=N$1))), 0, sum(filter(
Master_Mapping_Sheet!$E$2:$E$3143, ISNUMBER(
Master_Mapping_Sheet!$E$2:$E$3143),
Master_Mapping_Sheet!$H$2:$H$3143=N$1,
Master_Mapping_Sheet!$I$2:$I$3143=$A7))/sum(filter(
Master_M"&amp;"apping_Sheet!$E$2:$E$3143, ISNUMBER(
Master_Mapping_Sheet!$E$2:$E$3143),
Master_Mapping_Sheet!$H$2:$H$3143=N$1)))"),0.0)</f>
        <v>0</v>
      </c>
      <c r="O7" s="34">
        <f>IFERROR(__xludf.DUMMYFUNCTION("IF(ISNA(sum(filter(
Master_Mapping_Sheet!$E$2:$E$3143, ISNUMBER(
Master_Mapping_Sheet!$E$2:$E$3143),
Master_Mapping_Sheet!$H$2:$H$3143=O$1,
Master_Mapping_Sheet!$I$2:$I$3143=$A7))/sum(filter(
Master_Mapping_Sheet!$E$2:$E$3143, ISNUMBER(
Master_Mapping_She"&amp;"et!$E$2:$E$3143),
Master_Mapping_Sheet!$H$2:$H$3143=O$1))), 0, sum(filter(
Master_Mapping_Sheet!$E$2:$E$3143, ISNUMBER(
Master_Mapping_Sheet!$E$2:$E$3143),
Master_Mapping_Sheet!$H$2:$H$3143=O$1,
Master_Mapping_Sheet!$I$2:$I$3143=$A7))/sum(filter(
Master_M"&amp;"apping_Sheet!$E$2:$E$3143, ISNUMBER(
Master_Mapping_Sheet!$E$2:$E$3143),
Master_Mapping_Sheet!$H$2:$H$3143=O$1)))"),0.0)</f>
        <v>0</v>
      </c>
      <c r="P7" s="34">
        <f>IFERROR(__xludf.DUMMYFUNCTION("IF(ISNA(sum(filter(
Master_Mapping_Sheet!$E$2:$E$3143, ISNUMBER(
Master_Mapping_Sheet!$E$2:$E$3143),
Master_Mapping_Sheet!$H$2:$H$3143=P$1,
Master_Mapping_Sheet!$I$2:$I$3143=$A7))/sum(filter(
Master_Mapping_Sheet!$E$2:$E$3143, ISNUMBER(
Master_Mapping_She"&amp;"et!$E$2:$E$3143),
Master_Mapping_Sheet!$H$2:$H$3143=P$1))), 0, sum(filter(
Master_Mapping_Sheet!$E$2:$E$3143, ISNUMBER(
Master_Mapping_Sheet!$E$2:$E$3143),
Master_Mapping_Sheet!$H$2:$H$3143=P$1,
Master_Mapping_Sheet!$I$2:$I$3143=$A7))/sum(filter(
Master_M"&amp;"apping_Sheet!$E$2:$E$3143, ISNUMBER(
Master_Mapping_Sheet!$E$2:$E$3143),
Master_Mapping_Sheet!$H$2:$H$3143=P$1)))"),0.2996461748596783)</f>
        <v>0.2996461749</v>
      </c>
      <c r="Q7" s="34">
        <f>IFERROR(__xludf.DUMMYFUNCTION("IF(ISNA(sum(filter(
Master_Mapping_Sheet!$E$2:$E$3143, ISNUMBER(
Master_Mapping_Sheet!$E$2:$E$3143),
Master_Mapping_Sheet!$H$2:$H$3143=Q$1,
Master_Mapping_Sheet!$I$2:$I$3143=$A7))/sum(filter(
Master_Mapping_Sheet!$E$2:$E$3143, ISNUMBER(
Master_Mapping_She"&amp;"et!$E$2:$E$3143),
Master_Mapping_Sheet!$H$2:$H$3143=Q$1))), 0, sum(filter(
Master_Mapping_Sheet!$E$2:$E$3143, ISNUMBER(
Master_Mapping_Sheet!$E$2:$E$3143),
Master_Mapping_Sheet!$H$2:$H$3143=Q$1,
Master_Mapping_Sheet!$I$2:$I$3143=$A7))/sum(filter(
Master_M"&amp;"apping_Sheet!$E$2:$E$3143, ISNUMBER(
Master_Mapping_Sheet!$E$2:$E$3143),
Master_Mapping_Sheet!$H$2:$H$3143=Q$1)))"),0.9878884100348596)</f>
        <v>0.98788841</v>
      </c>
      <c r="R7" s="34">
        <f>IFERROR(__xludf.DUMMYFUNCTION("IF(ISNA(sum(filter(
Master_Mapping_Sheet!$E$2:$E$3143, ISNUMBER(
Master_Mapping_Sheet!$E$2:$E$3143),
Master_Mapping_Sheet!$H$2:$H$3143=R$1,
Master_Mapping_Sheet!$I$2:$I$3143=$A7))/sum(filter(
Master_Mapping_Sheet!$E$2:$E$3143, ISNUMBER(
Master_Mapping_She"&amp;"et!$E$2:$E$3143),
Master_Mapping_Sheet!$H$2:$H$3143=R$1))), 0, sum(filter(
Master_Mapping_Sheet!$E$2:$E$3143, ISNUMBER(
Master_Mapping_Sheet!$E$2:$E$3143),
Master_Mapping_Sheet!$H$2:$H$3143=R$1,
Master_Mapping_Sheet!$I$2:$I$3143=$A7))/sum(filter(
Master_M"&amp;"apping_Sheet!$E$2:$E$3143, ISNUMBER(
Master_Mapping_Sheet!$E$2:$E$3143),
Master_Mapping_Sheet!$H$2:$H$3143=R$1)))"),0.0)</f>
        <v>0</v>
      </c>
      <c r="S7" s="34">
        <f>IFERROR(__xludf.DUMMYFUNCTION("IF(ISNA(sum(filter(
Master_Mapping_Sheet!$E$2:$E$3143, ISNUMBER(
Master_Mapping_Sheet!$E$2:$E$3143),
Master_Mapping_Sheet!$H$2:$H$3143=S$1,
Master_Mapping_Sheet!$I$2:$I$3143=$A7))/sum(filter(
Master_Mapping_Sheet!$E$2:$E$3143, ISNUMBER(
Master_Mapping_She"&amp;"et!$E$2:$E$3143),
Master_Mapping_Sheet!$H$2:$H$3143=S$1))), 0, sum(filter(
Master_Mapping_Sheet!$E$2:$E$3143, ISNUMBER(
Master_Mapping_Sheet!$E$2:$E$3143),
Master_Mapping_Sheet!$H$2:$H$3143=S$1,
Master_Mapping_Sheet!$I$2:$I$3143=$A7))/sum(filter(
Master_M"&amp;"apping_Sheet!$E$2:$E$3143, ISNUMBER(
Master_Mapping_Sheet!$E$2:$E$3143),
Master_Mapping_Sheet!$H$2:$H$3143=S$1)))"),0.0)</f>
        <v>0</v>
      </c>
      <c r="T7" s="34">
        <f>IFERROR(__xludf.DUMMYFUNCTION("IF(ISNA(sum(filter(
Master_Mapping_Sheet!$E$2:$E$3143, ISNUMBER(
Master_Mapping_Sheet!$E$2:$E$3143),
Master_Mapping_Sheet!$H$2:$H$3143=T$1,
Master_Mapping_Sheet!$I$2:$I$3143=$A7))/sum(filter(
Master_Mapping_Sheet!$E$2:$E$3143, ISNUMBER(
Master_Mapping_She"&amp;"et!$E$2:$E$3143),
Master_Mapping_Sheet!$H$2:$H$3143=T$1))), 0, sum(filter(
Master_Mapping_Sheet!$E$2:$E$3143, ISNUMBER(
Master_Mapping_Sheet!$E$2:$E$3143),
Master_Mapping_Sheet!$H$2:$H$3143=T$1,
Master_Mapping_Sheet!$I$2:$I$3143=$A7))/sum(filter(
Master_M"&amp;"apping_Sheet!$E$2:$E$3143, ISNUMBER(
Master_Mapping_Sheet!$E$2:$E$3143),
Master_Mapping_Sheet!$H$2:$H$3143=T$1)))"),0.0)</f>
        <v>0</v>
      </c>
      <c r="U7" s="34">
        <f>IFERROR(__xludf.DUMMYFUNCTION("IF(ISNA(sum(filter(
Master_Mapping_Sheet!$E$2:$E$3143, ISNUMBER(
Master_Mapping_Sheet!$E$2:$E$3143),
Master_Mapping_Sheet!$H$2:$H$3143=U$1,
Master_Mapping_Sheet!$I$2:$I$3143=$A7))/sum(filter(
Master_Mapping_Sheet!$E$2:$E$3143, ISNUMBER(
Master_Mapping_She"&amp;"et!$E$2:$E$3143),
Master_Mapping_Sheet!$H$2:$H$3143=U$1))), 0, sum(filter(
Master_Mapping_Sheet!$E$2:$E$3143, ISNUMBER(
Master_Mapping_Sheet!$E$2:$E$3143),
Master_Mapping_Sheet!$H$2:$H$3143=U$1,
Master_Mapping_Sheet!$I$2:$I$3143=$A7))/sum(filter(
Master_M"&amp;"apping_Sheet!$E$2:$E$3143, ISNUMBER(
Master_Mapping_Sheet!$E$2:$E$3143),
Master_Mapping_Sheet!$H$2:$H$3143=U$1)))"),0.0)</f>
        <v>0</v>
      </c>
      <c r="V7" s="34">
        <f>IFERROR(__xludf.DUMMYFUNCTION("IF(ISNA(sum(filter(
Master_Mapping_Sheet!$E$2:$E$3143, ISNUMBER(
Master_Mapping_Sheet!$E$2:$E$3143),
Master_Mapping_Sheet!$H$2:$H$3143=V$1,
Master_Mapping_Sheet!$I$2:$I$3143=$A7))/sum(filter(
Master_Mapping_Sheet!$E$2:$E$3143, ISNUMBER(
Master_Mapping_She"&amp;"et!$E$2:$E$3143),
Master_Mapping_Sheet!$H$2:$H$3143=V$1))), 0, sum(filter(
Master_Mapping_Sheet!$E$2:$E$3143, ISNUMBER(
Master_Mapping_Sheet!$E$2:$E$3143),
Master_Mapping_Sheet!$H$2:$H$3143=V$1,
Master_Mapping_Sheet!$I$2:$I$3143=$A7))/sum(filter(
Master_M"&amp;"apping_Sheet!$E$2:$E$3143, ISNUMBER(
Master_Mapping_Sheet!$E$2:$E$3143),
Master_Mapping_Sheet!$H$2:$H$3143=V$1)))"),0.0)</f>
        <v>0</v>
      </c>
      <c r="W7" s="34">
        <f>IFERROR(__xludf.DUMMYFUNCTION("IF(ISNA(sum(filter(
Master_Mapping_Sheet!$E$2:$E$3143, ISNUMBER(
Master_Mapping_Sheet!$E$2:$E$3143),
Master_Mapping_Sheet!$H$2:$H$3143=W$1,
Master_Mapping_Sheet!$I$2:$I$3143=$A7))/sum(filter(
Master_Mapping_Sheet!$E$2:$E$3143, ISNUMBER(
Master_Mapping_She"&amp;"et!$E$2:$E$3143),
Master_Mapping_Sheet!$H$2:$H$3143=W$1))), 0, sum(filter(
Master_Mapping_Sheet!$E$2:$E$3143, ISNUMBER(
Master_Mapping_Sheet!$E$2:$E$3143),
Master_Mapping_Sheet!$H$2:$H$3143=W$1,
Master_Mapping_Sheet!$I$2:$I$3143=$A7))/sum(filter(
Master_M"&amp;"apping_Sheet!$E$2:$E$3143, ISNUMBER(
Master_Mapping_Sheet!$E$2:$E$3143),
Master_Mapping_Sheet!$H$2:$H$3143=W$1)))"),0.0)</f>
        <v>0</v>
      </c>
      <c r="X7" s="34">
        <f>IFERROR(__xludf.DUMMYFUNCTION("IF(ISNA(sum(filter(
Master_Mapping_Sheet!$E$2:$E$3143, ISNUMBER(
Master_Mapping_Sheet!$E$2:$E$3143),
Master_Mapping_Sheet!$H$2:$H$3143=X$1,
Master_Mapping_Sheet!$I$2:$I$3143=$A7))/sum(filter(
Master_Mapping_Sheet!$E$2:$E$3143, ISNUMBER(
Master_Mapping_She"&amp;"et!$E$2:$E$3143),
Master_Mapping_Sheet!$H$2:$H$3143=X$1))), 0, sum(filter(
Master_Mapping_Sheet!$E$2:$E$3143, ISNUMBER(
Master_Mapping_Sheet!$E$2:$E$3143),
Master_Mapping_Sheet!$H$2:$H$3143=X$1,
Master_Mapping_Sheet!$I$2:$I$3143=$A7))/sum(filter(
Master_M"&amp;"apping_Sheet!$E$2:$E$3143, ISNUMBER(
Master_Mapping_Sheet!$E$2:$E$3143),
Master_Mapping_Sheet!$H$2:$H$3143=X$1)))"),0.0)</f>
        <v>0</v>
      </c>
      <c r="Y7" s="34">
        <f>IFERROR(__xludf.DUMMYFUNCTION("IF(ISNA(sum(filter(
Master_Mapping_Sheet!$E$2:$E$3143, ISNUMBER(
Master_Mapping_Sheet!$E$2:$E$3143),
Master_Mapping_Sheet!$H$2:$H$3143=Y$1,
Master_Mapping_Sheet!$I$2:$I$3143=$A7))/sum(filter(
Master_Mapping_Sheet!$E$2:$E$3143, ISNUMBER(
Master_Mapping_She"&amp;"et!$E$2:$E$3143),
Master_Mapping_Sheet!$H$2:$H$3143=Y$1))), 0, sum(filter(
Master_Mapping_Sheet!$E$2:$E$3143, ISNUMBER(
Master_Mapping_Sheet!$E$2:$E$3143),
Master_Mapping_Sheet!$H$2:$H$3143=Y$1,
Master_Mapping_Sheet!$I$2:$I$3143=$A7))/sum(filter(
Master_M"&amp;"apping_Sheet!$E$2:$E$3143, ISNUMBER(
Master_Mapping_Sheet!$E$2:$E$3143),
Master_Mapping_Sheet!$H$2:$H$3143=Y$1)))"),0.0)</f>
        <v>0</v>
      </c>
      <c r="Z7" s="34">
        <f>IFERROR(__xludf.DUMMYFUNCTION("IF(ISNA(sum(filter(
Master_Mapping_Sheet!$E$2:$E$3143, ISNUMBER(
Master_Mapping_Sheet!$E$2:$E$3143),
Master_Mapping_Sheet!$H$2:$H$3143=Z$1,
Master_Mapping_Sheet!$I$2:$I$3143=$A7))/sum(filter(
Master_Mapping_Sheet!$E$2:$E$3143, ISNUMBER(
Master_Mapping_She"&amp;"et!$E$2:$E$3143),
Master_Mapping_Sheet!$H$2:$H$3143=Z$1))), 0, sum(filter(
Master_Mapping_Sheet!$E$2:$E$3143, ISNUMBER(
Master_Mapping_Sheet!$E$2:$E$3143),
Master_Mapping_Sheet!$H$2:$H$3143=Z$1,
Master_Mapping_Sheet!$I$2:$I$3143=$A7))/sum(filter(
Master_M"&amp;"apping_Sheet!$E$2:$E$3143, ISNUMBER(
Master_Mapping_Sheet!$E$2:$E$3143),
Master_Mapping_Sheet!$H$2:$H$3143=Z$1)))"),0.0)</f>
        <v>0</v>
      </c>
    </row>
    <row r="8" ht="15.75" customHeight="1">
      <c r="A8" s="32">
        <v>7.0</v>
      </c>
      <c r="B8" s="34">
        <f>IFERROR(__xludf.DUMMYFUNCTION("IF(ISNA(sum(filter(
Master_Mapping_Sheet!$E$2:$E$3143, ISNUMBER(
Master_Mapping_Sheet!$E$2:$E$3143),
Master_Mapping_Sheet!$H$2:$H$3143=B$1,
Master_Mapping_Sheet!$I$2:$I$3143=$A8))/sum(filter(
Master_Mapping_Sheet!$E$2:$E$3143, ISNUMBER(
Master_Mapping_She"&amp;"et!$E$2:$E$3143),
Master_Mapping_Sheet!$H$2:$H$3143=B$1))), 0, sum(filter(
Master_Mapping_Sheet!$E$2:$E$3143, ISNUMBER(
Master_Mapping_Sheet!$E$2:$E$3143),
Master_Mapping_Sheet!$H$2:$H$3143=B$1,
Master_Mapping_Sheet!$I$2:$I$3143=$A8))/sum(filter(
Master_M"&amp;"apping_Sheet!$E$2:$E$3143, ISNUMBER(
Master_Mapping_Sheet!$E$2:$E$3143),
Master_Mapping_Sheet!$H$2:$H$3143=B$1)))"),1.0)</f>
        <v>1</v>
      </c>
      <c r="C8" s="34">
        <f>IFERROR(__xludf.DUMMYFUNCTION("IF(ISNA(sum(filter(
Master_Mapping_Sheet!$E$2:$E$3143, ISNUMBER(
Master_Mapping_Sheet!$E$2:$E$3143),
Master_Mapping_Sheet!$H$2:$H$3143=C$1,
Master_Mapping_Sheet!$I$2:$I$3143=$A8))/sum(filter(
Master_Mapping_Sheet!$E$2:$E$3143, ISNUMBER(
Master_Mapping_She"&amp;"et!$E$2:$E$3143),
Master_Mapping_Sheet!$H$2:$H$3143=C$1))), 0, sum(filter(
Master_Mapping_Sheet!$E$2:$E$3143, ISNUMBER(
Master_Mapping_Sheet!$E$2:$E$3143),
Master_Mapping_Sheet!$H$2:$H$3143=C$1,
Master_Mapping_Sheet!$I$2:$I$3143=$A8))/sum(filter(
Master_M"&amp;"apping_Sheet!$E$2:$E$3143, ISNUMBER(
Master_Mapping_Sheet!$E$2:$E$3143),
Master_Mapping_Sheet!$H$2:$H$3143=C$1)))"),0.0)</f>
        <v>0</v>
      </c>
      <c r="D8" s="34">
        <f>IFERROR(__xludf.DUMMYFUNCTION("IF(ISNA(sum(filter(
Master_Mapping_Sheet!$E$2:$E$3143, ISNUMBER(
Master_Mapping_Sheet!$E$2:$E$3143),
Master_Mapping_Sheet!$H$2:$H$3143=D$1,
Master_Mapping_Sheet!$I$2:$I$3143=$A8))/sum(filter(
Master_Mapping_Sheet!$E$2:$E$3143, ISNUMBER(
Master_Mapping_She"&amp;"et!$E$2:$E$3143),
Master_Mapping_Sheet!$H$2:$H$3143=D$1))), 0, sum(filter(
Master_Mapping_Sheet!$E$2:$E$3143, ISNUMBER(
Master_Mapping_Sheet!$E$2:$E$3143),
Master_Mapping_Sheet!$H$2:$H$3143=D$1,
Master_Mapping_Sheet!$I$2:$I$3143=$A8))/sum(filter(
Master_M"&amp;"apping_Sheet!$E$2:$E$3143, ISNUMBER(
Master_Mapping_Sheet!$E$2:$E$3143),
Master_Mapping_Sheet!$H$2:$H$3143=D$1)))"),0.0)</f>
        <v>0</v>
      </c>
      <c r="E8" s="34">
        <f>IFERROR(__xludf.DUMMYFUNCTION("IF(ISNA(sum(filter(
Master_Mapping_Sheet!$E$2:$E$3143, ISNUMBER(
Master_Mapping_Sheet!$E$2:$E$3143),
Master_Mapping_Sheet!$H$2:$H$3143=E$1,
Master_Mapping_Sheet!$I$2:$I$3143=$A8))/sum(filter(
Master_Mapping_Sheet!$E$2:$E$3143, ISNUMBER(
Master_Mapping_She"&amp;"et!$E$2:$E$3143),
Master_Mapping_Sheet!$H$2:$H$3143=E$1))), 0, sum(filter(
Master_Mapping_Sheet!$E$2:$E$3143, ISNUMBER(
Master_Mapping_Sheet!$E$2:$E$3143),
Master_Mapping_Sheet!$H$2:$H$3143=E$1,
Master_Mapping_Sheet!$I$2:$I$3143=$A8))/sum(filter(
Master_M"&amp;"apping_Sheet!$E$2:$E$3143, ISNUMBER(
Master_Mapping_Sheet!$E$2:$E$3143),
Master_Mapping_Sheet!$H$2:$H$3143=E$1)))"),0.0)</f>
        <v>0</v>
      </c>
      <c r="F8" s="34">
        <f>IFERROR(__xludf.DUMMYFUNCTION("IF(ISNA(sum(filter(
Master_Mapping_Sheet!$E$2:$E$3143, ISNUMBER(
Master_Mapping_Sheet!$E$2:$E$3143),
Master_Mapping_Sheet!$H$2:$H$3143=F$1,
Master_Mapping_Sheet!$I$2:$I$3143=$A8))/sum(filter(
Master_Mapping_Sheet!$E$2:$E$3143, ISNUMBER(
Master_Mapping_She"&amp;"et!$E$2:$E$3143),
Master_Mapping_Sheet!$H$2:$H$3143=F$1))), 0, sum(filter(
Master_Mapping_Sheet!$E$2:$E$3143, ISNUMBER(
Master_Mapping_Sheet!$E$2:$E$3143),
Master_Mapping_Sheet!$H$2:$H$3143=F$1,
Master_Mapping_Sheet!$I$2:$I$3143=$A8))/sum(filter(
Master_M"&amp;"apping_Sheet!$E$2:$E$3143, ISNUMBER(
Master_Mapping_Sheet!$E$2:$E$3143),
Master_Mapping_Sheet!$H$2:$H$3143=F$1)))"),0.0)</f>
        <v>0</v>
      </c>
      <c r="G8" s="34">
        <f>IFERROR(__xludf.DUMMYFUNCTION("IF(ISNA(sum(filter(
Master_Mapping_Sheet!$E$2:$E$3143, ISNUMBER(
Master_Mapping_Sheet!$E$2:$E$3143),
Master_Mapping_Sheet!$H$2:$H$3143=G$1,
Master_Mapping_Sheet!$I$2:$I$3143=$A8))/sum(filter(
Master_Mapping_Sheet!$E$2:$E$3143, ISNUMBER(
Master_Mapping_She"&amp;"et!$E$2:$E$3143),
Master_Mapping_Sheet!$H$2:$H$3143=G$1))), 0, sum(filter(
Master_Mapping_Sheet!$E$2:$E$3143, ISNUMBER(
Master_Mapping_Sheet!$E$2:$E$3143),
Master_Mapping_Sheet!$H$2:$H$3143=G$1,
Master_Mapping_Sheet!$I$2:$I$3143=$A8))/sum(filter(
Master_M"&amp;"apping_Sheet!$E$2:$E$3143, ISNUMBER(
Master_Mapping_Sheet!$E$2:$E$3143),
Master_Mapping_Sheet!$H$2:$H$3143=G$1)))"),0.8393018997316499)</f>
        <v>0.8393018997</v>
      </c>
      <c r="H8" s="34">
        <f>IFERROR(__xludf.DUMMYFUNCTION("IF(ISNA(sum(filter(
Master_Mapping_Sheet!$E$2:$E$3143, ISNUMBER(
Master_Mapping_Sheet!$E$2:$E$3143),
Master_Mapping_Sheet!$H$2:$H$3143=H$1,
Master_Mapping_Sheet!$I$2:$I$3143=$A8))/sum(filter(
Master_Mapping_Sheet!$E$2:$E$3143, ISNUMBER(
Master_Mapping_She"&amp;"et!$E$2:$E$3143),
Master_Mapping_Sheet!$H$2:$H$3143=H$1))), 0, sum(filter(
Master_Mapping_Sheet!$E$2:$E$3143, ISNUMBER(
Master_Mapping_Sheet!$E$2:$E$3143),
Master_Mapping_Sheet!$H$2:$H$3143=H$1,
Master_Mapping_Sheet!$I$2:$I$3143=$A8))/sum(filter(
Master_M"&amp;"apping_Sheet!$E$2:$E$3143, ISNUMBER(
Master_Mapping_Sheet!$E$2:$E$3143),
Master_Mapping_Sheet!$H$2:$H$3143=H$1)))"),0.0)</f>
        <v>0</v>
      </c>
      <c r="I8" s="34">
        <f>IFERROR(__xludf.DUMMYFUNCTION("IF(ISNA(sum(filter(
Master_Mapping_Sheet!$E$2:$E$3143, ISNUMBER(
Master_Mapping_Sheet!$E$2:$E$3143),
Master_Mapping_Sheet!$H$2:$H$3143=I$1,
Master_Mapping_Sheet!$I$2:$I$3143=$A8))/sum(filter(
Master_Mapping_Sheet!$E$2:$E$3143, ISNUMBER(
Master_Mapping_She"&amp;"et!$E$2:$E$3143),
Master_Mapping_Sheet!$H$2:$H$3143=I$1))), 0, sum(filter(
Master_Mapping_Sheet!$E$2:$E$3143, ISNUMBER(
Master_Mapping_Sheet!$E$2:$E$3143),
Master_Mapping_Sheet!$H$2:$H$3143=I$1,
Master_Mapping_Sheet!$I$2:$I$3143=$A8))/sum(filter(
Master_M"&amp;"apping_Sheet!$E$2:$E$3143, ISNUMBER(
Master_Mapping_Sheet!$E$2:$E$3143),
Master_Mapping_Sheet!$H$2:$H$3143=I$1)))"),0.0)</f>
        <v>0</v>
      </c>
      <c r="J8" s="34">
        <f>IFERROR(__xludf.DUMMYFUNCTION("IF(ISNA(sum(filter(
Master_Mapping_Sheet!$E$2:$E$3143, ISNUMBER(
Master_Mapping_Sheet!$E$2:$E$3143),
Master_Mapping_Sheet!$H$2:$H$3143=J$1,
Master_Mapping_Sheet!$I$2:$I$3143=$A8))/sum(filter(
Master_Mapping_Sheet!$E$2:$E$3143, ISNUMBER(
Master_Mapping_She"&amp;"et!$E$2:$E$3143),
Master_Mapping_Sheet!$H$2:$H$3143=J$1))), 0, sum(filter(
Master_Mapping_Sheet!$E$2:$E$3143, ISNUMBER(
Master_Mapping_Sheet!$E$2:$E$3143),
Master_Mapping_Sheet!$H$2:$H$3143=J$1,
Master_Mapping_Sheet!$I$2:$I$3143=$A8))/sum(filter(
Master_M"&amp;"apping_Sheet!$E$2:$E$3143, ISNUMBER(
Master_Mapping_Sheet!$E$2:$E$3143),
Master_Mapping_Sheet!$H$2:$H$3143=J$1)))"),0.0)</f>
        <v>0</v>
      </c>
      <c r="K8" s="34">
        <f>IFERROR(__xludf.DUMMYFUNCTION("IF(ISNA(sum(filter(
Master_Mapping_Sheet!$E$2:$E$3143, ISNUMBER(
Master_Mapping_Sheet!$E$2:$E$3143),
Master_Mapping_Sheet!$H$2:$H$3143=K$1,
Master_Mapping_Sheet!$I$2:$I$3143=$A8))/sum(filter(
Master_Mapping_Sheet!$E$2:$E$3143, ISNUMBER(
Master_Mapping_She"&amp;"et!$E$2:$E$3143),
Master_Mapping_Sheet!$H$2:$H$3143=K$1))), 0, sum(filter(
Master_Mapping_Sheet!$E$2:$E$3143, ISNUMBER(
Master_Mapping_Sheet!$E$2:$E$3143),
Master_Mapping_Sheet!$H$2:$H$3143=K$1,
Master_Mapping_Sheet!$I$2:$I$3143=$A8))/sum(filter(
Master_M"&amp;"apping_Sheet!$E$2:$E$3143, ISNUMBER(
Master_Mapping_Sheet!$E$2:$E$3143),
Master_Mapping_Sheet!$H$2:$H$3143=K$1)))"),0.0)</f>
        <v>0</v>
      </c>
      <c r="L8" s="34">
        <f>IFERROR(__xludf.DUMMYFUNCTION("IF(ISNA(sum(filter(
Master_Mapping_Sheet!$E$2:$E$3143, ISNUMBER(
Master_Mapping_Sheet!$E$2:$E$3143),
Master_Mapping_Sheet!$H$2:$H$3143=L$1,
Master_Mapping_Sheet!$I$2:$I$3143=$A8))/sum(filter(
Master_Mapping_Sheet!$E$2:$E$3143, ISNUMBER(
Master_Mapping_She"&amp;"et!$E$2:$E$3143),
Master_Mapping_Sheet!$H$2:$H$3143=L$1))), 0, sum(filter(
Master_Mapping_Sheet!$E$2:$E$3143, ISNUMBER(
Master_Mapping_Sheet!$E$2:$E$3143),
Master_Mapping_Sheet!$H$2:$H$3143=L$1,
Master_Mapping_Sheet!$I$2:$I$3143=$A8))/sum(filter(
Master_M"&amp;"apping_Sheet!$E$2:$E$3143, ISNUMBER(
Master_Mapping_Sheet!$E$2:$E$3143),
Master_Mapping_Sheet!$H$2:$H$3143=L$1)))"),0.0)</f>
        <v>0</v>
      </c>
      <c r="M8" s="34">
        <f>IFERROR(__xludf.DUMMYFUNCTION("IF(ISNA(sum(filter(
Master_Mapping_Sheet!$E$2:$E$3143, ISNUMBER(
Master_Mapping_Sheet!$E$2:$E$3143),
Master_Mapping_Sheet!$H$2:$H$3143=M$1,
Master_Mapping_Sheet!$I$2:$I$3143=$A8))/sum(filter(
Master_Mapping_Sheet!$E$2:$E$3143, ISNUMBER(
Master_Mapping_She"&amp;"et!$E$2:$E$3143),
Master_Mapping_Sheet!$H$2:$H$3143=M$1))), 0, sum(filter(
Master_Mapping_Sheet!$E$2:$E$3143, ISNUMBER(
Master_Mapping_Sheet!$E$2:$E$3143),
Master_Mapping_Sheet!$H$2:$H$3143=M$1,
Master_Mapping_Sheet!$I$2:$I$3143=$A8))/sum(filter(
Master_M"&amp;"apping_Sheet!$E$2:$E$3143, ISNUMBER(
Master_Mapping_Sheet!$E$2:$E$3143),
Master_Mapping_Sheet!$H$2:$H$3143=M$1)))"),0.0)</f>
        <v>0</v>
      </c>
      <c r="N8" s="34">
        <f>IFERROR(__xludf.DUMMYFUNCTION("IF(ISNA(sum(filter(
Master_Mapping_Sheet!$E$2:$E$3143, ISNUMBER(
Master_Mapping_Sheet!$E$2:$E$3143),
Master_Mapping_Sheet!$H$2:$H$3143=N$1,
Master_Mapping_Sheet!$I$2:$I$3143=$A8))/sum(filter(
Master_Mapping_Sheet!$E$2:$E$3143, ISNUMBER(
Master_Mapping_She"&amp;"et!$E$2:$E$3143),
Master_Mapping_Sheet!$H$2:$H$3143=N$1))), 0, sum(filter(
Master_Mapping_Sheet!$E$2:$E$3143, ISNUMBER(
Master_Mapping_Sheet!$E$2:$E$3143),
Master_Mapping_Sheet!$H$2:$H$3143=N$1,
Master_Mapping_Sheet!$I$2:$I$3143=$A8))/sum(filter(
Master_M"&amp;"apping_Sheet!$E$2:$E$3143, ISNUMBER(
Master_Mapping_Sheet!$E$2:$E$3143),
Master_Mapping_Sheet!$H$2:$H$3143=N$1)))"),0.0)</f>
        <v>0</v>
      </c>
      <c r="O8" s="34">
        <f>IFERROR(__xludf.DUMMYFUNCTION("IF(ISNA(sum(filter(
Master_Mapping_Sheet!$E$2:$E$3143, ISNUMBER(
Master_Mapping_Sheet!$E$2:$E$3143),
Master_Mapping_Sheet!$H$2:$H$3143=O$1,
Master_Mapping_Sheet!$I$2:$I$3143=$A8))/sum(filter(
Master_Mapping_Sheet!$E$2:$E$3143, ISNUMBER(
Master_Mapping_She"&amp;"et!$E$2:$E$3143),
Master_Mapping_Sheet!$H$2:$H$3143=O$1))), 0, sum(filter(
Master_Mapping_Sheet!$E$2:$E$3143, ISNUMBER(
Master_Mapping_Sheet!$E$2:$E$3143),
Master_Mapping_Sheet!$H$2:$H$3143=O$1,
Master_Mapping_Sheet!$I$2:$I$3143=$A8))/sum(filter(
Master_M"&amp;"apping_Sheet!$E$2:$E$3143, ISNUMBER(
Master_Mapping_Sheet!$E$2:$E$3143),
Master_Mapping_Sheet!$H$2:$H$3143=O$1)))"),0.0)</f>
        <v>0</v>
      </c>
      <c r="P8" s="34">
        <f>IFERROR(__xludf.DUMMYFUNCTION("IF(ISNA(sum(filter(
Master_Mapping_Sheet!$E$2:$E$3143, ISNUMBER(
Master_Mapping_Sheet!$E$2:$E$3143),
Master_Mapping_Sheet!$H$2:$H$3143=P$1,
Master_Mapping_Sheet!$I$2:$I$3143=$A8))/sum(filter(
Master_Mapping_Sheet!$E$2:$E$3143, ISNUMBER(
Master_Mapping_She"&amp;"et!$E$2:$E$3143),
Master_Mapping_Sheet!$H$2:$H$3143=P$1))), 0, sum(filter(
Master_Mapping_Sheet!$E$2:$E$3143, ISNUMBER(
Master_Mapping_Sheet!$E$2:$E$3143),
Master_Mapping_Sheet!$H$2:$H$3143=P$1,
Master_Mapping_Sheet!$I$2:$I$3143=$A8))/sum(filter(
Master_M"&amp;"apping_Sheet!$E$2:$E$3143, ISNUMBER(
Master_Mapping_Sheet!$E$2:$E$3143),
Master_Mapping_Sheet!$H$2:$H$3143=P$1)))"),0.0)</f>
        <v>0</v>
      </c>
      <c r="Q8" s="34">
        <f>IFERROR(__xludf.DUMMYFUNCTION("IF(ISNA(sum(filter(
Master_Mapping_Sheet!$E$2:$E$3143, ISNUMBER(
Master_Mapping_Sheet!$E$2:$E$3143),
Master_Mapping_Sheet!$H$2:$H$3143=Q$1,
Master_Mapping_Sheet!$I$2:$I$3143=$A8))/sum(filter(
Master_Mapping_Sheet!$E$2:$E$3143, ISNUMBER(
Master_Mapping_She"&amp;"et!$E$2:$E$3143),
Master_Mapping_Sheet!$H$2:$H$3143=Q$1))), 0, sum(filter(
Master_Mapping_Sheet!$E$2:$E$3143, ISNUMBER(
Master_Mapping_Sheet!$E$2:$E$3143),
Master_Mapping_Sheet!$H$2:$H$3143=Q$1,
Master_Mapping_Sheet!$I$2:$I$3143=$A8))/sum(filter(
Master_M"&amp;"apping_Sheet!$E$2:$E$3143, ISNUMBER(
Master_Mapping_Sheet!$E$2:$E$3143),
Master_Mapping_Sheet!$H$2:$H$3143=Q$1)))"),0.0)</f>
        <v>0</v>
      </c>
      <c r="R8" s="34">
        <f>IFERROR(__xludf.DUMMYFUNCTION("IF(ISNA(sum(filter(
Master_Mapping_Sheet!$E$2:$E$3143, ISNUMBER(
Master_Mapping_Sheet!$E$2:$E$3143),
Master_Mapping_Sheet!$H$2:$H$3143=R$1,
Master_Mapping_Sheet!$I$2:$I$3143=$A8))/sum(filter(
Master_Mapping_Sheet!$E$2:$E$3143, ISNUMBER(
Master_Mapping_She"&amp;"et!$E$2:$E$3143),
Master_Mapping_Sheet!$H$2:$H$3143=R$1))), 0, sum(filter(
Master_Mapping_Sheet!$E$2:$E$3143, ISNUMBER(
Master_Mapping_Sheet!$E$2:$E$3143),
Master_Mapping_Sheet!$H$2:$H$3143=R$1,
Master_Mapping_Sheet!$I$2:$I$3143=$A8))/sum(filter(
Master_M"&amp;"apping_Sheet!$E$2:$E$3143, ISNUMBER(
Master_Mapping_Sheet!$E$2:$E$3143),
Master_Mapping_Sheet!$H$2:$H$3143=R$1)))"),0.9648930556772491)</f>
        <v>0.9648930557</v>
      </c>
      <c r="S8" s="34">
        <f>IFERROR(__xludf.DUMMYFUNCTION("IF(ISNA(sum(filter(
Master_Mapping_Sheet!$E$2:$E$3143, ISNUMBER(
Master_Mapping_Sheet!$E$2:$E$3143),
Master_Mapping_Sheet!$H$2:$H$3143=S$1,
Master_Mapping_Sheet!$I$2:$I$3143=$A8))/sum(filter(
Master_Mapping_Sheet!$E$2:$E$3143, ISNUMBER(
Master_Mapping_She"&amp;"et!$E$2:$E$3143),
Master_Mapping_Sheet!$H$2:$H$3143=S$1))), 0, sum(filter(
Master_Mapping_Sheet!$E$2:$E$3143, ISNUMBER(
Master_Mapping_Sheet!$E$2:$E$3143),
Master_Mapping_Sheet!$H$2:$H$3143=S$1,
Master_Mapping_Sheet!$I$2:$I$3143=$A8))/sum(filter(
Master_M"&amp;"apping_Sheet!$E$2:$E$3143, ISNUMBER(
Master_Mapping_Sheet!$E$2:$E$3143),
Master_Mapping_Sheet!$H$2:$H$3143=S$1)))"),0.0)</f>
        <v>0</v>
      </c>
      <c r="T8" s="34">
        <f>IFERROR(__xludf.DUMMYFUNCTION("IF(ISNA(sum(filter(
Master_Mapping_Sheet!$E$2:$E$3143, ISNUMBER(
Master_Mapping_Sheet!$E$2:$E$3143),
Master_Mapping_Sheet!$H$2:$H$3143=T$1,
Master_Mapping_Sheet!$I$2:$I$3143=$A8))/sum(filter(
Master_Mapping_Sheet!$E$2:$E$3143, ISNUMBER(
Master_Mapping_She"&amp;"et!$E$2:$E$3143),
Master_Mapping_Sheet!$H$2:$H$3143=T$1))), 0, sum(filter(
Master_Mapping_Sheet!$E$2:$E$3143, ISNUMBER(
Master_Mapping_Sheet!$E$2:$E$3143),
Master_Mapping_Sheet!$H$2:$H$3143=T$1,
Master_Mapping_Sheet!$I$2:$I$3143=$A8))/sum(filter(
Master_M"&amp;"apping_Sheet!$E$2:$E$3143, ISNUMBER(
Master_Mapping_Sheet!$E$2:$E$3143),
Master_Mapping_Sheet!$H$2:$H$3143=T$1)))"),0.0)</f>
        <v>0</v>
      </c>
      <c r="U8" s="34">
        <f>IFERROR(__xludf.DUMMYFUNCTION("IF(ISNA(sum(filter(
Master_Mapping_Sheet!$E$2:$E$3143, ISNUMBER(
Master_Mapping_Sheet!$E$2:$E$3143),
Master_Mapping_Sheet!$H$2:$H$3143=U$1,
Master_Mapping_Sheet!$I$2:$I$3143=$A8))/sum(filter(
Master_Mapping_Sheet!$E$2:$E$3143, ISNUMBER(
Master_Mapping_She"&amp;"et!$E$2:$E$3143),
Master_Mapping_Sheet!$H$2:$H$3143=U$1))), 0, sum(filter(
Master_Mapping_Sheet!$E$2:$E$3143, ISNUMBER(
Master_Mapping_Sheet!$E$2:$E$3143),
Master_Mapping_Sheet!$H$2:$H$3143=U$1,
Master_Mapping_Sheet!$I$2:$I$3143=$A8))/sum(filter(
Master_M"&amp;"apping_Sheet!$E$2:$E$3143, ISNUMBER(
Master_Mapping_Sheet!$E$2:$E$3143),
Master_Mapping_Sheet!$H$2:$H$3143=U$1)))"),0.0855622019929123)</f>
        <v>0.08556220199</v>
      </c>
      <c r="V8" s="34">
        <f>IFERROR(__xludf.DUMMYFUNCTION("IF(ISNA(sum(filter(
Master_Mapping_Sheet!$E$2:$E$3143, ISNUMBER(
Master_Mapping_Sheet!$E$2:$E$3143),
Master_Mapping_Sheet!$H$2:$H$3143=V$1,
Master_Mapping_Sheet!$I$2:$I$3143=$A8))/sum(filter(
Master_Mapping_Sheet!$E$2:$E$3143, ISNUMBER(
Master_Mapping_She"&amp;"et!$E$2:$E$3143),
Master_Mapping_Sheet!$H$2:$H$3143=V$1))), 0, sum(filter(
Master_Mapping_Sheet!$E$2:$E$3143, ISNUMBER(
Master_Mapping_Sheet!$E$2:$E$3143),
Master_Mapping_Sheet!$H$2:$H$3143=V$1,
Master_Mapping_Sheet!$I$2:$I$3143=$A8))/sum(filter(
Master_M"&amp;"apping_Sheet!$E$2:$E$3143, ISNUMBER(
Master_Mapping_Sheet!$E$2:$E$3143),
Master_Mapping_Sheet!$H$2:$H$3143=V$1)))"),0.0)</f>
        <v>0</v>
      </c>
      <c r="W8" s="34">
        <f>IFERROR(__xludf.DUMMYFUNCTION("IF(ISNA(sum(filter(
Master_Mapping_Sheet!$E$2:$E$3143, ISNUMBER(
Master_Mapping_Sheet!$E$2:$E$3143),
Master_Mapping_Sheet!$H$2:$H$3143=W$1,
Master_Mapping_Sheet!$I$2:$I$3143=$A8))/sum(filter(
Master_Mapping_Sheet!$E$2:$E$3143, ISNUMBER(
Master_Mapping_She"&amp;"et!$E$2:$E$3143),
Master_Mapping_Sheet!$H$2:$H$3143=W$1))), 0, sum(filter(
Master_Mapping_Sheet!$E$2:$E$3143, ISNUMBER(
Master_Mapping_Sheet!$E$2:$E$3143),
Master_Mapping_Sheet!$H$2:$H$3143=W$1,
Master_Mapping_Sheet!$I$2:$I$3143=$A8))/sum(filter(
Master_M"&amp;"apping_Sheet!$E$2:$E$3143, ISNUMBER(
Master_Mapping_Sheet!$E$2:$E$3143),
Master_Mapping_Sheet!$H$2:$H$3143=W$1)))"),0.0)</f>
        <v>0</v>
      </c>
      <c r="X8" s="34">
        <f>IFERROR(__xludf.DUMMYFUNCTION("IF(ISNA(sum(filter(
Master_Mapping_Sheet!$E$2:$E$3143, ISNUMBER(
Master_Mapping_Sheet!$E$2:$E$3143),
Master_Mapping_Sheet!$H$2:$H$3143=X$1,
Master_Mapping_Sheet!$I$2:$I$3143=$A8))/sum(filter(
Master_Mapping_Sheet!$E$2:$E$3143, ISNUMBER(
Master_Mapping_She"&amp;"et!$E$2:$E$3143),
Master_Mapping_Sheet!$H$2:$H$3143=X$1))), 0, sum(filter(
Master_Mapping_Sheet!$E$2:$E$3143, ISNUMBER(
Master_Mapping_Sheet!$E$2:$E$3143),
Master_Mapping_Sheet!$H$2:$H$3143=X$1,
Master_Mapping_Sheet!$I$2:$I$3143=$A8))/sum(filter(
Master_M"&amp;"apping_Sheet!$E$2:$E$3143, ISNUMBER(
Master_Mapping_Sheet!$E$2:$E$3143),
Master_Mapping_Sheet!$H$2:$H$3143=X$1)))"),0.0)</f>
        <v>0</v>
      </c>
      <c r="Y8" s="34">
        <f>IFERROR(__xludf.DUMMYFUNCTION("IF(ISNA(sum(filter(
Master_Mapping_Sheet!$E$2:$E$3143, ISNUMBER(
Master_Mapping_Sheet!$E$2:$E$3143),
Master_Mapping_Sheet!$H$2:$H$3143=Y$1,
Master_Mapping_Sheet!$I$2:$I$3143=$A8))/sum(filter(
Master_Mapping_Sheet!$E$2:$E$3143, ISNUMBER(
Master_Mapping_She"&amp;"et!$E$2:$E$3143),
Master_Mapping_Sheet!$H$2:$H$3143=Y$1))), 0, sum(filter(
Master_Mapping_Sheet!$E$2:$E$3143, ISNUMBER(
Master_Mapping_Sheet!$E$2:$E$3143),
Master_Mapping_Sheet!$H$2:$H$3143=Y$1,
Master_Mapping_Sheet!$I$2:$I$3143=$A8))/sum(filter(
Master_M"&amp;"apping_Sheet!$E$2:$E$3143, ISNUMBER(
Master_Mapping_Sheet!$E$2:$E$3143),
Master_Mapping_Sheet!$H$2:$H$3143=Y$1)))"),0.0)</f>
        <v>0</v>
      </c>
      <c r="Z8" s="34">
        <f>IFERROR(__xludf.DUMMYFUNCTION("IF(ISNA(sum(filter(
Master_Mapping_Sheet!$E$2:$E$3143, ISNUMBER(
Master_Mapping_Sheet!$E$2:$E$3143),
Master_Mapping_Sheet!$H$2:$H$3143=Z$1,
Master_Mapping_Sheet!$I$2:$I$3143=$A8))/sum(filter(
Master_Mapping_Sheet!$E$2:$E$3143, ISNUMBER(
Master_Mapping_She"&amp;"et!$E$2:$E$3143),
Master_Mapping_Sheet!$H$2:$H$3143=Z$1))), 0, sum(filter(
Master_Mapping_Sheet!$E$2:$E$3143, ISNUMBER(
Master_Mapping_Sheet!$E$2:$E$3143),
Master_Mapping_Sheet!$H$2:$H$3143=Z$1,
Master_Mapping_Sheet!$I$2:$I$3143=$A8))/sum(filter(
Master_M"&amp;"apping_Sheet!$E$2:$E$3143, ISNUMBER(
Master_Mapping_Sheet!$E$2:$E$3143),
Master_Mapping_Sheet!$H$2:$H$3143=Z$1)))"),0.0)</f>
        <v>0</v>
      </c>
    </row>
    <row r="9" ht="15.75" customHeight="1">
      <c r="A9" s="32">
        <v>8.0</v>
      </c>
      <c r="B9" s="34">
        <f>IFERROR(__xludf.DUMMYFUNCTION("IF(ISNA(sum(filter(
Master_Mapping_Sheet!$E$2:$E$3143, ISNUMBER(
Master_Mapping_Sheet!$E$2:$E$3143),
Master_Mapping_Sheet!$H$2:$H$3143=B$1,
Master_Mapping_Sheet!$I$2:$I$3143=$A9))/sum(filter(
Master_Mapping_Sheet!$E$2:$E$3143, ISNUMBER(
Master_Mapping_She"&amp;"et!$E$2:$E$3143),
Master_Mapping_Sheet!$H$2:$H$3143=B$1))), 0, sum(filter(
Master_Mapping_Sheet!$E$2:$E$3143, ISNUMBER(
Master_Mapping_Sheet!$E$2:$E$3143),
Master_Mapping_Sheet!$H$2:$H$3143=B$1,
Master_Mapping_Sheet!$I$2:$I$3143=$A9))/sum(filter(
Master_M"&amp;"apping_Sheet!$E$2:$E$3143, ISNUMBER(
Master_Mapping_Sheet!$E$2:$E$3143),
Master_Mapping_Sheet!$H$2:$H$3143=B$1)))"),0.0)</f>
        <v>0</v>
      </c>
      <c r="C9" s="34">
        <f>IFERROR(__xludf.DUMMYFUNCTION("IF(ISNA(sum(filter(
Master_Mapping_Sheet!$E$2:$E$3143, ISNUMBER(
Master_Mapping_Sheet!$E$2:$E$3143),
Master_Mapping_Sheet!$H$2:$H$3143=C$1,
Master_Mapping_Sheet!$I$2:$I$3143=$A9))/sum(filter(
Master_Mapping_Sheet!$E$2:$E$3143, ISNUMBER(
Master_Mapping_She"&amp;"et!$E$2:$E$3143),
Master_Mapping_Sheet!$H$2:$H$3143=C$1))), 0, sum(filter(
Master_Mapping_Sheet!$E$2:$E$3143, ISNUMBER(
Master_Mapping_Sheet!$E$2:$E$3143),
Master_Mapping_Sheet!$H$2:$H$3143=C$1,
Master_Mapping_Sheet!$I$2:$I$3143=$A9))/sum(filter(
Master_M"&amp;"apping_Sheet!$E$2:$E$3143, ISNUMBER(
Master_Mapping_Sheet!$E$2:$E$3143),
Master_Mapping_Sheet!$H$2:$H$3143=C$1)))"),0.0)</f>
        <v>0</v>
      </c>
      <c r="D9" s="34">
        <f>IFERROR(__xludf.DUMMYFUNCTION("IF(ISNA(sum(filter(
Master_Mapping_Sheet!$E$2:$E$3143, ISNUMBER(
Master_Mapping_Sheet!$E$2:$E$3143),
Master_Mapping_Sheet!$H$2:$H$3143=D$1,
Master_Mapping_Sheet!$I$2:$I$3143=$A9))/sum(filter(
Master_Mapping_Sheet!$E$2:$E$3143, ISNUMBER(
Master_Mapping_She"&amp;"et!$E$2:$E$3143),
Master_Mapping_Sheet!$H$2:$H$3143=D$1))), 0, sum(filter(
Master_Mapping_Sheet!$E$2:$E$3143, ISNUMBER(
Master_Mapping_Sheet!$E$2:$E$3143),
Master_Mapping_Sheet!$H$2:$H$3143=D$1,
Master_Mapping_Sheet!$I$2:$I$3143=$A9))/sum(filter(
Master_M"&amp;"apping_Sheet!$E$2:$E$3143, ISNUMBER(
Master_Mapping_Sheet!$E$2:$E$3143),
Master_Mapping_Sheet!$H$2:$H$3143=D$1)))"),4.710750767858604E-4)</f>
        <v>0.0004710750768</v>
      </c>
      <c r="E9" s="34">
        <f>IFERROR(__xludf.DUMMYFUNCTION("IF(ISNA(sum(filter(
Master_Mapping_Sheet!$E$2:$E$3143, ISNUMBER(
Master_Mapping_Sheet!$E$2:$E$3143),
Master_Mapping_Sheet!$H$2:$H$3143=E$1,
Master_Mapping_Sheet!$I$2:$I$3143=$A9))/sum(filter(
Master_Mapping_Sheet!$E$2:$E$3143, ISNUMBER(
Master_Mapping_She"&amp;"et!$E$2:$E$3143),
Master_Mapping_Sheet!$H$2:$H$3143=E$1))), 0, sum(filter(
Master_Mapping_Sheet!$E$2:$E$3143, ISNUMBER(
Master_Mapping_Sheet!$E$2:$E$3143),
Master_Mapping_Sheet!$H$2:$H$3143=E$1,
Master_Mapping_Sheet!$I$2:$I$3143=$A9))/sum(filter(
Master_M"&amp;"apping_Sheet!$E$2:$E$3143, ISNUMBER(
Master_Mapping_Sheet!$E$2:$E$3143),
Master_Mapping_Sheet!$H$2:$H$3143=E$1)))"),0.0)</f>
        <v>0</v>
      </c>
      <c r="F9" s="34">
        <f>IFERROR(__xludf.DUMMYFUNCTION("IF(ISNA(sum(filter(
Master_Mapping_Sheet!$E$2:$E$3143, ISNUMBER(
Master_Mapping_Sheet!$E$2:$E$3143),
Master_Mapping_Sheet!$H$2:$H$3143=F$1,
Master_Mapping_Sheet!$I$2:$I$3143=$A9))/sum(filter(
Master_Mapping_Sheet!$E$2:$E$3143, ISNUMBER(
Master_Mapping_She"&amp;"et!$E$2:$E$3143),
Master_Mapping_Sheet!$H$2:$H$3143=F$1))), 0, sum(filter(
Master_Mapping_Sheet!$E$2:$E$3143, ISNUMBER(
Master_Mapping_Sheet!$E$2:$E$3143),
Master_Mapping_Sheet!$H$2:$H$3143=F$1,
Master_Mapping_Sheet!$I$2:$I$3143=$A9))/sum(filter(
Master_M"&amp;"apping_Sheet!$E$2:$E$3143, ISNUMBER(
Master_Mapping_Sheet!$E$2:$E$3143),
Master_Mapping_Sheet!$H$2:$H$3143=F$1)))"),0.0)</f>
        <v>0</v>
      </c>
      <c r="G9" s="34">
        <f>IFERROR(__xludf.DUMMYFUNCTION("IF(ISNA(sum(filter(
Master_Mapping_Sheet!$E$2:$E$3143, ISNUMBER(
Master_Mapping_Sheet!$E$2:$E$3143),
Master_Mapping_Sheet!$H$2:$H$3143=G$1,
Master_Mapping_Sheet!$I$2:$I$3143=$A9))/sum(filter(
Master_Mapping_Sheet!$E$2:$E$3143, ISNUMBER(
Master_Mapping_She"&amp;"et!$E$2:$E$3143),
Master_Mapping_Sheet!$H$2:$H$3143=G$1))), 0, sum(filter(
Master_Mapping_Sheet!$E$2:$E$3143, ISNUMBER(
Master_Mapping_Sheet!$E$2:$E$3143),
Master_Mapping_Sheet!$H$2:$H$3143=G$1,
Master_Mapping_Sheet!$I$2:$I$3143=$A9))/sum(filter(
Master_M"&amp;"apping_Sheet!$E$2:$E$3143, ISNUMBER(
Master_Mapping_Sheet!$E$2:$E$3143),
Master_Mapping_Sheet!$H$2:$H$3143=G$1)))"),0.0)</f>
        <v>0</v>
      </c>
      <c r="H9" s="34">
        <f>IFERROR(__xludf.DUMMYFUNCTION("IF(ISNA(sum(filter(
Master_Mapping_Sheet!$E$2:$E$3143, ISNUMBER(
Master_Mapping_Sheet!$E$2:$E$3143),
Master_Mapping_Sheet!$H$2:$H$3143=H$1,
Master_Mapping_Sheet!$I$2:$I$3143=$A9))/sum(filter(
Master_Mapping_Sheet!$E$2:$E$3143, ISNUMBER(
Master_Mapping_She"&amp;"et!$E$2:$E$3143),
Master_Mapping_Sheet!$H$2:$H$3143=H$1))), 0, sum(filter(
Master_Mapping_Sheet!$E$2:$E$3143, ISNUMBER(
Master_Mapping_Sheet!$E$2:$E$3143),
Master_Mapping_Sheet!$H$2:$H$3143=H$1,
Master_Mapping_Sheet!$I$2:$I$3143=$A9))/sum(filter(
Master_M"&amp;"apping_Sheet!$E$2:$E$3143, ISNUMBER(
Master_Mapping_Sheet!$E$2:$E$3143),
Master_Mapping_Sheet!$H$2:$H$3143=H$1)))"),0.0)</f>
        <v>0</v>
      </c>
      <c r="I9" s="34">
        <f>IFERROR(__xludf.DUMMYFUNCTION("IF(ISNA(sum(filter(
Master_Mapping_Sheet!$E$2:$E$3143, ISNUMBER(
Master_Mapping_Sheet!$E$2:$E$3143),
Master_Mapping_Sheet!$H$2:$H$3143=I$1,
Master_Mapping_Sheet!$I$2:$I$3143=$A9))/sum(filter(
Master_Mapping_Sheet!$E$2:$E$3143, ISNUMBER(
Master_Mapping_She"&amp;"et!$E$2:$E$3143),
Master_Mapping_Sheet!$H$2:$H$3143=I$1))), 0, sum(filter(
Master_Mapping_Sheet!$E$2:$E$3143, ISNUMBER(
Master_Mapping_Sheet!$E$2:$E$3143),
Master_Mapping_Sheet!$H$2:$H$3143=I$1,
Master_Mapping_Sheet!$I$2:$I$3143=$A9))/sum(filter(
Master_M"&amp;"apping_Sheet!$E$2:$E$3143, ISNUMBER(
Master_Mapping_Sheet!$E$2:$E$3143),
Master_Mapping_Sheet!$H$2:$H$3143=I$1)))"),0.0)</f>
        <v>0</v>
      </c>
      <c r="J9" s="34">
        <f>IFERROR(__xludf.DUMMYFUNCTION("IF(ISNA(sum(filter(
Master_Mapping_Sheet!$E$2:$E$3143, ISNUMBER(
Master_Mapping_Sheet!$E$2:$E$3143),
Master_Mapping_Sheet!$H$2:$H$3143=J$1,
Master_Mapping_Sheet!$I$2:$I$3143=$A9))/sum(filter(
Master_Mapping_Sheet!$E$2:$E$3143, ISNUMBER(
Master_Mapping_She"&amp;"et!$E$2:$E$3143),
Master_Mapping_Sheet!$H$2:$H$3143=J$1))), 0, sum(filter(
Master_Mapping_Sheet!$E$2:$E$3143, ISNUMBER(
Master_Mapping_Sheet!$E$2:$E$3143),
Master_Mapping_Sheet!$H$2:$H$3143=J$1,
Master_Mapping_Sheet!$I$2:$I$3143=$A9))/sum(filter(
Master_M"&amp;"apping_Sheet!$E$2:$E$3143, ISNUMBER(
Master_Mapping_Sheet!$E$2:$E$3143),
Master_Mapping_Sheet!$H$2:$H$3143=J$1)))"),0.0)</f>
        <v>0</v>
      </c>
      <c r="K9" s="34">
        <f>IFERROR(__xludf.DUMMYFUNCTION("IF(ISNA(sum(filter(
Master_Mapping_Sheet!$E$2:$E$3143, ISNUMBER(
Master_Mapping_Sheet!$E$2:$E$3143),
Master_Mapping_Sheet!$H$2:$H$3143=K$1,
Master_Mapping_Sheet!$I$2:$I$3143=$A9))/sum(filter(
Master_Mapping_Sheet!$E$2:$E$3143, ISNUMBER(
Master_Mapping_She"&amp;"et!$E$2:$E$3143),
Master_Mapping_Sheet!$H$2:$H$3143=K$1))), 0, sum(filter(
Master_Mapping_Sheet!$E$2:$E$3143, ISNUMBER(
Master_Mapping_Sheet!$E$2:$E$3143),
Master_Mapping_Sheet!$H$2:$H$3143=K$1,
Master_Mapping_Sheet!$I$2:$I$3143=$A9))/sum(filter(
Master_M"&amp;"apping_Sheet!$E$2:$E$3143, ISNUMBER(
Master_Mapping_Sheet!$E$2:$E$3143),
Master_Mapping_Sheet!$H$2:$H$3143=K$1)))"),0.0)</f>
        <v>0</v>
      </c>
      <c r="L9" s="34">
        <f>IFERROR(__xludf.DUMMYFUNCTION("IF(ISNA(sum(filter(
Master_Mapping_Sheet!$E$2:$E$3143, ISNUMBER(
Master_Mapping_Sheet!$E$2:$E$3143),
Master_Mapping_Sheet!$H$2:$H$3143=L$1,
Master_Mapping_Sheet!$I$2:$I$3143=$A9))/sum(filter(
Master_Mapping_Sheet!$E$2:$E$3143, ISNUMBER(
Master_Mapping_She"&amp;"et!$E$2:$E$3143),
Master_Mapping_Sheet!$H$2:$H$3143=L$1))), 0, sum(filter(
Master_Mapping_Sheet!$E$2:$E$3143, ISNUMBER(
Master_Mapping_Sheet!$E$2:$E$3143),
Master_Mapping_Sheet!$H$2:$H$3143=L$1,
Master_Mapping_Sheet!$I$2:$I$3143=$A9))/sum(filter(
Master_M"&amp;"apping_Sheet!$E$2:$E$3143, ISNUMBER(
Master_Mapping_Sheet!$E$2:$E$3143),
Master_Mapping_Sheet!$H$2:$H$3143=L$1)))"),0.0)</f>
        <v>0</v>
      </c>
      <c r="M9" s="34">
        <f>IFERROR(__xludf.DUMMYFUNCTION("IF(ISNA(sum(filter(
Master_Mapping_Sheet!$E$2:$E$3143, ISNUMBER(
Master_Mapping_Sheet!$E$2:$E$3143),
Master_Mapping_Sheet!$H$2:$H$3143=M$1,
Master_Mapping_Sheet!$I$2:$I$3143=$A9))/sum(filter(
Master_Mapping_Sheet!$E$2:$E$3143, ISNUMBER(
Master_Mapping_She"&amp;"et!$E$2:$E$3143),
Master_Mapping_Sheet!$H$2:$H$3143=M$1))), 0, sum(filter(
Master_Mapping_Sheet!$E$2:$E$3143, ISNUMBER(
Master_Mapping_Sheet!$E$2:$E$3143),
Master_Mapping_Sheet!$H$2:$H$3143=M$1,
Master_Mapping_Sheet!$I$2:$I$3143=$A9))/sum(filter(
Master_M"&amp;"apping_Sheet!$E$2:$E$3143, ISNUMBER(
Master_Mapping_Sheet!$E$2:$E$3143),
Master_Mapping_Sheet!$H$2:$H$3143=M$1)))"),0.0)</f>
        <v>0</v>
      </c>
      <c r="N9" s="34">
        <f>IFERROR(__xludf.DUMMYFUNCTION("IF(ISNA(sum(filter(
Master_Mapping_Sheet!$E$2:$E$3143, ISNUMBER(
Master_Mapping_Sheet!$E$2:$E$3143),
Master_Mapping_Sheet!$H$2:$H$3143=N$1,
Master_Mapping_Sheet!$I$2:$I$3143=$A9))/sum(filter(
Master_Mapping_Sheet!$E$2:$E$3143, ISNUMBER(
Master_Mapping_She"&amp;"et!$E$2:$E$3143),
Master_Mapping_Sheet!$H$2:$H$3143=N$1))), 0, sum(filter(
Master_Mapping_Sheet!$E$2:$E$3143, ISNUMBER(
Master_Mapping_Sheet!$E$2:$E$3143),
Master_Mapping_Sheet!$H$2:$H$3143=N$1,
Master_Mapping_Sheet!$I$2:$I$3143=$A9))/sum(filter(
Master_M"&amp;"apping_Sheet!$E$2:$E$3143, ISNUMBER(
Master_Mapping_Sheet!$E$2:$E$3143),
Master_Mapping_Sheet!$H$2:$H$3143=N$1)))"),0.0)</f>
        <v>0</v>
      </c>
      <c r="O9" s="34">
        <f>IFERROR(__xludf.DUMMYFUNCTION("IF(ISNA(sum(filter(
Master_Mapping_Sheet!$E$2:$E$3143, ISNUMBER(
Master_Mapping_Sheet!$E$2:$E$3143),
Master_Mapping_Sheet!$H$2:$H$3143=O$1,
Master_Mapping_Sheet!$I$2:$I$3143=$A9))/sum(filter(
Master_Mapping_Sheet!$E$2:$E$3143, ISNUMBER(
Master_Mapping_She"&amp;"et!$E$2:$E$3143),
Master_Mapping_Sheet!$H$2:$H$3143=O$1))), 0, sum(filter(
Master_Mapping_Sheet!$E$2:$E$3143, ISNUMBER(
Master_Mapping_Sheet!$E$2:$E$3143),
Master_Mapping_Sheet!$H$2:$H$3143=O$1,
Master_Mapping_Sheet!$I$2:$I$3143=$A9))/sum(filter(
Master_M"&amp;"apping_Sheet!$E$2:$E$3143, ISNUMBER(
Master_Mapping_Sheet!$E$2:$E$3143),
Master_Mapping_Sheet!$H$2:$H$3143=O$1)))"),0.0)</f>
        <v>0</v>
      </c>
      <c r="P9" s="34">
        <f>IFERROR(__xludf.DUMMYFUNCTION("IF(ISNA(sum(filter(
Master_Mapping_Sheet!$E$2:$E$3143, ISNUMBER(
Master_Mapping_Sheet!$E$2:$E$3143),
Master_Mapping_Sheet!$H$2:$H$3143=P$1,
Master_Mapping_Sheet!$I$2:$I$3143=$A9))/sum(filter(
Master_Mapping_Sheet!$E$2:$E$3143, ISNUMBER(
Master_Mapping_She"&amp;"et!$E$2:$E$3143),
Master_Mapping_Sheet!$H$2:$H$3143=P$1))), 0, sum(filter(
Master_Mapping_Sheet!$E$2:$E$3143, ISNUMBER(
Master_Mapping_Sheet!$E$2:$E$3143),
Master_Mapping_Sheet!$H$2:$H$3143=P$1,
Master_Mapping_Sheet!$I$2:$I$3143=$A9))/sum(filter(
Master_M"&amp;"apping_Sheet!$E$2:$E$3143, ISNUMBER(
Master_Mapping_Sheet!$E$2:$E$3143),
Master_Mapping_Sheet!$H$2:$H$3143=P$1)))"),0.0)</f>
        <v>0</v>
      </c>
      <c r="Q9" s="34">
        <f>IFERROR(__xludf.DUMMYFUNCTION("IF(ISNA(sum(filter(
Master_Mapping_Sheet!$E$2:$E$3143, ISNUMBER(
Master_Mapping_Sheet!$E$2:$E$3143),
Master_Mapping_Sheet!$H$2:$H$3143=Q$1,
Master_Mapping_Sheet!$I$2:$I$3143=$A9))/sum(filter(
Master_Mapping_Sheet!$E$2:$E$3143, ISNUMBER(
Master_Mapping_She"&amp;"et!$E$2:$E$3143),
Master_Mapping_Sheet!$H$2:$H$3143=Q$1))), 0, sum(filter(
Master_Mapping_Sheet!$E$2:$E$3143, ISNUMBER(
Master_Mapping_Sheet!$E$2:$E$3143),
Master_Mapping_Sheet!$H$2:$H$3143=Q$1,
Master_Mapping_Sheet!$I$2:$I$3143=$A9))/sum(filter(
Master_M"&amp;"apping_Sheet!$E$2:$E$3143, ISNUMBER(
Master_Mapping_Sheet!$E$2:$E$3143),
Master_Mapping_Sheet!$H$2:$H$3143=Q$1)))"),0.0)</f>
        <v>0</v>
      </c>
      <c r="R9" s="34">
        <f>IFERROR(__xludf.DUMMYFUNCTION("IF(ISNA(sum(filter(
Master_Mapping_Sheet!$E$2:$E$3143, ISNUMBER(
Master_Mapping_Sheet!$E$2:$E$3143),
Master_Mapping_Sheet!$H$2:$H$3143=R$1,
Master_Mapping_Sheet!$I$2:$I$3143=$A9))/sum(filter(
Master_Mapping_Sheet!$E$2:$E$3143, ISNUMBER(
Master_Mapping_She"&amp;"et!$E$2:$E$3143),
Master_Mapping_Sheet!$H$2:$H$3143=R$1))), 0, sum(filter(
Master_Mapping_Sheet!$E$2:$E$3143, ISNUMBER(
Master_Mapping_Sheet!$E$2:$E$3143),
Master_Mapping_Sheet!$H$2:$H$3143=R$1,
Master_Mapping_Sheet!$I$2:$I$3143=$A9))/sum(filter(
Master_M"&amp;"apping_Sheet!$E$2:$E$3143, ISNUMBER(
Master_Mapping_Sheet!$E$2:$E$3143),
Master_Mapping_Sheet!$H$2:$H$3143=R$1)))"),0.03510694432275086)</f>
        <v>0.03510694432</v>
      </c>
      <c r="S9" s="34">
        <f>IFERROR(__xludf.DUMMYFUNCTION("IF(ISNA(sum(filter(
Master_Mapping_Sheet!$E$2:$E$3143, ISNUMBER(
Master_Mapping_Sheet!$E$2:$E$3143),
Master_Mapping_Sheet!$H$2:$H$3143=S$1,
Master_Mapping_Sheet!$I$2:$I$3143=$A9))/sum(filter(
Master_Mapping_Sheet!$E$2:$E$3143, ISNUMBER(
Master_Mapping_She"&amp;"et!$E$2:$E$3143),
Master_Mapping_Sheet!$H$2:$H$3143=S$1))), 0, sum(filter(
Master_Mapping_Sheet!$E$2:$E$3143, ISNUMBER(
Master_Mapping_Sheet!$E$2:$E$3143),
Master_Mapping_Sheet!$H$2:$H$3143=S$1,
Master_Mapping_Sheet!$I$2:$I$3143=$A9))/sum(filter(
Master_M"&amp;"apping_Sheet!$E$2:$E$3143, ISNUMBER(
Master_Mapping_Sheet!$E$2:$E$3143),
Master_Mapping_Sheet!$H$2:$H$3143=S$1)))"),0.0)</f>
        <v>0</v>
      </c>
      <c r="T9" s="34">
        <f>IFERROR(__xludf.DUMMYFUNCTION("IF(ISNA(sum(filter(
Master_Mapping_Sheet!$E$2:$E$3143, ISNUMBER(
Master_Mapping_Sheet!$E$2:$E$3143),
Master_Mapping_Sheet!$H$2:$H$3143=T$1,
Master_Mapping_Sheet!$I$2:$I$3143=$A9))/sum(filter(
Master_Mapping_Sheet!$E$2:$E$3143, ISNUMBER(
Master_Mapping_She"&amp;"et!$E$2:$E$3143),
Master_Mapping_Sheet!$H$2:$H$3143=T$1))), 0, sum(filter(
Master_Mapping_Sheet!$E$2:$E$3143, ISNUMBER(
Master_Mapping_Sheet!$E$2:$E$3143),
Master_Mapping_Sheet!$H$2:$H$3143=T$1,
Master_Mapping_Sheet!$I$2:$I$3143=$A9))/sum(filter(
Master_M"&amp;"apping_Sheet!$E$2:$E$3143, ISNUMBER(
Master_Mapping_Sheet!$E$2:$E$3143),
Master_Mapping_Sheet!$H$2:$H$3143=T$1)))"),0.008070180730187065)</f>
        <v>0.00807018073</v>
      </c>
      <c r="U9" s="34">
        <f>IFERROR(__xludf.DUMMYFUNCTION("IF(ISNA(sum(filter(
Master_Mapping_Sheet!$E$2:$E$3143, ISNUMBER(
Master_Mapping_Sheet!$E$2:$E$3143),
Master_Mapping_Sheet!$H$2:$H$3143=U$1,
Master_Mapping_Sheet!$I$2:$I$3143=$A9))/sum(filter(
Master_Mapping_Sheet!$E$2:$E$3143, ISNUMBER(
Master_Mapping_She"&amp;"et!$E$2:$E$3143),
Master_Mapping_Sheet!$H$2:$H$3143=U$1))), 0, sum(filter(
Master_Mapping_Sheet!$E$2:$E$3143, ISNUMBER(
Master_Mapping_Sheet!$E$2:$E$3143),
Master_Mapping_Sheet!$H$2:$H$3143=U$1,
Master_Mapping_Sheet!$I$2:$I$3143=$A9))/sum(filter(
Master_M"&amp;"apping_Sheet!$E$2:$E$3143, ISNUMBER(
Master_Mapping_Sheet!$E$2:$E$3143),
Master_Mapping_Sheet!$H$2:$H$3143=U$1)))"),0.8968951810585941)</f>
        <v>0.8968951811</v>
      </c>
      <c r="V9" s="34">
        <f>IFERROR(__xludf.DUMMYFUNCTION("IF(ISNA(sum(filter(
Master_Mapping_Sheet!$E$2:$E$3143, ISNUMBER(
Master_Mapping_Sheet!$E$2:$E$3143),
Master_Mapping_Sheet!$H$2:$H$3143=V$1,
Master_Mapping_Sheet!$I$2:$I$3143=$A9))/sum(filter(
Master_Mapping_Sheet!$E$2:$E$3143, ISNUMBER(
Master_Mapping_She"&amp;"et!$E$2:$E$3143),
Master_Mapping_Sheet!$H$2:$H$3143=V$1))), 0, sum(filter(
Master_Mapping_Sheet!$E$2:$E$3143, ISNUMBER(
Master_Mapping_Sheet!$E$2:$E$3143),
Master_Mapping_Sheet!$H$2:$H$3143=V$1,
Master_Mapping_Sheet!$I$2:$I$3143=$A9))/sum(filter(
Master_M"&amp;"apping_Sheet!$E$2:$E$3143, ISNUMBER(
Master_Mapping_Sheet!$E$2:$E$3143),
Master_Mapping_Sheet!$H$2:$H$3143=V$1)))"),0.0)</f>
        <v>0</v>
      </c>
      <c r="W9" s="34">
        <f>IFERROR(__xludf.DUMMYFUNCTION("IF(ISNA(sum(filter(
Master_Mapping_Sheet!$E$2:$E$3143, ISNUMBER(
Master_Mapping_Sheet!$E$2:$E$3143),
Master_Mapping_Sheet!$H$2:$H$3143=W$1,
Master_Mapping_Sheet!$I$2:$I$3143=$A9))/sum(filter(
Master_Mapping_Sheet!$E$2:$E$3143, ISNUMBER(
Master_Mapping_She"&amp;"et!$E$2:$E$3143),
Master_Mapping_Sheet!$H$2:$H$3143=W$1))), 0, sum(filter(
Master_Mapping_Sheet!$E$2:$E$3143, ISNUMBER(
Master_Mapping_Sheet!$E$2:$E$3143),
Master_Mapping_Sheet!$H$2:$H$3143=W$1,
Master_Mapping_Sheet!$I$2:$I$3143=$A9))/sum(filter(
Master_M"&amp;"apping_Sheet!$E$2:$E$3143, ISNUMBER(
Master_Mapping_Sheet!$E$2:$E$3143),
Master_Mapping_Sheet!$H$2:$H$3143=W$1)))"),0.0)</f>
        <v>0</v>
      </c>
      <c r="X9" s="34">
        <f>IFERROR(__xludf.DUMMYFUNCTION("IF(ISNA(sum(filter(
Master_Mapping_Sheet!$E$2:$E$3143, ISNUMBER(
Master_Mapping_Sheet!$E$2:$E$3143),
Master_Mapping_Sheet!$H$2:$H$3143=X$1,
Master_Mapping_Sheet!$I$2:$I$3143=$A9))/sum(filter(
Master_Mapping_Sheet!$E$2:$E$3143, ISNUMBER(
Master_Mapping_She"&amp;"et!$E$2:$E$3143),
Master_Mapping_Sheet!$H$2:$H$3143=X$1))), 0, sum(filter(
Master_Mapping_Sheet!$E$2:$E$3143, ISNUMBER(
Master_Mapping_Sheet!$E$2:$E$3143),
Master_Mapping_Sheet!$H$2:$H$3143=X$1,
Master_Mapping_Sheet!$I$2:$I$3143=$A9))/sum(filter(
Master_M"&amp;"apping_Sheet!$E$2:$E$3143, ISNUMBER(
Master_Mapping_Sheet!$E$2:$E$3143),
Master_Mapping_Sheet!$H$2:$H$3143=X$1)))"),0.10747503218514555)</f>
        <v>0.1074750322</v>
      </c>
      <c r="Y9" s="34">
        <f>IFERROR(__xludf.DUMMYFUNCTION("IF(ISNA(sum(filter(
Master_Mapping_Sheet!$E$2:$E$3143, ISNUMBER(
Master_Mapping_Sheet!$E$2:$E$3143),
Master_Mapping_Sheet!$H$2:$H$3143=Y$1,
Master_Mapping_Sheet!$I$2:$I$3143=$A9))/sum(filter(
Master_Mapping_Sheet!$E$2:$E$3143, ISNUMBER(
Master_Mapping_She"&amp;"et!$E$2:$E$3143),
Master_Mapping_Sheet!$H$2:$H$3143=Y$1))), 0, sum(filter(
Master_Mapping_Sheet!$E$2:$E$3143, ISNUMBER(
Master_Mapping_Sheet!$E$2:$E$3143),
Master_Mapping_Sheet!$H$2:$H$3143=Y$1,
Master_Mapping_Sheet!$I$2:$I$3143=$A9))/sum(filter(
Master_M"&amp;"apping_Sheet!$E$2:$E$3143, ISNUMBER(
Master_Mapping_Sheet!$E$2:$E$3143),
Master_Mapping_Sheet!$H$2:$H$3143=Y$1)))"),0.9876945126623004)</f>
        <v>0.9876945127</v>
      </c>
      <c r="Z9" s="34">
        <f>IFERROR(__xludf.DUMMYFUNCTION("IF(ISNA(sum(filter(
Master_Mapping_Sheet!$E$2:$E$3143, ISNUMBER(
Master_Mapping_Sheet!$E$2:$E$3143),
Master_Mapping_Sheet!$H$2:$H$3143=Z$1,
Master_Mapping_Sheet!$I$2:$I$3143=$A9))/sum(filter(
Master_Mapping_Sheet!$E$2:$E$3143, ISNUMBER(
Master_Mapping_She"&amp;"et!$E$2:$E$3143),
Master_Mapping_Sheet!$H$2:$H$3143=Z$1))), 0, sum(filter(
Master_Mapping_Sheet!$E$2:$E$3143, ISNUMBER(
Master_Mapping_Sheet!$E$2:$E$3143),
Master_Mapping_Sheet!$H$2:$H$3143=Z$1,
Master_Mapping_Sheet!$I$2:$I$3143=$A9))/sum(filter(
Master_M"&amp;"apping_Sheet!$E$2:$E$3143, ISNUMBER(
Master_Mapping_Sheet!$E$2:$E$3143),
Master_Mapping_Sheet!$H$2:$H$3143=Z$1)))"),1.0)</f>
        <v>1</v>
      </c>
    </row>
    <row r="10" ht="15.75" customHeight="1">
      <c r="A10" s="32">
        <v>9.0</v>
      </c>
      <c r="B10" s="34">
        <f>IFERROR(__xludf.DUMMYFUNCTION("IF(ISNA(sum(filter(
Master_Mapping_Sheet!$E$2:$E$3143, ISNUMBER(
Master_Mapping_Sheet!$E$2:$E$3143),
Master_Mapping_Sheet!$H$2:$H$3143=B$1,
Master_Mapping_Sheet!$I$2:$I$3143=$A10))/sum(filter(
Master_Mapping_Sheet!$E$2:$E$3143, ISNUMBER(
Master_Mapping_Sh"&amp;"eet!$E$2:$E$3143),
Master_Mapping_Sheet!$H$2:$H$3143=B$1))), 0, sum(filter(
Master_Mapping_Sheet!$E$2:$E$3143, ISNUMBER(
Master_Mapping_Sheet!$E$2:$E$3143),
Master_Mapping_Sheet!$H$2:$H$3143=B$1,
Master_Mapping_Sheet!$I$2:$I$3143=$A10))/sum(filter(
Master"&amp;"_Mapping_Sheet!$E$2:$E$3143, ISNUMBER(
Master_Mapping_Sheet!$E$2:$E$3143),
Master_Mapping_Sheet!$H$2:$H$3143=B$1)))"),0.0)</f>
        <v>0</v>
      </c>
      <c r="C10" s="34">
        <f>IFERROR(__xludf.DUMMYFUNCTION("IF(ISNA(sum(filter(
Master_Mapping_Sheet!$E$2:$E$3143, ISNUMBER(
Master_Mapping_Sheet!$E$2:$E$3143),
Master_Mapping_Sheet!$H$2:$H$3143=C$1,
Master_Mapping_Sheet!$I$2:$I$3143=$A10))/sum(filter(
Master_Mapping_Sheet!$E$2:$E$3143, ISNUMBER(
Master_Mapping_Sh"&amp;"eet!$E$2:$E$3143),
Master_Mapping_Sheet!$H$2:$H$3143=C$1))), 0, sum(filter(
Master_Mapping_Sheet!$E$2:$E$3143, ISNUMBER(
Master_Mapping_Sheet!$E$2:$E$3143),
Master_Mapping_Sheet!$H$2:$H$3143=C$1,
Master_Mapping_Sheet!$I$2:$I$3143=$A10))/sum(filter(
Master"&amp;"_Mapping_Sheet!$E$2:$E$3143, ISNUMBER(
Master_Mapping_Sheet!$E$2:$E$3143),
Master_Mapping_Sheet!$H$2:$H$3143=C$1)))"),0.0)</f>
        <v>0</v>
      </c>
      <c r="D10" s="34">
        <f>IFERROR(__xludf.DUMMYFUNCTION("IF(ISNA(sum(filter(
Master_Mapping_Sheet!$E$2:$E$3143, ISNUMBER(
Master_Mapping_Sheet!$E$2:$E$3143),
Master_Mapping_Sheet!$H$2:$H$3143=D$1,
Master_Mapping_Sheet!$I$2:$I$3143=$A10))/sum(filter(
Master_Mapping_Sheet!$E$2:$E$3143, ISNUMBER(
Master_Mapping_Sh"&amp;"eet!$E$2:$E$3143),
Master_Mapping_Sheet!$H$2:$H$3143=D$1))), 0, sum(filter(
Master_Mapping_Sheet!$E$2:$E$3143, ISNUMBER(
Master_Mapping_Sheet!$E$2:$E$3143),
Master_Mapping_Sheet!$H$2:$H$3143=D$1,
Master_Mapping_Sheet!$I$2:$I$3143=$A10))/sum(filter(
Master"&amp;"_Mapping_Sheet!$E$2:$E$3143, ISNUMBER(
Master_Mapping_Sheet!$E$2:$E$3143),
Master_Mapping_Sheet!$H$2:$H$3143=D$1)))"),0.0)</f>
        <v>0</v>
      </c>
      <c r="E10" s="34">
        <f>IFERROR(__xludf.DUMMYFUNCTION("IF(ISNA(sum(filter(
Master_Mapping_Sheet!$E$2:$E$3143, ISNUMBER(
Master_Mapping_Sheet!$E$2:$E$3143),
Master_Mapping_Sheet!$H$2:$H$3143=E$1,
Master_Mapping_Sheet!$I$2:$I$3143=$A10))/sum(filter(
Master_Mapping_Sheet!$E$2:$E$3143, ISNUMBER(
Master_Mapping_Sh"&amp;"eet!$E$2:$E$3143),
Master_Mapping_Sheet!$H$2:$H$3143=E$1))), 0, sum(filter(
Master_Mapping_Sheet!$E$2:$E$3143, ISNUMBER(
Master_Mapping_Sheet!$E$2:$E$3143),
Master_Mapping_Sheet!$H$2:$H$3143=E$1,
Master_Mapping_Sheet!$I$2:$I$3143=$A10))/sum(filter(
Master"&amp;"_Mapping_Sheet!$E$2:$E$3143, ISNUMBER(
Master_Mapping_Sheet!$E$2:$E$3143),
Master_Mapping_Sheet!$H$2:$H$3143=E$1)))"),0.0)</f>
        <v>0</v>
      </c>
      <c r="F10" s="34">
        <f>IFERROR(__xludf.DUMMYFUNCTION("IF(ISNA(sum(filter(
Master_Mapping_Sheet!$E$2:$E$3143, ISNUMBER(
Master_Mapping_Sheet!$E$2:$E$3143),
Master_Mapping_Sheet!$H$2:$H$3143=F$1,
Master_Mapping_Sheet!$I$2:$I$3143=$A10))/sum(filter(
Master_Mapping_Sheet!$E$2:$E$3143, ISNUMBER(
Master_Mapping_Sh"&amp;"eet!$E$2:$E$3143),
Master_Mapping_Sheet!$H$2:$H$3143=F$1))), 0, sum(filter(
Master_Mapping_Sheet!$E$2:$E$3143, ISNUMBER(
Master_Mapping_Sheet!$E$2:$E$3143),
Master_Mapping_Sheet!$H$2:$H$3143=F$1,
Master_Mapping_Sheet!$I$2:$I$3143=$A10))/sum(filter(
Master"&amp;"_Mapping_Sheet!$E$2:$E$3143, ISNUMBER(
Master_Mapping_Sheet!$E$2:$E$3143),
Master_Mapping_Sheet!$H$2:$H$3143=F$1)))"),0.0)</f>
        <v>0</v>
      </c>
      <c r="G10" s="34">
        <f>IFERROR(__xludf.DUMMYFUNCTION("IF(ISNA(sum(filter(
Master_Mapping_Sheet!$E$2:$E$3143, ISNUMBER(
Master_Mapping_Sheet!$E$2:$E$3143),
Master_Mapping_Sheet!$H$2:$H$3143=G$1,
Master_Mapping_Sheet!$I$2:$I$3143=$A10))/sum(filter(
Master_Mapping_Sheet!$E$2:$E$3143, ISNUMBER(
Master_Mapping_Sh"&amp;"eet!$E$2:$E$3143),
Master_Mapping_Sheet!$H$2:$H$3143=G$1))), 0, sum(filter(
Master_Mapping_Sheet!$E$2:$E$3143, ISNUMBER(
Master_Mapping_Sheet!$E$2:$E$3143),
Master_Mapping_Sheet!$H$2:$H$3143=G$1,
Master_Mapping_Sheet!$I$2:$I$3143=$A10))/sum(filter(
Master"&amp;"_Mapping_Sheet!$E$2:$E$3143, ISNUMBER(
Master_Mapping_Sheet!$E$2:$E$3143),
Master_Mapping_Sheet!$H$2:$H$3143=G$1)))"),0.0)</f>
        <v>0</v>
      </c>
      <c r="H10" s="34">
        <f>IFERROR(__xludf.DUMMYFUNCTION("IF(ISNA(sum(filter(
Master_Mapping_Sheet!$E$2:$E$3143, ISNUMBER(
Master_Mapping_Sheet!$E$2:$E$3143),
Master_Mapping_Sheet!$H$2:$H$3143=H$1,
Master_Mapping_Sheet!$I$2:$I$3143=$A10))/sum(filter(
Master_Mapping_Sheet!$E$2:$E$3143, ISNUMBER(
Master_Mapping_Sh"&amp;"eet!$E$2:$E$3143),
Master_Mapping_Sheet!$H$2:$H$3143=H$1))), 0, sum(filter(
Master_Mapping_Sheet!$E$2:$E$3143, ISNUMBER(
Master_Mapping_Sheet!$E$2:$E$3143),
Master_Mapping_Sheet!$H$2:$H$3143=H$1,
Master_Mapping_Sheet!$I$2:$I$3143=$A10))/sum(filter(
Master"&amp;"_Mapping_Sheet!$E$2:$E$3143, ISNUMBER(
Master_Mapping_Sheet!$E$2:$E$3143),
Master_Mapping_Sheet!$H$2:$H$3143=H$1)))"),0.0)</f>
        <v>0</v>
      </c>
      <c r="I10" s="34">
        <f>IFERROR(__xludf.DUMMYFUNCTION("IF(ISNA(sum(filter(
Master_Mapping_Sheet!$E$2:$E$3143, ISNUMBER(
Master_Mapping_Sheet!$E$2:$E$3143),
Master_Mapping_Sheet!$H$2:$H$3143=I$1,
Master_Mapping_Sheet!$I$2:$I$3143=$A10))/sum(filter(
Master_Mapping_Sheet!$E$2:$E$3143, ISNUMBER(
Master_Mapping_Sh"&amp;"eet!$E$2:$E$3143),
Master_Mapping_Sheet!$H$2:$H$3143=I$1))), 0, sum(filter(
Master_Mapping_Sheet!$E$2:$E$3143, ISNUMBER(
Master_Mapping_Sheet!$E$2:$E$3143),
Master_Mapping_Sheet!$H$2:$H$3143=I$1,
Master_Mapping_Sheet!$I$2:$I$3143=$A10))/sum(filter(
Master"&amp;"_Mapping_Sheet!$E$2:$E$3143, ISNUMBER(
Master_Mapping_Sheet!$E$2:$E$3143),
Master_Mapping_Sheet!$H$2:$H$3143=I$1)))"),0.0)</f>
        <v>0</v>
      </c>
      <c r="J10" s="34">
        <f>IFERROR(__xludf.DUMMYFUNCTION("IF(ISNA(sum(filter(
Master_Mapping_Sheet!$E$2:$E$3143, ISNUMBER(
Master_Mapping_Sheet!$E$2:$E$3143),
Master_Mapping_Sheet!$H$2:$H$3143=J$1,
Master_Mapping_Sheet!$I$2:$I$3143=$A10))/sum(filter(
Master_Mapping_Sheet!$E$2:$E$3143, ISNUMBER(
Master_Mapping_Sh"&amp;"eet!$E$2:$E$3143),
Master_Mapping_Sheet!$H$2:$H$3143=J$1))), 0, sum(filter(
Master_Mapping_Sheet!$E$2:$E$3143, ISNUMBER(
Master_Mapping_Sheet!$E$2:$E$3143),
Master_Mapping_Sheet!$H$2:$H$3143=J$1,
Master_Mapping_Sheet!$I$2:$I$3143=$A10))/sum(filter(
Master"&amp;"_Mapping_Sheet!$E$2:$E$3143, ISNUMBER(
Master_Mapping_Sheet!$E$2:$E$3143),
Master_Mapping_Sheet!$H$2:$H$3143=J$1)))"),0.0)</f>
        <v>0</v>
      </c>
      <c r="K10" s="34">
        <f>IFERROR(__xludf.DUMMYFUNCTION("IF(ISNA(sum(filter(
Master_Mapping_Sheet!$E$2:$E$3143, ISNUMBER(
Master_Mapping_Sheet!$E$2:$E$3143),
Master_Mapping_Sheet!$H$2:$H$3143=K$1,
Master_Mapping_Sheet!$I$2:$I$3143=$A10))/sum(filter(
Master_Mapping_Sheet!$E$2:$E$3143, ISNUMBER(
Master_Mapping_Sh"&amp;"eet!$E$2:$E$3143),
Master_Mapping_Sheet!$H$2:$H$3143=K$1))), 0, sum(filter(
Master_Mapping_Sheet!$E$2:$E$3143, ISNUMBER(
Master_Mapping_Sheet!$E$2:$E$3143),
Master_Mapping_Sheet!$H$2:$H$3143=K$1,
Master_Mapping_Sheet!$I$2:$I$3143=$A10))/sum(filter(
Master"&amp;"_Mapping_Sheet!$E$2:$E$3143, ISNUMBER(
Master_Mapping_Sheet!$E$2:$E$3143),
Master_Mapping_Sheet!$H$2:$H$3143=K$1)))"),0.0)</f>
        <v>0</v>
      </c>
      <c r="L10" s="34">
        <f>IFERROR(__xludf.DUMMYFUNCTION("IF(ISNA(sum(filter(
Master_Mapping_Sheet!$E$2:$E$3143, ISNUMBER(
Master_Mapping_Sheet!$E$2:$E$3143),
Master_Mapping_Sheet!$H$2:$H$3143=L$1,
Master_Mapping_Sheet!$I$2:$I$3143=$A10))/sum(filter(
Master_Mapping_Sheet!$E$2:$E$3143, ISNUMBER(
Master_Mapping_Sh"&amp;"eet!$E$2:$E$3143),
Master_Mapping_Sheet!$H$2:$H$3143=L$1))), 0, sum(filter(
Master_Mapping_Sheet!$E$2:$E$3143, ISNUMBER(
Master_Mapping_Sheet!$E$2:$E$3143),
Master_Mapping_Sheet!$H$2:$H$3143=L$1,
Master_Mapping_Sheet!$I$2:$I$3143=$A10))/sum(filter(
Master"&amp;"_Mapping_Sheet!$E$2:$E$3143, ISNUMBER(
Master_Mapping_Sheet!$E$2:$E$3143),
Master_Mapping_Sheet!$H$2:$H$3143=L$1)))"),0.0)</f>
        <v>0</v>
      </c>
      <c r="M10" s="34">
        <f>IFERROR(__xludf.DUMMYFUNCTION("IF(ISNA(sum(filter(
Master_Mapping_Sheet!$E$2:$E$3143, ISNUMBER(
Master_Mapping_Sheet!$E$2:$E$3143),
Master_Mapping_Sheet!$H$2:$H$3143=M$1,
Master_Mapping_Sheet!$I$2:$I$3143=$A10))/sum(filter(
Master_Mapping_Sheet!$E$2:$E$3143, ISNUMBER(
Master_Mapping_Sh"&amp;"eet!$E$2:$E$3143),
Master_Mapping_Sheet!$H$2:$H$3143=M$1))), 0, sum(filter(
Master_Mapping_Sheet!$E$2:$E$3143, ISNUMBER(
Master_Mapping_Sheet!$E$2:$E$3143),
Master_Mapping_Sheet!$H$2:$H$3143=M$1,
Master_Mapping_Sheet!$I$2:$I$3143=$A10))/sum(filter(
Master"&amp;"_Mapping_Sheet!$E$2:$E$3143, ISNUMBER(
Master_Mapping_Sheet!$E$2:$E$3143),
Master_Mapping_Sheet!$H$2:$H$3143=M$1)))"),0.0)</f>
        <v>0</v>
      </c>
      <c r="N10" s="34">
        <f>IFERROR(__xludf.DUMMYFUNCTION("IF(ISNA(sum(filter(
Master_Mapping_Sheet!$E$2:$E$3143, ISNUMBER(
Master_Mapping_Sheet!$E$2:$E$3143),
Master_Mapping_Sheet!$H$2:$H$3143=N$1,
Master_Mapping_Sheet!$I$2:$I$3143=$A10))/sum(filter(
Master_Mapping_Sheet!$E$2:$E$3143, ISNUMBER(
Master_Mapping_Sh"&amp;"eet!$E$2:$E$3143),
Master_Mapping_Sheet!$H$2:$H$3143=N$1))), 0, sum(filter(
Master_Mapping_Sheet!$E$2:$E$3143, ISNUMBER(
Master_Mapping_Sheet!$E$2:$E$3143),
Master_Mapping_Sheet!$H$2:$H$3143=N$1,
Master_Mapping_Sheet!$I$2:$I$3143=$A10))/sum(filter(
Master"&amp;"_Mapping_Sheet!$E$2:$E$3143, ISNUMBER(
Master_Mapping_Sheet!$E$2:$E$3143),
Master_Mapping_Sheet!$H$2:$H$3143=N$1)))"),0.0)</f>
        <v>0</v>
      </c>
      <c r="O10" s="34">
        <f>IFERROR(__xludf.DUMMYFUNCTION("IF(ISNA(sum(filter(
Master_Mapping_Sheet!$E$2:$E$3143, ISNUMBER(
Master_Mapping_Sheet!$E$2:$E$3143),
Master_Mapping_Sheet!$H$2:$H$3143=O$1,
Master_Mapping_Sheet!$I$2:$I$3143=$A10))/sum(filter(
Master_Mapping_Sheet!$E$2:$E$3143, ISNUMBER(
Master_Mapping_Sh"&amp;"eet!$E$2:$E$3143),
Master_Mapping_Sheet!$H$2:$H$3143=O$1))), 0, sum(filter(
Master_Mapping_Sheet!$E$2:$E$3143, ISNUMBER(
Master_Mapping_Sheet!$E$2:$E$3143),
Master_Mapping_Sheet!$H$2:$H$3143=O$1,
Master_Mapping_Sheet!$I$2:$I$3143=$A10))/sum(filter(
Master"&amp;"_Mapping_Sheet!$E$2:$E$3143, ISNUMBER(
Master_Mapping_Sheet!$E$2:$E$3143),
Master_Mapping_Sheet!$H$2:$H$3143=O$1)))"),0.0)</f>
        <v>0</v>
      </c>
      <c r="P10" s="34">
        <f>IFERROR(__xludf.DUMMYFUNCTION("IF(ISNA(sum(filter(
Master_Mapping_Sheet!$E$2:$E$3143, ISNUMBER(
Master_Mapping_Sheet!$E$2:$E$3143),
Master_Mapping_Sheet!$H$2:$H$3143=P$1,
Master_Mapping_Sheet!$I$2:$I$3143=$A10))/sum(filter(
Master_Mapping_Sheet!$E$2:$E$3143, ISNUMBER(
Master_Mapping_Sh"&amp;"eet!$E$2:$E$3143),
Master_Mapping_Sheet!$H$2:$H$3143=P$1))), 0, sum(filter(
Master_Mapping_Sheet!$E$2:$E$3143, ISNUMBER(
Master_Mapping_Sheet!$E$2:$E$3143),
Master_Mapping_Sheet!$H$2:$H$3143=P$1,
Master_Mapping_Sheet!$I$2:$I$3143=$A10))/sum(filter(
Master"&amp;"_Mapping_Sheet!$E$2:$E$3143, ISNUMBER(
Master_Mapping_Sheet!$E$2:$E$3143),
Master_Mapping_Sheet!$H$2:$H$3143=P$1)))"),0.0)</f>
        <v>0</v>
      </c>
      <c r="Q10" s="34">
        <f>IFERROR(__xludf.DUMMYFUNCTION("IF(ISNA(sum(filter(
Master_Mapping_Sheet!$E$2:$E$3143, ISNUMBER(
Master_Mapping_Sheet!$E$2:$E$3143),
Master_Mapping_Sheet!$H$2:$H$3143=Q$1,
Master_Mapping_Sheet!$I$2:$I$3143=$A10))/sum(filter(
Master_Mapping_Sheet!$E$2:$E$3143, ISNUMBER(
Master_Mapping_Sh"&amp;"eet!$E$2:$E$3143),
Master_Mapping_Sheet!$H$2:$H$3143=Q$1))), 0, sum(filter(
Master_Mapping_Sheet!$E$2:$E$3143, ISNUMBER(
Master_Mapping_Sheet!$E$2:$E$3143),
Master_Mapping_Sheet!$H$2:$H$3143=Q$1,
Master_Mapping_Sheet!$I$2:$I$3143=$A10))/sum(filter(
Master"&amp;"_Mapping_Sheet!$E$2:$E$3143, ISNUMBER(
Master_Mapping_Sheet!$E$2:$E$3143),
Master_Mapping_Sheet!$H$2:$H$3143=Q$1)))"),0.0)</f>
        <v>0</v>
      </c>
      <c r="R10" s="34">
        <f>IFERROR(__xludf.DUMMYFUNCTION("IF(ISNA(sum(filter(
Master_Mapping_Sheet!$E$2:$E$3143, ISNUMBER(
Master_Mapping_Sheet!$E$2:$E$3143),
Master_Mapping_Sheet!$H$2:$H$3143=R$1,
Master_Mapping_Sheet!$I$2:$I$3143=$A10))/sum(filter(
Master_Mapping_Sheet!$E$2:$E$3143, ISNUMBER(
Master_Mapping_Sh"&amp;"eet!$E$2:$E$3143),
Master_Mapping_Sheet!$H$2:$H$3143=R$1))), 0, sum(filter(
Master_Mapping_Sheet!$E$2:$E$3143, ISNUMBER(
Master_Mapping_Sheet!$E$2:$E$3143),
Master_Mapping_Sheet!$H$2:$H$3143=R$1,
Master_Mapping_Sheet!$I$2:$I$3143=$A10))/sum(filter(
Master"&amp;"_Mapping_Sheet!$E$2:$E$3143, ISNUMBER(
Master_Mapping_Sheet!$E$2:$E$3143),
Master_Mapping_Sheet!$H$2:$H$3143=R$1)))"),0.0)</f>
        <v>0</v>
      </c>
      <c r="S10" s="34">
        <f>IFERROR(__xludf.DUMMYFUNCTION("IF(ISNA(sum(filter(
Master_Mapping_Sheet!$E$2:$E$3143, ISNUMBER(
Master_Mapping_Sheet!$E$2:$E$3143),
Master_Mapping_Sheet!$H$2:$H$3143=S$1,
Master_Mapping_Sheet!$I$2:$I$3143=$A10))/sum(filter(
Master_Mapping_Sheet!$E$2:$E$3143, ISNUMBER(
Master_Mapping_Sh"&amp;"eet!$E$2:$E$3143),
Master_Mapping_Sheet!$H$2:$H$3143=S$1))), 0, sum(filter(
Master_Mapping_Sheet!$E$2:$E$3143, ISNUMBER(
Master_Mapping_Sheet!$E$2:$E$3143),
Master_Mapping_Sheet!$H$2:$H$3143=S$1,
Master_Mapping_Sheet!$I$2:$I$3143=$A10))/sum(filter(
Master"&amp;"_Mapping_Sheet!$E$2:$E$3143, ISNUMBER(
Master_Mapping_Sheet!$E$2:$E$3143),
Master_Mapping_Sheet!$H$2:$H$3143=S$1)))"),0.0)</f>
        <v>0</v>
      </c>
      <c r="T10" s="34">
        <f>IFERROR(__xludf.DUMMYFUNCTION("IF(ISNA(sum(filter(
Master_Mapping_Sheet!$E$2:$E$3143, ISNUMBER(
Master_Mapping_Sheet!$E$2:$E$3143),
Master_Mapping_Sheet!$H$2:$H$3143=T$1,
Master_Mapping_Sheet!$I$2:$I$3143=$A10))/sum(filter(
Master_Mapping_Sheet!$E$2:$E$3143, ISNUMBER(
Master_Mapping_Sh"&amp;"eet!$E$2:$E$3143),
Master_Mapping_Sheet!$H$2:$H$3143=T$1))), 0, sum(filter(
Master_Mapping_Sheet!$E$2:$E$3143, ISNUMBER(
Master_Mapping_Sheet!$E$2:$E$3143),
Master_Mapping_Sheet!$H$2:$H$3143=T$1,
Master_Mapping_Sheet!$I$2:$I$3143=$A10))/sum(filter(
Master"&amp;"_Mapping_Sheet!$E$2:$E$3143, ISNUMBER(
Master_Mapping_Sheet!$E$2:$E$3143),
Master_Mapping_Sheet!$H$2:$H$3143=T$1)))"),0.0)</f>
        <v>0</v>
      </c>
      <c r="U10" s="34">
        <f>IFERROR(__xludf.DUMMYFUNCTION("IF(ISNA(sum(filter(
Master_Mapping_Sheet!$E$2:$E$3143, ISNUMBER(
Master_Mapping_Sheet!$E$2:$E$3143),
Master_Mapping_Sheet!$H$2:$H$3143=U$1,
Master_Mapping_Sheet!$I$2:$I$3143=$A10))/sum(filter(
Master_Mapping_Sheet!$E$2:$E$3143, ISNUMBER(
Master_Mapping_Sh"&amp;"eet!$E$2:$E$3143),
Master_Mapping_Sheet!$H$2:$H$3143=U$1))), 0, sum(filter(
Master_Mapping_Sheet!$E$2:$E$3143, ISNUMBER(
Master_Mapping_Sheet!$E$2:$E$3143),
Master_Mapping_Sheet!$H$2:$H$3143=U$1,
Master_Mapping_Sheet!$I$2:$I$3143=$A10))/sum(filter(
Master"&amp;"_Mapping_Sheet!$E$2:$E$3143, ISNUMBER(
Master_Mapping_Sheet!$E$2:$E$3143),
Master_Mapping_Sheet!$H$2:$H$3143=U$1)))"),0.017542616948493638)</f>
        <v>0.01754261695</v>
      </c>
      <c r="V10" s="34">
        <f>IFERROR(__xludf.DUMMYFUNCTION("IF(ISNA(sum(filter(
Master_Mapping_Sheet!$E$2:$E$3143, ISNUMBER(
Master_Mapping_Sheet!$E$2:$E$3143),
Master_Mapping_Sheet!$H$2:$H$3143=V$1,
Master_Mapping_Sheet!$I$2:$I$3143=$A10))/sum(filter(
Master_Mapping_Sheet!$E$2:$E$3143, ISNUMBER(
Master_Mapping_Sh"&amp;"eet!$E$2:$E$3143),
Master_Mapping_Sheet!$H$2:$H$3143=V$1))), 0, sum(filter(
Master_Mapping_Sheet!$E$2:$E$3143, ISNUMBER(
Master_Mapping_Sheet!$E$2:$E$3143),
Master_Mapping_Sheet!$H$2:$H$3143=V$1,
Master_Mapping_Sheet!$I$2:$I$3143=$A10))/sum(filter(
Master"&amp;"_Mapping_Sheet!$E$2:$E$3143, ISNUMBER(
Master_Mapping_Sheet!$E$2:$E$3143),
Master_Mapping_Sheet!$H$2:$H$3143=V$1)))"),1.0)</f>
        <v>1</v>
      </c>
      <c r="W10" s="34">
        <f>IFERROR(__xludf.DUMMYFUNCTION("IF(ISNA(sum(filter(
Master_Mapping_Sheet!$E$2:$E$3143, ISNUMBER(
Master_Mapping_Sheet!$E$2:$E$3143),
Master_Mapping_Sheet!$H$2:$H$3143=W$1,
Master_Mapping_Sheet!$I$2:$I$3143=$A10))/sum(filter(
Master_Mapping_Sheet!$E$2:$E$3143, ISNUMBER(
Master_Mapping_Sh"&amp;"eet!$E$2:$E$3143),
Master_Mapping_Sheet!$H$2:$H$3143=W$1))), 0, sum(filter(
Master_Mapping_Sheet!$E$2:$E$3143, ISNUMBER(
Master_Mapping_Sheet!$E$2:$E$3143),
Master_Mapping_Sheet!$H$2:$H$3143=W$1,
Master_Mapping_Sheet!$I$2:$I$3143=$A10))/sum(filter(
Master"&amp;"_Mapping_Sheet!$E$2:$E$3143, ISNUMBER(
Master_Mapping_Sheet!$E$2:$E$3143),
Master_Mapping_Sheet!$H$2:$H$3143=W$1)))"),1.0)</f>
        <v>1</v>
      </c>
      <c r="X10" s="34">
        <f>IFERROR(__xludf.DUMMYFUNCTION("IF(ISNA(sum(filter(
Master_Mapping_Sheet!$E$2:$E$3143, ISNUMBER(
Master_Mapping_Sheet!$E$2:$E$3143),
Master_Mapping_Sheet!$H$2:$H$3143=X$1,
Master_Mapping_Sheet!$I$2:$I$3143=$A10))/sum(filter(
Master_Mapping_Sheet!$E$2:$E$3143, ISNUMBER(
Master_Mapping_Sh"&amp;"eet!$E$2:$E$3143),
Master_Mapping_Sheet!$H$2:$H$3143=X$1))), 0, sum(filter(
Master_Mapping_Sheet!$E$2:$E$3143, ISNUMBER(
Master_Mapping_Sheet!$E$2:$E$3143),
Master_Mapping_Sheet!$H$2:$H$3143=X$1,
Master_Mapping_Sheet!$I$2:$I$3143=$A10))/sum(filter(
Master"&amp;"_Mapping_Sheet!$E$2:$E$3143, ISNUMBER(
Master_Mapping_Sheet!$E$2:$E$3143),
Master_Mapping_Sheet!$H$2:$H$3143=X$1)))"),0.8925249678148545)</f>
        <v>0.8925249678</v>
      </c>
      <c r="Y10" s="34">
        <f>IFERROR(__xludf.DUMMYFUNCTION("IF(ISNA(sum(filter(
Master_Mapping_Sheet!$E$2:$E$3143, ISNUMBER(
Master_Mapping_Sheet!$E$2:$E$3143),
Master_Mapping_Sheet!$H$2:$H$3143=Y$1,
Master_Mapping_Sheet!$I$2:$I$3143=$A10))/sum(filter(
Master_Mapping_Sheet!$E$2:$E$3143, ISNUMBER(
Master_Mapping_Sh"&amp;"eet!$E$2:$E$3143),
Master_Mapping_Sheet!$H$2:$H$3143=Y$1))), 0, sum(filter(
Master_Mapping_Sheet!$E$2:$E$3143, ISNUMBER(
Master_Mapping_Sheet!$E$2:$E$3143),
Master_Mapping_Sheet!$H$2:$H$3143=Y$1,
Master_Mapping_Sheet!$I$2:$I$3143=$A10))/sum(filter(
Master"&amp;"_Mapping_Sheet!$E$2:$E$3143, ISNUMBER(
Master_Mapping_Sheet!$E$2:$E$3143),
Master_Mapping_Sheet!$H$2:$H$3143=Y$1)))"),0.0)</f>
        <v>0</v>
      </c>
      <c r="Z10" s="34">
        <f>IFERROR(__xludf.DUMMYFUNCTION("IF(ISNA(sum(filter(
Master_Mapping_Sheet!$E$2:$E$3143, ISNUMBER(
Master_Mapping_Sheet!$E$2:$E$3143),
Master_Mapping_Sheet!$H$2:$H$3143=Z$1,
Master_Mapping_Sheet!$I$2:$I$3143=$A10))/sum(filter(
Master_Mapping_Sheet!$E$2:$E$3143, ISNUMBER(
Master_Mapping_Sh"&amp;"eet!$E$2:$E$3143),
Master_Mapping_Sheet!$H$2:$H$3143=Z$1))), 0, sum(filter(
Master_Mapping_Sheet!$E$2:$E$3143, ISNUMBER(
Master_Mapping_Sheet!$E$2:$E$3143),
Master_Mapping_Sheet!$H$2:$H$3143=Z$1,
Master_Mapping_Sheet!$I$2:$I$3143=$A10))/sum(filter(
Master"&amp;"_Mapping_Sheet!$E$2:$E$3143, ISNUMBER(
Master_Mapping_Sheet!$E$2:$E$3143),
Master_Mapping_Sheet!$H$2:$H$3143=Z$1)))"),0.0)</f>
        <v>0</v>
      </c>
    </row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45" t="s">
        <v>98</v>
      </c>
      <c r="B1" s="45" t="s">
        <v>4246</v>
      </c>
      <c r="C1" s="45" t="s">
        <v>4247</v>
      </c>
      <c r="D1" s="45" t="s">
        <v>4248</v>
      </c>
      <c r="E1" s="45" t="s">
        <v>4249</v>
      </c>
      <c r="F1" s="45" t="s">
        <v>4250</v>
      </c>
    </row>
    <row r="2" ht="15.75" customHeight="1">
      <c r="A2" s="45" t="s">
        <v>4251</v>
      </c>
      <c r="B2" s="34">
        <f>IFERROR(__xludf.DUMMYFUNCTION("IF(ISNA(sum(filter(
Master_Mapping_Sheet!$E$2:$E$3143, ISNUMBER(
Master_Mapping_Sheet!$E$2:$E$3143),
Master_Mapping_Sheet!$K$2:$K$3143=VALUE(RIGHT(B$1,1)),
Master_Mapping_Sheet!$M$2:$M$3143=VALUE(RIGHT($A2,1))))/sum(filter(
Master_Mapping_Sheet!$E$2:$E$31"&amp;"43, ISNUMBER(
Master_Mapping_Sheet!$E$2:$E$3143),
Master_Mapping_Sheet!$K$2:$K$3143=VALUE(RIGHT(B$1,1))))), 0, sum(filter(
Master_Mapping_Sheet!$E$2:$E$3143, ISNUMBER(
Master_Mapping_Sheet!$E$2:$E$3143),
Master_Mapping_Sheet!$K$2:$K$3143=VALUE(RIGHT(B$1,1"&amp;")),
Master_Mapping_Sheet!$M$2:$M$3143=VALUE(RIGHT($A2,1))))/sum(filter(
Master_Mapping_Sheet!$E$2:$E$3143, ISNUMBER(
Master_Mapping_Sheet!$E$2:$E$3143),
Master_Mapping_Sheet!$K$2:$K$3143=VALUE(RIGHT(B$1,1)))))"),0.0)</f>
        <v>0</v>
      </c>
      <c r="C2" s="34">
        <f>IFERROR(__xludf.DUMMYFUNCTION("IF(ISNA(sum(filter(
Master_Mapping_Sheet!$E$2:$E$3143, ISNUMBER(
Master_Mapping_Sheet!$E$2:$E$3143),
Master_Mapping_Sheet!$K$2:$K$3143=VALUE(RIGHT(C$1,1)),
Master_Mapping_Sheet!$M$2:$M$3143=VALUE(RIGHT($A2,1))))/sum(filter(
Master_Mapping_Sheet!$E$2:$E$31"&amp;"43, ISNUMBER(
Master_Mapping_Sheet!$E$2:$E$3143),
Master_Mapping_Sheet!$K$2:$K$3143=VALUE(RIGHT(C$1,1))))), 0, sum(filter(
Master_Mapping_Sheet!$E$2:$E$3143, ISNUMBER(
Master_Mapping_Sheet!$E$2:$E$3143),
Master_Mapping_Sheet!$K$2:$K$3143=VALUE(RIGHT(C$1,1"&amp;")),
Master_Mapping_Sheet!$M$2:$M$3143=VALUE(RIGHT($A2,1))))/sum(filter(
Master_Mapping_Sheet!$E$2:$E$3143, ISNUMBER(
Master_Mapping_Sheet!$E$2:$E$3143),
Master_Mapping_Sheet!$K$2:$K$3143=VALUE(RIGHT(C$1,1)))))"),0.0)</f>
        <v>0</v>
      </c>
      <c r="D2" s="34">
        <f>IFERROR(__xludf.DUMMYFUNCTION("IF(ISNA(sum(filter(
Master_Mapping_Sheet!$E$2:$E$3143, ISNUMBER(
Master_Mapping_Sheet!$E$2:$E$3143),
Master_Mapping_Sheet!$K$2:$K$3143=VALUE(RIGHT(D$1,1)),
Master_Mapping_Sheet!$M$2:$M$3143=VALUE(RIGHT($A2,1))))/sum(filter(
Master_Mapping_Sheet!$E$2:$E$31"&amp;"43, ISNUMBER(
Master_Mapping_Sheet!$E$2:$E$3143),
Master_Mapping_Sheet!$K$2:$K$3143=VALUE(RIGHT(D$1,1))))), 0, sum(filter(
Master_Mapping_Sheet!$E$2:$E$3143, ISNUMBER(
Master_Mapping_Sheet!$E$2:$E$3143),
Master_Mapping_Sheet!$K$2:$K$3143=VALUE(RIGHT(D$1,1"&amp;")),
Master_Mapping_Sheet!$M$2:$M$3143=VALUE(RIGHT($A2,1))))/sum(filter(
Master_Mapping_Sheet!$E$2:$E$3143, ISNUMBER(
Master_Mapping_Sheet!$E$2:$E$3143),
Master_Mapping_Sheet!$K$2:$K$3143=VALUE(RIGHT(D$1,1)))))"),0.0)</f>
        <v>0</v>
      </c>
      <c r="E2" s="34">
        <f>IFERROR(__xludf.DUMMYFUNCTION("IF(ISNA(sum(filter(
Master_Mapping_Sheet!$E$2:$E$3143, ISNUMBER(
Master_Mapping_Sheet!$E$2:$E$3143),
Master_Mapping_Sheet!$K$2:$K$3143=VALUE(RIGHT(E$1,1)),
Master_Mapping_Sheet!$M$2:$M$3143=VALUE(RIGHT($A2,1))))/sum(filter(
Master_Mapping_Sheet!$E$2:$E$31"&amp;"43, ISNUMBER(
Master_Mapping_Sheet!$E$2:$E$3143),
Master_Mapping_Sheet!$K$2:$K$3143=VALUE(RIGHT(E$1,1))))), 0, sum(filter(
Master_Mapping_Sheet!$E$2:$E$3143, ISNUMBER(
Master_Mapping_Sheet!$E$2:$E$3143),
Master_Mapping_Sheet!$K$2:$K$3143=VALUE(RIGHT(E$1,1"&amp;")),
Master_Mapping_Sheet!$M$2:$M$3143=VALUE(RIGHT($A2,1))))/sum(filter(
Master_Mapping_Sheet!$E$2:$E$3143, ISNUMBER(
Master_Mapping_Sheet!$E$2:$E$3143),
Master_Mapping_Sheet!$K$2:$K$3143=VALUE(RIGHT(E$1,1)))))"),0.0)</f>
        <v>0</v>
      </c>
      <c r="F2" s="34">
        <f>IFERROR(__xludf.DUMMYFUNCTION("IF(ISNA(sum(filter(
Master_Mapping_Sheet!$E$2:$E$3143, ISNUMBER(
Master_Mapping_Sheet!$E$2:$E$3143),
Master_Mapping_Sheet!$K$2:$K$3143=VALUE(RIGHT(F$1,1)),
Master_Mapping_Sheet!$M$2:$M$3143=VALUE(RIGHT($A2,1))))/sum(filter(
Master_Mapping_Sheet!$E$2:$E$31"&amp;"43, ISNUMBER(
Master_Mapping_Sheet!$E$2:$E$3143),
Master_Mapping_Sheet!$K$2:$K$3143=VALUE(RIGHT(F$1,1))))), 0, sum(filter(
Master_Mapping_Sheet!$E$2:$E$3143, ISNUMBER(
Master_Mapping_Sheet!$E$2:$E$3143),
Master_Mapping_Sheet!$K$2:$K$3143=VALUE(RIGHT(F$1,1"&amp;")),
Master_Mapping_Sheet!$M$2:$M$3143=VALUE(RIGHT($A2,1))))/sum(filter(
Master_Mapping_Sheet!$E$2:$E$3143, ISNUMBER(
Master_Mapping_Sheet!$E$2:$E$3143),
Master_Mapping_Sheet!$K$2:$K$3143=VALUE(RIGHT(F$1,1)))))"),0.07904040184213887)</f>
        <v>0.07904040184</v>
      </c>
    </row>
    <row r="3" ht="15.75" customHeight="1">
      <c r="A3" s="45" t="s">
        <v>4252</v>
      </c>
      <c r="B3" s="34">
        <f>IFERROR(__xludf.DUMMYFUNCTION("IF(ISNA(sum(filter(
Master_Mapping_Sheet!$E$2:$E$3143, ISNUMBER(
Master_Mapping_Sheet!$E$2:$E$3143),
Master_Mapping_Sheet!$K$2:$K$3143=VALUE(RIGHT(B$1,1)),
Master_Mapping_Sheet!$M$2:$M$3143=VALUE(RIGHT($A3,1))))/sum(filter(
Master_Mapping_Sheet!$E$2:$E$31"&amp;"43, ISNUMBER(
Master_Mapping_Sheet!$E$2:$E$3143),
Master_Mapping_Sheet!$K$2:$K$3143=VALUE(RIGHT(B$1,1))))), 0, sum(filter(
Master_Mapping_Sheet!$E$2:$E$3143, ISNUMBER(
Master_Mapping_Sheet!$E$2:$E$3143),
Master_Mapping_Sheet!$K$2:$K$3143=VALUE(RIGHT(B$1,1"&amp;")),
Master_Mapping_Sheet!$M$2:$M$3143=VALUE(RIGHT($A3,1))))/sum(filter(
Master_Mapping_Sheet!$E$2:$E$3143, ISNUMBER(
Master_Mapping_Sheet!$E$2:$E$3143),
Master_Mapping_Sheet!$K$2:$K$3143=VALUE(RIGHT(B$1,1)))))"),0.0)</f>
        <v>0</v>
      </c>
      <c r="C3" s="34">
        <f>IFERROR(__xludf.DUMMYFUNCTION("IF(ISNA(sum(filter(
Master_Mapping_Sheet!$E$2:$E$3143, ISNUMBER(
Master_Mapping_Sheet!$E$2:$E$3143),
Master_Mapping_Sheet!$K$2:$K$3143=VALUE(RIGHT(C$1,1)),
Master_Mapping_Sheet!$M$2:$M$3143=VALUE(RIGHT($A3,1))))/sum(filter(
Master_Mapping_Sheet!$E$2:$E$31"&amp;"43, ISNUMBER(
Master_Mapping_Sheet!$E$2:$E$3143),
Master_Mapping_Sheet!$K$2:$K$3143=VALUE(RIGHT(C$1,1))))), 0, sum(filter(
Master_Mapping_Sheet!$E$2:$E$3143, ISNUMBER(
Master_Mapping_Sheet!$E$2:$E$3143),
Master_Mapping_Sheet!$K$2:$K$3143=VALUE(RIGHT(C$1,1"&amp;")),
Master_Mapping_Sheet!$M$2:$M$3143=VALUE(RIGHT($A3,1))))/sum(filter(
Master_Mapping_Sheet!$E$2:$E$3143, ISNUMBER(
Master_Mapping_Sheet!$E$2:$E$3143),
Master_Mapping_Sheet!$K$2:$K$3143=VALUE(RIGHT(C$1,1)))))"),0.0)</f>
        <v>0</v>
      </c>
      <c r="D3" s="34">
        <f>IFERROR(__xludf.DUMMYFUNCTION("IF(ISNA(sum(filter(
Master_Mapping_Sheet!$E$2:$E$3143, ISNUMBER(
Master_Mapping_Sheet!$E$2:$E$3143),
Master_Mapping_Sheet!$K$2:$K$3143=VALUE(RIGHT(D$1,1)),
Master_Mapping_Sheet!$M$2:$M$3143=VALUE(RIGHT($A3,1))))/sum(filter(
Master_Mapping_Sheet!$E$2:$E$31"&amp;"43, ISNUMBER(
Master_Mapping_Sheet!$E$2:$E$3143),
Master_Mapping_Sheet!$K$2:$K$3143=VALUE(RIGHT(D$1,1))))), 0, sum(filter(
Master_Mapping_Sheet!$E$2:$E$3143, ISNUMBER(
Master_Mapping_Sheet!$E$2:$E$3143),
Master_Mapping_Sheet!$K$2:$K$3143=VALUE(RIGHT(D$1,1"&amp;")),
Master_Mapping_Sheet!$M$2:$M$3143=VALUE(RIGHT($A3,1))))/sum(filter(
Master_Mapping_Sheet!$E$2:$E$3143, ISNUMBER(
Master_Mapping_Sheet!$E$2:$E$3143),
Master_Mapping_Sheet!$K$2:$K$3143=VALUE(RIGHT(D$1,1)))))"),0.0)</f>
        <v>0</v>
      </c>
      <c r="E3" s="34">
        <f>IFERROR(__xludf.DUMMYFUNCTION("IF(ISNA(sum(filter(
Master_Mapping_Sheet!$E$2:$E$3143, ISNUMBER(
Master_Mapping_Sheet!$E$2:$E$3143),
Master_Mapping_Sheet!$K$2:$K$3143=VALUE(RIGHT(E$1,1)),
Master_Mapping_Sheet!$M$2:$M$3143=VALUE(RIGHT($A3,1))))/sum(filter(
Master_Mapping_Sheet!$E$2:$E$31"&amp;"43, ISNUMBER(
Master_Mapping_Sheet!$E$2:$E$3143),
Master_Mapping_Sheet!$K$2:$K$3143=VALUE(RIGHT(E$1,1))))), 0, sum(filter(
Master_Mapping_Sheet!$E$2:$E$3143, ISNUMBER(
Master_Mapping_Sheet!$E$2:$E$3143),
Master_Mapping_Sheet!$K$2:$K$3143=VALUE(RIGHT(E$1,1"&amp;")),
Master_Mapping_Sheet!$M$2:$M$3143=VALUE(RIGHT($A3,1))))/sum(filter(
Master_Mapping_Sheet!$E$2:$E$3143, ISNUMBER(
Master_Mapping_Sheet!$E$2:$E$3143),
Master_Mapping_Sheet!$K$2:$K$3143=VALUE(RIGHT(E$1,1)))))"),0.0)</f>
        <v>0</v>
      </c>
      <c r="F3" s="34">
        <f>IFERROR(__xludf.DUMMYFUNCTION("IF(ISNA(sum(filter(
Master_Mapping_Sheet!$E$2:$E$3143, ISNUMBER(
Master_Mapping_Sheet!$E$2:$E$3143),
Master_Mapping_Sheet!$K$2:$K$3143=VALUE(RIGHT(F$1,1)),
Master_Mapping_Sheet!$M$2:$M$3143=VALUE(RIGHT($A3,1))))/sum(filter(
Master_Mapping_Sheet!$E$2:$E$31"&amp;"43, ISNUMBER(
Master_Mapping_Sheet!$E$2:$E$3143),
Master_Mapping_Sheet!$K$2:$K$3143=VALUE(RIGHT(F$1,1))))), 0, sum(filter(
Master_Mapping_Sheet!$E$2:$E$3143, ISNUMBER(
Master_Mapping_Sheet!$E$2:$E$3143),
Master_Mapping_Sheet!$K$2:$K$3143=VALUE(RIGHT(F$1,1"&amp;")),
Master_Mapping_Sheet!$M$2:$M$3143=VALUE(RIGHT($A3,1))))/sum(filter(
Master_Mapping_Sheet!$E$2:$E$3143, ISNUMBER(
Master_Mapping_Sheet!$E$2:$E$3143),
Master_Mapping_Sheet!$K$2:$K$3143=VALUE(RIGHT(F$1,1)))))"),0.6154133007952066)</f>
        <v>0.6154133008</v>
      </c>
    </row>
    <row r="4" ht="15.75" customHeight="1">
      <c r="A4" s="45" t="s">
        <v>4253</v>
      </c>
      <c r="B4" s="34">
        <f>IFERROR(__xludf.DUMMYFUNCTION("IF(ISNA(sum(filter(
Master_Mapping_Sheet!$E$2:$E$3143, ISNUMBER(
Master_Mapping_Sheet!$E$2:$E$3143),
Master_Mapping_Sheet!$K$2:$K$3143=VALUE(RIGHT(B$1,1)),
Master_Mapping_Sheet!$M$2:$M$3143=VALUE(RIGHT($A4,1))))/sum(filter(
Master_Mapping_Sheet!$E$2:$E$31"&amp;"43, ISNUMBER(
Master_Mapping_Sheet!$E$2:$E$3143),
Master_Mapping_Sheet!$K$2:$K$3143=VALUE(RIGHT(B$1,1))))), 0, sum(filter(
Master_Mapping_Sheet!$E$2:$E$3143, ISNUMBER(
Master_Mapping_Sheet!$E$2:$E$3143),
Master_Mapping_Sheet!$K$2:$K$3143=VALUE(RIGHT(B$1,1"&amp;")),
Master_Mapping_Sheet!$M$2:$M$3143=VALUE(RIGHT($A4,1))))/sum(filter(
Master_Mapping_Sheet!$E$2:$E$3143, ISNUMBER(
Master_Mapping_Sheet!$E$2:$E$3143),
Master_Mapping_Sheet!$K$2:$K$3143=VALUE(RIGHT(B$1,1)))))"),0.0)</f>
        <v>0</v>
      </c>
      <c r="C4" s="34">
        <f>IFERROR(__xludf.DUMMYFUNCTION("IF(ISNA(sum(filter(
Master_Mapping_Sheet!$E$2:$E$3143, ISNUMBER(
Master_Mapping_Sheet!$E$2:$E$3143),
Master_Mapping_Sheet!$K$2:$K$3143=VALUE(RIGHT(C$1,1)),
Master_Mapping_Sheet!$M$2:$M$3143=VALUE(RIGHT($A4,1))))/sum(filter(
Master_Mapping_Sheet!$E$2:$E$31"&amp;"43, ISNUMBER(
Master_Mapping_Sheet!$E$2:$E$3143),
Master_Mapping_Sheet!$K$2:$K$3143=VALUE(RIGHT(C$1,1))))), 0, sum(filter(
Master_Mapping_Sheet!$E$2:$E$3143, ISNUMBER(
Master_Mapping_Sheet!$E$2:$E$3143),
Master_Mapping_Sheet!$K$2:$K$3143=VALUE(RIGHT(C$1,1"&amp;")),
Master_Mapping_Sheet!$M$2:$M$3143=VALUE(RIGHT($A4,1))))/sum(filter(
Master_Mapping_Sheet!$E$2:$E$3143, ISNUMBER(
Master_Mapping_Sheet!$E$2:$E$3143),
Master_Mapping_Sheet!$K$2:$K$3143=VALUE(RIGHT(C$1,1)))))"),0.0)</f>
        <v>0</v>
      </c>
      <c r="D4" s="34">
        <f>IFERROR(__xludf.DUMMYFUNCTION("IF(ISNA(sum(filter(
Master_Mapping_Sheet!$E$2:$E$3143, ISNUMBER(
Master_Mapping_Sheet!$E$2:$E$3143),
Master_Mapping_Sheet!$K$2:$K$3143=VALUE(RIGHT(D$1,1)),
Master_Mapping_Sheet!$M$2:$M$3143=VALUE(RIGHT($A4,1))))/sum(filter(
Master_Mapping_Sheet!$E$2:$E$31"&amp;"43, ISNUMBER(
Master_Mapping_Sheet!$E$2:$E$3143),
Master_Mapping_Sheet!$K$2:$K$3143=VALUE(RIGHT(D$1,1))))), 0, sum(filter(
Master_Mapping_Sheet!$E$2:$E$3143, ISNUMBER(
Master_Mapping_Sheet!$E$2:$E$3143),
Master_Mapping_Sheet!$K$2:$K$3143=VALUE(RIGHT(D$1,1"&amp;")),
Master_Mapping_Sheet!$M$2:$M$3143=VALUE(RIGHT($A4,1))))/sum(filter(
Master_Mapping_Sheet!$E$2:$E$3143, ISNUMBER(
Master_Mapping_Sheet!$E$2:$E$3143),
Master_Mapping_Sheet!$K$2:$K$3143=VALUE(RIGHT(D$1,1)))))"),0.0044648300224600515)</f>
        <v>0.004464830022</v>
      </c>
      <c r="E4" s="34">
        <f>IFERROR(__xludf.DUMMYFUNCTION("IF(ISNA(sum(filter(
Master_Mapping_Sheet!$E$2:$E$3143, ISNUMBER(
Master_Mapping_Sheet!$E$2:$E$3143),
Master_Mapping_Sheet!$K$2:$K$3143=VALUE(RIGHT(E$1,1)),
Master_Mapping_Sheet!$M$2:$M$3143=VALUE(RIGHT($A4,1))))/sum(filter(
Master_Mapping_Sheet!$E$2:$E$31"&amp;"43, ISNUMBER(
Master_Mapping_Sheet!$E$2:$E$3143),
Master_Mapping_Sheet!$K$2:$K$3143=VALUE(RIGHT(E$1,1))))), 0, sum(filter(
Master_Mapping_Sheet!$E$2:$E$3143, ISNUMBER(
Master_Mapping_Sheet!$E$2:$E$3143),
Master_Mapping_Sheet!$K$2:$K$3143=VALUE(RIGHT(E$1,1"&amp;")),
Master_Mapping_Sheet!$M$2:$M$3143=VALUE(RIGHT($A4,1))))/sum(filter(
Master_Mapping_Sheet!$E$2:$E$3143, ISNUMBER(
Master_Mapping_Sheet!$E$2:$E$3143),
Master_Mapping_Sheet!$K$2:$K$3143=VALUE(RIGHT(E$1,1)))))"),0.8378358770532122)</f>
        <v>0.8378358771</v>
      </c>
      <c r="F4" s="34">
        <f>IFERROR(__xludf.DUMMYFUNCTION("IF(ISNA(sum(filter(
Master_Mapping_Sheet!$E$2:$E$3143, ISNUMBER(
Master_Mapping_Sheet!$E$2:$E$3143),
Master_Mapping_Sheet!$K$2:$K$3143=VALUE(RIGHT(F$1,1)),
Master_Mapping_Sheet!$M$2:$M$3143=VALUE(RIGHT($A4,1))))/sum(filter(
Master_Mapping_Sheet!$E$2:$E$31"&amp;"43, ISNUMBER(
Master_Mapping_Sheet!$E$2:$E$3143),
Master_Mapping_Sheet!$K$2:$K$3143=VALUE(RIGHT(F$1,1))))), 0, sum(filter(
Master_Mapping_Sheet!$E$2:$E$3143, ISNUMBER(
Master_Mapping_Sheet!$E$2:$E$3143),
Master_Mapping_Sheet!$K$2:$K$3143=VALUE(RIGHT(F$1,1"&amp;")),
Master_Mapping_Sheet!$M$2:$M$3143=VALUE(RIGHT($A4,1))))/sum(filter(
Master_Mapping_Sheet!$E$2:$E$3143, ISNUMBER(
Master_Mapping_Sheet!$E$2:$E$3143),
Master_Mapping_Sheet!$K$2:$K$3143=VALUE(RIGHT(F$1,1)))))"),0.3048319382326019)</f>
        <v>0.3048319382</v>
      </c>
    </row>
    <row r="5" ht="15.75" customHeight="1">
      <c r="A5" s="45" t="s">
        <v>4254</v>
      </c>
      <c r="B5" s="34">
        <f>IFERROR(__xludf.DUMMYFUNCTION("IF(ISNA(sum(filter(
Master_Mapping_Sheet!$E$2:$E$3143, ISNUMBER(
Master_Mapping_Sheet!$E$2:$E$3143),
Master_Mapping_Sheet!$K$2:$K$3143=VALUE(RIGHT(B$1,1)),
Master_Mapping_Sheet!$M$2:$M$3143=VALUE(RIGHT($A5,1))))/sum(filter(
Master_Mapping_Sheet!$E$2:$E$31"&amp;"43, ISNUMBER(
Master_Mapping_Sheet!$E$2:$E$3143),
Master_Mapping_Sheet!$K$2:$K$3143=VALUE(RIGHT(B$1,1))))), 0, sum(filter(
Master_Mapping_Sheet!$E$2:$E$3143, ISNUMBER(
Master_Mapping_Sheet!$E$2:$E$3143),
Master_Mapping_Sheet!$K$2:$K$3143=VALUE(RIGHT(B$1,1"&amp;")),
Master_Mapping_Sheet!$M$2:$M$3143=VALUE(RIGHT($A5,1))))/sum(filter(
Master_Mapping_Sheet!$E$2:$E$3143, ISNUMBER(
Master_Mapping_Sheet!$E$2:$E$3143),
Master_Mapping_Sheet!$K$2:$K$3143=VALUE(RIGHT(B$1,1)))))"),0.0)</f>
        <v>0</v>
      </c>
      <c r="C5" s="34">
        <f>IFERROR(__xludf.DUMMYFUNCTION("IF(ISNA(sum(filter(
Master_Mapping_Sheet!$E$2:$E$3143, ISNUMBER(
Master_Mapping_Sheet!$E$2:$E$3143),
Master_Mapping_Sheet!$K$2:$K$3143=VALUE(RIGHT(C$1,1)),
Master_Mapping_Sheet!$M$2:$M$3143=VALUE(RIGHT($A5,1))))/sum(filter(
Master_Mapping_Sheet!$E$2:$E$31"&amp;"43, ISNUMBER(
Master_Mapping_Sheet!$E$2:$E$3143),
Master_Mapping_Sheet!$K$2:$K$3143=VALUE(RIGHT(C$1,1))))), 0, sum(filter(
Master_Mapping_Sheet!$E$2:$E$3143, ISNUMBER(
Master_Mapping_Sheet!$E$2:$E$3143),
Master_Mapping_Sheet!$K$2:$K$3143=VALUE(RIGHT(C$1,1"&amp;")),
Master_Mapping_Sheet!$M$2:$M$3143=VALUE(RIGHT($A5,1))))/sum(filter(
Master_Mapping_Sheet!$E$2:$E$3143, ISNUMBER(
Master_Mapping_Sheet!$E$2:$E$3143),
Master_Mapping_Sheet!$K$2:$K$3143=VALUE(RIGHT(C$1,1)))))"),0.02542502327175143)</f>
        <v>0.02542502327</v>
      </c>
      <c r="D5" s="34">
        <f>IFERROR(__xludf.DUMMYFUNCTION("IF(ISNA(sum(filter(
Master_Mapping_Sheet!$E$2:$E$3143, ISNUMBER(
Master_Mapping_Sheet!$E$2:$E$3143),
Master_Mapping_Sheet!$K$2:$K$3143=VALUE(RIGHT(D$1,1)),
Master_Mapping_Sheet!$M$2:$M$3143=VALUE(RIGHT($A5,1))))/sum(filter(
Master_Mapping_Sheet!$E$2:$E$31"&amp;"43, ISNUMBER(
Master_Mapping_Sheet!$E$2:$E$3143),
Master_Mapping_Sheet!$K$2:$K$3143=VALUE(RIGHT(D$1,1))))), 0, sum(filter(
Master_Mapping_Sheet!$E$2:$E$3143, ISNUMBER(
Master_Mapping_Sheet!$E$2:$E$3143),
Master_Mapping_Sheet!$K$2:$K$3143=VALUE(RIGHT(D$1,1"&amp;")),
Master_Mapping_Sheet!$M$2:$M$3143=VALUE(RIGHT($A5,1))))/sum(filter(
Master_Mapping_Sheet!$E$2:$E$3143, ISNUMBER(
Master_Mapping_Sheet!$E$2:$E$3143),
Master_Mapping_Sheet!$K$2:$K$3143=VALUE(RIGHT(D$1,1)))))"),0.9589636445403263)</f>
        <v>0.9589636445</v>
      </c>
      <c r="E5" s="34">
        <f>IFERROR(__xludf.DUMMYFUNCTION("IF(ISNA(sum(filter(
Master_Mapping_Sheet!$E$2:$E$3143, ISNUMBER(
Master_Mapping_Sheet!$E$2:$E$3143),
Master_Mapping_Sheet!$K$2:$K$3143=VALUE(RIGHT(E$1,1)),
Master_Mapping_Sheet!$M$2:$M$3143=VALUE(RIGHT($A5,1))))/sum(filter(
Master_Mapping_Sheet!$E$2:$E$31"&amp;"43, ISNUMBER(
Master_Mapping_Sheet!$E$2:$E$3143),
Master_Mapping_Sheet!$K$2:$K$3143=VALUE(RIGHT(E$1,1))))), 0, sum(filter(
Master_Mapping_Sheet!$E$2:$E$3143, ISNUMBER(
Master_Mapping_Sheet!$E$2:$E$3143),
Master_Mapping_Sheet!$K$2:$K$3143=VALUE(RIGHT(E$1,1"&amp;")),
Master_Mapping_Sheet!$M$2:$M$3143=VALUE(RIGHT($A5,1))))/sum(filter(
Master_Mapping_Sheet!$E$2:$E$3143, ISNUMBER(
Master_Mapping_Sheet!$E$2:$E$3143),
Master_Mapping_Sheet!$K$2:$K$3143=VALUE(RIGHT(E$1,1)))))"),0.16216412294678786)</f>
        <v>0.1621641229</v>
      </c>
      <c r="F5" s="34">
        <f>IFERROR(__xludf.DUMMYFUNCTION("IF(ISNA(sum(filter(
Master_Mapping_Sheet!$E$2:$E$3143, ISNUMBER(
Master_Mapping_Sheet!$E$2:$E$3143),
Master_Mapping_Sheet!$K$2:$K$3143=VALUE(RIGHT(F$1,1)),
Master_Mapping_Sheet!$M$2:$M$3143=VALUE(RIGHT($A5,1))))/sum(filter(
Master_Mapping_Sheet!$E$2:$E$31"&amp;"43, ISNUMBER(
Master_Mapping_Sheet!$E$2:$E$3143),
Master_Mapping_Sheet!$K$2:$K$3143=VALUE(RIGHT(F$1,1))))), 0, sum(filter(
Master_Mapping_Sheet!$E$2:$E$3143, ISNUMBER(
Master_Mapping_Sheet!$E$2:$E$3143),
Master_Mapping_Sheet!$K$2:$K$3143=VALUE(RIGHT(F$1,1"&amp;")),
Master_Mapping_Sheet!$M$2:$M$3143=VALUE(RIGHT($A5,1))))/sum(filter(
Master_Mapping_Sheet!$E$2:$E$3143, ISNUMBER(
Master_Mapping_Sheet!$E$2:$E$3143),
Master_Mapping_Sheet!$K$2:$K$3143=VALUE(RIGHT(F$1,1)))))"),0.0)</f>
        <v>0</v>
      </c>
    </row>
    <row r="6" ht="15.75" customHeight="1">
      <c r="A6" s="45" t="s">
        <v>4255</v>
      </c>
      <c r="B6" s="34">
        <f>IFERROR(__xludf.DUMMYFUNCTION("IF(ISNA(sum(filter(
Master_Mapping_Sheet!$E$2:$E$3143, ISNUMBER(
Master_Mapping_Sheet!$E$2:$E$3143),
Master_Mapping_Sheet!$K$2:$K$3143=VALUE(RIGHT(B$1,1)),
Master_Mapping_Sheet!$M$2:$M$3143=VALUE(RIGHT($A6,1))))/sum(filter(
Master_Mapping_Sheet!$E$2:$E$31"&amp;"43, ISNUMBER(
Master_Mapping_Sheet!$E$2:$E$3143),
Master_Mapping_Sheet!$K$2:$K$3143=VALUE(RIGHT(B$1,1))))), 0, sum(filter(
Master_Mapping_Sheet!$E$2:$E$3143, ISNUMBER(
Master_Mapping_Sheet!$E$2:$E$3143),
Master_Mapping_Sheet!$K$2:$K$3143=VALUE(RIGHT(B$1,1"&amp;")),
Master_Mapping_Sheet!$M$2:$M$3143=VALUE(RIGHT($A6,1))))/sum(filter(
Master_Mapping_Sheet!$E$2:$E$3143, ISNUMBER(
Master_Mapping_Sheet!$E$2:$E$3143),
Master_Mapping_Sheet!$K$2:$K$3143=VALUE(RIGHT(B$1,1)))))"),0.0844265962429338)</f>
        <v>0.08442659624</v>
      </c>
      <c r="C6" s="34">
        <f>IFERROR(__xludf.DUMMYFUNCTION("IF(ISNA(sum(filter(
Master_Mapping_Sheet!$E$2:$E$3143, ISNUMBER(
Master_Mapping_Sheet!$E$2:$E$3143),
Master_Mapping_Sheet!$K$2:$K$3143=VALUE(RIGHT(C$1,1)),
Master_Mapping_Sheet!$M$2:$M$3143=VALUE(RIGHT($A6,1))))/sum(filter(
Master_Mapping_Sheet!$E$2:$E$31"&amp;"43, ISNUMBER(
Master_Mapping_Sheet!$E$2:$E$3143),
Master_Mapping_Sheet!$K$2:$K$3143=VALUE(RIGHT(C$1,1))))), 0, sum(filter(
Master_Mapping_Sheet!$E$2:$E$3143, ISNUMBER(
Master_Mapping_Sheet!$E$2:$E$3143),
Master_Mapping_Sheet!$K$2:$K$3143=VALUE(RIGHT(C$1,1"&amp;")),
Master_Mapping_Sheet!$M$2:$M$3143=VALUE(RIGHT($A6,1))))/sum(filter(
Master_Mapping_Sheet!$E$2:$E$3143, ISNUMBER(
Master_Mapping_Sheet!$E$2:$E$3143),
Master_Mapping_Sheet!$K$2:$K$3143=VALUE(RIGHT(C$1,1)))))"),0.9696115960693089)</f>
        <v>0.9696115961</v>
      </c>
      <c r="D6" s="34">
        <f>IFERROR(__xludf.DUMMYFUNCTION("IF(ISNA(sum(filter(
Master_Mapping_Sheet!$E$2:$E$3143, ISNUMBER(
Master_Mapping_Sheet!$E$2:$E$3143),
Master_Mapping_Sheet!$K$2:$K$3143=VALUE(RIGHT(D$1,1)),
Master_Mapping_Sheet!$M$2:$M$3143=VALUE(RIGHT($A6,1))))/sum(filter(
Master_Mapping_Sheet!$E$2:$E$31"&amp;"43, ISNUMBER(
Master_Mapping_Sheet!$E$2:$E$3143),
Master_Mapping_Sheet!$K$2:$K$3143=VALUE(RIGHT(D$1,1))))), 0, sum(filter(
Master_Mapping_Sheet!$E$2:$E$3143, ISNUMBER(
Master_Mapping_Sheet!$E$2:$E$3143),
Master_Mapping_Sheet!$K$2:$K$3143=VALUE(RIGHT(D$1,1"&amp;")),
Master_Mapping_Sheet!$M$2:$M$3143=VALUE(RIGHT($A6,1))))/sum(filter(
Master_Mapping_Sheet!$E$2:$E$3143, ISNUMBER(
Master_Mapping_Sheet!$E$2:$E$3143),
Master_Mapping_Sheet!$K$2:$K$3143=VALUE(RIGHT(D$1,1)))))"),0.036571525437213606)</f>
        <v>0.03657152544</v>
      </c>
      <c r="E6" s="34">
        <f>IFERROR(__xludf.DUMMYFUNCTION("IF(ISNA(sum(filter(
Master_Mapping_Sheet!$E$2:$E$3143, ISNUMBER(
Master_Mapping_Sheet!$E$2:$E$3143),
Master_Mapping_Sheet!$K$2:$K$3143=VALUE(RIGHT(E$1,1)),
Master_Mapping_Sheet!$M$2:$M$3143=VALUE(RIGHT($A6,1))))/sum(filter(
Master_Mapping_Sheet!$E$2:$E$31"&amp;"43, ISNUMBER(
Master_Mapping_Sheet!$E$2:$E$3143),
Master_Mapping_Sheet!$K$2:$K$3143=VALUE(RIGHT(E$1,1))))), 0, sum(filter(
Master_Mapping_Sheet!$E$2:$E$3143, ISNUMBER(
Master_Mapping_Sheet!$E$2:$E$3143),
Master_Mapping_Sheet!$K$2:$K$3143=VALUE(RIGHT(E$1,1"&amp;")),
Master_Mapping_Sheet!$M$2:$M$3143=VALUE(RIGHT($A6,1))))/sum(filter(
Master_Mapping_Sheet!$E$2:$E$3143, ISNUMBER(
Master_Mapping_Sheet!$E$2:$E$3143),
Master_Mapping_Sheet!$K$2:$K$3143=VALUE(RIGHT(E$1,1)))))"),0.0)</f>
        <v>0</v>
      </c>
      <c r="F6" s="34">
        <f>IFERROR(__xludf.DUMMYFUNCTION("IF(ISNA(sum(filter(
Master_Mapping_Sheet!$E$2:$E$3143, ISNUMBER(
Master_Mapping_Sheet!$E$2:$E$3143),
Master_Mapping_Sheet!$K$2:$K$3143=VALUE(RIGHT(F$1,1)),
Master_Mapping_Sheet!$M$2:$M$3143=VALUE(RIGHT($A6,1))))/sum(filter(
Master_Mapping_Sheet!$E$2:$E$31"&amp;"43, ISNUMBER(
Master_Mapping_Sheet!$E$2:$E$3143),
Master_Mapping_Sheet!$K$2:$K$3143=VALUE(RIGHT(F$1,1))))), 0, sum(filter(
Master_Mapping_Sheet!$E$2:$E$3143, ISNUMBER(
Master_Mapping_Sheet!$E$2:$E$3143),
Master_Mapping_Sheet!$K$2:$K$3143=VALUE(RIGHT(F$1,1"&amp;")),
Master_Mapping_Sheet!$M$2:$M$3143=VALUE(RIGHT($A6,1))))/sum(filter(
Master_Mapping_Sheet!$E$2:$E$3143, ISNUMBER(
Master_Mapping_Sheet!$E$2:$E$3143),
Master_Mapping_Sheet!$K$2:$K$3143=VALUE(RIGHT(F$1,1)))))"),7.143591300526309E-4)</f>
        <v>0.0007143591301</v>
      </c>
    </row>
    <row r="7" ht="15.75" customHeight="1">
      <c r="A7" s="45" t="s">
        <v>4256</v>
      </c>
      <c r="B7" s="34">
        <f>IFERROR(__xludf.DUMMYFUNCTION("IF(ISNA(sum(filter(
Master_Mapping_Sheet!$E$2:$E$3143, ISNUMBER(
Master_Mapping_Sheet!$E$2:$E$3143),
Master_Mapping_Sheet!$K$2:$K$3143=VALUE(RIGHT(B$1,1)),
Master_Mapping_Sheet!$M$2:$M$3143=VALUE(RIGHT($A7,1))))/sum(filter(
Master_Mapping_Sheet!$E$2:$E$31"&amp;"43, ISNUMBER(
Master_Mapping_Sheet!$E$2:$E$3143),
Master_Mapping_Sheet!$K$2:$K$3143=VALUE(RIGHT(B$1,1))))), 0, sum(filter(
Master_Mapping_Sheet!$E$2:$E$3143, ISNUMBER(
Master_Mapping_Sheet!$E$2:$E$3143),
Master_Mapping_Sheet!$K$2:$K$3143=VALUE(RIGHT(B$1,1"&amp;")),
Master_Mapping_Sheet!$M$2:$M$3143=VALUE(RIGHT($A7,1))))/sum(filter(
Master_Mapping_Sheet!$E$2:$E$3143, ISNUMBER(
Master_Mapping_Sheet!$E$2:$E$3143),
Master_Mapping_Sheet!$K$2:$K$3143=VALUE(RIGHT(B$1,1)))))"),0.8044930032023467)</f>
        <v>0.8044930032</v>
      </c>
      <c r="C7" s="34">
        <f>IFERROR(__xludf.DUMMYFUNCTION("IF(ISNA(sum(filter(
Master_Mapping_Sheet!$E$2:$E$3143, ISNUMBER(
Master_Mapping_Sheet!$E$2:$E$3143),
Master_Mapping_Sheet!$K$2:$K$3143=VALUE(RIGHT(C$1,1)),
Master_Mapping_Sheet!$M$2:$M$3143=VALUE(RIGHT($A7,1))))/sum(filter(
Master_Mapping_Sheet!$E$2:$E$31"&amp;"43, ISNUMBER(
Master_Mapping_Sheet!$E$2:$E$3143),
Master_Mapping_Sheet!$K$2:$K$3143=VALUE(RIGHT(C$1,1))))), 0, sum(filter(
Master_Mapping_Sheet!$E$2:$E$3143, ISNUMBER(
Master_Mapping_Sheet!$E$2:$E$3143),
Master_Mapping_Sheet!$K$2:$K$3143=VALUE(RIGHT(C$1,1"&amp;")),
Master_Mapping_Sheet!$M$2:$M$3143=VALUE(RIGHT($A7,1))))/sum(filter(
Master_Mapping_Sheet!$E$2:$E$3143, ISNUMBER(
Master_Mapping_Sheet!$E$2:$E$3143),
Master_Mapping_Sheet!$K$2:$K$3143=VALUE(RIGHT(C$1,1)))))"),0.004963380658939696)</f>
        <v>0.004963380659</v>
      </c>
      <c r="D7" s="34">
        <f>IFERROR(__xludf.DUMMYFUNCTION("IF(ISNA(sum(filter(
Master_Mapping_Sheet!$E$2:$E$3143, ISNUMBER(
Master_Mapping_Sheet!$E$2:$E$3143),
Master_Mapping_Sheet!$K$2:$K$3143=VALUE(RIGHT(D$1,1)),
Master_Mapping_Sheet!$M$2:$M$3143=VALUE(RIGHT($A7,1))))/sum(filter(
Master_Mapping_Sheet!$E$2:$E$31"&amp;"43, ISNUMBER(
Master_Mapping_Sheet!$E$2:$E$3143),
Master_Mapping_Sheet!$K$2:$K$3143=VALUE(RIGHT(D$1,1))))), 0, sum(filter(
Master_Mapping_Sheet!$E$2:$E$3143, ISNUMBER(
Master_Mapping_Sheet!$E$2:$E$3143),
Master_Mapping_Sheet!$K$2:$K$3143=VALUE(RIGHT(D$1,1"&amp;")),
Master_Mapping_Sheet!$M$2:$M$3143=VALUE(RIGHT($A7,1))))/sum(filter(
Master_Mapping_Sheet!$E$2:$E$3143, ISNUMBER(
Master_Mapping_Sheet!$E$2:$E$3143),
Master_Mapping_Sheet!$K$2:$K$3143=VALUE(RIGHT(D$1,1)))))"),0.0)</f>
        <v>0</v>
      </c>
      <c r="E7" s="34">
        <f>IFERROR(__xludf.DUMMYFUNCTION("IF(ISNA(sum(filter(
Master_Mapping_Sheet!$E$2:$E$3143, ISNUMBER(
Master_Mapping_Sheet!$E$2:$E$3143),
Master_Mapping_Sheet!$K$2:$K$3143=VALUE(RIGHT(E$1,1)),
Master_Mapping_Sheet!$M$2:$M$3143=VALUE(RIGHT($A7,1))))/sum(filter(
Master_Mapping_Sheet!$E$2:$E$31"&amp;"43, ISNUMBER(
Master_Mapping_Sheet!$E$2:$E$3143),
Master_Mapping_Sheet!$K$2:$K$3143=VALUE(RIGHT(E$1,1))))), 0, sum(filter(
Master_Mapping_Sheet!$E$2:$E$3143, ISNUMBER(
Master_Mapping_Sheet!$E$2:$E$3143),
Master_Mapping_Sheet!$K$2:$K$3143=VALUE(RIGHT(E$1,1"&amp;")),
Master_Mapping_Sheet!$M$2:$M$3143=VALUE(RIGHT($A7,1))))/sum(filter(
Master_Mapping_Sheet!$E$2:$E$3143, ISNUMBER(
Master_Mapping_Sheet!$E$2:$E$3143),
Master_Mapping_Sheet!$K$2:$K$3143=VALUE(RIGHT(E$1,1)))))"),0.0)</f>
        <v>0</v>
      </c>
      <c r="F7" s="34">
        <f>IFERROR(__xludf.DUMMYFUNCTION("IF(ISNA(sum(filter(
Master_Mapping_Sheet!$E$2:$E$3143, ISNUMBER(
Master_Mapping_Sheet!$E$2:$E$3143),
Master_Mapping_Sheet!$K$2:$K$3143=VALUE(RIGHT(F$1,1)),
Master_Mapping_Sheet!$M$2:$M$3143=VALUE(RIGHT($A7,1))))/sum(filter(
Master_Mapping_Sheet!$E$2:$E$31"&amp;"43, ISNUMBER(
Master_Mapping_Sheet!$E$2:$E$3143),
Master_Mapping_Sheet!$K$2:$K$3143=VALUE(RIGHT(F$1,1))))), 0, sum(filter(
Master_Mapping_Sheet!$E$2:$E$3143, ISNUMBER(
Master_Mapping_Sheet!$E$2:$E$3143),
Master_Mapping_Sheet!$K$2:$K$3143=VALUE(RIGHT(F$1,1"&amp;")),
Master_Mapping_Sheet!$M$2:$M$3143=VALUE(RIGHT($A7,1))))/sum(filter(
Master_Mapping_Sheet!$E$2:$E$3143, ISNUMBER(
Master_Mapping_Sheet!$E$2:$E$3143),
Master_Mapping_Sheet!$K$2:$K$3143=VALUE(RIGHT(F$1,1)))))"),0.0)</f>
        <v>0</v>
      </c>
    </row>
    <row r="8" ht="15.75" customHeight="1">
      <c r="A8" s="45" t="s">
        <v>4257</v>
      </c>
      <c r="B8" s="34">
        <f>IFERROR(__xludf.DUMMYFUNCTION("IF(ISNA(sum(filter(
Master_Mapping_Sheet!$E$2:$E$3143, ISNUMBER(
Master_Mapping_Sheet!$E$2:$E$3143),
Master_Mapping_Sheet!$K$2:$K$3143=VALUE(RIGHT(B$1,1)),
Master_Mapping_Sheet!$M$2:$M$3143=VALUE(RIGHT($A8,1))))/sum(filter(
Master_Mapping_Sheet!$E$2:$E$31"&amp;"43, ISNUMBER(
Master_Mapping_Sheet!$E$2:$E$3143),
Master_Mapping_Sheet!$K$2:$K$3143=VALUE(RIGHT(B$1,1))))), 0, sum(filter(
Master_Mapping_Sheet!$E$2:$E$3143, ISNUMBER(
Master_Mapping_Sheet!$E$2:$E$3143),
Master_Mapping_Sheet!$K$2:$K$3143=VALUE(RIGHT(B$1,1"&amp;")),
Master_Mapping_Sheet!$M$2:$M$3143=VALUE(RIGHT($A8,1))))/sum(filter(
Master_Mapping_Sheet!$E$2:$E$3143, ISNUMBER(
Master_Mapping_Sheet!$E$2:$E$3143),
Master_Mapping_Sheet!$K$2:$K$3143=VALUE(RIGHT(B$1,1)))))"),0.10458601984796942)</f>
        <v>0.1045860198</v>
      </c>
      <c r="C8" s="34">
        <f>IFERROR(__xludf.DUMMYFUNCTION("IF(ISNA(sum(filter(
Master_Mapping_Sheet!$E$2:$E$3143, ISNUMBER(
Master_Mapping_Sheet!$E$2:$E$3143),
Master_Mapping_Sheet!$K$2:$K$3143=VALUE(RIGHT(C$1,1)),
Master_Mapping_Sheet!$M$2:$M$3143=VALUE(RIGHT($A8,1))))/sum(filter(
Master_Mapping_Sheet!$E$2:$E$31"&amp;"43, ISNUMBER(
Master_Mapping_Sheet!$E$2:$E$3143),
Master_Mapping_Sheet!$K$2:$K$3143=VALUE(RIGHT(C$1,1))))), 0, sum(filter(
Master_Mapping_Sheet!$E$2:$E$3143, ISNUMBER(
Master_Mapping_Sheet!$E$2:$E$3143),
Master_Mapping_Sheet!$K$2:$K$3143=VALUE(RIGHT(C$1,1"&amp;")),
Master_Mapping_Sheet!$M$2:$M$3143=VALUE(RIGHT($A8,1))))/sum(filter(
Master_Mapping_Sheet!$E$2:$E$3143, ISNUMBER(
Master_Mapping_Sheet!$E$2:$E$3143),
Master_Mapping_Sheet!$K$2:$K$3143=VALUE(RIGHT(C$1,1)))))"),0.0)</f>
        <v>0</v>
      </c>
      <c r="D8" s="34">
        <f>IFERROR(__xludf.DUMMYFUNCTION("IF(ISNA(sum(filter(
Master_Mapping_Sheet!$E$2:$E$3143, ISNUMBER(
Master_Mapping_Sheet!$E$2:$E$3143),
Master_Mapping_Sheet!$K$2:$K$3143=VALUE(RIGHT(D$1,1)),
Master_Mapping_Sheet!$M$2:$M$3143=VALUE(RIGHT($A8,1))))/sum(filter(
Master_Mapping_Sheet!$E$2:$E$31"&amp;"43, ISNUMBER(
Master_Mapping_Sheet!$E$2:$E$3143),
Master_Mapping_Sheet!$K$2:$K$3143=VALUE(RIGHT(D$1,1))))), 0, sum(filter(
Master_Mapping_Sheet!$E$2:$E$3143, ISNUMBER(
Master_Mapping_Sheet!$E$2:$E$3143),
Master_Mapping_Sheet!$K$2:$K$3143=VALUE(RIGHT(D$1,1"&amp;")),
Master_Mapping_Sheet!$M$2:$M$3143=VALUE(RIGHT($A8,1))))/sum(filter(
Master_Mapping_Sheet!$E$2:$E$3143, ISNUMBER(
Master_Mapping_Sheet!$E$2:$E$3143),
Master_Mapping_Sheet!$K$2:$K$3143=VALUE(RIGHT(D$1,1)))))"),0.0)</f>
        <v>0</v>
      </c>
      <c r="E8" s="34">
        <f>IFERROR(__xludf.DUMMYFUNCTION("IF(ISNA(sum(filter(
Master_Mapping_Sheet!$E$2:$E$3143, ISNUMBER(
Master_Mapping_Sheet!$E$2:$E$3143),
Master_Mapping_Sheet!$K$2:$K$3143=VALUE(RIGHT(E$1,1)),
Master_Mapping_Sheet!$M$2:$M$3143=VALUE(RIGHT($A8,1))))/sum(filter(
Master_Mapping_Sheet!$E$2:$E$31"&amp;"43, ISNUMBER(
Master_Mapping_Sheet!$E$2:$E$3143),
Master_Mapping_Sheet!$K$2:$K$3143=VALUE(RIGHT(E$1,1))))), 0, sum(filter(
Master_Mapping_Sheet!$E$2:$E$3143, ISNUMBER(
Master_Mapping_Sheet!$E$2:$E$3143),
Master_Mapping_Sheet!$K$2:$K$3143=VALUE(RIGHT(E$1,1"&amp;")),
Master_Mapping_Sheet!$M$2:$M$3143=VALUE(RIGHT($A8,1))))/sum(filter(
Master_Mapping_Sheet!$E$2:$E$3143, ISNUMBER(
Master_Mapping_Sheet!$E$2:$E$3143),
Master_Mapping_Sheet!$K$2:$K$3143=VALUE(RIGHT(E$1,1)))))"),0.0)</f>
        <v>0</v>
      </c>
      <c r="F8" s="34">
        <f>IFERROR(__xludf.DUMMYFUNCTION("IF(ISNA(sum(filter(
Master_Mapping_Sheet!$E$2:$E$3143, ISNUMBER(
Master_Mapping_Sheet!$E$2:$E$3143),
Master_Mapping_Sheet!$K$2:$K$3143=VALUE(RIGHT(F$1,1)),
Master_Mapping_Sheet!$M$2:$M$3143=VALUE(RIGHT($A8,1))))/sum(filter(
Master_Mapping_Sheet!$E$2:$E$31"&amp;"43, ISNUMBER(
Master_Mapping_Sheet!$E$2:$E$3143),
Master_Mapping_Sheet!$K$2:$K$3143=VALUE(RIGHT(F$1,1))))), 0, sum(filter(
Master_Mapping_Sheet!$E$2:$E$3143, ISNUMBER(
Master_Mapping_Sheet!$E$2:$E$3143),
Master_Mapping_Sheet!$K$2:$K$3143=VALUE(RIGHT(F$1,1"&amp;")),
Master_Mapping_Sheet!$M$2:$M$3143=VALUE(RIGHT($A8,1))))/sum(filter(
Master_Mapping_Sheet!$E$2:$E$3143, ISNUMBER(
Master_Mapping_Sheet!$E$2:$E$3143),
Master_Mapping_Sheet!$K$2:$K$3143=VALUE(RIGHT(F$1,1)))))"),0.0)</f>
        <v>0</v>
      </c>
    </row>
    <row r="9" ht="15.75" customHeight="1">
      <c r="A9" s="45" t="s">
        <v>4258</v>
      </c>
      <c r="B9" s="34">
        <f>IFERROR(__xludf.DUMMYFUNCTION("IF(ISNA(sum(filter(
Master_Mapping_Sheet!$E$2:$E$3143, ISNUMBER(
Master_Mapping_Sheet!$E$2:$E$3143),
Master_Mapping_Sheet!$K$2:$K$3143=VALUE(RIGHT(B$1,1)),
Master_Mapping_Sheet!$M$2:$M$3143=VALUE(RIGHT($A9,1))))/sum(filter(
Master_Mapping_Sheet!$E$2:$E$31"&amp;"43, ISNUMBER(
Master_Mapping_Sheet!$E$2:$E$3143),
Master_Mapping_Sheet!$K$2:$K$3143=VALUE(RIGHT(B$1,1))))), 0, sum(filter(
Master_Mapping_Sheet!$E$2:$E$3143, ISNUMBER(
Master_Mapping_Sheet!$E$2:$E$3143),
Master_Mapping_Sheet!$K$2:$K$3143=VALUE(RIGHT(B$1,1"&amp;")),
Master_Mapping_Sheet!$M$2:$M$3143=VALUE(RIGHT($A9,1))))/sum(filter(
Master_Mapping_Sheet!$E$2:$E$3143, ISNUMBER(
Master_Mapping_Sheet!$E$2:$E$3143),
Master_Mapping_Sheet!$K$2:$K$3143=VALUE(RIGHT(B$1,1)))))"),0.0064943807067500345)</f>
        <v>0.006494380707</v>
      </c>
      <c r="C9" s="34">
        <f>IFERROR(__xludf.DUMMYFUNCTION("IF(ISNA(sum(filter(
Master_Mapping_Sheet!$E$2:$E$3143, ISNUMBER(
Master_Mapping_Sheet!$E$2:$E$3143),
Master_Mapping_Sheet!$K$2:$K$3143=VALUE(RIGHT(C$1,1)),
Master_Mapping_Sheet!$M$2:$M$3143=VALUE(RIGHT($A9,1))))/sum(filter(
Master_Mapping_Sheet!$E$2:$E$31"&amp;"43, ISNUMBER(
Master_Mapping_Sheet!$E$2:$E$3143),
Master_Mapping_Sheet!$K$2:$K$3143=VALUE(RIGHT(C$1,1))))), 0, sum(filter(
Master_Mapping_Sheet!$E$2:$E$3143, ISNUMBER(
Master_Mapping_Sheet!$E$2:$E$3143),
Master_Mapping_Sheet!$K$2:$K$3143=VALUE(RIGHT(C$1,1"&amp;")),
Master_Mapping_Sheet!$M$2:$M$3143=VALUE(RIGHT($A9,1))))/sum(filter(
Master_Mapping_Sheet!$E$2:$E$3143, ISNUMBER(
Master_Mapping_Sheet!$E$2:$E$3143),
Master_Mapping_Sheet!$K$2:$K$3143=VALUE(RIGHT(C$1,1)))))"),0.0)</f>
        <v>0</v>
      </c>
      <c r="D9" s="34">
        <f>IFERROR(__xludf.DUMMYFUNCTION("IF(ISNA(sum(filter(
Master_Mapping_Sheet!$E$2:$E$3143, ISNUMBER(
Master_Mapping_Sheet!$E$2:$E$3143),
Master_Mapping_Sheet!$K$2:$K$3143=VALUE(RIGHT(D$1,1)),
Master_Mapping_Sheet!$M$2:$M$3143=VALUE(RIGHT($A9,1))))/sum(filter(
Master_Mapping_Sheet!$E$2:$E$31"&amp;"43, ISNUMBER(
Master_Mapping_Sheet!$E$2:$E$3143),
Master_Mapping_Sheet!$K$2:$K$3143=VALUE(RIGHT(D$1,1))))), 0, sum(filter(
Master_Mapping_Sheet!$E$2:$E$3143, ISNUMBER(
Master_Mapping_Sheet!$E$2:$E$3143),
Master_Mapping_Sheet!$K$2:$K$3143=VALUE(RIGHT(D$1,1"&amp;")),
Master_Mapping_Sheet!$M$2:$M$3143=VALUE(RIGHT($A9,1))))/sum(filter(
Master_Mapping_Sheet!$E$2:$E$3143, ISNUMBER(
Master_Mapping_Sheet!$E$2:$E$3143),
Master_Mapping_Sheet!$K$2:$K$3143=VALUE(RIGHT(D$1,1)))))"),0.0)</f>
        <v>0</v>
      </c>
      <c r="E9" s="34">
        <f>IFERROR(__xludf.DUMMYFUNCTION("IF(ISNA(sum(filter(
Master_Mapping_Sheet!$E$2:$E$3143, ISNUMBER(
Master_Mapping_Sheet!$E$2:$E$3143),
Master_Mapping_Sheet!$K$2:$K$3143=VALUE(RIGHT(E$1,1)),
Master_Mapping_Sheet!$M$2:$M$3143=VALUE(RIGHT($A9,1))))/sum(filter(
Master_Mapping_Sheet!$E$2:$E$31"&amp;"43, ISNUMBER(
Master_Mapping_Sheet!$E$2:$E$3143),
Master_Mapping_Sheet!$K$2:$K$3143=VALUE(RIGHT(E$1,1))))), 0, sum(filter(
Master_Mapping_Sheet!$E$2:$E$3143, ISNUMBER(
Master_Mapping_Sheet!$E$2:$E$3143),
Master_Mapping_Sheet!$K$2:$K$3143=VALUE(RIGHT(E$1,1"&amp;")),
Master_Mapping_Sheet!$M$2:$M$3143=VALUE(RIGHT($A9,1))))/sum(filter(
Master_Mapping_Sheet!$E$2:$E$3143, ISNUMBER(
Master_Mapping_Sheet!$E$2:$E$3143),
Master_Mapping_Sheet!$K$2:$K$3143=VALUE(RIGHT(E$1,1)))))"),0.0)</f>
        <v>0</v>
      </c>
      <c r="F9" s="34">
        <f>IFERROR(__xludf.DUMMYFUNCTION("IF(ISNA(sum(filter(
Master_Mapping_Sheet!$E$2:$E$3143, ISNUMBER(
Master_Mapping_Sheet!$E$2:$E$3143),
Master_Mapping_Sheet!$K$2:$K$3143=VALUE(RIGHT(F$1,1)),
Master_Mapping_Sheet!$M$2:$M$3143=VALUE(RIGHT($A9,1))))/sum(filter(
Master_Mapping_Sheet!$E$2:$E$31"&amp;"43, ISNUMBER(
Master_Mapping_Sheet!$E$2:$E$3143),
Master_Mapping_Sheet!$K$2:$K$3143=VALUE(RIGHT(F$1,1))))), 0, sum(filter(
Master_Mapping_Sheet!$E$2:$E$3143, ISNUMBER(
Master_Mapping_Sheet!$E$2:$E$3143),
Master_Mapping_Sheet!$K$2:$K$3143=VALUE(RIGHT(F$1,1"&amp;")),
Master_Mapping_Sheet!$M$2:$M$3143=VALUE(RIGHT($A9,1))))/sum(filter(
Master_Mapping_Sheet!$E$2:$E$3143, ISNUMBER(
Master_Mapping_Sheet!$E$2:$E$3143),
Master_Mapping_Sheet!$K$2:$K$3143=VALUE(RIGHT(F$1,1)))))"),0.0)</f>
        <v>0</v>
      </c>
    </row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45" t="s">
        <v>4259</v>
      </c>
      <c r="B1" s="45" t="s">
        <v>4246</v>
      </c>
      <c r="C1" s="45" t="s">
        <v>4247</v>
      </c>
      <c r="D1" s="45" t="s">
        <v>4248</v>
      </c>
      <c r="E1" s="45" t="s">
        <v>4249</v>
      </c>
      <c r="F1" s="45" t="s">
        <v>4250</v>
      </c>
    </row>
    <row r="2" ht="15.75" customHeight="1">
      <c r="A2" s="45" t="s">
        <v>4260</v>
      </c>
      <c r="B2" s="34">
        <f>IFERROR(__xludf.DUMMYFUNCTION("IF(ISNA(sum(filter(
Master_Mapping_Sheet!$E$2:$E$3143, ISNUMBER(
Master_Mapping_Sheet!$E$2:$E$3143),
Master_Mapping_Sheet!$K$2:$K$3143=VALUE(RIGHT(B$1,1)),
Master_Mapping_Sheet!$N$2:$N$3143=REGEXEXTRACT($A2,"".*_(.*)"")))/sum(filter(
Master_Mapping_Sheet!"&amp;"$E$2:$E$3143, ISNUMBER(
Master_Mapping_Sheet!$E$2:$E$3143),
Master_Mapping_Sheet!$K$2:$K$3143=VALUE(RIGHT(B$1,1))))), 0, sum(filter(
Master_Mapping_Sheet!$E$2:$E$3143, ISNUMBER(
Master_Mapping_Sheet!$E$2:$E$3143),
Master_Mapping_Sheet!$K$2:$K$3143=VALUE(R"&amp;"IGHT(B$1,1)),
Master_Mapping_Sheet!$N$2:$N$3143=REGEXEXTRACT($A2,"".*_(.*)"")))/sum(filter(
Master_Mapping_Sheet!$E$2:$E$3143, ISNUMBER(
Master_Mapping_Sheet!$E$2:$E$3143),
Master_Mapping_Sheet!$K$2:$K$3143=VALUE(RIGHT(B$1,1)))))"),0.0)</f>
        <v>0</v>
      </c>
      <c r="C2" s="34">
        <f>IFERROR(__xludf.DUMMYFUNCTION("IF(ISNA(sum(filter(
Master_Mapping_Sheet!$E$2:$E$3143, ISNUMBER(
Master_Mapping_Sheet!$E$2:$E$3143),
Master_Mapping_Sheet!$K$2:$K$3143=VALUE(RIGHT(C$1,1)),
Master_Mapping_Sheet!$N$2:$N$3143=REGEXEXTRACT($A2,"".*_(.*)"")))/sum(filter(
Master_Mapping_Sheet!"&amp;"$E$2:$E$3143, ISNUMBER(
Master_Mapping_Sheet!$E$2:$E$3143),
Master_Mapping_Sheet!$K$2:$K$3143=VALUE(RIGHT(C$1,1))))), 0, sum(filter(
Master_Mapping_Sheet!$E$2:$E$3143, ISNUMBER(
Master_Mapping_Sheet!$E$2:$E$3143),
Master_Mapping_Sheet!$K$2:$K$3143=VALUE(R"&amp;"IGHT(C$1,1)),
Master_Mapping_Sheet!$N$2:$N$3143=REGEXEXTRACT($A2,"".*_(.*)"")))/sum(filter(
Master_Mapping_Sheet!$E$2:$E$3143, ISNUMBER(
Master_Mapping_Sheet!$E$2:$E$3143),
Master_Mapping_Sheet!$K$2:$K$3143=VALUE(RIGHT(C$1,1)))))"),0.0)</f>
        <v>0</v>
      </c>
      <c r="D2" s="34">
        <f>IFERROR(__xludf.DUMMYFUNCTION("IF(ISNA(sum(filter(
Master_Mapping_Sheet!$E$2:$E$3143, ISNUMBER(
Master_Mapping_Sheet!$E$2:$E$3143),
Master_Mapping_Sheet!$K$2:$K$3143=VALUE(RIGHT(D$1,1)),
Master_Mapping_Sheet!$N$2:$N$3143=REGEXEXTRACT($A2,"".*_(.*)"")))/sum(filter(
Master_Mapping_Sheet!"&amp;"$E$2:$E$3143, ISNUMBER(
Master_Mapping_Sheet!$E$2:$E$3143),
Master_Mapping_Sheet!$K$2:$K$3143=VALUE(RIGHT(D$1,1))))), 0, sum(filter(
Master_Mapping_Sheet!$E$2:$E$3143, ISNUMBER(
Master_Mapping_Sheet!$E$2:$E$3143),
Master_Mapping_Sheet!$K$2:$K$3143=VALUE(R"&amp;"IGHT(D$1,1)),
Master_Mapping_Sheet!$N$2:$N$3143=REGEXEXTRACT($A2,"".*_(.*)"")))/sum(filter(
Master_Mapping_Sheet!$E$2:$E$3143, ISNUMBER(
Master_Mapping_Sheet!$E$2:$E$3143),
Master_Mapping_Sheet!$K$2:$K$3143=VALUE(RIGHT(D$1,1)))))"),0.0)</f>
        <v>0</v>
      </c>
      <c r="E2" s="34">
        <f>IFERROR(__xludf.DUMMYFUNCTION("IF(ISNA(sum(filter(
Master_Mapping_Sheet!$E$2:$E$3143, ISNUMBER(
Master_Mapping_Sheet!$E$2:$E$3143),
Master_Mapping_Sheet!$K$2:$K$3143=VALUE(RIGHT(E$1,1)),
Master_Mapping_Sheet!$N$2:$N$3143=REGEXEXTRACT($A2,"".*_(.*)"")))/sum(filter(
Master_Mapping_Sheet!"&amp;"$E$2:$E$3143, ISNUMBER(
Master_Mapping_Sheet!$E$2:$E$3143),
Master_Mapping_Sheet!$K$2:$K$3143=VALUE(RIGHT(E$1,1))))), 0, sum(filter(
Master_Mapping_Sheet!$E$2:$E$3143, ISNUMBER(
Master_Mapping_Sheet!$E$2:$E$3143),
Master_Mapping_Sheet!$K$2:$K$3143=VALUE(R"&amp;"IGHT(E$1,1)),
Master_Mapping_Sheet!$N$2:$N$3143=REGEXEXTRACT($A2,"".*_(.*)"")))/sum(filter(
Master_Mapping_Sheet!$E$2:$E$3143, ISNUMBER(
Master_Mapping_Sheet!$E$2:$E$3143),
Master_Mapping_Sheet!$K$2:$K$3143=VALUE(RIGHT(E$1,1)))))"),0.02232910061063333)</f>
        <v>0.02232910061</v>
      </c>
      <c r="F2" s="34">
        <f>IFERROR(__xludf.DUMMYFUNCTION("IF(ISNA(sum(filter(
Master_Mapping_Sheet!$E$2:$E$3143, ISNUMBER(
Master_Mapping_Sheet!$E$2:$E$3143),
Master_Mapping_Sheet!$K$2:$K$3143=VALUE(RIGHT(F$1,1)),
Master_Mapping_Sheet!$N$2:$N$3143=REGEXEXTRACT($A2,"".*_(.*)"")))/sum(filter(
Master_Mapping_Sheet!"&amp;"$E$2:$E$3143, ISNUMBER(
Master_Mapping_Sheet!$E$2:$E$3143),
Master_Mapping_Sheet!$K$2:$K$3143=VALUE(RIGHT(F$1,1))))), 0, sum(filter(
Master_Mapping_Sheet!$E$2:$E$3143, ISNUMBER(
Master_Mapping_Sheet!$E$2:$E$3143),
Master_Mapping_Sheet!$K$2:$K$3143=VALUE(R"&amp;"IGHT(F$1,1)),
Master_Mapping_Sheet!$N$2:$N$3143=REGEXEXTRACT($A2,"".*_(.*)"")))/sum(filter(
Master_Mapping_Sheet!$E$2:$E$3143, ISNUMBER(
Master_Mapping_Sheet!$E$2:$E$3143),
Master_Mapping_Sheet!$K$2:$K$3143=VALUE(RIGHT(F$1,1)))))"),0.7946070834400054)</f>
        <v>0.7946070834</v>
      </c>
    </row>
    <row r="3" ht="15.75" customHeight="1">
      <c r="A3" s="45" t="s">
        <v>4261</v>
      </c>
      <c r="B3" s="34">
        <f>IFERROR(__xludf.DUMMYFUNCTION("IF(ISNA(sum(filter(
Master_Mapping_Sheet!$E$2:$E$3143, ISNUMBER(
Master_Mapping_Sheet!$E$2:$E$3143),
Master_Mapping_Sheet!$K$2:$K$3143=VALUE(RIGHT(B$1,1)),
Master_Mapping_Sheet!$N$2:$N$3143=REGEXEXTRACT($A3,"".*_(.*)"")))/sum(filter(
Master_Mapping_Sheet!"&amp;"$E$2:$E$3143, ISNUMBER(
Master_Mapping_Sheet!$E$2:$E$3143),
Master_Mapping_Sheet!$K$2:$K$3143=VALUE(RIGHT(B$1,1))))), 0, sum(filter(
Master_Mapping_Sheet!$E$2:$E$3143, ISNUMBER(
Master_Mapping_Sheet!$E$2:$E$3143),
Master_Mapping_Sheet!$K$2:$K$3143=VALUE(R"&amp;"IGHT(B$1,1)),
Master_Mapping_Sheet!$N$2:$N$3143=REGEXEXTRACT($A3,"".*_(.*)"")))/sum(filter(
Master_Mapping_Sheet!$E$2:$E$3143, ISNUMBER(
Master_Mapping_Sheet!$E$2:$E$3143),
Master_Mapping_Sheet!$K$2:$K$3143=VALUE(RIGHT(B$1,1)))))"),0.0)</f>
        <v>0</v>
      </c>
      <c r="C3" s="34">
        <f>IFERROR(__xludf.DUMMYFUNCTION("IF(ISNA(sum(filter(
Master_Mapping_Sheet!$E$2:$E$3143, ISNUMBER(
Master_Mapping_Sheet!$E$2:$E$3143),
Master_Mapping_Sheet!$K$2:$K$3143=VALUE(RIGHT(C$1,1)),
Master_Mapping_Sheet!$N$2:$N$3143=REGEXEXTRACT($A3,"".*_(.*)"")))/sum(filter(
Master_Mapping_Sheet!"&amp;"$E$2:$E$3143, ISNUMBER(
Master_Mapping_Sheet!$E$2:$E$3143),
Master_Mapping_Sheet!$K$2:$K$3143=VALUE(RIGHT(C$1,1))))), 0, sum(filter(
Master_Mapping_Sheet!$E$2:$E$3143, ISNUMBER(
Master_Mapping_Sheet!$E$2:$E$3143),
Master_Mapping_Sheet!$K$2:$K$3143=VALUE(R"&amp;"IGHT(C$1,1)),
Master_Mapping_Sheet!$N$2:$N$3143=REGEXEXTRACT($A3,"".*_(.*)"")))/sum(filter(
Master_Mapping_Sheet!$E$2:$E$3143, ISNUMBER(
Master_Mapping_Sheet!$E$2:$E$3143),
Master_Mapping_Sheet!$K$2:$K$3143=VALUE(RIGHT(C$1,1)))))"),0.020115881937159026)</f>
        <v>0.02011588194</v>
      </c>
      <c r="D3" s="34">
        <f>IFERROR(__xludf.DUMMYFUNCTION("IF(ISNA(sum(filter(
Master_Mapping_Sheet!$E$2:$E$3143, ISNUMBER(
Master_Mapping_Sheet!$E$2:$E$3143),
Master_Mapping_Sheet!$K$2:$K$3143=VALUE(RIGHT(D$1,1)),
Master_Mapping_Sheet!$N$2:$N$3143=REGEXEXTRACT($A3,"".*_(.*)"")))/sum(filter(
Master_Mapping_Sheet!"&amp;"$E$2:$E$3143, ISNUMBER(
Master_Mapping_Sheet!$E$2:$E$3143),
Master_Mapping_Sheet!$K$2:$K$3143=VALUE(RIGHT(D$1,1))))), 0, sum(filter(
Master_Mapping_Sheet!$E$2:$E$3143, ISNUMBER(
Master_Mapping_Sheet!$E$2:$E$3143),
Master_Mapping_Sheet!$K$2:$K$3143=VALUE(R"&amp;"IGHT(D$1,1)),
Master_Mapping_Sheet!$N$2:$N$3143=REGEXEXTRACT($A3,"".*_(.*)"")))/sum(filter(
Master_Mapping_Sheet!$E$2:$E$3143, ISNUMBER(
Master_Mapping_Sheet!$E$2:$E$3143),
Master_Mapping_Sheet!$K$2:$K$3143=VALUE(RIGHT(D$1,1)))))"),0.8071303331385155)</f>
        <v>0.8071303331</v>
      </c>
      <c r="E3" s="34">
        <f>IFERROR(__xludf.DUMMYFUNCTION("IF(ISNA(sum(filter(
Master_Mapping_Sheet!$E$2:$E$3143, ISNUMBER(
Master_Mapping_Sheet!$E$2:$E$3143),
Master_Mapping_Sheet!$K$2:$K$3143=VALUE(RIGHT(E$1,1)),
Master_Mapping_Sheet!$N$2:$N$3143=REGEXEXTRACT($A3,"".*_(.*)"")))/sum(filter(
Master_Mapping_Sheet!"&amp;"$E$2:$E$3143, ISNUMBER(
Master_Mapping_Sheet!$E$2:$E$3143),
Master_Mapping_Sheet!$K$2:$K$3143=VALUE(RIGHT(E$1,1))))), 0, sum(filter(
Master_Mapping_Sheet!$E$2:$E$3143, ISNUMBER(
Master_Mapping_Sheet!$E$2:$E$3143),
Master_Mapping_Sheet!$K$2:$K$3143=VALUE(R"&amp;"IGHT(E$1,1)),
Master_Mapping_Sheet!$N$2:$N$3143=REGEXEXTRACT($A3,"".*_(.*)"")))/sum(filter(
Master_Mapping_Sheet!$E$2:$E$3143, ISNUMBER(
Master_Mapping_Sheet!$E$2:$E$3143),
Master_Mapping_Sheet!$K$2:$K$3143=VALUE(RIGHT(E$1,1)))))"),0.47515532170548497)</f>
        <v>0.4751553217</v>
      </c>
      <c r="F3" s="34">
        <f>IFERROR(__xludf.DUMMYFUNCTION("IF(ISNA(sum(filter(
Master_Mapping_Sheet!$E$2:$E$3143, ISNUMBER(
Master_Mapping_Sheet!$E$2:$E$3143),
Master_Mapping_Sheet!$K$2:$K$3143=VALUE(RIGHT(F$1,1)),
Master_Mapping_Sheet!$N$2:$N$3143=REGEXEXTRACT($A3,"".*_(.*)"")))/sum(filter(
Master_Mapping_Sheet!"&amp;"$E$2:$E$3143, ISNUMBER(
Master_Mapping_Sheet!$E$2:$E$3143),
Master_Mapping_Sheet!$K$2:$K$3143=VALUE(RIGHT(F$1,1))))), 0, sum(filter(
Master_Mapping_Sheet!$E$2:$E$3143, ISNUMBER(
Master_Mapping_Sheet!$E$2:$E$3143),
Master_Mapping_Sheet!$K$2:$K$3143=VALUE(R"&amp;"IGHT(F$1,1)),
Master_Mapping_Sheet!$N$2:$N$3143=REGEXEXTRACT($A3,"".*_(.*)"")))/sum(filter(
Master_Mapping_Sheet!$E$2:$E$3143, ISNUMBER(
Master_Mapping_Sheet!$E$2:$E$3143),
Master_Mapping_Sheet!$K$2:$K$3143=VALUE(RIGHT(F$1,1)))))"),0.0497634339227997)</f>
        <v>0.04976343392</v>
      </c>
    </row>
    <row r="4" ht="15.75" customHeight="1">
      <c r="A4" s="45" t="s">
        <v>4262</v>
      </c>
      <c r="B4" s="34">
        <f>IFERROR(__xludf.DUMMYFUNCTION("IF(ISNA(sum(filter(
Master_Mapping_Sheet!$E$2:$E$3143, ISNUMBER(
Master_Mapping_Sheet!$E$2:$E$3143),
Master_Mapping_Sheet!$K$2:$K$3143=VALUE(RIGHT(B$1,1)),
Master_Mapping_Sheet!$N$2:$N$3143=REGEXEXTRACT($A4,"".*_(.*)"")))/sum(filter(
Master_Mapping_Sheet!"&amp;"$E$2:$E$3143, ISNUMBER(
Master_Mapping_Sheet!$E$2:$E$3143),
Master_Mapping_Sheet!$K$2:$K$3143=VALUE(RIGHT(B$1,1))))), 0, sum(filter(
Master_Mapping_Sheet!$E$2:$E$3143, ISNUMBER(
Master_Mapping_Sheet!$E$2:$E$3143),
Master_Mapping_Sheet!$K$2:$K$3143=VALUE(R"&amp;"IGHT(B$1,1)),
Master_Mapping_Sheet!$N$2:$N$3143=REGEXEXTRACT($A4,"".*_(.*)"")))/sum(filter(
Master_Mapping_Sheet!$E$2:$E$3143, ISNUMBER(
Master_Mapping_Sheet!$E$2:$E$3143),
Master_Mapping_Sheet!$K$2:$K$3143=VALUE(RIGHT(B$1,1)))))"),0.10458601984796942)</f>
        <v>0.1045860198</v>
      </c>
      <c r="C4" s="34">
        <f>IFERROR(__xludf.DUMMYFUNCTION("IF(ISNA(sum(filter(
Master_Mapping_Sheet!$E$2:$E$3143, ISNUMBER(
Master_Mapping_Sheet!$E$2:$E$3143),
Master_Mapping_Sheet!$K$2:$K$3143=VALUE(RIGHT(C$1,1)),
Master_Mapping_Sheet!$N$2:$N$3143=REGEXEXTRACT($A4,"".*_(.*)"")))/sum(filter(
Master_Mapping_Sheet!"&amp;"$E$2:$E$3143, ISNUMBER(
Master_Mapping_Sheet!$E$2:$E$3143),
Master_Mapping_Sheet!$K$2:$K$3143=VALUE(RIGHT(C$1,1))))), 0, sum(filter(
Master_Mapping_Sheet!$E$2:$E$3143, ISNUMBER(
Master_Mapping_Sheet!$E$2:$E$3143),
Master_Mapping_Sheet!$K$2:$K$3143=VALUE(R"&amp;"IGHT(C$1,1)),
Master_Mapping_Sheet!$N$2:$N$3143=REGEXEXTRACT($A4,"".*_(.*)"")))/sum(filter(
Master_Mapping_Sheet!$E$2:$E$3143, ISNUMBER(
Master_Mapping_Sheet!$E$2:$E$3143),
Master_Mapping_Sheet!$K$2:$K$3143=VALUE(RIGHT(C$1,1)))))"),0.0)</f>
        <v>0</v>
      </c>
      <c r="D4" s="34">
        <f>IFERROR(__xludf.DUMMYFUNCTION("IF(ISNA(sum(filter(
Master_Mapping_Sheet!$E$2:$E$3143, ISNUMBER(
Master_Mapping_Sheet!$E$2:$E$3143),
Master_Mapping_Sheet!$K$2:$K$3143=VALUE(RIGHT(D$1,1)),
Master_Mapping_Sheet!$N$2:$N$3143=REGEXEXTRACT($A4,"".*_(.*)"")))/sum(filter(
Master_Mapping_Sheet!"&amp;"$E$2:$E$3143, ISNUMBER(
Master_Mapping_Sheet!$E$2:$E$3143),
Master_Mapping_Sheet!$K$2:$K$3143=VALUE(RIGHT(D$1,1))))), 0, sum(filter(
Master_Mapping_Sheet!$E$2:$E$3143, ISNUMBER(
Master_Mapping_Sheet!$E$2:$E$3143),
Master_Mapping_Sheet!$K$2:$K$3143=VALUE(R"&amp;"IGHT(D$1,1)),
Master_Mapping_Sheet!$N$2:$N$3143=REGEXEXTRACT($A4,"".*_(.*)"")))/sum(filter(
Master_Mapping_Sheet!$E$2:$E$3143, ISNUMBER(
Master_Mapping_Sheet!$E$2:$E$3143),
Master_Mapping_Sheet!$K$2:$K$3143=VALUE(RIGHT(D$1,1)))))"),0.0)</f>
        <v>0</v>
      </c>
      <c r="E4" s="34">
        <f>IFERROR(__xludf.DUMMYFUNCTION("IF(ISNA(sum(filter(
Master_Mapping_Sheet!$E$2:$E$3143, ISNUMBER(
Master_Mapping_Sheet!$E$2:$E$3143),
Master_Mapping_Sheet!$K$2:$K$3143=VALUE(RIGHT(E$1,1)),
Master_Mapping_Sheet!$N$2:$N$3143=REGEXEXTRACT($A4,"".*_(.*)"")))/sum(filter(
Master_Mapping_Sheet!"&amp;"$E$2:$E$3143, ISNUMBER(
Master_Mapping_Sheet!$E$2:$E$3143),
Master_Mapping_Sheet!$K$2:$K$3143=VALUE(RIGHT(E$1,1))))), 0, sum(filter(
Master_Mapping_Sheet!$E$2:$E$3143, ISNUMBER(
Master_Mapping_Sheet!$E$2:$E$3143),
Master_Mapping_Sheet!$K$2:$K$3143=VALUE(R"&amp;"IGHT(E$1,1)),
Master_Mapping_Sheet!$N$2:$N$3143=REGEXEXTRACT($A4,"".*_(.*)"")))/sum(filter(
Master_Mapping_Sheet!$E$2:$E$3143, ISNUMBER(
Master_Mapping_Sheet!$E$2:$E$3143),
Master_Mapping_Sheet!$K$2:$K$3143=VALUE(RIGHT(E$1,1)))))"),0.0)</f>
        <v>0</v>
      </c>
      <c r="F4" s="34">
        <f>IFERROR(__xludf.DUMMYFUNCTION("IF(ISNA(sum(filter(
Master_Mapping_Sheet!$E$2:$E$3143, ISNUMBER(
Master_Mapping_Sheet!$E$2:$E$3143),
Master_Mapping_Sheet!$K$2:$K$3143=VALUE(RIGHT(F$1,1)),
Master_Mapping_Sheet!$N$2:$N$3143=REGEXEXTRACT($A4,"".*_(.*)"")))/sum(filter(
Master_Mapping_Sheet!"&amp;"$E$2:$E$3143, ISNUMBER(
Master_Mapping_Sheet!$E$2:$E$3143),
Master_Mapping_Sheet!$K$2:$K$3143=VALUE(RIGHT(F$1,1))))), 0, sum(filter(
Master_Mapping_Sheet!$E$2:$E$3143, ISNUMBER(
Master_Mapping_Sheet!$E$2:$E$3143),
Master_Mapping_Sheet!$K$2:$K$3143=VALUE(R"&amp;"IGHT(F$1,1)),
Master_Mapping_Sheet!$N$2:$N$3143=REGEXEXTRACT($A4,"".*_(.*)"")))/sum(filter(
Master_Mapping_Sheet!$E$2:$E$3143, ISNUMBER(
Master_Mapping_Sheet!$E$2:$E$3143),
Master_Mapping_Sheet!$K$2:$K$3143=VALUE(RIGHT(F$1,1)))))"),0.0)</f>
        <v>0</v>
      </c>
    </row>
    <row r="5" ht="15.75" customHeight="1">
      <c r="A5" s="45" t="s">
        <v>4263</v>
      </c>
      <c r="B5" s="34">
        <f>IFERROR(__xludf.DUMMYFUNCTION("IF(ISNA(sum(filter(
Master_Mapping_Sheet!$E$2:$E$3143, ISNUMBER(
Master_Mapping_Sheet!$E$2:$E$3143),
Master_Mapping_Sheet!$K$2:$K$3143=VALUE(RIGHT(B$1,1)),
Master_Mapping_Sheet!$N$2:$N$3143=REGEXEXTRACT($A5,"".*_(.*)"")))/sum(filter(
Master_Mapping_Sheet!"&amp;"$E$2:$E$3143, ISNUMBER(
Master_Mapping_Sheet!$E$2:$E$3143),
Master_Mapping_Sheet!$K$2:$K$3143=VALUE(RIGHT(B$1,1))))), 0, sum(filter(
Master_Mapping_Sheet!$E$2:$E$3143, ISNUMBER(
Master_Mapping_Sheet!$E$2:$E$3143),
Master_Mapping_Sheet!$K$2:$K$3143=VALUE(R"&amp;"IGHT(B$1,1)),
Master_Mapping_Sheet!$N$2:$N$3143=REGEXEXTRACT($A5,"".*_(.*)"")))/sum(filter(
Master_Mapping_Sheet!$E$2:$E$3143, ISNUMBER(
Master_Mapping_Sheet!$E$2:$E$3143),
Master_Mapping_Sheet!$K$2:$K$3143=VALUE(RIGHT(B$1,1)))))"),0.0064943807067500345)</f>
        <v>0.006494380707</v>
      </c>
      <c r="C5" s="34">
        <f>IFERROR(__xludf.DUMMYFUNCTION("IF(ISNA(sum(filter(
Master_Mapping_Sheet!$E$2:$E$3143, ISNUMBER(
Master_Mapping_Sheet!$E$2:$E$3143),
Master_Mapping_Sheet!$K$2:$K$3143=VALUE(RIGHT(C$1,1)),
Master_Mapping_Sheet!$N$2:$N$3143=REGEXEXTRACT($A5,"".*_(.*)"")))/sum(filter(
Master_Mapping_Sheet!"&amp;"$E$2:$E$3143, ISNUMBER(
Master_Mapping_Sheet!$E$2:$E$3143),
Master_Mapping_Sheet!$K$2:$K$3143=VALUE(RIGHT(C$1,1))))), 0, sum(filter(
Master_Mapping_Sheet!$E$2:$E$3143, ISNUMBER(
Master_Mapping_Sheet!$E$2:$E$3143),
Master_Mapping_Sheet!$K$2:$K$3143=VALUE(R"&amp;"IGHT(C$1,1)),
Master_Mapping_Sheet!$N$2:$N$3143=REGEXEXTRACT($A5,"".*_(.*)"")))/sum(filter(
Master_Mapping_Sheet!$E$2:$E$3143, ISNUMBER(
Master_Mapping_Sheet!$E$2:$E$3143),
Master_Mapping_Sheet!$K$2:$K$3143=VALUE(RIGHT(C$1,1)))))"),0.0)</f>
        <v>0</v>
      </c>
      <c r="D5" s="34">
        <f>IFERROR(__xludf.DUMMYFUNCTION("IF(ISNA(sum(filter(
Master_Mapping_Sheet!$E$2:$E$3143, ISNUMBER(
Master_Mapping_Sheet!$E$2:$E$3143),
Master_Mapping_Sheet!$K$2:$K$3143=VALUE(RIGHT(D$1,1)),
Master_Mapping_Sheet!$N$2:$N$3143=REGEXEXTRACT($A5,"".*_(.*)"")))/sum(filter(
Master_Mapping_Sheet!"&amp;"$E$2:$E$3143, ISNUMBER(
Master_Mapping_Sheet!$E$2:$E$3143),
Master_Mapping_Sheet!$K$2:$K$3143=VALUE(RIGHT(D$1,1))))), 0, sum(filter(
Master_Mapping_Sheet!$E$2:$E$3143, ISNUMBER(
Master_Mapping_Sheet!$E$2:$E$3143),
Master_Mapping_Sheet!$K$2:$K$3143=VALUE(R"&amp;"IGHT(D$1,1)),
Master_Mapping_Sheet!$N$2:$N$3143=REGEXEXTRACT($A5,"".*_(.*)"")))/sum(filter(
Master_Mapping_Sheet!$E$2:$E$3143, ISNUMBER(
Master_Mapping_Sheet!$E$2:$E$3143),
Master_Mapping_Sheet!$K$2:$K$3143=VALUE(RIGHT(D$1,1)))))"),0.0)</f>
        <v>0</v>
      </c>
      <c r="E5" s="34">
        <f>IFERROR(__xludf.DUMMYFUNCTION("IF(ISNA(sum(filter(
Master_Mapping_Sheet!$E$2:$E$3143, ISNUMBER(
Master_Mapping_Sheet!$E$2:$E$3143),
Master_Mapping_Sheet!$K$2:$K$3143=VALUE(RIGHT(E$1,1)),
Master_Mapping_Sheet!$N$2:$N$3143=REGEXEXTRACT($A5,"".*_(.*)"")))/sum(filter(
Master_Mapping_Sheet!"&amp;"$E$2:$E$3143, ISNUMBER(
Master_Mapping_Sheet!$E$2:$E$3143),
Master_Mapping_Sheet!$K$2:$K$3143=VALUE(RIGHT(E$1,1))))), 0, sum(filter(
Master_Mapping_Sheet!$E$2:$E$3143, ISNUMBER(
Master_Mapping_Sheet!$E$2:$E$3143),
Master_Mapping_Sheet!$K$2:$K$3143=VALUE(R"&amp;"IGHT(E$1,1)),
Master_Mapping_Sheet!$N$2:$N$3143=REGEXEXTRACT($A5,"".*_(.*)"")))/sum(filter(
Master_Mapping_Sheet!$E$2:$E$3143, ISNUMBER(
Master_Mapping_Sheet!$E$2:$E$3143),
Master_Mapping_Sheet!$K$2:$K$3143=VALUE(RIGHT(E$1,1)))))"),0.0)</f>
        <v>0</v>
      </c>
      <c r="F5" s="34">
        <f>IFERROR(__xludf.DUMMYFUNCTION("IF(ISNA(sum(filter(
Master_Mapping_Sheet!$E$2:$E$3143, ISNUMBER(
Master_Mapping_Sheet!$E$2:$E$3143),
Master_Mapping_Sheet!$K$2:$K$3143=VALUE(RIGHT(F$1,1)),
Master_Mapping_Sheet!$N$2:$N$3143=REGEXEXTRACT($A5,"".*_(.*)"")))/sum(filter(
Master_Mapping_Sheet!"&amp;"$E$2:$E$3143, ISNUMBER(
Master_Mapping_Sheet!$E$2:$E$3143),
Master_Mapping_Sheet!$K$2:$K$3143=VALUE(RIGHT(F$1,1))))), 0, sum(filter(
Master_Mapping_Sheet!$E$2:$E$3143, ISNUMBER(
Master_Mapping_Sheet!$E$2:$E$3143),
Master_Mapping_Sheet!$K$2:$K$3143=VALUE(R"&amp;"IGHT(F$1,1)),
Master_Mapping_Sheet!$N$2:$N$3143=REGEXEXTRACT($A5,"".*_(.*)"")))/sum(filter(
Master_Mapping_Sheet!$E$2:$E$3143, ISNUMBER(
Master_Mapping_Sheet!$E$2:$E$3143),
Master_Mapping_Sheet!$K$2:$K$3143=VALUE(RIGHT(F$1,1)))))"),0.0)</f>
        <v>0</v>
      </c>
    </row>
    <row r="6" ht="15.75" customHeight="1">
      <c r="A6" s="45" t="s">
        <v>4264</v>
      </c>
      <c r="B6" s="34">
        <f>IFERROR(__xludf.DUMMYFUNCTION("IF(ISNA(sum(filter(
Master_Mapping_Sheet!$E$2:$E$3143, ISNUMBER(
Master_Mapping_Sheet!$E$2:$E$3143),
Master_Mapping_Sheet!$K$2:$K$3143=VALUE(RIGHT(B$1,1)),
Master_Mapping_Sheet!$N$2:$N$3143=REGEXEXTRACT($A6,"".*_(.*)"")))/sum(filter(
Master_Mapping_Sheet!"&amp;"$E$2:$E$3143, ISNUMBER(
Master_Mapping_Sheet!$E$2:$E$3143),
Master_Mapping_Sheet!$K$2:$K$3143=VALUE(RIGHT(B$1,1))))), 0, sum(filter(
Master_Mapping_Sheet!$E$2:$E$3143, ISNUMBER(
Master_Mapping_Sheet!$E$2:$E$3143),
Master_Mapping_Sheet!$K$2:$K$3143=VALUE(R"&amp;"IGHT(B$1,1)),
Master_Mapping_Sheet!$N$2:$N$3143=REGEXEXTRACT($A6,"".*_(.*)"")))/sum(filter(
Master_Mapping_Sheet!$E$2:$E$3143, ISNUMBER(
Master_Mapping_Sheet!$E$2:$E$3143),
Master_Mapping_Sheet!$K$2:$K$3143=VALUE(RIGHT(B$1,1)))))"),0.8889195994452805)</f>
        <v>0.8889195994</v>
      </c>
      <c r="C6" s="34">
        <f>IFERROR(__xludf.DUMMYFUNCTION("IF(ISNA(sum(filter(
Master_Mapping_Sheet!$E$2:$E$3143, ISNUMBER(
Master_Mapping_Sheet!$E$2:$E$3143),
Master_Mapping_Sheet!$K$2:$K$3143=VALUE(RIGHT(C$1,1)),
Master_Mapping_Sheet!$N$2:$N$3143=REGEXEXTRACT($A6,"".*_(.*)"")))/sum(filter(
Master_Mapping_Sheet!"&amp;"$E$2:$E$3143, ISNUMBER(
Master_Mapping_Sheet!$E$2:$E$3143),
Master_Mapping_Sheet!$K$2:$K$3143=VALUE(RIGHT(C$1,1))))), 0, sum(filter(
Master_Mapping_Sheet!$E$2:$E$3143, ISNUMBER(
Master_Mapping_Sheet!$E$2:$E$3143),
Master_Mapping_Sheet!$K$2:$K$3143=VALUE(R"&amp;"IGHT(C$1,1)),
Master_Mapping_Sheet!$N$2:$N$3143=REGEXEXTRACT($A6,"".*_(.*)"")))/sum(filter(
Master_Mapping_Sheet!$E$2:$E$3143, ISNUMBER(
Master_Mapping_Sheet!$E$2:$E$3143),
Master_Mapping_Sheet!$K$2:$K$3143=VALUE(RIGHT(C$1,1)))))"),0.9748972694847393)</f>
        <v>0.9748972695</v>
      </c>
      <c r="D6" s="34">
        <f>IFERROR(__xludf.DUMMYFUNCTION("IF(ISNA(sum(filter(
Master_Mapping_Sheet!$E$2:$E$3143, ISNUMBER(
Master_Mapping_Sheet!$E$2:$E$3143),
Master_Mapping_Sheet!$K$2:$K$3143=VALUE(RIGHT(D$1,1)),
Master_Mapping_Sheet!$N$2:$N$3143=REGEXEXTRACT($A6,"".*_(.*)"")))/sum(filter(
Master_Mapping_Sheet!"&amp;"$E$2:$E$3143, ISNUMBER(
Master_Mapping_Sheet!$E$2:$E$3143),
Master_Mapping_Sheet!$K$2:$K$3143=VALUE(RIGHT(D$1,1))))), 0, sum(filter(
Master_Mapping_Sheet!$E$2:$E$3143, ISNUMBER(
Master_Mapping_Sheet!$E$2:$E$3143),
Master_Mapping_Sheet!$K$2:$K$3143=VALUE(R"&amp;"IGHT(D$1,1)),
Master_Mapping_Sheet!$N$2:$N$3143=REGEXEXTRACT($A6,"".*_(.*)"")))/sum(filter(
Master_Mapping_Sheet!$E$2:$E$3143, ISNUMBER(
Master_Mapping_Sheet!$E$2:$E$3143),
Master_Mapping_Sheet!$K$2:$K$3143=VALUE(RIGHT(D$1,1)))))"),0.036571525437213606)</f>
        <v>0.03657152544</v>
      </c>
      <c r="E6" s="34">
        <f>IFERROR(__xludf.DUMMYFUNCTION("IF(ISNA(sum(filter(
Master_Mapping_Sheet!$E$2:$E$3143, ISNUMBER(
Master_Mapping_Sheet!$E$2:$E$3143),
Master_Mapping_Sheet!$K$2:$K$3143=VALUE(RIGHT(E$1,1)),
Master_Mapping_Sheet!$N$2:$N$3143=REGEXEXTRACT($A6,"".*_(.*)"")))/sum(filter(
Master_Mapping_Sheet!"&amp;"$E$2:$E$3143, ISNUMBER(
Master_Mapping_Sheet!$E$2:$E$3143),
Master_Mapping_Sheet!$K$2:$K$3143=VALUE(RIGHT(E$1,1))))), 0, sum(filter(
Master_Mapping_Sheet!$E$2:$E$3143, ISNUMBER(
Master_Mapping_Sheet!$E$2:$E$3143),
Master_Mapping_Sheet!$K$2:$K$3143=VALUE(R"&amp;"IGHT(E$1,1)),
Master_Mapping_Sheet!$N$2:$N$3143=REGEXEXTRACT($A6,"".*_(.*)"")))/sum(filter(
Master_Mapping_Sheet!$E$2:$E$3143, ISNUMBER(
Master_Mapping_Sheet!$E$2:$E$3143),
Master_Mapping_Sheet!$K$2:$K$3143=VALUE(RIGHT(E$1,1)))))"),0.0)</f>
        <v>0</v>
      </c>
      <c r="F6" s="34">
        <f>IFERROR(__xludf.DUMMYFUNCTION("IF(ISNA(sum(filter(
Master_Mapping_Sheet!$E$2:$E$3143, ISNUMBER(
Master_Mapping_Sheet!$E$2:$E$3143),
Master_Mapping_Sheet!$K$2:$K$3143=VALUE(RIGHT(F$1,1)),
Master_Mapping_Sheet!$N$2:$N$3143=REGEXEXTRACT($A6,"".*_(.*)"")))/sum(filter(
Master_Mapping_Sheet!"&amp;"$E$2:$E$3143, ISNUMBER(
Master_Mapping_Sheet!$E$2:$E$3143),
Master_Mapping_Sheet!$K$2:$K$3143=VALUE(RIGHT(F$1,1))))), 0, sum(filter(
Master_Mapping_Sheet!$E$2:$E$3143, ISNUMBER(
Master_Mapping_Sheet!$E$2:$E$3143),
Master_Mapping_Sheet!$K$2:$K$3143=VALUE(R"&amp;"IGHT(F$1,1)),
Master_Mapping_Sheet!$N$2:$N$3143=REGEXEXTRACT($A6,"".*_(.*)"")))/sum(filter(
Master_Mapping_Sheet!$E$2:$E$3143, ISNUMBER(
Master_Mapping_Sheet!$E$2:$E$3143),
Master_Mapping_Sheet!$K$2:$K$3143=VALUE(RIGHT(F$1,1)))))"),7.143591300526309E-4)</f>
        <v>0.0007143591301</v>
      </c>
    </row>
    <row r="7" ht="15.75" customHeight="1">
      <c r="A7" s="45" t="s">
        <v>4265</v>
      </c>
      <c r="B7" s="34">
        <f>IFERROR(__xludf.DUMMYFUNCTION("IF(ISNA(sum(filter(
Master_Mapping_Sheet!$E$2:$E$3143, ISNUMBER(
Master_Mapping_Sheet!$E$2:$E$3143),
Master_Mapping_Sheet!$K$2:$K$3143=VALUE(RIGHT(B$1,1)),
Master_Mapping_Sheet!$N$2:$N$3143=REGEXEXTRACT($A7,"".*_(.*)"")))/sum(filter(
Master_Mapping_Sheet!"&amp;"$E$2:$E$3143, ISNUMBER(
Master_Mapping_Sheet!$E$2:$E$3143),
Master_Mapping_Sheet!$K$2:$K$3143=VALUE(RIGHT(B$1,1))))), 0, sum(filter(
Master_Mapping_Sheet!$E$2:$E$3143, ISNUMBER(
Master_Mapping_Sheet!$E$2:$E$3143),
Master_Mapping_Sheet!$K$2:$K$3143=VALUE(R"&amp;"IGHT(B$1,1)),
Master_Mapping_Sheet!$N$2:$N$3143=REGEXEXTRACT($A7,"".*_(.*)"")))/sum(filter(
Master_Mapping_Sheet!$E$2:$E$3143, ISNUMBER(
Master_Mapping_Sheet!$E$2:$E$3143),
Master_Mapping_Sheet!$K$2:$K$3143=VALUE(RIGHT(B$1,1)))))"),0.0)</f>
        <v>0</v>
      </c>
      <c r="C7" s="34">
        <f>IFERROR(__xludf.DUMMYFUNCTION("IF(ISNA(sum(filter(
Master_Mapping_Sheet!$E$2:$E$3143, ISNUMBER(
Master_Mapping_Sheet!$E$2:$E$3143),
Master_Mapping_Sheet!$K$2:$K$3143=VALUE(RIGHT(C$1,1)),
Master_Mapping_Sheet!$N$2:$N$3143=REGEXEXTRACT($A7,"".*_(.*)"")))/sum(filter(
Master_Mapping_Sheet!"&amp;"$E$2:$E$3143, ISNUMBER(
Master_Mapping_Sheet!$E$2:$E$3143),
Master_Mapping_Sheet!$K$2:$K$3143=VALUE(RIGHT(C$1,1))))), 0, sum(filter(
Master_Mapping_Sheet!$E$2:$E$3143, ISNUMBER(
Master_Mapping_Sheet!$E$2:$E$3143),
Master_Mapping_Sheet!$K$2:$K$3143=VALUE(R"&amp;"IGHT(C$1,1)),
Master_Mapping_Sheet!$N$2:$N$3143=REGEXEXTRACT($A7,"".*_(.*)"")))/sum(filter(
Master_Mapping_Sheet!$E$2:$E$3143, ISNUMBER(
Master_Mapping_Sheet!$E$2:$E$3143),
Master_Mapping_Sheet!$K$2:$K$3143=VALUE(RIGHT(C$1,1)))))"),0.0)</f>
        <v>0</v>
      </c>
      <c r="D7" s="34">
        <f>IFERROR(__xludf.DUMMYFUNCTION("IF(ISNA(sum(filter(
Master_Mapping_Sheet!$E$2:$E$3143, ISNUMBER(
Master_Mapping_Sheet!$E$2:$E$3143),
Master_Mapping_Sheet!$K$2:$K$3143=VALUE(RIGHT(D$1,1)),
Master_Mapping_Sheet!$N$2:$N$3143=REGEXEXTRACT($A7,"".*_(.*)"")))/sum(filter(
Master_Mapping_Sheet!"&amp;"$E$2:$E$3143, ISNUMBER(
Master_Mapping_Sheet!$E$2:$E$3143),
Master_Mapping_Sheet!$K$2:$K$3143=VALUE(RIGHT(D$1,1))))), 0, sum(filter(
Master_Mapping_Sheet!$E$2:$E$3143, ISNUMBER(
Master_Mapping_Sheet!$E$2:$E$3143),
Master_Mapping_Sheet!$K$2:$K$3143=VALUE(R"&amp;"IGHT(D$1,1)),
Master_Mapping_Sheet!$N$2:$N$3143=REGEXEXTRACT($A7,"".*_(.*)"")))/sum(filter(
Master_Mapping_Sheet!$E$2:$E$3143, ISNUMBER(
Master_Mapping_Sheet!$E$2:$E$3143),
Master_Mapping_Sheet!$K$2:$K$3143=VALUE(RIGHT(D$1,1)))))"),1.122749738703983E-4)</f>
        <v>0.0001122749739</v>
      </c>
      <c r="E7" s="34">
        <f>IFERROR(__xludf.DUMMYFUNCTION("IF(ISNA(sum(filter(
Master_Mapping_Sheet!$E$2:$E$3143, ISNUMBER(
Master_Mapping_Sheet!$E$2:$E$3143),
Master_Mapping_Sheet!$K$2:$K$3143=VALUE(RIGHT(E$1,1)),
Master_Mapping_Sheet!$N$2:$N$3143=REGEXEXTRACT($A7,"".*_(.*)"")))/sum(filter(
Master_Mapping_Sheet!"&amp;"$E$2:$E$3143, ISNUMBER(
Master_Mapping_Sheet!$E$2:$E$3143),
Master_Mapping_Sheet!$K$2:$K$3143=VALUE(RIGHT(E$1,1))))), 0, sum(filter(
Master_Mapping_Sheet!$E$2:$E$3143, ISNUMBER(
Master_Mapping_Sheet!$E$2:$E$3143),
Master_Mapping_Sheet!$K$2:$K$3143=VALUE(R"&amp;"IGHT(E$1,1)),
Master_Mapping_Sheet!$N$2:$N$3143=REGEXEXTRACT($A7,"".*_(.*)"")))/sum(filter(
Master_Mapping_Sheet!$E$2:$E$3143, ISNUMBER(
Master_Mapping_Sheet!$E$2:$E$3143),
Master_Mapping_Sheet!$K$2:$K$3143=VALUE(RIGHT(E$1,1)))))"),0.38696114061236675)</f>
        <v>0.3869611406</v>
      </c>
      <c r="F7" s="34">
        <f>IFERROR(__xludf.DUMMYFUNCTION("IF(ISNA(sum(filter(
Master_Mapping_Sheet!$E$2:$E$3143, ISNUMBER(
Master_Mapping_Sheet!$E$2:$E$3143),
Master_Mapping_Sheet!$K$2:$K$3143=VALUE(RIGHT(F$1,1)),
Master_Mapping_Sheet!$N$2:$N$3143=REGEXEXTRACT($A7,"".*_(.*)"")))/sum(filter(
Master_Mapping_Sheet!"&amp;"$E$2:$E$3143, ISNUMBER(
Master_Mapping_Sheet!$E$2:$E$3143),
Master_Mapping_Sheet!$K$2:$K$3143=VALUE(RIGHT(F$1,1))))), 0, sum(filter(
Master_Mapping_Sheet!$E$2:$E$3143, ISNUMBER(
Master_Mapping_Sheet!$E$2:$E$3143),
Master_Mapping_Sheet!$K$2:$K$3143=VALUE(R"&amp;"IGHT(F$1,1)),
Master_Mapping_Sheet!$N$2:$N$3143=REGEXEXTRACT($A7,"".*_(.*)"")))/sum(filter(
Master_Mapping_Sheet!$E$2:$E$3143, ISNUMBER(
Master_Mapping_Sheet!$E$2:$E$3143),
Master_Mapping_Sheet!$K$2:$K$3143=VALUE(RIGHT(F$1,1)))))"),0.15491512350714232)</f>
        <v>0.1549151235</v>
      </c>
    </row>
    <row r="8" ht="15.75" customHeight="1">
      <c r="A8" s="45" t="s">
        <v>4266</v>
      </c>
      <c r="B8" s="34">
        <f>IFERROR(__xludf.DUMMYFUNCTION("IF(ISNA(sum(filter(
Master_Mapping_Sheet!$E$2:$E$3143, ISNUMBER(
Master_Mapping_Sheet!$E$2:$E$3143),
Master_Mapping_Sheet!$K$2:$K$3143=VALUE(RIGHT(B$1,1)),
Master_Mapping_Sheet!$N$2:$N$3143=REGEXEXTRACT($A8,"".*_(.*)"")))/sum(filter(
Master_Mapping_Sheet!"&amp;"$E$2:$E$3143, ISNUMBER(
Master_Mapping_Sheet!$E$2:$E$3143),
Master_Mapping_Sheet!$K$2:$K$3143=VALUE(RIGHT(B$1,1))))), 0, sum(filter(
Master_Mapping_Sheet!$E$2:$E$3143, ISNUMBER(
Master_Mapping_Sheet!$E$2:$E$3143),
Master_Mapping_Sheet!$K$2:$K$3143=VALUE(R"&amp;"IGHT(B$1,1)),
Master_Mapping_Sheet!$N$2:$N$3143=REGEXEXTRACT($A8,"".*_(.*)"")))/sum(filter(
Master_Mapping_Sheet!$E$2:$E$3143, ISNUMBER(
Master_Mapping_Sheet!$E$2:$E$3143),
Master_Mapping_Sheet!$K$2:$K$3143=VALUE(RIGHT(B$1,1)))))"),0.0)</f>
        <v>0</v>
      </c>
      <c r="C8" s="34">
        <f>IFERROR(__xludf.DUMMYFUNCTION("IF(ISNA(sum(filter(
Master_Mapping_Sheet!$E$2:$E$3143, ISNUMBER(
Master_Mapping_Sheet!$E$2:$E$3143),
Master_Mapping_Sheet!$K$2:$K$3143=VALUE(RIGHT(C$1,1)),
Master_Mapping_Sheet!$N$2:$N$3143=REGEXEXTRACT($A8,"".*_(.*)"")))/sum(filter(
Master_Mapping_Sheet!"&amp;"$E$2:$E$3143, ISNUMBER(
Master_Mapping_Sheet!$E$2:$E$3143),
Master_Mapping_Sheet!$K$2:$K$3143=VALUE(RIGHT(C$1,1))))), 0, sum(filter(
Master_Mapping_Sheet!$E$2:$E$3143, ISNUMBER(
Master_Mapping_Sheet!$E$2:$E$3143),
Master_Mapping_Sheet!$K$2:$K$3143=VALUE(R"&amp;"IGHT(C$1,1)),
Master_Mapping_Sheet!$N$2:$N$3143=REGEXEXTRACT($A8,"".*_(.*)"")))/sum(filter(
Master_Mapping_Sheet!$E$2:$E$3143, ISNUMBER(
Master_Mapping_Sheet!$E$2:$E$3143),
Master_Mapping_Sheet!$K$2:$K$3143=VALUE(RIGHT(C$1,1)))))"),0.0)</f>
        <v>0</v>
      </c>
      <c r="D8" s="34">
        <f>IFERROR(__xludf.DUMMYFUNCTION("IF(ISNA(sum(filter(
Master_Mapping_Sheet!$E$2:$E$3143, ISNUMBER(
Master_Mapping_Sheet!$E$2:$E$3143),
Master_Mapping_Sheet!$K$2:$K$3143=VALUE(RIGHT(D$1,1)),
Master_Mapping_Sheet!$N$2:$N$3143=REGEXEXTRACT($A8,"".*_(.*)"")))/sum(filter(
Master_Mapping_Sheet!"&amp;"$E$2:$E$3143, ISNUMBER(
Master_Mapping_Sheet!$E$2:$E$3143),
Master_Mapping_Sheet!$K$2:$K$3143=VALUE(RIGHT(D$1,1))))), 0, sum(filter(
Master_Mapping_Sheet!$E$2:$E$3143, ISNUMBER(
Master_Mapping_Sheet!$E$2:$E$3143),
Master_Mapping_Sheet!$K$2:$K$3143=VALUE(R"&amp;"IGHT(D$1,1)),
Master_Mapping_Sheet!$N$2:$N$3143=REGEXEXTRACT($A8,"".*_(.*)"")))/sum(filter(
Master_Mapping_Sheet!$E$2:$E$3143, ISNUMBER(
Master_Mapping_Sheet!$E$2:$E$3143),
Master_Mapping_Sheet!$K$2:$K$3143=VALUE(RIGHT(D$1,1)))))"),0.022867826186822187)</f>
        <v>0.02286782619</v>
      </c>
      <c r="E8" s="34">
        <f>IFERROR(__xludf.DUMMYFUNCTION("IF(ISNA(sum(filter(
Master_Mapping_Sheet!$E$2:$E$3143, ISNUMBER(
Master_Mapping_Sheet!$E$2:$E$3143),
Master_Mapping_Sheet!$K$2:$K$3143=VALUE(RIGHT(E$1,1)),
Master_Mapping_Sheet!$N$2:$N$3143=REGEXEXTRACT($A8,"".*_(.*)"")))/sum(filter(
Master_Mapping_Sheet!"&amp;"$E$2:$E$3143, ISNUMBER(
Master_Mapping_Sheet!$E$2:$E$3143),
Master_Mapping_Sheet!$K$2:$K$3143=VALUE(RIGHT(E$1,1))))), 0, sum(filter(
Master_Mapping_Sheet!$E$2:$E$3143, ISNUMBER(
Master_Mapping_Sheet!$E$2:$E$3143),
Master_Mapping_Sheet!$K$2:$K$3143=VALUE(R"&amp;"IGHT(E$1,1)),
Master_Mapping_Sheet!$N$2:$N$3143=REGEXEXTRACT($A8,"".*_(.*)"")))/sum(filter(
Master_Mapping_Sheet!$E$2:$E$3143, ISNUMBER(
Master_Mapping_Sheet!$E$2:$E$3143),
Master_Mapping_Sheet!$K$2:$K$3143=VALUE(RIGHT(E$1,1)))))"),0.007844800000539416)</f>
        <v>0.007844800001</v>
      </c>
      <c r="F8" s="34">
        <f>IFERROR(__xludf.DUMMYFUNCTION("IF(ISNA(sum(filter(
Master_Mapping_Sheet!$E$2:$E$3143, ISNUMBER(
Master_Mapping_Sheet!$E$2:$E$3143),
Master_Mapping_Sheet!$K$2:$K$3143=VALUE(RIGHT(F$1,1)),
Master_Mapping_Sheet!$N$2:$N$3143=REGEXEXTRACT($A8,"".*_(.*)"")))/sum(filter(
Master_Mapping_Sheet!"&amp;"$E$2:$E$3143, ISNUMBER(
Master_Mapping_Sheet!$E$2:$E$3143),
Master_Mapping_Sheet!$K$2:$K$3143=VALUE(RIGHT(F$1,1))))), 0, sum(filter(
Master_Mapping_Sheet!$E$2:$E$3143, ISNUMBER(
Master_Mapping_Sheet!$E$2:$E$3143),
Master_Mapping_Sheet!$K$2:$K$3143=VALUE(R"&amp;"IGHT(F$1,1)),
Master_Mapping_Sheet!$N$2:$N$3143=REGEXEXTRACT($A8,"".*_(.*)"")))/sum(filter(
Master_Mapping_Sheet!$E$2:$E$3143, ISNUMBER(
Master_Mapping_Sheet!$E$2:$E$3143),
Master_Mapping_Sheet!$K$2:$K$3143=VALUE(RIGHT(F$1,1)))))"),0.0)</f>
        <v>0</v>
      </c>
    </row>
    <row r="9" ht="15.75" customHeight="1">
      <c r="A9" s="45" t="s">
        <v>4267</v>
      </c>
      <c r="B9" s="34">
        <f>IFERROR(__xludf.DUMMYFUNCTION("IF(ISNA(sum(filter(
Master_Mapping_Sheet!$E$2:$E$3143, ISNUMBER(
Master_Mapping_Sheet!$E$2:$E$3143),
Master_Mapping_Sheet!$K$2:$K$3143=VALUE(RIGHT(B$1,1)),
Master_Mapping_Sheet!$N$2:$N$3143=REGEXEXTRACT($A9,"".*_(.*)"")))/sum(filter(
Master_Mapping_Sheet!"&amp;"$E$2:$E$3143, ISNUMBER(
Master_Mapping_Sheet!$E$2:$E$3143),
Master_Mapping_Sheet!$K$2:$K$3143=VALUE(RIGHT(B$1,1))))), 0, sum(filter(
Master_Mapping_Sheet!$E$2:$E$3143, ISNUMBER(
Master_Mapping_Sheet!$E$2:$E$3143),
Master_Mapping_Sheet!$K$2:$K$3143=VALUE(R"&amp;"IGHT(B$1,1)),
Master_Mapping_Sheet!$N$2:$N$3143=REGEXEXTRACT($A9,"".*_(.*)"")))/sum(filter(
Master_Mapping_Sheet!$E$2:$E$3143, ISNUMBER(
Master_Mapping_Sheet!$E$2:$E$3143),
Master_Mapping_Sheet!$K$2:$K$3143=VALUE(RIGHT(B$1,1)))))"),0.0)</f>
        <v>0</v>
      </c>
      <c r="C9" s="34">
        <f>IFERROR(__xludf.DUMMYFUNCTION("IF(ISNA(sum(filter(
Master_Mapping_Sheet!$E$2:$E$3143, ISNUMBER(
Master_Mapping_Sheet!$E$2:$E$3143),
Master_Mapping_Sheet!$K$2:$K$3143=VALUE(RIGHT(C$1,1)),
Master_Mapping_Sheet!$N$2:$N$3143=REGEXEXTRACT($A9,"".*_(.*)"")))/sum(filter(
Master_Mapping_Sheet!"&amp;"$E$2:$E$3143, ISNUMBER(
Master_Mapping_Sheet!$E$2:$E$3143),
Master_Mapping_Sheet!$K$2:$K$3143=VALUE(RIGHT(C$1,1))))), 0, sum(filter(
Master_Mapping_Sheet!$E$2:$E$3143, ISNUMBER(
Master_Mapping_Sheet!$E$2:$E$3143),
Master_Mapping_Sheet!$K$2:$K$3143=VALUE(R"&amp;"IGHT(C$1,1)),
Master_Mapping_Sheet!$N$2:$N$3143=REGEXEXTRACT($A9,"".*_(.*)"")))/sum(filter(
Master_Mapping_Sheet!$E$2:$E$3143, ISNUMBER(
Master_Mapping_Sheet!$E$2:$E$3143),
Master_Mapping_Sheet!$K$2:$K$3143=VALUE(RIGHT(C$1,1)))))"),0.004986848578101644)</f>
        <v>0.004986848578</v>
      </c>
      <c r="D9" s="34">
        <f>IFERROR(__xludf.DUMMYFUNCTION("IF(ISNA(sum(filter(
Master_Mapping_Sheet!$E$2:$E$3143, ISNUMBER(
Master_Mapping_Sheet!$E$2:$E$3143),
Master_Mapping_Sheet!$K$2:$K$3143=VALUE(RIGHT(D$1,1)),
Master_Mapping_Sheet!$N$2:$N$3143=REGEXEXTRACT($A9,"".*_(.*)"")))/sum(filter(
Master_Mapping_Sheet!"&amp;"$E$2:$E$3143, ISNUMBER(
Master_Mapping_Sheet!$E$2:$E$3143),
Master_Mapping_Sheet!$K$2:$K$3143=VALUE(RIGHT(D$1,1))))), 0, sum(filter(
Master_Mapping_Sheet!$E$2:$E$3143, ISNUMBER(
Master_Mapping_Sheet!$E$2:$E$3143),
Master_Mapping_Sheet!$K$2:$K$3143=VALUE(R"&amp;"IGHT(D$1,1)),
Master_Mapping_Sheet!$N$2:$N$3143=REGEXEXTRACT($A9,"".*_(.*)"")))/sum(filter(
Master_Mapping_Sheet!$E$2:$E$3143, ISNUMBER(
Master_Mapping_Sheet!$E$2:$E$3143),
Master_Mapping_Sheet!$K$2:$K$3143=VALUE(RIGHT(D$1,1)))))"),0.13331804026357832)</f>
        <v>0.1333180403</v>
      </c>
      <c r="E9" s="34">
        <f>IFERROR(__xludf.DUMMYFUNCTION("IF(ISNA(sum(filter(
Master_Mapping_Sheet!$E$2:$E$3143, ISNUMBER(
Master_Mapping_Sheet!$E$2:$E$3143),
Master_Mapping_Sheet!$K$2:$K$3143=VALUE(RIGHT(E$1,1)),
Master_Mapping_Sheet!$N$2:$N$3143=REGEXEXTRACT($A9,"".*_(.*)"")))/sum(filter(
Master_Mapping_Sheet!"&amp;"$E$2:$E$3143, ISNUMBER(
Master_Mapping_Sheet!$E$2:$E$3143),
Master_Mapping_Sheet!$K$2:$K$3143=VALUE(RIGHT(E$1,1))))), 0, sum(filter(
Master_Mapping_Sheet!$E$2:$E$3143, ISNUMBER(
Master_Mapping_Sheet!$E$2:$E$3143),
Master_Mapping_Sheet!$K$2:$K$3143=VALUE(R"&amp;"IGHT(E$1,1)),
Master_Mapping_Sheet!$N$2:$N$3143=REGEXEXTRACT($A9,"".*_(.*)"")))/sum(filter(
Master_Mapping_Sheet!$E$2:$E$3143, ISNUMBER(
Master_Mapping_Sheet!$E$2:$E$3143),
Master_Mapping_Sheet!$K$2:$K$3143=VALUE(RIGHT(E$1,1)))))"),0.10770963707097557)</f>
        <v>0.1077096371</v>
      </c>
      <c r="F9" s="34">
        <f>IFERROR(__xludf.DUMMYFUNCTION("IF(ISNA(sum(filter(
Master_Mapping_Sheet!$E$2:$E$3143, ISNUMBER(
Master_Mapping_Sheet!$E$2:$E$3143),
Master_Mapping_Sheet!$K$2:$K$3143=VALUE(RIGHT(F$1,1)),
Master_Mapping_Sheet!$N$2:$N$3143=REGEXEXTRACT($A9,"".*_(.*)"")))/sum(filter(
Master_Mapping_Sheet!"&amp;"$E$2:$E$3143, ISNUMBER(
Master_Mapping_Sheet!$E$2:$E$3143),
Master_Mapping_Sheet!$K$2:$K$3143=VALUE(RIGHT(F$1,1))))), 0, sum(filter(
Master_Mapping_Sheet!$E$2:$E$3143, ISNUMBER(
Master_Mapping_Sheet!$E$2:$E$3143),
Master_Mapping_Sheet!$K$2:$K$3143=VALUE(R"&amp;"IGHT(F$1,1)),
Master_Mapping_Sheet!$N$2:$N$3143=REGEXEXTRACT($A9,"".*_(.*)"")))/sum(filter(
Master_Mapping_Sheet!$E$2:$E$3143, ISNUMBER(
Master_Mapping_Sheet!$E$2:$E$3143),
Master_Mapping_Sheet!$K$2:$K$3143=VALUE(RIGHT(F$1,1)))))"),0.0)</f>
        <v>0</v>
      </c>
    </row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45" t="s">
        <v>96</v>
      </c>
      <c r="B1" s="45" t="s">
        <v>4268</v>
      </c>
      <c r="C1" s="45" t="s">
        <v>4269</v>
      </c>
      <c r="D1" s="45" t="s">
        <v>4270</v>
      </c>
      <c r="E1" s="45" t="s">
        <v>4271</v>
      </c>
      <c r="F1" s="45" t="s">
        <v>4272</v>
      </c>
      <c r="G1" s="45" t="s">
        <v>4273</v>
      </c>
      <c r="H1" s="45" t="s">
        <v>4274</v>
      </c>
      <c r="I1" s="45" t="s">
        <v>4275</v>
      </c>
      <c r="J1" s="45" t="s">
        <v>4276</v>
      </c>
    </row>
    <row r="2" ht="15.75" customHeight="1">
      <c r="A2" s="45" t="s">
        <v>4246</v>
      </c>
      <c r="B2" s="34">
        <f>IFERROR(__xludf.DUMMYFUNCTION("IF(ISNA(sum(filter(
Master_Mapping_Sheet!$E$2:$E$3143, ISNUMBER(
Master_Mapping_Sheet!$E$2:$E$3143),
Master_Mapping_Sheet!$I$2:$I$3143=1,
Master_Mapping_Sheet!$K$2:$K$3143=VALUE(RIGHT($A2,1))))/sum(filter(
Master_Mapping_Sheet!$E$2:$E$3143, ISNUMBER(
Mast"&amp;"er_Mapping_Sheet!$E$2:$E$3143),
Master_Mapping_Sheet!$I$2:$I$3143=1))), 0, sum(filter(
Master_Mapping_Sheet!$E$2:$E$3143, ISNUMBER(
Master_Mapping_Sheet!$E$2:$E$3143),
Master_Mapping_Sheet!$I$2:$I$3143=1,
Master_Mapping_Sheet!$K$2:$K$3143=VALUE(RIGHT($A2,"&amp;"1))))/sum(filter(
Master_Mapping_Sheet!$E$2:$E$3143, ISNUMBER(
Master_Mapping_Sheet!$E$2:$E$3143),
Master_Mapping_Sheet!$I$2:$I$3143=1)))"),0.22743042318585713)</f>
        <v>0.2274304232</v>
      </c>
      <c r="C2" s="34">
        <f>IFERROR(__xludf.DUMMYFUNCTION("IF(ISNA(sum(filter(
Master_Mapping_Sheet!$E$2:$E$3143, ISNUMBER(
Master_Mapping_Sheet!$E$2:$E$3143),
Master_Mapping_Sheet!$I$2:$I$3143=2,
Master_Mapping_Sheet!$K$2:$K$3143=VALUE(RIGHT($A2,1))))/sum(filter(
Master_Mapping_Sheet!$E$2:$E$3143, ISNUMBER(
Mast"&amp;"er_Mapping_Sheet!$E$2:$E$3143),
Master_Mapping_Sheet!$I$2:$I$3143=2))), 0, sum(filter(
Master_Mapping_Sheet!$E$2:$E$3143, ISNUMBER(
Master_Mapping_Sheet!$E$2:$E$3143),
Master_Mapping_Sheet!$I$2:$I$3143=2,
Master_Mapping_Sheet!$K$2:$K$3143=VALUE(RIGHT($A2,"&amp;"1))))/sum(filter(
Master_Mapping_Sheet!$E$2:$E$3143, ISNUMBER(
Master_Mapping_Sheet!$E$2:$E$3143),
Master_Mapping_Sheet!$I$2:$I$3143=2)))"),0.05994569113140049)</f>
        <v>0.05994569113</v>
      </c>
      <c r="D2" s="34">
        <f>IFERROR(__xludf.DUMMYFUNCTION("IF(ISNA(sum(filter(
Master_Mapping_Sheet!$E$2:$E$3143, ISNUMBER(
Master_Mapping_Sheet!$E$2:$E$3143),
Master_Mapping_Sheet!$I$2:$I$3143=3,
Master_Mapping_Sheet!$K$2:$K$3143=VALUE(RIGHT($A2,1))))/sum(filter(
Master_Mapping_Sheet!$E$2:$E$3143, ISNUMBER(
Mast"&amp;"er_Mapping_Sheet!$E$2:$E$3143),
Master_Mapping_Sheet!$I$2:$I$3143=3))), 0, sum(filter(
Master_Mapping_Sheet!$E$2:$E$3143, ISNUMBER(
Master_Mapping_Sheet!$E$2:$E$3143),
Master_Mapping_Sheet!$I$2:$I$3143=3,
Master_Mapping_Sheet!$K$2:$K$3143=VALUE(RIGHT($A2,"&amp;"1))))/sum(filter(
Master_Mapping_Sheet!$E$2:$E$3143, ISNUMBER(
Master_Mapping_Sheet!$E$2:$E$3143),
Master_Mapping_Sheet!$I$2:$I$3143=3)))"),0.1536497477550553)</f>
        <v>0.1536497478</v>
      </c>
      <c r="E2" s="34">
        <f>IFERROR(__xludf.DUMMYFUNCTION("IF(ISNA(sum(filter(
Master_Mapping_Sheet!$E$2:$E$3143, ISNUMBER(
Master_Mapping_Sheet!$E$2:$E$3143),
Master_Mapping_Sheet!$I$2:$I$3143=4,
Master_Mapping_Sheet!$K$2:$K$3143=VALUE(RIGHT($A2,1))))/sum(filter(
Master_Mapping_Sheet!$E$2:$E$3143, ISNUMBER(
Mast"&amp;"er_Mapping_Sheet!$E$2:$E$3143),
Master_Mapping_Sheet!$I$2:$I$3143=4))), 0, sum(filter(
Master_Mapping_Sheet!$E$2:$E$3143, ISNUMBER(
Master_Mapping_Sheet!$E$2:$E$3143),
Master_Mapping_Sheet!$I$2:$I$3143=4,
Master_Mapping_Sheet!$K$2:$K$3143=VALUE(RIGHT($A2,"&amp;"1))))/sum(filter(
Master_Mapping_Sheet!$E$2:$E$3143, ISNUMBER(
Master_Mapping_Sheet!$E$2:$E$3143),
Master_Mapping_Sheet!$I$2:$I$3143=4)))"),0.3766653996986846)</f>
        <v>0.3766653997</v>
      </c>
      <c r="F2" s="34">
        <f>IFERROR(__xludf.DUMMYFUNCTION("IF(ISNA(sum(filter(
Master_Mapping_Sheet!$E$2:$E$3143, ISNUMBER(
Master_Mapping_Sheet!$E$2:$E$3143),
Master_Mapping_Sheet!$I$2:$I$3143=5,
Master_Mapping_Sheet!$K$2:$K$3143=VALUE(RIGHT($A2,1))))/sum(filter(
Master_Mapping_Sheet!$E$2:$E$3143, ISNUMBER(
Mast"&amp;"er_Mapping_Sheet!$E$2:$E$3143),
Master_Mapping_Sheet!$I$2:$I$3143=5))), 0, sum(filter(
Master_Mapping_Sheet!$E$2:$E$3143, ISNUMBER(
Master_Mapping_Sheet!$E$2:$E$3143),
Master_Mapping_Sheet!$I$2:$I$3143=5,
Master_Mapping_Sheet!$K$2:$K$3143=VALUE(RIGHT($A2,"&amp;"1))))/sum(filter(
Master_Mapping_Sheet!$E$2:$E$3143, ISNUMBER(
Master_Mapping_Sheet!$E$2:$E$3143),
Master_Mapping_Sheet!$I$2:$I$3143=5)))"),0.0)</f>
        <v>0</v>
      </c>
      <c r="G2" s="34">
        <f>IFERROR(__xludf.DUMMYFUNCTION("IF(ISNA(sum(filter(
Master_Mapping_Sheet!$E$2:$E$3143, ISNUMBER(
Master_Mapping_Sheet!$E$2:$E$3143),
Master_Mapping_Sheet!$I$2:$I$3143=6,
Master_Mapping_Sheet!$K$2:$K$3143=VALUE(RIGHT($A2,1))))/sum(filter(
Master_Mapping_Sheet!$E$2:$E$3143, ISNUMBER(
Mast"&amp;"er_Mapping_Sheet!$E$2:$E$3143),
Master_Mapping_Sheet!$I$2:$I$3143=6))), 0, sum(filter(
Master_Mapping_Sheet!$E$2:$E$3143, ISNUMBER(
Master_Mapping_Sheet!$E$2:$E$3143),
Master_Mapping_Sheet!$I$2:$I$3143=6,
Master_Mapping_Sheet!$K$2:$K$3143=VALUE(RIGHT($A2,"&amp;"1))))/sum(filter(
Master_Mapping_Sheet!$E$2:$E$3143, ISNUMBER(
Master_Mapping_Sheet!$E$2:$E$3143),
Master_Mapping_Sheet!$I$2:$I$3143=6)))"),0.0)</f>
        <v>0</v>
      </c>
      <c r="H2" s="34">
        <f>IFERROR(__xludf.DUMMYFUNCTION("IF(ISNA(sum(filter(
Master_Mapping_Sheet!$E$2:$E$3143, ISNUMBER(
Master_Mapping_Sheet!$E$2:$E$3143),
Master_Mapping_Sheet!$I$2:$I$3143=7,
Master_Mapping_Sheet!$K$2:$K$3143=VALUE(RIGHT($A2,1))))/sum(filter(
Master_Mapping_Sheet!$E$2:$E$3143, ISNUMBER(
Mast"&amp;"er_Mapping_Sheet!$E$2:$E$3143),
Master_Mapping_Sheet!$I$2:$I$3143=7))), 0, sum(filter(
Master_Mapping_Sheet!$E$2:$E$3143, ISNUMBER(
Master_Mapping_Sheet!$E$2:$E$3143),
Master_Mapping_Sheet!$I$2:$I$3143=7,
Master_Mapping_Sheet!$K$2:$K$3143=VALUE(RIGHT($A2,"&amp;"1))))/sum(filter(
Master_Mapping_Sheet!$E$2:$E$3143, ISNUMBER(
Master_Mapping_Sheet!$E$2:$E$3143),
Master_Mapping_Sheet!$I$2:$I$3143=7)))"),0.0)</f>
        <v>0</v>
      </c>
      <c r="I2" s="34">
        <f>IFERROR(__xludf.DUMMYFUNCTION("IF(ISNA(sum(filter(
Master_Mapping_Sheet!$E$2:$E$3143, ISNUMBER(
Master_Mapping_Sheet!$E$2:$E$3143),
Master_Mapping_Sheet!$I$2:$I$3143=8,
Master_Mapping_Sheet!$K$2:$K$3143=VALUE(RIGHT($A2,1))))/sum(filter(
Master_Mapping_Sheet!$E$2:$E$3143, ISNUMBER(
Mast"&amp;"er_Mapping_Sheet!$E$2:$E$3143),
Master_Mapping_Sheet!$I$2:$I$3143=8))), 0, sum(filter(
Master_Mapping_Sheet!$E$2:$E$3143, ISNUMBER(
Master_Mapping_Sheet!$E$2:$E$3143),
Master_Mapping_Sheet!$I$2:$I$3143=8,
Master_Mapping_Sheet!$K$2:$K$3143=VALUE(RIGHT($A2,"&amp;"1))))/sum(filter(
Master_Mapping_Sheet!$E$2:$E$3143, ISNUMBER(
Master_Mapping_Sheet!$E$2:$E$3143),
Master_Mapping_Sheet!$I$2:$I$3143=8)))"),0.1235126957716017)</f>
        <v>0.1235126958</v>
      </c>
      <c r="J2" s="34">
        <f>IFERROR(__xludf.DUMMYFUNCTION("IF(ISNA(sum(filter(
Master_Mapping_Sheet!$E$2:$E$3143, ISNUMBER(
Master_Mapping_Sheet!$E$2:$E$3143),
Master_Mapping_Sheet!$I$2:$I$3143=9,
Master_Mapping_Sheet!$K$2:$K$3143=VALUE(RIGHT($A2,1))))/sum(filter(
Master_Mapping_Sheet!$E$2:$E$3143, ISNUMBER(
Mast"&amp;"er_Mapping_Sheet!$E$2:$E$3143),
Master_Mapping_Sheet!$I$2:$I$3143=9))), 0, sum(filter(
Master_Mapping_Sheet!$E$2:$E$3143, ISNUMBER(
Master_Mapping_Sheet!$E$2:$E$3143),
Master_Mapping_Sheet!$I$2:$I$3143=9,
Master_Mapping_Sheet!$K$2:$K$3143=VALUE(RIGHT($A2,"&amp;"1))))/sum(filter(
Master_Mapping_Sheet!$E$2:$E$3143, ISNUMBER(
Master_Mapping_Sheet!$E$2:$E$3143),
Master_Mapping_Sheet!$I$2:$I$3143=9)))"),0.017479421766193867)</f>
        <v>0.01747942177</v>
      </c>
    </row>
    <row r="3" ht="15.75" customHeight="1">
      <c r="A3" s="45" t="s">
        <v>4247</v>
      </c>
      <c r="B3" s="34">
        <f>IFERROR(__xludf.DUMMYFUNCTION("IF(ISNA(sum(filter(
Master_Mapping_Sheet!$E$2:$E$3143, ISNUMBER(
Master_Mapping_Sheet!$E$2:$E$3143),
Master_Mapping_Sheet!$I$2:$I$3143=1,
Master_Mapping_Sheet!$K$2:$K$3143=VALUE(RIGHT($A3,1))))/sum(filter(
Master_Mapping_Sheet!$E$2:$E$3143, ISNUMBER(
Mast"&amp;"er_Mapping_Sheet!$E$2:$E$3143),
Master_Mapping_Sheet!$I$2:$I$3143=1))), 0, sum(filter(
Master_Mapping_Sheet!$E$2:$E$3143, ISNUMBER(
Master_Mapping_Sheet!$E$2:$E$3143),
Master_Mapping_Sheet!$I$2:$I$3143=1,
Master_Mapping_Sheet!$K$2:$K$3143=VALUE(RIGHT($A3,"&amp;"1))))/sum(filter(
Master_Mapping_Sheet!$E$2:$E$3143, ISNUMBER(
Master_Mapping_Sheet!$E$2:$E$3143),
Master_Mapping_Sheet!$I$2:$I$3143=1)))"),0.7725695768141428)</f>
        <v>0.7725695768</v>
      </c>
      <c r="C3" s="34">
        <f>IFERROR(__xludf.DUMMYFUNCTION("IF(ISNA(sum(filter(
Master_Mapping_Sheet!$E$2:$E$3143, ISNUMBER(
Master_Mapping_Sheet!$E$2:$E$3143),
Master_Mapping_Sheet!$I$2:$I$3143=2,
Master_Mapping_Sheet!$K$2:$K$3143=VALUE(RIGHT($A3,1))))/sum(filter(
Master_Mapping_Sheet!$E$2:$E$3143, ISNUMBER(
Mast"&amp;"er_Mapping_Sheet!$E$2:$E$3143),
Master_Mapping_Sheet!$I$2:$I$3143=2))), 0, sum(filter(
Master_Mapping_Sheet!$E$2:$E$3143, ISNUMBER(
Master_Mapping_Sheet!$E$2:$E$3143),
Master_Mapping_Sheet!$I$2:$I$3143=2,
Master_Mapping_Sheet!$K$2:$K$3143=VALUE(RIGHT($A3,"&amp;"1))))/sum(filter(
Master_Mapping_Sheet!$E$2:$E$3143, ISNUMBER(
Master_Mapping_Sheet!$E$2:$E$3143),
Master_Mapping_Sheet!$I$2:$I$3143=2)))"),0.3978013204940543)</f>
        <v>0.3978013205</v>
      </c>
      <c r="D3" s="34">
        <f>IFERROR(__xludf.DUMMYFUNCTION("IF(ISNA(sum(filter(
Master_Mapping_Sheet!$E$2:$E$3143, ISNUMBER(
Master_Mapping_Sheet!$E$2:$E$3143),
Master_Mapping_Sheet!$I$2:$I$3143=3,
Master_Mapping_Sheet!$K$2:$K$3143=VALUE(RIGHT($A3,1))))/sum(filter(
Master_Mapping_Sheet!$E$2:$E$3143, ISNUMBER(
Mast"&amp;"er_Mapping_Sheet!$E$2:$E$3143),
Master_Mapping_Sheet!$I$2:$I$3143=3))), 0, sum(filter(
Master_Mapping_Sheet!$E$2:$E$3143, ISNUMBER(
Master_Mapping_Sheet!$E$2:$E$3143),
Master_Mapping_Sheet!$I$2:$I$3143=3,
Master_Mapping_Sheet!$K$2:$K$3143=VALUE(RIGHT($A3,"&amp;"1))))/sum(filter(
Master_Mapping_Sheet!$E$2:$E$3143, ISNUMBER(
Master_Mapping_Sheet!$E$2:$E$3143),
Master_Mapping_Sheet!$I$2:$I$3143=3)))"),0.7572962810300988)</f>
        <v>0.757296281</v>
      </c>
      <c r="E3" s="34">
        <f>IFERROR(__xludf.DUMMYFUNCTION("IF(ISNA(sum(filter(
Master_Mapping_Sheet!$E$2:$E$3143, ISNUMBER(
Master_Mapping_Sheet!$E$2:$E$3143),
Master_Mapping_Sheet!$I$2:$I$3143=4,
Master_Mapping_Sheet!$K$2:$K$3143=VALUE(RIGHT($A3,1))))/sum(filter(
Master_Mapping_Sheet!$E$2:$E$3143, ISNUMBER(
Mast"&amp;"er_Mapping_Sheet!$E$2:$E$3143),
Master_Mapping_Sheet!$I$2:$I$3143=4))), 0, sum(filter(
Master_Mapping_Sheet!$E$2:$E$3143, ISNUMBER(
Master_Mapping_Sheet!$E$2:$E$3143),
Master_Mapping_Sheet!$I$2:$I$3143=4,
Master_Mapping_Sheet!$K$2:$K$3143=VALUE(RIGHT($A3,"&amp;"1))))/sum(filter(
Master_Mapping_Sheet!$E$2:$E$3143, ISNUMBER(
Master_Mapping_Sheet!$E$2:$E$3143),
Master_Mapping_Sheet!$I$2:$I$3143=4)))"),0.2305260649561251)</f>
        <v>0.230526065</v>
      </c>
      <c r="F3" s="34">
        <f>IFERROR(__xludf.DUMMYFUNCTION("IF(ISNA(sum(filter(
Master_Mapping_Sheet!$E$2:$E$3143, ISNUMBER(
Master_Mapping_Sheet!$E$2:$E$3143),
Master_Mapping_Sheet!$I$2:$I$3143=5,
Master_Mapping_Sheet!$K$2:$K$3143=VALUE(RIGHT($A3,1))))/sum(filter(
Master_Mapping_Sheet!$E$2:$E$3143, ISNUMBER(
Mast"&amp;"er_Mapping_Sheet!$E$2:$E$3143),
Master_Mapping_Sheet!$I$2:$I$3143=5))), 0, sum(filter(
Master_Mapping_Sheet!$E$2:$E$3143, ISNUMBER(
Master_Mapping_Sheet!$E$2:$E$3143),
Master_Mapping_Sheet!$I$2:$I$3143=5,
Master_Mapping_Sheet!$K$2:$K$3143=VALUE(RIGHT($A3,"&amp;"1))))/sum(filter(
Master_Mapping_Sheet!$E$2:$E$3143, ISNUMBER(
Master_Mapping_Sheet!$E$2:$E$3143),
Master_Mapping_Sheet!$I$2:$I$3143=5)))"),0.012584666731246263)</f>
        <v>0.01258466673</v>
      </c>
      <c r="G3" s="34">
        <f>IFERROR(__xludf.DUMMYFUNCTION("IF(ISNA(sum(filter(
Master_Mapping_Sheet!$E$2:$E$3143, ISNUMBER(
Master_Mapping_Sheet!$E$2:$E$3143),
Master_Mapping_Sheet!$I$2:$I$3143=6,
Master_Mapping_Sheet!$K$2:$K$3143=VALUE(RIGHT($A3,1))))/sum(filter(
Master_Mapping_Sheet!$E$2:$E$3143, ISNUMBER(
Mast"&amp;"er_Mapping_Sheet!$E$2:$E$3143),
Master_Mapping_Sheet!$I$2:$I$3143=6))), 0, sum(filter(
Master_Mapping_Sheet!$E$2:$E$3143, ISNUMBER(
Master_Mapping_Sheet!$E$2:$E$3143),
Master_Mapping_Sheet!$I$2:$I$3143=6,
Master_Mapping_Sheet!$K$2:$K$3143=VALUE(RIGHT($A3,"&amp;"1))))/sum(filter(
Master_Mapping_Sheet!$E$2:$E$3143, ISNUMBER(
Master_Mapping_Sheet!$E$2:$E$3143),
Master_Mapping_Sheet!$I$2:$I$3143=6)))"),0.0)</f>
        <v>0</v>
      </c>
      <c r="H3" s="34">
        <f>IFERROR(__xludf.DUMMYFUNCTION("IF(ISNA(sum(filter(
Master_Mapping_Sheet!$E$2:$E$3143, ISNUMBER(
Master_Mapping_Sheet!$E$2:$E$3143),
Master_Mapping_Sheet!$I$2:$I$3143=7,
Master_Mapping_Sheet!$K$2:$K$3143=VALUE(RIGHT($A3,1))))/sum(filter(
Master_Mapping_Sheet!$E$2:$E$3143, ISNUMBER(
Mast"&amp;"er_Mapping_Sheet!$E$2:$E$3143),
Master_Mapping_Sheet!$I$2:$I$3143=7))), 0, sum(filter(
Master_Mapping_Sheet!$E$2:$E$3143, ISNUMBER(
Master_Mapping_Sheet!$E$2:$E$3143),
Master_Mapping_Sheet!$I$2:$I$3143=7,
Master_Mapping_Sheet!$K$2:$K$3143=VALUE(RIGHT($A3,"&amp;"1))))/sum(filter(
Master_Mapping_Sheet!$E$2:$E$3143, ISNUMBER(
Master_Mapping_Sheet!$E$2:$E$3143),
Master_Mapping_Sheet!$I$2:$I$3143=7)))"),0.0)</f>
        <v>0</v>
      </c>
      <c r="I3" s="34">
        <f>IFERROR(__xludf.DUMMYFUNCTION("IF(ISNA(sum(filter(
Master_Mapping_Sheet!$E$2:$E$3143, ISNUMBER(
Master_Mapping_Sheet!$E$2:$E$3143),
Master_Mapping_Sheet!$I$2:$I$3143=8,
Master_Mapping_Sheet!$K$2:$K$3143=VALUE(RIGHT($A3,1))))/sum(filter(
Master_Mapping_Sheet!$E$2:$E$3143, ISNUMBER(
Mast"&amp;"er_Mapping_Sheet!$E$2:$E$3143),
Master_Mapping_Sheet!$I$2:$I$3143=8))), 0, sum(filter(
Master_Mapping_Sheet!$E$2:$E$3143, ISNUMBER(
Master_Mapping_Sheet!$E$2:$E$3143),
Master_Mapping_Sheet!$I$2:$I$3143=8,
Master_Mapping_Sheet!$K$2:$K$3143=VALUE(RIGHT($A3,"&amp;"1))))/sum(filter(
Master_Mapping_Sheet!$E$2:$E$3143, ISNUMBER(
Master_Mapping_Sheet!$E$2:$E$3143),
Master_Mapping_Sheet!$I$2:$I$3143=8)))"),0.4265928576733602)</f>
        <v>0.4265928577</v>
      </c>
      <c r="J3" s="34">
        <f>IFERROR(__xludf.DUMMYFUNCTION("IF(ISNA(sum(filter(
Master_Mapping_Sheet!$E$2:$E$3143, ISNUMBER(
Master_Mapping_Sheet!$E$2:$E$3143),
Master_Mapping_Sheet!$I$2:$I$3143=9,
Master_Mapping_Sheet!$K$2:$K$3143=VALUE(RIGHT($A3,1))))/sum(filter(
Master_Mapping_Sheet!$E$2:$E$3143, ISNUMBER(
Mast"&amp;"er_Mapping_Sheet!$E$2:$E$3143),
Master_Mapping_Sheet!$I$2:$I$3143=9))), 0, sum(filter(
Master_Mapping_Sheet!$E$2:$E$3143, ISNUMBER(
Master_Mapping_Sheet!$E$2:$E$3143),
Master_Mapping_Sheet!$I$2:$I$3143=9,
Master_Mapping_Sheet!$K$2:$K$3143=VALUE(RIGHT($A3,"&amp;"1))))/sum(filter(
Master_Mapping_Sheet!$E$2:$E$3143, ISNUMBER(
Master_Mapping_Sheet!$E$2:$E$3143),
Master_Mapping_Sheet!$I$2:$I$3143=9)))"),0.04139887198382752)</f>
        <v>0.04139887198</v>
      </c>
    </row>
    <row r="4" ht="15.75" customHeight="1">
      <c r="A4" s="45" t="s">
        <v>4248</v>
      </c>
      <c r="B4" s="34">
        <f>IFERROR(__xludf.DUMMYFUNCTION("IF(ISNA(sum(filter(
Master_Mapping_Sheet!$E$2:$E$3143, ISNUMBER(
Master_Mapping_Sheet!$E$2:$E$3143),
Master_Mapping_Sheet!$I$2:$I$3143=1,
Master_Mapping_Sheet!$K$2:$K$3143=VALUE(RIGHT($A4,1))))/sum(filter(
Master_Mapping_Sheet!$E$2:$E$3143, ISNUMBER(
Mast"&amp;"er_Mapping_Sheet!$E$2:$E$3143),
Master_Mapping_Sheet!$I$2:$I$3143=1))), 0, sum(filter(
Master_Mapping_Sheet!$E$2:$E$3143, ISNUMBER(
Master_Mapping_Sheet!$E$2:$E$3143),
Master_Mapping_Sheet!$I$2:$I$3143=1,
Master_Mapping_Sheet!$K$2:$K$3143=VALUE(RIGHT($A4,"&amp;"1))))/sum(filter(
Master_Mapping_Sheet!$E$2:$E$3143, ISNUMBER(
Master_Mapping_Sheet!$E$2:$E$3143),
Master_Mapping_Sheet!$I$2:$I$3143=1)))"),0.0)</f>
        <v>0</v>
      </c>
      <c r="C4" s="34">
        <f>IFERROR(__xludf.DUMMYFUNCTION("IF(ISNA(sum(filter(
Master_Mapping_Sheet!$E$2:$E$3143, ISNUMBER(
Master_Mapping_Sheet!$E$2:$E$3143),
Master_Mapping_Sheet!$I$2:$I$3143=2,
Master_Mapping_Sheet!$K$2:$K$3143=VALUE(RIGHT($A4,1))))/sum(filter(
Master_Mapping_Sheet!$E$2:$E$3143, ISNUMBER(
Mast"&amp;"er_Mapping_Sheet!$E$2:$E$3143),
Master_Mapping_Sheet!$I$2:$I$3143=2))), 0, sum(filter(
Master_Mapping_Sheet!$E$2:$E$3143, ISNUMBER(
Master_Mapping_Sheet!$E$2:$E$3143),
Master_Mapping_Sheet!$I$2:$I$3143=2,
Master_Mapping_Sheet!$K$2:$K$3143=VALUE(RIGHT($A4,"&amp;"1))))/sum(filter(
Master_Mapping_Sheet!$E$2:$E$3143, ISNUMBER(
Master_Mapping_Sheet!$E$2:$E$3143),
Master_Mapping_Sheet!$I$2:$I$3143=2)))"),0.5422529883745452)</f>
        <v>0.5422529884</v>
      </c>
      <c r="D4" s="34">
        <f>IFERROR(__xludf.DUMMYFUNCTION("IF(ISNA(sum(filter(
Master_Mapping_Sheet!$E$2:$E$3143, ISNUMBER(
Master_Mapping_Sheet!$E$2:$E$3143),
Master_Mapping_Sheet!$I$2:$I$3143=3,
Master_Mapping_Sheet!$K$2:$K$3143=VALUE(RIGHT($A4,1))))/sum(filter(
Master_Mapping_Sheet!$E$2:$E$3143, ISNUMBER(
Mast"&amp;"er_Mapping_Sheet!$E$2:$E$3143),
Master_Mapping_Sheet!$I$2:$I$3143=3))), 0, sum(filter(
Master_Mapping_Sheet!$E$2:$E$3143, ISNUMBER(
Master_Mapping_Sheet!$E$2:$E$3143),
Master_Mapping_Sheet!$I$2:$I$3143=3,
Master_Mapping_Sheet!$K$2:$K$3143=VALUE(RIGHT($A4,"&amp;"1))))/sum(filter(
Master_Mapping_Sheet!$E$2:$E$3143, ISNUMBER(
Master_Mapping_Sheet!$E$2:$E$3143),
Master_Mapping_Sheet!$I$2:$I$3143=3)))"),0.08905397121484586)</f>
        <v>0.08905397121</v>
      </c>
      <c r="E4" s="34">
        <f>IFERROR(__xludf.DUMMYFUNCTION("IF(ISNA(sum(filter(
Master_Mapping_Sheet!$E$2:$E$3143, ISNUMBER(
Master_Mapping_Sheet!$E$2:$E$3143),
Master_Mapping_Sheet!$I$2:$I$3143=4,
Master_Mapping_Sheet!$K$2:$K$3143=VALUE(RIGHT($A4,1))))/sum(filter(
Master_Mapping_Sheet!$E$2:$E$3143, ISNUMBER(
Mast"&amp;"er_Mapping_Sheet!$E$2:$E$3143),
Master_Mapping_Sheet!$I$2:$I$3143=4))), 0, sum(filter(
Master_Mapping_Sheet!$E$2:$E$3143, ISNUMBER(
Master_Mapping_Sheet!$E$2:$E$3143),
Master_Mapping_Sheet!$I$2:$I$3143=4,
Master_Mapping_Sheet!$K$2:$K$3143=VALUE(RIGHT($A4,"&amp;"1))))/sum(filter(
Master_Mapping_Sheet!$E$2:$E$3143, ISNUMBER(
Master_Mapping_Sheet!$E$2:$E$3143),
Master_Mapping_Sheet!$I$2:$I$3143=4)))"),0.3928085353451903)</f>
        <v>0.3928085353</v>
      </c>
      <c r="F4" s="34">
        <f>IFERROR(__xludf.DUMMYFUNCTION("IF(ISNA(sum(filter(
Master_Mapping_Sheet!$E$2:$E$3143, ISNUMBER(
Master_Mapping_Sheet!$E$2:$E$3143),
Master_Mapping_Sheet!$I$2:$I$3143=5,
Master_Mapping_Sheet!$K$2:$K$3143=VALUE(RIGHT($A4,1))))/sum(filter(
Master_Mapping_Sheet!$E$2:$E$3143, ISNUMBER(
Mast"&amp;"er_Mapping_Sheet!$E$2:$E$3143),
Master_Mapping_Sheet!$I$2:$I$3143=5))), 0, sum(filter(
Master_Mapping_Sheet!$E$2:$E$3143, ISNUMBER(
Master_Mapping_Sheet!$E$2:$E$3143),
Master_Mapping_Sheet!$I$2:$I$3143=5,
Master_Mapping_Sheet!$K$2:$K$3143=VALUE(RIGHT($A4,"&amp;"1))))/sum(filter(
Master_Mapping_Sheet!$E$2:$E$3143, ISNUMBER(
Master_Mapping_Sheet!$E$2:$E$3143),
Master_Mapping_Sheet!$I$2:$I$3143=5)))"),0.22673214797381222)</f>
        <v>0.226732148</v>
      </c>
      <c r="G4" s="34">
        <f>IFERROR(__xludf.DUMMYFUNCTION("IF(ISNA(sum(filter(
Master_Mapping_Sheet!$E$2:$E$3143, ISNUMBER(
Master_Mapping_Sheet!$E$2:$E$3143),
Master_Mapping_Sheet!$I$2:$I$3143=6,
Master_Mapping_Sheet!$K$2:$K$3143=VALUE(RIGHT($A4,1))))/sum(filter(
Master_Mapping_Sheet!$E$2:$E$3143, ISNUMBER(
Mast"&amp;"er_Mapping_Sheet!$E$2:$E$3143),
Master_Mapping_Sheet!$I$2:$I$3143=6))), 0, sum(filter(
Master_Mapping_Sheet!$E$2:$E$3143, ISNUMBER(
Master_Mapping_Sheet!$E$2:$E$3143),
Master_Mapping_Sheet!$I$2:$I$3143=6,
Master_Mapping_Sheet!$K$2:$K$3143=VALUE(RIGHT($A4,"&amp;"1))))/sum(filter(
Master_Mapping_Sheet!$E$2:$E$3143, ISNUMBER(
Master_Mapping_Sheet!$E$2:$E$3143),
Master_Mapping_Sheet!$I$2:$I$3143=6)))"),0.36474933176574903)</f>
        <v>0.3647493318</v>
      </c>
      <c r="H4" s="34">
        <f>IFERROR(__xludf.DUMMYFUNCTION("IF(ISNA(sum(filter(
Master_Mapping_Sheet!$E$2:$E$3143, ISNUMBER(
Master_Mapping_Sheet!$E$2:$E$3143),
Master_Mapping_Sheet!$I$2:$I$3143=7,
Master_Mapping_Sheet!$K$2:$K$3143=VALUE(RIGHT($A4,1))))/sum(filter(
Master_Mapping_Sheet!$E$2:$E$3143, ISNUMBER(
Mast"&amp;"er_Mapping_Sheet!$E$2:$E$3143),
Master_Mapping_Sheet!$I$2:$I$3143=7))), 0, sum(filter(
Master_Mapping_Sheet!$E$2:$E$3143, ISNUMBER(
Master_Mapping_Sheet!$E$2:$E$3143),
Master_Mapping_Sheet!$I$2:$I$3143=7,
Master_Mapping_Sheet!$K$2:$K$3143=VALUE(RIGHT($A4,"&amp;"1))))/sum(filter(
Master_Mapping_Sheet!$E$2:$E$3143, ISNUMBER(
Master_Mapping_Sheet!$E$2:$E$3143),
Master_Mapping_Sheet!$I$2:$I$3143=7)))"),0.0354202695700422)</f>
        <v>0.03542026957</v>
      </c>
      <c r="I4" s="34">
        <f>IFERROR(__xludf.DUMMYFUNCTION("IF(ISNA(sum(filter(
Master_Mapping_Sheet!$E$2:$E$3143, ISNUMBER(
Master_Mapping_Sheet!$E$2:$E$3143),
Master_Mapping_Sheet!$I$2:$I$3143=8,
Master_Mapping_Sheet!$K$2:$K$3143=VALUE(RIGHT($A4,1))))/sum(filter(
Master_Mapping_Sheet!$E$2:$E$3143, ISNUMBER(
Mast"&amp;"er_Mapping_Sheet!$E$2:$E$3143),
Master_Mapping_Sheet!$I$2:$I$3143=8))), 0, sum(filter(
Master_Mapping_Sheet!$E$2:$E$3143, ISNUMBER(
Master_Mapping_Sheet!$E$2:$E$3143),
Master_Mapping_Sheet!$I$2:$I$3143=8,
Master_Mapping_Sheet!$K$2:$K$3143=VALUE(RIGHT($A4,"&amp;"1))))/sum(filter(
Master_Mapping_Sheet!$E$2:$E$3143, ISNUMBER(
Master_Mapping_Sheet!$E$2:$E$3143),
Master_Mapping_Sheet!$I$2:$I$3143=8)))"),0.06040736747102967)</f>
        <v>0.06040736747</v>
      </c>
      <c r="J4" s="34">
        <f>IFERROR(__xludf.DUMMYFUNCTION("IF(ISNA(sum(filter(
Master_Mapping_Sheet!$E$2:$E$3143, ISNUMBER(
Master_Mapping_Sheet!$E$2:$E$3143),
Master_Mapping_Sheet!$I$2:$I$3143=9,
Master_Mapping_Sheet!$K$2:$K$3143=VALUE(RIGHT($A4,1))))/sum(filter(
Master_Mapping_Sheet!$E$2:$E$3143, ISNUMBER(
Mast"&amp;"er_Mapping_Sheet!$E$2:$E$3143),
Master_Mapping_Sheet!$I$2:$I$3143=9))), 0, sum(filter(
Master_Mapping_Sheet!$E$2:$E$3143, ISNUMBER(
Master_Mapping_Sheet!$E$2:$E$3143),
Master_Mapping_Sheet!$I$2:$I$3143=9,
Master_Mapping_Sheet!$K$2:$K$3143=VALUE(RIGHT($A4,"&amp;"1))))/sum(filter(
Master_Mapping_Sheet!$E$2:$E$3143, ISNUMBER(
Master_Mapping_Sheet!$E$2:$E$3143),
Master_Mapping_Sheet!$I$2:$I$3143=9)))"),0.18920521490385792)</f>
        <v>0.1892052149</v>
      </c>
    </row>
    <row r="5" ht="15.75" customHeight="1">
      <c r="A5" s="45" t="s">
        <v>4249</v>
      </c>
      <c r="B5" s="34">
        <f>IFERROR(__xludf.DUMMYFUNCTION("IF(ISNA(sum(filter(
Master_Mapping_Sheet!$E$2:$E$3143, ISNUMBER(
Master_Mapping_Sheet!$E$2:$E$3143),
Master_Mapping_Sheet!$I$2:$I$3143=1,
Master_Mapping_Sheet!$K$2:$K$3143=VALUE(RIGHT($A5,1))))/sum(filter(
Master_Mapping_Sheet!$E$2:$E$3143, ISNUMBER(
Mast"&amp;"er_Mapping_Sheet!$E$2:$E$3143),
Master_Mapping_Sheet!$I$2:$I$3143=1))), 0, sum(filter(
Master_Mapping_Sheet!$E$2:$E$3143, ISNUMBER(
Master_Mapping_Sheet!$E$2:$E$3143),
Master_Mapping_Sheet!$I$2:$I$3143=1,
Master_Mapping_Sheet!$K$2:$K$3143=VALUE(RIGHT($A5,"&amp;"1))))/sum(filter(
Master_Mapping_Sheet!$E$2:$E$3143, ISNUMBER(
Master_Mapping_Sheet!$E$2:$E$3143),
Master_Mapping_Sheet!$I$2:$I$3143=1)))"),0.0)</f>
        <v>0</v>
      </c>
      <c r="C5" s="34">
        <f>IFERROR(__xludf.DUMMYFUNCTION("IF(ISNA(sum(filter(
Master_Mapping_Sheet!$E$2:$E$3143, ISNUMBER(
Master_Mapping_Sheet!$E$2:$E$3143),
Master_Mapping_Sheet!$I$2:$I$3143=2,
Master_Mapping_Sheet!$K$2:$K$3143=VALUE(RIGHT($A5,1))))/sum(filter(
Master_Mapping_Sheet!$E$2:$E$3143, ISNUMBER(
Mast"&amp;"er_Mapping_Sheet!$E$2:$E$3143),
Master_Mapping_Sheet!$I$2:$I$3143=2))), 0, sum(filter(
Master_Mapping_Sheet!$E$2:$E$3143, ISNUMBER(
Master_Mapping_Sheet!$E$2:$E$3143),
Master_Mapping_Sheet!$I$2:$I$3143=2,
Master_Mapping_Sheet!$K$2:$K$3143=VALUE(RIGHT($A5,"&amp;"1))))/sum(filter(
Master_Mapping_Sheet!$E$2:$E$3143, ISNUMBER(
Master_Mapping_Sheet!$E$2:$E$3143),
Master_Mapping_Sheet!$I$2:$I$3143=2)))"),0.0)</f>
        <v>0</v>
      </c>
      <c r="D5" s="34">
        <f>IFERROR(__xludf.DUMMYFUNCTION("IF(ISNA(sum(filter(
Master_Mapping_Sheet!$E$2:$E$3143, ISNUMBER(
Master_Mapping_Sheet!$E$2:$E$3143),
Master_Mapping_Sheet!$I$2:$I$3143=3,
Master_Mapping_Sheet!$K$2:$K$3143=VALUE(RIGHT($A5,1))))/sum(filter(
Master_Mapping_Sheet!$E$2:$E$3143, ISNUMBER(
Mast"&amp;"er_Mapping_Sheet!$E$2:$E$3143),
Master_Mapping_Sheet!$I$2:$I$3143=3))), 0, sum(filter(
Master_Mapping_Sheet!$E$2:$E$3143, ISNUMBER(
Master_Mapping_Sheet!$E$2:$E$3143),
Master_Mapping_Sheet!$I$2:$I$3143=3,
Master_Mapping_Sheet!$K$2:$K$3143=VALUE(RIGHT($A5,"&amp;"1))))/sum(filter(
Master_Mapping_Sheet!$E$2:$E$3143, ISNUMBER(
Master_Mapping_Sheet!$E$2:$E$3143),
Master_Mapping_Sheet!$I$2:$I$3143=3)))"),0.0)</f>
        <v>0</v>
      </c>
      <c r="E5" s="34">
        <f>IFERROR(__xludf.DUMMYFUNCTION("IF(ISNA(sum(filter(
Master_Mapping_Sheet!$E$2:$E$3143, ISNUMBER(
Master_Mapping_Sheet!$E$2:$E$3143),
Master_Mapping_Sheet!$I$2:$I$3143=4,
Master_Mapping_Sheet!$K$2:$K$3143=VALUE(RIGHT($A5,1))))/sum(filter(
Master_Mapping_Sheet!$E$2:$E$3143, ISNUMBER(
Mast"&amp;"er_Mapping_Sheet!$E$2:$E$3143),
Master_Mapping_Sheet!$I$2:$I$3143=4))), 0, sum(filter(
Master_Mapping_Sheet!$E$2:$E$3143, ISNUMBER(
Master_Mapping_Sheet!$E$2:$E$3143),
Master_Mapping_Sheet!$I$2:$I$3143=4,
Master_Mapping_Sheet!$K$2:$K$3143=VALUE(RIGHT($A5,"&amp;"1))))/sum(filter(
Master_Mapping_Sheet!$E$2:$E$3143, ISNUMBER(
Master_Mapping_Sheet!$E$2:$E$3143),
Master_Mapping_Sheet!$I$2:$I$3143=4)))"),0.0)</f>
        <v>0</v>
      </c>
      <c r="F5" s="34">
        <f>IFERROR(__xludf.DUMMYFUNCTION("IF(ISNA(sum(filter(
Master_Mapping_Sheet!$E$2:$E$3143, ISNUMBER(
Master_Mapping_Sheet!$E$2:$E$3143),
Master_Mapping_Sheet!$I$2:$I$3143=5,
Master_Mapping_Sheet!$K$2:$K$3143=VALUE(RIGHT($A5,1))))/sum(filter(
Master_Mapping_Sheet!$E$2:$E$3143, ISNUMBER(
Mast"&amp;"er_Mapping_Sheet!$E$2:$E$3143),
Master_Mapping_Sheet!$I$2:$I$3143=5))), 0, sum(filter(
Master_Mapping_Sheet!$E$2:$E$3143, ISNUMBER(
Master_Mapping_Sheet!$E$2:$E$3143),
Master_Mapping_Sheet!$I$2:$I$3143=5,
Master_Mapping_Sheet!$K$2:$K$3143=VALUE(RIGHT($A5,"&amp;"1))))/sum(filter(
Master_Mapping_Sheet!$E$2:$E$3143, ISNUMBER(
Master_Mapping_Sheet!$E$2:$E$3143),
Master_Mapping_Sheet!$I$2:$I$3143=5)))"),0.3695539565240951)</f>
        <v>0.3695539565</v>
      </c>
      <c r="G5" s="34">
        <f>IFERROR(__xludf.DUMMYFUNCTION("IF(ISNA(sum(filter(
Master_Mapping_Sheet!$E$2:$E$3143, ISNUMBER(
Master_Mapping_Sheet!$E$2:$E$3143),
Master_Mapping_Sheet!$I$2:$I$3143=6,
Master_Mapping_Sheet!$K$2:$K$3143=VALUE(RIGHT($A5,1))))/sum(filter(
Master_Mapping_Sheet!$E$2:$E$3143, ISNUMBER(
Mast"&amp;"er_Mapping_Sheet!$E$2:$E$3143),
Master_Mapping_Sheet!$I$2:$I$3143=6))), 0, sum(filter(
Master_Mapping_Sheet!$E$2:$E$3143, ISNUMBER(
Master_Mapping_Sheet!$E$2:$E$3143),
Master_Mapping_Sheet!$I$2:$I$3143=6,
Master_Mapping_Sheet!$K$2:$K$3143=VALUE(RIGHT($A5,"&amp;"1))))/sum(filter(
Master_Mapping_Sheet!$E$2:$E$3143, ISNUMBER(
Master_Mapping_Sheet!$E$2:$E$3143),
Master_Mapping_Sheet!$I$2:$I$3143=6)))"),0.4074910964280082)</f>
        <v>0.4074910964</v>
      </c>
      <c r="H5" s="34">
        <f>IFERROR(__xludf.DUMMYFUNCTION("IF(ISNA(sum(filter(
Master_Mapping_Sheet!$E$2:$E$3143, ISNUMBER(
Master_Mapping_Sheet!$E$2:$E$3143),
Master_Mapping_Sheet!$I$2:$I$3143=7,
Master_Mapping_Sheet!$K$2:$K$3143=VALUE(RIGHT($A5,1))))/sum(filter(
Master_Mapping_Sheet!$E$2:$E$3143, ISNUMBER(
Mast"&amp;"er_Mapping_Sheet!$E$2:$E$3143),
Master_Mapping_Sheet!$I$2:$I$3143=7))), 0, sum(filter(
Master_Mapping_Sheet!$E$2:$E$3143, ISNUMBER(
Master_Mapping_Sheet!$E$2:$E$3143),
Master_Mapping_Sheet!$I$2:$I$3143=7,
Master_Mapping_Sheet!$K$2:$K$3143=VALUE(RIGHT($A5,"&amp;"1))))/sum(filter(
Master_Mapping_Sheet!$E$2:$E$3143, ISNUMBER(
Master_Mapping_Sheet!$E$2:$E$3143),
Master_Mapping_Sheet!$I$2:$I$3143=7)))"),0.13352713594377977)</f>
        <v>0.1335271359</v>
      </c>
      <c r="I5" s="34">
        <f>IFERROR(__xludf.DUMMYFUNCTION("IF(ISNA(sum(filter(
Master_Mapping_Sheet!$E$2:$E$3143, ISNUMBER(
Master_Mapping_Sheet!$E$2:$E$3143),
Master_Mapping_Sheet!$I$2:$I$3143=8,
Master_Mapping_Sheet!$K$2:$K$3143=VALUE(RIGHT($A5,1))))/sum(filter(
Master_Mapping_Sheet!$E$2:$E$3143, ISNUMBER(
Mast"&amp;"er_Mapping_Sheet!$E$2:$E$3143),
Master_Mapping_Sheet!$I$2:$I$3143=8))), 0, sum(filter(
Master_Mapping_Sheet!$E$2:$E$3143, ISNUMBER(
Master_Mapping_Sheet!$E$2:$E$3143),
Master_Mapping_Sheet!$I$2:$I$3143=8,
Master_Mapping_Sheet!$K$2:$K$3143=VALUE(RIGHT($A5,"&amp;"1))))/sum(filter(
Master_Mapping_Sheet!$E$2:$E$3143, ISNUMBER(
Master_Mapping_Sheet!$E$2:$E$3143),
Master_Mapping_Sheet!$I$2:$I$3143=8)))"),0.03055777092277703)</f>
        <v>0.03055777092</v>
      </c>
      <c r="J5" s="34">
        <f>IFERROR(__xludf.DUMMYFUNCTION("IF(ISNA(sum(filter(
Master_Mapping_Sheet!$E$2:$E$3143, ISNUMBER(
Master_Mapping_Sheet!$E$2:$E$3143),
Master_Mapping_Sheet!$I$2:$I$3143=9,
Master_Mapping_Sheet!$K$2:$K$3143=VALUE(RIGHT($A5,1))))/sum(filter(
Master_Mapping_Sheet!$E$2:$E$3143, ISNUMBER(
Mast"&amp;"er_Mapping_Sheet!$E$2:$E$3143),
Master_Mapping_Sheet!$I$2:$I$3143=9))), 0, sum(filter(
Master_Mapping_Sheet!$E$2:$E$3143, ISNUMBER(
Master_Mapping_Sheet!$E$2:$E$3143),
Master_Mapping_Sheet!$I$2:$I$3143=9,
Master_Mapping_Sheet!$K$2:$K$3143=VALUE(RIGHT($A5,"&amp;"1))))/sum(filter(
Master_Mapping_Sheet!$E$2:$E$3143, ISNUMBER(
Master_Mapping_Sheet!$E$2:$E$3143),
Master_Mapping_Sheet!$I$2:$I$3143=9)))"),0.7043793035895968)</f>
        <v>0.7043793036</v>
      </c>
    </row>
    <row r="6" ht="15.75" customHeight="1">
      <c r="A6" s="45" t="s">
        <v>4250</v>
      </c>
      <c r="B6" s="34">
        <f>IFERROR(__xludf.DUMMYFUNCTION("IF(ISNA(sum(filter(
Master_Mapping_Sheet!$E$2:$E$3143, ISNUMBER(
Master_Mapping_Sheet!$E$2:$E$3143),
Master_Mapping_Sheet!$I$2:$I$3143=1,
Master_Mapping_Sheet!$K$2:$K$3143=VALUE(RIGHT($A6,1))))/sum(filter(
Master_Mapping_Sheet!$E$2:$E$3143, ISNUMBER(
Mast"&amp;"er_Mapping_Sheet!$E$2:$E$3143),
Master_Mapping_Sheet!$I$2:$I$3143=1))), 0, sum(filter(
Master_Mapping_Sheet!$E$2:$E$3143, ISNUMBER(
Master_Mapping_Sheet!$E$2:$E$3143),
Master_Mapping_Sheet!$I$2:$I$3143=1,
Master_Mapping_Sheet!$K$2:$K$3143=VALUE(RIGHT($A6,"&amp;"1))))/sum(filter(
Master_Mapping_Sheet!$E$2:$E$3143, ISNUMBER(
Master_Mapping_Sheet!$E$2:$E$3143),
Master_Mapping_Sheet!$I$2:$I$3143=1)))"),0.0)</f>
        <v>0</v>
      </c>
      <c r="C6" s="34">
        <f>IFERROR(__xludf.DUMMYFUNCTION("IF(ISNA(sum(filter(
Master_Mapping_Sheet!$E$2:$E$3143, ISNUMBER(
Master_Mapping_Sheet!$E$2:$E$3143),
Master_Mapping_Sheet!$I$2:$I$3143=2,
Master_Mapping_Sheet!$K$2:$K$3143=VALUE(RIGHT($A6,1))))/sum(filter(
Master_Mapping_Sheet!$E$2:$E$3143, ISNUMBER(
Mast"&amp;"er_Mapping_Sheet!$E$2:$E$3143),
Master_Mapping_Sheet!$I$2:$I$3143=2))), 0, sum(filter(
Master_Mapping_Sheet!$E$2:$E$3143, ISNUMBER(
Master_Mapping_Sheet!$E$2:$E$3143),
Master_Mapping_Sheet!$I$2:$I$3143=2,
Master_Mapping_Sheet!$K$2:$K$3143=VALUE(RIGHT($A6,"&amp;"1))))/sum(filter(
Master_Mapping_Sheet!$E$2:$E$3143, ISNUMBER(
Master_Mapping_Sheet!$E$2:$E$3143),
Master_Mapping_Sheet!$I$2:$I$3143=2)))"),0.0)</f>
        <v>0</v>
      </c>
      <c r="D6" s="34">
        <f>IFERROR(__xludf.DUMMYFUNCTION("IF(ISNA(sum(filter(
Master_Mapping_Sheet!$E$2:$E$3143, ISNUMBER(
Master_Mapping_Sheet!$E$2:$E$3143),
Master_Mapping_Sheet!$I$2:$I$3143=3,
Master_Mapping_Sheet!$K$2:$K$3143=VALUE(RIGHT($A6,1))))/sum(filter(
Master_Mapping_Sheet!$E$2:$E$3143, ISNUMBER(
Mast"&amp;"er_Mapping_Sheet!$E$2:$E$3143),
Master_Mapping_Sheet!$I$2:$I$3143=3))), 0, sum(filter(
Master_Mapping_Sheet!$E$2:$E$3143, ISNUMBER(
Master_Mapping_Sheet!$E$2:$E$3143),
Master_Mapping_Sheet!$I$2:$I$3143=3,
Master_Mapping_Sheet!$K$2:$K$3143=VALUE(RIGHT($A6,"&amp;"1))))/sum(filter(
Master_Mapping_Sheet!$E$2:$E$3143, ISNUMBER(
Master_Mapping_Sheet!$E$2:$E$3143),
Master_Mapping_Sheet!$I$2:$I$3143=3)))"),0.0)</f>
        <v>0</v>
      </c>
      <c r="E6" s="34">
        <f>IFERROR(__xludf.DUMMYFUNCTION("IF(ISNA(sum(filter(
Master_Mapping_Sheet!$E$2:$E$3143, ISNUMBER(
Master_Mapping_Sheet!$E$2:$E$3143),
Master_Mapping_Sheet!$I$2:$I$3143=4,
Master_Mapping_Sheet!$K$2:$K$3143=VALUE(RIGHT($A6,1))))/sum(filter(
Master_Mapping_Sheet!$E$2:$E$3143, ISNUMBER(
Mast"&amp;"er_Mapping_Sheet!$E$2:$E$3143),
Master_Mapping_Sheet!$I$2:$I$3143=4))), 0, sum(filter(
Master_Mapping_Sheet!$E$2:$E$3143, ISNUMBER(
Master_Mapping_Sheet!$E$2:$E$3143),
Master_Mapping_Sheet!$I$2:$I$3143=4,
Master_Mapping_Sheet!$K$2:$K$3143=VALUE(RIGHT($A6,"&amp;"1))))/sum(filter(
Master_Mapping_Sheet!$E$2:$E$3143, ISNUMBER(
Master_Mapping_Sheet!$E$2:$E$3143),
Master_Mapping_Sheet!$I$2:$I$3143=4)))"),0.0)</f>
        <v>0</v>
      </c>
      <c r="F6" s="34">
        <f>IFERROR(__xludf.DUMMYFUNCTION("IF(ISNA(sum(filter(
Master_Mapping_Sheet!$E$2:$E$3143, ISNUMBER(
Master_Mapping_Sheet!$E$2:$E$3143),
Master_Mapping_Sheet!$I$2:$I$3143=5,
Master_Mapping_Sheet!$K$2:$K$3143=VALUE(RIGHT($A6,1))))/sum(filter(
Master_Mapping_Sheet!$E$2:$E$3143, ISNUMBER(
Mast"&amp;"er_Mapping_Sheet!$E$2:$E$3143),
Master_Mapping_Sheet!$I$2:$I$3143=5))), 0, sum(filter(
Master_Mapping_Sheet!$E$2:$E$3143, ISNUMBER(
Master_Mapping_Sheet!$E$2:$E$3143),
Master_Mapping_Sheet!$I$2:$I$3143=5,
Master_Mapping_Sheet!$K$2:$K$3143=VALUE(RIGHT($A6,"&amp;"1))))/sum(filter(
Master_Mapping_Sheet!$E$2:$E$3143, ISNUMBER(
Master_Mapping_Sheet!$E$2:$E$3143),
Master_Mapping_Sheet!$I$2:$I$3143=5)))"),0.3911292287708464)</f>
        <v>0.3911292288</v>
      </c>
      <c r="G6" s="34">
        <f>IFERROR(__xludf.DUMMYFUNCTION("IF(ISNA(sum(filter(
Master_Mapping_Sheet!$E$2:$E$3143, ISNUMBER(
Master_Mapping_Sheet!$E$2:$E$3143),
Master_Mapping_Sheet!$I$2:$I$3143=6,
Master_Mapping_Sheet!$K$2:$K$3143=VALUE(RIGHT($A6,1))))/sum(filter(
Master_Mapping_Sheet!$E$2:$E$3143, ISNUMBER(
Mast"&amp;"er_Mapping_Sheet!$E$2:$E$3143),
Master_Mapping_Sheet!$I$2:$I$3143=6))), 0, sum(filter(
Master_Mapping_Sheet!$E$2:$E$3143, ISNUMBER(
Master_Mapping_Sheet!$E$2:$E$3143),
Master_Mapping_Sheet!$I$2:$I$3143=6,
Master_Mapping_Sheet!$K$2:$K$3143=VALUE(RIGHT($A6,"&amp;"1))))/sum(filter(
Master_Mapping_Sheet!$E$2:$E$3143, ISNUMBER(
Master_Mapping_Sheet!$E$2:$E$3143),
Master_Mapping_Sheet!$I$2:$I$3143=6)))"),0.2277595718062428)</f>
        <v>0.2277595718</v>
      </c>
      <c r="H6" s="34">
        <f>IFERROR(__xludf.DUMMYFUNCTION("IF(ISNA(sum(filter(
Master_Mapping_Sheet!$E$2:$E$3143, ISNUMBER(
Master_Mapping_Sheet!$E$2:$E$3143),
Master_Mapping_Sheet!$I$2:$I$3143=7,
Master_Mapping_Sheet!$K$2:$K$3143=VALUE(RIGHT($A6,1))))/sum(filter(
Master_Mapping_Sheet!$E$2:$E$3143, ISNUMBER(
Mast"&amp;"er_Mapping_Sheet!$E$2:$E$3143),
Master_Mapping_Sheet!$I$2:$I$3143=7))), 0, sum(filter(
Master_Mapping_Sheet!$E$2:$E$3143, ISNUMBER(
Master_Mapping_Sheet!$E$2:$E$3143),
Master_Mapping_Sheet!$I$2:$I$3143=7,
Master_Mapping_Sheet!$K$2:$K$3143=VALUE(RIGHT($A6,"&amp;"1))))/sum(filter(
Master_Mapping_Sheet!$E$2:$E$3143, ISNUMBER(
Master_Mapping_Sheet!$E$2:$E$3143),
Master_Mapping_Sheet!$I$2:$I$3143=7)))"),0.8310525944861781)</f>
        <v>0.8310525945</v>
      </c>
      <c r="I6" s="34">
        <f>IFERROR(__xludf.DUMMYFUNCTION("IF(ISNA(sum(filter(
Master_Mapping_Sheet!$E$2:$E$3143, ISNUMBER(
Master_Mapping_Sheet!$E$2:$E$3143),
Master_Mapping_Sheet!$I$2:$I$3143=8,
Master_Mapping_Sheet!$K$2:$K$3143=VALUE(RIGHT($A6,1))))/sum(filter(
Master_Mapping_Sheet!$E$2:$E$3143, ISNUMBER(
Mast"&amp;"er_Mapping_Sheet!$E$2:$E$3143),
Master_Mapping_Sheet!$I$2:$I$3143=8))), 0, sum(filter(
Master_Mapping_Sheet!$E$2:$E$3143, ISNUMBER(
Master_Mapping_Sheet!$E$2:$E$3143),
Master_Mapping_Sheet!$I$2:$I$3143=8,
Master_Mapping_Sheet!$K$2:$K$3143=VALUE(RIGHT($A6,"&amp;"1))))/sum(filter(
Master_Mapping_Sheet!$E$2:$E$3143, ISNUMBER(
Master_Mapping_Sheet!$E$2:$E$3143),
Master_Mapping_Sheet!$I$2:$I$3143=8)))"),0.35892930816123136)</f>
        <v>0.3589293082</v>
      </c>
      <c r="J6" s="34">
        <f>IFERROR(__xludf.DUMMYFUNCTION("IF(ISNA(sum(filter(
Master_Mapping_Sheet!$E$2:$E$3143, ISNUMBER(
Master_Mapping_Sheet!$E$2:$E$3143),
Master_Mapping_Sheet!$I$2:$I$3143=9,
Master_Mapping_Sheet!$K$2:$K$3143=VALUE(RIGHT($A6,1))))/sum(filter(
Master_Mapping_Sheet!$E$2:$E$3143, ISNUMBER(
Mast"&amp;"er_Mapping_Sheet!$E$2:$E$3143),
Master_Mapping_Sheet!$I$2:$I$3143=9))), 0, sum(filter(
Master_Mapping_Sheet!$E$2:$E$3143, ISNUMBER(
Master_Mapping_Sheet!$E$2:$E$3143),
Master_Mapping_Sheet!$I$2:$I$3143=9,
Master_Mapping_Sheet!$K$2:$K$3143=VALUE(RIGHT($A6,"&amp;"1))))/sum(filter(
Master_Mapping_Sheet!$E$2:$E$3143, ISNUMBER(
Master_Mapping_Sheet!$E$2:$E$3143),
Master_Mapping_Sheet!$I$2:$I$3143=9)))"),0.04753718775652394)</f>
        <v>0.04753718776</v>
      </c>
    </row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8.63"/>
    <col customWidth="1" min="2" max="6" width="12.63"/>
  </cols>
  <sheetData>
    <row r="1" ht="15.75" customHeight="1">
      <c r="A1" s="45" t="s">
        <v>96</v>
      </c>
      <c r="B1" s="45" t="s">
        <v>1994</v>
      </c>
      <c r="C1" s="45" t="s">
        <v>2062</v>
      </c>
      <c r="D1" s="45" t="s">
        <v>2063</v>
      </c>
      <c r="E1" s="45" t="s">
        <v>2079</v>
      </c>
      <c r="F1" s="45" t="s">
        <v>2137</v>
      </c>
      <c r="G1" s="45" t="s">
        <v>2194</v>
      </c>
      <c r="H1" s="45" t="s">
        <v>2250</v>
      </c>
      <c r="I1" s="45" t="s">
        <v>2259</v>
      </c>
      <c r="J1" s="45" t="s">
        <v>2263</v>
      </c>
      <c r="K1" s="45" t="s">
        <v>2264</v>
      </c>
      <c r="L1" s="45" t="s">
        <v>2314</v>
      </c>
      <c r="M1" s="45" t="s">
        <v>2423</v>
      </c>
      <c r="N1" s="45" t="s">
        <v>2424</v>
      </c>
      <c r="O1" s="45" t="s">
        <v>2458</v>
      </c>
      <c r="P1" s="45" t="s">
        <v>2513</v>
      </c>
      <c r="Q1" s="45" t="s">
        <v>2555</v>
      </c>
      <c r="R1" s="45" t="s">
        <v>2601</v>
      </c>
      <c r="S1" s="45" t="s">
        <v>2669</v>
      </c>
      <c r="T1" s="45" t="s">
        <v>2725</v>
      </c>
      <c r="U1" s="45" t="s">
        <v>2790</v>
      </c>
      <c r="V1" s="45" t="s">
        <v>2801</v>
      </c>
      <c r="W1" s="45" t="s">
        <v>2819</v>
      </c>
      <c r="X1" s="45" t="s">
        <v>2830</v>
      </c>
      <c r="Y1" s="45" t="s">
        <v>2893</v>
      </c>
      <c r="Z1" s="45" t="s">
        <v>2955</v>
      </c>
      <c r="AA1" s="45" t="s">
        <v>2992</v>
      </c>
      <c r="AB1" s="45" t="s">
        <v>3034</v>
      </c>
      <c r="AC1" s="45" t="s">
        <v>3071</v>
      </c>
      <c r="AD1" s="45" t="s">
        <v>3112</v>
      </c>
      <c r="AE1" s="45" t="s">
        <v>3123</v>
      </c>
      <c r="AF1" s="45" t="s">
        <v>3131</v>
      </c>
      <c r="AG1" s="45" t="s">
        <v>3143</v>
      </c>
      <c r="AH1" s="45" t="s">
        <v>3168</v>
      </c>
      <c r="AI1" s="45" t="s">
        <v>3200</v>
      </c>
      <c r="AJ1" s="45" t="s">
        <v>3265</v>
      </c>
      <c r="AK1" s="45" t="s">
        <v>3297</v>
      </c>
      <c r="AL1" s="45" t="s">
        <v>3333</v>
      </c>
      <c r="AM1" s="45" t="s">
        <v>3376</v>
      </c>
      <c r="AN1" s="45" t="s">
        <v>3393</v>
      </c>
      <c r="AO1" s="45" t="s">
        <v>3427</v>
      </c>
      <c r="AP1" s="45" t="s">
        <v>3430</v>
      </c>
      <c r="AQ1" s="45" t="s">
        <v>3458</v>
      </c>
      <c r="AR1" s="45" t="s">
        <v>3497</v>
      </c>
      <c r="AS1" s="45" t="s">
        <v>3524</v>
      </c>
      <c r="AT1" s="45" t="s">
        <v>3687</v>
      </c>
      <c r="AU1" s="45" t="s">
        <v>3704</v>
      </c>
      <c r="AV1" s="45" t="s">
        <v>3713</v>
      </c>
      <c r="AW1" s="45" t="s">
        <v>3797</v>
      </c>
      <c r="AX1" s="45" t="s">
        <v>3820</v>
      </c>
      <c r="AY1" s="45" t="s">
        <v>3838</v>
      </c>
      <c r="AZ1" s="45" t="s">
        <v>3874</v>
      </c>
    </row>
    <row r="2" ht="15.75" customHeight="1">
      <c r="A2" s="45" t="s">
        <v>4246</v>
      </c>
      <c r="B2" s="34">
        <f>IFERROR(__xludf.DUMMYFUNCTION("IF(ISNA(sum(filter(
Master_Mapping_Sheet!$E$2:$E$3143, ISNUMBER(
Master_Mapping_Sheet!$E$2:$E$3143),
Master_Mapping_Sheet!$C$2:$C$3143=B$1,
Master_Mapping_Sheet!$K$2:$K$3143=VALUE(RIGHT($A2,1))))/sum(filter(
Master_Mapping_Sheet!$E$2:$E$3143, ISNUMBER(
Ma"&amp;"ster_Mapping_Sheet!$E$2:$E$3143),
Master_Mapping_Sheet!$K$2:$K$3143=VALUE(RIGHT($A2,1))))), 0, sum(filter(
Master_Mapping_Sheet!$E$2:$E$3143, ISNUMBER(
Master_Mapping_Sheet!$E$2:$E$3143),
Master_Mapping_Sheet!$C$2:$C$3143=B$1,
Master_Mapping_Sheet!$K$2:$K"&amp;"$3143=VALUE(RIGHT($A2,1))))/sum(filter(
Master_Mapping_Sheet!$E$2:$E$3143, ISNUMBER(
Master_Mapping_Sheet!$E$2:$E$3143),
Master_Mapping_Sheet!$K$2:$K$3143=VALUE(RIGHT($A2,1)))))"),0.0)</f>
        <v>0</v>
      </c>
      <c r="C2" s="34">
        <f>IFERROR(__xludf.DUMMYFUNCTION("IF(ISNA(sum(filter(
Master_Mapping_Sheet!$E$2:$E$3143, ISNUMBER(
Master_Mapping_Sheet!$E$2:$E$3143),
Master_Mapping_Sheet!$C$2:$C$3143=C$1,
Master_Mapping_Sheet!$K$2:$K$3143=VALUE(RIGHT($A2,1))))/sum(filter(
Master_Mapping_Sheet!$E$2:$E$3143, ISNUMBER(
Ma"&amp;"ster_Mapping_Sheet!$E$2:$E$3143),
Master_Mapping_Sheet!$K$2:$K$3143=VALUE(RIGHT($A2,1))))), 0, sum(filter(
Master_Mapping_Sheet!$E$2:$E$3143, ISNUMBER(
Master_Mapping_Sheet!$E$2:$E$3143),
Master_Mapping_Sheet!$C$2:$C$3143=C$1,
Master_Mapping_Sheet!$K$2:$K"&amp;"$3143=VALUE(RIGHT($A2,1))))/sum(filter(
Master_Mapping_Sheet!$E$2:$E$3143, ISNUMBER(
Master_Mapping_Sheet!$E$2:$E$3143),
Master_Mapping_Sheet!$K$2:$K$3143=VALUE(RIGHT($A2,1)))))"),0.028751865166295635)</f>
        <v>0.02875186517</v>
      </c>
      <c r="D2" s="34">
        <f>IFERROR(__xludf.DUMMYFUNCTION("IF(ISNA(sum(filter(
Master_Mapping_Sheet!$E$2:$E$3143, ISNUMBER(
Master_Mapping_Sheet!$E$2:$E$3143),
Master_Mapping_Sheet!$C$2:$C$3143=D$1,
Master_Mapping_Sheet!$K$2:$K$3143=VALUE(RIGHT($A2,1))))/sum(filter(
Master_Mapping_Sheet!$E$2:$E$3143, ISNUMBER(
Ma"&amp;"ster_Mapping_Sheet!$E$2:$E$3143),
Master_Mapping_Sheet!$K$2:$K$3143=VALUE(RIGHT($A2,1))))), 0, sum(filter(
Master_Mapping_Sheet!$E$2:$E$3143, ISNUMBER(
Master_Mapping_Sheet!$E$2:$E$3143),
Master_Mapping_Sheet!$C$2:$C$3143=D$1,
Master_Mapping_Sheet!$K$2:$K"&amp;"$3143=VALUE(RIGHT($A2,1))))/sum(filter(
Master_Mapping_Sheet!$E$2:$E$3143, ISNUMBER(
Master_Mapping_Sheet!$E$2:$E$3143),
Master_Mapping_Sheet!$K$2:$K$3143=VALUE(RIGHT($A2,1)))))"),0.0)</f>
        <v>0</v>
      </c>
      <c r="E2" s="34">
        <f>IFERROR(__xludf.DUMMYFUNCTION("IF(ISNA(sum(filter(
Master_Mapping_Sheet!$E$2:$E$3143, ISNUMBER(
Master_Mapping_Sheet!$E$2:$E$3143),
Master_Mapping_Sheet!$C$2:$C$3143=E$1,
Master_Mapping_Sheet!$K$2:$K$3143=VALUE(RIGHT($A2,1))))/sum(filter(
Master_Mapping_Sheet!$E$2:$E$3143, ISNUMBER(
Ma"&amp;"ster_Mapping_Sheet!$E$2:$E$3143),
Master_Mapping_Sheet!$K$2:$K$3143=VALUE(RIGHT($A2,1))))), 0, sum(filter(
Master_Mapping_Sheet!$E$2:$E$3143, ISNUMBER(
Master_Mapping_Sheet!$E$2:$E$3143),
Master_Mapping_Sheet!$C$2:$C$3143=E$1,
Master_Mapping_Sheet!$K$2:$K"&amp;"$3143=VALUE(RIGHT($A2,1))))/sum(filter(
Master_Mapping_Sheet!$E$2:$E$3143, ISNUMBER(
Master_Mapping_Sheet!$E$2:$E$3143),
Master_Mapping_Sheet!$K$2:$K$3143=VALUE(RIGHT($A2,1)))))"),0.0)</f>
        <v>0</v>
      </c>
      <c r="F2" s="34">
        <f>IFERROR(__xludf.DUMMYFUNCTION("IF(ISNA(sum(filter(
Master_Mapping_Sheet!$E$2:$E$3143, ISNUMBER(
Master_Mapping_Sheet!$E$2:$E$3143),
Master_Mapping_Sheet!$C$2:$C$3143=F$1,
Master_Mapping_Sheet!$K$2:$K$3143=VALUE(RIGHT($A2,1))))/sum(filter(
Master_Mapping_Sheet!$E$2:$E$3143, ISNUMBER(
Ma"&amp;"ster_Mapping_Sheet!$E$2:$E$3143),
Master_Mapping_Sheet!$K$2:$K$3143=VALUE(RIGHT($A2,1))))), 0, sum(filter(
Master_Mapping_Sheet!$E$2:$E$3143, ISNUMBER(
Master_Mapping_Sheet!$E$2:$E$3143),
Master_Mapping_Sheet!$C$2:$C$3143=F$1,
Master_Mapping_Sheet!$K$2:$K"&amp;"$3143=VALUE(RIGHT($A2,1))))/sum(filter(
Master_Mapping_Sheet!$E$2:$E$3143, ISNUMBER(
Master_Mapping_Sheet!$E$2:$E$3143),
Master_Mapping_Sheet!$K$2:$K$3143=VALUE(RIGHT($A2,1)))))"),8.904797723992212E-4)</f>
        <v>0.0008904797724</v>
      </c>
      <c r="G2" s="34">
        <f>IFERROR(__xludf.DUMMYFUNCTION("IF(ISNA(sum(filter(
Master_Mapping_Sheet!$E$2:$E$3143, ISNUMBER(
Master_Mapping_Sheet!$E$2:$E$3143),
Master_Mapping_Sheet!$C$2:$C$3143=G$1,
Master_Mapping_Sheet!$K$2:$K$3143=VALUE(RIGHT($A2,1))))/sum(filter(
Master_Mapping_Sheet!$E$2:$E$3143, ISNUMBER(
Ma"&amp;"ster_Mapping_Sheet!$E$2:$E$3143),
Master_Mapping_Sheet!$K$2:$K$3143=VALUE(RIGHT($A2,1))))), 0, sum(filter(
Master_Mapping_Sheet!$E$2:$E$3143, ISNUMBER(
Master_Mapping_Sheet!$E$2:$E$3143),
Master_Mapping_Sheet!$C$2:$C$3143=G$1,
Master_Mapping_Sheet!$K$2:$K"&amp;"$3143=VALUE(RIGHT($A2,1))))/sum(filter(
Master_Mapping_Sheet!$E$2:$E$3143, ISNUMBER(
Master_Mapping_Sheet!$E$2:$E$3143),
Master_Mapping_Sheet!$K$2:$K$3143=VALUE(RIGHT($A2,1)))))"),0.018250109795250047)</f>
        <v>0.0182501098</v>
      </c>
      <c r="H2" s="34">
        <f>IFERROR(__xludf.DUMMYFUNCTION("IF(ISNA(sum(filter(
Master_Mapping_Sheet!$E$2:$E$3143, ISNUMBER(
Master_Mapping_Sheet!$E$2:$E$3143),
Master_Mapping_Sheet!$C$2:$C$3143=H$1,
Master_Mapping_Sheet!$K$2:$K$3143=VALUE(RIGHT($A2,1))))/sum(filter(
Master_Mapping_Sheet!$E$2:$E$3143, ISNUMBER(
Ma"&amp;"ster_Mapping_Sheet!$E$2:$E$3143),
Master_Mapping_Sheet!$K$2:$K$3143=VALUE(RIGHT($A2,1))))), 0, sum(filter(
Master_Mapping_Sheet!$E$2:$E$3143, ISNUMBER(
Master_Mapping_Sheet!$E$2:$E$3143),
Master_Mapping_Sheet!$C$2:$C$3143=H$1,
Master_Mapping_Sheet!$K$2:$K"&amp;"$3143=VALUE(RIGHT($A2,1))))/sum(filter(
Master_Mapping_Sheet!$E$2:$E$3143, ISNUMBER(
Master_Mapping_Sheet!$E$2:$E$3143),
Master_Mapping_Sheet!$K$2:$K$3143=VALUE(RIGHT($A2,1)))))"),0.0)</f>
        <v>0</v>
      </c>
      <c r="I2" s="34">
        <f>IFERROR(__xludf.DUMMYFUNCTION("IF(ISNA(sum(filter(
Master_Mapping_Sheet!$E$2:$E$3143, ISNUMBER(
Master_Mapping_Sheet!$E$2:$E$3143),
Master_Mapping_Sheet!$C$2:$C$3143=I$1,
Master_Mapping_Sheet!$K$2:$K$3143=VALUE(RIGHT($A2,1))))/sum(filter(
Master_Mapping_Sheet!$E$2:$E$3143, ISNUMBER(
Ma"&amp;"ster_Mapping_Sheet!$E$2:$E$3143),
Master_Mapping_Sheet!$K$2:$K$3143=VALUE(RIGHT($A2,1))))), 0, sum(filter(
Master_Mapping_Sheet!$E$2:$E$3143, ISNUMBER(
Master_Mapping_Sheet!$E$2:$E$3143),
Master_Mapping_Sheet!$C$2:$C$3143=I$1,
Master_Mapping_Sheet!$K$2:$K"&amp;"$3143=VALUE(RIGHT($A2,1))))/sum(filter(
Master_Mapping_Sheet!$E$2:$E$3143, ISNUMBER(
Master_Mapping_Sheet!$E$2:$E$3143),
Master_Mapping_Sheet!$K$2:$K$3143=VALUE(RIGHT($A2,1)))))"),0.0)</f>
        <v>0</v>
      </c>
      <c r="J2" s="34">
        <f>IFERROR(__xludf.DUMMYFUNCTION("IF(ISNA(sum(filter(
Master_Mapping_Sheet!$E$2:$E$3143, ISNUMBER(
Master_Mapping_Sheet!$E$2:$E$3143),
Master_Mapping_Sheet!$C$2:$C$3143=J$1,
Master_Mapping_Sheet!$K$2:$K$3143=VALUE(RIGHT($A2,1))))/sum(filter(
Master_Mapping_Sheet!$E$2:$E$3143, ISNUMBER(
Ma"&amp;"ster_Mapping_Sheet!$E$2:$E$3143),
Master_Mapping_Sheet!$K$2:$K$3143=VALUE(RIGHT($A2,1))))), 0, sum(filter(
Master_Mapping_Sheet!$E$2:$E$3143, ISNUMBER(
Master_Mapping_Sheet!$E$2:$E$3143),
Master_Mapping_Sheet!$C$2:$C$3143=J$1,
Master_Mapping_Sheet!$K$2:$K"&amp;"$3143=VALUE(RIGHT($A2,1))))/sum(filter(
Master_Mapping_Sheet!$E$2:$E$3143, ISNUMBER(
Master_Mapping_Sheet!$E$2:$E$3143),
Master_Mapping_Sheet!$K$2:$K$3143=VALUE(RIGHT($A2,1)))))"),0.0)</f>
        <v>0</v>
      </c>
      <c r="K2" s="34">
        <f>IFERROR(__xludf.DUMMYFUNCTION("IF(ISNA(sum(filter(
Master_Mapping_Sheet!$E$2:$E$3143, ISNUMBER(
Master_Mapping_Sheet!$E$2:$E$3143),
Master_Mapping_Sheet!$C$2:$C$3143=K$1,
Master_Mapping_Sheet!$K$2:$K$3143=VALUE(RIGHT($A2,1))))/sum(filter(
Master_Mapping_Sheet!$E$2:$E$3143, ISNUMBER(
Ma"&amp;"ster_Mapping_Sheet!$E$2:$E$3143),
Master_Mapping_Sheet!$K$2:$K$3143=VALUE(RIGHT($A2,1))))), 0, sum(filter(
Master_Mapping_Sheet!$E$2:$E$3143, ISNUMBER(
Master_Mapping_Sheet!$E$2:$E$3143),
Master_Mapping_Sheet!$C$2:$C$3143=K$1,
Master_Mapping_Sheet!$K$2:$K"&amp;"$3143=VALUE(RIGHT($A2,1))))/sum(filter(
Master_Mapping_Sheet!$E$2:$E$3143, ISNUMBER(
Master_Mapping_Sheet!$E$2:$E$3143),
Master_Mapping_Sheet!$K$2:$K$3143=VALUE(RIGHT($A2,1)))))"),0.0)</f>
        <v>0</v>
      </c>
      <c r="L2" s="34">
        <f>IFERROR(__xludf.DUMMYFUNCTION("IF(ISNA(sum(filter(
Master_Mapping_Sheet!$E$2:$E$3143, ISNUMBER(
Master_Mapping_Sheet!$E$2:$E$3143),
Master_Mapping_Sheet!$C$2:$C$3143=L$1,
Master_Mapping_Sheet!$K$2:$K$3143=VALUE(RIGHT($A2,1))))/sum(filter(
Master_Mapping_Sheet!$E$2:$E$3143, ISNUMBER(
Ma"&amp;"ster_Mapping_Sheet!$E$2:$E$3143),
Master_Mapping_Sheet!$K$2:$K$3143=VALUE(RIGHT($A2,1))))), 0, sum(filter(
Master_Mapping_Sheet!$E$2:$E$3143, ISNUMBER(
Master_Mapping_Sheet!$E$2:$E$3143),
Master_Mapping_Sheet!$C$2:$C$3143=L$1,
Master_Mapping_Sheet!$K$2:$K"&amp;"$3143=VALUE(RIGHT($A2,1))))/sum(filter(
Master_Mapping_Sheet!$E$2:$E$3143, ISNUMBER(
Master_Mapping_Sheet!$E$2:$E$3143),
Master_Mapping_Sheet!$K$2:$K$3143=VALUE(RIGHT($A2,1)))))"),0.0)</f>
        <v>0</v>
      </c>
      <c r="M2" s="34">
        <f>IFERROR(__xludf.DUMMYFUNCTION("IF(ISNA(sum(filter(
Master_Mapping_Sheet!$E$2:$E$3143, ISNUMBER(
Master_Mapping_Sheet!$E$2:$E$3143),
Master_Mapping_Sheet!$C$2:$C$3143=M$1,
Master_Mapping_Sheet!$K$2:$K$3143=VALUE(RIGHT($A2,1))))/sum(filter(
Master_Mapping_Sheet!$E$2:$E$3143, ISNUMBER(
Ma"&amp;"ster_Mapping_Sheet!$E$2:$E$3143),
Master_Mapping_Sheet!$K$2:$K$3143=VALUE(RIGHT($A2,1))))), 0, sum(filter(
Master_Mapping_Sheet!$E$2:$E$3143, ISNUMBER(
Master_Mapping_Sheet!$E$2:$E$3143),
Master_Mapping_Sheet!$C$2:$C$3143=M$1,
Master_Mapping_Sheet!$K$2:$K"&amp;"$3143=VALUE(RIGHT($A2,1))))/sum(filter(
Master_Mapping_Sheet!$E$2:$E$3143, ISNUMBER(
Master_Mapping_Sheet!$E$2:$E$3143),
Master_Mapping_Sheet!$K$2:$K$3143=VALUE(RIGHT($A2,1)))))"),0.0)</f>
        <v>0</v>
      </c>
      <c r="N2" s="34">
        <f>IFERROR(__xludf.DUMMYFUNCTION("IF(ISNA(sum(filter(
Master_Mapping_Sheet!$E$2:$E$3143, ISNUMBER(
Master_Mapping_Sheet!$E$2:$E$3143),
Master_Mapping_Sheet!$C$2:$C$3143=N$1,
Master_Mapping_Sheet!$K$2:$K$3143=VALUE(RIGHT($A2,1))))/sum(filter(
Master_Mapping_Sheet!$E$2:$E$3143, ISNUMBER(
Ma"&amp;"ster_Mapping_Sheet!$E$2:$E$3143),
Master_Mapping_Sheet!$K$2:$K$3143=VALUE(RIGHT($A2,1))))), 0, sum(filter(
Master_Mapping_Sheet!$E$2:$E$3143, ISNUMBER(
Master_Mapping_Sheet!$E$2:$E$3143),
Master_Mapping_Sheet!$C$2:$C$3143=N$1,
Master_Mapping_Sheet!$K$2:$K"&amp;"$3143=VALUE(RIGHT($A2,1))))/sum(filter(
Master_Mapping_Sheet!$E$2:$E$3143, ISNUMBER(
Master_Mapping_Sheet!$E$2:$E$3143),
Master_Mapping_Sheet!$K$2:$K$3143=VALUE(RIGHT($A2,1)))))"),0.024112366335386125)</f>
        <v>0.02411236634</v>
      </c>
      <c r="O2" s="34">
        <f>IFERROR(__xludf.DUMMYFUNCTION("IF(ISNA(sum(filter(
Master_Mapping_Sheet!$E$2:$E$3143, ISNUMBER(
Master_Mapping_Sheet!$E$2:$E$3143),
Master_Mapping_Sheet!$C$2:$C$3143=O$1,
Master_Mapping_Sheet!$K$2:$K$3143=VALUE(RIGHT($A2,1))))/sum(filter(
Master_Mapping_Sheet!$E$2:$E$3143, ISNUMBER(
Ma"&amp;"ster_Mapping_Sheet!$E$2:$E$3143),
Master_Mapping_Sheet!$K$2:$K$3143=VALUE(RIGHT($A2,1))))), 0, sum(filter(
Master_Mapping_Sheet!$E$2:$E$3143, ISNUMBER(
Master_Mapping_Sheet!$E$2:$E$3143),
Master_Mapping_Sheet!$C$2:$C$3143=O$1,
Master_Mapping_Sheet!$K$2:$K"&amp;"$3143=VALUE(RIGHT($A2,1))))/sum(filter(
Master_Mapping_Sheet!$E$2:$E$3143, ISNUMBER(
Master_Mapping_Sheet!$E$2:$E$3143),
Master_Mapping_Sheet!$K$2:$K$3143=VALUE(RIGHT($A2,1)))))"),0.0)</f>
        <v>0</v>
      </c>
      <c r="P2" s="34">
        <f>IFERROR(__xludf.DUMMYFUNCTION("IF(ISNA(sum(filter(
Master_Mapping_Sheet!$E$2:$E$3143, ISNUMBER(
Master_Mapping_Sheet!$E$2:$E$3143),
Master_Mapping_Sheet!$C$2:$C$3143=P$1,
Master_Mapping_Sheet!$K$2:$K$3143=VALUE(RIGHT($A2,1))))/sum(filter(
Master_Mapping_Sheet!$E$2:$E$3143, ISNUMBER(
Ma"&amp;"ster_Mapping_Sheet!$E$2:$E$3143),
Master_Mapping_Sheet!$K$2:$K$3143=VALUE(RIGHT($A2,1))))), 0, sum(filter(
Master_Mapping_Sheet!$E$2:$E$3143, ISNUMBER(
Master_Mapping_Sheet!$E$2:$E$3143),
Master_Mapping_Sheet!$C$2:$C$3143=P$1,
Master_Mapping_Sheet!$K$2:$K"&amp;"$3143=VALUE(RIGHT($A2,1))))/sum(filter(
Master_Mapping_Sheet!$E$2:$E$3143, ISNUMBER(
Master_Mapping_Sheet!$E$2:$E$3143),
Master_Mapping_Sheet!$K$2:$K$3143=VALUE(RIGHT($A2,1)))))"),0.0)</f>
        <v>0</v>
      </c>
      <c r="Q2" s="34">
        <f>IFERROR(__xludf.DUMMYFUNCTION("IF(ISNA(sum(filter(
Master_Mapping_Sheet!$E$2:$E$3143, ISNUMBER(
Master_Mapping_Sheet!$E$2:$E$3143),
Master_Mapping_Sheet!$C$2:$C$3143=Q$1,
Master_Mapping_Sheet!$K$2:$K$3143=VALUE(RIGHT($A2,1))))/sum(filter(
Master_Mapping_Sheet!$E$2:$E$3143, ISNUMBER(
Ma"&amp;"ster_Mapping_Sheet!$E$2:$E$3143),
Master_Mapping_Sheet!$K$2:$K$3143=VALUE(RIGHT($A2,1))))), 0, sum(filter(
Master_Mapping_Sheet!$E$2:$E$3143, ISNUMBER(
Master_Mapping_Sheet!$E$2:$E$3143),
Master_Mapping_Sheet!$C$2:$C$3143=Q$1,
Master_Mapping_Sheet!$K$2:$K"&amp;"$3143=VALUE(RIGHT($A2,1))))/sum(filter(
Master_Mapping_Sheet!$E$2:$E$3143, ISNUMBER(
Master_Mapping_Sheet!$E$2:$E$3143),
Master_Mapping_Sheet!$K$2:$K$3143=VALUE(RIGHT($A2,1)))))"),0.032974183223928935)</f>
        <v>0.03297418322</v>
      </c>
      <c r="R2" s="34">
        <f>IFERROR(__xludf.DUMMYFUNCTION("IF(ISNA(sum(filter(
Master_Mapping_Sheet!$E$2:$E$3143, ISNUMBER(
Master_Mapping_Sheet!$E$2:$E$3143),
Master_Mapping_Sheet!$C$2:$C$3143=R$1,
Master_Mapping_Sheet!$K$2:$K$3143=VALUE(RIGHT($A2,1))))/sum(filter(
Master_Mapping_Sheet!$E$2:$E$3143, ISNUMBER(
Ma"&amp;"ster_Mapping_Sheet!$E$2:$E$3143),
Master_Mapping_Sheet!$K$2:$K$3143=VALUE(RIGHT($A2,1))))), 0, sum(filter(
Master_Mapping_Sheet!$E$2:$E$3143, ISNUMBER(
Master_Mapping_Sheet!$E$2:$E$3143),
Master_Mapping_Sheet!$C$2:$C$3143=R$1,
Master_Mapping_Sheet!$K$2:$K"&amp;"$3143=VALUE(RIGHT($A2,1))))/sum(filter(
Master_Mapping_Sheet!$E$2:$E$3143, ISNUMBER(
Master_Mapping_Sheet!$E$2:$E$3143),
Master_Mapping_Sheet!$K$2:$K$3143=VALUE(RIGHT($A2,1)))))"),0.0)</f>
        <v>0</v>
      </c>
      <c r="S2" s="34">
        <f>IFERROR(__xludf.DUMMYFUNCTION("IF(ISNA(sum(filter(
Master_Mapping_Sheet!$E$2:$E$3143, ISNUMBER(
Master_Mapping_Sheet!$E$2:$E$3143),
Master_Mapping_Sheet!$C$2:$C$3143=S$1,
Master_Mapping_Sheet!$K$2:$K$3143=VALUE(RIGHT($A2,1))))/sum(filter(
Master_Mapping_Sheet!$E$2:$E$3143, ISNUMBER(
Ma"&amp;"ster_Mapping_Sheet!$E$2:$E$3143),
Master_Mapping_Sheet!$K$2:$K$3143=VALUE(RIGHT($A2,1))))), 0, sum(filter(
Master_Mapping_Sheet!$E$2:$E$3143, ISNUMBER(
Master_Mapping_Sheet!$E$2:$E$3143),
Master_Mapping_Sheet!$C$2:$C$3143=S$1,
Master_Mapping_Sheet!$K$2:$K"&amp;"$3143=VALUE(RIGHT($A2,1))))/sum(filter(
Master_Mapping_Sheet!$E$2:$E$3143, ISNUMBER(
Master_Mapping_Sheet!$E$2:$E$3143),
Master_Mapping_Sheet!$K$2:$K$3143=VALUE(RIGHT($A2,1)))))"),0.0)</f>
        <v>0</v>
      </c>
      <c r="T2" s="34">
        <f>IFERROR(__xludf.DUMMYFUNCTION("IF(ISNA(sum(filter(
Master_Mapping_Sheet!$E$2:$E$3143, ISNUMBER(
Master_Mapping_Sheet!$E$2:$E$3143),
Master_Mapping_Sheet!$C$2:$C$3143=T$1,
Master_Mapping_Sheet!$K$2:$K$3143=VALUE(RIGHT($A2,1))))/sum(filter(
Master_Mapping_Sheet!$E$2:$E$3143, ISNUMBER(
Ma"&amp;"ster_Mapping_Sheet!$E$2:$E$3143),
Master_Mapping_Sheet!$K$2:$K$3143=VALUE(RIGHT($A2,1))))), 0, sum(filter(
Master_Mapping_Sheet!$E$2:$E$3143, ISNUMBER(
Master_Mapping_Sheet!$E$2:$E$3143),
Master_Mapping_Sheet!$C$2:$C$3143=T$1,
Master_Mapping_Sheet!$K$2:$K"&amp;"$3143=VALUE(RIGHT($A2,1))))/sum(filter(
Master_Mapping_Sheet!$E$2:$E$3143, ISNUMBER(
Master_Mapping_Sheet!$E$2:$E$3143),
Master_Mapping_Sheet!$K$2:$K$3143=VALUE(RIGHT($A2,1)))))"),0.0)</f>
        <v>0</v>
      </c>
      <c r="U2" s="34">
        <f>IFERROR(__xludf.DUMMYFUNCTION("IF(ISNA(sum(filter(
Master_Mapping_Sheet!$E$2:$E$3143, ISNUMBER(
Master_Mapping_Sheet!$E$2:$E$3143),
Master_Mapping_Sheet!$C$2:$C$3143=U$1,
Master_Mapping_Sheet!$K$2:$K$3143=VALUE(RIGHT($A2,1))))/sum(filter(
Master_Mapping_Sheet!$E$2:$E$3143, ISNUMBER(
Ma"&amp;"ster_Mapping_Sheet!$E$2:$E$3143),
Master_Mapping_Sheet!$K$2:$K$3143=VALUE(RIGHT($A2,1))))), 0, sum(filter(
Master_Mapping_Sheet!$E$2:$E$3143, ISNUMBER(
Master_Mapping_Sheet!$E$2:$E$3143),
Master_Mapping_Sheet!$C$2:$C$3143=U$1,
Master_Mapping_Sheet!$K$2:$K"&amp;"$3143=VALUE(RIGHT($A2,1))))/sum(filter(
Master_Mapping_Sheet!$E$2:$E$3143, ISNUMBER(
Master_Mapping_Sheet!$E$2:$E$3143),
Master_Mapping_Sheet!$K$2:$K$3143=VALUE(RIGHT($A2,1)))))"),0.05473476059772695)</f>
        <v>0.0547347606</v>
      </c>
      <c r="V2" s="34">
        <f>IFERROR(__xludf.DUMMYFUNCTION("IF(ISNA(sum(filter(
Master_Mapping_Sheet!$E$2:$E$3143, ISNUMBER(
Master_Mapping_Sheet!$E$2:$E$3143),
Master_Mapping_Sheet!$C$2:$C$3143=V$1,
Master_Mapping_Sheet!$K$2:$K$3143=VALUE(RIGHT($A2,1))))/sum(filter(
Master_Mapping_Sheet!$E$2:$E$3143, ISNUMBER(
Ma"&amp;"ster_Mapping_Sheet!$E$2:$E$3143),
Master_Mapping_Sheet!$K$2:$K$3143=VALUE(RIGHT($A2,1))))), 0, sum(filter(
Master_Mapping_Sheet!$E$2:$E$3143, ISNUMBER(
Master_Mapping_Sheet!$E$2:$E$3143),
Master_Mapping_Sheet!$C$2:$C$3143=V$1,
Master_Mapping_Sheet!$K$2:$K"&amp;"$3143=VALUE(RIGHT($A2,1))))/sum(filter(
Master_Mapping_Sheet!$E$2:$E$3143, ISNUMBER(
Master_Mapping_Sheet!$E$2:$E$3143),
Master_Mapping_Sheet!$K$2:$K$3143=VALUE(RIGHT($A2,1)))))"),0.0)</f>
        <v>0</v>
      </c>
      <c r="W2" s="34">
        <f>IFERROR(__xludf.DUMMYFUNCTION("IF(ISNA(sum(filter(
Master_Mapping_Sheet!$E$2:$E$3143, ISNUMBER(
Master_Mapping_Sheet!$E$2:$E$3143),
Master_Mapping_Sheet!$C$2:$C$3143=W$1,
Master_Mapping_Sheet!$K$2:$K$3143=VALUE(RIGHT($A2,1))))/sum(filter(
Master_Mapping_Sheet!$E$2:$E$3143, ISNUMBER(
Ma"&amp;"ster_Mapping_Sheet!$E$2:$E$3143),
Master_Mapping_Sheet!$K$2:$K$3143=VALUE(RIGHT($A2,1))))), 0, sum(filter(
Master_Mapping_Sheet!$E$2:$E$3143, ISNUMBER(
Master_Mapping_Sheet!$E$2:$E$3143),
Master_Mapping_Sheet!$C$2:$C$3143=W$1,
Master_Mapping_Sheet!$K$2:$K"&amp;"$3143=VALUE(RIGHT($A2,1))))/sum(filter(
Master_Mapping_Sheet!$E$2:$E$3143, ISNUMBER(
Master_Mapping_Sheet!$E$2:$E$3143),
Master_Mapping_Sheet!$K$2:$K$3143=VALUE(RIGHT($A2,1)))))"),0.0)</f>
        <v>0</v>
      </c>
      <c r="X2" s="34">
        <f>IFERROR(__xludf.DUMMYFUNCTION("IF(ISNA(sum(filter(
Master_Mapping_Sheet!$E$2:$E$3143, ISNUMBER(
Master_Mapping_Sheet!$E$2:$E$3143),
Master_Mapping_Sheet!$C$2:$C$3143=X$1,
Master_Mapping_Sheet!$K$2:$K$3143=VALUE(RIGHT($A2,1))))/sum(filter(
Master_Mapping_Sheet!$E$2:$E$3143, ISNUMBER(
Ma"&amp;"ster_Mapping_Sheet!$E$2:$E$3143),
Master_Mapping_Sheet!$K$2:$K$3143=VALUE(RIGHT($A2,1))))), 0, sum(filter(
Master_Mapping_Sheet!$E$2:$E$3143, ISNUMBER(
Master_Mapping_Sheet!$E$2:$E$3143),
Master_Mapping_Sheet!$C$2:$C$3143=X$1,
Master_Mapping_Sheet!$K$2:$K"&amp;"$3143=VALUE(RIGHT($A2,1))))/sum(filter(
Master_Mapping_Sheet!$E$2:$E$3143, ISNUMBER(
Master_Mapping_Sheet!$E$2:$E$3143),
Master_Mapping_Sheet!$K$2:$K$3143=VALUE(RIGHT($A2,1)))))"),0.05227591170842272)</f>
        <v>0.05227591171</v>
      </c>
      <c r="Y2" s="34">
        <f>IFERROR(__xludf.DUMMYFUNCTION("IF(ISNA(sum(filter(
Master_Mapping_Sheet!$E$2:$E$3143, ISNUMBER(
Master_Mapping_Sheet!$E$2:$E$3143),
Master_Mapping_Sheet!$C$2:$C$3143=Y$1,
Master_Mapping_Sheet!$K$2:$K$3143=VALUE(RIGHT($A2,1))))/sum(filter(
Master_Mapping_Sheet!$E$2:$E$3143, ISNUMBER(
Ma"&amp;"ster_Mapping_Sheet!$E$2:$E$3143),
Master_Mapping_Sheet!$K$2:$K$3143=VALUE(RIGHT($A2,1))))), 0, sum(filter(
Master_Mapping_Sheet!$E$2:$E$3143, ISNUMBER(
Master_Mapping_Sheet!$E$2:$E$3143),
Master_Mapping_Sheet!$C$2:$C$3143=Y$1,
Master_Mapping_Sheet!$K$2:$K"&amp;"$3143=VALUE(RIGHT($A2,1))))/sum(filter(
Master_Mapping_Sheet!$E$2:$E$3143, ISNUMBER(
Master_Mapping_Sheet!$E$2:$E$3143),
Master_Mapping_Sheet!$K$2:$K$3143=VALUE(RIGHT($A2,1)))))"),0.22501859528982593)</f>
        <v>0.2250185953</v>
      </c>
      <c r="Z2" s="34">
        <f>IFERROR(__xludf.DUMMYFUNCTION("IF(ISNA(sum(filter(
Master_Mapping_Sheet!$E$2:$E$3143, ISNUMBER(
Master_Mapping_Sheet!$E$2:$E$3143),
Master_Mapping_Sheet!$C$2:$C$3143=Z$1,
Master_Mapping_Sheet!$K$2:$K$3143=VALUE(RIGHT($A2,1))))/sum(filter(
Master_Mapping_Sheet!$E$2:$E$3143, ISNUMBER(
Ma"&amp;"ster_Mapping_Sheet!$E$2:$E$3143),
Master_Mapping_Sheet!$K$2:$K$3143=VALUE(RIGHT($A2,1))))), 0, sum(filter(
Master_Mapping_Sheet!$E$2:$E$3143, ISNUMBER(
Master_Mapping_Sheet!$E$2:$E$3143),
Master_Mapping_Sheet!$C$2:$C$3143=Z$1,
Master_Mapping_Sheet!$K$2:$K"&amp;"$3143=VALUE(RIGHT($A2,1))))/sum(filter(
Master_Mapping_Sheet!$E$2:$E$3143, ISNUMBER(
Master_Mapping_Sheet!$E$2:$E$3143),
Master_Mapping_Sheet!$K$2:$K$3143=VALUE(RIGHT($A2,1)))))"),0.0)</f>
        <v>0</v>
      </c>
      <c r="AA2" s="34">
        <f>IFERROR(__xludf.DUMMYFUNCTION("IF(ISNA(sum(filter(
Master_Mapping_Sheet!$E$2:$E$3143, ISNUMBER(
Master_Mapping_Sheet!$E$2:$E$3143),
Master_Mapping_Sheet!$C$2:$C$3143=AA$1,
Master_Mapping_Sheet!$K$2:$K$3143=VALUE(RIGHT($A2,1))))/sum(filter(
Master_Mapping_Sheet!$E$2:$E$3143, ISNUMBER(
M"&amp;"aster_Mapping_Sheet!$E$2:$E$3143),
Master_Mapping_Sheet!$K$2:$K$3143=VALUE(RIGHT($A2,1))))), 0, sum(filter(
Master_Mapping_Sheet!$E$2:$E$3143, ISNUMBER(
Master_Mapping_Sheet!$E$2:$E$3143),
Master_Mapping_Sheet!$C$2:$C$3143=AA$1,
Master_Mapping_Sheet!$K$2:"&amp;"$K$3143=VALUE(RIGHT($A2,1))))/sum(filter(
Master_Mapping_Sheet!$E$2:$E$3143, ISNUMBER(
Master_Mapping_Sheet!$E$2:$E$3143),
Master_Mapping_Sheet!$K$2:$K$3143=VALUE(RIGHT($A2,1)))))"),0.0)</f>
        <v>0</v>
      </c>
      <c r="AB2" s="34">
        <f>IFERROR(__xludf.DUMMYFUNCTION("IF(ISNA(sum(filter(
Master_Mapping_Sheet!$E$2:$E$3143, ISNUMBER(
Master_Mapping_Sheet!$E$2:$E$3143),
Master_Mapping_Sheet!$C$2:$C$3143=AB$1,
Master_Mapping_Sheet!$K$2:$K$3143=VALUE(RIGHT($A2,1))))/sum(filter(
Master_Mapping_Sheet!$E$2:$E$3143, ISNUMBER(
M"&amp;"aster_Mapping_Sheet!$E$2:$E$3143),
Master_Mapping_Sheet!$K$2:$K$3143=VALUE(RIGHT($A2,1))))), 0, sum(filter(
Master_Mapping_Sheet!$E$2:$E$3143, ISNUMBER(
Master_Mapping_Sheet!$E$2:$E$3143),
Master_Mapping_Sheet!$C$2:$C$3143=AB$1,
Master_Mapping_Sheet!$K$2:"&amp;"$K$3143=VALUE(RIGHT($A2,1))))/sum(filter(
Master_Mapping_Sheet!$E$2:$E$3143, ISNUMBER(
Master_Mapping_Sheet!$E$2:$E$3143),
Master_Mapping_Sheet!$K$2:$K$3143=VALUE(RIGHT($A2,1)))))"),0.04442445818166674)</f>
        <v>0.04442445818</v>
      </c>
      <c r="AC2" s="34">
        <f>IFERROR(__xludf.DUMMYFUNCTION("IF(ISNA(sum(filter(
Master_Mapping_Sheet!$E$2:$E$3143, ISNUMBER(
Master_Mapping_Sheet!$E$2:$E$3143),
Master_Mapping_Sheet!$C$2:$C$3143=AC$1,
Master_Mapping_Sheet!$K$2:$K$3143=VALUE(RIGHT($A2,1))))/sum(filter(
Master_Mapping_Sheet!$E$2:$E$3143, ISNUMBER(
M"&amp;"aster_Mapping_Sheet!$E$2:$E$3143),
Master_Mapping_Sheet!$K$2:$K$3143=VALUE(RIGHT($A2,1))))), 0, sum(filter(
Master_Mapping_Sheet!$E$2:$E$3143, ISNUMBER(
Master_Mapping_Sheet!$E$2:$E$3143),
Master_Mapping_Sheet!$C$2:$C$3143=AC$1,
Master_Mapping_Sheet!$K$2:"&amp;"$K$3143=VALUE(RIGHT($A2,1))))/sum(filter(
Master_Mapping_Sheet!$E$2:$E$3143, ISNUMBER(
Master_Mapping_Sheet!$E$2:$E$3143),
Master_Mapping_Sheet!$K$2:$K$3143=VALUE(RIGHT($A2,1)))))"),9.76755172023931E-4)</f>
        <v>0.000976755172</v>
      </c>
      <c r="AD2" s="34">
        <f>IFERROR(__xludf.DUMMYFUNCTION("IF(ISNA(sum(filter(
Master_Mapping_Sheet!$E$2:$E$3143, ISNUMBER(
Master_Mapping_Sheet!$E$2:$E$3143),
Master_Mapping_Sheet!$C$2:$C$3143=AD$1,
Master_Mapping_Sheet!$K$2:$K$3143=VALUE(RIGHT($A2,1))))/sum(filter(
Master_Mapping_Sheet!$E$2:$E$3143, ISNUMBER(
M"&amp;"aster_Mapping_Sheet!$E$2:$E$3143),
Master_Mapping_Sheet!$K$2:$K$3143=VALUE(RIGHT($A2,1))))), 0, sum(filter(
Master_Mapping_Sheet!$E$2:$E$3143, ISNUMBER(
Master_Mapping_Sheet!$E$2:$E$3143),
Master_Mapping_Sheet!$C$2:$C$3143=AD$1,
Master_Mapping_Sheet!$K$2:"&amp;"$K$3143=VALUE(RIGHT($A2,1))))/sum(filter(
Master_Mapping_Sheet!$E$2:$E$3143, ISNUMBER(
Master_Mapping_Sheet!$E$2:$E$3143),
Master_Mapping_Sheet!$K$2:$K$3143=VALUE(RIGHT($A2,1)))))"),0.002538535985684872)</f>
        <v>0.002538535986</v>
      </c>
      <c r="AE2" s="34">
        <f>IFERROR(__xludf.DUMMYFUNCTION("IF(ISNA(sum(filter(
Master_Mapping_Sheet!$E$2:$E$3143, ISNUMBER(
Master_Mapping_Sheet!$E$2:$E$3143),
Master_Mapping_Sheet!$C$2:$C$3143=AE$1,
Master_Mapping_Sheet!$K$2:$K$3143=VALUE(RIGHT($A2,1))))/sum(filter(
Master_Mapping_Sheet!$E$2:$E$3143, ISNUMBER(
M"&amp;"aster_Mapping_Sheet!$E$2:$E$3143),
Master_Mapping_Sheet!$K$2:$K$3143=VALUE(RIGHT($A2,1))))), 0, sum(filter(
Master_Mapping_Sheet!$E$2:$E$3143, ISNUMBER(
Master_Mapping_Sheet!$E$2:$E$3143),
Master_Mapping_Sheet!$C$2:$C$3143=AE$1,
Master_Mapping_Sheet!$K$2:"&amp;"$K$3143=VALUE(RIGHT($A2,1))))/sum(filter(
Master_Mapping_Sheet!$E$2:$E$3143, ISNUMBER(
Master_Mapping_Sheet!$E$2:$E$3143),
Master_Mapping_Sheet!$K$2:$K$3143=VALUE(RIGHT($A2,1)))))"),0.05498307688428316)</f>
        <v>0.05498307688</v>
      </c>
      <c r="AF2" s="34">
        <f>IFERROR(__xludf.DUMMYFUNCTION("IF(ISNA(sum(filter(
Master_Mapping_Sheet!$E$2:$E$3143, ISNUMBER(
Master_Mapping_Sheet!$E$2:$E$3143),
Master_Mapping_Sheet!$C$2:$C$3143=AF$1,
Master_Mapping_Sheet!$K$2:$K$3143=VALUE(RIGHT($A2,1))))/sum(filter(
Master_Mapping_Sheet!$E$2:$E$3143, ISNUMBER(
M"&amp;"aster_Mapping_Sheet!$E$2:$E$3143),
Master_Mapping_Sheet!$K$2:$K$3143=VALUE(RIGHT($A2,1))))), 0, sum(filter(
Master_Mapping_Sheet!$E$2:$E$3143, ISNUMBER(
Master_Mapping_Sheet!$E$2:$E$3143),
Master_Mapping_Sheet!$C$2:$C$3143=AF$1,
Master_Mapping_Sheet!$K$2:"&amp;"$K$3143=VALUE(RIGHT($A2,1))))/sum(filter(
Master_Mapping_Sheet!$E$2:$E$3143, ISNUMBER(
Master_Mapping_Sheet!$E$2:$E$3143),
Master_Mapping_Sheet!$K$2:$K$3143=VALUE(RIGHT($A2,1)))))"),0.0)</f>
        <v>0</v>
      </c>
      <c r="AG2" s="34">
        <f>IFERROR(__xludf.DUMMYFUNCTION("IF(ISNA(sum(filter(
Master_Mapping_Sheet!$E$2:$E$3143, ISNUMBER(
Master_Mapping_Sheet!$E$2:$E$3143),
Master_Mapping_Sheet!$C$2:$C$3143=AG$1,
Master_Mapping_Sheet!$K$2:$K$3143=VALUE(RIGHT($A2,1))))/sum(filter(
Master_Mapping_Sheet!$E$2:$E$3143, ISNUMBER(
M"&amp;"aster_Mapping_Sheet!$E$2:$E$3143),
Master_Mapping_Sheet!$K$2:$K$3143=VALUE(RIGHT($A2,1))))), 0, sum(filter(
Master_Mapping_Sheet!$E$2:$E$3143, ISNUMBER(
Master_Mapping_Sheet!$E$2:$E$3143),
Master_Mapping_Sheet!$C$2:$C$3143=AG$1,
Master_Mapping_Sheet!$K$2:"&amp;"$K$3143=VALUE(RIGHT($A2,1))))/sum(filter(
Master_Mapping_Sheet!$E$2:$E$3143, ISNUMBER(
Master_Mapping_Sheet!$E$2:$E$3143),
Master_Mapping_Sheet!$K$2:$K$3143=VALUE(RIGHT($A2,1)))))"),0.0015109175439731006)</f>
        <v>0.001510917544</v>
      </c>
      <c r="AH2" s="34">
        <f>IFERROR(__xludf.DUMMYFUNCTION("IF(ISNA(sum(filter(
Master_Mapping_Sheet!$E$2:$E$3143, ISNUMBER(
Master_Mapping_Sheet!$E$2:$E$3143),
Master_Mapping_Sheet!$C$2:$C$3143=AH$1,
Master_Mapping_Sheet!$K$2:$K$3143=VALUE(RIGHT($A2,1))))/sum(filter(
Master_Mapping_Sheet!$E$2:$E$3143, ISNUMBER(
M"&amp;"aster_Mapping_Sheet!$E$2:$E$3143),
Master_Mapping_Sheet!$K$2:$K$3143=VALUE(RIGHT($A2,1))))), 0, sum(filter(
Master_Mapping_Sheet!$E$2:$E$3143, ISNUMBER(
Master_Mapping_Sheet!$E$2:$E$3143),
Master_Mapping_Sheet!$C$2:$C$3143=AH$1,
Master_Mapping_Sheet!$K$2:"&amp;"$K$3143=VALUE(RIGHT($A2,1))))/sum(filter(
Master_Mapping_Sheet!$E$2:$E$3143, ISNUMBER(
Master_Mapping_Sheet!$E$2:$E$3143),
Master_Mapping_Sheet!$K$2:$K$3143=VALUE(RIGHT($A2,1)))))"),0.08235379055085941)</f>
        <v>0.08235379055</v>
      </c>
      <c r="AI2" s="34">
        <f>IFERROR(__xludf.DUMMYFUNCTION("IF(ISNA(sum(filter(
Master_Mapping_Sheet!$E$2:$E$3143, ISNUMBER(
Master_Mapping_Sheet!$E$2:$E$3143),
Master_Mapping_Sheet!$C$2:$C$3143=AI$1,
Master_Mapping_Sheet!$K$2:$K$3143=VALUE(RIGHT($A2,1))))/sum(filter(
Master_Mapping_Sheet!$E$2:$E$3143, ISNUMBER(
M"&amp;"aster_Mapping_Sheet!$E$2:$E$3143),
Master_Mapping_Sheet!$K$2:$K$3143=VALUE(RIGHT($A2,1))))), 0, sum(filter(
Master_Mapping_Sheet!$E$2:$E$3143, ISNUMBER(
Master_Mapping_Sheet!$E$2:$E$3143),
Master_Mapping_Sheet!$C$2:$C$3143=AI$1,
Master_Mapping_Sheet!$K$2:"&amp;"$K$3143=VALUE(RIGHT($A2,1))))/sum(filter(
Master_Mapping_Sheet!$E$2:$E$3143, ISNUMBER(
Master_Mapping_Sheet!$E$2:$E$3143),
Master_Mapping_Sheet!$K$2:$K$3143=VALUE(RIGHT($A2,1)))))"),0.0)</f>
        <v>0</v>
      </c>
      <c r="AJ2" s="34">
        <f>IFERROR(__xludf.DUMMYFUNCTION("IF(ISNA(sum(filter(
Master_Mapping_Sheet!$E$2:$E$3143, ISNUMBER(
Master_Mapping_Sheet!$E$2:$E$3143),
Master_Mapping_Sheet!$C$2:$C$3143=AJ$1,
Master_Mapping_Sheet!$K$2:$K$3143=VALUE(RIGHT($A2,1))))/sum(filter(
Master_Mapping_Sheet!$E$2:$E$3143, ISNUMBER(
M"&amp;"aster_Mapping_Sheet!$E$2:$E$3143),
Master_Mapping_Sheet!$K$2:$K$3143=VALUE(RIGHT($A2,1))))), 0, sum(filter(
Master_Mapping_Sheet!$E$2:$E$3143, ISNUMBER(
Master_Mapping_Sheet!$E$2:$E$3143),
Master_Mapping_Sheet!$C$2:$C$3143=AJ$1,
Master_Mapping_Sheet!$K$2:"&amp;"$K$3143=VALUE(RIGHT($A2,1))))/sum(filter(
Master_Mapping_Sheet!$E$2:$E$3143, ISNUMBER(
Master_Mapping_Sheet!$E$2:$E$3143),
Master_Mapping_Sheet!$K$2:$K$3143=VALUE(RIGHT($A2,1)))))"),0.030742513148272862)</f>
        <v>0.03074251315</v>
      </c>
      <c r="AK2" s="34">
        <f>IFERROR(__xludf.DUMMYFUNCTION("IF(ISNA(sum(filter(
Master_Mapping_Sheet!$E$2:$E$3143, ISNUMBER(
Master_Mapping_Sheet!$E$2:$E$3143),
Master_Mapping_Sheet!$C$2:$C$3143=AK$1,
Master_Mapping_Sheet!$K$2:$K$3143=VALUE(RIGHT($A2,1))))/sum(filter(
Master_Mapping_Sheet!$E$2:$E$3143, ISNUMBER(
M"&amp;"aster_Mapping_Sheet!$E$2:$E$3143),
Master_Mapping_Sheet!$K$2:$K$3143=VALUE(RIGHT($A2,1))))), 0, sum(filter(
Master_Mapping_Sheet!$E$2:$E$3143, ISNUMBER(
Master_Mapping_Sheet!$E$2:$E$3143),
Master_Mapping_Sheet!$C$2:$C$3143=AK$1,
Master_Mapping_Sheet!$K$2:"&amp;"$K$3143=VALUE(RIGHT($A2,1))))/sum(filter(
Master_Mapping_Sheet!$E$2:$E$3143, ISNUMBER(
Master_Mapping_Sheet!$E$2:$E$3143),
Master_Mapping_Sheet!$K$2:$K$3143=VALUE(RIGHT($A2,1)))))"),0.0)</f>
        <v>0</v>
      </c>
      <c r="AL2" s="34">
        <f>IFERROR(__xludf.DUMMYFUNCTION("IF(ISNA(sum(filter(
Master_Mapping_Sheet!$E$2:$E$3143, ISNUMBER(
Master_Mapping_Sheet!$E$2:$E$3143),
Master_Mapping_Sheet!$C$2:$C$3143=AL$1,
Master_Mapping_Sheet!$K$2:$K$3143=VALUE(RIGHT($A2,1))))/sum(filter(
Master_Mapping_Sheet!$E$2:$E$3143, ISNUMBER(
M"&amp;"aster_Mapping_Sheet!$E$2:$E$3143),
Master_Mapping_Sheet!$K$2:$K$3143=VALUE(RIGHT($A2,1))))), 0, sum(filter(
Master_Mapping_Sheet!$E$2:$E$3143, ISNUMBER(
Master_Mapping_Sheet!$E$2:$E$3143),
Master_Mapping_Sheet!$C$2:$C$3143=AL$1,
Master_Mapping_Sheet!$K$2:"&amp;"$K$3143=VALUE(RIGHT($A2,1))))/sum(filter(
Master_Mapping_Sheet!$E$2:$E$3143, ISNUMBER(
Master_Mapping_Sheet!$E$2:$E$3143),
Master_Mapping_Sheet!$K$2:$K$3143=VALUE(RIGHT($A2,1)))))"),0.0)</f>
        <v>0</v>
      </c>
      <c r="AM2" s="34">
        <f>IFERROR(__xludf.DUMMYFUNCTION("IF(ISNA(sum(filter(
Master_Mapping_Sheet!$E$2:$E$3143, ISNUMBER(
Master_Mapping_Sheet!$E$2:$E$3143),
Master_Mapping_Sheet!$C$2:$C$3143=AM$1,
Master_Mapping_Sheet!$K$2:$K$3143=VALUE(RIGHT($A2,1))))/sum(filter(
Master_Mapping_Sheet!$E$2:$E$3143, ISNUMBER(
M"&amp;"aster_Mapping_Sheet!$E$2:$E$3143),
Master_Mapping_Sheet!$K$2:$K$3143=VALUE(RIGHT($A2,1))))), 0, sum(filter(
Master_Mapping_Sheet!$E$2:$E$3143, ISNUMBER(
Master_Mapping_Sheet!$E$2:$E$3143),
Master_Mapping_Sheet!$C$2:$C$3143=AM$1,
Master_Mapping_Sheet!$K$2:"&amp;"$K$3143=VALUE(RIGHT($A2,1))))/sum(filter(
Master_Mapping_Sheet!$E$2:$E$3143, ISNUMBER(
Master_Mapping_Sheet!$E$2:$E$3143),
Master_Mapping_Sheet!$K$2:$K$3143=VALUE(RIGHT($A2,1)))))"),0.001864097657164072)</f>
        <v>0.001864097657</v>
      </c>
      <c r="AN2" s="34">
        <f>IFERROR(__xludf.DUMMYFUNCTION("IF(ISNA(sum(filter(
Master_Mapping_Sheet!$E$2:$E$3143, ISNUMBER(
Master_Mapping_Sheet!$E$2:$E$3143),
Master_Mapping_Sheet!$C$2:$C$3143=AN$1,
Master_Mapping_Sheet!$K$2:$K$3143=VALUE(RIGHT($A2,1))))/sum(filter(
Master_Mapping_Sheet!$E$2:$E$3143, ISNUMBER(
M"&amp;"aster_Mapping_Sheet!$E$2:$E$3143),
Master_Mapping_Sheet!$K$2:$K$3143=VALUE(RIGHT($A2,1))))), 0, sum(filter(
Master_Mapping_Sheet!$E$2:$E$3143, ISNUMBER(
Master_Mapping_Sheet!$E$2:$E$3143),
Master_Mapping_Sheet!$C$2:$C$3143=AN$1,
Master_Mapping_Sheet!$K$2:"&amp;"$K$3143=VALUE(RIGHT($A2,1))))/sum(filter(
Master_Mapping_Sheet!$E$2:$E$3143, ISNUMBER(
Master_Mapping_Sheet!$E$2:$E$3143),
Master_Mapping_Sheet!$K$2:$K$3143=VALUE(RIGHT($A2,1)))))"),0.015966948992454315)</f>
        <v>0.01596694899</v>
      </c>
      <c r="AO2" s="34">
        <f>IFERROR(__xludf.DUMMYFUNCTION("IF(ISNA(sum(filter(
Master_Mapping_Sheet!$E$2:$E$3143, ISNUMBER(
Master_Mapping_Sheet!$E$2:$E$3143),
Master_Mapping_Sheet!$C$2:$C$3143=AO$1,
Master_Mapping_Sheet!$K$2:$K$3143=VALUE(RIGHT($A2,1))))/sum(filter(
Master_Mapping_Sheet!$E$2:$E$3143, ISNUMBER(
M"&amp;"aster_Mapping_Sheet!$E$2:$E$3143),
Master_Mapping_Sheet!$K$2:$K$3143=VALUE(RIGHT($A2,1))))), 0, sum(filter(
Master_Mapping_Sheet!$E$2:$E$3143, ISNUMBER(
Master_Mapping_Sheet!$E$2:$E$3143),
Master_Mapping_Sheet!$C$2:$C$3143=AO$1,
Master_Mapping_Sheet!$K$2:"&amp;"$K$3143=VALUE(RIGHT($A2,1))))/sum(filter(
Master_Mapping_Sheet!$E$2:$E$3143, ISNUMBER(
Master_Mapping_Sheet!$E$2:$E$3143),
Master_Mapping_Sheet!$K$2:$K$3143=VALUE(RIGHT($A2,1)))))"),0.0)</f>
        <v>0</v>
      </c>
      <c r="AP2" s="34">
        <f>IFERROR(__xludf.DUMMYFUNCTION("IF(ISNA(sum(filter(
Master_Mapping_Sheet!$E$2:$E$3143, ISNUMBER(
Master_Mapping_Sheet!$E$2:$E$3143),
Master_Mapping_Sheet!$C$2:$C$3143=AP$1,
Master_Mapping_Sheet!$K$2:$K$3143=VALUE(RIGHT($A2,1))))/sum(filter(
Master_Mapping_Sheet!$E$2:$E$3143, ISNUMBER(
M"&amp;"aster_Mapping_Sheet!$E$2:$E$3143),
Master_Mapping_Sheet!$K$2:$K$3143=VALUE(RIGHT($A2,1))))), 0, sum(filter(
Master_Mapping_Sheet!$E$2:$E$3143, ISNUMBER(
Master_Mapping_Sheet!$E$2:$E$3143),
Master_Mapping_Sheet!$C$2:$C$3143=AP$1,
Master_Mapping_Sheet!$K$2:"&amp;"$K$3143=VALUE(RIGHT($A2,1))))/sum(filter(
Master_Mapping_Sheet!$E$2:$E$3143, ISNUMBER(
Master_Mapping_Sheet!$E$2:$E$3143),
Master_Mapping_Sheet!$K$2:$K$3143=VALUE(RIGHT($A2,1)))))"),0.0)</f>
        <v>0</v>
      </c>
      <c r="AQ2" s="34">
        <f>IFERROR(__xludf.DUMMYFUNCTION("IF(ISNA(sum(filter(
Master_Mapping_Sheet!$E$2:$E$3143, ISNUMBER(
Master_Mapping_Sheet!$E$2:$E$3143),
Master_Mapping_Sheet!$C$2:$C$3143=AQ$1,
Master_Mapping_Sheet!$K$2:$K$3143=VALUE(RIGHT($A2,1))))/sum(filter(
Master_Mapping_Sheet!$E$2:$E$3143, ISNUMBER(
M"&amp;"aster_Mapping_Sheet!$E$2:$E$3143),
Master_Mapping_Sheet!$K$2:$K$3143=VALUE(RIGHT($A2,1))))), 0, sum(filter(
Master_Mapping_Sheet!$E$2:$E$3143, ISNUMBER(
Master_Mapping_Sheet!$E$2:$E$3143),
Master_Mapping_Sheet!$C$2:$C$3143=AQ$1,
Master_Mapping_Sheet!$K$2:"&amp;"$K$3143=VALUE(RIGHT($A2,1))))/sum(filter(
Master_Mapping_Sheet!$E$2:$E$3143, ISNUMBER(
Master_Mapping_Sheet!$E$2:$E$3143),
Master_Mapping_Sheet!$K$2:$K$3143=VALUE(RIGHT($A2,1)))))"),0.03176032756730001)</f>
        <v>0.03176032757</v>
      </c>
      <c r="AR2" s="34">
        <f>IFERROR(__xludf.DUMMYFUNCTION("IF(ISNA(sum(filter(
Master_Mapping_Sheet!$E$2:$E$3143, ISNUMBER(
Master_Mapping_Sheet!$E$2:$E$3143),
Master_Mapping_Sheet!$C$2:$C$3143=AR$1,
Master_Mapping_Sheet!$K$2:$K$3143=VALUE(RIGHT($A2,1))))/sum(filter(
Master_Mapping_Sheet!$E$2:$E$3143, ISNUMBER(
M"&amp;"aster_Mapping_Sheet!$E$2:$E$3143),
Master_Mapping_Sheet!$K$2:$K$3143=VALUE(RIGHT($A2,1))))), 0, sum(filter(
Master_Mapping_Sheet!$E$2:$E$3143, ISNUMBER(
Master_Mapping_Sheet!$E$2:$E$3143),
Master_Mapping_Sheet!$C$2:$C$3143=AR$1,
Master_Mapping_Sheet!$K$2:"&amp;"$K$3143=VALUE(RIGHT($A2,1))))/sum(filter(
Master_Mapping_Sheet!$E$2:$E$3143, ISNUMBER(
Master_Mapping_Sheet!$E$2:$E$3143),
Master_Mapping_Sheet!$K$2:$K$3143=VALUE(RIGHT($A2,1)))))"),0.0)</f>
        <v>0</v>
      </c>
      <c r="AS2" s="34">
        <f>IFERROR(__xludf.DUMMYFUNCTION("IF(ISNA(sum(filter(
Master_Mapping_Sheet!$E$2:$E$3143, ISNUMBER(
Master_Mapping_Sheet!$E$2:$E$3143),
Master_Mapping_Sheet!$C$2:$C$3143=AS$1,
Master_Mapping_Sheet!$K$2:$K$3143=VALUE(RIGHT($A2,1))))/sum(filter(
Master_Mapping_Sheet!$E$2:$E$3143, ISNUMBER(
M"&amp;"aster_Mapping_Sheet!$E$2:$E$3143),
Master_Mapping_Sheet!$K$2:$K$3143=VALUE(RIGHT($A2,1))))), 0, sum(filter(
Master_Mapping_Sheet!$E$2:$E$3143, ISNUMBER(
Master_Mapping_Sheet!$E$2:$E$3143),
Master_Mapping_Sheet!$C$2:$C$3143=AS$1,
Master_Mapping_Sheet!$K$2:"&amp;"$K$3143=VALUE(RIGHT($A2,1))))/sum(filter(
Master_Mapping_Sheet!$E$2:$E$3143, ISNUMBER(
Master_Mapping_Sheet!$E$2:$E$3143),
Master_Mapping_Sheet!$K$2:$K$3143=VALUE(RIGHT($A2,1)))))"),0.0)</f>
        <v>0</v>
      </c>
      <c r="AT2" s="34">
        <f>IFERROR(__xludf.DUMMYFUNCTION("IF(ISNA(sum(filter(
Master_Mapping_Sheet!$E$2:$E$3143, ISNUMBER(
Master_Mapping_Sheet!$E$2:$E$3143),
Master_Mapping_Sheet!$C$2:$C$3143=AT$1,
Master_Mapping_Sheet!$K$2:$K$3143=VALUE(RIGHT($A2,1))))/sum(filter(
Master_Mapping_Sheet!$E$2:$E$3143, ISNUMBER(
M"&amp;"aster_Mapping_Sheet!$E$2:$E$3143),
Master_Mapping_Sheet!$K$2:$K$3143=VALUE(RIGHT($A2,1))))), 0, sum(filter(
Master_Mapping_Sheet!$E$2:$E$3143, ISNUMBER(
Master_Mapping_Sheet!$E$2:$E$3143),
Master_Mapping_Sheet!$C$2:$C$3143=AT$1,
Master_Mapping_Sheet!$K$2:"&amp;"$K$3143=VALUE(RIGHT($A2,1))))/sum(filter(
Master_Mapping_Sheet!$E$2:$E$3143, ISNUMBER(
Master_Mapping_Sheet!$E$2:$E$3143),
Master_Mapping_Sheet!$K$2:$K$3143=VALUE(RIGHT($A2,1)))))"),0.011654316277850239)</f>
        <v>0.01165431628</v>
      </c>
      <c r="AU2" s="34">
        <f>IFERROR(__xludf.DUMMYFUNCTION("IF(ISNA(sum(filter(
Master_Mapping_Sheet!$E$2:$E$3143, ISNUMBER(
Master_Mapping_Sheet!$E$2:$E$3143),
Master_Mapping_Sheet!$C$2:$C$3143=AU$1,
Master_Mapping_Sheet!$K$2:$K$3143=VALUE(RIGHT($A2,1))))/sum(filter(
Master_Mapping_Sheet!$E$2:$E$3143, ISNUMBER(
M"&amp;"aster_Mapping_Sheet!$E$2:$E$3143),
Master_Mapping_Sheet!$K$2:$K$3143=VALUE(RIGHT($A2,1))))), 0, sum(filter(
Master_Mapping_Sheet!$E$2:$E$3143, ISNUMBER(
Master_Mapping_Sheet!$E$2:$E$3143),
Master_Mapping_Sheet!$C$2:$C$3143=AU$1,
Master_Mapping_Sheet!$K$2:"&amp;"$K$3143=VALUE(RIGHT($A2,1))))/sum(filter(
Master_Mapping_Sheet!$E$2:$E$3143, ISNUMBER(
Master_Mapping_Sheet!$E$2:$E$3143),
Master_Mapping_Sheet!$K$2:$K$3143=VALUE(RIGHT($A2,1)))))"),0.025391006973915064)</f>
        <v>0.02539100697</v>
      </c>
      <c r="AV2" s="34">
        <f>IFERROR(__xludf.DUMMYFUNCTION("IF(ISNA(sum(filter(
Master_Mapping_Sheet!$E$2:$E$3143, ISNUMBER(
Master_Mapping_Sheet!$E$2:$E$3143),
Master_Mapping_Sheet!$C$2:$C$3143=AV$1,
Master_Mapping_Sheet!$K$2:$K$3143=VALUE(RIGHT($A2,1))))/sum(filter(
Master_Mapping_Sheet!$E$2:$E$3143, ISNUMBER(
M"&amp;"aster_Mapping_Sheet!$E$2:$E$3143),
Master_Mapping_Sheet!$K$2:$K$3143=VALUE(RIGHT($A2,1))))), 0, sum(filter(
Master_Mapping_Sheet!$E$2:$E$3143, ISNUMBER(
Master_Mapping_Sheet!$E$2:$E$3143),
Master_Mapping_Sheet!$C$2:$C$3143=AV$1,
Master_Mapping_Sheet!$K$2:"&amp;"$K$3143=VALUE(RIGHT($A2,1))))/sum(filter(
Master_Mapping_Sheet!$E$2:$E$3143, ISNUMBER(
Master_Mapping_Sheet!$E$2:$E$3143),
Master_Mapping_Sheet!$K$2:$K$3143=VALUE(RIGHT($A2,1)))))"),0.0)</f>
        <v>0</v>
      </c>
      <c r="AW2" s="34">
        <f>IFERROR(__xludf.DUMMYFUNCTION("IF(ISNA(sum(filter(
Master_Mapping_Sheet!$E$2:$E$3143, ISNUMBER(
Master_Mapping_Sheet!$E$2:$E$3143),
Master_Mapping_Sheet!$C$2:$C$3143=AW$1,
Master_Mapping_Sheet!$K$2:$K$3143=VALUE(RIGHT($A2,1))))/sum(filter(
Master_Mapping_Sheet!$E$2:$E$3143, ISNUMBER(
M"&amp;"aster_Mapping_Sheet!$E$2:$E$3143),
Master_Mapping_Sheet!$K$2:$K$3143=VALUE(RIGHT($A2,1))))), 0, sum(filter(
Master_Mapping_Sheet!$E$2:$E$3143, ISNUMBER(
Master_Mapping_Sheet!$E$2:$E$3143),
Master_Mapping_Sheet!$C$2:$C$3143=AW$1,
Master_Mapping_Sheet!$K$2:"&amp;"$K$3143=VALUE(RIGHT($A2,1))))/sum(filter(
Master_Mapping_Sheet!$E$2:$E$3143, ISNUMBER(
Master_Mapping_Sheet!$E$2:$E$3143),
Master_Mapping_Sheet!$K$2:$K$3143=VALUE(RIGHT($A2,1)))))"),0.004946913766208648)</f>
        <v>0.004946913766</v>
      </c>
      <c r="AX2" s="34">
        <f>IFERROR(__xludf.DUMMYFUNCTION("IF(ISNA(sum(filter(
Master_Mapping_Sheet!$E$2:$E$3143, ISNUMBER(
Master_Mapping_Sheet!$E$2:$E$3143),
Master_Mapping_Sheet!$C$2:$C$3143=AX$1,
Master_Mapping_Sheet!$K$2:$K$3143=VALUE(RIGHT($A2,1))))/sum(filter(
Master_Mapping_Sheet!$E$2:$E$3143, ISNUMBER(
M"&amp;"aster_Mapping_Sheet!$E$2:$E$3143),
Master_Mapping_Sheet!$K$2:$K$3143=VALUE(RIGHT($A2,1))))), 0, sum(filter(
Master_Mapping_Sheet!$E$2:$E$3143, ISNUMBER(
Master_Mapping_Sheet!$E$2:$E$3143),
Master_Mapping_Sheet!$C$2:$C$3143=AX$1,
Master_Mapping_Sheet!$K$2:"&amp;"$K$3143=VALUE(RIGHT($A2,1))))/sum(filter(
Master_Mapping_Sheet!$E$2:$E$3143, ISNUMBER(
Master_Mapping_Sheet!$E$2:$E$3143),
Master_Mapping_Sheet!$K$2:$K$3143=VALUE(RIGHT($A2,1)))))"),0.0)</f>
        <v>0</v>
      </c>
      <c r="AY2" s="34">
        <f>IFERROR(__xludf.DUMMYFUNCTION("IF(ISNA(sum(filter(
Master_Mapping_Sheet!$E$2:$E$3143, ISNUMBER(
Master_Mapping_Sheet!$E$2:$E$3143),
Master_Mapping_Sheet!$C$2:$C$3143=AY$1,
Master_Mapping_Sheet!$K$2:$K$3143=VALUE(RIGHT($A2,1))))/sum(filter(
Master_Mapping_Sheet!$E$2:$E$3143, ISNUMBER(
M"&amp;"aster_Mapping_Sheet!$E$2:$E$3143),
Master_Mapping_Sheet!$K$2:$K$3143=VALUE(RIGHT($A2,1))))), 0, sum(filter(
Master_Mapping_Sheet!$E$2:$E$3143, ISNUMBER(
Master_Mapping_Sheet!$E$2:$E$3143),
Master_Mapping_Sheet!$C$2:$C$3143=AY$1,
Master_Mapping_Sheet!$K$2:"&amp;"$K$3143=VALUE(RIGHT($A2,1))))/sum(filter(
Master_Mapping_Sheet!$E$2:$E$3143, ISNUMBER(
Master_Mapping_Sheet!$E$2:$E$3143),
Master_Mapping_Sheet!$K$2:$K$3143=VALUE(RIGHT($A2,1)))))"),0.23180454763121675)</f>
        <v>0.2318045476</v>
      </c>
      <c r="AZ2" s="34">
        <f>IFERROR(__xludf.DUMMYFUNCTION("IF(ISNA(sum(filter(
Master_Mapping_Sheet!$E$2:$E$3143, ISNUMBER(
Master_Mapping_Sheet!$E$2:$E$3143),
Master_Mapping_Sheet!$C$2:$C$3143=AZ$1,
Master_Mapping_Sheet!$K$2:$K$3143=VALUE(RIGHT($A2,1))))/sum(filter(
Master_Mapping_Sheet!$E$2:$E$3143, ISNUMBER(
M"&amp;"aster_Mapping_Sheet!$E$2:$E$3143),
Master_Mapping_Sheet!$K$2:$K$3143=VALUE(RIGHT($A2,1))))), 0, sum(filter(
Master_Mapping_Sheet!$E$2:$E$3143, ISNUMBER(
Master_Mapping_Sheet!$E$2:$E$3143),
Master_Mapping_Sheet!$C$2:$C$3143=AZ$1,
Master_Mapping_Sheet!$K$2:"&amp;"$K$3143=VALUE(RIGHT($A2,1))))/sum(filter(
Master_Mapping_Sheet!$E$2:$E$3143, ISNUMBER(
Master_Mapping_Sheet!$E$2:$E$3143),
Master_Mapping_Sheet!$K$2:$K$3143=VALUE(RIGHT($A2,1)))))"),0.022073521777891278)</f>
        <v>0.02207352178</v>
      </c>
    </row>
    <row r="3" ht="15.75" customHeight="1">
      <c r="A3" s="45" t="s">
        <v>4247</v>
      </c>
      <c r="B3" s="34">
        <f>IFERROR(__xludf.DUMMYFUNCTION("IF(ISNA(sum(filter(
Master_Mapping_Sheet!$E$2:$E$3143, ISNUMBER(
Master_Mapping_Sheet!$E$2:$E$3143),
Master_Mapping_Sheet!$C$2:$C$3143=B$1,
Master_Mapping_Sheet!$K$2:$K$3143=VALUE(RIGHT($A3,1))))/sum(filter(
Master_Mapping_Sheet!$E$2:$E$3143, ISNUMBER(
Ma"&amp;"ster_Mapping_Sheet!$E$2:$E$3143),
Master_Mapping_Sheet!$K$2:$K$3143=VALUE(RIGHT($A3,1))))), 0, sum(filter(
Master_Mapping_Sheet!$E$2:$E$3143, ISNUMBER(
Master_Mapping_Sheet!$E$2:$E$3143),
Master_Mapping_Sheet!$C$2:$C$3143=B$1,
Master_Mapping_Sheet!$K$2:$K"&amp;"$3143=VALUE(RIGHT($A3,1))))/sum(filter(
Master_Mapping_Sheet!$E$2:$E$3143, ISNUMBER(
Master_Mapping_Sheet!$E$2:$E$3143),
Master_Mapping_Sheet!$K$2:$K$3143=VALUE(RIGHT($A3,1)))))"),0.0)</f>
        <v>0</v>
      </c>
      <c r="C3" s="34">
        <f>IFERROR(__xludf.DUMMYFUNCTION("IF(ISNA(sum(filter(
Master_Mapping_Sheet!$E$2:$E$3143, ISNUMBER(
Master_Mapping_Sheet!$E$2:$E$3143),
Master_Mapping_Sheet!$C$2:$C$3143=C$1,
Master_Mapping_Sheet!$K$2:$K$3143=VALUE(RIGHT($A3,1))))/sum(filter(
Master_Mapping_Sheet!$E$2:$E$3143, ISNUMBER(
Ma"&amp;"ster_Mapping_Sheet!$E$2:$E$3143),
Master_Mapping_Sheet!$K$2:$K$3143=VALUE(RIGHT($A3,1))))), 0, sum(filter(
Master_Mapping_Sheet!$E$2:$E$3143, ISNUMBER(
Master_Mapping_Sheet!$E$2:$E$3143),
Master_Mapping_Sheet!$C$2:$C$3143=C$1,
Master_Mapping_Sheet!$K$2:$K"&amp;"$3143=VALUE(RIGHT($A3,1))))/sum(filter(
Master_Mapping_Sheet!$E$2:$E$3143, ISNUMBER(
Master_Mapping_Sheet!$E$2:$E$3143),
Master_Mapping_Sheet!$K$2:$K$3143=VALUE(RIGHT($A3,1)))))"),0.0)</f>
        <v>0</v>
      </c>
      <c r="D3" s="34">
        <f>IFERROR(__xludf.DUMMYFUNCTION("IF(ISNA(sum(filter(
Master_Mapping_Sheet!$E$2:$E$3143, ISNUMBER(
Master_Mapping_Sheet!$E$2:$E$3143),
Master_Mapping_Sheet!$C$2:$C$3143=D$1,
Master_Mapping_Sheet!$K$2:$K$3143=VALUE(RIGHT($A3,1))))/sum(filter(
Master_Mapping_Sheet!$E$2:$E$3143, ISNUMBER(
Ma"&amp;"ster_Mapping_Sheet!$E$2:$E$3143),
Master_Mapping_Sheet!$K$2:$K$3143=VALUE(RIGHT($A3,1))))), 0, sum(filter(
Master_Mapping_Sheet!$E$2:$E$3143, ISNUMBER(
Master_Mapping_Sheet!$E$2:$E$3143),
Master_Mapping_Sheet!$C$2:$C$3143=D$1,
Master_Mapping_Sheet!$K$2:$K"&amp;"$3143=VALUE(RIGHT($A3,1))))/sum(filter(
Master_Mapping_Sheet!$E$2:$E$3143, ISNUMBER(
Master_Mapping_Sheet!$E$2:$E$3143),
Master_Mapping_Sheet!$K$2:$K$3143=VALUE(RIGHT($A3,1)))))"),0.002521393234759729)</f>
        <v>0.002521393235</v>
      </c>
      <c r="E3" s="34">
        <f>IFERROR(__xludf.DUMMYFUNCTION("IF(ISNA(sum(filter(
Master_Mapping_Sheet!$E$2:$E$3143, ISNUMBER(
Master_Mapping_Sheet!$E$2:$E$3143),
Master_Mapping_Sheet!$C$2:$C$3143=E$1,
Master_Mapping_Sheet!$K$2:$K$3143=VALUE(RIGHT($A3,1))))/sum(filter(
Master_Mapping_Sheet!$E$2:$E$3143, ISNUMBER(
Ma"&amp;"ster_Mapping_Sheet!$E$2:$E$3143),
Master_Mapping_Sheet!$K$2:$K$3143=VALUE(RIGHT($A3,1))))), 0, sum(filter(
Master_Mapping_Sheet!$E$2:$E$3143, ISNUMBER(
Master_Mapping_Sheet!$E$2:$E$3143),
Master_Mapping_Sheet!$C$2:$C$3143=E$1,
Master_Mapping_Sheet!$K$2:$K"&amp;"$3143=VALUE(RIGHT($A3,1))))/sum(filter(
Master_Mapping_Sheet!$E$2:$E$3143, ISNUMBER(
Master_Mapping_Sheet!$E$2:$E$3143),
Master_Mapping_Sheet!$K$2:$K$3143=VALUE(RIGHT($A3,1)))))"),0.0)</f>
        <v>0</v>
      </c>
      <c r="F3" s="34">
        <f>IFERROR(__xludf.DUMMYFUNCTION("IF(ISNA(sum(filter(
Master_Mapping_Sheet!$E$2:$E$3143, ISNUMBER(
Master_Mapping_Sheet!$E$2:$E$3143),
Master_Mapping_Sheet!$C$2:$C$3143=F$1,
Master_Mapping_Sheet!$K$2:$K$3143=VALUE(RIGHT($A3,1))))/sum(filter(
Master_Mapping_Sheet!$E$2:$E$3143, ISNUMBER(
Ma"&amp;"ster_Mapping_Sheet!$E$2:$E$3143),
Master_Mapping_Sheet!$K$2:$K$3143=VALUE(RIGHT($A3,1))))), 0, sum(filter(
Master_Mapping_Sheet!$E$2:$E$3143, ISNUMBER(
Master_Mapping_Sheet!$E$2:$E$3143),
Master_Mapping_Sheet!$C$2:$C$3143=F$1,
Master_Mapping_Sheet!$K$2:$K"&amp;"$3143=VALUE(RIGHT($A3,1))))/sum(filter(
Master_Mapping_Sheet!$E$2:$E$3143, ISNUMBER(
Master_Mapping_Sheet!$E$2:$E$3143),
Master_Mapping_Sheet!$K$2:$K$3143=VALUE(RIGHT($A3,1)))))"),5.775755776513971E-4)</f>
        <v>0.0005775755777</v>
      </c>
      <c r="G3" s="34">
        <f>IFERROR(__xludf.DUMMYFUNCTION("IF(ISNA(sum(filter(
Master_Mapping_Sheet!$E$2:$E$3143, ISNUMBER(
Master_Mapping_Sheet!$E$2:$E$3143),
Master_Mapping_Sheet!$C$2:$C$3143=G$1,
Master_Mapping_Sheet!$K$2:$K$3143=VALUE(RIGHT($A3,1))))/sum(filter(
Master_Mapping_Sheet!$E$2:$E$3143, ISNUMBER(
Ma"&amp;"ster_Mapping_Sheet!$E$2:$E$3143),
Master_Mapping_Sheet!$K$2:$K$3143=VALUE(RIGHT($A3,1))))), 0, sum(filter(
Master_Mapping_Sheet!$E$2:$E$3143, ISNUMBER(
Master_Mapping_Sheet!$E$2:$E$3143),
Master_Mapping_Sheet!$C$2:$C$3143=G$1,
Master_Mapping_Sheet!$K$2:$K"&amp;"$3143=VALUE(RIGHT($A3,1))))/sum(filter(
Master_Mapping_Sheet!$E$2:$E$3143, ISNUMBER(
Master_Mapping_Sheet!$E$2:$E$3143),
Master_Mapping_Sheet!$K$2:$K$3143=VALUE(RIGHT($A3,1)))))"),0.0616971113374408)</f>
        <v>0.06169711134</v>
      </c>
      <c r="H3" s="34">
        <f>IFERROR(__xludf.DUMMYFUNCTION("IF(ISNA(sum(filter(
Master_Mapping_Sheet!$E$2:$E$3143, ISNUMBER(
Master_Mapping_Sheet!$E$2:$E$3143),
Master_Mapping_Sheet!$C$2:$C$3143=H$1,
Master_Mapping_Sheet!$K$2:$K$3143=VALUE(RIGHT($A3,1))))/sum(filter(
Master_Mapping_Sheet!$E$2:$E$3143, ISNUMBER(
Ma"&amp;"ster_Mapping_Sheet!$E$2:$E$3143),
Master_Mapping_Sheet!$K$2:$K$3143=VALUE(RIGHT($A3,1))))), 0, sum(filter(
Master_Mapping_Sheet!$E$2:$E$3143, ISNUMBER(
Master_Mapping_Sheet!$E$2:$E$3143),
Master_Mapping_Sheet!$C$2:$C$3143=H$1,
Master_Mapping_Sheet!$K$2:$K"&amp;"$3143=VALUE(RIGHT($A3,1))))/sum(filter(
Master_Mapping_Sheet!$E$2:$E$3143, ISNUMBER(
Master_Mapping_Sheet!$E$2:$E$3143),
Master_Mapping_Sheet!$K$2:$K$3143=VALUE(RIGHT($A3,1)))))"),0.04339692425359621)</f>
        <v>0.04339692425</v>
      </c>
      <c r="I3" s="34">
        <f>IFERROR(__xludf.DUMMYFUNCTION("IF(ISNA(sum(filter(
Master_Mapping_Sheet!$E$2:$E$3143, ISNUMBER(
Master_Mapping_Sheet!$E$2:$E$3143),
Master_Mapping_Sheet!$C$2:$C$3143=I$1,
Master_Mapping_Sheet!$K$2:$K$3143=VALUE(RIGHT($A3,1))))/sum(filter(
Master_Mapping_Sheet!$E$2:$E$3143, ISNUMBER(
Ma"&amp;"ster_Mapping_Sheet!$E$2:$E$3143),
Master_Mapping_Sheet!$K$2:$K$3143=VALUE(RIGHT($A3,1))))), 0, sum(filter(
Master_Mapping_Sheet!$E$2:$E$3143, ISNUMBER(
Master_Mapping_Sheet!$E$2:$E$3143),
Master_Mapping_Sheet!$C$2:$C$3143=I$1,
Master_Mapping_Sheet!$K$2:$K"&amp;"$3143=VALUE(RIGHT($A3,1))))/sum(filter(
Master_Mapping_Sheet!$E$2:$E$3143, ISNUMBER(
Master_Mapping_Sheet!$E$2:$E$3143),
Master_Mapping_Sheet!$K$2:$K$3143=VALUE(RIGHT($A3,1)))))"),0.0)</f>
        <v>0</v>
      </c>
      <c r="J3" s="34">
        <f>IFERROR(__xludf.DUMMYFUNCTION("IF(ISNA(sum(filter(
Master_Mapping_Sheet!$E$2:$E$3143, ISNUMBER(
Master_Mapping_Sheet!$E$2:$E$3143),
Master_Mapping_Sheet!$C$2:$C$3143=J$1,
Master_Mapping_Sheet!$K$2:$K$3143=VALUE(RIGHT($A3,1))))/sum(filter(
Master_Mapping_Sheet!$E$2:$E$3143, ISNUMBER(
Ma"&amp;"ster_Mapping_Sheet!$E$2:$E$3143),
Master_Mapping_Sheet!$K$2:$K$3143=VALUE(RIGHT($A3,1))))), 0, sum(filter(
Master_Mapping_Sheet!$E$2:$E$3143, ISNUMBER(
Master_Mapping_Sheet!$E$2:$E$3143),
Master_Mapping_Sheet!$C$2:$C$3143=J$1,
Master_Mapping_Sheet!$K$2:$K"&amp;"$3143=VALUE(RIGHT($A3,1))))/sum(filter(
Master_Mapping_Sheet!$E$2:$E$3143, ISNUMBER(
Master_Mapping_Sheet!$E$2:$E$3143),
Master_Mapping_Sheet!$K$2:$K$3143=VALUE(RIGHT($A3,1)))))"),0.0)</f>
        <v>0</v>
      </c>
      <c r="K3" s="34">
        <f>IFERROR(__xludf.DUMMYFUNCTION("IF(ISNA(sum(filter(
Master_Mapping_Sheet!$E$2:$E$3143, ISNUMBER(
Master_Mapping_Sheet!$E$2:$E$3143),
Master_Mapping_Sheet!$C$2:$C$3143=K$1,
Master_Mapping_Sheet!$K$2:$K$3143=VALUE(RIGHT($A3,1))))/sum(filter(
Master_Mapping_Sheet!$E$2:$E$3143, ISNUMBER(
Ma"&amp;"ster_Mapping_Sheet!$E$2:$E$3143),
Master_Mapping_Sheet!$K$2:$K$3143=VALUE(RIGHT($A3,1))))), 0, sum(filter(
Master_Mapping_Sheet!$E$2:$E$3143, ISNUMBER(
Master_Mapping_Sheet!$E$2:$E$3143),
Master_Mapping_Sheet!$C$2:$C$3143=K$1,
Master_Mapping_Sheet!$K$2:$K"&amp;"$3143=VALUE(RIGHT($A3,1))))/sum(filter(
Master_Mapping_Sheet!$E$2:$E$3143, ISNUMBER(
Master_Mapping_Sheet!$E$2:$E$3143),
Master_Mapping_Sheet!$K$2:$K$3143=VALUE(RIGHT($A3,1)))))"),0.0)</f>
        <v>0</v>
      </c>
      <c r="L3" s="34">
        <f>IFERROR(__xludf.DUMMYFUNCTION("IF(ISNA(sum(filter(
Master_Mapping_Sheet!$E$2:$E$3143, ISNUMBER(
Master_Mapping_Sheet!$E$2:$E$3143),
Master_Mapping_Sheet!$C$2:$C$3143=L$1,
Master_Mapping_Sheet!$K$2:$K$3143=VALUE(RIGHT($A3,1))))/sum(filter(
Master_Mapping_Sheet!$E$2:$E$3143, ISNUMBER(
Ma"&amp;"ster_Mapping_Sheet!$E$2:$E$3143),
Master_Mapping_Sheet!$K$2:$K$3143=VALUE(RIGHT($A3,1))))), 0, sum(filter(
Master_Mapping_Sheet!$E$2:$E$3143, ISNUMBER(
Master_Mapping_Sheet!$E$2:$E$3143),
Master_Mapping_Sheet!$C$2:$C$3143=L$1,
Master_Mapping_Sheet!$K$2:$K"&amp;"$3143=VALUE(RIGHT($A3,1))))/sum(filter(
Master_Mapping_Sheet!$E$2:$E$3143, ISNUMBER(
Master_Mapping_Sheet!$E$2:$E$3143),
Master_Mapping_Sheet!$K$2:$K$3143=VALUE(RIGHT($A3,1)))))"),0.0)</f>
        <v>0</v>
      </c>
      <c r="M3" s="34">
        <f>IFERROR(__xludf.DUMMYFUNCTION("IF(ISNA(sum(filter(
Master_Mapping_Sheet!$E$2:$E$3143, ISNUMBER(
Master_Mapping_Sheet!$E$2:$E$3143),
Master_Mapping_Sheet!$C$2:$C$3143=M$1,
Master_Mapping_Sheet!$K$2:$K$3143=VALUE(RIGHT($A3,1))))/sum(filter(
Master_Mapping_Sheet!$E$2:$E$3143, ISNUMBER(
Ma"&amp;"ster_Mapping_Sheet!$E$2:$E$3143),
Master_Mapping_Sheet!$K$2:$K$3143=VALUE(RIGHT($A3,1))))), 0, sum(filter(
Master_Mapping_Sheet!$E$2:$E$3143, ISNUMBER(
Master_Mapping_Sheet!$E$2:$E$3143),
Master_Mapping_Sheet!$C$2:$C$3143=M$1,
Master_Mapping_Sheet!$K$2:$K"&amp;"$3143=VALUE(RIGHT($A3,1))))/sum(filter(
Master_Mapping_Sheet!$E$2:$E$3143, ISNUMBER(
Master_Mapping_Sheet!$E$2:$E$3143),
Master_Mapping_Sheet!$K$2:$K$3143=VALUE(RIGHT($A3,1)))))"),0.0)</f>
        <v>0</v>
      </c>
      <c r="N3" s="34">
        <f>IFERROR(__xludf.DUMMYFUNCTION("IF(ISNA(sum(filter(
Master_Mapping_Sheet!$E$2:$E$3143, ISNUMBER(
Master_Mapping_Sheet!$E$2:$E$3143),
Master_Mapping_Sheet!$C$2:$C$3143=N$1,
Master_Mapping_Sheet!$K$2:$K$3143=VALUE(RIGHT($A3,1))))/sum(filter(
Master_Mapping_Sheet!$E$2:$E$3143, ISNUMBER(
Ma"&amp;"ster_Mapping_Sheet!$E$2:$E$3143),
Master_Mapping_Sheet!$K$2:$K$3143=VALUE(RIGHT($A3,1))))), 0, sum(filter(
Master_Mapping_Sheet!$E$2:$E$3143, ISNUMBER(
Master_Mapping_Sheet!$E$2:$E$3143),
Master_Mapping_Sheet!$C$2:$C$3143=N$1,
Master_Mapping_Sheet!$K$2:$K"&amp;"$3143=VALUE(RIGHT($A3,1))))/sum(filter(
Master_Mapping_Sheet!$E$2:$E$3143, ISNUMBER(
Master_Mapping_Sheet!$E$2:$E$3143),
Master_Mapping_Sheet!$K$2:$K$3143=VALUE(RIGHT($A3,1)))))"),0.016245420325836774)</f>
        <v>0.01624542033</v>
      </c>
      <c r="O3" s="34">
        <f>IFERROR(__xludf.DUMMYFUNCTION("IF(ISNA(sum(filter(
Master_Mapping_Sheet!$E$2:$E$3143, ISNUMBER(
Master_Mapping_Sheet!$E$2:$E$3143),
Master_Mapping_Sheet!$C$2:$C$3143=O$1,
Master_Mapping_Sheet!$K$2:$K$3143=VALUE(RIGHT($A3,1))))/sum(filter(
Master_Mapping_Sheet!$E$2:$E$3143, ISNUMBER(
Ma"&amp;"ster_Mapping_Sheet!$E$2:$E$3143),
Master_Mapping_Sheet!$K$2:$K$3143=VALUE(RIGHT($A3,1))))), 0, sum(filter(
Master_Mapping_Sheet!$E$2:$E$3143, ISNUMBER(
Master_Mapping_Sheet!$E$2:$E$3143),
Master_Mapping_Sheet!$C$2:$C$3143=O$1,
Master_Mapping_Sheet!$K$2:$K"&amp;"$3143=VALUE(RIGHT($A3,1))))/sum(filter(
Master_Mapping_Sheet!$E$2:$E$3143, ISNUMBER(
Master_Mapping_Sheet!$E$2:$E$3143),
Master_Mapping_Sheet!$K$2:$K$3143=VALUE(RIGHT($A3,1)))))"),0.13508093351194306)</f>
        <v>0.1350809335</v>
      </c>
      <c r="P3" s="34">
        <f>IFERROR(__xludf.DUMMYFUNCTION("IF(ISNA(sum(filter(
Master_Mapping_Sheet!$E$2:$E$3143, ISNUMBER(
Master_Mapping_Sheet!$E$2:$E$3143),
Master_Mapping_Sheet!$C$2:$C$3143=P$1,
Master_Mapping_Sheet!$K$2:$K$3143=VALUE(RIGHT($A3,1))))/sum(filter(
Master_Mapping_Sheet!$E$2:$E$3143, ISNUMBER(
Ma"&amp;"ster_Mapping_Sheet!$E$2:$E$3143),
Master_Mapping_Sheet!$K$2:$K$3143=VALUE(RIGHT($A3,1))))), 0, sum(filter(
Master_Mapping_Sheet!$E$2:$E$3143, ISNUMBER(
Master_Mapping_Sheet!$E$2:$E$3143),
Master_Mapping_Sheet!$C$2:$C$3143=P$1,
Master_Mapping_Sheet!$K$2:$K"&amp;"$3143=VALUE(RIGHT($A3,1))))/sum(filter(
Master_Mapping_Sheet!$E$2:$E$3143, ISNUMBER(
Master_Mapping_Sheet!$E$2:$E$3143),
Master_Mapping_Sheet!$K$2:$K$3143=VALUE(RIGHT($A3,1)))))"),0.06637601267681632)</f>
        <v>0.06637601268</v>
      </c>
      <c r="Q3" s="34">
        <f>IFERROR(__xludf.DUMMYFUNCTION("IF(ISNA(sum(filter(
Master_Mapping_Sheet!$E$2:$E$3143, ISNUMBER(
Master_Mapping_Sheet!$E$2:$E$3143),
Master_Mapping_Sheet!$C$2:$C$3143=Q$1,
Master_Mapping_Sheet!$K$2:$K$3143=VALUE(RIGHT($A3,1))))/sum(filter(
Master_Mapping_Sheet!$E$2:$E$3143, ISNUMBER(
Ma"&amp;"ster_Mapping_Sheet!$E$2:$E$3143),
Master_Mapping_Sheet!$K$2:$K$3143=VALUE(RIGHT($A3,1))))), 0, sum(filter(
Master_Mapping_Sheet!$E$2:$E$3143, ISNUMBER(
Master_Mapping_Sheet!$E$2:$E$3143),
Master_Mapping_Sheet!$C$2:$C$3143=Q$1,
Master_Mapping_Sheet!$K$2:$K"&amp;"$3143=VALUE(RIGHT($A3,1))))/sum(filter(
Master_Mapping_Sheet!$E$2:$E$3143, ISNUMBER(
Master_Mapping_Sheet!$E$2:$E$3143),
Master_Mapping_Sheet!$K$2:$K$3143=VALUE(RIGHT($A3,1)))))"),0.028476466539152024)</f>
        <v>0.02847646654</v>
      </c>
      <c r="R3" s="34">
        <f>IFERROR(__xludf.DUMMYFUNCTION("IF(ISNA(sum(filter(
Master_Mapping_Sheet!$E$2:$E$3143, ISNUMBER(
Master_Mapping_Sheet!$E$2:$E$3143),
Master_Mapping_Sheet!$C$2:$C$3143=R$1,
Master_Mapping_Sheet!$K$2:$K$3143=VALUE(RIGHT($A3,1))))/sum(filter(
Master_Mapping_Sheet!$E$2:$E$3143, ISNUMBER(
Ma"&amp;"ster_Mapping_Sheet!$E$2:$E$3143),
Master_Mapping_Sheet!$K$2:$K$3143=VALUE(RIGHT($A3,1))))), 0, sum(filter(
Master_Mapping_Sheet!$E$2:$E$3143, ISNUMBER(
Master_Mapping_Sheet!$E$2:$E$3143),
Master_Mapping_Sheet!$C$2:$C$3143=R$1,
Master_Mapping_Sheet!$K$2:$K"&amp;"$3143=VALUE(RIGHT($A3,1))))/sum(filter(
Master_Mapping_Sheet!$E$2:$E$3143, ISNUMBER(
Master_Mapping_Sheet!$E$2:$E$3143),
Master_Mapping_Sheet!$K$2:$K$3143=VALUE(RIGHT($A3,1)))))"),0.001642405331256539)</f>
        <v>0.001642405331</v>
      </c>
      <c r="S3" s="34">
        <f>IFERROR(__xludf.DUMMYFUNCTION("IF(ISNA(sum(filter(
Master_Mapping_Sheet!$E$2:$E$3143, ISNUMBER(
Master_Mapping_Sheet!$E$2:$E$3143),
Master_Mapping_Sheet!$C$2:$C$3143=S$1,
Master_Mapping_Sheet!$K$2:$K$3143=VALUE(RIGHT($A3,1))))/sum(filter(
Master_Mapping_Sheet!$E$2:$E$3143, ISNUMBER(
Ma"&amp;"ster_Mapping_Sheet!$E$2:$E$3143),
Master_Mapping_Sheet!$K$2:$K$3143=VALUE(RIGHT($A3,1))))), 0, sum(filter(
Master_Mapping_Sheet!$E$2:$E$3143, ISNUMBER(
Master_Mapping_Sheet!$E$2:$E$3143),
Master_Mapping_Sheet!$C$2:$C$3143=S$1,
Master_Mapping_Sheet!$K$2:$K"&amp;"$3143=VALUE(RIGHT($A3,1))))/sum(filter(
Master_Mapping_Sheet!$E$2:$E$3143, ISNUMBER(
Master_Mapping_Sheet!$E$2:$E$3143),
Master_Mapping_Sheet!$K$2:$K$3143=VALUE(RIGHT($A3,1)))))"),0.0)</f>
        <v>0</v>
      </c>
      <c r="T3" s="34">
        <f>IFERROR(__xludf.DUMMYFUNCTION("IF(ISNA(sum(filter(
Master_Mapping_Sheet!$E$2:$E$3143, ISNUMBER(
Master_Mapping_Sheet!$E$2:$E$3143),
Master_Mapping_Sheet!$C$2:$C$3143=T$1,
Master_Mapping_Sheet!$K$2:$K$3143=VALUE(RIGHT($A3,1))))/sum(filter(
Master_Mapping_Sheet!$E$2:$E$3143, ISNUMBER(
Ma"&amp;"ster_Mapping_Sheet!$E$2:$E$3143),
Master_Mapping_Sheet!$K$2:$K$3143=VALUE(RIGHT($A3,1))))), 0, sum(filter(
Master_Mapping_Sheet!$E$2:$E$3143, ISNUMBER(
Master_Mapping_Sheet!$E$2:$E$3143),
Master_Mapping_Sheet!$C$2:$C$3143=T$1,
Master_Mapping_Sheet!$K$2:$K"&amp;"$3143=VALUE(RIGHT($A3,1))))/sum(filter(
Master_Mapping_Sheet!$E$2:$E$3143, ISNUMBER(
Master_Mapping_Sheet!$E$2:$E$3143),
Master_Mapping_Sheet!$K$2:$K$3143=VALUE(RIGHT($A3,1)))))"),0.0)</f>
        <v>0</v>
      </c>
      <c r="U3" s="34">
        <f>IFERROR(__xludf.DUMMYFUNCTION("IF(ISNA(sum(filter(
Master_Mapping_Sheet!$E$2:$E$3143, ISNUMBER(
Master_Mapping_Sheet!$E$2:$E$3143),
Master_Mapping_Sheet!$C$2:$C$3143=U$1,
Master_Mapping_Sheet!$K$2:$K$3143=VALUE(RIGHT($A3,1))))/sum(filter(
Master_Mapping_Sheet!$E$2:$E$3143, ISNUMBER(
Ma"&amp;"ster_Mapping_Sheet!$E$2:$E$3143),
Master_Mapping_Sheet!$K$2:$K$3143=VALUE(RIGHT($A3,1))))), 0, sum(filter(
Master_Mapping_Sheet!$E$2:$E$3143, ISNUMBER(
Master_Mapping_Sheet!$E$2:$E$3143),
Master_Mapping_Sheet!$C$2:$C$3143=U$1,
Master_Mapping_Sheet!$K$2:$K"&amp;"$3143=VALUE(RIGHT($A3,1))))/sum(filter(
Master_Mapping_Sheet!$E$2:$E$3143, ISNUMBER(
Master_Mapping_Sheet!$E$2:$E$3143),
Master_Mapping_Sheet!$K$2:$K$3143=VALUE(RIGHT($A3,1)))))"),0.0)</f>
        <v>0</v>
      </c>
      <c r="V3" s="34">
        <f>IFERROR(__xludf.DUMMYFUNCTION("IF(ISNA(sum(filter(
Master_Mapping_Sheet!$E$2:$E$3143, ISNUMBER(
Master_Mapping_Sheet!$E$2:$E$3143),
Master_Mapping_Sheet!$C$2:$C$3143=V$1,
Master_Mapping_Sheet!$K$2:$K$3143=VALUE(RIGHT($A3,1))))/sum(filter(
Master_Mapping_Sheet!$E$2:$E$3143, ISNUMBER(
Ma"&amp;"ster_Mapping_Sheet!$E$2:$E$3143),
Master_Mapping_Sheet!$K$2:$K$3143=VALUE(RIGHT($A3,1))))), 0, sum(filter(
Master_Mapping_Sheet!$E$2:$E$3143, ISNUMBER(
Master_Mapping_Sheet!$E$2:$E$3143),
Master_Mapping_Sheet!$C$2:$C$3143=V$1,
Master_Mapping_Sheet!$K$2:$K"&amp;"$3143=VALUE(RIGHT($A3,1))))/sum(filter(
Master_Mapping_Sheet!$E$2:$E$3143, ISNUMBER(
Master_Mapping_Sheet!$E$2:$E$3143),
Master_Mapping_Sheet!$K$2:$K$3143=VALUE(RIGHT($A3,1)))))"),0.0011516851241650296)</f>
        <v>0.001151685124</v>
      </c>
      <c r="W3" s="34">
        <f>IFERROR(__xludf.DUMMYFUNCTION("IF(ISNA(sum(filter(
Master_Mapping_Sheet!$E$2:$E$3143, ISNUMBER(
Master_Mapping_Sheet!$E$2:$E$3143),
Master_Mapping_Sheet!$C$2:$C$3143=W$1,
Master_Mapping_Sheet!$K$2:$K$3143=VALUE(RIGHT($A3,1))))/sum(filter(
Master_Mapping_Sheet!$E$2:$E$3143, ISNUMBER(
Ma"&amp;"ster_Mapping_Sheet!$E$2:$E$3143),
Master_Mapping_Sheet!$K$2:$K$3143=VALUE(RIGHT($A3,1))))), 0, sum(filter(
Master_Mapping_Sheet!$E$2:$E$3143, ISNUMBER(
Master_Mapping_Sheet!$E$2:$E$3143),
Master_Mapping_Sheet!$C$2:$C$3143=W$1,
Master_Mapping_Sheet!$K$2:$K"&amp;"$3143=VALUE(RIGHT($A3,1))))/sum(filter(
Master_Mapping_Sheet!$E$2:$E$3143, ISNUMBER(
Master_Mapping_Sheet!$E$2:$E$3143),
Master_Mapping_Sheet!$K$2:$K$3143=VALUE(RIGHT($A3,1)))))"),0.08426064910386968)</f>
        <v>0.0842606491</v>
      </c>
      <c r="X3" s="34">
        <f>IFERROR(__xludf.DUMMYFUNCTION("IF(ISNA(sum(filter(
Master_Mapping_Sheet!$E$2:$E$3143, ISNUMBER(
Master_Mapping_Sheet!$E$2:$E$3143),
Master_Mapping_Sheet!$C$2:$C$3143=X$1,
Master_Mapping_Sheet!$K$2:$K$3143=VALUE(RIGHT($A3,1))))/sum(filter(
Master_Mapping_Sheet!$E$2:$E$3143, ISNUMBER(
Ma"&amp;"ster_Mapping_Sheet!$E$2:$E$3143),
Master_Mapping_Sheet!$K$2:$K$3143=VALUE(RIGHT($A3,1))))), 0, sum(filter(
Master_Mapping_Sheet!$E$2:$E$3143, ISNUMBER(
Master_Mapping_Sheet!$E$2:$E$3143),
Master_Mapping_Sheet!$C$2:$C$3143=X$1,
Master_Mapping_Sheet!$K$2:$K"&amp;"$3143=VALUE(RIGHT($A3,1))))/sum(filter(
Master_Mapping_Sheet!$E$2:$E$3143, ISNUMBER(
Master_Mapping_Sheet!$E$2:$E$3143),
Master_Mapping_Sheet!$K$2:$K$3143=VALUE(RIGHT($A3,1)))))"),0.10475403959911692)</f>
        <v>0.1047540396</v>
      </c>
      <c r="Y3" s="34">
        <f>IFERROR(__xludf.DUMMYFUNCTION("IF(ISNA(sum(filter(
Master_Mapping_Sheet!$E$2:$E$3143, ISNUMBER(
Master_Mapping_Sheet!$E$2:$E$3143),
Master_Mapping_Sheet!$C$2:$C$3143=Y$1,
Master_Mapping_Sheet!$K$2:$K$3143=VALUE(RIGHT($A3,1))))/sum(filter(
Master_Mapping_Sheet!$E$2:$E$3143, ISNUMBER(
Ma"&amp;"ster_Mapping_Sheet!$E$2:$E$3143),
Master_Mapping_Sheet!$K$2:$K$3143=VALUE(RIGHT($A3,1))))), 0, sum(filter(
Master_Mapping_Sheet!$E$2:$E$3143, ISNUMBER(
Master_Mapping_Sheet!$E$2:$E$3143),
Master_Mapping_Sheet!$C$2:$C$3143=Y$1,
Master_Mapping_Sheet!$K$2:$K"&amp;"$3143=VALUE(RIGHT($A3,1))))/sum(filter(
Master_Mapping_Sheet!$E$2:$E$3143, ISNUMBER(
Master_Mapping_Sheet!$E$2:$E$3143),
Master_Mapping_Sheet!$K$2:$K$3143=VALUE(RIGHT($A3,1)))))"),0.0)</f>
        <v>0</v>
      </c>
      <c r="Z3" s="34">
        <f>IFERROR(__xludf.DUMMYFUNCTION("IF(ISNA(sum(filter(
Master_Mapping_Sheet!$E$2:$E$3143, ISNUMBER(
Master_Mapping_Sheet!$E$2:$E$3143),
Master_Mapping_Sheet!$C$2:$C$3143=Z$1,
Master_Mapping_Sheet!$K$2:$K$3143=VALUE(RIGHT($A3,1))))/sum(filter(
Master_Mapping_Sheet!$E$2:$E$3143, ISNUMBER(
Ma"&amp;"ster_Mapping_Sheet!$E$2:$E$3143),
Master_Mapping_Sheet!$K$2:$K$3143=VALUE(RIGHT($A3,1))))), 0, sum(filter(
Master_Mapping_Sheet!$E$2:$E$3143, ISNUMBER(
Master_Mapping_Sheet!$E$2:$E$3143),
Master_Mapping_Sheet!$C$2:$C$3143=Z$1,
Master_Mapping_Sheet!$K$2:$K"&amp;"$3143=VALUE(RIGHT($A3,1))))/sum(filter(
Master_Mapping_Sheet!$E$2:$E$3143, ISNUMBER(
Master_Mapping_Sheet!$E$2:$E$3143),
Master_Mapping_Sheet!$K$2:$K$3143=VALUE(RIGHT($A3,1)))))"),0.0)</f>
        <v>0</v>
      </c>
      <c r="AA3" s="34">
        <f>IFERROR(__xludf.DUMMYFUNCTION("IF(ISNA(sum(filter(
Master_Mapping_Sheet!$E$2:$E$3143, ISNUMBER(
Master_Mapping_Sheet!$E$2:$E$3143),
Master_Mapping_Sheet!$C$2:$C$3143=AA$1,
Master_Mapping_Sheet!$K$2:$K$3143=VALUE(RIGHT($A3,1))))/sum(filter(
Master_Mapping_Sheet!$E$2:$E$3143, ISNUMBER(
M"&amp;"aster_Mapping_Sheet!$E$2:$E$3143),
Master_Mapping_Sheet!$K$2:$K$3143=VALUE(RIGHT($A3,1))))), 0, sum(filter(
Master_Mapping_Sheet!$E$2:$E$3143, ISNUMBER(
Master_Mapping_Sheet!$E$2:$E$3143),
Master_Mapping_Sheet!$C$2:$C$3143=AA$1,
Master_Mapping_Sheet!$K$2:"&amp;"$K$3143=VALUE(RIGHT($A3,1))))/sum(filter(
Master_Mapping_Sheet!$E$2:$E$3143, ISNUMBER(
Master_Mapping_Sheet!$E$2:$E$3143),
Master_Mapping_Sheet!$K$2:$K$3143=VALUE(RIGHT($A3,1)))))"),0.005433039912937149)</f>
        <v>0.005433039913</v>
      </c>
      <c r="AB3" s="34">
        <f>IFERROR(__xludf.DUMMYFUNCTION("IF(ISNA(sum(filter(
Master_Mapping_Sheet!$E$2:$E$3143, ISNUMBER(
Master_Mapping_Sheet!$E$2:$E$3143),
Master_Mapping_Sheet!$C$2:$C$3143=AB$1,
Master_Mapping_Sheet!$K$2:$K$3143=VALUE(RIGHT($A3,1))))/sum(filter(
Master_Mapping_Sheet!$E$2:$E$3143, ISNUMBER(
M"&amp;"aster_Mapping_Sheet!$E$2:$E$3143),
Master_Mapping_Sheet!$K$2:$K$3143=VALUE(RIGHT($A3,1))))), 0, sum(filter(
Master_Mapping_Sheet!$E$2:$E$3143, ISNUMBER(
Master_Mapping_Sheet!$E$2:$E$3143),
Master_Mapping_Sheet!$C$2:$C$3143=AB$1,
Master_Mapping_Sheet!$K$2:"&amp;"$K$3143=VALUE(RIGHT($A3,1))))/sum(filter(
Master_Mapping_Sheet!$E$2:$E$3143, ISNUMBER(
Master_Mapping_Sheet!$E$2:$E$3143),
Master_Mapping_Sheet!$K$2:$K$3143=VALUE(RIGHT($A3,1)))))"),0.0)</f>
        <v>0</v>
      </c>
      <c r="AC3" s="34">
        <f>IFERROR(__xludf.DUMMYFUNCTION("IF(ISNA(sum(filter(
Master_Mapping_Sheet!$E$2:$E$3143, ISNUMBER(
Master_Mapping_Sheet!$E$2:$E$3143),
Master_Mapping_Sheet!$C$2:$C$3143=AC$1,
Master_Mapping_Sheet!$K$2:$K$3143=VALUE(RIGHT($A3,1))))/sum(filter(
Master_Mapping_Sheet!$E$2:$E$3143, ISNUMBER(
M"&amp;"aster_Mapping_Sheet!$E$2:$E$3143),
Master_Mapping_Sheet!$K$2:$K$3143=VALUE(RIGHT($A3,1))))), 0, sum(filter(
Master_Mapping_Sheet!$E$2:$E$3143, ISNUMBER(
Master_Mapping_Sheet!$E$2:$E$3143),
Master_Mapping_Sheet!$C$2:$C$3143=AC$1,
Master_Mapping_Sheet!$K$2:"&amp;"$K$3143=VALUE(RIGHT($A3,1))))/sum(filter(
Master_Mapping_Sheet!$E$2:$E$3143, ISNUMBER(
Master_Mapping_Sheet!$E$2:$E$3143),
Master_Mapping_Sheet!$K$2:$K$3143=VALUE(RIGHT($A3,1)))))"),0.023509704092886937)</f>
        <v>0.02350970409</v>
      </c>
      <c r="AD3" s="34">
        <f>IFERROR(__xludf.DUMMYFUNCTION("IF(ISNA(sum(filter(
Master_Mapping_Sheet!$E$2:$E$3143, ISNUMBER(
Master_Mapping_Sheet!$E$2:$E$3143),
Master_Mapping_Sheet!$C$2:$C$3143=AD$1,
Master_Mapping_Sheet!$K$2:$K$3143=VALUE(RIGHT($A3,1))))/sum(filter(
Master_Mapping_Sheet!$E$2:$E$3143, ISNUMBER(
M"&amp;"aster_Mapping_Sheet!$E$2:$E$3143),
Master_Mapping_Sheet!$K$2:$K$3143=VALUE(RIGHT($A3,1))))), 0, sum(filter(
Master_Mapping_Sheet!$E$2:$E$3143, ISNUMBER(
Master_Mapping_Sheet!$E$2:$E$3143),
Master_Mapping_Sheet!$C$2:$C$3143=AD$1,
Master_Mapping_Sheet!$K$2:"&amp;"$K$3143=VALUE(RIGHT($A3,1))))/sum(filter(
Master_Mapping_Sheet!$E$2:$E$3143, ISNUMBER(
Master_Mapping_Sheet!$E$2:$E$3143),
Master_Mapping_Sheet!$K$2:$K$3143=VALUE(RIGHT($A3,1)))))"),0.008871487219563781)</f>
        <v>0.00887148722</v>
      </c>
      <c r="AE3" s="34">
        <f>IFERROR(__xludf.DUMMYFUNCTION("IF(ISNA(sum(filter(
Master_Mapping_Sheet!$E$2:$E$3143, ISNUMBER(
Master_Mapping_Sheet!$E$2:$E$3143),
Master_Mapping_Sheet!$C$2:$C$3143=AE$1,
Master_Mapping_Sheet!$K$2:$K$3143=VALUE(RIGHT($A3,1))))/sum(filter(
Master_Mapping_Sheet!$E$2:$E$3143, ISNUMBER(
M"&amp;"aster_Mapping_Sheet!$E$2:$E$3143),
Master_Mapping_Sheet!$K$2:$K$3143=VALUE(RIGHT($A3,1))))), 0, sum(filter(
Master_Mapping_Sheet!$E$2:$E$3143, ISNUMBER(
Master_Mapping_Sheet!$E$2:$E$3143),
Master_Mapping_Sheet!$C$2:$C$3143=AE$1,
Master_Mapping_Sheet!$K$2:"&amp;"$K$3143=VALUE(RIGHT($A3,1))))/sum(filter(
Master_Mapping_Sheet!$E$2:$E$3143, ISNUMBER(
Master_Mapping_Sheet!$E$2:$E$3143),
Master_Mapping_Sheet!$K$2:$K$3143=VALUE(RIGHT($A3,1)))))"),0.0)</f>
        <v>0</v>
      </c>
      <c r="AF3" s="34">
        <f>IFERROR(__xludf.DUMMYFUNCTION("IF(ISNA(sum(filter(
Master_Mapping_Sheet!$E$2:$E$3143, ISNUMBER(
Master_Mapping_Sheet!$E$2:$E$3143),
Master_Mapping_Sheet!$C$2:$C$3143=AF$1,
Master_Mapping_Sheet!$K$2:$K$3143=VALUE(RIGHT($A3,1))))/sum(filter(
Master_Mapping_Sheet!$E$2:$E$3143, ISNUMBER(
M"&amp;"aster_Mapping_Sheet!$E$2:$E$3143),
Master_Mapping_Sheet!$K$2:$K$3143=VALUE(RIGHT($A3,1))))), 0, sum(filter(
Master_Mapping_Sheet!$E$2:$E$3143, ISNUMBER(
Master_Mapping_Sheet!$E$2:$E$3143),
Master_Mapping_Sheet!$C$2:$C$3143=AF$1,
Master_Mapping_Sheet!$K$2:"&amp;"$K$3143=VALUE(RIGHT($A3,1))))/sum(filter(
Master_Mapping_Sheet!$E$2:$E$3143, ISNUMBER(
Master_Mapping_Sheet!$E$2:$E$3143),
Master_Mapping_Sheet!$K$2:$K$3143=VALUE(RIGHT($A3,1)))))"),0.03275836289528942)</f>
        <v>0.0327583629</v>
      </c>
      <c r="AG3" s="34">
        <f>IFERROR(__xludf.DUMMYFUNCTION("IF(ISNA(sum(filter(
Master_Mapping_Sheet!$E$2:$E$3143, ISNUMBER(
Master_Mapping_Sheet!$E$2:$E$3143),
Master_Mapping_Sheet!$C$2:$C$3143=AG$1,
Master_Mapping_Sheet!$K$2:$K$3143=VALUE(RIGHT($A3,1))))/sum(filter(
Master_Mapping_Sheet!$E$2:$E$3143, ISNUMBER(
M"&amp;"aster_Mapping_Sheet!$E$2:$E$3143),
Master_Mapping_Sheet!$K$2:$K$3143=VALUE(RIGHT($A3,1))))), 0, sum(filter(
Master_Mapping_Sheet!$E$2:$E$3143, ISNUMBER(
Master_Mapping_Sheet!$E$2:$E$3143),
Master_Mapping_Sheet!$C$2:$C$3143=AG$1,
Master_Mapping_Sheet!$K$2:"&amp;"$K$3143=VALUE(RIGHT($A3,1))))/sum(filter(
Master_Mapping_Sheet!$E$2:$E$3143, ISNUMBER(
Master_Mapping_Sheet!$E$2:$E$3143),
Master_Mapping_Sheet!$K$2:$K$3143=VALUE(RIGHT($A3,1)))))"),0.007538461271843758)</f>
        <v>0.007538461272</v>
      </c>
      <c r="AH3" s="34">
        <f>IFERROR(__xludf.DUMMYFUNCTION("IF(ISNA(sum(filter(
Master_Mapping_Sheet!$E$2:$E$3143, ISNUMBER(
Master_Mapping_Sheet!$E$2:$E$3143),
Master_Mapping_Sheet!$C$2:$C$3143=AH$1,
Master_Mapping_Sheet!$K$2:$K$3143=VALUE(RIGHT($A3,1))))/sum(filter(
Master_Mapping_Sheet!$E$2:$E$3143, ISNUMBER(
M"&amp;"aster_Mapping_Sheet!$E$2:$E$3143),
Master_Mapping_Sheet!$K$2:$K$3143=VALUE(RIGHT($A3,1))))), 0, sum(filter(
Master_Mapping_Sheet!$E$2:$E$3143, ISNUMBER(
Master_Mapping_Sheet!$E$2:$E$3143),
Master_Mapping_Sheet!$C$2:$C$3143=AH$1,
Master_Mapping_Sheet!$K$2:"&amp;"$K$3143=VALUE(RIGHT($A3,1))))/sum(filter(
Master_Mapping_Sheet!$E$2:$E$3143, ISNUMBER(
Master_Mapping_Sheet!$E$2:$E$3143),
Master_Mapping_Sheet!$K$2:$K$3143=VALUE(RIGHT($A3,1)))))"),0.08232605012680137)</f>
        <v>0.08232605013</v>
      </c>
      <c r="AI3" s="34">
        <f>IFERROR(__xludf.DUMMYFUNCTION("IF(ISNA(sum(filter(
Master_Mapping_Sheet!$E$2:$E$3143, ISNUMBER(
Master_Mapping_Sheet!$E$2:$E$3143),
Master_Mapping_Sheet!$C$2:$C$3143=AI$1,
Master_Mapping_Sheet!$K$2:$K$3143=VALUE(RIGHT($A3,1))))/sum(filter(
Master_Mapping_Sheet!$E$2:$E$3143, ISNUMBER(
M"&amp;"aster_Mapping_Sheet!$E$2:$E$3143),
Master_Mapping_Sheet!$K$2:$K$3143=VALUE(RIGHT($A3,1))))), 0, sum(filter(
Master_Mapping_Sheet!$E$2:$E$3143, ISNUMBER(
Master_Mapping_Sheet!$E$2:$E$3143),
Master_Mapping_Sheet!$C$2:$C$3143=AI$1,
Master_Mapping_Sheet!$K$2:"&amp;"$K$3143=VALUE(RIGHT($A3,1))))/sum(filter(
Master_Mapping_Sheet!$E$2:$E$3143, ISNUMBER(
Master_Mapping_Sheet!$E$2:$E$3143),
Master_Mapping_Sheet!$K$2:$K$3143=VALUE(RIGHT($A3,1)))))"),0.0)</f>
        <v>0</v>
      </c>
      <c r="AJ3" s="34">
        <f>IFERROR(__xludf.DUMMYFUNCTION("IF(ISNA(sum(filter(
Master_Mapping_Sheet!$E$2:$E$3143, ISNUMBER(
Master_Mapping_Sheet!$E$2:$E$3143),
Master_Mapping_Sheet!$C$2:$C$3143=AJ$1,
Master_Mapping_Sheet!$K$2:$K$3143=VALUE(RIGHT($A3,1))))/sum(filter(
Master_Mapping_Sheet!$E$2:$E$3143, ISNUMBER(
M"&amp;"aster_Mapping_Sheet!$E$2:$E$3143),
Master_Mapping_Sheet!$K$2:$K$3143=VALUE(RIGHT($A3,1))))), 0, sum(filter(
Master_Mapping_Sheet!$E$2:$E$3143, ISNUMBER(
Master_Mapping_Sheet!$E$2:$E$3143),
Master_Mapping_Sheet!$C$2:$C$3143=AJ$1,
Master_Mapping_Sheet!$K$2:"&amp;"$K$3143=VALUE(RIGHT($A3,1))))/sum(filter(
Master_Mapping_Sheet!$E$2:$E$3143, ISNUMBER(
Master_Mapping_Sheet!$E$2:$E$3143),
Master_Mapping_Sheet!$K$2:$K$3143=VALUE(RIGHT($A3,1)))))"),0.0)</f>
        <v>0</v>
      </c>
      <c r="AK3" s="34">
        <f>IFERROR(__xludf.DUMMYFUNCTION("IF(ISNA(sum(filter(
Master_Mapping_Sheet!$E$2:$E$3143, ISNUMBER(
Master_Mapping_Sheet!$E$2:$E$3143),
Master_Mapping_Sheet!$C$2:$C$3143=AK$1,
Master_Mapping_Sheet!$K$2:$K$3143=VALUE(RIGHT($A3,1))))/sum(filter(
Master_Mapping_Sheet!$E$2:$E$3143, ISNUMBER(
M"&amp;"aster_Mapping_Sheet!$E$2:$E$3143),
Master_Mapping_Sheet!$K$2:$K$3143=VALUE(RIGHT($A3,1))))), 0, sum(filter(
Master_Mapping_Sheet!$E$2:$E$3143, ISNUMBER(
Master_Mapping_Sheet!$E$2:$E$3143),
Master_Mapping_Sheet!$C$2:$C$3143=AK$1,
Master_Mapping_Sheet!$K$2:"&amp;"$K$3143=VALUE(RIGHT($A3,1))))/sum(filter(
Master_Mapping_Sheet!$E$2:$E$3143, ISNUMBER(
Master_Mapping_Sheet!$E$2:$E$3143),
Master_Mapping_Sheet!$K$2:$K$3143=VALUE(RIGHT($A3,1)))))"),0.12347481993366498)</f>
        <v>0.1234748199</v>
      </c>
      <c r="AL3" s="34">
        <f>IFERROR(__xludf.DUMMYFUNCTION("IF(ISNA(sum(filter(
Master_Mapping_Sheet!$E$2:$E$3143, ISNUMBER(
Master_Mapping_Sheet!$E$2:$E$3143),
Master_Mapping_Sheet!$C$2:$C$3143=AL$1,
Master_Mapping_Sheet!$K$2:$K$3143=VALUE(RIGHT($A3,1))))/sum(filter(
Master_Mapping_Sheet!$E$2:$E$3143, ISNUMBER(
M"&amp;"aster_Mapping_Sheet!$E$2:$E$3143),
Master_Mapping_Sheet!$K$2:$K$3143=VALUE(RIGHT($A3,1))))), 0, sum(filter(
Master_Mapping_Sheet!$E$2:$E$3143, ISNUMBER(
Master_Mapping_Sheet!$E$2:$E$3143),
Master_Mapping_Sheet!$C$2:$C$3143=AL$1,
Master_Mapping_Sheet!$K$2:"&amp;"$K$3143=VALUE(RIGHT($A3,1))))/sum(filter(
Master_Mapping_Sheet!$E$2:$E$3143, ISNUMBER(
Master_Mapping_Sheet!$E$2:$E$3143),
Master_Mapping_Sheet!$K$2:$K$3143=VALUE(RIGHT($A3,1)))))"),0.0)</f>
        <v>0</v>
      </c>
      <c r="AM3" s="34">
        <f>IFERROR(__xludf.DUMMYFUNCTION("IF(ISNA(sum(filter(
Master_Mapping_Sheet!$E$2:$E$3143, ISNUMBER(
Master_Mapping_Sheet!$E$2:$E$3143),
Master_Mapping_Sheet!$C$2:$C$3143=AM$1,
Master_Mapping_Sheet!$K$2:$K$3143=VALUE(RIGHT($A3,1))))/sum(filter(
Master_Mapping_Sheet!$E$2:$E$3143, ISNUMBER(
M"&amp;"aster_Mapping_Sheet!$E$2:$E$3143),
Master_Mapping_Sheet!$K$2:$K$3143=VALUE(RIGHT($A3,1))))), 0, sum(filter(
Master_Mapping_Sheet!$E$2:$E$3143, ISNUMBER(
Master_Mapping_Sheet!$E$2:$E$3143),
Master_Mapping_Sheet!$C$2:$C$3143=AM$1,
Master_Mapping_Sheet!$K$2:"&amp;"$K$3143=VALUE(RIGHT($A3,1))))/sum(filter(
Master_Mapping_Sheet!$E$2:$E$3143, ISNUMBER(
Master_Mapping_Sheet!$E$2:$E$3143),
Master_Mapping_Sheet!$K$2:$K$3143=VALUE(RIGHT($A3,1)))))"),0.006459767393687558)</f>
        <v>0.006459767394</v>
      </c>
      <c r="AN3" s="34">
        <f>IFERROR(__xludf.DUMMYFUNCTION("IF(ISNA(sum(filter(
Master_Mapping_Sheet!$E$2:$E$3143, ISNUMBER(
Master_Mapping_Sheet!$E$2:$E$3143),
Master_Mapping_Sheet!$C$2:$C$3143=AN$1,
Master_Mapping_Sheet!$K$2:$K$3143=VALUE(RIGHT($A3,1))))/sum(filter(
Master_Mapping_Sheet!$E$2:$E$3143, ISNUMBER(
M"&amp;"aster_Mapping_Sheet!$E$2:$E$3143),
Master_Mapping_Sheet!$K$2:$K$3143=VALUE(RIGHT($A3,1))))), 0, sum(filter(
Master_Mapping_Sheet!$E$2:$E$3143, ISNUMBER(
Master_Mapping_Sheet!$E$2:$E$3143),
Master_Mapping_Sheet!$C$2:$C$3143=AN$1,
Master_Mapping_Sheet!$K$2:"&amp;"$K$3143=VALUE(RIGHT($A3,1))))/sum(filter(
Master_Mapping_Sheet!$E$2:$E$3143, ISNUMBER(
Master_Mapping_Sheet!$E$2:$E$3143),
Master_Mapping_Sheet!$K$2:$K$3143=VALUE(RIGHT($A3,1)))))"),0.08514554610906955)</f>
        <v>0.08514554611</v>
      </c>
      <c r="AO3" s="34">
        <f>IFERROR(__xludf.DUMMYFUNCTION("IF(ISNA(sum(filter(
Master_Mapping_Sheet!$E$2:$E$3143, ISNUMBER(
Master_Mapping_Sheet!$E$2:$E$3143),
Master_Mapping_Sheet!$C$2:$C$3143=AO$1,
Master_Mapping_Sheet!$K$2:$K$3143=VALUE(RIGHT($A3,1))))/sum(filter(
Master_Mapping_Sheet!$E$2:$E$3143, ISNUMBER(
M"&amp;"aster_Mapping_Sheet!$E$2:$E$3143),
Master_Mapping_Sheet!$K$2:$K$3143=VALUE(RIGHT($A3,1))))), 0, sum(filter(
Master_Mapping_Sheet!$E$2:$E$3143, ISNUMBER(
Master_Mapping_Sheet!$E$2:$E$3143),
Master_Mapping_Sheet!$C$2:$C$3143=AO$1,
Master_Mapping_Sheet!$K$2:"&amp;"$K$3143=VALUE(RIGHT($A3,1))))/sum(filter(
Master_Mapping_Sheet!$E$2:$E$3143, ISNUMBER(
Master_Mapping_Sheet!$E$2:$E$3143),
Master_Mapping_Sheet!$K$2:$K$3143=VALUE(RIGHT($A3,1)))))"),0.013189716728496009)</f>
        <v>0.01318971673</v>
      </c>
      <c r="AP3" s="34">
        <f>IFERROR(__xludf.DUMMYFUNCTION("IF(ISNA(sum(filter(
Master_Mapping_Sheet!$E$2:$E$3143, ISNUMBER(
Master_Mapping_Sheet!$E$2:$E$3143),
Master_Mapping_Sheet!$C$2:$C$3143=AP$1,
Master_Mapping_Sheet!$K$2:$K$3143=VALUE(RIGHT($A3,1))))/sum(filter(
Master_Mapping_Sheet!$E$2:$E$3143, ISNUMBER(
M"&amp;"aster_Mapping_Sheet!$E$2:$E$3143),
Master_Mapping_Sheet!$K$2:$K$3143=VALUE(RIGHT($A3,1))))), 0, sum(filter(
Master_Mapping_Sheet!$E$2:$E$3143, ISNUMBER(
Master_Mapping_Sheet!$E$2:$E$3143),
Master_Mapping_Sheet!$C$2:$C$3143=AP$1,
Master_Mapping_Sheet!$K$2:"&amp;"$K$3143=VALUE(RIGHT($A3,1))))/sum(filter(
Master_Mapping_Sheet!$E$2:$E$3143, ISNUMBER(
Master_Mapping_Sheet!$E$2:$E$3143),
Master_Mapping_Sheet!$K$2:$K$3143=VALUE(RIGHT($A3,1)))))"),0.0)</f>
        <v>0</v>
      </c>
      <c r="AQ3" s="34">
        <f>IFERROR(__xludf.DUMMYFUNCTION("IF(ISNA(sum(filter(
Master_Mapping_Sheet!$E$2:$E$3143, ISNUMBER(
Master_Mapping_Sheet!$E$2:$E$3143),
Master_Mapping_Sheet!$C$2:$C$3143=AQ$1,
Master_Mapping_Sheet!$K$2:$K$3143=VALUE(RIGHT($A3,1))))/sum(filter(
Master_Mapping_Sheet!$E$2:$E$3143, ISNUMBER(
M"&amp;"aster_Mapping_Sheet!$E$2:$E$3143),
Master_Mapping_Sheet!$K$2:$K$3143=VALUE(RIGHT($A3,1))))), 0, sum(filter(
Master_Mapping_Sheet!$E$2:$E$3143, ISNUMBER(
Master_Mapping_Sheet!$E$2:$E$3143),
Master_Mapping_Sheet!$C$2:$C$3143=AQ$1,
Master_Mapping_Sheet!$K$2:"&amp;"$K$3143=VALUE(RIGHT($A3,1))))/sum(filter(
Master_Mapping_Sheet!$E$2:$E$3143, ISNUMBER(
Master_Mapping_Sheet!$E$2:$E$3143),
Master_Mapping_Sheet!$K$2:$K$3143=VALUE(RIGHT($A3,1)))))"),0.001317067762689898)</f>
        <v>0.001317067763</v>
      </c>
      <c r="AR3" s="34">
        <f>IFERROR(__xludf.DUMMYFUNCTION("IF(ISNA(sum(filter(
Master_Mapping_Sheet!$E$2:$E$3143, ISNUMBER(
Master_Mapping_Sheet!$E$2:$E$3143),
Master_Mapping_Sheet!$C$2:$C$3143=AR$1,
Master_Mapping_Sheet!$K$2:$K$3143=VALUE(RIGHT($A3,1))))/sum(filter(
Master_Mapping_Sheet!$E$2:$E$3143, ISNUMBER(
M"&amp;"aster_Mapping_Sheet!$E$2:$E$3143),
Master_Mapping_Sheet!$K$2:$K$3143=VALUE(RIGHT($A3,1))))), 0, sum(filter(
Master_Mapping_Sheet!$E$2:$E$3143, ISNUMBER(
Master_Mapping_Sheet!$E$2:$E$3143),
Master_Mapping_Sheet!$C$2:$C$3143=AR$1,
Master_Mapping_Sheet!$K$2:"&amp;"$K$3143=VALUE(RIGHT($A3,1))))/sum(filter(
Master_Mapping_Sheet!$E$2:$E$3143, ISNUMBER(
Master_Mapping_Sheet!$E$2:$E$3143),
Master_Mapping_Sheet!$K$2:$K$3143=VALUE(RIGHT($A3,1)))))"),0.0)</f>
        <v>0</v>
      </c>
      <c r="AS3" s="34">
        <f>IFERROR(__xludf.DUMMYFUNCTION("IF(ISNA(sum(filter(
Master_Mapping_Sheet!$E$2:$E$3143, ISNUMBER(
Master_Mapping_Sheet!$E$2:$E$3143),
Master_Mapping_Sheet!$C$2:$C$3143=AS$1,
Master_Mapping_Sheet!$K$2:$K$3143=VALUE(RIGHT($A3,1))))/sum(filter(
Master_Mapping_Sheet!$E$2:$E$3143, ISNUMBER(
M"&amp;"aster_Mapping_Sheet!$E$2:$E$3143),
Master_Mapping_Sheet!$K$2:$K$3143=VALUE(RIGHT($A3,1))))), 0, sum(filter(
Master_Mapping_Sheet!$E$2:$E$3143, ISNUMBER(
Master_Mapping_Sheet!$E$2:$E$3143),
Master_Mapping_Sheet!$C$2:$C$3143=AS$1,
Master_Mapping_Sheet!$K$2:"&amp;"$K$3143=VALUE(RIGHT($A3,1))))/sum(filter(
Master_Mapping_Sheet!$E$2:$E$3143, ISNUMBER(
Master_Mapping_Sheet!$E$2:$E$3143),
Master_Mapping_Sheet!$K$2:$K$3143=VALUE(RIGHT($A3,1)))))"),0.0)</f>
        <v>0</v>
      </c>
      <c r="AT3" s="34">
        <f>IFERROR(__xludf.DUMMYFUNCTION("IF(ISNA(sum(filter(
Master_Mapping_Sheet!$E$2:$E$3143, ISNUMBER(
Master_Mapping_Sheet!$E$2:$E$3143),
Master_Mapping_Sheet!$C$2:$C$3143=AT$1,
Master_Mapping_Sheet!$K$2:$K$3143=VALUE(RIGHT($A3,1))))/sum(filter(
Master_Mapping_Sheet!$E$2:$E$3143, ISNUMBER(
M"&amp;"aster_Mapping_Sheet!$E$2:$E$3143),
Master_Mapping_Sheet!$K$2:$K$3143=VALUE(RIGHT($A3,1))))), 0, sum(filter(
Master_Mapping_Sheet!$E$2:$E$3143, ISNUMBER(
Master_Mapping_Sheet!$E$2:$E$3143),
Master_Mapping_Sheet!$C$2:$C$3143=AT$1,
Master_Mapping_Sheet!$K$2:"&amp;"$K$3143=VALUE(RIGHT($A3,1))))/sum(filter(
Master_Mapping_Sheet!$E$2:$E$3143, ISNUMBER(
Master_Mapping_Sheet!$E$2:$E$3143),
Master_Mapping_Sheet!$K$2:$K$3143=VALUE(RIGHT($A3,1)))))"),0.03490063490469546)</f>
        <v>0.0349006349</v>
      </c>
      <c r="AU3" s="34">
        <f>IFERROR(__xludf.DUMMYFUNCTION("IF(ISNA(sum(filter(
Master_Mapping_Sheet!$E$2:$E$3143, ISNUMBER(
Master_Mapping_Sheet!$E$2:$E$3143),
Master_Mapping_Sheet!$C$2:$C$3143=AU$1,
Master_Mapping_Sheet!$K$2:$K$3143=VALUE(RIGHT($A3,1))))/sum(filter(
Master_Mapping_Sheet!$E$2:$E$3143, ISNUMBER(
M"&amp;"aster_Mapping_Sheet!$E$2:$E$3143),
Master_Mapping_Sheet!$K$2:$K$3143=VALUE(RIGHT($A3,1))))), 0, sum(filter(
Master_Mapping_Sheet!$E$2:$E$3143, ISNUMBER(
Master_Mapping_Sheet!$E$2:$E$3143),
Master_Mapping_Sheet!$C$2:$C$3143=AU$1,
Master_Mapping_Sheet!$K$2:"&amp;"$K$3143=VALUE(RIGHT($A3,1))))/sum(filter(
Master_Mapping_Sheet!$E$2:$E$3143, ISNUMBER(
Master_Mapping_Sheet!$E$2:$E$3143),
Master_Mapping_Sheet!$K$2:$K$3143=VALUE(RIGHT($A3,1)))))"),0.0)</f>
        <v>0</v>
      </c>
      <c r="AV3" s="34">
        <f>IFERROR(__xludf.DUMMYFUNCTION("IF(ISNA(sum(filter(
Master_Mapping_Sheet!$E$2:$E$3143, ISNUMBER(
Master_Mapping_Sheet!$E$2:$E$3143),
Master_Mapping_Sheet!$C$2:$C$3143=AV$1,
Master_Mapping_Sheet!$K$2:$K$3143=VALUE(RIGHT($A3,1))))/sum(filter(
Master_Mapping_Sheet!$E$2:$E$3143, ISNUMBER(
M"&amp;"aster_Mapping_Sheet!$E$2:$E$3143),
Master_Mapping_Sheet!$K$2:$K$3143=VALUE(RIGHT($A3,1))))), 0, sum(filter(
Master_Mapping_Sheet!$E$2:$E$3143, ISNUMBER(
Master_Mapping_Sheet!$E$2:$E$3143),
Master_Mapping_Sheet!$C$2:$C$3143=AV$1,
Master_Mapping_Sheet!$K$2:"&amp;"$K$3143=VALUE(RIGHT($A3,1))))/sum(filter(
Master_Mapping_Sheet!$E$2:$E$3143, ISNUMBER(
Master_Mapping_Sheet!$E$2:$E$3143),
Master_Mapping_Sheet!$K$2:$K$3143=VALUE(RIGHT($A3,1)))))"),0.0)</f>
        <v>0</v>
      </c>
      <c r="AW3" s="34">
        <f>IFERROR(__xludf.DUMMYFUNCTION("IF(ISNA(sum(filter(
Master_Mapping_Sheet!$E$2:$E$3143, ISNUMBER(
Master_Mapping_Sheet!$E$2:$E$3143),
Master_Mapping_Sheet!$C$2:$C$3143=AW$1,
Master_Mapping_Sheet!$K$2:$K$3143=VALUE(RIGHT($A3,1))))/sum(filter(
Master_Mapping_Sheet!$E$2:$E$3143, ISNUMBER(
M"&amp;"aster_Mapping_Sheet!$E$2:$E$3143),
Master_Mapping_Sheet!$K$2:$K$3143=VALUE(RIGHT($A3,1))))), 0, sum(filter(
Master_Mapping_Sheet!$E$2:$E$3143, ISNUMBER(
Master_Mapping_Sheet!$E$2:$E$3143),
Master_Mapping_Sheet!$C$2:$C$3143=AW$1,
Master_Mapping_Sheet!$K$2:"&amp;"$K$3143=VALUE(RIGHT($A3,1))))/sum(filter(
Master_Mapping_Sheet!$E$2:$E$3143, ISNUMBER(
Master_Mapping_Sheet!$E$2:$E$3143),
Master_Mapping_Sheet!$K$2:$K$3143=VALUE(RIGHT($A3,1)))))"),0.019458310842241235)</f>
        <v>0.01945831084</v>
      </c>
      <c r="AX3" s="34">
        <f>IFERROR(__xludf.DUMMYFUNCTION("IF(ISNA(sum(filter(
Master_Mapping_Sheet!$E$2:$E$3143, ISNUMBER(
Master_Mapping_Sheet!$E$2:$E$3143),
Master_Mapping_Sheet!$C$2:$C$3143=AX$1,
Master_Mapping_Sheet!$K$2:$K$3143=VALUE(RIGHT($A3,1))))/sum(filter(
Master_Mapping_Sheet!$E$2:$E$3143, ISNUMBER(
M"&amp;"aster_Mapping_Sheet!$E$2:$E$3143),
Master_Mapping_Sheet!$K$2:$K$3143=VALUE(RIGHT($A3,1))))), 0, sum(filter(
Master_Mapping_Sheet!$E$2:$E$3143, ISNUMBER(
Master_Mapping_Sheet!$E$2:$E$3143),
Master_Mapping_Sheet!$C$2:$C$3143=AX$1,
Master_Mapping_Sheet!$K$2:"&amp;"$K$3143=VALUE(RIGHT($A3,1))))/sum(filter(
Master_Mapping_Sheet!$E$2:$E$3143, ISNUMBER(
Master_Mapping_Sheet!$E$2:$E$3143),
Master_Mapping_Sheet!$K$2:$K$3143=VALUE(RIGHT($A3,1)))))"),0.009181420205295913)</f>
        <v>0.009181420205</v>
      </c>
      <c r="AY3" s="34">
        <f>IFERROR(__xludf.DUMMYFUNCTION("IF(ISNA(sum(filter(
Master_Mapping_Sheet!$E$2:$E$3143, ISNUMBER(
Master_Mapping_Sheet!$E$2:$E$3143),
Master_Mapping_Sheet!$C$2:$C$3143=AY$1,
Master_Mapping_Sheet!$K$2:$K$3143=VALUE(RIGHT($A3,1))))/sum(filter(
Master_Mapping_Sheet!$E$2:$E$3143, ISNUMBER(
M"&amp;"aster_Mapping_Sheet!$E$2:$E$3143),
Master_Mapping_Sheet!$K$2:$K$3143=VALUE(RIGHT($A3,1))))), 0, sum(filter(
Master_Mapping_Sheet!$E$2:$E$3143, ISNUMBER(
Master_Mapping_Sheet!$E$2:$E$3143),
Master_Mapping_Sheet!$C$2:$C$3143=AY$1,
Master_Mapping_Sheet!$K$2:"&amp;"$K$3143=VALUE(RIGHT($A3,1))))/sum(filter(
Master_Mapping_Sheet!$E$2:$E$3143, ISNUMBER(
Master_Mapping_Sheet!$E$2:$E$3143),
Master_Mapping_Sheet!$K$2:$K$3143=VALUE(RIGHT($A3,1)))))"),0.0)</f>
        <v>0</v>
      </c>
      <c r="AZ3" s="34">
        <f>IFERROR(__xludf.DUMMYFUNCTION("IF(ISNA(sum(filter(
Master_Mapping_Sheet!$E$2:$E$3143, ISNUMBER(
Master_Mapping_Sheet!$E$2:$E$3143),
Master_Mapping_Sheet!$C$2:$C$3143=AZ$1,
Master_Mapping_Sheet!$K$2:$K$3143=VALUE(RIGHT($A3,1))))/sum(filter(
Master_Mapping_Sheet!$E$2:$E$3143, ISNUMBER(
M"&amp;"aster_Mapping_Sheet!$E$2:$E$3143),
Master_Mapping_Sheet!$K$2:$K$3143=VALUE(RIGHT($A3,1))))), 0, sum(filter(
Master_Mapping_Sheet!$E$2:$E$3143, ISNUMBER(
Master_Mapping_Sheet!$E$2:$E$3143),
Master_Mapping_Sheet!$C$2:$C$3143=AZ$1,
Master_Mapping_Sheet!$K$2:"&amp;"$K$3143=VALUE(RIGHT($A3,1))))/sum(filter(
Master_Mapping_Sheet!$E$2:$E$3143, ISNUMBER(
Master_Mapping_Sheet!$E$2:$E$3143),
Master_Mapping_Sheet!$K$2:$K$3143=VALUE(RIGHT($A3,1)))))"),2.5499398523249294E-4)</f>
        <v>0.0002549939852</v>
      </c>
    </row>
    <row r="4" ht="15.75" customHeight="1">
      <c r="A4" s="45" t="s">
        <v>4248</v>
      </c>
      <c r="B4" s="34">
        <f>IFERROR(__xludf.DUMMYFUNCTION("IF(ISNA(sum(filter(
Master_Mapping_Sheet!$E$2:$E$3143, ISNUMBER(
Master_Mapping_Sheet!$E$2:$E$3143),
Master_Mapping_Sheet!$C$2:$C$3143=B$1,
Master_Mapping_Sheet!$K$2:$K$3143=VALUE(RIGHT($A4,1))))/sum(filter(
Master_Mapping_Sheet!$E$2:$E$3143, ISNUMBER(
Ma"&amp;"ster_Mapping_Sheet!$E$2:$E$3143),
Master_Mapping_Sheet!$K$2:$K$3143=VALUE(RIGHT($A4,1))))), 0, sum(filter(
Master_Mapping_Sheet!$E$2:$E$3143, ISNUMBER(
Master_Mapping_Sheet!$E$2:$E$3143),
Master_Mapping_Sheet!$C$2:$C$3143=B$1,
Master_Mapping_Sheet!$K$2:$K"&amp;"$3143=VALUE(RIGHT($A4,1))))/sum(filter(
Master_Mapping_Sheet!$E$2:$E$3143, ISNUMBER(
Master_Mapping_Sheet!$E$2:$E$3143),
Master_Mapping_Sheet!$K$2:$K$3143=VALUE(RIGHT($A4,1)))))"),0.0)</f>
        <v>0</v>
      </c>
      <c r="C4" s="34">
        <f>IFERROR(__xludf.DUMMYFUNCTION("IF(ISNA(sum(filter(
Master_Mapping_Sheet!$E$2:$E$3143, ISNUMBER(
Master_Mapping_Sheet!$E$2:$E$3143),
Master_Mapping_Sheet!$C$2:$C$3143=C$1,
Master_Mapping_Sheet!$K$2:$K$3143=VALUE(RIGHT($A4,1))))/sum(filter(
Master_Mapping_Sheet!$E$2:$E$3143, ISNUMBER(
Ma"&amp;"ster_Mapping_Sheet!$E$2:$E$3143),
Master_Mapping_Sheet!$K$2:$K$3143=VALUE(RIGHT($A4,1))))), 0, sum(filter(
Master_Mapping_Sheet!$E$2:$E$3143, ISNUMBER(
Master_Mapping_Sheet!$E$2:$E$3143),
Master_Mapping_Sheet!$C$2:$C$3143=C$1,
Master_Mapping_Sheet!$K$2:$K"&amp;"$3143=VALUE(RIGHT($A4,1))))/sum(filter(
Master_Mapping_Sheet!$E$2:$E$3143, ISNUMBER(
Master_Mapping_Sheet!$E$2:$E$3143),
Master_Mapping_Sheet!$K$2:$K$3143=VALUE(RIGHT($A4,1)))))"),0.0)</f>
        <v>0</v>
      </c>
      <c r="D4" s="34">
        <f>IFERROR(__xludf.DUMMYFUNCTION("IF(ISNA(sum(filter(
Master_Mapping_Sheet!$E$2:$E$3143, ISNUMBER(
Master_Mapping_Sheet!$E$2:$E$3143),
Master_Mapping_Sheet!$C$2:$C$3143=D$1,
Master_Mapping_Sheet!$K$2:$K$3143=VALUE(RIGHT($A4,1))))/sum(filter(
Master_Mapping_Sheet!$E$2:$E$3143, ISNUMBER(
Ma"&amp;"ster_Mapping_Sheet!$E$2:$E$3143),
Master_Mapping_Sheet!$K$2:$K$3143=VALUE(RIGHT($A4,1))))), 0, sum(filter(
Master_Mapping_Sheet!$E$2:$E$3143, ISNUMBER(
Master_Mapping_Sheet!$E$2:$E$3143),
Master_Mapping_Sheet!$C$2:$C$3143=D$1,
Master_Mapping_Sheet!$K$2:$K"&amp;"$3143=VALUE(RIGHT($A4,1))))/sum(filter(
Master_Mapping_Sheet!$E$2:$E$3143, ISNUMBER(
Master_Mapping_Sheet!$E$2:$E$3143),
Master_Mapping_Sheet!$K$2:$K$3143=VALUE(RIGHT($A4,1)))))"),0.005032301143364621)</f>
        <v>0.005032301143</v>
      </c>
      <c r="E4" s="34">
        <f>IFERROR(__xludf.DUMMYFUNCTION("IF(ISNA(sum(filter(
Master_Mapping_Sheet!$E$2:$E$3143, ISNUMBER(
Master_Mapping_Sheet!$E$2:$E$3143),
Master_Mapping_Sheet!$C$2:$C$3143=E$1,
Master_Mapping_Sheet!$K$2:$K$3143=VALUE(RIGHT($A4,1))))/sum(filter(
Master_Mapping_Sheet!$E$2:$E$3143, ISNUMBER(
Ma"&amp;"ster_Mapping_Sheet!$E$2:$E$3143),
Master_Mapping_Sheet!$K$2:$K$3143=VALUE(RIGHT($A4,1))))), 0, sum(filter(
Master_Mapping_Sheet!$E$2:$E$3143, ISNUMBER(
Master_Mapping_Sheet!$E$2:$E$3143),
Master_Mapping_Sheet!$C$2:$C$3143=E$1,
Master_Mapping_Sheet!$K$2:$K"&amp;"$3143=VALUE(RIGHT($A4,1))))/sum(filter(
Master_Mapping_Sheet!$E$2:$E$3143, ISNUMBER(
Master_Mapping_Sheet!$E$2:$E$3143),
Master_Mapping_Sheet!$K$2:$K$3143=VALUE(RIGHT($A4,1)))))"),0.01047344444730372)</f>
        <v>0.01047344445</v>
      </c>
      <c r="F4" s="34">
        <f>IFERROR(__xludf.DUMMYFUNCTION("IF(ISNA(sum(filter(
Master_Mapping_Sheet!$E$2:$E$3143, ISNUMBER(
Master_Mapping_Sheet!$E$2:$E$3143),
Master_Mapping_Sheet!$C$2:$C$3143=F$1,
Master_Mapping_Sheet!$K$2:$K$3143=VALUE(RIGHT($A4,1))))/sum(filter(
Master_Mapping_Sheet!$E$2:$E$3143, ISNUMBER(
Ma"&amp;"ster_Mapping_Sheet!$E$2:$E$3143),
Master_Mapping_Sheet!$K$2:$K$3143=VALUE(RIGHT($A4,1))))), 0, sum(filter(
Master_Mapping_Sheet!$E$2:$E$3143, ISNUMBER(
Master_Mapping_Sheet!$E$2:$E$3143),
Master_Mapping_Sheet!$C$2:$C$3143=F$1,
Master_Mapping_Sheet!$K$2:$K"&amp;"$3143=VALUE(RIGHT($A4,1))))/sum(filter(
Master_Mapping_Sheet!$E$2:$E$3143, ISNUMBER(
Master_Mapping_Sheet!$E$2:$E$3143),
Master_Mapping_Sheet!$K$2:$K$3143=VALUE(RIGHT($A4,1)))))"),0.004816783199652182)</f>
        <v>0.0048167832</v>
      </c>
      <c r="G4" s="34">
        <f>IFERROR(__xludf.DUMMYFUNCTION("IF(ISNA(sum(filter(
Master_Mapping_Sheet!$E$2:$E$3143, ISNUMBER(
Master_Mapping_Sheet!$E$2:$E$3143),
Master_Mapping_Sheet!$C$2:$C$3143=G$1,
Master_Mapping_Sheet!$K$2:$K$3143=VALUE(RIGHT($A4,1))))/sum(filter(
Master_Mapping_Sheet!$E$2:$E$3143, ISNUMBER(
Ma"&amp;"ster_Mapping_Sheet!$E$2:$E$3143),
Master_Mapping_Sheet!$K$2:$K$3143=VALUE(RIGHT($A4,1))))), 0, sum(filter(
Master_Mapping_Sheet!$E$2:$E$3143, ISNUMBER(
Master_Mapping_Sheet!$E$2:$E$3143),
Master_Mapping_Sheet!$C$2:$C$3143=G$1,
Master_Mapping_Sheet!$K$2:$K"&amp;"$3143=VALUE(RIGHT($A4,1))))/sum(filter(
Master_Mapping_Sheet!$E$2:$E$3143, ISNUMBER(
Master_Mapping_Sheet!$E$2:$E$3143),
Master_Mapping_Sheet!$K$2:$K$3143=VALUE(RIGHT($A4,1)))))"),0.004013005074441131)</f>
        <v>0.004013005074</v>
      </c>
      <c r="H4" s="34">
        <f>IFERROR(__xludf.DUMMYFUNCTION("IF(ISNA(sum(filter(
Master_Mapping_Sheet!$E$2:$E$3143, ISNUMBER(
Master_Mapping_Sheet!$E$2:$E$3143),
Master_Mapping_Sheet!$C$2:$C$3143=H$1,
Master_Mapping_Sheet!$K$2:$K$3143=VALUE(RIGHT($A4,1))))/sum(filter(
Master_Mapping_Sheet!$E$2:$E$3143, ISNUMBER(
Ma"&amp;"ster_Mapping_Sheet!$E$2:$E$3143),
Master_Mapping_Sheet!$K$2:$K$3143=VALUE(RIGHT($A4,1))))), 0, sum(filter(
Master_Mapping_Sheet!$E$2:$E$3143, ISNUMBER(
Master_Mapping_Sheet!$E$2:$E$3143),
Master_Mapping_Sheet!$C$2:$C$3143=H$1,
Master_Mapping_Sheet!$K$2:$K"&amp;"$3143=VALUE(RIGHT($A4,1))))/sum(filter(
Master_Mapping_Sheet!$E$2:$E$3143, ISNUMBER(
Master_Mapping_Sheet!$E$2:$E$3143),
Master_Mapping_Sheet!$K$2:$K$3143=VALUE(RIGHT($A4,1)))))"),0.0)</f>
        <v>0</v>
      </c>
      <c r="I4" s="34">
        <f>IFERROR(__xludf.DUMMYFUNCTION("IF(ISNA(sum(filter(
Master_Mapping_Sheet!$E$2:$E$3143, ISNUMBER(
Master_Mapping_Sheet!$E$2:$E$3143),
Master_Mapping_Sheet!$C$2:$C$3143=I$1,
Master_Mapping_Sheet!$K$2:$K$3143=VALUE(RIGHT($A4,1))))/sum(filter(
Master_Mapping_Sheet!$E$2:$E$3143, ISNUMBER(
Ma"&amp;"ster_Mapping_Sheet!$E$2:$E$3143),
Master_Mapping_Sheet!$K$2:$K$3143=VALUE(RIGHT($A4,1))))), 0, sum(filter(
Master_Mapping_Sheet!$E$2:$E$3143, ISNUMBER(
Master_Mapping_Sheet!$E$2:$E$3143),
Master_Mapping_Sheet!$C$2:$C$3143=I$1,
Master_Mapping_Sheet!$K$2:$K"&amp;"$3143=VALUE(RIGHT($A4,1))))/sum(filter(
Master_Mapping_Sheet!$E$2:$E$3143, ISNUMBER(
Master_Mapping_Sheet!$E$2:$E$3143),
Master_Mapping_Sheet!$K$2:$K$3143=VALUE(RIGHT($A4,1)))))"),0.01449461063269427)</f>
        <v>0.01449461063</v>
      </c>
      <c r="J4" s="34">
        <f>IFERROR(__xludf.DUMMYFUNCTION("IF(ISNA(sum(filter(
Master_Mapping_Sheet!$E$2:$E$3143, ISNUMBER(
Master_Mapping_Sheet!$E$2:$E$3143),
Master_Mapping_Sheet!$C$2:$C$3143=J$1,
Master_Mapping_Sheet!$K$2:$K$3143=VALUE(RIGHT($A4,1))))/sum(filter(
Master_Mapping_Sheet!$E$2:$E$3143, ISNUMBER(
Ma"&amp;"ster_Mapping_Sheet!$E$2:$E$3143),
Master_Mapping_Sheet!$K$2:$K$3143=VALUE(RIGHT($A4,1))))), 0, sum(filter(
Master_Mapping_Sheet!$E$2:$E$3143, ISNUMBER(
Master_Mapping_Sheet!$E$2:$E$3143),
Master_Mapping_Sheet!$C$2:$C$3143=J$1,
Master_Mapping_Sheet!$K$2:$K"&amp;"$3143=VALUE(RIGHT($A4,1))))/sum(filter(
Master_Mapping_Sheet!$E$2:$E$3143, ISNUMBER(
Master_Mapping_Sheet!$E$2:$E$3143),
Master_Mapping_Sheet!$K$2:$K$3143=VALUE(RIGHT($A4,1)))))"),0.00953729057409384)</f>
        <v>0.009537290574</v>
      </c>
      <c r="K4" s="34">
        <f>IFERROR(__xludf.DUMMYFUNCTION("IF(ISNA(sum(filter(
Master_Mapping_Sheet!$E$2:$E$3143, ISNUMBER(
Master_Mapping_Sheet!$E$2:$E$3143),
Master_Mapping_Sheet!$C$2:$C$3143=K$1,
Master_Mapping_Sheet!$K$2:$K$3143=VALUE(RIGHT($A4,1))))/sum(filter(
Master_Mapping_Sheet!$E$2:$E$3143, ISNUMBER(
Ma"&amp;"ster_Mapping_Sheet!$E$2:$E$3143),
Master_Mapping_Sheet!$K$2:$K$3143=VALUE(RIGHT($A4,1))))), 0, sum(filter(
Master_Mapping_Sheet!$E$2:$E$3143, ISNUMBER(
Master_Mapping_Sheet!$E$2:$E$3143),
Master_Mapping_Sheet!$C$2:$C$3143=K$1,
Master_Mapping_Sheet!$K$2:$K"&amp;"$3143=VALUE(RIGHT($A4,1))))/sum(filter(
Master_Mapping_Sheet!$E$2:$E$3143, ISNUMBER(
Master_Mapping_Sheet!$E$2:$E$3143),
Master_Mapping_Sheet!$K$2:$K$3143=VALUE(RIGHT($A4,1)))))"),0.0)</f>
        <v>0</v>
      </c>
      <c r="L4" s="34">
        <f>IFERROR(__xludf.DUMMYFUNCTION("IF(ISNA(sum(filter(
Master_Mapping_Sheet!$E$2:$E$3143, ISNUMBER(
Master_Mapping_Sheet!$E$2:$E$3143),
Master_Mapping_Sheet!$C$2:$C$3143=L$1,
Master_Mapping_Sheet!$K$2:$K$3143=VALUE(RIGHT($A4,1))))/sum(filter(
Master_Mapping_Sheet!$E$2:$E$3143, ISNUMBER(
Ma"&amp;"ster_Mapping_Sheet!$E$2:$E$3143),
Master_Mapping_Sheet!$K$2:$K$3143=VALUE(RIGHT($A4,1))))), 0, sum(filter(
Master_Mapping_Sheet!$E$2:$E$3143, ISNUMBER(
Master_Mapping_Sheet!$E$2:$E$3143),
Master_Mapping_Sheet!$C$2:$C$3143=L$1,
Master_Mapping_Sheet!$K$2:$K"&amp;"$3143=VALUE(RIGHT($A4,1))))/sum(filter(
Master_Mapping_Sheet!$E$2:$E$3143, ISNUMBER(
Master_Mapping_Sheet!$E$2:$E$3143),
Master_Mapping_Sheet!$K$2:$K$3143=VALUE(RIGHT($A4,1)))))"),0.0)</f>
        <v>0</v>
      </c>
      <c r="M4" s="34">
        <f>IFERROR(__xludf.DUMMYFUNCTION("IF(ISNA(sum(filter(
Master_Mapping_Sheet!$E$2:$E$3143, ISNUMBER(
Master_Mapping_Sheet!$E$2:$E$3143),
Master_Mapping_Sheet!$C$2:$C$3143=M$1,
Master_Mapping_Sheet!$K$2:$K$3143=VALUE(RIGHT($A4,1))))/sum(filter(
Master_Mapping_Sheet!$E$2:$E$3143, ISNUMBER(
Ma"&amp;"ster_Mapping_Sheet!$E$2:$E$3143),
Master_Mapping_Sheet!$K$2:$K$3143=VALUE(RIGHT($A4,1))))), 0, sum(filter(
Master_Mapping_Sheet!$E$2:$E$3143, ISNUMBER(
Master_Mapping_Sheet!$E$2:$E$3143),
Master_Mapping_Sheet!$C$2:$C$3143=M$1,
Master_Mapping_Sheet!$K$2:$K"&amp;"$3143=VALUE(RIGHT($A4,1))))/sum(filter(
Master_Mapping_Sheet!$E$2:$E$3143, ISNUMBER(
Master_Mapping_Sheet!$E$2:$E$3143),
Master_Mapping_Sheet!$K$2:$K$3143=VALUE(RIGHT($A4,1)))))"),0.0)</f>
        <v>0</v>
      </c>
      <c r="N4" s="34">
        <f>IFERROR(__xludf.DUMMYFUNCTION("IF(ISNA(sum(filter(
Master_Mapping_Sheet!$E$2:$E$3143, ISNUMBER(
Master_Mapping_Sheet!$E$2:$E$3143),
Master_Mapping_Sheet!$C$2:$C$3143=N$1,
Master_Mapping_Sheet!$K$2:$K$3143=VALUE(RIGHT($A4,1))))/sum(filter(
Master_Mapping_Sheet!$E$2:$E$3143, ISNUMBER(
Ma"&amp;"ster_Mapping_Sheet!$E$2:$E$3143),
Master_Mapping_Sheet!$K$2:$K$3143=VALUE(RIGHT($A4,1))))), 0, sum(filter(
Master_Mapping_Sheet!$E$2:$E$3143, ISNUMBER(
Master_Mapping_Sheet!$E$2:$E$3143),
Master_Mapping_Sheet!$C$2:$C$3143=N$1,
Master_Mapping_Sheet!$K$2:$K"&amp;"$3143=VALUE(RIGHT($A4,1))))/sum(filter(
Master_Mapping_Sheet!$E$2:$E$3143, ISNUMBER(
Master_Mapping_Sheet!$E$2:$E$3143),
Master_Mapping_Sheet!$K$2:$K$3143=VALUE(RIGHT($A4,1)))))"),0.0)</f>
        <v>0</v>
      </c>
      <c r="O4" s="34">
        <f>IFERROR(__xludf.DUMMYFUNCTION("IF(ISNA(sum(filter(
Master_Mapping_Sheet!$E$2:$E$3143, ISNUMBER(
Master_Mapping_Sheet!$E$2:$E$3143),
Master_Mapping_Sheet!$C$2:$C$3143=O$1,
Master_Mapping_Sheet!$K$2:$K$3143=VALUE(RIGHT($A4,1))))/sum(filter(
Master_Mapping_Sheet!$E$2:$E$3143, ISNUMBER(
Ma"&amp;"ster_Mapping_Sheet!$E$2:$E$3143),
Master_Mapping_Sheet!$K$2:$K$3143=VALUE(RIGHT($A4,1))))), 0, sum(filter(
Master_Mapping_Sheet!$E$2:$E$3143, ISNUMBER(
Master_Mapping_Sheet!$E$2:$E$3143),
Master_Mapping_Sheet!$C$2:$C$3143=O$1,
Master_Mapping_Sheet!$K$2:$K"&amp;"$3143=VALUE(RIGHT($A4,1))))/sum(filter(
Master_Mapping_Sheet!$E$2:$E$3143, ISNUMBER(
Master_Mapping_Sheet!$E$2:$E$3143),
Master_Mapping_Sheet!$K$2:$K$3143=VALUE(RIGHT($A4,1)))))"),0.01861917430121506)</f>
        <v>0.0186191743</v>
      </c>
      <c r="P4" s="34">
        <f>IFERROR(__xludf.DUMMYFUNCTION("IF(ISNA(sum(filter(
Master_Mapping_Sheet!$E$2:$E$3143, ISNUMBER(
Master_Mapping_Sheet!$E$2:$E$3143),
Master_Mapping_Sheet!$C$2:$C$3143=P$1,
Master_Mapping_Sheet!$K$2:$K$3143=VALUE(RIGHT($A4,1))))/sum(filter(
Master_Mapping_Sheet!$E$2:$E$3143, ISNUMBER(
Ma"&amp;"ster_Mapping_Sheet!$E$2:$E$3143),
Master_Mapping_Sheet!$K$2:$K$3143=VALUE(RIGHT($A4,1))))), 0, sum(filter(
Master_Mapping_Sheet!$E$2:$E$3143, ISNUMBER(
Master_Mapping_Sheet!$E$2:$E$3143),
Master_Mapping_Sheet!$C$2:$C$3143=P$1,
Master_Mapping_Sheet!$K$2:$K"&amp;"$3143=VALUE(RIGHT($A4,1))))/sum(filter(
Master_Mapping_Sheet!$E$2:$E$3143, ISNUMBER(
Master_Mapping_Sheet!$E$2:$E$3143),
Master_Mapping_Sheet!$K$2:$K$3143=VALUE(RIGHT($A4,1)))))"),0.0189190705469467)</f>
        <v>0.01891907055</v>
      </c>
      <c r="Q4" s="34">
        <f>IFERROR(__xludf.DUMMYFUNCTION("IF(ISNA(sum(filter(
Master_Mapping_Sheet!$E$2:$E$3143, ISNUMBER(
Master_Mapping_Sheet!$E$2:$E$3143),
Master_Mapping_Sheet!$C$2:$C$3143=Q$1,
Master_Mapping_Sheet!$K$2:$K$3143=VALUE(RIGHT($A4,1))))/sum(filter(
Master_Mapping_Sheet!$E$2:$E$3143, ISNUMBER(
Ma"&amp;"ster_Mapping_Sheet!$E$2:$E$3143),
Master_Mapping_Sheet!$K$2:$K$3143=VALUE(RIGHT($A4,1))))), 0, sum(filter(
Master_Mapping_Sheet!$E$2:$E$3143, ISNUMBER(
Master_Mapping_Sheet!$E$2:$E$3143),
Master_Mapping_Sheet!$C$2:$C$3143=Q$1,
Master_Mapping_Sheet!$K$2:$K"&amp;"$3143=VALUE(RIGHT($A4,1))))/sum(filter(
Master_Mapping_Sheet!$E$2:$E$3143, ISNUMBER(
Master_Mapping_Sheet!$E$2:$E$3143),
Master_Mapping_Sheet!$K$2:$K$3143=VALUE(RIGHT($A4,1)))))"),0.0)</f>
        <v>0</v>
      </c>
      <c r="R4" s="34">
        <f>IFERROR(__xludf.DUMMYFUNCTION("IF(ISNA(sum(filter(
Master_Mapping_Sheet!$E$2:$E$3143, ISNUMBER(
Master_Mapping_Sheet!$E$2:$E$3143),
Master_Mapping_Sheet!$C$2:$C$3143=R$1,
Master_Mapping_Sheet!$K$2:$K$3143=VALUE(RIGHT($A4,1))))/sum(filter(
Master_Mapping_Sheet!$E$2:$E$3143, ISNUMBER(
Ma"&amp;"ster_Mapping_Sheet!$E$2:$E$3143),
Master_Mapping_Sheet!$K$2:$K$3143=VALUE(RIGHT($A4,1))))), 0, sum(filter(
Master_Mapping_Sheet!$E$2:$E$3143, ISNUMBER(
Master_Mapping_Sheet!$E$2:$E$3143),
Master_Mapping_Sheet!$C$2:$C$3143=R$1,
Master_Mapping_Sheet!$K$2:$K"&amp;"$3143=VALUE(RIGHT($A4,1))))/sum(filter(
Master_Mapping_Sheet!$E$2:$E$3143, ISNUMBER(
Master_Mapping_Sheet!$E$2:$E$3143),
Master_Mapping_Sheet!$K$2:$K$3143=VALUE(RIGHT($A4,1)))))"),0.039387895327866525)</f>
        <v>0.03938789533</v>
      </c>
      <c r="S4" s="34">
        <f>IFERROR(__xludf.DUMMYFUNCTION("IF(ISNA(sum(filter(
Master_Mapping_Sheet!$E$2:$E$3143, ISNUMBER(
Master_Mapping_Sheet!$E$2:$E$3143),
Master_Mapping_Sheet!$C$2:$C$3143=S$1,
Master_Mapping_Sheet!$K$2:$K$3143=VALUE(RIGHT($A4,1))))/sum(filter(
Master_Mapping_Sheet!$E$2:$E$3143, ISNUMBER(
Ma"&amp;"ster_Mapping_Sheet!$E$2:$E$3143),
Master_Mapping_Sheet!$K$2:$K$3143=VALUE(RIGHT($A4,1))))), 0, sum(filter(
Master_Mapping_Sheet!$E$2:$E$3143, ISNUMBER(
Master_Mapping_Sheet!$E$2:$E$3143),
Master_Mapping_Sheet!$C$2:$C$3143=S$1,
Master_Mapping_Sheet!$K$2:$K"&amp;"$3143=VALUE(RIGHT($A4,1))))/sum(filter(
Master_Mapping_Sheet!$E$2:$E$3143, ISNUMBER(
Master_Mapping_Sheet!$E$2:$E$3143),
Master_Mapping_Sheet!$K$2:$K$3143=VALUE(RIGHT($A4,1)))))"),0.0635773579486299)</f>
        <v>0.06357735795</v>
      </c>
      <c r="T4" s="34">
        <f>IFERROR(__xludf.DUMMYFUNCTION("IF(ISNA(sum(filter(
Master_Mapping_Sheet!$E$2:$E$3143, ISNUMBER(
Master_Mapping_Sheet!$E$2:$E$3143),
Master_Mapping_Sheet!$C$2:$C$3143=T$1,
Master_Mapping_Sheet!$K$2:$K$3143=VALUE(RIGHT($A4,1))))/sum(filter(
Master_Mapping_Sheet!$E$2:$E$3143, ISNUMBER(
Ma"&amp;"ster_Mapping_Sheet!$E$2:$E$3143),
Master_Mapping_Sheet!$K$2:$K$3143=VALUE(RIGHT($A4,1))))), 0, sum(filter(
Master_Mapping_Sheet!$E$2:$E$3143, ISNUMBER(
Master_Mapping_Sheet!$E$2:$E$3143),
Master_Mapping_Sheet!$C$2:$C$3143=T$1,
Master_Mapping_Sheet!$K$2:$K"&amp;"$3143=VALUE(RIGHT($A4,1))))/sum(filter(
Master_Mapping_Sheet!$E$2:$E$3143, ISNUMBER(
Master_Mapping_Sheet!$E$2:$E$3143),
Master_Mapping_Sheet!$K$2:$K$3143=VALUE(RIGHT($A4,1)))))"),0.0)</f>
        <v>0</v>
      </c>
      <c r="U4" s="34">
        <f>IFERROR(__xludf.DUMMYFUNCTION("IF(ISNA(sum(filter(
Master_Mapping_Sheet!$E$2:$E$3143, ISNUMBER(
Master_Mapping_Sheet!$E$2:$E$3143),
Master_Mapping_Sheet!$C$2:$C$3143=U$1,
Master_Mapping_Sheet!$K$2:$K$3143=VALUE(RIGHT($A4,1))))/sum(filter(
Master_Mapping_Sheet!$E$2:$E$3143, ISNUMBER(
Ma"&amp;"ster_Mapping_Sheet!$E$2:$E$3143),
Master_Mapping_Sheet!$K$2:$K$3143=VALUE(RIGHT($A4,1))))), 0, sum(filter(
Master_Mapping_Sheet!$E$2:$E$3143, ISNUMBER(
Master_Mapping_Sheet!$E$2:$E$3143),
Master_Mapping_Sheet!$C$2:$C$3143=U$1,
Master_Mapping_Sheet!$K$2:$K"&amp;"$3143=VALUE(RIGHT($A4,1))))/sum(filter(
Master_Mapping_Sheet!$E$2:$E$3143, ISNUMBER(
Master_Mapping_Sheet!$E$2:$E$3143),
Master_Mapping_Sheet!$K$2:$K$3143=VALUE(RIGHT($A4,1)))))"),0.0)</f>
        <v>0</v>
      </c>
      <c r="V4" s="34">
        <f>IFERROR(__xludf.DUMMYFUNCTION("IF(ISNA(sum(filter(
Master_Mapping_Sheet!$E$2:$E$3143, ISNUMBER(
Master_Mapping_Sheet!$E$2:$E$3143),
Master_Mapping_Sheet!$C$2:$C$3143=V$1,
Master_Mapping_Sheet!$K$2:$K$3143=VALUE(RIGHT($A4,1))))/sum(filter(
Master_Mapping_Sheet!$E$2:$E$3143, ISNUMBER(
Ma"&amp;"ster_Mapping_Sheet!$E$2:$E$3143),
Master_Mapping_Sheet!$K$2:$K$3143=VALUE(RIGHT($A4,1))))), 0, sum(filter(
Master_Mapping_Sheet!$E$2:$E$3143, ISNUMBER(
Master_Mapping_Sheet!$E$2:$E$3143),
Master_Mapping_Sheet!$C$2:$C$3143=V$1,
Master_Mapping_Sheet!$K$2:$K"&amp;"$3143=VALUE(RIGHT($A4,1))))/sum(filter(
Master_Mapping_Sheet!$E$2:$E$3143, ISNUMBER(
Master_Mapping_Sheet!$E$2:$E$3143),
Master_Mapping_Sheet!$K$2:$K$3143=VALUE(RIGHT($A4,1)))))"),0.08546771902764282)</f>
        <v>0.08546771903</v>
      </c>
      <c r="W4" s="34">
        <f>IFERROR(__xludf.DUMMYFUNCTION("IF(ISNA(sum(filter(
Master_Mapping_Sheet!$E$2:$E$3143, ISNUMBER(
Master_Mapping_Sheet!$E$2:$E$3143),
Master_Mapping_Sheet!$C$2:$C$3143=W$1,
Master_Mapping_Sheet!$K$2:$K$3143=VALUE(RIGHT($A4,1))))/sum(filter(
Master_Mapping_Sheet!$E$2:$E$3143, ISNUMBER(
Ma"&amp;"ster_Mapping_Sheet!$E$2:$E$3143),
Master_Mapping_Sheet!$K$2:$K$3143=VALUE(RIGHT($A4,1))))), 0, sum(filter(
Master_Mapping_Sheet!$E$2:$E$3143, ISNUMBER(
Master_Mapping_Sheet!$E$2:$E$3143),
Master_Mapping_Sheet!$C$2:$C$3143=W$1,
Master_Mapping_Sheet!$K$2:$K"&amp;"$3143=VALUE(RIGHT($A4,1))))/sum(filter(
Master_Mapping_Sheet!$E$2:$E$3143, ISNUMBER(
Master_Mapping_Sheet!$E$2:$E$3143),
Master_Mapping_Sheet!$K$2:$K$3143=VALUE(RIGHT($A4,1)))))"),0.0)</f>
        <v>0</v>
      </c>
      <c r="X4" s="34">
        <f>IFERROR(__xludf.DUMMYFUNCTION("IF(ISNA(sum(filter(
Master_Mapping_Sheet!$E$2:$E$3143, ISNUMBER(
Master_Mapping_Sheet!$E$2:$E$3143),
Master_Mapping_Sheet!$C$2:$C$3143=X$1,
Master_Mapping_Sheet!$K$2:$K$3143=VALUE(RIGHT($A4,1))))/sum(filter(
Master_Mapping_Sheet!$E$2:$E$3143, ISNUMBER(
Ma"&amp;"ster_Mapping_Sheet!$E$2:$E$3143),
Master_Mapping_Sheet!$K$2:$K$3143=VALUE(RIGHT($A4,1))))), 0, sum(filter(
Master_Mapping_Sheet!$E$2:$E$3143, ISNUMBER(
Master_Mapping_Sheet!$E$2:$E$3143),
Master_Mapping_Sheet!$C$2:$C$3143=X$1,
Master_Mapping_Sheet!$K$2:$K"&amp;"$3143=VALUE(RIGHT($A4,1))))/sum(filter(
Master_Mapping_Sheet!$E$2:$E$3143, ISNUMBER(
Master_Mapping_Sheet!$E$2:$E$3143),
Master_Mapping_Sheet!$K$2:$K$3143=VALUE(RIGHT($A4,1)))))"),0.0)</f>
        <v>0</v>
      </c>
      <c r="Y4" s="34">
        <f>IFERROR(__xludf.DUMMYFUNCTION("IF(ISNA(sum(filter(
Master_Mapping_Sheet!$E$2:$E$3143, ISNUMBER(
Master_Mapping_Sheet!$E$2:$E$3143),
Master_Mapping_Sheet!$C$2:$C$3143=Y$1,
Master_Mapping_Sheet!$K$2:$K$3143=VALUE(RIGHT($A4,1))))/sum(filter(
Master_Mapping_Sheet!$E$2:$E$3143, ISNUMBER(
Ma"&amp;"ster_Mapping_Sheet!$E$2:$E$3143),
Master_Mapping_Sheet!$K$2:$K$3143=VALUE(RIGHT($A4,1))))), 0, sum(filter(
Master_Mapping_Sheet!$E$2:$E$3143, ISNUMBER(
Master_Mapping_Sheet!$E$2:$E$3143),
Master_Mapping_Sheet!$C$2:$C$3143=Y$1,
Master_Mapping_Sheet!$K$2:$K"&amp;"$3143=VALUE(RIGHT($A4,1))))/sum(filter(
Master_Mapping_Sheet!$E$2:$E$3143, ISNUMBER(
Master_Mapping_Sheet!$E$2:$E$3143),
Master_Mapping_Sheet!$K$2:$K$3143=VALUE(RIGHT($A4,1)))))"),0.0)</f>
        <v>0</v>
      </c>
      <c r="Z4" s="34">
        <f>IFERROR(__xludf.DUMMYFUNCTION("IF(ISNA(sum(filter(
Master_Mapping_Sheet!$E$2:$E$3143, ISNUMBER(
Master_Mapping_Sheet!$E$2:$E$3143),
Master_Mapping_Sheet!$C$2:$C$3143=Z$1,
Master_Mapping_Sheet!$K$2:$K$3143=VALUE(RIGHT($A4,1))))/sum(filter(
Master_Mapping_Sheet!$E$2:$E$3143, ISNUMBER(
Ma"&amp;"ster_Mapping_Sheet!$E$2:$E$3143),
Master_Mapping_Sheet!$K$2:$K$3143=VALUE(RIGHT($A4,1))))), 0, sum(filter(
Master_Mapping_Sheet!$E$2:$E$3143, ISNUMBER(
Master_Mapping_Sheet!$E$2:$E$3143),
Master_Mapping_Sheet!$C$2:$C$3143=Z$1,
Master_Mapping_Sheet!$K$2:$K"&amp;"$3143=VALUE(RIGHT($A4,1))))/sum(filter(
Master_Mapping_Sheet!$E$2:$E$3143, ISNUMBER(
Master_Mapping_Sheet!$E$2:$E$3143),
Master_Mapping_Sheet!$K$2:$K$3143=VALUE(RIGHT($A4,1)))))"),0.0)</f>
        <v>0</v>
      </c>
      <c r="AA4" s="34">
        <f>IFERROR(__xludf.DUMMYFUNCTION("IF(ISNA(sum(filter(
Master_Mapping_Sheet!$E$2:$E$3143, ISNUMBER(
Master_Mapping_Sheet!$E$2:$E$3143),
Master_Mapping_Sheet!$C$2:$C$3143=AA$1,
Master_Mapping_Sheet!$K$2:$K$3143=VALUE(RIGHT($A4,1))))/sum(filter(
Master_Mapping_Sheet!$E$2:$E$3143, ISNUMBER(
M"&amp;"aster_Mapping_Sheet!$E$2:$E$3143),
Master_Mapping_Sheet!$K$2:$K$3143=VALUE(RIGHT($A4,1))))), 0, sum(filter(
Master_Mapping_Sheet!$E$2:$E$3143, ISNUMBER(
Master_Mapping_Sheet!$E$2:$E$3143),
Master_Mapping_Sheet!$C$2:$C$3143=AA$1,
Master_Mapping_Sheet!$K$2:"&amp;"$K$3143=VALUE(RIGHT($A4,1))))/sum(filter(
Master_Mapping_Sheet!$E$2:$E$3143, ISNUMBER(
Master_Mapping_Sheet!$E$2:$E$3143),
Master_Mapping_Sheet!$K$2:$K$3143=VALUE(RIGHT($A4,1)))))"),0.08069404503539815)</f>
        <v>0.08069404504</v>
      </c>
      <c r="AB4" s="34">
        <f>IFERROR(__xludf.DUMMYFUNCTION("IF(ISNA(sum(filter(
Master_Mapping_Sheet!$E$2:$E$3143, ISNUMBER(
Master_Mapping_Sheet!$E$2:$E$3143),
Master_Mapping_Sheet!$C$2:$C$3143=AB$1,
Master_Mapping_Sheet!$K$2:$K$3143=VALUE(RIGHT($A4,1))))/sum(filter(
Master_Mapping_Sheet!$E$2:$E$3143, ISNUMBER(
M"&amp;"aster_Mapping_Sheet!$E$2:$E$3143),
Master_Mapping_Sheet!$K$2:$K$3143=VALUE(RIGHT($A4,1))))), 0, sum(filter(
Master_Mapping_Sheet!$E$2:$E$3143, ISNUMBER(
Master_Mapping_Sheet!$E$2:$E$3143),
Master_Mapping_Sheet!$C$2:$C$3143=AB$1,
Master_Mapping_Sheet!$K$2:"&amp;"$K$3143=VALUE(RIGHT($A4,1))))/sum(filter(
Master_Mapping_Sheet!$E$2:$E$3143, ISNUMBER(
Master_Mapping_Sheet!$E$2:$E$3143),
Master_Mapping_Sheet!$K$2:$K$3143=VALUE(RIGHT($A4,1)))))"),0.0)</f>
        <v>0</v>
      </c>
      <c r="AC4" s="34">
        <f>IFERROR(__xludf.DUMMYFUNCTION("IF(ISNA(sum(filter(
Master_Mapping_Sheet!$E$2:$E$3143, ISNUMBER(
Master_Mapping_Sheet!$E$2:$E$3143),
Master_Mapping_Sheet!$C$2:$C$3143=AC$1,
Master_Mapping_Sheet!$K$2:$K$3143=VALUE(RIGHT($A4,1))))/sum(filter(
Master_Mapping_Sheet!$E$2:$E$3143, ISNUMBER(
M"&amp;"aster_Mapping_Sheet!$E$2:$E$3143),
Master_Mapping_Sheet!$K$2:$K$3143=VALUE(RIGHT($A4,1))))), 0, sum(filter(
Master_Mapping_Sheet!$E$2:$E$3143, ISNUMBER(
Master_Mapping_Sheet!$E$2:$E$3143),
Master_Mapping_Sheet!$C$2:$C$3143=AC$1,
Master_Mapping_Sheet!$K$2:"&amp;"$K$3143=VALUE(RIGHT($A4,1))))/sum(filter(
Master_Mapping_Sheet!$E$2:$E$3143, ISNUMBER(
Master_Mapping_Sheet!$E$2:$E$3143),
Master_Mapping_Sheet!$K$2:$K$3143=VALUE(RIGHT($A4,1)))))"),0.0)</f>
        <v>0</v>
      </c>
      <c r="AD4" s="34">
        <f>IFERROR(__xludf.DUMMYFUNCTION("IF(ISNA(sum(filter(
Master_Mapping_Sheet!$E$2:$E$3143, ISNUMBER(
Master_Mapping_Sheet!$E$2:$E$3143),
Master_Mapping_Sheet!$C$2:$C$3143=AD$1,
Master_Mapping_Sheet!$K$2:$K$3143=VALUE(RIGHT($A4,1))))/sum(filter(
Master_Mapping_Sheet!$E$2:$E$3143, ISNUMBER(
M"&amp;"aster_Mapping_Sheet!$E$2:$E$3143),
Master_Mapping_Sheet!$K$2:$K$3143=VALUE(RIGHT($A4,1))))), 0, sum(filter(
Master_Mapping_Sheet!$E$2:$E$3143, ISNUMBER(
Master_Mapping_Sheet!$E$2:$E$3143),
Master_Mapping_Sheet!$C$2:$C$3143=AD$1,
Master_Mapping_Sheet!$K$2:"&amp;"$K$3143=VALUE(RIGHT($A4,1))))/sum(filter(
Master_Mapping_Sheet!$E$2:$E$3143, ISNUMBER(
Master_Mapping_Sheet!$E$2:$E$3143),
Master_Mapping_Sheet!$K$2:$K$3143=VALUE(RIGHT($A4,1)))))"),0.0)</f>
        <v>0</v>
      </c>
      <c r="AE4" s="34">
        <f>IFERROR(__xludf.DUMMYFUNCTION("IF(ISNA(sum(filter(
Master_Mapping_Sheet!$E$2:$E$3143, ISNUMBER(
Master_Mapping_Sheet!$E$2:$E$3143),
Master_Mapping_Sheet!$C$2:$C$3143=AE$1,
Master_Mapping_Sheet!$K$2:$K$3143=VALUE(RIGHT($A4,1))))/sum(filter(
Master_Mapping_Sheet!$E$2:$E$3143, ISNUMBER(
M"&amp;"aster_Mapping_Sheet!$E$2:$E$3143),
Master_Mapping_Sheet!$K$2:$K$3143=VALUE(RIGHT($A4,1))))), 0, sum(filter(
Master_Mapping_Sheet!$E$2:$E$3143, ISNUMBER(
Master_Mapping_Sheet!$E$2:$E$3143),
Master_Mapping_Sheet!$C$2:$C$3143=AE$1,
Master_Mapping_Sheet!$K$2:"&amp;"$K$3143=VALUE(RIGHT($A4,1))))/sum(filter(
Master_Mapping_Sheet!$E$2:$E$3143, ISNUMBER(
Master_Mapping_Sheet!$E$2:$E$3143),
Master_Mapping_Sheet!$K$2:$K$3143=VALUE(RIGHT($A4,1)))))"),0.0)</f>
        <v>0</v>
      </c>
      <c r="AF4" s="34">
        <f>IFERROR(__xludf.DUMMYFUNCTION("IF(ISNA(sum(filter(
Master_Mapping_Sheet!$E$2:$E$3143, ISNUMBER(
Master_Mapping_Sheet!$E$2:$E$3143),
Master_Mapping_Sheet!$C$2:$C$3143=AF$1,
Master_Mapping_Sheet!$K$2:$K$3143=VALUE(RIGHT($A4,1))))/sum(filter(
Master_Mapping_Sheet!$E$2:$E$3143, ISNUMBER(
M"&amp;"aster_Mapping_Sheet!$E$2:$E$3143),
Master_Mapping_Sheet!$K$2:$K$3143=VALUE(RIGHT($A4,1))))), 0, sum(filter(
Master_Mapping_Sheet!$E$2:$E$3143, ISNUMBER(
Master_Mapping_Sheet!$E$2:$E$3143),
Master_Mapping_Sheet!$C$2:$C$3143=AF$1,
Master_Mapping_Sheet!$K$2:"&amp;"$K$3143=VALUE(RIGHT($A4,1))))/sum(filter(
Master_Mapping_Sheet!$E$2:$E$3143, ISNUMBER(
Master_Mapping_Sheet!$E$2:$E$3143),
Master_Mapping_Sheet!$K$2:$K$3143=VALUE(RIGHT($A4,1)))))"),0.09227081268708047)</f>
        <v>0.09227081269</v>
      </c>
      <c r="AG4" s="34">
        <f>IFERROR(__xludf.DUMMYFUNCTION("IF(ISNA(sum(filter(
Master_Mapping_Sheet!$E$2:$E$3143, ISNUMBER(
Master_Mapping_Sheet!$E$2:$E$3143),
Master_Mapping_Sheet!$C$2:$C$3143=AG$1,
Master_Mapping_Sheet!$K$2:$K$3143=VALUE(RIGHT($A4,1))))/sum(filter(
Master_Mapping_Sheet!$E$2:$E$3143, ISNUMBER(
M"&amp;"aster_Mapping_Sheet!$E$2:$E$3143),
Master_Mapping_Sheet!$K$2:$K$3143=VALUE(RIGHT($A4,1))))), 0, sum(filter(
Master_Mapping_Sheet!$E$2:$E$3143, ISNUMBER(
Master_Mapping_Sheet!$E$2:$E$3143),
Master_Mapping_Sheet!$C$2:$C$3143=AG$1,
Master_Mapping_Sheet!$K$2:"&amp;"$K$3143=VALUE(RIGHT($A4,1))))/sum(filter(
Master_Mapping_Sheet!$E$2:$E$3143, ISNUMBER(
Master_Mapping_Sheet!$E$2:$E$3143),
Master_Mapping_Sheet!$K$2:$K$3143=VALUE(RIGHT($A4,1)))))"),0.012521307382442639)</f>
        <v>0.01252130738</v>
      </c>
      <c r="AH4" s="34">
        <f>IFERROR(__xludf.DUMMYFUNCTION("IF(ISNA(sum(filter(
Master_Mapping_Sheet!$E$2:$E$3143, ISNUMBER(
Master_Mapping_Sheet!$E$2:$E$3143),
Master_Mapping_Sheet!$C$2:$C$3143=AH$1,
Master_Mapping_Sheet!$K$2:$K$3143=VALUE(RIGHT($A4,1))))/sum(filter(
Master_Mapping_Sheet!$E$2:$E$3143, ISNUMBER(
M"&amp;"aster_Mapping_Sheet!$E$2:$E$3143),
Master_Mapping_Sheet!$K$2:$K$3143=VALUE(RIGHT($A4,1))))), 0, sum(filter(
Master_Mapping_Sheet!$E$2:$E$3143, ISNUMBER(
Master_Mapping_Sheet!$E$2:$E$3143),
Master_Mapping_Sheet!$C$2:$C$3143=AH$1,
Master_Mapping_Sheet!$K$2:"&amp;"$K$3143=VALUE(RIGHT($A4,1))))/sum(filter(
Master_Mapping_Sheet!$E$2:$E$3143, ISNUMBER(
Master_Mapping_Sheet!$E$2:$E$3143),
Master_Mapping_Sheet!$K$2:$K$3143=VALUE(RIGHT($A4,1)))))"),0.14932398750813441)</f>
        <v>0.1493239875</v>
      </c>
      <c r="AI4" s="34">
        <f>IFERROR(__xludf.DUMMYFUNCTION("IF(ISNA(sum(filter(
Master_Mapping_Sheet!$E$2:$E$3143, ISNUMBER(
Master_Mapping_Sheet!$E$2:$E$3143),
Master_Mapping_Sheet!$C$2:$C$3143=AI$1,
Master_Mapping_Sheet!$K$2:$K$3143=VALUE(RIGHT($A4,1))))/sum(filter(
Master_Mapping_Sheet!$E$2:$E$3143, ISNUMBER(
M"&amp;"aster_Mapping_Sheet!$E$2:$E$3143),
Master_Mapping_Sheet!$K$2:$K$3143=VALUE(RIGHT($A4,1))))), 0, sum(filter(
Master_Mapping_Sheet!$E$2:$E$3143, ISNUMBER(
Master_Mapping_Sheet!$E$2:$E$3143),
Master_Mapping_Sheet!$C$2:$C$3143=AI$1,
Master_Mapping_Sheet!$K$2:"&amp;"$K$3143=VALUE(RIGHT($A4,1))))/sum(filter(
Master_Mapping_Sheet!$E$2:$E$3143, ISNUMBER(
Master_Mapping_Sheet!$E$2:$E$3143),
Master_Mapping_Sheet!$K$2:$K$3143=VALUE(RIGHT($A4,1)))))"),0.013880279845477721)</f>
        <v>0.01388027985</v>
      </c>
      <c r="AJ4" s="34">
        <f>IFERROR(__xludf.DUMMYFUNCTION("IF(ISNA(sum(filter(
Master_Mapping_Sheet!$E$2:$E$3143, ISNUMBER(
Master_Mapping_Sheet!$E$2:$E$3143),
Master_Mapping_Sheet!$C$2:$C$3143=AJ$1,
Master_Mapping_Sheet!$K$2:$K$3143=VALUE(RIGHT($A4,1))))/sum(filter(
Master_Mapping_Sheet!$E$2:$E$3143, ISNUMBER(
M"&amp;"aster_Mapping_Sheet!$E$2:$E$3143),
Master_Mapping_Sheet!$K$2:$K$3143=VALUE(RIGHT($A4,1))))), 0, sum(filter(
Master_Mapping_Sheet!$E$2:$E$3143, ISNUMBER(
Master_Mapping_Sheet!$E$2:$E$3143),
Master_Mapping_Sheet!$C$2:$C$3143=AJ$1,
Master_Mapping_Sheet!$K$2:"&amp;"$K$3143=VALUE(RIGHT($A4,1))))/sum(filter(
Master_Mapping_Sheet!$E$2:$E$3143, ISNUMBER(
Master_Mapping_Sheet!$E$2:$E$3143),
Master_Mapping_Sheet!$K$2:$K$3143=VALUE(RIGHT($A4,1)))))"),0.0)</f>
        <v>0</v>
      </c>
      <c r="AK4" s="34">
        <f>IFERROR(__xludf.DUMMYFUNCTION("IF(ISNA(sum(filter(
Master_Mapping_Sheet!$E$2:$E$3143, ISNUMBER(
Master_Mapping_Sheet!$E$2:$E$3143),
Master_Mapping_Sheet!$C$2:$C$3143=AK$1,
Master_Mapping_Sheet!$K$2:$K$3143=VALUE(RIGHT($A4,1))))/sum(filter(
Master_Mapping_Sheet!$E$2:$E$3143, ISNUMBER(
M"&amp;"aster_Mapping_Sheet!$E$2:$E$3143),
Master_Mapping_Sheet!$K$2:$K$3143=VALUE(RIGHT($A4,1))))), 0, sum(filter(
Master_Mapping_Sheet!$E$2:$E$3143, ISNUMBER(
Master_Mapping_Sheet!$E$2:$E$3143),
Master_Mapping_Sheet!$C$2:$C$3143=AK$1,
Master_Mapping_Sheet!$K$2:"&amp;"$K$3143=VALUE(RIGHT($A4,1))))/sum(filter(
Master_Mapping_Sheet!$E$2:$E$3143, ISNUMBER(
Master_Mapping_Sheet!$E$2:$E$3143),
Master_Mapping_Sheet!$K$2:$K$3143=VALUE(RIGHT($A4,1)))))"),0.021437257884700724)</f>
        <v>0.02143725788</v>
      </c>
      <c r="AL4" s="34">
        <f>IFERROR(__xludf.DUMMYFUNCTION("IF(ISNA(sum(filter(
Master_Mapping_Sheet!$E$2:$E$3143, ISNUMBER(
Master_Mapping_Sheet!$E$2:$E$3143),
Master_Mapping_Sheet!$C$2:$C$3143=AL$1,
Master_Mapping_Sheet!$K$2:$K$3143=VALUE(RIGHT($A4,1))))/sum(filter(
Master_Mapping_Sheet!$E$2:$E$3143, ISNUMBER(
M"&amp;"aster_Mapping_Sheet!$E$2:$E$3143),
Master_Mapping_Sheet!$K$2:$K$3143=VALUE(RIGHT($A4,1))))), 0, sum(filter(
Master_Mapping_Sheet!$E$2:$E$3143, ISNUMBER(
Master_Mapping_Sheet!$E$2:$E$3143),
Master_Mapping_Sheet!$C$2:$C$3143=AL$1,
Master_Mapping_Sheet!$K$2:"&amp;"$K$3143=VALUE(RIGHT($A4,1))))/sum(filter(
Master_Mapping_Sheet!$E$2:$E$3143, ISNUMBER(
Master_Mapping_Sheet!$E$2:$E$3143),
Master_Mapping_Sheet!$K$2:$K$3143=VALUE(RIGHT($A4,1)))))"),0.004650807834801359)</f>
        <v>0.004650807835</v>
      </c>
      <c r="AM4" s="34">
        <f>IFERROR(__xludf.DUMMYFUNCTION("IF(ISNA(sum(filter(
Master_Mapping_Sheet!$E$2:$E$3143, ISNUMBER(
Master_Mapping_Sheet!$E$2:$E$3143),
Master_Mapping_Sheet!$C$2:$C$3143=AM$1,
Master_Mapping_Sheet!$K$2:$K$3143=VALUE(RIGHT($A4,1))))/sum(filter(
Master_Mapping_Sheet!$E$2:$E$3143, ISNUMBER(
M"&amp;"aster_Mapping_Sheet!$E$2:$E$3143),
Master_Mapping_Sheet!$K$2:$K$3143=VALUE(RIGHT($A4,1))))), 0, sum(filter(
Master_Mapping_Sheet!$E$2:$E$3143, ISNUMBER(
Master_Mapping_Sheet!$E$2:$E$3143),
Master_Mapping_Sheet!$C$2:$C$3143=AM$1,
Master_Mapping_Sheet!$K$2:"&amp;"$K$3143=VALUE(RIGHT($A4,1))))/sum(filter(
Master_Mapping_Sheet!$E$2:$E$3143, ISNUMBER(
Master_Mapping_Sheet!$E$2:$E$3143),
Master_Mapping_Sheet!$K$2:$K$3143=VALUE(RIGHT($A4,1)))))"),0.05125722686742232)</f>
        <v>0.05125722687</v>
      </c>
      <c r="AN4" s="34">
        <f>IFERROR(__xludf.DUMMYFUNCTION("IF(ISNA(sum(filter(
Master_Mapping_Sheet!$E$2:$E$3143, ISNUMBER(
Master_Mapping_Sheet!$E$2:$E$3143),
Master_Mapping_Sheet!$C$2:$C$3143=AN$1,
Master_Mapping_Sheet!$K$2:$K$3143=VALUE(RIGHT($A4,1))))/sum(filter(
Master_Mapping_Sheet!$E$2:$E$3143, ISNUMBER(
M"&amp;"aster_Mapping_Sheet!$E$2:$E$3143),
Master_Mapping_Sheet!$K$2:$K$3143=VALUE(RIGHT($A4,1))))), 0, sum(filter(
Master_Mapping_Sheet!$E$2:$E$3143, ISNUMBER(
Master_Mapping_Sheet!$E$2:$E$3143),
Master_Mapping_Sheet!$C$2:$C$3143=AN$1,
Master_Mapping_Sheet!$K$2:"&amp;"$K$3143=VALUE(RIGHT($A4,1))))/sum(filter(
Master_Mapping_Sheet!$E$2:$E$3143, ISNUMBER(
Master_Mapping_Sheet!$E$2:$E$3143),
Master_Mapping_Sheet!$K$2:$K$3143=VALUE(RIGHT($A4,1)))))"),0.0769701343231773)</f>
        <v>0.07697013432</v>
      </c>
      <c r="AO4" s="34">
        <f>IFERROR(__xludf.DUMMYFUNCTION("IF(ISNA(sum(filter(
Master_Mapping_Sheet!$E$2:$E$3143, ISNUMBER(
Master_Mapping_Sheet!$E$2:$E$3143),
Master_Mapping_Sheet!$C$2:$C$3143=AO$1,
Master_Mapping_Sheet!$K$2:$K$3143=VALUE(RIGHT($A4,1))))/sum(filter(
Master_Mapping_Sheet!$E$2:$E$3143, ISNUMBER(
M"&amp;"aster_Mapping_Sheet!$E$2:$E$3143),
Master_Mapping_Sheet!$K$2:$K$3143=VALUE(RIGHT($A4,1))))), 0, sum(filter(
Master_Mapping_Sheet!$E$2:$E$3143, ISNUMBER(
Master_Mapping_Sheet!$E$2:$E$3143),
Master_Mapping_Sheet!$C$2:$C$3143=AO$1,
Master_Mapping_Sheet!$K$2:"&amp;"$K$3143=VALUE(RIGHT($A4,1))))/sum(filter(
Master_Mapping_Sheet!$E$2:$E$3143, ISNUMBER(
Master_Mapping_Sheet!$E$2:$E$3143),
Master_Mapping_Sheet!$K$2:$K$3143=VALUE(RIGHT($A4,1)))))"),0.0)</f>
        <v>0</v>
      </c>
      <c r="AP4" s="34">
        <f>IFERROR(__xludf.DUMMYFUNCTION("IF(ISNA(sum(filter(
Master_Mapping_Sheet!$E$2:$E$3143, ISNUMBER(
Master_Mapping_Sheet!$E$2:$E$3143),
Master_Mapping_Sheet!$C$2:$C$3143=AP$1,
Master_Mapping_Sheet!$K$2:$K$3143=VALUE(RIGHT($A4,1))))/sum(filter(
Master_Mapping_Sheet!$E$2:$E$3143, ISNUMBER(
M"&amp;"aster_Mapping_Sheet!$E$2:$E$3143),
Master_Mapping_Sheet!$K$2:$K$3143=VALUE(RIGHT($A4,1))))), 0, sum(filter(
Master_Mapping_Sheet!$E$2:$E$3143, ISNUMBER(
Master_Mapping_Sheet!$E$2:$E$3143),
Master_Mapping_Sheet!$C$2:$C$3143=AP$1,
Master_Mapping_Sheet!$K$2:"&amp;"$K$3143=VALUE(RIGHT($A4,1))))/sum(filter(
Master_Mapping_Sheet!$E$2:$E$3143, ISNUMBER(
Master_Mapping_Sheet!$E$2:$E$3143),
Master_Mapping_Sheet!$K$2:$K$3143=VALUE(RIGHT($A4,1)))))"),0.0)</f>
        <v>0</v>
      </c>
      <c r="AQ4" s="34">
        <f>IFERROR(__xludf.DUMMYFUNCTION("IF(ISNA(sum(filter(
Master_Mapping_Sheet!$E$2:$E$3143, ISNUMBER(
Master_Mapping_Sheet!$E$2:$E$3143),
Master_Mapping_Sheet!$C$2:$C$3143=AQ$1,
Master_Mapping_Sheet!$K$2:$K$3143=VALUE(RIGHT($A4,1))))/sum(filter(
Master_Mapping_Sheet!$E$2:$E$3143, ISNUMBER(
M"&amp;"aster_Mapping_Sheet!$E$2:$E$3143),
Master_Mapping_Sheet!$K$2:$K$3143=VALUE(RIGHT($A4,1))))), 0, sum(filter(
Master_Mapping_Sheet!$E$2:$E$3143, ISNUMBER(
Master_Mapping_Sheet!$E$2:$E$3143),
Master_Mapping_Sheet!$C$2:$C$3143=AQ$1,
Master_Mapping_Sheet!$K$2:"&amp;"$K$3143=VALUE(RIGHT($A4,1))))/sum(filter(
Master_Mapping_Sheet!$E$2:$E$3143, ISNUMBER(
Master_Mapping_Sheet!$E$2:$E$3143),
Master_Mapping_Sheet!$K$2:$K$3143=VALUE(RIGHT($A4,1)))))"),0.0)</f>
        <v>0</v>
      </c>
      <c r="AR4" s="34">
        <f>IFERROR(__xludf.DUMMYFUNCTION("IF(ISNA(sum(filter(
Master_Mapping_Sheet!$E$2:$E$3143, ISNUMBER(
Master_Mapping_Sheet!$E$2:$E$3143),
Master_Mapping_Sheet!$C$2:$C$3143=AR$1,
Master_Mapping_Sheet!$K$2:$K$3143=VALUE(RIGHT($A4,1))))/sum(filter(
Master_Mapping_Sheet!$E$2:$E$3143, ISNUMBER(
M"&amp;"aster_Mapping_Sheet!$E$2:$E$3143),
Master_Mapping_Sheet!$K$2:$K$3143=VALUE(RIGHT($A4,1))))), 0, sum(filter(
Master_Mapping_Sheet!$E$2:$E$3143, ISNUMBER(
Master_Mapping_Sheet!$E$2:$E$3143),
Master_Mapping_Sheet!$C$2:$C$3143=AR$1,
Master_Mapping_Sheet!$K$2:"&amp;"$K$3143=VALUE(RIGHT($A4,1))))/sum(filter(
Master_Mapping_Sheet!$E$2:$E$3143, ISNUMBER(
Master_Mapping_Sheet!$E$2:$E$3143),
Master_Mapping_Sheet!$K$2:$K$3143=VALUE(RIGHT($A4,1)))))"),0.037359908420255016)</f>
        <v>0.03735990842</v>
      </c>
      <c r="AS4" s="34">
        <f>IFERROR(__xludf.DUMMYFUNCTION("IF(ISNA(sum(filter(
Master_Mapping_Sheet!$E$2:$E$3143, ISNUMBER(
Master_Mapping_Sheet!$E$2:$E$3143),
Master_Mapping_Sheet!$C$2:$C$3143=AS$1,
Master_Mapping_Sheet!$K$2:$K$3143=VALUE(RIGHT($A4,1))))/sum(filter(
Master_Mapping_Sheet!$E$2:$E$3143, ISNUMBER(
M"&amp;"aster_Mapping_Sheet!$E$2:$E$3143),
Master_Mapping_Sheet!$K$2:$K$3143=VALUE(RIGHT($A4,1))))), 0, sum(filter(
Master_Mapping_Sheet!$E$2:$E$3143, ISNUMBER(
Master_Mapping_Sheet!$E$2:$E$3143),
Master_Mapping_Sheet!$C$2:$C$3143=AS$1,
Master_Mapping_Sheet!$K$2:"&amp;"$K$3143=VALUE(RIGHT($A4,1))))/sum(filter(
Master_Mapping_Sheet!$E$2:$E$3143, ISNUMBER(
Master_Mapping_Sheet!$E$2:$E$3143),
Master_Mapping_Sheet!$K$2:$K$3143=VALUE(RIGHT($A4,1)))))"),0.0058710975983465846)</f>
        <v>0.005871097598</v>
      </c>
      <c r="AT4" s="34">
        <f>IFERROR(__xludf.DUMMYFUNCTION("IF(ISNA(sum(filter(
Master_Mapping_Sheet!$E$2:$E$3143, ISNUMBER(
Master_Mapping_Sheet!$E$2:$E$3143),
Master_Mapping_Sheet!$C$2:$C$3143=AT$1,
Master_Mapping_Sheet!$K$2:$K$3143=VALUE(RIGHT($A4,1))))/sum(filter(
Master_Mapping_Sheet!$E$2:$E$3143, ISNUMBER(
M"&amp;"aster_Mapping_Sheet!$E$2:$E$3143),
Master_Mapping_Sheet!$K$2:$K$3143=VALUE(RIGHT($A4,1))))), 0, sum(filter(
Master_Mapping_Sheet!$E$2:$E$3143, ISNUMBER(
Master_Mapping_Sheet!$E$2:$E$3143),
Master_Mapping_Sheet!$C$2:$C$3143=AT$1,
Master_Mapping_Sheet!$K$2:"&amp;"$K$3143=VALUE(RIGHT($A4,1))))/sum(filter(
Master_Mapping_Sheet!$E$2:$E$3143, ISNUMBER(
Master_Mapping_Sheet!$E$2:$E$3143),
Master_Mapping_Sheet!$K$2:$K$3143=VALUE(RIGHT($A4,1)))))"),2.546800389395961E-4)</f>
        <v>0.0002546800389</v>
      </c>
      <c r="AU4" s="34">
        <f>IFERROR(__xludf.DUMMYFUNCTION("IF(ISNA(sum(filter(
Master_Mapping_Sheet!$E$2:$E$3143, ISNUMBER(
Master_Mapping_Sheet!$E$2:$E$3143),
Master_Mapping_Sheet!$C$2:$C$3143=AU$1,
Master_Mapping_Sheet!$K$2:$K$3143=VALUE(RIGHT($A4,1))))/sum(filter(
Master_Mapping_Sheet!$E$2:$E$3143, ISNUMBER(
M"&amp;"aster_Mapping_Sheet!$E$2:$E$3143),
Master_Mapping_Sheet!$K$2:$K$3143=VALUE(RIGHT($A4,1))))), 0, sum(filter(
Master_Mapping_Sheet!$E$2:$E$3143, ISNUMBER(
Master_Mapping_Sheet!$E$2:$E$3143),
Master_Mapping_Sheet!$C$2:$C$3143=AU$1,
Master_Mapping_Sheet!$K$2:"&amp;"$K$3143=VALUE(RIGHT($A4,1))))/sum(filter(
Master_Mapping_Sheet!$E$2:$E$3143, ISNUMBER(
Master_Mapping_Sheet!$E$2:$E$3143),
Master_Mapping_Sheet!$K$2:$K$3143=VALUE(RIGHT($A4,1)))))"),0.0)</f>
        <v>0</v>
      </c>
      <c r="AV4" s="34">
        <f>IFERROR(__xludf.DUMMYFUNCTION("IF(ISNA(sum(filter(
Master_Mapping_Sheet!$E$2:$E$3143, ISNUMBER(
Master_Mapping_Sheet!$E$2:$E$3143),
Master_Mapping_Sheet!$C$2:$C$3143=AV$1,
Master_Mapping_Sheet!$K$2:$K$3143=VALUE(RIGHT($A4,1))))/sum(filter(
Master_Mapping_Sheet!$E$2:$E$3143, ISNUMBER(
M"&amp;"aster_Mapping_Sheet!$E$2:$E$3143),
Master_Mapping_Sheet!$K$2:$K$3143=VALUE(RIGHT($A4,1))))), 0, sum(filter(
Master_Mapping_Sheet!$E$2:$E$3143, ISNUMBER(
Master_Mapping_Sheet!$E$2:$E$3143),
Master_Mapping_Sheet!$C$2:$C$3143=AV$1,
Master_Mapping_Sheet!$K$2:"&amp;"$K$3143=VALUE(RIGHT($A4,1))))/sum(filter(
Master_Mapping_Sheet!$E$2:$E$3143, ISNUMBER(
Master_Mapping_Sheet!$E$2:$E$3143),
Master_Mapping_Sheet!$K$2:$K$3143=VALUE(RIGHT($A4,1)))))"),0.07976060216806304)</f>
        <v>0.07976060217</v>
      </c>
      <c r="AW4" s="34">
        <f>IFERROR(__xludf.DUMMYFUNCTION("IF(ISNA(sum(filter(
Master_Mapping_Sheet!$E$2:$E$3143, ISNUMBER(
Master_Mapping_Sheet!$E$2:$E$3143),
Master_Mapping_Sheet!$C$2:$C$3143=AW$1,
Master_Mapping_Sheet!$K$2:$K$3143=VALUE(RIGHT($A4,1))))/sum(filter(
Master_Mapping_Sheet!$E$2:$E$3143, ISNUMBER(
M"&amp;"aster_Mapping_Sheet!$E$2:$E$3143),
Master_Mapping_Sheet!$K$2:$K$3143=VALUE(RIGHT($A4,1))))), 0, sum(filter(
Master_Mapping_Sheet!$E$2:$E$3143, ISNUMBER(
Master_Mapping_Sheet!$E$2:$E$3143),
Master_Mapping_Sheet!$C$2:$C$3143=AW$1,
Master_Mapping_Sheet!$K$2:"&amp;"$K$3143=VALUE(RIGHT($A4,1))))/sum(filter(
Master_Mapping_Sheet!$E$2:$E$3143, ISNUMBER(
Master_Mapping_Sheet!$E$2:$E$3143),
Master_Mapping_Sheet!$K$2:$K$3143=VALUE(RIGHT($A4,1)))))"),0.0852618651877741)</f>
        <v>0.08526186519</v>
      </c>
      <c r="AX4" s="34">
        <f>IFERROR(__xludf.DUMMYFUNCTION("IF(ISNA(sum(filter(
Master_Mapping_Sheet!$E$2:$E$3143, ISNUMBER(
Master_Mapping_Sheet!$E$2:$E$3143),
Master_Mapping_Sheet!$C$2:$C$3143=AX$1,
Master_Mapping_Sheet!$K$2:$K$3143=VALUE(RIGHT($A4,1))))/sum(filter(
Master_Mapping_Sheet!$E$2:$E$3143, ISNUMBER(
M"&amp;"aster_Mapping_Sheet!$E$2:$E$3143),
Master_Mapping_Sheet!$K$2:$K$3143=VALUE(RIGHT($A4,1))))), 0, sum(filter(
Master_Mapping_Sheet!$E$2:$E$3143, ISNUMBER(
Master_Mapping_Sheet!$E$2:$E$3143),
Master_Mapping_Sheet!$C$2:$C$3143=AX$1,
Master_Mapping_Sheet!$K$2:"&amp;"$K$3143=VALUE(RIGHT($A4,1))))/sum(filter(
Master_Mapping_Sheet!$E$2:$E$3143, ISNUMBER(
Master_Mapping_Sheet!$E$2:$E$3143),
Master_Mapping_Sheet!$K$2:$K$3143=VALUE(RIGHT($A4,1)))))"),0.014147334994135799)</f>
        <v>0.01414733499</v>
      </c>
      <c r="AY4" s="34">
        <f>IFERROR(__xludf.DUMMYFUNCTION("IF(ISNA(sum(filter(
Master_Mapping_Sheet!$E$2:$E$3143, ISNUMBER(
Master_Mapping_Sheet!$E$2:$E$3143),
Master_Mapping_Sheet!$C$2:$C$3143=AY$1,
Master_Mapping_Sheet!$K$2:$K$3143=VALUE(RIGHT($A4,1))))/sum(filter(
Master_Mapping_Sheet!$E$2:$E$3143, ISNUMBER(
M"&amp;"aster_Mapping_Sheet!$E$2:$E$3143),
Master_Mapping_Sheet!$K$2:$K$3143=VALUE(RIGHT($A4,1))))), 0, sum(filter(
Master_Mapping_Sheet!$E$2:$E$3143, ISNUMBER(
Master_Mapping_Sheet!$E$2:$E$3143),
Master_Mapping_Sheet!$C$2:$C$3143=AY$1,
Master_Mapping_Sheet!$K$2:"&amp;"$K$3143=VALUE(RIGHT($A4,1))))/sum(filter(
Master_Mapping_Sheet!$E$2:$E$3143, ISNUMBER(
Master_Mapping_Sheet!$E$2:$E$3143),
Master_Mapping_Sheet!$K$2:$K$3143=VALUE(RIGHT($A4,1)))))"),0.0)</f>
        <v>0</v>
      </c>
      <c r="AZ4" s="34">
        <f>IFERROR(__xludf.DUMMYFUNCTION("IF(ISNA(sum(filter(
Master_Mapping_Sheet!$E$2:$E$3143, ISNUMBER(
Master_Mapping_Sheet!$E$2:$E$3143),
Master_Mapping_Sheet!$C$2:$C$3143=AZ$1,
Master_Mapping_Sheet!$K$2:$K$3143=VALUE(RIGHT($A4,1))))/sum(filter(
Master_Mapping_Sheet!$E$2:$E$3143, ISNUMBER(
M"&amp;"aster_Mapping_Sheet!$E$2:$E$3143),
Master_Mapping_Sheet!$K$2:$K$3143=VALUE(RIGHT($A4,1))))), 0, sum(filter(
Master_Mapping_Sheet!$E$2:$E$3143, ISNUMBER(
Master_Mapping_Sheet!$E$2:$E$3143),
Master_Mapping_Sheet!$C$2:$C$3143=AZ$1,
Master_Mapping_Sheet!$K$2:"&amp;"$K$3143=VALUE(RIGHT($A4,1))))/sum(filter(
Master_Mapping_Sheet!$E$2:$E$3143, ISNUMBER(
Master_Mapping_Sheet!$E$2:$E$3143),
Master_Mapping_Sheet!$K$2:$K$3143=VALUE(RIGHT($A4,1)))))"),0.0)</f>
        <v>0</v>
      </c>
    </row>
    <row r="5" ht="15.75" customHeight="1">
      <c r="A5" s="45" t="s">
        <v>4249</v>
      </c>
      <c r="B5" s="34">
        <f>IFERROR(__xludf.DUMMYFUNCTION("IF(ISNA(sum(filter(
Master_Mapping_Sheet!$E$2:$E$3143, ISNUMBER(
Master_Mapping_Sheet!$E$2:$E$3143),
Master_Mapping_Sheet!$C$2:$C$3143=B$1,
Master_Mapping_Sheet!$K$2:$K$3143=VALUE(RIGHT($A5,1))))/sum(filter(
Master_Mapping_Sheet!$E$2:$E$3143, ISNUMBER(
Ma"&amp;"ster_Mapping_Sheet!$E$2:$E$3143),
Master_Mapping_Sheet!$K$2:$K$3143=VALUE(RIGHT($A5,1))))), 0, sum(filter(
Master_Mapping_Sheet!$E$2:$E$3143, ISNUMBER(
Master_Mapping_Sheet!$E$2:$E$3143),
Master_Mapping_Sheet!$C$2:$C$3143=B$1,
Master_Mapping_Sheet!$K$2:$K"&amp;"$3143=VALUE(RIGHT($A5,1))))/sum(filter(
Master_Mapping_Sheet!$E$2:$E$3143, ISNUMBER(
Master_Mapping_Sheet!$E$2:$E$3143),
Master_Mapping_Sheet!$K$2:$K$3143=VALUE(RIGHT($A5,1)))))"),0.046170397925795324)</f>
        <v>0.04617039793</v>
      </c>
      <c r="C5" s="34">
        <f>IFERROR(__xludf.DUMMYFUNCTION("IF(ISNA(sum(filter(
Master_Mapping_Sheet!$E$2:$E$3143, ISNUMBER(
Master_Mapping_Sheet!$E$2:$E$3143),
Master_Mapping_Sheet!$C$2:$C$3143=C$1,
Master_Mapping_Sheet!$K$2:$K$3143=VALUE(RIGHT($A5,1))))/sum(filter(
Master_Mapping_Sheet!$E$2:$E$3143, ISNUMBER(
Ma"&amp;"ster_Mapping_Sheet!$E$2:$E$3143),
Master_Mapping_Sheet!$K$2:$K$3143=VALUE(RIGHT($A5,1))))), 0, sum(filter(
Master_Mapping_Sheet!$E$2:$E$3143, ISNUMBER(
Master_Mapping_Sheet!$E$2:$E$3143),
Master_Mapping_Sheet!$C$2:$C$3143=C$1,
Master_Mapping_Sheet!$K$2:$K"&amp;"$3143=VALUE(RIGHT($A5,1))))/sum(filter(
Master_Mapping_Sheet!$E$2:$E$3143, ISNUMBER(
Master_Mapping_Sheet!$E$2:$E$3143),
Master_Mapping_Sheet!$K$2:$K$3143=VALUE(RIGHT($A5,1)))))"),0.0)</f>
        <v>0</v>
      </c>
      <c r="D5" s="34">
        <f>IFERROR(__xludf.DUMMYFUNCTION("IF(ISNA(sum(filter(
Master_Mapping_Sheet!$E$2:$E$3143, ISNUMBER(
Master_Mapping_Sheet!$E$2:$E$3143),
Master_Mapping_Sheet!$C$2:$C$3143=D$1,
Master_Mapping_Sheet!$K$2:$K$3143=VALUE(RIGHT($A5,1))))/sum(filter(
Master_Mapping_Sheet!$E$2:$E$3143, ISNUMBER(
Ma"&amp;"ster_Mapping_Sheet!$E$2:$E$3143),
Master_Mapping_Sheet!$K$2:$K$3143=VALUE(RIGHT($A5,1))))), 0, sum(filter(
Master_Mapping_Sheet!$E$2:$E$3143, ISNUMBER(
Master_Mapping_Sheet!$E$2:$E$3143),
Master_Mapping_Sheet!$C$2:$C$3143=D$1,
Master_Mapping_Sheet!$K$2:$K"&amp;"$3143=VALUE(RIGHT($A5,1))))/sum(filter(
Master_Mapping_Sheet!$E$2:$E$3143, ISNUMBER(
Master_Mapping_Sheet!$E$2:$E$3143),
Master_Mapping_Sheet!$K$2:$K$3143=VALUE(RIGHT($A5,1)))))"),0.002953841259192883)</f>
        <v>0.002953841259</v>
      </c>
      <c r="E5" s="34">
        <f>IFERROR(__xludf.DUMMYFUNCTION("IF(ISNA(sum(filter(
Master_Mapping_Sheet!$E$2:$E$3143, ISNUMBER(
Master_Mapping_Sheet!$E$2:$E$3143),
Master_Mapping_Sheet!$C$2:$C$3143=E$1,
Master_Mapping_Sheet!$K$2:$K$3143=VALUE(RIGHT($A5,1))))/sum(filter(
Master_Mapping_Sheet!$E$2:$E$3143, ISNUMBER(
Ma"&amp;"ster_Mapping_Sheet!$E$2:$E$3143),
Master_Mapping_Sheet!$K$2:$K$3143=VALUE(RIGHT($A5,1))))), 0, sum(filter(
Master_Mapping_Sheet!$E$2:$E$3143, ISNUMBER(
Master_Mapping_Sheet!$E$2:$E$3143),
Master_Mapping_Sheet!$C$2:$C$3143=E$1,
Master_Mapping_Sheet!$K$2:$K"&amp;"$3143=VALUE(RIGHT($A5,1))))/sum(filter(
Master_Mapping_Sheet!$E$2:$E$3143, ISNUMBER(
Master_Mapping_Sheet!$E$2:$E$3143),
Master_Mapping_Sheet!$K$2:$K$3143=VALUE(RIGHT($A5,1)))))"),0.027080005359940575)</f>
        <v>0.02708000536</v>
      </c>
      <c r="F5" s="34">
        <f>IFERROR(__xludf.DUMMYFUNCTION("IF(ISNA(sum(filter(
Master_Mapping_Sheet!$E$2:$E$3143, ISNUMBER(
Master_Mapping_Sheet!$E$2:$E$3143),
Master_Mapping_Sheet!$C$2:$C$3143=F$1,
Master_Mapping_Sheet!$K$2:$K$3143=VALUE(RIGHT($A5,1))))/sum(filter(
Master_Mapping_Sheet!$E$2:$E$3143, ISNUMBER(
Ma"&amp;"ster_Mapping_Sheet!$E$2:$E$3143),
Master_Mapping_Sheet!$K$2:$K$3143=VALUE(RIGHT($A5,1))))), 0, sum(filter(
Master_Mapping_Sheet!$E$2:$E$3143, ISNUMBER(
Master_Mapping_Sheet!$E$2:$E$3143),
Master_Mapping_Sheet!$C$2:$C$3143=F$1,
Master_Mapping_Sheet!$K$2:$K"&amp;"$3143=VALUE(RIGHT($A5,1))))/sum(filter(
Master_Mapping_Sheet!$E$2:$E$3143, ISNUMBER(
Master_Mapping_Sheet!$E$2:$E$3143),
Master_Mapping_Sheet!$K$2:$K$3143=VALUE(RIGHT($A5,1)))))"),0.4857180846049555)</f>
        <v>0.4857180846</v>
      </c>
      <c r="G5" s="34">
        <f>IFERROR(__xludf.DUMMYFUNCTION("IF(ISNA(sum(filter(
Master_Mapping_Sheet!$E$2:$E$3143, ISNUMBER(
Master_Mapping_Sheet!$E$2:$E$3143),
Master_Mapping_Sheet!$C$2:$C$3143=G$1,
Master_Mapping_Sheet!$K$2:$K$3143=VALUE(RIGHT($A5,1))))/sum(filter(
Master_Mapping_Sheet!$E$2:$E$3143, ISNUMBER(
Ma"&amp;"ster_Mapping_Sheet!$E$2:$E$3143),
Master_Mapping_Sheet!$K$2:$K$3143=VALUE(RIGHT($A5,1))))), 0, sum(filter(
Master_Mapping_Sheet!$E$2:$E$3143, ISNUMBER(
Master_Mapping_Sheet!$E$2:$E$3143),
Master_Mapping_Sheet!$C$2:$C$3143=G$1,
Master_Mapping_Sheet!$K$2:$K"&amp;"$3143=VALUE(RIGHT($A5,1))))/sum(filter(
Master_Mapping_Sheet!$E$2:$E$3143, ISNUMBER(
Master_Mapping_Sheet!$E$2:$E$3143),
Master_Mapping_Sheet!$K$2:$K$3143=VALUE(RIGHT($A5,1)))))"),0.0)</f>
        <v>0</v>
      </c>
      <c r="H5" s="34">
        <f>IFERROR(__xludf.DUMMYFUNCTION("IF(ISNA(sum(filter(
Master_Mapping_Sheet!$E$2:$E$3143, ISNUMBER(
Master_Mapping_Sheet!$E$2:$E$3143),
Master_Mapping_Sheet!$C$2:$C$3143=H$1,
Master_Mapping_Sheet!$K$2:$K$3143=VALUE(RIGHT($A5,1))))/sum(filter(
Master_Mapping_Sheet!$E$2:$E$3143, ISNUMBER(
Ma"&amp;"ster_Mapping_Sheet!$E$2:$E$3143),
Master_Mapping_Sheet!$K$2:$K$3143=VALUE(RIGHT($A5,1))))), 0, sum(filter(
Master_Mapping_Sheet!$E$2:$E$3143, ISNUMBER(
Master_Mapping_Sheet!$E$2:$E$3143),
Master_Mapping_Sheet!$C$2:$C$3143=H$1,
Master_Mapping_Sheet!$K$2:$K"&amp;"$3143=VALUE(RIGHT($A5,1))))/sum(filter(
Master_Mapping_Sheet!$E$2:$E$3143, ISNUMBER(
Master_Mapping_Sheet!$E$2:$E$3143),
Master_Mapping_Sheet!$K$2:$K$3143=VALUE(RIGHT($A5,1)))))"),0.0)</f>
        <v>0</v>
      </c>
      <c r="I5" s="34">
        <f>IFERROR(__xludf.DUMMYFUNCTION("IF(ISNA(sum(filter(
Master_Mapping_Sheet!$E$2:$E$3143, ISNUMBER(
Master_Mapping_Sheet!$E$2:$E$3143),
Master_Mapping_Sheet!$C$2:$C$3143=I$1,
Master_Mapping_Sheet!$K$2:$K$3143=VALUE(RIGHT($A5,1))))/sum(filter(
Master_Mapping_Sheet!$E$2:$E$3143, ISNUMBER(
Ma"&amp;"ster_Mapping_Sheet!$E$2:$E$3143),
Master_Mapping_Sheet!$K$2:$K$3143=VALUE(RIGHT($A5,1))))), 0, sum(filter(
Master_Mapping_Sheet!$E$2:$E$3143, ISNUMBER(
Master_Mapping_Sheet!$E$2:$E$3143),
Master_Mapping_Sheet!$C$2:$C$3143=I$1,
Master_Mapping_Sheet!$K$2:$K"&amp;"$3143=VALUE(RIGHT($A5,1))))/sum(filter(
Master_Mapping_Sheet!$E$2:$E$3143, ISNUMBER(
Master_Mapping_Sheet!$E$2:$E$3143),
Master_Mapping_Sheet!$K$2:$K$3143=VALUE(RIGHT($A5,1)))))"),0.0)</f>
        <v>0</v>
      </c>
      <c r="J5" s="34">
        <f>IFERROR(__xludf.DUMMYFUNCTION("IF(ISNA(sum(filter(
Master_Mapping_Sheet!$E$2:$E$3143, ISNUMBER(
Master_Mapping_Sheet!$E$2:$E$3143),
Master_Mapping_Sheet!$C$2:$C$3143=J$1,
Master_Mapping_Sheet!$K$2:$K$3143=VALUE(RIGHT($A5,1))))/sum(filter(
Master_Mapping_Sheet!$E$2:$E$3143, ISNUMBER(
Ma"&amp;"ster_Mapping_Sheet!$E$2:$E$3143),
Master_Mapping_Sheet!$K$2:$K$3143=VALUE(RIGHT($A5,1))))), 0, sum(filter(
Master_Mapping_Sheet!$E$2:$E$3143, ISNUMBER(
Master_Mapping_Sheet!$E$2:$E$3143),
Master_Mapping_Sheet!$C$2:$C$3143=J$1,
Master_Mapping_Sheet!$K$2:$K"&amp;"$3143=VALUE(RIGHT($A5,1))))/sum(filter(
Master_Mapping_Sheet!$E$2:$E$3143, ISNUMBER(
Master_Mapping_Sheet!$E$2:$E$3143),
Master_Mapping_Sheet!$K$2:$K$3143=VALUE(RIGHT($A5,1)))))"),0.0)</f>
        <v>0</v>
      </c>
      <c r="K5" s="34">
        <f>IFERROR(__xludf.DUMMYFUNCTION("IF(ISNA(sum(filter(
Master_Mapping_Sheet!$E$2:$E$3143, ISNUMBER(
Master_Mapping_Sheet!$E$2:$E$3143),
Master_Mapping_Sheet!$C$2:$C$3143=K$1,
Master_Mapping_Sheet!$K$2:$K$3143=VALUE(RIGHT($A5,1))))/sum(filter(
Master_Mapping_Sheet!$E$2:$E$3143, ISNUMBER(
Ma"&amp;"ster_Mapping_Sheet!$E$2:$E$3143),
Master_Mapping_Sheet!$K$2:$K$3143=VALUE(RIGHT($A5,1))))), 0, sum(filter(
Master_Mapping_Sheet!$E$2:$E$3143, ISNUMBER(
Master_Mapping_Sheet!$E$2:$E$3143),
Master_Mapping_Sheet!$C$2:$C$3143=K$1,
Master_Mapping_Sheet!$K$2:$K"&amp;"$3143=VALUE(RIGHT($A5,1))))/sum(filter(
Master_Mapping_Sheet!$E$2:$E$3143, ISNUMBER(
Master_Mapping_Sheet!$E$2:$E$3143),
Master_Mapping_Sheet!$K$2:$K$3143=VALUE(RIGHT($A5,1)))))"),0.0)</f>
        <v>0</v>
      </c>
      <c r="L5" s="34">
        <f>IFERROR(__xludf.DUMMYFUNCTION("IF(ISNA(sum(filter(
Master_Mapping_Sheet!$E$2:$E$3143, ISNUMBER(
Master_Mapping_Sheet!$E$2:$E$3143),
Master_Mapping_Sheet!$C$2:$C$3143=L$1,
Master_Mapping_Sheet!$K$2:$K$3143=VALUE(RIGHT($A5,1))))/sum(filter(
Master_Mapping_Sheet!$E$2:$E$3143, ISNUMBER(
Ma"&amp;"ster_Mapping_Sheet!$E$2:$E$3143),
Master_Mapping_Sheet!$K$2:$K$3143=VALUE(RIGHT($A5,1))))), 0, sum(filter(
Master_Mapping_Sheet!$E$2:$E$3143, ISNUMBER(
Master_Mapping_Sheet!$E$2:$E$3143),
Master_Mapping_Sheet!$C$2:$C$3143=L$1,
Master_Mapping_Sheet!$K$2:$K"&amp;"$3143=VALUE(RIGHT($A5,1))))/sum(filter(
Master_Mapping_Sheet!$E$2:$E$3143, ISNUMBER(
Master_Mapping_Sheet!$E$2:$E$3143),
Master_Mapping_Sheet!$K$2:$K$3143=VALUE(RIGHT($A5,1)))))"),0.10956027922002025)</f>
        <v>0.1095602792</v>
      </c>
      <c r="M5" s="34">
        <f>IFERROR(__xludf.DUMMYFUNCTION("IF(ISNA(sum(filter(
Master_Mapping_Sheet!$E$2:$E$3143, ISNUMBER(
Master_Mapping_Sheet!$E$2:$E$3143),
Master_Mapping_Sheet!$C$2:$C$3143=M$1,
Master_Mapping_Sheet!$K$2:$K$3143=VALUE(RIGHT($A5,1))))/sum(filter(
Master_Mapping_Sheet!$E$2:$E$3143, ISNUMBER(
Ma"&amp;"ster_Mapping_Sheet!$E$2:$E$3143),
Master_Mapping_Sheet!$K$2:$K$3143=VALUE(RIGHT($A5,1))))), 0, sum(filter(
Master_Mapping_Sheet!$E$2:$E$3143, ISNUMBER(
Master_Mapping_Sheet!$E$2:$E$3143),
Master_Mapping_Sheet!$C$2:$C$3143=M$1,
Master_Mapping_Sheet!$K$2:$K"&amp;"$3143=VALUE(RIGHT($A5,1))))/sum(filter(
Master_Mapping_Sheet!$E$2:$E$3143, ISNUMBER(
Master_Mapping_Sheet!$E$2:$E$3143),
Master_Mapping_Sheet!$K$2:$K$3143=VALUE(RIGHT($A5,1)))))"),0.0)</f>
        <v>0</v>
      </c>
      <c r="N5" s="34">
        <f>IFERROR(__xludf.DUMMYFUNCTION("IF(ISNA(sum(filter(
Master_Mapping_Sheet!$E$2:$E$3143, ISNUMBER(
Master_Mapping_Sheet!$E$2:$E$3143),
Master_Mapping_Sheet!$C$2:$C$3143=N$1,
Master_Mapping_Sheet!$K$2:$K$3143=VALUE(RIGHT($A5,1))))/sum(filter(
Master_Mapping_Sheet!$E$2:$E$3143, ISNUMBER(
Ma"&amp;"ster_Mapping_Sheet!$E$2:$E$3143),
Master_Mapping_Sheet!$K$2:$K$3143=VALUE(RIGHT($A5,1))))), 0, sum(filter(
Master_Mapping_Sheet!$E$2:$E$3143, ISNUMBER(
Master_Mapping_Sheet!$E$2:$E$3143),
Master_Mapping_Sheet!$C$2:$C$3143=N$1,
Master_Mapping_Sheet!$K$2:$K"&amp;"$3143=VALUE(RIGHT($A5,1))))/sum(filter(
Master_Mapping_Sheet!$E$2:$E$3143, ISNUMBER(
Master_Mapping_Sheet!$E$2:$E$3143),
Master_Mapping_Sheet!$K$2:$K$3143=VALUE(RIGHT($A5,1)))))"),0.0)</f>
        <v>0</v>
      </c>
      <c r="O5" s="34">
        <f>IFERROR(__xludf.DUMMYFUNCTION("IF(ISNA(sum(filter(
Master_Mapping_Sheet!$E$2:$E$3143, ISNUMBER(
Master_Mapping_Sheet!$E$2:$E$3143),
Master_Mapping_Sheet!$C$2:$C$3143=O$1,
Master_Mapping_Sheet!$K$2:$K$3143=VALUE(RIGHT($A5,1))))/sum(filter(
Master_Mapping_Sheet!$E$2:$E$3143, ISNUMBER(
Ma"&amp;"ster_Mapping_Sheet!$E$2:$E$3143),
Master_Mapping_Sheet!$K$2:$K$3143=VALUE(RIGHT($A5,1))))), 0, sum(filter(
Master_Mapping_Sheet!$E$2:$E$3143, ISNUMBER(
Master_Mapping_Sheet!$E$2:$E$3143),
Master_Mapping_Sheet!$C$2:$C$3143=O$1,
Master_Mapping_Sheet!$K$2:$K"&amp;"$3143=VALUE(RIGHT($A5,1))))/sum(filter(
Master_Mapping_Sheet!$E$2:$E$3143, ISNUMBER(
Master_Mapping_Sheet!$E$2:$E$3143),
Master_Mapping_Sheet!$K$2:$K$3143=VALUE(RIGHT($A5,1)))))"),0.0)</f>
        <v>0</v>
      </c>
      <c r="P5" s="34">
        <f>IFERROR(__xludf.DUMMYFUNCTION("IF(ISNA(sum(filter(
Master_Mapping_Sheet!$E$2:$E$3143, ISNUMBER(
Master_Mapping_Sheet!$E$2:$E$3143),
Master_Mapping_Sheet!$C$2:$C$3143=P$1,
Master_Mapping_Sheet!$K$2:$K$3143=VALUE(RIGHT($A5,1))))/sum(filter(
Master_Mapping_Sheet!$E$2:$E$3143, ISNUMBER(
Ma"&amp;"ster_Mapping_Sheet!$E$2:$E$3143),
Master_Mapping_Sheet!$K$2:$K$3143=VALUE(RIGHT($A5,1))))), 0, sum(filter(
Master_Mapping_Sheet!$E$2:$E$3143, ISNUMBER(
Master_Mapping_Sheet!$E$2:$E$3143),
Master_Mapping_Sheet!$C$2:$C$3143=P$1,
Master_Mapping_Sheet!$K$2:$K"&amp;"$3143=VALUE(RIGHT($A5,1))))/sum(filter(
Master_Mapping_Sheet!$E$2:$E$3143, ISNUMBER(
Master_Mapping_Sheet!$E$2:$E$3143),
Master_Mapping_Sheet!$K$2:$K$3143=VALUE(RIGHT($A5,1)))))"),0.0)</f>
        <v>0</v>
      </c>
      <c r="Q5" s="34">
        <f>IFERROR(__xludf.DUMMYFUNCTION("IF(ISNA(sum(filter(
Master_Mapping_Sheet!$E$2:$E$3143, ISNUMBER(
Master_Mapping_Sheet!$E$2:$E$3143),
Master_Mapping_Sheet!$C$2:$C$3143=Q$1,
Master_Mapping_Sheet!$K$2:$K$3143=VALUE(RIGHT($A5,1))))/sum(filter(
Master_Mapping_Sheet!$E$2:$E$3143, ISNUMBER(
Ma"&amp;"ster_Mapping_Sheet!$E$2:$E$3143),
Master_Mapping_Sheet!$K$2:$K$3143=VALUE(RIGHT($A5,1))))), 0, sum(filter(
Master_Mapping_Sheet!$E$2:$E$3143, ISNUMBER(
Master_Mapping_Sheet!$E$2:$E$3143),
Master_Mapping_Sheet!$C$2:$C$3143=Q$1,
Master_Mapping_Sheet!$K$2:$K"&amp;"$3143=VALUE(RIGHT($A5,1))))/sum(filter(
Master_Mapping_Sheet!$E$2:$E$3143, ISNUMBER(
Master_Mapping_Sheet!$E$2:$E$3143),
Master_Mapping_Sheet!$K$2:$K$3143=VALUE(RIGHT($A5,1)))))"),0.0)</f>
        <v>0</v>
      </c>
      <c r="R5" s="34">
        <f>IFERROR(__xludf.DUMMYFUNCTION("IF(ISNA(sum(filter(
Master_Mapping_Sheet!$E$2:$E$3143, ISNUMBER(
Master_Mapping_Sheet!$E$2:$E$3143),
Master_Mapping_Sheet!$C$2:$C$3143=R$1,
Master_Mapping_Sheet!$K$2:$K$3143=VALUE(RIGHT($A5,1))))/sum(filter(
Master_Mapping_Sheet!$E$2:$E$3143, ISNUMBER(
Ma"&amp;"ster_Mapping_Sheet!$E$2:$E$3143),
Master_Mapping_Sheet!$K$2:$K$3143=VALUE(RIGHT($A5,1))))), 0, sum(filter(
Master_Mapping_Sheet!$E$2:$E$3143, ISNUMBER(
Master_Mapping_Sheet!$E$2:$E$3143),
Master_Mapping_Sheet!$C$2:$C$3143=R$1,
Master_Mapping_Sheet!$K$2:$K"&amp;"$3143=VALUE(RIGHT($A5,1))))/sum(filter(
Master_Mapping_Sheet!$E$2:$E$3143, ISNUMBER(
Master_Mapping_Sheet!$E$2:$E$3143),
Master_Mapping_Sheet!$K$2:$K$3143=VALUE(RIGHT($A5,1)))))"),0.0)</f>
        <v>0</v>
      </c>
      <c r="S5" s="34">
        <f>IFERROR(__xludf.DUMMYFUNCTION("IF(ISNA(sum(filter(
Master_Mapping_Sheet!$E$2:$E$3143, ISNUMBER(
Master_Mapping_Sheet!$E$2:$E$3143),
Master_Mapping_Sheet!$C$2:$C$3143=S$1,
Master_Mapping_Sheet!$K$2:$K$3143=VALUE(RIGHT($A5,1))))/sum(filter(
Master_Mapping_Sheet!$E$2:$E$3143, ISNUMBER(
Ma"&amp;"ster_Mapping_Sheet!$E$2:$E$3143),
Master_Mapping_Sheet!$K$2:$K$3143=VALUE(RIGHT($A5,1))))), 0, sum(filter(
Master_Mapping_Sheet!$E$2:$E$3143, ISNUMBER(
Master_Mapping_Sheet!$E$2:$E$3143),
Master_Mapping_Sheet!$C$2:$C$3143=S$1,
Master_Mapping_Sheet!$K$2:$K"&amp;"$3143=VALUE(RIGHT($A5,1))))/sum(filter(
Master_Mapping_Sheet!$E$2:$E$3143, ISNUMBER(
Master_Mapping_Sheet!$E$2:$E$3143),
Master_Mapping_Sheet!$K$2:$K$3143=VALUE(RIGHT($A5,1)))))"),0.0)</f>
        <v>0</v>
      </c>
      <c r="T5" s="34">
        <f>IFERROR(__xludf.DUMMYFUNCTION("IF(ISNA(sum(filter(
Master_Mapping_Sheet!$E$2:$E$3143, ISNUMBER(
Master_Mapping_Sheet!$E$2:$E$3143),
Master_Mapping_Sheet!$C$2:$C$3143=T$1,
Master_Mapping_Sheet!$K$2:$K$3143=VALUE(RIGHT($A5,1))))/sum(filter(
Master_Mapping_Sheet!$E$2:$E$3143, ISNUMBER(
Ma"&amp;"ster_Mapping_Sheet!$E$2:$E$3143),
Master_Mapping_Sheet!$K$2:$K$3143=VALUE(RIGHT($A5,1))))), 0, sum(filter(
Master_Mapping_Sheet!$E$2:$E$3143, ISNUMBER(
Master_Mapping_Sheet!$E$2:$E$3143),
Master_Mapping_Sheet!$C$2:$C$3143=T$1,
Master_Mapping_Sheet!$K$2:$K"&amp;"$3143=VALUE(RIGHT($A5,1))))/sum(filter(
Master_Mapping_Sheet!$E$2:$E$3143, ISNUMBER(
Master_Mapping_Sheet!$E$2:$E$3143),
Master_Mapping_Sheet!$K$2:$K$3143=VALUE(RIGHT($A5,1)))))"),1.7725563106907655E-4)</f>
        <v>0.0001772556311</v>
      </c>
      <c r="U5" s="34">
        <f>IFERROR(__xludf.DUMMYFUNCTION("IF(ISNA(sum(filter(
Master_Mapping_Sheet!$E$2:$E$3143, ISNUMBER(
Master_Mapping_Sheet!$E$2:$E$3143),
Master_Mapping_Sheet!$C$2:$C$3143=U$1,
Master_Mapping_Sheet!$K$2:$K$3143=VALUE(RIGHT($A5,1))))/sum(filter(
Master_Mapping_Sheet!$E$2:$E$3143, ISNUMBER(
Ma"&amp;"ster_Mapping_Sheet!$E$2:$E$3143),
Master_Mapping_Sheet!$K$2:$K$3143=VALUE(RIGHT($A5,1))))), 0, sum(filter(
Master_Mapping_Sheet!$E$2:$E$3143, ISNUMBER(
Master_Mapping_Sheet!$E$2:$E$3143),
Master_Mapping_Sheet!$C$2:$C$3143=U$1,
Master_Mapping_Sheet!$K$2:$K"&amp;"$3143=VALUE(RIGHT($A5,1))))/sum(filter(
Master_Mapping_Sheet!$E$2:$E$3143, ISNUMBER(
Master_Mapping_Sheet!$E$2:$E$3143),
Master_Mapping_Sheet!$K$2:$K$3143=VALUE(RIGHT($A5,1)))))"),0.0)</f>
        <v>0</v>
      </c>
      <c r="V5" s="34">
        <f>IFERROR(__xludf.DUMMYFUNCTION("IF(ISNA(sum(filter(
Master_Mapping_Sheet!$E$2:$E$3143, ISNUMBER(
Master_Mapping_Sheet!$E$2:$E$3143),
Master_Mapping_Sheet!$C$2:$C$3143=V$1,
Master_Mapping_Sheet!$K$2:$K$3143=VALUE(RIGHT($A5,1))))/sum(filter(
Master_Mapping_Sheet!$E$2:$E$3143, ISNUMBER(
Ma"&amp;"ster_Mapping_Sheet!$E$2:$E$3143),
Master_Mapping_Sheet!$K$2:$K$3143=VALUE(RIGHT($A5,1))))), 0, sum(filter(
Master_Mapping_Sheet!$E$2:$E$3143, ISNUMBER(
Master_Mapping_Sheet!$E$2:$E$3143),
Master_Mapping_Sheet!$C$2:$C$3143=V$1,
Master_Mapping_Sheet!$K$2:$K"&amp;"$3143=VALUE(RIGHT($A5,1))))/sum(filter(
Master_Mapping_Sheet!$E$2:$E$3143, ISNUMBER(
Master_Mapping_Sheet!$E$2:$E$3143),
Master_Mapping_Sheet!$K$2:$K$3143=VALUE(RIGHT($A5,1)))))"),0.0)</f>
        <v>0</v>
      </c>
      <c r="W5" s="34">
        <f>IFERROR(__xludf.DUMMYFUNCTION("IF(ISNA(sum(filter(
Master_Mapping_Sheet!$E$2:$E$3143, ISNUMBER(
Master_Mapping_Sheet!$E$2:$E$3143),
Master_Mapping_Sheet!$C$2:$C$3143=W$1,
Master_Mapping_Sheet!$K$2:$K$3143=VALUE(RIGHT($A5,1))))/sum(filter(
Master_Mapping_Sheet!$E$2:$E$3143, ISNUMBER(
Ma"&amp;"ster_Mapping_Sheet!$E$2:$E$3143),
Master_Mapping_Sheet!$K$2:$K$3143=VALUE(RIGHT($A5,1))))), 0, sum(filter(
Master_Mapping_Sheet!$E$2:$E$3143, ISNUMBER(
Master_Mapping_Sheet!$E$2:$E$3143),
Master_Mapping_Sheet!$C$2:$C$3143=W$1,
Master_Mapping_Sheet!$K$2:$K"&amp;"$3143=VALUE(RIGHT($A5,1))))/sum(filter(
Master_Mapping_Sheet!$E$2:$E$3143, ISNUMBER(
Master_Mapping_Sheet!$E$2:$E$3143),
Master_Mapping_Sheet!$K$2:$K$3143=VALUE(RIGHT($A5,1)))))"),0.0)</f>
        <v>0</v>
      </c>
      <c r="X5" s="34">
        <f>IFERROR(__xludf.DUMMYFUNCTION("IF(ISNA(sum(filter(
Master_Mapping_Sheet!$E$2:$E$3143, ISNUMBER(
Master_Mapping_Sheet!$E$2:$E$3143),
Master_Mapping_Sheet!$C$2:$C$3143=X$1,
Master_Mapping_Sheet!$K$2:$K$3143=VALUE(RIGHT($A5,1))))/sum(filter(
Master_Mapping_Sheet!$E$2:$E$3143, ISNUMBER(
Ma"&amp;"ster_Mapping_Sheet!$E$2:$E$3143),
Master_Mapping_Sheet!$K$2:$K$3143=VALUE(RIGHT($A5,1))))), 0, sum(filter(
Master_Mapping_Sheet!$E$2:$E$3143, ISNUMBER(
Master_Mapping_Sheet!$E$2:$E$3143),
Master_Mapping_Sheet!$C$2:$C$3143=X$1,
Master_Mapping_Sheet!$K$2:$K"&amp;"$3143=VALUE(RIGHT($A5,1))))/sum(filter(
Master_Mapping_Sheet!$E$2:$E$3143, ISNUMBER(
Master_Mapping_Sheet!$E$2:$E$3143),
Master_Mapping_Sheet!$K$2:$K$3143=VALUE(RIGHT($A5,1)))))"),0.0)</f>
        <v>0</v>
      </c>
      <c r="Y5" s="34">
        <f>IFERROR(__xludf.DUMMYFUNCTION("IF(ISNA(sum(filter(
Master_Mapping_Sheet!$E$2:$E$3143, ISNUMBER(
Master_Mapping_Sheet!$E$2:$E$3143),
Master_Mapping_Sheet!$C$2:$C$3143=Y$1,
Master_Mapping_Sheet!$K$2:$K$3143=VALUE(RIGHT($A5,1))))/sum(filter(
Master_Mapping_Sheet!$E$2:$E$3143, ISNUMBER(
Ma"&amp;"ster_Mapping_Sheet!$E$2:$E$3143),
Master_Mapping_Sheet!$K$2:$K$3143=VALUE(RIGHT($A5,1))))), 0, sum(filter(
Master_Mapping_Sheet!$E$2:$E$3143, ISNUMBER(
Master_Mapping_Sheet!$E$2:$E$3143),
Master_Mapping_Sheet!$C$2:$C$3143=Y$1,
Master_Mapping_Sheet!$K$2:$K"&amp;"$3143=VALUE(RIGHT($A5,1))))/sum(filter(
Master_Mapping_Sheet!$E$2:$E$3143, ISNUMBER(
Master_Mapping_Sheet!$E$2:$E$3143),
Master_Mapping_Sheet!$K$2:$K$3143=VALUE(RIGHT($A5,1)))))"),0.0)</f>
        <v>0</v>
      </c>
      <c r="Z5" s="34">
        <f>IFERROR(__xludf.DUMMYFUNCTION("IF(ISNA(sum(filter(
Master_Mapping_Sheet!$E$2:$E$3143, ISNUMBER(
Master_Mapping_Sheet!$E$2:$E$3143),
Master_Mapping_Sheet!$C$2:$C$3143=Z$1,
Master_Mapping_Sheet!$K$2:$K$3143=VALUE(RIGHT($A5,1))))/sum(filter(
Master_Mapping_Sheet!$E$2:$E$3143, ISNUMBER(
Ma"&amp;"ster_Mapping_Sheet!$E$2:$E$3143),
Master_Mapping_Sheet!$K$2:$K$3143=VALUE(RIGHT($A5,1))))), 0, sum(filter(
Master_Mapping_Sheet!$E$2:$E$3143, ISNUMBER(
Master_Mapping_Sheet!$E$2:$E$3143),
Master_Mapping_Sheet!$C$2:$C$3143=Z$1,
Master_Mapping_Sheet!$K$2:$K"&amp;"$3143=VALUE(RIGHT($A5,1))))/sum(filter(
Master_Mapping_Sheet!$E$2:$E$3143, ISNUMBER(
Master_Mapping_Sheet!$E$2:$E$3143),
Master_Mapping_Sheet!$K$2:$K$3143=VALUE(RIGHT($A5,1)))))"),0.011805990068134885)</f>
        <v>0.01180599007</v>
      </c>
      <c r="AA5" s="34">
        <f>IFERROR(__xludf.DUMMYFUNCTION("IF(ISNA(sum(filter(
Master_Mapping_Sheet!$E$2:$E$3143, ISNUMBER(
Master_Mapping_Sheet!$E$2:$E$3143),
Master_Mapping_Sheet!$C$2:$C$3143=AA$1,
Master_Mapping_Sheet!$K$2:$K$3143=VALUE(RIGHT($A5,1))))/sum(filter(
Master_Mapping_Sheet!$E$2:$E$3143, ISNUMBER(
M"&amp;"aster_Mapping_Sheet!$E$2:$E$3143),
Master_Mapping_Sheet!$K$2:$K$3143=VALUE(RIGHT($A5,1))))), 0, sum(filter(
Master_Mapping_Sheet!$E$2:$E$3143, ISNUMBER(
Master_Mapping_Sheet!$E$2:$E$3143),
Master_Mapping_Sheet!$C$2:$C$3143=AA$1,
Master_Mapping_Sheet!$K$2:"&amp;"$K$3143=VALUE(RIGHT($A5,1))))/sum(filter(
Master_Mapping_Sheet!$E$2:$E$3143, ISNUMBER(
Master_Mapping_Sheet!$E$2:$E$3143),
Master_Mapping_Sheet!$K$2:$K$3143=VALUE(RIGHT($A5,1)))))"),0.0)</f>
        <v>0</v>
      </c>
      <c r="AB5" s="34">
        <f>IFERROR(__xludf.DUMMYFUNCTION("IF(ISNA(sum(filter(
Master_Mapping_Sheet!$E$2:$E$3143, ISNUMBER(
Master_Mapping_Sheet!$E$2:$E$3143),
Master_Mapping_Sheet!$C$2:$C$3143=AB$1,
Master_Mapping_Sheet!$K$2:$K$3143=VALUE(RIGHT($A5,1))))/sum(filter(
Master_Mapping_Sheet!$E$2:$E$3143, ISNUMBER(
M"&amp;"aster_Mapping_Sheet!$E$2:$E$3143),
Master_Mapping_Sheet!$K$2:$K$3143=VALUE(RIGHT($A5,1))))), 0, sum(filter(
Master_Mapping_Sheet!$E$2:$E$3143, ISNUMBER(
Master_Mapping_Sheet!$E$2:$E$3143),
Master_Mapping_Sheet!$C$2:$C$3143=AB$1,
Master_Mapping_Sheet!$K$2:"&amp;"$K$3143=VALUE(RIGHT($A5,1))))/sum(filter(
Master_Mapping_Sheet!$E$2:$E$3143, ISNUMBER(
Master_Mapping_Sheet!$E$2:$E$3143),
Master_Mapping_Sheet!$K$2:$K$3143=VALUE(RIGHT($A5,1)))))"),0.0)</f>
        <v>0</v>
      </c>
      <c r="AC5" s="34">
        <f>IFERROR(__xludf.DUMMYFUNCTION("IF(ISNA(sum(filter(
Master_Mapping_Sheet!$E$2:$E$3143, ISNUMBER(
Master_Mapping_Sheet!$E$2:$E$3143),
Master_Mapping_Sheet!$C$2:$C$3143=AC$1,
Master_Mapping_Sheet!$K$2:$K$3143=VALUE(RIGHT($A5,1))))/sum(filter(
Master_Mapping_Sheet!$E$2:$E$3143, ISNUMBER(
M"&amp;"aster_Mapping_Sheet!$E$2:$E$3143),
Master_Mapping_Sheet!$K$2:$K$3143=VALUE(RIGHT($A5,1))))), 0, sum(filter(
Master_Mapping_Sheet!$E$2:$E$3143, ISNUMBER(
Master_Mapping_Sheet!$E$2:$E$3143),
Master_Mapping_Sheet!$C$2:$C$3143=AC$1,
Master_Mapping_Sheet!$K$2:"&amp;"$K$3143=VALUE(RIGHT($A5,1))))/sum(filter(
Master_Mapping_Sheet!$E$2:$E$3143, ISNUMBER(
Master_Mapping_Sheet!$E$2:$E$3143),
Master_Mapping_Sheet!$K$2:$K$3143=VALUE(RIGHT($A5,1)))))"),0.0)</f>
        <v>0</v>
      </c>
      <c r="AD5" s="34">
        <f>IFERROR(__xludf.DUMMYFUNCTION("IF(ISNA(sum(filter(
Master_Mapping_Sheet!$E$2:$E$3143, ISNUMBER(
Master_Mapping_Sheet!$E$2:$E$3143),
Master_Mapping_Sheet!$C$2:$C$3143=AD$1,
Master_Mapping_Sheet!$K$2:$K$3143=VALUE(RIGHT($A5,1))))/sum(filter(
Master_Mapping_Sheet!$E$2:$E$3143, ISNUMBER(
M"&amp;"aster_Mapping_Sheet!$E$2:$E$3143),
Master_Mapping_Sheet!$K$2:$K$3143=VALUE(RIGHT($A5,1))))), 0, sum(filter(
Master_Mapping_Sheet!$E$2:$E$3143, ISNUMBER(
Master_Mapping_Sheet!$E$2:$E$3143),
Master_Mapping_Sheet!$C$2:$C$3143=AD$1,
Master_Mapping_Sheet!$K$2:"&amp;"$K$3143=VALUE(RIGHT($A5,1))))/sum(filter(
Master_Mapping_Sheet!$E$2:$E$3143, ISNUMBER(
Master_Mapping_Sheet!$E$2:$E$3143),
Master_Mapping_Sheet!$K$2:$K$3143=VALUE(RIGHT($A5,1)))))"),0.0)</f>
        <v>0</v>
      </c>
      <c r="AE5" s="34">
        <f>IFERROR(__xludf.DUMMYFUNCTION("IF(ISNA(sum(filter(
Master_Mapping_Sheet!$E$2:$E$3143, ISNUMBER(
Master_Mapping_Sheet!$E$2:$E$3143),
Master_Mapping_Sheet!$C$2:$C$3143=AE$1,
Master_Mapping_Sheet!$K$2:$K$3143=VALUE(RIGHT($A5,1))))/sum(filter(
Master_Mapping_Sheet!$E$2:$E$3143, ISNUMBER(
M"&amp;"aster_Mapping_Sheet!$E$2:$E$3143),
Master_Mapping_Sheet!$K$2:$K$3143=VALUE(RIGHT($A5,1))))), 0, sum(filter(
Master_Mapping_Sheet!$E$2:$E$3143, ISNUMBER(
Master_Mapping_Sheet!$E$2:$E$3143),
Master_Mapping_Sheet!$C$2:$C$3143=AE$1,
Master_Mapping_Sheet!$K$2:"&amp;"$K$3143=VALUE(RIGHT($A5,1))))/sum(filter(
Master_Mapping_Sheet!$E$2:$E$3143, ISNUMBER(
Master_Mapping_Sheet!$E$2:$E$3143),
Master_Mapping_Sheet!$K$2:$K$3143=VALUE(RIGHT($A5,1)))))"),0.0)</f>
        <v>0</v>
      </c>
      <c r="AF5" s="34">
        <f>IFERROR(__xludf.DUMMYFUNCTION("IF(ISNA(sum(filter(
Master_Mapping_Sheet!$E$2:$E$3143, ISNUMBER(
Master_Mapping_Sheet!$E$2:$E$3143),
Master_Mapping_Sheet!$C$2:$C$3143=AF$1,
Master_Mapping_Sheet!$K$2:$K$3143=VALUE(RIGHT($A5,1))))/sum(filter(
Master_Mapping_Sheet!$E$2:$E$3143, ISNUMBER(
M"&amp;"aster_Mapping_Sheet!$E$2:$E$3143),
Master_Mapping_Sheet!$K$2:$K$3143=VALUE(RIGHT($A5,1))))), 0, sum(filter(
Master_Mapping_Sheet!$E$2:$E$3143, ISNUMBER(
Master_Mapping_Sheet!$E$2:$E$3143),
Master_Mapping_Sheet!$C$2:$C$3143=AF$1,
Master_Mapping_Sheet!$K$2:"&amp;"$K$3143=VALUE(RIGHT($A5,1))))/sum(filter(
Master_Mapping_Sheet!$E$2:$E$3143, ISNUMBER(
Master_Mapping_Sheet!$E$2:$E$3143),
Master_Mapping_Sheet!$K$2:$K$3143=VALUE(RIGHT($A5,1)))))"),0.0)</f>
        <v>0</v>
      </c>
      <c r="AG5" s="34">
        <f>IFERROR(__xludf.DUMMYFUNCTION("IF(ISNA(sum(filter(
Master_Mapping_Sheet!$E$2:$E$3143, ISNUMBER(
Master_Mapping_Sheet!$E$2:$E$3143),
Master_Mapping_Sheet!$C$2:$C$3143=AG$1,
Master_Mapping_Sheet!$K$2:$K$3143=VALUE(RIGHT($A5,1))))/sum(filter(
Master_Mapping_Sheet!$E$2:$E$3143, ISNUMBER(
M"&amp;"aster_Mapping_Sheet!$E$2:$E$3143),
Master_Mapping_Sheet!$K$2:$K$3143=VALUE(RIGHT($A5,1))))), 0, sum(filter(
Master_Mapping_Sheet!$E$2:$E$3143, ISNUMBER(
Master_Mapping_Sheet!$E$2:$E$3143),
Master_Mapping_Sheet!$C$2:$C$3143=AG$1,
Master_Mapping_Sheet!$K$2:"&amp;"$K$3143=VALUE(RIGHT($A5,1))))/sum(filter(
Master_Mapping_Sheet!$E$2:$E$3143, ISNUMBER(
Master_Mapping_Sheet!$E$2:$E$3143),
Master_Mapping_Sheet!$K$2:$K$3143=VALUE(RIGHT($A5,1)))))"),0.007236075377237457)</f>
        <v>0.007236075377</v>
      </c>
      <c r="AH5" s="34">
        <f>IFERROR(__xludf.DUMMYFUNCTION("IF(ISNA(sum(filter(
Master_Mapping_Sheet!$E$2:$E$3143, ISNUMBER(
Master_Mapping_Sheet!$E$2:$E$3143),
Master_Mapping_Sheet!$C$2:$C$3143=AH$1,
Master_Mapping_Sheet!$K$2:$K$3143=VALUE(RIGHT($A5,1))))/sum(filter(
Master_Mapping_Sheet!$E$2:$E$3143, ISNUMBER(
M"&amp;"aster_Mapping_Sheet!$E$2:$E$3143),
Master_Mapping_Sheet!$K$2:$K$3143=VALUE(RIGHT($A5,1))))), 0, sum(filter(
Master_Mapping_Sheet!$E$2:$E$3143, ISNUMBER(
Master_Mapping_Sheet!$E$2:$E$3143),
Master_Mapping_Sheet!$C$2:$C$3143=AH$1,
Master_Mapping_Sheet!$K$2:"&amp;"$K$3143=VALUE(RIGHT($A5,1))))/sum(filter(
Master_Mapping_Sheet!$E$2:$E$3143, ISNUMBER(
Master_Mapping_Sheet!$E$2:$E$3143),
Master_Mapping_Sheet!$K$2:$K$3143=VALUE(RIGHT($A5,1)))))"),0.0)</f>
        <v>0</v>
      </c>
      <c r="AI5" s="34">
        <f>IFERROR(__xludf.DUMMYFUNCTION("IF(ISNA(sum(filter(
Master_Mapping_Sheet!$E$2:$E$3143, ISNUMBER(
Master_Mapping_Sheet!$E$2:$E$3143),
Master_Mapping_Sheet!$C$2:$C$3143=AI$1,
Master_Mapping_Sheet!$K$2:$K$3143=VALUE(RIGHT($A5,1))))/sum(filter(
Master_Mapping_Sheet!$E$2:$E$3143, ISNUMBER(
M"&amp;"aster_Mapping_Sheet!$E$2:$E$3143),
Master_Mapping_Sheet!$K$2:$K$3143=VALUE(RIGHT($A5,1))))), 0, sum(filter(
Master_Mapping_Sheet!$E$2:$E$3143, ISNUMBER(
Master_Mapping_Sheet!$E$2:$E$3143),
Master_Mapping_Sheet!$C$2:$C$3143=AI$1,
Master_Mapping_Sheet!$K$2:"&amp;"$K$3143=VALUE(RIGHT($A5,1))))/sum(filter(
Master_Mapping_Sheet!$E$2:$E$3143, ISNUMBER(
Master_Mapping_Sheet!$E$2:$E$3143),
Master_Mapping_Sheet!$K$2:$K$3143=VALUE(RIGHT($A5,1)))))"),0.12768805830499166)</f>
        <v>0.1276880583</v>
      </c>
      <c r="AJ5" s="34">
        <f>IFERROR(__xludf.DUMMYFUNCTION("IF(ISNA(sum(filter(
Master_Mapping_Sheet!$E$2:$E$3143, ISNUMBER(
Master_Mapping_Sheet!$E$2:$E$3143),
Master_Mapping_Sheet!$C$2:$C$3143=AJ$1,
Master_Mapping_Sheet!$K$2:$K$3143=VALUE(RIGHT($A5,1))))/sum(filter(
Master_Mapping_Sheet!$E$2:$E$3143, ISNUMBER(
M"&amp;"aster_Mapping_Sheet!$E$2:$E$3143),
Master_Mapping_Sheet!$K$2:$K$3143=VALUE(RIGHT($A5,1))))), 0, sum(filter(
Master_Mapping_Sheet!$E$2:$E$3143, ISNUMBER(
Master_Mapping_Sheet!$E$2:$E$3143),
Master_Mapping_Sheet!$C$2:$C$3143=AJ$1,
Master_Mapping_Sheet!$K$2:"&amp;"$K$3143=VALUE(RIGHT($A5,1))))/sum(filter(
Master_Mapping_Sheet!$E$2:$E$3143, ISNUMBER(
Master_Mapping_Sheet!$E$2:$E$3143),
Master_Mapping_Sheet!$K$2:$K$3143=VALUE(RIGHT($A5,1)))))"),0.0)</f>
        <v>0</v>
      </c>
      <c r="AK5" s="34">
        <f>IFERROR(__xludf.DUMMYFUNCTION("IF(ISNA(sum(filter(
Master_Mapping_Sheet!$E$2:$E$3143, ISNUMBER(
Master_Mapping_Sheet!$E$2:$E$3143),
Master_Mapping_Sheet!$C$2:$C$3143=AK$1,
Master_Mapping_Sheet!$K$2:$K$3143=VALUE(RIGHT($A5,1))))/sum(filter(
Master_Mapping_Sheet!$E$2:$E$3143, ISNUMBER(
M"&amp;"aster_Mapping_Sheet!$E$2:$E$3143),
Master_Mapping_Sheet!$K$2:$K$3143=VALUE(RIGHT($A5,1))))), 0, sum(filter(
Master_Mapping_Sheet!$E$2:$E$3143, ISNUMBER(
Master_Mapping_Sheet!$E$2:$E$3143),
Master_Mapping_Sheet!$C$2:$C$3143=AK$1,
Master_Mapping_Sheet!$K$2:"&amp;"$K$3143=VALUE(RIGHT($A5,1))))/sum(filter(
Master_Mapping_Sheet!$E$2:$E$3143, ISNUMBER(
Master_Mapping_Sheet!$E$2:$E$3143),
Master_Mapping_Sheet!$K$2:$K$3143=VALUE(RIGHT($A5,1)))))"),0.0)</f>
        <v>0</v>
      </c>
      <c r="AL5" s="34">
        <f>IFERROR(__xludf.DUMMYFUNCTION("IF(ISNA(sum(filter(
Master_Mapping_Sheet!$E$2:$E$3143, ISNUMBER(
Master_Mapping_Sheet!$E$2:$E$3143),
Master_Mapping_Sheet!$C$2:$C$3143=AL$1,
Master_Mapping_Sheet!$K$2:$K$3143=VALUE(RIGHT($A5,1))))/sum(filter(
Master_Mapping_Sheet!$E$2:$E$3143, ISNUMBER(
M"&amp;"aster_Mapping_Sheet!$E$2:$E$3143),
Master_Mapping_Sheet!$K$2:$K$3143=VALUE(RIGHT($A5,1))))), 0, sum(filter(
Master_Mapping_Sheet!$E$2:$E$3143, ISNUMBER(
Master_Mapping_Sheet!$E$2:$E$3143),
Master_Mapping_Sheet!$C$2:$C$3143=AL$1,
Master_Mapping_Sheet!$K$2:"&amp;"$K$3143=VALUE(RIGHT($A5,1))))/sum(filter(
Master_Mapping_Sheet!$E$2:$E$3143, ISNUMBER(
Master_Mapping_Sheet!$E$2:$E$3143),
Master_Mapping_Sheet!$K$2:$K$3143=VALUE(RIGHT($A5,1)))))"),0.03904701667362161)</f>
        <v>0.03904701667</v>
      </c>
      <c r="AM5" s="34">
        <f>IFERROR(__xludf.DUMMYFUNCTION("IF(ISNA(sum(filter(
Master_Mapping_Sheet!$E$2:$E$3143, ISNUMBER(
Master_Mapping_Sheet!$E$2:$E$3143),
Master_Mapping_Sheet!$C$2:$C$3143=AM$1,
Master_Mapping_Sheet!$K$2:$K$3143=VALUE(RIGHT($A5,1))))/sum(filter(
Master_Mapping_Sheet!$E$2:$E$3143, ISNUMBER(
M"&amp;"aster_Mapping_Sheet!$E$2:$E$3143),
Master_Mapping_Sheet!$K$2:$K$3143=VALUE(RIGHT($A5,1))))), 0, sum(filter(
Master_Mapping_Sheet!$E$2:$E$3143, ISNUMBER(
Master_Mapping_Sheet!$E$2:$E$3143),
Master_Mapping_Sheet!$C$2:$C$3143=AM$1,
Master_Mapping_Sheet!$K$2:"&amp;"$K$3143=VALUE(RIGHT($A5,1))))/sum(filter(
Master_Mapping_Sheet!$E$2:$E$3143, ISNUMBER(
Master_Mapping_Sheet!$E$2:$E$3143),
Master_Mapping_Sheet!$K$2:$K$3143=VALUE(RIGHT($A5,1)))))"),0.0)</f>
        <v>0</v>
      </c>
      <c r="AN5" s="34">
        <f>IFERROR(__xludf.DUMMYFUNCTION("IF(ISNA(sum(filter(
Master_Mapping_Sheet!$E$2:$E$3143, ISNUMBER(
Master_Mapping_Sheet!$E$2:$E$3143),
Master_Mapping_Sheet!$C$2:$C$3143=AN$1,
Master_Mapping_Sheet!$K$2:$K$3143=VALUE(RIGHT($A5,1))))/sum(filter(
Master_Mapping_Sheet!$E$2:$E$3143, ISNUMBER(
M"&amp;"aster_Mapping_Sheet!$E$2:$E$3143),
Master_Mapping_Sheet!$K$2:$K$3143=VALUE(RIGHT($A5,1))))), 0, sum(filter(
Master_Mapping_Sheet!$E$2:$E$3143, ISNUMBER(
Master_Mapping_Sheet!$E$2:$E$3143),
Master_Mapping_Sheet!$C$2:$C$3143=AN$1,
Master_Mapping_Sheet!$K$2:"&amp;"$K$3143=VALUE(RIGHT($A5,1))))/sum(filter(
Master_Mapping_Sheet!$E$2:$E$3143, ISNUMBER(
Master_Mapping_Sheet!$E$2:$E$3143),
Master_Mapping_Sheet!$K$2:$K$3143=VALUE(RIGHT($A5,1)))))"),0.0)</f>
        <v>0</v>
      </c>
      <c r="AO5" s="34">
        <f>IFERROR(__xludf.DUMMYFUNCTION("IF(ISNA(sum(filter(
Master_Mapping_Sheet!$E$2:$E$3143, ISNUMBER(
Master_Mapping_Sheet!$E$2:$E$3143),
Master_Mapping_Sheet!$C$2:$C$3143=AO$1,
Master_Mapping_Sheet!$K$2:$K$3143=VALUE(RIGHT($A5,1))))/sum(filter(
Master_Mapping_Sheet!$E$2:$E$3143, ISNUMBER(
M"&amp;"aster_Mapping_Sheet!$E$2:$E$3143),
Master_Mapping_Sheet!$K$2:$K$3143=VALUE(RIGHT($A5,1))))), 0, sum(filter(
Master_Mapping_Sheet!$E$2:$E$3143, ISNUMBER(
Master_Mapping_Sheet!$E$2:$E$3143),
Master_Mapping_Sheet!$C$2:$C$3143=AO$1,
Master_Mapping_Sheet!$K$2:"&amp;"$K$3143=VALUE(RIGHT($A5,1))))/sum(filter(
Master_Mapping_Sheet!$E$2:$E$3143, ISNUMBER(
Master_Mapping_Sheet!$E$2:$E$3143),
Master_Mapping_Sheet!$K$2:$K$3143=VALUE(RIGHT($A5,1)))))"),0.0)</f>
        <v>0</v>
      </c>
      <c r="AP5" s="34">
        <f>IFERROR(__xludf.DUMMYFUNCTION("IF(ISNA(sum(filter(
Master_Mapping_Sheet!$E$2:$E$3143, ISNUMBER(
Master_Mapping_Sheet!$E$2:$E$3143),
Master_Mapping_Sheet!$C$2:$C$3143=AP$1,
Master_Mapping_Sheet!$K$2:$K$3143=VALUE(RIGHT($A5,1))))/sum(filter(
Master_Mapping_Sheet!$E$2:$E$3143, ISNUMBER(
M"&amp;"aster_Mapping_Sheet!$E$2:$E$3143),
Master_Mapping_Sheet!$K$2:$K$3143=VALUE(RIGHT($A5,1))))), 0, sum(filter(
Master_Mapping_Sheet!$E$2:$E$3143, ISNUMBER(
Master_Mapping_Sheet!$E$2:$E$3143),
Master_Mapping_Sheet!$C$2:$C$3143=AP$1,
Master_Mapping_Sheet!$K$2:"&amp;"$K$3143=VALUE(RIGHT($A5,1))))/sum(filter(
Master_Mapping_Sheet!$E$2:$E$3143, ISNUMBER(
Master_Mapping_Sheet!$E$2:$E$3143),
Master_Mapping_Sheet!$K$2:$K$3143=VALUE(RIGHT($A5,1)))))"),0.050298768450696835)</f>
        <v>0.05029876845</v>
      </c>
      <c r="AQ5" s="34">
        <f>IFERROR(__xludf.DUMMYFUNCTION("IF(ISNA(sum(filter(
Master_Mapping_Sheet!$E$2:$E$3143, ISNUMBER(
Master_Mapping_Sheet!$E$2:$E$3143),
Master_Mapping_Sheet!$C$2:$C$3143=AQ$1,
Master_Mapping_Sheet!$K$2:$K$3143=VALUE(RIGHT($A5,1))))/sum(filter(
Master_Mapping_Sheet!$E$2:$E$3143, ISNUMBER(
M"&amp;"aster_Mapping_Sheet!$E$2:$E$3143),
Master_Mapping_Sheet!$K$2:$K$3143=VALUE(RIGHT($A5,1))))), 0, sum(filter(
Master_Mapping_Sheet!$E$2:$E$3143, ISNUMBER(
Master_Mapping_Sheet!$E$2:$E$3143),
Master_Mapping_Sheet!$C$2:$C$3143=AQ$1,
Master_Mapping_Sheet!$K$2:"&amp;"$K$3143=VALUE(RIGHT($A5,1))))/sum(filter(
Master_Mapping_Sheet!$E$2:$E$3143, ISNUMBER(
Master_Mapping_Sheet!$E$2:$E$3143),
Master_Mapping_Sheet!$K$2:$K$3143=VALUE(RIGHT($A5,1)))))"),0.0)</f>
        <v>0</v>
      </c>
      <c r="AR5" s="34">
        <f>IFERROR(__xludf.DUMMYFUNCTION("IF(ISNA(sum(filter(
Master_Mapping_Sheet!$E$2:$E$3143, ISNUMBER(
Master_Mapping_Sheet!$E$2:$E$3143),
Master_Mapping_Sheet!$C$2:$C$3143=AR$1,
Master_Mapping_Sheet!$K$2:$K$3143=VALUE(RIGHT($A5,1))))/sum(filter(
Master_Mapping_Sheet!$E$2:$E$3143, ISNUMBER(
M"&amp;"aster_Mapping_Sheet!$E$2:$E$3143),
Master_Mapping_Sheet!$K$2:$K$3143=VALUE(RIGHT($A5,1))))), 0, sum(filter(
Master_Mapping_Sheet!$E$2:$E$3143, ISNUMBER(
Master_Mapping_Sheet!$E$2:$E$3143),
Master_Mapping_Sheet!$C$2:$C$3143=AR$1,
Master_Mapping_Sheet!$K$2:"&amp;"$K$3143=VALUE(RIGHT($A5,1))))/sum(filter(
Master_Mapping_Sheet!$E$2:$E$3143, ISNUMBER(
Master_Mapping_Sheet!$E$2:$E$3143),
Master_Mapping_Sheet!$K$2:$K$3143=VALUE(RIGHT($A5,1)))))"),0.046119490419754564)</f>
        <v>0.04611949042</v>
      </c>
      <c r="AS5" s="34">
        <f>IFERROR(__xludf.DUMMYFUNCTION("IF(ISNA(sum(filter(
Master_Mapping_Sheet!$E$2:$E$3143, ISNUMBER(
Master_Mapping_Sheet!$E$2:$E$3143),
Master_Mapping_Sheet!$C$2:$C$3143=AS$1,
Master_Mapping_Sheet!$K$2:$K$3143=VALUE(RIGHT($A5,1))))/sum(filter(
Master_Mapping_Sheet!$E$2:$E$3143, ISNUMBER(
M"&amp;"aster_Mapping_Sheet!$E$2:$E$3143),
Master_Mapping_Sheet!$K$2:$K$3143=VALUE(RIGHT($A5,1))))), 0, sum(filter(
Master_Mapping_Sheet!$E$2:$E$3143, ISNUMBER(
Master_Mapping_Sheet!$E$2:$E$3143),
Master_Mapping_Sheet!$C$2:$C$3143=AS$1,
Master_Mapping_Sheet!$K$2:"&amp;"$K$3143=VALUE(RIGHT($A5,1))))/sum(filter(
Master_Mapping_Sheet!$E$2:$E$3143, ISNUMBER(
Master_Mapping_Sheet!$E$2:$E$3143),
Master_Mapping_Sheet!$K$2:$K$3143=VALUE(RIGHT($A5,1)))))"),0.0067590022844581255)</f>
        <v>0.006759002284</v>
      </c>
      <c r="AT5" s="34">
        <f>IFERROR(__xludf.DUMMYFUNCTION("IF(ISNA(sum(filter(
Master_Mapping_Sheet!$E$2:$E$3143, ISNUMBER(
Master_Mapping_Sheet!$E$2:$E$3143),
Master_Mapping_Sheet!$C$2:$C$3143=AT$1,
Master_Mapping_Sheet!$K$2:$K$3143=VALUE(RIGHT($A5,1))))/sum(filter(
Master_Mapping_Sheet!$E$2:$E$3143, ISNUMBER(
M"&amp;"aster_Mapping_Sheet!$E$2:$E$3143),
Master_Mapping_Sheet!$K$2:$K$3143=VALUE(RIGHT($A5,1))))), 0, sum(filter(
Master_Mapping_Sheet!$E$2:$E$3143, ISNUMBER(
Master_Mapping_Sheet!$E$2:$E$3143),
Master_Mapping_Sheet!$C$2:$C$3143=AT$1,
Master_Mapping_Sheet!$K$2:"&amp;"$K$3143=VALUE(RIGHT($A5,1))))/sum(filter(
Master_Mapping_Sheet!$E$2:$E$3143, ISNUMBER(
Master_Mapping_Sheet!$E$2:$E$3143),
Master_Mapping_Sheet!$K$2:$K$3143=VALUE(RIGHT($A5,1)))))"),0.0)</f>
        <v>0</v>
      </c>
      <c r="AU5" s="34">
        <f>IFERROR(__xludf.DUMMYFUNCTION("IF(ISNA(sum(filter(
Master_Mapping_Sheet!$E$2:$E$3143, ISNUMBER(
Master_Mapping_Sheet!$E$2:$E$3143),
Master_Mapping_Sheet!$C$2:$C$3143=AU$1,
Master_Mapping_Sheet!$K$2:$K$3143=VALUE(RIGHT($A5,1))))/sum(filter(
Master_Mapping_Sheet!$E$2:$E$3143, ISNUMBER(
M"&amp;"aster_Mapping_Sheet!$E$2:$E$3143),
Master_Mapping_Sheet!$K$2:$K$3143=VALUE(RIGHT($A5,1))))), 0, sum(filter(
Master_Mapping_Sheet!$E$2:$E$3143, ISNUMBER(
Master_Mapping_Sheet!$E$2:$E$3143),
Master_Mapping_Sheet!$C$2:$C$3143=AU$1,
Master_Mapping_Sheet!$K$2:"&amp;"$K$3143=VALUE(RIGHT($A5,1))))/sum(filter(
Master_Mapping_Sheet!$E$2:$E$3143, ISNUMBER(
Master_Mapping_Sheet!$E$2:$E$3143),
Master_Mapping_Sheet!$K$2:$K$3143=VALUE(RIGHT($A5,1)))))"),0.0)</f>
        <v>0</v>
      </c>
      <c r="AV5" s="34">
        <f>IFERROR(__xludf.DUMMYFUNCTION("IF(ISNA(sum(filter(
Master_Mapping_Sheet!$E$2:$E$3143, ISNUMBER(
Master_Mapping_Sheet!$E$2:$E$3143),
Master_Mapping_Sheet!$C$2:$C$3143=AV$1,
Master_Mapping_Sheet!$K$2:$K$3143=VALUE(RIGHT($A5,1))))/sum(filter(
Master_Mapping_Sheet!$E$2:$E$3143, ISNUMBER(
M"&amp;"aster_Mapping_Sheet!$E$2:$E$3143),
Master_Mapping_Sheet!$K$2:$K$3143=VALUE(RIGHT($A5,1))))), 0, sum(filter(
Master_Mapping_Sheet!$E$2:$E$3143, ISNUMBER(
Master_Mapping_Sheet!$E$2:$E$3143),
Master_Mapping_Sheet!$C$2:$C$3143=AV$1,
Master_Mapping_Sheet!$K$2:"&amp;"$K$3143=VALUE(RIGHT($A5,1))))/sum(filter(
Master_Mapping_Sheet!$E$2:$E$3143, ISNUMBER(
Master_Mapping_Sheet!$E$2:$E$3143),
Master_Mapping_Sheet!$K$2:$K$3143=VALUE(RIGHT($A5,1)))))"),0.03938573442013122)</f>
        <v>0.03938573442</v>
      </c>
      <c r="AW5" s="34">
        <f>IFERROR(__xludf.DUMMYFUNCTION("IF(ISNA(sum(filter(
Master_Mapping_Sheet!$E$2:$E$3143, ISNUMBER(
Master_Mapping_Sheet!$E$2:$E$3143),
Master_Mapping_Sheet!$C$2:$C$3143=AW$1,
Master_Mapping_Sheet!$K$2:$K$3143=VALUE(RIGHT($A5,1))))/sum(filter(
Master_Mapping_Sheet!$E$2:$E$3143, ISNUMBER(
M"&amp;"aster_Mapping_Sheet!$E$2:$E$3143),
Master_Mapping_Sheet!$K$2:$K$3143=VALUE(RIGHT($A5,1))))), 0, sum(filter(
Master_Mapping_Sheet!$E$2:$E$3143, ISNUMBER(
Master_Mapping_Sheet!$E$2:$E$3143),
Master_Mapping_Sheet!$C$2:$C$3143=AW$1,
Master_Mapping_Sheet!$K$2:"&amp;"$K$3143=VALUE(RIGHT($A5,1))))/sum(filter(
Master_Mapping_Sheet!$E$2:$E$3143, ISNUMBER(
Master_Mapping_Sheet!$E$2:$E$3143),
Master_Mapping_Sheet!$K$2:$K$3143=VALUE(RIGHT($A5,1)))))"),0.0)</f>
        <v>0</v>
      </c>
      <c r="AX5" s="34">
        <f>IFERROR(__xludf.DUMMYFUNCTION("IF(ISNA(sum(filter(
Master_Mapping_Sheet!$E$2:$E$3143, ISNUMBER(
Master_Mapping_Sheet!$E$2:$E$3143),
Master_Mapping_Sheet!$C$2:$C$3143=AX$1,
Master_Mapping_Sheet!$K$2:$K$3143=VALUE(RIGHT($A5,1))))/sum(filter(
Master_Mapping_Sheet!$E$2:$E$3143, ISNUMBER(
M"&amp;"aster_Mapping_Sheet!$E$2:$E$3143),
Master_Mapping_Sheet!$K$2:$K$3143=VALUE(RIGHT($A5,1))))), 0, sum(filter(
Master_Mapping_Sheet!$E$2:$E$3143, ISNUMBER(
Master_Mapping_Sheet!$E$2:$E$3143),
Master_Mapping_Sheet!$C$2:$C$3143=AX$1,
Master_Mapping_Sheet!$K$2:"&amp;"$K$3143=VALUE(RIGHT($A5,1))))/sum(filter(
Master_Mapping_Sheet!$E$2:$E$3143, ISNUMBER(
Master_Mapping_Sheet!$E$2:$E$3143),
Master_Mapping_Sheet!$K$2:$K$3143=VALUE(RIGHT($A5,1)))))"),0.0)</f>
        <v>0</v>
      </c>
      <c r="AY5" s="34">
        <f>IFERROR(__xludf.DUMMYFUNCTION("IF(ISNA(sum(filter(
Master_Mapping_Sheet!$E$2:$E$3143, ISNUMBER(
Master_Mapping_Sheet!$E$2:$E$3143),
Master_Mapping_Sheet!$C$2:$C$3143=AY$1,
Master_Mapping_Sheet!$K$2:$K$3143=VALUE(RIGHT($A5,1))))/sum(filter(
Master_Mapping_Sheet!$E$2:$E$3143, ISNUMBER(
M"&amp;"aster_Mapping_Sheet!$E$2:$E$3143),
Master_Mapping_Sheet!$K$2:$K$3143=VALUE(RIGHT($A5,1))))), 0, sum(filter(
Master_Mapping_Sheet!$E$2:$E$3143, ISNUMBER(
Master_Mapping_Sheet!$E$2:$E$3143),
Master_Mapping_Sheet!$C$2:$C$3143=AY$1,
Master_Mapping_Sheet!$K$2:"&amp;"$K$3143=VALUE(RIGHT($A5,1))))/sum(filter(
Master_Mapping_Sheet!$E$2:$E$3143, ISNUMBER(
Master_Mapping_Sheet!$E$2:$E$3143),
Master_Mapping_Sheet!$K$2:$K$3143=VALUE(RIGHT($A5,1)))))"),0.0)</f>
        <v>0</v>
      </c>
      <c r="AZ5" s="34">
        <f>IFERROR(__xludf.DUMMYFUNCTION("IF(ISNA(sum(filter(
Master_Mapping_Sheet!$E$2:$E$3143, ISNUMBER(
Master_Mapping_Sheet!$E$2:$E$3143),
Master_Mapping_Sheet!$C$2:$C$3143=AZ$1,
Master_Mapping_Sheet!$K$2:$K$3143=VALUE(RIGHT($A5,1))))/sum(filter(
Master_Mapping_Sheet!$E$2:$E$3143, ISNUMBER(
M"&amp;"aster_Mapping_Sheet!$E$2:$E$3143),
Master_Mapping_Sheet!$K$2:$K$3143=VALUE(RIGHT($A5,1))))), 0, sum(filter(
Master_Mapping_Sheet!$E$2:$E$3143, ISNUMBER(
Master_Mapping_Sheet!$E$2:$E$3143),
Master_Mapping_Sheet!$C$2:$C$3143=AZ$1,
Master_Mapping_Sheet!$K$2:"&amp;"$K$3143=VALUE(RIGHT($A5,1))))/sum(filter(
Master_Mapping_Sheet!$E$2:$E$3143, ISNUMBER(
Master_Mapping_Sheet!$E$2:$E$3143),
Master_Mapping_Sheet!$K$2:$K$3143=VALUE(RIGHT($A5,1)))))"),0.0)</f>
        <v>0</v>
      </c>
    </row>
    <row r="6" ht="15.75" customHeight="1">
      <c r="A6" s="45" t="s">
        <v>4250</v>
      </c>
      <c r="B6" s="34">
        <f>IFERROR(__xludf.DUMMYFUNCTION("IF(ISNA(sum(filter(
Master_Mapping_Sheet!$E$2:$E$3143, ISNUMBER(
Master_Mapping_Sheet!$E$2:$E$3143),
Master_Mapping_Sheet!$C$2:$C$3143=B$1,
Master_Mapping_Sheet!$K$2:$K$3143=VALUE(RIGHT($A6,1))))/sum(filter(
Master_Mapping_Sheet!$E$2:$E$3143, ISNUMBER(
Ma"&amp;"ster_Mapping_Sheet!$E$2:$E$3143),
Master_Mapping_Sheet!$K$2:$K$3143=VALUE(RIGHT($A6,1))))), 0, sum(filter(
Master_Mapping_Sheet!$E$2:$E$3143, ISNUMBER(
Master_Mapping_Sheet!$E$2:$E$3143),
Master_Mapping_Sheet!$C$2:$C$3143=B$1,
Master_Mapping_Sheet!$K$2:$K"&amp;"$3143=VALUE(RIGHT($A6,1))))/sum(filter(
Master_Mapping_Sheet!$E$2:$E$3143, ISNUMBER(
Master_Mapping_Sheet!$E$2:$E$3143),
Master_Mapping_Sheet!$K$2:$K$3143=VALUE(RIGHT($A6,1)))))"),0.019843529965897555)</f>
        <v>0.01984352997</v>
      </c>
      <c r="C6" s="34">
        <f>IFERROR(__xludf.DUMMYFUNCTION("IF(ISNA(sum(filter(
Master_Mapping_Sheet!$E$2:$E$3143, ISNUMBER(
Master_Mapping_Sheet!$E$2:$E$3143),
Master_Mapping_Sheet!$C$2:$C$3143=C$1,
Master_Mapping_Sheet!$K$2:$K$3143=VALUE(RIGHT($A6,1))))/sum(filter(
Master_Mapping_Sheet!$E$2:$E$3143, ISNUMBER(
Ma"&amp;"ster_Mapping_Sheet!$E$2:$E$3143),
Master_Mapping_Sheet!$K$2:$K$3143=VALUE(RIGHT($A6,1))))), 0, sum(filter(
Master_Mapping_Sheet!$E$2:$E$3143, ISNUMBER(
Master_Mapping_Sheet!$E$2:$E$3143),
Master_Mapping_Sheet!$C$2:$C$3143=C$1,
Master_Mapping_Sheet!$K$2:$K"&amp;"$3143=VALUE(RIGHT($A6,1))))/sum(filter(
Master_Mapping_Sheet!$E$2:$E$3143, ISNUMBER(
Master_Mapping_Sheet!$E$2:$E$3143),
Master_Mapping_Sheet!$K$2:$K$3143=VALUE(RIGHT($A6,1)))))"),0.0)</f>
        <v>0</v>
      </c>
      <c r="D6" s="34">
        <f>IFERROR(__xludf.DUMMYFUNCTION("IF(ISNA(sum(filter(
Master_Mapping_Sheet!$E$2:$E$3143, ISNUMBER(
Master_Mapping_Sheet!$E$2:$E$3143),
Master_Mapping_Sheet!$C$2:$C$3143=D$1,
Master_Mapping_Sheet!$K$2:$K$3143=VALUE(RIGHT($A6,1))))/sum(filter(
Master_Mapping_Sheet!$E$2:$E$3143, ISNUMBER(
Ma"&amp;"ster_Mapping_Sheet!$E$2:$E$3143),
Master_Mapping_Sheet!$K$2:$K$3143=VALUE(RIGHT($A6,1))))), 0, sum(filter(
Master_Mapping_Sheet!$E$2:$E$3143, ISNUMBER(
Master_Mapping_Sheet!$E$2:$E$3143),
Master_Mapping_Sheet!$C$2:$C$3143=D$1,
Master_Mapping_Sheet!$K$2:$K"&amp;"$3143=VALUE(RIGHT($A6,1))))/sum(filter(
Master_Mapping_Sheet!$E$2:$E$3143, ISNUMBER(
Master_Mapping_Sheet!$E$2:$E$3143),
Master_Mapping_Sheet!$K$2:$K$3143=VALUE(RIGHT($A6,1)))))"),0.08507410828538257)</f>
        <v>0.08507410829</v>
      </c>
      <c r="E6" s="34">
        <f>IFERROR(__xludf.DUMMYFUNCTION("IF(ISNA(sum(filter(
Master_Mapping_Sheet!$E$2:$E$3143, ISNUMBER(
Master_Mapping_Sheet!$E$2:$E$3143),
Master_Mapping_Sheet!$C$2:$C$3143=E$1,
Master_Mapping_Sheet!$K$2:$K$3143=VALUE(RIGHT($A6,1))))/sum(filter(
Master_Mapping_Sheet!$E$2:$E$3143, ISNUMBER(
Ma"&amp;"ster_Mapping_Sheet!$E$2:$E$3143),
Master_Mapping_Sheet!$K$2:$K$3143=VALUE(RIGHT($A6,1))))), 0, sum(filter(
Master_Mapping_Sheet!$E$2:$E$3143, ISNUMBER(
Master_Mapping_Sheet!$E$2:$E$3143),
Master_Mapping_Sheet!$C$2:$C$3143=E$1,
Master_Mapping_Sheet!$K$2:$K"&amp;"$3143=VALUE(RIGHT($A6,1))))/sum(filter(
Master_Mapping_Sheet!$E$2:$E$3143, ISNUMBER(
Master_Mapping_Sheet!$E$2:$E$3143),
Master_Mapping_Sheet!$K$2:$K$3143=VALUE(RIGHT($A6,1)))))"),0.002996116037615034)</f>
        <v>0.002996116038</v>
      </c>
      <c r="F6" s="34">
        <f>IFERROR(__xludf.DUMMYFUNCTION("IF(ISNA(sum(filter(
Master_Mapping_Sheet!$E$2:$E$3143, ISNUMBER(
Master_Mapping_Sheet!$E$2:$E$3143),
Master_Mapping_Sheet!$C$2:$C$3143=F$1,
Master_Mapping_Sheet!$K$2:$K$3143=VALUE(RIGHT($A6,1))))/sum(filter(
Master_Mapping_Sheet!$E$2:$E$3143, ISNUMBER(
Ma"&amp;"ster_Mapping_Sheet!$E$2:$E$3143),
Master_Mapping_Sheet!$K$2:$K$3143=VALUE(RIGHT($A6,1))))), 0, sum(filter(
Master_Mapping_Sheet!$E$2:$E$3143, ISNUMBER(
Master_Mapping_Sheet!$E$2:$E$3143),
Master_Mapping_Sheet!$C$2:$C$3143=F$1,
Master_Mapping_Sheet!$K$2:$K"&amp;"$3143=VALUE(RIGHT($A6,1))))/sum(filter(
Master_Mapping_Sheet!$E$2:$E$3143, ISNUMBER(
Master_Mapping_Sheet!$E$2:$E$3143),
Master_Mapping_Sheet!$K$2:$K$3143=VALUE(RIGHT($A6,1)))))"),0.014011246643476832)</f>
        <v>0.01401124664</v>
      </c>
      <c r="G6" s="34">
        <f>IFERROR(__xludf.DUMMYFUNCTION("IF(ISNA(sum(filter(
Master_Mapping_Sheet!$E$2:$E$3143, ISNUMBER(
Master_Mapping_Sheet!$E$2:$E$3143),
Master_Mapping_Sheet!$C$2:$C$3143=G$1,
Master_Mapping_Sheet!$K$2:$K$3143=VALUE(RIGHT($A6,1))))/sum(filter(
Master_Mapping_Sheet!$E$2:$E$3143, ISNUMBER(
Ma"&amp;"ster_Mapping_Sheet!$E$2:$E$3143),
Master_Mapping_Sheet!$K$2:$K$3143=VALUE(RIGHT($A6,1))))), 0, sum(filter(
Master_Mapping_Sheet!$E$2:$E$3143, ISNUMBER(
Master_Mapping_Sheet!$E$2:$E$3143),
Master_Mapping_Sheet!$C$2:$C$3143=G$1,
Master_Mapping_Sheet!$K$2:$K"&amp;"$3143=VALUE(RIGHT($A6,1))))/sum(filter(
Master_Mapping_Sheet!$E$2:$E$3143, ISNUMBER(
Master_Mapping_Sheet!$E$2:$E$3143),
Master_Mapping_Sheet!$K$2:$K$3143=VALUE(RIGHT($A6,1)))))"),0.0)</f>
        <v>0</v>
      </c>
      <c r="H6" s="34">
        <f>IFERROR(__xludf.DUMMYFUNCTION("IF(ISNA(sum(filter(
Master_Mapping_Sheet!$E$2:$E$3143, ISNUMBER(
Master_Mapping_Sheet!$E$2:$E$3143),
Master_Mapping_Sheet!$C$2:$C$3143=H$1,
Master_Mapping_Sheet!$K$2:$K$3143=VALUE(RIGHT($A6,1))))/sum(filter(
Master_Mapping_Sheet!$E$2:$E$3143, ISNUMBER(
Ma"&amp;"ster_Mapping_Sheet!$E$2:$E$3143),
Master_Mapping_Sheet!$K$2:$K$3143=VALUE(RIGHT($A6,1))))), 0, sum(filter(
Master_Mapping_Sheet!$E$2:$E$3143, ISNUMBER(
Master_Mapping_Sheet!$E$2:$E$3143),
Master_Mapping_Sheet!$C$2:$C$3143=H$1,
Master_Mapping_Sheet!$K$2:$K"&amp;"$3143=VALUE(RIGHT($A6,1))))/sum(filter(
Master_Mapping_Sheet!$E$2:$E$3143, ISNUMBER(
Master_Mapping_Sheet!$E$2:$E$3143),
Master_Mapping_Sheet!$K$2:$K$3143=VALUE(RIGHT($A6,1)))))"),0.0)</f>
        <v>0</v>
      </c>
      <c r="I6" s="34">
        <f>IFERROR(__xludf.DUMMYFUNCTION("IF(ISNA(sum(filter(
Master_Mapping_Sheet!$E$2:$E$3143, ISNUMBER(
Master_Mapping_Sheet!$E$2:$E$3143),
Master_Mapping_Sheet!$C$2:$C$3143=I$1,
Master_Mapping_Sheet!$K$2:$K$3143=VALUE(RIGHT($A6,1))))/sum(filter(
Master_Mapping_Sheet!$E$2:$E$3143, ISNUMBER(
Ma"&amp;"ster_Mapping_Sheet!$E$2:$E$3143),
Master_Mapping_Sheet!$K$2:$K$3143=VALUE(RIGHT($A6,1))))), 0, sum(filter(
Master_Mapping_Sheet!$E$2:$E$3143, ISNUMBER(
Master_Mapping_Sheet!$E$2:$E$3143),
Master_Mapping_Sheet!$C$2:$C$3143=I$1,
Master_Mapping_Sheet!$K$2:$K"&amp;"$3143=VALUE(RIGHT($A6,1))))/sum(filter(
Master_Mapping_Sheet!$E$2:$E$3143, ISNUMBER(
Master_Mapping_Sheet!$E$2:$E$3143),
Master_Mapping_Sheet!$K$2:$K$3143=VALUE(RIGHT($A6,1)))))"),0.0)</f>
        <v>0</v>
      </c>
      <c r="J6" s="34">
        <f>IFERROR(__xludf.DUMMYFUNCTION("IF(ISNA(sum(filter(
Master_Mapping_Sheet!$E$2:$E$3143, ISNUMBER(
Master_Mapping_Sheet!$E$2:$E$3143),
Master_Mapping_Sheet!$C$2:$C$3143=J$1,
Master_Mapping_Sheet!$K$2:$K$3143=VALUE(RIGHT($A6,1))))/sum(filter(
Master_Mapping_Sheet!$E$2:$E$3143, ISNUMBER(
Ma"&amp;"ster_Mapping_Sheet!$E$2:$E$3143),
Master_Mapping_Sheet!$K$2:$K$3143=VALUE(RIGHT($A6,1))))), 0, sum(filter(
Master_Mapping_Sheet!$E$2:$E$3143, ISNUMBER(
Master_Mapping_Sheet!$E$2:$E$3143),
Master_Mapping_Sheet!$C$2:$C$3143=J$1,
Master_Mapping_Sheet!$K$2:$K"&amp;"$3143=VALUE(RIGHT($A6,1))))/sum(filter(
Master_Mapping_Sheet!$E$2:$E$3143, ISNUMBER(
Master_Mapping_Sheet!$E$2:$E$3143),
Master_Mapping_Sheet!$K$2:$K$3143=VALUE(RIGHT($A6,1)))))"),0.0)</f>
        <v>0</v>
      </c>
      <c r="K6" s="34">
        <f>IFERROR(__xludf.DUMMYFUNCTION("IF(ISNA(sum(filter(
Master_Mapping_Sheet!$E$2:$E$3143, ISNUMBER(
Master_Mapping_Sheet!$E$2:$E$3143),
Master_Mapping_Sheet!$C$2:$C$3143=K$1,
Master_Mapping_Sheet!$K$2:$K$3143=VALUE(RIGHT($A6,1))))/sum(filter(
Master_Mapping_Sheet!$E$2:$E$3143, ISNUMBER(
Ma"&amp;"ster_Mapping_Sheet!$E$2:$E$3143),
Master_Mapping_Sheet!$K$2:$K$3143=VALUE(RIGHT($A6,1))))), 0, sum(filter(
Master_Mapping_Sheet!$E$2:$E$3143, ISNUMBER(
Master_Mapping_Sheet!$E$2:$E$3143),
Master_Mapping_Sheet!$C$2:$C$3143=K$1,
Master_Mapping_Sheet!$K$2:$K"&amp;"$3143=VALUE(RIGHT($A6,1))))/sum(filter(
Master_Mapping_Sheet!$E$2:$E$3143, ISNUMBER(
Master_Mapping_Sheet!$E$2:$E$3143),
Master_Mapping_Sheet!$K$2:$K$3143=VALUE(RIGHT($A6,1)))))"),0.289881165743331)</f>
        <v>0.2898811657</v>
      </c>
      <c r="L6" s="34">
        <f>IFERROR(__xludf.DUMMYFUNCTION("IF(ISNA(sum(filter(
Master_Mapping_Sheet!$E$2:$E$3143, ISNUMBER(
Master_Mapping_Sheet!$E$2:$E$3143),
Master_Mapping_Sheet!$C$2:$C$3143=L$1,
Master_Mapping_Sheet!$K$2:$K$3143=VALUE(RIGHT($A6,1))))/sum(filter(
Master_Mapping_Sheet!$E$2:$E$3143, ISNUMBER(
Ma"&amp;"ster_Mapping_Sheet!$E$2:$E$3143),
Master_Mapping_Sheet!$K$2:$K$3143=VALUE(RIGHT($A6,1))))), 0, sum(filter(
Master_Mapping_Sheet!$E$2:$E$3143, ISNUMBER(
Master_Mapping_Sheet!$E$2:$E$3143),
Master_Mapping_Sheet!$C$2:$C$3143=L$1,
Master_Mapping_Sheet!$K$2:$K"&amp;"$3143=VALUE(RIGHT($A6,1))))/sum(filter(
Master_Mapping_Sheet!$E$2:$E$3143, ISNUMBER(
Master_Mapping_Sheet!$E$2:$E$3143),
Master_Mapping_Sheet!$K$2:$K$3143=VALUE(RIGHT($A6,1)))))"),0.0330757764395923)</f>
        <v>0.03307577644</v>
      </c>
      <c r="M6" s="34">
        <f>IFERROR(__xludf.DUMMYFUNCTION("IF(ISNA(sum(filter(
Master_Mapping_Sheet!$E$2:$E$3143, ISNUMBER(
Master_Mapping_Sheet!$E$2:$E$3143),
Master_Mapping_Sheet!$C$2:$C$3143=M$1,
Master_Mapping_Sheet!$K$2:$K$3143=VALUE(RIGHT($A6,1))))/sum(filter(
Master_Mapping_Sheet!$E$2:$E$3143, ISNUMBER(
Ma"&amp;"ster_Mapping_Sheet!$E$2:$E$3143),
Master_Mapping_Sheet!$K$2:$K$3143=VALUE(RIGHT($A6,1))))), 0, sum(filter(
Master_Mapping_Sheet!$E$2:$E$3143, ISNUMBER(
Master_Mapping_Sheet!$E$2:$E$3143),
Master_Mapping_Sheet!$C$2:$C$3143=M$1,
Master_Mapping_Sheet!$K$2:$K"&amp;"$3143=VALUE(RIGHT($A6,1))))/sum(filter(
Master_Mapping_Sheet!$E$2:$E$3143, ISNUMBER(
Master_Mapping_Sheet!$E$2:$E$3143),
Master_Mapping_Sheet!$K$2:$K$3143=VALUE(RIGHT($A6,1)))))"),0.01839920913828917)</f>
        <v>0.01839920914</v>
      </c>
      <c r="N6" s="34">
        <f>IFERROR(__xludf.DUMMYFUNCTION("IF(ISNA(sum(filter(
Master_Mapping_Sheet!$E$2:$E$3143, ISNUMBER(
Master_Mapping_Sheet!$E$2:$E$3143),
Master_Mapping_Sheet!$C$2:$C$3143=N$1,
Master_Mapping_Sheet!$K$2:$K$3143=VALUE(RIGHT($A6,1))))/sum(filter(
Master_Mapping_Sheet!$E$2:$E$3143, ISNUMBER(
Ma"&amp;"ster_Mapping_Sheet!$E$2:$E$3143),
Master_Mapping_Sheet!$K$2:$K$3143=VALUE(RIGHT($A6,1))))), 0, sum(filter(
Master_Mapping_Sheet!$E$2:$E$3143, ISNUMBER(
Master_Mapping_Sheet!$E$2:$E$3143),
Master_Mapping_Sheet!$C$2:$C$3143=N$1,
Master_Mapping_Sheet!$K$2:$K"&amp;"$3143=VALUE(RIGHT($A6,1))))/sum(filter(
Master_Mapping_Sheet!$E$2:$E$3143, ISNUMBER(
Master_Mapping_Sheet!$E$2:$E$3143),
Master_Mapping_Sheet!$K$2:$K$3143=VALUE(RIGHT($A6,1)))))"),0.0)</f>
        <v>0</v>
      </c>
      <c r="O6" s="34">
        <f>IFERROR(__xludf.DUMMYFUNCTION("IF(ISNA(sum(filter(
Master_Mapping_Sheet!$E$2:$E$3143, ISNUMBER(
Master_Mapping_Sheet!$E$2:$E$3143),
Master_Mapping_Sheet!$C$2:$C$3143=O$1,
Master_Mapping_Sheet!$K$2:$K$3143=VALUE(RIGHT($A6,1))))/sum(filter(
Master_Mapping_Sheet!$E$2:$E$3143, ISNUMBER(
Ma"&amp;"ster_Mapping_Sheet!$E$2:$E$3143),
Master_Mapping_Sheet!$K$2:$K$3143=VALUE(RIGHT($A6,1))))), 0, sum(filter(
Master_Mapping_Sheet!$E$2:$E$3143, ISNUMBER(
Master_Mapping_Sheet!$E$2:$E$3143),
Master_Mapping_Sheet!$C$2:$C$3143=O$1,
Master_Mapping_Sheet!$K$2:$K"&amp;"$3143=VALUE(RIGHT($A6,1))))/sum(filter(
Master_Mapping_Sheet!$E$2:$E$3143, ISNUMBER(
Master_Mapping_Sheet!$E$2:$E$3143),
Master_Mapping_Sheet!$K$2:$K$3143=VALUE(RIGHT($A6,1)))))"),0.0)</f>
        <v>0</v>
      </c>
      <c r="P6" s="34">
        <f>IFERROR(__xludf.DUMMYFUNCTION("IF(ISNA(sum(filter(
Master_Mapping_Sheet!$E$2:$E$3143, ISNUMBER(
Master_Mapping_Sheet!$E$2:$E$3143),
Master_Mapping_Sheet!$C$2:$C$3143=P$1,
Master_Mapping_Sheet!$K$2:$K$3143=VALUE(RIGHT($A6,1))))/sum(filter(
Master_Mapping_Sheet!$E$2:$E$3143, ISNUMBER(
Ma"&amp;"ster_Mapping_Sheet!$E$2:$E$3143),
Master_Mapping_Sheet!$K$2:$K$3143=VALUE(RIGHT($A6,1))))), 0, sum(filter(
Master_Mapping_Sheet!$E$2:$E$3143, ISNUMBER(
Master_Mapping_Sheet!$E$2:$E$3143),
Master_Mapping_Sheet!$C$2:$C$3143=P$1,
Master_Mapping_Sheet!$K$2:$K"&amp;"$3143=VALUE(RIGHT($A6,1))))/sum(filter(
Master_Mapping_Sheet!$E$2:$E$3143, ISNUMBER(
Master_Mapping_Sheet!$E$2:$E$3143),
Master_Mapping_Sheet!$K$2:$K$3143=VALUE(RIGHT($A6,1)))))"),0.0)</f>
        <v>0</v>
      </c>
      <c r="Q6" s="34">
        <f>IFERROR(__xludf.DUMMYFUNCTION("IF(ISNA(sum(filter(
Master_Mapping_Sheet!$E$2:$E$3143, ISNUMBER(
Master_Mapping_Sheet!$E$2:$E$3143),
Master_Mapping_Sheet!$C$2:$C$3143=Q$1,
Master_Mapping_Sheet!$K$2:$K$3143=VALUE(RIGHT($A6,1))))/sum(filter(
Master_Mapping_Sheet!$E$2:$E$3143, ISNUMBER(
Ma"&amp;"ster_Mapping_Sheet!$E$2:$E$3143),
Master_Mapping_Sheet!$K$2:$K$3143=VALUE(RIGHT($A6,1))))), 0, sum(filter(
Master_Mapping_Sheet!$E$2:$E$3143, ISNUMBER(
Master_Mapping_Sheet!$E$2:$E$3143),
Master_Mapping_Sheet!$C$2:$C$3143=Q$1,
Master_Mapping_Sheet!$K$2:$K"&amp;"$3143=VALUE(RIGHT($A6,1))))/sum(filter(
Master_Mapping_Sheet!$E$2:$E$3143, ISNUMBER(
Master_Mapping_Sheet!$E$2:$E$3143),
Master_Mapping_Sheet!$K$2:$K$3143=VALUE(RIGHT($A6,1)))))"),0.0)</f>
        <v>0</v>
      </c>
      <c r="R6" s="34">
        <f>IFERROR(__xludf.DUMMYFUNCTION("IF(ISNA(sum(filter(
Master_Mapping_Sheet!$E$2:$E$3143, ISNUMBER(
Master_Mapping_Sheet!$E$2:$E$3143),
Master_Mapping_Sheet!$C$2:$C$3143=R$1,
Master_Mapping_Sheet!$K$2:$K$3143=VALUE(RIGHT($A6,1))))/sum(filter(
Master_Mapping_Sheet!$E$2:$E$3143, ISNUMBER(
Ma"&amp;"ster_Mapping_Sheet!$E$2:$E$3143),
Master_Mapping_Sheet!$K$2:$K$3143=VALUE(RIGHT($A6,1))))), 0, sum(filter(
Master_Mapping_Sheet!$E$2:$E$3143, ISNUMBER(
Master_Mapping_Sheet!$E$2:$E$3143),
Master_Mapping_Sheet!$C$2:$C$3143=R$1,
Master_Mapping_Sheet!$K$2:$K"&amp;"$3143=VALUE(RIGHT($A6,1))))/sum(filter(
Master_Mapping_Sheet!$E$2:$E$3143, ISNUMBER(
Master_Mapping_Sheet!$E$2:$E$3143),
Master_Mapping_Sheet!$K$2:$K$3143=VALUE(RIGHT($A6,1)))))"),0.0)</f>
        <v>0</v>
      </c>
      <c r="S6" s="34">
        <f>IFERROR(__xludf.DUMMYFUNCTION("IF(ISNA(sum(filter(
Master_Mapping_Sheet!$E$2:$E$3143, ISNUMBER(
Master_Mapping_Sheet!$E$2:$E$3143),
Master_Mapping_Sheet!$C$2:$C$3143=S$1,
Master_Mapping_Sheet!$K$2:$K$3143=VALUE(RIGHT($A6,1))))/sum(filter(
Master_Mapping_Sheet!$E$2:$E$3143, ISNUMBER(
Ma"&amp;"ster_Mapping_Sheet!$E$2:$E$3143),
Master_Mapping_Sheet!$K$2:$K$3143=VALUE(RIGHT($A6,1))))), 0, sum(filter(
Master_Mapping_Sheet!$E$2:$E$3143, ISNUMBER(
Master_Mapping_Sheet!$E$2:$E$3143),
Master_Mapping_Sheet!$C$2:$C$3143=S$1,
Master_Mapping_Sheet!$K$2:$K"&amp;"$3143=VALUE(RIGHT($A6,1))))/sum(filter(
Master_Mapping_Sheet!$E$2:$E$3143, ISNUMBER(
Master_Mapping_Sheet!$E$2:$E$3143),
Master_Mapping_Sheet!$K$2:$K$3143=VALUE(RIGHT($A6,1)))))"),0.0)</f>
        <v>0</v>
      </c>
      <c r="T6" s="34">
        <f>IFERROR(__xludf.DUMMYFUNCTION("IF(ISNA(sum(filter(
Master_Mapping_Sheet!$E$2:$E$3143, ISNUMBER(
Master_Mapping_Sheet!$E$2:$E$3143),
Master_Mapping_Sheet!$C$2:$C$3143=T$1,
Master_Mapping_Sheet!$K$2:$K$3143=VALUE(RIGHT($A6,1))))/sum(filter(
Master_Mapping_Sheet!$E$2:$E$3143, ISNUMBER(
Ma"&amp;"ster_Mapping_Sheet!$E$2:$E$3143),
Master_Mapping_Sheet!$K$2:$K$3143=VALUE(RIGHT($A6,1))))), 0, sum(filter(
Master_Mapping_Sheet!$E$2:$E$3143, ISNUMBER(
Master_Mapping_Sheet!$E$2:$E$3143),
Master_Mapping_Sheet!$C$2:$C$3143=T$1,
Master_Mapping_Sheet!$K$2:$K"&amp;"$3143=VALUE(RIGHT($A6,1))))/sum(filter(
Master_Mapping_Sheet!$E$2:$E$3143, ISNUMBER(
Master_Mapping_Sheet!$E$2:$E$3143),
Master_Mapping_Sheet!$K$2:$K$3143=VALUE(RIGHT($A6,1)))))"),0.05846256402389216)</f>
        <v>0.05846256402</v>
      </c>
      <c r="U6" s="34">
        <f>IFERROR(__xludf.DUMMYFUNCTION("IF(ISNA(sum(filter(
Master_Mapping_Sheet!$E$2:$E$3143, ISNUMBER(
Master_Mapping_Sheet!$E$2:$E$3143),
Master_Mapping_Sheet!$C$2:$C$3143=U$1,
Master_Mapping_Sheet!$K$2:$K$3143=VALUE(RIGHT($A6,1))))/sum(filter(
Master_Mapping_Sheet!$E$2:$E$3143, ISNUMBER(
Ma"&amp;"ster_Mapping_Sheet!$E$2:$E$3143),
Master_Mapping_Sheet!$K$2:$K$3143=VALUE(RIGHT($A6,1))))), 0, sum(filter(
Master_Mapping_Sheet!$E$2:$E$3143, ISNUMBER(
Master_Mapping_Sheet!$E$2:$E$3143),
Master_Mapping_Sheet!$C$2:$C$3143=U$1,
Master_Mapping_Sheet!$K$2:$K"&amp;"$3143=VALUE(RIGHT($A6,1))))/sum(filter(
Master_Mapping_Sheet!$E$2:$E$3143, ISNUMBER(
Master_Mapping_Sheet!$E$2:$E$3143),
Master_Mapping_Sheet!$K$2:$K$3143=VALUE(RIGHT($A6,1)))))"),0.0)</f>
        <v>0</v>
      </c>
      <c r="V6" s="34">
        <f>IFERROR(__xludf.DUMMYFUNCTION("IF(ISNA(sum(filter(
Master_Mapping_Sheet!$E$2:$E$3143, ISNUMBER(
Master_Mapping_Sheet!$E$2:$E$3143),
Master_Mapping_Sheet!$C$2:$C$3143=V$1,
Master_Mapping_Sheet!$K$2:$K$3143=VALUE(RIGHT($A6,1))))/sum(filter(
Master_Mapping_Sheet!$E$2:$E$3143, ISNUMBER(
Ma"&amp;"ster_Mapping_Sheet!$E$2:$E$3143),
Master_Mapping_Sheet!$K$2:$K$3143=VALUE(RIGHT($A6,1))))), 0, sum(filter(
Master_Mapping_Sheet!$E$2:$E$3143, ISNUMBER(
Master_Mapping_Sheet!$E$2:$E$3143),
Master_Mapping_Sheet!$C$2:$C$3143=V$1,
Master_Mapping_Sheet!$K$2:$K"&amp;"$3143=VALUE(RIGHT($A6,1))))/sum(filter(
Master_Mapping_Sheet!$E$2:$E$3143, ISNUMBER(
Master_Mapping_Sheet!$E$2:$E$3143),
Master_Mapping_Sheet!$K$2:$K$3143=VALUE(RIGHT($A6,1)))))"),0.0)</f>
        <v>0</v>
      </c>
      <c r="W6" s="34">
        <f>IFERROR(__xludf.DUMMYFUNCTION("IF(ISNA(sum(filter(
Master_Mapping_Sheet!$E$2:$E$3143, ISNUMBER(
Master_Mapping_Sheet!$E$2:$E$3143),
Master_Mapping_Sheet!$C$2:$C$3143=W$1,
Master_Mapping_Sheet!$K$2:$K$3143=VALUE(RIGHT($A6,1))))/sum(filter(
Master_Mapping_Sheet!$E$2:$E$3143, ISNUMBER(
Ma"&amp;"ster_Mapping_Sheet!$E$2:$E$3143),
Master_Mapping_Sheet!$K$2:$K$3143=VALUE(RIGHT($A6,1))))), 0, sum(filter(
Master_Mapping_Sheet!$E$2:$E$3143, ISNUMBER(
Master_Mapping_Sheet!$E$2:$E$3143),
Master_Mapping_Sheet!$C$2:$C$3143=W$1,
Master_Mapping_Sheet!$K$2:$K"&amp;"$3143=VALUE(RIGHT($A6,1))))/sum(filter(
Master_Mapping_Sheet!$E$2:$E$3143, ISNUMBER(
Master_Mapping_Sheet!$E$2:$E$3143),
Master_Mapping_Sheet!$K$2:$K$3143=VALUE(RIGHT($A6,1)))))"),0.0)</f>
        <v>0</v>
      </c>
      <c r="X6" s="34">
        <f>IFERROR(__xludf.DUMMYFUNCTION("IF(ISNA(sum(filter(
Master_Mapping_Sheet!$E$2:$E$3143, ISNUMBER(
Master_Mapping_Sheet!$E$2:$E$3143),
Master_Mapping_Sheet!$C$2:$C$3143=X$1,
Master_Mapping_Sheet!$K$2:$K$3143=VALUE(RIGHT($A6,1))))/sum(filter(
Master_Mapping_Sheet!$E$2:$E$3143, ISNUMBER(
Ma"&amp;"ster_Mapping_Sheet!$E$2:$E$3143),
Master_Mapping_Sheet!$K$2:$K$3143=VALUE(RIGHT($A6,1))))), 0, sum(filter(
Master_Mapping_Sheet!$E$2:$E$3143, ISNUMBER(
Master_Mapping_Sheet!$E$2:$E$3143),
Master_Mapping_Sheet!$C$2:$C$3143=X$1,
Master_Mapping_Sheet!$K$2:$K"&amp;"$3143=VALUE(RIGHT($A6,1))))/sum(filter(
Master_Mapping_Sheet!$E$2:$E$3143, ISNUMBER(
Master_Mapping_Sheet!$E$2:$E$3143),
Master_Mapping_Sheet!$K$2:$K$3143=VALUE(RIGHT($A6,1)))))"),0.0)</f>
        <v>0</v>
      </c>
      <c r="Y6" s="34">
        <f>IFERROR(__xludf.DUMMYFUNCTION("IF(ISNA(sum(filter(
Master_Mapping_Sheet!$E$2:$E$3143, ISNUMBER(
Master_Mapping_Sheet!$E$2:$E$3143),
Master_Mapping_Sheet!$C$2:$C$3143=Y$1,
Master_Mapping_Sheet!$K$2:$K$3143=VALUE(RIGHT($A6,1))))/sum(filter(
Master_Mapping_Sheet!$E$2:$E$3143, ISNUMBER(
Ma"&amp;"ster_Mapping_Sheet!$E$2:$E$3143),
Master_Mapping_Sheet!$K$2:$K$3143=VALUE(RIGHT($A6,1))))), 0, sum(filter(
Master_Mapping_Sheet!$E$2:$E$3143, ISNUMBER(
Master_Mapping_Sheet!$E$2:$E$3143),
Master_Mapping_Sheet!$C$2:$C$3143=Y$1,
Master_Mapping_Sheet!$K$2:$K"&amp;"$3143=VALUE(RIGHT($A6,1))))/sum(filter(
Master_Mapping_Sheet!$E$2:$E$3143, ISNUMBER(
Master_Mapping_Sheet!$E$2:$E$3143),
Master_Mapping_Sheet!$K$2:$K$3143=VALUE(RIGHT($A6,1)))))"),0.0)</f>
        <v>0</v>
      </c>
      <c r="Z6" s="34">
        <f>IFERROR(__xludf.DUMMYFUNCTION("IF(ISNA(sum(filter(
Master_Mapping_Sheet!$E$2:$E$3143, ISNUMBER(
Master_Mapping_Sheet!$E$2:$E$3143),
Master_Mapping_Sheet!$C$2:$C$3143=Z$1,
Master_Mapping_Sheet!$K$2:$K$3143=VALUE(RIGHT($A6,1))))/sum(filter(
Master_Mapping_Sheet!$E$2:$E$3143, ISNUMBER(
Ma"&amp;"ster_Mapping_Sheet!$E$2:$E$3143),
Master_Mapping_Sheet!$K$2:$K$3143=VALUE(RIGHT($A6,1))))), 0, sum(filter(
Master_Mapping_Sheet!$E$2:$E$3143, ISNUMBER(
Master_Mapping_Sheet!$E$2:$E$3143),
Master_Mapping_Sheet!$C$2:$C$3143=Z$1,
Master_Mapping_Sheet!$K$2:$K"&amp;"$3143=VALUE(RIGHT($A6,1))))/sum(filter(
Master_Mapping_Sheet!$E$2:$E$3143, ISNUMBER(
Master_Mapping_Sheet!$E$2:$E$3143),
Master_Mapping_Sheet!$K$2:$K$3143=VALUE(RIGHT($A6,1)))))"),0.026015505670046107)</f>
        <v>0.02601550567</v>
      </c>
      <c r="AA6" s="34">
        <f>IFERROR(__xludf.DUMMYFUNCTION("IF(ISNA(sum(filter(
Master_Mapping_Sheet!$E$2:$E$3143, ISNUMBER(
Master_Mapping_Sheet!$E$2:$E$3143),
Master_Mapping_Sheet!$C$2:$C$3143=AA$1,
Master_Mapping_Sheet!$K$2:$K$3143=VALUE(RIGHT($A6,1))))/sum(filter(
Master_Mapping_Sheet!$E$2:$E$3143, ISNUMBER(
M"&amp;"aster_Mapping_Sheet!$E$2:$E$3143),
Master_Mapping_Sheet!$K$2:$K$3143=VALUE(RIGHT($A6,1))))), 0, sum(filter(
Master_Mapping_Sheet!$E$2:$E$3143, ISNUMBER(
Master_Mapping_Sheet!$E$2:$E$3143),
Master_Mapping_Sheet!$C$2:$C$3143=AA$1,
Master_Mapping_Sheet!$K$2:"&amp;"$K$3143=VALUE(RIGHT($A6,1))))/sum(filter(
Master_Mapping_Sheet!$E$2:$E$3143, ISNUMBER(
Master_Mapping_Sheet!$E$2:$E$3143),
Master_Mapping_Sheet!$K$2:$K$3143=VALUE(RIGHT($A6,1)))))"),0.0)</f>
        <v>0</v>
      </c>
      <c r="AB6" s="34">
        <f>IFERROR(__xludf.DUMMYFUNCTION("IF(ISNA(sum(filter(
Master_Mapping_Sheet!$E$2:$E$3143, ISNUMBER(
Master_Mapping_Sheet!$E$2:$E$3143),
Master_Mapping_Sheet!$C$2:$C$3143=AB$1,
Master_Mapping_Sheet!$K$2:$K$3143=VALUE(RIGHT($A6,1))))/sum(filter(
Master_Mapping_Sheet!$E$2:$E$3143, ISNUMBER(
M"&amp;"aster_Mapping_Sheet!$E$2:$E$3143),
Master_Mapping_Sheet!$K$2:$K$3143=VALUE(RIGHT($A6,1))))), 0, sum(filter(
Master_Mapping_Sheet!$E$2:$E$3143, ISNUMBER(
Master_Mapping_Sheet!$E$2:$E$3143),
Master_Mapping_Sheet!$C$2:$C$3143=AB$1,
Master_Mapping_Sheet!$K$2:"&amp;"$K$3143=VALUE(RIGHT($A6,1))))/sum(filter(
Master_Mapping_Sheet!$E$2:$E$3143, ISNUMBER(
Master_Mapping_Sheet!$E$2:$E$3143),
Master_Mapping_Sheet!$K$2:$K$3143=VALUE(RIGHT($A6,1)))))"),0.0)</f>
        <v>0</v>
      </c>
      <c r="AC6" s="34">
        <f>IFERROR(__xludf.DUMMYFUNCTION("IF(ISNA(sum(filter(
Master_Mapping_Sheet!$E$2:$E$3143, ISNUMBER(
Master_Mapping_Sheet!$E$2:$E$3143),
Master_Mapping_Sheet!$C$2:$C$3143=AC$1,
Master_Mapping_Sheet!$K$2:$K$3143=VALUE(RIGHT($A6,1))))/sum(filter(
Master_Mapping_Sheet!$E$2:$E$3143, ISNUMBER(
M"&amp;"aster_Mapping_Sheet!$E$2:$E$3143),
Master_Mapping_Sheet!$K$2:$K$3143=VALUE(RIGHT($A6,1))))), 0, sum(filter(
Master_Mapping_Sheet!$E$2:$E$3143, ISNUMBER(
Master_Mapping_Sheet!$E$2:$E$3143),
Master_Mapping_Sheet!$C$2:$C$3143=AC$1,
Master_Mapping_Sheet!$K$2:"&amp;"$K$3143=VALUE(RIGHT($A6,1))))/sum(filter(
Master_Mapping_Sheet!$E$2:$E$3143, ISNUMBER(
Master_Mapping_Sheet!$E$2:$E$3143),
Master_Mapping_Sheet!$K$2:$K$3143=VALUE(RIGHT($A6,1)))))"),0.0)</f>
        <v>0</v>
      </c>
      <c r="AD6" s="34">
        <f>IFERROR(__xludf.DUMMYFUNCTION("IF(ISNA(sum(filter(
Master_Mapping_Sheet!$E$2:$E$3143, ISNUMBER(
Master_Mapping_Sheet!$E$2:$E$3143),
Master_Mapping_Sheet!$C$2:$C$3143=AD$1,
Master_Mapping_Sheet!$K$2:$K$3143=VALUE(RIGHT($A6,1))))/sum(filter(
Master_Mapping_Sheet!$E$2:$E$3143, ISNUMBER(
M"&amp;"aster_Mapping_Sheet!$E$2:$E$3143),
Master_Mapping_Sheet!$K$2:$K$3143=VALUE(RIGHT($A6,1))))), 0, sum(filter(
Master_Mapping_Sheet!$E$2:$E$3143, ISNUMBER(
Master_Mapping_Sheet!$E$2:$E$3143),
Master_Mapping_Sheet!$C$2:$C$3143=AD$1,
Master_Mapping_Sheet!$K$2:"&amp;"$K$3143=VALUE(RIGHT($A6,1))))/sum(filter(
Master_Mapping_Sheet!$E$2:$E$3143, ISNUMBER(
Master_Mapping_Sheet!$E$2:$E$3143),
Master_Mapping_Sheet!$K$2:$K$3143=VALUE(RIGHT($A6,1)))))"),0.03067042976150392)</f>
        <v>0.03067042976</v>
      </c>
      <c r="AE6" s="34">
        <f>IFERROR(__xludf.DUMMYFUNCTION("IF(ISNA(sum(filter(
Master_Mapping_Sheet!$E$2:$E$3143, ISNUMBER(
Master_Mapping_Sheet!$E$2:$E$3143),
Master_Mapping_Sheet!$C$2:$C$3143=AE$1,
Master_Mapping_Sheet!$K$2:$K$3143=VALUE(RIGHT($A6,1))))/sum(filter(
Master_Mapping_Sheet!$E$2:$E$3143, ISNUMBER(
M"&amp;"aster_Mapping_Sheet!$E$2:$E$3143),
Master_Mapping_Sheet!$K$2:$K$3143=VALUE(RIGHT($A6,1))))), 0, sum(filter(
Master_Mapping_Sheet!$E$2:$E$3143, ISNUMBER(
Master_Mapping_Sheet!$E$2:$E$3143),
Master_Mapping_Sheet!$C$2:$C$3143=AE$1,
Master_Mapping_Sheet!$K$2:"&amp;"$K$3143=VALUE(RIGHT($A6,1))))/sum(filter(
Master_Mapping_Sheet!$E$2:$E$3143, ISNUMBER(
Master_Mapping_Sheet!$E$2:$E$3143),
Master_Mapping_Sheet!$K$2:$K$3143=VALUE(RIGHT($A6,1)))))"),0.0)</f>
        <v>0</v>
      </c>
      <c r="AF6" s="34">
        <f>IFERROR(__xludf.DUMMYFUNCTION("IF(ISNA(sum(filter(
Master_Mapping_Sheet!$E$2:$E$3143, ISNUMBER(
Master_Mapping_Sheet!$E$2:$E$3143),
Master_Mapping_Sheet!$C$2:$C$3143=AF$1,
Master_Mapping_Sheet!$K$2:$K$3143=VALUE(RIGHT($A6,1))))/sum(filter(
Master_Mapping_Sheet!$E$2:$E$3143, ISNUMBER(
M"&amp;"aster_Mapping_Sheet!$E$2:$E$3143),
Master_Mapping_Sheet!$K$2:$K$3143=VALUE(RIGHT($A6,1))))), 0, sum(filter(
Master_Mapping_Sheet!$E$2:$E$3143, ISNUMBER(
Master_Mapping_Sheet!$E$2:$E$3143),
Master_Mapping_Sheet!$C$2:$C$3143=AF$1,
Master_Mapping_Sheet!$K$2:"&amp;"$K$3143=VALUE(RIGHT($A6,1))))/sum(filter(
Master_Mapping_Sheet!$E$2:$E$3143, ISNUMBER(
Master_Mapping_Sheet!$E$2:$E$3143),
Master_Mapping_Sheet!$K$2:$K$3143=VALUE(RIGHT($A6,1)))))"),0.0)</f>
        <v>0</v>
      </c>
      <c r="AG6" s="34">
        <f>IFERROR(__xludf.DUMMYFUNCTION("IF(ISNA(sum(filter(
Master_Mapping_Sheet!$E$2:$E$3143, ISNUMBER(
Master_Mapping_Sheet!$E$2:$E$3143),
Master_Mapping_Sheet!$C$2:$C$3143=AG$1,
Master_Mapping_Sheet!$K$2:$K$3143=VALUE(RIGHT($A6,1))))/sum(filter(
Master_Mapping_Sheet!$E$2:$E$3143, ISNUMBER(
M"&amp;"aster_Mapping_Sheet!$E$2:$E$3143),
Master_Mapping_Sheet!$K$2:$K$3143=VALUE(RIGHT($A6,1))))), 0, sum(filter(
Master_Mapping_Sheet!$E$2:$E$3143, ISNUMBER(
Master_Mapping_Sheet!$E$2:$E$3143),
Master_Mapping_Sheet!$C$2:$C$3143=AG$1,
Master_Mapping_Sheet!$K$2:"&amp;"$K$3143=VALUE(RIGHT($A6,1))))/sum(filter(
Master_Mapping_Sheet!$E$2:$E$3143, ISNUMBER(
Master_Mapping_Sheet!$E$2:$E$3143),
Master_Mapping_Sheet!$K$2:$K$3143=VALUE(RIGHT($A6,1)))))"),0.0)</f>
        <v>0</v>
      </c>
      <c r="AH6" s="34">
        <f>IFERROR(__xludf.DUMMYFUNCTION("IF(ISNA(sum(filter(
Master_Mapping_Sheet!$E$2:$E$3143, ISNUMBER(
Master_Mapping_Sheet!$E$2:$E$3143),
Master_Mapping_Sheet!$C$2:$C$3143=AH$1,
Master_Mapping_Sheet!$K$2:$K$3143=VALUE(RIGHT($A6,1))))/sum(filter(
Master_Mapping_Sheet!$E$2:$E$3143, ISNUMBER(
M"&amp;"aster_Mapping_Sheet!$E$2:$E$3143),
Master_Mapping_Sheet!$K$2:$K$3143=VALUE(RIGHT($A6,1))))), 0, sum(filter(
Master_Mapping_Sheet!$E$2:$E$3143, ISNUMBER(
Master_Mapping_Sheet!$E$2:$E$3143),
Master_Mapping_Sheet!$C$2:$C$3143=AH$1,
Master_Mapping_Sheet!$K$2:"&amp;"$K$3143=VALUE(RIGHT($A6,1))))/sum(filter(
Master_Mapping_Sheet!$E$2:$E$3143, ISNUMBER(
Master_Mapping_Sheet!$E$2:$E$3143),
Master_Mapping_Sheet!$K$2:$K$3143=VALUE(RIGHT($A6,1)))))"),0.0)</f>
        <v>0</v>
      </c>
      <c r="AI6" s="34">
        <f>IFERROR(__xludf.DUMMYFUNCTION("IF(ISNA(sum(filter(
Master_Mapping_Sheet!$E$2:$E$3143, ISNUMBER(
Master_Mapping_Sheet!$E$2:$E$3143),
Master_Mapping_Sheet!$C$2:$C$3143=AI$1,
Master_Mapping_Sheet!$K$2:$K$3143=VALUE(RIGHT($A6,1))))/sum(filter(
Master_Mapping_Sheet!$E$2:$E$3143, ISNUMBER(
M"&amp;"aster_Mapping_Sheet!$E$2:$E$3143),
Master_Mapping_Sheet!$K$2:$K$3143=VALUE(RIGHT($A6,1))))), 0, sum(filter(
Master_Mapping_Sheet!$E$2:$E$3143, ISNUMBER(
Master_Mapping_Sheet!$E$2:$E$3143),
Master_Mapping_Sheet!$C$2:$C$3143=AI$1,
Master_Mapping_Sheet!$K$2:"&amp;"$K$3143=VALUE(RIGHT($A6,1))))/sum(filter(
Master_Mapping_Sheet!$E$2:$E$3143, ISNUMBER(
Master_Mapping_Sheet!$E$2:$E$3143),
Master_Mapping_Sheet!$K$2:$K$3143=VALUE(RIGHT($A6,1)))))"),0.0)</f>
        <v>0</v>
      </c>
      <c r="AJ6" s="34">
        <f>IFERROR(__xludf.DUMMYFUNCTION("IF(ISNA(sum(filter(
Master_Mapping_Sheet!$E$2:$E$3143, ISNUMBER(
Master_Mapping_Sheet!$E$2:$E$3143),
Master_Mapping_Sheet!$C$2:$C$3143=AJ$1,
Master_Mapping_Sheet!$K$2:$K$3143=VALUE(RIGHT($A6,1))))/sum(filter(
Master_Mapping_Sheet!$E$2:$E$3143, ISNUMBER(
M"&amp;"aster_Mapping_Sheet!$E$2:$E$3143),
Master_Mapping_Sheet!$K$2:$K$3143=VALUE(RIGHT($A6,1))))), 0, sum(filter(
Master_Mapping_Sheet!$E$2:$E$3143, ISNUMBER(
Master_Mapping_Sheet!$E$2:$E$3143),
Master_Mapping_Sheet!$C$2:$C$3143=AJ$1,
Master_Mapping_Sheet!$K$2:"&amp;"$K$3143=VALUE(RIGHT($A6,1))))/sum(filter(
Master_Mapping_Sheet!$E$2:$E$3143, ISNUMBER(
Master_Mapping_Sheet!$E$2:$E$3143),
Master_Mapping_Sheet!$K$2:$K$3143=VALUE(RIGHT($A6,1)))))"),0.0)</f>
        <v>0</v>
      </c>
      <c r="AK6" s="34">
        <f>IFERROR(__xludf.DUMMYFUNCTION("IF(ISNA(sum(filter(
Master_Mapping_Sheet!$E$2:$E$3143, ISNUMBER(
Master_Mapping_Sheet!$E$2:$E$3143),
Master_Mapping_Sheet!$C$2:$C$3143=AK$1,
Master_Mapping_Sheet!$K$2:$K$3143=VALUE(RIGHT($A6,1))))/sum(filter(
Master_Mapping_Sheet!$E$2:$E$3143, ISNUMBER(
M"&amp;"aster_Mapping_Sheet!$E$2:$E$3143),
Master_Mapping_Sheet!$K$2:$K$3143=VALUE(RIGHT($A6,1))))), 0, sum(filter(
Master_Mapping_Sheet!$E$2:$E$3143, ISNUMBER(
Master_Mapping_Sheet!$E$2:$E$3143),
Master_Mapping_Sheet!$C$2:$C$3143=AK$1,
Master_Mapping_Sheet!$K$2:"&amp;"$K$3143=VALUE(RIGHT($A6,1))))/sum(filter(
Master_Mapping_Sheet!$E$2:$E$3143, ISNUMBER(
Master_Mapping_Sheet!$E$2:$E$3143),
Master_Mapping_Sheet!$K$2:$K$3143=VALUE(RIGHT($A6,1)))))"),0.0)</f>
        <v>0</v>
      </c>
      <c r="AL6" s="34">
        <f>IFERROR(__xludf.DUMMYFUNCTION("IF(ISNA(sum(filter(
Master_Mapping_Sheet!$E$2:$E$3143, ISNUMBER(
Master_Mapping_Sheet!$E$2:$E$3143),
Master_Mapping_Sheet!$C$2:$C$3143=AL$1,
Master_Mapping_Sheet!$K$2:$K$3143=VALUE(RIGHT($A6,1))))/sum(filter(
Master_Mapping_Sheet!$E$2:$E$3143, ISNUMBER(
M"&amp;"aster_Mapping_Sheet!$E$2:$E$3143),
Master_Mapping_Sheet!$K$2:$K$3143=VALUE(RIGHT($A6,1))))), 0, sum(filter(
Master_Mapping_Sheet!$E$2:$E$3143, ISNUMBER(
Master_Mapping_Sheet!$E$2:$E$3143),
Master_Mapping_Sheet!$C$2:$C$3143=AL$1,
Master_Mapping_Sheet!$K$2:"&amp;"$K$3143=VALUE(RIGHT($A6,1))))/sum(filter(
Master_Mapping_Sheet!$E$2:$E$3143, ISNUMBER(
Master_Mapping_Sheet!$E$2:$E$3143),
Master_Mapping_Sheet!$K$2:$K$3143=VALUE(RIGHT($A6,1)))))"),0.009120655833989091)</f>
        <v>0.009120655834</v>
      </c>
      <c r="AM6" s="34">
        <f>IFERROR(__xludf.DUMMYFUNCTION("IF(ISNA(sum(filter(
Master_Mapping_Sheet!$E$2:$E$3143, ISNUMBER(
Master_Mapping_Sheet!$E$2:$E$3143),
Master_Mapping_Sheet!$C$2:$C$3143=AM$1,
Master_Mapping_Sheet!$K$2:$K$3143=VALUE(RIGHT($A6,1))))/sum(filter(
Master_Mapping_Sheet!$E$2:$E$3143, ISNUMBER(
M"&amp;"aster_Mapping_Sheet!$E$2:$E$3143),
Master_Mapping_Sheet!$K$2:$K$3143=VALUE(RIGHT($A6,1))))), 0, sum(filter(
Master_Mapping_Sheet!$E$2:$E$3143, ISNUMBER(
Master_Mapping_Sheet!$E$2:$E$3143),
Master_Mapping_Sheet!$C$2:$C$3143=AM$1,
Master_Mapping_Sheet!$K$2:"&amp;"$K$3143=VALUE(RIGHT($A6,1))))/sum(filter(
Master_Mapping_Sheet!$E$2:$E$3143, ISNUMBER(
Master_Mapping_Sheet!$E$2:$E$3143),
Master_Mapping_Sheet!$K$2:$K$3143=VALUE(RIGHT($A6,1)))))"),0.0)</f>
        <v>0</v>
      </c>
      <c r="AN6" s="34">
        <f>IFERROR(__xludf.DUMMYFUNCTION("IF(ISNA(sum(filter(
Master_Mapping_Sheet!$E$2:$E$3143, ISNUMBER(
Master_Mapping_Sheet!$E$2:$E$3143),
Master_Mapping_Sheet!$C$2:$C$3143=AN$1,
Master_Mapping_Sheet!$K$2:$K$3143=VALUE(RIGHT($A6,1))))/sum(filter(
Master_Mapping_Sheet!$E$2:$E$3143, ISNUMBER(
M"&amp;"aster_Mapping_Sheet!$E$2:$E$3143),
Master_Mapping_Sheet!$K$2:$K$3143=VALUE(RIGHT($A6,1))))), 0, sum(filter(
Master_Mapping_Sheet!$E$2:$E$3143, ISNUMBER(
Master_Mapping_Sheet!$E$2:$E$3143),
Master_Mapping_Sheet!$C$2:$C$3143=AN$1,
Master_Mapping_Sheet!$K$2:"&amp;"$K$3143=VALUE(RIGHT($A6,1))))/sum(filter(
Master_Mapping_Sheet!$E$2:$E$3143, ISNUMBER(
Master_Mapping_Sheet!$E$2:$E$3143),
Master_Mapping_Sheet!$K$2:$K$3143=VALUE(RIGHT($A6,1)))))"),0.0)</f>
        <v>0</v>
      </c>
      <c r="AO6" s="34">
        <f>IFERROR(__xludf.DUMMYFUNCTION("IF(ISNA(sum(filter(
Master_Mapping_Sheet!$E$2:$E$3143, ISNUMBER(
Master_Mapping_Sheet!$E$2:$E$3143),
Master_Mapping_Sheet!$C$2:$C$3143=AO$1,
Master_Mapping_Sheet!$K$2:$K$3143=VALUE(RIGHT($A6,1))))/sum(filter(
Master_Mapping_Sheet!$E$2:$E$3143, ISNUMBER(
M"&amp;"aster_Mapping_Sheet!$E$2:$E$3143),
Master_Mapping_Sheet!$K$2:$K$3143=VALUE(RIGHT($A6,1))))), 0, sum(filter(
Master_Mapping_Sheet!$E$2:$E$3143, ISNUMBER(
Master_Mapping_Sheet!$E$2:$E$3143),
Master_Mapping_Sheet!$C$2:$C$3143=AO$1,
Master_Mapping_Sheet!$K$2:"&amp;"$K$3143=VALUE(RIGHT($A6,1))))/sum(filter(
Master_Mapping_Sheet!$E$2:$E$3143, ISNUMBER(
Master_Mapping_Sheet!$E$2:$E$3143),
Master_Mapping_Sheet!$K$2:$K$3143=VALUE(RIGHT($A6,1)))))"),0.0)</f>
        <v>0</v>
      </c>
      <c r="AP6" s="34">
        <f>IFERROR(__xludf.DUMMYFUNCTION("IF(ISNA(sum(filter(
Master_Mapping_Sheet!$E$2:$E$3143, ISNUMBER(
Master_Mapping_Sheet!$E$2:$E$3143),
Master_Mapping_Sheet!$C$2:$C$3143=AP$1,
Master_Mapping_Sheet!$K$2:$K$3143=VALUE(RIGHT($A6,1))))/sum(filter(
Master_Mapping_Sheet!$E$2:$E$3143, ISNUMBER(
M"&amp;"aster_Mapping_Sheet!$E$2:$E$3143),
Master_Mapping_Sheet!$K$2:$K$3143=VALUE(RIGHT($A6,1))))), 0, sum(filter(
Master_Mapping_Sheet!$E$2:$E$3143, ISNUMBER(
Master_Mapping_Sheet!$E$2:$E$3143),
Master_Mapping_Sheet!$C$2:$C$3143=AP$1,
Master_Mapping_Sheet!$K$2:"&amp;"$K$3143=VALUE(RIGHT($A6,1))))/sum(filter(
Master_Mapping_Sheet!$E$2:$E$3143, ISNUMBER(
Master_Mapping_Sheet!$E$2:$E$3143),
Master_Mapping_Sheet!$K$2:$K$3143=VALUE(RIGHT($A6,1)))))"),0.019160273406726255)</f>
        <v>0.01916027341</v>
      </c>
      <c r="AQ6" s="34">
        <f>IFERROR(__xludf.DUMMYFUNCTION("IF(ISNA(sum(filter(
Master_Mapping_Sheet!$E$2:$E$3143, ISNUMBER(
Master_Mapping_Sheet!$E$2:$E$3143),
Master_Mapping_Sheet!$C$2:$C$3143=AQ$1,
Master_Mapping_Sheet!$K$2:$K$3143=VALUE(RIGHT($A6,1))))/sum(filter(
Master_Mapping_Sheet!$E$2:$E$3143, ISNUMBER(
M"&amp;"aster_Mapping_Sheet!$E$2:$E$3143),
Master_Mapping_Sheet!$K$2:$K$3143=VALUE(RIGHT($A6,1))))), 0, sum(filter(
Master_Mapping_Sheet!$E$2:$E$3143, ISNUMBER(
Master_Mapping_Sheet!$E$2:$E$3143),
Master_Mapping_Sheet!$C$2:$C$3143=AQ$1,
Master_Mapping_Sheet!$K$2:"&amp;"$K$3143=VALUE(RIGHT($A6,1))))/sum(filter(
Master_Mapping_Sheet!$E$2:$E$3143, ISNUMBER(
Master_Mapping_Sheet!$E$2:$E$3143),
Master_Mapping_Sheet!$K$2:$K$3143=VALUE(RIGHT($A6,1)))))"),0.0)</f>
        <v>0</v>
      </c>
      <c r="AR6" s="34">
        <f>IFERROR(__xludf.DUMMYFUNCTION("IF(ISNA(sum(filter(
Master_Mapping_Sheet!$E$2:$E$3143, ISNUMBER(
Master_Mapping_Sheet!$E$2:$E$3143),
Master_Mapping_Sheet!$C$2:$C$3143=AR$1,
Master_Mapping_Sheet!$K$2:$K$3143=VALUE(RIGHT($A6,1))))/sum(filter(
Master_Mapping_Sheet!$E$2:$E$3143, ISNUMBER(
M"&amp;"aster_Mapping_Sheet!$E$2:$E$3143),
Master_Mapping_Sheet!$K$2:$K$3143=VALUE(RIGHT($A6,1))))), 0, sum(filter(
Master_Mapping_Sheet!$E$2:$E$3143, ISNUMBER(
Master_Mapping_Sheet!$E$2:$E$3143),
Master_Mapping_Sheet!$C$2:$C$3143=AR$1,
Master_Mapping_Sheet!$K$2:"&amp;"$K$3143=VALUE(RIGHT($A6,1))))/sum(filter(
Master_Mapping_Sheet!$E$2:$E$3143, ISNUMBER(
Master_Mapping_Sheet!$E$2:$E$3143),
Master_Mapping_Sheet!$K$2:$K$3143=VALUE(RIGHT($A6,1)))))"),0.011667207671058083)</f>
        <v>0.01166720767</v>
      </c>
      <c r="AS6" s="34">
        <f>IFERROR(__xludf.DUMMYFUNCTION("IF(ISNA(sum(filter(
Master_Mapping_Sheet!$E$2:$E$3143, ISNUMBER(
Master_Mapping_Sheet!$E$2:$E$3143),
Master_Mapping_Sheet!$C$2:$C$3143=AS$1,
Master_Mapping_Sheet!$K$2:$K$3143=VALUE(RIGHT($A6,1))))/sum(filter(
Master_Mapping_Sheet!$E$2:$E$3143, ISNUMBER(
M"&amp;"aster_Mapping_Sheet!$E$2:$E$3143),
Master_Mapping_Sheet!$K$2:$K$3143=VALUE(RIGHT($A6,1))))), 0, sum(filter(
Master_Mapping_Sheet!$E$2:$E$3143, ISNUMBER(
Master_Mapping_Sheet!$E$2:$E$3143),
Master_Mapping_Sheet!$C$2:$C$3143=AS$1,
Master_Mapping_Sheet!$K$2:"&amp;"$K$3143=VALUE(RIGHT($A6,1))))/sum(filter(
Master_Mapping_Sheet!$E$2:$E$3143, ISNUMBER(
Master_Mapping_Sheet!$E$2:$E$3143),
Master_Mapping_Sheet!$K$2:$K$3143=VALUE(RIGHT($A6,1)))))"),0.3790266723519671)</f>
        <v>0.3790266724</v>
      </c>
      <c r="AT6" s="34">
        <f>IFERROR(__xludf.DUMMYFUNCTION("IF(ISNA(sum(filter(
Master_Mapping_Sheet!$E$2:$E$3143, ISNUMBER(
Master_Mapping_Sheet!$E$2:$E$3143),
Master_Mapping_Sheet!$C$2:$C$3143=AT$1,
Master_Mapping_Sheet!$K$2:$K$3143=VALUE(RIGHT($A6,1))))/sum(filter(
Master_Mapping_Sheet!$E$2:$E$3143, ISNUMBER(
M"&amp;"aster_Mapping_Sheet!$E$2:$E$3143),
Master_Mapping_Sheet!$K$2:$K$3143=VALUE(RIGHT($A6,1))))), 0, sum(filter(
Master_Mapping_Sheet!$E$2:$E$3143, ISNUMBER(
Master_Mapping_Sheet!$E$2:$E$3143),
Master_Mapping_Sheet!$C$2:$C$3143=AT$1,
Master_Mapping_Sheet!$K$2:"&amp;"$K$3143=VALUE(RIGHT($A6,1))))/sum(filter(
Master_Mapping_Sheet!$E$2:$E$3143, ISNUMBER(
Master_Mapping_Sheet!$E$2:$E$3143),
Master_Mapping_Sheet!$K$2:$K$3143=VALUE(RIGHT($A6,1)))))"),0.002595539027232865)</f>
        <v>0.002595539027</v>
      </c>
      <c r="AU6" s="34">
        <f>IFERROR(__xludf.DUMMYFUNCTION("IF(ISNA(sum(filter(
Master_Mapping_Sheet!$E$2:$E$3143, ISNUMBER(
Master_Mapping_Sheet!$E$2:$E$3143),
Master_Mapping_Sheet!$C$2:$C$3143=AU$1,
Master_Mapping_Sheet!$K$2:$K$3143=VALUE(RIGHT($A6,1))))/sum(filter(
Master_Mapping_Sheet!$E$2:$E$3143, ISNUMBER(
M"&amp;"aster_Mapping_Sheet!$E$2:$E$3143),
Master_Mapping_Sheet!$K$2:$K$3143=VALUE(RIGHT($A6,1))))), 0, sum(filter(
Master_Mapping_Sheet!$E$2:$E$3143, ISNUMBER(
Master_Mapping_Sheet!$E$2:$E$3143),
Master_Mapping_Sheet!$C$2:$C$3143=AU$1,
Master_Mapping_Sheet!$K$2:"&amp;"$K$3143=VALUE(RIGHT($A6,1))))/sum(filter(
Master_Mapping_Sheet!$E$2:$E$3143, ISNUMBER(
Master_Mapping_Sheet!$E$2:$E$3143),
Master_Mapping_Sheet!$K$2:$K$3143=VALUE(RIGHT($A6,1)))))"),0.0)</f>
        <v>0</v>
      </c>
      <c r="AV6" s="34">
        <f>IFERROR(__xludf.DUMMYFUNCTION("IF(ISNA(sum(filter(
Master_Mapping_Sheet!$E$2:$E$3143, ISNUMBER(
Master_Mapping_Sheet!$E$2:$E$3143),
Master_Mapping_Sheet!$C$2:$C$3143=AV$1,
Master_Mapping_Sheet!$K$2:$K$3143=VALUE(RIGHT($A6,1))))/sum(filter(
Master_Mapping_Sheet!$E$2:$E$3143, ISNUMBER(
M"&amp;"aster_Mapping_Sheet!$E$2:$E$3143),
Master_Mapping_Sheet!$K$2:$K$3143=VALUE(RIGHT($A6,1))))), 0, sum(filter(
Master_Mapping_Sheet!$E$2:$E$3143, ISNUMBER(
Master_Mapping_Sheet!$E$2:$E$3143),
Master_Mapping_Sheet!$C$2:$C$3143=AV$1,
Master_Mapping_Sheet!$K$2:"&amp;"$K$3143=VALUE(RIGHT($A6,1))))/sum(filter(
Master_Mapping_Sheet!$E$2:$E$3143, ISNUMBER(
Master_Mapping_Sheet!$E$2:$E$3143),
Master_Mapping_Sheet!$K$2:$K$3143=VALUE(RIGHT($A6,1)))))"),0.0)</f>
        <v>0</v>
      </c>
      <c r="AW6" s="34">
        <f>IFERROR(__xludf.DUMMYFUNCTION("IF(ISNA(sum(filter(
Master_Mapping_Sheet!$E$2:$E$3143, ISNUMBER(
Master_Mapping_Sheet!$E$2:$E$3143),
Master_Mapping_Sheet!$C$2:$C$3143=AW$1,
Master_Mapping_Sheet!$K$2:$K$3143=VALUE(RIGHT($A6,1))))/sum(filter(
Master_Mapping_Sheet!$E$2:$E$3143, ISNUMBER(
M"&amp;"aster_Mapping_Sheet!$E$2:$E$3143),
Master_Mapping_Sheet!$K$2:$K$3143=VALUE(RIGHT($A6,1))))), 0, sum(filter(
Master_Mapping_Sheet!$E$2:$E$3143, ISNUMBER(
Master_Mapping_Sheet!$E$2:$E$3143),
Master_Mapping_Sheet!$C$2:$C$3143=AW$1,
Master_Mapping_Sheet!$K$2:"&amp;"$K$3143=VALUE(RIGHT($A6,1))))/sum(filter(
Master_Mapping_Sheet!$E$2:$E$3143, ISNUMBER(
Master_Mapping_Sheet!$E$2:$E$3143),
Master_Mapping_Sheet!$K$2:$K$3143=VALUE(RIGHT($A6,1)))))"),0.0)</f>
        <v>0</v>
      </c>
      <c r="AX6" s="34">
        <f>IFERROR(__xludf.DUMMYFUNCTION("IF(ISNA(sum(filter(
Master_Mapping_Sheet!$E$2:$E$3143, ISNUMBER(
Master_Mapping_Sheet!$E$2:$E$3143),
Master_Mapping_Sheet!$C$2:$C$3143=AX$1,
Master_Mapping_Sheet!$K$2:$K$3143=VALUE(RIGHT($A6,1))))/sum(filter(
Master_Mapping_Sheet!$E$2:$E$3143, ISNUMBER(
M"&amp;"aster_Mapping_Sheet!$E$2:$E$3143),
Master_Mapping_Sheet!$K$2:$K$3143=VALUE(RIGHT($A6,1))))), 0, sum(filter(
Master_Mapping_Sheet!$E$2:$E$3143, ISNUMBER(
Master_Mapping_Sheet!$E$2:$E$3143),
Master_Mapping_Sheet!$C$2:$C$3143=AX$1,
Master_Mapping_Sheet!$K$2:"&amp;"$K$3143=VALUE(RIGHT($A6,1))))/sum(filter(
Master_Mapping_Sheet!$E$2:$E$3143, ISNUMBER(
Master_Mapping_Sheet!$E$2:$E$3143),
Master_Mapping_Sheet!$K$2:$K$3143=VALUE(RIGHT($A6,1)))))"),0.0)</f>
        <v>0</v>
      </c>
      <c r="AY6" s="34">
        <f>IFERROR(__xludf.DUMMYFUNCTION("IF(ISNA(sum(filter(
Master_Mapping_Sheet!$E$2:$E$3143, ISNUMBER(
Master_Mapping_Sheet!$E$2:$E$3143),
Master_Mapping_Sheet!$C$2:$C$3143=AY$1,
Master_Mapping_Sheet!$K$2:$K$3143=VALUE(RIGHT($A6,1))))/sum(filter(
Master_Mapping_Sheet!$E$2:$E$3143, ISNUMBER(
M"&amp;"aster_Mapping_Sheet!$E$2:$E$3143),
Master_Mapping_Sheet!$K$2:$K$3143=VALUE(RIGHT($A6,1))))), 0, sum(filter(
Master_Mapping_Sheet!$E$2:$E$3143, ISNUMBER(
Master_Mapping_Sheet!$E$2:$E$3143),
Master_Mapping_Sheet!$C$2:$C$3143=AY$1,
Master_Mapping_Sheet!$K$2:"&amp;"$K$3143=VALUE(RIGHT($A6,1))))/sum(filter(
Master_Mapping_Sheet!$E$2:$E$3143, ISNUMBER(
Master_Mapping_Sheet!$E$2:$E$3143),
Master_Mapping_Sheet!$K$2:$K$3143=VALUE(RIGHT($A6,1)))))"),0.0)</f>
        <v>0</v>
      </c>
      <c r="AZ6" s="34">
        <f>IFERROR(__xludf.DUMMYFUNCTION("IF(ISNA(sum(filter(
Master_Mapping_Sheet!$E$2:$E$3143, ISNUMBER(
Master_Mapping_Sheet!$E$2:$E$3143),
Master_Mapping_Sheet!$C$2:$C$3143=AZ$1,
Master_Mapping_Sheet!$K$2:$K$3143=VALUE(RIGHT($A6,1))))/sum(filter(
Master_Mapping_Sheet!$E$2:$E$3143, ISNUMBER(
M"&amp;"aster_Mapping_Sheet!$E$2:$E$3143),
Master_Mapping_Sheet!$K$2:$K$3143=VALUE(RIGHT($A6,1))))), 0, sum(filter(
Master_Mapping_Sheet!$E$2:$E$3143, ISNUMBER(
Master_Mapping_Sheet!$E$2:$E$3143),
Master_Mapping_Sheet!$C$2:$C$3143=AZ$1,
Master_Mapping_Sheet!$K$2:"&amp;"$K$3143=VALUE(RIGHT($A6,1))))/sum(filter(
Master_Mapping_Sheet!$E$2:$E$3143, ISNUMBER(
Master_Mapping_Sheet!$E$2:$E$3143),
Master_Mapping_Sheet!$K$2:$K$3143=VALUE(RIGHT($A6,1)))))"),0.0)</f>
        <v>0</v>
      </c>
    </row>
    <row r="7" ht="15.0" customHeight="1">
      <c r="C7" s="32"/>
    </row>
    <row r="8" ht="15.75" customHeight="1">
      <c r="C8" s="32"/>
    </row>
    <row r="9" ht="15.75" customHeight="1">
      <c r="C9" s="32"/>
    </row>
    <row r="10" ht="15.75" customHeight="1">
      <c r="C10" s="32"/>
    </row>
    <row r="11" ht="15.75" customHeight="1">
      <c r="C11" s="32"/>
    </row>
    <row r="12" ht="15.75" customHeight="1">
      <c r="C12" s="32"/>
    </row>
    <row r="13" ht="15.75" customHeight="1">
      <c r="C13" s="32"/>
    </row>
    <row r="14" ht="15.75" customHeight="1">
      <c r="C14" s="32"/>
    </row>
    <row r="15" ht="15.75" customHeight="1">
      <c r="C15" s="32"/>
    </row>
    <row r="16" ht="15.75" customHeight="1">
      <c r="C16" s="32"/>
    </row>
    <row r="17" ht="15.75" customHeight="1">
      <c r="C17" s="32"/>
    </row>
    <row r="18" ht="15.75" customHeight="1">
      <c r="C18" s="32"/>
    </row>
    <row r="19" ht="15.75" customHeight="1">
      <c r="C19" s="32"/>
    </row>
    <row r="20" ht="15.75" customHeight="1">
      <c r="C20" s="32"/>
    </row>
    <row r="21" ht="15.75" customHeight="1">
      <c r="C21" s="32"/>
    </row>
    <row r="22" ht="15.75" customHeight="1">
      <c r="C22" s="32"/>
    </row>
    <row r="23" ht="15.75" customHeight="1">
      <c r="C23" s="32"/>
    </row>
    <row r="24" ht="15.75" customHeight="1">
      <c r="C24" s="32"/>
    </row>
    <row r="25" ht="15.75" customHeight="1">
      <c r="C25" s="32"/>
    </row>
    <row r="26" ht="15.75" customHeight="1">
      <c r="C26" s="32"/>
    </row>
    <row r="27" ht="15.75" customHeight="1">
      <c r="C27" s="32"/>
    </row>
    <row r="28" ht="15.75" customHeight="1">
      <c r="C28" s="32"/>
    </row>
    <row r="29" ht="15.75" customHeight="1">
      <c r="C29" s="32"/>
    </row>
    <row r="30" ht="15.75" customHeight="1">
      <c r="C30" s="32"/>
    </row>
    <row r="31" ht="15.75" customHeight="1">
      <c r="C31" s="32"/>
    </row>
    <row r="32" ht="15.75" customHeight="1">
      <c r="C32" s="32"/>
    </row>
    <row r="33" ht="15.75" customHeight="1">
      <c r="C33" s="32"/>
    </row>
    <row r="34" ht="15.75" customHeight="1">
      <c r="C34" s="32"/>
    </row>
    <row r="35" ht="15.75" customHeight="1">
      <c r="C35" s="32"/>
    </row>
    <row r="36" ht="15.75" customHeight="1">
      <c r="C36" s="32"/>
    </row>
    <row r="37" ht="15.75" customHeight="1">
      <c r="C37" s="32"/>
    </row>
    <row r="38" ht="15.75" customHeight="1">
      <c r="C38" s="32"/>
    </row>
    <row r="39" ht="15.75" customHeight="1">
      <c r="C39" s="32"/>
    </row>
    <row r="40" ht="15.75" customHeight="1">
      <c r="C40" s="32"/>
    </row>
    <row r="41" ht="15.75" customHeight="1">
      <c r="C41" s="32"/>
    </row>
    <row r="42" ht="15.75" customHeight="1">
      <c r="C42" s="32"/>
    </row>
    <row r="43" ht="15.75" customHeight="1">
      <c r="C43" s="32"/>
    </row>
    <row r="44" ht="15.75" customHeight="1">
      <c r="C44" s="32"/>
    </row>
    <row r="45" ht="15.75" customHeight="1">
      <c r="C45" s="32"/>
    </row>
    <row r="46" ht="15.75" customHeight="1">
      <c r="C46" s="32"/>
    </row>
    <row r="47" ht="15.75" customHeight="1">
      <c r="C47" s="32"/>
    </row>
    <row r="48" ht="15.75" customHeight="1">
      <c r="C48" s="32"/>
    </row>
    <row r="49" ht="15.75" customHeight="1">
      <c r="C49" s="32"/>
    </row>
    <row r="50" ht="15.75" customHeight="1">
      <c r="C50" s="32"/>
    </row>
    <row r="51" ht="15.75" customHeight="1">
      <c r="C51" s="32"/>
    </row>
    <row r="52" ht="15.75" customHeight="1">
      <c r="C52" s="32"/>
    </row>
    <row r="53" ht="15.75" customHeight="1">
      <c r="C53" s="32"/>
    </row>
    <row r="54" ht="15.75" customHeight="1">
      <c r="C54" s="32"/>
    </row>
    <row r="55" ht="15.75" customHeight="1">
      <c r="C55" s="32"/>
    </row>
    <row r="56" ht="15.75" customHeight="1">
      <c r="C56" s="32"/>
    </row>
    <row r="57" ht="15.75" customHeight="1">
      <c r="C57" s="32"/>
    </row>
    <row r="58" ht="15.75" customHeight="1">
      <c r="C58" s="32"/>
    </row>
    <row r="59" ht="15.75" customHeight="1">
      <c r="C59" s="32"/>
    </row>
    <row r="60" ht="15.75" customHeight="1">
      <c r="C60" s="32"/>
    </row>
    <row r="61" ht="15.75" customHeight="1">
      <c r="C61" s="32"/>
    </row>
    <row r="62" ht="15.75" customHeight="1">
      <c r="C62" s="32"/>
    </row>
    <row r="63" ht="15.75" customHeight="1">
      <c r="C63" s="32"/>
    </row>
    <row r="64" ht="15.75" customHeight="1">
      <c r="C64" s="32"/>
    </row>
    <row r="65" ht="15.75" customHeight="1">
      <c r="C65" s="32"/>
    </row>
    <row r="66" ht="15.75" customHeight="1">
      <c r="C66" s="32"/>
    </row>
    <row r="67" ht="15.75" customHeight="1">
      <c r="C67" s="32"/>
    </row>
    <row r="68" ht="15.75" customHeight="1">
      <c r="C68" s="32"/>
    </row>
    <row r="69" ht="15.75" customHeight="1">
      <c r="C69" s="32"/>
    </row>
    <row r="70" ht="15.75" customHeight="1">
      <c r="C70" s="32"/>
    </row>
    <row r="71" ht="15.75" customHeight="1">
      <c r="C71" s="32"/>
    </row>
    <row r="72" ht="15.75" customHeight="1">
      <c r="C72" s="32"/>
    </row>
    <row r="73" ht="15.75" customHeight="1">
      <c r="C73" s="32"/>
    </row>
    <row r="74" ht="15.75" customHeight="1">
      <c r="C74" s="32"/>
    </row>
    <row r="75" ht="15.75" customHeight="1">
      <c r="C75" s="32"/>
    </row>
    <row r="76" ht="15.75" customHeight="1">
      <c r="C76" s="32"/>
    </row>
    <row r="77" ht="15.75" customHeight="1">
      <c r="C77" s="32"/>
    </row>
    <row r="78" ht="15.75" customHeight="1">
      <c r="C78" s="32"/>
    </row>
    <row r="79" ht="15.75" customHeight="1">
      <c r="C79" s="32"/>
    </row>
    <row r="80" ht="15.75" customHeight="1">
      <c r="C80" s="32"/>
    </row>
    <row r="81" ht="15.75" customHeight="1">
      <c r="C81" s="32"/>
    </row>
    <row r="82" ht="15.75" customHeight="1">
      <c r="C82" s="32"/>
    </row>
    <row r="83" ht="15.75" customHeight="1">
      <c r="C83" s="32"/>
    </row>
    <row r="84" ht="15.75" customHeight="1">
      <c r="C84" s="32"/>
    </row>
    <row r="85" ht="15.75" customHeight="1">
      <c r="C85" s="32"/>
    </row>
    <row r="86" ht="15.75" customHeight="1">
      <c r="C86" s="32"/>
    </row>
    <row r="87" ht="15.75" customHeight="1">
      <c r="C87" s="32"/>
    </row>
    <row r="88" ht="15.75" customHeight="1">
      <c r="C88" s="32"/>
    </row>
    <row r="89" ht="15.75" customHeight="1">
      <c r="C89" s="32"/>
    </row>
    <row r="90" ht="15.75" customHeight="1">
      <c r="C90" s="32"/>
    </row>
    <row r="91" ht="15.75" customHeight="1">
      <c r="C91" s="32"/>
    </row>
    <row r="92" ht="15.75" customHeight="1">
      <c r="C92" s="32"/>
    </row>
    <row r="93" ht="15.75" customHeight="1">
      <c r="C93" s="32"/>
    </row>
    <row r="94" ht="15.75" customHeight="1">
      <c r="C94" s="32"/>
    </row>
    <row r="95" ht="15.75" customHeight="1">
      <c r="C95" s="32"/>
    </row>
    <row r="96" ht="15.75" customHeight="1">
      <c r="C96" s="32"/>
    </row>
    <row r="97" ht="15.75" customHeight="1">
      <c r="C97" s="32"/>
    </row>
    <row r="98" ht="15.75" customHeight="1">
      <c r="C98" s="32"/>
    </row>
    <row r="99" ht="15.75" customHeight="1">
      <c r="C99" s="32"/>
    </row>
    <row r="100" ht="15.75" customHeight="1">
      <c r="C100" s="32"/>
    </row>
    <row r="101" ht="15.75" customHeight="1">
      <c r="C101" s="32"/>
    </row>
    <row r="102" ht="15.75" customHeight="1">
      <c r="C102" s="32"/>
    </row>
    <row r="103" ht="15.75" customHeight="1">
      <c r="C103" s="32"/>
    </row>
    <row r="104" ht="15.75" customHeight="1">
      <c r="C104" s="32"/>
    </row>
    <row r="105" ht="15.75" customHeight="1">
      <c r="C105" s="32"/>
    </row>
    <row r="106" ht="15.75" customHeight="1">
      <c r="C106" s="32"/>
    </row>
    <row r="107" ht="15.75" customHeight="1">
      <c r="C107" s="32"/>
    </row>
    <row r="108" ht="15.75" customHeight="1">
      <c r="C108" s="32"/>
    </row>
    <row r="109" ht="15.75" customHeight="1">
      <c r="C109" s="32"/>
    </row>
    <row r="110" ht="15.75" customHeight="1">
      <c r="C110" s="32"/>
    </row>
    <row r="111" ht="15.75" customHeight="1">
      <c r="C111" s="32"/>
    </row>
    <row r="112" ht="15.75" customHeight="1">
      <c r="C112" s="32"/>
    </row>
    <row r="113" ht="15.75" customHeight="1">
      <c r="C113" s="32"/>
    </row>
    <row r="114" ht="15.75" customHeight="1">
      <c r="C114" s="32"/>
    </row>
    <row r="115" ht="15.75" customHeight="1">
      <c r="C115" s="32"/>
    </row>
    <row r="116" ht="15.75" customHeight="1">
      <c r="C116" s="32"/>
    </row>
    <row r="117" ht="15.75" customHeight="1">
      <c r="C117" s="32"/>
    </row>
    <row r="118" ht="15.75" customHeight="1">
      <c r="C118" s="32"/>
    </row>
    <row r="119" ht="15.75" customHeight="1">
      <c r="C119" s="32"/>
    </row>
    <row r="120" ht="15.75" customHeight="1">
      <c r="C120" s="32"/>
    </row>
    <row r="121" ht="15.75" customHeight="1">
      <c r="C121" s="32"/>
    </row>
    <row r="122" ht="15.75" customHeight="1">
      <c r="C122" s="32"/>
    </row>
    <row r="123" ht="15.75" customHeight="1">
      <c r="C123" s="32"/>
    </row>
    <row r="124" ht="15.75" customHeight="1">
      <c r="C124" s="32"/>
    </row>
    <row r="125" ht="15.75" customHeight="1">
      <c r="C125" s="32"/>
    </row>
    <row r="126" ht="15.75" customHeight="1">
      <c r="C126" s="32"/>
    </row>
    <row r="127" ht="15.75" customHeight="1">
      <c r="C127" s="32"/>
    </row>
    <row r="128" ht="15.75" customHeight="1">
      <c r="C128" s="32"/>
    </row>
    <row r="129" ht="15.75" customHeight="1">
      <c r="C129" s="32"/>
    </row>
    <row r="130" ht="15.75" customHeight="1">
      <c r="C130" s="32"/>
    </row>
    <row r="131" ht="15.75" customHeight="1">
      <c r="C131" s="32"/>
    </row>
    <row r="132" ht="15.75" customHeight="1">
      <c r="C132" s="32"/>
    </row>
    <row r="133" ht="15.75" customHeight="1">
      <c r="C133" s="32"/>
    </row>
    <row r="134" ht="15.75" customHeight="1">
      <c r="C134" s="32"/>
    </row>
    <row r="135" ht="15.75" customHeight="1">
      <c r="C135" s="32"/>
    </row>
    <row r="136" ht="15.75" customHeight="1">
      <c r="C136" s="32"/>
    </row>
    <row r="137" ht="15.75" customHeight="1">
      <c r="C137" s="32"/>
    </row>
    <row r="138" ht="15.75" customHeight="1">
      <c r="C138" s="32"/>
    </row>
    <row r="139" ht="15.75" customHeight="1">
      <c r="C139" s="32"/>
    </row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45" t="s">
        <v>96</v>
      </c>
      <c r="B1" s="45" t="s">
        <v>1994</v>
      </c>
      <c r="C1" s="45" t="s">
        <v>2062</v>
      </c>
      <c r="D1" s="45" t="s">
        <v>2063</v>
      </c>
      <c r="E1" s="45" t="s">
        <v>2079</v>
      </c>
      <c r="F1" s="45" t="s">
        <v>2137</v>
      </c>
      <c r="G1" s="45" t="s">
        <v>2194</v>
      </c>
      <c r="H1" s="45" t="s">
        <v>2250</v>
      </c>
      <c r="I1" s="45" t="s">
        <v>2259</v>
      </c>
      <c r="J1" s="45" t="s">
        <v>2263</v>
      </c>
      <c r="K1" s="45" t="s">
        <v>2264</v>
      </c>
      <c r="L1" s="45" t="s">
        <v>2314</v>
      </c>
      <c r="M1" s="45" t="s">
        <v>2423</v>
      </c>
      <c r="N1" s="45" t="s">
        <v>2424</v>
      </c>
      <c r="O1" s="45" t="s">
        <v>2458</v>
      </c>
      <c r="P1" s="45" t="s">
        <v>2513</v>
      </c>
      <c r="Q1" s="45" t="s">
        <v>2555</v>
      </c>
      <c r="R1" s="45" t="s">
        <v>2601</v>
      </c>
      <c r="S1" s="45" t="s">
        <v>2669</v>
      </c>
      <c r="T1" s="45" t="s">
        <v>2725</v>
      </c>
      <c r="U1" s="45" t="s">
        <v>2790</v>
      </c>
      <c r="V1" s="45" t="s">
        <v>2801</v>
      </c>
      <c r="W1" s="45" t="s">
        <v>2819</v>
      </c>
      <c r="X1" s="45" t="s">
        <v>2830</v>
      </c>
      <c r="Y1" s="45" t="s">
        <v>2893</v>
      </c>
      <c r="Z1" s="45" t="s">
        <v>2955</v>
      </c>
      <c r="AA1" s="45" t="s">
        <v>2992</v>
      </c>
      <c r="AB1" s="45" t="s">
        <v>3034</v>
      </c>
      <c r="AC1" s="45" t="s">
        <v>3071</v>
      </c>
      <c r="AD1" s="45" t="s">
        <v>3112</v>
      </c>
      <c r="AE1" s="45" t="s">
        <v>3123</v>
      </c>
      <c r="AF1" s="45" t="s">
        <v>3131</v>
      </c>
      <c r="AG1" s="45" t="s">
        <v>3143</v>
      </c>
      <c r="AH1" s="45" t="s">
        <v>3168</v>
      </c>
      <c r="AI1" s="45" t="s">
        <v>3200</v>
      </c>
      <c r="AJ1" s="45" t="s">
        <v>3265</v>
      </c>
      <c r="AK1" s="45" t="s">
        <v>3297</v>
      </c>
      <c r="AL1" s="45" t="s">
        <v>3333</v>
      </c>
      <c r="AM1" s="45" t="s">
        <v>3376</v>
      </c>
      <c r="AN1" s="45" t="s">
        <v>3393</v>
      </c>
      <c r="AO1" s="45" t="s">
        <v>3427</v>
      </c>
      <c r="AP1" s="45" t="s">
        <v>3430</v>
      </c>
      <c r="AQ1" s="45" t="s">
        <v>3458</v>
      </c>
      <c r="AR1" s="45" t="s">
        <v>3497</v>
      </c>
      <c r="AS1" s="45" t="s">
        <v>3524</v>
      </c>
      <c r="AT1" s="45" t="s">
        <v>3687</v>
      </c>
      <c r="AU1" s="45" t="s">
        <v>3704</v>
      </c>
      <c r="AV1" s="45" t="s">
        <v>3713</v>
      </c>
      <c r="AW1" s="45" t="s">
        <v>3797</v>
      </c>
      <c r="AX1" s="45" t="s">
        <v>3820</v>
      </c>
      <c r="AY1" s="45" t="s">
        <v>3838</v>
      </c>
      <c r="AZ1" s="45" t="s">
        <v>3874</v>
      </c>
    </row>
    <row r="2" ht="15.75" customHeight="1">
      <c r="A2" s="45" t="s">
        <v>4246</v>
      </c>
      <c r="B2" s="34">
        <f>IFERROR(__xludf.DUMMYFUNCTION("IF(ISNA(sum(filter(
Master_Mapping_Sheet!$E$2:$E$3143, ISNUMBER(
Master_Mapping_Sheet!$E$2:$E$3143),
Master_Mapping_Sheet!$C$2:$C$3143=B$1,
Master_Mapping_Sheet!$K$2:$K$3143=VALUE(RIGHT($A2,1))))/sum(filter(
Master_Mapping_Sheet!$E$2:$E$3143, ISNUMBER(
Ma"&amp;"ster_Mapping_Sheet!$E$2:$E$3143),
Master_Mapping_Sheet!$C$2:$C$3143=B$1))), 0, sum(filter(
Master_Mapping_Sheet!$E$2:$E$3143, ISNUMBER(
Master_Mapping_Sheet!$E$2:$E$3143),
Master_Mapping_Sheet!$C$2:$C$3143=B$1,
Master_Mapping_Sheet!$K$2:$K$3143=VALUE(RIGH"&amp;"T($A2,1))))/sum(filter(
Master_Mapping_Sheet!$E$2:$E$3143, ISNUMBER(
Master_Mapping_Sheet!$E$2:$E$3143),
Master_Mapping_Sheet!$C$2:$C$3143=B$1)))"),0.0)</f>
        <v>0</v>
      </c>
      <c r="C2" s="34">
        <f>IFERROR(__xludf.DUMMYFUNCTION("IF(ISNA(sum(filter(
Master_Mapping_Sheet!$E$2:$E$3143, ISNUMBER(
Master_Mapping_Sheet!$E$2:$E$3143),
Master_Mapping_Sheet!$C$2:$C$3143=C$1,
Master_Mapping_Sheet!$K$2:$K$3143=VALUE(RIGHT($A2,1))))/sum(filter(
Master_Mapping_Sheet!$E$2:$E$3143, ISNUMBER(
Ma"&amp;"ster_Mapping_Sheet!$E$2:$E$3143),
Master_Mapping_Sheet!$C$2:$C$3143=C$1))), 0, sum(filter(
Master_Mapping_Sheet!$E$2:$E$3143, ISNUMBER(
Master_Mapping_Sheet!$E$2:$E$3143),
Master_Mapping_Sheet!$C$2:$C$3143=C$1,
Master_Mapping_Sheet!$K$2:$K$3143=VALUE(RIGH"&amp;"T($A2,1))))/sum(filter(
Master_Mapping_Sheet!$E$2:$E$3143, ISNUMBER(
Master_Mapping_Sheet!$E$2:$E$3143),
Master_Mapping_Sheet!$C$2:$C$3143=C$1)))"),1.0)</f>
        <v>1</v>
      </c>
      <c r="D2" s="34">
        <f>IFERROR(__xludf.DUMMYFUNCTION("IF(ISNA(sum(filter(
Master_Mapping_Sheet!$E$2:$E$3143, ISNUMBER(
Master_Mapping_Sheet!$E$2:$E$3143),
Master_Mapping_Sheet!$C$2:$C$3143=D$1,
Master_Mapping_Sheet!$K$2:$K$3143=VALUE(RIGHT($A2,1))))/sum(filter(
Master_Mapping_Sheet!$E$2:$E$3143, ISNUMBER(
Ma"&amp;"ster_Mapping_Sheet!$E$2:$E$3143),
Master_Mapping_Sheet!$C$2:$C$3143=D$1))), 0, sum(filter(
Master_Mapping_Sheet!$E$2:$E$3143, ISNUMBER(
Master_Mapping_Sheet!$E$2:$E$3143),
Master_Mapping_Sheet!$C$2:$C$3143=D$1,
Master_Mapping_Sheet!$K$2:$K$3143=VALUE(RIGH"&amp;"T($A2,1))))/sum(filter(
Master_Mapping_Sheet!$E$2:$E$3143, ISNUMBER(
Master_Mapping_Sheet!$E$2:$E$3143),
Master_Mapping_Sheet!$C$2:$C$3143=D$1)))"),0.0)</f>
        <v>0</v>
      </c>
      <c r="E2" s="34">
        <f>IFERROR(__xludf.DUMMYFUNCTION("IF(ISNA(sum(filter(
Master_Mapping_Sheet!$E$2:$E$3143, ISNUMBER(
Master_Mapping_Sheet!$E$2:$E$3143),
Master_Mapping_Sheet!$C$2:$C$3143=E$1,
Master_Mapping_Sheet!$K$2:$K$3143=VALUE(RIGHT($A2,1))))/sum(filter(
Master_Mapping_Sheet!$E$2:$E$3143, ISNUMBER(
Ma"&amp;"ster_Mapping_Sheet!$E$2:$E$3143),
Master_Mapping_Sheet!$C$2:$C$3143=E$1))), 0, sum(filter(
Master_Mapping_Sheet!$E$2:$E$3143, ISNUMBER(
Master_Mapping_Sheet!$E$2:$E$3143),
Master_Mapping_Sheet!$C$2:$C$3143=E$1,
Master_Mapping_Sheet!$K$2:$K$3143=VALUE(RIGH"&amp;"T($A2,1))))/sum(filter(
Master_Mapping_Sheet!$E$2:$E$3143, ISNUMBER(
Master_Mapping_Sheet!$E$2:$E$3143),
Master_Mapping_Sheet!$C$2:$C$3143=E$1)))"),0.0)</f>
        <v>0</v>
      </c>
      <c r="F2" s="34">
        <f>IFERROR(__xludf.DUMMYFUNCTION("IF(ISNA(sum(filter(
Master_Mapping_Sheet!$E$2:$E$3143, ISNUMBER(
Master_Mapping_Sheet!$E$2:$E$3143),
Master_Mapping_Sheet!$C$2:$C$3143=F$1,
Master_Mapping_Sheet!$K$2:$K$3143=VALUE(RIGHT($A2,1))))/sum(filter(
Master_Mapping_Sheet!$E$2:$E$3143, ISNUMBER(
Ma"&amp;"ster_Mapping_Sheet!$E$2:$E$3143),
Master_Mapping_Sheet!$C$2:$C$3143=F$1))), 0, sum(filter(
Master_Mapping_Sheet!$E$2:$E$3143, ISNUMBER(
Master_Mapping_Sheet!$E$2:$E$3143),
Master_Mapping_Sheet!$C$2:$C$3143=F$1,
Master_Mapping_Sheet!$K$2:$K$3143=VALUE(RIGH"&amp;"T($A2,1))))/sum(filter(
Master_Mapping_Sheet!$E$2:$E$3143, ISNUMBER(
Master_Mapping_Sheet!$E$2:$E$3143),
Master_Mapping_Sheet!$C$2:$C$3143=F$1)))"),5.827508669083199E-4)</f>
        <v>0.0005827508669</v>
      </c>
      <c r="G2" s="34">
        <f>IFERROR(__xludf.DUMMYFUNCTION("IF(ISNA(sum(filter(
Master_Mapping_Sheet!$E$2:$E$3143, ISNUMBER(
Master_Mapping_Sheet!$E$2:$E$3143),
Master_Mapping_Sheet!$C$2:$C$3143=G$1,
Master_Mapping_Sheet!$K$2:$K$3143=VALUE(RIGHT($A2,1))))/sum(filter(
Master_Mapping_Sheet!$E$2:$E$3143, ISNUMBER(
Ma"&amp;"ster_Mapping_Sheet!$E$2:$E$3143),
Master_Mapping_Sheet!$C$2:$C$3143=G$1))), 0, sum(filter(
Master_Mapping_Sheet!$E$2:$E$3143, ISNUMBER(
Master_Mapping_Sheet!$E$2:$E$3143),
Master_Mapping_Sheet!$C$2:$C$3143=G$1,
Master_Mapping_Sheet!$K$2:$K$3143=VALUE(RIGH"&amp;"T($A2,1))))/sum(filter(
Master_Mapping_Sheet!$E$2:$E$3143, ISNUMBER(
Master_Mapping_Sheet!$E$2:$E$3143),
Master_Mapping_Sheet!$C$2:$C$3143=G$1)))"),0.07917725061717262)</f>
        <v>0.07917725062</v>
      </c>
      <c r="H2" s="34">
        <f>IFERROR(__xludf.DUMMYFUNCTION("IF(ISNA(sum(filter(
Master_Mapping_Sheet!$E$2:$E$3143, ISNUMBER(
Master_Mapping_Sheet!$E$2:$E$3143),
Master_Mapping_Sheet!$C$2:$C$3143=H$1,
Master_Mapping_Sheet!$K$2:$K$3143=VALUE(RIGHT($A2,1))))/sum(filter(
Master_Mapping_Sheet!$E$2:$E$3143, ISNUMBER(
Ma"&amp;"ster_Mapping_Sheet!$E$2:$E$3143),
Master_Mapping_Sheet!$C$2:$C$3143=H$1))), 0, sum(filter(
Master_Mapping_Sheet!$E$2:$E$3143, ISNUMBER(
Master_Mapping_Sheet!$E$2:$E$3143),
Master_Mapping_Sheet!$C$2:$C$3143=H$1,
Master_Mapping_Sheet!$K$2:$K$3143=VALUE(RIGH"&amp;"T($A2,1))))/sum(filter(
Master_Mapping_Sheet!$E$2:$E$3143, ISNUMBER(
Master_Mapping_Sheet!$E$2:$E$3143),
Master_Mapping_Sheet!$C$2:$C$3143=H$1)))"),0.0)</f>
        <v>0</v>
      </c>
      <c r="I2" s="34">
        <f>IFERROR(__xludf.DUMMYFUNCTION("IF(ISNA(sum(filter(
Master_Mapping_Sheet!$E$2:$E$3143, ISNUMBER(
Master_Mapping_Sheet!$E$2:$E$3143),
Master_Mapping_Sheet!$C$2:$C$3143=I$1,
Master_Mapping_Sheet!$K$2:$K$3143=VALUE(RIGHT($A2,1))))/sum(filter(
Master_Mapping_Sheet!$E$2:$E$3143, ISNUMBER(
Ma"&amp;"ster_Mapping_Sheet!$E$2:$E$3143),
Master_Mapping_Sheet!$C$2:$C$3143=I$1))), 0, sum(filter(
Master_Mapping_Sheet!$E$2:$E$3143, ISNUMBER(
Master_Mapping_Sheet!$E$2:$E$3143),
Master_Mapping_Sheet!$C$2:$C$3143=I$1,
Master_Mapping_Sheet!$K$2:$K$3143=VALUE(RIGH"&amp;"T($A2,1))))/sum(filter(
Master_Mapping_Sheet!$E$2:$E$3143, ISNUMBER(
Master_Mapping_Sheet!$E$2:$E$3143),
Master_Mapping_Sheet!$C$2:$C$3143=I$1)))"),0.0)</f>
        <v>0</v>
      </c>
      <c r="J2" s="34">
        <f>IFERROR(__xludf.DUMMYFUNCTION("IF(ISNA(sum(filter(
Master_Mapping_Sheet!$E$2:$E$3143, ISNUMBER(
Master_Mapping_Sheet!$E$2:$E$3143),
Master_Mapping_Sheet!$C$2:$C$3143=J$1,
Master_Mapping_Sheet!$K$2:$K$3143=VALUE(RIGHT($A2,1))))/sum(filter(
Master_Mapping_Sheet!$E$2:$E$3143, ISNUMBER(
Ma"&amp;"ster_Mapping_Sheet!$E$2:$E$3143),
Master_Mapping_Sheet!$C$2:$C$3143=J$1))), 0, sum(filter(
Master_Mapping_Sheet!$E$2:$E$3143, ISNUMBER(
Master_Mapping_Sheet!$E$2:$E$3143),
Master_Mapping_Sheet!$C$2:$C$3143=J$1,
Master_Mapping_Sheet!$K$2:$K$3143=VALUE(RIGH"&amp;"T($A2,1))))/sum(filter(
Master_Mapping_Sheet!$E$2:$E$3143, ISNUMBER(
Master_Mapping_Sheet!$E$2:$E$3143),
Master_Mapping_Sheet!$C$2:$C$3143=J$1)))"),0.0)</f>
        <v>0</v>
      </c>
      <c r="K2" s="34">
        <f>IFERROR(__xludf.DUMMYFUNCTION("IF(ISNA(sum(filter(
Master_Mapping_Sheet!$E$2:$E$3143, ISNUMBER(
Master_Mapping_Sheet!$E$2:$E$3143),
Master_Mapping_Sheet!$C$2:$C$3143=K$1,
Master_Mapping_Sheet!$K$2:$K$3143=VALUE(RIGHT($A2,1))))/sum(filter(
Master_Mapping_Sheet!$E$2:$E$3143, ISNUMBER(
Ma"&amp;"ster_Mapping_Sheet!$E$2:$E$3143),
Master_Mapping_Sheet!$C$2:$C$3143=K$1))), 0, sum(filter(
Master_Mapping_Sheet!$E$2:$E$3143, ISNUMBER(
Master_Mapping_Sheet!$E$2:$E$3143),
Master_Mapping_Sheet!$C$2:$C$3143=K$1,
Master_Mapping_Sheet!$K$2:$K$3143=VALUE(RIGH"&amp;"T($A2,1))))/sum(filter(
Master_Mapping_Sheet!$E$2:$E$3143, ISNUMBER(
Master_Mapping_Sheet!$E$2:$E$3143),
Master_Mapping_Sheet!$C$2:$C$3143=K$1)))"),0.0)</f>
        <v>0</v>
      </c>
      <c r="L2" s="34">
        <f>IFERROR(__xludf.DUMMYFUNCTION("IF(ISNA(sum(filter(
Master_Mapping_Sheet!$E$2:$E$3143, ISNUMBER(
Master_Mapping_Sheet!$E$2:$E$3143),
Master_Mapping_Sheet!$C$2:$C$3143=L$1,
Master_Mapping_Sheet!$K$2:$K$3143=VALUE(RIGHT($A2,1))))/sum(filter(
Master_Mapping_Sheet!$E$2:$E$3143, ISNUMBER(
Ma"&amp;"ster_Mapping_Sheet!$E$2:$E$3143),
Master_Mapping_Sheet!$C$2:$C$3143=L$1))), 0, sum(filter(
Master_Mapping_Sheet!$E$2:$E$3143, ISNUMBER(
Master_Mapping_Sheet!$E$2:$E$3143),
Master_Mapping_Sheet!$C$2:$C$3143=L$1,
Master_Mapping_Sheet!$K$2:$K$3143=VALUE(RIGH"&amp;"T($A2,1))))/sum(filter(
Master_Mapping_Sheet!$E$2:$E$3143, ISNUMBER(
Master_Mapping_Sheet!$E$2:$E$3143),
Master_Mapping_Sheet!$C$2:$C$3143=L$1)))"),0.0)</f>
        <v>0</v>
      </c>
      <c r="M2" s="34">
        <f>IFERROR(__xludf.DUMMYFUNCTION("IF(ISNA(sum(filter(
Master_Mapping_Sheet!$E$2:$E$3143, ISNUMBER(
Master_Mapping_Sheet!$E$2:$E$3143),
Master_Mapping_Sheet!$C$2:$C$3143=M$1,
Master_Mapping_Sheet!$K$2:$K$3143=VALUE(RIGHT($A2,1))))/sum(filter(
Master_Mapping_Sheet!$E$2:$E$3143, ISNUMBER(
Ma"&amp;"ster_Mapping_Sheet!$E$2:$E$3143),
Master_Mapping_Sheet!$C$2:$C$3143=M$1))), 0, sum(filter(
Master_Mapping_Sheet!$E$2:$E$3143, ISNUMBER(
Master_Mapping_Sheet!$E$2:$E$3143),
Master_Mapping_Sheet!$C$2:$C$3143=M$1,
Master_Mapping_Sheet!$K$2:$K$3143=VALUE(RIGH"&amp;"T($A2,1))))/sum(filter(
Master_Mapping_Sheet!$E$2:$E$3143, ISNUMBER(
Master_Mapping_Sheet!$E$2:$E$3143),
Master_Mapping_Sheet!$C$2:$C$3143=M$1)))"),0.0)</f>
        <v>0</v>
      </c>
      <c r="N2" s="34">
        <f>IFERROR(__xludf.DUMMYFUNCTION("IF(ISNA(sum(filter(
Master_Mapping_Sheet!$E$2:$E$3143, ISNUMBER(
Master_Mapping_Sheet!$E$2:$E$3143),
Master_Mapping_Sheet!$C$2:$C$3143=N$1,
Master_Mapping_Sheet!$K$2:$K$3143=VALUE(RIGHT($A2,1))))/sum(filter(
Master_Mapping_Sheet!$E$2:$E$3143, ISNUMBER(
Ma"&amp;"ster_Mapping_Sheet!$E$2:$E$3143),
Master_Mapping_Sheet!$C$2:$C$3143=N$1))), 0, sum(filter(
Master_Mapping_Sheet!$E$2:$E$3143, ISNUMBER(
Master_Mapping_Sheet!$E$2:$E$3143),
Master_Mapping_Sheet!$C$2:$C$3143=N$1,
Master_Mapping_Sheet!$K$2:$K$3143=VALUE(RIGH"&amp;"T($A2,1))))/sum(filter(
Master_Mapping_Sheet!$E$2:$E$3143, ISNUMBER(
Master_Mapping_Sheet!$E$2:$E$3143),
Master_Mapping_Sheet!$C$2:$C$3143=N$1)))"),0.3129489811810909)</f>
        <v>0.3129489812</v>
      </c>
      <c r="O2" s="34">
        <f>IFERROR(__xludf.DUMMYFUNCTION("IF(ISNA(sum(filter(
Master_Mapping_Sheet!$E$2:$E$3143, ISNUMBER(
Master_Mapping_Sheet!$E$2:$E$3143),
Master_Mapping_Sheet!$C$2:$C$3143=O$1,
Master_Mapping_Sheet!$K$2:$K$3143=VALUE(RIGHT($A2,1))))/sum(filter(
Master_Mapping_Sheet!$E$2:$E$3143, ISNUMBER(
Ma"&amp;"ster_Mapping_Sheet!$E$2:$E$3143),
Master_Mapping_Sheet!$C$2:$C$3143=O$1))), 0, sum(filter(
Master_Mapping_Sheet!$E$2:$E$3143, ISNUMBER(
Master_Mapping_Sheet!$E$2:$E$3143),
Master_Mapping_Sheet!$C$2:$C$3143=O$1,
Master_Mapping_Sheet!$K$2:$K$3143=VALUE(RIGH"&amp;"T($A2,1))))/sum(filter(
Master_Mapping_Sheet!$E$2:$E$3143, ISNUMBER(
Master_Mapping_Sheet!$E$2:$E$3143),
Master_Mapping_Sheet!$C$2:$C$3143=O$1)))"),0.0)</f>
        <v>0</v>
      </c>
      <c r="P2" s="34">
        <f>IFERROR(__xludf.DUMMYFUNCTION("IF(ISNA(sum(filter(
Master_Mapping_Sheet!$E$2:$E$3143, ISNUMBER(
Master_Mapping_Sheet!$E$2:$E$3143),
Master_Mapping_Sheet!$C$2:$C$3143=P$1,
Master_Mapping_Sheet!$K$2:$K$3143=VALUE(RIGHT($A2,1))))/sum(filter(
Master_Mapping_Sheet!$E$2:$E$3143, ISNUMBER(
Ma"&amp;"ster_Mapping_Sheet!$E$2:$E$3143),
Master_Mapping_Sheet!$C$2:$C$3143=P$1))), 0, sum(filter(
Master_Mapping_Sheet!$E$2:$E$3143, ISNUMBER(
Master_Mapping_Sheet!$E$2:$E$3143),
Master_Mapping_Sheet!$C$2:$C$3143=P$1,
Master_Mapping_Sheet!$K$2:$K$3143=VALUE(RIGH"&amp;"T($A2,1))))/sum(filter(
Master_Mapping_Sheet!$E$2:$E$3143, ISNUMBER(
Master_Mapping_Sheet!$E$2:$E$3143),
Master_Mapping_Sheet!$C$2:$C$3143=P$1)))"),0.0)</f>
        <v>0</v>
      </c>
      <c r="Q2" s="34">
        <f>IFERROR(__xludf.DUMMYFUNCTION("IF(ISNA(sum(filter(
Master_Mapping_Sheet!$E$2:$E$3143, ISNUMBER(
Master_Mapping_Sheet!$E$2:$E$3143),
Master_Mapping_Sheet!$C$2:$C$3143=Q$1,
Master_Mapping_Sheet!$K$2:$K$3143=VALUE(RIGHT($A2,1))))/sum(filter(
Master_Mapping_Sheet!$E$2:$E$3143, ISNUMBER(
Ma"&amp;"ster_Mapping_Sheet!$E$2:$E$3143),
Master_Mapping_Sheet!$C$2:$C$3143=Q$1))), 0, sum(filter(
Master_Mapping_Sheet!$E$2:$E$3143, ISNUMBER(
Master_Mapping_Sheet!$E$2:$E$3143),
Master_Mapping_Sheet!$C$2:$C$3143=Q$1,
Master_Mapping_Sheet!$K$2:$K$3143=VALUE(RIGH"&amp;"T($A2,1))))/sum(filter(
Master_Mapping_Sheet!$E$2:$E$3143, ISNUMBER(
Master_Mapping_Sheet!$E$2:$E$3143),
Master_Mapping_Sheet!$C$2:$C$3143=Q$1)))"),0.26218645190339646)</f>
        <v>0.2621864519</v>
      </c>
      <c r="R2" s="34">
        <f>IFERROR(__xludf.DUMMYFUNCTION("IF(ISNA(sum(filter(
Master_Mapping_Sheet!$E$2:$E$3143, ISNUMBER(
Master_Mapping_Sheet!$E$2:$E$3143),
Master_Mapping_Sheet!$C$2:$C$3143=R$1,
Master_Mapping_Sheet!$K$2:$K$3143=VALUE(RIGHT($A2,1))))/sum(filter(
Master_Mapping_Sheet!$E$2:$E$3143, ISNUMBER(
Ma"&amp;"ster_Mapping_Sheet!$E$2:$E$3143),
Master_Mapping_Sheet!$C$2:$C$3143=R$1))), 0, sum(filter(
Master_Mapping_Sheet!$E$2:$E$3143, ISNUMBER(
Master_Mapping_Sheet!$E$2:$E$3143),
Master_Mapping_Sheet!$C$2:$C$3143=R$1,
Master_Mapping_Sheet!$K$2:$K$3143=VALUE(RIGH"&amp;"T($A2,1))))/sum(filter(
Master_Mapping_Sheet!$E$2:$E$3143, ISNUMBER(
Master_Mapping_Sheet!$E$2:$E$3143),
Master_Mapping_Sheet!$C$2:$C$3143=R$1)))"),0.0)</f>
        <v>0</v>
      </c>
      <c r="S2" s="34">
        <f>IFERROR(__xludf.DUMMYFUNCTION("IF(ISNA(sum(filter(
Master_Mapping_Sheet!$E$2:$E$3143, ISNUMBER(
Master_Mapping_Sheet!$E$2:$E$3143),
Master_Mapping_Sheet!$C$2:$C$3143=S$1,
Master_Mapping_Sheet!$K$2:$K$3143=VALUE(RIGHT($A2,1))))/sum(filter(
Master_Mapping_Sheet!$E$2:$E$3143, ISNUMBER(
Ma"&amp;"ster_Mapping_Sheet!$E$2:$E$3143),
Master_Mapping_Sheet!$C$2:$C$3143=S$1))), 0, sum(filter(
Master_Mapping_Sheet!$E$2:$E$3143, ISNUMBER(
Master_Mapping_Sheet!$E$2:$E$3143),
Master_Mapping_Sheet!$C$2:$C$3143=S$1,
Master_Mapping_Sheet!$K$2:$K$3143=VALUE(RIGH"&amp;"T($A2,1))))/sum(filter(
Master_Mapping_Sheet!$E$2:$E$3143, ISNUMBER(
Master_Mapping_Sheet!$E$2:$E$3143),
Master_Mapping_Sheet!$C$2:$C$3143=S$1)))"),0.0)</f>
        <v>0</v>
      </c>
      <c r="T2" s="34">
        <f>IFERROR(__xludf.DUMMYFUNCTION("IF(ISNA(sum(filter(
Master_Mapping_Sheet!$E$2:$E$3143, ISNUMBER(
Master_Mapping_Sheet!$E$2:$E$3143),
Master_Mapping_Sheet!$C$2:$C$3143=T$1,
Master_Mapping_Sheet!$K$2:$K$3143=VALUE(RIGHT($A2,1))))/sum(filter(
Master_Mapping_Sheet!$E$2:$E$3143, ISNUMBER(
Ma"&amp;"ster_Mapping_Sheet!$E$2:$E$3143),
Master_Mapping_Sheet!$C$2:$C$3143=T$1))), 0, sum(filter(
Master_Mapping_Sheet!$E$2:$E$3143, ISNUMBER(
Master_Mapping_Sheet!$E$2:$E$3143),
Master_Mapping_Sheet!$C$2:$C$3143=T$1,
Master_Mapping_Sheet!$K$2:$K$3143=VALUE(RIGH"&amp;"T($A2,1))))/sum(filter(
Master_Mapping_Sheet!$E$2:$E$3143, ISNUMBER(
Master_Mapping_Sheet!$E$2:$E$3143),
Master_Mapping_Sheet!$C$2:$C$3143=T$1)))"),0.0)</f>
        <v>0</v>
      </c>
      <c r="U2" s="34">
        <f>IFERROR(__xludf.DUMMYFUNCTION("IF(ISNA(sum(filter(
Master_Mapping_Sheet!$E$2:$E$3143, ISNUMBER(
Master_Mapping_Sheet!$E$2:$E$3143),
Master_Mapping_Sheet!$C$2:$C$3143=U$1,
Master_Mapping_Sheet!$K$2:$K$3143=VALUE(RIGHT($A2,1))))/sum(filter(
Master_Mapping_Sheet!$E$2:$E$3143, ISNUMBER(
Ma"&amp;"ster_Mapping_Sheet!$E$2:$E$3143),
Master_Mapping_Sheet!$C$2:$C$3143=U$1))), 0, sum(filter(
Master_Mapping_Sheet!$E$2:$E$3143, ISNUMBER(
Master_Mapping_Sheet!$E$2:$E$3143),
Master_Mapping_Sheet!$C$2:$C$3143=U$1,
Master_Mapping_Sheet!$K$2:$K$3143=VALUE(RIGH"&amp;"T($A2,1))))/sum(filter(
Master_Mapping_Sheet!$E$2:$E$3143, ISNUMBER(
Master_Mapping_Sheet!$E$2:$E$3143),
Master_Mapping_Sheet!$C$2:$C$3143=U$1)))"),1.0)</f>
        <v>1</v>
      </c>
      <c r="V2" s="34">
        <f>IFERROR(__xludf.DUMMYFUNCTION("IF(ISNA(sum(filter(
Master_Mapping_Sheet!$E$2:$E$3143, ISNUMBER(
Master_Mapping_Sheet!$E$2:$E$3143),
Master_Mapping_Sheet!$C$2:$C$3143=V$1,
Master_Mapping_Sheet!$K$2:$K$3143=VALUE(RIGHT($A2,1))))/sum(filter(
Master_Mapping_Sheet!$E$2:$E$3143, ISNUMBER(
Ma"&amp;"ster_Mapping_Sheet!$E$2:$E$3143),
Master_Mapping_Sheet!$C$2:$C$3143=V$1))), 0, sum(filter(
Master_Mapping_Sheet!$E$2:$E$3143, ISNUMBER(
Master_Mapping_Sheet!$E$2:$E$3143),
Master_Mapping_Sheet!$C$2:$C$3143=V$1,
Master_Mapping_Sheet!$K$2:$K$3143=VALUE(RIGH"&amp;"T($A2,1))))/sum(filter(
Master_Mapping_Sheet!$E$2:$E$3143, ISNUMBER(
Master_Mapping_Sheet!$E$2:$E$3143),
Master_Mapping_Sheet!$C$2:$C$3143=V$1)))"),0.0)</f>
        <v>0</v>
      </c>
      <c r="W2" s="34">
        <f>IFERROR(__xludf.DUMMYFUNCTION("IF(ISNA(sum(filter(
Master_Mapping_Sheet!$E$2:$E$3143, ISNUMBER(
Master_Mapping_Sheet!$E$2:$E$3143),
Master_Mapping_Sheet!$C$2:$C$3143=W$1,
Master_Mapping_Sheet!$K$2:$K$3143=VALUE(RIGHT($A2,1))))/sum(filter(
Master_Mapping_Sheet!$E$2:$E$3143, ISNUMBER(
Ma"&amp;"ster_Mapping_Sheet!$E$2:$E$3143),
Master_Mapping_Sheet!$C$2:$C$3143=W$1))), 0, sum(filter(
Master_Mapping_Sheet!$E$2:$E$3143, ISNUMBER(
Master_Mapping_Sheet!$E$2:$E$3143),
Master_Mapping_Sheet!$C$2:$C$3143=W$1,
Master_Mapping_Sheet!$K$2:$K$3143=VALUE(RIGH"&amp;"T($A2,1))))/sum(filter(
Master_Mapping_Sheet!$E$2:$E$3143, ISNUMBER(
Master_Mapping_Sheet!$E$2:$E$3143),
Master_Mapping_Sheet!$C$2:$C$3143=W$1)))"),0.0)</f>
        <v>0</v>
      </c>
      <c r="X2" s="34">
        <f>IFERROR(__xludf.DUMMYFUNCTION("IF(ISNA(sum(filter(
Master_Mapping_Sheet!$E$2:$E$3143, ISNUMBER(
Master_Mapping_Sheet!$E$2:$E$3143),
Master_Mapping_Sheet!$C$2:$C$3143=X$1,
Master_Mapping_Sheet!$K$2:$K$3143=VALUE(RIGHT($A2,1))))/sum(filter(
Master_Mapping_Sheet!$E$2:$E$3143, ISNUMBER(
Ma"&amp;"ster_Mapping_Sheet!$E$2:$E$3143),
Master_Mapping_Sheet!$C$2:$C$3143=X$1))), 0, sum(filter(
Master_Mapping_Sheet!$E$2:$E$3143, ISNUMBER(
Master_Mapping_Sheet!$E$2:$E$3143),
Master_Mapping_Sheet!$C$2:$C$3143=X$1,
Master_Mapping_Sheet!$K$2:$K$3143=VALUE(RIGH"&amp;"T($A2,1))))/sum(filter(
Master_Mapping_Sheet!$E$2:$E$3143, ISNUMBER(
Master_Mapping_Sheet!$E$2:$E$3143),
Master_Mapping_Sheet!$C$2:$C$3143=X$1)))"),0.13280734654603482)</f>
        <v>0.1328073465</v>
      </c>
      <c r="Y2" s="34">
        <f>IFERROR(__xludf.DUMMYFUNCTION("IF(ISNA(sum(filter(
Master_Mapping_Sheet!$E$2:$E$3143, ISNUMBER(
Master_Mapping_Sheet!$E$2:$E$3143),
Master_Mapping_Sheet!$C$2:$C$3143=Y$1,
Master_Mapping_Sheet!$K$2:$K$3143=VALUE(RIGHT($A2,1))))/sum(filter(
Master_Mapping_Sheet!$E$2:$E$3143, ISNUMBER(
Ma"&amp;"ster_Mapping_Sheet!$E$2:$E$3143),
Master_Mapping_Sheet!$C$2:$C$3143=Y$1))), 0, sum(filter(
Master_Mapping_Sheet!$E$2:$E$3143, ISNUMBER(
Master_Mapping_Sheet!$E$2:$E$3143),
Master_Mapping_Sheet!$C$2:$C$3143=Y$1,
Master_Mapping_Sheet!$K$2:$K$3143=VALUE(RIGH"&amp;"T($A2,1))))/sum(filter(
Master_Mapping_Sheet!$E$2:$E$3143, ISNUMBER(
Master_Mapping_Sheet!$E$2:$E$3143),
Master_Mapping_Sheet!$C$2:$C$3143=Y$1)))"),1.0)</f>
        <v>1</v>
      </c>
      <c r="Z2" s="34">
        <f>IFERROR(__xludf.DUMMYFUNCTION("IF(ISNA(sum(filter(
Master_Mapping_Sheet!$E$2:$E$3143, ISNUMBER(
Master_Mapping_Sheet!$E$2:$E$3143),
Master_Mapping_Sheet!$C$2:$C$3143=Z$1,
Master_Mapping_Sheet!$K$2:$K$3143=VALUE(RIGHT($A2,1))))/sum(filter(
Master_Mapping_Sheet!$E$2:$E$3143, ISNUMBER(
Ma"&amp;"ster_Mapping_Sheet!$E$2:$E$3143),
Master_Mapping_Sheet!$C$2:$C$3143=Z$1))), 0, sum(filter(
Master_Mapping_Sheet!$E$2:$E$3143, ISNUMBER(
Master_Mapping_Sheet!$E$2:$E$3143),
Master_Mapping_Sheet!$C$2:$C$3143=Z$1,
Master_Mapping_Sheet!$K$2:$K$3143=VALUE(RIGH"&amp;"T($A2,1))))/sum(filter(
Master_Mapping_Sheet!$E$2:$E$3143, ISNUMBER(
Master_Mapping_Sheet!$E$2:$E$3143),
Master_Mapping_Sheet!$C$2:$C$3143=Z$1)))"),0.0)</f>
        <v>0</v>
      </c>
      <c r="AA2" s="34">
        <f>IFERROR(__xludf.DUMMYFUNCTION("IF(ISNA(sum(filter(
Master_Mapping_Sheet!$E$2:$E$3143, ISNUMBER(
Master_Mapping_Sheet!$E$2:$E$3143),
Master_Mapping_Sheet!$C$2:$C$3143=AA$1,
Master_Mapping_Sheet!$K$2:$K$3143=VALUE(RIGHT($A2,1))))/sum(filter(
Master_Mapping_Sheet!$E$2:$E$3143, ISNUMBER(
M"&amp;"aster_Mapping_Sheet!$E$2:$E$3143),
Master_Mapping_Sheet!$C$2:$C$3143=AA$1))), 0, sum(filter(
Master_Mapping_Sheet!$E$2:$E$3143, ISNUMBER(
Master_Mapping_Sheet!$E$2:$E$3143),
Master_Mapping_Sheet!$C$2:$C$3143=AA$1,
Master_Mapping_Sheet!$K$2:$K$3143=VALUE(R"&amp;"IGHT($A2,1))))/sum(filter(
Master_Mapping_Sheet!$E$2:$E$3143, ISNUMBER(
Master_Mapping_Sheet!$E$2:$E$3143),
Master_Mapping_Sheet!$C$2:$C$3143=AA$1)))"),0.0)</f>
        <v>0</v>
      </c>
      <c r="AB2" s="34">
        <f>IFERROR(__xludf.DUMMYFUNCTION("IF(ISNA(sum(filter(
Master_Mapping_Sheet!$E$2:$E$3143, ISNUMBER(
Master_Mapping_Sheet!$E$2:$E$3143),
Master_Mapping_Sheet!$C$2:$C$3143=AB$1,
Master_Mapping_Sheet!$K$2:$K$3143=VALUE(RIGHT($A2,1))))/sum(filter(
Master_Mapping_Sheet!$E$2:$E$3143, ISNUMBER(
M"&amp;"aster_Mapping_Sheet!$E$2:$E$3143),
Master_Mapping_Sheet!$C$2:$C$3143=AB$1))), 0, sum(filter(
Master_Mapping_Sheet!$E$2:$E$3143, ISNUMBER(
Master_Mapping_Sheet!$E$2:$E$3143),
Master_Mapping_Sheet!$C$2:$C$3143=AB$1,
Master_Mapping_Sheet!$K$2:$K$3143=VALUE(R"&amp;"IGHT($A2,1))))/sum(filter(
Master_Mapping_Sheet!$E$2:$E$3143, ISNUMBER(
Master_Mapping_Sheet!$E$2:$E$3143),
Master_Mapping_Sheet!$C$2:$C$3143=AB$1)))"),1.0)</f>
        <v>1</v>
      </c>
      <c r="AC2" s="34">
        <f>IFERROR(__xludf.DUMMYFUNCTION("IF(ISNA(sum(filter(
Master_Mapping_Sheet!$E$2:$E$3143, ISNUMBER(
Master_Mapping_Sheet!$E$2:$E$3143),
Master_Mapping_Sheet!$C$2:$C$3143=AC$1,
Master_Mapping_Sheet!$K$2:$K$3143=VALUE(RIGHT($A2,1))))/sum(filter(
Master_Mapping_Sheet!$E$2:$E$3143, ISNUMBER(
M"&amp;"aster_Mapping_Sheet!$E$2:$E$3143),
Master_Mapping_Sheet!$C$2:$C$3143=AC$1))), 0, sum(filter(
Master_Mapping_Sheet!$E$2:$E$3143, ISNUMBER(
Master_Mapping_Sheet!$E$2:$E$3143),
Master_Mapping_Sheet!$C$2:$C$3143=AC$1,
Master_Mapping_Sheet!$K$2:$K$3143=VALUE(R"&amp;"IGHT($A2,1))))/sum(filter(
Master_Mapping_Sheet!$E$2:$E$3143, ISNUMBER(
Master_Mapping_Sheet!$E$2:$E$3143),
Master_Mapping_Sheet!$C$2:$C$3143=AC$1)))"),0.01258959986938802)</f>
        <v>0.01258959987</v>
      </c>
      <c r="AD2" s="34">
        <f>IFERROR(__xludf.DUMMYFUNCTION("IF(ISNA(sum(filter(
Master_Mapping_Sheet!$E$2:$E$3143, ISNUMBER(
Master_Mapping_Sheet!$E$2:$E$3143),
Master_Mapping_Sheet!$C$2:$C$3143=AD$1,
Master_Mapping_Sheet!$K$2:$K$3143=VALUE(RIGHT($A2,1))))/sum(filter(
Master_Mapping_Sheet!$E$2:$E$3143, ISNUMBER(
M"&amp;"aster_Mapping_Sheet!$E$2:$E$3143),
Master_Mapping_Sheet!$C$2:$C$3143=AD$1))), 0, sum(filter(
Master_Mapping_Sheet!$E$2:$E$3143, ISNUMBER(
Master_Mapping_Sheet!$E$2:$E$3143),
Master_Mapping_Sheet!$C$2:$C$3143=AD$1,
Master_Mapping_Sheet!$K$2:$K$3143=VALUE(R"&amp;"IGHT($A2,1))))/sum(filter(
Master_Mapping_Sheet!$E$2:$E$3143, ISNUMBER(
Master_Mapping_Sheet!$E$2:$E$3143),
Master_Mapping_Sheet!$C$2:$C$3143=AD$1)))"),0.02026563345288425)</f>
        <v>0.02026563345</v>
      </c>
      <c r="AE2" s="34">
        <f>IFERROR(__xludf.DUMMYFUNCTION("IF(ISNA(sum(filter(
Master_Mapping_Sheet!$E$2:$E$3143, ISNUMBER(
Master_Mapping_Sheet!$E$2:$E$3143),
Master_Mapping_Sheet!$C$2:$C$3143=AE$1,
Master_Mapping_Sheet!$K$2:$K$3143=VALUE(RIGHT($A2,1))))/sum(filter(
Master_Mapping_Sheet!$E$2:$E$3143, ISNUMBER(
M"&amp;"aster_Mapping_Sheet!$E$2:$E$3143),
Master_Mapping_Sheet!$C$2:$C$3143=AE$1))), 0, sum(filter(
Master_Mapping_Sheet!$E$2:$E$3143, ISNUMBER(
Master_Mapping_Sheet!$E$2:$E$3143),
Master_Mapping_Sheet!$C$2:$C$3143=AE$1,
Master_Mapping_Sheet!$K$2:$K$3143=VALUE(R"&amp;"IGHT($A2,1))))/sum(filter(
Master_Mapping_Sheet!$E$2:$E$3143, ISNUMBER(
Master_Mapping_Sheet!$E$2:$E$3143),
Master_Mapping_Sheet!$C$2:$C$3143=AE$1)))"),1.0)</f>
        <v>1</v>
      </c>
      <c r="AF2" s="34">
        <f>IFERROR(__xludf.DUMMYFUNCTION("IF(ISNA(sum(filter(
Master_Mapping_Sheet!$E$2:$E$3143, ISNUMBER(
Master_Mapping_Sheet!$E$2:$E$3143),
Master_Mapping_Sheet!$C$2:$C$3143=AF$1,
Master_Mapping_Sheet!$K$2:$K$3143=VALUE(RIGHT($A2,1))))/sum(filter(
Master_Mapping_Sheet!$E$2:$E$3143, ISNUMBER(
M"&amp;"aster_Mapping_Sheet!$E$2:$E$3143),
Master_Mapping_Sheet!$C$2:$C$3143=AF$1))), 0, sum(filter(
Master_Mapping_Sheet!$E$2:$E$3143, ISNUMBER(
Master_Mapping_Sheet!$E$2:$E$3143),
Master_Mapping_Sheet!$C$2:$C$3143=AF$1,
Master_Mapping_Sheet!$K$2:$K$3143=VALUE(R"&amp;"IGHT($A2,1))))/sum(filter(
Master_Mapping_Sheet!$E$2:$E$3143, ISNUMBER(
Master_Mapping_Sheet!$E$2:$E$3143),
Master_Mapping_Sheet!$C$2:$C$3143=AF$1)))"),0.0)</f>
        <v>0</v>
      </c>
      <c r="AG2" s="34">
        <f>IFERROR(__xludf.DUMMYFUNCTION("IF(ISNA(sum(filter(
Master_Mapping_Sheet!$E$2:$E$3143, ISNUMBER(
Master_Mapping_Sheet!$E$2:$E$3143),
Master_Mapping_Sheet!$C$2:$C$3143=AG$1,
Master_Mapping_Sheet!$K$2:$K$3143=VALUE(RIGHT($A2,1))))/sum(filter(
Master_Mapping_Sheet!$E$2:$E$3143, ISNUMBER(
M"&amp;"aster_Mapping_Sheet!$E$2:$E$3143),
Master_Mapping_Sheet!$C$2:$C$3143=AG$1))), 0, sum(filter(
Master_Mapping_Sheet!$E$2:$E$3143, ISNUMBER(
Master_Mapping_Sheet!$E$2:$E$3143),
Master_Mapping_Sheet!$C$2:$C$3143=AG$1,
Master_Mapping_Sheet!$K$2:$K$3143=VALUE(R"&amp;"IGHT($A2,1))))/sum(filter(
Master_Mapping_Sheet!$E$2:$E$3143, ISNUMBER(
Master_Mapping_Sheet!$E$2:$E$3143),
Master_Mapping_Sheet!$C$2:$C$3143=AG$1)))"),0.018221967667925828)</f>
        <v>0.01822196767</v>
      </c>
      <c r="AH2" s="34">
        <f>IFERROR(__xludf.DUMMYFUNCTION("IF(ISNA(sum(filter(
Master_Mapping_Sheet!$E$2:$E$3143, ISNUMBER(
Master_Mapping_Sheet!$E$2:$E$3143),
Master_Mapping_Sheet!$C$2:$C$3143=AH$1,
Master_Mapping_Sheet!$K$2:$K$3143=VALUE(RIGHT($A2,1))))/sum(filter(
Master_Mapping_Sheet!$E$2:$E$3143, ISNUMBER(
M"&amp;"aster_Mapping_Sheet!$E$2:$E$3143),
Master_Mapping_Sheet!$C$2:$C$3143=AH$1))), 0, sum(filter(
Master_Mapping_Sheet!$E$2:$E$3143, ISNUMBER(
Master_Mapping_Sheet!$E$2:$E$3143),
Master_Mapping_Sheet!$C$2:$C$3143=AH$1,
Master_Mapping_Sheet!$K$2:$K$3143=VALUE(R"&amp;"IGHT($A2,1))))/sum(filter(
Master_Mapping_Sheet!$E$2:$E$3143, ISNUMBER(
Master_Mapping_Sheet!$E$2:$E$3143),
Master_Mapping_Sheet!$C$2:$C$3143=AH$1)))"),0.10730043549670087)</f>
        <v>0.1073004355</v>
      </c>
      <c r="AI2" s="34">
        <f>IFERROR(__xludf.DUMMYFUNCTION("IF(ISNA(sum(filter(
Master_Mapping_Sheet!$E$2:$E$3143, ISNUMBER(
Master_Mapping_Sheet!$E$2:$E$3143),
Master_Mapping_Sheet!$C$2:$C$3143=AI$1,
Master_Mapping_Sheet!$K$2:$K$3143=VALUE(RIGHT($A2,1))))/sum(filter(
Master_Mapping_Sheet!$E$2:$E$3143, ISNUMBER(
M"&amp;"aster_Mapping_Sheet!$E$2:$E$3143),
Master_Mapping_Sheet!$C$2:$C$3143=AI$1))), 0, sum(filter(
Master_Mapping_Sheet!$E$2:$E$3143, ISNUMBER(
Master_Mapping_Sheet!$E$2:$E$3143),
Master_Mapping_Sheet!$C$2:$C$3143=AI$1,
Master_Mapping_Sheet!$K$2:$K$3143=VALUE(R"&amp;"IGHT($A2,1))))/sum(filter(
Master_Mapping_Sheet!$E$2:$E$3143, ISNUMBER(
Master_Mapping_Sheet!$E$2:$E$3143),
Master_Mapping_Sheet!$C$2:$C$3143=AI$1)))"),0.0)</f>
        <v>0</v>
      </c>
      <c r="AJ2" s="34">
        <f>IFERROR(__xludf.DUMMYFUNCTION("IF(ISNA(sum(filter(
Master_Mapping_Sheet!$E$2:$E$3143, ISNUMBER(
Master_Mapping_Sheet!$E$2:$E$3143),
Master_Mapping_Sheet!$C$2:$C$3143=AJ$1,
Master_Mapping_Sheet!$K$2:$K$3143=VALUE(RIGHT($A2,1))))/sum(filter(
Master_Mapping_Sheet!$E$2:$E$3143, ISNUMBER(
M"&amp;"aster_Mapping_Sheet!$E$2:$E$3143),
Master_Mapping_Sheet!$C$2:$C$3143=AJ$1))), 0, sum(filter(
Master_Mapping_Sheet!$E$2:$E$3143, ISNUMBER(
Master_Mapping_Sheet!$E$2:$E$3143),
Master_Mapping_Sheet!$C$2:$C$3143=AJ$1,
Master_Mapping_Sheet!$K$2:$K$3143=VALUE(R"&amp;"IGHT($A2,1))))/sum(filter(
Master_Mapping_Sheet!$E$2:$E$3143, ISNUMBER(
Master_Mapping_Sheet!$E$2:$E$3143),
Master_Mapping_Sheet!$C$2:$C$3143=AJ$1)))"),1.0)</f>
        <v>1</v>
      </c>
      <c r="AK2" s="34">
        <f>IFERROR(__xludf.DUMMYFUNCTION("IF(ISNA(sum(filter(
Master_Mapping_Sheet!$E$2:$E$3143, ISNUMBER(
Master_Mapping_Sheet!$E$2:$E$3143),
Master_Mapping_Sheet!$C$2:$C$3143=AK$1,
Master_Mapping_Sheet!$K$2:$K$3143=VALUE(RIGHT($A2,1))))/sum(filter(
Master_Mapping_Sheet!$E$2:$E$3143, ISNUMBER(
M"&amp;"aster_Mapping_Sheet!$E$2:$E$3143),
Master_Mapping_Sheet!$C$2:$C$3143=AK$1))), 0, sum(filter(
Master_Mapping_Sheet!$E$2:$E$3143, ISNUMBER(
Master_Mapping_Sheet!$E$2:$E$3143),
Master_Mapping_Sheet!$C$2:$C$3143=AK$1,
Master_Mapping_Sheet!$K$2:$K$3143=VALUE(R"&amp;"IGHT($A2,1))))/sum(filter(
Master_Mapping_Sheet!$E$2:$E$3143, ISNUMBER(
Master_Mapping_Sheet!$E$2:$E$3143),
Master_Mapping_Sheet!$C$2:$C$3143=AK$1)))"),0.0)</f>
        <v>0</v>
      </c>
      <c r="AL2" s="34">
        <f>IFERROR(__xludf.DUMMYFUNCTION("IF(ISNA(sum(filter(
Master_Mapping_Sheet!$E$2:$E$3143, ISNUMBER(
Master_Mapping_Sheet!$E$2:$E$3143),
Master_Mapping_Sheet!$C$2:$C$3143=AL$1,
Master_Mapping_Sheet!$K$2:$K$3143=VALUE(RIGHT($A2,1))))/sum(filter(
Master_Mapping_Sheet!$E$2:$E$3143, ISNUMBER(
M"&amp;"aster_Mapping_Sheet!$E$2:$E$3143),
Master_Mapping_Sheet!$C$2:$C$3143=AL$1))), 0, sum(filter(
Master_Mapping_Sheet!$E$2:$E$3143, ISNUMBER(
Master_Mapping_Sheet!$E$2:$E$3143),
Master_Mapping_Sheet!$C$2:$C$3143=AL$1,
Master_Mapping_Sheet!$K$2:$K$3143=VALUE(R"&amp;"IGHT($A2,1))))/sum(filter(
Master_Mapping_Sheet!$E$2:$E$3143, ISNUMBER(
Master_Mapping_Sheet!$E$2:$E$3143),
Master_Mapping_Sheet!$C$2:$C$3143=AL$1)))"),0.0)</f>
        <v>0</v>
      </c>
      <c r="AM2" s="34">
        <f>IFERROR(__xludf.DUMMYFUNCTION("IF(ISNA(sum(filter(
Master_Mapping_Sheet!$E$2:$E$3143, ISNUMBER(
Master_Mapping_Sheet!$E$2:$E$3143),
Master_Mapping_Sheet!$C$2:$C$3143=AM$1,
Master_Mapping_Sheet!$K$2:$K$3143=VALUE(RIGHT($A2,1))))/sum(filter(
Master_Mapping_Sheet!$E$2:$E$3143, ISNUMBER(
M"&amp;"aster_Mapping_Sheet!$E$2:$E$3143),
Master_Mapping_Sheet!$C$2:$C$3143=AM$1))), 0, sum(filter(
Master_Mapping_Sheet!$E$2:$E$3143, ISNUMBER(
Master_Mapping_Sheet!$E$2:$E$3143),
Master_Mapping_Sheet!$C$2:$C$3143=AM$1,
Master_Mapping_Sheet!$K$2:$K$3143=VALUE(R"&amp;"IGHT($A2,1))))/sum(filter(
Master_Mapping_Sheet!$E$2:$E$3143, ISNUMBER(
Master_Mapping_Sheet!$E$2:$E$3143),
Master_Mapping_Sheet!$C$2:$C$3143=AM$1)))"),0.011228438511460642)</f>
        <v>0.01122843851</v>
      </c>
      <c r="AN2" s="34">
        <f>IFERROR(__xludf.DUMMYFUNCTION("IF(ISNA(sum(filter(
Master_Mapping_Sheet!$E$2:$E$3143, ISNUMBER(
Master_Mapping_Sheet!$E$2:$E$3143),
Master_Mapping_Sheet!$C$2:$C$3143=AN$1,
Master_Mapping_Sheet!$K$2:$K$3143=VALUE(RIGHT($A2,1))))/sum(filter(
Master_Mapping_Sheet!$E$2:$E$3143, ISNUMBER(
M"&amp;"aster_Mapping_Sheet!$E$2:$E$3143),
Master_Mapping_Sheet!$C$2:$C$3143=AN$1))), 0, sum(filter(
Master_Mapping_Sheet!$E$2:$E$3143, ISNUMBER(
Master_Mapping_Sheet!$E$2:$E$3143),
Master_Mapping_Sheet!$C$2:$C$3143=AN$1,
Master_Mapping_Sheet!$K$2:$K$3143=VALUE(R"&amp;"IGHT($A2,1))))/sum(filter(
Master_Mapping_Sheet!$E$2:$E$3143, ISNUMBER(
Master_Mapping_Sheet!$E$2:$E$3143),
Master_Mapping_Sheet!$C$2:$C$3143=AN$1)))"),0.03141204733984005)</f>
        <v>0.03141204734</v>
      </c>
      <c r="AO2" s="34">
        <f>IFERROR(__xludf.DUMMYFUNCTION("IF(ISNA(sum(filter(
Master_Mapping_Sheet!$E$2:$E$3143, ISNUMBER(
Master_Mapping_Sheet!$E$2:$E$3143),
Master_Mapping_Sheet!$C$2:$C$3143=AO$1,
Master_Mapping_Sheet!$K$2:$K$3143=VALUE(RIGHT($A2,1))))/sum(filter(
Master_Mapping_Sheet!$E$2:$E$3143, ISNUMBER(
M"&amp;"aster_Mapping_Sheet!$E$2:$E$3143),
Master_Mapping_Sheet!$C$2:$C$3143=AO$1))), 0, sum(filter(
Master_Mapping_Sheet!$E$2:$E$3143, ISNUMBER(
Master_Mapping_Sheet!$E$2:$E$3143),
Master_Mapping_Sheet!$C$2:$C$3143=AO$1,
Master_Mapping_Sheet!$K$2:$K$3143=VALUE(R"&amp;"IGHT($A2,1))))/sum(filter(
Master_Mapping_Sheet!$E$2:$E$3143, ISNUMBER(
Master_Mapping_Sheet!$E$2:$E$3143),
Master_Mapping_Sheet!$C$2:$C$3143=AO$1)))"),0.0)</f>
        <v>0</v>
      </c>
      <c r="AP2" s="34">
        <f>IFERROR(__xludf.DUMMYFUNCTION("IF(ISNA(sum(filter(
Master_Mapping_Sheet!$E$2:$E$3143, ISNUMBER(
Master_Mapping_Sheet!$E$2:$E$3143),
Master_Mapping_Sheet!$C$2:$C$3143=AP$1,
Master_Mapping_Sheet!$K$2:$K$3143=VALUE(RIGHT($A2,1))))/sum(filter(
Master_Mapping_Sheet!$E$2:$E$3143, ISNUMBER(
M"&amp;"aster_Mapping_Sheet!$E$2:$E$3143),
Master_Mapping_Sheet!$C$2:$C$3143=AP$1))), 0, sum(filter(
Master_Mapping_Sheet!$E$2:$E$3143, ISNUMBER(
Master_Mapping_Sheet!$E$2:$E$3143),
Master_Mapping_Sheet!$C$2:$C$3143=AP$1,
Master_Mapping_Sheet!$K$2:$K$3143=VALUE(R"&amp;"IGHT($A2,1))))/sum(filter(
Master_Mapping_Sheet!$E$2:$E$3143, ISNUMBER(
Master_Mapping_Sheet!$E$2:$E$3143),
Master_Mapping_Sheet!$C$2:$C$3143=AP$1)))"),0.0)</f>
        <v>0</v>
      </c>
      <c r="AQ2" s="34">
        <f>IFERROR(__xludf.DUMMYFUNCTION("IF(ISNA(sum(filter(
Master_Mapping_Sheet!$E$2:$E$3143, ISNUMBER(
Master_Mapping_Sheet!$E$2:$E$3143),
Master_Mapping_Sheet!$C$2:$C$3143=AQ$1,
Master_Mapping_Sheet!$K$2:$K$3143=VALUE(RIGHT($A2,1))))/sum(filter(
Master_Mapping_Sheet!$E$2:$E$3143, ISNUMBER(
M"&amp;"aster_Mapping_Sheet!$E$2:$E$3143),
Master_Mapping_Sheet!$C$2:$C$3143=AQ$1))), 0, sum(filter(
Master_Mapping_Sheet!$E$2:$E$3143, ISNUMBER(
Master_Mapping_Sheet!$E$2:$E$3143),
Master_Mapping_Sheet!$C$2:$C$3143=AQ$1,
Master_Mapping_Sheet!$K$2:$K$3143=VALUE(R"&amp;"IGHT($A2,1))))/sum(filter(
Master_Mapping_Sheet!$E$2:$E$3143, ISNUMBER(
Master_Mapping_Sheet!$E$2:$E$3143),
Master_Mapping_Sheet!$C$2:$C$3143=AQ$1)))"),0.8809574053809455)</f>
        <v>0.8809574054</v>
      </c>
      <c r="AR2" s="34">
        <f>IFERROR(__xludf.DUMMYFUNCTION("IF(ISNA(sum(filter(
Master_Mapping_Sheet!$E$2:$E$3143, ISNUMBER(
Master_Mapping_Sheet!$E$2:$E$3143),
Master_Mapping_Sheet!$C$2:$C$3143=AR$1,
Master_Mapping_Sheet!$K$2:$K$3143=VALUE(RIGHT($A2,1))))/sum(filter(
Master_Mapping_Sheet!$E$2:$E$3143, ISNUMBER(
M"&amp;"aster_Mapping_Sheet!$E$2:$E$3143),
Master_Mapping_Sheet!$C$2:$C$3143=AR$1))), 0, sum(filter(
Master_Mapping_Sheet!$E$2:$E$3143, ISNUMBER(
Master_Mapping_Sheet!$E$2:$E$3143),
Master_Mapping_Sheet!$C$2:$C$3143=AR$1,
Master_Mapping_Sheet!$K$2:$K$3143=VALUE(R"&amp;"IGHT($A2,1))))/sum(filter(
Master_Mapping_Sheet!$E$2:$E$3143, ISNUMBER(
Master_Mapping_Sheet!$E$2:$E$3143),
Master_Mapping_Sheet!$C$2:$C$3143=AR$1)))"),0.0)</f>
        <v>0</v>
      </c>
      <c r="AS2" s="34">
        <f>IFERROR(__xludf.DUMMYFUNCTION("IF(ISNA(sum(filter(
Master_Mapping_Sheet!$E$2:$E$3143, ISNUMBER(
Master_Mapping_Sheet!$E$2:$E$3143),
Master_Mapping_Sheet!$C$2:$C$3143=AS$1,
Master_Mapping_Sheet!$K$2:$K$3143=VALUE(RIGHT($A2,1))))/sum(filter(
Master_Mapping_Sheet!$E$2:$E$3143, ISNUMBER(
M"&amp;"aster_Mapping_Sheet!$E$2:$E$3143),
Master_Mapping_Sheet!$C$2:$C$3143=AS$1))), 0, sum(filter(
Master_Mapping_Sheet!$E$2:$E$3143, ISNUMBER(
Master_Mapping_Sheet!$E$2:$E$3143),
Master_Mapping_Sheet!$C$2:$C$3143=AS$1,
Master_Mapping_Sheet!$K$2:$K$3143=VALUE(R"&amp;"IGHT($A2,1))))/sum(filter(
Master_Mapping_Sheet!$E$2:$E$3143, ISNUMBER(
Master_Mapping_Sheet!$E$2:$E$3143),
Master_Mapping_Sheet!$C$2:$C$3143=AS$1)))"),0.0)</f>
        <v>0</v>
      </c>
      <c r="AT2" s="34">
        <f>IFERROR(__xludf.DUMMYFUNCTION("IF(ISNA(sum(filter(
Master_Mapping_Sheet!$E$2:$E$3143, ISNUMBER(
Master_Mapping_Sheet!$E$2:$E$3143),
Master_Mapping_Sheet!$C$2:$C$3143=AT$1,
Master_Mapping_Sheet!$K$2:$K$3143=VALUE(RIGHT($A2,1))))/sum(filter(
Master_Mapping_Sheet!$E$2:$E$3143, ISNUMBER(
M"&amp;"aster_Mapping_Sheet!$E$2:$E$3143),
Master_Mapping_Sheet!$C$2:$C$3143=AT$1))), 0, sum(filter(
Master_Mapping_Sheet!$E$2:$E$3143, ISNUMBER(
Master_Mapping_Sheet!$E$2:$E$3143),
Master_Mapping_Sheet!$C$2:$C$3143=AT$1,
Master_Mapping_Sheet!$K$2:$K$3143=VALUE(R"&amp;"IGHT($A2,1))))/sum(filter(
Master_Mapping_Sheet!$E$2:$E$3143, ISNUMBER(
Master_Mapping_Sheet!$E$2:$E$3143),
Master_Mapping_Sheet!$C$2:$C$3143=AT$1)))"),0.08695293431261766)</f>
        <v>0.08695293431</v>
      </c>
      <c r="AU2" s="34">
        <f>IFERROR(__xludf.DUMMYFUNCTION("IF(ISNA(sum(filter(
Master_Mapping_Sheet!$E$2:$E$3143, ISNUMBER(
Master_Mapping_Sheet!$E$2:$E$3143),
Master_Mapping_Sheet!$C$2:$C$3143=AU$1,
Master_Mapping_Sheet!$K$2:$K$3143=VALUE(RIGHT($A2,1))))/sum(filter(
Master_Mapping_Sheet!$E$2:$E$3143, ISNUMBER(
M"&amp;"aster_Mapping_Sheet!$E$2:$E$3143),
Master_Mapping_Sheet!$C$2:$C$3143=AU$1))), 0, sum(filter(
Master_Mapping_Sheet!$E$2:$E$3143, ISNUMBER(
Master_Mapping_Sheet!$E$2:$E$3143),
Master_Mapping_Sheet!$C$2:$C$3143=AU$1,
Master_Mapping_Sheet!$K$2:$K$3143=VALUE(R"&amp;"IGHT($A2,1))))/sum(filter(
Master_Mapping_Sheet!$E$2:$E$3143, ISNUMBER(
Master_Mapping_Sheet!$E$2:$E$3143),
Master_Mapping_Sheet!$C$2:$C$3143=AU$1)))"),1.0)</f>
        <v>1</v>
      </c>
      <c r="AV2" s="34">
        <f>IFERROR(__xludf.DUMMYFUNCTION("IF(ISNA(sum(filter(
Master_Mapping_Sheet!$E$2:$E$3143, ISNUMBER(
Master_Mapping_Sheet!$E$2:$E$3143),
Master_Mapping_Sheet!$C$2:$C$3143=AV$1,
Master_Mapping_Sheet!$K$2:$K$3143=VALUE(RIGHT($A2,1))))/sum(filter(
Master_Mapping_Sheet!$E$2:$E$3143, ISNUMBER(
M"&amp;"aster_Mapping_Sheet!$E$2:$E$3143),
Master_Mapping_Sheet!$C$2:$C$3143=AV$1))), 0, sum(filter(
Master_Mapping_Sheet!$E$2:$E$3143, ISNUMBER(
Master_Mapping_Sheet!$E$2:$E$3143),
Master_Mapping_Sheet!$C$2:$C$3143=AV$1,
Master_Mapping_Sheet!$K$2:$K$3143=VALUE(R"&amp;"IGHT($A2,1))))/sum(filter(
Master_Mapping_Sheet!$E$2:$E$3143, ISNUMBER(
Master_Mapping_Sheet!$E$2:$E$3143),
Master_Mapping_Sheet!$C$2:$C$3143=AV$1)))"),0.0)</f>
        <v>0</v>
      </c>
      <c r="AW2" s="34">
        <f>IFERROR(__xludf.DUMMYFUNCTION("IF(ISNA(sum(filter(
Master_Mapping_Sheet!$E$2:$E$3143, ISNUMBER(
Master_Mapping_Sheet!$E$2:$E$3143),
Master_Mapping_Sheet!$C$2:$C$3143=AW$1,
Master_Mapping_Sheet!$K$2:$K$3143=VALUE(RIGHT($A2,1))))/sum(filter(
Master_Mapping_Sheet!$E$2:$E$3143, ISNUMBER(
M"&amp;"aster_Mapping_Sheet!$E$2:$E$3143),
Master_Mapping_Sheet!$C$2:$C$3143=AW$1))), 0, sum(filter(
Master_Mapping_Sheet!$E$2:$E$3143, ISNUMBER(
Master_Mapping_Sheet!$E$2:$E$3143),
Master_Mapping_Sheet!$C$2:$C$3143=AW$1,
Master_Mapping_Sheet!$K$2:$K$3143=VALUE(R"&amp;"IGHT($A2,1))))/sum(filter(
Master_Mapping_Sheet!$E$2:$E$3143, ISNUMBER(
Master_Mapping_Sheet!$E$2:$E$3143),
Master_Mapping_Sheet!$C$2:$C$3143=AW$1)))"),0.016145774669520073)</f>
        <v>0.01614577467</v>
      </c>
      <c r="AX2" s="34">
        <f>IFERROR(__xludf.DUMMYFUNCTION("IF(ISNA(sum(filter(
Master_Mapping_Sheet!$E$2:$E$3143, ISNUMBER(
Master_Mapping_Sheet!$E$2:$E$3143),
Master_Mapping_Sheet!$C$2:$C$3143=AX$1,
Master_Mapping_Sheet!$K$2:$K$3143=VALUE(RIGHT($A2,1))))/sum(filter(
Master_Mapping_Sheet!$E$2:$E$3143, ISNUMBER(
M"&amp;"aster_Mapping_Sheet!$E$2:$E$3143),
Master_Mapping_Sheet!$C$2:$C$3143=AX$1))), 0, sum(filter(
Master_Mapping_Sheet!$E$2:$E$3143, ISNUMBER(
Master_Mapping_Sheet!$E$2:$E$3143),
Master_Mapping_Sheet!$C$2:$C$3143=AX$1,
Master_Mapping_Sheet!$K$2:$K$3143=VALUE(R"&amp;"IGHT($A2,1))))/sum(filter(
Master_Mapping_Sheet!$E$2:$E$3143, ISNUMBER(
Master_Mapping_Sheet!$E$2:$E$3143),
Master_Mapping_Sheet!$C$2:$C$3143=AX$1)))"),0.0)</f>
        <v>0</v>
      </c>
      <c r="AY2" s="34">
        <f>IFERROR(__xludf.DUMMYFUNCTION("IF(ISNA(sum(filter(
Master_Mapping_Sheet!$E$2:$E$3143, ISNUMBER(
Master_Mapping_Sheet!$E$2:$E$3143),
Master_Mapping_Sheet!$C$2:$C$3143=AY$1,
Master_Mapping_Sheet!$K$2:$K$3143=VALUE(RIGHT($A2,1))))/sum(filter(
Master_Mapping_Sheet!$E$2:$E$3143, ISNUMBER(
M"&amp;"aster_Mapping_Sheet!$E$2:$E$3143),
Master_Mapping_Sheet!$C$2:$C$3143=AY$1))), 0, sum(filter(
Master_Mapping_Sheet!$E$2:$E$3143, ISNUMBER(
Master_Mapping_Sheet!$E$2:$E$3143),
Master_Mapping_Sheet!$C$2:$C$3143=AY$1,
Master_Mapping_Sheet!$K$2:$K$3143=VALUE(R"&amp;"IGHT($A2,1))))/sum(filter(
Master_Mapping_Sheet!$E$2:$E$3143, ISNUMBER(
Master_Mapping_Sheet!$E$2:$E$3143),
Master_Mapping_Sheet!$C$2:$C$3143=AY$1)))"),1.0)</f>
        <v>1</v>
      </c>
      <c r="AZ2" s="34">
        <f>IFERROR(__xludf.DUMMYFUNCTION("IF(ISNA(sum(filter(
Master_Mapping_Sheet!$E$2:$E$3143, ISNUMBER(
Master_Mapping_Sheet!$E$2:$E$3143),
Master_Mapping_Sheet!$C$2:$C$3143=AZ$1,
Master_Mapping_Sheet!$K$2:$K$3143=VALUE(RIGHT($A2,1))))/sum(filter(
Master_Mapping_Sheet!$E$2:$E$3143, ISNUMBER(
M"&amp;"aster_Mapping_Sheet!$E$2:$E$3143),
Master_Mapping_Sheet!$C$2:$C$3143=AZ$1))), 0, sum(filter(
Master_Mapping_Sheet!$E$2:$E$3143, ISNUMBER(
Master_Mapping_Sheet!$E$2:$E$3143),
Master_Mapping_Sheet!$C$2:$C$3143=AZ$1,
Master_Mapping_Sheet!$K$2:$K$3143=VALUE(R"&amp;"IGHT($A2,1))))/sum(filter(
Master_Mapping_Sheet!$E$2:$E$3143, ISNUMBER(
Master_Mapping_Sheet!$E$2:$E$3143),
Master_Mapping_Sheet!$C$2:$C$3143=AZ$1)))"),0.9637227188442224)</f>
        <v>0.9637227188</v>
      </c>
    </row>
    <row r="3" ht="15.75" customHeight="1">
      <c r="A3" s="45" t="s">
        <v>4247</v>
      </c>
      <c r="B3" s="34">
        <f>IFERROR(__xludf.DUMMYFUNCTION("IF(ISNA(sum(filter(
Master_Mapping_Sheet!$E$2:$E$3143, ISNUMBER(
Master_Mapping_Sheet!$E$2:$E$3143),
Master_Mapping_Sheet!$C$2:$C$3143=B$1,
Master_Mapping_Sheet!$K$2:$K$3143=VALUE(RIGHT($A3,1))))/sum(filter(
Master_Mapping_Sheet!$E$2:$E$3143, ISNUMBER(
Ma"&amp;"ster_Mapping_Sheet!$E$2:$E$3143),
Master_Mapping_Sheet!$C$2:$C$3143=B$1))), 0, sum(filter(
Master_Mapping_Sheet!$E$2:$E$3143, ISNUMBER(
Master_Mapping_Sheet!$E$2:$E$3143),
Master_Mapping_Sheet!$C$2:$C$3143=B$1,
Master_Mapping_Sheet!$K$2:$K$3143=VALUE(RIGH"&amp;"T($A3,1))))/sum(filter(
Master_Mapping_Sheet!$E$2:$E$3143, ISNUMBER(
Master_Mapping_Sheet!$E$2:$E$3143),
Master_Mapping_Sheet!$C$2:$C$3143=B$1)))"),0.0)</f>
        <v>0</v>
      </c>
      <c r="C3" s="34">
        <f>IFERROR(__xludf.DUMMYFUNCTION("IF(ISNA(sum(filter(
Master_Mapping_Sheet!$E$2:$E$3143, ISNUMBER(
Master_Mapping_Sheet!$E$2:$E$3143),
Master_Mapping_Sheet!$C$2:$C$3143=C$1,
Master_Mapping_Sheet!$K$2:$K$3143=VALUE(RIGHT($A3,1))))/sum(filter(
Master_Mapping_Sheet!$E$2:$E$3143, ISNUMBER(
Ma"&amp;"ster_Mapping_Sheet!$E$2:$E$3143),
Master_Mapping_Sheet!$C$2:$C$3143=C$1))), 0, sum(filter(
Master_Mapping_Sheet!$E$2:$E$3143, ISNUMBER(
Master_Mapping_Sheet!$E$2:$E$3143),
Master_Mapping_Sheet!$C$2:$C$3143=C$1,
Master_Mapping_Sheet!$K$2:$K$3143=VALUE(RIGH"&amp;"T($A3,1))))/sum(filter(
Master_Mapping_Sheet!$E$2:$E$3143, ISNUMBER(
Master_Mapping_Sheet!$E$2:$E$3143),
Master_Mapping_Sheet!$C$2:$C$3143=C$1)))"),0.0)</f>
        <v>0</v>
      </c>
      <c r="D3" s="34">
        <f>IFERROR(__xludf.DUMMYFUNCTION("IF(ISNA(sum(filter(
Master_Mapping_Sheet!$E$2:$E$3143, ISNUMBER(
Master_Mapping_Sheet!$E$2:$E$3143),
Master_Mapping_Sheet!$C$2:$C$3143=D$1,
Master_Mapping_Sheet!$K$2:$K$3143=VALUE(RIGHT($A3,1))))/sum(filter(
Master_Mapping_Sheet!$E$2:$E$3143, ISNUMBER(
Ma"&amp;"ster_Mapping_Sheet!$E$2:$E$3143),
Master_Mapping_Sheet!$C$2:$C$3143=D$1))), 0, sum(filter(
Master_Mapping_Sheet!$E$2:$E$3143, ISNUMBER(
Master_Mapping_Sheet!$E$2:$E$3143),
Master_Mapping_Sheet!$C$2:$C$3143=D$1,
Master_Mapping_Sheet!$K$2:$K$3143=VALUE(RIGH"&amp;"T($A3,1))))/sum(filter(
Master_Mapping_Sheet!$E$2:$E$3143, ISNUMBER(
Master_Mapping_Sheet!$E$2:$E$3143),
Master_Mapping_Sheet!$C$2:$C$3143=D$1)))"),0.028192477699861558)</f>
        <v>0.0281924777</v>
      </c>
      <c r="E3" s="34">
        <f>IFERROR(__xludf.DUMMYFUNCTION("IF(ISNA(sum(filter(
Master_Mapping_Sheet!$E$2:$E$3143, ISNUMBER(
Master_Mapping_Sheet!$E$2:$E$3143),
Master_Mapping_Sheet!$C$2:$C$3143=E$1,
Master_Mapping_Sheet!$K$2:$K$3143=VALUE(RIGHT($A3,1))))/sum(filter(
Master_Mapping_Sheet!$E$2:$E$3143, ISNUMBER(
Ma"&amp;"ster_Mapping_Sheet!$E$2:$E$3143),
Master_Mapping_Sheet!$C$2:$C$3143=E$1))), 0, sum(filter(
Master_Mapping_Sheet!$E$2:$E$3143, ISNUMBER(
Master_Mapping_Sheet!$E$2:$E$3143),
Master_Mapping_Sheet!$C$2:$C$3143=E$1,
Master_Mapping_Sheet!$K$2:$K$3143=VALUE(RIGH"&amp;"T($A3,1))))/sum(filter(
Master_Mapping_Sheet!$E$2:$E$3143, ISNUMBER(
Master_Mapping_Sheet!$E$2:$E$3143),
Master_Mapping_Sheet!$C$2:$C$3143=E$1)))"),0.0)</f>
        <v>0</v>
      </c>
      <c r="F3" s="34">
        <f>IFERROR(__xludf.DUMMYFUNCTION("IF(ISNA(sum(filter(
Master_Mapping_Sheet!$E$2:$E$3143, ISNUMBER(
Master_Mapping_Sheet!$E$2:$E$3143),
Master_Mapping_Sheet!$C$2:$C$3143=F$1,
Master_Mapping_Sheet!$K$2:$K$3143=VALUE(RIGHT($A3,1))))/sum(filter(
Master_Mapping_Sheet!$E$2:$E$3143, ISNUMBER(
Ma"&amp;"ster_Mapping_Sheet!$E$2:$E$3143),
Master_Mapping_Sheet!$C$2:$C$3143=F$1))), 0, sum(filter(
Master_Mapping_Sheet!$E$2:$E$3143, ISNUMBER(
Master_Mapping_Sheet!$E$2:$E$3143),
Master_Mapping_Sheet!$C$2:$C$3143=F$1,
Master_Mapping_Sheet!$K$2:$K$3143=VALUE(RIGH"&amp;"T($A3,1))))/sum(filter(
Master_Mapping_Sheet!$E$2:$E$3143, ISNUMBER(
Master_Mapping_Sheet!$E$2:$E$3143),
Master_Mapping_Sheet!$C$2:$C$3143=F$1)))"),0.0012316633463101286)</f>
        <v>0.001231663346</v>
      </c>
      <c r="G3" s="34">
        <f>IFERROR(__xludf.DUMMYFUNCTION("IF(ISNA(sum(filter(
Master_Mapping_Sheet!$E$2:$E$3143, ISNUMBER(
Master_Mapping_Sheet!$E$2:$E$3143),
Master_Mapping_Sheet!$C$2:$C$3143=G$1,
Master_Mapping_Sheet!$K$2:$K$3143=VALUE(RIGHT($A3,1))))/sum(filter(
Master_Mapping_Sheet!$E$2:$E$3143, ISNUMBER(
Ma"&amp;"ster_Mapping_Sheet!$E$2:$E$3143),
Master_Mapping_Sheet!$C$2:$C$3143=G$1))), 0, sum(filter(
Master_Mapping_Sheet!$E$2:$E$3143, ISNUMBER(
Master_Mapping_Sheet!$E$2:$E$3143),
Master_Mapping_Sheet!$C$2:$C$3143=G$1,
Master_Mapping_Sheet!$K$2:$K$3143=VALUE(RIGH"&amp;"T($A3,1))))/sum(filter(
Master_Mapping_Sheet!$E$2:$E$3143, ISNUMBER(
Master_Mapping_Sheet!$E$2:$E$3143),
Master_Mapping_Sheet!$C$2:$C$3143=G$1)))"),0.8722160878316186)</f>
        <v>0.8722160878</v>
      </c>
      <c r="H3" s="34">
        <f>IFERROR(__xludf.DUMMYFUNCTION("IF(ISNA(sum(filter(
Master_Mapping_Sheet!$E$2:$E$3143, ISNUMBER(
Master_Mapping_Sheet!$E$2:$E$3143),
Master_Mapping_Sheet!$C$2:$C$3143=H$1,
Master_Mapping_Sheet!$K$2:$K$3143=VALUE(RIGHT($A3,1))))/sum(filter(
Master_Mapping_Sheet!$E$2:$E$3143, ISNUMBER(
Ma"&amp;"ster_Mapping_Sheet!$E$2:$E$3143),
Master_Mapping_Sheet!$C$2:$C$3143=H$1))), 0, sum(filter(
Master_Mapping_Sheet!$E$2:$E$3143, ISNUMBER(
Master_Mapping_Sheet!$E$2:$E$3143),
Master_Mapping_Sheet!$C$2:$C$3143=H$1,
Master_Mapping_Sheet!$K$2:$K$3143=VALUE(RIGH"&amp;"T($A3,1))))/sum(filter(
Master_Mapping_Sheet!$E$2:$E$3143, ISNUMBER(
Master_Mapping_Sheet!$E$2:$E$3143),
Master_Mapping_Sheet!$C$2:$C$3143=H$1)))"),1.0)</f>
        <v>1</v>
      </c>
      <c r="I3" s="34">
        <f>IFERROR(__xludf.DUMMYFUNCTION("IF(ISNA(sum(filter(
Master_Mapping_Sheet!$E$2:$E$3143, ISNUMBER(
Master_Mapping_Sheet!$E$2:$E$3143),
Master_Mapping_Sheet!$C$2:$C$3143=I$1,
Master_Mapping_Sheet!$K$2:$K$3143=VALUE(RIGHT($A3,1))))/sum(filter(
Master_Mapping_Sheet!$E$2:$E$3143, ISNUMBER(
Ma"&amp;"ster_Mapping_Sheet!$E$2:$E$3143),
Master_Mapping_Sheet!$C$2:$C$3143=I$1))), 0, sum(filter(
Master_Mapping_Sheet!$E$2:$E$3143, ISNUMBER(
Master_Mapping_Sheet!$E$2:$E$3143),
Master_Mapping_Sheet!$C$2:$C$3143=I$1,
Master_Mapping_Sheet!$K$2:$K$3143=VALUE(RIGH"&amp;"T($A3,1))))/sum(filter(
Master_Mapping_Sheet!$E$2:$E$3143, ISNUMBER(
Master_Mapping_Sheet!$E$2:$E$3143),
Master_Mapping_Sheet!$C$2:$C$3143=I$1)))"),0.0)</f>
        <v>0</v>
      </c>
      <c r="J3" s="34">
        <f>IFERROR(__xludf.DUMMYFUNCTION("IF(ISNA(sum(filter(
Master_Mapping_Sheet!$E$2:$E$3143, ISNUMBER(
Master_Mapping_Sheet!$E$2:$E$3143),
Master_Mapping_Sheet!$C$2:$C$3143=J$1,
Master_Mapping_Sheet!$K$2:$K$3143=VALUE(RIGHT($A3,1))))/sum(filter(
Master_Mapping_Sheet!$E$2:$E$3143, ISNUMBER(
Ma"&amp;"ster_Mapping_Sheet!$E$2:$E$3143),
Master_Mapping_Sheet!$C$2:$C$3143=J$1))), 0, sum(filter(
Master_Mapping_Sheet!$E$2:$E$3143, ISNUMBER(
Master_Mapping_Sheet!$E$2:$E$3143),
Master_Mapping_Sheet!$C$2:$C$3143=J$1,
Master_Mapping_Sheet!$K$2:$K$3143=VALUE(RIGH"&amp;"T($A3,1))))/sum(filter(
Master_Mapping_Sheet!$E$2:$E$3143, ISNUMBER(
Master_Mapping_Sheet!$E$2:$E$3143),
Master_Mapping_Sheet!$C$2:$C$3143=J$1)))"),0.0)</f>
        <v>0</v>
      </c>
      <c r="K3" s="34">
        <f>IFERROR(__xludf.DUMMYFUNCTION("IF(ISNA(sum(filter(
Master_Mapping_Sheet!$E$2:$E$3143, ISNUMBER(
Master_Mapping_Sheet!$E$2:$E$3143),
Master_Mapping_Sheet!$C$2:$C$3143=K$1,
Master_Mapping_Sheet!$K$2:$K$3143=VALUE(RIGHT($A3,1))))/sum(filter(
Master_Mapping_Sheet!$E$2:$E$3143, ISNUMBER(
Ma"&amp;"ster_Mapping_Sheet!$E$2:$E$3143),
Master_Mapping_Sheet!$C$2:$C$3143=K$1))), 0, sum(filter(
Master_Mapping_Sheet!$E$2:$E$3143, ISNUMBER(
Master_Mapping_Sheet!$E$2:$E$3143),
Master_Mapping_Sheet!$C$2:$C$3143=K$1,
Master_Mapping_Sheet!$K$2:$K$3143=VALUE(RIGH"&amp;"T($A3,1))))/sum(filter(
Master_Mapping_Sheet!$E$2:$E$3143, ISNUMBER(
Master_Mapping_Sheet!$E$2:$E$3143),
Master_Mapping_Sheet!$C$2:$C$3143=K$1)))"),0.0)</f>
        <v>0</v>
      </c>
      <c r="L3" s="34">
        <f>IFERROR(__xludf.DUMMYFUNCTION("IF(ISNA(sum(filter(
Master_Mapping_Sheet!$E$2:$E$3143, ISNUMBER(
Master_Mapping_Sheet!$E$2:$E$3143),
Master_Mapping_Sheet!$C$2:$C$3143=L$1,
Master_Mapping_Sheet!$K$2:$K$3143=VALUE(RIGHT($A3,1))))/sum(filter(
Master_Mapping_Sheet!$E$2:$E$3143, ISNUMBER(
Ma"&amp;"ster_Mapping_Sheet!$E$2:$E$3143),
Master_Mapping_Sheet!$C$2:$C$3143=L$1))), 0, sum(filter(
Master_Mapping_Sheet!$E$2:$E$3143, ISNUMBER(
Master_Mapping_Sheet!$E$2:$E$3143),
Master_Mapping_Sheet!$C$2:$C$3143=L$1,
Master_Mapping_Sheet!$K$2:$K$3143=VALUE(RIGH"&amp;"T($A3,1))))/sum(filter(
Master_Mapping_Sheet!$E$2:$E$3143, ISNUMBER(
Master_Mapping_Sheet!$E$2:$E$3143),
Master_Mapping_Sheet!$C$2:$C$3143=L$1)))"),0.0)</f>
        <v>0</v>
      </c>
      <c r="M3" s="34">
        <f>IFERROR(__xludf.DUMMYFUNCTION("IF(ISNA(sum(filter(
Master_Mapping_Sheet!$E$2:$E$3143, ISNUMBER(
Master_Mapping_Sheet!$E$2:$E$3143),
Master_Mapping_Sheet!$C$2:$C$3143=M$1,
Master_Mapping_Sheet!$K$2:$K$3143=VALUE(RIGHT($A3,1))))/sum(filter(
Master_Mapping_Sheet!$E$2:$E$3143, ISNUMBER(
Ma"&amp;"ster_Mapping_Sheet!$E$2:$E$3143),
Master_Mapping_Sheet!$C$2:$C$3143=M$1))), 0, sum(filter(
Master_Mapping_Sheet!$E$2:$E$3143, ISNUMBER(
Master_Mapping_Sheet!$E$2:$E$3143),
Master_Mapping_Sheet!$C$2:$C$3143=M$1,
Master_Mapping_Sheet!$K$2:$K$3143=VALUE(RIGH"&amp;"T($A3,1))))/sum(filter(
Master_Mapping_Sheet!$E$2:$E$3143, ISNUMBER(
Master_Mapping_Sheet!$E$2:$E$3143),
Master_Mapping_Sheet!$C$2:$C$3143=M$1)))"),0.0)</f>
        <v>0</v>
      </c>
      <c r="N3" s="34">
        <f>IFERROR(__xludf.DUMMYFUNCTION("IF(ISNA(sum(filter(
Master_Mapping_Sheet!$E$2:$E$3143, ISNUMBER(
Master_Mapping_Sheet!$E$2:$E$3143),
Master_Mapping_Sheet!$C$2:$C$3143=N$1,
Master_Mapping_Sheet!$K$2:$K$3143=VALUE(RIGHT($A3,1))))/sum(filter(
Master_Mapping_Sheet!$E$2:$E$3143, ISNUMBER(
Ma"&amp;"ster_Mapping_Sheet!$E$2:$E$3143),
Master_Mapping_Sheet!$C$2:$C$3143=N$1))), 0, sum(filter(
Master_Mapping_Sheet!$E$2:$E$3143, ISNUMBER(
Master_Mapping_Sheet!$E$2:$E$3143),
Master_Mapping_Sheet!$C$2:$C$3143=N$1,
Master_Mapping_Sheet!$K$2:$K$3143=VALUE(RIGH"&amp;"T($A3,1))))/sum(filter(
Master_Mapping_Sheet!$E$2:$E$3143, ISNUMBER(
Master_Mapping_Sheet!$E$2:$E$3143),
Master_Mapping_Sheet!$C$2:$C$3143=N$1)))"),0.6870510188189091)</f>
        <v>0.6870510188</v>
      </c>
      <c r="O3" s="34">
        <f>IFERROR(__xludf.DUMMYFUNCTION("IF(ISNA(sum(filter(
Master_Mapping_Sheet!$E$2:$E$3143, ISNUMBER(
Master_Mapping_Sheet!$E$2:$E$3143),
Master_Mapping_Sheet!$C$2:$C$3143=O$1,
Master_Mapping_Sheet!$K$2:$K$3143=VALUE(RIGHT($A3,1))))/sum(filter(
Master_Mapping_Sheet!$E$2:$E$3143, ISNUMBER(
Ma"&amp;"ster_Mapping_Sheet!$E$2:$E$3143),
Master_Mapping_Sheet!$C$2:$C$3143=O$1))), 0, sum(filter(
Master_Mapping_Sheet!$E$2:$E$3143, ISNUMBER(
Master_Mapping_Sheet!$E$2:$E$3143),
Master_Mapping_Sheet!$C$2:$C$3143=O$1,
Master_Mapping_Sheet!$K$2:$K$3143=VALUE(RIGH"&amp;"T($A3,1))))/sum(filter(
Master_Mapping_Sheet!$E$2:$E$3143, ISNUMBER(
Master_Mapping_Sheet!$E$2:$E$3143),
Master_Mapping_Sheet!$C$2:$C$3143=O$1)))"),0.8943780200449589)</f>
        <v>0.89437802</v>
      </c>
      <c r="P3" s="34">
        <f>IFERROR(__xludf.DUMMYFUNCTION("IF(ISNA(sum(filter(
Master_Mapping_Sheet!$E$2:$E$3143, ISNUMBER(
Master_Mapping_Sheet!$E$2:$E$3143),
Master_Mapping_Sheet!$C$2:$C$3143=P$1,
Master_Mapping_Sheet!$K$2:$K$3143=VALUE(RIGHT($A3,1))))/sum(filter(
Master_Mapping_Sheet!$E$2:$E$3143, ISNUMBER(
Ma"&amp;"ster_Mapping_Sheet!$E$2:$E$3143),
Master_Mapping_Sheet!$C$2:$C$3143=P$1))), 0, sum(filter(
Master_Mapping_Sheet!$E$2:$E$3143, ISNUMBER(
Master_Mapping_Sheet!$E$2:$E$3143),
Master_Mapping_Sheet!$C$2:$C$3143=P$1,
Master_Mapping_Sheet!$K$2:$K$3143=VALUE(RIGH"&amp;"T($A3,1))))/sum(filter(
Master_Mapping_Sheet!$E$2:$E$3143, ISNUMBER(
Master_Mapping_Sheet!$E$2:$E$3143),
Master_Mapping_Sheet!$C$2:$C$3143=P$1)))"),0.8037257444734552)</f>
        <v>0.8037257445</v>
      </c>
      <c r="Q3" s="34">
        <f>IFERROR(__xludf.DUMMYFUNCTION("IF(ISNA(sum(filter(
Master_Mapping_Sheet!$E$2:$E$3143, ISNUMBER(
Master_Mapping_Sheet!$E$2:$E$3143),
Master_Mapping_Sheet!$C$2:$C$3143=Q$1,
Master_Mapping_Sheet!$K$2:$K$3143=VALUE(RIGHT($A3,1))))/sum(filter(
Master_Mapping_Sheet!$E$2:$E$3143, ISNUMBER(
Ma"&amp;"ster_Mapping_Sheet!$E$2:$E$3143),
Master_Mapping_Sheet!$C$2:$C$3143=Q$1))), 0, sum(filter(
Master_Mapping_Sheet!$E$2:$E$3143, ISNUMBER(
Master_Mapping_Sheet!$E$2:$E$3143),
Master_Mapping_Sheet!$C$2:$C$3143=Q$1,
Master_Mapping_Sheet!$K$2:$K$3143=VALUE(RIGH"&amp;"T($A3,1))))/sum(filter(
Master_Mapping_Sheet!$E$2:$E$3143, ISNUMBER(
Master_Mapping_Sheet!$E$2:$E$3143),
Master_Mapping_Sheet!$C$2:$C$3143=Q$1)))"),0.7378135480966036)</f>
        <v>0.7378135481</v>
      </c>
      <c r="R3" s="34">
        <f>IFERROR(__xludf.DUMMYFUNCTION("IF(ISNA(sum(filter(
Master_Mapping_Sheet!$E$2:$E$3143, ISNUMBER(
Master_Mapping_Sheet!$E$2:$E$3143),
Master_Mapping_Sheet!$C$2:$C$3143=R$1,
Master_Mapping_Sheet!$K$2:$K$3143=VALUE(RIGHT($A3,1))))/sum(filter(
Master_Mapping_Sheet!$E$2:$E$3143, ISNUMBER(
Ma"&amp;"ster_Mapping_Sheet!$E$2:$E$3143),
Master_Mapping_Sheet!$C$2:$C$3143=R$1))), 0, sum(filter(
Master_Mapping_Sheet!$E$2:$E$3143, ISNUMBER(
Master_Mapping_Sheet!$E$2:$E$3143),
Master_Mapping_Sheet!$C$2:$C$3143=R$1,
Master_Mapping_Sheet!$K$2:$K$3143=VALUE(RIGH"&amp;"T($A3,1))))/sum(filter(
Master_Mapping_Sheet!$E$2:$E$3143, ISNUMBER(
Master_Mapping_Sheet!$E$2:$E$3143),
Master_Mapping_Sheet!$C$2:$C$3143=R$1)))"),0.04641008846656369)</f>
        <v>0.04641008847</v>
      </c>
      <c r="S3" s="34">
        <f>IFERROR(__xludf.DUMMYFUNCTION("IF(ISNA(sum(filter(
Master_Mapping_Sheet!$E$2:$E$3143, ISNUMBER(
Master_Mapping_Sheet!$E$2:$E$3143),
Master_Mapping_Sheet!$C$2:$C$3143=S$1,
Master_Mapping_Sheet!$K$2:$K$3143=VALUE(RIGHT($A3,1))))/sum(filter(
Master_Mapping_Sheet!$E$2:$E$3143, ISNUMBER(
Ma"&amp;"ster_Mapping_Sheet!$E$2:$E$3143),
Master_Mapping_Sheet!$C$2:$C$3143=S$1))), 0, sum(filter(
Master_Mapping_Sheet!$E$2:$E$3143, ISNUMBER(
Master_Mapping_Sheet!$E$2:$E$3143),
Master_Mapping_Sheet!$C$2:$C$3143=S$1,
Master_Mapping_Sheet!$K$2:$K$3143=VALUE(RIGH"&amp;"T($A3,1))))/sum(filter(
Master_Mapping_Sheet!$E$2:$E$3143, ISNUMBER(
Master_Mapping_Sheet!$E$2:$E$3143),
Master_Mapping_Sheet!$C$2:$C$3143=S$1)))"),0.0)</f>
        <v>0</v>
      </c>
      <c r="T3" s="34">
        <f>IFERROR(__xludf.DUMMYFUNCTION("IF(ISNA(sum(filter(
Master_Mapping_Sheet!$E$2:$E$3143, ISNUMBER(
Master_Mapping_Sheet!$E$2:$E$3143),
Master_Mapping_Sheet!$C$2:$C$3143=T$1,
Master_Mapping_Sheet!$K$2:$K$3143=VALUE(RIGHT($A3,1))))/sum(filter(
Master_Mapping_Sheet!$E$2:$E$3143, ISNUMBER(
Ma"&amp;"ster_Mapping_Sheet!$E$2:$E$3143),
Master_Mapping_Sheet!$C$2:$C$3143=T$1))), 0, sum(filter(
Master_Mapping_Sheet!$E$2:$E$3143, ISNUMBER(
Master_Mapping_Sheet!$E$2:$E$3143),
Master_Mapping_Sheet!$C$2:$C$3143=T$1,
Master_Mapping_Sheet!$K$2:$K$3143=VALUE(RIGH"&amp;"T($A3,1))))/sum(filter(
Master_Mapping_Sheet!$E$2:$E$3143, ISNUMBER(
Master_Mapping_Sheet!$E$2:$E$3143),
Master_Mapping_Sheet!$C$2:$C$3143=T$1)))"),0.0)</f>
        <v>0</v>
      </c>
      <c r="U3" s="34">
        <f>IFERROR(__xludf.DUMMYFUNCTION("IF(ISNA(sum(filter(
Master_Mapping_Sheet!$E$2:$E$3143, ISNUMBER(
Master_Mapping_Sheet!$E$2:$E$3143),
Master_Mapping_Sheet!$C$2:$C$3143=U$1,
Master_Mapping_Sheet!$K$2:$K$3143=VALUE(RIGHT($A3,1))))/sum(filter(
Master_Mapping_Sheet!$E$2:$E$3143, ISNUMBER(
Ma"&amp;"ster_Mapping_Sheet!$E$2:$E$3143),
Master_Mapping_Sheet!$C$2:$C$3143=U$1))), 0, sum(filter(
Master_Mapping_Sheet!$E$2:$E$3143, ISNUMBER(
Master_Mapping_Sheet!$E$2:$E$3143),
Master_Mapping_Sheet!$C$2:$C$3143=U$1,
Master_Mapping_Sheet!$K$2:$K$3143=VALUE(RIGH"&amp;"T($A3,1))))/sum(filter(
Master_Mapping_Sheet!$E$2:$E$3143, ISNUMBER(
Master_Mapping_Sheet!$E$2:$E$3143),
Master_Mapping_Sheet!$C$2:$C$3143=U$1)))"),0.0)</f>
        <v>0</v>
      </c>
      <c r="V3" s="34">
        <f>IFERROR(__xludf.DUMMYFUNCTION("IF(ISNA(sum(filter(
Master_Mapping_Sheet!$E$2:$E$3143, ISNUMBER(
Master_Mapping_Sheet!$E$2:$E$3143),
Master_Mapping_Sheet!$C$2:$C$3143=V$1,
Master_Mapping_Sheet!$K$2:$K$3143=VALUE(RIGHT($A3,1))))/sum(filter(
Master_Mapping_Sheet!$E$2:$E$3143, ISNUMBER(
Ma"&amp;"ster_Mapping_Sheet!$E$2:$E$3143),
Master_Mapping_Sheet!$C$2:$C$3143=V$1))), 0, sum(filter(
Master_Mapping_Sheet!$E$2:$E$3143, ISNUMBER(
Master_Mapping_Sheet!$E$2:$E$3143),
Master_Mapping_Sheet!$C$2:$C$3143=V$1,
Master_Mapping_Sheet!$K$2:$K$3143=VALUE(RIGH"&amp;"T($A3,1))))/sum(filter(
Master_Mapping_Sheet!$E$2:$E$3143, ISNUMBER(
Master_Mapping_Sheet!$E$2:$E$3143),
Master_Mapping_Sheet!$C$2:$C$3143=V$1)))"),0.015484155745727562)</f>
        <v>0.01548415575</v>
      </c>
      <c r="W3" s="34">
        <f>IFERROR(__xludf.DUMMYFUNCTION("IF(ISNA(sum(filter(
Master_Mapping_Sheet!$E$2:$E$3143, ISNUMBER(
Master_Mapping_Sheet!$E$2:$E$3143),
Master_Mapping_Sheet!$C$2:$C$3143=W$1,
Master_Mapping_Sheet!$K$2:$K$3143=VALUE(RIGHT($A3,1))))/sum(filter(
Master_Mapping_Sheet!$E$2:$E$3143, ISNUMBER(
Ma"&amp;"ster_Mapping_Sheet!$E$2:$E$3143),
Master_Mapping_Sheet!$C$2:$C$3143=W$1))), 0, sum(filter(
Master_Mapping_Sheet!$E$2:$E$3143, ISNUMBER(
Master_Mapping_Sheet!$E$2:$E$3143),
Master_Mapping_Sheet!$C$2:$C$3143=W$1,
Master_Mapping_Sheet!$K$2:$K$3143=VALUE(RIGH"&amp;"T($A3,1))))/sum(filter(
Master_Mapping_Sheet!$E$2:$E$3143, ISNUMBER(
Master_Mapping_Sheet!$E$2:$E$3143),
Master_Mapping_Sheet!$C$2:$C$3143=W$1)))"),1.0)</f>
        <v>1</v>
      </c>
      <c r="X3" s="34">
        <f>IFERROR(__xludf.DUMMYFUNCTION("IF(ISNA(sum(filter(
Master_Mapping_Sheet!$E$2:$E$3143, ISNUMBER(
Master_Mapping_Sheet!$E$2:$E$3143),
Master_Mapping_Sheet!$C$2:$C$3143=X$1,
Master_Mapping_Sheet!$K$2:$K$3143=VALUE(RIGHT($A3,1))))/sum(filter(
Master_Mapping_Sheet!$E$2:$E$3143, ISNUMBER(
Ma"&amp;"ster_Mapping_Sheet!$E$2:$E$3143),
Master_Mapping_Sheet!$C$2:$C$3143=X$1))), 0, sum(filter(
Master_Mapping_Sheet!$E$2:$E$3143, ISNUMBER(
Master_Mapping_Sheet!$E$2:$E$3143),
Master_Mapping_Sheet!$C$2:$C$3143=X$1,
Master_Mapping_Sheet!$K$2:$K$3143=VALUE(RIGH"&amp;"T($A3,1))))/sum(filter(
Master_Mapping_Sheet!$E$2:$E$3143, ISNUMBER(
Master_Mapping_Sheet!$E$2:$E$3143),
Master_Mapping_Sheet!$C$2:$C$3143=X$1)))"),0.8671926534539652)</f>
        <v>0.8671926535</v>
      </c>
      <c r="Y3" s="34">
        <f>IFERROR(__xludf.DUMMYFUNCTION("IF(ISNA(sum(filter(
Master_Mapping_Sheet!$E$2:$E$3143, ISNUMBER(
Master_Mapping_Sheet!$E$2:$E$3143),
Master_Mapping_Sheet!$C$2:$C$3143=Y$1,
Master_Mapping_Sheet!$K$2:$K$3143=VALUE(RIGHT($A3,1))))/sum(filter(
Master_Mapping_Sheet!$E$2:$E$3143, ISNUMBER(
Ma"&amp;"ster_Mapping_Sheet!$E$2:$E$3143),
Master_Mapping_Sheet!$C$2:$C$3143=Y$1))), 0, sum(filter(
Master_Mapping_Sheet!$E$2:$E$3143, ISNUMBER(
Master_Mapping_Sheet!$E$2:$E$3143),
Master_Mapping_Sheet!$C$2:$C$3143=Y$1,
Master_Mapping_Sheet!$K$2:$K$3143=VALUE(RIGH"&amp;"T($A3,1))))/sum(filter(
Master_Mapping_Sheet!$E$2:$E$3143, ISNUMBER(
Master_Mapping_Sheet!$E$2:$E$3143),
Master_Mapping_Sheet!$C$2:$C$3143=Y$1)))"),0.0)</f>
        <v>0</v>
      </c>
      <c r="Z3" s="34">
        <f>IFERROR(__xludf.DUMMYFUNCTION("IF(ISNA(sum(filter(
Master_Mapping_Sheet!$E$2:$E$3143, ISNUMBER(
Master_Mapping_Sheet!$E$2:$E$3143),
Master_Mapping_Sheet!$C$2:$C$3143=Z$1,
Master_Mapping_Sheet!$K$2:$K$3143=VALUE(RIGHT($A3,1))))/sum(filter(
Master_Mapping_Sheet!$E$2:$E$3143, ISNUMBER(
Ma"&amp;"ster_Mapping_Sheet!$E$2:$E$3143),
Master_Mapping_Sheet!$C$2:$C$3143=Z$1))), 0, sum(filter(
Master_Mapping_Sheet!$E$2:$E$3143, ISNUMBER(
Master_Mapping_Sheet!$E$2:$E$3143),
Master_Mapping_Sheet!$C$2:$C$3143=Z$1,
Master_Mapping_Sheet!$K$2:$K$3143=VALUE(RIGH"&amp;"T($A3,1))))/sum(filter(
Master_Mapping_Sheet!$E$2:$E$3143, ISNUMBER(
Master_Mapping_Sheet!$E$2:$E$3143),
Master_Mapping_Sheet!$C$2:$C$3143=Z$1)))"),0.0)</f>
        <v>0</v>
      </c>
      <c r="AA3" s="34">
        <f>IFERROR(__xludf.DUMMYFUNCTION("IF(ISNA(sum(filter(
Master_Mapping_Sheet!$E$2:$E$3143, ISNUMBER(
Master_Mapping_Sheet!$E$2:$E$3143),
Master_Mapping_Sheet!$C$2:$C$3143=AA$1,
Master_Mapping_Sheet!$K$2:$K$3143=VALUE(RIGHT($A3,1))))/sum(filter(
Master_Mapping_Sheet!$E$2:$E$3143, ISNUMBER(
M"&amp;"aster_Mapping_Sheet!$E$2:$E$3143),
Master_Mapping_Sheet!$C$2:$C$3143=AA$1))), 0, sum(filter(
Master_Mapping_Sheet!$E$2:$E$3143, ISNUMBER(
Master_Mapping_Sheet!$E$2:$E$3143),
Master_Mapping_Sheet!$C$2:$C$3143=AA$1,
Master_Mapping_Sheet!$K$2:$K$3143=VALUE(R"&amp;"IGHT($A3,1))))/sum(filter(
Master_Mapping_Sheet!$E$2:$E$3143, ISNUMBER(
Master_Mapping_Sheet!$E$2:$E$3143),
Master_Mapping_Sheet!$C$2:$C$3143=AA$1)))"),0.07285855940360443)</f>
        <v>0.0728585594</v>
      </c>
      <c r="AB3" s="34">
        <f>IFERROR(__xludf.DUMMYFUNCTION("IF(ISNA(sum(filter(
Master_Mapping_Sheet!$E$2:$E$3143, ISNUMBER(
Master_Mapping_Sheet!$E$2:$E$3143),
Master_Mapping_Sheet!$C$2:$C$3143=AB$1,
Master_Mapping_Sheet!$K$2:$K$3143=VALUE(RIGHT($A3,1))))/sum(filter(
Master_Mapping_Sheet!$E$2:$E$3143, ISNUMBER(
M"&amp;"aster_Mapping_Sheet!$E$2:$E$3143),
Master_Mapping_Sheet!$C$2:$C$3143=AB$1))), 0, sum(filter(
Master_Mapping_Sheet!$E$2:$E$3143, ISNUMBER(
Master_Mapping_Sheet!$E$2:$E$3143),
Master_Mapping_Sheet!$C$2:$C$3143=AB$1,
Master_Mapping_Sheet!$K$2:$K$3143=VALUE(R"&amp;"IGHT($A3,1))))/sum(filter(
Master_Mapping_Sheet!$E$2:$E$3143, ISNUMBER(
Master_Mapping_Sheet!$E$2:$E$3143),
Master_Mapping_Sheet!$C$2:$C$3143=AB$1)))"),0.0)</f>
        <v>0</v>
      </c>
      <c r="AC3" s="34">
        <f>IFERROR(__xludf.DUMMYFUNCTION("IF(ISNA(sum(filter(
Master_Mapping_Sheet!$E$2:$E$3143, ISNUMBER(
Master_Mapping_Sheet!$E$2:$E$3143),
Master_Mapping_Sheet!$C$2:$C$3143=AC$1,
Master_Mapping_Sheet!$K$2:$K$3143=VALUE(RIGHT($A3,1))))/sum(filter(
Master_Mapping_Sheet!$E$2:$E$3143, ISNUMBER(
M"&amp;"aster_Mapping_Sheet!$E$2:$E$3143),
Master_Mapping_Sheet!$C$2:$C$3143=AC$1))), 0, sum(filter(
Master_Mapping_Sheet!$E$2:$E$3143, ISNUMBER(
Master_Mapping_Sheet!$E$2:$E$3143),
Master_Mapping_Sheet!$C$2:$C$3143=AC$1,
Master_Mapping_Sheet!$K$2:$K$3143=VALUE(R"&amp;"IGHT($A3,1))))/sum(filter(
Master_Mapping_Sheet!$E$2:$E$3143, ISNUMBER(
Master_Mapping_Sheet!$E$2:$E$3143),
Master_Mapping_Sheet!$C$2:$C$3143=AC$1)))"),0.987410400130612)</f>
        <v>0.9874104001</v>
      </c>
      <c r="AD3" s="34">
        <f>IFERROR(__xludf.DUMMYFUNCTION("IF(ISNA(sum(filter(
Master_Mapping_Sheet!$E$2:$E$3143, ISNUMBER(
Master_Mapping_Sheet!$E$2:$E$3143),
Master_Mapping_Sheet!$C$2:$C$3143=AD$1,
Master_Mapping_Sheet!$K$2:$K$3143=VALUE(RIGHT($A3,1))))/sum(filter(
Master_Mapping_Sheet!$E$2:$E$3143, ISNUMBER(
M"&amp;"aster_Mapping_Sheet!$E$2:$E$3143),
Master_Mapping_Sheet!$C$2:$C$3143=AD$1))), 0, sum(filter(
Master_Mapping_Sheet!$E$2:$E$3143, ISNUMBER(
Master_Mapping_Sheet!$E$2:$E$3143),
Master_Mapping_Sheet!$C$2:$C$3143=AD$1,
Master_Mapping_Sheet!$K$2:$K$3143=VALUE(R"&amp;"IGHT($A3,1))))/sum(filter(
Master_Mapping_Sheet!$E$2:$E$3143, ISNUMBER(
Master_Mapping_Sheet!$E$2:$E$3143),
Master_Mapping_Sheet!$C$2:$C$3143=AD$1)))"),0.23077970656595004)</f>
        <v>0.2307797066</v>
      </c>
      <c r="AE3" s="34">
        <f>IFERROR(__xludf.DUMMYFUNCTION("IF(ISNA(sum(filter(
Master_Mapping_Sheet!$E$2:$E$3143, ISNUMBER(
Master_Mapping_Sheet!$E$2:$E$3143),
Master_Mapping_Sheet!$C$2:$C$3143=AE$1,
Master_Mapping_Sheet!$K$2:$K$3143=VALUE(RIGHT($A3,1))))/sum(filter(
Master_Mapping_Sheet!$E$2:$E$3143, ISNUMBER(
M"&amp;"aster_Mapping_Sheet!$E$2:$E$3143),
Master_Mapping_Sheet!$C$2:$C$3143=AE$1))), 0, sum(filter(
Master_Mapping_Sheet!$E$2:$E$3143, ISNUMBER(
Master_Mapping_Sheet!$E$2:$E$3143),
Master_Mapping_Sheet!$C$2:$C$3143=AE$1,
Master_Mapping_Sheet!$K$2:$K$3143=VALUE(R"&amp;"IGHT($A3,1))))/sum(filter(
Master_Mapping_Sheet!$E$2:$E$3143, ISNUMBER(
Master_Mapping_Sheet!$E$2:$E$3143),
Master_Mapping_Sheet!$C$2:$C$3143=AE$1)))"),0.0)</f>
        <v>0</v>
      </c>
      <c r="AF3" s="34">
        <f>IFERROR(__xludf.DUMMYFUNCTION("IF(ISNA(sum(filter(
Master_Mapping_Sheet!$E$2:$E$3143, ISNUMBER(
Master_Mapping_Sheet!$E$2:$E$3143),
Master_Mapping_Sheet!$C$2:$C$3143=AF$1,
Master_Mapping_Sheet!$K$2:$K$3143=VALUE(RIGHT($A3,1))))/sum(filter(
Master_Mapping_Sheet!$E$2:$E$3143, ISNUMBER(
M"&amp;"aster_Mapping_Sheet!$E$2:$E$3143),
Master_Mapping_Sheet!$C$2:$C$3143=AF$1))), 0, sum(filter(
Master_Mapping_Sheet!$E$2:$E$3143, ISNUMBER(
Master_Mapping_Sheet!$E$2:$E$3143),
Master_Mapping_Sheet!$C$2:$C$3143=AF$1,
Master_Mapping_Sheet!$K$2:$K$3143=VALUE(R"&amp;"IGHT($A3,1))))/sum(filter(
Master_Mapping_Sheet!$E$2:$E$3143, ISNUMBER(
Master_Mapping_Sheet!$E$2:$E$3143),
Master_Mapping_Sheet!$C$2:$C$3143=AF$1)))"),0.2929727244282837)</f>
        <v>0.2929727244</v>
      </c>
      <c r="AG3" s="34">
        <f>IFERROR(__xludf.DUMMYFUNCTION("IF(ISNA(sum(filter(
Master_Mapping_Sheet!$E$2:$E$3143, ISNUMBER(
Master_Mapping_Sheet!$E$2:$E$3143),
Master_Mapping_Sheet!$C$2:$C$3143=AG$1,
Master_Mapping_Sheet!$K$2:$K$3143=VALUE(RIGHT($A3,1))))/sum(filter(
Master_Mapping_Sheet!$E$2:$E$3143, ISNUMBER(
M"&amp;"aster_Mapping_Sheet!$E$2:$E$3143),
Master_Mapping_Sheet!$C$2:$C$3143=AG$1))), 0, sum(filter(
Master_Mapping_Sheet!$E$2:$E$3143, ISNUMBER(
Master_Mapping_Sheet!$E$2:$E$3143),
Master_Mapping_Sheet!$C$2:$C$3143=AG$1,
Master_Mapping_Sheet!$K$2:$K$3143=VALUE(R"&amp;"IGHT($A3,1))))/sum(filter(
Master_Mapping_Sheet!$E$2:$E$3143, ISNUMBER(
Master_Mapping_Sheet!$E$2:$E$3143),
Master_Mapping_Sheet!$C$2:$C$3143=AG$1)))"),0.29625217144957056)</f>
        <v>0.2962521714</v>
      </c>
      <c r="AH3" s="34">
        <f>IFERROR(__xludf.DUMMYFUNCTION("IF(ISNA(sum(filter(
Master_Mapping_Sheet!$E$2:$E$3143, ISNUMBER(
Master_Mapping_Sheet!$E$2:$E$3143),
Master_Mapping_Sheet!$C$2:$C$3143=AH$1,
Master_Mapping_Sheet!$K$2:$K$3143=VALUE(RIGHT($A3,1))))/sum(filter(
Master_Mapping_Sheet!$E$2:$E$3143, ISNUMBER(
M"&amp;"aster_Mapping_Sheet!$E$2:$E$3143),
Master_Mapping_Sheet!$C$2:$C$3143=AH$1))), 0, sum(filter(
Master_Mapping_Sheet!$E$2:$E$3143, ISNUMBER(
Master_Mapping_Sheet!$E$2:$E$3143),
Master_Mapping_Sheet!$C$2:$C$3143=AH$1,
Master_Mapping_Sheet!$K$2:$K$3143=VALUE(R"&amp;"IGHT($A3,1))))/sum(filter(
Master_Mapping_Sheet!$E$2:$E$3143, ISNUMBER(
Master_Mapping_Sheet!$E$2:$E$3143),
Master_Mapping_Sheet!$C$2:$C$3143=AH$1)))"),0.34952600799051015)</f>
        <v>0.349526008</v>
      </c>
      <c r="AI3" s="34">
        <f>IFERROR(__xludf.DUMMYFUNCTION("IF(ISNA(sum(filter(
Master_Mapping_Sheet!$E$2:$E$3143, ISNUMBER(
Master_Mapping_Sheet!$E$2:$E$3143),
Master_Mapping_Sheet!$C$2:$C$3143=AI$1,
Master_Mapping_Sheet!$K$2:$K$3143=VALUE(RIGHT($A3,1))))/sum(filter(
Master_Mapping_Sheet!$E$2:$E$3143, ISNUMBER(
M"&amp;"aster_Mapping_Sheet!$E$2:$E$3143),
Master_Mapping_Sheet!$C$2:$C$3143=AI$1))), 0, sum(filter(
Master_Mapping_Sheet!$E$2:$E$3143, ISNUMBER(
Master_Mapping_Sheet!$E$2:$E$3143),
Master_Mapping_Sheet!$C$2:$C$3143=AI$1,
Master_Mapping_Sheet!$K$2:$K$3143=VALUE(R"&amp;"IGHT($A3,1))))/sum(filter(
Master_Mapping_Sheet!$E$2:$E$3143, ISNUMBER(
Master_Mapping_Sheet!$E$2:$E$3143),
Master_Mapping_Sheet!$C$2:$C$3143=AI$1)))"),0.0)</f>
        <v>0</v>
      </c>
      <c r="AJ3" s="34">
        <f>IFERROR(__xludf.DUMMYFUNCTION("IF(ISNA(sum(filter(
Master_Mapping_Sheet!$E$2:$E$3143, ISNUMBER(
Master_Mapping_Sheet!$E$2:$E$3143),
Master_Mapping_Sheet!$C$2:$C$3143=AJ$1,
Master_Mapping_Sheet!$K$2:$K$3143=VALUE(RIGHT($A3,1))))/sum(filter(
Master_Mapping_Sheet!$E$2:$E$3143, ISNUMBER(
M"&amp;"aster_Mapping_Sheet!$E$2:$E$3143),
Master_Mapping_Sheet!$C$2:$C$3143=AJ$1))), 0, sum(filter(
Master_Mapping_Sheet!$E$2:$E$3143, ISNUMBER(
Master_Mapping_Sheet!$E$2:$E$3143),
Master_Mapping_Sheet!$C$2:$C$3143=AJ$1,
Master_Mapping_Sheet!$K$2:$K$3143=VALUE(R"&amp;"IGHT($A3,1))))/sum(filter(
Master_Mapping_Sheet!$E$2:$E$3143, ISNUMBER(
Master_Mapping_Sheet!$E$2:$E$3143),
Master_Mapping_Sheet!$C$2:$C$3143=AJ$1)))"),0.0)</f>
        <v>0</v>
      </c>
      <c r="AK3" s="34">
        <f>IFERROR(__xludf.DUMMYFUNCTION("IF(ISNA(sum(filter(
Master_Mapping_Sheet!$E$2:$E$3143, ISNUMBER(
Master_Mapping_Sheet!$E$2:$E$3143),
Master_Mapping_Sheet!$C$2:$C$3143=AK$1,
Master_Mapping_Sheet!$K$2:$K$3143=VALUE(RIGHT($A3,1))))/sum(filter(
Master_Mapping_Sheet!$E$2:$E$3143, ISNUMBER(
M"&amp;"aster_Mapping_Sheet!$E$2:$E$3143),
Master_Mapping_Sheet!$C$2:$C$3143=AK$1))), 0, sum(filter(
Master_Mapping_Sheet!$E$2:$E$3143, ISNUMBER(
Master_Mapping_Sheet!$E$2:$E$3143),
Master_Mapping_Sheet!$C$2:$C$3143=AK$1,
Master_Mapping_Sheet!$K$2:$K$3143=VALUE(R"&amp;"IGHT($A3,1))))/sum(filter(
Master_Mapping_Sheet!$E$2:$E$3143, ISNUMBER(
Master_Mapping_Sheet!$E$2:$E$3143),
Master_Mapping_Sheet!$C$2:$C$3143=AK$1)))"),0.8705112492135754)</f>
        <v>0.8705112492</v>
      </c>
      <c r="AL3" s="34">
        <f>IFERROR(__xludf.DUMMYFUNCTION("IF(ISNA(sum(filter(
Master_Mapping_Sheet!$E$2:$E$3143, ISNUMBER(
Master_Mapping_Sheet!$E$2:$E$3143),
Master_Mapping_Sheet!$C$2:$C$3143=AL$1,
Master_Mapping_Sheet!$K$2:$K$3143=VALUE(RIGHT($A3,1))))/sum(filter(
Master_Mapping_Sheet!$E$2:$E$3143, ISNUMBER(
M"&amp;"aster_Mapping_Sheet!$E$2:$E$3143),
Master_Mapping_Sheet!$C$2:$C$3143=AL$1))), 0, sum(filter(
Master_Mapping_Sheet!$E$2:$E$3143, ISNUMBER(
Master_Mapping_Sheet!$E$2:$E$3143),
Master_Mapping_Sheet!$C$2:$C$3143=AL$1,
Master_Mapping_Sheet!$K$2:$K$3143=VALUE(R"&amp;"IGHT($A3,1))))/sum(filter(
Master_Mapping_Sheet!$E$2:$E$3143, ISNUMBER(
Master_Mapping_Sheet!$E$2:$E$3143),
Master_Mapping_Sheet!$C$2:$C$3143=AL$1)))"),0.0)</f>
        <v>0</v>
      </c>
      <c r="AM3" s="34">
        <f>IFERROR(__xludf.DUMMYFUNCTION("IF(ISNA(sum(filter(
Master_Mapping_Sheet!$E$2:$E$3143, ISNUMBER(
Master_Mapping_Sheet!$E$2:$E$3143),
Master_Mapping_Sheet!$C$2:$C$3143=AM$1,
Master_Mapping_Sheet!$K$2:$K$3143=VALUE(RIGHT($A3,1))))/sum(filter(
Master_Mapping_Sheet!$E$2:$E$3143, ISNUMBER(
M"&amp;"aster_Mapping_Sheet!$E$2:$E$3143),
Master_Mapping_Sheet!$C$2:$C$3143=AM$1))), 0, sum(filter(
Master_Mapping_Sheet!$E$2:$E$3143, ISNUMBER(
Master_Mapping_Sheet!$E$2:$E$3143),
Master_Mapping_Sheet!$C$2:$C$3143=AM$1,
Master_Mapping_Sheet!$K$2:$K$3143=VALUE(R"&amp;"IGHT($A3,1))))/sum(filter(
Master_Mapping_Sheet!$E$2:$E$3143, ISNUMBER(
Master_Mapping_Sheet!$E$2:$E$3143),
Master_Mapping_Sheet!$C$2:$C$3143=AM$1)))"),0.12679201711738058)</f>
        <v>0.1267920171</v>
      </c>
      <c r="AN3" s="34">
        <f>IFERROR(__xludf.DUMMYFUNCTION("IF(ISNA(sum(filter(
Master_Mapping_Sheet!$E$2:$E$3143, ISNUMBER(
Master_Mapping_Sheet!$E$2:$E$3143),
Master_Mapping_Sheet!$C$2:$C$3143=AN$1,
Master_Mapping_Sheet!$K$2:$K$3143=VALUE(RIGHT($A3,1))))/sum(filter(
Master_Mapping_Sheet!$E$2:$E$3143, ISNUMBER(
M"&amp;"aster_Mapping_Sheet!$E$2:$E$3143),
Master_Mapping_Sheet!$C$2:$C$3143=AN$1))), 0, sum(filter(
Master_Mapping_Sheet!$E$2:$E$3143, ISNUMBER(
Master_Mapping_Sheet!$E$2:$E$3143),
Master_Mapping_Sheet!$C$2:$C$3143=AN$1,
Master_Mapping_Sheet!$K$2:$K$3143=VALUE(R"&amp;"IGHT($A3,1))))/sum(filter(
Master_Mapping_Sheet!$E$2:$E$3143, ISNUMBER(
Master_Mapping_Sheet!$E$2:$E$3143),
Master_Mapping_Sheet!$C$2:$C$3143=AN$1)))"),0.5458339785041804)</f>
        <v>0.5458339785</v>
      </c>
      <c r="AO3" s="34">
        <f>IFERROR(__xludf.DUMMYFUNCTION("IF(ISNA(sum(filter(
Master_Mapping_Sheet!$E$2:$E$3143, ISNUMBER(
Master_Mapping_Sheet!$E$2:$E$3143),
Master_Mapping_Sheet!$C$2:$C$3143=AO$1,
Master_Mapping_Sheet!$K$2:$K$3143=VALUE(RIGHT($A3,1))))/sum(filter(
Master_Mapping_Sheet!$E$2:$E$3143, ISNUMBER(
M"&amp;"aster_Mapping_Sheet!$E$2:$E$3143),
Master_Mapping_Sheet!$C$2:$C$3143=AO$1))), 0, sum(filter(
Master_Mapping_Sheet!$E$2:$E$3143, ISNUMBER(
Master_Mapping_Sheet!$E$2:$E$3143),
Master_Mapping_Sheet!$C$2:$C$3143=AO$1,
Master_Mapping_Sheet!$K$2:$K$3143=VALUE(R"&amp;"IGHT($A3,1))))/sum(filter(
Master_Mapping_Sheet!$E$2:$E$3143, ISNUMBER(
Master_Mapping_Sheet!$E$2:$E$3143),
Master_Mapping_Sheet!$C$2:$C$3143=AO$1)))"),1.0)</f>
        <v>1</v>
      </c>
      <c r="AP3" s="34">
        <f>IFERROR(__xludf.DUMMYFUNCTION("IF(ISNA(sum(filter(
Master_Mapping_Sheet!$E$2:$E$3143, ISNUMBER(
Master_Mapping_Sheet!$E$2:$E$3143),
Master_Mapping_Sheet!$C$2:$C$3143=AP$1,
Master_Mapping_Sheet!$K$2:$K$3143=VALUE(RIGHT($A3,1))))/sum(filter(
Master_Mapping_Sheet!$E$2:$E$3143, ISNUMBER(
M"&amp;"aster_Mapping_Sheet!$E$2:$E$3143),
Master_Mapping_Sheet!$C$2:$C$3143=AP$1))), 0, sum(filter(
Master_Mapping_Sheet!$E$2:$E$3143, ISNUMBER(
Master_Mapping_Sheet!$E$2:$E$3143),
Master_Mapping_Sheet!$C$2:$C$3143=AP$1,
Master_Mapping_Sheet!$K$2:$K$3143=VALUE(R"&amp;"IGHT($A3,1))))/sum(filter(
Master_Mapping_Sheet!$E$2:$E$3143, ISNUMBER(
Master_Mapping_Sheet!$E$2:$E$3143),
Master_Mapping_Sheet!$C$2:$C$3143=AP$1)))"),0.0)</f>
        <v>0</v>
      </c>
      <c r="AQ3" s="34">
        <f>IFERROR(__xludf.DUMMYFUNCTION("IF(ISNA(sum(filter(
Master_Mapping_Sheet!$E$2:$E$3143, ISNUMBER(
Master_Mapping_Sheet!$E$2:$E$3143),
Master_Mapping_Sheet!$C$2:$C$3143=AQ$1,
Master_Mapping_Sheet!$K$2:$K$3143=VALUE(RIGHT($A3,1))))/sum(filter(
Master_Mapping_Sheet!$E$2:$E$3143, ISNUMBER(
M"&amp;"aster_Mapping_Sheet!$E$2:$E$3143),
Master_Mapping_Sheet!$C$2:$C$3143=AQ$1))), 0, sum(filter(
Master_Mapping_Sheet!$E$2:$E$3143, ISNUMBER(
Master_Mapping_Sheet!$E$2:$E$3143),
Master_Mapping_Sheet!$C$2:$C$3143=AQ$1,
Master_Mapping_Sheet!$K$2:$K$3143=VALUE(R"&amp;"IGHT($A3,1))))/sum(filter(
Master_Mapping_Sheet!$E$2:$E$3143, ISNUMBER(
Master_Mapping_Sheet!$E$2:$E$3143),
Master_Mapping_Sheet!$C$2:$C$3143=AQ$1)))"),0.11904259461905456)</f>
        <v>0.1190425946</v>
      </c>
      <c r="AR3" s="34">
        <f>IFERROR(__xludf.DUMMYFUNCTION("IF(ISNA(sum(filter(
Master_Mapping_Sheet!$E$2:$E$3143, ISNUMBER(
Master_Mapping_Sheet!$E$2:$E$3143),
Master_Mapping_Sheet!$C$2:$C$3143=AR$1,
Master_Mapping_Sheet!$K$2:$K$3143=VALUE(RIGHT($A3,1))))/sum(filter(
Master_Mapping_Sheet!$E$2:$E$3143, ISNUMBER(
M"&amp;"aster_Mapping_Sheet!$E$2:$E$3143),
Master_Mapping_Sheet!$C$2:$C$3143=AR$1))), 0, sum(filter(
Master_Mapping_Sheet!$E$2:$E$3143, ISNUMBER(
Master_Mapping_Sheet!$E$2:$E$3143),
Master_Mapping_Sheet!$C$2:$C$3143=AR$1,
Master_Mapping_Sheet!$K$2:$K$3143=VALUE(R"&amp;"IGHT($A3,1))))/sum(filter(
Master_Mapping_Sheet!$E$2:$E$3143, ISNUMBER(
Master_Mapping_Sheet!$E$2:$E$3143),
Master_Mapping_Sheet!$C$2:$C$3143=AR$1)))"),0.0)</f>
        <v>0</v>
      </c>
      <c r="AS3" s="34">
        <f>IFERROR(__xludf.DUMMYFUNCTION("IF(ISNA(sum(filter(
Master_Mapping_Sheet!$E$2:$E$3143, ISNUMBER(
Master_Mapping_Sheet!$E$2:$E$3143),
Master_Mapping_Sheet!$C$2:$C$3143=AS$1,
Master_Mapping_Sheet!$K$2:$K$3143=VALUE(RIGHT($A3,1))))/sum(filter(
Master_Mapping_Sheet!$E$2:$E$3143, ISNUMBER(
M"&amp;"aster_Mapping_Sheet!$E$2:$E$3143),
Master_Mapping_Sheet!$C$2:$C$3143=AS$1))), 0, sum(filter(
Master_Mapping_Sheet!$E$2:$E$3143, ISNUMBER(
Master_Mapping_Sheet!$E$2:$E$3143),
Master_Mapping_Sheet!$C$2:$C$3143=AS$1,
Master_Mapping_Sheet!$K$2:$K$3143=VALUE(R"&amp;"IGHT($A3,1))))/sum(filter(
Master_Mapping_Sheet!$E$2:$E$3143, ISNUMBER(
Master_Mapping_Sheet!$E$2:$E$3143),
Master_Mapping_Sheet!$C$2:$C$3143=AS$1)))"),0.0)</f>
        <v>0</v>
      </c>
      <c r="AT3" s="34">
        <f>IFERROR(__xludf.DUMMYFUNCTION("IF(ISNA(sum(filter(
Master_Mapping_Sheet!$E$2:$E$3143, ISNUMBER(
Master_Mapping_Sheet!$E$2:$E$3143),
Master_Mapping_Sheet!$C$2:$C$3143=AT$1,
Master_Mapping_Sheet!$K$2:$K$3143=VALUE(RIGHT($A3,1))))/sum(filter(
Master_Mapping_Sheet!$E$2:$E$3143, ISNUMBER(
M"&amp;"aster_Mapping_Sheet!$E$2:$E$3143),
Master_Mapping_Sheet!$C$2:$C$3143=AT$1))), 0, sum(filter(
Master_Mapping_Sheet!$E$2:$E$3143, ISNUMBER(
Master_Mapping_Sheet!$E$2:$E$3143),
Master_Mapping_Sheet!$C$2:$C$3143=AT$1,
Master_Mapping_Sheet!$K$2:$K$3143=VALUE(R"&amp;"IGHT($A3,1))))/sum(filter(
Master_Mapping_Sheet!$E$2:$E$3143, ISNUMBER(
Master_Mapping_Sheet!$E$2:$E$3143),
Master_Mapping_Sheet!$C$2:$C$3143=AT$1)))"),0.8485063495286643)</f>
        <v>0.8485063495</v>
      </c>
      <c r="AU3" s="34">
        <f>IFERROR(__xludf.DUMMYFUNCTION("IF(ISNA(sum(filter(
Master_Mapping_Sheet!$E$2:$E$3143, ISNUMBER(
Master_Mapping_Sheet!$E$2:$E$3143),
Master_Mapping_Sheet!$C$2:$C$3143=AU$1,
Master_Mapping_Sheet!$K$2:$K$3143=VALUE(RIGHT($A3,1))))/sum(filter(
Master_Mapping_Sheet!$E$2:$E$3143, ISNUMBER(
M"&amp;"aster_Mapping_Sheet!$E$2:$E$3143),
Master_Mapping_Sheet!$C$2:$C$3143=AU$1))), 0, sum(filter(
Master_Mapping_Sheet!$E$2:$E$3143, ISNUMBER(
Master_Mapping_Sheet!$E$2:$E$3143),
Master_Mapping_Sheet!$C$2:$C$3143=AU$1,
Master_Mapping_Sheet!$K$2:$K$3143=VALUE(R"&amp;"IGHT($A3,1))))/sum(filter(
Master_Mapping_Sheet!$E$2:$E$3143, ISNUMBER(
Master_Mapping_Sheet!$E$2:$E$3143),
Master_Mapping_Sheet!$C$2:$C$3143=AU$1)))"),0.0)</f>
        <v>0</v>
      </c>
      <c r="AV3" s="34">
        <f>IFERROR(__xludf.DUMMYFUNCTION("IF(ISNA(sum(filter(
Master_Mapping_Sheet!$E$2:$E$3143, ISNUMBER(
Master_Mapping_Sheet!$E$2:$E$3143),
Master_Mapping_Sheet!$C$2:$C$3143=AV$1,
Master_Mapping_Sheet!$K$2:$K$3143=VALUE(RIGHT($A3,1))))/sum(filter(
Master_Mapping_Sheet!$E$2:$E$3143, ISNUMBER(
M"&amp;"aster_Mapping_Sheet!$E$2:$E$3143),
Master_Mapping_Sheet!$C$2:$C$3143=AV$1))), 0, sum(filter(
Master_Mapping_Sheet!$E$2:$E$3143, ISNUMBER(
Master_Mapping_Sheet!$E$2:$E$3143),
Master_Mapping_Sheet!$C$2:$C$3143=AV$1,
Master_Mapping_Sheet!$K$2:$K$3143=VALUE(R"&amp;"IGHT($A3,1))))/sum(filter(
Master_Mapping_Sheet!$E$2:$E$3143, ISNUMBER(
Master_Mapping_Sheet!$E$2:$E$3143),
Master_Mapping_Sheet!$C$2:$C$3143=AV$1)))"),0.0)</f>
        <v>0</v>
      </c>
      <c r="AW3" s="34">
        <f>IFERROR(__xludf.DUMMYFUNCTION("IF(ISNA(sum(filter(
Master_Mapping_Sheet!$E$2:$E$3143, ISNUMBER(
Master_Mapping_Sheet!$E$2:$E$3143),
Master_Mapping_Sheet!$C$2:$C$3143=AW$1,
Master_Mapping_Sheet!$K$2:$K$3143=VALUE(RIGHT($A3,1))))/sum(filter(
Master_Mapping_Sheet!$E$2:$E$3143, ISNUMBER(
M"&amp;"aster_Mapping_Sheet!$E$2:$E$3143),
Master_Mapping_Sheet!$C$2:$C$3143=AW$1))), 0, sum(filter(
Master_Mapping_Sheet!$E$2:$E$3143, ISNUMBER(
Master_Mapping_Sheet!$E$2:$E$3143),
Master_Mapping_Sheet!$C$2:$C$3143=AW$1,
Master_Mapping_Sheet!$K$2:$K$3143=VALUE(R"&amp;"IGHT($A3,1))))/sum(filter(
Master_Mapping_Sheet!$E$2:$E$3143, ISNUMBER(
Master_Mapping_Sheet!$E$2:$E$3143),
Master_Mapping_Sheet!$C$2:$C$3143=AW$1)))"),0.20694455821668833)</f>
        <v>0.2069445582</v>
      </c>
      <c r="AX3" s="34">
        <f>IFERROR(__xludf.DUMMYFUNCTION("IF(ISNA(sum(filter(
Master_Mapping_Sheet!$E$2:$E$3143, ISNUMBER(
Master_Mapping_Sheet!$E$2:$E$3143),
Master_Mapping_Sheet!$C$2:$C$3143=AX$1,
Master_Mapping_Sheet!$K$2:$K$3143=VALUE(RIGHT($A3,1))))/sum(filter(
Master_Mapping_Sheet!$E$2:$E$3143, ISNUMBER(
M"&amp;"aster_Mapping_Sheet!$E$2:$E$3143),
Master_Mapping_Sheet!$C$2:$C$3143=AX$1))), 0, sum(filter(
Master_Mapping_Sheet!$E$2:$E$3143, ISNUMBER(
Master_Mapping_Sheet!$E$2:$E$3143),
Master_Mapping_Sheet!$C$2:$C$3143=AX$1,
Master_Mapping_Sheet!$K$2:$K$3143=VALUE(R"&amp;"IGHT($A3,1))))/sum(filter(
Master_Mapping_Sheet!$E$2:$E$3143, ISNUMBER(
Master_Mapping_Sheet!$E$2:$E$3143),
Master_Mapping_Sheet!$C$2:$C$3143=AX$1)))"),0.4310019202619556)</f>
        <v>0.4310019203</v>
      </c>
      <c r="AY3" s="34">
        <f>IFERROR(__xludf.DUMMYFUNCTION("IF(ISNA(sum(filter(
Master_Mapping_Sheet!$E$2:$E$3143, ISNUMBER(
Master_Mapping_Sheet!$E$2:$E$3143),
Master_Mapping_Sheet!$C$2:$C$3143=AY$1,
Master_Mapping_Sheet!$K$2:$K$3143=VALUE(RIGHT($A3,1))))/sum(filter(
Master_Mapping_Sheet!$E$2:$E$3143, ISNUMBER(
M"&amp;"aster_Mapping_Sheet!$E$2:$E$3143),
Master_Mapping_Sheet!$C$2:$C$3143=AY$1))), 0, sum(filter(
Master_Mapping_Sheet!$E$2:$E$3143, ISNUMBER(
Master_Mapping_Sheet!$E$2:$E$3143),
Master_Mapping_Sheet!$C$2:$C$3143=AY$1,
Master_Mapping_Sheet!$K$2:$K$3143=VALUE(R"&amp;"IGHT($A3,1))))/sum(filter(
Master_Mapping_Sheet!$E$2:$E$3143, ISNUMBER(
Master_Mapping_Sheet!$E$2:$E$3143),
Master_Mapping_Sheet!$C$2:$C$3143=AY$1)))"),0.0)</f>
        <v>0</v>
      </c>
      <c r="AZ3" s="34">
        <f>IFERROR(__xludf.DUMMYFUNCTION("IF(ISNA(sum(filter(
Master_Mapping_Sheet!$E$2:$E$3143, ISNUMBER(
Master_Mapping_Sheet!$E$2:$E$3143),
Master_Mapping_Sheet!$C$2:$C$3143=AZ$1,
Master_Mapping_Sheet!$K$2:$K$3143=VALUE(RIGHT($A3,1))))/sum(filter(
Master_Mapping_Sheet!$E$2:$E$3143, ISNUMBER(
M"&amp;"aster_Mapping_Sheet!$E$2:$E$3143),
Master_Mapping_Sheet!$C$2:$C$3143=AZ$1))), 0, sum(filter(
Master_Mapping_Sheet!$E$2:$E$3143, ISNUMBER(
Master_Mapping_Sheet!$E$2:$E$3143),
Master_Mapping_Sheet!$C$2:$C$3143=AZ$1,
Master_Mapping_Sheet!$K$2:$K$3143=VALUE(R"&amp;"IGHT($A3,1))))/sum(filter(
Master_Mapping_Sheet!$E$2:$E$3143, ISNUMBER(
Master_Mapping_Sheet!$E$2:$E$3143),
Master_Mapping_Sheet!$C$2:$C$3143=AZ$1)))"),0.0362772811557776)</f>
        <v>0.03627728116</v>
      </c>
    </row>
    <row r="4" ht="15.75" customHeight="1">
      <c r="A4" s="45" t="s">
        <v>4248</v>
      </c>
      <c r="B4" s="34">
        <f>IFERROR(__xludf.DUMMYFUNCTION("IF(ISNA(sum(filter(
Master_Mapping_Sheet!$E$2:$E$3143, ISNUMBER(
Master_Mapping_Sheet!$E$2:$E$3143),
Master_Mapping_Sheet!$C$2:$C$3143=B$1,
Master_Mapping_Sheet!$K$2:$K$3143=VALUE(RIGHT($A4,1))))/sum(filter(
Master_Mapping_Sheet!$E$2:$E$3143, ISNUMBER(
Ma"&amp;"ster_Mapping_Sheet!$E$2:$E$3143),
Master_Mapping_Sheet!$C$2:$C$3143=B$1))), 0, sum(filter(
Master_Mapping_Sheet!$E$2:$E$3143, ISNUMBER(
Master_Mapping_Sheet!$E$2:$E$3143),
Master_Mapping_Sheet!$C$2:$C$3143=B$1,
Master_Mapping_Sheet!$K$2:$K$3143=VALUE(RIGH"&amp;"T($A4,1))))/sum(filter(
Master_Mapping_Sheet!$E$2:$E$3143, ISNUMBER(
Master_Mapping_Sheet!$E$2:$E$3143),
Master_Mapping_Sheet!$C$2:$C$3143=B$1)))"),0.0)</f>
        <v>0</v>
      </c>
      <c r="C4" s="34">
        <f>IFERROR(__xludf.DUMMYFUNCTION("IF(ISNA(sum(filter(
Master_Mapping_Sheet!$E$2:$E$3143, ISNUMBER(
Master_Mapping_Sheet!$E$2:$E$3143),
Master_Mapping_Sheet!$C$2:$C$3143=C$1,
Master_Mapping_Sheet!$K$2:$K$3143=VALUE(RIGHT($A4,1))))/sum(filter(
Master_Mapping_Sheet!$E$2:$E$3143, ISNUMBER(
Ma"&amp;"ster_Mapping_Sheet!$E$2:$E$3143),
Master_Mapping_Sheet!$C$2:$C$3143=C$1))), 0, sum(filter(
Master_Mapping_Sheet!$E$2:$E$3143, ISNUMBER(
Master_Mapping_Sheet!$E$2:$E$3143),
Master_Mapping_Sheet!$C$2:$C$3143=C$1,
Master_Mapping_Sheet!$K$2:$K$3143=VALUE(RIGH"&amp;"T($A4,1))))/sum(filter(
Master_Mapping_Sheet!$E$2:$E$3143, ISNUMBER(
Master_Mapping_Sheet!$E$2:$E$3143),
Master_Mapping_Sheet!$C$2:$C$3143=C$1)))"),0.0)</f>
        <v>0</v>
      </c>
      <c r="D4" s="34">
        <f>IFERROR(__xludf.DUMMYFUNCTION("IF(ISNA(sum(filter(
Master_Mapping_Sheet!$E$2:$E$3143, ISNUMBER(
Master_Mapping_Sheet!$E$2:$E$3143),
Master_Mapping_Sheet!$C$2:$C$3143=D$1,
Master_Mapping_Sheet!$K$2:$K$3143=VALUE(RIGHT($A4,1))))/sum(filter(
Master_Mapping_Sheet!$E$2:$E$3143, ISNUMBER(
Ma"&amp;"ster_Mapping_Sheet!$E$2:$E$3143),
Master_Mapping_Sheet!$C$2:$C$3143=D$1))), 0, sum(filter(
Master_Mapping_Sheet!$E$2:$E$3143, ISNUMBER(
Master_Mapping_Sheet!$E$2:$E$3143),
Master_Mapping_Sheet!$C$2:$C$3143=D$1,
Master_Mapping_Sheet!$K$2:$K$3143=VALUE(RIGH"&amp;"T($A4,1))))/sum(filter(
Master_Mapping_Sheet!$E$2:$E$3143, ISNUMBER(
Master_Mapping_Sheet!$E$2:$E$3143),
Master_Mapping_Sheet!$C$2:$C$3143=D$1)))"),0.04820877623213244)</f>
        <v>0.04820877623</v>
      </c>
      <c r="E4" s="34">
        <f>IFERROR(__xludf.DUMMYFUNCTION("IF(ISNA(sum(filter(
Master_Mapping_Sheet!$E$2:$E$3143, ISNUMBER(
Master_Mapping_Sheet!$E$2:$E$3143),
Master_Mapping_Sheet!$C$2:$C$3143=E$1,
Master_Mapping_Sheet!$K$2:$K$3143=VALUE(RIGHT($A4,1))))/sum(filter(
Master_Mapping_Sheet!$E$2:$E$3143, ISNUMBER(
Ma"&amp;"ster_Mapping_Sheet!$E$2:$E$3143),
Master_Mapping_Sheet!$C$2:$C$3143=E$1))), 0, sum(filter(
Master_Mapping_Sheet!$E$2:$E$3143, ISNUMBER(
Master_Mapping_Sheet!$E$2:$E$3143),
Master_Mapping_Sheet!$C$2:$C$3143=E$1,
Master_Mapping_Sheet!$K$2:$K$3143=VALUE(RIGH"&amp;"T($A4,1))))/sum(filter(
Master_Mapping_Sheet!$E$2:$E$3143, ISNUMBER(
Master_Mapping_Sheet!$E$2:$E$3143),
Master_Mapping_Sheet!$C$2:$C$3143=E$1)))"),0.2430518702415987)</f>
        <v>0.2430518702</v>
      </c>
      <c r="F4" s="34">
        <f>IFERROR(__xludf.DUMMYFUNCTION("IF(ISNA(sum(filter(
Master_Mapping_Sheet!$E$2:$E$3143, ISNUMBER(
Master_Mapping_Sheet!$E$2:$E$3143),
Master_Mapping_Sheet!$C$2:$C$3143=F$1,
Master_Mapping_Sheet!$K$2:$K$3143=VALUE(RIGHT($A4,1))))/sum(filter(
Master_Mapping_Sheet!$E$2:$E$3143, ISNUMBER(
Ma"&amp;"ster_Mapping_Sheet!$E$2:$E$3143),
Master_Mapping_Sheet!$C$2:$C$3143=F$1))), 0, sum(filter(
Master_Mapping_Sheet!$E$2:$E$3143, ISNUMBER(
Master_Mapping_Sheet!$E$2:$E$3143),
Master_Mapping_Sheet!$C$2:$C$3143=F$1,
Master_Mapping_Sheet!$K$2:$K$3143=VALUE(RIGH"&amp;"T($A4,1))))/sum(filter(
Master_Mapping_Sheet!$E$2:$E$3143, ISNUMBER(
Master_Mapping_Sheet!$E$2:$E$3143),
Master_Mapping_Sheet!$C$2:$C$3143=F$1)))"),0.008800495354918426)</f>
        <v>0.008800495355</v>
      </c>
      <c r="G4" s="34">
        <f>IFERROR(__xludf.DUMMYFUNCTION("IF(ISNA(sum(filter(
Master_Mapping_Sheet!$E$2:$E$3143, ISNUMBER(
Master_Mapping_Sheet!$E$2:$E$3143),
Master_Mapping_Sheet!$C$2:$C$3143=G$1,
Master_Mapping_Sheet!$K$2:$K$3143=VALUE(RIGHT($A4,1))))/sum(filter(
Master_Mapping_Sheet!$E$2:$E$3143, ISNUMBER(
Ma"&amp;"ster_Mapping_Sheet!$E$2:$E$3143),
Master_Mapping_Sheet!$C$2:$C$3143=G$1))), 0, sum(filter(
Master_Mapping_Sheet!$E$2:$E$3143, ISNUMBER(
Master_Mapping_Sheet!$E$2:$E$3143),
Master_Mapping_Sheet!$C$2:$C$3143=G$1,
Master_Mapping_Sheet!$K$2:$K$3143=VALUE(RIGH"&amp;"T($A4,1))))/sum(filter(
Master_Mapping_Sheet!$E$2:$E$3143, ISNUMBER(
Master_Mapping_Sheet!$E$2:$E$3143),
Master_Mapping_Sheet!$C$2:$C$3143=G$1)))"),0.04860666155120874)</f>
        <v>0.04860666155</v>
      </c>
      <c r="H4" s="34">
        <f>IFERROR(__xludf.DUMMYFUNCTION("IF(ISNA(sum(filter(
Master_Mapping_Sheet!$E$2:$E$3143, ISNUMBER(
Master_Mapping_Sheet!$E$2:$E$3143),
Master_Mapping_Sheet!$C$2:$C$3143=H$1,
Master_Mapping_Sheet!$K$2:$K$3143=VALUE(RIGHT($A4,1))))/sum(filter(
Master_Mapping_Sheet!$E$2:$E$3143, ISNUMBER(
Ma"&amp;"ster_Mapping_Sheet!$E$2:$E$3143),
Master_Mapping_Sheet!$C$2:$C$3143=H$1))), 0, sum(filter(
Master_Mapping_Sheet!$E$2:$E$3143, ISNUMBER(
Master_Mapping_Sheet!$E$2:$E$3143),
Master_Mapping_Sheet!$C$2:$C$3143=H$1,
Master_Mapping_Sheet!$K$2:$K$3143=VALUE(RIGH"&amp;"T($A4,1))))/sum(filter(
Master_Mapping_Sheet!$E$2:$E$3143, ISNUMBER(
Master_Mapping_Sheet!$E$2:$E$3143),
Master_Mapping_Sheet!$C$2:$C$3143=H$1)))"),0.0)</f>
        <v>0</v>
      </c>
      <c r="I4" s="34">
        <f>IFERROR(__xludf.DUMMYFUNCTION("IF(ISNA(sum(filter(
Master_Mapping_Sheet!$E$2:$E$3143, ISNUMBER(
Master_Mapping_Sheet!$E$2:$E$3143),
Master_Mapping_Sheet!$C$2:$C$3143=I$1,
Master_Mapping_Sheet!$K$2:$K$3143=VALUE(RIGHT($A4,1))))/sum(filter(
Master_Mapping_Sheet!$E$2:$E$3143, ISNUMBER(
Ma"&amp;"ster_Mapping_Sheet!$E$2:$E$3143),
Master_Mapping_Sheet!$C$2:$C$3143=I$1))), 0, sum(filter(
Master_Mapping_Sheet!$E$2:$E$3143, ISNUMBER(
Master_Mapping_Sheet!$E$2:$E$3143),
Master_Mapping_Sheet!$C$2:$C$3143=I$1,
Master_Mapping_Sheet!$K$2:$K$3143=VALUE(RIGH"&amp;"T($A4,1))))/sum(filter(
Master_Mapping_Sheet!$E$2:$E$3143, ISNUMBER(
Master_Mapping_Sheet!$E$2:$E$3143),
Master_Mapping_Sheet!$C$2:$C$3143=I$1)))"),1.0)</f>
        <v>1</v>
      </c>
      <c r="J4" s="34">
        <f>IFERROR(__xludf.DUMMYFUNCTION("IF(ISNA(sum(filter(
Master_Mapping_Sheet!$E$2:$E$3143, ISNUMBER(
Master_Mapping_Sheet!$E$2:$E$3143),
Master_Mapping_Sheet!$C$2:$C$3143=J$1,
Master_Mapping_Sheet!$K$2:$K$3143=VALUE(RIGHT($A4,1))))/sum(filter(
Master_Mapping_Sheet!$E$2:$E$3143, ISNUMBER(
Ma"&amp;"ster_Mapping_Sheet!$E$2:$E$3143),
Master_Mapping_Sheet!$C$2:$C$3143=J$1))), 0, sum(filter(
Master_Mapping_Sheet!$E$2:$E$3143, ISNUMBER(
Master_Mapping_Sheet!$E$2:$E$3143),
Master_Mapping_Sheet!$C$2:$C$3143=J$1,
Master_Mapping_Sheet!$K$2:$K$3143=VALUE(RIGH"&amp;"T($A4,1))))/sum(filter(
Master_Mapping_Sheet!$E$2:$E$3143, ISNUMBER(
Master_Mapping_Sheet!$E$2:$E$3143),
Master_Mapping_Sheet!$C$2:$C$3143=J$1)))"),1.0)</f>
        <v>1</v>
      </c>
      <c r="K4" s="34">
        <f>IFERROR(__xludf.DUMMYFUNCTION("IF(ISNA(sum(filter(
Master_Mapping_Sheet!$E$2:$E$3143, ISNUMBER(
Master_Mapping_Sheet!$E$2:$E$3143),
Master_Mapping_Sheet!$C$2:$C$3143=K$1,
Master_Mapping_Sheet!$K$2:$K$3143=VALUE(RIGHT($A4,1))))/sum(filter(
Master_Mapping_Sheet!$E$2:$E$3143, ISNUMBER(
Ma"&amp;"ster_Mapping_Sheet!$E$2:$E$3143),
Master_Mapping_Sheet!$C$2:$C$3143=K$1))), 0, sum(filter(
Master_Mapping_Sheet!$E$2:$E$3143, ISNUMBER(
Master_Mapping_Sheet!$E$2:$E$3143),
Master_Mapping_Sheet!$C$2:$C$3143=K$1,
Master_Mapping_Sheet!$K$2:$K$3143=VALUE(RIGH"&amp;"T($A4,1))))/sum(filter(
Master_Mapping_Sheet!$E$2:$E$3143, ISNUMBER(
Master_Mapping_Sheet!$E$2:$E$3143),
Master_Mapping_Sheet!$C$2:$C$3143=K$1)))"),0.0)</f>
        <v>0</v>
      </c>
      <c r="L4" s="34">
        <f>IFERROR(__xludf.DUMMYFUNCTION("IF(ISNA(sum(filter(
Master_Mapping_Sheet!$E$2:$E$3143, ISNUMBER(
Master_Mapping_Sheet!$E$2:$E$3143),
Master_Mapping_Sheet!$C$2:$C$3143=L$1,
Master_Mapping_Sheet!$K$2:$K$3143=VALUE(RIGHT($A4,1))))/sum(filter(
Master_Mapping_Sheet!$E$2:$E$3143, ISNUMBER(
Ma"&amp;"ster_Mapping_Sheet!$E$2:$E$3143),
Master_Mapping_Sheet!$C$2:$C$3143=L$1))), 0, sum(filter(
Master_Mapping_Sheet!$E$2:$E$3143, ISNUMBER(
Master_Mapping_Sheet!$E$2:$E$3143),
Master_Mapping_Sheet!$C$2:$C$3143=L$1,
Master_Mapping_Sheet!$K$2:$K$3143=VALUE(RIGH"&amp;"T($A4,1))))/sum(filter(
Master_Mapping_Sheet!$E$2:$E$3143, ISNUMBER(
Master_Mapping_Sheet!$E$2:$E$3143),
Master_Mapping_Sheet!$C$2:$C$3143=L$1)))"),0.0)</f>
        <v>0</v>
      </c>
      <c r="M4" s="34">
        <f>IFERROR(__xludf.DUMMYFUNCTION("IF(ISNA(sum(filter(
Master_Mapping_Sheet!$E$2:$E$3143, ISNUMBER(
Master_Mapping_Sheet!$E$2:$E$3143),
Master_Mapping_Sheet!$C$2:$C$3143=M$1,
Master_Mapping_Sheet!$K$2:$K$3143=VALUE(RIGHT($A4,1))))/sum(filter(
Master_Mapping_Sheet!$E$2:$E$3143, ISNUMBER(
Ma"&amp;"ster_Mapping_Sheet!$E$2:$E$3143),
Master_Mapping_Sheet!$C$2:$C$3143=M$1))), 0, sum(filter(
Master_Mapping_Sheet!$E$2:$E$3143, ISNUMBER(
Master_Mapping_Sheet!$E$2:$E$3143),
Master_Mapping_Sheet!$C$2:$C$3143=M$1,
Master_Mapping_Sheet!$K$2:$K$3143=VALUE(RIGH"&amp;"T($A4,1))))/sum(filter(
Master_Mapping_Sheet!$E$2:$E$3143, ISNUMBER(
Master_Mapping_Sheet!$E$2:$E$3143),
Master_Mapping_Sheet!$C$2:$C$3143=M$1)))"),0.0)</f>
        <v>0</v>
      </c>
      <c r="N4" s="34">
        <f>IFERROR(__xludf.DUMMYFUNCTION("IF(ISNA(sum(filter(
Master_Mapping_Sheet!$E$2:$E$3143, ISNUMBER(
Master_Mapping_Sheet!$E$2:$E$3143),
Master_Mapping_Sheet!$C$2:$C$3143=N$1,
Master_Mapping_Sheet!$K$2:$K$3143=VALUE(RIGHT($A4,1))))/sum(filter(
Master_Mapping_Sheet!$E$2:$E$3143, ISNUMBER(
Ma"&amp;"ster_Mapping_Sheet!$E$2:$E$3143),
Master_Mapping_Sheet!$C$2:$C$3143=N$1))), 0, sum(filter(
Master_Mapping_Sheet!$E$2:$E$3143, ISNUMBER(
Master_Mapping_Sheet!$E$2:$E$3143),
Master_Mapping_Sheet!$C$2:$C$3143=N$1,
Master_Mapping_Sheet!$K$2:$K$3143=VALUE(RIGH"&amp;"T($A4,1))))/sum(filter(
Master_Mapping_Sheet!$E$2:$E$3143, ISNUMBER(
Master_Mapping_Sheet!$E$2:$E$3143),
Master_Mapping_Sheet!$C$2:$C$3143=N$1)))"),0.0)</f>
        <v>0</v>
      </c>
      <c r="O4" s="34">
        <f>IFERROR(__xludf.DUMMYFUNCTION("IF(ISNA(sum(filter(
Master_Mapping_Sheet!$E$2:$E$3143, ISNUMBER(
Master_Mapping_Sheet!$E$2:$E$3143),
Master_Mapping_Sheet!$C$2:$C$3143=O$1,
Master_Mapping_Sheet!$K$2:$K$3143=VALUE(RIGHT($A4,1))))/sum(filter(
Master_Mapping_Sheet!$E$2:$E$3143, ISNUMBER(
Ma"&amp;"ster_Mapping_Sheet!$E$2:$E$3143),
Master_Mapping_Sheet!$C$2:$C$3143=O$1))), 0, sum(filter(
Master_Mapping_Sheet!$E$2:$E$3143, ISNUMBER(
Master_Mapping_Sheet!$E$2:$E$3143),
Master_Mapping_Sheet!$C$2:$C$3143=O$1,
Master_Mapping_Sheet!$K$2:$K$3143=VALUE(RIGH"&amp;"T($A4,1))))/sum(filter(
Master_Mapping_Sheet!$E$2:$E$3143, ISNUMBER(
Master_Mapping_Sheet!$E$2:$E$3143),
Master_Mapping_Sheet!$C$2:$C$3143=O$1)))"),0.10562197995504112)</f>
        <v>0.10562198</v>
      </c>
      <c r="P4" s="34">
        <f>IFERROR(__xludf.DUMMYFUNCTION("IF(ISNA(sum(filter(
Master_Mapping_Sheet!$E$2:$E$3143, ISNUMBER(
Master_Mapping_Sheet!$E$2:$E$3143),
Master_Mapping_Sheet!$C$2:$C$3143=P$1,
Master_Mapping_Sheet!$K$2:$K$3143=VALUE(RIGHT($A4,1))))/sum(filter(
Master_Mapping_Sheet!$E$2:$E$3143, ISNUMBER(
Ma"&amp;"ster_Mapping_Sheet!$E$2:$E$3143),
Master_Mapping_Sheet!$C$2:$C$3143=P$1))), 0, sum(filter(
Master_Mapping_Sheet!$E$2:$E$3143, ISNUMBER(
Master_Mapping_Sheet!$E$2:$E$3143),
Master_Mapping_Sheet!$C$2:$C$3143=P$1,
Master_Mapping_Sheet!$K$2:$K$3143=VALUE(RIGH"&amp;"T($A4,1))))/sum(filter(
Master_Mapping_Sheet!$E$2:$E$3143, ISNUMBER(
Master_Mapping_Sheet!$E$2:$E$3143),
Master_Mapping_Sheet!$C$2:$C$3143=P$1)))"),0.19627425552654476)</f>
        <v>0.1962742555</v>
      </c>
      <c r="Q4" s="34">
        <f>IFERROR(__xludf.DUMMYFUNCTION("IF(ISNA(sum(filter(
Master_Mapping_Sheet!$E$2:$E$3143, ISNUMBER(
Master_Mapping_Sheet!$E$2:$E$3143),
Master_Mapping_Sheet!$C$2:$C$3143=Q$1,
Master_Mapping_Sheet!$K$2:$K$3143=VALUE(RIGHT($A4,1))))/sum(filter(
Master_Mapping_Sheet!$E$2:$E$3143, ISNUMBER(
Ma"&amp;"ster_Mapping_Sheet!$E$2:$E$3143),
Master_Mapping_Sheet!$C$2:$C$3143=Q$1))), 0, sum(filter(
Master_Mapping_Sheet!$E$2:$E$3143, ISNUMBER(
Master_Mapping_Sheet!$E$2:$E$3143),
Master_Mapping_Sheet!$C$2:$C$3143=Q$1,
Master_Mapping_Sheet!$K$2:$K$3143=VALUE(RIGH"&amp;"T($A4,1))))/sum(filter(
Master_Mapping_Sheet!$E$2:$E$3143, ISNUMBER(
Master_Mapping_Sheet!$E$2:$E$3143),
Master_Mapping_Sheet!$C$2:$C$3143=Q$1)))"),0.0)</f>
        <v>0</v>
      </c>
      <c r="R4" s="34">
        <f>IFERROR(__xludf.DUMMYFUNCTION("IF(ISNA(sum(filter(
Master_Mapping_Sheet!$E$2:$E$3143, ISNUMBER(
Master_Mapping_Sheet!$E$2:$E$3143),
Master_Mapping_Sheet!$C$2:$C$3143=R$1,
Master_Mapping_Sheet!$K$2:$K$3143=VALUE(RIGHT($A4,1))))/sum(filter(
Master_Mapping_Sheet!$E$2:$E$3143, ISNUMBER(
Ma"&amp;"ster_Mapping_Sheet!$E$2:$E$3143),
Master_Mapping_Sheet!$C$2:$C$3143=R$1))), 0, sum(filter(
Master_Mapping_Sheet!$E$2:$E$3143, ISNUMBER(
Master_Mapping_Sheet!$E$2:$E$3143),
Master_Mapping_Sheet!$C$2:$C$3143=R$1,
Master_Mapping_Sheet!$K$2:$K$3143=VALUE(RIGH"&amp;"T($A4,1))))/sum(filter(
Master_Mapping_Sheet!$E$2:$E$3143, ISNUMBER(
Master_Mapping_Sheet!$E$2:$E$3143),
Master_Mapping_Sheet!$C$2:$C$3143=R$1)))"),0.9535899115334363)</f>
        <v>0.9535899115</v>
      </c>
      <c r="S4" s="34">
        <f>IFERROR(__xludf.DUMMYFUNCTION("IF(ISNA(sum(filter(
Master_Mapping_Sheet!$E$2:$E$3143, ISNUMBER(
Master_Mapping_Sheet!$E$2:$E$3143),
Master_Mapping_Sheet!$C$2:$C$3143=S$1,
Master_Mapping_Sheet!$K$2:$K$3143=VALUE(RIGHT($A4,1))))/sum(filter(
Master_Mapping_Sheet!$E$2:$E$3143, ISNUMBER(
Ma"&amp;"ster_Mapping_Sheet!$E$2:$E$3143),
Master_Mapping_Sheet!$C$2:$C$3143=S$1))), 0, sum(filter(
Master_Mapping_Sheet!$E$2:$E$3143, ISNUMBER(
Master_Mapping_Sheet!$E$2:$E$3143),
Master_Mapping_Sheet!$C$2:$C$3143=S$1,
Master_Mapping_Sheet!$K$2:$K$3143=VALUE(RIGH"&amp;"T($A4,1))))/sum(filter(
Master_Mapping_Sheet!$E$2:$E$3143, ISNUMBER(
Master_Mapping_Sheet!$E$2:$E$3143),
Master_Mapping_Sheet!$C$2:$C$3143=S$1)))"),1.0)</f>
        <v>1</v>
      </c>
      <c r="T4" s="34">
        <f>IFERROR(__xludf.DUMMYFUNCTION("IF(ISNA(sum(filter(
Master_Mapping_Sheet!$E$2:$E$3143, ISNUMBER(
Master_Mapping_Sheet!$E$2:$E$3143),
Master_Mapping_Sheet!$C$2:$C$3143=T$1,
Master_Mapping_Sheet!$K$2:$K$3143=VALUE(RIGHT($A4,1))))/sum(filter(
Master_Mapping_Sheet!$E$2:$E$3143, ISNUMBER(
Ma"&amp;"ster_Mapping_Sheet!$E$2:$E$3143),
Master_Mapping_Sheet!$C$2:$C$3143=T$1))), 0, sum(filter(
Master_Mapping_Sheet!$E$2:$E$3143, ISNUMBER(
Master_Mapping_Sheet!$E$2:$E$3143),
Master_Mapping_Sheet!$C$2:$C$3143=T$1,
Master_Mapping_Sheet!$K$2:$K$3143=VALUE(RIGH"&amp;"T($A4,1))))/sum(filter(
Master_Mapping_Sheet!$E$2:$E$3143, ISNUMBER(
Master_Mapping_Sheet!$E$2:$E$3143),
Master_Mapping_Sheet!$C$2:$C$3143=T$1)))"),0.0)</f>
        <v>0</v>
      </c>
      <c r="U4" s="34">
        <f>IFERROR(__xludf.DUMMYFUNCTION("IF(ISNA(sum(filter(
Master_Mapping_Sheet!$E$2:$E$3143, ISNUMBER(
Master_Mapping_Sheet!$E$2:$E$3143),
Master_Mapping_Sheet!$C$2:$C$3143=U$1,
Master_Mapping_Sheet!$K$2:$K$3143=VALUE(RIGHT($A4,1))))/sum(filter(
Master_Mapping_Sheet!$E$2:$E$3143, ISNUMBER(
Ma"&amp;"ster_Mapping_Sheet!$E$2:$E$3143),
Master_Mapping_Sheet!$C$2:$C$3143=U$1))), 0, sum(filter(
Master_Mapping_Sheet!$E$2:$E$3143, ISNUMBER(
Master_Mapping_Sheet!$E$2:$E$3143),
Master_Mapping_Sheet!$C$2:$C$3143=U$1,
Master_Mapping_Sheet!$K$2:$K$3143=VALUE(RIGH"&amp;"T($A4,1))))/sum(filter(
Master_Mapping_Sheet!$E$2:$E$3143, ISNUMBER(
Master_Mapping_Sheet!$E$2:$E$3143),
Master_Mapping_Sheet!$C$2:$C$3143=U$1)))"),0.0)</f>
        <v>0</v>
      </c>
      <c r="V4" s="34">
        <f>IFERROR(__xludf.DUMMYFUNCTION("IF(ISNA(sum(filter(
Master_Mapping_Sheet!$E$2:$E$3143, ISNUMBER(
Master_Mapping_Sheet!$E$2:$E$3143),
Master_Mapping_Sheet!$C$2:$C$3143=V$1,
Master_Mapping_Sheet!$K$2:$K$3143=VALUE(RIGHT($A4,1))))/sum(filter(
Master_Mapping_Sheet!$E$2:$E$3143, ISNUMBER(
Ma"&amp;"ster_Mapping_Sheet!$E$2:$E$3143),
Master_Mapping_Sheet!$C$2:$C$3143=V$1))), 0, sum(filter(
Master_Mapping_Sheet!$E$2:$E$3143, ISNUMBER(
Master_Mapping_Sheet!$E$2:$E$3143),
Master_Mapping_Sheet!$C$2:$C$3143=V$1,
Master_Mapping_Sheet!$K$2:$K$3143=VALUE(RIGH"&amp;"T($A4,1))))/sum(filter(
Master_Mapping_Sheet!$E$2:$E$3143, ISNUMBER(
Master_Mapping_Sheet!$E$2:$E$3143),
Master_Mapping_Sheet!$C$2:$C$3143=V$1)))"),0.9845158442542724)</f>
        <v>0.9845158443</v>
      </c>
      <c r="W4" s="34">
        <f>IFERROR(__xludf.DUMMYFUNCTION("IF(ISNA(sum(filter(
Master_Mapping_Sheet!$E$2:$E$3143, ISNUMBER(
Master_Mapping_Sheet!$E$2:$E$3143),
Master_Mapping_Sheet!$C$2:$C$3143=W$1,
Master_Mapping_Sheet!$K$2:$K$3143=VALUE(RIGHT($A4,1))))/sum(filter(
Master_Mapping_Sheet!$E$2:$E$3143, ISNUMBER(
Ma"&amp;"ster_Mapping_Sheet!$E$2:$E$3143),
Master_Mapping_Sheet!$C$2:$C$3143=W$1))), 0, sum(filter(
Master_Mapping_Sheet!$E$2:$E$3143, ISNUMBER(
Master_Mapping_Sheet!$E$2:$E$3143),
Master_Mapping_Sheet!$C$2:$C$3143=W$1,
Master_Mapping_Sheet!$K$2:$K$3143=VALUE(RIGH"&amp;"T($A4,1))))/sum(filter(
Master_Mapping_Sheet!$E$2:$E$3143, ISNUMBER(
Master_Mapping_Sheet!$E$2:$E$3143),
Master_Mapping_Sheet!$C$2:$C$3143=W$1)))"),0.0)</f>
        <v>0</v>
      </c>
      <c r="X4" s="34">
        <f>IFERROR(__xludf.DUMMYFUNCTION("IF(ISNA(sum(filter(
Master_Mapping_Sheet!$E$2:$E$3143, ISNUMBER(
Master_Mapping_Sheet!$E$2:$E$3143),
Master_Mapping_Sheet!$C$2:$C$3143=X$1,
Master_Mapping_Sheet!$K$2:$K$3143=VALUE(RIGHT($A4,1))))/sum(filter(
Master_Mapping_Sheet!$E$2:$E$3143, ISNUMBER(
Ma"&amp;"ster_Mapping_Sheet!$E$2:$E$3143),
Master_Mapping_Sheet!$C$2:$C$3143=X$1))), 0, sum(filter(
Master_Mapping_Sheet!$E$2:$E$3143, ISNUMBER(
Master_Mapping_Sheet!$E$2:$E$3143),
Master_Mapping_Sheet!$C$2:$C$3143=X$1,
Master_Mapping_Sheet!$K$2:$K$3143=VALUE(RIGH"&amp;"T($A4,1))))/sum(filter(
Master_Mapping_Sheet!$E$2:$E$3143, ISNUMBER(
Master_Mapping_Sheet!$E$2:$E$3143),
Master_Mapping_Sheet!$C$2:$C$3143=X$1)))"),0.0)</f>
        <v>0</v>
      </c>
      <c r="Y4" s="34">
        <f>IFERROR(__xludf.DUMMYFUNCTION("IF(ISNA(sum(filter(
Master_Mapping_Sheet!$E$2:$E$3143, ISNUMBER(
Master_Mapping_Sheet!$E$2:$E$3143),
Master_Mapping_Sheet!$C$2:$C$3143=Y$1,
Master_Mapping_Sheet!$K$2:$K$3143=VALUE(RIGHT($A4,1))))/sum(filter(
Master_Mapping_Sheet!$E$2:$E$3143, ISNUMBER(
Ma"&amp;"ster_Mapping_Sheet!$E$2:$E$3143),
Master_Mapping_Sheet!$C$2:$C$3143=Y$1))), 0, sum(filter(
Master_Mapping_Sheet!$E$2:$E$3143, ISNUMBER(
Master_Mapping_Sheet!$E$2:$E$3143),
Master_Mapping_Sheet!$C$2:$C$3143=Y$1,
Master_Mapping_Sheet!$K$2:$K$3143=VALUE(RIGH"&amp;"T($A4,1))))/sum(filter(
Master_Mapping_Sheet!$E$2:$E$3143, ISNUMBER(
Master_Mapping_Sheet!$E$2:$E$3143),
Master_Mapping_Sheet!$C$2:$C$3143=Y$1)))"),0.0)</f>
        <v>0</v>
      </c>
      <c r="Z4" s="34">
        <f>IFERROR(__xludf.DUMMYFUNCTION("IF(ISNA(sum(filter(
Master_Mapping_Sheet!$E$2:$E$3143, ISNUMBER(
Master_Mapping_Sheet!$E$2:$E$3143),
Master_Mapping_Sheet!$C$2:$C$3143=Z$1,
Master_Mapping_Sheet!$K$2:$K$3143=VALUE(RIGHT($A4,1))))/sum(filter(
Master_Mapping_Sheet!$E$2:$E$3143, ISNUMBER(
Ma"&amp;"ster_Mapping_Sheet!$E$2:$E$3143),
Master_Mapping_Sheet!$C$2:$C$3143=Z$1))), 0, sum(filter(
Master_Mapping_Sheet!$E$2:$E$3143, ISNUMBER(
Master_Mapping_Sheet!$E$2:$E$3143),
Master_Mapping_Sheet!$C$2:$C$3143=Z$1,
Master_Mapping_Sheet!$K$2:$K$3143=VALUE(RIGH"&amp;"T($A4,1))))/sum(filter(
Master_Mapping_Sheet!$E$2:$E$3143, ISNUMBER(
Master_Mapping_Sheet!$E$2:$E$3143),
Master_Mapping_Sheet!$C$2:$C$3143=Z$1)))"),0.0)</f>
        <v>0</v>
      </c>
      <c r="AA4" s="34">
        <f>IFERROR(__xludf.DUMMYFUNCTION("IF(ISNA(sum(filter(
Master_Mapping_Sheet!$E$2:$E$3143, ISNUMBER(
Master_Mapping_Sheet!$E$2:$E$3143),
Master_Mapping_Sheet!$C$2:$C$3143=AA$1,
Master_Mapping_Sheet!$K$2:$K$3143=VALUE(RIGHT($A4,1))))/sum(filter(
Master_Mapping_Sheet!$E$2:$E$3143, ISNUMBER(
M"&amp;"aster_Mapping_Sheet!$E$2:$E$3143),
Master_Mapping_Sheet!$C$2:$C$3143=AA$1))), 0, sum(filter(
Master_Mapping_Sheet!$E$2:$E$3143, ISNUMBER(
Master_Mapping_Sheet!$E$2:$E$3143),
Master_Mapping_Sheet!$C$2:$C$3143=AA$1,
Master_Mapping_Sheet!$K$2:$K$3143=VALUE(R"&amp;"IGHT($A4,1))))/sum(filter(
Master_Mapping_Sheet!$E$2:$E$3143, ISNUMBER(
Master_Mapping_Sheet!$E$2:$E$3143),
Master_Mapping_Sheet!$C$2:$C$3143=AA$1)))"),0.9271414405963956)</f>
        <v>0.9271414406</v>
      </c>
      <c r="AB4" s="34">
        <f>IFERROR(__xludf.DUMMYFUNCTION("IF(ISNA(sum(filter(
Master_Mapping_Sheet!$E$2:$E$3143, ISNUMBER(
Master_Mapping_Sheet!$E$2:$E$3143),
Master_Mapping_Sheet!$C$2:$C$3143=AB$1,
Master_Mapping_Sheet!$K$2:$K$3143=VALUE(RIGHT($A4,1))))/sum(filter(
Master_Mapping_Sheet!$E$2:$E$3143, ISNUMBER(
M"&amp;"aster_Mapping_Sheet!$E$2:$E$3143),
Master_Mapping_Sheet!$C$2:$C$3143=AB$1))), 0, sum(filter(
Master_Mapping_Sheet!$E$2:$E$3143, ISNUMBER(
Master_Mapping_Sheet!$E$2:$E$3143),
Master_Mapping_Sheet!$C$2:$C$3143=AB$1,
Master_Mapping_Sheet!$K$2:$K$3143=VALUE(R"&amp;"IGHT($A4,1))))/sum(filter(
Master_Mapping_Sheet!$E$2:$E$3143, ISNUMBER(
Master_Mapping_Sheet!$E$2:$E$3143),
Master_Mapping_Sheet!$C$2:$C$3143=AB$1)))"),0.0)</f>
        <v>0</v>
      </c>
      <c r="AC4" s="34">
        <f>IFERROR(__xludf.DUMMYFUNCTION("IF(ISNA(sum(filter(
Master_Mapping_Sheet!$E$2:$E$3143, ISNUMBER(
Master_Mapping_Sheet!$E$2:$E$3143),
Master_Mapping_Sheet!$C$2:$C$3143=AC$1,
Master_Mapping_Sheet!$K$2:$K$3143=VALUE(RIGHT($A4,1))))/sum(filter(
Master_Mapping_Sheet!$E$2:$E$3143, ISNUMBER(
M"&amp;"aster_Mapping_Sheet!$E$2:$E$3143),
Master_Mapping_Sheet!$C$2:$C$3143=AC$1))), 0, sum(filter(
Master_Mapping_Sheet!$E$2:$E$3143, ISNUMBER(
Master_Mapping_Sheet!$E$2:$E$3143),
Master_Mapping_Sheet!$C$2:$C$3143=AC$1,
Master_Mapping_Sheet!$K$2:$K$3143=VALUE(R"&amp;"IGHT($A4,1))))/sum(filter(
Master_Mapping_Sheet!$E$2:$E$3143, ISNUMBER(
Master_Mapping_Sheet!$E$2:$E$3143),
Master_Mapping_Sheet!$C$2:$C$3143=AC$1)))"),0.0)</f>
        <v>0</v>
      </c>
      <c r="AD4" s="34">
        <f>IFERROR(__xludf.DUMMYFUNCTION("IF(ISNA(sum(filter(
Master_Mapping_Sheet!$E$2:$E$3143, ISNUMBER(
Master_Mapping_Sheet!$E$2:$E$3143),
Master_Mapping_Sheet!$C$2:$C$3143=AD$1,
Master_Mapping_Sheet!$K$2:$K$3143=VALUE(RIGHT($A4,1))))/sum(filter(
Master_Mapping_Sheet!$E$2:$E$3143, ISNUMBER(
M"&amp;"aster_Mapping_Sheet!$E$2:$E$3143),
Master_Mapping_Sheet!$C$2:$C$3143=AD$1))), 0, sum(filter(
Master_Mapping_Sheet!$E$2:$E$3143, ISNUMBER(
Master_Mapping_Sheet!$E$2:$E$3143),
Master_Mapping_Sheet!$C$2:$C$3143=AD$1,
Master_Mapping_Sheet!$K$2:$K$3143=VALUE(R"&amp;"IGHT($A4,1))))/sum(filter(
Master_Mapping_Sheet!$E$2:$E$3143, ISNUMBER(
Master_Mapping_Sheet!$E$2:$E$3143),
Master_Mapping_Sheet!$C$2:$C$3143=AD$1)))"),0.0)</f>
        <v>0</v>
      </c>
      <c r="AE4" s="34">
        <f>IFERROR(__xludf.DUMMYFUNCTION("IF(ISNA(sum(filter(
Master_Mapping_Sheet!$E$2:$E$3143, ISNUMBER(
Master_Mapping_Sheet!$E$2:$E$3143),
Master_Mapping_Sheet!$C$2:$C$3143=AE$1,
Master_Mapping_Sheet!$K$2:$K$3143=VALUE(RIGHT($A4,1))))/sum(filter(
Master_Mapping_Sheet!$E$2:$E$3143, ISNUMBER(
M"&amp;"aster_Mapping_Sheet!$E$2:$E$3143),
Master_Mapping_Sheet!$C$2:$C$3143=AE$1))), 0, sum(filter(
Master_Mapping_Sheet!$E$2:$E$3143, ISNUMBER(
Master_Mapping_Sheet!$E$2:$E$3143),
Master_Mapping_Sheet!$C$2:$C$3143=AE$1,
Master_Mapping_Sheet!$K$2:$K$3143=VALUE(R"&amp;"IGHT($A4,1))))/sum(filter(
Master_Mapping_Sheet!$E$2:$E$3143, ISNUMBER(
Master_Mapping_Sheet!$E$2:$E$3143),
Master_Mapping_Sheet!$C$2:$C$3143=AE$1)))"),0.0)</f>
        <v>0</v>
      </c>
      <c r="AF4" s="34">
        <f>IFERROR(__xludf.DUMMYFUNCTION("IF(ISNA(sum(filter(
Master_Mapping_Sheet!$E$2:$E$3143, ISNUMBER(
Master_Mapping_Sheet!$E$2:$E$3143),
Master_Mapping_Sheet!$C$2:$C$3143=AF$1,
Master_Mapping_Sheet!$K$2:$K$3143=VALUE(RIGHT($A4,1))))/sum(filter(
Master_Mapping_Sheet!$E$2:$E$3143, ISNUMBER(
M"&amp;"aster_Mapping_Sheet!$E$2:$E$3143),
Master_Mapping_Sheet!$C$2:$C$3143=AF$1))), 0, sum(filter(
Master_Mapping_Sheet!$E$2:$E$3143, ISNUMBER(
Master_Mapping_Sheet!$E$2:$E$3143),
Master_Mapping_Sheet!$C$2:$C$3143=AF$1,
Master_Mapping_Sheet!$K$2:$K$3143=VALUE(R"&amp;"IGHT($A4,1))))/sum(filter(
Master_Mapping_Sheet!$E$2:$E$3143, ISNUMBER(
Master_Mapping_Sheet!$E$2:$E$3143),
Master_Mapping_Sheet!$C$2:$C$3143=AF$1)))"),0.7070272755717163)</f>
        <v>0.7070272756</v>
      </c>
      <c r="AG4" s="34">
        <f>IFERROR(__xludf.DUMMYFUNCTION("IF(ISNA(sum(filter(
Master_Mapping_Sheet!$E$2:$E$3143, ISNUMBER(
Master_Mapping_Sheet!$E$2:$E$3143),
Master_Mapping_Sheet!$C$2:$C$3143=AG$1,
Master_Mapping_Sheet!$K$2:$K$3143=VALUE(RIGHT($A4,1))))/sum(filter(
Master_Mapping_Sheet!$E$2:$E$3143, ISNUMBER(
M"&amp;"aster_Mapping_Sheet!$E$2:$E$3143),
Master_Mapping_Sheet!$C$2:$C$3143=AG$1))), 0, sum(filter(
Master_Mapping_Sheet!$E$2:$E$3143, ISNUMBER(
Master_Mapping_Sheet!$E$2:$E$3143),
Master_Mapping_Sheet!$C$2:$C$3143=AG$1,
Master_Mapping_Sheet!$K$2:$K$3143=VALUE(R"&amp;"IGHT($A4,1))))/sum(filter(
Master_Mapping_Sheet!$E$2:$E$3143, ISNUMBER(
Master_Mapping_Sheet!$E$2:$E$3143),
Master_Mapping_Sheet!$C$2:$C$3143=AG$1)))"),0.42159488566576064)</f>
        <v>0.4215948857</v>
      </c>
      <c r="AH4" s="34">
        <f>IFERROR(__xludf.DUMMYFUNCTION("IF(ISNA(sum(filter(
Master_Mapping_Sheet!$E$2:$E$3143, ISNUMBER(
Master_Mapping_Sheet!$E$2:$E$3143),
Master_Mapping_Sheet!$C$2:$C$3143=AH$1,
Master_Mapping_Sheet!$K$2:$K$3143=VALUE(RIGHT($A4,1))))/sum(filter(
Master_Mapping_Sheet!$E$2:$E$3143, ISNUMBER(
M"&amp;"aster_Mapping_Sheet!$E$2:$E$3143),
Master_Mapping_Sheet!$C$2:$C$3143=AH$1))), 0, sum(filter(
Master_Mapping_Sheet!$E$2:$E$3143, ISNUMBER(
Master_Mapping_Sheet!$E$2:$E$3143),
Master_Mapping_Sheet!$C$2:$C$3143=AH$1,
Master_Mapping_Sheet!$K$2:$K$3143=VALUE(R"&amp;"IGHT($A4,1))))/sum(filter(
Master_Mapping_Sheet!$E$2:$E$3143, ISNUMBER(
Master_Mapping_Sheet!$E$2:$E$3143),
Master_Mapping_Sheet!$C$2:$C$3143=AH$1)))"),0.543173556512789)</f>
        <v>0.5431735565</v>
      </c>
      <c r="AI4" s="34">
        <f>IFERROR(__xludf.DUMMYFUNCTION("IF(ISNA(sum(filter(
Master_Mapping_Sheet!$E$2:$E$3143, ISNUMBER(
Master_Mapping_Sheet!$E$2:$E$3143),
Master_Mapping_Sheet!$C$2:$C$3143=AI$1,
Master_Mapping_Sheet!$K$2:$K$3143=VALUE(RIGHT($A4,1))))/sum(filter(
Master_Mapping_Sheet!$E$2:$E$3143, ISNUMBER(
M"&amp;"aster_Mapping_Sheet!$E$2:$E$3143),
Master_Mapping_Sheet!$C$2:$C$3143=AI$1))), 0, sum(filter(
Master_Mapping_Sheet!$E$2:$E$3143, ISNUMBER(
Master_Mapping_Sheet!$E$2:$E$3143),
Master_Mapping_Sheet!$C$2:$C$3143=AI$1,
Master_Mapping_Sheet!$K$2:$K$3143=VALUE(R"&amp;"IGHT($A4,1))))/sum(filter(
Master_Mapping_Sheet!$E$2:$E$3143, ISNUMBER(
Master_Mapping_Sheet!$E$2:$E$3143),
Master_Mapping_Sheet!$C$2:$C$3143=AI$1)))"),0.09119614422641299)</f>
        <v>0.09119614423</v>
      </c>
      <c r="AJ4" s="34">
        <f>IFERROR(__xludf.DUMMYFUNCTION("IF(ISNA(sum(filter(
Master_Mapping_Sheet!$E$2:$E$3143, ISNUMBER(
Master_Mapping_Sheet!$E$2:$E$3143),
Master_Mapping_Sheet!$C$2:$C$3143=AJ$1,
Master_Mapping_Sheet!$K$2:$K$3143=VALUE(RIGHT($A4,1))))/sum(filter(
Master_Mapping_Sheet!$E$2:$E$3143, ISNUMBER(
M"&amp;"aster_Mapping_Sheet!$E$2:$E$3143),
Master_Mapping_Sheet!$C$2:$C$3143=AJ$1))), 0, sum(filter(
Master_Mapping_Sheet!$E$2:$E$3143, ISNUMBER(
Master_Mapping_Sheet!$E$2:$E$3143),
Master_Mapping_Sheet!$C$2:$C$3143=AJ$1,
Master_Mapping_Sheet!$K$2:$K$3143=VALUE(R"&amp;"IGHT($A4,1))))/sum(filter(
Master_Mapping_Sheet!$E$2:$E$3143, ISNUMBER(
Master_Mapping_Sheet!$E$2:$E$3143),
Master_Mapping_Sheet!$C$2:$C$3143=AJ$1)))"),0.0)</f>
        <v>0</v>
      </c>
      <c r="AK4" s="34">
        <f>IFERROR(__xludf.DUMMYFUNCTION("IF(ISNA(sum(filter(
Master_Mapping_Sheet!$E$2:$E$3143, ISNUMBER(
Master_Mapping_Sheet!$E$2:$E$3143),
Master_Mapping_Sheet!$C$2:$C$3143=AK$1,
Master_Mapping_Sheet!$K$2:$K$3143=VALUE(RIGHT($A4,1))))/sum(filter(
Master_Mapping_Sheet!$E$2:$E$3143, ISNUMBER(
M"&amp;"aster_Mapping_Sheet!$E$2:$E$3143),
Master_Mapping_Sheet!$C$2:$C$3143=AK$1))), 0, sum(filter(
Master_Mapping_Sheet!$E$2:$E$3143, ISNUMBER(
Master_Mapping_Sheet!$E$2:$E$3143),
Master_Mapping_Sheet!$C$2:$C$3143=AK$1,
Master_Mapping_Sheet!$K$2:$K$3143=VALUE(R"&amp;"IGHT($A4,1))))/sum(filter(
Master_Mapping_Sheet!$E$2:$E$3143, ISNUMBER(
Master_Mapping_Sheet!$E$2:$E$3143),
Master_Mapping_Sheet!$C$2:$C$3143=AK$1)))"),0.12948875078642466)</f>
        <v>0.1294887508</v>
      </c>
      <c r="AL4" s="34">
        <f>IFERROR(__xludf.DUMMYFUNCTION("IF(ISNA(sum(filter(
Master_Mapping_Sheet!$E$2:$E$3143, ISNUMBER(
Master_Mapping_Sheet!$E$2:$E$3143),
Master_Mapping_Sheet!$C$2:$C$3143=AL$1,
Master_Mapping_Sheet!$K$2:$K$3143=VALUE(RIGHT($A4,1))))/sum(filter(
Master_Mapping_Sheet!$E$2:$E$3143, ISNUMBER(
M"&amp;"aster_Mapping_Sheet!$E$2:$E$3143),
Master_Mapping_Sheet!$C$2:$C$3143=AL$1))), 0, sum(filter(
Master_Mapping_Sheet!$E$2:$E$3143, ISNUMBER(
Master_Mapping_Sheet!$E$2:$E$3143),
Master_Mapping_Sheet!$C$2:$C$3143=AL$1,
Master_Mapping_Sheet!$K$2:$K$3143=VALUE(R"&amp;"IGHT($A4,1))))/sum(filter(
Master_Mapping_Sheet!$E$2:$E$3143, ISNUMBER(
Master_Mapping_Sheet!$E$2:$E$3143),
Master_Mapping_Sheet!$C$2:$C$3143=AL$1)))"),0.08167522813027897)</f>
        <v>0.08167522813</v>
      </c>
      <c r="AM4" s="34">
        <f>IFERROR(__xludf.DUMMYFUNCTION("IF(ISNA(sum(filter(
Master_Mapping_Sheet!$E$2:$E$3143, ISNUMBER(
Master_Mapping_Sheet!$E$2:$E$3143),
Master_Mapping_Sheet!$C$2:$C$3143=AM$1,
Master_Mapping_Sheet!$K$2:$K$3143=VALUE(RIGHT($A4,1))))/sum(filter(
Master_Mapping_Sheet!$E$2:$E$3143, ISNUMBER(
M"&amp;"aster_Mapping_Sheet!$E$2:$E$3143),
Master_Mapping_Sheet!$C$2:$C$3143=AM$1))), 0, sum(filter(
Master_Mapping_Sheet!$E$2:$E$3143, ISNUMBER(
Master_Mapping_Sheet!$E$2:$E$3143),
Master_Mapping_Sheet!$C$2:$C$3143=AM$1,
Master_Mapping_Sheet!$K$2:$K$3143=VALUE(R"&amp;"IGHT($A4,1))))/sum(filter(
Master_Mapping_Sheet!$E$2:$E$3143, ISNUMBER(
Master_Mapping_Sheet!$E$2:$E$3143),
Master_Mapping_Sheet!$C$2:$C$3143=AM$1)))"),0.8619795443711588)</f>
        <v>0.8619795444</v>
      </c>
      <c r="AN4" s="34">
        <f>IFERROR(__xludf.DUMMYFUNCTION("IF(ISNA(sum(filter(
Master_Mapping_Sheet!$E$2:$E$3143, ISNUMBER(
Master_Mapping_Sheet!$E$2:$E$3143),
Master_Mapping_Sheet!$C$2:$C$3143=AN$1,
Master_Mapping_Sheet!$K$2:$K$3143=VALUE(RIGHT($A4,1))))/sum(filter(
Master_Mapping_Sheet!$E$2:$E$3143, ISNUMBER(
M"&amp;"aster_Mapping_Sheet!$E$2:$E$3143),
Master_Mapping_Sheet!$C$2:$C$3143=AN$1))), 0, sum(filter(
Master_Mapping_Sheet!$E$2:$E$3143, ISNUMBER(
Master_Mapping_Sheet!$E$2:$E$3143),
Master_Mapping_Sheet!$C$2:$C$3143=AN$1,
Master_Mapping_Sheet!$K$2:$K$3143=VALUE(R"&amp;"IGHT($A4,1))))/sum(filter(
Master_Mapping_Sheet!$E$2:$E$3143, ISNUMBER(
Master_Mapping_Sheet!$E$2:$E$3143),
Master_Mapping_Sheet!$C$2:$C$3143=AN$1)))"),0.4227539741559796)</f>
        <v>0.4227539742</v>
      </c>
      <c r="AO4" s="34">
        <f>IFERROR(__xludf.DUMMYFUNCTION("IF(ISNA(sum(filter(
Master_Mapping_Sheet!$E$2:$E$3143, ISNUMBER(
Master_Mapping_Sheet!$E$2:$E$3143),
Master_Mapping_Sheet!$C$2:$C$3143=AO$1,
Master_Mapping_Sheet!$K$2:$K$3143=VALUE(RIGHT($A4,1))))/sum(filter(
Master_Mapping_Sheet!$E$2:$E$3143, ISNUMBER(
M"&amp;"aster_Mapping_Sheet!$E$2:$E$3143),
Master_Mapping_Sheet!$C$2:$C$3143=AO$1))), 0, sum(filter(
Master_Mapping_Sheet!$E$2:$E$3143, ISNUMBER(
Master_Mapping_Sheet!$E$2:$E$3143),
Master_Mapping_Sheet!$C$2:$C$3143=AO$1,
Master_Mapping_Sheet!$K$2:$K$3143=VALUE(R"&amp;"IGHT($A4,1))))/sum(filter(
Master_Mapping_Sheet!$E$2:$E$3143, ISNUMBER(
Master_Mapping_Sheet!$E$2:$E$3143),
Master_Mapping_Sheet!$C$2:$C$3143=AO$1)))"),0.0)</f>
        <v>0</v>
      </c>
      <c r="AP4" s="34">
        <f>IFERROR(__xludf.DUMMYFUNCTION("IF(ISNA(sum(filter(
Master_Mapping_Sheet!$E$2:$E$3143, ISNUMBER(
Master_Mapping_Sheet!$E$2:$E$3143),
Master_Mapping_Sheet!$C$2:$C$3143=AP$1,
Master_Mapping_Sheet!$K$2:$K$3143=VALUE(RIGHT($A4,1))))/sum(filter(
Master_Mapping_Sheet!$E$2:$E$3143, ISNUMBER(
M"&amp;"aster_Mapping_Sheet!$E$2:$E$3143),
Master_Mapping_Sheet!$C$2:$C$3143=AP$1))), 0, sum(filter(
Master_Mapping_Sheet!$E$2:$E$3143, ISNUMBER(
Master_Mapping_Sheet!$E$2:$E$3143),
Master_Mapping_Sheet!$C$2:$C$3143=AP$1,
Master_Mapping_Sheet!$K$2:$K$3143=VALUE(R"&amp;"IGHT($A4,1))))/sum(filter(
Master_Mapping_Sheet!$E$2:$E$3143, ISNUMBER(
Master_Mapping_Sheet!$E$2:$E$3143),
Master_Mapping_Sheet!$C$2:$C$3143=AP$1)))"),0.0)</f>
        <v>0</v>
      </c>
      <c r="AQ4" s="34">
        <f>IFERROR(__xludf.DUMMYFUNCTION("IF(ISNA(sum(filter(
Master_Mapping_Sheet!$E$2:$E$3143, ISNUMBER(
Master_Mapping_Sheet!$E$2:$E$3143),
Master_Mapping_Sheet!$C$2:$C$3143=AQ$1,
Master_Mapping_Sheet!$K$2:$K$3143=VALUE(RIGHT($A4,1))))/sum(filter(
Master_Mapping_Sheet!$E$2:$E$3143, ISNUMBER(
M"&amp;"aster_Mapping_Sheet!$E$2:$E$3143),
Master_Mapping_Sheet!$C$2:$C$3143=AQ$1))), 0, sum(filter(
Master_Mapping_Sheet!$E$2:$E$3143, ISNUMBER(
Master_Mapping_Sheet!$E$2:$E$3143),
Master_Mapping_Sheet!$C$2:$C$3143=AQ$1,
Master_Mapping_Sheet!$K$2:$K$3143=VALUE(R"&amp;"IGHT($A4,1))))/sum(filter(
Master_Mapping_Sheet!$E$2:$E$3143, ISNUMBER(
Master_Mapping_Sheet!$E$2:$E$3143),
Master_Mapping_Sheet!$C$2:$C$3143=AQ$1)))"),0.0)</f>
        <v>0</v>
      </c>
      <c r="AR4" s="34">
        <f>IFERROR(__xludf.DUMMYFUNCTION("IF(ISNA(sum(filter(
Master_Mapping_Sheet!$E$2:$E$3143, ISNUMBER(
Master_Mapping_Sheet!$E$2:$E$3143),
Master_Mapping_Sheet!$C$2:$C$3143=AR$1,
Master_Mapping_Sheet!$K$2:$K$3143=VALUE(RIGHT($A4,1))))/sum(filter(
Master_Mapping_Sheet!$E$2:$E$3143, ISNUMBER(
M"&amp;"aster_Mapping_Sheet!$E$2:$E$3143),
Master_Mapping_Sheet!$C$2:$C$3143=AR$1))), 0, sum(filter(
Master_Mapping_Sheet!$E$2:$E$3143, ISNUMBER(
Master_Mapping_Sheet!$E$2:$E$3143),
Master_Mapping_Sheet!$C$2:$C$3143=AR$1,
Master_Mapping_Sheet!$K$2:$K$3143=VALUE(R"&amp;"IGHT($A4,1))))/sum(filter(
Master_Mapping_Sheet!$E$2:$E$3143, ISNUMBER(
Master_Mapping_Sheet!$E$2:$E$3143),
Master_Mapping_Sheet!$C$2:$C$3143=AR$1)))"),0.37321323305206816)</f>
        <v>0.3732132331</v>
      </c>
      <c r="AS4" s="34">
        <f>IFERROR(__xludf.DUMMYFUNCTION("IF(ISNA(sum(filter(
Master_Mapping_Sheet!$E$2:$E$3143, ISNUMBER(
Master_Mapping_Sheet!$E$2:$E$3143),
Master_Mapping_Sheet!$C$2:$C$3143=AS$1,
Master_Mapping_Sheet!$K$2:$K$3143=VALUE(RIGHT($A4,1))))/sum(filter(
Master_Mapping_Sheet!$E$2:$E$3143, ISNUMBER(
M"&amp;"aster_Mapping_Sheet!$E$2:$E$3143),
Master_Mapping_Sheet!$C$2:$C$3143=AS$1))), 0, sum(filter(
Master_Mapping_Sheet!$E$2:$E$3143, ISNUMBER(
Master_Mapping_Sheet!$E$2:$E$3143),
Master_Mapping_Sheet!$C$2:$C$3143=AS$1,
Master_Mapping_Sheet!$K$2:$K$3143=VALUE(R"&amp;"IGHT($A4,1))))/sum(filter(
Master_Mapping_Sheet!$E$2:$E$3143, ISNUMBER(
Master_Mapping_Sheet!$E$2:$E$3143),
Master_Mapping_Sheet!$C$2:$C$3143=AS$1)))"),0.013702484199988716)</f>
        <v>0.0137024842</v>
      </c>
      <c r="AT4" s="34">
        <f>IFERROR(__xludf.DUMMYFUNCTION("IF(ISNA(sum(filter(
Master_Mapping_Sheet!$E$2:$E$3143, ISNUMBER(
Master_Mapping_Sheet!$E$2:$E$3143),
Master_Mapping_Sheet!$C$2:$C$3143=AT$1,
Master_Mapping_Sheet!$K$2:$K$3143=VALUE(RIGHT($A4,1))))/sum(filter(
Master_Mapping_Sheet!$E$2:$E$3143, ISNUMBER(
M"&amp;"aster_Mapping_Sheet!$E$2:$E$3143),
Master_Mapping_Sheet!$C$2:$C$3143=AT$1))), 0, sum(filter(
Master_Mapping_Sheet!$E$2:$E$3143, ISNUMBER(
Master_Mapping_Sheet!$E$2:$E$3143),
Master_Mapping_Sheet!$C$2:$C$3143=AT$1,
Master_Mapping_Sheet!$K$2:$K$3143=VALUE(R"&amp;"IGHT($A4,1))))/sum(filter(
Master_Mapping_Sheet!$E$2:$E$3143, ISNUMBER(
Master_Mapping_Sheet!$E$2:$E$3143),
Master_Mapping_Sheet!$C$2:$C$3143=AT$1)))"),0.005304976923306495)</f>
        <v>0.005304976923</v>
      </c>
      <c r="AU4" s="34">
        <f>IFERROR(__xludf.DUMMYFUNCTION("IF(ISNA(sum(filter(
Master_Mapping_Sheet!$E$2:$E$3143, ISNUMBER(
Master_Mapping_Sheet!$E$2:$E$3143),
Master_Mapping_Sheet!$C$2:$C$3143=AU$1,
Master_Mapping_Sheet!$K$2:$K$3143=VALUE(RIGHT($A4,1))))/sum(filter(
Master_Mapping_Sheet!$E$2:$E$3143, ISNUMBER(
M"&amp;"aster_Mapping_Sheet!$E$2:$E$3143),
Master_Mapping_Sheet!$C$2:$C$3143=AU$1))), 0, sum(filter(
Master_Mapping_Sheet!$E$2:$E$3143, ISNUMBER(
Master_Mapping_Sheet!$E$2:$E$3143),
Master_Mapping_Sheet!$C$2:$C$3143=AU$1,
Master_Mapping_Sheet!$K$2:$K$3143=VALUE(R"&amp;"IGHT($A4,1))))/sum(filter(
Master_Mapping_Sheet!$E$2:$E$3143, ISNUMBER(
Master_Mapping_Sheet!$E$2:$E$3143),
Master_Mapping_Sheet!$C$2:$C$3143=AU$1)))"),0.0)</f>
        <v>0</v>
      </c>
      <c r="AV4" s="34">
        <f>IFERROR(__xludf.DUMMYFUNCTION("IF(ISNA(sum(filter(
Master_Mapping_Sheet!$E$2:$E$3143, ISNUMBER(
Master_Mapping_Sheet!$E$2:$E$3143),
Master_Mapping_Sheet!$C$2:$C$3143=AV$1,
Master_Mapping_Sheet!$K$2:$K$3143=VALUE(RIGHT($A4,1))))/sum(filter(
Master_Mapping_Sheet!$E$2:$E$3143, ISNUMBER(
M"&amp;"aster_Mapping_Sheet!$E$2:$E$3143),
Master_Mapping_Sheet!$C$2:$C$3143=AV$1))), 0, sum(filter(
Master_Mapping_Sheet!$E$2:$E$3143, ISNUMBER(
Master_Mapping_Sheet!$E$2:$E$3143),
Master_Mapping_Sheet!$C$2:$C$3143=AV$1,
Master_Mapping_Sheet!$K$2:$K$3143=VALUE(R"&amp;"IGHT($A4,1))))/sum(filter(
Master_Mapping_Sheet!$E$2:$E$3143, ISNUMBER(
Master_Mapping_Sheet!$E$2:$E$3143),
Master_Mapping_Sheet!$C$2:$C$3143=AV$1)))"),0.6514980211567679)</f>
        <v>0.6514980212</v>
      </c>
      <c r="AW4" s="34">
        <f>IFERROR(__xludf.DUMMYFUNCTION("IF(ISNA(sum(filter(
Master_Mapping_Sheet!$E$2:$E$3143, ISNUMBER(
Master_Mapping_Sheet!$E$2:$E$3143),
Master_Mapping_Sheet!$C$2:$C$3143=AW$1,
Master_Mapping_Sheet!$K$2:$K$3143=VALUE(RIGHT($A4,1))))/sum(filter(
Master_Mapping_Sheet!$E$2:$E$3143, ISNUMBER(
M"&amp;"aster_Mapping_Sheet!$E$2:$E$3143),
Master_Mapping_Sheet!$C$2:$C$3143=AW$1))), 0, sum(filter(
Master_Mapping_Sheet!$E$2:$E$3143, ISNUMBER(
Master_Mapping_Sheet!$E$2:$E$3143),
Master_Mapping_Sheet!$C$2:$C$3143=AW$1,
Master_Mapping_Sheet!$K$2:$K$3143=VALUE(R"&amp;"IGHT($A4,1))))/sum(filter(
Master_Mapping_Sheet!$E$2:$E$3143, ISNUMBER(
Master_Mapping_Sheet!$E$2:$E$3143),
Master_Mapping_Sheet!$C$2:$C$3143=AW$1)))"),0.7769096671137916)</f>
        <v>0.7769096671</v>
      </c>
      <c r="AX4" s="34">
        <f>IFERROR(__xludf.DUMMYFUNCTION("IF(ISNA(sum(filter(
Master_Mapping_Sheet!$E$2:$E$3143, ISNUMBER(
Master_Mapping_Sheet!$E$2:$E$3143),
Master_Mapping_Sheet!$C$2:$C$3143=AX$1,
Master_Mapping_Sheet!$K$2:$K$3143=VALUE(RIGHT($A4,1))))/sum(filter(
Master_Mapping_Sheet!$E$2:$E$3143, ISNUMBER(
M"&amp;"aster_Mapping_Sheet!$E$2:$E$3143),
Master_Mapping_Sheet!$C$2:$C$3143=AX$1))), 0, sum(filter(
Master_Mapping_Sheet!$E$2:$E$3143, ISNUMBER(
Master_Mapping_Sheet!$E$2:$E$3143),
Master_Mapping_Sheet!$C$2:$C$3143=AX$1,
Master_Mapping_Sheet!$K$2:$K$3143=VALUE(R"&amp;"IGHT($A4,1))))/sum(filter(
Master_Mapping_Sheet!$E$2:$E$3143, ISNUMBER(
Master_Mapping_Sheet!$E$2:$E$3143),
Master_Mapping_Sheet!$C$2:$C$3143=AX$1)))"),0.5689980797380444)</f>
        <v>0.5689980797</v>
      </c>
      <c r="AY4" s="34">
        <f>IFERROR(__xludf.DUMMYFUNCTION("IF(ISNA(sum(filter(
Master_Mapping_Sheet!$E$2:$E$3143, ISNUMBER(
Master_Mapping_Sheet!$E$2:$E$3143),
Master_Mapping_Sheet!$C$2:$C$3143=AY$1,
Master_Mapping_Sheet!$K$2:$K$3143=VALUE(RIGHT($A4,1))))/sum(filter(
Master_Mapping_Sheet!$E$2:$E$3143, ISNUMBER(
M"&amp;"aster_Mapping_Sheet!$E$2:$E$3143),
Master_Mapping_Sheet!$C$2:$C$3143=AY$1))), 0, sum(filter(
Master_Mapping_Sheet!$E$2:$E$3143, ISNUMBER(
Master_Mapping_Sheet!$E$2:$E$3143),
Master_Mapping_Sheet!$C$2:$C$3143=AY$1,
Master_Mapping_Sheet!$K$2:$K$3143=VALUE(R"&amp;"IGHT($A4,1))))/sum(filter(
Master_Mapping_Sheet!$E$2:$E$3143, ISNUMBER(
Master_Mapping_Sheet!$E$2:$E$3143),
Master_Mapping_Sheet!$C$2:$C$3143=AY$1)))"),0.0)</f>
        <v>0</v>
      </c>
      <c r="AZ4" s="34">
        <f>IFERROR(__xludf.DUMMYFUNCTION("IF(ISNA(sum(filter(
Master_Mapping_Sheet!$E$2:$E$3143, ISNUMBER(
Master_Mapping_Sheet!$E$2:$E$3143),
Master_Mapping_Sheet!$C$2:$C$3143=AZ$1,
Master_Mapping_Sheet!$K$2:$K$3143=VALUE(RIGHT($A4,1))))/sum(filter(
Master_Mapping_Sheet!$E$2:$E$3143, ISNUMBER(
M"&amp;"aster_Mapping_Sheet!$E$2:$E$3143),
Master_Mapping_Sheet!$C$2:$C$3143=AZ$1))), 0, sum(filter(
Master_Mapping_Sheet!$E$2:$E$3143, ISNUMBER(
Master_Mapping_Sheet!$E$2:$E$3143),
Master_Mapping_Sheet!$C$2:$C$3143=AZ$1,
Master_Mapping_Sheet!$K$2:$K$3143=VALUE(R"&amp;"IGHT($A4,1))))/sum(filter(
Master_Mapping_Sheet!$E$2:$E$3143, ISNUMBER(
Master_Mapping_Sheet!$E$2:$E$3143),
Master_Mapping_Sheet!$C$2:$C$3143=AZ$1)))"),0.0)</f>
        <v>0</v>
      </c>
    </row>
    <row r="5" ht="15.75" customHeight="1">
      <c r="A5" s="45" t="s">
        <v>4249</v>
      </c>
      <c r="B5" s="34">
        <f>IFERROR(__xludf.DUMMYFUNCTION("IF(ISNA(sum(filter(
Master_Mapping_Sheet!$E$2:$E$3143, ISNUMBER(
Master_Mapping_Sheet!$E$2:$E$3143),
Master_Mapping_Sheet!$C$2:$C$3143=B$1,
Master_Mapping_Sheet!$K$2:$K$3143=VALUE(RIGHT($A5,1))))/sum(filter(
Master_Mapping_Sheet!$E$2:$E$3143, ISNUMBER(
Ma"&amp;"ster_Mapping_Sheet!$E$2:$E$3143),
Master_Mapping_Sheet!$C$2:$C$3143=B$1))), 0, sum(filter(
Master_Mapping_Sheet!$E$2:$E$3143, ISNUMBER(
Master_Mapping_Sheet!$E$2:$E$3143),
Master_Mapping_Sheet!$C$2:$C$3143=B$1,
Master_Mapping_Sheet!$K$2:$K$3143=VALUE(RIGH"&amp;"T($A5,1))))/sum(filter(
Master_Mapping_Sheet!$E$2:$E$3143, ISNUMBER(
Master_Mapping_Sheet!$E$2:$E$3143),
Master_Mapping_Sheet!$C$2:$C$3143=B$1)))"),0.6970138601240137)</f>
        <v>0.6970138601</v>
      </c>
      <c r="C5" s="34">
        <f>IFERROR(__xludf.DUMMYFUNCTION("IF(ISNA(sum(filter(
Master_Mapping_Sheet!$E$2:$E$3143, ISNUMBER(
Master_Mapping_Sheet!$E$2:$E$3143),
Master_Mapping_Sheet!$C$2:$C$3143=C$1,
Master_Mapping_Sheet!$K$2:$K$3143=VALUE(RIGHT($A5,1))))/sum(filter(
Master_Mapping_Sheet!$E$2:$E$3143, ISNUMBER(
Ma"&amp;"ster_Mapping_Sheet!$E$2:$E$3143),
Master_Mapping_Sheet!$C$2:$C$3143=C$1))), 0, sum(filter(
Master_Mapping_Sheet!$E$2:$E$3143, ISNUMBER(
Master_Mapping_Sheet!$E$2:$E$3143),
Master_Mapping_Sheet!$C$2:$C$3143=C$1,
Master_Mapping_Sheet!$K$2:$K$3143=VALUE(RIGH"&amp;"T($A5,1))))/sum(filter(
Master_Mapping_Sheet!$E$2:$E$3143, ISNUMBER(
Master_Mapping_Sheet!$E$2:$E$3143),
Master_Mapping_Sheet!$C$2:$C$3143=C$1)))"),0.0)</f>
        <v>0</v>
      </c>
      <c r="D5" s="34">
        <f>IFERROR(__xludf.DUMMYFUNCTION("IF(ISNA(sum(filter(
Master_Mapping_Sheet!$E$2:$E$3143, ISNUMBER(
Master_Mapping_Sheet!$E$2:$E$3143),
Master_Mapping_Sheet!$C$2:$C$3143=D$1,
Master_Mapping_Sheet!$K$2:$K$3143=VALUE(RIGHT($A5,1))))/sum(filter(
Master_Mapping_Sheet!$E$2:$E$3143, ISNUMBER(
Ma"&amp;"ster_Mapping_Sheet!$E$2:$E$3143),
Master_Mapping_Sheet!$C$2:$C$3143=D$1))), 0, sum(filter(
Master_Mapping_Sheet!$E$2:$E$3143, ISNUMBER(
Master_Mapping_Sheet!$E$2:$E$3143),
Master_Mapping_Sheet!$C$2:$C$3143=D$1,
Master_Mapping_Sheet!$K$2:$K$3143=VALUE(RIGH"&amp;"T($A5,1))))/sum(filter(
Master_Mapping_Sheet!$E$2:$E$3143, ISNUMBER(
Master_Mapping_Sheet!$E$2:$E$3143),
Master_Mapping_Sheet!$C$2:$C$3143=D$1)))"),0.030654078185587963)</f>
        <v>0.03065407819</v>
      </c>
      <c r="E5" s="34">
        <f>IFERROR(__xludf.DUMMYFUNCTION("IF(ISNA(sum(filter(
Master_Mapping_Sheet!$E$2:$E$3143, ISNUMBER(
Master_Mapping_Sheet!$E$2:$E$3143),
Master_Mapping_Sheet!$C$2:$C$3143=E$1,
Master_Mapping_Sheet!$K$2:$K$3143=VALUE(RIGHT($A5,1))))/sum(filter(
Master_Mapping_Sheet!$E$2:$E$3143, ISNUMBER(
Ma"&amp;"ster_Mapping_Sheet!$E$2:$E$3143),
Master_Mapping_Sheet!$C$2:$C$3143=E$1))), 0, sum(filter(
Master_Mapping_Sheet!$E$2:$E$3143, ISNUMBER(
Master_Mapping_Sheet!$E$2:$E$3143),
Master_Mapping_Sheet!$C$2:$C$3143=E$1,
Master_Mapping_Sheet!$K$2:$K$3143=VALUE(RIGH"&amp;"T($A5,1))))/sum(filter(
Master_Mapping_Sheet!$E$2:$E$3143, ISNUMBER(
Master_Mapping_Sheet!$E$2:$E$3143),
Master_Mapping_Sheet!$C$2:$C$3143=E$1)))"),0.6807690502299418)</f>
        <v>0.6807690502</v>
      </c>
      <c r="F5" s="34">
        <f>IFERROR(__xludf.DUMMYFUNCTION("IF(ISNA(sum(filter(
Master_Mapping_Sheet!$E$2:$E$3143, ISNUMBER(
Master_Mapping_Sheet!$E$2:$E$3143),
Master_Mapping_Sheet!$C$2:$C$3143=F$1,
Master_Mapping_Sheet!$K$2:$K$3143=VALUE(RIGHT($A5,1))))/sum(filter(
Master_Mapping_Sheet!$E$2:$E$3143, ISNUMBER(
Ma"&amp;"ster_Mapping_Sheet!$E$2:$E$3143),
Master_Mapping_Sheet!$C$2:$C$3143=F$1))), 0, sum(filter(
Master_Mapping_Sheet!$E$2:$E$3143, ISNUMBER(
Master_Mapping_Sheet!$E$2:$E$3143),
Master_Mapping_Sheet!$C$2:$C$3143=F$1,
Master_Mapping_Sheet!$K$2:$K$3143=VALUE(RIGH"&amp;"T($A5,1))))/sum(filter(
Master_Mapping_Sheet!$E$2:$E$3143, ISNUMBER(
Master_Mapping_Sheet!$E$2:$E$3143),
Master_Mapping_Sheet!$C$2:$C$3143=F$1)))"),0.961337571201046)</f>
        <v>0.9613375712</v>
      </c>
      <c r="G5" s="34">
        <f>IFERROR(__xludf.DUMMYFUNCTION("IF(ISNA(sum(filter(
Master_Mapping_Sheet!$E$2:$E$3143, ISNUMBER(
Master_Mapping_Sheet!$E$2:$E$3143),
Master_Mapping_Sheet!$C$2:$C$3143=G$1,
Master_Mapping_Sheet!$K$2:$K$3143=VALUE(RIGHT($A5,1))))/sum(filter(
Master_Mapping_Sheet!$E$2:$E$3143, ISNUMBER(
Ma"&amp;"ster_Mapping_Sheet!$E$2:$E$3143),
Master_Mapping_Sheet!$C$2:$C$3143=G$1))), 0, sum(filter(
Master_Mapping_Sheet!$E$2:$E$3143, ISNUMBER(
Master_Mapping_Sheet!$E$2:$E$3143),
Master_Mapping_Sheet!$C$2:$C$3143=G$1,
Master_Mapping_Sheet!$K$2:$K$3143=VALUE(RIGH"&amp;"T($A5,1))))/sum(filter(
Master_Mapping_Sheet!$E$2:$E$3143, ISNUMBER(
Master_Mapping_Sheet!$E$2:$E$3143),
Master_Mapping_Sheet!$C$2:$C$3143=G$1)))"),0.0)</f>
        <v>0</v>
      </c>
      <c r="H5" s="34">
        <f>IFERROR(__xludf.DUMMYFUNCTION("IF(ISNA(sum(filter(
Master_Mapping_Sheet!$E$2:$E$3143, ISNUMBER(
Master_Mapping_Sheet!$E$2:$E$3143),
Master_Mapping_Sheet!$C$2:$C$3143=H$1,
Master_Mapping_Sheet!$K$2:$K$3143=VALUE(RIGHT($A5,1))))/sum(filter(
Master_Mapping_Sheet!$E$2:$E$3143, ISNUMBER(
Ma"&amp;"ster_Mapping_Sheet!$E$2:$E$3143),
Master_Mapping_Sheet!$C$2:$C$3143=H$1))), 0, sum(filter(
Master_Mapping_Sheet!$E$2:$E$3143, ISNUMBER(
Master_Mapping_Sheet!$E$2:$E$3143),
Master_Mapping_Sheet!$C$2:$C$3143=H$1,
Master_Mapping_Sheet!$K$2:$K$3143=VALUE(RIGH"&amp;"T($A5,1))))/sum(filter(
Master_Mapping_Sheet!$E$2:$E$3143, ISNUMBER(
Master_Mapping_Sheet!$E$2:$E$3143),
Master_Mapping_Sheet!$C$2:$C$3143=H$1)))"),0.0)</f>
        <v>0</v>
      </c>
      <c r="I5" s="34">
        <f>IFERROR(__xludf.DUMMYFUNCTION("IF(ISNA(sum(filter(
Master_Mapping_Sheet!$E$2:$E$3143, ISNUMBER(
Master_Mapping_Sheet!$E$2:$E$3143),
Master_Mapping_Sheet!$C$2:$C$3143=I$1,
Master_Mapping_Sheet!$K$2:$K$3143=VALUE(RIGHT($A5,1))))/sum(filter(
Master_Mapping_Sheet!$E$2:$E$3143, ISNUMBER(
Ma"&amp;"ster_Mapping_Sheet!$E$2:$E$3143),
Master_Mapping_Sheet!$C$2:$C$3143=I$1))), 0, sum(filter(
Master_Mapping_Sheet!$E$2:$E$3143, ISNUMBER(
Master_Mapping_Sheet!$E$2:$E$3143),
Master_Mapping_Sheet!$C$2:$C$3143=I$1,
Master_Mapping_Sheet!$K$2:$K$3143=VALUE(RIGH"&amp;"T($A5,1))))/sum(filter(
Master_Mapping_Sheet!$E$2:$E$3143, ISNUMBER(
Master_Mapping_Sheet!$E$2:$E$3143),
Master_Mapping_Sheet!$C$2:$C$3143=I$1)))"),0.0)</f>
        <v>0</v>
      </c>
      <c r="J5" s="34">
        <f>IFERROR(__xludf.DUMMYFUNCTION("IF(ISNA(sum(filter(
Master_Mapping_Sheet!$E$2:$E$3143, ISNUMBER(
Master_Mapping_Sheet!$E$2:$E$3143),
Master_Mapping_Sheet!$C$2:$C$3143=J$1,
Master_Mapping_Sheet!$K$2:$K$3143=VALUE(RIGHT($A5,1))))/sum(filter(
Master_Mapping_Sheet!$E$2:$E$3143, ISNUMBER(
Ma"&amp;"ster_Mapping_Sheet!$E$2:$E$3143),
Master_Mapping_Sheet!$C$2:$C$3143=J$1))), 0, sum(filter(
Master_Mapping_Sheet!$E$2:$E$3143, ISNUMBER(
Master_Mapping_Sheet!$E$2:$E$3143),
Master_Mapping_Sheet!$C$2:$C$3143=J$1,
Master_Mapping_Sheet!$K$2:$K$3143=VALUE(RIGH"&amp;"T($A5,1))))/sum(filter(
Master_Mapping_Sheet!$E$2:$E$3143, ISNUMBER(
Master_Mapping_Sheet!$E$2:$E$3143),
Master_Mapping_Sheet!$C$2:$C$3143=J$1)))"),0.0)</f>
        <v>0</v>
      </c>
      <c r="K5" s="34">
        <f>IFERROR(__xludf.DUMMYFUNCTION("IF(ISNA(sum(filter(
Master_Mapping_Sheet!$E$2:$E$3143, ISNUMBER(
Master_Mapping_Sheet!$E$2:$E$3143),
Master_Mapping_Sheet!$C$2:$C$3143=K$1,
Master_Mapping_Sheet!$K$2:$K$3143=VALUE(RIGHT($A5,1))))/sum(filter(
Master_Mapping_Sheet!$E$2:$E$3143, ISNUMBER(
Ma"&amp;"ster_Mapping_Sheet!$E$2:$E$3143),
Master_Mapping_Sheet!$C$2:$C$3143=K$1))), 0, sum(filter(
Master_Mapping_Sheet!$E$2:$E$3143, ISNUMBER(
Master_Mapping_Sheet!$E$2:$E$3143),
Master_Mapping_Sheet!$C$2:$C$3143=K$1,
Master_Mapping_Sheet!$K$2:$K$3143=VALUE(RIGH"&amp;"T($A5,1))))/sum(filter(
Master_Mapping_Sheet!$E$2:$E$3143, ISNUMBER(
Master_Mapping_Sheet!$E$2:$E$3143),
Master_Mapping_Sheet!$C$2:$C$3143=K$1)))"),0.0)</f>
        <v>0</v>
      </c>
      <c r="L5" s="34">
        <f>IFERROR(__xludf.DUMMYFUNCTION("IF(ISNA(sum(filter(
Master_Mapping_Sheet!$E$2:$E$3143, ISNUMBER(
Master_Mapping_Sheet!$E$2:$E$3143),
Master_Mapping_Sheet!$C$2:$C$3143=L$1,
Master_Mapping_Sheet!$K$2:$K$3143=VALUE(RIGHT($A5,1))))/sum(filter(
Master_Mapping_Sheet!$E$2:$E$3143, ISNUMBER(
Ma"&amp;"ster_Mapping_Sheet!$E$2:$E$3143),
Master_Mapping_Sheet!$C$2:$C$3143=L$1))), 0, sum(filter(
Master_Mapping_Sheet!$E$2:$E$3143, ISNUMBER(
Master_Mapping_Sheet!$E$2:$E$3143),
Master_Mapping_Sheet!$C$2:$C$3143=L$1,
Master_Mapping_Sheet!$K$2:$K$3143=VALUE(RIGH"&amp;"T($A5,1))))/sum(filter(
Master_Mapping_Sheet!$E$2:$E$3143, ISNUMBER(
Master_Mapping_Sheet!$E$2:$E$3143),
Master_Mapping_Sheet!$C$2:$C$3143=L$1)))"),0.7660842414432126)</f>
        <v>0.7660842414</v>
      </c>
      <c r="M5" s="34">
        <f>IFERROR(__xludf.DUMMYFUNCTION("IF(ISNA(sum(filter(
Master_Mapping_Sheet!$E$2:$E$3143, ISNUMBER(
Master_Mapping_Sheet!$E$2:$E$3143),
Master_Mapping_Sheet!$C$2:$C$3143=M$1,
Master_Mapping_Sheet!$K$2:$K$3143=VALUE(RIGHT($A5,1))))/sum(filter(
Master_Mapping_Sheet!$E$2:$E$3143, ISNUMBER(
Ma"&amp;"ster_Mapping_Sheet!$E$2:$E$3143),
Master_Mapping_Sheet!$C$2:$C$3143=M$1))), 0, sum(filter(
Master_Mapping_Sheet!$E$2:$E$3143, ISNUMBER(
Master_Mapping_Sheet!$E$2:$E$3143),
Master_Mapping_Sheet!$C$2:$C$3143=M$1,
Master_Mapping_Sheet!$K$2:$K$3143=VALUE(RIGH"&amp;"T($A5,1))))/sum(filter(
Master_Mapping_Sheet!$E$2:$E$3143, ISNUMBER(
Master_Mapping_Sheet!$E$2:$E$3143),
Master_Mapping_Sheet!$C$2:$C$3143=M$1)))"),0.0)</f>
        <v>0</v>
      </c>
      <c r="N5" s="34">
        <f>IFERROR(__xludf.DUMMYFUNCTION("IF(ISNA(sum(filter(
Master_Mapping_Sheet!$E$2:$E$3143, ISNUMBER(
Master_Mapping_Sheet!$E$2:$E$3143),
Master_Mapping_Sheet!$C$2:$C$3143=N$1,
Master_Mapping_Sheet!$K$2:$K$3143=VALUE(RIGHT($A5,1))))/sum(filter(
Master_Mapping_Sheet!$E$2:$E$3143, ISNUMBER(
Ma"&amp;"ster_Mapping_Sheet!$E$2:$E$3143),
Master_Mapping_Sheet!$C$2:$C$3143=N$1))), 0, sum(filter(
Master_Mapping_Sheet!$E$2:$E$3143, ISNUMBER(
Master_Mapping_Sheet!$E$2:$E$3143),
Master_Mapping_Sheet!$C$2:$C$3143=N$1,
Master_Mapping_Sheet!$K$2:$K$3143=VALUE(RIGH"&amp;"T($A5,1))))/sum(filter(
Master_Mapping_Sheet!$E$2:$E$3143, ISNUMBER(
Master_Mapping_Sheet!$E$2:$E$3143),
Master_Mapping_Sheet!$C$2:$C$3143=N$1)))"),0.0)</f>
        <v>0</v>
      </c>
      <c r="O5" s="34">
        <f>IFERROR(__xludf.DUMMYFUNCTION("IF(ISNA(sum(filter(
Master_Mapping_Sheet!$E$2:$E$3143, ISNUMBER(
Master_Mapping_Sheet!$E$2:$E$3143),
Master_Mapping_Sheet!$C$2:$C$3143=O$1,
Master_Mapping_Sheet!$K$2:$K$3143=VALUE(RIGHT($A5,1))))/sum(filter(
Master_Mapping_Sheet!$E$2:$E$3143, ISNUMBER(
Ma"&amp;"ster_Mapping_Sheet!$E$2:$E$3143),
Master_Mapping_Sheet!$C$2:$C$3143=O$1))), 0, sum(filter(
Master_Mapping_Sheet!$E$2:$E$3143, ISNUMBER(
Master_Mapping_Sheet!$E$2:$E$3143),
Master_Mapping_Sheet!$C$2:$C$3143=O$1,
Master_Mapping_Sheet!$K$2:$K$3143=VALUE(RIGH"&amp;"T($A5,1))))/sum(filter(
Master_Mapping_Sheet!$E$2:$E$3143, ISNUMBER(
Master_Mapping_Sheet!$E$2:$E$3143),
Master_Mapping_Sheet!$C$2:$C$3143=O$1)))"),0.0)</f>
        <v>0</v>
      </c>
      <c r="P5" s="34">
        <f>IFERROR(__xludf.DUMMYFUNCTION("IF(ISNA(sum(filter(
Master_Mapping_Sheet!$E$2:$E$3143, ISNUMBER(
Master_Mapping_Sheet!$E$2:$E$3143),
Master_Mapping_Sheet!$C$2:$C$3143=P$1,
Master_Mapping_Sheet!$K$2:$K$3143=VALUE(RIGHT($A5,1))))/sum(filter(
Master_Mapping_Sheet!$E$2:$E$3143, ISNUMBER(
Ma"&amp;"ster_Mapping_Sheet!$E$2:$E$3143),
Master_Mapping_Sheet!$C$2:$C$3143=P$1))), 0, sum(filter(
Master_Mapping_Sheet!$E$2:$E$3143, ISNUMBER(
Master_Mapping_Sheet!$E$2:$E$3143),
Master_Mapping_Sheet!$C$2:$C$3143=P$1,
Master_Mapping_Sheet!$K$2:$K$3143=VALUE(RIGH"&amp;"T($A5,1))))/sum(filter(
Master_Mapping_Sheet!$E$2:$E$3143, ISNUMBER(
Master_Mapping_Sheet!$E$2:$E$3143),
Master_Mapping_Sheet!$C$2:$C$3143=P$1)))"),0.0)</f>
        <v>0</v>
      </c>
      <c r="Q5" s="34">
        <f>IFERROR(__xludf.DUMMYFUNCTION("IF(ISNA(sum(filter(
Master_Mapping_Sheet!$E$2:$E$3143, ISNUMBER(
Master_Mapping_Sheet!$E$2:$E$3143),
Master_Mapping_Sheet!$C$2:$C$3143=Q$1,
Master_Mapping_Sheet!$K$2:$K$3143=VALUE(RIGHT($A5,1))))/sum(filter(
Master_Mapping_Sheet!$E$2:$E$3143, ISNUMBER(
Ma"&amp;"ster_Mapping_Sheet!$E$2:$E$3143),
Master_Mapping_Sheet!$C$2:$C$3143=Q$1))), 0, sum(filter(
Master_Mapping_Sheet!$E$2:$E$3143, ISNUMBER(
Master_Mapping_Sheet!$E$2:$E$3143),
Master_Mapping_Sheet!$C$2:$C$3143=Q$1,
Master_Mapping_Sheet!$K$2:$K$3143=VALUE(RIGH"&amp;"T($A5,1))))/sum(filter(
Master_Mapping_Sheet!$E$2:$E$3143, ISNUMBER(
Master_Mapping_Sheet!$E$2:$E$3143),
Master_Mapping_Sheet!$C$2:$C$3143=Q$1)))"),0.0)</f>
        <v>0</v>
      </c>
      <c r="R5" s="34">
        <f>IFERROR(__xludf.DUMMYFUNCTION("IF(ISNA(sum(filter(
Master_Mapping_Sheet!$E$2:$E$3143, ISNUMBER(
Master_Mapping_Sheet!$E$2:$E$3143),
Master_Mapping_Sheet!$C$2:$C$3143=R$1,
Master_Mapping_Sheet!$K$2:$K$3143=VALUE(RIGHT($A5,1))))/sum(filter(
Master_Mapping_Sheet!$E$2:$E$3143, ISNUMBER(
Ma"&amp;"ster_Mapping_Sheet!$E$2:$E$3143),
Master_Mapping_Sheet!$C$2:$C$3143=R$1))), 0, sum(filter(
Master_Mapping_Sheet!$E$2:$E$3143, ISNUMBER(
Master_Mapping_Sheet!$E$2:$E$3143),
Master_Mapping_Sheet!$C$2:$C$3143=R$1,
Master_Mapping_Sheet!$K$2:$K$3143=VALUE(RIGH"&amp;"T($A5,1))))/sum(filter(
Master_Mapping_Sheet!$E$2:$E$3143, ISNUMBER(
Master_Mapping_Sheet!$E$2:$E$3143),
Master_Mapping_Sheet!$C$2:$C$3143=R$1)))"),0.0)</f>
        <v>0</v>
      </c>
      <c r="S5" s="34">
        <f>IFERROR(__xludf.DUMMYFUNCTION("IF(ISNA(sum(filter(
Master_Mapping_Sheet!$E$2:$E$3143, ISNUMBER(
Master_Mapping_Sheet!$E$2:$E$3143),
Master_Mapping_Sheet!$C$2:$C$3143=S$1,
Master_Mapping_Sheet!$K$2:$K$3143=VALUE(RIGHT($A5,1))))/sum(filter(
Master_Mapping_Sheet!$E$2:$E$3143, ISNUMBER(
Ma"&amp;"ster_Mapping_Sheet!$E$2:$E$3143),
Master_Mapping_Sheet!$C$2:$C$3143=S$1))), 0, sum(filter(
Master_Mapping_Sheet!$E$2:$E$3143, ISNUMBER(
Master_Mapping_Sheet!$E$2:$E$3143),
Master_Mapping_Sheet!$C$2:$C$3143=S$1,
Master_Mapping_Sheet!$K$2:$K$3143=VALUE(RIGH"&amp;"T($A5,1))))/sum(filter(
Master_Mapping_Sheet!$E$2:$E$3143, ISNUMBER(
Master_Mapping_Sheet!$E$2:$E$3143),
Master_Mapping_Sheet!$C$2:$C$3143=S$1)))"),0.0)</f>
        <v>0</v>
      </c>
      <c r="T5" s="34">
        <f>IFERROR(__xludf.DUMMYFUNCTION("IF(ISNA(sum(filter(
Master_Mapping_Sheet!$E$2:$E$3143, ISNUMBER(
Master_Mapping_Sheet!$E$2:$E$3143),
Master_Mapping_Sheet!$C$2:$C$3143=T$1,
Master_Mapping_Sheet!$K$2:$K$3143=VALUE(RIGHT($A5,1))))/sum(filter(
Master_Mapping_Sheet!$E$2:$E$3143, ISNUMBER(
Ma"&amp;"ster_Mapping_Sheet!$E$2:$E$3143),
Master_Mapping_Sheet!$C$2:$C$3143=T$1))), 0, sum(filter(
Master_Mapping_Sheet!$E$2:$E$3143, ISNUMBER(
Master_Mapping_Sheet!$E$2:$E$3143),
Master_Mapping_Sheet!$C$2:$C$3143=T$1,
Master_Mapping_Sheet!$K$2:$K$3143=VALUE(RIGH"&amp;"T($A5,1))))/sum(filter(
Master_Mapping_Sheet!$E$2:$E$3143, ISNUMBER(
Master_Mapping_Sheet!$E$2:$E$3143),
Master_Mapping_Sheet!$C$2:$C$3143=T$1)))"),0.002988795406131819)</f>
        <v>0.002988795406</v>
      </c>
      <c r="U5" s="34">
        <f>IFERROR(__xludf.DUMMYFUNCTION("IF(ISNA(sum(filter(
Master_Mapping_Sheet!$E$2:$E$3143, ISNUMBER(
Master_Mapping_Sheet!$E$2:$E$3143),
Master_Mapping_Sheet!$C$2:$C$3143=U$1,
Master_Mapping_Sheet!$K$2:$K$3143=VALUE(RIGHT($A5,1))))/sum(filter(
Master_Mapping_Sheet!$E$2:$E$3143, ISNUMBER(
Ma"&amp;"ster_Mapping_Sheet!$E$2:$E$3143),
Master_Mapping_Sheet!$C$2:$C$3143=U$1))), 0, sum(filter(
Master_Mapping_Sheet!$E$2:$E$3143, ISNUMBER(
Master_Mapping_Sheet!$E$2:$E$3143),
Master_Mapping_Sheet!$C$2:$C$3143=U$1,
Master_Mapping_Sheet!$K$2:$K$3143=VALUE(RIGH"&amp;"T($A5,1))))/sum(filter(
Master_Mapping_Sheet!$E$2:$E$3143, ISNUMBER(
Master_Mapping_Sheet!$E$2:$E$3143),
Master_Mapping_Sheet!$C$2:$C$3143=U$1)))"),0.0)</f>
        <v>0</v>
      </c>
      <c r="V5" s="34">
        <f>IFERROR(__xludf.DUMMYFUNCTION("IF(ISNA(sum(filter(
Master_Mapping_Sheet!$E$2:$E$3143, ISNUMBER(
Master_Mapping_Sheet!$E$2:$E$3143),
Master_Mapping_Sheet!$C$2:$C$3143=V$1,
Master_Mapping_Sheet!$K$2:$K$3143=VALUE(RIGHT($A5,1))))/sum(filter(
Master_Mapping_Sheet!$E$2:$E$3143, ISNUMBER(
Ma"&amp;"ster_Mapping_Sheet!$E$2:$E$3143),
Master_Mapping_Sheet!$C$2:$C$3143=V$1))), 0, sum(filter(
Master_Mapping_Sheet!$E$2:$E$3143, ISNUMBER(
Master_Mapping_Sheet!$E$2:$E$3143),
Master_Mapping_Sheet!$C$2:$C$3143=V$1,
Master_Mapping_Sheet!$K$2:$K$3143=VALUE(RIGH"&amp;"T($A5,1))))/sum(filter(
Master_Mapping_Sheet!$E$2:$E$3143, ISNUMBER(
Master_Mapping_Sheet!$E$2:$E$3143),
Master_Mapping_Sheet!$C$2:$C$3143=V$1)))"),0.0)</f>
        <v>0</v>
      </c>
      <c r="W5" s="34">
        <f>IFERROR(__xludf.DUMMYFUNCTION("IF(ISNA(sum(filter(
Master_Mapping_Sheet!$E$2:$E$3143, ISNUMBER(
Master_Mapping_Sheet!$E$2:$E$3143),
Master_Mapping_Sheet!$C$2:$C$3143=W$1,
Master_Mapping_Sheet!$K$2:$K$3143=VALUE(RIGHT($A5,1))))/sum(filter(
Master_Mapping_Sheet!$E$2:$E$3143, ISNUMBER(
Ma"&amp;"ster_Mapping_Sheet!$E$2:$E$3143),
Master_Mapping_Sheet!$C$2:$C$3143=W$1))), 0, sum(filter(
Master_Mapping_Sheet!$E$2:$E$3143, ISNUMBER(
Master_Mapping_Sheet!$E$2:$E$3143),
Master_Mapping_Sheet!$C$2:$C$3143=W$1,
Master_Mapping_Sheet!$K$2:$K$3143=VALUE(RIGH"&amp;"T($A5,1))))/sum(filter(
Master_Mapping_Sheet!$E$2:$E$3143, ISNUMBER(
Master_Mapping_Sheet!$E$2:$E$3143),
Master_Mapping_Sheet!$C$2:$C$3143=W$1)))"),0.0)</f>
        <v>0</v>
      </c>
      <c r="X5" s="34">
        <f>IFERROR(__xludf.DUMMYFUNCTION("IF(ISNA(sum(filter(
Master_Mapping_Sheet!$E$2:$E$3143, ISNUMBER(
Master_Mapping_Sheet!$E$2:$E$3143),
Master_Mapping_Sheet!$C$2:$C$3143=X$1,
Master_Mapping_Sheet!$K$2:$K$3143=VALUE(RIGHT($A5,1))))/sum(filter(
Master_Mapping_Sheet!$E$2:$E$3143, ISNUMBER(
Ma"&amp;"ster_Mapping_Sheet!$E$2:$E$3143),
Master_Mapping_Sheet!$C$2:$C$3143=X$1))), 0, sum(filter(
Master_Mapping_Sheet!$E$2:$E$3143, ISNUMBER(
Master_Mapping_Sheet!$E$2:$E$3143),
Master_Mapping_Sheet!$C$2:$C$3143=X$1,
Master_Mapping_Sheet!$K$2:$K$3143=VALUE(RIGH"&amp;"T($A5,1))))/sum(filter(
Master_Mapping_Sheet!$E$2:$E$3143, ISNUMBER(
Master_Mapping_Sheet!$E$2:$E$3143),
Master_Mapping_Sheet!$C$2:$C$3143=X$1)))"),0.0)</f>
        <v>0</v>
      </c>
      <c r="Y5" s="34">
        <f>IFERROR(__xludf.DUMMYFUNCTION("IF(ISNA(sum(filter(
Master_Mapping_Sheet!$E$2:$E$3143, ISNUMBER(
Master_Mapping_Sheet!$E$2:$E$3143),
Master_Mapping_Sheet!$C$2:$C$3143=Y$1,
Master_Mapping_Sheet!$K$2:$K$3143=VALUE(RIGHT($A5,1))))/sum(filter(
Master_Mapping_Sheet!$E$2:$E$3143, ISNUMBER(
Ma"&amp;"ster_Mapping_Sheet!$E$2:$E$3143),
Master_Mapping_Sheet!$C$2:$C$3143=Y$1))), 0, sum(filter(
Master_Mapping_Sheet!$E$2:$E$3143, ISNUMBER(
Master_Mapping_Sheet!$E$2:$E$3143),
Master_Mapping_Sheet!$C$2:$C$3143=Y$1,
Master_Mapping_Sheet!$K$2:$K$3143=VALUE(RIGH"&amp;"T($A5,1))))/sum(filter(
Master_Mapping_Sheet!$E$2:$E$3143, ISNUMBER(
Master_Mapping_Sheet!$E$2:$E$3143),
Master_Mapping_Sheet!$C$2:$C$3143=Y$1)))"),0.0)</f>
        <v>0</v>
      </c>
      <c r="Z5" s="34">
        <f>IFERROR(__xludf.DUMMYFUNCTION("IF(ISNA(sum(filter(
Master_Mapping_Sheet!$E$2:$E$3143, ISNUMBER(
Master_Mapping_Sheet!$E$2:$E$3143),
Master_Mapping_Sheet!$C$2:$C$3143=Z$1,
Master_Mapping_Sheet!$K$2:$K$3143=VALUE(RIGHT($A5,1))))/sum(filter(
Master_Mapping_Sheet!$E$2:$E$3143, ISNUMBER(
Ma"&amp;"ster_Mapping_Sheet!$E$2:$E$3143),
Master_Mapping_Sheet!$C$2:$C$3143=Z$1))), 0, sum(filter(
Master_Mapping_Sheet!$E$2:$E$3143, ISNUMBER(
Master_Mapping_Sheet!$E$2:$E$3143),
Master_Mapping_Sheet!$C$2:$C$3143=Z$1,
Master_Mapping_Sheet!$K$2:$K$3143=VALUE(RIGH"&amp;"T($A5,1))))/sum(filter(
Master_Mapping_Sheet!$E$2:$E$3143, ISNUMBER(
Master_Mapping_Sheet!$E$2:$E$3143),
Master_Mapping_Sheet!$C$2:$C$3143=Z$1)))"),0.30972007252465394)</f>
        <v>0.3097200725</v>
      </c>
      <c r="AA5" s="34">
        <f>IFERROR(__xludf.DUMMYFUNCTION("IF(ISNA(sum(filter(
Master_Mapping_Sheet!$E$2:$E$3143, ISNUMBER(
Master_Mapping_Sheet!$E$2:$E$3143),
Master_Mapping_Sheet!$C$2:$C$3143=AA$1,
Master_Mapping_Sheet!$K$2:$K$3143=VALUE(RIGHT($A5,1))))/sum(filter(
Master_Mapping_Sheet!$E$2:$E$3143, ISNUMBER(
M"&amp;"aster_Mapping_Sheet!$E$2:$E$3143),
Master_Mapping_Sheet!$C$2:$C$3143=AA$1))), 0, sum(filter(
Master_Mapping_Sheet!$E$2:$E$3143, ISNUMBER(
Master_Mapping_Sheet!$E$2:$E$3143),
Master_Mapping_Sheet!$C$2:$C$3143=AA$1,
Master_Mapping_Sheet!$K$2:$K$3143=VALUE(R"&amp;"IGHT($A5,1))))/sum(filter(
Master_Mapping_Sheet!$E$2:$E$3143, ISNUMBER(
Master_Mapping_Sheet!$E$2:$E$3143),
Master_Mapping_Sheet!$C$2:$C$3143=AA$1)))"),0.0)</f>
        <v>0</v>
      </c>
      <c r="AB5" s="34">
        <f>IFERROR(__xludf.DUMMYFUNCTION("IF(ISNA(sum(filter(
Master_Mapping_Sheet!$E$2:$E$3143, ISNUMBER(
Master_Mapping_Sheet!$E$2:$E$3143),
Master_Mapping_Sheet!$C$2:$C$3143=AB$1,
Master_Mapping_Sheet!$K$2:$K$3143=VALUE(RIGHT($A5,1))))/sum(filter(
Master_Mapping_Sheet!$E$2:$E$3143, ISNUMBER(
M"&amp;"aster_Mapping_Sheet!$E$2:$E$3143),
Master_Mapping_Sheet!$C$2:$C$3143=AB$1))), 0, sum(filter(
Master_Mapping_Sheet!$E$2:$E$3143, ISNUMBER(
Master_Mapping_Sheet!$E$2:$E$3143),
Master_Mapping_Sheet!$C$2:$C$3143=AB$1,
Master_Mapping_Sheet!$K$2:$K$3143=VALUE(R"&amp;"IGHT($A5,1))))/sum(filter(
Master_Mapping_Sheet!$E$2:$E$3143, ISNUMBER(
Master_Mapping_Sheet!$E$2:$E$3143),
Master_Mapping_Sheet!$C$2:$C$3143=AB$1)))"),0.0)</f>
        <v>0</v>
      </c>
      <c r="AC5" s="34">
        <f>IFERROR(__xludf.DUMMYFUNCTION("IF(ISNA(sum(filter(
Master_Mapping_Sheet!$E$2:$E$3143, ISNUMBER(
Master_Mapping_Sheet!$E$2:$E$3143),
Master_Mapping_Sheet!$C$2:$C$3143=AC$1,
Master_Mapping_Sheet!$K$2:$K$3143=VALUE(RIGHT($A5,1))))/sum(filter(
Master_Mapping_Sheet!$E$2:$E$3143, ISNUMBER(
M"&amp;"aster_Mapping_Sheet!$E$2:$E$3143),
Master_Mapping_Sheet!$C$2:$C$3143=AC$1))), 0, sum(filter(
Master_Mapping_Sheet!$E$2:$E$3143, ISNUMBER(
Master_Mapping_Sheet!$E$2:$E$3143),
Master_Mapping_Sheet!$C$2:$C$3143=AC$1,
Master_Mapping_Sheet!$K$2:$K$3143=VALUE(R"&amp;"IGHT($A5,1))))/sum(filter(
Master_Mapping_Sheet!$E$2:$E$3143, ISNUMBER(
Master_Mapping_Sheet!$E$2:$E$3143),
Master_Mapping_Sheet!$C$2:$C$3143=AC$1)))"),0.0)</f>
        <v>0</v>
      </c>
      <c r="AD5" s="34">
        <f>IFERROR(__xludf.DUMMYFUNCTION("IF(ISNA(sum(filter(
Master_Mapping_Sheet!$E$2:$E$3143, ISNUMBER(
Master_Mapping_Sheet!$E$2:$E$3143),
Master_Mapping_Sheet!$C$2:$C$3143=AD$1,
Master_Mapping_Sheet!$K$2:$K$3143=VALUE(RIGHT($A5,1))))/sum(filter(
Master_Mapping_Sheet!$E$2:$E$3143, ISNUMBER(
M"&amp;"aster_Mapping_Sheet!$E$2:$E$3143),
Master_Mapping_Sheet!$C$2:$C$3143=AD$1))), 0, sum(filter(
Master_Mapping_Sheet!$E$2:$E$3143, ISNUMBER(
Master_Mapping_Sheet!$E$2:$E$3143),
Master_Mapping_Sheet!$C$2:$C$3143=AD$1,
Master_Mapping_Sheet!$K$2:$K$3143=VALUE(R"&amp;"IGHT($A5,1))))/sum(filter(
Master_Mapping_Sheet!$E$2:$E$3143, ISNUMBER(
Master_Mapping_Sheet!$E$2:$E$3143),
Master_Mapping_Sheet!$C$2:$C$3143=AD$1)))"),0.0)</f>
        <v>0</v>
      </c>
      <c r="AE5" s="34">
        <f>IFERROR(__xludf.DUMMYFUNCTION("IF(ISNA(sum(filter(
Master_Mapping_Sheet!$E$2:$E$3143, ISNUMBER(
Master_Mapping_Sheet!$E$2:$E$3143),
Master_Mapping_Sheet!$C$2:$C$3143=AE$1,
Master_Mapping_Sheet!$K$2:$K$3143=VALUE(RIGHT($A5,1))))/sum(filter(
Master_Mapping_Sheet!$E$2:$E$3143, ISNUMBER(
M"&amp;"aster_Mapping_Sheet!$E$2:$E$3143),
Master_Mapping_Sheet!$C$2:$C$3143=AE$1))), 0, sum(filter(
Master_Mapping_Sheet!$E$2:$E$3143, ISNUMBER(
Master_Mapping_Sheet!$E$2:$E$3143),
Master_Mapping_Sheet!$C$2:$C$3143=AE$1,
Master_Mapping_Sheet!$K$2:$K$3143=VALUE(R"&amp;"IGHT($A5,1))))/sum(filter(
Master_Mapping_Sheet!$E$2:$E$3143, ISNUMBER(
Master_Mapping_Sheet!$E$2:$E$3143),
Master_Mapping_Sheet!$C$2:$C$3143=AE$1)))"),0.0)</f>
        <v>0</v>
      </c>
      <c r="AF5" s="34">
        <f>IFERROR(__xludf.DUMMYFUNCTION("IF(ISNA(sum(filter(
Master_Mapping_Sheet!$E$2:$E$3143, ISNUMBER(
Master_Mapping_Sheet!$E$2:$E$3143),
Master_Mapping_Sheet!$C$2:$C$3143=AF$1,
Master_Mapping_Sheet!$K$2:$K$3143=VALUE(RIGHT($A5,1))))/sum(filter(
Master_Mapping_Sheet!$E$2:$E$3143, ISNUMBER(
M"&amp;"aster_Mapping_Sheet!$E$2:$E$3143),
Master_Mapping_Sheet!$C$2:$C$3143=AF$1))), 0, sum(filter(
Master_Mapping_Sheet!$E$2:$E$3143, ISNUMBER(
Master_Mapping_Sheet!$E$2:$E$3143),
Master_Mapping_Sheet!$C$2:$C$3143=AF$1,
Master_Mapping_Sheet!$K$2:$K$3143=VALUE(R"&amp;"IGHT($A5,1))))/sum(filter(
Master_Mapping_Sheet!$E$2:$E$3143, ISNUMBER(
Master_Mapping_Sheet!$E$2:$E$3143),
Master_Mapping_Sheet!$C$2:$C$3143=AF$1)))"),0.0)</f>
        <v>0</v>
      </c>
      <c r="AG5" s="34">
        <f>IFERROR(__xludf.DUMMYFUNCTION("IF(ISNA(sum(filter(
Master_Mapping_Sheet!$E$2:$E$3143, ISNUMBER(
Master_Mapping_Sheet!$E$2:$E$3143),
Master_Mapping_Sheet!$C$2:$C$3143=AG$1,
Master_Mapping_Sheet!$K$2:$K$3143=VALUE(RIGHT($A5,1))))/sum(filter(
Master_Mapping_Sheet!$E$2:$E$3143, ISNUMBER(
M"&amp;"aster_Mapping_Sheet!$E$2:$E$3143),
Master_Mapping_Sheet!$C$2:$C$3143=AG$1))), 0, sum(filter(
Master_Mapping_Sheet!$E$2:$E$3143, ISNUMBER(
Master_Mapping_Sheet!$E$2:$E$3143),
Master_Mapping_Sheet!$C$2:$C$3143=AG$1,
Master_Mapping_Sheet!$K$2:$K$3143=VALUE(R"&amp;"IGHT($A5,1))))/sum(filter(
Master_Mapping_Sheet!$E$2:$E$3143, ISNUMBER(
Master_Mapping_Sheet!$E$2:$E$3143),
Master_Mapping_Sheet!$C$2:$C$3143=AG$1)))"),0.26393097521674297)</f>
        <v>0.2639309752</v>
      </c>
      <c r="AH5" s="34">
        <f>IFERROR(__xludf.DUMMYFUNCTION("IF(ISNA(sum(filter(
Master_Mapping_Sheet!$E$2:$E$3143, ISNUMBER(
Master_Mapping_Sheet!$E$2:$E$3143),
Master_Mapping_Sheet!$C$2:$C$3143=AH$1,
Master_Mapping_Sheet!$K$2:$K$3143=VALUE(RIGHT($A5,1))))/sum(filter(
Master_Mapping_Sheet!$E$2:$E$3143, ISNUMBER(
M"&amp;"aster_Mapping_Sheet!$E$2:$E$3143),
Master_Mapping_Sheet!$C$2:$C$3143=AH$1))), 0, sum(filter(
Master_Mapping_Sheet!$E$2:$E$3143, ISNUMBER(
Master_Mapping_Sheet!$E$2:$E$3143),
Master_Mapping_Sheet!$C$2:$C$3143=AH$1,
Master_Mapping_Sheet!$K$2:$K$3143=VALUE(R"&amp;"IGHT($A5,1))))/sum(filter(
Master_Mapping_Sheet!$E$2:$E$3143, ISNUMBER(
Master_Mapping_Sheet!$E$2:$E$3143),
Master_Mapping_Sheet!$C$2:$C$3143=AH$1)))"),0.0)</f>
        <v>0</v>
      </c>
      <c r="AI5" s="34">
        <f>IFERROR(__xludf.DUMMYFUNCTION("IF(ISNA(sum(filter(
Master_Mapping_Sheet!$E$2:$E$3143, ISNUMBER(
Master_Mapping_Sheet!$E$2:$E$3143),
Master_Mapping_Sheet!$C$2:$C$3143=AI$1,
Master_Mapping_Sheet!$K$2:$K$3143=VALUE(RIGHT($A5,1))))/sum(filter(
Master_Mapping_Sheet!$E$2:$E$3143, ISNUMBER(
M"&amp;"aster_Mapping_Sheet!$E$2:$E$3143),
Master_Mapping_Sheet!$C$2:$C$3143=AI$1))), 0, sum(filter(
Master_Mapping_Sheet!$E$2:$E$3143, ISNUMBER(
Master_Mapping_Sheet!$E$2:$E$3143),
Master_Mapping_Sheet!$C$2:$C$3143=AI$1,
Master_Mapping_Sheet!$K$2:$K$3143=VALUE(R"&amp;"IGHT($A5,1))))/sum(filter(
Master_Mapping_Sheet!$E$2:$E$3143, ISNUMBER(
Master_Mapping_Sheet!$E$2:$E$3143),
Master_Mapping_Sheet!$C$2:$C$3143=AI$1)))"),0.908803855773587)</f>
        <v>0.9088038558</v>
      </c>
      <c r="AJ5" s="34">
        <f>IFERROR(__xludf.DUMMYFUNCTION("IF(ISNA(sum(filter(
Master_Mapping_Sheet!$E$2:$E$3143, ISNUMBER(
Master_Mapping_Sheet!$E$2:$E$3143),
Master_Mapping_Sheet!$C$2:$C$3143=AJ$1,
Master_Mapping_Sheet!$K$2:$K$3143=VALUE(RIGHT($A5,1))))/sum(filter(
Master_Mapping_Sheet!$E$2:$E$3143, ISNUMBER(
M"&amp;"aster_Mapping_Sheet!$E$2:$E$3143),
Master_Mapping_Sheet!$C$2:$C$3143=AJ$1))), 0, sum(filter(
Master_Mapping_Sheet!$E$2:$E$3143, ISNUMBER(
Master_Mapping_Sheet!$E$2:$E$3143),
Master_Mapping_Sheet!$C$2:$C$3143=AJ$1,
Master_Mapping_Sheet!$K$2:$K$3143=VALUE(R"&amp;"IGHT($A5,1))))/sum(filter(
Master_Mapping_Sheet!$E$2:$E$3143, ISNUMBER(
Master_Mapping_Sheet!$E$2:$E$3143),
Master_Mapping_Sheet!$C$2:$C$3143=AJ$1)))"),0.0)</f>
        <v>0</v>
      </c>
      <c r="AK5" s="34">
        <f>IFERROR(__xludf.DUMMYFUNCTION("IF(ISNA(sum(filter(
Master_Mapping_Sheet!$E$2:$E$3143, ISNUMBER(
Master_Mapping_Sheet!$E$2:$E$3143),
Master_Mapping_Sheet!$C$2:$C$3143=AK$1,
Master_Mapping_Sheet!$K$2:$K$3143=VALUE(RIGHT($A5,1))))/sum(filter(
Master_Mapping_Sheet!$E$2:$E$3143, ISNUMBER(
M"&amp;"aster_Mapping_Sheet!$E$2:$E$3143),
Master_Mapping_Sheet!$C$2:$C$3143=AK$1))), 0, sum(filter(
Master_Mapping_Sheet!$E$2:$E$3143, ISNUMBER(
Master_Mapping_Sheet!$E$2:$E$3143),
Master_Mapping_Sheet!$C$2:$C$3143=AK$1,
Master_Mapping_Sheet!$K$2:$K$3143=VALUE(R"&amp;"IGHT($A5,1))))/sum(filter(
Master_Mapping_Sheet!$E$2:$E$3143, ISNUMBER(
Master_Mapping_Sheet!$E$2:$E$3143),
Master_Mapping_Sheet!$C$2:$C$3143=AK$1)))"),0.0)</f>
        <v>0</v>
      </c>
      <c r="AL5" s="34">
        <f>IFERROR(__xludf.DUMMYFUNCTION("IF(ISNA(sum(filter(
Master_Mapping_Sheet!$E$2:$E$3143, ISNUMBER(
Master_Mapping_Sheet!$E$2:$E$3143),
Master_Mapping_Sheet!$C$2:$C$3143=AL$1,
Master_Mapping_Sheet!$K$2:$K$3143=VALUE(RIGHT($A5,1))))/sum(filter(
Master_Mapping_Sheet!$E$2:$E$3143, ISNUMBER(
M"&amp;"aster_Mapping_Sheet!$E$2:$E$3143),
Master_Mapping_Sheet!$C$2:$C$3143=AL$1))), 0, sum(filter(
Master_Mapping_Sheet!$E$2:$E$3143, ISNUMBER(
Master_Mapping_Sheet!$E$2:$E$3143),
Master_Mapping_Sheet!$C$2:$C$3143=AL$1,
Master_Mapping_Sheet!$K$2:$K$3143=VALUE(R"&amp;"IGHT($A5,1))))/sum(filter(
Master_Mapping_Sheet!$E$2:$E$3143, ISNUMBER(
Master_Mapping_Sheet!$E$2:$E$3143),
Master_Mapping_Sheet!$C$2:$C$3143=AL$1)))"),0.7428334333212295)</f>
        <v>0.7428334333</v>
      </c>
      <c r="AM5" s="34">
        <f>IFERROR(__xludf.DUMMYFUNCTION("IF(ISNA(sum(filter(
Master_Mapping_Sheet!$E$2:$E$3143, ISNUMBER(
Master_Mapping_Sheet!$E$2:$E$3143),
Master_Mapping_Sheet!$C$2:$C$3143=AM$1,
Master_Mapping_Sheet!$K$2:$K$3143=VALUE(RIGHT($A5,1))))/sum(filter(
Master_Mapping_Sheet!$E$2:$E$3143, ISNUMBER(
M"&amp;"aster_Mapping_Sheet!$E$2:$E$3143),
Master_Mapping_Sheet!$C$2:$C$3143=AM$1))), 0, sum(filter(
Master_Mapping_Sheet!$E$2:$E$3143, ISNUMBER(
Master_Mapping_Sheet!$E$2:$E$3143),
Master_Mapping_Sheet!$C$2:$C$3143=AM$1,
Master_Mapping_Sheet!$K$2:$K$3143=VALUE(R"&amp;"IGHT($A5,1))))/sum(filter(
Master_Mapping_Sheet!$E$2:$E$3143, ISNUMBER(
Master_Mapping_Sheet!$E$2:$E$3143),
Master_Mapping_Sheet!$C$2:$C$3143=AM$1)))"),0.0)</f>
        <v>0</v>
      </c>
      <c r="AN5" s="34">
        <f>IFERROR(__xludf.DUMMYFUNCTION("IF(ISNA(sum(filter(
Master_Mapping_Sheet!$E$2:$E$3143, ISNUMBER(
Master_Mapping_Sheet!$E$2:$E$3143),
Master_Mapping_Sheet!$C$2:$C$3143=AN$1,
Master_Mapping_Sheet!$K$2:$K$3143=VALUE(RIGHT($A5,1))))/sum(filter(
Master_Mapping_Sheet!$E$2:$E$3143, ISNUMBER(
M"&amp;"aster_Mapping_Sheet!$E$2:$E$3143),
Master_Mapping_Sheet!$C$2:$C$3143=AN$1))), 0, sum(filter(
Master_Mapping_Sheet!$E$2:$E$3143, ISNUMBER(
Master_Mapping_Sheet!$E$2:$E$3143),
Master_Mapping_Sheet!$C$2:$C$3143=AN$1,
Master_Mapping_Sheet!$K$2:$K$3143=VALUE(R"&amp;"IGHT($A5,1))))/sum(filter(
Master_Mapping_Sheet!$E$2:$E$3143, ISNUMBER(
Master_Mapping_Sheet!$E$2:$E$3143),
Master_Mapping_Sheet!$C$2:$C$3143=AN$1)))"),0.0)</f>
        <v>0</v>
      </c>
      <c r="AO5" s="34">
        <f>IFERROR(__xludf.DUMMYFUNCTION("IF(ISNA(sum(filter(
Master_Mapping_Sheet!$E$2:$E$3143, ISNUMBER(
Master_Mapping_Sheet!$E$2:$E$3143),
Master_Mapping_Sheet!$C$2:$C$3143=AO$1,
Master_Mapping_Sheet!$K$2:$K$3143=VALUE(RIGHT($A5,1))))/sum(filter(
Master_Mapping_Sheet!$E$2:$E$3143, ISNUMBER(
M"&amp;"aster_Mapping_Sheet!$E$2:$E$3143),
Master_Mapping_Sheet!$C$2:$C$3143=AO$1))), 0, sum(filter(
Master_Mapping_Sheet!$E$2:$E$3143, ISNUMBER(
Master_Mapping_Sheet!$E$2:$E$3143),
Master_Mapping_Sheet!$C$2:$C$3143=AO$1,
Master_Mapping_Sheet!$K$2:$K$3143=VALUE(R"&amp;"IGHT($A5,1))))/sum(filter(
Master_Mapping_Sheet!$E$2:$E$3143, ISNUMBER(
Master_Mapping_Sheet!$E$2:$E$3143),
Master_Mapping_Sheet!$C$2:$C$3143=AO$1)))"),0.0)</f>
        <v>0</v>
      </c>
      <c r="AP5" s="34">
        <f>IFERROR(__xludf.DUMMYFUNCTION("IF(ISNA(sum(filter(
Master_Mapping_Sheet!$E$2:$E$3143, ISNUMBER(
Master_Mapping_Sheet!$E$2:$E$3143),
Master_Mapping_Sheet!$C$2:$C$3143=AP$1,
Master_Mapping_Sheet!$K$2:$K$3143=VALUE(RIGHT($A5,1))))/sum(filter(
Master_Mapping_Sheet!$E$2:$E$3143, ISNUMBER(
M"&amp;"aster_Mapping_Sheet!$E$2:$E$3143),
Master_Mapping_Sheet!$C$2:$C$3143=AP$1))), 0, sum(filter(
Master_Mapping_Sheet!$E$2:$E$3143, ISNUMBER(
Master_Mapping_Sheet!$E$2:$E$3143),
Master_Mapping_Sheet!$C$2:$C$3143=AP$1,
Master_Mapping_Sheet!$K$2:$K$3143=VALUE(R"&amp;"IGHT($A5,1))))/sum(filter(
Master_Mapping_Sheet!$E$2:$E$3143, ISNUMBER(
Master_Mapping_Sheet!$E$2:$E$3143),
Master_Mapping_Sheet!$C$2:$C$3143=AP$1)))"),0.7218785329265263)</f>
        <v>0.7218785329</v>
      </c>
      <c r="AQ5" s="34">
        <f>IFERROR(__xludf.DUMMYFUNCTION("IF(ISNA(sum(filter(
Master_Mapping_Sheet!$E$2:$E$3143, ISNUMBER(
Master_Mapping_Sheet!$E$2:$E$3143),
Master_Mapping_Sheet!$C$2:$C$3143=AQ$1,
Master_Mapping_Sheet!$K$2:$K$3143=VALUE(RIGHT($A5,1))))/sum(filter(
Master_Mapping_Sheet!$E$2:$E$3143, ISNUMBER(
M"&amp;"aster_Mapping_Sheet!$E$2:$E$3143),
Master_Mapping_Sheet!$C$2:$C$3143=AQ$1))), 0, sum(filter(
Master_Mapping_Sheet!$E$2:$E$3143, ISNUMBER(
Master_Mapping_Sheet!$E$2:$E$3143),
Master_Mapping_Sheet!$C$2:$C$3143=AQ$1,
Master_Mapping_Sheet!$K$2:$K$3143=VALUE(R"&amp;"IGHT($A5,1))))/sum(filter(
Master_Mapping_Sheet!$E$2:$E$3143, ISNUMBER(
Master_Mapping_Sheet!$E$2:$E$3143),
Master_Mapping_Sheet!$C$2:$C$3143=AQ$1)))"),0.0)</f>
        <v>0</v>
      </c>
      <c r="AR5" s="34">
        <f>IFERROR(__xludf.DUMMYFUNCTION("IF(ISNA(sum(filter(
Master_Mapping_Sheet!$E$2:$E$3143, ISNUMBER(
Master_Mapping_Sheet!$E$2:$E$3143),
Master_Mapping_Sheet!$C$2:$C$3143=AR$1,
Master_Mapping_Sheet!$K$2:$K$3143=VALUE(RIGHT($A5,1))))/sum(filter(
Master_Mapping_Sheet!$E$2:$E$3143, ISNUMBER(
M"&amp;"aster_Mapping_Sheet!$E$2:$E$3143),
Master_Mapping_Sheet!$C$2:$C$3143=AR$1))), 0, sum(filter(
Master_Mapping_Sheet!$E$2:$E$3143, ISNUMBER(
Master_Mapping_Sheet!$E$2:$E$3143),
Master_Mapping_Sheet!$C$2:$C$3143=AR$1,
Master_Mapping_Sheet!$K$2:$K$3143=VALUE(R"&amp;"IGHT($A5,1))))/sum(filter(
Master_Mapping_Sheet!$E$2:$E$3143, ISNUMBER(
Master_Mapping_Sheet!$E$2:$E$3143),
Master_Mapping_Sheet!$C$2:$C$3143=AR$1)))"),0.49908826071295415)</f>
        <v>0.4990882607</v>
      </c>
      <c r="AS5" s="34">
        <f>IFERROR(__xludf.DUMMYFUNCTION("IF(ISNA(sum(filter(
Master_Mapping_Sheet!$E$2:$E$3143, ISNUMBER(
Master_Mapping_Sheet!$E$2:$E$3143),
Master_Mapping_Sheet!$C$2:$C$3143=AS$1,
Master_Mapping_Sheet!$K$2:$K$3143=VALUE(RIGHT($A5,1))))/sum(filter(
Master_Mapping_Sheet!$E$2:$E$3143, ISNUMBER(
M"&amp;"aster_Mapping_Sheet!$E$2:$E$3143),
Master_Mapping_Sheet!$C$2:$C$3143=AS$1))), 0, sum(filter(
Master_Mapping_Sheet!$E$2:$E$3143, ISNUMBER(
Master_Mapping_Sheet!$E$2:$E$3143),
Master_Mapping_Sheet!$C$2:$C$3143=AS$1,
Master_Mapping_Sheet!$K$2:$K$3143=VALUE(R"&amp;"IGHT($A5,1))))/sum(filter(
Master_Mapping_Sheet!$E$2:$E$3143, ISNUMBER(
Master_Mapping_Sheet!$E$2:$E$3143),
Master_Mapping_Sheet!$C$2:$C$3143=AS$1)))"),0.017088511174577468)</f>
        <v>0.01708851117</v>
      </c>
      <c r="AT5" s="34">
        <f>IFERROR(__xludf.DUMMYFUNCTION("IF(ISNA(sum(filter(
Master_Mapping_Sheet!$E$2:$E$3143, ISNUMBER(
Master_Mapping_Sheet!$E$2:$E$3143),
Master_Mapping_Sheet!$C$2:$C$3143=AT$1,
Master_Mapping_Sheet!$K$2:$K$3143=VALUE(RIGHT($A5,1))))/sum(filter(
Master_Mapping_Sheet!$E$2:$E$3143, ISNUMBER(
M"&amp;"aster_Mapping_Sheet!$E$2:$E$3143),
Master_Mapping_Sheet!$C$2:$C$3143=AT$1))), 0, sum(filter(
Master_Mapping_Sheet!$E$2:$E$3143, ISNUMBER(
Master_Mapping_Sheet!$E$2:$E$3143),
Master_Mapping_Sheet!$C$2:$C$3143=AT$1,
Master_Mapping_Sheet!$K$2:$K$3143=VALUE(R"&amp;"IGHT($A5,1))))/sum(filter(
Master_Mapping_Sheet!$E$2:$E$3143, ISNUMBER(
Master_Mapping_Sheet!$E$2:$E$3143),
Master_Mapping_Sheet!$C$2:$C$3143=AT$1)))"),0.0)</f>
        <v>0</v>
      </c>
      <c r="AU5" s="34">
        <f>IFERROR(__xludf.DUMMYFUNCTION("IF(ISNA(sum(filter(
Master_Mapping_Sheet!$E$2:$E$3143, ISNUMBER(
Master_Mapping_Sheet!$E$2:$E$3143),
Master_Mapping_Sheet!$C$2:$C$3143=AU$1,
Master_Mapping_Sheet!$K$2:$K$3143=VALUE(RIGHT($A5,1))))/sum(filter(
Master_Mapping_Sheet!$E$2:$E$3143, ISNUMBER(
M"&amp;"aster_Mapping_Sheet!$E$2:$E$3143),
Master_Mapping_Sheet!$C$2:$C$3143=AU$1))), 0, sum(filter(
Master_Mapping_Sheet!$E$2:$E$3143, ISNUMBER(
Master_Mapping_Sheet!$E$2:$E$3143),
Master_Mapping_Sheet!$C$2:$C$3143=AU$1,
Master_Mapping_Sheet!$K$2:$K$3143=VALUE(R"&amp;"IGHT($A5,1))))/sum(filter(
Master_Mapping_Sheet!$E$2:$E$3143, ISNUMBER(
Master_Mapping_Sheet!$E$2:$E$3143),
Master_Mapping_Sheet!$C$2:$C$3143=AU$1)))"),0.0)</f>
        <v>0</v>
      </c>
      <c r="AV5" s="34">
        <f>IFERROR(__xludf.DUMMYFUNCTION("IF(ISNA(sum(filter(
Master_Mapping_Sheet!$E$2:$E$3143, ISNUMBER(
Master_Mapping_Sheet!$E$2:$E$3143),
Master_Mapping_Sheet!$C$2:$C$3143=AV$1,
Master_Mapping_Sheet!$K$2:$K$3143=VALUE(RIGHT($A5,1))))/sum(filter(
Master_Mapping_Sheet!$E$2:$E$3143, ISNUMBER(
M"&amp;"aster_Mapping_Sheet!$E$2:$E$3143),
Master_Mapping_Sheet!$C$2:$C$3143=AV$1))), 0, sum(filter(
Master_Mapping_Sheet!$E$2:$E$3143, ISNUMBER(
Master_Mapping_Sheet!$E$2:$E$3143),
Master_Mapping_Sheet!$C$2:$C$3143=AV$1,
Master_Mapping_Sheet!$K$2:$K$3143=VALUE(R"&amp;"IGHT($A5,1))))/sum(filter(
Master_Mapping_Sheet!$E$2:$E$3143, ISNUMBER(
Master_Mapping_Sheet!$E$2:$E$3143),
Master_Mapping_Sheet!$C$2:$C$3143=AV$1)))"),0.3485019788432321)</f>
        <v>0.3485019788</v>
      </c>
      <c r="AW5" s="34">
        <f>IFERROR(__xludf.DUMMYFUNCTION("IF(ISNA(sum(filter(
Master_Mapping_Sheet!$E$2:$E$3143, ISNUMBER(
Master_Mapping_Sheet!$E$2:$E$3143),
Master_Mapping_Sheet!$C$2:$C$3143=AW$1,
Master_Mapping_Sheet!$K$2:$K$3143=VALUE(RIGHT($A5,1))))/sum(filter(
Master_Mapping_Sheet!$E$2:$E$3143, ISNUMBER(
M"&amp;"aster_Mapping_Sheet!$E$2:$E$3143),
Master_Mapping_Sheet!$C$2:$C$3143=AW$1))), 0, sum(filter(
Master_Mapping_Sheet!$E$2:$E$3143, ISNUMBER(
Master_Mapping_Sheet!$E$2:$E$3143),
Master_Mapping_Sheet!$C$2:$C$3143=AW$1,
Master_Mapping_Sheet!$K$2:$K$3143=VALUE(R"&amp;"IGHT($A5,1))))/sum(filter(
Master_Mapping_Sheet!$E$2:$E$3143, ISNUMBER(
Master_Mapping_Sheet!$E$2:$E$3143),
Master_Mapping_Sheet!$C$2:$C$3143=AW$1)))"),0.0)</f>
        <v>0</v>
      </c>
      <c r="AX5" s="34">
        <f>IFERROR(__xludf.DUMMYFUNCTION("IF(ISNA(sum(filter(
Master_Mapping_Sheet!$E$2:$E$3143, ISNUMBER(
Master_Mapping_Sheet!$E$2:$E$3143),
Master_Mapping_Sheet!$C$2:$C$3143=AX$1,
Master_Mapping_Sheet!$K$2:$K$3143=VALUE(RIGHT($A5,1))))/sum(filter(
Master_Mapping_Sheet!$E$2:$E$3143, ISNUMBER(
M"&amp;"aster_Mapping_Sheet!$E$2:$E$3143),
Master_Mapping_Sheet!$C$2:$C$3143=AX$1))), 0, sum(filter(
Master_Mapping_Sheet!$E$2:$E$3143, ISNUMBER(
Master_Mapping_Sheet!$E$2:$E$3143),
Master_Mapping_Sheet!$C$2:$C$3143=AX$1,
Master_Mapping_Sheet!$K$2:$K$3143=VALUE(R"&amp;"IGHT($A5,1))))/sum(filter(
Master_Mapping_Sheet!$E$2:$E$3143, ISNUMBER(
Master_Mapping_Sheet!$E$2:$E$3143),
Master_Mapping_Sheet!$C$2:$C$3143=AX$1)))"),0.0)</f>
        <v>0</v>
      </c>
      <c r="AY5" s="34">
        <f>IFERROR(__xludf.DUMMYFUNCTION("IF(ISNA(sum(filter(
Master_Mapping_Sheet!$E$2:$E$3143, ISNUMBER(
Master_Mapping_Sheet!$E$2:$E$3143),
Master_Mapping_Sheet!$C$2:$C$3143=AY$1,
Master_Mapping_Sheet!$K$2:$K$3143=VALUE(RIGHT($A5,1))))/sum(filter(
Master_Mapping_Sheet!$E$2:$E$3143, ISNUMBER(
M"&amp;"aster_Mapping_Sheet!$E$2:$E$3143),
Master_Mapping_Sheet!$C$2:$C$3143=AY$1))), 0, sum(filter(
Master_Mapping_Sheet!$E$2:$E$3143, ISNUMBER(
Master_Mapping_Sheet!$E$2:$E$3143),
Master_Mapping_Sheet!$C$2:$C$3143=AY$1,
Master_Mapping_Sheet!$K$2:$K$3143=VALUE(R"&amp;"IGHT($A5,1))))/sum(filter(
Master_Mapping_Sheet!$E$2:$E$3143, ISNUMBER(
Master_Mapping_Sheet!$E$2:$E$3143),
Master_Mapping_Sheet!$C$2:$C$3143=AY$1)))"),0.0)</f>
        <v>0</v>
      </c>
      <c r="AZ5" s="34">
        <f>IFERROR(__xludf.DUMMYFUNCTION("IF(ISNA(sum(filter(
Master_Mapping_Sheet!$E$2:$E$3143, ISNUMBER(
Master_Mapping_Sheet!$E$2:$E$3143),
Master_Mapping_Sheet!$C$2:$C$3143=AZ$1,
Master_Mapping_Sheet!$K$2:$K$3143=VALUE(RIGHT($A5,1))))/sum(filter(
Master_Mapping_Sheet!$E$2:$E$3143, ISNUMBER(
M"&amp;"aster_Mapping_Sheet!$E$2:$E$3143),
Master_Mapping_Sheet!$C$2:$C$3143=AZ$1))), 0, sum(filter(
Master_Mapping_Sheet!$E$2:$E$3143, ISNUMBER(
Master_Mapping_Sheet!$E$2:$E$3143),
Master_Mapping_Sheet!$C$2:$C$3143=AZ$1,
Master_Mapping_Sheet!$K$2:$K$3143=VALUE(R"&amp;"IGHT($A5,1))))/sum(filter(
Master_Mapping_Sheet!$E$2:$E$3143, ISNUMBER(
Master_Mapping_Sheet!$E$2:$E$3143),
Master_Mapping_Sheet!$C$2:$C$3143=AZ$1)))"),0.0)</f>
        <v>0</v>
      </c>
    </row>
    <row r="6" ht="15.75" customHeight="1">
      <c r="A6" s="45" t="s">
        <v>4250</v>
      </c>
      <c r="B6" s="34">
        <f>IFERROR(__xludf.DUMMYFUNCTION("IF(ISNA(sum(filter(
Master_Mapping_Sheet!$E$2:$E$3143, ISNUMBER(
Master_Mapping_Sheet!$E$2:$E$3143),
Master_Mapping_Sheet!$C$2:$C$3143=B$1,
Master_Mapping_Sheet!$K$2:$K$3143=VALUE(RIGHT($A6,1))))/sum(filter(
Master_Mapping_Sheet!$E$2:$E$3143, ISNUMBER(
Ma"&amp;"ster_Mapping_Sheet!$E$2:$E$3143),
Master_Mapping_Sheet!$C$2:$C$3143=B$1))), 0, sum(filter(
Master_Mapping_Sheet!$E$2:$E$3143, ISNUMBER(
Master_Mapping_Sheet!$E$2:$E$3143),
Master_Mapping_Sheet!$C$2:$C$3143=B$1,
Master_Mapping_Sheet!$K$2:$K$3143=VALUE(RIGH"&amp;"T($A6,1))))/sum(filter(
Master_Mapping_Sheet!$E$2:$E$3143, ISNUMBER(
Master_Mapping_Sheet!$E$2:$E$3143),
Master_Mapping_Sheet!$C$2:$C$3143=B$1)))"),0.3029861398759863)</f>
        <v>0.3029861399</v>
      </c>
      <c r="C6" s="34">
        <f>IFERROR(__xludf.DUMMYFUNCTION("IF(ISNA(sum(filter(
Master_Mapping_Sheet!$E$2:$E$3143, ISNUMBER(
Master_Mapping_Sheet!$E$2:$E$3143),
Master_Mapping_Sheet!$C$2:$C$3143=C$1,
Master_Mapping_Sheet!$K$2:$K$3143=VALUE(RIGHT($A6,1))))/sum(filter(
Master_Mapping_Sheet!$E$2:$E$3143, ISNUMBER(
Ma"&amp;"ster_Mapping_Sheet!$E$2:$E$3143),
Master_Mapping_Sheet!$C$2:$C$3143=C$1))), 0, sum(filter(
Master_Mapping_Sheet!$E$2:$E$3143, ISNUMBER(
Master_Mapping_Sheet!$E$2:$E$3143),
Master_Mapping_Sheet!$C$2:$C$3143=C$1,
Master_Mapping_Sheet!$K$2:$K$3143=VALUE(RIGH"&amp;"T($A6,1))))/sum(filter(
Master_Mapping_Sheet!$E$2:$E$3143, ISNUMBER(
Master_Mapping_Sheet!$E$2:$E$3143),
Master_Mapping_Sheet!$C$2:$C$3143=C$1)))"),0.0)</f>
        <v>0</v>
      </c>
      <c r="D6" s="34">
        <f>IFERROR(__xludf.DUMMYFUNCTION("IF(ISNA(sum(filter(
Master_Mapping_Sheet!$E$2:$E$3143, ISNUMBER(
Master_Mapping_Sheet!$E$2:$E$3143),
Master_Mapping_Sheet!$C$2:$C$3143=D$1,
Master_Mapping_Sheet!$K$2:$K$3143=VALUE(RIGHT($A6,1))))/sum(filter(
Master_Mapping_Sheet!$E$2:$E$3143, ISNUMBER(
Ma"&amp;"ster_Mapping_Sheet!$E$2:$E$3143),
Master_Mapping_Sheet!$C$2:$C$3143=D$1))), 0, sum(filter(
Master_Mapping_Sheet!$E$2:$E$3143, ISNUMBER(
Master_Mapping_Sheet!$E$2:$E$3143),
Master_Mapping_Sheet!$C$2:$C$3143=D$1,
Master_Mapping_Sheet!$K$2:$K$3143=VALUE(RIGH"&amp;"T($A6,1))))/sum(filter(
Master_Mapping_Sheet!$E$2:$E$3143, ISNUMBER(
Master_Mapping_Sheet!$E$2:$E$3143),
Master_Mapping_Sheet!$C$2:$C$3143=D$1)))"),0.892944667882418)</f>
        <v>0.8929446679</v>
      </c>
      <c r="E6" s="34">
        <f>IFERROR(__xludf.DUMMYFUNCTION("IF(ISNA(sum(filter(
Master_Mapping_Sheet!$E$2:$E$3143, ISNUMBER(
Master_Mapping_Sheet!$E$2:$E$3143),
Master_Mapping_Sheet!$C$2:$C$3143=E$1,
Master_Mapping_Sheet!$K$2:$K$3143=VALUE(RIGHT($A6,1))))/sum(filter(
Master_Mapping_Sheet!$E$2:$E$3143, ISNUMBER(
Ma"&amp;"ster_Mapping_Sheet!$E$2:$E$3143),
Master_Mapping_Sheet!$C$2:$C$3143=E$1))), 0, sum(filter(
Master_Mapping_Sheet!$E$2:$E$3143, ISNUMBER(
Master_Mapping_Sheet!$E$2:$E$3143),
Master_Mapping_Sheet!$C$2:$C$3143=E$1,
Master_Mapping_Sheet!$K$2:$K$3143=VALUE(RIGH"&amp;"T($A6,1))))/sum(filter(
Master_Mapping_Sheet!$E$2:$E$3143, ISNUMBER(
Master_Mapping_Sheet!$E$2:$E$3143),
Master_Mapping_Sheet!$C$2:$C$3143=E$1)))"),0.07617907952845947)</f>
        <v>0.07617907953</v>
      </c>
      <c r="F6" s="34">
        <f>IFERROR(__xludf.DUMMYFUNCTION("IF(ISNA(sum(filter(
Master_Mapping_Sheet!$E$2:$E$3143, ISNUMBER(
Master_Mapping_Sheet!$E$2:$E$3143),
Master_Mapping_Sheet!$C$2:$C$3143=F$1,
Master_Mapping_Sheet!$K$2:$K$3143=VALUE(RIGHT($A6,1))))/sum(filter(
Master_Mapping_Sheet!$E$2:$E$3143, ISNUMBER(
Ma"&amp;"ster_Mapping_Sheet!$E$2:$E$3143),
Master_Mapping_Sheet!$C$2:$C$3143=F$1))), 0, sum(filter(
Master_Mapping_Sheet!$E$2:$E$3143, ISNUMBER(
Master_Mapping_Sheet!$E$2:$E$3143),
Master_Mapping_Sheet!$C$2:$C$3143=F$1,
Master_Mapping_Sheet!$K$2:$K$3143=VALUE(RIGH"&amp;"T($A6,1))))/sum(filter(
Master_Mapping_Sheet!$E$2:$E$3143, ISNUMBER(
Master_Mapping_Sheet!$E$2:$E$3143),
Master_Mapping_Sheet!$C$2:$C$3143=F$1)))"),0.028047519230817105)</f>
        <v>0.02804751923</v>
      </c>
      <c r="G6" s="34">
        <f>IFERROR(__xludf.DUMMYFUNCTION("IF(ISNA(sum(filter(
Master_Mapping_Sheet!$E$2:$E$3143, ISNUMBER(
Master_Mapping_Sheet!$E$2:$E$3143),
Master_Mapping_Sheet!$C$2:$C$3143=G$1,
Master_Mapping_Sheet!$K$2:$K$3143=VALUE(RIGHT($A6,1))))/sum(filter(
Master_Mapping_Sheet!$E$2:$E$3143, ISNUMBER(
Ma"&amp;"ster_Mapping_Sheet!$E$2:$E$3143),
Master_Mapping_Sheet!$C$2:$C$3143=G$1))), 0, sum(filter(
Master_Mapping_Sheet!$E$2:$E$3143, ISNUMBER(
Master_Mapping_Sheet!$E$2:$E$3143),
Master_Mapping_Sheet!$C$2:$C$3143=G$1,
Master_Mapping_Sheet!$K$2:$K$3143=VALUE(RIGH"&amp;"T($A6,1))))/sum(filter(
Master_Mapping_Sheet!$E$2:$E$3143, ISNUMBER(
Master_Mapping_Sheet!$E$2:$E$3143),
Master_Mapping_Sheet!$C$2:$C$3143=G$1)))"),0.0)</f>
        <v>0</v>
      </c>
      <c r="H6" s="34">
        <f>IFERROR(__xludf.DUMMYFUNCTION("IF(ISNA(sum(filter(
Master_Mapping_Sheet!$E$2:$E$3143, ISNUMBER(
Master_Mapping_Sheet!$E$2:$E$3143),
Master_Mapping_Sheet!$C$2:$C$3143=H$1,
Master_Mapping_Sheet!$K$2:$K$3143=VALUE(RIGHT($A6,1))))/sum(filter(
Master_Mapping_Sheet!$E$2:$E$3143, ISNUMBER(
Ma"&amp;"ster_Mapping_Sheet!$E$2:$E$3143),
Master_Mapping_Sheet!$C$2:$C$3143=H$1))), 0, sum(filter(
Master_Mapping_Sheet!$E$2:$E$3143, ISNUMBER(
Master_Mapping_Sheet!$E$2:$E$3143),
Master_Mapping_Sheet!$C$2:$C$3143=H$1,
Master_Mapping_Sheet!$K$2:$K$3143=VALUE(RIGH"&amp;"T($A6,1))))/sum(filter(
Master_Mapping_Sheet!$E$2:$E$3143, ISNUMBER(
Master_Mapping_Sheet!$E$2:$E$3143),
Master_Mapping_Sheet!$C$2:$C$3143=H$1)))"),0.0)</f>
        <v>0</v>
      </c>
      <c r="I6" s="34">
        <f>IFERROR(__xludf.DUMMYFUNCTION("IF(ISNA(sum(filter(
Master_Mapping_Sheet!$E$2:$E$3143, ISNUMBER(
Master_Mapping_Sheet!$E$2:$E$3143),
Master_Mapping_Sheet!$C$2:$C$3143=I$1,
Master_Mapping_Sheet!$K$2:$K$3143=VALUE(RIGHT($A6,1))))/sum(filter(
Master_Mapping_Sheet!$E$2:$E$3143, ISNUMBER(
Ma"&amp;"ster_Mapping_Sheet!$E$2:$E$3143),
Master_Mapping_Sheet!$C$2:$C$3143=I$1))), 0, sum(filter(
Master_Mapping_Sheet!$E$2:$E$3143, ISNUMBER(
Master_Mapping_Sheet!$E$2:$E$3143),
Master_Mapping_Sheet!$C$2:$C$3143=I$1,
Master_Mapping_Sheet!$K$2:$K$3143=VALUE(RIGH"&amp;"T($A6,1))))/sum(filter(
Master_Mapping_Sheet!$E$2:$E$3143, ISNUMBER(
Master_Mapping_Sheet!$E$2:$E$3143),
Master_Mapping_Sheet!$C$2:$C$3143=I$1)))"),0.0)</f>
        <v>0</v>
      </c>
      <c r="J6" s="34">
        <f>IFERROR(__xludf.DUMMYFUNCTION("IF(ISNA(sum(filter(
Master_Mapping_Sheet!$E$2:$E$3143, ISNUMBER(
Master_Mapping_Sheet!$E$2:$E$3143),
Master_Mapping_Sheet!$C$2:$C$3143=J$1,
Master_Mapping_Sheet!$K$2:$K$3143=VALUE(RIGHT($A6,1))))/sum(filter(
Master_Mapping_Sheet!$E$2:$E$3143, ISNUMBER(
Ma"&amp;"ster_Mapping_Sheet!$E$2:$E$3143),
Master_Mapping_Sheet!$C$2:$C$3143=J$1))), 0, sum(filter(
Master_Mapping_Sheet!$E$2:$E$3143, ISNUMBER(
Master_Mapping_Sheet!$E$2:$E$3143),
Master_Mapping_Sheet!$C$2:$C$3143=J$1,
Master_Mapping_Sheet!$K$2:$K$3143=VALUE(RIGH"&amp;"T($A6,1))))/sum(filter(
Master_Mapping_Sheet!$E$2:$E$3143, ISNUMBER(
Master_Mapping_Sheet!$E$2:$E$3143),
Master_Mapping_Sheet!$C$2:$C$3143=J$1)))"),0.0)</f>
        <v>0</v>
      </c>
      <c r="K6" s="34">
        <f>IFERROR(__xludf.DUMMYFUNCTION("IF(ISNA(sum(filter(
Master_Mapping_Sheet!$E$2:$E$3143, ISNUMBER(
Master_Mapping_Sheet!$E$2:$E$3143),
Master_Mapping_Sheet!$C$2:$C$3143=K$1,
Master_Mapping_Sheet!$K$2:$K$3143=VALUE(RIGHT($A6,1))))/sum(filter(
Master_Mapping_Sheet!$E$2:$E$3143, ISNUMBER(
Ma"&amp;"ster_Mapping_Sheet!$E$2:$E$3143),
Master_Mapping_Sheet!$C$2:$C$3143=K$1))), 0, sum(filter(
Master_Mapping_Sheet!$E$2:$E$3143, ISNUMBER(
Master_Mapping_Sheet!$E$2:$E$3143),
Master_Mapping_Sheet!$C$2:$C$3143=K$1,
Master_Mapping_Sheet!$K$2:$K$3143=VALUE(RIGH"&amp;"T($A6,1))))/sum(filter(
Master_Mapping_Sheet!$E$2:$E$3143, ISNUMBER(
Master_Mapping_Sheet!$E$2:$E$3143),
Master_Mapping_Sheet!$C$2:$C$3143=K$1)))"),1.0)</f>
        <v>1</v>
      </c>
      <c r="L6" s="34">
        <f>IFERROR(__xludf.DUMMYFUNCTION("IF(ISNA(sum(filter(
Master_Mapping_Sheet!$E$2:$E$3143, ISNUMBER(
Master_Mapping_Sheet!$E$2:$E$3143),
Master_Mapping_Sheet!$C$2:$C$3143=L$1,
Master_Mapping_Sheet!$K$2:$K$3143=VALUE(RIGHT($A6,1))))/sum(filter(
Master_Mapping_Sheet!$E$2:$E$3143, ISNUMBER(
Ma"&amp;"ster_Mapping_Sheet!$E$2:$E$3143),
Master_Mapping_Sheet!$C$2:$C$3143=L$1))), 0, sum(filter(
Master_Mapping_Sheet!$E$2:$E$3143, ISNUMBER(
Master_Mapping_Sheet!$E$2:$E$3143),
Master_Mapping_Sheet!$C$2:$C$3143=L$1,
Master_Mapping_Sheet!$K$2:$K$3143=VALUE(RIGH"&amp;"T($A6,1))))/sum(filter(
Master_Mapping_Sheet!$E$2:$E$3143, ISNUMBER(
Master_Mapping_Sheet!$E$2:$E$3143),
Master_Mapping_Sheet!$C$2:$C$3143=L$1)))"),0.23391575855678734)</f>
        <v>0.2339157586</v>
      </c>
      <c r="M6" s="34">
        <f>IFERROR(__xludf.DUMMYFUNCTION("IF(ISNA(sum(filter(
Master_Mapping_Sheet!$E$2:$E$3143, ISNUMBER(
Master_Mapping_Sheet!$E$2:$E$3143),
Master_Mapping_Sheet!$C$2:$C$3143=M$1,
Master_Mapping_Sheet!$K$2:$K$3143=VALUE(RIGHT($A6,1))))/sum(filter(
Master_Mapping_Sheet!$E$2:$E$3143, ISNUMBER(
Ma"&amp;"ster_Mapping_Sheet!$E$2:$E$3143),
Master_Mapping_Sheet!$C$2:$C$3143=M$1))), 0, sum(filter(
Master_Mapping_Sheet!$E$2:$E$3143, ISNUMBER(
Master_Mapping_Sheet!$E$2:$E$3143),
Master_Mapping_Sheet!$C$2:$C$3143=M$1,
Master_Mapping_Sheet!$K$2:$K$3143=VALUE(RIGH"&amp;"T($A6,1))))/sum(filter(
Master_Mapping_Sheet!$E$2:$E$3143, ISNUMBER(
Master_Mapping_Sheet!$E$2:$E$3143),
Master_Mapping_Sheet!$C$2:$C$3143=M$1)))"),1.0)</f>
        <v>1</v>
      </c>
      <c r="N6" s="34">
        <f>IFERROR(__xludf.DUMMYFUNCTION("IF(ISNA(sum(filter(
Master_Mapping_Sheet!$E$2:$E$3143, ISNUMBER(
Master_Mapping_Sheet!$E$2:$E$3143),
Master_Mapping_Sheet!$C$2:$C$3143=N$1,
Master_Mapping_Sheet!$K$2:$K$3143=VALUE(RIGHT($A6,1))))/sum(filter(
Master_Mapping_Sheet!$E$2:$E$3143, ISNUMBER(
Ma"&amp;"ster_Mapping_Sheet!$E$2:$E$3143),
Master_Mapping_Sheet!$C$2:$C$3143=N$1))), 0, sum(filter(
Master_Mapping_Sheet!$E$2:$E$3143, ISNUMBER(
Master_Mapping_Sheet!$E$2:$E$3143),
Master_Mapping_Sheet!$C$2:$C$3143=N$1,
Master_Mapping_Sheet!$K$2:$K$3143=VALUE(RIGH"&amp;"T($A6,1))))/sum(filter(
Master_Mapping_Sheet!$E$2:$E$3143, ISNUMBER(
Master_Mapping_Sheet!$E$2:$E$3143),
Master_Mapping_Sheet!$C$2:$C$3143=N$1)))"),0.0)</f>
        <v>0</v>
      </c>
      <c r="O6" s="34">
        <f>IFERROR(__xludf.DUMMYFUNCTION("IF(ISNA(sum(filter(
Master_Mapping_Sheet!$E$2:$E$3143, ISNUMBER(
Master_Mapping_Sheet!$E$2:$E$3143),
Master_Mapping_Sheet!$C$2:$C$3143=O$1,
Master_Mapping_Sheet!$K$2:$K$3143=VALUE(RIGHT($A6,1))))/sum(filter(
Master_Mapping_Sheet!$E$2:$E$3143, ISNUMBER(
Ma"&amp;"ster_Mapping_Sheet!$E$2:$E$3143),
Master_Mapping_Sheet!$C$2:$C$3143=O$1))), 0, sum(filter(
Master_Mapping_Sheet!$E$2:$E$3143, ISNUMBER(
Master_Mapping_Sheet!$E$2:$E$3143),
Master_Mapping_Sheet!$C$2:$C$3143=O$1,
Master_Mapping_Sheet!$K$2:$K$3143=VALUE(RIGH"&amp;"T($A6,1))))/sum(filter(
Master_Mapping_Sheet!$E$2:$E$3143, ISNUMBER(
Master_Mapping_Sheet!$E$2:$E$3143),
Master_Mapping_Sheet!$C$2:$C$3143=O$1)))"),0.0)</f>
        <v>0</v>
      </c>
      <c r="P6" s="34">
        <f>IFERROR(__xludf.DUMMYFUNCTION("IF(ISNA(sum(filter(
Master_Mapping_Sheet!$E$2:$E$3143, ISNUMBER(
Master_Mapping_Sheet!$E$2:$E$3143),
Master_Mapping_Sheet!$C$2:$C$3143=P$1,
Master_Mapping_Sheet!$K$2:$K$3143=VALUE(RIGHT($A6,1))))/sum(filter(
Master_Mapping_Sheet!$E$2:$E$3143, ISNUMBER(
Ma"&amp;"ster_Mapping_Sheet!$E$2:$E$3143),
Master_Mapping_Sheet!$C$2:$C$3143=P$1))), 0, sum(filter(
Master_Mapping_Sheet!$E$2:$E$3143, ISNUMBER(
Master_Mapping_Sheet!$E$2:$E$3143),
Master_Mapping_Sheet!$C$2:$C$3143=P$1,
Master_Mapping_Sheet!$K$2:$K$3143=VALUE(RIGH"&amp;"T($A6,1))))/sum(filter(
Master_Mapping_Sheet!$E$2:$E$3143, ISNUMBER(
Master_Mapping_Sheet!$E$2:$E$3143),
Master_Mapping_Sheet!$C$2:$C$3143=P$1)))"),0.0)</f>
        <v>0</v>
      </c>
      <c r="Q6" s="34">
        <f>IFERROR(__xludf.DUMMYFUNCTION("IF(ISNA(sum(filter(
Master_Mapping_Sheet!$E$2:$E$3143, ISNUMBER(
Master_Mapping_Sheet!$E$2:$E$3143),
Master_Mapping_Sheet!$C$2:$C$3143=Q$1,
Master_Mapping_Sheet!$K$2:$K$3143=VALUE(RIGHT($A6,1))))/sum(filter(
Master_Mapping_Sheet!$E$2:$E$3143, ISNUMBER(
Ma"&amp;"ster_Mapping_Sheet!$E$2:$E$3143),
Master_Mapping_Sheet!$C$2:$C$3143=Q$1))), 0, sum(filter(
Master_Mapping_Sheet!$E$2:$E$3143, ISNUMBER(
Master_Mapping_Sheet!$E$2:$E$3143),
Master_Mapping_Sheet!$C$2:$C$3143=Q$1,
Master_Mapping_Sheet!$K$2:$K$3143=VALUE(RIGH"&amp;"T($A6,1))))/sum(filter(
Master_Mapping_Sheet!$E$2:$E$3143, ISNUMBER(
Master_Mapping_Sheet!$E$2:$E$3143),
Master_Mapping_Sheet!$C$2:$C$3143=Q$1)))"),0.0)</f>
        <v>0</v>
      </c>
      <c r="R6" s="34">
        <f>IFERROR(__xludf.DUMMYFUNCTION("IF(ISNA(sum(filter(
Master_Mapping_Sheet!$E$2:$E$3143, ISNUMBER(
Master_Mapping_Sheet!$E$2:$E$3143),
Master_Mapping_Sheet!$C$2:$C$3143=R$1,
Master_Mapping_Sheet!$K$2:$K$3143=VALUE(RIGHT($A6,1))))/sum(filter(
Master_Mapping_Sheet!$E$2:$E$3143, ISNUMBER(
Ma"&amp;"ster_Mapping_Sheet!$E$2:$E$3143),
Master_Mapping_Sheet!$C$2:$C$3143=R$1))), 0, sum(filter(
Master_Mapping_Sheet!$E$2:$E$3143, ISNUMBER(
Master_Mapping_Sheet!$E$2:$E$3143),
Master_Mapping_Sheet!$C$2:$C$3143=R$1,
Master_Mapping_Sheet!$K$2:$K$3143=VALUE(RIGH"&amp;"T($A6,1))))/sum(filter(
Master_Mapping_Sheet!$E$2:$E$3143, ISNUMBER(
Master_Mapping_Sheet!$E$2:$E$3143),
Master_Mapping_Sheet!$C$2:$C$3143=R$1)))"),0.0)</f>
        <v>0</v>
      </c>
      <c r="S6" s="34">
        <f>IFERROR(__xludf.DUMMYFUNCTION("IF(ISNA(sum(filter(
Master_Mapping_Sheet!$E$2:$E$3143, ISNUMBER(
Master_Mapping_Sheet!$E$2:$E$3143),
Master_Mapping_Sheet!$C$2:$C$3143=S$1,
Master_Mapping_Sheet!$K$2:$K$3143=VALUE(RIGHT($A6,1))))/sum(filter(
Master_Mapping_Sheet!$E$2:$E$3143, ISNUMBER(
Ma"&amp;"ster_Mapping_Sheet!$E$2:$E$3143),
Master_Mapping_Sheet!$C$2:$C$3143=S$1))), 0, sum(filter(
Master_Mapping_Sheet!$E$2:$E$3143, ISNUMBER(
Master_Mapping_Sheet!$E$2:$E$3143),
Master_Mapping_Sheet!$C$2:$C$3143=S$1,
Master_Mapping_Sheet!$K$2:$K$3143=VALUE(RIGH"&amp;"T($A6,1))))/sum(filter(
Master_Mapping_Sheet!$E$2:$E$3143, ISNUMBER(
Master_Mapping_Sheet!$E$2:$E$3143),
Master_Mapping_Sheet!$C$2:$C$3143=S$1)))"),0.0)</f>
        <v>0</v>
      </c>
      <c r="T6" s="34">
        <f>IFERROR(__xludf.DUMMYFUNCTION("IF(ISNA(sum(filter(
Master_Mapping_Sheet!$E$2:$E$3143, ISNUMBER(
Master_Mapping_Sheet!$E$2:$E$3143),
Master_Mapping_Sheet!$C$2:$C$3143=T$1,
Master_Mapping_Sheet!$K$2:$K$3143=VALUE(RIGHT($A6,1))))/sum(filter(
Master_Mapping_Sheet!$E$2:$E$3143, ISNUMBER(
Ma"&amp;"ster_Mapping_Sheet!$E$2:$E$3143),
Master_Mapping_Sheet!$C$2:$C$3143=T$1))), 0, sum(filter(
Master_Mapping_Sheet!$E$2:$E$3143, ISNUMBER(
Master_Mapping_Sheet!$E$2:$E$3143),
Master_Mapping_Sheet!$C$2:$C$3143=T$1,
Master_Mapping_Sheet!$K$2:$K$3143=VALUE(RIGH"&amp;"T($A6,1))))/sum(filter(
Master_Mapping_Sheet!$E$2:$E$3143, ISNUMBER(
Master_Mapping_Sheet!$E$2:$E$3143),
Master_Mapping_Sheet!$C$2:$C$3143=T$1)))"),0.9970112045938682)</f>
        <v>0.9970112046</v>
      </c>
      <c r="U6" s="34">
        <f>IFERROR(__xludf.DUMMYFUNCTION("IF(ISNA(sum(filter(
Master_Mapping_Sheet!$E$2:$E$3143, ISNUMBER(
Master_Mapping_Sheet!$E$2:$E$3143),
Master_Mapping_Sheet!$C$2:$C$3143=U$1,
Master_Mapping_Sheet!$K$2:$K$3143=VALUE(RIGHT($A6,1))))/sum(filter(
Master_Mapping_Sheet!$E$2:$E$3143, ISNUMBER(
Ma"&amp;"ster_Mapping_Sheet!$E$2:$E$3143),
Master_Mapping_Sheet!$C$2:$C$3143=U$1))), 0, sum(filter(
Master_Mapping_Sheet!$E$2:$E$3143, ISNUMBER(
Master_Mapping_Sheet!$E$2:$E$3143),
Master_Mapping_Sheet!$C$2:$C$3143=U$1,
Master_Mapping_Sheet!$K$2:$K$3143=VALUE(RIGH"&amp;"T($A6,1))))/sum(filter(
Master_Mapping_Sheet!$E$2:$E$3143, ISNUMBER(
Master_Mapping_Sheet!$E$2:$E$3143),
Master_Mapping_Sheet!$C$2:$C$3143=U$1)))"),0.0)</f>
        <v>0</v>
      </c>
      <c r="V6" s="34">
        <f>IFERROR(__xludf.DUMMYFUNCTION("IF(ISNA(sum(filter(
Master_Mapping_Sheet!$E$2:$E$3143, ISNUMBER(
Master_Mapping_Sheet!$E$2:$E$3143),
Master_Mapping_Sheet!$C$2:$C$3143=V$1,
Master_Mapping_Sheet!$K$2:$K$3143=VALUE(RIGHT($A6,1))))/sum(filter(
Master_Mapping_Sheet!$E$2:$E$3143, ISNUMBER(
Ma"&amp;"ster_Mapping_Sheet!$E$2:$E$3143),
Master_Mapping_Sheet!$C$2:$C$3143=V$1))), 0, sum(filter(
Master_Mapping_Sheet!$E$2:$E$3143, ISNUMBER(
Master_Mapping_Sheet!$E$2:$E$3143),
Master_Mapping_Sheet!$C$2:$C$3143=V$1,
Master_Mapping_Sheet!$K$2:$K$3143=VALUE(RIGH"&amp;"T($A6,1))))/sum(filter(
Master_Mapping_Sheet!$E$2:$E$3143, ISNUMBER(
Master_Mapping_Sheet!$E$2:$E$3143),
Master_Mapping_Sheet!$C$2:$C$3143=V$1)))"),0.0)</f>
        <v>0</v>
      </c>
      <c r="W6" s="34">
        <f>IFERROR(__xludf.DUMMYFUNCTION("IF(ISNA(sum(filter(
Master_Mapping_Sheet!$E$2:$E$3143, ISNUMBER(
Master_Mapping_Sheet!$E$2:$E$3143),
Master_Mapping_Sheet!$C$2:$C$3143=W$1,
Master_Mapping_Sheet!$K$2:$K$3143=VALUE(RIGHT($A6,1))))/sum(filter(
Master_Mapping_Sheet!$E$2:$E$3143, ISNUMBER(
Ma"&amp;"ster_Mapping_Sheet!$E$2:$E$3143),
Master_Mapping_Sheet!$C$2:$C$3143=W$1))), 0, sum(filter(
Master_Mapping_Sheet!$E$2:$E$3143, ISNUMBER(
Master_Mapping_Sheet!$E$2:$E$3143),
Master_Mapping_Sheet!$C$2:$C$3143=W$1,
Master_Mapping_Sheet!$K$2:$K$3143=VALUE(RIGH"&amp;"T($A6,1))))/sum(filter(
Master_Mapping_Sheet!$E$2:$E$3143, ISNUMBER(
Master_Mapping_Sheet!$E$2:$E$3143),
Master_Mapping_Sheet!$C$2:$C$3143=W$1)))"),0.0)</f>
        <v>0</v>
      </c>
      <c r="X6" s="34">
        <f>IFERROR(__xludf.DUMMYFUNCTION("IF(ISNA(sum(filter(
Master_Mapping_Sheet!$E$2:$E$3143, ISNUMBER(
Master_Mapping_Sheet!$E$2:$E$3143),
Master_Mapping_Sheet!$C$2:$C$3143=X$1,
Master_Mapping_Sheet!$K$2:$K$3143=VALUE(RIGHT($A6,1))))/sum(filter(
Master_Mapping_Sheet!$E$2:$E$3143, ISNUMBER(
Ma"&amp;"ster_Mapping_Sheet!$E$2:$E$3143),
Master_Mapping_Sheet!$C$2:$C$3143=X$1))), 0, sum(filter(
Master_Mapping_Sheet!$E$2:$E$3143, ISNUMBER(
Master_Mapping_Sheet!$E$2:$E$3143),
Master_Mapping_Sheet!$C$2:$C$3143=X$1,
Master_Mapping_Sheet!$K$2:$K$3143=VALUE(RIGH"&amp;"T($A6,1))))/sum(filter(
Master_Mapping_Sheet!$E$2:$E$3143, ISNUMBER(
Master_Mapping_Sheet!$E$2:$E$3143),
Master_Mapping_Sheet!$C$2:$C$3143=X$1)))"),0.0)</f>
        <v>0</v>
      </c>
      <c r="Y6" s="34">
        <f>IFERROR(__xludf.DUMMYFUNCTION("IF(ISNA(sum(filter(
Master_Mapping_Sheet!$E$2:$E$3143, ISNUMBER(
Master_Mapping_Sheet!$E$2:$E$3143),
Master_Mapping_Sheet!$C$2:$C$3143=Y$1,
Master_Mapping_Sheet!$K$2:$K$3143=VALUE(RIGHT($A6,1))))/sum(filter(
Master_Mapping_Sheet!$E$2:$E$3143, ISNUMBER(
Ma"&amp;"ster_Mapping_Sheet!$E$2:$E$3143),
Master_Mapping_Sheet!$C$2:$C$3143=Y$1))), 0, sum(filter(
Master_Mapping_Sheet!$E$2:$E$3143, ISNUMBER(
Master_Mapping_Sheet!$E$2:$E$3143),
Master_Mapping_Sheet!$C$2:$C$3143=Y$1,
Master_Mapping_Sheet!$K$2:$K$3143=VALUE(RIGH"&amp;"T($A6,1))))/sum(filter(
Master_Mapping_Sheet!$E$2:$E$3143, ISNUMBER(
Master_Mapping_Sheet!$E$2:$E$3143),
Master_Mapping_Sheet!$C$2:$C$3143=Y$1)))"),0.0)</f>
        <v>0</v>
      </c>
      <c r="Z6" s="34">
        <f>IFERROR(__xludf.DUMMYFUNCTION("IF(ISNA(sum(filter(
Master_Mapping_Sheet!$E$2:$E$3143, ISNUMBER(
Master_Mapping_Sheet!$E$2:$E$3143),
Master_Mapping_Sheet!$C$2:$C$3143=Z$1,
Master_Mapping_Sheet!$K$2:$K$3143=VALUE(RIGHT($A6,1))))/sum(filter(
Master_Mapping_Sheet!$E$2:$E$3143, ISNUMBER(
Ma"&amp;"ster_Mapping_Sheet!$E$2:$E$3143),
Master_Mapping_Sheet!$C$2:$C$3143=Z$1))), 0, sum(filter(
Master_Mapping_Sheet!$E$2:$E$3143, ISNUMBER(
Master_Mapping_Sheet!$E$2:$E$3143),
Master_Mapping_Sheet!$C$2:$C$3143=Z$1,
Master_Mapping_Sheet!$K$2:$K$3143=VALUE(RIGH"&amp;"T($A6,1))))/sum(filter(
Master_Mapping_Sheet!$E$2:$E$3143, ISNUMBER(
Master_Mapping_Sheet!$E$2:$E$3143),
Master_Mapping_Sheet!$C$2:$C$3143=Z$1)))"),0.6902799274753461)</f>
        <v>0.6902799275</v>
      </c>
      <c r="AA6" s="34">
        <f>IFERROR(__xludf.DUMMYFUNCTION("IF(ISNA(sum(filter(
Master_Mapping_Sheet!$E$2:$E$3143, ISNUMBER(
Master_Mapping_Sheet!$E$2:$E$3143),
Master_Mapping_Sheet!$C$2:$C$3143=AA$1,
Master_Mapping_Sheet!$K$2:$K$3143=VALUE(RIGHT($A6,1))))/sum(filter(
Master_Mapping_Sheet!$E$2:$E$3143, ISNUMBER(
M"&amp;"aster_Mapping_Sheet!$E$2:$E$3143),
Master_Mapping_Sheet!$C$2:$C$3143=AA$1))), 0, sum(filter(
Master_Mapping_Sheet!$E$2:$E$3143, ISNUMBER(
Master_Mapping_Sheet!$E$2:$E$3143),
Master_Mapping_Sheet!$C$2:$C$3143=AA$1,
Master_Mapping_Sheet!$K$2:$K$3143=VALUE(R"&amp;"IGHT($A6,1))))/sum(filter(
Master_Mapping_Sheet!$E$2:$E$3143, ISNUMBER(
Master_Mapping_Sheet!$E$2:$E$3143),
Master_Mapping_Sheet!$C$2:$C$3143=AA$1)))"),0.0)</f>
        <v>0</v>
      </c>
      <c r="AB6" s="34">
        <f>IFERROR(__xludf.DUMMYFUNCTION("IF(ISNA(sum(filter(
Master_Mapping_Sheet!$E$2:$E$3143, ISNUMBER(
Master_Mapping_Sheet!$E$2:$E$3143),
Master_Mapping_Sheet!$C$2:$C$3143=AB$1,
Master_Mapping_Sheet!$K$2:$K$3143=VALUE(RIGHT($A6,1))))/sum(filter(
Master_Mapping_Sheet!$E$2:$E$3143, ISNUMBER(
M"&amp;"aster_Mapping_Sheet!$E$2:$E$3143),
Master_Mapping_Sheet!$C$2:$C$3143=AB$1))), 0, sum(filter(
Master_Mapping_Sheet!$E$2:$E$3143, ISNUMBER(
Master_Mapping_Sheet!$E$2:$E$3143),
Master_Mapping_Sheet!$C$2:$C$3143=AB$1,
Master_Mapping_Sheet!$K$2:$K$3143=VALUE(R"&amp;"IGHT($A6,1))))/sum(filter(
Master_Mapping_Sheet!$E$2:$E$3143, ISNUMBER(
Master_Mapping_Sheet!$E$2:$E$3143),
Master_Mapping_Sheet!$C$2:$C$3143=AB$1)))"),0.0)</f>
        <v>0</v>
      </c>
      <c r="AC6" s="34">
        <f>IFERROR(__xludf.DUMMYFUNCTION("IF(ISNA(sum(filter(
Master_Mapping_Sheet!$E$2:$E$3143, ISNUMBER(
Master_Mapping_Sheet!$E$2:$E$3143),
Master_Mapping_Sheet!$C$2:$C$3143=AC$1,
Master_Mapping_Sheet!$K$2:$K$3143=VALUE(RIGHT($A6,1))))/sum(filter(
Master_Mapping_Sheet!$E$2:$E$3143, ISNUMBER(
M"&amp;"aster_Mapping_Sheet!$E$2:$E$3143),
Master_Mapping_Sheet!$C$2:$C$3143=AC$1))), 0, sum(filter(
Master_Mapping_Sheet!$E$2:$E$3143, ISNUMBER(
Master_Mapping_Sheet!$E$2:$E$3143),
Master_Mapping_Sheet!$C$2:$C$3143=AC$1,
Master_Mapping_Sheet!$K$2:$K$3143=VALUE(R"&amp;"IGHT($A6,1))))/sum(filter(
Master_Mapping_Sheet!$E$2:$E$3143, ISNUMBER(
Master_Mapping_Sheet!$E$2:$E$3143),
Master_Mapping_Sheet!$C$2:$C$3143=AC$1)))"),0.0)</f>
        <v>0</v>
      </c>
      <c r="AD6" s="34">
        <f>IFERROR(__xludf.DUMMYFUNCTION("IF(ISNA(sum(filter(
Master_Mapping_Sheet!$E$2:$E$3143, ISNUMBER(
Master_Mapping_Sheet!$E$2:$E$3143),
Master_Mapping_Sheet!$C$2:$C$3143=AD$1,
Master_Mapping_Sheet!$K$2:$K$3143=VALUE(RIGHT($A6,1))))/sum(filter(
Master_Mapping_Sheet!$E$2:$E$3143, ISNUMBER(
M"&amp;"aster_Mapping_Sheet!$E$2:$E$3143),
Master_Mapping_Sheet!$C$2:$C$3143=AD$1))), 0, sum(filter(
Master_Mapping_Sheet!$E$2:$E$3143, ISNUMBER(
Master_Mapping_Sheet!$E$2:$E$3143),
Master_Mapping_Sheet!$C$2:$C$3143=AD$1,
Master_Mapping_Sheet!$K$2:$K$3143=VALUE(R"&amp;"IGHT($A6,1))))/sum(filter(
Master_Mapping_Sheet!$E$2:$E$3143, ISNUMBER(
Master_Mapping_Sheet!$E$2:$E$3143),
Master_Mapping_Sheet!$C$2:$C$3143=AD$1)))"),0.7489546599811657)</f>
        <v>0.74895466</v>
      </c>
      <c r="AE6" s="34">
        <f>IFERROR(__xludf.DUMMYFUNCTION("IF(ISNA(sum(filter(
Master_Mapping_Sheet!$E$2:$E$3143, ISNUMBER(
Master_Mapping_Sheet!$E$2:$E$3143),
Master_Mapping_Sheet!$C$2:$C$3143=AE$1,
Master_Mapping_Sheet!$K$2:$K$3143=VALUE(RIGHT($A6,1))))/sum(filter(
Master_Mapping_Sheet!$E$2:$E$3143, ISNUMBER(
M"&amp;"aster_Mapping_Sheet!$E$2:$E$3143),
Master_Mapping_Sheet!$C$2:$C$3143=AE$1))), 0, sum(filter(
Master_Mapping_Sheet!$E$2:$E$3143, ISNUMBER(
Master_Mapping_Sheet!$E$2:$E$3143),
Master_Mapping_Sheet!$C$2:$C$3143=AE$1,
Master_Mapping_Sheet!$K$2:$K$3143=VALUE(R"&amp;"IGHT($A6,1))))/sum(filter(
Master_Mapping_Sheet!$E$2:$E$3143, ISNUMBER(
Master_Mapping_Sheet!$E$2:$E$3143),
Master_Mapping_Sheet!$C$2:$C$3143=AE$1)))"),0.0)</f>
        <v>0</v>
      </c>
      <c r="AF6" s="34">
        <f>IFERROR(__xludf.DUMMYFUNCTION("IF(ISNA(sum(filter(
Master_Mapping_Sheet!$E$2:$E$3143, ISNUMBER(
Master_Mapping_Sheet!$E$2:$E$3143),
Master_Mapping_Sheet!$C$2:$C$3143=AF$1,
Master_Mapping_Sheet!$K$2:$K$3143=VALUE(RIGHT($A6,1))))/sum(filter(
Master_Mapping_Sheet!$E$2:$E$3143, ISNUMBER(
M"&amp;"aster_Mapping_Sheet!$E$2:$E$3143),
Master_Mapping_Sheet!$C$2:$C$3143=AF$1))), 0, sum(filter(
Master_Mapping_Sheet!$E$2:$E$3143, ISNUMBER(
Master_Mapping_Sheet!$E$2:$E$3143),
Master_Mapping_Sheet!$C$2:$C$3143=AF$1,
Master_Mapping_Sheet!$K$2:$K$3143=VALUE(R"&amp;"IGHT($A6,1))))/sum(filter(
Master_Mapping_Sheet!$E$2:$E$3143, ISNUMBER(
Master_Mapping_Sheet!$E$2:$E$3143),
Master_Mapping_Sheet!$C$2:$C$3143=AF$1)))"),0.0)</f>
        <v>0</v>
      </c>
      <c r="AG6" s="34">
        <f>IFERROR(__xludf.DUMMYFUNCTION("IF(ISNA(sum(filter(
Master_Mapping_Sheet!$E$2:$E$3143, ISNUMBER(
Master_Mapping_Sheet!$E$2:$E$3143),
Master_Mapping_Sheet!$C$2:$C$3143=AG$1,
Master_Mapping_Sheet!$K$2:$K$3143=VALUE(RIGHT($A6,1))))/sum(filter(
Master_Mapping_Sheet!$E$2:$E$3143, ISNUMBER(
M"&amp;"aster_Mapping_Sheet!$E$2:$E$3143),
Master_Mapping_Sheet!$C$2:$C$3143=AG$1))), 0, sum(filter(
Master_Mapping_Sheet!$E$2:$E$3143, ISNUMBER(
Master_Mapping_Sheet!$E$2:$E$3143),
Master_Mapping_Sheet!$C$2:$C$3143=AG$1,
Master_Mapping_Sheet!$K$2:$K$3143=VALUE(R"&amp;"IGHT($A6,1))))/sum(filter(
Master_Mapping_Sheet!$E$2:$E$3143, ISNUMBER(
Master_Mapping_Sheet!$E$2:$E$3143),
Master_Mapping_Sheet!$C$2:$C$3143=AG$1)))"),0.0)</f>
        <v>0</v>
      </c>
      <c r="AH6" s="34">
        <f>IFERROR(__xludf.DUMMYFUNCTION("IF(ISNA(sum(filter(
Master_Mapping_Sheet!$E$2:$E$3143, ISNUMBER(
Master_Mapping_Sheet!$E$2:$E$3143),
Master_Mapping_Sheet!$C$2:$C$3143=AH$1,
Master_Mapping_Sheet!$K$2:$K$3143=VALUE(RIGHT($A6,1))))/sum(filter(
Master_Mapping_Sheet!$E$2:$E$3143, ISNUMBER(
M"&amp;"aster_Mapping_Sheet!$E$2:$E$3143),
Master_Mapping_Sheet!$C$2:$C$3143=AH$1))), 0, sum(filter(
Master_Mapping_Sheet!$E$2:$E$3143, ISNUMBER(
Master_Mapping_Sheet!$E$2:$E$3143),
Master_Mapping_Sheet!$C$2:$C$3143=AH$1,
Master_Mapping_Sheet!$K$2:$K$3143=VALUE(R"&amp;"IGHT($A6,1))))/sum(filter(
Master_Mapping_Sheet!$E$2:$E$3143, ISNUMBER(
Master_Mapping_Sheet!$E$2:$E$3143),
Master_Mapping_Sheet!$C$2:$C$3143=AH$1)))"),0.0)</f>
        <v>0</v>
      </c>
      <c r="AI6" s="34">
        <f>IFERROR(__xludf.DUMMYFUNCTION("IF(ISNA(sum(filter(
Master_Mapping_Sheet!$E$2:$E$3143, ISNUMBER(
Master_Mapping_Sheet!$E$2:$E$3143),
Master_Mapping_Sheet!$C$2:$C$3143=AI$1,
Master_Mapping_Sheet!$K$2:$K$3143=VALUE(RIGHT($A6,1))))/sum(filter(
Master_Mapping_Sheet!$E$2:$E$3143, ISNUMBER(
M"&amp;"aster_Mapping_Sheet!$E$2:$E$3143),
Master_Mapping_Sheet!$C$2:$C$3143=AI$1))), 0, sum(filter(
Master_Mapping_Sheet!$E$2:$E$3143, ISNUMBER(
Master_Mapping_Sheet!$E$2:$E$3143),
Master_Mapping_Sheet!$C$2:$C$3143=AI$1,
Master_Mapping_Sheet!$K$2:$K$3143=VALUE(R"&amp;"IGHT($A6,1))))/sum(filter(
Master_Mapping_Sheet!$E$2:$E$3143, ISNUMBER(
Master_Mapping_Sheet!$E$2:$E$3143),
Master_Mapping_Sheet!$C$2:$C$3143=AI$1)))"),0.0)</f>
        <v>0</v>
      </c>
      <c r="AJ6" s="34">
        <f>IFERROR(__xludf.DUMMYFUNCTION("IF(ISNA(sum(filter(
Master_Mapping_Sheet!$E$2:$E$3143, ISNUMBER(
Master_Mapping_Sheet!$E$2:$E$3143),
Master_Mapping_Sheet!$C$2:$C$3143=AJ$1,
Master_Mapping_Sheet!$K$2:$K$3143=VALUE(RIGHT($A6,1))))/sum(filter(
Master_Mapping_Sheet!$E$2:$E$3143, ISNUMBER(
M"&amp;"aster_Mapping_Sheet!$E$2:$E$3143),
Master_Mapping_Sheet!$C$2:$C$3143=AJ$1))), 0, sum(filter(
Master_Mapping_Sheet!$E$2:$E$3143, ISNUMBER(
Master_Mapping_Sheet!$E$2:$E$3143),
Master_Mapping_Sheet!$C$2:$C$3143=AJ$1,
Master_Mapping_Sheet!$K$2:$K$3143=VALUE(R"&amp;"IGHT($A6,1))))/sum(filter(
Master_Mapping_Sheet!$E$2:$E$3143, ISNUMBER(
Master_Mapping_Sheet!$E$2:$E$3143),
Master_Mapping_Sheet!$C$2:$C$3143=AJ$1)))"),0.0)</f>
        <v>0</v>
      </c>
      <c r="AK6" s="34">
        <f>IFERROR(__xludf.DUMMYFUNCTION("IF(ISNA(sum(filter(
Master_Mapping_Sheet!$E$2:$E$3143, ISNUMBER(
Master_Mapping_Sheet!$E$2:$E$3143),
Master_Mapping_Sheet!$C$2:$C$3143=AK$1,
Master_Mapping_Sheet!$K$2:$K$3143=VALUE(RIGHT($A6,1))))/sum(filter(
Master_Mapping_Sheet!$E$2:$E$3143, ISNUMBER(
M"&amp;"aster_Mapping_Sheet!$E$2:$E$3143),
Master_Mapping_Sheet!$C$2:$C$3143=AK$1))), 0, sum(filter(
Master_Mapping_Sheet!$E$2:$E$3143, ISNUMBER(
Master_Mapping_Sheet!$E$2:$E$3143),
Master_Mapping_Sheet!$C$2:$C$3143=AK$1,
Master_Mapping_Sheet!$K$2:$K$3143=VALUE(R"&amp;"IGHT($A6,1))))/sum(filter(
Master_Mapping_Sheet!$E$2:$E$3143, ISNUMBER(
Master_Mapping_Sheet!$E$2:$E$3143),
Master_Mapping_Sheet!$C$2:$C$3143=AK$1)))"),0.0)</f>
        <v>0</v>
      </c>
      <c r="AL6" s="34">
        <f>IFERROR(__xludf.DUMMYFUNCTION("IF(ISNA(sum(filter(
Master_Mapping_Sheet!$E$2:$E$3143, ISNUMBER(
Master_Mapping_Sheet!$E$2:$E$3143),
Master_Mapping_Sheet!$C$2:$C$3143=AL$1,
Master_Mapping_Sheet!$K$2:$K$3143=VALUE(RIGHT($A6,1))))/sum(filter(
Master_Mapping_Sheet!$E$2:$E$3143, ISNUMBER(
M"&amp;"aster_Mapping_Sheet!$E$2:$E$3143),
Master_Mapping_Sheet!$C$2:$C$3143=AL$1))), 0, sum(filter(
Master_Mapping_Sheet!$E$2:$E$3143, ISNUMBER(
Master_Mapping_Sheet!$E$2:$E$3143),
Master_Mapping_Sheet!$C$2:$C$3143=AL$1,
Master_Mapping_Sheet!$K$2:$K$3143=VALUE(R"&amp;"IGHT($A6,1))))/sum(filter(
Master_Mapping_Sheet!$E$2:$E$3143, ISNUMBER(
Master_Mapping_Sheet!$E$2:$E$3143),
Master_Mapping_Sheet!$C$2:$C$3143=AL$1)))"),0.1754913385484915)</f>
        <v>0.1754913385</v>
      </c>
      <c r="AM6" s="34">
        <f>IFERROR(__xludf.DUMMYFUNCTION("IF(ISNA(sum(filter(
Master_Mapping_Sheet!$E$2:$E$3143, ISNUMBER(
Master_Mapping_Sheet!$E$2:$E$3143),
Master_Mapping_Sheet!$C$2:$C$3143=AM$1,
Master_Mapping_Sheet!$K$2:$K$3143=VALUE(RIGHT($A6,1))))/sum(filter(
Master_Mapping_Sheet!$E$2:$E$3143, ISNUMBER(
M"&amp;"aster_Mapping_Sheet!$E$2:$E$3143),
Master_Mapping_Sheet!$C$2:$C$3143=AM$1))), 0, sum(filter(
Master_Mapping_Sheet!$E$2:$E$3143, ISNUMBER(
Master_Mapping_Sheet!$E$2:$E$3143),
Master_Mapping_Sheet!$C$2:$C$3143=AM$1,
Master_Mapping_Sheet!$K$2:$K$3143=VALUE(R"&amp;"IGHT($A6,1))))/sum(filter(
Master_Mapping_Sheet!$E$2:$E$3143, ISNUMBER(
Master_Mapping_Sheet!$E$2:$E$3143),
Master_Mapping_Sheet!$C$2:$C$3143=AM$1)))"),0.0)</f>
        <v>0</v>
      </c>
      <c r="AN6" s="34">
        <f>IFERROR(__xludf.DUMMYFUNCTION("IF(ISNA(sum(filter(
Master_Mapping_Sheet!$E$2:$E$3143, ISNUMBER(
Master_Mapping_Sheet!$E$2:$E$3143),
Master_Mapping_Sheet!$C$2:$C$3143=AN$1,
Master_Mapping_Sheet!$K$2:$K$3143=VALUE(RIGHT($A6,1))))/sum(filter(
Master_Mapping_Sheet!$E$2:$E$3143, ISNUMBER(
M"&amp;"aster_Mapping_Sheet!$E$2:$E$3143),
Master_Mapping_Sheet!$C$2:$C$3143=AN$1))), 0, sum(filter(
Master_Mapping_Sheet!$E$2:$E$3143, ISNUMBER(
Master_Mapping_Sheet!$E$2:$E$3143),
Master_Mapping_Sheet!$C$2:$C$3143=AN$1,
Master_Mapping_Sheet!$K$2:$K$3143=VALUE(R"&amp;"IGHT($A6,1))))/sum(filter(
Master_Mapping_Sheet!$E$2:$E$3143, ISNUMBER(
Master_Mapping_Sheet!$E$2:$E$3143),
Master_Mapping_Sheet!$C$2:$C$3143=AN$1)))"),0.0)</f>
        <v>0</v>
      </c>
      <c r="AO6" s="34">
        <f>IFERROR(__xludf.DUMMYFUNCTION("IF(ISNA(sum(filter(
Master_Mapping_Sheet!$E$2:$E$3143, ISNUMBER(
Master_Mapping_Sheet!$E$2:$E$3143),
Master_Mapping_Sheet!$C$2:$C$3143=AO$1,
Master_Mapping_Sheet!$K$2:$K$3143=VALUE(RIGHT($A6,1))))/sum(filter(
Master_Mapping_Sheet!$E$2:$E$3143, ISNUMBER(
M"&amp;"aster_Mapping_Sheet!$E$2:$E$3143),
Master_Mapping_Sheet!$C$2:$C$3143=AO$1))), 0, sum(filter(
Master_Mapping_Sheet!$E$2:$E$3143, ISNUMBER(
Master_Mapping_Sheet!$E$2:$E$3143),
Master_Mapping_Sheet!$C$2:$C$3143=AO$1,
Master_Mapping_Sheet!$K$2:$K$3143=VALUE(R"&amp;"IGHT($A6,1))))/sum(filter(
Master_Mapping_Sheet!$E$2:$E$3143, ISNUMBER(
Master_Mapping_Sheet!$E$2:$E$3143),
Master_Mapping_Sheet!$C$2:$C$3143=AO$1)))"),0.0)</f>
        <v>0</v>
      </c>
      <c r="AP6" s="34">
        <f>IFERROR(__xludf.DUMMYFUNCTION("IF(ISNA(sum(filter(
Master_Mapping_Sheet!$E$2:$E$3143, ISNUMBER(
Master_Mapping_Sheet!$E$2:$E$3143),
Master_Mapping_Sheet!$C$2:$C$3143=AP$1,
Master_Mapping_Sheet!$K$2:$K$3143=VALUE(RIGHT($A6,1))))/sum(filter(
Master_Mapping_Sheet!$E$2:$E$3143, ISNUMBER(
M"&amp;"aster_Mapping_Sheet!$E$2:$E$3143),
Master_Mapping_Sheet!$C$2:$C$3143=AP$1))), 0, sum(filter(
Master_Mapping_Sheet!$E$2:$E$3143, ISNUMBER(
Master_Mapping_Sheet!$E$2:$E$3143),
Master_Mapping_Sheet!$C$2:$C$3143=AP$1,
Master_Mapping_Sheet!$K$2:$K$3143=VALUE(R"&amp;"IGHT($A6,1))))/sum(filter(
Master_Mapping_Sheet!$E$2:$E$3143, ISNUMBER(
Master_Mapping_Sheet!$E$2:$E$3143),
Master_Mapping_Sheet!$C$2:$C$3143=AP$1)))"),0.2781214670734737)</f>
        <v>0.2781214671</v>
      </c>
      <c r="AQ6" s="34">
        <f>IFERROR(__xludf.DUMMYFUNCTION("IF(ISNA(sum(filter(
Master_Mapping_Sheet!$E$2:$E$3143, ISNUMBER(
Master_Mapping_Sheet!$E$2:$E$3143),
Master_Mapping_Sheet!$C$2:$C$3143=AQ$1,
Master_Mapping_Sheet!$K$2:$K$3143=VALUE(RIGHT($A6,1))))/sum(filter(
Master_Mapping_Sheet!$E$2:$E$3143, ISNUMBER(
M"&amp;"aster_Mapping_Sheet!$E$2:$E$3143),
Master_Mapping_Sheet!$C$2:$C$3143=AQ$1))), 0, sum(filter(
Master_Mapping_Sheet!$E$2:$E$3143, ISNUMBER(
Master_Mapping_Sheet!$E$2:$E$3143),
Master_Mapping_Sheet!$C$2:$C$3143=AQ$1,
Master_Mapping_Sheet!$K$2:$K$3143=VALUE(R"&amp;"IGHT($A6,1))))/sum(filter(
Master_Mapping_Sheet!$E$2:$E$3143, ISNUMBER(
Master_Mapping_Sheet!$E$2:$E$3143),
Master_Mapping_Sheet!$C$2:$C$3143=AQ$1)))"),0.0)</f>
        <v>0</v>
      </c>
      <c r="AR6" s="34">
        <f>IFERROR(__xludf.DUMMYFUNCTION("IF(ISNA(sum(filter(
Master_Mapping_Sheet!$E$2:$E$3143, ISNUMBER(
Master_Mapping_Sheet!$E$2:$E$3143),
Master_Mapping_Sheet!$C$2:$C$3143=AR$1,
Master_Mapping_Sheet!$K$2:$K$3143=VALUE(RIGHT($A6,1))))/sum(filter(
Master_Mapping_Sheet!$E$2:$E$3143, ISNUMBER(
M"&amp;"aster_Mapping_Sheet!$E$2:$E$3143),
Master_Mapping_Sheet!$C$2:$C$3143=AR$1))), 0, sum(filter(
Master_Mapping_Sheet!$E$2:$E$3143, ISNUMBER(
Master_Mapping_Sheet!$E$2:$E$3143),
Master_Mapping_Sheet!$C$2:$C$3143=AR$1,
Master_Mapping_Sheet!$K$2:$K$3143=VALUE(R"&amp;"IGHT($A6,1))))/sum(filter(
Master_Mapping_Sheet!$E$2:$E$3143, ISNUMBER(
Master_Mapping_Sheet!$E$2:$E$3143),
Master_Mapping_Sheet!$C$2:$C$3143=AR$1)))"),0.1276985062349777)</f>
        <v>0.1276985062</v>
      </c>
      <c r="AS6" s="34">
        <f>IFERROR(__xludf.DUMMYFUNCTION("IF(ISNA(sum(filter(
Master_Mapping_Sheet!$E$2:$E$3143, ISNUMBER(
Master_Mapping_Sheet!$E$2:$E$3143),
Master_Mapping_Sheet!$C$2:$C$3143=AS$1,
Master_Mapping_Sheet!$K$2:$K$3143=VALUE(RIGHT($A6,1))))/sum(filter(
Master_Mapping_Sheet!$E$2:$E$3143, ISNUMBER(
M"&amp;"aster_Mapping_Sheet!$E$2:$E$3143),
Master_Mapping_Sheet!$C$2:$C$3143=AS$1))), 0, sum(filter(
Master_Mapping_Sheet!$E$2:$E$3143, ISNUMBER(
Master_Mapping_Sheet!$E$2:$E$3143),
Master_Mapping_Sheet!$C$2:$C$3143=AS$1,
Master_Mapping_Sheet!$K$2:$K$3143=VALUE(R"&amp;"IGHT($A6,1))))/sum(filter(
Master_Mapping_Sheet!$E$2:$E$3143, ISNUMBER(
Master_Mapping_Sheet!$E$2:$E$3143),
Master_Mapping_Sheet!$C$2:$C$3143=AS$1)))"),0.9692090046254338)</f>
        <v>0.9692090046</v>
      </c>
      <c r="AT6" s="34">
        <f>IFERROR(__xludf.DUMMYFUNCTION("IF(ISNA(sum(filter(
Master_Mapping_Sheet!$E$2:$E$3143, ISNUMBER(
Master_Mapping_Sheet!$E$2:$E$3143),
Master_Mapping_Sheet!$C$2:$C$3143=AT$1,
Master_Mapping_Sheet!$K$2:$K$3143=VALUE(RIGHT($A6,1))))/sum(filter(
Master_Mapping_Sheet!$E$2:$E$3143, ISNUMBER(
M"&amp;"aster_Mapping_Sheet!$E$2:$E$3143),
Master_Mapping_Sheet!$C$2:$C$3143=AT$1))), 0, sum(filter(
Master_Mapping_Sheet!$E$2:$E$3143, ISNUMBER(
Master_Mapping_Sheet!$E$2:$E$3143),
Master_Mapping_Sheet!$C$2:$C$3143=AT$1,
Master_Mapping_Sheet!$K$2:$K$3143=VALUE(R"&amp;"IGHT($A6,1))))/sum(filter(
Master_Mapping_Sheet!$E$2:$E$3143, ISNUMBER(
Master_Mapping_Sheet!$E$2:$E$3143),
Master_Mapping_Sheet!$C$2:$C$3143=AT$1)))"),0.05923573923541153)</f>
        <v>0.05923573924</v>
      </c>
      <c r="AU6" s="34">
        <f>IFERROR(__xludf.DUMMYFUNCTION("IF(ISNA(sum(filter(
Master_Mapping_Sheet!$E$2:$E$3143, ISNUMBER(
Master_Mapping_Sheet!$E$2:$E$3143),
Master_Mapping_Sheet!$C$2:$C$3143=AU$1,
Master_Mapping_Sheet!$K$2:$K$3143=VALUE(RIGHT($A6,1))))/sum(filter(
Master_Mapping_Sheet!$E$2:$E$3143, ISNUMBER(
M"&amp;"aster_Mapping_Sheet!$E$2:$E$3143),
Master_Mapping_Sheet!$C$2:$C$3143=AU$1))), 0, sum(filter(
Master_Mapping_Sheet!$E$2:$E$3143, ISNUMBER(
Master_Mapping_Sheet!$E$2:$E$3143),
Master_Mapping_Sheet!$C$2:$C$3143=AU$1,
Master_Mapping_Sheet!$K$2:$K$3143=VALUE(R"&amp;"IGHT($A6,1))))/sum(filter(
Master_Mapping_Sheet!$E$2:$E$3143, ISNUMBER(
Master_Mapping_Sheet!$E$2:$E$3143),
Master_Mapping_Sheet!$C$2:$C$3143=AU$1)))"),0.0)</f>
        <v>0</v>
      </c>
      <c r="AV6" s="34">
        <f>IFERROR(__xludf.DUMMYFUNCTION("IF(ISNA(sum(filter(
Master_Mapping_Sheet!$E$2:$E$3143, ISNUMBER(
Master_Mapping_Sheet!$E$2:$E$3143),
Master_Mapping_Sheet!$C$2:$C$3143=AV$1,
Master_Mapping_Sheet!$K$2:$K$3143=VALUE(RIGHT($A6,1))))/sum(filter(
Master_Mapping_Sheet!$E$2:$E$3143, ISNUMBER(
M"&amp;"aster_Mapping_Sheet!$E$2:$E$3143),
Master_Mapping_Sheet!$C$2:$C$3143=AV$1))), 0, sum(filter(
Master_Mapping_Sheet!$E$2:$E$3143, ISNUMBER(
Master_Mapping_Sheet!$E$2:$E$3143),
Master_Mapping_Sheet!$C$2:$C$3143=AV$1,
Master_Mapping_Sheet!$K$2:$K$3143=VALUE(R"&amp;"IGHT($A6,1))))/sum(filter(
Master_Mapping_Sheet!$E$2:$E$3143, ISNUMBER(
Master_Mapping_Sheet!$E$2:$E$3143),
Master_Mapping_Sheet!$C$2:$C$3143=AV$1)))"),0.0)</f>
        <v>0</v>
      </c>
      <c r="AW6" s="34">
        <f>IFERROR(__xludf.DUMMYFUNCTION("IF(ISNA(sum(filter(
Master_Mapping_Sheet!$E$2:$E$3143, ISNUMBER(
Master_Mapping_Sheet!$E$2:$E$3143),
Master_Mapping_Sheet!$C$2:$C$3143=AW$1,
Master_Mapping_Sheet!$K$2:$K$3143=VALUE(RIGHT($A6,1))))/sum(filter(
Master_Mapping_Sheet!$E$2:$E$3143, ISNUMBER(
M"&amp;"aster_Mapping_Sheet!$E$2:$E$3143),
Master_Mapping_Sheet!$C$2:$C$3143=AW$1))), 0, sum(filter(
Master_Mapping_Sheet!$E$2:$E$3143, ISNUMBER(
Master_Mapping_Sheet!$E$2:$E$3143),
Master_Mapping_Sheet!$C$2:$C$3143=AW$1,
Master_Mapping_Sheet!$K$2:$K$3143=VALUE(R"&amp;"IGHT($A6,1))))/sum(filter(
Master_Mapping_Sheet!$E$2:$E$3143, ISNUMBER(
Master_Mapping_Sheet!$E$2:$E$3143),
Master_Mapping_Sheet!$C$2:$C$3143=AW$1)))"),0.0)</f>
        <v>0</v>
      </c>
      <c r="AX6" s="34">
        <f>IFERROR(__xludf.DUMMYFUNCTION("IF(ISNA(sum(filter(
Master_Mapping_Sheet!$E$2:$E$3143, ISNUMBER(
Master_Mapping_Sheet!$E$2:$E$3143),
Master_Mapping_Sheet!$C$2:$C$3143=AX$1,
Master_Mapping_Sheet!$K$2:$K$3143=VALUE(RIGHT($A6,1))))/sum(filter(
Master_Mapping_Sheet!$E$2:$E$3143, ISNUMBER(
M"&amp;"aster_Mapping_Sheet!$E$2:$E$3143),
Master_Mapping_Sheet!$C$2:$C$3143=AX$1))), 0, sum(filter(
Master_Mapping_Sheet!$E$2:$E$3143, ISNUMBER(
Master_Mapping_Sheet!$E$2:$E$3143),
Master_Mapping_Sheet!$C$2:$C$3143=AX$1,
Master_Mapping_Sheet!$K$2:$K$3143=VALUE(R"&amp;"IGHT($A6,1))))/sum(filter(
Master_Mapping_Sheet!$E$2:$E$3143, ISNUMBER(
Master_Mapping_Sheet!$E$2:$E$3143),
Master_Mapping_Sheet!$C$2:$C$3143=AX$1)))"),0.0)</f>
        <v>0</v>
      </c>
      <c r="AY6" s="34">
        <f>IFERROR(__xludf.DUMMYFUNCTION("IF(ISNA(sum(filter(
Master_Mapping_Sheet!$E$2:$E$3143, ISNUMBER(
Master_Mapping_Sheet!$E$2:$E$3143),
Master_Mapping_Sheet!$C$2:$C$3143=AY$1,
Master_Mapping_Sheet!$K$2:$K$3143=VALUE(RIGHT($A6,1))))/sum(filter(
Master_Mapping_Sheet!$E$2:$E$3143, ISNUMBER(
M"&amp;"aster_Mapping_Sheet!$E$2:$E$3143),
Master_Mapping_Sheet!$C$2:$C$3143=AY$1))), 0, sum(filter(
Master_Mapping_Sheet!$E$2:$E$3143, ISNUMBER(
Master_Mapping_Sheet!$E$2:$E$3143),
Master_Mapping_Sheet!$C$2:$C$3143=AY$1,
Master_Mapping_Sheet!$K$2:$K$3143=VALUE(R"&amp;"IGHT($A6,1))))/sum(filter(
Master_Mapping_Sheet!$E$2:$E$3143, ISNUMBER(
Master_Mapping_Sheet!$E$2:$E$3143),
Master_Mapping_Sheet!$C$2:$C$3143=AY$1)))"),0.0)</f>
        <v>0</v>
      </c>
      <c r="AZ6" s="34">
        <f>IFERROR(__xludf.DUMMYFUNCTION("IF(ISNA(sum(filter(
Master_Mapping_Sheet!$E$2:$E$3143, ISNUMBER(
Master_Mapping_Sheet!$E$2:$E$3143),
Master_Mapping_Sheet!$C$2:$C$3143=AZ$1,
Master_Mapping_Sheet!$K$2:$K$3143=VALUE(RIGHT($A6,1))))/sum(filter(
Master_Mapping_Sheet!$E$2:$E$3143, ISNUMBER(
M"&amp;"aster_Mapping_Sheet!$E$2:$E$3143),
Master_Mapping_Sheet!$C$2:$C$3143=AZ$1))), 0, sum(filter(
Master_Mapping_Sheet!$E$2:$E$3143, ISNUMBER(
Master_Mapping_Sheet!$E$2:$E$3143),
Master_Mapping_Sheet!$C$2:$C$3143=AZ$1,
Master_Mapping_Sheet!$K$2:$K$3143=VALUE(R"&amp;"IGHT($A6,1))))/sum(filter(
Master_Mapping_Sheet!$E$2:$E$3143, ISNUMBER(
Master_Mapping_Sheet!$E$2:$E$3143),
Master_Mapping_Sheet!$C$2:$C$3143=AZ$1)))"),0.0)</f>
        <v>0</v>
      </c>
    </row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45" t="s">
        <v>98</v>
      </c>
      <c r="B1" s="45" t="s">
        <v>1994</v>
      </c>
      <c r="C1" s="45" t="s">
        <v>2062</v>
      </c>
      <c r="D1" s="45" t="s">
        <v>2063</v>
      </c>
      <c r="E1" s="45" t="s">
        <v>2079</v>
      </c>
      <c r="F1" s="45" t="s">
        <v>2137</v>
      </c>
      <c r="G1" s="45" t="s">
        <v>2194</v>
      </c>
      <c r="H1" s="45" t="s">
        <v>2250</v>
      </c>
      <c r="I1" s="45" t="s">
        <v>2259</v>
      </c>
      <c r="J1" s="45" t="s">
        <v>2263</v>
      </c>
      <c r="K1" s="45" t="s">
        <v>2264</v>
      </c>
      <c r="L1" s="45" t="s">
        <v>2314</v>
      </c>
      <c r="M1" s="45" t="s">
        <v>2423</v>
      </c>
      <c r="N1" s="45" t="s">
        <v>2424</v>
      </c>
      <c r="O1" s="45" t="s">
        <v>2458</v>
      </c>
      <c r="P1" s="45" t="s">
        <v>2513</v>
      </c>
      <c r="Q1" s="45" t="s">
        <v>2555</v>
      </c>
      <c r="R1" s="45" t="s">
        <v>2601</v>
      </c>
      <c r="S1" s="45" t="s">
        <v>2669</v>
      </c>
      <c r="T1" s="45" t="s">
        <v>2725</v>
      </c>
      <c r="U1" s="45" t="s">
        <v>2790</v>
      </c>
      <c r="V1" s="45" t="s">
        <v>2801</v>
      </c>
      <c r="W1" s="45" t="s">
        <v>2819</v>
      </c>
      <c r="X1" s="45" t="s">
        <v>2830</v>
      </c>
      <c r="Y1" s="45" t="s">
        <v>2893</v>
      </c>
      <c r="Z1" s="45" t="s">
        <v>2955</v>
      </c>
      <c r="AA1" s="45" t="s">
        <v>2992</v>
      </c>
      <c r="AB1" s="45" t="s">
        <v>3034</v>
      </c>
      <c r="AC1" s="45" t="s">
        <v>3071</v>
      </c>
      <c r="AD1" s="45" t="s">
        <v>3112</v>
      </c>
      <c r="AE1" s="45" t="s">
        <v>3123</v>
      </c>
      <c r="AF1" s="45" t="s">
        <v>3131</v>
      </c>
      <c r="AG1" s="45" t="s">
        <v>3143</v>
      </c>
      <c r="AH1" s="45" t="s">
        <v>3168</v>
      </c>
      <c r="AI1" s="45" t="s">
        <v>3200</v>
      </c>
      <c r="AJ1" s="45" t="s">
        <v>3265</v>
      </c>
      <c r="AK1" s="45" t="s">
        <v>3297</v>
      </c>
      <c r="AL1" s="45" t="s">
        <v>3333</v>
      </c>
      <c r="AM1" s="45" t="s">
        <v>3376</v>
      </c>
      <c r="AN1" s="45" t="s">
        <v>3393</v>
      </c>
      <c r="AO1" s="45" t="s">
        <v>3427</v>
      </c>
      <c r="AP1" s="45" t="s">
        <v>3430</v>
      </c>
      <c r="AQ1" s="45" t="s">
        <v>3458</v>
      </c>
      <c r="AR1" s="45" t="s">
        <v>3497</v>
      </c>
      <c r="AS1" s="45" t="s">
        <v>3524</v>
      </c>
      <c r="AT1" s="45" t="s">
        <v>3687</v>
      </c>
      <c r="AU1" s="45" t="s">
        <v>3704</v>
      </c>
      <c r="AV1" s="45" t="s">
        <v>3713</v>
      </c>
      <c r="AW1" s="45" t="s">
        <v>3797</v>
      </c>
      <c r="AX1" s="45" t="s">
        <v>3820</v>
      </c>
      <c r="AY1" s="45" t="s">
        <v>3838</v>
      </c>
      <c r="AZ1" s="45" t="s">
        <v>3874</v>
      </c>
    </row>
    <row r="2" ht="15.75" customHeight="1">
      <c r="A2" s="45" t="s">
        <v>4251</v>
      </c>
      <c r="B2" s="34">
        <f>IFERROR(__xludf.DUMMYFUNCTION("IF(ISNA(sum(filter(
Master_Mapping_Sheet!$E$2:$E$3143, ISNUMBER(
Master_Mapping_Sheet!$E$2:$E$3143),
Master_Mapping_Sheet!$C$2:$C$3143=B$1,
Master_Mapping_Sheet!$M$2:$M$3143=VALUE(RIGHT($A2,1))))/sum(filter(
Master_Mapping_Sheet!$E$2:$E$3143, ISNUMBER(
Ma"&amp;"ster_Mapping_Sheet!$E$2:$E$3143),
Master_Mapping_Sheet!$C$2:$C$3143=B$1))), 0, sum(filter(
Master_Mapping_Sheet!$E$2:$E$3143, ISNUMBER(
Master_Mapping_Sheet!$E$2:$E$3143),
Master_Mapping_Sheet!$C$2:$C$3143=B$1,
Master_Mapping_Sheet!$M$2:$M$3143=VALUE(RIGH"&amp;"T($A2,1))))/sum(filter(
Master_Mapping_Sheet!$E$2:$E$3143, ISNUMBER(
Master_Mapping_Sheet!$E$2:$E$3143),
Master_Mapping_Sheet!$C$2:$C$3143=B$1)))"),0.0)</f>
        <v>0</v>
      </c>
      <c r="C2" s="34">
        <f>IFERROR(__xludf.DUMMYFUNCTION("IF(ISNA(sum(filter(
Master_Mapping_Sheet!$E$2:$E$3143, ISNUMBER(
Master_Mapping_Sheet!$E$2:$E$3143),
Master_Mapping_Sheet!$C$2:$C$3143=C$1,
Master_Mapping_Sheet!$M$2:$M$3143=VALUE(RIGHT($A2,1))))/sum(filter(
Master_Mapping_Sheet!$E$2:$E$3143, ISNUMBER(
Ma"&amp;"ster_Mapping_Sheet!$E$2:$E$3143),
Master_Mapping_Sheet!$C$2:$C$3143=C$1))), 0, sum(filter(
Master_Mapping_Sheet!$E$2:$E$3143, ISNUMBER(
Master_Mapping_Sheet!$E$2:$E$3143),
Master_Mapping_Sheet!$C$2:$C$3143=C$1,
Master_Mapping_Sheet!$M$2:$M$3143=VALUE(RIGH"&amp;"T($A2,1))))/sum(filter(
Master_Mapping_Sheet!$E$2:$E$3143, ISNUMBER(
Master_Mapping_Sheet!$E$2:$E$3143),
Master_Mapping_Sheet!$C$2:$C$3143=C$1)))"),0.0)</f>
        <v>0</v>
      </c>
      <c r="D2" s="34">
        <f>IFERROR(__xludf.DUMMYFUNCTION("IF(ISNA(sum(filter(
Master_Mapping_Sheet!$E$2:$E$3143, ISNUMBER(
Master_Mapping_Sheet!$E$2:$E$3143),
Master_Mapping_Sheet!$C$2:$C$3143=D$1,
Master_Mapping_Sheet!$M$2:$M$3143=VALUE(RIGHT($A2,1))))/sum(filter(
Master_Mapping_Sheet!$E$2:$E$3143, ISNUMBER(
Ma"&amp;"ster_Mapping_Sheet!$E$2:$E$3143),
Master_Mapping_Sheet!$C$2:$C$3143=D$1))), 0, sum(filter(
Master_Mapping_Sheet!$E$2:$E$3143, ISNUMBER(
Master_Mapping_Sheet!$E$2:$E$3143),
Master_Mapping_Sheet!$C$2:$C$3143=D$1,
Master_Mapping_Sheet!$M$2:$M$3143=VALUE(RIGH"&amp;"T($A2,1))))/sum(filter(
Master_Mapping_Sheet!$E$2:$E$3143, ISNUMBER(
Master_Mapping_Sheet!$E$2:$E$3143),
Master_Mapping_Sheet!$C$2:$C$3143=D$1)))"),0.0)</f>
        <v>0</v>
      </c>
      <c r="E2" s="34">
        <f>IFERROR(__xludf.DUMMYFUNCTION("IF(ISNA(sum(filter(
Master_Mapping_Sheet!$E$2:$E$3143, ISNUMBER(
Master_Mapping_Sheet!$E$2:$E$3143),
Master_Mapping_Sheet!$C$2:$C$3143=E$1,
Master_Mapping_Sheet!$M$2:$M$3143=VALUE(RIGHT($A2,1))))/sum(filter(
Master_Mapping_Sheet!$E$2:$E$3143, ISNUMBER(
Ma"&amp;"ster_Mapping_Sheet!$E$2:$E$3143),
Master_Mapping_Sheet!$C$2:$C$3143=E$1))), 0, sum(filter(
Master_Mapping_Sheet!$E$2:$E$3143, ISNUMBER(
Master_Mapping_Sheet!$E$2:$E$3143),
Master_Mapping_Sheet!$C$2:$C$3143=E$1,
Master_Mapping_Sheet!$M$2:$M$3143=VALUE(RIGH"&amp;"T($A2,1))))/sum(filter(
Master_Mapping_Sheet!$E$2:$E$3143, ISNUMBER(
Master_Mapping_Sheet!$E$2:$E$3143),
Master_Mapping_Sheet!$C$2:$C$3143=E$1)))"),0.0)</f>
        <v>0</v>
      </c>
      <c r="F2" s="34">
        <f>IFERROR(__xludf.DUMMYFUNCTION("IF(ISNA(sum(filter(
Master_Mapping_Sheet!$E$2:$E$3143, ISNUMBER(
Master_Mapping_Sheet!$E$2:$E$3143),
Master_Mapping_Sheet!$C$2:$C$3143=F$1,
Master_Mapping_Sheet!$M$2:$M$3143=VALUE(RIGHT($A2,1))))/sum(filter(
Master_Mapping_Sheet!$E$2:$E$3143, ISNUMBER(
Ma"&amp;"ster_Mapping_Sheet!$E$2:$E$3143),
Master_Mapping_Sheet!$C$2:$C$3143=F$1))), 0, sum(filter(
Master_Mapping_Sheet!$E$2:$E$3143, ISNUMBER(
Master_Mapping_Sheet!$E$2:$E$3143),
Master_Mapping_Sheet!$C$2:$C$3143=F$1,
Master_Mapping_Sheet!$M$2:$M$3143=VALUE(RIGH"&amp;"T($A2,1))))/sum(filter(
Master_Mapping_Sheet!$E$2:$E$3143, ISNUMBER(
Master_Mapping_Sheet!$E$2:$E$3143),
Master_Mapping_Sheet!$C$2:$C$3143=F$1)))"),0.0)</f>
        <v>0</v>
      </c>
      <c r="G2" s="34">
        <f>IFERROR(__xludf.DUMMYFUNCTION("IF(ISNA(sum(filter(
Master_Mapping_Sheet!$E$2:$E$3143, ISNUMBER(
Master_Mapping_Sheet!$E$2:$E$3143),
Master_Mapping_Sheet!$C$2:$C$3143=G$1,
Master_Mapping_Sheet!$M$2:$M$3143=VALUE(RIGHT($A2,1))))/sum(filter(
Master_Mapping_Sheet!$E$2:$E$3143, ISNUMBER(
Ma"&amp;"ster_Mapping_Sheet!$E$2:$E$3143),
Master_Mapping_Sheet!$C$2:$C$3143=G$1))), 0, sum(filter(
Master_Mapping_Sheet!$E$2:$E$3143, ISNUMBER(
Master_Mapping_Sheet!$E$2:$E$3143),
Master_Mapping_Sheet!$C$2:$C$3143=G$1,
Master_Mapping_Sheet!$M$2:$M$3143=VALUE(RIGH"&amp;"T($A2,1))))/sum(filter(
Master_Mapping_Sheet!$E$2:$E$3143, ISNUMBER(
Master_Mapping_Sheet!$E$2:$E$3143),
Master_Mapping_Sheet!$C$2:$C$3143=G$1)))"),0.0)</f>
        <v>0</v>
      </c>
      <c r="H2" s="34">
        <f>IFERROR(__xludf.DUMMYFUNCTION("IF(ISNA(sum(filter(
Master_Mapping_Sheet!$E$2:$E$3143, ISNUMBER(
Master_Mapping_Sheet!$E$2:$E$3143),
Master_Mapping_Sheet!$C$2:$C$3143=H$1,
Master_Mapping_Sheet!$M$2:$M$3143=VALUE(RIGHT($A2,1))))/sum(filter(
Master_Mapping_Sheet!$E$2:$E$3143, ISNUMBER(
Ma"&amp;"ster_Mapping_Sheet!$E$2:$E$3143),
Master_Mapping_Sheet!$C$2:$C$3143=H$1))), 0, sum(filter(
Master_Mapping_Sheet!$E$2:$E$3143, ISNUMBER(
Master_Mapping_Sheet!$E$2:$E$3143),
Master_Mapping_Sheet!$C$2:$C$3143=H$1,
Master_Mapping_Sheet!$M$2:$M$3143=VALUE(RIGH"&amp;"T($A2,1))))/sum(filter(
Master_Mapping_Sheet!$E$2:$E$3143, ISNUMBER(
Master_Mapping_Sheet!$E$2:$E$3143),
Master_Mapping_Sheet!$C$2:$C$3143=H$1)))"),0.0)</f>
        <v>0</v>
      </c>
      <c r="I2" s="34">
        <f>IFERROR(__xludf.DUMMYFUNCTION("IF(ISNA(sum(filter(
Master_Mapping_Sheet!$E$2:$E$3143, ISNUMBER(
Master_Mapping_Sheet!$E$2:$E$3143),
Master_Mapping_Sheet!$C$2:$C$3143=I$1,
Master_Mapping_Sheet!$M$2:$M$3143=VALUE(RIGHT($A2,1))))/sum(filter(
Master_Mapping_Sheet!$E$2:$E$3143, ISNUMBER(
Ma"&amp;"ster_Mapping_Sheet!$E$2:$E$3143),
Master_Mapping_Sheet!$C$2:$C$3143=I$1))), 0, sum(filter(
Master_Mapping_Sheet!$E$2:$E$3143, ISNUMBER(
Master_Mapping_Sheet!$E$2:$E$3143),
Master_Mapping_Sheet!$C$2:$C$3143=I$1,
Master_Mapping_Sheet!$M$2:$M$3143=VALUE(RIGH"&amp;"T($A2,1))))/sum(filter(
Master_Mapping_Sheet!$E$2:$E$3143, ISNUMBER(
Master_Mapping_Sheet!$E$2:$E$3143),
Master_Mapping_Sheet!$C$2:$C$3143=I$1)))"),0.0)</f>
        <v>0</v>
      </c>
      <c r="J2" s="34">
        <f>IFERROR(__xludf.DUMMYFUNCTION("IF(ISNA(sum(filter(
Master_Mapping_Sheet!$E$2:$E$3143, ISNUMBER(
Master_Mapping_Sheet!$E$2:$E$3143),
Master_Mapping_Sheet!$C$2:$C$3143=J$1,
Master_Mapping_Sheet!$M$2:$M$3143=VALUE(RIGHT($A2,1))))/sum(filter(
Master_Mapping_Sheet!$E$2:$E$3143, ISNUMBER(
Ma"&amp;"ster_Mapping_Sheet!$E$2:$E$3143),
Master_Mapping_Sheet!$C$2:$C$3143=J$1))), 0, sum(filter(
Master_Mapping_Sheet!$E$2:$E$3143, ISNUMBER(
Master_Mapping_Sheet!$E$2:$E$3143),
Master_Mapping_Sheet!$C$2:$C$3143=J$1,
Master_Mapping_Sheet!$M$2:$M$3143=VALUE(RIGH"&amp;"T($A2,1))))/sum(filter(
Master_Mapping_Sheet!$E$2:$E$3143, ISNUMBER(
Master_Mapping_Sheet!$E$2:$E$3143),
Master_Mapping_Sheet!$C$2:$C$3143=J$1)))"),0.0)</f>
        <v>0</v>
      </c>
      <c r="K2" s="34">
        <f>IFERROR(__xludf.DUMMYFUNCTION("IF(ISNA(sum(filter(
Master_Mapping_Sheet!$E$2:$E$3143, ISNUMBER(
Master_Mapping_Sheet!$E$2:$E$3143),
Master_Mapping_Sheet!$C$2:$C$3143=K$1,
Master_Mapping_Sheet!$M$2:$M$3143=VALUE(RIGHT($A2,1))))/sum(filter(
Master_Mapping_Sheet!$E$2:$E$3143, ISNUMBER(
Ma"&amp;"ster_Mapping_Sheet!$E$2:$E$3143),
Master_Mapping_Sheet!$C$2:$C$3143=K$1))), 0, sum(filter(
Master_Mapping_Sheet!$E$2:$E$3143, ISNUMBER(
Master_Mapping_Sheet!$E$2:$E$3143),
Master_Mapping_Sheet!$C$2:$C$3143=K$1,
Master_Mapping_Sheet!$M$2:$M$3143=VALUE(RIGH"&amp;"T($A2,1))))/sum(filter(
Master_Mapping_Sheet!$E$2:$E$3143, ISNUMBER(
Master_Mapping_Sheet!$E$2:$E$3143),
Master_Mapping_Sheet!$C$2:$C$3143=K$1)))"),0.20919328286937802)</f>
        <v>0.2091932829</v>
      </c>
      <c r="L2" s="34">
        <f>IFERROR(__xludf.DUMMYFUNCTION("IF(ISNA(sum(filter(
Master_Mapping_Sheet!$E$2:$E$3143, ISNUMBER(
Master_Mapping_Sheet!$E$2:$E$3143),
Master_Mapping_Sheet!$C$2:$C$3143=L$1,
Master_Mapping_Sheet!$M$2:$M$3143=VALUE(RIGHT($A2,1))))/sum(filter(
Master_Mapping_Sheet!$E$2:$E$3143, ISNUMBER(
Ma"&amp;"ster_Mapping_Sheet!$E$2:$E$3143),
Master_Mapping_Sheet!$C$2:$C$3143=L$1))), 0, sum(filter(
Master_Mapping_Sheet!$E$2:$E$3143, ISNUMBER(
Master_Mapping_Sheet!$E$2:$E$3143),
Master_Mapping_Sheet!$C$2:$C$3143=L$1,
Master_Mapping_Sheet!$M$2:$M$3143=VALUE(RIGH"&amp;"T($A2,1))))/sum(filter(
Master_Mapping_Sheet!$E$2:$E$3143, ISNUMBER(
Master_Mapping_Sheet!$E$2:$E$3143),
Master_Mapping_Sheet!$C$2:$C$3143=L$1)))"),0.0)</f>
        <v>0</v>
      </c>
      <c r="M2" s="34">
        <f>IFERROR(__xludf.DUMMYFUNCTION("IF(ISNA(sum(filter(
Master_Mapping_Sheet!$E$2:$E$3143, ISNUMBER(
Master_Mapping_Sheet!$E$2:$E$3143),
Master_Mapping_Sheet!$C$2:$C$3143=M$1,
Master_Mapping_Sheet!$M$2:$M$3143=VALUE(RIGHT($A2,1))))/sum(filter(
Master_Mapping_Sheet!$E$2:$E$3143, ISNUMBER(
Ma"&amp;"ster_Mapping_Sheet!$E$2:$E$3143),
Master_Mapping_Sheet!$C$2:$C$3143=M$1))), 0, sum(filter(
Master_Mapping_Sheet!$E$2:$E$3143, ISNUMBER(
Master_Mapping_Sheet!$E$2:$E$3143),
Master_Mapping_Sheet!$C$2:$C$3143=M$1,
Master_Mapping_Sheet!$M$2:$M$3143=VALUE(RIGH"&amp;"T($A2,1))))/sum(filter(
Master_Mapping_Sheet!$E$2:$E$3143, ISNUMBER(
Master_Mapping_Sheet!$E$2:$E$3143),
Master_Mapping_Sheet!$C$2:$C$3143=M$1)))"),1.0)</f>
        <v>1</v>
      </c>
      <c r="N2" s="34">
        <f>IFERROR(__xludf.DUMMYFUNCTION("IF(ISNA(sum(filter(
Master_Mapping_Sheet!$E$2:$E$3143, ISNUMBER(
Master_Mapping_Sheet!$E$2:$E$3143),
Master_Mapping_Sheet!$C$2:$C$3143=N$1,
Master_Mapping_Sheet!$M$2:$M$3143=VALUE(RIGHT($A2,1))))/sum(filter(
Master_Mapping_Sheet!$E$2:$E$3143, ISNUMBER(
Ma"&amp;"ster_Mapping_Sheet!$E$2:$E$3143),
Master_Mapping_Sheet!$C$2:$C$3143=N$1))), 0, sum(filter(
Master_Mapping_Sheet!$E$2:$E$3143, ISNUMBER(
Master_Mapping_Sheet!$E$2:$E$3143),
Master_Mapping_Sheet!$C$2:$C$3143=N$1,
Master_Mapping_Sheet!$M$2:$M$3143=VALUE(RIGH"&amp;"T($A2,1))))/sum(filter(
Master_Mapping_Sheet!$E$2:$E$3143, ISNUMBER(
Master_Mapping_Sheet!$E$2:$E$3143),
Master_Mapping_Sheet!$C$2:$C$3143=N$1)))"),0.0)</f>
        <v>0</v>
      </c>
      <c r="O2" s="34">
        <f>IFERROR(__xludf.DUMMYFUNCTION("IF(ISNA(sum(filter(
Master_Mapping_Sheet!$E$2:$E$3143, ISNUMBER(
Master_Mapping_Sheet!$E$2:$E$3143),
Master_Mapping_Sheet!$C$2:$C$3143=O$1,
Master_Mapping_Sheet!$M$2:$M$3143=VALUE(RIGHT($A2,1))))/sum(filter(
Master_Mapping_Sheet!$E$2:$E$3143, ISNUMBER(
Ma"&amp;"ster_Mapping_Sheet!$E$2:$E$3143),
Master_Mapping_Sheet!$C$2:$C$3143=O$1))), 0, sum(filter(
Master_Mapping_Sheet!$E$2:$E$3143, ISNUMBER(
Master_Mapping_Sheet!$E$2:$E$3143),
Master_Mapping_Sheet!$C$2:$C$3143=O$1,
Master_Mapping_Sheet!$M$2:$M$3143=VALUE(RIGH"&amp;"T($A2,1))))/sum(filter(
Master_Mapping_Sheet!$E$2:$E$3143, ISNUMBER(
Master_Mapping_Sheet!$E$2:$E$3143),
Master_Mapping_Sheet!$C$2:$C$3143=O$1)))"),0.0)</f>
        <v>0</v>
      </c>
      <c r="P2" s="34">
        <f>IFERROR(__xludf.DUMMYFUNCTION("IF(ISNA(sum(filter(
Master_Mapping_Sheet!$E$2:$E$3143, ISNUMBER(
Master_Mapping_Sheet!$E$2:$E$3143),
Master_Mapping_Sheet!$C$2:$C$3143=P$1,
Master_Mapping_Sheet!$M$2:$M$3143=VALUE(RIGHT($A2,1))))/sum(filter(
Master_Mapping_Sheet!$E$2:$E$3143, ISNUMBER(
Ma"&amp;"ster_Mapping_Sheet!$E$2:$E$3143),
Master_Mapping_Sheet!$C$2:$C$3143=P$1))), 0, sum(filter(
Master_Mapping_Sheet!$E$2:$E$3143, ISNUMBER(
Master_Mapping_Sheet!$E$2:$E$3143),
Master_Mapping_Sheet!$C$2:$C$3143=P$1,
Master_Mapping_Sheet!$M$2:$M$3143=VALUE(RIGH"&amp;"T($A2,1))))/sum(filter(
Master_Mapping_Sheet!$E$2:$E$3143, ISNUMBER(
Master_Mapping_Sheet!$E$2:$E$3143),
Master_Mapping_Sheet!$C$2:$C$3143=P$1)))"),0.0)</f>
        <v>0</v>
      </c>
      <c r="Q2" s="34">
        <f>IFERROR(__xludf.DUMMYFUNCTION("IF(ISNA(sum(filter(
Master_Mapping_Sheet!$E$2:$E$3143, ISNUMBER(
Master_Mapping_Sheet!$E$2:$E$3143),
Master_Mapping_Sheet!$C$2:$C$3143=Q$1,
Master_Mapping_Sheet!$M$2:$M$3143=VALUE(RIGHT($A2,1))))/sum(filter(
Master_Mapping_Sheet!$E$2:$E$3143, ISNUMBER(
Ma"&amp;"ster_Mapping_Sheet!$E$2:$E$3143),
Master_Mapping_Sheet!$C$2:$C$3143=Q$1))), 0, sum(filter(
Master_Mapping_Sheet!$E$2:$E$3143, ISNUMBER(
Master_Mapping_Sheet!$E$2:$E$3143),
Master_Mapping_Sheet!$C$2:$C$3143=Q$1,
Master_Mapping_Sheet!$M$2:$M$3143=VALUE(RIGH"&amp;"T($A2,1))))/sum(filter(
Master_Mapping_Sheet!$E$2:$E$3143, ISNUMBER(
Master_Mapping_Sheet!$E$2:$E$3143),
Master_Mapping_Sheet!$C$2:$C$3143=Q$1)))"),0.0)</f>
        <v>0</v>
      </c>
      <c r="R2" s="34">
        <f>IFERROR(__xludf.DUMMYFUNCTION("IF(ISNA(sum(filter(
Master_Mapping_Sheet!$E$2:$E$3143, ISNUMBER(
Master_Mapping_Sheet!$E$2:$E$3143),
Master_Mapping_Sheet!$C$2:$C$3143=R$1,
Master_Mapping_Sheet!$M$2:$M$3143=VALUE(RIGHT($A2,1))))/sum(filter(
Master_Mapping_Sheet!$E$2:$E$3143, ISNUMBER(
Ma"&amp;"ster_Mapping_Sheet!$E$2:$E$3143),
Master_Mapping_Sheet!$C$2:$C$3143=R$1))), 0, sum(filter(
Master_Mapping_Sheet!$E$2:$E$3143, ISNUMBER(
Master_Mapping_Sheet!$E$2:$E$3143),
Master_Mapping_Sheet!$C$2:$C$3143=R$1,
Master_Mapping_Sheet!$M$2:$M$3143=VALUE(RIGH"&amp;"T($A2,1))))/sum(filter(
Master_Mapping_Sheet!$E$2:$E$3143, ISNUMBER(
Master_Mapping_Sheet!$E$2:$E$3143),
Master_Mapping_Sheet!$C$2:$C$3143=R$1)))"),0.0)</f>
        <v>0</v>
      </c>
      <c r="S2" s="34">
        <f>IFERROR(__xludf.DUMMYFUNCTION("IF(ISNA(sum(filter(
Master_Mapping_Sheet!$E$2:$E$3143, ISNUMBER(
Master_Mapping_Sheet!$E$2:$E$3143),
Master_Mapping_Sheet!$C$2:$C$3143=S$1,
Master_Mapping_Sheet!$M$2:$M$3143=VALUE(RIGHT($A2,1))))/sum(filter(
Master_Mapping_Sheet!$E$2:$E$3143, ISNUMBER(
Ma"&amp;"ster_Mapping_Sheet!$E$2:$E$3143),
Master_Mapping_Sheet!$C$2:$C$3143=S$1))), 0, sum(filter(
Master_Mapping_Sheet!$E$2:$E$3143, ISNUMBER(
Master_Mapping_Sheet!$E$2:$E$3143),
Master_Mapping_Sheet!$C$2:$C$3143=S$1,
Master_Mapping_Sheet!$M$2:$M$3143=VALUE(RIGH"&amp;"T($A2,1))))/sum(filter(
Master_Mapping_Sheet!$E$2:$E$3143, ISNUMBER(
Master_Mapping_Sheet!$E$2:$E$3143),
Master_Mapping_Sheet!$C$2:$C$3143=S$1)))"),0.0)</f>
        <v>0</v>
      </c>
      <c r="T2" s="34">
        <f>IFERROR(__xludf.DUMMYFUNCTION("IF(ISNA(sum(filter(
Master_Mapping_Sheet!$E$2:$E$3143, ISNUMBER(
Master_Mapping_Sheet!$E$2:$E$3143),
Master_Mapping_Sheet!$C$2:$C$3143=T$1,
Master_Mapping_Sheet!$M$2:$M$3143=VALUE(RIGHT($A2,1))))/sum(filter(
Master_Mapping_Sheet!$E$2:$E$3143, ISNUMBER(
Ma"&amp;"ster_Mapping_Sheet!$E$2:$E$3143),
Master_Mapping_Sheet!$C$2:$C$3143=T$1))), 0, sum(filter(
Master_Mapping_Sheet!$E$2:$E$3143, ISNUMBER(
Master_Mapping_Sheet!$E$2:$E$3143),
Master_Mapping_Sheet!$C$2:$C$3143=T$1,
Master_Mapping_Sheet!$M$2:$M$3143=VALUE(RIGH"&amp;"T($A2,1))))/sum(filter(
Master_Mapping_Sheet!$E$2:$E$3143, ISNUMBER(
Master_Mapping_Sheet!$E$2:$E$3143),
Master_Mapping_Sheet!$C$2:$C$3143=T$1)))"),0.0)</f>
        <v>0</v>
      </c>
      <c r="U2" s="34">
        <f>IFERROR(__xludf.DUMMYFUNCTION("IF(ISNA(sum(filter(
Master_Mapping_Sheet!$E$2:$E$3143, ISNUMBER(
Master_Mapping_Sheet!$E$2:$E$3143),
Master_Mapping_Sheet!$C$2:$C$3143=U$1,
Master_Mapping_Sheet!$M$2:$M$3143=VALUE(RIGHT($A2,1))))/sum(filter(
Master_Mapping_Sheet!$E$2:$E$3143, ISNUMBER(
Ma"&amp;"ster_Mapping_Sheet!$E$2:$E$3143),
Master_Mapping_Sheet!$C$2:$C$3143=U$1))), 0, sum(filter(
Master_Mapping_Sheet!$E$2:$E$3143, ISNUMBER(
Master_Mapping_Sheet!$E$2:$E$3143),
Master_Mapping_Sheet!$C$2:$C$3143=U$1,
Master_Mapping_Sheet!$M$2:$M$3143=VALUE(RIGH"&amp;"T($A2,1))))/sum(filter(
Master_Mapping_Sheet!$E$2:$E$3143, ISNUMBER(
Master_Mapping_Sheet!$E$2:$E$3143),
Master_Mapping_Sheet!$C$2:$C$3143=U$1)))"),0.0)</f>
        <v>0</v>
      </c>
      <c r="V2" s="34">
        <f>IFERROR(__xludf.DUMMYFUNCTION("IF(ISNA(sum(filter(
Master_Mapping_Sheet!$E$2:$E$3143, ISNUMBER(
Master_Mapping_Sheet!$E$2:$E$3143),
Master_Mapping_Sheet!$C$2:$C$3143=V$1,
Master_Mapping_Sheet!$M$2:$M$3143=VALUE(RIGHT($A2,1))))/sum(filter(
Master_Mapping_Sheet!$E$2:$E$3143, ISNUMBER(
Ma"&amp;"ster_Mapping_Sheet!$E$2:$E$3143),
Master_Mapping_Sheet!$C$2:$C$3143=V$1))), 0, sum(filter(
Master_Mapping_Sheet!$E$2:$E$3143, ISNUMBER(
Master_Mapping_Sheet!$E$2:$E$3143),
Master_Mapping_Sheet!$C$2:$C$3143=V$1,
Master_Mapping_Sheet!$M$2:$M$3143=VALUE(RIGH"&amp;"T($A2,1))))/sum(filter(
Master_Mapping_Sheet!$E$2:$E$3143, ISNUMBER(
Master_Mapping_Sheet!$E$2:$E$3143),
Master_Mapping_Sheet!$C$2:$C$3143=V$1)))"),0.0)</f>
        <v>0</v>
      </c>
      <c r="W2" s="34">
        <f>IFERROR(__xludf.DUMMYFUNCTION("IF(ISNA(sum(filter(
Master_Mapping_Sheet!$E$2:$E$3143, ISNUMBER(
Master_Mapping_Sheet!$E$2:$E$3143),
Master_Mapping_Sheet!$C$2:$C$3143=W$1,
Master_Mapping_Sheet!$M$2:$M$3143=VALUE(RIGHT($A2,1))))/sum(filter(
Master_Mapping_Sheet!$E$2:$E$3143, ISNUMBER(
Ma"&amp;"ster_Mapping_Sheet!$E$2:$E$3143),
Master_Mapping_Sheet!$C$2:$C$3143=W$1))), 0, sum(filter(
Master_Mapping_Sheet!$E$2:$E$3143, ISNUMBER(
Master_Mapping_Sheet!$E$2:$E$3143),
Master_Mapping_Sheet!$C$2:$C$3143=W$1,
Master_Mapping_Sheet!$M$2:$M$3143=VALUE(RIGH"&amp;"T($A2,1))))/sum(filter(
Master_Mapping_Sheet!$E$2:$E$3143, ISNUMBER(
Master_Mapping_Sheet!$E$2:$E$3143),
Master_Mapping_Sheet!$C$2:$C$3143=W$1)))"),0.0)</f>
        <v>0</v>
      </c>
      <c r="X2" s="34">
        <f>IFERROR(__xludf.DUMMYFUNCTION("IF(ISNA(sum(filter(
Master_Mapping_Sheet!$E$2:$E$3143, ISNUMBER(
Master_Mapping_Sheet!$E$2:$E$3143),
Master_Mapping_Sheet!$C$2:$C$3143=X$1,
Master_Mapping_Sheet!$M$2:$M$3143=VALUE(RIGHT($A2,1))))/sum(filter(
Master_Mapping_Sheet!$E$2:$E$3143, ISNUMBER(
Ma"&amp;"ster_Mapping_Sheet!$E$2:$E$3143),
Master_Mapping_Sheet!$C$2:$C$3143=X$1))), 0, sum(filter(
Master_Mapping_Sheet!$E$2:$E$3143, ISNUMBER(
Master_Mapping_Sheet!$E$2:$E$3143),
Master_Mapping_Sheet!$C$2:$C$3143=X$1,
Master_Mapping_Sheet!$M$2:$M$3143=VALUE(RIGH"&amp;"T($A2,1))))/sum(filter(
Master_Mapping_Sheet!$E$2:$E$3143, ISNUMBER(
Master_Mapping_Sheet!$E$2:$E$3143),
Master_Mapping_Sheet!$C$2:$C$3143=X$1)))"),0.0)</f>
        <v>0</v>
      </c>
      <c r="Y2" s="34">
        <f>IFERROR(__xludf.DUMMYFUNCTION("IF(ISNA(sum(filter(
Master_Mapping_Sheet!$E$2:$E$3143, ISNUMBER(
Master_Mapping_Sheet!$E$2:$E$3143),
Master_Mapping_Sheet!$C$2:$C$3143=Y$1,
Master_Mapping_Sheet!$M$2:$M$3143=VALUE(RIGHT($A2,1))))/sum(filter(
Master_Mapping_Sheet!$E$2:$E$3143, ISNUMBER(
Ma"&amp;"ster_Mapping_Sheet!$E$2:$E$3143),
Master_Mapping_Sheet!$C$2:$C$3143=Y$1))), 0, sum(filter(
Master_Mapping_Sheet!$E$2:$E$3143, ISNUMBER(
Master_Mapping_Sheet!$E$2:$E$3143),
Master_Mapping_Sheet!$C$2:$C$3143=Y$1,
Master_Mapping_Sheet!$M$2:$M$3143=VALUE(RIGH"&amp;"T($A2,1))))/sum(filter(
Master_Mapping_Sheet!$E$2:$E$3143, ISNUMBER(
Master_Mapping_Sheet!$E$2:$E$3143),
Master_Mapping_Sheet!$C$2:$C$3143=Y$1)))"),0.0)</f>
        <v>0</v>
      </c>
      <c r="Z2" s="34">
        <f>IFERROR(__xludf.DUMMYFUNCTION("IF(ISNA(sum(filter(
Master_Mapping_Sheet!$E$2:$E$3143, ISNUMBER(
Master_Mapping_Sheet!$E$2:$E$3143),
Master_Mapping_Sheet!$C$2:$C$3143=Z$1,
Master_Mapping_Sheet!$M$2:$M$3143=VALUE(RIGHT($A2,1))))/sum(filter(
Master_Mapping_Sheet!$E$2:$E$3143, ISNUMBER(
Ma"&amp;"ster_Mapping_Sheet!$E$2:$E$3143),
Master_Mapping_Sheet!$C$2:$C$3143=Z$1))), 0, sum(filter(
Master_Mapping_Sheet!$E$2:$E$3143, ISNUMBER(
Master_Mapping_Sheet!$E$2:$E$3143),
Master_Mapping_Sheet!$C$2:$C$3143=Z$1,
Master_Mapping_Sheet!$M$2:$M$3143=VALUE(RIGH"&amp;"T($A2,1))))/sum(filter(
Master_Mapping_Sheet!$E$2:$E$3143, ISNUMBER(
Master_Mapping_Sheet!$E$2:$E$3143),
Master_Mapping_Sheet!$C$2:$C$3143=Z$1)))"),0.0)</f>
        <v>0</v>
      </c>
      <c r="AA2" s="34">
        <f>IFERROR(__xludf.DUMMYFUNCTION("IF(ISNA(sum(filter(
Master_Mapping_Sheet!$E$2:$E$3143, ISNUMBER(
Master_Mapping_Sheet!$E$2:$E$3143),
Master_Mapping_Sheet!$C$2:$C$3143=AA$1,
Master_Mapping_Sheet!$M$2:$M$3143=VALUE(RIGHT($A2,1))))/sum(filter(
Master_Mapping_Sheet!$E$2:$E$3143, ISNUMBER(
M"&amp;"aster_Mapping_Sheet!$E$2:$E$3143),
Master_Mapping_Sheet!$C$2:$C$3143=AA$1))), 0, sum(filter(
Master_Mapping_Sheet!$E$2:$E$3143, ISNUMBER(
Master_Mapping_Sheet!$E$2:$E$3143),
Master_Mapping_Sheet!$C$2:$C$3143=AA$1,
Master_Mapping_Sheet!$M$2:$M$3143=VALUE(R"&amp;"IGHT($A2,1))))/sum(filter(
Master_Mapping_Sheet!$E$2:$E$3143, ISNUMBER(
Master_Mapping_Sheet!$E$2:$E$3143),
Master_Mapping_Sheet!$C$2:$C$3143=AA$1)))"),0.0)</f>
        <v>0</v>
      </c>
      <c r="AB2" s="34">
        <f>IFERROR(__xludf.DUMMYFUNCTION("IF(ISNA(sum(filter(
Master_Mapping_Sheet!$E$2:$E$3143, ISNUMBER(
Master_Mapping_Sheet!$E$2:$E$3143),
Master_Mapping_Sheet!$C$2:$C$3143=AB$1,
Master_Mapping_Sheet!$M$2:$M$3143=VALUE(RIGHT($A2,1))))/sum(filter(
Master_Mapping_Sheet!$E$2:$E$3143, ISNUMBER(
M"&amp;"aster_Mapping_Sheet!$E$2:$E$3143),
Master_Mapping_Sheet!$C$2:$C$3143=AB$1))), 0, sum(filter(
Master_Mapping_Sheet!$E$2:$E$3143, ISNUMBER(
Master_Mapping_Sheet!$E$2:$E$3143),
Master_Mapping_Sheet!$C$2:$C$3143=AB$1,
Master_Mapping_Sheet!$M$2:$M$3143=VALUE(R"&amp;"IGHT($A2,1))))/sum(filter(
Master_Mapping_Sheet!$E$2:$E$3143, ISNUMBER(
Master_Mapping_Sheet!$E$2:$E$3143),
Master_Mapping_Sheet!$C$2:$C$3143=AB$1)))"),0.0)</f>
        <v>0</v>
      </c>
      <c r="AC2" s="34">
        <f>IFERROR(__xludf.DUMMYFUNCTION("IF(ISNA(sum(filter(
Master_Mapping_Sheet!$E$2:$E$3143, ISNUMBER(
Master_Mapping_Sheet!$E$2:$E$3143),
Master_Mapping_Sheet!$C$2:$C$3143=AC$1,
Master_Mapping_Sheet!$M$2:$M$3143=VALUE(RIGHT($A2,1))))/sum(filter(
Master_Mapping_Sheet!$E$2:$E$3143, ISNUMBER(
M"&amp;"aster_Mapping_Sheet!$E$2:$E$3143),
Master_Mapping_Sheet!$C$2:$C$3143=AC$1))), 0, sum(filter(
Master_Mapping_Sheet!$E$2:$E$3143, ISNUMBER(
Master_Mapping_Sheet!$E$2:$E$3143),
Master_Mapping_Sheet!$C$2:$C$3143=AC$1,
Master_Mapping_Sheet!$M$2:$M$3143=VALUE(R"&amp;"IGHT($A2,1))))/sum(filter(
Master_Mapping_Sheet!$E$2:$E$3143, ISNUMBER(
Master_Mapping_Sheet!$E$2:$E$3143),
Master_Mapping_Sheet!$C$2:$C$3143=AC$1)))"),0.0)</f>
        <v>0</v>
      </c>
      <c r="AD2" s="34">
        <f>IFERROR(__xludf.DUMMYFUNCTION("IF(ISNA(sum(filter(
Master_Mapping_Sheet!$E$2:$E$3143, ISNUMBER(
Master_Mapping_Sheet!$E$2:$E$3143),
Master_Mapping_Sheet!$C$2:$C$3143=AD$1,
Master_Mapping_Sheet!$M$2:$M$3143=VALUE(RIGHT($A2,1))))/sum(filter(
Master_Mapping_Sheet!$E$2:$E$3143, ISNUMBER(
M"&amp;"aster_Mapping_Sheet!$E$2:$E$3143),
Master_Mapping_Sheet!$C$2:$C$3143=AD$1))), 0, sum(filter(
Master_Mapping_Sheet!$E$2:$E$3143, ISNUMBER(
Master_Mapping_Sheet!$E$2:$E$3143),
Master_Mapping_Sheet!$C$2:$C$3143=AD$1,
Master_Mapping_Sheet!$M$2:$M$3143=VALUE(R"&amp;"IGHT($A2,1))))/sum(filter(
Master_Mapping_Sheet!$E$2:$E$3143, ISNUMBER(
Master_Mapping_Sheet!$E$2:$E$3143),
Master_Mapping_Sheet!$C$2:$C$3143=AD$1)))"),0.0)</f>
        <v>0</v>
      </c>
      <c r="AE2" s="34">
        <f>IFERROR(__xludf.DUMMYFUNCTION("IF(ISNA(sum(filter(
Master_Mapping_Sheet!$E$2:$E$3143, ISNUMBER(
Master_Mapping_Sheet!$E$2:$E$3143),
Master_Mapping_Sheet!$C$2:$C$3143=AE$1,
Master_Mapping_Sheet!$M$2:$M$3143=VALUE(RIGHT($A2,1))))/sum(filter(
Master_Mapping_Sheet!$E$2:$E$3143, ISNUMBER(
M"&amp;"aster_Mapping_Sheet!$E$2:$E$3143),
Master_Mapping_Sheet!$C$2:$C$3143=AE$1))), 0, sum(filter(
Master_Mapping_Sheet!$E$2:$E$3143, ISNUMBER(
Master_Mapping_Sheet!$E$2:$E$3143),
Master_Mapping_Sheet!$C$2:$C$3143=AE$1,
Master_Mapping_Sheet!$M$2:$M$3143=VALUE(R"&amp;"IGHT($A2,1))))/sum(filter(
Master_Mapping_Sheet!$E$2:$E$3143, ISNUMBER(
Master_Mapping_Sheet!$E$2:$E$3143),
Master_Mapping_Sheet!$C$2:$C$3143=AE$1)))"),0.0)</f>
        <v>0</v>
      </c>
      <c r="AF2" s="34">
        <f>IFERROR(__xludf.DUMMYFUNCTION("IF(ISNA(sum(filter(
Master_Mapping_Sheet!$E$2:$E$3143, ISNUMBER(
Master_Mapping_Sheet!$E$2:$E$3143),
Master_Mapping_Sheet!$C$2:$C$3143=AF$1,
Master_Mapping_Sheet!$M$2:$M$3143=VALUE(RIGHT($A2,1))))/sum(filter(
Master_Mapping_Sheet!$E$2:$E$3143, ISNUMBER(
M"&amp;"aster_Mapping_Sheet!$E$2:$E$3143),
Master_Mapping_Sheet!$C$2:$C$3143=AF$1))), 0, sum(filter(
Master_Mapping_Sheet!$E$2:$E$3143, ISNUMBER(
Master_Mapping_Sheet!$E$2:$E$3143),
Master_Mapping_Sheet!$C$2:$C$3143=AF$1,
Master_Mapping_Sheet!$M$2:$M$3143=VALUE(R"&amp;"IGHT($A2,1))))/sum(filter(
Master_Mapping_Sheet!$E$2:$E$3143, ISNUMBER(
Master_Mapping_Sheet!$E$2:$E$3143),
Master_Mapping_Sheet!$C$2:$C$3143=AF$1)))"),0.0)</f>
        <v>0</v>
      </c>
      <c r="AG2" s="34">
        <f>IFERROR(__xludf.DUMMYFUNCTION("IF(ISNA(sum(filter(
Master_Mapping_Sheet!$E$2:$E$3143, ISNUMBER(
Master_Mapping_Sheet!$E$2:$E$3143),
Master_Mapping_Sheet!$C$2:$C$3143=AG$1,
Master_Mapping_Sheet!$M$2:$M$3143=VALUE(RIGHT($A2,1))))/sum(filter(
Master_Mapping_Sheet!$E$2:$E$3143, ISNUMBER(
M"&amp;"aster_Mapping_Sheet!$E$2:$E$3143),
Master_Mapping_Sheet!$C$2:$C$3143=AG$1))), 0, sum(filter(
Master_Mapping_Sheet!$E$2:$E$3143, ISNUMBER(
Master_Mapping_Sheet!$E$2:$E$3143),
Master_Mapping_Sheet!$C$2:$C$3143=AG$1,
Master_Mapping_Sheet!$M$2:$M$3143=VALUE(R"&amp;"IGHT($A2,1))))/sum(filter(
Master_Mapping_Sheet!$E$2:$E$3143, ISNUMBER(
Master_Mapping_Sheet!$E$2:$E$3143),
Master_Mapping_Sheet!$C$2:$C$3143=AG$1)))"),0.0)</f>
        <v>0</v>
      </c>
      <c r="AH2" s="34">
        <f>IFERROR(__xludf.DUMMYFUNCTION("IF(ISNA(sum(filter(
Master_Mapping_Sheet!$E$2:$E$3143, ISNUMBER(
Master_Mapping_Sheet!$E$2:$E$3143),
Master_Mapping_Sheet!$C$2:$C$3143=AH$1,
Master_Mapping_Sheet!$M$2:$M$3143=VALUE(RIGHT($A2,1))))/sum(filter(
Master_Mapping_Sheet!$E$2:$E$3143, ISNUMBER(
M"&amp;"aster_Mapping_Sheet!$E$2:$E$3143),
Master_Mapping_Sheet!$C$2:$C$3143=AH$1))), 0, sum(filter(
Master_Mapping_Sheet!$E$2:$E$3143, ISNUMBER(
Master_Mapping_Sheet!$E$2:$E$3143),
Master_Mapping_Sheet!$C$2:$C$3143=AH$1,
Master_Mapping_Sheet!$M$2:$M$3143=VALUE(R"&amp;"IGHT($A2,1))))/sum(filter(
Master_Mapping_Sheet!$E$2:$E$3143, ISNUMBER(
Master_Mapping_Sheet!$E$2:$E$3143),
Master_Mapping_Sheet!$C$2:$C$3143=AH$1)))"),0.0)</f>
        <v>0</v>
      </c>
      <c r="AI2" s="34">
        <f>IFERROR(__xludf.DUMMYFUNCTION("IF(ISNA(sum(filter(
Master_Mapping_Sheet!$E$2:$E$3143, ISNUMBER(
Master_Mapping_Sheet!$E$2:$E$3143),
Master_Mapping_Sheet!$C$2:$C$3143=AI$1,
Master_Mapping_Sheet!$M$2:$M$3143=VALUE(RIGHT($A2,1))))/sum(filter(
Master_Mapping_Sheet!$E$2:$E$3143, ISNUMBER(
M"&amp;"aster_Mapping_Sheet!$E$2:$E$3143),
Master_Mapping_Sheet!$C$2:$C$3143=AI$1))), 0, sum(filter(
Master_Mapping_Sheet!$E$2:$E$3143, ISNUMBER(
Master_Mapping_Sheet!$E$2:$E$3143),
Master_Mapping_Sheet!$C$2:$C$3143=AI$1,
Master_Mapping_Sheet!$M$2:$M$3143=VALUE(R"&amp;"IGHT($A2,1))))/sum(filter(
Master_Mapping_Sheet!$E$2:$E$3143, ISNUMBER(
Master_Mapping_Sheet!$E$2:$E$3143),
Master_Mapping_Sheet!$C$2:$C$3143=AI$1)))"),0.0)</f>
        <v>0</v>
      </c>
      <c r="AJ2" s="34">
        <f>IFERROR(__xludf.DUMMYFUNCTION("IF(ISNA(sum(filter(
Master_Mapping_Sheet!$E$2:$E$3143, ISNUMBER(
Master_Mapping_Sheet!$E$2:$E$3143),
Master_Mapping_Sheet!$C$2:$C$3143=AJ$1,
Master_Mapping_Sheet!$M$2:$M$3143=VALUE(RIGHT($A2,1))))/sum(filter(
Master_Mapping_Sheet!$E$2:$E$3143, ISNUMBER(
M"&amp;"aster_Mapping_Sheet!$E$2:$E$3143),
Master_Mapping_Sheet!$C$2:$C$3143=AJ$1))), 0, sum(filter(
Master_Mapping_Sheet!$E$2:$E$3143, ISNUMBER(
Master_Mapping_Sheet!$E$2:$E$3143),
Master_Mapping_Sheet!$C$2:$C$3143=AJ$1,
Master_Mapping_Sheet!$M$2:$M$3143=VALUE(R"&amp;"IGHT($A2,1))))/sum(filter(
Master_Mapping_Sheet!$E$2:$E$3143, ISNUMBER(
Master_Mapping_Sheet!$E$2:$E$3143),
Master_Mapping_Sheet!$C$2:$C$3143=AJ$1)))"),0.0)</f>
        <v>0</v>
      </c>
      <c r="AK2" s="34">
        <f>IFERROR(__xludf.DUMMYFUNCTION("IF(ISNA(sum(filter(
Master_Mapping_Sheet!$E$2:$E$3143, ISNUMBER(
Master_Mapping_Sheet!$E$2:$E$3143),
Master_Mapping_Sheet!$C$2:$C$3143=AK$1,
Master_Mapping_Sheet!$M$2:$M$3143=VALUE(RIGHT($A2,1))))/sum(filter(
Master_Mapping_Sheet!$E$2:$E$3143, ISNUMBER(
M"&amp;"aster_Mapping_Sheet!$E$2:$E$3143),
Master_Mapping_Sheet!$C$2:$C$3143=AK$1))), 0, sum(filter(
Master_Mapping_Sheet!$E$2:$E$3143, ISNUMBER(
Master_Mapping_Sheet!$E$2:$E$3143),
Master_Mapping_Sheet!$C$2:$C$3143=AK$1,
Master_Mapping_Sheet!$M$2:$M$3143=VALUE(R"&amp;"IGHT($A2,1))))/sum(filter(
Master_Mapping_Sheet!$E$2:$E$3143, ISNUMBER(
Master_Mapping_Sheet!$E$2:$E$3143),
Master_Mapping_Sheet!$C$2:$C$3143=AK$1)))"),0.0)</f>
        <v>0</v>
      </c>
      <c r="AL2" s="34">
        <f>IFERROR(__xludf.DUMMYFUNCTION("IF(ISNA(sum(filter(
Master_Mapping_Sheet!$E$2:$E$3143, ISNUMBER(
Master_Mapping_Sheet!$E$2:$E$3143),
Master_Mapping_Sheet!$C$2:$C$3143=AL$1,
Master_Mapping_Sheet!$M$2:$M$3143=VALUE(RIGHT($A2,1))))/sum(filter(
Master_Mapping_Sheet!$E$2:$E$3143, ISNUMBER(
M"&amp;"aster_Mapping_Sheet!$E$2:$E$3143),
Master_Mapping_Sheet!$C$2:$C$3143=AL$1))), 0, sum(filter(
Master_Mapping_Sheet!$E$2:$E$3143, ISNUMBER(
Master_Mapping_Sheet!$E$2:$E$3143),
Master_Mapping_Sheet!$C$2:$C$3143=AL$1,
Master_Mapping_Sheet!$M$2:$M$3143=VALUE(R"&amp;"IGHT($A2,1))))/sum(filter(
Master_Mapping_Sheet!$E$2:$E$3143, ISNUMBER(
Master_Mapping_Sheet!$E$2:$E$3143),
Master_Mapping_Sheet!$C$2:$C$3143=AL$1)))"),0.0)</f>
        <v>0</v>
      </c>
      <c r="AM2" s="34">
        <f>IFERROR(__xludf.DUMMYFUNCTION("IF(ISNA(sum(filter(
Master_Mapping_Sheet!$E$2:$E$3143, ISNUMBER(
Master_Mapping_Sheet!$E$2:$E$3143),
Master_Mapping_Sheet!$C$2:$C$3143=AM$1,
Master_Mapping_Sheet!$M$2:$M$3143=VALUE(RIGHT($A2,1))))/sum(filter(
Master_Mapping_Sheet!$E$2:$E$3143, ISNUMBER(
M"&amp;"aster_Mapping_Sheet!$E$2:$E$3143),
Master_Mapping_Sheet!$C$2:$C$3143=AM$1))), 0, sum(filter(
Master_Mapping_Sheet!$E$2:$E$3143, ISNUMBER(
Master_Mapping_Sheet!$E$2:$E$3143),
Master_Mapping_Sheet!$C$2:$C$3143=AM$1,
Master_Mapping_Sheet!$M$2:$M$3143=VALUE(R"&amp;"IGHT($A2,1))))/sum(filter(
Master_Mapping_Sheet!$E$2:$E$3143, ISNUMBER(
Master_Mapping_Sheet!$E$2:$E$3143),
Master_Mapping_Sheet!$C$2:$C$3143=AM$1)))"),0.0)</f>
        <v>0</v>
      </c>
      <c r="AN2" s="34">
        <f>IFERROR(__xludf.DUMMYFUNCTION("IF(ISNA(sum(filter(
Master_Mapping_Sheet!$E$2:$E$3143, ISNUMBER(
Master_Mapping_Sheet!$E$2:$E$3143),
Master_Mapping_Sheet!$C$2:$C$3143=AN$1,
Master_Mapping_Sheet!$M$2:$M$3143=VALUE(RIGHT($A2,1))))/sum(filter(
Master_Mapping_Sheet!$E$2:$E$3143, ISNUMBER(
M"&amp;"aster_Mapping_Sheet!$E$2:$E$3143),
Master_Mapping_Sheet!$C$2:$C$3143=AN$1))), 0, sum(filter(
Master_Mapping_Sheet!$E$2:$E$3143, ISNUMBER(
Master_Mapping_Sheet!$E$2:$E$3143),
Master_Mapping_Sheet!$C$2:$C$3143=AN$1,
Master_Mapping_Sheet!$M$2:$M$3143=VALUE(R"&amp;"IGHT($A2,1))))/sum(filter(
Master_Mapping_Sheet!$E$2:$E$3143, ISNUMBER(
Master_Mapping_Sheet!$E$2:$E$3143),
Master_Mapping_Sheet!$C$2:$C$3143=AN$1)))"),0.0)</f>
        <v>0</v>
      </c>
      <c r="AO2" s="34">
        <f>IFERROR(__xludf.DUMMYFUNCTION("IF(ISNA(sum(filter(
Master_Mapping_Sheet!$E$2:$E$3143, ISNUMBER(
Master_Mapping_Sheet!$E$2:$E$3143),
Master_Mapping_Sheet!$C$2:$C$3143=AO$1,
Master_Mapping_Sheet!$M$2:$M$3143=VALUE(RIGHT($A2,1))))/sum(filter(
Master_Mapping_Sheet!$E$2:$E$3143, ISNUMBER(
M"&amp;"aster_Mapping_Sheet!$E$2:$E$3143),
Master_Mapping_Sheet!$C$2:$C$3143=AO$1))), 0, sum(filter(
Master_Mapping_Sheet!$E$2:$E$3143, ISNUMBER(
Master_Mapping_Sheet!$E$2:$E$3143),
Master_Mapping_Sheet!$C$2:$C$3143=AO$1,
Master_Mapping_Sheet!$M$2:$M$3143=VALUE(R"&amp;"IGHT($A2,1))))/sum(filter(
Master_Mapping_Sheet!$E$2:$E$3143, ISNUMBER(
Master_Mapping_Sheet!$E$2:$E$3143),
Master_Mapping_Sheet!$C$2:$C$3143=AO$1)))"),0.0)</f>
        <v>0</v>
      </c>
      <c r="AP2" s="34">
        <f>IFERROR(__xludf.DUMMYFUNCTION("IF(ISNA(sum(filter(
Master_Mapping_Sheet!$E$2:$E$3143, ISNUMBER(
Master_Mapping_Sheet!$E$2:$E$3143),
Master_Mapping_Sheet!$C$2:$C$3143=AP$1,
Master_Mapping_Sheet!$M$2:$M$3143=VALUE(RIGHT($A2,1))))/sum(filter(
Master_Mapping_Sheet!$E$2:$E$3143, ISNUMBER(
M"&amp;"aster_Mapping_Sheet!$E$2:$E$3143),
Master_Mapping_Sheet!$C$2:$C$3143=AP$1))), 0, sum(filter(
Master_Mapping_Sheet!$E$2:$E$3143, ISNUMBER(
Master_Mapping_Sheet!$E$2:$E$3143),
Master_Mapping_Sheet!$C$2:$C$3143=AP$1,
Master_Mapping_Sheet!$M$2:$M$3143=VALUE(R"&amp;"IGHT($A2,1))))/sum(filter(
Master_Mapping_Sheet!$E$2:$E$3143, ISNUMBER(
Master_Mapping_Sheet!$E$2:$E$3143),
Master_Mapping_Sheet!$C$2:$C$3143=AP$1)))"),0.0)</f>
        <v>0</v>
      </c>
      <c r="AQ2" s="34">
        <f>IFERROR(__xludf.DUMMYFUNCTION("IF(ISNA(sum(filter(
Master_Mapping_Sheet!$E$2:$E$3143, ISNUMBER(
Master_Mapping_Sheet!$E$2:$E$3143),
Master_Mapping_Sheet!$C$2:$C$3143=AQ$1,
Master_Mapping_Sheet!$M$2:$M$3143=VALUE(RIGHT($A2,1))))/sum(filter(
Master_Mapping_Sheet!$E$2:$E$3143, ISNUMBER(
M"&amp;"aster_Mapping_Sheet!$E$2:$E$3143),
Master_Mapping_Sheet!$C$2:$C$3143=AQ$1))), 0, sum(filter(
Master_Mapping_Sheet!$E$2:$E$3143, ISNUMBER(
Master_Mapping_Sheet!$E$2:$E$3143),
Master_Mapping_Sheet!$C$2:$C$3143=AQ$1,
Master_Mapping_Sheet!$M$2:$M$3143=VALUE(R"&amp;"IGHT($A2,1))))/sum(filter(
Master_Mapping_Sheet!$E$2:$E$3143, ISNUMBER(
Master_Mapping_Sheet!$E$2:$E$3143),
Master_Mapping_Sheet!$C$2:$C$3143=AQ$1)))"),0.0)</f>
        <v>0</v>
      </c>
      <c r="AR2" s="34">
        <f>IFERROR(__xludf.DUMMYFUNCTION("IF(ISNA(sum(filter(
Master_Mapping_Sheet!$E$2:$E$3143, ISNUMBER(
Master_Mapping_Sheet!$E$2:$E$3143),
Master_Mapping_Sheet!$C$2:$C$3143=AR$1,
Master_Mapping_Sheet!$M$2:$M$3143=VALUE(RIGHT($A2,1))))/sum(filter(
Master_Mapping_Sheet!$E$2:$E$3143, ISNUMBER(
M"&amp;"aster_Mapping_Sheet!$E$2:$E$3143),
Master_Mapping_Sheet!$C$2:$C$3143=AR$1))), 0, sum(filter(
Master_Mapping_Sheet!$E$2:$E$3143, ISNUMBER(
Master_Mapping_Sheet!$E$2:$E$3143),
Master_Mapping_Sheet!$C$2:$C$3143=AR$1,
Master_Mapping_Sheet!$M$2:$M$3143=VALUE(R"&amp;"IGHT($A2,1))))/sum(filter(
Master_Mapping_Sheet!$E$2:$E$3143, ISNUMBER(
Master_Mapping_Sheet!$E$2:$E$3143),
Master_Mapping_Sheet!$C$2:$C$3143=AR$1)))"),0.0)</f>
        <v>0</v>
      </c>
      <c r="AS2" s="34">
        <f>IFERROR(__xludf.DUMMYFUNCTION("IF(ISNA(sum(filter(
Master_Mapping_Sheet!$E$2:$E$3143, ISNUMBER(
Master_Mapping_Sheet!$E$2:$E$3143),
Master_Mapping_Sheet!$C$2:$C$3143=AS$1,
Master_Mapping_Sheet!$M$2:$M$3143=VALUE(RIGHT($A2,1))))/sum(filter(
Master_Mapping_Sheet!$E$2:$E$3143, ISNUMBER(
M"&amp;"aster_Mapping_Sheet!$E$2:$E$3143),
Master_Mapping_Sheet!$C$2:$C$3143=AS$1))), 0, sum(filter(
Master_Mapping_Sheet!$E$2:$E$3143, ISNUMBER(
Master_Mapping_Sheet!$E$2:$E$3143),
Master_Mapping_Sheet!$C$2:$C$3143=AS$1,
Master_Mapping_Sheet!$M$2:$M$3143=VALUE(R"&amp;"IGHT($A2,1))))/sum(filter(
Master_Mapping_Sheet!$E$2:$E$3143, ISNUMBER(
Master_Mapping_Sheet!$E$2:$E$3143),
Master_Mapping_Sheet!$C$2:$C$3143=AS$1)))"),0.0)</f>
        <v>0</v>
      </c>
      <c r="AT2" s="34">
        <f>IFERROR(__xludf.DUMMYFUNCTION("IF(ISNA(sum(filter(
Master_Mapping_Sheet!$E$2:$E$3143, ISNUMBER(
Master_Mapping_Sheet!$E$2:$E$3143),
Master_Mapping_Sheet!$C$2:$C$3143=AT$1,
Master_Mapping_Sheet!$M$2:$M$3143=VALUE(RIGHT($A2,1))))/sum(filter(
Master_Mapping_Sheet!$E$2:$E$3143, ISNUMBER(
M"&amp;"aster_Mapping_Sheet!$E$2:$E$3143),
Master_Mapping_Sheet!$C$2:$C$3143=AT$1))), 0, sum(filter(
Master_Mapping_Sheet!$E$2:$E$3143, ISNUMBER(
Master_Mapping_Sheet!$E$2:$E$3143),
Master_Mapping_Sheet!$C$2:$C$3143=AT$1,
Master_Mapping_Sheet!$M$2:$M$3143=VALUE(R"&amp;"IGHT($A2,1))))/sum(filter(
Master_Mapping_Sheet!$E$2:$E$3143, ISNUMBER(
Master_Mapping_Sheet!$E$2:$E$3143),
Master_Mapping_Sheet!$C$2:$C$3143=AT$1)))"),0.0)</f>
        <v>0</v>
      </c>
      <c r="AU2" s="34">
        <f>IFERROR(__xludf.DUMMYFUNCTION("IF(ISNA(sum(filter(
Master_Mapping_Sheet!$E$2:$E$3143, ISNUMBER(
Master_Mapping_Sheet!$E$2:$E$3143),
Master_Mapping_Sheet!$C$2:$C$3143=AU$1,
Master_Mapping_Sheet!$M$2:$M$3143=VALUE(RIGHT($A2,1))))/sum(filter(
Master_Mapping_Sheet!$E$2:$E$3143, ISNUMBER(
M"&amp;"aster_Mapping_Sheet!$E$2:$E$3143),
Master_Mapping_Sheet!$C$2:$C$3143=AU$1))), 0, sum(filter(
Master_Mapping_Sheet!$E$2:$E$3143, ISNUMBER(
Master_Mapping_Sheet!$E$2:$E$3143),
Master_Mapping_Sheet!$C$2:$C$3143=AU$1,
Master_Mapping_Sheet!$M$2:$M$3143=VALUE(R"&amp;"IGHT($A2,1))))/sum(filter(
Master_Mapping_Sheet!$E$2:$E$3143, ISNUMBER(
Master_Mapping_Sheet!$E$2:$E$3143),
Master_Mapping_Sheet!$C$2:$C$3143=AU$1)))"),0.0)</f>
        <v>0</v>
      </c>
      <c r="AV2" s="34">
        <f>IFERROR(__xludf.DUMMYFUNCTION("IF(ISNA(sum(filter(
Master_Mapping_Sheet!$E$2:$E$3143, ISNUMBER(
Master_Mapping_Sheet!$E$2:$E$3143),
Master_Mapping_Sheet!$C$2:$C$3143=AV$1,
Master_Mapping_Sheet!$M$2:$M$3143=VALUE(RIGHT($A2,1))))/sum(filter(
Master_Mapping_Sheet!$E$2:$E$3143, ISNUMBER(
M"&amp;"aster_Mapping_Sheet!$E$2:$E$3143),
Master_Mapping_Sheet!$C$2:$C$3143=AV$1))), 0, sum(filter(
Master_Mapping_Sheet!$E$2:$E$3143, ISNUMBER(
Master_Mapping_Sheet!$E$2:$E$3143),
Master_Mapping_Sheet!$C$2:$C$3143=AV$1,
Master_Mapping_Sheet!$M$2:$M$3143=VALUE(R"&amp;"IGHT($A2,1))))/sum(filter(
Master_Mapping_Sheet!$E$2:$E$3143, ISNUMBER(
Master_Mapping_Sheet!$E$2:$E$3143),
Master_Mapping_Sheet!$C$2:$C$3143=AV$1)))"),0.0)</f>
        <v>0</v>
      </c>
      <c r="AW2" s="34">
        <f>IFERROR(__xludf.DUMMYFUNCTION("IF(ISNA(sum(filter(
Master_Mapping_Sheet!$E$2:$E$3143, ISNUMBER(
Master_Mapping_Sheet!$E$2:$E$3143),
Master_Mapping_Sheet!$C$2:$C$3143=AW$1,
Master_Mapping_Sheet!$M$2:$M$3143=VALUE(RIGHT($A2,1))))/sum(filter(
Master_Mapping_Sheet!$E$2:$E$3143, ISNUMBER(
M"&amp;"aster_Mapping_Sheet!$E$2:$E$3143),
Master_Mapping_Sheet!$C$2:$C$3143=AW$1))), 0, sum(filter(
Master_Mapping_Sheet!$E$2:$E$3143, ISNUMBER(
Master_Mapping_Sheet!$E$2:$E$3143),
Master_Mapping_Sheet!$C$2:$C$3143=AW$1,
Master_Mapping_Sheet!$M$2:$M$3143=VALUE(R"&amp;"IGHT($A2,1))))/sum(filter(
Master_Mapping_Sheet!$E$2:$E$3143, ISNUMBER(
Master_Mapping_Sheet!$E$2:$E$3143),
Master_Mapping_Sheet!$C$2:$C$3143=AW$1)))"),0.0)</f>
        <v>0</v>
      </c>
      <c r="AX2" s="34">
        <f>IFERROR(__xludf.DUMMYFUNCTION("IF(ISNA(sum(filter(
Master_Mapping_Sheet!$E$2:$E$3143, ISNUMBER(
Master_Mapping_Sheet!$E$2:$E$3143),
Master_Mapping_Sheet!$C$2:$C$3143=AX$1,
Master_Mapping_Sheet!$M$2:$M$3143=VALUE(RIGHT($A2,1))))/sum(filter(
Master_Mapping_Sheet!$E$2:$E$3143, ISNUMBER(
M"&amp;"aster_Mapping_Sheet!$E$2:$E$3143),
Master_Mapping_Sheet!$C$2:$C$3143=AX$1))), 0, sum(filter(
Master_Mapping_Sheet!$E$2:$E$3143, ISNUMBER(
Master_Mapping_Sheet!$E$2:$E$3143),
Master_Mapping_Sheet!$C$2:$C$3143=AX$1,
Master_Mapping_Sheet!$M$2:$M$3143=VALUE(R"&amp;"IGHT($A2,1))))/sum(filter(
Master_Mapping_Sheet!$E$2:$E$3143, ISNUMBER(
Master_Mapping_Sheet!$E$2:$E$3143),
Master_Mapping_Sheet!$C$2:$C$3143=AX$1)))"),0.0)</f>
        <v>0</v>
      </c>
      <c r="AY2" s="34">
        <f>IFERROR(__xludf.DUMMYFUNCTION("IF(ISNA(sum(filter(
Master_Mapping_Sheet!$E$2:$E$3143, ISNUMBER(
Master_Mapping_Sheet!$E$2:$E$3143),
Master_Mapping_Sheet!$C$2:$C$3143=AY$1,
Master_Mapping_Sheet!$M$2:$M$3143=VALUE(RIGHT($A2,1))))/sum(filter(
Master_Mapping_Sheet!$E$2:$E$3143, ISNUMBER(
M"&amp;"aster_Mapping_Sheet!$E$2:$E$3143),
Master_Mapping_Sheet!$C$2:$C$3143=AY$1))), 0, sum(filter(
Master_Mapping_Sheet!$E$2:$E$3143, ISNUMBER(
Master_Mapping_Sheet!$E$2:$E$3143),
Master_Mapping_Sheet!$C$2:$C$3143=AY$1,
Master_Mapping_Sheet!$M$2:$M$3143=VALUE(R"&amp;"IGHT($A2,1))))/sum(filter(
Master_Mapping_Sheet!$E$2:$E$3143, ISNUMBER(
Master_Mapping_Sheet!$E$2:$E$3143),
Master_Mapping_Sheet!$C$2:$C$3143=AY$1)))"),0.0)</f>
        <v>0</v>
      </c>
      <c r="AZ2" s="34">
        <f>IFERROR(__xludf.DUMMYFUNCTION("IF(ISNA(sum(filter(
Master_Mapping_Sheet!$E$2:$E$3143, ISNUMBER(
Master_Mapping_Sheet!$E$2:$E$3143),
Master_Mapping_Sheet!$C$2:$C$3143=AZ$1,
Master_Mapping_Sheet!$M$2:$M$3143=VALUE(RIGHT($A2,1))))/sum(filter(
Master_Mapping_Sheet!$E$2:$E$3143, ISNUMBER(
M"&amp;"aster_Mapping_Sheet!$E$2:$E$3143),
Master_Mapping_Sheet!$C$2:$C$3143=AZ$1))), 0, sum(filter(
Master_Mapping_Sheet!$E$2:$E$3143, ISNUMBER(
Master_Mapping_Sheet!$E$2:$E$3143),
Master_Mapping_Sheet!$C$2:$C$3143=AZ$1,
Master_Mapping_Sheet!$M$2:$M$3143=VALUE(R"&amp;"IGHT($A2,1))))/sum(filter(
Master_Mapping_Sheet!$E$2:$E$3143, ISNUMBER(
Master_Mapping_Sheet!$E$2:$E$3143),
Master_Mapping_Sheet!$C$2:$C$3143=AZ$1)))"),0.0)</f>
        <v>0</v>
      </c>
    </row>
    <row r="3" ht="15.75" customHeight="1">
      <c r="A3" s="45" t="s">
        <v>4252</v>
      </c>
      <c r="B3" s="34">
        <f>IFERROR(__xludf.DUMMYFUNCTION("IF(ISNA(sum(filter(
Master_Mapping_Sheet!$E$2:$E$3143, ISNUMBER(
Master_Mapping_Sheet!$E$2:$E$3143),
Master_Mapping_Sheet!$C$2:$C$3143=B$1,
Master_Mapping_Sheet!$M$2:$M$3143=VALUE(RIGHT($A3,1))))/sum(filter(
Master_Mapping_Sheet!$E$2:$E$3143, ISNUMBER(
Ma"&amp;"ster_Mapping_Sheet!$E$2:$E$3143),
Master_Mapping_Sheet!$C$2:$C$3143=B$1))), 0, sum(filter(
Master_Mapping_Sheet!$E$2:$E$3143, ISNUMBER(
Master_Mapping_Sheet!$E$2:$E$3143),
Master_Mapping_Sheet!$C$2:$C$3143=B$1,
Master_Mapping_Sheet!$M$2:$M$3143=VALUE(RIGH"&amp;"T($A3,1))))/sum(filter(
Master_Mapping_Sheet!$E$2:$E$3143, ISNUMBER(
Master_Mapping_Sheet!$E$2:$E$3143),
Master_Mapping_Sheet!$C$2:$C$3143=B$1)))"),0.13020478938108254)</f>
        <v>0.1302047894</v>
      </c>
      <c r="C3" s="34">
        <f>IFERROR(__xludf.DUMMYFUNCTION("IF(ISNA(sum(filter(
Master_Mapping_Sheet!$E$2:$E$3143, ISNUMBER(
Master_Mapping_Sheet!$E$2:$E$3143),
Master_Mapping_Sheet!$C$2:$C$3143=C$1,
Master_Mapping_Sheet!$M$2:$M$3143=VALUE(RIGHT($A3,1))))/sum(filter(
Master_Mapping_Sheet!$E$2:$E$3143, ISNUMBER(
Ma"&amp;"ster_Mapping_Sheet!$E$2:$E$3143),
Master_Mapping_Sheet!$C$2:$C$3143=C$1))), 0, sum(filter(
Master_Mapping_Sheet!$E$2:$E$3143, ISNUMBER(
Master_Mapping_Sheet!$E$2:$E$3143),
Master_Mapping_Sheet!$C$2:$C$3143=C$1,
Master_Mapping_Sheet!$M$2:$M$3143=VALUE(RIGH"&amp;"T($A3,1))))/sum(filter(
Master_Mapping_Sheet!$E$2:$E$3143, ISNUMBER(
Master_Mapping_Sheet!$E$2:$E$3143),
Master_Mapping_Sheet!$C$2:$C$3143=C$1)))"),0.0)</f>
        <v>0</v>
      </c>
      <c r="D3" s="34">
        <f>IFERROR(__xludf.DUMMYFUNCTION("IF(ISNA(sum(filter(
Master_Mapping_Sheet!$E$2:$E$3143, ISNUMBER(
Master_Mapping_Sheet!$E$2:$E$3143),
Master_Mapping_Sheet!$C$2:$C$3143=D$1,
Master_Mapping_Sheet!$M$2:$M$3143=VALUE(RIGHT($A3,1))))/sum(filter(
Master_Mapping_Sheet!$E$2:$E$3143, ISNUMBER(
Ma"&amp;"ster_Mapping_Sheet!$E$2:$E$3143),
Master_Mapping_Sheet!$C$2:$C$3143=D$1))), 0, sum(filter(
Master_Mapping_Sheet!$E$2:$E$3143, ISNUMBER(
Master_Mapping_Sheet!$E$2:$E$3143),
Master_Mapping_Sheet!$C$2:$C$3143=D$1,
Master_Mapping_Sheet!$M$2:$M$3143=VALUE(RIGH"&amp;"T($A3,1))))/sum(filter(
Master_Mapping_Sheet!$E$2:$E$3143, ISNUMBER(
Master_Mapping_Sheet!$E$2:$E$3143),
Master_Mapping_Sheet!$C$2:$C$3143=D$1)))"),0.8562654346239388)</f>
        <v>0.8562654346</v>
      </c>
      <c r="E3" s="34">
        <f>IFERROR(__xludf.DUMMYFUNCTION("IF(ISNA(sum(filter(
Master_Mapping_Sheet!$E$2:$E$3143, ISNUMBER(
Master_Mapping_Sheet!$E$2:$E$3143),
Master_Mapping_Sheet!$C$2:$C$3143=E$1,
Master_Mapping_Sheet!$M$2:$M$3143=VALUE(RIGHT($A3,1))))/sum(filter(
Master_Mapping_Sheet!$E$2:$E$3143, ISNUMBER(
Ma"&amp;"ster_Mapping_Sheet!$E$2:$E$3143),
Master_Mapping_Sheet!$C$2:$C$3143=E$1))), 0, sum(filter(
Master_Mapping_Sheet!$E$2:$E$3143, ISNUMBER(
Master_Mapping_Sheet!$E$2:$E$3143),
Master_Mapping_Sheet!$C$2:$C$3143=E$1,
Master_Mapping_Sheet!$M$2:$M$3143=VALUE(RIGH"&amp;"T($A3,1))))/sum(filter(
Master_Mapping_Sheet!$E$2:$E$3143, ISNUMBER(
Master_Mapping_Sheet!$E$2:$E$3143),
Master_Mapping_Sheet!$C$2:$C$3143=E$1)))"),0.0)</f>
        <v>0</v>
      </c>
      <c r="F3" s="34">
        <f>IFERROR(__xludf.DUMMYFUNCTION("IF(ISNA(sum(filter(
Master_Mapping_Sheet!$E$2:$E$3143, ISNUMBER(
Master_Mapping_Sheet!$E$2:$E$3143),
Master_Mapping_Sheet!$C$2:$C$3143=F$1,
Master_Mapping_Sheet!$M$2:$M$3143=VALUE(RIGHT($A3,1))))/sum(filter(
Master_Mapping_Sheet!$E$2:$E$3143, ISNUMBER(
Ma"&amp;"ster_Mapping_Sheet!$E$2:$E$3143),
Master_Mapping_Sheet!$C$2:$C$3143=F$1))), 0, sum(filter(
Master_Mapping_Sheet!$E$2:$E$3143, ISNUMBER(
Master_Mapping_Sheet!$E$2:$E$3143),
Master_Mapping_Sheet!$C$2:$C$3143=F$1,
Master_Mapping_Sheet!$M$2:$M$3143=VALUE(RIGH"&amp;"T($A3,1))))/sum(filter(
Master_Mapping_Sheet!$E$2:$E$3143, ISNUMBER(
Master_Mapping_Sheet!$E$2:$E$3143),
Master_Mapping_Sheet!$C$2:$C$3143=F$1)))"),0.004595306380235304)</f>
        <v>0.00459530638</v>
      </c>
      <c r="G3" s="34">
        <f>IFERROR(__xludf.DUMMYFUNCTION("IF(ISNA(sum(filter(
Master_Mapping_Sheet!$E$2:$E$3143, ISNUMBER(
Master_Mapping_Sheet!$E$2:$E$3143),
Master_Mapping_Sheet!$C$2:$C$3143=G$1,
Master_Mapping_Sheet!$M$2:$M$3143=VALUE(RIGHT($A3,1))))/sum(filter(
Master_Mapping_Sheet!$E$2:$E$3143, ISNUMBER(
Ma"&amp;"ster_Mapping_Sheet!$E$2:$E$3143),
Master_Mapping_Sheet!$C$2:$C$3143=G$1))), 0, sum(filter(
Master_Mapping_Sheet!$E$2:$E$3143, ISNUMBER(
Master_Mapping_Sheet!$E$2:$E$3143),
Master_Mapping_Sheet!$C$2:$C$3143=G$1,
Master_Mapping_Sheet!$M$2:$M$3143=VALUE(RIGH"&amp;"T($A3,1))))/sum(filter(
Master_Mapping_Sheet!$E$2:$E$3143, ISNUMBER(
Master_Mapping_Sheet!$E$2:$E$3143),
Master_Mapping_Sheet!$C$2:$C$3143=G$1)))"),0.0)</f>
        <v>0</v>
      </c>
      <c r="H3" s="34">
        <f>IFERROR(__xludf.DUMMYFUNCTION("IF(ISNA(sum(filter(
Master_Mapping_Sheet!$E$2:$E$3143, ISNUMBER(
Master_Mapping_Sheet!$E$2:$E$3143),
Master_Mapping_Sheet!$C$2:$C$3143=H$1,
Master_Mapping_Sheet!$M$2:$M$3143=VALUE(RIGHT($A3,1))))/sum(filter(
Master_Mapping_Sheet!$E$2:$E$3143, ISNUMBER(
Ma"&amp;"ster_Mapping_Sheet!$E$2:$E$3143),
Master_Mapping_Sheet!$C$2:$C$3143=H$1))), 0, sum(filter(
Master_Mapping_Sheet!$E$2:$E$3143, ISNUMBER(
Master_Mapping_Sheet!$E$2:$E$3143),
Master_Mapping_Sheet!$C$2:$C$3143=H$1,
Master_Mapping_Sheet!$M$2:$M$3143=VALUE(RIGH"&amp;"T($A3,1))))/sum(filter(
Master_Mapping_Sheet!$E$2:$E$3143, ISNUMBER(
Master_Mapping_Sheet!$E$2:$E$3143),
Master_Mapping_Sheet!$C$2:$C$3143=H$1)))"),0.0)</f>
        <v>0</v>
      </c>
      <c r="I3" s="34">
        <f>IFERROR(__xludf.DUMMYFUNCTION("IF(ISNA(sum(filter(
Master_Mapping_Sheet!$E$2:$E$3143, ISNUMBER(
Master_Mapping_Sheet!$E$2:$E$3143),
Master_Mapping_Sheet!$C$2:$C$3143=I$1,
Master_Mapping_Sheet!$M$2:$M$3143=VALUE(RIGHT($A3,1))))/sum(filter(
Master_Mapping_Sheet!$E$2:$E$3143, ISNUMBER(
Ma"&amp;"ster_Mapping_Sheet!$E$2:$E$3143),
Master_Mapping_Sheet!$C$2:$C$3143=I$1))), 0, sum(filter(
Master_Mapping_Sheet!$E$2:$E$3143, ISNUMBER(
Master_Mapping_Sheet!$E$2:$E$3143),
Master_Mapping_Sheet!$C$2:$C$3143=I$1,
Master_Mapping_Sheet!$M$2:$M$3143=VALUE(RIGH"&amp;"T($A3,1))))/sum(filter(
Master_Mapping_Sheet!$E$2:$E$3143, ISNUMBER(
Master_Mapping_Sheet!$E$2:$E$3143),
Master_Mapping_Sheet!$C$2:$C$3143=I$1)))"),0.0)</f>
        <v>0</v>
      </c>
      <c r="J3" s="34">
        <f>IFERROR(__xludf.DUMMYFUNCTION("IF(ISNA(sum(filter(
Master_Mapping_Sheet!$E$2:$E$3143, ISNUMBER(
Master_Mapping_Sheet!$E$2:$E$3143),
Master_Mapping_Sheet!$C$2:$C$3143=J$1,
Master_Mapping_Sheet!$M$2:$M$3143=VALUE(RIGHT($A3,1))))/sum(filter(
Master_Mapping_Sheet!$E$2:$E$3143, ISNUMBER(
Ma"&amp;"ster_Mapping_Sheet!$E$2:$E$3143),
Master_Mapping_Sheet!$C$2:$C$3143=J$1))), 0, sum(filter(
Master_Mapping_Sheet!$E$2:$E$3143, ISNUMBER(
Master_Mapping_Sheet!$E$2:$E$3143),
Master_Mapping_Sheet!$C$2:$C$3143=J$1,
Master_Mapping_Sheet!$M$2:$M$3143=VALUE(RIGH"&amp;"T($A3,1))))/sum(filter(
Master_Mapping_Sheet!$E$2:$E$3143, ISNUMBER(
Master_Mapping_Sheet!$E$2:$E$3143),
Master_Mapping_Sheet!$C$2:$C$3143=J$1)))"),0.0)</f>
        <v>0</v>
      </c>
      <c r="K3" s="34">
        <f>IFERROR(__xludf.DUMMYFUNCTION("IF(ISNA(sum(filter(
Master_Mapping_Sheet!$E$2:$E$3143, ISNUMBER(
Master_Mapping_Sheet!$E$2:$E$3143),
Master_Mapping_Sheet!$C$2:$C$3143=K$1,
Master_Mapping_Sheet!$M$2:$M$3143=VALUE(RIGHT($A3,1))))/sum(filter(
Master_Mapping_Sheet!$E$2:$E$3143, ISNUMBER(
Ma"&amp;"ster_Mapping_Sheet!$E$2:$E$3143),
Master_Mapping_Sheet!$C$2:$C$3143=K$1))), 0, sum(filter(
Master_Mapping_Sheet!$E$2:$E$3143, ISNUMBER(
Master_Mapping_Sheet!$E$2:$E$3143),
Master_Mapping_Sheet!$C$2:$C$3143=K$1,
Master_Mapping_Sheet!$M$2:$M$3143=VALUE(RIGH"&amp;"T($A3,1))))/sum(filter(
Master_Mapping_Sheet!$E$2:$E$3143, ISNUMBER(
Master_Mapping_Sheet!$E$2:$E$3143),
Master_Mapping_Sheet!$C$2:$C$3143=K$1)))"),0.790806717130622)</f>
        <v>0.7908067171</v>
      </c>
      <c r="L3" s="34">
        <f>IFERROR(__xludf.DUMMYFUNCTION("IF(ISNA(sum(filter(
Master_Mapping_Sheet!$E$2:$E$3143, ISNUMBER(
Master_Mapping_Sheet!$E$2:$E$3143),
Master_Mapping_Sheet!$C$2:$C$3143=L$1,
Master_Mapping_Sheet!$M$2:$M$3143=VALUE(RIGHT($A3,1))))/sum(filter(
Master_Mapping_Sheet!$E$2:$E$3143, ISNUMBER(
Ma"&amp;"ster_Mapping_Sheet!$E$2:$E$3143),
Master_Mapping_Sheet!$C$2:$C$3143=L$1))), 0, sum(filter(
Master_Mapping_Sheet!$E$2:$E$3143, ISNUMBER(
Master_Mapping_Sheet!$E$2:$E$3143),
Master_Mapping_Sheet!$C$2:$C$3143=L$1,
Master_Mapping_Sheet!$M$2:$M$3143=VALUE(RIGH"&amp;"T($A3,1))))/sum(filter(
Master_Mapping_Sheet!$E$2:$E$3143, ISNUMBER(
Master_Mapping_Sheet!$E$2:$E$3143),
Master_Mapping_Sheet!$C$2:$C$3143=L$1)))"),0.11638068560924533)</f>
        <v>0.1163806856</v>
      </c>
      <c r="M3" s="34">
        <f>IFERROR(__xludf.DUMMYFUNCTION("IF(ISNA(sum(filter(
Master_Mapping_Sheet!$E$2:$E$3143, ISNUMBER(
Master_Mapping_Sheet!$E$2:$E$3143),
Master_Mapping_Sheet!$C$2:$C$3143=M$1,
Master_Mapping_Sheet!$M$2:$M$3143=VALUE(RIGHT($A3,1))))/sum(filter(
Master_Mapping_Sheet!$E$2:$E$3143, ISNUMBER(
Ma"&amp;"ster_Mapping_Sheet!$E$2:$E$3143),
Master_Mapping_Sheet!$C$2:$C$3143=M$1))), 0, sum(filter(
Master_Mapping_Sheet!$E$2:$E$3143, ISNUMBER(
Master_Mapping_Sheet!$E$2:$E$3143),
Master_Mapping_Sheet!$C$2:$C$3143=M$1,
Master_Mapping_Sheet!$M$2:$M$3143=VALUE(RIGH"&amp;"T($A3,1))))/sum(filter(
Master_Mapping_Sheet!$E$2:$E$3143, ISNUMBER(
Master_Mapping_Sheet!$E$2:$E$3143),
Master_Mapping_Sheet!$C$2:$C$3143=M$1)))"),0.0)</f>
        <v>0</v>
      </c>
      <c r="N3" s="34">
        <f>IFERROR(__xludf.DUMMYFUNCTION("IF(ISNA(sum(filter(
Master_Mapping_Sheet!$E$2:$E$3143, ISNUMBER(
Master_Mapping_Sheet!$E$2:$E$3143),
Master_Mapping_Sheet!$C$2:$C$3143=N$1,
Master_Mapping_Sheet!$M$2:$M$3143=VALUE(RIGHT($A3,1))))/sum(filter(
Master_Mapping_Sheet!$E$2:$E$3143, ISNUMBER(
Ma"&amp;"ster_Mapping_Sheet!$E$2:$E$3143),
Master_Mapping_Sheet!$C$2:$C$3143=N$1))), 0, sum(filter(
Master_Mapping_Sheet!$E$2:$E$3143, ISNUMBER(
Master_Mapping_Sheet!$E$2:$E$3143),
Master_Mapping_Sheet!$C$2:$C$3143=N$1,
Master_Mapping_Sheet!$M$2:$M$3143=VALUE(RIGH"&amp;"T($A3,1))))/sum(filter(
Master_Mapping_Sheet!$E$2:$E$3143, ISNUMBER(
Master_Mapping_Sheet!$E$2:$E$3143),
Master_Mapping_Sheet!$C$2:$C$3143=N$1)))"),0.0)</f>
        <v>0</v>
      </c>
      <c r="O3" s="34">
        <f>IFERROR(__xludf.DUMMYFUNCTION("IF(ISNA(sum(filter(
Master_Mapping_Sheet!$E$2:$E$3143, ISNUMBER(
Master_Mapping_Sheet!$E$2:$E$3143),
Master_Mapping_Sheet!$C$2:$C$3143=O$1,
Master_Mapping_Sheet!$M$2:$M$3143=VALUE(RIGHT($A3,1))))/sum(filter(
Master_Mapping_Sheet!$E$2:$E$3143, ISNUMBER(
Ma"&amp;"ster_Mapping_Sheet!$E$2:$E$3143),
Master_Mapping_Sheet!$C$2:$C$3143=O$1))), 0, sum(filter(
Master_Mapping_Sheet!$E$2:$E$3143, ISNUMBER(
Master_Mapping_Sheet!$E$2:$E$3143),
Master_Mapping_Sheet!$C$2:$C$3143=O$1,
Master_Mapping_Sheet!$M$2:$M$3143=VALUE(RIGH"&amp;"T($A3,1))))/sum(filter(
Master_Mapping_Sheet!$E$2:$E$3143, ISNUMBER(
Master_Mapping_Sheet!$E$2:$E$3143),
Master_Mapping_Sheet!$C$2:$C$3143=O$1)))"),0.0)</f>
        <v>0</v>
      </c>
      <c r="P3" s="34">
        <f>IFERROR(__xludf.DUMMYFUNCTION("IF(ISNA(sum(filter(
Master_Mapping_Sheet!$E$2:$E$3143, ISNUMBER(
Master_Mapping_Sheet!$E$2:$E$3143),
Master_Mapping_Sheet!$C$2:$C$3143=P$1,
Master_Mapping_Sheet!$M$2:$M$3143=VALUE(RIGHT($A3,1))))/sum(filter(
Master_Mapping_Sheet!$E$2:$E$3143, ISNUMBER(
Ma"&amp;"ster_Mapping_Sheet!$E$2:$E$3143),
Master_Mapping_Sheet!$C$2:$C$3143=P$1))), 0, sum(filter(
Master_Mapping_Sheet!$E$2:$E$3143, ISNUMBER(
Master_Mapping_Sheet!$E$2:$E$3143),
Master_Mapping_Sheet!$C$2:$C$3143=P$1,
Master_Mapping_Sheet!$M$2:$M$3143=VALUE(RIGH"&amp;"T($A3,1))))/sum(filter(
Master_Mapping_Sheet!$E$2:$E$3143, ISNUMBER(
Master_Mapping_Sheet!$E$2:$E$3143),
Master_Mapping_Sheet!$C$2:$C$3143=P$1)))"),0.0)</f>
        <v>0</v>
      </c>
      <c r="Q3" s="34">
        <f>IFERROR(__xludf.DUMMYFUNCTION("IF(ISNA(sum(filter(
Master_Mapping_Sheet!$E$2:$E$3143, ISNUMBER(
Master_Mapping_Sheet!$E$2:$E$3143),
Master_Mapping_Sheet!$C$2:$C$3143=Q$1,
Master_Mapping_Sheet!$M$2:$M$3143=VALUE(RIGHT($A3,1))))/sum(filter(
Master_Mapping_Sheet!$E$2:$E$3143, ISNUMBER(
Ma"&amp;"ster_Mapping_Sheet!$E$2:$E$3143),
Master_Mapping_Sheet!$C$2:$C$3143=Q$1))), 0, sum(filter(
Master_Mapping_Sheet!$E$2:$E$3143, ISNUMBER(
Master_Mapping_Sheet!$E$2:$E$3143),
Master_Mapping_Sheet!$C$2:$C$3143=Q$1,
Master_Mapping_Sheet!$M$2:$M$3143=VALUE(RIGH"&amp;"T($A3,1))))/sum(filter(
Master_Mapping_Sheet!$E$2:$E$3143, ISNUMBER(
Master_Mapping_Sheet!$E$2:$E$3143),
Master_Mapping_Sheet!$C$2:$C$3143=Q$1)))"),0.0)</f>
        <v>0</v>
      </c>
      <c r="R3" s="34">
        <f>IFERROR(__xludf.DUMMYFUNCTION("IF(ISNA(sum(filter(
Master_Mapping_Sheet!$E$2:$E$3143, ISNUMBER(
Master_Mapping_Sheet!$E$2:$E$3143),
Master_Mapping_Sheet!$C$2:$C$3143=R$1,
Master_Mapping_Sheet!$M$2:$M$3143=VALUE(RIGHT($A3,1))))/sum(filter(
Master_Mapping_Sheet!$E$2:$E$3143, ISNUMBER(
Ma"&amp;"ster_Mapping_Sheet!$E$2:$E$3143),
Master_Mapping_Sheet!$C$2:$C$3143=R$1))), 0, sum(filter(
Master_Mapping_Sheet!$E$2:$E$3143, ISNUMBER(
Master_Mapping_Sheet!$E$2:$E$3143),
Master_Mapping_Sheet!$C$2:$C$3143=R$1,
Master_Mapping_Sheet!$M$2:$M$3143=VALUE(RIGH"&amp;"T($A3,1))))/sum(filter(
Master_Mapping_Sheet!$E$2:$E$3143, ISNUMBER(
Master_Mapping_Sheet!$E$2:$E$3143),
Master_Mapping_Sheet!$C$2:$C$3143=R$1)))"),0.0)</f>
        <v>0</v>
      </c>
      <c r="S3" s="34">
        <f>IFERROR(__xludf.DUMMYFUNCTION("IF(ISNA(sum(filter(
Master_Mapping_Sheet!$E$2:$E$3143, ISNUMBER(
Master_Mapping_Sheet!$E$2:$E$3143),
Master_Mapping_Sheet!$C$2:$C$3143=S$1,
Master_Mapping_Sheet!$M$2:$M$3143=VALUE(RIGHT($A3,1))))/sum(filter(
Master_Mapping_Sheet!$E$2:$E$3143, ISNUMBER(
Ma"&amp;"ster_Mapping_Sheet!$E$2:$E$3143),
Master_Mapping_Sheet!$C$2:$C$3143=S$1))), 0, sum(filter(
Master_Mapping_Sheet!$E$2:$E$3143, ISNUMBER(
Master_Mapping_Sheet!$E$2:$E$3143),
Master_Mapping_Sheet!$C$2:$C$3143=S$1,
Master_Mapping_Sheet!$M$2:$M$3143=VALUE(RIGH"&amp;"T($A3,1))))/sum(filter(
Master_Mapping_Sheet!$E$2:$E$3143, ISNUMBER(
Master_Mapping_Sheet!$E$2:$E$3143),
Master_Mapping_Sheet!$C$2:$C$3143=S$1)))"),0.0)</f>
        <v>0</v>
      </c>
      <c r="T3" s="34">
        <f>IFERROR(__xludf.DUMMYFUNCTION("IF(ISNA(sum(filter(
Master_Mapping_Sheet!$E$2:$E$3143, ISNUMBER(
Master_Mapping_Sheet!$E$2:$E$3143),
Master_Mapping_Sheet!$C$2:$C$3143=T$1,
Master_Mapping_Sheet!$M$2:$M$3143=VALUE(RIGHT($A3,1))))/sum(filter(
Master_Mapping_Sheet!$E$2:$E$3143, ISNUMBER(
Ma"&amp;"ster_Mapping_Sheet!$E$2:$E$3143),
Master_Mapping_Sheet!$C$2:$C$3143=T$1))), 0, sum(filter(
Master_Mapping_Sheet!$E$2:$E$3143, ISNUMBER(
Master_Mapping_Sheet!$E$2:$E$3143),
Master_Mapping_Sheet!$C$2:$C$3143=T$1,
Master_Mapping_Sheet!$M$2:$M$3143=VALUE(RIGH"&amp;"T($A3,1))))/sum(filter(
Master_Mapping_Sheet!$E$2:$E$3143, ISNUMBER(
Master_Mapping_Sheet!$E$2:$E$3143),
Master_Mapping_Sheet!$C$2:$C$3143=T$1)))"),0.7868641239385895)</f>
        <v>0.7868641239</v>
      </c>
      <c r="U3" s="34">
        <f>IFERROR(__xludf.DUMMYFUNCTION("IF(ISNA(sum(filter(
Master_Mapping_Sheet!$E$2:$E$3143, ISNUMBER(
Master_Mapping_Sheet!$E$2:$E$3143),
Master_Mapping_Sheet!$C$2:$C$3143=U$1,
Master_Mapping_Sheet!$M$2:$M$3143=VALUE(RIGHT($A3,1))))/sum(filter(
Master_Mapping_Sheet!$E$2:$E$3143, ISNUMBER(
Ma"&amp;"ster_Mapping_Sheet!$E$2:$E$3143),
Master_Mapping_Sheet!$C$2:$C$3143=U$1))), 0, sum(filter(
Master_Mapping_Sheet!$E$2:$E$3143, ISNUMBER(
Master_Mapping_Sheet!$E$2:$E$3143),
Master_Mapping_Sheet!$C$2:$C$3143=U$1,
Master_Mapping_Sheet!$M$2:$M$3143=VALUE(RIGH"&amp;"T($A3,1))))/sum(filter(
Master_Mapping_Sheet!$E$2:$E$3143, ISNUMBER(
Master_Mapping_Sheet!$E$2:$E$3143),
Master_Mapping_Sheet!$C$2:$C$3143=U$1)))"),0.0)</f>
        <v>0</v>
      </c>
      <c r="V3" s="34">
        <f>IFERROR(__xludf.DUMMYFUNCTION("IF(ISNA(sum(filter(
Master_Mapping_Sheet!$E$2:$E$3143, ISNUMBER(
Master_Mapping_Sheet!$E$2:$E$3143),
Master_Mapping_Sheet!$C$2:$C$3143=V$1,
Master_Mapping_Sheet!$M$2:$M$3143=VALUE(RIGHT($A3,1))))/sum(filter(
Master_Mapping_Sheet!$E$2:$E$3143, ISNUMBER(
Ma"&amp;"ster_Mapping_Sheet!$E$2:$E$3143),
Master_Mapping_Sheet!$C$2:$C$3143=V$1))), 0, sum(filter(
Master_Mapping_Sheet!$E$2:$E$3143, ISNUMBER(
Master_Mapping_Sheet!$E$2:$E$3143),
Master_Mapping_Sheet!$C$2:$C$3143=V$1,
Master_Mapping_Sheet!$M$2:$M$3143=VALUE(RIGH"&amp;"T($A3,1))))/sum(filter(
Master_Mapping_Sheet!$E$2:$E$3143, ISNUMBER(
Master_Mapping_Sheet!$E$2:$E$3143),
Master_Mapping_Sheet!$C$2:$C$3143=V$1)))"),0.0)</f>
        <v>0</v>
      </c>
      <c r="W3" s="34">
        <f>IFERROR(__xludf.DUMMYFUNCTION("IF(ISNA(sum(filter(
Master_Mapping_Sheet!$E$2:$E$3143, ISNUMBER(
Master_Mapping_Sheet!$E$2:$E$3143),
Master_Mapping_Sheet!$C$2:$C$3143=W$1,
Master_Mapping_Sheet!$M$2:$M$3143=VALUE(RIGHT($A3,1))))/sum(filter(
Master_Mapping_Sheet!$E$2:$E$3143, ISNUMBER(
Ma"&amp;"ster_Mapping_Sheet!$E$2:$E$3143),
Master_Mapping_Sheet!$C$2:$C$3143=W$1))), 0, sum(filter(
Master_Mapping_Sheet!$E$2:$E$3143, ISNUMBER(
Master_Mapping_Sheet!$E$2:$E$3143),
Master_Mapping_Sheet!$C$2:$C$3143=W$1,
Master_Mapping_Sheet!$M$2:$M$3143=VALUE(RIGH"&amp;"T($A3,1))))/sum(filter(
Master_Mapping_Sheet!$E$2:$E$3143, ISNUMBER(
Master_Mapping_Sheet!$E$2:$E$3143),
Master_Mapping_Sheet!$C$2:$C$3143=W$1)))"),0.0)</f>
        <v>0</v>
      </c>
      <c r="X3" s="34">
        <f>IFERROR(__xludf.DUMMYFUNCTION("IF(ISNA(sum(filter(
Master_Mapping_Sheet!$E$2:$E$3143, ISNUMBER(
Master_Mapping_Sheet!$E$2:$E$3143),
Master_Mapping_Sheet!$C$2:$C$3143=X$1,
Master_Mapping_Sheet!$M$2:$M$3143=VALUE(RIGHT($A3,1))))/sum(filter(
Master_Mapping_Sheet!$E$2:$E$3143, ISNUMBER(
Ma"&amp;"ster_Mapping_Sheet!$E$2:$E$3143),
Master_Mapping_Sheet!$C$2:$C$3143=X$1))), 0, sum(filter(
Master_Mapping_Sheet!$E$2:$E$3143, ISNUMBER(
Master_Mapping_Sheet!$E$2:$E$3143),
Master_Mapping_Sheet!$C$2:$C$3143=X$1,
Master_Mapping_Sheet!$M$2:$M$3143=VALUE(RIGH"&amp;"T($A3,1))))/sum(filter(
Master_Mapping_Sheet!$E$2:$E$3143, ISNUMBER(
Master_Mapping_Sheet!$E$2:$E$3143),
Master_Mapping_Sheet!$C$2:$C$3143=X$1)))"),0.0)</f>
        <v>0</v>
      </c>
      <c r="Y3" s="34">
        <f>IFERROR(__xludf.DUMMYFUNCTION("IF(ISNA(sum(filter(
Master_Mapping_Sheet!$E$2:$E$3143, ISNUMBER(
Master_Mapping_Sheet!$E$2:$E$3143),
Master_Mapping_Sheet!$C$2:$C$3143=Y$1,
Master_Mapping_Sheet!$M$2:$M$3143=VALUE(RIGHT($A3,1))))/sum(filter(
Master_Mapping_Sheet!$E$2:$E$3143, ISNUMBER(
Ma"&amp;"ster_Mapping_Sheet!$E$2:$E$3143),
Master_Mapping_Sheet!$C$2:$C$3143=Y$1))), 0, sum(filter(
Master_Mapping_Sheet!$E$2:$E$3143, ISNUMBER(
Master_Mapping_Sheet!$E$2:$E$3143),
Master_Mapping_Sheet!$C$2:$C$3143=Y$1,
Master_Mapping_Sheet!$M$2:$M$3143=VALUE(RIGH"&amp;"T($A3,1))))/sum(filter(
Master_Mapping_Sheet!$E$2:$E$3143, ISNUMBER(
Master_Mapping_Sheet!$E$2:$E$3143),
Master_Mapping_Sheet!$C$2:$C$3143=Y$1)))"),0.0)</f>
        <v>0</v>
      </c>
      <c r="Z3" s="34">
        <f>IFERROR(__xludf.DUMMYFUNCTION("IF(ISNA(sum(filter(
Master_Mapping_Sheet!$E$2:$E$3143, ISNUMBER(
Master_Mapping_Sheet!$E$2:$E$3143),
Master_Mapping_Sheet!$C$2:$C$3143=Z$1,
Master_Mapping_Sheet!$M$2:$M$3143=VALUE(RIGHT($A3,1))))/sum(filter(
Master_Mapping_Sheet!$E$2:$E$3143, ISNUMBER(
Ma"&amp;"ster_Mapping_Sheet!$E$2:$E$3143),
Master_Mapping_Sheet!$C$2:$C$3143=Z$1))), 0, sum(filter(
Master_Mapping_Sheet!$E$2:$E$3143, ISNUMBER(
Master_Mapping_Sheet!$E$2:$E$3143),
Master_Mapping_Sheet!$C$2:$C$3143=Z$1,
Master_Mapping_Sheet!$M$2:$M$3143=VALUE(RIGH"&amp;"T($A3,1))))/sum(filter(
Master_Mapping_Sheet!$E$2:$E$3143, ISNUMBER(
Master_Mapping_Sheet!$E$2:$E$3143),
Master_Mapping_Sheet!$C$2:$C$3143=Z$1)))"),0.16324646476329135)</f>
        <v>0.1632464648</v>
      </c>
      <c r="AA3" s="34">
        <f>IFERROR(__xludf.DUMMYFUNCTION("IF(ISNA(sum(filter(
Master_Mapping_Sheet!$E$2:$E$3143, ISNUMBER(
Master_Mapping_Sheet!$E$2:$E$3143),
Master_Mapping_Sheet!$C$2:$C$3143=AA$1,
Master_Mapping_Sheet!$M$2:$M$3143=VALUE(RIGHT($A3,1))))/sum(filter(
Master_Mapping_Sheet!$E$2:$E$3143, ISNUMBER(
M"&amp;"aster_Mapping_Sheet!$E$2:$E$3143),
Master_Mapping_Sheet!$C$2:$C$3143=AA$1))), 0, sum(filter(
Master_Mapping_Sheet!$E$2:$E$3143, ISNUMBER(
Master_Mapping_Sheet!$E$2:$E$3143),
Master_Mapping_Sheet!$C$2:$C$3143=AA$1,
Master_Mapping_Sheet!$M$2:$M$3143=VALUE(R"&amp;"IGHT($A3,1))))/sum(filter(
Master_Mapping_Sheet!$E$2:$E$3143, ISNUMBER(
Master_Mapping_Sheet!$E$2:$E$3143),
Master_Mapping_Sheet!$C$2:$C$3143=AA$1)))"),0.0)</f>
        <v>0</v>
      </c>
      <c r="AB3" s="34">
        <f>IFERROR(__xludf.DUMMYFUNCTION("IF(ISNA(sum(filter(
Master_Mapping_Sheet!$E$2:$E$3143, ISNUMBER(
Master_Mapping_Sheet!$E$2:$E$3143),
Master_Mapping_Sheet!$C$2:$C$3143=AB$1,
Master_Mapping_Sheet!$M$2:$M$3143=VALUE(RIGHT($A3,1))))/sum(filter(
Master_Mapping_Sheet!$E$2:$E$3143, ISNUMBER(
M"&amp;"aster_Mapping_Sheet!$E$2:$E$3143),
Master_Mapping_Sheet!$C$2:$C$3143=AB$1))), 0, sum(filter(
Master_Mapping_Sheet!$E$2:$E$3143, ISNUMBER(
Master_Mapping_Sheet!$E$2:$E$3143),
Master_Mapping_Sheet!$C$2:$C$3143=AB$1,
Master_Mapping_Sheet!$M$2:$M$3143=VALUE(R"&amp;"IGHT($A3,1))))/sum(filter(
Master_Mapping_Sheet!$E$2:$E$3143, ISNUMBER(
Master_Mapping_Sheet!$E$2:$E$3143),
Master_Mapping_Sheet!$C$2:$C$3143=AB$1)))"),0.0)</f>
        <v>0</v>
      </c>
      <c r="AC3" s="34">
        <f>IFERROR(__xludf.DUMMYFUNCTION("IF(ISNA(sum(filter(
Master_Mapping_Sheet!$E$2:$E$3143, ISNUMBER(
Master_Mapping_Sheet!$E$2:$E$3143),
Master_Mapping_Sheet!$C$2:$C$3143=AC$1,
Master_Mapping_Sheet!$M$2:$M$3143=VALUE(RIGHT($A3,1))))/sum(filter(
Master_Mapping_Sheet!$E$2:$E$3143, ISNUMBER(
M"&amp;"aster_Mapping_Sheet!$E$2:$E$3143),
Master_Mapping_Sheet!$C$2:$C$3143=AC$1))), 0, sum(filter(
Master_Mapping_Sheet!$E$2:$E$3143, ISNUMBER(
Master_Mapping_Sheet!$E$2:$E$3143),
Master_Mapping_Sheet!$C$2:$C$3143=AC$1,
Master_Mapping_Sheet!$M$2:$M$3143=VALUE(R"&amp;"IGHT($A3,1))))/sum(filter(
Master_Mapping_Sheet!$E$2:$E$3143, ISNUMBER(
Master_Mapping_Sheet!$E$2:$E$3143),
Master_Mapping_Sheet!$C$2:$C$3143=AC$1)))"),0.0)</f>
        <v>0</v>
      </c>
      <c r="AD3" s="34">
        <f>IFERROR(__xludf.DUMMYFUNCTION("IF(ISNA(sum(filter(
Master_Mapping_Sheet!$E$2:$E$3143, ISNUMBER(
Master_Mapping_Sheet!$E$2:$E$3143),
Master_Mapping_Sheet!$C$2:$C$3143=AD$1,
Master_Mapping_Sheet!$M$2:$M$3143=VALUE(RIGHT($A3,1))))/sum(filter(
Master_Mapping_Sheet!$E$2:$E$3143, ISNUMBER(
M"&amp;"aster_Mapping_Sheet!$E$2:$E$3143),
Master_Mapping_Sheet!$C$2:$C$3143=AD$1))), 0, sum(filter(
Master_Mapping_Sheet!$E$2:$E$3143, ISNUMBER(
Master_Mapping_Sheet!$E$2:$E$3143),
Master_Mapping_Sheet!$C$2:$C$3143=AD$1,
Master_Mapping_Sheet!$M$2:$M$3143=VALUE(R"&amp;"IGHT($A3,1))))/sum(filter(
Master_Mapping_Sheet!$E$2:$E$3143, ISNUMBER(
Master_Mapping_Sheet!$E$2:$E$3143),
Master_Mapping_Sheet!$C$2:$C$3143=AD$1)))"),0.0)</f>
        <v>0</v>
      </c>
      <c r="AE3" s="34">
        <f>IFERROR(__xludf.DUMMYFUNCTION("IF(ISNA(sum(filter(
Master_Mapping_Sheet!$E$2:$E$3143, ISNUMBER(
Master_Mapping_Sheet!$E$2:$E$3143),
Master_Mapping_Sheet!$C$2:$C$3143=AE$1,
Master_Mapping_Sheet!$M$2:$M$3143=VALUE(RIGHT($A3,1))))/sum(filter(
Master_Mapping_Sheet!$E$2:$E$3143, ISNUMBER(
M"&amp;"aster_Mapping_Sheet!$E$2:$E$3143),
Master_Mapping_Sheet!$C$2:$C$3143=AE$1))), 0, sum(filter(
Master_Mapping_Sheet!$E$2:$E$3143, ISNUMBER(
Master_Mapping_Sheet!$E$2:$E$3143),
Master_Mapping_Sheet!$C$2:$C$3143=AE$1,
Master_Mapping_Sheet!$M$2:$M$3143=VALUE(R"&amp;"IGHT($A3,1))))/sum(filter(
Master_Mapping_Sheet!$E$2:$E$3143, ISNUMBER(
Master_Mapping_Sheet!$E$2:$E$3143),
Master_Mapping_Sheet!$C$2:$C$3143=AE$1)))"),0.0)</f>
        <v>0</v>
      </c>
      <c r="AF3" s="34">
        <f>IFERROR(__xludf.DUMMYFUNCTION("IF(ISNA(sum(filter(
Master_Mapping_Sheet!$E$2:$E$3143, ISNUMBER(
Master_Mapping_Sheet!$E$2:$E$3143),
Master_Mapping_Sheet!$C$2:$C$3143=AF$1,
Master_Mapping_Sheet!$M$2:$M$3143=VALUE(RIGHT($A3,1))))/sum(filter(
Master_Mapping_Sheet!$E$2:$E$3143, ISNUMBER(
M"&amp;"aster_Mapping_Sheet!$E$2:$E$3143),
Master_Mapping_Sheet!$C$2:$C$3143=AF$1))), 0, sum(filter(
Master_Mapping_Sheet!$E$2:$E$3143, ISNUMBER(
Master_Mapping_Sheet!$E$2:$E$3143),
Master_Mapping_Sheet!$C$2:$C$3143=AF$1,
Master_Mapping_Sheet!$M$2:$M$3143=VALUE(R"&amp;"IGHT($A3,1))))/sum(filter(
Master_Mapping_Sheet!$E$2:$E$3143, ISNUMBER(
Master_Mapping_Sheet!$E$2:$E$3143),
Master_Mapping_Sheet!$C$2:$C$3143=AF$1)))"),0.0)</f>
        <v>0</v>
      </c>
      <c r="AG3" s="34">
        <f>IFERROR(__xludf.DUMMYFUNCTION("IF(ISNA(sum(filter(
Master_Mapping_Sheet!$E$2:$E$3143, ISNUMBER(
Master_Mapping_Sheet!$E$2:$E$3143),
Master_Mapping_Sheet!$C$2:$C$3143=AG$1,
Master_Mapping_Sheet!$M$2:$M$3143=VALUE(RIGHT($A3,1))))/sum(filter(
Master_Mapping_Sheet!$E$2:$E$3143, ISNUMBER(
M"&amp;"aster_Mapping_Sheet!$E$2:$E$3143),
Master_Mapping_Sheet!$C$2:$C$3143=AG$1))), 0, sum(filter(
Master_Mapping_Sheet!$E$2:$E$3143, ISNUMBER(
Master_Mapping_Sheet!$E$2:$E$3143),
Master_Mapping_Sheet!$C$2:$C$3143=AG$1,
Master_Mapping_Sheet!$M$2:$M$3143=VALUE(R"&amp;"IGHT($A3,1))))/sum(filter(
Master_Mapping_Sheet!$E$2:$E$3143, ISNUMBER(
Master_Mapping_Sheet!$E$2:$E$3143),
Master_Mapping_Sheet!$C$2:$C$3143=AG$1)))"),0.0)</f>
        <v>0</v>
      </c>
      <c r="AH3" s="34">
        <f>IFERROR(__xludf.DUMMYFUNCTION("IF(ISNA(sum(filter(
Master_Mapping_Sheet!$E$2:$E$3143, ISNUMBER(
Master_Mapping_Sheet!$E$2:$E$3143),
Master_Mapping_Sheet!$C$2:$C$3143=AH$1,
Master_Mapping_Sheet!$M$2:$M$3143=VALUE(RIGHT($A3,1))))/sum(filter(
Master_Mapping_Sheet!$E$2:$E$3143, ISNUMBER(
M"&amp;"aster_Mapping_Sheet!$E$2:$E$3143),
Master_Mapping_Sheet!$C$2:$C$3143=AH$1))), 0, sum(filter(
Master_Mapping_Sheet!$E$2:$E$3143, ISNUMBER(
Master_Mapping_Sheet!$E$2:$E$3143),
Master_Mapping_Sheet!$C$2:$C$3143=AH$1,
Master_Mapping_Sheet!$M$2:$M$3143=VALUE(R"&amp;"IGHT($A3,1))))/sum(filter(
Master_Mapping_Sheet!$E$2:$E$3143, ISNUMBER(
Master_Mapping_Sheet!$E$2:$E$3143),
Master_Mapping_Sheet!$C$2:$C$3143=AH$1)))"),0.0)</f>
        <v>0</v>
      </c>
      <c r="AI3" s="34">
        <f>IFERROR(__xludf.DUMMYFUNCTION("IF(ISNA(sum(filter(
Master_Mapping_Sheet!$E$2:$E$3143, ISNUMBER(
Master_Mapping_Sheet!$E$2:$E$3143),
Master_Mapping_Sheet!$C$2:$C$3143=AI$1,
Master_Mapping_Sheet!$M$2:$M$3143=VALUE(RIGHT($A3,1))))/sum(filter(
Master_Mapping_Sheet!$E$2:$E$3143, ISNUMBER(
M"&amp;"aster_Mapping_Sheet!$E$2:$E$3143),
Master_Mapping_Sheet!$C$2:$C$3143=AI$1))), 0, sum(filter(
Master_Mapping_Sheet!$E$2:$E$3143, ISNUMBER(
Master_Mapping_Sheet!$E$2:$E$3143),
Master_Mapping_Sheet!$C$2:$C$3143=AI$1,
Master_Mapping_Sheet!$M$2:$M$3143=VALUE(R"&amp;"IGHT($A3,1))))/sum(filter(
Master_Mapping_Sheet!$E$2:$E$3143, ISNUMBER(
Master_Mapping_Sheet!$E$2:$E$3143),
Master_Mapping_Sheet!$C$2:$C$3143=AI$1)))"),0.0)</f>
        <v>0</v>
      </c>
      <c r="AJ3" s="34">
        <f>IFERROR(__xludf.DUMMYFUNCTION("IF(ISNA(sum(filter(
Master_Mapping_Sheet!$E$2:$E$3143, ISNUMBER(
Master_Mapping_Sheet!$E$2:$E$3143),
Master_Mapping_Sheet!$C$2:$C$3143=AJ$1,
Master_Mapping_Sheet!$M$2:$M$3143=VALUE(RIGHT($A3,1))))/sum(filter(
Master_Mapping_Sheet!$E$2:$E$3143, ISNUMBER(
M"&amp;"aster_Mapping_Sheet!$E$2:$E$3143),
Master_Mapping_Sheet!$C$2:$C$3143=AJ$1))), 0, sum(filter(
Master_Mapping_Sheet!$E$2:$E$3143, ISNUMBER(
Master_Mapping_Sheet!$E$2:$E$3143),
Master_Mapping_Sheet!$C$2:$C$3143=AJ$1,
Master_Mapping_Sheet!$M$2:$M$3143=VALUE(R"&amp;"IGHT($A3,1))))/sum(filter(
Master_Mapping_Sheet!$E$2:$E$3143, ISNUMBER(
Master_Mapping_Sheet!$E$2:$E$3143),
Master_Mapping_Sheet!$C$2:$C$3143=AJ$1)))"),0.0)</f>
        <v>0</v>
      </c>
      <c r="AK3" s="34">
        <f>IFERROR(__xludf.DUMMYFUNCTION("IF(ISNA(sum(filter(
Master_Mapping_Sheet!$E$2:$E$3143, ISNUMBER(
Master_Mapping_Sheet!$E$2:$E$3143),
Master_Mapping_Sheet!$C$2:$C$3143=AK$1,
Master_Mapping_Sheet!$M$2:$M$3143=VALUE(RIGHT($A3,1))))/sum(filter(
Master_Mapping_Sheet!$E$2:$E$3143, ISNUMBER(
M"&amp;"aster_Mapping_Sheet!$E$2:$E$3143),
Master_Mapping_Sheet!$C$2:$C$3143=AK$1))), 0, sum(filter(
Master_Mapping_Sheet!$E$2:$E$3143, ISNUMBER(
Master_Mapping_Sheet!$E$2:$E$3143),
Master_Mapping_Sheet!$C$2:$C$3143=AK$1,
Master_Mapping_Sheet!$M$2:$M$3143=VALUE(R"&amp;"IGHT($A3,1))))/sum(filter(
Master_Mapping_Sheet!$E$2:$E$3143, ISNUMBER(
Master_Mapping_Sheet!$E$2:$E$3143),
Master_Mapping_Sheet!$C$2:$C$3143=AK$1)))"),0.0)</f>
        <v>0</v>
      </c>
      <c r="AL3" s="34">
        <f>IFERROR(__xludf.DUMMYFUNCTION("IF(ISNA(sum(filter(
Master_Mapping_Sheet!$E$2:$E$3143, ISNUMBER(
Master_Mapping_Sheet!$E$2:$E$3143),
Master_Mapping_Sheet!$C$2:$C$3143=AL$1,
Master_Mapping_Sheet!$M$2:$M$3143=VALUE(RIGHT($A3,1))))/sum(filter(
Master_Mapping_Sheet!$E$2:$E$3143, ISNUMBER(
M"&amp;"aster_Mapping_Sheet!$E$2:$E$3143),
Master_Mapping_Sheet!$C$2:$C$3143=AL$1))), 0, sum(filter(
Master_Mapping_Sheet!$E$2:$E$3143, ISNUMBER(
Master_Mapping_Sheet!$E$2:$E$3143),
Master_Mapping_Sheet!$C$2:$C$3143=AL$1,
Master_Mapping_Sheet!$M$2:$M$3143=VALUE(R"&amp;"IGHT($A3,1))))/sum(filter(
Master_Mapping_Sheet!$E$2:$E$3143, ISNUMBER(
Master_Mapping_Sheet!$E$2:$E$3143),
Master_Mapping_Sheet!$C$2:$C$3143=AL$1)))"),0.0)</f>
        <v>0</v>
      </c>
      <c r="AM3" s="34">
        <f>IFERROR(__xludf.DUMMYFUNCTION("IF(ISNA(sum(filter(
Master_Mapping_Sheet!$E$2:$E$3143, ISNUMBER(
Master_Mapping_Sheet!$E$2:$E$3143),
Master_Mapping_Sheet!$C$2:$C$3143=AM$1,
Master_Mapping_Sheet!$M$2:$M$3143=VALUE(RIGHT($A3,1))))/sum(filter(
Master_Mapping_Sheet!$E$2:$E$3143, ISNUMBER(
M"&amp;"aster_Mapping_Sheet!$E$2:$E$3143),
Master_Mapping_Sheet!$C$2:$C$3143=AM$1))), 0, sum(filter(
Master_Mapping_Sheet!$E$2:$E$3143, ISNUMBER(
Master_Mapping_Sheet!$E$2:$E$3143),
Master_Mapping_Sheet!$C$2:$C$3143=AM$1,
Master_Mapping_Sheet!$M$2:$M$3143=VALUE(R"&amp;"IGHT($A3,1))))/sum(filter(
Master_Mapping_Sheet!$E$2:$E$3143, ISNUMBER(
Master_Mapping_Sheet!$E$2:$E$3143),
Master_Mapping_Sheet!$C$2:$C$3143=AM$1)))"),0.0)</f>
        <v>0</v>
      </c>
      <c r="AN3" s="34">
        <f>IFERROR(__xludf.DUMMYFUNCTION("IF(ISNA(sum(filter(
Master_Mapping_Sheet!$E$2:$E$3143, ISNUMBER(
Master_Mapping_Sheet!$E$2:$E$3143),
Master_Mapping_Sheet!$C$2:$C$3143=AN$1,
Master_Mapping_Sheet!$M$2:$M$3143=VALUE(RIGHT($A3,1))))/sum(filter(
Master_Mapping_Sheet!$E$2:$E$3143, ISNUMBER(
M"&amp;"aster_Mapping_Sheet!$E$2:$E$3143),
Master_Mapping_Sheet!$C$2:$C$3143=AN$1))), 0, sum(filter(
Master_Mapping_Sheet!$E$2:$E$3143, ISNUMBER(
Master_Mapping_Sheet!$E$2:$E$3143),
Master_Mapping_Sheet!$C$2:$C$3143=AN$1,
Master_Mapping_Sheet!$M$2:$M$3143=VALUE(R"&amp;"IGHT($A3,1))))/sum(filter(
Master_Mapping_Sheet!$E$2:$E$3143, ISNUMBER(
Master_Mapping_Sheet!$E$2:$E$3143),
Master_Mapping_Sheet!$C$2:$C$3143=AN$1)))"),0.0)</f>
        <v>0</v>
      </c>
      <c r="AO3" s="34">
        <f>IFERROR(__xludf.DUMMYFUNCTION("IF(ISNA(sum(filter(
Master_Mapping_Sheet!$E$2:$E$3143, ISNUMBER(
Master_Mapping_Sheet!$E$2:$E$3143),
Master_Mapping_Sheet!$C$2:$C$3143=AO$1,
Master_Mapping_Sheet!$M$2:$M$3143=VALUE(RIGHT($A3,1))))/sum(filter(
Master_Mapping_Sheet!$E$2:$E$3143, ISNUMBER(
M"&amp;"aster_Mapping_Sheet!$E$2:$E$3143),
Master_Mapping_Sheet!$C$2:$C$3143=AO$1))), 0, sum(filter(
Master_Mapping_Sheet!$E$2:$E$3143, ISNUMBER(
Master_Mapping_Sheet!$E$2:$E$3143),
Master_Mapping_Sheet!$C$2:$C$3143=AO$1,
Master_Mapping_Sheet!$M$2:$M$3143=VALUE(R"&amp;"IGHT($A3,1))))/sum(filter(
Master_Mapping_Sheet!$E$2:$E$3143, ISNUMBER(
Master_Mapping_Sheet!$E$2:$E$3143),
Master_Mapping_Sheet!$C$2:$C$3143=AO$1)))"),0.0)</f>
        <v>0</v>
      </c>
      <c r="AP3" s="34">
        <f>IFERROR(__xludf.DUMMYFUNCTION("IF(ISNA(sum(filter(
Master_Mapping_Sheet!$E$2:$E$3143, ISNUMBER(
Master_Mapping_Sheet!$E$2:$E$3143),
Master_Mapping_Sheet!$C$2:$C$3143=AP$1,
Master_Mapping_Sheet!$M$2:$M$3143=VALUE(RIGHT($A3,1))))/sum(filter(
Master_Mapping_Sheet!$E$2:$E$3143, ISNUMBER(
M"&amp;"aster_Mapping_Sheet!$E$2:$E$3143),
Master_Mapping_Sheet!$C$2:$C$3143=AP$1))), 0, sum(filter(
Master_Mapping_Sheet!$E$2:$E$3143, ISNUMBER(
Master_Mapping_Sheet!$E$2:$E$3143),
Master_Mapping_Sheet!$C$2:$C$3143=AP$1,
Master_Mapping_Sheet!$M$2:$M$3143=VALUE(R"&amp;"IGHT($A3,1))))/sum(filter(
Master_Mapping_Sheet!$E$2:$E$3143, ISNUMBER(
Master_Mapping_Sheet!$E$2:$E$3143),
Master_Mapping_Sheet!$C$2:$C$3143=AP$1)))"),0.0)</f>
        <v>0</v>
      </c>
      <c r="AQ3" s="34">
        <f>IFERROR(__xludf.DUMMYFUNCTION("IF(ISNA(sum(filter(
Master_Mapping_Sheet!$E$2:$E$3143, ISNUMBER(
Master_Mapping_Sheet!$E$2:$E$3143),
Master_Mapping_Sheet!$C$2:$C$3143=AQ$1,
Master_Mapping_Sheet!$M$2:$M$3143=VALUE(RIGHT($A3,1))))/sum(filter(
Master_Mapping_Sheet!$E$2:$E$3143, ISNUMBER(
M"&amp;"aster_Mapping_Sheet!$E$2:$E$3143),
Master_Mapping_Sheet!$C$2:$C$3143=AQ$1))), 0, sum(filter(
Master_Mapping_Sheet!$E$2:$E$3143, ISNUMBER(
Master_Mapping_Sheet!$E$2:$E$3143),
Master_Mapping_Sheet!$C$2:$C$3143=AQ$1,
Master_Mapping_Sheet!$M$2:$M$3143=VALUE(R"&amp;"IGHT($A3,1))))/sum(filter(
Master_Mapping_Sheet!$E$2:$E$3143, ISNUMBER(
Master_Mapping_Sheet!$E$2:$E$3143),
Master_Mapping_Sheet!$C$2:$C$3143=AQ$1)))"),0.0)</f>
        <v>0</v>
      </c>
      <c r="AR3" s="34">
        <f>IFERROR(__xludf.DUMMYFUNCTION("IF(ISNA(sum(filter(
Master_Mapping_Sheet!$E$2:$E$3143, ISNUMBER(
Master_Mapping_Sheet!$E$2:$E$3143),
Master_Mapping_Sheet!$C$2:$C$3143=AR$1,
Master_Mapping_Sheet!$M$2:$M$3143=VALUE(RIGHT($A3,1))))/sum(filter(
Master_Mapping_Sheet!$E$2:$E$3143, ISNUMBER(
M"&amp;"aster_Mapping_Sheet!$E$2:$E$3143),
Master_Mapping_Sheet!$C$2:$C$3143=AR$1))), 0, sum(filter(
Master_Mapping_Sheet!$E$2:$E$3143, ISNUMBER(
Master_Mapping_Sheet!$E$2:$E$3143),
Master_Mapping_Sheet!$C$2:$C$3143=AR$1,
Master_Mapping_Sheet!$M$2:$M$3143=VALUE(R"&amp;"IGHT($A3,1))))/sum(filter(
Master_Mapping_Sheet!$E$2:$E$3143, ISNUMBER(
Master_Mapping_Sheet!$E$2:$E$3143),
Master_Mapping_Sheet!$C$2:$C$3143=AR$1)))"),0.0)</f>
        <v>0</v>
      </c>
      <c r="AS3" s="34">
        <f>IFERROR(__xludf.DUMMYFUNCTION("IF(ISNA(sum(filter(
Master_Mapping_Sheet!$E$2:$E$3143, ISNUMBER(
Master_Mapping_Sheet!$E$2:$E$3143),
Master_Mapping_Sheet!$C$2:$C$3143=AS$1,
Master_Mapping_Sheet!$M$2:$M$3143=VALUE(RIGHT($A3,1))))/sum(filter(
Master_Mapping_Sheet!$E$2:$E$3143, ISNUMBER(
M"&amp;"aster_Mapping_Sheet!$E$2:$E$3143),
Master_Mapping_Sheet!$C$2:$C$3143=AS$1))), 0, sum(filter(
Master_Mapping_Sheet!$E$2:$E$3143, ISNUMBER(
Master_Mapping_Sheet!$E$2:$E$3143),
Master_Mapping_Sheet!$C$2:$C$3143=AS$1,
Master_Mapping_Sheet!$M$2:$M$3143=VALUE(R"&amp;"IGHT($A3,1))))/sum(filter(
Master_Mapping_Sheet!$E$2:$E$3143, ISNUMBER(
Master_Mapping_Sheet!$E$2:$E$3143),
Master_Mapping_Sheet!$C$2:$C$3143=AS$1)))"),0.5754034292878663)</f>
        <v>0.5754034293</v>
      </c>
      <c r="AT3" s="34">
        <f>IFERROR(__xludf.DUMMYFUNCTION("IF(ISNA(sum(filter(
Master_Mapping_Sheet!$E$2:$E$3143, ISNUMBER(
Master_Mapping_Sheet!$E$2:$E$3143),
Master_Mapping_Sheet!$C$2:$C$3143=AT$1,
Master_Mapping_Sheet!$M$2:$M$3143=VALUE(RIGHT($A3,1))))/sum(filter(
Master_Mapping_Sheet!$E$2:$E$3143, ISNUMBER(
M"&amp;"aster_Mapping_Sheet!$E$2:$E$3143),
Master_Mapping_Sheet!$C$2:$C$3143=AT$1))), 0, sum(filter(
Master_Mapping_Sheet!$E$2:$E$3143, ISNUMBER(
Master_Mapping_Sheet!$E$2:$E$3143),
Master_Mapping_Sheet!$C$2:$C$3143=AT$1,
Master_Mapping_Sheet!$M$2:$M$3143=VALUE(R"&amp;"IGHT($A3,1))))/sum(filter(
Master_Mapping_Sheet!$E$2:$E$3143, ISNUMBER(
Master_Mapping_Sheet!$E$2:$E$3143),
Master_Mapping_Sheet!$C$2:$C$3143=AT$1)))"),0.0)</f>
        <v>0</v>
      </c>
      <c r="AU3" s="34">
        <f>IFERROR(__xludf.DUMMYFUNCTION("IF(ISNA(sum(filter(
Master_Mapping_Sheet!$E$2:$E$3143, ISNUMBER(
Master_Mapping_Sheet!$E$2:$E$3143),
Master_Mapping_Sheet!$C$2:$C$3143=AU$1,
Master_Mapping_Sheet!$M$2:$M$3143=VALUE(RIGHT($A3,1))))/sum(filter(
Master_Mapping_Sheet!$E$2:$E$3143, ISNUMBER(
M"&amp;"aster_Mapping_Sheet!$E$2:$E$3143),
Master_Mapping_Sheet!$C$2:$C$3143=AU$1))), 0, sum(filter(
Master_Mapping_Sheet!$E$2:$E$3143, ISNUMBER(
Master_Mapping_Sheet!$E$2:$E$3143),
Master_Mapping_Sheet!$C$2:$C$3143=AU$1,
Master_Mapping_Sheet!$M$2:$M$3143=VALUE(R"&amp;"IGHT($A3,1))))/sum(filter(
Master_Mapping_Sheet!$E$2:$E$3143, ISNUMBER(
Master_Mapping_Sheet!$E$2:$E$3143),
Master_Mapping_Sheet!$C$2:$C$3143=AU$1)))"),0.0)</f>
        <v>0</v>
      </c>
      <c r="AV3" s="34">
        <f>IFERROR(__xludf.DUMMYFUNCTION("IF(ISNA(sum(filter(
Master_Mapping_Sheet!$E$2:$E$3143, ISNUMBER(
Master_Mapping_Sheet!$E$2:$E$3143),
Master_Mapping_Sheet!$C$2:$C$3143=AV$1,
Master_Mapping_Sheet!$M$2:$M$3143=VALUE(RIGHT($A3,1))))/sum(filter(
Master_Mapping_Sheet!$E$2:$E$3143, ISNUMBER(
M"&amp;"aster_Mapping_Sheet!$E$2:$E$3143),
Master_Mapping_Sheet!$C$2:$C$3143=AV$1))), 0, sum(filter(
Master_Mapping_Sheet!$E$2:$E$3143, ISNUMBER(
Master_Mapping_Sheet!$E$2:$E$3143),
Master_Mapping_Sheet!$C$2:$C$3143=AV$1,
Master_Mapping_Sheet!$M$2:$M$3143=VALUE(R"&amp;"IGHT($A3,1))))/sum(filter(
Master_Mapping_Sheet!$E$2:$E$3143, ISNUMBER(
Master_Mapping_Sheet!$E$2:$E$3143),
Master_Mapping_Sheet!$C$2:$C$3143=AV$1)))"),0.0)</f>
        <v>0</v>
      </c>
      <c r="AW3" s="34">
        <f>IFERROR(__xludf.DUMMYFUNCTION("IF(ISNA(sum(filter(
Master_Mapping_Sheet!$E$2:$E$3143, ISNUMBER(
Master_Mapping_Sheet!$E$2:$E$3143),
Master_Mapping_Sheet!$C$2:$C$3143=AW$1,
Master_Mapping_Sheet!$M$2:$M$3143=VALUE(RIGHT($A3,1))))/sum(filter(
Master_Mapping_Sheet!$E$2:$E$3143, ISNUMBER(
M"&amp;"aster_Mapping_Sheet!$E$2:$E$3143),
Master_Mapping_Sheet!$C$2:$C$3143=AW$1))), 0, sum(filter(
Master_Mapping_Sheet!$E$2:$E$3143, ISNUMBER(
Master_Mapping_Sheet!$E$2:$E$3143),
Master_Mapping_Sheet!$C$2:$C$3143=AW$1,
Master_Mapping_Sheet!$M$2:$M$3143=VALUE(R"&amp;"IGHT($A3,1))))/sum(filter(
Master_Mapping_Sheet!$E$2:$E$3143, ISNUMBER(
Master_Mapping_Sheet!$E$2:$E$3143),
Master_Mapping_Sheet!$C$2:$C$3143=AW$1)))"),0.0)</f>
        <v>0</v>
      </c>
      <c r="AX3" s="34">
        <f>IFERROR(__xludf.DUMMYFUNCTION("IF(ISNA(sum(filter(
Master_Mapping_Sheet!$E$2:$E$3143, ISNUMBER(
Master_Mapping_Sheet!$E$2:$E$3143),
Master_Mapping_Sheet!$C$2:$C$3143=AX$1,
Master_Mapping_Sheet!$M$2:$M$3143=VALUE(RIGHT($A3,1))))/sum(filter(
Master_Mapping_Sheet!$E$2:$E$3143, ISNUMBER(
M"&amp;"aster_Mapping_Sheet!$E$2:$E$3143),
Master_Mapping_Sheet!$C$2:$C$3143=AX$1))), 0, sum(filter(
Master_Mapping_Sheet!$E$2:$E$3143, ISNUMBER(
Master_Mapping_Sheet!$E$2:$E$3143),
Master_Mapping_Sheet!$C$2:$C$3143=AX$1,
Master_Mapping_Sheet!$M$2:$M$3143=VALUE(R"&amp;"IGHT($A3,1))))/sum(filter(
Master_Mapping_Sheet!$E$2:$E$3143, ISNUMBER(
Master_Mapping_Sheet!$E$2:$E$3143),
Master_Mapping_Sheet!$C$2:$C$3143=AX$1)))"),0.0)</f>
        <v>0</v>
      </c>
      <c r="AY3" s="34">
        <f>IFERROR(__xludf.DUMMYFUNCTION("IF(ISNA(sum(filter(
Master_Mapping_Sheet!$E$2:$E$3143, ISNUMBER(
Master_Mapping_Sheet!$E$2:$E$3143),
Master_Mapping_Sheet!$C$2:$C$3143=AY$1,
Master_Mapping_Sheet!$M$2:$M$3143=VALUE(RIGHT($A3,1))))/sum(filter(
Master_Mapping_Sheet!$E$2:$E$3143, ISNUMBER(
M"&amp;"aster_Mapping_Sheet!$E$2:$E$3143),
Master_Mapping_Sheet!$C$2:$C$3143=AY$1))), 0, sum(filter(
Master_Mapping_Sheet!$E$2:$E$3143, ISNUMBER(
Master_Mapping_Sheet!$E$2:$E$3143),
Master_Mapping_Sheet!$C$2:$C$3143=AY$1,
Master_Mapping_Sheet!$M$2:$M$3143=VALUE(R"&amp;"IGHT($A3,1))))/sum(filter(
Master_Mapping_Sheet!$E$2:$E$3143, ISNUMBER(
Master_Mapping_Sheet!$E$2:$E$3143),
Master_Mapping_Sheet!$C$2:$C$3143=AY$1)))"),0.0)</f>
        <v>0</v>
      </c>
      <c r="AZ3" s="34">
        <f>IFERROR(__xludf.DUMMYFUNCTION("IF(ISNA(sum(filter(
Master_Mapping_Sheet!$E$2:$E$3143, ISNUMBER(
Master_Mapping_Sheet!$E$2:$E$3143),
Master_Mapping_Sheet!$C$2:$C$3143=AZ$1,
Master_Mapping_Sheet!$M$2:$M$3143=VALUE(RIGHT($A3,1))))/sum(filter(
Master_Mapping_Sheet!$E$2:$E$3143, ISNUMBER(
M"&amp;"aster_Mapping_Sheet!$E$2:$E$3143),
Master_Mapping_Sheet!$C$2:$C$3143=AZ$1))), 0, sum(filter(
Master_Mapping_Sheet!$E$2:$E$3143, ISNUMBER(
Master_Mapping_Sheet!$E$2:$E$3143),
Master_Mapping_Sheet!$C$2:$C$3143=AZ$1,
Master_Mapping_Sheet!$M$2:$M$3143=VALUE(R"&amp;"IGHT($A3,1))))/sum(filter(
Master_Mapping_Sheet!$E$2:$E$3143, ISNUMBER(
Master_Mapping_Sheet!$E$2:$E$3143),
Master_Mapping_Sheet!$C$2:$C$3143=AZ$1)))"),0.0)</f>
        <v>0</v>
      </c>
    </row>
    <row r="4" ht="15.75" customHeight="1">
      <c r="A4" s="45" t="s">
        <v>4253</v>
      </c>
      <c r="B4" s="34">
        <f>IFERROR(__xludf.DUMMYFUNCTION("IF(ISNA(sum(filter(
Master_Mapping_Sheet!$E$2:$E$3143, ISNUMBER(
Master_Mapping_Sheet!$E$2:$E$3143),
Master_Mapping_Sheet!$C$2:$C$3143=B$1,
Master_Mapping_Sheet!$M$2:$M$3143=VALUE(RIGHT($A4,1))))/sum(filter(
Master_Mapping_Sheet!$E$2:$E$3143, ISNUMBER(
Ma"&amp;"ster_Mapping_Sheet!$E$2:$E$3143),
Master_Mapping_Sheet!$C$2:$C$3143=B$1))), 0, sum(filter(
Master_Mapping_Sheet!$E$2:$E$3143, ISNUMBER(
Master_Mapping_Sheet!$E$2:$E$3143),
Master_Mapping_Sheet!$C$2:$C$3143=B$1,
Master_Mapping_Sheet!$M$2:$M$3143=VALUE(RIGH"&amp;"T($A4,1))))/sum(filter(
Master_Mapping_Sheet!$E$2:$E$3143, ISNUMBER(
Master_Mapping_Sheet!$E$2:$E$3143),
Master_Mapping_Sheet!$C$2:$C$3143=B$1)))"),0.8697952106189174)</f>
        <v>0.8697952106</v>
      </c>
      <c r="C4" s="34">
        <f>IFERROR(__xludf.DUMMYFUNCTION("IF(ISNA(sum(filter(
Master_Mapping_Sheet!$E$2:$E$3143, ISNUMBER(
Master_Mapping_Sheet!$E$2:$E$3143),
Master_Mapping_Sheet!$C$2:$C$3143=C$1,
Master_Mapping_Sheet!$M$2:$M$3143=VALUE(RIGHT($A4,1))))/sum(filter(
Master_Mapping_Sheet!$E$2:$E$3143, ISNUMBER(
Ma"&amp;"ster_Mapping_Sheet!$E$2:$E$3143),
Master_Mapping_Sheet!$C$2:$C$3143=C$1))), 0, sum(filter(
Master_Mapping_Sheet!$E$2:$E$3143, ISNUMBER(
Master_Mapping_Sheet!$E$2:$E$3143),
Master_Mapping_Sheet!$C$2:$C$3143=C$1,
Master_Mapping_Sheet!$M$2:$M$3143=VALUE(RIGH"&amp;"T($A4,1))))/sum(filter(
Master_Mapping_Sheet!$E$2:$E$3143, ISNUMBER(
Master_Mapping_Sheet!$E$2:$E$3143),
Master_Mapping_Sheet!$C$2:$C$3143=C$1)))"),0.0)</f>
        <v>0</v>
      </c>
      <c r="D4" s="34">
        <f>IFERROR(__xludf.DUMMYFUNCTION("IF(ISNA(sum(filter(
Master_Mapping_Sheet!$E$2:$E$3143, ISNUMBER(
Master_Mapping_Sheet!$E$2:$E$3143),
Master_Mapping_Sheet!$C$2:$C$3143=D$1,
Master_Mapping_Sheet!$M$2:$M$3143=VALUE(RIGHT($A4,1))))/sum(filter(
Master_Mapping_Sheet!$E$2:$E$3143, ISNUMBER(
Ma"&amp;"ster_Mapping_Sheet!$E$2:$E$3143),
Master_Mapping_Sheet!$C$2:$C$3143=D$1))), 0, sum(filter(
Master_Mapping_Sheet!$E$2:$E$3143, ISNUMBER(
Master_Mapping_Sheet!$E$2:$E$3143),
Master_Mapping_Sheet!$C$2:$C$3143=D$1,
Master_Mapping_Sheet!$M$2:$M$3143=VALUE(RIGH"&amp;"T($A4,1))))/sum(filter(
Master_Mapping_Sheet!$E$2:$E$3143, ISNUMBER(
Master_Mapping_Sheet!$E$2:$E$3143),
Master_Mapping_Sheet!$C$2:$C$3143=D$1)))"),0.060066389067711036)</f>
        <v>0.06006638907</v>
      </c>
      <c r="E4" s="34">
        <f>IFERROR(__xludf.DUMMYFUNCTION("IF(ISNA(sum(filter(
Master_Mapping_Sheet!$E$2:$E$3143, ISNUMBER(
Master_Mapping_Sheet!$E$2:$E$3143),
Master_Mapping_Sheet!$C$2:$C$3143=E$1,
Master_Mapping_Sheet!$M$2:$M$3143=VALUE(RIGHT($A4,1))))/sum(filter(
Master_Mapping_Sheet!$E$2:$E$3143, ISNUMBER(
Ma"&amp;"ster_Mapping_Sheet!$E$2:$E$3143),
Master_Mapping_Sheet!$C$2:$C$3143=E$1))), 0, sum(filter(
Master_Mapping_Sheet!$E$2:$E$3143, ISNUMBER(
Master_Mapping_Sheet!$E$2:$E$3143),
Master_Mapping_Sheet!$C$2:$C$3143=E$1,
Master_Mapping_Sheet!$M$2:$M$3143=VALUE(RIGH"&amp;"T($A4,1))))/sum(filter(
Master_Mapping_Sheet!$E$2:$E$3143, ISNUMBER(
Master_Mapping_Sheet!$E$2:$E$3143),
Master_Mapping_Sheet!$C$2:$C$3143=E$1)))"),0.7482804886476394)</f>
        <v>0.7482804886</v>
      </c>
      <c r="F4" s="34">
        <f>IFERROR(__xludf.DUMMYFUNCTION("IF(ISNA(sum(filter(
Master_Mapping_Sheet!$E$2:$E$3143, ISNUMBER(
Master_Mapping_Sheet!$E$2:$E$3143),
Master_Mapping_Sheet!$C$2:$C$3143=F$1,
Master_Mapping_Sheet!$M$2:$M$3143=VALUE(RIGHT($A4,1))))/sum(filter(
Master_Mapping_Sheet!$E$2:$E$3143, ISNUMBER(
Ma"&amp;"ster_Mapping_Sheet!$E$2:$E$3143),
Master_Mapping_Sheet!$C$2:$C$3143=F$1))), 0, sum(filter(
Master_Mapping_Sheet!$E$2:$E$3143, ISNUMBER(
Master_Mapping_Sheet!$E$2:$E$3143),
Master_Mapping_Sheet!$C$2:$C$3143=F$1,
Master_Mapping_Sheet!$M$2:$M$3143=VALUE(RIGH"&amp;"T($A4,1))))/sum(filter(
Master_Mapping_Sheet!$E$2:$E$3143, ISNUMBER(
Master_Mapping_Sheet!$E$2:$E$3143),
Master_Mapping_Sheet!$C$2:$C$3143=F$1)))"),0.9740214041798793)</f>
        <v>0.9740214042</v>
      </c>
      <c r="G4" s="34">
        <f>IFERROR(__xludf.DUMMYFUNCTION("IF(ISNA(sum(filter(
Master_Mapping_Sheet!$E$2:$E$3143, ISNUMBER(
Master_Mapping_Sheet!$E$2:$E$3143),
Master_Mapping_Sheet!$C$2:$C$3143=G$1,
Master_Mapping_Sheet!$M$2:$M$3143=VALUE(RIGHT($A4,1))))/sum(filter(
Master_Mapping_Sheet!$E$2:$E$3143, ISNUMBER(
Ma"&amp;"ster_Mapping_Sheet!$E$2:$E$3143),
Master_Mapping_Sheet!$C$2:$C$3143=G$1))), 0, sum(filter(
Master_Mapping_Sheet!$E$2:$E$3143, ISNUMBER(
Master_Mapping_Sheet!$E$2:$E$3143),
Master_Mapping_Sheet!$C$2:$C$3143=G$1,
Master_Mapping_Sheet!$M$2:$M$3143=VALUE(RIGH"&amp;"T($A4,1))))/sum(filter(
Master_Mapping_Sheet!$E$2:$E$3143, ISNUMBER(
Master_Mapping_Sheet!$E$2:$E$3143),
Master_Mapping_Sheet!$C$2:$C$3143=G$1)))"),0.0)</f>
        <v>0</v>
      </c>
      <c r="H4" s="34">
        <f>IFERROR(__xludf.DUMMYFUNCTION("IF(ISNA(sum(filter(
Master_Mapping_Sheet!$E$2:$E$3143, ISNUMBER(
Master_Mapping_Sheet!$E$2:$E$3143),
Master_Mapping_Sheet!$C$2:$C$3143=H$1,
Master_Mapping_Sheet!$M$2:$M$3143=VALUE(RIGHT($A4,1))))/sum(filter(
Master_Mapping_Sheet!$E$2:$E$3143, ISNUMBER(
Ma"&amp;"ster_Mapping_Sheet!$E$2:$E$3143),
Master_Mapping_Sheet!$C$2:$C$3143=H$1))), 0, sum(filter(
Master_Mapping_Sheet!$E$2:$E$3143, ISNUMBER(
Master_Mapping_Sheet!$E$2:$E$3143),
Master_Mapping_Sheet!$C$2:$C$3143=H$1,
Master_Mapping_Sheet!$M$2:$M$3143=VALUE(RIGH"&amp;"T($A4,1))))/sum(filter(
Master_Mapping_Sheet!$E$2:$E$3143, ISNUMBER(
Master_Mapping_Sheet!$E$2:$E$3143),
Master_Mapping_Sheet!$C$2:$C$3143=H$1)))"),0.0)</f>
        <v>0</v>
      </c>
      <c r="I4" s="34">
        <f>IFERROR(__xludf.DUMMYFUNCTION("IF(ISNA(sum(filter(
Master_Mapping_Sheet!$E$2:$E$3143, ISNUMBER(
Master_Mapping_Sheet!$E$2:$E$3143),
Master_Mapping_Sheet!$C$2:$C$3143=I$1,
Master_Mapping_Sheet!$M$2:$M$3143=VALUE(RIGHT($A4,1))))/sum(filter(
Master_Mapping_Sheet!$E$2:$E$3143, ISNUMBER(
Ma"&amp;"ster_Mapping_Sheet!$E$2:$E$3143),
Master_Mapping_Sheet!$C$2:$C$3143=I$1))), 0, sum(filter(
Master_Mapping_Sheet!$E$2:$E$3143, ISNUMBER(
Master_Mapping_Sheet!$E$2:$E$3143),
Master_Mapping_Sheet!$C$2:$C$3143=I$1,
Master_Mapping_Sheet!$M$2:$M$3143=VALUE(RIGH"&amp;"T($A4,1))))/sum(filter(
Master_Mapping_Sheet!$E$2:$E$3143, ISNUMBER(
Master_Mapping_Sheet!$E$2:$E$3143),
Master_Mapping_Sheet!$C$2:$C$3143=I$1)))"),0.0)</f>
        <v>0</v>
      </c>
      <c r="J4" s="34">
        <f>IFERROR(__xludf.DUMMYFUNCTION("IF(ISNA(sum(filter(
Master_Mapping_Sheet!$E$2:$E$3143, ISNUMBER(
Master_Mapping_Sheet!$E$2:$E$3143),
Master_Mapping_Sheet!$C$2:$C$3143=J$1,
Master_Mapping_Sheet!$M$2:$M$3143=VALUE(RIGHT($A4,1))))/sum(filter(
Master_Mapping_Sheet!$E$2:$E$3143, ISNUMBER(
Ma"&amp;"ster_Mapping_Sheet!$E$2:$E$3143),
Master_Mapping_Sheet!$C$2:$C$3143=J$1))), 0, sum(filter(
Master_Mapping_Sheet!$E$2:$E$3143, ISNUMBER(
Master_Mapping_Sheet!$E$2:$E$3143),
Master_Mapping_Sheet!$C$2:$C$3143=J$1,
Master_Mapping_Sheet!$M$2:$M$3143=VALUE(RIGH"&amp;"T($A4,1))))/sum(filter(
Master_Mapping_Sheet!$E$2:$E$3143, ISNUMBER(
Master_Mapping_Sheet!$E$2:$E$3143),
Master_Mapping_Sheet!$C$2:$C$3143=J$1)))"),0.0)</f>
        <v>0</v>
      </c>
      <c r="K4" s="34">
        <f>IFERROR(__xludf.DUMMYFUNCTION("IF(ISNA(sum(filter(
Master_Mapping_Sheet!$E$2:$E$3143, ISNUMBER(
Master_Mapping_Sheet!$E$2:$E$3143),
Master_Mapping_Sheet!$C$2:$C$3143=K$1,
Master_Mapping_Sheet!$M$2:$M$3143=VALUE(RIGHT($A4,1))))/sum(filter(
Master_Mapping_Sheet!$E$2:$E$3143, ISNUMBER(
Ma"&amp;"ster_Mapping_Sheet!$E$2:$E$3143),
Master_Mapping_Sheet!$C$2:$C$3143=K$1))), 0, sum(filter(
Master_Mapping_Sheet!$E$2:$E$3143, ISNUMBER(
Master_Mapping_Sheet!$E$2:$E$3143),
Master_Mapping_Sheet!$C$2:$C$3143=K$1,
Master_Mapping_Sheet!$M$2:$M$3143=VALUE(RIGH"&amp;"T($A4,1))))/sum(filter(
Master_Mapping_Sheet!$E$2:$E$3143, ISNUMBER(
Master_Mapping_Sheet!$E$2:$E$3143),
Master_Mapping_Sheet!$C$2:$C$3143=K$1)))"),0.0)</f>
        <v>0</v>
      </c>
      <c r="L4" s="34">
        <f>IFERROR(__xludf.DUMMYFUNCTION("IF(ISNA(sum(filter(
Master_Mapping_Sheet!$E$2:$E$3143, ISNUMBER(
Master_Mapping_Sheet!$E$2:$E$3143),
Master_Mapping_Sheet!$C$2:$C$3143=L$1,
Master_Mapping_Sheet!$M$2:$M$3143=VALUE(RIGHT($A4,1))))/sum(filter(
Master_Mapping_Sheet!$E$2:$E$3143, ISNUMBER(
Ma"&amp;"ster_Mapping_Sheet!$E$2:$E$3143),
Master_Mapping_Sheet!$C$2:$C$3143=L$1))), 0, sum(filter(
Master_Mapping_Sheet!$E$2:$E$3143, ISNUMBER(
Master_Mapping_Sheet!$E$2:$E$3143),
Master_Mapping_Sheet!$C$2:$C$3143=L$1,
Master_Mapping_Sheet!$M$2:$M$3143=VALUE(RIGH"&amp;"T($A4,1))))/sum(filter(
Master_Mapping_Sheet!$E$2:$E$3143, ISNUMBER(
Master_Mapping_Sheet!$E$2:$E$3143),
Master_Mapping_Sheet!$C$2:$C$3143=L$1)))"),0.7865497736151409)</f>
        <v>0.7865497736</v>
      </c>
      <c r="M4" s="34">
        <f>IFERROR(__xludf.DUMMYFUNCTION("IF(ISNA(sum(filter(
Master_Mapping_Sheet!$E$2:$E$3143, ISNUMBER(
Master_Mapping_Sheet!$E$2:$E$3143),
Master_Mapping_Sheet!$C$2:$C$3143=M$1,
Master_Mapping_Sheet!$M$2:$M$3143=VALUE(RIGHT($A4,1))))/sum(filter(
Master_Mapping_Sheet!$E$2:$E$3143, ISNUMBER(
Ma"&amp;"ster_Mapping_Sheet!$E$2:$E$3143),
Master_Mapping_Sheet!$C$2:$C$3143=M$1))), 0, sum(filter(
Master_Mapping_Sheet!$E$2:$E$3143, ISNUMBER(
Master_Mapping_Sheet!$E$2:$E$3143),
Master_Mapping_Sheet!$C$2:$C$3143=M$1,
Master_Mapping_Sheet!$M$2:$M$3143=VALUE(RIGH"&amp;"T($A4,1))))/sum(filter(
Master_Mapping_Sheet!$E$2:$E$3143, ISNUMBER(
Master_Mapping_Sheet!$E$2:$E$3143),
Master_Mapping_Sheet!$C$2:$C$3143=M$1)))"),0.0)</f>
        <v>0</v>
      </c>
      <c r="N4" s="34">
        <f>IFERROR(__xludf.DUMMYFUNCTION("IF(ISNA(sum(filter(
Master_Mapping_Sheet!$E$2:$E$3143, ISNUMBER(
Master_Mapping_Sheet!$E$2:$E$3143),
Master_Mapping_Sheet!$C$2:$C$3143=N$1,
Master_Mapping_Sheet!$M$2:$M$3143=VALUE(RIGHT($A4,1))))/sum(filter(
Master_Mapping_Sheet!$E$2:$E$3143, ISNUMBER(
Ma"&amp;"ster_Mapping_Sheet!$E$2:$E$3143),
Master_Mapping_Sheet!$C$2:$C$3143=N$1))), 0, sum(filter(
Master_Mapping_Sheet!$E$2:$E$3143, ISNUMBER(
Master_Mapping_Sheet!$E$2:$E$3143),
Master_Mapping_Sheet!$C$2:$C$3143=N$1,
Master_Mapping_Sheet!$M$2:$M$3143=VALUE(RIGH"&amp;"T($A4,1))))/sum(filter(
Master_Mapping_Sheet!$E$2:$E$3143, ISNUMBER(
Master_Mapping_Sheet!$E$2:$E$3143),
Master_Mapping_Sheet!$C$2:$C$3143=N$1)))"),0.0)</f>
        <v>0</v>
      </c>
      <c r="O4" s="34">
        <f>IFERROR(__xludf.DUMMYFUNCTION("IF(ISNA(sum(filter(
Master_Mapping_Sheet!$E$2:$E$3143, ISNUMBER(
Master_Mapping_Sheet!$E$2:$E$3143),
Master_Mapping_Sheet!$C$2:$C$3143=O$1,
Master_Mapping_Sheet!$M$2:$M$3143=VALUE(RIGHT($A4,1))))/sum(filter(
Master_Mapping_Sheet!$E$2:$E$3143, ISNUMBER(
Ma"&amp;"ster_Mapping_Sheet!$E$2:$E$3143),
Master_Mapping_Sheet!$C$2:$C$3143=O$1))), 0, sum(filter(
Master_Mapping_Sheet!$E$2:$E$3143, ISNUMBER(
Master_Mapping_Sheet!$E$2:$E$3143),
Master_Mapping_Sheet!$C$2:$C$3143=O$1,
Master_Mapping_Sheet!$M$2:$M$3143=VALUE(RIGH"&amp;"T($A4,1))))/sum(filter(
Master_Mapping_Sheet!$E$2:$E$3143, ISNUMBER(
Master_Mapping_Sheet!$E$2:$E$3143),
Master_Mapping_Sheet!$C$2:$C$3143=O$1)))"),0.0)</f>
        <v>0</v>
      </c>
      <c r="P4" s="34">
        <f>IFERROR(__xludf.DUMMYFUNCTION("IF(ISNA(sum(filter(
Master_Mapping_Sheet!$E$2:$E$3143, ISNUMBER(
Master_Mapping_Sheet!$E$2:$E$3143),
Master_Mapping_Sheet!$C$2:$C$3143=P$1,
Master_Mapping_Sheet!$M$2:$M$3143=VALUE(RIGHT($A4,1))))/sum(filter(
Master_Mapping_Sheet!$E$2:$E$3143, ISNUMBER(
Ma"&amp;"ster_Mapping_Sheet!$E$2:$E$3143),
Master_Mapping_Sheet!$C$2:$C$3143=P$1))), 0, sum(filter(
Master_Mapping_Sheet!$E$2:$E$3143, ISNUMBER(
Master_Mapping_Sheet!$E$2:$E$3143),
Master_Mapping_Sheet!$C$2:$C$3143=P$1,
Master_Mapping_Sheet!$M$2:$M$3143=VALUE(RIGH"&amp;"T($A4,1))))/sum(filter(
Master_Mapping_Sheet!$E$2:$E$3143, ISNUMBER(
Master_Mapping_Sheet!$E$2:$E$3143),
Master_Mapping_Sheet!$C$2:$C$3143=P$1)))"),0.0)</f>
        <v>0</v>
      </c>
      <c r="Q4" s="34">
        <f>IFERROR(__xludf.DUMMYFUNCTION("IF(ISNA(sum(filter(
Master_Mapping_Sheet!$E$2:$E$3143, ISNUMBER(
Master_Mapping_Sheet!$E$2:$E$3143),
Master_Mapping_Sheet!$C$2:$C$3143=Q$1,
Master_Mapping_Sheet!$M$2:$M$3143=VALUE(RIGHT($A4,1))))/sum(filter(
Master_Mapping_Sheet!$E$2:$E$3143, ISNUMBER(
Ma"&amp;"ster_Mapping_Sheet!$E$2:$E$3143),
Master_Mapping_Sheet!$C$2:$C$3143=Q$1))), 0, sum(filter(
Master_Mapping_Sheet!$E$2:$E$3143, ISNUMBER(
Master_Mapping_Sheet!$E$2:$E$3143),
Master_Mapping_Sheet!$C$2:$C$3143=Q$1,
Master_Mapping_Sheet!$M$2:$M$3143=VALUE(RIGH"&amp;"T($A4,1))))/sum(filter(
Master_Mapping_Sheet!$E$2:$E$3143, ISNUMBER(
Master_Mapping_Sheet!$E$2:$E$3143),
Master_Mapping_Sheet!$C$2:$C$3143=Q$1)))"),0.0)</f>
        <v>0</v>
      </c>
      <c r="R4" s="34">
        <f>IFERROR(__xludf.DUMMYFUNCTION("IF(ISNA(sum(filter(
Master_Mapping_Sheet!$E$2:$E$3143, ISNUMBER(
Master_Mapping_Sheet!$E$2:$E$3143),
Master_Mapping_Sheet!$C$2:$C$3143=R$1,
Master_Mapping_Sheet!$M$2:$M$3143=VALUE(RIGHT($A4,1))))/sum(filter(
Master_Mapping_Sheet!$E$2:$E$3143, ISNUMBER(
Ma"&amp;"ster_Mapping_Sheet!$E$2:$E$3143),
Master_Mapping_Sheet!$C$2:$C$3143=R$1))), 0, sum(filter(
Master_Mapping_Sheet!$E$2:$E$3143, ISNUMBER(
Master_Mapping_Sheet!$E$2:$E$3143),
Master_Mapping_Sheet!$C$2:$C$3143=R$1,
Master_Mapping_Sheet!$M$2:$M$3143=VALUE(RIGH"&amp;"T($A4,1))))/sum(filter(
Master_Mapping_Sheet!$E$2:$E$3143, ISNUMBER(
Master_Mapping_Sheet!$E$2:$E$3143),
Master_Mapping_Sheet!$C$2:$C$3143=R$1)))"),0.0)</f>
        <v>0</v>
      </c>
      <c r="S4" s="34">
        <f>IFERROR(__xludf.DUMMYFUNCTION("IF(ISNA(sum(filter(
Master_Mapping_Sheet!$E$2:$E$3143, ISNUMBER(
Master_Mapping_Sheet!$E$2:$E$3143),
Master_Mapping_Sheet!$C$2:$C$3143=S$1,
Master_Mapping_Sheet!$M$2:$M$3143=VALUE(RIGHT($A4,1))))/sum(filter(
Master_Mapping_Sheet!$E$2:$E$3143, ISNUMBER(
Ma"&amp;"ster_Mapping_Sheet!$E$2:$E$3143),
Master_Mapping_Sheet!$C$2:$C$3143=S$1))), 0, sum(filter(
Master_Mapping_Sheet!$E$2:$E$3143, ISNUMBER(
Master_Mapping_Sheet!$E$2:$E$3143),
Master_Mapping_Sheet!$C$2:$C$3143=S$1,
Master_Mapping_Sheet!$M$2:$M$3143=VALUE(RIGH"&amp;"T($A4,1))))/sum(filter(
Master_Mapping_Sheet!$E$2:$E$3143, ISNUMBER(
Master_Mapping_Sheet!$E$2:$E$3143),
Master_Mapping_Sheet!$C$2:$C$3143=S$1)))"),0.0)</f>
        <v>0</v>
      </c>
      <c r="T4" s="34">
        <f>IFERROR(__xludf.DUMMYFUNCTION("IF(ISNA(sum(filter(
Master_Mapping_Sheet!$E$2:$E$3143, ISNUMBER(
Master_Mapping_Sheet!$E$2:$E$3143),
Master_Mapping_Sheet!$C$2:$C$3143=T$1,
Master_Mapping_Sheet!$M$2:$M$3143=VALUE(RIGHT($A4,1))))/sum(filter(
Master_Mapping_Sheet!$E$2:$E$3143, ISNUMBER(
Ma"&amp;"ster_Mapping_Sheet!$E$2:$E$3143),
Master_Mapping_Sheet!$C$2:$C$3143=T$1))), 0, sum(filter(
Master_Mapping_Sheet!$E$2:$E$3143, ISNUMBER(
Master_Mapping_Sheet!$E$2:$E$3143),
Master_Mapping_Sheet!$C$2:$C$3143=T$1,
Master_Mapping_Sheet!$M$2:$M$3143=VALUE(RIGH"&amp;"T($A4,1))))/sum(filter(
Master_Mapping_Sheet!$E$2:$E$3143, ISNUMBER(
Master_Mapping_Sheet!$E$2:$E$3143),
Master_Mapping_Sheet!$C$2:$C$3143=T$1)))"),0.21313587606141046)</f>
        <v>0.2131358761</v>
      </c>
      <c r="U4" s="34">
        <f>IFERROR(__xludf.DUMMYFUNCTION("IF(ISNA(sum(filter(
Master_Mapping_Sheet!$E$2:$E$3143, ISNUMBER(
Master_Mapping_Sheet!$E$2:$E$3143),
Master_Mapping_Sheet!$C$2:$C$3143=U$1,
Master_Mapping_Sheet!$M$2:$M$3143=VALUE(RIGHT($A4,1))))/sum(filter(
Master_Mapping_Sheet!$E$2:$E$3143, ISNUMBER(
Ma"&amp;"ster_Mapping_Sheet!$E$2:$E$3143),
Master_Mapping_Sheet!$C$2:$C$3143=U$1))), 0, sum(filter(
Master_Mapping_Sheet!$E$2:$E$3143, ISNUMBER(
Master_Mapping_Sheet!$E$2:$E$3143),
Master_Mapping_Sheet!$C$2:$C$3143=U$1,
Master_Mapping_Sheet!$M$2:$M$3143=VALUE(RIGH"&amp;"T($A4,1))))/sum(filter(
Master_Mapping_Sheet!$E$2:$E$3143, ISNUMBER(
Master_Mapping_Sheet!$E$2:$E$3143),
Master_Mapping_Sheet!$C$2:$C$3143=U$1)))"),0.0)</f>
        <v>0</v>
      </c>
      <c r="V4" s="34">
        <f>IFERROR(__xludf.DUMMYFUNCTION("IF(ISNA(sum(filter(
Master_Mapping_Sheet!$E$2:$E$3143, ISNUMBER(
Master_Mapping_Sheet!$E$2:$E$3143),
Master_Mapping_Sheet!$C$2:$C$3143=V$1,
Master_Mapping_Sheet!$M$2:$M$3143=VALUE(RIGHT($A4,1))))/sum(filter(
Master_Mapping_Sheet!$E$2:$E$3143, ISNUMBER(
Ma"&amp;"ster_Mapping_Sheet!$E$2:$E$3143),
Master_Mapping_Sheet!$C$2:$C$3143=V$1))), 0, sum(filter(
Master_Mapping_Sheet!$E$2:$E$3143, ISNUMBER(
Master_Mapping_Sheet!$E$2:$E$3143),
Master_Mapping_Sheet!$C$2:$C$3143=V$1,
Master_Mapping_Sheet!$M$2:$M$3143=VALUE(RIGH"&amp;"T($A4,1))))/sum(filter(
Master_Mapping_Sheet!$E$2:$E$3143, ISNUMBER(
Master_Mapping_Sheet!$E$2:$E$3143),
Master_Mapping_Sheet!$C$2:$C$3143=V$1)))"),0.0)</f>
        <v>0</v>
      </c>
      <c r="W4" s="34">
        <f>IFERROR(__xludf.DUMMYFUNCTION("IF(ISNA(sum(filter(
Master_Mapping_Sheet!$E$2:$E$3143, ISNUMBER(
Master_Mapping_Sheet!$E$2:$E$3143),
Master_Mapping_Sheet!$C$2:$C$3143=W$1,
Master_Mapping_Sheet!$M$2:$M$3143=VALUE(RIGHT($A4,1))))/sum(filter(
Master_Mapping_Sheet!$E$2:$E$3143, ISNUMBER(
Ma"&amp;"ster_Mapping_Sheet!$E$2:$E$3143),
Master_Mapping_Sheet!$C$2:$C$3143=W$1))), 0, sum(filter(
Master_Mapping_Sheet!$E$2:$E$3143, ISNUMBER(
Master_Mapping_Sheet!$E$2:$E$3143),
Master_Mapping_Sheet!$C$2:$C$3143=W$1,
Master_Mapping_Sheet!$M$2:$M$3143=VALUE(RIGH"&amp;"T($A4,1))))/sum(filter(
Master_Mapping_Sheet!$E$2:$E$3143, ISNUMBER(
Master_Mapping_Sheet!$E$2:$E$3143),
Master_Mapping_Sheet!$C$2:$C$3143=W$1)))"),0.0)</f>
        <v>0</v>
      </c>
      <c r="X4" s="34">
        <f>IFERROR(__xludf.DUMMYFUNCTION("IF(ISNA(sum(filter(
Master_Mapping_Sheet!$E$2:$E$3143, ISNUMBER(
Master_Mapping_Sheet!$E$2:$E$3143),
Master_Mapping_Sheet!$C$2:$C$3143=X$1,
Master_Mapping_Sheet!$M$2:$M$3143=VALUE(RIGHT($A4,1))))/sum(filter(
Master_Mapping_Sheet!$E$2:$E$3143, ISNUMBER(
Ma"&amp;"ster_Mapping_Sheet!$E$2:$E$3143),
Master_Mapping_Sheet!$C$2:$C$3143=X$1))), 0, sum(filter(
Master_Mapping_Sheet!$E$2:$E$3143, ISNUMBER(
Master_Mapping_Sheet!$E$2:$E$3143),
Master_Mapping_Sheet!$C$2:$C$3143=X$1,
Master_Mapping_Sheet!$M$2:$M$3143=VALUE(RIGH"&amp;"T($A4,1))))/sum(filter(
Master_Mapping_Sheet!$E$2:$E$3143, ISNUMBER(
Master_Mapping_Sheet!$E$2:$E$3143),
Master_Mapping_Sheet!$C$2:$C$3143=X$1)))"),0.0)</f>
        <v>0</v>
      </c>
      <c r="Y4" s="34">
        <f>IFERROR(__xludf.DUMMYFUNCTION("IF(ISNA(sum(filter(
Master_Mapping_Sheet!$E$2:$E$3143, ISNUMBER(
Master_Mapping_Sheet!$E$2:$E$3143),
Master_Mapping_Sheet!$C$2:$C$3143=Y$1,
Master_Mapping_Sheet!$M$2:$M$3143=VALUE(RIGHT($A4,1))))/sum(filter(
Master_Mapping_Sheet!$E$2:$E$3143, ISNUMBER(
Ma"&amp;"ster_Mapping_Sheet!$E$2:$E$3143),
Master_Mapping_Sheet!$C$2:$C$3143=Y$1))), 0, sum(filter(
Master_Mapping_Sheet!$E$2:$E$3143, ISNUMBER(
Master_Mapping_Sheet!$E$2:$E$3143),
Master_Mapping_Sheet!$C$2:$C$3143=Y$1,
Master_Mapping_Sheet!$M$2:$M$3143=VALUE(RIGH"&amp;"T($A4,1))))/sum(filter(
Master_Mapping_Sheet!$E$2:$E$3143, ISNUMBER(
Master_Mapping_Sheet!$E$2:$E$3143),
Master_Mapping_Sheet!$C$2:$C$3143=Y$1)))"),0.0)</f>
        <v>0</v>
      </c>
      <c r="Z4" s="34">
        <f>IFERROR(__xludf.DUMMYFUNCTION("IF(ISNA(sum(filter(
Master_Mapping_Sheet!$E$2:$E$3143, ISNUMBER(
Master_Mapping_Sheet!$E$2:$E$3143),
Master_Mapping_Sheet!$C$2:$C$3143=Z$1,
Master_Mapping_Sheet!$M$2:$M$3143=VALUE(RIGHT($A4,1))))/sum(filter(
Master_Mapping_Sheet!$E$2:$E$3143, ISNUMBER(
Ma"&amp;"ster_Mapping_Sheet!$E$2:$E$3143),
Master_Mapping_Sheet!$C$2:$C$3143=Z$1))), 0, sum(filter(
Master_Mapping_Sheet!$E$2:$E$3143, ISNUMBER(
Master_Mapping_Sheet!$E$2:$E$3143),
Master_Mapping_Sheet!$C$2:$C$3143=Z$1,
Master_Mapping_Sheet!$M$2:$M$3143=VALUE(RIGH"&amp;"T($A4,1))))/sum(filter(
Master_Mapping_Sheet!$E$2:$E$3143, ISNUMBER(
Master_Mapping_Sheet!$E$2:$E$3143),
Master_Mapping_Sheet!$C$2:$C$3143=Z$1)))"),0.8367535352367086)</f>
        <v>0.8367535352</v>
      </c>
      <c r="AA4" s="34">
        <f>IFERROR(__xludf.DUMMYFUNCTION("IF(ISNA(sum(filter(
Master_Mapping_Sheet!$E$2:$E$3143, ISNUMBER(
Master_Mapping_Sheet!$E$2:$E$3143),
Master_Mapping_Sheet!$C$2:$C$3143=AA$1,
Master_Mapping_Sheet!$M$2:$M$3143=VALUE(RIGHT($A4,1))))/sum(filter(
Master_Mapping_Sheet!$E$2:$E$3143, ISNUMBER(
M"&amp;"aster_Mapping_Sheet!$E$2:$E$3143),
Master_Mapping_Sheet!$C$2:$C$3143=AA$1))), 0, sum(filter(
Master_Mapping_Sheet!$E$2:$E$3143, ISNUMBER(
Master_Mapping_Sheet!$E$2:$E$3143),
Master_Mapping_Sheet!$C$2:$C$3143=AA$1,
Master_Mapping_Sheet!$M$2:$M$3143=VALUE(R"&amp;"IGHT($A4,1))))/sum(filter(
Master_Mapping_Sheet!$E$2:$E$3143, ISNUMBER(
Master_Mapping_Sheet!$E$2:$E$3143),
Master_Mapping_Sheet!$C$2:$C$3143=AA$1)))"),0.0)</f>
        <v>0</v>
      </c>
      <c r="AB4" s="34">
        <f>IFERROR(__xludf.DUMMYFUNCTION("IF(ISNA(sum(filter(
Master_Mapping_Sheet!$E$2:$E$3143, ISNUMBER(
Master_Mapping_Sheet!$E$2:$E$3143),
Master_Mapping_Sheet!$C$2:$C$3143=AB$1,
Master_Mapping_Sheet!$M$2:$M$3143=VALUE(RIGHT($A4,1))))/sum(filter(
Master_Mapping_Sheet!$E$2:$E$3143, ISNUMBER(
M"&amp;"aster_Mapping_Sheet!$E$2:$E$3143),
Master_Mapping_Sheet!$C$2:$C$3143=AB$1))), 0, sum(filter(
Master_Mapping_Sheet!$E$2:$E$3143, ISNUMBER(
Master_Mapping_Sheet!$E$2:$E$3143),
Master_Mapping_Sheet!$C$2:$C$3143=AB$1,
Master_Mapping_Sheet!$M$2:$M$3143=VALUE(R"&amp;"IGHT($A4,1))))/sum(filter(
Master_Mapping_Sheet!$E$2:$E$3143, ISNUMBER(
Master_Mapping_Sheet!$E$2:$E$3143),
Master_Mapping_Sheet!$C$2:$C$3143=AB$1)))"),0.0)</f>
        <v>0</v>
      </c>
      <c r="AC4" s="34">
        <f>IFERROR(__xludf.DUMMYFUNCTION("IF(ISNA(sum(filter(
Master_Mapping_Sheet!$E$2:$E$3143, ISNUMBER(
Master_Mapping_Sheet!$E$2:$E$3143),
Master_Mapping_Sheet!$C$2:$C$3143=AC$1,
Master_Mapping_Sheet!$M$2:$M$3143=VALUE(RIGHT($A4,1))))/sum(filter(
Master_Mapping_Sheet!$E$2:$E$3143, ISNUMBER(
M"&amp;"aster_Mapping_Sheet!$E$2:$E$3143),
Master_Mapping_Sheet!$C$2:$C$3143=AC$1))), 0, sum(filter(
Master_Mapping_Sheet!$E$2:$E$3143, ISNUMBER(
Master_Mapping_Sheet!$E$2:$E$3143),
Master_Mapping_Sheet!$C$2:$C$3143=AC$1,
Master_Mapping_Sheet!$M$2:$M$3143=VALUE(R"&amp;"IGHT($A4,1))))/sum(filter(
Master_Mapping_Sheet!$E$2:$E$3143, ISNUMBER(
Master_Mapping_Sheet!$E$2:$E$3143),
Master_Mapping_Sheet!$C$2:$C$3143=AC$1)))"),0.0)</f>
        <v>0</v>
      </c>
      <c r="AD4" s="34">
        <f>IFERROR(__xludf.DUMMYFUNCTION("IF(ISNA(sum(filter(
Master_Mapping_Sheet!$E$2:$E$3143, ISNUMBER(
Master_Mapping_Sheet!$E$2:$E$3143),
Master_Mapping_Sheet!$C$2:$C$3143=AD$1,
Master_Mapping_Sheet!$M$2:$M$3143=VALUE(RIGHT($A4,1))))/sum(filter(
Master_Mapping_Sheet!$E$2:$E$3143, ISNUMBER(
M"&amp;"aster_Mapping_Sheet!$E$2:$E$3143),
Master_Mapping_Sheet!$C$2:$C$3143=AD$1))), 0, sum(filter(
Master_Mapping_Sheet!$E$2:$E$3143, ISNUMBER(
Master_Mapping_Sheet!$E$2:$E$3143),
Master_Mapping_Sheet!$C$2:$C$3143=AD$1,
Master_Mapping_Sheet!$M$2:$M$3143=VALUE(R"&amp;"IGHT($A4,1))))/sum(filter(
Master_Mapping_Sheet!$E$2:$E$3143, ISNUMBER(
Master_Mapping_Sheet!$E$2:$E$3143),
Master_Mapping_Sheet!$C$2:$C$3143=AD$1)))"),0.7315104114488369)</f>
        <v>0.7315104114</v>
      </c>
      <c r="AE4" s="34">
        <f>IFERROR(__xludf.DUMMYFUNCTION("IF(ISNA(sum(filter(
Master_Mapping_Sheet!$E$2:$E$3143, ISNUMBER(
Master_Mapping_Sheet!$E$2:$E$3143),
Master_Mapping_Sheet!$C$2:$C$3143=AE$1,
Master_Mapping_Sheet!$M$2:$M$3143=VALUE(RIGHT($A4,1))))/sum(filter(
Master_Mapping_Sheet!$E$2:$E$3143, ISNUMBER(
M"&amp;"aster_Mapping_Sheet!$E$2:$E$3143),
Master_Mapping_Sheet!$C$2:$C$3143=AE$1))), 0, sum(filter(
Master_Mapping_Sheet!$E$2:$E$3143, ISNUMBER(
Master_Mapping_Sheet!$E$2:$E$3143),
Master_Mapping_Sheet!$C$2:$C$3143=AE$1,
Master_Mapping_Sheet!$M$2:$M$3143=VALUE(R"&amp;"IGHT($A4,1))))/sum(filter(
Master_Mapping_Sheet!$E$2:$E$3143, ISNUMBER(
Master_Mapping_Sheet!$E$2:$E$3143),
Master_Mapping_Sheet!$C$2:$C$3143=AE$1)))"),0.0)</f>
        <v>0</v>
      </c>
      <c r="AF4" s="34">
        <f>IFERROR(__xludf.DUMMYFUNCTION("IF(ISNA(sum(filter(
Master_Mapping_Sheet!$E$2:$E$3143, ISNUMBER(
Master_Mapping_Sheet!$E$2:$E$3143),
Master_Mapping_Sheet!$C$2:$C$3143=AF$1,
Master_Mapping_Sheet!$M$2:$M$3143=VALUE(RIGHT($A4,1))))/sum(filter(
Master_Mapping_Sheet!$E$2:$E$3143, ISNUMBER(
M"&amp;"aster_Mapping_Sheet!$E$2:$E$3143),
Master_Mapping_Sheet!$C$2:$C$3143=AF$1))), 0, sum(filter(
Master_Mapping_Sheet!$E$2:$E$3143, ISNUMBER(
Master_Mapping_Sheet!$E$2:$E$3143),
Master_Mapping_Sheet!$C$2:$C$3143=AF$1,
Master_Mapping_Sheet!$M$2:$M$3143=VALUE(R"&amp;"IGHT($A4,1))))/sum(filter(
Master_Mapping_Sheet!$E$2:$E$3143, ISNUMBER(
Master_Mapping_Sheet!$E$2:$E$3143),
Master_Mapping_Sheet!$C$2:$C$3143=AF$1)))"),0.0)</f>
        <v>0</v>
      </c>
      <c r="AG4" s="34">
        <f>IFERROR(__xludf.DUMMYFUNCTION("IF(ISNA(sum(filter(
Master_Mapping_Sheet!$E$2:$E$3143, ISNUMBER(
Master_Mapping_Sheet!$E$2:$E$3143),
Master_Mapping_Sheet!$C$2:$C$3143=AG$1,
Master_Mapping_Sheet!$M$2:$M$3143=VALUE(RIGHT($A4,1))))/sum(filter(
Master_Mapping_Sheet!$E$2:$E$3143, ISNUMBER(
M"&amp;"aster_Mapping_Sheet!$E$2:$E$3143),
Master_Mapping_Sheet!$C$2:$C$3143=AG$1))), 0, sum(filter(
Master_Mapping_Sheet!$E$2:$E$3143, ISNUMBER(
Master_Mapping_Sheet!$E$2:$E$3143),
Master_Mapping_Sheet!$C$2:$C$3143=AG$1,
Master_Mapping_Sheet!$M$2:$M$3143=VALUE(R"&amp;"IGHT($A4,1))))/sum(filter(
Master_Mapping_Sheet!$E$2:$E$3143, ISNUMBER(
Master_Mapping_Sheet!$E$2:$E$3143),
Master_Mapping_Sheet!$C$2:$C$3143=AG$1)))"),0.245587458397793)</f>
        <v>0.2455874584</v>
      </c>
      <c r="AH4" s="34">
        <f>IFERROR(__xludf.DUMMYFUNCTION("IF(ISNA(sum(filter(
Master_Mapping_Sheet!$E$2:$E$3143, ISNUMBER(
Master_Mapping_Sheet!$E$2:$E$3143),
Master_Mapping_Sheet!$C$2:$C$3143=AH$1,
Master_Mapping_Sheet!$M$2:$M$3143=VALUE(RIGHT($A4,1))))/sum(filter(
Master_Mapping_Sheet!$E$2:$E$3143, ISNUMBER(
M"&amp;"aster_Mapping_Sheet!$E$2:$E$3143),
Master_Mapping_Sheet!$C$2:$C$3143=AH$1))), 0, sum(filter(
Master_Mapping_Sheet!$E$2:$E$3143, ISNUMBER(
Master_Mapping_Sheet!$E$2:$E$3143),
Master_Mapping_Sheet!$C$2:$C$3143=AH$1,
Master_Mapping_Sheet!$M$2:$M$3143=VALUE(R"&amp;"IGHT($A4,1))))/sum(filter(
Master_Mapping_Sheet!$E$2:$E$3143, ISNUMBER(
Master_Mapping_Sheet!$E$2:$E$3143),
Master_Mapping_Sheet!$C$2:$C$3143=AH$1)))"),0.0)</f>
        <v>0</v>
      </c>
      <c r="AI4" s="34">
        <f>IFERROR(__xludf.DUMMYFUNCTION("IF(ISNA(sum(filter(
Master_Mapping_Sheet!$E$2:$E$3143, ISNUMBER(
Master_Mapping_Sheet!$E$2:$E$3143),
Master_Mapping_Sheet!$C$2:$C$3143=AI$1,
Master_Mapping_Sheet!$M$2:$M$3143=VALUE(RIGHT($A4,1))))/sum(filter(
Master_Mapping_Sheet!$E$2:$E$3143, ISNUMBER(
M"&amp;"aster_Mapping_Sheet!$E$2:$E$3143),
Master_Mapping_Sheet!$C$2:$C$3143=AI$1))), 0, sum(filter(
Master_Mapping_Sheet!$E$2:$E$3143, ISNUMBER(
Master_Mapping_Sheet!$E$2:$E$3143),
Master_Mapping_Sheet!$C$2:$C$3143=AI$1,
Master_Mapping_Sheet!$M$2:$M$3143=VALUE(R"&amp;"IGHT($A4,1))))/sum(filter(
Master_Mapping_Sheet!$E$2:$E$3143, ISNUMBER(
Master_Mapping_Sheet!$E$2:$E$3143),
Master_Mapping_Sheet!$C$2:$C$3143=AI$1)))"),0.4813008473727679)</f>
        <v>0.4813008474</v>
      </c>
      <c r="AJ4" s="34">
        <f>IFERROR(__xludf.DUMMYFUNCTION("IF(ISNA(sum(filter(
Master_Mapping_Sheet!$E$2:$E$3143, ISNUMBER(
Master_Mapping_Sheet!$E$2:$E$3143),
Master_Mapping_Sheet!$C$2:$C$3143=AJ$1,
Master_Mapping_Sheet!$M$2:$M$3143=VALUE(RIGHT($A4,1))))/sum(filter(
Master_Mapping_Sheet!$E$2:$E$3143, ISNUMBER(
M"&amp;"aster_Mapping_Sheet!$E$2:$E$3143),
Master_Mapping_Sheet!$C$2:$C$3143=AJ$1))), 0, sum(filter(
Master_Mapping_Sheet!$E$2:$E$3143, ISNUMBER(
Master_Mapping_Sheet!$E$2:$E$3143),
Master_Mapping_Sheet!$C$2:$C$3143=AJ$1,
Master_Mapping_Sheet!$M$2:$M$3143=VALUE(R"&amp;"IGHT($A4,1))))/sum(filter(
Master_Mapping_Sheet!$E$2:$E$3143, ISNUMBER(
Master_Mapping_Sheet!$E$2:$E$3143),
Master_Mapping_Sheet!$C$2:$C$3143=AJ$1)))"),0.0)</f>
        <v>0</v>
      </c>
      <c r="AK4" s="34">
        <f>IFERROR(__xludf.DUMMYFUNCTION("IF(ISNA(sum(filter(
Master_Mapping_Sheet!$E$2:$E$3143, ISNUMBER(
Master_Mapping_Sheet!$E$2:$E$3143),
Master_Mapping_Sheet!$C$2:$C$3143=AK$1,
Master_Mapping_Sheet!$M$2:$M$3143=VALUE(RIGHT($A4,1))))/sum(filter(
Master_Mapping_Sheet!$E$2:$E$3143, ISNUMBER(
M"&amp;"aster_Mapping_Sheet!$E$2:$E$3143),
Master_Mapping_Sheet!$C$2:$C$3143=AK$1))), 0, sum(filter(
Master_Mapping_Sheet!$E$2:$E$3143, ISNUMBER(
Master_Mapping_Sheet!$E$2:$E$3143),
Master_Mapping_Sheet!$C$2:$C$3143=AK$1,
Master_Mapping_Sheet!$M$2:$M$3143=VALUE(R"&amp;"IGHT($A4,1))))/sum(filter(
Master_Mapping_Sheet!$E$2:$E$3143, ISNUMBER(
Master_Mapping_Sheet!$E$2:$E$3143),
Master_Mapping_Sheet!$C$2:$C$3143=AK$1)))"),0.0)</f>
        <v>0</v>
      </c>
      <c r="AL4" s="34">
        <f>IFERROR(__xludf.DUMMYFUNCTION("IF(ISNA(sum(filter(
Master_Mapping_Sheet!$E$2:$E$3143, ISNUMBER(
Master_Mapping_Sheet!$E$2:$E$3143),
Master_Mapping_Sheet!$C$2:$C$3143=AL$1,
Master_Mapping_Sheet!$M$2:$M$3143=VALUE(RIGHT($A4,1))))/sum(filter(
Master_Mapping_Sheet!$E$2:$E$3143, ISNUMBER(
M"&amp;"aster_Mapping_Sheet!$E$2:$E$3143),
Master_Mapping_Sheet!$C$2:$C$3143=AL$1))), 0, sum(filter(
Master_Mapping_Sheet!$E$2:$E$3143, ISNUMBER(
Master_Mapping_Sheet!$E$2:$E$3143),
Master_Mapping_Sheet!$C$2:$C$3143=AL$1,
Master_Mapping_Sheet!$M$2:$M$3143=VALUE(R"&amp;"IGHT($A4,1))))/sum(filter(
Master_Mapping_Sheet!$E$2:$E$3143, ISNUMBER(
Master_Mapping_Sheet!$E$2:$E$3143),
Master_Mapping_Sheet!$C$2:$C$3143=AL$1)))"),0.9931965472600686)</f>
        <v>0.9931965473</v>
      </c>
      <c r="AM4" s="34">
        <f>IFERROR(__xludf.DUMMYFUNCTION("IF(ISNA(sum(filter(
Master_Mapping_Sheet!$E$2:$E$3143, ISNUMBER(
Master_Mapping_Sheet!$E$2:$E$3143),
Master_Mapping_Sheet!$C$2:$C$3143=AM$1,
Master_Mapping_Sheet!$M$2:$M$3143=VALUE(RIGHT($A4,1))))/sum(filter(
Master_Mapping_Sheet!$E$2:$E$3143, ISNUMBER(
M"&amp;"aster_Mapping_Sheet!$E$2:$E$3143),
Master_Mapping_Sheet!$C$2:$C$3143=AM$1))), 0, sum(filter(
Master_Mapping_Sheet!$E$2:$E$3143, ISNUMBER(
Master_Mapping_Sheet!$E$2:$E$3143),
Master_Mapping_Sheet!$C$2:$C$3143=AM$1,
Master_Mapping_Sheet!$M$2:$M$3143=VALUE(R"&amp;"IGHT($A4,1))))/sum(filter(
Master_Mapping_Sheet!$E$2:$E$3143, ISNUMBER(
Master_Mapping_Sheet!$E$2:$E$3143),
Master_Mapping_Sheet!$C$2:$C$3143=AM$1)))"),0.0)</f>
        <v>0</v>
      </c>
      <c r="AN4" s="34">
        <f>IFERROR(__xludf.DUMMYFUNCTION("IF(ISNA(sum(filter(
Master_Mapping_Sheet!$E$2:$E$3143, ISNUMBER(
Master_Mapping_Sheet!$E$2:$E$3143),
Master_Mapping_Sheet!$C$2:$C$3143=AN$1,
Master_Mapping_Sheet!$M$2:$M$3143=VALUE(RIGHT($A4,1))))/sum(filter(
Master_Mapping_Sheet!$E$2:$E$3143, ISNUMBER(
M"&amp;"aster_Mapping_Sheet!$E$2:$E$3143),
Master_Mapping_Sheet!$C$2:$C$3143=AN$1))), 0, sum(filter(
Master_Mapping_Sheet!$E$2:$E$3143, ISNUMBER(
Master_Mapping_Sheet!$E$2:$E$3143),
Master_Mapping_Sheet!$C$2:$C$3143=AN$1,
Master_Mapping_Sheet!$M$2:$M$3143=VALUE(R"&amp;"IGHT($A4,1))))/sum(filter(
Master_Mapping_Sheet!$E$2:$E$3143, ISNUMBER(
Master_Mapping_Sheet!$E$2:$E$3143),
Master_Mapping_Sheet!$C$2:$C$3143=AN$1)))"),0.0)</f>
        <v>0</v>
      </c>
      <c r="AO4" s="34">
        <f>IFERROR(__xludf.DUMMYFUNCTION("IF(ISNA(sum(filter(
Master_Mapping_Sheet!$E$2:$E$3143, ISNUMBER(
Master_Mapping_Sheet!$E$2:$E$3143),
Master_Mapping_Sheet!$C$2:$C$3143=AO$1,
Master_Mapping_Sheet!$M$2:$M$3143=VALUE(RIGHT($A4,1))))/sum(filter(
Master_Mapping_Sheet!$E$2:$E$3143, ISNUMBER(
M"&amp;"aster_Mapping_Sheet!$E$2:$E$3143),
Master_Mapping_Sheet!$C$2:$C$3143=AO$1))), 0, sum(filter(
Master_Mapping_Sheet!$E$2:$E$3143, ISNUMBER(
Master_Mapping_Sheet!$E$2:$E$3143),
Master_Mapping_Sheet!$C$2:$C$3143=AO$1,
Master_Mapping_Sheet!$M$2:$M$3143=VALUE(R"&amp;"IGHT($A4,1))))/sum(filter(
Master_Mapping_Sheet!$E$2:$E$3143, ISNUMBER(
Master_Mapping_Sheet!$E$2:$E$3143),
Master_Mapping_Sheet!$C$2:$C$3143=AO$1)))"),0.0)</f>
        <v>0</v>
      </c>
      <c r="AP4" s="34">
        <f>IFERROR(__xludf.DUMMYFUNCTION("IF(ISNA(sum(filter(
Master_Mapping_Sheet!$E$2:$E$3143, ISNUMBER(
Master_Mapping_Sheet!$E$2:$E$3143),
Master_Mapping_Sheet!$C$2:$C$3143=AP$1,
Master_Mapping_Sheet!$M$2:$M$3143=VALUE(RIGHT($A4,1))))/sum(filter(
Master_Mapping_Sheet!$E$2:$E$3143, ISNUMBER(
M"&amp;"aster_Mapping_Sheet!$E$2:$E$3143),
Master_Mapping_Sheet!$C$2:$C$3143=AP$1))), 0, sum(filter(
Master_Mapping_Sheet!$E$2:$E$3143, ISNUMBER(
Master_Mapping_Sheet!$E$2:$E$3143),
Master_Mapping_Sheet!$C$2:$C$3143=AP$1,
Master_Mapping_Sheet!$M$2:$M$3143=VALUE(R"&amp;"IGHT($A4,1))))/sum(filter(
Master_Mapping_Sheet!$E$2:$E$3143, ISNUMBER(
Master_Mapping_Sheet!$E$2:$E$3143),
Master_Mapping_Sheet!$C$2:$C$3143=AP$1)))"),1.0)</f>
        <v>1</v>
      </c>
      <c r="AQ4" s="34">
        <f>IFERROR(__xludf.DUMMYFUNCTION("IF(ISNA(sum(filter(
Master_Mapping_Sheet!$E$2:$E$3143, ISNUMBER(
Master_Mapping_Sheet!$E$2:$E$3143),
Master_Mapping_Sheet!$C$2:$C$3143=AQ$1,
Master_Mapping_Sheet!$M$2:$M$3143=VALUE(RIGHT($A4,1))))/sum(filter(
Master_Mapping_Sheet!$E$2:$E$3143, ISNUMBER(
M"&amp;"aster_Mapping_Sheet!$E$2:$E$3143),
Master_Mapping_Sheet!$C$2:$C$3143=AQ$1))), 0, sum(filter(
Master_Mapping_Sheet!$E$2:$E$3143, ISNUMBER(
Master_Mapping_Sheet!$E$2:$E$3143),
Master_Mapping_Sheet!$C$2:$C$3143=AQ$1,
Master_Mapping_Sheet!$M$2:$M$3143=VALUE(R"&amp;"IGHT($A4,1))))/sum(filter(
Master_Mapping_Sheet!$E$2:$E$3143, ISNUMBER(
Master_Mapping_Sheet!$E$2:$E$3143),
Master_Mapping_Sheet!$C$2:$C$3143=AQ$1)))"),0.0)</f>
        <v>0</v>
      </c>
      <c r="AR4" s="34">
        <f>IFERROR(__xludf.DUMMYFUNCTION("IF(ISNA(sum(filter(
Master_Mapping_Sheet!$E$2:$E$3143, ISNUMBER(
Master_Mapping_Sheet!$E$2:$E$3143),
Master_Mapping_Sheet!$C$2:$C$3143=AR$1,
Master_Mapping_Sheet!$M$2:$M$3143=VALUE(RIGHT($A4,1))))/sum(filter(
Master_Mapping_Sheet!$E$2:$E$3143, ISNUMBER(
M"&amp;"aster_Mapping_Sheet!$E$2:$E$3143),
Master_Mapping_Sheet!$C$2:$C$3143=AR$1))), 0, sum(filter(
Master_Mapping_Sheet!$E$2:$E$3143, ISNUMBER(
Master_Mapping_Sheet!$E$2:$E$3143),
Master_Mapping_Sheet!$C$2:$C$3143=AR$1,
Master_Mapping_Sheet!$M$2:$M$3143=VALUE(R"&amp;"IGHT($A4,1))))/sum(filter(
Master_Mapping_Sheet!$E$2:$E$3143, ISNUMBER(
Master_Mapping_Sheet!$E$2:$E$3143),
Master_Mapping_Sheet!$C$2:$C$3143=AR$1)))"),0.18786600245927554)</f>
        <v>0.1878660025</v>
      </c>
      <c r="AS4" s="34">
        <f>IFERROR(__xludf.DUMMYFUNCTION("IF(ISNA(sum(filter(
Master_Mapping_Sheet!$E$2:$E$3143, ISNUMBER(
Master_Mapping_Sheet!$E$2:$E$3143),
Master_Mapping_Sheet!$C$2:$C$3143=AS$1,
Master_Mapping_Sheet!$M$2:$M$3143=VALUE(RIGHT($A4,1))))/sum(filter(
Master_Mapping_Sheet!$E$2:$E$3143, ISNUMBER(
M"&amp;"aster_Mapping_Sheet!$E$2:$E$3143),
Master_Mapping_Sheet!$C$2:$C$3143=AS$1))), 0, sum(filter(
Master_Mapping_Sheet!$E$2:$E$3143, ISNUMBER(
Master_Mapping_Sheet!$E$2:$E$3143),
Master_Mapping_Sheet!$C$2:$C$3143=AS$1,
Master_Mapping_Sheet!$M$2:$M$3143=VALUE(R"&amp;"IGHT($A4,1))))/sum(filter(
Master_Mapping_Sheet!$E$2:$E$3143, ISNUMBER(
Master_Mapping_Sheet!$E$2:$E$3143),
Master_Mapping_Sheet!$C$2:$C$3143=AS$1)))"),0.4081199605249281)</f>
        <v>0.4081199605</v>
      </c>
      <c r="AT4" s="34">
        <f>IFERROR(__xludf.DUMMYFUNCTION("IF(ISNA(sum(filter(
Master_Mapping_Sheet!$E$2:$E$3143, ISNUMBER(
Master_Mapping_Sheet!$E$2:$E$3143),
Master_Mapping_Sheet!$C$2:$C$3143=AT$1,
Master_Mapping_Sheet!$M$2:$M$3143=VALUE(RIGHT($A4,1))))/sum(filter(
Master_Mapping_Sheet!$E$2:$E$3143, ISNUMBER(
M"&amp;"aster_Mapping_Sheet!$E$2:$E$3143),
Master_Mapping_Sheet!$C$2:$C$3143=AT$1))), 0, sum(filter(
Master_Mapping_Sheet!$E$2:$E$3143, ISNUMBER(
Master_Mapping_Sheet!$E$2:$E$3143),
Master_Mapping_Sheet!$C$2:$C$3143=AT$1,
Master_Mapping_Sheet!$M$2:$M$3143=VALUE(R"&amp;"IGHT($A4,1))))/sum(filter(
Master_Mapping_Sheet!$E$2:$E$3143, ISNUMBER(
Master_Mapping_Sheet!$E$2:$E$3143),
Master_Mapping_Sheet!$C$2:$C$3143=AT$1)))"),0.05923573923541153)</f>
        <v>0.05923573924</v>
      </c>
      <c r="AU4" s="34">
        <f>IFERROR(__xludf.DUMMYFUNCTION("IF(ISNA(sum(filter(
Master_Mapping_Sheet!$E$2:$E$3143, ISNUMBER(
Master_Mapping_Sheet!$E$2:$E$3143),
Master_Mapping_Sheet!$C$2:$C$3143=AU$1,
Master_Mapping_Sheet!$M$2:$M$3143=VALUE(RIGHT($A4,1))))/sum(filter(
Master_Mapping_Sheet!$E$2:$E$3143, ISNUMBER(
M"&amp;"aster_Mapping_Sheet!$E$2:$E$3143),
Master_Mapping_Sheet!$C$2:$C$3143=AU$1))), 0, sum(filter(
Master_Mapping_Sheet!$E$2:$E$3143, ISNUMBER(
Master_Mapping_Sheet!$E$2:$E$3143),
Master_Mapping_Sheet!$C$2:$C$3143=AU$1,
Master_Mapping_Sheet!$M$2:$M$3143=VALUE(R"&amp;"IGHT($A4,1))))/sum(filter(
Master_Mapping_Sheet!$E$2:$E$3143, ISNUMBER(
Master_Mapping_Sheet!$E$2:$E$3143),
Master_Mapping_Sheet!$C$2:$C$3143=AU$1)))"),0.0)</f>
        <v>0</v>
      </c>
      <c r="AV4" s="34">
        <f>IFERROR(__xludf.DUMMYFUNCTION("IF(ISNA(sum(filter(
Master_Mapping_Sheet!$E$2:$E$3143, ISNUMBER(
Master_Mapping_Sheet!$E$2:$E$3143),
Master_Mapping_Sheet!$C$2:$C$3143=AV$1,
Master_Mapping_Sheet!$M$2:$M$3143=VALUE(RIGHT($A4,1))))/sum(filter(
Master_Mapping_Sheet!$E$2:$E$3143, ISNUMBER(
M"&amp;"aster_Mapping_Sheet!$E$2:$E$3143),
Master_Mapping_Sheet!$C$2:$C$3143=AV$1))), 0, sum(filter(
Master_Mapping_Sheet!$E$2:$E$3143, ISNUMBER(
Master_Mapping_Sheet!$E$2:$E$3143),
Master_Mapping_Sheet!$C$2:$C$3143=AV$1,
Master_Mapping_Sheet!$M$2:$M$3143=VALUE(R"&amp;"IGHT($A4,1))))/sum(filter(
Master_Mapping_Sheet!$E$2:$E$3143, ISNUMBER(
Master_Mapping_Sheet!$E$2:$E$3143),
Master_Mapping_Sheet!$C$2:$C$3143=AV$1)))"),0.0)</f>
        <v>0</v>
      </c>
      <c r="AW4" s="34">
        <f>IFERROR(__xludf.DUMMYFUNCTION("IF(ISNA(sum(filter(
Master_Mapping_Sheet!$E$2:$E$3143, ISNUMBER(
Master_Mapping_Sheet!$E$2:$E$3143),
Master_Mapping_Sheet!$C$2:$C$3143=AW$1,
Master_Mapping_Sheet!$M$2:$M$3143=VALUE(RIGHT($A4,1))))/sum(filter(
Master_Mapping_Sheet!$E$2:$E$3143, ISNUMBER(
M"&amp;"aster_Mapping_Sheet!$E$2:$E$3143),
Master_Mapping_Sheet!$C$2:$C$3143=AW$1))), 0, sum(filter(
Master_Mapping_Sheet!$E$2:$E$3143, ISNUMBER(
Master_Mapping_Sheet!$E$2:$E$3143),
Master_Mapping_Sheet!$C$2:$C$3143=AW$1,
Master_Mapping_Sheet!$M$2:$M$3143=VALUE(R"&amp;"IGHT($A4,1))))/sum(filter(
Master_Mapping_Sheet!$E$2:$E$3143, ISNUMBER(
Master_Mapping_Sheet!$E$2:$E$3143),
Master_Mapping_Sheet!$C$2:$C$3143=AW$1)))"),0.0)</f>
        <v>0</v>
      </c>
      <c r="AX4" s="34">
        <f>IFERROR(__xludf.DUMMYFUNCTION("IF(ISNA(sum(filter(
Master_Mapping_Sheet!$E$2:$E$3143, ISNUMBER(
Master_Mapping_Sheet!$E$2:$E$3143),
Master_Mapping_Sheet!$C$2:$C$3143=AX$1,
Master_Mapping_Sheet!$M$2:$M$3143=VALUE(RIGHT($A4,1))))/sum(filter(
Master_Mapping_Sheet!$E$2:$E$3143, ISNUMBER(
M"&amp;"aster_Mapping_Sheet!$E$2:$E$3143),
Master_Mapping_Sheet!$C$2:$C$3143=AX$1))), 0, sum(filter(
Master_Mapping_Sheet!$E$2:$E$3143, ISNUMBER(
Master_Mapping_Sheet!$E$2:$E$3143),
Master_Mapping_Sheet!$C$2:$C$3143=AX$1,
Master_Mapping_Sheet!$M$2:$M$3143=VALUE(R"&amp;"IGHT($A4,1))))/sum(filter(
Master_Mapping_Sheet!$E$2:$E$3143, ISNUMBER(
Master_Mapping_Sheet!$E$2:$E$3143),
Master_Mapping_Sheet!$C$2:$C$3143=AX$1)))"),0.0)</f>
        <v>0</v>
      </c>
      <c r="AY4" s="34">
        <f>IFERROR(__xludf.DUMMYFUNCTION("IF(ISNA(sum(filter(
Master_Mapping_Sheet!$E$2:$E$3143, ISNUMBER(
Master_Mapping_Sheet!$E$2:$E$3143),
Master_Mapping_Sheet!$C$2:$C$3143=AY$1,
Master_Mapping_Sheet!$M$2:$M$3143=VALUE(RIGHT($A4,1))))/sum(filter(
Master_Mapping_Sheet!$E$2:$E$3143, ISNUMBER(
M"&amp;"aster_Mapping_Sheet!$E$2:$E$3143),
Master_Mapping_Sheet!$C$2:$C$3143=AY$1))), 0, sum(filter(
Master_Mapping_Sheet!$E$2:$E$3143, ISNUMBER(
Master_Mapping_Sheet!$E$2:$E$3143),
Master_Mapping_Sheet!$C$2:$C$3143=AY$1,
Master_Mapping_Sheet!$M$2:$M$3143=VALUE(R"&amp;"IGHT($A4,1))))/sum(filter(
Master_Mapping_Sheet!$E$2:$E$3143, ISNUMBER(
Master_Mapping_Sheet!$E$2:$E$3143),
Master_Mapping_Sheet!$C$2:$C$3143=AY$1)))"),0.0)</f>
        <v>0</v>
      </c>
      <c r="AZ4" s="34">
        <f>IFERROR(__xludf.DUMMYFUNCTION("IF(ISNA(sum(filter(
Master_Mapping_Sheet!$E$2:$E$3143, ISNUMBER(
Master_Mapping_Sheet!$E$2:$E$3143),
Master_Mapping_Sheet!$C$2:$C$3143=AZ$1,
Master_Mapping_Sheet!$M$2:$M$3143=VALUE(RIGHT($A4,1))))/sum(filter(
Master_Mapping_Sheet!$E$2:$E$3143, ISNUMBER(
M"&amp;"aster_Mapping_Sheet!$E$2:$E$3143),
Master_Mapping_Sheet!$C$2:$C$3143=AZ$1))), 0, sum(filter(
Master_Mapping_Sheet!$E$2:$E$3143, ISNUMBER(
Master_Mapping_Sheet!$E$2:$E$3143),
Master_Mapping_Sheet!$C$2:$C$3143=AZ$1,
Master_Mapping_Sheet!$M$2:$M$3143=VALUE(R"&amp;"IGHT($A4,1))))/sum(filter(
Master_Mapping_Sheet!$E$2:$E$3143, ISNUMBER(
Master_Mapping_Sheet!$E$2:$E$3143),
Master_Mapping_Sheet!$C$2:$C$3143=AZ$1)))"),0.0)</f>
        <v>0</v>
      </c>
    </row>
    <row r="5" ht="15.75" customHeight="1">
      <c r="A5" s="45" t="s">
        <v>4254</v>
      </c>
      <c r="B5" s="34">
        <f>IFERROR(__xludf.DUMMYFUNCTION("IF(ISNA(sum(filter(
Master_Mapping_Sheet!$E$2:$E$3143, ISNUMBER(
Master_Mapping_Sheet!$E$2:$E$3143),
Master_Mapping_Sheet!$C$2:$C$3143=B$1,
Master_Mapping_Sheet!$M$2:$M$3143=VALUE(RIGHT($A5,1))))/sum(filter(
Master_Mapping_Sheet!$E$2:$E$3143, ISNUMBER(
Ma"&amp;"ster_Mapping_Sheet!$E$2:$E$3143),
Master_Mapping_Sheet!$C$2:$C$3143=B$1))), 0, sum(filter(
Master_Mapping_Sheet!$E$2:$E$3143, ISNUMBER(
Master_Mapping_Sheet!$E$2:$E$3143),
Master_Mapping_Sheet!$C$2:$C$3143=B$1,
Master_Mapping_Sheet!$M$2:$M$3143=VALUE(RIGH"&amp;"T($A5,1))))/sum(filter(
Master_Mapping_Sheet!$E$2:$E$3143, ISNUMBER(
Master_Mapping_Sheet!$E$2:$E$3143),
Master_Mapping_Sheet!$C$2:$C$3143=B$1)))"),0.0)</f>
        <v>0</v>
      </c>
      <c r="C5" s="34">
        <f>IFERROR(__xludf.DUMMYFUNCTION("IF(ISNA(sum(filter(
Master_Mapping_Sheet!$E$2:$E$3143, ISNUMBER(
Master_Mapping_Sheet!$E$2:$E$3143),
Master_Mapping_Sheet!$C$2:$C$3143=C$1,
Master_Mapping_Sheet!$M$2:$M$3143=VALUE(RIGHT($A5,1))))/sum(filter(
Master_Mapping_Sheet!$E$2:$E$3143, ISNUMBER(
Ma"&amp;"ster_Mapping_Sheet!$E$2:$E$3143),
Master_Mapping_Sheet!$C$2:$C$3143=C$1))), 0, sum(filter(
Master_Mapping_Sheet!$E$2:$E$3143, ISNUMBER(
Master_Mapping_Sheet!$E$2:$E$3143),
Master_Mapping_Sheet!$C$2:$C$3143=C$1,
Master_Mapping_Sheet!$M$2:$M$3143=VALUE(RIGH"&amp;"T($A5,1))))/sum(filter(
Master_Mapping_Sheet!$E$2:$E$3143, ISNUMBER(
Master_Mapping_Sheet!$E$2:$E$3143),
Master_Mapping_Sheet!$C$2:$C$3143=C$1)))"),0.0)</f>
        <v>0</v>
      </c>
      <c r="D5" s="34">
        <f>IFERROR(__xludf.DUMMYFUNCTION("IF(ISNA(sum(filter(
Master_Mapping_Sheet!$E$2:$E$3143, ISNUMBER(
Master_Mapping_Sheet!$E$2:$E$3143),
Master_Mapping_Sheet!$C$2:$C$3143=D$1,
Master_Mapping_Sheet!$M$2:$M$3143=VALUE(RIGHT($A5,1))))/sum(filter(
Master_Mapping_Sheet!$E$2:$E$3143, ISNUMBER(
Ma"&amp;"ster_Mapping_Sheet!$E$2:$E$3143),
Master_Mapping_Sheet!$C$2:$C$3143=D$1))), 0, sum(filter(
Master_Mapping_Sheet!$E$2:$E$3143, ISNUMBER(
Master_Mapping_Sheet!$E$2:$E$3143),
Master_Mapping_Sheet!$C$2:$C$3143=D$1,
Master_Mapping_Sheet!$M$2:$M$3143=VALUE(RIGH"&amp;"T($A5,1))))/sum(filter(
Master_Mapping_Sheet!$E$2:$E$3143, ISNUMBER(
Master_Mapping_Sheet!$E$2:$E$3143),
Master_Mapping_Sheet!$C$2:$C$3143=D$1)))"),0.04078454718285145)</f>
        <v>0.04078454718</v>
      </c>
      <c r="E5" s="34">
        <f>IFERROR(__xludf.DUMMYFUNCTION("IF(ISNA(sum(filter(
Master_Mapping_Sheet!$E$2:$E$3143, ISNUMBER(
Master_Mapping_Sheet!$E$2:$E$3143),
Master_Mapping_Sheet!$C$2:$C$3143=E$1,
Master_Mapping_Sheet!$M$2:$M$3143=VALUE(RIGHT($A5,1))))/sum(filter(
Master_Mapping_Sheet!$E$2:$E$3143, ISNUMBER(
Ma"&amp;"ster_Mapping_Sheet!$E$2:$E$3143),
Master_Mapping_Sheet!$C$2:$C$3143=E$1))), 0, sum(filter(
Master_Mapping_Sheet!$E$2:$E$3143, ISNUMBER(
Master_Mapping_Sheet!$E$2:$E$3143),
Master_Mapping_Sheet!$C$2:$C$3143=E$1,
Master_Mapping_Sheet!$M$2:$M$3143=VALUE(RIGH"&amp;"T($A5,1))))/sum(filter(
Master_Mapping_Sheet!$E$2:$E$3143, ISNUMBER(
Master_Mapping_Sheet!$E$2:$E$3143),
Master_Mapping_Sheet!$C$2:$C$3143=E$1)))"),0.25171951135236065)</f>
        <v>0.2517195114</v>
      </c>
      <c r="F5" s="34">
        <f>IFERROR(__xludf.DUMMYFUNCTION("IF(ISNA(sum(filter(
Master_Mapping_Sheet!$E$2:$E$3143, ISNUMBER(
Master_Mapping_Sheet!$E$2:$E$3143),
Master_Mapping_Sheet!$C$2:$C$3143=F$1,
Master_Mapping_Sheet!$M$2:$M$3143=VALUE(RIGHT($A5,1))))/sum(filter(
Master_Mapping_Sheet!$E$2:$E$3143, ISNUMBER(
Ma"&amp;"ster_Mapping_Sheet!$E$2:$E$3143),
Master_Mapping_Sheet!$C$2:$C$3143=F$1))), 0, sum(filter(
Master_Mapping_Sheet!$E$2:$E$3143, ISNUMBER(
Master_Mapping_Sheet!$E$2:$E$3143),
Master_Mapping_Sheet!$C$2:$C$3143=F$1,
Master_Mapping_Sheet!$M$2:$M$3143=VALUE(RIGH"&amp;"T($A5,1))))/sum(filter(
Master_Mapping_Sheet!$E$2:$E$3143, ISNUMBER(
Master_Mapping_Sheet!$E$2:$E$3143),
Master_Mapping_Sheet!$C$2:$C$3143=F$1)))"),0.015766969253815835)</f>
        <v>0.01576696925</v>
      </c>
      <c r="G5" s="34">
        <f>IFERROR(__xludf.DUMMYFUNCTION("IF(ISNA(sum(filter(
Master_Mapping_Sheet!$E$2:$E$3143, ISNUMBER(
Master_Mapping_Sheet!$E$2:$E$3143),
Master_Mapping_Sheet!$C$2:$C$3143=G$1,
Master_Mapping_Sheet!$M$2:$M$3143=VALUE(RIGHT($A5,1))))/sum(filter(
Master_Mapping_Sheet!$E$2:$E$3143, ISNUMBER(
Ma"&amp;"ster_Mapping_Sheet!$E$2:$E$3143),
Master_Mapping_Sheet!$C$2:$C$3143=G$1))), 0, sum(filter(
Master_Mapping_Sheet!$E$2:$E$3143, ISNUMBER(
Master_Mapping_Sheet!$E$2:$E$3143),
Master_Mapping_Sheet!$C$2:$C$3143=G$1,
Master_Mapping_Sheet!$M$2:$M$3143=VALUE(RIGH"&amp;"T($A5,1))))/sum(filter(
Master_Mapping_Sheet!$E$2:$E$3143, ISNUMBER(
Master_Mapping_Sheet!$E$2:$E$3143),
Master_Mapping_Sheet!$C$2:$C$3143=G$1)))"),0.006095674942706304)</f>
        <v>0.006095674943</v>
      </c>
      <c r="H5" s="34">
        <f>IFERROR(__xludf.DUMMYFUNCTION("IF(ISNA(sum(filter(
Master_Mapping_Sheet!$E$2:$E$3143, ISNUMBER(
Master_Mapping_Sheet!$E$2:$E$3143),
Master_Mapping_Sheet!$C$2:$C$3143=H$1,
Master_Mapping_Sheet!$M$2:$M$3143=VALUE(RIGHT($A5,1))))/sum(filter(
Master_Mapping_Sheet!$E$2:$E$3143, ISNUMBER(
Ma"&amp;"ster_Mapping_Sheet!$E$2:$E$3143),
Master_Mapping_Sheet!$C$2:$C$3143=H$1))), 0, sum(filter(
Master_Mapping_Sheet!$E$2:$E$3143, ISNUMBER(
Master_Mapping_Sheet!$E$2:$E$3143),
Master_Mapping_Sheet!$C$2:$C$3143=H$1,
Master_Mapping_Sheet!$M$2:$M$3143=VALUE(RIGH"&amp;"T($A5,1))))/sum(filter(
Master_Mapping_Sheet!$E$2:$E$3143, ISNUMBER(
Master_Mapping_Sheet!$E$2:$E$3143),
Master_Mapping_Sheet!$C$2:$C$3143=H$1)))"),0.0)</f>
        <v>0</v>
      </c>
      <c r="I5" s="34">
        <f>IFERROR(__xludf.DUMMYFUNCTION("IF(ISNA(sum(filter(
Master_Mapping_Sheet!$E$2:$E$3143, ISNUMBER(
Master_Mapping_Sheet!$E$2:$E$3143),
Master_Mapping_Sheet!$C$2:$C$3143=I$1,
Master_Mapping_Sheet!$M$2:$M$3143=VALUE(RIGHT($A5,1))))/sum(filter(
Master_Mapping_Sheet!$E$2:$E$3143, ISNUMBER(
Ma"&amp;"ster_Mapping_Sheet!$E$2:$E$3143),
Master_Mapping_Sheet!$C$2:$C$3143=I$1))), 0, sum(filter(
Master_Mapping_Sheet!$E$2:$E$3143, ISNUMBER(
Master_Mapping_Sheet!$E$2:$E$3143),
Master_Mapping_Sheet!$C$2:$C$3143=I$1,
Master_Mapping_Sheet!$M$2:$M$3143=VALUE(RIGH"&amp;"T($A5,1))))/sum(filter(
Master_Mapping_Sheet!$E$2:$E$3143, ISNUMBER(
Master_Mapping_Sheet!$E$2:$E$3143),
Master_Mapping_Sheet!$C$2:$C$3143=I$1)))"),1.0)</f>
        <v>1</v>
      </c>
      <c r="J5" s="34">
        <f>IFERROR(__xludf.DUMMYFUNCTION("IF(ISNA(sum(filter(
Master_Mapping_Sheet!$E$2:$E$3143, ISNUMBER(
Master_Mapping_Sheet!$E$2:$E$3143),
Master_Mapping_Sheet!$C$2:$C$3143=J$1,
Master_Mapping_Sheet!$M$2:$M$3143=VALUE(RIGHT($A5,1))))/sum(filter(
Master_Mapping_Sheet!$E$2:$E$3143, ISNUMBER(
Ma"&amp;"ster_Mapping_Sheet!$E$2:$E$3143),
Master_Mapping_Sheet!$C$2:$C$3143=J$1))), 0, sum(filter(
Master_Mapping_Sheet!$E$2:$E$3143, ISNUMBER(
Master_Mapping_Sheet!$E$2:$E$3143),
Master_Mapping_Sheet!$C$2:$C$3143=J$1,
Master_Mapping_Sheet!$M$2:$M$3143=VALUE(RIGH"&amp;"T($A5,1))))/sum(filter(
Master_Mapping_Sheet!$E$2:$E$3143, ISNUMBER(
Master_Mapping_Sheet!$E$2:$E$3143),
Master_Mapping_Sheet!$C$2:$C$3143=J$1)))"),1.0)</f>
        <v>1</v>
      </c>
      <c r="K5" s="34">
        <f>IFERROR(__xludf.DUMMYFUNCTION("IF(ISNA(sum(filter(
Master_Mapping_Sheet!$E$2:$E$3143, ISNUMBER(
Master_Mapping_Sheet!$E$2:$E$3143),
Master_Mapping_Sheet!$C$2:$C$3143=K$1,
Master_Mapping_Sheet!$M$2:$M$3143=VALUE(RIGHT($A5,1))))/sum(filter(
Master_Mapping_Sheet!$E$2:$E$3143, ISNUMBER(
Ma"&amp;"ster_Mapping_Sheet!$E$2:$E$3143),
Master_Mapping_Sheet!$C$2:$C$3143=K$1))), 0, sum(filter(
Master_Mapping_Sheet!$E$2:$E$3143, ISNUMBER(
Master_Mapping_Sheet!$E$2:$E$3143),
Master_Mapping_Sheet!$C$2:$C$3143=K$1,
Master_Mapping_Sheet!$M$2:$M$3143=VALUE(RIGH"&amp;"T($A5,1))))/sum(filter(
Master_Mapping_Sheet!$E$2:$E$3143, ISNUMBER(
Master_Mapping_Sheet!$E$2:$E$3143),
Master_Mapping_Sheet!$C$2:$C$3143=K$1)))"),0.0)</f>
        <v>0</v>
      </c>
      <c r="L5" s="34">
        <f>IFERROR(__xludf.DUMMYFUNCTION("IF(ISNA(sum(filter(
Master_Mapping_Sheet!$E$2:$E$3143, ISNUMBER(
Master_Mapping_Sheet!$E$2:$E$3143),
Master_Mapping_Sheet!$C$2:$C$3143=L$1,
Master_Mapping_Sheet!$M$2:$M$3143=VALUE(RIGHT($A5,1))))/sum(filter(
Master_Mapping_Sheet!$E$2:$E$3143, ISNUMBER(
Ma"&amp;"ster_Mapping_Sheet!$E$2:$E$3143),
Master_Mapping_Sheet!$C$2:$C$3143=L$1))), 0, sum(filter(
Master_Mapping_Sheet!$E$2:$E$3143, ISNUMBER(
Master_Mapping_Sheet!$E$2:$E$3143),
Master_Mapping_Sheet!$C$2:$C$3143=L$1,
Master_Mapping_Sheet!$M$2:$M$3143=VALUE(RIGH"&amp;"T($A5,1))))/sum(filter(
Master_Mapping_Sheet!$E$2:$E$3143, ISNUMBER(
Master_Mapping_Sheet!$E$2:$E$3143),
Master_Mapping_Sheet!$C$2:$C$3143=L$1)))"),0.09706954077561374)</f>
        <v>0.09706954078</v>
      </c>
      <c r="M5" s="34">
        <f>IFERROR(__xludf.DUMMYFUNCTION("IF(ISNA(sum(filter(
Master_Mapping_Sheet!$E$2:$E$3143, ISNUMBER(
Master_Mapping_Sheet!$E$2:$E$3143),
Master_Mapping_Sheet!$C$2:$C$3143=M$1,
Master_Mapping_Sheet!$M$2:$M$3143=VALUE(RIGHT($A5,1))))/sum(filter(
Master_Mapping_Sheet!$E$2:$E$3143, ISNUMBER(
Ma"&amp;"ster_Mapping_Sheet!$E$2:$E$3143),
Master_Mapping_Sheet!$C$2:$C$3143=M$1))), 0, sum(filter(
Master_Mapping_Sheet!$E$2:$E$3143, ISNUMBER(
Master_Mapping_Sheet!$E$2:$E$3143),
Master_Mapping_Sheet!$C$2:$C$3143=M$1,
Master_Mapping_Sheet!$M$2:$M$3143=VALUE(RIGH"&amp;"T($A5,1))))/sum(filter(
Master_Mapping_Sheet!$E$2:$E$3143, ISNUMBER(
Master_Mapping_Sheet!$E$2:$E$3143),
Master_Mapping_Sheet!$C$2:$C$3143=M$1)))"),0.0)</f>
        <v>0</v>
      </c>
      <c r="N5" s="34">
        <f>IFERROR(__xludf.DUMMYFUNCTION("IF(ISNA(sum(filter(
Master_Mapping_Sheet!$E$2:$E$3143, ISNUMBER(
Master_Mapping_Sheet!$E$2:$E$3143),
Master_Mapping_Sheet!$C$2:$C$3143=N$1,
Master_Mapping_Sheet!$M$2:$M$3143=VALUE(RIGHT($A5,1))))/sum(filter(
Master_Mapping_Sheet!$E$2:$E$3143, ISNUMBER(
Ma"&amp;"ster_Mapping_Sheet!$E$2:$E$3143),
Master_Mapping_Sheet!$C$2:$C$3143=N$1))), 0, sum(filter(
Master_Mapping_Sheet!$E$2:$E$3143, ISNUMBER(
Master_Mapping_Sheet!$E$2:$E$3143),
Master_Mapping_Sheet!$C$2:$C$3143=N$1,
Master_Mapping_Sheet!$M$2:$M$3143=VALUE(RIGH"&amp;"T($A5,1))))/sum(filter(
Master_Mapping_Sheet!$E$2:$E$3143, ISNUMBER(
Master_Mapping_Sheet!$E$2:$E$3143),
Master_Mapping_Sheet!$C$2:$C$3143=N$1)))"),0.0)</f>
        <v>0</v>
      </c>
      <c r="O5" s="34">
        <f>IFERROR(__xludf.DUMMYFUNCTION("IF(ISNA(sum(filter(
Master_Mapping_Sheet!$E$2:$E$3143, ISNUMBER(
Master_Mapping_Sheet!$E$2:$E$3143),
Master_Mapping_Sheet!$C$2:$C$3143=O$1,
Master_Mapping_Sheet!$M$2:$M$3143=VALUE(RIGHT($A5,1))))/sum(filter(
Master_Mapping_Sheet!$E$2:$E$3143, ISNUMBER(
Ma"&amp;"ster_Mapping_Sheet!$E$2:$E$3143),
Master_Mapping_Sheet!$C$2:$C$3143=O$1))), 0, sum(filter(
Master_Mapping_Sheet!$E$2:$E$3143, ISNUMBER(
Master_Mapping_Sheet!$E$2:$E$3143),
Master_Mapping_Sheet!$C$2:$C$3143=O$1,
Master_Mapping_Sheet!$M$2:$M$3143=VALUE(RIGH"&amp;"T($A5,1))))/sum(filter(
Master_Mapping_Sheet!$E$2:$E$3143, ISNUMBER(
Master_Mapping_Sheet!$E$2:$E$3143),
Master_Mapping_Sheet!$C$2:$C$3143=O$1)))"),0.1026776042019846)</f>
        <v>0.1026776042</v>
      </c>
      <c r="P5" s="34">
        <f>IFERROR(__xludf.DUMMYFUNCTION("IF(ISNA(sum(filter(
Master_Mapping_Sheet!$E$2:$E$3143, ISNUMBER(
Master_Mapping_Sheet!$E$2:$E$3143),
Master_Mapping_Sheet!$C$2:$C$3143=P$1,
Master_Mapping_Sheet!$M$2:$M$3143=VALUE(RIGHT($A5,1))))/sum(filter(
Master_Mapping_Sheet!$E$2:$E$3143, ISNUMBER(
Ma"&amp;"ster_Mapping_Sheet!$E$2:$E$3143),
Master_Mapping_Sheet!$C$2:$C$3143=P$1))), 0, sum(filter(
Master_Mapping_Sheet!$E$2:$E$3143, ISNUMBER(
Master_Mapping_Sheet!$E$2:$E$3143),
Master_Mapping_Sheet!$C$2:$C$3143=P$1,
Master_Mapping_Sheet!$M$2:$M$3143=VALUE(RIGH"&amp;"T($A5,1))))/sum(filter(
Master_Mapping_Sheet!$E$2:$E$3143, ISNUMBER(
Master_Mapping_Sheet!$E$2:$E$3143),
Master_Mapping_Sheet!$C$2:$C$3143=P$1)))"),0.1840328442821317)</f>
        <v>0.1840328443</v>
      </c>
      <c r="Q5" s="34">
        <f>IFERROR(__xludf.DUMMYFUNCTION("IF(ISNA(sum(filter(
Master_Mapping_Sheet!$E$2:$E$3143, ISNUMBER(
Master_Mapping_Sheet!$E$2:$E$3143),
Master_Mapping_Sheet!$C$2:$C$3143=Q$1,
Master_Mapping_Sheet!$M$2:$M$3143=VALUE(RIGHT($A5,1))))/sum(filter(
Master_Mapping_Sheet!$E$2:$E$3143, ISNUMBER(
Ma"&amp;"ster_Mapping_Sheet!$E$2:$E$3143),
Master_Mapping_Sheet!$C$2:$C$3143=Q$1))), 0, sum(filter(
Master_Mapping_Sheet!$E$2:$E$3143, ISNUMBER(
Master_Mapping_Sheet!$E$2:$E$3143),
Master_Mapping_Sheet!$C$2:$C$3143=Q$1,
Master_Mapping_Sheet!$M$2:$M$3143=VALUE(RIGH"&amp;"T($A5,1))))/sum(filter(
Master_Mapping_Sheet!$E$2:$E$3143, ISNUMBER(
Master_Mapping_Sheet!$E$2:$E$3143),
Master_Mapping_Sheet!$C$2:$C$3143=Q$1)))"),0.0)</f>
        <v>0</v>
      </c>
      <c r="R5" s="34">
        <f>IFERROR(__xludf.DUMMYFUNCTION("IF(ISNA(sum(filter(
Master_Mapping_Sheet!$E$2:$E$3143, ISNUMBER(
Master_Mapping_Sheet!$E$2:$E$3143),
Master_Mapping_Sheet!$C$2:$C$3143=R$1,
Master_Mapping_Sheet!$M$2:$M$3143=VALUE(RIGHT($A5,1))))/sum(filter(
Master_Mapping_Sheet!$E$2:$E$3143, ISNUMBER(
Ma"&amp;"ster_Mapping_Sheet!$E$2:$E$3143),
Master_Mapping_Sheet!$C$2:$C$3143=R$1))), 0, sum(filter(
Master_Mapping_Sheet!$E$2:$E$3143, ISNUMBER(
Master_Mapping_Sheet!$E$2:$E$3143),
Master_Mapping_Sheet!$C$2:$C$3143=R$1,
Master_Mapping_Sheet!$M$2:$M$3143=VALUE(RIGH"&amp;"T($A5,1))))/sum(filter(
Master_Mapping_Sheet!$E$2:$E$3143, ISNUMBER(
Master_Mapping_Sheet!$E$2:$E$3143),
Master_Mapping_Sheet!$C$2:$C$3143=R$1)))"),0.9580108592077797)</f>
        <v>0.9580108592</v>
      </c>
      <c r="S5" s="34">
        <f>IFERROR(__xludf.DUMMYFUNCTION("IF(ISNA(sum(filter(
Master_Mapping_Sheet!$E$2:$E$3143, ISNUMBER(
Master_Mapping_Sheet!$E$2:$E$3143),
Master_Mapping_Sheet!$C$2:$C$3143=S$1,
Master_Mapping_Sheet!$M$2:$M$3143=VALUE(RIGHT($A5,1))))/sum(filter(
Master_Mapping_Sheet!$E$2:$E$3143, ISNUMBER(
Ma"&amp;"ster_Mapping_Sheet!$E$2:$E$3143),
Master_Mapping_Sheet!$C$2:$C$3143=S$1))), 0, sum(filter(
Master_Mapping_Sheet!$E$2:$E$3143, ISNUMBER(
Master_Mapping_Sheet!$E$2:$E$3143),
Master_Mapping_Sheet!$C$2:$C$3143=S$1,
Master_Mapping_Sheet!$M$2:$M$3143=VALUE(RIGH"&amp;"T($A5,1))))/sum(filter(
Master_Mapping_Sheet!$E$2:$E$3143, ISNUMBER(
Master_Mapping_Sheet!$E$2:$E$3143),
Master_Mapping_Sheet!$C$2:$C$3143=S$1)))"),1.0)</f>
        <v>1</v>
      </c>
      <c r="T5" s="34">
        <f>IFERROR(__xludf.DUMMYFUNCTION("IF(ISNA(sum(filter(
Master_Mapping_Sheet!$E$2:$E$3143, ISNUMBER(
Master_Mapping_Sheet!$E$2:$E$3143),
Master_Mapping_Sheet!$C$2:$C$3143=T$1,
Master_Mapping_Sheet!$M$2:$M$3143=VALUE(RIGHT($A5,1))))/sum(filter(
Master_Mapping_Sheet!$E$2:$E$3143, ISNUMBER(
Ma"&amp;"ster_Mapping_Sheet!$E$2:$E$3143),
Master_Mapping_Sheet!$C$2:$C$3143=T$1))), 0, sum(filter(
Master_Mapping_Sheet!$E$2:$E$3143, ISNUMBER(
Master_Mapping_Sheet!$E$2:$E$3143),
Master_Mapping_Sheet!$C$2:$C$3143=T$1,
Master_Mapping_Sheet!$M$2:$M$3143=VALUE(RIGH"&amp;"T($A5,1))))/sum(filter(
Master_Mapping_Sheet!$E$2:$E$3143, ISNUMBER(
Master_Mapping_Sheet!$E$2:$E$3143),
Master_Mapping_Sheet!$C$2:$C$3143=T$1)))"),0.0)</f>
        <v>0</v>
      </c>
      <c r="U5" s="34">
        <f>IFERROR(__xludf.DUMMYFUNCTION("IF(ISNA(sum(filter(
Master_Mapping_Sheet!$E$2:$E$3143, ISNUMBER(
Master_Mapping_Sheet!$E$2:$E$3143),
Master_Mapping_Sheet!$C$2:$C$3143=U$1,
Master_Mapping_Sheet!$M$2:$M$3143=VALUE(RIGHT($A5,1))))/sum(filter(
Master_Mapping_Sheet!$E$2:$E$3143, ISNUMBER(
Ma"&amp;"ster_Mapping_Sheet!$E$2:$E$3143),
Master_Mapping_Sheet!$C$2:$C$3143=U$1))), 0, sum(filter(
Master_Mapping_Sheet!$E$2:$E$3143, ISNUMBER(
Master_Mapping_Sheet!$E$2:$E$3143),
Master_Mapping_Sheet!$C$2:$C$3143=U$1,
Master_Mapping_Sheet!$M$2:$M$3143=VALUE(RIGH"&amp;"T($A5,1))))/sum(filter(
Master_Mapping_Sheet!$E$2:$E$3143, ISNUMBER(
Master_Mapping_Sheet!$E$2:$E$3143),
Master_Mapping_Sheet!$C$2:$C$3143=U$1)))"),0.0)</f>
        <v>0</v>
      </c>
      <c r="V5" s="34">
        <f>IFERROR(__xludf.DUMMYFUNCTION("IF(ISNA(sum(filter(
Master_Mapping_Sheet!$E$2:$E$3143, ISNUMBER(
Master_Mapping_Sheet!$E$2:$E$3143),
Master_Mapping_Sheet!$C$2:$C$3143=V$1,
Master_Mapping_Sheet!$M$2:$M$3143=VALUE(RIGHT($A5,1))))/sum(filter(
Master_Mapping_Sheet!$E$2:$E$3143, ISNUMBER(
Ma"&amp;"ster_Mapping_Sheet!$E$2:$E$3143),
Master_Mapping_Sheet!$C$2:$C$3143=V$1))), 0, sum(filter(
Master_Mapping_Sheet!$E$2:$E$3143, ISNUMBER(
Master_Mapping_Sheet!$E$2:$E$3143),
Master_Mapping_Sheet!$C$2:$C$3143=V$1,
Master_Mapping_Sheet!$M$2:$M$3143=VALUE(RIGH"&amp;"T($A5,1))))/sum(filter(
Master_Mapping_Sheet!$E$2:$E$3143, ISNUMBER(
Master_Mapping_Sheet!$E$2:$E$3143),
Master_Mapping_Sheet!$C$2:$C$3143=V$1)))"),0.9954009973378113)</f>
        <v>0.9954009973</v>
      </c>
      <c r="W5" s="34">
        <f>IFERROR(__xludf.DUMMYFUNCTION("IF(ISNA(sum(filter(
Master_Mapping_Sheet!$E$2:$E$3143, ISNUMBER(
Master_Mapping_Sheet!$E$2:$E$3143),
Master_Mapping_Sheet!$C$2:$C$3143=W$1,
Master_Mapping_Sheet!$M$2:$M$3143=VALUE(RIGHT($A5,1))))/sum(filter(
Master_Mapping_Sheet!$E$2:$E$3143, ISNUMBER(
Ma"&amp;"ster_Mapping_Sheet!$E$2:$E$3143),
Master_Mapping_Sheet!$C$2:$C$3143=W$1))), 0, sum(filter(
Master_Mapping_Sheet!$E$2:$E$3143, ISNUMBER(
Master_Mapping_Sheet!$E$2:$E$3143),
Master_Mapping_Sheet!$C$2:$C$3143=W$1,
Master_Mapping_Sheet!$M$2:$M$3143=VALUE(RIGH"&amp;"T($A5,1))))/sum(filter(
Master_Mapping_Sheet!$E$2:$E$3143, ISNUMBER(
Master_Mapping_Sheet!$E$2:$E$3143),
Master_Mapping_Sheet!$C$2:$C$3143=W$1)))"),0.0)</f>
        <v>0</v>
      </c>
      <c r="X5" s="34">
        <f>IFERROR(__xludf.DUMMYFUNCTION("IF(ISNA(sum(filter(
Master_Mapping_Sheet!$E$2:$E$3143, ISNUMBER(
Master_Mapping_Sheet!$E$2:$E$3143),
Master_Mapping_Sheet!$C$2:$C$3143=X$1,
Master_Mapping_Sheet!$M$2:$M$3143=VALUE(RIGHT($A5,1))))/sum(filter(
Master_Mapping_Sheet!$E$2:$E$3143, ISNUMBER(
Ma"&amp;"ster_Mapping_Sheet!$E$2:$E$3143),
Master_Mapping_Sheet!$C$2:$C$3143=X$1))), 0, sum(filter(
Master_Mapping_Sheet!$E$2:$E$3143, ISNUMBER(
Master_Mapping_Sheet!$E$2:$E$3143),
Master_Mapping_Sheet!$C$2:$C$3143=X$1,
Master_Mapping_Sheet!$M$2:$M$3143=VALUE(RIGH"&amp;"T($A5,1))))/sum(filter(
Master_Mapping_Sheet!$E$2:$E$3143, ISNUMBER(
Master_Mapping_Sheet!$E$2:$E$3143),
Master_Mapping_Sheet!$C$2:$C$3143=X$1)))"),0.0)</f>
        <v>0</v>
      </c>
      <c r="Y5" s="34">
        <f>IFERROR(__xludf.DUMMYFUNCTION("IF(ISNA(sum(filter(
Master_Mapping_Sheet!$E$2:$E$3143, ISNUMBER(
Master_Mapping_Sheet!$E$2:$E$3143),
Master_Mapping_Sheet!$C$2:$C$3143=Y$1,
Master_Mapping_Sheet!$M$2:$M$3143=VALUE(RIGHT($A5,1))))/sum(filter(
Master_Mapping_Sheet!$E$2:$E$3143, ISNUMBER(
Ma"&amp;"ster_Mapping_Sheet!$E$2:$E$3143),
Master_Mapping_Sheet!$C$2:$C$3143=Y$1))), 0, sum(filter(
Master_Mapping_Sheet!$E$2:$E$3143, ISNUMBER(
Master_Mapping_Sheet!$E$2:$E$3143),
Master_Mapping_Sheet!$C$2:$C$3143=Y$1,
Master_Mapping_Sheet!$M$2:$M$3143=VALUE(RIGH"&amp;"T($A5,1))))/sum(filter(
Master_Mapping_Sheet!$E$2:$E$3143, ISNUMBER(
Master_Mapping_Sheet!$E$2:$E$3143),
Master_Mapping_Sheet!$C$2:$C$3143=Y$1)))"),0.0)</f>
        <v>0</v>
      </c>
      <c r="Z5" s="34">
        <f>IFERROR(__xludf.DUMMYFUNCTION("IF(ISNA(sum(filter(
Master_Mapping_Sheet!$E$2:$E$3143, ISNUMBER(
Master_Mapping_Sheet!$E$2:$E$3143),
Master_Mapping_Sheet!$C$2:$C$3143=Z$1,
Master_Mapping_Sheet!$M$2:$M$3143=VALUE(RIGHT($A5,1))))/sum(filter(
Master_Mapping_Sheet!$E$2:$E$3143, ISNUMBER(
Ma"&amp;"ster_Mapping_Sheet!$E$2:$E$3143),
Master_Mapping_Sheet!$C$2:$C$3143=Z$1))), 0, sum(filter(
Master_Mapping_Sheet!$E$2:$E$3143, ISNUMBER(
Master_Mapping_Sheet!$E$2:$E$3143),
Master_Mapping_Sheet!$C$2:$C$3143=Z$1,
Master_Mapping_Sheet!$M$2:$M$3143=VALUE(RIGH"&amp;"T($A5,1))))/sum(filter(
Master_Mapping_Sheet!$E$2:$E$3143, ISNUMBER(
Master_Mapping_Sheet!$E$2:$E$3143),
Master_Mapping_Sheet!$C$2:$C$3143=Z$1)))"),0.0)</f>
        <v>0</v>
      </c>
      <c r="AA5" s="34">
        <f>IFERROR(__xludf.DUMMYFUNCTION("IF(ISNA(sum(filter(
Master_Mapping_Sheet!$E$2:$E$3143, ISNUMBER(
Master_Mapping_Sheet!$E$2:$E$3143),
Master_Mapping_Sheet!$C$2:$C$3143=AA$1,
Master_Mapping_Sheet!$M$2:$M$3143=VALUE(RIGHT($A5,1))))/sum(filter(
Master_Mapping_Sheet!$E$2:$E$3143, ISNUMBER(
M"&amp;"aster_Mapping_Sheet!$E$2:$E$3143),
Master_Mapping_Sheet!$C$2:$C$3143=AA$1))), 0, sum(filter(
Master_Mapping_Sheet!$E$2:$E$3143, ISNUMBER(
Master_Mapping_Sheet!$E$2:$E$3143),
Master_Mapping_Sheet!$C$2:$C$3143=AA$1,
Master_Mapping_Sheet!$M$2:$M$3143=VALUE(R"&amp;"IGHT($A5,1))))/sum(filter(
Master_Mapping_Sheet!$E$2:$E$3143, ISNUMBER(
Master_Mapping_Sheet!$E$2:$E$3143),
Master_Mapping_Sheet!$C$2:$C$3143=AA$1)))"),0.9377273587043322)</f>
        <v>0.9377273587</v>
      </c>
      <c r="AB5" s="34">
        <f>IFERROR(__xludf.DUMMYFUNCTION("IF(ISNA(sum(filter(
Master_Mapping_Sheet!$E$2:$E$3143, ISNUMBER(
Master_Mapping_Sheet!$E$2:$E$3143),
Master_Mapping_Sheet!$C$2:$C$3143=AB$1,
Master_Mapping_Sheet!$M$2:$M$3143=VALUE(RIGHT($A5,1))))/sum(filter(
Master_Mapping_Sheet!$E$2:$E$3143, ISNUMBER(
M"&amp;"aster_Mapping_Sheet!$E$2:$E$3143),
Master_Mapping_Sheet!$C$2:$C$3143=AB$1))), 0, sum(filter(
Master_Mapping_Sheet!$E$2:$E$3143, ISNUMBER(
Master_Mapping_Sheet!$E$2:$E$3143),
Master_Mapping_Sheet!$C$2:$C$3143=AB$1,
Master_Mapping_Sheet!$M$2:$M$3143=VALUE(R"&amp;"IGHT($A5,1))))/sum(filter(
Master_Mapping_Sheet!$E$2:$E$3143, ISNUMBER(
Master_Mapping_Sheet!$E$2:$E$3143),
Master_Mapping_Sheet!$C$2:$C$3143=AB$1)))"),0.0)</f>
        <v>0</v>
      </c>
      <c r="AC5" s="34">
        <f>IFERROR(__xludf.DUMMYFUNCTION("IF(ISNA(sum(filter(
Master_Mapping_Sheet!$E$2:$E$3143, ISNUMBER(
Master_Mapping_Sheet!$E$2:$E$3143),
Master_Mapping_Sheet!$C$2:$C$3143=AC$1,
Master_Mapping_Sheet!$M$2:$M$3143=VALUE(RIGHT($A5,1))))/sum(filter(
Master_Mapping_Sheet!$E$2:$E$3143, ISNUMBER(
M"&amp;"aster_Mapping_Sheet!$E$2:$E$3143),
Master_Mapping_Sheet!$C$2:$C$3143=AC$1))), 0, sum(filter(
Master_Mapping_Sheet!$E$2:$E$3143, ISNUMBER(
Master_Mapping_Sheet!$E$2:$E$3143),
Master_Mapping_Sheet!$C$2:$C$3143=AC$1,
Master_Mapping_Sheet!$M$2:$M$3143=VALUE(R"&amp;"IGHT($A5,1))))/sum(filter(
Master_Mapping_Sheet!$E$2:$E$3143, ISNUMBER(
Master_Mapping_Sheet!$E$2:$E$3143),
Master_Mapping_Sheet!$C$2:$C$3143=AC$1)))"),0.0)</f>
        <v>0</v>
      </c>
      <c r="AD5" s="34">
        <f>IFERROR(__xludf.DUMMYFUNCTION("IF(ISNA(sum(filter(
Master_Mapping_Sheet!$E$2:$E$3143, ISNUMBER(
Master_Mapping_Sheet!$E$2:$E$3143),
Master_Mapping_Sheet!$C$2:$C$3143=AD$1,
Master_Mapping_Sheet!$M$2:$M$3143=VALUE(RIGHT($A5,1))))/sum(filter(
Master_Mapping_Sheet!$E$2:$E$3143, ISNUMBER(
M"&amp;"aster_Mapping_Sheet!$E$2:$E$3143),
Master_Mapping_Sheet!$C$2:$C$3143=AD$1))), 0, sum(filter(
Master_Mapping_Sheet!$E$2:$E$3143, ISNUMBER(
Master_Mapping_Sheet!$E$2:$E$3143),
Master_Mapping_Sheet!$C$2:$C$3143=AD$1,
Master_Mapping_Sheet!$M$2:$M$3143=VALUE(R"&amp;"IGHT($A5,1))))/sum(filter(
Master_Mapping_Sheet!$E$2:$E$3143, ISNUMBER(
Master_Mapping_Sheet!$E$2:$E$3143),
Master_Mapping_Sheet!$C$2:$C$3143=AD$1)))"),0.0)</f>
        <v>0</v>
      </c>
      <c r="AE5" s="34">
        <f>IFERROR(__xludf.DUMMYFUNCTION("IF(ISNA(sum(filter(
Master_Mapping_Sheet!$E$2:$E$3143, ISNUMBER(
Master_Mapping_Sheet!$E$2:$E$3143),
Master_Mapping_Sheet!$C$2:$C$3143=AE$1,
Master_Mapping_Sheet!$M$2:$M$3143=VALUE(RIGHT($A5,1))))/sum(filter(
Master_Mapping_Sheet!$E$2:$E$3143, ISNUMBER(
M"&amp;"aster_Mapping_Sheet!$E$2:$E$3143),
Master_Mapping_Sheet!$C$2:$C$3143=AE$1))), 0, sum(filter(
Master_Mapping_Sheet!$E$2:$E$3143, ISNUMBER(
Master_Mapping_Sheet!$E$2:$E$3143),
Master_Mapping_Sheet!$C$2:$C$3143=AE$1,
Master_Mapping_Sheet!$M$2:$M$3143=VALUE(R"&amp;"IGHT($A5,1))))/sum(filter(
Master_Mapping_Sheet!$E$2:$E$3143, ISNUMBER(
Master_Mapping_Sheet!$E$2:$E$3143),
Master_Mapping_Sheet!$C$2:$C$3143=AE$1)))"),0.0)</f>
        <v>0</v>
      </c>
      <c r="AF5" s="34">
        <f>IFERROR(__xludf.DUMMYFUNCTION("IF(ISNA(sum(filter(
Master_Mapping_Sheet!$E$2:$E$3143, ISNUMBER(
Master_Mapping_Sheet!$E$2:$E$3143),
Master_Mapping_Sheet!$C$2:$C$3143=AF$1,
Master_Mapping_Sheet!$M$2:$M$3143=VALUE(RIGHT($A5,1))))/sum(filter(
Master_Mapping_Sheet!$E$2:$E$3143, ISNUMBER(
M"&amp;"aster_Mapping_Sheet!$E$2:$E$3143),
Master_Mapping_Sheet!$C$2:$C$3143=AF$1))), 0, sum(filter(
Master_Mapping_Sheet!$E$2:$E$3143, ISNUMBER(
Master_Mapping_Sheet!$E$2:$E$3143),
Master_Mapping_Sheet!$C$2:$C$3143=AF$1,
Master_Mapping_Sheet!$M$2:$M$3143=VALUE(R"&amp;"IGHT($A5,1))))/sum(filter(
Master_Mapping_Sheet!$E$2:$E$3143, ISNUMBER(
Master_Mapping_Sheet!$E$2:$E$3143),
Master_Mapping_Sheet!$C$2:$C$3143=AF$1)))"),0.6659469255797188)</f>
        <v>0.6659469256</v>
      </c>
      <c r="AG5" s="34">
        <f>IFERROR(__xludf.DUMMYFUNCTION("IF(ISNA(sum(filter(
Master_Mapping_Sheet!$E$2:$E$3143, ISNUMBER(
Master_Mapping_Sheet!$E$2:$E$3143),
Master_Mapping_Sheet!$C$2:$C$3143=AG$1,
Master_Mapping_Sheet!$M$2:$M$3143=VALUE(RIGHT($A5,1))))/sum(filter(
Master_Mapping_Sheet!$E$2:$E$3143, ISNUMBER(
M"&amp;"aster_Mapping_Sheet!$E$2:$E$3143),
Master_Mapping_Sheet!$C$2:$C$3143=AG$1))), 0, sum(filter(
Master_Mapping_Sheet!$E$2:$E$3143, ISNUMBER(
Master_Mapping_Sheet!$E$2:$E$3143),
Master_Mapping_Sheet!$C$2:$C$3143=AG$1,
Master_Mapping_Sheet!$M$2:$M$3143=VALUE(R"&amp;"IGHT($A5,1))))/sum(filter(
Master_Mapping_Sheet!$E$2:$E$3143, ISNUMBER(
Master_Mapping_Sheet!$E$2:$E$3143),
Master_Mapping_Sheet!$C$2:$C$3143=AG$1)))"),0.443106247673658)</f>
        <v>0.4431062477</v>
      </c>
      <c r="AH5" s="34">
        <f>IFERROR(__xludf.DUMMYFUNCTION("IF(ISNA(sum(filter(
Master_Mapping_Sheet!$E$2:$E$3143, ISNUMBER(
Master_Mapping_Sheet!$E$2:$E$3143),
Master_Mapping_Sheet!$C$2:$C$3143=AH$1,
Master_Mapping_Sheet!$M$2:$M$3143=VALUE(RIGHT($A5,1))))/sum(filter(
Master_Mapping_Sheet!$E$2:$E$3143, ISNUMBER(
M"&amp;"aster_Mapping_Sheet!$E$2:$E$3143),
Master_Mapping_Sheet!$C$2:$C$3143=AH$1))), 0, sum(filter(
Master_Mapping_Sheet!$E$2:$E$3143, ISNUMBER(
Master_Mapping_Sheet!$E$2:$E$3143),
Master_Mapping_Sheet!$C$2:$C$3143=AH$1,
Master_Mapping_Sheet!$M$2:$M$3143=VALUE(R"&amp;"IGHT($A5,1))))/sum(filter(
Master_Mapping_Sheet!$E$2:$E$3143, ISNUMBER(
Master_Mapping_Sheet!$E$2:$E$3143),
Master_Mapping_Sheet!$C$2:$C$3143=AH$1)))"),0.6210006061963651)</f>
        <v>0.6210006062</v>
      </c>
      <c r="AI5" s="34">
        <f>IFERROR(__xludf.DUMMYFUNCTION("IF(ISNA(sum(filter(
Master_Mapping_Sheet!$E$2:$E$3143, ISNUMBER(
Master_Mapping_Sheet!$E$2:$E$3143),
Master_Mapping_Sheet!$C$2:$C$3143=AI$1,
Master_Mapping_Sheet!$M$2:$M$3143=VALUE(RIGHT($A5,1))))/sum(filter(
Master_Mapping_Sheet!$E$2:$E$3143, ISNUMBER(
M"&amp;"aster_Mapping_Sheet!$E$2:$E$3143),
Master_Mapping_Sheet!$C$2:$C$3143=AI$1))), 0, sum(filter(
Master_Mapping_Sheet!$E$2:$E$3143, ISNUMBER(
Master_Mapping_Sheet!$E$2:$E$3143),
Master_Mapping_Sheet!$C$2:$C$3143=AI$1,
Master_Mapping_Sheet!$M$2:$M$3143=VALUE(R"&amp;"IGHT($A5,1))))/sum(filter(
Master_Mapping_Sheet!$E$2:$E$3143, ISNUMBER(
Master_Mapping_Sheet!$E$2:$E$3143),
Master_Mapping_Sheet!$C$2:$C$3143=AI$1)))"),0.5053494114849064)</f>
        <v>0.5053494115</v>
      </c>
      <c r="AJ5" s="34">
        <f>IFERROR(__xludf.DUMMYFUNCTION("IF(ISNA(sum(filter(
Master_Mapping_Sheet!$E$2:$E$3143, ISNUMBER(
Master_Mapping_Sheet!$E$2:$E$3143),
Master_Mapping_Sheet!$C$2:$C$3143=AJ$1,
Master_Mapping_Sheet!$M$2:$M$3143=VALUE(RIGHT($A5,1))))/sum(filter(
Master_Mapping_Sheet!$E$2:$E$3143, ISNUMBER(
M"&amp;"aster_Mapping_Sheet!$E$2:$E$3143),
Master_Mapping_Sheet!$C$2:$C$3143=AJ$1))), 0, sum(filter(
Master_Mapping_Sheet!$E$2:$E$3143, ISNUMBER(
Master_Mapping_Sheet!$E$2:$E$3143),
Master_Mapping_Sheet!$C$2:$C$3143=AJ$1,
Master_Mapping_Sheet!$M$2:$M$3143=VALUE(R"&amp;"IGHT($A5,1))))/sum(filter(
Master_Mapping_Sheet!$E$2:$E$3143, ISNUMBER(
Master_Mapping_Sheet!$E$2:$E$3143),
Master_Mapping_Sheet!$C$2:$C$3143=AJ$1)))"),0.0)</f>
        <v>0</v>
      </c>
      <c r="AK5" s="34">
        <f>IFERROR(__xludf.DUMMYFUNCTION("IF(ISNA(sum(filter(
Master_Mapping_Sheet!$E$2:$E$3143, ISNUMBER(
Master_Mapping_Sheet!$E$2:$E$3143),
Master_Mapping_Sheet!$C$2:$C$3143=AK$1,
Master_Mapping_Sheet!$M$2:$M$3143=VALUE(RIGHT($A5,1))))/sum(filter(
Master_Mapping_Sheet!$E$2:$E$3143, ISNUMBER(
M"&amp;"aster_Mapping_Sheet!$E$2:$E$3143),
Master_Mapping_Sheet!$C$2:$C$3143=AK$1))), 0, sum(filter(
Master_Mapping_Sheet!$E$2:$E$3143, ISNUMBER(
Master_Mapping_Sheet!$E$2:$E$3143),
Master_Mapping_Sheet!$C$2:$C$3143=AK$1,
Master_Mapping_Sheet!$M$2:$M$3143=VALUE(R"&amp;"IGHT($A5,1))))/sum(filter(
Master_Mapping_Sheet!$E$2:$E$3143, ISNUMBER(
Master_Mapping_Sheet!$E$2:$E$3143),
Master_Mapping_Sheet!$C$2:$C$3143=AK$1)))"),0.1147960683645379)</f>
        <v>0.1147960684</v>
      </c>
      <c r="AL5" s="34">
        <f>IFERROR(__xludf.DUMMYFUNCTION("IF(ISNA(sum(filter(
Master_Mapping_Sheet!$E$2:$E$3143, ISNUMBER(
Master_Mapping_Sheet!$E$2:$E$3143),
Master_Mapping_Sheet!$C$2:$C$3143=AL$1,
Master_Mapping_Sheet!$M$2:$M$3143=VALUE(RIGHT($A5,1))))/sum(filter(
Master_Mapping_Sheet!$E$2:$E$3143, ISNUMBER(
M"&amp;"aster_Mapping_Sheet!$E$2:$E$3143),
Master_Mapping_Sheet!$C$2:$C$3143=AL$1))), 0, sum(filter(
Master_Mapping_Sheet!$E$2:$E$3143, ISNUMBER(
Master_Mapping_Sheet!$E$2:$E$3143),
Master_Mapping_Sheet!$C$2:$C$3143=AL$1,
Master_Mapping_Sheet!$M$2:$M$3143=VALUE(R"&amp;"IGHT($A5,1))))/sum(filter(
Master_Mapping_Sheet!$E$2:$E$3143, ISNUMBER(
Master_Mapping_Sheet!$E$2:$E$3143),
Master_Mapping_Sheet!$C$2:$C$3143=AL$1)))"),0.006803452739931482)</f>
        <v>0.00680345274</v>
      </c>
      <c r="AM5" s="34">
        <f>IFERROR(__xludf.DUMMYFUNCTION("IF(ISNA(sum(filter(
Master_Mapping_Sheet!$E$2:$E$3143, ISNUMBER(
Master_Mapping_Sheet!$E$2:$E$3143),
Master_Mapping_Sheet!$C$2:$C$3143=AM$1,
Master_Mapping_Sheet!$M$2:$M$3143=VALUE(RIGHT($A5,1))))/sum(filter(
Master_Mapping_Sheet!$E$2:$E$3143, ISNUMBER(
M"&amp;"aster_Mapping_Sheet!$E$2:$E$3143),
Master_Mapping_Sheet!$C$2:$C$3143=AM$1))), 0, sum(filter(
Master_Mapping_Sheet!$E$2:$E$3143, ISNUMBER(
Master_Mapping_Sheet!$E$2:$E$3143),
Master_Mapping_Sheet!$C$2:$C$3143=AM$1,
Master_Mapping_Sheet!$M$2:$M$3143=VALUE(R"&amp;"IGHT($A5,1))))/sum(filter(
Master_Mapping_Sheet!$E$2:$E$3143, ISNUMBER(
Master_Mapping_Sheet!$E$2:$E$3143),
Master_Mapping_Sheet!$C$2:$C$3143=AM$1)))"),0.8619795443711588)</f>
        <v>0.8619795444</v>
      </c>
      <c r="AN5" s="34">
        <f>IFERROR(__xludf.DUMMYFUNCTION("IF(ISNA(sum(filter(
Master_Mapping_Sheet!$E$2:$E$3143, ISNUMBER(
Master_Mapping_Sheet!$E$2:$E$3143),
Master_Mapping_Sheet!$C$2:$C$3143=AN$1,
Master_Mapping_Sheet!$M$2:$M$3143=VALUE(RIGHT($A5,1))))/sum(filter(
Master_Mapping_Sheet!$E$2:$E$3143, ISNUMBER(
M"&amp;"aster_Mapping_Sheet!$E$2:$E$3143),
Master_Mapping_Sheet!$C$2:$C$3143=AN$1))), 0, sum(filter(
Master_Mapping_Sheet!$E$2:$E$3143, ISNUMBER(
Master_Mapping_Sheet!$E$2:$E$3143),
Master_Mapping_Sheet!$C$2:$C$3143=AN$1,
Master_Mapping_Sheet!$M$2:$M$3143=VALUE(R"&amp;"IGHT($A5,1))))/sum(filter(
Master_Mapping_Sheet!$E$2:$E$3143, ISNUMBER(
Master_Mapping_Sheet!$E$2:$E$3143),
Master_Mapping_Sheet!$C$2:$C$3143=AN$1)))"),0.3592443975060955)</f>
        <v>0.3592443975</v>
      </c>
      <c r="AO5" s="34">
        <f>IFERROR(__xludf.DUMMYFUNCTION("IF(ISNA(sum(filter(
Master_Mapping_Sheet!$E$2:$E$3143, ISNUMBER(
Master_Mapping_Sheet!$E$2:$E$3143),
Master_Mapping_Sheet!$C$2:$C$3143=AO$1,
Master_Mapping_Sheet!$M$2:$M$3143=VALUE(RIGHT($A5,1))))/sum(filter(
Master_Mapping_Sheet!$E$2:$E$3143, ISNUMBER(
M"&amp;"aster_Mapping_Sheet!$E$2:$E$3143),
Master_Mapping_Sheet!$C$2:$C$3143=AO$1))), 0, sum(filter(
Master_Mapping_Sheet!$E$2:$E$3143, ISNUMBER(
Master_Mapping_Sheet!$E$2:$E$3143),
Master_Mapping_Sheet!$C$2:$C$3143=AO$1,
Master_Mapping_Sheet!$M$2:$M$3143=VALUE(R"&amp;"IGHT($A5,1))))/sum(filter(
Master_Mapping_Sheet!$E$2:$E$3143, ISNUMBER(
Master_Mapping_Sheet!$E$2:$E$3143),
Master_Mapping_Sheet!$C$2:$C$3143=AO$1)))"),0.0)</f>
        <v>0</v>
      </c>
      <c r="AP5" s="34">
        <f>IFERROR(__xludf.DUMMYFUNCTION("IF(ISNA(sum(filter(
Master_Mapping_Sheet!$E$2:$E$3143, ISNUMBER(
Master_Mapping_Sheet!$E$2:$E$3143),
Master_Mapping_Sheet!$C$2:$C$3143=AP$1,
Master_Mapping_Sheet!$M$2:$M$3143=VALUE(RIGHT($A5,1))))/sum(filter(
Master_Mapping_Sheet!$E$2:$E$3143, ISNUMBER(
M"&amp;"aster_Mapping_Sheet!$E$2:$E$3143),
Master_Mapping_Sheet!$C$2:$C$3143=AP$1))), 0, sum(filter(
Master_Mapping_Sheet!$E$2:$E$3143, ISNUMBER(
Master_Mapping_Sheet!$E$2:$E$3143),
Master_Mapping_Sheet!$C$2:$C$3143=AP$1,
Master_Mapping_Sheet!$M$2:$M$3143=VALUE(R"&amp;"IGHT($A5,1))))/sum(filter(
Master_Mapping_Sheet!$E$2:$E$3143, ISNUMBER(
Master_Mapping_Sheet!$E$2:$E$3143),
Master_Mapping_Sheet!$C$2:$C$3143=AP$1)))"),0.0)</f>
        <v>0</v>
      </c>
      <c r="AQ5" s="34">
        <f>IFERROR(__xludf.DUMMYFUNCTION("IF(ISNA(sum(filter(
Master_Mapping_Sheet!$E$2:$E$3143, ISNUMBER(
Master_Mapping_Sheet!$E$2:$E$3143),
Master_Mapping_Sheet!$C$2:$C$3143=AQ$1,
Master_Mapping_Sheet!$M$2:$M$3143=VALUE(RIGHT($A5,1))))/sum(filter(
Master_Mapping_Sheet!$E$2:$E$3143, ISNUMBER(
M"&amp;"aster_Mapping_Sheet!$E$2:$E$3143),
Master_Mapping_Sheet!$C$2:$C$3143=AQ$1))), 0, sum(filter(
Master_Mapping_Sheet!$E$2:$E$3143, ISNUMBER(
Master_Mapping_Sheet!$E$2:$E$3143),
Master_Mapping_Sheet!$C$2:$C$3143=AQ$1,
Master_Mapping_Sheet!$M$2:$M$3143=VALUE(R"&amp;"IGHT($A5,1))))/sum(filter(
Master_Mapping_Sheet!$E$2:$E$3143, ISNUMBER(
Master_Mapping_Sheet!$E$2:$E$3143),
Master_Mapping_Sheet!$C$2:$C$3143=AQ$1)))"),0.0)</f>
        <v>0</v>
      </c>
      <c r="AR5" s="34">
        <f>IFERROR(__xludf.DUMMYFUNCTION("IF(ISNA(sum(filter(
Master_Mapping_Sheet!$E$2:$E$3143, ISNUMBER(
Master_Mapping_Sheet!$E$2:$E$3143),
Master_Mapping_Sheet!$C$2:$C$3143=AR$1,
Master_Mapping_Sheet!$M$2:$M$3143=VALUE(RIGHT($A5,1))))/sum(filter(
Master_Mapping_Sheet!$E$2:$E$3143, ISNUMBER(
M"&amp;"aster_Mapping_Sheet!$E$2:$E$3143),
Master_Mapping_Sheet!$C$2:$C$3143=AR$1))), 0, sum(filter(
Master_Mapping_Sheet!$E$2:$E$3143, ISNUMBER(
Master_Mapping_Sheet!$E$2:$E$3143),
Master_Mapping_Sheet!$C$2:$C$3143=AR$1,
Master_Mapping_Sheet!$M$2:$M$3143=VALUE(R"&amp;"IGHT($A5,1))))/sum(filter(
Master_Mapping_Sheet!$E$2:$E$3143, ISNUMBER(
Master_Mapping_Sheet!$E$2:$E$3143),
Master_Mapping_Sheet!$C$2:$C$3143=AR$1)))"),0.8121339975407245)</f>
        <v>0.8121339975</v>
      </c>
      <c r="AS5" s="34">
        <f>IFERROR(__xludf.DUMMYFUNCTION("IF(ISNA(sum(filter(
Master_Mapping_Sheet!$E$2:$E$3143, ISNUMBER(
Master_Mapping_Sheet!$E$2:$E$3143),
Master_Mapping_Sheet!$C$2:$C$3143=AS$1,
Master_Mapping_Sheet!$M$2:$M$3143=VALUE(RIGHT($A5,1))))/sum(filter(
Master_Mapping_Sheet!$E$2:$E$3143, ISNUMBER(
M"&amp;"aster_Mapping_Sheet!$E$2:$E$3143),
Master_Mapping_Sheet!$C$2:$C$3143=AS$1))), 0, sum(filter(
Master_Mapping_Sheet!$E$2:$E$3143, ISNUMBER(
Master_Mapping_Sheet!$E$2:$E$3143),
Master_Mapping_Sheet!$C$2:$C$3143=AS$1,
Master_Mapping_Sheet!$M$2:$M$3143=VALUE(R"&amp;"IGHT($A5,1))))/sum(filter(
Master_Mapping_Sheet!$E$2:$E$3143, ISNUMBER(
Master_Mapping_Sheet!$E$2:$E$3143),
Master_Mapping_Sheet!$C$2:$C$3143=AS$1)))"),0.01647661018720564)</f>
        <v>0.01647661019</v>
      </c>
      <c r="AT5" s="34">
        <f>IFERROR(__xludf.DUMMYFUNCTION("IF(ISNA(sum(filter(
Master_Mapping_Sheet!$E$2:$E$3143, ISNUMBER(
Master_Mapping_Sheet!$E$2:$E$3143),
Master_Mapping_Sheet!$C$2:$C$3143=AT$1,
Master_Mapping_Sheet!$M$2:$M$3143=VALUE(RIGHT($A5,1))))/sum(filter(
Master_Mapping_Sheet!$E$2:$E$3143, ISNUMBER(
M"&amp;"aster_Mapping_Sheet!$E$2:$E$3143),
Master_Mapping_Sheet!$C$2:$C$3143=AT$1))), 0, sum(filter(
Master_Mapping_Sheet!$E$2:$E$3143, ISNUMBER(
Master_Mapping_Sheet!$E$2:$E$3143),
Master_Mapping_Sheet!$C$2:$C$3143=AT$1,
Master_Mapping_Sheet!$M$2:$M$3143=VALUE(R"&amp;"IGHT($A5,1))))/sum(filter(
Master_Mapping_Sheet!$E$2:$E$3143, ISNUMBER(
Master_Mapping_Sheet!$E$2:$E$3143),
Master_Mapping_Sheet!$C$2:$C$3143=AT$1)))"),0.0)</f>
        <v>0</v>
      </c>
      <c r="AU5" s="34">
        <f>IFERROR(__xludf.DUMMYFUNCTION("IF(ISNA(sum(filter(
Master_Mapping_Sheet!$E$2:$E$3143, ISNUMBER(
Master_Mapping_Sheet!$E$2:$E$3143),
Master_Mapping_Sheet!$C$2:$C$3143=AU$1,
Master_Mapping_Sheet!$M$2:$M$3143=VALUE(RIGHT($A5,1))))/sum(filter(
Master_Mapping_Sheet!$E$2:$E$3143, ISNUMBER(
M"&amp;"aster_Mapping_Sheet!$E$2:$E$3143),
Master_Mapping_Sheet!$C$2:$C$3143=AU$1))), 0, sum(filter(
Master_Mapping_Sheet!$E$2:$E$3143, ISNUMBER(
Master_Mapping_Sheet!$E$2:$E$3143),
Master_Mapping_Sheet!$C$2:$C$3143=AU$1,
Master_Mapping_Sheet!$M$2:$M$3143=VALUE(R"&amp;"IGHT($A5,1))))/sum(filter(
Master_Mapping_Sheet!$E$2:$E$3143, ISNUMBER(
Master_Mapping_Sheet!$E$2:$E$3143),
Master_Mapping_Sheet!$C$2:$C$3143=AU$1)))"),0.0)</f>
        <v>0</v>
      </c>
      <c r="AV5" s="34">
        <f>IFERROR(__xludf.DUMMYFUNCTION("IF(ISNA(sum(filter(
Master_Mapping_Sheet!$E$2:$E$3143, ISNUMBER(
Master_Mapping_Sheet!$E$2:$E$3143),
Master_Mapping_Sheet!$C$2:$C$3143=AV$1,
Master_Mapping_Sheet!$M$2:$M$3143=VALUE(RIGHT($A5,1))))/sum(filter(
Master_Mapping_Sheet!$E$2:$E$3143, ISNUMBER(
M"&amp;"aster_Mapping_Sheet!$E$2:$E$3143),
Master_Mapping_Sheet!$C$2:$C$3143=AV$1))), 0, sum(filter(
Master_Mapping_Sheet!$E$2:$E$3143, ISNUMBER(
Master_Mapping_Sheet!$E$2:$E$3143),
Master_Mapping_Sheet!$C$2:$C$3143=AV$1,
Master_Mapping_Sheet!$M$2:$M$3143=VALUE(R"&amp;"IGHT($A5,1))))/sum(filter(
Master_Mapping_Sheet!$E$2:$E$3143, ISNUMBER(
Master_Mapping_Sheet!$E$2:$E$3143),
Master_Mapping_Sheet!$C$2:$C$3143=AV$1)))"),1.0)</f>
        <v>1</v>
      </c>
      <c r="AW5" s="34">
        <f>IFERROR(__xludf.DUMMYFUNCTION("IF(ISNA(sum(filter(
Master_Mapping_Sheet!$E$2:$E$3143, ISNUMBER(
Master_Mapping_Sheet!$E$2:$E$3143),
Master_Mapping_Sheet!$C$2:$C$3143=AW$1,
Master_Mapping_Sheet!$M$2:$M$3143=VALUE(RIGHT($A5,1))))/sum(filter(
Master_Mapping_Sheet!$E$2:$E$3143, ISNUMBER(
M"&amp;"aster_Mapping_Sheet!$E$2:$E$3143),
Master_Mapping_Sheet!$C$2:$C$3143=AW$1))), 0, sum(filter(
Master_Mapping_Sheet!$E$2:$E$3143, ISNUMBER(
Master_Mapping_Sheet!$E$2:$E$3143),
Master_Mapping_Sheet!$C$2:$C$3143=AW$1,
Master_Mapping_Sheet!$M$2:$M$3143=VALUE(R"&amp;"IGHT($A5,1))))/sum(filter(
Master_Mapping_Sheet!$E$2:$E$3143, ISNUMBER(
Master_Mapping_Sheet!$E$2:$E$3143),
Master_Mapping_Sheet!$C$2:$C$3143=AW$1)))"),0.7802256018267272)</f>
        <v>0.7802256018</v>
      </c>
      <c r="AX5" s="34">
        <f>IFERROR(__xludf.DUMMYFUNCTION("IF(ISNA(sum(filter(
Master_Mapping_Sheet!$E$2:$E$3143, ISNUMBER(
Master_Mapping_Sheet!$E$2:$E$3143),
Master_Mapping_Sheet!$C$2:$C$3143=AX$1,
Master_Mapping_Sheet!$M$2:$M$3143=VALUE(RIGHT($A5,1))))/sum(filter(
Master_Mapping_Sheet!$E$2:$E$3143, ISNUMBER(
M"&amp;"aster_Mapping_Sheet!$E$2:$E$3143),
Master_Mapping_Sheet!$C$2:$C$3143=AX$1))), 0, sum(filter(
Master_Mapping_Sheet!$E$2:$E$3143, ISNUMBER(
Master_Mapping_Sheet!$E$2:$E$3143),
Master_Mapping_Sheet!$C$2:$C$3143=AX$1,
Master_Mapping_Sheet!$M$2:$M$3143=VALUE(R"&amp;"IGHT($A5,1))))/sum(filter(
Master_Mapping_Sheet!$E$2:$E$3143, ISNUMBER(
Master_Mapping_Sheet!$E$2:$E$3143),
Master_Mapping_Sheet!$C$2:$C$3143=AX$1)))"),0.5556375987177915)</f>
        <v>0.5556375987</v>
      </c>
      <c r="AY5" s="34">
        <f>IFERROR(__xludf.DUMMYFUNCTION("IF(ISNA(sum(filter(
Master_Mapping_Sheet!$E$2:$E$3143, ISNUMBER(
Master_Mapping_Sheet!$E$2:$E$3143),
Master_Mapping_Sheet!$C$2:$C$3143=AY$1,
Master_Mapping_Sheet!$M$2:$M$3143=VALUE(RIGHT($A5,1))))/sum(filter(
Master_Mapping_Sheet!$E$2:$E$3143, ISNUMBER(
M"&amp;"aster_Mapping_Sheet!$E$2:$E$3143),
Master_Mapping_Sheet!$C$2:$C$3143=AY$1))), 0, sum(filter(
Master_Mapping_Sheet!$E$2:$E$3143, ISNUMBER(
Master_Mapping_Sheet!$E$2:$E$3143),
Master_Mapping_Sheet!$C$2:$C$3143=AY$1,
Master_Mapping_Sheet!$M$2:$M$3143=VALUE(R"&amp;"IGHT($A5,1))))/sum(filter(
Master_Mapping_Sheet!$E$2:$E$3143, ISNUMBER(
Master_Mapping_Sheet!$E$2:$E$3143),
Master_Mapping_Sheet!$C$2:$C$3143=AY$1)))"),0.0)</f>
        <v>0</v>
      </c>
      <c r="AZ5" s="34">
        <f>IFERROR(__xludf.DUMMYFUNCTION("IF(ISNA(sum(filter(
Master_Mapping_Sheet!$E$2:$E$3143, ISNUMBER(
Master_Mapping_Sheet!$E$2:$E$3143),
Master_Mapping_Sheet!$C$2:$C$3143=AZ$1,
Master_Mapping_Sheet!$M$2:$M$3143=VALUE(RIGHT($A5,1))))/sum(filter(
Master_Mapping_Sheet!$E$2:$E$3143, ISNUMBER(
M"&amp;"aster_Mapping_Sheet!$E$2:$E$3143),
Master_Mapping_Sheet!$C$2:$C$3143=AZ$1))), 0, sum(filter(
Master_Mapping_Sheet!$E$2:$E$3143, ISNUMBER(
Master_Mapping_Sheet!$E$2:$E$3143),
Master_Mapping_Sheet!$C$2:$C$3143=AZ$1,
Master_Mapping_Sheet!$M$2:$M$3143=VALUE(R"&amp;"IGHT($A5,1))))/sum(filter(
Master_Mapping_Sheet!$E$2:$E$3143, ISNUMBER(
Master_Mapping_Sheet!$E$2:$E$3143),
Master_Mapping_Sheet!$C$2:$C$3143=AZ$1)))"),0.0)</f>
        <v>0</v>
      </c>
    </row>
    <row r="6" ht="15.75" customHeight="1">
      <c r="A6" s="45" t="s">
        <v>4255</v>
      </c>
      <c r="B6" s="34">
        <f>IFERROR(__xludf.DUMMYFUNCTION("IF(ISNA(sum(filter(
Master_Mapping_Sheet!$E$2:$E$3143, ISNUMBER(
Master_Mapping_Sheet!$E$2:$E$3143),
Master_Mapping_Sheet!$C$2:$C$3143=B$1,
Master_Mapping_Sheet!$M$2:$M$3143=VALUE(RIGHT($A6,1))))/sum(filter(
Master_Mapping_Sheet!$E$2:$E$3143, ISNUMBER(
Ma"&amp;"ster_Mapping_Sheet!$E$2:$E$3143),
Master_Mapping_Sheet!$C$2:$C$3143=B$1))), 0, sum(filter(
Master_Mapping_Sheet!$E$2:$E$3143, ISNUMBER(
Master_Mapping_Sheet!$E$2:$E$3143),
Master_Mapping_Sheet!$C$2:$C$3143=B$1,
Master_Mapping_Sheet!$M$2:$M$3143=VALUE(RIGH"&amp;"T($A6,1))))/sum(filter(
Master_Mapping_Sheet!$E$2:$E$3143, ISNUMBER(
Master_Mapping_Sheet!$E$2:$E$3143),
Master_Mapping_Sheet!$C$2:$C$3143=B$1)))"),0.0)</f>
        <v>0</v>
      </c>
      <c r="C6" s="34">
        <f>IFERROR(__xludf.DUMMYFUNCTION("IF(ISNA(sum(filter(
Master_Mapping_Sheet!$E$2:$E$3143, ISNUMBER(
Master_Mapping_Sheet!$E$2:$E$3143),
Master_Mapping_Sheet!$C$2:$C$3143=C$1,
Master_Mapping_Sheet!$M$2:$M$3143=VALUE(RIGHT($A6,1))))/sum(filter(
Master_Mapping_Sheet!$E$2:$E$3143, ISNUMBER(
Ma"&amp;"ster_Mapping_Sheet!$E$2:$E$3143),
Master_Mapping_Sheet!$C$2:$C$3143=C$1))), 0, sum(filter(
Master_Mapping_Sheet!$E$2:$E$3143, ISNUMBER(
Master_Mapping_Sheet!$E$2:$E$3143),
Master_Mapping_Sheet!$C$2:$C$3143=C$1,
Master_Mapping_Sheet!$M$2:$M$3143=VALUE(RIGH"&amp;"T($A6,1))))/sum(filter(
Master_Mapping_Sheet!$E$2:$E$3143, ISNUMBER(
Master_Mapping_Sheet!$E$2:$E$3143),
Master_Mapping_Sheet!$C$2:$C$3143=C$1)))"),0.0)</f>
        <v>0</v>
      </c>
      <c r="D6" s="34">
        <f>IFERROR(__xludf.DUMMYFUNCTION("IF(ISNA(sum(filter(
Master_Mapping_Sheet!$E$2:$E$3143, ISNUMBER(
Master_Mapping_Sheet!$E$2:$E$3143),
Master_Mapping_Sheet!$C$2:$C$3143=D$1,
Master_Mapping_Sheet!$M$2:$M$3143=VALUE(RIGHT($A6,1))))/sum(filter(
Master_Mapping_Sheet!$E$2:$E$3143, ISNUMBER(
Ma"&amp;"ster_Mapping_Sheet!$E$2:$E$3143),
Master_Mapping_Sheet!$C$2:$C$3143=D$1))), 0, sum(filter(
Master_Mapping_Sheet!$E$2:$E$3143, ISNUMBER(
Master_Mapping_Sheet!$E$2:$E$3143),
Master_Mapping_Sheet!$C$2:$C$3143=D$1,
Master_Mapping_Sheet!$M$2:$M$3143=VALUE(RIGH"&amp;"T($A6,1))))/sum(filter(
Master_Mapping_Sheet!$E$2:$E$3143, ISNUMBER(
Master_Mapping_Sheet!$E$2:$E$3143),
Master_Mapping_Sheet!$C$2:$C$3143=D$1)))"),0.0428836291254987)</f>
        <v>0.04288362913</v>
      </c>
      <c r="E6" s="34">
        <f>IFERROR(__xludf.DUMMYFUNCTION("IF(ISNA(sum(filter(
Master_Mapping_Sheet!$E$2:$E$3143, ISNUMBER(
Master_Mapping_Sheet!$E$2:$E$3143),
Master_Mapping_Sheet!$C$2:$C$3143=E$1,
Master_Mapping_Sheet!$M$2:$M$3143=VALUE(RIGHT($A6,1))))/sum(filter(
Master_Mapping_Sheet!$E$2:$E$3143, ISNUMBER(
Ma"&amp;"ster_Mapping_Sheet!$E$2:$E$3143),
Master_Mapping_Sheet!$C$2:$C$3143=E$1))), 0, sum(filter(
Master_Mapping_Sheet!$E$2:$E$3143, ISNUMBER(
Master_Mapping_Sheet!$E$2:$E$3143),
Master_Mapping_Sheet!$C$2:$C$3143=E$1,
Master_Mapping_Sheet!$M$2:$M$3143=VALUE(RIGH"&amp;"T($A6,1))))/sum(filter(
Master_Mapping_Sheet!$E$2:$E$3143, ISNUMBER(
Master_Mapping_Sheet!$E$2:$E$3143),
Master_Mapping_Sheet!$C$2:$C$3143=E$1)))"),0.0)</f>
        <v>0</v>
      </c>
      <c r="F6" s="34">
        <f>IFERROR(__xludf.DUMMYFUNCTION("IF(ISNA(sum(filter(
Master_Mapping_Sheet!$E$2:$E$3143, ISNUMBER(
Master_Mapping_Sheet!$E$2:$E$3143),
Master_Mapping_Sheet!$C$2:$C$3143=F$1,
Master_Mapping_Sheet!$M$2:$M$3143=VALUE(RIGHT($A6,1))))/sum(filter(
Master_Mapping_Sheet!$E$2:$E$3143, ISNUMBER(
Ma"&amp;"ster_Mapping_Sheet!$E$2:$E$3143),
Master_Mapping_Sheet!$C$2:$C$3143=F$1))), 0, sum(filter(
Master_Mapping_Sheet!$E$2:$E$3143, ISNUMBER(
Master_Mapping_Sheet!$E$2:$E$3143),
Master_Mapping_Sheet!$C$2:$C$3143=F$1,
Master_Mapping_Sheet!$M$2:$M$3143=VALUE(RIGH"&amp;"T($A6,1))))/sum(filter(
Master_Mapping_Sheet!$E$2:$E$3143, ISNUMBER(
Master_Mapping_Sheet!$E$2:$E$3143),
Master_Mapping_Sheet!$C$2:$C$3143=F$1)))"),0.005251712727305111)</f>
        <v>0.005251712727</v>
      </c>
      <c r="G6" s="34">
        <f>IFERROR(__xludf.DUMMYFUNCTION("IF(ISNA(sum(filter(
Master_Mapping_Sheet!$E$2:$E$3143, ISNUMBER(
Master_Mapping_Sheet!$E$2:$E$3143),
Master_Mapping_Sheet!$C$2:$C$3143=G$1,
Master_Mapping_Sheet!$M$2:$M$3143=VALUE(RIGHT($A6,1))))/sum(filter(
Master_Mapping_Sheet!$E$2:$E$3143, ISNUMBER(
Ma"&amp;"ster_Mapping_Sheet!$E$2:$E$3143),
Master_Mapping_Sheet!$C$2:$C$3143=G$1))), 0, sum(filter(
Master_Mapping_Sheet!$E$2:$E$3143, ISNUMBER(
Master_Mapping_Sheet!$E$2:$E$3143),
Master_Mapping_Sheet!$C$2:$C$3143=G$1,
Master_Mapping_Sheet!$M$2:$M$3143=VALUE(RIGH"&amp;"T($A6,1))))/sum(filter(
Master_Mapping_Sheet!$E$2:$E$3143, ISNUMBER(
Master_Mapping_Sheet!$E$2:$E$3143),
Master_Mapping_Sheet!$C$2:$C$3143=G$1)))"),0.9395067042556413)</f>
        <v>0.9395067043</v>
      </c>
      <c r="H6" s="34">
        <f>IFERROR(__xludf.DUMMYFUNCTION("IF(ISNA(sum(filter(
Master_Mapping_Sheet!$E$2:$E$3143, ISNUMBER(
Master_Mapping_Sheet!$E$2:$E$3143),
Master_Mapping_Sheet!$C$2:$C$3143=H$1,
Master_Mapping_Sheet!$M$2:$M$3143=VALUE(RIGHT($A6,1))))/sum(filter(
Master_Mapping_Sheet!$E$2:$E$3143, ISNUMBER(
Ma"&amp;"ster_Mapping_Sheet!$E$2:$E$3143),
Master_Mapping_Sheet!$C$2:$C$3143=H$1))), 0, sum(filter(
Master_Mapping_Sheet!$E$2:$E$3143, ISNUMBER(
Master_Mapping_Sheet!$E$2:$E$3143),
Master_Mapping_Sheet!$C$2:$C$3143=H$1,
Master_Mapping_Sheet!$M$2:$M$3143=VALUE(RIGH"&amp;"T($A6,1))))/sum(filter(
Master_Mapping_Sheet!$E$2:$E$3143, ISNUMBER(
Master_Mapping_Sheet!$E$2:$E$3143),
Master_Mapping_Sheet!$C$2:$C$3143=H$1)))"),1.0)</f>
        <v>1</v>
      </c>
      <c r="I6" s="34">
        <f>IFERROR(__xludf.DUMMYFUNCTION("IF(ISNA(sum(filter(
Master_Mapping_Sheet!$E$2:$E$3143, ISNUMBER(
Master_Mapping_Sheet!$E$2:$E$3143),
Master_Mapping_Sheet!$C$2:$C$3143=I$1,
Master_Mapping_Sheet!$M$2:$M$3143=VALUE(RIGHT($A6,1))))/sum(filter(
Master_Mapping_Sheet!$E$2:$E$3143, ISNUMBER(
Ma"&amp;"ster_Mapping_Sheet!$E$2:$E$3143),
Master_Mapping_Sheet!$C$2:$C$3143=I$1))), 0, sum(filter(
Master_Mapping_Sheet!$E$2:$E$3143, ISNUMBER(
Master_Mapping_Sheet!$E$2:$E$3143),
Master_Mapping_Sheet!$C$2:$C$3143=I$1,
Master_Mapping_Sheet!$M$2:$M$3143=VALUE(RIGH"&amp;"T($A6,1))))/sum(filter(
Master_Mapping_Sheet!$E$2:$E$3143, ISNUMBER(
Master_Mapping_Sheet!$E$2:$E$3143),
Master_Mapping_Sheet!$C$2:$C$3143=I$1)))"),0.0)</f>
        <v>0</v>
      </c>
      <c r="J6" s="34">
        <f>IFERROR(__xludf.DUMMYFUNCTION("IF(ISNA(sum(filter(
Master_Mapping_Sheet!$E$2:$E$3143, ISNUMBER(
Master_Mapping_Sheet!$E$2:$E$3143),
Master_Mapping_Sheet!$C$2:$C$3143=J$1,
Master_Mapping_Sheet!$M$2:$M$3143=VALUE(RIGHT($A6,1))))/sum(filter(
Master_Mapping_Sheet!$E$2:$E$3143, ISNUMBER(
Ma"&amp;"ster_Mapping_Sheet!$E$2:$E$3143),
Master_Mapping_Sheet!$C$2:$C$3143=J$1))), 0, sum(filter(
Master_Mapping_Sheet!$E$2:$E$3143, ISNUMBER(
Master_Mapping_Sheet!$E$2:$E$3143),
Master_Mapping_Sheet!$C$2:$C$3143=J$1,
Master_Mapping_Sheet!$M$2:$M$3143=VALUE(RIGH"&amp;"T($A6,1))))/sum(filter(
Master_Mapping_Sheet!$E$2:$E$3143, ISNUMBER(
Master_Mapping_Sheet!$E$2:$E$3143),
Master_Mapping_Sheet!$C$2:$C$3143=J$1)))"),0.0)</f>
        <v>0</v>
      </c>
      <c r="K6" s="34">
        <f>IFERROR(__xludf.DUMMYFUNCTION("IF(ISNA(sum(filter(
Master_Mapping_Sheet!$E$2:$E$3143, ISNUMBER(
Master_Mapping_Sheet!$E$2:$E$3143),
Master_Mapping_Sheet!$C$2:$C$3143=K$1,
Master_Mapping_Sheet!$M$2:$M$3143=VALUE(RIGHT($A6,1))))/sum(filter(
Master_Mapping_Sheet!$E$2:$E$3143, ISNUMBER(
Ma"&amp;"ster_Mapping_Sheet!$E$2:$E$3143),
Master_Mapping_Sheet!$C$2:$C$3143=K$1))), 0, sum(filter(
Master_Mapping_Sheet!$E$2:$E$3143, ISNUMBER(
Master_Mapping_Sheet!$E$2:$E$3143),
Master_Mapping_Sheet!$C$2:$C$3143=K$1,
Master_Mapping_Sheet!$M$2:$M$3143=VALUE(RIGH"&amp;"T($A6,1))))/sum(filter(
Master_Mapping_Sheet!$E$2:$E$3143, ISNUMBER(
Master_Mapping_Sheet!$E$2:$E$3143),
Master_Mapping_Sheet!$C$2:$C$3143=K$1)))"),0.0)</f>
        <v>0</v>
      </c>
      <c r="L6" s="34">
        <f>IFERROR(__xludf.DUMMYFUNCTION("IF(ISNA(sum(filter(
Master_Mapping_Sheet!$E$2:$E$3143, ISNUMBER(
Master_Mapping_Sheet!$E$2:$E$3143),
Master_Mapping_Sheet!$C$2:$C$3143=L$1,
Master_Mapping_Sheet!$M$2:$M$3143=VALUE(RIGHT($A6,1))))/sum(filter(
Master_Mapping_Sheet!$E$2:$E$3143, ISNUMBER(
Ma"&amp;"ster_Mapping_Sheet!$E$2:$E$3143),
Master_Mapping_Sheet!$C$2:$C$3143=L$1))), 0, sum(filter(
Master_Mapping_Sheet!$E$2:$E$3143, ISNUMBER(
Master_Mapping_Sheet!$E$2:$E$3143),
Master_Mapping_Sheet!$C$2:$C$3143=L$1,
Master_Mapping_Sheet!$M$2:$M$3143=VALUE(RIGH"&amp;"T($A6,1))))/sum(filter(
Master_Mapping_Sheet!$E$2:$E$3143, ISNUMBER(
Master_Mapping_Sheet!$E$2:$E$3143),
Master_Mapping_Sheet!$C$2:$C$3143=L$1)))"),0.0)</f>
        <v>0</v>
      </c>
      <c r="M6" s="34">
        <f>IFERROR(__xludf.DUMMYFUNCTION("IF(ISNA(sum(filter(
Master_Mapping_Sheet!$E$2:$E$3143, ISNUMBER(
Master_Mapping_Sheet!$E$2:$E$3143),
Master_Mapping_Sheet!$C$2:$C$3143=M$1,
Master_Mapping_Sheet!$M$2:$M$3143=VALUE(RIGHT($A6,1))))/sum(filter(
Master_Mapping_Sheet!$E$2:$E$3143, ISNUMBER(
Ma"&amp;"ster_Mapping_Sheet!$E$2:$E$3143),
Master_Mapping_Sheet!$C$2:$C$3143=M$1))), 0, sum(filter(
Master_Mapping_Sheet!$E$2:$E$3143, ISNUMBER(
Master_Mapping_Sheet!$E$2:$E$3143),
Master_Mapping_Sheet!$C$2:$C$3143=M$1,
Master_Mapping_Sheet!$M$2:$M$3143=VALUE(RIGH"&amp;"T($A6,1))))/sum(filter(
Master_Mapping_Sheet!$E$2:$E$3143, ISNUMBER(
Master_Mapping_Sheet!$E$2:$E$3143),
Master_Mapping_Sheet!$C$2:$C$3143=M$1)))"),0.0)</f>
        <v>0</v>
      </c>
      <c r="N6" s="34">
        <f>IFERROR(__xludf.DUMMYFUNCTION("IF(ISNA(sum(filter(
Master_Mapping_Sheet!$E$2:$E$3143, ISNUMBER(
Master_Mapping_Sheet!$E$2:$E$3143),
Master_Mapping_Sheet!$C$2:$C$3143=N$1,
Master_Mapping_Sheet!$M$2:$M$3143=VALUE(RIGHT($A6,1))))/sum(filter(
Master_Mapping_Sheet!$E$2:$E$3143, ISNUMBER(
Ma"&amp;"ster_Mapping_Sheet!$E$2:$E$3143),
Master_Mapping_Sheet!$C$2:$C$3143=N$1))), 0, sum(filter(
Master_Mapping_Sheet!$E$2:$E$3143, ISNUMBER(
Master_Mapping_Sheet!$E$2:$E$3143),
Master_Mapping_Sheet!$C$2:$C$3143=N$1,
Master_Mapping_Sheet!$M$2:$M$3143=VALUE(RIGH"&amp;"T($A6,1))))/sum(filter(
Master_Mapping_Sheet!$E$2:$E$3143, ISNUMBER(
Master_Mapping_Sheet!$E$2:$E$3143),
Master_Mapping_Sheet!$C$2:$C$3143=N$1)))"),0.7164759869824088)</f>
        <v>0.716475987</v>
      </c>
      <c r="O6" s="34">
        <f>IFERROR(__xludf.DUMMYFUNCTION("IF(ISNA(sum(filter(
Master_Mapping_Sheet!$E$2:$E$3143, ISNUMBER(
Master_Mapping_Sheet!$E$2:$E$3143),
Master_Mapping_Sheet!$C$2:$C$3143=O$1,
Master_Mapping_Sheet!$M$2:$M$3143=VALUE(RIGHT($A6,1))))/sum(filter(
Master_Mapping_Sheet!$E$2:$E$3143, ISNUMBER(
Ma"&amp;"ster_Mapping_Sheet!$E$2:$E$3143),
Master_Mapping_Sheet!$C$2:$C$3143=O$1))), 0, sum(filter(
Master_Mapping_Sheet!$E$2:$E$3143, ISNUMBER(
Master_Mapping_Sheet!$E$2:$E$3143),
Master_Mapping_Sheet!$C$2:$C$3143=O$1,
Master_Mapping_Sheet!$M$2:$M$3143=VALUE(RIGH"&amp;"T($A6,1))))/sum(filter(
Master_Mapping_Sheet!$E$2:$E$3143, ISNUMBER(
Master_Mapping_Sheet!$E$2:$E$3143),
Master_Mapping_Sheet!$C$2:$C$3143=O$1)))"),0.8973223957980154)</f>
        <v>0.8973223958</v>
      </c>
      <c r="P6" s="34">
        <f>IFERROR(__xludf.DUMMYFUNCTION("IF(ISNA(sum(filter(
Master_Mapping_Sheet!$E$2:$E$3143, ISNUMBER(
Master_Mapping_Sheet!$E$2:$E$3143),
Master_Mapping_Sheet!$C$2:$C$3143=P$1,
Master_Mapping_Sheet!$M$2:$M$3143=VALUE(RIGHT($A6,1))))/sum(filter(
Master_Mapping_Sheet!$E$2:$E$3143, ISNUMBER(
Ma"&amp;"ster_Mapping_Sheet!$E$2:$E$3143),
Master_Mapping_Sheet!$C$2:$C$3143=P$1))), 0, sum(filter(
Master_Mapping_Sheet!$E$2:$E$3143, ISNUMBER(
Master_Mapping_Sheet!$E$2:$E$3143),
Master_Mapping_Sheet!$C$2:$C$3143=P$1,
Master_Mapping_Sheet!$M$2:$M$3143=VALUE(RIGH"&amp;"T($A6,1))))/sum(filter(
Master_Mapping_Sheet!$E$2:$E$3143, ISNUMBER(
Master_Mapping_Sheet!$E$2:$E$3143),
Master_Mapping_Sheet!$C$2:$C$3143=P$1)))"),0.8159671557178683)</f>
        <v>0.8159671557</v>
      </c>
      <c r="Q6" s="34">
        <f>IFERROR(__xludf.DUMMYFUNCTION("IF(ISNA(sum(filter(
Master_Mapping_Sheet!$E$2:$E$3143, ISNUMBER(
Master_Mapping_Sheet!$E$2:$E$3143),
Master_Mapping_Sheet!$C$2:$C$3143=Q$1,
Master_Mapping_Sheet!$M$2:$M$3143=VALUE(RIGHT($A6,1))))/sum(filter(
Master_Mapping_Sheet!$E$2:$E$3143, ISNUMBER(
Ma"&amp;"ster_Mapping_Sheet!$E$2:$E$3143),
Master_Mapping_Sheet!$C$2:$C$3143=Q$1))), 0, sum(filter(
Master_Mapping_Sheet!$E$2:$E$3143, ISNUMBER(
Master_Mapping_Sheet!$E$2:$E$3143),
Master_Mapping_Sheet!$C$2:$C$3143=Q$1,
Master_Mapping_Sheet!$M$2:$M$3143=VALUE(RIGH"&amp;"T($A6,1))))/sum(filter(
Master_Mapping_Sheet!$E$2:$E$3143, ISNUMBER(
Master_Mapping_Sheet!$E$2:$E$3143),
Master_Mapping_Sheet!$C$2:$C$3143=Q$1)))"),0.765857791259381)</f>
        <v>0.7658577913</v>
      </c>
      <c r="R6" s="34">
        <f>IFERROR(__xludf.DUMMYFUNCTION("IF(ISNA(sum(filter(
Master_Mapping_Sheet!$E$2:$E$3143, ISNUMBER(
Master_Mapping_Sheet!$E$2:$E$3143),
Master_Mapping_Sheet!$C$2:$C$3143=R$1,
Master_Mapping_Sheet!$M$2:$M$3143=VALUE(RIGHT($A6,1))))/sum(filter(
Master_Mapping_Sheet!$E$2:$E$3143, ISNUMBER(
Ma"&amp;"ster_Mapping_Sheet!$E$2:$E$3143),
Master_Mapping_Sheet!$C$2:$C$3143=R$1))), 0, sum(filter(
Master_Mapping_Sheet!$E$2:$E$3143, ISNUMBER(
Master_Mapping_Sheet!$E$2:$E$3143),
Master_Mapping_Sheet!$C$2:$C$3143=R$1,
Master_Mapping_Sheet!$M$2:$M$3143=VALUE(RIGH"&amp;"T($A6,1))))/sum(filter(
Master_Mapping_Sheet!$E$2:$E$3143, ISNUMBER(
Master_Mapping_Sheet!$E$2:$E$3143),
Master_Mapping_Sheet!$C$2:$C$3143=R$1)))"),0.04198914079222022)</f>
        <v>0.04198914079</v>
      </c>
      <c r="S6" s="34">
        <f>IFERROR(__xludf.DUMMYFUNCTION("IF(ISNA(sum(filter(
Master_Mapping_Sheet!$E$2:$E$3143, ISNUMBER(
Master_Mapping_Sheet!$E$2:$E$3143),
Master_Mapping_Sheet!$C$2:$C$3143=S$1,
Master_Mapping_Sheet!$M$2:$M$3143=VALUE(RIGHT($A6,1))))/sum(filter(
Master_Mapping_Sheet!$E$2:$E$3143, ISNUMBER(
Ma"&amp;"ster_Mapping_Sheet!$E$2:$E$3143),
Master_Mapping_Sheet!$C$2:$C$3143=S$1))), 0, sum(filter(
Master_Mapping_Sheet!$E$2:$E$3143, ISNUMBER(
Master_Mapping_Sheet!$E$2:$E$3143),
Master_Mapping_Sheet!$C$2:$C$3143=S$1,
Master_Mapping_Sheet!$M$2:$M$3143=VALUE(RIGH"&amp;"T($A6,1))))/sum(filter(
Master_Mapping_Sheet!$E$2:$E$3143, ISNUMBER(
Master_Mapping_Sheet!$E$2:$E$3143),
Master_Mapping_Sheet!$C$2:$C$3143=S$1)))"),0.0)</f>
        <v>0</v>
      </c>
      <c r="T6" s="34">
        <f>IFERROR(__xludf.DUMMYFUNCTION("IF(ISNA(sum(filter(
Master_Mapping_Sheet!$E$2:$E$3143, ISNUMBER(
Master_Mapping_Sheet!$E$2:$E$3143),
Master_Mapping_Sheet!$C$2:$C$3143=T$1,
Master_Mapping_Sheet!$M$2:$M$3143=VALUE(RIGHT($A6,1))))/sum(filter(
Master_Mapping_Sheet!$E$2:$E$3143, ISNUMBER(
Ma"&amp;"ster_Mapping_Sheet!$E$2:$E$3143),
Master_Mapping_Sheet!$C$2:$C$3143=T$1))), 0, sum(filter(
Master_Mapping_Sheet!$E$2:$E$3143, ISNUMBER(
Master_Mapping_Sheet!$E$2:$E$3143),
Master_Mapping_Sheet!$C$2:$C$3143=T$1,
Master_Mapping_Sheet!$M$2:$M$3143=VALUE(RIGH"&amp;"T($A6,1))))/sum(filter(
Master_Mapping_Sheet!$E$2:$E$3143, ISNUMBER(
Master_Mapping_Sheet!$E$2:$E$3143),
Master_Mapping_Sheet!$C$2:$C$3143=T$1)))"),0.0)</f>
        <v>0</v>
      </c>
      <c r="U6" s="34">
        <f>IFERROR(__xludf.DUMMYFUNCTION("IF(ISNA(sum(filter(
Master_Mapping_Sheet!$E$2:$E$3143, ISNUMBER(
Master_Mapping_Sheet!$E$2:$E$3143),
Master_Mapping_Sheet!$C$2:$C$3143=U$1,
Master_Mapping_Sheet!$M$2:$M$3143=VALUE(RIGHT($A6,1))))/sum(filter(
Master_Mapping_Sheet!$E$2:$E$3143, ISNUMBER(
Ma"&amp;"ster_Mapping_Sheet!$E$2:$E$3143),
Master_Mapping_Sheet!$C$2:$C$3143=U$1))), 0, sum(filter(
Master_Mapping_Sheet!$E$2:$E$3143, ISNUMBER(
Master_Mapping_Sheet!$E$2:$E$3143),
Master_Mapping_Sheet!$C$2:$C$3143=U$1,
Master_Mapping_Sheet!$M$2:$M$3143=VALUE(RIGH"&amp;"T($A6,1))))/sum(filter(
Master_Mapping_Sheet!$E$2:$E$3143, ISNUMBER(
Master_Mapping_Sheet!$E$2:$E$3143),
Master_Mapping_Sheet!$C$2:$C$3143=U$1)))"),0.0)</f>
        <v>0</v>
      </c>
      <c r="V6" s="34">
        <f>IFERROR(__xludf.DUMMYFUNCTION("IF(ISNA(sum(filter(
Master_Mapping_Sheet!$E$2:$E$3143, ISNUMBER(
Master_Mapping_Sheet!$E$2:$E$3143),
Master_Mapping_Sheet!$C$2:$C$3143=V$1,
Master_Mapping_Sheet!$M$2:$M$3143=VALUE(RIGHT($A6,1))))/sum(filter(
Master_Mapping_Sheet!$E$2:$E$3143, ISNUMBER(
Ma"&amp;"ster_Mapping_Sheet!$E$2:$E$3143),
Master_Mapping_Sheet!$C$2:$C$3143=V$1))), 0, sum(filter(
Master_Mapping_Sheet!$E$2:$E$3143, ISNUMBER(
Master_Mapping_Sheet!$E$2:$E$3143),
Master_Mapping_Sheet!$C$2:$C$3143=V$1,
Master_Mapping_Sheet!$M$2:$M$3143=VALUE(RIGH"&amp;"T($A6,1))))/sum(filter(
Master_Mapping_Sheet!$E$2:$E$3143, ISNUMBER(
Master_Mapping_Sheet!$E$2:$E$3143),
Master_Mapping_Sheet!$C$2:$C$3143=V$1)))"),0.004599002662188749)</f>
        <v>0.004599002662</v>
      </c>
      <c r="W6" s="34">
        <f>IFERROR(__xludf.DUMMYFUNCTION("IF(ISNA(sum(filter(
Master_Mapping_Sheet!$E$2:$E$3143, ISNUMBER(
Master_Mapping_Sheet!$E$2:$E$3143),
Master_Mapping_Sheet!$C$2:$C$3143=W$1,
Master_Mapping_Sheet!$M$2:$M$3143=VALUE(RIGHT($A6,1))))/sum(filter(
Master_Mapping_Sheet!$E$2:$E$3143, ISNUMBER(
Ma"&amp;"ster_Mapping_Sheet!$E$2:$E$3143),
Master_Mapping_Sheet!$C$2:$C$3143=W$1))), 0, sum(filter(
Master_Mapping_Sheet!$E$2:$E$3143, ISNUMBER(
Master_Mapping_Sheet!$E$2:$E$3143),
Master_Mapping_Sheet!$C$2:$C$3143=W$1,
Master_Mapping_Sheet!$M$2:$M$3143=VALUE(RIGH"&amp;"T($A6,1))))/sum(filter(
Master_Mapping_Sheet!$E$2:$E$3143, ISNUMBER(
Master_Mapping_Sheet!$E$2:$E$3143),
Master_Mapping_Sheet!$C$2:$C$3143=W$1)))"),1.0)</f>
        <v>1</v>
      </c>
      <c r="X6" s="34">
        <f>IFERROR(__xludf.DUMMYFUNCTION("IF(ISNA(sum(filter(
Master_Mapping_Sheet!$E$2:$E$3143, ISNUMBER(
Master_Mapping_Sheet!$E$2:$E$3143),
Master_Mapping_Sheet!$C$2:$C$3143=X$1,
Master_Mapping_Sheet!$M$2:$M$3143=VALUE(RIGHT($A6,1))))/sum(filter(
Master_Mapping_Sheet!$E$2:$E$3143, ISNUMBER(
Ma"&amp;"ster_Mapping_Sheet!$E$2:$E$3143),
Master_Mapping_Sheet!$C$2:$C$3143=X$1))), 0, sum(filter(
Master_Mapping_Sheet!$E$2:$E$3143, ISNUMBER(
Master_Mapping_Sheet!$E$2:$E$3143),
Master_Mapping_Sheet!$C$2:$C$3143=X$1,
Master_Mapping_Sheet!$M$2:$M$3143=VALUE(RIGH"&amp;"T($A6,1))))/sum(filter(
Master_Mapping_Sheet!$E$2:$E$3143, ISNUMBER(
Master_Mapping_Sheet!$E$2:$E$3143),
Master_Mapping_Sheet!$C$2:$C$3143=X$1)))"),0.8786742717958614)</f>
        <v>0.8786742718</v>
      </c>
      <c r="Y6" s="34">
        <f>IFERROR(__xludf.DUMMYFUNCTION("IF(ISNA(sum(filter(
Master_Mapping_Sheet!$E$2:$E$3143, ISNUMBER(
Master_Mapping_Sheet!$E$2:$E$3143),
Master_Mapping_Sheet!$C$2:$C$3143=Y$1,
Master_Mapping_Sheet!$M$2:$M$3143=VALUE(RIGHT($A6,1))))/sum(filter(
Master_Mapping_Sheet!$E$2:$E$3143, ISNUMBER(
Ma"&amp;"ster_Mapping_Sheet!$E$2:$E$3143),
Master_Mapping_Sheet!$C$2:$C$3143=Y$1))), 0, sum(filter(
Master_Mapping_Sheet!$E$2:$E$3143, ISNUMBER(
Master_Mapping_Sheet!$E$2:$E$3143),
Master_Mapping_Sheet!$C$2:$C$3143=Y$1,
Master_Mapping_Sheet!$M$2:$M$3143=VALUE(RIGH"&amp;"T($A6,1))))/sum(filter(
Master_Mapping_Sheet!$E$2:$E$3143, ISNUMBER(
Master_Mapping_Sheet!$E$2:$E$3143),
Master_Mapping_Sheet!$C$2:$C$3143=Y$1)))"),0.0)</f>
        <v>0</v>
      </c>
      <c r="Z6" s="34">
        <f>IFERROR(__xludf.DUMMYFUNCTION("IF(ISNA(sum(filter(
Master_Mapping_Sheet!$E$2:$E$3143, ISNUMBER(
Master_Mapping_Sheet!$E$2:$E$3143),
Master_Mapping_Sheet!$C$2:$C$3143=Z$1,
Master_Mapping_Sheet!$M$2:$M$3143=VALUE(RIGHT($A6,1))))/sum(filter(
Master_Mapping_Sheet!$E$2:$E$3143, ISNUMBER(
Ma"&amp;"ster_Mapping_Sheet!$E$2:$E$3143),
Master_Mapping_Sheet!$C$2:$C$3143=Z$1))), 0, sum(filter(
Master_Mapping_Sheet!$E$2:$E$3143, ISNUMBER(
Master_Mapping_Sheet!$E$2:$E$3143),
Master_Mapping_Sheet!$C$2:$C$3143=Z$1,
Master_Mapping_Sheet!$M$2:$M$3143=VALUE(RIGH"&amp;"T($A6,1))))/sum(filter(
Master_Mapping_Sheet!$E$2:$E$3143, ISNUMBER(
Master_Mapping_Sheet!$E$2:$E$3143),
Master_Mapping_Sheet!$C$2:$C$3143=Z$1)))"),0.0)</f>
        <v>0</v>
      </c>
      <c r="AA6" s="34">
        <f>IFERROR(__xludf.DUMMYFUNCTION("IF(ISNA(sum(filter(
Master_Mapping_Sheet!$E$2:$E$3143, ISNUMBER(
Master_Mapping_Sheet!$E$2:$E$3143),
Master_Mapping_Sheet!$C$2:$C$3143=AA$1,
Master_Mapping_Sheet!$M$2:$M$3143=VALUE(RIGHT($A6,1))))/sum(filter(
Master_Mapping_Sheet!$E$2:$E$3143, ISNUMBER(
M"&amp;"aster_Mapping_Sheet!$E$2:$E$3143),
Master_Mapping_Sheet!$C$2:$C$3143=AA$1))), 0, sum(filter(
Master_Mapping_Sheet!$E$2:$E$3143, ISNUMBER(
Master_Mapping_Sheet!$E$2:$E$3143),
Master_Mapping_Sheet!$C$2:$C$3143=AA$1,
Master_Mapping_Sheet!$M$2:$M$3143=VALUE(R"&amp;"IGHT($A6,1))))/sum(filter(
Master_Mapping_Sheet!$E$2:$E$3143, ISNUMBER(
Master_Mapping_Sheet!$E$2:$E$3143),
Master_Mapping_Sheet!$C$2:$C$3143=AA$1)))"),0.06227264129566783)</f>
        <v>0.0622726413</v>
      </c>
      <c r="AB6" s="34">
        <f>IFERROR(__xludf.DUMMYFUNCTION("IF(ISNA(sum(filter(
Master_Mapping_Sheet!$E$2:$E$3143, ISNUMBER(
Master_Mapping_Sheet!$E$2:$E$3143),
Master_Mapping_Sheet!$C$2:$C$3143=AB$1,
Master_Mapping_Sheet!$M$2:$M$3143=VALUE(RIGHT($A6,1))))/sum(filter(
Master_Mapping_Sheet!$E$2:$E$3143, ISNUMBER(
M"&amp;"aster_Mapping_Sheet!$E$2:$E$3143),
Master_Mapping_Sheet!$C$2:$C$3143=AB$1))), 0, sum(filter(
Master_Mapping_Sheet!$E$2:$E$3143, ISNUMBER(
Master_Mapping_Sheet!$E$2:$E$3143),
Master_Mapping_Sheet!$C$2:$C$3143=AB$1,
Master_Mapping_Sheet!$M$2:$M$3143=VALUE(R"&amp;"IGHT($A6,1))))/sum(filter(
Master_Mapping_Sheet!$E$2:$E$3143, ISNUMBER(
Master_Mapping_Sheet!$E$2:$E$3143),
Master_Mapping_Sheet!$C$2:$C$3143=AB$1)))"),0.0)</f>
        <v>0</v>
      </c>
      <c r="AC6" s="34">
        <f>IFERROR(__xludf.DUMMYFUNCTION("IF(ISNA(sum(filter(
Master_Mapping_Sheet!$E$2:$E$3143, ISNUMBER(
Master_Mapping_Sheet!$E$2:$E$3143),
Master_Mapping_Sheet!$C$2:$C$3143=AC$1,
Master_Mapping_Sheet!$M$2:$M$3143=VALUE(RIGHT($A6,1))))/sum(filter(
Master_Mapping_Sheet!$E$2:$E$3143, ISNUMBER(
M"&amp;"aster_Mapping_Sheet!$E$2:$E$3143),
Master_Mapping_Sheet!$C$2:$C$3143=AC$1))), 0, sum(filter(
Master_Mapping_Sheet!$E$2:$E$3143, ISNUMBER(
Master_Mapping_Sheet!$E$2:$E$3143),
Master_Mapping_Sheet!$C$2:$C$3143=AC$1,
Master_Mapping_Sheet!$M$2:$M$3143=VALUE(R"&amp;"IGHT($A6,1))))/sum(filter(
Master_Mapping_Sheet!$E$2:$E$3143, ISNUMBER(
Master_Mapping_Sheet!$E$2:$E$3143),
Master_Mapping_Sheet!$C$2:$C$3143=AC$1)))"),1.0)</f>
        <v>1</v>
      </c>
      <c r="AD6" s="34">
        <f>IFERROR(__xludf.DUMMYFUNCTION("IF(ISNA(sum(filter(
Master_Mapping_Sheet!$E$2:$E$3143, ISNUMBER(
Master_Mapping_Sheet!$E$2:$E$3143),
Master_Mapping_Sheet!$C$2:$C$3143=AD$1,
Master_Mapping_Sheet!$M$2:$M$3143=VALUE(RIGHT($A6,1))))/sum(filter(
Master_Mapping_Sheet!$E$2:$E$3143, ISNUMBER(
M"&amp;"aster_Mapping_Sheet!$E$2:$E$3143),
Master_Mapping_Sheet!$C$2:$C$3143=AD$1))), 0, sum(filter(
Master_Mapping_Sheet!$E$2:$E$3143, ISNUMBER(
Master_Mapping_Sheet!$E$2:$E$3143),
Master_Mapping_Sheet!$C$2:$C$3143=AD$1,
Master_Mapping_Sheet!$M$2:$M$3143=VALUE(R"&amp;"IGHT($A6,1))))/sum(filter(
Master_Mapping_Sheet!$E$2:$E$3143, ISNUMBER(
Master_Mapping_Sheet!$E$2:$E$3143),
Master_Mapping_Sheet!$C$2:$C$3143=AD$1)))"),0.2684895885511631)</f>
        <v>0.2684895886</v>
      </c>
      <c r="AE6" s="34">
        <f>IFERROR(__xludf.DUMMYFUNCTION("IF(ISNA(sum(filter(
Master_Mapping_Sheet!$E$2:$E$3143, ISNUMBER(
Master_Mapping_Sheet!$E$2:$E$3143),
Master_Mapping_Sheet!$C$2:$C$3143=AE$1,
Master_Mapping_Sheet!$M$2:$M$3143=VALUE(RIGHT($A6,1))))/sum(filter(
Master_Mapping_Sheet!$E$2:$E$3143, ISNUMBER(
M"&amp;"aster_Mapping_Sheet!$E$2:$E$3143),
Master_Mapping_Sheet!$C$2:$C$3143=AE$1))), 0, sum(filter(
Master_Mapping_Sheet!$E$2:$E$3143, ISNUMBER(
Master_Mapping_Sheet!$E$2:$E$3143),
Master_Mapping_Sheet!$C$2:$C$3143=AE$1,
Master_Mapping_Sheet!$M$2:$M$3143=VALUE(R"&amp;"IGHT($A6,1))))/sum(filter(
Master_Mapping_Sheet!$E$2:$E$3143, ISNUMBER(
Master_Mapping_Sheet!$E$2:$E$3143),
Master_Mapping_Sheet!$C$2:$C$3143=AE$1)))"),0.6839886338186689)</f>
        <v>0.6839886338</v>
      </c>
      <c r="AF6" s="34">
        <f>IFERROR(__xludf.DUMMYFUNCTION("IF(ISNA(sum(filter(
Master_Mapping_Sheet!$E$2:$E$3143, ISNUMBER(
Master_Mapping_Sheet!$E$2:$E$3143),
Master_Mapping_Sheet!$C$2:$C$3143=AF$1,
Master_Mapping_Sheet!$M$2:$M$3143=VALUE(RIGHT($A6,1))))/sum(filter(
Master_Mapping_Sheet!$E$2:$E$3143, ISNUMBER(
M"&amp;"aster_Mapping_Sheet!$E$2:$E$3143),
Master_Mapping_Sheet!$C$2:$C$3143=AF$1))), 0, sum(filter(
Master_Mapping_Sheet!$E$2:$E$3143, ISNUMBER(
Master_Mapping_Sheet!$E$2:$E$3143),
Master_Mapping_Sheet!$C$2:$C$3143=AF$1,
Master_Mapping_Sheet!$M$2:$M$3143=VALUE(R"&amp;"IGHT($A6,1))))/sum(filter(
Master_Mapping_Sheet!$E$2:$E$3143, ISNUMBER(
Master_Mapping_Sheet!$E$2:$E$3143),
Master_Mapping_Sheet!$C$2:$C$3143=AF$1)))"),0.3340530744202812)</f>
        <v>0.3340530744</v>
      </c>
      <c r="AG6" s="34">
        <f>IFERROR(__xludf.DUMMYFUNCTION("IF(ISNA(sum(filter(
Master_Mapping_Sheet!$E$2:$E$3143, ISNUMBER(
Master_Mapping_Sheet!$E$2:$E$3143),
Master_Mapping_Sheet!$C$2:$C$3143=AG$1,
Master_Mapping_Sheet!$M$2:$M$3143=VALUE(RIGHT($A6,1))))/sum(filter(
Master_Mapping_Sheet!$E$2:$E$3143, ISNUMBER(
M"&amp;"aster_Mapping_Sheet!$E$2:$E$3143),
Master_Mapping_Sheet!$C$2:$C$3143=AG$1))), 0, sum(filter(
Master_Mapping_Sheet!$E$2:$E$3143, ISNUMBER(
Master_Mapping_Sheet!$E$2:$E$3143),
Master_Mapping_Sheet!$C$2:$C$3143=AG$1,
Master_Mapping_Sheet!$M$2:$M$3143=VALUE(R"&amp;"IGHT($A6,1))))/sum(filter(
Master_Mapping_Sheet!$E$2:$E$3143, ISNUMBER(
Master_Mapping_Sheet!$E$2:$E$3143),
Master_Mapping_Sheet!$C$2:$C$3143=AG$1)))"),0.31130629392854897)</f>
        <v>0.3113062939</v>
      </c>
      <c r="AH6" s="34">
        <f>IFERROR(__xludf.DUMMYFUNCTION("IF(ISNA(sum(filter(
Master_Mapping_Sheet!$E$2:$E$3143, ISNUMBER(
Master_Mapping_Sheet!$E$2:$E$3143),
Master_Mapping_Sheet!$C$2:$C$3143=AH$1,
Master_Mapping_Sheet!$M$2:$M$3143=VALUE(RIGHT($A6,1))))/sum(filter(
Master_Mapping_Sheet!$E$2:$E$3143, ISNUMBER(
M"&amp;"aster_Mapping_Sheet!$E$2:$E$3143),
Master_Mapping_Sheet!$C$2:$C$3143=AH$1))), 0, sum(filter(
Master_Mapping_Sheet!$E$2:$E$3143, ISNUMBER(
Master_Mapping_Sheet!$E$2:$E$3143),
Master_Mapping_Sheet!$C$2:$C$3143=AH$1,
Master_Mapping_Sheet!$M$2:$M$3143=VALUE(R"&amp;"IGHT($A6,1))))/sum(filter(
Master_Mapping_Sheet!$E$2:$E$3143, ISNUMBER(
Master_Mapping_Sheet!$E$2:$E$3143),
Master_Mapping_Sheet!$C$2:$C$3143=AH$1)))"),0.27938412206988056)</f>
        <v>0.2793841221</v>
      </c>
      <c r="AI6" s="34">
        <f>IFERROR(__xludf.DUMMYFUNCTION("IF(ISNA(sum(filter(
Master_Mapping_Sheet!$E$2:$E$3143, ISNUMBER(
Master_Mapping_Sheet!$E$2:$E$3143),
Master_Mapping_Sheet!$C$2:$C$3143=AI$1,
Master_Mapping_Sheet!$M$2:$M$3143=VALUE(RIGHT($A6,1))))/sum(filter(
Master_Mapping_Sheet!$E$2:$E$3143, ISNUMBER(
M"&amp;"aster_Mapping_Sheet!$E$2:$E$3143),
Master_Mapping_Sheet!$C$2:$C$3143=AI$1))), 0, sum(filter(
Master_Mapping_Sheet!$E$2:$E$3143, ISNUMBER(
Master_Mapping_Sheet!$E$2:$E$3143),
Master_Mapping_Sheet!$C$2:$C$3143=AI$1,
Master_Mapping_Sheet!$M$2:$M$3143=VALUE(R"&amp;"IGHT($A6,1))))/sum(filter(
Master_Mapping_Sheet!$E$2:$E$3143, ISNUMBER(
Master_Mapping_Sheet!$E$2:$E$3143),
Master_Mapping_Sheet!$C$2:$C$3143=AI$1)))"),0.013349741142325715)</f>
        <v>0.01334974114</v>
      </c>
      <c r="AJ6" s="34">
        <f>IFERROR(__xludf.DUMMYFUNCTION("IF(ISNA(sum(filter(
Master_Mapping_Sheet!$E$2:$E$3143, ISNUMBER(
Master_Mapping_Sheet!$E$2:$E$3143),
Master_Mapping_Sheet!$C$2:$C$3143=AJ$1,
Master_Mapping_Sheet!$M$2:$M$3143=VALUE(RIGHT($A6,1))))/sum(filter(
Master_Mapping_Sheet!$E$2:$E$3143, ISNUMBER(
M"&amp;"aster_Mapping_Sheet!$E$2:$E$3143),
Master_Mapping_Sheet!$C$2:$C$3143=AJ$1))), 0, sum(filter(
Master_Mapping_Sheet!$E$2:$E$3143, ISNUMBER(
Master_Mapping_Sheet!$E$2:$E$3143),
Master_Mapping_Sheet!$C$2:$C$3143=AJ$1,
Master_Mapping_Sheet!$M$2:$M$3143=VALUE(R"&amp;"IGHT($A6,1))))/sum(filter(
Master_Mapping_Sheet!$E$2:$E$3143, ISNUMBER(
Master_Mapping_Sheet!$E$2:$E$3143),
Master_Mapping_Sheet!$C$2:$C$3143=AJ$1)))"),0.0)</f>
        <v>0</v>
      </c>
      <c r="AK6" s="34">
        <f>IFERROR(__xludf.DUMMYFUNCTION("IF(ISNA(sum(filter(
Master_Mapping_Sheet!$E$2:$E$3143, ISNUMBER(
Master_Mapping_Sheet!$E$2:$E$3143),
Master_Mapping_Sheet!$C$2:$C$3143=AK$1,
Master_Mapping_Sheet!$M$2:$M$3143=VALUE(RIGHT($A6,1))))/sum(filter(
Master_Mapping_Sheet!$E$2:$E$3143, ISNUMBER(
M"&amp;"aster_Mapping_Sheet!$E$2:$E$3143),
Master_Mapping_Sheet!$C$2:$C$3143=AK$1))), 0, sum(filter(
Master_Mapping_Sheet!$E$2:$E$3143, ISNUMBER(
Master_Mapping_Sheet!$E$2:$E$3143),
Master_Mapping_Sheet!$C$2:$C$3143=AK$1,
Master_Mapping_Sheet!$M$2:$M$3143=VALUE(R"&amp;"IGHT($A6,1))))/sum(filter(
Master_Mapping_Sheet!$E$2:$E$3143, ISNUMBER(
Master_Mapping_Sheet!$E$2:$E$3143),
Master_Mapping_Sheet!$C$2:$C$3143=AK$1)))"),0.8852039316354621)</f>
        <v>0.8852039316</v>
      </c>
      <c r="AL6" s="34">
        <f>IFERROR(__xludf.DUMMYFUNCTION("IF(ISNA(sum(filter(
Master_Mapping_Sheet!$E$2:$E$3143, ISNUMBER(
Master_Mapping_Sheet!$E$2:$E$3143),
Master_Mapping_Sheet!$C$2:$C$3143=AL$1,
Master_Mapping_Sheet!$M$2:$M$3143=VALUE(RIGHT($A6,1))))/sum(filter(
Master_Mapping_Sheet!$E$2:$E$3143, ISNUMBER(
M"&amp;"aster_Mapping_Sheet!$E$2:$E$3143),
Master_Mapping_Sheet!$C$2:$C$3143=AL$1))), 0, sum(filter(
Master_Mapping_Sheet!$E$2:$E$3143, ISNUMBER(
Master_Mapping_Sheet!$E$2:$E$3143),
Master_Mapping_Sheet!$C$2:$C$3143=AL$1,
Master_Mapping_Sheet!$M$2:$M$3143=VALUE(R"&amp;"IGHT($A6,1))))/sum(filter(
Master_Mapping_Sheet!$E$2:$E$3143, ISNUMBER(
Master_Mapping_Sheet!$E$2:$E$3143),
Master_Mapping_Sheet!$C$2:$C$3143=AL$1)))"),0.0)</f>
        <v>0</v>
      </c>
      <c r="AM6" s="34">
        <f>IFERROR(__xludf.DUMMYFUNCTION("IF(ISNA(sum(filter(
Master_Mapping_Sheet!$E$2:$E$3143, ISNUMBER(
Master_Mapping_Sheet!$E$2:$E$3143),
Master_Mapping_Sheet!$C$2:$C$3143=AM$1,
Master_Mapping_Sheet!$M$2:$M$3143=VALUE(RIGHT($A6,1))))/sum(filter(
Master_Mapping_Sheet!$E$2:$E$3143, ISNUMBER(
M"&amp;"aster_Mapping_Sheet!$E$2:$E$3143),
Master_Mapping_Sheet!$C$2:$C$3143=AM$1))), 0, sum(filter(
Master_Mapping_Sheet!$E$2:$E$3143, ISNUMBER(
Master_Mapping_Sheet!$E$2:$E$3143),
Master_Mapping_Sheet!$C$2:$C$3143=AM$1,
Master_Mapping_Sheet!$M$2:$M$3143=VALUE(R"&amp;"IGHT($A6,1))))/sum(filter(
Master_Mapping_Sheet!$E$2:$E$3143, ISNUMBER(
Master_Mapping_Sheet!$E$2:$E$3143),
Master_Mapping_Sheet!$C$2:$C$3143=AM$1)))"),0.13802045562884122)</f>
        <v>0.1380204556</v>
      </c>
      <c r="AN6" s="34">
        <f>IFERROR(__xludf.DUMMYFUNCTION("IF(ISNA(sum(filter(
Master_Mapping_Sheet!$E$2:$E$3143, ISNUMBER(
Master_Mapping_Sheet!$E$2:$E$3143),
Master_Mapping_Sheet!$C$2:$C$3143=AN$1,
Master_Mapping_Sheet!$M$2:$M$3143=VALUE(RIGHT($A6,1))))/sum(filter(
Master_Mapping_Sheet!$E$2:$E$3143, ISNUMBER(
M"&amp;"aster_Mapping_Sheet!$E$2:$E$3143),
Master_Mapping_Sheet!$C$2:$C$3143=AN$1))), 0, sum(filter(
Master_Mapping_Sheet!$E$2:$E$3143, ISNUMBER(
Master_Mapping_Sheet!$E$2:$E$3143),
Master_Mapping_Sheet!$C$2:$C$3143=AN$1,
Master_Mapping_Sheet!$M$2:$M$3143=VALUE(R"&amp;"IGHT($A6,1))))/sum(filter(
Master_Mapping_Sheet!$E$2:$E$3143, ISNUMBER(
Master_Mapping_Sheet!$E$2:$E$3143),
Master_Mapping_Sheet!$C$2:$C$3143=AN$1)))"),0.6178112826860525)</f>
        <v>0.6178112827</v>
      </c>
      <c r="AO6" s="34">
        <f>IFERROR(__xludf.DUMMYFUNCTION("IF(ISNA(sum(filter(
Master_Mapping_Sheet!$E$2:$E$3143, ISNUMBER(
Master_Mapping_Sheet!$E$2:$E$3143),
Master_Mapping_Sheet!$C$2:$C$3143=AO$1,
Master_Mapping_Sheet!$M$2:$M$3143=VALUE(RIGHT($A6,1))))/sum(filter(
Master_Mapping_Sheet!$E$2:$E$3143, ISNUMBER(
M"&amp;"aster_Mapping_Sheet!$E$2:$E$3143),
Master_Mapping_Sheet!$C$2:$C$3143=AO$1))), 0, sum(filter(
Master_Mapping_Sheet!$E$2:$E$3143, ISNUMBER(
Master_Mapping_Sheet!$E$2:$E$3143),
Master_Mapping_Sheet!$C$2:$C$3143=AO$1,
Master_Mapping_Sheet!$M$2:$M$3143=VALUE(R"&amp;"IGHT($A6,1))))/sum(filter(
Master_Mapping_Sheet!$E$2:$E$3143, ISNUMBER(
Master_Mapping_Sheet!$E$2:$E$3143),
Master_Mapping_Sheet!$C$2:$C$3143=AO$1)))"),1.0)</f>
        <v>1</v>
      </c>
      <c r="AP6" s="34">
        <f>IFERROR(__xludf.DUMMYFUNCTION("IF(ISNA(sum(filter(
Master_Mapping_Sheet!$E$2:$E$3143, ISNUMBER(
Master_Mapping_Sheet!$E$2:$E$3143),
Master_Mapping_Sheet!$C$2:$C$3143=AP$1,
Master_Mapping_Sheet!$M$2:$M$3143=VALUE(RIGHT($A6,1))))/sum(filter(
Master_Mapping_Sheet!$E$2:$E$3143, ISNUMBER(
M"&amp;"aster_Mapping_Sheet!$E$2:$E$3143),
Master_Mapping_Sheet!$C$2:$C$3143=AP$1))), 0, sum(filter(
Master_Mapping_Sheet!$E$2:$E$3143, ISNUMBER(
Master_Mapping_Sheet!$E$2:$E$3143),
Master_Mapping_Sheet!$C$2:$C$3143=AP$1,
Master_Mapping_Sheet!$M$2:$M$3143=VALUE(R"&amp;"IGHT($A6,1))))/sum(filter(
Master_Mapping_Sheet!$E$2:$E$3143, ISNUMBER(
Master_Mapping_Sheet!$E$2:$E$3143),
Master_Mapping_Sheet!$C$2:$C$3143=AP$1)))"),0.0)</f>
        <v>0</v>
      </c>
      <c r="AQ6" s="34">
        <f>IFERROR(__xludf.DUMMYFUNCTION("IF(ISNA(sum(filter(
Master_Mapping_Sheet!$E$2:$E$3143, ISNUMBER(
Master_Mapping_Sheet!$E$2:$E$3143),
Master_Mapping_Sheet!$C$2:$C$3143=AQ$1,
Master_Mapping_Sheet!$M$2:$M$3143=VALUE(RIGHT($A6,1))))/sum(filter(
Master_Mapping_Sheet!$E$2:$E$3143, ISNUMBER(
M"&amp;"aster_Mapping_Sheet!$E$2:$E$3143),
Master_Mapping_Sheet!$C$2:$C$3143=AQ$1))), 0, sum(filter(
Master_Mapping_Sheet!$E$2:$E$3143, ISNUMBER(
Master_Mapping_Sheet!$E$2:$E$3143),
Master_Mapping_Sheet!$C$2:$C$3143=AQ$1,
Master_Mapping_Sheet!$M$2:$M$3143=VALUE(R"&amp;"IGHT($A6,1))))/sum(filter(
Master_Mapping_Sheet!$E$2:$E$3143, ISNUMBER(
Master_Mapping_Sheet!$E$2:$E$3143),
Master_Mapping_Sheet!$C$2:$C$3143=AQ$1)))"),0.11904259461905456)</f>
        <v>0.1190425946</v>
      </c>
      <c r="AR6" s="34">
        <f>IFERROR(__xludf.DUMMYFUNCTION("IF(ISNA(sum(filter(
Master_Mapping_Sheet!$E$2:$E$3143, ISNUMBER(
Master_Mapping_Sheet!$E$2:$E$3143),
Master_Mapping_Sheet!$C$2:$C$3143=AR$1,
Master_Mapping_Sheet!$M$2:$M$3143=VALUE(RIGHT($A6,1))))/sum(filter(
Master_Mapping_Sheet!$E$2:$E$3143, ISNUMBER(
M"&amp;"aster_Mapping_Sheet!$E$2:$E$3143),
Master_Mapping_Sheet!$C$2:$C$3143=AR$1))), 0, sum(filter(
Master_Mapping_Sheet!$E$2:$E$3143, ISNUMBER(
Master_Mapping_Sheet!$E$2:$E$3143),
Master_Mapping_Sheet!$C$2:$C$3143=AR$1,
Master_Mapping_Sheet!$M$2:$M$3143=VALUE(R"&amp;"IGHT($A6,1))))/sum(filter(
Master_Mapping_Sheet!$E$2:$E$3143, ISNUMBER(
Master_Mapping_Sheet!$E$2:$E$3143),
Master_Mapping_Sheet!$C$2:$C$3143=AR$1)))"),0.0)</f>
        <v>0</v>
      </c>
      <c r="AS6" s="34">
        <f>IFERROR(__xludf.DUMMYFUNCTION("IF(ISNA(sum(filter(
Master_Mapping_Sheet!$E$2:$E$3143, ISNUMBER(
Master_Mapping_Sheet!$E$2:$E$3143),
Master_Mapping_Sheet!$C$2:$C$3143=AS$1,
Master_Mapping_Sheet!$M$2:$M$3143=VALUE(RIGHT($A6,1))))/sum(filter(
Master_Mapping_Sheet!$E$2:$E$3143, ISNUMBER(
M"&amp;"aster_Mapping_Sheet!$E$2:$E$3143),
Master_Mapping_Sheet!$C$2:$C$3143=AS$1))), 0, sum(filter(
Master_Mapping_Sheet!$E$2:$E$3143, ISNUMBER(
Master_Mapping_Sheet!$E$2:$E$3143),
Master_Mapping_Sheet!$C$2:$C$3143=AS$1,
Master_Mapping_Sheet!$M$2:$M$3143=VALUE(R"&amp;"IGHT($A6,1))))/sum(filter(
Master_Mapping_Sheet!$E$2:$E$3143, ISNUMBER(
Master_Mapping_Sheet!$E$2:$E$3143),
Master_Mapping_Sheet!$C$2:$C$3143=AS$1)))"),0.0)</f>
        <v>0</v>
      </c>
      <c r="AT6" s="34">
        <f>IFERROR(__xludf.DUMMYFUNCTION("IF(ISNA(sum(filter(
Master_Mapping_Sheet!$E$2:$E$3143, ISNUMBER(
Master_Mapping_Sheet!$E$2:$E$3143),
Master_Mapping_Sheet!$C$2:$C$3143=AT$1,
Master_Mapping_Sheet!$M$2:$M$3143=VALUE(RIGHT($A6,1))))/sum(filter(
Master_Mapping_Sheet!$E$2:$E$3143, ISNUMBER(
M"&amp;"aster_Mapping_Sheet!$E$2:$E$3143),
Master_Mapping_Sheet!$C$2:$C$3143=AT$1))), 0, sum(filter(
Master_Mapping_Sheet!$E$2:$E$3143, ISNUMBER(
Master_Mapping_Sheet!$E$2:$E$3143),
Master_Mapping_Sheet!$C$2:$C$3143=AT$1,
Master_Mapping_Sheet!$M$2:$M$3143=VALUE(R"&amp;"IGHT($A6,1))))/sum(filter(
Master_Mapping_Sheet!$E$2:$E$3143, ISNUMBER(
Master_Mapping_Sheet!$E$2:$E$3143),
Master_Mapping_Sheet!$C$2:$C$3143=AT$1)))"),0.8294405006358014)</f>
        <v>0.8294405006</v>
      </c>
      <c r="AU6" s="34">
        <f>IFERROR(__xludf.DUMMYFUNCTION("IF(ISNA(sum(filter(
Master_Mapping_Sheet!$E$2:$E$3143, ISNUMBER(
Master_Mapping_Sheet!$E$2:$E$3143),
Master_Mapping_Sheet!$C$2:$C$3143=AU$1,
Master_Mapping_Sheet!$M$2:$M$3143=VALUE(RIGHT($A6,1))))/sum(filter(
Master_Mapping_Sheet!$E$2:$E$3143, ISNUMBER(
M"&amp;"aster_Mapping_Sheet!$E$2:$E$3143),
Master_Mapping_Sheet!$C$2:$C$3143=AU$1))), 0, sum(filter(
Master_Mapping_Sheet!$E$2:$E$3143, ISNUMBER(
Master_Mapping_Sheet!$E$2:$E$3143),
Master_Mapping_Sheet!$C$2:$C$3143=AU$1,
Master_Mapping_Sheet!$M$2:$M$3143=VALUE(R"&amp;"IGHT($A6,1))))/sum(filter(
Master_Mapping_Sheet!$E$2:$E$3143, ISNUMBER(
Master_Mapping_Sheet!$E$2:$E$3143),
Master_Mapping_Sheet!$C$2:$C$3143=AU$1)))"),0.0)</f>
        <v>0</v>
      </c>
      <c r="AV6" s="34">
        <f>IFERROR(__xludf.DUMMYFUNCTION("IF(ISNA(sum(filter(
Master_Mapping_Sheet!$E$2:$E$3143, ISNUMBER(
Master_Mapping_Sheet!$E$2:$E$3143),
Master_Mapping_Sheet!$C$2:$C$3143=AV$1,
Master_Mapping_Sheet!$M$2:$M$3143=VALUE(RIGHT($A6,1))))/sum(filter(
Master_Mapping_Sheet!$E$2:$E$3143, ISNUMBER(
M"&amp;"aster_Mapping_Sheet!$E$2:$E$3143),
Master_Mapping_Sheet!$C$2:$C$3143=AV$1))), 0, sum(filter(
Master_Mapping_Sheet!$E$2:$E$3143, ISNUMBER(
Master_Mapping_Sheet!$E$2:$E$3143),
Master_Mapping_Sheet!$C$2:$C$3143=AV$1,
Master_Mapping_Sheet!$M$2:$M$3143=VALUE(R"&amp;"IGHT($A6,1))))/sum(filter(
Master_Mapping_Sheet!$E$2:$E$3143, ISNUMBER(
Master_Mapping_Sheet!$E$2:$E$3143),
Master_Mapping_Sheet!$C$2:$C$3143=AV$1)))"),0.0)</f>
        <v>0</v>
      </c>
      <c r="AW6" s="34">
        <f>IFERROR(__xludf.DUMMYFUNCTION("IF(ISNA(sum(filter(
Master_Mapping_Sheet!$E$2:$E$3143, ISNUMBER(
Master_Mapping_Sheet!$E$2:$E$3143),
Master_Mapping_Sheet!$C$2:$C$3143=AW$1,
Master_Mapping_Sheet!$M$2:$M$3143=VALUE(RIGHT($A6,1))))/sum(filter(
Master_Mapping_Sheet!$E$2:$E$3143, ISNUMBER(
M"&amp;"aster_Mapping_Sheet!$E$2:$E$3143),
Master_Mapping_Sheet!$C$2:$C$3143=AW$1))), 0, sum(filter(
Master_Mapping_Sheet!$E$2:$E$3143, ISNUMBER(
Master_Mapping_Sheet!$E$2:$E$3143),
Master_Mapping_Sheet!$C$2:$C$3143=AW$1,
Master_Mapping_Sheet!$M$2:$M$3143=VALUE(R"&amp;"IGHT($A6,1))))/sum(filter(
Master_Mapping_Sheet!$E$2:$E$3143, ISNUMBER(
Master_Mapping_Sheet!$E$2:$E$3143),
Master_Mapping_Sheet!$C$2:$C$3143=AW$1)))"),0.20513101442745824)</f>
        <v>0.2051310144</v>
      </c>
      <c r="AX6" s="34">
        <f>IFERROR(__xludf.DUMMYFUNCTION("IF(ISNA(sum(filter(
Master_Mapping_Sheet!$E$2:$E$3143, ISNUMBER(
Master_Mapping_Sheet!$E$2:$E$3143),
Master_Mapping_Sheet!$C$2:$C$3143=AX$1,
Master_Mapping_Sheet!$M$2:$M$3143=VALUE(RIGHT($A6,1))))/sum(filter(
Master_Mapping_Sheet!$E$2:$E$3143, ISNUMBER(
M"&amp;"aster_Mapping_Sheet!$E$2:$E$3143),
Master_Mapping_Sheet!$C$2:$C$3143=AX$1))), 0, sum(filter(
Master_Mapping_Sheet!$E$2:$E$3143, ISNUMBER(
Master_Mapping_Sheet!$E$2:$E$3143),
Master_Mapping_Sheet!$C$2:$C$3143=AX$1,
Master_Mapping_Sheet!$M$2:$M$3143=VALUE(R"&amp;"IGHT($A6,1))))/sum(filter(
Master_Mapping_Sheet!$E$2:$E$3143, ISNUMBER(
Master_Mapping_Sheet!$E$2:$E$3143),
Master_Mapping_Sheet!$C$2:$C$3143=AX$1)))"),0.44436240128220844)</f>
        <v>0.4443624013</v>
      </c>
      <c r="AY6" s="34">
        <f>IFERROR(__xludf.DUMMYFUNCTION("IF(ISNA(sum(filter(
Master_Mapping_Sheet!$E$2:$E$3143, ISNUMBER(
Master_Mapping_Sheet!$E$2:$E$3143),
Master_Mapping_Sheet!$C$2:$C$3143=AY$1,
Master_Mapping_Sheet!$M$2:$M$3143=VALUE(RIGHT($A6,1))))/sum(filter(
Master_Mapping_Sheet!$E$2:$E$3143, ISNUMBER(
M"&amp;"aster_Mapping_Sheet!$E$2:$E$3143),
Master_Mapping_Sheet!$C$2:$C$3143=AY$1))), 0, sum(filter(
Master_Mapping_Sheet!$E$2:$E$3143, ISNUMBER(
Master_Mapping_Sheet!$E$2:$E$3143),
Master_Mapping_Sheet!$C$2:$C$3143=AY$1,
Master_Mapping_Sheet!$M$2:$M$3143=VALUE(R"&amp;"IGHT($A6,1))))/sum(filter(
Master_Mapping_Sheet!$E$2:$E$3143, ISNUMBER(
Master_Mapping_Sheet!$E$2:$E$3143),
Master_Mapping_Sheet!$C$2:$C$3143=AY$1)))"),0.0)</f>
        <v>0</v>
      </c>
      <c r="AZ6" s="34">
        <f>IFERROR(__xludf.DUMMYFUNCTION("IF(ISNA(sum(filter(
Master_Mapping_Sheet!$E$2:$E$3143, ISNUMBER(
Master_Mapping_Sheet!$E$2:$E$3143),
Master_Mapping_Sheet!$C$2:$C$3143=AZ$1,
Master_Mapping_Sheet!$M$2:$M$3143=VALUE(RIGHT($A6,1))))/sum(filter(
Master_Mapping_Sheet!$E$2:$E$3143, ISNUMBER(
M"&amp;"aster_Mapping_Sheet!$E$2:$E$3143),
Master_Mapping_Sheet!$C$2:$C$3143=AZ$1))), 0, sum(filter(
Master_Mapping_Sheet!$E$2:$E$3143, ISNUMBER(
Master_Mapping_Sheet!$E$2:$E$3143),
Master_Mapping_Sheet!$C$2:$C$3143=AZ$1,
Master_Mapping_Sheet!$M$2:$M$3143=VALUE(R"&amp;"IGHT($A6,1))))/sum(filter(
Master_Mapping_Sheet!$E$2:$E$3143, ISNUMBER(
Master_Mapping_Sheet!$E$2:$E$3143),
Master_Mapping_Sheet!$C$2:$C$3143=AZ$1)))"),0.0362772811557776)</f>
        <v>0.03627728116</v>
      </c>
    </row>
    <row r="7" ht="15.75" customHeight="1">
      <c r="A7" s="45" t="s">
        <v>4256</v>
      </c>
      <c r="B7" s="34">
        <f>IFERROR(__xludf.DUMMYFUNCTION("IF(ISNA(sum(filter(
Master_Mapping_Sheet!$E$2:$E$3143, ISNUMBER(
Master_Mapping_Sheet!$E$2:$E$3143),
Master_Mapping_Sheet!$C$2:$C$3143=B$1,
Master_Mapping_Sheet!$M$2:$M$3143=VALUE(RIGHT($A7,1))))/sum(filter(
Master_Mapping_Sheet!$E$2:$E$3143, ISNUMBER(
Ma"&amp;"ster_Mapping_Sheet!$E$2:$E$3143),
Master_Mapping_Sheet!$C$2:$C$3143=B$1))), 0, sum(filter(
Master_Mapping_Sheet!$E$2:$E$3143, ISNUMBER(
Master_Mapping_Sheet!$E$2:$E$3143),
Master_Mapping_Sheet!$C$2:$C$3143=B$1,
Master_Mapping_Sheet!$M$2:$M$3143=VALUE(RIGH"&amp;"T($A7,1))))/sum(filter(
Master_Mapping_Sheet!$E$2:$E$3143, ISNUMBER(
Master_Mapping_Sheet!$E$2:$E$3143),
Master_Mapping_Sheet!$C$2:$C$3143=B$1)))"),0.0)</f>
        <v>0</v>
      </c>
      <c r="C7" s="34">
        <f>IFERROR(__xludf.DUMMYFUNCTION("IF(ISNA(sum(filter(
Master_Mapping_Sheet!$E$2:$E$3143, ISNUMBER(
Master_Mapping_Sheet!$E$2:$E$3143),
Master_Mapping_Sheet!$C$2:$C$3143=C$1,
Master_Mapping_Sheet!$M$2:$M$3143=VALUE(RIGHT($A7,1))))/sum(filter(
Master_Mapping_Sheet!$E$2:$E$3143, ISNUMBER(
Ma"&amp;"ster_Mapping_Sheet!$E$2:$E$3143),
Master_Mapping_Sheet!$C$2:$C$3143=C$1))), 0, sum(filter(
Master_Mapping_Sheet!$E$2:$E$3143, ISNUMBER(
Master_Mapping_Sheet!$E$2:$E$3143),
Master_Mapping_Sheet!$C$2:$C$3143=C$1,
Master_Mapping_Sheet!$M$2:$M$3143=VALUE(RIGH"&amp;"T($A7,1))))/sum(filter(
Master_Mapping_Sheet!$E$2:$E$3143, ISNUMBER(
Master_Mapping_Sheet!$E$2:$E$3143),
Master_Mapping_Sheet!$C$2:$C$3143=C$1)))"),0.0)</f>
        <v>0</v>
      </c>
      <c r="D7" s="34">
        <f>IFERROR(__xludf.DUMMYFUNCTION("IF(ISNA(sum(filter(
Master_Mapping_Sheet!$E$2:$E$3143, ISNUMBER(
Master_Mapping_Sheet!$E$2:$E$3143),
Master_Mapping_Sheet!$C$2:$C$3143=D$1,
Master_Mapping_Sheet!$M$2:$M$3143=VALUE(RIGHT($A7,1))))/sum(filter(
Master_Mapping_Sheet!$E$2:$E$3143, ISNUMBER(
Ma"&amp;"ster_Mapping_Sheet!$E$2:$E$3143),
Master_Mapping_Sheet!$C$2:$C$3143=D$1))), 0, sum(filter(
Master_Mapping_Sheet!$E$2:$E$3143, ISNUMBER(
Master_Mapping_Sheet!$E$2:$E$3143),
Master_Mapping_Sheet!$C$2:$C$3143=D$1,
Master_Mapping_Sheet!$M$2:$M$3143=VALUE(RIGH"&amp;"T($A7,1))))/sum(filter(
Master_Mapping_Sheet!$E$2:$E$3143, ISNUMBER(
Master_Mapping_Sheet!$E$2:$E$3143),
Master_Mapping_Sheet!$C$2:$C$3143=D$1)))"),0.0)</f>
        <v>0</v>
      </c>
      <c r="E7" s="34">
        <f>IFERROR(__xludf.DUMMYFUNCTION("IF(ISNA(sum(filter(
Master_Mapping_Sheet!$E$2:$E$3143, ISNUMBER(
Master_Mapping_Sheet!$E$2:$E$3143),
Master_Mapping_Sheet!$C$2:$C$3143=E$1,
Master_Mapping_Sheet!$M$2:$M$3143=VALUE(RIGHT($A7,1))))/sum(filter(
Master_Mapping_Sheet!$E$2:$E$3143, ISNUMBER(
Ma"&amp;"ster_Mapping_Sheet!$E$2:$E$3143),
Master_Mapping_Sheet!$C$2:$C$3143=E$1))), 0, sum(filter(
Master_Mapping_Sheet!$E$2:$E$3143, ISNUMBER(
Master_Mapping_Sheet!$E$2:$E$3143),
Master_Mapping_Sheet!$C$2:$C$3143=E$1,
Master_Mapping_Sheet!$M$2:$M$3143=VALUE(RIGH"&amp;"T($A7,1))))/sum(filter(
Master_Mapping_Sheet!$E$2:$E$3143, ISNUMBER(
Master_Mapping_Sheet!$E$2:$E$3143),
Master_Mapping_Sheet!$C$2:$C$3143=E$1)))"),0.0)</f>
        <v>0</v>
      </c>
      <c r="F7" s="34">
        <f>IFERROR(__xludf.DUMMYFUNCTION("IF(ISNA(sum(filter(
Master_Mapping_Sheet!$E$2:$E$3143, ISNUMBER(
Master_Mapping_Sheet!$E$2:$E$3143),
Master_Mapping_Sheet!$C$2:$C$3143=F$1,
Master_Mapping_Sheet!$M$2:$M$3143=VALUE(RIGHT($A7,1))))/sum(filter(
Master_Mapping_Sheet!$E$2:$E$3143, ISNUMBER(
Ma"&amp;"ster_Mapping_Sheet!$E$2:$E$3143),
Master_Mapping_Sheet!$C$2:$C$3143=F$1))), 0, sum(filter(
Master_Mapping_Sheet!$E$2:$E$3143, ISNUMBER(
Master_Mapping_Sheet!$E$2:$E$3143),
Master_Mapping_Sheet!$C$2:$C$3143=F$1,
Master_Mapping_Sheet!$M$2:$M$3143=VALUE(RIGH"&amp;"T($A7,1))))/sum(filter(
Master_Mapping_Sheet!$E$2:$E$3143, ISNUMBER(
Master_Mapping_Sheet!$E$2:$E$3143),
Master_Mapping_Sheet!$C$2:$C$3143=F$1)))"),3.64607458764544E-4)</f>
        <v>0.0003646074588</v>
      </c>
      <c r="G7" s="34">
        <f>IFERROR(__xludf.DUMMYFUNCTION("IF(ISNA(sum(filter(
Master_Mapping_Sheet!$E$2:$E$3143, ISNUMBER(
Master_Mapping_Sheet!$E$2:$E$3143),
Master_Mapping_Sheet!$C$2:$C$3143=G$1,
Master_Mapping_Sheet!$M$2:$M$3143=VALUE(RIGHT($A7,1))))/sum(filter(
Master_Mapping_Sheet!$E$2:$E$3143, ISNUMBER(
Ma"&amp;"ster_Mapping_Sheet!$E$2:$E$3143),
Master_Mapping_Sheet!$C$2:$C$3143=G$1))), 0, sum(filter(
Master_Mapping_Sheet!$E$2:$E$3143, ISNUMBER(
Master_Mapping_Sheet!$E$2:$E$3143),
Master_Mapping_Sheet!$C$2:$C$3143=G$1,
Master_Mapping_Sheet!$M$2:$M$3143=VALUE(RIGH"&amp;"T($A7,1))))/sum(filter(
Master_Mapping_Sheet!$E$2:$E$3143, ISNUMBER(
Master_Mapping_Sheet!$E$2:$E$3143),
Master_Mapping_Sheet!$C$2:$C$3143=G$1)))"),0.028015809146915156)</f>
        <v>0.02801580915</v>
      </c>
      <c r="H7" s="34">
        <f>IFERROR(__xludf.DUMMYFUNCTION("IF(ISNA(sum(filter(
Master_Mapping_Sheet!$E$2:$E$3143, ISNUMBER(
Master_Mapping_Sheet!$E$2:$E$3143),
Master_Mapping_Sheet!$C$2:$C$3143=H$1,
Master_Mapping_Sheet!$M$2:$M$3143=VALUE(RIGHT($A7,1))))/sum(filter(
Master_Mapping_Sheet!$E$2:$E$3143, ISNUMBER(
Ma"&amp;"ster_Mapping_Sheet!$E$2:$E$3143),
Master_Mapping_Sheet!$C$2:$C$3143=H$1))), 0, sum(filter(
Master_Mapping_Sheet!$E$2:$E$3143, ISNUMBER(
Master_Mapping_Sheet!$E$2:$E$3143),
Master_Mapping_Sheet!$C$2:$C$3143=H$1,
Master_Mapping_Sheet!$M$2:$M$3143=VALUE(RIGH"&amp;"T($A7,1))))/sum(filter(
Master_Mapping_Sheet!$E$2:$E$3143, ISNUMBER(
Master_Mapping_Sheet!$E$2:$E$3143),
Master_Mapping_Sheet!$C$2:$C$3143=H$1)))"),0.0)</f>
        <v>0</v>
      </c>
      <c r="I7" s="34">
        <f>IFERROR(__xludf.DUMMYFUNCTION("IF(ISNA(sum(filter(
Master_Mapping_Sheet!$E$2:$E$3143, ISNUMBER(
Master_Mapping_Sheet!$E$2:$E$3143),
Master_Mapping_Sheet!$C$2:$C$3143=I$1,
Master_Mapping_Sheet!$M$2:$M$3143=VALUE(RIGHT($A7,1))))/sum(filter(
Master_Mapping_Sheet!$E$2:$E$3143, ISNUMBER(
Ma"&amp;"ster_Mapping_Sheet!$E$2:$E$3143),
Master_Mapping_Sheet!$C$2:$C$3143=I$1))), 0, sum(filter(
Master_Mapping_Sheet!$E$2:$E$3143, ISNUMBER(
Master_Mapping_Sheet!$E$2:$E$3143),
Master_Mapping_Sheet!$C$2:$C$3143=I$1,
Master_Mapping_Sheet!$M$2:$M$3143=VALUE(RIGH"&amp;"T($A7,1))))/sum(filter(
Master_Mapping_Sheet!$E$2:$E$3143, ISNUMBER(
Master_Mapping_Sheet!$E$2:$E$3143),
Master_Mapping_Sheet!$C$2:$C$3143=I$1)))"),0.0)</f>
        <v>0</v>
      </c>
      <c r="J7" s="34">
        <f>IFERROR(__xludf.DUMMYFUNCTION("IF(ISNA(sum(filter(
Master_Mapping_Sheet!$E$2:$E$3143, ISNUMBER(
Master_Mapping_Sheet!$E$2:$E$3143),
Master_Mapping_Sheet!$C$2:$C$3143=J$1,
Master_Mapping_Sheet!$M$2:$M$3143=VALUE(RIGHT($A7,1))))/sum(filter(
Master_Mapping_Sheet!$E$2:$E$3143, ISNUMBER(
Ma"&amp;"ster_Mapping_Sheet!$E$2:$E$3143),
Master_Mapping_Sheet!$C$2:$C$3143=J$1))), 0, sum(filter(
Master_Mapping_Sheet!$E$2:$E$3143, ISNUMBER(
Master_Mapping_Sheet!$E$2:$E$3143),
Master_Mapping_Sheet!$C$2:$C$3143=J$1,
Master_Mapping_Sheet!$M$2:$M$3143=VALUE(RIGH"&amp;"T($A7,1))))/sum(filter(
Master_Mapping_Sheet!$E$2:$E$3143, ISNUMBER(
Master_Mapping_Sheet!$E$2:$E$3143),
Master_Mapping_Sheet!$C$2:$C$3143=J$1)))"),0.0)</f>
        <v>0</v>
      </c>
      <c r="K7" s="34">
        <f>IFERROR(__xludf.DUMMYFUNCTION("IF(ISNA(sum(filter(
Master_Mapping_Sheet!$E$2:$E$3143, ISNUMBER(
Master_Mapping_Sheet!$E$2:$E$3143),
Master_Mapping_Sheet!$C$2:$C$3143=K$1,
Master_Mapping_Sheet!$M$2:$M$3143=VALUE(RIGHT($A7,1))))/sum(filter(
Master_Mapping_Sheet!$E$2:$E$3143, ISNUMBER(
Ma"&amp;"ster_Mapping_Sheet!$E$2:$E$3143),
Master_Mapping_Sheet!$C$2:$C$3143=K$1))), 0, sum(filter(
Master_Mapping_Sheet!$E$2:$E$3143, ISNUMBER(
Master_Mapping_Sheet!$E$2:$E$3143),
Master_Mapping_Sheet!$C$2:$C$3143=K$1,
Master_Mapping_Sheet!$M$2:$M$3143=VALUE(RIGH"&amp;"T($A7,1))))/sum(filter(
Master_Mapping_Sheet!$E$2:$E$3143, ISNUMBER(
Master_Mapping_Sheet!$E$2:$E$3143),
Master_Mapping_Sheet!$C$2:$C$3143=K$1)))"),0.0)</f>
        <v>0</v>
      </c>
      <c r="L7" s="34">
        <f>IFERROR(__xludf.DUMMYFUNCTION("IF(ISNA(sum(filter(
Master_Mapping_Sheet!$E$2:$E$3143, ISNUMBER(
Master_Mapping_Sheet!$E$2:$E$3143),
Master_Mapping_Sheet!$C$2:$C$3143=L$1,
Master_Mapping_Sheet!$M$2:$M$3143=VALUE(RIGHT($A7,1))))/sum(filter(
Master_Mapping_Sheet!$E$2:$E$3143, ISNUMBER(
Ma"&amp;"ster_Mapping_Sheet!$E$2:$E$3143),
Master_Mapping_Sheet!$C$2:$C$3143=L$1))), 0, sum(filter(
Master_Mapping_Sheet!$E$2:$E$3143, ISNUMBER(
Master_Mapping_Sheet!$E$2:$E$3143),
Master_Mapping_Sheet!$C$2:$C$3143=L$1,
Master_Mapping_Sheet!$M$2:$M$3143=VALUE(RIGH"&amp;"T($A7,1))))/sum(filter(
Master_Mapping_Sheet!$E$2:$E$3143, ISNUMBER(
Master_Mapping_Sheet!$E$2:$E$3143),
Master_Mapping_Sheet!$C$2:$C$3143=L$1)))"),0.0)</f>
        <v>0</v>
      </c>
      <c r="M7" s="34">
        <f>IFERROR(__xludf.DUMMYFUNCTION("IF(ISNA(sum(filter(
Master_Mapping_Sheet!$E$2:$E$3143, ISNUMBER(
Master_Mapping_Sheet!$E$2:$E$3143),
Master_Mapping_Sheet!$C$2:$C$3143=M$1,
Master_Mapping_Sheet!$M$2:$M$3143=VALUE(RIGHT($A7,1))))/sum(filter(
Master_Mapping_Sheet!$E$2:$E$3143, ISNUMBER(
Ma"&amp;"ster_Mapping_Sheet!$E$2:$E$3143),
Master_Mapping_Sheet!$C$2:$C$3143=M$1))), 0, sum(filter(
Master_Mapping_Sheet!$E$2:$E$3143, ISNUMBER(
Master_Mapping_Sheet!$E$2:$E$3143),
Master_Mapping_Sheet!$C$2:$C$3143=M$1,
Master_Mapping_Sheet!$M$2:$M$3143=VALUE(RIGH"&amp;"T($A7,1))))/sum(filter(
Master_Mapping_Sheet!$E$2:$E$3143, ISNUMBER(
Master_Mapping_Sheet!$E$2:$E$3143),
Master_Mapping_Sheet!$C$2:$C$3143=M$1)))"),0.0)</f>
        <v>0</v>
      </c>
      <c r="N7" s="34">
        <f>IFERROR(__xludf.DUMMYFUNCTION("IF(ISNA(sum(filter(
Master_Mapping_Sheet!$E$2:$E$3143, ISNUMBER(
Master_Mapping_Sheet!$E$2:$E$3143),
Master_Mapping_Sheet!$C$2:$C$3143=N$1,
Master_Mapping_Sheet!$M$2:$M$3143=VALUE(RIGHT($A7,1))))/sum(filter(
Master_Mapping_Sheet!$E$2:$E$3143, ISNUMBER(
Ma"&amp;"ster_Mapping_Sheet!$E$2:$E$3143),
Master_Mapping_Sheet!$C$2:$C$3143=N$1))), 0, sum(filter(
Master_Mapping_Sheet!$E$2:$E$3143, ISNUMBER(
Master_Mapping_Sheet!$E$2:$E$3143),
Master_Mapping_Sheet!$C$2:$C$3143=N$1,
Master_Mapping_Sheet!$M$2:$M$3143=VALUE(RIGH"&amp;"T($A7,1))))/sum(filter(
Master_Mapping_Sheet!$E$2:$E$3143, ISNUMBER(
Master_Mapping_Sheet!$E$2:$E$3143),
Master_Mapping_Sheet!$C$2:$C$3143=N$1)))"),0.2835240130175913)</f>
        <v>0.283524013</v>
      </c>
      <c r="O7" s="34">
        <f>IFERROR(__xludf.DUMMYFUNCTION("IF(ISNA(sum(filter(
Master_Mapping_Sheet!$E$2:$E$3143, ISNUMBER(
Master_Mapping_Sheet!$E$2:$E$3143),
Master_Mapping_Sheet!$C$2:$C$3143=O$1,
Master_Mapping_Sheet!$M$2:$M$3143=VALUE(RIGHT($A7,1))))/sum(filter(
Master_Mapping_Sheet!$E$2:$E$3143, ISNUMBER(
Ma"&amp;"ster_Mapping_Sheet!$E$2:$E$3143),
Master_Mapping_Sheet!$C$2:$C$3143=O$1))), 0, sum(filter(
Master_Mapping_Sheet!$E$2:$E$3143, ISNUMBER(
Master_Mapping_Sheet!$E$2:$E$3143),
Master_Mapping_Sheet!$C$2:$C$3143=O$1,
Master_Mapping_Sheet!$M$2:$M$3143=VALUE(RIGH"&amp;"T($A7,1))))/sum(filter(
Master_Mapping_Sheet!$E$2:$E$3143, ISNUMBER(
Master_Mapping_Sheet!$E$2:$E$3143),
Master_Mapping_Sheet!$C$2:$C$3143=O$1)))"),0.0)</f>
        <v>0</v>
      </c>
      <c r="P7" s="34">
        <f>IFERROR(__xludf.DUMMYFUNCTION("IF(ISNA(sum(filter(
Master_Mapping_Sheet!$E$2:$E$3143, ISNUMBER(
Master_Mapping_Sheet!$E$2:$E$3143),
Master_Mapping_Sheet!$C$2:$C$3143=P$1,
Master_Mapping_Sheet!$M$2:$M$3143=VALUE(RIGHT($A7,1))))/sum(filter(
Master_Mapping_Sheet!$E$2:$E$3143, ISNUMBER(
Ma"&amp;"ster_Mapping_Sheet!$E$2:$E$3143),
Master_Mapping_Sheet!$C$2:$C$3143=P$1))), 0, sum(filter(
Master_Mapping_Sheet!$E$2:$E$3143, ISNUMBER(
Master_Mapping_Sheet!$E$2:$E$3143),
Master_Mapping_Sheet!$C$2:$C$3143=P$1,
Master_Mapping_Sheet!$M$2:$M$3143=VALUE(RIGH"&amp;"T($A7,1))))/sum(filter(
Master_Mapping_Sheet!$E$2:$E$3143, ISNUMBER(
Master_Mapping_Sheet!$E$2:$E$3143),
Master_Mapping_Sheet!$C$2:$C$3143=P$1)))"),0.0)</f>
        <v>0</v>
      </c>
      <c r="Q7" s="34">
        <f>IFERROR(__xludf.DUMMYFUNCTION("IF(ISNA(sum(filter(
Master_Mapping_Sheet!$E$2:$E$3143, ISNUMBER(
Master_Mapping_Sheet!$E$2:$E$3143),
Master_Mapping_Sheet!$C$2:$C$3143=Q$1,
Master_Mapping_Sheet!$M$2:$M$3143=VALUE(RIGHT($A7,1))))/sum(filter(
Master_Mapping_Sheet!$E$2:$E$3143, ISNUMBER(
Ma"&amp;"ster_Mapping_Sheet!$E$2:$E$3143),
Master_Mapping_Sheet!$C$2:$C$3143=Q$1))), 0, sum(filter(
Master_Mapping_Sheet!$E$2:$E$3143, ISNUMBER(
Master_Mapping_Sheet!$E$2:$E$3143),
Master_Mapping_Sheet!$C$2:$C$3143=Q$1,
Master_Mapping_Sheet!$M$2:$M$3143=VALUE(RIGH"&amp;"T($A7,1))))/sum(filter(
Master_Mapping_Sheet!$E$2:$E$3143, ISNUMBER(
Master_Mapping_Sheet!$E$2:$E$3143),
Master_Mapping_Sheet!$C$2:$C$3143=Q$1)))"),0.23414220874061897)</f>
        <v>0.2341422087</v>
      </c>
      <c r="R7" s="34">
        <f>IFERROR(__xludf.DUMMYFUNCTION("IF(ISNA(sum(filter(
Master_Mapping_Sheet!$E$2:$E$3143, ISNUMBER(
Master_Mapping_Sheet!$E$2:$E$3143),
Master_Mapping_Sheet!$C$2:$C$3143=R$1,
Master_Mapping_Sheet!$M$2:$M$3143=VALUE(RIGHT($A7,1))))/sum(filter(
Master_Mapping_Sheet!$E$2:$E$3143, ISNUMBER(
Ma"&amp;"ster_Mapping_Sheet!$E$2:$E$3143),
Master_Mapping_Sheet!$C$2:$C$3143=R$1))), 0, sum(filter(
Master_Mapping_Sheet!$E$2:$E$3143, ISNUMBER(
Master_Mapping_Sheet!$E$2:$E$3143),
Master_Mapping_Sheet!$C$2:$C$3143=R$1,
Master_Mapping_Sheet!$M$2:$M$3143=VALUE(RIGH"&amp;"T($A7,1))))/sum(filter(
Master_Mapping_Sheet!$E$2:$E$3143, ISNUMBER(
Master_Mapping_Sheet!$E$2:$E$3143),
Master_Mapping_Sheet!$C$2:$C$3143=R$1)))"),0.0)</f>
        <v>0</v>
      </c>
      <c r="S7" s="34">
        <f>IFERROR(__xludf.DUMMYFUNCTION("IF(ISNA(sum(filter(
Master_Mapping_Sheet!$E$2:$E$3143, ISNUMBER(
Master_Mapping_Sheet!$E$2:$E$3143),
Master_Mapping_Sheet!$C$2:$C$3143=S$1,
Master_Mapping_Sheet!$M$2:$M$3143=VALUE(RIGHT($A7,1))))/sum(filter(
Master_Mapping_Sheet!$E$2:$E$3143, ISNUMBER(
Ma"&amp;"ster_Mapping_Sheet!$E$2:$E$3143),
Master_Mapping_Sheet!$C$2:$C$3143=S$1))), 0, sum(filter(
Master_Mapping_Sheet!$E$2:$E$3143, ISNUMBER(
Master_Mapping_Sheet!$E$2:$E$3143),
Master_Mapping_Sheet!$C$2:$C$3143=S$1,
Master_Mapping_Sheet!$M$2:$M$3143=VALUE(RIGH"&amp;"T($A7,1))))/sum(filter(
Master_Mapping_Sheet!$E$2:$E$3143, ISNUMBER(
Master_Mapping_Sheet!$E$2:$E$3143),
Master_Mapping_Sheet!$C$2:$C$3143=S$1)))"),0.0)</f>
        <v>0</v>
      </c>
      <c r="T7" s="34">
        <f>IFERROR(__xludf.DUMMYFUNCTION("IF(ISNA(sum(filter(
Master_Mapping_Sheet!$E$2:$E$3143, ISNUMBER(
Master_Mapping_Sheet!$E$2:$E$3143),
Master_Mapping_Sheet!$C$2:$C$3143=T$1,
Master_Mapping_Sheet!$M$2:$M$3143=VALUE(RIGHT($A7,1))))/sum(filter(
Master_Mapping_Sheet!$E$2:$E$3143, ISNUMBER(
Ma"&amp;"ster_Mapping_Sheet!$E$2:$E$3143),
Master_Mapping_Sheet!$C$2:$C$3143=T$1))), 0, sum(filter(
Master_Mapping_Sheet!$E$2:$E$3143, ISNUMBER(
Master_Mapping_Sheet!$E$2:$E$3143),
Master_Mapping_Sheet!$C$2:$C$3143=T$1,
Master_Mapping_Sheet!$M$2:$M$3143=VALUE(RIGH"&amp;"T($A7,1))))/sum(filter(
Master_Mapping_Sheet!$E$2:$E$3143, ISNUMBER(
Master_Mapping_Sheet!$E$2:$E$3143),
Master_Mapping_Sheet!$C$2:$C$3143=T$1)))"),0.0)</f>
        <v>0</v>
      </c>
      <c r="U7" s="34">
        <f>IFERROR(__xludf.DUMMYFUNCTION("IF(ISNA(sum(filter(
Master_Mapping_Sheet!$E$2:$E$3143, ISNUMBER(
Master_Mapping_Sheet!$E$2:$E$3143),
Master_Mapping_Sheet!$C$2:$C$3143=U$1,
Master_Mapping_Sheet!$M$2:$M$3143=VALUE(RIGHT($A7,1))))/sum(filter(
Master_Mapping_Sheet!$E$2:$E$3143, ISNUMBER(
Ma"&amp;"ster_Mapping_Sheet!$E$2:$E$3143),
Master_Mapping_Sheet!$C$2:$C$3143=U$1))), 0, sum(filter(
Master_Mapping_Sheet!$E$2:$E$3143, ISNUMBER(
Master_Mapping_Sheet!$E$2:$E$3143),
Master_Mapping_Sheet!$C$2:$C$3143=U$1,
Master_Mapping_Sheet!$M$2:$M$3143=VALUE(RIGH"&amp;"T($A7,1))))/sum(filter(
Master_Mapping_Sheet!$E$2:$E$3143, ISNUMBER(
Master_Mapping_Sheet!$E$2:$E$3143),
Master_Mapping_Sheet!$C$2:$C$3143=U$1)))"),0.9517446884121623)</f>
        <v>0.9517446884</v>
      </c>
      <c r="V7" s="34">
        <f>IFERROR(__xludf.DUMMYFUNCTION("IF(ISNA(sum(filter(
Master_Mapping_Sheet!$E$2:$E$3143, ISNUMBER(
Master_Mapping_Sheet!$E$2:$E$3143),
Master_Mapping_Sheet!$C$2:$C$3143=V$1,
Master_Mapping_Sheet!$M$2:$M$3143=VALUE(RIGHT($A7,1))))/sum(filter(
Master_Mapping_Sheet!$E$2:$E$3143, ISNUMBER(
Ma"&amp;"ster_Mapping_Sheet!$E$2:$E$3143),
Master_Mapping_Sheet!$C$2:$C$3143=V$1))), 0, sum(filter(
Master_Mapping_Sheet!$E$2:$E$3143, ISNUMBER(
Master_Mapping_Sheet!$E$2:$E$3143),
Master_Mapping_Sheet!$C$2:$C$3143=V$1,
Master_Mapping_Sheet!$M$2:$M$3143=VALUE(RIGH"&amp;"T($A7,1))))/sum(filter(
Master_Mapping_Sheet!$E$2:$E$3143, ISNUMBER(
Master_Mapping_Sheet!$E$2:$E$3143),
Master_Mapping_Sheet!$C$2:$C$3143=V$1)))"),0.0)</f>
        <v>0</v>
      </c>
      <c r="W7" s="34">
        <f>IFERROR(__xludf.DUMMYFUNCTION("IF(ISNA(sum(filter(
Master_Mapping_Sheet!$E$2:$E$3143, ISNUMBER(
Master_Mapping_Sheet!$E$2:$E$3143),
Master_Mapping_Sheet!$C$2:$C$3143=W$1,
Master_Mapping_Sheet!$M$2:$M$3143=VALUE(RIGHT($A7,1))))/sum(filter(
Master_Mapping_Sheet!$E$2:$E$3143, ISNUMBER(
Ma"&amp;"ster_Mapping_Sheet!$E$2:$E$3143),
Master_Mapping_Sheet!$C$2:$C$3143=W$1))), 0, sum(filter(
Master_Mapping_Sheet!$E$2:$E$3143, ISNUMBER(
Master_Mapping_Sheet!$E$2:$E$3143),
Master_Mapping_Sheet!$C$2:$C$3143=W$1,
Master_Mapping_Sheet!$M$2:$M$3143=VALUE(RIGH"&amp;"T($A7,1))))/sum(filter(
Master_Mapping_Sheet!$E$2:$E$3143, ISNUMBER(
Master_Mapping_Sheet!$E$2:$E$3143),
Master_Mapping_Sheet!$C$2:$C$3143=W$1)))"),0.0)</f>
        <v>0</v>
      </c>
      <c r="X7" s="34">
        <f>IFERROR(__xludf.DUMMYFUNCTION("IF(ISNA(sum(filter(
Master_Mapping_Sheet!$E$2:$E$3143, ISNUMBER(
Master_Mapping_Sheet!$E$2:$E$3143),
Master_Mapping_Sheet!$C$2:$C$3143=X$1,
Master_Mapping_Sheet!$M$2:$M$3143=VALUE(RIGHT($A7,1))))/sum(filter(
Master_Mapping_Sheet!$E$2:$E$3143, ISNUMBER(
Ma"&amp;"ster_Mapping_Sheet!$E$2:$E$3143),
Master_Mapping_Sheet!$C$2:$C$3143=X$1))), 0, sum(filter(
Master_Mapping_Sheet!$E$2:$E$3143, ISNUMBER(
Master_Mapping_Sheet!$E$2:$E$3143),
Master_Mapping_Sheet!$C$2:$C$3143=X$1,
Master_Mapping_Sheet!$M$2:$M$3143=VALUE(RIGH"&amp;"T($A7,1))))/sum(filter(
Master_Mapping_Sheet!$E$2:$E$3143, ISNUMBER(
Master_Mapping_Sheet!$E$2:$E$3143),
Master_Mapping_Sheet!$C$2:$C$3143=X$1)))"),0.10721331247638176)</f>
        <v>0.1072133125</v>
      </c>
      <c r="Y7" s="34">
        <f>IFERROR(__xludf.DUMMYFUNCTION("IF(ISNA(sum(filter(
Master_Mapping_Sheet!$E$2:$E$3143, ISNUMBER(
Master_Mapping_Sheet!$E$2:$E$3143),
Master_Mapping_Sheet!$C$2:$C$3143=Y$1,
Master_Mapping_Sheet!$M$2:$M$3143=VALUE(RIGHT($A7,1))))/sum(filter(
Master_Mapping_Sheet!$E$2:$E$3143, ISNUMBER(
Ma"&amp;"ster_Mapping_Sheet!$E$2:$E$3143),
Master_Mapping_Sheet!$C$2:$C$3143=Y$1))), 0, sum(filter(
Master_Mapping_Sheet!$E$2:$E$3143, ISNUMBER(
Master_Mapping_Sheet!$E$2:$E$3143),
Master_Mapping_Sheet!$C$2:$C$3143=Y$1,
Master_Mapping_Sheet!$M$2:$M$3143=VALUE(RIGH"&amp;"T($A7,1))))/sum(filter(
Master_Mapping_Sheet!$E$2:$E$3143, ISNUMBER(
Master_Mapping_Sheet!$E$2:$E$3143),
Master_Mapping_Sheet!$C$2:$C$3143=Y$1)))"),0.850307995151549)</f>
        <v>0.8503079952</v>
      </c>
      <c r="Z7" s="34">
        <f>IFERROR(__xludf.DUMMYFUNCTION("IF(ISNA(sum(filter(
Master_Mapping_Sheet!$E$2:$E$3143, ISNUMBER(
Master_Mapping_Sheet!$E$2:$E$3143),
Master_Mapping_Sheet!$C$2:$C$3143=Z$1,
Master_Mapping_Sheet!$M$2:$M$3143=VALUE(RIGHT($A7,1))))/sum(filter(
Master_Mapping_Sheet!$E$2:$E$3143, ISNUMBER(
Ma"&amp;"ster_Mapping_Sheet!$E$2:$E$3143),
Master_Mapping_Sheet!$C$2:$C$3143=Z$1))), 0, sum(filter(
Master_Mapping_Sheet!$E$2:$E$3143, ISNUMBER(
Master_Mapping_Sheet!$E$2:$E$3143),
Master_Mapping_Sheet!$C$2:$C$3143=Z$1,
Master_Mapping_Sheet!$M$2:$M$3143=VALUE(RIGH"&amp;"T($A7,1))))/sum(filter(
Master_Mapping_Sheet!$E$2:$E$3143, ISNUMBER(
Master_Mapping_Sheet!$E$2:$E$3143),
Master_Mapping_Sheet!$C$2:$C$3143=Z$1)))"),0.0)</f>
        <v>0</v>
      </c>
      <c r="AA7" s="34">
        <f>IFERROR(__xludf.DUMMYFUNCTION("IF(ISNA(sum(filter(
Master_Mapping_Sheet!$E$2:$E$3143, ISNUMBER(
Master_Mapping_Sheet!$E$2:$E$3143),
Master_Mapping_Sheet!$C$2:$C$3143=AA$1,
Master_Mapping_Sheet!$M$2:$M$3143=VALUE(RIGHT($A7,1))))/sum(filter(
Master_Mapping_Sheet!$E$2:$E$3143, ISNUMBER(
M"&amp;"aster_Mapping_Sheet!$E$2:$E$3143),
Master_Mapping_Sheet!$C$2:$C$3143=AA$1))), 0, sum(filter(
Master_Mapping_Sheet!$E$2:$E$3143, ISNUMBER(
Master_Mapping_Sheet!$E$2:$E$3143),
Master_Mapping_Sheet!$C$2:$C$3143=AA$1,
Master_Mapping_Sheet!$M$2:$M$3143=VALUE(R"&amp;"IGHT($A7,1))))/sum(filter(
Master_Mapping_Sheet!$E$2:$E$3143, ISNUMBER(
Master_Mapping_Sheet!$E$2:$E$3143),
Master_Mapping_Sheet!$C$2:$C$3143=AA$1)))"),0.0)</f>
        <v>0</v>
      </c>
      <c r="AB7" s="34">
        <f>IFERROR(__xludf.DUMMYFUNCTION("IF(ISNA(sum(filter(
Master_Mapping_Sheet!$E$2:$E$3143, ISNUMBER(
Master_Mapping_Sheet!$E$2:$E$3143),
Master_Mapping_Sheet!$C$2:$C$3143=AB$1,
Master_Mapping_Sheet!$M$2:$M$3143=VALUE(RIGHT($A7,1))))/sum(filter(
Master_Mapping_Sheet!$E$2:$E$3143, ISNUMBER(
M"&amp;"aster_Mapping_Sheet!$E$2:$E$3143),
Master_Mapping_Sheet!$C$2:$C$3143=AB$1))), 0, sum(filter(
Master_Mapping_Sheet!$E$2:$E$3143, ISNUMBER(
Master_Mapping_Sheet!$E$2:$E$3143),
Master_Mapping_Sheet!$C$2:$C$3143=AB$1,
Master_Mapping_Sheet!$M$2:$M$3143=VALUE(R"&amp;"IGHT($A7,1))))/sum(filter(
Master_Mapping_Sheet!$E$2:$E$3143, ISNUMBER(
Master_Mapping_Sheet!$E$2:$E$3143),
Master_Mapping_Sheet!$C$2:$C$3143=AB$1)))"),1.0)</f>
        <v>1</v>
      </c>
      <c r="AC7" s="34">
        <f>IFERROR(__xludf.DUMMYFUNCTION("IF(ISNA(sum(filter(
Master_Mapping_Sheet!$E$2:$E$3143, ISNUMBER(
Master_Mapping_Sheet!$E$2:$E$3143),
Master_Mapping_Sheet!$C$2:$C$3143=AC$1,
Master_Mapping_Sheet!$M$2:$M$3143=VALUE(RIGHT($A7,1))))/sum(filter(
Master_Mapping_Sheet!$E$2:$E$3143, ISNUMBER(
M"&amp;"aster_Mapping_Sheet!$E$2:$E$3143),
Master_Mapping_Sheet!$C$2:$C$3143=AC$1))), 0, sum(filter(
Master_Mapping_Sheet!$E$2:$E$3143, ISNUMBER(
Master_Mapping_Sheet!$E$2:$E$3143),
Master_Mapping_Sheet!$C$2:$C$3143=AC$1,
Master_Mapping_Sheet!$M$2:$M$3143=VALUE(R"&amp;"IGHT($A7,1))))/sum(filter(
Master_Mapping_Sheet!$E$2:$E$3143, ISNUMBER(
Master_Mapping_Sheet!$E$2:$E$3143),
Master_Mapping_Sheet!$C$2:$C$3143=AC$1)))"),0.0)</f>
        <v>0</v>
      </c>
      <c r="AD7" s="34">
        <f>IFERROR(__xludf.DUMMYFUNCTION("IF(ISNA(sum(filter(
Master_Mapping_Sheet!$E$2:$E$3143, ISNUMBER(
Master_Mapping_Sheet!$E$2:$E$3143),
Master_Mapping_Sheet!$C$2:$C$3143=AD$1,
Master_Mapping_Sheet!$M$2:$M$3143=VALUE(RIGHT($A7,1))))/sum(filter(
Master_Mapping_Sheet!$E$2:$E$3143, ISNUMBER(
M"&amp;"aster_Mapping_Sheet!$E$2:$E$3143),
Master_Mapping_Sheet!$C$2:$C$3143=AD$1))), 0, sum(filter(
Master_Mapping_Sheet!$E$2:$E$3143, ISNUMBER(
Master_Mapping_Sheet!$E$2:$E$3143),
Master_Mapping_Sheet!$C$2:$C$3143=AD$1,
Master_Mapping_Sheet!$M$2:$M$3143=VALUE(R"&amp;"IGHT($A7,1))))/sum(filter(
Master_Mapping_Sheet!$E$2:$E$3143, ISNUMBER(
Master_Mapping_Sheet!$E$2:$E$3143),
Master_Mapping_Sheet!$C$2:$C$3143=AD$1)))"),0.0)</f>
        <v>0</v>
      </c>
      <c r="AE7" s="34">
        <f>IFERROR(__xludf.DUMMYFUNCTION("IF(ISNA(sum(filter(
Master_Mapping_Sheet!$E$2:$E$3143, ISNUMBER(
Master_Mapping_Sheet!$E$2:$E$3143),
Master_Mapping_Sheet!$C$2:$C$3143=AE$1,
Master_Mapping_Sheet!$M$2:$M$3143=VALUE(RIGHT($A7,1))))/sum(filter(
Master_Mapping_Sheet!$E$2:$E$3143, ISNUMBER(
M"&amp;"aster_Mapping_Sheet!$E$2:$E$3143),
Master_Mapping_Sheet!$C$2:$C$3143=AE$1))), 0, sum(filter(
Master_Mapping_Sheet!$E$2:$E$3143, ISNUMBER(
Master_Mapping_Sheet!$E$2:$E$3143),
Master_Mapping_Sheet!$C$2:$C$3143=AE$1,
Master_Mapping_Sheet!$M$2:$M$3143=VALUE(R"&amp;"IGHT($A7,1))))/sum(filter(
Master_Mapping_Sheet!$E$2:$E$3143, ISNUMBER(
Master_Mapping_Sheet!$E$2:$E$3143),
Master_Mapping_Sheet!$C$2:$C$3143=AE$1)))"),0.3160113661813311)</f>
        <v>0.3160113662</v>
      </c>
      <c r="AF7" s="34">
        <f>IFERROR(__xludf.DUMMYFUNCTION("IF(ISNA(sum(filter(
Master_Mapping_Sheet!$E$2:$E$3143, ISNUMBER(
Master_Mapping_Sheet!$E$2:$E$3143),
Master_Mapping_Sheet!$C$2:$C$3143=AF$1,
Master_Mapping_Sheet!$M$2:$M$3143=VALUE(RIGHT($A7,1))))/sum(filter(
Master_Mapping_Sheet!$E$2:$E$3143, ISNUMBER(
M"&amp;"aster_Mapping_Sheet!$E$2:$E$3143),
Master_Mapping_Sheet!$C$2:$C$3143=AF$1))), 0, sum(filter(
Master_Mapping_Sheet!$E$2:$E$3143, ISNUMBER(
Master_Mapping_Sheet!$E$2:$E$3143),
Master_Mapping_Sheet!$C$2:$C$3143=AF$1,
Master_Mapping_Sheet!$M$2:$M$3143=VALUE(R"&amp;"IGHT($A7,1))))/sum(filter(
Master_Mapping_Sheet!$E$2:$E$3143, ISNUMBER(
Master_Mapping_Sheet!$E$2:$E$3143),
Master_Mapping_Sheet!$C$2:$C$3143=AF$1)))"),0.0)</f>
        <v>0</v>
      </c>
      <c r="AG7" s="34">
        <f>IFERROR(__xludf.DUMMYFUNCTION("IF(ISNA(sum(filter(
Master_Mapping_Sheet!$E$2:$E$3143, ISNUMBER(
Master_Mapping_Sheet!$E$2:$E$3143),
Master_Mapping_Sheet!$C$2:$C$3143=AG$1,
Master_Mapping_Sheet!$M$2:$M$3143=VALUE(RIGHT($A7,1))))/sum(filter(
Master_Mapping_Sheet!$E$2:$E$3143, ISNUMBER(
M"&amp;"aster_Mapping_Sheet!$E$2:$E$3143),
Master_Mapping_Sheet!$C$2:$C$3143=AG$1))), 0, sum(filter(
Master_Mapping_Sheet!$E$2:$E$3143, ISNUMBER(
Master_Mapping_Sheet!$E$2:$E$3143),
Master_Mapping_Sheet!$C$2:$C$3143=AG$1,
Master_Mapping_Sheet!$M$2:$M$3143=VALUE(R"&amp;"IGHT($A7,1))))/sum(filter(
Master_Mapping_Sheet!$E$2:$E$3143, ISNUMBER(
Master_Mapping_Sheet!$E$2:$E$3143),
Master_Mapping_Sheet!$C$2:$C$3143=AG$1)))"),0.0)</f>
        <v>0</v>
      </c>
      <c r="AH7" s="34">
        <f>IFERROR(__xludf.DUMMYFUNCTION("IF(ISNA(sum(filter(
Master_Mapping_Sheet!$E$2:$E$3143, ISNUMBER(
Master_Mapping_Sheet!$E$2:$E$3143),
Master_Mapping_Sheet!$C$2:$C$3143=AH$1,
Master_Mapping_Sheet!$M$2:$M$3143=VALUE(RIGHT($A7,1))))/sum(filter(
Master_Mapping_Sheet!$E$2:$E$3143, ISNUMBER(
M"&amp;"aster_Mapping_Sheet!$E$2:$E$3143),
Master_Mapping_Sheet!$C$2:$C$3143=AH$1))), 0, sum(filter(
Master_Mapping_Sheet!$E$2:$E$3143, ISNUMBER(
Master_Mapping_Sheet!$E$2:$E$3143),
Master_Mapping_Sheet!$C$2:$C$3143=AH$1,
Master_Mapping_Sheet!$M$2:$M$3143=VALUE(R"&amp;"IGHT($A7,1))))/sum(filter(
Master_Mapping_Sheet!$E$2:$E$3143, ISNUMBER(
Master_Mapping_Sheet!$E$2:$E$3143),
Master_Mapping_Sheet!$C$2:$C$3143=AH$1)))"),0.0996152717337543)</f>
        <v>0.09961527173</v>
      </c>
      <c r="AI7" s="34">
        <f>IFERROR(__xludf.DUMMYFUNCTION("IF(ISNA(sum(filter(
Master_Mapping_Sheet!$E$2:$E$3143, ISNUMBER(
Master_Mapping_Sheet!$E$2:$E$3143),
Master_Mapping_Sheet!$C$2:$C$3143=AI$1,
Master_Mapping_Sheet!$M$2:$M$3143=VALUE(RIGHT($A7,1))))/sum(filter(
Master_Mapping_Sheet!$E$2:$E$3143, ISNUMBER(
M"&amp;"aster_Mapping_Sheet!$E$2:$E$3143),
Master_Mapping_Sheet!$C$2:$C$3143=AI$1))), 0, sum(filter(
Master_Mapping_Sheet!$E$2:$E$3143, ISNUMBER(
Master_Mapping_Sheet!$E$2:$E$3143),
Master_Mapping_Sheet!$C$2:$C$3143=AI$1,
Master_Mapping_Sheet!$M$2:$M$3143=VALUE(R"&amp;"IGHT($A7,1))))/sum(filter(
Master_Mapping_Sheet!$E$2:$E$3143, ISNUMBER(
Master_Mapping_Sheet!$E$2:$E$3143),
Master_Mapping_Sheet!$C$2:$C$3143=AI$1)))"),0.0)</f>
        <v>0</v>
      </c>
      <c r="AJ7" s="34">
        <f>IFERROR(__xludf.DUMMYFUNCTION("IF(ISNA(sum(filter(
Master_Mapping_Sheet!$E$2:$E$3143, ISNUMBER(
Master_Mapping_Sheet!$E$2:$E$3143),
Master_Mapping_Sheet!$C$2:$C$3143=AJ$1,
Master_Mapping_Sheet!$M$2:$M$3143=VALUE(RIGHT($A7,1))))/sum(filter(
Master_Mapping_Sheet!$E$2:$E$3143, ISNUMBER(
M"&amp;"aster_Mapping_Sheet!$E$2:$E$3143),
Master_Mapping_Sheet!$C$2:$C$3143=AJ$1))), 0, sum(filter(
Master_Mapping_Sheet!$E$2:$E$3143, ISNUMBER(
Master_Mapping_Sheet!$E$2:$E$3143),
Master_Mapping_Sheet!$C$2:$C$3143=AJ$1,
Master_Mapping_Sheet!$M$2:$M$3143=VALUE(R"&amp;"IGHT($A7,1))))/sum(filter(
Master_Mapping_Sheet!$E$2:$E$3143, ISNUMBER(
Master_Mapping_Sheet!$E$2:$E$3143),
Master_Mapping_Sheet!$C$2:$C$3143=AJ$1)))"),0.3248201998658037)</f>
        <v>0.3248201999</v>
      </c>
      <c r="AK7" s="34">
        <f>IFERROR(__xludf.DUMMYFUNCTION("IF(ISNA(sum(filter(
Master_Mapping_Sheet!$E$2:$E$3143, ISNUMBER(
Master_Mapping_Sheet!$E$2:$E$3143),
Master_Mapping_Sheet!$C$2:$C$3143=AK$1,
Master_Mapping_Sheet!$M$2:$M$3143=VALUE(RIGHT($A7,1))))/sum(filter(
Master_Mapping_Sheet!$E$2:$E$3143, ISNUMBER(
M"&amp;"aster_Mapping_Sheet!$E$2:$E$3143),
Master_Mapping_Sheet!$C$2:$C$3143=AK$1))), 0, sum(filter(
Master_Mapping_Sheet!$E$2:$E$3143, ISNUMBER(
Master_Mapping_Sheet!$E$2:$E$3143),
Master_Mapping_Sheet!$C$2:$C$3143=AK$1,
Master_Mapping_Sheet!$M$2:$M$3143=VALUE(R"&amp;"IGHT($A7,1))))/sum(filter(
Master_Mapping_Sheet!$E$2:$E$3143, ISNUMBER(
Master_Mapping_Sheet!$E$2:$E$3143),
Master_Mapping_Sheet!$C$2:$C$3143=AK$1)))"),0.0)</f>
        <v>0</v>
      </c>
      <c r="AL7" s="34">
        <f>IFERROR(__xludf.DUMMYFUNCTION("IF(ISNA(sum(filter(
Master_Mapping_Sheet!$E$2:$E$3143, ISNUMBER(
Master_Mapping_Sheet!$E$2:$E$3143),
Master_Mapping_Sheet!$C$2:$C$3143=AL$1,
Master_Mapping_Sheet!$M$2:$M$3143=VALUE(RIGHT($A7,1))))/sum(filter(
Master_Mapping_Sheet!$E$2:$E$3143, ISNUMBER(
M"&amp;"aster_Mapping_Sheet!$E$2:$E$3143),
Master_Mapping_Sheet!$C$2:$C$3143=AL$1))), 0, sum(filter(
Master_Mapping_Sheet!$E$2:$E$3143, ISNUMBER(
Master_Mapping_Sheet!$E$2:$E$3143),
Master_Mapping_Sheet!$C$2:$C$3143=AL$1,
Master_Mapping_Sheet!$M$2:$M$3143=VALUE(R"&amp;"IGHT($A7,1))))/sum(filter(
Master_Mapping_Sheet!$E$2:$E$3143, ISNUMBER(
Master_Mapping_Sheet!$E$2:$E$3143),
Master_Mapping_Sheet!$C$2:$C$3143=AL$1)))"),0.0)</f>
        <v>0</v>
      </c>
      <c r="AM7" s="34">
        <f>IFERROR(__xludf.DUMMYFUNCTION("IF(ISNA(sum(filter(
Master_Mapping_Sheet!$E$2:$E$3143, ISNUMBER(
Master_Mapping_Sheet!$E$2:$E$3143),
Master_Mapping_Sheet!$C$2:$C$3143=AM$1,
Master_Mapping_Sheet!$M$2:$M$3143=VALUE(RIGHT($A7,1))))/sum(filter(
Master_Mapping_Sheet!$E$2:$E$3143, ISNUMBER(
M"&amp;"aster_Mapping_Sheet!$E$2:$E$3143),
Master_Mapping_Sheet!$C$2:$C$3143=AM$1))), 0, sum(filter(
Master_Mapping_Sheet!$E$2:$E$3143, ISNUMBER(
Master_Mapping_Sheet!$E$2:$E$3143),
Master_Mapping_Sheet!$C$2:$C$3143=AM$1,
Master_Mapping_Sheet!$M$2:$M$3143=VALUE(R"&amp;"IGHT($A7,1))))/sum(filter(
Master_Mapping_Sheet!$E$2:$E$3143, ISNUMBER(
Master_Mapping_Sheet!$E$2:$E$3143),
Master_Mapping_Sheet!$C$2:$C$3143=AM$1)))"),0.0)</f>
        <v>0</v>
      </c>
      <c r="AN7" s="34">
        <f>IFERROR(__xludf.DUMMYFUNCTION("IF(ISNA(sum(filter(
Master_Mapping_Sheet!$E$2:$E$3143, ISNUMBER(
Master_Mapping_Sheet!$E$2:$E$3143),
Master_Mapping_Sheet!$C$2:$C$3143=AN$1,
Master_Mapping_Sheet!$M$2:$M$3143=VALUE(RIGHT($A7,1))))/sum(filter(
Master_Mapping_Sheet!$E$2:$E$3143, ISNUMBER(
M"&amp;"aster_Mapping_Sheet!$E$2:$E$3143),
Master_Mapping_Sheet!$C$2:$C$3143=AN$1))), 0, sum(filter(
Master_Mapping_Sheet!$E$2:$E$3143, ISNUMBER(
Master_Mapping_Sheet!$E$2:$E$3143),
Master_Mapping_Sheet!$C$2:$C$3143=AN$1,
Master_Mapping_Sheet!$M$2:$M$3143=VALUE(R"&amp;"IGHT($A7,1))))/sum(filter(
Master_Mapping_Sheet!$E$2:$E$3143, ISNUMBER(
Master_Mapping_Sheet!$E$2:$E$3143),
Master_Mapping_Sheet!$C$2:$C$3143=AN$1)))"),0.022944319807852113)</f>
        <v>0.02294431981</v>
      </c>
      <c r="AO7" s="34">
        <f>IFERROR(__xludf.DUMMYFUNCTION("IF(ISNA(sum(filter(
Master_Mapping_Sheet!$E$2:$E$3143, ISNUMBER(
Master_Mapping_Sheet!$E$2:$E$3143),
Master_Mapping_Sheet!$C$2:$C$3143=AO$1,
Master_Mapping_Sheet!$M$2:$M$3143=VALUE(RIGHT($A7,1))))/sum(filter(
Master_Mapping_Sheet!$E$2:$E$3143, ISNUMBER(
M"&amp;"aster_Mapping_Sheet!$E$2:$E$3143),
Master_Mapping_Sheet!$C$2:$C$3143=AO$1))), 0, sum(filter(
Master_Mapping_Sheet!$E$2:$E$3143, ISNUMBER(
Master_Mapping_Sheet!$E$2:$E$3143),
Master_Mapping_Sheet!$C$2:$C$3143=AO$1,
Master_Mapping_Sheet!$M$2:$M$3143=VALUE(R"&amp;"IGHT($A7,1))))/sum(filter(
Master_Mapping_Sheet!$E$2:$E$3143, ISNUMBER(
Master_Mapping_Sheet!$E$2:$E$3143),
Master_Mapping_Sheet!$C$2:$C$3143=AO$1)))"),0.0)</f>
        <v>0</v>
      </c>
      <c r="AP7" s="34">
        <f>IFERROR(__xludf.DUMMYFUNCTION("IF(ISNA(sum(filter(
Master_Mapping_Sheet!$E$2:$E$3143, ISNUMBER(
Master_Mapping_Sheet!$E$2:$E$3143),
Master_Mapping_Sheet!$C$2:$C$3143=AP$1,
Master_Mapping_Sheet!$M$2:$M$3143=VALUE(RIGHT($A7,1))))/sum(filter(
Master_Mapping_Sheet!$E$2:$E$3143, ISNUMBER(
M"&amp;"aster_Mapping_Sheet!$E$2:$E$3143),
Master_Mapping_Sheet!$C$2:$C$3143=AP$1))), 0, sum(filter(
Master_Mapping_Sheet!$E$2:$E$3143, ISNUMBER(
Master_Mapping_Sheet!$E$2:$E$3143),
Master_Mapping_Sheet!$C$2:$C$3143=AP$1,
Master_Mapping_Sheet!$M$2:$M$3143=VALUE(R"&amp;"IGHT($A7,1))))/sum(filter(
Master_Mapping_Sheet!$E$2:$E$3143, ISNUMBER(
Master_Mapping_Sheet!$E$2:$E$3143),
Master_Mapping_Sheet!$C$2:$C$3143=AP$1)))"),0.0)</f>
        <v>0</v>
      </c>
      <c r="AQ7" s="34">
        <f>IFERROR(__xludf.DUMMYFUNCTION("IF(ISNA(sum(filter(
Master_Mapping_Sheet!$E$2:$E$3143, ISNUMBER(
Master_Mapping_Sheet!$E$2:$E$3143),
Master_Mapping_Sheet!$C$2:$C$3143=AQ$1,
Master_Mapping_Sheet!$M$2:$M$3143=VALUE(RIGHT($A7,1))))/sum(filter(
Master_Mapping_Sheet!$E$2:$E$3143, ISNUMBER(
M"&amp;"aster_Mapping_Sheet!$E$2:$E$3143),
Master_Mapping_Sheet!$C$2:$C$3143=AQ$1))), 0, sum(filter(
Master_Mapping_Sheet!$E$2:$E$3143, ISNUMBER(
Master_Mapping_Sheet!$E$2:$E$3143),
Master_Mapping_Sheet!$C$2:$C$3143=AQ$1,
Master_Mapping_Sheet!$M$2:$M$3143=VALUE(R"&amp;"IGHT($A7,1))))/sum(filter(
Master_Mapping_Sheet!$E$2:$E$3143, ISNUMBER(
Master_Mapping_Sheet!$E$2:$E$3143),
Master_Mapping_Sheet!$C$2:$C$3143=AQ$1)))"),0.8809574053809455)</f>
        <v>0.8809574054</v>
      </c>
      <c r="AR7" s="34">
        <f>IFERROR(__xludf.DUMMYFUNCTION("IF(ISNA(sum(filter(
Master_Mapping_Sheet!$E$2:$E$3143, ISNUMBER(
Master_Mapping_Sheet!$E$2:$E$3143),
Master_Mapping_Sheet!$C$2:$C$3143=AR$1,
Master_Mapping_Sheet!$M$2:$M$3143=VALUE(RIGHT($A7,1))))/sum(filter(
Master_Mapping_Sheet!$E$2:$E$3143, ISNUMBER(
M"&amp;"aster_Mapping_Sheet!$E$2:$E$3143),
Master_Mapping_Sheet!$C$2:$C$3143=AR$1))), 0, sum(filter(
Master_Mapping_Sheet!$E$2:$E$3143, ISNUMBER(
Master_Mapping_Sheet!$E$2:$E$3143),
Master_Mapping_Sheet!$C$2:$C$3143=AR$1,
Master_Mapping_Sheet!$M$2:$M$3143=VALUE(R"&amp;"IGHT($A7,1))))/sum(filter(
Master_Mapping_Sheet!$E$2:$E$3143, ISNUMBER(
Master_Mapping_Sheet!$E$2:$E$3143),
Master_Mapping_Sheet!$C$2:$C$3143=AR$1)))"),0.0)</f>
        <v>0</v>
      </c>
      <c r="AS7" s="34">
        <f>IFERROR(__xludf.DUMMYFUNCTION("IF(ISNA(sum(filter(
Master_Mapping_Sheet!$E$2:$E$3143, ISNUMBER(
Master_Mapping_Sheet!$E$2:$E$3143),
Master_Mapping_Sheet!$C$2:$C$3143=AS$1,
Master_Mapping_Sheet!$M$2:$M$3143=VALUE(RIGHT($A7,1))))/sum(filter(
Master_Mapping_Sheet!$E$2:$E$3143, ISNUMBER(
M"&amp;"aster_Mapping_Sheet!$E$2:$E$3143),
Master_Mapping_Sheet!$C$2:$C$3143=AS$1))), 0, sum(filter(
Master_Mapping_Sheet!$E$2:$E$3143, ISNUMBER(
Master_Mapping_Sheet!$E$2:$E$3143),
Master_Mapping_Sheet!$C$2:$C$3143=AS$1,
Master_Mapping_Sheet!$M$2:$M$3143=VALUE(R"&amp;"IGHT($A7,1))))/sum(filter(
Master_Mapping_Sheet!$E$2:$E$3143, ISNUMBER(
Master_Mapping_Sheet!$E$2:$E$3143),
Master_Mapping_Sheet!$C$2:$C$3143=AS$1)))"),0.0)</f>
        <v>0</v>
      </c>
      <c r="AT7" s="34">
        <f>IFERROR(__xludf.DUMMYFUNCTION("IF(ISNA(sum(filter(
Master_Mapping_Sheet!$E$2:$E$3143, ISNUMBER(
Master_Mapping_Sheet!$E$2:$E$3143),
Master_Mapping_Sheet!$C$2:$C$3143=AT$1,
Master_Mapping_Sheet!$M$2:$M$3143=VALUE(RIGHT($A7,1))))/sum(filter(
Master_Mapping_Sheet!$E$2:$E$3143, ISNUMBER(
M"&amp;"aster_Mapping_Sheet!$E$2:$E$3143),
Master_Mapping_Sheet!$C$2:$C$3143=AT$1))), 0, sum(filter(
Master_Mapping_Sheet!$E$2:$E$3143, ISNUMBER(
Master_Mapping_Sheet!$E$2:$E$3143),
Master_Mapping_Sheet!$C$2:$C$3143=AT$1,
Master_Mapping_Sheet!$M$2:$M$3143=VALUE(R"&amp;"IGHT($A7,1))))/sum(filter(
Master_Mapping_Sheet!$E$2:$E$3143, ISNUMBER(
Master_Mapping_Sheet!$E$2:$E$3143),
Master_Mapping_Sheet!$C$2:$C$3143=AT$1)))"),0.11132376012878709)</f>
        <v>0.1113237601</v>
      </c>
      <c r="AU7" s="34">
        <f>IFERROR(__xludf.DUMMYFUNCTION("IF(ISNA(sum(filter(
Master_Mapping_Sheet!$E$2:$E$3143, ISNUMBER(
Master_Mapping_Sheet!$E$2:$E$3143),
Master_Mapping_Sheet!$C$2:$C$3143=AU$1,
Master_Mapping_Sheet!$M$2:$M$3143=VALUE(RIGHT($A7,1))))/sum(filter(
Master_Mapping_Sheet!$E$2:$E$3143, ISNUMBER(
M"&amp;"aster_Mapping_Sheet!$E$2:$E$3143),
Master_Mapping_Sheet!$C$2:$C$3143=AU$1))), 0, sum(filter(
Master_Mapping_Sheet!$E$2:$E$3143, ISNUMBER(
Master_Mapping_Sheet!$E$2:$E$3143),
Master_Mapping_Sheet!$C$2:$C$3143=AU$1,
Master_Mapping_Sheet!$M$2:$M$3143=VALUE(R"&amp;"IGHT($A7,1))))/sum(filter(
Master_Mapping_Sheet!$E$2:$E$3143, ISNUMBER(
Master_Mapping_Sheet!$E$2:$E$3143),
Master_Mapping_Sheet!$C$2:$C$3143=AU$1)))"),1.0)</f>
        <v>1</v>
      </c>
      <c r="AV7" s="34">
        <f>IFERROR(__xludf.DUMMYFUNCTION("IF(ISNA(sum(filter(
Master_Mapping_Sheet!$E$2:$E$3143, ISNUMBER(
Master_Mapping_Sheet!$E$2:$E$3143),
Master_Mapping_Sheet!$C$2:$C$3143=AV$1,
Master_Mapping_Sheet!$M$2:$M$3143=VALUE(RIGHT($A7,1))))/sum(filter(
Master_Mapping_Sheet!$E$2:$E$3143, ISNUMBER(
M"&amp;"aster_Mapping_Sheet!$E$2:$E$3143),
Master_Mapping_Sheet!$C$2:$C$3143=AV$1))), 0, sum(filter(
Master_Mapping_Sheet!$E$2:$E$3143, ISNUMBER(
Master_Mapping_Sheet!$E$2:$E$3143),
Master_Mapping_Sheet!$C$2:$C$3143=AV$1,
Master_Mapping_Sheet!$M$2:$M$3143=VALUE(R"&amp;"IGHT($A7,1))))/sum(filter(
Master_Mapping_Sheet!$E$2:$E$3143, ISNUMBER(
Master_Mapping_Sheet!$E$2:$E$3143),
Master_Mapping_Sheet!$C$2:$C$3143=AV$1)))"),0.0)</f>
        <v>0</v>
      </c>
      <c r="AW7" s="34">
        <f>IFERROR(__xludf.DUMMYFUNCTION("IF(ISNA(sum(filter(
Master_Mapping_Sheet!$E$2:$E$3143, ISNUMBER(
Master_Mapping_Sheet!$E$2:$E$3143),
Master_Mapping_Sheet!$C$2:$C$3143=AW$1,
Master_Mapping_Sheet!$M$2:$M$3143=VALUE(RIGHT($A7,1))))/sum(filter(
Master_Mapping_Sheet!$E$2:$E$3143, ISNUMBER(
M"&amp;"aster_Mapping_Sheet!$E$2:$E$3143),
Master_Mapping_Sheet!$C$2:$C$3143=AW$1))), 0, sum(filter(
Master_Mapping_Sheet!$E$2:$E$3143, ISNUMBER(
Master_Mapping_Sheet!$E$2:$E$3143),
Master_Mapping_Sheet!$C$2:$C$3143=AW$1,
Master_Mapping_Sheet!$M$2:$M$3143=VALUE(R"&amp;"IGHT($A7,1))))/sum(filter(
Master_Mapping_Sheet!$E$2:$E$3143, ISNUMBER(
Master_Mapping_Sheet!$E$2:$E$3143),
Master_Mapping_Sheet!$C$2:$C$3143=AW$1)))"),0.014643383745814604)</f>
        <v>0.01464338375</v>
      </c>
      <c r="AX7" s="34">
        <f>IFERROR(__xludf.DUMMYFUNCTION("IF(ISNA(sum(filter(
Master_Mapping_Sheet!$E$2:$E$3143, ISNUMBER(
Master_Mapping_Sheet!$E$2:$E$3143),
Master_Mapping_Sheet!$C$2:$C$3143=AX$1,
Master_Mapping_Sheet!$M$2:$M$3143=VALUE(RIGHT($A7,1))))/sum(filter(
Master_Mapping_Sheet!$E$2:$E$3143, ISNUMBER(
M"&amp;"aster_Mapping_Sheet!$E$2:$E$3143),
Master_Mapping_Sheet!$C$2:$C$3143=AX$1))), 0, sum(filter(
Master_Mapping_Sheet!$E$2:$E$3143, ISNUMBER(
Master_Mapping_Sheet!$E$2:$E$3143),
Master_Mapping_Sheet!$C$2:$C$3143=AX$1,
Master_Mapping_Sheet!$M$2:$M$3143=VALUE(R"&amp;"IGHT($A7,1))))/sum(filter(
Master_Mapping_Sheet!$E$2:$E$3143, ISNUMBER(
Master_Mapping_Sheet!$E$2:$E$3143),
Master_Mapping_Sheet!$C$2:$C$3143=AX$1)))"),0.0)</f>
        <v>0</v>
      </c>
      <c r="AY7" s="34">
        <f>IFERROR(__xludf.DUMMYFUNCTION("IF(ISNA(sum(filter(
Master_Mapping_Sheet!$E$2:$E$3143, ISNUMBER(
Master_Mapping_Sheet!$E$2:$E$3143),
Master_Mapping_Sheet!$C$2:$C$3143=AY$1,
Master_Mapping_Sheet!$M$2:$M$3143=VALUE(RIGHT($A7,1))))/sum(filter(
Master_Mapping_Sheet!$E$2:$E$3143, ISNUMBER(
M"&amp;"aster_Mapping_Sheet!$E$2:$E$3143),
Master_Mapping_Sheet!$C$2:$C$3143=AY$1))), 0, sum(filter(
Master_Mapping_Sheet!$E$2:$E$3143, ISNUMBER(
Master_Mapping_Sheet!$E$2:$E$3143),
Master_Mapping_Sheet!$C$2:$C$3143=AY$1,
Master_Mapping_Sheet!$M$2:$M$3143=VALUE(R"&amp;"IGHT($A7,1))))/sum(filter(
Master_Mapping_Sheet!$E$2:$E$3143, ISNUMBER(
Master_Mapping_Sheet!$E$2:$E$3143),
Master_Mapping_Sheet!$C$2:$C$3143=AY$1)))"),0.9502616751438643)</f>
        <v>0.9502616751</v>
      </c>
      <c r="AZ7" s="34">
        <f>IFERROR(__xludf.DUMMYFUNCTION("IF(ISNA(sum(filter(
Master_Mapping_Sheet!$E$2:$E$3143, ISNUMBER(
Master_Mapping_Sheet!$E$2:$E$3143),
Master_Mapping_Sheet!$C$2:$C$3143=AZ$1,
Master_Mapping_Sheet!$M$2:$M$3143=VALUE(RIGHT($A7,1))))/sum(filter(
Master_Mapping_Sheet!$E$2:$E$3143, ISNUMBER(
M"&amp;"aster_Mapping_Sheet!$E$2:$E$3143),
Master_Mapping_Sheet!$C$2:$C$3143=AZ$1))), 0, sum(filter(
Master_Mapping_Sheet!$E$2:$E$3143, ISNUMBER(
Master_Mapping_Sheet!$E$2:$E$3143),
Master_Mapping_Sheet!$C$2:$C$3143=AZ$1,
Master_Mapping_Sheet!$M$2:$M$3143=VALUE(R"&amp;"IGHT($A7,1))))/sum(filter(
Master_Mapping_Sheet!$E$2:$E$3143, ISNUMBER(
Master_Mapping_Sheet!$E$2:$E$3143),
Master_Mapping_Sheet!$C$2:$C$3143=AZ$1)))"),0.8728394660110229)</f>
        <v>0.872839466</v>
      </c>
    </row>
    <row r="8" ht="15.75" customHeight="1">
      <c r="A8" s="45" t="s">
        <v>4257</v>
      </c>
      <c r="B8" s="34">
        <f>IFERROR(__xludf.DUMMYFUNCTION("IF(ISNA(sum(filter(
Master_Mapping_Sheet!$E$2:$E$3143, ISNUMBER(
Master_Mapping_Sheet!$E$2:$E$3143),
Master_Mapping_Sheet!$C$2:$C$3143=B$1,
Master_Mapping_Sheet!$M$2:$M$3143=VALUE(RIGHT($A8,1))))/sum(filter(
Master_Mapping_Sheet!$E$2:$E$3143, ISNUMBER(
Ma"&amp;"ster_Mapping_Sheet!$E$2:$E$3143),
Master_Mapping_Sheet!$C$2:$C$3143=B$1))), 0, sum(filter(
Master_Mapping_Sheet!$E$2:$E$3143, ISNUMBER(
Master_Mapping_Sheet!$E$2:$E$3143),
Master_Mapping_Sheet!$C$2:$C$3143=B$1,
Master_Mapping_Sheet!$M$2:$M$3143=VALUE(RIGH"&amp;"T($A8,1))))/sum(filter(
Master_Mapping_Sheet!$E$2:$E$3143, ISNUMBER(
Master_Mapping_Sheet!$E$2:$E$3143),
Master_Mapping_Sheet!$C$2:$C$3143=B$1)))"),0.0)</f>
        <v>0</v>
      </c>
      <c r="C8" s="34">
        <f>IFERROR(__xludf.DUMMYFUNCTION("IF(ISNA(sum(filter(
Master_Mapping_Sheet!$E$2:$E$3143, ISNUMBER(
Master_Mapping_Sheet!$E$2:$E$3143),
Master_Mapping_Sheet!$C$2:$C$3143=C$1,
Master_Mapping_Sheet!$M$2:$M$3143=VALUE(RIGHT($A8,1))))/sum(filter(
Master_Mapping_Sheet!$E$2:$E$3143, ISNUMBER(
Ma"&amp;"ster_Mapping_Sheet!$E$2:$E$3143),
Master_Mapping_Sheet!$C$2:$C$3143=C$1))), 0, sum(filter(
Master_Mapping_Sheet!$E$2:$E$3143, ISNUMBER(
Master_Mapping_Sheet!$E$2:$E$3143),
Master_Mapping_Sheet!$C$2:$C$3143=C$1,
Master_Mapping_Sheet!$M$2:$M$3143=VALUE(RIGH"&amp;"T($A8,1))))/sum(filter(
Master_Mapping_Sheet!$E$2:$E$3143, ISNUMBER(
Master_Mapping_Sheet!$E$2:$E$3143),
Master_Mapping_Sheet!$C$2:$C$3143=C$1)))"),0.7741231509960241)</f>
        <v>0.774123151</v>
      </c>
      <c r="D8" s="34">
        <f>IFERROR(__xludf.DUMMYFUNCTION("IF(ISNA(sum(filter(
Master_Mapping_Sheet!$E$2:$E$3143, ISNUMBER(
Master_Mapping_Sheet!$E$2:$E$3143),
Master_Mapping_Sheet!$C$2:$C$3143=D$1,
Master_Mapping_Sheet!$M$2:$M$3143=VALUE(RIGHT($A8,1))))/sum(filter(
Master_Mapping_Sheet!$E$2:$E$3143, ISNUMBER(
Ma"&amp;"ster_Mapping_Sheet!$E$2:$E$3143),
Master_Mapping_Sheet!$C$2:$C$3143=D$1))), 0, sum(filter(
Master_Mapping_Sheet!$E$2:$E$3143, ISNUMBER(
Master_Mapping_Sheet!$E$2:$E$3143),
Master_Mapping_Sheet!$C$2:$C$3143=D$1,
Master_Mapping_Sheet!$M$2:$M$3143=VALUE(RIGH"&amp;"T($A8,1))))/sum(filter(
Master_Mapping_Sheet!$E$2:$E$3143, ISNUMBER(
Master_Mapping_Sheet!$E$2:$E$3143),
Master_Mapping_Sheet!$C$2:$C$3143=D$1)))"),0.0)</f>
        <v>0</v>
      </c>
      <c r="E8" s="34">
        <f>IFERROR(__xludf.DUMMYFUNCTION("IF(ISNA(sum(filter(
Master_Mapping_Sheet!$E$2:$E$3143, ISNUMBER(
Master_Mapping_Sheet!$E$2:$E$3143),
Master_Mapping_Sheet!$C$2:$C$3143=E$1,
Master_Mapping_Sheet!$M$2:$M$3143=VALUE(RIGHT($A8,1))))/sum(filter(
Master_Mapping_Sheet!$E$2:$E$3143, ISNUMBER(
Ma"&amp;"ster_Mapping_Sheet!$E$2:$E$3143),
Master_Mapping_Sheet!$C$2:$C$3143=E$1))), 0, sum(filter(
Master_Mapping_Sheet!$E$2:$E$3143, ISNUMBER(
Master_Mapping_Sheet!$E$2:$E$3143),
Master_Mapping_Sheet!$C$2:$C$3143=E$1,
Master_Mapping_Sheet!$M$2:$M$3143=VALUE(RIGH"&amp;"T($A8,1))))/sum(filter(
Master_Mapping_Sheet!$E$2:$E$3143, ISNUMBER(
Master_Mapping_Sheet!$E$2:$E$3143),
Master_Mapping_Sheet!$C$2:$C$3143=E$1)))"),0.0)</f>
        <v>0</v>
      </c>
      <c r="F8" s="34">
        <f>IFERROR(__xludf.DUMMYFUNCTION("IF(ISNA(sum(filter(
Master_Mapping_Sheet!$E$2:$E$3143, ISNUMBER(
Master_Mapping_Sheet!$E$2:$E$3143),
Master_Mapping_Sheet!$C$2:$C$3143=F$1,
Master_Mapping_Sheet!$M$2:$M$3143=VALUE(RIGHT($A8,1))))/sum(filter(
Master_Mapping_Sheet!$E$2:$E$3143, ISNUMBER(
Ma"&amp;"ster_Mapping_Sheet!$E$2:$E$3143),
Master_Mapping_Sheet!$C$2:$C$3143=F$1))), 0, sum(filter(
Master_Mapping_Sheet!$E$2:$E$3143, ISNUMBER(
Master_Mapping_Sheet!$E$2:$E$3143),
Master_Mapping_Sheet!$C$2:$C$3143=F$1,
Master_Mapping_Sheet!$M$2:$M$3143=VALUE(RIGH"&amp;"T($A8,1))))/sum(filter(
Master_Mapping_Sheet!$E$2:$E$3143, ISNUMBER(
Master_Mapping_Sheet!$E$2:$E$3143),
Master_Mapping_Sheet!$C$2:$C$3143=F$1)))"),0.0)</f>
        <v>0</v>
      </c>
      <c r="G8" s="34">
        <f>IFERROR(__xludf.DUMMYFUNCTION("IF(ISNA(sum(filter(
Master_Mapping_Sheet!$E$2:$E$3143, ISNUMBER(
Master_Mapping_Sheet!$E$2:$E$3143),
Master_Mapping_Sheet!$C$2:$C$3143=G$1,
Master_Mapping_Sheet!$M$2:$M$3143=VALUE(RIGHT($A8,1))))/sum(filter(
Master_Mapping_Sheet!$E$2:$E$3143, ISNUMBER(
Ma"&amp;"ster_Mapping_Sheet!$E$2:$E$3143),
Master_Mapping_Sheet!$C$2:$C$3143=G$1))), 0, sum(filter(
Master_Mapping_Sheet!$E$2:$E$3143, ISNUMBER(
Master_Mapping_Sheet!$E$2:$E$3143),
Master_Mapping_Sheet!$C$2:$C$3143=G$1,
Master_Mapping_Sheet!$M$2:$M$3143=VALUE(RIGH"&amp;"T($A8,1))))/sum(filter(
Master_Mapping_Sheet!$E$2:$E$3143, ISNUMBER(
Master_Mapping_Sheet!$E$2:$E$3143),
Master_Mapping_Sheet!$C$2:$C$3143=G$1)))"),0.026381811654737214)</f>
        <v>0.02638181165</v>
      </c>
      <c r="H8" s="34">
        <f>IFERROR(__xludf.DUMMYFUNCTION("IF(ISNA(sum(filter(
Master_Mapping_Sheet!$E$2:$E$3143, ISNUMBER(
Master_Mapping_Sheet!$E$2:$E$3143),
Master_Mapping_Sheet!$C$2:$C$3143=H$1,
Master_Mapping_Sheet!$M$2:$M$3143=VALUE(RIGHT($A8,1))))/sum(filter(
Master_Mapping_Sheet!$E$2:$E$3143, ISNUMBER(
Ma"&amp;"ster_Mapping_Sheet!$E$2:$E$3143),
Master_Mapping_Sheet!$C$2:$C$3143=H$1))), 0, sum(filter(
Master_Mapping_Sheet!$E$2:$E$3143, ISNUMBER(
Master_Mapping_Sheet!$E$2:$E$3143),
Master_Mapping_Sheet!$C$2:$C$3143=H$1,
Master_Mapping_Sheet!$M$2:$M$3143=VALUE(RIGH"&amp;"T($A8,1))))/sum(filter(
Master_Mapping_Sheet!$E$2:$E$3143, ISNUMBER(
Master_Mapping_Sheet!$E$2:$E$3143),
Master_Mapping_Sheet!$C$2:$C$3143=H$1)))"),0.0)</f>
        <v>0</v>
      </c>
      <c r="I8" s="34">
        <f>IFERROR(__xludf.DUMMYFUNCTION("IF(ISNA(sum(filter(
Master_Mapping_Sheet!$E$2:$E$3143, ISNUMBER(
Master_Mapping_Sheet!$E$2:$E$3143),
Master_Mapping_Sheet!$C$2:$C$3143=I$1,
Master_Mapping_Sheet!$M$2:$M$3143=VALUE(RIGHT($A8,1))))/sum(filter(
Master_Mapping_Sheet!$E$2:$E$3143, ISNUMBER(
Ma"&amp;"ster_Mapping_Sheet!$E$2:$E$3143),
Master_Mapping_Sheet!$C$2:$C$3143=I$1))), 0, sum(filter(
Master_Mapping_Sheet!$E$2:$E$3143, ISNUMBER(
Master_Mapping_Sheet!$E$2:$E$3143),
Master_Mapping_Sheet!$C$2:$C$3143=I$1,
Master_Mapping_Sheet!$M$2:$M$3143=VALUE(RIGH"&amp;"T($A8,1))))/sum(filter(
Master_Mapping_Sheet!$E$2:$E$3143, ISNUMBER(
Master_Mapping_Sheet!$E$2:$E$3143),
Master_Mapping_Sheet!$C$2:$C$3143=I$1)))"),0.0)</f>
        <v>0</v>
      </c>
      <c r="J8" s="34">
        <f>IFERROR(__xludf.DUMMYFUNCTION("IF(ISNA(sum(filter(
Master_Mapping_Sheet!$E$2:$E$3143, ISNUMBER(
Master_Mapping_Sheet!$E$2:$E$3143),
Master_Mapping_Sheet!$C$2:$C$3143=J$1,
Master_Mapping_Sheet!$M$2:$M$3143=VALUE(RIGHT($A8,1))))/sum(filter(
Master_Mapping_Sheet!$E$2:$E$3143, ISNUMBER(
Ma"&amp;"ster_Mapping_Sheet!$E$2:$E$3143),
Master_Mapping_Sheet!$C$2:$C$3143=J$1))), 0, sum(filter(
Master_Mapping_Sheet!$E$2:$E$3143, ISNUMBER(
Master_Mapping_Sheet!$E$2:$E$3143),
Master_Mapping_Sheet!$C$2:$C$3143=J$1,
Master_Mapping_Sheet!$M$2:$M$3143=VALUE(RIGH"&amp;"T($A8,1))))/sum(filter(
Master_Mapping_Sheet!$E$2:$E$3143, ISNUMBER(
Master_Mapping_Sheet!$E$2:$E$3143),
Master_Mapping_Sheet!$C$2:$C$3143=J$1)))"),0.0)</f>
        <v>0</v>
      </c>
      <c r="K8" s="34">
        <f>IFERROR(__xludf.DUMMYFUNCTION("IF(ISNA(sum(filter(
Master_Mapping_Sheet!$E$2:$E$3143, ISNUMBER(
Master_Mapping_Sheet!$E$2:$E$3143),
Master_Mapping_Sheet!$C$2:$C$3143=K$1,
Master_Mapping_Sheet!$M$2:$M$3143=VALUE(RIGHT($A8,1))))/sum(filter(
Master_Mapping_Sheet!$E$2:$E$3143, ISNUMBER(
Ma"&amp;"ster_Mapping_Sheet!$E$2:$E$3143),
Master_Mapping_Sheet!$C$2:$C$3143=K$1))), 0, sum(filter(
Master_Mapping_Sheet!$E$2:$E$3143, ISNUMBER(
Master_Mapping_Sheet!$E$2:$E$3143),
Master_Mapping_Sheet!$C$2:$C$3143=K$1,
Master_Mapping_Sheet!$M$2:$M$3143=VALUE(RIGH"&amp;"T($A8,1))))/sum(filter(
Master_Mapping_Sheet!$E$2:$E$3143, ISNUMBER(
Master_Mapping_Sheet!$E$2:$E$3143),
Master_Mapping_Sheet!$C$2:$C$3143=K$1)))"),0.0)</f>
        <v>0</v>
      </c>
      <c r="L8" s="34">
        <f>IFERROR(__xludf.DUMMYFUNCTION("IF(ISNA(sum(filter(
Master_Mapping_Sheet!$E$2:$E$3143, ISNUMBER(
Master_Mapping_Sheet!$E$2:$E$3143),
Master_Mapping_Sheet!$C$2:$C$3143=L$1,
Master_Mapping_Sheet!$M$2:$M$3143=VALUE(RIGHT($A8,1))))/sum(filter(
Master_Mapping_Sheet!$E$2:$E$3143, ISNUMBER(
Ma"&amp;"ster_Mapping_Sheet!$E$2:$E$3143),
Master_Mapping_Sheet!$C$2:$C$3143=L$1))), 0, sum(filter(
Master_Mapping_Sheet!$E$2:$E$3143, ISNUMBER(
Master_Mapping_Sheet!$E$2:$E$3143),
Master_Mapping_Sheet!$C$2:$C$3143=L$1,
Master_Mapping_Sheet!$M$2:$M$3143=VALUE(RIGH"&amp;"T($A8,1))))/sum(filter(
Master_Mapping_Sheet!$E$2:$E$3143, ISNUMBER(
Master_Mapping_Sheet!$E$2:$E$3143),
Master_Mapping_Sheet!$C$2:$C$3143=L$1)))"),0.0)</f>
        <v>0</v>
      </c>
      <c r="M8" s="34">
        <f>IFERROR(__xludf.DUMMYFUNCTION("IF(ISNA(sum(filter(
Master_Mapping_Sheet!$E$2:$E$3143, ISNUMBER(
Master_Mapping_Sheet!$E$2:$E$3143),
Master_Mapping_Sheet!$C$2:$C$3143=M$1,
Master_Mapping_Sheet!$M$2:$M$3143=VALUE(RIGHT($A8,1))))/sum(filter(
Master_Mapping_Sheet!$E$2:$E$3143, ISNUMBER(
Ma"&amp;"ster_Mapping_Sheet!$E$2:$E$3143),
Master_Mapping_Sheet!$C$2:$C$3143=M$1))), 0, sum(filter(
Master_Mapping_Sheet!$E$2:$E$3143, ISNUMBER(
Master_Mapping_Sheet!$E$2:$E$3143),
Master_Mapping_Sheet!$C$2:$C$3143=M$1,
Master_Mapping_Sheet!$M$2:$M$3143=VALUE(RIGH"&amp;"T($A8,1))))/sum(filter(
Master_Mapping_Sheet!$E$2:$E$3143, ISNUMBER(
Master_Mapping_Sheet!$E$2:$E$3143),
Master_Mapping_Sheet!$C$2:$C$3143=M$1)))"),0.0)</f>
        <v>0</v>
      </c>
      <c r="N8" s="34">
        <f>IFERROR(__xludf.DUMMYFUNCTION("IF(ISNA(sum(filter(
Master_Mapping_Sheet!$E$2:$E$3143, ISNUMBER(
Master_Mapping_Sheet!$E$2:$E$3143),
Master_Mapping_Sheet!$C$2:$C$3143=N$1,
Master_Mapping_Sheet!$M$2:$M$3143=VALUE(RIGHT($A8,1))))/sum(filter(
Master_Mapping_Sheet!$E$2:$E$3143, ISNUMBER(
Ma"&amp;"ster_Mapping_Sheet!$E$2:$E$3143),
Master_Mapping_Sheet!$C$2:$C$3143=N$1))), 0, sum(filter(
Master_Mapping_Sheet!$E$2:$E$3143, ISNUMBER(
Master_Mapping_Sheet!$E$2:$E$3143),
Master_Mapping_Sheet!$C$2:$C$3143=N$1,
Master_Mapping_Sheet!$M$2:$M$3143=VALUE(RIGH"&amp;"T($A8,1))))/sum(filter(
Master_Mapping_Sheet!$E$2:$E$3143, ISNUMBER(
Master_Mapping_Sheet!$E$2:$E$3143),
Master_Mapping_Sheet!$C$2:$C$3143=N$1)))"),0.0)</f>
        <v>0</v>
      </c>
      <c r="O8" s="34">
        <f>IFERROR(__xludf.DUMMYFUNCTION("IF(ISNA(sum(filter(
Master_Mapping_Sheet!$E$2:$E$3143, ISNUMBER(
Master_Mapping_Sheet!$E$2:$E$3143),
Master_Mapping_Sheet!$C$2:$C$3143=O$1,
Master_Mapping_Sheet!$M$2:$M$3143=VALUE(RIGHT($A8,1))))/sum(filter(
Master_Mapping_Sheet!$E$2:$E$3143, ISNUMBER(
Ma"&amp;"ster_Mapping_Sheet!$E$2:$E$3143),
Master_Mapping_Sheet!$C$2:$C$3143=O$1))), 0, sum(filter(
Master_Mapping_Sheet!$E$2:$E$3143, ISNUMBER(
Master_Mapping_Sheet!$E$2:$E$3143),
Master_Mapping_Sheet!$C$2:$C$3143=O$1,
Master_Mapping_Sheet!$M$2:$M$3143=VALUE(RIGH"&amp;"T($A8,1))))/sum(filter(
Master_Mapping_Sheet!$E$2:$E$3143, ISNUMBER(
Master_Mapping_Sheet!$E$2:$E$3143),
Master_Mapping_Sheet!$C$2:$C$3143=O$1)))"),0.0)</f>
        <v>0</v>
      </c>
      <c r="P8" s="34">
        <f>IFERROR(__xludf.DUMMYFUNCTION("IF(ISNA(sum(filter(
Master_Mapping_Sheet!$E$2:$E$3143, ISNUMBER(
Master_Mapping_Sheet!$E$2:$E$3143),
Master_Mapping_Sheet!$C$2:$C$3143=P$1,
Master_Mapping_Sheet!$M$2:$M$3143=VALUE(RIGHT($A8,1))))/sum(filter(
Master_Mapping_Sheet!$E$2:$E$3143, ISNUMBER(
Ma"&amp;"ster_Mapping_Sheet!$E$2:$E$3143),
Master_Mapping_Sheet!$C$2:$C$3143=P$1))), 0, sum(filter(
Master_Mapping_Sheet!$E$2:$E$3143, ISNUMBER(
Master_Mapping_Sheet!$E$2:$E$3143),
Master_Mapping_Sheet!$C$2:$C$3143=P$1,
Master_Mapping_Sheet!$M$2:$M$3143=VALUE(RIGH"&amp;"T($A8,1))))/sum(filter(
Master_Mapping_Sheet!$E$2:$E$3143, ISNUMBER(
Master_Mapping_Sheet!$E$2:$E$3143),
Master_Mapping_Sheet!$C$2:$C$3143=P$1)))"),0.0)</f>
        <v>0</v>
      </c>
      <c r="Q8" s="34">
        <f>IFERROR(__xludf.DUMMYFUNCTION("IF(ISNA(sum(filter(
Master_Mapping_Sheet!$E$2:$E$3143, ISNUMBER(
Master_Mapping_Sheet!$E$2:$E$3143),
Master_Mapping_Sheet!$C$2:$C$3143=Q$1,
Master_Mapping_Sheet!$M$2:$M$3143=VALUE(RIGHT($A8,1))))/sum(filter(
Master_Mapping_Sheet!$E$2:$E$3143, ISNUMBER(
Ma"&amp;"ster_Mapping_Sheet!$E$2:$E$3143),
Master_Mapping_Sheet!$C$2:$C$3143=Q$1))), 0, sum(filter(
Master_Mapping_Sheet!$E$2:$E$3143, ISNUMBER(
Master_Mapping_Sheet!$E$2:$E$3143),
Master_Mapping_Sheet!$C$2:$C$3143=Q$1,
Master_Mapping_Sheet!$M$2:$M$3143=VALUE(RIGH"&amp;"T($A8,1))))/sum(filter(
Master_Mapping_Sheet!$E$2:$E$3143, ISNUMBER(
Master_Mapping_Sheet!$E$2:$E$3143),
Master_Mapping_Sheet!$C$2:$C$3143=Q$1)))"),0.0)</f>
        <v>0</v>
      </c>
      <c r="R8" s="34">
        <f>IFERROR(__xludf.DUMMYFUNCTION("IF(ISNA(sum(filter(
Master_Mapping_Sheet!$E$2:$E$3143, ISNUMBER(
Master_Mapping_Sheet!$E$2:$E$3143),
Master_Mapping_Sheet!$C$2:$C$3143=R$1,
Master_Mapping_Sheet!$M$2:$M$3143=VALUE(RIGHT($A8,1))))/sum(filter(
Master_Mapping_Sheet!$E$2:$E$3143, ISNUMBER(
Ma"&amp;"ster_Mapping_Sheet!$E$2:$E$3143),
Master_Mapping_Sheet!$C$2:$C$3143=R$1))), 0, sum(filter(
Master_Mapping_Sheet!$E$2:$E$3143, ISNUMBER(
Master_Mapping_Sheet!$E$2:$E$3143),
Master_Mapping_Sheet!$C$2:$C$3143=R$1,
Master_Mapping_Sheet!$M$2:$M$3143=VALUE(RIGH"&amp;"T($A8,1))))/sum(filter(
Master_Mapping_Sheet!$E$2:$E$3143, ISNUMBER(
Master_Mapping_Sheet!$E$2:$E$3143),
Master_Mapping_Sheet!$C$2:$C$3143=R$1)))"),0.0)</f>
        <v>0</v>
      </c>
      <c r="S8" s="34">
        <f>IFERROR(__xludf.DUMMYFUNCTION("IF(ISNA(sum(filter(
Master_Mapping_Sheet!$E$2:$E$3143, ISNUMBER(
Master_Mapping_Sheet!$E$2:$E$3143),
Master_Mapping_Sheet!$C$2:$C$3143=S$1,
Master_Mapping_Sheet!$M$2:$M$3143=VALUE(RIGHT($A8,1))))/sum(filter(
Master_Mapping_Sheet!$E$2:$E$3143, ISNUMBER(
Ma"&amp;"ster_Mapping_Sheet!$E$2:$E$3143),
Master_Mapping_Sheet!$C$2:$C$3143=S$1))), 0, sum(filter(
Master_Mapping_Sheet!$E$2:$E$3143, ISNUMBER(
Master_Mapping_Sheet!$E$2:$E$3143),
Master_Mapping_Sheet!$C$2:$C$3143=S$1,
Master_Mapping_Sheet!$M$2:$M$3143=VALUE(RIGH"&amp;"T($A8,1))))/sum(filter(
Master_Mapping_Sheet!$E$2:$E$3143, ISNUMBER(
Master_Mapping_Sheet!$E$2:$E$3143),
Master_Mapping_Sheet!$C$2:$C$3143=S$1)))"),0.0)</f>
        <v>0</v>
      </c>
      <c r="T8" s="34">
        <f>IFERROR(__xludf.DUMMYFUNCTION("IF(ISNA(sum(filter(
Master_Mapping_Sheet!$E$2:$E$3143, ISNUMBER(
Master_Mapping_Sheet!$E$2:$E$3143),
Master_Mapping_Sheet!$C$2:$C$3143=T$1,
Master_Mapping_Sheet!$M$2:$M$3143=VALUE(RIGHT($A8,1))))/sum(filter(
Master_Mapping_Sheet!$E$2:$E$3143, ISNUMBER(
Ma"&amp;"ster_Mapping_Sheet!$E$2:$E$3143),
Master_Mapping_Sheet!$C$2:$C$3143=T$1))), 0, sum(filter(
Master_Mapping_Sheet!$E$2:$E$3143, ISNUMBER(
Master_Mapping_Sheet!$E$2:$E$3143),
Master_Mapping_Sheet!$C$2:$C$3143=T$1,
Master_Mapping_Sheet!$M$2:$M$3143=VALUE(RIGH"&amp;"T($A8,1))))/sum(filter(
Master_Mapping_Sheet!$E$2:$E$3143, ISNUMBER(
Master_Mapping_Sheet!$E$2:$E$3143),
Master_Mapping_Sheet!$C$2:$C$3143=T$1)))"),0.0)</f>
        <v>0</v>
      </c>
      <c r="U8" s="34">
        <f>IFERROR(__xludf.DUMMYFUNCTION("IF(ISNA(sum(filter(
Master_Mapping_Sheet!$E$2:$E$3143, ISNUMBER(
Master_Mapping_Sheet!$E$2:$E$3143),
Master_Mapping_Sheet!$C$2:$C$3143=U$1,
Master_Mapping_Sheet!$M$2:$M$3143=VALUE(RIGHT($A8,1))))/sum(filter(
Master_Mapping_Sheet!$E$2:$E$3143, ISNUMBER(
Ma"&amp;"ster_Mapping_Sheet!$E$2:$E$3143),
Master_Mapping_Sheet!$C$2:$C$3143=U$1))), 0, sum(filter(
Master_Mapping_Sheet!$E$2:$E$3143, ISNUMBER(
Master_Mapping_Sheet!$E$2:$E$3143),
Master_Mapping_Sheet!$C$2:$C$3143=U$1,
Master_Mapping_Sheet!$M$2:$M$3143=VALUE(RIGH"&amp;"T($A8,1))))/sum(filter(
Master_Mapping_Sheet!$E$2:$E$3143, ISNUMBER(
Master_Mapping_Sheet!$E$2:$E$3143),
Master_Mapping_Sheet!$C$2:$C$3143=U$1)))"),0.04825531158783769)</f>
        <v>0.04825531159</v>
      </c>
      <c r="V8" s="34">
        <f>IFERROR(__xludf.DUMMYFUNCTION("IF(ISNA(sum(filter(
Master_Mapping_Sheet!$E$2:$E$3143, ISNUMBER(
Master_Mapping_Sheet!$E$2:$E$3143),
Master_Mapping_Sheet!$C$2:$C$3143=V$1,
Master_Mapping_Sheet!$M$2:$M$3143=VALUE(RIGHT($A8,1))))/sum(filter(
Master_Mapping_Sheet!$E$2:$E$3143, ISNUMBER(
Ma"&amp;"ster_Mapping_Sheet!$E$2:$E$3143),
Master_Mapping_Sheet!$C$2:$C$3143=V$1))), 0, sum(filter(
Master_Mapping_Sheet!$E$2:$E$3143, ISNUMBER(
Master_Mapping_Sheet!$E$2:$E$3143),
Master_Mapping_Sheet!$C$2:$C$3143=V$1,
Master_Mapping_Sheet!$M$2:$M$3143=VALUE(RIGH"&amp;"T($A8,1))))/sum(filter(
Master_Mapping_Sheet!$E$2:$E$3143, ISNUMBER(
Master_Mapping_Sheet!$E$2:$E$3143),
Master_Mapping_Sheet!$C$2:$C$3143=V$1)))"),0.0)</f>
        <v>0</v>
      </c>
      <c r="W8" s="34">
        <f>IFERROR(__xludf.DUMMYFUNCTION("IF(ISNA(sum(filter(
Master_Mapping_Sheet!$E$2:$E$3143, ISNUMBER(
Master_Mapping_Sheet!$E$2:$E$3143),
Master_Mapping_Sheet!$C$2:$C$3143=W$1,
Master_Mapping_Sheet!$M$2:$M$3143=VALUE(RIGHT($A8,1))))/sum(filter(
Master_Mapping_Sheet!$E$2:$E$3143, ISNUMBER(
Ma"&amp;"ster_Mapping_Sheet!$E$2:$E$3143),
Master_Mapping_Sheet!$C$2:$C$3143=W$1))), 0, sum(filter(
Master_Mapping_Sheet!$E$2:$E$3143, ISNUMBER(
Master_Mapping_Sheet!$E$2:$E$3143),
Master_Mapping_Sheet!$C$2:$C$3143=W$1,
Master_Mapping_Sheet!$M$2:$M$3143=VALUE(RIGH"&amp;"T($A8,1))))/sum(filter(
Master_Mapping_Sheet!$E$2:$E$3143, ISNUMBER(
Master_Mapping_Sheet!$E$2:$E$3143),
Master_Mapping_Sheet!$C$2:$C$3143=W$1)))"),0.0)</f>
        <v>0</v>
      </c>
      <c r="X8" s="34">
        <f>IFERROR(__xludf.DUMMYFUNCTION("IF(ISNA(sum(filter(
Master_Mapping_Sheet!$E$2:$E$3143, ISNUMBER(
Master_Mapping_Sheet!$E$2:$E$3143),
Master_Mapping_Sheet!$C$2:$C$3143=X$1,
Master_Mapping_Sheet!$M$2:$M$3143=VALUE(RIGHT($A8,1))))/sum(filter(
Master_Mapping_Sheet!$E$2:$E$3143, ISNUMBER(
Ma"&amp;"ster_Mapping_Sheet!$E$2:$E$3143),
Master_Mapping_Sheet!$C$2:$C$3143=X$1))), 0, sum(filter(
Master_Mapping_Sheet!$E$2:$E$3143, ISNUMBER(
Master_Mapping_Sheet!$E$2:$E$3143),
Master_Mapping_Sheet!$C$2:$C$3143=X$1,
Master_Mapping_Sheet!$M$2:$M$3143=VALUE(RIGH"&amp;"T($A8,1))))/sum(filter(
Master_Mapping_Sheet!$E$2:$E$3143, ISNUMBER(
Master_Mapping_Sheet!$E$2:$E$3143),
Master_Mapping_Sheet!$C$2:$C$3143=X$1)))"),0.014112415727756806)</f>
        <v>0.01411241573</v>
      </c>
      <c r="Y8" s="34">
        <f>IFERROR(__xludf.DUMMYFUNCTION("IF(ISNA(sum(filter(
Master_Mapping_Sheet!$E$2:$E$3143, ISNUMBER(
Master_Mapping_Sheet!$E$2:$E$3143),
Master_Mapping_Sheet!$C$2:$C$3143=Y$1,
Master_Mapping_Sheet!$M$2:$M$3143=VALUE(RIGHT($A8,1))))/sum(filter(
Master_Mapping_Sheet!$E$2:$E$3143, ISNUMBER(
Ma"&amp;"ster_Mapping_Sheet!$E$2:$E$3143),
Master_Mapping_Sheet!$C$2:$C$3143=Y$1))), 0, sum(filter(
Master_Mapping_Sheet!$E$2:$E$3143, ISNUMBER(
Master_Mapping_Sheet!$E$2:$E$3143),
Master_Mapping_Sheet!$C$2:$C$3143=Y$1,
Master_Mapping_Sheet!$M$2:$M$3143=VALUE(RIGH"&amp;"T($A8,1))))/sum(filter(
Master_Mapping_Sheet!$E$2:$E$3143, ISNUMBER(
Master_Mapping_Sheet!$E$2:$E$3143),
Master_Mapping_Sheet!$C$2:$C$3143=Y$1)))"),0.14969200484845105)</f>
        <v>0.1496920048</v>
      </c>
      <c r="Z8" s="34">
        <f>IFERROR(__xludf.DUMMYFUNCTION("IF(ISNA(sum(filter(
Master_Mapping_Sheet!$E$2:$E$3143, ISNUMBER(
Master_Mapping_Sheet!$E$2:$E$3143),
Master_Mapping_Sheet!$C$2:$C$3143=Z$1,
Master_Mapping_Sheet!$M$2:$M$3143=VALUE(RIGHT($A8,1))))/sum(filter(
Master_Mapping_Sheet!$E$2:$E$3143, ISNUMBER(
Ma"&amp;"ster_Mapping_Sheet!$E$2:$E$3143),
Master_Mapping_Sheet!$C$2:$C$3143=Z$1))), 0, sum(filter(
Master_Mapping_Sheet!$E$2:$E$3143, ISNUMBER(
Master_Mapping_Sheet!$E$2:$E$3143),
Master_Mapping_Sheet!$C$2:$C$3143=Z$1,
Master_Mapping_Sheet!$M$2:$M$3143=VALUE(RIGH"&amp;"T($A8,1))))/sum(filter(
Master_Mapping_Sheet!$E$2:$E$3143, ISNUMBER(
Master_Mapping_Sheet!$E$2:$E$3143),
Master_Mapping_Sheet!$C$2:$C$3143=Z$1)))"),0.0)</f>
        <v>0</v>
      </c>
      <c r="AA8" s="34">
        <f>IFERROR(__xludf.DUMMYFUNCTION("IF(ISNA(sum(filter(
Master_Mapping_Sheet!$E$2:$E$3143, ISNUMBER(
Master_Mapping_Sheet!$E$2:$E$3143),
Master_Mapping_Sheet!$C$2:$C$3143=AA$1,
Master_Mapping_Sheet!$M$2:$M$3143=VALUE(RIGHT($A8,1))))/sum(filter(
Master_Mapping_Sheet!$E$2:$E$3143, ISNUMBER(
M"&amp;"aster_Mapping_Sheet!$E$2:$E$3143),
Master_Mapping_Sheet!$C$2:$C$3143=AA$1))), 0, sum(filter(
Master_Mapping_Sheet!$E$2:$E$3143, ISNUMBER(
Master_Mapping_Sheet!$E$2:$E$3143),
Master_Mapping_Sheet!$C$2:$C$3143=AA$1,
Master_Mapping_Sheet!$M$2:$M$3143=VALUE(R"&amp;"IGHT($A8,1))))/sum(filter(
Master_Mapping_Sheet!$E$2:$E$3143, ISNUMBER(
Master_Mapping_Sheet!$E$2:$E$3143),
Master_Mapping_Sheet!$C$2:$C$3143=AA$1)))"),0.0)</f>
        <v>0</v>
      </c>
      <c r="AB8" s="34">
        <f>IFERROR(__xludf.DUMMYFUNCTION("IF(ISNA(sum(filter(
Master_Mapping_Sheet!$E$2:$E$3143, ISNUMBER(
Master_Mapping_Sheet!$E$2:$E$3143),
Master_Mapping_Sheet!$C$2:$C$3143=AB$1,
Master_Mapping_Sheet!$M$2:$M$3143=VALUE(RIGHT($A8,1))))/sum(filter(
Master_Mapping_Sheet!$E$2:$E$3143, ISNUMBER(
M"&amp;"aster_Mapping_Sheet!$E$2:$E$3143),
Master_Mapping_Sheet!$C$2:$C$3143=AB$1))), 0, sum(filter(
Master_Mapping_Sheet!$E$2:$E$3143, ISNUMBER(
Master_Mapping_Sheet!$E$2:$E$3143),
Master_Mapping_Sheet!$C$2:$C$3143=AB$1,
Master_Mapping_Sheet!$M$2:$M$3143=VALUE(R"&amp;"IGHT($A8,1))))/sum(filter(
Master_Mapping_Sheet!$E$2:$E$3143, ISNUMBER(
Master_Mapping_Sheet!$E$2:$E$3143),
Master_Mapping_Sheet!$C$2:$C$3143=AB$1)))"),0.0)</f>
        <v>0</v>
      </c>
      <c r="AC8" s="34">
        <f>IFERROR(__xludf.DUMMYFUNCTION("IF(ISNA(sum(filter(
Master_Mapping_Sheet!$E$2:$E$3143, ISNUMBER(
Master_Mapping_Sheet!$E$2:$E$3143),
Master_Mapping_Sheet!$C$2:$C$3143=AC$1,
Master_Mapping_Sheet!$M$2:$M$3143=VALUE(RIGHT($A8,1))))/sum(filter(
Master_Mapping_Sheet!$E$2:$E$3143, ISNUMBER(
M"&amp;"aster_Mapping_Sheet!$E$2:$E$3143),
Master_Mapping_Sheet!$C$2:$C$3143=AC$1))), 0, sum(filter(
Master_Mapping_Sheet!$E$2:$E$3143, ISNUMBER(
Master_Mapping_Sheet!$E$2:$E$3143),
Master_Mapping_Sheet!$C$2:$C$3143=AC$1,
Master_Mapping_Sheet!$M$2:$M$3143=VALUE(R"&amp;"IGHT($A8,1))))/sum(filter(
Master_Mapping_Sheet!$E$2:$E$3143, ISNUMBER(
Master_Mapping_Sheet!$E$2:$E$3143),
Master_Mapping_Sheet!$C$2:$C$3143=AC$1)))"),0.0)</f>
        <v>0</v>
      </c>
      <c r="AD8" s="34">
        <f>IFERROR(__xludf.DUMMYFUNCTION("IF(ISNA(sum(filter(
Master_Mapping_Sheet!$E$2:$E$3143, ISNUMBER(
Master_Mapping_Sheet!$E$2:$E$3143),
Master_Mapping_Sheet!$C$2:$C$3143=AD$1,
Master_Mapping_Sheet!$M$2:$M$3143=VALUE(RIGHT($A8,1))))/sum(filter(
Master_Mapping_Sheet!$E$2:$E$3143, ISNUMBER(
M"&amp;"aster_Mapping_Sheet!$E$2:$E$3143),
Master_Mapping_Sheet!$C$2:$C$3143=AD$1))), 0, sum(filter(
Master_Mapping_Sheet!$E$2:$E$3143, ISNUMBER(
Master_Mapping_Sheet!$E$2:$E$3143),
Master_Mapping_Sheet!$C$2:$C$3143=AD$1,
Master_Mapping_Sheet!$M$2:$M$3143=VALUE(R"&amp;"IGHT($A8,1))))/sum(filter(
Master_Mapping_Sheet!$E$2:$E$3143, ISNUMBER(
Master_Mapping_Sheet!$E$2:$E$3143),
Master_Mapping_Sheet!$C$2:$C$3143=AD$1)))"),0.0)</f>
        <v>0</v>
      </c>
      <c r="AE8" s="34">
        <f>IFERROR(__xludf.DUMMYFUNCTION("IF(ISNA(sum(filter(
Master_Mapping_Sheet!$E$2:$E$3143, ISNUMBER(
Master_Mapping_Sheet!$E$2:$E$3143),
Master_Mapping_Sheet!$C$2:$C$3143=AE$1,
Master_Mapping_Sheet!$M$2:$M$3143=VALUE(RIGHT($A8,1))))/sum(filter(
Master_Mapping_Sheet!$E$2:$E$3143, ISNUMBER(
M"&amp;"aster_Mapping_Sheet!$E$2:$E$3143),
Master_Mapping_Sheet!$C$2:$C$3143=AE$1))), 0, sum(filter(
Master_Mapping_Sheet!$E$2:$E$3143, ISNUMBER(
Master_Mapping_Sheet!$E$2:$E$3143),
Master_Mapping_Sheet!$C$2:$C$3143=AE$1,
Master_Mapping_Sheet!$M$2:$M$3143=VALUE(R"&amp;"IGHT($A8,1))))/sum(filter(
Master_Mapping_Sheet!$E$2:$E$3143, ISNUMBER(
Master_Mapping_Sheet!$E$2:$E$3143),
Master_Mapping_Sheet!$C$2:$C$3143=AE$1)))"),0.0)</f>
        <v>0</v>
      </c>
      <c r="AF8" s="34">
        <f>IFERROR(__xludf.DUMMYFUNCTION("IF(ISNA(sum(filter(
Master_Mapping_Sheet!$E$2:$E$3143, ISNUMBER(
Master_Mapping_Sheet!$E$2:$E$3143),
Master_Mapping_Sheet!$C$2:$C$3143=AF$1,
Master_Mapping_Sheet!$M$2:$M$3143=VALUE(RIGHT($A8,1))))/sum(filter(
Master_Mapping_Sheet!$E$2:$E$3143, ISNUMBER(
M"&amp;"aster_Mapping_Sheet!$E$2:$E$3143),
Master_Mapping_Sheet!$C$2:$C$3143=AF$1))), 0, sum(filter(
Master_Mapping_Sheet!$E$2:$E$3143, ISNUMBER(
Master_Mapping_Sheet!$E$2:$E$3143),
Master_Mapping_Sheet!$C$2:$C$3143=AF$1,
Master_Mapping_Sheet!$M$2:$M$3143=VALUE(R"&amp;"IGHT($A8,1))))/sum(filter(
Master_Mapping_Sheet!$E$2:$E$3143, ISNUMBER(
Master_Mapping_Sheet!$E$2:$E$3143),
Master_Mapping_Sheet!$C$2:$C$3143=AF$1)))"),0.0)</f>
        <v>0</v>
      </c>
      <c r="AG8" s="34">
        <f>IFERROR(__xludf.DUMMYFUNCTION("IF(ISNA(sum(filter(
Master_Mapping_Sheet!$E$2:$E$3143, ISNUMBER(
Master_Mapping_Sheet!$E$2:$E$3143),
Master_Mapping_Sheet!$C$2:$C$3143=AG$1,
Master_Mapping_Sheet!$M$2:$M$3143=VALUE(RIGHT($A8,1))))/sum(filter(
Master_Mapping_Sheet!$E$2:$E$3143, ISNUMBER(
M"&amp;"aster_Mapping_Sheet!$E$2:$E$3143),
Master_Mapping_Sheet!$C$2:$C$3143=AG$1))), 0, sum(filter(
Master_Mapping_Sheet!$E$2:$E$3143, ISNUMBER(
Master_Mapping_Sheet!$E$2:$E$3143),
Master_Mapping_Sheet!$C$2:$C$3143=AG$1,
Master_Mapping_Sheet!$M$2:$M$3143=VALUE(R"&amp;"IGHT($A8,1))))/sum(filter(
Master_Mapping_Sheet!$E$2:$E$3143, ISNUMBER(
Master_Mapping_Sheet!$E$2:$E$3143),
Master_Mapping_Sheet!$C$2:$C$3143=AG$1)))"),0.0)</f>
        <v>0</v>
      </c>
      <c r="AH8" s="34">
        <f>IFERROR(__xludf.DUMMYFUNCTION("IF(ISNA(sum(filter(
Master_Mapping_Sheet!$E$2:$E$3143, ISNUMBER(
Master_Mapping_Sheet!$E$2:$E$3143),
Master_Mapping_Sheet!$C$2:$C$3143=AH$1,
Master_Mapping_Sheet!$M$2:$M$3143=VALUE(RIGHT($A8,1))))/sum(filter(
Master_Mapping_Sheet!$E$2:$E$3143, ISNUMBER(
M"&amp;"aster_Mapping_Sheet!$E$2:$E$3143),
Master_Mapping_Sheet!$C$2:$C$3143=AH$1))), 0, sum(filter(
Master_Mapping_Sheet!$E$2:$E$3143, ISNUMBER(
Master_Mapping_Sheet!$E$2:$E$3143),
Master_Mapping_Sheet!$C$2:$C$3143=AH$1,
Master_Mapping_Sheet!$M$2:$M$3143=VALUE(R"&amp;"IGHT($A8,1))))/sum(filter(
Master_Mapping_Sheet!$E$2:$E$3143, ISNUMBER(
Master_Mapping_Sheet!$E$2:$E$3143),
Master_Mapping_Sheet!$C$2:$C$3143=AH$1)))"),0.0)</f>
        <v>0</v>
      </c>
      <c r="AI8" s="34">
        <f>IFERROR(__xludf.DUMMYFUNCTION("IF(ISNA(sum(filter(
Master_Mapping_Sheet!$E$2:$E$3143, ISNUMBER(
Master_Mapping_Sheet!$E$2:$E$3143),
Master_Mapping_Sheet!$C$2:$C$3143=AI$1,
Master_Mapping_Sheet!$M$2:$M$3143=VALUE(RIGHT($A8,1))))/sum(filter(
Master_Mapping_Sheet!$E$2:$E$3143, ISNUMBER(
M"&amp;"aster_Mapping_Sheet!$E$2:$E$3143),
Master_Mapping_Sheet!$C$2:$C$3143=AI$1))), 0, sum(filter(
Master_Mapping_Sheet!$E$2:$E$3143, ISNUMBER(
Master_Mapping_Sheet!$E$2:$E$3143),
Master_Mapping_Sheet!$C$2:$C$3143=AI$1,
Master_Mapping_Sheet!$M$2:$M$3143=VALUE(R"&amp;"IGHT($A8,1))))/sum(filter(
Master_Mapping_Sheet!$E$2:$E$3143, ISNUMBER(
Master_Mapping_Sheet!$E$2:$E$3143),
Master_Mapping_Sheet!$C$2:$C$3143=AI$1)))"),0.0)</f>
        <v>0</v>
      </c>
      <c r="AJ8" s="34">
        <f>IFERROR(__xludf.DUMMYFUNCTION("IF(ISNA(sum(filter(
Master_Mapping_Sheet!$E$2:$E$3143, ISNUMBER(
Master_Mapping_Sheet!$E$2:$E$3143),
Master_Mapping_Sheet!$C$2:$C$3143=AJ$1,
Master_Mapping_Sheet!$M$2:$M$3143=VALUE(RIGHT($A8,1))))/sum(filter(
Master_Mapping_Sheet!$E$2:$E$3143, ISNUMBER(
M"&amp;"aster_Mapping_Sheet!$E$2:$E$3143),
Master_Mapping_Sheet!$C$2:$C$3143=AJ$1))), 0, sum(filter(
Master_Mapping_Sheet!$E$2:$E$3143, ISNUMBER(
Master_Mapping_Sheet!$E$2:$E$3143),
Master_Mapping_Sheet!$C$2:$C$3143=AJ$1,
Master_Mapping_Sheet!$M$2:$M$3143=VALUE(R"&amp;"IGHT($A8,1))))/sum(filter(
Master_Mapping_Sheet!$E$2:$E$3143, ISNUMBER(
Master_Mapping_Sheet!$E$2:$E$3143),
Master_Mapping_Sheet!$C$2:$C$3143=AJ$1)))"),0.6751798001341963)</f>
        <v>0.6751798001</v>
      </c>
      <c r="AK8" s="34">
        <f>IFERROR(__xludf.DUMMYFUNCTION("IF(ISNA(sum(filter(
Master_Mapping_Sheet!$E$2:$E$3143, ISNUMBER(
Master_Mapping_Sheet!$E$2:$E$3143),
Master_Mapping_Sheet!$C$2:$C$3143=AK$1,
Master_Mapping_Sheet!$M$2:$M$3143=VALUE(RIGHT($A8,1))))/sum(filter(
Master_Mapping_Sheet!$E$2:$E$3143, ISNUMBER(
M"&amp;"aster_Mapping_Sheet!$E$2:$E$3143),
Master_Mapping_Sheet!$C$2:$C$3143=AK$1))), 0, sum(filter(
Master_Mapping_Sheet!$E$2:$E$3143, ISNUMBER(
Master_Mapping_Sheet!$E$2:$E$3143),
Master_Mapping_Sheet!$C$2:$C$3143=AK$1,
Master_Mapping_Sheet!$M$2:$M$3143=VALUE(R"&amp;"IGHT($A8,1))))/sum(filter(
Master_Mapping_Sheet!$E$2:$E$3143, ISNUMBER(
Master_Mapping_Sheet!$E$2:$E$3143),
Master_Mapping_Sheet!$C$2:$C$3143=AK$1)))"),0.0)</f>
        <v>0</v>
      </c>
      <c r="AL8" s="34">
        <f>IFERROR(__xludf.DUMMYFUNCTION("IF(ISNA(sum(filter(
Master_Mapping_Sheet!$E$2:$E$3143, ISNUMBER(
Master_Mapping_Sheet!$E$2:$E$3143),
Master_Mapping_Sheet!$C$2:$C$3143=AL$1,
Master_Mapping_Sheet!$M$2:$M$3143=VALUE(RIGHT($A8,1))))/sum(filter(
Master_Mapping_Sheet!$E$2:$E$3143, ISNUMBER(
M"&amp;"aster_Mapping_Sheet!$E$2:$E$3143),
Master_Mapping_Sheet!$C$2:$C$3143=AL$1))), 0, sum(filter(
Master_Mapping_Sheet!$E$2:$E$3143, ISNUMBER(
Master_Mapping_Sheet!$E$2:$E$3143),
Master_Mapping_Sheet!$C$2:$C$3143=AL$1,
Master_Mapping_Sheet!$M$2:$M$3143=VALUE(R"&amp;"IGHT($A8,1))))/sum(filter(
Master_Mapping_Sheet!$E$2:$E$3143, ISNUMBER(
Master_Mapping_Sheet!$E$2:$E$3143),
Master_Mapping_Sheet!$C$2:$C$3143=AL$1)))"),0.0)</f>
        <v>0</v>
      </c>
      <c r="AM8" s="34">
        <f>IFERROR(__xludf.DUMMYFUNCTION("IF(ISNA(sum(filter(
Master_Mapping_Sheet!$E$2:$E$3143, ISNUMBER(
Master_Mapping_Sheet!$E$2:$E$3143),
Master_Mapping_Sheet!$C$2:$C$3143=AM$1,
Master_Mapping_Sheet!$M$2:$M$3143=VALUE(RIGHT($A8,1))))/sum(filter(
Master_Mapping_Sheet!$E$2:$E$3143, ISNUMBER(
M"&amp;"aster_Mapping_Sheet!$E$2:$E$3143),
Master_Mapping_Sheet!$C$2:$C$3143=AM$1))), 0, sum(filter(
Master_Mapping_Sheet!$E$2:$E$3143, ISNUMBER(
Master_Mapping_Sheet!$E$2:$E$3143),
Master_Mapping_Sheet!$C$2:$C$3143=AM$1,
Master_Mapping_Sheet!$M$2:$M$3143=VALUE(R"&amp;"IGHT($A8,1))))/sum(filter(
Master_Mapping_Sheet!$E$2:$E$3143, ISNUMBER(
Master_Mapping_Sheet!$E$2:$E$3143),
Master_Mapping_Sheet!$C$2:$C$3143=AM$1)))"),0.0)</f>
        <v>0</v>
      </c>
      <c r="AN8" s="34">
        <f>IFERROR(__xludf.DUMMYFUNCTION("IF(ISNA(sum(filter(
Master_Mapping_Sheet!$E$2:$E$3143, ISNUMBER(
Master_Mapping_Sheet!$E$2:$E$3143),
Master_Mapping_Sheet!$C$2:$C$3143=AN$1,
Master_Mapping_Sheet!$M$2:$M$3143=VALUE(RIGHT($A8,1))))/sum(filter(
Master_Mapping_Sheet!$E$2:$E$3143, ISNUMBER(
M"&amp;"aster_Mapping_Sheet!$E$2:$E$3143),
Master_Mapping_Sheet!$C$2:$C$3143=AN$1))), 0, sum(filter(
Master_Mapping_Sheet!$E$2:$E$3143, ISNUMBER(
Master_Mapping_Sheet!$E$2:$E$3143),
Master_Mapping_Sheet!$C$2:$C$3143=AN$1,
Master_Mapping_Sheet!$M$2:$M$3143=VALUE(R"&amp;"IGHT($A8,1))))/sum(filter(
Master_Mapping_Sheet!$E$2:$E$3143, ISNUMBER(
Master_Mapping_Sheet!$E$2:$E$3143),
Master_Mapping_Sheet!$C$2:$C$3143=AN$1)))"),0.0)</f>
        <v>0</v>
      </c>
      <c r="AO8" s="34">
        <f>IFERROR(__xludf.DUMMYFUNCTION("IF(ISNA(sum(filter(
Master_Mapping_Sheet!$E$2:$E$3143, ISNUMBER(
Master_Mapping_Sheet!$E$2:$E$3143),
Master_Mapping_Sheet!$C$2:$C$3143=AO$1,
Master_Mapping_Sheet!$M$2:$M$3143=VALUE(RIGHT($A8,1))))/sum(filter(
Master_Mapping_Sheet!$E$2:$E$3143, ISNUMBER(
M"&amp;"aster_Mapping_Sheet!$E$2:$E$3143),
Master_Mapping_Sheet!$C$2:$C$3143=AO$1))), 0, sum(filter(
Master_Mapping_Sheet!$E$2:$E$3143, ISNUMBER(
Master_Mapping_Sheet!$E$2:$E$3143),
Master_Mapping_Sheet!$C$2:$C$3143=AO$1,
Master_Mapping_Sheet!$M$2:$M$3143=VALUE(R"&amp;"IGHT($A8,1))))/sum(filter(
Master_Mapping_Sheet!$E$2:$E$3143, ISNUMBER(
Master_Mapping_Sheet!$E$2:$E$3143),
Master_Mapping_Sheet!$C$2:$C$3143=AO$1)))"),0.0)</f>
        <v>0</v>
      </c>
      <c r="AP8" s="34">
        <f>IFERROR(__xludf.DUMMYFUNCTION("IF(ISNA(sum(filter(
Master_Mapping_Sheet!$E$2:$E$3143, ISNUMBER(
Master_Mapping_Sheet!$E$2:$E$3143),
Master_Mapping_Sheet!$C$2:$C$3143=AP$1,
Master_Mapping_Sheet!$M$2:$M$3143=VALUE(RIGHT($A8,1))))/sum(filter(
Master_Mapping_Sheet!$E$2:$E$3143, ISNUMBER(
M"&amp;"aster_Mapping_Sheet!$E$2:$E$3143),
Master_Mapping_Sheet!$C$2:$C$3143=AP$1))), 0, sum(filter(
Master_Mapping_Sheet!$E$2:$E$3143, ISNUMBER(
Master_Mapping_Sheet!$E$2:$E$3143),
Master_Mapping_Sheet!$C$2:$C$3143=AP$1,
Master_Mapping_Sheet!$M$2:$M$3143=VALUE(R"&amp;"IGHT($A8,1))))/sum(filter(
Master_Mapping_Sheet!$E$2:$E$3143, ISNUMBER(
Master_Mapping_Sheet!$E$2:$E$3143),
Master_Mapping_Sheet!$C$2:$C$3143=AP$1)))"),0.0)</f>
        <v>0</v>
      </c>
      <c r="AQ8" s="34">
        <f>IFERROR(__xludf.DUMMYFUNCTION("IF(ISNA(sum(filter(
Master_Mapping_Sheet!$E$2:$E$3143, ISNUMBER(
Master_Mapping_Sheet!$E$2:$E$3143),
Master_Mapping_Sheet!$C$2:$C$3143=AQ$1,
Master_Mapping_Sheet!$M$2:$M$3143=VALUE(RIGHT($A8,1))))/sum(filter(
Master_Mapping_Sheet!$E$2:$E$3143, ISNUMBER(
M"&amp;"aster_Mapping_Sheet!$E$2:$E$3143),
Master_Mapping_Sheet!$C$2:$C$3143=AQ$1))), 0, sum(filter(
Master_Mapping_Sheet!$E$2:$E$3143, ISNUMBER(
Master_Mapping_Sheet!$E$2:$E$3143),
Master_Mapping_Sheet!$C$2:$C$3143=AQ$1,
Master_Mapping_Sheet!$M$2:$M$3143=VALUE(R"&amp;"IGHT($A8,1))))/sum(filter(
Master_Mapping_Sheet!$E$2:$E$3143, ISNUMBER(
Master_Mapping_Sheet!$E$2:$E$3143),
Master_Mapping_Sheet!$C$2:$C$3143=AQ$1)))"),0.0)</f>
        <v>0</v>
      </c>
      <c r="AR8" s="34">
        <f>IFERROR(__xludf.DUMMYFUNCTION("IF(ISNA(sum(filter(
Master_Mapping_Sheet!$E$2:$E$3143, ISNUMBER(
Master_Mapping_Sheet!$E$2:$E$3143),
Master_Mapping_Sheet!$C$2:$C$3143=AR$1,
Master_Mapping_Sheet!$M$2:$M$3143=VALUE(RIGHT($A8,1))))/sum(filter(
Master_Mapping_Sheet!$E$2:$E$3143, ISNUMBER(
M"&amp;"aster_Mapping_Sheet!$E$2:$E$3143),
Master_Mapping_Sheet!$C$2:$C$3143=AR$1))), 0, sum(filter(
Master_Mapping_Sheet!$E$2:$E$3143, ISNUMBER(
Master_Mapping_Sheet!$E$2:$E$3143),
Master_Mapping_Sheet!$C$2:$C$3143=AR$1,
Master_Mapping_Sheet!$M$2:$M$3143=VALUE(R"&amp;"IGHT($A8,1))))/sum(filter(
Master_Mapping_Sheet!$E$2:$E$3143, ISNUMBER(
Master_Mapping_Sheet!$E$2:$E$3143),
Master_Mapping_Sheet!$C$2:$C$3143=AR$1)))"),0.0)</f>
        <v>0</v>
      </c>
      <c r="AS8" s="34">
        <f>IFERROR(__xludf.DUMMYFUNCTION("IF(ISNA(sum(filter(
Master_Mapping_Sheet!$E$2:$E$3143, ISNUMBER(
Master_Mapping_Sheet!$E$2:$E$3143),
Master_Mapping_Sheet!$C$2:$C$3143=AS$1,
Master_Mapping_Sheet!$M$2:$M$3143=VALUE(RIGHT($A8,1))))/sum(filter(
Master_Mapping_Sheet!$E$2:$E$3143, ISNUMBER(
M"&amp;"aster_Mapping_Sheet!$E$2:$E$3143),
Master_Mapping_Sheet!$C$2:$C$3143=AS$1))), 0, sum(filter(
Master_Mapping_Sheet!$E$2:$E$3143, ISNUMBER(
Master_Mapping_Sheet!$E$2:$E$3143),
Master_Mapping_Sheet!$C$2:$C$3143=AS$1,
Master_Mapping_Sheet!$M$2:$M$3143=VALUE(R"&amp;"IGHT($A8,1))))/sum(filter(
Master_Mapping_Sheet!$E$2:$E$3143, ISNUMBER(
Master_Mapping_Sheet!$E$2:$E$3143),
Master_Mapping_Sheet!$C$2:$C$3143=AS$1)))"),0.0)</f>
        <v>0</v>
      </c>
      <c r="AT8" s="34">
        <f>IFERROR(__xludf.DUMMYFUNCTION("IF(ISNA(sum(filter(
Master_Mapping_Sheet!$E$2:$E$3143, ISNUMBER(
Master_Mapping_Sheet!$E$2:$E$3143),
Master_Mapping_Sheet!$C$2:$C$3143=AT$1,
Master_Mapping_Sheet!$M$2:$M$3143=VALUE(RIGHT($A8,1))))/sum(filter(
Master_Mapping_Sheet!$E$2:$E$3143, ISNUMBER(
M"&amp;"aster_Mapping_Sheet!$E$2:$E$3143),
Master_Mapping_Sheet!$C$2:$C$3143=AT$1))), 0, sum(filter(
Master_Mapping_Sheet!$E$2:$E$3143, ISNUMBER(
Master_Mapping_Sheet!$E$2:$E$3143),
Master_Mapping_Sheet!$C$2:$C$3143=AT$1,
Master_Mapping_Sheet!$M$2:$M$3143=VALUE(R"&amp;"IGHT($A8,1))))/sum(filter(
Master_Mapping_Sheet!$E$2:$E$3143, ISNUMBER(
Master_Mapping_Sheet!$E$2:$E$3143),
Master_Mapping_Sheet!$C$2:$C$3143=AT$1)))"),0.0)</f>
        <v>0</v>
      </c>
      <c r="AU8" s="34">
        <f>IFERROR(__xludf.DUMMYFUNCTION("IF(ISNA(sum(filter(
Master_Mapping_Sheet!$E$2:$E$3143, ISNUMBER(
Master_Mapping_Sheet!$E$2:$E$3143),
Master_Mapping_Sheet!$C$2:$C$3143=AU$1,
Master_Mapping_Sheet!$M$2:$M$3143=VALUE(RIGHT($A8,1))))/sum(filter(
Master_Mapping_Sheet!$E$2:$E$3143, ISNUMBER(
M"&amp;"aster_Mapping_Sheet!$E$2:$E$3143),
Master_Mapping_Sheet!$C$2:$C$3143=AU$1))), 0, sum(filter(
Master_Mapping_Sheet!$E$2:$E$3143, ISNUMBER(
Master_Mapping_Sheet!$E$2:$E$3143),
Master_Mapping_Sheet!$C$2:$C$3143=AU$1,
Master_Mapping_Sheet!$M$2:$M$3143=VALUE(R"&amp;"IGHT($A8,1))))/sum(filter(
Master_Mapping_Sheet!$E$2:$E$3143, ISNUMBER(
Master_Mapping_Sheet!$E$2:$E$3143),
Master_Mapping_Sheet!$C$2:$C$3143=AU$1)))"),0.0)</f>
        <v>0</v>
      </c>
      <c r="AV8" s="34">
        <f>IFERROR(__xludf.DUMMYFUNCTION("IF(ISNA(sum(filter(
Master_Mapping_Sheet!$E$2:$E$3143, ISNUMBER(
Master_Mapping_Sheet!$E$2:$E$3143),
Master_Mapping_Sheet!$C$2:$C$3143=AV$1,
Master_Mapping_Sheet!$M$2:$M$3143=VALUE(RIGHT($A8,1))))/sum(filter(
Master_Mapping_Sheet!$E$2:$E$3143, ISNUMBER(
M"&amp;"aster_Mapping_Sheet!$E$2:$E$3143),
Master_Mapping_Sheet!$C$2:$C$3143=AV$1))), 0, sum(filter(
Master_Mapping_Sheet!$E$2:$E$3143, ISNUMBER(
Master_Mapping_Sheet!$E$2:$E$3143),
Master_Mapping_Sheet!$C$2:$C$3143=AV$1,
Master_Mapping_Sheet!$M$2:$M$3143=VALUE(R"&amp;"IGHT($A8,1))))/sum(filter(
Master_Mapping_Sheet!$E$2:$E$3143, ISNUMBER(
Master_Mapping_Sheet!$E$2:$E$3143),
Master_Mapping_Sheet!$C$2:$C$3143=AV$1)))"),0.0)</f>
        <v>0</v>
      </c>
      <c r="AW8" s="34">
        <f>IFERROR(__xludf.DUMMYFUNCTION("IF(ISNA(sum(filter(
Master_Mapping_Sheet!$E$2:$E$3143, ISNUMBER(
Master_Mapping_Sheet!$E$2:$E$3143),
Master_Mapping_Sheet!$C$2:$C$3143=AW$1,
Master_Mapping_Sheet!$M$2:$M$3143=VALUE(RIGHT($A8,1))))/sum(filter(
Master_Mapping_Sheet!$E$2:$E$3143, ISNUMBER(
M"&amp;"aster_Mapping_Sheet!$E$2:$E$3143),
Master_Mapping_Sheet!$C$2:$C$3143=AW$1))), 0, sum(filter(
Master_Mapping_Sheet!$E$2:$E$3143, ISNUMBER(
Master_Mapping_Sheet!$E$2:$E$3143),
Master_Mapping_Sheet!$C$2:$C$3143=AW$1,
Master_Mapping_Sheet!$M$2:$M$3143=VALUE(R"&amp;"IGHT($A8,1))))/sum(filter(
Master_Mapping_Sheet!$E$2:$E$3143, ISNUMBER(
Master_Mapping_Sheet!$E$2:$E$3143),
Master_Mapping_Sheet!$C$2:$C$3143=AW$1)))"),0.0)</f>
        <v>0</v>
      </c>
      <c r="AX8" s="34">
        <f>IFERROR(__xludf.DUMMYFUNCTION("IF(ISNA(sum(filter(
Master_Mapping_Sheet!$E$2:$E$3143, ISNUMBER(
Master_Mapping_Sheet!$E$2:$E$3143),
Master_Mapping_Sheet!$C$2:$C$3143=AX$1,
Master_Mapping_Sheet!$M$2:$M$3143=VALUE(RIGHT($A8,1))))/sum(filter(
Master_Mapping_Sheet!$E$2:$E$3143, ISNUMBER(
M"&amp;"aster_Mapping_Sheet!$E$2:$E$3143),
Master_Mapping_Sheet!$C$2:$C$3143=AX$1))), 0, sum(filter(
Master_Mapping_Sheet!$E$2:$E$3143, ISNUMBER(
Master_Mapping_Sheet!$E$2:$E$3143),
Master_Mapping_Sheet!$C$2:$C$3143=AX$1,
Master_Mapping_Sheet!$M$2:$M$3143=VALUE(R"&amp;"IGHT($A8,1))))/sum(filter(
Master_Mapping_Sheet!$E$2:$E$3143, ISNUMBER(
Master_Mapping_Sheet!$E$2:$E$3143),
Master_Mapping_Sheet!$C$2:$C$3143=AX$1)))"),0.0)</f>
        <v>0</v>
      </c>
      <c r="AY8" s="34">
        <f>IFERROR(__xludf.DUMMYFUNCTION("IF(ISNA(sum(filter(
Master_Mapping_Sheet!$E$2:$E$3143, ISNUMBER(
Master_Mapping_Sheet!$E$2:$E$3143),
Master_Mapping_Sheet!$C$2:$C$3143=AY$1,
Master_Mapping_Sheet!$M$2:$M$3143=VALUE(RIGHT($A8,1))))/sum(filter(
Master_Mapping_Sheet!$E$2:$E$3143, ISNUMBER(
M"&amp;"aster_Mapping_Sheet!$E$2:$E$3143),
Master_Mapping_Sheet!$C$2:$C$3143=AY$1))), 0, sum(filter(
Master_Mapping_Sheet!$E$2:$E$3143, ISNUMBER(
Master_Mapping_Sheet!$E$2:$E$3143),
Master_Mapping_Sheet!$C$2:$C$3143=AY$1,
Master_Mapping_Sheet!$M$2:$M$3143=VALUE(R"&amp;"IGHT($A8,1))))/sum(filter(
Master_Mapping_Sheet!$E$2:$E$3143, ISNUMBER(
Master_Mapping_Sheet!$E$2:$E$3143),
Master_Mapping_Sheet!$C$2:$C$3143=AY$1)))"),0.04973832485613577)</f>
        <v>0.04973832486</v>
      </c>
      <c r="AZ8" s="34">
        <f>IFERROR(__xludf.DUMMYFUNCTION("IF(ISNA(sum(filter(
Master_Mapping_Sheet!$E$2:$E$3143, ISNUMBER(
Master_Mapping_Sheet!$E$2:$E$3143),
Master_Mapping_Sheet!$C$2:$C$3143=AZ$1,
Master_Mapping_Sheet!$M$2:$M$3143=VALUE(RIGHT($A8,1))))/sum(filter(
Master_Mapping_Sheet!$E$2:$E$3143, ISNUMBER(
M"&amp;"aster_Mapping_Sheet!$E$2:$E$3143),
Master_Mapping_Sheet!$C$2:$C$3143=AZ$1))), 0, sum(filter(
Master_Mapping_Sheet!$E$2:$E$3143, ISNUMBER(
Master_Mapping_Sheet!$E$2:$E$3143),
Master_Mapping_Sheet!$C$2:$C$3143=AZ$1,
Master_Mapping_Sheet!$M$2:$M$3143=VALUE(R"&amp;"IGHT($A8,1))))/sum(filter(
Master_Mapping_Sheet!$E$2:$E$3143, ISNUMBER(
Master_Mapping_Sheet!$E$2:$E$3143),
Master_Mapping_Sheet!$C$2:$C$3143=AZ$1)))"),0.0908832528331995)</f>
        <v>0.09088325283</v>
      </c>
    </row>
    <row r="9" ht="15.75" customHeight="1">
      <c r="A9" s="45" t="s">
        <v>4258</v>
      </c>
      <c r="B9" s="34">
        <f>IFERROR(__xludf.DUMMYFUNCTION("IF(ISNA(sum(filter(
Master_Mapping_Sheet!$E$2:$E$3143, ISNUMBER(
Master_Mapping_Sheet!$E$2:$E$3143),
Master_Mapping_Sheet!$C$2:$C$3143=B$1,
Master_Mapping_Sheet!$M$2:$M$3143=VALUE(RIGHT($A9,1))))/sum(filter(
Master_Mapping_Sheet!$E$2:$E$3143, ISNUMBER(
Ma"&amp;"ster_Mapping_Sheet!$E$2:$E$3143),
Master_Mapping_Sheet!$C$2:$C$3143=B$1))), 0, sum(filter(
Master_Mapping_Sheet!$E$2:$E$3143, ISNUMBER(
Master_Mapping_Sheet!$E$2:$E$3143),
Master_Mapping_Sheet!$C$2:$C$3143=B$1,
Master_Mapping_Sheet!$M$2:$M$3143=VALUE(RIGH"&amp;"T($A9,1))))/sum(filter(
Master_Mapping_Sheet!$E$2:$E$3143, ISNUMBER(
Master_Mapping_Sheet!$E$2:$E$3143),
Master_Mapping_Sheet!$C$2:$C$3143=B$1)))"),0.0)</f>
        <v>0</v>
      </c>
      <c r="C9" s="34">
        <f>IFERROR(__xludf.DUMMYFUNCTION("IF(ISNA(sum(filter(
Master_Mapping_Sheet!$E$2:$E$3143, ISNUMBER(
Master_Mapping_Sheet!$E$2:$E$3143),
Master_Mapping_Sheet!$C$2:$C$3143=C$1,
Master_Mapping_Sheet!$M$2:$M$3143=VALUE(RIGHT($A9,1))))/sum(filter(
Master_Mapping_Sheet!$E$2:$E$3143, ISNUMBER(
Ma"&amp;"ster_Mapping_Sheet!$E$2:$E$3143),
Master_Mapping_Sheet!$C$2:$C$3143=C$1))), 0, sum(filter(
Master_Mapping_Sheet!$E$2:$E$3143, ISNUMBER(
Master_Mapping_Sheet!$E$2:$E$3143),
Master_Mapping_Sheet!$C$2:$C$3143=C$1,
Master_Mapping_Sheet!$M$2:$M$3143=VALUE(RIGH"&amp;"T($A9,1))))/sum(filter(
Master_Mapping_Sheet!$E$2:$E$3143, ISNUMBER(
Master_Mapping_Sheet!$E$2:$E$3143),
Master_Mapping_Sheet!$C$2:$C$3143=C$1)))"),0.22587684900397592)</f>
        <v>0.225876849</v>
      </c>
      <c r="D9" s="34">
        <f>IFERROR(__xludf.DUMMYFUNCTION("IF(ISNA(sum(filter(
Master_Mapping_Sheet!$E$2:$E$3143, ISNUMBER(
Master_Mapping_Sheet!$E$2:$E$3143),
Master_Mapping_Sheet!$C$2:$C$3143=D$1,
Master_Mapping_Sheet!$M$2:$M$3143=VALUE(RIGHT($A9,1))))/sum(filter(
Master_Mapping_Sheet!$E$2:$E$3143, ISNUMBER(
Ma"&amp;"ster_Mapping_Sheet!$E$2:$E$3143),
Master_Mapping_Sheet!$C$2:$C$3143=D$1))), 0, sum(filter(
Master_Mapping_Sheet!$E$2:$E$3143, ISNUMBER(
Master_Mapping_Sheet!$E$2:$E$3143),
Master_Mapping_Sheet!$C$2:$C$3143=D$1,
Master_Mapping_Sheet!$M$2:$M$3143=VALUE(RIGH"&amp;"T($A9,1))))/sum(filter(
Master_Mapping_Sheet!$E$2:$E$3143, ISNUMBER(
Master_Mapping_Sheet!$E$2:$E$3143),
Master_Mapping_Sheet!$C$2:$C$3143=D$1)))"),0.0)</f>
        <v>0</v>
      </c>
      <c r="E9" s="34">
        <f>IFERROR(__xludf.DUMMYFUNCTION("IF(ISNA(sum(filter(
Master_Mapping_Sheet!$E$2:$E$3143, ISNUMBER(
Master_Mapping_Sheet!$E$2:$E$3143),
Master_Mapping_Sheet!$C$2:$C$3143=E$1,
Master_Mapping_Sheet!$M$2:$M$3143=VALUE(RIGHT($A9,1))))/sum(filter(
Master_Mapping_Sheet!$E$2:$E$3143, ISNUMBER(
Ma"&amp;"ster_Mapping_Sheet!$E$2:$E$3143),
Master_Mapping_Sheet!$C$2:$C$3143=E$1))), 0, sum(filter(
Master_Mapping_Sheet!$E$2:$E$3143, ISNUMBER(
Master_Mapping_Sheet!$E$2:$E$3143),
Master_Mapping_Sheet!$C$2:$C$3143=E$1,
Master_Mapping_Sheet!$M$2:$M$3143=VALUE(RIGH"&amp;"T($A9,1))))/sum(filter(
Master_Mapping_Sheet!$E$2:$E$3143, ISNUMBER(
Master_Mapping_Sheet!$E$2:$E$3143),
Master_Mapping_Sheet!$C$2:$C$3143=E$1)))"),0.0)</f>
        <v>0</v>
      </c>
      <c r="F9" s="34">
        <f>IFERROR(__xludf.DUMMYFUNCTION("IF(ISNA(sum(filter(
Master_Mapping_Sheet!$E$2:$E$3143, ISNUMBER(
Master_Mapping_Sheet!$E$2:$E$3143),
Master_Mapping_Sheet!$C$2:$C$3143=F$1,
Master_Mapping_Sheet!$M$2:$M$3143=VALUE(RIGHT($A9,1))))/sum(filter(
Master_Mapping_Sheet!$E$2:$E$3143, ISNUMBER(
Ma"&amp;"ster_Mapping_Sheet!$E$2:$E$3143),
Master_Mapping_Sheet!$C$2:$C$3143=F$1))), 0, sum(filter(
Master_Mapping_Sheet!$E$2:$E$3143, ISNUMBER(
Master_Mapping_Sheet!$E$2:$E$3143),
Master_Mapping_Sheet!$C$2:$C$3143=F$1,
Master_Mapping_Sheet!$M$2:$M$3143=VALUE(RIGH"&amp;"T($A9,1))))/sum(filter(
Master_Mapping_Sheet!$E$2:$E$3143, ISNUMBER(
Master_Mapping_Sheet!$E$2:$E$3143),
Master_Mapping_Sheet!$C$2:$C$3143=F$1)))"),0.0)</f>
        <v>0</v>
      </c>
      <c r="G9" s="34">
        <f>IFERROR(__xludf.DUMMYFUNCTION("IF(ISNA(sum(filter(
Master_Mapping_Sheet!$E$2:$E$3143, ISNUMBER(
Master_Mapping_Sheet!$E$2:$E$3143),
Master_Mapping_Sheet!$C$2:$C$3143=G$1,
Master_Mapping_Sheet!$M$2:$M$3143=VALUE(RIGHT($A9,1))))/sum(filter(
Master_Mapping_Sheet!$E$2:$E$3143, ISNUMBER(
Ma"&amp;"ster_Mapping_Sheet!$E$2:$E$3143),
Master_Mapping_Sheet!$C$2:$C$3143=G$1))), 0, sum(filter(
Master_Mapping_Sheet!$E$2:$E$3143, ISNUMBER(
Master_Mapping_Sheet!$E$2:$E$3143),
Master_Mapping_Sheet!$C$2:$C$3143=G$1,
Master_Mapping_Sheet!$M$2:$M$3143=VALUE(RIGH"&amp;"T($A9,1))))/sum(filter(
Master_Mapping_Sheet!$E$2:$E$3143, ISNUMBER(
Master_Mapping_Sheet!$E$2:$E$3143),
Master_Mapping_Sheet!$C$2:$C$3143=G$1)))"),0.0)</f>
        <v>0</v>
      </c>
      <c r="H9" s="34">
        <f>IFERROR(__xludf.DUMMYFUNCTION("IF(ISNA(sum(filter(
Master_Mapping_Sheet!$E$2:$E$3143, ISNUMBER(
Master_Mapping_Sheet!$E$2:$E$3143),
Master_Mapping_Sheet!$C$2:$C$3143=H$1,
Master_Mapping_Sheet!$M$2:$M$3143=VALUE(RIGHT($A9,1))))/sum(filter(
Master_Mapping_Sheet!$E$2:$E$3143, ISNUMBER(
Ma"&amp;"ster_Mapping_Sheet!$E$2:$E$3143),
Master_Mapping_Sheet!$C$2:$C$3143=H$1))), 0, sum(filter(
Master_Mapping_Sheet!$E$2:$E$3143, ISNUMBER(
Master_Mapping_Sheet!$E$2:$E$3143),
Master_Mapping_Sheet!$C$2:$C$3143=H$1,
Master_Mapping_Sheet!$M$2:$M$3143=VALUE(RIGH"&amp;"T($A9,1))))/sum(filter(
Master_Mapping_Sheet!$E$2:$E$3143, ISNUMBER(
Master_Mapping_Sheet!$E$2:$E$3143),
Master_Mapping_Sheet!$C$2:$C$3143=H$1)))"),0.0)</f>
        <v>0</v>
      </c>
      <c r="I9" s="34">
        <f>IFERROR(__xludf.DUMMYFUNCTION("IF(ISNA(sum(filter(
Master_Mapping_Sheet!$E$2:$E$3143, ISNUMBER(
Master_Mapping_Sheet!$E$2:$E$3143),
Master_Mapping_Sheet!$C$2:$C$3143=I$1,
Master_Mapping_Sheet!$M$2:$M$3143=VALUE(RIGHT($A9,1))))/sum(filter(
Master_Mapping_Sheet!$E$2:$E$3143, ISNUMBER(
Ma"&amp;"ster_Mapping_Sheet!$E$2:$E$3143),
Master_Mapping_Sheet!$C$2:$C$3143=I$1))), 0, sum(filter(
Master_Mapping_Sheet!$E$2:$E$3143, ISNUMBER(
Master_Mapping_Sheet!$E$2:$E$3143),
Master_Mapping_Sheet!$C$2:$C$3143=I$1,
Master_Mapping_Sheet!$M$2:$M$3143=VALUE(RIGH"&amp;"T($A9,1))))/sum(filter(
Master_Mapping_Sheet!$E$2:$E$3143, ISNUMBER(
Master_Mapping_Sheet!$E$2:$E$3143),
Master_Mapping_Sheet!$C$2:$C$3143=I$1)))"),0.0)</f>
        <v>0</v>
      </c>
      <c r="J9" s="34">
        <f>IFERROR(__xludf.DUMMYFUNCTION("IF(ISNA(sum(filter(
Master_Mapping_Sheet!$E$2:$E$3143, ISNUMBER(
Master_Mapping_Sheet!$E$2:$E$3143),
Master_Mapping_Sheet!$C$2:$C$3143=J$1,
Master_Mapping_Sheet!$M$2:$M$3143=VALUE(RIGHT($A9,1))))/sum(filter(
Master_Mapping_Sheet!$E$2:$E$3143, ISNUMBER(
Ma"&amp;"ster_Mapping_Sheet!$E$2:$E$3143),
Master_Mapping_Sheet!$C$2:$C$3143=J$1))), 0, sum(filter(
Master_Mapping_Sheet!$E$2:$E$3143, ISNUMBER(
Master_Mapping_Sheet!$E$2:$E$3143),
Master_Mapping_Sheet!$C$2:$C$3143=J$1,
Master_Mapping_Sheet!$M$2:$M$3143=VALUE(RIGH"&amp;"T($A9,1))))/sum(filter(
Master_Mapping_Sheet!$E$2:$E$3143, ISNUMBER(
Master_Mapping_Sheet!$E$2:$E$3143),
Master_Mapping_Sheet!$C$2:$C$3143=J$1)))"),0.0)</f>
        <v>0</v>
      </c>
      <c r="K9" s="34">
        <f>IFERROR(__xludf.DUMMYFUNCTION("IF(ISNA(sum(filter(
Master_Mapping_Sheet!$E$2:$E$3143, ISNUMBER(
Master_Mapping_Sheet!$E$2:$E$3143),
Master_Mapping_Sheet!$C$2:$C$3143=K$1,
Master_Mapping_Sheet!$M$2:$M$3143=VALUE(RIGHT($A9,1))))/sum(filter(
Master_Mapping_Sheet!$E$2:$E$3143, ISNUMBER(
Ma"&amp;"ster_Mapping_Sheet!$E$2:$E$3143),
Master_Mapping_Sheet!$C$2:$C$3143=K$1))), 0, sum(filter(
Master_Mapping_Sheet!$E$2:$E$3143, ISNUMBER(
Master_Mapping_Sheet!$E$2:$E$3143),
Master_Mapping_Sheet!$C$2:$C$3143=K$1,
Master_Mapping_Sheet!$M$2:$M$3143=VALUE(RIGH"&amp;"T($A9,1))))/sum(filter(
Master_Mapping_Sheet!$E$2:$E$3143, ISNUMBER(
Master_Mapping_Sheet!$E$2:$E$3143),
Master_Mapping_Sheet!$C$2:$C$3143=K$1)))"),0.0)</f>
        <v>0</v>
      </c>
      <c r="L9" s="34">
        <f>IFERROR(__xludf.DUMMYFUNCTION("IF(ISNA(sum(filter(
Master_Mapping_Sheet!$E$2:$E$3143, ISNUMBER(
Master_Mapping_Sheet!$E$2:$E$3143),
Master_Mapping_Sheet!$C$2:$C$3143=L$1,
Master_Mapping_Sheet!$M$2:$M$3143=VALUE(RIGHT($A9,1))))/sum(filter(
Master_Mapping_Sheet!$E$2:$E$3143, ISNUMBER(
Ma"&amp;"ster_Mapping_Sheet!$E$2:$E$3143),
Master_Mapping_Sheet!$C$2:$C$3143=L$1))), 0, sum(filter(
Master_Mapping_Sheet!$E$2:$E$3143, ISNUMBER(
Master_Mapping_Sheet!$E$2:$E$3143),
Master_Mapping_Sheet!$C$2:$C$3143=L$1,
Master_Mapping_Sheet!$M$2:$M$3143=VALUE(RIGH"&amp;"T($A9,1))))/sum(filter(
Master_Mapping_Sheet!$E$2:$E$3143, ISNUMBER(
Master_Mapping_Sheet!$E$2:$E$3143),
Master_Mapping_Sheet!$C$2:$C$3143=L$1)))"),0.0)</f>
        <v>0</v>
      </c>
      <c r="M9" s="34">
        <f>IFERROR(__xludf.DUMMYFUNCTION("IF(ISNA(sum(filter(
Master_Mapping_Sheet!$E$2:$E$3143, ISNUMBER(
Master_Mapping_Sheet!$E$2:$E$3143),
Master_Mapping_Sheet!$C$2:$C$3143=M$1,
Master_Mapping_Sheet!$M$2:$M$3143=VALUE(RIGHT($A9,1))))/sum(filter(
Master_Mapping_Sheet!$E$2:$E$3143, ISNUMBER(
Ma"&amp;"ster_Mapping_Sheet!$E$2:$E$3143),
Master_Mapping_Sheet!$C$2:$C$3143=M$1))), 0, sum(filter(
Master_Mapping_Sheet!$E$2:$E$3143, ISNUMBER(
Master_Mapping_Sheet!$E$2:$E$3143),
Master_Mapping_Sheet!$C$2:$C$3143=M$1,
Master_Mapping_Sheet!$M$2:$M$3143=VALUE(RIGH"&amp;"T($A9,1))))/sum(filter(
Master_Mapping_Sheet!$E$2:$E$3143, ISNUMBER(
Master_Mapping_Sheet!$E$2:$E$3143),
Master_Mapping_Sheet!$C$2:$C$3143=M$1)))"),0.0)</f>
        <v>0</v>
      </c>
      <c r="N9" s="34">
        <f>IFERROR(__xludf.DUMMYFUNCTION("IF(ISNA(sum(filter(
Master_Mapping_Sheet!$E$2:$E$3143, ISNUMBER(
Master_Mapping_Sheet!$E$2:$E$3143),
Master_Mapping_Sheet!$C$2:$C$3143=N$1,
Master_Mapping_Sheet!$M$2:$M$3143=VALUE(RIGHT($A9,1))))/sum(filter(
Master_Mapping_Sheet!$E$2:$E$3143, ISNUMBER(
Ma"&amp;"ster_Mapping_Sheet!$E$2:$E$3143),
Master_Mapping_Sheet!$C$2:$C$3143=N$1))), 0, sum(filter(
Master_Mapping_Sheet!$E$2:$E$3143, ISNUMBER(
Master_Mapping_Sheet!$E$2:$E$3143),
Master_Mapping_Sheet!$C$2:$C$3143=N$1,
Master_Mapping_Sheet!$M$2:$M$3143=VALUE(RIGH"&amp;"T($A9,1))))/sum(filter(
Master_Mapping_Sheet!$E$2:$E$3143, ISNUMBER(
Master_Mapping_Sheet!$E$2:$E$3143),
Master_Mapping_Sheet!$C$2:$C$3143=N$1)))"),0.0)</f>
        <v>0</v>
      </c>
      <c r="O9" s="34">
        <f>IFERROR(__xludf.DUMMYFUNCTION("IF(ISNA(sum(filter(
Master_Mapping_Sheet!$E$2:$E$3143, ISNUMBER(
Master_Mapping_Sheet!$E$2:$E$3143),
Master_Mapping_Sheet!$C$2:$C$3143=O$1,
Master_Mapping_Sheet!$M$2:$M$3143=VALUE(RIGHT($A9,1))))/sum(filter(
Master_Mapping_Sheet!$E$2:$E$3143, ISNUMBER(
Ma"&amp;"ster_Mapping_Sheet!$E$2:$E$3143),
Master_Mapping_Sheet!$C$2:$C$3143=O$1))), 0, sum(filter(
Master_Mapping_Sheet!$E$2:$E$3143, ISNUMBER(
Master_Mapping_Sheet!$E$2:$E$3143),
Master_Mapping_Sheet!$C$2:$C$3143=O$1,
Master_Mapping_Sheet!$M$2:$M$3143=VALUE(RIGH"&amp;"T($A9,1))))/sum(filter(
Master_Mapping_Sheet!$E$2:$E$3143, ISNUMBER(
Master_Mapping_Sheet!$E$2:$E$3143),
Master_Mapping_Sheet!$C$2:$C$3143=O$1)))"),0.0)</f>
        <v>0</v>
      </c>
      <c r="P9" s="34">
        <f>IFERROR(__xludf.DUMMYFUNCTION("IF(ISNA(sum(filter(
Master_Mapping_Sheet!$E$2:$E$3143, ISNUMBER(
Master_Mapping_Sheet!$E$2:$E$3143),
Master_Mapping_Sheet!$C$2:$C$3143=P$1,
Master_Mapping_Sheet!$M$2:$M$3143=VALUE(RIGHT($A9,1))))/sum(filter(
Master_Mapping_Sheet!$E$2:$E$3143, ISNUMBER(
Ma"&amp;"ster_Mapping_Sheet!$E$2:$E$3143),
Master_Mapping_Sheet!$C$2:$C$3143=P$1))), 0, sum(filter(
Master_Mapping_Sheet!$E$2:$E$3143, ISNUMBER(
Master_Mapping_Sheet!$E$2:$E$3143),
Master_Mapping_Sheet!$C$2:$C$3143=P$1,
Master_Mapping_Sheet!$M$2:$M$3143=VALUE(RIGH"&amp;"T($A9,1))))/sum(filter(
Master_Mapping_Sheet!$E$2:$E$3143, ISNUMBER(
Master_Mapping_Sheet!$E$2:$E$3143),
Master_Mapping_Sheet!$C$2:$C$3143=P$1)))"),0.0)</f>
        <v>0</v>
      </c>
      <c r="Q9" s="34">
        <f>IFERROR(__xludf.DUMMYFUNCTION("IF(ISNA(sum(filter(
Master_Mapping_Sheet!$E$2:$E$3143, ISNUMBER(
Master_Mapping_Sheet!$E$2:$E$3143),
Master_Mapping_Sheet!$C$2:$C$3143=Q$1,
Master_Mapping_Sheet!$M$2:$M$3143=VALUE(RIGHT($A9,1))))/sum(filter(
Master_Mapping_Sheet!$E$2:$E$3143, ISNUMBER(
Ma"&amp;"ster_Mapping_Sheet!$E$2:$E$3143),
Master_Mapping_Sheet!$C$2:$C$3143=Q$1))), 0, sum(filter(
Master_Mapping_Sheet!$E$2:$E$3143, ISNUMBER(
Master_Mapping_Sheet!$E$2:$E$3143),
Master_Mapping_Sheet!$C$2:$C$3143=Q$1,
Master_Mapping_Sheet!$M$2:$M$3143=VALUE(RIGH"&amp;"T($A9,1))))/sum(filter(
Master_Mapping_Sheet!$E$2:$E$3143, ISNUMBER(
Master_Mapping_Sheet!$E$2:$E$3143),
Master_Mapping_Sheet!$C$2:$C$3143=Q$1)))"),0.0)</f>
        <v>0</v>
      </c>
      <c r="R9" s="34">
        <f>IFERROR(__xludf.DUMMYFUNCTION("IF(ISNA(sum(filter(
Master_Mapping_Sheet!$E$2:$E$3143, ISNUMBER(
Master_Mapping_Sheet!$E$2:$E$3143),
Master_Mapping_Sheet!$C$2:$C$3143=R$1,
Master_Mapping_Sheet!$M$2:$M$3143=VALUE(RIGHT($A9,1))))/sum(filter(
Master_Mapping_Sheet!$E$2:$E$3143, ISNUMBER(
Ma"&amp;"ster_Mapping_Sheet!$E$2:$E$3143),
Master_Mapping_Sheet!$C$2:$C$3143=R$1))), 0, sum(filter(
Master_Mapping_Sheet!$E$2:$E$3143, ISNUMBER(
Master_Mapping_Sheet!$E$2:$E$3143),
Master_Mapping_Sheet!$C$2:$C$3143=R$1,
Master_Mapping_Sheet!$M$2:$M$3143=VALUE(RIGH"&amp;"T($A9,1))))/sum(filter(
Master_Mapping_Sheet!$E$2:$E$3143, ISNUMBER(
Master_Mapping_Sheet!$E$2:$E$3143),
Master_Mapping_Sheet!$C$2:$C$3143=R$1)))"),0.0)</f>
        <v>0</v>
      </c>
      <c r="S9" s="34">
        <f>IFERROR(__xludf.DUMMYFUNCTION("IF(ISNA(sum(filter(
Master_Mapping_Sheet!$E$2:$E$3143, ISNUMBER(
Master_Mapping_Sheet!$E$2:$E$3143),
Master_Mapping_Sheet!$C$2:$C$3143=S$1,
Master_Mapping_Sheet!$M$2:$M$3143=VALUE(RIGHT($A9,1))))/sum(filter(
Master_Mapping_Sheet!$E$2:$E$3143, ISNUMBER(
Ma"&amp;"ster_Mapping_Sheet!$E$2:$E$3143),
Master_Mapping_Sheet!$C$2:$C$3143=S$1))), 0, sum(filter(
Master_Mapping_Sheet!$E$2:$E$3143, ISNUMBER(
Master_Mapping_Sheet!$E$2:$E$3143),
Master_Mapping_Sheet!$C$2:$C$3143=S$1,
Master_Mapping_Sheet!$M$2:$M$3143=VALUE(RIGH"&amp;"T($A9,1))))/sum(filter(
Master_Mapping_Sheet!$E$2:$E$3143, ISNUMBER(
Master_Mapping_Sheet!$E$2:$E$3143),
Master_Mapping_Sheet!$C$2:$C$3143=S$1)))"),0.0)</f>
        <v>0</v>
      </c>
      <c r="T9" s="34">
        <f>IFERROR(__xludf.DUMMYFUNCTION("IF(ISNA(sum(filter(
Master_Mapping_Sheet!$E$2:$E$3143, ISNUMBER(
Master_Mapping_Sheet!$E$2:$E$3143),
Master_Mapping_Sheet!$C$2:$C$3143=T$1,
Master_Mapping_Sheet!$M$2:$M$3143=VALUE(RIGHT($A9,1))))/sum(filter(
Master_Mapping_Sheet!$E$2:$E$3143, ISNUMBER(
Ma"&amp;"ster_Mapping_Sheet!$E$2:$E$3143),
Master_Mapping_Sheet!$C$2:$C$3143=T$1))), 0, sum(filter(
Master_Mapping_Sheet!$E$2:$E$3143, ISNUMBER(
Master_Mapping_Sheet!$E$2:$E$3143),
Master_Mapping_Sheet!$C$2:$C$3143=T$1,
Master_Mapping_Sheet!$M$2:$M$3143=VALUE(RIGH"&amp;"T($A9,1))))/sum(filter(
Master_Mapping_Sheet!$E$2:$E$3143, ISNUMBER(
Master_Mapping_Sheet!$E$2:$E$3143),
Master_Mapping_Sheet!$C$2:$C$3143=T$1)))"),0.0)</f>
        <v>0</v>
      </c>
      <c r="U9" s="34">
        <f>IFERROR(__xludf.DUMMYFUNCTION("IF(ISNA(sum(filter(
Master_Mapping_Sheet!$E$2:$E$3143, ISNUMBER(
Master_Mapping_Sheet!$E$2:$E$3143),
Master_Mapping_Sheet!$C$2:$C$3143=U$1,
Master_Mapping_Sheet!$M$2:$M$3143=VALUE(RIGHT($A9,1))))/sum(filter(
Master_Mapping_Sheet!$E$2:$E$3143, ISNUMBER(
Ma"&amp;"ster_Mapping_Sheet!$E$2:$E$3143),
Master_Mapping_Sheet!$C$2:$C$3143=U$1))), 0, sum(filter(
Master_Mapping_Sheet!$E$2:$E$3143, ISNUMBER(
Master_Mapping_Sheet!$E$2:$E$3143),
Master_Mapping_Sheet!$C$2:$C$3143=U$1,
Master_Mapping_Sheet!$M$2:$M$3143=VALUE(RIGH"&amp;"T($A9,1))))/sum(filter(
Master_Mapping_Sheet!$E$2:$E$3143, ISNUMBER(
Master_Mapping_Sheet!$E$2:$E$3143),
Master_Mapping_Sheet!$C$2:$C$3143=U$1)))"),0.0)</f>
        <v>0</v>
      </c>
      <c r="V9" s="34">
        <f>IFERROR(__xludf.DUMMYFUNCTION("IF(ISNA(sum(filter(
Master_Mapping_Sheet!$E$2:$E$3143, ISNUMBER(
Master_Mapping_Sheet!$E$2:$E$3143),
Master_Mapping_Sheet!$C$2:$C$3143=V$1,
Master_Mapping_Sheet!$M$2:$M$3143=VALUE(RIGHT($A9,1))))/sum(filter(
Master_Mapping_Sheet!$E$2:$E$3143, ISNUMBER(
Ma"&amp;"ster_Mapping_Sheet!$E$2:$E$3143),
Master_Mapping_Sheet!$C$2:$C$3143=V$1))), 0, sum(filter(
Master_Mapping_Sheet!$E$2:$E$3143, ISNUMBER(
Master_Mapping_Sheet!$E$2:$E$3143),
Master_Mapping_Sheet!$C$2:$C$3143=V$1,
Master_Mapping_Sheet!$M$2:$M$3143=VALUE(RIGH"&amp;"T($A9,1))))/sum(filter(
Master_Mapping_Sheet!$E$2:$E$3143, ISNUMBER(
Master_Mapping_Sheet!$E$2:$E$3143),
Master_Mapping_Sheet!$C$2:$C$3143=V$1)))"),0.0)</f>
        <v>0</v>
      </c>
      <c r="W9" s="34">
        <f>IFERROR(__xludf.DUMMYFUNCTION("IF(ISNA(sum(filter(
Master_Mapping_Sheet!$E$2:$E$3143, ISNUMBER(
Master_Mapping_Sheet!$E$2:$E$3143),
Master_Mapping_Sheet!$C$2:$C$3143=W$1,
Master_Mapping_Sheet!$M$2:$M$3143=VALUE(RIGHT($A9,1))))/sum(filter(
Master_Mapping_Sheet!$E$2:$E$3143, ISNUMBER(
Ma"&amp;"ster_Mapping_Sheet!$E$2:$E$3143),
Master_Mapping_Sheet!$C$2:$C$3143=W$1))), 0, sum(filter(
Master_Mapping_Sheet!$E$2:$E$3143, ISNUMBER(
Master_Mapping_Sheet!$E$2:$E$3143),
Master_Mapping_Sheet!$C$2:$C$3143=W$1,
Master_Mapping_Sheet!$M$2:$M$3143=VALUE(RIGH"&amp;"T($A9,1))))/sum(filter(
Master_Mapping_Sheet!$E$2:$E$3143, ISNUMBER(
Master_Mapping_Sheet!$E$2:$E$3143),
Master_Mapping_Sheet!$C$2:$C$3143=W$1)))"),0.0)</f>
        <v>0</v>
      </c>
      <c r="X9" s="34">
        <f>IFERROR(__xludf.DUMMYFUNCTION("IF(ISNA(sum(filter(
Master_Mapping_Sheet!$E$2:$E$3143, ISNUMBER(
Master_Mapping_Sheet!$E$2:$E$3143),
Master_Mapping_Sheet!$C$2:$C$3143=X$1,
Master_Mapping_Sheet!$M$2:$M$3143=VALUE(RIGHT($A9,1))))/sum(filter(
Master_Mapping_Sheet!$E$2:$E$3143, ISNUMBER(
Ma"&amp;"ster_Mapping_Sheet!$E$2:$E$3143),
Master_Mapping_Sheet!$C$2:$C$3143=X$1))), 0, sum(filter(
Master_Mapping_Sheet!$E$2:$E$3143, ISNUMBER(
Master_Mapping_Sheet!$E$2:$E$3143),
Master_Mapping_Sheet!$C$2:$C$3143=X$1,
Master_Mapping_Sheet!$M$2:$M$3143=VALUE(RIGH"&amp;"T($A9,1))))/sum(filter(
Master_Mapping_Sheet!$E$2:$E$3143, ISNUMBER(
Master_Mapping_Sheet!$E$2:$E$3143),
Master_Mapping_Sheet!$C$2:$C$3143=X$1)))"),0.0)</f>
        <v>0</v>
      </c>
      <c r="Y9" s="34">
        <f>IFERROR(__xludf.DUMMYFUNCTION("IF(ISNA(sum(filter(
Master_Mapping_Sheet!$E$2:$E$3143, ISNUMBER(
Master_Mapping_Sheet!$E$2:$E$3143),
Master_Mapping_Sheet!$C$2:$C$3143=Y$1,
Master_Mapping_Sheet!$M$2:$M$3143=VALUE(RIGHT($A9,1))))/sum(filter(
Master_Mapping_Sheet!$E$2:$E$3143, ISNUMBER(
Ma"&amp;"ster_Mapping_Sheet!$E$2:$E$3143),
Master_Mapping_Sheet!$C$2:$C$3143=Y$1))), 0, sum(filter(
Master_Mapping_Sheet!$E$2:$E$3143, ISNUMBER(
Master_Mapping_Sheet!$E$2:$E$3143),
Master_Mapping_Sheet!$C$2:$C$3143=Y$1,
Master_Mapping_Sheet!$M$2:$M$3143=VALUE(RIGH"&amp;"T($A9,1))))/sum(filter(
Master_Mapping_Sheet!$E$2:$E$3143, ISNUMBER(
Master_Mapping_Sheet!$E$2:$E$3143),
Master_Mapping_Sheet!$C$2:$C$3143=Y$1)))"),0.0)</f>
        <v>0</v>
      </c>
      <c r="Z9" s="34">
        <f>IFERROR(__xludf.DUMMYFUNCTION("IF(ISNA(sum(filter(
Master_Mapping_Sheet!$E$2:$E$3143, ISNUMBER(
Master_Mapping_Sheet!$E$2:$E$3143),
Master_Mapping_Sheet!$C$2:$C$3143=Z$1,
Master_Mapping_Sheet!$M$2:$M$3143=VALUE(RIGHT($A9,1))))/sum(filter(
Master_Mapping_Sheet!$E$2:$E$3143, ISNUMBER(
Ma"&amp;"ster_Mapping_Sheet!$E$2:$E$3143),
Master_Mapping_Sheet!$C$2:$C$3143=Z$1))), 0, sum(filter(
Master_Mapping_Sheet!$E$2:$E$3143, ISNUMBER(
Master_Mapping_Sheet!$E$2:$E$3143),
Master_Mapping_Sheet!$C$2:$C$3143=Z$1,
Master_Mapping_Sheet!$M$2:$M$3143=VALUE(RIGH"&amp;"T($A9,1))))/sum(filter(
Master_Mapping_Sheet!$E$2:$E$3143, ISNUMBER(
Master_Mapping_Sheet!$E$2:$E$3143),
Master_Mapping_Sheet!$C$2:$C$3143=Z$1)))"),0.0)</f>
        <v>0</v>
      </c>
      <c r="AA9" s="34">
        <f>IFERROR(__xludf.DUMMYFUNCTION("IF(ISNA(sum(filter(
Master_Mapping_Sheet!$E$2:$E$3143, ISNUMBER(
Master_Mapping_Sheet!$E$2:$E$3143),
Master_Mapping_Sheet!$C$2:$C$3143=AA$1,
Master_Mapping_Sheet!$M$2:$M$3143=VALUE(RIGHT($A9,1))))/sum(filter(
Master_Mapping_Sheet!$E$2:$E$3143, ISNUMBER(
M"&amp;"aster_Mapping_Sheet!$E$2:$E$3143),
Master_Mapping_Sheet!$C$2:$C$3143=AA$1))), 0, sum(filter(
Master_Mapping_Sheet!$E$2:$E$3143, ISNUMBER(
Master_Mapping_Sheet!$E$2:$E$3143),
Master_Mapping_Sheet!$C$2:$C$3143=AA$1,
Master_Mapping_Sheet!$M$2:$M$3143=VALUE(R"&amp;"IGHT($A9,1))))/sum(filter(
Master_Mapping_Sheet!$E$2:$E$3143, ISNUMBER(
Master_Mapping_Sheet!$E$2:$E$3143),
Master_Mapping_Sheet!$C$2:$C$3143=AA$1)))"),0.0)</f>
        <v>0</v>
      </c>
      <c r="AB9" s="34">
        <f>IFERROR(__xludf.DUMMYFUNCTION("IF(ISNA(sum(filter(
Master_Mapping_Sheet!$E$2:$E$3143, ISNUMBER(
Master_Mapping_Sheet!$E$2:$E$3143),
Master_Mapping_Sheet!$C$2:$C$3143=AB$1,
Master_Mapping_Sheet!$M$2:$M$3143=VALUE(RIGHT($A9,1))))/sum(filter(
Master_Mapping_Sheet!$E$2:$E$3143, ISNUMBER(
M"&amp;"aster_Mapping_Sheet!$E$2:$E$3143),
Master_Mapping_Sheet!$C$2:$C$3143=AB$1))), 0, sum(filter(
Master_Mapping_Sheet!$E$2:$E$3143, ISNUMBER(
Master_Mapping_Sheet!$E$2:$E$3143),
Master_Mapping_Sheet!$C$2:$C$3143=AB$1,
Master_Mapping_Sheet!$M$2:$M$3143=VALUE(R"&amp;"IGHT($A9,1))))/sum(filter(
Master_Mapping_Sheet!$E$2:$E$3143, ISNUMBER(
Master_Mapping_Sheet!$E$2:$E$3143),
Master_Mapping_Sheet!$C$2:$C$3143=AB$1)))"),0.0)</f>
        <v>0</v>
      </c>
      <c r="AC9" s="34">
        <f>IFERROR(__xludf.DUMMYFUNCTION("IF(ISNA(sum(filter(
Master_Mapping_Sheet!$E$2:$E$3143, ISNUMBER(
Master_Mapping_Sheet!$E$2:$E$3143),
Master_Mapping_Sheet!$C$2:$C$3143=AC$1,
Master_Mapping_Sheet!$M$2:$M$3143=VALUE(RIGHT($A9,1))))/sum(filter(
Master_Mapping_Sheet!$E$2:$E$3143, ISNUMBER(
M"&amp;"aster_Mapping_Sheet!$E$2:$E$3143),
Master_Mapping_Sheet!$C$2:$C$3143=AC$1))), 0, sum(filter(
Master_Mapping_Sheet!$E$2:$E$3143, ISNUMBER(
Master_Mapping_Sheet!$E$2:$E$3143),
Master_Mapping_Sheet!$C$2:$C$3143=AC$1,
Master_Mapping_Sheet!$M$2:$M$3143=VALUE(R"&amp;"IGHT($A9,1))))/sum(filter(
Master_Mapping_Sheet!$E$2:$E$3143, ISNUMBER(
Master_Mapping_Sheet!$E$2:$E$3143),
Master_Mapping_Sheet!$C$2:$C$3143=AC$1)))"),0.0)</f>
        <v>0</v>
      </c>
      <c r="AD9" s="34">
        <f>IFERROR(__xludf.DUMMYFUNCTION("IF(ISNA(sum(filter(
Master_Mapping_Sheet!$E$2:$E$3143, ISNUMBER(
Master_Mapping_Sheet!$E$2:$E$3143),
Master_Mapping_Sheet!$C$2:$C$3143=AD$1,
Master_Mapping_Sheet!$M$2:$M$3143=VALUE(RIGHT($A9,1))))/sum(filter(
Master_Mapping_Sheet!$E$2:$E$3143, ISNUMBER(
M"&amp;"aster_Mapping_Sheet!$E$2:$E$3143),
Master_Mapping_Sheet!$C$2:$C$3143=AD$1))), 0, sum(filter(
Master_Mapping_Sheet!$E$2:$E$3143, ISNUMBER(
Master_Mapping_Sheet!$E$2:$E$3143),
Master_Mapping_Sheet!$C$2:$C$3143=AD$1,
Master_Mapping_Sheet!$M$2:$M$3143=VALUE(R"&amp;"IGHT($A9,1))))/sum(filter(
Master_Mapping_Sheet!$E$2:$E$3143, ISNUMBER(
Master_Mapping_Sheet!$E$2:$E$3143),
Master_Mapping_Sheet!$C$2:$C$3143=AD$1)))"),0.0)</f>
        <v>0</v>
      </c>
      <c r="AE9" s="34">
        <f>IFERROR(__xludf.DUMMYFUNCTION("IF(ISNA(sum(filter(
Master_Mapping_Sheet!$E$2:$E$3143, ISNUMBER(
Master_Mapping_Sheet!$E$2:$E$3143),
Master_Mapping_Sheet!$C$2:$C$3143=AE$1,
Master_Mapping_Sheet!$M$2:$M$3143=VALUE(RIGHT($A9,1))))/sum(filter(
Master_Mapping_Sheet!$E$2:$E$3143, ISNUMBER(
M"&amp;"aster_Mapping_Sheet!$E$2:$E$3143),
Master_Mapping_Sheet!$C$2:$C$3143=AE$1))), 0, sum(filter(
Master_Mapping_Sheet!$E$2:$E$3143, ISNUMBER(
Master_Mapping_Sheet!$E$2:$E$3143),
Master_Mapping_Sheet!$C$2:$C$3143=AE$1,
Master_Mapping_Sheet!$M$2:$M$3143=VALUE(R"&amp;"IGHT($A9,1))))/sum(filter(
Master_Mapping_Sheet!$E$2:$E$3143, ISNUMBER(
Master_Mapping_Sheet!$E$2:$E$3143),
Master_Mapping_Sheet!$C$2:$C$3143=AE$1)))"),0.0)</f>
        <v>0</v>
      </c>
      <c r="AF9" s="34">
        <f>IFERROR(__xludf.DUMMYFUNCTION("IF(ISNA(sum(filter(
Master_Mapping_Sheet!$E$2:$E$3143, ISNUMBER(
Master_Mapping_Sheet!$E$2:$E$3143),
Master_Mapping_Sheet!$C$2:$C$3143=AF$1,
Master_Mapping_Sheet!$M$2:$M$3143=VALUE(RIGHT($A9,1))))/sum(filter(
Master_Mapping_Sheet!$E$2:$E$3143, ISNUMBER(
M"&amp;"aster_Mapping_Sheet!$E$2:$E$3143),
Master_Mapping_Sheet!$C$2:$C$3143=AF$1))), 0, sum(filter(
Master_Mapping_Sheet!$E$2:$E$3143, ISNUMBER(
Master_Mapping_Sheet!$E$2:$E$3143),
Master_Mapping_Sheet!$C$2:$C$3143=AF$1,
Master_Mapping_Sheet!$M$2:$M$3143=VALUE(R"&amp;"IGHT($A9,1))))/sum(filter(
Master_Mapping_Sheet!$E$2:$E$3143, ISNUMBER(
Master_Mapping_Sheet!$E$2:$E$3143),
Master_Mapping_Sheet!$C$2:$C$3143=AF$1)))"),0.0)</f>
        <v>0</v>
      </c>
      <c r="AG9" s="34">
        <f>IFERROR(__xludf.DUMMYFUNCTION("IF(ISNA(sum(filter(
Master_Mapping_Sheet!$E$2:$E$3143, ISNUMBER(
Master_Mapping_Sheet!$E$2:$E$3143),
Master_Mapping_Sheet!$C$2:$C$3143=AG$1,
Master_Mapping_Sheet!$M$2:$M$3143=VALUE(RIGHT($A9,1))))/sum(filter(
Master_Mapping_Sheet!$E$2:$E$3143, ISNUMBER(
M"&amp;"aster_Mapping_Sheet!$E$2:$E$3143),
Master_Mapping_Sheet!$C$2:$C$3143=AG$1))), 0, sum(filter(
Master_Mapping_Sheet!$E$2:$E$3143, ISNUMBER(
Master_Mapping_Sheet!$E$2:$E$3143),
Master_Mapping_Sheet!$C$2:$C$3143=AG$1,
Master_Mapping_Sheet!$M$2:$M$3143=VALUE(R"&amp;"IGHT($A9,1))))/sum(filter(
Master_Mapping_Sheet!$E$2:$E$3143, ISNUMBER(
Master_Mapping_Sheet!$E$2:$E$3143),
Master_Mapping_Sheet!$C$2:$C$3143=AG$1)))"),0.0)</f>
        <v>0</v>
      </c>
      <c r="AH9" s="34">
        <f>IFERROR(__xludf.DUMMYFUNCTION("IF(ISNA(sum(filter(
Master_Mapping_Sheet!$E$2:$E$3143, ISNUMBER(
Master_Mapping_Sheet!$E$2:$E$3143),
Master_Mapping_Sheet!$C$2:$C$3143=AH$1,
Master_Mapping_Sheet!$M$2:$M$3143=VALUE(RIGHT($A9,1))))/sum(filter(
Master_Mapping_Sheet!$E$2:$E$3143, ISNUMBER(
M"&amp;"aster_Mapping_Sheet!$E$2:$E$3143),
Master_Mapping_Sheet!$C$2:$C$3143=AH$1))), 0, sum(filter(
Master_Mapping_Sheet!$E$2:$E$3143, ISNUMBER(
Master_Mapping_Sheet!$E$2:$E$3143),
Master_Mapping_Sheet!$C$2:$C$3143=AH$1,
Master_Mapping_Sheet!$M$2:$M$3143=VALUE(R"&amp;"IGHT($A9,1))))/sum(filter(
Master_Mapping_Sheet!$E$2:$E$3143, ISNUMBER(
Master_Mapping_Sheet!$E$2:$E$3143),
Master_Mapping_Sheet!$C$2:$C$3143=AH$1)))"),0.0)</f>
        <v>0</v>
      </c>
      <c r="AI9" s="34">
        <f>IFERROR(__xludf.DUMMYFUNCTION("IF(ISNA(sum(filter(
Master_Mapping_Sheet!$E$2:$E$3143, ISNUMBER(
Master_Mapping_Sheet!$E$2:$E$3143),
Master_Mapping_Sheet!$C$2:$C$3143=AI$1,
Master_Mapping_Sheet!$M$2:$M$3143=VALUE(RIGHT($A9,1))))/sum(filter(
Master_Mapping_Sheet!$E$2:$E$3143, ISNUMBER(
M"&amp;"aster_Mapping_Sheet!$E$2:$E$3143),
Master_Mapping_Sheet!$C$2:$C$3143=AI$1))), 0, sum(filter(
Master_Mapping_Sheet!$E$2:$E$3143, ISNUMBER(
Master_Mapping_Sheet!$E$2:$E$3143),
Master_Mapping_Sheet!$C$2:$C$3143=AI$1,
Master_Mapping_Sheet!$M$2:$M$3143=VALUE(R"&amp;"IGHT($A9,1))))/sum(filter(
Master_Mapping_Sheet!$E$2:$E$3143, ISNUMBER(
Master_Mapping_Sheet!$E$2:$E$3143),
Master_Mapping_Sheet!$C$2:$C$3143=AI$1)))"),0.0)</f>
        <v>0</v>
      </c>
      <c r="AJ9" s="34">
        <f>IFERROR(__xludf.DUMMYFUNCTION("IF(ISNA(sum(filter(
Master_Mapping_Sheet!$E$2:$E$3143, ISNUMBER(
Master_Mapping_Sheet!$E$2:$E$3143),
Master_Mapping_Sheet!$C$2:$C$3143=AJ$1,
Master_Mapping_Sheet!$M$2:$M$3143=VALUE(RIGHT($A9,1))))/sum(filter(
Master_Mapping_Sheet!$E$2:$E$3143, ISNUMBER(
M"&amp;"aster_Mapping_Sheet!$E$2:$E$3143),
Master_Mapping_Sheet!$C$2:$C$3143=AJ$1))), 0, sum(filter(
Master_Mapping_Sheet!$E$2:$E$3143, ISNUMBER(
Master_Mapping_Sheet!$E$2:$E$3143),
Master_Mapping_Sheet!$C$2:$C$3143=AJ$1,
Master_Mapping_Sheet!$M$2:$M$3143=VALUE(R"&amp;"IGHT($A9,1))))/sum(filter(
Master_Mapping_Sheet!$E$2:$E$3143, ISNUMBER(
Master_Mapping_Sheet!$E$2:$E$3143),
Master_Mapping_Sheet!$C$2:$C$3143=AJ$1)))"),0.0)</f>
        <v>0</v>
      </c>
      <c r="AK9" s="34">
        <f>IFERROR(__xludf.DUMMYFUNCTION("IF(ISNA(sum(filter(
Master_Mapping_Sheet!$E$2:$E$3143, ISNUMBER(
Master_Mapping_Sheet!$E$2:$E$3143),
Master_Mapping_Sheet!$C$2:$C$3143=AK$1,
Master_Mapping_Sheet!$M$2:$M$3143=VALUE(RIGHT($A9,1))))/sum(filter(
Master_Mapping_Sheet!$E$2:$E$3143, ISNUMBER(
M"&amp;"aster_Mapping_Sheet!$E$2:$E$3143),
Master_Mapping_Sheet!$C$2:$C$3143=AK$1))), 0, sum(filter(
Master_Mapping_Sheet!$E$2:$E$3143, ISNUMBER(
Master_Mapping_Sheet!$E$2:$E$3143),
Master_Mapping_Sheet!$C$2:$C$3143=AK$1,
Master_Mapping_Sheet!$M$2:$M$3143=VALUE(R"&amp;"IGHT($A9,1))))/sum(filter(
Master_Mapping_Sheet!$E$2:$E$3143, ISNUMBER(
Master_Mapping_Sheet!$E$2:$E$3143),
Master_Mapping_Sheet!$C$2:$C$3143=AK$1)))"),0.0)</f>
        <v>0</v>
      </c>
      <c r="AL9" s="34">
        <f>IFERROR(__xludf.DUMMYFUNCTION("IF(ISNA(sum(filter(
Master_Mapping_Sheet!$E$2:$E$3143, ISNUMBER(
Master_Mapping_Sheet!$E$2:$E$3143),
Master_Mapping_Sheet!$C$2:$C$3143=AL$1,
Master_Mapping_Sheet!$M$2:$M$3143=VALUE(RIGHT($A9,1))))/sum(filter(
Master_Mapping_Sheet!$E$2:$E$3143, ISNUMBER(
M"&amp;"aster_Mapping_Sheet!$E$2:$E$3143),
Master_Mapping_Sheet!$C$2:$C$3143=AL$1))), 0, sum(filter(
Master_Mapping_Sheet!$E$2:$E$3143, ISNUMBER(
Master_Mapping_Sheet!$E$2:$E$3143),
Master_Mapping_Sheet!$C$2:$C$3143=AL$1,
Master_Mapping_Sheet!$M$2:$M$3143=VALUE(R"&amp;"IGHT($A9,1))))/sum(filter(
Master_Mapping_Sheet!$E$2:$E$3143, ISNUMBER(
Master_Mapping_Sheet!$E$2:$E$3143),
Master_Mapping_Sheet!$C$2:$C$3143=AL$1)))"),0.0)</f>
        <v>0</v>
      </c>
      <c r="AM9" s="34">
        <f>IFERROR(__xludf.DUMMYFUNCTION("IF(ISNA(sum(filter(
Master_Mapping_Sheet!$E$2:$E$3143, ISNUMBER(
Master_Mapping_Sheet!$E$2:$E$3143),
Master_Mapping_Sheet!$C$2:$C$3143=AM$1,
Master_Mapping_Sheet!$M$2:$M$3143=VALUE(RIGHT($A9,1))))/sum(filter(
Master_Mapping_Sheet!$E$2:$E$3143, ISNUMBER(
M"&amp;"aster_Mapping_Sheet!$E$2:$E$3143),
Master_Mapping_Sheet!$C$2:$C$3143=AM$1))), 0, sum(filter(
Master_Mapping_Sheet!$E$2:$E$3143, ISNUMBER(
Master_Mapping_Sheet!$E$2:$E$3143),
Master_Mapping_Sheet!$C$2:$C$3143=AM$1,
Master_Mapping_Sheet!$M$2:$M$3143=VALUE(R"&amp;"IGHT($A9,1))))/sum(filter(
Master_Mapping_Sheet!$E$2:$E$3143, ISNUMBER(
Master_Mapping_Sheet!$E$2:$E$3143),
Master_Mapping_Sheet!$C$2:$C$3143=AM$1)))"),0.0)</f>
        <v>0</v>
      </c>
      <c r="AN9" s="34">
        <f>IFERROR(__xludf.DUMMYFUNCTION("IF(ISNA(sum(filter(
Master_Mapping_Sheet!$E$2:$E$3143, ISNUMBER(
Master_Mapping_Sheet!$E$2:$E$3143),
Master_Mapping_Sheet!$C$2:$C$3143=AN$1,
Master_Mapping_Sheet!$M$2:$M$3143=VALUE(RIGHT($A9,1))))/sum(filter(
Master_Mapping_Sheet!$E$2:$E$3143, ISNUMBER(
M"&amp;"aster_Mapping_Sheet!$E$2:$E$3143),
Master_Mapping_Sheet!$C$2:$C$3143=AN$1))), 0, sum(filter(
Master_Mapping_Sheet!$E$2:$E$3143, ISNUMBER(
Master_Mapping_Sheet!$E$2:$E$3143),
Master_Mapping_Sheet!$C$2:$C$3143=AN$1,
Master_Mapping_Sheet!$M$2:$M$3143=VALUE(R"&amp;"IGHT($A9,1))))/sum(filter(
Master_Mapping_Sheet!$E$2:$E$3143, ISNUMBER(
Master_Mapping_Sheet!$E$2:$E$3143),
Master_Mapping_Sheet!$C$2:$C$3143=AN$1)))"),0.0)</f>
        <v>0</v>
      </c>
      <c r="AO9" s="34">
        <f>IFERROR(__xludf.DUMMYFUNCTION("IF(ISNA(sum(filter(
Master_Mapping_Sheet!$E$2:$E$3143, ISNUMBER(
Master_Mapping_Sheet!$E$2:$E$3143),
Master_Mapping_Sheet!$C$2:$C$3143=AO$1,
Master_Mapping_Sheet!$M$2:$M$3143=VALUE(RIGHT($A9,1))))/sum(filter(
Master_Mapping_Sheet!$E$2:$E$3143, ISNUMBER(
M"&amp;"aster_Mapping_Sheet!$E$2:$E$3143),
Master_Mapping_Sheet!$C$2:$C$3143=AO$1))), 0, sum(filter(
Master_Mapping_Sheet!$E$2:$E$3143, ISNUMBER(
Master_Mapping_Sheet!$E$2:$E$3143),
Master_Mapping_Sheet!$C$2:$C$3143=AO$1,
Master_Mapping_Sheet!$M$2:$M$3143=VALUE(R"&amp;"IGHT($A9,1))))/sum(filter(
Master_Mapping_Sheet!$E$2:$E$3143, ISNUMBER(
Master_Mapping_Sheet!$E$2:$E$3143),
Master_Mapping_Sheet!$C$2:$C$3143=AO$1)))"),0.0)</f>
        <v>0</v>
      </c>
      <c r="AP9" s="34">
        <f>IFERROR(__xludf.DUMMYFUNCTION("IF(ISNA(sum(filter(
Master_Mapping_Sheet!$E$2:$E$3143, ISNUMBER(
Master_Mapping_Sheet!$E$2:$E$3143),
Master_Mapping_Sheet!$C$2:$C$3143=AP$1,
Master_Mapping_Sheet!$M$2:$M$3143=VALUE(RIGHT($A9,1))))/sum(filter(
Master_Mapping_Sheet!$E$2:$E$3143, ISNUMBER(
M"&amp;"aster_Mapping_Sheet!$E$2:$E$3143),
Master_Mapping_Sheet!$C$2:$C$3143=AP$1))), 0, sum(filter(
Master_Mapping_Sheet!$E$2:$E$3143, ISNUMBER(
Master_Mapping_Sheet!$E$2:$E$3143),
Master_Mapping_Sheet!$C$2:$C$3143=AP$1,
Master_Mapping_Sheet!$M$2:$M$3143=VALUE(R"&amp;"IGHT($A9,1))))/sum(filter(
Master_Mapping_Sheet!$E$2:$E$3143, ISNUMBER(
Master_Mapping_Sheet!$E$2:$E$3143),
Master_Mapping_Sheet!$C$2:$C$3143=AP$1)))"),0.0)</f>
        <v>0</v>
      </c>
      <c r="AQ9" s="34">
        <f>IFERROR(__xludf.DUMMYFUNCTION("IF(ISNA(sum(filter(
Master_Mapping_Sheet!$E$2:$E$3143, ISNUMBER(
Master_Mapping_Sheet!$E$2:$E$3143),
Master_Mapping_Sheet!$C$2:$C$3143=AQ$1,
Master_Mapping_Sheet!$M$2:$M$3143=VALUE(RIGHT($A9,1))))/sum(filter(
Master_Mapping_Sheet!$E$2:$E$3143, ISNUMBER(
M"&amp;"aster_Mapping_Sheet!$E$2:$E$3143),
Master_Mapping_Sheet!$C$2:$C$3143=AQ$1))), 0, sum(filter(
Master_Mapping_Sheet!$E$2:$E$3143, ISNUMBER(
Master_Mapping_Sheet!$E$2:$E$3143),
Master_Mapping_Sheet!$C$2:$C$3143=AQ$1,
Master_Mapping_Sheet!$M$2:$M$3143=VALUE(R"&amp;"IGHT($A9,1))))/sum(filter(
Master_Mapping_Sheet!$E$2:$E$3143, ISNUMBER(
Master_Mapping_Sheet!$E$2:$E$3143),
Master_Mapping_Sheet!$C$2:$C$3143=AQ$1)))"),0.0)</f>
        <v>0</v>
      </c>
      <c r="AR9" s="34">
        <f>IFERROR(__xludf.DUMMYFUNCTION("IF(ISNA(sum(filter(
Master_Mapping_Sheet!$E$2:$E$3143, ISNUMBER(
Master_Mapping_Sheet!$E$2:$E$3143),
Master_Mapping_Sheet!$C$2:$C$3143=AR$1,
Master_Mapping_Sheet!$M$2:$M$3143=VALUE(RIGHT($A9,1))))/sum(filter(
Master_Mapping_Sheet!$E$2:$E$3143, ISNUMBER(
M"&amp;"aster_Mapping_Sheet!$E$2:$E$3143),
Master_Mapping_Sheet!$C$2:$C$3143=AR$1))), 0, sum(filter(
Master_Mapping_Sheet!$E$2:$E$3143, ISNUMBER(
Master_Mapping_Sheet!$E$2:$E$3143),
Master_Mapping_Sheet!$C$2:$C$3143=AR$1,
Master_Mapping_Sheet!$M$2:$M$3143=VALUE(R"&amp;"IGHT($A9,1))))/sum(filter(
Master_Mapping_Sheet!$E$2:$E$3143, ISNUMBER(
Master_Mapping_Sheet!$E$2:$E$3143),
Master_Mapping_Sheet!$C$2:$C$3143=AR$1)))"),0.0)</f>
        <v>0</v>
      </c>
      <c r="AS9" s="34">
        <f>IFERROR(__xludf.DUMMYFUNCTION("IF(ISNA(sum(filter(
Master_Mapping_Sheet!$E$2:$E$3143, ISNUMBER(
Master_Mapping_Sheet!$E$2:$E$3143),
Master_Mapping_Sheet!$C$2:$C$3143=AS$1,
Master_Mapping_Sheet!$M$2:$M$3143=VALUE(RIGHT($A9,1))))/sum(filter(
Master_Mapping_Sheet!$E$2:$E$3143, ISNUMBER(
M"&amp;"aster_Mapping_Sheet!$E$2:$E$3143),
Master_Mapping_Sheet!$C$2:$C$3143=AS$1))), 0, sum(filter(
Master_Mapping_Sheet!$E$2:$E$3143, ISNUMBER(
Master_Mapping_Sheet!$E$2:$E$3143),
Master_Mapping_Sheet!$C$2:$C$3143=AS$1,
Master_Mapping_Sheet!$M$2:$M$3143=VALUE(R"&amp;"IGHT($A9,1))))/sum(filter(
Master_Mapping_Sheet!$E$2:$E$3143, ISNUMBER(
Master_Mapping_Sheet!$E$2:$E$3143),
Master_Mapping_Sheet!$C$2:$C$3143=AS$1)))"),0.0)</f>
        <v>0</v>
      </c>
      <c r="AT9" s="34">
        <f>IFERROR(__xludf.DUMMYFUNCTION("IF(ISNA(sum(filter(
Master_Mapping_Sheet!$E$2:$E$3143, ISNUMBER(
Master_Mapping_Sheet!$E$2:$E$3143),
Master_Mapping_Sheet!$C$2:$C$3143=AT$1,
Master_Mapping_Sheet!$M$2:$M$3143=VALUE(RIGHT($A9,1))))/sum(filter(
Master_Mapping_Sheet!$E$2:$E$3143, ISNUMBER(
M"&amp;"aster_Mapping_Sheet!$E$2:$E$3143),
Master_Mapping_Sheet!$C$2:$C$3143=AT$1))), 0, sum(filter(
Master_Mapping_Sheet!$E$2:$E$3143, ISNUMBER(
Master_Mapping_Sheet!$E$2:$E$3143),
Master_Mapping_Sheet!$C$2:$C$3143=AT$1,
Master_Mapping_Sheet!$M$2:$M$3143=VALUE(R"&amp;"IGHT($A9,1))))/sum(filter(
Master_Mapping_Sheet!$E$2:$E$3143, ISNUMBER(
Master_Mapping_Sheet!$E$2:$E$3143),
Master_Mapping_Sheet!$C$2:$C$3143=AT$1)))"),0.0)</f>
        <v>0</v>
      </c>
      <c r="AU9" s="34">
        <f>IFERROR(__xludf.DUMMYFUNCTION("IF(ISNA(sum(filter(
Master_Mapping_Sheet!$E$2:$E$3143, ISNUMBER(
Master_Mapping_Sheet!$E$2:$E$3143),
Master_Mapping_Sheet!$C$2:$C$3143=AU$1,
Master_Mapping_Sheet!$M$2:$M$3143=VALUE(RIGHT($A9,1))))/sum(filter(
Master_Mapping_Sheet!$E$2:$E$3143, ISNUMBER(
M"&amp;"aster_Mapping_Sheet!$E$2:$E$3143),
Master_Mapping_Sheet!$C$2:$C$3143=AU$1))), 0, sum(filter(
Master_Mapping_Sheet!$E$2:$E$3143, ISNUMBER(
Master_Mapping_Sheet!$E$2:$E$3143),
Master_Mapping_Sheet!$C$2:$C$3143=AU$1,
Master_Mapping_Sheet!$M$2:$M$3143=VALUE(R"&amp;"IGHT($A9,1))))/sum(filter(
Master_Mapping_Sheet!$E$2:$E$3143, ISNUMBER(
Master_Mapping_Sheet!$E$2:$E$3143),
Master_Mapping_Sheet!$C$2:$C$3143=AU$1)))"),0.0)</f>
        <v>0</v>
      </c>
      <c r="AV9" s="34">
        <f>IFERROR(__xludf.DUMMYFUNCTION("IF(ISNA(sum(filter(
Master_Mapping_Sheet!$E$2:$E$3143, ISNUMBER(
Master_Mapping_Sheet!$E$2:$E$3143),
Master_Mapping_Sheet!$C$2:$C$3143=AV$1,
Master_Mapping_Sheet!$M$2:$M$3143=VALUE(RIGHT($A9,1))))/sum(filter(
Master_Mapping_Sheet!$E$2:$E$3143, ISNUMBER(
M"&amp;"aster_Mapping_Sheet!$E$2:$E$3143),
Master_Mapping_Sheet!$C$2:$C$3143=AV$1))), 0, sum(filter(
Master_Mapping_Sheet!$E$2:$E$3143, ISNUMBER(
Master_Mapping_Sheet!$E$2:$E$3143),
Master_Mapping_Sheet!$C$2:$C$3143=AV$1,
Master_Mapping_Sheet!$M$2:$M$3143=VALUE(R"&amp;"IGHT($A9,1))))/sum(filter(
Master_Mapping_Sheet!$E$2:$E$3143, ISNUMBER(
Master_Mapping_Sheet!$E$2:$E$3143),
Master_Mapping_Sheet!$C$2:$C$3143=AV$1)))"),0.0)</f>
        <v>0</v>
      </c>
      <c r="AW9" s="34">
        <f>IFERROR(__xludf.DUMMYFUNCTION("IF(ISNA(sum(filter(
Master_Mapping_Sheet!$E$2:$E$3143, ISNUMBER(
Master_Mapping_Sheet!$E$2:$E$3143),
Master_Mapping_Sheet!$C$2:$C$3143=AW$1,
Master_Mapping_Sheet!$M$2:$M$3143=VALUE(RIGHT($A9,1))))/sum(filter(
Master_Mapping_Sheet!$E$2:$E$3143, ISNUMBER(
M"&amp;"aster_Mapping_Sheet!$E$2:$E$3143),
Master_Mapping_Sheet!$C$2:$C$3143=AW$1))), 0, sum(filter(
Master_Mapping_Sheet!$E$2:$E$3143, ISNUMBER(
Master_Mapping_Sheet!$E$2:$E$3143),
Master_Mapping_Sheet!$C$2:$C$3143=AW$1,
Master_Mapping_Sheet!$M$2:$M$3143=VALUE(R"&amp;"IGHT($A9,1))))/sum(filter(
Master_Mapping_Sheet!$E$2:$E$3143, ISNUMBER(
Master_Mapping_Sheet!$E$2:$E$3143),
Master_Mapping_Sheet!$C$2:$C$3143=AW$1)))"),0.0)</f>
        <v>0</v>
      </c>
      <c r="AX9" s="34">
        <f>IFERROR(__xludf.DUMMYFUNCTION("IF(ISNA(sum(filter(
Master_Mapping_Sheet!$E$2:$E$3143, ISNUMBER(
Master_Mapping_Sheet!$E$2:$E$3143),
Master_Mapping_Sheet!$C$2:$C$3143=AX$1,
Master_Mapping_Sheet!$M$2:$M$3143=VALUE(RIGHT($A9,1))))/sum(filter(
Master_Mapping_Sheet!$E$2:$E$3143, ISNUMBER(
M"&amp;"aster_Mapping_Sheet!$E$2:$E$3143),
Master_Mapping_Sheet!$C$2:$C$3143=AX$1))), 0, sum(filter(
Master_Mapping_Sheet!$E$2:$E$3143, ISNUMBER(
Master_Mapping_Sheet!$E$2:$E$3143),
Master_Mapping_Sheet!$C$2:$C$3143=AX$1,
Master_Mapping_Sheet!$M$2:$M$3143=VALUE(R"&amp;"IGHT($A9,1))))/sum(filter(
Master_Mapping_Sheet!$E$2:$E$3143, ISNUMBER(
Master_Mapping_Sheet!$E$2:$E$3143),
Master_Mapping_Sheet!$C$2:$C$3143=AX$1)))"),0.0)</f>
        <v>0</v>
      </c>
      <c r="AY9" s="34">
        <f>IFERROR(__xludf.DUMMYFUNCTION("IF(ISNA(sum(filter(
Master_Mapping_Sheet!$E$2:$E$3143, ISNUMBER(
Master_Mapping_Sheet!$E$2:$E$3143),
Master_Mapping_Sheet!$C$2:$C$3143=AY$1,
Master_Mapping_Sheet!$M$2:$M$3143=VALUE(RIGHT($A9,1))))/sum(filter(
Master_Mapping_Sheet!$E$2:$E$3143, ISNUMBER(
M"&amp;"aster_Mapping_Sheet!$E$2:$E$3143),
Master_Mapping_Sheet!$C$2:$C$3143=AY$1))), 0, sum(filter(
Master_Mapping_Sheet!$E$2:$E$3143, ISNUMBER(
Master_Mapping_Sheet!$E$2:$E$3143),
Master_Mapping_Sheet!$C$2:$C$3143=AY$1,
Master_Mapping_Sheet!$M$2:$M$3143=VALUE(R"&amp;"IGHT($A9,1))))/sum(filter(
Master_Mapping_Sheet!$E$2:$E$3143, ISNUMBER(
Master_Mapping_Sheet!$E$2:$E$3143),
Master_Mapping_Sheet!$C$2:$C$3143=AY$1)))"),0.0)</f>
        <v>0</v>
      </c>
      <c r="AZ9" s="34">
        <f>IFERROR(__xludf.DUMMYFUNCTION("IF(ISNA(sum(filter(
Master_Mapping_Sheet!$E$2:$E$3143, ISNUMBER(
Master_Mapping_Sheet!$E$2:$E$3143),
Master_Mapping_Sheet!$C$2:$C$3143=AZ$1,
Master_Mapping_Sheet!$M$2:$M$3143=VALUE(RIGHT($A9,1))))/sum(filter(
Master_Mapping_Sheet!$E$2:$E$3143, ISNUMBER(
M"&amp;"aster_Mapping_Sheet!$E$2:$E$3143),
Master_Mapping_Sheet!$C$2:$C$3143=AZ$1))), 0, sum(filter(
Master_Mapping_Sheet!$E$2:$E$3143, ISNUMBER(
Master_Mapping_Sheet!$E$2:$E$3143),
Master_Mapping_Sheet!$C$2:$C$3143=AZ$1,
Master_Mapping_Sheet!$M$2:$M$3143=VALUE(R"&amp;"IGHT($A9,1))))/sum(filter(
Master_Mapping_Sheet!$E$2:$E$3143, ISNUMBER(
Master_Mapping_Sheet!$E$2:$E$3143),
Master_Mapping_Sheet!$C$2:$C$3143=AZ$1)))"),0.0)</f>
        <v>0</v>
      </c>
    </row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32" t="s">
        <v>97</v>
      </c>
      <c r="B1" s="45" t="s">
        <v>1994</v>
      </c>
      <c r="C1" s="45" t="s">
        <v>2062</v>
      </c>
      <c r="D1" s="45" t="s">
        <v>2063</v>
      </c>
      <c r="E1" s="45" t="s">
        <v>2079</v>
      </c>
      <c r="F1" s="45" t="s">
        <v>2137</v>
      </c>
      <c r="G1" s="45" t="s">
        <v>2194</v>
      </c>
      <c r="H1" s="45" t="s">
        <v>2250</v>
      </c>
      <c r="I1" s="45" t="s">
        <v>2259</v>
      </c>
      <c r="J1" s="45" t="s">
        <v>2263</v>
      </c>
      <c r="K1" s="45" t="s">
        <v>2264</v>
      </c>
      <c r="L1" s="45" t="s">
        <v>2314</v>
      </c>
      <c r="M1" s="45" t="s">
        <v>2423</v>
      </c>
      <c r="N1" s="45" t="s">
        <v>2424</v>
      </c>
      <c r="O1" s="45" t="s">
        <v>2458</v>
      </c>
      <c r="P1" s="45" t="s">
        <v>2513</v>
      </c>
      <c r="Q1" s="45" t="s">
        <v>2555</v>
      </c>
      <c r="R1" s="45" t="s">
        <v>2601</v>
      </c>
      <c r="S1" s="45" t="s">
        <v>2669</v>
      </c>
      <c r="T1" s="45" t="s">
        <v>2725</v>
      </c>
      <c r="U1" s="45" t="s">
        <v>2790</v>
      </c>
      <c r="V1" s="45" t="s">
        <v>2801</v>
      </c>
      <c r="W1" s="45" t="s">
        <v>2819</v>
      </c>
      <c r="X1" s="45" t="s">
        <v>2830</v>
      </c>
      <c r="Y1" s="45" t="s">
        <v>2893</v>
      </c>
      <c r="Z1" s="45" t="s">
        <v>2955</v>
      </c>
      <c r="AA1" s="45" t="s">
        <v>2992</v>
      </c>
      <c r="AB1" s="45" t="s">
        <v>3034</v>
      </c>
      <c r="AC1" s="45" t="s">
        <v>3071</v>
      </c>
      <c r="AD1" s="45" t="s">
        <v>3112</v>
      </c>
      <c r="AE1" s="45" t="s">
        <v>3123</v>
      </c>
      <c r="AF1" s="45" t="s">
        <v>3131</v>
      </c>
      <c r="AG1" s="45" t="s">
        <v>3143</v>
      </c>
      <c r="AH1" s="45" t="s">
        <v>3168</v>
      </c>
      <c r="AI1" s="45" t="s">
        <v>3200</v>
      </c>
      <c r="AJ1" s="45" t="s">
        <v>3265</v>
      </c>
      <c r="AK1" s="45" t="s">
        <v>3297</v>
      </c>
      <c r="AL1" s="45" t="s">
        <v>3333</v>
      </c>
      <c r="AM1" s="45" t="s">
        <v>3376</v>
      </c>
      <c r="AN1" s="45" t="s">
        <v>3393</v>
      </c>
      <c r="AO1" s="45" t="s">
        <v>3427</v>
      </c>
      <c r="AP1" s="45" t="s">
        <v>3430</v>
      </c>
      <c r="AQ1" s="45" t="s">
        <v>3458</v>
      </c>
      <c r="AR1" s="45" t="s">
        <v>3497</v>
      </c>
      <c r="AS1" s="45" t="s">
        <v>3524</v>
      </c>
      <c r="AT1" s="45" t="s">
        <v>3687</v>
      </c>
      <c r="AU1" s="45" t="s">
        <v>3704</v>
      </c>
      <c r="AV1" s="45" t="s">
        <v>3713</v>
      </c>
      <c r="AW1" s="45" t="s">
        <v>3797</v>
      </c>
      <c r="AX1" s="45" t="s">
        <v>3820</v>
      </c>
      <c r="AY1" s="45" t="s">
        <v>3838</v>
      </c>
      <c r="AZ1" s="45" t="s">
        <v>3874</v>
      </c>
    </row>
    <row r="2" ht="15.75" customHeight="1">
      <c r="A2" s="32" t="s">
        <v>416</v>
      </c>
      <c r="B2" s="34">
        <f>IFERROR(__xludf.DUMMYFUNCTION("IF(ISNA(sum(filter(
Master_Mapping_Sheet!$E$2:$E$3143, ISNUMBER(
Master_Mapping_Sheet!$E$2:$E$3143),
Master_Mapping_Sheet!$C$2:$C$3143=B$1,
Master_Mapping_Sheet!$L$2:$L$3143=$A2))/sum(filter(
Master_Mapping_Sheet!$E$2:$E$3143, ISNUMBER(
Master_Mapping_She"&amp;"et!$E$2:$E$3143),
Master_Mapping_Sheet!$C$2:$C$3143=B$1))), 0, sum(filter(
Master_Mapping_Sheet!$E$2:$E$3143, ISNUMBER(
Master_Mapping_Sheet!$E$2:$E$3143),
Master_Mapping_Sheet!$C$2:$C$3143=B$1,
Master_Mapping_Sheet!$L$2:$L$3143=$A2))/sum(filter(
Master_M"&amp;"apping_Sheet!$E$2:$E$3143, ISNUMBER(
Master_Mapping_Sheet!$E$2:$E$3143),
Master_Mapping_Sheet!$C$2:$C$3143=B$1)))"),0.0)</f>
        <v>0</v>
      </c>
      <c r="C2" s="34">
        <f>IFERROR(__xludf.DUMMYFUNCTION("IF(ISNA(sum(filter(
Master_Mapping_Sheet!$E$2:$E$3143, ISNUMBER(
Master_Mapping_Sheet!$E$2:$E$3143),
Master_Mapping_Sheet!$C$2:$C$3143=C$1,
Master_Mapping_Sheet!$L$2:$L$3143=$A2))/sum(filter(
Master_Mapping_Sheet!$E$2:$E$3143, ISNUMBER(
Master_Mapping_She"&amp;"et!$E$2:$E$3143),
Master_Mapping_Sheet!$C$2:$C$3143=C$1))), 0, sum(filter(
Master_Mapping_Sheet!$E$2:$E$3143, ISNUMBER(
Master_Mapping_Sheet!$E$2:$E$3143),
Master_Mapping_Sheet!$C$2:$C$3143=C$1,
Master_Mapping_Sheet!$L$2:$L$3143=$A2))/sum(filter(
Master_M"&amp;"apping_Sheet!$E$2:$E$3143, ISNUMBER(
Master_Mapping_Sheet!$E$2:$E$3143),
Master_Mapping_Sheet!$C$2:$C$3143=C$1)))"),0.0)</f>
        <v>0</v>
      </c>
      <c r="D2" s="34">
        <f>IFERROR(__xludf.DUMMYFUNCTION("IF(ISNA(sum(filter(
Master_Mapping_Sheet!$E$2:$E$3143, ISNUMBER(
Master_Mapping_Sheet!$E$2:$E$3143),
Master_Mapping_Sheet!$C$2:$C$3143=D$1,
Master_Mapping_Sheet!$L$2:$L$3143=$A2))/sum(filter(
Master_Mapping_Sheet!$E$2:$E$3143, ISNUMBER(
Master_Mapping_She"&amp;"et!$E$2:$E$3143),
Master_Mapping_Sheet!$C$2:$C$3143=D$1))), 0, sum(filter(
Master_Mapping_Sheet!$E$2:$E$3143, ISNUMBER(
Master_Mapping_Sheet!$E$2:$E$3143),
Master_Mapping_Sheet!$C$2:$C$3143=D$1,
Master_Mapping_Sheet!$L$2:$L$3143=$A2))/sum(filter(
Master_M"&amp;"apping_Sheet!$E$2:$E$3143, ISNUMBER(
Master_Mapping_Sheet!$E$2:$E$3143),
Master_Mapping_Sheet!$C$2:$C$3143=D$1)))"),0.0)</f>
        <v>0</v>
      </c>
      <c r="E2" s="34">
        <f>IFERROR(__xludf.DUMMYFUNCTION("IF(ISNA(sum(filter(
Master_Mapping_Sheet!$E$2:$E$3143, ISNUMBER(
Master_Mapping_Sheet!$E$2:$E$3143),
Master_Mapping_Sheet!$C$2:$C$3143=E$1,
Master_Mapping_Sheet!$L$2:$L$3143=$A2))/sum(filter(
Master_Mapping_Sheet!$E$2:$E$3143, ISNUMBER(
Master_Mapping_She"&amp;"et!$E$2:$E$3143),
Master_Mapping_Sheet!$C$2:$C$3143=E$1))), 0, sum(filter(
Master_Mapping_Sheet!$E$2:$E$3143, ISNUMBER(
Master_Mapping_Sheet!$E$2:$E$3143),
Master_Mapping_Sheet!$C$2:$C$3143=E$1,
Master_Mapping_Sheet!$L$2:$L$3143=$A2))/sum(filter(
Master_M"&amp;"apping_Sheet!$E$2:$E$3143, ISNUMBER(
Master_Mapping_Sheet!$E$2:$E$3143),
Master_Mapping_Sheet!$C$2:$C$3143=E$1)))"),0.0)</f>
        <v>0</v>
      </c>
      <c r="F2" s="34">
        <f>IFERROR(__xludf.DUMMYFUNCTION("IF(ISNA(sum(filter(
Master_Mapping_Sheet!$E$2:$E$3143, ISNUMBER(
Master_Mapping_Sheet!$E$2:$E$3143),
Master_Mapping_Sheet!$C$2:$C$3143=F$1,
Master_Mapping_Sheet!$L$2:$L$3143=$A2))/sum(filter(
Master_Mapping_Sheet!$E$2:$E$3143, ISNUMBER(
Master_Mapping_She"&amp;"et!$E$2:$E$3143),
Master_Mapping_Sheet!$C$2:$C$3143=F$1))), 0, sum(filter(
Master_Mapping_Sheet!$E$2:$E$3143, ISNUMBER(
Master_Mapping_Sheet!$E$2:$E$3143),
Master_Mapping_Sheet!$C$2:$C$3143=F$1,
Master_Mapping_Sheet!$L$2:$L$3143=$A2))/sum(filter(
Master_M"&amp;"apping_Sheet!$E$2:$E$3143, ISNUMBER(
Master_Mapping_Sheet!$E$2:$E$3143),
Master_Mapping_Sheet!$C$2:$C$3143=F$1)))"),0.0)</f>
        <v>0</v>
      </c>
      <c r="G2" s="34">
        <f>IFERROR(__xludf.DUMMYFUNCTION("IF(ISNA(sum(filter(
Master_Mapping_Sheet!$E$2:$E$3143, ISNUMBER(
Master_Mapping_Sheet!$E$2:$E$3143),
Master_Mapping_Sheet!$C$2:$C$3143=G$1,
Master_Mapping_Sheet!$L$2:$L$3143=$A2))/sum(filter(
Master_Mapping_Sheet!$E$2:$E$3143, ISNUMBER(
Master_Mapping_She"&amp;"et!$E$2:$E$3143),
Master_Mapping_Sheet!$C$2:$C$3143=G$1))), 0, sum(filter(
Master_Mapping_Sheet!$E$2:$E$3143, ISNUMBER(
Master_Mapping_Sheet!$E$2:$E$3143),
Master_Mapping_Sheet!$C$2:$C$3143=G$1,
Master_Mapping_Sheet!$L$2:$L$3143=$A2))/sum(filter(
Master_M"&amp;"apping_Sheet!$E$2:$E$3143, ISNUMBER(
Master_Mapping_Sheet!$E$2:$E$3143),
Master_Mapping_Sheet!$C$2:$C$3143=G$1)))"),0.0)</f>
        <v>0</v>
      </c>
      <c r="H2" s="34">
        <f>IFERROR(__xludf.DUMMYFUNCTION("IF(ISNA(sum(filter(
Master_Mapping_Sheet!$E$2:$E$3143, ISNUMBER(
Master_Mapping_Sheet!$E$2:$E$3143),
Master_Mapping_Sheet!$C$2:$C$3143=H$1,
Master_Mapping_Sheet!$L$2:$L$3143=$A2))/sum(filter(
Master_Mapping_Sheet!$E$2:$E$3143, ISNUMBER(
Master_Mapping_She"&amp;"et!$E$2:$E$3143),
Master_Mapping_Sheet!$C$2:$C$3143=H$1))), 0, sum(filter(
Master_Mapping_Sheet!$E$2:$E$3143, ISNUMBER(
Master_Mapping_Sheet!$E$2:$E$3143),
Master_Mapping_Sheet!$C$2:$C$3143=H$1,
Master_Mapping_Sheet!$L$2:$L$3143=$A2))/sum(filter(
Master_M"&amp;"apping_Sheet!$E$2:$E$3143, ISNUMBER(
Master_Mapping_Sheet!$E$2:$E$3143),
Master_Mapping_Sheet!$C$2:$C$3143=H$1)))"),0.0)</f>
        <v>0</v>
      </c>
      <c r="I2" s="34">
        <f>IFERROR(__xludf.DUMMYFUNCTION("IF(ISNA(sum(filter(
Master_Mapping_Sheet!$E$2:$E$3143, ISNUMBER(
Master_Mapping_Sheet!$E$2:$E$3143),
Master_Mapping_Sheet!$C$2:$C$3143=I$1,
Master_Mapping_Sheet!$L$2:$L$3143=$A2))/sum(filter(
Master_Mapping_Sheet!$E$2:$E$3143, ISNUMBER(
Master_Mapping_She"&amp;"et!$E$2:$E$3143),
Master_Mapping_Sheet!$C$2:$C$3143=I$1))), 0, sum(filter(
Master_Mapping_Sheet!$E$2:$E$3143, ISNUMBER(
Master_Mapping_Sheet!$E$2:$E$3143),
Master_Mapping_Sheet!$C$2:$C$3143=I$1,
Master_Mapping_Sheet!$L$2:$L$3143=$A2))/sum(filter(
Master_M"&amp;"apping_Sheet!$E$2:$E$3143, ISNUMBER(
Master_Mapping_Sheet!$E$2:$E$3143),
Master_Mapping_Sheet!$C$2:$C$3143=I$1)))"),0.0)</f>
        <v>0</v>
      </c>
      <c r="J2" s="34">
        <f>IFERROR(__xludf.DUMMYFUNCTION("IF(ISNA(sum(filter(
Master_Mapping_Sheet!$E$2:$E$3143, ISNUMBER(
Master_Mapping_Sheet!$E$2:$E$3143),
Master_Mapping_Sheet!$C$2:$C$3143=J$1,
Master_Mapping_Sheet!$L$2:$L$3143=$A2))/sum(filter(
Master_Mapping_Sheet!$E$2:$E$3143, ISNUMBER(
Master_Mapping_She"&amp;"et!$E$2:$E$3143),
Master_Mapping_Sheet!$C$2:$C$3143=J$1))), 0, sum(filter(
Master_Mapping_Sheet!$E$2:$E$3143, ISNUMBER(
Master_Mapping_Sheet!$E$2:$E$3143),
Master_Mapping_Sheet!$C$2:$C$3143=J$1,
Master_Mapping_Sheet!$L$2:$L$3143=$A2))/sum(filter(
Master_M"&amp;"apping_Sheet!$E$2:$E$3143, ISNUMBER(
Master_Mapping_Sheet!$E$2:$E$3143),
Master_Mapping_Sheet!$C$2:$C$3143=J$1)))"),0.0)</f>
        <v>0</v>
      </c>
      <c r="K2" s="34">
        <f>IFERROR(__xludf.DUMMYFUNCTION("IF(ISNA(sum(filter(
Master_Mapping_Sheet!$E$2:$E$3143, ISNUMBER(
Master_Mapping_Sheet!$E$2:$E$3143),
Master_Mapping_Sheet!$C$2:$C$3143=K$1,
Master_Mapping_Sheet!$L$2:$L$3143=$A2))/sum(filter(
Master_Mapping_Sheet!$E$2:$E$3143, ISNUMBER(
Master_Mapping_She"&amp;"et!$E$2:$E$3143),
Master_Mapping_Sheet!$C$2:$C$3143=K$1))), 0, sum(filter(
Master_Mapping_Sheet!$E$2:$E$3143, ISNUMBER(
Master_Mapping_Sheet!$E$2:$E$3143),
Master_Mapping_Sheet!$C$2:$C$3143=K$1,
Master_Mapping_Sheet!$L$2:$L$3143=$A2))/sum(filter(
Master_M"&amp;"apping_Sheet!$E$2:$E$3143, ISNUMBER(
Master_Mapping_Sheet!$E$2:$E$3143),
Master_Mapping_Sheet!$C$2:$C$3143=K$1)))"),0.20919328286937802)</f>
        <v>0.2091932829</v>
      </c>
      <c r="L2" s="34">
        <f>IFERROR(__xludf.DUMMYFUNCTION("IF(ISNA(sum(filter(
Master_Mapping_Sheet!$E$2:$E$3143, ISNUMBER(
Master_Mapping_Sheet!$E$2:$E$3143),
Master_Mapping_Sheet!$C$2:$C$3143=L$1,
Master_Mapping_Sheet!$L$2:$L$3143=$A2))/sum(filter(
Master_Mapping_Sheet!$E$2:$E$3143, ISNUMBER(
Master_Mapping_She"&amp;"et!$E$2:$E$3143),
Master_Mapping_Sheet!$C$2:$C$3143=L$1))), 0, sum(filter(
Master_Mapping_Sheet!$E$2:$E$3143, ISNUMBER(
Master_Mapping_Sheet!$E$2:$E$3143),
Master_Mapping_Sheet!$C$2:$C$3143=L$1,
Master_Mapping_Sheet!$L$2:$L$3143=$A2))/sum(filter(
Master_M"&amp;"apping_Sheet!$E$2:$E$3143, ISNUMBER(
Master_Mapping_Sheet!$E$2:$E$3143),
Master_Mapping_Sheet!$C$2:$C$3143=L$1)))"),0.0)</f>
        <v>0</v>
      </c>
      <c r="M2" s="34">
        <f>IFERROR(__xludf.DUMMYFUNCTION("IF(ISNA(sum(filter(
Master_Mapping_Sheet!$E$2:$E$3143, ISNUMBER(
Master_Mapping_Sheet!$E$2:$E$3143),
Master_Mapping_Sheet!$C$2:$C$3143=M$1,
Master_Mapping_Sheet!$L$2:$L$3143=$A2))/sum(filter(
Master_Mapping_Sheet!$E$2:$E$3143, ISNUMBER(
Master_Mapping_She"&amp;"et!$E$2:$E$3143),
Master_Mapping_Sheet!$C$2:$C$3143=M$1))), 0, sum(filter(
Master_Mapping_Sheet!$E$2:$E$3143, ISNUMBER(
Master_Mapping_Sheet!$E$2:$E$3143),
Master_Mapping_Sheet!$C$2:$C$3143=M$1,
Master_Mapping_Sheet!$L$2:$L$3143=$A2))/sum(filter(
Master_M"&amp;"apping_Sheet!$E$2:$E$3143, ISNUMBER(
Master_Mapping_Sheet!$E$2:$E$3143),
Master_Mapping_Sheet!$C$2:$C$3143=M$1)))"),1.0)</f>
        <v>1</v>
      </c>
      <c r="N2" s="34">
        <f>IFERROR(__xludf.DUMMYFUNCTION("IF(ISNA(sum(filter(
Master_Mapping_Sheet!$E$2:$E$3143, ISNUMBER(
Master_Mapping_Sheet!$E$2:$E$3143),
Master_Mapping_Sheet!$C$2:$C$3143=N$1,
Master_Mapping_Sheet!$L$2:$L$3143=$A2))/sum(filter(
Master_Mapping_Sheet!$E$2:$E$3143, ISNUMBER(
Master_Mapping_She"&amp;"et!$E$2:$E$3143),
Master_Mapping_Sheet!$C$2:$C$3143=N$1))), 0, sum(filter(
Master_Mapping_Sheet!$E$2:$E$3143, ISNUMBER(
Master_Mapping_Sheet!$E$2:$E$3143),
Master_Mapping_Sheet!$C$2:$C$3143=N$1,
Master_Mapping_Sheet!$L$2:$L$3143=$A2))/sum(filter(
Master_M"&amp;"apping_Sheet!$E$2:$E$3143, ISNUMBER(
Master_Mapping_Sheet!$E$2:$E$3143),
Master_Mapping_Sheet!$C$2:$C$3143=N$1)))"),0.0)</f>
        <v>0</v>
      </c>
      <c r="O2" s="34">
        <f>IFERROR(__xludf.DUMMYFUNCTION("IF(ISNA(sum(filter(
Master_Mapping_Sheet!$E$2:$E$3143, ISNUMBER(
Master_Mapping_Sheet!$E$2:$E$3143),
Master_Mapping_Sheet!$C$2:$C$3143=O$1,
Master_Mapping_Sheet!$L$2:$L$3143=$A2))/sum(filter(
Master_Mapping_Sheet!$E$2:$E$3143, ISNUMBER(
Master_Mapping_She"&amp;"et!$E$2:$E$3143),
Master_Mapping_Sheet!$C$2:$C$3143=O$1))), 0, sum(filter(
Master_Mapping_Sheet!$E$2:$E$3143, ISNUMBER(
Master_Mapping_Sheet!$E$2:$E$3143),
Master_Mapping_Sheet!$C$2:$C$3143=O$1,
Master_Mapping_Sheet!$L$2:$L$3143=$A2))/sum(filter(
Master_M"&amp;"apping_Sheet!$E$2:$E$3143, ISNUMBER(
Master_Mapping_Sheet!$E$2:$E$3143),
Master_Mapping_Sheet!$C$2:$C$3143=O$1)))"),0.0)</f>
        <v>0</v>
      </c>
      <c r="P2" s="34">
        <f>IFERROR(__xludf.DUMMYFUNCTION("IF(ISNA(sum(filter(
Master_Mapping_Sheet!$E$2:$E$3143, ISNUMBER(
Master_Mapping_Sheet!$E$2:$E$3143),
Master_Mapping_Sheet!$C$2:$C$3143=P$1,
Master_Mapping_Sheet!$L$2:$L$3143=$A2))/sum(filter(
Master_Mapping_Sheet!$E$2:$E$3143, ISNUMBER(
Master_Mapping_She"&amp;"et!$E$2:$E$3143),
Master_Mapping_Sheet!$C$2:$C$3143=P$1))), 0, sum(filter(
Master_Mapping_Sheet!$E$2:$E$3143, ISNUMBER(
Master_Mapping_Sheet!$E$2:$E$3143),
Master_Mapping_Sheet!$C$2:$C$3143=P$1,
Master_Mapping_Sheet!$L$2:$L$3143=$A2))/sum(filter(
Master_M"&amp;"apping_Sheet!$E$2:$E$3143, ISNUMBER(
Master_Mapping_Sheet!$E$2:$E$3143),
Master_Mapping_Sheet!$C$2:$C$3143=P$1)))"),0.0)</f>
        <v>0</v>
      </c>
      <c r="Q2" s="34">
        <f>IFERROR(__xludf.DUMMYFUNCTION("IF(ISNA(sum(filter(
Master_Mapping_Sheet!$E$2:$E$3143, ISNUMBER(
Master_Mapping_Sheet!$E$2:$E$3143),
Master_Mapping_Sheet!$C$2:$C$3143=Q$1,
Master_Mapping_Sheet!$L$2:$L$3143=$A2))/sum(filter(
Master_Mapping_Sheet!$E$2:$E$3143, ISNUMBER(
Master_Mapping_She"&amp;"et!$E$2:$E$3143),
Master_Mapping_Sheet!$C$2:$C$3143=Q$1))), 0, sum(filter(
Master_Mapping_Sheet!$E$2:$E$3143, ISNUMBER(
Master_Mapping_Sheet!$E$2:$E$3143),
Master_Mapping_Sheet!$C$2:$C$3143=Q$1,
Master_Mapping_Sheet!$L$2:$L$3143=$A2))/sum(filter(
Master_M"&amp;"apping_Sheet!$E$2:$E$3143, ISNUMBER(
Master_Mapping_Sheet!$E$2:$E$3143),
Master_Mapping_Sheet!$C$2:$C$3143=Q$1)))"),0.0)</f>
        <v>0</v>
      </c>
      <c r="R2" s="34">
        <f>IFERROR(__xludf.DUMMYFUNCTION("IF(ISNA(sum(filter(
Master_Mapping_Sheet!$E$2:$E$3143, ISNUMBER(
Master_Mapping_Sheet!$E$2:$E$3143),
Master_Mapping_Sheet!$C$2:$C$3143=R$1,
Master_Mapping_Sheet!$L$2:$L$3143=$A2))/sum(filter(
Master_Mapping_Sheet!$E$2:$E$3143, ISNUMBER(
Master_Mapping_She"&amp;"et!$E$2:$E$3143),
Master_Mapping_Sheet!$C$2:$C$3143=R$1))), 0, sum(filter(
Master_Mapping_Sheet!$E$2:$E$3143, ISNUMBER(
Master_Mapping_Sheet!$E$2:$E$3143),
Master_Mapping_Sheet!$C$2:$C$3143=R$1,
Master_Mapping_Sheet!$L$2:$L$3143=$A2))/sum(filter(
Master_M"&amp;"apping_Sheet!$E$2:$E$3143, ISNUMBER(
Master_Mapping_Sheet!$E$2:$E$3143),
Master_Mapping_Sheet!$C$2:$C$3143=R$1)))"),0.0)</f>
        <v>0</v>
      </c>
      <c r="S2" s="34">
        <f>IFERROR(__xludf.DUMMYFUNCTION("IF(ISNA(sum(filter(
Master_Mapping_Sheet!$E$2:$E$3143, ISNUMBER(
Master_Mapping_Sheet!$E$2:$E$3143),
Master_Mapping_Sheet!$C$2:$C$3143=S$1,
Master_Mapping_Sheet!$L$2:$L$3143=$A2))/sum(filter(
Master_Mapping_Sheet!$E$2:$E$3143, ISNUMBER(
Master_Mapping_She"&amp;"et!$E$2:$E$3143),
Master_Mapping_Sheet!$C$2:$C$3143=S$1))), 0, sum(filter(
Master_Mapping_Sheet!$E$2:$E$3143, ISNUMBER(
Master_Mapping_Sheet!$E$2:$E$3143),
Master_Mapping_Sheet!$C$2:$C$3143=S$1,
Master_Mapping_Sheet!$L$2:$L$3143=$A2))/sum(filter(
Master_M"&amp;"apping_Sheet!$E$2:$E$3143, ISNUMBER(
Master_Mapping_Sheet!$E$2:$E$3143),
Master_Mapping_Sheet!$C$2:$C$3143=S$1)))"),0.0)</f>
        <v>0</v>
      </c>
      <c r="T2" s="34">
        <f>IFERROR(__xludf.DUMMYFUNCTION("IF(ISNA(sum(filter(
Master_Mapping_Sheet!$E$2:$E$3143, ISNUMBER(
Master_Mapping_Sheet!$E$2:$E$3143),
Master_Mapping_Sheet!$C$2:$C$3143=T$1,
Master_Mapping_Sheet!$L$2:$L$3143=$A2))/sum(filter(
Master_Mapping_Sheet!$E$2:$E$3143, ISNUMBER(
Master_Mapping_She"&amp;"et!$E$2:$E$3143),
Master_Mapping_Sheet!$C$2:$C$3143=T$1))), 0, sum(filter(
Master_Mapping_Sheet!$E$2:$E$3143, ISNUMBER(
Master_Mapping_Sheet!$E$2:$E$3143),
Master_Mapping_Sheet!$C$2:$C$3143=T$1,
Master_Mapping_Sheet!$L$2:$L$3143=$A2))/sum(filter(
Master_M"&amp;"apping_Sheet!$E$2:$E$3143, ISNUMBER(
Master_Mapping_Sheet!$E$2:$E$3143),
Master_Mapping_Sheet!$C$2:$C$3143=T$1)))"),0.0)</f>
        <v>0</v>
      </c>
      <c r="U2" s="34">
        <f>IFERROR(__xludf.DUMMYFUNCTION("IF(ISNA(sum(filter(
Master_Mapping_Sheet!$E$2:$E$3143, ISNUMBER(
Master_Mapping_Sheet!$E$2:$E$3143),
Master_Mapping_Sheet!$C$2:$C$3143=U$1,
Master_Mapping_Sheet!$L$2:$L$3143=$A2))/sum(filter(
Master_Mapping_Sheet!$E$2:$E$3143, ISNUMBER(
Master_Mapping_She"&amp;"et!$E$2:$E$3143),
Master_Mapping_Sheet!$C$2:$C$3143=U$1))), 0, sum(filter(
Master_Mapping_Sheet!$E$2:$E$3143, ISNUMBER(
Master_Mapping_Sheet!$E$2:$E$3143),
Master_Mapping_Sheet!$C$2:$C$3143=U$1,
Master_Mapping_Sheet!$L$2:$L$3143=$A2))/sum(filter(
Master_M"&amp;"apping_Sheet!$E$2:$E$3143, ISNUMBER(
Master_Mapping_Sheet!$E$2:$E$3143),
Master_Mapping_Sheet!$C$2:$C$3143=U$1)))"),0.0)</f>
        <v>0</v>
      </c>
      <c r="V2" s="34">
        <f>IFERROR(__xludf.DUMMYFUNCTION("IF(ISNA(sum(filter(
Master_Mapping_Sheet!$E$2:$E$3143, ISNUMBER(
Master_Mapping_Sheet!$E$2:$E$3143),
Master_Mapping_Sheet!$C$2:$C$3143=V$1,
Master_Mapping_Sheet!$L$2:$L$3143=$A2))/sum(filter(
Master_Mapping_Sheet!$E$2:$E$3143, ISNUMBER(
Master_Mapping_She"&amp;"et!$E$2:$E$3143),
Master_Mapping_Sheet!$C$2:$C$3143=V$1))), 0, sum(filter(
Master_Mapping_Sheet!$E$2:$E$3143, ISNUMBER(
Master_Mapping_Sheet!$E$2:$E$3143),
Master_Mapping_Sheet!$C$2:$C$3143=V$1,
Master_Mapping_Sheet!$L$2:$L$3143=$A2))/sum(filter(
Master_M"&amp;"apping_Sheet!$E$2:$E$3143, ISNUMBER(
Master_Mapping_Sheet!$E$2:$E$3143),
Master_Mapping_Sheet!$C$2:$C$3143=V$1)))"),0.0)</f>
        <v>0</v>
      </c>
      <c r="W2" s="34">
        <f>IFERROR(__xludf.DUMMYFUNCTION("IF(ISNA(sum(filter(
Master_Mapping_Sheet!$E$2:$E$3143, ISNUMBER(
Master_Mapping_Sheet!$E$2:$E$3143),
Master_Mapping_Sheet!$C$2:$C$3143=W$1,
Master_Mapping_Sheet!$L$2:$L$3143=$A2))/sum(filter(
Master_Mapping_Sheet!$E$2:$E$3143, ISNUMBER(
Master_Mapping_She"&amp;"et!$E$2:$E$3143),
Master_Mapping_Sheet!$C$2:$C$3143=W$1))), 0, sum(filter(
Master_Mapping_Sheet!$E$2:$E$3143, ISNUMBER(
Master_Mapping_Sheet!$E$2:$E$3143),
Master_Mapping_Sheet!$C$2:$C$3143=W$1,
Master_Mapping_Sheet!$L$2:$L$3143=$A2))/sum(filter(
Master_M"&amp;"apping_Sheet!$E$2:$E$3143, ISNUMBER(
Master_Mapping_Sheet!$E$2:$E$3143),
Master_Mapping_Sheet!$C$2:$C$3143=W$1)))"),0.0)</f>
        <v>0</v>
      </c>
      <c r="X2" s="34">
        <f>IFERROR(__xludf.DUMMYFUNCTION("IF(ISNA(sum(filter(
Master_Mapping_Sheet!$E$2:$E$3143, ISNUMBER(
Master_Mapping_Sheet!$E$2:$E$3143),
Master_Mapping_Sheet!$C$2:$C$3143=X$1,
Master_Mapping_Sheet!$L$2:$L$3143=$A2))/sum(filter(
Master_Mapping_Sheet!$E$2:$E$3143, ISNUMBER(
Master_Mapping_She"&amp;"et!$E$2:$E$3143),
Master_Mapping_Sheet!$C$2:$C$3143=X$1))), 0, sum(filter(
Master_Mapping_Sheet!$E$2:$E$3143, ISNUMBER(
Master_Mapping_Sheet!$E$2:$E$3143),
Master_Mapping_Sheet!$C$2:$C$3143=X$1,
Master_Mapping_Sheet!$L$2:$L$3143=$A2))/sum(filter(
Master_M"&amp;"apping_Sheet!$E$2:$E$3143, ISNUMBER(
Master_Mapping_Sheet!$E$2:$E$3143),
Master_Mapping_Sheet!$C$2:$C$3143=X$1)))"),0.0)</f>
        <v>0</v>
      </c>
      <c r="Y2" s="34">
        <f>IFERROR(__xludf.DUMMYFUNCTION("IF(ISNA(sum(filter(
Master_Mapping_Sheet!$E$2:$E$3143, ISNUMBER(
Master_Mapping_Sheet!$E$2:$E$3143),
Master_Mapping_Sheet!$C$2:$C$3143=Y$1,
Master_Mapping_Sheet!$L$2:$L$3143=$A2))/sum(filter(
Master_Mapping_Sheet!$E$2:$E$3143, ISNUMBER(
Master_Mapping_She"&amp;"et!$E$2:$E$3143),
Master_Mapping_Sheet!$C$2:$C$3143=Y$1))), 0, sum(filter(
Master_Mapping_Sheet!$E$2:$E$3143, ISNUMBER(
Master_Mapping_Sheet!$E$2:$E$3143),
Master_Mapping_Sheet!$C$2:$C$3143=Y$1,
Master_Mapping_Sheet!$L$2:$L$3143=$A2))/sum(filter(
Master_M"&amp;"apping_Sheet!$E$2:$E$3143, ISNUMBER(
Master_Mapping_Sheet!$E$2:$E$3143),
Master_Mapping_Sheet!$C$2:$C$3143=Y$1)))"),0.0)</f>
        <v>0</v>
      </c>
      <c r="Z2" s="34">
        <f>IFERROR(__xludf.DUMMYFUNCTION("IF(ISNA(sum(filter(
Master_Mapping_Sheet!$E$2:$E$3143, ISNUMBER(
Master_Mapping_Sheet!$E$2:$E$3143),
Master_Mapping_Sheet!$C$2:$C$3143=Z$1,
Master_Mapping_Sheet!$L$2:$L$3143=$A2))/sum(filter(
Master_Mapping_Sheet!$E$2:$E$3143, ISNUMBER(
Master_Mapping_She"&amp;"et!$E$2:$E$3143),
Master_Mapping_Sheet!$C$2:$C$3143=Z$1))), 0, sum(filter(
Master_Mapping_Sheet!$E$2:$E$3143, ISNUMBER(
Master_Mapping_Sheet!$E$2:$E$3143),
Master_Mapping_Sheet!$C$2:$C$3143=Z$1,
Master_Mapping_Sheet!$L$2:$L$3143=$A2))/sum(filter(
Master_M"&amp;"apping_Sheet!$E$2:$E$3143, ISNUMBER(
Master_Mapping_Sheet!$E$2:$E$3143),
Master_Mapping_Sheet!$C$2:$C$3143=Z$1)))"),0.0)</f>
        <v>0</v>
      </c>
      <c r="AA2" s="34">
        <f>IFERROR(__xludf.DUMMYFUNCTION("IF(ISNA(sum(filter(
Master_Mapping_Sheet!$E$2:$E$3143, ISNUMBER(
Master_Mapping_Sheet!$E$2:$E$3143),
Master_Mapping_Sheet!$C$2:$C$3143=AA$1,
Master_Mapping_Sheet!$L$2:$L$3143=$A2))/sum(filter(
Master_Mapping_Sheet!$E$2:$E$3143, ISNUMBER(
Master_Mapping_Sh"&amp;"eet!$E$2:$E$3143),
Master_Mapping_Sheet!$C$2:$C$3143=AA$1))), 0, sum(filter(
Master_Mapping_Sheet!$E$2:$E$3143, ISNUMBER(
Master_Mapping_Sheet!$E$2:$E$3143),
Master_Mapping_Sheet!$C$2:$C$3143=AA$1,
Master_Mapping_Sheet!$L$2:$L$3143=$A2))/sum(filter(
Maste"&amp;"r_Mapping_Sheet!$E$2:$E$3143, ISNUMBER(
Master_Mapping_Sheet!$E$2:$E$3143),
Master_Mapping_Sheet!$C$2:$C$3143=AA$1)))"),0.0)</f>
        <v>0</v>
      </c>
      <c r="AB2" s="34">
        <f>IFERROR(__xludf.DUMMYFUNCTION("IF(ISNA(sum(filter(
Master_Mapping_Sheet!$E$2:$E$3143, ISNUMBER(
Master_Mapping_Sheet!$E$2:$E$3143),
Master_Mapping_Sheet!$C$2:$C$3143=AB$1,
Master_Mapping_Sheet!$L$2:$L$3143=$A2))/sum(filter(
Master_Mapping_Sheet!$E$2:$E$3143, ISNUMBER(
Master_Mapping_Sh"&amp;"eet!$E$2:$E$3143),
Master_Mapping_Sheet!$C$2:$C$3143=AB$1))), 0, sum(filter(
Master_Mapping_Sheet!$E$2:$E$3143, ISNUMBER(
Master_Mapping_Sheet!$E$2:$E$3143),
Master_Mapping_Sheet!$C$2:$C$3143=AB$1,
Master_Mapping_Sheet!$L$2:$L$3143=$A2))/sum(filter(
Maste"&amp;"r_Mapping_Sheet!$E$2:$E$3143, ISNUMBER(
Master_Mapping_Sheet!$E$2:$E$3143),
Master_Mapping_Sheet!$C$2:$C$3143=AB$1)))"),0.0)</f>
        <v>0</v>
      </c>
      <c r="AC2" s="34">
        <f>IFERROR(__xludf.DUMMYFUNCTION("IF(ISNA(sum(filter(
Master_Mapping_Sheet!$E$2:$E$3143, ISNUMBER(
Master_Mapping_Sheet!$E$2:$E$3143),
Master_Mapping_Sheet!$C$2:$C$3143=AC$1,
Master_Mapping_Sheet!$L$2:$L$3143=$A2))/sum(filter(
Master_Mapping_Sheet!$E$2:$E$3143, ISNUMBER(
Master_Mapping_Sh"&amp;"eet!$E$2:$E$3143),
Master_Mapping_Sheet!$C$2:$C$3143=AC$1))), 0, sum(filter(
Master_Mapping_Sheet!$E$2:$E$3143, ISNUMBER(
Master_Mapping_Sheet!$E$2:$E$3143),
Master_Mapping_Sheet!$C$2:$C$3143=AC$1,
Master_Mapping_Sheet!$L$2:$L$3143=$A2))/sum(filter(
Maste"&amp;"r_Mapping_Sheet!$E$2:$E$3143, ISNUMBER(
Master_Mapping_Sheet!$E$2:$E$3143),
Master_Mapping_Sheet!$C$2:$C$3143=AC$1)))"),0.0)</f>
        <v>0</v>
      </c>
      <c r="AD2" s="34">
        <f>IFERROR(__xludf.DUMMYFUNCTION("IF(ISNA(sum(filter(
Master_Mapping_Sheet!$E$2:$E$3143, ISNUMBER(
Master_Mapping_Sheet!$E$2:$E$3143),
Master_Mapping_Sheet!$C$2:$C$3143=AD$1,
Master_Mapping_Sheet!$L$2:$L$3143=$A2))/sum(filter(
Master_Mapping_Sheet!$E$2:$E$3143, ISNUMBER(
Master_Mapping_Sh"&amp;"eet!$E$2:$E$3143),
Master_Mapping_Sheet!$C$2:$C$3143=AD$1))), 0, sum(filter(
Master_Mapping_Sheet!$E$2:$E$3143, ISNUMBER(
Master_Mapping_Sheet!$E$2:$E$3143),
Master_Mapping_Sheet!$C$2:$C$3143=AD$1,
Master_Mapping_Sheet!$L$2:$L$3143=$A2))/sum(filter(
Maste"&amp;"r_Mapping_Sheet!$E$2:$E$3143, ISNUMBER(
Master_Mapping_Sheet!$E$2:$E$3143),
Master_Mapping_Sheet!$C$2:$C$3143=AD$1)))"),0.0)</f>
        <v>0</v>
      </c>
      <c r="AE2" s="34">
        <f>IFERROR(__xludf.DUMMYFUNCTION("IF(ISNA(sum(filter(
Master_Mapping_Sheet!$E$2:$E$3143, ISNUMBER(
Master_Mapping_Sheet!$E$2:$E$3143),
Master_Mapping_Sheet!$C$2:$C$3143=AE$1,
Master_Mapping_Sheet!$L$2:$L$3143=$A2))/sum(filter(
Master_Mapping_Sheet!$E$2:$E$3143, ISNUMBER(
Master_Mapping_Sh"&amp;"eet!$E$2:$E$3143),
Master_Mapping_Sheet!$C$2:$C$3143=AE$1))), 0, sum(filter(
Master_Mapping_Sheet!$E$2:$E$3143, ISNUMBER(
Master_Mapping_Sheet!$E$2:$E$3143),
Master_Mapping_Sheet!$C$2:$C$3143=AE$1,
Master_Mapping_Sheet!$L$2:$L$3143=$A2))/sum(filter(
Maste"&amp;"r_Mapping_Sheet!$E$2:$E$3143, ISNUMBER(
Master_Mapping_Sheet!$E$2:$E$3143),
Master_Mapping_Sheet!$C$2:$C$3143=AE$1)))"),0.0)</f>
        <v>0</v>
      </c>
      <c r="AF2" s="34">
        <f>IFERROR(__xludf.DUMMYFUNCTION("IF(ISNA(sum(filter(
Master_Mapping_Sheet!$E$2:$E$3143, ISNUMBER(
Master_Mapping_Sheet!$E$2:$E$3143),
Master_Mapping_Sheet!$C$2:$C$3143=AF$1,
Master_Mapping_Sheet!$L$2:$L$3143=$A2))/sum(filter(
Master_Mapping_Sheet!$E$2:$E$3143, ISNUMBER(
Master_Mapping_Sh"&amp;"eet!$E$2:$E$3143),
Master_Mapping_Sheet!$C$2:$C$3143=AF$1))), 0, sum(filter(
Master_Mapping_Sheet!$E$2:$E$3143, ISNUMBER(
Master_Mapping_Sheet!$E$2:$E$3143),
Master_Mapping_Sheet!$C$2:$C$3143=AF$1,
Master_Mapping_Sheet!$L$2:$L$3143=$A2))/sum(filter(
Maste"&amp;"r_Mapping_Sheet!$E$2:$E$3143, ISNUMBER(
Master_Mapping_Sheet!$E$2:$E$3143),
Master_Mapping_Sheet!$C$2:$C$3143=AF$1)))"),0.0)</f>
        <v>0</v>
      </c>
      <c r="AG2" s="34">
        <f>IFERROR(__xludf.DUMMYFUNCTION("IF(ISNA(sum(filter(
Master_Mapping_Sheet!$E$2:$E$3143, ISNUMBER(
Master_Mapping_Sheet!$E$2:$E$3143),
Master_Mapping_Sheet!$C$2:$C$3143=AG$1,
Master_Mapping_Sheet!$L$2:$L$3143=$A2))/sum(filter(
Master_Mapping_Sheet!$E$2:$E$3143, ISNUMBER(
Master_Mapping_Sh"&amp;"eet!$E$2:$E$3143),
Master_Mapping_Sheet!$C$2:$C$3143=AG$1))), 0, sum(filter(
Master_Mapping_Sheet!$E$2:$E$3143, ISNUMBER(
Master_Mapping_Sheet!$E$2:$E$3143),
Master_Mapping_Sheet!$C$2:$C$3143=AG$1,
Master_Mapping_Sheet!$L$2:$L$3143=$A2))/sum(filter(
Maste"&amp;"r_Mapping_Sheet!$E$2:$E$3143, ISNUMBER(
Master_Mapping_Sheet!$E$2:$E$3143),
Master_Mapping_Sheet!$C$2:$C$3143=AG$1)))"),0.0)</f>
        <v>0</v>
      </c>
      <c r="AH2" s="34">
        <f>IFERROR(__xludf.DUMMYFUNCTION("IF(ISNA(sum(filter(
Master_Mapping_Sheet!$E$2:$E$3143, ISNUMBER(
Master_Mapping_Sheet!$E$2:$E$3143),
Master_Mapping_Sheet!$C$2:$C$3143=AH$1,
Master_Mapping_Sheet!$L$2:$L$3143=$A2))/sum(filter(
Master_Mapping_Sheet!$E$2:$E$3143, ISNUMBER(
Master_Mapping_Sh"&amp;"eet!$E$2:$E$3143),
Master_Mapping_Sheet!$C$2:$C$3143=AH$1))), 0, sum(filter(
Master_Mapping_Sheet!$E$2:$E$3143, ISNUMBER(
Master_Mapping_Sheet!$E$2:$E$3143),
Master_Mapping_Sheet!$C$2:$C$3143=AH$1,
Master_Mapping_Sheet!$L$2:$L$3143=$A2))/sum(filter(
Maste"&amp;"r_Mapping_Sheet!$E$2:$E$3143, ISNUMBER(
Master_Mapping_Sheet!$E$2:$E$3143),
Master_Mapping_Sheet!$C$2:$C$3143=AH$1)))"),0.0)</f>
        <v>0</v>
      </c>
      <c r="AI2" s="34">
        <f>IFERROR(__xludf.DUMMYFUNCTION("IF(ISNA(sum(filter(
Master_Mapping_Sheet!$E$2:$E$3143, ISNUMBER(
Master_Mapping_Sheet!$E$2:$E$3143),
Master_Mapping_Sheet!$C$2:$C$3143=AI$1,
Master_Mapping_Sheet!$L$2:$L$3143=$A2))/sum(filter(
Master_Mapping_Sheet!$E$2:$E$3143, ISNUMBER(
Master_Mapping_Sh"&amp;"eet!$E$2:$E$3143),
Master_Mapping_Sheet!$C$2:$C$3143=AI$1))), 0, sum(filter(
Master_Mapping_Sheet!$E$2:$E$3143, ISNUMBER(
Master_Mapping_Sheet!$E$2:$E$3143),
Master_Mapping_Sheet!$C$2:$C$3143=AI$1,
Master_Mapping_Sheet!$L$2:$L$3143=$A2))/sum(filter(
Maste"&amp;"r_Mapping_Sheet!$E$2:$E$3143, ISNUMBER(
Master_Mapping_Sheet!$E$2:$E$3143),
Master_Mapping_Sheet!$C$2:$C$3143=AI$1)))"),0.0)</f>
        <v>0</v>
      </c>
      <c r="AJ2" s="34">
        <f>IFERROR(__xludf.DUMMYFUNCTION("IF(ISNA(sum(filter(
Master_Mapping_Sheet!$E$2:$E$3143, ISNUMBER(
Master_Mapping_Sheet!$E$2:$E$3143),
Master_Mapping_Sheet!$C$2:$C$3143=AJ$1,
Master_Mapping_Sheet!$L$2:$L$3143=$A2))/sum(filter(
Master_Mapping_Sheet!$E$2:$E$3143, ISNUMBER(
Master_Mapping_Sh"&amp;"eet!$E$2:$E$3143),
Master_Mapping_Sheet!$C$2:$C$3143=AJ$1))), 0, sum(filter(
Master_Mapping_Sheet!$E$2:$E$3143, ISNUMBER(
Master_Mapping_Sheet!$E$2:$E$3143),
Master_Mapping_Sheet!$C$2:$C$3143=AJ$1,
Master_Mapping_Sheet!$L$2:$L$3143=$A2))/sum(filter(
Maste"&amp;"r_Mapping_Sheet!$E$2:$E$3143, ISNUMBER(
Master_Mapping_Sheet!$E$2:$E$3143),
Master_Mapping_Sheet!$C$2:$C$3143=AJ$1)))"),0.0)</f>
        <v>0</v>
      </c>
      <c r="AK2" s="34">
        <f>IFERROR(__xludf.DUMMYFUNCTION("IF(ISNA(sum(filter(
Master_Mapping_Sheet!$E$2:$E$3143, ISNUMBER(
Master_Mapping_Sheet!$E$2:$E$3143),
Master_Mapping_Sheet!$C$2:$C$3143=AK$1,
Master_Mapping_Sheet!$L$2:$L$3143=$A2))/sum(filter(
Master_Mapping_Sheet!$E$2:$E$3143, ISNUMBER(
Master_Mapping_Sh"&amp;"eet!$E$2:$E$3143),
Master_Mapping_Sheet!$C$2:$C$3143=AK$1))), 0, sum(filter(
Master_Mapping_Sheet!$E$2:$E$3143, ISNUMBER(
Master_Mapping_Sheet!$E$2:$E$3143),
Master_Mapping_Sheet!$C$2:$C$3143=AK$1,
Master_Mapping_Sheet!$L$2:$L$3143=$A2))/sum(filter(
Maste"&amp;"r_Mapping_Sheet!$E$2:$E$3143, ISNUMBER(
Master_Mapping_Sheet!$E$2:$E$3143),
Master_Mapping_Sheet!$C$2:$C$3143=AK$1)))"),0.0)</f>
        <v>0</v>
      </c>
      <c r="AL2" s="34">
        <f>IFERROR(__xludf.DUMMYFUNCTION("IF(ISNA(sum(filter(
Master_Mapping_Sheet!$E$2:$E$3143, ISNUMBER(
Master_Mapping_Sheet!$E$2:$E$3143),
Master_Mapping_Sheet!$C$2:$C$3143=AL$1,
Master_Mapping_Sheet!$L$2:$L$3143=$A2))/sum(filter(
Master_Mapping_Sheet!$E$2:$E$3143, ISNUMBER(
Master_Mapping_Sh"&amp;"eet!$E$2:$E$3143),
Master_Mapping_Sheet!$C$2:$C$3143=AL$1))), 0, sum(filter(
Master_Mapping_Sheet!$E$2:$E$3143, ISNUMBER(
Master_Mapping_Sheet!$E$2:$E$3143),
Master_Mapping_Sheet!$C$2:$C$3143=AL$1,
Master_Mapping_Sheet!$L$2:$L$3143=$A2))/sum(filter(
Maste"&amp;"r_Mapping_Sheet!$E$2:$E$3143, ISNUMBER(
Master_Mapping_Sheet!$E$2:$E$3143),
Master_Mapping_Sheet!$C$2:$C$3143=AL$1)))"),0.0)</f>
        <v>0</v>
      </c>
      <c r="AM2" s="34">
        <f>IFERROR(__xludf.DUMMYFUNCTION("IF(ISNA(sum(filter(
Master_Mapping_Sheet!$E$2:$E$3143, ISNUMBER(
Master_Mapping_Sheet!$E$2:$E$3143),
Master_Mapping_Sheet!$C$2:$C$3143=AM$1,
Master_Mapping_Sheet!$L$2:$L$3143=$A2))/sum(filter(
Master_Mapping_Sheet!$E$2:$E$3143, ISNUMBER(
Master_Mapping_Sh"&amp;"eet!$E$2:$E$3143),
Master_Mapping_Sheet!$C$2:$C$3143=AM$1))), 0, sum(filter(
Master_Mapping_Sheet!$E$2:$E$3143, ISNUMBER(
Master_Mapping_Sheet!$E$2:$E$3143),
Master_Mapping_Sheet!$C$2:$C$3143=AM$1,
Master_Mapping_Sheet!$L$2:$L$3143=$A2))/sum(filter(
Maste"&amp;"r_Mapping_Sheet!$E$2:$E$3143, ISNUMBER(
Master_Mapping_Sheet!$E$2:$E$3143),
Master_Mapping_Sheet!$C$2:$C$3143=AM$1)))"),0.0)</f>
        <v>0</v>
      </c>
      <c r="AN2" s="34">
        <f>IFERROR(__xludf.DUMMYFUNCTION("IF(ISNA(sum(filter(
Master_Mapping_Sheet!$E$2:$E$3143, ISNUMBER(
Master_Mapping_Sheet!$E$2:$E$3143),
Master_Mapping_Sheet!$C$2:$C$3143=AN$1,
Master_Mapping_Sheet!$L$2:$L$3143=$A2))/sum(filter(
Master_Mapping_Sheet!$E$2:$E$3143, ISNUMBER(
Master_Mapping_Sh"&amp;"eet!$E$2:$E$3143),
Master_Mapping_Sheet!$C$2:$C$3143=AN$1))), 0, sum(filter(
Master_Mapping_Sheet!$E$2:$E$3143, ISNUMBER(
Master_Mapping_Sheet!$E$2:$E$3143),
Master_Mapping_Sheet!$C$2:$C$3143=AN$1,
Master_Mapping_Sheet!$L$2:$L$3143=$A2))/sum(filter(
Maste"&amp;"r_Mapping_Sheet!$E$2:$E$3143, ISNUMBER(
Master_Mapping_Sheet!$E$2:$E$3143),
Master_Mapping_Sheet!$C$2:$C$3143=AN$1)))"),0.0)</f>
        <v>0</v>
      </c>
      <c r="AO2" s="34">
        <f>IFERROR(__xludf.DUMMYFUNCTION("IF(ISNA(sum(filter(
Master_Mapping_Sheet!$E$2:$E$3143, ISNUMBER(
Master_Mapping_Sheet!$E$2:$E$3143),
Master_Mapping_Sheet!$C$2:$C$3143=AO$1,
Master_Mapping_Sheet!$L$2:$L$3143=$A2))/sum(filter(
Master_Mapping_Sheet!$E$2:$E$3143, ISNUMBER(
Master_Mapping_Sh"&amp;"eet!$E$2:$E$3143),
Master_Mapping_Sheet!$C$2:$C$3143=AO$1))), 0, sum(filter(
Master_Mapping_Sheet!$E$2:$E$3143, ISNUMBER(
Master_Mapping_Sheet!$E$2:$E$3143),
Master_Mapping_Sheet!$C$2:$C$3143=AO$1,
Master_Mapping_Sheet!$L$2:$L$3143=$A2))/sum(filter(
Maste"&amp;"r_Mapping_Sheet!$E$2:$E$3143, ISNUMBER(
Master_Mapping_Sheet!$E$2:$E$3143),
Master_Mapping_Sheet!$C$2:$C$3143=AO$1)))"),0.0)</f>
        <v>0</v>
      </c>
      <c r="AP2" s="34">
        <f>IFERROR(__xludf.DUMMYFUNCTION("IF(ISNA(sum(filter(
Master_Mapping_Sheet!$E$2:$E$3143, ISNUMBER(
Master_Mapping_Sheet!$E$2:$E$3143),
Master_Mapping_Sheet!$C$2:$C$3143=AP$1,
Master_Mapping_Sheet!$L$2:$L$3143=$A2))/sum(filter(
Master_Mapping_Sheet!$E$2:$E$3143, ISNUMBER(
Master_Mapping_Sh"&amp;"eet!$E$2:$E$3143),
Master_Mapping_Sheet!$C$2:$C$3143=AP$1))), 0, sum(filter(
Master_Mapping_Sheet!$E$2:$E$3143, ISNUMBER(
Master_Mapping_Sheet!$E$2:$E$3143),
Master_Mapping_Sheet!$C$2:$C$3143=AP$1,
Master_Mapping_Sheet!$L$2:$L$3143=$A2))/sum(filter(
Maste"&amp;"r_Mapping_Sheet!$E$2:$E$3143, ISNUMBER(
Master_Mapping_Sheet!$E$2:$E$3143),
Master_Mapping_Sheet!$C$2:$C$3143=AP$1)))"),0.0)</f>
        <v>0</v>
      </c>
      <c r="AQ2" s="34">
        <f>IFERROR(__xludf.DUMMYFUNCTION("IF(ISNA(sum(filter(
Master_Mapping_Sheet!$E$2:$E$3143, ISNUMBER(
Master_Mapping_Sheet!$E$2:$E$3143),
Master_Mapping_Sheet!$C$2:$C$3143=AQ$1,
Master_Mapping_Sheet!$L$2:$L$3143=$A2))/sum(filter(
Master_Mapping_Sheet!$E$2:$E$3143, ISNUMBER(
Master_Mapping_Sh"&amp;"eet!$E$2:$E$3143),
Master_Mapping_Sheet!$C$2:$C$3143=AQ$1))), 0, sum(filter(
Master_Mapping_Sheet!$E$2:$E$3143, ISNUMBER(
Master_Mapping_Sheet!$E$2:$E$3143),
Master_Mapping_Sheet!$C$2:$C$3143=AQ$1,
Master_Mapping_Sheet!$L$2:$L$3143=$A2))/sum(filter(
Maste"&amp;"r_Mapping_Sheet!$E$2:$E$3143, ISNUMBER(
Master_Mapping_Sheet!$E$2:$E$3143),
Master_Mapping_Sheet!$C$2:$C$3143=AQ$1)))"),0.0)</f>
        <v>0</v>
      </c>
      <c r="AR2" s="34">
        <f>IFERROR(__xludf.DUMMYFUNCTION("IF(ISNA(sum(filter(
Master_Mapping_Sheet!$E$2:$E$3143, ISNUMBER(
Master_Mapping_Sheet!$E$2:$E$3143),
Master_Mapping_Sheet!$C$2:$C$3143=AR$1,
Master_Mapping_Sheet!$L$2:$L$3143=$A2))/sum(filter(
Master_Mapping_Sheet!$E$2:$E$3143, ISNUMBER(
Master_Mapping_Sh"&amp;"eet!$E$2:$E$3143),
Master_Mapping_Sheet!$C$2:$C$3143=AR$1))), 0, sum(filter(
Master_Mapping_Sheet!$E$2:$E$3143, ISNUMBER(
Master_Mapping_Sheet!$E$2:$E$3143),
Master_Mapping_Sheet!$C$2:$C$3143=AR$1,
Master_Mapping_Sheet!$L$2:$L$3143=$A2))/sum(filter(
Maste"&amp;"r_Mapping_Sheet!$E$2:$E$3143, ISNUMBER(
Master_Mapping_Sheet!$E$2:$E$3143),
Master_Mapping_Sheet!$C$2:$C$3143=AR$1)))"),0.0)</f>
        <v>0</v>
      </c>
      <c r="AS2" s="34">
        <f>IFERROR(__xludf.DUMMYFUNCTION("IF(ISNA(sum(filter(
Master_Mapping_Sheet!$E$2:$E$3143, ISNUMBER(
Master_Mapping_Sheet!$E$2:$E$3143),
Master_Mapping_Sheet!$C$2:$C$3143=AS$1,
Master_Mapping_Sheet!$L$2:$L$3143=$A2))/sum(filter(
Master_Mapping_Sheet!$E$2:$E$3143, ISNUMBER(
Master_Mapping_Sh"&amp;"eet!$E$2:$E$3143),
Master_Mapping_Sheet!$C$2:$C$3143=AS$1))), 0, sum(filter(
Master_Mapping_Sheet!$E$2:$E$3143, ISNUMBER(
Master_Mapping_Sheet!$E$2:$E$3143),
Master_Mapping_Sheet!$C$2:$C$3143=AS$1,
Master_Mapping_Sheet!$L$2:$L$3143=$A2))/sum(filter(
Maste"&amp;"r_Mapping_Sheet!$E$2:$E$3143, ISNUMBER(
Master_Mapping_Sheet!$E$2:$E$3143),
Master_Mapping_Sheet!$C$2:$C$3143=AS$1)))"),0.0)</f>
        <v>0</v>
      </c>
      <c r="AT2" s="34">
        <f>IFERROR(__xludf.DUMMYFUNCTION("IF(ISNA(sum(filter(
Master_Mapping_Sheet!$E$2:$E$3143, ISNUMBER(
Master_Mapping_Sheet!$E$2:$E$3143),
Master_Mapping_Sheet!$C$2:$C$3143=AT$1,
Master_Mapping_Sheet!$L$2:$L$3143=$A2))/sum(filter(
Master_Mapping_Sheet!$E$2:$E$3143, ISNUMBER(
Master_Mapping_Sh"&amp;"eet!$E$2:$E$3143),
Master_Mapping_Sheet!$C$2:$C$3143=AT$1))), 0, sum(filter(
Master_Mapping_Sheet!$E$2:$E$3143, ISNUMBER(
Master_Mapping_Sheet!$E$2:$E$3143),
Master_Mapping_Sheet!$C$2:$C$3143=AT$1,
Master_Mapping_Sheet!$L$2:$L$3143=$A2))/sum(filter(
Maste"&amp;"r_Mapping_Sheet!$E$2:$E$3143, ISNUMBER(
Master_Mapping_Sheet!$E$2:$E$3143),
Master_Mapping_Sheet!$C$2:$C$3143=AT$1)))"),0.0)</f>
        <v>0</v>
      </c>
      <c r="AU2" s="34">
        <f>IFERROR(__xludf.DUMMYFUNCTION("IF(ISNA(sum(filter(
Master_Mapping_Sheet!$E$2:$E$3143, ISNUMBER(
Master_Mapping_Sheet!$E$2:$E$3143),
Master_Mapping_Sheet!$C$2:$C$3143=AU$1,
Master_Mapping_Sheet!$L$2:$L$3143=$A2))/sum(filter(
Master_Mapping_Sheet!$E$2:$E$3143, ISNUMBER(
Master_Mapping_Sh"&amp;"eet!$E$2:$E$3143),
Master_Mapping_Sheet!$C$2:$C$3143=AU$1))), 0, sum(filter(
Master_Mapping_Sheet!$E$2:$E$3143, ISNUMBER(
Master_Mapping_Sheet!$E$2:$E$3143),
Master_Mapping_Sheet!$C$2:$C$3143=AU$1,
Master_Mapping_Sheet!$L$2:$L$3143=$A2))/sum(filter(
Maste"&amp;"r_Mapping_Sheet!$E$2:$E$3143, ISNUMBER(
Master_Mapping_Sheet!$E$2:$E$3143),
Master_Mapping_Sheet!$C$2:$C$3143=AU$1)))"),0.0)</f>
        <v>0</v>
      </c>
      <c r="AV2" s="34">
        <f>IFERROR(__xludf.DUMMYFUNCTION("IF(ISNA(sum(filter(
Master_Mapping_Sheet!$E$2:$E$3143, ISNUMBER(
Master_Mapping_Sheet!$E$2:$E$3143),
Master_Mapping_Sheet!$C$2:$C$3143=AV$1,
Master_Mapping_Sheet!$L$2:$L$3143=$A2))/sum(filter(
Master_Mapping_Sheet!$E$2:$E$3143, ISNUMBER(
Master_Mapping_Sh"&amp;"eet!$E$2:$E$3143),
Master_Mapping_Sheet!$C$2:$C$3143=AV$1))), 0, sum(filter(
Master_Mapping_Sheet!$E$2:$E$3143, ISNUMBER(
Master_Mapping_Sheet!$E$2:$E$3143),
Master_Mapping_Sheet!$C$2:$C$3143=AV$1,
Master_Mapping_Sheet!$L$2:$L$3143=$A2))/sum(filter(
Maste"&amp;"r_Mapping_Sheet!$E$2:$E$3143, ISNUMBER(
Master_Mapping_Sheet!$E$2:$E$3143),
Master_Mapping_Sheet!$C$2:$C$3143=AV$1)))"),0.0)</f>
        <v>0</v>
      </c>
      <c r="AW2" s="34">
        <f>IFERROR(__xludf.DUMMYFUNCTION("IF(ISNA(sum(filter(
Master_Mapping_Sheet!$E$2:$E$3143, ISNUMBER(
Master_Mapping_Sheet!$E$2:$E$3143),
Master_Mapping_Sheet!$C$2:$C$3143=AW$1,
Master_Mapping_Sheet!$L$2:$L$3143=$A2))/sum(filter(
Master_Mapping_Sheet!$E$2:$E$3143, ISNUMBER(
Master_Mapping_Sh"&amp;"eet!$E$2:$E$3143),
Master_Mapping_Sheet!$C$2:$C$3143=AW$1))), 0, sum(filter(
Master_Mapping_Sheet!$E$2:$E$3143, ISNUMBER(
Master_Mapping_Sheet!$E$2:$E$3143),
Master_Mapping_Sheet!$C$2:$C$3143=AW$1,
Master_Mapping_Sheet!$L$2:$L$3143=$A2))/sum(filter(
Maste"&amp;"r_Mapping_Sheet!$E$2:$E$3143, ISNUMBER(
Master_Mapping_Sheet!$E$2:$E$3143),
Master_Mapping_Sheet!$C$2:$C$3143=AW$1)))"),0.0)</f>
        <v>0</v>
      </c>
      <c r="AX2" s="34">
        <f>IFERROR(__xludf.DUMMYFUNCTION("IF(ISNA(sum(filter(
Master_Mapping_Sheet!$E$2:$E$3143, ISNUMBER(
Master_Mapping_Sheet!$E$2:$E$3143),
Master_Mapping_Sheet!$C$2:$C$3143=AX$1,
Master_Mapping_Sheet!$L$2:$L$3143=$A2))/sum(filter(
Master_Mapping_Sheet!$E$2:$E$3143, ISNUMBER(
Master_Mapping_Sh"&amp;"eet!$E$2:$E$3143),
Master_Mapping_Sheet!$C$2:$C$3143=AX$1))), 0, sum(filter(
Master_Mapping_Sheet!$E$2:$E$3143, ISNUMBER(
Master_Mapping_Sheet!$E$2:$E$3143),
Master_Mapping_Sheet!$C$2:$C$3143=AX$1,
Master_Mapping_Sheet!$L$2:$L$3143=$A2))/sum(filter(
Maste"&amp;"r_Mapping_Sheet!$E$2:$E$3143, ISNUMBER(
Master_Mapping_Sheet!$E$2:$E$3143),
Master_Mapping_Sheet!$C$2:$C$3143=AX$1)))"),0.0)</f>
        <v>0</v>
      </c>
      <c r="AY2" s="34">
        <f>IFERROR(__xludf.DUMMYFUNCTION("IF(ISNA(sum(filter(
Master_Mapping_Sheet!$E$2:$E$3143, ISNUMBER(
Master_Mapping_Sheet!$E$2:$E$3143),
Master_Mapping_Sheet!$C$2:$C$3143=AY$1,
Master_Mapping_Sheet!$L$2:$L$3143=$A2))/sum(filter(
Master_Mapping_Sheet!$E$2:$E$3143, ISNUMBER(
Master_Mapping_Sh"&amp;"eet!$E$2:$E$3143),
Master_Mapping_Sheet!$C$2:$C$3143=AY$1))), 0, sum(filter(
Master_Mapping_Sheet!$E$2:$E$3143, ISNUMBER(
Master_Mapping_Sheet!$E$2:$E$3143),
Master_Mapping_Sheet!$C$2:$C$3143=AY$1,
Master_Mapping_Sheet!$L$2:$L$3143=$A2))/sum(filter(
Maste"&amp;"r_Mapping_Sheet!$E$2:$E$3143, ISNUMBER(
Master_Mapping_Sheet!$E$2:$E$3143),
Master_Mapping_Sheet!$C$2:$C$3143=AY$1)))"),0.0)</f>
        <v>0</v>
      </c>
      <c r="AZ2" s="34">
        <f>IFERROR(__xludf.DUMMYFUNCTION("IF(ISNA(sum(filter(
Master_Mapping_Sheet!$E$2:$E$3143, ISNUMBER(
Master_Mapping_Sheet!$E$2:$E$3143),
Master_Mapping_Sheet!$C$2:$C$3143=AZ$1,
Master_Mapping_Sheet!$L$2:$L$3143=$A2))/sum(filter(
Master_Mapping_Sheet!$E$2:$E$3143, ISNUMBER(
Master_Mapping_Sh"&amp;"eet!$E$2:$E$3143),
Master_Mapping_Sheet!$C$2:$C$3143=AZ$1))), 0, sum(filter(
Master_Mapping_Sheet!$E$2:$E$3143, ISNUMBER(
Master_Mapping_Sheet!$E$2:$E$3143),
Master_Mapping_Sheet!$C$2:$C$3143=AZ$1,
Master_Mapping_Sheet!$L$2:$L$3143=$A2))/sum(filter(
Maste"&amp;"r_Mapping_Sheet!$E$2:$E$3143, ISNUMBER(
Master_Mapping_Sheet!$E$2:$E$3143),
Master_Mapping_Sheet!$C$2:$C$3143=AZ$1)))"),0.0)</f>
        <v>0</v>
      </c>
    </row>
    <row r="3" ht="15.75" customHeight="1">
      <c r="A3" s="32" t="s">
        <v>104</v>
      </c>
      <c r="B3" s="34">
        <f>IFERROR(__xludf.DUMMYFUNCTION("IF(ISNA(sum(filter(
Master_Mapping_Sheet!$E$2:$E$3143, ISNUMBER(
Master_Mapping_Sheet!$E$2:$E$3143),
Master_Mapping_Sheet!$C$2:$C$3143=B$1,
Master_Mapping_Sheet!$L$2:$L$3143=$A3))/sum(filter(
Master_Mapping_Sheet!$E$2:$E$3143, ISNUMBER(
Master_Mapping_She"&amp;"et!$E$2:$E$3143),
Master_Mapping_Sheet!$C$2:$C$3143=B$1))), 0, sum(filter(
Master_Mapping_Sheet!$E$2:$E$3143, ISNUMBER(
Master_Mapping_Sheet!$E$2:$E$3143),
Master_Mapping_Sheet!$C$2:$C$3143=B$1,
Master_Mapping_Sheet!$L$2:$L$3143=$A3))/sum(filter(
Master_M"&amp;"apping_Sheet!$E$2:$E$3143, ISNUMBER(
Master_Mapping_Sheet!$E$2:$E$3143),
Master_Mapping_Sheet!$C$2:$C$3143=B$1)))"),0.13020478938108254)</f>
        <v>0.1302047894</v>
      </c>
      <c r="C3" s="34">
        <f>IFERROR(__xludf.DUMMYFUNCTION("IF(ISNA(sum(filter(
Master_Mapping_Sheet!$E$2:$E$3143, ISNUMBER(
Master_Mapping_Sheet!$E$2:$E$3143),
Master_Mapping_Sheet!$C$2:$C$3143=C$1,
Master_Mapping_Sheet!$L$2:$L$3143=$A3))/sum(filter(
Master_Mapping_Sheet!$E$2:$E$3143, ISNUMBER(
Master_Mapping_She"&amp;"et!$E$2:$E$3143),
Master_Mapping_Sheet!$C$2:$C$3143=C$1))), 0, sum(filter(
Master_Mapping_Sheet!$E$2:$E$3143, ISNUMBER(
Master_Mapping_Sheet!$E$2:$E$3143),
Master_Mapping_Sheet!$C$2:$C$3143=C$1,
Master_Mapping_Sheet!$L$2:$L$3143=$A3))/sum(filter(
Master_M"&amp;"apping_Sheet!$E$2:$E$3143, ISNUMBER(
Master_Mapping_Sheet!$E$2:$E$3143),
Master_Mapping_Sheet!$C$2:$C$3143=C$1)))"),0.0)</f>
        <v>0</v>
      </c>
      <c r="D3" s="34">
        <f>IFERROR(__xludf.DUMMYFUNCTION("IF(ISNA(sum(filter(
Master_Mapping_Sheet!$E$2:$E$3143, ISNUMBER(
Master_Mapping_Sheet!$E$2:$E$3143),
Master_Mapping_Sheet!$C$2:$C$3143=D$1,
Master_Mapping_Sheet!$L$2:$L$3143=$A3))/sum(filter(
Master_Mapping_Sheet!$E$2:$E$3143, ISNUMBER(
Master_Mapping_She"&amp;"et!$E$2:$E$3143),
Master_Mapping_Sheet!$C$2:$C$3143=D$1))), 0, sum(filter(
Master_Mapping_Sheet!$E$2:$E$3143, ISNUMBER(
Master_Mapping_Sheet!$E$2:$E$3143),
Master_Mapping_Sheet!$C$2:$C$3143=D$1,
Master_Mapping_Sheet!$L$2:$L$3143=$A3))/sum(filter(
Master_M"&amp;"apping_Sheet!$E$2:$E$3143, ISNUMBER(
Master_Mapping_Sheet!$E$2:$E$3143),
Master_Mapping_Sheet!$C$2:$C$3143=D$1)))"),0.0)</f>
        <v>0</v>
      </c>
      <c r="E3" s="34">
        <f>IFERROR(__xludf.DUMMYFUNCTION("IF(ISNA(sum(filter(
Master_Mapping_Sheet!$E$2:$E$3143, ISNUMBER(
Master_Mapping_Sheet!$E$2:$E$3143),
Master_Mapping_Sheet!$C$2:$C$3143=E$1,
Master_Mapping_Sheet!$L$2:$L$3143=$A3))/sum(filter(
Master_Mapping_Sheet!$E$2:$E$3143, ISNUMBER(
Master_Mapping_She"&amp;"et!$E$2:$E$3143),
Master_Mapping_Sheet!$C$2:$C$3143=E$1))), 0, sum(filter(
Master_Mapping_Sheet!$E$2:$E$3143, ISNUMBER(
Master_Mapping_Sheet!$E$2:$E$3143),
Master_Mapping_Sheet!$C$2:$C$3143=E$1,
Master_Mapping_Sheet!$L$2:$L$3143=$A3))/sum(filter(
Master_M"&amp;"apping_Sheet!$E$2:$E$3143, ISNUMBER(
Master_Mapping_Sheet!$E$2:$E$3143),
Master_Mapping_Sheet!$C$2:$C$3143=E$1)))"),0.0)</f>
        <v>0</v>
      </c>
      <c r="F3" s="34">
        <f>IFERROR(__xludf.DUMMYFUNCTION("IF(ISNA(sum(filter(
Master_Mapping_Sheet!$E$2:$E$3143, ISNUMBER(
Master_Mapping_Sheet!$E$2:$E$3143),
Master_Mapping_Sheet!$C$2:$C$3143=F$1,
Master_Mapping_Sheet!$L$2:$L$3143=$A3))/sum(filter(
Master_Mapping_Sheet!$E$2:$E$3143, ISNUMBER(
Master_Mapping_She"&amp;"et!$E$2:$E$3143),
Master_Mapping_Sheet!$C$2:$C$3143=F$1))), 0, sum(filter(
Master_Mapping_Sheet!$E$2:$E$3143, ISNUMBER(
Master_Mapping_Sheet!$E$2:$E$3143),
Master_Mapping_Sheet!$C$2:$C$3143=F$1,
Master_Mapping_Sheet!$L$2:$L$3143=$A3))/sum(filter(
Master_M"&amp;"apping_Sheet!$E$2:$E$3143, ISNUMBER(
Master_Mapping_Sheet!$E$2:$E$3143),
Master_Mapping_Sheet!$C$2:$C$3143=F$1)))"),0.0)</f>
        <v>0</v>
      </c>
      <c r="G3" s="34">
        <f>IFERROR(__xludf.DUMMYFUNCTION("IF(ISNA(sum(filter(
Master_Mapping_Sheet!$E$2:$E$3143, ISNUMBER(
Master_Mapping_Sheet!$E$2:$E$3143),
Master_Mapping_Sheet!$C$2:$C$3143=G$1,
Master_Mapping_Sheet!$L$2:$L$3143=$A3))/sum(filter(
Master_Mapping_Sheet!$E$2:$E$3143, ISNUMBER(
Master_Mapping_She"&amp;"et!$E$2:$E$3143),
Master_Mapping_Sheet!$C$2:$C$3143=G$1))), 0, sum(filter(
Master_Mapping_Sheet!$E$2:$E$3143, ISNUMBER(
Master_Mapping_Sheet!$E$2:$E$3143),
Master_Mapping_Sheet!$C$2:$C$3143=G$1,
Master_Mapping_Sheet!$L$2:$L$3143=$A3))/sum(filter(
Master_M"&amp;"apping_Sheet!$E$2:$E$3143, ISNUMBER(
Master_Mapping_Sheet!$E$2:$E$3143),
Master_Mapping_Sheet!$C$2:$C$3143=G$1)))"),0.0)</f>
        <v>0</v>
      </c>
      <c r="H3" s="34">
        <f>IFERROR(__xludf.DUMMYFUNCTION("IF(ISNA(sum(filter(
Master_Mapping_Sheet!$E$2:$E$3143, ISNUMBER(
Master_Mapping_Sheet!$E$2:$E$3143),
Master_Mapping_Sheet!$C$2:$C$3143=H$1,
Master_Mapping_Sheet!$L$2:$L$3143=$A3))/sum(filter(
Master_Mapping_Sheet!$E$2:$E$3143, ISNUMBER(
Master_Mapping_She"&amp;"et!$E$2:$E$3143),
Master_Mapping_Sheet!$C$2:$C$3143=H$1))), 0, sum(filter(
Master_Mapping_Sheet!$E$2:$E$3143, ISNUMBER(
Master_Mapping_Sheet!$E$2:$E$3143),
Master_Mapping_Sheet!$C$2:$C$3143=H$1,
Master_Mapping_Sheet!$L$2:$L$3143=$A3))/sum(filter(
Master_M"&amp;"apping_Sheet!$E$2:$E$3143, ISNUMBER(
Master_Mapping_Sheet!$E$2:$E$3143),
Master_Mapping_Sheet!$C$2:$C$3143=H$1)))"),0.0)</f>
        <v>0</v>
      </c>
      <c r="I3" s="34">
        <f>IFERROR(__xludf.DUMMYFUNCTION("IF(ISNA(sum(filter(
Master_Mapping_Sheet!$E$2:$E$3143, ISNUMBER(
Master_Mapping_Sheet!$E$2:$E$3143),
Master_Mapping_Sheet!$C$2:$C$3143=I$1,
Master_Mapping_Sheet!$L$2:$L$3143=$A3))/sum(filter(
Master_Mapping_Sheet!$E$2:$E$3143, ISNUMBER(
Master_Mapping_She"&amp;"et!$E$2:$E$3143),
Master_Mapping_Sheet!$C$2:$C$3143=I$1))), 0, sum(filter(
Master_Mapping_Sheet!$E$2:$E$3143, ISNUMBER(
Master_Mapping_Sheet!$E$2:$E$3143),
Master_Mapping_Sheet!$C$2:$C$3143=I$1,
Master_Mapping_Sheet!$L$2:$L$3143=$A3))/sum(filter(
Master_M"&amp;"apping_Sheet!$E$2:$E$3143, ISNUMBER(
Master_Mapping_Sheet!$E$2:$E$3143),
Master_Mapping_Sheet!$C$2:$C$3143=I$1)))"),0.0)</f>
        <v>0</v>
      </c>
      <c r="J3" s="34">
        <f>IFERROR(__xludf.DUMMYFUNCTION("IF(ISNA(sum(filter(
Master_Mapping_Sheet!$E$2:$E$3143, ISNUMBER(
Master_Mapping_Sheet!$E$2:$E$3143),
Master_Mapping_Sheet!$C$2:$C$3143=J$1,
Master_Mapping_Sheet!$L$2:$L$3143=$A3))/sum(filter(
Master_Mapping_Sheet!$E$2:$E$3143, ISNUMBER(
Master_Mapping_She"&amp;"et!$E$2:$E$3143),
Master_Mapping_Sheet!$C$2:$C$3143=J$1))), 0, sum(filter(
Master_Mapping_Sheet!$E$2:$E$3143, ISNUMBER(
Master_Mapping_Sheet!$E$2:$E$3143),
Master_Mapping_Sheet!$C$2:$C$3143=J$1,
Master_Mapping_Sheet!$L$2:$L$3143=$A3))/sum(filter(
Master_M"&amp;"apping_Sheet!$E$2:$E$3143, ISNUMBER(
Master_Mapping_Sheet!$E$2:$E$3143),
Master_Mapping_Sheet!$C$2:$C$3143=J$1)))"),0.0)</f>
        <v>0</v>
      </c>
      <c r="K3" s="34">
        <f>IFERROR(__xludf.DUMMYFUNCTION("IF(ISNA(sum(filter(
Master_Mapping_Sheet!$E$2:$E$3143, ISNUMBER(
Master_Mapping_Sheet!$E$2:$E$3143),
Master_Mapping_Sheet!$C$2:$C$3143=K$1,
Master_Mapping_Sheet!$L$2:$L$3143=$A3))/sum(filter(
Master_Mapping_Sheet!$E$2:$E$3143, ISNUMBER(
Master_Mapping_She"&amp;"et!$E$2:$E$3143),
Master_Mapping_Sheet!$C$2:$C$3143=K$1))), 0, sum(filter(
Master_Mapping_Sheet!$E$2:$E$3143, ISNUMBER(
Master_Mapping_Sheet!$E$2:$E$3143),
Master_Mapping_Sheet!$C$2:$C$3143=K$1,
Master_Mapping_Sheet!$L$2:$L$3143=$A3))/sum(filter(
Master_M"&amp;"apping_Sheet!$E$2:$E$3143, ISNUMBER(
Master_Mapping_Sheet!$E$2:$E$3143),
Master_Mapping_Sheet!$C$2:$C$3143=K$1)))"),0.790806717130622)</f>
        <v>0.7908067171</v>
      </c>
      <c r="L3" s="34">
        <f>IFERROR(__xludf.DUMMYFUNCTION("IF(ISNA(sum(filter(
Master_Mapping_Sheet!$E$2:$E$3143, ISNUMBER(
Master_Mapping_Sheet!$E$2:$E$3143),
Master_Mapping_Sheet!$C$2:$C$3143=L$1,
Master_Mapping_Sheet!$L$2:$L$3143=$A3))/sum(filter(
Master_Mapping_Sheet!$E$2:$E$3143, ISNUMBER(
Master_Mapping_She"&amp;"et!$E$2:$E$3143),
Master_Mapping_Sheet!$C$2:$C$3143=L$1))), 0, sum(filter(
Master_Mapping_Sheet!$E$2:$E$3143, ISNUMBER(
Master_Mapping_Sheet!$E$2:$E$3143),
Master_Mapping_Sheet!$C$2:$C$3143=L$1,
Master_Mapping_Sheet!$L$2:$L$3143=$A3))/sum(filter(
Master_M"&amp;"apping_Sheet!$E$2:$E$3143, ISNUMBER(
Master_Mapping_Sheet!$E$2:$E$3143),
Master_Mapping_Sheet!$C$2:$C$3143=L$1)))"),0.11638068560924533)</f>
        <v>0.1163806856</v>
      </c>
      <c r="M3" s="34">
        <f>IFERROR(__xludf.DUMMYFUNCTION("IF(ISNA(sum(filter(
Master_Mapping_Sheet!$E$2:$E$3143, ISNUMBER(
Master_Mapping_Sheet!$E$2:$E$3143),
Master_Mapping_Sheet!$C$2:$C$3143=M$1,
Master_Mapping_Sheet!$L$2:$L$3143=$A3))/sum(filter(
Master_Mapping_Sheet!$E$2:$E$3143, ISNUMBER(
Master_Mapping_She"&amp;"et!$E$2:$E$3143),
Master_Mapping_Sheet!$C$2:$C$3143=M$1))), 0, sum(filter(
Master_Mapping_Sheet!$E$2:$E$3143, ISNUMBER(
Master_Mapping_Sheet!$E$2:$E$3143),
Master_Mapping_Sheet!$C$2:$C$3143=M$1,
Master_Mapping_Sheet!$L$2:$L$3143=$A3))/sum(filter(
Master_M"&amp;"apping_Sheet!$E$2:$E$3143, ISNUMBER(
Master_Mapping_Sheet!$E$2:$E$3143),
Master_Mapping_Sheet!$C$2:$C$3143=M$1)))"),0.0)</f>
        <v>0</v>
      </c>
      <c r="N3" s="34">
        <f>IFERROR(__xludf.DUMMYFUNCTION("IF(ISNA(sum(filter(
Master_Mapping_Sheet!$E$2:$E$3143, ISNUMBER(
Master_Mapping_Sheet!$E$2:$E$3143),
Master_Mapping_Sheet!$C$2:$C$3143=N$1,
Master_Mapping_Sheet!$L$2:$L$3143=$A3))/sum(filter(
Master_Mapping_Sheet!$E$2:$E$3143, ISNUMBER(
Master_Mapping_She"&amp;"et!$E$2:$E$3143),
Master_Mapping_Sheet!$C$2:$C$3143=N$1))), 0, sum(filter(
Master_Mapping_Sheet!$E$2:$E$3143, ISNUMBER(
Master_Mapping_Sheet!$E$2:$E$3143),
Master_Mapping_Sheet!$C$2:$C$3143=N$1,
Master_Mapping_Sheet!$L$2:$L$3143=$A3))/sum(filter(
Master_M"&amp;"apping_Sheet!$E$2:$E$3143, ISNUMBER(
Master_Mapping_Sheet!$E$2:$E$3143),
Master_Mapping_Sheet!$C$2:$C$3143=N$1)))"),0.0)</f>
        <v>0</v>
      </c>
      <c r="O3" s="34">
        <f>IFERROR(__xludf.DUMMYFUNCTION("IF(ISNA(sum(filter(
Master_Mapping_Sheet!$E$2:$E$3143, ISNUMBER(
Master_Mapping_Sheet!$E$2:$E$3143),
Master_Mapping_Sheet!$C$2:$C$3143=O$1,
Master_Mapping_Sheet!$L$2:$L$3143=$A3))/sum(filter(
Master_Mapping_Sheet!$E$2:$E$3143, ISNUMBER(
Master_Mapping_She"&amp;"et!$E$2:$E$3143),
Master_Mapping_Sheet!$C$2:$C$3143=O$1))), 0, sum(filter(
Master_Mapping_Sheet!$E$2:$E$3143, ISNUMBER(
Master_Mapping_Sheet!$E$2:$E$3143),
Master_Mapping_Sheet!$C$2:$C$3143=O$1,
Master_Mapping_Sheet!$L$2:$L$3143=$A3))/sum(filter(
Master_M"&amp;"apping_Sheet!$E$2:$E$3143, ISNUMBER(
Master_Mapping_Sheet!$E$2:$E$3143),
Master_Mapping_Sheet!$C$2:$C$3143=O$1)))"),0.0)</f>
        <v>0</v>
      </c>
      <c r="P3" s="34">
        <f>IFERROR(__xludf.DUMMYFUNCTION("IF(ISNA(sum(filter(
Master_Mapping_Sheet!$E$2:$E$3143, ISNUMBER(
Master_Mapping_Sheet!$E$2:$E$3143),
Master_Mapping_Sheet!$C$2:$C$3143=P$1,
Master_Mapping_Sheet!$L$2:$L$3143=$A3))/sum(filter(
Master_Mapping_Sheet!$E$2:$E$3143, ISNUMBER(
Master_Mapping_She"&amp;"et!$E$2:$E$3143),
Master_Mapping_Sheet!$C$2:$C$3143=P$1))), 0, sum(filter(
Master_Mapping_Sheet!$E$2:$E$3143, ISNUMBER(
Master_Mapping_Sheet!$E$2:$E$3143),
Master_Mapping_Sheet!$C$2:$C$3143=P$1,
Master_Mapping_Sheet!$L$2:$L$3143=$A3))/sum(filter(
Master_M"&amp;"apping_Sheet!$E$2:$E$3143, ISNUMBER(
Master_Mapping_Sheet!$E$2:$E$3143),
Master_Mapping_Sheet!$C$2:$C$3143=P$1)))"),0.0)</f>
        <v>0</v>
      </c>
      <c r="Q3" s="34">
        <f>IFERROR(__xludf.DUMMYFUNCTION("IF(ISNA(sum(filter(
Master_Mapping_Sheet!$E$2:$E$3143, ISNUMBER(
Master_Mapping_Sheet!$E$2:$E$3143),
Master_Mapping_Sheet!$C$2:$C$3143=Q$1,
Master_Mapping_Sheet!$L$2:$L$3143=$A3))/sum(filter(
Master_Mapping_Sheet!$E$2:$E$3143, ISNUMBER(
Master_Mapping_She"&amp;"et!$E$2:$E$3143),
Master_Mapping_Sheet!$C$2:$C$3143=Q$1))), 0, sum(filter(
Master_Mapping_Sheet!$E$2:$E$3143, ISNUMBER(
Master_Mapping_Sheet!$E$2:$E$3143),
Master_Mapping_Sheet!$C$2:$C$3143=Q$1,
Master_Mapping_Sheet!$L$2:$L$3143=$A3))/sum(filter(
Master_M"&amp;"apping_Sheet!$E$2:$E$3143, ISNUMBER(
Master_Mapping_Sheet!$E$2:$E$3143),
Master_Mapping_Sheet!$C$2:$C$3143=Q$1)))"),0.0)</f>
        <v>0</v>
      </c>
      <c r="R3" s="34">
        <f>IFERROR(__xludf.DUMMYFUNCTION("IF(ISNA(sum(filter(
Master_Mapping_Sheet!$E$2:$E$3143, ISNUMBER(
Master_Mapping_Sheet!$E$2:$E$3143),
Master_Mapping_Sheet!$C$2:$C$3143=R$1,
Master_Mapping_Sheet!$L$2:$L$3143=$A3))/sum(filter(
Master_Mapping_Sheet!$E$2:$E$3143, ISNUMBER(
Master_Mapping_She"&amp;"et!$E$2:$E$3143),
Master_Mapping_Sheet!$C$2:$C$3143=R$1))), 0, sum(filter(
Master_Mapping_Sheet!$E$2:$E$3143, ISNUMBER(
Master_Mapping_Sheet!$E$2:$E$3143),
Master_Mapping_Sheet!$C$2:$C$3143=R$1,
Master_Mapping_Sheet!$L$2:$L$3143=$A3))/sum(filter(
Master_M"&amp;"apping_Sheet!$E$2:$E$3143, ISNUMBER(
Master_Mapping_Sheet!$E$2:$E$3143),
Master_Mapping_Sheet!$C$2:$C$3143=R$1)))"),0.0)</f>
        <v>0</v>
      </c>
      <c r="S3" s="34">
        <f>IFERROR(__xludf.DUMMYFUNCTION("IF(ISNA(sum(filter(
Master_Mapping_Sheet!$E$2:$E$3143, ISNUMBER(
Master_Mapping_Sheet!$E$2:$E$3143),
Master_Mapping_Sheet!$C$2:$C$3143=S$1,
Master_Mapping_Sheet!$L$2:$L$3143=$A3))/sum(filter(
Master_Mapping_Sheet!$E$2:$E$3143, ISNUMBER(
Master_Mapping_She"&amp;"et!$E$2:$E$3143),
Master_Mapping_Sheet!$C$2:$C$3143=S$1))), 0, sum(filter(
Master_Mapping_Sheet!$E$2:$E$3143, ISNUMBER(
Master_Mapping_Sheet!$E$2:$E$3143),
Master_Mapping_Sheet!$C$2:$C$3143=S$1,
Master_Mapping_Sheet!$L$2:$L$3143=$A3))/sum(filter(
Master_M"&amp;"apping_Sheet!$E$2:$E$3143, ISNUMBER(
Master_Mapping_Sheet!$E$2:$E$3143),
Master_Mapping_Sheet!$C$2:$C$3143=S$1)))"),0.0)</f>
        <v>0</v>
      </c>
      <c r="T3" s="34">
        <f>IFERROR(__xludf.DUMMYFUNCTION("IF(ISNA(sum(filter(
Master_Mapping_Sheet!$E$2:$E$3143, ISNUMBER(
Master_Mapping_Sheet!$E$2:$E$3143),
Master_Mapping_Sheet!$C$2:$C$3143=T$1,
Master_Mapping_Sheet!$L$2:$L$3143=$A3))/sum(filter(
Master_Mapping_Sheet!$E$2:$E$3143, ISNUMBER(
Master_Mapping_She"&amp;"et!$E$2:$E$3143),
Master_Mapping_Sheet!$C$2:$C$3143=T$1))), 0, sum(filter(
Master_Mapping_Sheet!$E$2:$E$3143, ISNUMBER(
Master_Mapping_Sheet!$E$2:$E$3143),
Master_Mapping_Sheet!$C$2:$C$3143=T$1,
Master_Mapping_Sheet!$L$2:$L$3143=$A3))/sum(filter(
Master_M"&amp;"apping_Sheet!$E$2:$E$3143, ISNUMBER(
Master_Mapping_Sheet!$E$2:$E$3143),
Master_Mapping_Sheet!$C$2:$C$3143=T$1)))"),0.7868641239385895)</f>
        <v>0.7868641239</v>
      </c>
      <c r="U3" s="34">
        <f>IFERROR(__xludf.DUMMYFUNCTION("IF(ISNA(sum(filter(
Master_Mapping_Sheet!$E$2:$E$3143, ISNUMBER(
Master_Mapping_Sheet!$E$2:$E$3143),
Master_Mapping_Sheet!$C$2:$C$3143=U$1,
Master_Mapping_Sheet!$L$2:$L$3143=$A3))/sum(filter(
Master_Mapping_Sheet!$E$2:$E$3143, ISNUMBER(
Master_Mapping_She"&amp;"et!$E$2:$E$3143),
Master_Mapping_Sheet!$C$2:$C$3143=U$1))), 0, sum(filter(
Master_Mapping_Sheet!$E$2:$E$3143, ISNUMBER(
Master_Mapping_Sheet!$E$2:$E$3143),
Master_Mapping_Sheet!$C$2:$C$3143=U$1,
Master_Mapping_Sheet!$L$2:$L$3143=$A3))/sum(filter(
Master_M"&amp;"apping_Sheet!$E$2:$E$3143, ISNUMBER(
Master_Mapping_Sheet!$E$2:$E$3143),
Master_Mapping_Sheet!$C$2:$C$3143=U$1)))"),0.0)</f>
        <v>0</v>
      </c>
      <c r="V3" s="34">
        <f>IFERROR(__xludf.DUMMYFUNCTION("IF(ISNA(sum(filter(
Master_Mapping_Sheet!$E$2:$E$3143, ISNUMBER(
Master_Mapping_Sheet!$E$2:$E$3143),
Master_Mapping_Sheet!$C$2:$C$3143=V$1,
Master_Mapping_Sheet!$L$2:$L$3143=$A3))/sum(filter(
Master_Mapping_Sheet!$E$2:$E$3143, ISNUMBER(
Master_Mapping_She"&amp;"et!$E$2:$E$3143),
Master_Mapping_Sheet!$C$2:$C$3143=V$1))), 0, sum(filter(
Master_Mapping_Sheet!$E$2:$E$3143, ISNUMBER(
Master_Mapping_Sheet!$E$2:$E$3143),
Master_Mapping_Sheet!$C$2:$C$3143=V$1,
Master_Mapping_Sheet!$L$2:$L$3143=$A3))/sum(filter(
Master_M"&amp;"apping_Sheet!$E$2:$E$3143, ISNUMBER(
Master_Mapping_Sheet!$E$2:$E$3143),
Master_Mapping_Sheet!$C$2:$C$3143=V$1)))"),0.0)</f>
        <v>0</v>
      </c>
      <c r="W3" s="34">
        <f>IFERROR(__xludf.DUMMYFUNCTION("IF(ISNA(sum(filter(
Master_Mapping_Sheet!$E$2:$E$3143, ISNUMBER(
Master_Mapping_Sheet!$E$2:$E$3143),
Master_Mapping_Sheet!$C$2:$C$3143=W$1,
Master_Mapping_Sheet!$L$2:$L$3143=$A3))/sum(filter(
Master_Mapping_Sheet!$E$2:$E$3143, ISNUMBER(
Master_Mapping_She"&amp;"et!$E$2:$E$3143),
Master_Mapping_Sheet!$C$2:$C$3143=W$1))), 0, sum(filter(
Master_Mapping_Sheet!$E$2:$E$3143, ISNUMBER(
Master_Mapping_Sheet!$E$2:$E$3143),
Master_Mapping_Sheet!$C$2:$C$3143=W$1,
Master_Mapping_Sheet!$L$2:$L$3143=$A3))/sum(filter(
Master_M"&amp;"apping_Sheet!$E$2:$E$3143, ISNUMBER(
Master_Mapping_Sheet!$E$2:$E$3143),
Master_Mapping_Sheet!$C$2:$C$3143=W$1)))"),0.0)</f>
        <v>0</v>
      </c>
      <c r="X3" s="34">
        <f>IFERROR(__xludf.DUMMYFUNCTION("IF(ISNA(sum(filter(
Master_Mapping_Sheet!$E$2:$E$3143, ISNUMBER(
Master_Mapping_Sheet!$E$2:$E$3143),
Master_Mapping_Sheet!$C$2:$C$3143=X$1,
Master_Mapping_Sheet!$L$2:$L$3143=$A3))/sum(filter(
Master_Mapping_Sheet!$E$2:$E$3143, ISNUMBER(
Master_Mapping_She"&amp;"et!$E$2:$E$3143),
Master_Mapping_Sheet!$C$2:$C$3143=X$1))), 0, sum(filter(
Master_Mapping_Sheet!$E$2:$E$3143, ISNUMBER(
Master_Mapping_Sheet!$E$2:$E$3143),
Master_Mapping_Sheet!$C$2:$C$3143=X$1,
Master_Mapping_Sheet!$L$2:$L$3143=$A3))/sum(filter(
Master_M"&amp;"apping_Sheet!$E$2:$E$3143, ISNUMBER(
Master_Mapping_Sheet!$E$2:$E$3143),
Master_Mapping_Sheet!$C$2:$C$3143=X$1)))"),0.0)</f>
        <v>0</v>
      </c>
      <c r="Y3" s="34">
        <f>IFERROR(__xludf.DUMMYFUNCTION("IF(ISNA(sum(filter(
Master_Mapping_Sheet!$E$2:$E$3143, ISNUMBER(
Master_Mapping_Sheet!$E$2:$E$3143),
Master_Mapping_Sheet!$C$2:$C$3143=Y$1,
Master_Mapping_Sheet!$L$2:$L$3143=$A3))/sum(filter(
Master_Mapping_Sheet!$E$2:$E$3143, ISNUMBER(
Master_Mapping_She"&amp;"et!$E$2:$E$3143),
Master_Mapping_Sheet!$C$2:$C$3143=Y$1))), 0, sum(filter(
Master_Mapping_Sheet!$E$2:$E$3143, ISNUMBER(
Master_Mapping_Sheet!$E$2:$E$3143),
Master_Mapping_Sheet!$C$2:$C$3143=Y$1,
Master_Mapping_Sheet!$L$2:$L$3143=$A3))/sum(filter(
Master_M"&amp;"apping_Sheet!$E$2:$E$3143, ISNUMBER(
Master_Mapping_Sheet!$E$2:$E$3143),
Master_Mapping_Sheet!$C$2:$C$3143=Y$1)))"),0.0)</f>
        <v>0</v>
      </c>
      <c r="Z3" s="34">
        <f>IFERROR(__xludf.DUMMYFUNCTION("IF(ISNA(sum(filter(
Master_Mapping_Sheet!$E$2:$E$3143, ISNUMBER(
Master_Mapping_Sheet!$E$2:$E$3143),
Master_Mapping_Sheet!$C$2:$C$3143=Z$1,
Master_Mapping_Sheet!$L$2:$L$3143=$A3))/sum(filter(
Master_Mapping_Sheet!$E$2:$E$3143, ISNUMBER(
Master_Mapping_She"&amp;"et!$E$2:$E$3143),
Master_Mapping_Sheet!$C$2:$C$3143=Z$1))), 0, sum(filter(
Master_Mapping_Sheet!$E$2:$E$3143, ISNUMBER(
Master_Mapping_Sheet!$E$2:$E$3143),
Master_Mapping_Sheet!$C$2:$C$3143=Z$1,
Master_Mapping_Sheet!$L$2:$L$3143=$A3))/sum(filter(
Master_M"&amp;"apping_Sheet!$E$2:$E$3143, ISNUMBER(
Master_Mapping_Sheet!$E$2:$E$3143),
Master_Mapping_Sheet!$C$2:$C$3143=Z$1)))"),0.16324646476329135)</f>
        <v>0.1632464648</v>
      </c>
      <c r="AA3" s="34">
        <f>IFERROR(__xludf.DUMMYFUNCTION("IF(ISNA(sum(filter(
Master_Mapping_Sheet!$E$2:$E$3143, ISNUMBER(
Master_Mapping_Sheet!$E$2:$E$3143),
Master_Mapping_Sheet!$C$2:$C$3143=AA$1,
Master_Mapping_Sheet!$L$2:$L$3143=$A3))/sum(filter(
Master_Mapping_Sheet!$E$2:$E$3143, ISNUMBER(
Master_Mapping_Sh"&amp;"eet!$E$2:$E$3143),
Master_Mapping_Sheet!$C$2:$C$3143=AA$1))), 0, sum(filter(
Master_Mapping_Sheet!$E$2:$E$3143, ISNUMBER(
Master_Mapping_Sheet!$E$2:$E$3143),
Master_Mapping_Sheet!$C$2:$C$3143=AA$1,
Master_Mapping_Sheet!$L$2:$L$3143=$A3))/sum(filter(
Maste"&amp;"r_Mapping_Sheet!$E$2:$E$3143, ISNUMBER(
Master_Mapping_Sheet!$E$2:$E$3143),
Master_Mapping_Sheet!$C$2:$C$3143=AA$1)))"),0.0)</f>
        <v>0</v>
      </c>
      <c r="AB3" s="34">
        <f>IFERROR(__xludf.DUMMYFUNCTION("IF(ISNA(sum(filter(
Master_Mapping_Sheet!$E$2:$E$3143, ISNUMBER(
Master_Mapping_Sheet!$E$2:$E$3143),
Master_Mapping_Sheet!$C$2:$C$3143=AB$1,
Master_Mapping_Sheet!$L$2:$L$3143=$A3))/sum(filter(
Master_Mapping_Sheet!$E$2:$E$3143, ISNUMBER(
Master_Mapping_Sh"&amp;"eet!$E$2:$E$3143),
Master_Mapping_Sheet!$C$2:$C$3143=AB$1))), 0, sum(filter(
Master_Mapping_Sheet!$E$2:$E$3143, ISNUMBER(
Master_Mapping_Sheet!$E$2:$E$3143),
Master_Mapping_Sheet!$C$2:$C$3143=AB$1,
Master_Mapping_Sheet!$L$2:$L$3143=$A3))/sum(filter(
Maste"&amp;"r_Mapping_Sheet!$E$2:$E$3143, ISNUMBER(
Master_Mapping_Sheet!$E$2:$E$3143),
Master_Mapping_Sheet!$C$2:$C$3143=AB$1)))"),0.0)</f>
        <v>0</v>
      </c>
      <c r="AC3" s="34">
        <f>IFERROR(__xludf.DUMMYFUNCTION("IF(ISNA(sum(filter(
Master_Mapping_Sheet!$E$2:$E$3143, ISNUMBER(
Master_Mapping_Sheet!$E$2:$E$3143),
Master_Mapping_Sheet!$C$2:$C$3143=AC$1,
Master_Mapping_Sheet!$L$2:$L$3143=$A3))/sum(filter(
Master_Mapping_Sheet!$E$2:$E$3143, ISNUMBER(
Master_Mapping_Sh"&amp;"eet!$E$2:$E$3143),
Master_Mapping_Sheet!$C$2:$C$3143=AC$1))), 0, sum(filter(
Master_Mapping_Sheet!$E$2:$E$3143, ISNUMBER(
Master_Mapping_Sheet!$E$2:$E$3143),
Master_Mapping_Sheet!$C$2:$C$3143=AC$1,
Master_Mapping_Sheet!$L$2:$L$3143=$A3))/sum(filter(
Maste"&amp;"r_Mapping_Sheet!$E$2:$E$3143, ISNUMBER(
Master_Mapping_Sheet!$E$2:$E$3143),
Master_Mapping_Sheet!$C$2:$C$3143=AC$1)))"),0.0)</f>
        <v>0</v>
      </c>
      <c r="AD3" s="34">
        <f>IFERROR(__xludf.DUMMYFUNCTION("IF(ISNA(sum(filter(
Master_Mapping_Sheet!$E$2:$E$3143, ISNUMBER(
Master_Mapping_Sheet!$E$2:$E$3143),
Master_Mapping_Sheet!$C$2:$C$3143=AD$1,
Master_Mapping_Sheet!$L$2:$L$3143=$A3))/sum(filter(
Master_Mapping_Sheet!$E$2:$E$3143, ISNUMBER(
Master_Mapping_Sh"&amp;"eet!$E$2:$E$3143),
Master_Mapping_Sheet!$C$2:$C$3143=AD$1))), 0, sum(filter(
Master_Mapping_Sheet!$E$2:$E$3143, ISNUMBER(
Master_Mapping_Sheet!$E$2:$E$3143),
Master_Mapping_Sheet!$C$2:$C$3143=AD$1,
Master_Mapping_Sheet!$L$2:$L$3143=$A3))/sum(filter(
Maste"&amp;"r_Mapping_Sheet!$E$2:$E$3143, ISNUMBER(
Master_Mapping_Sheet!$E$2:$E$3143),
Master_Mapping_Sheet!$C$2:$C$3143=AD$1)))"),0.0)</f>
        <v>0</v>
      </c>
      <c r="AE3" s="34">
        <f>IFERROR(__xludf.DUMMYFUNCTION("IF(ISNA(sum(filter(
Master_Mapping_Sheet!$E$2:$E$3143, ISNUMBER(
Master_Mapping_Sheet!$E$2:$E$3143),
Master_Mapping_Sheet!$C$2:$C$3143=AE$1,
Master_Mapping_Sheet!$L$2:$L$3143=$A3))/sum(filter(
Master_Mapping_Sheet!$E$2:$E$3143, ISNUMBER(
Master_Mapping_Sh"&amp;"eet!$E$2:$E$3143),
Master_Mapping_Sheet!$C$2:$C$3143=AE$1))), 0, sum(filter(
Master_Mapping_Sheet!$E$2:$E$3143, ISNUMBER(
Master_Mapping_Sheet!$E$2:$E$3143),
Master_Mapping_Sheet!$C$2:$C$3143=AE$1,
Master_Mapping_Sheet!$L$2:$L$3143=$A3))/sum(filter(
Maste"&amp;"r_Mapping_Sheet!$E$2:$E$3143, ISNUMBER(
Master_Mapping_Sheet!$E$2:$E$3143),
Master_Mapping_Sheet!$C$2:$C$3143=AE$1)))"),0.0)</f>
        <v>0</v>
      </c>
      <c r="AF3" s="34">
        <f>IFERROR(__xludf.DUMMYFUNCTION("IF(ISNA(sum(filter(
Master_Mapping_Sheet!$E$2:$E$3143, ISNUMBER(
Master_Mapping_Sheet!$E$2:$E$3143),
Master_Mapping_Sheet!$C$2:$C$3143=AF$1,
Master_Mapping_Sheet!$L$2:$L$3143=$A3))/sum(filter(
Master_Mapping_Sheet!$E$2:$E$3143, ISNUMBER(
Master_Mapping_Sh"&amp;"eet!$E$2:$E$3143),
Master_Mapping_Sheet!$C$2:$C$3143=AF$1))), 0, sum(filter(
Master_Mapping_Sheet!$E$2:$E$3143, ISNUMBER(
Master_Mapping_Sheet!$E$2:$E$3143),
Master_Mapping_Sheet!$C$2:$C$3143=AF$1,
Master_Mapping_Sheet!$L$2:$L$3143=$A3))/sum(filter(
Maste"&amp;"r_Mapping_Sheet!$E$2:$E$3143, ISNUMBER(
Master_Mapping_Sheet!$E$2:$E$3143),
Master_Mapping_Sheet!$C$2:$C$3143=AF$1)))"),0.0)</f>
        <v>0</v>
      </c>
      <c r="AG3" s="34">
        <f>IFERROR(__xludf.DUMMYFUNCTION("IF(ISNA(sum(filter(
Master_Mapping_Sheet!$E$2:$E$3143, ISNUMBER(
Master_Mapping_Sheet!$E$2:$E$3143),
Master_Mapping_Sheet!$C$2:$C$3143=AG$1,
Master_Mapping_Sheet!$L$2:$L$3143=$A3))/sum(filter(
Master_Mapping_Sheet!$E$2:$E$3143, ISNUMBER(
Master_Mapping_Sh"&amp;"eet!$E$2:$E$3143),
Master_Mapping_Sheet!$C$2:$C$3143=AG$1))), 0, sum(filter(
Master_Mapping_Sheet!$E$2:$E$3143, ISNUMBER(
Master_Mapping_Sheet!$E$2:$E$3143),
Master_Mapping_Sheet!$C$2:$C$3143=AG$1,
Master_Mapping_Sheet!$L$2:$L$3143=$A3))/sum(filter(
Maste"&amp;"r_Mapping_Sheet!$E$2:$E$3143, ISNUMBER(
Master_Mapping_Sheet!$E$2:$E$3143),
Master_Mapping_Sheet!$C$2:$C$3143=AG$1)))"),0.0)</f>
        <v>0</v>
      </c>
      <c r="AH3" s="34">
        <f>IFERROR(__xludf.DUMMYFUNCTION("IF(ISNA(sum(filter(
Master_Mapping_Sheet!$E$2:$E$3143, ISNUMBER(
Master_Mapping_Sheet!$E$2:$E$3143),
Master_Mapping_Sheet!$C$2:$C$3143=AH$1,
Master_Mapping_Sheet!$L$2:$L$3143=$A3))/sum(filter(
Master_Mapping_Sheet!$E$2:$E$3143, ISNUMBER(
Master_Mapping_Sh"&amp;"eet!$E$2:$E$3143),
Master_Mapping_Sheet!$C$2:$C$3143=AH$1))), 0, sum(filter(
Master_Mapping_Sheet!$E$2:$E$3143, ISNUMBER(
Master_Mapping_Sheet!$E$2:$E$3143),
Master_Mapping_Sheet!$C$2:$C$3143=AH$1,
Master_Mapping_Sheet!$L$2:$L$3143=$A3))/sum(filter(
Maste"&amp;"r_Mapping_Sheet!$E$2:$E$3143, ISNUMBER(
Master_Mapping_Sheet!$E$2:$E$3143),
Master_Mapping_Sheet!$C$2:$C$3143=AH$1)))"),0.0)</f>
        <v>0</v>
      </c>
      <c r="AI3" s="34">
        <f>IFERROR(__xludf.DUMMYFUNCTION("IF(ISNA(sum(filter(
Master_Mapping_Sheet!$E$2:$E$3143, ISNUMBER(
Master_Mapping_Sheet!$E$2:$E$3143),
Master_Mapping_Sheet!$C$2:$C$3143=AI$1,
Master_Mapping_Sheet!$L$2:$L$3143=$A3))/sum(filter(
Master_Mapping_Sheet!$E$2:$E$3143, ISNUMBER(
Master_Mapping_Sh"&amp;"eet!$E$2:$E$3143),
Master_Mapping_Sheet!$C$2:$C$3143=AI$1))), 0, sum(filter(
Master_Mapping_Sheet!$E$2:$E$3143, ISNUMBER(
Master_Mapping_Sheet!$E$2:$E$3143),
Master_Mapping_Sheet!$C$2:$C$3143=AI$1,
Master_Mapping_Sheet!$L$2:$L$3143=$A3))/sum(filter(
Maste"&amp;"r_Mapping_Sheet!$E$2:$E$3143, ISNUMBER(
Master_Mapping_Sheet!$E$2:$E$3143),
Master_Mapping_Sheet!$C$2:$C$3143=AI$1)))"),0.0)</f>
        <v>0</v>
      </c>
      <c r="AJ3" s="34">
        <f>IFERROR(__xludf.DUMMYFUNCTION("IF(ISNA(sum(filter(
Master_Mapping_Sheet!$E$2:$E$3143, ISNUMBER(
Master_Mapping_Sheet!$E$2:$E$3143),
Master_Mapping_Sheet!$C$2:$C$3143=AJ$1,
Master_Mapping_Sheet!$L$2:$L$3143=$A3))/sum(filter(
Master_Mapping_Sheet!$E$2:$E$3143, ISNUMBER(
Master_Mapping_Sh"&amp;"eet!$E$2:$E$3143),
Master_Mapping_Sheet!$C$2:$C$3143=AJ$1))), 0, sum(filter(
Master_Mapping_Sheet!$E$2:$E$3143, ISNUMBER(
Master_Mapping_Sheet!$E$2:$E$3143),
Master_Mapping_Sheet!$C$2:$C$3143=AJ$1,
Master_Mapping_Sheet!$L$2:$L$3143=$A3))/sum(filter(
Maste"&amp;"r_Mapping_Sheet!$E$2:$E$3143, ISNUMBER(
Master_Mapping_Sheet!$E$2:$E$3143),
Master_Mapping_Sheet!$C$2:$C$3143=AJ$1)))"),0.0)</f>
        <v>0</v>
      </c>
      <c r="AK3" s="34">
        <f>IFERROR(__xludf.DUMMYFUNCTION("IF(ISNA(sum(filter(
Master_Mapping_Sheet!$E$2:$E$3143, ISNUMBER(
Master_Mapping_Sheet!$E$2:$E$3143),
Master_Mapping_Sheet!$C$2:$C$3143=AK$1,
Master_Mapping_Sheet!$L$2:$L$3143=$A3))/sum(filter(
Master_Mapping_Sheet!$E$2:$E$3143, ISNUMBER(
Master_Mapping_Sh"&amp;"eet!$E$2:$E$3143),
Master_Mapping_Sheet!$C$2:$C$3143=AK$1))), 0, sum(filter(
Master_Mapping_Sheet!$E$2:$E$3143, ISNUMBER(
Master_Mapping_Sheet!$E$2:$E$3143),
Master_Mapping_Sheet!$C$2:$C$3143=AK$1,
Master_Mapping_Sheet!$L$2:$L$3143=$A3))/sum(filter(
Maste"&amp;"r_Mapping_Sheet!$E$2:$E$3143, ISNUMBER(
Master_Mapping_Sheet!$E$2:$E$3143),
Master_Mapping_Sheet!$C$2:$C$3143=AK$1)))"),0.0)</f>
        <v>0</v>
      </c>
      <c r="AL3" s="34">
        <f>IFERROR(__xludf.DUMMYFUNCTION("IF(ISNA(sum(filter(
Master_Mapping_Sheet!$E$2:$E$3143, ISNUMBER(
Master_Mapping_Sheet!$E$2:$E$3143),
Master_Mapping_Sheet!$C$2:$C$3143=AL$1,
Master_Mapping_Sheet!$L$2:$L$3143=$A3))/sum(filter(
Master_Mapping_Sheet!$E$2:$E$3143, ISNUMBER(
Master_Mapping_Sh"&amp;"eet!$E$2:$E$3143),
Master_Mapping_Sheet!$C$2:$C$3143=AL$1))), 0, sum(filter(
Master_Mapping_Sheet!$E$2:$E$3143, ISNUMBER(
Master_Mapping_Sheet!$E$2:$E$3143),
Master_Mapping_Sheet!$C$2:$C$3143=AL$1,
Master_Mapping_Sheet!$L$2:$L$3143=$A3))/sum(filter(
Maste"&amp;"r_Mapping_Sheet!$E$2:$E$3143, ISNUMBER(
Master_Mapping_Sheet!$E$2:$E$3143),
Master_Mapping_Sheet!$C$2:$C$3143=AL$1)))"),0.0)</f>
        <v>0</v>
      </c>
      <c r="AM3" s="34">
        <f>IFERROR(__xludf.DUMMYFUNCTION("IF(ISNA(sum(filter(
Master_Mapping_Sheet!$E$2:$E$3143, ISNUMBER(
Master_Mapping_Sheet!$E$2:$E$3143),
Master_Mapping_Sheet!$C$2:$C$3143=AM$1,
Master_Mapping_Sheet!$L$2:$L$3143=$A3))/sum(filter(
Master_Mapping_Sheet!$E$2:$E$3143, ISNUMBER(
Master_Mapping_Sh"&amp;"eet!$E$2:$E$3143),
Master_Mapping_Sheet!$C$2:$C$3143=AM$1))), 0, sum(filter(
Master_Mapping_Sheet!$E$2:$E$3143, ISNUMBER(
Master_Mapping_Sheet!$E$2:$E$3143),
Master_Mapping_Sheet!$C$2:$C$3143=AM$1,
Master_Mapping_Sheet!$L$2:$L$3143=$A3))/sum(filter(
Maste"&amp;"r_Mapping_Sheet!$E$2:$E$3143, ISNUMBER(
Master_Mapping_Sheet!$E$2:$E$3143),
Master_Mapping_Sheet!$C$2:$C$3143=AM$1)))"),0.0)</f>
        <v>0</v>
      </c>
      <c r="AN3" s="34">
        <f>IFERROR(__xludf.DUMMYFUNCTION("IF(ISNA(sum(filter(
Master_Mapping_Sheet!$E$2:$E$3143, ISNUMBER(
Master_Mapping_Sheet!$E$2:$E$3143),
Master_Mapping_Sheet!$C$2:$C$3143=AN$1,
Master_Mapping_Sheet!$L$2:$L$3143=$A3))/sum(filter(
Master_Mapping_Sheet!$E$2:$E$3143, ISNUMBER(
Master_Mapping_Sh"&amp;"eet!$E$2:$E$3143),
Master_Mapping_Sheet!$C$2:$C$3143=AN$1))), 0, sum(filter(
Master_Mapping_Sheet!$E$2:$E$3143, ISNUMBER(
Master_Mapping_Sheet!$E$2:$E$3143),
Master_Mapping_Sheet!$C$2:$C$3143=AN$1,
Master_Mapping_Sheet!$L$2:$L$3143=$A3))/sum(filter(
Maste"&amp;"r_Mapping_Sheet!$E$2:$E$3143, ISNUMBER(
Master_Mapping_Sheet!$E$2:$E$3143),
Master_Mapping_Sheet!$C$2:$C$3143=AN$1)))"),0.0)</f>
        <v>0</v>
      </c>
      <c r="AO3" s="34">
        <f>IFERROR(__xludf.DUMMYFUNCTION("IF(ISNA(sum(filter(
Master_Mapping_Sheet!$E$2:$E$3143, ISNUMBER(
Master_Mapping_Sheet!$E$2:$E$3143),
Master_Mapping_Sheet!$C$2:$C$3143=AO$1,
Master_Mapping_Sheet!$L$2:$L$3143=$A3))/sum(filter(
Master_Mapping_Sheet!$E$2:$E$3143, ISNUMBER(
Master_Mapping_Sh"&amp;"eet!$E$2:$E$3143),
Master_Mapping_Sheet!$C$2:$C$3143=AO$1))), 0, sum(filter(
Master_Mapping_Sheet!$E$2:$E$3143, ISNUMBER(
Master_Mapping_Sheet!$E$2:$E$3143),
Master_Mapping_Sheet!$C$2:$C$3143=AO$1,
Master_Mapping_Sheet!$L$2:$L$3143=$A3))/sum(filter(
Maste"&amp;"r_Mapping_Sheet!$E$2:$E$3143, ISNUMBER(
Master_Mapping_Sheet!$E$2:$E$3143),
Master_Mapping_Sheet!$C$2:$C$3143=AO$1)))"),0.0)</f>
        <v>0</v>
      </c>
      <c r="AP3" s="34">
        <f>IFERROR(__xludf.DUMMYFUNCTION("IF(ISNA(sum(filter(
Master_Mapping_Sheet!$E$2:$E$3143, ISNUMBER(
Master_Mapping_Sheet!$E$2:$E$3143),
Master_Mapping_Sheet!$C$2:$C$3143=AP$1,
Master_Mapping_Sheet!$L$2:$L$3143=$A3))/sum(filter(
Master_Mapping_Sheet!$E$2:$E$3143, ISNUMBER(
Master_Mapping_Sh"&amp;"eet!$E$2:$E$3143),
Master_Mapping_Sheet!$C$2:$C$3143=AP$1))), 0, sum(filter(
Master_Mapping_Sheet!$E$2:$E$3143, ISNUMBER(
Master_Mapping_Sheet!$E$2:$E$3143),
Master_Mapping_Sheet!$C$2:$C$3143=AP$1,
Master_Mapping_Sheet!$L$2:$L$3143=$A3))/sum(filter(
Maste"&amp;"r_Mapping_Sheet!$E$2:$E$3143, ISNUMBER(
Master_Mapping_Sheet!$E$2:$E$3143),
Master_Mapping_Sheet!$C$2:$C$3143=AP$1)))"),0.0)</f>
        <v>0</v>
      </c>
      <c r="AQ3" s="34">
        <f>IFERROR(__xludf.DUMMYFUNCTION("IF(ISNA(sum(filter(
Master_Mapping_Sheet!$E$2:$E$3143, ISNUMBER(
Master_Mapping_Sheet!$E$2:$E$3143),
Master_Mapping_Sheet!$C$2:$C$3143=AQ$1,
Master_Mapping_Sheet!$L$2:$L$3143=$A3))/sum(filter(
Master_Mapping_Sheet!$E$2:$E$3143, ISNUMBER(
Master_Mapping_Sh"&amp;"eet!$E$2:$E$3143),
Master_Mapping_Sheet!$C$2:$C$3143=AQ$1))), 0, sum(filter(
Master_Mapping_Sheet!$E$2:$E$3143, ISNUMBER(
Master_Mapping_Sheet!$E$2:$E$3143),
Master_Mapping_Sheet!$C$2:$C$3143=AQ$1,
Master_Mapping_Sheet!$L$2:$L$3143=$A3))/sum(filter(
Maste"&amp;"r_Mapping_Sheet!$E$2:$E$3143, ISNUMBER(
Master_Mapping_Sheet!$E$2:$E$3143),
Master_Mapping_Sheet!$C$2:$C$3143=AQ$1)))"),0.0)</f>
        <v>0</v>
      </c>
      <c r="AR3" s="34">
        <f>IFERROR(__xludf.DUMMYFUNCTION("IF(ISNA(sum(filter(
Master_Mapping_Sheet!$E$2:$E$3143, ISNUMBER(
Master_Mapping_Sheet!$E$2:$E$3143),
Master_Mapping_Sheet!$C$2:$C$3143=AR$1,
Master_Mapping_Sheet!$L$2:$L$3143=$A3))/sum(filter(
Master_Mapping_Sheet!$E$2:$E$3143, ISNUMBER(
Master_Mapping_Sh"&amp;"eet!$E$2:$E$3143),
Master_Mapping_Sheet!$C$2:$C$3143=AR$1))), 0, sum(filter(
Master_Mapping_Sheet!$E$2:$E$3143, ISNUMBER(
Master_Mapping_Sheet!$E$2:$E$3143),
Master_Mapping_Sheet!$C$2:$C$3143=AR$1,
Master_Mapping_Sheet!$L$2:$L$3143=$A3))/sum(filter(
Maste"&amp;"r_Mapping_Sheet!$E$2:$E$3143, ISNUMBER(
Master_Mapping_Sheet!$E$2:$E$3143),
Master_Mapping_Sheet!$C$2:$C$3143=AR$1)))"),0.0)</f>
        <v>0</v>
      </c>
      <c r="AS3" s="34">
        <f>IFERROR(__xludf.DUMMYFUNCTION("IF(ISNA(sum(filter(
Master_Mapping_Sheet!$E$2:$E$3143, ISNUMBER(
Master_Mapping_Sheet!$E$2:$E$3143),
Master_Mapping_Sheet!$C$2:$C$3143=AS$1,
Master_Mapping_Sheet!$L$2:$L$3143=$A3))/sum(filter(
Master_Mapping_Sheet!$E$2:$E$3143, ISNUMBER(
Master_Mapping_Sh"&amp;"eet!$E$2:$E$3143),
Master_Mapping_Sheet!$C$2:$C$3143=AS$1))), 0, sum(filter(
Master_Mapping_Sheet!$E$2:$E$3143, ISNUMBER(
Master_Mapping_Sheet!$E$2:$E$3143),
Master_Mapping_Sheet!$C$2:$C$3143=AS$1,
Master_Mapping_Sheet!$L$2:$L$3143=$A3))/sum(filter(
Maste"&amp;"r_Mapping_Sheet!$E$2:$E$3143, ISNUMBER(
Master_Mapping_Sheet!$E$2:$E$3143),
Master_Mapping_Sheet!$C$2:$C$3143=AS$1)))"),0.5576922969746783)</f>
        <v>0.557692297</v>
      </c>
      <c r="AT3" s="34">
        <f>IFERROR(__xludf.DUMMYFUNCTION("IF(ISNA(sum(filter(
Master_Mapping_Sheet!$E$2:$E$3143, ISNUMBER(
Master_Mapping_Sheet!$E$2:$E$3143),
Master_Mapping_Sheet!$C$2:$C$3143=AT$1,
Master_Mapping_Sheet!$L$2:$L$3143=$A3))/sum(filter(
Master_Mapping_Sheet!$E$2:$E$3143, ISNUMBER(
Master_Mapping_Sh"&amp;"eet!$E$2:$E$3143),
Master_Mapping_Sheet!$C$2:$C$3143=AT$1))), 0, sum(filter(
Master_Mapping_Sheet!$E$2:$E$3143, ISNUMBER(
Master_Mapping_Sheet!$E$2:$E$3143),
Master_Mapping_Sheet!$C$2:$C$3143=AT$1,
Master_Mapping_Sheet!$L$2:$L$3143=$A3))/sum(filter(
Maste"&amp;"r_Mapping_Sheet!$E$2:$E$3143, ISNUMBER(
Master_Mapping_Sheet!$E$2:$E$3143),
Master_Mapping_Sheet!$C$2:$C$3143=AT$1)))"),0.0)</f>
        <v>0</v>
      </c>
      <c r="AU3" s="34">
        <f>IFERROR(__xludf.DUMMYFUNCTION("IF(ISNA(sum(filter(
Master_Mapping_Sheet!$E$2:$E$3143, ISNUMBER(
Master_Mapping_Sheet!$E$2:$E$3143),
Master_Mapping_Sheet!$C$2:$C$3143=AU$1,
Master_Mapping_Sheet!$L$2:$L$3143=$A3))/sum(filter(
Master_Mapping_Sheet!$E$2:$E$3143, ISNUMBER(
Master_Mapping_Sh"&amp;"eet!$E$2:$E$3143),
Master_Mapping_Sheet!$C$2:$C$3143=AU$1))), 0, sum(filter(
Master_Mapping_Sheet!$E$2:$E$3143, ISNUMBER(
Master_Mapping_Sheet!$E$2:$E$3143),
Master_Mapping_Sheet!$C$2:$C$3143=AU$1,
Master_Mapping_Sheet!$L$2:$L$3143=$A3))/sum(filter(
Maste"&amp;"r_Mapping_Sheet!$E$2:$E$3143, ISNUMBER(
Master_Mapping_Sheet!$E$2:$E$3143),
Master_Mapping_Sheet!$C$2:$C$3143=AU$1)))"),0.0)</f>
        <v>0</v>
      </c>
      <c r="AV3" s="34">
        <f>IFERROR(__xludf.DUMMYFUNCTION("IF(ISNA(sum(filter(
Master_Mapping_Sheet!$E$2:$E$3143, ISNUMBER(
Master_Mapping_Sheet!$E$2:$E$3143),
Master_Mapping_Sheet!$C$2:$C$3143=AV$1,
Master_Mapping_Sheet!$L$2:$L$3143=$A3))/sum(filter(
Master_Mapping_Sheet!$E$2:$E$3143, ISNUMBER(
Master_Mapping_Sh"&amp;"eet!$E$2:$E$3143),
Master_Mapping_Sheet!$C$2:$C$3143=AV$1))), 0, sum(filter(
Master_Mapping_Sheet!$E$2:$E$3143, ISNUMBER(
Master_Mapping_Sheet!$E$2:$E$3143),
Master_Mapping_Sheet!$C$2:$C$3143=AV$1,
Master_Mapping_Sheet!$L$2:$L$3143=$A3))/sum(filter(
Maste"&amp;"r_Mapping_Sheet!$E$2:$E$3143, ISNUMBER(
Master_Mapping_Sheet!$E$2:$E$3143),
Master_Mapping_Sheet!$C$2:$C$3143=AV$1)))"),0.0)</f>
        <v>0</v>
      </c>
      <c r="AW3" s="34">
        <f>IFERROR(__xludf.DUMMYFUNCTION("IF(ISNA(sum(filter(
Master_Mapping_Sheet!$E$2:$E$3143, ISNUMBER(
Master_Mapping_Sheet!$E$2:$E$3143),
Master_Mapping_Sheet!$C$2:$C$3143=AW$1,
Master_Mapping_Sheet!$L$2:$L$3143=$A3))/sum(filter(
Master_Mapping_Sheet!$E$2:$E$3143, ISNUMBER(
Master_Mapping_Sh"&amp;"eet!$E$2:$E$3143),
Master_Mapping_Sheet!$C$2:$C$3143=AW$1))), 0, sum(filter(
Master_Mapping_Sheet!$E$2:$E$3143, ISNUMBER(
Master_Mapping_Sheet!$E$2:$E$3143),
Master_Mapping_Sheet!$C$2:$C$3143=AW$1,
Master_Mapping_Sheet!$L$2:$L$3143=$A3))/sum(filter(
Maste"&amp;"r_Mapping_Sheet!$E$2:$E$3143, ISNUMBER(
Master_Mapping_Sheet!$E$2:$E$3143),
Master_Mapping_Sheet!$C$2:$C$3143=AW$1)))"),0.0)</f>
        <v>0</v>
      </c>
      <c r="AX3" s="34">
        <f>IFERROR(__xludf.DUMMYFUNCTION("IF(ISNA(sum(filter(
Master_Mapping_Sheet!$E$2:$E$3143, ISNUMBER(
Master_Mapping_Sheet!$E$2:$E$3143),
Master_Mapping_Sheet!$C$2:$C$3143=AX$1,
Master_Mapping_Sheet!$L$2:$L$3143=$A3))/sum(filter(
Master_Mapping_Sheet!$E$2:$E$3143, ISNUMBER(
Master_Mapping_Sh"&amp;"eet!$E$2:$E$3143),
Master_Mapping_Sheet!$C$2:$C$3143=AX$1))), 0, sum(filter(
Master_Mapping_Sheet!$E$2:$E$3143, ISNUMBER(
Master_Mapping_Sheet!$E$2:$E$3143),
Master_Mapping_Sheet!$C$2:$C$3143=AX$1,
Master_Mapping_Sheet!$L$2:$L$3143=$A3))/sum(filter(
Maste"&amp;"r_Mapping_Sheet!$E$2:$E$3143, ISNUMBER(
Master_Mapping_Sheet!$E$2:$E$3143),
Master_Mapping_Sheet!$C$2:$C$3143=AX$1)))"),0.0)</f>
        <v>0</v>
      </c>
      <c r="AY3" s="34">
        <f>IFERROR(__xludf.DUMMYFUNCTION("IF(ISNA(sum(filter(
Master_Mapping_Sheet!$E$2:$E$3143, ISNUMBER(
Master_Mapping_Sheet!$E$2:$E$3143),
Master_Mapping_Sheet!$C$2:$C$3143=AY$1,
Master_Mapping_Sheet!$L$2:$L$3143=$A3))/sum(filter(
Master_Mapping_Sheet!$E$2:$E$3143, ISNUMBER(
Master_Mapping_Sh"&amp;"eet!$E$2:$E$3143),
Master_Mapping_Sheet!$C$2:$C$3143=AY$1))), 0, sum(filter(
Master_Mapping_Sheet!$E$2:$E$3143, ISNUMBER(
Master_Mapping_Sheet!$E$2:$E$3143),
Master_Mapping_Sheet!$C$2:$C$3143=AY$1,
Master_Mapping_Sheet!$L$2:$L$3143=$A3))/sum(filter(
Maste"&amp;"r_Mapping_Sheet!$E$2:$E$3143, ISNUMBER(
Master_Mapping_Sheet!$E$2:$E$3143),
Master_Mapping_Sheet!$C$2:$C$3143=AY$1)))"),0.0)</f>
        <v>0</v>
      </c>
      <c r="AZ3" s="34">
        <f>IFERROR(__xludf.DUMMYFUNCTION("IF(ISNA(sum(filter(
Master_Mapping_Sheet!$E$2:$E$3143, ISNUMBER(
Master_Mapping_Sheet!$E$2:$E$3143),
Master_Mapping_Sheet!$C$2:$C$3143=AZ$1,
Master_Mapping_Sheet!$L$2:$L$3143=$A3))/sum(filter(
Master_Mapping_Sheet!$E$2:$E$3143, ISNUMBER(
Master_Mapping_Sh"&amp;"eet!$E$2:$E$3143),
Master_Mapping_Sheet!$C$2:$C$3143=AZ$1))), 0, sum(filter(
Master_Mapping_Sheet!$E$2:$E$3143, ISNUMBER(
Master_Mapping_Sheet!$E$2:$E$3143),
Master_Mapping_Sheet!$C$2:$C$3143=AZ$1,
Master_Mapping_Sheet!$L$2:$L$3143=$A3))/sum(filter(
Maste"&amp;"r_Mapping_Sheet!$E$2:$E$3143, ISNUMBER(
Master_Mapping_Sheet!$E$2:$E$3143),
Master_Mapping_Sheet!$C$2:$C$3143=AZ$1)))"),0.0)</f>
        <v>0</v>
      </c>
    </row>
    <row r="4" ht="15.75" customHeight="1">
      <c r="A4" s="32" t="s">
        <v>211</v>
      </c>
      <c r="B4" s="34">
        <f>IFERROR(__xludf.DUMMYFUNCTION("IF(ISNA(sum(filter(
Master_Mapping_Sheet!$E$2:$E$3143, ISNUMBER(
Master_Mapping_Sheet!$E$2:$E$3143),
Master_Mapping_Sheet!$C$2:$C$3143=B$1,
Master_Mapping_Sheet!$L$2:$L$3143=$A4))/sum(filter(
Master_Mapping_Sheet!$E$2:$E$3143, ISNUMBER(
Master_Mapping_She"&amp;"et!$E$2:$E$3143),
Master_Mapping_Sheet!$C$2:$C$3143=B$1))), 0, sum(filter(
Master_Mapping_Sheet!$E$2:$E$3143, ISNUMBER(
Master_Mapping_Sheet!$E$2:$E$3143),
Master_Mapping_Sheet!$C$2:$C$3143=B$1,
Master_Mapping_Sheet!$L$2:$L$3143=$A4))/sum(filter(
Master_M"&amp;"apping_Sheet!$E$2:$E$3143, ISNUMBER(
Master_Mapping_Sheet!$E$2:$E$3143),
Master_Mapping_Sheet!$C$2:$C$3143=B$1)))"),0.0)</f>
        <v>0</v>
      </c>
      <c r="C4" s="34">
        <f>IFERROR(__xludf.DUMMYFUNCTION("IF(ISNA(sum(filter(
Master_Mapping_Sheet!$E$2:$E$3143, ISNUMBER(
Master_Mapping_Sheet!$E$2:$E$3143),
Master_Mapping_Sheet!$C$2:$C$3143=C$1,
Master_Mapping_Sheet!$L$2:$L$3143=$A4))/sum(filter(
Master_Mapping_Sheet!$E$2:$E$3143, ISNUMBER(
Master_Mapping_She"&amp;"et!$E$2:$E$3143),
Master_Mapping_Sheet!$C$2:$C$3143=C$1))), 0, sum(filter(
Master_Mapping_Sheet!$E$2:$E$3143, ISNUMBER(
Master_Mapping_Sheet!$E$2:$E$3143),
Master_Mapping_Sheet!$C$2:$C$3143=C$1,
Master_Mapping_Sheet!$L$2:$L$3143=$A4))/sum(filter(
Master_M"&amp;"apping_Sheet!$E$2:$E$3143, ISNUMBER(
Master_Mapping_Sheet!$E$2:$E$3143),
Master_Mapping_Sheet!$C$2:$C$3143=C$1)))"),0.0)</f>
        <v>0</v>
      </c>
      <c r="D4" s="34">
        <f>IFERROR(__xludf.DUMMYFUNCTION("IF(ISNA(sum(filter(
Master_Mapping_Sheet!$E$2:$E$3143, ISNUMBER(
Master_Mapping_Sheet!$E$2:$E$3143),
Master_Mapping_Sheet!$C$2:$C$3143=D$1,
Master_Mapping_Sheet!$L$2:$L$3143=$A4))/sum(filter(
Master_Mapping_Sheet!$E$2:$E$3143, ISNUMBER(
Master_Mapping_She"&amp;"et!$E$2:$E$3143),
Master_Mapping_Sheet!$C$2:$C$3143=D$1))), 0, sum(filter(
Master_Mapping_Sheet!$E$2:$E$3143, ISNUMBER(
Master_Mapping_Sheet!$E$2:$E$3143),
Master_Mapping_Sheet!$C$2:$C$3143=D$1,
Master_Mapping_Sheet!$L$2:$L$3143=$A4))/sum(filter(
Master_M"&amp;"apping_Sheet!$E$2:$E$3143, ISNUMBER(
Master_Mapping_Sheet!$E$2:$E$3143),
Master_Mapping_Sheet!$C$2:$C$3143=D$1)))"),0.8562654346239388)</f>
        <v>0.8562654346</v>
      </c>
      <c r="E4" s="34">
        <f>IFERROR(__xludf.DUMMYFUNCTION("IF(ISNA(sum(filter(
Master_Mapping_Sheet!$E$2:$E$3143, ISNUMBER(
Master_Mapping_Sheet!$E$2:$E$3143),
Master_Mapping_Sheet!$C$2:$C$3143=E$1,
Master_Mapping_Sheet!$L$2:$L$3143=$A4))/sum(filter(
Master_Mapping_Sheet!$E$2:$E$3143, ISNUMBER(
Master_Mapping_She"&amp;"et!$E$2:$E$3143),
Master_Mapping_Sheet!$C$2:$C$3143=E$1))), 0, sum(filter(
Master_Mapping_Sheet!$E$2:$E$3143, ISNUMBER(
Master_Mapping_Sheet!$E$2:$E$3143),
Master_Mapping_Sheet!$C$2:$C$3143=E$1,
Master_Mapping_Sheet!$L$2:$L$3143=$A4))/sum(filter(
Master_M"&amp;"apping_Sheet!$E$2:$E$3143, ISNUMBER(
Master_Mapping_Sheet!$E$2:$E$3143),
Master_Mapping_Sheet!$C$2:$C$3143=E$1)))"),0.0)</f>
        <v>0</v>
      </c>
      <c r="F4" s="34">
        <f>IFERROR(__xludf.DUMMYFUNCTION("IF(ISNA(sum(filter(
Master_Mapping_Sheet!$E$2:$E$3143, ISNUMBER(
Master_Mapping_Sheet!$E$2:$E$3143),
Master_Mapping_Sheet!$C$2:$C$3143=F$1,
Master_Mapping_Sheet!$L$2:$L$3143=$A4))/sum(filter(
Master_Mapping_Sheet!$E$2:$E$3143, ISNUMBER(
Master_Mapping_She"&amp;"et!$E$2:$E$3143),
Master_Mapping_Sheet!$C$2:$C$3143=F$1))), 0, sum(filter(
Master_Mapping_Sheet!$E$2:$E$3143, ISNUMBER(
Master_Mapping_Sheet!$E$2:$E$3143),
Master_Mapping_Sheet!$C$2:$C$3143=F$1,
Master_Mapping_Sheet!$L$2:$L$3143=$A4))/sum(filter(
Master_M"&amp;"apping_Sheet!$E$2:$E$3143, ISNUMBER(
Master_Mapping_Sheet!$E$2:$E$3143),
Master_Mapping_Sheet!$C$2:$C$3143=F$1)))"),0.004595306380235304)</f>
        <v>0.00459530638</v>
      </c>
      <c r="G4" s="34">
        <f>IFERROR(__xludf.DUMMYFUNCTION("IF(ISNA(sum(filter(
Master_Mapping_Sheet!$E$2:$E$3143, ISNUMBER(
Master_Mapping_Sheet!$E$2:$E$3143),
Master_Mapping_Sheet!$C$2:$C$3143=G$1,
Master_Mapping_Sheet!$L$2:$L$3143=$A4))/sum(filter(
Master_Mapping_Sheet!$E$2:$E$3143, ISNUMBER(
Master_Mapping_She"&amp;"et!$E$2:$E$3143),
Master_Mapping_Sheet!$C$2:$C$3143=G$1))), 0, sum(filter(
Master_Mapping_Sheet!$E$2:$E$3143, ISNUMBER(
Master_Mapping_Sheet!$E$2:$E$3143),
Master_Mapping_Sheet!$C$2:$C$3143=G$1,
Master_Mapping_Sheet!$L$2:$L$3143=$A4))/sum(filter(
Master_M"&amp;"apping_Sheet!$E$2:$E$3143, ISNUMBER(
Master_Mapping_Sheet!$E$2:$E$3143),
Master_Mapping_Sheet!$C$2:$C$3143=G$1)))"),0.0)</f>
        <v>0</v>
      </c>
      <c r="H4" s="34">
        <f>IFERROR(__xludf.DUMMYFUNCTION("IF(ISNA(sum(filter(
Master_Mapping_Sheet!$E$2:$E$3143, ISNUMBER(
Master_Mapping_Sheet!$E$2:$E$3143),
Master_Mapping_Sheet!$C$2:$C$3143=H$1,
Master_Mapping_Sheet!$L$2:$L$3143=$A4))/sum(filter(
Master_Mapping_Sheet!$E$2:$E$3143, ISNUMBER(
Master_Mapping_She"&amp;"et!$E$2:$E$3143),
Master_Mapping_Sheet!$C$2:$C$3143=H$1))), 0, sum(filter(
Master_Mapping_Sheet!$E$2:$E$3143, ISNUMBER(
Master_Mapping_Sheet!$E$2:$E$3143),
Master_Mapping_Sheet!$C$2:$C$3143=H$1,
Master_Mapping_Sheet!$L$2:$L$3143=$A4))/sum(filter(
Master_M"&amp;"apping_Sheet!$E$2:$E$3143, ISNUMBER(
Master_Mapping_Sheet!$E$2:$E$3143),
Master_Mapping_Sheet!$C$2:$C$3143=H$1)))"),0.0)</f>
        <v>0</v>
      </c>
      <c r="I4" s="34">
        <f>IFERROR(__xludf.DUMMYFUNCTION("IF(ISNA(sum(filter(
Master_Mapping_Sheet!$E$2:$E$3143, ISNUMBER(
Master_Mapping_Sheet!$E$2:$E$3143),
Master_Mapping_Sheet!$C$2:$C$3143=I$1,
Master_Mapping_Sheet!$L$2:$L$3143=$A4))/sum(filter(
Master_Mapping_Sheet!$E$2:$E$3143, ISNUMBER(
Master_Mapping_She"&amp;"et!$E$2:$E$3143),
Master_Mapping_Sheet!$C$2:$C$3143=I$1))), 0, sum(filter(
Master_Mapping_Sheet!$E$2:$E$3143, ISNUMBER(
Master_Mapping_Sheet!$E$2:$E$3143),
Master_Mapping_Sheet!$C$2:$C$3143=I$1,
Master_Mapping_Sheet!$L$2:$L$3143=$A4))/sum(filter(
Master_M"&amp;"apping_Sheet!$E$2:$E$3143, ISNUMBER(
Master_Mapping_Sheet!$E$2:$E$3143),
Master_Mapping_Sheet!$C$2:$C$3143=I$1)))"),0.0)</f>
        <v>0</v>
      </c>
      <c r="J4" s="34">
        <f>IFERROR(__xludf.DUMMYFUNCTION("IF(ISNA(sum(filter(
Master_Mapping_Sheet!$E$2:$E$3143, ISNUMBER(
Master_Mapping_Sheet!$E$2:$E$3143),
Master_Mapping_Sheet!$C$2:$C$3143=J$1,
Master_Mapping_Sheet!$L$2:$L$3143=$A4))/sum(filter(
Master_Mapping_Sheet!$E$2:$E$3143, ISNUMBER(
Master_Mapping_She"&amp;"et!$E$2:$E$3143),
Master_Mapping_Sheet!$C$2:$C$3143=J$1))), 0, sum(filter(
Master_Mapping_Sheet!$E$2:$E$3143, ISNUMBER(
Master_Mapping_Sheet!$E$2:$E$3143),
Master_Mapping_Sheet!$C$2:$C$3143=J$1,
Master_Mapping_Sheet!$L$2:$L$3143=$A4))/sum(filter(
Master_M"&amp;"apping_Sheet!$E$2:$E$3143, ISNUMBER(
Master_Mapping_Sheet!$E$2:$E$3143),
Master_Mapping_Sheet!$C$2:$C$3143=J$1)))"),0.0)</f>
        <v>0</v>
      </c>
      <c r="K4" s="34">
        <f>IFERROR(__xludf.DUMMYFUNCTION("IF(ISNA(sum(filter(
Master_Mapping_Sheet!$E$2:$E$3143, ISNUMBER(
Master_Mapping_Sheet!$E$2:$E$3143),
Master_Mapping_Sheet!$C$2:$C$3143=K$1,
Master_Mapping_Sheet!$L$2:$L$3143=$A4))/sum(filter(
Master_Mapping_Sheet!$E$2:$E$3143, ISNUMBER(
Master_Mapping_She"&amp;"et!$E$2:$E$3143),
Master_Mapping_Sheet!$C$2:$C$3143=K$1))), 0, sum(filter(
Master_Mapping_Sheet!$E$2:$E$3143, ISNUMBER(
Master_Mapping_Sheet!$E$2:$E$3143),
Master_Mapping_Sheet!$C$2:$C$3143=K$1,
Master_Mapping_Sheet!$L$2:$L$3143=$A4))/sum(filter(
Master_M"&amp;"apping_Sheet!$E$2:$E$3143, ISNUMBER(
Master_Mapping_Sheet!$E$2:$E$3143),
Master_Mapping_Sheet!$C$2:$C$3143=K$1)))"),0.0)</f>
        <v>0</v>
      </c>
      <c r="L4" s="34">
        <f>IFERROR(__xludf.DUMMYFUNCTION("IF(ISNA(sum(filter(
Master_Mapping_Sheet!$E$2:$E$3143, ISNUMBER(
Master_Mapping_Sheet!$E$2:$E$3143),
Master_Mapping_Sheet!$C$2:$C$3143=L$1,
Master_Mapping_Sheet!$L$2:$L$3143=$A4))/sum(filter(
Master_Mapping_Sheet!$E$2:$E$3143, ISNUMBER(
Master_Mapping_She"&amp;"et!$E$2:$E$3143),
Master_Mapping_Sheet!$C$2:$C$3143=L$1))), 0, sum(filter(
Master_Mapping_Sheet!$E$2:$E$3143, ISNUMBER(
Master_Mapping_Sheet!$E$2:$E$3143),
Master_Mapping_Sheet!$C$2:$C$3143=L$1,
Master_Mapping_Sheet!$L$2:$L$3143=$A4))/sum(filter(
Master_M"&amp;"apping_Sheet!$E$2:$E$3143, ISNUMBER(
Master_Mapping_Sheet!$E$2:$E$3143),
Master_Mapping_Sheet!$C$2:$C$3143=L$1)))"),0.0)</f>
        <v>0</v>
      </c>
      <c r="M4" s="34">
        <f>IFERROR(__xludf.DUMMYFUNCTION("IF(ISNA(sum(filter(
Master_Mapping_Sheet!$E$2:$E$3143, ISNUMBER(
Master_Mapping_Sheet!$E$2:$E$3143),
Master_Mapping_Sheet!$C$2:$C$3143=M$1,
Master_Mapping_Sheet!$L$2:$L$3143=$A4))/sum(filter(
Master_Mapping_Sheet!$E$2:$E$3143, ISNUMBER(
Master_Mapping_She"&amp;"et!$E$2:$E$3143),
Master_Mapping_Sheet!$C$2:$C$3143=M$1))), 0, sum(filter(
Master_Mapping_Sheet!$E$2:$E$3143, ISNUMBER(
Master_Mapping_Sheet!$E$2:$E$3143),
Master_Mapping_Sheet!$C$2:$C$3143=M$1,
Master_Mapping_Sheet!$L$2:$L$3143=$A4))/sum(filter(
Master_M"&amp;"apping_Sheet!$E$2:$E$3143, ISNUMBER(
Master_Mapping_Sheet!$E$2:$E$3143),
Master_Mapping_Sheet!$C$2:$C$3143=M$1)))"),0.0)</f>
        <v>0</v>
      </c>
      <c r="N4" s="34">
        <f>IFERROR(__xludf.DUMMYFUNCTION("IF(ISNA(sum(filter(
Master_Mapping_Sheet!$E$2:$E$3143, ISNUMBER(
Master_Mapping_Sheet!$E$2:$E$3143),
Master_Mapping_Sheet!$C$2:$C$3143=N$1,
Master_Mapping_Sheet!$L$2:$L$3143=$A4))/sum(filter(
Master_Mapping_Sheet!$E$2:$E$3143, ISNUMBER(
Master_Mapping_She"&amp;"et!$E$2:$E$3143),
Master_Mapping_Sheet!$C$2:$C$3143=N$1))), 0, sum(filter(
Master_Mapping_Sheet!$E$2:$E$3143, ISNUMBER(
Master_Mapping_Sheet!$E$2:$E$3143),
Master_Mapping_Sheet!$C$2:$C$3143=N$1,
Master_Mapping_Sheet!$L$2:$L$3143=$A4))/sum(filter(
Master_M"&amp;"apping_Sheet!$E$2:$E$3143, ISNUMBER(
Master_Mapping_Sheet!$E$2:$E$3143),
Master_Mapping_Sheet!$C$2:$C$3143=N$1)))"),0.0)</f>
        <v>0</v>
      </c>
      <c r="O4" s="34">
        <f>IFERROR(__xludf.DUMMYFUNCTION("IF(ISNA(sum(filter(
Master_Mapping_Sheet!$E$2:$E$3143, ISNUMBER(
Master_Mapping_Sheet!$E$2:$E$3143),
Master_Mapping_Sheet!$C$2:$C$3143=O$1,
Master_Mapping_Sheet!$L$2:$L$3143=$A4))/sum(filter(
Master_Mapping_Sheet!$E$2:$E$3143, ISNUMBER(
Master_Mapping_She"&amp;"et!$E$2:$E$3143),
Master_Mapping_Sheet!$C$2:$C$3143=O$1))), 0, sum(filter(
Master_Mapping_Sheet!$E$2:$E$3143, ISNUMBER(
Master_Mapping_Sheet!$E$2:$E$3143),
Master_Mapping_Sheet!$C$2:$C$3143=O$1,
Master_Mapping_Sheet!$L$2:$L$3143=$A4))/sum(filter(
Master_M"&amp;"apping_Sheet!$E$2:$E$3143, ISNUMBER(
Master_Mapping_Sheet!$E$2:$E$3143),
Master_Mapping_Sheet!$C$2:$C$3143=O$1)))"),0.0)</f>
        <v>0</v>
      </c>
      <c r="P4" s="34">
        <f>IFERROR(__xludf.DUMMYFUNCTION("IF(ISNA(sum(filter(
Master_Mapping_Sheet!$E$2:$E$3143, ISNUMBER(
Master_Mapping_Sheet!$E$2:$E$3143),
Master_Mapping_Sheet!$C$2:$C$3143=P$1,
Master_Mapping_Sheet!$L$2:$L$3143=$A4))/sum(filter(
Master_Mapping_Sheet!$E$2:$E$3143, ISNUMBER(
Master_Mapping_She"&amp;"et!$E$2:$E$3143),
Master_Mapping_Sheet!$C$2:$C$3143=P$1))), 0, sum(filter(
Master_Mapping_Sheet!$E$2:$E$3143, ISNUMBER(
Master_Mapping_Sheet!$E$2:$E$3143),
Master_Mapping_Sheet!$C$2:$C$3143=P$1,
Master_Mapping_Sheet!$L$2:$L$3143=$A4))/sum(filter(
Master_M"&amp;"apping_Sheet!$E$2:$E$3143, ISNUMBER(
Master_Mapping_Sheet!$E$2:$E$3143),
Master_Mapping_Sheet!$C$2:$C$3143=P$1)))"),0.0)</f>
        <v>0</v>
      </c>
      <c r="Q4" s="34">
        <f>IFERROR(__xludf.DUMMYFUNCTION("IF(ISNA(sum(filter(
Master_Mapping_Sheet!$E$2:$E$3143, ISNUMBER(
Master_Mapping_Sheet!$E$2:$E$3143),
Master_Mapping_Sheet!$C$2:$C$3143=Q$1,
Master_Mapping_Sheet!$L$2:$L$3143=$A4))/sum(filter(
Master_Mapping_Sheet!$E$2:$E$3143, ISNUMBER(
Master_Mapping_She"&amp;"et!$E$2:$E$3143),
Master_Mapping_Sheet!$C$2:$C$3143=Q$1))), 0, sum(filter(
Master_Mapping_Sheet!$E$2:$E$3143, ISNUMBER(
Master_Mapping_Sheet!$E$2:$E$3143),
Master_Mapping_Sheet!$C$2:$C$3143=Q$1,
Master_Mapping_Sheet!$L$2:$L$3143=$A4))/sum(filter(
Master_M"&amp;"apping_Sheet!$E$2:$E$3143, ISNUMBER(
Master_Mapping_Sheet!$E$2:$E$3143),
Master_Mapping_Sheet!$C$2:$C$3143=Q$1)))"),0.0)</f>
        <v>0</v>
      </c>
      <c r="R4" s="34">
        <f>IFERROR(__xludf.DUMMYFUNCTION("IF(ISNA(sum(filter(
Master_Mapping_Sheet!$E$2:$E$3143, ISNUMBER(
Master_Mapping_Sheet!$E$2:$E$3143),
Master_Mapping_Sheet!$C$2:$C$3143=R$1,
Master_Mapping_Sheet!$L$2:$L$3143=$A4))/sum(filter(
Master_Mapping_Sheet!$E$2:$E$3143, ISNUMBER(
Master_Mapping_She"&amp;"et!$E$2:$E$3143),
Master_Mapping_Sheet!$C$2:$C$3143=R$1))), 0, sum(filter(
Master_Mapping_Sheet!$E$2:$E$3143, ISNUMBER(
Master_Mapping_Sheet!$E$2:$E$3143),
Master_Mapping_Sheet!$C$2:$C$3143=R$1,
Master_Mapping_Sheet!$L$2:$L$3143=$A4))/sum(filter(
Master_M"&amp;"apping_Sheet!$E$2:$E$3143, ISNUMBER(
Master_Mapping_Sheet!$E$2:$E$3143),
Master_Mapping_Sheet!$C$2:$C$3143=R$1)))"),0.0)</f>
        <v>0</v>
      </c>
      <c r="S4" s="34">
        <f>IFERROR(__xludf.DUMMYFUNCTION("IF(ISNA(sum(filter(
Master_Mapping_Sheet!$E$2:$E$3143, ISNUMBER(
Master_Mapping_Sheet!$E$2:$E$3143),
Master_Mapping_Sheet!$C$2:$C$3143=S$1,
Master_Mapping_Sheet!$L$2:$L$3143=$A4))/sum(filter(
Master_Mapping_Sheet!$E$2:$E$3143, ISNUMBER(
Master_Mapping_She"&amp;"et!$E$2:$E$3143),
Master_Mapping_Sheet!$C$2:$C$3143=S$1))), 0, sum(filter(
Master_Mapping_Sheet!$E$2:$E$3143, ISNUMBER(
Master_Mapping_Sheet!$E$2:$E$3143),
Master_Mapping_Sheet!$C$2:$C$3143=S$1,
Master_Mapping_Sheet!$L$2:$L$3143=$A4))/sum(filter(
Master_M"&amp;"apping_Sheet!$E$2:$E$3143, ISNUMBER(
Master_Mapping_Sheet!$E$2:$E$3143),
Master_Mapping_Sheet!$C$2:$C$3143=S$1)))"),0.0)</f>
        <v>0</v>
      </c>
      <c r="T4" s="34">
        <f>IFERROR(__xludf.DUMMYFUNCTION("IF(ISNA(sum(filter(
Master_Mapping_Sheet!$E$2:$E$3143, ISNUMBER(
Master_Mapping_Sheet!$E$2:$E$3143),
Master_Mapping_Sheet!$C$2:$C$3143=T$1,
Master_Mapping_Sheet!$L$2:$L$3143=$A4))/sum(filter(
Master_Mapping_Sheet!$E$2:$E$3143, ISNUMBER(
Master_Mapping_She"&amp;"et!$E$2:$E$3143),
Master_Mapping_Sheet!$C$2:$C$3143=T$1))), 0, sum(filter(
Master_Mapping_Sheet!$E$2:$E$3143, ISNUMBER(
Master_Mapping_Sheet!$E$2:$E$3143),
Master_Mapping_Sheet!$C$2:$C$3143=T$1,
Master_Mapping_Sheet!$L$2:$L$3143=$A4))/sum(filter(
Master_M"&amp;"apping_Sheet!$E$2:$E$3143, ISNUMBER(
Master_Mapping_Sheet!$E$2:$E$3143),
Master_Mapping_Sheet!$C$2:$C$3143=T$1)))"),0.0)</f>
        <v>0</v>
      </c>
      <c r="U4" s="34">
        <f>IFERROR(__xludf.DUMMYFUNCTION("IF(ISNA(sum(filter(
Master_Mapping_Sheet!$E$2:$E$3143, ISNUMBER(
Master_Mapping_Sheet!$E$2:$E$3143),
Master_Mapping_Sheet!$C$2:$C$3143=U$1,
Master_Mapping_Sheet!$L$2:$L$3143=$A4))/sum(filter(
Master_Mapping_Sheet!$E$2:$E$3143, ISNUMBER(
Master_Mapping_She"&amp;"et!$E$2:$E$3143),
Master_Mapping_Sheet!$C$2:$C$3143=U$1))), 0, sum(filter(
Master_Mapping_Sheet!$E$2:$E$3143, ISNUMBER(
Master_Mapping_Sheet!$E$2:$E$3143),
Master_Mapping_Sheet!$C$2:$C$3143=U$1,
Master_Mapping_Sheet!$L$2:$L$3143=$A4))/sum(filter(
Master_M"&amp;"apping_Sheet!$E$2:$E$3143, ISNUMBER(
Master_Mapping_Sheet!$E$2:$E$3143),
Master_Mapping_Sheet!$C$2:$C$3143=U$1)))"),0.0)</f>
        <v>0</v>
      </c>
      <c r="V4" s="34">
        <f>IFERROR(__xludf.DUMMYFUNCTION("IF(ISNA(sum(filter(
Master_Mapping_Sheet!$E$2:$E$3143, ISNUMBER(
Master_Mapping_Sheet!$E$2:$E$3143),
Master_Mapping_Sheet!$C$2:$C$3143=V$1,
Master_Mapping_Sheet!$L$2:$L$3143=$A4))/sum(filter(
Master_Mapping_Sheet!$E$2:$E$3143, ISNUMBER(
Master_Mapping_She"&amp;"et!$E$2:$E$3143),
Master_Mapping_Sheet!$C$2:$C$3143=V$1))), 0, sum(filter(
Master_Mapping_Sheet!$E$2:$E$3143, ISNUMBER(
Master_Mapping_Sheet!$E$2:$E$3143),
Master_Mapping_Sheet!$C$2:$C$3143=V$1,
Master_Mapping_Sheet!$L$2:$L$3143=$A4))/sum(filter(
Master_M"&amp;"apping_Sheet!$E$2:$E$3143, ISNUMBER(
Master_Mapping_Sheet!$E$2:$E$3143),
Master_Mapping_Sheet!$C$2:$C$3143=V$1)))"),0.0)</f>
        <v>0</v>
      </c>
      <c r="W4" s="34">
        <f>IFERROR(__xludf.DUMMYFUNCTION("IF(ISNA(sum(filter(
Master_Mapping_Sheet!$E$2:$E$3143, ISNUMBER(
Master_Mapping_Sheet!$E$2:$E$3143),
Master_Mapping_Sheet!$C$2:$C$3143=W$1,
Master_Mapping_Sheet!$L$2:$L$3143=$A4))/sum(filter(
Master_Mapping_Sheet!$E$2:$E$3143, ISNUMBER(
Master_Mapping_She"&amp;"et!$E$2:$E$3143),
Master_Mapping_Sheet!$C$2:$C$3143=W$1))), 0, sum(filter(
Master_Mapping_Sheet!$E$2:$E$3143, ISNUMBER(
Master_Mapping_Sheet!$E$2:$E$3143),
Master_Mapping_Sheet!$C$2:$C$3143=W$1,
Master_Mapping_Sheet!$L$2:$L$3143=$A4))/sum(filter(
Master_M"&amp;"apping_Sheet!$E$2:$E$3143, ISNUMBER(
Master_Mapping_Sheet!$E$2:$E$3143),
Master_Mapping_Sheet!$C$2:$C$3143=W$1)))"),0.0)</f>
        <v>0</v>
      </c>
      <c r="X4" s="34">
        <f>IFERROR(__xludf.DUMMYFUNCTION("IF(ISNA(sum(filter(
Master_Mapping_Sheet!$E$2:$E$3143, ISNUMBER(
Master_Mapping_Sheet!$E$2:$E$3143),
Master_Mapping_Sheet!$C$2:$C$3143=X$1,
Master_Mapping_Sheet!$L$2:$L$3143=$A4))/sum(filter(
Master_Mapping_Sheet!$E$2:$E$3143, ISNUMBER(
Master_Mapping_She"&amp;"et!$E$2:$E$3143),
Master_Mapping_Sheet!$C$2:$C$3143=X$1))), 0, sum(filter(
Master_Mapping_Sheet!$E$2:$E$3143, ISNUMBER(
Master_Mapping_Sheet!$E$2:$E$3143),
Master_Mapping_Sheet!$C$2:$C$3143=X$1,
Master_Mapping_Sheet!$L$2:$L$3143=$A4))/sum(filter(
Master_M"&amp;"apping_Sheet!$E$2:$E$3143, ISNUMBER(
Master_Mapping_Sheet!$E$2:$E$3143),
Master_Mapping_Sheet!$C$2:$C$3143=X$1)))"),0.0)</f>
        <v>0</v>
      </c>
      <c r="Y4" s="34">
        <f>IFERROR(__xludf.DUMMYFUNCTION("IF(ISNA(sum(filter(
Master_Mapping_Sheet!$E$2:$E$3143, ISNUMBER(
Master_Mapping_Sheet!$E$2:$E$3143),
Master_Mapping_Sheet!$C$2:$C$3143=Y$1,
Master_Mapping_Sheet!$L$2:$L$3143=$A4))/sum(filter(
Master_Mapping_Sheet!$E$2:$E$3143, ISNUMBER(
Master_Mapping_She"&amp;"et!$E$2:$E$3143),
Master_Mapping_Sheet!$C$2:$C$3143=Y$1))), 0, sum(filter(
Master_Mapping_Sheet!$E$2:$E$3143, ISNUMBER(
Master_Mapping_Sheet!$E$2:$E$3143),
Master_Mapping_Sheet!$C$2:$C$3143=Y$1,
Master_Mapping_Sheet!$L$2:$L$3143=$A4))/sum(filter(
Master_M"&amp;"apping_Sheet!$E$2:$E$3143, ISNUMBER(
Master_Mapping_Sheet!$E$2:$E$3143),
Master_Mapping_Sheet!$C$2:$C$3143=Y$1)))"),0.0)</f>
        <v>0</v>
      </c>
      <c r="Z4" s="34">
        <f>IFERROR(__xludf.DUMMYFUNCTION("IF(ISNA(sum(filter(
Master_Mapping_Sheet!$E$2:$E$3143, ISNUMBER(
Master_Mapping_Sheet!$E$2:$E$3143),
Master_Mapping_Sheet!$C$2:$C$3143=Z$1,
Master_Mapping_Sheet!$L$2:$L$3143=$A4))/sum(filter(
Master_Mapping_Sheet!$E$2:$E$3143, ISNUMBER(
Master_Mapping_She"&amp;"et!$E$2:$E$3143),
Master_Mapping_Sheet!$C$2:$C$3143=Z$1))), 0, sum(filter(
Master_Mapping_Sheet!$E$2:$E$3143, ISNUMBER(
Master_Mapping_Sheet!$E$2:$E$3143),
Master_Mapping_Sheet!$C$2:$C$3143=Z$1,
Master_Mapping_Sheet!$L$2:$L$3143=$A4))/sum(filter(
Master_M"&amp;"apping_Sheet!$E$2:$E$3143, ISNUMBER(
Master_Mapping_Sheet!$E$2:$E$3143),
Master_Mapping_Sheet!$C$2:$C$3143=Z$1)))"),0.0)</f>
        <v>0</v>
      </c>
      <c r="AA4" s="34">
        <f>IFERROR(__xludf.DUMMYFUNCTION("IF(ISNA(sum(filter(
Master_Mapping_Sheet!$E$2:$E$3143, ISNUMBER(
Master_Mapping_Sheet!$E$2:$E$3143),
Master_Mapping_Sheet!$C$2:$C$3143=AA$1,
Master_Mapping_Sheet!$L$2:$L$3143=$A4))/sum(filter(
Master_Mapping_Sheet!$E$2:$E$3143, ISNUMBER(
Master_Mapping_Sh"&amp;"eet!$E$2:$E$3143),
Master_Mapping_Sheet!$C$2:$C$3143=AA$1))), 0, sum(filter(
Master_Mapping_Sheet!$E$2:$E$3143, ISNUMBER(
Master_Mapping_Sheet!$E$2:$E$3143),
Master_Mapping_Sheet!$C$2:$C$3143=AA$1,
Master_Mapping_Sheet!$L$2:$L$3143=$A4))/sum(filter(
Maste"&amp;"r_Mapping_Sheet!$E$2:$E$3143, ISNUMBER(
Master_Mapping_Sheet!$E$2:$E$3143),
Master_Mapping_Sheet!$C$2:$C$3143=AA$1)))"),0.0)</f>
        <v>0</v>
      </c>
      <c r="AB4" s="34">
        <f>IFERROR(__xludf.DUMMYFUNCTION("IF(ISNA(sum(filter(
Master_Mapping_Sheet!$E$2:$E$3143, ISNUMBER(
Master_Mapping_Sheet!$E$2:$E$3143),
Master_Mapping_Sheet!$C$2:$C$3143=AB$1,
Master_Mapping_Sheet!$L$2:$L$3143=$A4))/sum(filter(
Master_Mapping_Sheet!$E$2:$E$3143, ISNUMBER(
Master_Mapping_Sh"&amp;"eet!$E$2:$E$3143),
Master_Mapping_Sheet!$C$2:$C$3143=AB$1))), 0, sum(filter(
Master_Mapping_Sheet!$E$2:$E$3143, ISNUMBER(
Master_Mapping_Sheet!$E$2:$E$3143),
Master_Mapping_Sheet!$C$2:$C$3143=AB$1,
Master_Mapping_Sheet!$L$2:$L$3143=$A4))/sum(filter(
Maste"&amp;"r_Mapping_Sheet!$E$2:$E$3143, ISNUMBER(
Master_Mapping_Sheet!$E$2:$E$3143),
Master_Mapping_Sheet!$C$2:$C$3143=AB$1)))"),0.0)</f>
        <v>0</v>
      </c>
      <c r="AC4" s="34">
        <f>IFERROR(__xludf.DUMMYFUNCTION("IF(ISNA(sum(filter(
Master_Mapping_Sheet!$E$2:$E$3143, ISNUMBER(
Master_Mapping_Sheet!$E$2:$E$3143),
Master_Mapping_Sheet!$C$2:$C$3143=AC$1,
Master_Mapping_Sheet!$L$2:$L$3143=$A4))/sum(filter(
Master_Mapping_Sheet!$E$2:$E$3143, ISNUMBER(
Master_Mapping_Sh"&amp;"eet!$E$2:$E$3143),
Master_Mapping_Sheet!$C$2:$C$3143=AC$1))), 0, sum(filter(
Master_Mapping_Sheet!$E$2:$E$3143, ISNUMBER(
Master_Mapping_Sheet!$E$2:$E$3143),
Master_Mapping_Sheet!$C$2:$C$3143=AC$1,
Master_Mapping_Sheet!$L$2:$L$3143=$A4))/sum(filter(
Maste"&amp;"r_Mapping_Sheet!$E$2:$E$3143, ISNUMBER(
Master_Mapping_Sheet!$E$2:$E$3143),
Master_Mapping_Sheet!$C$2:$C$3143=AC$1)))"),0.0)</f>
        <v>0</v>
      </c>
      <c r="AD4" s="34">
        <f>IFERROR(__xludf.DUMMYFUNCTION("IF(ISNA(sum(filter(
Master_Mapping_Sheet!$E$2:$E$3143, ISNUMBER(
Master_Mapping_Sheet!$E$2:$E$3143),
Master_Mapping_Sheet!$C$2:$C$3143=AD$1,
Master_Mapping_Sheet!$L$2:$L$3143=$A4))/sum(filter(
Master_Mapping_Sheet!$E$2:$E$3143, ISNUMBER(
Master_Mapping_Sh"&amp;"eet!$E$2:$E$3143),
Master_Mapping_Sheet!$C$2:$C$3143=AD$1))), 0, sum(filter(
Master_Mapping_Sheet!$E$2:$E$3143, ISNUMBER(
Master_Mapping_Sheet!$E$2:$E$3143),
Master_Mapping_Sheet!$C$2:$C$3143=AD$1,
Master_Mapping_Sheet!$L$2:$L$3143=$A4))/sum(filter(
Maste"&amp;"r_Mapping_Sheet!$E$2:$E$3143, ISNUMBER(
Master_Mapping_Sheet!$E$2:$E$3143),
Master_Mapping_Sheet!$C$2:$C$3143=AD$1)))"),0.0)</f>
        <v>0</v>
      </c>
      <c r="AE4" s="34">
        <f>IFERROR(__xludf.DUMMYFUNCTION("IF(ISNA(sum(filter(
Master_Mapping_Sheet!$E$2:$E$3143, ISNUMBER(
Master_Mapping_Sheet!$E$2:$E$3143),
Master_Mapping_Sheet!$C$2:$C$3143=AE$1,
Master_Mapping_Sheet!$L$2:$L$3143=$A4))/sum(filter(
Master_Mapping_Sheet!$E$2:$E$3143, ISNUMBER(
Master_Mapping_Sh"&amp;"eet!$E$2:$E$3143),
Master_Mapping_Sheet!$C$2:$C$3143=AE$1))), 0, sum(filter(
Master_Mapping_Sheet!$E$2:$E$3143, ISNUMBER(
Master_Mapping_Sheet!$E$2:$E$3143),
Master_Mapping_Sheet!$C$2:$C$3143=AE$1,
Master_Mapping_Sheet!$L$2:$L$3143=$A4))/sum(filter(
Maste"&amp;"r_Mapping_Sheet!$E$2:$E$3143, ISNUMBER(
Master_Mapping_Sheet!$E$2:$E$3143),
Master_Mapping_Sheet!$C$2:$C$3143=AE$1)))"),0.0)</f>
        <v>0</v>
      </c>
      <c r="AF4" s="34">
        <f>IFERROR(__xludf.DUMMYFUNCTION("IF(ISNA(sum(filter(
Master_Mapping_Sheet!$E$2:$E$3143, ISNUMBER(
Master_Mapping_Sheet!$E$2:$E$3143),
Master_Mapping_Sheet!$C$2:$C$3143=AF$1,
Master_Mapping_Sheet!$L$2:$L$3143=$A4))/sum(filter(
Master_Mapping_Sheet!$E$2:$E$3143, ISNUMBER(
Master_Mapping_Sh"&amp;"eet!$E$2:$E$3143),
Master_Mapping_Sheet!$C$2:$C$3143=AF$1))), 0, sum(filter(
Master_Mapping_Sheet!$E$2:$E$3143, ISNUMBER(
Master_Mapping_Sheet!$E$2:$E$3143),
Master_Mapping_Sheet!$C$2:$C$3143=AF$1,
Master_Mapping_Sheet!$L$2:$L$3143=$A4))/sum(filter(
Maste"&amp;"r_Mapping_Sheet!$E$2:$E$3143, ISNUMBER(
Master_Mapping_Sheet!$E$2:$E$3143),
Master_Mapping_Sheet!$C$2:$C$3143=AF$1)))"),0.0)</f>
        <v>0</v>
      </c>
      <c r="AG4" s="34">
        <f>IFERROR(__xludf.DUMMYFUNCTION("IF(ISNA(sum(filter(
Master_Mapping_Sheet!$E$2:$E$3143, ISNUMBER(
Master_Mapping_Sheet!$E$2:$E$3143),
Master_Mapping_Sheet!$C$2:$C$3143=AG$1,
Master_Mapping_Sheet!$L$2:$L$3143=$A4))/sum(filter(
Master_Mapping_Sheet!$E$2:$E$3143, ISNUMBER(
Master_Mapping_Sh"&amp;"eet!$E$2:$E$3143),
Master_Mapping_Sheet!$C$2:$C$3143=AG$1))), 0, sum(filter(
Master_Mapping_Sheet!$E$2:$E$3143, ISNUMBER(
Master_Mapping_Sheet!$E$2:$E$3143),
Master_Mapping_Sheet!$C$2:$C$3143=AG$1,
Master_Mapping_Sheet!$L$2:$L$3143=$A4))/sum(filter(
Maste"&amp;"r_Mapping_Sheet!$E$2:$E$3143, ISNUMBER(
Master_Mapping_Sheet!$E$2:$E$3143),
Master_Mapping_Sheet!$C$2:$C$3143=AG$1)))"),0.0)</f>
        <v>0</v>
      </c>
      <c r="AH4" s="34">
        <f>IFERROR(__xludf.DUMMYFUNCTION("IF(ISNA(sum(filter(
Master_Mapping_Sheet!$E$2:$E$3143, ISNUMBER(
Master_Mapping_Sheet!$E$2:$E$3143),
Master_Mapping_Sheet!$C$2:$C$3143=AH$1,
Master_Mapping_Sheet!$L$2:$L$3143=$A4))/sum(filter(
Master_Mapping_Sheet!$E$2:$E$3143, ISNUMBER(
Master_Mapping_Sh"&amp;"eet!$E$2:$E$3143),
Master_Mapping_Sheet!$C$2:$C$3143=AH$1))), 0, sum(filter(
Master_Mapping_Sheet!$E$2:$E$3143, ISNUMBER(
Master_Mapping_Sheet!$E$2:$E$3143),
Master_Mapping_Sheet!$C$2:$C$3143=AH$1,
Master_Mapping_Sheet!$L$2:$L$3143=$A4))/sum(filter(
Maste"&amp;"r_Mapping_Sheet!$E$2:$E$3143, ISNUMBER(
Master_Mapping_Sheet!$E$2:$E$3143),
Master_Mapping_Sheet!$C$2:$C$3143=AH$1)))"),0.0)</f>
        <v>0</v>
      </c>
      <c r="AI4" s="34">
        <f>IFERROR(__xludf.DUMMYFUNCTION("IF(ISNA(sum(filter(
Master_Mapping_Sheet!$E$2:$E$3143, ISNUMBER(
Master_Mapping_Sheet!$E$2:$E$3143),
Master_Mapping_Sheet!$C$2:$C$3143=AI$1,
Master_Mapping_Sheet!$L$2:$L$3143=$A4))/sum(filter(
Master_Mapping_Sheet!$E$2:$E$3143, ISNUMBER(
Master_Mapping_Sh"&amp;"eet!$E$2:$E$3143),
Master_Mapping_Sheet!$C$2:$C$3143=AI$1))), 0, sum(filter(
Master_Mapping_Sheet!$E$2:$E$3143, ISNUMBER(
Master_Mapping_Sheet!$E$2:$E$3143),
Master_Mapping_Sheet!$C$2:$C$3143=AI$1,
Master_Mapping_Sheet!$L$2:$L$3143=$A4))/sum(filter(
Maste"&amp;"r_Mapping_Sheet!$E$2:$E$3143, ISNUMBER(
Master_Mapping_Sheet!$E$2:$E$3143),
Master_Mapping_Sheet!$C$2:$C$3143=AI$1)))"),0.0)</f>
        <v>0</v>
      </c>
      <c r="AJ4" s="34">
        <f>IFERROR(__xludf.DUMMYFUNCTION("IF(ISNA(sum(filter(
Master_Mapping_Sheet!$E$2:$E$3143, ISNUMBER(
Master_Mapping_Sheet!$E$2:$E$3143),
Master_Mapping_Sheet!$C$2:$C$3143=AJ$1,
Master_Mapping_Sheet!$L$2:$L$3143=$A4))/sum(filter(
Master_Mapping_Sheet!$E$2:$E$3143, ISNUMBER(
Master_Mapping_Sh"&amp;"eet!$E$2:$E$3143),
Master_Mapping_Sheet!$C$2:$C$3143=AJ$1))), 0, sum(filter(
Master_Mapping_Sheet!$E$2:$E$3143, ISNUMBER(
Master_Mapping_Sheet!$E$2:$E$3143),
Master_Mapping_Sheet!$C$2:$C$3143=AJ$1,
Master_Mapping_Sheet!$L$2:$L$3143=$A4))/sum(filter(
Maste"&amp;"r_Mapping_Sheet!$E$2:$E$3143, ISNUMBER(
Master_Mapping_Sheet!$E$2:$E$3143),
Master_Mapping_Sheet!$C$2:$C$3143=AJ$1)))"),0.0)</f>
        <v>0</v>
      </c>
      <c r="AK4" s="34">
        <f>IFERROR(__xludf.DUMMYFUNCTION("IF(ISNA(sum(filter(
Master_Mapping_Sheet!$E$2:$E$3143, ISNUMBER(
Master_Mapping_Sheet!$E$2:$E$3143),
Master_Mapping_Sheet!$C$2:$C$3143=AK$1,
Master_Mapping_Sheet!$L$2:$L$3143=$A4))/sum(filter(
Master_Mapping_Sheet!$E$2:$E$3143, ISNUMBER(
Master_Mapping_Sh"&amp;"eet!$E$2:$E$3143),
Master_Mapping_Sheet!$C$2:$C$3143=AK$1))), 0, sum(filter(
Master_Mapping_Sheet!$E$2:$E$3143, ISNUMBER(
Master_Mapping_Sheet!$E$2:$E$3143),
Master_Mapping_Sheet!$C$2:$C$3143=AK$1,
Master_Mapping_Sheet!$L$2:$L$3143=$A4))/sum(filter(
Maste"&amp;"r_Mapping_Sheet!$E$2:$E$3143, ISNUMBER(
Master_Mapping_Sheet!$E$2:$E$3143),
Master_Mapping_Sheet!$C$2:$C$3143=AK$1)))"),0.0)</f>
        <v>0</v>
      </c>
      <c r="AL4" s="34">
        <f>IFERROR(__xludf.DUMMYFUNCTION("IF(ISNA(sum(filter(
Master_Mapping_Sheet!$E$2:$E$3143, ISNUMBER(
Master_Mapping_Sheet!$E$2:$E$3143),
Master_Mapping_Sheet!$C$2:$C$3143=AL$1,
Master_Mapping_Sheet!$L$2:$L$3143=$A4))/sum(filter(
Master_Mapping_Sheet!$E$2:$E$3143, ISNUMBER(
Master_Mapping_Sh"&amp;"eet!$E$2:$E$3143),
Master_Mapping_Sheet!$C$2:$C$3143=AL$1))), 0, sum(filter(
Master_Mapping_Sheet!$E$2:$E$3143, ISNUMBER(
Master_Mapping_Sheet!$E$2:$E$3143),
Master_Mapping_Sheet!$C$2:$C$3143=AL$1,
Master_Mapping_Sheet!$L$2:$L$3143=$A4))/sum(filter(
Maste"&amp;"r_Mapping_Sheet!$E$2:$E$3143, ISNUMBER(
Master_Mapping_Sheet!$E$2:$E$3143),
Master_Mapping_Sheet!$C$2:$C$3143=AL$1)))"),0.0)</f>
        <v>0</v>
      </c>
      <c r="AM4" s="34">
        <f>IFERROR(__xludf.DUMMYFUNCTION("IF(ISNA(sum(filter(
Master_Mapping_Sheet!$E$2:$E$3143, ISNUMBER(
Master_Mapping_Sheet!$E$2:$E$3143),
Master_Mapping_Sheet!$C$2:$C$3143=AM$1,
Master_Mapping_Sheet!$L$2:$L$3143=$A4))/sum(filter(
Master_Mapping_Sheet!$E$2:$E$3143, ISNUMBER(
Master_Mapping_Sh"&amp;"eet!$E$2:$E$3143),
Master_Mapping_Sheet!$C$2:$C$3143=AM$1))), 0, sum(filter(
Master_Mapping_Sheet!$E$2:$E$3143, ISNUMBER(
Master_Mapping_Sheet!$E$2:$E$3143),
Master_Mapping_Sheet!$C$2:$C$3143=AM$1,
Master_Mapping_Sheet!$L$2:$L$3143=$A4))/sum(filter(
Maste"&amp;"r_Mapping_Sheet!$E$2:$E$3143, ISNUMBER(
Master_Mapping_Sheet!$E$2:$E$3143),
Master_Mapping_Sheet!$C$2:$C$3143=AM$1)))"),0.0)</f>
        <v>0</v>
      </c>
      <c r="AN4" s="34">
        <f>IFERROR(__xludf.DUMMYFUNCTION("IF(ISNA(sum(filter(
Master_Mapping_Sheet!$E$2:$E$3143, ISNUMBER(
Master_Mapping_Sheet!$E$2:$E$3143),
Master_Mapping_Sheet!$C$2:$C$3143=AN$1,
Master_Mapping_Sheet!$L$2:$L$3143=$A4))/sum(filter(
Master_Mapping_Sheet!$E$2:$E$3143, ISNUMBER(
Master_Mapping_Sh"&amp;"eet!$E$2:$E$3143),
Master_Mapping_Sheet!$C$2:$C$3143=AN$1))), 0, sum(filter(
Master_Mapping_Sheet!$E$2:$E$3143, ISNUMBER(
Master_Mapping_Sheet!$E$2:$E$3143),
Master_Mapping_Sheet!$C$2:$C$3143=AN$1,
Master_Mapping_Sheet!$L$2:$L$3143=$A4))/sum(filter(
Maste"&amp;"r_Mapping_Sheet!$E$2:$E$3143, ISNUMBER(
Master_Mapping_Sheet!$E$2:$E$3143),
Master_Mapping_Sheet!$C$2:$C$3143=AN$1)))"),0.0)</f>
        <v>0</v>
      </c>
      <c r="AO4" s="34">
        <f>IFERROR(__xludf.DUMMYFUNCTION("IF(ISNA(sum(filter(
Master_Mapping_Sheet!$E$2:$E$3143, ISNUMBER(
Master_Mapping_Sheet!$E$2:$E$3143),
Master_Mapping_Sheet!$C$2:$C$3143=AO$1,
Master_Mapping_Sheet!$L$2:$L$3143=$A4))/sum(filter(
Master_Mapping_Sheet!$E$2:$E$3143, ISNUMBER(
Master_Mapping_Sh"&amp;"eet!$E$2:$E$3143),
Master_Mapping_Sheet!$C$2:$C$3143=AO$1))), 0, sum(filter(
Master_Mapping_Sheet!$E$2:$E$3143, ISNUMBER(
Master_Mapping_Sheet!$E$2:$E$3143),
Master_Mapping_Sheet!$C$2:$C$3143=AO$1,
Master_Mapping_Sheet!$L$2:$L$3143=$A4))/sum(filter(
Maste"&amp;"r_Mapping_Sheet!$E$2:$E$3143, ISNUMBER(
Master_Mapping_Sheet!$E$2:$E$3143),
Master_Mapping_Sheet!$C$2:$C$3143=AO$1)))"),0.0)</f>
        <v>0</v>
      </c>
      <c r="AP4" s="34">
        <f>IFERROR(__xludf.DUMMYFUNCTION("IF(ISNA(sum(filter(
Master_Mapping_Sheet!$E$2:$E$3143, ISNUMBER(
Master_Mapping_Sheet!$E$2:$E$3143),
Master_Mapping_Sheet!$C$2:$C$3143=AP$1,
Master_Mapping_Sheet!$L$2:$L$3143=$A4))/sum(filter(
Master_Mapping_Sheet!$E$2:$E$3143, ISNUMBER(
Master_Mapping_Sh"&amp;"eet!$E$2:$E$3143),
Master_Mapping_Sheet!$C$2:$C$3143=AP$1))), 0, sum(filter(
Master_Mapping_Sheet!$E$2:$E$3143, ISNUMBER(
Master_Mapping_Sheet!$E$2:$E$3143),
Master_Mapping_Sheet!$C$2:$C$3143=AP$1,
Master_Mapping_Sheet!$L$2:$L$3143=$A4))/sum(filter(
Maste"&amp;"r_Mapping_Sheet!$E$2:$E$3143, ISNUMBER(
Master_Mapping_Sheet!$E$2:$E$3143),
Master_Mapping_Sheet!$C$2:$C$3143=AP$1)))"),0.0)</f>
        <v>0</v>
      </c>
      <c r="AQ4" s="34">
        <f>IFERROR(__xludf.DUMMYFUNCTION("IF(ISNA(sum(filter(
Master_Mapping_Sheet!$E$2:$E$3143, ISNUMBER(
Master_Mapping_Sheet!$E$2:$E$3143),
Master_Mapping_Sheet!$C$2:$C$3143=AQ$1,
Master_Mapping_Sheet!$L$2:$L$3143=$A4))/sum(filter(
Master_Mapping_Sheet!$E$2:$E$3143, ISNUMBER(
Master_Mapping_Sh"&amp;"eet!$E$2:$E$3143),
Master_Mapping_Sheet!$C$2:$C$3143=AQ$1))), 0, sum(filter(
Master_Mapping_Sheet!$E$2:$E$3143, ISNUMBER(
Master_Mapping_Sheet!$E$2:$E$3143),
Master_Mapping_Sheet!$C$2:$C$3143=AQ$1,
Master_Mapping_Sheet!$L$2:$L$3143=$A4))/sum(filter(
Maste"&amp;"r_Mapping_Sheet!$E$2:$E$3143, ISNUMBER(
Master_Mapping_Sheet!$E$2:$E$3143),
Master_Mapping_Sheet!$C$2:$C$3143=AQ$1)))"),0.0)</f>
        <v>0</v>
      </c>
      <c r="AR4" s="34">
        <f>IFERROR(__xludf.DUMMYFUNCTION("IF(ISNA(sum(filter(
Master_Mapping_Sheet!$E$2:$E$3143, ISNUMBER(
Master_Mapping_Sheet!$E$2:$E$3143),
Master_Mapping_Sheet!$C$2:$C$3143=AR$1,
Master_Mapping_Sheet!$L$2:$L$3143=$A4))/sum(filter(
Master_Mapping_Sheet!$E$2:$E$3143, ISNUMBER(
Master_Mapping_Sh"&amp;"eet!$E$2:$E$3143),
Master_Mapping_Sheet!$C$2:$C$3143=AR$1))), 0, sum(filter(
Master_Mapping_Sheet!$E$2:$E$3143, ISNUMBER(
Master_Mapping_Sheet!$E$2:$E$3143),
Master_Mapping_Sheet!$C$2:$C$3143=AR$1,
Master_Mapping_Sheet!$L$2:$L$3143=$A4))/sum(filter(
Maste"&amp;"r_Mapping_Sheet!$E$2:$E$3143, ISNUMBER(
Master_Mapping_Sheet!$E$2:$E$3143),
Master_Mapping_Sheet!$C$2:$C$3143=AR$1)))"),0.0)</f>
        <v>0</v>
      </c>
      <c r="AS4" s="34">
        <f>IFERROR(__xludf.DUMMYFUNCTION("IF(ISNA(sum(filter(
Master_Mapping_Sheet!$E$2:$E$3143, ISNUMBER(
Master_Mapping_Sheet!$E$2:$E$3143),
Master_Mapping_Sheet!$C$2:$C$3143=AS$1,
Master_Mapping_Sheet!$L$2:$L$3143=$A4))/sum(filter(
Master_Mapping_Sheet!$E$2:$E$3143, ISNUMBER(
Master_Mapping_Sh"&amp;"eet!$E$2:$E$3143),
Master_Mapping_Sheet!$C$2:$C$3143=AS$1))), 0, sum(filter(
Master_Mapping_Sheet!$E$2:$E$3143, ISNUMBER(
Master_Mapping_Sheet!$E$2:$E$3143),
Master_Mapping_Sheet!$C$2:$C$3143=AS$1,
Master_Mapping_Sheet!$L$2:$L$3143=$A4))/sum(filter(
Maste"&amp;"r_Mapping_Sheet!$E$2:$E$3143, ISNUMBER(
Master_Mapping_Sheet!$E$2:$E$3143),
Master_Mapping_Sheet!$C$2:$C$3143=AS$1)))"),0.017711132313188004)</f>
        <v>0.01771113231</v>
      </c>
      <c r="AT4" s="34">
        <f>IFERROR(__xludf.DUMMYFUNCTION("IF(ISNA(sum(filter(
Master_Mapping_Sheet!$E$2:$E$3143, ISNUMBER(
Master_Mapping_Sheet!$E$2:$E$3143),
Master_Mapping_Sheet!$C$2:$C$3143=AT$1,
Master_Mapping_Sheet!$L$2:$L$3143=$A4))/sum(filter(
Master_Mapping_Sheet!$E$2:$E$3143, ISNUMBER(
Master_Mapping_Sh"&amp;"eet!$E$2:$E$3143),
Master_Mapping_Sheet!$C$2:$C$3143=AT$1))), 0, sum(filter(
Master_Mapping_Sheet!$E$2:$E$3143, ISNUMBER(
Master_Mapping_Sheet!$E$2:$E$3143),
Master_Mapping_Sheet!$C$2:$C$3143=AT$1,
Master_Mapping_Sheet!$L$2:$L$3143=$A4))/sum(filter(
Maste"&amp;"r_Mapping_Sheet!$E$2:$E$3143, ISNUMBER(
Master_Mapping_Sheet!$E$2:$E$3143),
Master_Mapping_Sheet!$C$2:$C$3143=AT$1)))"),0.0)</f>
        <v>0</v>
      </c>
      <c r="AU4" s="34">
        <f>IFERROR(__xludf.DUMMYFUNCTION("IF(ISNA(sum(filter(
Master_Mapping_Sheet!$E$2:$E$3143, ISNUMBER(
Master_Mapping_Sheet!$E$2:$E$3143),
Master_Mapping_Sheet!$C$2:$C$3143=AU$1,
Master_Mapping_Sheet!$L$2:$L$3143=$A4))/sum(filter(
Master_Mapping_Sheet!$E$2:$E$3143, ISNUMBER(
Master_Mapping_Sh"&amp;"eet!$E$2:$E$3143),
Master_Mapping_Sheet!$C$2:$C$3143=AU$1))), 0, sum(filter(
Master_Mapping_Sheet!$E$2:$E$3143, ISNUMBER(
Master_Mapping_Sheet!$E$2:$E$3143),
Master_Mapping_Sheet!$C$2:$C$3143=AU$1,
Master_Mapping_Sheet!$L$2:$L$3143=$A4))/sum(filter(
Maste"&amp;"r_Mapping_Sheet!$E$2:$E$3143, ISNUMBER(
Master_Mapping_Sheet!$E$2:$E$3143),
Master_Mapping_Sheet!$C$2:$C$3143=AU$1)))"),0.0)</f>
        <v>0</v>
      </c>
      <c r="AV4" s="34">
        <f>IFERROR(__xludf.DUMMYFUNCTION("IF(ISNA(sum(filter(
Master_Mapping_Sheet!$E$2:$E$3143, ISNUMBER(
Master_Mapping_Sheet!$E$2:$E$3143),
Master_Mapping_Sheet!$C$2:$C$3143=AV$1,
Master_Mapping_Sheet!$L$2:$L$3143=$A4))/sum(filter(
Master_Mapping_Sheet!$E$2:$E$3143, ISNUMBER(
Master_Mapping_Sh"&amp;"eet!$E$2:$E$3143),
Master_Mapping_Sheet!$C$2:$C$3143=AV$1))), 0, sum(filter(
Master_Mapping_Sheet!$E$2:$E$3143, ISNUMBER(
Master_Mapping_Sheet!$E$2:$E$3143),
Master_Mapping_Sheet!$C$2:$C$3143=AV$1,
Master_Mapping_Sheet!$L$2:$L$3143=$A4))/sum(filter(
Maste"&amp;"r_Mapping_Sheet!$E$2:$E$3143, ISNUMBER(
Master_Mapping_Sheet!$E$2:$E$3143),
Master_Mapping_Sheet!$C$2:$C$3143=AV$1)))"),0.0)</f>
        <v>0</v>
      </c>
      <c r="AW4" s="34">
        <f>IFERROR(__xludf.DUMMYFUNCTION("IF(ISNA(sum(filter(
Master_Mapping_Sheet!$E$2:$E$3143, ISNUMBER(
Master_Mapping_Sheet!$E$2:$E$3143),
Master_Mapping_Sheet!$C$2:$C$3143=AW$1,
Master_Mapping_Sheet!$L$2:$L$3143=$A4))/sum(filter(
Master_Mapping_Sheet!$E$2:$E$3143, ISNUMBER(
Master_Mapping_Sh"&amp;"eet!$E$2:$E$3143),
Master_Mapping_Sheet!$C$2:$C$3143=AW$1))), 0, sum(filter(
Master_Mapping_Sheet!$E$2:$E$3143, ISNUMBER(
Master_Mapping_Sheet!$E$2:$E$3143),
Master_Mapping_Sheet!$C$2:$C$3143=AW$1,
Master_Mapping_Sheet!$L$2:$L$3143=$A4))/sum(filter(
Maste"&amp;"r_Mapping_Sheet!$E$2:$E$3143, ISNUMBER(
Master_Mapping_Sheet!$E$2:$E$3143),
Master_Mapping_Sheet!$C$2:$C$3143=AW$1)))"),0.0)</f>
        <v>0</v>
      </c>
      <c r="AX4" s="34">
        <f>IFERROR(__xludf.DUMMYFUNCTION("IF(ISNA(sum(filter(
Master_Mapping_Sheet!$E$2:$E$3143, ISNUMBER(
Master_Mapping_Sheet!$E$2:$E$3143),
Master_Mapping_Sheet!$C$2:$C$3143=AX$1,
Master_Mapping_Sheet!$L$2:$L$3143=$A4))/sum(filter(
Master_Mapping_Sheet!$E$2:$E$3143, ISNUMBER(
Master_Mapping_Sh"&amp;"eet!$E$2:$E$3143),
Master_Mapping_Sheet!$C$2:$C$3143=AX$1))), 0, sum(filter(
Master_Mapping_Sheet!$E$2:$E$3143, ISNUMBER(
Master_Mapping_Sheet!$E$2:$E$3143),
Master_Mapping_Sheet!$C$2:$C$3143=AX$1,
Master_Mapping_Sheet!$L$2:$L$3143=$A4))/sum(filter(
Maste"&amp;"r_Mapping_Sheet!$E$2:$E$3143, ISNUMBER(
Master_Mapping_Sheet!$E$2:$E$3143),
Master_Mapping_Sheet!$C$2:$C$3143=AX$1)))"),0.0)</f>
        <v>0</v>
      </c>
      <c r="AY4" s="34">
        <f>IFERROR(__xludf.DUMMYFUNCTION("IF(ISNA(sum(filter(
Master_Mapping_Sheet!$E$2:$E$3143, ISNUMBER(
Master_Mapping_Sheet!$E$2:$E$3143),
Master_Mapping_Sheet!$C$2:$C$3143=AY$1,
Master_Mapping_Sheet!$L$2:$L$3143=$A4))/sum(filter(
Master_Mapping_Sheet!$E$2:$E$3143, ISNUMBER(
Master_Mapping_Sh"&amp;"eet!$E$2:$E$3143),
Master_Mapping_Sheet!$C$2:$C$3143=AY$1))), 0, sum(filter(
Master_Mapping_Sheet!$E$2:$E$3143, ISNUMBER(
Master_Mapping_Sheet!$E$2:$E$3143),
Master_Mapping_Sheet!$C$2:$C$3143=AY$1,
Master_Mapping_Sheet!$L$2:$L$3143=$A4))/sum(filter(
Maste"&amp;"r_Mapping_Sheet!$E$2:$E$3143, ISNUMBER(
Master_Mapping_Sheet!$E$2:$E$3143),
Master_Mapping_Sheet!$C$2:$C$3143=AY$1)))"),0.0)</f>
        <v>0</v>
      </c>
      <c r="AZ4" s="34">
        <f>IFERROR(__xludf.DUMMYFUNCTION("IF(ISNA(sum(filter(
Master_Mapping_Sheet!$E$2:$E$3143, ISNUMBER(
Master_Mapping_Sheet!$E$2:$E$3143),
Master_Mapping_Sheet!$C$2:$C$3143=AZ$1,
Master_Mapping_Sheet!$L$2:$L$3143=$A4))/sum(filter(
Master_Mapping_Sheet!$E$2:$E$3143, ISNUMBER(
Master_Mapping_Sh"&amp;"eet!$E$2:$E$3143),
Master_Mapping_Sheet!$C$2:$C$3143=AZ$1))), 0, sum(filter(
Master_Mapping_Sheet!$E$2:$E$3143, ISNUMBER(
Master_Mapping_Sheet!$E$2:$E$3143),
Master_Mapping_Sheet!$C$2:$C$3143=AZ$1,
Master_Mapping_Sheet!$L$2:$L$3143=$A4))/sum(filter(
Maste"&amp;"r_Mapping_Sheet!$E$2:$E$3143, ISNUMBER(
Master_Mapping_Sheet!$E$2:$E$3143),
Master_Mapping_Sheet!$C$2:$C$3143=AZ$1)))"),0.0)</f>
        <v>0</v>
      </c>
    </row>
    <row r="5" ht="15.75" customHeight="1">
      <c r="A5" s="32" t="s">
        <v>102</v>
      </c>
      <c r="B5" s="34">
        <f>IFERROR(__xludf.DUMMYFUNCTION("IF(ISNA(sum(filter(
Master_Mapping_Sheet!$E$2:$E$3143, ISNUMBER(
Master_Mapping_Sheet!$E$2:$E$3143),
Master_Mapping_Sheet!$C$2:$C$3143=B$1,
Master_Mapping_Sheet!$L$2:$L$3143=$A5))/sum(filter(
Master_Mapping_Sheet!$E$2:$E$3143, ISNUMBER(
Master_Mapping_She"&amp;"et!$E$2:$E$3143),
Master_Mapping_Sheet!$C$2:$C$3143=B$1))), 0, sum(filter(
Master_Mapping_Sheet!$E$2:$E$3143, ISNUMBER(
Master_Mapping_Sheet!$E$2:$E$3143),
Master_Mapping_Sheet!$C$2:$C$3143=B$1,
Master_Mapping_Sheet!$L$2:$L$3143=$A5))/sum(filter(
Master_M"&amp;"apping_Sheet!$E$2:$E$3143, ISNUMBER(
Master_Mapping_Sheet!$E$2:$E$3143),
Master_Mapping_Sheet!$C$2:$C$3143=B$1)))"),0.8697952106189174)</f>
        <v>0.8697952106</v>
      </c>
      <c r="C5" s="34">
        <f>IFERROR(__xludf.DUMMYFUNCTION("IF(ISNA(sum(filter(
Master_Mapping_Sheet!$E$2:$E$3143, ISNUMBER(
Master_Mapping_Sheet!$E$2:$E$3143),
Master_Mapping_Sheet!$C$2:$C$3143=C$1,
Master_Mapping_Sheet!$L$2:$L$3143=$A5))/sum(filter(
Master_Mapping_Sheet!$E$2:$E$3143, ISNUMBER(
Master_Mapping_She"&amp;"et!$E$2:$E$3143),
Master_Mapping_Sheet!$C$2:$C$3143=C$1))), 0, sum(filter(
Master_Mapping_Sheet!$E$2:$E$3143, ISNUMBER(
Master_Mapping_Sheet!$E$2:$E$3143),
Master_Mapping_Sheet!$C$2:$C$3143=C$1,
Master_Mapping_Sheet!$L$2:$L$3143=$A5))/sum(filter(
Master_M"&amp;"apping_Sheet!$E$2:$E$3143, ISNUMBER(
Master_Mapping_Sheet!$E$2:$E$3143),
Master_Mapping_Sheet!$C$2:$C$3143=C$1)))"),0.0)</f>
        <v>0</v>
      </c>
      <c r="D5" s="34">
        <f>IFERROR(__xludf.DUMMYFUNCTION("IF(ISNA(sum(filter(
Master_Mapping_Sheet!$E$2:$E$3143, ISNUMBER(
Master_Mapping_Sheet!$E$2:$E$3143),
Master_Mapping_Sheet!$C$2:$C$3143=D$1,
Master_Mapping_Sheet!$L$2:$L$3143=$A5))/sum(filter(
Master_Mapping_Sheet!$E$2:$E$3143, ISNUMBER(
Master_Mapping_She"&amp;"et!$E$2:$E$3143),
Master_Mapping_Sheet!$C$2:$C$3143=D$1))), 0, sum(filter(
Master_Mapping_Sheet!$E$2:$E$3143, ISNUMBER(
Master_Mapping_Sheet!$E$2:$E$3143),
Master_Mapping_Sheet!$C$2:$C$3143=D$1,
Master_Mapping_Sheet!$L$2:$L$3143=$A5))/sum(filter(
Master_M"&amp;"apping_Sheet!$E$2:$E$3143, ISNUMBER(
Master_Mapping_Sheet!$E$2:$E$3143),
Master_Mapping_Sheet!$C$2:$C$3143=D$1)))"),0.0)</f>
        <v>0</v>
      </c>
      <c r="E5" s="34">
        <f>IFERROR(__xludf.DUMMYFUNCTION("IF(ISNA(sum(filter(
Master_Mapping_Sheet!$E$2:$E$3143, ISNUMBER(
Master_Mapping_Sheet!$E$2:$E$3143),
Master_Mapping_Sheet!$C$2:$C$3143=E$1,
Master_Mapping_Sheet!$L$2:$L$3143=$A5))/sum(filter(
Master_Mapping_Sheet!$E$2:$E$3143, ISNUMBER(
Master_Mapping_She"&amp;"et!$E$2:$E$3143),
Master_Mapping_Sheet!$C$2:$C$3143=E$1))), 0, sum(filter(
Master_Mapping_Sheet!$E$2:$E$3143, ISNUMBER(
Master_Mapping_Sheet!$E$2:$E$3143),
Master_Mapping_Sheet!$C$2:$C$3143=E$1,
Master_Mapping_Sheet!$L$2:$L$3143=$A5))/sum(filter(
Master_M"&amp;"apping_Sheet!$E$2:$E$3143, ISNUMBER(
Master_Mapping_Sheet!$E$2:$E$3143),
Master_Mapping_Sheet!$C$2:$C$3143=E$1)))"),0.7482804886476394)</f>
        <v>0.7482804886</v>
      </c>
      <c r="F5" s="34">
        <f>IFERROR(__xludf.DUMMYFUNCTION("IF(ISNA(sum(filter(
Master_Mapping_Sheet!$E$2:$E$3143, ISNUMBER(
Master_Mapping_Sheet!$E$2:$E$3143),
Master_Mapping_Sheet!$C$2:$C$3143=F$1,
Master_Mapping_Sheet!$L$2:$L$3143=$A5))/sum(filter(
Master_Mapping_Sheet!$E$2:$E$3143, ISNUMBER(
Master_Mapping_She"&amp;"et!$E$2:$E$3143),
Master_Mapping_Sheet!$C$2:$C$3143=F$1))), 0, sum(filter(
Master_Mapping_Sheet!$E$2:$E$3143, ISNUMBER(
Master_Mapping_Sheet!$E$2:$E$3143),
Master_Mapping_Sheet!$C$2:$C$3143=F$1,
Master_Mapping_Sheet!$L$2:$L$3143=$A5))/sum(filter(
Master_M"&amp;"apping_Sheet!$E$2:$E$3143, ISNUMBER(
Master_Mapping_Sheet!$E$2:$E$3143),
Master_Mapping_Sheet!$C$2:$C$3143=F$1)))"),0.0)</f>
        <v>0</v>
      </c>
      <c r="G5" s="34">
        <f>IFERROR(__xludf.DUMMYFUNCTION("IF(ISNA(sum(filter(
Master_Mapping_Sheet!$E$2:$E$3143, ISNUMBER(
Master_Mapping_Sheet!$E$2:$E$3143),
Master_Mapping_Sheet!$C$2:$C$3143=G$1,
Master_Mapping_Sheet!$L$2:$L$3143=$A5))/sum(filter(
Master_Mapping_Sheet!$E$2:$E$3143, ISNUMBER(
Master_Mapping_She"&amp;"et!$E$2:$E$3143),
Master_Mapping_Sheet!$C$2:$C$3143=G$1))), 0, sum(filter(
Master_Mapping_Sheet!$E$2:$E$3143, ISNUMBER(
Master_Mapping_Sheet!$E$2:$E$3143),
Master_Mapping_Sheet!$C$2:$C$3143=G$1,
Master_Mapping_Sheet!$L$2:$L$3143=$A5))/sum(filter(
Master_M"&amp;"apping_Sheet!$E$2:$E$3143, ISNUMBER(
Master_Mapping_Sheet!$E$2:$E$3143),
Master_Mapping_Sheet!$C$2:$C$3143=G$1)))"),0.0)</f>
        <v>0</v>
      </c>
      <c r="H5" s="34">
        <f>IFERROR(__xludf.DUMMYFUNCTION("IF(ISNA(sum(filter(
Master_Mapping_Sheet!$E$2:$E$3143, ISNUMBER(
Master_Mapping_Sheet!$E$2:$E$3143),
Master_Mapping_Sheet!$C$2:$C$3143=H$1,
Master_Mapping_Sheet!$L$2:$L$3143=$A5))/sum(filter(
Master_Mapping_Sheet!$E$2:$E$3143, ISNUMBER(
Master_Mapping_She"&amp;"et!$E$2:$E$3143),
Master_Mapping_Sheet!$C$2:$C$3143=H$1))), 0, sum(filter(
Master_Mapping_Sheet!$E$2:$E$3143, ISNUMBER(
Master_Mapping_Sheet!$E$2:$E$3143),
Master_Mapping_Sheet!$C$2:$C$3143=H$1,
Master_Mapping_Sheet!$L$2:$L$3143=$A5))/sum(filter(
Master_M"&amp;"apping_Sheet!$E$2:$E$3143, ISNUMBER(
Master_Mapping_Sheet!$E$2:$E$3143),
Master_Mapping_Sheet!$C$2:$C$3143=H$1)))"),0.0)</f>
        <v>0</v>
      </c>
      <c r="I5" s="34">
        <f>IFERROR(__xludf.DUMMYFUNCTION("IF(ISNA(sum(filter(
Master_Mapping_Sheet!$E$2:$E$3143, ISNUMBER(
Master_Mapping_Sheet!$E$2:$E$3143),
Master_Mapping_Sheet!$C$2:$C$3143=I$1,
Master_Mapping_Sheet!$L$2:$L$3143=$A5))/sum(filter(
Master_Mapping_Sheet!$E$2:$E$3143, ISNUMBER(
Master_Mapping_She"&amp;"et!$E$2:$E$3143),
Master_Mapping_Sheet!$C$2:$C$3143=I$1))), 0, sum(filter(
Master_Mapping_Sheet!$E$2:$E$3143, ISNUMBER(
Master_Mapping_Sheet!$E$2:$E$3143),
Master_Mapping_Sheet!$C$2:$C$3143=I$1,
Master_Mapping_Sheet!$L$2:$L$3143=$A5))/sum(filter(
Master_M"&amp;"apping_Sheet!$E$2:$E$3143, ISNUMBER(
Master_Mapping_Sheet!$E$2:$E$3143),
Master_Mapping_Sheet!$C$2:$C$3143=I$1)))"),0.0)</f>
        <v>0</v>
      </c>
      <c r="J5" s="34">
        <f>IFERROR(__xludf.DUMMYFUNCTION("IF(ISNA(sum(filter(
Master_Mapping_Sheet!$E$2:$E$3143, ISNUMBER(
Master_Mapping_Sheet!$E$2:$E$3143),
Master_Mapping_Sheet!$C$2:$C$3143=J$1,
Master_Mapping_Sheet!$L$2:$L$3143=$A5))/sum(filter(
Master_Mapping_Sheet!$E$2:$E$3143, ISNUMBER(
Master_Mapping_She"&amp;"et!$E$2:$E$3143),
Master_Mapping_Sheet!$C$2:$C$3143=J$1))), 0, sum(filter(
Master_Mapping_Sheet!$E$2:$E$3143, ISNUMBER(
Master_Mapping_Sheet!$E$2:$E$3143),
Master_Mapping_Sheet!$C$2:$C$3143=J$1,
Master_Mapping_Sheet!$L$2:$L$3143=$A5))/sum(filter(
Master_M"&amp;"apping_Sheet!$E$2:$E$3143, ISNUMBER(
Master_Mapping_Sheet!$E$2:$E$3143),
Master_Mapping_Sheet!$C$2:$C$3143=J$1)))"),0.0)</f>
        <v>0</v>
      </c>
      <c r="K5" s="34">
        <f>IFERROR(__xludf.DUMMYFUNCTION("IF(ISNA(sum(filter(
Master_Mapping_Sheet!$E$2:$E$3143, ISNUMBER(
Master_Mapping_Sheet!$E$2:$E$3143),
Master_Mapping_Sheet!$C$2:$C$3143=K$1,
Master_Mapping_Sheet!$L$2:$L$3143=$A5))/sum(filter(
Master_Mapping_Sheet!$E$2:$E$3143, ISNUMBER(
Master_Mapping_She"&amp;"et!$E$2:$E$3143),
Master_Mapping_Sheet!$C$2:$C$3143=K$1))), 0, sum(filter(
Master_Mapping_Sheet!$E$2:$E$3143, ISNUMBER(
Master_Mapping_Sheet!$E$2:$E$3143),
Master_Mapping_Sheet!$C$2:$C$3143=K$1,
Master_Mapping_Sheet!$L$2:$L$3143=$A5))/sum(filter(
Master_M"&amp;"apping_Sheet!$E$2:$E$3143, ISNUMBER(
Master_Mapping_Sheet!$E$2:$E$3143),
Master_Mapping_Sheet!$C$2:$C$3143=K$1)))"),0.0)</f>
        <v>0</v>
      </c>
      <c r="L5" s="34">
        <f>IFERROR(__xludf.DUMMYFUNCTION("IF(ISNA(sum(filter(
Master_Mapping_Sheet!$E$2:$E$3143, ISNUMBER(
Master_Mapping_Sheet!$E$2:$E$3143),
Master_Mapping_Sheet!$C$2:$C$3143=L$1,
Master_Mapping_Sheet!$L$2:$L$3143=$A5))/sum(filter(
Master_Mapping_Sheet!$E$2:$E$3143, ISNUMBER(
Master_Mapping_She"&amp;"et!$E$2:$E$3143),
Master_Mapping_Sheet!$C$2:$C$3143=L$1))), 0, sum(filter(
Master_Mapping_Sheet!$E$2:$E$3143, ISNUMBER(
Master_Mapping_Sheet!$E$2:$E$3143),
Master_Mapping_Sheet!$C$2:$C$3143=L$1,
Master_Mapping_Sheet!$L$2:$L$3143=$A5))/sum(filter(
Master_M"&amp;"apping_Sheet!$E$2:$E$3143, ISNUMBER(
Master_Mapping_Sheet!$E$2:$E$3143),
Master_Mapping_Sheet!$C$2:$C$3143=L$1)))"),0.7865497736151409)</f>
        <v>0.7865497736</v>
      </c>
      <c r="M5" s="34">
        <f>IFERROR(__xludf.DUMMYFUNCTION("IF(ISNA(sum(filter(
Master_Mapping_Sheet!$E$2:$E$3143, ISNUMBER(
Master_Mapping_Sheet!$E$2:$E$3143),
Master_Mapping_Sheet!$C$2:$C$3143=M$1,
Master_Mapping_Sheet!$L$2:$L$3143=$A5))/sum(filter(
Master_Mapping_Sheet!$E$2:$E$3143, ISNUMBER(
Master_Mapping_She"&amp;"et!$E$2:$E$3143),
Master_Mapping_Sheet!$C$2:$C$3143=M$1))), 0, sum(filter(
Master_Mapping_Sheet!$E$2:$E$3143, ISNUMBER(
Master_Mapping_Sheet!$E$2:$E$3143),
Master_Mapping_Sheet!$C$2:$C$3143=M$1,
Master_Mapping_Sheet!$L$2:$L$3143=$A5))/sum(filter(
Master_M"&amp;"apping_Sheet!$E$2:$E$3143, ISNUMBER(
Master_Mapping_Sheet!$E$2:$E$3143),
Master_Mapping_Sheet!$C$2:$C$3143=M$1)))"),0.0)</f>
        <v>0</v>
      </c>
      <c r="N5" s="34">
        <f>IFERROR(__xludf.DUMMYFUNCTION("IF(ISNA(sum(filter(
Master_Mapping_Sheet!$E$2:$E$3143, ISNUMBER(
Master_Mapping_Sheet!$E$2:$E$3143),
Master_Mapping_Sheet!$C$2:$C$3143=N$1,
Master_Mapping_Sheet!$L$2:$L$3143=$A5))/sum(filter(
Master_Mapping_Sheet!$E$2:$E$3143, ISNUMBER(
Master_Mapping_She"&amp;"et!$E$2:$E$3143),
Master_Mapping_Sheet!$C$2:$C$3143=N$1))), 0, sum(filter(
Master_Mapping_Sheet!$E$2:$E$3143, ISNUMBER(
Master_Mapping_Sheet!$E$2:$E$3143),
Master_Mapping_Sheet!$C$2:$C$3143=N$1,
Master_Mapping_Sheet!$L$2:$L$3143=$A5))/sum(filter(
Master_M"&amp;"apping_Sheet!$E$2:$E$3143, ISNUMBER(
Master_Mapping_Sheet!$E$2:$E$3143),
Master_Mapping_Sheet!$C$2:$C$3143=N$1)))"),0.0)</f>
        <v>0</v>
      </c>
      <c r="O5" s="34">
        <f>IFERROR(__xludf.DUMMYFUNCTION("IF(ISNA(sum(filter(
Master_Mapping_Sheet!$E$2:$E$3143, ISNUMBER(
Master_Mapping_Sheet!$E$2:$E$3143),
Master_Mapping_Sheet!$C$2:$C$3143=O$1,
Master_Mapping_Sheet!$L$2:$L$3143=$A5))/sum(filter(
Master_Mapping_Sheet!$E$2:$E$3143, ISNUMBER(
Master_Mapping_She"&amp;"et!$E$2:$E$3143),
Master_Mapping_Sheet!$C$2:$C$3143=O$1))), 0, sum(filter(
Master_Mapping_Sheet!$E$2:$E$3143, ISNUMBER(
Master_Mapping_Sheet!$E$2:$E$3143),
Master_Mapping_Sheet!$C$2:$C$3143=O$1,
Master_Mapping_Sheet!$L$2:$L$3143=$A5))/sum(filter(
Master_M"&amp;"apping_Sheet!$E$2:$E$3143, ISNUMBER(
Master_Mapping_Sheet!$E$2:$E$3143),
Master_Mapping_Sheet!$C$2:$C$3143=O$1)))"),0.0)</f>
        <v>0</v>
      </c>
      <c r="P5" s="34">
        <f>IFERROR(__xludf.DUMMYFUNCTION("IF(ISNA(sum(filter(
Master_Mapping_Sheet!$E$2:$E$3143, ISNUMBER(
Master_Mapping_Sheet!$E$2:$E$3143),
Master_Mapping_Sheet!$C$2:$C$3143=P$1,
Master_Mapping_Sheet!$L$2:$L$3143=$A5))/sum(filter(
Master_Mapping_Sheet!$E$2:$E$3143, ISNUMBER(
Master_Mapping_She"&amp;"et!$E$2:$E$3143),
Master_Mapping_Sheet!$C$2:$C$3143=P$1))), 0, sum(filter(
Master_Mapping_Sheet!$E$2:$E$3143, ISNUMBER(
Master_Mapping_Sheet!$E$2:$E$3143),
Master_Mapping_Sheet!$C$2:$C$3143=P$1,
Master_Mapping_Sheet!$L$2:$L$3143=$A5))/sum(filter(
Master_M"&amp;"apping_Sheet!$E$2:$E$3143, ISNUMBER(
Master_Mapping_Sheet!$E$2:$E$3143),
Master_Mapping_Sheet!$C$2:$C$3143=P$1)))"),0.0)</f>
        <v>0</v>
      </c>
      <c r="Q5" s="34">
        <f>IFERROR(__xludf.DUMMYFUNCTION("IF(ISNA(sum(filter(
Master_Mapping_Sheet!$E$2:$E$3143, ISNUMBER(
Master_Mapping_Sheet!$E$2:$E$3143),
Master_Mapping_Sheet!$C$2:$C$3143=Q$1,
Master_Mapping_Sheet!$L$2:$L$3143=$A5))/sum(filter(
Master_Mapping_Sheet!$E$2:$E$3143, ISNUMBER(
Master_Mapping_She"&amp;"et!$E$2:$E$3143),
Master_Mapping_Sheet!$C$2:$C$3143=Q$1))), 0, sum(filter(
Master_Mapping_Sheet!$E$2:$E$3143, ISNUMBER(
Master_Mapping_Sheet!$E$2:$E$3143),
Master_Mapping_Sheet!$C$2:$C$3143=Q$1,
Master_Mapping_Sheet!$L$2:$L$3143=$A5))/sum(filter(
Master_M"&amp;"apping_Sheet!$E$2:$E$3143, ISNUMBER(
Master_Mapping_Sheet!$E$2:$E$3143),
Master_Mapping_Sheet!$C$2:$C$3143=Q$1)))"),0.0)</f>
        <v>0</v>
      </c>
      <c r="R5" s="34">
        <f>IFERROR(__xludf.DUMMYFUNCTION("IF(ISNA(sum(filter(
Master_Mapping_Sheet!$E$2:$E$3143, ISNUMBER(
Master_Mapping_Sheet!$E$2:$E$3143),
Master_Mapping_Sheet!$C$2:$C$3143=R$1,
Master_Mapping_Sheet!$L$2:$L$3143=$A5))/sum(filter(
Master_Mapping_Sheet!$E$2:$E$3143, ISNUMBER(
Master_Mapping_She"&amp;"et!$E$2:$E$3143),
Master_Mapping_Sheet!$C$2:$C$3143=R$1))), 0, sum(filter(
Master_Mapping_Sheet!$E$2:$E$3143, ISNUMBER(
Master_Mapping_Sheet!$E$2:$E$3143),
Master_Mapping_Sheet!$C$2:$C$3143=R$1,
Master_Mapping_Sheet!$L$2:$L$3143=$A5))/sum(filter(
Master_M"&amp;"apping_Sheet!$E$2:$E$3143, ISNUMBER(
Master_Mapping_Sheet!$E$2:$E$3143),
Master_Mapping_Sheet!$C$2:$C$3143=R$1)))"),0.0)</f>
        <v>0</v>
      </c>
      <c r="S5" s="34">
        <f>IFERROR(__xludf.DUMMYFUNCTION("IF(ISNA(sum(filter(
Master_Mapping_Sheet!$E$2:$E$3143, ISNUMBER(
Master_Mapping_Sheet!$E$2:$E$3143),
Master_Mapping_Sheet!$C$2:$C$3143=S$1,
Master_Mapping_Sheet!$L$2:$L$3143=$A5))/sum(filter(
Master_Mapping_Sheet!$E$2:$E$3143, ISNUMBER(
Master_Mapping_She"&amp;"et!$E$2:$E$3143),
Master_Mapping_Sheet!$C$2:$C$3143=S$1))), 0, sum(filter(
Master_Mapping_Sheet!$E$2:$E$3143, ISNUMBER(
Master_Mapping_Sheet!$E$2:$E$3143),
Master_Mapping_Sheet!$C$2:$C$3143=S$1,
Master_Mapping_Sheet!$L$2:$L$3143=$A5))/sum(filter(
Master_M"&amp;"apping_Sheet!$E$2:$E$3143, ISNUMBER(
Master_Mapping_Sheet!$E$2:$E$3143),
Master_Mapping_Sheet!$C$2:$C$3143=S$1)))"),0.0)</f>
        <v>0</v>
      </c>
      <c r="T5" s="34">
        <f>IFERROR(__xludf.DUMMYFUNCTION("IF(ISNA(sum(filter(
Master_Mapping_Sheet!$E$2:$E$3143, ISNUMBER(
Master_Mapping_Sheet!$E$2:$E$3143),
Master_Mapping_Sheet!$C$2:$C$3143=T$1,
Master_Mapping_Sheet!$L$2:$L$3143=$A5))/sum(filter(
Master_Mapping_Sheet!$E$2:$E$3143, ISNUMBER(
Master_Mapping_She"&amp;"et!$E$2:$E$3143),
Master_Mapping_Sheet!$C$2:$C$3143=T$1))), 0, sum(filter(
Master_Mapping_Sheet!$E$2:$E$3143, ISNUMBER(
Master_Mapping_Sheet!$E$2:$E$3143),
Master_Mapping_Sheet!$C$2:$C$3143=T$1,
Master_Mapping_Sheet!$L$2:$L$3143=$A5))/sum(filter(
Master_M"&amp;"apping_Sheet!$E$2:$E$3143, ISNUMBER(
Master_Mapping_Sheet!$E$2:$E$3143),
Master_Mapping_Sheet!$C$2:$C$3143=T$1)))"),0.21313587606141046)</f>
        <v>0.2131358761</v>
      </c>
      <c r="U5" s="34">
        <f>IFERROR(__xludf.DUMMYFUNCTION("IF(ISNA(sum(filter(
Master_Mapping_Sheet!$E$2:$E$3143, ISNUMBER(
Master_Mapping_Sheet!$E$2:$E$3143),
Master_Mapping_Sheet!$C$2:$C$3143=U$1,
Master_Mapping_Sheet!$L$2:$L$3143=$A5))/sum(filter(
Master_Mapping_Sheet!$E$2:$E$3143, ISNUMBER(
Master_Mapping_She"&amp;"et!$E$2:$E$3143),
Master_Mapping_Sheet!$C$2:$C$3143=U$1))), 0, sum(filter(
Master_Mapping_Sheet!$E$2:$E$3143, ISNUMBER(
Master_Mapping_Sheet!$E$2:$E$3143),
Master_Mapping_Sheet!$C$2:$C$3143=U$1,
Master_Mapping_Sheet!$L$2:$L$3143=$A5))/sum(filter(
Master_M"&amp;"apping_Sheet!$E$2:$E$3143, ISNUMBER(
Master_Mapping_Sheet!$E$2:$E$3143),
Master_Mapping_Sheet!$C$2:$C$3143=U$1)))"),0.0)</f>
        <v>0</v>
      </c>
      <c r="V5" s="34">
        <f>IFERROR(__xludf.DUMMYFUNCTION("IF(ISNA(sum(filter(
Master_Mapping_Sheet!$E$2:$E$3143, ISNUMBER(
Master_Mapping_Sheet!$E$2:$E$3143),
Master_Mapping_Sheet!$C$2:$C$3143=V$1,
Master_Mapping_Sheet!$L$2:$L$3143=$A5))/sum(filter(
Master_Mapping_Sheet!$E$2:$E$3143, ISNUMBER(
Master_Mapping_She"&amp;"et!$E$2:$E$3143),
Master_Mapping_Sheet!$C$2:$C$3143=V$1))), 0, sum(filter(
Master_Mapping_Sheet!$E$2:$E$3143, ISNUMBER(
Master_Mapping_Sheet!$E$2:$E$3143),
Master_Mapping_Sheet!$C$2:$C$3143=V$1,
Master_Mapping_Sheet!$L$2:$L$3143=$A5))/sum(filter(
Master_M"&amp;"apping_Sheet!$E$2:$E$3143, ISNUMBER(
Master_Mapping_Sheet!$E$2:$E$3143),
Master_Mapping_Sheet!$C$2:$C$3143=V$1)))"),0.0)</f>
        <v>0</v>
      </c>
      <c r="W5" s="34">
        <f>IFERROR(__xludf.DUMMYFUNCTION("IF(ISNA(sum(filter(
Master_Mapping_Sheet!$E$2:$E$3143, ISNUMBER(
Master_Mapping_Sheet!$E$2:$E$3143),
Master_Mapping_Sheet!$C$2:$C$3143=W$1,
Master_Mapping_Sheet!$L$2:$L$3143=$A5))/sum(filter(
Master_Mapping_Sheet!$E$2:$E$3143, ISNUMBER(
Master_Mapping_She"&amp;"et!$E$2:$E$3143),
Master_Mapping_Sheet!$C$2:$C$3143=W$1))), 0, sum(filter(
Master_Mapping_Sheet!$E$2:$E$3143, ISNUMBER(
Master_Mapping_Sheet!$E$2:$E$3143),
Master_Mapping_Sheet!$C$2:$C$3143=W$1,
Master_Mapping_Sheet!$L$2:$L$3143=$A5))/sum(filter(
Master_M"&amp;"apping_Sheet!$E$2:$E$3143, ISNUMBER(
Master_Mapping_Sheet!$E$2:$E$3143),
Master_Mapping_Sheet!$C$2:$C$3143=W$1)))"),0.0)</f>
        <v>0</v>
      </c>
      <c r="X5" s="34">
        <f>IFERROR(__xludf.DUMMYFUNCTION("IF(ISNA(sum(filter(
Master_Mapping_Sheet!$E$2:$E$3143, ISNUMBER(
Master_Mapping_Sheet!$E$2:$E$3143),
Master_Mapping_Sheet!$C$2:$C$3143=X$1,
Master_Mapping_Sheet!$L$2:$L$3143=$A5))/sum(filter(
Master_Mapping_Sheet!$E$2:$E$3143, ISNUMBER(
Master_Mapping_She"&amp;"et!$E$2:$E$3143),
Master_Mapping_Sheet!$C$2:$C$3143=X$1))), 0, sum(filter(
Master_Mapping_Sheet!$E$2:$E$3143, ISNUMBER(
Master_Mapping_Sheet!$E$2:$E$3143),
Master_Mapping_Sheet!$C$2:$C$3143=X$1,
Master_Mapping_Sheet!$L$2:$L$3143=$A5))/sum(filter(
Master_M"&amp;"apping_Sheet!$E$2:$E$3143, ISNUMBER(
Master_Mapping_Sheet!$E$2:$E$3143),
Master_Mapping_Sheet!$C$2:$C$3143=X$1)))"),0.0)</f>
        <v>0</v>
      </c>
      <c r="Y5" s="34">
        <f>IFERROR(__xludf.DUMMYFUNCTION("IF(ISNA(sum(filter(
Master_Mapping_Sheet!$E$2:$E$3143, ISNUMBER(
Master_Mapping_Sheet!$E$2:$E$3143),
Master_Mapping_Sheet!$C$2:$C$3143=Y$1,
Master_Mapping_Sheet!$L$2:$L$3143=$A5))/sum(filter(
Master_Mapping_Sheet!$E$2:$E$3143, ISNUMBER(
Master_Mapping_She"&amp;"et!$E$2:$E$3143),
Master_Mapping_Sheet!$C$2:$C$3143=Y$1))), 0, sum(filter(
Master_Mapping_Sheet!$E$2:$E$3143, ISNUMBER(
Master_Mapping_Sheet!$E$2:$E$3143),
Master_Mapping_Sheet!$C$2:$C$3143=Y$1,
Master_Mapping_Sheet!$L$2:$L$3143=$A5))/sum(filter(
Master_M"&amp;"apping_Sheet!$E$2:$E$3143, ISNUMBER(
Master_Mapping_Sheet!$E$2:$E$3143),
Master_Mapping_Sheet!$C$2:$C$3143=Y$1)))"),0.0)</f>
        <v>0</v>
      </c>
      <c r="Z5" s="34">
        <f>IFERROR(__xludf.DUMMYFUNCTION("IF(ISNA(sum(filter(
Master_Mapping_Sheet!$E$2:$E$3143, ISNUMBER(
Master_Mapping_Sheet!$E$2:$E$3143),
Master_Mapping_Sheet!$C$2:$C$3143=Z$1,
Master_Mapping_Sheet!$L$2:$L$3143=$A5))/sum(filter(
Master_Mapping_Sheet!$E$2:$E$3143, ISNUMBER(
Master_Mapping_She"&amp;"et!$E$2:$E$3143),
Master_Mapping_Sheet!$C$2:$C$3143=Z$1))), 0, sum(filter(
Master_Mapping_Sheet!$E$2:$E$3143, ISNUMBER(
Master_Mapping_Sheet!$E$2:$E$3143),
Master_Mapping_Sheet!$C$2:$C$3143=Z$1,
Master_Mapping_Sheet!$L$2:$L$3143=$A5))/sum(filter(
Master_M"&amp;"apping_Sheet!$E$2:$E$3143, ISNUMBER(
Master_Mapping_Sheet!$E$2:$E$3143),
Master_Mapping_Sheet!$C$2:$C$3143=Z$1)))"),0.8367535352367086)</f>
        <v>0.8367535352</v>
      </c>
      <c r="AA5" s="34">
        <f>IFERROR(__xludf.DUMMYFUNCTION("IF(ISNA(sum(filter(
Master_Mapping_Sheet!$E$2:$E$3143, ISNUMBER(
Master_Mapping_Sheet!$E$2:$E$3143),
Master_Mapping_Sheet!$C$2:$C$3143=AA$1,
Master_Mapping_Sheet!$L$2:$L$3143=$A5))/sum(filter(
Master_Mapping_Sheet!$E$2:$E$3143, ISNUMBER(
Master_Mapping_Sh"&amp;"eet!$E$2:$E$3143),
Master_Mapping_Sheet!$C$2:$C$3143=AA$1))), 0, sum(filter(
Master_Mapping_Sheet!$E$2:$E$3143, ISNUMBER(
Master_Mapping_Sheet!$E$2:$E$3143),
Master_Mapping_Sheet!$C$2:$C$3143=AA$1,
Master_Mapping_Sheet!$L$2:$L$3143=$A5))/sum(filter(
Maste"&amp;"r_Mapping_Sheet!$E$2:$E$3143, ISNUMBER(
Master_Mapping_Sheet!$E$2:$E$3143),
Master_Mapping_Sheet!$C$2:$C$3143=AA$1)))"),0.0)</f>
        <v>0</v>
      </c>
      <c r="AB5" s="34">
        <f>IFERROR(__xludf.DUMMYFUNCTION("IF(ISNA(sum(filter(
Master_Mapping_Sheet!$E$2:$E$3143, ISNUMBER(
Master_Mapping_Sheet!$E$2:$E$3143),
Master_Mapping_Sheet!$C$2:$C$3143=AB$1,
Master_Mapping_Sheet!$L$2:$L$3143=$A5))/sum(filter(
Master_Mapping_Sheet!$E$2:$E$3143, ISNUMBER(
Master_Mapping_Sh"&amp;"eet!$E$2:$E$3143),
Master_Mapping_Sheet!$C$2:$C$3143=AB$1))), 0, sum(filter(
Master_Mapping_Sheet!$E$2:$E$3143, ISNUMBER(
Master_Mapping_Sheet!$E$2:$E$3143),
Master_Mapping_Sheet!$C$2:$C$3143=AB$1,
Master_Mapping_Sheet!$L$2:$L$3143=$A5))/sum(filter(
Maste"&amp;"r_Mapping_Sheet!$E$2:$E$3143, ISNUMBER(
Master_Mapping_Sheet!$E$2:$E$3143),
Master_Mapping_Sheet!$C$2:$C$3143=AB$1)))"),0.0)</f>
        <v>0</v>
      </c>
      <c r="AC5" s="34">
        <f>IFERROR(__xludf.DUMMYFUNCTION("IF(ISNA(sum(filter(
Master_Mapping_Sheet!$E$2:$E$3143, ISNUMBER(
Master_Mapping_Sheet!$E$2:$E$3143),
Master_Mapping_Sheet!$C$2:$C$3143=AC$1,
Master_Mapping_Sheet!$L$2:$L$3143=$A5))/sum(filter(
Master_Mapping_Sheet!$E$2:$E$3143, ISNUMBER(
Master_Mapping_Sh"&amp;"eet!$E$2:$E$3143),
Master_Mapping_Sheet!$C$2:$C$3143=AC$1))), 0, sum(filter(
Master_Mapping_Sheet!$E$2:$E$3143, ISNUMBER(
Master_Mapping_Sheet!$E$2:$E$3143),
Master_Mapping_Sheet!$C$2:$C$3143=AC$1,
Master_Mapping_Sheet!$L$2:$L$3143=$A5))/sum(filter(
Maste"&amp;"r_Mapping_Sheet!$E$2:$E$3143, ISNUMBER(
Master_Mapping_Sheet!$E$2:$E$3143),
Master_Mapping_Sheet!$C$2:$C$3143=AC$1)))"),0.0)</f>
        <v>0</v>
      </c>
      <c r="AD5" s="34">
        <f>IFERROR(__xludf.DUMMYFUNCTION("IF(ISNA(sum(filter(
Master_Mapping_Sheet!$E$2:$E$3143, ISNUMBER(
Master_Mapping_Sheet!$E$2:$E$3143),
Master_Mapping_Sheet!$C$2:$C$3143=AD$1,
Master_Mapping_Sheet!$L$2:$L$3143=$A5))/sum(filter(
Master_Mapping_Sheet!$E$2:$E$3143, ISNUMBER(
Master_Mapping_Sh"&amp;"eet!$E$2:$E$3143),
Master_Mapping_Sheet!$C$2:$C$3143=AD$1))), 0, sum(filter(
Master_Mapping_Sheet!$E$2:$E$3143, ISNUMBER(
Master_Mapping_Sheet!$E$2:$E$3143),
Master_Mapping_Sheet!$C$2:$C$3143=AD$1,
Master_Mapping_Sheet!$L$2:$L$3143=$A5))/sum(filter(
Maste"&amp;"r_Mapping_Sheet!$E$2:$E$3143, ISNUMBER(
Master_Mapping_Sheet!$E$2:$E$3143),
Master_Mapping_Sheet!$C$2:$C$3143=AD$1)))"),0.0)</f>
        <v>0</v>
      </c>
      <c r="AE5" s="34">
        <f>IFERROR(__xludf.DUMMYFUNCTION("IF(ISNA(sum(filter(
Master_Mapping_Sheet!$E$2:$E$3143, ISNUMBER(
Master_Mapping_Sheet!$E$2:$E$3143),
Master_Mapping_Sheet!$C$2:$C$3143=AE$1,
Master_Mapping_Sheet!$L$2:$L$3143=$A5))/sum(filter(
Master_Mapping_Sheet!$E$2:$E$3143, ISNUMBER(
Master_Mapping_Sh"&amp;"eet!$E$2:$E$3143),
Master_Mapping_Sheet!$C$2:$C$3143=AE$1))), 0, sum(filter(
Master_Mapping_Sheet!$E$2:$E$3143, ISNUMBER(
Master_Mapping_Sheet!$E$2:$E$3143),
Master_Mapping_Sheet!$C$2:$C$3143=AE$1,
Master_Mapping_Sheet!$L$2:$L$3143=$A5))/sum(filter(
Maste"&amp;"r_Mapping_Sheet!$E$2:$E$3143, ISNUMBER(
Master_Mapping_Sheet!$E$2:$E$3143),
Master_Mapping_Sheet!$C$2:$C$3143=AE$1)))"),0.0)</f>
        <v>0</v>
      </c>
      <c r="AF5" s="34">
        <f>IFERROR(__xludf.DUMMYFUNCTION("IF(ISNA(sum(filter(
Master_Mapping_Sheet!$E$2:$E$3143, ISNUMBER(
Master_Mapping_Sheet!$E$2:$E$3143),
Master_Mapping_Sheet!$C$2:$C$3143=AF$1,
Master_Mapping_Sheet!$L$2:$L$3143=$A5))/sum(filter(
Master_Mapping_Sheet!$E$2:$E$3143, ISNUMBER(
Master_Mapping_Sh"&amp;"eet!$E$2:$E$3143),
Master_Mapping_Sheet!$C$2:$C$3143=AF$1))), 0, sum(filter(
Master_Mapping_Sheet!$E$2:$E$3143, ISNUMBER(
Master_Mapping_Sheet!$E$2:$E$3143),
Master_Mapping_Sheet!$C$2:$C$3143=AF$1,
Master_Mapping_Sheet!$L$2:$L$3143=$A5))/sum(filter(
Maste"&amp;"r_Mapping_Sheet!$E$2:$E$3143, ISNUMBER(
Master_Mapping_Sheet!$E$2:$E$3143),
Master_Mapping_Sheet!$C$2:$C$3143=AF$1)))"),0.0)</f>
        <v>0</v>
      </c>
      <c r="AG5" s="34">
        <f>IFERROR(__xludf.DUMMYFUNCTION("IF(ISNA(sum(filter(
Master_Mapping_Sheet!$E$2:$E$3143, ISNUMBER(
Master_Mapping_Sheet!$E$2:$E$3143),
Master_Mapping_Sheet!$C$2:$C$3143=AG$1,
Master_Mapping_Sheet!$L$2:$L$3143=$A5))/sum(filter(
Master_Mapping_Sheet!$E$2:$E$3143, ISNUMBER(
Master_Mapping_Sh"&amp;"eet!$E$2:$E$3143),
Master_Mapping_Sheet!$C$2:$C$3143=AG$1))), 0, sum(filter(
Master_Mapping_Sheet!$E$2:$E$3143, ISNUMBER(
Master_Mapping_Sheet!$E$2:$E$3143),
Master_Mapping_Sheet!$C$2:$C$3143=AG$1,
Master_Mapping_Sheet!$L$2:$L$3143=$A5))/sum(filter(
Maste"&amp;"r_Mapping_Sheet!$E$2:$E$3143, ISNUMBER(
Master_Mapping_Sheet!$E$2:$E$3143),
Master_Mapping_Sheet!$C$2:$C$3143=AG$1)))"),0.0)</f>
        <v>0</v>
      </c>
      <c r="AH5" s="34">
        <f>IFERROR(__xludf.DUMMYFUNCTION("IF(ISNA(sum(filter(
Master_Mapping_Sheet!$E$2:$E$3143, ISNUMBER(
Master_Mapping_Sheet!$E$2:$E$3143),
Master_Mapping_Sheet!$C$2:$C$3143=AH$1,
Master_Mapping_Sheet!$L$2:$L$3143=$A5))/sum(filter(
Master_Mapping_Sheet!$E$2:$E$3143, ISNUMBER(
Master_Mapping_Sh"&amp;"eet!$E$2:$E$3143),
Master_Mapping_Sheet!$C$2:$C$3143=AH$1))), 0, sum(filter(
Master_Mapping_Sheet!$E$2:$E$3143, ISNUMBER(
Master_Mapping_Sheet!$E$2:$E$3143),
Master_Mapping_Sheet!$C$2:$C$3143=AH$1,
Master_Mapping_Sheet!$L$2:$L$3143=$A5))/sum(filter(
Maste"&amp;"r_Mapping_Sheet!$E$2:$E$3143, ISNUMBER(
Master_Mapping_Sheet!$E$2:$E$3143),
Master_Mapping_Sheet!$C$2:$C$3143=AH$1)))"),0.0)</f>
        <v>0</v>
      </c>
      <c r="AI5" s="34">
        <f>IFERROR(__xludf.DUMMYFUNCTION("IF(ISNA(sum(filter(
Master_Mapping_Sheet!$E$2:$E$3143, ISNUMBER(
Master_Mapping_Sheet!$E$2:$E$3143),
Master_Mapping_Sheet!$C$2:$C$3143=AI$1,
Master_Mapping_Sheet!$L$2:$L$3143=$A5))/sum(filter(
Master_Mapping_Sheet!$E$2:$E$3143, ISNUMBER(
Master_Mapping_Sh"&amp;"eet!$E$2:$E$3143),
Master_Mapping_Sheet!$C$2:$C$3143=AI$1))), 0, sum(filter(
Master_Mapping_Sheet!$E$2:$E$3143, ISNUMBER(
Master_Mapping_Sheet!$E$2:$E$3143),
Master_Mapping_Sheet!$C$2:$C$3143=AI$1,
Master_Mapping_Sheet!$L$2:$L$3143=$A5))/sum(filter(
Maste"&amp;"r_Mapping_Sheet!$E$2:$E$3143, ISNUMBER(
Master_Mapping_Sheet!$E$2:$E$3143),
Master_Mapping_Sheet!$C$2:$C$3143=AI$1)))"),0.4813008473727679)</f>
        <v>0.4813008474</v>
      </c>
      <c r="AJ5" s="34">
        <f>IFERROR(__xludf.DUMMYFUNCTION("IF(ISNA(sum(filter(
Master_Mapping_Sheet!$E$2:$E$3143, ISNUMBER(
Master_Mapping_Sheet!$E$2:$E$3143),
Master_Mapping_Sheet!$C$2:$C$3143=AJ$1,
Master_Mapping_Sheet!$L$2:$L$3143=$A5))/sum(filter(
Master_Mapping_Sheet!$E$2:$E$3143, ISNUMBER(
Master_Mapping_Sh"&amp;"eet!$E$2:$E$3143),
Master_Mapping_Sheet!$C$2:$C$3143=AJ$1))), 0, sum(filter(
Master_Mapping_Sheet!$E$2:$E$3143, ISNUMBER(
Master_Mapping_Sheet!$E$2:$E$3143),
Master_Mapping_Sheet!$C$2:$C$3143=AJ$1,
Master_Mapping_Sheet!$L$2:$L$3143=$A5))/sum(filter(
Maste"&amp;"r_Mapping_Sheet!$E$2:$E$3143, ISNUMBER(
Master_Mapping_Sheet!$E$2:$E$3143),
Master_Mapping_Sheet!$C$2:$C$3143=AJ$1)))"),0.0)</f>
        <v>0</v>
      </c>
      <c r="AK5" s="34">
        <f>IFERROR(__xludf.DUMMYFUNCTION("IF(ISNA(sum(filter(
Master_Mapping_Sheet!$E$2:$E$3143, ISNUMBER(
Master_Mapping_Sheet!$E$2:$E$3143),
Master_Mapping_Sheet!$C$2:$C$3143=AK$1,
Master_Mapping_Sheet!$L$2:$L$3143=$A5))/sum(filter(
Master_Mapping_Sheet!$E$2:$E$3143, ISNUMBER(
Master_Mapping_Sh"&amp;"eet!$E$2:$E$3143),
Master_Mapping_Sheet!$C$2:$C$3143=AK$1))), 0, sum(filter(
Master_Mapping_Sheet!$E$2:$E$3143, ISNUMBER(
Master_Mapping_Sheet!$E$2:$E$3143),
Master_Mapping_Sheet!$C$2:$C$3143=AK$1,
Master_Mapping_Sheet!$L$2:$L$3143=$A5))/sum(filter(
Maste"&amp;"r_Mapping_Sheet!$E$2:$E$3143, ISNUMBER(
Master_Mapping_Sheet!$E$2:$E$3143),
Master_Mapping_Sheet!$C$2:$C$3143=AK$1)))"),0.0)</f>
        <v>0</v>
      </c>
      <c r="AL5" s="34">
        <f>IFERROR(__xludf.DUMMYFUNCTION("IF(ISNA(sum(filter(
Master_Mapping_Sheet!$E$2:$E$3143, ISNUMBER(
Master_Mapping_Sheet!$E$2:$E$3143),
Master_Mapping_Sheet!$C$2:$C$3143=AL$1,
Master_Mapping_Sheet!$L$2:$L$3143=$A5))/sum(filter(
Master_Mapping_Sheet!$E$2:$E$3143, ISNUMBER(
Master_Mapping_Sh"&amp;"eet!$E$2:$E$3143),
Master_Mapping_Sheet!$C$2:$C$3143=AL$1))), 0, sum(filter(
Master_Mapping_Sheet!$E$2:$E$3143, ISNUMBER(
Master_Mapping_Sheet!$E$2:$E$3143),
Master_Mapping_Sheet!$C$2:$C$3143=AL$1,
Master_Mapping_Sheet!$L$2:$L$3143=$A5))/sum(filter(
Maste"&amp;"r_Mapping_Sheet!$E$2:$E$3143, ISNUMBER(
Master_Mapping_Sheet!$E$2:$E$3143),
Master_Mapping_Sheet!$C$2:$C$3143=AL$1)))"),0.9931965472600686)</f>
        <v>0.9931965473</v>
      </c>
      <c r="AM5" s="34">
        <f>IFERROR(__xludf.DUMMYFUNCTION("IF(ISNA(sum(filter(
Master_Mapping_Sheet!$E$2:$E$3143, ISNUMBER(
Master_Mapping_Sheet!$E$2:$E$3143),
Master_Mapping_Sheet!$C$2:$C$3143=AM$1,
Master_Mapping_Sheet!$L$2:$L$3143=$A5))/sum(filter(
Master_Mapping_Sheet!$E$2:$E$3143, ISNUMBER(
Master_Mapping_Sh"&amp;"eet!$E$2:$E$3143),
Master_Mapping_Sheet!$C$2:$C$3143=AM$1))), 0, sum(filter(
Master_Mapping_Sheet!$E$2:$E$3143, ISNUMBER(
Master_Mapping_Sheet!$E$2:$E$3143),
Master_Mapping_Sheet!$C$2:$C$3143=AM$1,
Master_Mapping_Sheet!$L$2:$L$3143=$A5))/sum(filter(
Maste"&amp;"r_Mapping_Sheet!$E$2:$E$3143, ISNUMBER(
Master_Mapping_Sheet!$E$2:$E$3143),
Master_Mapping_Sheet!$C$2:$C$3143=AM$1)))"),0.0)</f>
        <v>0</v>
      </c>
      <c r="AN5" s="34">
        <f>IFERROR(__xludf.DUMMYFUNCTION("IF(ISNA(sum(filter(
Master_Mapping_Sheet!$E$2:$E$3143, ISNUMBER(
Master_Mapping_Sheet!$E$2:$E$3143),
Master_Mapping_Sheet!$C$2:$C$3143=AN$1,
Master_Mapping_Sheet!$L$2:$L$3143=$A5))/sum(filter(
Master_Mapping_Sheet!$E$2:$E$3143, ISNUMBER(
Master_Mapping_Sh"&amp;"eet!$E$2:$E$3143),
Master_Mapping_Sheet!$C$2:$C$3143=AN$1))), 0, sum(filter(
Master_Mapping_Sheet!$E$2:$E$3143, ISNUMBER(
Master_Mapping_Sheet!$E$2:$E$3143),
Master_Mapping_Sheet!$C$2:$C$3143=AN$1,
Master_Mapping_Sheet!$L$2:$L$3143=$A5))/sum(filter(
Maste"&amp;"r_Mapping_Sheet!$E$2:$E$3143, ISNUMBER(
Master_Mapping_Sheet!$E$2:$E$3143),
Master_Mapping_Sheet!$C$2:$C$3143=AN$1)))"),0.0)</f>
        <v>0</v>
      </c>
      <c r="AO5" s="34">
        <f>IFERROR(__xludf.DUMMYFUNCTION("IF(ISNA(sum(filter(
Master_Mapping_Sheet!$E$2:$E$3143, ISNUMBER(
Master_Mapping_Sheet!$E$2:$E$3143),
Master_Mapping_Sheet!$C$2:$C$3143=AO$1,
Master_Mapping_Sheet!$L$2:$L$3143=$A5))/sum(filter(
Master_Mapping_Sheet!$E$2:$E$3143, ISNUMBER(
Master_Mapping_Sh"&amp;"eet!$E$2:$E$3143),
Master_Mapping_Sheet!$C$2:$C$3143=AO$1))), 0, sum(filter(
Master_Mapping_Sheet!$E$2:$E$3143, ISNUMBER(
Master_Mapping_Sheet!$E$2:$E$3143),
Master_Mapping_Sheet!$C$2:$C$3143=AO$1,
Master_Mapping_Sheet!$L$2:$L$3143=$A5))/sum(filter(
Maste"&amp;"r_Mapping_Sheet!$E$2:$E$3143, ISNUMBER(
Master_Mapping_Sheet!$E$2:$E$3143),
Master_Mapping_Sheet!$C$2:$C$3143=AO$1)))"),0.0)</f>
        <v>0</v>
      </c>
      <c r="AP5" s="34">
        <f>IFERROR(__xludf.DUMMYFUNCTION("IF(ISNA(sum(filter(
Master_Mapping_Sheet!$E$2:$E$3143, ISNUMBER(
Master_Mapping_Sheet!$E$2:$E$3143),
Master_Mapping_Sheet!$C$2:$C$3143=AP$1,
Master_Mapping_Sheet!$L$2:$L$3143=$A5))/sum(filter(
Master_Mapping_Sheet!$E$2:$E$3143, ISNUMBER(
Master_Mapping_Sh"&amp;"eet!$E$2:$E$3143),
Master_Mapping_Sheet!$C$2:$C$3143=AP$1))), 0, sum(filter(
Master_Mapping_Sheet!$E$2:$E$3143, ISNUMBER(
Master_Mapping_Sheet!$E$2:$E$3143),
Master_Mapping_Sheet!$C$2:$C$3143=AP$1,
Master_Mapping_Sheet!$L$2:$L$3143=$A5))/sum(filter(
Maste"&amp;"r_Mapping_Sheet!$E$2:$E$3143, ISNUMBER(
Master_Mapping_Sheet!$E$2:$E$3143),
Master_Mapping_Sheet!$C$2:$C$3143=AP$1)))"),1.0)</f>
        <v>1</v>
      </c>
      <c r="AQ5" s="34">
        <f>IFERROR(__xludf.DUMMYFUNCTION("IF(ISNA(sum(filter(
Master_Mapping_Sheet!$E$2:$E$3143, ISNUMBER(
Master_Mapping_Sheet!$E$2:$E$3143),
Master_Mapping_Sheet!$C$2:$C$3143=AQ$1,
Master_Mapping_Sheet!$L$2:$L$3143=$A5))/sum(filter(
Master_Mapping_Sheet!$E$2:$E$3143, ISNUMBER(
Master_Mapping_Sh"&amp;"eet!$E$2:$E$3143),
Master_Mapping_Sheet!$C$2:$C$3143=AQ$1))), 0, sum(filter(
Master_Mapping_Sheet!$E$2:$E$3143, ISNUMBER(
Master_Mapping_Sheet!$E$2:$E$3143),
Master_Mapping_Sheet!$C$2:$C$3143=AQ$1,
Master_Mapping_Sheet!$L$2:$L$3143=$A5))/sum(filter(
Maste"&amp;"r_Mapping_Sheet!$E$2:$E$3143, ISNUMBER(
Master_Mapping_Sheet!$E$2:$E$3143),
Master_Mapping_Sheet!$C$2:$C$3143=AQ$1)))"),0.0)</f>
        <v>0</v>
      </c>
      <c r="AR5" s="34">
        <f>IFERROR(__xludf.DUMMYFUNCTION("IF(ISNA(sum(filter(
Master_Mapping_Sheet!$E$2:$E$3143, ISNUMBER(
Master_Mapping_Sheet!$E$2:$E$3143),
Master_Mapping_Sheet!$C$2:$C$3143=AR$1,
Master_Mapping_Sheet!$L$2:$L$3143=$A5))/sum(filter(
Master_Mapping_Sheet!$E$2:$E$3143, ISNUMBER(
Master_Mapping_Sh"&amp;"eet!$E$2:$E$3143),
Master_Mapping_Sheet!$C$2:$C$3143=AR$1))), 0, sum(filter(
Master_Mapping_Sheet!$E$2:$E$3143, ISNUMBER(
Master_Mapping_Sheet!$E$2:$E$3143),
Master_Mapping_Sheet!$C$2:$C$3143=AR$1,
Master_Mapping_Sheet!$L$2:$L$3143=$A5))/sum(filter(
Maste"&amp;"r_Mapping_Sheet!$E$2:$E$3143, ISNUMBER(
Master_Mapping_Sheet!$E$2:$E$3143),
Master_Mapping_Sheet!$C$2:$C$3143=AR$1)))"),0.18786600245927554)</f>
        <v>0.1878660025</v>
      </c>
      <c r="AS5" s="34">
        <f>IFERROR(__xludf.DUMMYFUNCTION("IF(ISNA(sum(filter(
Master_Mapping_Sheet!$E$2:$E$3143, ISNUMBER(
Master_Mapping_Sheet!$E$2:$E$3143),
Master_Mapping_Sheet!$C$2:$C$3143=AS$1,
Master_Mapping_Sheet!$L$2:$L$3143=$A5))/sum(filter(
Master_Mapping_Sheet!$E$2:$E$3143, ISNUMBER(
Master_Mapping_Sh"&amp;"eet!$E$2:$E$3143),
Master_Mapping_Sheet!$C$2:$C$3143=AS$1))), 0, sum(filter(
Master_Mapping_Sheet!$E$2:$E$3143, ISNUMBER(
Master_Mapping_Sheet!$E$2:$E$3143),
Master_Mapping_Sheet!$C$2:$C$3143=AS$1,
Master_Mapping_Sheet!$L$2:$L$3143=$A5))/sum(filter(
Maste"&amp;"r_Mapping_Sheet!$E$2:$E$3143, ISNUMBER(
Master_Mapping_Sheet!$E$2:$E$3143),
Master_Mapping_Sheet!$C$2:$C$3143=AS$1)))"),0.3346638450704073)</f>
        <v>0.3346638451</v>
      </c>
      <c r="AT5" s="34">
        <f>IFERROR(__xludf.DUMMYFUNCTION("IF(ISNA(sum(filter(
Master_Mapping_Sheet!$E$2:$E$3143, ISNUMBER(
Master_Mapping_Sheet!$E$2:$E$3143),
Master_Mapping_Sheet!$C$2:$C$3143=AT$1,
Master_Mapping_Sheet!$L$2:$L$3143=$A5))/sum(filter(
Master_Mapping_Sheet!$E$2:$E$3143, ISNUMBER(
Master_Mapping_Sh"&amp;"eet!$E$2:$E$3143),
Master_Mapping_Sheet!$C$2:$C$3143=AT$1))), 0, sum(filter(
Master_Mapping_Sheet!$E$2:$E$3143, ISNUMBER(
Master_Mapping_Sheet!$E$2:$E$3143),
Master_Mapping_Sheet!$C$2:$C$3143=AT$1,
Master_Mapping_Sheet!$L$2:$L$3143=$A5))/sum(filter(
Maste"&amp;"r_Mapping_Sheet!$E$2:$E$3143, ISNUMBER(
Master_Mapping_Sheet!$E$2:$E$3143),
Master_Mapping_Sheet!$C$2:$C$3143=AT$1)))"),0.0)</f>
        <v>0</v>
      </c>
      <c r="AU5" s="34">
        <f>IFERROR(__xludf.DUMMYFUNCTION("IF(ISNA(sum(filter(
Master_Mapping_Sheet!$E$2:$E$3143, ISNUMBER(
Master_Mapping_Sheet!$E$2:$E$3143),
Master_Mapping_Sheet!$C$2:$C$3143=AU$1,
Master_Mapping_Sheet!$L$2:$L$3143=$A5))/sum(filter(
Master_Mapping_Sheet!$E$2:$E$3143, ISNUMBER(
Master_Mapping_Sh"&amp;"eet!$E$2:$E$3143),
Master_Mapping_Sheet!$C$2:$C$3143=AU$1))), 0, sum(filter(
Master_Mapping_Sheet!$E$2:$E$3143, ISNUMBER(
Master_Mapping_Sheet!$E$2:$E$3143),
Master_Mapping_Sheet!$C$2:$C$3143=AU$1,
Master_Mapping_Sheet!$L$2:$L$3143=$A5))/sum(filter(
Maste"&amp;"r_Mapping_Sheet!$E$2:$E$3143, ISNUMBER(
Master_Mapping_Sheet!$E$2:$E$3143),
Master_Mapping_Sheet!$C$2:$C$3143=AU$1)))"),0.0)</f>
        <v>0</v>
      </c>
      <c r="AV5" s="34">
        <f>IFERROR(__xludf.DUMMYFUNCTION("IF(ISNA(sum(filter(
Master_Mapping_Sheet!$E$2:$E$3143, ISNUMBER(
Master_Mapping_Sheet!$E$2:$E$3143),
Master_Mapping_Sheet!$C$2:$C$3143=AV$1,
Master_Mapping_Sheet!$L$2:$L$3143=$A5))/sum(filter(
Master_Mapping_Sheet!$E$2:$E$3143, ISNUMBER(
Master_Mapping_Sh"&amp;"eet!$E$2:$E$3143),
Master_Mapping_Sheet!$C$2:$C$3143=AV$1))), 0, sum(filter(
Master_Mapping_Sheet!$E$2:$E$3143, ISNUMBER(
Master_Mapping_Sheet!$E$2:$E$3143),
Master_Mapping_Sheet!$C$2:$C$3143=AV$1,
Master_Mapping_Sheet!$L$2:$L$3143=$A5))/sum(filter(
Maste"&amp;"r_Mapping_Sheet!$E$2:$E$3143, ISNUMBER(
Master_Mapping_Sheet!$E$2:$E$3143),
Master_Mapping_Sheet!$C$2:$C$3143=AV$1)))"),0.0)</f>
        <v>0</v>
      </c>
      <c r="AW5" s="34">
        <f>IFERROR(__xludf.DUMMYFUNCTION("IF(ISNA(sum(filter(
Master_Mapping_Sheet!$E$2:$E$3143, ISNUMBER(
Master_Mapping_Sheet!$E$2:$E$3143),
Master_Mapping_Sheet!$C$2:$C$3143=AW$1,
Master_Mapping_Sheet!$L$2:$L$3143=$A5))/sum(filter(
Master_Mapping_Sheet!$E$2:$E$3143, ISNUMBER(
Master_Mapping_Sh"&amp;"eet!$E$2:$E$3143),
Master_Mapping_Sheet!$C$2:$C$3143=AW$1))), 0, sum(filter(
Master_Mapping_Sheet!$E$2:$E$3143, ISNUMBER(
Master_Mapping_Sheet!$E$2:$E$3143),
Master_Mapping_Sheet!$C$2:$C$3143=AW$1,
Master_Mapping_Sheet!$L$2:$L$3143=$A5))/sum(filter(
Maste"&amp;"r_Mapping_Sheet!$E$2:$E$3143, ISNUMBER(
Master_Mapping_Sheet!$E$2:$E$3143),
Master_Mapping_Sheet!$C$2:$C$3143=AW$1)))"),0.0)</f>
        <v>0</v>
      </c>
      <c r="AX5" s="34">
        <f>IFERROR(__xludf.DUMMYFUNCTION("IF(ISNA(sum(filter(
Master_Mapping_Sheet!$E$2:$E$3143, ISNUMBER(
Master_Mapping_Sheet!$E$2:$E$3143),
Master_Mapping_Sheet!$C$2:$C$3143=AX$1,
Master_Mapping_Sheet!$L$2:$L$3143=$A5))/sum(filter(
Master_Mapping_Sheet!$E$2:$E$3143, ISNUMBER(
Master_Mapping_Sh"&amp;"eet!$E$2:$E$3143),
Master_Mapping_Sheet!$C$2:$C$3143=AX$1))), 0, sum(filter(
Master_Mapping_Sheet!$E$2:$E$3143, ISNUMBER(
Master_Mapping_Sheet!$E$2:$E$3143),
Master_Mapping_Sheet!$C$2:$C$3143=AX$1,
Master_Mapping_Sheet!$L$2:$L$3143=$A5))/sum(filter(
Maste"&amp;"r_Mapping_Sheet!$E$2:$E$3143, ISNUMBER(
Master_Mapping_Sheet!$E$2:$E$3143),
Master_Mapping_Sheet!$C$2:$C$3143=AX$1)))"),0.0)</f>
        <v>0</v>
      </c>
      <c r="AY5" s="34">
        <f>IFERROR(__xludf.DUMMYFUNCTION("IF(ISNA(sum(filter(
Master_Mapping_Sheet!$E$2:$E$3143, ISNUMBER(
Master_Mapping_Sheet!$E$2:$E$3143),
Master_Mapping_Sheet!$C$2:$C$3143=AY$1,
Master_Mapping_Sheet!$L$2:$L$3143=$A5))/sum(filter(
Master_Mapping_Sheet!$E$2:$E$3143, ISNUMBER(
Master_Mapping_Sh"&amp;"eet!$E$2:$E$3143),
Master_Mapping_Sheet!$C$2:$C$3143=AY$1))), 0, sum(filter(
Master_Mapping_Sheet!$E$2:$E$3143, ISNUMBER(
Master_Mapping_Sheet!$E$2:$E$3143),
Master_Mapping_Sheet!$C$2:$C$3143=AY$1,
Master_Mapping_Sheet!$L$2:$L$3143=$A5))/sum(filter(
Maste"&amp;"r_Mapping_Sheet!$E$2:$E$3143, ISNUMBER(
Master_Mapping_Sheet!$E$2:$E$3143),
Master_Mapping_Sheet!$C$2:$C$3143=AY$1)))"),0.0)</f>
        <v>0</v>
      </c>
      <c r="AZ5" s="34">
        <f>IFERROR(__xludf.DUMMYFUNCTION("IF(ISNA(sum(filter(
Master_Mapping_Sheet!$E$2:$E$3143, ISNUMBER(
Master_Mapping_Sheet!$E$2:$E$3143),
Master_Mapping_Sheet!$C$2:$C$3143=AZ$1,
Master_Mapping_Sheet!$L$2:$L$3143=$A5))/sum(filter(
Master_Mapping_Sheet!$E$2:$E$3143, ISNUMBER(
Master_Mapping_Sh"&amp;"eet!$E$2:$E$3143),
Master_Mapping_Sheet!$C$2:$C$3143=AZ$1))), 0, sum(filter(
Master_Mapping_Sheet!$E$2:$E$3143, ISNUMBER(
Master_Mapping_Sheet!$E$2:$E$3143),
Master_Mapping_Sheet!$C$2:$C$3143=AZ$1,
Master_Mapping_Sheet!$L$2:$L$3143=$A5))/sum(filter(
Maste"&amp;"r_Mapping_Sheet!$E$2:$E$3143, ISNUMBER(
Master_Mapping_Sheet!$E$2:$E$3143),
Master_Mapping_Sheet!$C$2:$C$3143=AZ$1)))"),0.0)</f>
        <v>0</v>
      </c>
    </row>
    <row r="6" ht="15.75" customHeight="1">
      <c r="A6" s="32" t="s">
        <v>204</v>
      </c>
      <c r="B6" s="34">
        <f>IFERROR(__xludf.DUMMYFUNCTION("IF(ISNA(sum(filter(
Master_Mapping_Sheet!$E$2:$E$3143, ISNUMBER(
Master_Mapping_Sheet!$E$2:$E$3143),
Master_Mapping_Sheet!$C$2:$C$3143=B$1,
Master_Mapping_Sheet!$L$2:$L$3143=$A6))/sum(filter(
Master_Mapping_Sheet!$E$2:$E$3143, ISNUMBER(
Master_Mapping_She"&amp;"et!$E$2:$E$3143),
Master_Mapping_Sheet!$C$2:$C$3143=B$1))), 0, sum(filter(
Master_Mapping_Sheet!$E$2:$E$3143, ISNUMBER(
Master_Mapping_Sheet!$E$2:$E$3143),
Master_Mapping_Sheet!$C$2:$C$3143=B$1,
Master_Mapping_Sheet!$L$2:$L$3143=$A6))/sum(filter(
Master_M"&amp;"apping_Sheet!$E$2:$E$3143, ISNUMBER(
Master_Mapping_Sheet!$E$2:$E$3143),
Master_Mapping_Sheet!$C$2:$C$3143=B$1)))"),0.0)</f>
        <v>0</v>
      </c>
      <c r="C6" s="34">
        <f>IFERROR(__xludf.DUMMYFUNCTION("IF(ISNA(sum(filter(
Master_Mapping_Sheet!$E$2:$E$3143, ISNUMBER(
Master_Mapping_Sheet!$E$2:$E$3143),
Master_Mapping_Sheet!$C$2:$C$3143=C$1,
Master_Mapping_Sheet!$L$2:$L$3143=$A6))/sum(filter(
Master_Mapping_Sheet!$E$2:$E$3143, ISNUMBER(
Master_Mapping_She"&amp;"et!$E$2:$E$3143),
Master_Mapping_Sheet!$C$2:$C$3143=C$1))), 0, sum(filter(
Master_Mapping_Sheet!$E$2:$E$3143, ISNUMBER(
Master_Mapping_Sheet!$E$2:$E$3143),
Master_Mapping_Sheet!$C$2:$C$3143=C$1,
Master_Mapping_Sheet!$L$2:$L$3143=$A6))/sum(filter(
Master_M"&amp;"apping_Sheet!$E$2:$E$3143, ISNUMBER(
Master_Mapping_Sheet!$E$2:$E$3143),
Master_Mapping_Sheet!$C$2:$C$3143=C$1)))"),0.0)</f>
        <v>0</v>
      </c>
      <c r="D6" s="34">
        <f>IFERROR(__xludf.DUMMYFUNCTION("IF(ISNA(sum(filter(
Master_Mapping_Sheet!$E$2:$E$3143, ISNUMBER(
Master_Mapping_Sheet!$E$2:$E$3143),
Master_Mapping_Sheet!$C$2:$C$3143=D$1,
Master_Mapping_Sheet!$L$2:$L$3143=$A6))/sum(filter(
Master_Mapping_Sheet!$E$2:$E$3143, ISNUMBER(
Master_Mapping_She"&amp;"et!$E$2:$E$3143),
Master_Mapping_Sheet!$C$2:$C$3143=D$1))), 0, sum(filter(
Master_Mapping_Sheet!$E$2:$E$3143, ISNUMBER(
Master_Mapping_Sheet!$E$2:$E$3143),
Master_Mapping_Sheet!$C$2:$C$3143=D$1,
Master_Mapping_Sheet!$L$2:$L$3143=$A6))/sum(filter(
Master_M"&amp;"apping_Sheet!$E$2:$E$3143, ISNUMBER(
Master_Mapping_Sheet!$E$2:$E$3143),
Master_Mapping_Sheet!$C$2:$C$3143=D$1)))"),0.060066389067711036)</f>
        <v>0.06006638907</v>
      </c>
      <c r="E6" s="34">
        <f>IFERROR(__xludf.DUMMYFUNCTION("IF(ISNA(sum(filter(
Master_Mapping_Sheet!$E$2:$E$3143, ISNUMBER(
Master_Mapping_Sheet!$E$2:$E$3143),
Master_Mapping_Sheet!$C$2:$C$3143=E$1,
Master_Mapping_Sheet!$L$2:$L$3143=$A6))/sum(filter(
Master_Mapping_Sheet!$E$2:$E$3143, ISNUMBER(
Master_Mapping_She"&amp;"et!$E$2:$E$3143),
Master_Mapping_Sheet!$C$2:$C$3143=E$1))), 0, sum(filter(
Master_Mapping_Sheet!$E$2:$E$3143, ISNUMBER(
Master_Mapping_Sheet!$E$2:$E$3143),
Master_Mapping_Sheet!$C$2:$C$3143=E$1,
Master_Mapping_Sheet!$L$2:$L$3143=$A6))/sum(filter(
Master_M"&amp;"apping_Sheet!$E$2:$E$3143, ISNUMBER(
Master_Mapping_Sheet!$E$2:$E$3143),
Master_Mapping_Sheet!$C$2:$C$3143=E$1)))"),0.0)</f>
        <v>0</v>
      </c>
      <c r="F6" s="34">
        <f>IFERROR(__xludf.DUMMYFUNCTION("IF(ISNA(sum(filter(
Master_Mapping_Sheet!$E$2:$E$3143, ISNUMBER(
Master_Mapping_Sheet!$E$2:$E$3143),
Master_Mapping_Sheet!$C$2:$C$3143=F$1,
Master_Mapping_Sheet!$L$2:$L$3143=$A6))/sum(filter(
Master_Mapping_Sheet!$E$2:$E$3143, ISNUMBER(
Master_Mapping_She"&amp;"et!$E$2:$E$3143),
Master_Mapping_Sheet!$C$2:$C$3143=F$1))), 0, sum(filter(
Master_Mapping_Sheet!$E$2:$E$3143, ISNUMBER(
Master_Mapping_Sheet!$E$2:$E$3143),
Master_Mapping_Sheet!$C$2:$C$3143=F$1,
Master_Mapping_Sheet!$L$2:$L$3143=$A6))/sum(filter(
Master_M"&amp;"apping_Sheet!$E$2:$E$3143, ISNUMBER(
Master_Mapping_Sheet!$E$2:$E$3143),
Master_Mapping_Sheet!$C$2:$C$3143=F$1)))"),0.7608415284892853)</f>
        <v>0.7608415285</v>
      </c>
      <c r="G6" s="34">
        <f>IFERROR(__xludf.DUMMYFUNCTION("IF(ISNA(sum(filter(
Master_Mapping_Sheet!$E$2:$E$3143, ISNUMBER(
Master_Mapping_Sheet!$E$2:$E$3143),
Master_Mapping_Sheet!$C$2:$C$3143=G$1,
Master_Mapping_Sheet!$L$2:$L$3143=$A6))/sum(filter(
Master_Mapping_Sheet!$E$2:$E$3143, ISNUMBER(
Master_Mapping_She"&amp;"et!$E$2:$E$3143),
Master_Mapping_Sheet!$C$2:$C$3143=G$1))), 0, sum(filter(
Master_Mapping_Sheet!$E$2:$E$3143, ISNUMBER(
Master_Mapping_Sheet!$E$2:$E$3143),
Master_Mapping_Sheet!$C$2:$C$3143=G$1,
Master_Mapping_Sheet!$L$2:$L$3143=$A6))/sum(filter(
Master_M"&amp;"apping_Sheet!$E$2:$E$3143, ISNUMBER(
Master_Mapping_Sheet!$E$2:$E$3143),
Master_Mapping_Sheet!$C$2:$C$3143=G$1)))"),0.0)</f>
        <v>0</v>
      </c>
      <c r="H6" s="34">
        <f>IFERROR(__xludf.DUMMYFUNCTION("IF(ISNA(sum(filter(
Master_Mapping_Sheet!$E$2:$E$3143, ISNUMBER(
Master_Mapping_Sheet!$E$2:$E$3143),
Master_Mapping_Sheet!$C$2:$C$3143=H$1,
Master_Mapping_Sheet!$L$2:$L$3143=$A6))/sum(filter(
Master_Mapping_Sheet!$E$2:$E$3143, ISNUMBER(
Master_Mapping_She"&amp;"et!$E$2:$E$3143),
Master_Mapping_Sheet!$C$2:$C$3143=H$1))), 0, sum(filter(
Master_Mapping_Sheet!$E$2:$E$3143, ISNUMBER(
Master_Mapping_Sheet!$E$2:$E$3143),
Master_Mapping_Sheet!$C$2:$C$3143=H$1,
Master_Mapping_Sheet!$L$2:$L$3143=$A6))/sum(filter(
Master_M"&amp;"apping_Sheet!$E$2:$E$3143, ISNUMBER(
Master_Mapping_Sheet!$E$2:$E$3143),
Master_Mapping_Sheet!$C$2:$C$3143=H$1)))"),0.0)</f>
        <v>0</v>
      </c>
      <c r="I6" s="34">
        <f>IFERROR(__xludf.DUMMYFUNCTION("IF(ISNA(sum(filter(
Master_Mapping_Sheet!$E$2:$E$3143, ISNUMBER(
Master_Mapping_Sheet!$E$2:$E$3143),
Master_Mapping_Sheet!$C$2:$C$3143=I$1,
Master_Mapping_Sheet!$L$2:$L$3143=$A6))/sum(filter(
Master_Mapping_Sheet!$E$2:$E$3143, ISNUMBER(
Master_Mapping_She"&amp;"et!$E$2:$E$3143),
Master_Mapping_Sheet!$C$2:$C$3143=I$1))), 0, sum(filter(
Master_Mapping_Sheet!$E$2:$E$3143, ISNUMBER(
Master_Mapping_Sheet!$E$2:$E$3143),
Master_Mapping_Sheet!$C$2:$C$3143=I$1,
Master_Mapping_Sheet!$L$2:$L$3143=$A6))/sum(filter(
Master_M"&amp;"apping_Sheet!$E$2:$E$3143, ISNUMBER(
Master_Mapping_Sheet!$E$2:$E$3143),
Master_Mapping_Sheet!$C$2:$C$3143=I$1)))"),0.0)</f>
        <v>0</v>
      </c>
      <c r="J6" s="34">
        <f>IFERROR(__xludf.DUMMYFUNCTION("IF(ISNA(sum(filter(
Master_Mapping_Sheet!$E$2:$E$3143, ISNUMBER(
Master_Mapping_Sheet!$E$2:$E$3143),
Master_Mapping_Sheet!$C$2:$C$3143=J$1,
Master_Mapping_Sheet!$L$2:$L$3143=$A6))/sum(filter(
Master_Mapping_Sheet!$E$2:$E$3143, ISNUMBER(
Master_Mapping_She"&amp;"et!$E$2:$E$3143),
Master_Mapping_Sheet!$C$2:$C$3143=J$1))), 0, sum(filter(
Master_Mapping_Sheet!$E$2:$E$3143, ISNUMBER(
Master_Mapping_Sheet!$E$2:$E$3143),
Master_Mapping_Sheet!$C$2:$C$3143=J$1,
Master_Mapping_Sheet!$L$2:$L$3143=$A6))/sum(filter(
Master_M"&amp;"apping_Sheet!$E$2:$E$3143, ISNUMBER(
Master_Mapping_Sheet!$E$2:$E$3143),
Master_Mapping_Sheet!$C$2:$C$3143=J$1)))"),0.0)</f>
        <v>0</v>
      </c>
      <c r="K6" s="34">
        <f>IFERROR(__xludf.DUMMYFUNCTION("IF(ISNA(sum(filter(
Master_Mapping_Sheet!$E$2:$E$3143, ISNUMBER(
Master_Mapping_Sheet!$E$2:$E$3143),
Master_Mapping_Sheet!$C$2:$C$3143=K$1,
Master_Mapping_Sheet!$L$2:$L$3143=$A6))/sum(filter(
Master_Mapping_Sheet!$E$2:$E$3143, ISNUMBER(
Master_Mapping_She"&amp;"et!$E$2:$E$3143),
Master_Mapping_Sheet!$C$2:$C$3143=K$1))), 0, sum(filter(
Master_Mapping_Sheet!$E$2:$E$3143, ISNUMBER(
Master_Mapping_Sheet!$E$2:$E$3143),
Master_Mapping_Sheet!$C$2:$C$3143=K$1,
Master_Mapping_Sheet!$L$2:$L$3143=$A6))/sum(filter(
Master_M"&amp;"apping_Sheet!$E$2:$E$3143, ISNUMBER(
Master_Mapping_Sheet!$E$2:$E$3143),
Master_Mapping_Sheet!$C$2:$C$3143=K$1)))"),0.0)</f>
        <v>0</v>
      </c>
      <c r="L6" s="34">
        <f>IFERROR(__xludf.DUMMYFUNCTION("IF(ISNA(sum(filter(
Master_Mapping_Sheet!$E$2:$E$3143, ISNUMBER(
Master_Mapping_Sheet!$E$2:$E$3143),
Master_Mapping_Sheet!$C$2:$C$3143=L$1,
Master_Mapping_Sheet!$L$2:$L$3143=$A6))/sum(filter(
Master_Mapping_Sheet!$E$2:$E$3143, ISNUMBER(
Master_Mapping_She"&amp;"et!$E$2:$E$3143),
Master_Mapping_Sheet!$C$2:$C$3143=L$1))), 0, sum(filter(
Master_Mapping_Sheet!$E$2:$E$3143, ISNUMBER(
Master_Mapping_Sheet!$E$2:$E$3143),
Master_Mapping_Sheet!$C$2:$C$3143=L$1,
Master_Mapping_Sheet!$L$2:$L$3143=$A6))/sum(filter(
Master_M"&amp;"apping_Sheet!$E$2:$E$3143, ISNUMBER(
Master_Mapping_Sheet!$E$2:$E$3143),
Master_Mapping_Sheet!$C$2:$C$3143=L$1)))"),0.0)</f>
        <v>0</v>
      </c>
      <c r="M6" s="34">
        <f>IFERROR(__xludf.DUMMYFUNCTION("IF(ISNA(sum(filter(
Master_Mapping_Sheet!$E$2:$E$3143, ISNUMBER(
Master_Mapping_Sheet!$E$2:$E$3143),
Master_Mapping_Sheet!$C$2:$C$3143=M$1,
Master_Mapping_Sheet!$L$2:$L$3143=$A6))/sum(filter(
Master_Mapping_Sheet!$E$2:$E$3143, ISNUMBER(
Master_Mapping_She"&amp;"et!$E$2:$E$3143),
Master_Mapping_Sheet!$C$2:$C$3143=M$1))), 0, sum(filter(
Master_Mapping_Sheet!$E$2:$E$3143, ISNUMBER(
Master_Mapping_Sheet!$E$2:$E$3143),
Master_Mapping_Sheet!$C$2:$C$3143=M$1,
Master_Mapping_Sheet!$L$2:$L$3143=$A6))/sum(filter(
Master_M"&amp;"apping_Sheet!$E$2:$E$3143, ISNUMBER(
Master_Mapping_Sheet!$E$2:$E$3143),
Master_Mapping_Sheet!$C$2:$C$3143=M$1)))"),0.0)</f>
        <v>0</v>
      </c>
      <c r="N6" s="34">
        <f>IFERROR(__xludf.DUMMYFUNCTION("IF(ISNA(sum(filter(
Master_Mapping_Sheet!$E$2:$E$3143, ISNUMBER(
Master_Mapping_Sheet!$E$2:$E$3143),
Master_Mapping_Sheet!$C$2:$C$3143=N$1,
Master_Mapping_Sheet!$L$2:$L$3143=$A6))/sum(filter(
Master_Mapping_Sheet!$E$2:$E$3143, ISNUMBER(
Master_Mapping_She"&amp;"et!$E$2:$E$3143),
Master_Mapping_Sheet!$C$2:$C$3143=N$1))), 0, sum(filter(
Master_Mapping_Sheet!$E$2:$E$3143, ISNUMBER(
Master_Mapping_Sheet!$E$2:$E$3143),
Master_Mapping_Sheet!$C$2:$C$3143=N$1,
Master_Mapping_Sheet!$L$2:$L$3143=$A6))/sum(filter(
Master_M"&amp;"apping_Sheet!$E$2:$E$3143, ISNUMBER(
Master_Mapping_Sheet!$E$2:$E$3143),
Master_Mapping_Sheet!$C$2:$C$3143=N$1)))"),0.0)</f>
        <v>0</v>
      </c>
      <c r="O6" s="34">
        <f>IFERROR(__xludf.DUMMYFUNCTION("IF(ISNA(sum(filter(
Master_Mapping_Sheet!$E$2:$E$3143, ISNUMBER(
Master_Mapping_Sheet!$E$2:$E$3143),
Master_Mapping_Sheet!$C$2:$C$3143=O$1,
Master_Mapping_Sheet!$L$2:$L$3143=$A6))/sum(filter(
Master_Mapping_Sheet!$E$2:$E$3143, ISNUMBER(
Master_Mapping_She"&amp;"et!$E$2:$E$3143),
Master_Mapping_Sheet!$C$2:$C$3143=O$1))), 0, sum(filter(
Master_Mapping_Sheet!$E$2:$E$3143, ISNUMBER(
Master_Mapping_Sheet!$E$2:$E$3143),
Master_Mapping_Sheet!$C$2:$C$3143=O$1,
Master_Mapping_Sheet!$L$2:$L$3143=$A6))/sum(filter(
Master_M"&amp;"apping_Sheet!$E$2:$E$3143, ISNUMBER(
Master_Mapping_Sheet!$E$2:$E$3143),
Master_Mapping_Sheet!$C$2:$C$3143=O$1)))"),0.0)</f>
        <v>0</v>
      </c>
      <c r="P6" s="34">
        <f>IFERROR(__xludf.DUMMYFUNCTION("IF(ISNA(sum(filter(
Master_Mapping_Sheet!$E$2:$E$3143, ISNUMBER(
Master_Mapping_Sheet!$E$2:$E$3143),
Master_Mapping_Sheet!$C$2:$C$3143=P$1,
Master_Mapping_Sheet!$L$2:$L$3143=$A6))/sum(filter(
Master_Mapping_Sheet!$E$2:$E$3143, ISNUMBER(
Master_Mapping_She"&amp;"et!$E$2:$E$3143),
Master_Mapping_Sheet!$C$2:$C$3143=P$1))), 0, sum(filter(
Master_Mapping_Sheet!$E$2:$E$3143, ISNUMBER(
Master_Mapping_Sheet!$E$2:$E$3143),
Master_Mapping_Sheet!$C$2:$C$3143=P$1,
Master_Mapping_Sheet!$L$2:$L$3143=$A6))/sum(filter(
Master_M"&amp;"apping_Sheet!$E$2:$E$3143, ISNUMBER(
Master_Mapping_Sheet!$E$2:$E$3143),
Master_Mapping_Sheet!$C$2:$C$3143=P$1)))"),0.0)</f>
        <v>0</v>
      </c>
      <c r="Q6" s="34">
        <f>IFERROR(__xludf.DUMMYFUNCTION("IF(ISNA(sum(filter(
Master_Mapping_Sheet!$E$2:$E$3143, ISNUMBER(
Master_Mapping_Sheet!$E$2:$E$3143),
Master_Mapping_Sheet!$C$2:$C$3143=Q$1,
Master_Mapping_Sheet!$L$2:$L$3143=$A6))/sum(filter(
Master_Mapping_Sheet!$E$2:$E$3143, ISNUMBER(
Master_Mapping_She"&amp;"et!$E$2:$E$3143),
Master_Mapping_Sheet!$C$2:$C$3143=Q$1))), 0, sum(filter(
Master_Mapping_Sheet!$E$2:$E$3143, ISNUMBER(
Master_Mapping_Sheet!$E$2:$E$3143),
Master_Mapping_Sheet!$C$2:$C$3143=Q$1,
Master_Mapping_Sheet!$L$2:$L$3143=$A6))/sum(filter(
Master_M"&amp;"apping_Sheet!$E$2:$E$3143, ISNUMBER(
Master_Mapping_Sheet!$E$2:$E$3143),
Master_Mapping_Sheet!$C$2:$C$3143=Q$1)))"),0.0)</f>
        <v>0</v>
      </c>
      <c r="R6" s="34">
        <f>IFERROR(__xludf.DUMMYFUNCTION("IF(ISNA(sum(filter(
Master_Mapping_Sheet!$E$2:$E$3143, ISNUMBER(
Master_Mapping_Sheet!$E$2:$E$3143),
Master_Mapping_Sheet!$C$2:$C$3143=R$1,
Master_Mapping_Sheet!$L$2:$L$3143=$A6))/sum(filter(
Master_Mapping_Sheet!$E$2:$E$3143, ISNUMBER(
Master_Mapping_She"&amp;"et!$E$2:$E$3143),
Master_Mapping_Sheet!$C$2:$C$3143=R$1))), 0, sum(filter(
Master_Mapping_Sheet!$E$2:$E$3143, ISNUMBER(
Master_Mapping_Sheet!$E$2:$E$3143),
Master_Mapping_Sheet!$C$2:$C$3143=R$1,
Master_Mapping_Sheet!$L$2:$L$3143=$A6))/sum(filter(
Master_M"&amp;"apping_Sheet!$E$2:$E$3143, ISNUMBER(
Master_Mapping_Sheet!$E$2:$E$3143),
Master_Mapping_Sheet!$C$2:$C$3143=R$1)))"),0.0)</f>
        <v>0</v>
      </c>
      <c r="S6" s="34">
        <f>IFERROR(__xludf.DUMMYFUNCTION("IF(ISNA(sum(filter(
Master_Mapping_Sheet!$E$2:$E$3143, ISNUMBER(
Master_Mapping_Sheet!$E$2:$E$3143),
Master_Mapping_Sheet!$C$2:$C$3143=S$1,
Master_Mapping_Sheet!$L$2:$L$3143=$A6))/sum(filter(
Master_Mapping_Sheet!$E$2:$E$3143, ISNUMBER(
Master_Mapping_She"&amp;"et!$E$2:$E$3143),
Master_Mapping_Sheet!$C$2:$C$3143=S$1))), 0, sum(filter(
Master_Mapping_Sheet!$E$2:$E$3143, ISNUMBER(
Master_Mapping_Sheet!$E$2:$E$3143),
Master_Mapping_Sheet!$C$2:$C$3143=S$1,
Master_Mapping_Sheet!$L$2:$L$3143=$A6))/sum(filter(
Master_M"&amp;"apping_Sheet!$E$2:$E$3143, ISNUMBER(
Master_Mapping_Sheet!$E$2:$E$3143),
Master_Mapping_Sheet!$C$2:$C$3143=S$1)))"),0.0)</f>
        <v>0</v>
      </c>
      <c r="T6" s="34">
        <f>IFERROR(__xludf.DUMMYFUNCTION("IF(ISNA(sum(filter(
Master_Mapping_Sheet!$E$2:$E$3143, ISNUMBER(
Master_Mapping_Sheet!$E$2:$E$3143),
Master_Mapping_Sheet!$C$2:$C$3143=T$1,
Master_Mapping_Sheet!$L$2:$L$3143=$A6))/sum(filter(
Master_Mapping_Sheet!$E$2:$E$3143, ISNUMBER(
Master_Mapping_She"&amp;"et!$E$2:$E$3143),
Master_Mapping_Sheet!$C$2:$C$3143=T$1))), 0, sum(filter(
Master_Mapping_Sheet!$E$2:$E$3143, ISNUMBER(
Master_Mapping_Sheet!$E$2:$E$3143),
Master_Mapping_Sheet!$C$2:$C$3143=T$1,
Master_Mapping_Sheet!$L$2:$L$3143=$A6))/sum(filter(
Master_M"&amp;"apping_Sheet!$E$2:$E$3143, ISNUMBER(
Master_Mapping_Sheet!$E$2:$E$3143),
Master_Mapping_Sheet!$C$2:$C$3143=T$1)))"),0.0)</f>
        <v>0</v>
      </c>
      <c r="U6" s="34">
        <f>IFERROR(__xludf.DUMMYFUNCTION("IF(ISNA(sum(filter(
Master_Mapping_Sheet!$E$2:$E$3143, ISNUMBER(
Master_Mapping_Sheet!$E$2:$E$3143),
Master_Mapping_Sheet!$C$2:$C$3143=U$1,
Master_Mapping_Sheet!$L$2:$L$3143=$A6))/sum(filter(
Master_Mapping_Sheet!$E$2:$E$3143, ISNUMBER(
Master_Mapping_She"&amp;"et!$E$2:$E$3143),
Master_Mapping_Sheet!$C$2:$C$3143=U$1))), 0, sum(filter(
Master_Mapping_Sheet!$E$2:$E$3143, ISNUMBER(
Master_Mapping_Sheet!$E$2:$E$3143),
Master_Mapping_Sheet!$C$2:$C$3143=U$1,
Master_Mapping_Sheet!$L$2:$L$3143=$A6))/sum(filter(
Master_M"&amp;"apping_Sheet!$E$2:$E$3143, ISNUMBER(
Master_Mapping_Sheet!$E$2:$E$3143),
Master_Mapping_Sheet!$C$2:$C$3143=U$1)))"),0.0)</f>
        <v>0</v>
      </c>
      <c r="V6" s="34">
        <f>IFERROR(__xludf.DUMMYFUNCTION("IF(ISNA(sum(filter(
Master_Mapping_Sheet!$E$2:$E$3143, ISNUMBER(
Master_Mapping_Sheet!$E$2:$E$3143),
Master_Mapping_Sheet!$C$2:$C$3143=V$1,
Master_Mapping_Sheet!$L$2:$L$3143=$A6))/sum(filter(
Master_Mapping_Sheet!$E$2:$E$3143, ISNUMBER(
Master_Mapping_She"&amp;"et!$E$2:$E$3143),
Master_Mapping_Sheet!$C$2:$C$3143=V$1))), 0, sum(filter(
Master_Mapping_Sheet!$E$2:$E$3143, ISNUMBER(
Master_Mapping_Sheet!$E$2:$E$3143),
Master_Mapping_Sheet!$C$2:$C$3143=V$1,
Master_Mapping_Sheet!$L$2:$L$3143=$A6))/sum(filter(
Master_M"&amp;"apping_Sheet!$E$2:$E$3143, ISNUMBER(
Master_Mapping_Sheet!$E$2:$E$3143),
Master_Mapping_Sheet!$C$2:$C$3143=V$1)))"),0.0)</f>
        <v>0</v>
      </c>
      <c r="W6" s="34">
        <f>IFERROR(__xludf.DUMMYFUNCTION("IF(ISNA(sum(filter(
Master_Mapping_Sheet!$E$2:$E$3143, ISNUMBER(
Master_Mapping_Sheet!$E$2:$E$3143),
Master_Mapping_Sheet!$C$2:$C$3143=W$1,
Master_Mapping_Sheet!$L$2:$L$3143=$A6))/sum(filter(
Master_Mapping_Sheet!$E$2:$E$3143, ISNUMBER(
Master_Mapping_She"&amp;"et!$E$2:$E$3143),
Master_Mapping_Sheet!$C$2:$C$3143=W$1))), 0, sum(filter(
Master_Mapping_Sheet!$E$2:$E$3143, ISNUMBER(
Master_Mapping_Sheet!$E$2:$E$3143),
Master_Mapping_Sheet!$C$2:$C$3143=W$1,
Master_Mapping_Sheet!$L$2:$L$3143=$A6))/sum(filter(
Master_M"&amp;"apping_Sheet!$E$2:$E$3143, ISNUMBER(
Master_Mapping_Sheet!$E$2:$E$3143),
Master_Mapping_Sheet!$C$2:$C$3143=W$1)))"),0.0)</f>
        <v>0</v>
      </c>
      <c r="X6" s="34">
        <f>IFERROR(__xludf.DUMMYFUNCTION("IF(ISNA(sum(filter(
Master_Mapping_Sheet!$E$2:$E$3143, ISNUMBER(
Master_Mapping_Sheet!$E$2:$E$3143),
Master_Mapping_Sheet!$C$2:$C$3143=X$1,
Master_Mapping_Sheet!$L$2:$L$3143=$A6))/sum(filter(
Master_Mapping_Sheet!$E$2:$E$3143, ISNUMBER(
Master_Mapping_She"&amp;"et!$E$2:$E$3143),
Master_Mapping_Sheet!$C$2:$C$3143=X$1))), 0, sum(filter(
Master_Mapping_Sheet!$E$2:$E$3143, ISNUMBER(
Master_Mapping_Sheet!$E$2:$E$3143),
Master_Mapping_Sheet!$C$2:$C$3143=X$1,
Master_Mapping_Sheet!$L$2:$L$3143=$A6))/sum(filter(
Master_M"&amp;"apping_Sheet!$E$2:$E$3143, ISNUMBER(
Master_Mapping_Sheet!$E$2:$E$3143),
Master_Mapping_Sheet!$C$2:$C$3143=X$1)))"),0.0)</f>
        <v>0</v>
      </c>
      <c r="Y6" s="34">
        <f>IFERROR(__xludf.DUMMYFUNCTION("IF(ISNA(sum(filter(
Master_Mapping_Sheet!$E$2:$E$3143, ISNUMBER(
Master_Mapping_Sheet!$E$2:$E$3143),
Master_Mapping_Sheet!$C$2:$C$3143=Y$1,
Master_Mapping_Sheet!$L$2:$L$3143=$A6))/sum(filter(
Master_Mapping_Sheet!$E$2:$E$3143, ISNUMBER(
Master_Mapping_She"&amp;"et!$E$2:$E$3143),
Master_Mapping_Sheet!$C$2:$C$3143=Y$1))), 0, sum(filter(
Master_Mapping_Sheet!$E$2:$E$3143, ISNUMBER(
Master_Mapping_Sheet!$E$2:$E$3143),
Master_Mapping_Sheet!$C$2:$C$3143=Y$1,
Master_Mapping_Sheet!$L$2:$L$3143=$A6))/sum(filter(
Master_M"&amp;"apping_Sheet!$E$2:$E$3143, ISNUMBER(
Master_Mapping_Sheet!$E$2:$E$3143),
Master_Mapping_Sheet!$C$2:$C$3143=Y$1)))"),0.0)</f>
        <v>0</v>
      </c>
      <c r="Z6" s="34">
        <f>IFERROR(__xludf.DUMMYFUNCTION("IF(ISNA(sum(filter(
Master_Mapping_Sheet!$E$2:$E$3143, ISNUMBER(
Master_Mapping_Sheet!$E$2:$E$3143),
Master_Mapping_Sheet!$C$2:$C$3143=Z$1,
Master_Mapping_Sheet!$L$2:$L$3143=$A6))/sum(filter(
Master_Mapping_Sheet!$E$2:$E$3143, ISNUMBER(
Master_Mapping_She"&amp;"et!$E$2:$E$3143),
Master_Mapping_Sheet!$C$2:$C$3143=Z$1))), 0, sum(filter(
Master_Mapping_Sheet!$E$2:$E$3143, ISNUMBER(
Master_Mapping_Sheet!$E$2:$E$3143),
Master_Mapping_Sheet!$C$2:$C$3143=Z$1,
Master_Mapping_Sheet!$L$2:$L$3143=$A6))/sum(filter(
Master_M"&amp;"apping_Sheet!$E$2:$E$3143, ISNUMBER(
Master_Mapping_Sheet!$E$2:$E$3143),
Master_Mapping_Sheet!$C$2:$C$3143=Z$1)))"),0.0)</f>
        <v>0</v>
      </c>
      <c r="AA6" s="34">
        <f>IFERROR(__xludf.DUMMYFUNCTION("IF(ISNA(sum(filter(
Master_Mapping_Sheet!$E$2:$E$3143, ISNUMBER(
Master_Mapping_Sheet!$E$2:$E$3143),
Master_Mapping_Sheet!$C$2:$C$3143=AA$1,
Master_Mapping_Sheet!$L$2:$L$3143=$A6))/sum(filter(
Master_Mapping_Sheet!$E$2:$E$3143, ISNUMBER(
Master_Mapping_Sh"&amp;"eet!$E$2:$E$3143),
Master_Mapping_Sheet!$C$2:$C$3143=AA$1))), 0, sum(filter(
Master_Mapping_Sheet!$E$2:$E$3143, ISNUMBER(
Master_Mapping_Sheet!$E$2:$E$3143),
Master_Mapping_Sheet!$C$2:$C$3143=AA$1,
Master_Mapping_Sheet!$L$2:$L$3143=$A6))/sum(filter(
Maste"&amp;"r_Mapping_Sheet!$E$2:$E$3143, ISNUMBER(
Master_Mapping_Sheet!$E$2:$E$3143),
Master_Mapping_Sheet!$C$2:$C$3143=AA$1)))"),0.0)</f>
        <v>0</v>
      </c>
      <c r="AB6" s="34">
        <f>IFERROR(__xludf.DUMMYFUNCTION("IF(ISNA(sum(filter(
Master_Mapping_Sheet!$E$2:$E$3143, ISNUMBER(
Master_Mapping_Sheet!$E$2:$E$3143),
Master_Mapping_Sheet!$C$2:$C$3143=AB$1,
Master_Mapping_Sheet!$L$2:$L$3143=$A6))/sum(filter(
Master_Mapping_Sheet!$E$2:$E$3143, ISNUMBER(
Master_Mapping_Sh"&amp;"eet!$E$2:$E$3143),
Master_Mapping_Sheet!$C$2:$C$3143=AB$1))), 0, sum(filter(
Master_Mapping_Sheet!$E$2:$E$3143, ISNUMBER(
Master_Mapping_Sheet!$E$2:$E$3143),
Master_Mapping_Sheet!$C$2:$C$3143=AB$1,
Master_Mapping_Sheet!$L$2:$L$3143=$A6))/sum(filter(
Maste"&amp;"r_Mapping_Sheet!$E$2:$E$3143, ISNUMBER(
Master_Mapping_Sheet!$E$2:$E$3143),
Master_Mapping_Sheet!$C$2:$C$3143=AB$1)))"),0.0)</f>
        <v>0</v>
      </c>
      <c r="AC6" s="34">
        <f>IFERROR(__xludf.DUMMYFUNCTION("IF(ISNA(sum(filter(
Master_Mapping_Sheet!$E$2:$E$3143, ISNUMBER(
Master_Mapping_Sheet!$E$2:$E$3143),
Master_Mapping_Sheet!$C$2:$C$3143=AC$1,
Master_Mapping_Sheet!$L$2:$L$3143=$A6))/sum(filter(
Master_Mapping_Sheet!$E$2:$E$3143, ISNUMBER(
Master_Mapping_Sh"&amp;"eet!$E$2:$E$3143),
Master_Mapping_Sheet!$C$2:$C$3143=AC$1))), 0, sum(filter(
Master_Mapping_Sheet!$E$2:$E$3143, ISNUMBER(
Master_Mapping_Sheet!$E$2:$E$3143),
Master_Mapping_Sheet!$C$2:$C$3143=AC$1,
Master_Mapping_Sheet!$L$2:$L$3143=$A6))/sum(filter(
Maste"&amp;"r_Mapping_Sheet!$E$2:$E$3143, ISNUMBER(
Master_Mapping_Sheet!$E$2:$E$3143),
Master_Mapping_Sheet!$C$2:$C$3143=AC$1)))"),0.0)</f>
        <v>0</v>
      </c>
      <c r="AD6" s="34">
        <f>IFERROR(__xludf.DUMMYFUNCTION("IF(ISNA(sum(filter(
Master_Mapping_Sheet!$E$2:$E$3143, ISNUMBER(
Master_Mapping_Sheet!$E$2:$E$3143),
Master_Mapping_Sheet!$C$2:$C$3143=AD$1,
Master_Mapping_Sheet!$L$2:$L$3143=$A6))/sum(filter(
Master_Mapping_Sheet!$E$2:$E$3143, ISNUMBER(
Master_Mapping_Sh"&amp;"eet!$E$2:$E$3143),
Master_Mapping_Sheet!$C$2:$C$3143=AD$1))), 0, sum(filter(
Master_Mapping_Sheet!$E$2:$E$3143, ISNUMBER(
Master_Mapping_Sheet!$E$2:$E$3143),
Master_Mapping_Sheet!$C$2:$C$3143=AD$1,
Master_Mapping_Sheet!$L$2:$L$3143=$A6))/sum(filter(
Maste"&amp;"r_Mapping_Sheet!$E$2:$E$3143, ISNUMBER(
Master_Mapping_Sheet!$E$2:$E$3143),
Master_Mapping_Sheet!$C$2:$C$3143=AD$1)))"),0.7315104114488369)</f>
        <v>0.7315104114</v>
      </c>
      <c r="AE6" s="34">
        <f>IFERROR(__xludf.DUMMYFUNCTION("IF(ISNA(sum(filter(
Master_Mapping_Sheet!$E$2:$E$3143, ISNUMBER(
Master_Mapping_Sheet!$E$2:$E$3143),
Master_Mapping_Sheet!$C$2:$C$3143=AE$1,
Master_Mapping_Sheet!$L$2:$L$3143=$A6))/sum(filter(
Master_Mapping_Sheet!$E$2:$E$3143, ISNUMBER(
Master_Mapping_Sh"&amp;"eet!$E$2:$E$3143),
Master_Mapping_Sheet!$C$2:$C$3143=AE$1))), 0, sum(filter(
Master_Mapping_Sheet!$E$2:$E$3143, ISNUMBER(
Master_Mapping_Sheet!$E$2:$E$3143),
Master_Mapping_Sheet!$C$2:$C$3143=AE$1,
Master_Mapping_Sheet!$L$2:$L$3143=$A6))/sum(filter(
Maste"&amp;"r_Mapping_Sheet!$E$2:$E$3143, ISNUMBER(
Master_Mapping_Sheet!$E$2:$E$3143),
Master_Mapping_Sheet!$C$2:$C$3143=AE$1)))"),0.0)</f>
        <v>0</v>
      </c>
      <c r="AF6" s="34">
        <f>IFERROR(__xludf.DUMMYFUNCTION("IF(ISNA(sum(filter(
Master_Mapping_Sheet!$E$2:$E$3143, ISNUMBER(
Master_Mapping_Sheet!$E$2:$E$3143),
Master_Mapping_Sheet!$C$2:$C$3143=AF$1,
Master_Mapping_Sheet!$L$2:$L$3143=$A6))/sum(filter(
Master_Mapping_Sheet!$E$2:$E$3143, ISNUMBER(
Master_Mapping_Sh"&amp;"eet!$E$2:$E$3143),
Master_Mapping_Sheet!$C$2:$C$3143=AF$1))), 0, sum(filter(
Master_Mapping_Sheet!$E$2:$E$3143, ISNUMBER(
Master_Mapping_Sheet!$E$2:$E$3143),
Master_Mapping_Sheet!$C$2:$C$3143=AF$1,
Master_Mapping_Sheet!$L$2:$L$3143=$A6))/sum(filter(
Maste"&amp;"r_Mapping_Sheet!$E$2:$E$3143, ISNUMBER(
Master_Mapping_Sheet!$E$2:$E$3143),
Master_Mapping_Sheet!$C$2:$C$3143=AF$1)))"),0.0)</f>
        <v>0</v>
      </c>
      <c r="AG6" s="34">
        <f>IFERROR(__xludf.DUMMYFUNCTION("IF(ISNA(sum(filter(
Master_Mapping_Sheet!$E$2:$E$3143, ISNUMBER(
Master_Mapping_Sheet!$E$2:$E$3143),
Master_Mapping_Sheet!$C$2:$C$3143=AG$1,
Master_Mapping_Sheet!$L$2:$L$3143=$A6))/sum(filter(
Master_Mapping_Sheet!$E$2:$E$3143, ISNUMBER(
Master_Mapping_Sh"&amp;"eet!$E$2:$E$3143),
Master_Mapping_Sheet!$C$2:$C$3143=AG$1))), 0, sum(filter(
Master_Mapping_Sheet!$E$2:$E$3143, ISNUMBER(
Master_Mapping_Sheet!$E$2:$E$3143),
Master_Mapping_Sheet!$C$2:$C$3143=AG$1,
Master_Mapping_Sheet!$L$2:$L$3143=$A6))/sum(filter(
Maste"&amp;"r_Mapping_Sheet!$E$2:$E$3143, ISNUMBER(
Master_Mapping_Sheet!$E$2:$E$3143),
Master_Mapping_Sheet!$C$2:$C$3143=AG$1)))"),0.245587458397793)</f>
        <v>0.2455874584</v>
      </c>
      <c r="AH6" s="34">
        <f>IFERROR(__xludf.DUMMYFUNCTION("IF(ISNA(sum(filter(
Master_Mapping_Sheet!$E$2:$E$3143, ISNUMBER(
Master_Mapping_Sheet!$E$2:$E$3143),
Master_Mapping_Sheet!$C$2:$C$3143=AH$1,
Master_Mapping_Sheet!$L$2:$L$3143=$A6))/sum(filter(
Master_Mapping_Sheet!$E$2:$E$3143, ISNUMBER(
Master_Mapping_Sh"&amp;"eet!$E$2:$E$3143),
Master_Mapping_Sheet!$C$2:$C$3143=AH$1))), 0, sum(filter(
Master_Mapping_Sheet!$E$2:$E$3143, ISNUMBER(
Master_Mapping_Sheet!$E$2:$E$3143),
Master_Mapping_Sheet!$C$2:$C$3143=AH$1,
Master_Mapping_Sheet!$L$2:$L$3143=$A6))/sum(filter(
Maste"&amp;"r_Mapping_Sheet!$E$2:$E$3143, ISNUMBER(
Master_Mapping_Sheet!$E$2:$E$3143),
Master_Mapping_Sheet!$C$2:$C$3143=AH$1)))"),0.0)</f>
        <v>0</v>
      </c>
      <c r="AI6" s="34">
        <f>IFERROR(__xludf.DUMMYFUNCTION("IF(ISNA(sum(filter(
Master_Mapping_Sheet!$E$2:$E$3143, ISNUMBER(
Master_Mapping_Sheet!$E$2:$E$3143),
Master_Mapping_Sheet!$C$2:$C$3143=AI$1,
Master_Mapping_Sheet!$L$2:$L$3143=$A6))/sum(filter(
Master_Mapping_Sheet!$E$2:$E$3143, ISNUMBER(
Master_Mapping_Sh"&amp;"eet!$E$2:$E$3143),
Master_Mapping_Sheet!$C$2:$C$3143=AI$1))), 0, sum(filter(
Master_Mapping_Sheet!$E$2:$E$3143, ISNUMBER(
Master_Mapping_Sheet!$E$2:$E$3143),
Master_Mapping_Sheet!$C$2:$C$3143=AI$1,
Master_Mapping_Sheet!$L$2:$L$3143=$A6))/sum(filter(
Maste"&amp;"r_Mapping_Sheet!$E$2:$E$3143, ISNUMBER(
Master_Mapping_Sheet!$E$2:$E$3143),
Master_Mapping_Sheet!$C$2:$C$3143=AI$1)))"),0.0)</f>
        <v>0</v>
      </c>
      <c r="AJ6" s="34">
        <f>IFERROR(__xludf.DUMMYFUNCTION("IF(ISNA(sum(filter(
Master_Mapping_Sheet!$E$2:$E$3143, ISNUMBER(
Master_Mapping_Sheet!$E$2:$E$3143),
Master_Mapping_Sheet!$C$2:$C$3143=AJ$1,
Master_Mapping_Sheet!$L$2:$L$3143=$A6))/sum(filter(
Master_Mapping_Sheet!$E$2:$E$3143, ISNUMBER(
Master_Mapping_Sh"&amp;"eet!$E$2:$E$3143),
Master_Mapping_Sheet!$C$2:$C$3143=AJ$1))), 0, sum(filter(
Master_Mapping_Sheet!$E$2:$E$3143, ISNUMBER(
Master_Mapping_Sheet!$E$2:$E$3143),
Master_Mapping_Sheet!$C$2:$C$3143=AJ$1,
Master_Mapping_Sheet!$L$2:$L$3143=$A6))/sum(filter(
Maste"&amp;"r_Mapping_Sheet!$E$2:$E$3143, ISNUMBER(
Master_Mapping_Sheet!$E$2:$E$3143),
Master_Mapping_Sheet!$C$2:$C$3143=AJ$1)))"),0.0)</f>
        <v>0</v>
      </c>
      <c r="AK6" s="34">
        <f>IFERROR(__xludf.DUMMYFUNCTION("IF(ISNA(sum(filter(
Master_Mapping_Sheet!$E$2:$E$3143, ISNUMBER(
Master_Mapping_Sheet!$E$2:$E$3143),
Master_Mapping_Sheet!$C$2:$C$3143=AK$1,
Master_Mapping_Sheet!$L$2:$L$3143=$A6))/sum(filter(
Master_Mapping_Sheet!$E$2:$E$3143, ISNUMBER(
Master_Mapping_Sh"&amp;"eet!$E$2:$E$3143),
Master_Mapping_Sheet!$C$2:$C$3143=AK$1))), 0, sum(filter(
Master_Mapping_Sheet!$E$2:$E$3143, ISNUMBER(
Master_Mapping_Sheet!$E$2:$E$3143),
Master_Mapping_Sheet!$C$2:$C$3143=AK$1,
Master_Mapping_Sheet!$L$2:$L$3143=$A6))/sum(filter(
Maste"&amp;"r_Mapping_Sheet!$E$2:$E$3143, ISNUMBER(
Master_Mapping_Sheet!$E$2:$E$3143),
Master_Mapping_Sheet!$C$2:$C$3143=AK$1)))"),0.0)</f>
        <v>0</v>
      </c>
      <c r="AL6" s="34">
        <f>IFERROR(__xludf.DUMMYFUNCTION("IF(ISNA(sum(filter(
Master_Mapping_Sheet!$E$2:$E$3143, ISNUMBER(
Master_Mapping_Sheet!$E$2:$E$3143),
Master_Mapping_Sheet!$C$2:$C$3143=AL$1,
Master_Mapping_Sheet!$L$2:$L$3143=$A6))/sum(filter(
Master_Mapping_Sheet!$E$2:$E$3143, ISNUMBER(
Master_Mapping_Sh"&amp;"eet!$E$2:$E$3143),
Master_Mapping_Sheet!$C$2:$C$3143=AL$1))), 0, sum(filter(
Master_Mapping_Sheet!$E$2:$E$3143, ISNUMBER(
Master_Mapping_Sheet!$E$2:$E$3143),
Master_Mapping_Sheet!$C$2:$C$3143=AL$1,
Master_Mapping_Sheet!$L$2:$L$3143=$A6))/sum(filter(
Maste"&amp;"r_Mapping_Sheet!$E$2:$E$3143, ISNUMBER(
Master_Mapping_Sheet!$E$2:$E$3143),
Master_Mapping_Sheet!$C$2:$C$3143=AL$1)))"),0.0)</f>
        <v>0</v>
      </c>
      <c r="AM6" s="34">
        <f>IFERROR(__xludf.DUMMYFUNCTION("IF(ISNA(sum(filter(
Master_Mapping_Sheet!$E$2:$E$3143, ISNUMBER(
Master_Mapping_Sheet!$E$2:$E$3143),
Master_Mapping_Sheet!$C$2:$C$3143=AM$1,
Master_Mapping_Sheet!$L$2:$L$3143=$A6))/sum(filter(
Master_Mapping_Sheet!$E$2:$E$3143, ISNUMBER(
Master_Mapping_Sh"&amp;"eet!$E$2:$E$3143),
Master_Mapping_Sheet!$C$2:$C$3143=AM$1))), 0, sum(filter(
Master_Mapping_Sheet!$E$2:$E$3143, ISNUMBER(
Master_Mapping_Sheet!$E$2:$E$3143),
Master_Mapping_Sheet!$C$2:$C$3143=AM$1,
Master_Mapping_Sheet!$L$2:$L$3143=$A6))/sum(filter(
Maste"&amp;"r_Mapping_Sheet!$E$2:$E$3143, ISNUMBER(
Master_Mapping_Sheet!$E$2:$E$3143),
Master_Mapping_Sheet!$C$2:$C$3143=AM$1)))"),0.0)</f>
        <v>0</v>
      </c>
      <c r="AN6" s="34">
        <f>IFERROR(__xludf.DUMMYFUNCTION("IF(ISNA(sum(filter(
Master_Mapping_Sheet!$E$2:$E$3143, ISNUMBER(
Master_Mapping_Sheet!$E$2:$E$3143),
Master_Mapping_Sheet!$C$2:$C$3143=AN$1,
Master_Mapping_Sheet!$L$2:$L$3143=$A6))/sum(filter(
Master_Mapping_Sheet!$E$2:$E$3143, ISNUMBER(
Master_Mapping_Sh"&amp;"eet!$E$2:$E$3143),
Master_Mapping_Sheet!$C$2:$C$3143=AN$1))), 0, sum(filter(
Master_Mapping_Sheet!$E$2:$E$3143, ISNUMBER(
Master_Mapping_Sheet!$E$2:$E$3143),
Master_Mapping_Sheet!$C$2:$C$3143=AN$1,
Master_Mapping_Sheet!$L$2:$L$3143=$A6))/sum(filter(
Maste"&amp;"r_Mapping_Sheet!$E$2:$E$3143, ISNUMBER(
Master_Mapping_Sheet!$E$2:$E$3143),
Master_Mapping_Sheet!$C$2:$C$3143=AN$1)))"),0.0)</f>
        <v>0</v>
      </c>
      <c r="AO6" s="34">
        <f>IFERROR(__xludf.DUMMYFUNCTION("IF(ISNA(sum(filter(
Master_Mapping_Sheet!$E$2:$E$3143, ISNUMBER(
Master_Mapping_Sheet!$E$2:$E$3143),
Master_Mapping_Sheet!$C$2:$C$3143=AO$1,
Master_Mapping_Sheet!$L$2:$L$3143=$A6))/sum(filter(
Master_Mapping_Sheet!$E$2:$E$3143, ISNUMBER(
Master_Mapping_Sh"&amp;"eet!$E$2:$E$3143),
Master_Mapping_Sheet!$C$2:$C$3143=AO$1))), 0, sum(filter(
Master_Mapping_Sheet!$E$2:$E$3143, ISNUMBER(
Master_Mapping_Sheet!$E$2:$E$3143),
Master_Mapping_Sheet!$C$2:$C$3143=AO$1,
Master_Mapping_Sheet!$L$2:$L$3143=$A6))/sum(filter(
Maste"&amp;"r_Mapping_Sheet!$E$2:$E$3143, ISNUMBER(
Master_Mapping_Sheet!$E$2:$E$3143),
Master_Mapping_Sheet!$C$2:$C$3143=AO$1)))"),0.0)</f>
        <v>0</v>
      </c>
      <c r="AP6" s="34">
        <f>IFERROR(__xludf.DUMMYFUNCTION("IF(ISNA(sum(filter(
Master_Mapping_Sheet!$E$2:$E$3143, ISNUMBER(
Master_Mapping_Sheet!$E$2:$E$3143),
Master_Mapping_Sheet!$C$2:$C$3143=AP$1,
Master_Mapping_Sheet!$L$2:$L$3143=$A6))/sum(filter(
Master_Mapping_Sheet!$E$2:$E$3143, ISNUMBER(
Master_Mapping_Sh"&amp;"eet!$E$2:$E$3143),
Master_Mapping_Sheet!$C$2:$C$3143=AP$1))), 0, sum(filter(
Master_Mapping_Sheet!$E$2:$E$3143, ISNUMBER(
Master_Mapping_Sheet!$E$2:$E$3143),
Master_Mapping_Sheet!$C$2:$C$3143=AP$1,
Master_Mapping_Sheet!$L$2:$L$3143=$A6))/sum(filter(
Maste"&amp;"r_Mapping_Sheet!$E$2:$E$3143, ISNUMBER(
Master_Mapping_Sheet!$E$2:$E$3143),
Master_Mapping_Sheet!$C$2:$C$3143=AP$1)))"),0.0)</f>
        <v>0</v>
      </c>
      <c r="AQ6" s="34">
        <f>IFERROR(__xludf.DUMMYFUNCTION("IF(ISNA(sum(filter(
Master_Mapping_Sheet!$E$2:$E$3143, ISNUMBER(
Master_Mapping_Sheet!$E$2:$E$3143),
Master_Mapping_Sheet!$C$2:$C$3143=AQ$1,
Master_Mapping_Sheet!$L$2:$L$3143=$A6))/sum(filter(
Master_Mapping_Sheet!$E$2:$E$3143, ISNUMBER(
Master_Mapping_Sh"&amp;"eet!$E$2:$E$3143),
Master_Mapping_Sheet!$C$2:$C$3143=AQ$1))), 0, sum(filter(
Master_Mapping_Sheet!$E$2:$E$3143, ISNUMBER(
Master_Mapping_Sheet!$E$2:$E$3143),
Master_Mapping_Sheet!$C$2:$C$3143=AQ$1,
Master_Mapping_Sheet!$L$2:$L$3143=$A6))/sum(filter(
Maste"&amp;"r_Mapping_Sheet!$E$2:$E$3143, ISNUMBER(
Master_Mapping_Sheet!$E$2:$E$3143),
Master_Mapping_Sheet!$C$2:$C$3143=AQ$1)))"),0.0)</f>
        <v>0</v>
      </c>
      <c r="AR6" s="34">
        <f>IFERROR(__xludf.DUMMYFUNCTION("IF(ISNA(sum(filter(
Master_Mapping_Sheet!$E$2:$E$3143, ISNUMBER(
Master_Mapping_Sheet!$E$2:$E$3143),
Master_Mapping_Sheet!$C$2:$C$3143=AR$1,
Master_Mapping_Sheet!$L$2:$L$3143=$A6))/sum(filter(
Master_Mapping_Sheet!$E$2:$E$3143, ISNUMBER(
Master_Mapping_Sh"&amp;"eet!$E$2:$E$3143),
Master_Mapping_Sheet!$C$2:$C$3143=AR$1))), 0, sum(filter(
Master_Mapping_Sheet!$E$2:$E$3143, ISNUMBER(
Master_Mapping_Sheet!$E$2:$E$3143),
Master_Mapping_Sheet!$C$2:$C$3143=AR$1,
Master_Mapping_Sheet!$L$2:$L$3143=$A6))/sum(filter(
Maste"&amp;"r_Mapping_Sheet!$E$2:$E$3143, ISNUMBER(
Master_Mapping_Sheet!$E$2:$E$3143),
Master_Mapping_Sheet!$C$2:$C$3143=AR$1)))"),0.0)</f>
        <v>0</v>
      </c>
      <c r="AS6" s="34">
        <f>IFERROR(__xludf.DUMMYFUNCTION("IF(ISNA(sum(filter(
Master_Mapping_Sheet!$E$2:$E$3143, ISNUMBER(
Master_Mapping_Sheet!$E$2:$E$3143),
Master_Mapping_Sheet!$C$2:$C$3143=AS$1,
Master_Mapping_Sheet!$L$2:$L$3143=$A6))/sum(filter(
Master_Mapping_Sheet!$E$2:$E$3143, ISNUMBER(
Master_Mapping_Sh"&amp;"eet!$E$2:$E$3143),
Master_Mapping_Sheet!$C$2:$C$3143=AS$1))), 0, sum(filter(
Master_Mapping_Sheet!$E$2:$E$3143, ISNUMBER(
Master_Mapping_Sheet!$E$2:$E$3143),
Master_Mapping_Sheet!$C$2:$C$3143=AS$1,
Master_Mapping_Sheet!$L$2:$L$3143=$A6))/sum(filter(
Maste"&amp;"r_Mapping_Sheet!$E$2:$E$3143, ISNUMBER(
Master_Mapping_Sheet!$E$2:$E$3143),
Master_Mapping_Sheet!$C$2:$C$3143=AS$1)))"),0.07345611545452081)</f>
        <v>0.07345611545</v>
      </c>
      <c r="AT6" s="34">
        <f>IFERROR(__xludf.DUMMYFUNCTION("IF(ISNA(sum(filter(
Master_Mapping_Sheet!$E$2:$E$3143, ISNUMBER(
Master_Mapping_Sheet!$E$2:$E$3143),
Master_Mapping_Sheet!$C$2:$C$3143=AT$1,
Master_Mapping_Sheet!$L$2:$L$3143=$A6))/sum(filter(
Master_Mapping_Sheet!$E$2:$E$3143, ISNUMBER(
Master_Mapping_Sh"&amp;"eet!$E$2:$E$3143),
Master_Mapping_Sheet!$C$2:$C$3143=AT$1))), 0, sum(filter(
Master_Mapping_Sheet!$E$2:$E$3143, ISNUMBER(
Master_Mapping_Sheet!$E$2:$E$3143),
Master_Mapping_Sheet!$C$2:$C$3143=AT$1,
Master_Mapping_Sheet!$L$2:$L$3143=$A6))/sum(filter(
Maste"&amp;"r_Mapping_Sheet!$E$2:$E$3143, ISNUMBER(
Master_Mapping_Sheet!$E$2:$E$3143),
Master_Mapping_Sheet!$C$2:$C$3143=AT$1)))"),0.05923573923541153)</f>
        <v>0.05923573924</v>
      </c>
      <c r="AU6" s="34">
        <f>IFERROR(__xludf.DUMMYFUNCTION("IF(ISNA(sum(filter(
Master_Mapping_Sheet!$E$2:$E$3143, ISNUMBER(
Master_Mapping_Sheet!$E$2:$E$3143),
Master_Mapping_Sheet!$C$2:$C$3143=AU$1,
Master_Mapping_Sheet!$L$2:$L$3143=$A6))/sum(filter(
Master_Mapping_Sheet!$E$2:$E$3143, ISNUMBER(
Master_Mapping_Sh"&amp;"eet!$E$2:$E$3143),
Master_Mapping_Sheet!$C$2:$C$3143=AU$1))), 0, sum(filter(
Master_Mapping_Sheet!$E$2:$E$3143, ISNUMBER(
Master_Mapping_Sheet!$E$2:$E$3143),
Master_Mapping_Sheet!$C$2:$C$3143=AU$1,
Master_Mapping_Sheet!$L$2:$L$3143=$A6))/sum(filter(
Maste"&amp;"r_Mapping_Sheet!$E$2:$E$3143, ISNUMBER(
Master_Mapping_Sheet!$E$2:$E$3143),
Master_Mapping_Sheet!$C$2:$C$3143=AU$1)))"),0.0)</f>
        <v>0</v>
      </c>
      <c r="AV6" s="34">
        <f>IFERROR(__xludf.DUMMYFUNCTION("IF(ISNA(sum(filter(
Master_Mapping_Sheet!$E$2:$E$3143, ISNUMBER(
Master_Mapping_Sheet!$E$2:$E$3143),
Master_Mapping_Sheet!$C$2:$C$3143=AV$1,
Master_Mapping_Sheet!$L$2:$L$3143=$A6))/sum(filter(
Master_Mapping_Sheet!$E$2:$E$3143, ISNUMBER(
Master_Mapping_Sh"&amp;"eet!$E$2:$E$3143),
Master_Mapping_Sheet!$C$2:$C$3143=AV$1))), 0, sum(filter(
Master_Mapping_Sheet!$E$2:$E$3143, ISNUMBER(
Master_Mapping_Sheet!$E$2:$E$3143),
Master_Mapping_Sheet!$C$2:$C$3143=AV$1,
Master_Mapping_Sheet!$L$2:$L$3143=$A6))/sum(filter(
Maste"&amp;"r_Mapping_Sheet!$E$2:$E$3143, ISNUMBER(
Master_Mapping_Sheet!$E$2:$E$3143),
Master_Mapping_Sheet!$C$2:$C$3143=AV$1)))"),0.0)</f>
        <v>0</v>
      </c>
      <c r="AW6" s="34">
        <f>IFERROR(__xludf.DUMMYFUNCTION("IF(ISNA(sum(filter(
Master_Mapping_Sheet!$E$2:$E$3143, ISNUMBER(
Master_Mapping_Sheet!$E$2:$E$3143),
Master_Mapping_Sheet!$C$2:$C$3143=AW$1,
Master_Mapping_Sheet!$L$2:$L$3143=$A6))/sum(filter(
Master_Mapping_Sheet!$E$2:$E$3143, ISNUMBER(
Master_Mapping_Sh"&amp;"eet!$E$2:$E$3143),
Master_Mapping_Sheet!$C$2:$C$3143=AW$1))), 0, sum(filter(
Master_Mapping_Sheet!$E$2:$E$3143, ISNUMBER(
Master_Mapping_Sheet!$E$2:$E$3143),
Master_Mapping_Sheet!$C$2:$C$3143=AW$1,
Master_Mapping_Sheet!$L$2:$L$3143=$A6))/sum(filter(
Maste"&amp;"r_Mapping_Sheet!$E$2:$E$3143, ISNUMBER(
Master_Mapping_Sheet!$E$2:$E$3143),
Master_Mapping_Sheet!$C$2:$C$3143=AW$1)))"),0.0)</f>
        <v>0</v>
      </c>
      <c r="AX6" s="34">
        <f>IFERROR(__xludf.DUMMYFUNCTION("IF(ISNA(sum(filter(
Master_Mapping_Sheet!$E$2:$E$3143, ISNUMBER(
Master_Mapping_Sheet!$E$2:$E$3143),
Master_Mapping_Sheet!$C$2:$C$3143=AX$1,
Master_Mapping_Sheet!$L$2:$L$3143=$A6))/sum(filter(
Master_Mapping_Sheet!$E$2:$E$3143, ISNUMBER(
Master_Mapping_Sh"&amp;"eet!$E$2:$E$3143),
Master_Mapping_Sheet!$C$2:$C$3143=AX$1))), 0, sum(filter(
Master_Mapping_Sheet!$E$2:$E$3143, ISNUMBER(
Master_Mapping_Sheet!$E$2:$E$3143),
Master_Mapping_Sheet!$C$2:$C$3143=AX$1,
Master_Mapping_Sheet!$L$2:$L$3143=$A6))/sum(filter(
Maste"&amp;"r_Mapping_Sheet!$E$2:$E$3143, ISNUMBER(
Master_Mapping_Sheet!$E$2:$E$3143),
Master_Mapping_Sheet!$C$2:$C$3143=AX$1)))"),0.0)</f>
        <v>0</v>
      </c>
      <c r="AY6" s="34">
        <f>IFERROR(__xludf.DUMMYFUNCTION("IF(ISNA(sum(filter(
Master_Mapping_Sheet!$E$2:$E$3143, ISNUMBER(
Master_Mapping_Sheet!$E$2:$E$3143),
Master_Mapping_Sheet!$C$2:$C$3143=AY$1,
Master_Mapping_Sheet!$L$2:$L$3143=$A6))/sum(filter(
Master_Mapping_Sheet!$E$2:$E$3143, ISNUMBER(
Master_Mapping_Sh"&amp;"eet!$E$2:$E$3143),
Master_Mapping_Sheet!$C$2:$C$3143=AY$1))), 0, sum(filter(
Master_Mapping_Sheet!$E$2:$E$3143, ISNUMBER(
Master_Mapping_Sheet!$E$2:$E$3143),
Master_Mapping_Sheet!$C$2:$C$3143=AY$1,
Master_Mapping_Sheet!$L$2:$L$3143=$A6))/sum(filter(
Maste"&amp;"r_Mapping_Sheet!$E$2:$E$3143, ISNUMBER(
Master_Mapping_Sheet!$E$2:$E$3143),
Master_Mapping_Sheet!$C$2:$C$3143=AY$1)))"),0.0)</f>
        <v>0</v>
      </c>
      <c r="AZ6" s="34">
        <f>IFERROR(__xludf.DUMMYFUNCTION("IF(ISNA(sum(filter(
Master_Mapping_Sheet!$E$2:$E$3143, ISNUMBER(
Master_Mapping_Sheet!$E$2:$E$3143),
Master_Mapping_Sheet!$C$2:$C$3143=AZ$1,
Master_Mapping_Sheet!$L$2:$L$3143=$A6))/sum(filter(
Master_Mapping_Sheet!$E$2:$E$3143, ISNUMBER(
Master_Mapping_Sh"&amp;"eet!$E$2:$E$3143),
Master_Mapping_Sheet!$C$2:$C$3143=AZ$1))), 0, sum(filter(
Master_Mapping_Sheet!$E$2:$E$3143, ISNUMBER(
Master_Mapping_Sheet!$E$2:$E$3143),
Master_Mapping_Sheet!$C$2:$C$3143=AZ$1,
Master_Mapping_Sheet!$L$2:$L$3143=$A6))/sum(filter(
Maste"&amp;"r_Mapping_Sheet!$E$2:$E$3143, ISNUMBER(
Master_Mapping_Sheet!$E$2:$E$3143),
Master_Mapping_Sheet!$C$2:$C$3143=AZ$1)))"),0.0)</f>
        <v>0</v>
      </c>
    </row>
    <row r="7" ht="15.75" customHeight="1">
      <c r="A7" s="32" t="s">
        <v>280</v>
      </c>
      <c r="B7" s="34">
        <f>IFERROR(__xludf.DUMMYFUNCTION("IF(ISNA(sum(filter(
Master_Mapping_Sheet!$E$2:$E$3143, ISNUMBER(
Master_Mapping_Sheet!$E$2:$E$3143),
Master_Mapping_Sheet!$C$2:$C$3143=B$1,
Master_Mapping_Sheet!$L$2:$L$3143=$A7))/sum(filter(
Master_Mapping_Sheet!$E$2:$E$3143, ISNUMBER(
Master_Mapping_She"&amp;"et!$E$2:$E$3143),
Master_Mapping_Sheet!$C$2:$C$3143=B$1))), 0, sum(filter(
Master_Mapping_Sheet!$E$2:$E$3143, ISNUMBER(
Master_Mapping_Sheet!$E$2:$E$3143),
Master_Mapping_Sheet!$C$2:$C$3143=B$1,
Master_Mapping_Sheet!$L$2:$L$3143=$A7))/sum(filter(
Master_M"&amp;"apping_Sheet!$E$2:$E$3143, ISNUMBER(
Master_Mapping_Sheet!$E$2:$E$3143),
Master_Mapping_Sheet!$C$2:$C$3143=B$1)))"),0.0)</f>
        <v>0</v>
      </c>
      <c r="C7" s="34">
        <f>IFERROR(__xludf.DUMMYFUNCTION("IF(ISNA(sum(filter(
Master_Mapping_Sheet!$E$2:$E$3143, ISNUMBER(
Master_Mapping_Sheet!$E$2:$E$3143),
Master_Mapping_Sheet!$C$2:$C$3143=C$1,
Master_Mapping_Sheet!$L$2:$L$3143=$A7))/sum(filter(
Master_Mapping_Sheet!$E$2:$E$3143, ISNUMBER(
Master_Mapping_She"&amp;"et!$E$2:$E$3143),
Master_Mapping_Sheet!$C$2:$C$3143=C$1))), 0, sum(filter(
Master_Mapping_Sheet!$E$2:$E$3143, ISNUMBER(
Master_Mapping_Sheet!$E$2:$E$3143),
Master_Mapping_Sheet!$C$2:$C$3143=C$1,
Master_Mapping_Sheet!$L$2:$L$3143=$A7))/sum(filter(
Master_M"&amp;"apping_Sheet!$E$2:$E$3143, ISNUMBER(
Master_Mapping_Sheet!$E$2:$E$3143),
Master_Mapping_Sheet!$C$2:$C$3143=C$1)))"),0.0)</f>
        <v>0</v>
      </c>
      <c r="D7" s="34">
        <f>IFERROR(__xludf.DUMMYFUNCTION("IF(ISNA(sum(filter(
Master_Mapping_Sheet!$E$2:$E$3143, ISNUMBER(
Master_Mapping_Sheet!$E$2:$E$3143),
Master_Mapping_Sheet!$C$2:$C$3143=D$1,
Master_Mapping_Sheet!$L$2:$L$3143=$A7))/sum(filter(
Master_Mapping_Sheet!$E$2:$E$3143, ISNUMBER(
Master_Mapping_She"&amp;"et!$E$2:$E$3143),
Master_Mapping_Sheet!$C$2:$C$3143=D$1))), 0, sum(filter(
Master_Mapping_Sheet!$E$2:$E$3143, ISNUMBER(
Master_Mapping_Sheet!$E$2:$E$3143),
Master_Mapping_Sheet!$C$2:$C$3143=D$1,
Master_Mapping_Sheet!$L$2:$L$3143=$A7))/sum(filter(
Master_M"&amp;"apping_Sheet!$E$2:$E$3143, ISNUMBER(
Master_Mapping_Sheet!$E$2:$E$3143),
Master_Mapping_Sheet!$C$2:$C$3143=D$1)))"),0.0)</f>
        <v>0</v>
      </c>
      <c r="E7" s="34">
        <f>IFERROR(__xludf.DUMMYFUNCTION("IF(ISNA(sum(filter(
Master_Mapping_Sheet!$E$2:$E$3143, ISNUMBER(
Master_Mapping_Sheet!$E$2:$E$3143),
Master_Mapping_Sheet!$C$2:$C$3143=E$1,
Master_Mapping_Sheet!$L$2:$L$3143=$A7))/sum(filter(
Master_Mapping_Sheet!$E$2:$E$3143, ISNUMBER(
Master_Mapping_She"&amp;"et!$E$2:$E$3143),
Master_Mapping_Sheet!$C$2:$C$3143=E$1))), 0, sum(filter(
Master_Mapping_Sheet!$E$2:$E$3143, ISNUMBER(
Master_Mapping_Sheet!$E$2:$E$3143),
Master_Mapping_Sheet!$C$2:$C$3143=E$1,
Master_Mapping_Sheet!$L$2:$L$3143=$A7))/sum(filter(
Master_M"&amp;"apping_Sheet!$E$2:$E$3143, ISNUMBER(
Master_Mapping_Sheet!$E$2:$E$3143),
Master_Mapping_Sheet!$C$2:$C$3143=E$1)))"),0.0)</f>
        <v>0</v>
      </c>
      <c r="F7" s="34">
        <f>IFERROR(__xludf.DUMMYFUNCTION("IF(ISNA(sum(filter(
Master_Mapping_Sheet!$E$2:$E$3143, ISNUMBER(
Master_Mapping_Sheet!$E$2:$E$3143),
Master_Mapping_Sheet!$C$2:$C$3143=F$1,
Master_Mapping_Sheet!$L$2:$L$3143=$A7))/sum(filter(
Master_Mapping_Sheet!$E$2:$E$3143, ISNUMBER(
Master_Mapping_She"&amp;"et!$E$2:$E$3143),
Master_Mapping_Sheet!$C$2:$C$3143=F$1))), 0, sum(filter(
Master_Mapping_Sheet!$E$2:$E$3143, ISNUMBER(
Master_Mapping_Sheet!$E$2:$E$3143),
Master_Mapping_Sheet!$C$2:$C$3143=F$1,
Master_Mapping_Sheet!$L$2:$L$3143=$A7))/sum(filter(
Master_M"&amp;"apping_Sheet!$E$2:$E$3143, ISNUMBER(
Master_Mapping_Sheet!$E$2:$E$3143),
Master_Mapping_Sheet!$C$2:$C$3143=F$1)))"),0.2131798756905939)</f>
        <v>0.2131798757</v>
      </c>
      <c r="G7" s="34">
        <f>IFERROR(__xludf.DUMMYFUNCTION("IF(ISNA(sum(filter(
Master_Mapping_Sheet!$E$2:$E$3143, ISNUMBER(
Master_Mapping_Sheet!$E$2:$E$3143),
Master_Mapping_Sheet!$C$2:$C$3143=G$1,
Master_Mapping_Sheet!$L$2:$L$3143=$A7))/sum(filter(
Master_Mapping_Sheet!$E$2:$E$3143, ISNUMBER(
Master_Mapping_She"&amp;"et!$E$2:$E$3143),
Master_Mapping_Sheet!$C$2:$C$3143=G$1))), 0, sum(filter(
Master_Mapping_Sheet!$E$2:$E$3143, ISNUMBER(
Master_Mapping_Sheet!$E$2:$E$3143),
Master_Mapping_Sheet!$C$2:$C$3143=G$1,
Master_Mapping_Sheet!$L$2:$L$3143=$A7))/sum(filter(
Master_M"&amp;"apping_Sheet!$E$2:$E$3143, ISNUMBER(
Master_Mapping_Sheet!$E$2:$E$3143),
Master_Mapping_Sheet!$C$2:$C$3143=G$1)))"),0.0)</f>
        <v>0</v>
      </c>
      <c r="H7" s="34">
        <f>IFERROR(__xludf.DUMMYFUNCTION("IF(ISNA(sum(filter(
Master_Mapping_Sheet!$E$2:$E$3143, ISNUMBER(
Master_Mapping_Sheet!$E$2:$E$3143),
Master_Mapping_Sheet!$C$2:$C$3143=H$1,
Master_Mapping_Sheet!$L$2:$L$3143=$A7))/sum(filter(
Master_Mapping_Sheet!$E$2:$E$3143, ISNUMBER(
Master_Mapping_She"&amp;"et!$E$2:$E$3143),
Master_Mapping_Sheet!$C$2:$C$3143=H$1))), 0, sum(filter(
Master_Mapping_Sheet!$E$2:$E$3143, ISNUMBER(
Master_Mapping_Sheet!$E$2:$E$3143),
Master_Mapping_Sheet!$C$2:$C$3143=H$1,
Master_Mapping_Sheet!$L$2:$L$3143=$A7))/sum(filter(
Master_M"&amp;"apping_Sheet!$E$2:$E$3143, ISNUMBER(
Master_Mapping_Sheet!$E$2:$E$3143),
Master_Mapping_Sheet!$C$2:$C$3143=H$1)))"),0.0)</f>
        <v>0</v>
      </c>
      <c r="I7" s="34">
        <f>IFERROR(__xludf.DUMMYFUNCTION("IF(ISNA(sum(filter(
Master_Mapping_Sheet!$E$2:$E$3143, ISNUMBER(
Master_Mapping_Sheet!$E$2:$E$3143),
Master_Mapping_Sheet!$C$2:$C$3143=I$1,
Master_Mapping_Sheet!$L$2:$L$3143=$A7))/sum(filter(
Master_Mapping_Sheet!$E$2:$E$3143, ISNUMBER(
Master_Mapping_She"&amp;"et!$E$2:$E$3143),
Master_Mapping_Sheet!$C$2:$C$3143=I$1))), 0, sum(filter(
Master_Mapping_Sheet!$E$2:$E$3143, ISNUMBER(
Master_Mapping_Sheet!$E$2:$E$3143),
Master_Mapping_Sheet!$C$2:$C$3143=I$1,
Master_Mapping_Sheet!$L$2:$L$3143=$A7))/sum(filter(
Master_M"&amp;"apping_Sheet!$E$2:$E$3143, ISNUMBER(
Master_Mapping_Sheet!$E$2:$E$3143),
Master_Mapping_Sheet!$C$2:$C$3143=I$1)))"),0.0)</f>
        <v>0</v>
      </c>
      <c r="J7" s="34">
        <f>IFERROR(__xludf.DUMMYFUNCTION("IF(ISNA(sum(filter(
Master_Mapping_Sheet!$E$2:$E$3143, ISNUMBER(
Master_Mapping_Sheet!$E$2:$E$3143),
Master_Mapping_Sheet!$C$2:$C$3143=J$1,
Master_Mapping_Sheet!$L$2:$L$3143=$A7))/sum(filter(
Master_Mapping_Sheet!$E$2:$E$3143, ISNUMBER(
Master_Mapping_She"&amp;"et!$E$2:$E$3143),
Master_Mapping_Sheet!$C$2:$C$3143=J$1))), 0, sum(filter(
Master_Mapping_Sheet!$E$2:$E$3143, ISNUMBER(
Master_Mapping_Sheet!$E$2:$E$3143),
Master_Mapping_Sheet!$C$2:$C$3143=J$1,
Master_Mapping_Sheet!$L$2:$L$3143=$A7))/sum(filter(
Master_M"&amp;"apping_Sheet!$E$2:$E$3143, ISNUMBER(
Master_Mapping_Sheet!$E$2:$E$3143),
Master_Mapping_Sheet!$C$2:$C$3143=J$1)))"),0.0)</f>
        <v>0</v>
      </c>
      <c r="K7" s="34">
        <f>IFERROR(__xludf.DUMMYFUNCTION("IF(ISNA(sum(filter(
Master_Mapping_Sheet!$E$2:$E$3143, ISNUMBER(
Master_Mapping_Sheet!$E$2:$E$3143),
Master_Mapping_Sheet!$C$2:$C$3143=K$1,
Master_Mapping_Sheet!$L$2:$L$3143=$A7))/sum(filter(
Master_Mapping_Sheet!$E$2:$E$3143, ISNUMBER(
Master_Mapping_She"&amp;"et!$E$2:$E$3143),
Master_Mapping_Sheet!$C$2:$C$3143=K$1))), 0, sum(filter(
Master_Mapping_Sheet!$E$2:$E$3143, ISNUMBER(
Master_Mapping_Sheet!$E$2:$E$3143),
Master_Mapping_Sheet!$C$2:$C$3143=K$1,
Master_Mapping_Sheet!$L$2:$L$3143=$A7))/sum(filter(
Master_M"&amp;"apping_Sheet!$E$2:$E$3143, ISNUMBER(
Master_Mapping_Sheet!$E$2:$E$3143),
Master_Mapping_Sheet!$C$2:$C$3143=K$1)))"),0.0)</f>
        <v>0</v>
      </c>
      <c r="L7" s="34">
        <f>IFERROR(__xludf.DUMMYFUNCTION("IF(ISNA(sum(filter(
Master_Mapping_Sheet!$E$2:$E$3143, ISNUMBER(
Master_Mapping_Sheet!$E$2:$E$3143),
Master_Mapping_Sheet!$C$2:$C$3143=L$1,
Master_Mapping_Sheet!$L$2:$L$3143=$A7))/sum(filter(
Master_Mapping_Sheet!$E$2:$E$3143, ISNUMBER(
Master_Mapping_She"&amp;"et!$E$2:$E$3143),
Master_Mapping_Sheet!$C$2:$C$3143=L$1))), 0, sum(filter(
Master_Mapping_Sheet!$E$2:$E$3143, ISNUMBER(
Master_Mapping_Sheet!$E$2:$E$3143),
Master_Mapping_Sheet!$C$2:$C$3143=L$1,
Master_Mapping_Sheet!$L$2:$L$3143=$A7))/sum(filter(
Master_M"&amp;"apping_Sheet!$E$2:$E$3143, ISNUMBER(
Master_Mapping_Sheet!$E$2:$E$3143),
Master_Mapping_Sheet!$C$2:$C$3143=L$1)))"),0.0)</f>
        <v>0</v>
      </c>
      <c r="M7" s="34">
        <f>IFERROR(__xludf.DUMMYFUNCTION("IF(ISNA(sum(filter(
Master_Mapping_Sheet!$E$2:$E$3143, ISNUMBER(
Master_Mapping_Sheet!$E$2:$E$3143),
Master_Mapping_Sheet!$C$2:$C$3143=M$1,
Master_Mapping_Sheet!$L$2:$L$3143=$A7))/sum(filter(
Master_Mapping_Sheet!$E$2:$E$3143, ISNUMBER(
Master_Mapping_She"&amp;"et!$E$2:$E$3143),
Master_Mapping_Sheet!$C$2:$C$3143=M$1))), 0, sum(filter(
Master_Mapping_Sheet!$E$2:$E$3143, ISNUMBER(
Master_Mapping_Sheet!$E$2:$E$3143),
Master_Mapping_Sheet!$C$2:$C$3143=M$1,
Master_Mapping_Sheet!$L$2:$L$3143=$A7))/sum(filter(
Master_M"&amp;"apping_Sheet!$E$2:$E$3143, ISNUMBER(
Master_Mapping_Sheet!$E$2:$E$3143),
Master_Mapping_Sheet!$C$2:$C$3143=M$1)))"),0.0)</f>
        <v>0</v>
      </c>
      <c r="N7" s="34">
        <f>IFERROR(__xludf.DUMMYFUNCTION("IF(ISNA(sum(filter(
Master_Mapping_Sheet!$E$2:$E$3143, ISNUMBER(
Master_Mapping_Sheet!$E$2:$E$3143),
Master_Mapping_Sheet!$C$2:$C$3143=N$1,
Master_Mapping_Sheet!$L$2:$L$3143=$A7))/sum(filter(
Master_Mapping_Sheet!$E$2:$E$3143, ISNUMBER(
Master_Mapping_She"&amp;"et!$E$2:$E$3143),
Master_Mapping_Sheet!$C$2:$C$3143=N$1))), 0, sum(filter(
Master_Mapping_Sheet!$E$2:$E$3143, ISNUMBER(
Master_Mapping_Sheet!$E$2:$E$3143),
Master_Mapping_Sheet!$C$2:$C$3143=N$1,
Master_Mapping_Sheet!$L$2:$L$3143=$A7))/sum(filter(
Master_M"&amp;"apping_Sheet!$E$2:$E$3143, ISNUMBER(
Master_Mapping_Sheet!$E$2:$E$3143),
Master_Mapping_Sheet!$C$2:$C$3143=N$1)))"),0.0)</f>
        <v>0</v>
      </c>
      <c r="O7" s="34">
        <f>IFERROR(__xludf.DUMMYFUNCTION("IF(ISNA(sum(filter(
Master_Mapping_Sheet!$E$2:$E$3143, ISNUMBER(
Master_Mapping_Sheet!$E$2:$E$3143),
Master_Mapping_Sheet!$C$2:$C$3143=O$1,
Master_Mapping_Sheet!$L$2:$L$3143=$A7))/sum(filter(
Master_Mapping_Sheet!$E$2:$E$3143, ISNUMBER(
Master_Mapping_She"&amp;"et!$E$2:$E$3143),
Master_Mapping_Sheet!$C$2:$C$3143=O$1))), 0, sum(filter(
Master_Mapping_Sheet!$E$2:$E$3143, ISNUMBER(
Master_Mapping_Sheet!$E$2:$E$3143),
Master_Mapping_Sheet!$C$2:$C$3143=O$1,
Master_Mapping_Sheet!$L$2:$L$3143=$A7))/sum(filter(
Master_M"&amp;"apping_Sheet!$E$2:$E$3143, ISNUMBER(
Master_Mapping_Sheet!$E$2:$E$3143),
Master_Mapping_Sheet!$C$2:$C$3143=O$1)))"),0.0)</f>
        <v>0</v>
      </c>
      <c r="P7" s="34">
        <f>IFERROR(__xludf.DUMMYFUNCTION("IF(ISNA(sum(filter(
Master_Mapping_Sheet!$E$2:$E$3143, ISNUMBER(
Master_Mapping_Sheet!$E$2:$E$3143),
Master_Mapping_Sheet!$C$2:$C$3143=P$1,
Master_Mapping_Sheet!$L$2:$L$3143=$A7))/sum(filter(
Master_Mapping_Sheet!$E$2:$E$3143, ISNUMBER(
Master_Mapping_She"&amp;"et!$E$2:$E$3143),
Master_Mapping_Sheet!$C$2:$C$3143=P$1))), 0, sum(filter(
Master_Mapping_Sheet!$E$2:$E$3143, ISNUMBER(
Master_Mapping_Sheet!$E$2:$E$3143),
Master_Mapping_Sheet!$C$2:$C$3143=P$1,
Master_Mapping_Sheet!$L$2:$L$3143=$A7))/sum(filter(
Master_M"&amp;"apping_Sheet!$E$2:$E$3143, ISNUMBER(
Master_Mapping_Sheet!$E$2:$E$3143),
Master_Mapping_Sheet!$C$2:$C$3143=P$1)))"),0.0)</f>
        <v>0</v>
      </c>
      <c r="Q7" s="34">
        <f>IFERROR(__xludf.DUMMYFUNCTION("IF(ISNA(sum(filter(
Master_Mapping_Sheet!$E$2:$E$3143, ISNUMBER(
Master_Mapping_Sheet!$E$2:$E$3143),
Master_Mapping_Sheet!$C$2:$C$3143=Q$1,
Master_Mapping_Sheet!$L$2:$L$3143=$A7))/sum(filter(
Master_Mapping_Sheet!$E$2:$E$3143, ISNUMBER(
Master_Mapping_She"&amp;"et!$E$2:$E$3143),
Master_Mapping_Sheet!$C$2:$C$3143=Q$1))), 0, sum(filter(
Master_Mapping_Sheet!$E$2:$E$3143, ISNUMBER(
Master_Mapping_Sheet!$E$2:$E$3143),
Master_Mapping_Sheet!$C$2:$C$3143=Q$1,
Master_Mapping_Sheet!$L$2:$L$3143=$A7))/sum(filter(
Master_M"&amp;"apping_Sheet!$E$2:$E$3143, ISNUMBER(
Master_Mapping_Sheet!$E$2:$E$3143),
Master_Mapping_Sheet!$C$2:$C$3143=Q$1)))"),0.0)</f>
        <v>0</v>
      </c>
      <c r="R7" s="34">
        <f>IFERROR(__xludf.DUMMYFUNCTION("IF(ISNA(sum(filter(
Master_Mapping_Sheet!$E$2:$E$3143, ISNUMBER(
Master_Mapping_Sheet!$E$2:$E$3143),
Master_Mapping_Sheet!$C$2:$C$3143=R$1,
Master_Mapping_Sheet!$L$2:$L$3143=$A7))/sum(filter(
Master_Mapping_Sheet!$E$2:$E$3143, ISNUMBER(
Master_Mapping_She"&amp;"et!$E$2:$E$3143),
Master_Mapping_Sheet!$C$2:$C$3143=R$1))), 0, sum(filter(
Master_Mapping_Sheet!$E$2:$E$3143, ISNUMBER(
Master_Mapping_Sheet!$E$2:$E$3143),
Master_Mapping_Sheet!$C$2:$C$3143=R$1,
Master_Mapping_Sheet!$L$2:$L$3143=$A7))/sum(filter(
Master_M"&amp;"apping_Sheet!$E$2:$E$3143, ISNUMBER(
Master_Mapping_Sheet!$E$2:$E$3143),
Master_Mapping_Sheet!$C$2:$C$3143=R$1)))"),0.0)</f>
        <v>0</v>
      </c>
      <c r="S7" s="34">
        <f>IFERROR(__xludf.DUMMYFUNCTION("IF(ISNA(sum(filter(
Master_Mapping_Sheet!$E$2:$E$3143, ISNUMBER(
Master_Mapping_Sheet!$E$2:$E$3143),
Master_Mapping_Sheet!$C$2:$C$3143=S$1,
Master_Mapping_Sheet!$L$2:$L$3143=$A7))/sum(filter(
Master_Mapping_Sheet!$E$2:$E$3143, ISNUMBER(
Master_Mapping_She"&amp;"et!$E$2:$E$3143),
Master_Mapping_Sheet!$C$2:$C$3143=S$1))), 0, sum(filter(
Master_Mapping_Sheet!$E$2:$E$3143, ISNUMBER(
Master_Mapping_Sheet!$E$2:$E$3143),
Master_Mapping_Sheet!$C$2:$C$3143=S$1,
Master_Mapping_Sheet!$L$2:$L$3143=$A7))/sum(filter(
Master_M"&amp;"apping_Sheet!$E$2:$E$3143, ISNUMBER(
Master_Mapping_Sheet!$E$2:$E$3143),
Master_Mapping_Sheet!$C$2:$C$3143=S$1)))"),0.0)</f>
        <v>0</v>
      </c>
      <c r="T7" s="34">
        <f>IFERROR(__xludf.DUMMYFUNCTION("IF(ISNA(sum(filter(
Master_Mapping_Sheet!$E$2:$E$3143, ISNUMBER(
Master_Mapping_Sheet!$E$2:$E$3143),
Master_Mapping_Sheet!$C$2:$C$3143=T$1,
Master_Mapping_Sheet!$L$2:$L$3143=$A7))/sum(filter(
Master_Mapping_Sheet!$E$2:$E$3143, ISNUMBER(
Master_Mapping_She"&amp;"et!$E$2:$E$3143),
Master_Mapping_Sheet!$C$2:$C$3143=T$1))), 0, sum(filter(
Master_Mapping_Sheet!$E$2:$E$3143, ISNUMBER(
Master_Mapping_Sheet!$E$2:$E$3143),
Master_Mapping_Sheet!$C$2:$C$3143=T$1,
Master_Mapping_Sheet!$L$2:$L$3143=$A7))/sum(filter(
Master_M"&amp;"apping_Sheet!$E$2:$E$3143, ISNUMBER(
Master_Mapping_Sheet!$E$2:$E$3143),
Master_Mapping_Sheet!$C$2:$C$3143=T$1)))"),0.0)</f>
        <v>0</v>
      </c>
      <c r="U7" s="34">
        <f>IFERROR(__xludf.DUMMYFUNCTION("IF(ISNA(sum(filter(
Master_Mapping_Sheet!$E$2:$E$3143, ISNUMBER(
Master_Mapping_Sheet!$E$2:$E$3143),
Master_Mapping_Sheet!$C$2:$C$3143=U$1,
Master_Mapping_Sheet!$L$2:$L$3143=$A7))/sum(filter(
Master_Mapping_Sheet!$E$2:$E$3143, ISNUMBER(
Master_Mapping_She"&amp;"et!$E$2:$E$3143),
Master_Mapping_Sheet!$C$2:$C$3143=U$1))), 0, sum(filter(
Master_Mapping_Sheet!$E$2:$E$3143, ISNUMBER(
Master_Mapping_Sheet!$E$2:$E$3143),
Master_Mapping_Sheet!$C$2:$C$3143=U$1,
Master_Mapping_Sheet!$L$2:$L$3143=$A7))/sum(filter(
Master_M"&amp;"apping_Sheet!$E$2:$E$3143, ISNUMBER(
Master_Mapping_Sheet!$E$2:$E$3143),
Master_Mapping_Sheet!$C$2:$C$3143=U$1)))"),0.0)</f>
        <v>0</v>
      </c>
      <c r="V7" s="34">
        <f>IFERROR(__xludf.DUMMYFUNCTION("IF(ISNA(sum(filter(
Master_Mapping_Sheet!$E$2:$E$3143, ISNUMBER(
Master_Mapping_Sheet!$E$2:$E$3143),
Master_Mapping_Sheet!$C$2:$C$3143=V$1,
Master_Mapping_Sheet!$L$2:$L$3143=$A7))/sum(filter(
Master_Mapping_Sheet!$E$2:$E$3143, ISNUMBER(
Master_Mapping_She"&amp;"et!$E$2:$E$3143),
Master_Mapping_Sheet!$C$2:$C$3143=V$1))), 0, sum(filter(
Master_Mapping_Sheet!$E$2:$E$3143, ISNUMBER(
Master_Mapping_Sheet!$E$2:$E$3143),
Master_Mapping_Sheet!$C$2:$C$3143=V$1,
Master_Mapping_Sheet!$L$2:$L$3143=$A7))/sum(filter(
Master_M"&amp;"apping_Sheet!$E$2:$E$3143, ISNUMBER(
Master_Mapping_Sheet!$E$2:$E$3143),
Master_Mapping_Sheet!$C$2:$C$3143=V$1)))"),0.0)</f>
        <v>0</v>
      </c>
      <c r="W7" s="34">
        <f>IFERROR(__xludf.DUMMYFUNCTION("IF(ISNA(sum(filter(
Master_Mapping_Sheet!$E$2:$E$3143, ISNUMBER(
Master_Mapping_Sheet!$E$2:$E$3143),
Master_Mapping_Sheet!$C$2:$C$3143=W$1,
Master_Mapping_Sheet!$L$2:$L$3143=$A7))/sum(filter(
Master_Mapping_Sheet!$E$2:$E$3143, ISNUMBER(
Master_Mapping_She"&amp;"et!$E$2:$E$3143),
Master_Mapping_Sheet!$C$2:$C$3143=W$1))), 0, sum(filter(
Master_Mapping_Sheet!$E$2:$E$3143, ISNUMBER(
Master_Mapping_Sheet!$E$2:$E$3143),
Master_Mapping_Sheet!$C$2:$C$3143=W$1,
Master_Mapping_Sheet!$L$2:$L$3143=$A7))/sum(filter(
Master_M"&amp;"apping_Sheet!$E$2:$E$3143, ISNUMBER(
Master_Mapping_Sheet!$E$2:$E$3143),
Master_Mapping_Sheet!$C$2:$C$3143=W$1)))"),0.0)</f>
        <v>0</v>
      </c>
      <c r="X7" s="34">
        <f>IFERROR(__xludf.DUMMYFUNCTION("IF(ISNA(sum(filter(
Master_Mapping_Sheet!$E$2:$E$3143, ISNUMBER(
Master_Mapping_Sheet!$E$2:$E$3143),
Master_Mapping_Sheet!$C$2:$C$3143=X$1,
Master_Mapping_Sheet!$L$2:$L$3143=$A7))/sum(filter(
Master_Mapping_Sheet!$E$2:$E$3143, ISNUMBER(
Master_Mapping_She"&amp;"et!$E$2:$E$3143),
Master_Mapping_Sheet!$C$2:$C$3143=X$1))), 0, sum(filter(
Master_Mapping_Sheet!$E$2:$E$3143, ISNUMBER(
Master_Mapping_Sheet!$E$2:$E$3143),
Master_Mapping_Sheet!$C$2:$C$3143=X$1,
Master_Mapping_Sheet!$L$2:$L$3143=$A7))/sum(filter(
Master_M"&amp;"apping_Sheet!$E$2:$E$3143, ISNUMBER(
Master_Mapping_Sheet!$E$2:$E$3143),
Master_Mapping_Sheet!$C$2:$C$3143=X$1)))"),0.0)</f>
        <v>0</v>
      </c>
      <c r="Y7" s="34">
        <f>IFERROR(__xludf.DUMMYFUNCTION("IF(ISNA(sum(filter(
Master_Mapping_Sheet!$E$2:$E$3143, ISNUMBER(
Master_Mapping_Sheet!$E$2:$E$3143),
Master_Mapping_Sheet!$C$2:$C$3143=Y$1,
Master_Mapping_Sheet!$L$2:$L$3143=$A7))/sum(filter(
Master_Mapping_Sheet!$E$2:$E$3143, ISNUMBER(
Master_Mapping_She"&amp;"et!$E$2:$E$3143),
Master_Mapping_Sheet!$C$2:$C$3143=Y$1))), 0, sum(filter(
Master_Mapping_Sheet!$E$2:$E$3143, ISNUMBER(
Master_Mapping_Sheet!$E$2:$E$3143),
Master_Mapping_Sheet!$C$2:$C$3143=Y$1,
Master_Mapping_Sheet!$L$2:$L$3143=$A7))/sum(filter(
Master_M"&amp;"apping_Sheet!$E$2:$E$3143, ISNUMBER(
Master_Mapping_Sheet!$E$2:$E$3143),
Master_Mapping_Sheet!$C$2:$C$3143=Y$1)))"),0.0)</f>
        <v>0</v>
      </c>
      <c r="Z7" s="34">
        <f>IFERROR(__xludf.DUMMYFUNCTION("IF(ISNA(sum(filter(
Master_Mapping_Sheet!$E$2:$E$3143, ISNUMBER(
Master_Mapping_Sheet!$E$2:$E$3143),
Master_Mapping_Sheet!$C$2:$C$3143=Z$1,
Master_Mapping_Sheet!$L$2:$L$3143=$A7))/sum(filter(
Master_Mapping_Sheet!$E$2:$E$3143, ISNUMBER(
Master_Mapping_She"&amp;"et!$E$2:$E$3143),
Master_Mapping_Sheet!$C$2:$C$3143=Z$1))), 0, sum(filter(
Master_Mapping_Sheet!$E$2:$E$3143, ISNUMBER(
Master_Mapping_Sheet!$E$2:$E$3143),
Master_Mapping_Sheet!$C$2:$C$3143=Z$1,
Master_Mapping_Sheet!$L$2:$L$3143=$A7))/sum(filter(
Master_M"&amp;"apping_Sheet!$E$2:$E$3143, ISNUMBER(
Master_Mapping_Sheet!$E$2:$E$3143),
Master_Mapping_Sheet!$C$2:$C$3143=Z$1)))"),0.0)</f>
        <v>0</v>
      </c>
      <c r="AA7" s="34">
        <f>IFERROR(__xludf.DUMMYFUNCTION("IF(ISNA(sum(filter(
Master_Mapping_Sheet!$E$2:$E$3143, ISNUMBER(
Master_Mapping_Sheet!$E$2:$E$3143),
Master_Mapping_Sheet!$C$2:$C$3143=AA$1,
Master_Mapping_Sheet!$L$2:$L$3143=$A7))/sum(filter(
Master_Mapping_Sheet!$E$2:$E$3143, ISNUMBER(
Master_Mapping_Sh"&amp;"eet!$E$2:$E$3143),
Master_Mapping_Sheet!$C$2:$C$3143=AA$1))), 0, sum(filter(
Master_Mapping_Sheet!$E$2:$E$3143, ISNUMBER(
Master_Mapping_Sheet!$E$2:$E$3143),
Master_Mapping_Sheet!$C$2:$C$3143=AA$1,
Master_Mapping_Sheet!$L$2:$L$3143=$A7))/sum(filter(
Maste"&amp;"r_Mapping_Sheet!$E$2:$E$3143, ISNUMBER(
Master_Mapping_Sheet!$E$2:$E$3143),
Master_Mapping_Sheet!$C$2:$C$3143=AA$1)))"),0.0)</f>
        <v>0</v>
      </c>
      <c r="AB7" s="34">
        <f>IFERROR(__xludf.DUMMYFUNCTION("IF(ISNA(sum(filter(
Master_Mapping_Sheet!$E$2:$E$3143, ISNUMBER(
Master_Mapping_Sheet!$E$2:$E$3143),
Master_Mapping_Sheet!$C$2:$C$3143=AB$1,
Master_Mapping_Sheet!$L$2:$L$3143=$A7))/sum(filter(
Master_Mapping_Sheet!$E$2:$E$3143, ISNUMBER(
Master_Mapping_Sh"&amp;"eet!$E$2:$E$3143),
Master_Mapping_Sheet!$C$2:$C$3143=AB$1))), 0, sum(filter(
Master_Mapping_Sheet!$E$2:$E$3143, ISNUMBER(
Master_Mapping_Sheet!$E$2:$E$3143),
Master_Mapping_Sheet!$C$2:$C$3143=AB$1,
Master_Mapping_Sheet!$L$2:$L$3143=$A7))/sum(filter(
Maste"&amp;"r_Mapping_Sheet!$E$2:$E$3143, ISNUMBER(
Master_Mapping_Sheet!$E$2:$E$3143),
Master_Mapping_Sheet!$C$2:$C$3143=AB$1)))"),0.0)</f>
        <v>0</v>
      </c>
      <c r="AC7" s="34">
        <f>IFERROR(__xludf.DUMMYFUNCTION("IF(ISNA(sum(filter(
Master_Mapping_Sheet!$E$2:$E$3143, ISNUMBER(
Master_Mapping_Sheet!$E$2:$E$3143),
Master_Mapping_Sheet!$C$2:$C$3143=AC$1,
Master_Mapping_Sheet!$L$2:$L$3143=$A7))/sum(filter(
Master_Mapping_Sheet!$E$2:$E$3143, ISNUMBER(
Master_Mapping_Sh"&amp;"eet!$E$2:$E$3143),
Master_Mapping_Sheet!$C$2:$C$3143=AC$1))), 0, sum(filter(
Master_Mapping_Sheet!$E$2:$E$3143, ISNUMBER(
Master_Mapping_Sheet!$E$2:$E$3143),
Master_Mapping_Sheet!$C$2:$C$3143=AC$1,
Master_Mapping_Sheet!$L$2:$L$3143=$A7))/sum(filter(
Maste"&amp;"r_Mapping_Sheet!$E$2:$E$3143, ISNUMBER(
Master_Mapping_Sheet!$E$2:$E$3143),
Master_Mapping_Sheet!$C$2:$C$3143=AC$1)))"),0.0)</f>
        <v>0</v>
      </c>
      <c r="AD7" s="34">
        <f>IFERROR(__xludf.DUMMYFUNCTION("IF(ISNA(sum(filter(
Master_Mapping_Sheet!$E$2:$E$3143, ISNUMBER(
Master_Mapping_Sheet!$E$2:$E$3143),
Master_Mapping_Sheet!$C$2:$C$3143=AD$1,
Master_Mapping_Sheet!$L$2:$L$3143=$A7))/sum(filter(
Master_Mapping_Sheet!$E$2:$E$3143, ISNUMBER(
Master_Mapping_Sh"&amp;"eet!$E$2:$E$3143),
Master_Mapping_Sheet!$C$2:$C$3143=AD$1))), 0, sum(filter(
Master_Mapping_Sheet!$E$2:$E$3143, ISNUMBER(
Master_Mapping_Sheet!$E$2:$E$3143),
Master_Mapping_Sheet!$C$2:$C$3143=AD$1,
Master_Mapping_Sheet!$L$2:$L$3143=$A7))/sum(filter(
Maste"&amp;"r_Mapping_Sheet!$E$2:$E$3143, ISNUMBER(
Master_Mapping_Sheet!$E$2:$E$3143),
Master_Mapping_Sheet!$C$2:$C$3143=AD$1)))"),0.0)</f>
        <v>0</v>
      </c>
      <c r="AE7" s="34">
        <f>IFERROR(__xludf.DUMMYFUNCTION("IF(ISNA(sum(filter(
Master_Mapping_Sheet!$E$2:$E$3143, ISNUMBER(
Master_Mapping_Sheet!$E$2:$E$3143),
Master_Mapping_Sheet!$C$2:$C$3143=AE$1,
Master_Mapping_Sheet!$L$2:$L$3143=$A7))/sum(filter(
Master_Mapping_Sheet!$E$2:$E$3143, ISNUMBER(
Master_Mapping_Sh"&amp;"eet!$E$2:$E$3143),
Master_Mapping_Sheet!$C$2:$C$3143=AE$1))), 0, sum(filter(
Master_Mapping_Sheet!$E$2:$E$3143, ISNUMBER(
Master_Mapping_Sheet!$E$2:$E$3143),
Master_Mapping_Sheet!$C$2:$C$3143=AE$1,
Master_Mapping_Sheet!$L$2:$L$3143=$A7))/sum(filter(
Maste"&amp;"r_Mapping_Sheet!$E$2:$E$3143, ISNUMBER(
Master_Mapping_Sheet!$E$2:$E$3143),
Master_Mapping_Sheet!$C$2:$C$3143=AE$1)))"),0.0)</f>
        <v>0</v>
      </c>
      <c r="AF7" s="34">
        <f>IFERROR(__xludf.DUMMYFUNCTION("IF(ISNA(sum(filter(
Master_Mapping_Sheet!$E$2:$E$3143, ISNUMBER(
Master_Mapping_Sheet!$E$2:$E$3143),
Master_Mapping_Sheet!$C$2:$C$3143=AF$1,
Master_Mapping_Sheet!$L$2:$L$3143=$A7))/sum(filter(
Master_Mapping_Sheet!$E$2:$E$3143, ISNUMBER(
Master_Mapping_Sh"&amp;"eet!$E$2:$E$3143),
Master_Mapping_Sheet!$C$2:$C$3143=AF$1))), 0, sum(filter(
Master_Mapping_Sheet!$E$2:$E$3143, ISNUMBER(
Master_Mapping_Sheet!$E$2:$E$3143),
Master_Mapping_Sheet!$C$2:$C$3143=AF$1,
Master_Mapping_Sheet!$L$2:$L$3143=$A7))/sum(filter(
Maste"&amp;"r_Mapping_Sheet!$E$2:$E$3143, ISNUMBER(
Master_Mapping_Sheet!$E$2:$E$3143),
Master_Mapping_Sheet!$C$2:$C$3143=AF$1)))"),0.0)</f>
        <v>0</v>
      </c>
      <c r="AG7" s="34">
        <f>IFERROR(__xludf.DUMMYFUNCTION("IF(ISNA(sum(filter(
Master_Mapping_Sheet!$E$2:$E$3143, ISNUMBER(
Master_Mapping_Sheet!$E$2:$E$3143),
Master_Mapping_Sheet!$C$2:$C$3143=AG$1,
Master_Mapping_Sheet!$L$2:$L$3143=$A7))/sum(filter(
Master_Mapping_Sheet!$E$2:$E$3143, ISNUMBER(
Master_Mapping_Sh"&amp;"eet!$E$2:$E$3143),
Master_Mapping_Sheet!$C$2:$C$3143=AG$1))), 0, sum(filter(
Master_Mapping_Sheet!$E$2:$E$3143, ISNUMBER(
Master_Mapping_Sheet!$E$2:$E$3143),
Master_Mapping_Sheet!$C$2:$C$3143=AG$1,
Master_Mapping_Sheet!$L$2:$L$3143=$A7))/sum(filter(
Maste"&amp;"r_Mapping_Sheet!$E$2:$E$3143, ISNUMBER(
Master_Mapping_Sheet!$E$2:$E$3143),
Master_Mapping_Sheet!$C$2:$C$3143=AG$1)))"),0.0)</f>
        <v>0</v>
      </c>
      <c r="AH7" s="34">
        <f>IFERROR(__xludf.DUMMYFUNCTION("IF(ISNA(sum(filter(
Master_Mapping_Sheet!$E$2:$E$3143, ISNUMBER(
Master_Mapping_Sheet!$E$2:$E$3143),
Master_Mapping_Sheet!$C$2:$C$3143=AH$1,
Master_Mapping_Sheet!$L$2:$L$3143=$A7))/sum(filter(
Master_Mapping_Sheet!$E$2:$E$3143, ISNUMBER(
Master_Mapping_Sh"&amp;"eet!$E$2:$E$3143),
Master_Mapping_Sheet!$C$2:$C$3143=AH$1))), 0, sum(filter(
Master_Mapping_Sheet!$E$2:$E$3143, ISNUMBER(
Master_Mapping_Sheet!$E$2:$E$3143),
Master_Mapping_Sheet!$C$2:$C$3143=AH$1,
Master_Mapping_Sheet!$L$2:$L$3143=$A7))/sum(filter(
Maste"&amp;"r_Mapping_Sheet!$E$2:$E$3143, ISNUMBER(
Master_Mapping_Sheet!$E$2:$E$3143),
Master_Mapping_Sheet!$C$2:$C$3143=AH$1)))"),0.0)</f>
        <v>0</v>
      </c>
      <c r="AI7" s="34">
        <f>IFERROR(__xludf.DUMMYFUNCTION("IF(ISNA(sum(filter(
Master_Mapping_Sheet!$E$2:$E$3143, ISNUMBER(
Master_Mapping_Sheet!$E$2:$E$3143),
Master_Mapping_Sheet!$C$2:$C$3143=AI$1,
Master_Mapping_Sheet!$L$2:$L$3143=$A7))/sum(filter(
Master_Mapping_Sheet!$E$2:$E$3143, ISNUMBER(
Master_Mapping_Sh"&amp;"eet!$E$2:$E$3143),
Master_Mapping_Sheet!$C$2:$C$3143=AI$1))), 0, sum(filter(
Master_Mapping_Sheet!$E$2:$E$3143, ISNUMBER(
Master_Mapping_Sheet!$E$2:$E$3143),
Master_Mapping_Sheet!$C$2:$C$3143=AI$1,
Master_Mapping_Sheet!$L$2:$L$3143=$A7))/sum(filter(
Maste"&amp;"r_Mapping_Sheet!$E$2:$E$3143, ISNUMBER(
Master_Mapping_Sheet!$E$2:$E$3143),
Master_Mapping_Sheet!$C$2:$C$3143=AI$1)))"),0.0)</f>
        <v>0</v>
      </c>
      <c r="AJ7" s="34">
        <f>IFERROR(__xludf.DUMMYFUNCTION("IF(ISNA(sum(filter(
Master_Mapping_Sheet!$E$2:$E$3143, ISNUMBER(
Master_Mapping_Sheet!$E$2:$E$3143),
Master_Mapping_Sheet!$C$2:$C$3143=AJ$1,
Master_Mapping_Sheet!$L$2:$L$3143=$A7))/sum(filter(
Master_Mapping_Sheet!$E$2:$E$3143, ISNUMBER(
Master_Mapping_Sh"&amp;"eet!$E$2:$E$3143),
Master_Mapping_Sheet!$C$2:$C$3143=AJ$1))), 0, sum(filter(
Master_Mapping_Sheet!$E$2:$E$3143, ISNUMBER(
Master_Mapping_Sheet!$E$2:$E$3143),
Master_Mapping_Sheet!$C$2:$C$3143=AJ$1,
Master_Mapping_Sheet!$L$2:$L$3143=$A7))/sum(filter(
Maste"&amp;"r_Mapping_Sheet!$E$2:$E$3143, ISNUMBER(
Master_Mapping_Sheet!$E$2:$E$3143),
Master_Mapping_Sheet!$C$2:$C$3143=AJ$1)))"),0.0)</f>
        <v>0</v>
      </c>
      <c r="AK7" s="34">
        <f>IFERROR(__xludf.DUMMYFUNCTION("IF(ISNA(sum(filter(
Master_Mapping_Sheet!$E$2:$E$3143, ISNUMBER(
Master_Mapping_Sheet!$E$2:$E$3143),
Master_Mapping_Sheet!$C$2:$C$3143=AK$1,
Master_Mapping_Sheet!$L$2:$L$3143=$A7))/sum(filter(
Master_Mapping_Sheet!$E$2:$E$3143, ISNUMBER(
Master_Mapping_Sh"&amp;"eet!$E$2:$E$3143),
Master_Mapping_Sheet!$C$2:$C$3143=AK$1))), 0, sum(filter(
Master_Mapping_Sheet!$E$2:$E$3143, ISNUMBER(
Master_Mapping_Sheet!$E$2:$E$3143),
Master_Mapping_Sheet!$C$2:$C$3143=AK$1,
Master_Mapping_Sheet!$L$2:$L$3143=$A7))/sum(filter(
Maste"&amp;"r_Mapping_Sheet!$E$2:$E$3143, ISNUMBER(
Master_Mapping_Sheet!$E$2:$E$3143),
Master_Mapping_Sheet!$C$2:$C$3143=AK$1)))"),0.0)</f>
        <v>0</v>
      </c>
      <c r="AL7" s="34">
        <f>IFERROR(__xludf.DUMMYFUNCTION("IF(ISNA(sum(filter(
Master_Mapping_Sheet!$E$2:$E$3143, ISNUMBER(
Master_Mapping_Sheet!$E$2:$E$3143),
Master_Mapping_Sheet!$C$2:$C$3143=AL$1,
Master_Mapping_Sheet!$L$2:$L$3143=$A7))/sum(filter(
Master_Mapping_Sheet!$E$2:$E$3143, ISNUMBER(
Master_Mapping_Sh"&amp;"eet!$E$2:$E$3143),
Master_Mapping_Sheet!$C$2:$C$3143=AL$1))), 0, sum(filter(
Master_Mapping_Sheet!$E$2:$E$3143, ISNUMBER(
Master_Mapping_Sheet!$E$2:$E$3143),
Master_Mapping_Sheet!$C$2:$C$3143=AL$1,
Master_Mapping_Sheet!$L$2:$L$3143=$A7))/sum(filter(
Maste"&amp;"r_Mapping_Sheet!$E$2:$E$3143, ISNUMBER(
Master_Mapping_Sheet!$E$2:$E$3143),
Master_Mapping_Sheet!$C$2:$C$3143=AL$1)))"),0.0)</f>
        <v>0</v>
      </c>
      <c r="AM7" s="34">
        <f>IFERROR(__xludf.DUMMYFUNCTION("IF(ISNA(sum(filter(
Master_Mapping_Sheet!$E$2:$E$3143, ISNUMBER(
Master_Mapping_Sheet!$E$2:$E$3143),
Master_Mapping_Sheet!$C$2:$C$3143=AM$1,
Master_Mapping_Sheet!$L$2:$L$3143=$A7))/sum(filter(
Master_Mapping_Sheet!$E$2:$E$3143, ISNUMBER(
Master_Mapping_Sh"&amp;"eet!$E$2:$E$3143),
Master_Mapping_Sheet!$C$2:$C$3143=AM$1))), 0, sum(filter(
Master_Mapping_Sheet!$E$2:$E$3143, ISNUMBER(
Master_Mapping_Sheet!$E$2:$E$3143),
Master_Mapping_Sheet!$C$2:$C$3143=AM$1,
Master_Mapping_Sheet!$L$2:$L$3143=$A7))/sum(filter(
Maste"&amp;"r_Mapping_Sheet!$E$2:$E$3143, ISNUMBER(
Master_Mapping_Sheet!$E$2:$E$3143),
Master_Mapping_Sheet!$C$2:$C$3143=AM$1)))"),0.0)</f>
        <v>0</v>
      </c>
      <c r="AN7" s="34">
        <f>IFERROR(__xludf.DUMMYFUNCTION("IF(ISNA(sum(filter(
Master_Mapping_Sheet!$E$2:$E$3143, ISNUMBER(
Master_Mapping_Sheet!$E$2:$E$3143),
Master_Mapping_Sheet!$C$2:$C$3143=AN$1,
Master_Mapping_Sheet!$L$2:$L$3143=$A7))/sum(filter(
Master_Mapping_Sheet!$E$2:$E$3143, ISNUMBER(
Master_Mapping_Sh"&amp;"eet!$E$2:$E$3143),
Master_Mapping_Sheet!$C$2:$C$3143=AN$1))), 0, sum(filter(
Master_Mapping_Sheet!$E$2:$E$3143, ISNUMBER(
Master_Mapping_Sheet!$E$2:$E$3143),
Master_Mapping_Sheet!$C$2:$C$3143=AN$1,
Master_Mapping_Sheet!$L$2:$L$3143=$A7))/sum(filter(
Maste"&amp;"r_Mapping_Sheet!$E$2:$E$3143, ISNUMBER(
Master_Mapping_Sheet!$E$2:$E$3143),
Master_Mapping_Sheet!$C$2:$C$3143=AN$1)))"),0.0)</f>
        <v>0</v>
      </c>
      <c r="AO7" s="34">
        <f>IFERROR(__xludf.DUMMYFUNCTION("IF(ISNA(sum(filter(
Master_Mapping_Sheet!$E$2:$E$3143, ISNUMBER(
Master_Mapping_Sheet!$E$2:$E$3143),
Master_Mapping_Sheet!$C$2:$C$3143=AO$1,
Master_Mapping_Sheet!$L$2:$L$3143=$A7))/sum(filter(
Master_Mapping_Sheet!$E$2:$E$3143, ISNUMBER(
Master_Mapping_Sh"&amp;"eet!$E$2:$E$3143),
Master_Mapping_Sheet!$C$2:$C$3143=AO$1))), 0, sum(filter(
Master_Mapping_Sheet!$E$2:$E$3143, ISNUMBER(
Master_Mapping_Sheet!$E$2:$E$3143),
Master_Mapping_Sheet!$C$2:$C$3143=AO$1,
Master_Mapping_Sheet!$L$2:$L$3143=$A7))/sum(filter(
Maste"&amp;"r_Mapping_Sheet!$E$2:$E$3143, ISNUMBER(
Master_Mapping_Sheet!$E$2:$E$3143),
Master_Mapping_Sheet!$C$2:$C$3143=AO$1)))"),0.0)</f>
        <v>0</v>
      </c>
      <c r="AP7" s="34">
        <f>IFERROR(__xludf.DUMMYFUNCTION("IF(ISNA(sum(filter(
Master_Mapping_Sheet!$E$2:$E$3143, ISNUMBER(
Master_Mapping_Sheet!$E$2:$E$3143),
Master_Mapping_Sheet!$C$2:$C$3143=AP$1,
Master_Mapping_Sheet!$L$2:$L$3143=$A7))/sum(filter(
Master_Mapping_Sheet!$E$2:$E$3143, ISNUMBER(
Master_Mapping_Sh"&amp;"eet!$E$2:$E$3143),
Master_Mapping_Sheet!$C$2:$C$3143=AP$1))), 0, sum(filter(
Master_Mapping_Sheet!$E$2:$E$3143, ISNUMBER(
Master_Mapping_Sheet!$E$2:$E$3143),
Master_Mapping_Sheet!$C$2:$C$3143=AP$1,
Master_Mapping_Sheet!$L$2:$L$3143=$A7))/sum(filter(
Maste"&amp;"r_Mapping_Sheet!$E$2:$E$3143, ISNUMBER(
Master_Mapping_Sheet!$E$2:$E$3143),
Master_Mapping_Sheet!$C$2:$C$3143=AP$1)))"),0.0)</f>
        <v>0</v>
      </c>
      <c r="AQ7" s="34">
        <f>IFERROR(__xludf.DUMMYFUNCTION("IF(ISNA(sum(filter(
Master_Mapping_Sheet!$E$2:$E$3143, ISNUMBER(
Master_Mapping_Sheet!$E$2:$E$3143),
Master_Mapping_Sheet!$C$2:$C$3143=AQ$1,
Master_Mapping_Sheet!$L$2:$L$3143=$A7))/sum(filter(
Master_Mapping_Sheet!$E$2:$E$3143, ISNUMBER(
Master_Mapping_Sh"&amp;"eet!$E$2:$E$3143),
Master_Mapping_Sheet!$C$2:$C$3143=AQ$1))), 0, sum(filter(
Master_Mapping_Sheet!$E$2:$E$3143, ISNUMBER(
Master_Mapping_Sheet!$E$2:$E$3143),
Master_Mapping_Sheet!$C$2:$C$3143=AQ$1,
Master_Mapping_Sheet!$L$2:$L$3143=$A7))/sum(filter(
Maste"&amp;"r_Mapping_Sheet!$E$2:$E$3143, ISNUMBER(
Master_Mapping_Sheet!$E$2:$E$3143),
Master_Mapping_Sheet!$C$2:$C$3143=AQ$1)))"),0.0)</f>
        <v>0</v>
      </c>
      <c r="AR7" s="34">
        <f>IFERROR(__xludf.DUMMYFUNCTION("IF(ISNA(sum(filter(
Master_Mapping_Sheet!$E$2:$E$3143, ISNUMBER(
Master_Mapping_Sheet!$E$2:$E$3143),
Master_Mapping_Sheet!$C$2:$C$3143=AR$1,
Master_Mapping_Sheet!$L$2:$L$3143=$A7))/sum(filter(
Master_Mapping_Sheet!$E$2:$E$3143, ISNUMBER(
Master_Mapping_Sh"&amp;"eet!$E$2:$E$3143),
Master_Mapping_Sheet!$C$2:$C$3143=AR$1))), 0, sum(filter(
Master_Mapping_Sheet!$E$2:$E$3143, ISNUMBER(
Master_Mapping_Sheet!$E$2:$E$3143),
Master_Mapping_Sheet!$C$2:$C$3143=AR$1,
Master_Mapping_Sheet!$L$2:$L$3143=$A7))/sum(filter(
Maste"&amp;"r_Mapping_Sheet!$E$2:$E$3143, ISNUMBER(
Master_Mapping_Sheet!$E$2:$E$3143),
Master_Mapping_Sheet!$C$2:$C$3143=AR$1)))"),0.0)</f>
        <v>0</v>
      </c>
      <c r="AS7" s="34">
        <f>IFERROR(__xludf.DUMMYFUNCTION("IF(ISNA(sum(filter(
Master_Mapping_Sheet!$E$2:$E$3143, ISNUMBER(
Master_Mapping_Sheet!$E$2:$E$3143),
Master_Mapping_Sheet!$C$2:$C$3143=AS$1,
Master_Mapping_Sheet!$L$2:$L$3143=$A7))/sum(filter(
Master_Mapping_Sheet!$E$2:$E$3143, ISNUMBER(
Master_Mapping_Sh"&amp;"eet!$E$2:$E$3143),
Master_Mapping_Sheet!$C$2:$C$3143=AS$1))), 0, sum(filter(
Master_Mapping_Sheet!$E$2:$E$3143, ISNUMBER(
Master_Mapping_Sheet!$E$2:$E$3143),
Master_Mapping_Sheet!$C$2:$C$3143=AS$1,
Master_Mapping_Sheet!$L$2:$L$3143=$A7))/sum(filter(
Maste"&amp;"r_Mapping_Sheet!$E$2:$E$3143, ISNUMBER(
Master_Mapping_Sheet!$E$2:$E$3143),
Master_Mapping_Sheet!$C$2:$C$3143=AS$1)))"),0.0)</f>
        <v>0</v>
      </c>
      <c r="AT7" s="34">
        <f>IFERROR(__xludf.DUMMYFUNCTION("IF(ISNA(sum(filter(
Master_Mapping_Sheet!$E$2:$E$3143, ISNUMBER(
Master_Mapping_Sheet!$E$2:$E$3143),
Master_Mapping_Sheet!$C$2:$C$3143=AT$1,
Master_Mapping_Sheet!$L$2:$L$3143=$A7))/sum(filter(
Master_Mapping_Sheet!$E$2:$E$3143, ISNUMBER(
Master_Mapping_Sh"&amp;"eet!$E$2:$E$3143),
Master_Mapping_Sheet!$C$2:$C$3143=AT$1))), 0, sum(filter(
Master_Mapping_Sheet!$E$2:$E$3143, ISNUMBER(
Master_Mapping_Sheet!$E$2:$E$3143),
Master_Mapping_Sheet!$C$2:$C$3143=AT$1,
Master_Mapping_Sheet!$L$2:$L$3143=$A7))/sum(filter(
Maste"&amp;"r_Mapping_Sheet!$E$2:$E$3143, ISNUMBER(
Master_Mapping_Sheet!$E$2:$E$3143),
Master_Mapping_Sheet!$C$2:$C$3143=AT$1)))"),0.0)</f>
        <v>0</v>
      </c>
      <c r="AU7" s="34">
        <f>IFERROR(__xludf.DUMMYFUNCTION("IF(ISNA(sum(filter(
Master_Mapping_Sheet!$E$2:$E$3143, ISNUMBER(
Master_Mapping_Sheet!$E$2:$E$3143),
Master_Mapping_Sheet!$C$2:$C$3143=AU$1,
Master_Mapping_Sheet!$L$2:$L$3143=$A7))/sum(filter(
Master_Mapping_Sheet!$E$2:$E$3143, ISNUMBER(
Master_Mapping_Sh"&amp;"eet!$E$2:$E$3143),
Master_Mapping_Sheet!$C$2:$C$3143=AU$1))), 0, sum(filter(
Master_Mapping_Sheet!$E$2:$E$3143, ISNUMBER(
Master_Mapping_Sheet!$E$2:$E$3143),
Master_Mapping_Sheet!$C$2:$C$3143=AU$1,
Master_Mapping_Sheet!$L$2:$L$3143=$A7))/sum(filter(
Maste"&amp;"r_Mapping_Sheet!$E$2:$E$3143, ISNUMBER(
Master_Mapping_Sheet!$E$2:$E$3143),
Master_Mapping_Sheet!$C$2:$C$3143=AU$1)))"),0.0)</f>
        <v>0</v>
      </c>
      <c r="AV7" s="34">
        <f>IFERROR(__xludf.DUMMYFUNCTION("IF(ISNA(sum(filter(
Master_Mapping_Sheet!$E$2:$E$3143, ISNUMBER(
Master_Mapping_Sheet!$E$2:$E$3143),
Master_Mapping_Sheet!$C$2:$C$3143=AV$1,
Master_Mapping_Sheet!$L$2:$L$3143=$A7))/sum(filter(
Master_Mapping_Sheet!$E$2:$E$3143, ISNUMBER(
Master_Mapping_Sh"&amp;"eet!$E$2:$E$3143),
Master_Mapping_Sheet!$C$2:$C$3143=AV$1))), 0, sum(filter(
Master_Mapping_Sheet!$E$2:$E$3143, ISNUMBER(
Master_Mapping_Sheet!$E$2:$E$3143),
Master_Mapping_Sheet!$C$2:$C$3143=AV$1,
Master_Mapping_Sheet!$L$2:$L$3143=$A7))/sum(filter(
Maste"&amp;"r_Mapping_Sheet!$E$2:$E$3143, ISNUMBER(
Master_Mapping_Sheet!$E$2:$E$3143),
Master_Mapping_Sheet!$C$2:$C$3143=AV$1)))"),0.0)</f>
        <v>0</v>
      </c>
      <c r="AW7" s="34">
        <f>IFERROR(__xludf.DUMMYFUNCTION("IF(ISNA(sum(filter(
Master_Mapping_Sheet!$E$2:$E$3143, ISNUMBER(
Master_Mapping_Sheet!$E$2:$E$3143),
Master_Mapping_Sheet!$C$2:$C$3143=AW$1,
Master_Mapping_Sheet!$L$2:$L$3143=$A7))/sum(filter(
Master_Mapping_Sheet!$E$2:$E$3143, ISNUMBER(
Master_Mapping_Sh"&amp;"eet!$E$2:$E$3143),
Master_Mapping_Sheet!$C$2:$C$3143=AW$1))), 0, sum(filter(
Master_Mapping_Sheet!$E$2:$E$3143, ISNUMBER(
Master_Mapping_Sheet!$E$2:$E$3143),
Master_Mapping_Sheet!$C$2:$C$3143=AW$1,
Master_Mapping_Sheet!$L$2:$L$3143=$A7))/sum(filter(
Maste"&amp;"r_Mapping_Sheet!$E$2:$E$3143, ISNUMBER(
Master_Mapping_Sheet!$E$2:$E$3143),
Master_Mapping_Sheet!$C$2:$C$3143=AW$1)))"),0.0)</f>
        <v>0</v>
      </c>
      <c r="AX7" s="34">
        <f>IFERROR(__xludf.DUMMYFUNCTION("IF(ISNA(sum(filter(
Master_Mapping_Sheet!$E$2:$E$3143, ISNUMBER(
Master_Mapping_Sheet!$E$2:$E$3143),
Master_Mapping_Sheet!$C$2:$C$3143=AX$1,
Master_Mapping_Sheet!$L$2:$L$3143=$A7))/sum(filter(
Master_Mapping_Sheet!$E$2:$E$3143, ISNUMBER(
Master_Mapping_Sh"&amp;"eet!$E$2:$E$3143),
Master_Mapping_Sheet!$C$2:$C$3143=AX$1))), 0, sum(filter(
Master_Mapping_Sheet!$E$2:$E$3143, ISNUMBER(
Master_Mapping_Sheet!$E$2:$E$3143),
Master_Mapping_Sheet!$C$2:$C$3143=AX$1,
Master_Mapping_Sheet!$L$2:$L$3143=$A7))/sum(filter(
Maste"&amp;"r_Mapping_Sheet!$E$2:$E$3143, ISNUMBER(
Master_Mapping_Sheet!$E$2:$E$3143),
Master_Mapping_Sheet!$C$2:$C$3143=AX$1)))"),0.0)</f>
        <v>0</v>
      </c>
      <c r="AY7" s="34">
        <f>IFERROR(__xludf.DUMMYFUNCTION("IF(ISNA(sum(filter(
Master_Mapping_Sheet!$E$2:$E$3143, ISNUMBER(
Master_Mapping_Sheet!$E$2:$E$3143),
Master_Mapping_Sheet!$C$2:$C$3143=AY$1,
Master_Mapping_Sheet!$L$2:$L$3143=$A7))/sum(filter(
Master_Mapping_Sheet!$E$2:$E$3143, ISNUMBER(
Master_Mapping_Sh"&amp;"eet!$E$2:$E$3143),
Master_Mapping_Sheet!$C$2:$C$3143=AY$1))), 0, sum(filter(
Master_Mapping_Sheet!$E$2:$E$3143, ISNUMBER(
Master_Mapping_Sheet!$E$2:$E$3143),
Master_Mapping_Sheet!$C$2:$C$3143=AY$1,
Master_Mapping_Sheet!$L$2:$L$3143=$A7))/sum(filter(
Maste"&amp;"r_Mapping_Sheet!$E$2:$E$3143, ISNUMBER(
Master_Mapping_Sheet!$E$2:$E$3143),
Master_Mapping_Sheet!$C$2:$C$3143=AY$1)))"),0.0)</f>
        <v>0</v>
      </c>
      <c r="AZ7" s="34">
        <f>IFERROR(__xludf.DUMMYFUNCTION("IF(ISNA(sum(filter(
Master_Mapping_Sheet!$E$2:$E$3143, ISNUMBER(
Master_Mapping_Sheet!$E$2:$E$3143),
Master_Mapping_Sheet!$C$2:$C$3143=AZ$1,
Master_Mapping_Sheet!$L$2:$L$3143=$A7))/sum(filter(
Master_Mapping_Sheet!$E$2:$E$3143, ISNUMBER(
Master_Mapping_Sh"&amp;"eet!$E$2:$E$3143),
Master_Mapping_Sheet!$C$2:$C$3143=AZ$1))), 0, sum(filter(
Master_Mapping_Sheet!$E$2:$E$3143, ISNUMBER(
Master_Mapping_Sheet!$E$2:$E$3143),
Master_Mapping_Sheet!$C$2:$C$3143=AZ$1,
Master_Mapping_Sheet!$L$2:$L$3143=$A7))/sum(filter(
Maste"&amp;"r_Mapping_Sheet!$E$2:$E$3143, ISNUMBER(
Master_Mapping_Sheet!$E$2:$E$3143),
Master_Mapping_Sheet!$C$2:$C$3143=AZ$1)))"),0.0)</f>
        <v>0</v>
      </c>
    </row>
    <row r="8" ht="15.75" customHeight="1">
      <c r="A8" s="32" t="s">
        <v>223</v>
      </c>
      <c r="B8" s="34">
        <f>IFERROR(__xludf.DUMMYFUNCTION("IF(ISNA(sum(filter(
Master_Mapping_Sheet!$E$2:$E$3143, ISNUMBER(
Master_Mapping_Sheet!$E$2:$E$3143),
Master_Mapping_Sheet!$C$2:$C$3143=B$1,
Master_Mapping_Sheet!$L$2:$L$3143=$A8))/sum(filter(
Master_Mapping_Sheet!$E$2:$E$3143, ISNUMBER(
Master_Mapping_She"&amp;"et!$E$2:$E$3143),
Master_Mapping_Sheet!$C$2:$C$3143=B$1))), 0, sum(filter(
Master_Mapping_Sheet!$E$2:$E$3143, ISNUMBER(
Master_Mapping_Sheet!$E$2:$E$3143),
Master_Mapping_Sheet!$C$2:$C$3143=B$1,
Master_Mapping_Sheet!$L$2:$L$3143=$A8))/sum(filter(
Master_M"&amp;"apping_Sheet!$E$2:$E$3143, ISNUMBER(
Master_Mapping_Sheet!$E$2:$E$3143),
Master_Mapping_Sheet!$C$2:$C$3143=B$1)))"),0.0)</f>
        <v>0</v>
      </c>
      <c r="C8" s="34">
        <f>IFERROR(__xludf.DUMMYFUNCTION("IF(ISNA(sum(filter(
Master_Mapping_Sheet!$E$2:$E$3143, ISNUMBER(
Master_Mapping_Sheet!$E$2:$E$3143),
Master_Mapping_Sheet!$C$2:$C$3143=C$1,
Master_Mapping_Sheet!$L$2:$L$3143=$A8))/sum(filter(
Master_Mapping_Sheet!$E$2:$E$3143, ISNUMBER(
Master_Mapping_She"&amp;"et!$E$2:$E$3143),
Master_Mapping_Sheet!$C$2:$C$3143=C$1))), 0, sum(filter(
Master_Mapping_Sheet!$E$2:$E$3143, ISNUMBER(
Master_Mapping_Sheet!$E$2:$E$3143),
Master_Mapping_Sheet!$C$2:$C$3143=C$1,
Master_Mapping_Sheet!$L$2:$L$3143=$A8))/sum(filter(
Master_M"&amp;"apping_Sheet!$E$2:$E$3143, ISNUMBER(
Master_Mapping_Sheet!$E$2:$E$3143),
Master_Mapping_Sheet!$C$2:$C$3143=C$1)))"),0.0)</f>
        <v>0</v>
      </c>
      <c r="D8" s="34">
        <f>IFERROR(__xludf.DUMMYFUNCTION("IF(ISNA(sum(filter(
Master_Mapping_Sheet!$E$2:$E$3143, ISNUMBER(
Master_Mapping_Sheet!$E$2:$E$3143),
Master_Mapping_Sheet!$C$2:$C$3143=D$1,
Master_Mapping_Sheet!$L$2:$L$3143=$A8))/sum(filter(
Master_Mapping_Sheet!$E$2:$E$3143, ISNUMBER(
Master_Mapping_She"&amp;"et!$E$2:$E$3143),
Master_Mapping_Sheet!$C$2:$C$3143=D$1))), 0, sum(filter(
Master_Mapping_Sheet!$E$2:$E$3143, ISNUMBER(
Master_Mapping_Sheet!$E$2:$E$3143),
Master_Mapping_Sheet!$C$2:$C$3143=D$1,
Master_Mapping_Sheet!$L$2:$L$3143=$A8))/sum(filter(
Master_M"&amp;"apping_Sheet!$E$2:$E$3143, ISNUMBER(
Master_Mapping_Sheet!$E$2:$E$3143),
Master_Mapping_Sheet!$C$2:$C$3143=D$1)))"),0.0)</f>
        <v>0</v>
      </c>
      <c r="E8" s="34">
        <f>IFERROR(__xludf.DUMMYFUNCTION("IF(ISNA(sum(filter(
Master_Mapping_Sheet!$E$2:$E$3143, ISNUMBER(
Master_Mapping_Sheet!$E$2:$E$3143),
Master_Mapping_Sheet!$C$2:$C$3143=E$1,
Master_Mapping_Sheet!$L$2:$L$3143=$A8))/sum(filter(
Master_Mapping_Sheet!$E$2:$E$3143, ISNUMBER(
Master_Mapping_She"&amp;"et!$E$2:$E$3143),
Master_Mapping_Sheet!$C$2:$C$3143=E$1))), 0, sum(filter(
Master_Mapping_Sheet!$E$2:$E$3143, ISNUMBER(
Master_Mapping_Sheet!$E$2:$E$3143),
Master_Mapping_Sheet!$C$2:$C$3143=E$1,
Master_Mapping_Sheet!$L$2:$L$3143=$A8))/sum(filter(
Master_M"&amp;"apping_Sheet!$E$2:$E$3143, ISNUMBER(
Master_Mapping_Sheet!$E$2:$E$3143),
Master_Mapping_Sheet!$C$2:$C$3143=E$1)))"),0.25171951135236065)</f>
        <v>0.2517195114</v>
      </c>
      <c r="F8" s="34">
        <f>IFERROR(__xludf.DUMMYFUNCTION("IF(ISNA(sum(filter(
Master_Mapping_Sheet!$E$2:$E$3143, ISNUMBER(
Master_Mapping_Sheet!$E$2:$E$3143),
Master_Mapping_Sheet!$C$2:$C$3143=F$1,
Master_Mapping_Sheet!$L$2:$L$3143=$A8))/sum(filter(
Master_Mapping_Sheet!$E$2:$E$3143, ISNUMBER(
Master_Mapping_She"&amp;"et!$E$2:$E$3143),
Master_Mapping_Sheet!$C$2:$C$3143=F$1))), 0, sum(filter(
Master_Mapping_Sheet!$E$2:$E$3143, ISNUMBER(
Master_Mapping_Sheet!$E$2:$E$3143),
Master_Mapping_Sheet!$C$2:$C$3143=F$1,
Master_Mapping_Sheet!$L$2:$L$3143=$A8))/sum(filter(
Master_M"&amp;"apping_Sheet!$E$2:$E$3143, ISNUMBER(
Master_Mapping_Sheet!$E$2:$E$3143),
Master_Mapping_Sheet!$C$2:$C$3143=F$1)))"),0.0)</f>
        <v>0</v>
      </c>
      <c r="G8" s="34">
        <f>IFERROR(__xludf.DUMMYFUNCTION("IF(ISNA(sum(filter(
Master_Mapping_Sheet!$E$2:$E$3143, ISNUMBER(
Master_Mapping_Sheet!$E$2:$E$3143),
Master_Mapping_Sheet!$C$2:$C$3143=G$1,
Master_Mapping_Sheet!$L$2:$L$3143=$A8))/sum(filter(
Master_Mapping_Sheet!$E$2:$E$3143, ISNUMBER(
Master_Mapping_She"&amp;"et!$E$2:$E$3143),
Master_Mapping_Sheet!$C$2:$C$3143=G$1))), 0, sum(filter(
Master_Mapping_Sheet!$E$2:$E$3143, ISNUMBER(
Master_Mapping_Sheet!$E$2:$E$3143),
Master_Mapping_Sheet!$C$2:$C$3143=G$1,
Master_Mapping_Sheet!$L$2:$L$3143=$A8))/sum(filter(
Master_M"&amp;"apping_Sheet!$E$2:$E$3143, ISNUMBER(
Master_Mapping_Sheet!$E$2:$E$3143),
Master_Mapping_Sheet!$C$2:$C$3143=G$1)))"),0.0)</f>
        <v>0</v>
      </c>
      <c r="H8" s="34">
        <f>IFERROR(__xludf.DUMMYFUNCTION("IF(ISNA(sum(filter(
Master_Mapping_Sheet!$E$2:$E$3143, ISNUMBER(
Master_Mapping_Sheet!$E$2:$E$3143),
Master_Mapping_Sheet!$C$2:$C$3143=H$1,
Master_Mapping_Sheet!$L$2:$L$3143=$A8))/sum(filter(
Master_Mapping_Sheet!$E$2:$E$3143, ISNUMBER(
Master_Mapping_She"&amp;"et!$E$2:$E$3143),
Master_Mapping_Sheet!$C$2:$C$3143=H$1))), 0, sum(filter(
Master_Mapping_Sheet!$E$2:$E$3143, ISNUMBER(
Master_Mapping_Sheet!$E$2:$E$3143),
Master_Mapping_Sheet!$C$2:$C$3143=H$1,
Master_Mapping_Sheet!$L$2:$L$3143=$A8))/sum(filter(
Master_M"&amp;"apping_Sheet!$E$2:$E$3143, ISNUMBER(
Master_Mapping_Sheet!$E$2:$E$3143),
Master_Mapping_Sheet!$C$2:$C$3143=H$1)))"),0.0)</f>
        <v>0</v>
      </c>
      <c r="I8" s="34">
        <f>IFERROR(__xludf.DUMMYFUNCTION("IF(ISNA(sum(filter(
Master_Mapping_Sheet!$E$2:$E$3143, ISNUMBER(
Master_Mapping_Sheet!$E$2:$E$3143),
Master_Mapping_Sheet!$C$2:$C$3143=I$1,
Master_Mapping_Sheet!$L$2:$L$3143=$A8))/sum(filter(
Master_Mapping_Sheet!$E$2:$E$3143, ISNUMBER(
Master_Mapping_She"&amp;"et!$E$2:$E$3143),
Master_Mapping_Sheet!$C$2:$C$3143=I$1))), 0, sum(filter(
Master_Mapping_Sheet!$E$2:$E$3143, ISNUMBER(
Master_Mapping_Sheet!$E$2:$E$3143),
Master_Mapping_Sheet!$C$2:$C$3143=I$1,
Master_Mapping_Sheet!$L$2:$L$3143=$A8))/sum(filter(
Master_M"&amp;"apping_Sheet!$E$2:$E$3143, ISNUMBER(
Master_Mapping_Sheet!$E$2:$E$3143),
Master_Mapping_Sheet!$C$2:$C$3143=I$1)))"),1.0)</f>
        <v>1</v>
      </c>
      <c r="J8" s="34">
        <f>IFERROR(__xludf.DUMMYFUNCTION("IF(ISNA(sum(filter(
Master_Mapping_Sheet!$E$2:$E$3143, ISNUMBER(
Master_Mapping_Sheet!$E$2:$E$3143),
Master_Mapping_Sheet!$C$2:$C$3143=J$1,
Master_Mapping_Sheet!$L$2:$L$3143=$A8))/sum(filter(
Master_Mapping_Sheet!$E$2:$E$3143, ISNUMBER(
Master_Mapping_She"&amp;"et!$E$2:$E$3143),
Master_Mapping_Sheet!$C$2:$C$3143=J$1))), 0, sum(filter(
Master_Mapping_Sheet!$E$2:$E$3143, ISNUMBER(
Master_Mapping_Sheet!$E$2:$E$3143),
Master_Mapping_Sheet!$C$2:$C$3143=J$1,
Master_Mapping_Sheet!$L$2:$L$3143=$A8))/sum(filter(
Master_M"&amp;"apping_Sheet!$E$2:$E$3143, ISNUMBER(
Master_Mapping_Sheet!$E$2:$E$3143),
Master_Mapping_Sheet!$C$2:$C$3143=J$1)))"),1.0)</f>
        <v>1</v>
      </c>
      <c r="K8" s="34">
        <f>IFERROR(__xludf.DUMMYFUNCTION("IF(ISNA(sum(filter(
Master_Mapping_Sheet!$E$2:$E$3143, ISNUMBER(
Master_Mapping_Sheet!$E$2:$E$3143),
Master_Mapping_Sheet!$C$2:$C$3143=K$1,
Master_Mapping_Sheet!$L$2:$L$3143=$A8))/sum(filter(
Master_Mapping_Sheet!$E$2:$E$3143, ISNUMBER(
Master_Mapping_She"&amp;"et!$E$2:$E$3143),
Master_Mapping_Sheet!$C$2:$C$3143=K$1))), 0, sum(filter(
Master_Mapping_Sheet!$E$2:$E$3143, ISNUMBER(
Master_Mapping_Sheet!$E$2:$E$3143),
Master_Mapping_Sheet!$C$2:$C$3143=K$1,
Master_Mapping_Sheet!$L$2:$L$3143=$A8))/sum(filter(
Master_M"&amp;"apping_Sheet!$E$2:$E$3143, ISNUMBER(
Master_Mapping_Sheet!$E$2:$E$3143),
Master_Mapping_Sheet!$C$2:$C$3143=K$1)))"),0.0)</f>
        <v>0</v>
      </c>
      <c r="L8" s="34">
        <f>IFERROR(__xludf.DUMMYFUNCTION("IF(ISNA(sum(filter(
Master_Mapping_Sheet!$E$2:$E$3143, ISNUMBER(
Master_Mapping_Sheet!$E$2:$E$3143),
Master_Mapping_Sheet!$C$2:$C$3143=L$1,
Master_Mapping_Sheet!$L$2:$L$3143=$A8))/sum(filter(
Master_Mapping_Sheet!$E$2:$E$3143, ISNUMBER(
Master_Mapping_She"&amp;"et!$E$2:$E$3143),
Master_Mapping_Sheet!$C$2:$C$3143=L$1))), 0, sum(filter(
Master_Mapping_Sheet!$E$2:$E$3143, ISNUMBER(
Master_Mapping_Sheet!$E$2:$E$3143),
Master_Mapping_Sheet!$C$2:$C$3143=L$1,
Master_Mapping_Sheet!$L$2:$L$3143=$A8))/sum(filter(
Master_M"&amp;"apping_Sheet!$E$2:$E$3143, ISNUMBER(
Master_Mapping_Sheet!$E$2:$E$3143),
Master_Mapping_Sheet!$C$2:$C$3143=L$1)))"),0.09706954077561374)</f>
        <v>0.09706954078</v>
      </c>
      <c r="M8" s="34">
        <f>IFERROR(__xludf.DUMMYFUNCTION("IF(ISNA(sum(filter(
Master_Mapping_Sheet!$E$2:$E$3143, ISNUMBER(
Master_Mapping_Sheet!$E$2:$E$3143),
Master_Mapping_Sheet!$C$2:$C$3143=M$1,
Master_Mapping_Sheet!$L$2:$L$3143=$A8))/sum(filter(
Master_Mapping_Sheet!$E$2:$E$3143, ISNUMBER(
Master_Mapping_She"&amp;"et!$E$2:$E$3143),
Master_Mapping_Sheet!$C$2:$C$3143=M$1))), 0, sum(filter(
Master_Mapping_Sheet!$E$2:$E$3143, ISNUMBER(
Master_Mapping_Sheet!$E$2:$E$3143),
Master_Mapping_Sheet!$C$2:$C$3143=M$1,
Master_Mapping_Sheet!$L$2:$L$3143=$A8))/sum(filter(
Master_M"&amp;"apping_Sheet!$E$2:$E$3143, ISNUMBER(
Master_Mapping_Sheet!$E$2:$E$3143),
Master_Mapping_Sheet!$C$2:$C$3143=M$1)))"),0.0)</f>
        <v>0</v>
      </c>
      <c r="N8" s="34">
        <f>IFERROR(__xludf.DUMMYFUNCTION("IF(ISNA(sum(filter(
Master_Mapping_Sheet!$E$2:$E$3143, ISNUMBER(
Master_Mapping_Sheet!$E$2:$E$3143),
Master_Mapping_Sheet!$C$2:$C$3143=N$1,
Master_Mapping_Sheet!$L$2:$L$3143=$A8))/sum(filter(
Master_Mapping_Sheet!$E$2:$E$3143, ISNUMBER(
Master_Mapping_She"&amp;"et!$E$2:$E$3143),
Master_Mapping_Sheet!$C$2:$C$3143=N$1))), 0, sum(filter(
Master_Mapping_Sheet!$E$2:$E$3143, ISNUMBER(
Master_Mapping_Sheet!$E$2:$E$3143),
Master_Mapping_Sheet!$C$2:$C$3143=N$1,
Master_Mapping_Sheet!$L$2:$L$3143=$A8))/sum(filter(
Master_M"&amp;"apping_Sheet!$E$2:$E$3143, ISNUMBER(
Master_Mapping_Sheet!$E$2:$E$3143),
Master_Mapping_Sheet!$C$2:$C$3143=N$1)))"),0.0)</f>
        <v>0</v>
      </c>
      <c r="O8" s="34">
        <f>IFERROR(__xludf.DUMMYFUNCTION("IF(ISNA(sum(filter(
Master_Mapping_Sheet!$E$2:$E$3143, ISNUMBER(
Master_Mapping_Sheet!$E$2:$E$3143),
Master_Mapping_Sheet!$C$2:$C$3143=O$1,
Master_Mapping_Sheet!$L$2:$L$3143=$A8))/sum(filter(
Master_Mapping_Sheet!$E$2:$E$3143, ISNUMBER(
Master_Mapping_She"&amp;"et!$E$2:$E$3143),
Master_Mapping_Sheet!$C$2:$C$3143=O$1))), 0, sum(filter(
Master_Mapping_Sheet!$E$2:$E$3143, ISNUMBER(
Master_Mapping_Sheet!$E$2:$E$3143),
Master_Mapping_Sheet!$C$2:$C$3143=O$1,
Master_Mapping_Sheet!$L$2:$L$3143=$A8))/sum(filter(
Master_M"&amp;"apping_Sheet!$E$2:$E$3143, ISNUMBER(
Master_Mapping_Sheet!$E$2:$E$3143),
Master_Mapping_Sheet!$C$2:$C$3143=O$1)))"),0.1026776042019846)</f>
        <v>0.1026776042</v>
      </c>
      <c r="P8" s="34">
        <f>IFERROR(__xludf.DUMMYFUNCTION("IF(ISNA(sum(filter(
Master_Mapping_Sheet!$E$2:$E$3143, ISNUMBER(
Master_Mapping_Sheet!$E$2:$E$3143),
Master_Mapping_Sheet!$C$2:$C$3143=P$1,
Master_Mapping_Sheet!$L$2:$L$3143=$A8))/sum(filter(
Master_Mapping_Sheet!$E$2:$E$3143, ISNUMBER(
Master_Mapping_She"&amp;"et!$E$2:$E$3143),
Master_Mapping_Sheet!$C$2:$C$3143=P$1))), 0, sum(filter(
Master_Mapping_Sheet!$E$2:$E$3143, ISNUMBER(
Master_Mapping_Sheet!$E$2:$E$3143),
Master_Mapping_Sheet!$C$2:$C$3143=P$1,
Master_Mapping_Sheet!$L$2:$L$3143=$A8))/sum(filter(
Master_M"&amp;"apping_Sheet!$E$2:$E$3143, ISNUMBER(
Master_Mapping_Sheet!$E$2:$E$3143),
Master_Mapping_Sheet!$C$2:$C$3143=P$1)))"),0.1840328442821317)</f>
        <v>0.1840328443</v>
      </c>
      <c r="Q8" s="34">
        <f>IFERROR(__xludf.DUMMYFUNCTION("IF(ISNA(sum(filter(
Master_Mapping_Sheet!$E$2:$E$3143, ISNUMBER(
Master_Mapping_Sheet!$E$2:$E$3143),
Master_Mapping_Sheet!$C$2:$C$3143=Q$1,
Master_Mapping_Sheet!$L$2:$L$3143=$A8))/sum(filter(
Master_Mapping_Sheet!$E$2:$E$3143, ISNUMBER(
Master_Mapping_She"&amp;"et!$E$2:$E$3143),
Master_Mapping_Sheet!$C$2:$C$3143=Q$1))), 0, sum(filter(
Master_Mapping_Sheet!$E$2:$E$3143, ISNUMBER(
Master_Mapping_Sheet!$E$2:$E$3143),
Master_Mapping_Sheet!$C$2:$C$3143=Q$1,
Master_Mapping_Sheet!$L$2:$L$3143=$A8))/sum(filter(
Master_M"&amp;"apping_Sheet!$E$2:$E$3143, ISNUMBER(
Master_Mapping_Sheet!$E$2:$E$3143),
Master_Mapping_Sheet!$C$2:$C$3143=Q$1)))"),0.0)</f>
        <v>0</v>
      </c>
      <c r="R8" s="34">
        <f>IFERROR(__xludf.DUMMYFUNCTION("IF(ISNA(sum(filter(
Master_Mapping_Sheet!$E$2:$E$3143, ISNUMBER(
Master_Mapping_Sheet!$E$2:$E$3143),
Master_Mapping_Sheet!$C$2:$C$3143=R$1,
Master_Mapping_Sheet!$L$2:$L$3143=$A8))/sum(filter(
Master_Mapping_Sheet!$E$2:$E$3143, ISNUMBER(
Master_Mapping_She"&amp;"et!$E$2:$E$3143),
Master_Mapping_Sheet!$C$2:$C$3143=R$1))), 0, sum(filter(
Master_Mapping_Sheet!$E$2:$E$3143, ISNUMBER(
Master_Mapping_Sheet!$E$2:$E$3143),
Master_Mapping_Sheet!$C$2:$C$3143=R$1,
Master_Mapping_Sheet!$L$2:$L$3143=$A8))/sum(filter(
Master_M"&amp;"apping_Sheet!$E$2:$E$3143, ISNUMBER(
Master_Mapping_Sheet!$E$2:$E$3143),
Master_Mapping_Sheet!$C$2:$C$3143=R$1)))"),0.9580108592077797)</f>
        <v>0.9580108592</v>
      </c>
      <c r="S8" s="34">
        <f>IFERROR(__xludf.DUMMYFUNCTION("IF(ISNA(sum(filter(
Master_Mapping_Sheet!$E$2:$E$3143, ISNUMBER(
Master_Mapping_Sheet!$E$2:$E$3143),
Master_Mapping_Sheet!$C$2:$C$3143=S$1,
Master_Mapping_Sheet!$L$2:$L$3143=$A8))/sum(filter(
Master_Mapping_Sheet!$E$2:$E$3143, ISNUMBER(
Master_Mapping_She"&amp;"et!$E$2:$E$3143),
Master_Mapping_Sheet!$C$2:$C$3143=S$1))), 0, sum(filter(
Master_Mapping_Sheet!$E$2:$E$3143, ISNUMBER(
Master_Mapping_Sheet!$E$2:$E$3143),
Master_Mapping_Sheet!$C$2:$C$3143=S$1,
Master_Mapping_Sheet!$L$2:$L$3143=$A8))/sum(filter(
Master_M"&amp;"apping_Sheet!$E$2:$E$3143, ISNUMBER(
Master_Mapping_Sheet!$E$2:$E$3143),
Master_Mapping_Sheet!$C$2:$C$3143=S$1)))"),1.0)</f>
        <v>1</v>
      </c>
      <c r="T8" s="34">
        <f>IFERROR(__xludf.DUMMYFUNCTION("IF(ISNA(sum(filter(
Master_Mapping_Sheet!$E$2:$E$3143, ISNUMBER(
Master_Mapping_Sheet!$E$2:$E$3143),
Master_Mapping_Sheet!$C$2:$C$3143=T$1,
Master_Mapping_Sheet!$L$2:$L$3143=$A8))/sum(filter(
Master_Mapping_Sheet!$E$2:$E$3143, ISNUMBER(
Master_Mapping_She"&amp;"et!$E$2:$E$3143),
Master_Mapping_Sheet!$C$2:$C$3143=T$1))), 0, sum(filter(
Master_Mapping_Sheet!$E$2:$E$3143, ISNUMBER(
Master_Mapping_Sheet!$E$2:$E$3143),
Master_Mapping_Sheet!$C$2:$C$3143=T$1,
Master_Mapping_Sheet!$L$2:$L$3143=$A8))/sum(filter(
Master_M"&amp;"apping_Sheet!$E$2:$E$3143, ISNUMBER(
Master_Mapping_Sheet!$E$2:$E$3143),
Master_Mapping_Sheet!$C$2:$C$3143=T$1)))"),0.0)</f>
        <v>0</v>
      </c>
      <c r="U8" s="34">
        <f>IFERROR(__xludf.DUMMYFUNCTION("IF(ISNA(sum(filter(
Master_Mapping_Sheet!$E$2:$E$3143, ISNUMBER(
Master_Mapping_Sheet!$E$2:$E$3143),
Master_Mapping_Sheet!$C$2:$C$3143=U$1,
Master_Mapping_Sheet!$L$2:$L$3143=$A8))/sum(filter(
Master_Mapping_Sheet!$E$2:$E$3143, ISNUMBER(
Master_Mapping_She"&amp;"et!$E$2:$E$3143),
Master_Mapping_Sheet!$C$2:$C$3143=U$1))), 0, sum(filter(
Master_Mapping_Sheet!$E$2:$E$3143, ISNUMBER(
Master_Mapping_Sheet!$E$2:$E$3143),
Master_Mapping_Sheet!$C$2:$C$3143=U$1,
Master_Mapping_Sheet!$L$2:$L$3143=$A8))/sum(filter(
Master_M"&amp;"apping_Sheet!$E$2:$E$3143, ISNUMBER(
Master_Mapping_Sheet!$E$2:$E$3143),
Master_Mapping_Sheet!$C$2:$C$3143=U$1)))"),0.0)</f>
        <v>0</v>
      </c>
      <c r="V8" s="34">
        <f>IFERROR(__xludf.DUMMYFUNCTION("IF(ISNA(sum(filter(
Master_Mapping_Sheet!$E$2:$E$3143, ISNUMBER(
Master_Mapping_Sheet!$E$2:$E$3143),
Master_Mapping_Sheet!$C$2:$C$3143=V$1,
Master_Mapping_Sheet!$L$2:$L$3143=$A8))/sum(filter(
Master_Mapping_Sheet!$E$2:$E$3143, ISNUMBER(
Master_Mapping_She"&amp;"et!$E$2:$E$3143),
Master_Mapping_Sheet!$C$2:$C$3143=V$1))), 0, sum(filter(
Master_Mapping_Sheet!$E$2:$E$3143, ISNUMBER(
Master_Mapping_Sheet!$E$2:$E$3143),
Master_Mapping_Sheet!$C$2:$C$3143=V$1,
Master_Mapping_Sheet!$L$2:$L$3143=$A8))/sum(filter(
Master_M"&amp;"apping_Sheet!$E$2:$E$3143, ISNUMBER(
Master_Mapping_Sheet!$E$2:$E$3143),
Master_Mapping_Sheet!$C$2:$C$3143=V$1)))"),0.9954009973378113)</f>
        <v>0.9954009973</v>
      </c>
      <c r="W8" s="34">
        <f>IFERROR(__xludf.DUMMYFUNCTION("IF(ISNA(sum(filter(
Master_Mapping_Sheet!$E$2:$E$3143, ISNUMBER(
Master_Mapping_Sheet!$E$2:$E$3143),
Master_Mapping_Sheet!$C$2:$C$3143=W$1,
Master_Mapping_Sheet!$L$2:$L$3143=$A8))/sum(filter(
Master_Mapping_Sheet!$E$2:$E$3143, ISNUMBER(
Master_Mapping_She"&amp;"et!$E$2:$E$3143),
Master_Mapping_Sheet!$C$2:$C$3143=W$1))), 0, sum(filter(
Master_Mapping_Sheet!$E$2:$E$3143, ISNUMBER(
Master_Mapping_Sheet!$E$2:$E$3143),
Master_Mapping_Sheet!$C$2:$C$3143=W$1,
Master_Mapping_Sheet!$L$2:$L$3143=$A8))/sum(filter(
Master_M"&amp;"apping_Sheet!$E$2:$E$3143, ISNUMBER(
Master_Mapping_Sheet!$E$2:$E$3143),
Master_Mapping_Sheet!$C$2:$C$3143=W$1)))"),0.0)</f>
        <v>0</v>
      </c>
      <c r="X8" s="34">
        <f>IFERROR(__xludf.DUMMYFUNCTION("IF(ISNA(sum(filter(
Master_Mapping_Sheet!$E$2:$E$3143, ISNUMBER(
Master_Mapping_Sheet!$E$2:$E$3143),
Master_Mapping_Sheet!$C$2:$C$3143=X$1,
Master_Mapping_Sheet!$L$2:$L$3143=$A8))/sum(filter(
Master_Mapping_Sheet!$E$2:$E$3143, ISNUMBER(
Master_Mapping_She"&amp;"et!$E$2:$E$3143),
Master_Mapping_Sheet!$C$2:$C$3143=X$1))), 0, sum(filter(
Master_Mapping_Sheet!$E$2:$E$3143, ISNUMBER(
Master_Mapping_Sheet!$E$2:$E$3143),
Master_Mapping_Sheet!$C$2:$C$3143=X$1,
Master_Mapping_Sheet!$L$2:$L$3143=$A8))/sum(filter(
Master_M"&amp;"apping_Sheet!$E$2:$E$3143, ISNUMBER(
Master_Mapping_Sheet!$E$2:$E$3143),
Master_Mapping_Sheet!$C$2:$C$3143=X$1)))"),0.0)</f>
        <v>0</v>
      </c>
      <c r="Y8" s="34">
        <f>IFERROR(__xludf.DUMMYFUNCTION("IF(ISNA(sum(filter(
Master_Mapping_Sheet!$E$2:$E$3143, ISNUMBER(
Master_Mapping_Sheet!$E$2:$E$3143),
Master_Mapping_Sheet!$C$2:$C$3143=Y$1,
Master_Mapping_Sheet!$L$2:$L$3143=$A8))/sum(filter(
Master_Mapping_Sheet!$E$2:$E$3143, ISNUMBER(
Master_Mapping_She"&amp;"et!$E$2:$E$3143),
Master_Mapping_Sheet!$C$2:$C$3143=Y$1))), 0, sum(filter(
Master_Mapping_Sheet!$E$2:$E$3143, ISNUMBER(
Master_Mapping_Sheet!$E$2:$E$3143),
Master_Mapping_Sheet!$C$2:$C$3143=Y$1,
Master_Mapping_Sheet!$L$2:$L$3143=$A8))/sum(filter(
Master_M"&amp;"apping_Sheet!$E$2:$E$3143, ISNUMBER(
Master_Mapping_Sheet!$E$2:$E$3143),
Master_Mapping_Sheet!$C$2:$C$3143=Y$1)))"),0.0)</f>
        <v>0</v>
      </c>
      <c r="Z8" s="34">
        <f>IFERROR(__xludf.DUMMYFUNCTION("IF(ISNA(sum(filter(
Master_Mapping_Sheet!$E$2:$E$3143, ISNUMBER(
Master_Mapping_Sheet!$E$2:$E$3143),
Master_Mapping_Sheet!$C$2:$C$3143=Z$1,
Master_Mapping_Sheet!$L$2:$L$3143=$A8))/sum(filter(
Master_Mapping_Sheet!$E$2:$E$3143, ISNUMBER(
Master_Mapping_She"&amp;"et!$E$2:$E$3143),
Master_Mapping_Sheet!$C$2:$C$3143=Z$1))), 0, sum(filter(
Master_Mapping_Sheet!$E$2:$E$3143, ISNUMBER(
Master_Mapping_Sheet!$E$2:$E$3143),
Master_Mapping_Sheet!$C$2:$C$3143=Z$1,
Master_Mapping_Sheet!$L$2:$L$3143=$A8))/sum(filter(
Master_M"&amp;"apping_Sheet!$E$2:$E$3143, ISNUMBER(
Master_Mapping_Sheet!$E$2:$E$3143),
Master_Mapping_Sheet!$C$2:$C$3143=Z$1)))"),0.0)</f>
        <v>0</v>
      </c>
      <c r="AA8" s="34">
        <f>IFERROR(__xludf.DUMMYFUNCTION("IF(ISNA(sum(filter(
Master_Mapping_Sheet!$E$2:$E$3143, ISNUMBER(
Master_Mapping_Sheet!$E$2:$E$3143),
Master_Mapping_Sheet!$C$2:$C$3143=AA$1,
Master_Mapping_Sheet!$L$2:$L$3143=$A8))/sum(filter(
Master_Mapping_Sheet!$E$2:$E$3143, ISNUMBER(
Master_Mapping_Sh"&amp;"eet!$E$2:$E$3143),
Master_Mapping_Sheet!$C$2:$C$3143=AA$1))), 0, sum(filter(
Master_Mapping_Sheet!$E$2:$E$3143, ISNUMBER(
Master_Mapping_Sheet!$E$2:$E$3143),
Master_Mapping_Sheet!$C$2:$C$3143=AA$1,
Master_Mapping_Sheet!$L$2:$L$3143=$A8))/sum(filter(
Maste"&amp;"r_Mapping_Sheet!$E$2:$E$3143, ISNUMBER(
Master_Mapping_Sheet!$E$2:$E$3143),
Master_Mapping_Sheet!$C$2:$C$3143=AA$1)))"),0.9377273587043322)</f>
        <v>0.9377273587</v>
      </c>
      <c r="AB8" s="34">
        <f>IFERROR(__xludf.DUMMYFUNCTION("IF(ISNA(sum(filter(
Master_Mapping_Sheet!$E$2:$E$3143, ISNUMBER(
Master_Mapping_Sheet!$E$2:$E$3143),
Master_Mapping_Sheet!$C$2:$C$3143=AB$1,
Master_Mapping_Sheet!$L$2:$L$3143=$A8))/sum(filter(
Master_Mapping_Sheet!$E$2:$E$3143, ISNUMBER(
Master_Mapping_Sh"&amp;"eet!$E$2:$E$3143),
Master_Mapping_Sheet!$C$2:$C$3143=AB$1))), 0, sum(filter(
Master_Mapping_Sheet!$E$2:$E$3143, ISNUMBER(
Master_Mapping_Sheet!$E$2:$E$3143),
Master_Mapping_Sheet!$C$2:$C$3143=AB$1,
Master_Mapping_Sheet!$L$2:$L$3143=$A8))/sum(filter(
Maste"&amp;"r_Mapping_Sheet!$E$2:$E$3143, ISNUMBER(
Master_Mapping_Sheet!$E$2:$E$3143),
Master_Mapping_Sheet!$C$2:$C$3143=AB$1)))"),0.0)</f>
        <v>0</v>
      </c>
      <c r="AC8" s="34">
        <f>IFERROR(__xludf.DUMMYFUNCTION("IF(ISNA(sum(filter(
Master_Mapping_Sheet!$E$2:$E$3143, ISNUMBER(
Master_Mapping_Sheet!$E$2:$E$3143),
Master_Mapping_Sheet!$C$2:$C$3143=AC$1,
Master_Mapping_Sheet!$L$2:$L$3143=$A8))/sum(filter(
Master_Mapping_Sheet!$E$2:$E$3143, ISNUMBER(
Master_Mapping_Sh"&amp;"eet!$E$2:$E$3143),
Master_Mapping_Sheet!$C$2:$C$3143=AC$1))), 0, sum(filter(
Master_Mapping_Sheet!$E$2:$E$3143, ISNUMBER(
Master_Mapping_Sheet!$E$2:$E$3143),
Master_Mapping_Sheet!$C$2:$C$3143=AC$1,
Master_Mapping_Sheet!$L$2:$L$3143=$A8))/sum(filter(
Maste"&amp;"r_Mapping_Sheet!$E$2:$E$3143, ISNUMBER(
Master_Mapping_Sheet!$E$2:$E$3143),
Master_Mapping_Sheet!$C$2:$C$3143=AC$1)))"),0.0)</f>
        <v>0</v>
      </c>
      <c r="AD8" s="34">
        <f>IFERROR(__xludf.DUMMYFUNCTION("IF(ISNA(sum(filter(
Master_Mapping_Sheet!$E$2:$E$3143, ISNUMBER(
Master_Mapping_Sheet!$E$2:$E$3143),
Master_Mapping_Sheet!$C$2:$C$3143=AD$1,
Master_Mapping_Sheet!$L$2:$L$3143=$A8))/sum(filter(
Master_Mapping_Sheet!$E$2:$E$3143, ISNUMBER(
Master_Mapping_Sh"&amp;"eet!$E$2:$E$3143),
Master_Mapping_Sheet!$C$2:$C$3143=AD$1))), 0, sum(filter(
Master_Mapping_Sheet!$E$2:$E$3143, ISNUMBER(
Master_Mapping_Sheet!$E$2:$E$3143),
Master_Mapping_Sheet!$C$2:$C$3143=AD$1,
Master_Mapping_Sheet!$L$2:$L$3143=$A8))/sum(filter(
Maste"&amp;"r_Mapping_Sheet!$E$2:$E$3143, ISNUMBER(
Master_Mapping_Sheet!$E$2:$E$3143),
Master_Mapping_Sheet!$C$2:$C$3143=AD$1)))"),0.0)</f>
        <v>0</v>
      </c>
      <c r="AE8" s="34">
        <f>IFERROR(__xludf.DUMMYFUNCTION("IF(ISNA(sum(filter(
Master_Mapping_Sheet!$E$2:$E$3143, ISNUMBER(
Master_Mapping_Sheet!$E$2:$E$3143),
Master_Mapping_Sheet!$C$2:$C$3143=AE$1,
Master_Mapping_Sheet!$L$2:$L$3143=$A8))/sum(filter(
Master_Mapping_Sheet!$E$2:$E$3143, ISNUMBER(
Master_Mapping_Sh"&amp;"eet!$E$2:$E$3143),
Master_Mapping_Sheet!$C$2:$C$3143=AE$1))), 0, sum(filter(
Master_Mapping_Sheet!$E$2:$E$3143, ISNUMBER(
Master_Mapping_Sheet!$E$2:$E$3143),
Master_Mapping_Sheet!$C$2:$C$3143=AE$1,
Master_Mapping_Sheet!$L$2:$L$3143=$A8))/sum(filter(
Maste"&amp;"r_Mapping_Sheet!$E$2:$E$3143, ISNUMBER(
Master_Mapping_Sheet!$E$2:$E$3143),
Master_Mapping_Sheet!$C$2:$C$3143=AE$1)))"),0.0)</f>
        <v>0</v>
      </c>
      <c r="AF8" s="34">
        <f>IFERROR(__xludf.DUMMYFUNCTION("IF(ISNA(sum(filter(
Master_Mapping_Sheet!$E$2:$E$3143, ISNUMBER(
Master_Mapping_Sheet!$E$2:$E$3143),
Master_Mapping_Sheet!$C$2:$C$3143=AF$1,
Master_Mapping_Sheet!$L$2:$L$3143=$A8))/sum(filter(
Master_Mapping_Sheet!$E$2:$E$3143, ISNUMBER(
Master_Mapping_Sh"&amp;"eet!$E$2:$E$3143),
Master_Mapping_Sheet!$C$2:$C$3143=AF$1))), 0, sum(filter(
Master_Mapping_Sheet!$E$2:$E$3143, ISNUMBER(
Master_Mapping_Sheet!$E$2:$E$3143),
Master_Mapping_Sheet!$C$2:$C$3143=AF$1,
Master_Mapping_Sheet!$L$2:$L$3143=$A8))/sum(filter(
Maste"&amp;"r_Mapping_Sheet!$E$2:$E$3143, ISNUMBER(
Master_Mapping_Sheet!$E$2:$E$3143),
Master_Mapping_Sheet!$C$2:$C$3143=AF$1)))"),0.6659469255797188)</f>
        <v>0.6659469256</v>
      </c>
      <c r="AG8" s="34">
        <f>IFERROR(__xludf.DUMMYFUNCTION("IF(ISNA(sum(filter(
Master_Mapping_Sheet!$E$2:$E$3143, ISNUMBER(
Master_Mapping_Sheet!$E$2:$E$3143),
Master_Mapping_Sheet!$C$2:$C$3143=AG$1,
Master_Mapping_Sheet!$L$2:$L$3143=$A8))/sum(filter(
Master_Mapping_Sheet!$E$2:$E$3143, ISNUMBER(
Master_Mapping_Sh"&amp;"eet!$E$2:$E$3143),
Master_Mapping_Sheet!$C$2:$C$3143=AG$1))), 0, sum(filter(
Master_Mapping_Sheet!$E$2:$E$3143, ISNUMBER(
Master_Mapping_Sheet!$E$2:$E$3143),
Master_Mapping_Sheet!$C$2:$C$3143=AG$1,
Master_Mapping_Sheet!$L$2:$L$3143=$A8))/sum(filter(
Maste"&amp;"r_Mapping_Sheet!$E$2:$E$3143, ISNUMBER(
Master_Mapping_Sheet!$E$2:$E$3143),
Master_Mapping_Sheet!$C$2:$C$3143=AG$1)))"),0.0)</f>
        <v>0</v>
      </c>
      <c r="AH8" s="34">
        <f>IFERROR(__xludf.DUMMYFUNCTION("IF(ISNA(sum(filter(
Master_Mapping_Sheet!$E$2:$E$3143, ISNUMBER(
Master_Mapping_Sheet!$E$2:$E$3143),
Master_Mapping_Sheet!$C$2:$C$3143=AH$1,
Master_Mapping_Sheet!$L$2:$L$3143=$A8))/sum(filter(
Master_Mapping_Sheet!$E$2:$E$3143, ISNUMBER(
Master_Mapping_Sh"&amp;"eet!$E$2:$E$3143),
Master_Mapping_Sheet!$C$2:$C$3143=AH$1))), 0, sum(filter(
Master_Mapping_Sheet!$E$2:$E$3143, ISNUMBER(
Master_Mapping_Sheet!$E$2:$E$3143),
Master_Mapping_Sheet!$C$2:$C$3143=AH$1,
Master_Mapping_Sheet!$L$2:$L$3143=$A8))/sum(filter(
Maste"&amp;"r_Mapping_Sheet!$E$2:$E$3143, ISNUMBER(
Master_Mapping_Sheet!$E$2:$E$3143),
Master_Mapping_Sheet!$C$2:$C$3143=AH$1)))"),0.6210006061963651)</f>
        <v>0.6210006062</v>
      </c>
      <c r="AI8" s="34">
        <f>IFERROR(__xludf.DUMMYFUNCTION("IF(ISNA(sum(filter(
Master_Mapping_Sheet!$E$2:$E$3143, ISNUMBER(
Master_Mapping_Sheet!$E$2:$E$3143),
Master_Mapping_Sheet!$C$2:$C$3143=AI$1,
Master_Mapping_Sheet!$L$2:$L$3143=$A8))/sum(filter(
Master_Mapping_Sheet!$E$2:$E$3143, ISNUMBER(
Master_Mapping_Sh"&amp;"eet!$E$2:$E$3143),
Master_Mapping_Sheet!$C$2:$C$3143=AI$1))), 0, sum(filter(
Master_Mapping_Sheet!$E$2:$E$3143, ISNUMBER(
Master_Mapping_Sheet!$E$2:$E$3143),
Master_Mapping_Sheet!$C$2:$C$3143=AI$1,
Master_Mapping_Sheet!$L$2:$L$3143=$A8))/sum(filter(
Maste"&amp;"r_Mapping_Sheet!$E$2:$E$3143, ISNUMBER(
Master_Mapping_Sheet!$E$2:$E$3143),
Master_Mapping_Sheet!$C$2:$C$3143=AI$1)))"),0.5053494114849064)</f>
        <v>0.5053494115</v>
      </c>
      <c r="AJ8" s="34">
        <f>IFERROR(__xludf.DUMMYFUNCTION("IF(ISNA(sum(filter(
Master_Mapping_Sheet!$E$2:$E$3143, ISNUMBER(
Master_Mapping_Sheet!$E$2:$E$3143),
Master_Mapping_Sheet!$C$2:$C$3143=AJ$1,
Master_Mapping_Sheet!$L$2:$L$3143=$A8))/sum(filter(
Master_Mapping_Sheet!$E$2:$E$3143, ISNUMBER(
Master_Mapping_Sh"&amp;"eet!$E$2:$E$3143),
Master_Mapping_Sheet!$C$2:$C$3143=AJ$1))), 0, sum(filter(
Master_Mapping_Sheet!$E$2:$E$3143, ISNUMBER(
Master_Mapping_Sheet!$E$2:$E$3143),
Master_Mapping_Sheet!$C$2:$C$3143=AJ$1,
Master_Mapping_Sheet!$L$2:$L$3143=$A8))/sum(filter(
Maste"&amp;"r_Mapping_Sheet!$E$2:$E$3143, ISNUMBER(
Master_Mapping_Sheet!$E$2:$E$3143),
Master_Mapping_Sheet!$C$2:$C$3143=AJ$1)))"),0.0)</f>
        <v>0</v>
      </c>
      <c r="AK8" s="34">
        <f>IFERROR(__xludf.DUMMYFUNCTION("IF(ISNA(sum(filter(
Master_Mapping_Sheet!$E$2:$E$3143, ISNUMBER(
Master_Mapping_Sheet!$E$2:$E$3143),
Master_Mapping_Sheet!$C$2:$C$3143=AK$1,
Master_Mapping_Sheet!$L$2:$L$3143=$A8))/sum(filter(
Master_Mapping_Sheet!$E$2:$E$3143, ISNUMBER(
Master_Mapping_Sh"&amp;"eet!$E$2:$E$3143),
Master_Mapping_Sheet!$C$2:$C$3143=AK$1))), 0, sum(filter(
Master_Mapping_Sheet!$E$2:$E$3143, ISNUMBER(
Master_Mapping_Sheet!$E$2:$E$3143),
Master_Mapping_Sheet!$C$2:$C$3143=AK$1,
Master_Mapping_Sheet!$L$2:$L$3143=$A8))/sum(filter(
Maste"&amp;"r_Mapping_Sheet!$E$2:$E$3143, ISNUMBER(
Master_Mapping_Sheet!$E$2:$E$3143),
Master_Mapping_Sheet!$C$2:$C$3143=AK$1)))"),0.1147960683645379)</f>
        <v>0.1147960684</v>
      </c>
      <c r="AL8" s="34">
        <f>IFERROR(__xludf.DUMMYFUNCTION("IF(ISNA(sum(filter(
Master_Mapping_Sheet!$E$2:$E$3143, ISNUMBER(
Master_Mapping_Sheet!$E$2:$E$3143),
Master_Mapping_Sheet!$C$2:$C$3143=AL$1,
Master_Mapping_Sheet!$L$2:$L$3143=$A8))/sum(filter(
Master_Mapping_Sheet!$E$2:$E$3143, ISNUMBER(
Master_Mapping_Sh"&amp;"eet!$E$2:$E$3143),
Master_Mapping_Sheet!$C$2:$C$3143=AL$1))), 0, sum(filter(
Master_Mapping_Sheet!$E$2:$E$3143, ISNUMBER(
Master_Mapping_Sheet!$E$2:$E$3143),
Master_Mapping_Sheet!$C$2:$C$3143=AL$1,
Master_Mapping_Sheet!$L$2:$L$3143=$A8))/sum(filter(
Maste"&amp;"r_Mapping_Sheet!$E$2:$E$3143, ISNUMBER(
Master_Mapping_Sheet!$E$2:$E$3143),
Master_Mapping_Sheet!$C$2:$C$3143=AL$1)))"),0.0)</f>
        <v>0</v>
      </c>
      <c r="AM8" s="34">
        <f>IFERROR(__xludf.DUMMYFUNCTION("IF(ISNA(sum(filter(
Master_Mapping_Sheet!$E$2:$E$3143, ISNUMBER(
Master_Mapping_Sheet!$E$2:$E$3143),
Master_Mapping_Sheet!$C$2:$C$3143=AM$1,
Master_Mapping_Sheet!$L$2:$L$3143=$A8))/sum(filter(
Master_Mapping_Sheet!$E$2:$E$3143, ISNUMBER(
Master_Mapping_Sh"&amp;"eet!$E$2:$E$3143),
Master_Mapping_Sheet!$C$2:$C$3143=AM$1))), 0, sum(filter(
Master_Mapping_Sheet!$E$2:$E$3143, ISNUMBER(
Master_Mapping_Sheet!$E$2:$E$3143),
Master_Mapping_Sheet!$C$2:$C$3143=AM$1,
Master_Mapping_Sheet!$L$2:$L$3143=$A8))/sum(filter(
Maste"&amp;"r_Mapping_Sheet!$E$2:$E$3143, ISNUMBER(
Master_Mapping_Sheet!$E$2:$E$3143),
Master_Mapping_Sheet!$C$2:$C$3143=AM$1)))"),0.0)</f>
        <v>0</v>
      </c>
      <c r="AN8" s="34">
        <f>IFERROR(__xludf.DUMMYFUNCTION("IF(ISNA(sum(filter(
Master_Mapping_Sheet!$E$2:$E$3143, ISNUMBER(
Master_Mapping_Sheet!$E$2:$E$3143),
Master_Mapping_Sheet!$C$2:$C$3143=AN$1,
Master_Mapping_Sheet!$L$2:$L$3143=$A8))/sum(filter(
Master_Mapping_Sheet!$E$2:$E$3143, ISNUMBER(
Master_Mapping_Sh"&amp;"eet!$E$2:$E$3143),
Master_Mapping_Sheet!$C$2:$C$3143=AN$1))), 0, sum(filter(
Master_Mapping_Sheet!$E$2:$E$3143, ISNUMBER(
Master_Mapping_Sheet!$E$2:$E$3143),
Master_Mapping_Sheet!$C$2:$C$3143=AN$1,
Master_Mapping_Sheet!$L$2:$L$3143=$A8))/sum(filter(
Maste"&amp;"r_Mapping_Sheet!$E$2:$E$3143, ISNUMBER(
Master_Mapping_Sheet!$E$2:$E$3143),
Master_Mapping_Sheet!$C$2:$C$3143=AN$1)))"),0.3592443975060955)</f>
        <v>0.3592443975</v>
      </c>
      <c r="AO8" s="34">
        <f>IFERROR(__xludf.DUMMYFUNCTION("IF(ISNA(sum(filter(
Master_Mapping_Sheet!$E$2:$E$3143, ISNUMBER(
Master_Mapping_Sheet!$E$2:$E$3143),
Master_Mapping_Sheet!$C$2:$C$3143=AO$1,
Master_Mapping_Sheet!$L$2:$L$3143=$A8))/sum(filter(
Master_Mapping_Sheet!$E$2:$E$3143, ISNUMBER(
Master_Mapping_Sh"&amp;"eet!$E$2:$E$3143),
Master_Mapping_Sheet!$C$2:$C$3143=AO$1))), 0, sum(filter(
Master_Mapping_Sheet!$E$2:$E$3143, ISNUMBER(
Master_Mapping_Sheet!$E$2:$E$3143),
Master_Mapping_Sheet!$C$2:$C$3143=AO$1,
Master_Mapping_Sheet!$L$2:$L$3143=$A8))/sum(filter(
Maste"&amp;"r_Mapping_Sheet!$E$2:$E$3143, ISNUMBER(
Master_Mapping_Sheet!$E$2:$E$3143),
Master_Mapping_Sheet!$C$2:$C$3143=AO$1)))"),0.0)</f>
        <v>0</v>
      </c>
      <c r="AP8" s="34">
        <f>IFERROR(__xludf.DUMMYFUNCTION("IF(ISNA(sum(filter(
Master_Mapping_Sheet!$E$2:$E$3143, ISNUMBER(
Master_Mapping_Sheet!$E$2:$E$3143),
Master_Mapping_Sheet!$C$2:$C$3143=AP$1,
Master_Mapping_Sheet!$L$2:$L$3143=$A8))/sum(filter(
Master_Mapping_Sheet!$E$2:$E$3143, ISNUMBER(
Master_Mapping_Sh"&amp;"eet!$E$2:$E$3143),
Master_Mapping_Sheet!$C$2:$C$3143=AP$1))), 0, sum(filter(
Master_Mapping_Sheet!$E$2:$E$3143, ISNUMBER(
Master_Mapping_Sheet!$E$2:$E$3143),
Master_Mapping_Sheet!$C$2:$C$3143=AP$1,
Master_Mapping_Sheet!$L$2:$L$3143=$A8))/sum(filter(
Maste"&amp;"r_Mapping_Sheet!$E$2:$E$3143, ISNUMBER(
Master_Mapping_Sheet!$E$2:$E$3143),
Master_Mapping_Sheet!$C$2:$C$3143=AP$1)))"),0.0)</f>
        <v>0</v>
      </c>
      <c r="AQ8" s="34">
        <f>IFERROR(__xludf.DUMMYFUNCTION("IF(ISNA(sum(filter(
Master_Mapping_Sheet!$E$2:$E$3143, ISNUMBER(
Master_Mapping_Sheet!$E$2:$E$3143),
Master_Mapping_Sheet!$C$2:$C$3143=AQ$1,
Master_Mapping_Sheet!$L$2:$L$3143=$A8))/sum(filter(
Master_Mapping_Sheet!$E$2:$E$3143, ISNUMBER(
Master_Mapping_Sh"&amp;"eet!$E$2:$E$3143),
Master_Mapping_Sheet!$C$2:$C$3143=AQ$1))), 0, sum(filter(
Master_Mapping_Sheet!$E$2:$E$3143, ISNUMBER(
Master_Mapping_Sheet!$E$2:$E$3143),
Master_Mapping_Sheet!$C$2:$C$3143=AQ$1,
Master_Mapping_Sheet!$L$2:$L$3143=$A8))/sum(filter(
Maste"&amp;"r_Mapping_Sheet!$E$2:$E$3143, ISNUMBER(
Master_Mapping_Sheet!$E$2:$E$3143),
Master_Mapping_Sheet!$C$2:$C$3143=AQ$1)))"),0.0)</f>
        <v>0</v>
      </c>
      <c r="AR8" s="34">
        <f>IFERROR(__xludf.DUMMYFUNCTION("IF(ISNA(sum(filter(
Master_Mapping_Sheet!$E$2:$E$3143, ISNUMBER(
Master_Mapping_Sheet!$E$2:$E$3143),
Master_Mapping_Sheet!$C$2:$C$3143=AR$1,
Master_Mapping_Sheet!$L$2:$L$3143=$A8))/sum(filter(
Master_Mapping_Sheet!$E$2:$E$3143, ISNUMBER(
Master_Mapping_Sh"&amp;"eet!$E$2:$E$3143),
Master_Mapping_Sheet!$C$2:$C$3143=AR$1))), 0, sum(filter(
Master_Mapping_Sheet!$E$2:$E$3143, ISNUMBER(
Master_Mapping_Sheet!$E$2:$E$3143),
Master_Mapping_Sheet!$C$2:$C$3143=AR$1,
Master_Mapping_Sheet!$L$2:$L$3143=$A8))/sum(filter(
Maste"&amp;"r_Mapping_Sheet!$E$2:$E$3143, ISNUMBER(
Master_Mapping_Sheet!$E$2:$E$3143),
Master_Mapping_Sheet!$C$2:$C$3143=AR$1)))"),0.8121339975407245)</f>
        <v>0.8121339975</v>
      </c>
      <c r="AS8" s="34">
        <f>IFERROR(__xludf.DUMMYFUNCTION("IF(ISNA(sum(filter(
Master_Mapping_Sheet!$E$2:$E$3143, ISNUMBER(
Master_Mapping_Sheet!$E$2:$E$3143),
Master_Mapping_Sheet!$C$2:$C$3143=AS$1,
Master_Mapping_Sheet!$L$2:$L$3143=$A8))/sum(filter(
Master_Mapping_Sheet!$E$2:$E$3143, ISNUMBER(
Master_Mapping_Sh"&amp;"eet!$E$2:$E$3143),
Master_Mapping_Sheet!$C$2:$C$3143=AS$1))), 0, sum(filter(
Master_Mapping_Sheet!$E$2:$E$3143, ISNUMBER(
Master_Mapping_Sheet!$E$2:$E$3143),
Master_Mapping_Sheet!$C$2:$C$3143=AS$1,
Master_Mapping_Sheet!$L$2:$L$3143=$A8))/sum(filter(
Maste"&amp;"r_Mapping_Sheet!$E$2:$E$3143, ISNUMBER(
Master_Mapping_Sheet!$E$2:$E$3143),
Master_Mapping_Sheet!$C$2:$C$3143=AS$1)))"),0.0)</f>
        <v>0</v>
      </c>
      <c r="AT8" s="34">
        <f>IFERROR(__xludf.DUMMYFUNCTION("IF(ISNA(sum(filter(
Master_Mapping_Sheet!$E$2:$E$3143, ISNUMBER(
Master_Mapping_Sheet!$E$2:$E$3143),
Master_Mapping_Sheet!$C$2:$C$3143=AT$1,
Master_Mapping_Sheet!$L$2:$L$3143=$A8))/sum(filter(
Master_Mapping_Sheet!$E$2:$E$3143, ISNUMBER(
Master_Mapping_Sh"&amp;"eet!$E$2:$E$3143),
Master_Mapping_Sheet!$C$2:$C$3143=AT$1))), 0, sum(filter(
Master_Mapping_Sheet!$E$2:$E$3143, ISNUMBER(
Master_Mapping_Sheet!$E$2:$E$3143),
Master_Mapping_Sheet!$C$2:$C$3143=AT$1,
Master_Mapping_Sheet!$L$2:$L$3143=$A8))/sum(filter(
Maste"&amp;"r_Mapping_Sheet!$E$2:$E$3143, ISNUMBER(
Master_Mapping_Sheet!$E$2:$E$3143),
Master_Mapping_Sheet!$C$2:$C$3143=AT$1)))"),0.0)</f>
        <v>0</v>
      </c>
      <c r="AU8" s="34">
        <f>IFERROR(__xludf.DUMMYFUNCTION("IF(ISNA(sum(filter(
Master_Mapping_Sheet!$E$2:$E$3143, ISNUMBER(
Master_Mapping_Sheet!$E$2:$E$3143),
Master_Mapping_Sheet!$C$2:$C$3143=AU$1,
Master_Mapping_Sheet!$L$2:$L$3143=$A8))/sum(filter(
Master_Mapping_Sheet!$E$2:$E$3143, ISNUMBER(
Master_Mapping_Sh"&amp;"eet!$E$2:$E$3143),
Master_Mapping_Sheet!$C$2:$C$3143=AU$1))), 0, sum(filter(
Master_Mapping_Sheet!$E$2:$E$3143, ISNUMBER(
Master_Mapping_Sheet!$E$2:$E$3143),
Master_Mapping_Sheet!$C$2:$C$3143=AU$1,
Master_Mapping_Sheet!$L$2:$L$3143=$A8))/sum(filter(
Maste"&amp;"r_Mapping_Sheet!$E$2:$E$3143, ISNUMBER(
Master_Mapping_Sheet!$E$2:$E$3143),
Master_Mapping_Sheet!$C$2:$C$3143=AU$1)))"),0.0)</f>
        <v>0</v>
      </c>
      <c r="AV8" s="34">
        <f>IFERROR(__xludf.DUMMYFUNCTION("IF(ISNA(sum(filter(
Master_Mapping_Sheet!$E$2:$E$3143, ISNUMBER(
Master_Mapping_Sheet!$E$2:$E$3143),
Master_Mapping_Sheet!$C$2:$C$3143=AV$1,
Master_Mapping_Sheet!$L$2:$L$3143=$A8))/sum(filter(
Master_Mapping_Sheet!$E$2:$E$3143, ISNUMBER(
Master_Mapping_Sh"&amp;"eet!$E$2:$E$3143),
Master_Mapping_Sheet!$C$2:$C$3143=AV$1))), 0, sum(filter(
Master_Mapping_Sheet!$E$2:$E$3143, ISNUMBER(
Master_Mapping_Sheet!$E$2:$E$3143),
Master_Mapping_Sheet!$C$2:$C$3143=AV$1,
Master_Mapping_Sheet!$L$2:$L$3143=$A8))/sum(filter(
Maste"&amp;"r_Mapping_Sheet!$E$2:$E$3143, ISNUMBER(
Master_Mapping_Sheet!$E$2:$E$3143),
Master_Mapping_Sheet!$C$2:$C$3143=AV$1)))"),1.0)</f>
        <v>1</v>
      </c>
      <c r="AW8" s="34">
        <f>IFERROR(__xludf.DUMMYFUNCTION("IF(ISNA(sum(filter(
Master_Mapping_Sheet!$E$2:$E$3143, ISNUMBER(
Master_Mapping_Sheet!$E$2:$E$3143),
Master_Mapping_Sheet!$C$2:$C$3143=AW$1,
Master_Mapping_Sheet!$L$2:$L$3143=$A8))/sum(filter(
Master_Mapping_Sheet!$E$2:$E$3143, ISNUMBER(
Master_Mapping_Sh"&amp;"eet!$E$2:$E$3143),
Master_Mapping_Sheet!$C$2:$C$3143=AW$1))), 0, sum(filter(
Master_Mapping_Sheet!$E$2:$E$3143, ISNUMBER(
Master_Mapping_Sheet!$E$2:$E$3143),
Master_Mapping_Sheet!$C$2:$C$3143=AW$1,
Master_Mapping_Sheet!$L$2:$L$3143=$A8))/sum(filter(
Maste"&amp;"r_Mapping_Sheet!$E$2:$E$3143, ISNUMBER(
Master_Mapping_Sheet!$E$2:$E$3143),
Master_Mapping_Sheet!$C$2:$C$3143=AW$1)))"),0.0)</f>
        <v>0</v>
      </c>
      <c r="AX8" s="34">
        <f>IFERROR(__xludf.DUMMYFUNCTION("IF(ISNA(sum(filter(
Master_Mapping_Sheet!$E$2:$E$3143, ISNUMBER(
Master_Mapping_Sheet!$E$2:$E$3143),
Master_Mapping_Sheet!$C$2:$C$3143=AX$1,
Master_Mapping_Sheet!$L$2:$L$3143=$A8))/sum(filter(
Master_Mapping_Sheet!$E$2:$E$3143, ISNUMBER(
Master_Mapping_Sh"&amp;"eet!$E$2:$E$3143),
Master_Mapping_Sheet!$C$2:$C$3143=AX$1))), 0, sum(filter(
Master_Mapping_Sheet!$E$2:$E$3143, ISNUMBER(
Master_Mapping_Sheet!$E$2:$E$3143),
Master_Mapping_Sheet!$C$2:$C$3143=AX$1,
Master_Mapping_Sheet!$L$2:$L$3143=$A8))/sum(filter(
Maste"&amp;"r_Mapping_Sheet!$E$2:$E$3143, ISNUMBER(
Master_Mapping_Sheet!$E$2:$E$3143),
Master_Mapping_Sheet!$C$2:$C$3143=AX$1)))"),0.5556375987177915)</f>
        <v>0.5556375987</v>
      </c>
      <c r="AY8" s="34">
        <f>IFERROR(__xludf.DUMMYFUNCTION("IF(ISNA(sum(filter(
Master_Mapping_Sheet!$E$2:$E$3143, ISNUMBER(
Master_Mapping_Sheet!$E$2:$E$3143),
Master_Mapping_Sheet!$C$2:$C$3143=AY$1,
Master_Mapping_Sheet!$L$2:$L$3143=$A8))/sum(filter(
Master_Mapping_Sheet!$E$2:$E$3143, ISNUMBER(
Master_Mapping_Sh"&amp;"eet!$E$2:$E$3143),
Master_Mapping_Sheet!$C$2:$C$3143=AY$1))), 0, sum(filter(
Master_Mapping_Sheet!$E$2:$E$3143, ISNUMBER(
Master_Mapping_Sheet!$E$2:$E$3143),
Master_Mapping_Sheet!$C$2:$C$3143=AY$1,
Master_Mapping_Sheet!$L$2:$L$3143=$A8))/sum(filter(
Maste"&amp;"r_Mapping_Sheet!$E$2:$E$3143, ISNUMBER(
Master_Mapping_Sheet!$E$2:$E$3143),
Master_Mapping_Sheet!$C$2:$C$3143=AY$1)))"),0.0)</f>
        <v>0</v>
      </c>
      <c r="AZ8" s="34">
        <f>IFERROR(__xludf.DUMMYFUNCTION("IF(ISNA(sum(filter(
Master_Mapping_Sheet!$E$2:$E$3143, ISNUMBER(
Master_Mapping_Sheet!$E$2:$E$3143),
Master_Mapping_Sheet!$C$2:$C$3143=AZ$1,
Master_Mapping_Sheet!$L$2:$L$3143=$A8))/sum(filter(
Master_Mapping_Sheet!$E$2:$E$3143, ISNUMBER(
Master_Mapping_Sh"&amp;"eet!$E$2:$E$3143),
Master_Mapping_Sheet!$C$2:$C$3143=AZ$1))), 0, sum(filter(
Master_Mapping_Sheet!$E$2:$E$3143, ISNUMBER(
Master_Mapping_Sheet!$E$2:$E$3143),
Master_Mapping_Sheet!$C$2:$C$3143=AZ$1,
Master_Mapping_Sheet!$L$2:$L$3143=$A8))/sum(filter(
Maste"&amp;"r_Mapping_Sheet!$E$2:$E$3143, ISNUMBER(
Master_Mapping_Sheet!$E$2:$E$3143),
Master_Mapping_Sheet!$C$2:$C$3143=AZ$1)))"),0.0)</f>
        <v>0</v>
      </c>
    </row>
    <row r="9" ht="15.75" customHeight="1">
      <c r="A9" s="32" t="s">
        <v>207</v>
      </c>
      <c r="B9" s="34">
        <f>IFERROR(__xludf.DUMMYFUNCTION("IF(ISNA(sum(filter(
Master_Mapping_Sheet!$E$2:$E$3143, ISNUMBER(
Master_Mapping_Sheet!$E$2:$E$3143),
Master_Mapping_Sheet!$C$2:$C$3143=B$1,
Master_Mapping_Sheet!$L$2:$L$3143=$A9))/sum(filter(
Master_Mapping_Sheet!$E$2:$E$3143, ISNUMBER(
Master_Mapping_She"&amp;"et!$E$2:$E$3143),
Master_Mapping_Sheet!$C$2:$C$3143=B$1))), 0, sum(filter(
Master_Mapping_Sheet!$E$2:$E$3143, ISNUMBER(
Master_Mapping_Sheet!$E$2:$E$3143),
Master_Mapping_Sheet!$C$2:$C$3143=B$1,
Master_Mapping_Sheet!$L$2:$L$3143=$A9))/sum(filter(
Master_M"&amp;"apping_Sheet!$E$2:$E$3143, ISNUMBER(
Master_Mapping_Sheet!$E$2:$E$3143),
Master_Mapping_Sheet!$C$2:$C$3143=B$1)))"),0.0)</f>
        <v>0</v>
      </c>
      <c r="C9" s="34">
        <f>IFERROR(__xludf.DUMMYFUNCTION("IF(ISNA(sum(filter(
Master_Mapping_Sheet!$E$2:$E$3143, ISNUMBER(
Master_Mapping_Sheet!$E$2:$E$3143),
Master_Mapping_Sheet!$C$2:$C$3143=C$1,
Master_Mapping_Sheet!$L$2:$L$3143=$A9))/sum(filter(
Master_Mapping_Sheet!$E$2:$E$3143, ISNUMBER(
Master_Mapping_She"&amp;"et!$E$2:$E$3143),
Master_Mapping_Sheet!$C$2:$C$3143=C$1))), 0, sum(filter(
Master_Mapping_Sheet!$E$2:$E$3143, ISNUMBER(
Master_Mapping_Sheet!$E$2:$E$3143),
Master_Mapping_Sheet!$C$2:$C$3143=C$1,
Master_Mapping_Sheet!$L$2:$L$3143=$A9))/sum(filter(
Master_M"&amp;"apping_Sheet!$E$2:$E$3143, ISNUMBER(
Master_Mapping_Sheet!$E$2:$E$3143),
Master_Mapping_Sheet!$C$2:$C$3143=C$1)))"),0.0)</f>
        <v>0</v>
      </c>
      <c r="D9" s="34">
        <f>IFERROR(__xludf.DUMMYFUNCTION("IF(ISNA(sum(filter(
Master_Mapping_Sheet!$E$2:$E$3143, ISNUMBER(
Master_Mapping_Sheet!$E$2:$E$3143),
Master_Mapping_Sheet!$C$2:$C$3143=D$1,
Master_Mapping_Sheet!$L$2:$L$3143=$A9))/sum(filter(
Master_Mapping_Sheet!$E$2:$E$3143, ISNUMBER(
Master_Mapping_She"&amp;"et!$E$2:$E$3143),
Master_Mapping_Sheet!$C$2:$C$3143=D$1))), 0, sum(filter(
Master_Mapping_Sheet!$E$2:$E$3143, ISNUMBER(
Master_Mapping_Sheet!$E$2:$E$3143),
Master_Mapping_Sheet!$C$2:$C$3143=D$1,
Master_Mapping_Sheet!$L$2:$L$3143=$A9))/sum(filter(
Master_M"&amp;"apping_Sheet!$E$2:$E$3143, ISNUMBER(
Master_Mapping_Sheet!$E$2:$E$3143),
Master_Mapping_Sheet!$C$2:$C$3143=D$1)))"),0.04078454718285145)</f>
        <v>0.04078454718</v>
      </c>
      <c r="E9" s="34">
        <f>IFERROR(__xludf.DUMMYFUNCTION("IF(ISNA(sum(filter(
Master_Mapping_Sheet!$E$2:$E$3143, ISNUMBER(
Master_Mapping_Sheet!$E$2:$E$3143),
Master_Mapping_Sheet!$C$2:$C$3143=E$1,
Master_Mapping_Sheet!$L$2:$L$3143=$A9))/sum(filter(
Master_Mapping_Sheet!$E$2:$E$3143, ISNUMBER(
Master_Mapping_She"&amp;"et!$E$2:$E$3143),
Master_Mapping_Sheet!$C$2:$C$3143=E$1))), 0, sum(filter(
Master_Mapping_Sheet!$E$2:$E$3143, ISNUMBER(
Master_Mapping_Sheet!$E$2:$E$3143),
Master_Mapping_Sheet!$C$2:$C$3143=E$1,
Master_Mapping_Sheet!$L$2:$L$3143=$A9))/sum(filter(
Master_M"&amp;"apping_Sheet!$E$2:$E$3143, ISNUMBER(
Master_Mapping_Sheet!$E$2:$E$3143),
Master_Mapping_Sheet!$C$2:$C$3143=E$1)))"),0.0)</f>
        <v>0</v>
      </c>
      <c r="F9" s="34">
        <f>IFERROR(__xludf.DUMMYFUNCTION("IF(ISNA(sum(filter(
Master_Mapping_Sheet!$E$2:$E$3143, ISNUMBER(
Master_Mapping_Sheet!$E$2:$E$3143),
Master_Mapping_Sheet!$C$2:$C$3143=F$1,
Master_Mapping_Sheet!$L$2:$L$3143=$A9))/sum(filter(
Master_Mapping_Sheet!$E$2:$E$3143, ISNUMBER(
Master_Mapping_She"&amp;"et!$E$2:$E$3143),
Master_Mapping_Sheet!$C$2:$C$3143=F$1))), 0, sum(filter(
Master_Mapping_Sheet!$E$2:$E$3143, ISNUMBER(
Master_Mapping_Sheet!$E$2:$E$3143),
Master_Mapping_Sheet!$C$2:$C$3143=F$1,
Master_Mapping_Sheet!$L$2:$L$3143=$A9))/sum(filter(
Master_M"&amp;"apping_Sheet!$E$2:$E$3143, ISNUMBER(
Master_Mapping_Sheet!$E$2:$E$3143),
Master_Mapping_Sheet!$C$2:$C$3143=F$1)))"),0.01164600929860658)</f>
        <v>0.0116460093</v>
      </c>
      <c r="G9" s="34">
        <f>IFERROR(__xludf.DUMMYFUNCTION("IF(ISNA(sum(filter(
Master_Mapping_Sheet!$E$2:$E$3143, ISNUMBER(
Master_Mapping_Sheet!$E$2:$E$3143),
Master_Mapping_Sheet!$C$2:$C$3143=G$1,
Master_Mapping_Sheet!$L$2:$L$3143=$A9))/sum(filter(
Master_Mapping_Sheet!$E$2:$E$3143, ISNUMBER(
Master_Mapping_She"&amp;"et!$E$2:$E$3143),
Master_Mapping_Sheet!$C$2:$C$3143=G$1))), 0, sum(filter(
Master_Mapping_Sheet!$E$2:$E$3143, ISNUMBER(
Master_Mapping_Sheet!$E$2:$E$3143),
Master_Mapping_Sheet!$C$2:$C$3143=G$1,
Master_Mapping_Sheet!$L$2:$L$3143=$A9))/sum(filter(
Master_M"&amp;"apping_Sheet!$E$2:$E$3143, ISNUMBER(
Master_Mapping_Sheet!$E$2:$E$3143),
Master_Mapping_Sheet!$C$2:$C$3143=G$1)))"),0.006095674942706304)</f>
        <v>0.006095674943</v>
      </c>
      <c r="H9" s="34">
        <f>IFERROR(__xludf.DUMMYFUNCTION("IF(ISNA(sum(filter(
Master_Mapping_Sheet!$E$2:$E$3143, ISNUMBER(
Master_Mapping_Sheet!$E$2:$E$3143),
Master_Mapping_Sheet!$C$2:$C$3143=H$1,
Master_Mapping_Sheet!$L$2:$L$3143=$A9))/sum(filter(
Master_Mapping_Sheet!$E$2:$E$3143, ISNUMBER(
Master_Mapping_She"&amp;"et!$E$2:$E$3143),
Master_Mapping_Sheet!$C$2:$C$3143=H$1))), 0, sum(filter(
Master_Mapping_Sheet!$E$2:$E$3143, ISNUMBER(
Master_Mapping_Sheet!$E$2:$E$3143),
Master_Mapping_Sheet!$C$2:$C$3143=H$1,
Master_Mapping_Sheet!$L$2:$L$3143=$A9))/sum(filter(
Master_M"&amp;"apping_Sheet!$E$2:$E$3143, ISNUMBER(
Master_Mapping_Sheet!$E$2:$E$3143),
Master_Mapping_Sheet!$C$2:$C$3143=H$1)))"),0.0)</f>
        <v>0</v>
      </c>
      <c r="I9" s="34">
        <f>IFERROR(__xludf.DUMMYFUNCTION("IF(ISNA(sum(filter(
Master_Mapping_Sheet!$E$2:$E$3143, ISNUMBER(
Master_Mapping_Sheet!$E$2:$E$3143),
Master_Mapping_Sheet!$C$2:$C$3143=I$1,
Master_Mapping_Sheet!$L$2:$L$3143=$A9))/sum(filter(
Master_Mapping_Sheet!$E$2:$E$3143, ISNUMBER(
Master_Mapping_She"&amp;"et!$E$2:$E$3143),
Master_Mapping_Sheet!$C$2:$C$3143=I$1))), 0, sum(filter(
Master_Mapping_Sheet!$E$2:$E$3143, ISNUMBER(
Master_Mapping_Sheet!$E$2:$E$3143),
Master_Mapping_Sheet!$C$2:$C$3143=I$1,
Master_Mapping_Sheet!$L$2:$L$3143=$A9))/sum(filter(
Master_M"&amp;"apping_Sheet!$E$2:$E$3143, ISNUMBER(
Master_Mapping_Sheet!$E$2:$E$3143),
Master_Mapping_Sheet!$C$2:$C$3143=I$1)))"),0.0)</f>
        <v>0</v>
      </c>
      <c r="J9" s="34">
        <f>IFERROR(__xludf.DUMMYFUNCTION("IF(ISNA(sum(filter(
Master_Mapping_Sheet!$E$2:$E$3143, ISNUMBER(
Master_Mapping_Sheet!$E$2:$E$3143),
Master_Mapping_Sheet!$C$2:$C$3143=J$1,
Master_Mapping_Sheet!$L$2:$L$3143=$A9))/sum(filter(
Master_Mapping_Sheet!$E$2:$E$3143, ISNUMBER(
Master_Mapping_She"&amp;"et!$E$2:$E$3143),
Master_Mapping_Sheet!$C$2:$C$3143=J$1))), 0, sum(filter(
Master_Mapping_Sheet!$E$2:$E$3143, ISNUMBER(
Master_Mapping_Sheet!$E$2:$E$3143),
Master_Mapping_Sheet!$C$2:$C$3143=J$1,
Master_Mapping_Sheet!$L$2:$L$3143=$A9))/sum(filter(
Master_M"&amp;"apping_Sheet!$E$2:$E$3143, ISNUMBER(
Master_Mapping_Sheet!$E$2:$E$3143),
Master_Mapping_Sheet!$C$2:$C$3143=J$1)))"),0.0)</f>
        <v>0</v>
      </c>
      <c r="K9" s="34">
        <f>IFERROR(__xludf.DUMMYFUNCTION("IF(ISNA(sum(filter(
Master_Mapping_Sheet!$E$2:$E$3143, ISNUMBER(
Master_Mapping_Sheet!$E$2:$E$3143),
Master_Mapping_Sheet!$C$2:$C$3143=K$1,
Master_Mapping_Sheet!$L$2:$L$3143=$A9))/sum(filter(
Master_Mapping_Sheet!$E$2:$E$3143, ISNUMBER(
Master_Mapping_She"&amp;"et!$E$2:$E$3143),
Master_Mapping_Sheet!$C$2:$C$3143=K$1))), 0, sum(filter(
Master_Mapping_Sheet!$E$2:$E$3143, ISNUMBER(
Master_Mapping_Sheet!$E$2:$E$3143),
Master_Mapping_Sheet!$C$2:$C$3143=K$1,
Master_Mapping_Sheet!$L$2:$L$3143=$A9))/sum(filter(
Master_M"&amp;"apping_Sheet!$E$2:$E$3143, ISNUMBER(
Master_Mapping_Sheet!$E$2:$E$3143),
Master_Mapping_Sheet!$C$2:$C$3143=K$1)))"),0.0)</f>
        <v>0</v>
      </c>
      <c r="L9" s="34">
        <f>IFERROR(__xludf.DUMMYFUNCTION("IF(ISNA(sum(filter(
Master_Mapping_Sheet!$E$2:$E$3143, ISNUMBER(
Master_Mapping_Sheet!$E$2:$E$3143),
Master_Mapping_Sheet!$C$2:$C$3143=L$1,
Master_Mapping_Sheet!$L$2:$L$3143=$A9))/sum(filter(
Master_Mapping_Sheet!$E$2:$E$3143, ISNUMBER(
Master_Mapping_She"&amp;"et!$E$2:$E$3143),
Master_Mapping_Sheet!$C$2:$C$3143=L$1))), 0, sum(filter(
Master_Mapping_Sheet!$E$2:$E$3143, ISNUMBER(
Master_Mapping_Sheet!$E$2:$E$3143),
Master_Mapping_Sheet!$C$2:$C$3143=L$1,
Master_Mapping_Sheet!$L$2:$L$3143=$A9))/sum(filter(
Master_M"&amp;"apping_Sheet!$E$2:$E$3143, ISNUMBER(
Master_Mapping_Sheet!$E$2:$E$3143),
Master_Mapping_Sheet!$C$2:$C$3143=L$1)))"),0.0)</f>
        <v>0</v>
      </c>
      <c r="M9" s="34">
        <f>IFERROR(__xludf.DUMMYFUNCTION("IF(ISNA(sum(filter(
Master_Mapping_Sheet!$E$2:$E$3143, ISNUMBER(
Master_Mapping_Sheet!$E$2:$E$3143),
Master_Mapping_Sheet!$C$2:$C$3143=M$1,
Master_Mapping_Sheet!$L$2:$L$3143=$A9))/sum(filter(
Master_Mapping_Sheet!$E$2:$E$3143, ISNUMBER(
Master_Mapping_She"&amp;"et!$E$2:$E$3143),
Master_Mapping_Sheet!$C$2:$C$3143=M$1))), 0, sum(filter(
Master_Mapping_Sheet!$E$2:$E$3143, ISNUMBER(
Master_Mapping_Sheet!$E$2:$E$3143),
Master_Mapping_Sheet!$C$2:$C$3143=M$1,
Master_Mapping_Sheet!$L$2:$L$3143=$A9))/sum(filter(
Master_M"&amp;"apping_Sheet!$E$2:$E$3143, ISNUMBER(
Master_Mapping_Sheet!$E$2:$E$3143),
Master_Mapping_Sheet!$C$2:$C$3143=M$1)))"),0.0)</f>
        <v>0</v>
      </c>
      <c r="N9" s="34">
        <f>IFERROR(__xludf.DUMMYFUNCTION("IF(ISNA(sum(filter(
Master_Mapping_Sheet!$E$2:$E$3143, ISNUMBER(
Master_Mapping_Sheet!$E$2:$E$3143),
Master_Mapping_Sheet!$C$2:$C$3143=N$1,
Master_Mapping_Sheet!$L$2:$L$3143=$A9))/sum(filter(
Master_Mapping_Sheet!$E$2:$E$3143, ISNUMBER(
Master_Mapping_She"&amp;"et!$E$2:$E$3143),
Master_Mapping_Sheet!$C$2:$C$3143=N$1))), 0, sum(filter(
Master_Mapping_Sheet!$E$2:$E$3143, ISNUMBER(
Master_Mapping_Sheet!$E$2:$E$3143),
Master_Mapping_Sheet!$C$2:$C$3143=N$1,
Master_Mapping_Sheet!$L$2:$L$3143=$A9))/sum(filter(
Master_M"&amp;"apping_Sheet!$E$2:$E$3143, ISNUMBER(
Master_Mapping_Sheet!$E$2:$E$3143),
Master_Mapping_Sheet!$C$2:$C$3143=N$1)))"),0.0)</f>
        <v>0</v>
      </c>
      <c r="O9" s="34">
        <f>IFERROR(__xludf.DUMMYFUNCTION("IF(ISNA(sum(filter(
Master_Mapping_Sheet!$E$2:$E$3143, ISNUMBER(
Master_Mapping_Sheet!$E$2:$E$3143),
Master_Mapping_Sheet!$C$2:$C$3143=O$1,
Master_Mapping_Sheet!$L$2:$L$3143=$A9))/sum(filter(
Master_Mapping_Sheet!$E$2:$E$3143, ISNUMBER(
Master_Mapping_She"&amp;"et!$E$2:$E$3143),
Master_Mapping_Sheet!$C$2:$C$3143=O$1))), 0, sum(filter(
Master_Mapping_Sheet!$E$2:$E$3143, ISNUMBER(
Master_Mapping_Sheet!$E$2:$E$3143),
Master_Mapping_Sheet!$C$2:$C$3143=O$1,
Master_Mapping_Sheet!$L$2:$L$3143=$A9))/sum(filter(
Master_M"&amp;"apping_Sheet!$E$2:$E$3143, ISNUMBER(
Master_Mapping_Sheet!$E$2:$E$3143),
Master_Mapping_Sheet!$C$2:$C$3143=O$1)))"),0.0)</f>
        <v>0</v>
      </c>
      <c r="P9" s="34">
        <f>IFERROR(__xludf.DUMMYFUNCTION("IF(ISNA(sum(filter(
Master_Mapping_Sheet!$E$2:$E$3143, ISNUMBER(
Master_Mapping_Sheet!$E$2:$E$3143),
Master_Mapping_Sheet!$C$2:$C$3143=P$1,
Master_Mapping_Sheet!$L$2:$L$3143=$A9))/sum(filter(
Master_Mapping_Sheet!$E$2:$E$3143, ISNUMBER(
Master_Mapping_She"&amp;"et!$E$2:$E$3143),
Master_Mapping_Sheet!$C$2:$C$3143=P$1))), 0, sum(filter(
Master_Mapping_Sheet!$E$2:$E$3143, ISNUMBER(
Master_Mapping_Sheet!$E$2:$E$3143),
Master_Mapping_Sheet!$C$2:$C$3143=P$1,
Master_Mapping_Sheet!$L$2:$L$3143=$A9))/sum(filter(
Master_M"&amp;"apping_Sheet!$E$2:$E$3143, ISNUMBER(
Master_Mapping_Sheet!$E$2:$E$3143),
Master_Mapping_Sheet!$C$2:$C$3143=P$1)))"),0.0)</f>
        <v>0</v>
      </c>
      <c r="Q9" s="34">
        <f>IFERROR(__xludf.DUMMYFUNCTION("IF(ISNA(sum(filter(
Master_Mapping_Sheet!$E$2:$E$3143, ISNUMBER(
Master_Mapping_Sheet!$E$2:$E$3143),
Master_Mapping_Sheet!$C$2:$C$3143=Q$1,
Master_Mapping_Sheet!$L$2:$L$3143=$A9))/sum(filter(
Master_Mapping_Sheet!$E$2:$E$3143, ISNUMBER(
Master_Mapping_She"&amp;"et!$E$2:$E$3143),
Master_Mapping_Sheet!$C$2:$C$3143=Q$1))), 0, sum(filter(
Master_Mapping_Sheet!$E$2:$E$3143, ISNUMBER(
Master_Mapping_Sheet!$E$2:$E$3143),
Master_Mapping_Sheet!$C$2:$C$3143=Q$1,
Master_Mapping_Sheet!$L$2:$L$3143=$A9))/sum(filter(
Master_M"&amp;"apping_Sheet!$E$2:$E$3143, ISNUMBER(
Master_Mapping_Sheet!$E$2:$E$3143),
Master_Mapping_Sheet!$C$2:$C$3143=Q$1)))"),0.0)</f>
        <v>0</v>
      </c>
      <c r="R9" s="34">
        <f>IFERROR(__xludf.DUMMYFUNCTION("IF(ISNA(sum(filter(
Master_Mapping_Sheet!$E$2:$E$3143, ISNUMBER(
Master_Mapping_Sheet!$E$2:$E$3143),
Master_Mapping_Sheet!$C$2:$C$3143=R$1,
Master_Mapping_Sheet!$L$2:$L$3143=$A9))/sum(filter(
Master_Mapping_Sheet!$E$2:$E$3143, ISNUMBER(
Master_Mapping_She"&amp;"et!$E$2:$E$3143),
Master_Mapping_Sheet!$C$2:$C$3143=R$1))), 0, sum(filter(
Master_Mapping_Sheet!$E$2:$E$3143, ISNUMBER(
Master_Mapping_Sheet!$E$2:$E$3143),
Master_Mapping_Sheet!$C$2:$C$3143=R$1,
Master_Mapping_Sheet!$L$2:$L$3143=$A9))/sum(filter(
Master_M"&amp;"apping_Sheet!$E$2:$E$3143, ISNUMBER(
Master_Mapping_Sheet!$E$2:$E$3143),
Master_Mapping_Sheet!$C$2:$C$3143=R$1)))"),0.0)</f>
        <v>0</v>
      </c>
      <c r="S9" s="34">
        <f>IFERROR(__xludf.DUMMYFUNCTION("IF(ISNA(sum(filter(
Master_Mapping_Sheet!$E$2:$E$3143, ISNUMBER(
Master_Mapping_Sheet!$E$2:$E$3143),
Master_Mapping_Sheet!$C$2:$C$3143=S$1,
Master_Mapping_Sheet!$L$2:$L$3143=$A9))/sum(filter(
Master_Mapping_Sheet!$E$2:$E$3143, ISNUMBER(
Master_Mapping_She"&amp;"et!$E$2:$E$3143),
Master_Mapping_Sheet!$C$2:$C$3143=S$1))), 0, sum(filter(
Master_Mapping_Sheet!$E$2:$E$3143, ISNUMBER(
Master_Mapping_Sheet!$E$2:$E$3143),
Master_Mapping_Sheet!$C$2:$C$3143=S$1,
Master_Mapping_Sheet!$L$2:$L$3143=$A9))/sum(filter(
Master_M"&amp;"apping_Sheet!$E$2:$E$3143, ISNUMBER(
Master_Mapping_Sheet!$E$2:$E$3143),
Master_Mapping_Sheet!$C$2:$C$3143=S$1)))"),0.0)</f>
        <v>0</v>
      </c>
      <c r="T9" s="34">
        <f>IFERROR(__xludf.DUMMYFUNCTION("IF(ISNA(sum(filter(
Master_Mapping_Sheet!$E$2:$E$3143, ISNUMBER(
Master_Mapping_Sheet!$E$2:$E$3143),
Master_Mapping_Sheet!$C$2:$C$3143=T$1,
Master_Mapping_Sheet!$L$2:$L$3143=$A9))/sum(filter(
Master_Mapping_Sheet!$E$2:$E$3143, ISNUMBER(
Master_Mapping_She"&amp;"et!$E$2:$E$3143),
Master_Mapping_Sheet!$C$2:$C$3143=T$1))), 0, sum(filter(
Master_Mapping_Sheet!$E$2:$E$3143, ISNUMBER(
Master_Mapping_Sheet!$E$2:$E$3143),
Master_Mapping_Sheet!$C$2:$C$3143=T$1,
Master_Mapping_Sheet!$L$2:$L$3143=$A9))/sum(filter(
Master_M"&amp;"apping_Sheet!$E$2:$E$3143, ISNUMBER(
Master_Mapping_Sheet!$E$2:$E$3143),
Master_Mapping_Sheet!$C$2:$C$3143=T$1)))"),0.0)</f>
        <v>0</v>
      </c>
      <c r="U9" s="34">
        <f>IFERROR(__xludf.DUMMYFUNCTION("IF(ISNA(sum(filter(
Master_Mapping_Sheet!$E$2:$E$3143, ISNUMBER(
Master_Mapping_Sheet!$E$2:$E$3143),
Master_Mapping_Sheet!$C$2:$C$3143=U$1,
Master_Mapping_Sheet!$L$2:$L$3143=$A9))/sum(filter(
Master_Mapping_Sheet!$E$2:$E$3143, ISNUMBER(
Master_Mapping_She"&amp;"et!$E$2:$E$3143),
Master_Mapping_Sheet!$C$2:$C$3143=U$1))), 0, sum(filter(
Master_Mapping_Sheet!$E$2:$E$3143, ISNUMBER(
Master_Mapping_Sheet!$E$2:$E$3143),
Master_Mapping_Sheet!$C$2:$C$3143=U$1,
Master_Mapping_Sheet!$L$2:$L$3143=$A9))/sum(filter(
Master_M"&amp;"apping_Sheet!$E$2:$E$3143, ISNUMBER(
Master_Mapping_Sheet!$E$2:$E$3143),
Master_Mapping_Sheet!$C$2:$C$3143=U$1)))"),0.0)</f>
        <v>0</v>
      </c>
      <c r="V9" s="34">
        <f>IFERROR(__xludf.DUMMYFUNCTION("IF(ISNA(sum(filter(
Master_Mapping_Sheet!$E$2:$E$3143, ISNUMBER(
Master_Mapping_Sheet!$E$2:$E$3143),
Master_Mapping_Sheet!$C$2:$C$3143=V$1,
Master_Mapping_Sheet!$L$2:$L$3143=$A9))/sum(filter(
Master_Mapping_Sheet!$E$2:$E$3143, ISNUMBER(
Master_Mapping_She"&amp;"et!$E$2:$E$3143),
Master_Mapping_Sheet!$C$2:$C$3143=V$1))), 0, sum(filter(
Master_Mapping_Sheet!$E$2:$E$3143, ISNUMBER(
Master_Mapping_Sheet!$E$2:$E$3143),
Master_Mapping_Sheet!$C$2:$C$3143=V$1,
Master_Mapping_Sheet!$L$2:$L$3143=$A9))/sum(filter(
Master_M"&amp;"apping_Sheet!$E$2:$E$3143, ISNUMBER(
Master_Mapping_Sheet!$E$2:$E$3143),
Master_Mapping_Sheet!$C$2:$C$3143=V$1)))"),0.0)</f>
        <v>0</v>
      </c>
      <c r="W9" s="34">
        <f>IFERROR(__xludf.DUMMYFUNCTION("IF(ISNA(sum(filter(
Master_Mapping_Sheet!$E$2:$E$3143, ISNUMBER(
Master_Mapping_Sheet!$E$2:$E$3143),
Master_Mapping_Sheet!$C$2:$C$3143=W$1,
Master_Mapping_Sheet!$L$2:$L$3143=$A9))/sum(filter(
Master_Mapping_Sheet!$E$2:$E$3143, ISNUMBER(
Master_Mapping_She"&amp;"et!$E$2:$E$3143),
Master_Mapping_Sheet!$C$2:$C$3143=W$1))), 0, sum(filter(
Master_Mapping_Sheet!$E$2:$E$3143, ISNUMBER(
Master_Mapping_Sheet!$E$2:$E$3143),
Master_Mapping_Sheet!$C$2:$C$3143=W$1,
Master_Mapping_Sheet!$L$2:$L$3143=$A9))/sum(filter(
Master_M"&amp;"apping_Sheet!$E$2:$E$3143, ISNUMBER(
Master_Mapping_Sheet!$E$2:$E$3143),
Master_Mapping_Sheet!$C$2:$C$3143=W$1)))"),0.0)</f>
        <v>0</v>
      </c>
      <c r="X9" s="34">
        <f>IFERROR(__xludf.DUMMYFUNCTION("IF(ISNA(sum(filter(
Master_Mapping_Sheet!$E$2:$E$3143, ISNUMBER(
Master_Mapping_Sheet!$E$2:$E$3143),
Master_Mapping_Sheet!$C$2:$C$3143=X$1,
Master_Mapping_Sheet!$L$2:$L$3143=$A9))/sum(filter(
Master_Mapping_Sheet!$E$2:$E$3143, ISNUMBER(
Master_Mapping_She"&amp;"et!$E$2:$E$3143),
Master_Mapping_Sheet!$C$2:$C$3143=X$1))), 0, sum(filter(
Master_Mapping_Sheet!$E$2:$E$3143, ISNUMBER(
Master_Mapping_Sheet!$E$2:$E$3143),
Master_Mapping_Sheet!$C$2:$C$3143=X$1,
Master_Mapping_Sheet!$L$2:$L$3143=$A9))/sum(filter(
Master_M"&amp;"apping_Sheet!$E$2:$E$3143, ISNUMBER(
Master_Mapping_Sheet!$E$2:$E$3143),
Master_Mapping_Sheet!$C$2:$C$3143=X$1)))"),0.0)</f>
        <v>0</v>
      </c>
      <c r="Y9" s="34">
        <f>IFERROR(__xludf.DUMMYFUNCTION("IF(ISNA(sum(filter(
Master_Mapping_Sheet!$E$2:$E$3143, ISNUMBER(
Master_Mapping_Sheet!$E$2:$E$3143),
Master_Mapping_Sheet!$C$2:$C$3143=Y$1,
Master_Mapping_Sheet!$L$2:$L$3143=$A9))/sum(filter(
Master_Mapping_Sheet!$E$2:$E$3143, ISNUMBER(
Master_Mapping_She"&amp;"et!$E$2:$E$3143),
Master_Mapping_Sheet!$C$2:$C$3143=Y$1))), 0, sum(filter(
Master_Mapping_Sheet!$E$2:$E$3143, ISNUMBER(
Master_Mapping_Sheet!$E$2:$E$3143),
Master_Mapping_Sheet!$C$2:$C$3143=Y$1,
Master_Mapping_Sheet!$L$2:$L$3143=$A9))/sum(filter(
Master_M"&amp;"apping_Sheet!$E$2:$E$3143, ISNUMBER(
Master_Mapping_Sheet!$E$2:$E$3143),
Master_Mapping_Sheet!$C$2:$C$3143=Y$1)))"),0.0)</f>
        <v>0</v>
      </c>
      <c r="Z9" s="34">
        <f>IFERROR(__xludf.DUMMYFUNCTION("IF(ISNA(sum(filter(
Master_Mapping_Sheet!$E$2:$E$3143, ISNUMBER(
Master_Mapping_Sheet!$E$2:$E$3143),
Master_Mapping_Sheet!$C$2:$C$3143=Z$1,
Master_Mapping_Sheet!$L$2:$L$3143=$A9))/sum(filter(
Master_Mapping_Sheet!$E$2:$E$3143, ISNUMBER(
Master_Mapping_She"&amp;"et!$E$2:$E$3143),
Master_Mapping_Sheet!$C$2:$C$3143=Z$1))), 0, sum(filter(
Master_Mapping_Sheet!$E$2:$E$3143, ISNUMBER(
Master_Mapping_Sheet!$E$2:$E$3143),
Master_Mapping_Sheet!$C$2:$C$3143=Z$1,
Master_Mapping_Sheet!$L$2:$L$3143=$A9))/sum(filter(
Master_M"&amp;"apping_Sheet!$E$2:$E$3143, ISNUMBER(
Master_Mapping_Sheet!$E$2:$E$3143),
Master_Mapping_Sheet!$C$2:$C$3143=Z$1)))"),0.0)</f>
        <v>0</v>
      </c>
      <c r="AA9" s="34">
        <f>IFERROR(__xludf.DUMMYFUNCTION("IF(ISNA(sum(filter(
Master_Mapping_Sheet!$E$2:$E$3143, ISNUMBER(
Master_Mapping_Sheet!$E$2:$E$3143),
Master_Mapping_Sheet!$C$2:$C$3143=AA$1,
Master_Mapping_Sheet!$L$2:$L$3143=$A9))/sum(filter(
Master_Mapping_Sheet!$E$2:$E$3143, ISNUMBER(
Master_Mapping_Sh"&amp;"eet!$E$2:$E$3143),
Master_Mapping_Sheet!$C$2:$C$3143=AA$1))), 0, sum(filter(
Master_Mapping_Sheet!$E$2:$E$3143, ISNUMBER(
Master_Mapping_Sheet!$E$2:$E$3143),
Master_Mapping_Sheet!$C$2:$C$3143=AA$1,
Master_Mapping_Sheet!$L$2:$L$3143=$A9))/sum(filter(
Maste"&amp;"r_Mapping_Sheet!$E$2:$E$3143, ISNUMBER(
Master_Mapping_Sheet!$E$2:$E$3143),
Master_Mapping_Sheet!$C$2:$C$3143=AA$1)))"),0.0)</f>
        <v>0</v>
      </c>
      <c r="AB9" s="34">
        <f>IFERROR(__xludf.DUMMYFUNCTION("IF(ISNA(sum(filter(
Master_Mapping_Sheet!$E$2:$E$3143, ISNUMBER(
Master_Mapping_Sheet!$E$2:$E$3143),
Master_Mapping_Sheet!$C$2:$C$3143=AB$1,
Master_Mapping_Sheet!$L$2:$L$3143=$A9))/sum(filter(
Master_Mapping_Sheet!$E$2:$E$3143, ISNUMBER(
Master_Mapping_Sh"&amp;"eet!$E$2:$E$3143),
Master_Mapping_Sheet!$C$2:$C$3143=AB$1))), 0, sum(filter(
Master_Mapping_Sheet!$E$2:$E$3143, ISNUMBER(
Master_Mapping_Sheet!$E$2:$E$3143),
Master_Mapping_Sheet!$C$2:$C$3143=AB$1,
Master_Mapping_Sheet!$L$2:$L$3143=$A9))/sum(filter(
Maste"&amp;"r_Mapping_Sheet!$E$2:$E$3143, ISNUMBER(
Master_Mapping_Sheet!$E$2:$E$3143),
Master_Mapping_Sheet!$C$2:$C$3143=AB$1)))"),0.0)</f>
        <v>0</v>
      </c>
      <c r="AC9" s="34">
        <f>IFERROR(__xludf.DUMMYFUNCTION("IF(ISNA(sum(filter(
Master_Mapping_Sheet!$E$2:$E$3143, ISNUMBER(
Master_Mapping_Sheet!$E$2:$E$3143),
Master_Mapping_Sheet!$C$2:$C$3143=AC$1,
Master_Mapping_Sheet!$L$2:$L$3143=$A9))/sum(filter(
Master_Mapping_Sheet!$E$2:$E$3143, ISNUMBER(
Master_Mapping_Sh"&amp;"eet!$E$2:$E$3143),
Master_Mapping_Sheet!$C$2:$C$3143=AC$1))), 0, sum(filter(
Master_Mapping_Sheet!$E$2:$E$3143, ISNUMBER(
Master_Mapping_Sheet!$E$2:$E$3143),
Master_Mapping_Sheet!$C$2:$C$3143=AC$1,
Master_Mapping_Sheet!$L$2:$L$3143=$A9))/sum(filter(
Maste"&amp;"r_Mapping_Sheet!$E$2:$E$3143, ISNUMBER(
Master_Mapping_Sheet!$E$2:$E$3143),
Master_Mapping_Sheet!$C$2:$C$3143=AC$1)))"),0.0)</f>
        <v>0</v>
      </c>
      <c r="AD9" s="34">
        <f>IFERROR(__xludf.DUMMYFUNCTION("IF(ISNA(sum(filter(
Master_Mapping_Sheet!$E$2:$E$3143, ISNUMBER(
Master_Mapping_Sheet!$E$2:$E$3143),
Master_Mapping_Sheet!$C$2:$C$3143=AD$1,
Master_Mapping_Sheet!$L$2:$L$3143=$A9))/sum(filter(
Master_Mapping_Sheet!$E$2:$E$3143, ISNUMBER(
Master_Mapping_Sh"&amp;"eet!$E$2:$E$3143),
Master_Mapping_Sheet!$C$2:$C$3143=AD$1))), 0, sum(filter(
Master_Mapping_Sheet!$E$2:$E$3143, ISNUMBER(
Master_Mapping_Sheet!$E$2:$E$3143),
Master_Mapping_Sheet!$C$2:$C$3143=AD$1,
Master_Mapping_Sheet!$L$2:$L$3143=$A9))/sum(filter(
Maste"&amp;"r_Mapping_Sheet!$E$2:$E$3143, ISNUMBER(
Master_Mapping_Sheet!$E$2:$E$3143),
Master_Mapping_Sheet!$C$2:$C$3143=AD$1)))"),0.0)</f>
        <v>0</v>
      </c>
      <c r="AE9" s="34">
        <f>IFERROR(__xludf.DUMMYFUNCTION("IF(ISNA(sum(filter(
Master_Mapping_Sheet!$E$2:$E$3143, ISNUMBER(
Master_Mapping_Sheet!$E$2:$E$3143),
Master_Mapping_Sheet!$C$2:$C$3143=AE$1,
Master_Mapping_Sheet!$L$2:$L$3143=$A9))/sum(filter(
Master_Mapping_Sheet!$E$2:$E$3143, ISNUMBER(
Master_Mapping_Sh"&amp;"eet!$E$2:$E$3143),
Master_Mapping_Sheet!$C$2:$C$3143=AE$1))), 0, sum(filter(
Master_Mapping_Sheet!$E$2:$E$3143, ISNUMBER(
Master_Mapping_Sheet!$E$2:$E$3143),
Master_Mapping_Sheet!$C$2:$C$3143=AE$1,
Master_Mapping_Sheet!$L$2:$L$3143=$A9))/sum(filter(
Maste"&amp;"r_Mapping_Sheet!$E$2:$E$3143, ISNUMBER(
Master_Mapping_Sheet!$E$2:$E$3143),
Master_Mapping_Sheet!$C$2:$C$3143=AE$1)))"),0.0)</f>
        <v>0</v>
      </c>
      <c r="AF9" s="34">
        <f>IFERROR(__xludf.DUMMYFUNCTION("IF(ISNA(sum(filter(
Master_Mapping_Sheet!$E$2:$E$3143, ISNUMBER(
Master_Mapping_Sheet!$E$2:$E$3143),
Master_Mapping_Sheet!$C$2:$C$3143=AF$1,
Master_Mapping_Sheet!$L$2:$L$3143=$A9))/sum(filter(
Master_Mapping_Sheet!$E$2:$E$3143, ISNUMBER(
Master_Mapping_Sh"&amp;"eet!$E$2:$E$3143),
Master_Mapping_Sheet!$C$2:$C$3143=AF$1))), 0, sum(filter(
Master_Mapping_Sheet!$E$2:$E$3143, ISNUMBER(
Master_Mapping_Sheet!$E$2:$E$3143),
Master_Mapping_Sheet!$C$2:$C$3143=AF$1,
Master_Mapping_Sheet!$L$2:$L$3143=$A9))/sum(filter(
Maste"&amp;"r_Mapping_Sheet!$E$2:$E$3143, ISNUMBER(
Master_Mapping_Sheet!$E$2:$E$3143),
Master_Mapping_Sheet!$C$2:$C$3143=AF$1)))"),0.0)</f>
        <v>0</v>
      </c>
      <c r="AG9" s="34">
        <f>IFERROR(__xludf.DUMMYFUNCTION("IF(ISNA(sum(filter(
Master_Mapping_Sheet!$E$2:$E$3143, ISNUMBER(
Master_Mapping_Sheet!$E$2:$E$3143),
Master_Mapping_Sheet!$C$2:$C$3143=AG$1,
Master_Mapping_Sheet!$L$2:$L$3143=$A9))/sum(filter(
Master_Mapping_Sheet!$E$2:$E$3143, ISNUMBER(
Master_Mapping_Sh"&amp;"eet!$E$2:$E$3143),
Master_Mapping_Sheet!$C$2:$C$3143=AG$1))), 0, sum(filter(
Master_Mapping_Sheet!$E$2:$E$3143, ISNUMBER(
Master_Mapping_Sheet!$E$2:$E$3143),
Master_Mapping_Sheet!$C$2:$C$3143=AG$1,
Master_Mapping_Sheet!$L$2:$L$3143=$A9))/sum(filter(
Maste"&amp;"r_Mapping_Sheet!$E$2:$E$3143, ISNUMBER(
Master_Mapping_Sheet!$E$2:$E$3143),
Master_Mapping_Sheet!$C$2:$C$3143=AG$1)))"),0.443106247673658)</f>
        <v>0.4431062477</v>
      </c>
      <c r="AH9" s="34">
        <f>IFERROR(__xludf.DUMMYFUNCTION("IF(ISNA(sum(filter(
Master_Mapping_Sheet!$E$2:$E$3143, ISNUMBER(
Master_Mapping_Sheet!$E$2:$E$3143),
Master_Mapping_Sheet!$C$2:$C$3143=AH$1,
Master_Mapping_Sheet!$L$2:$L$3143=$A9))/sum(filter(
Master_Mapping_Sheet!$E$2:$E$3143, ISNUMBER(
Master_Mapping_Sh"&amp;"eet!$E$2:$E$3143),
Master_Mapping_Sheet!$C$2:$C$3143=AH$1))), 0, sum(filter(
Master_Mapping_Sheet!$E$2:$E$3143, ISNUMBER(
Master_Mapping_Sheet!$E$2:$E$3143),
Master_Mapping_Sheet!$C$2:$C$3143=AH$1,
Master_Mapping_Sheet!$L$2:$L$3143=$A9))/sum(filter(
Maste"&amp;"r_Mapping_Sheet!$E$2:$E$3143, ISNUMBER(
Master_Mapping_Sheet!$E$2:$E$3143),
Master_Mapping_Sheet!$C$2:$C$3143=AH$1)))"),0.0)</f>
        <v>0</v>
      </c>
      <c r="AI9" s="34">
        <f>IFERROR(__xludf.DUMMYFUNCTION("IF(ISNA(sum(filter(
Master_Mapping_Sheet!$E$2:$E$3143, ISNUMBER(
Master_Mapping_Sheet!$E$2:$E$3143),
Master_Mapping_Sheet!$C$2:$C$3143=AI$1,
Master_Mapping_Sheet!$L$2:$L$3143=$A9))/sum(filter(
Master_Mapping_Sheet!$E$2:$E$3143, ISNUMBER(
Master_Mapping_Sh"&amp;"eet!$E$2:$E$3143),
Master_Mapping_Sheet!$C$2:$C$3143=AI$1))), 0, sum(filter(
Master_Mapping_Sheet!$E$2:$E$3143, ISNUMBER(
Master_Mapping_Sheet!$E$2:$E$3143),
Master_Mapping_Sheet!$C$2:$C$3143=AI$1,
Master_Mapping_Sheet!$L$2:$L$3143=$A9))/sum(filter(
Maste"&amp;"r_Mapping_Sheet!$E$2:$E$3143, ISNUMBER(
Master_Mapping_Sheet!$E$2:$E$3143),
Master_Mapping_Sheet!$C$2:$C$3143=AI$1)))"),0.0)</f>
        <v>0</v>
      </c>
      <c r="AJ9" s="34">
        <f>IFERROR(__xludf.DUMMYFUNCTION("IF(ISNA(sum(filter(
Master_Mapping_Sheet!$E$2:$E$3143, ISNUMBER(
Master_Mapping_Sheet!$E$2:$E$3143),
Master_Mapping_Sheet!$C$2:$C$3143=AJ$1,
Master_Mapping_Sheet!$L$2:$L$3143=$A9))/sum(filter(
Master_Mapping_Sheet!$E$2:$E$3143, ISNUMBER(
Master_Mapping_Sh"&amp;"eet!$E$2:$E$3143),
Master_Mapping_Sheet!$C$2:$C$3143=AJ$1))), 0, sum(filter(
Master_Mapping_Sheet!$E$2:$E$3143, ISNUMBER(
Master_Mapping_Sheet!$E$2:$E$3143),
Master_Mapping_Sheet!$C$2:$C$3143=AJ$1,
Master_Mapping_Sheet!$L$2:$L$3143=$A9))/sum(filter(
Maste"&amp;"r_Mapping_Sheet!$E$2:$E$3143, ISNUMBER(
Master_Mapping_Sheet!$E$2:$E$3143),
Master_Mapping_Sheet!$C$2:$C$3143=AJ$1)))"),0.0)</f>
        <v>0</v>
      </c>
      <c r="AK9" s="34">
        <f>IFERROR(__xludf.DUMMYFUNCTION("IF(ISNA(sum(filter(
Master_Mapping_Sheet!$E$2:$E$3143, ISNUMBER(
Master_Mapping_Sheet!$E$2:$E$3143),
Master_Mapping_Sheet!$C$2:$C$3143=AK$1,
Master_Mapping_Sheet!$L$2:$L$3143=$A9))/sum(filter(
Master_Mapping_Sheet!$E$2:$E$3143, ISNUMBER(
Master_Mapping_Sh"&amp;"eet!$E$2:$E$3143),
Master_Mapping_Sheet!$C$2:$C$3143=AK$1))), 0, sum(filter(
Master_Mapping_Sheet!$E$2:$E$3143, ISNUMBER(
Master_Mapping_Sheet!$E$2:$E$3143),
Master_Mapping_Sheet!$C$2:$C$3143=AK$1,
Master_Mapping_Sheet!$L$2:$L$3143=$A9))/sum(filter(
Maste"&amp;"r_Mapping_Sheet!$E$2:$E$3143, ISNUMBER(
Master_Mapping_Sheet!$E$2:$E$3143),
Master_Mapping_Sheet!$C$2:$C$3143=AK$1)))"),0.0)</f>
        <v>0</v>
      </c>
      <c r="AL9" s="34">
        <f>IFERROR(__xludf.DUMMYFUNCTION("IF(ISNA(sum(filter(
Master_Mapping_Sheet!$E$2:$E$3143, ISNUMBER(
Master_Mapping_Sheet!$E$2:$E$3143),
Master_Mapping_Sheet!$C$2:$C$3143=AL$1,
Master_Mapping_Sheet!$L$2:$L$3143=$A9))/sum(filter(
Master_Mapping_Sheet!$E$2:$E$3143, ISNUMBER(
Master_Mapping_Sh"&amp;"eet!$E$2:$E$3143),
Master_Mapping_Sheet!$C$2:$C$3143=AL$1))), 0, sum(filter(
Master_Mapping_Sheet!$E$2:$E$3143, ISNUMBER(
Master_Mapping_Sheet!$E$2:$E$3143),
Master_Mapping_Sheet!$C$2:$C$3143=AL$1,
Master_Mapping_Sheet!$L$2:$L$3143=$A9))/sum(filter(
Maste"&amp;"r_Mapping_Sheet!$E$2:$E$3143, ISNUMBER(
Master_Mapping_Sheet!$E$2:$E$3143),
Master_Mapping_Sheet!$C$2:$C$3143=AL$1)))"),0.006803452739931482)</f>
        <v>0.00680345274</v>
      </c>
      <c r="AM9" s="34">
        <f>IFERROR(__xludf.DUMMYFUNCTION("IF(ISNA(sum(filter(
Master_Mapping_Sheet!$E$2:$E$3143, ISNUMBER(
Master_Mapping_Sheet!$E$2:$E$3143),
Master_Mapping_Sheet!$C$2:$C$3143=AM$1,
Master_Mapping_Sheet!$L$2:$L$3143=$A9))/sum(filter(
Master_Mapping_Sheet!$E$2:$E$3143, ISNUMBER(
Master_Mapping_Sh"&amp;"eet!$E$2:$E$3143),
Master_Mapping_Sheet!$C$2:$C$3143=AM$1))), 0, sum(filter(
Master_Mapping_Sheet!$E$2:$E$3143, ISNUMBER(
Master_Mapping_Sheet!$E$2:$E$3143),
Master_Mapping_Sheet!$C$2:$C$3143=AM$1,
Master_Mapping_Sheet!$L$2:$L$3143=$A9))/sum(filter(
Maste"&amp;"r_Mapping_Sheet!$E$2:$E$3143, ISNUMBER(
Master_Mapping_Sheet!$E$2:$E$3143),
Master_Mapping_Sheet!$C$2:$C$3143=AM$1)))"),0.0)</f>
        <v>0</v>
      </c>
      <c r="AN9" s="34">
        <f>IFERROR(__xludf.DUMMYFUNCTION("IF(ISNA(sum(filter(
Master_Mapping_Sheet!$E$2:$E$3143, ISNUMBER(
Master_Mapping_Sheet!$E$2:$E$3143),
Master_Mapping_Sheet!$C$2:$C$3143=AN$1,
Master_Mapping_Sheet!$L$2:$L$3143=$A9))/sum(filter(
Master_Mapping_Sheet!$E$2:$E$3143, ISNUMBER(
Master_Mapping_Sh"&amp;"eet!$E$2:$E$3143),
Master_Mapping_Sheet!$C$2:$C$3143=AN$1))), 0, sum(filter(
Master_Mapping_Sheet!$E$2:$E$3143, ISNUMBER(
Master_Mapping_Sheet!$E$2:$E$3143),
Master_Mapping_Sheet!$C$2:$C$3143=AN$1,
Master_Mapping_Sheet!$L$2:$L$3143=$A9))/sum(filter(
Maste"&amp;"r_Mapping_Sheet!$E$2:$E$3143, ISNUMBER(
Master_Mapping_Sheet!$E$2:$E$3143),
Master_Mapping_Sheet!$C$2:$C$3143=AN$1)))"),0.0)</f>
        <v>0</v>
      </c>
      <c r="AO9" s="34">
        <f>IFERROR(__xludf.DUMMYFUNCTION("IF(ISNA(sum(filter(
Master_Mapping_Sheet!$E$2:$E$3143, ISNUMBER(
Master_Mapping_Sheet!$E$2:$E$3143),
Master_Mapping_Sheet!$C$2:$C$3143=AO$1,
Master_Mapping_Sheet!$L$2:$L$3143=$A9))/sum(filter(
Master_Mapping_Sheet!$E$2:$E$3143, ISNUMBER(
Master_Mapping_Sh"&amp;"eet!$E$2:$E$3143),
Master_Mapping_Sheet!$C$2:$C$3143=AO$1))), 0, sum(filter(
Master_Mapping_Sheet!$E$2:$E$3143, ISNUMBER(
Master_Mapping_Sheet!$E$2:$E$3143),
Master_Mapping_Sheet!$C$2:$C$3143=AO$1,
Master_Mapping_Sheet!$L$2:$L$3143=$A9))/sum(filter(
Maste"&amp;"r_Mapping_Sheet!$E$2:$E$3143, ISNUMBER(
Master_Mapping_Sheet!$E$2:$E$3143),
Master_Mapping_Sheet!$C$2:$C$3143=AO$1)))"),0.0)</f>
        <v>0</v>
      </c>
      <c r="AP9" s="34">
        <f>IFERROR(__xludf.DUMMYFUNCTION("IF(ISNA(sum(filter(
Master_Mapping_Sheet!$E$2:$E$3143, ISNUMBER(
Master_Mapping_Sheet!$E$2:$E$3143),
Master_Mapping_Sheet!$C$2:$C$3143=AP$1,
Master_Mapping_Sheet!$L$2:$L$3143=$A9))/sum(filter(
Master_Mapping_Sheet!$E$2:$E$3143, ISNUMBER(
Master_Mapping_Sh"&amp;"eet!$E$2:$E$3143),
Master_Mapping_Sheet!$C$2:$C$3143=AP$1))), 0, sum(filter(
Master_Mapping_Sheet!$E$2:$E$3143, ISNUMBER(
Master_Mapping_Sheet!$E$2:$E$3143),
Master_Mapping_Sheet!$C$2:$C$3143=AP$1,
Master_Mapping_Sheet!$L$2:$L$3143=$A9))/sum(filter(
Maste"&amp;"r_Mapping_Sheet!$E$2:$E$3143, ISNUMBER(
Master_Mapping_Sheet!$E$2:$E$3143),
Master_Mapping_Sheet!$C$2:$C$3143=AP$1)))"),0.0)</f>
        <v>0</v>
      </c>
      <c r="AQ9" s="34">
        <f>IFERROR(__xludf.DUMMYFUNCTION("IF(ISNA(sum(filter(
Master_Mapping_Sheet!$E$2:$E$3143, ISNUMBER(
Master_Mapping_Sheet!$E$2:$E$3143),
Master_Mapping_Sheet!$C$2:$C$3143=AQ$1,
Master_Mapping_Sheet!$L$2:$L$3143=$A9))/sum(filter(
Master_Mapping_Sheet!$E$2:$E$3143, ISNUMBER(
Master_Mapping_Sh"&amp;"eet!$E$2:$E$3143),
Master_Mapping_Sheet!$C$2:$C$3143=AQ$1))), 0, sum(filter(
Master_Mapping_Sheet!$E$2:$E$3143, ISNUMBER(
Master_Mapping_Sheet!$E$2:$E$3143),
Master_Mapping_Sheet!$C$2:$C$3143=AQ$1,
Master_Mapping_Sheet!$L$2:$L$3143=$A9))/sum(filter(
Maste"&amp;"r_Mapping_Sheet!$E$2:$E$3143, ISNUMBER(
Master_Mapping_Sheet!$E$2:$E$3143),
Master_Mapping_Sheet!$C$2:$C$3143=AQ$1)))"),0.0)</f>
        <v>0</v>
      </c>
      <c r="AR9" s="34">
        <f>IFERROR(__xludf.DUMMYFUNCTION("IF(ISNA(sum(filter(
Master_Mapping_Sheet!$E$2:$E$3143, ISNUMBER(
Master_Mapping_Sheet!$E$2:$E$3143),
Master_Mapping_Sheet!$C$2:$C$3143=AR$1,
Master_Mapping_Sheet!$L$2:$L$3143=$A9))/sum(filter(
Master_Mapping_Sheet!$E$2:$E$3143, ISNUMBER(
Master_Mapping_Sh"&amp;"eet!$E$2:$E$3143),
Master_Mapping_Sheet!$C$2:$C$3143=AR$1))), 0, sum(filter(
Master_Mapping_Sheet!$E$2:$E$3143, ISNUMBER(
Master_Mapping_Sheet!$E$2:$E$3143),
Master_Mapping_Sheet!$C$2:$C$3143=AR$1,
Master_Mapping_Sheet!$L$2:$L$3143=$A9))/sum(filter(
Maste"&amp;"r_Mapping_Sheet!$E$2:$E$3143, ISNUMBER(
Master_Mapping_Sheet!$E$2:$E$3143),
Master_Mapping_Sheet!$C$2:$C$3143=AR$1)))"),0.0)</f>
        <v>0</v>
      </c>
      <c r="AS9" s="34">
        <f>IFERROR(__xludf.DUMMYFUNCTION("IF(ISNA(sum(filter(
Master_Mapping_Sheet!$E$2:$E$3143, ISNUMBER(
Master_Mapping_Sheet!$E$2:$E$3143),
Master_Mapping_Sheet!$C$2:$C$3143=AS$1,
Master_Mapping_Sheet!$L$2:$L$3143=$A9))/sum(filter(
Master_Mapping_Sheet!$E$2:$E$3143, ISNUMBER(
Master_Mapping_Sh"&amp;"eet!$E$2:$E$3143),
Master_Mapping_Sheet!$C$2:$C$3143=AS$1))), 0, sum(filter(
Master_Mapping_Sheet!$E$2:$E$3143, ISNUMBER(
Master_Mapping_Sheet!$E$2:$E$3143),
Master_Mapping_Sheet!$C$2:$C$3143=AS$1,
Master_Mapping_Sheet!$L$2:$L$3143=$A9))/sum(filter(
Maste"&amp;"r_Mapping_Sheet!$E$2:$E$3143, ISNUMBER(
Master_Mapping_Sheet!$E$2:$E$3143),
Master_Mapping_Sheet!$C$2:$C$3143=AS$1)))"),0.01647661018720564)</f>
        <v>0.01647661019</v>
      </c>
      <c r="AT9" s="34">
        <f>IFERROR(__xludf.DUMMYFUNCTION("IF(ISNA(sum(filter(
Master_Mapping_Sheet!$E$2:$E$3143, ISNUMBER(
Master_Mapping_Sheet!$E$2:$E$3143),
Master_Mapping_Sheet!$C$2:$C$3143=AT$1,
Master_Mapping_Sheet!$L$2:$L$3143=$A9))/sum(filter(
Master_Mapping_Sheet!$E$2:$E$3143, ISNUMBER(
Master_Mapping_Sh"&amp;"eet!$E$2:$E$3143),
Master_Mapping_Sheet!$C$2:$C$3143=AT$1))), 0, sum(filter(
Master_Mapping_Sheet!$E$2:$E$3143, ISNUMBER(
Master_Mapping_Sheet!$E$2:$E$3143),
Master_Mapping_Sheet!$C$2:$C$3143=AT$1,
Master_Mapping_Sheet!$L$2:$L$3143=$A9))/sum(filter(
Maste"&amp;"r_Mapping_Sheet!$E$2:$E$3143, ISNUMBER(
Master_Mapping_Sheet!$E$2:$E$3143),
Master_Mapping_Sheet!$C$2:$C$3143=AT$1)))"),0.0)</f>
        <v>0</v>
      </c>
      <c r="AU9" s="34">
        <f>IFERROR(__xludf.DUMMYFUNCTION("IF(ISNA(sum(filter(
Master_Mapping_Sheet!$E$2:$E$3143, ISNUMBER(
Master_Mapping_Sheet!$E$2:$E$3143),
Master_Mapping_Sheet!$C$2:$C$3143=AU$1,
Master_Mapping_Sheet!$L$2:$L$3143=$A9))/sum(filter(
Master_Mapping_Sheet!$E$2:$E$3143, ISNUMBER(
Master_Mapping_Sh"&amp;"eet!$E$2:$E$3143),
Master_Mapping_Sheet!$C$2:$C$3143=AU$1))), 0, sum(filter(
Master_Mapping_Sheet!$E$2:$E$3143, ISNUMBER(
Master_Mapping_Sheet!$E$2:$E$3143),
Master_Mapping_Sheet!$C$2:$C$3143=AU$1,
Master_Mapping_Sheet!$L$2:$L$3143=$A9))/sum(filter(
Maste"&amp;"r_Mapping_Sheet!$E$2:$E$3143, ISNUMBER(
Master_Mapping_Sheet!$E$2:$E$3143),
Master_Mapping_Sheet!$C$2:$C$3143=AU$1)))"),0.0)</f>
        <v>0</v>
      </c>
      <c r="AV9" s="34">
        <f>IFERROR(__xludf.DUMMYFUNCTION("IF(ISNA(sum(filter(
Master_Mapping_Sheet!$E$2:$E$3143, ISNUMBER(
Master_Mapping_Sheet!$E$2:$E$3143),
Master_Mapping_Sheet!$C$2:$C$3143=AV$1,
Master_Mapping_Sheet!$L$2:$L$3143=$A9))/sum(filter(
Master_Mapping_Sheet!$E$2:$E$3143, ISNUMBER(
Master_Mapping_Sh"&amp;"eet!$E$2:$E$3143),
Master_Mapping_Sheet!$C$2:$C$3143=AV$1))), 0, sum(filter(
Master_Mapping_Sheet!$E$2:$E$3143, ISNUMBER(
Master_Mapping_Sheet!$E$2:$E$3143),
Master_Mapping_Sheet!$C$2:$C$3143=AV$1,
Master_Mapping_Sheet!$L$2:$L$3143=$A9))/sum(filter(
Maste"&amp;"r_Mapping_Sheet!$E$2:$E$3143, ISNUMBER(
Master_Mapping_Sheet!$E$2:$E$3143),
Master_Mapping_Sheet!$C$2:$C$3143=AV$1)))"),0.0)</f>
        <v>0</v>
      </c>
      <c r="AW9" s="34">
        <f>IFERROR(__xludf.DUMMYFUNCTION("IF(ISNA(sum(filter(
Master_Mapping_Sheet!$E$2:$E$3143, ISNUMBER(
Master_Mapping_Sheet!$E$2:$E$3143),
Master_Mapping_Sheet!$C$2:$C$3143=AW$1,
Master_Mapping_Sheet!$L$2:$L$3143=$A9))/sum(filter(
Master_Mapping_Sheet!$E$2:$E$3143, ISNUMBER(
Master_Mapping_Sh"&amp;"eet!$E$2:$E$3143),
Master_Mapping_Sheet!$C$2:$C$3143=AW$1))), 0, sum(filter(
Master_Mapping_Sheet!$E$2:$E$3143, ISNUMBER(
Master_Mapping_Sheet!$E$2:$E$3143),
Master_Mapping_Sheet!$C$2:$C$3143=AW$1,
Master_Mapping_Sheet!$L$2:$L$3143=$A9))/sum(filter(
Maste"&amp;"r_Mapping_Sheet!$E$2:$E$3143, ISNUMBER(
Master_Mapping_Sheet!$E$2:$E$3143),
Master_Mapping_Sheet!$C$2:$C$3143=AW$1)))"),0.0)</f>
        <v>0</v>
      </c>
      <c r="AX9" s="34">
        <f>IFERROR(__xludf.DUMMYFUNCTION("IF(ISNA(sum(filter(
Master_Mapping_Sheet!$E$2:$E$3143, ISNUMBER(
Master_Mapping_Sheet!$E$2:$E$3143),
Master_Mapping_Sheet!$C$2:$C$3143=AX$1,
Master_Mapping_Sheet!$L$2:$L$3143=$A9))/sum(filter(
Master_Mapping_Sheet!$E$2:$E$3143, ISNUMBER(
Master_Mapping_Sh"&amp;"eet!$E$2:$E$3143),
Master_Mapping_Sheet!$C$2:$C$3143=AX$1))), 0, sum(filter(
Master_Mapping_Sheet!$E$2:$E$3143, ISNUMBER(
Master_Mapping_Sheet!$E$2:$E$3143),
Master_Mapping_Sheet!$C$2:$C$3143=AX$1,
Master_Mapping_Sheet!$L$2:$L$3143=$A9))/sum(filter(
Maste"&amp;"r_Mapping_Sheet!$E$2:$E$3143, ISNUMBER(
Master_Mapping_Sheet!$E$2:$E$3143),
Master_Mapping_Sheet!$C$2:$C$3143=AX$1)))"),0.0)</f>
        <v>0</v>
      </c>
      <c r="AY9" s="34">
        <f>IFERROR(__xludf.DUMMYFUNCTION("IF(ISNA(sum(filter(
Master_Mapping_Sheet!$E$2:$E$3143, ISNUMBER(
Master_Mapping_Sheet!$E$2:$E$3143),
Master_Mapping_Sheet!$C$2:$C$3143=AY$1,
Master_Mapping_Sheet!$L$2:$L$3143=$A9))/sum(filter(
Master_Mapping_Sheet!$E$2:$E$3143, ISNUMBER(
Master_Mapping_Sh"&amp;"eet!$E$2:$E$3143),
Master_Mapping_Sheet!$C$2:$C$3143=AY$1))), 0, sum(filter(
Master_Mapping_Sheet!$E$2:$E$3143, ISNUMBER(
Master_Mapping_Sheet!$E$2:$E$3143),
Master_Mapping_Sheet!$C$2:$C$3143=AY$1,
Master_Mapping_Sheet!$L$2:$L$3143=$A9))/sum(filter(
Maste"&amp;"r_Mapping_Sheet!$E$2:$E$3143, ISNUMBER(
Master_Mapping_Sheet!$E$2:$E$3143),
Master_Mapping_Sheet!$C$2:$C$3143=AY$1)))"),0.0)</f>
        <v>0</v>
      </c>
      <c r="AZ9" s="34">
        <f>IFERROR(__xludf.DUMMYFUNCTION("IF(ISNA(sum(filter(
Master_Mapping_Sheet!$E$2:$E$3143, ISNUMBER(
Master_Mapping_Sheet!$E$2:$E$3143),
Master_Mapping_Sheet!$C$2:$C$3143=AZ$1,
Master_Mapping_Sheet!$L$2:$L$3143=$A9))/sum(filter(
Master_Mapping_Sheet!$E$2:$E$3143, ISNUMBER(
Master_Mapping_Sh"&amp;"eet!$E$2:$E$3143),
Master_Mapping_Sheet!$C$2:$C$3143=AZ$1))), 0, sum(filter(
Master_Mapping_Sheet!$E$2:$E$3143, ISNUMBER(
Master_Mapping_Sheet!$E$2:$E$3143),
Master_Mapping_Sheet!$C$2:$C$3143=AZ$1,
Master_Mapping_Sheet!$L$2:$L$3143=$A9))/sum(filter(
Maste"&amp;"r_Mapping_Sheet!$E$2:$E$3143, ISNUMBER(
Master_Mapping_Sheet!$E$2:$E$3143),
Master_Mapping_Sheet!$C$2:$C$3143=AZ$1)))"),0.0)</f>
        <v>0</v>
      </c>
    </row>
    <row r="10" ht="15.75" customHeight="1">
      <c r="A10" s="32" t="s">
        <v>289</v>
      </c>
      <c r="B10" s="34">
        <f>IFERROR(__xludf.DUMMYFUNCTION("IF(ISNA(sum(filter(
Master_Mapping_Sheet!$E$2:$E$3143, ISNUMBER(
Master_Mapping_Sheet!$E$2:$E$3143),
Master_Mapping_Sheet!$C$2:$C$3143=B$1,
Master_Mapping_Sheet!$L$2:$L$3143=$A10))/sum(filter(
Master_Mapping_Sheet!$E$2:$E$3143, ISNUMBER(
Master_Mapping_Sh"&amp;"eet!$E$2:$E$3143),
Master_Mapping_Sheet!$C$2:$C$3143=B$1))), 0, sum(filter(
Master_Mapping_Sheet!$E$2:$E$3143, ISNUMBER(
Master_Mapping_Sheet!$E$2:$E$3143),
Master_Mapping_Sheet!$C$2:$C$3143=B$1,
Master_Mapping_Sheet!$L$2:$L$3143=$A10))/sum(filter(
Master"&amp;"_Mapping_Sheet!$E$2:$E$3143, ISNUMBER(
Master_Mapping_Sheet!$E$2:$E$3143),
Master_Mapping_Sheet!$C$2:$C$3143=B$1)))"),0.0)</f>
        <v>0</v>
      </c>
      <c r="C10" s="34">
        <f>IFERROR(__xludf.DUMMYFUNCTION("IF(ISNA(sum(filter(
Master_Mapping_Sheet!$E$2:$E$3143, ISNUMBER(
Master_Mapping_Sheet!$E$2:$E$3143),
Master_Mapping_Sheet!$C$2:$C$3143=C$1,
Master_Mapping_Sheet!$L$2:$L$3143=$A10))/sum(filter(
Master_Mapping_Sheet!$E$2:$E$3143, ISNUMBER(
Master_Mapping_Sh"&amp;"eet!$E$2:$E$3143),
Master_Mapping_Sheet!$C$2:$C$3143=C$1))), 0, sum(filter(
Master_Mapping_Sheet!$E$2:$E$3143, ISNUMBER(
Master_Mapping_Sheet!$E$2:$E$3143),
Master_Mapping_Sheet!$C$2:$C$3143=C$1,
Master_Mapping_Sheet!$L$2:$L$3143=$A10))/sum(filter(
Master"&amp;"_Mapping_Sheet!$E$2:$E$3143, ISNUMBER(
Master_Mapping_Sheet!$E$2:$E$3143),
Master_Mapping_Sheet!$C$2:$C$3143=C$1)))"),0.0)</f>
        <v>0</v>
      </c>
      <c r="D10" s="34">
        <f>IFERROR(__xludf.DUMMYFUNCTION("IF(ISNA(sum(filter(
Master_Mapping_Sheet!$E$2:$E$3143, ISNUMBER(
Master_Mapping_Sheet!$E$2:$E$3143),
Master_Mapping_Sheet!$C$2:$C$3143=D$1,
Master_Mapping_Sheet!$L$2:$L$3143=$A10))/sum(filter(
Master_Mapping_Sheet!$E$2:$E$3143, ISNUMBER(
Master_Mapping_Sh"&amp;"eet!$E$2:$E$3143),
Master_Mapping_Sheet!$C$2:$C$3143=D$1))), 0, sum(filter(
Master_Mapping_Sheet!$E$2:$E$3143, ISNUMBER(
Master_Mapping_Sheet!$E$2:$E$3143),
Master_Mapping_Sheet!$C$2:$C$3143=D$1,
Master_Mapping_Sheet!$L$2:$L$3143=$A10))/sum(filter(
Master"&amp;"_Mapping_Sheet!$E$2:$E$3143, ISNUMBER(
Master_Mapping_Sheet!$E$2:$E$3143),
Master_Mapping_Sheet!$C$2:$C$3143=D$1)))"),0.0)</f>
        <v>0</v>
      </c>
      <c r="E10" s="34">
        <f>IFERROR(__xludf.DUMMYFUNCTION("IF(ISNA(sum(filter(
Master_Mapping_Sheet!$E$2:$E$3143, ISNUMBER(
Master_Mapping_Sheet!$E$2:$E$3143),
Master_Mapping_Sheet!$C$2:$C$3143=E$1,
Master_Mapping_Sheet!$L$2:$L$3143=$A10))/sum(filter(
Master_Mapping_Sheet!$E$2:$E$3143, ISNUMBER(
Master_Mapping_Sh"&amp;"eet!$E$2:$E$3143),
Master_Mapping_Sheet!$C$2:$C$3143=E$1))), 0, sum(filter(
Master_Mapping_Sheet!$E$2:$E$3143, ISNUMBER(
Master_Mapping_Sheet!$E$2:$E$3143),
Master_Mapping_Sheet!$C$2:$C$3143=E$1,
Master_Mapping_Sheet!$L$2:$L$3143=$A10))/sum(filter(
Master"&amp;"_Mapping_Sheet!$E$2:$E$3143, ISNUMBER(
Master_Mapping_Sheet!$E$2:$E$3143),
Master_Mapping_Sheet!$C$2:$C$3143=E$1)))"),0.0)</f>
        <v>0</v>
      </c>
      <c r="F10" s="34">
        <f>IFERROR(__xludf.DUMMYFUNCTION("IF(ISNA(sum(filter(
Master_Mapping_Sheet!$E$2:$E$3143, ISNUMBER(
Master_Mapping_Sheet!$E$2:$E$3143),
Master_Mapping_Sheet!$C$2:$C$3143=F$1,
Master_Mapping_Sheet!$L$2:$L$3143=$A10))/sum(filter(
Master_Mapping_Sheet!$E$2:$E$3143, ISNUMBER(
Master_Mapping_Sh"&amp;"eet!$E$2:$E$3143),
Master_Mapping_Sheet!$C$2:$C$3143=F$1))), 0, sum(filter(
Master_Mapping_Sheet!$E$2:$E$3143, ISNUMBER(
Master_Mapping_Sheet!$E$2:$E$3143),
Master_Mapping_Sheet!$C$2:$C$3143=F$1,
Master_Mapping_Sheet!$L$2:$L$3143=$A10))/sum(filter(
Master"&amp;"_Mapping_Sheet!$E$2:$E$3143, ISNUMBER(
Master_Mapping_Sheet!$E$2:$E$3143),
Master_Mapping_Sheet!$C$2:$C$3143=F$1)))"),0.004120959955209256)</f>
        <v>0.004120959955</v>
      </c>
      <c r="G10" s="34">
        <f>IFERROR(__xludf.DUMMYFUNCTION("IF(ISNA(sum(filter(
Master_Mapping_Sheet!$E$2:$E$3143, ISNUMBER(
Master_Mapping_Sheet!$E$2:$E$3143),
Master_Mapping_Sheet!$C$2:$C$3143=G$1,
Master_Mapping_Sheet!$L$2:$L$3143=$A10))/sum(filter(
Master_Mapping_Sheet!$E$2:$E$3143, ISNUMBER(
Master_Mapping_Sh"&amp;"eet!$E$2:$E$3143),
Master_Mapping_Sheet!$C$2:$C$3143=G$1))), 0, sum(filter(
Master_Mapping_Sheet!$E$2:$E$3143, ISNUMBER(
Master_Mapping_Sheet!$E$2:$E$3143),
Master_Mapping_Sheet!$C$2:$C$3143=G$1,
Master_Mapping_Sheet!$L$2:$L$3143=$A10))/sum(filter(
Master"&amp;"_Mapping_Sheet!$E$2:$E$3143, ISNUMBER(
Master_Mapping_Sheet!$E$2:$E$3143),
Master_Mapping_Sheet!$C$2:$C$3143=G$1)))"),0.0)</f>
        <v>0</v>
      </c>
      <c r="H10" s="34">
        <f>IFERROR(__xludf.DUMMYFUNCTION("IF(ISNA(sum(filter(
Master_Mapping_Sheet!$E$2:$E$3143, ISNUMBER(
Master_Mapping_Sheet!$E$2:$E$3143),
Master_Mapping_Sheet!$C$2:$C$3143=H$1,
Master_Mapping_Sheet!$L$2:$L$3143=$A10))/sum(filter(
Master_Mapping_Sheet!$E$2:$E$3143, ISNUMBER(
Master_Mapping_Sh"&amp;"eet!$E$2:$E$3143),
Master_Mapping_Sheet!$C$2:$C$3143=H$1))), 0, sum(filter(
Master_Mapping_Sheet!$E$2:$E$3143, ISNUMBER(
Master_Mapping_Sheet!$E$2:$E$3143),
Master_Mapping_Sheet!$C$2:$C$3143=H$1,
Master_Mapping_Sheet!$L$2:$L$3143=$A10))/sum(filter(
Master"&amp;"_Mapping_Sheet!$E$2:$E$3143, ISNUMBER(
Master_Mapping_Sheet!$E$2:$E$3143),
Master_Mapping_Sheet!$C$2:$C$3143=H$1)))"),0.0)</f>
        <v>0</v>
      </c>
      <c r="I10" s="34">
        <f>IFERROR(__xludf.DUMMYFUNCTION("IF(ISNA(sum(filter(
Master_Mapping_Sheet!$E$2:$E$3143, ISNUMBER(
Master_Mapping_Sheet!$E$2:$E$3143),
Master_Mapping_Sheet!$C$2:$C$3143=I$1,
Master_Mapping_Sheet!$L$2:$L$3143=$A10))/sum(filter(
Master_Mapping_Sheet!$E$2:$E$3143, ISNUMBER(
Master_Mapping_Sh"&amp;"eet!$E$2:$E$3143),
Master_Mapping_Sheet!$C$2:$C$3143=I$1))), 0, sum(filter(
Master_Mapping_Sheet!$E$2:$E$3143, ISNUMBER(
Master_Mapping_Sheet!$E$2:$E$3143),
Master_Mapping_Sheet!$C$2:$C$3143=I$1,
Master_Mapping_Sheet!$L$2:$L$3143=$A10))/sum(filter(
Master"&amp;"_Mapping_Sheet!$E$2:$E$3143, ISNUMBER(
Master_Mapping_Sheet!$E$2:$E$3143),
Master_Mapping_Sheet!$C$2:$C$3143=I$1)))"),0.0)</f>
        <v>0</v>
      </c>
      <c r="J10" s="34">
        <f>IFERROR(__xludf.DUMMYFUNCTION("IF(ISNA(sum(filter(
Master_Mapping_Sheet!$E$2:$E$3143, ISNUMBER(
Master_Mapping_Sheet!$E$2:$E$3143),
Master_Mapping_Sheet!$C$2:$C$3143=J$1,
Master_Mapping_Sheet!$L$2:$L$3143=$A10))/sum(filter(
Master_Mapping_Sheet!$E$2:$E$3143, ISNUMBER(
Master_Mapping_Sh"&amp;"eet!$E$2:$E$3143),
Master_Mapping_Sheet!$C$2:$C$3143=J$1))), 0, sum(filter(
Master_Mapping_Sheet!$E$2:$E$3143, ISNUMBER(
Master_Mapping_Sheet!$E$2:$E$3143),
Master_Mapping_Sheet!$C$2:$C$3143=J$1,
Master_Mapping_Sheet!$L$2:$L$3143=$A10))/sum(filter(
Master"&amp;"_Mapping_Sheet!$E$2:$E$3143, ISNUMBER(
Master_Mapping_Sheet!$E$2:$E$3143),
Master_Mapping_Sheet!$C$2:$C$3143=J$1)))"),0.0)</f>
        <v>0</v>
      </c>
      <c r="K10" s="34">
        <f>IFERROR(__xludf.DUMMYFUNCTION("IF(ISNA(sum(filter(
Master_Mapping_Sheet!$E$2:$E$3143, ISNUMBER(
Master_Mapping_Sheet!$E$2:$E$3143),
Master_Mapping_Sheet!$C$2:$C$3143=K$1,
Master_Mapping_Sheet!$L$2:$L$3143=$A10))/sum(filter(
Master_Mapping_Sheet!$E$2:$E$3143, ISNUMBER(
Master_Mapping_Sh"&amp;"eet!$E$2:$E$3143),
Master_Mapping_Sheet!$C$2:$C$3143=K$1))), 0, sum(filter(
Master_Mapping_Sheet!$E$2:$E$3143, ISNUMBER(
Master_Mapping_Sheet!$E$2:$E$3143),
Master_Mapping_Sheet!$C$2:$C$3143=K$1,
Master_Mapping_Sheet!$L$2:$L$3143=$A10))/sum(filter(
Master"&amp;"_Mapping_Sheet!$E$2:$E$3143, ISNUMBER(
Master_Mapping_Sheet!$E$2:$E$3143),
Master_Mapping_Sheet!$C$2:$C$3143=K$1)))"),0.0)</f>
        <v>0</v>
      </c>
      <c r="L10" s="34">
        <f>IFERROR(__xludf.DUMMYFUNCTION("IF(ISNA(sum(filter(
Master_Mapping_Sheet!$E$2:$E$3143, ISNUMBER(
Master_Mapping_Sheet!$E$2:$E$3143),
Master_Mapping_Sheet!$C$2:$C$3143=L$1,
Master_Mapping_Sheet!$L$2:$L$3143=$A10))/sum(filter(
Master_Mapping_Sheet!$E$2:$E$3143, ISNUMBER(
Master_Mapping_Sh"&amp;"eet!$E$2:$E$3143),
Master_Mapping_Sheet!$C$2:$C$3143=L$1))), 0, sum(filter(
Master_Mapping_Sheet!$E$2:$E$3143, ISNUMBER(
Master_Mapping_Sheet!$E$2:$E$3143),
Master_Mapping_Sheet!$C$2:$C$3143=L$1,
Master_Mapping_Sheet!$L$2:$L$3143=$A10))/sum(filter(
Master"&amp;"_Mapping_Sheet!$E$2:$E$3143, ISNUMBER(
Master_Mapping_Sheet!$E$2:$E$3143),
Master_Mapping_Sheet!$C$2:$C$3143=L$1)))"),0.0)</f>
        <v>0</v>
      </c>
      <c r="M10" s="34">
        <f>IFERROR(__xludf.DUMMYFUNCTION("IF(ISNA(sum(filter(
Master_Mapping_Sheet!$E$2:$E$3143, ISNUMBER(
Master_Mapping_Sheet!$E$2:$E$3143),
Master_Mapping_Sheet!$C$2:$C$3143=M$1,
Master_Mapping_Sheet!$L$2:$L$3143=$A10))/sum(filter(
Master_Mapping_Sheet!$E$2:$E$3143, ISNUMBER(
Master_Mapping_Sh"&amp;"eet!$E$2:$E$3143),
Master_Mapping_Sheet!$C$2:$C$3143=M$1))), 0, sum(filter(
Master_Mapping_Sheet!$E$2:$E$3143, ISNUMBER(
Master_Mapping_Sheet!$E$2:$E$3143),
Master_Mapping_Sheet!$C$2:$C$3143=M$1,
Master_Mapping_Sheet!$L$2:$L$3143=$A10))/sum(filter(
Master"&amp;"_Mapping_Sheet!$E$2:$E$3143, ISNUMBER(
Master_Mapping_Sheet!$E$2:$E$3143),
Master_Mapping_Sheet!$C$2:$C$3143=M$1)))"),0.0)</f>
        <v>0</v>
      </c>
      <c r="N10" s="34">
        <f>IFERROR(__xludf.DUMMYFUNCTION("IF(ISNA(sum(filter(
Master_Mapping_Sheet!$E$2:$E$3143, ISNUMBER(
Master_Mapping_Sheet!$E$2:$E$3143),
Master_Mapping_Sheet!$C$2:$C$3143=N$1,
Master_Mapping_Sheet!$L$2:$L$3143=$A10))/sum(filter(
Master_Mapping_Sheet!$E$2:$E$3143, ISNUMBER(
Master_Mapping_Sh"&amp;"eet!$E$2:$E$3143),
Master_Mapping_Sheet!$C$2:$C$3143=N$1))), 0, sum(filter(
Master_Mapping_Sheet!$E$2:$E$3143, ISNUMBER(
Master_Mapping_Sheet!$E$2:$E$3143),
Master_Mapping_Sheet!$C$2:$C$3143=N$1,
Master_Mapping_Sheet!$L$2:$L$3143=$A10))/sum(filter(
Master"&amp;"_Mapping_Sheet!$E$2:$E$3143, ISNUMBER(
Master_Mapping_Sheet!$E$2:$E$3143),
Master_Mapping_Sheet!$C$2:$C$3143=N$1)))"),0.0)</f>
        <v>0</v>
      </c>
      <c r="O10" s="34">
        <f>IFERROR(__xludf.DUMMYFUNCTION("IF(ISNA(sum(filter(
Master_Mapping_Sheet!$E$2:$E$3143, ISNUMBER(
Master_Mapping_Sheet!$E$2:$E$3143),
Master_Mapping_Sheet!$C$2:$C$3143=O$1,
Master_Mapping_Sheet!$L$2:$L$3143=$A10))/sum(filter(
Master_Mapping_Sheet!$E$2:$E$3143, ISNUMBER(
Master_Mapping_Sh"&amp;"eet!$E$2:$E$3143),
Master_Mapping_Sheet!$C$2:$C$3143=O$1))), 0, sum(filter(
Master_Mapping_Sheet!$E$2:$E$3143, ISNUMBER(
Master_Mapping_Sheet!$E$2:$E$3143),
Master_Mapping_Sheet!$C$2:$C$3143=O$1,
Master_Mapping_Sheet!$L$2:$L$3143=$A10))/sum(filter(
Master"&amp;"_Mapping_Sheet!$E$2:$E$3143, ISNUMBER(
Master_Mapping_Sheet!$E$2:$E$3143),
Master_Mapping_Sheet!$C$2:$C$3143=O$1)))"),0.0)</f>
        <v>0</v>
      </c>
      <c r="P10" s="34">
        <f>IFERROR(__xludf.DUMMYFUNCTION("IF(ISNA(sum(filter(
Master_Mapping_Sheet!$E$2:$E$3143, ISNUMBER(
Master_Mapping_Sheet!$E$2:$E$3143),
Master_Mapping_Sheet!$C$2:$C$3143=P$1,
Master_Mapping_Sheet!$L$2:$L$3143=$A10))/sum(filter(
Master_Mapping_Sheet!$E$2:$E$3143, ISNUMBER(
Master_Mapping_Sh"&amp;"eet!$E$2:$E$3143),
Master_Mapping_Sheet!$C$2:$C$3143=P$1))), 0, sum(filter(
Master_Mapping_Sheet!$E$2:$E$3143, ISNUMBER(
Master_Mapping_Sheet!$E$2:$E$3143),
Master_Mapping_Sheet!$C$2:$C$3143=P$1,
Master_Mapping_Sheet!$L$2:$L$3143=$A10))/sum(filter(
Master"&amp;"_Mapping_Sheet!$E$2:$E$3143, ISNUMBER(
Master_Mapping_Sheet!$E$2:$E$3143),
Master_Mapping_Sheet!$C$2:$C$3143=P$1)))"),0.0)</f>
        <v>0</v>
      </c>
      <c r="Q10" s="34">
        <f>IFERROR(__xludf.DUMMYFUNCTION("IF(ISNA(sum(filter(
Master_Mapping_Sheet!$E$2:$E$3143, ISNUMBER(
Master_Mapping_Sheet!$E$2:$E$3143),
Master_Mapping_Sheet!$C$2:$C$3143=Q$1,
Master_Mapping_Sheet!$L$2:$L$3143=$A10))/sum(filter(
Master_Mapping_Sheet!$E$2:$E$3143, ISNUMBER(
Master_Mapping_Sh"&amp;"eet!$E$2:$E$3143),
Master_Mapping_Sheet!$C$2:$C$3143=Q$1))), 0, sum(filter(
Master_Mapping_Sheet!$E$2:$E$3143, ISNUMBER(
Master_Mapping_Sheet!$E$2:$E$3143),
Master_Mapping_Sheet!$C$2:$C$3143=Q$1,
Master_Mapping_Sheet!$L$2:$L$3143=$A10))/sum(filter(
Master"&amp;"_Mapping_Sheet!$E$2:$E$3143, ISNUMBER(
Master_Mapping_Sheet!$E$2:$E$3143),
Master_Mapping_Sheet!$C$2:$C$3143=Q$1)))"),0.0)</f>
        <v>0</v>
      </c>
      <c r="R10" s="34">
        <f>IFERROR(__xludf.DUMMYFUNCTION("IF(ISNA(sum(filter(
Master_Mapping_Sheet!$E$2:$E$3143, ISNUMBER(
Master_Mapping_Sheet!$E$2:$E$3143),
Master_Mapping_Sheet!$C$2:$C$3143=R$1,
Master_Mapping_Sheet!$L$2:$L$3143=$A10))/sum(filter(
Master_Mapping_Sheet!$E$2:$E$3143, ISNUMBER(
Master_Mapping_Sh"&amp;"eet!$E$2:$E$3143),
Master_Mapping_Sheet!$C$2:$C$3143=R$1))), 0, sum(filter(
Master_Mapping_Sheet!$E$2:$E$3143, ISNUMBER(
Master_Mapping_Sheet!$E$2:$E$3143),
Master_Mapping_Sheet!$C$2:$C$3143=R$1,
Master_Mapping_Sheet!$L$2:$L$3143=$A10))/sum(filter(
Master"&amp;"_Mapping_Sheet!$E$2:$E$3143, ISNUMBER(
Master_Mapping_Sheet!$E$2:$E$3143),
Master_Mapping_Sheet!$C$2:$C$3143=R$1)))"),0.0)</f>
        <v>0</v>
      </c>
      <c r="S10" s="34">
        <f>IFERROR(__xludf.DUMMYFUNCTION("IF(ISNA(sum(filter(
Master_Mapping_Sheet!$E$2:$E$3143, ISNUMBER(
Master_Mapping_Sheet!$E$2:$E$3143),
Master_Mapping_Sheet!$C$2:$C$3143=S$1,
Master_Mapping_Sheet!$L$2:$L$3143=$A10))/sum(filter(
Master_Mapping_Sheet!$E$2:$E$3143, ISNUMBER(
Master_Mapping_Sh"&amp;"eet!$E$2:$E$3143),
Master_Mapping_Sheet!$C$2:$C$3143=S$1))), 0, sum(filter(
Master_Mapping_Sheet!$E$2:$E$3143, ISNUMBER(
Master_Mapping_Sheet!$E$2:$E$3143),
Master_Mapping_Sheet!$C$2:$C$3143=S$1,
Master_Mapping_Sheet!$L$2:$L$3143=$A10))/sum(filter(
Master"&amp;"_Mapping_Sheet!$E$2:$E$3143, ISNUMBER(
Master_Mapping_Sheet!$E$2:$E$3143),
Master_Mapping_Sheet!$C$2:$C$3143=S$1)))"),0.0)</f>
        <v>0</v>
      </c>
      <c r="T10" s="34">
        <f>IFERROR(__xludf.DUMMYFUNCTION("IF(ISNA(sum(filter(
Master_Mapping_Sheet!$E$2:$E$3143, ISNUMBER(
Master_Mapping_Sheet!$E$2:$E$3143),
Master_Mapping_Sheet!$C$2:$C$3143=T$1,
Master_Mapping_Sheet!$L$2:$L$3143=$A10))/sum(filter(
Master_Mapping_Sheet!$E$2:$E$3143, ISNUMBER(
Master_Mapping_Sh"&amp;"eet!$E$2:$E$3143),
Master_Mapping_Sheet!$C$2:$C$3143=T$1))), 0, sum(filter(
Master_Mapping_Sheet!$E$2:$E$3143, ISNUMBER(
Master_Mapping_Sheet!$E$2:$E$3143),
Master_Mapping_Sheet!$C$2:$C$3143=T$1,
Master_Mapping_Sheet!$L$2:$L$3143=$A10))/sum(filter(
Master"&amp;"_Mapping_Sheet!$E$2:$E$3143, ISNUMBER(
Master_Mapping_Sheet!$E$2:$E$3143),
Master_Mapping_Sheet!$C$2:$C$3143=T$1)))"),0.0)</f>
        <v>0</v>
      </c>
      <c r="U10" s="34">
        <f>IFERROR(__xludf.DUMMYFUNCTION("IF(ISNA(sum(filter(
Master_Mapping_Sheet!$E$2:$E$3143, ISNUMBER(
Master_Mapping_Sheet!$E$2:$E$3143),
Master_Mapping_Sheet!$C$2:$C$3143=U$1,
Master_Mapping_Sheet!$L$2:$L$3143=$A10))/sum(filter(
Master_Mapping_Sheet!$E$2:$E$3143, ISNUMBER(
Master_Mapping_Sh"&amp;"eet!$E$2:$E$3143),
Master_Mapping_Sheet!$C$2:$C$3143=U$1))), 0, sum(filter(
Master_Mapping_Sheet!$E$2:$E$3143, ISNUMBER(
Master_Mapping_Sheet!$E$2:$E$3143),
Master_Mapping_Sheet!$C$2:$C$3143=U$1,
Master_Mapping_Sheet!$L$2:$L$3143=$A10))/sum(filter(
Master"&amp;"_Mapping_Sheet!$E$2:$E$3143, ISNUMBER(
Master_Mapping_Sheet!$E$2:$E$3143),
Master_Mapping_Sheet!$C$2:$C$3143=U$1)))"),0.0)</f>
        <v>0</v>
      </c>
      <c r="V10" s="34">
        <f>IFERROR(__xludf.DUMMYFUNCTION("IF(ISNA(sum(filter(
Master_Mapping_Sheet!$E$2:$E$3143, ISNUMBER(
Master_Mapping_Sheet!$E$2:$E$3143),
Master_Mapping_Sheet!$C$2:$C$3143=V$1,
Master_Mapping_Sheet!$L$2:$L$3143=$A10))/sum(filter(
Master_Mapping_Sheet!$E$2:$E$3143, ISNUMBER(
Master_Mapping_Sh"&amp;"eet!$E$2:$E$3143),
Master_Mapping_Sheet!$C$2:$C$3143=V$1))), 0, sum(filter(
Master_Mapping_Sheet!$E$2:$E$3143, ISNUMBER(
Master_Mapping_Sheet!$E$2:$E$3143),
Master_Mapping_Sheet!$C$2:$C$3143=V$1,
Master_Mapping_Sheet!$L$2:$L$3143=$A10))/sum(filter(
Master"&amp;"_Mapping_Sheet!$E$2:$E$3143, ISNUMBER(
Master_Mapping_Sheet!$E$2:$E$3143),
Master_Mapping_Sheet!$C$2:$C$3143=V$1)))"),0.0)</f>
        <v>0</v>
      </c>
      <c r="W10" s="34">
        <f>IFERROR(__xludf.DUMMYFUNCTION("IF(ISNA(sum(filter(
Master_Mapping_Sheet!$E$2:$E$3143, ISNUMBER(
Master_Mapping_Sheet!$E$2:$E$3143),
Master_Mapping_Sheet!$C$2:$C$3143=W$1,
Master_Mapping_Sheet!$L$2:$L$3143=$A10))/sum(filter(
Master_Mapping_Sheet!$E$2:$E$3143, ISNUMBER(
Master_Mapping_Sh"&amp;"eet!$E$2:$E$3143),
Master_Mapping_Sheet!$C$2:$C$3143=W$1))), 0, sum(filter(
Master_Mapping_Sheet!$E$2:$E$3143, ISNUMBER(
Master_Mapping_Sheet!$E$2:$E$3143),
Master_Mapping_Sheet!$C$2:$C$3143=W$1,
Master_Mapping_Sheet!$L$2:$L$3143=$A10))/sum(filter(
Master"&amp;"_Mapping_Sheet!$E$2:$E$3143, ISNUMBER(
Master_Mapping_Sheet!$E$2:$E$3143),
Master_Mapping_Sheet!$C$2:$C$3143=W$1)))"),0.0)</f>
        <v>0</v>
      </c>
      <c r="X10" s="34">
        <f>IFERROR(__xludf.DUMMYFUNCTION("IF(ISNA(sum(filter(
Master_Mapping_Sheet!$E$2:$E$3143, ISNUMBER(
Master_Mapping_Sheet!$E$2:$E$3143),
Master_Mapping_Sheet!$C$2:$C$3143=X$1,
Master_Mapping_Sheet!$L$2:$L$3143=$A10))/sum(filter(
Master_Mapping_Sheet!$E$2:$E$3143, ISNUMBER(
Master_Mapping_Sh"&amp;"eet!$E$2:$E$3143),
Master_Mapping_Sheet!$C$2:$C$3143=X$1))), 0, sum(filter(
Master_Mapping_Sheet!$E$2:$E$3143, ISNUMBER(
Master_Mapping_Sheet!$E$2:$E$3143),
Master_Mapping_Sheet!$C$2:$C$3143=X$1,
Master_Mapping_Sheet!$L$2:$L$3143=$A10))/sum(filter(
Master"&amp;"_Mapping_Sheet!$E$2:$E$3143, ISNUMBER(
Master_Mapping_Sheet!$E$2:$E$3143),
Master_Mapping_Sheet!$C$2:$C$3143=X$1)))"),0.0)</f>
        <v>0</v>
      </c>
      <c r="Y10" s="34">
        <f>IFERROR(__xludf.DUMMYFUNCTION("IF(ISNA(sum(filter(
Master_Mapping_Sheet!$E$2:$E$3143, ISNUMBER(
Master_Mapping_Sheet!$E$2:$E$3143),
Master_Mapping_Sheet!$C$2:$C$3143=Y$1,
Master_Mapping_Sheet!$L$2:$L$3143=$A10))/sum(filter(
Master_Mapping_Sheet!$E$2:$E$3143, ISNUMBER(
Master_Mapping_Sh"&amp;"eet!$E$2:$E$3143),
Master_Mapping_Sheet!$C$2:$C$3143=Y$1))), 0, sum(filter(
Master_Mapping_Sheet!$E$2:$E$3143, ISNUMBER(
Master_Mapping_Sheet!$E$2:$E$3143),
Master_Mapping_Sheet!$C$2:$C$3143=Y$1,
Master_Mapping_Sheet!$L$2:$L$3143=$A10))/sum(filter(
Master"&amp;"_Mapping_Sheet!$E$2:$E$3143, ISNUMBER(
Master_Mapping_Sheet!$E$2:$E$3143),
Master_Mapping_Sheet!$C$2:$C$3143=Y$1)))"),0.0)</f>
        <v>0</v>
      </c>
      <c r="Z10" s="34">
        <f>IFERROR(__xludf.DUMMYFUNCTION("IF(ISNA(sum(filter(
Master_Mapping_Sheet!$E$2:$E$3143, ISNUMBER(
Master_Mapping_Sheet!$E$2:$E$3143),
Master_Mapping_Sheet!$C$2:$C$3143=Z$1,
Master_Mapping_Sheet!$L$2:$L$3143=$A10))/sum(filter(
Master_Mapping_Sheet!$E$2:$E$3143, ISNUMBER(
Master_Mapping_Sh"&amp;"eet!$E$2:$E$3143),
Master_Mapping_Sheet!$C$2:$C$3143=Z$1))), 0, sum(filter(
Master_Mapping_Sheet!$E$2:$E$3143, ISNUMBER(
Master_Mapping_Sheet!$E$2:$E$3143),
Master_Mapping_Sheet!$C$2:$C$3143=Z$1,
Master_Mapping_Sheet!$L$2:$L$3143=$A10))/sum(filter(
Master"&amp;"_Mapping_Sheet!$E$2:$E$3143, ISNUMBER(
Master_Mapping_Sheet!$E$2:$E$3143),
Master_Mapping_Sheet!$C$2:$C$3143=Z$1)))"),0.0)</f>
        <v>0</v>
      </c>
      <c r="AA10" s="34">
        <f>IFERROR(__xludf.DUMMYFUNCTION("IF(ISNA(sum(filter(
Master_Mapping_Sheet!$E$2:$E$3143, ISNUMBER(
Master_Mapping_Sheet!$E$2:$E$3143),
Master_Mapping_Sheet!$C$2:$C$3143=AA$1,
Master_Mapping_Sheet!$L$2:$L$3143=$A10))/sum(filter(
Master_Mapping_Sheet!$E$2:$E$3143, ISNUMBER(
Master_Mapping_S"&amp;"heet!$E$2:$E$3143),
Master_Mapping_Sheet!$C$2:$C$3143=AA$1))), 0, sum(filter(
Master_Mapping_Sheet!$E$2:$E$3143, ISNUMBER(
Master_Mapping_Sheet!$E$2:$E$3143),
Master_Mapping_Sheet!$C$2:$C$3143=AA$1,
Master_Mapping_Sheet!$L$2:$L$3143=$A10))/sum(filter(
Mas"&amp;"ter_Mapping_Sheet!$E$2:$E$3143, ISNUMBER(
Master_Mapping_Sheet!$E$2:$E$3143),
Master_Mapping_Sheet!$C$2:$C$3143=AA$1)))"),0.0)</f>
        <v>0</v>
      </c>
      <c r="AB10" s="34">
        <f>IFERROR(__xludf.DUMMYFUNCTION("IF(ISNA(sum(filter(
Master_Mapping_Sheet!$E$2:$E$3143, ISNUMBER(
Master_Mapping_Sheet!$E$2:$E$3143),
Master_Mapping_Sheet!$C$2:$C$3143=AB$1,
Master_Mapping_Sheet!$L$2:$L$3143=$A10))/sum(filter(
Master_Mapping_Sheet!$E$2:$E$3143, ISNUMBER(
Master_Mapping_S"&amp;"heet!$E$2:$E$3143),
Master_Mapping_Sheet!$C$2:$C$3143=AB$1))), 0, sum(filter(
Master_Mapping_Sheet!$E$2:$E$3143, ISNUMBER(
Master_Mapping_Sheet!$E$2:$E$3143),
Master_Mapping_Sheet!$C$2:$C$3143=AB$1,
Master_Mapping_Sheet!$L$2:$L$3143=$A10))/sum(filter(
Mas"&amp;"ter_Mapping_Sheet!$E$2:$E$3143, ISNUMBER(
Master_Mapping_Sheet!$E$2:$E$3143),
Master_Mapping_Sheet!$C$2:$C$3143=AB$1)))"),0.0)</f>
        <v>0</v>
      </c>
      <c r="AC10" s="34">
        <f>IFERROR(__xludf.DUMMYFUNCTION("IF(ISNA(sum(filter(
Master_Mapping_Sheet!$E$2:$E$3143, ISNUMBER(
Master_Mapping_Sheet!$E$2:$E$3143),
Master_Mapping_Sheet!$C$2:$C$3143=AC$1,
Master_Mapping_Sheet!$L$2:$L$3143=$A10))/sum(filter(
Master_Mapping_Sheet!$E$2:$E$3143, ISNUMBER(
Master_Mapping_S"&amp;"heet!$E$2:$E$3143),
Master_Mapping_Sheet!$C$2:$C$3143=AC$1))), 0, sum(filter(
Master_Mapping_Sheet!$E$2:$E$3143, ISNUMBER(
Master_Mapping_Sheet!$E$2:$E$3143),
Master_Mapping_Sheet!$C$2:$C$3143=AC$1,
Master_Mapping_Sheet!$L$2:$L$3143=$A10))/sum(filter(
Mas"&amp;"ter_Mapping_Sheet!$E$2:$E$3143, ISNUMBER(
Master_Mapping_Sheet!$E$2:$E$3143),
Master_Mapping_Sheet!$C$2:$C$3143=AC$1)))"),0.0)</f>
        <v>0</v>
      </c>
      <c r="AD10" s="34">
        <f>IFERROR(__xludf.DUMMYFUNCTION("IF(ISNA(sum(filter(
Master_Mapping_Sheet!$E$2:$E$3143, ISNUMBER(
Master_Mapping_Sheet!$E$2:$E$3143),
Master_Mapping_Sheet!$C$2:$C$3143=AD$1,
Master_Mapping_Sheet!$L$2:$L$3143=$A10))/sum(filter(
Master_Mapping_Sheet!$E$2:$E$3143, ISNUMBER(
Master_Mapping_S"&amp;"heet!$E$2:$E$3143),
Master_Mapping_Sheet!$C$2:$C$3143=AD$1))), 0, sum(filter(
Master_Mapping_Sheet!$E$2:$E$3143, ISNUMBER(
Master_Mapping_Sheet!$E$2:$E$3143),
Master_Mapping_Sheet!$C$2:$C$3143=AD$1,
Master_Mapping_Sheet!$L$2:$L$3143=$A10))/sum(filter(
Mas"&amp;"ter_Mapping_Sheet!$E$2:$E$3143, ISNUMBER(
Master_Mapping_Sheet!$E$2:$E$3143),
Master_Mapping_Sheet!$C$2:$C$3143=AD$1)))"),0.0)</f>
        <v>0</v>
      </c>
      <c r="AE10" s="34">
        <f>IFERROR(__xludf.DUMMYFUNCTION("IF(ISNA(sum(filter(
Master_Mapping_Sheet!$E$2:$E$3143, ISNUMBER(
Master_Mapping_Sheet!$E$2:$E$3143),
Master_Mapping_Sheet!$C$2:$C$3143=AE$1,
Master_Mapping_Sheet!$L$2:$L$3143=$A10))/sum(filter(
Master_Mapping_Sheet!$E$2:$E$3143, ISNUMBER(
Master_Mapping_S"&amp;"heet!$E$2:$E$3143),
Master_Mapping_Sheet!$C$2:$C$3143=AE$1))), 0, sum(filter(
Master_Mapping_Sheet!$E$2:$E$3143, ISNUMBER(
Master_Mapping_Sheet!$E$2:$E$3143),
Master_Mapping_Sheet!$C$2:$C$3143=AE$1,
Master_Mapping_Sheet!$L$2:$L$3143=$A10))/sum(filter(
Mas"&amp;"ter_Mapping_Sheet!$E$2:$E$3143, ISNUMBER(
Master_Mapping_Sheet!$E$2:$E$3143),
Master_Mapping_Sheet!$C$2:$C$3143=AE$1)))"),0.0)</f>
        <v>0</v>
      </c>
      <c r="AF10" s="34">
        <f>IFERROR(__xludf.DUMMYFUNCTION("IF(ISNA(sum(filter(
Master_Mapping_Sheet!$E$2:$E$3143, ISNUMBER(
Master_Mapping_Sheet!$E$2:$E$3143),
Master_Mapping_Sheet!$C$2:$C$3143=AF$1,
Master_Mapping_Sheet!$L$2:$L$3143=$A10))/sum(filter(
Master_Mapping_Sheet!$E$2:$E$3143, ISNUMBER(
Master_Mapping_S"&amp;"heet!$E$2:$E$3143),
Master_Mapping_Sheet!$C$2:$C$3143=AF$1))), 0, sum(filter(
Master_Mapping_Sheet!$E$2:$E$3143, ISNUMBER(
Master_Mapping_Sheet!$E$2:$E$3143),
Master_Mapping_Sheet!$C$2:$C$3143=AF$1,
Master_Mapping_Sheet!$L$2:$L$3143=$A10))/sum(filter(
Mas"&amp;"ter_Mapping_Sheet!$E$2:$E$3143, ISNUMBER(
Master_Mapping_Sheet!$E$2:$E$3143),
Master_Mapping_Sheet!$C$2:$C$3143=AF$1)))"),0.0)</f>
        <v>0</v>
      </c>
      <c r="AG10" s="34">
        <f>IFERROR(__xludf.DUMMYFUNCTION("IF(ISNA(sum(filter(
Master_Mapping_Sheet!$E$2:$E$3143, ISNUMBER(
Master_Mapping_Sheet!$E$2:$E$3143),
Master_Mapping_Sheet!$C$2:$C$3143=AG$1,
Master_Mapping_Sheet!$L$2:$L$3143=$A10))/sum(filter(
Master_Mapping_Sheet!$E$2:$E$3143, ISNUMBER(
Master_Mapping_S"&amp;"heet!$E$2:$E$3143),
Master_Mapping_Sheet!$C$2:$C$3143=AG$1))), 0, sum(filter(
Master_Mapping_Sheet!$E$2:$E$3143, ISNUMBER(
Master_Mapping_Sheet!$E$2:$E$3143),
Master_Mapping_Sheet!$C$2:$C$3143=AG$1,
Master_Mapping_Sheet!$L$2:$L$3143=$A10))/sum(filter(
Mas"&amp;"ter_Mapping_Sheet!$E$2:$E$3143, ISNUMBER(
Master_Mapping_Sheet!$E$2:$E$3143),
Master_Mapping_Sheet!$C$2:$C$3143=AG$1)))"),0.0)</f>
        <v>0</v>
      </c>
      <c r="AH10" s="34">
        <f>IFERROR(__xludf.DUMMYFUNCTION("IF(ISNA(sum(filter(
Master_Mapping_Sheet!$E$2:$E$3143, ISNUMBER(
Master_Mapping_Sheet!$E$2:$E$3143),
Master_Mapping_Sheet!$C$2:$C$3143=AH$1,
Master_Mapping_Sheet!$L$2:$L$3143=$A10))/sum(filter(
Master_Mapping_Sheet!$E$2:$E$3143, ISNUMBER(
Master_Mapping_S"&amp;"heet!$E$2:$E$3143),
Master_Mapping_Sheet!$C$2:$C$3143=AH$1))), 0, sum(filter(
Master_Mapping_Sheet!$E$2:$E$3143, ISNUMBER(
Master_Mapping_Sheet!$E$2:$E$3143),
Master_Mapping_Sheet!$C$2:$C$3143=AH$1,
Master_Mapping_Sheet!$L$2:$L$3143=$A10))/sum(filter(
Mas"&amp;"ter_Mapping_Sheet!$E$2:$E$3143, ISNUMBER(
Master_Mapping_Sheet!$E$2:$E$3143),
Master_Mapping_Sheet!$C$2:$C$3143=AH$1)))"),0.0)</f>
        <v>0</v>
      </c>
      <c r="AI10" s="34">
        <f>IFERROR(__xludf.DUMMYFUNCTION("IF(ISNA(sum(filter(
Master_Mapping_Sheet!$E$2:$E$3143, ISNUMBER(
Master_Mapping_Sheet!$E$2:$E$3143),
Master_Mapping_Sheet!$C$2:$C$3143=AI$1,
Master_Mapping_Sheet!$L$2:$L$3143=$A10))/sum(filter(
Master_Mapping_Sheet!$E$2:$E$3143, ISNUMBER(
Master_Mapping_S"&amp;"heet!$E$2:$E$3143),
Master_Mapping_Sheet!$C$2:$C$3143=AI$1))), 0, sum(filter(
Master_Mapping_Sheet!$E$2:$E$3143, ISNUMBER(
Master_Mapping_Sheet!$E$2:$E$3143),
Master_Mapping_Sheet!$C$2:$C$3143=AI$1,
Master_Mapping_Sheet!$L$2:$L$3143=$A10))/sum(filter(
Mas"&amp;"ter_Mapping_Sheet!$E$2:$E$3143, ISNUMBER(
Master_Mapping_Sheet!$E$2:$E$3143),
Master_Mapping_Sheet!$C$2:$C$3143=AI$1)))"),0.0)</f>
        <v>0</v>
      </c>
      <c r="AJ10" s="34">
        <f>IFERROR(__xludf.DUMMYFUNCTION("IF(ISNA(sum(filter(
Master_Mapping_Sheet!$E$2:$E$3143, ISNUMBER(
Master_Mapping_Sheet!$E$2:$E$3143),
Master_Mapping_Sheet!$C$2:$C$3143=AJ$1,
Master_Mapping_Sheet!$L$2:$L$3143=$A10))/sum(filter(
Master_Mapping_Sheet!$E$2:$E$3143, ISNUMBER(
Master_Mapping_S"&amp;"heet!$E$2:$E$3143),
Master_Mapping_Sheet!$C$2:$C$3143=AJ$1))), 0, sum(filter(
Master_Mapping_Sheet!$E$2:$E$3143, ISNUMBER(
Master_Mapping_Sheet!$E$2:$E$3143),
Master_Mapping_Sheet!$C$2:$C$3143=AJ$1,
Master_Mapping_Sheet!$L$2:$L$3143=$A10))/sum(filter(
Mas"&amp;"ter_Mapping_Sheet!$E$2:$E$3143, ISNUMBER(
Master_Mapping_Sheet!$E$2:$E$3143),
Master_Mapping_Sheet!$C$2:$C$3143=AJ$1)))"),0.0)</f>
        <v>0</v>
      </c>
      <c r="AK10" s="34">
        <f>IFERROR(__xludf.DUMMYFUNCTION("IF(ISNA(sum(filter(
Master_Mapping_Sheet!$E$2:$E$3143, ISNUMBER(
Master_Mapping_Sheet!$E$2:$E$3143),
Master_Mapping_Sheet!$C$2:$C$3143=AK$1,
Master_Mapping_Sheet!$L$2:$L$3143=$A10))/sum(filter(
Master_Mapping_Sheet!$E$2:$E$3143, ISNUMBER(
Master_Mapping_S"&amp;"heet!$E$2:$E$3143),
Master_Mapping_Sheet!$C$2:$C$3143=AK$1))), 0, sum(filter(
Master_Mapping_Sheet!$E$2:$E$3143, ISNUMBER(
Master_Mapping_Sheet!$E$2:$E$3143),
Master_Mapping_Sheet!$C$2:$C$3143=AK$1,
Master_Mapping_Sheet!$L$2:$L$3143=$A10))/sum(filter(
Mas"&amp;"ter_Mapping_Sheet!$E$2:$E$3143, ISNUMBER(
Master_Mapping_Sheet!$E$2:$E$3143),
Master_Mapping_Sheet!$C$2:$C$3143=AK$1)))"),0.0)</f>
        <v>0</v>
      </c>
      <c r="AL10" s="34">
        <f>IFERROR(__xludf.DUMMYFUNCTION("IF(ISNA(sum(filter(
Master_Mapping_Sheet!$E$2:$E$3143, ISNUMBER(
Master_Mapping_Sheet!$E$2:$E$3143),
Master_Mapping_Sheet!$C$2:$C$3143=AL$1,
Master_Mapping_Sheet!$L$2:$L$3143=$A10))/sum(filter(
Master_Mapping_Sheet!$E$2:$E$3143, ISNUMBER(
Master_Mapping_S"&amp;"heet!$E$2:$E$3143),
Master_Mapping_Sheet!$C$2:$C$3143=AL$1))), 0, sum(filter(
Master_Mapping_Sheet!$E$2:$E$3143, ISNUMBER(
Master_Mapping_Sheet!$E$2:$E$3143),
Master_Mapping_Sheet!$C$2:$C$3143=AL$1,
Master_Mapping_Sheet!$L$2:$L$3143=$A10))/sum(filter(
Mas"&amp;"ter_Mapping_Sheet!$E$2:$E$3143, ISNUMBER(
Master_Mapping_Sheet!$E$2:$E$3143),
Master_Mapping_Sheet!$C$2:$C$3143=AL$1)))"),0.0)</f>
        <v>0</v>
      </c>
      <c r="AM10" s="34">
        <f>IFERROR(__xludf.DUMMYFUNCTION("IF(ISNA(sum(filter(
Master_Mapping_Sheet!$E$2:$E$3143, ISNUMBER(
Master_Mapping_Sheet!$E$2:$E$3143),
Master_Mapping_Sheet!$C$2:$C$3143=AM$1,
Master_Mapping_Sheet!$L$2:$L$3143=$A10))/sum(filter(
Master_Mapping_Sheet!$E$2:$E$3143, ISNUMBER(
Master_Mapping_S"&amp;"heet!$E$2:$E$3143),
Master_Mapping_Sheet!$C$2:$C$3143=AM$1))), 0, sum(filter(
Master_Mapping_Sheet!$E$2:$E$3143, ISNUMBER(
Master_Mapping_Sheet!$E$2:$E$3143),
Master_Mapping_Sheet!$C$2:$C$3143=AM$1,
Master_Mapping_Sheet!$L$2:$L$3143=$A10))/sum(filter(
Mas"&amp;"ter_Mapping_Sheet!$E$2:$E$3143, ISNUMBER(
Master_Mapping_Sheet!$E$2:$E$3143),
Master_Mapping_Sheet!$C$2:$C$3143=AM$1)))"),0.8619795443711588)</f>
        <v>0.8619795444</v>
      </c>
      <c r="AN10" s="34">
        <f>IFERROR(__xludf.DUMMYFUNCTION("IF(ISNA(sum(filter(
Master_Mapping_Sheet!$E$2:$E$3143, ISNUMBER(
Master_Mapping_Sheet!$E$2:$E$3143),
Master_Mapping_Sheet!$C$2:$C$3143=AN$1,
Master_Mapping_Sheet!$L$2:$L$3143=$A10))/sum(filter(
Master_Mapping_Sheet!$E$2:$E$3143, ISNUMBER(
Master_Mapping_S"&amp;"heet!$E$2:$E$3143),
Master_Mapping_Sheet!$C$2:$C$3143=AN$1))), 0, sum(filter(
Master_Mapping_Sheet!$E$2:$E$3143, ISNUMBER(
Master_Mapping_Sheet!$E$2:$E$3143),
Master_Mapping_Sheet!$C$2:$C$3143=AN$1,
Master_Mapping_Sheet!$L$2:$L$3143=$A10))/sum(filter(
Mas"&amp;"ter_Mapping_Sheet!$E$2:$E$3143, ISNUMBER(
Master_Mapping_Sheet!$E$2:$E$3143),
Master_Mapping_Sheet!$C$2:$C$3143=AN$1)))"),0.0)</f>
        <v>0</v>
      </c>
      <c r="AO10" s="34">
        <f>IFERROR(__xludf.DUMMYFUNCTION("IF(ISNA(sum(filter(
Master_Mapping_Sheet!$E$2:$E$3143, ISNUMBER(
Master_Mapping_Sheet!$E$2:$E$3143),
Master_Mapping_Sheet!$C$2:$C$3143=AO$1,
Master_Mapping_Sheet!$L$2:$L$3143=$A10))/sum(filter(
Master_Mapping_Sheet!$E$2:$E$3143, ISNUMBER(
Master_Mapping_S"&amp;"heet!$E$2:$E$3143),
Master_Mapping_Sheet!$C$2:$C$3143=AO$1))), 0, sum(filter(
Master_Mapping_Sheet!$E$2:$E$3143, ISNUMBER(
Master_Mapping_Sheet!$E$2:$E$3143),
Master_Mapping_Sheet!$C$2:$C$3143=AO$1,
Master_Mapping_Sheet!$L$2:$L$3143=$A10))/sum(filter(
Mas"&amp;"ter_Mapping_Sheet!$E$2:$E$3143, ISNUMBER(
Master_Mapping_Sheet!$E$2:$E$3143),
Master_Mapping_Sheet!$C$2:$C$3143=AO$1)))"),0.0)</f>
        <v>0</v>
      </c>
      <c r="AP10" s="34">
        <f>IFERROR(__xludf.DUMMYFUNCTION("IF(ISNA(sum(filter(
Master_Mapping_Sheet!$E$2:$E$3143, ISNUMBER(
Master_Mapping_Sheet!$E$2:$E$3143),
Master_Mapping_Sheet!$C$2:$C$3143=AP$1,
Master_Mapping_Sheet!$L$2:$L$3143=$A10))/sum(filter(
Master_Mapping_Sheet!$E$2:$E$3143, ISNUMBER(
Master_Mapping_S"&amp;"heet!$E$2:$E$3143),
Master_Mapping_Sheet!$C$2:$C$3143=AP$1))), 0, sum(filter(
Master_Mapping_Sheet!$E$2:$E$3143, ISNUMBER(
Master_Mapping_Sheet!$E$2:$E$3143),
Master_Mapping_Sheet!$C$2:$C$3143=AP$1,
Master_Mapping_Sheet!$L$2:$L$3143=$A10))/sum(filter(
Mas"&amp;"ter_Mapping_Sheet!$E$2:$E$3143, ISNUMBER(
Master_Mapping_Sheet!$E$2:$E$3143),
Master_Mapping_Sheet!$C$2:$C$3143=AP$1)))"),0.0)</f>
        <v>0</v>
      </c>
      <c r="AQ10" s="34">
        <f>IFERROR(__xludf.DUMMYFUNCTION("IF(ISNA(sum(filter(
Master_Mapping_Sheet!$E$2:$E$3143, ISNUMBER(
Master_Mapping_Sheet!$E$2:$E$3143),
Master_Mapping_Sheet!$C$2:$C$3143=AQ$1,
Master_Mapping_Sheet!$L$2:$L$3143=$A10))/sum(filter(
Master_Mapping_Sheet!$E$2:$E$3143, ISNUMBER(
Master_Mapping_S"&amp;"heet!$E$2:$E$3143),
Master_Mapping_Sheet!$C$2:$C$3143=AQ$1))), 0, sum(filter(
Master_Mapping_Sheet!$E$2:$E$3143, ISNUMBER(
Master_Mapping_Sheet!$E$2:$E$3143),
Master_Mapping_Sheet!$C$2:$C$3143=AQ$1,
Master_Mapping_Sheet!$L$2:$L$3143=$A10))/sum(filter(
Mas"&amp;"ter_Mapping_Sheet!$E$2:$E$3143, ISNUMBER(
Master_Mapping_Sheet!$E$2:$E$3143),
Master_Mapping_Sheet!$C$2:$C$3143=AQ$1)))"),0.0)</f>
        <v>0</v>
      </c>
      <c r="AR10" s="34">
        <f>IFERROR(__xludf.DUMMYFUNCTION("IF(ISNA(sum(filter(
Master_Mapping_Sheet!$E$2:$E$3143, ISNUMBER(
Master_Mapping_Sheet!$E$2:$E$3143),
Master_Mapping_Sheet!$C$2:$C$3143=AR$1,
Master_Mapping_Sheet!$L$2:$L$3143=$A10))/sum(filter(
Master_Mapping_Sheet!$E$2:$E$3143, ISNUMBER(
Master_Mapping_S"&amp;"heet!$E$2:$E$3143),
Master_Mapping_Sheet!$C$2:$C$3143=AR$1))), 0, sum(filter(
Master_Mapping_Sheet!$E$2:$E$3143, ISNUMBER(
Master_Mapping_Sheet!$E$2:$E$3143),
Master_Mapping_Sheet!$C$2:$C$3143=AR$1,
Master_Mapping_Sheet!$L$2:$L$3143=$A10))/sum(filter(
Mas"&amp;"ter_Mapping_Sheet!$E$2:$E$3143, ISNUMBER(
Master_Mapping_Sheet!$E$2:$E$3143),
Master_Mapping_Sheet!$C$2:$C$3143=AR$1)))"),0.0)</f>
        <v>0</v>
      </c>
      <c r="AS10" s="34">
        <f>IFERROR(__xludf.DUMMYFUNCTION("IF(ISNA(sum(filter(
Master_Mapping_Sheet!$E$2:$E$3143, ISNUMBER(
Master_Mapping_Sheet!$E$2:$E$3143),
Master_Mapping_Sheet!$C$2:$C$3143=AS$1,
Master_Mapping_Sheet!$L$2:$L$3143=$A10))/sum(filter(
Master_Mapping_Sheet!$E$2:$E$3143, ISNUMBER(
Master_Mapping_S"&amp;"heet!$E$2:$E$3143),
Master_Mapping_Sheet!$C$2:$C$3143=AS$1))), 0, sum(filter(
Master_Mapping_Sheet!$E$2:$E$3143, ISNUMBER(
Master_Mapping_Sheet!$E$2:$E$3143),
Master_Mapping_Sheet!$C$2:$C$3143=AS$1,
Master_Mapping_Sheet!$L$2:$L$3143=$A10))/sum(filter(
Mas"&amp;"ter_Mapping_Sheet!$E$2:$E$3143, ISNUMBER(
Master_Mapping_Sheet!$E$2:$E$3143),
Master_Mapping_Sheet!$C$2:$C$3143=AS$1)))"),0.0)</f>
        <v>0</v>
      </c>
      <c r="AT10" s="34">
        <f>IFERROR(__xludf.DUMMYFUNCTION("IF(ISNA(sum(filter(
Master_Mapping_Sheet!$E$2:$E$3143, ISNUMBER(
Master_Mapping_Sheet!$E$2:$E$3143),
Master_Mapping_Sheet!$C$2:$C$3143=AT$1,
Master_Mapping_Sheet!$L$2:$L$3143=$A10))/sum(filter(
Master_Mapping_Sheet!$E$2:$E$3143, ISNUMBER(
Master_Mapping_S"&amp;"heet!$E$2:$E$3143),
Master_Mapping_Sheet!$C$2:$C$3143=AT$1))), 0, sum(filter(
Master_Mapping_Sheet!$E$2:$E$3143, ISNUMBER(
Master_Mapping_Sheet!$E$2:$E$3143),
Master_Mapping_Sheet!$C$2:$C$3143=AT$1,
Master_Mapping_Sheet!$L$2:$L$3143=$A10))/sum(filter(
Mas"&amp;"ter_Mapping_Sheet!$E$2:$E$3143, ISNUMBER(
Master_Mapping_Sheet!$E$2:$E$3143),
Master_Mapping_Sheet!$C$2:$C$3143=AT$1)))"),0.0)</f>
        <v>0</v>
      </c>
      <c r="AU10" s="34">
        <f>IFERROR(__xludf.DUMMYFUNCTION("IF(ISNA(sum(filter(
Master_Mapping_Sheet!$E$2:$E$3143, ISNUMBER(
Master_Mapping_Sheet!$E$2:$E$3143),
Master_Mapping_Sheet!$C$2:$C$3143=AU$1,
Master_Mapping_Sheet!$L$2:$L$3143=$A10))/sum(filter(
Master_Mapping_Sheet!$E$2:$E$3143, ISNUMBER(
Master_Mapping_S"&amp;"heet!$E$2:$E$3143),
Master_Mapping_Sheet!$C$2:$C$3143=AU$1))), 0, sum(filter(
Master_Mapping_Sheet!$E$2:$E$3143, ISNUMBER(
Master_Mapping_Sheet!$E$2:$E$3143),
Master_Mapping_Sheet!$C$2:$C$3143=AU$1,
Master_Mapping_Sheet!$L$2:$L$3143=$A10))/sum(filter(
Mas"&amp;"ter_Mapping_Sheet!$E$2:$E$3143, ISNUMBER(
Master_Mapping_Sheet!$E$2:$E$3143),
Master_Mapping_Sheet!$C$2:$C$3143=AU$1)))"),0.0)</f>
        <v>0</v>
      </c>
      <c r="AV10" s="34">
        <f>IFERROR(__xludf.DUMMYFUNCTION("IF(ISNA(sum(filter(
Master_Mapping_Sheet!$E$2:$E$3143, ISNUMBER(
Master_Mapping_Sheet!$E$2:$E$3143),
Master_Mapping_Sheet!$C$2:$C$3143=AV$1,
Master_Mapping_Sheet!$L$2:$L$3143=$A10))/sum(filter(
Master_Mapping_Sheet!$E$2:$E$3143, ISNUMBER(
Master_Mapping_S"&amp;"heet!$E$2:$E$3143),
Master_Mapping_Sheet!$C$2:$C$3143=AV$1))), 0, sum(filter(
Master_Mapping_Sheet!$E$2:$E$3143, ISNUMBER(
Master_Mapping_Sheet!$E$2:$E$3143),
Master_Mapping_Sheet!$C$2:$C$3143=AV$1,
Master_Mapping_Sheet!$L$2:$L$3143=$A10))/sum(filter(
Mas"&amp;"ter_Mapping_Sheet!$E$2:$E$3143, ISNUMBER(
Master_Mapping_Sheet!$E$2:$E$3143),
Master_Mapping_Sheet!$C$2:$C$3143=AV$1)))"),0.0)</f>
        <v>0</v>
      </c>
      <c r="AW10" s="34">
        <f>IFERROR(__xludf.DUMMYFUNCTION("IF(ISNA(sum(filter(
Master_Mapping_Sheet!$E$2:$E$3143, ISNUMBER(
Master_Mapping_Sheet!$E$2:$E$3143),
Master_Mapping_Sheet!$C$2:$C$3143=AW$1,
Master_Mapping_Sheet!$L$2:$L$3143=$A10))/sum(filter(
Master_Mapping_Sheet!$E$2:$E$3143, ISNUMBER(
Master_Mapping_S"&amp;"heet!$E$2:$E$3143),
Master_Mapping_Sheet!$C$2:$C$3143=AW$1))), 0, sum(filter(
Master_Mapping_Sheet!$E$2:$E$3143, ISNUMBER(
Master_Mapping_Sheet!$E$2:$E$3143),
Master_Mapping_Sheet!$C$2:$C$3143=AW$1,
Master_Mapping_Sheet!$L$2:$L$3143=$A10))/sum(filter(
Mas"&amp;"ter_Mapping_Sheet!$E$2:$E$3143, ISNUMBER(
Master_Mapping_Sheet!$E$2:$E$3143),
Master_Mapping_Sheet!$C$2:$C$3143=AW$1)))"),0.7802256018267272)</f>
        <v>0.7802256018</v>
      </c>
      <c r="AX10" s="34">
        <f>IFERROR(__xludf.DUMMYFUNCTION("IF(ISNA(sum(filter(
Master_Mapping_Sheet!$E$2:$E$3143, ISNUMBER(
Master_Mapping_Sheet!$E$2:$E$3143),
Master_Mapping_Sheet!$C$2:$C$3143=AX$1,
Master_Mapping_Sheet!$L$2:$L$3143=$A10))/sum(filter(
Master_Mapping_Sheet!$E$2:$E$3143, ISNUMBER(
Master_Mapping_S"&amp;"heet!$E$2:$E$3143),
Master_Mapping_Sheet!$C$2:$C$3143=AX$1))), 0, sum(filter(
Master_Mapping_Sheet!$E$2:$E$3143, ISNUMBER(
Master_Mapping_Sheet!$E$2:$E$3143),
Master_Mapping_Sheet!$C$2:$C$3143=AX$1,
Master_Mapping_Sheet!$L$2:$L$3143=$A10))/sum(filter(
Mas"&amp;"ter_Mapping_Sheet!$E$2:$E$3143, ISNUMBER(
Master_Mapping_Sheet!$E$2:$E$3143),
Master_Mapping_Sheet!$C$2:$C$3143=AX$1)))"),0.0)</f>
        <v>0</v>
      </c>
      <c r="AY10" s="34">
        <f>IFERROR(__xludf.DUMMYFUNCTION("IF(ISNA(sum(filter(
Master_Mapping_Sheet!$E$2:$E$3143, ISNUMBER(
Master_Mapping_Sheet!$E$2:$E$3143),
Master_Mapping_Sheet!$C$2:$C$3143=AY$1,
Master_Mapping_Sheet!$L$2:$L$3143=$A10))/sum(filter(
Master_Mapping_Sheet!$E$2:$E$3143, ISNUMBER(
Master_Mapping_S"&amp;"heet!$E$2:$E$3143),
Master_Mapping_Sheet!$C$2:$C$3143=AY$1))), 0, sum(filter(
Master_Mapping_Sheet!$E$2:$E$3143, ISNUMBER(
Master_Mapping_Sheet!$E$2:$E$3143),
Master_Mapping_Sheet!$C$2:$C$3143=AY$1,
Master_Mapping_Sheet!$L$2:$L$3143=$A10))/sum(filter(
Mas"&amp;"ter_Mapping_Sheet!$E$2:$E$3143, ISNUMBER(
Master_Mapping_Sheet!$E$2:$E$3143),
Master_Mapping_Sheet!$C$2:$C$3143=AY$1)))"),0.0)</f>
        <v>0</v>
      </c>
      <c r="AZ10" s="34">
        <f>IFERROR(__xludf.DUMMYFUNCTION("IF(ISNA(sum(filter(
Master_Mapping_Sheet!$E$2:$E$3143, ISNUMBER(
Master_Mapping_Sheet!$E$2:$E$3143),
Master_Mapping_Sheet!$C$2:$C$3143=AZ$1,
Master_Mapping_Sheet!$L$2:$L$3143=$A10))/sum(filter(
Master_Mapping_Sheet!$E$2:$E$3143, ISNUMBER(
Master_Mapping_S"&amp;"heet!$E$2:$E$3143),
Master_Mapping_Sheet!$C$2:$C$3143=AZ$1))), 0, sum(filter(
Master_Mapping_Sheet!$E$2:$E$3143, ISNUMBER(
Master_Mapping_Sheet!$E$2:$E$3143),
Master_Mapping_Sheet!$C$2:$C$3143=AZ$1,
Master_Mapping_Sheet!$L$2:$L$3143=$A10))/sum(filter(
Mas"&amp;"ter_Mapping_Sheet!$E$2:$E$3143, ISNUMBER(
Master_Mapping_Sheet!$E$2:$E$3143),
Master_Mapping_Sheet!$C$2:$C$3143=AZ$1)))"),0.0)</f>
        <v>0</v>
      </c>
    </row>
    <row r="11" ht="15.75" customHeight="1">
      <c r="A11" s="32" t="s">
        <v>396</v>
      </c>
      <c r="B11" s="34">
        <f>IFERROR(__xludf.DUMMYFUNCTION("IF(ISNA(sum(filter(
Master_Mapping_Sheet!$E$2:$E$3143, ISNUMBER(
Master_Mapping_Sheet!$E$2:$E$3143),
Master_Mapping_Sheet!$C$2:$C$3143=B$1,
Master_Mapping_Sheet!$L$2:$L$3143=$A11))/sum(filter(
Master_Mapping_Sheet!$E$2:$E$3143, ISNUMBER(
Master_Mapping_Sh"&amp;"eet!$E$2:$E$3143),
Master_Mapping_Sheet!$C$2:$C$3143=B$1))), 0, sum(filter(
Master_Mapping_Sheet!$E$2:$E$3143, ISNUMBER(
Master_Mapping_Sheet!$E$2:$E$3143),
Master_Mapping_Sheet!$C$2:$C$3143=B$1,
Master_Mapping_Sheet!$L$2:$L$3143=$A11))/sum(filter(
Master"&amp;"_Mapping_Sheet!$E$2:$E$3143, ISNUMBER(
Master_Mapping_Sheet!$E$2:$E$3143),
Master_Mapping_Sheet!$C$2:$C$3143=B$1)))"),0.0)</f>
        <v>0</v>
      </c>
      <c r="C11" s="34">
        <f>IFERROR(__xludf.DUMMYFUNCTION("IF(ISNA(sum(filter(
Master_Mapping_Sheet!$E$2:$E$3143, ISNUMBER(
Master_Mapping_Sheet!$E$2:$E$3143),
Master_Mapping_Sheet!$C$2:$C$3143=C$1,
Master_Mapping_Sheet!$L$2:$L$3143=$A11))/sum(filter(
Master_Mapping_Sheet!$E$2:$E$3143, ISNUMBER(
Master_Mapping_Sh"&amp;"eet!$E$2:$E$3143),
Master_Mapping_Sheet!$C$2:$C$3143=C$1))), 0, sum(filter(
Master_Mapping_Sheet!$E$2:$E$3143, ISNUMBER(
Master_Mapping_Sheet!$E$2:$E$3143),
Master_Mapping_Sheet!$C$2:$C$3143=C$1,
Master_Mapping_Sheet!$L$2:$L$3143=$A11))/sum(filter(
Master"&amp;"_Mapping_Sheet!$E$2:$E$3143, ISNUMBER(
Master_Mapping_Sheet!$E$2:$E$3143),
Master_Mapping_Sheet!$C$2:$C$3143=C$1)))"),0.0)</f>
        <v>0</v>
      </c>
      <c r="D11" s="34">
        <f>IFERROR(__xludf.DUMMYFUNCTION("IF(ISNA(sum(filter(
Master_Mapping_Sheet!$E$2:$E$3143, ISNUMBER(
Master_Mapping_Sheet!$E$2:$E$3143),
Master_Mapping_Sheet!$C$2:$C$3143=D$1,
Master_Mapping_Sheet!$L$2:$L$3143=$A11))/sum(filter(
Master_Mapping_Sheet!$E$2:$E$3143, ISNUMBER(
Master_Mapping_Sh"&amp;"eet!$E$2:$E$3143),
Master_Mapping_Sheet!$C$2:$C$3143=D$1))), 0, sum(filter(
Master_Mapping_Sheet!$E$2:$E$3143, ISNUMBER(
Master_Mapping_Sheet!$E$2:$E$3143),
Master_Mapping_Sheet!$C$2:$C$3143=D$1,
Master_Mapping_Sheet!$L$2:$L$3143=$A11))/sum(filter(
Master"&amp;"_Mapping_Sheet!$E$2:$E$3143, ISNUMBER(
Master_Mapping_Sheet!$E$2:$E$3143),
Master_Mapping_Sheet!$C$2:$C$3143=D$1)))"),0.0)</f>
        <v>0</v>
      </c>
      <c r="E11" s="34">
        <f>IFERROR(__xludf.DUMMYFUNCTION("IF(ISNA(sum(filter(
Master_Mapping_Sheet!$E$2:$E$3143, ISNUMBER(
Master_Mapping_Sheet!$E$2:$E$3143),
Master_Mapping_Sheet!$C$2:$C$3143=E$1,
Master_Mapping_Sheet!$L$2:$L$3143=$A11))/sum(filter(
Master_Mapping_Sheet!$E$2:$E$3143, ISNUMBER(
Master_Mapping_Sh"&amp;"eet!$E$2:$E$3143),
Master_Mapping_Sheet!$C$2:$C$3143=E$1))), 0, sum(filter(
Master_Mapping_Sheet!$E$2:$E$3143, ISNUMBER(
Master_Mapping_Sheet!$E$2:$E$3143),
Master_Mapping_Sheet!$C$2:$C$3143=E$1,
Master_Mapping_Sheet!$L$2:$L$3143=$A11))/sum(filter(
Master"&amp;"_Mapping_Sheet!$E$2:$E$3143, ISNUMBER(
Master_Mapping_Sheet!$E$2:$E$3143),
Master_Mapping_Sheet!$C$2:$C$3143=E$1)))"),0.0)</f>
        <v>0</v>
      </c>
      <c r="F11" s="34">
        <f>IFERROR(__xludf.DUMMYFUNCTION("IF(ISNA(sum(filter(
Master_Mapping_Sheet!$E$2:$E$3143, ISNUMBER(
Master_Mapping_Sheet!$E$2:$E$3143),
Master_Mapping_Sheet!$C$2:$C$3143=F$1,
Master_Mapping_Sheet!$L$2:$L$3143=$A11))/sum(filter(
Master_Mapping_Sheet!$E$2:$E$3143, ISNUMBER(
Master_Mapping_Sh"&amp;"eet!$E$2:$E$3143),
Master_Mapping_Sheet!$C$2:$C$3143=F$1))), 0, sum(filter(
Master_Mapping_Sheet!$E$2:$E$3143, ISNUMBER(
Master_Mapping_Sheet!$E$2:$E$3143),
Master_Mapping_Sheet!$C$2:$C$3143=F$1,
Master_Mapping_Sheet!$L$2:$L$3143=$A11))/sum(filter(
Master"&amp;"_Mapping_Sheet!$E$2:$E$3143, ISNUMBER(
Master_Mapping_Sheet!$E$2:$E$3143),
Master_Mapping_Sheet!$C$2:$C$3143=F$1)))"),0.0)</f>
        <v>0</v>
      </c>
      <c r="G11" s="34">
        <f>IFERROR(__xludf.DUMMYFUNCTION("IF(ISNA(sum(filter(
Master_Mapping_Sheet!$E$2:$E$3143, ISNUMBER(
Master_Mapping_Sheet!$E$2:$E$3143),
Master_Mapping_Sheet!$C$2:$C$3143=G$1,
Master_Mapping_Sheet!$L$2:$L$3143=$A11))/sum(filter(
Master_Mapping_Sheet!$E$2:$E$3143, ISNUMBER(
Master_Mapping_Sh"&amp;"eet!$E$2:$E$3143),
Master_Mapping_Sheet!$C$2:$C$3143=G$1))), 0, sum(filter(
Master_Mapping_Sheet!$E$2:$E$3143, ISNUMBER(
Master_Mapping_Sheet!$E$2:$E$3143),
Master_Mapping_Sheet!$C$2:$C$3143=G$1,
Master_Mapping_Sheet!$L$2:$L$3143=$A11))/sum(filter(
Master"&amp;"_Mapping_Sheet!$E$2:$E$3143, ISNUMBER(
Master_Mapping_Sheet!$E$2:$E$3143),
Master_Mapping_Sheet!$C$2:$C$3143=G$1)))"),0.0)</f>
        <v>0</v>
      </c>
      <c r="H11" s="34">
        <f>IFERROR(__xludf.DUMMYFUNCTION("IF(ISNA(sum(filter(
Master_Mapping_Sheet!$E$2:$E$3143, ISNUMBER(
Master_Mapping_Sheet!$E$2:$E$3143),
Master_Mapping_Sheet!$C$2:$C$3143=H$1,
Master_Mapping_Sheet!$L$2:$L$3143=$A11))/sum(filter(
Master_Mapping_Sheet!$E$2:$E$3143, ISNUMBER(
Master_Mapping_Sh"&amp;"eet!$E$2:$E$3143),
Master_Mapping_Sheet!$C$2:$C$3143=H$1))), 0, sum(filter(
Master_Mapping_Sheet!$E$2:$E$3143, ISNUMBER(
Master_Mapping_Sheet!$E$2:$E$3143),
Master_Mapping_Sheet!$C$2:$C$3143=H$1,
Master_Mapping_Sheet!$L$2:$L$3143=$A11))/sum(filter(
Master"&amp;"_Mapping_Sheet!$E$2:$E$3143, ISNUMBER(
Master_Mapping_Sheet!$E$2:$E$3143),
Master_Mapping_Sheet!$C$2:$C$3143=H$1)))"),1.0)</f>
        <v>1</v>
      </c>
      <c r="I11" s="34">
        <f>IFERROR(__xludf.DUMMYFUNCTION("IF(ISNA(sum(filter(
Master_Mapping_Sheet!$E$2:$E$3143, ISNUMBER(
Master_Mapping_Sheet!$E$2:$E$3143),
Master_Mapping_Sheet!$C$2:$C$3143=I$1,
Master_Mapping_Sheet!$L$2:$L$3143=$A11))/sum(filter(
Master_Mapping_Sheet!$E$2:$E$3143, ISNUMBER(
Master_Mapping_Sh"&amp;"eet!$E$2:$E$3143),
Master_Mapping_Sheet!$C$2:$C$3143=I$1))), 0, sum(filter(
Master_Mapping_Sheet!$E$2:$E$3143, ISNUMBER(
Master_Mapping_Sheet!$E$2:$E$3143),
Master_Mapping_Sheet!$C$2:$C$3143=I$1,
Master_Mapping_Sheet!$L$2:$L$3143=$A11))/sum(filter(
Master"&amp;"_Mapping_Sheet!$E$2:$E$3143, ISNUMBER(
Master_Mapping_Sheet!$E$2:$E$3143),
Master_Mapping_Sheet!$C$2:$C$3143=I$1)))"),0.0)</f>
        <v>0</v>
      </c>
      <c r="J11" s="34">
        <f>IFERROR(__xludf.DUMMYFUNCTION("IF(ISNA(sum(filter(
Master_Mapping_Sheet!$E$2:$E$3143, ISNUMBER(
Master_Mapping_Sheet!$E$2:$E$3143),
Master_Mapping_Sheet!$C$2:$C$3143=J$1,
Master_Mapping_Sheet!$L$2:$L$3143=$A11))/sum(filter(
Master_Mapping_Sheet!$E$2:$E$3143, ISNUMBER(
Master_Mapping_Sh"&amp;"eet!$E$2:$E$3143),
Master_Mapping_Sheet!$C$2:$C$3143=J$1))), 0, sum(filter(
Master_Mapping_Sheet!$E$2:$E$3143, ISNUMBER(
Master_Mapping_Sheet!$E$2:$E$3143),
Master_Mapping_Sheet!$C$2:$C$3143=J$1,
Master_Mapping_Sheet!$L$2:$L$3143=$A11))/sum(filter(
Master"&amp;"_Mapping_Sheet!$E$2:$E$3143, ISNUMBER(
Master_Mapping_Sheet!$E$2:$E$3143),
Master_Mapping_Sheet!$C$2:$C$3143=J$1)))"),0.0)</f>
        <v>0</v>
      </c>
      <c r="K11" s="34">
        <f>IFERROR(__xludf.DUMMYFUNCTION("IF(ISNA(sum(filter(
Master_Mapping_Sheet!$E$2:$E$3143, ISNUMBER(
Master_Mapping_Sheet!$E$2:$E$3143),
Master_Mapping_Sheet!$C$2:$C$3143=K$1,
Master_Mapping_Sheet!$L$2:$L$3143=$A11))/sum(filter(
Master_Mapping_Sheet!$E$2:$E$3143, ISNUMBER(
Master_Mapping_Sh"&amp;"eet!$E$2:$E$3143),
Master_Mapping_Sheet!$C$2:$C$3143=K$1))), 0, sum(filter(
Master_Mapping_Sheet!$E$2:$E$3143, ISNUMBER(
Master_Mapping_Sheet!$E$2:$E$3143),
Master_Mapping_Sheet!$C$2:$C$3143=K$1,
Master_Mapping_Sheet!$L$2:$L$3143=$A11))/sum(filter(
Master"&amp;"_Mapping_Sheet!$E$2:$E$3143, ISNUMBER(
Master_Mapping_Sheet!$E$2:$E$3143),
Master_Mapping_Sheet!$C$2:$C$3143=K$1)))"),0.0)</f>
        <v>0</v>
      </c>
      <c r="L11" s="34">
        <f>IFERROR(__xludf.DUMMYFUNCTION("IF(ISNA(sum(filter(
Master_Mapping_Sheet!$E$2:$E$3143, ISNUMBER(
Master_Mapping_Sheet!$E$2:$E$3143),
Master_Mapping_Sheet!$C$2:$C$3143=L$1,
Master_Mapping_Sheet!$L$2:$L$3143=$A11))/sum(filter(
Master_Mapping_Sheet!$E$2:$E$3143, ISNUMBER(
Master_Mapping_Sh"&amp;"eet!$E$2:$E$3143),
Master_Mapping_Sheet!$C$2:$C$3143=L$1))), 0, sum(filter(
Master_Mapping_Sheet!$E$2:$E$3143, ISNUMBER(
Master_Mapping_Sheet!$E$2:$E$3143),
Master_Mapping_Sheet!$C$2:$C$3143=L$1,
Master_Mapping_Sheet!$L$2:$L$3143=$A11))/sum(filter(
Master"&amp;"_Mapping_Sheet!$E$2:$E$3143, ISNUMBER(
Master_Mapping_Sheet!$E$2:$E$3143),
Master_Mapping_Sheet!$C$2:$C$3143=L$1)))"),0.0)</f>
        <v>0</v>
      </c>
      <c r="M11" s="34">
        <f>IFERROR(__xludf.DUMMYFUNCTION("IF(ISNA(sum(filter(
Master_Mapping_Sheet!$E$2:$E$3143, ISNUMBER(
Master_Mapping_Sheet!$E$2:$E$3143),
Master_Mapping_Sheet!$C$2:$C$3143=M$1,
Master_Mapping_Sheet!$L$2:$L$3143=$A11))/sum(filter(
Master_Mapping_Sheet!$E$2:$E$3143, ISNUMBER(
Master_Mapping_Sh"&amp;"eet!$E$2:$E$3143),
Master_Mapping_Sheet!$C$2:$C$3143=M$1))), 0, sum(filter(
Master_Mapping_Sheet!$E$2:$E$3143, ISNUMBER(
Master_Mapping_Sheet!$E$2:$E$3143),
Master_Mapping_Sheet!$C$2:$C$3143=M$1,
Master_Mapping_Sheet!$L$2:$L$3143=$A11))/sum(filter(
Master"&amp;"_Mapping_Sheet!$E$2:$E$3143, ISNUMBER(
Master_Mapping_Sheet!$E$2:$E$3143),
Master_Mapping_Sheet!$C$2:$C$3143=M$1)))"),0.0)</f>
        <v>0</v>
      </c>
      <c r="N11" s="34">
        <f>IFERROR(__xludf.DUMMYFUNCTION("IF(ISNA(sum(filter(
Master_Mapping_Sheet!$E$2:$E$3143, ISNUMBER(
Master_Mapping_Sheet!$E$2:$E$3143),
Master_Mapping_Sheet!$C$2:$C$3143=N$1,
Master_Mapping_Sheet!$L$2:$L$3143=$A11))/sum(filter(
Master_Mapping_Sheet!$E$2:$E$3143, ISNUMBER(
Master_Mapping_Sh"&amp;"eet!$E$2:$E$3143),
Master_Mapping_Sheet!$C$2:$C$3143=N$1))), 0, sum(filter(
Master_Mapping_Sheet!$E$2:$E$3143, ISNUMBER(
Master_Mapping_Sheet!$E$2:$E$3143),
Master_Mapping_Sheet!$C$2:$C$3143=N$1,
Master_Mapping_Sheet!$L$2:$L$3143=$A11))/sum(filter(
Master"&amp;"_Mapping_Sheet!$E$2:$E$3143, ISNUMBER(
Master_Mapping_Sheet!$E$2:$E$3143),
Master_Mapping_Sheet!$C$2:$C$3143=N$1)))"),0.0)</f>
        <v>0</v>
      </c>
      <c r="O11" s="34">
        <f>IFERROR(__xludf.DUMMYFUNCTION("IF(ISNA(sum(filter(
Master_Mapping_Sheet!$E$2:$E$3143, ISNUMBER(
Master_Mapping_Sheet!$E$2:$E$3143),
Master_Mapping_Sheet!$C$2:$C$3143=O$1,
Master_Mapping_Sheet!$L$2:$L$3143=$A11))/sum(filter(
Master_Mapping_Sheet!$E$2:$E$3143, ISNUMBER(
Master_Mapping_Sh"&amp;"eet!$E$2:$E$3143),
Master_Mapping_Sheet!$C$2:$C$3143=O$1))), 0, sum(filter(
Master_Mapping_Sheet!$E$2:$E$3143, ISNUMBER(
Master_Mapping_Sheet!$E$2:$E$3143),
Master_Mapping_Sheet!$C$2:$C$3143=O$1,
Master_Mapping_Sheet!$L$2:$L$3143=$A11))/sum(filter(
Master"&amp;"_Mapping_Sheet!$E$2:$E$3143, ISNUMBER(
Master_Mapping_Sheet!$E$2:$E$3143),
Master_Mapping_Sheet!$C$2:$C$3143=O$1)))"),0.8973223957980154)</f>
        <v>0.8973223958</v>
      </c>
      <c r="P11" s="34">
        <f>IFERROR(__xludf.DUMMYFUNCTION("IF(ISNA(sum(filter(
Master_Mapping_Sheet!$E$2:$E$3143, ISNUMBER(
Master_Mapping_Sheet!$E$2:$E$3143),
Master_Mapping_Sheet!$C$2:$C$3143=P$1,
Master_Mapping_Sheet!$L$2:$L$3143=$A11))/sum(filter(
Master_Mapping_Sheet!$E$2:$E$3143, ISNUMBER(
Master_Mapping_Sh"&amp;"eet!$E$2:$E$3143),
Master_Mapping_Sheet!$C$2:$C$3143=P$1))), 0, sum(filter(
Master_Mapping_Sheet!$E$2:$E$3143, ISNUMBER(
Master_Mapping_Sheet!$E$2:$E$3143),
Master_Mapping_Sheet!$C$2:$C$3143=P$1,
Master_Mapping_Sheet!$L$2:$L$3143=$A11))/sum(filter(
Master"&amp;"_Mapping_Sheet!$E$2:$E$3143, ISNUMBER(
Master_Mapping_Sheet!$E$2:$E$3143),
Master_Mapping_Sheet!$C$2:$C$3143=P$1)))"),0.8159671557178683)</f>
        <v>0.8159671557</v>
      </c>
      <c r="Q11" s="34">
        <f>IFERROR(__xludf.DUMMYFUNCTION("IF(ISNA(sum(filter(
Master_Mapping_Sheet!$E$2:$E$3143, ISNUMBER(
Master_Mapping_Sheet!$E$2:$E$3143),
Master_Mapping_Sheet!$C$2:$C$3143=Q$1,
Master_Mapping_Sheet!$L$2:$L$3143=$A11))/sum(filter(
Master_Mapping_Sheet!$E$2:$E$3143, ISNUMBER(
Master_Mapping_Sh"&amp;"eet!$E$2:$E$3143),
Master_Mapping_Sheet!$C$2:$C$3143=Q$1))), 0, sum(filter(
Master_Mapping_Sheet!$E$2:$E$3143, ISNUMBER(
Master_Mapping_Sheet!$E$2:$E$3143),
Master_Mapping_Sheet!$C$2:$C$3143=Q$1,
Master_Mapping_Sheet!$L$2:$L$3143=$A11))/sum(filter(
Master"&amp;"_Mapping_Sheet!$E$2:$E$3143, ISNUMBER(
Master_Mapping_Sheet!$E$2:$E$3143),
Master_Mapping_Sheet!$C$2:$C$3143=Q$1)))"),0.7708509250378235)</f>
        <v>0.770850925</v>
      </c>
      <c r="R11" s="34">
        <f>IFERROR(__xludf.DUMMYFUNCTION("IF(ISNA(sum(filter(
Master_Mapping_Sheet!$E$2:$E$3143, ISNUMBER(
Master_Mapping_Sheet!$E$2:$E$3143),
Master_Mapping_Sheet!$C$2:$C$3143=R$1,
Master_Mapping_Sheet!$L$2:$L$3143=$A11))/sum(filter(
Master_Mapping_Sheet!$E$2:$E$3143, ISNUMBER(
Master_Mapping_Sh"&amp;"eet!$E$2:$E$3143),
Master_Mapping_Sheet!$C$2:$C$3143=R$1))), 0, sum(filter(
Master_Mapping_Sheet!$E$2:$E$3143, ISNUMBER(
Master_Mapping_Sheet!$E$2:$E$3143),
Master_Mapping_Sheet!$C$2:$C$3143=R$1,
Master_Mapping_Sheet!$L$2:$L$3143=$A11))/sum(filter(
Master"&amp;"_Mapping_Sheet!$E$2:$E$3143, ISNUMBER(
Master_Mapping_Sheet!$E$2:$E$3143),
Master_Mapping_Sheet!$C$2:$C$3143=R$1)))"),0.04198914079222022)</f>
        <v>0.04198914079</v>
      </c>
      <c r="S11" s="34">
        <f>IFERROR(__xludf.DUMMYFUNCTION("IF(ISNA(sum(filter(
Master_Mapping_Sheet!$E$2:$E$3143, ISNUMBER(
Master_Mapping_Sheet!$E$2:$E$3143),
Master_Mapping_Sheet!$C$2:$C$3143=S$1,
Master_Mapping_Sheet!$L$2:$L$3143=$A11))/sum(filter(
Master_Mapping_Sheet!$E$2:$E$3143, ISNUMBER(
Master_Mapping_Sh"&amp;"eet!$E$2:$E$3143),
Master_Mapping_Sheet!$C$2:$C$3143=S$1))), 0, sum(filter(
Master_Mapping_Sheet!$E$2:$E$3143, ISNUMBER(
Master_Mapping_Sheet!$E$2:$E$3143),
Master_Mapping_Sheet!$C$2:$C$3143=S$1,
Master_Mapping_Sheet!$L$2:$L$3143=$A11))/sum(filter(
Master"&amp;"_Mapping_Sheet!$E$2:$E$3143, ISNUMBER(
Master_Mapping_Sheet!$E$2:$E$3143),
Master_Mapping_Sheet!$C$2:$C$3143=S$1)))"),0.0)</f>
        <v>0</v>
      </c>
      <c r="T11" s="34">
        <f>IFERROR(__xludf.DUMMYFUNCTION("IF(ISNA(sum(filter(
Master_Mapping_Sheet!$E$2:$E$3143, ISNUMBER(
Master_Mapping_Sheet!$E$2:$E$3143),
Master_Mapping_Sheet!$C$2:$C$3143=T$1,
Master_Mapping_Sheet!$L$2:$L$3143=$A11))/sum(filter(
Master_Mapping_Sheet!$E$2:$E$3143, ISNUMBER(
Master_Mapping_Sh"&amp;"eet!$E$2:$E$3143),
Master_Mapping_Sheet!$C$2:$C$3143=T$1))), 0, sum(filter(
Master_Mapping_Sheet!$E$2:$E$3143, ISNUMBER(
Master_Mapping_Sheet!$E$2:$E$3143),
Master_Mapping_Sheet!$C$2:$C$3143=T$1,
Master_Mapping_Sheet!$L$2:$L$3143=$A11))/sum(filter(
Master"&amp;"_Mapping_Sheet!$E$2:$E$3143, ISNUMBER(
Master_Mapping_Sheet!$E$2:$E$3143),
Master_Mapping_Sheet!$C$2:$C$3143=T$1)))"),0.0)</f>
        <v>0</v>
      </c>
      <c r="U11" s="34">
        <f>IFERROR(__xludf.DUMMYFUNCTION("IF(ISNA(sum(filter(
Master_Mapping_Sheet!$E$2:$E$3143, ISNUMBER(
Master_Mapping_Sheet!$E$2:$E$3143),
Master_Mapping_Sheet!$C$2:$C$3143=U$1,
Master_Mapping_Sheet!$L$2:$L$3143=$A11))/sum(filter(
Master_Mapping_Sheet!$E$2:$E$3143, ISNUMBER(
Master_Mapping_Sh"&amp;"eet!$E$2:$E$3143),
Master_Mapping_Sheet!$C$2:$C$3143=U$1))), 0, sum(filter(
Master_Mapping_Sheet!$E$2:$E$3143, ISNUMBER(
Master_Mapping_Sheet!$E$2:$E$3143),
Master_Mapping_Sheet!$C$2:$C$3143=U$1,
Master_Mapping_Sheet!$L$2:$L$3143=$A11))/sum(filter(
Master"&amp;"_Mapping_Sheet!$E$2:$E$3143, ISNUMBER(
Master_Mapping_Sheet!$E$2:$E$3143),
Master_Mapping_Sheet!$C$2:$C$3143=U$1)))"),0.0)</f>
        <v>0</v>
      </c>
      <c r="V11" s="34">
        <f>IFERROR(__xludf.DUMMYFUNCTION("IF(ISNA(sum(filter(
Master_Mapping_Sheet!$E$2:$E$3143, ISNUMBER(
Master_Mapping_Sheet!$E$2:$E$3143),
Master_Mapping_Sheet!$C$2:$C$3143=V$1,
Master_Mapping_Sheet!$L$2:$L$3143=$A11))/sum(filter(
Master_Mapping_Sheet!$E$2:$E$3143, ISNUMBER(
Master_Mapping_Sh"&amp;"eet!$E$2:$E$3143),
Master_Mapping_Sheet!$C$2:$C$3143=V$1))), 0, sum(filter(
Master_Mapping_Sheet!$E$2:$E$3143, ISNUMBER(
Master_Mapping_Sheet!$E$2:$E$3143),
Master_Mapping_Sheet!$C$2:$C$3143=V$1,
Master_Mapping_Sheet!$L$2:$L$3143=$A11))/sum(filter(
Master"&amp;"_Mapping_Sheet!$E$2:$E$3143, ISNUMBER(
Master_Mapping_Sheet!$E$2:$E$3143),
Master_Mapping_Sheet!$C$2:$C$3143=V$1)))"),0.004599002662188749)</f>
        <v>0.004599002662</v>
      </c>
      <c r="W11" s="34">
        <f>IFERROR(__xludf.DUMMYFUNCTION("IF(ISNA(sum(filter(
Master_Mapping_Sheet!$E$2:$E$3143, ISNUMBER(
Master_Mapping_Sheet!$E$2:$E$3143),
Master_Mapping_Sheet!$C$2:$C$3143=W$1,
Master_Mapping_Sheet!$L$2:$L$3143=$A11))/sum(filter(
Master_Mapping_Sheet!$E$2:$E$3143, ISNUMBER(
Master_Mapping_Sh"&amp;"eet!$E$2:$E$3143),
Master_Mapping_Sheet!$C$2:$C$3143=W$1))), 0, sum(filter(
Master_Mapping_Sheet!$E$2:$E$3143, ISNUMBER(
Master_Mapping_Sheet!$E$2:$E$3143),
Master_Mapping_Sheet!$C$2:$C$3143=W$1,
Master_Mapping_Sheet!$L$2:$L$3143=$A11))/sum(filter(
Master"&amp;"_Mapping_Sheet!$E$2:$E$3143, ISNUMBER(
Master_Mapping_Sheet!$E$2:$E$3143),
Master_Mapping_Sheet!$C$2:$C$3143=W$1)))"),1.0)</f>
        <v>1</v>
      </c>
      <c r="X11" s="34">
        <f>IFERROR(__xludf.DUMMYFUNCTION("IF(ISNA(sum(filter(
Master_Mapping_Sheet!$E$2:$E$3143, ISNUMBER(
Master_Mapping_Sheet!$E$2:$E$3143),
Master_Mapping_Sheet!$C$2:$C$3143=X$1,
Master_Mapping_Sheet!$L$2:$L$3143=$A11))/sum(filter(
Master_Mapping_Sheet!$E$2:$E$3143, ISNUMBER(
Master_Mapping_Sh"&amp;"eet!$E$2:$E$3143),
Master_Mapping_Sheet!$C$2:$C$3143=X$1))), 0, sum(filter(
Master_Mapping_Sheet!$E$2:$E$3143, ISNUMBER(
Master_Mapping_Sheet!$E$2:$E$3143),
Master_Mapping_Sheet!$C$2:$C$3143=X$1,
Master_Mapping_Sheet!$L$2:$L$3143=$A11))/sum(filter(
Master"&amp;"_Mapping_Sheet!$E$2:$E$3143, ISNUMBER(
Master_Mapping_Sheet!$E$2:$E$3143),
Master_Mapping_Sheet!$C$2:$C$3143=X$1)))"),0.8786742717958614)</f>
        <v>0.8786742718</v>
      </c>
      <c r="Y11" s="34">
        <f>IFERROR(__xludf.DUMMYFUNCTION("IF(ISNA(sum(filter(
Master_Mapping_Sheet!$E$2:$E$3143, ISNUMBER(
Master_Mapping_Sheet!$E$2:$E$3143),
Master_Mapping_Sheet!$C$2:$C$3143=Y$1,
Master_Mapping_Sheet!$L$2:$L$3143=$A11))/sum(filter(
Master_Mapping_Sheet!$E$2:$E$3143, ISNUMBER(
Master_Mapping_Sh"&amp;"eet!$E$2:$E$3143),
Master_Mapping_Sheet!$C$2:$C$3143=Y$1))), 0, sum(filter(
Master_Mapping_Sheet!$E$2:$E$3143, ISNUMBER(
Master_Mapping_Sheet!$E$2:$E$3143),
Master_Mapping_Sheet!$C$2:$C$3143=Y$1,
Master_Mapping_Sheet!$L$2:$L$3143=$A11))/sum(filter(
Master"&amp;"_Mapping_Sheet!$E$2:$E$3143, ISNUMBER(
Master_Mapping_Sheet!$E$2:$E$3143),
Master_Mapping_Sheet!$C$2:$C$3143=Y$1)))"),0.0)</f>
        <v>0</v>
      </c>
      <c r="Z11" s="34">
        <f>IFERROR(__xludf.DUMMYFUNCTION("IF(ISNA(sum(filter(
Master_Mapping_Sheet!$E$2:$E$3143, ISNUMBER(
Master_Mapping_Sheet!$E$2:$E$3143),
Master_Mapping_Sheet!$C$2:$C$3143=Z$1,
Master_Mapping_Sheet!$L$2:$L$3143=$A11))/sum(filter(
Master_Mapping_Sheet!$E$2:$E$3143, ISNUMBER(
Master_Mapping_Sh"&amp;"eet!$E$2:$E$3143),
Master_Mapping_Sheet!$C$2:$C$3143=Z$1))), 0, sum(filter(
Master_Mapping_Sheet!$E$2:$E$3143, ISNUMBER(
Master_Mapping_Sheet!$E$2:$E$3143),
Master_Mapping_Sheet!$C$2:$C$3143=Z$1,
Master_Mapping_Sheet!$L$2:$L$3143=$A11))/sum(filter(
Master"&amp;"_Mapping_Sheet!$E$2:$E$3143, ISNUMBER(
Master_Mapping_Sheet!$E$2:$E$3143),
Master_Mapping_Sheet!$C$2:$C$3143=Z$1)))"),0.0)</f>
        <v>0</v>
      </c>
      <c r="AA11" s="34">
        <f>IFERROR(__xludf.DUMMYFUNCTION("IF(ISNA(sum(filter(
Master_Mapping_Sheet!$E$2:$E$3143, ISNUMBER(
Master_Mapping_Sheet!$E$2:$E$3143),
Master_Mapping_Sheet!$C$2:$C$3143=AA$1,
Master_Mapping_Sheet!$L$2:$L$3143=$A11))/sum(filter(
Master_Mapping_Sheet!$E$2:$E$3143, ISNUMBER(
Master_Mapping_S"&amp;"heet!$E$2:$E$3143),
Master_Mapping_Sheet!$C$2:$C$3143=AA$1))), 0, sum(filter(
Master_Mapping_Sheet!$E$2:$E$3143, ISNUMBER(
Master_Mapping_Sheet!$E$2:$E$3143),
Master_Mapping_Sheet!$C$2:$C$3143=AA$1,
Master_Mapping_Sheet!$L$2:$L$3143=$A11))/sum(filter(
Mas"&amp;"ter_Mapping_Sheet!$E$2:$E$3143, ISNUMBER(
Master_Mapping_Sheet!$E$2:$E$3143),
Master_Mapping_Sheet!$C$2:$C$3143=AA$1)))"),0.06227264129566783)</f>
        <v>0.0622726413</v>
      </c>
      <c r="AB11" s="34">
        <f>IFERROR(__xludf.DUMMYFUNCTION("IF(ISNA(sum(filter(
Master_Mapping_Sheet!$E$2:$E$3143, ISNUMBER(
Master_Mapping_Sheet!$E$2:$E$3143),
Master_Mapping_Sheet!$C$2:$C$3143=AB$1,
Master_Mapping_Sheet!$L$2:$L$3143=$A11))/sum(filter(
Master_Mapping_Sheet!$E$2:$E$3143, ISNUMBER(
Master_Mapping_S"&amp;"heet!$E$2:$E$3143),
Master_Mapping_Sheet!$C$2:$C$3143=AB$1))), 0, sum(filter(
Master_Mapping_Sheet!$E$2:$E$3143, ISNUMBER(
Master_Mapping_Sheet!$E$2:$E$3143),
Master_Mapping_Sheet!$C$2:$C$3143=AB$1,
Master_Mapping_Sheet!$L$2:$L$3143=$A11))/sum(filter(
Mas"&amp;"ter_Mapping_Sheet!$E$2:$E$3143, ISNUMBER(
Master_Mapping_Sheet!$E$2:$E$3143),
Master_Mapping_Sheet!$C$2:$C$3143=AB$1)))"),0.0)</f>
        <v>0</v>
      </c>
      <c r="AC11" s="34">
        <f>IFERROR(__xludf.DUMMYFUNCTION("IF(ISNA(sum(filter(
Master_Mapping_Sheet!$E$2:$E$3143, ISNUMBER(
Master_Mapping_Sheet!$E$2:$E$3143),
Master_Mapping_Sheet!$C$2:$C$3143=AC$1,
Master_Mapping_Sheet!$L$2:$L$3143=$A11))/sum(filter(
Master_Mapping_Sheet!$E$2:$E$3143, ISNUMBER(
Master_Mapping_S"&amp;"heet!$E$2:$E$3143),
Master_Mapping_Sheet!$C$2:$C$3143=AC$1))), 0, sum(filter(
Master_Mapping_Sheet!$E$2:$E$3143, ISNUMBER(
Master_Mapping_Sheet!$E$2:$E$3143),
Master_Mapping_Sheet!$C$2:$C$3143=AC$1,
Master_Mapping_Sheet!$L$2:$L$3143=$A11))/sum(filter(
Mas"&amp;"ter_Mapping_Sheet!$E$2:$E$3143, ISNUMBER(
Master_Mapping_Sheet!$E$2:$E$3143),
Master_Mapping_Sheet!$C$2:$C$3143=AC$1)))"),1.0)</f>
        <v>1</v>
      </c>
      <c r="AD11" s="34">
        <f>IFERROR(__xludf.DUMMYFUNCTION("IF(ISNA(sum(filter(
Master_Mapping_Sheet!$E$2:$E$3143, ISNUMBER(
Master_Mapping_Sheet!$E$2:$E$3143),
Master_Mapping_Sheet!$C$2:$C$3143=AD$1,
Master_Mapping_Sheet!$L$2:$L$3143=$A11))/sum(filter(
Master_Mapping_Sheet!$E$2:$E$3143, ISNUMBER(
Master_Mapping_S"&amp;"heet!$E$2:$E$3143),
Master_Mapping_Sheet!$C$2:$C$3143=AD$1))), 0, sum(filter(
Master_Mapping_Sheet!$E$2:$E$3143, ISNUMBER(
Master_Mapping_Sheet!$E$2:$E$3143),
Master_Mapping_Sheet!$C$2:$C$3143=AD$1,
Master_Mapping_Sheet!$L$2:$L$3143=$A11))/sum(filter(
Mas"&amp;"ter_Mapping_Sheet!$E$2:$E$3143, ISNUMBER(
Master_Mapping_Sheet!$E$2:$E$3143),
Master_Mapping_Sheet!$C$2:$C$3143=AD$1)))"),0.0)</f>
        <v>0</v>
      </c>
      <c r="AE11" s="34">
        <f>IFERROR(__xludf.DUMMYFUNCTION("IF(ISNA(sum(filter(
Master_Mapping_Sheet!$E$2:$E$3143, ISNUMBER(
Master_Mapping_Sheet!$E$2:$E$3143),
Master_Mapping_Sheet!$C$2:$C$3143=AE$1,
Master_Mapping_Sheet!$L$2:$L$3143=$A11))/sum(filter(
Master_Mapping_Sheet!$E$2:$E$3143, ISNUMBER(
Master_Mapping_S"&amp;"heet!$E$2:$E$3143),
Master_Mapping_Sheet!$C$2:$C$3143=AE$1))), 0, sum(filter(
Master_Mapping_Sheet!$E$2:$E$3143, ISNUMBER(
Master_Mapping_Sheet!$E$2:$E$3143),
Master_Mapping_Sheet!$C$2:$C$3143=AE$1,
Master_Mapping_Sheet!$L$2:$L$3143=$A11))/sum(filter(
Mas"&amp;"ter_Mapping_Sheet!$E$2:$E$3143, ISNUMBER(
Master_Mapping_Sheet!$E$2:$E$3143),
Master_Mapping_Sheet!$C$2:$C$3143=AE$1)))"),0.6839886338186689)</f>
        <v>0.6839886338</v>
      </c>
      <c r="AF11" s="34">
        <f>IFERROR(__xludf.DUMMYFUNCTION("IF(ISNA(sum(filter(
Master_Mapping_Sheet!$E$2:$E$3143, ISNUMBER(
Master_Mapping_Sheet!$E$2:$E$3143),
Master_Mapping_Sheet!$C$2:$C$3143=AF$1,
Master_Mapping_Sheet!$L$2:$L$3143=$A11))/sum(filter(
Master_Mapping_Sheet!$E$2:$E$3143, ISNUMBER(
Master_Mapping_S"&amp;"heet!$E$2:$E$3143),
Master_Mapping_Sheet!$C$2:$C$3143=AF$1))), 0, sum(filter(
Master_Mapping_Sheet!$E$2:$E$3143, ISNUMBER(
Master_Mapping_Sheet!$E$2:$E$3143),
Master_Mapping_Sheet!$C$2:$C$3143=AF$1,
Master_Mapping_Sheet!$L$2:$L$3143=$A11))/sum(filter(
Mas"&amp;"ter_Mapping_Sheet!$E$2:$E$3143, ISNUMBER(
Master_Mapping_Sheet!$E$2:$E$3143),
Master_Mapping_Sheet!$C$2:$C$3143=AF$1)))"),0.3340530744202812)</f>
        <v>0.3340530744</v>
      </c>
      <c r="AG11" s="34">
        <f>IFERROR(__xludf.DUMMYFUNCTION("IF(ISNA(sum(filter(
Master_Mapping_Sheet!$E$2:$E$3143, ISNUMBER(
Master_Mapping_Sheet!$E$2:$E$3143),
Master_Mapping_Sheet!$C$2:$C$3143=AG$1,
Master_Mapping_Sheet!$L$2:$L$3143=$A11))/sum(filter(
Master_Mapping_Sheet!$E$2:$E$3143, ISNUMBER(
Master_Mapping_S"&amp;"heet!$E$2:$E$3143),
Master_Mapping_Sheet!$C$2:$C$3143=AG$1))), 0, sum(filter(
Master_Mapping_Sheet!$E$2:$E$3143, ISNUMBER(
Master_Mapping_Sheet!$E$2:$E$3143),
Master_Mapping_Sheet!$C$2:$C$3143=AG$1,
Master_Mapping_Sheet!$L$2:$L$3143=$A11))/sum(filter(
Mas"&amp;"ter_Mapping_Sheet!$E$2:$E$3143, ISNUMBER(
Master_Mapping_Sheet!$E$2:$E$3143),
Master_Mapping_Sheet!$C$2:$C$3143=AG$1)))"),0.0)</f>
        <v>0</v>
      </c>
      <c r="AH11" s="34">
        <f>IFERROR(__xludf.DUMMYFUNCTION("IF(ISNA(sum(filter(
Master_Mapping_Sheet!$E$2:$E$3143, ISNUMBER(
Master_Mapping_Sheet!$E$2:$E$3143),
Master_Mapping_Sheet!$C$2:$C$3143=AH$1,
Master_Mapping_Sheet!$L$2:$L$3143=$A11))/sum(filter(
Master_Mapping_Sheet!$E$2:$E$3143, ISNUMBER(
Master_Mapping_S"&amp;"heet!$E$2:$E$3143),
Master_Mapping_Sheet!$C$2:$C$3143=AH$1))), 0, sum(filter(
Master_Mapping_Sheet!$E$2:$E$3143, ISNUMBER(
Master_Mapping_Sheet!$E$2:$E$3143),
Master_Mapping_Sheet!$C$2:$C$3143=AH$1,
Master_Mapping_Sheet!$L$2:$L$3143=$A11))/sum(filter(
Mas"&amp;"ter_Mapping_Sheet!$E$2:$E$3143, ISNUMBER(
Master_Mapping_Sheet!$E$2:$E$3143),
Master_Mapping_Sheet!$C$2:$C$3143=AH$1)))"),0.27938412206988056)</f>
        <v>0.2793841221</v>
      </c>
      <c r="AI11" s="34">
        <f>IFERROR(__xludf.DUMMYFUNCTION("IF(ISNA(sum(filter(
Master_Mapping_Sheet!$E$2:$E$3143, ISNUMBER(
Master_Mapping_Sheet!$E$2:$E$3143),
Master_Mapping_Sheet!$C$2:$C$3143=AI$1,
Master_Mapping_Sheet!$L$2:$L$3143=$A11))/sum(filter(
Master_Mapping_Sheet!$E$2:$E$3143, ISNUMBER(
Master_Mapping_S"&amp;"heet!$E$2:$E$3143),
Master_Mapping_Sheet!$C$2:$C$3143=AI$1))), 0, sum(filter(
Master_Mapping_Sheet!$E$2:$E$3143, ISNUMBER(
Master_Mapping_Sheet!$E$2:$E$3143),
Master_Mapping_Sheet!$C$2:$C$3143=AI$1,
Master_Mapping_Sheet!$L$2:$L$3143=$A11))/sum(filter(
Mas"&amp;"ter_Mapping_Sheet!$E$2:$E$3143, ISNUMBER(
Master_Mapping_Sheet!$E$2:$E$3143),
Master_Mapping_Sheet!$C$2:$C$3143=AI$1)))"),0.013349741142325715)</f>
        <v>0.01334974114</v>
      </c>
      <c r="AJ11" s="34">
        <f>IFERROR(__xludf.DUMMYFUNCTION("IF(ISNA(sum(filter(
Master_Mapping_Sheet!$E$2:$E$3143, ISNUMBER(
Master_Mapping_Sheet!$E$2:$E$3143),
Master_Mapping_Sheet!$C$2:$C$3143=AJ$1,
Master_Mapping_Sheet!$L$2:$L$3143=$A11))/sum(filter(
Master_Mapping_Sheet!$E$2:$E$3143, ISNUMBER(
Master_Mapping_S"&amp;"heet!$E$2:$E$3143),
Master_Mapping_Sheet!$C$2:$C$3143=AJ$1))), 0, sum(filter(
Master_Mapping_Sheet!$E$2:$E$3143, ISNUMBER(
Master_Mapping_Sheet!$E$2:$E$3143),
Master_Mapping_Sheet!$C$2:$C$3143=AJ$1,
Master_Mapping_Sheet!$L$2:$L$3143=$A11))/sum(filter(
Mas"&amp;"ter_Mapping_Sheet!$E$2:$E$3143, ISNUMBER(
Master_Mapping_Sheet!$E$2:$E$3143),
Master_Mapping_Sheet!$C$2:$C$3143=AJ$1)))"),0.0)</f>
        <v>0</v>
      </c>
      <c r="AK11" s="34">
        <f>IFERROR(__xludf.DUMMYFUNCTION("IF(ISNA(sum(filter(
Master_Mapping_Sheet!$E$2:$E$3143, ISNUMBER(
Master_Mapping_Sheet!$E$2:$E$3143),
Master_Mapping_Sheet!$C$2:$C$3143=AK$1,
Master_Mapping_Sheet!$L$2:$L$3143=$A11))/sum(filter(
Master_Mapping_Sheet!$E$2:$E$3143, ISNUMBER(
Master_Mapping_S"&amp;"heet!$E$2:$E$3143),
Master_Mapping_Sheet!$C$2:$C$3143=AK$1))), 0, sum(filter(
Master_Mapping_Sheet!$E$2:$E$3143, ISNUMBER(
Master_Mapping_Sheet!$E$2:$E$3143),
Master_Mapping_Sheet!$C$2:$C$3143=AK$1,
Master_Mapping_Sheet!$L$2:$L$3143=$A11))/sum(filter(
Mas"&amp;"ter_Mapping_Sheet!$E$2:$E$3143, ISNUMBER(
Master_Mapping_Sheet!$E$2:$E$3143),
Master_Mapping_Sheet!$C$2:$C$3143=AK$1)))"),0.8852039316354621)</f>
        <v>0.8852039316</v>
      </c>
      <c r="AL11" s="34">
        <f>IFERROR(__xludf.DUMMYFUNCTION("IF(ISNA(sum(filter(
Master_Mapping_Sheet!$E$2:$E$3143, ISNUMBER(
Master_Mapping_Sheet!$E$2:$E$3143),
Master_Mapping_Sheet!$C$2:$C$3143=AL$1,
Master_Mapping_Sheet!$L$2:$L$3143=$A11))/sum(filter(
Master_Mapping_Sheet!$E$2:$E$3143, ISNUMBER(
Master_Mapping_S"&amp;"heet!$E$2:$E$3143),
Master_Mapping_Sheet!$C$2:$C$3143=AL$1))), 0, sum(filter(
Master_Mapping_Sheet!$E$2:$E$3143, ISNUMBER(
Master_Mapping_Sheet!$E$2:$E$3143),
Master_Mapping_Sheet!$C$2:$C$3143=AL$1,
Master_Mapping_Sheet!$L$2:$L$3143=$A11))/sum(filter(
Mas"&amp;"ter_Mapping_Sheet!$E$2:$E$3143, ISNUMBER(
Master_Mapping_Sheet!$E$2:$E$3143),
Master_Mapping_Sheet!$C$2:$C$3143=AL$1)))"),0.0)</f>
        <v>0</v>
      </c>
      <c r="AM11" s="34">
        <f>IFERROR(__xludf.DUMMYFUNCTION("IF(ISNA(sum(filter(
Master_Mapping_Sheet!$E$2:$E$3143, ISNUMBER(
Master_Mapping_Sheet!$E$2:$E$3143),
Master_Mapping_Sheet!$C$2:$C$3143=AM$1,
Master_Mapping_Sheet!$L$2:$L$3143=$A11))/sum(filter(
Master_Mapping_Sheet!$E$2:$E$3143, ISNUMBER(
Master_Mapping_S"&amp;"heet!$E$2:$E$3143),
Master_Mapping_Sheet!$C$2:$C$3143=AM$1))), 0, sum(filter(
Master_Mapping_Sheet!$E$2:$E$3143, ISNUMBER(
Master_Mapping_Sheet!$E$2:$E$3143),
Master_Mapping_Sheet!$C$2:$C$3143=AM$1,
Master_Mapping_Sheet!$L$2:$L$3143=$A11))/sum(filter(
Mas"&amp;"ter_Mapping_Sheet!$E$2:$E$3143, ISNUMBER(
Master_Mapping_Sheet!$E$2:$E$3143),
Master_Mapping_Sheet!$C$2:$C$3143=AM$1)))"),0.0)</f>
        <v>0</v>
      </c>
      <c r="AN11" s="34">
        <f>IFERROR(__xludf.DUMMYFUNCTION("IF(ISNA(sum(filter(
Master_Mapping_Sheet!$E$2:$E$3143, ISNUMBER(
Master_Mapping_Sheet!$E$2:$E$3143),
Master_Mapping_Sheet!$C$2:$C$3143=AN$1,
Master_Mapping_Sheet!$L$2:$L$3143=$A11))/sum(filter(
Master_Mapping_Sheet!$E$2:$E$3143, ISNUMBER(
Master_Mapping_S"&amp;"heet!$E$2:$E$3143),
Master_Mapping_Sheet!$C$2:$C$3143=AN$1))), 0, sum(filter(
Master_Mapping_Sheet!$E$2:$E$3143, ISNUMBER(
Master_Mapping_Sheet!$E$2:$E$3143),
Master_Mapping_Sheet!$C$2:$C$3143=AN$1,
Master_Mapping_Sheet!$L$2:$L$3143=$A11))/sum(filter(
Mas"&amp;"ter_Mapping_Sheet!$E$2:$E$3143, ISNUMBER(
Master_Mapping_Sheet!$E$2:$E$3143),
Master_Mapping_Sheet!$C$2:$C$3143=AN$1)))"),0.6178112826860525)</f>
        <v>0.6178112827</v>
      </c>
      <c r="AO11" s="34">
        <f>IFERROR(__xludf.DUMMYFUNCTION("IF(ISNA(sum(filter(
Master_Mapping_Sheet!$E$2:$E$3143, ISNUMBER(
Master_Mapping_Sheet!$E$2:$E$3143),
Master_Mapping_Sheet!$C$2:$C$3143=AO$1,
Master_Mapping_Sheet!$L$2:$L$3143=$A11))/sum(filter(
Master_Mapping_Sheet!$E$2:$E$3143, ISNUMBER(
Master_Mapping_S"&amp;"heet!$E$2:$E$3143),
Master_Mapping_Sheet!$C$2:$C$3143=AO$1))), 0, sum(filter(
Master_Mapping_Sheet!$E$2:$E$3143, ISNUMBER(
Master_Mapping_Sheet!$E$2:$E$3143),
Master_Mapping_Sheet!$C$2:$C$3143=AO$1,
Master_Mapping_Sheet!$L$2:$L$3143=$A11))/sum(filter(
Mas"&amp;"ter_Mapping_Sheet!$E$2:$E$3143, ISNUMBER(
Master_Mapping_Sheet!$E$2:$E$3143),
Master_Mapping_Sheet!$C$2:$C$3143=AO$1)))"),1.0)</f>
        <v>1</v>
      </c>
      <c r="AP11" s="34">
        <f>IFERROR(__xludf.DUMMYFUNCTION("IF(ISNA(sum(filter(
Master_Mapping_Sheet!$E$2:$E$3143, ISNUMBER(
Master_Mapping_Sheet!$E$2:$E$3143),
Master_Mapping_Sheet!$C$2:$C$3143=AP$1,
Master_Mapping_Sheet!$L$2:$L$3143=$A11))/sum(filter(
Master_Mapping_Sheet!$E$2:$E$3143, ISNUMBER(
Master_Mapping_S"&amp;"heet!$E$2:$E$3143),
Master_Mapping_Sheet!$C$2:$C$3143=AP$1))), 0, sum(filter(
Master_Mapping_Sheet!$E$2:$E$3143, ISNUMBER(
Master_Mapping_Sheet!$E$2:$E$3143),
Master_Mapping_Sheet!$C$2:$C$3143=AP$1,
Master_Mapping_Sheet!$L$2:$L$3143=$A11))/sum(filter(
Mas"&amp;"ter_Mapping_Sheet!$E$2:$E$3143, ISNUMBER(
Master_Mapping_Sheet!$E$2:$E$3143),
Master_Mapping_Sheet!$C$2:$C$3143=AP$1)))"),0.0)</f>
        <v>0</v>
      </c>
      <c r="AQ11" s="34">
        <f>IFERROR(__xludf.DUMMYFUNCTION("IF(ISNA(sum(filter(
Master_Mapping_Sheet!$E$2:$E$3143, ISNUMBER(
Master_Mapping_Sheet!$E$2:$E$3143),
Master_Mapping_Sheet!$C$2:$C$3143=AQ$1,
Master_Mapping_Sheet!$L$2:$L$3143=$A11))/sum(filter(
Master_Mapping_Sheet!$E$2:$E$3143, ISNUMBER(
Master_Mapping_S"&amp;"heet!$E$2:$E$3143),
Master_Mapping_Sheet!$C$2:$C$3143=AQ$1))), 0, sum(filter(
Master_Mapping_Sheet!$E$2:$E$3143, ISNUMBER(
Master_Mapping_Sheet!$E$2:$E$3143),
Master_Mapping_Sheet!$C$2:$C$3143=AQ$1,
Master_Mapping_Sheet!$L$2:$L$3143=$A11))/sum(filter(
Mas"&amp;"ter_Mapping_Sheet!$E$2:$E$3143, ISNUMBER(
Master_Mapping_Sheet!$E$2:$E$3143),
Master_Mapping_Sheet!$C$2:$C$3143=AQ$1)))"),0.11904259461905456)</f>
        <v>0.1190425946</v>
      </c>
      <c r="AR11" s="34">
        <f>IFERROR(__xludf.DUMMYFUNCTION("IF(ISNA(sum(filter(
Master_Mapping_Sheet!$E$2:$E$3143, ISNUMBER(
Master_Mapping_Sheet!$E$2:$E$3143),
Master_Mapping_Sheet!$C$2:$C$3143=AR$1,
Master_Mapping_Sheet!$L$2:$L$3143=$A11))/sum(filter(
Master_Mapping_Sheet!$E$2:$E$3143, ISNUMBER(
Master_Mapping_S"&amp;"heet!$E$2:$E$3143),
Master_Mapping_Sheet!$C$2:$C$3143=AR$1))), 0, sum(filter(
Master_Mapping_Sheet!$E$2:$E$3143, ISNUMBER(
Master_Mapping_Sheet!$E$2:$E$3143),
Master_Mapping_Sheet!$C$2:$C$3143=AR$1,
Master_Mapping_Sheet!$L$2:$L$3143=$A11))/sum(filter(
Mas"&amp;"ter_Mapping_Sheet!$E$2:$E$3143, ISNUMBER(
Master_Mapping_Sheet!$E$2:$E$3143),
Master_Mapping_Sheet!$C$2:$C$3143=AR$1)))"),0.0)</f>
        <v>0</v>
      </c>
      <c r="AS11" s="34">
        <f>IFERROR(__xludf.DUMMYFUNCTION("IF(ISNA(sum(filter(
Master_Mapping_Sheet!$E$2:$E$3143, ISNUMBER(
Master_Mapping_Sheet!$E$2:$E$3143),
Master_Mapping_Sheet!$C$2:$C$3143=AS$1,
Master_Mapping_Sheet!$L$2:$L$3143=$A11))/sum(filter(
Master_Mapping_Sheet!$E$2:$E$3143, ISNUMBER(
Master_Mapping_S"&amp;"heet!$E$2:$E$3143),
Master_Mapping_Sheet!$C$2:$C$3143=AS$1))), 0, sum(filter(
Master_Mapping_Sheet!$E$2:$E$3143, ISNUMBER(
Master_Mapping_Sheet!$E$2:$E$3143),
Master_Mapping_Sheet!$C$2:$C$3143=AS$1,
Master_Mapping_Sheet!$L$2:$L$3143=$A11))/sum(filter(
Mas"&amp;"ter_Mapping_Sheet!$E$2:$E$3143, ISNUMBER(
Master_Mapping_Sheet!$E$2:$E$3143),
Master_Mapping_Sheet!$C$2:$C$3143=AS$1)))"),0.0)</f>
        <v>0</v>
      </c>
      <c r="AT11" s="34">
        <f>IFERROR(__xludf.DUMMYFUNCTION("IF(ISNA(sum(filter(
Master_Mapping_Sheet!$E$2:$E$3143, ISNUMBER(
Master_Mapping_Sheet!$E$2:$E$3143),
Master_Mapping_Sheet!$C$2:$C$3143=AT$1,
Master_Mapping_Sheet!$L$2:$L$3143=$A11))/sum(filter(
Master_Mapping_Sheet!$E$2:$E$3143, ISNUMBER(
Master_Mapping_S"&amp;"heet!$E$2:$E$3143),
Master_Mapping_Sheet!$C$2:$C$3143=AT$1))), 0, sum(filter(
Master_Mapping_Sheet!$E$2:$E$3143, ISNUMBER(
Master_Mapping_Sheet!$E$2:$E$3143),
Master_Mapping_Sheet!$C$2:$C$3143=AT$1,
Master_Mapping_Sheet!$L$2:$L$3143=$A11))/sum(filter(
Mas"&amp;"ter_Mapping_Sheet!$E$2:$E$3143, ISNUMBER(
Master_Mapping_Sheet!$E$2:$E$3143),
Master_Mapping_Sheet!$C$2:$C$3143=AT$1)))"),0.0)</f>
        <v>0</v>
      </c>
      <c r="AU11" s="34">
        <f>IFERROR(__xludf.DUMMYFUNCTION("IF(ISNA(sum(filter(
Master_Mapping_Sheet!$E$2:$E$3143, ISNUMBER(
Master_Mapping_Sheet!$E$2:$E$3143),
Master_Mapping_Sheet!$C$2:$C$3143=AU$1,
Master_Mapping_Sheet!$L$2:$L$3143=$A11))/sum(filter(
Master_Mapping_Sheet!$E$2:$E$3143, ISNUMBER(
Master_Mapping_S"&amp;"heet!$E$2:$E$3143),
Master_Mapping_Sheet!$C$2:$C$3143=AU$1))), 0, sum(filter(
Master_Mapping_Sheet!$E$2:$E$3143, ISNUMBER(
Master_Mapping_Sheet!$E$2:$E$3143),
Master_Mapping_Sheet!$C$2:$C$3143=AU$1,
Master_Mapping_Sheet!$L$2:$L$3143=$A11))/sum(filter(
Mas"&amp;"ter_Mapping_Sheet!$E$2:$E$3143, ISNUMBER(
Master_Mapping_Sheet!$E$2:$E$3143),
Master_Mapping_Sheet!$C$2:$C$3143=AU$1)))"),0.0)</f>
        <v>0</v>
      </c>
      <c r="AV11" s="34">
        <f>IFERROR(__xludf.DUMMYFUNCTION("IF(ISNA(sum(filter(
Master_Mapping_Sheet!$E$2:$E$3143, ISNUMBER(
Master_Mapping_Sheet!$E$2:$E$3143),
Master_Mapping_Sheet!$C$2:$C$3143=AV$1,
Master_Mapping_Sheet!$L$2:$L$3143=$A11))/sum(filter(
Master_Mapping_Sheet!$E$2:$E$3143, ISNUMBER(
Master_Mapping_S"&amp;"heet!$E$2:$E$3143),
Master_Mapping_Sheet!$C$2:$C$3143=AV$1))), 0, sum(filter(
Master_Mapping_Sheet!$E$2:$E$3143, ISNUMBER(
Master_Mapping_Sheet!$E$2:$E$3143),
Master_Mapping_Sheet!$C$2:$C$3143=AV$1,
Master_Mapping_Sheet!$L$2:$L$3143=$A11))/sum(filter(
Mas"&amp;"ter_Mapping_Sheet!$E$2:$E$3143, ISNUMBER(
Master_Mapping_Sheet!$E$2:$E$3143),
Master_Mapping_Sheet!$C$2:$C$3143=AV$1)))"),0.0)</f>
        <v>0</v>
      </c>
      <c r="AW11" s="34">
        <f>IFERROR(__xludf.DUMMYFUNCTION("IF(ISNA(sum(filter(
Master_Mapping_Sheet!$E$2:$E$3143, ISNUMBER(
Master_Mapping_Sheet!$E$2:$E$3143),
Master_Mapping_Sheet!$C$2:$C$3143=AW$1,
Master_Mapping_Sheet!$L$2:$L$3143=$A11))/sum(filter(
Master_Mapping_Sheet!$E$2:$E$3143, ISNUMBER(
Master_Mapping_S"&amp;"heet!$E$2:$E$3143),
Master_Mapping_Sheet!$C$2:$C$3143=AW$1))), 0, sum(filter(
Master_Mapping_Sheet!$E$2:$E$3143, ISNUMBER(
Master_Mapping_Sheet!$E$2:$E$3143),
Master_Mapping_Sheet!$C$2:$C$3143=AW$1,
Master_Mapping_Sheet!$L$2:$L$3143=$A11))/sum(filter(
Mas"&amp;"ter_Mapping_Sheet!$E$2:$E$3143, ISNUMBER(
Master_Mapping_Sheet!$E$2:$E$3143),
Master_Mapping_Sheet!$C$2:$C$3143=AW$1)))"),0.0)</f>
        <v>0</v>
      </c>
      <c r="AX11" s="34">
        <f>IFERROR(__xludf.DUMMYFUNCTION("IF(ISNA(sum(filter(
Master_Mapping_Sheet!$E$2:$E$3143, ISNUMBER(
Master_Mapping_Sheet!$E$2:$E$3143),
Master_Mapping_Sheet!$C$2:$C$3143=AX$1,
Master_Mapping_Sheet!$L$2:$L$3143=$A11))/sum(filter(
Master_Mapping_Sheet!$E$2:$E$3143, ISNUMBER(
Master_Mapping_S"&amp;"heet!$E$2:$E$3143),
Master_Mapping_Sheet!$C$2:$C$3143=AX$1))), 0, sum(filter(
Master_Mapping_Sheet!$E$2:$E$3143, ISNUMBER(
Master_Mapping_Sheet!$E$2:$E$3143),
Master_Mapping_Sheet!$C$2:$C$3143=AX$1,
Master_Mapping_Sheet!$L$2:$L$3143=$A11))/sum(filter(
Mas"&amp;"ter_Mapping_Sheet!$E$2:$E$3143, ISNUMBER(
Master_Mapping_Sheet!$E$2:$E$3143),
Master_Mapping_Sheet!$C$2:$C$3143=AX$1)))"),0.44436240128220844)</f>
        <v>0.4443624013</v>
      </c>
      <c r="AY11" s="34">
        <f>IFERROR(__xludf.DUMMYFUNCTION("IF(ISNA(sum(filter(
Master_Mapping_Sheet!$E$2:$E$3143, ISNUMBER(
Master_Mapping_Sheet!$E$2:$E$3143),
Master_Mapping_Sheet!$C$2:$C$3143=AY$1,
Master_Mapping_Sheet!$L$2:$L$3143=$A11))/sum(filter(
Master_Mapping_Sheet!$E$2:$E$3143, ISNUMBER(
Master_Mapping_S"&amp;"heet!$E$2:$E$3143),
Master_Mapping_Sheet!$C$2:$C$3143=AY$1))), 0, sum(filter(
Master_Mapping_Sheet!$E$2:$E$3143, ISNUMBER(
Master_Mapping_Sheet!$E$2:$E$3143),
Master_Mapping_Sheet!$C$2:$C$3143=AY$1,
Master_Mapping_Sheet!$L$2:$L$3143=$A11))/sum(filter(
Mas"&amp;"ter_Mapping_Sheet!$E$2:$E$3143, ISNUMBER(
Master_Mapping_Sheet!$E$2:$E$3143),
Master_Mapping_Sheet!$C$2:$C$3143=AY$1)))"),0.0)</f>
        <v>0</v>
      </c>
      <c r="AZ11" s="34">
        <f>IFERROR(__xludf.DUMMYFUNCTION("IF(ISNA(sum(filter(
Master_Mapping_Sheet!$E$2:$E$3143, ISNUMBER(
Master_Mapping_Sheet!$E$2:$E$3143),
Master_Mapping_Sheet!$C$2:$C$3143=AZ$1,
Master_Mapping_Sheet!$L$2:$L$3143=$A11))/sum(filter(
Master_Mapping_Sheet!$E$2:$E$3143, ISNUMBER(
Master_Mapping_S"&amp;"heet!$E$2:$E$3143),
Master_Mapping_Sheet!$C$2:$C$3143=AZ$1))), 0, sum(filter(
Master_Mapping_Sheet!$E$2:$E$3143, ISNUMBER(
Master_Mapping_Sheet!$E$2:$E$3143),
Master_Mapping_Sheet!$C$2:$C$3143=AZ$1,
Master_Mapping_Sheet!$L$2:$L$3143=$A11))/sum(filter(
Mas"&amp;"ter_Mapping_Sheet!$E$2:$E$3143, ISNUMBER(
Master_Mapping_Sheet!$E$2:$E$3143),
Master_Mapping_Sheet!$C$2:$C$3143=AZ$1)))"),0.0)</f>
        <v>0</v>
      </c>
    </row>
    <row r="12" ht="15.75" customHeight="1">
      <c r="A12" s="32" t="s">
        <v>202</v>
      </c>
      <c r="B12" s="34">
        <f>IFERROR(__xludf.DUMMYFUNCTION("IF(ISNA(sum(filter(
Master_Mapping_Sheet!$E$2:$E$3143, ISNUMBER(
Master_Mapping_Sheet!$E$2:$E$3143),
Master_Mapping_Sheet!$C$2:$C$3143=B$1,
Master_Mapping_Sheet!$L$2:$L$3143=$A12))/sum(filter(
Master_Mapping_Sheet!$E$2:$E$3143, ISNUMBER(
Master_Mapping_Sh"&amp;"eet!$E$2:$E$3143),
Master_Mapping_Sheet!$C$2:$C$3143=B$1))), 0, sum(filter(
Master_Mapping_Sheet!$E$2:$E$3143, ISNUMBER(
Master_Mapping_Sheet!$E$2:$E$3143),
Master_Mapping_Sheet!$C$2:$C$3143=B$1,
Master_Mapping_Sheet!$L$2:$L$3143=$A12))/sum(filter(
Master"&amp;"_Mapping_Sheet!$E$2:$E$3143, ISNUMBER(
Master_Mapping_Sheet!$E$2:$E$3143),
Master_Mapping_Sheet!$C$2:$C$3143=B$1)))"),0.0)</f>
        <v>0</v>
      </c>
      <c r="C12" s="34">
        <f>IFERROR(__xludf.DUMMYFUNCTION("IF(ISNA(sum(filter(
Master_Mapping_Sheet!$E$2:$E$3143, ISNUMBER(
Master_Mapping_Sheet!$E$2:$E$3143),
Master_Mapping_Sheet!$C$2:$C$3143=C$1,
Master_Mapping_Sheet!$L$2:$L$3143=$A12))/sum(filter(
Master_Mapping_Sheet!$E$2:$E$3143, ISNUMBER(
Master_Mapping_Sh"&amp;"eet!$E$2:$E$3143),
Master_Mapping_Sheet!$C$2:$C$3143=C$1))), 0, sum(filter(
Master_Mapping_Sheet!$E$2:$E$3143, ISNUMBER(
Master_Mapping_Sheet!$E$2:$E$3143),
Master_Mapping_Sheet!$C$2:$C$3143=C$1,
Master_Mapping_Sheet!$L$2:$L$3143=$A12))/sum(filter(
Master"&amp;"_Mapping_Sheet!$E$2:$E$3143, ISNUMBER(
Master_Mapping_Sheet!$E$2:$E$3143),
Master_Mapping_Sheet!$C$2:$C$3143=C$1)))"),0.0)</f>
        <v>0</v>
      </c>
      <c r="D12" s="34">
        <f>IFERROR(__xludf.DUMMYFUNCTION("IF(ISNA(sum(filter(
Master_Mapping_Sheet!$E$2:$E$3143, ISNUMBER(
Master_Mapping_Sheet!$E$2:$E$3143),
Master_Mapping_Sheet!$C$2:$C$3143=D$1,
Master_Mapping_Sheet!$L$2:$L$3143=$A12))/sum(filter(
Master_Mapping_Sheet!$E$2:$E$3143, ISNUMBER(
Master_Mapping_Sh"&amp;"eet!$E$2:$E$3143),
Master_Mapping_Sheet!$C$2:$C$3143=D$1))), 0, sum(filter(
Master_Mapping_Sheet!$E$2:$E$3143, ISNUMBER(
Master_Mapping_Sheet!$E$2:$E$3143),
Master_Mapping_Sheet!$C$2:$C$3143=D$1,
Master_Mapping_Sheet!$L$2:$L$3143=$A12))/sum(filter(
Master"&amp;"_Mapping_Sheet!$E$2:$E$3143, ISNUMBER(
Master_Mapping_Sheet!$E$2:$E$3143),
Master_Mapping_Sheet!$C$2:$C$3143=D$1)))"),0.0428836291254987)</f>
        <v>0.04288362913</v>
      </c>
      <c r="E12" s="34">
        <f>IFERROR(__xludf.DUMMYFUNCTION("IF(ISNA(sum(filter(
Master_Mapping_Sheet!$E$2:$E$3143, ISNUMBER(
Master_Mapping_Sheet!$E$2:$E$3143),
Master_Mapping_Sheet!$C$2:$C$3143=E$1,
Master_Mapping_Sheet!$L$2:$L$3143=$A12))/sum(filter(
Master_Mapping_Sheet!$E$2:$E$3143, ISNUMBER(
Master_Mapping_Sh"&amp;"eet!$E$2:$E$3143),
Master_Mapping_Sheet!$C$2:$C$3143=E$1))), 0, sum(filter(
Master_Mapping_Sheet!$E$2:$E$3143, ISNUMBER(
Master_Mapping_Sheet!$E$2:$E$3143),
Master_Mapping_Sheet!$C$2:$C$3143=E$1,
Master_Mapping_Sheet!$L$2:$L$3143=$A12))/sum(filter(
Master"&amp;"_Mapping_Sheet!$E$2:$E$3143, ISNUMBER(
Master_Mapping_Sheet!$E$2:$E$3143),
Master_Mapping_Sheet!$C$2:$C$3143=E$1)))"),0.0)</f>
        <v>0</v>
      </c>
      <c r="F12" s="34">
        <f>IFERROR(__xludf.DUMMYFUNCTION("IF(ISNA(sum(filter(
Master_Mapping_Sheet!$E$2:$E$3143, ISNUMBER(
Master_Mapping_Sheet!$E$2:$E$3143),
Master_Mapping_Sheet!$C$2:$C$3143=F$1,
Master_Mapping_Sheet!$L$2:$L$3143=$A12))/sum(filter(
Master_Mapping_Sheet!$E$2:$E$3143, ISNUMBER(
Master_Mapping_Sh"&amp;"eet!$E$2:$E$3143),
Master_Mapping_Sheet!$C$2:$C$3143=F$1))), 0, sum(filter(
Master_Mapping_Sheet!$E$2:$E$3143, ISNUMBER(
Master_Mapping_Sheet!$E$2:$E$3143),
Master_Mapping_Sheet!$C$2:$C$3143=F$1,
Master_Mapping_Sheet!$L$2:$L$3143=$A12))/sum(filter(
Master"&amp;"_Mapping_Sheet!$E$2:$E$3143, ISNUMBER(
Master_Mapping_Sheet!$E$2:$E$3143),
Master_Mapping_Sheet!$C$2:$C$3143=F$1)))"),0.005251712727305111)</f>
        <v>0.005251712727</v>
      </c>
      <c r="G12" s="34">
        <f>IFERROR(__xludf.DUMMYFUNCTION("IF(ISNA(sum(filter(
Master_Mapping_Sheet!$E$2:$E$3143, ISNUMBER(
Master_Mapping_Sheet!$E$2:$E$3143),
Master_Mapping_Sheet!$C$2:$C$3143=G$1,
Master_Mapping_Sheet!$L$2:$L$3143=$A12))/sum(filter(
Master_Mapping_Sheet!$E$2:$E$3143, ISNUMBER(
Master_Mapping_Sh"&amp;"eet!$E$2:$E$3143),
Master_Mapping_Sheet!$C$2:$C$3143=G$1))), 0, sum(filter(
Master_Mapping_Sheet!$E$2:$E$3143, ISNUMBER(
Master_Mapping_Sheet!$E$2:$E$3143),
Master_Mapping_Sheet!$C$2:$C$3143=G$1,
Master_Mapping_Sheet!$L$2:$L$3143=$A12))/sum(filter(
Master"&amp;"_Mapping_Sheet!$E$2:$E$3143, ISNUMBER(
Master_Mapping_Sheet!$E$2:$E$3143),
Master_Mapping_Sheet!$C$2:$C$3143=G$1)))"),0.9395067042556413)</f>
        <v>0.9395067043</v>
      </c>
      <c r="H12" s="34">
        <f>IFERROR(__xludf.DUMMYFUNCTION("IF(ISNA(sum(filter(
Master_Mapping_Sheet!$E$2:$E$3143, ISNUMBER(
Master_Mapping_Sheet!$E$2:$E$3143),
Master_Mapping_Sheet!$C$2:$C$3143=H$1,
Master_Mapping_Sheet!$L$2:$L$3143=$A12))/sum(filter(
Master_Mapping_Sheet!$E$2:$E$3143, ISNUMBER(
Master_Mapping_Sh"&amp;"eet!$E$2:$E$3143),
Master_Mapping_Sheet!$C$2:$C$3143=H$1))), 0, sum(filter(
Master_Mapping_Sheet!$E$2:$E$3143, ISNUMBER(
Master_Mapping_Sheet!$E$2:$E$3143),
Master_Mapping_Sheet!$C$2:$C$3143=H$1,
Master_Mapping_Sheet!$L$2:$L$3143=$A12))/sum(filter(
Master"&amp;"_Mapping_Sheet!$E$2:$E$3143, ISNUMBER(
Master_Mapping_Sheet!$E$2:$E$3143),
Master_Mapping_Sheet!$C$2:$C$3143=H$1)))"),0.0)</f>
        <v>0</v>
      </c>
      <c r="I12" s="34">
        <f>IFERROR(__xludf.DUMMYFUNCTION("IF(ISNA(sum(filter(
Master_Mapping_Sheet!$E$2:$E$3143, ISNUMBER(
Master_Mapping_Sheet!$E$2:$E$3143),
Master_Mapping_Sheet!$C$2:$C$3143=I$1,
Master_Mapping_Sheet!$L$2:$L$3143=$A12))/sum(filter(
Master_Mapping_Sheet!$E$2:$E$3143, ISNUMBER(
Master_Mapping_Sh"&amp;"eet!$E$2:$E$3143),
Master_Mapping_Sheet!$C$2:$C$3143=I$1))), 0, sum(filter(
Master_Mapping_Sheet!$E$2:$E$3143, ISNUMBER(
Master_Mapping_Sheet!$E$2:$E$3143),
Master_Mapping_Sheet!$C$2:$C$3143=I$1,
Master_Mapping_Sheet!$L$2:$L$3143=$A12))/sum(filter(
Master"&amp;"_Mapping_Sheet!$E$2:$E$3143, ISNUMBER(
Master_Mapping_Sheet!$E$2:$E$3143),
Master_Mapping_Sheet!$C$2:$C$3143=I$1)))"),0.0)</f>
        <v>0</v>
      </c>
      <c r="J12" s="34">
        <f>IFERROR(__xludf.DUMMYFUNCTION("IF(ISNA(sum(filter(
Master_Mapping_Sheet!$E$2:$E$3143, ISNUMBER(
Master_Mapping_Sheet!$E$2:$E$3143),
Master_Mapping_Sheet!$C$2:$C$3143=J$1,
Master_Mapping_Sheet!$L$2:$L$3143=$A12))/sum(filter(
Master_Mapping_Sheet!$E$2:$E$3143, ISNUMBER(
Master_Mapping_Sh"&amp;"eet!$E$2:$E$3143),
Master_Mapping_Sheet!$C$2:$C$3143=J$1))), 0, sum(filter(
Master_Mapping_Sheet!$E$2:$E$3143, ISNUMBER(
Master_Mapping_Sheet!$E$2:$E$3143),
Master_Mapping_Sheet!$C$2:$C$3143=J$1,
Master_Mapping_Sheet!$L$2:$L$3143=$A12))/sum(filter(
Master"&amp;"_Mapping_Sheet!$E$2:$E$3143, ISNUMBER(
Master_Mapping_Sheet!$E$2:$E$3143),
Master_Mapping_Sheet!$C$2:$C$3143=J$1)))"),0.0)</f>
        <v>0</v>
      </c>
      <c r="K12" s="34">
        <f>IFERROR(__xludf.DUMMYFUNCTION("IF(ISNA(sum(filter(
Master_Mapping_Sheet!$E$2:$E$3143, ISNUMBER(
Master_Mapping_Sheet!$E$2:$E$3143),
Master_Mapping_Sheet!$C$2:$C$3143=K$1,
Master_Mapping_Sheet!$L$2:$L$3143=$A12))/sum(filter(
Master_Mapping_Sheet!$E$2:$E$3143, ISNUMBER(
Master_Mapping_Sh"&amp;"eet!$E$2:$E$3143),
Master_Mapping_Sheet!$C$2:$C$3143=K$1))), 0, sum(filter(
Master_Mapping_Sheet!$E$2:$E$3143, ISNUMBER(
Master_Mapping_Sheet!$E$2:$E$3143),
Master_Mapping_Sheet!$C$2:$C$3143=K$1,
Master_Mapping_Sheet!$L$2:$L$3143=$A12))/sum(filter(
Master"&amp;"_Mapping_Sheet!$E$2:$E$3143, ISNUMBER(
Master_Mapping_Sheet!$E$2:$E$3143),
Master_Mapping_Sheet!$C$2:$C$3143=K$1)))"),0.0)</f>
        <v>0</v>
      </c>
      <c r="L12" s="34">
        <f>IFERROR(__xludf.DUMMYFUNCTION("IF(ISNA(sum(filter(
Master_Mapping_Sheet!$E$2:$E$3143, ISNUMBER(
Master_Mapping_Sheet!$E$2:$E$3143),
Master_Mapping_Sheet!$C$2:$C$3143=L$1,
Master_Mapping_Sheet!$L$2:$L$3143=$A12))/sum(filter(
Master_Mapping_Sheet!$E$2:$E$3143, ISNUMBER(
Master_Mapping_Sh"&amp;"eet!$E$2:$E$3143),
Master_Mapping_Sheet!$C$2:$C$3143=L$1))), 0, sum(filter(
Master_Mapping_Sheet!$E$2:$E$3143, ISNUMBER(
Master_Mapping_Sheet!$E$2:$E$3143),
Master_Mapping_Sheet!$C$2:$C$3143=L$1,
Master_Mapping_Sheet!$L$2:$L$3143=$A12))/sum(filter(
Master"&amp;"_Mapping_Sheet!$E$2:$E$3143, ISNUMBER(
Master_Mapping_Sheet!$E$2:$E$3143),
Master_Mapping_Sheet!$C$2:$C$3143=L$1)))"),0.0)</f>
        <v>0</v>
      </c>
      <c r="M12" s="34">
        <f>IFERROR(__xludf.DUMMYFUNCTION("IF(ISNA(sum(filter(
Master_Mapping_Sheet!$E$2:$E$3143, ISNUMBER(
Master_Mapping_Sheet!$E$2:$E$3143),
Master_Mapping_Sheet!$C$2:$C$3143=M$1,
Master_Mapping_Sheet!$L$2:$L$3143=$A12))/sum(filter(
Master_Mapping_Sheet!$E$2:$E$3143, ISNUMBER(
Master_Mapping_Sh"&amp;"eet!$E$2:$E$3143),
Master_Mapping_Sheet!$C$2:$C$3143=M$1))), 0, sum(filter(
Master_Mapping_Sheet!$E$2:$E$3143, ISNUMBER(
Master_Mapping_Sheet!$E$2:$E$3143),
Master_Mapping_Sheet!$C$2:$C$3143=M$1,
Master_Mapping_Sheet!$L$2:$L$3143=$A12))/sum(filter(
Master"&amp;"_Mapping_Sheet!$E$2:$E$3143, ISNUMBER(
Master_Mapping_Sheet!$E$2:$E$3143),
Master_Mapping_Sheet!$C$2:$C$3143=M$1)))"),0.0)</f>
        <v>0</v>
      </c>
      <c r="N12" s="34">
        <f>IFERROR(__xludf.DUMMYFUNCTION("IF(ISNA(sum(filter(
Master_Mapping_Sheet!$E$2:$E$3143, ISNUMBER(
Master_Mapping_Sheet!$E$2:$E$3143),
Master_Mapping_Sheet!$C$2:$C$3143=N$1,
Master_Mapping_Sheet!$L$2:$L$3143=$A12))/sum(filter(
Master_Mapping_Sheet!$E$2:$E$3143, ISNUMBER(
Master_Mapping_Sh"&amp;"eet!$E$2:$E$3143),
Master_Mapping_Sheet!$C$2:$C$3143=N$1))), 0, sum(filter(
Master_Mapping_Sheet!$E$2:$E$3143, ISNUMBER(
Master_Mapping_Sheet!$E$2:$E$3143),
Master_Mapping_Sheet!$C$2:$C$3143=N$1,
Master_Mapping_Sheet!$L$2:$L$3143=$A12))/sum(filter(
Master"&amp;"_Mapping_Sheet!$E$2:$E$3143, ISNUMBER(
Master_Mapping_Sheet!$E$2:$E$3143),
Master_Mapping_Sheet!$C$2:$C$3143=N$1)))"),0.7164759869824088)</f>
        <v>0.716475987</v>
      </c>
      <c r="O12" s="34">
        <f>IFERROR(__xludf.DUMMYFUNCTION("IF(ISNA(sum(filter(
Master_Mapping_Sheet!$E$2:$E$3143, ISNUMBER(
Master_Mapping_Sheet!$E$2:$E$3143),
Master_Mapping_Sheet!$C$2:$C$3143=O$1,
Master_Mapping_Sheet!$L$2:$L$3143=$A12))/sum(filter(
Master_Mapping_Sheet!$E$2:$E$3143, ISNUMBER(
Master_Mapping_Sh"&amp;"eet!$E$2:$E$3143),
Master_Mapping_Sheet!$C$2:$C$3143=O$1))), 0, sum(filter(
Master_Mapping_Sheet!$E$2:$E$3143, ISNUMBER(
Master_Mapping_Sheet!$E$2:$E$3143),
Master_Mapping_Sheet!$C$2:$C$3143=O$1,
Master_Mapping_Sheet!$L$2:$L$3143=$A12))/sum(filter(
Master"&amp;"_Mapping_Sheet!$E$2:$E$3143, ISNUMBER(
Master_Mapping_Sheet!$E$2:$E$3143),
Master_Mapping_Sheet!$C$2:$C$3143=O$1)))"),0.0)</f>
        <v>0</v>
      </c>
      <c r="P12" s="34">
        <f>IFERROR(__xludf.DUMMYFUNCTION("IF(ISNA(sum(filter(
Master_Mapping_Sheet!$E$2:$E$3143, ISNUMBER(
Master_Mapping_Sheet!$E$2:$E$3143),
Master_Mapping_Sheet!$C$2:$C$3143=P$1,
Master_Mapping_Sheet!$L$2:$L$3143=$A12))/sum(filter(
Master_Mapping_Sheet!$E$2:$E$3143, ISNUMBER(
Master_Mapping_Sh"&amp;"eet!$E$2:$E$3143),
Master_Mapping_Sheet!$C$2:$C$3143=P$1))), 0, sum(filter(
Master_Mapping_Sheet!$E$2:$E$3143, ISNUMBER(
Master_Mapping_Sheet!$E$2:$E$3143),
Master_Mapping_Sheet!$C$2:$C$3143=P$1,
Master_Mapping_Sheet!$L$2:$L$3143=$A12))/sum(filter(
Master"&amp;"_Mapping_Sheet!$E$2:$E$3143, ISNUMBER(
Master_Mapping_Sheet!$E$2:$E$3143),
Master_Mapping_Sheet!$C$2:$C$3143=P$1)))"),0.0)</f>
        <v>0</v>
      </c>
      <c r="Q12" s="34">
        <f>IFERROR(__xludf.DUMMYFUNCTION("IF(ISNA(sum(filter(
Master_Mapping_Sheet!$E$2:$E$3143, ISNUMBER(
Master_Mapping_Sheet!$E$2:$E$3143),
Master_Mapping_Sheet!$C$2:$C$3143=Q$1,
Master_Mapping_Sheet!$L$2:$L$3143=$A12))/sum(filter(
Master_Mapping_Sheet!$E$2:$E$3143, ISNUMBER(
Master_Mapping_Sh"&amp;"eet!$E$2:$E$3143),
Master_Mapping_Sheet!$C$2:$C$3143=Q$1))), 0, sum(filter(
Master_Mapping_Sheet!$E$2:$E$3143, ISNUMBER(
Master_Mapping_Sheet!$E$2:$E$3143),
Master_Mapping_Sheet!$C$2:$C$3143=Q$1,
Master_Mapping_Sheet!$L$2:$L$3143=$A12))/sum(filter(
Master"&amp;"_Mapping_Sheet!$E$2:$E$3143, ISNUMBER(
Master_Mapping_Sheet!$E$2:$E$3143),
Master_Mapping_Sheet!$C$2:$C$3143=Q$1)))"),0.0)</f>
        <v>0</v>
      </c>
      <c r="R12" s="34">
        <f>IFERROR(__xludf.DUMMYFUNCTION("IF(ISNA(sum(filter(
Master_Mapping_Sheet!$E$2:$E$3143, ISNUMBER(
Master_Mapping_Sheet!$E$2:$E$3143),
Master_Mapping_Sheet!$C$2:$C$3143=R$1,
Master_Mapping_Sheet!$L$2:$L$3143=$A12))/sum(filter(
Master_Mapping_Sheet!$E$2:$E$3143, ISNUMBER(
Master_Mapping_Sh"&amp;"eet!$E$2:$E$3143),
Master_Mapping_Sheet!$C$2:$C$3143=R$1))), 0, sum(filter(
Master_Mapping_Sheet!$E$2:$E$3143, ISNUMBER(
Master_Mapping_Sheet!$E$2:$E$3143),
Master_Mapping_Sheet!$C$2:$C$3143=R$1,
Master_Mapping_Sheet!$L$2:$L$3143=$A12))/sum(filter(
Master"&amp;"_Mapping_Sheet!$E$2:$E$3143, ISNUMBER(
Master_Mapping_Sheet!$E$2:$E$3143),
Master_Mapping_Sheet!$C$2:$C$3143=R$1)))"),0.0)</f>
        <v>0</v>
      </c>
      <c r="S12" s="34">
        <f>IFERROR(__xludf.DUMMYFUNCTION("IF(ISNA(sum(filter(
Master_Mapping_Sheet!$E$2:$E$3143, ISNUMBER(
Master_Mapping_Sheet!$E$2:$E$3143),
Master_Mapping_Sheet!$C$2:$C$3143=S$1,
Master_Mapping_Sheet!$L$2:$L$3143=$A12))/sum(filter(
Master_Mapping_Sheet!$E$2:$E$3143, ISNUMBER(
Master_Mapping_Sh"&amp;"eet!$E$2:$E$3143),
Master_Mapping_Sheet!$C$2:$C$3143=S$1))), 0, sum(filter(
Master_Mapping_Sheet!$E$2:$E$3143, ISNUMBER(
Master_Mapping_Sheet!$E$2:$E$3143),
Master_Mapping_Sheet!$C$2:$C$3143=S$1,
Master_Mapping_Sheet!$L$2:$L$3143=$A12))/sum(filter(
Master"&amp;"_Mapping_Sheet!$E$2:$E$3143, ISNUMBER(
Master_Mapping_Sheet!$E$2:$E$3143),
Master_Mapping_Sheet!$C$2:$C$3143=S$1)))"),0.0)</f>
        <v>0</v>
      </c>
      <c r="T12" s="34">
        <f>IFERROR(__xludf.DUMMYFUNCTION("IF(ISNA(sum(filter(
Master_Mapping_Sheet!$E$2:$E$3143, ISNUMBER(
Master_Mapping_Sheet!$E$2:$E$3143),
Master_Mapping_Sheet!$C$2:$C$3143=T$1,
Master_Mapping_Sheet!$L$2:$L$3143=$A12))/sum(filter(
Master_Mapping_Sheet!$E$2:$E$3143, ISNUMBER(
Master_Mapping_Sh"&amp;"eet!$E$2:$E$3143),
Master_Mapping_Sheet!$C$2:$C$3143=T$1))), 0, sum(filter(
Master_Mapping_Sheet!$E$2:$E$3143, ISNUMBER(
Master_Mapping_Sheet!$E$2:$E$3143),
Master_Mapping_Sheet!$C$2:$C$3143=T$1,
Master_Mapping_Sheet!$L$2:$L$3143=$A12))/sum(filter(
Master"&amp;"_Mapping_Sheet!$E$2:$E$3143, ISNUMBER(
Master_Mapping_Sheet!$E$2:$E$3143),
Master_Mapping_Sheet!$C$2:$C$3143=T$1)))"),0.0)</f>
        <v>0</v>
      </c>
      <c r="U12" s="34">
        <f>IFERROR(__xludf.DUMMYFUNCTION("IF(ISNA(sum(filter(
Master_Mapping_Sheet!$E$2:$E$3143, ISNUMBER(
Master_Mapping_Sheet!$E$2:$E$3143),
Master_Mapping_Sheet!$C$2:$C$3143=U$1,
Master_Mapping_Sheet!$L$2:$L$3143=$A12))/sum(filter(
Master_Mapping_Sheet!$E$2:$E$3143, ISNUMBER(
Master_Mapping_Sh"&amp;"eet!$E$2:$E$3143),
Master_Mapping_Sheet!$C$2:$C$3143=U$1))), 0, sum(filter(
Master_Mapping_Sheet!$E$2:$E$3143, ISNUMBER(
Master_Mapping_Sheet!$E$2:$E$3143),
Master_Mapping_Sheet!$C$2:$C$3143=U$1,
Master_Mapping_Sheet!$L$2:$L$3143=$A12))/sum(filter(
Master"&amp;"_Mapping_Sheet!$E$2:$E$3143, ISNUMBER(
Master_Mapping_Sheet!$E$2:$E$3143),
Master_Mapping_Sheet!$C$2:$C$3143=U$1)))"),0.0)</f>
        <v>0</v>
      </c>
      <c r="V12" s="34">
        <f>IFERROR(__xludf.DUMMYFUNCTION("IF(ISNA(sum(filter(
Master_Mapping_Sheet!$E$2:$E$3143, ISNUMBER(
Master_Mapping_Sheet!$E$2:$E$3143),
Master_Mapping_Sheet!$C$2:$C$3143=V$1,
Master_Mapping_Sheet!$L$2:$L$3143=$A12))/sum(filter(
Master_Mapping_Sheet!$E$2:$E$3143, ISNUMBER(
Master_Mapping_Sh"&amp;"eet!$E$2:$E$3143),
Master_Mapping_Sheet!$C$2:$C$3143=V$1))), 0, sum(filter(
Master_Mapping_Sheet!$E$2:$E$3143, ISNUMBER(
Master_Mapping_Sheet!$E$2:$E$3143),
Master_Mapping_Sheet!$C$2:$C$3143=V$1,
Master_Mapping_Sheet!$L$2:$L$3143=$A12))/sum(filter(
Master"&amp;"_Mapping_Sheet!$E$2:$E$3143, ISNUMBER(
Master_Mapping_Sheet!$E$2:$E$3143),
Master_Mapping_Sheet!$C$2:$C$3143=V$1)))"),0.0)</f>
        <v>0</v>
      </c>
      <c r="W12" s="34">
        <f>IFERROR(__xludf.DUMMYFUNCTION("IF(ISNA(sum(filter(
Master_Mapping_Sheet!$E$2:$E$3143, ISNUMBER(
Master_Mapping_Sheet!$E$2:$E$3143),
Master_Mapping_Sheet!$C$2:$C$3143=W$1,
Master_Mapping_Sheet!$L$2:$L$3143=$A12))/sum(filter(
Master_Mapping_Sheet!$E$2:$E$3143, ISNUMBER(
Master_Mapping_Sh"&amp;"eet!$E$2:$E$3143),
Master_Mapping_Sheet!$C$2:$C$3143=W$1))), 0, sum(filter(
Master_Mapping_Sheet!$E$2:$E$3143, ISNUMBER(
Master_Mapping_Sheet!$E$2:$E$3143),
Master_Mapping_Sheet!$C$2:$C$3143=W$1,
Master_Mapping_Sheet!$L$2:$L$3143=$A12))/sum(filter(
Master"&amp;"_Mapping_Sheet!$E$2:$E$3143, ISNUMBER(
Master_Mapping_Sheet!$E$2:$E$3143),
Master_Mapping_Sheet!$C$2:$C$3143=W$1)))"),0.0)</f>
        <v>0</v>
      </c>
      <c r="X12" s="34">
        <f>IFERROR(__xludf.DUMMYFUNCTION("IF(ISNA(sum(filter(
Master_Mapping_Sheet!$E$2:$E$3143, ISNUMBER(
Master_Mapping_Sheet!$E$2:$E$3143),
Master_Mapping_Sheet!$C$2:$C$3143=X$1,
Master_Mapping_Sheet!$L$2:$L$3143=$A12))/sum(filter(
Master_Mapping_Sheet!$E$2:$E$3143, ISNUMBER(
Master_Mapping_Sh"&amp;"eet!$E$2:$E$3143),
Master_Mapping_Sheet!$C$2:$C$3143=X$1))), 0, sum(filter(
Master_Mapping_Sheet!$E$2:$E$3143, ISNUMBER(
Master_Mapping_Sheet!$E$2:$E$3143),
Master_Mapping_Sheet!$C$2:$C$3143=X$1,
Master_Mapping_Sheet!$L$2:$L$3143=$A12))/sum(filter(
Master"&amp;"_Mapping_Sheet!$E$2:$E$3143, ISNUMBER(
Master_Mapping_Sheet!$E$2:$E$3143),
Master_Mapping_Sheet!$C$2:$C$3143=X$1)))"),0.0)</f>
        <v>0</v>
      </c>
      <c r="Y12" s="34">
        <f>IFERROR(__xludf.DUMMYFUNCTION("IF(ISNA(sum(filter(
Master_Mapping_Sheet!$E$2:$E$3143, ISNUMBER(
Master_Mapping_Sheet!$E$2:$E$3143),
Master_Mapping_Sheet!$C$2:$C$3143=Y$1,
Master_Mapping_Sheet!$L$2:$L$3143=$A12))/sum(filter(
Master_Mapping_Sheet!$E$2:$E$3143, ISNUMBER(
Master_Mapping_Sh"&amp;"eet!$E$2:$E$3143),
Master_Mapping_Sheet!$C$2:$C$3143=Y$1))), 0, sum(filter(
Master_Mapping_Sheet!$E$2:$E$3143, ISNUMBER(
Master_Mapping_Sheet!$E$2:$E$3143),
Master_Mapping_Sheet!$C$2:$C$3143=Y$1,
Master_Mapping_Sheet!$L$2:$L$3143=$A12))/sum(filter(
Master"&amp;"_Mapping_Sheet!$E$2:$E$3143, ISNUMBER(
Master_Mapping_Sheet!$E$2:$E$3143),
Master_Mapping_Sheet!$C$2:$C$3143=Y$1)))"),0.0)</f>
        <v>0</v>
      </c>
      <c r="Z12" s="34">
        <f>IFERROR(__xludf.DUMMYFUNCTION("IF(ISNA(sum(filter(
Master_Mapping_Sheet!$E$2:$E$3143, ISNUMBER(
Master_Mapping_Sheet!$E$2:$E$3143),
Master_Mapping_Sheet!$C$2:$C$3143=Z$1,
Master_Mapping_Sheet!$L$2:$L$3143=$A12))/sum(filter(
Master_Mapping_Sheet!$E$2:$E$3143, ISNUMBER(
Master_Mapping_Sh"&amp;"eet!$E$2:$E$3143),
Master_Mapping_Sheet!$C$2:$C$3143=Z$1))), 0, sum(filter(
Master_Mapping_Sheet!$E$2:$E$3143, ISNUMBER(
Master_Mapping_Sheet!$E$2:$E$3143),
Master_Mapping_Sheet!$C$2:$C$3143=Z$1,
Master_Mapping_Sheet!$L$2:$L$3143=$A12))/sum(filter(
Master"&amp;"_Mapping_Sheet!$E$2:$E$3143, ISNUMBER(
Master_Mapping_Sheet!$E$2:$E$3143),
Master_Mapping_Sheet!$C$2:$C$3143=Z$1)))"),0.0)</f>
        <v>0</v>
      </c>
      <c r="AA12" s="34">
        <f>IFERROR(__xludf.DUMMYFUNCTION("IF(ISNA(sum(filter(
Master_Mapping_Sheet!$E$2:$E$3143, ISNUMBER(
Master_Mapping_Sheet!$E$2:$E$3143),
Master_Mapping_Sheet!$C$2:$C$3143=AA$1,
Master_Mapping_Sheet!$L$2:$L$3143=$A12))/sum(filter(
Master_Mapping_Sheet!$E$2:$E$3143, ISNUMBER(
Master_Mapping_S"&amp;"heet!$E$2:$E$3143),
Master_Mapping_Sheet!$C$2:$C$3143=AA$1))), 0, sum(filter(
Master_Mapping_Sheet!$E$2:$E$3143, ISNUMBER(
Master_Mapping_Sheet!$E$2:$E$3143),
Master_Mapping_Sheet!$C$2:$C$3143=AA$1,
Master_Mapping_Sheet!$L$2:$L$3143=$A12))/sum(filter(
Mas"&amp;"ter_Mapping_Sheet!$E$2:$E$3143, ISNUMBER(
Master_Mapping_Sheet!$E$2:$E$3143),
Master_Mapping_Sheet!$C$2:$C$3143=AA$1)))"),0.0)</f>
        <v>0</v>
      </c>
      <c r="AB12" s="34">
        <f>IFERROR(__xludf.DUMMYFUNCTION("IF(ISNA(sum(filter(
Master_Mapping_Sheet!$E$2:$E$3143, ISNUMBER(
Master_Mapping_Sheet!$E$2:$E$3143),
Master_Mapping_Sheet!$C$2:$C$3143=AB$1,
Master_Mapping_Sheet!$L$2:$L$3143=$A12))/sum(filter(
Master_Mapping_Sheet!$E$2:$E$3143, ISNUMBER(
Master_Mapping_S"&amp;"heet!$E$2:$E$3143),
Master_Mapping_Sheet!$C$2:$C$3143=AB$1))), 0, sum(filter(
Master_Mapping_Sheet!$E$2:$E$3143, ISNUMBER(
Master_Mapping_Sheet!$E$2:$E$3143),
Master_Mapping_Sheet!$C$2:$C$3143=AB$1,
Master_Mapping_Sheet!$L$2:$L$3143=$A12))/sum(filter(
Mas"&amp;"ter_Mapping_Sheet!$E$2:$E$3143, ISNUMBER(
Master_Mapping_Sheet!$E$2:$E$3143),
Master_Mapping_Sheet!$C$2:$C$3143=AB$1)))"),0.0)</f>
        <v>0</v>
      </c>
      <c r="AC12" s="34">
        <f>IFERROR(__xludf.DUMMYFUNCTION("IF(ISNA(sum(filter(
Master_Mapping_Sheet!$E$2:$E$3143, ISNUMBER(
Master_Mapping_Sheet!$E$2:$E$3143),
Master_Mapping_Sheet!$C$2:$C$3143=AC$1,
Master_Mapping_Sheet!$L$2:$L$3143=$A12))/sum(filter(
Master_Mapping_Sheet!$E$2:$E$3143, ISNUMBER(
Master_Mapping_S"&amp;"heet!$E$2:$E$3143),
Master_Mapping_Sheet!$C$2:$C$3143=AC$1))), 0, sum(filter(
Master_Mapping_Sheet!$E$2:$E$3143, ISNUMBER(
Master_Mapping_Sheet!$E$2:$E$3143),
Master_Mapping_Sheet!$C$2:$C$3143=AC$1,
Master_Mapping_Sheet!$L$2:$L$3143=$A12))/sum(filter(
Mas"&amp;"ter_Mapping_Sheet!$E$2:$E$3143, ISNUMBER(
Master_Mapping_Sheet!$E$2:$E$3143),
Master_Mapping_Sheet!$C$2:$C$3143=AC$1)))"),0.0)</f>
        <v>0</v>
      </c>
      <c r="AD12" s="34">
        <f>IFERROR(__xludf.DUMMYFUNCTION("IF(ISNA(sum(filter(
Master_Mapping_Sheet!$E$2:$E$3143, ISNUMBER(
Master_Mapping_Sheet!$E$2:$E$3143),
Master_Mapping_Sheet!$C$2:$C$3143=AD$1,
Master_Mapping_Sheet!$L$2:$L$3143=$A12))/sum(filter(
Master_Mapping_Sheet!$E$2:$E$3143, ISNUMBER(
Master_Mapping_S"&amp;"heet!$E$2:$E$3143),
Master_Mapping_Sheet!$C$2:$C$3143=AD$1))), 0, sum(filter(
Master_Mapping_Sheet!$E$2:$E$3143, ISNUMBER(
Master_Mapping_Sheet!$E$2:$E$3143),
Master_Mapping_Sheet!$C$2:$C$3143=AD$1,
Master_Mapping_Sheet!$L$2:$L$3143=$A12))/sum(filter(
Mas"&amp;"ter_Mapping_Sheet!$E$2:$E$3143, ISNUMBER(
Master_Mapping_Sheet!$E$2:$E$3143),
Master_Mapping_Sheet!$C$2:$C$3143=AD$1)))"),0.2684895885511631)</f>
        <v>0.2684895886</v>
      </c>
      <c r="AE12" s="34">
        <f>IFERROR(__xludf.DUMMYFUNCTION("IF(ISNA(sum(filter(
Master_Mapping_Sheet!$E$2:$E$3143, ISNUMBER(
Master_Mapping_Sheet!$E$2:$E$3143),
Master_Mapping_Sheet!$C$2:$C$3143=AE$1,
Master_Mapping_Sheet!$L$2:$L$3143=$A12))/sum(filter(
Master_Mapping_Sheet!$E$2:$E$3143, ISNUMBER(
Master_Mapping_S"&amp;"heet!$E$2:$E$3143),
Master_Mapping_Sheet!$C$2:$C$3143=AE$1))), 0, sum(filter(
Master_Mapping_Sheet!$E$2:$E$3143, ISNUMBER(
Master_Mapping_Sheet!$E$2:$E$3143),
Master_Mapping_Sheet!$C$2:$C$3143=AE$1,
Master_Mapping_Sheet!$L$2:$L$3143=$A12))/sum(filter(
Mas"&amp;"ter_Mapping_Sheet!$E$2:$E$3143, ISNUMBER(
Master_Mapping_Sheet!$E$2:$E$3143),
Master_Mapping_Sheet!$C$2:$C$3143=AE$1)))"),0.0)</f>
        <v>0</v>
      </c>
      <c r="AF12" s="34">
        <f>IFERROR(__xludf.DUMMYFUNCTION("IF(ISNA(sum(filter(
Master_Mapping_Sheet!$E$2:$E$3143, ISNUMBER(
Master_Mapping_Sheet!$E$2:$E$3143),
Master_Mapping_Sheet!$C$2:$C$3143=AF$1,
Master_Mapping_Sheet!$L$2:$L$3143=$A12))/sum(filter(
Master_Mapping_Sheet!$E$2:$E$3143, ISNUMBER(
Master_Mapping_S"&amp;"heet!$E$2:$E$3143),
Master_Mapping_Sheet!$C$2:$C$3143=AF$1))), 0, sum(filter(
Master_Mapping_Sheet!$E$2:$E$3143, ISNUMBER(
Master_Mapping_Sheet!$E$2:$E$3143),
Master_Mapping_Sheet!$C$2:$C$3143=AF$1,
Master_Mapping_Sheet!$L$2:$L$3143=$A12))/sum(filter(
Mas"&amp;"ter_Mapping_Sheet!$E$2:$E$3143, ISNUMBER(
Master_Mapping_Sheet!$E$2:$E$3143),
Master_Mapping_Sheet!$C$2:$C$3143=AF$1)))"),0.0)</f>
        <v>0</v>
      </c>
      <c r="AG12" s="34">
        <f>IFERROR(__xludf.DUMMYFUNCTION("IF(ISNA(sum(filter(
Master_Mapping_Sheet!$E$2:$E$3143, ISNUMBER(
Master_Mapping_Sheet!$E$2:$E$3143),
Master_Mapping_Sheet!$C$2:$C$3143=AG$1,
Master_Mapping_Sheet!$L$2:$L$3143=$A12))/sum(filter(
Master_Mapping_Sheet!$E$2:$E$3143, ISNUMBER(
Master_Mapping_S"&amp;"heet!$E$2:$E$3143),
Master_Mapping_Sheet!$C$2:$C$3143=AG$1))), 0, sum(filter(
Master_Mapping_Sheet!$E$2:$E$3143, ISNUMBER(
Master_Mapping_Sheet!$E$2:$E$3143),
Master_Mapping_Sheet!$C$2:$C$3143=AG$1,
Master_Mapping_Sheet!$L$2:$L$3143=$A12))/sum(filter(
Mas"&amp;"ter_Mapping_Sheet!$E$2:$E$3143, ISNUMBER(
Master_Mapping_Sheet!$E$2:$E$3143),
Master_Mapping_Sheet!$C$2:$C$3143=AG$1)))"),0.31130629392854897)</f>
        <v>0.3113062939</v>
      </c>
      <c r="AH12" s="34">
        <f>IFERROR(__xludf.DUMMYFUNCTION("IF(ISNA(sum(filter(
Master_Mapping_Sheet!$E$2:$E$3143, ISNUMBER(
Master_Mapping_Sheet!$E$2:$E$3143),
Master_Mapping_Sheet!$C$2:$C$3143=AH$1,
Master_Mapping_Sheet!$L$2:$L$3143=$A12))/sum(filter(
Master_Mapping_Sheet!$E$2:$E$3143, ISNUMBER(
Master_Mapping_S"&amp;"heet!$E$2:$E$3143),
Master_Mapping_Sheet!$C$2:$C$3143=AH$1))), 0, sum(filter(
Master_Mapping_Sheet!$E$2:$E$3143, ISNUMBER(
Master_Mapping_Sheet!$E$2:$E$3143),
Master_Mapping_Sheet!$C$2:$C$3143=AH$1,
Master_Mapping_Sheet!$L$2:$L$3143=$A12))/sum(filter(
Mas"&amp;"ter_Mapping_Sheet!$E$2:$E$3143, ISNUMBER(
Master_Mapping_Sheet!$E$2:$E$3143),
Master_Mapping_Sheet!$C$2:$C$3143=AH$1)))"),0.0)</f>
        <v>0</v>
      </c>
      <c r="AI12" s="34">
        <f>IFERROR(__xludf.DUMMYFUNCTION("IF(ISNA(sum(filter(
Master_Mapping_Sheet!$E$2:$E$3143, ISNUMBER(
Master_Mapping_Sheet!$E$2:$E$3143),
Master_Mapping_Sheet!$C$2:$C$3143=AI$1,
Master_Mapping_Sheet!$L$2:$L$3143=$A12))/sum(filter(
Master_Mapping_Sheet!$E$2:$E$3143, ISNUMBER(
Master_Mapping_S"&amp;"heet!$E$2:$E$3143),
Master_Mapping_Sheet!$C$2:$C$3143=AI$1))), 0, sum(filter(
Master_Mapping_Sheet!$E$2:$E$3143, ISNUMBER(
Master_Mapping_Sheet!$E$2:$E$3143),
Master_Mapping_Sheet!$C$2:$C$3143=AI$1,
Master_Mapping_Sheet!$L$2:$L$3143=$A12))/sum(filter(
Mas"&amp;"ter_Mapping_Sheet!$E$2:$E$3143, ISNUMBER(
Master_Mapping_Sheet!$E$2:$E$3143),
Master_Mapping_Sheet!$C$2:$C$3143=AI$1)))"),0.0)</f>
        <v>0</v>
      </c>
      <c r="AJ12" s="34">
        <f>IFERROR(__xludf.DUMMYFUNCTION("IF(ISNA(sum(filter(
Master_Mapping_Sheet!$E$2:$E$3143, ISNUMBER(
Master_Mapping_Sheet!$E$2:$E$3143),
Master_Mapping_Sheet!$C$2:$C$3143=AJ$1,
Master_Mapping_Sheet!$L$2:$L$3143=$A12))/sum(filter(
Master_Mapping_Sheet!$E$2:$E$3143, ISNUMBER(
Master_Mapping_S"&amp;"heet!$E$2:$E$3143),
Master_Mapping_Sheet!$C$2:$C$3143=AJ$1))), 0, sum(filter(
Master_Mapping_Sheet!$E$2:$E$3143, ISNUMBER(
Master_Mapping_Sheet!$E$2:$E$3143),
Master_Mapping_Sheet!$C$2:$C$3143=AJ$1,
Master_Mapping_Sheet!$L$2:$L$3143=$A12))/sum(filter(
Mas"&amp;"ter_Mapping_Sheet!$E$2:$E$3143, ISNUMBER(
Master_Mapping_Sheet!$E$2:$E$3143),
Master_Mapping_Sheet!$C$2:$C$3143=AJ$1)))"),0.0)</f>
        <v>0</v>
      </c>
      <c r="AK12" s="34">
        <f>IFERROR(__xludf.DUMMYFUNCTION("IF(ISNA(sum(filter(
Master_Mapping_Sheet!$E$2:$E$3143, ISNUMBER(
Master_Mapping_Sheet!$E$2:$E$3143),
Master_Mapping_Sheet!$C$2:$C$3143=AK$1,
Master_Mapping_Sheet!$L$2:$L$3143=$A12))/sum(filter(
Master_Mapping_Sheet!$E$2:$E$3143, ISNUMBER(
Master_Mapping_S"&amp;"heet!$E$2:$E$3143),
Master_Mapping_Sheet!$C$2:$C$3143=AK$1))), 0, sum(filter(
Master_Mapping_Sheet!$E$2:$E$3143, ISNUMBER(
Master_Mapping_Sheet!$E$2:$E$3143),
Master_Mapping_Sheet!$C$2:$C$3143=AK$1,
Master_Mapping_Sheet!$L$2:$L$3143=$A12))/sum(filter(
Mas"&amp;"ter_Mapping_Sheet!$E$2:$E$3143, ISNUMBER(
Master_Mapping_Sheet!$E$2:$E$3143),
Master_Mapping_Sheet!$C$2:$C$3143=AK$1)))"),0.0)</f>
        <v>0</v>
      </c>
      <c r="AL12" s="34">
        <f>IFERROR(__xludf.DUMMYFUNCTION("IF(ISNA(sum(filter(
Master_Mapping_Sheet!$E$2:$E$3143, ISNUMBER(
Master_Mapping_Sheet!$E$2:$E$3143),
Master_Mapping_Sheet!$C$2:$C$3143=AL$1,
Master_Mapping_Sheet!$L$2:$L$3143=$A12))/sum(filter(
Master_Mapping_Sheet!$E$2:$E$3143, ISNUMBER(
Master_Mapping_S"&amp;"heet!$E$2:$E$3143),
Master_Mapping_Sheet!$C$2:$C$3143=AL$1))), 0, sum(filter(
Master_Mapping_Sheet!$E$2:$E$3143, ISNUMBER(
Master_Mapping_Sheet!$E$2:$E$3143),
Master_Mapping_Sheet!$C$2:$C$3143=AL$1,
Master_Mapping_Sheet!$L$2:$L$3143=$A12))/sum(filter(
Mas"&amp;"ter_Mapping_Sheet!$E$2:$E$3143, ISNUMBER(
Master_Mapping_Sheet!$E$2:$E$3143),
Master_Mapping_Sheet!$C$2:$C$3143=AL$1)))"),0.0)</f>
        <v>0</v>
      </c>
      <c r="AM12" s="34">
        <f>IFERROR(__xludf.DUMMYFUNCTION("IF(ISNA(sum(filter(
Master_Mapping_Sheet!$E$2:$E$3143, ISNUMBER(
Master_Mapping_Sheet!$E$2:$E$3143),
Master_Mapping_Sheet!$C$2:$C$3143=AM$1,
Master_Mapping_Sheet!$L$2:$L$3143=$A12))/sum(filter(
Master_Mapping_Sheet!$E$2:$E$3143, ISNUMBER(
Master_Mapping_S"&amp;"heet!$E$2:$E$3143),
Master_Mapping_Sheet!$C$2:$C$3143=AM$1))), 0, sum(filter(
Master_Mapping_Sheet!$E$2:$E$3143, ISNUMBER(
Master_Mapping_Sheet!$E$2:$E$3143),
Master_Mapping_Sheet!$C$2:$C$3143=AM$1,
Master_Mapping_Sheet!$L$2:$L$3143=$A12))/sum(filter(
Mas"&amp;"ter_Mapping_Sheet!$E$2:$E$3143, ISNUMBER(
Master_Mapping_Sheet!$E$2:$E$3143),
Master_Mapping_Sheet!$C$2:$C$3143=AM$1)))"),0.13802045562884122)</f>
        <v>0.1380204556</v>
      </c>
      <c r="AN12" s="34">
        <f>IFERROR(__xludf.DUMMYFUNCTION("IF(ISNA(sum(filter(
Master_Mapping_Sheet!$E$2:$E$3143, ISNUMBER(
Master_Mapping_Sheet!$E$2:$E$3143),
Master_Mapping_Sheet!$C$2:$C$3143=AN$1,
Master_Mapping_Sheet!$L$2:$L$3143=$A12))/sum(filter(
Master_Mapping_Sheet!$E$2:$E$3143, ISNUMBER(
Master_Mapping_S"&amp;"heet!$E$2:$E$3143),
Master_Mapping_Sheet!$C$2:$C$3143=AN$1))), 0, sum(filter(
Master_Mapping_Sheet!$E$2:$E$3143, ISNUMBER(
Master_Mapping_Sheet!$E$2:$E$3143),
Master_Mapping_Sheet!$C$2:$C$3143=AN$1,
Master_Mapping_Sheet!$L$2:$L$3143=$A12))/sum(filter(
Mas"&amp;"ter_Mapping_Sheet!$E$2:$E$3143, ISNUMBER(
Master_Mapping_Sheet!$E$2:$E$3143),
Master_Mapping_Sheet!$C$2:$C$3143=AN$1)))"),0.0)</f>
        <v>0</v>
      </c>
      <c r="AO12" s="34">
        <f>IFERROR(__xludf.DUMMYFUNCTION("IF(ISNA(sum(filter(
Master_Mapping_Sheet!$E$2:$E$3143, ISNUMBER(
Master_Mapping_Sheet!$E$2:$E$3143),
Master_Mapping_Sheet!$C$2:$C$3143=AO$1,
Master_Mapping_Sheet!$L$2:$L$3143=$A12))/sum(filter(
Master_Mapping_Sheet!$E$2:$E$3143, ISNUMBER(
Master_Mapping_S"&amp;"heet!$E$2:$E$3143),
Master_Mapping_Sheet!$C$2:$C$3143=AO$1))), 0, sum(filter(
Master_Mapping_Sheet!$E$2:$E$3143, ISNUMBER(
Master_Mapping_Sheet!$E$2:$E$3143),
Master_Mapping_Sheet!$C$2:$C$3143=AO$1,
Master_Mapping_Sheet!$L$2:$L$3143=$A12))/sum(filter(
Mas"&amp;"ter_Mapping_Sheet!$E$2:$E$3143, ISNUMBER(
Master_Mapping_Sheet!$E$2:$E$3143),
Master_Mapping_Sheet!$C$2:$C$3143=AO$1)))"),0.0)</f>
        <v>0</v>
      </c>
      <c r="AP12" s="34">
        <f>IFERROR(__xludf.DUMMYFUNCTION("IF(ISNA(sum(filter(
Master_Mapping_Sheet!$E$2:$E$3143, ISNUMBER(
Master_Mapping_Sheet!$E$2:$E$3143),
Master_Mapping_Sheet!$C$2:$C$3143=AP$1,
Master_Mapping_Sheet!$L$2:$L$3143=$A12))/sum(filter(
Master_Mapping_Sheet!$E$2:$E$3143, ISNUMBER(
Master_Mapping_S"&amp;"heet!$E$2:$E$3143),
Master_Mapping_Sheet!$C$2:$C$3143=AP$1))), 0, sum(filter(
Master_Mapping_Sheet!$E$2:$E$3143, ISNUMBER(
Master_Mapping_Sheet!$E$2:$E$3143),
Master_Mapping_Sheet!$C$2:$C$3143=AP$1,
Master_Mapping_Sheet!$L$2:$L$3143=$A12))/sum(filter(
Mas"&amp;"ter_Mapping_Sheet!$E$2:$E$3143, ISNUMBER(
Master_Mapping_Sheet!$E$2:$E$3143),
Master_Mapping_Sheet!$C$2:$C$3143=AP$1)))"),0.0)</f>
        <v>0</v>
      </c>
      <c r="AQ12" s="34">
        <f>IFERROR(__xludf.DUMMYFUNCTION("IF(ISNA(sum(filter(
Master_Mapping_Sheet!$E$2:$E$3143, ISNUMBER(
Master_Mapping_Sheet!$E$2:$E$3143),
Master_Mapping_Sheet!$C$2:$C$3143=AQ$1,
Master_Mapping_Sheet!$L$2:$L$3143=$A12))/sum(filter(
Master_Mapping_Sheet!$E$2:$E$3143, ISNUMBER(
Master_Mapping_S"&amp;"heet!$E$2:$E$3143),
Master_Mapping_Sheet!$C$2:$C$3143=AQ$1))), 0, sum(filter(
Master_Mapping_Sheet!$E$2:$E$3143, ISNUMBER(
Master_Mapping_Sheet!$E$2:$E$3143),
Master_Mapping_Sheet!$C$2:$C$3143=AQ$1,
Master_Mapping_Sheet!$L$2:$L$3143=$A12))/sum(filter(
Mas"&amp;"ter_Mapping_Sheet!$E$2:$E$3143, ISNUMBER(
Master_Mapping_Sheet!$E$2:$E$3143),
Master_Mapping_Sheet!$C$2:$C$3143=AQ$1)))"),0.0)</f>
        <v>0</v>
      </c>
      <c r="AR12" s="34">
        <f>IFERROR(__xludf.DUMMYFUNCTION("IF(ISNA(sum(filter(
Master_Mapping_Sheet!$E$2:$E$3143, ISNUMBER(
Master_Mapping_Sheet!$E$2:$E$3143),
Master_Mapping_Sheet!$C$2:$C$3143=AR$1,
Master_Mapping_Sheet!$L$2:$L$3143=$A12))/sum(filter(
Master_Mapping_Sheet!$E$2:$E$3143, ISNUMBER(
Master_Mapping_S"&amp;"heet!$E$2:$E$3143),
Master_Mapping_Sheet!$C$2:$C$3143=AR$1))), 0, sum(filter(
Master_Mapping_Sheet!$E$2:$E$3143, ISNUMBER(
Master_Mapping_Sheet!$E$2:$E$3143),
Master_Mapping_Sheet!$C$2:$C$3143=AR$1,
Master_Mapping_Sheet!$L$2:$L$3143=$A12))/sum(filter(
Mas"&amp;"ter_Mapping_Sheet!$E$2:$E$3143, ISNUMBER(
Master_Mapping_Sheet!$E$2:$E$3143),
Master_Mapping_Sheet!$C$2:$C$3143=AR$1)))"),0.0)</f>
        <v>0</v>
      </c>
      <c r="AS12" s="34">
        <f>IFERROR(__xludf.DUMMYFUNCTION("IF(ISNA(sum(filter(
Master_Mapping_Sheet!$E$2:$E$3143, ISNUMBER(
Master_Mapping_Sheet!$E$2:$E$3143),
Master_Mapping_Sheet!$C$2:$C$3143=AS$1,
Master_Mapping_Sheet!$L$2:$L$3143=$A12))/sum(filter(
Master_Mapping_Sheet!$E$2:$E$3143, ISNUMBER(
Master_Mapping_S"&amp;"heet!$E$2:$E$3143),
Master_Mapping_Sheet!$C$2:$C$3143=AS$1))), 0, sum(filter(
Master_Mapping_Sheet!$E$2:$E$3143, ISNUMBER(
Master_Mapping_Sheet!$E$2:$E$3143),
Master_Mapping_Sheet!$C$2:$C$3143=AS$1,
Master_Mapping_Sheet!$L$2:$L$3143=$A12))/sum(filter(
Mas"&amp;"ter_Mapping_Sheet!$E$2:$E$3143, ISNUMBER(
Master_Mapping_Sheet!$E$2:$E$3143),
Master_Mapping_Sheet!$C$2:$C$3143=AS$1)))"),0.0)</f>
        <v>0</v>
      </c>
      <c r="AT12" s="34">
        <f>IFERROR(__xludf.DUMMYFUNCTION("IF(ISNA(sum(filter(
Master_Mapping_Sheet!$E$2:$E$3143, ISNUMBER(
Master_Mapping_Sheet!$E$2:$E$3143),
Master_Mapping_Sheet!$C$2:$C$3143=AT$1,
Master_Mapping_Sheet!$L$2:$L$3143=$A12))/sum(filter(
Master_Mapping_Sheet!$E$2:$E$3143, ISNUMBER(
Master_Mapping_S"&amp;"heet!$E$2:$E$3143),
Master_Mapping_Sheet!$C$2:$C$3143=AT$1))), 0, sum(filter(
Master_Mapping_Sheet!$E$2:$E$3143, ISNUMBER(
Master_Mapping_Sheet!$E$2:$E$3143),
Master_Mapping_Sheet!$C$2:$C$3143=AT$1,
Master_Mapping_Sheet!$L$2:$L$3143=$A12))/sum(filter(
Mas"&amp;"ter_Mapping_Sheet!$E$2:$E$3143, ISNUMBER(
Master_Mapping_Sheet!$E$2:$E$3143),
Master_Mapping_Sheet!$C$2:$C$3143=AT$1)))"),0.8294405006358014)</f>
        <v>0.8294405006</v>
      </c>
      <c r="AU12" s="34">
        <f>IFERROR(__xludf.DUMMYFUNCTION("IF(ISNA(sum(filter(
Master_Mapping_Sheet!$E$2:$E$3143, ISNUMBER(
Master_Mapping_Sheet!$E$2:$E$3143),
Master_Mapping_Sheet!$C$2:$C$3143=AU$1,
Master_Mapping_Sheet!$L$2:$L$3143=$A12))/sum(filter(
Master_Mapping_Sheet!$E$2:$E$3143, ISNUMBER(
Master_Mapping_S"&amp;"heet!$E$2:$E$3143),
Master_Mapping_Sheet!$C$2:$C$3143=AU$1))), 0, sum(filter(
Master_Mapping_Sheet!$E$2:$E$3143, ISNUMBER(
Master_Mapping_Sheet!$E$2:$E$3143),
Master_Mapping_Sheet!$C$2:$C$3143=AU$1,
Master_Mapping_Sheet!$L$2:$L$3143=$A12))/sum(filter(
Mas"&amp;"ter_Mapping_Sheet!$E$2:$E$3143, ISNUMBER(
Master_Mapping_Sheet!$E$2:$E$3143),
Master_Mapping_Sheet!$C$2:$C$3143=AU$1)))"),0.0)</f>
        <v>0</v>
      </c>
      <c r="AV12" s="34">
        <f>IFERROR(__xludf.DUMMYFUNCTION("IF(ISNA(sum(filter(
Master_Mapping_Sheet!$E$2:$E$3143, ISNUMBER(
Master_Mapping_Sheet!$E$2:$E$3143),
Master_Mapping_Sheet!$C$2:$C$3143=AV$1,
Master_Mapping_Sheet!$L$2:$L$3143=$A12))/sum(filter(
Master_Mapping_Sheet!$E$2:$E$3143, ISNUMBER(
Master_Mapping_S"&amp;"heet!$E$2:$E$3143),
Master_Mapping_Sheet!$C$2:$C$3143=AV$1))), 0, sum(filter(
Master_Mapping_Sheet!$E$2:$E$3143, ISNUMBER(
Master_Mapping_Sheet!$E$2:$E$3143),
Master_Mapping_Sheet!$C$2:$C$3143=AV$1,
Master_Mapping_Sheet!$L$2:$L$3143=$A12))/sum(filter(
Mas"&amp;"ter_Mapping_Sheet!$E$2:$E$3143, ISNUMBER(
Master_Mapping_Sheet!$E$2:$E$3143),
Master_Mapping_Sheet!$C$2:$C$3143=AV$1)))"),0.0)</f>
        <v>0</v>
      </c>
      <c r="AW12" s="34">
        <f>IFERROR(__xludf.DUMMYFUNCTION("IF(ISNA(sum(filter(
Master_Mapping_Sheet!$E$2:$E$3143, ISNUMBER(
Master_Mapping_Sheet!$E$2:$E$3143),
Master_Mapping_Sheet!$C$2:$C$3143=AW$1,
Master_Mapping_Sheet!$L$2:$L$3143=$A12))/sum(filter(
Master_Mapping_Sheet!$E$2:$E$3143, ISNUMBER(
Master_Mapping_S"&amp;"heet!$E$2:$E$3143),
Master_Mapping_Sheet!$C$2:$C$3143=AW$1))), 0, sum(filter(
Master_Mapping_Sheet!$E$2:$E$3143, ISNUMBER(
Master_Mapping_Sheet!$E$2:$E$3143),
Master_Mapping_Sheet!$C$2:$C$3143=AW$1,
Master_Mapping_Sheet!$L$2:$L$3143=$A12))/sum(filter(
Mas"&amp;"ter_Mapping_Sheet!$E$2:$E$3143, ISNUMBER(
Master_Mapping_Sheet!$E$2:$E$3143),
Master_Mapping_Sheet!$C$2:$C$3143=AW$1)))"),0.17228230818852971)</f>
        <v>0.1722823082</v>
      </c>
      <c r="AX12" s="34">
        <f>IFERROR(__xludf.DUMMYFUNCTION("IF(ISNA(sum(filter(
Master_Mapping_Sheet!$E$2:$E$3143, ISNUMBER(
Master_Mapping_Sheet!$E$2:$E$3143),
Master_Mapping_Sheet!$C$2:$C$3143=AX$1,
Master_Mapping_Sheet!$L$2:$L$3143=$A12))/sum(filter(
Master_Mapping_Sheet!$E$2:$E$3143, ISNUMBER(
Master_Mapping_S"&amp;"heet!$E$2:$E$3143),
Master_Mapping_Sheet!$C$2:$C$3143=AX$1))), 0, sum(filter(
Master_Mapping_Sheet!$E$2:$E$3143, ISNUMBER(
Master_Mapping_Sheet!$E$2:$E$3143),
Master_Mapping_Sheet!$C$2:$C$3143=AX$1,
Master_Mapping_Sheet!$L$2:$L$3143=$A12))/sum(filter(
Mas"&amp;"ter_Mapping_Sheet!$E$2:$E$3143, ISNUMBER(
Master_Mapping_Sheet!$E$2:$E$3143),
Master_Mapping_Sheet!$C$2:$C$3143=AX$1)))"),0.0)</f>
        <v>0</v>
      </c>
      <c r="AY12" s="34">
        <f>IFERROR(__xludf.DUMMYFUNCTION("IF(ISNA(sum(filter(
Master_Mapping_Sheet!$E$2:$E$3143, ISNUMBER(
Master_Mapping_Sheet!$E$2:$E$3143),
Master_Mapping_Sheet!$C$2:$C$3143=AY$1,
Master_Mapping_Sheet!$L$2:$L$3143=$A12))/sum(filter(
Master_Mapping_Sheet!$E$2:$E$3143, ISNUMBER(
Master_Mapping_S"&amp;"heet!$E$2:$E$3143),
Master_Mapping_Sheet!$C$2:$C$3143=AY$1))), 0, sum(filter(
Master_Mapping_Sheet!$E$2:$E$3143, ISNUMBER(
Master_Mapping_Sheet!$E$2:$E$3143),
Master_Mapping_Sheet!$C$2:$C$3143=AY$1,
Master_Mapping_Sheet!$L$2:$L$3143=$A12))/sum(filter(
Mas"&amp;"ter_Mapping_Sheet!$E$2:$E$3143, ISNUMBER(
Master_Mapping_Sheet!$E$2:$E$3143),
Master_Mapping_Sheet!$C$2:$C$3143=AY$1)))"),0.0)</f>
        <v>0</v>
      </c>
      <c r="AZ12" s="34">
        <f>IFERROR(__xludf.DUMMYFUNCTION("IF(ISNA(sum(filter(
Master_Mapping_Sheet!$E$2:$E$3143, ISNUMBER(
Master_Mapping_Sheet!$E$2:$E$3143),
Master_Mapping_Sheet!$C$2:$C$3143=AZ$1,
Master_Mapping_Sheet!$L$2:$L$3143=$A12))/sum(filter(
Master_Mapping_Sheet!$E$2:$E$3143, ISNUMBER(
Master_Mapping_S"&amp;"heet!$E$2:$E$3143),
Master_Mapping_Sheet!$C$2:$C$3143=AZ$1))), 0, sum(filter(
Master_Mapping_Sheet!$E$2:$E$3143, ISNUMBER(
Master_Mapping_Sheet!$E$2:$E$3143),
Master_Mapping_Sheet!$C$2:$C$3143=AZ$1,
Master_Mapping_Sheet!$L$2:$L$3143=$A12))/sum(filter(
Mas"&amp;"ter_Mapping_Sheet!$E$2:$E$3143, ISNUMBER(
Master_Mapping_Sheet!$E$2:$E$3143),
Master_Mapping_Sheet!$C$2:$C$3143=AZ$1)))"),0.0362772811557776)</f>
        <v>0.03627728116</v>
      </c>
    </row>
    <row r="13" ht="15.75" customHeight="1">
      <c r="A13" s="32" t="s">
        <v>1923</v>
      </c>
      <c r="B13" s="34">
        <f>IFERROR(__xludf.DUMMYFUNCTION("IF(ISNA(sum(filter(
Master_Mapping_Sheet!$E$2:$E$3143, ISNUMBER(
Master_Mapping_Sheet!$E$2:$E$3143),
Master_Mapping_Sheet!$C$2:$C$3143=B$1,
Master_Mapping_Sheet!$L$2:$L$3143=$A13))/sum(filter(
Master_Mapping_Sheet!$E$2:$E$3143, ISNUMBER(
Master_Mapping_Sh"&amp;"eet!$E$2:$E$3143),
Master_Mapping_Sheet!$C$2:$C$3143=B$1))), 0, sum(filter(
Master_Mapping_Sheet!$E$2:$E$3143, ISNUMBER(
Master_Mapping_Sheet!$E$2:$E$3143),
Master_Mapping_Sheet!$C$2:$C$3143=B$1,
Master_Mapping_Sheet!$L$2:$L$3143=$A13))/sum(filter(
Master"&amp;"_Mapping_Sheet!$E$2:$E$3143, ISNUMBER(
Master_Mapping_Sheet!$E$2:$E$3143),
Master_Mapping_Sheet!$C$2:$C$3143=B$1)))"),0.0)</f>
        <v>0</v>
      </c>
      <c r="C13" s="34">
        <f>IFERROR(__xludf.DUMMYFUNCTION("IF(ISNA(sum(filter(
Master_Mapping_Sheet!$E$2:$E$3143, ISNUMBER(
Master_Mapping_Sheet!$E$2:$E$3143),
Master_Mapping_Sheet!$C$2:$C$3143=C$1,
Master_Mapping_Sheet!$L$2:$L$3143=$A13))/sum(filter(
Master_Mapping_Sheet!$E$2:$E$3143, ISNUMBER(
Master_Mapping_Sh"&amp;"eet!$E$2:$E$3143),
Master_Mapping_Sheet!$C$2:$C$3143=C$1))), 0, sum(filter(
Master_Mapping_Sheet!$E$2:$E$3143, ISNUMBER(
Master_Mapping_Sheet!$E$2:$E$3143),
Master_Mapping_Sheet!$C$2:$C$3143=C$1,
Master_Mapping_Sheet!$L$2:$L$3143=$A13))/sum(filter(
Master"&amp;"_Mapping_Sheet!$E$2:$E$3143, ISNUMBER(
Master_Mapping_Sheet!$E$2:$E$3143),
Master_Mapping_Sheet!$C$2:$C$3143=C$1)))"),0.0)</f>
        <v>0</v>
      </c>
      <c r="D13" s="34">
        <f>IFERROR(__xludf.DUMMYFUNCTION("IF(ISNA(sum(filter(
Master_Mapping_Sheet!$E$2:$E$3143, ISNUMBER(
Master_Mapping_Sheet!$E$2:$E$3143),
Master_Mapping_Sheet!$C$2:$C$3143=D$1,
Master_Mapping_Sheet!$L$2:$L$3143=$A13))/sum(filter(
Master_Mapping_Sheet!$E$2:$E$3143, ISNUMBER(
Master_Mapping_Sh"&amp;"eet!$E$2:$E$3143),
Master_Mapping_Sheet!$C$2:$C$3143=D$1))), 0, sum(filter(
Master_Mapping_Sheet!$E$2:$E$3143, ISNUMBER(
Master_Mapping_Sheet!$E$2:$E$3143),
Master_Mapping_Sheet!$C$2:$C$3143=D$1,
Master_Mapping_Sheet!$L$2:$L$3143=$A13))/sum(filter(
Master"&amp;"_Mapping_Sheet!$E$2:$E$3143, ISNUMBER(
Master_Mapping_Sheet!$E$2:$E$3143),
Master_Mapping_Sheet!$C$2:$C$3143=D$1)))"),0.0)</f>
        <v>0</v>
      </c>
      <c r="E13" s="34">
        <f>IFERROR(__xludf.DUMMYFUNCTION("IF(ISNA(sum(filter(
Master_Mapping_Sheet!$E$2:$E$3143, ISNUMBER(
Master_Mapping_Sheet!$E$2:$E$3143),
Master_Mapping_Sheet!$C$2:$C$3143=E$1,
Master_Mapping_Sheet!$L$2:$L$3143=$A13))/sum(filter(
Master_Mapping_Sheet!$E$2:$E$3143, ISNUMBER(
Master_Mapping_Sh"&amp;"eet!$E$2:$E$3143),
Master_Mapping_Sheet!$C$2:$C$3143=E$1))), 0, sum(filter(
Master_Mapping_Sheet!$E$2:$E$3143, ISNUMBER(
Master_Mapping_Sheet!$E$2:$E$3143),
Master_Mapping_Sheet!$C$2:$C$3143=E$1,
Master_Mapping_Sheet!$L$2:$L$3143=$A13))/sum(filter(
Master"&amp;"_Mapping_Sheet!$E$2:$E$3143, ISNUMBER(
Master_Mapping_Sheet!$E$2:$E$3143),
Master_Mapping_Sheet!$C$2:$C$3143=E$1)))"),0.0)</f>
        <v>0</v>
      </c>
      <c r="F13" s="34">
        <f>IFERROR(__xludf.DUMMYFUNCTION("IF(ISNA(sum(filter(
Master_Mapping_Sheet!$E$2:$E$3143, ISNUMBER(
Master_Mapping_Sheet!$E$2:$E$3143),
Master_Mapping_Sheet!$C$2:$C$3143=F$1,
Master_Mapping_Sheet!$L$2:$L$3143=$A13))/sum(filter(
Master_Mapping_Sheet!$E$2:$E$3143, ISNUMBER(
Master_Mapping_Sh"&amp;"eet!$E$2:$E$3143),
Master_Mapping_Sheet!$C$2:$C$3143=F$1))), 0, sum(filter(
Master_Mapping_Sheet!$E$2:$E$3143, ISNUMBER(
Master_Mapping_Sheet!$E$2:$E$3143),
Master_Mapping_Sheet!$C$2:$C$3143=F$1,
Master_Mapping_Sheet!$L$2:$L$3143=$A13))/sum(filter(
Master"&amp;"_Mapping_Sheet!$E$2:$E$3143, ISNUMBER(
Master_Mapping_Sheet!$E$2:$E$3143),
Master_Mapping_Sheet!$C$2:$C$3143=F$1)))"),0.0)</f>
        <v>0</v>
      </c>
      <c r="G13" s="34">
        <f>IFERROR(__xludf.DUMMYFUNCTION("IF(ISNA(sum(filter(
Master_Mapping_Sheet!$E$2:$E$3143, ISNUMBER(
Master_Mapping_Sheet!$E$2:$E$3143),
Master_Mapping_Sheet!$C$2:$C$3143=G$1,
Master_Mapping_Sheet!$L$2:$L$3143=$A13))/sum(filter(
Master_Mapping_Sheet!$E$2:$E$3143, ISNUMBER(
Master_Mapping_Sh"&amp;"eet!$E$2:$E$3143),
Master_Mapping_Sheet!$C$2:$C$3143=G$1))), 0, sum(filter(
Master_Mapping_Sheet!$E$2:$E$3143, ISNUMBER(
Master_Mapping_Sheet!$E$2:$E$3143),
Master_Mapping_Sheet!$C$2:$C$3143=G$1,
Master_Mapping_Sheet!$L$2:$L$3143=$A13))/sum(filter(
Master"&amp;"_Mapping_Sheet!$E$2:$E$3143, ISNUMBER(
Master_Mapping_Sheet!$E$2:$E$3143),
Master_Mapping_Sheet!$C$2:$C$3143=G$1)))"),0.0)</f>
        <v>0</v>
      </c>
      <c r="H13" s="34">
        <f>IFERROR(__xludf.DUMMYFUNCTION("IF(ISNA(sum(filter(
Master_Mapping_Sheet!$E$2:$E$3143, ISNUMBER(
Master_Mapping_Sheet!$E$2:$E$3143),
Master_Mapping_Sheet!$C$2:$C$3143=H$1,
Master_Mapping_Sheet!$L$2:$L$3143=$A13))/sum(filter(
Master_Mapping_Sheet!$E$2:$E$3143, ISNUMBER(
Master_Mapping_Sh"&amp;"eet!$E$2:$E$3143),
Master_Mapping_Sheet!$C$2:$C$3143=H$1))), 0, sum(filter(
Master_Mapping_Sheet!$E$2:$E$3143, ISNUMBER(
Master_Mapping_Sheet!$E$2:$E$3143),
Master_Mapping_Sheet!$C$2:$C$3143=H$1,
Master_Mapping_Sheet!$L$2:$L$3143=$A13))/sum(filter(
Master"&amp;"_Mapping_Sheet!$E$2:$E$3143, ISNUMBER(
Master_Mapping_Sheet!$E$2:$E$3143),
Master_Mapping_Sheet!$C$2:$C$3143=H$1)))"),0.0)</f>
        <v>0</v>
      </c>
      <c r="I13" s="34">
        <f>IFERROR(__xludf.DUMMYFUNCTION("IF(ISNA(sum(filter(
Master_Mapping_Sheet!$E$2:$E$3143, ISNUMBER(
Master_Mapping_Sheet!$E$2:$E$3143),
Master_Mapping_Sheet!$C$2:$C$3143=I$1,
Master_Mapping_Sheet!$L$2:$L$3143=$A13))/sum(filter(
Master_Mapping_Sheet!$E$2:$E$3143, ISNUMBER(
Master_Mapping_Sh"&amp;"eet!$E$2:$E$3143),
Master_Mapping_Sheet!$C$2:$C$3143=I$1))), 0, sum(filter(
Master_Mapping_Sheet!$E$2:$E$3143, ISNUMBER(
Master_Mapping_Sheet!$E$2:$E$3143),
Master_Mapping_Sheet!$C$2:$C$3143=I$1,
Master_Mapping_Sheet!$L$2:$L$3143=$A13))/sum(filter(
Master"&amp;"_Mapping_Sheet!$E$2:$E$3143, ISNUMBER(
Master_Mapping_Sheet!$E$2:$E$3143),
Master_Mapping_Sheet!$C$2:$C$3143=I$1)))"),0.0)</f>
        <v>0</v>
      </c>
      <c r="J13" s="34">
        <f>IFERROR(__xludf.DUMMYFUNCTION("IF(ISNA(sum(filter(
Master_Mapping_Sheet!$E$2:$E$3143, ISNUMBER(
Master_Mapping_Sheet!$E$2:$E$3143),
Master_Mapping_Sheet!$C$2:$C$3143=J$1,
Master_Mapping_Sheet!$L$2:$L$3143=$A13))/sum(filter(
Master_Mapping_Sheet!$E$2:$E$3143, ISNUMBER(
Master_Mapping_Sh"&amp;"eet!$E$2:$E$3143),
Master_Mapping_Sheet!$C$2:$C$3143=J$1))), 0, sum(filter(
Master_Mapping_Sheet!$E$2:$E$3143, ISNUMBER(
Master_Mapping_Sheet!$E$2:$E$3143),
Master_Mapping_Sheet!$C$2:$C$3143=J$1,
Master_Mapping_Sheet!$L$2:$L$3143=$A13))/sum(filter(
Master"&amp;"_Mapping_Sheet!$E$2:$E$3143, ISNUMBER(
Master_Mapping_Sheet!$E$2:$E$3143),
Master_Mapping_Sheet!$C$2:$C$3143=J$1)))"),0.0)</f>
        <v>0</v>
      </c>
      <c r="K13" s="34">
        <f>IFERROR(__xludf.DUMMYFUNCTION("IF(ISNA(sum(filter(
Master_Mapping_Sheet!$E$2:$E$3143, ISNUMBER(
Master_Mapping_Sheet!$E$2:$E$3143),
Master_Mapping_Sheet!$C$2:$C$3143=K$1,
Master_Mapping_Sheet!$L$2:$L$3143=$A13))/sum(filter(
Master_Mapping_Sheet!$E$2:$E$3143, ISNUMBER(
Master_Mapping_Sh"&amp;"eet!$E$2:$E$3143),
Master_Mapping_Sheet!$C$2:$C$3143=K$1))), 0, sum(filter(
Master_Mapping_Sheet!$E$2:$E$3143, ISNUMBER(
Master_Mapping_Sheet!$E$2:$E$3143),
Master_Mapping_Sheet!$C$2:$C$3143=K$1,
Master_Mapping_Sheet!$L$2:$L$3143=$A13))/sum(filter(
Master"&amp;"_Mapping_Sheet!$E$2:$E$3143, ISNUMBER(
Master_Mapping_Sheet!$E$2:$E$3143),
Master_Mapping_Sheet!$C$2:$C$3143=K$1)))"),0.0)</f>
        <v>0</v>
      </c>
      <c r="L13" s="34">
        <f>IFERROR(__xludf.DUMMYFUNCTION("IF(ISNA(sum(filter(
Master_Mapping_Sheet!$E$2:$E$3143, ISNUMBER(
Master_Mapping_Sheet!$E$2:$E$3143),
Master_Mapping_Sheet!$C$2:$C$3143=L$1,
Master_Mapping_Sheet!$L$2:$L$3143=$A13))/sum(filter(
Master_Mapping_Sheet!$E$2:$E$3143, ISNUMBER(
Master_Mapping_Sh"&amp;"eet!$E$2:$E$3143),
Master_Mapping_Sheet!$C$2:$C$3143=L$1))), 0, sum(filter(
Master_Mapping_Sheet!$E$2:$E$3143, ISNUMBER(
Master_Mapping_Sheet!$E$2:$E$3143),
Master_Mapping_Sheet!$C$2:$C$3143=L$1,
Master_Mapping_Sheet!$L$2:$L$3143=$A13))/sum(filter(
Master"&amp;"_Mapping_Sheet!$E$2:$E$3143, ISNUMBER(
Master_Mapping_Sheet!$E$2:$E$3143),
Master_Mapping_Sheet!$C$2:$C$3143=L$1)))"),0.0)</f>
        <v>0</v>
      </c>
      <c r="M13" s="34">
        <f>IFERROR(__xludf.DUMMYFUNCTION("IF(ISNA(sum(filter(
Master_Mapping_Sheet!$E$2:$E$3143, ISNUMBER(
Master_Mapping_Sheet!$E$2:$E$3143),
Master_Mapping_Sheet!$C$2:$C$3143=M$1,
Master_Mapping_Sheet!$L$2:$L$3143=$A13))/sum(filter(
Master_Mapping_Sheet!$E$2:$E$3143, ISNUMBER(
Master_Mapping_Sh"&amp;"eet!$E$2:$E$3143),
Master_Mapping_Sheet!$C$2:$C$3143=M$1))), 0, sum(filter(
Master_Mapping_Sheet!$E$2:$E$3143, ISNUMBER(
Master_Mapping_Sheet!$E$2:$E$3143),
Master_Mapping_Sheet!$C$2:$C$3143=M$1,
Master_Mapping_Sheet!$L$2:$L$3143=$A13))/sum(filter(
Master"&amp;"_Mapping_Sheet!$E$2:$E$3143, ISNUMBER(
Master_Mapping_Sheet!$E$2:$E$3143),
Master_Mapping_Sheet!$C$2:$C$3143=M$1)))"),0.0)</f>
        <v>0</v>
      </c>
      <c r="N13" s="34">
        <f>IFERROR(__xludf.DUMMYFUNCTION("IF(ISNA(sum(filter(
Master_Mapping_Sheet!$E$2:$E$3143, ISNUMBER(
Master_Mapping_Sheet!$E$2:$E$3143),
Master_Mapping_Sheet!$C$2:$C$3143=N$1,
Master_Mapping_Sheet!$L$2:$L$3143=$A13))/sum(filter(
Master_Mapping_Sheet!$E$2:$E$3143, ISNUMBER(
Master_Mapping_Sh"&amp;"eet!$E$2:$E$3143),
Master_Mapping_Sheet!$C$2:$C$3143=N$1))), 0, sum(filter(
Master_Mapping_Sheet!$E$2:$E$3143, ISNUMBER(
Master_Mapping_Sheet!$E$2:$E$3143),
Master_Mapping_Sheet!$C$2:$C$3143=N$1,
Master_Mapping_Sheet!$L$2:$L$3143=$A13))/sum(filter(
Master"&amp;"_Mapping_Sheet!$E$2:$E$3143, ISNUMBER(
Master_Mapping_Sheet!$E$2:$E$3143),
Master_Mapping_Sheet!$C$2:$C$3143=N$1)))"),0.0)</f>
        <v>0</v>
      </c>
      <c r="O13" s="34">
        <f>IFERROR(__xludf.DUMMYFUNCTION("IF(ISNA(sum(filter(
Master_Mapping_Sheet!$E$2:$E$3143, ISNUMBER(
Master_Mapping_Sheet!$E$2:$E$3143),
Master_Mapping_Sheet!$C$2:$C$3143=O$1,
Master_Mapping_Sheet!$L$2:$L$3143=$A13))/sum(filter(
Master_Mapping_Sheet!$E$2:$E$3143, ISNUMBER(
Master_Mapping_Sh"&amp;"eet!$E$2:$E$3143),
Master_Mapping_Sheet!$C$2:$C$3143=O$1))), 0, sum(filter(
Master_Mapping_Sheet!$E$2:$E$3143, ISNUMBER(
Master_Mapping_Sheet!$E$2:$E$3143),
Master_Mapping_Sheet!$C$2:$C$3143=O$1,
Master_Mapping_Sheet!$L$2:$L$3143=$A13))/sum(filter(
Master"&amp;"_Mapping_Sheet!$E$2:$E$3143, ISNUMBER(
Master_Mapping_Sheet!$E$2:$E$3143),
Master_Mapping_Sheet!$C$2:$C$3143=O$1)))"),0.0)</f>
        <v>0</v>
      </c>
      <c r="P13" s="34">
        <f>IFERROR(__xludf.DUMMYFUNCTION("IF(ISNA(sum(filter(
Master_Mapping_Sheet!$E$2:$E$3143, ISNUMBER(
Master_Mapping_Sheet!$E$2:$E$3143),
Master_Mapping_Sheet!$C$2:$C$3143=P$1,
Master_Mapping_Sheet!$L$2:$L$3143=$A13))/sum(filter(
Master_Mapping_Sheet!$E$2:$E$3143, ISNUMBER(
Master_Mapping_Sh"&amp;"eet!$E$2:$E$3143),
Master_Mapping_Sheet!$C$2:$C$3143=P$1))), 0, sum(filter(
Master_Mapping_Sheet!$E$2:$E$3143, ISNUMBER(
Master_Mapping_Sheet!$E$2:$E$3143),
Master_Mapping_Sheet!$C$2:$C$3143=P$1,
Master_Mapping_Sheet!$L$2:$L$3143=$A13))/sum(filter(
Master"&amp;"_Mapping_Sheet!$E$2:$E$3143, ISNUMBER(
Master_Mapping_Sheet!$E$2:$E$3143),
Master_Mapping_Sheet!$C$2:$C$3143=P$1)))"),0.0)</f>
        <v>0</v>
      </c>
      <c r="Q13" s="34">
        <f>IFERROR(__xludf.DUMMYFUNCTION("IF(ISNA(sum(filter(
Master_Mapping_Sheet!$E$2:$E$3143, ISNUMBER(
Master_Mapping_Sheet!$E$2:$E$3143),
Master_Mapping_Sheet!$C$2:$C$3143=Q$1,
Master_Mapping_Sheet!$L$2:$L$3143=$A13))/sum(filter(
Master_Mapping_Sheet!$E$2:$E$3143, ISNUMBER(
Master_Mapping_Sh"&amp;"eet!$E$2:$E$3143),
Master_Mapping_Sheet!$C$2:$C$3143=Q$1))), 0, sum(filter(
Master_Mapping_Sheet!$E$2:$E$3143, ISNUMBER(
Master_Mapping_Sheet!$E$2:$E$3143),
Master_Mapping_Sheet!$C$2:$C$3143=Q$1,
Master_Mapping_Sheet!$L$2:$L$3143=$A13))/sum(filter(
Master"&amp;"_Mapping_Sheet!$E$2:$E$3143, ISNUMBER(
Master_Mapping_Sheet!$E$2:$E$3143),
Master_Mapping_Sheet!$C$2:$C$3143=Q$1)))"),0.0)</f>
        <v>0</v>
      </c>
      <c r="R13" s="34">
        <f>IFERROR(__xludf.DUMMYFUNCTION("IF(ISNA(sum(filter(
Master_Mapping_Sheet!$E$2:$E$3143, ISNUMBER(
Master_Mapping_Sheet!$E$2:$E$3143),
Master_Mapping_Sheet!$C$2:$C$3143=R$1,
Master_Mapping_Sheet!$L$2:$L$3143=$A13))/sum(filter(
Master_Mapping_Sheet!$E$2:$E$3143, ISNUMBER(
Master_Mapping_Sh"&amp;"eet!$E$2:$E$3143),
Master_Mapping_Sheet!$C$2:$C$3143=R$1))), 0, sum(filter(
Master_Mapping_Sheet!$E$2:$E$3143, ISNUMBER(
Master_Mapping_Sheet!$E$2:$E$3143),
Master_Mapping_Sheet!$C$2:$C$3143=R$1,
Master_Mapping_Sheet!$L$2:$L$3143=$A13))/sum(filter(
Master"&amp;"_Mapping_Sheet!$E$2:$E$3143, ISNUMBER(
Master_Mapping_Sheet!$E$2:$E$3143),
Master_Mapping_Sheet!$C$2:$C$3143=R$1)))"),0.0)</f>
        <v>0</v>
      </c>
      <c r="S13" s="34">
        <f>IFERROR(__xludf.DUMMYFUNCTION("IF(ISNA(sum(filter(
Master_Mapping_Sheet!$E$2:$E$3143, ISNUMBER(
Master_Mapping_Sheet!$E$2:$E$3143),
Master_Mapping_Sheet!$C$2:$C$3143=S$1,
Master_Mapping_Sheet!$L$2:$L$3143=$A13))/sum(filter(
Master_Mapping_Sheet!$E$2:$E$3143, ISNUMBER(
Master_Mapping_Sh"&amp;"eet!$E$2:$E$3143),
Master_Mapping_Sheet!$C$2:$C$3143=S$1))), 0, sum(filter(
Master_Mapping_Sheet!$E$2:$E$3143, ISNUMBER(
Master_Mapping_Sheet!$E$2:$E$3143),
Master_Mapping_Sheet!$C$2:$C$3143=S$1,
Master_Mapping_Sheet!$L$2:$L$3143=$A13))/sum(filter(
Master"&amp;"_Mapping_Sheet!$E$2:$E$3143, ISNUMBER(
Master_Mapping_Sheet!$E$2:$E$3143),
Master_Mapping_Sheet!$C$2:$C$3143=S$1)))"),0.0)</f>
        <v>0</v>
      </c>
      <c r="T13" s="34">
        <f>IFERROR(__xludf.DUMMYFUNCTION("IF(ISNA(sum(filter(
Master_Mapping_Sheet!$E$2:$E$3143, ISNUMBER(
Master_Mapping_Sheet!$E$2:$E$3143),
Master_Mapping_Sheet!$C$2:$C$3143=T$1,
Master_Mapping_Sheet!$L$2:$L$3143=$A13))/sum(filter(
Master_Mapping_Sheet!$E$2:$E$3143, ISNUMBER(
Master_Mapping_Sh"&amp;"eet!$E$2:$E$3143),
Master_Mapping_Sheet!$C$2:$C$3143=T$1))), 0, sum(filter(
Master_Mapping_Sheet!$E$2:$E$3143, ISNUMBER(
Master_Mapping_Sheet!$E$2:$E$3143),
Master_Mapping_Sheet!$C$2:$C$3143=T$1,
Master_Mapping_Sheet!$L$2:$L$3143=$A13))/sum(filter(
Master"&amp;"_Mapping_Sheet!$E$2:$E$3143, ISNUMBER(
Master_Mapping_Sheet!$E$2:$E$3143),
Master_Mapping_Sheet!$C$2:$C$3143=T$1)))"),0.0)</f>
        <v>0</v>
      </c>
      <c r="U13" s="34">
        <f>IFERROR(__xludf.DUMMYFUNCTION("IF(ISNA(sum(filter(
Master_Mapping_Sheet!$E$2:$E$3143, ISNUMBER(
Master_Mapping_Sheet!$E$2:$E$3143),
Master_Mapping_Sheet!$C$2:$C$3143=U$1,
Master_Mapping_Sheet!$L$2:$L$3143=$A13))/sum(filter(
Master_Mapping_Sheet!$E$2:$E$3143, ISNUMBER(
Master_Mapping_Sh"&amp;"eet!$E$2:$E$3143),
Master_Mapping_Sheet!$C$2:$C$3143=U$1))), 0, sum(filter(
Master_Mapping_Sheet!$E$2:$E$3143, ISNUMBER(
Master_Mapping_Sheet!$E$2:$E$3143),
Master_Mapping_Sheet!$C$2:$C$3143=U$1,
Master_Mapping_Sheet!$L$2:$L$3143=$A13))/sum(filter(
Master"&amp;"_Mapping_Sheet!$E$2:$E$3143, ISNUMBER(
Master_Mapping_Sheet!$E$2:$E$3143),
Master_Mapping_Sheet!$C$2:$C$3143=U$1)))"),0.0)</f>
        <v>0</v>
      </c>
      <c r="V13" s="34">
        <f>IFERROR(__xludf.DUMMYFUNCTION("IF(ISNA(sum(filter(
Master_Mapping_Sheet!$E$2:$E$3143, ISNUMBER(
Master_Mapping_Sheet!$E$2:$E$3143),
Master_Mapping_Sheet!$C$2:$C$3143=V$1,
Master_Mapping_Sheet!$L$2:$L$3143=$A13))/sum(filter(
Master_Mapping_Sheet!$E$2:$E$3143, ISNUMBER(
Master_Mapping_Sh"&amp;"eet!$E$2:$E$3143),
Master_Mapping_Sheet!$C$2:$C$3143=V$1))), 0, sum(filter(
Master_Mapping_Sheet!$E$2:$E$3143, ISNUMBER(
Master_Mapping_Sheet!$E$2:$E$3143),
Master_Mapping_Sheet!$C$2:$C$3143=V$1,
Master_Mapping_Sheet!$L$2:$L$3143=$A13))/sum(filter(
Master"&amp;"_Mapping_Sheet!$E$2:$E$3143, ISNUMBER(
Master_Mapping_Sheet!$E$2:$E$3143),
Master_Mapping_Sheet!$C$2:$C$3143=V$1)))"),0.0)</f>
        <v>0</v>
      </c>
      <c r="W13" s="34">
        <f>IFERROR(__xludf.DUMMYFUNCTION("IF(ISNA(sum(filter(
Master_Mapping_Sheet!$E$2:$E$3143, ISNUMBER(
Master_Mapping_Sheet!$E$2:$E$3143),
Master_Mapping_Sheet!$C$2:$C$3143=W$1,
Master_Mapping_Sheet!$L$2:$L$3143=$A13))/sum(filter(
Master_Mapping_Sheet!$E$2:$E$3143, ISNUMBER(
Master_Mapping_Sh"&amp;"eet!$E$2:$E$3143),
Master_Mapping_Sheet!$C$2:$C$3143=W$1))), 0, sum(filter(
Master_Mapping_Sheet!$E$2:$E$3143, ISNUMBER(
Master_Mapping_Sheet!$E$2:$E$3143),
Master_Mapping_Sheet!$C$2:$C$3143=W$1,
Master_Mapping_Sheet!$L$2:$L$3143=$A13))/sum(filter(
Master"&amp;"_Mapping_Sheet!$E$2:$E$3143, ISNUMBER(
Master_Mapping_Sheet!$E$2:$E$3143),
Master_Mapping_Sheet!$C$2:$C$3143=W$1)))"),0.0)</f>
        <v>0</v>
      </c>
      <c r="X13" s="34">
        <f>IFERROR(__xludf.DUMMYFUNCTION("IF(ISNA(sum(filter(
Master_Mapping_Sheet!$E$2:$E$3143, ISNUMBER(
Master_Mapping_Sheet!$E$2:$E$3143),
Master_Mapping_Sheet!$C$2:$C$3143=X$1,
Master_Mapping_Sheet!$L$2:$L$3143=$A13))/sum(filter(
Master_Mapping_Sheet!$E$2:$E$3143, ISNUMBER(
Master_Mapping_Sh"&amp;"eet!$E$2:$E$3143),
Master_Mapping_Sheet!$C$2:$C$3143=X$1))), 0, sum(filter(
Master_Mapping_Sheet!$E$2:$E$3143, ISNUMBER(
Master_Mapping_Sheet!$E$2:$E$3143),
Master_Mapping_Sheet!$C$2:$C$3143=X$1,
Master_Mapping_Sheet!$L$2:$L$3143=$A13))/sum(filter(
Master"&amp;"_Mapping_Sheet!$E$2:$E$3143, ISNUMBER(
Master_Mapping_Sheet!$E$2:$E$3143),
Master_Mapping_Sheet!$C$2:$C$3143=X$1)))"),0.0)</f>
        <v>0</v>
      </c>
      <c r="Y13" s="34">
        <f>IFERROR(__xludf.DUMMYFUNCTION("IF(ISNA(sum(filter(
Master_Mapping_Sheet!$E$2:$E$3143, ISNUMBER(
Master_Mapping_Sheet!$E$2:$E$3143),
Master_Mapping_Sheet!$C$2:$C$3143=Y$1,
Master_Mapping_Sheet!$L$2:$L$3143=$A13))/sum(filter(
Master_Mapping_Sheet!$E$2:$E$3143, ISNUMBER(
Master_Mapping_Sh"&amp;"eet!$E$2:$E$3143),
Master_Mapping_Sheet!$C$2:$C$3143=Y$1))), 0, sum(filter(
Master_Mapping_Sheet!$E$2:$E$3143, ISNUMBER(
Master_Mapping_Sheet!$E$2:$E$3143),
Master_Mapping_Sheet!$C$2:$C$3143=Y$1,
Master_Mapping_Sheet!$L$2:$L$3143=$A13))/sum(filter(
Master"&amp;"_Mapping_Sheet!$E$2:$E$3143, ISNUMBER(
Master_Mapping_Sheet!$E$2:$E$3143),
Master_Mapping_Sheet!$C$2:$C$3143=Y$1)))"),0.0)</f>
        <v>0</v>
      </c>
      <c r="Z13" s="34">
        <f>IFERROR(__xludf.DUMMYFUNCTION("IF(ISNA(sum(filter(
Master_Mapping_Sheet!$E$2:$E$3143, ISNUMBER(
Master_Mapping_Sheet!$E$2:$E$3143),
Master_Mapping_Sheet!$C$2:$C$3143=Z$1,
Master_Mapping_Sheet!$L$2:$L$3143=$A13))/sum(filter(
Master_Mapping_Sheet!$E$2:$E$3143, ISNUMBER(
Master_Mapping_Sh"&amp;"eet!$E$2:$E$3143),
Master_Mapping_Sheet!$C$2:$C$3143=Z$1))), 0, sum(filter(
Master_Mapping_Sheet!$E$2:$E$3143, ISNUMBER(
Master_Mapping_Sheet!$E$2:$E$3143),
Master_Mapping_Sheet!$C$2:$C$3143=Z$1,
Master_Mapping_Sheet!$L$2:$L$3143=$A13))/sum(filter(
Master"&amp;"_Mapping_Sheet!$E$2:$E$3143, ISNUMBER(
Master_Mapping_Sheet!$E$2:$E$3143),
Master_Mapping_Sheet!$C$2:$C$3143=Z$1)))"),0.0)</f>
        <v>0</v>
      </c>
      <c r="AA13" s="34">
        <f>IFERROR(__xludf.DUMMYFUNCTION("IF(ISNA(sum(filter(
Master_Mapping_Sheet!$E$2:$E$3143, ISNUMBER(
Master_Mapping_Sheet!$E$2:$E$3143),
Master_Mapping_Sheet!$C$2:$C$3143=AA$1,
Master_Mapping_Sheet!$L$2:$L$3143=$A13))/sum(filter(
Master_Mapping_Sheet!$E$2:$E$3143, ISNUMBER(
Master_Mapping_S"&amp;"heet!$E$2:$E$3143),
Master_Mapping_Sheet!$C$2:$C$3143=AA$1))), 0, sum(filter(
Master_Mapping_Sheet!$E$2:$E$3143, ISNUMBER(
Master_Mapping_Sheet!$E$2:$E$3143),
Master_Mapping_Sheet!$C$2:$C$3143=AA$1,
Master_Mapping_Sheet!$L$2:$L$3143=$A13))/sum(filter(
Mas"&amp;"ter_Mapping_Sheet!$E$2:$E$3143, ISNUMBER(
Master_Mapping_Sheet!$E$2:$E$3143),
Master_Mapping_Sheet!$C$2:$C$3143=AA$1)))"),0.0)</f>
        <v>0</v>
      </c>
      <c r="AB13" s="34">
        <f>IFERROR(__xludf.DUMMYFUNCTION("IF(ISNA(sum(filter(
Master_Mapping_Sheet!$E$2:$E$3143, ISNUMBER(
Master_Mapping_Sheet!$E$2:$E$3143),
Master_Mapping_Sheet!$C$2:$C$3143=AB$1,
Master_Mapping_Sheet!$L$2:$L$3143=$A13))/sum(filter(
Master_Mapping_Sheet!$E$2:$E$3143, ISNUMBER(
Master_Mapping_S"&amp;"heet!$E$2:$E$3143),
Master_Mapping_Sheet!$C$2:$C$3143=AB$1))), 0, sum(filter(
Master_Mapping_Sheet!$E$2:$E$3143, ISNUMBER(
Master_Mapping_Sheet!$E$2:$E$3143),
Master_Mapping_Sheet!$C$2:$C$3143=AB$1,
Master_Mapping_Sheet!$L$2:$L$3143=$A13))/sum(filter(
Mas"&amp;"ter_Mapping_Sheet!$E$2:$E$3143, ISNUMBER(
Master_Mapping_Sheet!$E$2:$E$3143),
Master_Mapping_Sheet!$C$2:$C$3143=AB$1)))"),0.0)</f>
        <v>0</v>
      </c>
      <c r="AC13" s="34">
        <f>IFERROR(__xludf.DUMMYFUNCTION("IF(ISNA(sum(filter(
Master_Mapping_Sheet!$E$2:$E$3143, ISNUMBER(
Master_Mapping_Sheet!$E$2:$E$3143),
Master_Mapping_Sheet!$C$2:$C$3143=AC$1,
Master_Mapping_Sheet!$L$2:$L$3143=$A13))/sum(filter(
Master_Mapping_Sheet!$E$2:$E$3143, ISNUMBER(
Master_Mapping_S"&amp;"heet!$E$2:$E$3143),
Master_Mapping_Sheet!$C$2:$C$3143=AC$1))), 0, sum(filter(
Master_Mapping_Sheet!$E$2:$E$3143, ISNUMBER(
Master_Mapping_Sheet!$E$2:$E$3143),
Master_Mapping_Sheet!$C$2:$C$3143=AC$1,
Master_Mapping_Sheet!$L$2:$L$3143=$A13))/sum(filter(
Mas"&amp;"ter_Mapping_Sheet!$E$2:$E$3143, ISNUMBER(
Master_Mapping_Sheet!$E$2:$E$3143),
Master_Mapping_Sheet!$C$2:$C$3143=AC$1)))"),0.0)</f>
        <v>0</v>
      </c>
      <c r="AD13" s="34">
        <f>IFERROR(__xludf.DUMMYFUNCTION("IF(ISNA(sum(filter(
Master_Mapping_Sheet!$E$2:$E$3143, ISNUMBER(
Master_Mapping_Sheet!$E$2:$E$3143),
Master_Mapping_Sheet!$C$2:$C$3143=AD$1,
Master_Mapping_Sheet!$L$2:$L$3143=$A13))/sum(filter(
Master_Mapping_Sheet!$E$2:$E$3143, ISNUMBER(
Master_Mapping_S"&amp;"heet!$E$2:$E$3143),
Master_Mapping_Sheet!$C$2:$C$3143=AD$1))), 0, sum(filter(
Master_Mapping_Sheet!$E$2:$E$3143, ISNUMBER(
Master_Mapping_Sheet!$E$2:$E$3143),
Master_Mapping_Sheet!$C$2:$C$3143=AD$1,
Master_Mapping_Sheet!$L$2:$L$3143=$A13))/sum(filter(
Mas"&amp;"ter_Mapping_Sheet!$E$2:$E$3143, ISNUMBER(
Master_Mapping_Sheet!$E$2:$E$3143),
Master_Mapping_Sheet!$C$2:$C$3143=AD$1)))"),0.0)</f>
        <v>0</v>
      </c>
      <c r="AE13" s="34">
        <f>IFERROR(__xludf.DUMMYFUNCTION("IF(ISNA(sum(filter(
Master_Mapping_Sheet!$E$2:$E$3143, ISNUMBER(
Master_Mapping_Sheet!$E$2:$E$3143),
Master_Mapping_Sheet!$C$2:$C$3143=AE$1,
Master_Mapping_Sheet!$L$2:$L$3143=$A13))/sum(filter(
Master_Mapping_Sheet!$E$2:$E$3143, ISNUMBER(
Master_Mapping_S"&amp;"heet!$E$2:$E$3143),
Master_Mapping_Sheet!$C$2:$C$3143=AE$1))), 0, sum(filter(
Master_Mapping_Sheet!$E$2:$E$3143, ISNUMBER(
Master_Mapping_Sheet!$E$2:$E$3143),
Master_Mapping_Sheet!$C$2:$C$3143=AE$1,
Master_Mapping_Sheet!$L$2:$L$3143=$A13))/sum(filter(
Mas"&amp;"ter_Mapping_Sheet!$E$2:$E$3143, ISNUMBER(
Master_Mapping_Sheet!$E$2:$E$3143),
Master_Mapping_Sheet!$C$2:$C$3143=AE$1)))"),0.0)</f>
        <v>0</v>
      </c>
      <c r="AF13" s="34">
        <f>IFERROR(__xludf.DUMMYFUNCTION("IF(ISNA(sum(filter(
Master_Mapping_Sheet!$E$2:$E$3143, ISNUMBER(
Master_Mapping_Sheet!$E$2:$E$3143),
Master_Mapping_Sheet!$C$2:$C$3143=AF$1,
Master_Mapping_Sheet!$L$2:$L$3143=$A13))/sum(filter(
Master_Mapping_Sheet!$E$2:$E$3143, ISNUMBER(
Master_Mapping_S"&amp;"heet!$E$2:$E$3143),
Master_Mapping_Sheet!$C$2:$C$3143=AF$1))), 0, sum(filter(
Master_Mapping_Sheet!$E$2:$E$3143, ISNUMBER(
Master_Mapping_Sheet!$E$2:$E$3143),
Master_Mapping_Sheet!$C$2:$C$3143=AF$1,
Master_Mapping_Sheet!$L$2:$L$3143=$A13))/sum(filter(
Mas"&amp;"ter_Mapping_Sheet!$E$2:$E$3143, ISNUMBER(
Master_Mapping_Sheet!$E$2:$E$3143),
Master_Mapping_Sheet!$C$2:$C$3143=AF$1)))"),0.0)</f>
        <v>0</v>
      </c>
      <c r="AG13" s="34">
        <f>IFERROR(__xludf.DUMMYFUNCTION("IF(ISNA(sum(filter(
Master_Mapping_Sheet!$E$2:$E$3143, ISNUMBER(
Master_Mapping_Sheet!$E$2:$E$3143),
Master_Mapping_Sheet!$C$2:$C$3143=AG$1,
Master_Mapping_Sheet!$L$2:$L$3143=$A13))/sum(filter(
Master_Mapping_Sheet!$E$2:$E$3143, ISNUMBER(
Master_Mapping_S"&amp;"heet!$E$2:$E$3143),
Master_Mapping_Sheet!$C$2:$C$3143=AG$1))), 0, sum(filter(
Master_Mapping_Sheet!$E$2:$E$3143, ISNUMBER(
Master_Mapping_Sheet!$E$2:$E$3143),
Master_Mapping_Sheet!$C$2:$C$3143=AG$1,
Master_Mapping_Sheet!$L$2:$L$3143=$A13))/sum(filter(
Mas"&amp;"ter_Mapping_Sheet!$E$2:$E$3143, ISNUMBER(
Master_Mapping_Sheet!$E$2:$E$3143),
Master_Mapping_Sheet!$C$2:$C$3143=AG$1)))"),0.0)</f>
        <v>0</v>
      </c>
      <c r="AH13" s="34">
        <f>IFERROR(__xludf.DUMMYFUNCTION("IF(ISNA(sum(filter(
Master_Mapping_Sheet!$E$2:$E$3143, ISNUMBER(
Master_Mapping_Sheet!$E$2:$E$3143),
Master_Mapping_Sheet!$C$2:$C$3143=AH$1,
Master_Mapping_Sheet!$L$2:$L$3143=$A13))/sum(filter(
Master_Mapping_Sheet!$E$2:$E$3143, ISNUMBER(
Master_Mapping_S"&amp;"heet!$E$2:$E$3143),
Master_Mapping_Sheet!$C$2:$C$3143=AH$1))), 0, sum(filter(
Master_Mapping_Sheet!$E$2:$E$3143, ISNUMBER(
Master_Mapping_Sheet!$E$2:$E$3143),
Master_Mapping_Sheet!$C$2:$C$3143=AH$1,
Master_Mapping_Sheet!$L$2:$L$3143=$A13))/sum(filter(
Mas"&amp;"ter_Mapping_Sheet!$E$2:$E$3143, ISNUMBER(
Master_Mapping_Sheet!$E$2:$E$3143),
Master_Mapping_Sheet!$C$2:$C$3143=AH$1)))"),0.0)</f>
        <v>0</v>
      </c>
      <c r="AI13" s="34">
        <f>IFERROR(__xludf.DUMMYFUNCTION("IF(ISNA(sum(filter(
Master_Mapping_Sheet!$E$2:$E$3143, ISNUMBER(
Master_Mapping_Sheet!$E$2:$E$3143),
Master_Mapping_Sheet!$C$2:$C$3143=AI$1,
Master_Mapping_Sheet!$L$2:$L$3143=$A13))/sum(filter(
Master_Mapping_Sheet!$E$2:$E$3143, ISNUMBER(
Master_Mapping_S"&amp;"heet!$E$2:$E$3143),
Master_Mapping_Sheet!$C$2:$C$3143=AI$1))), 0, sum(filter(
Master_Mapping_Sheet!$E$2:$E$3143, ISNUMBER(
Master_Mapping_Sheet!$E$2:$E$3143),
Master_Mapping_Sheet!$C$2:$C$3143=AI$1,
Master_Mapping_Sheet!$L$2:$L$3143=$A13))/sum(filter(
Mas"&amp;"ter_Mapping_Sheet!$E$2:$E$3143, ISNUMBER(
Master_Mapping_Sheet!$E$2:$E$3143),
Master_Mapping_Sheet!$C$2:$C$3143=AI$1)))"),0.0)</f>
        <v>0</v>
      </c>
      <c r="AJ13" s="34">
        <f>IFERROR(__xludf.DUMMYFUNCTION("IF(ISNA(sum(filter(
Master_Mapping_Sheet!$E$2:$E$3143, ISNUMBER(
Master_Mapping_Sheet!$E$2:$E$3143),
Master_Mapping_Sheet!$C$2:$C$3143=AJ$1,
Master_Mapping_Sheet!$L$2:$L$3143=$A13))/sum(filter(
Master_Mapping_Sheet!$E$2:$E$3143, ISNUMBER(
Master_Mapping_S"&amp;"heet!$E$2:$E$3143),
Master_Mapping_Sheet!$C$2:$C$3143=AJ$1))), 0, sum(filter(
Master_Mapping_Sheet!$E$2:$E$3143, ISNUMBER(
Master_Mapping_Sheet!$E$2:$E$3143),
Master_Mapping_Sheet!$C$2:$C$3143=AJ$1,
Master_Mapping_Sheet!$L$2:$L$3143=$A13))/sum(filter(
Mas"&amp;"ter_Mapping_Sheet!$E$2:$E$3143, ISNUMBER(
Master_Mapping_Sheet!$E$2:$E$3143),
Master_Mapping_Sheet!$C$2:$C$3143=AJ$1)))"),0.0)</f>
        <v>0</v>
      </c>
      <c r="AK13" s="34">
        <f>IFERROR(__xludf.DUMMYFUNCTION("IF(ISNA(sum(filter(
Master_Mapping_Sheet!$E$2:$E$3143, ISNUMBER(
Master_Mapping_Sheet!$E$2:$E$3143),
Master_Mapping_Sheet!$C$2:$C$3143=AK$1,
Master_Mapping_Sheet!$L$2:$L$3143=$A13))/sum(filter(
Master_Mapping_Sheet!$E$2:$E$3143, ISNUMBER(
Master_Mapping_S"&amp;"heet!$E$2:$E$3143),
Master_Mapping_Sheet!$C$2:$C$3143=AK$1))), 0, sum(filter(
Master_Mapping_Sheet!$E$2:$E$3143, ISNUMBER(
Master_Mapping_Sheet!$E$2:$E$3143),
Master_Mapping_Sheet!$C$2:$C$3143=AK$1,
Master_Mapping_Sheet!$L$2:$L$3143=$A13))/sum(filter(
Mas"&amp;"ter_Mapping_Sheet!$E$2:$E$3143, ISNUMBER(
Master_Mapping_Sheet!$E$2:$E$3143),
Master_Mapping_Sheet!$C$2:$C$3143=AK$1)))"),0.0)</f>
        <v>0</v>
      </c>
      <c r="AL13" s="34">
        <f>IFERROR(__xludf.DUMMYFUNCTION("IF(ISNA(sum(filter(
Master_Mapping_Sheet!$E$2:$E$3143, ISNUMBER(
Master_Mapping_Sheet!$E$2:$E$3143),
Master_Mapping_Sheet!$C$2:$C$3143=AL$1,
Master_Mapping_Sheet!$L$2:$L$3143=$A13))/sum(filter(
Master_Mapping_Sheet!$E$2:$E$3143, ISNUMBER(
Master_Mapping_S"&amp;"heet!$E$2:$E$3143),
Master_Mapping_Sheet!$C$2:$C$3143=AL$1))), 0, sum(filter(
Master_Mapping_Sheet!$E$2:$E$3143, ISNUMBER(
Master_Mapping_Sheet!$E$2:$E$3143),
Master_Mapping_Sheet!$C$2:$C$3143=AL$1,
Master_Mapping_Sheet!$L$2:$L$3143=$A13))/sum(filter(
Mas"&amp;"ter_Mapping_Sheet!$E$2:$E$3143, ISNUMBER(
Master_Mapping_Sheet!$E$2:$E$3143),
Master_Mapping_Sheet!$C$2:$C$3143=AL$1)))"),0.0)</f>
        <v>0</v>
      </c>
      <c r="AM13" s="34">
        <f>IFERROR(__xludf.DUMMYFUNCTION("IF(ISNA(sum(filter(
Master_Mapping_Sheet!$E$2:$E$3143, ISNUMBER(
Master_Mapping_Sheet!$E$2:$E$3143),
Master_Mapping_Sheet!$C$2:$C$3143=AM$1,
Master_Mapping_Sheet!$L$2:$L$3143=$A13))/sum(filter(
Master_Mapping_Sheet!$E$2:$E$3143, ISNUMBER(
Master_Mapping_S"&amp;"heet!$E$2:$E$3143),
Master_Mapping_Sheet!$C$2:$C$3143=AM$1))), 0, sum(filter(
Master_Mapping_Sheet!$E$2:$E$3143, ISNUMBER(
Master_Mapping_Sheet!$E$2:$E$3143),
Master_Mapping_Sheet!$C$2:$C$3143=AM$1,
Master_Mapping_Sheet!$L$2:$L$3143=$A13))/sum(filter(
Mas"&amp;"ter_Mapping_Sheet!$E$2:$E$3143, ISNUMBER(
Master_Mapping_Sheet!$E$2:$E$3143),
Master_Mapping_Sheet!$C$2:$C$3143=AM$1)))"),0.0)</f>
        <v>0</v>
      </c>
      <c r="AN13" s="34">
        <f>IFERROR(__xludf.DUMMYFUNCTION("IF(ISNA(sum(filter(
Master_Mapping_Sheet!$E$2:$E$3143, ISNUMBER(
Master_Mapping_Sheet!$E$2:$E$3143),
Master_Mapping_Sheet!$C$2:$C$3143=AN$1,
Master_Mapping_Sheet!$L$2:$L$3143=$A13))/sum(filter(
Master_Mapping_Sheet!$E$2:$E$3143, ISNUMBER(
Master_Mapping_S"&amp;"heet!$E$2:$E$3143),
Master_Mapping_Sheet!$C$2:$C$3143=AN$1))), 0, sum(filter(
Master_Mapping_Sheet!$E$2:$E$3143, ISNUMBER(
Master_Mapping_Sheet!$E$2:$E$3143),
Master_Mapping_Sheet!$C$2:$C$3143=AN$1,
Master_Mapping_Sheet!$L$2:$L$3143=$A13))/sum(filter(
Mas"&amp;"ter_Mapping_Sheet!$E$2:$E$3143, ISNUMBER(
Master_Mapping_Sheet!$E$2:$E$3143),
Master_Mapping_Sheet!$C$2:$C$3143=AN$1)))"),0.0)</f>
        <v>0</v>
      </c>
      <c r="AO13" s="34">
        <f>IFERROR(__xludf.DUMMYFUNCTION("IF(ISNA(sum(filter(
Master_Mapping_Sheet!$E$2:$E$3143, ISNUMBER(
Master_Mapping_Sheet!$E$2:$E$3143),
Master_Mapping_Sheet!$C$2:$C$3143=AO$1,
Master_Mapping_Sheet!$L$2:$L$3143=$A13))/sum(filter(
Master_Mapping_Sheet!$E$2:$E$3143, ISNUMBER(
Master_Mapping_S"&amp;"heet!$E$2:$E$3143),
Master_Mapping_Sheet!$C$2:$C$3143=AO$1))), 0, sum(filter(
Master_Mapping_Sheet!$E$2:$E$3143, ISNUMBER(
Master_Mapping_Sheet!$E$2:$E$3143),
Master_Mapping_Sheet!$C$2:$C$3143=AO$1,
Master_Mapping_Sheet!$L$2:$L$3143=$A13))/sum(filter(
Mas"&amp;"ter_Mapping_Sheet!$E$2:$E$3143, ISNUMBER(
Master_Mapping_Sheet!$E$2:$E$3143),
Master_Mapping_Sheet!$C$2:$C$3143=AO$1)))"),0.0)</f>
        <v>0</v>
      </c>
      <c r="AP13" s="34">
        <f>IFERROR(__xludf.DUMMYFUNCTION("IF(ISNA(sum(filter(
Master_Mapping_Sheet!$E$2:$E$3143, ISNUMBER(
Master_Mapping_Sheet!$E$2:$E$3143),
Master_Mapping_Sheet!$C$2:$C$3143=AP$1,
Master_Mapping_Sheet!$L$2:$L$3143=$A13))/sum(filter(
Master_Mapping_Sheet!$E$2:$E$3143, ISNUMBER(
Master_Mapping_S"&amp;"heet!$E$2:$E$3143),
Master_Mapping_Sheet!$C$2:$C$3143=AP$1))), 0, sum(filter(
Master_Mapping_Sheet!$E$2:$E$3143, ISNUMBER(
Master_Mapping_Sheet!$E$2:$E$3143),
Master_Mapping_Sheet!$C$2:$C$3143=AP$1,
Master_Mapping_Sheet!$L$2:$L$3143=$A13))/sum(filter(
Mas"&amp;"ter_Mapping_Sheet!$E$2:$E$3143, ISNUMBER(
Master_Mapping_Sheet!$E$2:$E$3143),
Master_Mapping_Sheet!$C$2:$C$3143=AP$1)))"),0.0)</f>
        <v>0</v>
      </c>
      <c r="AQ13" s="34">
        <f>IFERROR(__xludf.DUMMYFUNCTION("IF(ISNA(sum(filter(
Master_Mapping_Sheet!$E$2:$E$3143, ISNUMBER(
Master_Mapping_Sheet!$E$2:$E$3143),
Master_Mapping_Sheet!$C$2:$C$3143=AQ$1,
Master_Mapping_Sheet!$L$2:$L$3143=$A13))/sum(filter(
Master_Mapping_Sheet!$E$2:$E$3143, ISNUMBER(
Master_Mapping_S"&amp;"heet!$E$2:$E$3143),
Master_Mapping_Sheet!$C$2:$C$3143=AQ$1))), 0, sum(filter(
Master_Mapping_Sheet!$E$2:$E$3143, ISNUMBER(
Master_Mapping_Sheet!$E$2:$E$3143),
Master_Mapping_Sheet!$C$2:$C$3143=AQ$1,
Master_Mapping_Sheet!$L$2:$L$3143=$A13))/sum(filter(
Mas"&amp;"ter_Mapping_Sheet!$E$2:$E$3143, ISNUMBER(
Master_Mapping_Sheet!$E$2:$E$3143),
Master_Mapping_Sheet!$C$2:$C$3143=AQ$1)))"),0.0)</f>
        <v>0</v>
      </c>
      <c r="AR13" s="34">
        <f>IFERROR(__xludf.DUMMYFUNCTION("IF(ISNA(sum(filter(
Master_Mapping_Sheet!$E$2:$E$3143, ISNUMBER(
Master_Mapping_Sheet!$E$2:$E$3143),
Master_Mapping_Sheet!$C$2:$C$3143=AR$1,
Master_Mapping_Sheet!$L$2:$L$3143=$A13))/sum(filter(
Master_Mapping_Sheet!$E$2:$E$3143, ISNUMBER(
Master_Mapping_S"&amp;"heet!$E$2:$E$3143),
Master_Mapping_Sheet!$C$2:$C$3143=AR$1))), 0, sum(filter(
Master_Mapping_Sheet!$E$2:$E$3143, ISNUMBER(
Master_Mapping_Sheet!$E$2:$E$3143),
Master_Mapping_Sheet!$C$2:$C$3143=AR$1,
Master_Mapping_Sheet!$L$2:$L$3143=$A13))/sum(filter(
Mas"&amp;"ter_Mapping_Sheet!$E$2:$E$3143, ISNUMBER(
Master_Mapping_Sheet!$E$2:$E$3143),
Master_Mapping_Sheet!$C$2:$C$3143=AR$1)))"),0.0)</f>
        <v>0</v>
      </c>
      <c r="AS13" s="34">
        <f>IFERROR(__xludf.DUMMYFUNCTION("IF(ISNA(sum(filter(
Master_Mapping_Sheet!$E$2:$E$3143, ISNUMBER(
Master_Mapping_Sheet!$E$2:$E$3143),
Master_Mapping_Sheet!$C$2:$C$3143=AS$1,
Master_Mapping_Sheet!$L$2:$L$3143=$A13))/sum(filter(
Master_Mapping_Sheet!$E$2:$E$3143, ISNUMBER(
Master_Mapping_S"&amp;"heet!$E$2:$E$3143),
Master_Mapping_Sheet!$C$2:$C$3143=AS$1))), 0, sum(filter(
Master_Mapping_Sheet!$E$2:$E$3143, ISNUMBER(
Master_Mapping_Sheet!$E$2:$E$3143),
Master_Mapping_Sheet!$C$2:$C$3143=AS$1,
Master_Mapping_Sheet!$L$2:$L$3143=$A13))/sum(filter(
Mas"&amp;"ter_Mapping_Sheet!$E$2:$E$3143, ISNUMBER(
Master_Mapping_Sheet!$E$2:$E$3143),
Master_Mapping_Sheet!$C$2:$C$3143=AS$1)))"),0.0)</f>
        <v>0</v>
      </c>
      <c r="AT13" s="34">
        <f>IFERROR(__xludf.DUMMYFUNCTION("IF(ISNA(sum(filter(
Master_Mapping_Sheet!$E$2:$E$3143, ISNUMBER(
Master_Mapping_Sheet!$E$2:$E$3143),
Master_Mapping_Sheet!$C$2:$C$3143=AT$1,
Master_Mapping_Sheet!$L$2:$L$3143=$A13))/sum(filter(
Master_Mapping_Sheet!$E$2:$E$3143, ISNUMBER(
Master_Mapping_S"&amp;"heet!$E$2:$E$3143),
Master_Mapping_Sheet!$C$2:$C$3143=AT$1))), 0, sum(filter(
Master_Mapping_Sheet!$E$2:$E$3143, ISNUMBER(
Master_Mapping_Sheet!$E$2:$E$3143),
Master_Mapping_Sheet!$C$2:$C$3143=AT$1,
Master_Mapping_Sheet!$L$2:$L$3143=$A13))/sum(filter(
Mas"&amp;"ter_Mapping_Sheet!$E$2:$E$3143, ISNUMBER(
Master_Mapping_Sheet!$E$2:$E$3143),
Master_Mapping_Sheet!$C$2:$C$3143=AT$1)))"),0.0)</f>
        <v>0</v>
      </c>
      <c r="AU13" s="34">
        <f>IFERROR(__xludf.DUMMYFUNCTION("IF(ISNA(sum(filter(
Master_Mapping_Sheet!$E$2:$E$3143, ISNUMBER(
Master_Mapping_Sheet!$E$2:$E$3143),
Master_Mapping_Sheet!$C$2:$C$3143=AU$1,
Master_Mapping_Sheet!$L$2:$L$3143=$A13))/sum(filter(
Master_Mapping_Sheet!$E$2:$E$3143, ISNUMBER(
Master_Mapping_S"&amp;"heet!$E$2:$E$3143),
Master_Mapping_Sheet!$C$2:$C$3143=AU$1))), 0, sum(filter(
Master_Mapping_Sheet!$E$2:$E$3143, ISNUMBER(
Master_Mapping_Sheet!$E$2:$E$3143),
Master_Mapping_Sheet!$C$2:$C$3143=AU$1,
Master_Mapping_Sheet!$L$2:$L$3143=$A13))/sum(filter(
Mas"&amp;"ter_Mapping_Sheet!$E$2:$E$3143, ISNUMBER(
Master_Mapping_Sheet!$E$2:$E$3143),
Master_Mapping_Sheet!$C$2:$C$3143=AU$1)))"),0.0)</f>
        <v>0</v>
      </c>
      <c r="AV13" s="34">
        <f>IFERROR(__xludf.DUMMYFUNCTION("IF(ISNA(sum(filter(
Master_Mapping_Sheet!$E$2:$E$3143, ISNUMBER(
Master_Mapping_Sheet!$E$2:$E$3143),
Master_Mapping_Sheet!$C$2:$C$3143=AV$1,
Master_Mapping_Sheet!$L$2:$L$3143=$A13))/sum(filter(
Master_Mapping_Sheet!$E$2:$E$3143, ISNUMBER(
Master_Mapping_S"&amp;"heet!$E$2:$E$3143),
Master_Mapping_Sheet!$C$2:$C$3143=AV$1))), 0, sum(filter(
Master_Mapping_Sheet!$E$2:$E$3143, ISNUMBER(
Master_Mapping_Sheet!$E$2:$E$3143),
Master_Mapping_Sheet!$C$2:$C$3143=AV$1,
Master_Mapping_Sheet!$L$2:$L$3143=$A13))/sum(filter(
Mas"&amp;"ter_Mapping_Sheet!$E$2:$E$3143, ISNUMBER(
Master_Mapping_Sheet!$E$2:$E$3143),
Master_Mapping_Sheet!$C$2:$C$3143=AV$1)))"),0.0)</f>
        <v>0</v>
      </c>
      <c r="AW13" s="34">
        <f>IFERROR(__xludf.DUMMYFUNCTION("IF(ISNA(sum(filter(
Master_Mapping_Sheet!$E$2:$E$3143, ISNUMBER(
Master_Mapping_Sheet!$E$2:$E$3143),
Master_Mapping_Sheet!$C$2:$C$3143=AW$1,
Master_Mapping_Sheet!$L$2:$L$3143=$A13))/sum(filter(
Master_Mapping_Sheet!$E$2:$E$3143, ISNUMBER(
Master_Mapping_S"&amp;"heet!$E$2:$E$3143),
Master_Mapping_Sheet!$C$2:$C$3143=AW$1))), 0, sum(filter(
Master_Mapping_Sheet!$E$2:$E$3143, ISNUMBER(
Master_Mapping_Sheet!$E$2:$E$3143),
Master_Mapping_Sheet!$C$2:$C$3143=AW$1,
Master_Mapping_Sheet!$L$2:$L$3143=$A13))/sum(filter(
Mas"&amp;"ter_Mapping_Sheet!$E$2:$E$3143, ISNUMBER(
Master_Mapping_Sheet!$E$2:$E$3143),
Master_Mapping_Sheet!$C$2:$C$3143=AW$1)))"),0.03284870623892854)</f>
        <v>0.03284870624</v>
      </c>
      <c r="AX13" s="34">
        <f>IFERROR(__xludf.DUMMYFUNCTION("IF(ISNA(sum(filter(
Master_Mapping_Sheet!$E$2:$E$3143, ISNUMBER(
Master_Mapping_Sheet!$E$2:$E$3143),
Master_Mapping_Sheet!$C$2:$C$3143=AX$1,
Master_Mapping_Sheet!$L$2:$L$3143=$A13))/sum(filter(
Master_Mapping_Sheet!$E$2:$E$3143, ISNUMBER(
Master_Mapping_S"&amp;"heet!$E$2:$E$3143),
Master_Mapping_Sheet!$C$2:$C$3143=AX$1))), 0, sum(filter(
Master_Mapping_Sheet!$E$2:$E$3143, ISNUMBER(
Master_Mapping_Sheet!$E$2:$E$3143),
Master_Mapping_Sheet!$C$2:$C$3143=AX$1,
Master_Mapping_Sheet!$L$2:$L$3143=$A13))/sum(filter(
Mas"&amp;"ter_Mapping_Sheet!$E$2:$E$3143, ISNUMBER(
Master_Mapping_Sheet!$E$2:$E$3143),
Master_Mapping_Sheet!$C$2:$C$3143=AX$1)))"),0.0)</f>
        <v>0</v>
      </c>
      <c r="AY13" s="34">
        <f>IFERROR(__xludf.DUMMYFUNCTION("IF(ISNA(sum(filter(
Master_Mapping_Sheet!$E$2:$E$3143, ISNUMBER(
Master_Mapping_Sheet!$E$2:$E$3143),
Master_Mapping_Sheet!$C$2:$C$3143=AY$1,
Master_Mapping_Sheet!$L$2:$L$3143=$A13))/sum(filter(
Master_Mapping_Sheet!$E$2:$E$3143, ISNUMBER(
Master_Mapping_S"&amp;"heet!$E$2:$E$3143),
Master_Mapping_Sheet!$C$2:$C$3143=AY$1))), 0, sum(filter(
Master_Mapping_Sheet!$E$2:$E$3143, ISNUMBER(
Master_Mapping_Sheet!$E$2:$E$3143),
Master_Mapping_Sheet!$C$2:$C$3143=AY$1,
Master_Mapping_Sheet!$L$2:$L$3143=$A13))/sum(filter(
Mas"&amp;"ter_Mapping_Sheet!$E$2:$E$3143, ISNUMBER(
Master_Mapping_Sheet!$E$2:$E$3143),
Master_Mapping_Sheet!$C$2:$C$3143=AY$1)))"),0.0)</f>
        <v>0</v>
      </c>
      <c r="AZ13" s="34">
        <f>IFERROR(__xludf.DUMMYFUNCTION("IF(ISNA(sum(filter(
Master_Mapping_Sheet!$E$2:$E$3143, ISNUMBER(
Master_Mapping_Sheet!$E$2:$E$3143),
Master_Mapping_Sheet!$C$2:$C$3143=AZ$1,
Master_Mapping_Sheet!$L$2:$L$3143=$A13))/sum(filter(
Master_Mapping_Sheet!$E$2:$E$3143, ISNUMBER(
Master_Mapping_S"&amp;"heet!$E$2:$E$3143),
Master_Mapping_Sheet!$C$2:$C$3143=AZ$1))), 0, sum(filter(
Master_Mapping_Sheet!$E$2:$E$3143, ISNUMBER(
Master_Mapping_Sheet!$E$2:$E$3143),
Master_Mapping_Sheet!$C$2:$C$3143=AZ$1,
Master_Mapping_Sheet!$L$2:$L$3143=$A13))/sum(filter(
Mas"&amp;"ter_Mapping_Sheet!$E$2:$E$3143, ISNUMBER(
Master_Mapping_Sheet!$E$2:$E$3143),
Master_Mapping_Sheet!$C$2:$C$3143=AZ$1)))"),0.0)</f>
        <v>0</v>
      </c>
    </row>
    <row r="14" ht="15.75" customHeight="1">
      <c r="A14" s="32" t="s">
        <v>707</v>
      </c>
      <c r="B14" s="34">
        <f>IFERROR(__xludf.DUMMYFUNCTION("IF(ISNA(sum(filter(
Master_Mapping_Sheet!$E$2:$E$3143, ISNUMBER(
Master_Mapping_Sheet!$E$2:$E$3143),
Master_Mapping_Sheet!$C$2:$C$3143=B$1,
Master_Mapping_Sheet!$L$2:$L$3143=$A14))/sum(filter(
Master_Mapping_Sheet!$E$2:$E$3143, ISNUMBER(
Master_Mapping_Sh"&amp;"eet!$E$2:$E$3143),
Master_Mapping_Sheet!$C$2:$C$3143=B$1))), 0, sum(filter(
Master_Mapping_Sheet!$E$2:$E$3143, ISNUMBER(
Master_Mapping_Sheet!$E$2:$E$3143),
Master_Mapping_Sheet!$C$2:$C$3143=B$1,
Master_Mapping_Sheet!$L$2:$L$3143=$A14))/sum(filter(
Master"&amp;"_Mapping_Sheet!$E$2:$E$3143, ISNUMBER(
Master_Mapping_Sheet!$E$2:$E$3143),
Master_Mapping_Sheet!$C$2:$C$3143=B$1)))"),0.0)</f>
        <v>0</v>
      </c>
      <c r="C14" s="34">
        <f>IFERROR(__xludf.DUMMYFUNCTION("IF(ISNA(sum(filter(
Master_Mapping_Sheet!$E$2:$E$3143, ISNUMBER(
Master_Mapping_Sheet!$E$2:$E$3143),
Master_Mapping_Sheet!$C$2:$C$3143=C$1,
Master_Mapping_Sheet!$L$2:$L$3143=$A14))/sum(filter(
Master_Mapping_Sheet!$E$2:$E$3143, ISNUMBER(
Master_Mapping_Sh"&amp;"eet!$E$2:$E$3143),
Master_Mapping_Sheet!$C$2:$C$3143=C$1))), 0, sum(filter(
Master_Mapping_Sheet!$E$2:$E$3143, ISNUMBER(
Master_Mapping_Sheet!$E$2:$E$3143),
Master_Mapping_Sheet!$C$2:$C$3143=C$1,
Master_Mapping_Sheet!$L$2:$L$3143=$A14))/sum(filter(
Master"&amp;"_Mapping_Sheet!$E$2:$E$3143, ISNUMBER(
Master_Mapping_Sheet!$E$2:$E$3143),
Master_Mapping_Sheet!$C$2:$C$3143=C$1)))"),0.0)</f>
        <v>0</v>
      </c>
      <c r="D14" s="34">
        <f>IFERROR(__xludf.DUMMYFUNCTION("IF(ISNA(sum(filter(
Master_Mapping_Sheet!$E$2:$E$3143, ISNUMBER(
Master_Mapping_Sheet!$E$2:$E$3143),
Master_Mapping_Sheet!$C$2:$C$3143=D$1,
Master_Mapping_Sheet!$L$2:$L$3143=$A14))/sum(filter(
Master_Mapping_Sheet!$E$2:$E$3143, ISNUMBER(
Master_Mapping_Sh"&amp;"eet!$E$2:$E$3143),
Master_Mapping_Sheet!$C$2:$C$3143=D$1))), 0, sum(filter(
Master_Mapping_Sheet!$E$2:$E$3143, ISNUMBER(
Master_Mapping_Sheet!$E$2:$E$3143),
Master_Mapping_Sheet!$C$2:$C$3143=D$1,
Master_Mapping_Sheet!$L$2:$L$3143=$A14))/sum(filter(
Master"&amp;"_Mapping_Sheet!$E$2:$E$3143, ISNUMBER(
Master_Mapping_Sheet!$E$2:$E$3143),
Master_Mapping_Sheet!$C$2:$C$3143=D$1)))"),0.0)</f>
        <v>0</v>
      </c>
      <c r="E14" s="34">
        <f>IFERROR(__xludf.DUMMYFUNCTION("IF(ISNA(sum(filter(
Master_Mapping_Sheet!$E$2:$E$3143, ISNUMBER(
Master_Mapping_Sheet!$E$2:$E$3143),
Master_Mapping_Sheet!$C$2:$C$3143=E$1,
Master_Mapping_Sheet!$L$2:$L$3143=$A14))/sum(filter(
Master_Mapping_Sheet!$E$2:$E$3143, ISNUMBER(
Master_Mapping_Sh"&amp;"eet!$E$2:$E$3143),
Master_Mapping_Sheet!$C$2:$C$3143=E$1))), 0, sum(filter(
Master_Mapping_Sheet!$E$2:$E$3143, ISNUMBER(
Master_Mapping_Sheet!$E$2:$E$3143),
Master_Mapping_Sheet!$C$2:$C$3143=E$1,
Master_Mapping_Sheet!$L$2:$L$3143=$A14))/sum(filter(
Master"&amp;"_Mapping_Sheet!$E$2:$E$3143, ISNUMBER(
Master_Mapping_Sheet!$E$2:$E$3143),
Master_Mapping_Sheet!$C$2:$C$3143=E$1)))"),0.0)</f>
        <v>0</v>
      </c>
      <c r="F14" s="34">
        <f>IFERROR(__xludf.DUMMYFUNCTION("IF(ISNA(sum(filter(
Master_Mapping_Sheet!$E$2:$E$3143, ISNUMBER(
Master_Mapping_Sheet!$E$2:$E$3143),
Master_Mapping_Sheet!$C$2:$C$3143=F$1,
Master_Mapping_Sheet!$L$2:$L$3143=$A14))/sum(filter(
Master_Mapping_Sheet!$E$2:$E$3143, ISNUMBER(
Master_Mapping_Sh"&amp;"eet!$E$2:$E$3143),
Master_Mapping_Sheet!$C$2:$C$3143=F$1))), 0, sum(filter(
Master_Mapping_Sheet!$E$2:$E$3143, ISNUMBER(
Master_Mapping_Sheet!$E$2:$E$3143),
Master_Mapping_Sheet!$C$2:$C$3143=F$1,
Master_Mapping_Sheet!$L$2:$L$3143=$A14))/sum(filter(
Master"&amp;"_Mapping_Sheet!$E$2:$E$3143, ISNUMBER(
Master_Mapping_Sheet!$E$2:$E$3143),
Master_Mapping_Sheet!$C$2:$C$3143=F$1)))"),0.0)</f>
        <v>0</v>
      </c>
      <c r="G14" s="34">
        <f>IFERROR(__xludf.DUMMYFUNCTION("IF(ISNA(sum(filter(
Master_Mapping_Sheet!$E$2:$E$3143, ISNUMBER(
Master_Mapping_Sheet!$E$2:$E$3143),
Master_Mapping_Sheet!$C$2:$C$3143=G$1,
Master_Mapping_Sheet!$L$2:$L$3143=$A14))/sum(filter(
Master_Mapping_Sheet!$E$2:$E$3143, ISNUMBER(
Master_Mapping_Sh"&amp;"eet!$E$2:$E$3143),
Master_Mapping_Sheet!$C$2:$C$3143=G$1))), 0, sum(filter(
Master_Mapping_Sheet!$E$2:$E$3143, ISNUMBER(
Master_Mapping_Sheet!$E$2:$E$3143),
Master_Mapping_Sheet!$C$2:$C$3143=G$1,
Master_Mapping_Sheet!$L$2:$L$3143=$A14))/sum(filter(
Master"&amp;"_Mapping_Sheet!$E$2:$E$3143, ISNUMBER(
Master_Mapping_Sheet!$E$2:$E$3143),
Master_Mapping_Sheet!$C$2:$C$3143=G$1)))"),0.0)</f>
        <v>0</v>
      </c>
      <c r="H14" s="34">
        <f>IFERROR(__xludf.DUMMYFUNCTION("IF(ISNA(sum(filter(
Master_Mapping_Sheet!$E$2:$E$3143, ISNUMBER(
Master_Mapping_Sheet!$E$2:$E$3143),
Master_Mapping_Sheet!$C$2:$C$3143=H$1,
Master_Mapping_Sheet!$L$2:$L$3143=$A14))/sum(filter(
Master_Mapping_Sheet!$E$2:$E$3143, ISNUMBER(
Master_Mapping_Sh"&amp;"eet!$E$2:$E$3143),
Master_Mapping_Sheet!$C$2:$C$3143=H$1))), 0, sum(filter(
Master_Mapping_Sheet!$E$2:$E$3143, ISNUMBER(
Master_Mapping_Sheet!$E$2:$E$3143),
Master_Mapping_Sheet!$C$2:$C$3143=H$1,
Master_Mapping_Sheet!$L$2:$L$3143=$A14))/sum(filter(
Master"&amp;"_Mapping_Sheet!$E$2:$E$3143, ISNUMBER(
Master_Mapping_Sheet!$E$2:$E$3143),
Master_Mapping_Sheet!$C$2:$C$3143=H$1)))"),0.0)</f>
        <v>0</v>
      </c>
      <c r="I14" s="34">
        <f>IFERROR(__xludf.DUMMYFUNCTION("IF(ISNA(sum(filter(
Master_Mapping_Sheet!$E$2:$E$3143, ISNUMBER(
Master_Mapping_Sheet!$E$2:$E$3143),
Master_Mapping_Sheet!$C$2:$C$3143=I$1,
Master_Mapping_Sheet!$L$2:$L$3143=$A14))/sum(filter(
Master_Mapping_Sheet!$E$2:$E$3143, ISNUMBER(
Master_Mapping_Sh"&amp;"eet!$E$2:$E$3143),
Master_Mapping_Sheet!$C$2:$C$3143=I$1))), 0, sum(filter(
Master_Mapping_Sheet!$E$2:$E$3143, ISNUMBER(
Master_Mapping_Sheet!$E$2:$E$3143),
Master_Mapping_Sheet!$C$2:$C$3143=I$1,
Master_Mapping_Sheet!$L$2:$L$3143=$A14))/sum(filter(
Master"&amp;"_Mapping_Sheet!$E$2:$E$3143, ISNUMBER(
Master_Mapping_Sheet!$E$2:$E$3143),
Master_Mapping_Sheet!$C$2:$C$3143=I$1)))"),0.0)</f>
        <v>0</v>
      </c>
      <c r="J14" s="34">
        <f>IFERROR(__xludf.DUMMYFUNCTION("IF(ISNA(sum(filter(
Master_Mapping_Sheet!$E$2:$E$3143, ISNUMBER(
Master_Mapping_Sheet!$E$2:$E$3143),
Master_Mapping_Sheet!$C$2:$C$3143=J$1,
Master_Mapping_Sheet!$L$2:$L$3143=$A14))/sum(filter(
Master_Mapping_Sheet!$E$2:$E$3143, ISNUMBER(
Master_Mapping_Sh"&amp;"eet!$E$2:$E$3143),
Master_Mapping_Sheet!$C$2:$C$3143=J$1))), 0, sum(filter(
Master_Mapping_Sheet!$E$2:$E$3143, ISNUMBER(
Master_Mapping_Sheet!$E$2:$E$3143),
Master_Mapping_Sheet!$C$2:$C$3143=J$1,
Master_Mapping_Sheet!$L$2:$L$3143=$A14))/sum(filter(
Master"&amp;"_Mapping_Sheet!$E$2:$E$3143, ISNUMBER(
Master_Mapping_Sheet!$E$2:$E$3143),
Master_Mapping_Sheet!$C$2:$C$3143=J$1)))"),0.0)</f>
        <v>0</v>
      </c>
      <c r="K14" s="34">
        <f>IFERROR(__xludf.DUMMYFUNCTION("IF(ISNA(sum(filter(
Master_Mapping_Sheet!$E$2:$E$3143, ISNUMBER(
Master_Mapping_Sheet!$E$2:$E$3143),
Master_Mapping_Sheet!$C$2:$C$3143=K$1,
Master_Mapping_Sheet!$L$2:$L$3143=$A14))/sum(filter(
Master_Mapping_Sheet!$E$2:$E$3143, ISNUMBER(
Master_Mapping_Sh"&amp;"eet!$E$2:$E$3143),
Master_Mapping_Sheet!$C$2:$C$3143=K$1))), 0, sum(filter(
Master_Mapping_Sheet!$E$2:$E$3143, ISNUMBER(
Master_Mapping_Sheet!$E$2:$E$3143),
Master_Mapping_Sheet!$C$2:$C$3143=K$1,
Master_Mapping_Sheet!$L$2:$L$3143=$A14))/sum(filter(
Master"&amp;"_Mapping_Sheet!$E$2:$E$3143, ISNUMBER(
Master_Mapping_Sheet!$E$2:$E$3143),
Master_Mapping_Sheet!$C$2:$C$3143=K$1)))"),0.0)</f>
        <v>0</v>
      </c>
      <c r="L14" s="34">
        <f>IFERROR(__xludf.DUMMYFUNCTION("IF(ISNA(sum(filter(
Master_Mapping_Sheet!$E$2:$E$3143, ISNUMBER(
Master_Mapping_Sheet!$E$2:$E$3143),
Master_Mapping_Sheet!$C$2:$C$3143=L$1,
Master_Mapping_Sheet!$L$2:$L$3143=$A14))/sum(filter(
Master_Mapping_Sheet!$E$2:$E$3143, ISNUMBER(
Master_Mapping_Sh"&amp;"eet!$E$2:$E$3143),
Master_Mapping_Sheet!$C$2:$C$3143=L$1))), 0, sum(filter(
Master_Mapping_Sheet!$E$2:$E$3143, ISNUMBER(
Master_Mapping_Sheet!$E$2:$E$3143),
Master_Mapping_Sheet!$C$2:$C$3143=L$1,
Master_Mapping_Sheet!$L$2:$L$3143=$A14))/sum(filter(
Master"&amp;"_Mapping_Sheet!$E$2:$E$3143, ISNUMBER(
Master_Mapping_Sheet!$E$2:$E$3143),
Master_Mapping_Sheet!$C$2:$C$3143=L$1)))"),0.0)</f>
        <v>0</v>
      </c>
      <c r="M14" s="34">
        <f>IFERROR(__xludf.DUMMYFUNCTION("IF(ISNA(sum(filter(
Master_Mapping_Sheet!$E$2:$E$3143, ISNUMBER(
Master_Mapping_Sheet!$E$2:$E$3143),
Master_Mapping_Sheet!$C$2:$C$3143=M$1,
Master_Mapping_Sheet!$L$2:$L$3143=$A14))/sum(filter(
Master_Mapping_Sheet!$E$2:$E$3143, ISNUMBER(
Master_Mapping_Sh"&amp;"eet!$E$2:$E$3143),
Master_Mapping_Sheet!$C$2:$C$3143=M$1))), 0, sum(filter(
Master_Mapping_Sheet!$E$2:$E$3143, ISNUMBER(
Master_Mapping_Sheet!$E$2:$E$3143),
Master_Mapping_Sheet!$C$2:$C$3143=M$1,
Master_Mapping_Sheet!$L$2:$L$3143=$A14))/sum(filter(
Master"&amp;"_Mapping_Sheet!$E$2:$E$3143, ISNUMBER(
Master_Mapping_Sheet!$E$2:$E$3143),
Master_Mapping_Sheet!$C$2:$C$3143=M$1)))"),0.0)</f>
        <v>0</v>
      </c>
      <c r="N14" s="34">
        <f>IFERROR(__xludf.DUMMYFUNCTION("IF(ISNA(sum(filter(
Master_Mapping_Sheet!$E$2:$E$3143, ISNUMBER(
Master_Mapping_Sheet!$E$2:$E$3143),
Master_Mapping_Sheet!$C$2:$C$3143=N$1,
Master_Mapping_Sheet!$L$2:$L$3143=$A14))/sum(filter(
Master_Mapping_Sheet!$E$2:$E$3143, ISNUMBER(
Master_Mapping_Sh"&amp;"eet!$E$2:$E$3143),
Master_Mapping_Sheet!$C$2:$C$3143=N$1))), 0, sum(filter(
Master_Mapping_Sheet!$E$2:$E$3143, ISNUMBER(
Master_Mapping_Sheet!$E$2:$E$3143),
Master_Mapping_Sheet!$C$2:$C$3143=N$1,
Master_Mapping_Sheet!$L$2:$L$3143=$A14))/sum(filter(
Master"&amp;"_Mapping_Sheet!$E$2:$E$3143, ISNUMBER(
Master_Mapping_Sheet!$E$2:$E$3143),
Master_Mapping_Sheet!$C$2:$C$3143=N$1)))"),0.0)</f>
        <v>0</v>
      </c>
      <c r="O14" s="34">
        <f>IFERROR(__xludf.DUMMYFUNCTION("IF(ISNA(sum(filter(
Master_Mapping_Sheet!$E$2:$E$3143, ISNUMBER(
Master_Mapping_Sheet!$E$2:$E$3143),
Master_Mapping_Sheet!$C$2:$C$3143=O$1,
Master_Mapping_Sheet!$L$2:$L$3143=$A14))/sum(filter(
Master_Mapping_Sheet!$E$2:$E$3143, ISNUMBER(
Master_Mapping_Sh"&amp;"eet!$E$2:$E$3143),
Master_Mapping_Sheet!$C$2:$C$3143=O$1))), 0, sum(filter(
Master_Mapping_Sheet!$E$2:$E$3143, ISNUMBER(
Master_Mapping_Sheet!$E$2:$E$3143),
Master_Mapping_Sheet!$C$2:$C$3143=O$1,
Master_Mapping_Sheet!$L$2:$L$3143=$A14))/sum(filter(
Master"&amp;"_Mapping_Sheet!$E$2:$E$3143, ISNUMBER(
Master_Mapping_Sheet!$E$2:$E$3143),
Master_Mapping_Sheet!$C$2:$C$3143=O$1)))"),0.0)</f>
        <v>0</v>
      </c>
      <c r="P14" s="34">
        <f>IFERROR(__xludf.DUMMYFUNCTION("IF(ISNA(sum(filter(
Master_Mapping_Sheet!$E$2:$E$3143, ISNUMBER(
Master_Mapping_Sheet!$E$2:$E$3143),
Master_Mapping_Sheet!$C$2:$C$3143=P$1,
Master_Mapping_Sheet!$L$2:$L$3143=$A14))/sum(filter(
Master_Mapping_Sheet!$E$2:$E$3143, ISNUMBER(
Master_Mapping_Sh"&amp;"eet!$E$2:$E$3143),
Master_Mapping_Sheet!$C$2:$C$3143=P$1))), 0, sum(filter(
Master_Mapping_Sheet!$E$2:$E$3143, ISNUMBER(
Master_Mapping_Sheet!$E$2:$E$3143),
Master_Mapping_Sheet!$C$2:$C$3143=P$1,
Master_Mapping_Sheet!$L$2:$L$3143=$A14))/sum(filter(
Master"&amp;"_Mapping_Sheet!$E$2:$E$3143, ISNUMBER(
Master_Mapping_Sheet!$E$2:$E$3143),
Master_Mapping_Sheet!$C$2:$C$3143=P$1)))"),0.0)</f>
        <v>0</v>
      </c>
      <c r="Q14" s="34">
        <f>IFERROR(__xludf.DUMMYFUNCTION("IF(ISNA(sum(filter(
Master_Mapping_Sheet!$E$2:$E$3143, ISNUMBER(
Master_Mapping_Sheet!$E$2:$E$3143),
Master_Mapping_Sheet!$C$2:$C$3143=Q$1,
Master_Mapping_Sheet!$L$2:$L$3143=$A14))/sum(filter(
Master_Mapping_Sheet!$E$2:$E$3143, ISNUMBER(
Master_Mapping_Sh"&amp;"eet!$E$2:$E$3143),
Master_Mapping_Sheet!$C$2:$C$3143=Q$1))), 0, sum(filter(
Master_Mapping_Sheet!$E$2:$E$3143, ISNUMBER(
Master_Mapping_Sheet!$E$2:$E$3143),
Master_Mapping_Sheet!$C$2:$C$3143=Q$1,
Master_Mapping_Sheet!$L$2:$L$3143=$A14))/sum(filter(
Master"&amp;"_Mapping_Sheet!$E$2:$E$3143, ISNUMBER(
Master_Mapping_Sheet!$E$2:$E$3143),
Master_Mapping_Sheet!$C$2:$C$3143=Q$1)))"),0.22914907496217654)</f>
        <v>0.229149075</v>
      </c>
      <c r="R14" s="34">
        <f>IFERROR(__xludf.DUMMYFUNCTION("IF(ISNA(sum(filter(
Master_Mapping_Sheet!$E$2:$E$3143, ISNUMBER(
Master_Mapping_Sheet!$E$2:$E$3143),
Master_Mapping_Sheet!$C$2:$C$3143=R$1,
Master_Mapping_Sheet!$L$2:$L$3143=$A14))/sum(filter(
Master_Mapping_Sheet!$E$2:$E$3143, ISNUMBER(
Master_Mapping_Sh"&amp;"eet!$E$2:$E$3143),
Master_Mapping_Sheet!$C$2:$C$3143=R$1))), 0, sum(filter(
Master_Mapping_Sheet!$E$2:$E$3143, ISNUMBER(
Master_Mapping_Sheet!$E$2:$E$3143),
Master_Mapping_Sheet!$C$2:$C$3143=R$1,
Master_Mapping_Sheet!$L$2:$L$3143=$A14))/sum(filter(
Master"&amp;"_Mapping_Sheet!$E$2:$E$3143, ISNUMBER(
Master_Mapping_Sheet!$E$2:$E$3143),
Master_Mapping_Sheet!$C$2:$C$3143=R$1)))"),0.0)</f>
        <v>0</v>
      </c>
      <c r="S14" s="34">
        <f>IFERROR(__xludf.DUMMYFUNCTION("IF(ISNA(sum(filter(
Master_Mapping_Sheet!$E$2:$E$3143, ISNUMBER(
Master_Mapping_Sheet!$E$2:$E$3143),
Master_Mapping_Sheet!$C$2:$C$3143=S$1,
Master_Mapping_Sheet!$L$2:$L$3143=$A14))/sum(filter(
Master_Mapping_Sheet!$E$2:$E$3143, ISNUMBER(
Master_Mapping_Sh"&amp;"eet!$E$2:$E$3143),
Master_Mapping_Sheet!$C$2:$C$3143=S$1))), 0, sum(filter(
Master_Mapping_Sheet!$E$2:$E$3143, ISNUMBER(
Master_Mapping_Sheet!$E$2:$E$3143),
Master_Mapping_Sheet!$C$2:$C$3143=S$1,
Master_Mapping_Sheet!$L$2:$L$3143=$A14))/sum(filter(
Master"&amp;"_Mapping_Sheet!$E$2:$E$3143, ISNUMBER(
Master_Mapping_Sheet!$E$2:$E$3143),
Master_Mapping_Sheet!$C$2:$C$3143=S$1)))"),0.0)</f>
        <v>0</v>
      </c>
      <c r="T14" s="34">
        <f>IFERROR(__xludf.DUMMYFUNCTION("IF(ISNA(sum(filter(
Master_Mapping_Sheet!$E$2:$E$3143, ISNUMBER(
Master_Mapping_Sheet!$E$2:$E$3143),
Master_Mapping_Sheet!$C$2:$C$3143=T$1,
Master_Mapping_Sheet!$L$2:$L$3143=$A14))/sum(filter(
Master_Mapping_Sheet!$E$2:$E$3143, ISNUMBER(
Master_Mapping_Sh"&amp;"eet!$E$2:$E$3143),
Master_Mapping_Sheet!$C$2:$C$3143=T$1))), 0, sum(filter(
Master_Mapping_Sheet!$E$2:$E$3143, ISNUMBER(
Master_Mapping_Sheet!$E$2:$E$3143),
Master_Mapping_Sheet!$C$2:$C$3143=T$1,
Master_Mapping_Sheet!$L$2:$L$3143=$A14))/sum(filter(
Master"&amp;"_Mapping_Sheet!$E$2:$E$3143, ISNUMBER(
Master_Mapping_Sheet!$E$2:$E$3143),
Master_Mapping_Sheet!$C$2:$C$3143=T$1)))"),0.0)</f>
        <v>0</v>
      </c>
      <c r="U14" s="34">
        <f>IFERROR(__xludf.DUMMYFUNCTION("IF(ISNA(sum(filter(
Master_Mapping_Sheet!$E$2:$E$3143, ISNUMBER(
Master_Mapping_Sheet!$E$2:$E$3143),
Master_Mapping_Sheet!$C$2:$C$3143=U$1,
Master_Mapping_Sheet!$L$2:$L$3143=$A14))/sum(filter(
Master_Mapping_Sheet!$E$2:$E$3143, ISNUMBER(
Master_Mapping_Sh"&amp;"eet!$E$2:$E$3143),
Master_Mapping_Sheet!$C$2:$C$3143=U$1))), 0, sum(filter(
Master_Mapping_Sheet!$E$2:$E$3143, ISNUMBER(
Master_Mapping_Sheet!$E$2:$E$3143),
Master_Mapping_Sheet!$C$2:$C$3143=U$1,
Master_Mapping_Sheet!$L$2:$L$3143=$A14))/sum(filter(
Master"&amp;"_Mapping_Sheet!$E$2:$E$3143, ISNUMBER(
Master_Mapping_Sheet!$E$2:$E$3143),
Master_Mapping_Sheet!$C$2:$C$3143=U$1)))"),0.9517446884121623)</f>
        <v>0.9517446884</v>
      </c>
      <c r="V14" s="34">
        <f>IFERROR(__xludf.DUMMYFUNCTION("IF(ISNA(sum(filter(
Master_Mapping_Sheet!$E$2:$E$3143, ISNUMBER(
Master_Mapping_Sheet!$E$2:$E$3143),
Master_Mapping_Sheet!$C$2:$C$3143=V$1,
Master_Mapping_Sheet!$L$2:$L$3143=$A14))/sum(filter(
Master_Mapping_Sheet!$E$2:$E$3143, ISNUMBER(
Master_Mapping_Sh"&amp;"eet!$E$2:$E$3143),
Master_Mapping_Sheet!$C$2:$C$3143=V$1))), 0, sum(filter(
Master_Mapping_Sheet!$E$2:$E$3143, ISNUMBER(
Master_Mapping_Sheet!$E$2:$E$3143),
Master_Mapping_Sheet!$C$2:$C$3143=V$1,
Master_Mapping_Sheet!$L$2:$L$3143=$A14))/sum(filter(
Master"&amp;"_Mapping_Sheet!$E$2:$E$3143, ISNUMBER(
Master_Mapping_Sheet!$E$2:$E$3143),
Master_Mapping_Sheet!$C$2:$C$3143=V$1)))"),0.0)</f>
        <v>0</v>
      </c>
      <c r="W14" s="34">
        <f>IFERROR(__xludf.DUMMYFUNCTION("IF(ISNA(sum(filter(
Master_Mapping_Sheet!$E$2:$E$3143, ISNUMBER(
Master_Mapping_Sheet!$E$2:$E$3143),
Master_Mapping_Sheet!$C$2:$C$3143=W$1,
Master_Mapping_Sheet!$L$2:$L$3143=$A14))/sum(filter(
Master_Mapping_Sheet!$E$2:$E$3143, ISNUMBER(
Master_Mapping_Sh"&amp;"eet!$E$2:$E$3143),
Master_Mapping_Sheet!$C$2:$C$3143=W$1))), 0, sum(filter(
Master_Mapping_Sheet!$E$2:$E$3143, ISNUMBER(
Master_Mapping_Sheet!$E$2:$E$3143),
Master_Mapping_Sheet!$C$2:$C$3143=W$1,
Master_Mapping_Sheet!$L$2:$L$3143=$A14))/sum(filter(
Master"&amp;"_Mapping_Sheet!$E$2:$E$3143, ISNUMBER(
Master_Mapping_Sheet!$E$2:$E$3143),
Master_Mapping_Sheet!$C$2:$C$3143=W$1)))"),0.0)</f>
        <v>0</v>
      </c>
      <c r="X14" s="34">
        <f>IFERROR(__xludf.DUMMYFUNCTION("IF(ISNA(sum(filter(
Master_Mapping_Sheet!$E$2:$E$3143, ISNUMBER(
Master_Mapping_Sheet!$E$2:$E$3143),
Master_Mapping_Sheet!$C$2:$C$3143=X$1,
Master_Mapping_Sheet!$L$2:$L$3143=$A14))/sum(filter(
Master_Mapping_Sheet!$E$2:$E$3143, ISNUMBER(
Master_Mapping_Sh"&amp;"eet!$E$2:$E$3143),
Master_Mapping_Sheet!$C$2:$C$3143=X$1))), 0, sum(filter(
Master_Mapping_Sheet!$E$2:$E$3143, ISNUMBER(
Master_Mapping_Sheet!$E$2:$E$3143),
Master_Mapping_Sheet!$C$2:$C$3143=X$1,
Master_Mapping_Sheet!$L$2:$L$3143=$A14))/sum(filter(
Master"&amp;"_Mapping_Sheet!$E$2:$E$3143, ISNUMBER(
Master_Mapping_Sheet!$E$2:$E$3143),
Master_Mapping_Sheet!$C$2:$C$3143=X$1)))"),0.10721331247638176)</f>
        <v>0.1072133125</v>
      </c>
      <c r="Y14" s="34">
        <f>IFERROR(__xludf.DUMMYFUNCTION("IF(ISNA(sum(filter(
Master_Mapping_Sheet!$E$2:$E$3143, ISNUMBER(
Master_Mapping_Sheet!$E$2:$E$3143),
Master_Mapping_Sheet!$C$2:$C$3143=Y$1,
Master_Mapping_Sheet!$L$2:$L$3143=$A14))/sum(filter(
Master_Mapping_Sheet!$E$2:$E$3143, ISNUMBER(
Master_Mapping_Sh"&amp;"eet!$E$2:$E$3143),
Master_Mapping_Sheet!$C$2:$C$3143=Y$1))), 0, sum(filter(
Master_Mapping_Sheet!$E$2:$E$3143, ISNUMBER(
Master_Mapping_Sheet!$E$2:$E$3143),
Master_Mapping_Sheet!$C$2:$C$3143=Y$1,
Master_Mapping_Sheet!$L$2:$L$3143=$A14))/sum(filter(
Master"&amp;"_Mapping_Sheet!$E$2:$E$3143, ISNUMBER(
Master_Mapping_Sheet!$E$2:$E$3143),
Master_Mapping_Sheet!$C$2:$C$3143=Y$1)))"),0.850307995151549)</f>
        <v>0.8503079952</v>
      </c>
      <c r="Z14" s="34">
        <f>IFERROR(__xludf.DUMMYFUNCTION("IF(ISNA(sum(filter(
Master_Mapping_Sheet!$E$2:$E$3143, ISNUMBER(
Master_Mapping_Sheet!$E$2:$E$3143),
Master_Mapping_Sheet!$C$2:$C$3143=Z$1,
Master_Mapping_Sheet!$L$2:$L$3143=$A14))/sum(filter(
Master_Mapping_Sheet!$E$2:$E$3143, ISNUMBER(
Master_Mapping_Sh"&amp;"eet!$E$2:$E$3143),
Master_Mapping_Sheet!$C$2:$C$3143=Z$1))), 0, sum(filter(
Master_Mapping_Sheet!$E$2:$E$3143, ISNUMBER(
Master_Mapping_Sheet!$E$2:$E$3143),
Master_Mapping_Sheet!$C$2:$C$3143=Z$1,
Master_Mapping_Sheet!$L$2:$L$3143=$A14))/sum(filter(
Master"&amp;"_Mapping_Sheet!$E$2:$E$3143, ISNUMBER(
Master_Mapping_Sheet!$E$2:$E$3143),
Master_Mapping_Sheet!$C$2:$C$3143=Z$1)))"),0.0)</f>
        <v>0</v>
      </c>
      <c r="AA14" s="34">
        <f>IFERROR(__xludf.DUMMYFUNCTION("IF(ISNA(sum(filter(
Master_Mapping_Sheet!$E$2:$E$3143, ISNUMBER(
Master_Mapping_Sheet!$E$2:$E$3143),
Master_Mapping_Sheet!$C$2:$C$3143=AA$1,
Master_Mapping_Sheet!$L$2:$L$3143=$A14))/sum(filter(
Master_Mapping_Sheet!$E$2:$E$3143, ISNUMBER(
Master_Mapping_S"&amp;"heet!$E$2:$E$3143),
Master_Mapping_Sheet!$C$2:$C$3143=AA$1))), 0, sum(filter(
Master_Mapping_Sheet!$E$2:$E$3143, ISNUMBER(
Master_Mapping_Sheet!$E$2:$E$3143),
Master_Mapping_Sheet!$C$2:$C$3143=AA$1,
Master_Mapping_Sheet!$L$2:$L$3143=$A14))/sum(filter(
Mas"&amp;"ter_Mapping_Sheet!$E$2:$E$3143, ISNUMBER(
Master_Mapping_Sheet!$E$2:$E$3143),
Master_Mapping_Sheet!$C$2:$C$3143=AA$1)))"),0.0)</f>
        <v>0</v>
      </c>
      <c r="AB14" s="34">
        <f>IFERROR(__xludf.DUMMYFUNCTION("IF(ISNA(sum(filter(
Master_Mapping_Sheet!$E$2:$E$3143, ISNUMBER(
Master_Mapping_Sheet!$E$2:$E$3143),
Master_Mapping_Sheet!$C$2:$C$3143=AB$1,
Master_Mapping_Sheet!$L$2:$L$3143=$A14))/sum(filter(
Master_Mapping_Sheet!$E$2:$E$3143, ISNUMBER(
Master_Mapping_S"&amp;"heet!$E$2:$E$3143),
Master_Mapping_Sheet!$C$2:$C$3143=AB$1))), 0, sum(filter(
Master_Mapping_Sheet!$E$2:$E$3143, ISNUMBER(
Master_Mapping_Sheet!$E$2:$E$3143),
Master_Mapping_Sheet!$C$2:$C$3143=AB$1,
Master_Mapping_Sheet!$L$2:$L$3143=$A14))/sum(filter(
Mas"&amp;"ter_Mapping_Sheet!$E$2:$E$3143, ISNUMBER(
Master_Mapping_Sheet!$E$2:$E$3143),
Master_Mapping_Sheet!$C$2:$C$3143=AB$1)))"),0.0)</f>
        <v>0</v>
      </c>
      <c r="AC14" s="34">
        <f>IFERROR(__xludf.DUMMYFUNCTION("IF(ISNA(sum(filter(
Master_Mapping_Sheet!$E$2:$E$3143, ISNUMBER(
Master_Mapping_Sheet!$E$2:$E$3143),
Master_Mapping_Sheet!$C$2:$C$3143=AC$1,
Master_Mapping_Sheet!$L$2:$L$3143=$A14))/sum(filter(
Master_Mapping_Sheet!$E$2:$E$3143, ISNUMBER(
Master_Mapping_S"&amp;"heet!$E$2:$E$3143),
Master_Mapping_Sheet!$C$2:$C$3143=AC$1))), 0, sum(filter(
Master_Mapping_Sheet!$E$2:$E$3143, ISNUMBER(
Master_Mapping_Sheet!$E$2:$E$3143),
Master_Mapping_Sheet!$C$2:$C$3143=AC$1,
Master_Mapping_Sheet!$L$2:$L$3143=$A14))/sum(filter(
Mas"&amp;"ter_Mapping_Sheet!$E$2:$E$3143, ISNUMBER(
Master_Mapping_Sheet!$E$2:$E$3143),
Master_Mapping_Sheet!$C$2:$C$3143=AC$1)))"),0.0)</f>
        <v>0</v>
      </c>
      <c r="AD14" s="34">
        <f>IFERROR(__xludf.DUMMYFUNCTION("IF(ISNA(sum(filter(
Master_Mapping_Sheet!$E$2:$E$3143, ISNUMBER(
Master_Mapping_Sheet!$E$2:$E$3143),
Master_Mapping_Sheet!$C$2:$C$3143=AD$1,
Master_Mapping_Sheet!$L$2:$L$3143=$A14))/sum(filter(
Master_Mapping_Sheet!$E$2:$E$3143, ISNUMBER(
Master_Mapping_S"&amp;"heet!$E$2:$E$3143),
Master_Mapping_Sheet!$C$2:$C$3143=AD$1))), 0, sum(filter(
Master_Mapping_Sheet!$E$2:$E$3143, ISNUMBER(
Master_Mapping_Sheet!$E$2:$E$3143),
Master_Mapping_Sheet!$C$2:$C$3143=AD$1,
Master_Mapping_Sheet!$L$2:$L$3143=$A14))/sum(filter(
Mas"&amp;"ter_Mapping_Sheet!$E$2:$E$3143, ISNUMBER(
Master_Mapping_Sheet!$E$2:$E$3143),
Master_Mapping_Sheet!$C$2:$C$3143=AD$1)))"),0.0)</f>
        <v>0</v>
      </c>
      <c r="AE14" s="34">
        <f>IFERROR(__xludf.DUMMYFUNCTION("IF(ISNA(sum(filter(
Master_Mapping_Sheet!$E$2:$E$3143, ISNUMBER(
Master_Mapping_Sheet!$E$2:$E$3143),
Master_Mapping_Sheet!$C$2:$C$3143=AE$1,
Master_Mapping_Sheet!$L$2:$L$3143=$A14))/sum(filter(
Master_Mapping_Sheet!$E$2:$E$3143, ISNUMBER(
Master_Mapping_S"&amp;"heet!$E$2:$E$3143),
Master_Mapping_Sheet!$C$2:$C$3143=AE$1))), 0, sum(filter(
Master_Mapping_Sheet!$E$2:$E$3143, ISNUMBER(
Master_Mapping_Sheet!$E$2:$E$3143),
Master_Mapping_Sheet!$C$2:$C$3143=AE$1,
Master_Mapping_Sheet!$L$2:$L$3143=$A14))/sum(filter(
Mas"&amp;"ter_Mapping_Sheet!$E$2:$E$3143, ISNUMBER(
Master_Mapping_Sheet!$E$2:$E$3143),
Master_Mapping_Sheet!$C$2:$C$3143=AE$1)))"),0.3160113661813311)</f>
        <v>0.3160113662</v>
      </c>
      <c r="AF14" s="34">
        <f>IFERROR(__xludf.DUMMYFUNCTION("IF(ISNA(sum(filter(
Master_Mapping_Sheet!$E$2:$E$3143, ISNUMBER(
Master_Mapping_Sheet!$E$2:$E$3143),
Master_Mapping_Sheet!$C$2:$C$3143=AF$1,
Master_Mapping_Sheet!$L$2:$L$3143=$A14))/sum(filter(
Master_Mapping_Sheet!$E$2:$E$3143, ISNUMBER(
Master_Mapping_S"&amp;"heet!$E$2:$E$3143),
Master_Mapping_Sheet!$C$2:$C$3143=AF$1))), 0, sum(filter(
Master_Mapping_Sheet!$E$2:$E$3143, ISNUMBER(
Master_Mapping_Sheet!$E$2:$E$3143),
Master_Mapping_Sheet!$C$2:$C$3143=AF$1,
Master_Mapping_Sheet!$L$2:$L$3143=$A14))/sum(filter(
Mas"&amp;"ter_Mapping_Sheet!$E$2:$E$3143, ISNUMBER(
Master_Mapping_Sheet!$E$2:$E$3143),
Master_Mapping_Sheet!$C$2:$C$3143=AF$1)))"),0.0)</f>
        <v>0</v>
      </c>
      <c r="AG14" s="34">
        <f>IFERROR(__xludf.DUMMYFUNCTION("IF(ISNA(sum(filter(
Master_Mapping_Sheet!$E$2:$E$3143, ISNUMBER(
Master_Mapping_Sheet!$E$2:$E$3143),
Master_Mapping_Sheet!$C$2:$C$3143=AG$1,
Master_Mapping_Sheet!$L$2:$L$3143=$A14))/sum(filter(
Master_Mapping_Sheet!$E$2:$E$3143, ISNUMBER(
Master_Mapping_S"&amp;"heet!$E$2:$E$3143),
Master_Mapping_Sheet!$C$2:$C$3143=AG$1))), 0, sum(filter(
Master_Mapping_Sheet!$E$2:$E$3143, ISNUMBER(
Master_Mapping_Sheet!$E$2:$E$3143),
Master_Mapping_Sheet!$C$2:$C$3143=AG$1,
Master_Mapping_Sheet!$L$2:$L$3143=$A14))/sum(filter(
Mas"&amp;"ter_Mapping_Sheet!$E$2:$E$3143, ISNUMBER(
Master_Mapping_Sheet!$E$2:$E$3143),
Master_Mapping_Sheet!$C$2:$C$3143=AG$1)))"),0.0)</f>
        <v>0</v>
      </c>
      <c r="AH14" s="34">
        <f>IFERROR(__xludf.DUMMYFUNCTION("IF(ISNA(sum(filter(
Master_Mapping_Sheet!$E$2:$E$3143, ISNUMBER(
Master_Mapping_Sheet!$E$2:$E$3143),
Master_Mapping_Sheet!$C$2:$C$3143=AH$1,
Master_Mapping_Sheet!$L$2:$L$3143=$A14))/sum(filter(
Master_Mapping_Sheet!$E$2:$E$3143, ISNUMBER(
Master_Mapping_S"&amp;"heet!$E$2:$E$3143),
Master_Mapping_Sheet!$C$2:$C$3143=AH$1))), 0, sum(filter(
Master_Mapping_Sheet!$E$2:$E$3143, ISNUMBER(
Master_Mapping_Sheet!$E$2:$E$3143),
Master_Mapping_Sheet!$C$2:$C$3143=AH$1,
Master_Mapping_Sheet!$L$2:$L$3143=$A14))/sum(filter(
Mas"&amp;"ter_Mapping_Sheet!$E$2:$E$3143, ISNUMBER(
Master_Mapping_Sheet!$E$2:$E$3143),
Master_Mapping_Sheet!$C$2:$C$3143=AH$1)))"),0.0996152717337543)</f>
        <v>0.09961527173</v>
      </c>
      <c r="AI14" s="34">
        <f>IFERROR(__xludf.DUMMYFUNCTION("IF(ISNA(sum(filter(
Master_Mapping_Sheet!$E$2:$E$3143, ISNUMBER(
Master_Mapping_Sheet!$E$2:$E$3143),
Master_Mapping_Sheet!$C$2:$C$3143=AI$1,
Master_Mapping_Sheet!$L$2:$L$3143=$A14))/sum(filter(
Master_Mapping_Sheet!$E$2:$E$3143, ISNUMBER(
Master_Mapping_S"&amp;"heet!$E$2:$E$3143),
Master_Mapping_Sheet!$C$2:$C$3143=AI$1))), 0, sum(filter(
Master_Mapping_Sheet!$E$2:$E$3143, ISNUMBER(
Master_Mapping_Sheet!$E$2:$E$3143),
Master_Mapping_Sheet!$C$2:$C$3143=AI$1,
Master_Mapping_Sheet!$L$2:$L$3143=$A14))/sum(filter(
Mas"&amp;"ter_Mapping_Sheet!$E$2:$E$3143, ISNUMBER(
Master_Mapping_Sheet!$E$2:$E$3143),
Master_Mapping_Sheet!$C$2:$C$3143=AI$1)))"),0.0)</f>
        <v>0</v>
      </c>
      <c r="AJ14" s="34">
        <f>IFERROR(__xludf.DUMMYFUNCTION("IF(ISNA(sum(filter(
Master_Mapping_Sheet!$E$2:$E$3143, ISNUMBER(
Master_Mapping_Sheet!$E$2:$E$3143),
Master_Mapping_Sheet!$C$2:$C$3143=AJ$1,
Master_Mapping_Sheet!$L$2:$L$3143=$A14))/sum(filter(
Master_Mapping_Sheet!$E$2:$E$3143, ISNUMBER(
Master_Mapping_S"&amp;"heet!$E$2:$E$3143),
Master_Mapping_Sheet!$C$2:$C$3143=AJ$1))), 0, sum(filter(
Master_Mapping_Sheet!$E$2:$E$3143, ISNUMBER(
Master_Mapping_Sheet!$E$2:$E$3143),
Master_Mapping_Sheet!$C$2:$C$3143=AJ$1,
Master_Mapping_Sheet!$L$2:$L$3143=$A14))/sum(filter(
Mas"&amp;"ter_Mapping_Sheet!$E$2:$E$3143, ISNUMBER(
Master_Mapping_Sheet!$E$2:$E$3143),
Master_Mapping_Sheet!$C$2:$C$3143=AJ$1)))"),0.3248201998658037)</f>
        <v>0.3248201999</v>
      </c>
      <c r="AK14" s="34">
        <f>IFERROR(__xludf.DUMMYFUNCTION("IF(ISNA(sum(filter(
Master_Mapping_Sheet!$E$2:$E$3143, ISNUMBER(
Master_Mapping_Sheet!$E$2:$E$3143),
Master_Mapping_Sheet!$C$2:$C$3143=AK$1,
Master_Mapping_Sheet!$L$2:$L$3143=$A14))/sum(filter(
Master_Mapping_Sheet!$E$2:$E$3143, ISNUMBER(
Master_Mapping_S"&amp;"heet!$E$2:$E$3143),
Master_Mapping_Sheet!$C$2:$C$3143=AK$1))), 0, sum(filter(
Master_Mapping_Sheet!$E$2:$E$3143, ISNUMBER(
Master_Mapping_Sheet!$E$2:$E$3143),
Master_Mapping_Sheet!$C$2:$C$3143=AK$1,
Master_Mapping_Sheet!$L$2:$L$3143=$A14))/sum(filter(
Mas"&amp;"ter_Mapping_Sheet!$E$2:$E$3143, ISNUMBER(
Master_Mapping_Sheet!$E$2:$E$3143),
Master_Mapping_Sheet!$C$2:$C$3143=AK$1)))"),0.0)</f>
        <v>0</v>
      </c>
      <c r="AL14" s="34">
        <f>IFERROR(__xludf.DUMMYFUNCTION("IF(ISNA(sum(filter(
Master_Mapping_Sheet!$E$2:$E$3143, ISNUMBER(
Master_Mapping_Sheet!$E$2:$E$3143),
Master_Mapping_Sheet!$C$2:$C$3143=AL$1,
Master_Mapping_Sheet!$L$2:$L$3143=$A14))/sum(filter(
Master_Mapping_Sheet!$E$2:$E$3143, ISNUMBER(
Master_Mapping_S"&amp;"heet!$E$2:$E$3143),
Master_Mapping_Sheet!$C$2:$C$3143=AL$1))), 0, sum(filter(
Master_Mapping_Sheet!$E$2:$E$3143, ISNUMBER(
Master_Mapping_Sheet!$E$2:$E$3143),
Master_Mapping_Sheet!$C$2:$C$3143=AL$1,
Master_Mapping_Sheet!$L$2:$L$3143=$A14))/sum(filter(
Mas"&amp;"ter_Mapping_Sheet!$E$2:$E$3143, ISNUMBER(
Master_Mapping_Sheet!$E$2:$E$3143),
Master_Mapping_Sheet!$C$2:$C$3143=AL$1)))"),0.0)</f>
        <v>0</v>
      </c>
      <c r="AM14" s="34">
        <f>IFERROR(__xludf.DUMMYFUNCTION("IF(ISNA(sum(filter(
Master_Mapping_Sheet!$E$2:$E$3143, ISNUMBER(
Master_Mapping_Sheet!$E$2:$E$3143),
Master_Mapping_Sheet!$C$2:$C$3143=AM$1,
Master_Mapping_Sheet!$L$2:$L$3143=$A14))/sum(filter(
Master_Mapping_Sheet!$E$2:$E$3143, ISNUMBER(
Master_Mapping_S"&amp;"heet!$E$2:$E$3143),
Master_Mapping_Sheet!$C$2:$C$3143=AM$1))), 0, sum(filter(
Master_Mapping_Sheet!$E$2:$E$3143, ISNUMBER(
Master_Mapping_Sheet!$E$2:$E$3143),
Master_Mapping_Sheet!$C$2:$C$3143=AM$1,
Master_Mapping_Sheet!$L$2:$L$3143=$A14))/sum(filter(
Mas"&amp;"ter_Mapping_Sheet!$E$2:$E$3143, ISNUMBER(
Master_Mapping_Sheet!$E$2:$E$3143),
Master_Mapping_Sheet!$C$2:$C$3143=AM$1)))"),0.0)</f>
        <v>0</v>
      </c>
      <c r="AN14" s="34">
        <f>IFERROR(__xludf.DUMMYFUNCTION("IF(ISNA(sum(filter(
Master_Mapping_Sheet!$E$2:$E$3143, ISNUMBER(
Master_Mapping_Sheet!$E$2:$E$3143),
Master_Mapping_Sheet!$C$2:$C$3143=AN$1,
Master_Mapping_Sheet!$L$2:$L$3143=$A14))/sum(filter(
Master_Mapping_Sheet!$E$2:$E$3143, ISNUMBER(
Master_Mapping_S"&amp;"heet!$E$2:$E$3143),
Master_Mapping_Sheet!$C$2:$C$3143=AN$1))), 0, sum(filter(
Master_Mapping_Sheet!$E$2:$E$3143, ISNUMBER(
Master_Mapping_Sheet!$E$2:$E$3143),
Master_Mapping_Sheet!$C$2:$C$3143=AN$1,
Master_Mapping_Sheet!$L$2:$L$3143=$A14))/sum(filter(
Mas"&amp;"ter_Mapping_Sheet!$E$2:$E$3143, ISNUMBER(
Master_Mapping_Sheet!$E$2:$E$3143),
Master_Mapping_Sheet!$C$2:$C$3143=AN$1)))"),0.022944319807852113)</f>
        <v>0.02294431981</v>
      </c>
      <c r="AO14" s="34">
        <f>IFERROR(__xludf.DUMMYFUNCTION("IF(ISNA(sum(filter(
Master_Mapping_Sheet!$E$2:$E$3143, ISNUMBER(
Master_Mapping_Sheet!$E$2:$E$3143),
Master_Mapping_Sheet!$C$2:$C$3143=AO$1,
Master_Mapping_Sheet!$L$2:$L$3143=$A14))/sum(filter(
Master_Mapping_Sheet!$E$2:$E$3143, ISNUMBER(
Master_Mapping_S"&amp;"heet!$E$2:$E$3143),
Master_Mapping_Sheet!$C$2:$C$3143=AO$1))), 0, sum(filter(
Master_Mapping_Sheet!$E$2:$E$3143, ISNUMBER(
Master_Mapping_Sheet!$E$2:$E$3143),
Master_Mapping_Sheet!$C$2:$C$3143=AO$1,
Master_Mapping_Sheet!$L$2:$L$3143=$A14))/sum(filter(
Mas"&amp;"ter_Mapping_Sheet!$E$2:$E$3143, ISNUMBER(
Master_Mapping_Sheet!$E$2:$E$3143),
Master_Mapping_Sheet!$C$2:$C$3143=AO$1)))"),0.0)</f>
        <v>0</v>
      </c>
      <c r="AP14" s="34">
        <f>IFERROR(__xludf.DUMMYFUNCTION("IF(ISNA(sum(filter(
Master_Mapping_Sheet!$E$2:$E$3143, ISNUMBER(
Master_Mapping_Sheet!$E$2:$E$3143),
Master_Mapping_Sheet!$C$2:$C$3143=AP$1,
Master_Mapping_Sheet!$L$2:$L$3143=$A14))/sum(filter(
Master_Mapping_Sheet!$E$2:$E$3143, ISNUMBER(
Master_Mapping_S"&amp;"heet!$E$2:$E$3143),
Master_Mapping_Sheet!$C$2:$C$3143=AP$1))), 0, sum(filter(
Master_Mapping_Sheet!$E$2:$E$3143, ISNUMBER(
Master_Mapping_Sheet!$E$2:$E$3143),
Master_Mapping_Sheet!$C$2:$C$3143=AP$1,
Master_Mapping_Sheet!$L$2:$L$3143=$A14))/sum(filter(
Mas"&amp;"ter_Mapping_Sheet!$E$2:$E$3143, ISNUMBER(
Master_Mapping_Sheet!$E$2:$E$3143),
Master_Mapping_Sheet!$C$2:$C$3143=AP$1)))"),0.0)</f>
        <v>0</v>
      </c>
      <c r="AQ14" s="34">
        <f>IFERROR(__xludf.DUMMYFUNCTION("IF(ISNA(sum(filter(
Master_Mapping_Sheet!$E$2:$E$3143, ISNUMBER(
Master_Mapping_Sheet!$E$2:$E$3143),
Master_Mapping_Sheet!$C$2:$C$3143=AQ$1,
Master_Mapping_Sheet!$L$2:$L$3143=$A14))/sum(filter(
Master_Mapping_Sheet!$E$2:$E$3143, ISNUMBER(
Master_Mapping_S"&amp;"heet!$E$2:$E$3143),
Master_Mapping_Sheet!$C$2:$C$3143=AQ$1))), 0, sum(filter(
Master_Mapping_Sheet!$E$2:$E$3143, ISNUMBER(
Master_Mapping_Sheet!$E$2:$E$3143),
Master_Mapping_Sheet!$C$2:$C$3143=AQ$1,
Master_Mapping_Sheet!$L$2:$L$3143=$A14))/sum(filter(
Mas"&amp;"ter_Mapping_Sheet!$E$2:$E$3143, ISNUMBER(
Master_Mapping_Sheet!$E$2:$E$3143),
Master_Mapping_Sheet!$C$2:$C$3143=AQ$1)))"),0.8809574053809455)</f>
        <v>0.8809574054</v>
      </c>
      <c r="AR14" s="34">
        <f>IFERROR(__xludf.DUMMYFUNCTION("IF(ISNA(sum(filter(
Master_Mapping_Sheet!$E$2:$E$3143, ISNUMBER(
Master_Mapping_Sheet!$E$2:$E$3143),
Master_Mapping_Sheet!$C$2:$C$3143=AR$1,
Master_Mapping_Sheet!$L$2:$L$3143=$A14))/sum(filter(
Master_Mapping_Sheet!$E$2:$E$3143, ISNUMBER(
Master_Mapping_S"&amp;"heet!$E$2:$E$3143),
Master_Mapping_Sheet!$C$2:$C$3143=AR$1))), 0, sum(filter(
Master_Mapping_Sheet!$E$2:$E$3143, ISNUMBER(
Master_Mapping_Sheet!$E$2:$E$3143),
Master_Mapping_Sheet!$C$2:$C$3143=AR$1,
Master_Mapping_Sheet!$L$2:$L$3143=$A14))/sum(filter(
Mas"&amp;"ter_Mapping_Sheet!$E$2:$E$3143, ISNUMBER(
Master_Mapping_Sheet!$E$2:$E$3143),
Master_Mapping_Sheet!$C$2:$C$3143=AR$1)))"),0.0)</f>
        <v>0</v>
      </c>
      <c r="AS14" s="34">
        <f>IFERROR(__xludf.DUMMYFUNCTION("IF(ISNA(sum(filter(
Master_Mapping_Sheet!$E$2:$E$3143, ISNUMBER(
Master_Mapping_Sheet!$E$2:$E$3143),
Master_Mapping_Sheet!$C$2:$C$3143=AS$1,
Master_Mapping_Sheet!$L$2:$L$3143=$A14))/sum(filter(
Master_Mapping_Sheet!$E$2:$E$3143, ISNUMBER(
Master_Mapping_S"&amp;"heet!$E$2:$E$3143),
Master_Mapping_Sheet!$C$2:$C$3143=AS$1))), 0, sum(filter(
Master_Mapping_Sheet!$E$2:$E$3143, ISNUMBER(
Master_Mapping_Sheet!$E$2:$E$3143),
Master_Mapping_Sheet!$C$2:$C$3143=AS$1,
Master_Mapping_Sheet!$L$2:$L$3143=$A14))/sum(filter(
Mas"&amp;"ter_Mapping_Sheet!$E$2:$E$3143, ISNUMBER(
Master_Mapping_Sheet!$E$2:$E$3143),
Master_Mapping_Sheet!$C$2:$C$3143=AS$1)))"),0.0)</f>
        <v>0</v>
      </c>
      <c r="AT14" s="34">
        <f>IFERROR(__xludf.DUMMYFUNCTION("IF(ISNA(sum(filter(
Master_Mapping_Sheet!$E$2:$E$3143, ISNUMBER(
Master_Mapping_Sheet!$E$2:$E$3143),
Master_Mapping_Sheet!$C$2:$C$3143=AT$1,
Master_Mapping_Sheet!$L$2:$L$3143=$A14))/sum(filter(
Master_Mapping_Sheet!$E$2:$E$3143, ISNUMBER(
Master_Mapping_S"&amp;"heet!$E$2:$E$3143),
Master_Mapping_Sheet!$C$2:$C$3143=AT$1))), 0, sum(filter(
Master_Mapping_Sheet!$E$2:$E$3143, ISNUMBER(
Master_Mapping_Sheet!$E$2:$E$3143),
Master_Mapping_Sheet!$C$2:$C$3143=AT$1,
Master_Mapping_Sheet!$L$2:$L$3143=$A14))/sum(filter(
Mas"&amp;"ter_Mapping_Sheet!$E$2:$E$3143, ISNUMBER(
Master_Mapping_Sheet!$E$2:$E$3143),
Master_Mapping_Sheet!$C$2:$C$3143=AT$1)))"),0.0)</f>
        <v>0</v>
      </c>
      <c r="AU14" s="34">
        <f>IFERROR(__xludf.DUMMYFUNCTION("IF(ISNA(sum(filter(
Master_Mapping_Sheet!$E$2:$E$3143, ISNUMBER(
Master_Mapping_Sheet!$E$2:$E$3143),
Master_Mapping_Sheet!$C$2:$C$3143=AU$1,
Master_Mapping_Sheet!$L$2:$L$3143=$A14))/sum(filter(
Master_Mapping_Sheet!$E$2:$E$3143, ISNUMBER(
Master_Mapping_S"&amp;"heet!$E$2:$E$3143),
Master_Mapping_Sheet!$C$2:$C$3143=AU$1))), 0, sum(filter(
Master_Mapping_Sheet!$E$2:$E$3143, ISNUMBER(
Master_Mapping_Sheet!$E$2:$E$3143),
Master_Mapping_Sheet!$C$2:$C$3143=AU$1,
Master_Mapping_Sheet!$L$2:$L$3143=$A14))/sum(filter(
Mas"&amp;"ter_Mapping_Sheet!$E$2:$E$3143, ISNUMBER(
Master_Mapping_Sheet!$E$2:$E$3143),
Master_Mapping_Sheet!$C$2:$C$3143=AU$1)))"),1.0)</f>
        <v>1</v>
      </c>
      <c r="AV14" s="34">
        <f>IFERROR(__xludf.DUMMYFUNCTION("IF(ISNA(sum(filter(
Master_Mapping_Sheet!$E$2:$E$3143, ISNUMBER(
Master_Mapping_Sheet!$E$2:$E$3143),
Master_Mapping_Sheet!$C$2:$C$3143=AV$1,
Master_Mapping_Sheet!$L$2:$L$3143=$A14))/sum(filter(
Master_Mapping_Sheet!$E$2:$E$3143, ISNUMBER(
Master_Mapping_S"&amp;"heet!$E$2:$E$3143),
Master_Mapping_Sheet!$C$2:$C$3143=AV$1))), 0, sum(filter(
Master_Mapping_Sheet!$E$2:$E$3143, ISNUMBER(
Master_Mapping_Sheet!$E$2:$E$3143),
Master_Mapping_Sheet!$C$2:$C$3143=AV$1,
Master_Mapping_Sheet!$L$2:$L$3143=$A14))/sum(filter(
Mas"&amp;"ter_Mapping_Sheet!$E$2:$E$3143, ISNUMBER(
Master_Mapping_Sheet!$E$2:$E$3143),
Master_Mapping_Sheet!$C$2:$C$3143=AV$1)))"),0.0)</f>
        <v>0</v>
      </c>
      <c r="AW14" s="34">
        <f>IFERROR(__xludf.DUMMYFUNCTION("IF(ISNA(sum(filter(
Master_Mapping_Sheet!$E$2:$E$3143, ISNUMBER(
Master_Mapping_Sheet!$E$2:$E$3143),
Master_Mapping_Sheet!$C$2:$C$3143=AW$1,
Master_Mapping_Sheet!$L$2:$L$3143=$A14))/sum(filter(
Master_Mapping_Sheet!$E$2:$E$3143, ISNUMBER(
Master_Mapping_S"&amp;"heet!$E$2:$E$3143),
Master_Mapping_Sheet!$C$2:$C$3143=AW$1))), 0, sum(filter(
Master_Mapping_Sheet!$E$2:$E$3143, ISNUMBER(
Master_Mapping_Sheet!$E$2:$E$3143),
Master_Mapping_Sheet!$C$2:$C$3143=AW$1,
Master_Mapping_Sheet!$L$2:$L$3143=$A14))/sum(filter(
Mas"&amp;"ter_Mapping_Sheet!$E$2:$E$3143, ISNUMBER(
Master_Mapping_Sheet!$E$2:$E$3143),
Master_Mapping_Sheet!$C$2:$C$3143=AW$1)))"),0.0)</f>
        <v>0</v>
      </c>
      <c r="AX14" s="34">
        <f>IFERROR(__xludf.DUMMYFUNCTION("IF(ISNA(sum(filter(
Master_Mapping_Sheet!$E$2:$E$3143, ISNUMBER(
Master_Mapping_Sheet!$E$2:$E$3143),
Master_Mapping_Sheet!$C$2:$C$3143=AX$1,
Master_Mapping_Sheet!$L$2:$L$3143=$A14))/sum(filter(
Master_Mapping_Sheet!$E$2:$E$3143, ISNUMBER(
Master_Mapping_S"&amp;"heet!$E$2:$E$3143),
Master_Mapping_Sheet!$C$2:$C$3143=AX$1))), 0, sum(filter(
Master_Mapping_Sheet!$E$2:$E$3143, ISNUMBER(
Master_Mapping_Sheet!$E$2:$E$3143),
Master_Mapping_Sheet!$C$2:$C$3143=AX$1,
Master_Mapping_Sheet!$L$2:$L$3143=$A14))/sum(filter(
Mas"&amp;"ter_Mapping_Sheet!$E$2:$E$3143, ISNUMBER(
Master_Mapping_Sheet!$E$2:$E$3143),
Master_Mapping_Sheet!$C$2:$C$3143=AX$1)))"),0.0)</f>
        <v>0</v>
      </c>
      <c r="AY14" s="34">
        <f>IFERROR(__xludf.DUMMYFUNCTION("IF(ISNA(sum(filter(
Master_Mapping_Sheet!$E$2:$E$3143, ISNUMBER(
Master_Mapping_Sheet!$E$2:$E$3143),
Master_Mapping_Sheet!$C$2:$C$3143=AY$1,
Master_Mapping_Sheet!$L$2:$L$3143=$A14))/sum(filter(
Master_Mapping_Sheet!$E$2:$E$3143, ISNUMBER(
Master_Mapping_S"&amp;"heet!$E$2:$E$3143),
Master_Mapping_Sheet!$C$2:$C$3143=AY$1))), 0, sum(filter(
Master_Mapping_Sheet!$E$2:$E$3143, ISNUMBER(
Master_Mapping_Sheet!$E$2:$E$3143),
Master_Mapping_Sheet!$C$2:$C$3143=AY$1,
Master_Mapping_Sheet!$L$2:$L$3143=$A14))/sum(filter(
Mas"&amp;"ter_Mapping_Sheet!$E$2:$E$3143, ISNUMBER(
Master_Mapping_Sheet!$E$2:$E$3143),
Master_Mapping_Sheet!$C$2:$C$3143=AY$1)))"),0.9502616751438643)</f>
        <v>0.9502616751</v>
      </c>
      <c r="AZ14" s="34">
        <f>IFERROR(__xludf.DUMMYFUNCTION("IF(ISNA(sum(filter(
Master_Mapping_Sheet!$E$2:$E$3143, ISNUMBER(
Master_Mapping_Sheet!$E$2:$E$3143),
Master_Mapping_Sheet!$C$2:$C$3143=AZ$1,
Master_Mapping_Sheet!$L$2:$L$3143=$A14))/sum(filter(
Master_Mapping_Sheet!$E$2:$E$3143, ISNUMBER(
Master_Mapping_S"&amp;"heet!$E$2:$E$3143),
Master_Mapping_Sheet!$C$2:$C$3143=AZ$1))), 0, sum(filter(
Master_Mapping_Sheet!$E$2:$E$3143, ISNUMBER(
Master_Mapping_Sheet!$E$2:$E$3143),
Master_Mapping_Sheet!$C$2:$C$3143=AZ$1,
Master_Mapping_Sheet!$L$2:$L$3143=$A14))/sum(filter(
Mas"&amp;"ter_Mapping_Sheet!$E$2:$E$3143, ISNUMBER(
Master_Mapping_Sheet!$E$2:$E$3143),
Master_Mapping_Sheet!$C$2:$C$3143=AZ$1)))"),0.0)</f>
        <v>0</v>
      </c>
    </row>
    <row r="15" ht="15.75" customHeight="1">
      <c r="A15" s="32" t="s">
        <v>282</v>
      </c>
      <c r="B15" s="34">
        <f>IFERROR(__xludf.DUMMYFUNCTION("IF(ISNA(sum(filter(
Master_Mapping_Sheet!$E$2:$E$3143, ISNUMBER(
Master_Mapping_Sheet!$E$2:$E$3143),
Master_Mapping_Sheet!$C$2:$C$3143=B$1,
Master_Mapping_Sheet!$L$2:$L$3143=$A15))/sum(filter(
Master_Mapping_Sheet!$E$2:$E$3143, ISNUMBER(
Master_Mapping_Sh"&amp;"eet!$E$2:$E$3143),
Master_Mapping_Sheet!$C$2:$C$3143=B$1))), 0, sum(filter(
Master_Mapping_Sheet!$E$2:$E$3143, ISNUMBER(
Master_Mapping_Sheet!$E$2:$E$3143),
Master_Mapping_Sheet!$C$2:$C$3143=B$1,
Master_Mapping_Sheet!$L$2:$L$3143=$A15))/sum(filter(
Master"&amp;"_Mapping_Sheet!$E$2:$E$3143, ISNUMBER(
Master_Mapping_Sheet!$E$2:$E$3143),
Master_Mapping_Sheet!$C$2:$C$3143=B$1)))"),0.0)</f>
        <v>0</v>
      </c>
      <c r="C15" s="34">
        <f>IFERROR(__xludf.DUMMYFUNCTION("IF(ISNA(sum(filter(
Master_Mapping_Sheet!$E$2:$E$3143, ISNUMBER(
Master_Mapping_Sheet!$E$2:$E$3143),
Master_Mapping_Sheet!$C$2:$C$3143=C$1,
Master_Mapping_Sheet!$L$2:$L$3143=$A15))/sum(filter(
Master_Mapping_Sheet!$E$2:$E$3143, ISNUMBER(
Master_Mapping_Sh"&amp;"eet!$E$2:$E$3143),
Master_Mapping_Sheet!$C$2:$C$3143=C$1))), 0, sum(filter(
Master_Mapping_Sheet!$E$2:$E$3143, ISNUMBER(
Master_Mapping_Sheet!$E$2:$E$3143),
Master_Mapping_Sheet!$C$2:$C$3143=C$1,
Master_Mapping_Sheet!$L$2:$L$3143=$A15))/sum(filter(
Master"&amp;"_Mapping_Sheet!$E$2:$E$3143, ISNUMBER(
Master_Mapping_Sheet!$E$2:$E$3143),
Master_Mapping_Sheet!$C$2:$C$3143=C$1)))"),0.0)</f>
        <v>0</v>
      </c>
      <c r="D15" s="34">
        <f>IFERROR(__xludf.DUMMYFUNCTION("IF(ISNA(sum(filter(
Master_Mapping_Sheet!$E$2:$E$3143, ISNUMBER(
Master_Mapping_Sheet!$E$2:$E$3143),
Master_Mapping_Sheet!$C$2:$C$3143=D$1,
Master_Mapping_Sheet!$L$2:$L$3143=$A15))/sum(filter(
Master_Mapping_Sheet!$E$2:$E$3143, ISNUMBER(
Master_Mapping_Sh"&amp;"eet!$E$2:$E$3143),
Master_Mapping_Sheet!$C$2:$C$3143=D$1))), 0, sum(filter(
Master_Mapping_Sheet!$E$2:$E$3143, ISNUMBER(
Master_Mapping_Sheet!$E$2:$E$3143),
Master_Mapping_Sheet!$C$2:$C$3143=D$1,
Master_Mapping_Sheet!$L$2:$L$3143=$A15))/sum(filter(
Master"&amp;"_Mapping_Sheet!$E$2:$E$3143, ISNUMBER(
Master_Mapping_Sheet!$E$2:$E$3143),
Master_Mapping_Sheet!$C$2:$C$3143=D$1)))"),0.0)</f>
        <v>0</v>
      </c>
      <c r="E15" s="34">
        <f>IFERROR(__xludf.DUMMYFUNCTION("IF(ISNA(sum(filter(
Master_Mapping_Sheet!$E$2:$E$3143, ISNUMBER(
Master_Mapping_Sheet!$E$2:$E$3143),
Master_Mapping_Sheet!$C$2:$C$3143=E$1,
Master_Mapping_Sheet!$L$2:$L$3143=$A15))/sum(filter(
Master_Mapping_Sheet!$E$2:$E$3143, ISNUMBER(
Master_Mapping_Sh"&amp;"eet!$E$2:$E$3143),
Master_Mapping_Sheet!$C$2:$C$3143=E$1))), 0, sum(filter(
Master_Mapping_Sheet!$E$2:$E$3143, ISNUMBER(
Master_Mapping_Sheet!$E$2:$E$3143),
Master_Mapping_Sheet!$C$2:$C$3143=E$1,
Master_Mapping_Sheet!$L$2:$L$3143=$A15))/sum(filter(
Master"&amp;"_Mapping_Sheet!$E$2:$E$3143, ISNUMBER(
Master_Mapping_Sheet!$E$2:$E$3143),
Master_Mapping_Sheet!$C$2:$C$3143=E$1)))"),0.0)</f>
        <v>0</v>
      </c>
      <c r="F15" s="34">
        <f>IFERROR(__xludf.DUMMYFUNCTION("IF(ISNA(sum(filter(
Master_Mapping_Sheet!$E$2:$E$3143, ISNUMBER(
Master_Mapping_Sheet!$E$2:$E$3143),
Master_Mapping_Sheet!$C$2:$C$3143=F$1,
Master_Mapping_Sheet!$L$2:$L$3143=$A15))/sum(filter(
Master_Mapping_Sheet!$E$2:$E$3143, ISNUMBER(
Master_Mapping_Sh"&amp;"eet!$E$2:$E$3143),
Master_Mapping_Sheet!$C$2:$C$3143=F$1))), 0, sum(filter(
Master_Mapping_Sheet!$E$2:$E$3143, ISNUMBER(
Master_Mapping_Sheet!$E$2:$E$3143),
Master_Mapping_Sheet!$C$2:$C$3143=F$1,
Master_Mapping_Sheet!$L$2:$L$3143=$A15))/sum(filter(
Master"&amp;"_Mapping_Sheet!$E$2:$E$3143, ISNUMBER(
Master_Mapping_Sheet!$E$2:$E$3143),
Master_Mapping_Sheet!$C$2:$C$3143=F$1)))"),3.64607458764544E-4)</f>
        <v>0.0003646074588</v>
      </c>
      <c r="G15" s="34">
        <f>IFERROR(__xludf.DUMMYFUNCTION("IF(ISNA(sum(filter(
Master_Mapping_Sheet!$E$2:$E$3143, ISNUMBER(
Master_Mapping_Sheet!$E$2:$E$3143),
Master_Mapping_Sheet!$C$2:$C$3143=G$1,
Master_Mapping_Sheet!$L$2:$L$3143=$A15))/sum(filter(
Master_Mapping_Sheet!$E$2:$E$3143, ISNUMBER(
Master_Mapping_Sh"&amp;"eet!$E$2:$E$3143),
Master_Mapping_Sheet!$C$2:$C$3143=G$1))), 0, sum(filter(
Master_Mapping_Sheet!$E$2:$E$3143, ISNUMBER(
Master_Mapping_Sheet!$E$2:$E$3143),
Master_Mapping_Sheet!$C$2:$C$3143=G$1,
Master_Mapping_Sheet!$L$2:$L$3143=$A15))/sum(filter(
Master"&amp;"_Mapping_Sheet!$E$2:$E$3143, ISNUMBER(
Master_Mapping_Sheet!$E$2:$E$3143),
Master_Mapping_Sheet!$C$2:$C$3143=G$1)))"),0.028015809146915156)</f>
        <v>0.02801580915</v>
      </c>
      <c r="H15" s="34">
        <f>IFERROR(__xludf.DUMMYFUNCTION("IF(ISNA(sum(filter(
Master_Mapping_Sheet!$E$2:$E$3143, ISNUMBER(
Master_Mapping_Sheet!$E$2:$E$3143),
Master_Mapping_Sheet!$C$2:$C$3143=H$1,
Master_Mapping_Sheet!$L$2:$L$3143=$A15))/sum(filter(
Master_Mapping_Sheet!$E$2:$E$3143, ISNUMBER(
Master_Mapping_Sh"&amp;"eet!$E$2:$E$3143),
Master_Mapping_Sheet!$C$2:$C$3143=H$1))), 0, sum(filter(
Master_Mapping_Sheet!$E$2:$E$3143, ISNUMBER(
Master_Mapping_Sheet!$E$2:$E$3143),
Master_Mapping_Sheet!$C$2:$C$3143=H$1,
Master_Mapping_Sheet!$L$2:$L$3143=$A15))/sum(filter(
Master"&amp;"_Mapping_Sheet!$E$2:$E$3143, ISNUMBER(
Master_Mapping_Sheet!$E$2:$E$3143),
Master_Mapping_Sheet!$C$2:$C$3143=H$1)))"),0.0)</f>
        <v>0</v>
      </c>
      <c r="I15" s="34">
        <f>IFERROR(__xludf.DUMMYFUNCTION("IF(ISNA(sum(filter(
Master_Mapping_Sheet!$E$2:$E$3143, ISNUMBER(
Master_Mapping_Sheet!$E$2:$E$3143),
Master_Mapping_Sheet!$C$2:$C$3143=I$1,
Master_Mapping_Sheet!$L$2:$L$3143=$A15))/sum(filter(
Master_Mapping_Sheet!$E$2:$E$3143, ISNUMBER(
Master_Mapping_Sh"&amp;"eet!$E$2:$E$3143),
Master_Mapping_Sheet!$C$2:$C$3143=I$1))), 0, sum(filter(
Master_Mapping_Sheet!$E$2:$E$3143, ISNUMBER(
Master_Mapping_Sheet!$E$2:$E$3143),
Master_Mapping_Sheet!$C$2:$C$3143=I$1,
Master_Mapping_Sheet!$L$2:$L$3143=$A15))/sum(filter(
Master"&amp;"_Mapping_Sheet!$E$2:$E$3143, ISNUMBER(
Master_Mapping_Sheet!$E$2:$E$3143),
Master_Mapping_Sheet!$C$2:$C$3143=I$1)))"),0.0)</f>
        <v>0</v>
      </c>
      <c r="J15" s="34">
        <f>IFERROR(__xludf.DUMMYFUNCTION("IF(ISNA(sum(filter(
Master_Mapping_Sheet!$E$2:$E$3143, ISNUMBER(
Master_Mapping_Sheet!$E$2:$E$3143),
Master_Mapping_Sheet!$C$2:$C$3143=J$1,
Master_Mapping_Sheet!$L$2:$L$3143=$A15))/sum(filter(
Master_Mapping_Sheet!$E$2:$E$3143, ISNUMBER(
Master_Mapping_Sh"&amp;"eet!$E$2:$E$3143),
Master_Mapping_Sheet!$C$2:$C$3143=J$1))), 0, sum(filter(
Master_Mapping_Sheet!$E$2:$E$3143, ISNUMBER(
Master_Mapping_Sheet!$E$2:$E$3143),
Master_Mapping_Sheet!$C$2:$C$3143=J$1,
Master_Mapping_Sheet!$L$2:$L$3143=$A15))/sum(filter(
Master"&amp;"_Mapping_Sheet!$E$2:$E$3143, ISNUMBER(
Master_Mapping_Sheet!$E$2:$E$3143),
Master_Mapping_Sheet!$C$2:$C$3143=J$1)))"),0.0)</f>
        <v>0</v>
      </c>
      <c r="K15" s="34">
        <f>IFERROR(__xludf.DUMMYFUNCTION("IF(ISNA(sum(filter(
Master_Mapping_Sheet!$E$2:$E$3143, ISNUMBER(
Master_Mapping_Sheet!$E$2:$E$3143),
Master_Mapping_Sheet!$C$2:$C$3143=K$1,
Master_Mapping_Sheet!$L$2:$L$3143=$A15))/sum(filter(
Master_Mapping_Sheet!$E$2:$E$3143, ISNUMBER(
Master_Mapping_Sh"&amp;"eet!$E$2:$E$3143),
Master_Mapping_Sheet!$C$2:$C$3143=K$1))), 0, sum(filter(
Master_Mapping_Sheet!$E$2:$E$3143, ISNUMBER(
Master_Mapping_Sheet!$E$2:$E$3143),
Master_Mapping_Sheet!$C$2:$C$3143=K$1,
Master_Mapping_Sheet!$L$2:$L$3143=$A15))/sum(filter(
Master"&amp;"_Mapping_Sheet!$E$2:$E$3143, ISNUMBER(
Master_Mapping_Sheet!$E$2:$E$3143),
Master_Mapping_Sheet!$C$2:$C$3143=K$1)))"),0.0)</f>
        <v>0</v>
      </c>
      <c r="L15" s="34">
        <f>IFERROR(__xludf.DUMMYFUNCTION("IF(ISNA(sum(filter(
Master_Mapping_Sheet!$E$2:$E$3143, ISNUMBER(
Master_Mapping_Sheet!$E$2:$E$3143),
Master_Mapping_Sheet!$C$2:$C$3143=L$1,
Master_Mapping_Sheet!$L$2:$L$3143=$A15))/sum(filter(
Master_Mapping_Sheet!$E$2:$E$3143, ISNUMBER(
Master_Mapping_Sh"&amp;"eet!$E$2:$E$3143),
Master_Mapping_Sheet!$C$2:$C$3143=L$1))), 0, sum(filter(
Master_Mapping_Sheet!$E$2:$E$3143, ISNUMBER(
Master_Mapping_Sheet!$E$2:$E$3143),
Master_Mapping_Sheet!$C$2:$C$3143=L$1,
Master_Mapping_Sheet!$L$2:$L$3143=$A15))/sum(filter(
Master"&amp;"_Mapping_Sheet!$E$2:$E$3143, ISNUMBER(
Master_Mapping_Sheet!$E$2:$E$3143),
Master_Mapping_Sheet!$C$2:$C$3143=L$1)))"),0.0)</f>
        <v>0</v>
      </c>
      <c r="M15" s="34">
        <f>IFERROR(__xludf.DUMMYFUNCTION("IF(ISNA(sum(filter(
Master_Mapping_Sheet!$E$2:$E$3143, ISNUMBER(
Master_Mapping_Sheet!$E$2:$E$3143),
Master_Mapping_Sheet!$C$2:$C$3143=M$1,
Master_Mapping_Sheet!$L$2:$L$3143=$A15))/sum(filter(
Master_Mapping_Sheet!$E$2:$E$3143, ISNUMBER(
Master_Mapping_Sh"&amp;"eet!$E$2:$E$3143),
Master_Mapping_Sheet!$C$2:$C$3143=M$1))), 0, sum(filter(
Master_Mapping_Sheet!$E$2:$E$3143, ISNUMBER(
Master_Mapping_Sheet!$E$2:$E$3143),
Master_Mapping_Sheet!$C$2:$C$3143=M$1,
Master_Mapping_Sheet!$L$2:$L$3143=$A15))/sum(filter(
Master"&amp;"_Mapping_Sheet!$E$2:$E$3143, ISNUMBER(
Master_Mapping_Sheet!$E$2:$E$3143),
Master_Mapping_Sheet!$C$2:$C$3143=M$1)))"),0.0)</f>
        <v>0</v>
      </c>
      <c r="N15" s="34">
        <f>IFERROR(__xludf.DUMMYFUNCTION("IF(ISNA(sum(filter(
Master_Mapping_Sheet!$E$2:$E$3143, ISNUMBER(
Master_Mapping_Sheet!$E$2:$E$3143),
Master_Mapping_Sheet!$C$2:$C$3143=N$1,
Master_Mapping_Sheet!$L$2:$L$3143=$A15))/sum(filter(
Master_Mapping_Sheet!$E$2:$E$3143, ISNUMBER(
Master_Mapping_Sh"&amp;"eet!$E$2:$E$3143),
Master_Mapping_Sheet!$C$2:$C$3143=N$1))), 0, sum(filter(
Master_Mapping_Sheet!$E$2:$E$3143, ISNUMBER(
Master_Mapping_Sheet!$E$2:$E$3143),
Master_Mapping_Sheet!$C$2:$C$3143=N$1,
Master_Mapping_Sheet!$L$2:$L$3143=$A15))/sum(filter(
Master"&amp;"_Mapping_Sheet!$E$2:$E$3143, ISNUMBER(
Master_Mapping_Sheet!$E$2:$E$3143),
Master_Mapping_Sheet!$C$2:$C$3143=N$1)))"),0.2835240130175913)</f>
        <v>0.283524013</v>
      </c>
      <c r="O15" s="34">
        <f>IFERROR(__xludf.DUMMYFUNCTION("IF(ISNA(sum(filter(
Master_Mapping_Sheet!$E$2:$E$3143, ISNUMBER(
Master_Mapping_Sheet!$E$2:$E$3143),
Master_Mapping_Sheet!$C$2:$C$3143=O$1,
Master_Mapping_Sheet!$L$2:$L$3143=$A15))/sum(filter(
Master_Mapping_Sheet!$E$2:$E$3143, ISNUMBER(
Master_Mapping_Sh"&amp;"eet!$E$2:$E$3143),
Master_Mapping_Sheet!$C$2:$C$3143=O$1))), 0, sum(filter(
Master_Mapping_Sheet!$E$2:$E$3143, ISNUMBER(
Master_Mapping_Sheet!$E$2:$E$3143),
Master_Mapping_Sheet!$C$2:$C$3143=O$1,
Master_Mapping_Sheet!$L$2:$L$3143=$A15))/sum(filter(
Master"&amp;"_Mapping_Sheet!$E$2:$E$3143, ISNUMBER(
Master_Mapping_Sheet!$E$2:$E$3143),
Master_Mapping_Sheet!$C$2:$C$3143=O$1)))"),0.0)</f>
        <v>0</v>
      </c>
      <c r="P15" s="34">
        <f>IFERROR(__xludf.DUMMYFUNCTION("IF(ISNA(sum(filter(
Master_Mapping_Sheet!$E$2:$E$3143, ISNUMBER(
Master_Mapping_Sheet!$E$2:$E$3143),
Master_Mapping_Sheet!$C$2:$C$3143=P$1,
Master_Mapping_Sheet!$L$2:$L$3143=$A15))/sum(filter(
Master_Mapping_Sheet!$E$2:$E$3143, ISNUMBER(
Master_Mapping_Sh"&amp;"eet!$E$2:$E$3143),
Master_Mapping_Sheet!$C$2:$C$3143=P$1))), 0, sum(filter(
Master_Mapping_Sheet!$E$2:$E$3143, ISNUMBER(
Master_Mapping_Sheet!$E$2:$E$3143),
Master_Mapping_Sheet!$C$2:$C$3143=P$1,
Master_Mapping_Sheet!$L$2:$L$3143=$A15))/sum(filter(
Master"&amp;"_Mapping_Sheet!$E$2:$E$3143, ISNUMBER(
Master_Mapping_Sheet!$E$2:$E$3143),
Master_Mapping_Sheet!$C$2:$C$3143=P$1)))"),0.0)</f>
        <v>0</v>
      </c>
      <c r="Q15" s="34">
        <f>IFERROR(__xludf.DUMMYFUNCTION("IF(ISNA(sum(filter(
Master_Mapping_Sheet!$E$2:$E$3143, ISNUMBER(
Master_Mapping_Sheet!$E$2:$E$3143),
Master_Mapping_Sheet!$C$2:$C$3143=Q$1,
Master_Mapping_Sheet!$L$2:$L$3143=$A15))/sum(filter(
Master_Mapping_Sheet!$E$2:$E$3143, ISNUMBER(
Master_Mapping_Sh"&amp;"eet!$E$2:$E$3143),
Master_Mapping_Sheet!$C$2:$C$3143=Q$1))), 0, sum(filter(
Master_Mapping_Sheet!$E$2:$E$3143, ISNUMBER(
Master_Mapping_Sheet!$E$2:$E$3143),
Master_Mapping_Sheet!$C$2:$C$3143=Q$1,
Master_Mapping_Sheet!$L$2:$L$3143=$A15))/sum(filter(
Master"&amp;"_Mapping_Sheet!$E$2:$E$3143, ISNUMBER(
Master_Mapping_Sheet!$E$2:$E$3143),
Master_Mapping_Sheet!$C$2:$C$3143=Q$1)))"),0.0)</f>
        <v>0</v>
      </c>
      <c r="R15" s="34">
        <f>IFERROR(__xludf.DUMMYFUNCTION("IF(ISNA(sum(filter(
Master_Mapping_Sheet!$E$2:$E$3143, ISNUMBER(
Master_Mapping_Sheet!$E$2:$E$3143),
Master_Mapping_Sheet!$C$2:$C$3143=R$1,
Master_Mapping_Sheet!$L$2:$L$3143=$A15))/sum(filter(
Master_Mapping_Sheet!$E$2:$E$3143, ISNUMBER(
Master_Mapping_Sh"&amp;"eet!$E$2:$E$3143),
Master_Mapping_Sheet!$C$2:$C$3143=R$1))), 0, sum(filter(
Master_Mapping_Sheet!$E$2:$E$3143, ISNUMBER(
Master_Mapping_Sheet!$E$2:$E$3143),
Master_Mapping_Sheet!$C$2:$C$3143=R$1,
Master_Mapping_Sheet!$L$2:$L$3143=$A15))/sum(filter(
Master"&amp;"_Mapping_Sheet!$E$2:$E$3143, ISNUMBER(
Master_Mapping_Sheet!$E$2:$E$3143),
Master_Mapping_Sheet!$C$2:$C$3143=R$1)))"),0.0)</f>
        <v>0</v>
      </c>
      <c r="S15" s="34">
        <f>IFERROR(__xludf.DUMMYFUNCTION("IF(ISNA(sum(filter(
Master_Mapping_Sheet!$E$2:$E$3143, ISNUMBER(
Master_Mapping_Sheet!$E$2:$E$3143),
Master_Mapping_Sheet!$C$2:$C$3143=S$1,
Master_Mapping_Sheet!$L$2:$L$3143=$A15))/sum(filter(
Master_Mapping_Sheet!$E$2:$E$3143, ISNUMBER(
Master_Mapping_Sh"&amp;"eet!$E$2:$E$3143),
Master_Mapping_Sheet!$C$2:$C$3143=S$1))), 0, sum(filter(
Master_Mapping_Sheet!$E$2:$E$3143, ISNUMBER(
Master_Mapping_Sheet!$E$2:$E$3143),
Master_Mapping_Sheet!$C$2:$C$3143=S$1,
Master_Mapping_Sheet!$L$2:$L$3143=$A15))/sum(filter(
Master"&amp;"_Mapping_Sheet!$E$2:$E$3143, ISNUMBER(
Master_Mapping_Sheet!$E$2:$E$3143),
Master_Mapping_Sheet!$C$2:$C$3143=S$1)))"),0.0)</f>
        <v>0</v>
      </c>
      <c r="T15" s="34">
        <f>IFERROR(__xludf.DUMMYFUNCTION("IF(ISNA(sum(filter(
Master_Mapping_Sheet!$E$2:$E$3143, ISNUMBER(
Master_Mapping_Sheet!$E$2:$E$3143),
Master_Mapping_Sheet!$C$2:$C$3143=T$1,
Master_Mapping_Sheet!$L$2:$L$3143=$A15))/sum(filter(
Master_Mapping_Sheet!$E$2:$E$3143, ISNUMBER(
Master_Mapping_Sh"&amp;"eet!$E$2:$E$3143),
Master_Mapping_Sheet!$C$2:$C$3143=T$1))), 0, sum(filter(
Master_Mapping_Sheet!$E$2:$E$3143, ISNUMBER(
Master_Mapping_Sheet!$E$2:$E$3143),
Master_Mapping_Sheet!$C$2:$C$3143=T$1,
Master_Mapping_Sheet!$L$2:$L$3143=$A15))/sum(filter(
Master"&amp;"_Mapping_Sheet!$E$2:$E$3143, ISNUMBER(
Master_Mapping_Sheet!$E$2:$E$3143),
Master_Mapping_Sheet!$C$2:$C$3143=T$1)))"),0.0)</f>
        <v>0</v>
      </c>
      <c r="U15" s="34">
        <f>IFERROR(__xludf.DUMMYFUNCTION("IF(ISNA(sum(filter(
Master_Mapping_Sheet!$E$2:$E$3143, ISNUMBER(
Master_Mapping_Sheet!$E$2:$E$3143),
Master_Mapping_Sheet!$C$2:$C$3143=U$1,
Master_Mapping_Sheet!$L$2:$L$3143=$A15))/sum(filter(
Master_Mapping_Sheet!$E$2:$E$3143, ISNUMBER(
Master_Mapping_Sh"&amp;"eet!$E$2:$E$3143),
Master_Mapping_Sheet!$C$2:$C$3143=U$1))), 0, sum(filter(
Master_Mapping_Sheet!$E$2:$E$3143, ISNUMBER(
Master_Mapping_Sheet!$E$2:$E$3143),
Master_Mapping_Sheet!$C$2:$C$3143=U$1,
Master_Mapping_Sheet!$L$2:$L$3143=$A15))/sum(filter(
Master"&amp;"_Mapping_Sheet!$E$2:$E$3143, ISNUMBER(
Master_Mapping_Sheet!$E$2:$E$3143),
Master_Mapping_Sheet!$C$2:$C$3143=U$1)))"),0.0)</f>
        <v>0</v>
      </c>
      <c r="V15" s="34">
        <f>IFERROR(__xludf.DUMMYFUNCTION("IF(ISNA(sum(filter(
Master_Mapping_Sheet!$E$2:$E$3143, ISNUMBER(
Master_Mapping_Sheet!$E$2:$E$3143),
Master_Mapping_Sheet!$C$2:$C$3143=V$1,
Master_Mapping_Sheet!$L$2:$L$3143=$A15))/sum(filter(
Master_Mapping_Sheet!$E$2:$E$3143, ISNUMBER(
Master_Mapping_Sh"&amp;"eet!$E$2:$E$3143),
Master_Mapping_Sheet!$C$2:$C$3143=V$1))), 0, sum(filter(
Master_Mapping_Sheet!$E$2:$E$3143, ISNUMBER(
Master_Mapping_Sheet!$E$2:$E$3143),
Master_Mapping_Sheet!$C$2:$C$3143=V$1,
Master_Mapping_Sheet!$L$2:$L$3143=$A15))/sum(filter(
Master"&amp;"_Mapping_Sheet!$E$2:$E$3143, ISNUMBER(
Master_Mapping_Sheet!$E$2:$E$3143),
Master_Mapping_Sheet!$C$2:$C$3143=V$1)))"),0.0)</f>
        <v>0</v>
      </c>
      <c r="W15" s="34">
        <f>IFERROR(__xludf.DUMMYFUNCTION("IF(ISNA(sum(filter(
Master_Mapping_Sheet!$E$2:$E$3143, ISNUMBER(
Master_Mapping_Sheet!$E$2:$E$3143),
Master_Mapping_Sheet!$C$2:$C$3143=W$1,
Master_Mapping_Sheet!$L$2:$L$3143=$A15))/sum(filter(
Master_Mapping_Sheet!$E$2:$E$3143, ISNUMBER(
Master_Mapping_Sh"&amp;"eet!$E$2:$E$3143),
Master_Mapping_Sheet!$C$2:$C$3143=W$1))), 0, sum(filter(
Master_Mapping_Sheet!$E$2:$E$3143, ISNUMBER(
Master_Mapping_Sheet!$E$2:$E$3143),
Master_Mapping_Sheet!$C$2:$C$3143=W$1,
Master_Mapping_Sheet!$L$2:$L$3143=$A15))/sum(filter(
Master"&amp;"_Mapping_Sheet!$E$2:$E$3143, ISNUMBER(
Master_Mapping_Sheet!$E$2:$E$3143),
Master_Mapping_Sheet!$C$2:$C$3143=W$1)))"),0.0)</f>
        <v>0</v>
      </c>
      <c r="X15" s="34">
        <f>IFERROR(__xludf.DUMMYFUNCTION("IF(ISNA(sum(filter(
Master_Mapping_Sheet!$E$2:$E$3143, ISNUMBER(
Master_Mapping_Sheet!$E$2:$E$3143),
Master_Mapping_Sheet!$C$2:$C$3143=X$1,
Master_Mapping_Sheet!$L$2:$L$3143=$A15))/sum(filter(
Master_Mapping_Sheet!$E$2:$E$3143, ISNUMBER(
Master_Mapping_Sh"&amp;"eet!$E$2:$E$3143),
Master_Mapping_Sheet!$C$2:$C$3143=X$1))), 0, sum(filter(
Master_Mapping_Sheet!$E$2:$E$3143, ISNUMBER(
Master_Mapping_Sheet!$E$2:$E$3143),
Master_Mapping_Sheet!$C$2:$C$3143=X$1,
Master_Mapping_Sheet!$L$2:$L$3143=$A15))/sum(filter(
Master"&amp;"_Mapping_Sheet!$E$2:$E$3143, ISNUMBER(
Master_Mapping_Sheet!$E$2:$E$3143),
Master_Mapping_Sheet!$C$2:$C$3143=X$1)))"),0.0)</f>
        <v>0</v>
      </c>
      <c r="Y15" s="34">
        <f>IFERROR(__xludf.DUMMYFUNCTION("IF(ISNA(sum(filter(
Master_Mapping_Sheet!$E$2:$E$3143, ISNUMBER(
Master_Mapping_Sheet!$E$2:$E$3143),
Master_Mapping_Sheet!$C$2:$C$3143=Y$1,
Master_Mapping_Sheet!$L$2:$L$3143=$A15))/sum(filter(
Master_Mapping_Sheet!$E$2:$E$3143, ISNUMBER(
Master_Mapping_Sh"&amp;"eet!$E$2:$E$3143),
Master_Mapping_Sheet!$C$2:$C$3143=Y$1))), 0, sum(filter(
Master_Mapping_Sheet!$E$2:$E$3143, ISNUMBER(
Master_Mapping_Sheet!$E$2:$E$3143),
Master_Mapping_Sheet!$C$2:$C$3143=Y$1,
Master_Mapping_Sheet!$L$2:$L$3143=$A15))/sum(filter(
Master"&amp;"_Mapping_Sheet!$E$2:$E$3143, ISNUMBER(
Master_Mapping_Sheet!$E$2:$E$3143),
Master_Mapping_Sheet!$C$2:$C$3143=Y$1)))"),0.0)</f>
        <v>0</v>
      </c>
      <c r="Z15" s="34">
        <f>IFERROR(__xludf.DUMMYFUNCTION("IF(ISNA(sum(filter(
Master_Mapping_Sheet!$E$2:$E$3143, ISNUMBER(
Master_Mapping_Sheet!$E$2:$E$3143),
Master_Mapping_Sheet!$C$2:$C$3143=Z$1,
Master_Mapping_Sheet!$L$2:$L$3143=$A15))/sum(filter(
Master_Mapping_Sheet!$E$2:$E$3143, ISNUMBER(
Master_Mapping_Sh"&amp;"eet!$E$2:$E$3143),
Master_Mapping_Sheet!$C$2:$C$3143=Z$1))), 0, sum(filter(
Master_Mapping_Sheet!$E$2:$E$3143, ISNUMBER(
Master_Mapping_Sheet!$E$2:$E$3143),
Master_Mapping_Sheet!$C$2:$C$3143=Z$1,
Master_Mapping_Sheet!$L$2:$L$3143=$A15))/sum(filter(
Master"&amp;"_Mapping_Sheet!$E$2:$E$3143, ISNUMBER(
Master_Mapping_Sheet!$E$2:$E$3143),
Master_Mapping_Sheet!$C$2:$C$3143=Z$1)))"),0.0)</f>
        <v>0</v>
      </c>
      <c r="AA15" s="34">
        <f>IFERROR(__xludf.DUMMYFUNCTION("IF(ISNA(sum(filter(
Master_Mapping_Sheet!$E$2:$E$3143, ISNUMBER(
Master_Mapping_Sheet!$E$2:$E$3143),
Master_Mapping_Sheet!$C$2:$C$3143=AA$1,
Master_Mapping_Sheet!$L$2:$L$3143=$A15))/sum(filter(
Master_Mapping_Sheet!$E$2:$E$3143, ISNUMBER(
Master_Mapping_S"&amp;"heet!$E$2:$E$3143),
Master_Mapping_Sheet!$C$2:$C$3143=AA$1))), 0, sum(filter(
Master_Mapping_Sheet!$E$2:$E$3143, ISNUMBER(
Master_Mapping_Sheet!$E$2:$E$3143),
Master_Mapping_Sheet!$C$2:$C$3143=AA$1,
Master_Mapping_Sheet!$L$2:$L$3143=$A15))/sum(filter(
Mas"&amp;"ter_Mapping_Sheet!$E$2:$E$3143, ISNUMBER(
Master_Mapping_Sheet!$E$2:$E$3143),
Master_Mapping_Sheet!$C$2:$C$3143=AA$1)))"),0.0)</f>
        <v>0</v>
      </c>
      <c r="AB15" s="34">
        <f>IFERROR(__xludf.DUMMYFUNCTION("IF(ISNA(sum(filter(
Master_Mapping_Sheet!$E$2:$E$3143, ISNUMBER(
Master_Mapping_Sheet!$E$2:$E$3143),
Master_Mapping_Sheet!$C$2:$C$3143=AB$1,
Master_Mapping_Sheet!$L$2:$L$3143=$A15))/sum(filter(
Master_Mapping_Sheet!$E$2:$E$3143, ISNUMBER(
Master_Mapping_S"&amp;"heet!$E$2:$E$3143),
Master_Mapping_Sheet!$C$2:$C$3143=AB$1))), 0, sum(filter(
Master_Mapping_Sheet!$E$2:$E$3143, ISNUMBER(
Master_Mapping_Sheet!$E$2:$E$3143),
Master_Mapping_Sheet!$C$2:$C$3143=AB$1,
Master_Mapping_Sheet!$L$2:$L$3143=$A15))/sum(filter(
Mas"&amp;"ter_Mapping_Sheet!$E$2:$E$3143, ISNUMBER(
Master_Mapping_Sheet!$E$2:$E$3143),
Master_Mapping_Sheet!$C$2:$C$3143=AB$1)))"),1.0)</f>
        <v>1</v>
      </c>
      <c r="AC15" s="34">
        <f>IFERROR(__xludf.DUMMYFUNCTION("IF(ISNA(sum(filter(
Master_Mapping_Sheet!$E$2:$E$3143, ISNUMBER(
Master_Mapping_Sheet!$E$2:$E$3143),
Master_Mapping_Sheet!$C$2:$C$3143=AC$1,
Master_Mapping_Sheet!$L$2:$L$3143=$A15))/sum(filter(
Master_Mapping_Sheet!$E$2:$E$3143, ISNUMBER(
Master_Mapping_S"&amp;"heet!$E$2:$E$3143),
Master_Mapping_Sheet!$C$2:$C$3143=AC$1))), 0, sum(filter(
Master_Mapping_Sheet!$E$2:$E$3143, ISNUMBER(
Master_Mapping_Sheet!$E$2:$E$3143),
Master_Mapping_Sheet!$C$2:$C$3143=AC$1,
Master_Mapping_Sheet!$L$2:$L$3143=$A15))/sum(filter(
Mas"&amp;"ter_Mapping_Sheet!$E$2:$E$3143, ISNUMBER(
Master_Mapping_Sheet!$E$2:$E$3143),
Master_Mapping_Sheet!$C$2:$C$3143=AC$1)))"),0.0)</f>
        <v>0</v>
      </c>
      <c r="AD15" s="34">
        <f>IFERROR(__xludf.DUMMYFUNCTION("IF(ISNA(sum(filter(
Master_Mapping_Sheet!$E$2:$E$3143, ISNUMBER(
Master_Mapping_Sheet!$E$2:$E$3143),
Master_Mapping_Sheet!$C$2:$C$3143=AD$1,
Master_Mapping_Sheet!$L$2:$L$3143=$A15))/sum(filter(
Master_Mapping_Sheet!$E$2:$E$3143, ISNUMBER(
Master_Mapping_S"&amp;"heet!$E$2:$E$3143),
Master_Mapping_Sheet!$C$2:$C$3143=AD$1))), 0, sum(filter(
Master_Mapping_Sheet!$E$2:$E$3143, ISNUMBER(
Master_Mapping_Sheet!$E$2:$E$3143),
Master_Mapping_Sheet!$C$2:$C$3143=AD$1,
Master_Mapping_Sheet!$L$2:$L$3143=$A15))/sum(filter(
Mas"&amp;"ter_Mapping_Sheet!$E$2:$E$3143, ISNUMBER(
Master_Mapping_Sheet!$E$2:$E$3143),
Master_Mapping_Sheet!$C$2:$C$3143=AD$1)))"),0.0)</f>
        <v>0</v>
      </c>
      <c r="AE15" s="34">
        <f>IFERROR(__xludf.DUMMYFUNCTION("IF(ISNA(sum(filter(
Master_Mapping_Sheet!$E$2:$E$3143, ISNUMBER(
Master_Mapping_Sheet!$E$2:$E$3143),
Master_Mapping_Sheet!$C$2:$C$3143=AE$1,
Master_Mapping_Sheet!$L$2:$L$3143=$A15))/sum(filter(
Master_Mapping_Sheet!$E$2:$E$3143, ISNUMBER(
Master_Mapping_S"&amp;"heet!$E$2:$E$3143),
Master_Mapping_Sheet!$C$2:$C$3143=AE$1))), 0, sum(filter(
Master_Mapping_Sheet!$E$2:$E$3143, ISNUMBER(
Master_Mapping_Sheet!$E$2:$E$3143),
Master_Mapping_Sheet!$C$2:$C$3143=AE$1,
Master_Mapping_Sheet!$L$2:$L$3143=$A15))/sum(filter(
Mas"&amp;"ter_Mapping_Sheet!$E$2:$E$3143, ISNUMBER(
Master_Mapping_Sheet!$E$2:$E$3143),
Master_Mapping_Sheet!$C$2:$C$3143=AE$1)))"),0.0)</f>
        <v>0</v>
      </c>
      <c r="AF15" s="34">
        <f>IFERROR(__xludf.DUMMYFUNCTION("IF(ISNA(sum(filter(
Master_Mapping_Sheet!$E$2:$E$3143, ISNUMBER(
Master_Mapping_Sheet!$E$2:$E$3143),
Master_Mapping_Sheet!$C$2:$C$3143=AF$1,
Master_Mapping_Sheet!$L$2:$L$3143=$A15))/sum(filter(
Master_Mapping_Sheet!$E$2:$E$3143, ISNUMBER(
Master_Mapping_S"&amp;"heet!$E$2:$E$3143),
Master_Mapping_Sheet!$C$2:$C$3143=AF$1))), 0, sum(filter(
Master_Mapping_Sheet!$E$2:$E$3143, ISNUMBER(
Master_Mapping_Sheet!$E$2:$E$3143),
Master_Mapping_Sheet!$C$2:$C$3143=AF$1,
Master_Mapping_Sheet!$L$2:$L$3143=$A15))/sum(filter(
Mas"&amp;"ter_Mapping_Sheet!$E$2:$E$3143, ISNUMBER(
Master_Mapping_Sheet!$E$2:$E$3143),
Master_Mapping_Sheet!$C$2:$C$3143=AF$1)))"),0.0)</f>
        <v>0</v>
      </c>
      <c r="AG15" s="34">
        <f>IFERROR(__xludf.DUMMYFUNCTION("IF(ISNA(sum(filter(
Master_Mapping_Sheet!$E$2:$E$3143, ISNUMBER(
Master_Mapping_Sheet!$E$2:$E$3143),
Master_Mapping_Sheet!$C$2:$C$3143=AG$1,
Master_Mapping_Sheet!$L$2:$L$3143=$A15))/sum(filter(
Master_Mapping_Sheet!$E$2:$E$3143, ISNUMBER(
Master_Mapping_S"&amp;"heet!$E$2:$E$3143),
Master_Mapping_Sheet!$C$2:$C$3143=AG$1))), 0, sum(filter(
Master_Mapping_Sheet!$E$2:$E$3143, ISNUMBER(
Master_Mapping_Sheet!$E$2:$E$3143),
Master_Mapping_Sheet!$C$2:$C$3143=AG$1,
Master_Mapping_Sheet!$L$2:$L$3143=$A15))/sum(filter(
Mas"&amp;"ter_Mapping_Sheet!$E$2:$E$3143, ISNUMBER(
Master_Mapping_Sheet!$E$2:$E$3143),
Master_Mapping_Sheet!$C$2:$C$3143=AG$1)))"),0.0)</f>
        <v>0</v>
      </c>
      <c r="AH15" s="34">
        <f>IFERROR(__xludf.DUMMYFUNCTION("IF(ISNA(sum(filter(
Master_Mapping_Sheet!$E$2:$E$3143, ISNUMBER(
Master_Mapping_Sheet!$E$2:$E$3143),
Master_Mapping_Sheet!$C$2:$C$3143=AH$1,
Master_Mapping_Sheet!$L$2:$L$3143=$A15))/sum(filter(
Master_Mapping_Sheet!$E$2:$E$3143, ISNUMBER(
Master_Mapping_S"&amp;"heet!$E$2:$E$3143),
Master_Mapping_Sheet!$C$2:$C$3143=AH$1))), 0, sum(filter(
Master_Mapping_Sheet!$E$2:$E$3143, ISNUMBER(
Master_Mapping_Sheet!$E$2:$E$3143),
Master_Mapping_Sheet!$C$2:$C$3143=AH$1,
Master_Mapping_Sheet!$L$2:$L$3143=$A15))/sum(filter(
Mas"&amp;"ter_Mapping_Sheet!$E$2:$E$3143, ISNUMBER(
Master_Mapping_Sheet!$E$2:$E$3143),
Master_Mapping_Sheet!$C$2:$C$3143=AH$1)))"),0.0)</f>
        <v>0</v>
      </c>
      <c r="AI15" s="34">
        <f>IFERROR(__xludf.DUMMYFUNCTION("IF(ISNA(sum(filter(
Master_Mapping_Sheet!$E$2:$E$3143, ISNUMBER(
Master_Mapping_Sheet!$E$2:$E$3143),
Master_Mapping_Sheet!$C$2:$C$3143=AI$1,
Master_Mapping_Sheet!$L$2:$L$3143=$A15))/sum(filter(
Master_Mapping_Sheet!$E$2:$E$3143, ISNUMBER(
Master_Mapping_S"&amp;"heet!$E$2:$E$3143),
Master_Mapping_Sheet!$C$2:$C$3143=AI$1))), 0, sum(filter(
Master_Mapping_Sheet!$E$2:$E$3143, ISNUMBER(
Master_Mapping_Sheet!$E$2:$E$3143),
Master_Mapping_Sheet!$C$2:$C$3143=AI$1,
Master_Mapping_Sheet!$L$2:$L$3143=$A15))/sum(filter(
Mas"&amp;"ter_Mapping_Sheet!$E$2:$E$3143, ISNUMBER(
Master_Mapping_Sheet!$E$2:$E$3143),
Master_Mapping_Sheet!$C$2:$C$3143=AI$1)))"),0.0)</f>
        <v>0</v>
      </c>
      <c r="AJ15" s="34">
        <f>IFERROR(__xludf.DUMMYFUNCTION("IF(ISNA(sum(filter(
Master_Mapping_Sheet!$E$2:$E$3143, ISNUMBER(
Master_Mapping_Sheet!$E$2:$E$3143),
Master_Mapping_Sheet!$C$2:$C$3143=AJ$1,
Master_Mapping_Sheet!$L$2:$L$3143=$A15))/sum(filter(
Master_Mapping_Sheet!$E$2:$E$3143, ISNUMBER(
Master_Mapping_S"&amp;"heet!$E$2:$E$3143),
Master_Mapping_Sheet!$C$2:$C$3143=AJ$1))), 0, sum(filter(
Master_Mapping_Sheet!$E$2:$E$3143, ISNUMBER(
Master_Mapping_Sheet!$E$2:$E$3143),
Master_Mapping_Sheet!$C$2:$C$3143=AJ$1,
Master_Mapping_Sheet!$L$2:$L$3143=$A15))/sum(filter(
Mas"&amp;"ter_Mapping_Sheet!$E$2:$E$3143, ISNUMBER(
Master_Mapping_Sheet!$E$2:$E$3143),
Master_Mapping_Sheet!$C$2:$C$3143=AJ$1)))"),0.0)</f>
        <v>0</v>
      </c>
      <c r="AK15" s="34">
        <f>IFERROR(__xludf.DUMMYFUNCTION("IF(ISNA(sum(filter(
Master_Mapping_Sheet!$E$2:$E$3143, ISNUMBER(
Master_Mapping_Sheet!$E$2:$E$3143),
Master_Mapping_Sheet!$C$2:$C$3143=AK$1,
Master_Mapping_Sheet!$L$2:$L$3143=$A15))/sum(filter(
Master_Mapping_Sheet!$E$2:$E$3143, ISNUMBER(
Master_Mapping_S"&amp;"heet!$E$2:$E$3143),
Master_Mapping_Sheet!$C$2:$C$3143=AK$1))), 0, sum(filter(
Master_Mapping_Sheet!$E$2:$E$3143, ISNUMBER(
Master_Mapping_Sheet!$E$2:$E$3143),
Master_Mapping_Sheet!$C$2:$C$3143=AK$1,
Master_Mapping_Sheet!$L$2:$L$3143=$A15))/sum(filter(
Mas"&amp;"ter_Mapping_Sheet!$E$2:$E$3143, ISNUMBER(
Master_Mapping_Sheet!$E$2:$E$3143),
Master_Mapping_Sheet!$C$2:$C$3143=AK$1)))"),0.0)</f>
        <v>0</v>
      </c>
      <c r="AL15" s="34">
        <f>IFERROR(__xludf.DUMMYFUNCTION("IF(ISNA(sum(filter(
Master_Mapping_Sheet!$E$2:$E$3143, ISNUMBER(
Master_Mapping_Sheet!$E$2:$E$3143),
Master_Mapping_Sheet!$C$2:$C$3143=AL$1,
Master_Mapping_Sheet!$L$2:$L$3143=$A15))/sum(filter(
Master_Mapping_Sheet!$E$2:$E$3143, ISNUMBER(
Master_Mapping_S"&amp;"heet!$E$2:$E$3143),
Master_Mapping_Sheet!$C$2:$C$3143=AL$1))), 0, sum(filter(
Master_Mapping_Sheet!$E$2:$E$3143, ISNUMBER(
Master_Mapping_Sheet!$E$2:$E$3143),
Master_Mapping_Sheet!$C$2:$C$3143=AL$1,
Master_Mapping_Sheet!$L$2:$L$3143=$A15))/sum(filter(
Mas"&amp;"ter_Mapping_Sheet!$E$2:$E$3143, ISNUMBER(
Master_Mapping_Sheet!$E$2:$E$3143),
Master_Mapping_Sheet!$C$2:$C$3143=AL$1)))"),0.0)</f>
        <v>0</v>
      </c>
      <c r="AM15" s="34">
        <f>IFERROR(__xludf.DUMMYFUNCTION("IF(ISNA(sum(filter(
Master_Mapping_Sheet!$E$2:$E$3143, ISNUMBER(
Master_Mapping_Sheet!$E$2:$E$3143),
Master_Mapping_Sheet!$C$2:$C$3143=AM$1,
Master_Mapping_Sheet!$L$2:$L$3143=$A15))/sum(filter(
Master_Mapping_Sheet!$E$2:$E$3143, ISNUMBER(
Master_Mapping_S"&amp;"heet!$E$2:$E$3143),
Master_Mapping_Sheet!$C$2:$C$3143=AM$1))), 0, sum(filter(
Master_Mapping_Sheet!$E$2:$E$3143, ISNUMBER(
Master_Mapping_Sheet!$E$2:$E$3143),
Master_Mapping_Sheet!$C$2:$C$3143=AM$1,
Master_Mapping_Sheet!$L$2:$L$3143=$A15))/sum(filter(
Mas"&amp;"ter_Mapping_Sheet!$E$2:$E$3143, ISNUMBER(
Master_Mapping_Sheet!$E$2:$E$3143),
Master_Mapping_Sheet!$C$2:$C$3143=AM$1)))"),0.0)</f>
        <v>0</v>
      </c>
      <c r="AN15" s="34">
        <f>IFERROR(__xludf.DUMMYFUNCTION("IF(ISNA(sum(filter(
Master_Mapping_Sheet!$E$2:$E$3143, ISNUMBER(
Master_Mapping_Sheet!$E$2:$E$3143),
Master_Mapping_Sheet!$C$2:$C$3143=AN$1,
Master_Mapping_Sheet!$L$2:$L$3143=$A15))/sum(filter(
Master_Mapping_Sheet!$E$2:$E$3143, ISNUMBER(
Master_Mapping_S"&amp;"heet!$E$2:$E$3143),
Master_Mapping_Sheet!$C$2:$C$3143=AN$1))), 0, sum(filter(
Master_Mapping_Sheet!$E$2:$E$3143, ISNUMBER(
Master_Mapping_Sheet!$E$2:$E$3143),
Master_Mapping_Sheet!$C$2:$C$3143=AN$1,
Master_Mapping_Sheet!$L$2:$L$3143=$A15))/sum(filter(
Mas"&amp;"ter_Mapping_Sheet!$E$2:$E$3143, ISNUMBER(
Master_Mapping_Sheet!$E$2:$E$3143),
Master_Mapping_Sheet!$C$2:$C$3143=AN$1)))"),0.0)</f>
        <v>0</v>
      </c>
      <c r="AO15" s="34">
        <f>IFERROR(__xludf.DUMMYFUNCTION("IF(ISNA(sum(filter(
Master_Mapping_Sheet!$E$2:$E$3143, ISNUMBER(
Master_Mapping_Sheet!$E$2:$E$3143),
Master_Mapping_Sheet!$C$2:$C$3143=AO$1,
Master_Mapping_Sheet!$L$2:$L$3143=$A15))/sum(filter(
Master_Mapping_Sheet!$E$2:$E$3143, ISNUMBER(
Master_Mapping_S"&amp;"heet!$E$2:$E$3143),
Master_Mapping_Sheet!$C$2:$C$3143=AO$1))), 0, sum(filter(
Master_Mapping_Sheet!$E$2:$E$3143, ISNUMBER(
Master_Mapping_Sheet!$E$2:$E$3143),
Master_Mapping_Sheet!$C$2:$C$3143=AO$1,
Master_Mapping_Sheet!$L$2:$L$3143=$A15))/sum(filter(
Mas"&amp;"ter_Mapping_Sheet!$E$2:$E$3143, ISNUMBER(
Master_Mapping_Sheet!$E$2:$E$3143),
Master_Mapping_Sheet!$C$2:$C$3143=AO$1)))"),0.0)</f>
        <v>0</v>
      </c>
      <c r="AP15" s="34">
        <f>IFERROR(__xludf.DUMMYFUNCTION("IF(ISNA(sum(filter(
Master_Mapping_Sheet!$E$2:$E$3143, ISNUMBER(
Master_Mapping_Sheet!$E$2:$E$3143),
Master_Mapping_Sheet!$C$2:$C$3143=AP$1,
Master_Mapping_Sheet!$L$2:$L$3143=$A15))/sum(filter(
Master_Mapping_Sheet!$E$2:$E$3143, ISNUMBER(
Master_Mapping_S"&amp;"heet!$E$2:$E$3143),
Master_Mapping_Sheet!$C$2:$C$3143=AP$1))), 0, sum(filter(
Master_Mapping_Sheet!$E$2:$E$3143, ISNUMBER(
Master_Mapping_Sheet!$E$2:$E$3143),
Master_Mapping_Sheet!$C$2:$C$3143=AP$1,
Master_Mapping_Sheet!$L$2:$L$3143=$A15))/sum(filter(
Mas"&amp;"ter_Mapping_Sheet!$E$2:$E$3143, ISNUMBER(
Master_Mapping_Sheet!$E$2:$E$3143),
Master_Mapping_Sheet!$C$2:$C$3143=AP$1)))"),0.0)</f>
        <v>0</v>
      </c>
      <c r="AQ15" s="34">
        <f>IFERROR(__xludf.DUMMYFUNCTION("IF(ISNA(sum(filter(
Master_Mapping_Sheet!$E$2:$E$3143, ISNUMBER(
Master_Mapping_Sheet!$E$2:$E$3143),
Master_Mapping_Sheet!$C$2:$C$3143=AQ$1,
Master_Mapping_Sheet!$L$2:$L$3143=$A15))/sum(filter(
Master_Mapping_Sheet!$E$2:$E$3143, ISNUMBER(
Master_Mapping_S"&amp;"heet!$E$2:$E$3143),
Master_Mapping_Sheet!$C$2:$C$3143=AQ$1))), 0, sum(filter(
Master_Mapping_Sheet!$E$2:$E$3143, ISNUMBER(
Master_Mapping_Sheet!$E$2:$E$3143),
Master_Mapping_Sheet!$C$2:$C$3143=AQ$1,
Master_Mapping_Sheet!$L$2:$L$3143=$A15))/sum(filter(
Mas"&amp;"ter_Mapping_Sheet!$E$2:$E$3143, ISNUMBER(
Master_Mapping_Sheet!$E$2:$E$3143),
Master_Mapping_Sheet!$C$2:$C$3143=AQ$1)))"),0.0)</f>
        <v>0</v>
      </c>
      <c r="AR15" s="34">
        <f>IFERROR(__xludf.DUMMYFUNCTION("IF(ISNA(sum(filter(
Master_Mapping_Sheet!$E$2:$E$3143, ISNUMBER(
Master_Mapping_Sheet!$E$2:$E$3143),
Master_Mapping_Sheet!$C$2:$C$3143=AR$1,
Master_Mapping_Sheet!$L$2:$L$3143=$A15))/sum(filter(
Master_Mapping_Sheet!$E$2:$E$3143, ISNUMBER(
Master_Mapping_S"&amp;"heet!$E$2:$E$3143),
Master_Mapping_Sheet!$C$2:$C$3143=AR$1))), 0, sum(filter(
Master_Mapping_Sheet!$E$2:$E$3143, ISNUMBER(
Master_Mapping_Sheet!$E$2:$E$3143),
Master_Mapping_Sheet!$C$2:$C$3143=AR$1,
Master_Mapping_Sheet!$L$2:$L$3143=$A15))/sum(filter(
Mas"&amp;"ter_Mapping_Sheet!$E$2:$E$3143, ISNUMBER(
Master_Mapping_Sheet!$E$2:$E$3143),
Master_Mapping_Sheet!$C$2:$C$3143=AR$1)))"),0.0)</f>
        <v>0</v>
      </c>
      <c r="AS15" s="34">
        <f>IFERROR(__xludf.DUMMYFUNCTION("IF(ISNA(sum(filter(
Master_Mapping_Sheet!$E$2:$E$3143, ISNUMBER(
Master_Mapping_Sheet!$E$2:$E$3143),
Master_Mapping_Sheet!$C$2:$C$3143=AS$1,
Master_Mapping_Sheet!$L$2:$L$3143=$A15))/sum(filter(
Master_Mapping_Sheet!$E$2:$E$3143, ISNUMBER(
Master_Mapping_S"&amp;"heet!$E$2:$E$3143),
Master_Mapping_Sheet!$C$2:$C$3143=AS$1))), 0, sum(filter(
Master_Mapping_Sheet!$E$2:$E$3143, ISNUMBER(
Master_Mapping_Sheet!$E$2:$E$3143),
Master_Mapping_Sheet!$C$2:$C$3143=AS$1,
Master_Mapping_Sheet!$L$2:$L$3143=$A15))/sum(filter(
Mas"&amp;"ter_Mapping_Sheet!$E$2:$E$3143, ISNUMBER(
Master_Mapping_Sheet!$E$2:$E$3143),
Master_Mapping_Sheet!$C$2:$C$3143=AS$1)))"),0.0)</f>
        <v>0</v>
      </c>
      <c r="AT15" s="34">
        <f>IFERROR(__xludf.DUMMYFUNCTION("IF(ISNA(sum(filter(
Master_Mapping_Sheet!$E$2:$E$3143, ISNUMBER(
Master_Mapping_Sheet!$E$2:$E$3143),
Master_Mapping_Sheet!$C$2:$C$3143=AT$1,
Master_Mapping_Sheet!$L$2:$L$3143=$A15))/sum(filter(
Master_Mapping_Sheet!$E$2:$E$3143, ISNUMBER(
Master_Mapping_S"&amp;"heet!$E$2:$E$3143),
Master_Mapping_Sheet!$C$2:$C$3143=AT$1))), 0, sum(filter(
Master_Mapping_Sheet!$E$2:$E$3143, ISNUMBER(
Master_Mapping_Sheet!$E$2:$E$3143),
Master_Mapping_Sheet!$C$2:$C$3143=AT$1,
Master_Mapping_Sheet!$L$2:$L$3143=$A15))/sum(filter(
Mas"&amp;"ter_Mapping_Sheet!$E$2:$E$3143, ISNUMBER(
Master_Mapping_Sheet!$E$2:$E$3143),
Master_Mapping_Sheet!$C$2:$C$3143=AT$1)))"),0.11132376012878709)</f>
        <v>0.1113237601</v>
      </c>
      <c r="AU15" s="34">
        <f>IFERROR(__xludf.DUMMYFUNCTION("IF(ISNA(sum(filter(
Master_Mapping_Sheet!$E$2:$E$3143, ISNUMBER(
Master_Mapping_Sheet!$E$2:$E$3143),
Master_Mapping_Sheet!$C$2:$C$3143=AU$1,
Master_Mapping_Sheet!$L$2:$L$3143=$A15))/sum(filter(
Master_Mapping_Sheet!$E$2:$E$3143, ISNUMBER(
Master_Mapping_S"&amp;"heet!$E$2:$E$3143),
Master_Mapping_Sheet!$C$2:$C$3143=AU$1))), 0, sum(filter(
Master_Mapping_Sheet!$E$2:$E$3143, ISNUMBER(
Master_Mapping_Sheet!$E$2:$E$3143),
Master_Mapping_Sheet!$C$2:$C$3143=AU$1,
Master_Mapping_Sheet!$L$2:$L$3143=$A15))/sum(filter(
Mas"&amp;"ter_Mapping_Sheet!$E$2:$E$3143, ISNUMBER(
Master_Mapping_Sheet!$E$2:$E$3143),
Master_Mapping_Sheet!$C$2:$C$3143=AU$1)))"),0.0)</f>
        <v>0</v>
      </c>
      <c r="AV15" s="34">
        <f>IFERROR(__xludf.DUMMYFUNCTION("IF(ISNA(sum(filter(
Master_Mapping_Sheet!$E$2:$E$3143, ISNUMBER(
Master_Mapping_Sheet!$E$2:$E$3143),
Master_Mapping_Sheet!$C$2:$C$3143=AV$1,
Master_Mapping_Sheet!$L$2:$L$3143=$A15))/sum(filter(
Master_Mapping_Sheet!$E$2:$E$3143, ISNUMBER(
Master_Mapping_S"&amp;"heet!$E$2:$E$3143),
Master_Mapping_Sheet!$C$2:$C$3143=AV$1))), 0, sum(filter(
Master_Mapping_Sheet!$E$2:$E$3143, ISNUMBER(
Master_Mapping_Sheet!$E$2:$E$3143),
Master_Mapping_Sheet!$C$2:$C$3143=AV$1,
Master_Mapping_Sheet!$L$2:$L$3143=$A15))/sum(filter(
Mas"&amp;"ter_Mapping_Sheet!$E$2:$E$3143, ISNUMBER(
Master_Mapping_Sheet!$E$2:$E$3143),
Master_Mapping_Sheet!$C$2:$C$3143=AV$1)))"),0.0)</f>
        <v>0</v>
      </c>
      <c r="AW15" s="34">
        <f>IFERROR(__xludf.DUMMYFUNCTION("IF(ISNA(sum(filter(
Master_Mapping_Sheet!$E$2:$E$3143, ISNUMBER(
Master_Mapping_Sheet!$E$2:$E$3143),
Master_Mapping_Sheet!$C$2:$C$3143=AW$1,
Master_Mapping_Sheet!$L$2:$L$3143=$A15))/sum(filter(
Master_Mapping_Sheet!$E$2:$E$3143, ISNUMBER(
Master_Mapping_S"&amp;"heet!$E$2:$E$3143),
Master_Mapping_Sheet!$C$2:$C$3143=AW$1))), 0, sum(filter(
Master_Mapping_Sheet!$E$2:$E$3143, ISNUMBER(
Master_Mapping_Sheet!$E$2:$E$3143),
Master_Mapping_Sheet!$C$2:$C$3143=AW$1,
Master_Mapping_Sheet!$L$2:$L$3143=$A15))/sum(filter(
Mas"&amp;"ter_Mapping_Sheet!$E$2:$E$3143, ISNUMBER(
Master_Mapping_Sheet!$E$2:$E$3143),
Master_Mapping_Sheet!$C$2:$C$3143=AW$1)))"),0.014643383745814604)</f>
        <v>0.01464338375</v>
      </c>
      <c r="AX15" s="34">
        <f>IFERROR(__xludf.DUMMYFUNCTION("IF(ISNA(sum(filter(
Master_Mapping_Sheet!$E$2:$E$3143, ISNUMBER(
Master_Mapping_Sheet!$E$2:$E$3143),
Master_Mapping_Sheet!$C$2:$C$3143=AX$1,
Master_Mapping_Sheet!$L$2:$L$3143=$A15))/sum(filter(
Master_Mapping_Sheet!$E$2:$E$3143, ISNUMBER(
Master_Mapping_S"&amp;"heet!$E$2:$E$3143),
Master_Mapping_Sheet!$C$2:$C$3143=AX$1))), 0, sum(filter(
Master_Mapping_Sheet!$E$2:$E$3143, ISNUMBER(
Master_Mapping_Sheet!$E$2:$E$3143),
Master_Mapping_Sheet!$C$2:$C$3143=AX$1,
Master_Mapping_Sheet!$L$2:$L$3143=$A15))/sum(filter(
Mas"&amp;"ter_Mapping_Sheet!$E$2:$E$3143, ISNUMBER(
Master_Mapping_Sheet!$E$2:$E$3143),
Master_Mapping_Sheet!$C$2:$C$3143=AX$1)))"),0.0)</f>
        <v>0</v>
      </c>
      <c r="AY15" s="34">
        <f>IFERROR(__xludf.DUMMYFUNCTION("IF(ISNA(sum(filter(
Master_Mapping_Sheet!$E$2:$E$3143, ISNUMBER(
Master_Mapping_Sheet!$E$2:$E$3143),
Master_Mapping_Sheet!$C$2:$C$3143=AY$1,
Master_Mapping_Sheet!$L$2:$L$3143=$A15))/sum(filter(
Master_Mapping_Sheet!$E$2:$E$3143, ISNUMBER(
Master_Mapping_S"&amp;"heet!$E$2:$E$3143),
Master_Mapping_Sheet!$C$2:$C$3143=AY$1))), 0, sum(filter(
Master_Mapping_Sheet!$E$2:$E$3143, ISNUMBER(
Master_Mapping_Sheet!$E$2:$E$3143),
Master_Mapping_Sheet!$C$2:$C$3143=AY$1,
Master_Mapping_Sheet!$L$2:$L$3143=$A15))/sum(filter(
Mas"&amp;"ter_Mapping_Sheet!$E$2:$E$3143, ISNUMBER(
Master_Mapping_Sheet!$E$2:$E$3143),
Master_Mapping_Sheet!$C$2:$C$3143=AY$1)))"),0.0)</f>
        <v>0</v>
      </c>
      <c r="AZ15" s="34">
        <f>IFERROR(__xludf.DUMMYFUNCTION("IF(ISNA(sum(filter(
Master_Mapping_Sheet!$E$2:$E$3143, ISNUMBER(
Master_Mapping_Sheet!$E$2:$E$3143),
Master_Mapping_Sheet!$C$2:$C$3143=AZ$1,
Master_Mapping_Sheet!$L$2:$L$3143=$A15))/sum(filter(
Master_Mapping_Sheet!$E$2:$E$3143, ISNUMBER(
Master_Mapping_S"&amp;"heet!$E$2:$E$3143),
Master_Mapping_Sheet!$C$2:$C$3143=AZ$1))), 0, sum(filter(
Master_Mapping_Sheet!$E$2:$E$3143, ISNUMBER(
Master_Mapping_Sheet!$E$2:$E$3143),
Master_Mapping_Sheet!$C$2:$C$3143=AZ$1,
Master_Mapping_Sheet!$L$2:$L$3143=$A15))/sum(filter(
Mas"&amp;"ter_Mapping_Sheet!$E$2:$E$3143, ISNUMBER(
Master_Mapping_Sheet!$E$2:$E$3143),
Master_Mapping_Sheet!$C$2:$C$3143=AZ$1)))"),0.8728394660110229)</f>
        <v>0.872839466</v>
      </c>
    </row>
    <row r="16" ht="15.75" customHeight="1">
      <c r="A16" s="32">
        <v>7.0</v>
      </c>
      <c r="B16" s="34">
        <f>IFERROR(__xludf.DUMMYFUNCTION("IF(ISNA(sum(filter(
Master_Mapping_Sheet!$E$2:$E$3143, ISNUMBER(
Master_Mapping_Sheet!$E$2:$E$3143),
Master_Mapping_Sheet!$C$2:$C$3143=B$1,
Master_Mapping_Sheet!$L$2:$L$3143=$A16))/sum(filter(
Master_Mapping_Sheet!$E$2:$E$3143, ISNUMBER(
Master_Mapping_Sh"&amp;"eet!$E$2:$E$3143),
Master_Mapping_Sheet!$C$2:$C$3143=B$1))), 0, sum(filter(
Master_Mapping_Sheet!$E$2:$E$3143, ISNUMBER(
Master_Mapping_Sheet!$E$2:$E$3143),
Master_Mapping_Sheet!$C$2:$C$3143=B$1,
Master_Mapping_Sheet!$L$2:$L$3143=$A16))/sum(filter(
Master"&amp;"_Mapping_Sheet!$E$2:$E$3143, ISNUMBER(
Master_Mapping_Sheet!$E$2:$E$3143),
Master_Mapping_Sheet!$C$2:$C$3143=B$1)))"),0.0)</f>
        <v>0</v>
      </c>
      <c r="C16" s="34">
        <f>IFERROR(__xludf.DUMMYFUNCTION("IF(ISNA(sum(filter(
Master_Mapping_Sheet!$E$2:$E$3143, ISNUMBER(
Master_Mapping_Sheet!$E$2:$E$3143),
Master_Mapping_Sheet!$C$2:$C$3143=C$1,
Master_Mapping_Sheet!$L$2:$L$3143=$A16))/sum(filter(
Master_Mapping_Sheet!$E$2:$E$3143, ISNUMBER(
Master_Mapping_Sh"&amp;"eet!$E$2:$E$3143),
Master_Mapping_Sheet!$C$2:$C$3143=C$1))), 0, sum(filter(
Master_Mapping_Sheet!$E$2:$E$3143, ISNUMBER(
Master_Mapping_Sheet!$E$2:$E$3143),
Master_Mapping_Sheet!$C$2:$C$3143=C$1,
Master_Mapping_Sheet!$L$2:$L$3143=$A16))/sum(filter(
Master"&amp;"_Mapping_Sheet!$E$2:$E$3143, ISNUMBER(
Master_Mapping_Sheet!$E$2:$E$3143),
Master_Mapping_Sheet!$C$2:$C$3143=C$1)))"),0.7741231509960241)</f>
        <v>0.774123151</v>
      </c>
      <c r="D16" s="34">
        <f>IFERROR(__xludf.DUMMYFUNCTION("IF(ISNA(sum(filter(
Master_Mapping_Sheet!$E$2:$E$3143, ISNUMBER(
Master_Mapping_Sheet!$E$2:$E$3143),
Master_Mapping_Sheet!$C$2:$C$3143=D$1,
Master_Mapping_Sheet!$L$2:$L$3143=$A16))/sum(filter(
Master_Mapping_Sheet!$E$2:$E$3143, ISNUMBER(
Master_Mapping_Sh"&amp;"eet!$E$2:$E$3143),
Master_Mapping_Sheet!$C$2:$C$3143=D$1))), 0, sum(filter(
Master_Mapping_Sheet!$E$2:$E$3143, ISNUMBER(
Master_Mapping_Sheet!$E$2:$E$3143),
Master_Mapping_Sheet!$C$2:$C$3143=D$1,
Master_Mapping_Sheet!$L$2:$L$3143=$A16))/sum(filter(
Master"&amp;"_Mapping_Sheet!$E$2:$E$3143, ISNUMBER(
Master_Mapping_Sheet!$E$2:$E$3143),
Master_Mapping_Sheet!$C$2:$C$3143=D$1)))"),0.0)</f>
        <v>0</v>
      </c>
      <c r="E16" s="34">
        <f>IFERROR(__xludf.DUMMYFUNCTION("IF(ISNA(sum(filter(
Master_Mapping_Sheet!$E$2:$E$3143, ISNUMBER(
Master_Mapping_Sheet!$E$2:$E$3143),
Master_Mapping_Sheet!$C$2:$C$3143=E$1,
Master_Mapping_Sheet!$L$2:$L$3143=$A16))/sum(filter(
Master_Mapping_Sheet!$E$2:$E$3143, ISNUMBER(
Master_Mapping_Sh"&amp;"eet!$E$2:$E$3143),
Master_Mapping_Sheet!$C$2:$C$3143=E$1))), 0, sum(filter(
Master_Mapping_Sheet!$E$2:$E$3143, ISNUMBER(
Master_Mapping_Sheet!$E$2:$E$3143),
Master_Mapping_Sheet!$C$2:$C$3143=E$1,
Master_Mapping_Sheet!$L$2:$L$3143=$A16))/sum(filter(
Master"&amp;"_Mapping_Sheet!$E$2:$E$3143, ISNUMBER(
Master_Mapping_Sheet!$E$2:$E$3143),
Master_Mapping_Sheet!$C$2:$C$3143=E$1)))"),0.0)</f>
        <v>0</v>
      </c>
      <c r="F16" s="34">
        <f>IFERROR(__xludf.DUMMYFUNCTION("IF(ISNA(sum(filter(
Master_Mapping_Sheet!$E$2:$E$3143, ISNUMBER(
Master_Mapping_Sheet!$E$2:$E$3143),
Master_Mapping_Sheet!$C$2:$C$3143=F$1,
Master_Mapping_Sheet!$L$2:$L$3143=$A16))/sum(filter(
Master_Mapping_Sheet!$E$2:$E$3143, ISNUMBER(
Master_Mapping_Sh"&amp;"eet!$E$2:$E$3143),
Master_Mapping_Sheet!$C$2:$C$3143=F$1))), 0, sum(filter(
Master_Mapping_Sheet!$E$2:$E$3143, ISNUMBER(
Master_Mapping_Sheet!$E$2:$E$3143),
Master_Mapping_Sheet!$C$2:$C$3143=F$1,
Master_Mapping_Sheet!$L$2:$L$3143=$A16))/sum(filter(
Master"&amp;"_Mapping_Sheet!$E$2:$E$3143, ISNUMBER(
Master_Mapping_Sheet!$E$2:$E$3143),
Master_Mapping_Sheet!$C$2:$C$3143=F$1)))"),0.0)</f>
        <v>0</v>
      </c>
      <c r="G16" s="34">
        <f>IFERROR(__xludf.DUMMYFUNCTION("IF(ISNA(sum(filter(
Master_Mapping_Sheet!$E$2:$E$3143, ISNUMBER(
Master_Mapping_Sheet!$E$2:$E$3143),
Master_Mapping_Sheet!$C$2:$C$3143=G$1,
Master_Mapping_Sheet!$L$2:$L$3143=$A16))/sum(filter(
Master_Mapping_Sheet!$E$2:$E$3143, ISNUMBER(
Master_Mapping_Sh"&amp;"eet!$E$2:$E$3143),
Master_Mapping_Sheet!$C$2:$C$3143=G$1))), 0, sum(filter(
Master_Mapping_Sheet!$E$2:$E$3143, ISNUMBER(
Master_Mapping_Sheet!$E$2:$E$3143),
Master_Mapping_Sheet!$C$2:$C$3143=G$1,
Master_Mapping_Sheet!$L$2:$L$3143=$A16))/sum(filter(
Master"&amp;"_Mapping_Sheet!$E$2:$E$3143, ISNUMBER(
Master_Mapping_Sheet!$E$2:$E$3143),
Master_Mapping_Sheet!$C$2:$C$3143=G$1)))"),0.026381811654737214)</f>
        <v>0.02638181165</v>
      </c>
      <c r="H16" s="34">
        <f>IFERROR(__xludf.DUMMYFUNCTION("IF(ISNA(sum(filter(
Master_Mapping_Sheet!$E$2:$E$3143, ISNUMBER(
Master_Mapping_Sheet!$E$2:$E$3143),
Master_Mapping_Sheet!$C$2:$C$3143=H$1,
Master_Mapping_Sheet!$L$2:$L$3143=$A16))/sum(filter(
Master_Mapping_Sheet!$E$2:$E$3143, ISNUMBER(
Master_Mapping_Sh"&amp;"eet!$E$2:$E$3143),
Master_Mapping_Sheet!$C$2:$C$3143=H$1))), 0, sum(filter(
Master_Mapping_Sheet!$E$2:$E$3143, ISNUMBER(
Master_Mapping_Sheet!$E$2:$E$3143),
Master_Mapping_Sheet!$C$2:$C$3143=H$1,
Master_Mapping_Sheet!$L$2:$L$3143=$A16))/sum(filter(
Master"&amp;"_Mapping_Sheet!$E$2:$E$3143, ISNUMBER(
Master_Mapping_Sheet!$E$2:$E$3143),
Master_Mapping_Sheet!$C$2:$C$3143=H$1)))"),0.0)</f>
        <v>0</v>
      </c>
      <c r="I16" s="34">
        <f>IFERROR(__xludf.DUMMYFUNCTION("IF(ISNA(sum(filter(
Master_Mapping_Sheet!$E$2:$E$3143, ISNUMBER(
Master_Mapping_Sheet!$E$2:$E$3143),
Master_Mapping_Sheet!$C$2:$C$3143=I$1,
Master_Mapping_Sheet!$L$2:$L$3143=$A16))/sum(filter(
Master_Mapping_Sheet!$E$2:$E$3143, ISNUMBER(
Master_Mapping_Sh"&amp;"eet!$E$2:$E$3143),
Master_Mapping_Sheet!$C$2:$C$3143=I$1))), 0, sum(filter(
Master_Mapping_Sheet!$E$2:$E$3143, ISNUMBER(
Master_Mapping_Sheet!$E$2:$E$3143),
Master_Mapping_Sheet!$C$2:$C$3143=I$1,
Master_Mapping_Sheet!$L$2:$L$3143=$A16))/sum(filter(
Master"&amp;"_Mapping_Sheet!$E$2:$E$3143, ISNUMBER(
Master_Mapping_Sheet!$E$2:$E$3143),
Master_Mapping_Sheet!$C$2:$C$3143=I$1)))"),0.0)</f>
        <v>0</v>
      </c>
      <c r="J16" s="34">
        <f>IFERROR(__xludf.DUMMYFUNCTION("IF(ISNA(sum(filter(
Master_Mapping_Sheet!$E$2:$E$3143, ISNUMBER(
Master_Mapping_Sheet!$E$2:$E$3143),
Master_Mapping_Sheet!$C$2:$C$3143=J$1,
Master_Mapping_Sheet!$L$2:$L$3143=$A16))/sum(filter(
Master_Mapping_Sheet!$E$2:$E$3143, ISNUMBER(
Master_Mapping_Sh"&amp;"eet!$E$2:$E$3143),
Master_Mapping_Sheet!$C$2:$C$3143=J$1))), 0, sum(filter(
Master_Mapping_Sheet!$E$2:$E$3143, ISNUMBER(
Master_Mapping_Sheet!$E$2:$E$3143),
Master_Mapping_Sheet!$C$2:$C$3143=J$1,
Master_Mapping_Sheet!$L$2:$L$3143=$A16))/sum(filter(
Master"&amp;"_Mapping_Sheet!$E$2:$E$3143, ISNUMBER(
Master_Mapping_Sheet!$E$2:$E$3143),
Master_Mapping_Sheet!$C$2:$C$3143=J$1)))"),0.0)</f>
        <v>0</v>
      </c>
      <c r="K16" s="34">
        <f>IFERROR(__xludf.DUMMYFUNCTION("IF(ISNA(sum(filter(
Master_Mapping_Sheet!$E$2:$E$3143, ISNUMBER(
Master_Mapping_Sheet!$E$2:$E$3143),
Master_Mapping_Sheet!$C$2:$C$3143=K$1,
Master_Mapping_Sheet!$L$2:$L$3143=$A16))/sum(filter(
Master_Mapping_Sheet!$E$2:$E$3143, ISNUMBER(
Master_Mapping_Sh"&amp;"eet!$E$2:$E$3143),
Master_Mapping_Sheet!$C$2:$C$3143=K$1))), 0, sum(filter(
Master_Mapping_Sheet!$E$2:$E$3143, ISNUMBER(
Master_Mapping_Sheet!$E$2:$E$3143),
Master_Mapping_Sheet!$C$2:$C$3143=K$1,
Master_Mapping_Sheet!$L$2:$L$3143=$A16))/sum(filter(
Master"&amp;"_Mapping_Sheet!$E$2:$E$3143, ISNUMBER(
Master_Mapping_Sheet!$E$2:$E$3143),
Master_Mapping_Sheet!$C$2:$C$3143=K$1)))"),0.0)</f>
        <v>0</v>
      </c>
      <c r="L16" s="34">
        <f>IFERROR(__xludf.DUMMYFUNCTION("IF(ISNA(sum(filter(
Master_Mapping_Sheet!$E$2:$E$3143, ISNUMBER(
Master_Mapping_Sheet!$E$2:$E$3143),
Master_Mapping_Sheet!$C$2:$C$3143=L$1,
Master_Mapping_Sheet!$L$2:$L$3143=$A16))/sum(filter(
Master_Mapping_Sheet!$E$2:$E$3143, ISNUMBER(
Master_Mapping_Sh"&amp;"eet!$E$2:$E$3143),
Master_Mapping_Sheet!$C$2:$C$3143=L$1))), 0, sum(filter(
Master_Mapping_Sheet!$E$2:$E$3143, ISNUMBER(
Master_Mapping_Sheet!$E$2:$E$3143),
Master_Mapping_Sheet!$C$2:$C$3143=L$1,
Master_Mapping_Sheet!$L$2:$L$3143=$A16))/sum(filter(
Master"&amp;"_Mapping_Sheet!$E$2:$E$3143, ISNUMBER(
Master_Mapping_Sheet!$E$2:$E$3143),
Master_Mapping_Sheet!$C$2:$C$3143=L$1)))"),0.0)</f>
        <v>0</v>
      </c>
      <c r="M16" s="34">
        <f>IFERROR(__xludf.DUMMYFUNCTION("IF(ISNA(sum(filter(
Master_Mapping_Sheet!$E$2:$E$3143, ISNUMBER(
Master_Mapping_Sheet!$E$2:$E$3143),
Master_Mapping_Sheet!$C$2:$C$3143=M$1,
Master_Mapping_Sheet!$L$2:$L$3143=$A16))/sum(filter(
Master_Mapping_Sheet!$E$2:$E$3143, ISNUMBER(
Master_Mapping_Sh"&amp;"eet!$E$2:$E$3143),
Master_Mapping_Sheet!$C$2:$C$3143=M$1))), 0, sum(filter(
Master_Mapping_Sheet!$E$2:$E$3143, ISNUMBER(
Master_Mapping_Sheet!$E$2:$E$3143),
Master_Mapping_Sheet!$C$2:$C$3143=M$1,
Master_Mapping_Sheet!$L$2:$L$3143=$A16))/sum(filter(
Master"&amp;"_Mapping_Sheet!$E$2:$E$3143, ISNUMBER(
Master_Mapping_Sheet!$E$2:$E$3143),
Master_Mapping_Sheet!$C$2:$C$3143=M$1)))"),0.0)</f>
        <v>0</v>
      </c>
      <c r="N16" s="34">
        <f>IFERROR(__xludf.DUMMYFUNCTION("IF(ISNA(sum(filter(
Master_Mapping_Sheet!$E$2:$E$3143, ISNUMBER(
Master_Mapping_Sheet!$E$2:$E$3143),
Master_Mapping_Sheet!$C$2:$C$3143=N$1,
Master_Mapping_Sheet!$L$2:$L$3143=$A16))/sum(filter(
Master_Mapping_Sheet!$E$2:$E$3143, ISNUMBER(
Master_Mapping_Sh"&amp;"eet!$E$2:$E$3143),
Master_Mapping_Sheet!$C$2:$C$3143=N$1))), 0, sum(filter(
Master_Mapping_Sheet!$E$2:$E$3143, ISNUMBER(
Master_Mapping_Sheet!$E$2:$E$3143),
Master_Mapping_Sheet!$C$2:$C$3143=N$1,
Master_Mapping_Sheet!$L$2:$L$3143=$A16))/sum(filter(
Master"&amp;"_Mapping_Sheet!$E$2:$E$3143, ISNUMBER(
Master_Mapping_Sheet!$E$2:$E$3143),
Master_Mapping_Sheet!$C$2:$C$3143=N$1)))"),0.0)</f>
        <v>0</v>
      </c>
      <c r="O16" s="34">
        <f>IFERROR(__xludf.DUMMYFUNCTION("IF(ISNA(sum(filter(
Master_Mapping_Sheet!$E$2:$E$3143, ISNUMBER(
Master_Mapping_Sheet!$E$2:$E$3143),
Master_Mapping_Sheet!$C$2:$C$3143=O$1,
Master_Mapping_Sheet!$L$2:$L$3143=$A16))/sum(filter(
Master_Mapping_Sheet!$E$2:$E$3143, ISNUMBER(
Master_Mapping_Sh"&amp;"eet!$E$2:$E$3143),
Master_Mapping_Sheet!$C$2:$C$3143=O$1))), 0, sum(filter(
Master_Mapping_Sheet!$E$2:$E$3143, ISNUMBER(
Master_Mapping_Sheet!$E$2:$E$3143),
Master_Mapping_Sheet!$C$2:$C$3143=O$1,
Master_Mapping_Sheet!$L$2:$L$3143=$A16))/sum(filter(
Master"&amp;"_Mapping_Sheet!$E$2:$E$3143, ISNUMBER(
Master_Mapping_Sheet!$E$2:$E$3143),
Master_Mapping_Sheet!$C$2:$C$3143=O$1)))"),0.0)</f>
        <v>0</v>
      </c>
      <c r="P16" s="34">
        <f>IFERROR(__xludf.DUMMYFUNCTION("IF(ISNA(sum(filter(
Master_Mapping_Sheet!$E$2:$E$3143, ISNUMBER(
Master_Mapping_Sheet!$E$2:$E$3143),
Master_Mapping_Sheet!$C$2:$C$3143=P$1,
Master_Mapping_Sheet!$L$2:$L$3143=$A16))/sum(filter(
Master_Mapping_Sheet!$E$2:$E$3143, ISNUMBER(
Master_Mapping_Sh"&amp;"eet!$E$2:$E$3143),
Master_Mapping_Sheet!$C$2:$C$3143=P$1))), 0, sum(filter(
Master_Mapping_Sheet!$E$2:$E$3143, ISNUMBER(
Master_Mapping_Sheet!$E$2:$E$3143),
Master_Mapping_Sheet!$C$2:$C$3143=P$1,
Master_Mapping_Sheet!$L$2:$L$3143=$A16))/sum(filter(
Master"&amp;"_Mapping_Sheet!$E$2:$E$3143, ISNUMBER(
Master_Mapping_Sheet!$E$2:$E$3143),
Master_Mapping_Sheet!$C$2:$C$3143=P$1)))"),0.0)</f>
        <v>0</v>
      </c>
      <c r="Q16" s="34">
        <f>IFERROR(__xludf.DUMMYFUNCTION("IF(ISNA(sum(filter(
Master_Mapping_Sheet!$E$2:$E$3143, ISNUMBER(
Master_Mapping_Sheet!$E$2:$E$3143),
Master_Mapping_Sheet!$C$2:$C$3143=Q$1,
Master_Mapping_Sheet!$L$2:$L$3143=$A16))/sum(filter(
Master_Mapping_Sheet!$E$2:$E$3143, ISNUMBER(
Master_Mapping_Sh"&amp;"eet!$E$2:$E$3143),
Master_Mapping_Sheet!$C$2:$C$3143=Q$1))), 0, sum(filter(
Master_Mapping_Sheet!$E$2:$E$3143, ISNUMBER(
Master_Mapping_Sheet!$E$2:$E$3143),
Master_Mapping_Sheet!$C$2:$C$3143=Q$1,
Master_Mapping_Sheet!$L$2:$L$3143=$A16))/sum(filter(
Master"&amp;"_Mapping_Sheet!$E$2:$E$3143, ISNUMBER(
Master_Mapping_Sheet!$E$2:$E$3143),
Master_Mapping_Sheet!$C$2:$C$3143=Q$1)))"),0.0)</f>
        <v>0</v>
      </c>
      <c r="R16" s="34">
        <f>IFERROR(__xludf.DUMMYFUNCTION("IF(ISNA(sum(filter(
Master_Mapping_Sheet!$E$2:$E$3143, ISNUMBER(
Master_Mapping_Sheet!$E$2:$E$3143),
Master_Mapping_Sheet!$C$2:$C$3143=R$1,
Master_Mapping_Sheet!$L$2:$L$3143=$A16))/sum(filter(
Master_Mapping_Sheet!$E$2:$E$3143, ISNUMBER(
Master_Mapping_Sh"&amp;"eet!$E$2:$E$3143),
Master_Mapping_Sheet!$C$2:$C$3143=R$1))), 0, sum(filter(
Master_Mapping_Sheet!$E$2:$E$3143, ISNUMBER(
Master_Mapping_Sheet!$E$2:$E$3143),
Master_Mapping_Sheet!$C$2:$C$3143=R$1,
Master_Mapping_Sheet!$L$2:$L$3143=$A16))/sum(filter(
Master"&amp;"_Mapping_Sheet!$E$2:$E$3143, ISNUMBER(
Master_Mapping_Sheet!$E$2:$E$3143),
Master_Mapping_Sheet!$C$2:$C$3143=R$1)))"),0.0)</f>
        <v>0</v>
      </c>
      <c r="S16" s="34">
        <f>IFERROR(__xludf.DUMMYFUNCTION("IF(ISNA(sum(filter(
Master_Mapping_Sheet!$E$2:$E$3143, ISNUMBER(
Master_Mapping_Sheet!$E$2:$E$3143),
Master_Mapping_Sheet!$C$2:$C$3143=S$1,
Master_Mapping_Sheet!$L$2:$L$3143=$A16))/sum(filter(
Master_Mapping_Sheet!$E$2:$E$3143, ISNUMBER(
Master_Mapping_Sh"&amp;"eet!$E$2:$E$3143),
Master_Mapping_Sheet!$C$2:$C$3143=S$1))), 0, sum(filter(
Master_Mapping_Sheet!$E$2:$E$3143, ISNUMBER(
Master_Mapping_Sheet!$E$2:$E$3143),
Master_Mapping_Sheet!$C$2:$C$3143=S$1,
Master_Mapping_Sheet!$L$2:$L$3143=$A16))/sum(filter(
Master"&amp;"_Mapping_Sheet!$E$2:$E$3143, ISNUMBER(
Master_Mapping_Sheet!$E$2:$E$3143),
Master_Mapping_Sheet!$C$2:$C$3143=S$1)))"),0.0)</f>
        <v>0</v>
      </c>
      <c r="T16" s="34">
        <f>IFERROR(__xludf.DUMMYFUNCTION("IF(ISNA(sum(filter(
Master_Mapping_Sheet!$E$2:$E$3143, ISNUMBER(
Master_Mapping_Sheet!$E$2:$E$3143),
Master_Mapping_Sheet!$C$2:$C$3143=T$1,
Master_Mapping_Sheet!$L$2:$L$3143=$A16))/sum(filter(
Master_Mapping_Sheet!$E$2:$E$3143, ISNUMBER(
Master_Mapping_Sh"&amp;"eet!$E$2:$E$3143),
Master_Mapping_Sheet!$C$2:$C$3143=T$1))), 0, sum(filter(
Master_Mapping_Sheet!$E$2:$E$3143, ISNUMBER(
Master_Mapping_Sheet!$E$2:$E$3143),
Master_Mapping_Sheet!$C$2:$C$3143=T$1,
Master_Mapping_Sheet!$L$2:$L$3143=$A16))/sum(filter(
Master"&amp;"_Mapping_Sheet!$E$2:$E$3143, ISNUMBER(
Master_Mapping_Sheet!$E$2:$E$3143),
Master_Mapping_Sheet!$C$2:$C$3143=T$1)))"),0.0)</f>
        <v>0</v>
      </c>
      <c r="U16" s="34">
        <f>IFERROR(__xludf.DUMMYFUNCTION("IF(ISNA(sum(filter(
Master_Mapping_Sheet!$E$2:$E$3143, ISNUMBER(
Master_Mapping_Sheet!$E$2:$E$3143),
Master_Mapping_Sheet!$C$2:$C$3143=U$1,
Master_Mapping_Sheet!$L$2:$L$3143=$A16))/sum(filter(
Master_Mapping_Sheet!$E$2:$E$3143, ISNUMBER(
Master_Mapping_Sh"&amp;"eet!$E$2:$E$3143),
Master_Mapping_Sheet!$C$2:$C$3143=U$1))), 0, sum(filter(
Master_Mapping_Sheet!$E$2:$E$3143, ISNUMBER(
Master_Mapping_Sheet!$E$2:$E$3143),
Master_Mapping_Sheet!$C$2:$C$3143=U$1,
Master_Mapping_Sheet!$L$2:$L$3143=$A16))/sum(filter(
Master"&amp;"_Mapping_Sheet!$E$2:$E$3143, ISNUMBER(
Master_Mapping_Sheet!$E$2:$E$3143),
Master_Mapping_Sheet!$C$2:$C$3143=U$1)))"),0.04825531158783769)</f>
        <v>0.04825531159</v>
      </c>
      <c r="V16" s="34">
        <f>IFERROR(__xludf.DUMMYFUNCTION("IF(ISNA(sum(filter(
Master_Mapping_Sheet!$E$2:$E$3143, ISNUMBER(
Master_Mapping_Sheet!$E$2:$E$3143),
Master_Mapping_Sheet!$C$2:$C$3143=V$1,
Master_Mapping_Sheet!$L$2:$L$3143=$A16))/sum(filter(
Master_Mapping_Sheet!$E$2:$E$3143, ISNUMBER(
Master_Mapping_Sh"&amp;"eet!$E$2:$E$3143),
Master_Mapping_Sheet!$C$2:$C$3143=V$1))), 0, sum(filter(
Master_Mapping_Sheet!$E$2:$E$3143, ISNUMBER(
Master_Mapping_Sheet!$E$2:$E$3143),
Master_Mapping_Sheet!$C$2:$C$3143=V$1,
Master_Mapping_Sheet!$L$2:$L$3143=$A16))/sum(filter(
Master"&amp;"_Mapping_Sheet!$E$2:$E$3143, ISNUMBER(
Master_Mapping_Sheet!$E$2:$E$3143),
Master_Mapping_Sheet!$C$2:$C$3143=V$1)))"),0.0)</f>
        <v>0</v>
      </c>
      <c r="W16" s="34">
        <f>IFERROR(__xludf.DUMMYFUNCTION("IF(ISNA(sum(filter(
Master_Mapping_Sheet!$E$2:$E$3143, ISNUMBER(
Master_Mapping_Sheet!$E$2:$E$3143),
Master_Mapping_Sheet!$C$2:$C$3143=W$1,
Master_Mapping_Sheet!$L$2:$L$3143=$A16))/sum(filter(
Master_Mapping_Sheet!$E$2:$E$3143, ISNUMBER(
Master_Mapping_Sh"&amp;"eet!$E$2:$E$3143),
Master_Mapping_Sheet!$C$2:$C$3143=W$1))), 0, sum(filter(
Master_Mapping_Sheet!$E$2:$E$3143, ISNUMBER(
Master_Mapping_Sheet!$E$2:$E$3143),
Master_Mapping_Sheet!$C$2:$C$3143=W$1,
Master_Mapping_Sheet!$L$2:$L$3143=$A16))/sum(filter(
Master"&amp;"_Mapping_Sheet!$E$2:$E$3143, ISNUMBER(
Master_Mapping_Sheet!$E$2:$E$3143),
Master_Mapping_Sheet!$C$2:$C$3143=W$1)))"),0.0)</f>
        <v>0</v>
      </c>
      <c r="X16" s="34">
        <f>IFERROR(__xludf.DUMMYFUNCTION("IF(ISNA(sum(filter(
Master_Mapping_Sheet!$E$2:$E$3143, ISNUMBER(
Master_Mapping_Sheet!$E$2:$E$3143),
Master_Mapping_Sheet!$C$2:$C$3143=X$1,
Master_Mapping_Sheet!$L$2:$L$3143=$A16))/sum(filter(
Master_Mapping_Sheet!$E$2:$E$3143, ISNUMBER(
Master_Mapping_Sh"&amp;"eet!$E$2:$E$3143),
Master_Mapping_Sheet!$C$2:$C$3143=X$1))), 0, sum(filter(
Master_Mapping_Sheet!$E$2:$E$3143, ISNUMBER(
Master_Mapping_Sheet!$E$2:$E$3143),
Master_Mapping_Sheet!$C$2:$C$3143=X$1,
Master_Mapping_Sheet!$L$2:$L$3143=$A16))/sum(filter(
Master"&amp;"_Mapping_Sheet!$E$2:$E$3143, ISNUMBER(
Master_Mapping_Sheet!$E$2:$E$3143),
Master_Mapping_Sheet!$C$2:$C$3143=X$1)))"),0.014112415727756806)</f>
        <v>0.01411241573</v>
      </c>
      <c r="Y16" s="34">
        <f>IFERROR(__xludf.DUMMYFUNCTION("IF(ISNA(sum(filter(
Master_Mapping_Sheet!$E$2:$E$3143, ISNUMBER(
Master_Mapping_Sheet!$E$2:$E$3143),
Master_Mapping_Sheet!$C$2:$C$3143=Y$1,
Master_Mapping_Sheet!$L$2:$L$3143=$A16))/sum(filter(
Master_Mapping_Sheet!$E$2:$E$3143, ISNUMBER(
Master_Mapping_Sh"&amp;"eet!$E$2:$E$3143),
Master_Mapping_Sheet!$C$2:$C$3143=Y$1))), 0, sum(filter(
Master_Mapping_Sheet!$E$2:$E$3143, ISNUMBER(
Master_Mapping_Sheet!$E$2:$E$3143),
Master_Mapping_Sheet!$C$2:$C$3143=Y$1,
Master_Mapping_Sheet!$L$2:$L$3143=$A16))/sum(filter(
Master"&amp;"_Mapping_Sheet!$E$2:$E$3143, ISNUMBER(
Master_Mapping_Sheet!$E$2:$E$3143),
Master_Mapping_Sheet!$C$2:$C$3143=Y$1)))"),0.14969200484845105)</f>
        <v>0.1496920048</v>
      </c>
      <c r="Z16" s="34">
        <f>IFERROR(__xludf.DUMMYFUNCTION("IF(ISNA(sum(filter(
Master_Mapping_Sheet!$E$2:$E$3143, ISNUMBER(
Master_Mapping_Sheet!$E$2:$E$3143),
Master_Mapping_Sheet!$C$2:$C$3143=Z$1,
Master_Mapping_Sheet!$L$2:$L$3143=$A16))/sum(filter(
Master_Mapping_Sheet!$E$2:$E$3143, ISNUMBER(
Master_Mapping_Sh"&amp;"eet!$E$2:$E$3143),
Master_Mapping_Sheet!$C$2:$C$3143=Z$1))), 0, sum(filter(
Master_Mapping_Sheet!$E$2:$E$3143, ISNUMBER(
Master_Mapping_Sheet!$E$2:$E$3143),
Master_Mapping_Sheet!$C$2:$C$3143=Z$1,
Master_Mapping_Sheet!$L$2:$L$3143=$A16))/sum(filter(
Master"&amp;"_Mapping_Sheet!$E$2:$E$3143, ISNUMBER(
Master_Mapping_Sheet!$E$2:$E$3143),
Master_Mapping_Sheet!$C$2:$C$3143=Z$1)))"),0.0)</f>
        <v>0</v>
      </c>
      <c r="AA16" s="34">
        <f>IFERROR(__xludf.DUMMYFUNCTION("IF(ISNA(sum(filter(
Master_Mapping_Sheet!$E$2:$E$3143, ISNUMBER(
Master_Mapping_Sheet!$E$2:$E$3143),
Master_Mapping_Sheet!$C$2:$C$3143=AA$1,
Master_Mapping_Sheet!$L$2:$L$3143=$A16))/sum(filter(
Master_Mapping_Sheet!$E$2:$E$3143, ISNUMBER(
Master_Mapping_S"&amp;"heet!$E$2:$E$3143),
Master_Mapping_Sheet!$C$2:$C$3143=AA$1))), 0, sum(filter(
Master_Mapping_Sheet!$E$2:$E$3143, ISNUMBER(
Master_Mapping_Sheet!$E$2:$E$3143),
Master_Mapping_Sheet!$C$2:$C$3143=AA$1,
Master_Mapping_Sheet!$L$2:$L$3143=$A16))/sum(filter(
Mas"&amp;"ter_Mapping_Sheet!$E$2:$E$3143, ISNUMBER(
Master_Mapping_Sheet!$E$2:$E$3143),
Master_Mapping_Sheet!$C$2:$C$3143=AA$1)))"),0.0)</f>
        <v>0</v>
      </c>
      <c r="AB16" s="34">
        <f>IFERROR(__xludf.DUMMYFUNCTION("IF(ISNA(sum(filter(
Master_Mapping_Sheet!$E$2:$E$3143, ISNUMBER(
Master_Mapping_Sheet!$E$2:$E$3143),
Master_Mapping_Sheet!$C$2:$C$3143=AB$1,
Master_Mapping_Sheet!$L$2:$L$3143=$A16))/sum(filter(
Master_Mapping_Sheet!$E$2:$E$3143, ISNUMBER(
Master_Mapping_S"&amp;"heet!$E$2:$E$3143),
Master_Mapping_Sheet!$C$2:$C$3143=AB$1))), 0, sum(filter(
Master_Mapping_Sheet!$E$2:$E$3143, ISNUMBER(
Master_Mapping_Sheet!$E$2:$E$3143),
Master_Mapping_Sheet!$C$2:$C$3143=AB$1,
Master_Mapping_Sheet!$L$2:$L$3143=$A16))/sum(filter(
Mas"&amp;"ter_Mapping_Sheet!$E$2:$E$3143, ISNUMBER(
Master_Mapping_Sheet!$E$2:$E$3143),
Master_Mapping_Sheet!$C$2:$C$3143=AB$1)))"),0.0)</f>
        <v>0</v>
      </c>
      <c r="AC16" s="34">
        <f>IFERROR(__xludf.DUMMYFUNCTION("IF(ISNA(sum(filter(
Master_Mapping_Sheet!$E$2:$E$3143, ISNUMBER(
Master_Mapping_Sheet!$E$2:$E$3143),
Master_Mapping_Sheet!$C$2:$C$3143=AC$1,
Master_Mapping_Sheet!$L$2:$L$3143=$A16))/sum(filter(
Master_Mapping_Sheet!$E$2:$E$3143, ISNUMBER(
Master_Mapping_S"&amp;"heet!$E$2:$E$3143),
Master_Mapping_Sheet!$C$2:$C$3143=AC$1))), 0, sum(filter(
Master_Mapping_Sheet!$E$2:$E$3143, ISNUMBER(
Master_Mapping_Sheet!$E$2:$E$3143),
Master_Mapping_Sheet!$C$2:$C$3143=AC$1,
Master_Mapping_Sheet!$L$2:$L$3143=$A16))/sum(filter(
Mas"&amp;"ter_Mapping_Sheet!$E$2:$E$3143, ISNUMBER(
Master_Mapping_Sheet!$E$2:$E$3143),
Master_Mapping_Sheet!$C$2:$C$3143=AC$1)))"),0.0)</f>
        <v>0</v>
      </c>
      <c r="AD16" s="34">
        <f>IFERROR(__xludf.DUMMYFUNCTION("IF(ISNA(sum(filter(
Master_Mapping_Sheet!$E$2:$E$3143, ISNUMBER(
Master_Mapping_Sheet!$E$2:$E$3143),
Master_Mapping_Sheet!$C$2:$C$3143=AD$1,
Master_Mapping_Sheet!$L$2:$L$3143=$A16))/sum(filter(
Master_Mapping_Sheet!$E$2:$E$3143, ISNUMBER(
Master_Mapping_S"&amp;"heet!$E$2:$E$3143),
Master_Mapping_Sheet!$C$2:$C$3143=AD$1))), 0, sum(filter(
Master_Mapping_Sheet!$E$2:$E$3143, ISNUMBER(
Master_Mapping_Sheet!$E$2:$E$3143),
Master_Mapping_Sheet!$C$2:$C$3143=AD$1,
Master_Mapping_Sheet!$L$2:$L$3143=$A16))/sum(filter(
Mas"&amp;"ter_Mapping_Sheet!$E$2:$E$3143, ISNUMBER(
Master_Mapping_Sheet!$E$2:$E$3143),
Master_Mapping_Sheet!$C$2:$C$3143=AD$1)))"),0.0)</f>
        <v>0</v>
      </c>
      <c r="AE16" s="34">
        <f>IFERROR(__xludf.DUMMYFUNCTION("IF(ISNA(sum(filter(
Master_Mapping_Sheet!$E$2:$E$3143, ISNUMBER(
Master_Mapping_Sheet!$E$2:$E$3143),
Master_Mapping_Sheet!$C$2:$C$3143=AE$1,
Master_Mapping_Sheet!$L$2:$L$3143=$A16))/sum(filter(
Master_Mapping_Sheet!$E$2:$E$3143, ISNUMBER(
Master_Mapping_S"&amp;"heet!$E$2:$E$3143),
Master_Mapping_Sheet!$C$2:$C$3143=AE$1))), 0, sum(filter(
Master_Mapping_Sheet!$E$2:$E$3143, ISNUMBER(
Master_Mapping_Sheet!$E$2:$E$3143),
Master_Mapping_Sheet!$C$2:$C$3143=AE$1,
Master_Mapping_Sheet!$L$2:$L$3143=$A16))/sum(filter(
Mas"&amp;"ter_Mapping_Sheet!$E$2:$E$3143, ISNUMBER(
Master_Mapping_Sheet!$E$2:$E$3143),
Master_Mapping_Sheet!$C$2:$C$3143=AE$1)))"),0.0)</f>
        <v>0</v>
      </c>
      <c r="AF16" s="34">
        <f>IFERROR(__xludf.DUMMYFUNCTION("IF(ISNA(sum(filter(
Master_Mapping_Sheet!$E$2:$E$3143, ISNUMBER(
Master_Mapping_Sheet!$E$2:$E$3143),
Master_Mapping_Sheet!$C$2:$C$3143=AF$1,
Master_Mapping_Sheet!$L$2:$L$3143=$A16))/sum(filter(
Master_Mapping_Sheet!$E$2:$E$3143, ISNUMBER(
Master_Mapping_S"&amp;"heet!$E$2:$E$3143),
Master_Mapping_Sheet!$C$2:$C$3143=AF$1))), 0, sum(filter(
Master_Mapping_Sheet!$E$2:$E$3143, ISNUMBER(
Master_Mapping_Sheet!$E$2:$E$3143),
Master_Mapping_Sheet!$C$2:$C$3143=AF$1,
Master_Mapping_Sheet!$L$2:$L$3143=$A16))/sum(filter(
Mas"&amp;"ter_Mapping_Sheet!$E$2:$E$3143, ISNUMBER(
Master_Mapping_Sheet!$E$2:$E$3143),
Master_Mapping_Sheet!$C$2:$C$3143=AF$1)))"),0.0)</f>
        <v>0</v>
      </c>
      <c r="AG16" s="34">
        <f>IFERROR(__xludf.DUMMYFUNCTION("IF(ISNA(sum(filter(
Master_Mapping_Sheet!$E$2:$E$3143, ISNUMBER(
Master_Mapping_Sheet!$E$2:$E$3143),
Master_Mapping_Sheet!$C$2:$C$3143=AG$1,
Master_Mapping_Sheet!$L$2:$L$3143=$A16))/sum(filter(
Master_Mapping_Sheet!$E$2:$E$3143, ISNUMBER(
Master_Mapping_S"&amp;"heet!$E$2:$E$3143),
Master_Mapping_Sheet!$C$2:$C$3143=AG$1))), 0, sum(filter(
Master_Mapping_Sheet!$E$2:$E$3143, ISNUMBER(
Master_Mapping_Sheet!$E$2:$E$3143),
Master_Mapping_Sheet!$C$2:$C$3143=AG$1,
Master_Mapping_Sheet!$L$2:$L$3143=$A16))/sum(filter(
Mas"&amp;"ter_Mapping_Sheet!$E$2:$E$3143, ISNUMBER(
Master_Mapping_Sheet!$E$2:$E$3143),
Master_Mapping_Sheet!$C$2:$C$3143=AG$1)))"),0.0)</f>
        <v>0</v>
      </c>
      <c r="AH16" s="34">
        <f>IFERROR(__xludf.DUMMYFUNCTION("IF(ISNA(sum(filter(
Master_Mapping_Sheet!$E$2:$E$3143, ISNUMBER(
Master_Mapping_Sheet!$E$2:$E$3143),
Master_Mapping_Sheet!$C$2:$C$3143=AH$1,
Master_Mapping_Sheet!$L$2:$L$3143=$A16))/sum(filter(
Master_Mapping_Sheet!$E$2:$E$3143, ISNUMBER(
Master_Mapping_S"&amp;"heet!$E$2:$E$3143),
Master_Mapping_Sheet!$C$2:$C$3143=AH$1))), 0, sum(filter(
Master_Mapping_Sheet!$E$2:$E$3143, ISNUMBER(
Master_Mapping_Sheet!$E$2:$E$3143),
Master_Mapping_Sheet!$C$2:$C$3143=AH$1,
Master_Mapping_Sheet!$L$2:$L$3143=$A16))/sum(filter(
Mas"&amp;"ter_Mapping_Sheet!$E$2:$E$3143, ISNUMBER(
Master_Mapping_Sheet!$E$2:$E$3143),
Master_Mapping_Sheet!$C$2:$C$3143=AH$1)))"),0.0)</f>
        <v>0</v>
      </c>
      <c r="AI16" s="34">
        <f>IFERROR(__xludf.DUMMYFUNCTION("IF(ISNA(sum(filter(
Master_Mapping_Sheet!$E$2:$E$3143, ISNUMBER(
Master_Mapping_Sheet!$E$2:$E$3143),
Master_Mapping_Sheet!$C$2:$C$3143=AI$1,
Master_Mapping_Sheet!$L$2:$L$3143=$A16))/sum(filter(
Master_Mapping_Sheet!$E$2:$E$3143, ISNUMBER(
Master_Mapping_S"&amp;"heet!$E$2:$E$3143),
Master_Mapping_Sheet!$C$2:$C$3143=AI$1))), 0, sum(filter(
Master_Mapping_Sheet!$E$2:$E$3143, ISNUMBER(
Master_Mapping_Sheet!$E$2:$E$3143),
Master_Mapping_Sheet!$C$2:$C$3143=AI$1,
Master_Mapping_Sheet!$L$2:$L$3143=$A16))/sum(filter(
Mas"&amp;"ter_Mapping_Sheet!$E$2:$E$3143, ISNUMBER(
Master_Mapping_Sheet!$E$2:$E$3143),
Master_Mapping_Sheet!$C$2:$C$3143=AI$1)))"),0.0)</f>
        <v>0</v>
      </c>
      <c r="AJ16" s="34">
        <f>IFERROR(__xludf.DUMMYFUNCTION("IF(ISNA(sum(filter(
Master_Mapping_Sheet!$E$2:$E$3143, ISNUMBER(
Master_Mapping_Sheet!$E$2:$E$3143),
Master_Mapping_Sheet!$C$2:$C$3143=AJ$1,
Master_Mapping_Sheet!$L$2:$L$3143=$A16))/sum(filter(
Master_Mapping_Sheet!$E$2:$E$3143, ISNUMBER(
Master_Mapping_S"&amp;"heet!$E$2:$E$3143),
Master_Mapping_Sheet!$C$2:$C$3143=AJ$1))), 0, sum(filter(
Master_Mapping_Sheet!$E$2:$E$3143, ISNUMBER(
Master_Mapping_Sheet!$E$2:$E$3143),
Master_Mapping_Sheet!$C$2:$C$3143=AJ$1,
Master_Mapping_Sheet!$L$2:$L$3143=$A16))/sum(filter(
Mas"&amp;"ter_Mapping_Sheet!$E$2:$E$3143, ISNUMBER(
Master_Mapping_Sheet!$E$2:$E$3143),
Master_Mapping_Sheet!$C$2:$C$3143=AJ$1)))"),0.6751798001341963)</f>
        <v>0.6751798001</v>
      </c>
      <c r="AK16" s="34">
        <f>IFERROR(__xludf.DUMMYFUNCTION("IF(ISNA(sum(filter(
Master_Mapping_Sheet!$E$2:$E$3143, ISNUMBER(
Master_Mapping_Sheet!$E$2:$E$3143),
Master_Mapping_Sheet!$C$2:$C$3143=AK$1,
Master_Mapping_Sheet!$L$2:$L$3143=$A16))/sum(filter(
Master_Mapping_Sheet!$E$2:$E$3143, ISNUMBER(
Master_Mapping_S"&amp;"heet!$E$2:$E$3143),
Master_Mapping_Sheet!$C$2:$C$3143=AK$1))), 0, sum(filter(
Master_Mapping_Sheet!$E$2:$E$3143, ISNUMBER(
Master_Mapping_Sheet!$E$2:$E$3143),
Master_Mapping_Sheet!$C$2:$C$3143=AK$1,
Master_Mapping_Sheet!$L$2:$L$3143=$A16))/sum(filter(
Mas"&amp;"ter_Mapping_Sheet!$E$2:$E$3143, ISNUMBER(
Master_Mapping_Sheet!$E$2:$E$3143),
Master_Mapping_Sheet!$C$2:$C$3143=AK$1)))"),0.0)</f>
        <v>0</v>
      </c>
      <c r="AL16" s="34">
        <f>IFERROR(__xludf.DUMMYFUNCTION("IF(ISNA(sum(filter(
Master_Mapping_Sheet!$E$2:$E$3143, ISNUMBER(
Master_Mapping_Sheet!$E$2:$E$3143),
Master_Mapping_Sheet!$C$2:$C$3143=AL$1,
Master_Mapping_Sheet!$L$2:$L$3143=$A16))/sum(filter(
Master_Mapping_Sheet!$E$2:$E$3143, ISNUMBER(
Master_Mapping_S"&amp;"heet!$E$2:$E$3143),
Master_Mapping_Sheet!$C$2:$C$3143=AL$1))), 0, sum(filter(
Master_Mapping_Sheet!$E$2:$E$3143, ISNUMBER(
Master_Mapping_Sheet!$E$2:$E$3143),
Master_Mapping_Sheet!$C$2:$C$3143=AL$1,
Master_Mapping_Sheet!$L$2:$L$3143=$A16))/sum(filter(
Mas"&amp;"ter_Mapping_Sheet!$E$2:$E$3143, ISNUMBER(
Master_Mapping_Sheet!$E$2:$E$3143),
Master_Mapping_Sheet!$C$2:$C$3143=AL$1)))"),0.0)</f>
        <v>0</v>
      </c>
      <c r="AM16" s="34">
        <f>IFERROR(__xludf.DUMMYFUNCTION("IF(ISNA(sum(filter(
Master_Mapping_Sheet!$E$2:$E$3143, ISNUMBER(
Master_Mapping_Sheet!$E$2:$E$3143),
Master_Mapping_Sheet!$C$2:$C$3143=AM$1,
Master_Mapping_Sheet!$L$2:$L$3143=$A16))/sum(filter(
Master_Mapping_Sheet!$E$2:$E$3143, ISNUMBER(
Master_Mapping_S"&amp;"heet!$E$2:$E$3143),
Master_Mapping_Sheet!$C$2:$C$3143=AM$1))), 0, sum(filter(
Master_Mapping_Sheet!$E$2:$E$3143, ISNUMBER(
Master_Mapping_Sheet!$E$2:$E$3143),
Master_Mapping_Sheet!$C$2:$C$3143=AM$1,
Master_Mapping_Sheet!$L$2:$L$3143=$A16))/sum(filter(
Mas"&amp;"ter_Mapping_Sheet!$E$2:$E$3143, ISNUMBER(
Master_Mapping_Sheet!$E$2:$E$3143),
Master_Mapping_Sheet!$C$2:$C$3143=AM$1)))"),0.0)</f>
        <v>0</v>
      </c>
      <c r="AN16" s="34">
        <f>IFERROR(__xludf.DUMMYFUNCTION("IF(ISNA(sum(filter(
Master_Mapping_Sheet!$E$2:$E$3143, ISNUMBER(
Master_Mapping_Sheet!$E$2:$E$3143),
Master_Mapping_Sheet!$C$2:$C$3143=AN$1,
Master_Mapping_Sheet!$L$2:$L$3143=$A16))/sum(filter(
Master_Mapping_Sheet!$E$2:$E$3143, ISNUMBER(
Master_Mapping_S"&amp;"heet!$E$2:$E$3143),
Master_Mapping_Sheet!$C$2:$C$3143=AN$1))), 0, sum(filter(
Master_Mapping_Sheet!$E$2:$E$3143, ISNUMBER(
Master_Mapping_Sheet!$E$2:$E$3143),
Master_Mapping_Sheet!$C$2:$C$3143=AN$1,
Master_Mapping_Sheet!$L$2:$L$3143=$A16))/sum(filter(
Mas"&amp;"ter_Mapping_Sheet!$E$2:$E$3143, ISNUMBER(
Master_Mapping_Sheet!$E$2:$E$3143),
Master_Mapping_Sheet!$C$2:$C$3143=AN$1)))"),0.0)</f>
        <v>0</v>
      </c>
      <c r="AO16" s="34">
        <f>IFERROR(__xludf.DUMMYFUNCTION("IF(ISNA(sum(filter(
Master_Mapping_Sheet!$E$2:$E$3143, ISNUMBER(
Master_Mapping_Sheet!$E$2:$E$3143),
Master_Mapping_Sheet!$C$2:$C$3143=AO$1,
Master_Mapping_Sheet!$L$2:$L$3143=$A16))/sum(filter(
Master_Mapping_Sheet!$E$2:$E$3143, ISNUMBER(
Master_Mapping_S"&amp;"heet!$E$2:$E$3143),
Master_Mapping_Sheet!$C$2:$C$3143=AO$1))), 0, sum(filter(
Master_Mapping_Sheet!$E$2:$E$3143, ISNUMBER(
Master_Mapping_Sheet!$E$2:$E$3143),
Master_Mapping_Sheet!$C$2:$C$3143=AO$1,
Master_Mapping_Sheet!$L$2:$L$3143=$A16))/sum(filter(
Mas"&amp;"ter_Mapping_Sheet!$E$2:$E$3143, ISNUMBER(
Master_Mapping_Sheet!$E$2:$E$3143),
Master_Mapping_Sheet!$C$2:$C$3143=AO$1)))"),0.0)</f>
        <v>0</v>
      </c>
      <c r="AP16" s="34">
        <f>IFERROR(__xludf.DUMMYFUNCTION("IF(ISNA(sum(filter(
Master_Mapping_Sheet!$E$2:$E$3143, ISNUMBER(
Master_Mapping_Sheet!$E$2:$E$3143),
Master_Mapping_Sheet!$C$2:$C$3143=AP$1,
Master_Mapping_Sheet!$L$2:$L$3143=$A16))/sum(filter(
Master_Mapping_Sheet!$E$2:$E$3143, ISNUMBER(
Master_Mapping_S"&amp;"heet!$E$2:$E$3143),
Master_Mapping_Sheet!$C$2:$C$3143=AP$1))), 0, sum(filter(
Master_Mapping_Sheet!$E$2:$E$3143, ISNUMBER(
Master_Mapping_Sheet!$E$2:$E$3143),
Master_Mapping_Sheet!$C$2:$C$3143=AP$1,
Master_Mapping_Sheet!$L$2:$L$3143=$A16))/sum(filter(
Mas"&amp;"ter_Mapping_Sheet!$E$2:$E$3143, ISNUMBER(
Master_Mapping_Sheet!$E$2:$E$3143),
Master_Mapping_Sheet!$C$2:$C$3143=AP$1)))"),0.0)</f>
        <v>0</v>
      </c>
      <c r="AQ16" s="34">
        <f>IFERROR(__xludf.DUMMYFUNCTION("IF(ISNA(sum(filter(
Master_Mapping_Sheet!$E$2:$E$3143, ISNUMBER(
Master_Mapping_Sheet!$E$2:$E$3143),
Master_Mapping_Sheet!$C$2:$C$3143=AQ$1,
Master_Mapping_Sheet!$L$2:$L$3143=$A16))/sum(filter(
Master_Mapping_Sheet!$E$2:$E$3143, ISNUMBER(
Master_Mapping_S"&amp;"heet!$E$2:$E$3143),
Master_Mapping_Sheet!$C$2:$C$3143=AQ$1))), 0, sum(filter(
Master_Mapping_Sheet!$E$2:$E$3143, ISNUMBER(
Master_Mapping_Sheet!$E$2:$E$3143),
Master_Mapping_Sheet!$C$2:$C$3143=AQ$1,
Master_Mapping_Sheet!$L$2:$L$3143=$A16))/sum(filter(
Mas"&amp;"ter_Mapping_Sheet!$E$2:$E$3143, ISNUMBER(
Master_Mapping_Sheet!$E$2:$E$3143),
Master_Mapping_Sheet!$C$2:$C$3143=AQ$1)))"),0.0)</f>
        <v>0</v>
      </c>
      <c r="AR16" s="34">
        <f>IFERROR(__xludf.DUMMYFUNCTION("IF(ISNA(sum(filter(
Master_Mapping_Sheet!$E$2:$E$3143, ISNUMBER(
Master_Mapping_Sheet!$E$2:$E$3143),
Master_Mapping_Sheet!$C$2:$C$3143=AR$1,
Master_Mapping_Sheet!$L$2:$L$3143=$A16))/sum(filter(
Master_Mapping_Sheet!$E$2:$E$3143, ISNUMBER(
Master_Mapping_S"&amp;"heet!$E$2:$E$3143),
Master_Mapping_Sheet!$C$2:$C$3143=AR$1))), 0, sum(filter(
Master_Mapping_Sheet!$E$2:$E$3143, ISNUMBER(
Master_Mapping_Sheet!$E$2:$E$3143),
Master_Mapping_Sheet!$C$2:$C$3143=AR$1,
Master_Mapping_Sheet!$L$2:$L$3143=$A16))/sum(filter(
Mas"&amp;"ter_Mapping_Sheet!$E$2:$E$3143, ISNUMBER(
Master_Mapping_Sheet!$E$2:$E$3143),
Master_Mapping_Sheet!$C$2:$C$3143=AR$1)))"),0.0)</f>
        <v>0</v>
      </c>
      <c r="AS16" s="34">
        <f>IFERROR(__xludf.DUMMYFUNCTION("IF(ISNA(sum(filter(
Master_Mapping_Sheet!$E$2:$E$3143, ISNUMBER(
Master_Mapping_Sheet!$E$2:$E$3143),
Master_Mapping_Sheet!$C$2:$C$3143=AS$1,
Master_Mapping_Sheet!$L$2:$L$3143=$A16))/sum(filter(
Master_Mapping_Sheet!$E$2:$E$3143, ISNUMBER(
Master_Mapping_S"&amp;"heet!$E$2:$E$3143),
Master_Mapping_Sheet!$C$2:$C$3143=AS$1))), 0, sum(filter(
Master_Mapping_Sheet!$E$2:$E$3143, ISNUMBER(
Master_Mapping_Sheet!$E$2:$E$3143),
Master_Mapping_Sheet!$C$2:$C$3143=AS$1,
Master_Mapping_Sheet!$L$2:$L$3143=$A16))/sum(filter(
Mas"&amp;"ter_Mapping_Sheet!$E$2:$E$3143, ISNUMBER(
Master_Mapping_Sheet!$E$2:$E$3143),
Master_Mapping_Sheet!$C$2:$C$3143=AS$1)))"),0.0)</f>
        <v>0</v>
      </c>
      <c r="AT16" s="34">
        <f>IFERROR(__xludf.DUMMYFUNCTION("IF(ISNA(sum(filter(
Master_Mapping_Sheet!$E$2:$E$3143, ISNUMBER(
Master_Mapping_Sheet!$E$2:$E$3143),
Master_Mapping_Sheet!$C$2:$C$3143=AT$1,
Master_Mapping_Sheet!$L$2:$L$3143=$A16))/sum(filter(
Master_Mapping_Sheet!$E$2:$E$3143, ISNUMBER(
Master_Mapping_S"&amp;"heet!$E$2:$E$3143),
Master_Mapping_Sheet!$C$2:$C$3143=AT$1))), 0, sum(filter(
Master_Mapping_Sheet!$E$2:$E$3143, ISNUMBER(
Master_Mapping_Sheet!$E$2:$E$3143),
Master_Mapping_Sheet!$C$2:$C$3143=AT$1,
Master_Mapping_Sheet!$L$2:$L$3143=$A16))/sum(filter(
Mas"&amp;"ter_Mapping_Sheet!$E$2:$E$3143, ISNUMBER(
Master_Mapping_Sheet!$E$2:$E$3143),
Master_Mapping_Sheet!$C$2:$C$3143=AT$1)))"),0.0)</f>
        <v>0</v>
      </c>
      <c r="AU16" s="34">
        <f>IFERROR(__xludf.DUMMYFUNCTION("IF(ISNA(sum(filter(
Master_Mapping_Sheet!$E$2:$E$3143, ISNUMBER(
Master_Mapping_Sheet!$E$2:$E$3143),
Master_Mapping_Sheet!$C$2:$C$3143=AU$1,
Master_Mapping_Sheet!$L$2:$L$3143=$A16))/sum(filter(
Master_Mapping_Sheet!$E$2:$E$3143, ISNUMBER(
Master_Mapping_S"&amp;"heet!$E$2:$E$3143),
Master_Mapping_Sheet!$C$2:$C$3143=AU$1))), 0, sum(filter(
Master_Mapping_Sheet!$E$2:$E$3143, ISNUMBER(
Master_Mapping_Sheet!$E$2:$E$3143),
Master_Mapping_Sheet!$C$2:$C$3143=AU$1,
Master_Mapping_Sheet!$L$2:$L$3143=$A16))/sum(filter(
Mas"&amp;"ter_Mapping_Sheet!$E$2:$E$3143, ISNUMBER(
Master_Mapping_Sheet!$E$2:$E$3143),
Master_Mapping_Sheet!$C$2:$C$3143=AU$1)))"),0.0)</f>
        <v>0</v>
      </c>
      <c r="AV16" s="34">
        <f>IFERROR(__xludf.DUMMYFUNCTION("IF(ISNA(sum(filter(
Master_Mapping_Sheet!$E$2:$E$3143, ISNUMBER(
Master_Mapping_Sheet!$E$2:$E$3143),
Master_Mapping_Sheet!$C$2:$C$3143=AV$1,
Master_Mapping_Sheet!$L$2:$L$3143=$A16))/sum(filter(
Master_Mapping_Sheet!$E$2:$E$3143, ISNUMBER(
Master_Mapping_S"&amp;"heet!$E$2:$E$3143),
Master_Mapping_Sheet!$C$2:$C$3143=AV$1))), 0, sum(filter(
Master_Mapping_Sheet!$E$2:$E$3143, ISNUMBER(
Master_Mapping_Sheet!$E$2:$E$3143),
Master_Mapping_Sheet!$C$2:$C$3143=AV$1,
Master_Mapping_Sheet!$L$2:$L$3143=$A16))/sum(filter(
Mas"&amp;"ter_Mapping_Sheet!$E$2:$E$3143, ISNUMBER(
Master_Mapping_Sheet!$E$2:$E$3143),
Master_Mapping_Sheet!$C$2:$C$3143=AV$1)))"),0.0)</f>
        <v>0</v>
      </c>
      <c r="AW16" s="34">
        <f>IFERROR(__xludf.DUMMYFUNCTION("IF(ISNA(sum(filter(
Master_Mapping_Sheet!$E$2:$E$3143, ISNUMBER(
Master_Mapping_Sheet!$E$2:$E$3143),
Master_Mapping_Sheet!$C$2:$C$3143=AW$1,
Master_Mapping_Sheet!$L$2:$L$3143=$A16))/sum(filter(
Master_Mapping_Sheet!$E$2:$E$3143, ISNUMBER(
Master_Mapping_S"&amp;"heet!$E$2:$E$3143),
Master_Mapping_Sheet!$C$2:$C$3143=AW$1))), 0, sum(filter(
Master_Mapping_Sheet!$E$2:$E$3143, ISNUMBER(
Master_Mapping_Sheet!$E$2:$E$3143),
Master_Mapping_Sheet!$C$2:$C$3143=AW$1,
Master_Mapping_Sheet!$L$2:$L$3143=$A16))/sum(filter(
Mas"&amp;"ter_Mapping_Sheet!$E$2:$E$3143, ISNUMBER(
Master_Mapping_Sheet!$E$2:$E$3143),
Master_Mapping_Sheet!$C$2:$C$3143=AW$1)))"),0.0)</f>
        <v>0</v>
      </c>
      <c r="AX16" s="34">
        <f>IFERROR(__xludf.DUMMYFUNCTION("IF(ISNA(sum(filter(
Master_Mapping_Sheet!$E$2:$E$3143, ISNUMBER(
Master_Mapping_Sheet!$E$2:$E$3143),
Master_Mapping_Sheet!$C$2:$C$3143=AX$1,
Master_Mapping_Sheet!$L$2:$L$3143=$A16))/sum(filter(
Master_Mapping_Sheet!$E$2:$E$3143, ISNUMBER(
Master_Mapping_S"&amp;"heet!$E$2:$E$3143),
Master_Mapping_Sheet!$C$2:$C$3143=AX$1))), 0, sum(filter(
Master_Mapping_Sheet!$E$2:$E$3143, ISNUMBER(
Master_Mapping_Sheet!$E$2:$E$3143),
Master_Mapping_Sheet!$C$2:$C$3143=AX$1,
Master_Mapping_Sheet!$L$2:$L$3143=$A16))/sum(filter(
Mas"&amp;"ter_Mapping_Sheet!$E$2:$E$3143, ISNUMBER(
Master_Mapping_Sheet!$E$2:$E$3143),
Master_Mapping_Sheet!$C$2:$C$3143=AX$1)))"),0.0)</f>
        <v>0</v>
      </c>
      <c r="AY16" s="34">
        <f>IFERROR(__xludf.DUMMYFUNCTION("IF(ISNA(sum(filter(
Master_Mapping_Sheet!$E$2:$E$3143, ISNUMBER(
Master_Mapping_Sheet!$E$2:$E$3143),
Master_Mapping_Sheet!$C$2:$C$3143=AY$1,
Master_Mapping_Sheet!$L$2:$L$3143=$A16))/sum(filter(
Master_Mapping_Sheet!$E$2:$E$3143, ISNUMBER(
Master_Mapping_S"&amp;"heet!$E$2:$E$3143),
Master_Mapping_Sheet!$C$2:$C$3143=AY$1))), 0, sum(filter(
Master_Mapping_Sheet!$E$2:$E$3143, ISNUMBER(
Master_Mapping_Sheet!$E$2:$E$3143),
Master_Mapping_Sheet!$C$2:$C$3143=AY$1,
Master_Mapping_Sheet!$L$2:$L$3143=$A16))/sum(filter(
Mas"&amp;"ter_Mapping_Sheet!$E$2:$E$3143, ISNUMBER(
Master_Mapping_Sheet!$E$2:$E$3143),
Master_Mapping_Sheet!$C$2:$C$3143=AY$1)))"),0.04973832485613577)</f>
        <v>0.04973832486</v>
      </c>
      <c r="AZ16" s="34">
        <f>IFERROR(__xludf.DUMMYFUNCTION("IF(ISNA(sum(filter(
Master_Mapping_Sheet!$E$2:$E$3143, ISNUMBER(
Master_Mapping_Sheet!$E$2:$E$3143),
Master_Mapping_Sheet!$C$2:$C$3143=AZ$1,
Master_Mapping_Sheet!$L$2:$L$3143=$A16))/sum(filter(
Master_Mapping_Sheet!$E$2:$E$3143, ISNUMBER(
Master_Mapping_S"&amp;"heet!$E$2:$E$3143),
Master_Mapping_Sheet!$C$2:$C$3143=AZ$1))), 0, sum(filter(
Master_Mapping_Sheet!$E$2:$E$3143, ISNUMBER(
Master_Mapping_Sheet!$E$2:$E$3143),
Master_Mapping_Sheet!$C$2:$C$3143=AZ$1,
Master_Mapping_Sheet!$L$2:$L$3143=$A16))/sum(filter(
Mas"&amp;"ter_Mapping_Sheet!$E$2:$E$3143, ISNUMBER(
Master_Mapping_Sheet!$E$2:$E$3143),
Master_Mapping_Sheet!$C$2:$C$3143=AZ$1)))"),0.0908832528331995)</f>
        <v>0.09088325283</v>
      </c>
    </row>
    <row r="17" ht="15.75" customHeight="1">
      <c r="A17" s="32">
        <v>8.0</v>
      </c>
      <c r="B17" s="34">
        <f>IFERROR(__xludf.DUMMYFUNCTION("IF(ISNA(sum(filter(
Master_Mapping_Sheet!$E$2:$E$3143, ISNUMBER(
Master_Mapping_Sheet!$E$2:$E$3143),
Master_Mapping_Sheet!$C$2:$C$3143=B$1,
Master_Mapping_Sheet!$L$2:$L$3143=$A17))/sum(filter(
Master_Mapping_Sheet!$E$2:$E$3143, ISNUMBER(
Master_Mapping_Sh"&amp;"eet!$E$2:$E$3143),
Master_Mapping_Sheet!$C$2:$C$3143=B$1))), 0, sum(filter(
Master_Mapping_Sheet!$E$2:$E$3143, ISNUMBER(
Master_Mapping_Sheet!$E$2:$E$3143),
Master_Mapping_Sheet!$C$2:$C$3143=B$1,
Master_Mapping_Sheet!$L$2:$L$3143=$A17))/sum(filter(
Master"&amp;"_Mapping_Sheet!$E$2:$E$3143, ISNUMBER(
Master_Mapping_Sheet!$E$2:$E$3143),
Master_Mapping_Sheet!$C$2:$C$3143=B$1)))"),0.0)</f>
        <v>0</v>
      </c>
      <c r="C17" s="34">
        <f>IFERROR(__xludf.DUMMYFUNCTION("IF(ISNA(sum(filter(
Master_Mapping_Sheet!$E$2:$E$3143, ISNUMBER(
Master_Mapping_Sheet!$E$2:$E$3143),
Master_Mapping_Sheet!$C$2:$C$3143=C$1,
Master_Mapping_Sheet!$L$2:$L$3143=$A17))/sum(filter(
Master_Mapping_Sheet!$E$2:$E$3143, ISNUMBER(
Master_Mapping_Sh"&amp;"eet!$E$2:$E$3143),
Master_Mapping_Sheet!$C$2:$C$3143=C$1))), 0, sum(filter(
Master_Mapping_Sheet!$E$2:$E$3143, ISNUMBER(
Master_Mapping_Sheet!$E$2:$E$3143),
Master_Mapping_Sheet!$C$2:$C$3143=C$1,
Master_Mapping_Sheet!$L$2:$L$3143=$A17))/sum(filter(
Master"&amp;"_Mapping_Sheet!$E$2:$E$3143, ISNUMBER(
Master_Mapping_Sheet!$E$2:$E$3143),
Master_Mapping_Sheet!$C$2:$C$3143=C$1)))"),0.22587684900397592)</f>
        <v>0.225876849</v>
      </c>
      <c r="D17" s="34">
        <f>IFERROR(__xludf.DUMMYFUNCTION("IF(ISNA(sum(filter(
Master_Mapping_Sheet!$E$2:$E$3143, ISNUMBER(
Master_Mapping_Sheet!$E$2:$E$3143),
Master_Mapping_Sheet!$C$2:$C$3143=D$1,
Master_Mapping_Sheet!$L$2:$L$3143=$A17))/sum(filter(
Master_Mapping_Sheet!$E$2:$E$3143, ISNUMBER(
Master_Mapping_Sh"&amp;"eet!$E$2:$E$3143),
Master_Mapping_Sheet!$C$2:$C$3143=D$1))), 0, sum(filter(
Master_Mapping_Sheet!$E$2:$E$3143, ISNUMBER(
Master_Mapping_Sheet!$E$2:$E$3143),
Master_Mapping_Sheet!$C$2:$C$3143=D$1,
Master_Mapping_Sheet!$L$2:$L$3143=$A17))/sum(filter(
Master"&amp;"_Mapping_Sheet!$E$2:$E$3143, ISNUMBER(
Master_Mapping_Sheet!$E$2:$E$3143),
Master_Mapping_Sheet!$C$2:$C$3143=D$1)))"),0.0)</f>
        <v>0</v>
      </c>
      <c r="E17" s="34">
        <f>IFERROR(__xludf.DUMMYFUNCTION("IF(ISNA(sum(filter(
Master_Mapping_Sheet!$E$2:$E$3143, ISNUMBER(
Master_Mapping_Sheet!$E$2:$E$3143),
Master_Mapping_Sheet!$C$2:$C$3143=E$1,
Master_Mapping_Sheet!$L$2:$L$3143=$A17))/sum(filter(
Master_Mapping_Sheet!$E$2:$E$3143, ISNUMBER(
Master_Mapping_Sh"&amp;"eet!$E$2:$E$3143),
Master_Mapping_Sheet!$C$2:$C$3143=E$1))), 0, sum(filter(
Master_Mapping_Sheet!$E$2:$E$3143, ISNUMBER(
Master_Mapping_Sheet!$E$2:$E$3143),
Master_Mapping_Sheet!$C$2:$C$3143=E$1,
Master_Mapping_Sheet!$L$2:$L$3143=$A17))/sum(filter(
Master"&amp;"_Mapping_Sheet!$E$2:$E$3143, ISNUMBER(
Master_Mapping_Sheet!$E$2:$E$3143),
Master_Mapping_Sheet!$C$2:$C$3143=E$1)))"),0.0)</f>
        <v>0</v>
      </c>
      <c r="F17" s="34">
        <f>IFERROR(__xludf.DUMMYFUNCTION("IF(ISNA(sum(filter(
Master_Mapping_Sheet!$E$2:$E$3143, ISNUMBER(
Master_Mapping_Sheet!$E$2:$E$3143),
Master_Mapping_Sheet!$C$2:$C$3143=F$1,
Master_Mapping_Sheet!$L$2:$L$3143=$A17))/sum(filter(
Master_Mapping_Sheet!$E$2:$E$3143, ISNUMBER(
Master_Mapping_Sh"&amp;"eet!$E$2:$E$3143),
Master_Mapping_Sheet!$C$2:$C$3143=F$1))), 0, sum(filter(
Master_Mapping_Sheet!$E$2:$E$3143, ISNUMBER(
Master_Mapping_Sheet!$E$2:$E$3143),
Master_Mapping_Sheet!$C$2:$C$3143=F$1,
Master_Mapping_Sheet!$L$2:$L$3143=$A17))/sum(filter(
Master"&amp;"_Mapping_Sheet!$E$2:$E$3143, ISNUMBER(
Master_Mapping_Sheet!$E$2:$E$3143),
Master_Mapping_Sheet!$C$2:$C$3143=F$1)))"),0.0)</f>
        <v>0</v>
      </c>
      <c r="G17" s="34">
        <f>IFERROR(__xludf.DUMMYFUNCTION("IF(ISNA(sum(filter(
Master_Mapping_Sheet!$E$2:$E$3143, ISNUMBER(
Master_Mapping_Sheet!$E$2:$E$3143),
Master_Mapping_Sheet!$C$2:$C$3143=G$1,
Master_Mapping_Sheet!$L$2:$L$3143=$A17))/sum(filter(
Master_Mapping_Sheet!$E$2:$E$3143, ISNUMBER(
Master_Mapping_Sh"&amp;"eet!$E$2:$E$3143),
Master_Mapping_Sheet!$C$2:$C$3143=G$1))), 0, sum(filter(
Master_Mapping_Sheet!$E$2:$E$3143, ISNUMBER(
Master_Mapping_Sheet!$E$2:$E$3143),
Master_Mapping_Sheet!$C$2:$C$3143=G$1,
Master_Mapping_Sheet!$L$2:$L$3143=$A17))/sum(filter(
Master"&amp;"_Mapping_Sheet!$E$2:$E$3143, ISNUMBER(
Master_Mapping_Sheet!$E$2:$E$3143),
Master_Mapping_Sheet!$C$2:$C$3143=G$1)))"),0.0)</f>
        <v>0</v>
      </c>
      <c r="H17" s="34">
        <f>IFERROR(__xludf.DUMMYFUNCTION("IF(ISNA(sum(filter(
Master_Mapping_Sheet!$E$2:$E$3143, ISNUMBER(
Master_Mapping_Sheet!$E$2:$E$3143),
Master_Mapping_Sheet!$C$2:$C$3143=H$1,
Master_Mapping_Sheet!$L$2:$L$3143=$A17))/sum(filter(
Master_Mapping_Sheet!$E$2:$E$3143, ISNUMBER(
Master_Mapping_Sh"&amp;"eet!$E$2:$E$3143),
Master_Mapping_Sheet!$C$2:$C$3143=H$1))), 0, sum(filter(
Master_Mapping_Sheet!$E$2:$E$3143, ISNUMBER(
Master_Mapping_Sheet!$E$2:$E$3143),
Master_Mapping_Sheet!$C$2:$C$3143=H$1,
Master_Mapping_Sheet!$L$2:$L$3143=$A17))/sum(filter(
Master"&amp;"_Mapping_Sheet!$E$2:$E$3143, ISNUMBER(
Master_Mapping_Sheet!$E$2:$E$3143),
Master_Mapping_Sheet!$C$2:$C$3143=H$1)))"),0.0)</f>
        <v>0</v>
      </c>
      <c r="I17" s="34">
        <f>IFERROR(__xludf.DUMMYFUNCTION("IF(ISNA(sum(filter(
Master_Mapping_Sheet!$E$2:$E$3143, ISNUMBER(
Master_Mapping_Sheet!$E$2:$E$3143),
Master_Mapping_Sheet!$C$2:$C$3143=I$1,
Master_Mapping_Sheet!$L$2:$L$3143=$A17))/sum(filter(
Master_Mapping_Sheet!$E$2:$E$3143, ISNUMBER(
Master_Mapping_Sh"&amp;"eet!$E$2:$E$3143),
Master_Mapping_Sheet!$C$2:$C$3143=I$1))), 0, sum(filter(
Master_Mapping_Sheet!$E$2:$E$3143, ISNUMBER(
Master_Mapping_Sheet!$E$2:$E$3143),
Master_Mapping_Sheet!$C$2:$C$3143=I$1,
Master_Mapping_Sheet!$L$2:$L$3143=$A17))/sum(filter(
Master"&amp;"_Mapping_Sheet!$E$2:$E$3143, ISNUMBER(
Master_Mapping_Sheet!$E$2:$E$3143),
Master_Mapping_Sheet!$C$2:$C$3143=I$1)))"),0.0)</f>
        <v>0</v>
      </c>
      <c r="J17" s="34">
        <f>IFERROR(__xludf.DUMMYFUNCTION("IF(ISNA(sum(filter(
Master_Mapping_Sheet!$E$2:$E$3143, ISNUMBER(
Master_Mapping_Sheet!$E$2:$E$3143),
Master_Mapping_Sheet!$C$2:$C$3143=J$1,
Master_Mapping_Sheet!$L$2:$L$3143=$A17))/sum(filter(
Master_Mapping_Sheet!$E$2:$E$3143, ISNUMBER(
Master_Mapping_Sh"&amp;"eet!$E$2:$E$3143),
Master_Mapping_Sheet!$C$2:$C$3143=J$1))), 0, sum(filter(
Master_Mapping_Sheet!$E$2:$E$3143, ISNUMBER(
Master_Mapping_Sheet!$E$2:$E$3143),
Master_Mapping_Sheet!$C$2:$C$3143=J$1,
Master_Mapping_Sheet!$L$2:$L$3143=$A17))/sum(filter(
Master"&amp;"_Mapping_Sheet!$E$2:$E$3143, ISNUMBER(
Master_Mapping_Sheet!$E$2:$E$3143),
Master_Mapping_Sheet!$C$2:$C$3143=J$1)))"),0.0)</f>
        <v>0</v>
      </c>
      <c r="K17" s="34">
        <f>IFERROR(__xludf.DUMMYFUNCTION("IF(ISNA(sum(filter(
Master_Mapping_Sheet!$E$2:$E$3143, ISNUMBER(
Master_Mapping_Sheet!$E$2:$E$3143),
Master_Mapping_Sheet!$C$2:$C$3143=K$1,
Master_Mapping_Sheet!$L$2:$L$3143=$A17))/sum(filter(
Master_Mapping_Sheet!$E$2:$E$3143, ISNUMBER(
Master_Mapping_Sh"&amp;"eet!$E$2:$E$3143),
Master_Mapping_Sheet!$C$2:$C$3143=K$1))), 0, sum(filter(
Master_Mapping_Sheet!$E$2:$E$3143, ISNUMBER(
Master_Mapping_Sheet!$E$2:$E$3143),
Master_Mapping_Sheet!$C$2:$C$3143=K$1,
Master_Mapping_Sheet!$L$2:$L$3143=$A17))/sum(filter(
Master"&amp;"_Mapping_Sheet!$E$2:$E$3143, ISNUMBER(
Master_Mapping_Sheet!$E$2:$E$3143),
Master_Mapping_Sheet!$C$2:$C$3143=K$1)))"),0.0)</f>
        <v>0</v>
      </c>
      <c r="L17" s="34">
        <f>IFERROR(__xludf.DUMMYFUNCTION("IF(ISNA(sum(filter(
Master_Mapping_Sheet!$E$2:$E$3143, ISNUMBER(
Master_Mapping_Sheet!$E$2:$E$3143),
Master_Mapping_Sheet!$C$2:$C$3143=L$1,
Master_Mapping_Sheet!$L$2:$L$3143=$A17))/sum(filter(
Master_Mapping_Sheet!$E$2:$E$3143, ISNUMBER(
Master_Mapping_Sh"&amp;"eet!$E$2:$E$3143),
Master_Mapping_Sheet!$C$2:$C$3143=L$1))), 0, sum(filter(
Master_Mapping_Sheet!$E$2:$E$3143, ISNUMBER(
Master_Mapping_Sheet!$E$2:$E$3143),
Master_Mapping_Sheet!$C$2:$C$3143=L$1,
Master_Mapping_Sheet!$L$2:$L$3143=$A17))/sum(filter(
Master"&amp;"_Mapping_Sheet!$E$2:$E$3143, ISNUMBER(
Master_Mapping_Sheet!$E$2:$E$3143),
Master_Mapping_Sheet!$C$2:$C$3143=L$1)))"),0.0)</f>
        <v>0</v>
      </c>
      <c r="M17" s="34">
        <f>IFERROR(__xludf.DUMMYFUNCTION("IF(ISNA(sum(filter(
Master_Mapping_Sheet!$E$2:$E$3143, ISNUMBER(
Master_Mapping_Sheet!$E$2:$E$3143),
Master_Mapping_Sheet!$C$2:$C$3143=M$1,
Master_Mapping_Sheet!$L$2:$L$3143=$A17))/sum(filter(
Master_Mapping_Sheet!$E$2:$E$3143, ISNUMBER(
Master_Mapping_Sh"&amp;"eet!$E$2:$E$3143),
Master_Mapping_Sheet!$C$2:$C$3143=M$1))), 0, sum(filter(
Master_Mapping_Sheet!$E$2:$E$3143, ISNUMBER(
Master_Mapping_Sheet!$E$2:$E$3143),
Master_Mapping_Sheet!$C$2:$C$3143=M$1,
Master_Mapping_Sheet!$L$2:$L$3143=$A17))/sum(filter(
Master"&amp;"_Mapping_Sheet!$E$2:$E$3143, ISNUMBER(
Master_Mapping_Sheet!$E$2:$E$3143),
Master_Mapping_Sheet!$C$2:$C$3143=M$1)))"),0.0)</f>
        <v>0</v>
      </c>
      <c r="N17" s="34">
        <f>IFERROR(__xludf.DUMMYFUNCTION("IF(ISNA(sum(filter(
Master_Mapping_Sheet!$E$2:$E$3143, ISNUMBER(
Master_Mapping_Sheet!$E$2:$E$3143),
Master_Mapping_Sheet!$C$2:$C$3143=N$1,
Master_Mapping_Sheet!$L$2:$L$3143=$A17))/sum(filter(
Master_Mapping_Sheet!$E$2:$E$3143, ISNUMBER(
Master_Mapping_Sh"&amp;"eet!$E$2:$E$3143),
Master_Mapping_Sheet!$C$2:$C$3143=N$1))), 0, sum(filter(
Master_Mapping_Sheet!$E$2:$E$3143, ISNUMBER(
Master_Mapping_Sheet!$E$2:$E$3143),
Master_Mapping_Sheet!$C$2:$C$3143=N$1,
Master_Mapping_Sheet!$L$2:$L$3143=$A17))/sum(filter(
Master"&amp;"_Mapping_Sheet!$E$2:$E$3143, ISNUMBER(
Master_Mapping_Sheet!$E$2:$E$3143),
Master_Mapping_Sheet!$C$2:$C$3143=N$1)))"),0.0)</f>
        <v>0</v>
      </c>
      <c r="O17" s="34">
        <f>IFERROR(__xludf.DUMMYFUNCTION("IF(ISNA(sum(filter(
Master_Mapping_Sheet!$E$2:$E$3143, ISNUMBER(
Master_Mapping_Sheet!$E$2:$E$3143),
Master_Mapping_Sheet!$C$2:$C$3143=O$1,
Master_Mapping_Sheet!$L$2:$L$3143=$A17))/sum(filter(
Master_Mapping_Sheet!$E$2:$E$3143, ISNUMBER(
Master_Mapping_Sh"&amp;"eet!$E$2:$E$3143),
Master_Mapping_Sheet!$C$2:$C$3143=O$1))), 0, sum(filter(
Master_Mapping_Sheet!$E$2:$E$3143, ISNUMBER(
Master_Mapping_Sheet!$E$2:$E$3143),
Master_Mapping_Sheet!$C$2:$C$3143=O$1,
Master_Mapping_Sheet!$L$2:$L$3143=$A17))/sum(filter(
Master"&amp;"_Mapping_Sheet!$E$2:$E$3143, ISNUMBER(
Master_Mapping_Sheet!$E$2:$E$3143),
Master_Mapping_Sheet!$C$2:$C$3143=O$1)))"),0.0)</f>
        <v>0</v>
      </c>
      <c r="P17" s="34">
        <f>IFERROR(__xludf.DUMMYFUNCTION("IF(ISNA(sum(filter(
Master_Mapping_Sheet!$E$2:$E$3143, ISNUMBER(
Master_Mapping_Sheet!$E$2:$E$3143),
Master_Mapping_Sheet!$C$2:$C$3143=P$1,
Master_Mapping_Sheet!$L$2:$L$3143=$A17))/sum(filter(
Master_Mapping_Sheet!$E$2:$E$3143, ISNUMBER(
Master_Mapping_Sh"&amp;"eet!$E$2:$E$3143),
Master_Mapping_Sheet!$C$2:$C$3143=P$1))), 0, sum(filter(
Master_Mapping_Sheet!$E$2:$E$3143, ISNUMBER(
Master_Mapping_Sheet!$E$2:$E$3143),
Master_Mapping_Sheet!$C$2:$C$3143=P$1,
Master_Mapping_Sheet!$L$2:$L$3143=$A17))/sum(filter(
Master"&amp;"_Mapping_Sheet!$E$2:$E$3143, ISNUMBER(
Master_Mapping_Sheet!$E$2:$E$3143),
Master_Mapping_Sheet!$C$2:$C$3143=P$1)))"),0.0)</f>
        <v>0</v>
      </c>
      <c r="Q17" s="34">
        <f>IFERROR(__xludf.DUMMYFUNCTION("IF(ISNA(sum(filter(
Master_Mapping_Sheet!$E$2:$E$3143, ISNUMBER(
Master_Mapping_Sheet!$E$2:$E$3143),
Master_Mapping_Sheet!$C$2:$C$3143=Q$1,
Master_Mapping_Sheet!$L$2:$L$3143=$A17))/sum(filter(
Master_Mapping_Sheet!$E$2:$E$3143, ISNUMBER(
Master_Mapping_Sh"&amp;"eet!$E$2:$E$3143),
Master_Mapping_Sheet!$C$2:$C$3143=Q$1))), 0, sum(filter(
Master_Mapping_Sheet!$E$2:$E$3143, ISNUMBER(
Master_Mapping_Sheet!$E$2:$E$3143),
Master_Mapping_Sheet!$C$2:$C$3143=Q$1,
Master_Mapping_Sheet!$L$2:$L$3143=$A17))/sum(filter(
Master"&amp;"_Mapping_Sheet!$E$2:$E$3143, ISNUMBER(
Master_Mapping_Sheet!$E$2:$E$3143),
Master_Mapping_Sheet!$C$2:$C$3143=Q$1)))"),0.0)</f>
        <v>0</v>
      </c>
      <c r="R17" s="34">
        <f>IFERROR(__xludf.DUMMYFUNCTION("IF(ISNA(sum(filter(
Master_Mapping_Sheet!$E$2:$E$3143, ISNUMBER(
Master_Mapping_Sheet!$E$2:$E$3143),
Master_Mapping_Sheet!$C$2:$C$3143=R$1,
Master_Mapping_Sheet!$L$2:$L$3143=$A17))/sum(filter(
Master_Mapping_Sheet!$E$2:$E$3143, ISNUMBER(
Master_Mapping_Sh"&amp;"eet!$E$2:$E$3143),
Master_Mapping_Sheet!$C$2:$C$3143=R$1))), 0, sum(filter(
Master_Mapping_Sheet!$E$2:$E$3143, ISNUMBER(
Master_Mapping_Sheet!$E$2:$E$3143),
Master_Mapping_Sheet!$C$2:$C$3143=R$1,
Master_Mapping_Sheet!$L$2:$L$3143=$A17))/sum(filter(
Master"&amp;"_Mapping_Sheet!$E$2:$E$3143, ISNUMBER(
Master_Mapping_Sheet!$E$2:$E$3143),
Master_Mapping_Sheet!$C$2:$C$3143=R$1)))"),0.0)</f>
        <v>0</v>
      </c>
      <c r="S17" s="34">
        <f>IFERROR(__xludf.DUMMYFUNCTION("IF(ISNA(sum(filter(
Master_Mapping_Sheet!$E$2:$E$3143, ISNUMBER(
Master_Mapping_Sheet!$E$2:$E$3143),
Master_Mapping_Sheet!$C$2:$C$3143=S$1,
Master_Mapping_Sheet!$L$2:$L$3143=$A17))/sum(filter(
Master_Mapping_Sheet!$E$2:$E$3143, ISNUMBER(
Master_Mapping_Sh"&amp;"eet!$E$2:$E$3143),
Master_Mapping_Sheet!$C$2:$C$3143=S$1))), 0, sum(filter(
Master_Mapping_Sheet!$E$2:$E$3143, ISNUMBER(
Master_Mapping_Sheet!$E$2:$E$3143),
Master_Mapping_Sheet!$C$2:$C$3143=S$1,
Master_Mapping_Sheet!$L$2:$L$3143=$A17))/sum(filter(
Master"&amp;"_Mapping_Sheet!$E$2:$E$3143, ISNUMBER(
Master_Mapping_Sheet!$E$2:$E$3143),
Master_Mapping_Sheet!$C$2:$C$3143=S$1)))"),0.0)</f>
        <v>0</v>
      </c>
      <c r="T17" s="34">
        <f>IFERROR(__xludf.DUMMYFUNCTION("IF(ISNA(sum(filter(
Master_Mapping_Sheet!$E$2:$E$3143, ISNUMBER(
Master_Mapping_Sheet!$E$2:$E$3143),
Master_Mapping_Sheet!$C$2:$C$3143=T$1,
Master_Mapping_Sheet!$L$2:$L$3143=$A17))/sum(filter(
Master_Mapping_Sheet!$E$2:$E$3143, ISNUMBER(
Master_Mapping_Sh"&amp;"eet!$E$2:$E$3143),
Master_Mapping_Sheet!$C$2:$C$3143=T$1))), 0, sum(filter(
Master_Mapping_Sheet!$E$2:$E$3143, ISNUMBER(
Master_Mapping_Sheet!$E$2:$E$3143),
Master_Mapping_Sheet!$C$2:$C$3143=T$1,
Master_Mapping_Sheet!$L$2:$L$3143=$A17))/sum(filter(
Master"&amp;"_Mapping_Sheet!$E$2:$E$3143, ISNUMBER(
Master_Mapping_Sheet!$E$2:$E$3143),
Master_Mapping_Sheet!$C$2:$C$3143=T$1)))"),0.0)</f>
        <v>0</v>
      </c>
      <c r="U17" s="34">
        <f>IFERROR(__xludf.DUMMYFUNCTION("IF(ISNA(sum(filter(
Master_Mapping_Sheet!$E$2:$E$3143, ISNUMBER(
Master_Mapping_Sheet!$E$2:$E$3143),
Master_Mapping_Sheet!$C$2:$C$3143=U$1,
Master_Mapping_Sheet!$L$2:$L$3143=$A17))/sum(filter(
Master_Mapping_Sheet!$E$2:$E$3143, ISNUMBER(
Master_Mapping_Sh"&amp;"eet!$E$2:$E$3143),
Master_Mapping_Sheet!$C$2:$C$3143=U$1))), 0, sum(filter(
Master_Mapping_Sheet!$E$2:$E$3143, ISNUMBER(
Master_Mapping_Sheet!$E$2:$E$3143),
Master_Mapping_Sheet!$C$2:$C$3143=U$1,
Master_Mapping_Sheet!$L$2:$L$3143=$A17))/sum(filter(
Master"&amp;"_Mapping_Sheet!$E$2:$E$3143, ISNUMBER(
Master_Mapping_Sheet!$E$2:$E$3143),
Master_Mapping_Sheet!$C$2:$C$3143=U$1)))"),0.0)</f>
        <v>0</v>
      </c>
      <c r="V17" s="34">
        <f>IFERROR(__xludf.DUMMYFUNCTION("IF(ISNA(sum(filter(
Master_Mapping_Sheet!$E$2:$E$3143, ISNUMBER(
Master_Mapping_Sheet!$E$2:$E$3143),
Master_Mapping_Sheet!$C$2:$C$3143=V$1,
Master_Mapping_Sheet!$L$2:$L$3143=$A17))/sum(filter(
Master_Mapping_Sheet!$E$2:$E$3143, ISNUMBER(
Master_Mapping_Sh"&amp;"eet!$E$2:$E$3143),
Master_Mapping_Sheet!$C$2:$C$3143=V$1))), 0, sum(filter(
Master_Mapping_Sheet!$E$2:$E$3143, ISNUMBER(
Master_Mapping_Sheet!$E$2:$E$3143),
Master_Mapping_Sheet!$C$2:$C$3143=V$1,
Master_Mapping_Sheet!$L$2:$L$3143=$A17))/sum(filter(
Master"&amp;"_Mapping_Sheet!$E$2:$E$3143, ISNUMBER(
Master_Mapping_Sheet!$E$2:$E$3143),
Master_Mapping_Sheet!$C$2:$C$3143=V$1)))"),0.0)</f>
        <v>0</v>
      </c>
      <c r="W17" s="34">
        <f>IFERROR(__xludf.DUMMYFUNCTION("IF(ISNA(sum(filter(
Master_Mapping_Sheet!$E$2:$E$3143, ISNUMBER(
Master_Mapping_Sheet!$E$2:$E$3143),
Master_Mapping_Sheet!$C$2:$C$3143=W$1,
Master_Mapping_Sheet!$L$2:$L$3143=$A17))/sum(filter(
Master_Mapping_Sheet!$E$2:$E$3143, ISNUMBER(
Master_Mapping_Sh"&amp;"eet!$E$2:$E$3143),
Master_Mapping_Sheet!$C$2:$C$3143=W$1))), 0, sum(filter(
Master_Mapping_Sheet!$E$2:$E$3143, ISNUMBER(
Master_Mapping_Sheet!$E$2:$E$3143),
Master_Mapping_Sheet!$C$2:$C$3143=W$1,
Master_Mapping_Sheet!$L$2:$L$3143=$A17))/sum(filter(
Master"&amp;"_Mapping_Sheet!$E$2:$E$3143, ISNUMBER(
Master_Mapping_Sheet!$E$2:$E$3143),
Master_Mapping_Sheet!$C$2:$C$3143=W$1)))"),0.0)</f>
        <v>0</v>
      </c>
      <c r="X17" s="34">
        <f>IFERROR(__xludf.DUMMYFUNCTION("IF(ISNA(sum(filter(
Master_Mapping_Sheet!$E$2:$E$3143, ISNUMBER(
Master_Mapping_Sheet!$E$2:$E$3143),
Master_Mapping_Sheet!$C$2:$C$3143=X$1,
Master_Mapping_Sheet!$L$2:$L$3143=$A17))/sum(filter(
Master_Mapping_Sheet!$E$2:$E$3143, ISNUMBER(
Master_Mapping_Sh"&amp;"eet!$E$2:$E$3143),
Master_Mapping_Sheet!$C$2:$C$3143=X$1))), 0, sum(filter(
Master_Mapping_Sheet!$E$2:$E$3143, ISNUMBER(
Master_Mapping_Sheet!$E$2:$E$3143),
Master_Mapping_Sheet!$C$2:$C$3143=X$1,
Master_Mapping_Sheet!$L$2:$L$3143=$A17))/sum(filter(
Master"&amp;"_Mapping_Sheet!$E$2:$E$3143, ISNUMBER(
Master_Mapping_Sheet!$E$2:$E$3143),
Master_Mapping_Sheet!$C$2:$C$3143=X$1)))"),0.0)</f>
        <v>0</v>
      </c>
      <c r="Y17" s="34">
        <f>IFERROR(__xludf.DUMMYFUNCTION("IF(ISNA(sum(filter(
Master_Mapping_Sheet!$E$2:$E$3143, ISNUMBER(
Master_Mapping_Sheet!$E$2:$E$3143),
Master_Mapping_Sheet!$C$2:$C$3143=Y$1,
Master_Mapping_Sheet!$L$2:$L$3143=$A17))/sum(filter(
Master_Mapping_Sheet!$E$2:$E$3143, ISNUMBER(
Master_Mapping_Sh"&amp;"eet!$E$2:$E$3143),
Master_Mapping_Sheet!$C$2:$C$3143=Y$1))), 0, sum(filter(
Master_Mapping_Sheet!$E$2:$E$3143, ISNUMBER(
Master_Mapping_Sheet!$E$2:$E$3143),
Master_Mapping_Sheet!$C$2:$C$3143=Y$1,
Master_Mapping_Sheet!$L$2:$L$3143=$A17))/sum(filter(
Master"&amp;"_Mapping_Sheet!$E$2:$E$3143, ISNUMBER(
Master_Mapping_Sheet!$E$2:$E$3143),
Master_Mapping_Sheet!$C$2:$C$3143=Y$1)))"),0.0)</f>
        <v>0</v>
      </c>
      <c r="Z17" s="34">
        <f>IFERROR(__xludf.DUMMYFUNCTION("IF(ISNA(sum(filter(
Master_Mapping_Sheet!$E$2:$E$3143, ISNUMBER(
Master_Mapping_Sheet!$E$2:$E$3143),
Master_Mapping_Sheet!$C$2:$C$3143=Z$1,
Master_Mapping_Sheet!$L$2:$L$3143=$A17))/sum(filter(
Master_Mapping_Sheet!$E$2:$E$3143, ISNUMBER(
Master_Mapping_Sh"&amp;"eet!$E$2:$E$3143),
Master_Mapping_Sheet!$C$2:$C$3143=Z$1))), 0, sum(filter(
Master_Mapping_Sheet!$E$2:$E$3143, ISNUMBER(
Master_Mapping_Sheet!$E$2:$E$3143),
Master_Mapping_Sheet!$C$2:$C$3143=Z$1,
Master_Mapping_Sheet!$L$2:$L$3143=$A17))/sum(filter(
Master"&amp;"_Mapping_Sheet!$E$2:$E$3143, ISNUMBER(
Master_Mapping_Sheet!$E$2:$E$3143),
Master_Mapping_Sheet!$C$2:$C$3143=Z$1)))"),0.0)</f>
        <v>0</v>
      </c>
      <c r="AA17" s="34">
        <f>IFERROR(__xludf.DUMMYFUNCTION("IF(ISNA(sum(filter(
Master_Mapping_Sheet!$E$2:$E$3143, ISNUMBER(
Master_Mapping_Sheet!$E$2:$E$3143),
Master_Mapping_Sheet!$C$2:$C$3143=AA$1,
Master_Mapping_Sheet!$L$2:$L$3143=$A17))/sum(filter(
Master_Mapping_Sheet!$E$2:$E$3143, ISNUMBER(
Master_Mapping_S"&amp;"heet!$E$2:$E$3143),
Master_Mapping_Sheet!$C$2:$C$3143=AA$1))), 0, sum(filter(
Master_Mapping_Sheet!$E$2:$E$3143, ISNUMBER(
Master_Mapping_Sheet!$E$2:$E$3143),
Master_Mapping_Sheet!$C$2:$C$3143=AA$1,
Master_Mapping_Sheet!$L$2:$L$3143=$A17))/sum(filter(
Mas"&amp;"ter_Mapping_Sheet!$E$2:$E$3143, ISNUMBER(
Master_Mapping_Sheet!$E$2:$E$3143),
Master_Mapping_Sheet!$C$2:$C$3143=AA$1)))"),0.0)</f>
        <v>0</v>
      </c>
      <c r="AB17" s="34">
        <f>IFERROR(__xludf.DUMMYFUNCTION("IF(ISNA(sum(filter(
Master_Mapping_Sheet!$E$2:$E$3143, ISNUMBER(
Master_Mapping_Sheet!$E$2:$E$3143),
Master_Mapping_Sheet!$C$2:$C$3143=AB$1,
Master_Mapping_Sheet!$L$2:$L$3143=$A17))/sum(filter(
Master_Mapping_Sheet!$E$2:$E$3143, ISNUMBER(
Master_Mapping_S"&amp;"heet!$E$2:$E$3143),
Master_Mapping_Sheet!$C$2:$C$3143=AB$1))), 0, sum(filter(
Master_Mapping_Sheet!$E$2:$E$3143, ISNUMBER(
Master_Mapping_Sheet!$E$2:$E$3143),
Master_Mapping_Sheet!$C$2:$C$3143=AB$1,
Master_Mapping_Sheet!$L$2:$L$3143=$A17))/sum(filter(
Mas"&amp;"ter_Mapping_Sheet!$E$2:$E$3143, ISNUMBER(
Master_Mapping_Sheet!$E$2:$E$3143),
Master_Mapping_Sheet!$C$2:$C$3143=AB$1)))"),0.0)</f>
        <v>0</v>
      </c>
      <c r="AC17" s="34">
        <f>IFERROR(__xludf.DUMMYFUNCTION("IF(ISNA(sum(filter(
Master_Mapping_Sheet!$E$2:$E$3143, ISNUMBER(
Master_Mapping_Sheet!$E$2:$E$3143),
Master_Mapping_Sheet!$C$2:$C$3143=AC$1,
Master_Mapping_Sheet!$L$2:$L$3143=$A17))/sum(filter(
Master_Mapping_Sheet!$E$2:$E$3143, ISNUMBER(
Master_Mapping_S"&amp;"heet!$E$2:$E$3143),
Master_Mapping_Sheet!$C$2:$C$3143=AC$1))), 0, sum(filter(
Master_Mapping_Sheet!$E$2:$E$3143, ISNUMBER(
Master_Mapping_Sheet!$E$2:$E$3143),
Master_Mapping_Sheet!$C$2:$C$3143=AC$1,
Master_Mapping_Sheet!$L$2:$L$3143=$A17))/sum(filter(
Mas"&amp;"ter_Mapping_Sheet!$E$2:$E$3143, ISNUMBER(
Master_Mapping_Sheet!$E$2:$E$3143),
Master_Mapping_Sheet!$C$2:$C$3143=AC$1)))"),0.0)</f>
        <v>0</v>
      </c>
      <c r="AD17" s="34">
        <f>IFERROR(__xludf.DUMMYFUNCTION("IF(ISNA(sum(filter(
Master_Mapping_Sheet!$E$2:$E$3143, ISNUMBER(
Master_Mapping_Sheet!$E$2:$E$3143),
Master_Mapping_Sheet!$C$2:$C$3143=AD$1,
Master_Mapping_Sheet!$L$2:$L$3143=$A17))/sum(filter(
Master_Mapping_Sheet!$E$2:$E$3143, ISNUMBER(
Master_Mapping_S"&amp;"heet!$E$2:$E$3143),
Master_Mapping_Sheet!$C$2:$C$3143=AD$1))), 0, sum(filter(
Master_Mapping_Sheet!$E$2:$E$3143, ISNUMBER(
Master_Mapping_Sheet!$E$2:$E$3143),
Master_Mapping_Sheet!$C$2:$C$3143=AD$1,
Master_Mapping_Sheet!$L$2:$L$3143=$A17))/sum(filter(
Mas"&amp;"ter_Mapping_Sheet!$E$2:$E$3143, ISNUMBER(
Master_Mapping_Sheet!$E$2:$E$3143),
Master_Mapping_Sheet!$C$2:$C$3143=AD$1)))"),0.0)</f>
        <v>0</v>
      </c>
      <c r="AE17" s="34">
        <f>IFERROR(__xludf.DUMMYFUNCTION("IF(ISNA(sum(filter(
Master_Mapping_Sheet!$E$2:$E$3143, ISNUMBER(
Master_Mapping_Sheet!$E$2:$E$3143),
Master_Mapping_Sheet!$C$2:$C$3143=AE$1,
Master_Mapping_Sheet!$L$2:$L$3143=$A17))/sum(filter(
Master_Mapping_Sheet!$E$2:$E$3143, ISNUMBER(
Master_Mapping_S"&amp;"heet!$E$2:$E$3143),
Master_Mapping_Sheet!$C$2:$C$3143=AE$1))), 0, sum(filter(
Master_Mapping_Sheet!$E$2:$E$3143, ISNUMBER(
Master_Mapping_Sheet!$E$2:$E$3143),
Master_Mapping_Sheet!$C$2:$C$3143=AE$1,
Master_Mapping_Sheet!$L$2:$L$3143=$A17))/sum(filter(
Mas"&amp;"ter_Mapping_Sheet!$E$2:$E$3143, ISNUMBER(
Master_Mapping_Sheet!$E$2:$E$3143),
Master_Mapping_Sheet!$C$2:$C$3143=AE$1)))"),0.0)</f>
        <v>0</v>
      </c>
      <c r="AF17" s="34">
        <f>IFERROR(__xludf.DUMMYFUNCTION("IF(ISNA(sum(filter(
Master_Mapping_Sheet!$E$2:$E$3143, ISNUMBER(
Master_Mapping_Sheet!$E$2:$E$3143),
Master_Mapping_Sheet!$C$2:$C$3143=AF$1,
Master_Mapping_Sheet!$L$2:$L$3143=$A17))/sum(filter(
Master_Mapping_Sheet!$E$2:$E$3143, ISNUMBER(
Master_Mapping_S"&amp;"heet!$E$2:$E$3143),
Master_Mapping_Sheet!$C$2:$C$3143=AF$1))), 0, sum(filter(
Master_Mapping_Sheet!$E$2:$E$3143, ISNUMBER(
Master_Mapping_Sheet!$E$2:$E$3143),
Master_Mapping_Sheet!$C$2:$C$3143=AF$1,
Master_Mapping_Sheet!$L$2:$L$3143=$A17))/sum(filter(
Mas"&amp;"ter_Mapping_Sheet!$E$2:$E$3143, ISNUMBER(
Master_Mapping_Sheet!$E$2:$E$3143),
Master_Mapping_Sheet!$C$2:$C$3143=AF$1)))"),0.0)</f>
        <v>0</v>
      </c>
      <c r="AG17" s="34">
        <f>IFERROR(__xludf.DUMMYFUNCTION("IF(ISNA(sum(filter(
Master_Mapping_Sheet!$E$2:$E$3143, ISNUMBER(
Master_Mapping_Sheet!$E$2:$E$3143),
Master_Mapping_Sheet!$C$2:$C$3143=AG$1,
Master_Mapping_Sheet!$L$2:$L$3143=$A17))/sum(filter(
Master_Mapping_Sheet!$E$2:$E$3143, ISNUMBER(
Master_Mapping_S"&amp;"heet!$E$2:$E$3143),
Master_Mapping_Sheet!$C$2:$C$3143=AG$1))), 0, sum(filter(
Master_Mapping_Sheet!$E$2:$E$3143, ISNUMBER(
Master_Mapping_Sheet!$E$2:$E$3143),
Master_Mapping_Sheet!$C$2:$C$3143=AG$1,
Master_Mapping_Sheet!$L$2:$L$3143=$A17))/sum(filter(
Mas"&amp;"ter_Mapping_Sheet!$E$2:$E$3143, ISNUMBER(
Master_Mapping_Sheet!$E$2:$E$3143),
Master_Mapping_Sheet!$C$2:$C$3143=AG$1)))"),0.0)</f>
        <v>0</v>
      </c>
      <c r="AH17" s="34">
        <f>IFERROR(__xludf.DUMMYFUNCTION("IF(ISNA(sum(filter(
Master_Mapping_Sheet!$E$2:$E$3143, ISNUMBER(
Master_Mapping_Sheet!$E$2:$E$3143),
Master_Mapping_Sheet!$C$2:$C$3143=AH$1,
Master_Mapping_Sheet!$L$2:$L$3143=$A17))/sum(filter(
Master_Mapping_Sheet!$E$2:$E$3143, ISNUMBER(
Master_Mapping_S"&amp;"heet!$E$2:$E$3143),
Master_Mapping_Sheet!$C$2:$C$3143=AH$1))), 0, sum(filter(
Master_Mapping_Sheet!$E$2:$E$3143, ISNUMBER(
Master_Mapping_Sheet!$E$2:$E$3143),
Master_Mapping_Sheet!$C$2:$C$3143=AH$1,
Master_Mapping_Sheet!$L$2:$L$3143=$A17))/sum(filter(
Mas"&amp;"ter_Mapping_Sheet!$E$2:$E$3143, ISNUMBER(
Master_Mapping_Sheet!$E$2:$E$3143),
Master_Mapping_Sheet!$C$2:$C$3143=AH$1)))"),0.0)</f>
        <v>0</v>
      </c>
      <c r="AI17" s="34">
        <f>IFERROR(__xludf.DUMMYFUNCTION("IF(ISNA(sum(filter(
Master_Mapping_Sheet!$E$2:$E$3143, ISNUMBER(
Master_Mapping_Sheet!$E$2:$E$3143),
Master_Mapping_Sheet!$C$2:$C$3143=AI$1,
Master_Mapping_Sheet!$L$2:$L$3143=$A17))/sum(filter(
Master_Mapping_Sheet!$E$2:$E$3143, ISNUMBER(
Master_Mapping_S"&amp;"heet!$E$2:$E$3143),
Master_Mapping_Sheet!$C$2:$C$3143=AI$1))), 0, sum(filter(
Master_Mapping_Sheet!$E$2:$E$3143, ISNUMBER(
Master_Mapping_Sheet!$E$2:$E$3143),
Master_Mapping_Sheet!$C$2:$C$3143=AI$1,
Master_Mapping_Sheet!$L$2:$L$3143=$A17))/sum(filter(
Mas"&amp;"ter_Mapping_Sheet!$E$2:$E$3143, ISNUMBER(
Master_Mapping_Sheet!$E$2:$E$3143),
Master_Mapping_Sheet!$C$2:$C$3143=AI$1)))"),0.0)</f>
        <v>0</v>
      </c>
      <c r="AJ17" s="34">
        <f>IFERROR(__xludf.DUMMYFUNCTION("IF(ISNA(sum(filter(
Master_Mapping_Sheet!$E$2:$E$3143, ISNUMBER(
Master_Mapping_Sheet!$E$2:$E$3143),
Master_Mapping_Sheet!$C$2:$C$3143=AJ$1,
Master_Mapping_Sheet!$L$2:$L$3143=$A17))/sum(filter(
Master_Mapping_Sheet!$E$2:$E$3143, ISNUMBER(
Master_Mapping_S"&amp;"heet!$E$2:$E$3143),
Master_Mapping_Sheet!$C$2:$C$3143=AJ$1))), 0, sum(filter(
Master_Mapping_Sheet!$E$2:$E$3143, ISNUMBER(
Master_Mapping_Sheet!$E$2:$E$3143),
Master_Mapping_Sheet!$C$2:$C$3143=AJ$1,
Master_Mapping_Sheet!$L$2:$L$3143=$A17))/sum(filter(
Mas"&amp;"ter_Mapping_Sheet!$E$2:$E$3143, ISNUMBER(
Master_Mapping_Sheet!$E$2:$E$3143),
Master_Mapping_Sheet!$C$2:$C$3143=AJ$1)))"),0.0)</f>
        <v>0</v>
      </c>
      <c r="AK17" s="34">
        <f>IFERROR(__xludf.DUMMYFUNCTION("IF(ISNA(sum(filter(
Master_Mapping_Sheet!$E$2:$E$3143, ISNUMBER(
Master_Mapping_Sheet!$E$2:$E$3143),
Master_Mapping_Sheet!$C$2:$C$3143=AK$1,
Master_Mapping_Sheet!$L$2:$L$3143=$A17))/sum(filter(
Master_Mapping_Sheet!$E$2:$E$3143, ISNUMBER(
Master_Mapping_S"&amp;"heet!$E$2:$E$3143),
Master_Mapping_Sheet!$C$2:$C$3143=AK$1))), 0, sum(filter(
Master_Mapping_Sheet!$E$2:$E$3143, ISNUMBER(
Master_Mapping_Sheet!$E$2:$E$3143),
Master_Mapping_Sheet!$C$2:$C$3143=AK$1,
Master_Mapping_Sheet!$L$2:$L$3143=$A17))/sum(filter(
Mas"&amp;"ter_Mapping_Sheet!$E$2:$E$3143, ISNUMBER(
Master_Mapping_Sheet!$E$2:$E$3143),
Master_Mapping_Sheet!$C$2:$C$3143=AK$1)))"),0.0)</f>
        <v>0</v>
      </c>
      <c r="AL17" s="34">
        <f>IFERROR(__xludf.DUMMYFUNCTION("IF(ISNA(sum(filter(
Master_Mapping_Sheet!$E$2:$E$3143, ISNUMBER(
Master_Mapping_Sheet!$E$2:$E$3143),
Master_Mapping_Sheet!$C$2:$C$3143=AL$1,
Master_Mapping_Sheet!$L$2:$L$3143=$A17))/sum(filter(
Master_Mapping_Sheet!$E$2:$E$3143, ISNUMBER(
Master_Mapping_S"&amp;"heet!$E$2:$E$3143),
Master_Mapping_Sheet!$C$2:$C$3143=AL$1))), 0, sum(filter(
Master_Mapping_Sheet!$E$2:$E$3143, ISNUMBER(
Master_Mapping_Sheet!$E$2:$E$3143),
Master_Mapping_Sheet!$C$2:$C$3143=AL$1,
Master_Mapping_Sheet!$L$2:$L$3143=$A17))/sum(filter(
Mas"&amp;"ter_Mapping_Sheet!$E$2:$E$3143, ISNUMBER(
Master_Mapping_Sheet!$E$2:$E$3143),
Master_Mapping_Sheet!$C$2:$C$3143=AL$1)))"),0.0)</f>
        <v>0</v>
      </c>
      <c r="AM17" s="34">
        <f>IFERROR(__xludf.DUMMYFUNCTION("IF(ISNA(sum(filter(
Master_Mapping_Sheet!$E$2:$E$3143, ISNUMBER(
Master_Mapping_Sheet!$E$2:$E$3143),
Master_Mapping_Sheet!$C$2:$C$3143=AM$1,
Master_Mapping_Sheet!$L$2:$L$3143=$A17))/sum(filter(
Master_Mapping_Sheet!$E$2:$E$3143, ISNUMBER(
Master_Mapping_S"&amp;"heet!$E$2:$E$3143),
Master_Mapping_Sheet!$C$2:$C$3143=AM$1))), 0, sum(filter(
Master_Mapping_Sheet!$E$2:$E$3143, ISNUMBER(
Master_Mapping_Sheet!$E$2:$E$3143),
Master_Mapping_Sheet!$C$2:$C$3143=AM$1,
Master_Mapping_Sheet!$L$2:$L$3143=$A17))/sum(filter(
Mas"&amp;"ter_Mapping_Sheet!$E$2:$E$3143, ISNUMBER(
Master_Mapping_Sheet!$E$2:$E$3143),
Master_Mapping_Sheet!$C$2:$C$3143=AM$1)))"),0.0)</f>
        <v>0</v>
      </c>
      <c r="AN17" s="34">
        <f>IFERROR(__xludf.DUMMYFUNCTION("IF(ISNA(sum(filter(
Master_Mapping_Sheet!$E$2:$E$3143, ISNUMBER(
Master_Mapping_Sheet!$E$2:$E$3143),
Master_Mapping_Sheet!$C$2:$C$3143=AN$1,
Master_Mapping_Sheet!$L$2:$L$3143=$A17))/sum(filter(
Master_Mapping_Sheet!$E$2:$E$3143, ISNUMBER(
Master_Mapping_S"&amp;"heet!$E$2:$E$3143),
Master_Mapping_Sheet!$C$2:$C$3143=AN$1))), 0, sum(filter(
Master_Mapping_Sheet!$E$2:$E$3143, ISNUMBER(
Master_Mapping_Sheet!$E$2:$E$3143),
Master_Mapping_Sheet!$C$2:$C$3143=AN$1,
Master_Mapping_Sheet!$L$2:$L$3143=$A17))/sum(filter(
Mas"&amp;"ter_Mapping_Sheet!$E$2:$E$3143, ISNUMBER(
Master_Mapping_Sheet!$E$2:$E$3143),
Master_Mapping_Sheet!$C$2:$C$3143=AN$1)))"),0.0)</f>
        <v>0</v>
      </c>
      <c r="AO17" s="34">
        <f>IFERROR(__xludf.DUMMYFUNCTION("IF(ISNA(sum(filter(
Master_Mapping_Sheet!$E$2:$E$3143, ISNUMBER(
Master_Mapping_Sheet!$E$2:$E$3143),
Master_Mapping_Sheet!$C$2:$C$3143=AO$1,
Master_Mapping_Sheet!$L$2:$L$3143=$A17))/sum(filter(
Master_Mapping_Sheet!$E$2:$E$3143, ISNUMBER(
Master_Mapping_S"&amp;"heet!$E$2:$E$3143),
Master_Mapping_Sheet!$C$2:$C$3143=AO$1))), 0, sum(filter(
Master_Mapping_Sheet!$E$2:$E$3143, ISNUMBER(
Master_Mapping_Sheet!$E$2:$E$3143),
Master_Mapping_Sheet!$C$2:$C$3143=AO$1,
Master_Mapping_Sheet!$L$2:$L$3143=$A17))/sum(filter(
Mas"&amp;"ter_Mapping_Sheet!$E$2:$E$3143, ISNUMBER(
Master_Mapping_Sheet!$E$2:$E$3143),
Master_Mapping_Sheet!$C$2:$C$3143=AO$1)))"),0.0)</f>
        <v>0</v>
      </c>
      <c r="AP17" s="34">
        <f>IFERROR(__xludf.DUMMYFUNCTION("IF(ISNA(sum(filter(
Master_Mapping_Sheet!$E$2:$E$3143, ISNUMBER(
Master_Mapping_Sheet!$E$2:$E$3143),
Master_Mapping_Sheet!$C$2:$C$3143=AP$1,
Master_Mapping_Sheet!$L$2:$L$3143=$A17))/sum(filter(
Master_Mapping_Sheet!$E$2:$E$3143, ISNUMBER(
Master_Mapping_S"&amp;"heet!$E$2:$E$3143),
Master_Mapping_Sheet!$C$2:$C$3143=AP$1))), 0, sum(filter(
Master_Mapping_Sheet!$E$2:$E$3143, ISNUMBER(
Master_Mapping_Sheet!$E$2:$E$3143),
Master_Mapping_Sheet!$C$2:$C$3143=AP$1,
Master_Mapping_Sheet!$L$2:$L$3143=$A17))/sum(filter(
Mas"&amp;"ter_Mapping_Sheet!$E$2:$E$3143, ISNUMBER(
Master_Mapping_Sheet!$E$2:$E$3143),
Master_Mapping_Sheet!$C$2:$C$3143=AP$1)))"),0.0)</f>
        <v>0</v>
      </c>
      <c r="AQ17" s="34">
        <f>IFERROR(__xludf.DUMMYFUNCTION("IF(ISNA(sum(filter(
Master_Mapping_Sheet!$E$2:$E$3143, ISNUMBER(
Master_Mapping_Sheet!$E$2:$E$3143),
Master_Mapping_Sheet!$C$2:$C$3143=AQ$1,
Master_Mapping_Sheet!$L$2:$L$3143=$A17))/sum(filter(
Master_Mapping_Sheet!$E$2:$E$3143, ISNUMBER(
Master_Mapping_S"&amp;"heet!$E$2:$E$3143),
Master_Mapping_Sheet!$C$2:$C$3143=AQ$1))), 0, sum(filter(
Master_Mapping_Sheet!$E$2:$E$3143, ISNUMBER(
Master_Mapping_Sheet!$E$2:$E$3143),
Master_Mapping_Sheet!$C$2:$C$3143=AQ$1,
Master_Mapping_Sheet!$L$2:$L$3143=$A17))/sum(filter(
Mas"&amp;"ter_Mapping_Sheet!$E$2:$E$3143, ISNUMBER(
Master_Mapping_Sheet!$E$2:$E$3143),
Master_Mapping_Sheet!$C$2:$C$3143=AQ$1)))"),0.0)</f>
        <v>0</v>
      </c>
      <c r="AR17" s="34">
        <f>IFERROR(__xludf.DUMMYFUNCTION("IF(ISNA(sum(filter(
Master_Mapping_Sheet!$E$2:$E$3143, ISNUMBER(
Master_Mapping_Sheet!$E$2:$E$3143),
Master_Mapping_Sheet!$C$2:$C$3143=AR$1,
Master_Mapping_Sheet!$L$2:$L$3143=$A17))/sum(filter(
Master_Mapping_Sheet!$E$2:$E$3143, ISNUMBER(
Master_Mapping_S"&amp;"heet!$E$2:$E$3143),
Master_Mapping_Sheet!$C$2:$C$3143=AR$1))), 0, sum(filter(
Master_Mapping_Sheet!$E$2:$E$3143, ISNUMBER(
Master_Mapping_Sheet!$E$2:$E$3143),
Master_Mapping_Sheet!$C$2:$C$3143=AR$1,
Master_Mapping_Sheet!$L$2:$L$3143=$A17))/sum(filter(
Mas"&amp;"ter_Mapping_Sheet!$E$2:$E$3143, ISNUMBER(
Master_Mapping_Sheet!$E$2:$E$3143),
Master_Mapping_Sheet!$C$2:$C$3143=AR$1)))"),0.0)</f>
        <v>0</v>
      </c>
      <c r="AS17" s="34">
        <f>IFERROR(__xludf.DUMMYFUNCTION("IF(ISNA(sum(filter(
Master_Mapping_Sheet!$E$2:$E$3143, ISNUMBER(
Master_Mapping_Sheet!$E$2:$E$3143),
Master_Mapping_Sheet!$C$2:$C$3143=AS$1,
Master_Mapping_Sheet!$L$2:$L$3143=$A17))/sum(filter(
Master_Mapping_Sheet!$E$2:$E$3143, ISNUMBER(
Master_Mapping_S"&amp;"heet!$E$2:$E$3143),
Master_Mapping_Sheet!$C$2:$C$3143=AS$1))), 0, sum(filter(
Master_Mapping_Sheet!$E$2:$E$3143, ISNUMBER(
Master_Mapping_Sheet!$E$2:$E$3143),
Master_Mapping_Sheet!$C$2:$C$3143=AS$1,
Master_Mapping_Sheet!$L$2:$L$3143=$A17))/sum(filter(
Mas"&amp;"ter_Mapping_Sheet!$E$2:$E$3143, ISNUMBER(
Master_Mapping_Sheet!$E$2:$E$3143),
Master_Mapping_Sheet!$C$2:$C$3143=AS$1)))"),0.0)</f>
        <v>0</v>
      </c>
      <c r="AT17" s="34">
        <f>IFERROR(__xludf.DUMMYFUNCTION("IF(ISNA(sum(filter(
Master_Mapping_Sheet!$E$2:$E$3143, ISNUMBER(
Master_Mapping_Sheet!$E$2:$E$3143),
Master_Mapping_Sheet!$C$2:$C$3143=AT$1,
Master_Mapping_Sheet!$L$2:$L$3143=$A17))/sum(filter(
Master_Mapping_Sheet!$E$2:$E$3143, ISNUMBER(
Master_Mapping_S"&amp;"heet!$E$2:$E$3143),
Master_Mapping_Sheet!$C$2:$C$3143=AT$1))), 0, sum(filter(
Master_Mapping_Sheet!$E$2:$E$3143, ISNUMBER(
Master_Mapping_Sheet!$E$2:$E$3143),
Master_Mapping_Sheet!$C$2:$C$3143=AT$1,
Master_Mapping_Sheet!$L$2:$L$3143=$A17))/sum(filter(
Mas"&amp;"ter_Mapping_Sheet!$E$2:$E$3143, ISNUMBER(
Master_Mapping_Sheet!$E$2:$E$3143),
Master_Mapping_Sheet!$C$2:$C$3143=AT$1)))"),0.0)</f>
        <v>0</v>
      </c>
      <c r="AU17" s="34">
        <f>IFERROR(__xludf.DUMMYFUNCTION("IF(ISNA(sum(filter(
Master_Mapping_Sheet!$E$2:$E$3143, ISNUMBER(
Master_Mapping_Sheet!$E$2:$E$3143),
Master_Mapping_Sheet!$C$2:$C$3143=AU$1,
Master_Mapping_Sheet!$L$2:$L$3143=$A17))/sum(filter(
Master_Mapping_Sheet!$E$2:$E$3143, ISNUMBER(
Master_Mapping_S"&amp;"heet!$E$2:$E$3143),
Master_Mapping_Sheet!$C$2:$C$3143=AU$1))), 0, sum(filter(
Master_Mapping_Sheet!$E$2:$E$3143, ISNUMBER(
Master_Mapping_Sheet!$E$2:$E$3143),
Master_Mapping_Sheet!$C$2:$C$3143=AU$1,
Master_Mapping_Sheet!$L$2:$L$3143=$A17))/sum(filter(
Mas"&amp;"ter_Mapping_Sheet!$E$2:$E$3143, ISNUMBER(
Master_Mapping_Sheet!$E$2:$E$3143),
Master_Mapping_Sheet!$C$2:$C$3143=AU$1)))"),0.0)</f>
        <v>0</v>
      </c>
      <c r="AV17" s="34">
        <f>IFERROR(__xludf.DUMMYFUNCTION("IF(ISNA(sum(filter(
Master_Mapping_Sheet!$E$2:$E$3143, ISNUMBER(
Master_Mapping_Sheet!$E$2:$E$3143),
Master_Mapping_Sheet!$C$2:$C$3143=AV$1,
Master_Mapping_Sheet!$L$2:$L$3143=$A17))/sum(filter(
Master_Mapping_Sheet!$E$2:$E$3143, ISNUMBER(
Master_Mapping_S"&amp;"heet!$E$2:$E$3143),
Master_Mapping_Sheet!$C$2:$C$3143=AV$1))), 0, sum(filter(
Master_Mapping_Sheet!$E$2:$E$3143, ISNUMBER(
Master_Mapping_Sheet!$E$2:$E$3143),
Master_Mapping_Sheet!$C$2:$C$3143=AV$1,
Master_Mapping_Sheet!$L$2:$L$3143=$A17))/sum(filter(
Mas"&amp;"ter_Mapping_Sheet!$E$2:$E$3143, ISNUMBER(
Master_Mapping_Sheet!$E$2:$E$3143),
Master_Mapping_Sheet!$C$2:$C$3143=AV$1)))"),0.0)</f>
        <v>0</v>
      </c>
      <c r="AW17" s="34">
        <f>IFERROR(__xludf.DUMMYFUNCTION("IF(ISNA(sum(filter(
Master_Mapping_Sheet!$E$2:$E$3143, ISNUMBER(
Master_Mapping_Sheet!$E$2:$E$3143),
Master_Mapping_Sheet!$C$2:$C$3143=AW$1,
Master_Mapping_Sheet!$L$2:$L$3143=$A17))/sum(filter(
Master_Mapping_Sheet!$E$2:$E$3143, ISNUMBER(
Master_Mapping_S"&amp;"heet!$E$2:$E$3143),
Master_Mapping_Sheet!$C$2:$C$3143=AW$1))), 0, sum(filter(
Master_Mapping_Sheet!$E$2:$E$3143, ISNUMBER(
Master_Mapping_Sheet!$E$2:$E$3143),
Master_Mapping_Sheet!$C$2:$C$3143=AW$1,
Master_Mapping_Sheet!$L$2:$L$3143=$A17))/sum(filter(
Mas"&amp;"ter_Mapping_Sheet!$E$2:$E$3143, ISNUMBER(
Master_Mapping_Sheet!$E$2:$E$3143),
Master_Mapping_Sheet!$C$2:$C$3143=AW$1)))"),0.0)</f>
        <v>0</v>
      </c>
      <c r="AX17" s="34">
        <f>IFERROR(__xludf.DUMMYFUNCTION("IF(ISNA(sum(filter(
Master_Mapping_Sheet!$E$2:$E$3143, ISNUMBER(
Master_Mapping_Sheet!$E$2:$E$3143),
Master_Mapping_Sheet!$C$2:$C$3143=AX$1,
Master_Mapping_Sheet!$L$2:$L$3143=$A17))/sum(filter(
Master_Mapping_Sheet!$E$2:$E$3143, ISNUMBER(
Master_Mapping_S"&amp;"heet!$E$2:$E$3143),
Master_Mapping_Sheet!$C$2:$C$3143=AX$1))), 0, sum(filter(
Master_Mapping_Sheet!$E$2:$E$3143, ISNUMBER(
Master_Mapping_Sheet!$E$2:$E$3143),
Master_Mapping_Sheet!$C$2:$C$3143=AX$1,
Master_Mapping_Sheet!$L$2:$L$3143=$A17))/sum(filter(
Mas"&amp;"ter_Mapping_Sheet!$E$2:$E$3143, ISNUMBER(
Master_Mapping_Sheet!$E$2:$E$3143),
Master_Mapping_Sheet!$C$2:$C$3143=AX$1)))"),0.0)</f>
        <v>0</v>
      </c>
      <c r="AY17" s="34">
        <f>IFERROR(__xludf.DUMMYFUNCTION("IF(ISNA(sum(filter(
Master_Mapping_Sheet!$E$2:$E$3143, ISNUMBER(
Master_Mapping_Sheet!$E$2:$E$3143),
Master_Mapping_Sheet!$C$2:$C$3143=AY$1,
Master_Mapping_Sheet!$L$2:$L$3143=$A17))/sum(filter(
Master_Mapping_Sheet!$E$2:$E$3143, ISNUMBER(
Master_Mapping_S"&amp;"heet!$E$2:$E$3143),
Master_Mapping_Sheet!$C$2:$C$3143=AY$1))), 0, sum(filter(
Master_Mapping_Sheet!$E$2:$E$3143, ISNUMBER(
Master_Mapping_Sheet!$E$2:$E$3143),
Master_Mapping_Sheet!$C$2:$C$3143=AY$1,
Master_Mapping_Sheet!$L$2:$L$3143=$A17))/sum(filter(
Mas"&amp;"ter_Mapping_Sheet!$E$2:$E$3143, ISNUMBER(
Master_Mapping_Sheet!$E$2:$E$3143),
Master_Mapping_Sheet!$C$2:$C$3143=AY$1)))"),0.0)</f>
        <v>0</v>
      </c>
      <c r="AZ17" s="34">
        <f>IFERROR(__xludf.DUMMYFUNCTION("IF(ISNA(sum(filter(
Master_Mapping_Sheet!$E$2:$E$3143, ISNUMBER(
Master_Mapping_Sheet!$E$2:$E$3143),
Master_Mapping_Sheet!$C$2:$C$3143=AZ$1,
Master_Mapping_Sheet!$L$2:$L$3143=$A17))/sum(filter(
Master_Mapping_Sheet!$E$2:$E$3143, ISNUMBER(
Master_Mapping_S"&amp;"heet!$E$2:$E$3143),
Master_Mapping_Sheet!$C$2:$C$3143=AZ$1))), 0, sum(filter(
Master_Mapping_Sheet!$E$2:$E$3143, ISNUMBER(
Master_Mapping_Sheet!$E$2:$E$3143),
Master_Mapping_Sheet!$C$2:$C$3143=AZ$1,
Master_Mapping_Sheet!$L$2:$L$3143=$A17))/sum(filter(
Mas"&amp;"ter_Mapping_Sheet!$E$2:$E$3143, ISNUMBER(
Master_Mapping_Sheet!$E$2:$E$3143),
Master_Mapping_Sheet!$C$2:$C$3143=AZ$1)))"),0.0)</f>
        <v>0</v>
      </c>
    </row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4.0"/>
    <col customWidth="1" min="2" max="6" width="12.63"/>
  </cols>
  <sheetData>
    <row r="1" ht="15.75" customHeight="1">
      <c r="A1" s="45" t="s">
        <v>4259</v>
      </c>
      <c r="B1" s="45" t="s">
        <v>1994</v>
      </c>
      <c r="C1" s="45" t="s">
        <v>2062</v>
      </c>
      <c r="D1" s="45" t="s">
        <v>2063</v>
      </c>
      <c r="E1" s="45" t="s">
        <v>2079</v>
      </c>
      <c r="F1" s="45" t="s">
        <v>2137</v>
      </c>
      <c r="G1" s="45" t="s">
        <v>2194</v>
      </c>
      <c r="H1" s="45" t="s">
        <v>2250</v>
      </c>
      <c r="I1" s="45" t="s">
        <v>2259</v>
      </c>
      <c r="J1" s="45" t="s">
        <v>2263</v>
      </c>
      <c r="K1" s="45" t="s">
        <v>2264</v>
      </c>
      <c r="L1" s="45" t="s">
        <v>2314</v>
      </c>
      <c r="M1" s="45" t="s">
        <v>2423</v>
      </c>
      <c r="N1" s="45" t="s">
        <v>2424</v>
      </c>
      <c r="O1" s="45" t="s">
        <v>2458</v>
      </c>
      <c r="P1" s="45" t="s">
        <v>2513</v>
      </c>
      <c r="Q1" s="45" t="s">
        <v>2555</v>
      </c>
      <c r="R1" s="45" t="s">
        <v>2601</v>
      </c>
      <c r="S1" s="45" t="s">
        <v>2669</v>
      </c>
      <c r="T1" s="45" t="s">
        <v>2725</v>
      </c>
      <c r="U1" s="45" t="s">
        <v>2790</v>
      </c>
      <c r="V1" s="45" t="s">
        <v>2801</v>
      </c>
      <c r="W1" s="45" t="s">
        <v>2819</v>
      </c>
      <c r="X1" s="45" t="s">
        <v>2830</v>
      </c>
      <c r="Y1" s="45" t="s">
        <v>2893</v>
      </c>
      <c r="Z1" s="45" t="s">
        <v>2955</v>
      </c>
      <c r="AA1" s="45" t="s">
        <v>2992</v>
      </c>
      <c r="AB1" s="45" t="s">
        <v>3034</v>
      </c>
      <c r="AC1" s="45" t="s">
        <v>3071</v>
      </c>
      <c r="AD1" s="45" t="s">
        <v>3112</v>
      </c>
      <c r="AE1" s="45" t="s">
        <v>3123</v>
      </c>
      <c r="AF1" s="45" t="s">
        <v>3131</v>
      </c>
      <c r="AG1" s="45" t="s">
        <v>3143</v>
      </c>
      <c r="AH1" s="45" t="s">
        <v>3168</v>
      </c>
      <c r="AI1" s="45" t="s">
        <v>3200</v>
      </c>
      <c r="AJ1" s="45" t="s">
        <v>3265</v>
      </c>
      <c r="AK1" s="45" t="s">
        <v>3297</v>
      </c>
      <c r="AL1" s="45" t="s">
        <v>3333</v>
      </c>
      <c r="AM1" s="45" t="s">
        <v>3376</v>
      </c>
      <c r="AN1" s="45" t="s">
        <v>3393</v>
      </c>
      <c r="AO1" s="45" t="s">
        <v>3427</v>
      </c>
      <c r="AP1" s="45" t="s">
        <v>3430</v>
      </c>
      <c r="AQ1" s="45" t="s">
        <v>3458</v>
      </c>
      <c r="AR1" s="45" t="s">
        <v>3497</v>
      </c>
      <c r="AS1" s="45" t="s">
        <v>3524</v>
      </c>
      <c r="AT1" s="45" t="s">
        <v>3687</v>
      </c>
      <c r="AU1" s="45" t="s">
        <v>3704</v>
      </c>
      <c r="AV1" s="45" t="s">
        <v>3713</v>
      </c>
      <c r="AW1" s="45" t="s">
        <v>3797</v>
      </c>
      <c r="AX1" s="45" t="s">
        <v>3820</v>
      </c>
      <c r="AY1" s="45" t="s">
        <v>3838</v>
      </c>
      <c r="AZ1" s="45" t="s">
        <v>3874</v>
      </c>
    </row>
    <row r="2" ht="15.75" customHeight="1">
      <c r="A2" s="45" t="s">
        <v>4260</v>
      </c>
      <c r="B2" s="34">
        <f>IFERROR(__xludf.DUMMYFUNCTION("IF(ISNA(sum(filter(
Master_Mapping_Sheet!$E$2:$E$3143, ISNUMBER(
Master_Mapping_Sheet!$E$2:$E$3143),
Master_Mapping_Sheet!$C$2:$C$3143=B$1,
Master_Mapping_Sheet!$N$2:$N$3143=REGEXEXTRACT($A2,"".*_(.*)"")))/sum(filter(
Master_Mapping_Sheet!$E$2:$E$3143, IS"&amp;"NUMBER(
Master_Mapping_Sheet!$E$2:$E$3143),
Master_Mapping_Sheet!$C$2:$C$3143=B$1))), 0, sum(filter(
Master_Mapping_Sheet!$E$2:$E$3143, ISNUMBER(
Master_Mapping_Sheet!$E$2:$E$3143),
Master_Mapping_Sheet!$C$2:$C$3143=B$1,
Master_Mapping_Sheet!$N$2:$N$3143="&amp;"REGEXEXTRACT($A2,"".*_(.*)"")))/sum(filter(
Master_Mapping_Sheet!$E$2:$E$3143, ISNUMBER(
Master_Mapping_Sheet!$E$2:$E$3143),
Master_Mapping_Sheet!$C$2:$C$3143=B$1)))"),0.33527879591298215)</f>
        <v>0.3352787959</v>
      </c>
      <c r="C2" s="34">
        <f>IFERROR(__xludf.DUMMYFUNCTION("IF(ISNA(sum(filter(
Master_Mapping_Sheet!$E$2:$E$3143, ISNUMBER(
Master_Mapping_Sheet!$E$2:$E$3143),
Master_Mapping_Sheet!$C$2:$C$3143=C$1,
Master_Mapping_Sheet!$N$2:$N$3143=REGEXEXTRACT($A2,"".*_(.*)"")))/sum(filter(
Master_Mapping_Sheet!$E$2:$E$3143, IS"&amp;"NUMBER(
Master_Mapping_Sheet!$E$2:$E$3143),
Master_Mapping_Sheet!$C$2:$C$3143=C$1))), 0, sum(filter(
Master_Mapping_Sheet!$E$2:$E$3143, ISNUMBER(
Master_Mapping_Sheet!$E$2:$E$3143),
Master_Mapping_Sheet!$C$2:$C$3143=C$1,
Master_Mapping_Sheet!$N$2:$N$3143="&amp;"REGEXEXTRACT($A2,"".*_(.*)"")))/sum(filter(
Master_Mapping_Sheet!$E$2:$E$3143, ISNUMBER(
Master_Mapping_Sheet!$E$2:$E$3143),
Master_Mapping_Sheet!$C$2:$C$3143=C$1)))"),0.0)</f>
        <v>0</v>
      </c>
      <c r="D2" s="34">
        <f>IFERROR(__xludf.DUMMYFUNCTION("IF(ISNA(sum(filter(
Master_Mapping_Sheet!$E$2:$E$3143, ISNUMBER(
Master_Mapping_Sheet!$E$2:$E$3143),
Master_Mapping_Sheet!$C$2:$C$3143=D$1,
Master_Mapping_Sheet!$N$2:$N$3143=REGEXEXTRACT($A2,"".*_(.*)"")))/sum(filter(
Master_Mapping_Sheet!$E$2:$E$3143, IS"&amp;"NUMBER(
Master_Mapping_Sheet!$E$2:$E$3143),
Master_Mapping_Sheet!$C$2:$C$3143=D$1))), 0, sum(filter(
Master_Mapping_Sheet!$E$2:$E$3143, ISNUMBER(
Master_Mapping_Sheet!$E$2:$E$3143),
Master_Mapping_Sheet!$C$2:$C$3143=D$1,
Master_Mapping_Sheet!$N$2:$N$3143="&amp;"REGEXEXTRACT($A2,"".*_(.*)"")))/sum(filter(
Master_Mapping_Sheet!$E$2:$E$3143, ISNUMBER(
Master_Mapping_Sheet!$E$2:$E$3143),
Master_Mapping_Sheet!$C$2:$C$3143=D$1)))"),0.0)</f>
        <v>0</v>
      </c>
      <c r="E2" s="34">
        <f>IFERROR(__xludf.DUMMYFUNCTION("IF(ISNA(sum(filter(
Master_Mapping_Sheet!$E$2:$E$3143, ISNUMBER(
Master_Mapping_Sheet!$E$2:$E$3143),
Master_Mapping_Sheet!$C$2:$C$3143=E$1,
Master_Mapping_Sheet!$N$2:$N$3143=REGEXEXTRACT($A2,"".*_(.*)"")))/sum(filter(
Master_Mapping_Sheet!$E$2:$E$3143, IS"&amp;"NUMBER(
Master_Mapping_Sheet!$E$2:$E$3143),
Master_Mapping_Sheet!$C$2:$C$3143=E$1))), 0, sum(filter(
Master_Mapping_Sheet!$E$2:$E$3143, ISNUMBER(
Master_Mapping_Sheet!$E$2:$E$3143),
Master_Mapping_Sheet!$C$2:$C$3143=E$1,
Master_Mapping_Sheet!$N$2:$N$3143="&amp;"REGEXEXTRACT($A2,"".*_(.*)"")))/sum(filter(
Master_Mapping_Sheet!$E$2:$E$3143, ISNUMBER(
Master_Mapping_Sheet!$E$2:$E$3143),
Master_Mapping_Sheet!$C$2:$C$3143=E$1)))"),0.039071861557658884)</f>
        <v>0.03907186156</v>
      </c>
      <c r="F2" s="34">
        <f>IFERROR(__xludf.DUMMYFUNCTION("IF(ISNA(sum(filter(
Master_Mapping_Sheet!$E$2:$E$3143, ISNUMBER(
Master_Mapping_Sheet!$E$2:$E$3143),
Master_Mapping_Sheet!$C$2:$C$3143=F$1,
Master_Mapping_Sheet!$N$2:$N$3143=REGEXEXTRACT($A2,"".*_(.*)"")))/sum(filter(
Master_Mapping_Sheet!$E$2:$E$3143, IS"&amp;"NUMBER(
Master_Mapping_Sheet!$E$2:$E$3143),
Master_Mapping_Sheet!$C$2:$C$3143=F$1))), 0, sum(filter(
Master_Mapping_Sheet!$E$2:$E$3143, ISNUMBER(
Master_Mapping_Sheet!$E$2:$E$3143),
Master_Mapping_Sheet!$C$2:$C$3143=F$1,
Master_Mapping_Sheet!$N$2:$N$3143="&amp;"REGEXEXTRACT($A2,"".*_(.*)"")))/sum(filter(
Master_Mapping_Sheet!$E$2:$E$3143, ISNUMBER(
Master_Mapping_Sheet!$E$2:$E$3143),
Master_Mapping_Sheet!$C$2:$C$3143=F$1)))"),0.0)</f>
        <v>0</v>
      </c>
      <c r="G2" s="34">
        <f>IFERROR(__xludf.DUMMYFUNCTION("IF(ISNA(sum(filter(
Master_Mapping_Sheet!$E$2:$E$3143, ISNUMBER(
Master_Mapping_Sheet!$E$2:$E$3143),
Master_Mapping_Sheet!$C$2:$C$3143=G$1,
Master_Mapping_Sheet!$N$2:$N$3143=REGEXEXTRACT($A2,"".*_(.*)"")))/sum(filter(
Master_Mapping_Sheet!$E$2:$E$3143, IS"&amp;"NUMBER(
Master_Mapping_Sheet!$E$2:$E$3143),
Master_Mapping_Sheet!$C$2:$C$3143=G$1))), 0, sum(filter(
Master_Mapping_Sheet!$E$2:$E$3143, ISNUMBER(
Master_Mapping_Sheet!$E$2:$E$3143),
Master_Mapping_Sheet!$C$2:$C$3143=G$1,
Master_Mapping_Sheet!$N$2:$N$3143="&amp;"REGEXEXTRACT($A2,"".*_(.*)"")))/sum(filter(
Master_Mapping_Sheet!$E$2:$E$3143, ISNUMBER(
Master_Mapping_Sheet!$E$2:$E$3143),
Master_Mapping_Sheet!$C$2:$C$3143=G$1)))"),0.0)</f>
        <v>0</v>
      </c>
      <c r="H2" s="34">
        <f>IFERROR(__xludf.DUMMYFUNCTION("IF(ISNA(sum(filter(
Master_Mapping_Sheet!$E$2:$E$3143, ISNUMBER(
Master_Mapping_Sheet!$E$2:$E$3143),
Master_Mapping_Sheet!$C$2:$C$3143=H$1,
Master_Mapping_Sheet!$N$2:$N$3143=REGEXEXTRACT($A2,"".*_(.*)"")))/sum(filter(
Master_Mapping_Sheet!$E$2:$E$3143, IS"&amp;"NUMBER(
Master_Mapping_Sheet!$E$2:$E$3143),
Master_Mapping_Sheet!$C$2:$C$3143=H$1))), 0, sum(filter(
Master_Mapping_Sheet!$E$2:$E$3143, ISNUMBER(
Master_Mapping_Sheet!$E$2:$E$3143),
Master_Mapping_Sheet!$C$2:$C$3143=H$1,
Master_Mapping_Sheet!$N$2:$N$3143="&amp;"REGEXEXTRACT($A2,"".*_(.*)"")))/sum(filter(
Master_Mapping_Sheet!$E$2:$E$3143, ISNUMBER(
Master_Mapping_Sheet!$E$2:$E$3143),
Master_Mapping_Sheet!$C$2:$C$3143=H$1)))"),0.0)</f>
        <v>0</v>
      </c>
      <c r="I2" s="34">
        <f>IFERROR(__xludf.DUMMYFUNCTION("IF(ISNA(sum(filter(
Master_Mapping_Sheet!$E$2:$E$3143, ISNUMBER(
Master_Mapping_Sheet!$E$2:$E$3143),
Master_Mapping_Sheet!$C$2:$C$3143=I$1,
Master_Mapping_Sheet!$N$2:$N$3143=REGEXEXTRACT($A2,"".*_(.*)"")))/sum(filter(
Master_Mapping_Sheet!$E$2:$E$3143, IS"&amp;"NUMBER(
Master_Mapping_Sheet!$E$2:$E$3143),
Master_Mapping_Sheet!$C$2:$C$3143=I$1))), 0, sum(filter(
Master_Mapping_Sheet!$E$2:$E$3143, ISNUMBER(
Master_Mapping_Sheet!$E$2:$E$3143),
Master_Mapping_Sheet!$C$2:$C$3143=I$1,
Master_Mapping_Sheet!$N$2:$N$3143="&amp;"REGEXEXTRACT($A2,"".*_(.*)"")))/sum(filter(
Master_Mapping_Sheet!$E$2:$E$3143, ISNUMBER(
Master_Mapping_Sheet!$E$2:$E$3143),
Master_Mapping_Sheet!$C$2:$C$3143=I$1)))"),0.0)</f>
        <v>0</v>
      </c>
      <c r="J2" s="34">
        <f>IFERROR(__xludf.DUMMYFUNCTION("IF(ISNA(sum(filter(
Master_Mapping_Sheet!$E$2:$E$3143, ISNUMBER(
Master_Mapping_Sheet!$E$2:$E$3143),
Master_Mapping_Sheet!$C$2:$C$3143=J$1,
Master_Mapping_Sheet!$N$2:$N$3143=REGEXEXTRACT($A2,"".*_(.*)"")))/sum(filter(
Master_Mapping_Sheet!$E$2:$E$3143, IS"&amp;"NUMBER(
Master_Mapping_Sheet!$E$2:$E$3143),
Master_Mapping_Sheet!$C$2:$C$3143=J$1))), 0, sum(filter(
Master_Mapping_Sheet!$E$2:$E$3143, ISNUMBER(
Master_Mapping_Sheet!$E$2:$E$3143),
Master_Mapping_Sheet!$C$2:$C$3143=J$1,
Master_Mapping_Sheet!$N$2:$N$3143="&amp;"REGEXEXTRACT($A2,"".*_(.*)"")))/sum(filter(
Master_Mapping_Sheet!$E$2:$E$3143, ISNUMBER(
Master_Mapping_Sheet!$E$2:$E$3143),
Master_Mapping_Sheet!$C$2:$C$3143=J$1)))"),0.0)</f>
        <v>0</v>
      </c>
      <c r="K2" s="34">
        <f>IFERROR(__xludf.DUMMYFUNCTION("IF(ISNA(sum(filter(
Master_Mapping_Sheet!$E$2:$E$3143, ISNUMBER(
Master_Mapping_Sheet!$E$2:$E$3143),
Master_Mapping_Sheet!$C$2:$C$3143=K$1,
Master_Mapping_Sheet!$N$2:$N$3143=REGEXEXTRACT($A2,"".*_(.*)"")))/sum(filter(
Master_Mapping_Sheet!$E$2:$E$3143, IS"&amp;"NUMBER(
Master_Mapping_Sheet!$E$2:$E$3143),
Master_Mapping_Sheet!$C$2:$C$3143=K$1))), 0, sum(filter(
Master_Mapping_Sheet!$E$2:$E$3143, ISNUMBER(
Master_Mapping_Sheet!$E$2:$E$3143),
Master_Mapping_Sheet!$C$2:$C$3143=K$1,
Master_Mapping_Sheet!$N$2:$N$3143="&amp;"REGEXEXTRACT($A2,"".*_(.*)"")))/sum(filter(
Master_Mapping_Sheet!$E$2:$E$3143, ISNUMBER(
Master_Mapping_Sheet!$E$2:$E$3143),
Master_Mapping_Sheet!$C$2:$C$3143=K$1)))"),1.0)</f>
        <v>1</v>
      </c>
      <c r="L2" s="34">
        <f>IFERROR(__xludf.DUMMYFUNCTION("IF(ISNA(sum(filter(
Master_Mapping_Sheet!$E$2:$E$3143, ISNUMBER(
Master_Mapping_Sheet!$E$2:$E$3143),
Master_Mapping_Sheet!$C$2:$C$3143=L$1,
Master_Mapping_Sheet!$N$2:$N$3143=REGEXEXTRACT($A2,"".*_(.*)"")))/sum(filter(
Master_Mapping_Sheet!$E$2:$E$3143, IS"&amp;"NUMBER(
Master_Mapping_Sheet!$E$2:$E$3143),
Master_Mapping_Sheet!$C$2:$C$3143=L$1))), 0, sum(filter(
Master_Mapping_Sheet!$E$2:$E$3143, ISNUMBER(
Master_Mapping_Sheet!$E$2:$E$3143),
Master_Mapping_Sheet!$C$2:$C$3143=L$1,
Master_Mapping_Sheet!$N$2:$N$3143="&amp;"REGEXEXTRACT($A2,"".*_(.*)"")))/sum(filter(
Master_Mapping_Sheet!$E$2:$E$3143, ISNUMBER(
Master_Mapping_Sheet!$E$2:$E$3143),
Master_Mapping_Sheet!$C$2:$C$3143=L$1)))"),0.19732008417271674)</f>
        <v>0.1973200842</v>
      </c>
      <c r="M2" s="34">
        <f>IFERROR(__xludf.DUMMYFUNCTION("IF(ISNA(sum(filter(
Master_Mapping_Sheet!$E$2:$E$3143, ISNUMBER(
Master_Mapping_Sheet!$E$2:$E$3143),
Master_Mapping_Sheet!$C$2:$C$3143=M$1,
Master_Mapping_Sheet!$N$2:$N$3143=REGEXEXTRACT($A2,"".*_(.*)"")))/sum(filter(
Master_Mapping_Sheet!$E$2:$E$3143, IS"&amp;"NUMBER(
Master_Mapping_Sheet!$E$2:$E$3143),
Master_Mapping_Sheet!$C$2:$C$3143=M$1))), 0, sum(filter(
Master_Mapping_Sheet!$E$2:$E$3143, ISNUMBER(
Master_Mapping_Sheet!$E$2:$E$3143),
Master_Mapping_Sheet!$C$2:$C$3143=M$1,
Master_Mapping_Sheet!$N$2:$N$3143="&amp;"REGEXEXTRACT($A2,"".*_(.*)"")))/sum(filter(
Master_Mapping_Sheet!$E$2:$E$3143, ISNUMBER(
Master_Mapping_Sheet!$E$2:$E$3143),
Master_Mapping_Sheet!$C$2:$C$3143=M$1)))"),1.0)</f>
        <v>1</v>
      </c>
      <c r="N2" s="34">
        <f>IFERROR(__xludf.DUMMYFUNCTION("IF(ISNA(sum(filter(
Master_Mapping_Sheet!$E$2:$E$3143, ISNUMBER(
Master_Mapping_Sheet!$E$2:$E$3143),
Master_Mapping_Sheet!$C$2:$C$3143=N$1,
Master_Mapping_Sheet!$N$2:$N$3143=REGEXEXTRACT($A2,"".*_(.*)"")))/sum(filter(
Master_Mapping_Sheet!$E$2:$E$3143, IS"&amp;"NUMBER(
Master_Mapping_Sheet!$E$2:$E$3143),
Master_Mapping_Sheet!$C$2:$C$3143=N$1))), 0, sum(filter(
Master_Mapping_Sheet!$E$2:$E$3143, ISNUMBER(
Master_Mapping_Sheet!$E$2:$E$3143),
Master_Mapping_Sheet!$C$2:$C$3143=N$1,
Master_Mapping_Sheet!$N$2:$N$3143="&amp;"REGEXEXTRACT($A2,"".*_(.*)"")))/sum(filter(
Master_Mapping_Sheet!$E$2:$E$3143, ISNUMBER(
Master_Mapping_Sheet!$E$2:$E$3143),
Master_Mapping_Sheet!$C$2:$C$3143=N$1)))"),0.0)</f>
        <v>0</v>
      </c>
      <c r="O2" s="34">
        <f>IFERROR(__xludf.DUMMYFUNCTION("IF(ISNA(sum(filter(
Master_Mapping_Sheet!$E$2:$E$3143, ISNUMBER(
Master_Mapping_Sheet!$E$2:$E$3143),
Master_Mapping_Sheet!$C$2:$C$3143=O$1,
Master_Mapping_Sheet!$N$2:$N$3143=REGEXEXTRACT($A2,"".*_(.*)"")))/sum(filter(
Master_Mapping_Sheet!$E$2:$E$3143, IS"&amp;"NUMBER(
Master_Mapping_Sheet!$E$2:$E$3143),
Master_Mapping_Sheet!$C$2:$C$3143=O$1))), 0, sum(filter(
Master_Mapping_Sheet!$E$2:$E$3143, ISNUMBER(
Master_Mapping_Sheet!$E$2:$E$3143),
Master_Mapping_Sheet!$C$2:$C$3143=O$1,
Master_Mapping_Sheet!$N$2:$N$3143="&amp;"REGEXEXTRACT($A2,"".*_(.*)"")))/sum(filter(
Master_Mapping_Sheet!$E$2:$E$3143, ISNUMBER(
Master_Mapping_Sheet!$E$2:$E$3143),
Master_Mapping_Sheet!$C$2:$C$3143=O$1)))"),0.0)</f>
        <v>0</v>
      </c>
      <c r="P2" s="34">
        <f>IFERROR(__xludf.DUMMYFUNCTION("IF(ISNA(sum(filter(
Master_Mapping_Sheet!$E$2:$E$3143, ISNUMBER(
Master_Mapping_Sheet!$E$2:$E$3143),
Master_Mapping_Sheet!$C$2:$C$3143=P$1,
Master_Mapping_Sheet!$N$2:$N$3143=REGEXEXTRACT($A2,"".*_(.*)"")))/sum(filter(
Master_Mapping_Sheet!$E$2:$E$3143, IS"&amp;"NUMBER(
Master_Mapping_Sheet!$E$2:$E$3143),
Master_Mapping_Sheet!$C$2:$C$3143=P$1))), 0, sum(filter(
Master_Mapping_Sheet!$E$2:$E$3143, ISNUMBER(
Master_Mapping_Sheet!$E$2:$E$3143),
Master_Mapping_Sheet!$C$2:$C$3143=P$1,
Master_Mapping_Sheet!$N$2:$N$3143="&amp;"REGEXEXTRACT($A2,"".*_(.*)"")))/sum(filter(
Master_Mapping_Sheet!$E$2:$E$3143, ISNUMBER(
Master_Mapping_Sheet!$E$2:$E$3143),
Master_Mapping_Sheet!$C$2:$C$3143=P$1)))"),0.0)</f>
        <v>0</v>
      </c>
      <c r="Q2" s="34">
        <f>IFERROR(__xludf.DUMMYFUNCTION("IF(ISNA(sum(filter(
Master_Mapping_Sheet!$E$2:$E$3143, ISNUMBER(
Master_Mapping_Sheet!$E$2:$E$3143),
Master_Mapping_Sheet!$C$2:$C$3143=Q$1,
Master_Mapping_Sheet!$N$2:$N$3143=REGEXEXTRACT($A2,"".*_(.*)"")))/sum(filter(
Master_Mapping_Sheet!$E$2:$E$3143, IS"&amp;"NUMBER(
Master_Mapping_Sheet!$E$2:$E$3143),
Master_Mapping_Sheet!$C$2:$C$3143=Q$1))), 0, sum(filter(
Master_Mapping_Sheet!$E$2:$E$3143, ISNUMBER(
Master_Mapping_Sheet!$E$2:$E$3143),
Master_Mapping_Sheet!$C$2:$C$3143=Q$1,
Master_Mapping_Sheet!$N$2:$N$3143="&amp;"REGEXEXTRACT($A2,"".*_(.*)"")))/sum(filter(
Master_Mapping_Sheet!$E$2:$E$3143, ISNUMBER(
Master_Mapping_Sheet!$E$2:$E$3143),
Master_Mapping_Sheet!$C$2:$C$3143=Q$1)))"),0.0)</f>
        <v>0</v>
      </c>
      <c r="R2" s="34">
        <f>IFERROR(__xludf.DUMMYFUNCTION("IF(ISNA(sum(filter(
Master_Mapping_Sheet!$E$2:$E$3143, ISNUMBER(
Master_Mapping_Sheet!$E$2:$E$3143),
Master_Mapping_Sheet!$C$2:$C$3143=R$1,
Master_Mapping_Sheet!$N$2:$N$3143=REGEXEXTRACT($A2,"".*_(.*)"")))/sum(filter(
Master_Mapping_Sheet!$E$2:$E$3143, IS"&amp;"NUMBER(
Master_Mapping_Sheet!$E$2:$E$3143),
Master_Mapping_Sheet!$C$2:$C$3143=R$1))), 0, sum(filter(
Master_Mapping_Sheet!$E$2:$E$3143, ISNUMBER(
Master_Mapping_Sheet!$E$2:$E$3143),
Master_Mapping_Sheet!$C$2:$C$3143=R$1,
Master_Mapping_Sheet!$N$2:$N$3143="&amp;"REGEXEXTRACT($A2,"".*_(.*)"")))/sum(filter(
Master_Mapping_Sheet!$E$2:$E$3143, ISNUMBER(
Master_Mapping_Sheet!$E$2:$E$3143),
Master_Mapping_Sheet!$C$2:$C$3143=R$1)))"),0.0)</f>
        <v>0</v>
      </c>
      <c r="S2" s="34">
        <f>IFERROR(__xludf.DUMMYFUNCTION("IF(ISNA(sum(filter(
Master_Mapping_Sheet!$E$2:$E$3143, ISNUMBER(
Master_Mapping_Sheet!$E$2:$E$3143),
Master_Mapping_Sheet!$C$2:$C$3143=S$1,
Master_Mapping_Sheet!$N$2:$N$3143=REGEXEXTRACT($A2,"".*_(.*)"")))/sum(filter(
Master_Mapping_Sheet!$E$2:$E$3143, IS"&amp;"NUMBER(
Master_Mapping_Sheet!$E$2:$E$3143),
Master_Mapping_Sheet!$C$2:$C$3143=S$1))), 0, sum(filter(
Master_Mapping_Sheet!$E$2:$E$3143, ISNUMBER(
Master_Mapping_Sheet!$E$2:$E$3143),
Master_Mapping_Sheet!$C$2:$C$3143=S$1,
Master_Mapping_Sheet!$N$2:$N$3143="&amp;"REGEXEXTRACT($A2,"".*_(.*)"")))/sum(filter(
Master_Mapping_Sheet!$E$2:$E$3143, ISNUMBER(
Master_Mapping_Sheet!$E$2:$E$3143),
Master_Mapping_Sheet!$C$2:$C$3143=S$1)))"),0.0)</f>
        <v>0</v>
      </c>
      <c r="T2" s="34">
        <f>IFERROR(__xludf.DUMMYFUNCTION("IF(ISNA(sum(filter(
Master_Mapping_Sheet!$E$2:$E$3143, ISNUMBER(
Master_Mapping_Sheet!$E$2:$E$3143),
Master_Mapping_Sheet!$C$2:$C$3143=T$1,
Master_Mapping_Sheet!$N$2:$N$3143=REGEXEXTRACT($A2,"".*_(.*)"")))/sum(filter(
Master_Mapping_Sheet!$E$2:$E$3143, IS"&amp;"NUMBER(
Master_Mapping_Sheet!$E$2:$E$3143),
Master_Mapping_Sheet!$C$2:$C$3143=T$1))), 0, sum(filter(
Master_Mapping_Sheet!$E$2:$E$3143, ISNUMBER(
Master_Mapping_Sheet!$E$2:$E$3143),
Master_Mapping_Sheet!$C$2:$C$3143=T$1,
Master_Mapping_Sheet!$N$2:$N$3143="&amp;"REGEXEXTRACT($A2,"".*_(.*)"")))/sum(filter(
Master_Mapping_Sheet!$E$2:$E$3143, ISNUMBER(
Master_Mapping_Sheet!$E$2:$E$3143),
Master_Mapping_Sheet!$C$2:$C$3143=T$1)))"),0.991231044816845)</f>
        <v>0.9912310448</v>
      </c>
      <c r="U2" s="34">
        <f>IFERROR(__xludf.DUMMYFUNCTION("IF(ISNA(sum(filter(
Master_Mapping_Sheet!$E$2:$E$3143, ISNUMBER(
Master_Mapping_Sheet!$E$2:$E$3143),
Master_Mapping_Sheet!$C$2:$C$3143=U$1,
Master_Mapping_Sheet!$N$2:$N$3143=REGEXEXTRACT($A2,"".*_(.*)"")))/sum(filter(
Master_Mapping_Sheet!$E$2:$E$3143, IS"&amp;"NUMBER(
Master_Mapping_Sheet!$E$2:$E$3143),
Master_Mapping_Sheet!$C$2:$C$3143=U$1))), 0, sum(filter(
Master_Mapping_Sheet!$E$2:$E$3143, ISNUMBER(
Master_Mapping_Sheet!$E$2:$E$3143),
Master_Mapping_Sheet!$C$2:$C$3143=U$1,
Master_Mapping_Sheet!$N$2:$N$3143="&amp;"REGEXEXTRACT($A2,"".*_(.*)"")))/sum(filter(
Master_Mapping_Sheet!$E$2:$E$3143, ISNUMBER(
Master_Mapping_Sheet!$E$2:$E$3143),
Master_Mapping_Sheet!$C$2:$C$3143=U$1)))"),0.0)</f>
        <v>0</v>
      </c>
      <c r="V2" s="34">
        <f>IFERROR(__xludf.DUMMYFUNCTION("IF(ISNA(sum(filter(
Master_Mapping_Sheet!$E$2:$E$3143, ISNUMBER(
Master_Mapping_Sheet!$E$2:$E$3143),
Master_Mapping_Sheet!$C$2:$C$3143=V$1,
Master_Mapping_Sheet!$N$2:$N$3143=REGEXEXTRACT($A2,"".*_(.*)"")))/sum(filter(
Master_Mapping_Sheet!$E$2:$E$3143, IS"&amp;"NUMBER(
Master_Mapping_Sheet!$E$2:$E$3143),
Master_Mapping_Sheet!$C$2:$C$3143=V$1))), 0, sum(filter(
Master_Mapping_Sheet!$E$2:$E$3143, ISNUMBER(
Master_Mapping_Sheet!$E$2:$E$3143),
Master_Mapping_Sheet!$C$2:$C$3143=V$1,
Master_Mapping_Sheet!$N$2:$N$3143="&amp;"REGEXEXTRACT($A2,"".*_(.*)"")))/sum(filter(
Master_Mapping_Sheet!$E$2:$E$3143, ISNUMBER(
Master_Mapping_Sheet!$E$2:$E$3143),
Master_Mapping_Sheet!$C$2:$C$3143=V$1)))"),0.0)</f>
        <v>0</v>
      </c>
      <c r="W2" s="34">
        <f>IFERROR(__xludf.DUMMYFUNCTION("IF(ISNA(sum(filter(
Master_Mapping_Sheet!$E$2:$E$3143, ISNUMBER(
Master_Mapping_Sheet!$E$2:$E$3143),
Master_Mapping_Sheet!$C$2:$C$3143=W$1,
Master_Mapping_Sheet!$N$2:$N$3143=REGEXEXTRACT($A2,"".*_(.*)"")))/sum(filter(
Master_Mapping_Sheet!$E$2:$E$3143, IS"&amp;"NUMBER(
Master_Mapping_Sheet!$E$2:$E$3143),
Master_Mapping_Sheet!$C$2:$C$3143=W$1))), 0, sum(filter(
Master_Mapping_Sheet!$E$2:$E$3143, ISNUMBER(
Master_Mapping_Sheet!$E$2:$E$3143),
Master_Mapping_Sheet!$C$2:$C$3143=W$1,
Master_Mapping_Sheet!$N$2:$N$3143="&amp;"REGEXEXTRACT($A2,"".*_(.*)"")))/sum(filter(
Master_Mapping_Sheet!$E$2:$E$3143, ISNUMBER(
Master_Mapping_Sheet!$E$2:$E$3143),
Master_Mapping_Sheet!$C$2:$C$3143=W$1)))"),0.0)</f>
        <v>0</v>
      </c>
      <c r="X2" s="34">
        <f>IFERROR(__xludf.DUMMYFUNCTION("IF(ISNA(sum(filter(
Master_Mapping_Sheet!$E$2:$E$3143, ISNUMBER(
Master_Mapping_Sheet!$E$2:$E$3143),
Master_Mapping_Sheet!$C$2:$C$3143=X$1,
Master_Mapping_Sheet!$N$2:$N$3143=REGEXEXTRACT($A2,"".*_(.*)"")))/sum(filter(
Master_Mapping_Sheet!$E$2:$E$3143, IS"&amp;"NUMBER(
Master_Mapping_Sheet!$E$2:$E$3143),
Master_Mapping_Sheet!$C$2:$C$3143=X$1))), 0, sum(filter(
Master_Mapping_Sheet!$E$2:$E$3143, ISNUMBER(
Master_Mapping_Sheet!$E$2:$E$3143),
Master_Mapping_Sheet!$C$2:$C$3143=X$1,
Master_Mapping_Sheet!$N$2:$N$3143="&amp;"REGEXEXTRACT($A2,"".*_(.*)"")))/sum(filter(
Master_Mapping_Sheet!$E$2:$E$3143, ISNUMBER(
Master_Mapping_Sheet!$E$2:$E$3143),
Master_Mapping_Sheet!$C$2:$C$3143=X$1)))"),0.0)</f>
        <v>0</v>
      </c>
      <c r="Y2" s="34">
        <f>IFERROR(__xludf.DUMMYFUNCTION("IF(ISNA(sum(filter(
Master_Mapping_Sheet!$E$2:$E$3143, ISNUMBER(
Master_Mapping_Sheet!$E$2:$E$3143),
Master_Mapping_Sheet!$C$2:$C$3143=Y$1,
Master_Mapping_Sheet!$N$2:$N$3143=REGEXEXTRACT($A2,"".*_(.*)"")))/sum(filter(
Master_Mapping_Sheet!$E$2:$E$3143, IS"&amp;"NUMBER(
Master_Mapping_Sheet!$E$2:$E$3143),
Master_Mapping_Sheet!$C$2:$C$3143=Y$1))), 0, sum(filter(
Master_Mapping_Sheet!$E$2:$E$3143, ISNUMBER(
Master_Mapping_Sheet!$E$2:$E$3143),
Master_Mapping_Sheet!$C$2:$C$3143=Y$1,
Master_Mapping_Sheet!$N$2:$N$3143="&amp;"REGEXEXTRACT($A2,"".*_(.*)"")))/sum(filter(
Master_Mapping_Sheet!$E$2:$E$3143, ISNUMBER(
Master_Mapping_Sheet!$E$2:$E$3143),
Master_Mapping_Sheet!$C$2:$C$3143=Y$1)))"),0.0)</f>
        <v>0</v>
      </c>
      <c r="Z2" s="34">
        <f>IFERROR(__xludf.DUMMYFUNCTION("IF(ISNA(sum(filter(
Master_Mapping_Sheet!$E$2:$E$3143, ISNUMBER(
Master_Mapping_Sheet!$E$2:$E$3143),
Master_Mapping_Sheet!$C$2:$C$3143=Z$1,
Master_Mapping_Sheet!$N$2:$N$3143=REGEXEXTRACT($A2,"".*_(.*)"")))/sum(filter(
Master_Mapping_Sheet!$E$2:$E$3143, IS"&amp;"NUMBER(
Master_Mapping_Sheet!$E$2:$E$3143),
Master_Mapping_Sheet!$C$2:$C$3143=Z$1))), 0, sum(filter(
Master_Mapping_Sheet!$E$2:$E$3143, ISNUMBER(
Master_Mapping_Sheet!$E$2:$E$3143),
Master_Mapping_Sheet!$C$2:$C$3143=Z$1,
Master_Mapping_Sheet!$N$2:$N$3143="&amp;"REGEXEXTRACT($A2,"".*_(.*)"")))/sum(filter(
Master_Mapping_Sheet!$E$2:$E$3143, ISNUMBER(
Master_Mapping_Sheet!$E$2:$E$3143),
Master_Mapping_Sheet!$C$2:$C$3143=Z$1)))"),0.5004731791447398)</f>
        <v>0.5004731791</v>
      </c>
      <c r="AA2" s="34">
        <f>IFERROR(__xludf.DUMMYFUNCTION("IF(ISNA(sum(filter(
Master_Mapping_Sheet!$E$2:$E$3143, ISNUMBER(
Master_Mapping_Sheet!$E$2:$E$3143),
Master_Mapping_Sheet!$C$2:$C$3143=AA$1,
Master_Mapping_Sheet!$N$2:$N$3143=REGEXEXTRACT($A2,"".*_(.*)"")))/sum(filter(
Master_Mapping_Sheet!$E$2:$E$3143, I"&amp;"SNUMBER(
Master_Mapping_Sheet!$E$2:$E$3143),
Master_Mapping_Sheet!$C$2:$C$3143=AA$1))), 0, sum(filter(
Master_Mapping_Sheet!$E$2:$E$3143, ISNUMBER(
Master_Mapping_Sheet!$E$2:$E$3143),
Master_Mapping_Sheet!$C$2:$C$3143=AA$1,
Master_Mapping_Sheet!$N$2:$N$31"&amp;"43=REGEXEXTRACT($A2,"".*_(.*)"")))/sum(filter(
Master_Mapping_Sheet!$E$2:$E$3143, ISNUMBER(
Master_Mapping_Sheet!$E$2:$E$3143),
Master_Mapping_Sheet!$C$2:$C$3143=AA$1)))"),0.0)</f>
        <v>0</v>
      </c>
      <c r="AB2" s="34">
        <f>IFERROR(__xludf.DUMMYFUNCTION("IF(ISNA(sum(filter(
Master_Mapping_Sheet!$E$2:$E$3143, ISNUMBER(
Master_Mapping_Sheet!$E$2:$E$3143),
Master_Mapping_Sheet!$C$2:$C$3143=AB$1,
Master_Mapping_Sheet!$N$2:$N$3143=REGEXEXTRACT($A2,"".*_(.*)"")))/sum(filter(
Master_Mapping_Sheet!$E$2:$E$3143, I"&amp;"SNUMBER(
Master_Mapping_Sheet!$E$2:$E$3143),
Master_Mapping_Sheet!$C$2:$C$3143=AB$1))), 0, sum(filter(
Master_Mapping_Sheet!$E$2:$E$3143, ISNUMBER(
Master_Mapping_Sheet!$E$2:$E$3143),
Master_Mapping_Sheet!$C$2:$C$3143=AB$1,
Master_Mapping_Sheet!$N$2:$N$31"&amp;"43=REGEXEXTRACT($A2,"".*_(.*)"")))/sum(filter(
Master_Mapping_Sheet!$E$2:$E$3143, ISNUMBER(
Master_Mapping_Sheet!$E$2:$E$3143),
Master_Mapping_Sheet!$C$2:$C$3143=AB$1)))"),0.0)</f>
        <v>0</v>
      </c>
      <c r="AC2" s="34">
        <f>IFERROR(__xludf.DUMMYFUNCTION("IF(ISNA(sum(filter(
Master_Mapping_Sheet!$E$2:$E$3143, ISNUMBER(
Master_Mapping_Sheet!$E$2:$E$3143),
Master_Mapping_Sheet!$C$2:$C$3143=AC$1,
Master_Mapping_Sheet!$N$2:$N$3143=REGEXEXTRACT($A2,"".*_(.*)"")))/sum(filter(
Master_Mapping_Sheet!$E$2:$E$3143, I"&amp;"SNUMBER(
Master_Mapping_Sheet!$E$2:$E$3143),
Master_Mapping_Sheet!$C$2:$C$3143=AC$1))), 0, sum(filter(
Master_Mapping_Sheet!$E$2:$E$3143, ISNUMBER(
Master_Mapping_Sheet!$E$2:$E$3143),
Master_Mapping_Sheet!$C$2:$C$3143=AC$1,
Master_Mapping_Sheet!$N$2:$N$31"&amp;"43=REGEXEXTRACT($A2,"".*_(.*)"")))/sum(filter(
Master_Mapping_Sheet!$E$2:$E$3143, ISNUMBER(
Master_Mapping_Sheet!$E$2:$E$3143),
Master_Mapping_Sheet!$C$2:$C$3143=AC$1)))"),0.0)</f>
        <v>0</v>
      </c>
      <c r="AD2" s="34">
        <f>IFERROR(__xludf.DUMMYFUNCTION("IF(ISNA(sum(filter(
Master_Mapping_Sheet!$E$2:$E$3143, ISNUMBER(
Master_Mapping_Sheet!$E$2:$E$3143),
Master_Mapping_Sheet!$C$2:$C$3143=AD$1,
Master_Mapping_Sheet!$N$2:$N$3143=REGEXEXTRACT($A2,"".*_(.*)"")))/sum(filter(
Master_Mapping_Sheet!$E$2:$E$3143, I"&amp;"SNUMBER(
Master_Mapping_Sheet!$E$2:$E$3143),
Master_Mapping_Sheet!$C$2:$C$3143=AD$1))), 0, sum(filter(
Master_Mapping_Sheet!$E$2:$E$3143, ISNUMBER(
Master_Mapping_Sheet!$E$2:$E$3143),
Master_Mapping_Sheet!$C$2:$C$3143=AD$1,
Master_Mapping_Sheet!$N$2:$N$31"&amp;"43=REGEXEXTRACT($A2,"".*_(.*)"")))/sum(filter(
Master_Mapping_Sheet!$E$2:$E$3143, ISNUMBER(
Master_Mapping_Sheet!$E$2:$E$3143),
Master_Mapping_Sheet!$C$2:$C$3143=AD$1)))"),0.0)</f>
        <v>0</v>
      </c>
      <c r="AE2" s="34">
        <f>IFERROR(__xludf.DUMMYFUNCTION("IF(ISNA(sum(filter(
Master_Mapping_Sheet!$E$2:$E$3143, ISNUMBER(
Master_Mapping_Sheet!$E$2:$E$3143),
Master_Mapping_Sheet!$C$2:$C$3143=AE$1,
Master_Mapping_Sheet!$N$2:$N$3143=REGEXEXTRACT($A2,"".*_(.*)"")))/sum(filter(
Master_Mapping_Sheet!$E$2:$E$3143, I"&amp;"SNUMBER(
Master_Mapping_Sheet!$E$2:$E$3143),
Master_Mapping_Sheet!$C$2:$C$3143=AE$1))), 0, sum(filter(
Master_Mapping_Sheet!$E$2:$E$3143, ISNUMBER(
Master_Mapping_Sheet!$E$2:$E$3143),
Master_Mapping_Sheet!$C$2:$C$3143=AE$1,
Master_Mapping_Sheet!$N$2:$N$31"&amp;"43=REGEXEXTRACT($A2,"".*_(.*)"")))/sum(filter(
Master_Mapping_Sheet!$E$2:$E$3143, ISNUMBER(
Master_Mapping_Sheet!$E$2:$E$3143),
Master_Mapping_Sheet!$C$2:$C$3143=AE$1)))"),0.0)</f>
        <v>0</v>
      </c>
      <c r="AF2" s="34">
        <f>IFERROR(__xludf.DUMMYFUNCTION("IF(ISNA(sum(filter(
Master_Mapping_Sheet!$E$2:$E$3143, ISNUMBER(
Master_Mapping_Sheet!$E$2:$E$3143),
Master_Mapping_Sheet!$C$2:$C$3143=AF$1,
Master_Mapping_Sheet!$N$2:$N$3143=REGEXEXTRACT($A2,"".*_(.*)"")))/sum(filter(
Master_Mapping_Sheet!$E$2:$E$3143, I"&amp;"SNUMBER(
Master_Mapping_Sheet!$E$2:$E$3143),
Master_Mapping_Sheet!$C$2:$C$3143=AF$1))), 0, sum(filter(
Master_Mapping_Sheet!$E$2:$E$3143, ISNUMBER(
Master_Mapping_Sheet!$E$2:$E$3143),
Master_Mapping_Sheet!$C$2:$C$3143=AF$1,
Master_Mapping_Sheet!$N$2:$N$31"&amp;"43=REGEXEXTRACT($A2,"".*_(.*)"")))/sum(filter(
Master_Mapping_Sheet!$E$2:$E$3143, ISNUMBER(
Master_Mapping_Sheet!$E$2:$E$3143),
Master_Mapping_Sheet!$C$2:$C$3143=AF$1)))"),0.0)</f>
        <v>0</v>
      </c>
      <c r="AG2" s="34">
        <f>IFERROR(__xludf.DUMMYFUNCTION("IF(ISNA(sum(filter(
Master_Mapping_Sheet!$E$2:$E$3143, ISNUMBER(
Master_Mapping_Sheet!$E$2:$E$3143),
Master_Mapping_Sheet!$C$2:$C$3143=AG$1,
Master_Mapping_Sheet!$N$2:$N$3143=REGEXEXTRACT($A2,"".*_(.*)"")))/sum(filter(
Master_Mapping_Sheet!$E$2:$E$3143, I"&amp;"SNUMBER(
Master_Mapping_Sheet!$E$2:$E$3143),
Master_Mapping_Sheet!$C$2:$C$3143=AG$1))), 0, sum(filter(
Master_Mapping_Sheet!$E$2:$E$3143, ISNUMBER(
Master_Mapping_Sheet!$E$2:$E$3143),
Master_Mapping_Sheet!$C$2:$C$3143=AG$1,
Master_Mapping_Sheet!$N$2:$N$31"&amp;"43=REGEXEXTRACT($A2,"".*_(.*)"")))/sum(filter(
Master_Mapping_Sheet!$E$2:$E$3143, ISNUMBER(
Master_Mapping_Sheet!$E$2:$E$3143),
Master_Mapping_Sheet!$C$2:$C$3143=AG$1)))"),0.0)</f>
        <v>0</v>
      </c>
      <c r="AH2" s="34">
        <f>IFERROR(__xludf.DUMMYFUNCTION("IF(ISNA(sum(filter(
Master_Mapping_Sheet!$E$2:$E$3143, ISNUMBER(
Master_Mapping_Sheet!$E$2:$E$3143),
Master_Mapping_Sheet!$C$2:$C$3143=AH$1,
Master_Mapping_Sheet!$N$2:$N$3143=REGEXEXTRACT($A2,"".*_(.*)"")))/sum(filter(
Master_Mapping_Sheet!$E$2:$E$3143, I"&amp;"SNUMBER(
Master_Mapping_Sheet!$E$2:$E$3143),
Master_Mapping_Sheet!$C$2:$C$3143=AH$1))), 0, sum(filter(
Master_Mapping_Sheet!$E$2:$E$3143, ISNUMBER(
Master_Mapping_Sheet!$E$2:$E$3143),
Master_Mapping_Sheet!$C$2:$C$3143=AH$1,
Master_Mapping_Sheet!$N$2:$N$31"&amp;"43=REGEXEXTRACT($A2,"".*_(.*)"")))/sum(filter(
Master_Mapping_Sheet!$E$2:$E$3143, ISNUMBER(
Master_Mapping_Sheet!$E$2:$E$3143),
Master_Mapping_Sheet!$C$2:$C$3143=AH$1)))"),0.0)</f>
        <v>0</v>
      </c>
      <c r="AI2" s="34">
        <f>IFERROR(__xludf.DUMMYFUNCTION("IF(ISNA(sum(filter(
Master_Mapping_Sheet!$E$2:$E$3143, ISNUMBER(
Master_Mapping_Sheet!$E$2:$E$3143),
Master_Mapping_Sheet!$C$2:$C$3143=AI$1,
Master_Mapping_Sheet!$N$2:$N$3143=REGEXEXTRACT($A2,"".*_(.*)"")))/sum(filter(
Master_Mapping_Sheet!$E$2:$E$3143, I"&amp;"SNUMBER(
Master_Mapping_Sheet!$E$2:$E$3143),
Master_Mapping_Sheet!$C$2:$C$3143=AI$1))), 0, sum(filter(
Master_Mapping_Sheet!$E$2:$E$3143, ISNUMBER(
Master_Mapping_Sheet!$E$2:$E$3143),
Master_Mapping_Sheet!$C$2:$C$3143=AI$1,
Master_Mapping_Sheet!$N$2:$N$31"&amp;"43=REGEXEXTRACT($A2,"".*_(.*)"")))/sum(filter(
Master_Mapping_Sheet!$E$2:$E$3143, ISNUMBER(
Master_Mapping_Sheet!$E$2:$E$3143),
Master_Mapping_Sheet!$C$2:$C$3143=AI$1)))"),0.07390057358729753)</f>
        <v>0.07390057359</v>
      </c>
      <c r="AJ2" s="34">
        <f>IFERROR(__xludf.DUMMYFUNCTION("IF(ISNA(sum(filter(
Master_Mapping_Sheet!$E$2:$E$3143, ISNUMBER(
Master_Mapping_Sheet!$E$2:$E$3143),
Master_Mapping_Sheet!$C$2:$C$3143=AJ$1,
Master_Mapping_Sheet!$N$2:$N$3143=REGEXEXTRACT($A2,"".*_(.*)"")))/sum(filter(
Master_Mapping_Sheet!$E$2:$E$3143, I"&amp;"SNUMBER(
Master_Mapping_Sheet!$E$2:$E$3143),
Master_Mapping_Sheet!$C$2:$C$3143=AJ$1))), 0, sum(filter(
Master_Mapping_Sheet!$E$2:$E$3143, ISNUMBER(
Master_Mapping_Sheet!$E$2:$E$3143),
Master_Mapping_Sheet!$C$2:$C$3143=AJ$1,
Master_Mapping_Sheet!$N$2:$N$31"&amp;"43=REGEXEXTRACT($A2,"".*_(.*)"")))/sum(filter(
Master_Mapping_Sheet!$E$2:$E$3143, ISNUMBER(
Master_Mapping_Sheet!$E$2:$E$3143),
Master_Mapping_Sheet!$C$2:$C$3143=AJ$1)))"),0.0)</f>
        <v>0</v>
      </c>
      <c r="AK2" s="34">
        <f>IFERROR(__xludf.DUMMYFUNCTION("IF(ISNA(sum(filter(
Master_Mapping_Sheet!$E$2:$E$3143, ISNUMBER(
Master_Mapping_Sheet!$E$2:$E$3143),
Master_Mapping_Sheet!$C$2:$C$3143=AK$1,
Master_Mapping_Sheet!$N$2:$N$3143=REGEXEXTRACT($A2,"".*_(.*)"")))/sum(filter(
Master_Mapping_Sheet!$E$2:$E$3143, I"&amp;"SNUMBER(
Master_Mapping_Sheet!$E$2:$E$3143),
Master_Mapping_Sheet!$C$2:$C$3143=AK$1))), 0, sum(filter(
Master_Mapping_Sheet!$E$2:$E$3143, ISNUMBER(
Master_Mapping_Sheet!$E$2:$E$3143),
Master_Mapping_Sheet!$C$2:$C$3143=AK$1,
Master_Mapping_Sheet!$N$2:$N$31"&amp;"43=REGEXEXTRACT($A2,"".*_(.*)"")))/sum(filter(
Master_Mapping_Sheet!$E$2:$E$3143, ISNUMBER(
Master_Mapping_Sheet!$E$2:$E$3143),
Master_Mapping_Sheet!$C$2:$C$3143=AK$1)))"),0.0)</f>
        <v>0</v>
      </c>
      <c r="AL2" s="34">
        <f>IFERROR(__xludf.DUMMYFUNCTION("IF(ISNA(sum(filter(
Master_Mapping_Sheet!$E$2:$E$3143, ISNUMBER(
Master_Mapping_Sheet!$E$2:$E$3143),
Master_Mapping_Sheet!$C$2:$C$3143=AL$1,
Master_Mapping_Sheet!$N$2:$N$3143=REGEXEXTRACT($A2,"".*_(.*)"")))/sum(filter(
Master_Mapping_Sheet!$E$2:$E$3143, I"&amp;"SNUMBER(
Master_Mapping_Sheet!$E$2:$E$3143),
Master_Mapping_Sheet!$C$2:$C$3143=AL$1))), 0, sum(filter(
Master_Mapping_Sheet!$E$2:$E$3143, ISNUMBER(
Master_Mapping_Sheet!$E$2:$E$3143),
Master_Mapping_Sheet!$C$2:$C$3143=AL$1,
Master_Mapping_Sheet!$N$2:$N$31"&amp;"43=REGEXEXTRACT($A2,"".*_(.*)"")))/sum(filter(
Master_Mapping_Sheet!$E$2:$E$3143, ISNUMBER(
Master_Mapping_Sheet!$E$2:$E$3143),
Master_Mapping_Sheet!$C$2:$C$3143=AL$1)))"),0.0)</f>
        <v>0</v>
      </c>
      <c r="AM2" s="34">
        <f>IFERROR(__xludf.DUMMYFUNCTION("IF(ISNA(sum(filter(
Master_Mapping_Sheet!$E$2:$E$3143, ISNUMBER(
Master_Mapping_Sheet!$E$2:$E$3143),
Master_Mapping_Sheet!$C$2:$C$3143=AM$1,
Master_Mapping_Sheet!$N$2:$N$3143=REGEXEXTRACT($A2,"".*_(.*)"")))/sum(filter(
Master_Mapping_Sheet!$E$2:$E$3143, I"&amp;"SNUMBER(
Master_Mapping_Sheet!$E$2:$E$3143),
Master_Mapping_Sheet!$C$2:$C$3143=AM$1))), 0, sum(filter(
Master_Mapping_Sheet!$E$2:$E$3143, ISNUMBER(
Master_Mapping_Sheet!$E$2:$E$3143),
Master_Mapping_Sheet!$C$2:$C$3143=AM$1,
Master_Mapping_Sheet!$N$2:$N$31"&amp;"43=REGEXEXTRACT($A2,"".*_(.*)"")))/sum(filter(
Master_Mapping_Sheet!$E$2:$E$3143, ISNUMBER(
Master_Mapping_Sheet!$E$2:$E$3143),
Master_Mapping_Sheet!$C$2:$C$3143=AM$1)))"),0.0)</f>
        <v>0</v>
      </c>
      <c r="AN2" s="34">
        <f>IFERROR(__xludf.DUMMYFUNCTION("IF(ISNA(sum(filter(
Master_Mapping_Sheet!$E$2:$E$3143, ISNUMBER(
Master_Mapping_Sheet!$E$2:$E$3143),
Master_Mapping_Sheet!$C$2:$C$3143=AN$1,
Master_Mapping_Sheet!$N$2:$N$3143=REGEXEXTRACT($A2,"".*_(.*)"")))/sum(filter(
Master_Mapping_Sheet!$E$2:$E$3143, I"&amp;"SNUMBER(
Master_Mapping_Sheet!$E$2:$E$3143),
Master_Mapping_Sheet!$C$2:$C$3143=AN$1))), 0, sum(filter(
Master_Mapping_Sheet!$E$2:$E$3143, ISNUMBER(
Master_Mapping_Sheet!$E$2:$E$3143),
Master_Mapping_Sheet!$C$2:$C$3143=AN$1,
Master_Mapping_Sheet!$N$2:$N$31"&amp;"43=REGEXEXTRACT($A2,"".*_(.*)"")))/sum(filter(
Master_Mapping_Sheet!$E$2:$E$3143, ISNUMBER(
Master_Mapping_Sheet!$E$2:$E$3143),
Master_Mapping_Sheet!$C$2:$C$3143=AN$1)))"),0.0)</f>
        <v>0</v>
      </c>
      <c r="AO2" s="34">
        <f>IFERROR(__xludf.DUMMYFUNCTION("IF(ISNA(sum(filter(
Master_Mapping_Sheet!$E$2:$E$3143, ISNUMBER(
Master_Mapping_Sheet!$E$2:$E$3143),
Master_Mapping_Sheet!$C$2:$C$3143=AO$1,
Master_Mapping_Sheet!$N$2:$N$3143=REGEXEXTRACT($A2,"".*_(.*)"")))/sum(filter(
Master_Mapping_Sheet!$E$2:$E$3143, I"&amp;"SNUMBER(
Master_Mapping_Sheet!$E$2:$E$3143),
Master_Mapping_Sheet!$C$2:$C$3143=AO$1))), 0, sum(filter(
Master_Mapping_Sheet!$E$2:$E$3143, ISNUMBER(
Master_Mapping_Sheet!$E$2:$E$3143),
Master_Mapping_Sheet!$C$2:$C$3143=AO$1,
Master_Mapping_Sheet!$N$2:$N$31"&amp;"43=REGEXEXTRACT($A2,"".*_(.*)"")))/sum(filter(
Master_Mapping_Sheet!$E$2:$E$3143, ISNUMBER(
Master_Mapping_Sheet!$E$2:$E$3143),
Master_Mapping_Sheet!$C$2:$C$3143=AO$1)))"),0.0)</f>
        <v>0</v>
      </c>
      <c r="AP2" s="34">
        <f>IFERROR(__xludf.DUMMYFUNCTION("IF(ISNA(sum(filter(
Master_Mapping_Sheet!$E$2:$E$3143, ISNUMBER(
Master_Mapping_Sheet!$E$2:$E$3143),
Master_Mapping_Sheet!$C$2:$C$3143=AP$1,
Master_Mapping_Sheet!$N$2:$N$3143=REGEXEXTRACT($A2,"".*_(.*)"")))/sum(filter(
Master_Mapping_Sheet!$E$2:$E$3143, I"&amp;"SNUMBER(
Master_Mapping_Sheet!$E$2:$E$3143),
Master_Mapping_Sheet!$C$2:$C$3143=AP$1))), 0, sum(filter(
Master_Mapping_Sheet!$E$2:$E$3143, ISNUMBER(
Master_Mapping_Sheet!$E$2:$E$3143),
Master_Mapping_Sheet!$C$2:$C$3143=AP$1,
Master_Mapping_Sheet!$N$2:$N$31"&amp;"43=REGEXEXTRACT($A2,"".*_(.*)"")))/sum(filter(
Master_Mapping_Sheet!$E$2:$E$3143, ISNUMBER(
Master_Mapping_Sheet!$E$2:$E$3143),
Master_Mapping_Sheet!$C$2:$C$3143=AP$1)))"),0.3057445210852034)</f>
        <v>0.3057445211</v>
      </c>
      <c r="AQ2" s="34">
        <f>IFERROR(__xludf.DUMMYFUNCTION("IF(ISNA(sum(filter(
Master_Mapping_Sheet!$E$2:$E$3143, ISNUMBER(
Master_Mapping_Sheet!$E$2:$E$3143),
Master_Mapping_Sheet!$C$2:$C$3143=AQ$1,
Master_Mapping_Sheet!$N$2:$N$3143=REGEXEXTRACT($A2,"".*_(.*)"")))/sum(filter(
Master_Mapping_Sheet!$E$2:$E$3143, I"&amp;"SNUMBER(
Master_Mapping_Sheet!$E$2:$E$3143),
Master_Mapping_Sheet!$C$2:$C$3143=AQ$1))), 0, sum(filter(
Master_Mapping_Sheet!$E$2:$E$3143, ISNUMBER(
Master_Mapping_Sheet!$E$2:$E$3143),
Master_Mapping_Sheet!$C$2:$C$3143=AQ$1,
Master_Mapping_Sheet!$N$2:$N$31"&amp;"43=REGEXEXTRACT($A2,"".*_(.*)"")))/sum(filter(
Master_Mapping_Sheet!$E$2:$E$3143, ISNUMBER(
Master_Mapping_Sheet!$E$2:$E$3143),
Master_Mapping_Sheet!$C$2:$C$3143=AQ$1)))"),0.0)</f>
        <v>0</v>
      </c>
      <c r="AR2" s="34">
        <f>IFERROR(__xludf.DUMMYFUNCTION("IF(ISNA(sum(filter(
Master_Mapping_Sheet!$E$2:$E$3143, ISNUMBER(
Master_Mapping_Sheet!$E$2:$E$3143),
Master_Mapping_Sheet!$C$2:$C$3143=AR$1,
Master_Mapping_Sheet!$N$2:$N$3143=REGEXEXTRACT($A2,"".*_(.*)"")))/sum(filter(
Master_Mapping_Sheet!$E$2:$E$3143, I"&amp;"SNUMBER(
Master_Mapping_Sheet!$E$2:$E$3143),
Master_Mapping_Sheet!$C$2:$C$3143=AR$1))), 0, sum(filter(
Master_Mapping_Sheet!$E$2:$E$3143, ISNUMBER(
Master_Mapping_Sheet!$E$2:$E$3143),
Master_Mapping_Sheet!$C$2:$C$3143=AR$1,
Master_Mapping_Sheet!$N$2:$N$31"&amp;"43=REGEXEXTRACT($A2,"".*_(.*)"")))/sum(filter(
Master_Mapping_Sheet!$E$2:$E$3143, ISNUMBER(
Master_Mapping_Sheet!$E$2:$E$3143),
Master_Mapping_Sheet!$C$2:$C$3143=AR$1)))"),0.0)</f>
        <v>0</v>
      </c>
      <c r="AS2" s="34">
        <f>IFERROR(__xludf.DUMMYFUNCTION("IF(ISNA(sum(filter(
Master_Mapping_Sheet!$E$2:$E$3143, ISNUMBER(
Master_Mapping_Sheet!$E$2:$E$3143),
Master_Mapping_Sheet!$C$2:$C$3143=AS$1,
Master_Mapping_Sheet!$N$2:$N$3143=REGEXEXTRACT($A2,"".*_(.*)"")))/sum(filter(
Master_Mapping_Sheet!$E$2:$E$3143, I"&amp;"SNUMBER(
Master_Mapping_Sheet!$E$2:$E$3143),
Master_Mapping_Sheet!$C$2:$C$3143=AS$1))), 0, sum(filter(
Master_Mapping_Sheet!$E$2:$E$3143, ISNUMBER(
Master_Mapping_Sheet!$E$2:$E$3143),
Master_Mapping_Sheet!$C$2:$C$3143=AS$1,
Master_Mapping_Sheet!$N$2:$N$31"&amp;"43=REGEXEXTRACT($A2,"".*_(.*)"")))/sum(filter(
Master_Mapping_Sheet!$E$2:$E$3143, ISNUMBER(
Master_Mapping_Sheet!$E$2:$E$3143),
Master_Mapping_Sheet!$C$2:$C$3143=AS$1)))"),0.8916421209625804)</f>
        <v>0.891642121</v>
      </c>
      <c r="AT2" s="34">
        <f>IFERROR(__xludf.DUMMYFUNCTION("IF(ISNA(sum(filter(
Master_Mapping_Sheet!$E$2:$E$3143, ISNUMBER(
Master_Mapping_Sheet!$E$2:$E$3143),
Master_Mapping_Sheet!$C$2:$C$3143=AT$1,
Master_Mapping_Sheet!$N$2:$N$3143=REGEXEXTRACT($A2,"".*_(.*)"")))/sum(filter(
Master_Mapping_Sheet!$E$2:$E$3143, I"&amp;"SNUMBER(
Master_Mapping_Sheet!$E$2:$E$3143),
Master_Mapping_Sheet!$C$2:$C$3143=AT$1))), 0, sum(filter(
Master_Mapping_Sheet!$E$2:$E$3143, ISNUMBER(
Master_Mapping_Sheet!$E$2:$E$3143),
Master_Mapping_Sheet!$C$2:$C$3143=AT$1,
Master_Mapping_Sheet!$N$2:$N$31"&amp;"43=REGEXEXTRACT($A2,"".*_(.*)"")))/sum(filter(
Master_Mapping_Sheet!$E$2:$E$3143, ISNUMBER(
Master_Mapping_Sheet!$E$2:$E$3143),
Master_Mapping_Sheet!$C$2:$C$3143=AT$1)))"),0.0)</f>
        <v>0</v>
      </c>
      <c r="AU2" s="34">
        <f>IFERROR(__xludf.DUMMYFUNCTION("IF(ISNA(sum(filter(
Master_Mapping_Sheet!$E$2:$E$3143, ISNUMBER(
Master_Mapping_Sheet!$E$2:$E$3143),
Master_Mapping_Sheet!$C$2:$C$3143=AU$1,
Master_Mapping_Sheet!$N$2:$N$3143=REGEXEXTRACT($A2,"".*_(.*)"")))/sum(filter(
Master_Mapping_Sheet!$E$2:$E$3143, I"&amp;"SNUMBER(
Master_Mapping_Sheet!$E$2:$E$3143),
Master_Mapping_Sheet!$C$2:$C$3143=AU$1))), 0, sum(filter(
Master_Mapping_Sheet!$E$2:$E$3143, ISNUMBER(
Master_Mapping_Sheet!$E$2:$E$3143),
Master_Mapping_Sheet!$C$2:$C$3143=AU$1,
Master_Mapping_Sheet!$N$2:$N$31"&amp;"43=REGEXEXTRACT($A2,"".*_(.*)"")))/sum(filter(
Master_Mapping_Sheet!$E$2:$E$3143, ISNUMBER(
Master_Mapping_Sheet!$E$2:$E$3143),
Master_Mapping_Sheet!$C$2:$C$3143=AU$1)))"),0.0)</f>
        <v>0</v>
      </c>
      <c r="AV2" s="34">
        <f>IFERROR(__xludf.DUMMYFUNCTION("IF(ISNA(sum(filter(
Master_Mapping_Sheet!$E$2:$E$3143, ISNUMBER(
Master_Mapping_Sheet!$E$2:$E$3143),
Master_Mapping_Sheet!$C$2:$C$3143=AV$1,
Master_Mapping_Sheet!$N$2:$N$3143=REGEXEXTRACT($A2,"".*_(.*)"")))/sum(filter(
Master_Mapping_Sheet!$E$2:$E$3143, I"&amp;"SNUMBER(
Master_Mapping_Sheet!$E$2:$E$3143),
Master_Mapping_Sheet!$C$2:$C$3143=AV$1))), 0, sum(filter(
Master_Mapping_Sheet!$E$2:$E$3143, ISNUMBER(
Master_Mapping_Sheet!$E$2:$E$3143),
Master_Mapping_Sheet!$C$2:$C$3143=AV$1,
Master_Mapping_Sheet!$N$2:$N$31"&amp;"43=REGEXEXTRACT($A2,"".*_(.*)"")))/sum(filter(
Master_Mapping_Sheet!$E$2:$E$3143, ISNUMBER(
Master_Mapping_Sheet!$E$2:$E$3143),
Master_Mapping_Sheet!$C$2:$C$3143=AV$1)))"),0.0)</f>
        <v>0</v>
      </c>
      <c r="AW2" s="34">
        <f>IFERROR(__xludf.DUMMYFUNCTION("IF(ISNA(sum(filter(
Master_Mapping_Sheet!$E$2:$E$3143, ISNUMBER(
Master_Mapping_Sheet!$E$2:$E$3143),
Master_Mapping_Sheet!$C$2:$C$3143=AW$1,
Master_Mapping_Sheet!$N$2:$N$3143=REGEXEXTRACT($A2,"".*_(.*)"")))/sum(filter(
Master_Mapping_Sheet!$E$2:$E$3143, I"&amp;"SNUMBER(
Master_Mapping_Sheet!$E$2:$E$3143),
Master_Mapping_Sheet!$C$2:$C$3143=AW$1))), 0, sum(filter(
Master_Mapping_Sheet!$E$2:$E$3143, ISNUMBER(
Master_Mapping_Sheet!$E$2:$E$3143),
Master_Mapping_Sheet!$C$2:$C$3143=AW$1,
Master_Mapping_Sheet!$N$2:$N$31"&amp;"43=REGEXEXTRACT($A2,"".*_(.*)"")))/sum(filter(
Master_Mapping_Sheet!$E$2:$E$3143, ISNUMBER(
Master_Mapping_Sheet!$E$2:$E$3143),
Master_Mapping_Sheet!$C$2:$C$3143=AW$1)))"),0.0)</f>
        <v>0</v>
      </c>
      <c r="AX2" s="34">
        <f>IFERROR(__xludf.DUMMYFUNCTION("IF(ISNA(sum(filter(
Master_Mapping_Sheet!$E$2:$E$3143, ISNUMBER(
Master_Mapping_Sheet!$E$2:$E$3143),
Master_Mapping_Sheet!$C$2:$C$3143=AX$1,
Master_Mapping_Sheet!$N$2:$N$3143=REGEXEXTRACT($A2,"".*_(.*)"")))/sum(filter(
Master_Mapping_Sheet!$E$2:$E$3143, I"&amp;"SNUMBER(
Master_Mapping_Sheet!$E$2:$E$3143),
Master_Mapping_Sheet!$C$2:$C$3143=AX$1))), 0, sum(filter(
Master_Mapping_Sheet!$E$2:$E$3143, ISNUMBER(
Master_Mapping_Sheet!$E$2:$E$3143),
Master_Mapping_Sheet!$C$2:$C$3143=AX$1,
Master_Mapping_Sheet!$N$2:$N$31"&amp;"43=REGEXEXTRACT($A2,"".*_(.*)"")))/sum(filter(
Master_Mapping_Sheet!$E$2:$E$3143, ISNUMBER(
Master_Mapping_Sheet!$E$2:$E$3143),
Master_Mapping_Sheet!$C$2:$C$3143=AX$1)))"),0.0)</f>
        <v>0</v>
      </c>
      <c r="AY2" s="34">
        <f>IFERROR(__xludf.DUMMYFUNCTION("IF(ISNA(sum(filter(
Master_Mapping_Sheet!$E$2:$E$3143, ISNUMBER(
Master_Mapping_Sheet!$E$2:$E$3143),
Master_Mapping_Sheet!$C$2:$C$3143=AY$1,
Master_Mapping_Sheet!$N$2:$N$3143=REGEXEXTRACT($A2,"".*_(.*)"")))/sum(filter(
Master_Mapping_Sheet!$E$2:$E$3143, I"&amp;"SNUMBER(
Master_Mapping_Sheet!$E$2:$E$3143),
Master_Mapping_Sheet!$C$2:$C$3143=AY$1))), 0, sum(filter(
Master_Mapping_Sheet!$E$2:$E$3143, ISNUMBER(
Master_Mapping_Sheet!$E$2:$E$3143),
Master_Mapping_Sheet!$C$2:$C$3143=AY$1,
Master_Mapping_Sheet!$N$2:$N$31"&amp;"43=REGEXEXTRACT($A2,"".*_(.*)"")))/sum(filter(
Master_Mapping_Sheet!$E$2:$E$3143, ISNUMBER(
Master_Mapping_Sheet!$E$2:$E$3143),
Master_Mapping_Sheet!$C$2:$C$3143=AY$1)))"),0.0)</f>
        <v>0</v>
      </c>
      <c r="AZ2" s="34">
        <f>IFERROR(__xludf.DUMMYFUNCTION("IF(ISNA(sum(filter(
Master_Mapping_Sheet!$E$2:$E$3143, ISNUMBER(
Master_Mapping_Sheet!$E$2:$E$3143),
Master_Mapping_Sheet!$C$2:$C$3143=AZ$1,
Master_Mapping_Sheet!$N$2:$N$3143=REGEXEXTRACT($A2,"".*_(.*)"")))/sum(filter(
Master_Mapping_Sheet!$E$2:$E$3143, I"&amp;"SNUMBER(
Master_Mapping_Sheet!$E$2:$E$3143),
Master_Mapping_Sheet!$C$2:$C$3143=AZ$1))), 0, sum(filter(
Master_Mapping_Sheet!$E$2:$E$3143, ISNUMBER(
Master_Mapping_Sheet!$E$2:$E$3143),
Master_Mapping_Sheet!$C$2:$C$3143=AZ$1,
Master_Mapping_Sheet!$N$2:$N$31"&amp;"43=REGEXEXTRACT($A2,"".*_(.*)"")))/sum(filter(
Master_Mapping_Sheet!$E$2:$E$3143, ISNUMBER(
Master_Mapping_Sheet!$E$2:$E$3143),
Master_Mapping_Sheet!$C$2:$C$3143=AZ$1)))"),0.0)</f>
        <v>0</v>
      </c>
    </row>
    <row r="3" ht="15.75" customHeight="1">
      <c r="A3" s="45" t="s">
        <v>4261</v>
      </c>
      <c r="B3" s="34">
        <f>IFERROR(__xludf.DUMMYFUNCTION("IF(ISNA(sum(filter(
Master_Mapping_Sheet!$E$2:$E$3143, ISNUMBER(
Master_Mapping_Sheet!$E$2:$E$3143),
Master_Mapping_Sheet!$C$2:$C$3143=B$1,
Master_Mapping_Sheet!$N$2:$N$3143=REGEXEXTRACT($A3,"".*_(.*)"")))/sum(filter(
Master_Mapping_Sheet!$E$2:$E$3143, IS"&amp;"NUMBER(
Master_Mapping_Sheet!$E$2:$E$3143),
Master_Mapping_Sheet!$C$2:$C$3143=B$1))), 0, sum(filter(
Master_Mapping_Sheet!$E$2:$E$3143, ISNUMBER(
Master_Mapping_Sheet!$E$2:$E$3143),
Master_Mapping_Sheet!$C$2:$C$3143=B$1,
Master_Mapping_Sheet!$N$2:$N$3143="&amp;"REGEXEXTRACT($A3,"".*_(.*)"")))/sum(filter(
Master_Mapping_Sheet!$E$2:$E$3143, ISNUMBER(
Master_Mapping_Sheet!$E$2:$E$3143),
Master_Mapping_Sheet!$C$2:$C$3143=B$1)))"),0.6647212040870178)</f>
        <v>0.6647212041</v>
      </c>
      <c r="C3" s="34">
        <f>IFERROR(__xludf.DUMMYFUNCTION("IF(ISNA(sum(filter(
Master_Mapping_Sheet!$E$2:$E$3143, ISNUMBER(
Master_Mapping_Sheet!$E$2:$E$3143),
Master_Mapping_Sheet!$C$2:$C$3143=C$1,
Master_Mapping_Sheet!$N$2:$N$3143=REGEXEXTRACT($A3,"".*_(.*)"")))/sum(filter(
Master_Mapping_Sheet!$E$2:$E$3143, IS"&amp;"NUMBER(
Master_Mapping_Sheet!$E$2:$E$3143),
Master_Mapping_Sheet!$C$2:$C$3143=C$1))), 0, sum(filter(
Master_Mapping_Sheet!$E$2:$E$3143, ISNUMBER(
Master_Mapping_Sheet!$E$2:$E$3143),
Master_Mapping_Sheet!$C$2:$C$3143=C$1,
Master_Mapping_Sheet!$N$2:$N$3143="&amp;"REGEXEXTRACT($A3,"".*_(.*)"")))/sum(filter(
Master_Mapping_Sheet!$E$2:$E$3143, ISNUMBER(
Master_Mapping_Sheet!$E$2:$E$3143),
Master_Mapping_Sheet!$C$2:$C$3143=C$1)))"),0.0)</f>
        <v>0</v>
      </c>
      <c r="D3" s="34">
        <f>IFERROR(__xludf.DUMMYFUNCTION("IF(ISNA(sum(filter(
Master_Mapping_Sheet!$E$2:$E$3143, ISNUMBER(
Master_Mapping_Sheet!$E$2:$E$3143),
Master_Mapping_Sheet!$C$2:$C$3143=D$1,
Master_Mapping_Sheet!$N$2:$N$3143=REGEXEXTRACT($A3,"".*_(.*)"")))/sum(filter(
Master_Mapping_Sheet!$E$2:$E$3143, IS"&amp;"NUMBER(
Master_Mapping_Sheet!$E$2:$E$3143),
Master_Mapping_Sheet!$C$2:$C$3143=D$1))), 0, sum(filter(
Master_Mapping_Sheet!$E$2:$E$3143, ISNUMBER(
Master_Mapping_Sheet!$E$2:$E$3143),
Master_Mapping_Sheet!$C$2:$C$3143=D$1,
Master_Mapping_Sheet!$N$2:$N$3143="&amp;"REGEXEXTRACT($A3,"".*_(.*)"")))/sum(filter(
Master_Mapping_Sheet!$E$2:$E$3143, ISNUMBER(
Master_Mapping_Sheet!$E$2:$E$3143),
Master_Mapping_Sheet!$C$2:$C$3143=D$1)))"),0.0)</f>
        <v>0</v>
      </c>
      <c r="E3" s="34">
        <f>IFERROR(__xludf.DUMMYFUNCTION("IF(ISNA(sum(filter(
Master_Mapping_Sheet!$E$2:$E$3143, ISNUMBER(
Master_Mapping_Sheet!$E$2:$E$3143),
Master_Mapping_Sheet!$C$2:$C$3143=E$1,
Master_Mapping_Sheet!$N$2:$N$3143=REGEXEXTRACT($A3,"".*_(.*)"")))/sum(filter(
Master_Mapping_Sheet!$E$2:$E$3143, IS"&amp;"NUMBER(
Master_Mapping_Sheet!$E$2:$E$3143),
Master_Mapping_Sheet!$C$2:$C$3143=E$1))), 0, sum(filter(
Master_Mapping_Sheet!$E$2:$E$3143, ISNUMBER(
Master_Mapping_Sheet!$E$2:$E$3143),
Master_Mapping_Sheet!$C$2:$C$3143=E$1,
Master_Mapping_Sheet!$N$2:$N$3143="&amp;"REGEXEXTRACT($A3,"".*_(.*)"")))/sum(filter(
Master_Mapping_Sheet!$E$2:$E$3143, ISNUMBER(
Master_Mapping_Sheet!$E$2:$E$3143),
Master_Mapping_Sheet!$C$2:$C$3143=E$1)))"),0.9609281384423412)</f>
        <v>0.9609281384</v>
      </c>
      <c r="F3" s="34">
        <f>IFERROR(__xludf.DUMMYFUNCTION("IF(ISNA(sum(filter(
Master_Mapping_Sheet!$E$2:$E$3143, ISNUMBER(
Master_Mapping_Sheet!$E$2:$E$3143),
Master_Mapping_Sheet!$C$2:$C$3143=F$1,
Master_Mapping_Sheet!$N$2:$N$3143=REGEXEXTRACT($A3,"".*_(.*)"")))/sum(filter(
Master_Mapping_Sheet!$E$2:$E$3143, IS"&amp;"NUMBER(
Master_Mapping_Sheet!$E$2:$E$3143),
Master_Mapping_Sheet!$C$2:$C$3143=F$1))), 0, sum(filter(
Master_Mapping_Sheet!$E$2:$E$3143, ISNUMBER(
Master_Mapping_Sheet!$E$2:$E$3143),
Master_Mapping_Sheet!$C$2:$C$3143=F$1,
Master_Mapping_Sheet!$N$2:$N$3143="&amp;"REGEXEXTRACT($A3,"".*_(.*)"")))/sum(filter(
Master_Mapping_Sheet!$E$2:$E$3143, ISNUMBER(
Master_Mapping_Sheet!$E$2:$E$3143),
Master_Mapping_Sheet!$C$2:$C$3143=F$1)))"),0.0)</f>
        <v>0</v>
      </c>
      <c r="G3" s="34">
        <f>IFERROR(__xludf.DUMMYFUNCTION("IF(ISNA(sum(filter(
Master_Mapping_Sheet!$E$2:$E$3143, ISNUMBER(
Master_Mapping_Sheet!$E$2:$E$3143),
Master_Mapping_Sheet!$C$2:$C$3143=G$1,
Master_Mapping_Sheet!$N$2:$N$3143=REGEXEXTRACT($A3,"".*_(.*)"")))/sum(filter(
Master_Mapping_Sheet!$E$2:$E$3143, IS"&amp;"NUMBER(
Master_Mapping_Sheet!$E$2:$E$3143),
Master_Mapping_Sheet!$C$2:$C$3143=G$1))), 0, sum(filter(
Master_Mapping_Sheet!$E$2:$E$3143, ISNUMBER(
Master_Mapping_Sheet!$E$2:$E$3143),
Master_Mapping_Sheet!$C$2:$C$3143=G$1,
Master_Mapping_Sheet!$N$2:$N$3143="&amp;"REGEXEXTRACT($A3,"".*_(.*)"")))/sum(filter(
Master_Mapping_Sheet!$E$2:$E$3143, ISNUMBER(
Master_Mapping_Sheet!$E$2:$E$3143),
Master_Mapping_Sheet!$C$2:$C$3143=G$1)))"),0.0)</f>
        <v>0</v>
      </c>
      <c r="H3" s="34">
        <f>IFERROR(__xludf.DUMMYFUNCTION("IF(ISNA(sum(filter(
Master_Mapping_Sheet!$E$2:$E$3143, ISNUMBER(
Master_Mapping_Sheet!$E$2:$E$3143),
Master_Mapping_Sheet!$C$2:$C$3143=H$1,
Master_Mapping_Sheet!$N$2:$N$3143=REGEXEXTRACT($A3,"".*_(.*)"")))/sum(filter(
Master_Mapping_Sheet!$E$2:$E$3143, IS"&amp;"NUMBER(
Master_Mapping_Sheet!$E$2:$E$3143),
Master_Mapping_Sheet!$C$2:$C$3143=H$1))), 0, sum(filter(
Master_Mapping_Sheet!$E$2:$E$3143, ISNUMBER(
Master_Mapping_Sheet!$E$2:$E$3143),
Master_Mapping_Sheet!$C$2:$C$3143=H$1,
Master_Mapping_Sheet!$N$2:$N$3143="&amp;"REGEXEXTRACT($A3,"".*_(.*)"")))/sum(filter(
Master_Mapping_Sheet!$E$2:$E$3143, ISNUMBER(
Master_Mapping_Sheet!$E$2:$E$3143),
Master_Mapping_Sheet!$C$2:$C$3143=H$1)))"),0.0)</f>
        <v>0</v>
      </c>
      <c r="I3" s="34">
        <f>IFERROR(__xludf.DUMMYFUNCTION("IF(ISNA(sum(filter(
Master_Mapping_Sheet!$E$2:$E$3143, ISNUMBER(
Master_Mapping_Sheet!$E$2:$E$3143),
Master_Mapping_Sheet!$C$2:$C$3143=I$1,
Master_Mapping_Sheet!$N$2:$N$3143=REGEXEXTRACT($A3,"".*_(.*)"")))/sum(filter(
Master_Mapping_Sheet!$E$2:$E$3143, IS"&amp;"NUMBER(
Master_Mapping_Sheet!$E$2:$E$3143),
Master_Mapping_Sheet!$C$2:$C$3143=I$1))), 0, sum(filter(
Master_Mapping_Sheet!$E$2:$E$3143, ISNUMBER(
Master_Mapping_Sheet!$E$2:$E$3143),
Master_Mapping_Sheet!$C$2:$C$3143=I$1,
Master_Mapping_Sheet!$N$2:$N$3143="&amp;"REGEXEXTRACT($A3,"".*_(.*)"")))/sum(filter(
Master_Mapping_Sheet!$E$2:$E$3143, ISNUMBER(
Master_Mapping_Sheet!$E$2:$E$3143),
Master_Mapping_Sheet!$C$2:$C$3143=I$1)))"),1.0)</f>
        <v>1</v>
      </c>
      <c r="J3" s="34">
        <f>IFERROR(__xludf.DUMMYFUNCTION("IF(ISNA(sum(filter(
Master_Mapping_Sheet!$E$2:$E$3143, ISNUMBER(
Master_Mapping_Sheet!$E$2:$E$3143),
Master_Mapping_Sheet!$C$2:$C$3143=J$1,
Master_Mapping_Sheet!$N$2:$N$3143=REGEXEXTRACT($A3,"".*_(.*)"")))/sum(filter(
Master_Mapping_Sheet!$E$2:$E$3143, IS"&amp;"NUMBER(
Master_Mapping_Sheet!$E$2:$E$3143),
Master_Mapping_Sheet!$C$2:$C$3143=J$1))), 0, sum(filter(
Master_Mapping_Sheet!$E$2:$E$3143, ISNUMBER(
Master_Mapping_Sheet!$E$2:$E$3143),
Master_Mapping_Sheet!$C$2:$C$3143=J$1,
Master_Mapping_Sheet!$N$2:$N$3143="&amp;"REGEXEXTRACT($A3,"".*_(.*)"")))/sum(filter(
Master_Mapping_Sheet!$E$2:$E$3143, ISNUMBER(
Master_Mapping_Sheet!$E$2:$E$3143),
Master_Mapping_Sheet!$C$2:$C$3143=J$1)))"),1.0)</f>
        <v>1</v>
      </c>
      <c r="K3" s="34">
        <f>IFERROR(__xludf.DUMMYFUNCTION("IF(ISNA(sum(filter(
Master_Mapping_Sheet!$E$2:$E$3143, ISNUMBER(
Master_Mapping_Sheet!$E$2:$E$3143),
Master_Mapping_Sheet!$C$2:$C$3143=K$1,
Master_Mapping_Sheet!$N$2:$N$3143=REGEXEXTRACT($A3,"".*_(.*)"")))/sum(filter(
Master_Mapping_Sheet!$E$2:$E$3143, IS"&amp;"NUMBER(
Master_Mapping_Sheet!$E$2:$E$3143),
Master_Mapping_Sheet!$C$2:$C$3143=K$1))), 0, sum(filter(
Master_Mapping_Sheet!$E$2:$E$3143, ISNUMBER(
Master_Mapping_Sheet!$E$2:$E$3143),
Master_Mapping_Sheet!$C$2:$C$3143=K$1,
Master_Mapping_Sheet!$N$2:$N$3143="&amp;"REGEXEXTRACT($A3,"".*_(.*)"")))/sum(filter(
Master_Mapping_Sheet!$E$2:$E$3143, ISNUMBER(
Master_Mapping_Sheet!$E$2:$E$3143),
Master_Mapping_Sheet!$C$2:$C$3143=K$1)))"),0.0)</f>
        <v>0</v>
      </c>
      <c r="L3" s="34">
        <f>IFERROR(__xludf.DUMMYFUNCTION("IF(ISNA(sum(filter(
Master_Mapping_Sheet!$E$2:$E$3143, ISNUMBER(
Master_Mapping_Sheet!$E$2:$E$3143),
Master_Mapping_Sheet!$C$2:$C$3143=L$1,
Master_Mapping_Sheet!$N$2:$N$3143=REGEXEXTRACT($A3,"".*_(.*)"")))/sum(filter(
Master_Mapping_Sheet!$E$2:$E$3143, IS"&amp;"NUMBER(
Master_Mapping_Sheet!$E$2:$E$3143),
Master_Mapping_Sheet!$C$2:$C$3143=L$1))), 0, sum(filter(
Master_Mapping_Sheet!$E$2:$E$3143, ISNUMBER(
Master_Mapping_Sheet!$E$2:$E$3143),
Master_Mapping_Sheet!$C$2:$C$3143=L$1,
Master_Mapping_Sheet!$N$2:$N$3143="&amp;"REGEXEXTRACT($A3,"".*_(.*)"")))/sum(filter(
Master_Mapping_Sheet!$E$2:$E$3143, ISNUMBER(
Master_Mapping_Sheet!$E$2:$E$3143),
Master_Mapping_Sheet!$C$2:$C$3143=L$1)))"),0.8026799158272833)</f>
        <v>0.8026799158</v>
      </c>
      <c r="M3" s="34">
        <f>IFERROR(__xludf.DUMMYFUNCTION("IF(ISNA(sum(filter(
Master_Mapping_Sheet!$E$2:$E$3143, ISNUMBER(
Master_Mapping_Sheet!$E$2:$E$3143),
Master_Mapping_Sheet!$C$2:$C$3143=M$1,
Master_Mapping_Sheet!$N$2:$N$3143=REGEXEXTRACT($A3,"".*_(.*)"")))/sum(filter(
Master_Mapping_Sheet!$E$2:$E$3143, IS"&amp;"NUMBER(
Master_Mapping_Sheet!$E$2:$E$3143),
Master_Mapping_Sheet!$C$2:$C$3143=M$1))), 0, sum(filter(
Master_Mapping_Sheet!$E$2:$E$3143, ISNUMBER(
Master_Mapping_Sheet!$E$2:$E$3143),
Master_Mapping_Sheet!$C$2:$C$3143=M$1,
Master_Mapping_Sheet!$N$2:$N$3143="&amp;"REGEXEXTRACT($A3,"".*_(.*)"")))/sum(filter(
Master_Mapping_Sheet!$E$2:$E$3143, ISNUMBER(
Master_Mapping_Sheet!$E$2:$E$3143),
Master_Mapping_Sheet!$C$2:$C$3143=M$1)))"),0.0)</f>
        <v>0</v>
      </c>
      <c r="N3" s="34">
        <f>IFERROR(__xludf.DUMMYFUNCTION("IF(ISNA(sum(filter(
Master_Mapping_Sheet!$E$2:$E$3143, ISNUMBER(
Master_Mapping_Sheet!$E$2:$E$3143),
Master_Mapping_Sheet!$C$2:$C$3143=N$1,
Master_Mapping_Sheet!$N$2:$N$3143=REGEXEXTRACT($A3,"".*_(.*)"")))/sum(filter(
Master_Mapping_Sheet!$E$2:$E$3143, IS"&amp;"NUMBER(
Master_Mapping_Sheet!$E$2:$E$3143),
Master_Mapping_Sheet!$C$2:$C$3143=N$1))), 0, sum(filter(
Master_Mapping_Sheet!$E$2:$E$3143, ISNUMBER(
Master_Mapping_Sheet!$E$2:$E$3143),
Master_Mapping_Sheet!$C$2:$C$3143=N$1,
Master_Mapping_Sheet!$N$2:$N$3143="&amp;"REGEXEXTRACT($A3,"".*_(.*)"")))/sum(filter(
Master_Mapping_Sheet!$E$2:$E$3143, ISNUMBER(
Master_Mapping_Sheet!$E$2:$E$3143),
Master_Mapping_Sheet!$C$2:$C$3143=N$1)))"),0.0)</f>
        <v>0</v>
      </c>
      <c r="O3" s="34">
        <f>IFERROR(__xludf.DUMMYFUNCTION("IF(ISNA(sum(filter(
Master_Mapping_Sheet!$E$2:$E$3143, ISNUMBER(
Master_Mapping_Sheet!$E$2:$E$3143),
Master_Mapping_Sheet!$C$2:$C$3143=O$1,
Master_Mapping_Sheet!$N$2:$N$3143=REGEXEXTRACT($A3,"".*_(.*)"")))/sum(filter(
Master_Mapping_Sheet!$E$2:$E$3143, IS"&amp;"NUMBER(
Master_Mapping_Sheet!$E$2:$E$3143),
Master_Mapping_Sheet!$C$2:$C$3143=O$1))), 0, sum(filter(
Master_Mapping_Sheet!$E$2:$E$3143, ISNUMBER(
Master_Mapping_Sheet!$E$2:$E$3143),
Master_Mapping_Sheet!$C$2:$C$3143=O$1,
Master_Mapping_Sheet!$N$2:$N$3143="&amp;"REGEXEXTRACT($A3,"".*_(.*)"")))/sum(filter(
Master_Mapping_Sheet!$E$2:$E$3143, ISNUMBER(
Master_Mapping_Sheet!$E$2:$E$3143),
Master_Mapping_Sheet!$C$2:$C$3143=O$1)))"),0.1026776042019846)</f>
        <v>0.1026776042</v>
      </c>
      <c r="P3" s="34">
        <f>IFERROR(__xludf.DUMMYFUNCTION("IF(ISNA(sum(filter(
Master_Mapping_Sheet!$E$2:$E$3143, ISNUMBER(
Master_Mapping_Sheet!$E$2:$E$3143),
Master_Mapping_Sheet!$C$2:$C$3143=P$1,
Master_Mapping_Sheet!$N$2:$N$3143=REGEXEXTRACT($A3,"".*_(.*)"")))/sum(filter(
Master_Mapping_Sheet!$E$2:$E$3143, IS"&amp;"NUMBER(
Master_Mapping_Sheet!$E$2:$E$3143),
Master_Mapping_Sheet!$C$2:$C$3143=P$1))), 0, sum(filter(
Master_Mapping_Sheet!$E$2:$E$3143, ISNUMBER(
Master_Mapping_Sheet!$E$2:$E$3143),
Master_Mapping_Sheet!$C$2:$C$3143=P$1,
Master_Mapping_Sheet!$N$2:$N$3143="&amp;"REGEXEXTRACT($A3,"".*_(.*)"")))/sum(filter(
Master_Mapping_Sheet!$E$2:$E$3143, ISNUMBER(
Master_Mapping_Sheet!$E$2:$E$3143),
Master_Mapping_Sheet!$C$2:$C$3143=P$1)))"),0.1840328442821317)</f>
        <v>0.1840328443</v>
      </c>
      <c r="Q3" s="34">
        <f>IFERROR(__xludf.DUMMYFUNCTION("IF(ISNA(sum(filter(
Master_Mapping_Sheet!$E$2:$E$3143, ISNUMBER(
Master_Mapping_Sheet!$E$2:$E$3143),
Master_Mapping_Sheet!$C$2:$C$3143=Q$1,
Master_Mapping_Sheet!$N$2:$N$3143=REGEXEXTRACT($A3,"".*_(.*)"")))/sum(filter(
Master_Mapping_Sheet!$E$2:$E$3143, IS"&amp;"NUMBER(
Master_Mapping_Sheet!$E$2:$E$3143),
Master_Mapping_Sheet!$C$2:$C$3143=Q$1))), 0, sum(filter(
Master_Mapping_Sheet!$E$2:$E$3143, ISNUMBER(
Master_Mapping_Sheet!$E$2:$E$3143),
Master_Mapping_Sheet!$C$2:$C$3143=Q$1,
Master_Mapping_Sheet!$N$2:$N$3143="&amp;"REGEXEXTRACT($A3,"".*_(.*)"")))/sum(filter(
Master_Mapping_Sheet!$E$2:$E$3143, ISNUMBER(
Master_Mapping_Sheet!$E$2:$E$3143),
Master_Mapping_Sheet!$C$2:$C$3143=Q$1)))"),0.0)</f>
        <v>0</v>
      </c>
      <c r="R3" s="34">
        <f>IFERROR(__xludf.DUMMYFUNCTION("IF(ISNA(sum(filter(
Master_Mapping_Sheet!$E$2:$E$3143, ISNUMBER(
Master_Mapping_Sheet!$E$2:$E$3143),
Master_Mapping_Sheet!$C$2:$C$3143=R$1,
Master_Mapping_Sheet!$N$2:$N$3143=REGEXEXTRACT($A3,"".*_(.*)"")))/sum(filter(
Master_Mapping_Sheet!$E$2:$E$3143, IS"&amp;"NUMBER(
Master_Mapping_Sheet!$E$2:$E$3143),
Master_Mapping_Sheet!$C$2:$C$3143=R$1))), 0, sum(filter(
Master_Mapping_Sheet!$E$2:$E$3143, ISNUMBER(
Master_Mapping_Sheet!$E$2:$E$3143),
Master_Mapping_Sheet!$C$2:$C$3143=R$1,
Master_Mapping_Sheet!$N$2:$N$3143="&amp;"REGEXEXTRACT($A3,"".*_(.*)"")))/sum(filter(
Master_Mapping_Sheet!$E$2:$E$3143, ISNUMBER(
Master_Mapping_Sheet!$E$2:$E$3143),
Master_Mapping_Sheet!$C$2:$C$3143=R$1)))"),0.9580108592077797)</f>
        <v>0.9580108592</v>
      </c>
      <c r="S3" s="34">
        <f>IFERROR(__xludf.DUMMYFUNCTION("IF(ISNA(sum(filter(
Master_Mapping_Sheet!$E$2:$E$3143, ISNUMBER(
Master_Mapping_Sheet!$E$2:$E$3143),
Master_Mapping_Sheet!$C$2:$C$3143=S$1,
Master_Mapping_Sheet!$N$2:$N$3143=REGEXEXTRACT($A3,"".*_(.*)"")))/sum(filter(
Master_Mapping_Sheet!$E$2:$E$3143, IS"&amp;"NUMBER(
Master_Mapping_Sheet!$E$2:$E$3143),
Master_Mapping_Sheet!$C$2:$C$3143=S$1))), 0, sum(filter(
Master_Mapping_Sheet!$E$2:$E$3143, ISNUMBER(
Master_Mapping_Sheet!$E$2:$E$3143),
Master_Mapping_Sheet!$C$2:$C$3143=S$1,
Master_Mapping_Sheet!$N$2:$N$3143="&amp;"REGEXEXTRACT($A3,"".*_(.*)"")))/sum(filter(
Master_Mapping_Sheet!$E$2:$E$3143, ISNUMBER(
Master_Mapping_Sheet!$E$2:$E$3143),
Master_Mapping_Sheet!$C$2:$C$3143=S$1)))"),1.0)</f>
        <v>1</v>
      </c>
      <c r="T3" s="34">
        <f>IFERROR(__xludf.DUMMYFUNCTION("IF(ISNA(sum(filter(
Master_Mapping_Sheet!$E$2:$E$3143, ISNUMBER(
Master_Mapping_Sheet!$E$2:$E$3143),
Master_Mapping_Sheet!$C$2:$C$3143=T$1,
Master_Mapping_Sheet!$N$2:$N$3143=REGEXEXTRACT($A3,"".*_(.*)"")))/sum(filter(
Master_Mapping_Sheet!$E$2:$E$3143, IS"&amp;"NUMBER(
Master_Mapping_Sheet!$E$2:$E$3143),
Master_Mapping_Sheet!$C$2:$C$3143=T$1))), 0, sum(filter(
Master_Mapping_Sheet!$E$2:$E$3143, ISNUMBER(
Master_Mapping_Sheet!$E$2:$E$3143),
Master_Mapping_Sheet!$C$2:$C$3143=T$1,
Master_Mapping_Sheet!$N$2:$N$3143="&amp;"REGEXEXTRACT($A3,"".*_(.*)"")))/sum(filter(
Master_Mapping_Sheet!$E$2:$E$3143, ISNUMBER(
Master_Mapping_Sheet!$E$2:$E$3143),
Master_Mapping_Sheet!$C$2:$C$3143=T$1)))"),0.008768955183155)</f>
        <v>0.008768955183</v>
      </c>
      <c r="U3" s="34">
        <f>IFERROR(__xludf.DUMMYFUNCTION("IF(ISNA(sum(filter(
Master_Mapping_Sheet!$E$2:$E$3143, ISNUMBER(
Master_Mapping_Sheet!$E$2:$E$3143),
Master_Mapping_Sheet!$C$2:$C$3143=U$1,
Master_Mapping_Sheet!$N$2:$N$3143=REGEXEXTRACT($A3,"".*_(.*)"")))/sum(filter(
Master_Mapping_Sheet!$E$2:$E$3143, IS"&amp;"NUMBER(
Master_Mapping_Sheet!$E$2:$E$3143),
Master_Mapping_Sheet!$C$2:$C$3143=U$1))), 0, sum(filter(
Master_Mapping_Sheet!$E$2:$E$3143, ISNUMBER(
Master_Mapping_Sheet!$E$2:$E$3143),
Master_Mapping_Sheet!$C$2:$C$3143=U$1,
Master_Mapping_Sheet!$N$2:$N$3143="&amp;"REGEXEXTRACT($A3,"".*_(.*)"")))/sum(filter(
Master_Mapping_Sheet!$E$2:$E$3143, ISNUMBER(
Master_Mapping_Sheet!$E$2:$E$3143),
Master_Mapping_Sheet!$C$2:$C$3143=U$1)))"),0.0)</f>
        <v>0</v>
      </c>
      <c r="V3" s="34">
        <f>IFERROR(__xludf.DUMMYFUNCTION("IF(ISNA(sum(filter(
Master_Mapping_Sheet!$E$2:$E$3143, ISNUMBER(
Master_Mapping_Sheet!$E$2:$E$3143),
Master_Mapping_Sheet!$C$2:$C$3143=V$1,
Master_Mapping_Sheet!$N$2:$N$3143=REGEXEXTRACT($A3,"".*_(.*)"")))/sum(filter(
Master_Mapping_Sheet!$E$2:$E$3143, IS"&amp;"NUMBER(
Master_Mapping_Sheet!$E$2:$E$3143),
Master_Mapping_Sheet!$C$2:$C$3143=V$1))), 0, sum(filter(
Master_Mapping_Sheet!$E$2:$E$3143, ISNUMBER(
Master_Mapping_Sheet!$E$2:$E$3143),
Master_Mapping_Sheet!$C$2:$C$3143=V$1,
Master_Mapping_Sheet!$N$2:$N$3143="&amp;"REGEXEXTRACT($A3,"".*_(.*)"")))/sum(filter(
Master_Mapping_Sheet!$E$2:$E$3143, ISNUMBER(
Master_Mapping_Sheet!$E$2:$E$3143),
Master_Mapping_Sheet!$C$2:$C$3143=V$1)))"),0.9954009973378113)</f>
        <v>0.9954009973</v>
      </c>
      <c r="W3" s="34">
        <f>IFERROR(__xludf.DUMMYFUNCTION("IF(ISNA(sum(filter(
Master_Mapping_Sheet!$E$2:$E$3143, ISNUMBER(
Master_Mapping_Sheet!$E$2:$E$3143),
Master_Mapping_Sheet!$C$2:$C$3143=W$1,
Master_Mapping_Sheet!$N$2:$N$3143=REGEXEXTRACT($A3,"".*_(.*)"")))/sum(filter(
Master_Mapping_Sheet!$E$2:$E$3143, IS"&amp;"NUMBER(
Master_Mapping_Sheet!$E$2:$E$3143),
Master_Mapping_Sheet!$C$2:$C$3143=W$1))), 0, sum(filter(
Master_Mapping_Sheet!$E$2:$E$3143, ISNUMBER(
Master_Mapping_Sheet!$E$2:$E$3143),
Master_Mapping_Sheet!$C$2:$C$3143=W$1,
Master_Mapping_Sheet!$N$2:$N$3143="&amp;"REGEXEXTRACT($A3,"".*_(.*)"")))/sum(filter(
Master_Mapping_Sheet!$E$2:$E$3143, ISNUMBER(
Master_Mapping_Sheet!$E$2:$E$3143),
Master_Mapping_Sheet!$C$2:$C$3143=W$1)))"),0.0)</f>
        <v>0</v>
      </c>
      <c r="X3" s="34">
        <f>IFERROR(__xludf.DUMMYFUNCTION("IF(ISNA(sum(filter(
Master_Mapping_Sheet!$E$2:$E$3143, ISNUMBER(
Master_Mapping_Sheet!$E$2:$E$3143),
Master_Mapping_Sheet!$C$2:$C$3143=X$1,
Master_Mapping_Sheet!$N$2:$N$3143=REGEXEXTRACT($A3,"".*_(.*)"")))/sum(filter(
Master_Mapping_Sheet!$E$2:$E$3143, IS"&amp;"NUMBER(
Master_Mapping_Sheet!$E$2:$E$3143),
Master_Mapping_Sheet!$C$2:$C$3143=X$1))), 0, sum(filter(
Master_Mapping_Sheet!$E$2:$E$3143, ISNUMBER(
Master_Mapping_Sheet!$E$2:$E$3143),
Master_Mapping_Sheet!$C$2:$C$3143=X$1,
Master_Mapping_Sheet!$N$2:$N$3143="&amp;"REGEXEXTRACT($A3,"".*_(.*)"")))/sum(filter(
Master_Mapping_Sheet!$E$2:$E$3143, ISNUMBER(
Master_Mapping_Sheet!$E$2:$E$3143),
Master_Mapping_Sheet!$C$2:$C$3143=X$1)))"),0.0)</f>
        <v>0</v>
      </c>
      <c r="Y3" s="34">
        <f>IFERROR(__xludf.DUMMYFUNCTION("IF(ISNA(sum(filter(
Master_Mapping_Sheet!$E$2:$E$3143, ISNUMBER(
Master_Mapping_Sheet!$E$2:$E$3143),
Master_Mapping_Sheet!$C$2:$C$3143=Y$1,
Master_Mapping_Sheet!$N$2:$N$3143=REGEXEXTRACT($A3,"".*_(.*)"")))/sum(filter(
Master_Mapping_Sheet!$E$2:$E$3143, IS"&amp;"NUMBER(
Master_Mapping_Sheet!$E$2:$E$3143),
Master_Mapping_Sheet!$C$2:$C$3143=Y$1))), 0, sum(filter(
Master_Mapping_Sheet!$E$2:$E$3143, ISNUMBER(
Master_Mapping_Sheet!$E$2:$E$3143),
Master_Mapping_Sheet!$C$2:$C$3143=Y$1,
Master_Mapping_Sheet!$N$2:$N$3143="&amp;"REGEXEXTRACT($A3,"".*_(.*)"")))/sum(filter(
Master_Mapping_Sheet!$E$2:$E$3143, ISNUMBER(
Master_Mapping_Sheet!$E$2:$E$3143),
Master_Mapping_Sheet!$C$2:$C$3143=Y$1)))"),0.0)</f>
        <v>0</v>
      </c>
      <c r="Z3" s="34">
        <f>IFERROR(__xludf.DUMMYFUNCTION("IF(ISNA(sum(filter(
Master_Mapping_Sheet!$E$2:$E$3143, ISNUMBER(
Master_Mapping_Sheet!$E$2:$E$3143),
Master_Mapping_Sheet!$C$2:$C$3143=Z$1,
Master_Mapping_Sheet!$N$2:$N$3143=REGEXEXTRACT($A3,"".*_(.*)"")))/sum(filter(
Master_Mapping_Sheet!$E$2:$E$3143, IS"&amp;"NUMBER(
Master_Mapping_Sheet!$E$2:$E$3143),
Master_Mapping_Sheet!$C$2:$C$3143=Z$1))), 0, sum(filter(
Master_Mapping_Sheet!$E$2:$E$3143, ISNUMBER(
Master_Mapping_Sheet!$E$2:$E$3143),
Master_Mapping_Sheet!$C$2:$C$3143=Z$1,
Master_Mapping_Sheet!$N$2:$N$3143="&amp;"REGEXEXTRACT($A3,"".*_(.*)"")))/sum(filter(
Master_Mapping_Sheet!$E$2:$E$3143, ISNUMBER(
Master_Mapping_Sheet!$E$2:$E$3143),
Master_Mapping_Sheet!$C$2:$C$3143=Z$1)))"),0.49952682085526023)</f>
        <v>0.4995268209</v>
      </c>
      <c r="AA3" s="34">
        <f>IFERROR(__xludf.DUMMYFUNCTION("IF(ISNA(sum(filter(
Master_Mapping_Sheet!$E$2:$E$3143, ISNUMBER(
Master_Mapping_Sheet!$E$2:$E$3143),
Master_Mapping_Sheet!$C$2:$C$3143=AA$1,
Master_Mapping_Sheet!$N$2:$N$3143=REGEXEXTRACT($A3,"".*_(.*)"")))/sum(filter(
Master_Mapping_Sheet!$E$2:$E$3143, I"&amp;"SNUMBER(
Master_Mapping_Sheet!$E$2:$E$3143),
Master_Mapping_Sheet!$C$2:$C$3143=AA$1))), 0, sum(filter(
Master_Mapping_Sheet!$E$2:$E$3143, ISNUMBER(
Master_Mapping_Sheet!$E$2:$E$3143),
Master_Mapping_Sheet!$C$2:$C$3143=AA$1,
Master_Mapping_Sheet!$N$2:$N$31"&amp;"43=REGEXEXTRACT($A3,"".*_(.*)"")))/sum(filter(
Master_Mapping_Sheet!$E$2:$E$3143, ISNUMBER(
Master_Mapping_Sheet!$E$2:$E$3143),
Master_Mapping_Sheet!$C$2:$C$3143=AA$1)))"),0.9377273587043322)</f>
        <v>0.9377273587</v>
      </c>
      <c r="AB3" s="34">
        <f>IFERROR(__xludf.DUMMYFUNCTION("IF(ISNA(sum(filter(
Master_Mapping_Sheet!$E$2:$E$3143, ISNUMBER(
Master_Mapping_Sheet!$E$2:$E$3143),
Master_Mapping_Sheet!$C$2:$C$3143=AB$1,
Master_Mapping_Sheet!$N$2:$N$3143=REGEXEXTRACT($A3,"".*_(.*)"")))/sum(filter(
Master_Mapping_Sheet!$E$2:$E$3143, I"&amp;"SNUMBER(
Master_Mapping_Sheet!$E$2:$E$3143),
Master_Mapping_Sheet!$C$2:$C$3143=AB$1))), 0, sum(filter(
Master_Mapping_Sheet!$E$2:$E$3143, ISNUMBER(
Master_Mapping_Sheet!$E$2:$E$3143),
Master_Mapping_Sheet!$C$2:$C$3143=AB$1,
Master_Mapping_Sheet!$N$2:$N$31"&amp;"43=REGEXEXTRACT($A3,"".*_(.*)"")))/sum(filter(
Master_Mapping_Sheet!$E$2:$E$3143, ISNUMBER(
Master_Mapping_Sheet!$E$2:$E$3143),
Master_Mapping_Sheet!$C$2:$C$3143=AB$1)))"),0.0)</f>
        <v>0</v>
      </c>
      <c r="AC3" s="34">
        <f>IFERROR(__xludf.DUMMYFUNCTION("IF(ISNA(sum(filter(
Master_Mapping_Sheet!$E$2:$E$3143, ISNUMBER(
Master_Mapping_Sheet!$E$2:$E$3143),
Master_Mapping_Sheet!$C$2:$C$3143=AC$1,
Master_Mapping_Sheet!$N$2:$N$3143=REGEXEXTRACT($A3,"".*_(.*)"")))/sum(filter(
Master_Mapping_Sheet!$E$2:$E$3143, I"&amp;"SNUMBER(
Master_Mapping_Sheet!$E$2:$E$3143),
Master_Mapping_Sheet!$C$2:$C$3143=AC$1))), 0, sum(filter(
Master_Mapping_Sheet!$E$2:$E$3143, ISNUMBER(
Master_Mapping_Sheet!$E$2:$E$3143),
Master_Mapping_Sheet!$C$2:$C$3143=AC$1,
Master_Mapping_Sheet!$N$2:$N$31"&amp;"43=REGEXEXTRACT($A3,"".*_(.*)"")))/sum(filter(
Master_Mapping_Sheet!$E$2:$E$3143, ISNUMBER(
Master_Mapping_Sheet!$E$2:$E$3143),
Master_Mapping_Sheet!$C$2:$C$3143=AC$1)))"),0.0)</f>
        <v>0</v>
      </c>
      <c r="AD3" s="34">
        <f>IFERROR(__xludf.DUMMYFUNCTION("IF(ISNA(sum(filter(
Master_Mapping_Sheet!$E$2:$E$3143, ISNUMBER(
Master_Mapping_Sheet!$E$2:$E$3143),
Master_Mapping_Sheet!$C$2:$C$3143=AD$1,
Master_Mapping_Sheet!$N$2:$N$3143=REGEXEXTRACT($A3,"".*_(.*)"")))/sum(filter(
Master_Mapping_Sheet!$E$2:$E$3143, I"&amp;"SNUMBER(
Master_Mapping_Sheet!$E$2:$E$3143),
Master_Mapping_Sheet!$C$2:$C$3143=AD$1))), 0, sum(filter(
Master_Mapping_Sheet!$E$2:$E$3143, ISNUMBER(
Master_Mapping_Sheet!$E$2:$E$3143),
Master_Mapping_Sheet!$C$2:$C$3143=AD$1,
Master_Mapping_Sheet!$N$2:$N$31"&amp;"43=REGEXEXTRACT($A3,"".*_(.*)"")))/sum(filter(
Master_Mapping_Sheet!$E$2:$E$3143, ISNUMBER(
Master_Mapping_Sheet!$E$2:$E$3143),
Master_Mapping_Sheet!$C$2:$C$3143=AD$1)))"),0.0)</f>
        <v>0</v>
      </c>
      <c r="AE3" s="34">
        <f>IFERROR(__xludf.DUMMYFUNCTION("IF(ISNA(sum(filter(
Master_Mapping_Sheet!$E$2:$E$3143, ISNUMBER(
Master_Mapping_Sheet!$E$2:$E$3143),
Master_Mapping_Sheet!$C$2:$C$3143=AE$1,
Master_Mapping_Sheet!$N$2:$N$3143=REGEXEXTRACT($A3,"".*_(.*)"")))/sum(filter(
Master_Mapping_Sheet!$E$2:$E$3143, I"&amp;"SNUMBER(
Master_Mapping_Sheet!$E$2:$E$3143),
Master_Mapping_Sheet!$C$2:$C$3143=AE$1))), 0, sum(filter(
Master_Mapping_Sheet!$E$2:$E$3143, ISNUMBER(
Master_Mapping_Sheet!$E$2:$E$3143),
Master_Mapping_Sheet!$C$2:$C$3143=AE$1,
Master_Mapping_Sheet!$N$2:$N$31"&amp;"43=REGEXEXTRACT($A3,"".*_(.*)"")))/sum(filter(
Master_Mapping_Sheet!$E$2:$E$3143, ISNUMBER(
Master_Mapping_Sheet!$E$2:$E$3143),
Master_Mapping_Sheet!$C$2:$C$3143=AE$1)))"),0.0)</f>
        <v>0</v>
      </c>
      <c r="AF3" s="34">
        <f>IFERROR(__xludf.DUMMYFUNCTION("IF(ISNA(sum(filter(
Master_Mapping_Sheet!$E$2:$E$3143, ISNUMBER(
Master_Mapping_Sheet!$E$2:$E$3143),
Master_Mapping_Sheet!$C$2:$C$3143=AF$1,
Master_Mapping_Sheet!$N$2:$N$3143=REGEXEXTRACT($A3,"".*_(.*)"")))/sum(filter(
Master_Mapping_Sheet!$E$2:$E$3143, I"&amp;"SNUMBER(
Master_Mapping_Sheet!$E$2:$E$3143),
Master_Mapping_Sheet!$C$2:$C$3143=AF$1))), 0, sum(filter(
Master_Mapping_Sheet!$E$2:$E$3143, ISNUMBER(
Master_Mapping_Sheet!$E$2:$E$3143),
Master_Mapping_Sheet!$C$2:$C$3143=AF$1,
Master_Mapping_Sheet!$N$2:$N$31"&amp;"43=REGEXEXTRACT($A3,"".*_(.*)"")))/sum(filter(
Master_Mapping_Sheet!$E$2:$E$3143, ISNUMBER(
Master_Mapping_Sheet!$E$2:$E$3143),
Master_Mapping_Sheet!$C$2:$C$3143=AF$1)))"),0.6659469255797188)</f>
        <v>0.6659469256</v>
      </c>
      <c r="AG3" s="34">
        <f>IFERROR(__xludf.DUMMYFUNCTION("IF(ISNA(sum(filter(
Master_Mapping_Sheet!$E$2:$E$3143, ISNUMBER(
Master_Mapping_Sheet!$E$2:$E$3143),
Master_Mapping_Sheet!$C$2:$C$3143=AG$1,
Master_Mapping_Sheet!$N$2:$N$3143=REGEXEXTRACT($A3,"".*_(.*)"")))/sum(filter(
Master_Mapping_Sheet!$E$2:$E$3143, I"&amp;"SNUMBER(
Master_Mapping_Sheet!$E$2:$E$3143),
Master_Mapping_Sheet!$C$2:$C$3143=AG$1))), 0, sum(filter(
Master_Mapping_Sheet!$E$2:$E$3143, ISNUMBER(
Master_Mapping_Sheet!$E$2:$E$3143),
Master_Mapping_Sheet!$C$2:$C$3143=AG$1,
Master_Mapping_Sheet!$N$2:$N$31"&amp;"43=REGEXEXTRACT($A3,"".*_(.*)"")))/sum(filter(
Master_Mapping_Sheet!$E$2:$E$3143, ISNUMBER(
Master_Mapping_Sheet!$E$2:$E$3143),
Master_Mapping_Sheet!$C$2:$C$3143=AG$1)))"),0.0)</f>
        <v>0</v>
      </c>
      <c r="AH3" s="34">
        <f>IFERROR(__xludf.DUMMYFUNCTION("IF(ISNA(sum(filter(
Master_Mapping_Sheet!$E$2:$E$3143, ISNUMBER(
Master_Mapping_Sheet!$E$2:$E$3143),
Master_Mapping_Sheet!$C$2:$C$3143=AH$1,
Master_Mapping_Sheet!$N$2:$N$3143=REGEXEXTRACT($A3,"".*_(.*)"")))/sum(filter(
Master_Mapping_Sheet!$E$2:$E$3143, I"&amp;"SNUMBER(
Master_Mapping_Sheet!$E$2:$E$3143),
Master_Mapping_Sheet!$C$2:$C$3143=AH$1))), 0, sum(filter(
Master_Mapping_Sheet!$E$2:$E$3143, ISNUMBER(
Master_Mapping_Sheet!$E$2:$E$3143),
Master_Mapping_Sheet!$C$2:$C$3143=AH$1,
Master_Mapping_Sheet!$N$2:$N$31"&amp;"43=REGEXEXTRACT($A3,"".*_(.*)"")))/sum(filter(
Master_Mapping_Sheet!$E$2:$E$3143, ISNUMBER(
Master_Mapping_Sheet!$E$2:$E$3143),
Master_Mapping_Sheet!$C$2:$C$3143=AH$1)))"),0.6210006061963651)</f>
        <v>0.6210006062</v>
      </c>
      <c r="AI3" s="34">
        <f>IFERROR(__xludf.DUMMYFUNCTION("IF(ISNA(sum(filter(
Master_Mapping_Sheet!$E$2:$E$3143, ISNUMBER(
Master_Mapping_Sheet!$E$2:$E$3143),
Master_Mapping_Sheet!$C$2:$C$3143=AI$1,
Master_Mapping_Sheet!$N$2:$N$3143=REGEXEXTRACT($A3,"".*_(.*)"")))/sum(filter(
Master_Mapping_Sheet!$E$2:$E$3143, I"&amp;"SNUMBER(
Master_Mapping_Sheet!$E$2:$E$3143),
Master_Mapping_Sheet!$C$2:$C$3143=AI$1))), 0, sum(filter(
Master_Mapping_Sheet!$E$2:$E$3143, ISNUMBER(
Master_Mapping_Sheet!$E$2:$E$3143),
Master_Mapping_Sheet!$C$2:$C$3143=AI$1,
Master_Mapping_Sheet!$N$2:$N$31"&amp;"43=REGEXEXTRACT($A3,"".*_(.*)"")))/sum(filter(
Master_Mapping_Sheet!$E$2:$E$3143, ISNUMBER(
Master_Mapping_Sheet!$E$2:$E$3143),
Master_Mapping_Sheet!$C$2:$C$3143=AI$1)))"),0.9127496852703768)</f>
        <v>0.9127496853</v>
      </c>
      <c r="AJ3" s="34">
        <f>IFERROR(__xludf.DUMMYFUNCTION("IF(ISNA(sum(filter(
Master_Mapping_Sheet!$E$2:$E$3143, ISNUMBER(
Master_Mapping_Sheet!$E$2:$E$3143),
Master_Mapping_Sheet!$C$2:$C$3143=AJ$1,
Master_Mapping_Sheet!$N$2:$N$3143=REGEXEXTRACT($A3,"".*_(.*)"")))/sum(filter(
Master_Mapping_Sheet!$E$2:$E$3143, I"&amp;"SNUMBER(
Master_Mapping_Sheet!$E$2:$E$3143),
Master_Mapping_Sheet!$C$2:$C$3143=AJ$1))), 0, sum(filter(
Master_Mapping_Sheet!$E$2:$E$3143, ISNUMBER(
Master_Mapping_Sheet!$E$2:$E$3143),
Master_Mapping_Sheet!$C$2:$C$3143=AJ$1,
Master_Mapping_Sheet!$N$2:$N$31"&amp;"43=REGEXEXTRACT($A3,"".*_(.*)"")))/sum(filter(
Master_Mapping_Sheet!$E$2:$E$3143, ISNUMBER(
Master_Mapping_Sheet!$E$2:$E$3143),
Master_Mapping_Sheet!$C$2:$C$3143=AJ$1)))"),0.0)</f>
        <v>0</v>
      </c>
      <c r="AK3" s="34">
        <f>IFERROR(__xludf.DUMMYFUNCTION("IF(ISNA(sum(filter(
Master_Mapping_Sheet!$E$2:$E$3143, ISNUMBER(
Master_Mapping_Sheet!$E$2:$E$3143),
Master_Mapping_Sheet!$C$2:$C$3143=AK$1,
Master_Mapping_Sheet!$N$2:$N$3143=REGEXEXTRACT($A3,"".*_(.*)"")))/sum(filter(
Master_Mapping_Sheet!$E$2:$E$3143, I"&amp;"SNUMBER(
Master_Mapping_Sheet!$E$2:$E$3143),
Master_Mapping_Sheet!$C$2:$C$3143=AK$1))), 0, sum(filter(
Master_Mapping_Sheet!$E$2:$E$3143, ISNUMBER(
Master_Mapping_Sheet!$E$2:$E$3143),
Master_Mapping_Sheet!$C$2:$C$3143=AK$1,
Master_Mapping_Sheet!$N$2:$N$31"&amp;"43=REGEXEXTRACT($A3,"".*_(.*)"")))/sum(filter(
Master_Mapping_Sheet!$E$2:$E$3143, ISNUMBER(
Master_Mapping_Sheet!$E$2:$E$3143),
Master_Mapping_Sheet!$C$2:$C$3143=AK$1)))"),0.1147960683645379)</f>
        <v>0.1147960684</v>
      </c>
      <c r="AL3" s="34">
        <f>IFERROR(__xludf.DUMMYFUNCTION("IF(ISNA(sum(filter(
Master_Mapping_Sheet!$E$2:$E$3143, ISNUMBER(
Master_Mapping_Sheet!$E$2:$E$3143),
Master_Mapping_Sheet!$C$2:$C$3143=AL$1,
Master_Mapping_Sheet!$N$2:$N$3143=REGEXEXTRACT($A3,"".*_(.*)"")))/sum(filter(
Master_Mapping_Sheet!$E$2:$E$3143, I"&amp;"SNUMBER(
Master_Mapping_Sheet!$E$2:$E$3143),
Master_Mapping_Sheet!$C$2:$C$3143=AL$1))), 0, sum(filter(
Master_Mapping_Sheet!$E$2:$E$3143, ISNUMBER(
Master_Mapping_Sheet!$E$2:$E$3143),
Master_Mapping_Sheet!$C$2:$C$3143=AL$1,
Master_Mapping_Sheet!$N$2:$N$31"&amp;"43=REGEXEXTRACT($A3,"".*_(.*)"")))/sum(filter(
Master_Mapping_Sheet!$E$2:$E$3143, ISNUMBER(
Master_Mapping_Sheet!$E$2:$E$3143),
Master_Mapping_Sheet!$C$2:$C$3143=AL$1)))"),0.9931965472600686)</f>
        <v>0.9931965473</v>
      </c>
      <c r="AM3" s="34">
        <f>IFERROR(__xludf.DUMMYFUNCTION("IF(ISNA(sum(filter(
Master_Mapping_Sheet!$E$2:$E$3143, ISNUMBER(
Master_Mapping_Sheet!$E$2:$E$3143),
Master_Mapping_Sheet!$C$2:$C$3143=AM$1,
Master_Mapping_Sheet!$N$2:$N$3143=REGEXEXTRACT($A3,"".*_(.*)"")))/sum(filter(
Master_Mapping_Sheet!$E$2:$E$3143, I"&amp;"SNUMBER(
Master_Mapping_Sheet!$E$2:$E$3143),
Master_Mapping_Sheet!$C$2:$C$3143=AM$1))), 0, sum(filter(
Master_Mapping_Sheet!$E$2:$E$3143, ISNUMBER(
Master_Mapping_Sheet!$E$2:$E$3143),
Master_Mapping_Sheet!$C$2:$C$3143=AM$1,
Master_Mapping_Sheet!$N$2:$N$31"&amp;"43=REGEXEXTRACT($A3,"".*_(.*)"")))/sum(filter(
Master_Mapping_Sheet!$E$2:$E$3143, ISNUMBER(
Master_Mapping_Sheet!$E$2:$E$3143),
Master_Mapping_Sheet!$C$2:$C$3143=AM$1)))"),0.0)</f>
        <v>0</v>
      </c>
      <c r="AN3" s="34">
        <f>IFERROR(__xludf.DUMMYFUNCTION("IF(ISNA(sum(filter(
Master_Mapping_Sheet!$E$2:$E$3143, ISNUMBER(
Master_Mapping_Sheet!$E$2:$E$3143),
Master_Mapping_Sheet!$C$2:$C$3143=AN$1,
Master_Mapping_Sheet!$N$2:$N$3143=REGEXEXTRACT($A3,"".*_(.*)"")))/sum(filter(
Master_Mapping_Sheet!$E$2:$E$3143, I"&amp;"SNUMBER(
Master_Mapping_Sheet!$E$2:$E$3143),
Master_Mapping_Sheet!$C$2:$C$3143=AN$1))), 0, sum(filter(
Master_Mapping_Sheet!$E$2:$E$3143, ISNUMBER(
Master_Mapping_Sheet!$E$2:$E$3143),
Master_Mapping_Sheet!$C$2:$C$3143=AN$1,
Master_Mapping_Sheet!$N$2:$N$31"&amp;"43=REGEXEXTRACT($A3,"".*_(.*)"")))/sum(filter(
Master_Mapping_Sheet!$E$2:$E$3143, ISNUMBER(
Master_Mapping_Sheet!$E$2:$E$3143),
Master_Mapping_Sheet!$C$2:$C$3143=AN$1)))"),0.3592443975060955)</f>
        <v>0.3592443975</v>
      </c>
      <c r="AO3" s="34">
        <f>IFERROR(__xludf.DUMMYFUNCTION("IF(ISNA(sum(filter(
Master_Mapping_Sheet!$E$2:$E$3143, ISNUMBER(
Master_Mapping_Sheet!$E$2:$E$3143),
Master_Mapping_Sheet!$C$2:$C$3143=AO$1,
Master_Mapping_Sheet!$N$2:$N$3143=REGEXEXTRACT($A3,"".*_(.*)"")))/sum(filter(
Master_Mapping_Sheet!$E$2:$E$3143, I"&amp;"SNUMBER(
Master_Mapping_Sheet!$E$2:$E$3143),
Master_Mapping_Sheet!$C$2:$C$3143=AO$1))), 0, sum(filter(
Master_Mapping_Sheet!$E$2:$E$3143, ISNUMBER(
Master_Mapping_Sheet!$E$2:$E$3143),
Master_Mapping_Sheet!$C$2:$C$3143=AO$1,
Master_Mapping_Sheet!$N$2:$N$31"&amp;"43=REGEXEXTRACT($A3,"".*_(.*)"")))/sum(filter(
Master_Mapping_Sheet!$E$2:$E$3143, ISNUMBER(
Master_Mapping_Sheet!$E$2:$E$3143),
Master_Mapping_Sheet!$C$2:$C$3143=AO$1)))"),0.0)</f>
        <v>0</v>
      </c>
      <c r="AP3" s="34">
        <f>IFERROR(__xludf.DUMMYFUNCTION("IF(ISNA(sum(filter(
Master_Mapping_Sheet!$E$2:$E$3143, ISNUMBER(
Master_Mapping_Sheet!$E$2:$E$3143),
Master_Mapping_Sheet!$C$2:$C$3143=AP$1,
Master_Mapping_Sheet!$N$2:$N$3143=REGEXEXTRACT($A3,"".*_(.*)"")))/sum(filter(
Master_Mapping_Sheet!$E$2:$E$3143, I"&amp;"SNUMBER(
Master_Mapping_Sheet!$E$2:$E$3143),
Master_Mapping_Sheet!$C$2:$C$3143=AP$1))), 0, sum(filter(
Master_Mapping_Sheet!$E$2:$E$3143, ISNUMBER(
Master_Mapping_Sheet!$E$2:$E$3143),
Master_Mapping_Sheet!$C$2:$C$3143=AP$1,
Master_Mapping_Sheet!$N$2:$N$31"&amp;"43=REGEXEXTRACT($A3,"".*_(.*)"")))/sum(filter(
Master_Mapping_Sheet!$E$2:$E$3143, ISNUMBER(
Master_Mapping_Sheet!$E$2:$E$3143),
Master_Mapping_Sheet!$C$2:$C$3143=AP$1)))"),0.6942554789147967)</f>
        <v>0.6942554789</v>
      </c>
      <c r="AQ3" s="34">
        <f>IFERROR(__xludf.DUMMYFUNCTION("IF(ISNA(sum(filter(
Master_Mapping_Sheet!$E$2:$E$3143, ISNUMBER(
Master_Mapping_Sheet!$E$2:$E$3143),
Master_Mapping_Sheet!$C$2:$C$3143=AQ$1,
Master_Mapping_Sheet!$N$2:$N$3143=REGEXEXTRACT($A3,"".*_(.*)"")))/sum(filter(
Master_Mapping_Sheet!$E$2:$E$3143, I"&amp;"SNUMBER(
Master_Mapping_Sheet!$E$2:$E$3143),
Master_Mapping_Sheet!$C$2:$C$3143=AQ$1))), 0, sum(filter(
Master_Mapping_Sheet!$E$2:$E$3143, ISNUMBER(
Master_Mapping_Sheet!$E$2:$E$3143),
Master_Mapping_Sheet!$C$2:$C$3143=AQ$1,
Master_Mapping_Sheet!$N$2:$N$31"&amp;"43=REGEXEXTRACT($A3,"".*_(.*)"")))/sum(filter(
Master_Mapping_Sheet!$E$2:$E$3143, ISNUMBER(
Master_Mapping_Sheet!$E$2:$E$3143),
Master_Mapping_Sheet!$C$2:$C$3143=AQ$1)))"),0.0)</f>
        <v>0</v>
      </c>
      <c r="AR3" s="34">
        <f>IFERROR(__xludf.DUMMYFUNCTION("IF(ISNA(sum(filter(
Master_Mapping_Sheet!$E$2:$E$3143, ISNUMBER(
Master_Mapping_Sheet!$E$2:$E$3143),
Master_Mapping_Sheet!$C$2:$C$3143=AR$1,
Master_Mapping_Sheet!$N$2:$N$3143=REGEXEXTRACT($A3,"".*_(.*)"")))/sum(filter(
Master_Mapping_Sheet!$E$2:$E$3143, I"&amp;"SNUMBER(
Master_Mapping_Sheet!$E$2:$E$3143),
Master_Mapping_Sheet!$C$2:$C$3143=AR$1))), 0, sum(filter(
Master_Mapping_Sheet!$E$2:$E$3143, ISNUMBER(
Master_Mapping_Sheet!$E$2:$E$3143),
Master_Mapping_Sheet!$C$2:$C$3143=AR$1,
Master_Mapping_Sheet!$N$2:$N$31"&amp;"43=REGEXEXTRACT($A3,"".*_(.*)"")))/sum(filter(
Master_Mapping_Sheet!$E$2:$E$3143, ISNUMBER(
Master_Mapping_Sheet!$E$2:$E$3143),
Master_Mapping_Sheet!$C$2:$C$3143=AR$1)))"),1.0)</f>
        <v>1</v>
      </c>
      <c r="AS3" s="34">
        <f>IFERROR(__xludf.DUMMYFUNCTION("IF(ISNA(sum(filter(
Master_Mapping_Sheet!$E$2:$E$3143, ISNUMBER(
Master_Mapping_Sheet!$E$2:$E$3143),
Master_Mapping_Sheet!$C$2:$C$3143=AS$1,
Master_Mapping_Sheet!$N$2:$N$3143=REGEXEXTRACT($A3,"".*_(.*)"")))/sum(filter(
Master_Mapping_Sheet!$E$2:$E$3143, I"&amp;"SNUMBER(
Master_Mapping_Sheet!$E$2:$E$3143),
Master_Mapping_Sheet!$C$2:$C$3143=AS$1))), 0, sum(filter(
Master_Mapping_Sheet!$E$2:$E$3143, ISNUMBER(
Master_Mapping_Sheet!$E$2:$E$3143),
Master_Mapping_Sheet!$C$2:$C$3143=AS$1,
Master_Mapping_Sheet!$N$2:$N$31"&amp;"43=REGEXEXTRACT($A3,"".*_(.*)"")))/sum(filter(
Master_Mapping_Sheet!$E$2:$E$3143, ISNUMBER(
Master_Mapping_Sheet!$E$2:$E$3143),
Master_Mapping_Sheet!$C$2:$C$3143=AS$1)))"),0.01842515339569314)</f>
        <v>0.0184251534</v>
      </c>
      <c r="AT3" s="34">
        <f>IFERROR(__xludf.DUMMYFUNCTION("IF(ISNA(sum(filter(
Master_Mapping_Sheet!$E$2:$E$3143, ISNUMBER(
Master_Mapping_Sheet!$E$2:$E$3143),
Master_Mapping_Sheet!$C$2:$C$3143=AT$1,
Master_Mapping_Sheet!$N$2:$N$3143=REGEXEXTRACT($A3,"".*_(.*)"")))/sum(filter(
Master_Mapping_Sheet!$E$2:$E$3143, I"&amp;"SNUMBER(
Master_Mapping_Sheet!$E$2:$E$3143),
Master_Mapping_Sheet!$C$2:$C$3143=AT$1))), 0, sum(filter(
Master_Mapping_Sheet!$E$2:$E$3143, ISNUMBER(
Master_Mapping_Sheet!$E$2:$E$3143),
Master_Mapping_Sheet!$C$2:$C$3143=AT$1,
Master_Mapping_Sheet!$N$2:$N$31"&amp;"43=REGEXEXTRACT($A3,"".*_(.*)"")))/sum(filter(
Master_Mapping_Sheet!$E$2:$E$3143, ISNUMBER(
Master_Mapping_Sheet!$E$2:$E$3143),
Master_Mapping_Sheet!$C$2:$C$3143=AT$1)))"),0.0)</f>
        <v>0</v>
      </c>
      <c r="AU3" s="34">
        <f>IFERROR(__xludf.DUMMYFUNCTION("IF(ISNA(sum(filter(
Master_Mapping_Sheet!$E$2:$E$3143, ISNUMBER(
Master_Mapping_Sheet!$E$2:$E$3143),
Master_Mapping_Sheet!$C$2:$C$3143=AU$1,
Master_Mapping_Sheet!$N$2:$N$3143=REGEXEXTRACT($A3,"".*_(.*)"")))/sum(filter(
Master_Mapping_Sheet!$E$2:$E$3143, I"&amp;"SNUMBER(
Master_Mapping_Sheet!$E$2:$E$3143),
Master_Mapping_Sheet!$C$2:$C$3143=AU$1))), 0, sum(filter(
Master_Mapping_Sheet!$E$2:$E$3143, ISNUMBER(
Master_Mapping_Sheet!$E$2:$E$3143),
Master_Mapping_Sheet!$C$2:$C$3143=AU$1,
Master_Mapping_Sheet!$N$2:$N$31"&amp;"43=REGEXEXTRACT($A3,"".*_(.*)"")))/sum(filter(
Master_Mapping_Sheet!$E$2:$E$3143, ISNUMBER(
Master_Mapping_Sheet!$E$2:$E$3143),
Master_Mapping_Sheet!$C$2:$C$3143=AU$1)))"),0.0)</f>
        <v>0</v>
      </c>
      <c r="AV3" s="34">
        <f>IFERROR(__xludf.DUMMYFUNCTION("IF(ISNA(sum(filter(
Master_Mapping_Sheet!$E$2:$E$3143, ISNUMBER(
Master_Mapping_Sheet!$E$2:$E$3143),
Master_Mapping_Sheet!$C$2:$C$3143=AV$1,
Master_Mapping_Sheet!$N$2:$N$3143=REGEXEXTRACT($A3,"".*_(.*)"")))/sum(filter(
Master_Mapping_Sheet!$E$2:$E$3143, I"&amp;"SNUMBER(
Master_Mapping_Sheet!$E$2:$E$3143),
Master_Mapping_Sheet!$C$2:$C$3143=AV$1))), 0, sum(filter(
Master_Mapping_Sheet!$E$2:$E$3143, ISNUMBER(
Master_Mapping_Sheet!$E$2:$E$3143),
Master_Mapping_Sheet!$C$2:$C$3143=AV$1,
Master_Mapping_Sheet!$N$2:$N$31"&amp;"43=REGEXEXTRACT($A3,"".*_(.*)"")))/sum(filter(
Master_Mapping_Sheet!$E$2:$E$3143, ISNUMBER(
Master_Mapping_Sheet!$E$2:$E$3143),
Master_Mapping_Sheet!$C$2:$C$3143=AV$1)))"),1.0)</f>
        <v>1</v>
      </c>
      <c r="AW3" s="34">
        <f>IFERROR(__xludf.DUMMYFUNCTION("IF(ISNA(sum(filter(
Master_Mapping_Sheet!$E$2:$E$3143, ISNUMBER(
Master_Mapping_Sheet!$E$2:$E$3143),
Master_Mapping_Sheet!$C$2:$C$3143=AW$1,
Master_Mapping_Sheet!$N$2:$N$3143=REGEXEXTRACT($A3,"".*_(.*)"")))/sum(filter(
Master_Mapping_Sheet!$E$2:$E$3143, I"&amp;"SNUMBER(
Master_Mapping_Sheet!$E$2:$E$3143),
Master_Mapping_Sheet!$C$2:$C$3143=AW$1))), 0, sum(filter(
Master_Mapping_Sheet!$E$2:$E$3143, ISNUMBER(
Master_Mapping_Sheet!$E$2:$E$3143),
Master_Mapping_Sheet!$C$2:$C$3143=AW$1,
Master_Mapping_Sheet!$N$2:$N$31"&amp;"43=REGEXEXTRACT($A3,"".*_(.*)"")))/sum(filter(
Master_Mapping_Sheet!$E$2:$E$3143, ISNUMBER(
Master_Mapping_Sheet!$E$2:$E$3143),
Master_Mapping_Sheet!$C$2:$C$3143=AW$1)))"),0.0)</f>
        <v>0</v>
      </c>
      <c r="AX3" s="34">
        <f>IFERROR(__xludf.DUMMYFUNCTION("IF(ISNA(sum(filter(
Master_Mapping_Sheet!$E$2:$E$3143, ISNUMBER(
Master_Mapping_Sheet!$E$2:$E$3143),
Master_Mapping_Sheet!$C$2:$C$3143=AX$1,
Master_Mapping_Sheet!$N$2:$N$3143=REGEXEXTRACT($A3,"".*_(.*)"")))/sum(filter(
Master_Mapping_Sheet!$E$2:$E$3143, I"&amp;"SNUMBER(
Master_Mapping_Sheet!$E$2:$E$3143),
Master_Mapping_Sheet!$C$2:$C$3143=AX$1))), 0, sum(filter(
Master_Mapping_Sheet!$E$2:$E$3143, ISNUMBER(
Master_Mapping_Sheet!$E$2:$E$3143),
Master_Mapping_Sheet!$C$2:$C$3143=AX$1,
Master_Mapping_Sheet!$N$2:$N$31"&amp;"43=REGEXEXTRACT($A3,"".*_(.*)"")))/sum(filter(
Master_Mapping_Sheet!$E$2:$E$3143, ISNUMBER(
Master_Mapping_Sheet!$E$2:$E$3143),
Master_Mapping_Sheet!$C$2:$C$3143=AX$1)))"),0.5556375987177915)</f>
        <v>0.5556375987</v>
      </c>
      <c r="AY3" s="34">
        <f>IFERROR(__xludf.DUMMYFUNCTION("IF(ISNA(sum(filter(
Master_Mapping_Sheet!$E$2:$E$3143, ISNUMBER(
Master_Mapping_Sheet!$E$2:$E$3143),
Master_Mapping_Sheet!$C$2:$C$3143=AY$1,
Master_Mapping_Sheet!$N$2:$N$3143=REGEXEXTRACT($A3,"".*_(.*)"")))/sum(filter(
Master_Mapping_Sheet!$E$2:$E$3143, I"&amp;"SNUMBER(
Master_Mapping_Sheet!$E$2:$E$3143),
Master_Mapping_Sheet!$C$2:$C$3143=AY$1))), 0, sum(filter(
Master_Mapping_Sheet!$E$2:$E$3143, ISNUMBER(
Master_Mapping_Sheet!$E$2:$E$3143),
Master_Mapping_Sheet!$C$2:$C$3143=AY$1,
Master_Mapping_Sheet!$N$2:$N$31"&amp;"43=REGEXEXTRACT($A3,"".*_(.*)"")))/sum(filter(
Master_Mapping_Sheet!$E$2:$E$3143, ISNUMBER(
Master_Mapping_Sheet!$E$2:$E$3143),
Master_Mapping_Sheet!$C$2:$C$3143=AY$1)))"),0.0)</f>
        <v>0</v>
      </c>
      <c r="AZ3" s="34">
        <f>IFERROR(__xludf.DUMMYFUNCTION("IF(ISNA(sum(filter(
Master_Mapping_Sheet!$E$2:$E$3143, ISNUMBER(
Master_Mapping_Sheet!$E$2:$E$3143),
Master_Mapping_Sheet!$C$2:$C$3143=AZ$1,
Master_Mapping_Sheet!$N$2:$N$3143=REGEXEXTRACT($A3,"".*_(.*)"")))/sum(filter(
Master_Mapping_Sheet!$E$2:$E$3143, I"&amp;"SNUMBER(
Master_Mapping_Sheet!$E$2:$E$3143),
Master_Mapping_Sheet!$C$2:$C$3143=AZ$1))), 0, sum(filter(
Master_Mapping_Sheet!$E$2:$E$3143, ISNUMBER(
Master_Mapping_Sheet!$E$2:$E$3143),
Master_Mapping_Sheet!$C$2:$C$3143=AZ$1,
Master_Mapping_Sheet!$N$2:$N$31"&amp;"43=REGEXEXTRACT($A3,"".*_(.*)"")))/sum(filter(
Master_Mapping_Sheet!$E$2:$E$3143, ISNUMBER(
Master_Mapping_Sheet!$E$2:$E$3143),
Master_Mapping_Sheet!$C$2:$C$3143=AZ$1)))"),0.0)</f>
        <v>0</v>
      </c>
    </row>
    <row r="4" ht="15.75" customHeight="1">
      <c r="A4" s="45" t="s">
        <v>4262</v>
      </c>
      <c r="B4" s="34">
        <f>IFERROR(__xludf.DUMMYFUNCTION("IF(ISNA(sum(filter(
Master_Mapping_Sheet!$E$2:$E$3143, ISNUMBER(
Master_Mapping_Sheet!$E$2:$E$3143),
Master_Mapping_Sheet!$C$2:$C$3143=B$1,
Master_Mapping_Sheet!$N$2:$N$3143=REGEXEXTRACT($A4,"".*_(.*)"")))/sum(filter(
Master_Mapping_Sheet!$E$2:$E$3143, IS"&amp;"NUMBER(
Master_Mapping_Sheet!$E$2:$E$3143),
Master_Mapping_Sheet!$C$2:$C$3143=B$1))), 0, sum(filter(
Master_Mapping_Sheet!$E$2:$E$3143, ISNUMBER(
Master_Mapping_Sheet!$E$2:$E$3143),
Master_Mapping_Sheet!$C$2:$C$3143=B$1,
Master_Mapping_Sheet!$N$2:$N$3143="&amp;"REGEXEXTRACT($A4,"".*_(.*)"")))/sum(filter(
Master_Mapping_Sheet!$E$2:$E$3143, ISNUMBER(
Master_Mapping_Sheet!$E$2:$E$3143),
Master_Mapping_Sheet!$C$2:$C$3143=B$1)))"),0.0)</f>
        <v>0</v>
      </c>
      <c r="C4" s="34">
        <f>IFERROR(__xludf.DUMMYFUNCTION("IF(ISNA(sum(filter(
Master_Mapping_Sheet!$E$2:$E$3143, ISNUMBER(
Master_Mapping_Sheet!$E$2:$E$3143),
Master_Mapping_Sheet!$C$2:$C$3143=C$1,
Master_Mapping_Sheet!$N$2:$N$3143=REGEXEXTRACT($A4,"".*_(.*)"")))/sum(filter(
Master_Mapping_Sheet!$E$2:$E$3143, IS"&amp;"NUMBER(
Master_Mapping_Sheet!$E$2:$E$3143),
Master_Mapping_Sheet!$C$2:$C$3143=C$1))), 0, sum(filter(
Master_Mapping_Sheet!$E$2:$E$3143, ISNUMBER(
Master_Mapping_Sheet!$E$2:$E$3143),
Master_Mapping_Sheet!$C$2:$C$3143=C$1,
Master_Mapping_Sheet!$N$2:$N$3143="&amp;"REGEXEXTRACT($A4,"".*_(.*)"")))/sum(filter(
Master_Mapping_Sheet!$E$2:$E$3143, ISNUMBER(
Master_Mapping_Sheet!$E$2:$E$3143),
Master_Mapping_Sheet!$C$2:$C$3143=C$1)))"),0.7741231509960241)</f>
        <v>0.774123151</v>
      </c>
      <c r="D4" s="34">
        <f>IFERROR(__xludf.DUMMYFUNCTION("IF(ISNA(sum(filter(
Master_Mapping_Sheet!$E$2:$E$3143, ISNUMBER(
Master_Mapping_Sheet!$E$2:$E$3143),
Master_Mapping_Sheet!$C$2:$C$3143=D$1,
Master_Mapping_Sheet!$N$2:$N$3143=REGEXEXTRACT($A4,"".*_(.*)"")))/sum(filter(
Master_Mapping_Sheet!$E$2:$E$3143, IS"&amp;"NUMBER(
Master_Mapping_Sheet!$E$2:$E$3143),
Master_Mapping_Sheet!$C$2:$C$3143=D$1))), 0, sum(filter(
Master_Mapping_Sheet!$E$2:$E$3143, ISNUMBER(
Master_Mapping_Sheet!$E$2:$E$3143),
Master_Mapping_Sheet!$C$2:$C$3143=D$1,
Master_Mapping_Sheet!$N$2:$N$3143="&amp;"REGEXEXTRACT($A4,"".*_(.*)"")))/sum(filter(
Master_Mapping_Sheet!$E$2:$E$3143, ISNUMBER(
Master_Mapping_Sheet!$E$2:$E$3143),
Master_Mapping_Sheet!$C$2:$C$3143=D$1)))"),0.0)</f>
        <v>0</v>
      </c>
      <c r="E4" s="34">
        <f>IFERROR(__xludf.DUMMYFUNCTION("IF(ISNA(sum(filter(
Master_Mapping_Sheet!$E$2:$E$3143, ISNUMBER(
Master_Mapping_Sheet!$E$2:$E$3143),
Master_Mapping_Sheet!$C$2:$C$3143=E$1,
Master_Mapping_Sheet!$N$2:$N$3143=REGEXEXTRACT($A4,"".*_(.*)"")))/sum(filter(
Master_Mapping_Sheet!$E$2:$E$3143, IS"&amp;"NUMBER(
Master_Mapping_Sheet!$E$2:$E$3143),
Master_Mapping_Sheet!$C$2:$C$3143=E$1))), 0, sum(filter(
Master_Mapping_Sheet!$E$2:$E$3143, ISNUMBER(
Master_Mapping_Sheet!$E$2:$E$3143),
Master_Mapping_Sheet!$C$2:$C$3143=E$1,
Master_Mapping_Sheet!$N$2:$N$3143="&amp;"REGEXEXTRACT($A4,"".*_(.*)"")))/sum(filter(
Master_Mapping_Sheet!$E$2:$E$3143, ISNUMBER(
Master_Mapping_Sheet!$E$2:$E$3143),
Master_Mapping_Sheet!$C$2:$C$3143=E$1)))"),0.0)</f>
        <v>0</v>
      </c>
      <c r="F4" s="34">
        <f>IFERROR(__xludf.DUMMYFUNCTION("IF(ISNA(sum(filter(
Master_Mapping_Sheet!$E$2:$E$3143, ISNUMBER(
Master_Mapping_Sheet!$E$2:$E$3143),
Master_Mapping_Sheet!$C$2:$C$3143=F$1,
Master_Mapping_Sheet!$N$2:$N$3143=REGEXEXTRACT($A4,"".*_(.*)"")))/sum(filter(
Master_Mapping_Sheet!$E$2:$E$3143, IS"&amp;"NUMBER(
Master_Mapping_Sheet!$E$2:$E$3143),
Master_Mapping_Sheet!$C$2:$C$3143=F$1))), 0, sum(filter(
Master_Mapping_Sheet!$E$2:$E$3143, ISNUMBER(
Master_Mapping_Sheet!$E$2:$E$3143),
Master_Mapping_Sheet!$C$2:$C$3143=F$1,
Master_Mapping_Sheet!$N$2:$N$3143="&amp;"REGEXEXTRACT($A4,"".*_(.*)"")))/sum(filter(
Master_Mapping_Sheet!$E$2:$E$3143, ISNUMBER(
Master_Mapping_Sheet!$E$2:$E$3143),
Master_Mapping_Sheet!$C$2:$C$3143=F$1)))"),0.0)</f>
        <v>0</v>
      </c>
      <c r="G4" s="34">
        <f>IFERROR(__xludf.DUMMYFUNCTION("IF(ISNA(sum(filter(
Master_Mapping_Sheet!$E$2:$E$3143, ISNUMBER(
Master_Mapping_Sheet!$E$2:$E$3143),
Master_Mapping_Sheet!$C$2:$C$3143=G$1,
Master_Mapping_Sheet!$N$2:$N$3143=REGEXEXTRACT($A4,"".*_(.*)"")))/sum(filter(
Master_Mapping_Sheet!$E$2:$E$3143, IS"&amp;"NUMBER(
Master_Mapping_Sheet!$E$2:$E$3143),
Master_Mapping_Sheet!$C$2:$C$3143=G$1))), 0, sum(filter(
Master_Mapping_Sheet!$E$2:$E$3143, ISNUMBER(
Master_Mapping_Sheet!$E$2:$E$3143),
Master_Mapping_Sheet!$C$2:$C$3143=G$1,
Master_Mapping_Sheet!$N$2:$N$3143="&amp;"REGEXEXTRACT($A4,"".*_(.*)"")))/sum(filter(
Master_Mapping_Sheet!$E$2:$E$3143, ISNUMBER(
Master_Mapping_Sheet!$E$2:$E$3143),
Master_Mapping_Sheet!$C$2:$C$3143=G$1)))"),0.026381811654737214)</f>
        <v>0.02638181165</v>
      </c>
      <c r="H4" s="34">
        <f>IFERROR(__xludf.DUMMYFUNCTION("IF(ISNA(sum(filter(
Master_Mapping_Sheet!$E$2:$E$3143, ISNUMBER(
Master_Mapping_Sheet!$E$2:$E$3143),
Master_Mapping_Sheet!$C$2:$C$3143=H$1,
Master_Mapping_Sheet!$N$2:$N$3143=REGEXEXTRACT($A4,"".*_(.*)"")))/sum(filter(
Master_Mapping_Sheet!$E$2:$E$3143, IS"&amp;"NUMBER(
Master_Mapping_Sheet!$E$2:$E$3143),
Master_Mapping_Sheet!$C$2:$C$3143=H$1))), 0, sum(filter(
Master_Mapping_Sheet!$E$2:$E$3143, ISNUMBER(
Master_Mapping_Sheet!$E$2:$E$3143),
Master_Mapping_Sheet!$C$2:$C$3143=H$1,
Master_Mapping_Sheet!$N$2:$N$3143="&amp;"REGEXEXTRACT($A4,"".*_(.*)"")))/sum(filter(
Master_Mapping_Sheet!$E$2:$E$3143, ISNUMBER(
Master_Mapping_Sheet!$E$2:$E$3143),
Master_Mapping_Sheet!$C$2:$C$3143=H$1)))"),0.0)</f>
        <v>0</v>
      </c>
      <c r="I4" s="34">
        <f>IFERROR(__xludf.DUMMYFUNCTION("IF(ISNA(sum(filter(
Master_Mapping_Sheet!$E$2:$E$3143, ISNUMBER(
Master_Mapping_Sheet!$E$2:$E$3143),
Master_Mapping_Sheet!$C$2:$C$3143=I$1,
Master_Mapping_Sheet!$N$2:$N$3143=REGEXEXTRACT($A4,"".*_(.*)"")))/sum(filter(
Master_Mapping_Sheet!$E$2:$E$3143, IS"&amp;"NUMBER(
Master_Mapping_Sheet!$E$2:$E$3143),
Master_Mapping_Sheet!$C$2:$C$3143=I$1))), 0, sum(filter(
Master_Mapping_Sheet!$E$2:$E$3143, ISNUMBER(
Master_Mapping_Sheet!$E$2:$E$3143),
Master_Mapping_Sheet!$C$2:$C$3143=I$1,
Master_Mapping_Sheet!$N$2:$N$3143="&amp;"REGEXEXTRACT($A4,"".*_(.*)"")))/sum(filter(
Master_Mapping_Sheet!$E$2:$E$3143, ISNUMBER(
Master_Mapping_Sheet!$E$2:$E$3143),
Master_Mapping_Sheet!$C$2:$C$3143=I$1)))"),0.0)</f>
        <v>0</v>
      </c>
      <c r="J4" s="34">
        <f>IFERROR(__xludf.DUMMYFUNCTION("IF(ISNA(sum(filter(
Master_Mapping_Sheet!$E$2:$E$3143, ISNUMBER(
Master_Mapping_Sheet!$E$2:$E$3143),
Master_Mapping_Sheet!$C$2:$C$3143=J$1,
Master_Mapping_Sheet!$N$2:$N$3143=REGEXEXTRACT($A4,"".*_(.*)"")))/sum(filter(
Master_Mapping_Sheet!$E$2:$E$3143, IS"&amp;"NUMBER(
Master_Mapping_Sheet!$E$2:$E$3143),
Master_Mapping_Sheet!$C$2:$C$3143=J$1))), 0, sum(filter(
Master_Mapping_Sheet!$E$2:$E$3143, ISNUMBER(
Master_Mapping_Sheet!$E$2:$E$3143),
Master_Mapping_Sheet!$C$2:$C$3143=J$1,
Master_Mapping_Sheet!$N$2:$N$3143="&amp;"REGEXEXTRACT($A4,"".*_(.*)"")))/sum(filter(
Master_Mapping_Sheet!$E$2:$E$3143, ISNUMBER(
Master_Mapping_Sheet!$E$2:$E$3143),
Master_Mapping_Sheet!$C$2:$C$3143=J$1)))"),0.0)</f>
        <v>0</v>
      </c>
      <c r="K4" s="34">
        <f>IFERROR(__xludf.DUMMYFUNCTION("IF(ISNA(sum(filter(
Master_Mapping_Sheet!$E$2:$E$3143, ISNUMBER(
Master_Mapping_Sheet!$E$2:$E$3143),
Master_Mapping_Sheet!$C$2:$C$3143=K$1,
Master_Mapping_Sheet!$N$2:$N$3143=REGEXEXTRACT($A4,"".*_(.*)"")))/sum(filter(
Master_Mapping_Sheet!$E$2:$E$3143, IS"&amp;"NUMBER(
Master_Mapping_Sheet!$E$2:$E$3143),
Master_Mapping_Sheet!$C$2:$C$3143=K$1))), 0, sum(filter(
Master_Mapping_Sheet!$E$2:$E$3143, ISNUMBER(
Master_Mapping_Sheet!$E$2:$E$3143),
Master_Mapping_Sheet!$C$2:$C$3143=K$1,
Master_Mapping_Sheet!$N$2:$N$3143="&amp;"REGEXEXTRACT($A4,"".*_(.*)"")))/sum(filter(
Master_Mapping_Sheet!$E$2:$E$3143, ISNUMBER(
Master_Mapping_Sheet!$E$2:$E$3143),
Master_Mapping_Sheet!$C$2:$C$3143=K$1)))"),0.0)</f>
        <v>0</v>
      </c>
      <c r="L4" s="34">
        <f>IFERROR(__xludf.DUMMYFUNCTION("IF(ISNA(sum(filter(
Master_Mapping_Sheet!$E$2:$E$3143, ISNUMBER(
Master_Mapping_Sheet!$E$2:$E$3143),
Master_Mapping_Sheet!$C$2:$C$3143=L$1,
Master_Mapping_Sheet!$N$2:$N$3143=REGEXEXTRACT($A4,"".*_(.*)"")))/sum(filter(
Master_Mapping_Sheet!$E$2:$E$3143, IS"&amp;"NUMBER(
Master_Mapping_Sheet!$E$2:$E$3143),
Master_Mapping_Sheet!$C$2:$C$3143=L$1))), 0, sum(filter(
Master_Mapping_Sheet!$E$2:$E$3143, ISNUMBER(
Master_Mapping_Sheet!$E$2:$E$3143),
Master_Mapping_Sheet!$C$2:$C$3143=L$1,
Master_Mapping_Sheet!$N$2:$N$3143="&amp;"REGEXEXTRACT($A4,"".*_(.*)"")))/sum(filter(
Master_Mapping_Sheet!$E$2:$E$3143, ISNUMBER(
Master_Mapping_Sheet!$E$2:$E$3143),
Master_Mapping_Sheet!$C$2:$C$3143=L$1)))"),0.0)</f>
        <v>0</v>
      </c>
      <c r="M4" s="34">
        <f>IFERROR(__xludf.DUMMYFUNCTION("IF(ISNA(sum(filter(
Master_Mapping_Sheet!$E$2:$E$3143, ISNUMBER(
Master_Mapping_Sheet!$E$2:$E$3143),
Master_Mapping_Sheet!$C$2:$C$3143=M$1,
Master_Mapping_Sheet!$N$2:$N$3143=REGEXEXTRACT($A4,"".*_(.*)"")))/sum(filter(
Master_Mapping_Sheet!$E$2:$E$3143, IS"&amp;"NUMBER(
Master_Mapping_Sheet!$E$2:$E$3143),
Master_Mapping_Sheet!$C$2:$C$3143=M$1))), 0, sum(filter(
Master_Mapping_Sheet!$E$2:$E$3143, ISNUMBER(
Master_Mapping_Sheet!$E$2:$E$3143),
Master_Mapping_Sheet!$C$2:$C$3143=M$1,
Master_Mapping_Sheet!$N$2:$N$3143="&amp;"REGEXEXTRACT($A4,"".*_(.*)"")))/sum(filter(
Master_Mapping_Sheet!$E$2:$E$3143, ISNUMBER(
Master_Mapping_Sheet!$E$2:$E$3143),
Master_Mapping_Sheet!$C$2:$C$3143=M$1)))"),0.0)</f>
        <v>0</v>
      </c>
      <c r="N4" s="34">
        <f>IFERROR(__xludf.DUMMYFUNCTION("IF(ISNA(sum(filter(
Master_Mapping_Sheet!$E$2:$E$3143, ISNUMBER(
Master_Mapping_Sheet!$E$2:$E$3143),
Master_Mapping_Sheet!$C$2:$C$3143=N$1,
Master_Mapping_Sheet!$N$2:$N$3143=REGEXEXTRACT($A4,"".*_(.*)"")))/sum(filter(
Master_Mapping_Sheet!$E$2:$E$3143, IS"&amp;"NUMBER(
Master_Mapping_Sheet!$E$2:$E$3143),
Master_Mapping_Sheet!$C$2:$C$3143=N$1))), 0, sum(filter(
Master_Mapping_Sheet!$E$2:$E$3143, ISNUMBER(
Master_Mapping_Sheet!$E$2:$E$3143),
Master_Mapping_Sheet!$C$2:$C$3143=N$1,
Master_Mapping_Sheet!$N$2:$N$3143="&amp;"REGEXEXTRACT($A4,"".*_(.*)"")))/sum(filter(
Master_Mapping_Sheet!$E$2:$E$3143, ISNUMBER(
Master_Mapping_Sheet!$E$2:$E$3143),
Master_Mapping_Sheet!$C$2:$C$3143=N$1)))"),0.0)</f>
        <v>0</v>
      </c>
      <c r="O4" s="34">
        <f>IFERROR(__xludf.DUMMYFUNCTION("IF(ISNA(sum(filter(
Master_Mapping_Sheet!$E$2:$E$3143, ISNUMBER(
Master_Mapping_Sheet!$E$2:$E$3143),
Master_Mapping_Sheet!$C$2:$C$3143=O$1,
Master_Mapping_Sheet!$N$2:$N$3143=REGEXEXTRACT($A4,"".*_(.*)"")))/sum(filter(
Master_Mapping_Sheet!$E$2:$E$3143, IS"&amp;"NUMBER(
Master_Mapping_Sheet!$E$2:$E$3143),
Master_Mapping_Sheet!$C$2:$C$3143=O$1))), 0, sum(filter(
Master_Mapping_Sheet!$E$2:$E$3143, ISNUMBER(
Master_Mapping_Sheet!$E$2:$E$3143),
Master_Mapping_Sheet!$C$2:$C$3143=O$1,
Master_Mapping_Sheet!$N$2:$N$3143="&amp;"REGEXEXTRACT($A4,"".*_(.*)"")))/sum(filter(
Master_Mapping_Sheet!$E$2:$E$3143, ISNUMBER(
Master_Mapping_Sheet!$E$2:$E$3143),
Master_Mapping_Sheet!$C$2:$C$3143=O$1)))"),0.0)</f>
        <v>0</v>
      </c>
      <c r="P4" s="34">
        <f>IFERROR(__xludf.DUMMYFUNCTION("IF(ISNA(sum(filter(
Master_Mapping_Sheet!$E$2:$E$3143, ISNUMBER(
Master_Mapping_Sheet!$E$2:$E$3143),
Master_Mapping_Sheet!$C$2:$C$3143=P$1,
Master_Mapping_Sheet!$N$2:$N$3143=REGEXEXTRACT($A4,"".*_(.*)"")))/sum(filter(
Master_Mapping_Sheet!$E$2:$E$3143, IS"&amp;"NUMBER(
Master_Mapping_Sheet!$E$2:$E$3143),
Master_Mapping_Sheet!$C$2:$C$3143=P$1))), 0, sum(filter(
Master_Mapping_Sheet!$E$2:$E$3143, ISNUMBER(
Master_Mapping_Sheet!$E$2:$E$3143),
Master_Mapping_Sheet!$C$2:$C$3143=P$1,
Master_Mapping_Sheet!$N$2:$N$3143="&amp;"REGEXEXTRACT($A4,"".*_(.*)"")))/sum(filter(
Master_Mapping_Sheet!$E$2:$E$3143, ISNUMBER(
Master_Mapping_Sheet!$E$2:$E$3143),
Master_Mapping_Sheet!$C$2:$C$3143=P$1)))"),0.0)</f>
        <v>0</v>
      </c>
      <c r="Q4" s="34">
        <f>IFERROR(__xludf.DUMMYFUNCTION("IF(ISNA(sum(filter(
Master_Mapping_Sheet!$E$2:$E$3143, ISNUMBER(
Master_Mapping_Sheet!$E$2:$E$3143),
Master_Mapping_Sheet!$C$2:$C$3143=Q$1,
Master_Mapping_Sheet!$N$2:$N$3143=REGEXEXTRACT($A4,"".*_(.*)"")))/sum(filter(
Master_Mapping_Sheet!$E$2:$E$3143, IS"&amp;"NUMBER(
Master_Mapping_Sheet!$E$2:$E$3143),
Master_Mapping_Sheet!$C$2:$C$3143=Q$1))), 0, sum(filter(
Master_Mapping_Sheet!$E$2:$E$3143, ISNUMBER(
Master_Mapping_Sheet!$E$2:$E$3143),
Master_Mapping_Sheet!$C$2:$C$3143=Q$1,
Master_Mapping_Sheet!$N$2:$N$3143="&amp;"REGEXEXTRACT($A4,"".*_(.*)"")))/sum(filter(
Master_Mapping_Sheet!$E$2:$E$3143, ISNUMBER(
Master_Mapping_Sheet!$E$2:$E$3143),
Master_Mapping_Sheet!$C$2:$C$3143=Q$1)))"),0.0)</f>
        <v>0</v>
      </c>
      <c r="R4" s="34">
        <f>IFERROR(__xludf.DUMMYFUNCTION("IF(ISNA(sum(filter(
Master_Mapping_Sheet!$E$2:$E$3143, ISNUMBER(
Master_Mapping_Sheet!$E$2:$E$3143),
Master_Mapping_Sheet!$C$2:$C$3143=R$1,
Master_Mapping_Sheet!$N$2:$N$3143=REGEXEXTRACT($A4,"".*_(.*)"")))/sum(filter(
Master_Mapping_Sheet!$E$2:$E$3143, IS"&amp;"NUMBER(
Master_Mapping_Sheet!$E$2:$E$3143),
Master_Mapping_Sheet!$C$2:$C$3143=R$1))), 0, sum(filter(
Master_Mapping_Sheet!$E$2:$E$3143, ISNUMBER(
Master_Mapping_Sheet!$E$2:$E$3143),
Master_Mapping_Sheet!$C$2:$C$3143=R$1,
Master_Mapping_Sheet!$N$2:$N$3143="&amp;"REGEXEXTRACT($A4,"".*_(.*)"")))/sum(filter(
Master_Mapping_Sheet!$E$2:$E$3143, ISNUMBER(
Master_Mapping_Sheet!$E$2:$E$3143),
Master_Mapping_Sheet!$C$2:$C$3143=R$1)))"),0.0)</f>
        <v>0</v>
      </c>
      <c r="S4" s="34">
        <f>IFERROR(__xludf.DUMMYFUNCTION("IF(ISNA(sum(filter(
Master_Mapping_Sheet!$E$2:$E$3143, ISNUMBER(
Master_Mapping_Sheet!$E$2:$E$3143),
Master_Mapping_Sheet!$C$2:$C$3143=S$1,
Master_Mapping_Sheet!$N$2:$N$3143=REGEXEXTRACT($A4,"".*_(.*)"")))/sum(filter(
Master_Mapping_Sheet!$E$2:$E$3143, IS"&amp;"NUMBER(
Master_Mapping_Sheet!$E$2:$E$3143),
Master_Mapping_Sheet!$C$2:$C$3143=S$1))), 0, sum(filter(
Master_Mapping_Sheet!$E$2:$E$3143, ISNUMBER(
Master_Mapping_Sheet!$E$2:$E$3143),
Master_Mapping_Sheet!$C$2:$C$3143=S$1,
Master_Mapping_Sheet!$N$2:$N$3143="&amp;"REGEXEXTRACT($A4,"".*_(.*)"")))/sum(filter(
Master_Mapping_Sheet!$E$2:$E$3143, ISNUMBER(
Master_Mapping_Sheet!$E$2:$E$3143),
Master_Mapping_Sheet!$C$2:$C$3143=S$1)))"),0.0)</f>
        <v>0</v>
      </c>
      <c r="T4" s="34">
        <f>IFERROR(__xludf.DUMMYFUNCTION("IF(ISNA(sum(filter(
Master_Mapping_Sheet!$E$2:$E$3143, ISNUMBER(
Master_Mapping_Sheet!$E$2:$E$3143),
Master_Mapping_Sheet!$C$2:$C$3143=T$1,
Master_Mapping_Sheet!$N$2:$N$3143=REGEXEXTRACT($A4,"".*_(.*)"")))/sum(filter(
Master_Mapping_Sheet!$E$2:$E$3143, IS"&amp;"NUMBER(
Master_Mapping_Sheet!$E$2:$E$3143),
Master_Mapping_Sheet!$C$2:$C$3143=T$1))), 0, sum(filter(
Master_Mapping_Sheet!$E$2:$E$3143, ISNUMBER(
Master_Mapping_Sheet!$E$2:$E$3143),
Master_Mapping_Sheet!$C$2:$C$3143=T$1,
Master_Mapping_Sheet!$N$2:$N$3143="&amp;"REGEXEXTRACT($A4,"".*_(.*)"")))/sum(filter(
Master_Mapping_Sheet!$E$2:$E$3143, ISNUMBER(
Master_Mapping_Sheet!$E$2:$E$3143),
Master_Mapping_Sheet!$C$2:$C$3143=T$1)))"),0.0)</f>
        <v>0</v>
      </c>
      <c r="U4" s="34">
        <f>IFERROR(__xludf.DUMMYFUNCTION("IF(ISNA(sum(filter(
Master_Mapping_Sheet!$E$2:$E$3143, ISNUMBER(
Master_Mapping_Sheet!$E$2:$E$3143),
Master_Mapping_Sheet!$C$2:$C$3143=U$1,
Master_Mapping_Sheet!$N$2:$N$3143=REGEXEXTRACT($A4,"".*_(.*)"")))/sum(filter(
Master_Mapping_Sheet!$E$2:$E$3143, IS"&amp;"NUMBER(
Master_Mapping_Sheet!$E$2:$E$3143),
Master_Mapping_Sheet!$C$2:$C$3143=U$1))), 0, sum(filter(
Master_Mapping_Sheet!$E$2:$E$3143, ISNUMBER(
Master_Mapping_Sheet!$E$2:$E$3143),
Master_Mapping_Sheet!$C$2:$C$3143=U$1,
Master_Mapping_Sheet!$N$2:$N$3143="&amp;"REGEXEXTRACT($A4,"".*_(.*)"")))/sum(filter(
Master_Mapping_Sheet!$E$2:$E$3143, ISNUMBER(
Master_Mapping_Sheet!$E$2:$E$3143),
Master_Mapping_Sheet!$C$2:$C$3143=U$1)))"),0.04825531158783769)</f>
        <v>0.04825531159</v>
      </c>
      <c r="V4" s="34">
        <f>IFERROR(__xludf.DUMMYFUNCTION("IF(ISNA(sum(filter(
Master_Mapping_Sheet!$E$2:$E$3143, ISNUMBER(
Master_Mapping_Sheet!$E$2:$E$3143),
Master_Mapping_Sheet!$C$2:$C$3143=V$1,
Master_Mapping_Sheet!$N$2:$N$3143=REGEXEXTRACT($A4,"".*_(.*)"")))/sum(filter(
Master_Mapping_Sheet!$E$2:$E$3143, IS"&amp;"NUMBER(
Master_Mapping_Sheet!$E$2:$E$3143),
Master_Mapping_Sheet!$C$2:$C$3143=V$1))), 0, sum(filter(
Master_Mapping_Sheet!$E$2:$E$3143, ISNUMBER(
Master_Mapping_Sheet!$E$2:$E$3143),
Master_Mapping_Sheet!$C$2:$C$3143=V$1,
Master_Mapping_Sheet!$N$2:$N$3143="&amp;"REGEXEXTRACT($A4,"".*_(.*)"")))/sum(filter(
Master_Mapping_Sheet!$E$2:$E$3143, ISNUMBER(
Master_Mapping_Sheet!$E$2:$E$3143),
Master_Mapping_Sheet!$C$2:$C$3143=V$1)))"),0.0)</f>
        <v>0</v>
      </c>
      <c r="W4" s="34">
        <f>IFERROR(__xludf.DUMMYFUNCTION("IF(ISNA(sum(filter(
Master_Mapping_Sheet!$E$2:$E$3143, ISNUMBER(
Master_Mapping_Sheet!$E$2:$E$3143),
Master_Mapping_Sheet!$C$2:$C$3143=W$1,
Master_Mapping_Sheet!$N$2:$N$3143=REGEXEXTRACT($A4,"".*_(.*)"")))/sum(filter(
Master_Mapping_Sheet!$E$2:$E$3143, IS"&amp;"NUMBER(
Master_Mapping_Sheet!$E$2:$E$3143),
Master_Mapping_Sheet!$C$2:$C$3143=W$1))), 0, sum(filter(
Master_Mapping_Sheet!$E$2:$E$3143, ISNUMBER(
Master_Mapping_Sheet!$E$2:$E$3143),
Master_Mapping_Sheet!$C$2:$C$3143=W$1,
Master_Mapping_Sheet!$N$2:$N$3143="&amp;"REGEXEXTRACT($A4,"".*_(.*)"")))/sum(filter(
Master_Mapping_Sheet!$E$2:$E$3143, ISNUMBER(
Master_Mapping_Sheet!$E$2:$E$3143),
Master_Mapping_Sheet!$C$2:$C$3143=W$1)))"),0.0)</f>
        <v>0</v>
      </c>
      <c r="X4" s="34">
        <f>IFERROR(__xludf.DUMMYFUNCTION("IF(ISNA(sum(filter(
Master_Mapping_Sheet!$E$2:$E$3143, ISNUMBER(
Master_Mapping_Sheet!$E$2:$E$3143),
Master_Mapping_Sheet!$C$2:$C$3143=X$1,
Master_Mapping_Sheet!$N$2:$N$3143=REGEXEXTRACT($A4,"".*_(.*)"")))/sum(filter(
Master_Mapping_Sheet!$E$2:$E$3143, IS"&amp;"NUMBER(
Master_Mapping_Sheet!$E$2:$E$3143),
Master_Mapping_Sheet!$C$2:$C$3143=X$1))), 0, sum(filter(
Master_Mapping_Sheet!$E$2:$E$3143, ISNUMBER(
Master_Mapping_Sheet!$E$2:$E$3143),
Master_Mapping_Sheet!$C$2:$C$3143=X$1,
Master_Mapping_Sheet!$N$2:$N$3143="&amp;"REGEXEXTRACT($A4,"".*_(.*)"")))/sum(filter(
Master_Mapping_Sheet!$E$2:$E$3143, ISNUMBER(
Master_Mapping_Sheet!$E$2:$E$3143),
Master_Mapping_Sheet!$C$2:$C$3143=X$1)))"),0.014112415727756806)</f>
        <v>0.01411241573</v>
      </c>
      <c r="Y4" s="34">
        <f>IFERROR(__xludf.DUMMYFUNCTION("IF(ISNA(sum(filter(
Master_Mapping_Sheet!$E$2:$E$3143, ISNUMBER(
Master_Mapping_Sheet!$E$2:$E$3143),
Master_Mapping_Sheet!$C$2:$C$3143=Y$1,
Master_Mapping_Sheet!$N$2:$N$3143=REGEXEXTRACT($A4,"".*_(.*)"")))/sum(filter(
Master_Mapping_Sheet!$E$2:$E$3143, IS"&amp;"NUMBER(
Master_Mapping_Sheet!$E$2:$E$3143),
Master_Mapping_Sheet!$C$2:$C$3143=Y$1))), 0, sum(filter(
Master_Mapping_Sheet!$E$2:$E$3143, ISNUMBER(
Master_Mapping_Sheet!$E$2:$E$3143),
Master_Mapping_Sheet!$C$2:$C$3143=Y$1,
Master_Mapping_Sheet!$N$2:$N$3143="&amp;"REGEXEXTRACT($A4,"".*_(.*)"")))/sum(filter(
Master_Mapping_Sheet!$E$2:$E$3143, ISNUMBER(
Master_Mapping_Sheet!$E$2:$E$3143),
Master_Mapping_Sheet!$C$2:$C$3143=Y$1)))"),0.14969200484845105)</f>
        <v>0.1496920048</v>
      </c>
      <c r="Z4" s="34">
        <f>IFERROR(__xludf.DUMMYFUNCTION("IF(ISNA(sum(filter(
Master_Mapping_Sheet!$E$2:$E$3143, ISNUMBER(
Master_Mapping_Sheet!$E$2:$E$3143),
Master_Mapping_Sheet!$C$2:$C$3143=Z$1,
Master_Mapping_Sheet!$N$2:$N$3143=REGEXEXTRACT($A4,"".*_(.*)"")))/sum(filter(
Master_Mapping_Sheet!$E$2:$E$3143, IS"&amp;"NUMBER(
Master_Mapping_Sheet!$E$2:$E$3143),
Master_Mapping_Sheet!$C$2:$C$3143=Z$1))), 0, sum(filter(
Master_Mapping_Sheet!$E$2:$E$3143, ISNUMBER(
Master_Mapping_Sheet!$E$2:$E$3143),
Master_Mapping_Sheet!$C$2:$C$3143=Z$1,
Master_Mapping_Sheet!$N$2:$N$3143="&amp;"REGEXEXTRACT($A4,"".*_(.*)"")))/sum(filter(
Master_Mapping_Sheet!$E$2:$E$3143, ISNUMBER(
Master_Mapping_Sheet!$E$2:$E$3143),
Master_Mapping_Sheet!$C$2:$C$3143=Z$1)))"),0.0)</f>
        <v>0</v>
      </c>
      <c r="AA4" s="34">
        <f>IFERROR(__xludf.DUMMYFUNCTION("IF(ISNA(sum(filter(
Master_Mapping_Sheet!$E$2:$E$3143, ISNUMBER(
Master_Mapping_Sheet!$E$2:$E$3143),
Master_Mapping_Sheet!$C$2:$C$3143=AA$1,
Master_Mapping_Sheet!$N$2:$N$3143=REGEXEXTRACT($A4,"".*_(.*)"")))/sum(filter(
Master_Mapping_Sheet!$E$2:$E$3143, I"&amp;"SNUMBER(
Master_Mapping_Sheet!$E$2:$E$3143),
Master_Mapping_Sheet!$C$2:$C$3143=AA$1))), 0, sum(filter(
Master_Mapping_Sheet!$E$2:$E$3143, ISNUMBER(
Master_Mapping_Sheet!$E$2:$E$3143),
Master_Mapping_Sheet!$C$2:$C$3143=AA$1,
Master_Mapping_Sheet!$N$2:$N$31"&amp;"43=REGEXEXTRACT($A4,"".*_(.*)"")))/sum(filter(
Master_Mapping_Sheet!$E$2:$E$3143, ISNUMBER(
Master_Mapping_Sheet!$E$2:$E$3143),
Master_Mapping_Sheet!$C$2:$C$3143=AA$1)))"),0.0)</f>
        <v>0</v>
      </c>
      <c r="AB4" s="34">
        <f>IFERROR(__xludf.DUMMYFUNCTION("IF(ISNA(sum(filter(
Master_Mapping_Sheet!$E$2:$E$3143, ISNUMBER(
Master_Mapping_Sheet!$E$2:$E$3143),
Master_Mapping_Sheet!$C$2:$C$3143=AB$1,
Master_Mapping_Sheet!$N$2:$N$3143=REGEXEXTRACT($A4,"".*_(.*)"")))/sum(filter(
Master_Mapping_Sheet!$E$2:$E$3143, I"&amp;"SNUMBER(
Master_Mapping_Sheet!$E$2:$E$3143),
Master_Mapping_Sheet!$C$2:$C$3143=AB$1))), 0, sum(filter(
Master_Mapping_Sheet!$E$2:$E$3143, ISNUMBER(
Master_Mapping_Sheet!$E$2:$E$3143),
Master_Mapping_Sheet!$C$2:$C$3143=AB$1,
Master_Mapping_Sheet!$N$2:$N$31"&amp;"43=REGEXEXTRACT($A4,"".*_(.*)"")))/sum(filter(
Master_Mapping_Sheet!$E$2:$E$3143, ISNUMBER(
Master_Mapping_Sheet!$E$2:$E$3143),
Master_Mapping_Sheet!$C$2:$C$3143=AB$1)))"),0.0)</f>
        <v>0</v>
      </c>
      <c r="AC4" s="34">
        <f>IFERROR(__xludf.DUMMYFUNCTION("IF(ISNA(sum(filter(
Master_Mapping_Sheet!$E$2:$E$3143, ISNUMBER(
Master_Mapping_Sheet!$E$2:$E$3143),
Master_Mapping_Sheet!$C$2:$C$3143=AC$1,
Master_Mapping_Sheet!$N$2:$N$3143=REGEXEXTRACT($A4,"".*_(.*)"")))/sum(filter(
Master_Mapping_Sheet!$E$2:$E$3143, I"&amp;"SNUMBER(
Master_Mapping_Sheet!$E$2:$E$3143),
Master_Mapping_Sheet!$C$2:$C$3143=AC$1))), 0, sum(filter(
Master_Mapping_Sheet!$E$2:$E$3143, ISNUMBER(
Master_Mapping_Sheet!$E$2:$E$3143),
Master_Mapping_Sheet!$C$2:$C$3143=AC$1,
Master_Mapping_Sheet!$N$2:$N$31"&amp;"43=REGEXEXTRACT($A4,"".*_(.*)"")))/sum(filter(
Master_Mapping_Sheet!$E$2:$E$3143, ISNUMBER(
Master_Mapping_Sheet!$E$2:$E$3143),
Master_Mapping_Sheet!$C$2:$C$3143=AC$1)))"),0.0)</f>
        <v>0</v>
      </c>
      <c r="AD4" s="34">
        <f>IFERROR(__xludf.DUMMYFUNCTION("IF(ISNA(sum(filter(
Master_Mapping_Sheet!$E$2:$E$3143, ISNUMBER(
Master_Mapping_Sheet!$E$2:$E$3143),
Master_Mapping_Sheet!$C$2:$C$3143=AD$1,
Master_Mapping_Sheet!$N$2:$N$3143=REGEXEXTRACT($A4,"".*_(.*)"")))/sum(filter(
Master_Mapping_Sheet!$E$2:$E$3143, I"&amp;"SNUMBER(
Master_Mapping_Sheet!$E$2:$E$3143),
Master_Mapping_Sheet!$C$2:$C$3143=AD$1))), 0, sum(filter(
Master_Mapping_Sheet!$E$2:$E$3143, ISNUMBER(
Master_Mapping_Sheet!$E$2:$E$3143),
Master_Mapping_Sheet!$C$2:$C$3143=AD$1,
Master_Mapping_Sheet!$N$2:$N$31"&amp;"43=REGEXEXTRACT($A4,"".*_(.*)"")))/sum(filter(
Master_Mapping_Sheet!$E$2:$E$3143, ISNUMBER(
Master_Mapping_Sheet!$E$2:$E$3143),
Master_Mapping_Sheet!$C$2:$C$3143=AD$1)))"),0.0)</f>
        <v>0</v>
      </c>
      <c r="AE4" s="34">
        <f>IFERROR(__xludf.DUMMYFUNCTION("IF(ISNA(sum(filter(
Master_Mapping_Sheet!$E$2:$E$3143, ISNUMBER(
Master_Mapping_Sheet!$E$2:$E$3143),
Master_Mapping_Sheet!$C$2:$C$3143=AE$1,
Master_Mapping_Sheet!$N$2:$N$3143=REGEXEXTRACT($A4,"".*_(.*)"")))/sum(filter(
Master_Mapping_Sheet!$E$2:$E$3143, I"&amp;"SNUMBER(
Master_Mapping_Sheet!$E$2:$E$3143),
Master_Mapping_Sheet!$C$2:$C$3143=AE$1))), 0, sum(filter(
Master_Mapping_Sheet!$E$2:$E$3143, ISNUMBER(
Master_Mapping_Sheet!$E$2:$E$3143),
Master_Mapping_Sheet!$C$2:$C$3143=AE$1,
Master_Mapping_Sheet!$N$2:$N$31"&amp;"43=REGEXEXTRACT($A4,"".*_(.*)"")))/sum(filter(
Master_Mapping_Sheet!$E$2:$E$3143, ISNUMBER(
Master_Mapping_Sheet!$E$2:$E$3143),
Master_Mapping_Sheet!$C$2:$C$3143=AE$1)))"),0.0)</f>
        <v>0</v>
      </c>
      <c r="AF4" s="34">
        <f>IFERROR(__xludf.DUMMYFUNCTION("IF(ISNA(sum(filter(
Master_Mapping_Sheet!$E$2:$E$3143, ISNUMBER(
Master_Mapping_Sheet!$E$2:$E$3143),
Master_Mapping_Sheet!$C$2:$C$3143=AF$1,
Master_Mapping_Sheet!$N$2:$N$3143=REGEXEXTRACT($A4,"".*_(.*)"")))/sum(filter(
Master_Mapping_Sheet!$E$2:$E$3143, I"&amp;"SNUMBER(
Master_Mapping_Sheet!$E$2:$E$3143),
Master_Mapping_Sheet!$C$2:$C$3143=AF$1))), 0, sum(filter(
Master_Mapping_Sheet!$E$2:$E$3143, ISNUMBER(
Master_Mapping_Sheet!$E$2:$E$3143),
Master_Mapping_Sheet!$C$2:$C$3143=AF$1,
Master_Mapping_Sheet!$N$2:$N$31"&amp;"43=REGEXEXTRACT($A4,"".*_(.*)"")))/sum(filter(
Master_Mapping_Sheet!$E$2:$E$3143, ISNUMBER(
Master_Mapping_Sheet!$E$2:$E$3143),
Master_Mapping_Sheet!$C$2:$C$3143=AF$1)))"),0.0)</f>
        <v>0</v>
      </c>
      <c r="AG4" s="34">
        <f>IFERROR(__xludf.DUMMYFUNCTION("IF(ISNA(sum(filter(
Master_Mapping_Sheet!$E$2:$E$3143, ISNUMBER(
Master_Mapping_Sheet!$E$2:$E$3143),
Master_Mapping_Sheet!$C$2:$C$3143=AG$1,
Master_Mapping_Sheet!$N$2:$N$3143=REGEXEXTRACT($A4,"".*_(.*)"")))/sum(filter(
Master_Mapping_Sheet!$E$2:$E$3143, I"&amp;"SNUMBER(
Master_Mapping_Sheet!$E$2:$E$3143),
Master_Mapping_Sheet!$C$2:$C$3143=AG$1))), 0, sum(filter(
Master_Mapping_Sheet!$E$2:$E$3143, ISNUMBER(
Master_Mapping_Sheet!$E$2:$E$3143),
Master_Mapping_Sheet!$C$2:$C$3143=AG$1,
Master_Mapping_Sheet!$N$2:$N$31"&amp;"43=REGEXEXTRACT($A4,"".*_(.*)"")))/sum(filter(
Master_Mapping_Sheet!$E$2:$E$3143, ISNUMBER(
Master_Mapping_Sheet!$E$2:$E$3143),
Master_Mapping_Sheet!$C$2:$C$3143=AG$1)))"),0.0)</f>
        <v>0</v>
      </c>
      <c r="AH4" s="34">
        <f>IFERROR(__xludf.DUMMYFUNCTION("IF(ISNA(sum(filter(
Master_Mapping_Sheet!$E$2:$E$3143, ISNUMBER(
Master_Mapping_Sheet!$E$2:$E$3143),
Master_Mapping_Sheet!$C$2:$C$3143=AH$1,
Master_Mapping_Sheet!$N$2:$N$3143=REGEXEXTRACT($A4,"".*_(.*)"")))/sum(filter(
Master_Mapping_Sheet!$E$2:$E$3143, I"&amp;"SNUMBER(
Master_Mapping_Sheet!$E$2:$E$3143),
Master_Mapping_Sheet!$C$2:$C$3143=AH$1))), 0, sum(filter(
Master_Mapping_Sheet!$E$2:$E$3143, ISNUMBER(
Master_Mapping_Sheet!$E$2:$E$3143),
Master_Mapping_Sheet!$C$2:$C$3143=AH$1,
Master_Mapping_Sheet!$N$2:$N$31"&amp;"43=REGEXEXTRACT($A4,"".*_(.*)"")))/sum(filter(
Master_Mapping_Sheet!$E$2:$E$3143, ISNUMBER(
Master_Mapping_Sheet!$E$2:$E$3143),
Master_Mapping_Sheet!$C$2:$C$3143=AH$1)))"),0.0)</f>
        <v>0</v>
      </c>
      <c r="AI4" s="34">
        <f>IFERROR(__xludf.DUMMYFUNCTION("IF(ISNA(sum(filter(
Master_Mapping_Sheet!$E$2:$E$3143, ISNUMBER(
Master_Mapping_Sheet!$E$2:$E$3143),
Master_Mapping_Sheet!$C$2:$C$3143=AI$1,
Master_Mapping_Sheet!$N$2:$N$3143=REGEXEXTRACT($A4,"".*_(.*)"")))/sum(filter(
Master_Mapping_Sheet!$E$2:$E$3143, I"&amp;"SNUMBER(
Master_Mapping_Sheet!$E$2:$E$3143),
Master_Mapping_Sheet!$C$2:$C$3143=AI$1))), 0, sum(filter(
Master_Mapping_Sheet!$E$2:$E$3143, ISNUMBER(
Master_Mapping_Sheet!$E$2:$E$3143),
Master_Mapping_Sheet!$C$2:$C$3143=AI$1,
Master_Mapping_Sheet!$N$2:$N$31"&amp;"43=REGEXEXTRACT($A4,"".*_(.*)"")))/sum(filter(
Master_Mapping_Sheet!$E$2:$E$3143, ISNUMBER(
Master_Mapping_Sheet!$E$2:$E$3143),
Master_Mapping_Sheet!$C$2:$C$3143=AI$1)))"),0.0)</f>
        <v>0</v>
      </c>
      <c r="AJ4" s="34">
        <f>IFERROR(__xludf.DUMMYFUNCTION("IF(ISNA(sum(filter(
Master_Mapping_Sheet!$E$2:$E$3143, ISNUMBER(
Master_Mapping_Sheet!$E$2:$E$3143),
Master_Mapping_Sheet!$C$2:$C$3143=AJ$1,
Master_Mapping_Sheet!$N$2:$N$3143=REGEXEXTRACT($A4,"".*_(.*)"")))/sum(filter(
Master_Mapping_Sheet!$E$2:$E$3143, I"&amp;"SNUMBER(
Master_Mapping_Sheet!$E$2:$E$3143),
Master_Mapping_Sheet!$C$2:$C$3143=AJ$1))), 0, sum(filter(
Master_Mapping_Sheet!$E$2:$E$3143, ISNUMBER(
Master_Mapping_Sheet!$E$2:$E$3143),
Master_Mapping_Sheet!$C$2:$C$3143=AJ$1,
Master_Mapping_Sheet!$N$2:$N$31"&amp;"43=REGEXEXTRACT($A4,"".*_(.*)"")))/sum(filter(
Master_Mapping_Sheet!$E$2:$E$3143, ISNUMBER(
Master_Mapping_Sheet!$E$2:$E$3143),
Master_Mapping_Sheet!$C$2:$C$3143=AJ$1)))"),0.6751798001341963)</f>
        <v>0.6751798001</v>
      </c>
      <c r="AK4" s="34">
        <f>IFERROR(__xludf.DUMMYFUNCTION("IF(ISNA(sum(filter(
Master_Mapping_Sheet!$E$2:$E$3143, ISNUMBER(
Master_Mapping_Sheet!$E$2:$E$3143),
Master_Mapping_Sheet!$C$2:$C$3143=AK$1,
Master_Mapping_Sheet!$N$2:$N$3143=REGEXEXTRACT($A4,"".*_(.*)"")))/sum(filter(
Master_Mapping_Sheet!$E$2:$E$3143, I"&amp;"SNUMBER(
Master_Mapping_Sheet!$E$2:$E$3143),
Master_Mapping_Sheet!$C$2:$C$3143=AK$1))), 0, sum(filter(
Master_Mapping_Sheet!$E$2:$E$3143, ISNUMBER(
Master_Mapping_Sheet!$E$2:$E$3143),
Master_Mapping_Sheet!$C$2:$C$3143=AK$1,
Master_Mapping_Sheet!$N$2:$N$31"&amp;"43=REGEXEXTRACT($A4,"".*_(.*)"")))/sum(filter(
Master_Mapping_Sheet!$E$2:$E$3143, ISNUMBER(
Master_Mapping_Sheet!$E$2:$E$3143),
Master_Mapping_Sheet!$C$2:$C$3143=AK$1)))"),0.0)</f>
        <v>0</v>
      </c>
      <c r="AL4" s="34">
        <f>IFERROR(__xludf.DUMMYFUNCTION("IF(ISNA(sum(filter(
Master_Mapping_Sheet!$E$2:$E$3143, ISNUMBER(
Master_Mapping_Sheet!$E$2:$E$3143),
Master_Mapping_Sheet!$C$2:$C$3143=AL$1,
Master_Mapping_Sheet!$N$2:$N$3143=REGEXEXTRACT($A4,"".*_(.*)"")))/sum(filter(
Master_Mapping_Sheet!$E$2:$E$3143, I"&amp;"SNUMBER(
Master_Mapping_Sheet!$E$2:$E$3143),
Master_Mapping_Sheet!$C$2:$C$3143=AL$1))), 0, sum(filter(
Master_Mapping_Sheet!$E$2:$E$3143, ISNUMBER(
Master_Mapping_Sheet!$E$2:$E$3143),
Master_Mapping_Sheet!$C$2:$C$3143=AL$1,
Master_Mapping_Sheet!$N$2:$N$31"&amp;"43=REGEXEXTRACT($A4,"".*_(.*)"")))/sum(filter(
Master_Mapping_Sheet!$E$2:$E$3143, ISNUMBER(
Master_Mapping_Sheet!$E$2:$E$3143),
Master_Mapping_Sheet!$C$2:$C$3143=AL$1)))"),0.0)</f>
        <v>0</v>
      </c>
      <c r="AM4" s="34">
        <f>IFERROR(__xludf.DUMMYFUNCTION("IF(ISNA(sum(filter(
Master_Mapping_Sheet!$E$2:$E$3143, ISNUMBER(
Master_Mapping_Sheet!$E$2:$E$3143),
Master_Mapping_Sheet!$C$2:$C$3143=AM$1,
Master_Mapping_Sheet!$N$2:$N$3143=REGEXEXTRACT($A4,"".*_(.*)"")))/sum(filter(
Master_Mapping_Sheet!$E$2:$E$3143, I"&amp;"SNUMBER(
Master_Mapping_Sheet!$E$2:$E$3143),
Master_Mapping_Sheet!$C$2:$C$3143=AM$1))), 0, sum(filter(
Master_Mapping_Sheet!$E$2:$E$3143, ISNUMBER(
Master_Mapping_Sheet!$E$2:$E$3143),
Master_Mapping_Sheet!$C$2:$C$3143=AM$1,
Master_Mapping_Sheet!$N$2:$N$31"&amp;"43=REGEXEXTRACT($A4,"".*_(.*)"")))/sum(filter(
Master_Mapping_Sheet!$E$2:$E$3143, ISNUMBER(
Master_Mapping_Sheet!$E$2:$E$3143),
Master_Mapping_Sheet!$C$2:$C$3143=AM$1)))"),0.0)</f>
        <v>0</v>
      </c>
      <c r="AN4" s="34">
        <f>IFERROR(__xludf.DUMMYFUNCTION("IF(ISNA(sum(filter(
Master_Mapping_Sheet!$E$2:$E$3143, ISNUMBER(
Master_Mapping_Sheet!$E$2:$E$3143),
Master_Mapping_Sheet!$C$2:$C$3143=AN$1,
Master_Mapping_Sheet!$N$2:$N$3143=REGEXEXTRACT($A4,"".*_(.*)"")))/sum(filter(
Master_Mapping_Sheet!$E$2:$E$3143, I"&amp;"SNUMBER(
Master_Mapping_Sheet!$E$2:$E$3143),
Master_Mapping_Sheet!$C$2:$C$3143=AN$1))), 0, sum(filter(
Master_Mapping_Sheet!$E$2:$E$3143, ISNUMBER(
Master_Mapping_Sheet!$E$2:$E$3143),
Master_Mapping_Sheet!$C$2:$C$3143=AN$1,
Master_Mapping_Sheet!$N$2:$N$31"&amp;"43=REGEXEXTRACT($A4,"".*_(.*)"")))/sum(filter(
Master_Mapping_Sheet!$E$2:$E$3143, ISNUMBER(
Master_Mapping_Sheet!$E$2:$E$3143),
Master_Mapping_Sheet!$C$2:$C$3143=AN$1)))"),0.0)</f>
        <v>0</v>
      </c>
      <c r="AO4" s="34">
        <f>IFERROR(__xludf.DUMMYFUNCTION("IF(ISNA(sum(filter(
Master_Mapping_Sheet!$E$2:$E$3143, ISNUMBER(
Master_Mapping_Sheet!$E$2:$E$3143),
Master_Mapping_Sheet!$C$2:$C$3143=AO$1,
Master_Mapping_Sheet!$N$2:$N$3143=REGEXEXTRACT($A4,"".*_(.*)"")))/sum(filter(
Master_Mapping_Sheet!$E$2:$E$3143, I"&amp;"SNUMBER(
Master_Mapping_Sheet!$E$2:$E$3143),
Master_Mapping_Sheet!$C$2:$C$3143=AO$1))), 0, sum(filter(
Master_Mapping_Sheet!$E$2:$E$3143, ISNUMBER(
Master_Mapping_Sheet!$E$2:$E$3143),
Master_Mapping_Sheet!$C$2:$C$3143=AO$1,
Master_Mapping_Sheet!$N$2:$N$31"&amp;"43=REGEXEXTRACT($A4,"".*_(.*)"")))/sum(filter(
Master_Mapping_Sheet!$E$2:$E$3143, ISNUMBER(
Master_Mapping_Sheet!$E$2:$E$3143),
Master_Mapping_Sheet!$C$2:$C$3143=AO$1)))"),0.0)</f>
        <v>0</v>
      </c>
      <c r="AP4" s="34">
        <f>IFERROR(__xludf.DUMMYFUNCTION("IF(ISNA(sum(filter(
Master_Mapping_Sheet!$E$2:$E$3143, ISNUMBER(
Master_Mapping_Sheet!$E$2:$E$3143),
Master_Mapping_Sheet!$C$2:$C$3143=AP$1,
Master_Mapping_Sheet!$N$2:$N$3143=REGEXEXTRACT($A4,"".*_(.*)"")))/sum(filter(
Master_Mapping_Sheet!$E$2:$E$3143, I"&amp;"SNUMBER(
Master_Mapping_Sheet!$E$2:$E$3143),
Master_Mapping_Sheet!$C$2:$C$3143=AP$1))), 0, sum(filter(
Master_Mapping_Sheet!$E$2:$E$3143, ISNUMBER(
Master_Mapping_Sheet!$E$2:$E$3143),
Master_Mapping_Sheet!$C$2:$C$3143=AP$1,
Master_Mapping_Sheet!$N$2:$N$31"&amp;"43=REGEXEXTRACT($A4,"".*_(.*)"")))/sum(filter(
Master_Mapping_Sheet!$E$2:$E$3143, ISNUMBER(
Master_Mapping_Sheet!$E$2:$E$3143),
Master_Mapping_Sheet!$C$2:$C$3143=AP$1)))"),0.0)</f>
        <v>0</v>
      </c>
      <c r="AQ4" s="34">
        <f>IFERROR(__xludf.DUMMYFUNCTION("IF(ISNA(sum(filter(
Master_Mapping_Sheet!$E$2:$E$3143, ISNUMBER(
Master_Mapping_Sheet!$E$2:$E$3143),
Master_Mapping_Sheet!$C$2:$C$3143=AQ$1,
Master_Mapping_Sheet!$N$2:$N$3143=REGEXEXTRACT($A4,"".*_(.*)"")))/sum(filter(
Master_Mapping_Sheet!$E$2:$E$3143, I"&amp;"SNUMBER(
Master_Mapping_Sheet!$E$2:$E$3143),
Master_Mapping_Sheet!$C$2:$C$3143=AQ$1))), 0, sum(filter(
Master_Mapping_Sheet!$E$2:$E$3143, ISNUMBER(
Master_Mapping_Sheet!$E$2:$E$3143),
Master_Mapping_Sheet!$C$2:$C$3143=AQ$1,
Master_Mapping_Sheet!$N$2:$N$31"&amp;"43=REGEXEXTRACT($A4,"".*_(.*)"")))/sum(filter(
Master_Mapping_Sheet!$E$2:$E$3143, ISNUMBER(
Master_Mapping_Sheet!$E$2:$E$3143),
Master_Mapping_Sheet!$C$2:$C$3143=AQ$1)))"),0.0)</f>
        <v>0</v>
      </c>
      <c r="AR4" s="34">
        <f>IFERROR(__xludf.DUMMYFUNCTION("IF(ISNA(sum(filter(
Master_Mapping_Sheet!$E$2:$E$3143, ISNUMBER(
Master_Mapping_Sheet!$E$2:$E$3143),
Master_Mapping_Sheet!$C$2:$C$3143=AR$1,
Master_Mapping_Sheet!$N$2:$N$3143=REGEXEXTRACT($A4,"".*_(.*)"")))/sum(filter(
Master_Mapping_Sheet!$E$2:$E$3143, I"&amp;"SNUMBER(
Master_Mapping_Sheet!$E$2:$E$3143),
Master_Mapping_Sheet!$C$2:$C$3143=AR$1))), 0, sum(filter(
Master_Mapping_Sheet!$E$2:$E$3143, ISNUMBER(
Master_Mapping_Sheet!$E$2:$E$3143),
Master_Mapping_Sheet!$C$2:$C$3143=AR$1,
Master_Mapping_Sheet!$N$2:$N$31"&amp;"43=REGEXEXTRACT($A4,"".*_(.*)"")))/sum(filter(
Master_Mapping_Sheet!$E$2:$E$3143, ISNUMBER(
Master_Mapping_Sheet!$E$2:$E$3143),
Master_Mapping_Sheet!$C$2:$C$3143=AR$1)))"),0.0)</f>
        <v>0</v>
      </c>
      <c r="AS4" s="34">
        <f>IFERROR(__xludf.DUMMYFUNCTION("IF(ISNA(sum(filter(
Master_Mapping_Sheet!$E$2:$E$3143, ISNUMBER(
Master_Mapping_Sheet!$E$2:$E$3143),
Master_Mapping_Sheet!$C$2:$C$3143=AS$1,
Master_Mapping_Sheet!$N$2:$N$3143=REGEXEXTRACT($A4,"".*_(.*)"")))/sum(filter(
Master_Mapping_Sheet!$E$2:$E$3143, I"&amp;"SNUMBER(
Master_Mapping_Sheet!$E$2:$E$3143),
Master_Mapping_Sheet!$C$2:$C$3143=AS$1))), 0, sum(filter(
Master_Mapping_Sheet!$E$2:$E$3143, ISNUMBER(
Master_Mapping_Sheet!$E$2:$E$3143),
Master_Mapping_Sheet!$C$2:$C$3143=AS$1,
Master_Mapping_Sheet!$N$2:$N$31"&amp;"43=REGEXEXTRACT($A4,"".*_(.*)"")))/sum(filter(
Master_Mapping_Sheet!$E$2:$E$3143, ISNUMBER(
Master_Mapping_Sheet!$E$2:$E$3143),
Master_Mapping_Sheet!$C$2:$C$3143=AS$1)))"),0.0)</f>
        <v>0</v>
      </c>
      <c r="AT4" s="34">
        <f>IFERROR(__xludf.DUMMYFUNCTION("IF(ISNA(sum(filter(
Master_Mapping_Sheet!$E$2:$E$3143, ISNUMBER(
Master_Mapping_Sheet!$E$2:$E$3143),
Master_Mapping_Sheet!$C$2:$C$3143=AT$1,
Master_Mapping_Sheet!$N$2:$N$3143=REGEXEXTRACT($A4,"".*_(.*)"")))/sum(filter(
Master_Mapping_Sheet!$E$2:$E$3143, I"&amp;"SNUMBER(
Master_Mapping_Sheet!$E$2:$E$3143),
Master_Mapping_Sheet!$C$2:$C$3143=AT$1))), 0, sum(filter(
Master_Mapping_Sheet!$E$2:$E$3143, ISNUMBER(
Master_Mapping_Sheet!$E$2:$E$3143),
Master_Mapping_Sheet!$C$2:$C$3143=AT$1,
Master_Mapping_Sheet!$N$2:$N$31"&amp;"43=REGEXEXTRACT($A4,"".*_(.*)"")))/sum(filter(
Master_Mapping_Sheet!$E$2:$E$3143, ISNUMBER(
Master_Mapping_Sheet!$E$2:$E$3143),
Master_Mapping_Sheet!$C$2:$C$3143=AT$1)))"),0.0)</f>
        <v>0</v>
      </c>
      <c r="AU4" s="34">
        <f>IFERROR(__xludf.DUMMYFUNCTION("IF(ISNA(sum(filter(
Master_Mapping_Sheet!$E$2:$E$3143, ISNUMBER(
Master_Mapping_Sheet!$E$2:$E$3143),
Master_Mapping_Sheet!$C$2:$C$3143=AU$1,
Master_Mapping_Sheet!$N$2:$N$3143=REGEXEXTRACT($A4,"".*_(.*)"")))/sum(filter(
Master_Mapping_Sheet!$E$2:$E$3143, I"&amp;"SNUMBER(
Master_Mapping_Sheet!$E$2:$E$3143),
Master_Mapping_Sheet!$C$2:$C$3143=AU$1))), 0, sum(filter(
Master_Mapping_Sheet!$E$2:$E$3143, ISNUMBER(
Master_Mapping_Sheet!$E$2:$E$3143),
Master_Mapping_Sheet!$C$2:$C$3143=AU$1,
Master_Mapping_Sheet!$N$2:$N$31"&amp;"43=REGEXEXTRACT($A4,"".*_(.*)"")))/sum(filter(
Master_Mapping_Sheet!$E$2:$E$3143, ISNUMBER(
Master_Mapping_Sheet!$E$2:$E$3143),
Master_Mapping_Sheet!$C$2:$C$3143=AU$1)))"),0.0)</f>
        <v>0</v>
      </c>
      <c r="AV4" s="34">
        <f>IFERROR(__xludf.DUMMYFUNCTION("IF(ISNA(sum(filter(
Master_Mapping_Sheet!$E$2:$E$3143, ISNUMBER(
Master_Mapping_Sheet!$E$2:$E$3143),
Master_Mapping_Sheet!$C$2:$C$3143=AV$1,
Master_Mapping_Sheet!$N$2:$N$3143=REGEXEXTRACT($A4,"".*_(.*)"")))/sum(filter(
Master_Mapping_Sheet!$E$2:$E$3143, I"&amp;"SNUMBER(
Master_Mapping_Sheet!$E$2:$E$3143),
Master_Mapping_Sheet!$C$2:$C$3143=AV$1))), 0, sum(filter(
Master_Mapping_Sheet!$E$2:$E$3143, ISNUMBER(
Master_Mapping_Sheet!$E$2:$E$3143),
Master_Mapping_Sheet!$C$2:$C$3143=AV$1,
Master_Mapping_Sheet!$N$2:$N$31"&amp;"43=REGEXEXTRACT($A4,"".*_(.*)"")))/sum(filter(
Master_Mapping_Sheet!$E$2:$E$3143, ISNUMBER(
Master_Mapping_Sheet!$E$2:$E$3143),
Master_Mapping_Sheet!$C$2:$C$3143=AV$1)))"),0.0)</f>
        <v>0</v>
      </c>
      <c r="AW4" s="34">
        <f>IFERROR(__xludf.DUMMYFUNCTION("IF(ISNA(sum(filter(
Master_Mapping_Sheet!$E$2:$E$3143, ISNUMBER(
Master_Mapping_Sheet!$E$2:$E$3143),
Master_Mapping_Sheet!$C$2:$C$3143=AW$1,
Master_Mapping_Sheet!$N$2:$N$3143=REGEXEXTRACT($A4,"".*_(.*)"")))/sum(filter(
Master_Mapping_Sheet!$E$2:$E$3143, I"&amp;"SNUMBER(
Master_Mapping_Sheet!$E$2:$E$3143),
Master_Mapping_Sheet!$C$2:$C$3143=AW$1))), 0, sum(filter(
Master_Mapping_Sheet!$E$2:$E$3143, ISNUMBER(
Master_Mapping_Sheet!$E$2:$E$3143),
Master_Mapping_Sheet!$C$2:$C$3143=AW$1,
Master_Mapping_Sheet!$N$2:$N$31"&amp;"43=REGEXEXTRACT($A4,"".*_(.*)"")))/sum(filter(
Master_Mapping_Sheet!$E$2:$E$3143, ISNUMBER(
Master_Mapping_Sheet!$E$2:$E$3143),
Master_Mapping_Sheet!$C$2:$C$3143=AW$1)))"),0.0)</f>
        <v>0</v>
      </c>
      <c r="AX4" s="34">
        <f>IFERROR(__xludf.DUMMYFUNCTION("IF(ISNA(sum(filter(
Master_Mapping_Sheet!$E$2:$E$3143, ISNUMBER(
Master_Mapping_Sheet!$E$2:$E$3143),
Master_Mapping_Sheet!$C$2:$C$3143=AX$1,
Master_Mapping_Sheet!$N$2:$N$3143=REGEXEXTRACT($A4,"".*_(.*)"")))/sum(filter(
Master_Mapping_Sheet!$E$2:$E$3143, I"&amp;"SNUMBER(
Master_Mapping_Sheet!$E$2:$E$3143),
Master_Mapping_Sheet!$C$2:$C$3143=AX$1))), 0, sum(filter(
Master_Mapping_Sheet!$E$2:$E$3143, ISNUMBER(
Master_Mapping_Sheet!$E$2:$E$3143),
Master_Mapping_Sheet!$C$2:$C$3143=AX$1,
Master_Mapping_Sheet!$N$2:$N$31"&amp;"43=REGEXEXTRACT($A4,"".*_(.*)"")))/sum(filter(
Master_Mapping_Sheet!$E$2:$E$3143, ISNUMBER(
Master_Mapping_Sheet!$E$2:$E$3143),
Master_Mapping_Sheet!$C$2:$C$3143=AX$1)))"),0.0)</f>
        <v>0</v>
      </c>
      <c r="AY4" s="34">
        <f>IFERROR(__xludf.DUMMYFUNCTION("IF(ISNA(sum(filter(
Master_Mapping_Sheet!$E$2:$E$3143, ISNUMBER(
Master_Mapping_Sheet!$E$2:$E$3143),
Master_Mapping_Sheet!$C$2:$C$3143=AY$1,
Master_Mapping_Sheet!$N$2:$N$3143=REGEXEXTRACT($A4,"".*_(.*)"")))/sum(filter(
Master_Mapping_Sheet!$E$2:$E$3143, I"&amp;"SNUMBER(
Master_Mapping_Sheet!$E$2:$E$3143),
Master_Mapping_Sheet!$C$2:$C$3143=AY$1))), 0, sum(filter(
Master_Mapping_Sheet!$E$2:$E$3143, ISNUMBER(
Master_Mapping_Sheet!$E$2:$E$3143),
Master_Mapping_Sheet!$C$2:$C$3143=AY$1,
Master_Mapping_Sheet!$N$2:$N$31"&amp;"43=REGEXEXTRACT($A4,"".*_(.*)"")))/sum(filter(
Master_Mapping_Sheet!$E$2:$E$3143, ISNUMBER(
Master_Mapping_Sheet!$E$2:$E$3143),
Master_Mapping_Sheet!$C$2:$C$3143=AY$1)))"),0.04973832485613577)</f>
        <v>0.04973832486</v>
      </c>
      <c r="AZ4" s="34">
        <f>IFERROR(__xludf.DUMMYFUNCTION("IF(ISNA(sum(filter(
Master_Mapping_Sheet!$E$2:$E$3143, ISNUMBER(
Master_Mapping_Sheet!$E$2:$E$3143),
Master_Mapping_Sheet!$C$2:$C$3143=AZ$1,
Master_Mapping_Sheet!$N$2:$N$3143=REGEXEXTRACT($A4,"".*_(.*)"")))/sum(filter(
Master_Mapping_Sheet!$E$2:$E$3143, I"&amp;"SNUMBER(
Master_Mapping_Sheet!$E$2:$E$3143),
Master_Mapping_Sheet!$C$2:$C$3143=AZ$1))), 0, sum(filter(
Master_Mapping_Sheet!$E$2:$E$3143, ISNUMBER(
Master_Mapping_Sheet!$E$2:$E$3143),
Master_Mapping_Sheet!$C$2:$C$3143=AZ$1,
Master_Mapping_Sheet!$N$2:$N$31"&amp;"43=REGEXEXTRACT($A4,"".*_(.*)"")))/sum(filter(
Master_Mapping_Sheet!$E$2:$E$3143, ISNUMBER(
Master_Mapping_Sheet!$E$2:$E$3143),
Master_Mapping_Sheet!$C$2:$C$3143=AZ$1)))"),0.0908832528331995)</f>
        <v>0.09088325283</v>
      </c>
    </row>
    <row r="5" ht="15.75" customHeight="1">
      <c r="A5" s="45" t="s">
        <v>4263</v>
      </c>
      <c r="B5" s="34">
        <f>IFERROR(__xludf.DUMMYFUNCTION("IF(ISNA(sum(filter(
Master_Mapping_Sheet!$E$2:$E$3143, ISNUMBER(
Master_Mapping_Sheet!$E$2:$E$3143),
Master_Mapping_Sheet!$C$2:$C$3143=B$1,
Master_Mapping_Sheet!$N$2:$N$3143=REGEXEXTRACT($A5,"".*_(.*)"")))/sum(filter(
Master_Mapping_Sheet!$E$2:$E$3143, IS"&amp;"NUMBER(
Master_Mapping_Sheet!$E$2:$E$3143),
Master_Mapping_Sheet!$C$2:$C$3143=B$1))), 0, sum(filter(
Master_Mapping_Sheet!$E$2:$E$3143, ISNUMBER(
Master_Mapping_Sheet!$E$2:$E$3143),
Master_Mapping_Sheet!$C$2:$C$3143=B$1,
Master_Mapping_Sheet!$N$2:$N$3143="&amp;"REGEXEXTRACT($A5,"".*_(.*)"")))/sum(filter(
Master_Mapping_Sheet!$E$2:$E$3143, ISNUMBER(
Master_Mapping_Sheet!$E$2:$E$3143),
Master_Mapping_Sheet!$C$2:$C$3143=B$1)))"),0.0)</f>
        <v>0</v>
      </c>
      <c r="C5" s="34">
        <f>IFERROR(__xludf.DUMMYFUNCTION("IF(ISNA(sum(filter(
Master_Mapping_Sheet!$E$2:$E$3143, ISNUMBER(
Master_Mapping_Sheet!$E$2:$E$3143),
Master_Mapping_Sheet!$C$2:$C$3143=C$1,
Master_Mapping_Sheet!$N$2:$N$3143=REGEXEXTRACT($A5,"".*_(.*)"")))/sum(filter(
Master_Mapping_Sheet!$E$2:$E$3143, IS"&amp;"NUMBER(
Master_Mapping_Sheet!$E$2:$E$3143),
Master_Mapping_Sheet!$C$2:$C$3143=C$1))), 0, sum(filter(
Master_Mapping_Sheet!$E$2:$E$3143, ISNUMBER(
Master_Mapping_Sheet!$E$2:$E$3143),
Master_Mapping_Sheet!$C$2:$C$3143=C$1,
Master_Mapping_Sheet!$N$2:$N$3143="&amp;"REGEXEXTRACT($A5,"".*_(.*)"")))/sum(filter(
Master_Mapping_Sheet!$E$2:$E$3143, ISNUMBER(
Master_Mapping_Sheet!$E$2:$E$3143),
Master_Mapping_Sheet!$C$2:$C$3143=C$1)))"),0.22587684900397592)</f>
        <v>0.225876849</v>
      </c>
      <c r="D5" s="34">
        <f>IFERROR(__xludf.DUMMYFUNCTION("IF(ISNA(sum(filter(
Master_Mapping_Sheet!$E$2:$E$3143, ISNUMBER(
Master_Mapping_Sheet!$E$2:$E$3143),
Master_Mapping_Sheet!$C$2:$C$3143=D$1,
Master_Mapping_Sheet!$N$2:$N$3143=REGEXEXTRACT($A5,"".*_(.*)"")))/sum(filter(
Master_Mapping_Sheet!$E$2:$E$3143, IS"&amp;"NUMBER(
Master_Mapping_Sheet!$E$2:$E$3143),
Master_Mapping_Sheet!$C$2:$C$3143=D$1))), 0, sum(filter(
Master_Mapping_Sheet!$E$2:$E$3143, ISNUMBER(
Master_Mapping_Sheet!$E$2:$E$3143),
Master_Mapping_Sheet!$C$2:$C$3143=D$1,
Master_Mapping_Sheet!$N$2:$N$3143="&amp;"REGEXEXTRACT($A5,"".*_(.*)"")))/sum(filter(
Master_Mapping_Sheet!$E$2:$E$3143, ISNUMBER(
Master_Mapping_Sheet!$E$2:$E$3143),
Master_Mapping_Sheet!$C$2:$C$3143=D$1)))"),0.0)</f>
        <v>0</v>
      </c>
      <c r="E5" s="34">
        <f>IFERROR(__xludf.DUMMYFUNCTION("IF(ISNA(sum(filter(
Master_Mapping_Sheet!$E$2:$E$3143, ISNUMBER(
Master_Mapping_Sheet!$E$2:$E$3143),
Master_Mapping_Sheet!$C$2:$C$3143=E$1,
Master_Mapping_Sheet!$N$2:$N$3143=REGEXEXTRACT($A5,"".*_(.*)"")))/sum(filter(
Master_Mapping_Sheet!$E$2:$E$3143, IS"&amp;"NUMBER(
Master_Mapping_Sheet!$E$2:$E$3143),
Master_Mapping_Sheet!$C$2:$C$3143=E$1))), 0, sum(filter(
Master_Mapping_Sheet!$E$2:$E$3143, ISNUMBER(
Master_Mapping_Sheet!$E$2:$E$3143),
Master_Mapping_Sheet!$C$2:$C$3143=E$1,
Master_Mapping_Sheet!$N$2:$N$3143="&amp;"REGEXEXTRACT($A5,"".*_(.*)"")))/sum(filter(
Master_Mapping_Sheet!$E$2:$E$3143, ISNUMBER(
Master_Mapping_Sheet!$E$2:$E$3143),
Master_Mapping_Sheet!$C$2:$C$3143=E$1)))"),0.0)</f>
        <v>0</v>
      </c>
      <c r="F5" s="34">
        <f>IFERROR(__xludf.DUMMYFUNCTION("IF(ISNA(sum(filter(
Master_Mapping_Sheet!$E$2:$E$3143, ISNUMBER(
Master_Mapping_Sheet!$E$2:$E$3143),
Master_Mapping_Sheet!$C$2:$C$3143=F$1,
Master_Mapping_Sheet!$N$2:$N$3143=REGEXEXTRACT($A5,"".*_(.*)"")))/sum(filter(
Master_Mapping_Sheet!$E$2:$E$3143, IS"&amp;"NUMBER(
Master_Mapping_Sheet!$E$2:$E$3143),
Master_Mapping_Sheet!$C$2:$C$3143=F$1))), 0, sum(filter(
Master_Mapping_Sheet!$E$2:$E$3143, ISNUMBER(
Master_Mapping_Sheet!$E$2:$E$3143),
Master_Mapping_Sheet!$C$2:$C$3143=F$1,
Master_Mapping_Sheet!$N$2:$N$3143="&amp;"REGEXEXTRACT($A5,"".*_(.*)"")))/sum(filter(
Master_Mapping_Sheet!$E$2:$E$3143, ISNUMBER(
Master_Mapping_Sheet!$E$2:$E$3143),
Master_Mapping_Sheet!$C$2:$C$3143=F$1)))"),0.0)</f>
        <v>0</v>
      </c>
      <c r="G5" s="34">
        <f>IFERROR(__xludf.DUMMYFUNCTION("IF(ISNA(sum(filter(
Master_Mapping_Sheet!$E$2:$E$3143, ISNUMBER(
Master_Mapping_Sheet!$E$2:$E$3143),
Master_Mapping_Sheet!$C$2:$C$3143=G$1,
Master_Mapping_Sheet!$N$2:$N$3143=REGEXEXTRACT($A5,"".*_(.*)"")))/sum(filter(
Master_Mapping_Sheet!$E$2:$E$3143, IS"&amp;"NUMBER(
Master_Mapping_Sheet!$E$2:$E$3143),
Master_Mapping_Sheet!$C$2:$C$3143=G$1))), 0, sum(filter(
Master_Mapping_Sheet!$E$2:$E$3143, ISNUMBER(
Master_Mapping_Sheet!$E$2:$E$3143),
Master_Mapping_Sheet!$C$2:$C$3143=G$1,
Master_Mapping_Sheet!$N$2:$N$3143="&amp;"REGEXEXTRACT($A5,"".*_(.*)"")))/sum(filter(
Master_Mapping_Sheet!$E$2:$E$3143, ISNUMBER(
Master_Mapping_Sheet!$E$2:$E$3143),
Master_Mapping_Sheet!$C$2:$C$3143=G$1)))"),0.0)</f>
        <v>0</v>
      </c>
      <c r="H5" s="34">
        <f>IFERROR(__xludf.DUMMYFUNCTION("IF(ISNA(sum(filter(
Master_Mapping_Sheet!$E$2:$E$3143, ISNUMBER(
Master_Mapping_Sheet!$E$2:$E$3143),
Master_Mapping_Sheet!$C$2:$C$3143=H$1,
Master_Mapping_Sheet!$N$2:$N$3143=REGEXEXTRACT($A5,"".*_(.*)"")))/sum(filter(
Master_Mapping_Sheet!$E$2:$E$3143, IS"&amp;"NUMBER(
Master_Mapping_Sheet!$E$2:$E$3143),
Master_Mapping_Sheet!$C$2:$C$3143=H$1))), 0, sum(filter(
Master_Mapping_Sheet!$E$2:$E$3143, ISNUMBER(
Master_Mapping_Sheet!$E$2:$E$3143),
Master_Mapping_Sheet!$C$2:$C$3143=H$1,
Master_Mapping_Sheet!$N$2:$N$3143="&amp;"REGEXEXTRACT($A5,"".*_(.*)"")))/sum(filter(
Master_Mapping_Sheet!$E$2:$E$3143, ISNUMBER(
Master_Mapping_Sheet!$E$2:$E$3143),
Master_Mapping_Sheet!$C$2:$C$3143=H$1)))"),0.0)</f>
        <v>0</v>
      </c>
      <c r="I5" s="34">
        <f>IFERROR(__xludf.DUMMYFUNCTION("IF(ISNA(sum(filter(
Master_Mapping_Sheet!$E$2:$E$3143, ISNUMBER(
Master_Mapping_Sheet!$E$2:$E$3143),
Master_Mapping_Sheet!$C$2:$C$3143=I$1,
Master_Mapping_Sheet!$N$2:$N$3143=REGEXEXTRACT($A5,"".*_(.*)"")))/sum(filter(
Master_Mapping_Sheet!$E$2:$E$3143, IS"&amp;"NUMBER(
Master_Mapping_Sheet!$E$2:$E$3143),
Master_Mapping_Sheet!$C$2:$C$3143=I$1))), 0, sum(filter(
Master_Mapping_Sheet!$E$2:$E$3143, ISNUMBER(
Master_Mapping_Sheet!$E$2:$E$3143),
Master_Mapping_Sheet!$C$2:$C$3143=I$1,
Master_Mapping_Sheet!$N$2:$N$3143="&amp;"REGEXEXTRACT($A5,"".*_(.*)"")))/sum(filter(
Master_Mapping_Sheet!$E$2:$E$3143, ISNUMBER(
Master_Mapping_Sheet!$E$2:$E$3143),
Master_Mapping_Sheet!$C$2:$C$3143=I$1)))"),0.0)</f>
        <v>0</v>
      </c>
      <c r="J5" s="34">
        <f>IFERROR(__xludf.DUMMYFUNCTION("IF(ISNA(sum(filter(
Master_Mapping_Sheet!$E$2:$E$3143, ISNUMBER(
Master_Mapping_Sheet!$E$2:$E$3143),
Master_Mapping_Sheet!$C$2:$C$3143=J$1,
Master_Mapping_Sheet!$N$2:$N$3143=REGEXEXTRACT($A5,"".*_(.*)"")))/sum(filter(
Master_Mapping_Sheet!$E$2:$E$3143, IS"&amp;"NUMBER(
Master_Mapping_Sheet!$E$2:$E$3143),
Master_Mapping_Sheet!$C$2:$C$3143=J$1))), 0, sum(filter(
Master_Mapping_Sheet!$E$2:$E$3143, ISNUMBER(
Master_Mapping_Sheet!$E$2:$E$3143),
Master_Mapping_Sheet!$C$2:$C$3143=J$1,
Master_Mapping_Sheet!$N$2:$N$3143="&amp;"REGEXEXTRACT($A5,"".*_(.*)"")))/sum(filter(
Master_Mapping_Sheet!$E$2:$E$3143, ISNUMBER(
Master_Mapping_Sheet!$E$2:$E$3143),
Master_Mapping_Sheet!$C$2:$C$3143=J$1)))"),0.0)</f>
        <v>0</v>
      </c>
      <c r="K5" s="34">
        <f>IFERROR(__xludf.DUMMYFUNCTION("IF(ISNA(sum(filter(
Master_Mapping_Sheet!$E$2:$E$3143, ISNUMBER(
Master_Mapping_Sheet!$E$2:$E$3143),
Master_Mapping_Sheet!$C$2:$C$3143=K$1,
Master_Mapping_Sheet!$N$2:$N$3143=REGEXEXTRACT($A5,"".*_(.*)"")))/sum(filter(
Master_Mapping_Sheet!$E$2:$E$3143, IS"&amp;"NUMBER(
Master_Mapping_Sheet!$E$2:$E$3143),
Master_Mapping_Sheet!$C$2:$C$3143=K$1))), 0, sum(filter(
Master_Mapping_Sheet!$E$2:$E$3143, ISNUMBER(
Master_Mapping_Sheet!$E$2:$E$3143),
Master_Mapping_Sheet!$C$2:$C$3143=K$1,
Master_Mapping_Sheet!$N$2:$N$3143="&amp;"REGEXEXTRACT($A5,"".*_(.*)"")))/sum(filter(
Master_Mapping_Sheet!$E$2:$E$3143, ISNUMBER(
Master_Mapping_Sheet!$E$2:$E$3143),
Master_Mapping_Sheet!$C$2:$C$3143=K$1)))"),0.0)</f>
        <v>0</v>
      </c>
      <c r="L5" s="34">
        <f>IFERROR(__xludf.DUMMYFUNCTION("IF(ISNA(sum(filter(
Master_Mapping_Sheet!$E$2:$E$3143, ISNUMBER(
Master_Mapping_Sheet!$E$2:$E$3143),
Master_Mapping_Sheet!$C$2:$C$3143=L$1,
Master_Mapping_Sheet!$N$2:$N$3143=REGEXEXTRACT($A5,"".*_(.*)"")))/sum(filter(
Master_Mapping_Sheet!$E$2:$E$3143, IS"&amp;"NUMBER(
Master_Mapping_Sheet!$E$2:$E$3143),
Master_Mapping_Sheet!$C$2:$C$3143=L$1))), 0, sum(filter(
Master_Mapping_Sheet!$E$2:$E$3143, ISNUMBER(
Master_Mapping_Sheet!$E$2:$E$3143),
Master_Mapping_Sheet!$C$2:$C$3143=L$1,
Master_Mapping_Sheet!$N$2:$N$3143="&amp;"REGEXEXTRACT($A5,"".*_(.*)"")))/sum(filter(
Master_Mapping_Sheet!$E$2:$E$3143, ISNUMBER(
Master_Mapping_Sheet!$E$2:$E$3143),
Master_Mapping_Sheet!$C$2:$C$3143=L$1)))"),0.0)</f>
        <v>0</v>
      </c>
      <c r="M5" s="34">
        <f>IFERROR(__xludf.DUMMYFUNCTION("IF(ISNA(sum(filter(
Master_Mapping_Sheet!$E$2:$E$3143, ISNUMBER(
Master_Mapping_Sheet!$E$2:$E$3143),
Master_Mapping_Sheet!$C$2:$C$3143=M$1,
Master_Mapping_Sheet!$N$2:$N$3143=REGEXEXTRACT($A5,"".*_(.*)"")))/sum(filter(
Master_Mapping_Sheet!$E$2:$E$3143, IS"&amp;"NUMBER(
Master_Mapping_Sheet!$E$2:$E$3143),
Master_Mapping_Sheet!$C$2:$C$3143=M$1))), 0, sum(filter(
Master_Mapping_Sheet!$E$2:$E$3143, ISNUMBER(
Master_Mapping_Sheet!$E$2:$E$3143),
Master_Mapping_Sheet!$C$2:$C$3143=M$1,
Master_Mapping_Sheet!$N$2:$N$3143="&amp;"REGEXEXTRACT($A5,"".*_(.*)"")))/sum(filter(
Master_Mapping_Sheet!$E$2:$E$3143, ISNUMBER(
Master_Mapping_Sheet!$E$2:$E$3143),
Master_Mapping_Sheet!$C$2:$C$3143=M$1)))"),0.0)</f>
        <v>0</v>
      </c>
      <c r="N5" s="34">
        <f>IFERROR(__xludf.DUMMYFUNCTION("IF(ISNA(sum(filter(
Master_Mapping_Sheet!$E$2:$E$3143, ISNUMBER(
Master_Mapping_Sheet!$E$2:$E$3143),
Master_Mapping_Sheet!$C$2:$C$3143=N$1,
Master_Mapping_Sheet!$N$2:$N$3143=REGEXEXTRACT($A5,"".*_(.*)"")))/sum(filter(
Master_Mapping_Sheet!$E$2:$E$3143, IS"&amp;"NUMBER(
Master_Mapping_Sheet!$E$2:$E$3143),
Master_Mapping_Sheet!$C$2:$C$3143=N$1))), 0, sum(filter(
Master_Mapping_Sheet!$E$2:$E$3143, ISNUMBER(
Master_Mapping_Sheet!$E$2:$E$3143),
Master_Mapping_Sheet!$C$2:$C$3143=N$1,
Master_Mapping_Sheet!$N$2:$N$3143="&amp;"REGEXEXTRACT($A5,"".*_(.*)"")))/sum(filter(
Master_Mapping_Sheet!$E$2:$E$3143, ISNUMBER(
Master_Mapping_Sheet!$E$2:$E$3143),
Master_Mapping_Sheet!$C$2:$C$3143=N$1)))"),0.0)</f>
        <v>0</v>
      </c>
      <c r="O5" s="34">
        <f>IFERROR(__xludf.DUMMYFUNCTION("IF(ISNA(sum(filter(
Master_Mapping_Sheet!$E$2:$E$3143, ISNUMBER(
Master_Mapping_Sheet!$E$2:$E$3143),
Master_Mapping_Sheet!$C$2:$C$3143=O$1,
Master_Mapping_Sheet!$N$2:$N$3143=REGEXEXTRACT($A5,"".*_(.*)"")))/sum(filter(
Master_Mapping_Sheet!$E$2:$E$3143, IS"&amp;"NUMBER(
Master_Mapping_Sheet!$E$2:$E$3143),
Master_Mapping_Sheet!$C$2:$C$3143=O$1))), 0, sum(filter(
Master_Mapping_Sheet!$E$2:$E$3143, ISNUMBER(
Master_Mapping_Sheet!$E$2:$E$3143),
Master_Mapping_Sheet!$C$2:$C$3143=O$1,
Master_Mapping_Sheet!$N$2:$N$3143="&amp;"REGEXEXTRACT($A5,"".*_(.*)"")))/sum(filter(
Master_Mapping_Sheet!$E$2:$E$3143, ISNUMBER(
Master_Mapping_Sheet!$E$2:$E$3143),
Master_Mapping_Sheet!$C$2:$C$3143=O$1)))"),0.0)</f>
        <v>0</v>
      </c>
      <c r="P5" s="34">
        <f>IFERROR(__xludf.DUMMYFUNCTION("IF(ISNA(sum(filter(
Master_Mapping_Sheet!$E$2:$E$3143, ISNUMBER(
Master_Mapping_Sheet!$E$2:$E$3143),
Master_Mapping_Sheet!$C$2:$C$3143=P$1,
Master_Mapping_Sheet!$N$2:$N$3143=REGEXEXTRACT($A5,"".*_(.*)"")))/sum(filter(
Master_Mapping_Sheet!$E$2:$E$3143, IS"&amp;"NUMBER(
Master_Mapping_Sheet!$E$2:$E$3143),
Master_Mapping_Sheet!$C$2:$C$3143=P$1))), 0, sum(filter(
Master_Mapping_Sheet!$E$2:$E$3143, ISNUMBER(
Master_Mapping_Sheet!$E$2:$E$3143),
Master_Mapping_Sheet!$C$2:$C$3143=P$1,
Master_Mapping_Sheet!$N$2:$N$3143="&amp;"REGEXEXTRACT($A5,"".*_(.*)"")))/sum(filter(
Master_Mapping_Sheet!$E$2:$E$3143, ISNUMBER(
Master_Mapping_Sheet!$E$2:$E$3143),
Master_Mapping_Sheet!$C$2:$C$3143=P$1)))"),0.0)</f>
        <v>0</v>
      </c>
      <c r="Q5" s="34">
        <f>IFERROR(__xludf.DUMMYFUNCTION("IF(ISNA(sum(filter(
Master_Mapping_Sheet!$E$2:$E$3143, ISNUMBER(
Master_Mapping_Sheet!$E$2:$E$3143),
Master_Mapping_Sheet!$C$2:$C$3143=Q$1,
Master_Mapping_Sheet!$N$2:$N$3143=REGEXEXTRACT($A5,"".*_(.*)"")))/sum(filter(
Master_Mapping_Sheet!$E$2:$E$3143, IS"&amp;"NUMBER(
Master_Mapping_Sheet!$E$2:$E$3143),
Master_Mapping_Sheet!$C$2:$C$3143=Q$1))), 0, sum(filter(
Master_Mapping_Sheet!$E$2:$E$3143, ISNUMBER(
Master_Mapping_Sheet!$E$2:$E$3143),
Master_Mapping_Sheet!$C$2:$C$3143=Q$1,
Master_Mapping_Sheet!$N$2:$N$3143="&amp;"REGEXEXTRACT($A5,"".*_(.*)"")))/sum(filter(
Master_Mapping_Sheet!$E$2:$E$3143, ISNUMBER(
Master_Mapping_Sheet!$E$2:$E$3143),
Master_Mapping_Sheet!$C$2:$C$3143=Q$1)))"),0.0)</f>
        <v>0</v>
      </c>
      <c r="R5" s="34">
        <f>IFERROR(__xludf.DUMMYFUNCTION("IF(ISNA(sum(filter(
Master_Mapping_Sheet!$E$2:$E$3143, ISNUMBER(
Master_Mapping_Sheet!$E$2:$E$3143),
Master_Mapping_Sheet!$C$2:$C$3143=R$1,
Master_Mapping_Sheet!$N$2:$N$3143=REGEXEXTRACT($A5,"".*_(.*)"")))/sum(filter(
Master_Mapping_Sheet!$E$2:$E$3143, IS"&amp;"NUMBER(
Master_Mapping_Sheet!$E$2:$E$3143),
Master_Mapping_Sheet!$C$2:$C$3143=R$1))), 0, sum(filter(
Master_Mapping_Sheet!$E$2:$E$3143, ISNUMBER(
Master_Mapping_Sheet!$E$2:$E$3143),
Master_Mapping_Sheet!$C$2:$C$3143=R$1,
Master_Mapping_Sheet!$N$2:$N$3143="&amp;"REGEXEXTRACT($A5,"".*_(.*)"")))/sum(filter(
Master_Mapping_Sheet!$E$2:$E$3143, ISNUMBER(
Master_Mapping_Sheet!$E$2:$E$3143),
Master_Mapping_Sheet!$C$2:$C$3143=R$1)))"),0.0)</f>
        <v>0</v>
      </c>
      <c r="S5" s="34">
        <f>IFERROR(__xludf.DUMMYFUNCTION("IF(ISNA(sum(filter(
Master_Mapping_Sheet!$E$2:$E$3143, ISNUMBER(
Master_Mapping_Sheet!$E$2:$E$3143),
Master_Mapping_Sheet!$C$2:$C$3143=S$1,
Master_Mapping_Sheet!$N$2:$N$3143=REGEXEXTRACT($A5,"".*_(.*)"")))/sum(filter(
Master_Mapping_Sheet!$E$2:$E$3143, IS"&amp;"NUMBER(
Master_Mapping_Sheet!$E$2:$E$3143),
Master_Mapping_Sheet!$C$2:$C$3143=S$1))), 0, sum(filter(
Master_Mapping_Sheet!$E$2:$E$3143, ISNUMBER(
Master_Mapping_Sheet!$E$2:$E$3143),
Master_Mapping_Sheet!$C$2:$C$3143=S$1,
Master_Mapping_Sheet!$N$2:$N$3143="&amp;"REGEXEXTRACT($A5,"".*_(.*)"")))/sum(filter(
Master_Mapping_Sheet!$E$2:$E$3143, ISNUMBER(
Master_Mapping_Sheet!$E$2:$E$3143),
Master_Mapping_Sheet!$C$2:$C$3143=S$1)))"),0.0)</f>
        <v>0</v>
      </c>
      <c r="T5" s="34">
        <f>IFERROR(__xludf.DUMMYFUNCTION("IF(ISNA(sum(filter(
Master_Mapping_Sheet!$E$2:$E$3143, ISNUMBER(
Master_Mapping_Sheet!$E$2:$E$3143),
Master_Mapping_Sheet!$C$2:$C$3143=T$1,
Master_Mapping_Sheet!$N$2:$N$3143=REGEXEXTRACT($A5,"".*_(.*)"")))/sum(filter(
Master_Mapping_Sheet!$E$2:$E$3143, IS"&amp;"NUMBER(
Master_Mapping_Sheet!$E$2:$E$3143),
Master_Mapping_Sheet!$C$2:$C$3143=T$1))), 0, sum(filter(
Master_Mapping_Sheet!$E$2:$E$3143, ISNUMBER(
Master_Mapping_Sheet!$E$2:$E$3143),
Master_Mapping_Sheet!$C$2:$C$3143=T$1,
Master_Mapping_Sheet!$N$2:$N$3143="&amp;"REGEXEXTRACT($A5,"".*_(.*)"")))/sum(filter(
Master_Mapping_Sheet!$E$2:$E$3143, ISNUMBER(
Master_Mapping_Sheet!$E$2:$E$3143),
Master_Mapping_Sheet!$C$2:$C$3143=T$1)))"),0.0)</f>
        <v>0</v>
      </c>
      <c r="U5" s="34">
        <f>IFERROR(__xludf.DUMMYFUNCTION("IF(ISNA(sum(filter(
Master_Mapping_Sheet!$E$2:$E$3143, ISNUMBER(
Master_Mapping_Sheet!$E$2:$E$3143),
Master_Mapping_Sheet!$C$2:$C$3143=U$1,
Master_Mapping_Sheet!$N$2:$N$3143=REGEXEXTRACT($A5,"".*_(.*)"")))/sum(filter(
Master_Mapping_Sheet!$E$2:$E$3143, IS"&amp;"NUMBER(
Master_Mapping_Sheet!$E$2:$E$3143),
Master_Mapping_Sheet!$C$2:$C$3143=U$1))), 0, sum(filter(
Master_Mapping_Sheet!$E$2:$E$3143, ISNUMBER(
Master_Mapping_Sheet!$E$2:$E$3143),
Master_Mapping_Sheet!$C$2:$C$3143=U$1,
Master_Mapping_Sheet!$N$2:$N$3143="&amp;"REGEXEXTRACT($A5,"".*_(.*)"")))/sum(filter(
Master_Mapping_Sheet!$E$2:$E$3143, ISNUMBER(
Master_Mapping_Sheet!$E$2:$E$3143),
Master_Mapping_Sheet!$C$2:$C$3143=U$1)))"),0.0)</f>
        <v>0</v>
      </c>
      <c r="V5" s="34">
        <f>IFERROR(__xludf.DUMMYFUNCTION("IF(ISNA(sum(filter(
Master_Mapping_Sheet!$E$2:$E$3143, ISNUMBER(
Master_Mapping_Sheet!$E$2:$E$3143),
Master_Mapping_Sheet!$C$2:$C$3143=V$1,
Master_Mapping_Sheet!$N$2:$N$3143=REGEXEXTRACT($A5,"".*_(.*)"")))/sum(filter(
Master_Mapping_Sheet!$E$2:$E$3143, IS"&amp;"NUMBER(
Master_Mapping_Sheet!$E$2:$E$3143),
Master_Mapping_Sheet!$C$2:$C$3143=V$1))), 0, sum(filter(
Master_Mapping_Sheet!$E$2:$E$3143, ISNUMBER(
Master_Mapping_Sheet!$E$2:$E$3143),
Master_Mapping_Sheet!$C$2:$C$3143=V$1,
Master_Mapping_Sheet!$N$2:$N$3143="&amp;"REGEXEXTRACT($A5,"".*_(.*)"")))/sum(filter(
Master_Mapping_Sheet!$E$2:$E$3143, ISNUMBER(
Master_Mapping_Sheet!$E$2:$E$3143),
Master_Mapping_Sheet!$C$2:$C$3143=V$1)))"),0.0)</f>
        <v>0</v>
      </c>
      <c r="W5" s="34">
        <f>IFERROR(__xludf.DUMMYFUNCTION("IF(ISNA(sum(filter(
Master_Mapping_Sheet!$E$2:$E$3143, ISNUMBER(
Master_Mapping_Sheet!$E$2:$E$3143),
Master_Mapping_Sheet!$C$2:$C$3143=W$1,
Master_Mapping_Sheet!$N$2:$N$3143=REGEXEXTRACT($A5,"".*_(.*)"")))/sum(filter(
Master_Mapping_Sheet!$E$2:$E$3143, IS"&amp;"NUMBER(
Master_Mapping_Sheet!$E$2:$E$3143),
Master_Mapping_Sheet!$C$2:$C$3143=W$1))), 0, sum(filter(
Master_Mapping_Sheet!$E$2:$E$3143, ISNUMBER(
Master_Mapping_Sheet!$E$2:$E$3143),
Master_Mapping_Sheet!$C$2:$C$3143=W$1,
Master_Mapping_Sheet!$N$2:$N$3143="&amp;"REGEXEXTRACT($A5,"".*_(.*)"")))/sum(filter(
Master_Mapping_Sheet!$E$2:$E$3143, ISNUMBER(
Master_Mapping_Sheet!$E$2:$E$3143),
Master_Mapping_Sheet!$C$2:$C$3143=W$1)))"),0.0)</f>
        <v>0</v>
      </c>
      <c r="X5" s="34">
        <f>IFERROR(__xludf.DUMMYFUNCTION("IF(ISNA(sum(filter(
Master_Mapping_Sheet!$E$2:$E$3143, ISNUMBER(
Master_Mapping_Sheet!$E$2:$E$3143),
Master_Mapping_Sheet!$C$2:$C$3143=X$1,
Master_Mapping_Sheet!$N$2:$N$3143=REGEXEXTRACT($A5,"".*_(.*)"")))/sum(filter(
Master_Mapping_Sheet!$E$2:$E$3143, IS"&amp;"NUMBER(
Master_Mapping_Sheet!$E$2:$E$3143),
Master_Mapping_Sheet!$C$2:$C$3143=X$1))), 0, sum(filter(
Master_Mapping_Sheet!$E$2:$E$3143, ISNUMBER(
Master_Mapping_Sheet!$E$2:$E$3143),
Master_Mapping_Sheet!$C$2:$C$3143=X$1,
Master_Mapping_Sheet!$N$2:$N$3143="&amp;"REGEXEXTRACT($A5,"".*_(.*)"")))/sum(filter(
Master_Mapping_Sheet!$E$2:$E$3143, ISNUMBER(
Master_Mapping_Sheet!$E$2:$E$3143),
Master_Mapping_Sheet!$C$2:$C$3143=X$1)))"),0.0)</f>
        <v>0</v>
      </c>
      <c r="Y5" s="34">
        <f>IFERROR(__xludf.DUMMYFUNCTION("IF(ISNA(sum(filter(
Master_Mapping_Sheet!$E$2:$E$3143, ISNUMBER(
Master_Mapping_Sheet!$E$2:$E$3143),
Master_Mapping_Sheet!$C$2:$C$3143=Y$1,
Master_Mapping_Sheet!$N$2:$N$3143=REGEXEXTRACT($A5,"".*_(.*)"")))/sum(filter(
Master_Mapping_Sheet!$E$2:$E$3143, IS"&amp;"NUMBER(
Master_Mapping_Sheet!$E$2:$E$3143),
Master_Mapping_Sheet!$C$2:$C$3143=Y$1))), 0, sum(filter(
Master_Mapping_Sheet!$E$2:$E$3143, ISNUMBER(
Master_Mapping_Sheet!$E$2:$E$3143),
Master_Mapping_Sheet!$C$2:$C$3143=Y$1,
Master_Mapping_Sheet!$N$2:$N$3143="&amp;"REGEXEXTRACT($A5,"".*_(.*)"")))/sum(filter(
Master_Mapping_Sheet!$E$2:$E$3143, ISNUMBER(
Master_Mapping_Sheet!$E$2:$E$3143),
Master_Mapping_Sheet!$C$2:$C$3143=Y$1)))"),0.0)</f>
        <v>0</v>
      </c>
      <c r="Z5" s="34">
        <f>IFERROR(__xludf.DUMMYFUNCTION("IF(ISNA(sum(filter(
Master_Mapping_Sheet!$E$2:$E$3143, ISNUMBER(
Master_Mapping_Sheet!$E$2:$E$3143),
Master_Mapping_Sheet!$C$2:$C$3143=Z$1,
Master_Mapping_Sheet!$N$2:$N$3143=REGEXEXTRACT($A5,"".*_(.*)"")))/sum(filter(
Master_Mapping_Sheet!$E$2:$E$3143, IS"&amp;"NUMBER(
Master_Mapping_Sheet!$E$2:$E$3143),
Master_Mapping_Sheet!$C$2:$C$3143=Z$1))), 0, sum(filter(
Master_Mapping_Sheet!$E$2:$E$3143, ISNUMBER(
Master_Mapping_Sheet!$E$2:$E$3143),
Master_Mapping_Sheet!$C$2:$C$3143=Z$1,
Master_Mapping_Sheet!$N$2:$N$3143="&amp;"REGEXEXTRACT($A5,"".*_(.*)"")))/sum(filter(
Master_Mapping_Sheet!$E$2:$E$3143, ISNUMBER(
Master_Mapping_Sheet!$E$2:$E$3143),
Master_Mapping_Sheet!$C$2:$C$3143=Z$1)))"),0.0)</f>
        <v>0</v>
      </c>
      <c r="AA5" s="34">
        <f>IFERROR(__xludf.DUMMYFUNCTION("IF(ISNA(sum(filter(
Master_Mapping_Sheet!$E$2:$E$3143, ISNUMBER(
Master_Mapping_Sheet!$E$2:$E$3143),
Master_Mapping_Sheet!$C$2:$C$3143=AA$1,
Master_Mapping_Sheet!$N$2:$N$3143=REGEXEXTRACT($A5,"".*_(.*)"")))/sum(filter(
Master_Mapping_Sheet!$E$2:$E$3143, I"&amp;"SNUMBER(
Master_Mapping_Sheet!$E$2:$E$3143),
Master_Mapping_Sheet!$C$2:$C$3143=AA$1))), 0, sum(filter(
Master_Mapping_Sheet!$E$2:$E$3143, ISNUMBER(
Master_Mapping_Sheet!$E$2:$E$3143),
Master_Mapping_Sheet!$C$2:$C$3143=AA$1,
Master_Mapping_Sheet!$N$2:$N$31"&amp;"43=REGEXEXTRACT($A5,"".*_(.*)"")))/sum(filter(
Master_Mapping_Sheet!$E$2:$E$3143, ISNUMBER(
Master_Mapping_Sheet!$E$2:$E$3143),
Master_Mapping_Sheet!$C$2:$C$3143=AA$1)))"),0.0)</f>
        <v>0</v>
      </c>
      <c r="AB5" s="34">
        <f>IFERROR(__xludf.DUMMYFUNCTION("IF(ISNA(sum(filter(
Master_Mapping_Sheet!$E$2:$E$3143, ISNUMBER(
Master_Mapping_Sheet!$E$2:$E$3143),
Master_Mapping_Sheet!$C$2:$C$3143=AB$1,
Master_Mapping_Sheet!$N$2:$N$3143=REGEXEXTRACT($A5,"".*_(.*)"")))/sum(filter(
Master_Mapping_Sheet!$E$2:$E$3143, I"&amp;"SNUMBER(
Master_Mapping_Sheet!$E$2:$E$3143),
Master_Mapping_Sheet!$C$2:$C$3143=AB$1))), 0, sum(filter(
Master_Mapping_Sheet!$E$2:$E$3143, ISNUMBER(
Master_Mapping_Sheet!$E$2:$E$3143),
Master_Mapping_Sheet!$C$2:$C$3143=AB$1,
Master_Mapping_Sheet!$N$2:$N$31"&amp;"43=REGEXEXTRACT($A5,"".*_(.*)"")))/sum(filter(
Master_Mapping_Sheet!$E$2:$E$3143, ISNUMBER(
Master_Mapping_Sheet!$E$2:$E$3143),
Master_Mapping_Sheet!$C$2:$C$3143=AB$1)))"),0.0)</f>
        <v>0</v>
      </c>
      <c r="AC5" s="34">
        <f>IFERROR(__xludf.DUMMYFUNCTION("IF(ISNA(sum(filter(
Master_Mapping_Sheet!$E$2:$E$3143, ISNUMBER(
Master_Mapping_Sheet!$E$2:$E$3143),
Master_Mapping_Sheet!$C$2:$C$3143=AC$1,
Master_Mapping_Sheet!$N$2:$N$3143=REGEXEXTRACT($A5,"".*_(.*)"")))/sum(filter(
Master_Mapping_Sheet!$E$2:$E$3143, I"&amp;"SNUMBER(
Master_Mapping_Sheet!$E$2:$E$3143),
Master_Mapping_Sheet!$C$2:$C$3143=AC$1))), 0, sum(filter(
Master_Mapping_Sheet!$E$2:$E$3143, ISNUMBER(
Master_Mapping_Sheet!$E$2:$E$3143),
Master_Mapping_Sheet!$C$2:$C$3143=AC$1,
Master_Mapping_Sheet!$N$2:$N$31"&amp;"43=REGEXEXTRACT($A5,"".*_(.*)"")))/sum(filter(
Master_Mapping_Sheet!$E$2:$E$3143, ISNUMBER(
Master_Mapping_Sheet!$E$2:$E$3143),
Master_Mapping_Sheet!$C$2:$C$3143=AC$1)))"),0.0)</f>
        <v>0</v>
      </c>
      <c r="AD5" s="34">
        <f>IFERROR(__xludf.DUMMYFUNCTION("IF(ISNA(sum(filter(
Master_Mapping_Sheet!$E$2:$E$3143, ISNUMBER(
Master_Mapping_Sheet!$E$2:$E$3143),
Master_Mapping_Sheet!$C$2:$C$3143=AD$1,
Master_Mapping_Sheet!$N$2:$N$3143=REGEXEXTRACT($A5,"".*_(.*)"")))/sum(filter(
Master_Mapping_Sheet!$E$2:$E$3143, I"&amp;"SNUMBER(
Master_Mapping_Sheet!$E$2:$E$3143),
Master_Mapping_Sheet!$C$2:$C$3143=AD$1))), 0, sum(filter(
Master_Mapping_Sheet!$E$2:$E$3143, ISNUMBER(
Master_Mapping_Sheet!$E$2:$E$3143),
Master_Mapping_Sheet!$C$2:$C$3143=AD$1,
Master_Mapping_Sheet!$N$2:$N$31"&amp;"43=REGEXEXTRACT($A5,"".*_(.*)"")))/sum(filter(
Master_Mapping_Sheet!$E$2:$E$3143, ISNUMBER(
Master_Mapping_Sheet!$E$2:$E$3143),
Master_Mapping_Sheet!$C$2:$C$3143=AD$1)))"),0.0)</f>
        <v>0</v>
      </c>
      <c r="AE5" s="34">
        <f>IFERROR(__xludf.DUMMYFUNCTION("IF(ISNA(sum(filter(
Master_Mapping_Sheet!$E$2:$E$3143, ISNUMBER(
Master_Mapping_Sheet!$E$2:$E$3143),
Master_Mapping_Sheet!$C$2:$C$3143=AE$1,
Master_Mapping_Sheet!$N$2:$N$3143=REGEXEXTRACT($A5,"".*_(.*)"")))/sum(filter(
Master_Mapping_Sheet!$E$2:$E$3143, I"&amp;"SNUMBER(
Master_Mapping_Sheet!$E$2:$E$3143),
Master_Mapping_Sheet!$C$2:$C$3143=AE$1))), 0, sum(filter(
Master_Mapping_Sheet!$E$2:$E$3143, ISNUMBER(
Master_Mapping_Sheet!$E$2:$E$3143),
Master_Mapping_Sheet!$C$2:$C$3143=AE$1,
Master_Mapping_Sheet!$N$2:$N$31"&amp;"43=REGEXEXTRACT($A5,"".*_(.*)"")))/sum(filter(
Master_Mapping_Sheet!$E$2:$E$3143, ISNUMBER(
Master_Mapping_Sheet!$E$2:$E$3143),
Master_Mapping_Sheet!$C$2:$C$3143=AE$1)))"),0.0)</f>
        <v>0</v>
      </c>
      <c r="AF5" s="34">
        <f>IFERROR(__xludf.DUMMYFUNCTION("IF(ISNA(sum(filter(
Master_Mapping_Sheet!$E$2:$E$3143, ISNUMBER(
Master_Mapping_Sheet!$E$2:$E$3143),
Master_Mapping_Sheet!$C$2:$C$3143=AF$1,
Master_Mapping_Sheet!$N$2:$N$3143=REGEXEXTRACT($A5,"".*_(.*)"")))/sum(filter(
Master_Mapping_Sheet!$E$2:$E$3143, I"&amp;"SNUMBER(
Master_Mapping_Sheet!$E$2:$E$3143),
Master_Mapping_Sheet!$C$2:$C$3143=AF$1))), 0, sum(filter(
Master_Mapping_Sheet!$E$2:$E$3143, ISNUMBER(
Master_Mapping_Sheet!$E$2:$E$3143),
Master_Mapping_Sheet!$C$2:$C$3143=AF$1,
Master_Mapping_Sheet!$N$2:$N$31"&amp;"43=REGEXEXTRACT($A5,"".*_(.*)"")))/sum(filter(
Master_Mapping_Sheet!$E$2:$E$3143, ISNUMBER(
Master_Mapping_Sheet!$E$2:$E$3143),
Master_Mapping_Sheet!$C$2:$C$3143=AF$1)))"),0.0)</f>
        <v>0</v>
      </c>
      <c r="AG5" s="34">
        <f>IFERROR(__xludf.DUMMYFUNCTION("IF(ISNA(sum(filter(
Master_Mapping_Sheet!$E$2:$E$3143, ISNUMBER(
Master_Mapping_Sheet!$E$2:$E$3143),
Master_Mapping_Sheet!$C$2:$C$3143=AG$1,
Master_Mapping_Sheet!$N$2:$N$3143=REGEXEXTRACT($A5,"".*_(.*)"")))/sum(filter(
Master_Mapping_Sheet!$E$2:$E$3143, I"&amp;"SNUMBER(
Master_Mapping_Sheet!$E$2:$E$3143),
Master_Mapping_Sheet!$C$2:$C$3143=AG$1))), 0, sum(filter(
Master_Mapping_Sheet!$E$2:$E$3143, ISNUMBER(
Master_Mapping_Sheet!$E$2:$E$3143),
Master_Mapping_Sheet!$C$2:$C$3143=AG$1,
Master_Mapping_Sheet!$N$2:$N$31"&amp;"43=REGEXEXTRACT($A5,"".*_(.*)"")))/sum(filter(
Master_Mapping_Sheet!$E$2:$E$3143, ISNUMBER(
Master_Mapping_Sheet!$E$2:$E$3143),
Master_Mapping_Sheet!$C$2:$C$3143=AG$1)))"),0.0)</f>
        <v>0</v>
      </c>
      <c r="AH5" s="34">
        <f>IFERROR(__xludf.DUMMYFUNCTION("IF(ISNA(sum(filter(
Master_Mapping_Sheet!$E$2:$E$3143, ISNUMBER(
Master_Mapping_Sheet!$E$2:$E$3143),
Master_Mapping_Sheet!$C$2:$C$3143=AH$1,
Master_Mapping_Sheet!$N$2:$N$3143=REGEXEXTRACT($A5,"".*_(.*)"")))/sum(filter(
Master_Mapping_Sheet!$E$2:$E$3143, I"&amp;"SNUMBER(
Master_Mapping_Sheet!$E$2:$E$3143),
Master_Mapping_Sheet!$C$2:$C$3143=AH$1))), 0, sum(filter(
Master_Mapping_Sheet!$E$2:$E$3143, ISNUMBER(
Master_Mapping_Sheet!$E$2:$E$3143),
Master_Mapping_Sheet!$C$2:$C$3143=AH$1,
Master_Mapping_Sheet!$N$2:$N$31"&amp;"43=REGEXEXTRACT($A5,"".*_(.*)"")))/sum(filter(
Master_Mapping_Sheet!$E$2:$E$3143, ISNUMBER(
Master_Mapping_Sheet!$E$2:$E$3143),
Master_Mapping_Sheet!$C$2:$C$3143=AH$1)))"),0.0)</f>
        <v>0</v>
      </c>
      <c r="AI5" s="34">
        <f>IFERROR(__xludf.DUMMYFUNCTION("IF(ISNA(sum(filter(
Master_Mapping_Sheet!$E$2:$E$3143, ISNUMBER(
Master_Mapping_Sheet!$E$2:$E$3143),
Master_Mapping_Sheet!$C$2:$C$3143=AI$1,
Master_Mapping_Sheet!$N$2:$N$3143=REGEXEXTRACT($A5,"".*_(.*)"")))/sum(filter(
Master_Mapping_Sheet!$E$2:$E$3143, I"&amp;"SNUMBER(
Master_Mapping_Sheet!$E$2:$E$3143),
Master_Mapping_Sheet!$C$2:$C$3143=AI$1))), 0, sum(filter(
Master_Mapping_Sheet!$E$2:$E$3143, ISNUMBER(
Master_Mapping_Sheet!$E$2:$E$3143),
Master_Mapping_Sheet!$C$2:$C$3143=AI$1,
Master_Mapping_Sheet!$N$2:$N$31"&amp;"43=REGEXEXTRACT($A5,"".*_(.*)"")))/sum(filter(
Master_Mapping_Sheet!$E$2:$E$3143, ISNUMBER(
Master_Mapping_Sheet!$E$2:$E$3143),
Master_Mapping_Sheet!$C$2:$C$3143=AI$1)))"),0.0)</f>
        <v>0</v>
      </c>
      <c r="AJ5" s="34">
        <f>IFERROR(__xludf.DUMMYFUNCTION("IF(ISNA(sum(filter(
Master_Mapping_Sheet!$E$2:$E$3143, ISNUMBER(
Master_Mapping_Sheet!$E$2:$E$3143),
Master_Mapping_Sheet!$C$2:$C$3143=AJ$1,
Master_Mapping_Sheet!$N$2:$N$3143=REGEXEXTRACT($A5,"".*_(.*)"")))/sum(filter(
Master_Mapping_Sheet!$E$2:$E$3143, I"&amp;"SNUMBER(
Master_Mapping_Sheet!$E$2:$E$3143),
Master_Mapping_Sheet!$C$2:$C$3143=AJ$1))), 0, sum(filter(
Master_Mapping_Sheet!$E$2:$E$3143, ISNUMBER(
Master_Mapping_Sheet!$E$2:$E$3143),
Master_Mapping_Sheet!$C$2:$C$3143=AJ$1,
Master_Mapping_Sheet!$N$2:$N$31"&amp;"43=REGEXEXTRACT($A5,"".*_(.*)"")))/sum(filter(
Master_Mapping_Sheet!$E$2:$E$3143, ISNUMBER(
Master_Mapping_Sheet!$E$2:$E$3143),
Master_Mapping_Sheet!$C$2:$C$3143=AJ$1)))"),0.0)</f>
        <v>0</v>
      </c>
      <c r="AK5" s="34">
        <f>IFERROR(__xludf.DUMMYFUNCTION("IF(ISNA(sum(filter(
Master_Mapping_Sheet!$E$2:$E$3143, ISNUMBER(
Master_Mapping_Sheet!$E$2:$E$3143),
Master_Mapping_Sheet!$C$2:$C$3143=AK$1,
Master_Mapping_Sheet!$N$2:$N$3143=REGEXEXTRACT($A5,"".*_(.*)"")))/sum(filter(
Master_Mapping_Sheet!$E$2:$E$3143, I"&amp;"SNUMBER(
Master_Mapping_Sheet!$E$2:$E$3143),
Master_Mapping_Sheet!$C$2:$C$3143=AK$1))), 0, sum(filter(
Master_Mapping_Sheet!$E$2:$E$3143, ISNUMBER(
Master_Mapping_Sheet!$E$2:$E$3143),
Master_Mapping_Sheet!$C$2:$C$3143=AK$1,
Master_Mapping_Sheet!$N$2:$N$31"&amp;"43=REGEXEXTRACT($A5,"".*_(.*)"")))/sum(filter(
Master_Mapping_Sheet!$E$2:$E$3143, ISNUMBER(
Master_Mapping_Sheet!$E$2:$E$3143),
Master_Mapping_Sheet!$C$2:$C$3143=AK$1)))"),0.0)</f>
        <v>0</v>
      </c>
      <c r="AL5" s="34">
        <f>IFERROR(__xludf.DUMMYFUNCTION("IF(ISNA(sum(filter(
Master_Mapping_Sheet!$E$2:$E$3143, ISNUMBER(
Master_Mapping_Sheet!$E$2:$E$3143),
Master_Mapping_Sheet!$C$2:$C$3143=AL$1,
Master_Mapping_Sheet!$N$2:$N$3143=REGEXEXTRACT($A5,"".*_(.*)"")))/sum(filter(
Master_Mapping_Sheet!$E$2:$E$3143, I"&amp;"SNUMBER(
Master_Mapping_Sheet!$E$2:$E$3143),
Master_Mapping_Sheet!$C$2:$C$3143=AL$1))), 0, sum(filter(
Master_Mapping_Sheet!$E$2:$E$3143, ISNUMBER(
Master_Mapping_Sheet!$E$2:$E$3143),
Master_Mapping_Sheet!$C$2:$C$3143=AL$1,
Master_Mapping_Sheet!$N$2:$N$31"&amp;"43=REGEXEXTRACT($A5,"".*_(.*)"")))/sum(filter(
Master_Mapping_Sheet!$E$2:$E$3143, ISNUMBER(
Master_Mapping_Sheet!$E$2:$E$3143),
Master_Mapping_Sheet!$C$2:$C$3143=AL$1)))"),0.0)</f>
        <v>0</v>
      </c>
      <c r="AM5" s="34">
        <f>IFERROR(__xludf.DUMMYFUNCTION("IF(ISNA(sum(filter(
Master_Mapping_Sheet!$E$2:$E$3143, ISNUMBER(
Master_Mapping_Sheet!$E$2:$E$3143),
Master_Mapping_Sheet!$C$2:$C$3143=AM$1,
Master_Mapping_Sheet!$N$2:$N$3143=REGEXEXTRACT($A5,"".*_(.*)"")))/sum(filter(
Master_Mapping_Sheet!$E$2:$E$3143, I"&amp;"SNUMBER(
Master_Mapping_Sheet!$E$2:$E$3143),
Master_Mapping_Sheet!$C$2:$C$3143=AM$1))), 0, sum(filter(
Master_Mapping_Sheet!$E$2:$E$3143, ISNUMBER(
Master_Mapping_Sheet!$E$2:$E$3143),
Master_Mapping_Sheet!$C$2:$C$3143=AM$1,
Master_Mapping_Sheet!$N$2:$N$31"&amp;"43=REGEXEXTRACT($A5,"".*_(.*)"")))/sum(filter(
Master_Mapping_Sheet!$E$2:$E$3143, ISNUMBER(
Master_Mapping_Sheet!$E$2:$E$3143),
Master_Mapping_Sheet!$C$2:$C$3143=AM$1)))"),0.0)</f>
        <v>0</v>
      </c>
      <c r="AN5" s="34">
        <f>IFERROR(__xludf.DUMMYFUNCTION("IF(ISNA(sum(filter(
Master_Mapping_Sheet!$E$2:$E$3143, ISNUMBER(
Master_Mapping_Sheet!$E$2:$E$3143),
Master_Mapping_Sheet!$C$2:$C$3143=AN$1,
Master_Mapping_Sheet!$N$2:$N$3143=REGEXEXTRACT($A5,"".*_(.*)"")))/sum(filter(
Master_Mapping_Sheet!$E$2:$E$3143, I"&amp;"SNUMBER(
Master_Mapping_Sheet!$E$2:$E$3143),
Master_Mapping_Sheet!$C$2:$C$3143=AN$1))), 0, sum(filter(
Master_Mapping_Sheet!$E$2:$E$3143, ISNUMBER(
Master_Mapping_Sheet!$E$2:$E$3143),
Master_Mapping_Sheet!$C$2:$C$3143=AN$1,
Master_Mapping_Sheet!$N$2:$N$31"&amp;"43=REGEXEXTRACT($A5,"".*_(.*)"")))/sum(filter(
Master_Mapping_Sheet!$E$2:$E$3143, ISNUMBER(
Master_Mapping_Sheet!$E$2:$E$3143),
Master_Mapping_Sheet!$C$2:$C$3143=AN$1)))"),0.0)</f>
        <v>0</v>
      </c>
      <c r="AO5" s="34">
        <f>IFERROR(__xludf.DUMMYFUNCTION("IF(ISNA(sum(filter(
Master_Mapping_Sheet!$E$2:$E$3143, ISNUMBER(
Master_Mapping_Sheet!$E$2:$E$3143),
Master_Mapping_Sheet!$C$2:$C$3143=AO$1,
Master_Mapping_Sheet!$N$2:$N$3143=REGEXEXTRACT($A5,"".*_(.*)"")))/sum(filter(
Master_Mapping_Sheet!$E$2:$E$3143, I"&amp;"SNUMBER(
Master_Mapping_Sheet!$E$2:$E$3143),
Master_Mapping_Sheet!$C$2:$C$3143=AO$1))), 0, sum(filter(
Master_Mapping_Sheet!$E$2:$E$3143, ISNUMBER(
Master_Mapping_Sheet!$E$2:$E$3143),
Master_Mapping_Sheet!$C$2:$C$3143=AO$1,
Master_Mapping_Sheet!$N$2:$N$31"&amp;"43=REGEXEXTRACT($A5,"".*_(.*)"")))/sum(filter(
Master_Mapping_Sheet!$E$2:$E$3143, ISNUMBER(
Master_Mapping_Sheet!$E$2:$E$3143),
Master_Mapping_Sheet!$C$2:$C$3143=AO$1)))"),0.0)</f>
        <v>0</v>
      </c>
      <c r="AP5" s="34">
        <f>IFERROR(__xludf.DUMMYFUNCTION("IF(ISNA(sum(filter(
Master_Mapping_Sheet!$E$2:$E$3143, ISNUMBER(
Master_Mapping_Sheet!$E$2:$E$3143),
Master_Mapping_Sheet!$C$2:$C$3143=AP$1,
Master_Mapping_Sheet!$N$2:$N$3143=REGEXEXTRACT($A5,"".*_(.*)"")))/sum(filter(
Master_Mapping_Sheet!$E$2:$E$3143, I"&amp;"SNUMBER(
Master_Mapping_Sheet!$E$2:$E$3143),
Master_Mapping_Sheet!$C$2:$C$3143=AP$1))), 0, sum(filter(
Master_Mapping_Sheet!$E$2:$E$3143, ISNUMBER(
Master_Mapping_Sheet!$E$2:$E$3143),
Master_Mapping_Sheet!$C$2:$C$3143=AP$1,
Master_Mapping_Sheet!$N$2:$N$31"&amp;"43=REGEXEXTRACT($A5,"".*_(.*)"")))/sum(filter(
Master_Mapping_Sheet!$E$2:$E$3143, ISNUMBER(
Master_Mapping_Sheet!$E$2:$E$3143),
Master_Mapping_Sheet!$C$2:$C$3143=AP$1)))"),0.0)</f>
        <v>0</v>
      </c>
      <c r="AQ5" s="34">
        <f>IFERROR(__xludf.DUMMYFUNCTION("IF(ISNA(sum(filter(
Master_Mapping_Sheet!$E$2:$E$3143, ISNUMBER(
Master_Mapping_Sheet!$E$2:$E$3143),
Master_Mapping_Sheet!$C$2:$C$3143=AQ$1,
Master_Mapping_Sheet!$N$2:$N$3143=REGEXEXTRACT($A5,"".*_(.*)"")))/sum(filter(
Master_Mapping_Sheet!$E$2:$E$3143, I"&amp;"SNUMBER(
Master_Mapping_Sheet!$E$2:$E$3143),
Master_Mapping_Sheet!$C$2:$C$3143=AQ$1))), 0, sum(filter(
Master_Mapping_Sheet!$E$2:$E$3143, ISNUMBER(
Master_Mapping_Sheet!$E$2:$E$3143),
Master_Mapping_Sheet!$C$2:$C$3143=AQ$1,
Master_Mapping_Sheet!$N$2:$N$31"&amp;"43=REGEXEXTRACT($A5,"".*_(.*)"")))/sum(filter(
Master_Mapping_Sheet!$E$2:$E$3143, ISNUMBER(
Master_Mapping_Sheet!$E$2:$E$3143),
Master_Mapping_Sheet!$C$2:$C$3143=AQ$1)))"),0.0)</f>
        <v>0</v>
      </c>
      <c r="AR5" s="34">
        <f>IFERROR(__xludf.DUMMYFUNCTION("IF(ISNA(sum(filter(
Master_Mapping_Sheet!$E$2:$E$3143, ISNUMBER(
Master_Mapping_Sheet!$E$2:$E$3143),
Master_Mapping_Sheet!$C$2:$C$3143=AR$1,
Master_Mapping_Sheet!$N$2:$N$3143=REGEXEXTRACT($A5,"".*_(.*)"")))/sum(filter(
Master_Mapping_Sheet!$E$2:$E$3143, I"&amp;"SNUMBER(
Master_Mapping_Sheet!$E$2:$E$3143),
Master_Mapping_Sheet!$C$2:$C$3143=AR$1))), 0, sum(filter(
Master_Mapping_Sheet!$E$2:$E$3143, ISNUMBER(
Master_Mapping_Sheet!$E$2:$E$3143),
Master_Mapping_Sheet!$C$2:$C$3143=AR$1,
Master_Mapping_Sheet!$N$2:$N$31"&amp;"43=REGEXEXTRACT($A5,"".*_(.*)"")))/sum(filter(
Master_Mapping_Sheet!$E$2:$E$3143, ISNUMBER(
Master_Mapping_Sheet!$E$2:$E$3143),
Master_Mapping_Sheet!$C$2:$C$3143=AR$1)))"),0.0)</f>
        <v>0</v>
      </c>
      <c r="AS5" s="34">
        <f>IFERROR(__xludf.DUMMYFUNCTION("IF(ISNA(sum(filter(
Master_Mapping_Sheet!$E$2:$E$3143, ISNUMBER(
Master_Mapping_Sheet!$E$2:$E$3143),
Master_Mapping_Sheet!$C$2:$C$3143=AS$1,
Master_Mapping_Sheet!$N$2:$N$3143=REGEXEXTRACT($A5,"".*_(.*)"")))/sum(filter(
Master_Mapping_Sheet!$E$2:$E$3143, I"&amp;"SNUMBER(
Master_Mapping_Sheet!$E$2:$E$3143),
Master_Mapping_Sheet!$C$2:$C$3143=AS$1))), 0, sum(filter(
Master_Mapping_Sheet!$E$2:$E$3143, ISNUMBER(
Master_Mapping_Sheet!$E$2:$E$3143),
Master_Mapping_Sheet!$C$2:$C$3143=AS$1,
Master_Mapping_Sheet!$N$2:$N$31"&amp;"43=REGEXEXTRACT($A5,"".*_(.*)"")))/sum(filter(
Master_Mapping_Sheet!$E$2:$E$3143, ISNUMBER(
Master_Mapping_Sheet!$E$2:$E$3143),
Master_Mapping_Sheet!$C$2:$C$3143=AS$1)))"),0.0)</f>
        <v>0</v>
      </c>
      <c r="AT5" s="34">
        <f>IFERROR(__xludf.DUMMYFUNCTION("IF(ISNA(sum(filter(
Master_Mapping_Sheet!$E$2:$E$3143, ISNUMBER(
Master_Mapping_Sheet!$E$2:$E$3143),
Master_Mapping_Sheet!$C$2:$C$3143=AT$1,
Master_Mapping_Sheet!$N$2:$N$3143=REGEXEXTRACT($A5,"".*_(.*)"")))/sum(filter(
Master_Mapping_Sheet!$E$2:$E$3143, I"&amp;"SNUMBER(
Master_Mapping_Sheet!$E$2:$E$3143),
Master_Mapping_Sheet!$C$2:$C$3143=AT$1))), 0, sum(filter(
Master_Mapping_Sheet!$E$2:$E$3143, ISNUMBER(
Master_Mapping_Sheet!$E$2:$E$3143),
Master_Mapping_Sheet!$C$2:$C$3143=AT$1,
Master_Mapping_Sheet!$N$2:$N$31"&amp;"43=REGEXEXTRACT($A5,"".*_(.*)"")))/sum(filter(
Master_Mapping_Sheet!$E$2:$E$3143, ISNUMBER(
Master_Mapping_Sheet!$E$2:$E$3143),
Master_Mapping_Sheet!$C$2:$C$3143=AT$1)))"),0.0)</f>
        <v>0</v>
      </c>
      <c r="AU5" s="34">
        <f>IFERROR(__xludf.DUMMYFUNCTION("IF(ISNA(sum(filter(
Master_Mapping_Sheet!$E$2:$E$3143, ISNUMBER(
Master_Mapping_Sheet!$E$2:$E$3143),
Master_Mapping_Sheet!$C$2:$C$3143=AU$1,
Master_Mapping_Sheet!$N$2:$N$3143=REGEXEXTRACT($A5,"".*_(.*)"")))/sum(filter(
Master_Mapping_Sheet!$E$2:$E$3143, I"&amp;"SNUMBER(
Master_Mapping_Sheet!$E$2:$E$3143),
Master_Mapping_Sheet!$C$2:$C$3143=AU$1))), 0, sum(filter(
Master_Mapping_Sheet!$E$2:$E$3143, ISNUMBER(
Master_Mapping_Sheet!$E$2:$E$3143),
Master_Mapping_Sheet!$C$2:$C$3143=AU$1,
Master_Mapping_Sheet!$N$2:$N$31"&amp;"43=REGEXEXTRACT($A5,"".*_(.*)"")))/sum(filter(
Master_Mapping_Sheet!$E$2:$E$3143, ISNUMBER(
Master_Mapping_Sheet!$E$2:$E$3143),
Master_Mapping_Sheet!$C$2:$C$3143=AU$1)))"),0.0)</f>
        <v>0</v>
      </c>
      <c r="AV5" s="34">
        <f>IFERROR(__xludf.DUMMYFUNCTION("IF(ISNA(sum(filter(
Master_Mapping_Sheet!$E$2:$E$3143, ISNUMBER(
Master_Mapping_Sheet!$E$2:$E$3143),
Master_Mapping_Sheet!$C$2:$C$3143=AV$1,
Master_Mapping_Sheet!$N$2:$N$3143=REGEXEXTRACT($A5,"".*_(.*)"")))/sum(filter(
Master_Mapping_Sheet!$E$2:$E$3143, I"&amp;"SNUMBER(
Master_Mapping_Sheet!$E$2:$E$3143),
Master_Mapping_Sheet!$C$2:$C$3143=AV$1))), 0, sum(filter(
Master_Mapping_Sheet!$E$2:$E$3143, ISNUMBER(
Master_Mapping_Sheet!$E$2:$E$3143),
Master_Mapping_Sheet!$C$2:$C$3143=AV$1,
Master_Mapping_Sheet!$N$2:$N$31"&amp;"43=REGEXEXTRACT($A5,"".*_(.*)"")))/sum(filter(
Master_Mapping_Sheet!$E$2:$E$3143, ISNUMBER(
Master_Mapping_Sheet!$E$2:$E$3143),
Master_Mapping_Sheet!$C$2:$C$3143=AV$1)))"),0.0)</f>
        <v>0</v>
      </c>
      <c r="AW5" s="34">
        <f>IFERROR(__xludf.DUMMYFUNCTION("IF(ISNA(sum(filter(
Master_Mapping_Sheet!$E$2:$E$3143, ISNUMBER(
Master_Mapping_Sheet!$E$2:$E$3143),
Master_Mapping_Sheet!$C$2:$C$3143=AW$1,
Master_Mapping_Sheet!$N$2:$N$3143=REGEXEXTRACT($A5,"".*_(.*)"")))/sum(filter(
Master_Mapping_Sheet!$E$2:$E$3143, I"&amp;"SNUMBER(
Master_Mapping_Sheet!$E$2:$E$3143),
Master_Mapping_Sheet!$C$2:$C$3143=AW$1))), 0, sum(filter(
Master_Mapping_Sheet!$E$2:$E$3143, ISNUMBER(
Master_Mapping_Sheet!$E$2:$E$3143),
Master_Mapping_Sheet!$C$2:$C$3143=AW$1,
Master_Mapping_Sheet!$N$2:$N$31"&amp;"43=REGEXEXTRACT($A5,"".*_(.*)"")))/sum(filter(
Master_Mapping_Sheet!$E$2:$E$3143, ISNUMBER(
Master_Mapping_Sheet!$E$2:$E$3143),
Master_Mapping_Sheet!$C$2:$C$3143=AW$1)))"),0.0)</f>
        <v>0</v>
      </c>
      <c r="AX5" s="34">
        <f>IFERROR(__xludf.DUMMYFUNCTION("IF(ISNA(sum(filter(
Master_Mapping_Sheet!$E$2:$E$3143, ISNUMBER(
Master_Mapping_Sheet!$E$2:$E$3143),
Master_Mapping_Sheet!$C$2:$C$3143=AX$1,
Master_Mapping_Sheet!$N$2:$N$3143=REGEXEXTRACT($A5,"".*_(.*)"")))/sum(filter(
Master_Mapping_Sheet!$E$2:$E$3143, I"&amp;"SNUMBER(
Master_Mapping_Sheet!$E$2:$E$3143),
Master_Mapping_Sheet!$C$2:$C$3143=AX$1))), 0, sum(filter(
Master_Mapping_Sheet!$E$2:$E$3143, ISNUMBER(
Master_Mapping_Sheet!$E$2:$E$3143),
Master_Mapping_Sheet!$C$2:$C$3143=AX$1,
Master_Mapping_Sheet!$N$2:$N$31"&amp;"43=REGEXEXTRACT($A5,"".*_(.*)"")))/sum(filter(
Master_Mapping_Sheet!$E$2:$E$3143, ISNUMBER(
Master_Mapping_Sheet!$E$2:$E$3143),
Master_Mapping_Sheet!$C$2:$C$3143=AX$1)))"),0.0)</f>
        <v>0</v>
      </c>
      <c r="AY5" s="34">
        <f>IFERROR(__xludf.DUMMYFUNCTION("IF(ISNA(sum(filter(
Master_Mapping_Sheet!$E$2:$E$3143, ISNUMBER(
Master_Mapping_Sheet!$E$2:$E$3143),
Master_Mapping_Sheet!$C$2:$C$3143=AY$1,
Master_Mapping_Sheet!$N$2:$N$3143=REGEXEXTRACT($A5,"".*_(.*)"")))/sum(filter(
Master_Mapping_Sheet!$E$2:$E$3143, I"&amp;"SNUMBER(
Master_Mapping_Sheet!$E$2:$E$3143),
Master_Mapping_Sheet!$C$2:$C$3143=AY$1))), 0, sum(filter(
Master_Mapping_Sheet!$E$2:$E$3143, ISNUMBER(
Master_Mapping_Sheet!$E$2:$E$3143),
Master_Mapping_Sheet!$C$2:$C$3143=AY$1,
Master_Mapping_Sheet!$N$2:$N$31"&amp;"43=REGEXEXTRACT($A5,"".*_(.*)"")))/sum(filter(
Master_Mapping_Sheet!$E$2:$E$3143, ISNUMBER(
Master_Mapping_Sheet!$E$2:$E$3143),
Master_Mapping_Sheet!$C$2:$C$3143=AY$1)))"),0.0)</f>
        <v>0</v>
      </c>
      <c r="AZ5" s="34">
        <f>IFERROR(__xludf.DUMMYFUNCTION("IF(ISNA(sum(filter(
Master_Mapping_Sheet!$E$2:$E$3143, ISNUMBER(
Master_Mapping_Sheet!$E$2:$E$3143),
Master_Mapping_Sheet!$C$2:$C$3143=AZ$1,
Master_Mapping_Sheet!$N$2:$N$3143=REGEXEXTRACT($A5,"".*_(.*)"")))/sum(filter(
Master_Mapping_Sheet!$E$2:$E$3143, I"&amp;"SNUMBER(
Master_Mapping_Sheet!$E$2:$E$3143),
Master_Mapping_Sheet!$C$2:$C$3143=AZ$1))), 0, sum(filter(
Master_Mapping_Sheet!$E$2:$E$3143, ISNUMBER(
Master_Mapping_Sheet!$E$2:$E$3143),
Master_Mapping_Sheet!$C$2:$C$3143=AZ$1,
Master_Mapping_Sheet!$N$2:$N$31"&amp;"43=REGEXEXTRACT($A5,"".*_(.*)"")))/sum(filter(
Master_Mapping_Sheet!$E$2:$E$3143, ISNUMBER(
Master_Mapping_Sheet!$E$2:$E$3143),
Master_Mapping_Sheet!$C$2:$C$3143=AZ$1)))"),0.0)</f>
        <v>0</v>
      </c>
    </row>
    <row r="6" ht="15.75" customHeight="1">
      <c r="A6" s="45" t="s">
        <v>4264</v>
      </c>
      <c r="B6" s="34">
        <f>IFERROR(__xludf.DUMMYFUNCTION("IF(ISNA(sum(filter(
Master_Mapping_Sheet!$E$2:$E$3143, ISNUMBER(
Master_Mapping_Sheet!$E$2:$E$3143),
Master_Mapping_Sheet!$C$2:$C$3143=B$1,
Master_Mapping_Sheet!$N$2:$N$3143=REGEXEXTRACT($A6,"".*_(.*)"")))/sum(filter(
Master_Mapping_Sheet!$E$2:$E$3143, IS"&amp;"NUMBER(
Master_Mapping_Sheet!$E$2:$E$3143),
Master_Mapping_Sheet!$C$2:$C$3143=B$1))), 0, sum(filter(
Master_Mapping_Sheet!$E$2:$E$3143, ISNUMBER(
Master_Mapping_Sheet!$E$2:$E$3143),
Master_Mapping_Sheet!$C$2:$C$3143=B$1,
Master_Mapping_Sheet!$N$2:$N$3143="&amp;"REGEXEXTRACT($A6,"".*_(.*)"")))/sum(filter(
Master_Mapping_Sheet!$E$2:$E$3143, ISNUMBER(
Master_Mapping_Sheet!$E$2:$E$3143),
Master_Mapping_Sheet!$C$2:$C$3143=B$1)))"),0.0)</f>
        <v>0</v>
      </c>
      <c r="C6" s="34">
        <f>IFERROR(__xludf.DUMMYFUNCTION("IF(ISNA(sum(filter(
Master_Mapping_Sheet!$E$2:$E$3143, ISNUMBER(
Master_Mapping_Sheet!$E$2:$E$3143),
Master_Mapping_Sheet!$C$2:$C$3143=C$1,
Master_Mapping_Sheet!$N$2:$N$3143=REGEXEXTRACT($A6,"".*_(.*)"")))/sum(filter(
Master_Mapping_Sheet!$E$2:$E$3143, IS"&amp;"NUMBER(
Master_Mapping_Sheet!$E$2:$E$3143),
Master_Mapping_Sheet!$C$2:$C$3143=C$1))), 0, sum(filter(
Master_Mapping_Sheet!$E$2:$E$3143, ISNUMBER(
Master_Mapping_Sheet!$E$2:$E$3143),
Master_Mapping_Sheet!$C$2:$C$3143=C$1,
Master_Mapping_Sheet!$N$2:$N$3143="&amp;"REGEXEXTRACT($A6,"".*_(.*)"")))/sum(filter(
Master_Mapping_Sheet!$E$2:$E$3143, ISNUMBER(
Master_Mapping_Sheet!$E$2:$E$3143),
Master_Mapping_Sheet!$C$2:$C$3143=C$1)))"),0.0)</f>
        <v>0</v>
      </c>
      <c r="D6" s="34">
        <f>IFERROR(__xludf.DUMMYFUNCTION("IF(ISNA(sum(filter(
Master_Mapping_Sheet!$E$2:$E$3143, ISNUMBER(
Master_Mapping_Sheet!$E$2:$E$3143),
Master_Mapping_Sheet!$C$2:$C$3143=D$1,
Master_Mapping_Sheet!$N$2:$N$3143=REGEXEXTRACT($A6,"".*_(.*)"")))/sum(filter(
Master_Mapping_Sheet!$E$2:$E$3143, IS"&amp;"NUMBER(
Master_Mapping_Sheet!$E$2:$E$3143),
Master_Mapping_Sheet!$C$2:$C$3143=D$1))), 0, sum(filter(
Master_Mapping_Sheet!$E$2:$E$3143, ISNUMBER(
Master_Mapping_Sheet!$E$2:$E$3143),
Master_Mapping_Sheet!$C$2:$C$3143=D$1,
Master_Mapping_Sheet!$N$2:$N$3143="&amp;"REGEXEXTRACT($A6,"".*_(.*)"")))/sum(filter(
Master_Mapping_Sheet!$E$2:$E$3143, ISNUMBER(
Master_Mapping_Sheet!$E$2:$E$3143),
Master_Mapping_Sheet!$C$2:$C$3143=D$1)))"),0.0428836291254987)</f>
        <v>0.04288362913</v>
      </c>
      <c r="E6" s="34">
        <f>IFERROR(__xludf.DUMMYFUNCTION("IF(ISNA(sum(filter(
Master_Mapping_Sheet!$E$2:$E$3143, ISNUMBER(
Master_Mapping_Sheet!$E$2:$E$3143),
Master_Mapping_Sheet!$C$2:$C$3143=E$1,
Master_Mapping_Sheet!$N$2:$N$3143=REGEXEXTRACT($A6,"".*_(.*)"")))/sum(filter(
Master_Mapping_Sheet!$E$2:$E$3143, IS"&amp;"NUMBER(
Master_Mapping_Sheet!$E$2:$E$3143),
Master_Mapping_Sheet!$C$2:$C$3143=E$1))), 0, sum(filter(
Master_Mapping_Sheet!$E$2:$E$3143, ISNUMBER(
Master_Mapping_Sheet!$E$2:$E$3143),
Master_Mapping_Sheet!$C$2:$C$3143=E$1,
Master_Mapping_Sheet!$N$2:$N$3143="&amp;"REGEXEXTRACT($A6,"".*_(.*)"")))/sum(filter(
Master_Mapping_Sheet!$E$2:$E$3143, ISNUMBER(
Master_Mapping_Sheet!$E$2:$E$3143),
Master_Mapping_Sheet!$C$2:$C$3143=E$1)))"),0.0)</f>
        <v>0</v>
      </c>
      <c r="F6" s="34">
        <f>IFERROR(__xludf.DUMMYFUNCTION("IF(ISNA(sum(filter(
Master_Mapping_Sheet!$E$2:$E$3143, ISNUMBER(
Master_Mapping_Sheet!$E$2:$E$3143),
Master_Mapping_Sheet!$C$2:$C$3143=F$1,
Master_Mapping_Sheet!$N$2:$N$3143=REGEXEXTRACT($A6,"".*_(.*)"")))/sum(filter(
Master_Mapping_Sheet!$E$2:$E$3143, IS"&amp;"NUMBER(
Master_Mapping_Sheet!$E$2:$E$3143),
Master_Mapping_Sheet!$C$2:$C$3143=F$1))), 0, sum(filter(
Master_Mapping_Sheet!$E$2:$E$3143, ISNUMBER(
Master_Mapping_Sheet!$E$2:$E$3143),
Master_Mapping_Sheet!$C$2:$C$3143=F$1,
Master_Mapping_Sheet!$N$2:$N$3143="&amp;"REGEXEXTRACT($A6,"".*_(.*)"")))/sum(filter(
Master_Mapping_Sheet!$E$2:$E$3143, ISNUMBER(
Master_Mapping_Sheet!$E$2:$E$3143),
Master_Mapping_Sheet!$C$2:$C$3143=F$1)))"),0.005616320186069655)</f>
        <v>0.005616320186</v>
      </c>
      <c r="G6" s="34">
        <f>IFERROR(__xludf.DUMMYFUNCTION("IF(ISNA(sum(filter(
Master_Mapping_Sheet!$E$2:$E$3143, ISNUMBER(
Master_Mapping_Sheet!$E$2:$E$3143),
Master_Mapping_Sheet!$C$2:$C$3143=G$1,
Master_Mapping_Sheet!$N$2:$N$3143=REGEXEXTRACT($A6,"".*_(.*)"")))/sum(filter(
Master_Mapping_Sheet!$E$2:$E$3143, IS"&amp;"NUMBER(
Master_Mapping_Sheet!$E$2:$E$3143),
Master_Mapping_Sheet!$C$2:$C$3143=G$1))), 0, sum(filter(
Master_Mapping_Sheet!$E$2:$E$3143, ISNUMBER(
Master_Mapping_Sheet!$E$2:$E$3143),
Master_Mapping_Sheet!$C$2:$C$3143=G$1,
Master_Mapping_Sheet!$N$2:$N$3143="&amp;"REGEXEXTRACT($A6,"".*_(.*)"")))/sum(filter(
Master_Mapping_Sheet!$E$2:$E$3143, ISNUMBER(
Master_Mapping_Sheet!$E$2:$E$3143),
Master_Mapping_Sheet!$C$2:$C$3143=G$1)))"),0.9675225134025565)</f>
        <v>0.9675225134</v>
      </c>
      <c r="H6" s="34">
        <f>IFERROR(__xludf.DUMMYFUNCTION("IF(ISNA(sum(filter(
Master_Mapping_Sheet!$E$2:$E$3143, ISNUMBER(
Master_Mapping_Sheet!$E$2:$E$3143),
Master_Mapping_Sheet!$C$2:$C$3143=H$1,
Master_Mapping_Sheet!$N$2:$N$3143=REGEXEXTRACT($A6,"".*_(.*)"")))/sum(filter(
Master_Mapping_Sheet!$E$2:$E$3143, IS"&amp;"NUMBER(
Master_Mapping_Sheet!$E$2:$E$3143),
Master_Mapping_Sheet!$C$2:$C$3143=H$1))), 0, sum(filter(
Master_Mapping_Sheet!$E$2:$E$3143, ISNUMBER(
Master_Mapping_Sheet!$E$2:$E$3143),
Master_Mapping_Sheet!$C$2:$C$3143=H$1,
Master_Mapping_Sheet!$N$2:$N$3143="&amp;"REGEXEXTRACT($A6,"".*_(.*)"")))/sum(filter(
Master_Mapping_Sheet!$E$2:$E$3143, ISNUMBER(
Master_Mapping_Sheet!$E$2:$E$3143),
Master_Mapping_Sheet!$C$2:$C$3143=H$1)))"),1.0)</f>
        <v>1</v>
      </c>
      <c r="I6" s="34">
        <f>IFERROR(__xludf.DUMMYFUNCTION("IF(ISNA(sum(filter(
Master_Mapping_Sheet!$E$2:$E$3143, ISNUMBER(
Master_Mapping_Sheet!$E$2:$E$3143),
Master_Mapping_Sheet!$C$2:$C$3143=I$1,
Master_Mapping_Sheet!$N$2:$N$3143=REGEXEXTRACT($A6,"".*_(.*)"")))/sum(filter(
Master_Mapping_Sheet!$E$2:$E$3143, IS"&amp;"NUMBER(
Master_Mapping_Sheet!$E$2:$E$3143),
Master_Mapping_Sheet!$C$2:$C$3143=I$1))), 0, sum(filter(
Master_Mapping_Sheet!$E$2:$E$3143, ISNUMBER(
Master_Mapping_Sheet!$E$2:$E$3143),
Master_Mapping_Sheet!$C$2:$C$3143=I$1,
Master_Mapping_Sheet!$N$2:$N$3143="&amp;"REGEXEXTRACT($A6,"".*_(.*)"")))/sum(filter(
Master_Mapping_Sheet!$E$2:$E$3143, ISNUMBER(
Master_Mapping_Sheet!$E$2:$E$3143),
Master_Mapping_Sheet!$C$2:$C$3143=I$1)))"),0.0)</f>
        <v>0</v>
      </c>
      <c r="J6" s="34">
        <f>IFERROR(__xludf.DUMMYFUNCTION("IF(ISNA(sum(filter(
Master_Mapping_Sheet!$E$2:$E$3143, ISNUMBER(
Master_Mapping_Sheet!$E$2:$E$3143),
Master_Mapping_Sheet!$C$2:$C$3143=J$1,
Master_Mapping_Sheet!$N$2:$N$3143=REGEXEXTRACT($A6,"".*_(.*)"")))/sum(filter(
Master_Mapping_Sheet!$E$2:$E$3143, IS"&amp;"NUMBER(
Master_Mapping_Sheet!$E$2:$E$3143),
Master_Mapping_Sheet!$C$2:$C$3143=J$1))), 0, sum(filter(
Master_Mapping_Sheet!$E$2:$E$3143, ISNUMBER(
Master_Mapping_Sheet!$E$2:$E$3143),
Master_Mapping_Sheet!$C$2:$C$3143=J$1,
Master_Mapping_Sheet!$N$2:$N$3143="&amp;"REGEXEXTRACT($A6,"".*_(.*)"")))/sum(filter(
Master_Mapping_Sheet!$E$2:$E$3143, ISNUMBER(
Master_Mapping_Sheet!$E$2:$E$3143),
Master_Mapping_Sheet!$C$2:$C$3143=J$1)))"),0.0)</f>
        <v>0</v>
      </c>
      <c r="K6" s="34">
        <f>IFERROR(__xludf.DUMMYFUNCTION("IF(ISNA(sum(filter(
Master_Mapping_Sheet!$E$2:$E$3143, ISNUMBER(
Master_Mapping_Sheet!$E$2:$E$3143),
Master_Mapping_Sheet!$C$2:$C$3143=K$1,
Master_Mapping_Sheet!$N$2:$N$3143=REGEXEXTRACT($A6,"".*_(.*)"")))/sum(filter(
Master_Mapping_Sheet!$E$2:$E$3143, IS"&amp;"NUMBER(
Master_Mapping_Sheet!$E$2:$E$3143),
Master_Mapping_Sheet!$C$2:$C$3143=K$1))), 0, sum(filter(
Master_Mapping_Sheet!$E$2:$E$3143, ISNUMBER(
Master_Mapping_Sheet!$E$2:$E$3143),
Master_Mapping_Sheet!$C$2:$C$3143=K$1,
Master_Mapping_Sheet!$N$2:$N$3143="&amp;"REGEXEXTRACT($A6,"".*_(.*)"")))/sum(filter(
Master_Mapping_Sheet!$E$2:$E$3143, ISNUMBER(
Master_Mapping_Sheet!$E$2:$E$3143),
Master_Mapping_Sheet!$C$2:$C$3143=K$1)))"),0.0)</f>
        <v>0</v>
      </c>
      <c r="L6" s="34">
        <f>IFERROR(__xludf.DUMMYFUNCTION("IF(ISNA(sum(filter(
Master_Mapping_Sheet!$E$2:$E$3143, ISNUMBER(
Master_Mapping_Sheet!$E$2:$E$3143),
Master_Mapping_Sheet!$C$2:$C$3143=L$1,
Master_Mapping_Sheet!$N$2:$N$3143=REGEXEXTRACT($A6,"".*_(.*)"")))/sum(filter(
Master_Mapping_Sheet!$E$2:$E$3143, IS"&amp;"NUMBER(
Master_Mapping_Sheet!$E$2:$E$3143),
Master_Mapping_Sheet!$C$2:$C$3143=L$1))), 0, sum(filter(
Master_Mapping_Sheet!$E$2:$E$3143, ISNUMBER(
Master_Mapping_Sheet!$E$2:$E$3143),
Master_Mapping_Sheet!$C$2:$C$3143=L$1,
Master_Mapping_Sheet!$N$2:$N$3143="&amp;"REGEXEXTRACT($A6,"".*_(.*)"")))/sum(filter(
Master_Mapping_Sheet!$E$2:$E$3143, ISNUMBER(
Master_Mapping_Sheet!$E$2:$E$3143),
Master_Mapping_Sheet!$C$2:$C$3143=L$1)))"),0.0)</f>
        <v>0</v>
      </c>
      <c r="M6" s="34">
        <f>IFERROR(__xludf.DUMMYFUNCTION("IF(ISNA(sum(filter(
Master_Mapping_Sheet!$E$2:$E$3143, ISNUMBER(
Master_Mapping_Sheet!$E$2:$E$3143),
Master_Mapping_Sheet!$C$2:$C$3143=M$1,
Master_Mapping_Sheet!$N$2:$N$3143=REGEXEXTRACT($A6,"".*_(.*)"")))/sum(filter(
Master_Mapping_Sheet!$E$2:$E$3143, IS"&amp;"NUMBER(
Master_Mapping_Sheet!$E$2:$E$3143),
Master_Mapping_Sheet!$C$2:$C$3143=M$1))), 0, sum(filter(
Master_Mapping_Sheet!$E$2:$E$3143, ISNUMBER(
Master_Mapping_Sheet!$E$2:$E$3143),
Master_Mapping_Sheet!$C$2:$C$3143=M$1,
Master_Mapping_Sheet!$N$2:$N$3143="&amp;"REGEXEXTRACT($A6,"".*_(.*)"")))/sum(filter(
Master_Mapping_Sheet!$E$2:$E$3143, ISNUMBER(
Master_Mapping_Sheet!$E$2:$E$3143),
Master_Mapping_Sheet!$C$2:$C$3143=M$1)))"),0.0)</f>
        <v>0</v>
      </c>
      <c r="N6" s="34">
        <f>IFERROR(__xludf.DUMMYFUNCTION("IF(ISNA(sum(filter(
Master_Mapping_Sheet!$E$2:$E$3143, ISNUMBER(
Master_Mapping_Sheet!$E$2:$E$3143),
Master_Mapping_Sheet!$C$2:$C$3143=N$1,
Master_Mapping_Sheet!$N$2:$N$3143=REGEXEXTRACT($A6,"".*_(.*)"")))/sum(filter(
Master_Mapping_Sheet!$E$2:$E$3143, IS"&amp;"NUMBER(
Master_Mapping_Sheet!$E$2:$E$3143),
Master_Mapping_Sheet!$C$2:$C$3143=N$1))), 0, sum(filter(
Master_Mapping_Sheet!$E$2:$E$3143, ISNUMBER(
Master_Mapping_Sheet!$E$2:$E$3143),
Master_Mapping_Sheet!$C$2:$C$3143=N$1,
Master_Mapping_Sheet!$N$2:$N$3143="&amp;"REGEXEXTRACT($A6,"".*_(.*)"")))/sum(filter(
Master_Mapping_Sheet!$E$2:$E$3143, ISNUMBER(
Master_Mapping_Sheet!$E$2:$E$3143),
Master_Mapping_Sheet!$C$2:$C$3143=N$1)))"),1.0)</f>
        <v>1</v>
      </c>
      <c r="O6" s="34">
        <f>IFERROR(__xludf.DUMMYFUNCTION("IF(ISNA(sum(filter(
Master_Mapping_Sheet!$E$2:$E$3143, ISNUMBER(
Master_Mapping_Sheet!$E$2:$E$3143),
Master_Mapping_Sheet!$C$2:$C$3143=O$1,
Master_Mapping_Sheet!$N$2:$N$3143=REGEXEXTRACT($A6,"".*_(.*)"")))/sum(filter(
Master_Mapping_Sheet!$E$2:$E$3143, IS"&amp;"NUMBER(
Master_Mapping_Sheet!$E$2:$E$3143),
Master_Mapping_Sheet!$C$2:$C$3143=O$1))), 0, sum(filter(
Master_Mapping_Sheet!$E$2:$E$3143, ISNUMBER(
Master_Mapping_Sheet!$E$2:$E$3143),
Master_Mapping_Sheet!$C$2:$C$3143=O$1,
Master_Mapping_Sheet!$N$2:$N$3143="&amp;"REGEXEXTRACT($A6,"".*_(.*)"")))/sum(filter(
Master_Mapping_Sheet!$E$2:$E$3143, ISNUMBER(
Master_Mapping_Sheet!$E$2:$E$3143),
Master_Mapping_Sheet!$C$2:$C$3143=O$1)))"),0.8973223957980154)</f>
        <v>0.8973223958</v>
      </c>
      <c r="P6" s="34">
        <f>IFERROR(__xludf.DUMMYFUNCTION("IF(ISNA(sum(filter(
Master_Mapping_Sheet!$E$2:$E$3143, ISNUMBER(
Master_Mapping_Sheet!$E$2:$E$3143),
Master_Mapping_Sheet!$C$2:$C$3143=P$1,
Master_Mapping_Sheet!$N$2:$N$3143=REGEXEXTRACT($A6,"".*_(.*)"")))/sum(filter(
Master_Mapping_Sheet!$E$2:$E$3143, IS"&amp;"NUMBER(
Master_Mapping_Sheet!$E$2:$E$3143),
Master_Mapping_Sheet!$C$2:$C$3143=P$1))), 0, sum(filter(
Master_Mapping_Sheet!$E$2:$E$3143, ISNUMBER(
Master_Mapping_Sheet!$E$2:$E$3143),
Master_Mapping_Sheet!$C$2:$C$3143=P$1,
Master_Mapping_Sheet!$N$2:$N$3143="&amp;"REGEXEXTRACT($A6,"".*_(.*)"")))/sum(filter(
Master_Mapping_Sheet!$E$2:$E$3143, ISNUMBER(
Master_Mapping_Sheet!$E$2:$E$3143),
Master_Mapping_Sheet!$C$2:$C$3143=P$1)))"),0.8159671557178683)</f>
        <v>0.8159671557</v>
      </c>
      <c r="Q6" s="34">
        <f>IFERROR(__xludf.DUMMYFUNCTION("IF(ISNA(sum(filter(
Master_Mapping_Sheet!$E$2:$E$3143, ISNUMBER(
Master_Mapping_Sheet!$E$2:$E$3143),
Master_Mapping_Sheet!$C$2:$C$3143=Q$1,
Master_Mapping_Sheet!$N$2:$N$3143=REGEXEXTRACT($A6,"".*_(.*)"")))/sum(filter(
Master_Mapping_Sheet!$E$2:$E$3143, IS"&amp;"NUMBER(
Master_Mapping_Sheet!$E$2:$E$3143),
Master_Mapping_Sheet!$C$2:$C$3143=Q$1))), 0, sum(filter(
Master_Mapping_Sheet!$E$2:$E$3143, ISNUMBER(
Master_Mapping_Sheet!$E$2:$E$3143),
Master_Mapping_Sheet!$C$2:$C$3143=Q$1,
Master_Mapping_Sheet!$N$2:$N$3143="&amp;"REGEXEXTRACT($A6,"".*_(.*)"")))/sum(filter(
Master_Mapping_Sheet!$E$2:$E$3143, ISNUMBER(
Master_Mapping_Sheet!$E$2:$E$3143),
Master_Mapping_Sheet!$C$2:$C$3143=Q$1)))"),1.0)</f>
        <v>1</v>
      </c>
      <c r="R6" s="34">
        <f>IFERROR(__xludf.DUMMYFUNCTION("IF(ISNA(sum(filter(
Master_Mapping_Sheet!$E$2:$E$3143, ISNUMBER(
Master_Mapping_Sheet!$E$2:$E$3143),
Master_Mapping_Sheet!$C$2:$C$3143=R$1,
Master_Mapping_Sheet!$N$2:$N$3143=REGEXEXTRACT($A6,"".*_(.*)"")))/sum(filter(
Master_Mapping_Sheet!$E$2:$E$3143, IS"&amp;"NUMBER(
Master_Mapping_Sheet!$E$2:$E$3143),
Master_Mapping_Sheet!$C$2:$C$3143=R$1))), 0, sum(filter(
Master_Mapping_Sheet!$E$2:$E$3143, ISNUMBER(
Master_Mapping_Sheet!$E$2:$E$3143),
Master_Mapping_Sheet!$C$2:$C$3143=R$1,
Master_Mapping_Sheet!$N$2:$N$3143="&amp;"REGEXEXTRACT($A6,"".*_(.*)"")))/sum(filter(
Master_Mapping_Sheet!$E$2:$E$3143, ISNUMBER(
Master_Mapping_Sheet!$E$2:$E$3143),
Master_Mapping_Sheet!$C$2:$C$3143=R$1)))"),0.04198914079222022)</f>
        <v>0.04198914079</v>
      </c>
      <c r="S6" s="34">
        <f>IFERROR(__xludf.DUMMYFUNCTION("IF(ISNA(sum(filter(
Master_Mapping_Sheet!$E$2:$E$3143, ISNUMBER(
Master_Mapping_Sheet!$E$2:$E$3143),
Master_Mapping_Sheet!$C$2:$C$3143=S$1,
Master_Mapping_Sheet!$N$2:$N$3143=REGEXEXTRACT($A6,"".*_(.*)"")))/sum(filter(
Master_Mapping_Sheet!$E$2:$E$3143, IS"&amp;"NUMBER(
Master_Mapping_Sheet!$E$2:$E$3143),
Master_Mapping_Sheet!$C$2:$C$3143=S$1))), 0, sum(filter(
Master_Mapping_Sheet!$E$2:$E$3143, ISNUMBER(
Master_Mapping_Sheet!$E$2:$E$3143),
Master_Mapping_Sheet!$C$2:$C$3143=S$1,
Master_Mapping_Sheet!$N$2:$N$3143="&amp;"REGEXEXTRACT($A6,"".*_(.*)"")))/sum(filter(
Master_Mapping_Sheet!$E$2:$E$3143, ISNUMBER(
Master_Mapping_Sheet!$E$2:$E$3143),
Master_Mapping_Sheet!$C$2:$C$3143=S$1)))"),0.0)</f>
        <v>0</v>
      </c>
      <c r="T6" s="34">
        <f>IFERROR(__xludf.DUMMYFUNCTION("IF(ISNA(sum(filter(
Master_Mapping_Sheet!$E$2:$E$3143, ISNUMBER(
Master_Mapping_Sheet!$E$2:$E$3143),
Master_Mapping_Sheet!$C$2:$C$3143=T$1,
Master_Mapping_Sheet!$N$2:$N$3143=REGEXEXTRACT($A6,"".*_(.*)"")))/sum(filter(
Master_Mapping_Sheet!$E$2:$E$3143, IS"&amp;"NUMBER(
Master_Mapping_Sheet!$E$2:$E$3143),
Master_Mapping_Sheet!$C$2:$C$3143=T$1))), 0, sum(filter(
Master_Mapping_Sheet!$E$2:$E$3143, ISNUMBER(
Master_Mapping_Sheet!$E$2:$E$3143),
Master_Mapping_Sheet!$C$2:$C$3143=T$1,
Master_Mapping_Sheet!$N$2:$N$3143="&amp;"REGEXEXTRACT($A6,"".*_(.*)"")))/sum(filter(
Master_Mapping_Sheet!$E$2:$E$3143, ISNUMBER(
Master_Mapping_Sheet!$E$2:$E$3143),
Master_Mapping_Sheet!$C$2:$C$3143=T$1)))"),0.0)</f>
        <v>0</v>
      </c>
      <c r="U6" s="34">
        <f>IFERROR(__xludf.DUMMYFUNCTION("IF(ISNA(sum(filter(
Master_Mapping_Sheet!$E$2:$E$3143, ISNUMBER(
Master_Mapping_Sheet!$E$2:$E$3143),
Master_Mapping_Sheet!$C$2:$C$3143=U$1,
Master_Mapping_Sheet!$N$2:$N$3143=REGEXEXTRACT($A6,"".*_(.*)"")))/sum(filter(
Master_Mapping_Sheet!$E$2:$E$3143, IS"&amp;"NUMBER(
Master_Mapping_Sheet!$E$2:$E$3143),
Master_Mapping_Sheet!$C$2:$C$3143=U$1))), 0, sum(filter(
Master_Mapping_Sheet!$E$2:$E$3143, ISNUMBER(
Master_Mapping_Sheet!$E$2:$E$3143),
Master_Mapping_Sheet!$C$2:$C$3143=U$1,
Master_Mapping_Sheet!$N$2:$N$3143="&amp;"REGEXEXTRACT($A6,"".*_(.*)"")))/sum(filter(
Master_Mapping_Sheet!$E$2:$E$3143, ISNUMBER(
Master_Mapping_Sheet!$E$2:$E$3143),
Master_Mapping_Sheet!$C$2:$C$3143=U$1)))"),0.9517446884121623)</f>
        <v>0.9517446884</v>
      </c>
      <c r="V6" s="34">
        <f>IFERROR(__xludf.DUMMYFUNCTION("IF(ISNA(sum(filter(
Master_Mapping_Sheet!$E$2:$E$3143, ISNUMBER(
Master_Mapping_Sheet!$E$2:$E$3143),
Master_Mapping_Sheet!$C$2:$C$3143=V$1,
Master_Mapping_Sheet!$N$2:$N$3143=REGEXEXTRACT($A6,"".*_(.*)"")))/sum(filter(
Master_Mapping_Sheet!$E$2:$E$3143, IS"&amp;"NUMBER(
Master_Mapping_Sheet!$E$2:$E$3143),
Master_Mapping_Sheet!$C$2:$C$3143=V$1))), 0, sum(filter(
Master_Mapping_Sheet!$E$2:$E$3143, ISNUMBER(
Master_Mapping_Sheet!$E$2:$E$3143),
Master_Mapping_Sheet!$C$2:$C$3143=V$1,
Master_Mapping_Sheet!$N$2:$N$3143="&amp;"REGEXEXTRACT($A6,"".*_(.*)"")))/sum(filter(
Master_Mapping_Sheet!$E$2:$E$3143, ISNUMBER(
Master_Mapping_Sheet!$E$2:$E$3143),
Master_Mapping_Sheet!$C$2:$C$3143=V$1)))"),0.004599002662188749)</f>
        <v>0.004599002662</v>
      </c>
      <c r="W6" s="34">
        <f>IFERROR(__xludf.DUMMYFUNCTION("IF(ISNA(sum(filter(
Master_Mapping_Sheet!$E$2:$E$3143, ISNUMBER(
Master_Mapping_Sheet!$E$2:$E$3143),
Master_Mapping_Sheet!$C$2:$C$3143=W$1,
Master_Mapping_Sheet!$N$2:$N$3143=REGEXEXTRACT($A6,"".*_(.*)"")))/sum(filter(
Master_Mapping_Sheet!$E$2:$E$3143, IS"&amp;"NUMBER(
Master_Mapping_Sheet!$E$2:$E$3143),
Master_Mapping_Sheet!$C$2:$C$3143=W$1))), 0, sum(filter(
Master_Mapping_Sheet!$E$2:$E$3143, ISNUMBER(
Master_Mapping_Sheet!$E$2:$E$3143),
Master_Mapping_Sheet!$C$2:$C$3143=W$1,
Master_Mapping_Sheet!$N$2:$N$3143="&amp;"REGEXEXTRACT($A6,"".*_(.*)"")))/sum(filter(
Master_Mapping_Sheet!$E$2:$E$3143, ISNUMBER(
Master_Mapping_Sheet!$E$2:$E$3143),
Master_Mapping_Sheet!$C$2:$C$3143=W$1)))"),1.0)</f>
        <v>1</v>
      </c>
      <c r="X6" s="34">
        <f>IFERROR(__xludf.DUMMYFUNCTION("IF(ISNA(sum(filter(
Master_Mapping_Sheet!$E$2:$E$3143, ISNUMBER(
Master_Mapping_Sheet!$E$2:$E$3143),
Master_Mapping_Sheet!$C$2:$C$3143=X$1,
Master_Mapping_Sheet!$N$2:$N$3143=REGEXEXTRACT($A6,"".*_(.*)"")))/sum(filter(
Master_Mapping_Sheet!$E$2:$E$3143, IS"&amp;"NUMBER(
Master_Mapping_Sheet!$E$2:$E$3143),
Master_Mapping_Sheet!$C$2:$C$3143=X$1))), 0, sum(filter(
Master_Mapping_Sheet!$E$2:$E$3143, ISNUMBER(
Master_Mapping_Sheet!$E$2:$E$3143),
Master_Mapping_Sheet!$C$2:$C$3143=X$1,
Master_Mapping_Sheet!$N$2:$N$3143="&amp;"REGEXEXTRACT($A6,"".*_(.*)"")))/sum(filter(
Master_Mapping_Sheet!$E$2:$E$3143, ISNUMBER(
Master_Mapping_Sheet!$E$2:$E$3143),
Master_Mapping_Sheet!$C$2:$C$3143=X$1)))"),0.9858875842722432)</f>
        <v>0.9858875843</v>
      </c>
      <c r="Y6" s="34">
        <f>IFERROR(__xludf.DUMMYFUNCTION("IF(ISNA(sum(filter(
Master_Mapping_Sheet!$E$2:$E$3143, ISNUMBER(
Master_Mapping_Sheet!$E$2:$E$3143),
Master_Mapping_Sheet!$C$2:$C$3143=Y$1,
Master_Mapping_Sheet!$N$2:$N$3143=REGEXEXTRACT($A6,"".*_(.*)"")))/sum(filter(
Master_Mapping_Sheet!$E$2:$E$3143, IS"&amp;"NUMBER(
Master_Mapping_Sheet!$E$2:$E$3143),
Master_Mapping_Sheet!$C$2:$C$3143=Y$1))), 0, sum(filter(
Master_Mapping_Sheet!$E$2:$E$3143, ISNUMBER(
Master_Mapping_Sheet!$E$2:$E$3143),
Master_Mapping_Sheet!$C$2:$C$3143=Y$1,
Master_Mapping_Sheet!$N$2:$N$3143="&amp;"REGEXEXTRACT($A6,"".*_(.*)"")))/sum(filter(
Master_Mapping_Sheet!$E$2:$E$3143, ISNUMBER(
Master_Mapping_Sheet!$E$2:$E$3143),
Master_Mapping_Sheet!$C$2:$C$3143=Y$1)))"),0.850307995151549)</f>
        <v>0.8503079952</v>
      </c>
      <c r="Z6" s="34">
        <f>IFERROR(__xludf.DUMMYFUNCTION("IF(ISNA(sum(filter(
Master_Mapping_Sheet!$E$2:$E$3143, ISNUMBER(
Master_Mapping_Sheet!$E$2:$E$3143),
Master_Mapping_Sheet!$C$2:$C$3143=Z$1,
Master_Mapping_Sheet!$N$2:$N$3143=REGEXEXTRACT($A6,"".*_(.*)"")))/sum(filter(
Master_Mapping_Sheet!$E$2:$E$3143, IS"&amp;"NUMBER(
Master_Mapping_Sheet!$E$2:$E$3143),
Master_Mapping_Sheet!$C$2:$C$3143=Z$1))), 0, sum(filter(
Master_Mapping_Sheet!$E$2:$E$3143, ISNUMBER(
Master_Mapping_Sheet!$E$2:$E$3143),
Master_Mapping_Sheet!$C$2:$C$3143=Z$1,
Master_Mapping_Sheet!$N$2:$N$3143="&amp;"REGEXEXTRACT($A6,"".*_(.*)"")))/sum(filter(
Master_Mapping_Sheet!$E$2:$E$3143, ISNUMBER(
Master_Mapping_Sheet!$E$2:$E$3143),
Master_Mapping_Sheet!$C$2:$C$3143=Z$1)))"),0.0)</f>
        <v>0</v>
      </c>
      <c r="AA6" s="34">
        <f>IFERROR(__xludf.DUMMYFUNCTION("IF(ISNA(sum(filter(
Master_Mapping_Sheet!$E$2:$E$3143, ISNUMBER(
Master_Mapping_Sheet!$E$2:$E$3143),
Master_Mapping_Sheet!$C$2:$C$3143=AA$1,
Master_Mapping_Sheet!$N$2:$N$3143=REGEXEXTRACT($A6,"".*_(.*)"")))/sum(filter(
Master_Mapping_Sheet!$E$2:$E$3143, I"&amp;"SNUMBER(
Master_Mapping_Sheet!$E$2:$E$3143),
Master_Mapping_Sheet!$C$2:$C$3143=AA$1))), 0, sum(filter(
Master_Mapping_Sheet!$E$2:$E$3143, ISNUMBER(
Master_Mapping_Sheet!$E$2:$E$3143),
Master_Mapping_Sheet!$C$2:$C$3143=AA$1,
Master_Mapping_Sheet!$N$2:$N$31"&amp;"43=REGEXEXTRACT($A6,"".*_(.*)"")))/sum(filter(
Master_Mapping_Sheet!$E$2:$E$3143, ISNUMBER(
Master_Mapping_Sheet!$E$2:$E$3143),
Master_Mapping_Sheet!$C$2:$C$3143=AA$1)))"),0.06227264129566783)</f>
        <v>0.0622726413</v>
      </c>
      <c r="AB6" s="34">
        <f>IFERROR(__xludf.DUMMYFUNCTION("IF(ISNA(sum(filter(
Master_Mapping_Sheet!$E$2:$E$3143, ISNUMBER(
Master_Mapping_Sheet!$E$2:$E$3143),
Master_Mapping_Sheet!$C$2:$C$3143=AB$1,
Master_Mapping_Sheet!$N$2:$N$3143=REGEXEXTRACT($A6,"".*_(.*)"")))/sum(filter(
Master_Mapping_Sheet!$E$2:$E$3143, I"&amp;"SNUMBER(
Master_Mapping_Sheet!$E$2:$E$3143),
Master_Mapping_Sheet!$C$2:$C$3143=AB$1))), 0, sum(filter(
Master_Mapping_Sheet!$E$2:$E$3143, ISNUMBER(
Master_Mapping_Sheet!$E$2:$E$3143),
Master_Mapping_Sheet!$C$2:$C$3143=AB$1,
Master_Mapping_Sheet!$N$2:$N$31"&amp;"43=REGEXEXTRACT($A6,"".*_(.*)"")))/sum(filter(
Master_Mapping_Sheet!$E$2:$E$3143, ISNUMBER(
Master_Mapping_Sheet!$E$2:$E$3143),
Master_Mapping_Sheet!$C$2:$C$3143=AB$1)))"),1.0)</f>
        <v>1</v>
      </c>
      <c r="AC6" s="34">
        <f>IFERROR(__xludf.DUMMYFUNCTION("IF(ISNA(sum(filter(
Master_Mapping_Sheet!$E$2:$E$3143, ISNUMBER(
Master_Mapping_Sheet!$E$2:$E$3143),
Master_Mapping_Sheet!$C$2:$C$3143=AC$1,
Master_Mapping_Sheet!$N$2:$N$3143=REGEXEXTRACT($A6,"".*_(.*)"")))/sum(filter(
Master_Mapping_Sheet!$E$2:$E$3143, I"&amp;"SNUMBER(
Master_Mapping_Sheet!$E$2:$E$3143),
Master_Mapping_Sheet!$C$2:$C$3143=AC$1))), 0, sum(filter(
Master_Mapping_Sheet!$E$2:$E$3143, ISNUMBER(
Master_Mapping_Sheet!$E$2:$E$3143),
Master_Mapping_Sheet!$C$2:$C$3143=AC$1,
Master_Mapping_Sheet!$N$2:$N$31"&amp;"43=REGEXEXTRACT($A6,"".*_(.*)"")))/sum(filter(
Master_Mapping_Sheet!$E$2:$E$3143, ISNUMBER(
Master_Mapping_Sheet!$E$2:$E$3143),
Master_Mapping_Sheet!$C$2:$C$3143=AC$1)))"),1.0)</f>
        <v>1</v>
      </c>
      <c r="AD6" s="34">
        <f>IFERROR(__xludf.DUMMYFUNCTION("IF(ISNA(sum(filter(
Master_Mapping_Sheet!$E$2:$E$3143, ISNUMBER(
Master_Mapping_Sheet!$E$2:$E$3143),
Master_Mapping_Sheet!$C$2:$C$3143=AD$1,
Master_Mapping_Sheet!$N$2:$N$3143=REGEXEXTRACT($A6,"".*_(.*)"")))/sum(filter(
Master_Mapping_Sheet!$E$2:$E$3143, I"&amp;"SNUMBER(
Master_Mapping_Sheet!$E$2:$E$3143),
Master_Mapping_Sheet!$C$2:$C$3143=AD$1))), 0, sum(filter(
Master_Mapping_Sheet!$E$2:$E$3143, ISNUMBER(
Master_Mapping_Sheet!$E$2:$E$3143),
Master_Mapping_Sheet!$C$2:$C$3143=AD$1,
Master_Mapping_Sheet!$N$2:$N$31"&amp;"43=REGEXEXTRACT($A6,"".*_(.*)"")))/sum(filter(
Master_Mapping_Sheet!$E$2:$E$3143, ISNUMBER(
Master_Mapping_Sheet!$E$2:$E$3143),
Master_Mapping_Sheet!$C$2:$C$3143=AD$1)))"),0.2684895885511631)</f>
        <v>0.2684895886</v>
      </c>
      <c r="AE6" s="34">
        <f>IFERROR(__xludf.DUMMYFUNCTION("IF(ISNA(sum(filter(
Master_Mapping_Sheet!$E$2:$E$3143, ISNUMBER(
Master_Mapping_Sheet!$E$2:$E$3143),
Master_Mapping_Sheet!$C$2:$C$3143=AE$1,
Master_Mapping_Sheet!$N$2:$N$3143=REGEXEXTRACT($A6,"".*_(.*)"")))/sum(filter(
Master_Mapping_Sheet!$E$2:$E$3143, I"&amp;"SNUMBER(
Master_Mapping_Sheet!$E$2:$E$3143),
Master_Mapping_Sheet!$C$2:$C$3143=AE$1))), 0, sum(filter(
Master_Mapping_Sheet!$E$2:$E$3143, ISNUMBER(
Master_Mapping_Sheet!$E$2:$E$3143),
Master_Mapping_Sheet!$C$2:$C$3143=AE$1,
Master_Mapping_Sheet!$N$2:$N$31"&amp;"43=REGEXEXTRACT($A6,"".*_(.*)"")))/sum(filter(
Master_Mapping_Sheet!$E$2:$E$3143, ISNUMBER(
Master_Mapping_Sheet!$E$2:$E$3143),
Master_Mapping_Sheet!$C$2:$C$3143=AE$1)))"),1.0)</f>
        <v>1</v>
      </c>
      <c r="AF6" s="34">
        <f>IFERROR(__xludf.DUMMYFUNCTION("IF(ISNA(sum(filter(
Master_Mapping_Sheet!$E$2:$E$3143, ISNUMBER(
Master_Mapping_Sheet!$E$2:$E$3143),
Master_Mapping_Sheet!$C$2:$C$3143=AF$1,
Master_Mapping_Sheet!$N$2:$N$3143=REGEXEXTRACT($A6,"".*_(.*)"")))/sum(filter(
Master_Mapping_Sheet!$E$2:$E$3143, I"&amp;"SNUMBER(
Master_Mapping_Sheet!$E$2:$E$3143),
Master_Mapping_Sheet!$C$2:$C$3143=AF$1))), 0, sum(filter(
Master_Mapping_Sheet!$E$2:$E$3143, ISNUMBER(
Master_Mapping_Sheet!$E$2:$E$3143),
Master_Mapping_Sheet!$C$2:$C$3143=AF$1,
Master_Mapping_Sheet!$N$2:$N$31"&amp;"43=REGEXEXTRACT($A6,"".*_(.*)"")))/sum(filter(
Master_Mapping_Sheet!$E$2:$E$3143, ISNUMBER(
Master_Mapping_Sheet!$E$2:$E$3143),
Master_Mapping_Sheet!$C$2:$C$3143=AF$1)))"),0.3340530744202812)</f>
        <v>0.3340530744</v>
      </c>
      <c r="AG6" s="34">
        <f>IFERROR(__xludf.DUMMYFUNCTION("IF(ISNA(sum(filter(
Master_Mapping_Sheet!$E$2:$E$3143, ISNUMBER(
Master_Mapping_Sheet!$E$2:$E$3143),
Master_Mapping_Sheet!$C$2:$C$3143=AG$1,
Master_Mapping_Sheet!$N$2:$N$3143=REGEXEXTRACT($A6,"".*_(.*)"")))/sum(filter(
Master_Mapping_Sheet!$E$2:$E$3143, I"&amp;"SNUMBER(
Master_Mapping_Sheet!$E$2:$E$3143),
Master_Mapping_Sheet!$C$2:$C$3143=AG$1))), 0, sum(filter(
Master_Mapping_Sheet!$E$2:$E$3143, ISNUMBER(
Master_Mapping_Sheet!$E$2:$E$3143),
Master_Mapping_Sheet!$C$2:$C$3143=AG$1,
Master_Mapping_Sheet!$N$2:$N$31"&amp;"43=REGEXEXTRACT($A6,"".*_(.*)"")))/sum(filter(
Master_Mapping_Sheet!$E$2:$E$3143, ISNUMBER(
Master_Mapping_Sheet!$E$2:$E$3143),
Master_Mapping_Sheet!$C$2:$C$3143=AG$1)))"),0.32397199923759834)</f>
        <v>0.3239719992</v>
      </c>
      <c r="AH6" s="34">
        <f>IFERROR(__xludf.DUMMYFUNCTION("IF(ISNA(sum(filter(
Master_Mapping_Sheet!$E$2:$E$3143, ISNUMBER(
Master_Mapping_Sheet!$E$2:$E$3143),
Master_Mapping_Sheet!$C$2:$C$3143=AH$1,
Master_Mapping_Sheet!$N$2:$N$3143=REGEXEXTRACT($A6,"".*_(.*)"")))/sum(filter(
Master_Mapping_Sheet!$E$2:$E$3143, I"&amp;"SNUMBER(
Master_Mapping_Sheet!$E$2:$E$3143),
Master_Mapping_Sheet!$C$2:$C$3143=AH$1))), 0, sum(filter(
Master_Mapping_Sheet!$E$2:$E$3143, ISNUMBER(
Master_Mapping_Sheet!$E$2:$E$3143),
Master_Mapping_Sheet!$C$2:$C$3143=AH$1,
Master_Mapping_Sheet!$N$2:$N$31"&amp;"43=REGEXEXTRACT($A6,"".*_(.*)"")))/sum(filter(
Master_Mapping_Sheet!$E$2:$E$3143, ISNUMBER(
Master_Mapping_Sheet!$E$2:$E$3143),
Master_Mapping_Sheet!$C$2:$C$3143=AH$1)))"),0.3789993938036349)</f>
        <v>0.3789993938</v>
      </c>
      <c r="AI6" s="34">
        <f>IFERROR(__xludf.DUMMYFUNCTION("IF(ISNA(sum(filter(
Master_Mapping_Sheet!$E$2:$E$3143, ISNUMBER(
Master_Mapping_Sheet!$E$2:$E$3143),
Master_Mapping_Sheet!$C$2:$C$3143=AI$1,
Master_Mapping_Sheet!$N$2:$N$3143=REGEXEXTRACT($A6,"".*_(.*)"")))/sum(filter(
Master_Mapping_Sheet!$E$2:$E$3143, I"&amp;"SNUMBER(
Master_Mapping_Sheet!$E$2:$E$3143),
Master_Mapping_Sheet!$C$2:$C$3143=AI$1))), 0, sum(filter(
Master_Mapping_Sheet!$E$2:$E$3143, ISNUMBER(
Master_Mapping_Sheet!$E$2:$E$3143),
Master_Mapping_Sheet!$C$2:$C$3143=AI$1,
Master_Mapping_Sheet!$N$2:$N$31"&amp;"43=REGEXEXTRACT($A6,"".*_(.*)"")))/sum(filter(
Master_Mapping_Sheet!$E$2:$E$3143, ISNUMBER(
Master_Mapping_Sheet!$E$2:$E$3143),
Master_Mapping_Sheet!$C$2:$C$3143=AI$1)))"),0.013349741142325715)</f>
        <v>0.01334974114</v>
      </c>
      <c r="AJ6" s="34">
        <f>IFERROR(__xludf.DUMMYFUNCTION("IF(ISNA(sum(filter(
Master_Mapping_Sheet!$E$2:$E$3143, ISNUMBER(
Master_Mapping_Sheet!$E$2:$E$3143),
Master_Mapping_Sheet!$C$2:$C$3143=AJ$1,
Master_Mapping_Sheet!$N$2:$N$3143=REGEXEXTRACT($A6,"".*_(.*)"")))/sum(filter(
Master_Mapping_Sheet!$E$2:$E$3143, I"&amp;"SNUMBER(
Master_Mapping_Sheet!$E$2:$E$3143),
Master_Mapping_Sheet!$C$2:$C$3143=AJ$1))), 0, sum(filter(
Master_Mapping_Sheet!$E$2:$E$3143, ISNUMBER(
Master_Mapping_Sheet!$E$2:$E$3143),
Master_Mapping_Sheet!$C$2:$C$3143=AJ$1,
Master_Mapping_Sheet!$N$2:$N$31"&amp;"43=REGEXEXTRACT($A6,"".*_(.*)"")))/sum(filter(
Master_Mapping_Sheet!$E$2:$E$3143, ISNUMBER(
Master_Mapping_Sheet!$E$2:$E$3143),
Master_Mapping_Sheet!$C$2:$C$3143=AJ$1)))"),0.3248201998658037)</f>
        <v>0.3248201999</v>
      </c>
      <c r="AK6" s="34">
        <f>IFERROR(__xludf.DUMMYFUNCTION("IF(ISNA(sum(filter(
Master_Mapping_Sheet!$E$2:$E$3143, ISNUMBER(
Master_Mapping_Sheet!$E$2:$E$3143),
Master_Mapping_Sheet!$C$2:$C$3143=AK$1,
Master_Mapping_Sheet!$N$2:$N$3143=REGEXEXTRACT($A6,"".*_(.*)"")))/sum(filter(
Master_Mapping_Sheet!$E$2:$E$3143, I"&amp;"SNUMBER(
Master_Mapping_Sheet!$E$2:$E$3143),
Master_Mapping_Sheet!$C$2:$C$3143=AK$1))), 0, sum(filter(
Master_Mapping_Sheet!$E$2:$E$3143, ISNUMBER(
Master_Mapping_Sheet!$E$2:$E$3143),
Master_Mapping_Sheet!$C$2:$C$3143=AK$1,
Master_Mapping_Sheet!$N$2:$N$31"&amp;"43=REGEXEXTRACT($A6,"".*_(.*)"")))/sum(filter(
Master_Mapping_Sheet!$E$2:$E$3143, ISNUMBER(
Master_Mapping_Sheet!$E$2:$E$3143),
Master_Mapping_Sheet!$C$2:$C$3143=AK$1)))"),0.8852039316354621)</f>
        <v>0.8852039316</v>
      </c>
      <c r="AL6" s="34">
        <f>IFERROR(__xludf.DUMMYFUNCTION("IF(ISNA(sum(filter(
Master_Mapping_Sheet!$E$2:$E$3143, ISNUMBER(
Master_Mapping_Sheet!$E$2:$E$3143),
Master_Mapping_Sheet!$C$2:$C$3143=AL$1,
Master_Mapping_Sheet!$N$2:$N$3143=REGEXEXTRACT($A6,"".*_(.*)"")))/sum(filter(
Master_Mapping_Sheet!$E$2:$E$3143, I"&amp;"SNUMBER(
Master_Mapping_Sheet!$E$2:$E$3143),
Master_Mapping_Sheet!$C$2:$C$3143=AL$1))), 0, sum(filter(
Master_Mapping_Sheet!$E$2:$E$3143, ISNUMBER(
Master_Mapping_Sheet!$E$2:$E$3143),
Master_Mapping_Sheet!$C$2:$C$3143=AL$1,
Master_Mapping_Sheet!$N$2:$N$31"&amp;"43=REGEXEXTRACT($A6,"".*_(.*)"")))/sum(filter(
Master_Mapping_Sheet!$E$2:$E$3143, ISNUMBER(
Master_Mapping_Sheet!$E$2:$E$3143),
Master_Mapping_Sheet!$C$2:$C$3143=AL$1)))"),0.0)</f>
        <v>0</v>
      </c>
      <c r="AM6" s="34">
        <f>IFERROR(__xludf.DUMMYFUNCTION("IF(ISNA(sum(filter(
Master_Mapping_Sheet!$E$2:$E$3143, ISNUMBER(
Master_Mapping_Sheet!$E$2:$E$3143),
Master_Mapping_Sheet!$C$2:$C$3143=AM$1,
Master_Mapping_Sheet!$N$2:$N$3143=REGEXEXTRACT($A6,"".*_(.*)"")))/sum(filter(
Master_Mapping_Sheet!$E$2:$E$3143, I"&amp;"SNUMBER(
Master_Mapping_Sheet!$E$2:$E$3143),
Master_Mapping_Sheet!$C$2:$C$3143=AM$1))), 0, sum(filter(
Master_Mapping_Sheet!$E$2:$E$3143, ISNUMBER(
Master_Mapping_Sheet!$E$2:$E$3143),
Master_Mapping_Sheet!$C$2:$C$3143=AM$1,
Master_Mapping_Sheet!$N$2:$N$31"&amp;"43=REGEXEXTRACT($A6,"".*_(.*)"")))/sum(filter(
Master_Mapping_Sheet!$E$2:$E$3143, ISNUMBER(
Master_Mapping_Sheet!$E$2:$E$3143),
Master_Mapping_Sheet!$C$2:$C$3143=AM$1)))"),0.13802045562884122)</f>
        <v>0.1380204556</v>
      </c>
      <c r="AN6" s="34">
        <f>IFERROR(__xludf.DUMMYFUNCTION("IF(ISNA(sum(filter(
Master_Mapping_Sheet!$E$2:$E$3143, ISNUMBER(
Master_Mapping_Sheet!$E$2:$E$3143),
Master_Mapping_Sheet!$C$2:$C$3143=AN$1,
Master_Mapping_Sheet!$N$2:$N$3143=REGEXEXTRACT($A6,"".*_(.*)"")))/sum(filter(
Master_Mapping_Sheet!$E$2:$E$3143, I"&amp;"SNUMBER(
Master_Mapping_Sheet!$E$2:$E$3143),
Master_Mapping_Sheet!$C$2:$C$3143=AN$1))), 0, sum(filter(
Master_Mapping_Sheet!$E$2:$E$3143, ISNUMBER(
Master_Mapping_Sheet!$E$2:$E$3143),
Master_Mapping_Sheet!$C$2:$C$3143=AN$1,
Master_Mapping_Sheet!$N$2:$N$31"&amp;"43=REGEXEXTRACT($A6,"".*_(.*)"")))/sum(filter(
Master_Mapping_Sheet!$E$2:$E$3143, ISNUMBER(
Master_Mapping_Sheet!$E$2:$E$3143),
Master_Mapping_Sheet!$C$2:$C$3143=AN$1)))"),0.6407556024939045)</f>
        <v>0.6407556025</v>
      </c>
      <c r="AO6" s="34">
        <f>IFERROR(__xludf.DUMMYFUNCTION("IF(ISNA(sum(filter(
Master_Mapping_Sheet!$E$2:$E$3143, ISNUMBER(
Master_Mapping_Sheet!$E$2:$E$3143),
Master_Mapping_Sheet!$C$2:$C$3143=AO$1,
Master_Mapping_Sheet!$N$2:$N$3143=REGEXEXTRACT($A6,"".*_(.*)"")))/sum(filter(
Master_Mapping_Sheet!$E$2:$E$3143, I"&amp;"SNUMBER(
Master_Mapping_Sheet!$E$2:$E$3143),
Master_Mapping_Sheet!$C$2:$C$3143=AO$1))), 0, sum(filter(
Master_Mapping_Sheet!$E$2:$E$3143, ISNUMBER(
Master_Mapping_Sheet!$E$2:$E$3143),
Master_Mapping_Sheet!$C$2:$C$3143=AO$1,
Master_Mapping_Sheet!$N$2:$N$31"&amp;"43=REGEXEXTRACT($A6,"".*_(.*)"")))/sum(filter(
Master_Mapping_Sheet!$E$2:$E$3143, ISNUMBER(
Master_Mapping_Sheet!$E$2:$E$3143),
Master_Mapping_Sheet!$C$2:$C$3143=AO$1)))"),1.0)</f>
        <v>1</v>
      </c>
      <c r="AP6" s="34">
        <f>IFERROR(__xludf.DUMMYFUNCTION("IF(ISNA(sum(filter(
Master_Mapping_Sheet!$E$2:$E$3143, ISNUMBER(
Master_Mapping_Sheet!$E$2:$E$3143),
Master_Mapping_Sheet!$C$2:$C$3143=AP$1,
Master_Mapping_Sheet!$N$2:$N$3143=REGEXEXTRACT($A6,"".*_(.*)"")))/sum(filter(
Master_Mapping_Sheet!$E$2:$E$3143, I"&amp;"SNUMBER(
Master_Mapping_Sheet!$E$2:$E$3143),
Master_Mapping_Sheet!$C$2:$C$3143=AP$1))), 0, sum(filter(
Master_Mapping_Sheet!$E$2:$E$3143, ISNUMBER(
Master_Mapping_Sheet!$E$2:$E$3143),
Master_Mapping_Sheet!$C$2:$C$3143=AP$1,
Master_Mapping_Sheet!$N$2:$N$31"&amp;"43=REGEXEXTRACT($A6,"".*_(.*)"")))/sum(filter(
Master_Mapping_Sheet!$E$2:$E$3143, ISNUMBER(
Master_Mapping_Sheet!$E$2:$E$3143),
Master_Mapping_Sheet!$C$2:$C$3143=AP$1)))"),0.0)</f>
        <v>0</v>
      </c>
      <c r="AQ6" s="34">
        <f>IFERROR(__xludf.DUMMYFUNCTION("IF(ISNA(sum(filter(
Master_Mapping_Sheet!$E$2:$E$3143, ISNUMBER(
Master_Mapping_Sheet!$E$2:$E$3143),
Master_Mapping_Sheet!$C$2:$C$3143=AQ$1,
Master_Mapping_Sheet!$N$2:$N$3143=REGEXEXTRACT($A6,"".*_(.*)"")))/sum(filter(
Master_Mapping_Sheet!$E$2:$E$3143, I"&amp;"SNUMBER(
Master_Mapping_Sheet!$E$2:$E$3143),
Master_Mapping_Sheet!$C$2:$C$3143=AQ$1))), 0, sum(filter(
Master_Mapping_Sheet!$E$2:$E$3143, ISNUMBER(
Master_Mapping_Sheet!$E$2:$E$3143),
Master_Mapping_Sheet!$C$2:$C$3143=AQ$1,
Master_Mapping_Sheet!$N$2:$N$31"&amp;"43=REGEXEXTRACT($A6,"".*_(.*)"")))/sum(filter(
Master_Mapping_Sheet!$E$2:$E$3143, ISNUMBER(
Master_Mapping_Sheet!$E$2:$E$3143),
Master_Mapping_Sheet!$C$2:$C$3143=AQ$1)))"),1.0)</f>
        <v>1</v>
      </c>
      <c r="AR6" s="34">
        <f>IFERROR(__xludf.DUMMYFUNCTION("IF(ISNA(sum(filter(
Master_Mapping_Sheet!$E$2:$E$3143, ISNUMBER(
Master_Mapping_Sheet!$E$2:$E$3143),
Master_Mapping_Sheet!$C$2:$C$3143=AR$1,
Master_Mapping_Sheet!$N$2:$N$3143=REGEXEXTRACT($A6,"".*_(.*)"")))/sum(filter(
Master_Mapping_Sheet!$E$2:$E$3143, I"&amp;"SNUMBER(
Master_Mapping_Sheet!$E$2:$E$3143),
Master_Mapping_Sheet!$C$2:$C$3143=AR$1))), 0, sum(filter(
Master_Mapping_Sheet!$E$2:$E$3143, ISNUMBER(
Master_Mapping_Sheet!$E$2:$E$3143),
Master_Mapping_Sheet!$C$2:$C$3143=AR$1,
Master_Mapping_Sheet!$N$2:$N$31"&amp;"43=REGEXEXTRACT($A6,"".*_(.*)"")))/sum(filter(
Master_Mapping_Sheet!$E$2:$E$3143, ISNUMBER(
Master_Mapping_Sheet!$E$2:$E$3143),
Master_Mapping_Sheet!$C$2:$C$3143=AR$1)))"),0.0)</f>
        <v>0</v>
      </c>
      <c r="AS6" s="34">
        <f>IFERROR(__xludf.DUMMYFUNCTION("IF(ISNA(sum(filter(
Master_Mapping_Sheet!$E$2:$E$3143, ISNUMBER(
Master_Mapping_Sheet!$E$2:$E$3143),
Master_Mapping_Sheet!$C$2:$C$3143=AS$1,
Master_Mapping_Sheet!$N$2:$N$3143=REGEXEXTRACT($A6,"".*_(.*)"")))/sum(filter(
Master_Mapping_Sheet!$E$2:$E$3143, I"&amp;"SNUMBER(
Master_Mapping_Sheet!$E$2:$E$3143),
Master_Mapping_Sheet!$C$2:$C$3143=AS$1))), 0, sum(filter(
Master_Mapping_Sheet!$E$2:$E$3143, ISNUMBER(
Master_Mapping_Sheet!$E$2:$E$3143),
Master_Mapping_Sheet!$C$2:$C$3143=AS$1,
Master_Mapping_Sheet!$N$2:$N$31"&amp;"43=REGEXEXTRACT($A6,"".*_(.*)"")))/sum(filter(
Master_Mapping_Sheet!$E$2:$E$3143, ISNUMBER(
Master_Mapping_Sheet!$E$2:$E$3143),
Master_Mapping_Sheet!$C$2:$C$3143=AS$1)))"),0.0)</f>
        <v>0</v>
      </c>
      <c r="AT6" s="34">
        <f>IFERROR(__xludf.DUMMYFUNCTION("IF(ISNA(sum(filter(
Master_Mapping_Sheet!$E$2:$E$3143, ISNUMBER(
Master_Mapping_Sheet!$E$2:$E$3143),
Master_Mapping_Sheet!$C$2:$C$3143=AT$1,
Master_Mapping_Sheet!$N$2:$N$3143=REGEXEXTRACT($A6,"".*_(.*)"")))/sum(filter(
Master_Mapping_Sheet!$E$2:$E$3143, I"&amp;"SNUMBER(
Master_Mapping_Sheet!$E$2:$E$3143),
Master_Mapping_Sheet!$C$2:$C$3143=AT$1))), 0, sum(filter(
Master_Mapping_Sheet!$E$2:$E$3143, ISNUMBER(
Master_Mapping_Sheet!$E$2:$E$3143),
Master_Mapping_Sheet!$C$2:$C$3143=AT$1,
Master_Mapping_Sheet!$N$2:$N$31"&amp;"43=REGEXEXTRACT($A6,"".*_(.*)"")))/sum(filter(
Master_Mapping_Sheet!$E$2:$E$3143, ISNUMBER(
Master_Mapping_Sheet!$E$2:$E$3143),
Master_Mapping_Sheet!$C$2:$C$3143=AT$1)))"),0.9407642607645885)</f>
        <v>0.9407642608</v>
      </c>
      <c r="AU6" s="34">
        <f>IFERROR(__xludf.DUMMYFUNCTION("IF(ISNA(sum(filter(
Master_Mapping_Sheet!$E$2:$E$3143, ISNUMBER(
Master_Mapping_Sheet!$E$2:$E$3143),
Master_Mapping_Sheet!$C$2:$C$3143=AU$1,
Master_Mapping_Sheet!$N$2:$N$3143=REGEXEXTRACT($A6,"".*_(.*)"")))/sum(filter(
Master_Mapping_Sheet!$E$2:$E$3143, I"&amp;"SNUMBER(
Master_Mapping_Sheet!$E$2:$E$3143),
Master_Mapping_Sheet!$C$2:$C$3143=AU$1))), 0, sum(filter(
Master_Mapping_Sheet!$E$2:$E$3143, ISNUMBER(
Master_Mapping_Sheet!$E$2:$E$3143),
Master_Mapping_Sheet!$C$2:$C$3143=AU$1,
Master_Mapping_Sheet!$N$2:$N$31"&amp;"43=REGEXEXTRACT($A6,"".*_(.*)"")))/sum(filter(
Master_Mapping_Sheet!$E$2:$E$3143, ISNUMBER(
Master_Mapping_Sheet!$E$2:$E$3143),
Master_Mapping_Sheet!$C$2:$C$3143=AU$1)))"),1.0)</f>
        <v>1</v>
      </c>
      <c r="AV6" s="34">
        <f>IFERROR(__xludf.DUMMYFUNCTION("IF(ISNA(sum(filter(
Master_Mapping_Sheet!$E$2:$E$3143, ISNUMBER(
Master_Mapping_Sheet!$E$2:$E$3143),
Master_Mapping_Sheet!$C$2:$C$3143=AV$1,
Master_Mapping_Sheet!$N$2:$N$3143=REGEXEXTRACT($A6,"".*_(.*)"")))/sum(filter(
Master_Mapping_Sheet!$E$2:$E$3143, I"&amp;"SNUMBER(
Master_Mapping_Sheet!$E$2:$E$3143),
Master_Mapping_Sheet!$C$2:$C$3143=AV$1))), 0, sum(filter(
Master_Mapping_Sheet!$E$2:$E$3143, ISNUMBER(
Master_Mapping_Sheet!$E$2:$E$3143),
Master_Mapping_Sheet!$C$2:$C$3143=AV$1,
Master_Mapping_Sheet!$N$2:$N$31"&amp;"43=REGEXEXTRACT($A6,"".*_(.*)"")))/sum(filter(
Master_Mapping_Sheet!$E$2:$E$3143, ISNUMBER(
Master_Mapping_Sheet!$E$2:$E$3143),
Master_Mapping_Sheet!$C$2:$C$3143=AV$1)))"),0.0)</f>
        <v>0</v>
      </c>
      <c r="AW6" s="34">
        <f>IFERROR(__xludf.DUMMYFUNCTION("IF(ISNA(sum(filter(
Master_Mapping_Sheet!$E$2:$E$3143, ISNUMBER(
Master_Mapping_Sheet!$E$2:$E$3143),
Master_Mapping_Sheet!$C$2:$C$3143=AW$1,
Master_Mapping_Sheet!$N$2:$N$3143=REGEXEXTRACT($A6,"".*_(.*)"")))/sum(filter(
Master_Mapping_Sheet!$E$2:$E$3143, I"&amp;"SNUMBER(
Master_Mapping_Sheet!$E$2:$E$3143),
Master_Mapping_Sheet!$C$2:$C$3143=AW$1))), 0, sum(filter(
Master_Mapping_Sheet!$E$2:$E$3143, ISNUMBER(
Master_Mapping_Sheet!$E$2:$E$3143),
Master_Mapping_Sheet!$C$2:$C$3143=AW$1,
Master_Mapping_Sheet!$N$2:$N$31"&amp;"43=REGEXEXTRACT($A6,"".*_(.*)"")))/sum(filter(
Master_Mapping_Sheet!$E$2:$E$3143, ISNUMBER(
Master_Mapping_Sheet!$E$2:$E$3143),
Master_Mapping_Sheet!$C$2:$C$3143=AW$1)))"),0.21977439817327285)</f>
        <v>0.2197743982</v>
      </c>
      <c r="AX6" s="34">
        <f>IFERROR(__xludf.DUMMYFUNCTION("IF(ISNA(sum(filter(
Master_Mapping_Sheet!$E$2:$E$3143, ISNUMBER(
Master_Mapping_Sheet!$E$2:$E$3143),
Master_Mapping_Sheet!$C$2:$C$3143=AX$1,
Master_Mapping_Sheet!$N$2:$N$3143=REGEXEXTRACT($A6,"".*_(.*)"")))/sum(filter(
Master_Mapping_Sheet!$E$2:$E$3143, I"&amp;"SNUMBER(
Master_Mapping_Sheet!$E$2:$E$3143),
Master_Mapping_Sheet!$C$2:$C$3143=AX$1))), 0, sum(filter(
Master_Mapping_Sheet!$E$2:$E$3143, ISNUMBER(
Master_Mapping_Sheet!$E$2:$E$3143),
Master_Mapping_Sheet!$C$2:$C$3143=AX$1,
Master_Mapping_Sheet!$N$2:$N$31"&amp;"43=REGEXEXTRACT($A6,"".*_(.*)"")))/sum(filter(
Master_Mapping_Sheet!$E$2:$E$3143, ISNUMBER(
Master_Mapping_Sheet!$E$2:$E$3143),
Master_Mapping_Sheet!$C$2:$C$3143=AX$1)))"),0.44436240128220844)</f>
        <v>0.4443624013</v>
      </c>
      <c r="AY6" s="34">
        <f>IFERROR(__xludf.DUMMYFUNCTION("IF(ISNA(sum(filter(
Master_Mapping_Sheet!$E$2:$E$3143, ISNUMBER(
Master_Mapping_Sheet!$E$2:$E$3143),
Master_Mapping_Sheet!$C$2:$C$3143=AY$1,
Master_Mapping_Sheet!$N$2:$N$3143=REGEXEXTRACT($A6,"".*_(.*)"")))/sum(filter(
Master_Mapping_Sheet!$E$2:$E$3143, I"&amp;"SNUMBER(
Master_Mapping_Sheet!$E$2:$E$3143),
Master_Mapping_Sheet!$C$2:$C$3143=AY$1))), 0, sum(filter(
Master_Mapping_Sheet!$E$2:$E$3143, ISNUMBER(
Master_Mapping_Sheet!$E$2:$E$3143),
Master_Mapping_Sheet!$C$2:$C$3143=AY$1,
Master_Mapping_Sheet!$N$2:$N$31"&amp;"43=REGEXEXTRACT($A6,"".*_(.*)"")))/sum(filter(
Master_Mapping_Sheet!$E$2:$E$3143, ISNUMBER(
Master_Mapping_Sheet!$E$2:$E$3143),
Master_Mapping_Sheet!$C$2:$C$3143=AY$1)))"),0.9502616751438643)</f>
        <v>0.9502616751</v>
      </c>
      <c r="AZ6" s="34">
        <f>IFERROR(__xludf.DUMMYFUNCTION("IF(ISNA(sum(filter(
Master_Mapping_Sheet!$E$2:$E$3143, ISNUMBER(
Master_Mapping_Sheet!$E$2:$E$3143),
Master_Mapping_Sheet!$C$2:$C$3143=AZ$1,
Master_Mapping_Sheet!$N$2:$N$3143=REGEXEXTRACT($A6,"".*_(.*)"")))/sum(filter(
Master_Mapping_Sheet!$E$2:$E$3143, I"&amp;"SNUMBER(
Master_Mapping_Sheet!$E$2:$E$3143),
Master_Mapping_Sheet!$C$2:$C$3143=AZ$1))), 0, sum(filter(
Master_Mapping_Sheet!$E$2:$E$3143, ISNUMBER(
Master_Mapping_Sheet!$E$2:$E$3143),
Master_Mapping_Sheet!$C$2:$C$3143=AZ$1,
Master_Mapping_Sheet!$N$2:$N$31"&amp;"43=REGEXEXTRACT($A6,"".*_(.*)"")))/sum(filter(
Master_Mapping_Sheet!$E$2:$E$3143, ISNUMBER(
Master_Mapping_Sheet!$E$2:$E$3143),
Master_Mapping_Sheet!$C$2:$C$3143=AZ$1)))"),0.9091167471668005)</f>
        <v>0.9091167472</v>
      </c>
    </row>
    <row r="7" ht="15.75" customHeight="1">
      <c r="A7" s="45" t="s">
        <v>4265</v>
      </c>
      <c r="B7" s="34">
        <f>IFERROR(__xludf.DUMMYFUNCTION("IF(ISNA(sum(filter(
Master_Mapping_Sheet!$E$2:$E$3143, ISNUMBER(
Master_Mapping_Sheet!$E$2:$E$3143),
Master_Mapping_Sheet!$C$2:$C$3143=B$1,
Master_Mapping_Sheet!$N$2:$N$3143=REGEXEXTRACT($A7,"".*_(.*)"")))/sum(filter(
Master_Mapping_Sheet!$E$2:$E$3143, IS"&amp;"NUMBER(
Master_Mapping_Sheet!$E$2:$E$3143),
Master_Mapping_Sheet!$C$2:$C$3143=B$1))), 0, sum(filter(
Master_Mapping_Sheet!$E$2:$E$3143, ISNUMBER(
Master_Mapping_Sheet!$E$2:$E$3143),
Master_Mapping_Sheet!$C$2:$C$3143=B$1,
Master_Mapping_Sheet!$N$2:$N$3143="&amp;"REGEXEXTRACT($A7,"".*_(.*)"")))/sum(filter(
Master_Mapping_Sheet!$E$2:$E$3143, ISNUMBER(
Master_Mapping_Sheet!$E$2:$E$3143),
Master_Mapping_Sheet!$C$2:$C$3143=B$1)))"),0.0)</f>
        <v>0</v>
      </c>
      <c r="C7" s="34">
        <f>IFERROR(__xludf.DUMMYFUNCTION("IF(ISNA(sum(filter(
Master_Mapping_Sheet!$E$2:$E$3143, ISNUMBER(
Master_Mapping_Sheet!$E$2:$E$3143),
Master_Mapping_Sheet!$C$2:$C$3143=C$1,
Master_Mapping_Sheet!$N$2:$N$3143=REGEXEXTRACT($A7,"".*_(.*)"")))/sum(filter(
Master_Mapping_Sheet!$E$2:$E$3143, IS"&amp;"NUMBER(
Master_Mapping_Sheet!$E$2:$E$3143),
Master_Mapping_Sheet!$C$2:$C$3143=C$1))), 0, sum(filter(
Master_Mapping_Sheet!$E$2:$E$3143, ISNUMBER(
Master_Mapping_Sheet!$E$2:$E$3143),
Master_Mapping_Sheet!$C$2:$C$3143=C$1,
Master_Mapping_Sheet!$N$2:$N$3143="&amp;"REGEXEXTRACT($A7,"".*_(.*)"")))/sum(filter(
Master_Mapping_Sheet!$E$2:$E$3143, ISNUMBER(
Master_Mapping_Sheet!$E$2:$E$3143),
Master_Mapping_Sheet!$C$2:$C$3143=C$1)))"),0.0)</f>
        <v>0</v>
      </c>
      <c r="D7" s="34">
        <f>IFERROR(__xludf.DUMMYFUNCTION("IF(ISNA(sum(filter(
Master_Mapping_Sheet!$E$2:$E$3143, ISNUMBER(
Master_Mapping_Sheet!$E$2:$E$3143),
Master_Mapping_Sheet!$C$2:$C$3143=D$1,
Master_Mapping_Sheet!$N$2:$N$3143=REGEXEXTRACT($A7,"".*_(.*)"")))/sum(filter(
Master_Mapping_Sheet!$E$2:$E$3143, IS"&amp;"NUMBER(
Master_Mapping_Sheet!$E$2:$E$3143),
Master_Mapping_Sheet!$C$2:$C$3143=D$1))), 0, sum(filter(
Master_Mapping_Sheet!$E$2:$E$3143, ISNUMBER(
Master_Mapping_Sheet!$E$2:$E$3143),
Master_Mapping_Sheet!$C$2:$C$3143=D$1,
Master_Mapping_Sheet!$N$2:$N$3143="&amp;"REGEXEXTRACT($A7,"".*_(.*)"")))/sum(filter(
Master_Mapping_Sheet!$E$2:$E$3143, ISNUMBER(
Master_Mapping_Sheet!$E$2:$E$3143),
Master_Mapping_Sheet!$C$2:$C$3143=D$1)))"),0.9163318236916499)</f>
        <v>0.9163318237</v>
      </c>
      <c r="E7" s="34">
        <f>IFERROR(__xludf.DUMMYFUNCTION("IF(ISNA(sum(filter(
Master_Mapping_Sheet!$E$2:$E$3143, ISNUMBER(
Master_Mapping_Sheet!$E$2:$E$3143),
Master_Mapping_Sheet!$C$2:$C$3143=E$1,
Master_Mapping_Sheet!$N$2:$N$3143=REGEXEXTRACT($A7,"".*_(.*)"")))/sum(filter(
Master_Mapping_Sheet!$E$2:$E$3143, IS"&amp;"NUMBER(
Master_Mapping_Sheet!$E$2:$E$3143),
Master_Mapping_Sheet!$C$2:$C$3143=E$1))), 0, sum(filter(
Master_Mapping_Sheet!$E$2:$E$3143, ISNUMBER(
Master_Mapping_Sheet!$E$2:$E$3143),
Master_Mapping_Sheet!$C$2:$C$3143=E$1,
Master_Mapping_Sheet!$N$2:$N$3143="&amp;"REGEXEXTRACT($A7,"".*_(.*)"")))/sum(filter(
Master_Mapping_Sheet!$E$2:$E$3143, ISNUMBER(
Master_Mapping_Sheet!$E$2:$E$3143),
Master_Mapping_Sheet!$C$2:$C$3143=E$1)))"),0.0)</f>
        <v>0</v>
      </c>
      <c r="F7" s="34">
        <f>IFERROR(__xludf.DUMMYFUNCTION("IF(ISNA(sum(filter(
Master_Mapping_Sheet!$E$2:$E$3143, ISNUMBER(
Master_Mapping_Sheet!$E$2:$E$3143),
Master_Mapping_Sheet!$C$2:$C$3143=F$1,
Master_Mapping_Sheet!$N$2:$N$3143=REGEXEXTRACT($A7,"".*_(.*)"")))/sum(filter(
Master_Mapping_Sheet!$E$2:$E$3143, IS"&amp;"NUMBER(
Master_Mapping_Sheet!$E$2:$E$3143),
Master_Mapping_Sheet!$C$2:$C$3143=F$1))), 0, sum(filter(
Master_Mapping_Sheet!$E$2:$E$3143, ISNUMBER(
Master_Mapping_Sheet!$E$2:$E$3143),
Master_Mapping_Sheet!$C$2:$C$3143=F$1,
Master_Mapping_Sheet!$N$2:$N$3143="&amp;"REGEXEXTRACT($A7,"".*_(.*)"")))/sum(filter(
Master_Mapping_Sheet!$E$2:$E$3143, ISNUMBER(
Master_Mapping_Sheet!$E$2:$E$3143),
Master_Mapping_Sheet!$C$2:$C$3143=F$1)))"),0.7654368348695206)</f>
        <v>0.7654368349</v>
      </c>
      <c r="G7" s="34">
        <f>IFERROR(__xludf.DUMMYFUNCTION("IF(ISNA(sum(filter(
Master_Mapping_Sheet!$E$2:$E$3143, ISNUMBER(
Master_Mapping_Sheet!$E$2:$E$3143),
Master_Mapping_Sheet!$C$2:$C$3143=G$1,
Master_Mapping_Sheet!$N$2:$N$3143=REGEXEXTRACT($A7,"".*_(.*)"")))/sum(filter(
Master_Mapping_Sheet!$E$2:$E$3143, IS"&amp;"NUMBER(
Master_Mapping_Sheet!$E$2:$E$3143),
Master_Mapping_Sheet!$C$2:$C$3143=G$1))), 0, sum(filter(
Master_Mapping_Sheet!$E$2:$E$3143, ISNUMBER(
Master_Mapping_Sheet!$E$2:$E$3143),
Master_Mapping_Sheet!$C$2:$C$3143=G$1,
Master_Mapping_Sheet!$N$2:$N$3143="&amp;"REGEXEXTRACT($A7,"".*_(.*)"")))/sum(filter(
Master_Mapping_Sheet!$E$2:$E$3143, ISNUMBER(
Master_Mapping_Sheet!$E$2:$E$3143),
Master_Mapping_Sheet!$C$2:$C$3143=G$1)))"),0.0)</f>
        <v>0</v>
      </c>
      <c r="H7" s="34">
        <f>IFERROR(__xludf.DUMMYFUNCTION("IF(ISNA(sum(filter(
Master_Mapping_Sheet!$E$2:$E$3143, ISNUMBER(
Master_Mapping_Sheet!$E$2:$E$3143),
Master_Mapping_Sheet!$C$2:$C$3143=H$1,
Master_Mapping_Sheet!$N$2:$N$3143=REGEXEXTRACT($A7,"".*_(.*)"")))/sum(filter(
Master_Mapping_Sheet!$E$2:$E$3143, IS"&amp;"NUMBER(
Master_Mapping_Sheet!$E$2:$E$3143),
Master_Mapping_Sheet!$C$2:$C$3143=H$1))), 0, sum(filter(
Master_Mapping_Sheet!$E$2:$E$3143, ISNUMBER(
Master_Mapping_Sheet!$E$2:$E$3143),
Master_Mapping_Sheet!$C$2:$C$3143=H$1,
Master_Mapping_Sheet!$N$2:$N$3143="&amp;"REGEXEXTRACT($A7,"".*_(.*)"")))/sum(filter(
Master_Mapping_Sheet!$E$2:$E$3143, ISNUMBER(
Master_Mapping_Sheet!$E$2:$E$3143),
Master_Mapping_Sheet!$C$2:$C$3143=H$1)))"),0.0)</f>
        <v>0</v>
      </c>
      <c r="I7" s="34">
        <f>IFERROR(__xludf.DUMMYFUNCTION("IF(ISNA(sum(filter(
Master_Mapping_Sheet!$E$2:$E$3143, ISNUMBER(
Master_Mapping_Sheet!$E$2:$E$3143),
Master_Mapping_Sheet!$C$2:$C$3143=I$1,
Master_Mapping_Sheet!$N$2:$N$3143=REGEXEXTRACT($A7,"".*_(.*)"")))/sum(filter(
Master_Mapping_Sheet!$E$2:$E$3143, IS"&amp;"NUMBER(
Master_Mapping_Sheet!$E$2:$E$3143),
Master_Mapping_Sheet!$C$2:$C$3143=I$1))), 0, sum(filter(
Master_Mapping_Sheet!$E$2:$E$3143, ISNUMBER(
Master_Mapping_Sheet!$E$2:$E$3143),
Master_Mapping_Sheet!$C$2:$C$3143=I$1,
Master_Mapping_Sheet!$N$2:$N$3143="&amp;"REGEXEXTRACT($A7,"".*_(.*)"")))/sum(filter(
Master_Mapping_Sheet!$E$2:$E$3143, ISNUMBER(
Master_Mapping_Sheet!$E$2:$E$3143),
Master_Mapping_Sheet!$C$2:$C$3143=I$1)))"),0.0)</f>
        <v>0</v>
      </c>
      <c r="J7" s="34">
        <f>IFERROR(__xludf.DUMMYFUNCTION("IF(ISNA(sum(filter(
Master_Mapping_Sheet!$E$2:$E$3143, ISNUMBER(
Master_Mapping_Sheet!$E$2:$E$3143),
Master_Mapping_Sheet!$C$2:$C$3143=J$1,
Master_Mapping_Sheet!$N$2:$N$3143=REGEXEXTRACT($A7,"".*_(.*)"")))/sum(filter(
Master_Mapping_Sheet!$E$2:$E$3143, IS"&amp;"NUMBER(
Master_Mapping_Sheet!$E$2:$E$3143),
Master_Mapping_Sheet!$C$2:$C$3143=J$1))), 0, sum(filter(
Master_Mapping_Sheet!$E$2:$E$3143, ISNUMBER(
Master_Mapping_Sheet!$E$2:$E$3143),
Master_Mapping_Sheet!$C$2:$C$3143=J$1,
Master_Mapping_Sheet!$N$2:$N$3143="&amp;"REGEXEXTRACT($A7,"".*_(.*)"")))/sum(filter(
Master_Mapping_Sheet!$E$2:$E$3143, ISNUMBER(
Master_Mapping_Sheet!$E$2:$E$3143),
Master_Mapping_Sheet!$C$2:$C$3143=J$1)))"),0.0)</f>
        <v>0</v>
      </c>
      <c r="K7" s="34">
        <f>IFERROR(__xludf.DUMMYFUNCTION("IF(ISNA(sum(filter(
Master_Mapping_Sheet!$E$2:$E$3143, ISNUMBER(
Master_Mapping_Sheet!$E$2:$E$3143),
Master_Mapping_Sheet!$C$2:$C$3143=K$1,
Master_Mapping_Sheet!$N$2:$N$3143=REGEXEXTRACT($A7,"".*_(.*)"")))/sum(filter(
Master_Mapping_Sheet!$E$2:$E$3143, IS"&amp;"NUMBER(
Master_Mapping_Sheet!$E$2:$E$3143),
Master_Mapping_Sheet!$C$2:$C$3143=K$1))), 0, sum(filter(
Master_Mapping_Sheet!$E$2:$E$3143, ISNUMBER(
Master_Mapping_Sheet!$E$2:$E$3143),
Master_Mapping_Sheet!$C$2:$C$3143=K$1,
Master_Mapping_Sheet!$N$2:$N$3143="&amp;"REGEXEXTRACT($A7,"".*_(.*)"")))/sum(filter(
Master_Mapping_Sheet!$E$2:$E$3143, ISNUMBER(
Master_Mapping_Sheet!$E$2:$E$3143),
Master_Mapping_Sheet!$C$2:$C$3143=K$1)))"),0.0)</f>
        <v>0</v>
      </c>
      <c r="L7" s="34">
        <f>IFERROR(__xludf.DUMMYFUNCTION("IF(ISNA(sum(filter(
Master_Mapping_Sheet!$E$2:$E$3143, ISNUMBER(
Master_Mapping_Sheet!$E$2:$E$3143),
Master_Mapping_Sheet!$C$2:$C$3143=L$1,
Master_Mapping_Sheet!$N$2:$N$3143=REGEXEXTRACT($A7,"".*_(.*)"")))/sum(filter(
Master_Mapping_Sheet!$E$2:$E$3143, IS"&amp;"NUMBER(
Master_Mapping_Sheet!$E$2:$E$3143),
Master_Mapping_Sheet!$C$2:$C$3143=L$1))), 0, sum(filter(
Master_Mapping_Sheet!$E$2:$E$3143, ISNUMBER(
Master_Mapping_Sheet!$E$2:$E$3143),
Master_Mapping_Sheet!$C$2:$C$3143=L$1,
Master_Mapping_Sheet!$N$2:$N$3143="&amp;"REGEXEXTRACT($A7,"".*_(.*)"")))/sum(filter(
Master_Mapping_Sheet!$E$2:$E$3143, ISNUMBER(
Master_Mapping_Sheet!$E$2:$E$3143),
Master_Mapping_Sheet!$C$2:$C$3143=L$1)))"),0.0)</f>
        <v>0</v>
      </c>
      <c r="M7" s="34">
        <f>IFERROR(__xludf.DUMMYFUNCTION("IF(ISNA(sum(filter(
Master_Mapping_Sheet!$E$2:$E$3143, ISNUMBER(
Master_Mapping_Sheet!$E$2:$E$3143),
Master_Mapping_Sheet!$C$2:$C$3143=M$1,
Master_Mapping_Sheet!$N$2:$N$3143=REGEXEXTRACT($A7,"".*_(.*)"")))/sum(filter(
Master_Mapping_Sheet!$E$2:$E$3143, IS"&amp;"NUMBER(
Master_Mapping_Sheet!$E$2:$E$3143),
Master_Mapping_Sheet!$C$2:$C$3143=M$1))), 0, sum(filter(
Master_Mapping_Sheet!$E$2:$E$3143, ISNUMBER(
Master_Mapping_Sheet!$E$2:$E$3143),
Master_Mapping_Sheet!$C$2:$C$3143=M$1,
Master_Mapping_Sheet!$N$2:$N$3143="&amp;"REGEXEXTRACT($A7,"".*_(.*)"")))/sum(filter(
Master_Mapping_Sheet!$E$2:$E$3143, ISNUMBER(
Master_Mapping_Sheet!$E$2:$E$3143),
Master_Mapping_Sheet!$C$2:$C$3143=M$1)))"),0.0)</f>
        <v>0</v>
      </c>
      <c r="N7" s="34">
        <f>IFERROR(__xludf.DUMMYFUNCTION("IF(ISNA(sum(filter(
Master_Mapping_Sheet!$E$2:$E$3143, ISNUMBER(
Master_Mapping_Sheet!$E$2:$E$3143),
Master_Mapping_Sheet!$C$2:$C$3143=N$1,
Master_Mapping_Sheet!$N$2:$N$3143=REGEXEXTRACT($A7,"".*_(.*)"")))/sum(filter(
Master_Mapping_Sheet!$E$2:$E$3143, IS"&amp;"NUMBER(
Master_Mapping_Sheet!$E$2:$E$3143),
Master_Mapping_Sheet!$C$2:$C$3143=N$1))), 0, sum(filter(
Master_Mapping_Sheet!$E$2:$E$3143, ISNUMBER(
Master_Mapping_Sheet!$E$2:$E$3143),
Master_Mapping_Sheet!$C$2:$C$3143=N$1,
Master_Mapping_Sheet!$N$2:$N$3143="&amp;"REGEXEXTRACT($A7,"".*_(.*)"")))/sum(filter(
Master_Mapping_Sheet!$E$2:$E$3143, ISNUMBER(
Master_Mapping_Sheet!$E$2:$E$3143),
Master_Mapping_Sheet!$C$2:$C$3143=N$1)))"),0.0)</f>
        <v>0</v>
      </c>
      <c r="O7" s="34">
        <f>IFERROR(__xludf.DUMMYFUNCTION("IF(ISNA(sum(filter(
Master_Mapping_Sheet!$E$2:$E$3143, ISNUMBER(
Master_Mapping_Sheet!$E$2:$E$3143),
Master_Mapping_Sheet!$C$2:$C$3143=O$1,
Master_Mapping_Sheet!$N$2:$N$3143=REGEXEXTRACT($A7,"".*_(.*)"")))/sum(filter(
Master_Mapping_Sheet!$E$2:$E$3143, IS"&amp;"NUMBER(
Master_Mapping_Sheet!$E$2:$E$3143),
Master_Mapping_Sheet!$C$2:$C$3143=O$1))), 0, sum(filter(
Master_Mapping_Sheet!$E$2:$E$3143, ISNUMBER(
Master_Mapping_Sheet!$E$2:$E$3143),
Master_Mapping_Sheet!$C$2:$C$3143=O$1,
Master_Mapping_Sheet!$N$2:$N$3143="&amp;"REGEXEXTRACT($A7,"".*_(.*)"")))/sum(filter(
Master_Mapping_Sheet!$E$2:$E$3143, ISNUMBER(
Master_Mapping_Sheet!$E$2:$E$3143),
Master_Mapping_Sheet!$C$2:$C$3143=O$1)))"),0.0)</f>
        <v>0</v>
      </c>
      <c r="P7" s="34">
        <f>IFERROR(__xludf.DUMMYFUNCTION("IF(ISNA(sum(filter(
Master_Mapping_Sheet!$E$2:$E$3143, ISNUMBER(
Master_Mapping_Sheet!$E$2:$E$3143),
Master_Mapping_Sheet!$C$2:$C$3143=P$1,
Master_Mapping_Sheet!$N$2:$N$3143=REGEXEXTRACT($A7,"".*_(.*)"")))/sum(filter(
Master_Mapping_Sheet!$E$2:$E$3143, IS"&amp;"NUMBER(
Master_Mapping_Sheet!$E$2:$E$3143),
Master_Mapping_Sheet!$C$2:$C$3143=P$1))), 0, sum(filter(
Master_Mapping_Sheet!$E$2:$E$3143, ISNUMBER(
Master_Mapping_Sheet!$E$2:$E$3143),
Master_Mapping_Sheet!$C$2:$C$3143=P$1,
Master_Mapping_Sheet!$N$2:$N$3143="&amp;"REGEXEXTRACT($A7,"".*_(.*)"")))/sum(filter(
Master_Mapping_Sheet!$E$2:$E$3143, ISNUMBER(
Master_Mapping_Sheet!$E$2:$E$3143),
Master_Mapping_Sheet!$C$2:$C$3143=P$1)))"),0.0)</f>
        <v>0</v>
      </c>
      <c r="Q7" s="34">
        <f>IFERROR(__xludf.DUMMYFUNCTION("IF(ISNA(sum(filter(
Master_Mapping_Sheet!$E$2:$E$3143, ISNUMBER(
Master_Mapping_Sheet!$E$2:$E$3143),
Master_Mapping_Sheet!$C$2:$C$3143=Q$1,
Master_Mapping_Sheet!$N$2:$N$3143=REGEXEXTRACT($A7,"".*_(.*)"")))/sum(filter(
Master_Mapping_Sheet!$E$2:$E$3143, IS"&amp;"NUMBER(
Master_Mapping_Sheet!$E$2:$E$3143),
Master_Mapping_Sheet!$C$2:$C$3143=Q$1))), 0, sum(filter(
Master_Mapping_Sheet!$E$2:$E$3143, ISNUMBER(
Master_Mapping_Sheet!$E$2:$E$3143),
Master_Mapping_Sheet!$C$2:$C$3143=Q$1,
Master_Mapping_Sheet!$N$2:$N$3143="&amp;"REGEXEXTRACT($A7,"".*_(.*)"")))/sum(filter(
Master_Mapping_Sheet!$E$2:$E$3143, ISNUMBER(
Master_Mapping_Sheet!$E$2:$E$3143),
Master_Mapping_Sheet!$C$2:$C$3143=Q$1)))"),0.0)</f>
        <v>0</v>
      </c>
      <c r="R7" s="34">
        <f>IFERROR(__xludf.DUMMYFUNCTION("IF(ISNA(sum(filter(
Master_Mapping_Sheet!$E$2:$E$3143, ISNUMBER(
Master_Mapping_Sheet!$E$2:$E$3143),
Master_Mapping_Sheet!$C$2:$C$3143=R$1,
Master_Mapping_Sheet!$N$2:$N$3143=REGEXEXTRACT($A7,"".*_(.*)"")))/sum(filter(
Master_Mapping_Sheet!$E$2:$E$3143, IS"&amp;"NUMBER(
Master_Mapping_Sheet!$E$2:$E$3143),
Master_Mapping_Sheet!$C$2:$C$3143=R$1))), 0, sum(filter(
Master_Mapping_Sheet!$E$2:$E$3143, ISNUMBER(
Master_Mapping_Sheet!$E$2:$E$3143),
Master_Mapping_Sheet!$C$2:$C$3143=R$1,
Master_Mapping_Sheet!$N$2:$N$3143="&amp;"REGEXEXTRACT($A7,"".*_(.*)"")))/sum(filter(
Master_Mapping_Sheet!$E$2:$E$3143, ISNUMBER(
Master_Mapping_Sheet!$E$2:$E$3143),
Master_Mapping_Sheet!$C$2:$C$3143=R$1)))"),0.0)</f>
        <v>0</v>
      </c>
      <c r="S7" s="34">
        <f>IFERROR(__xludf.DUMMYFUNCTION("IF(ISNA(sum(filter(
Master_Mapping_Sheet!$E$2:$E$3143, ISNUMBER(
Master_Mapping_Sheet!$E$2:$E$3143),
Master_Mapping_Sheet!$C$2:$C$3143=S$1,
Master_Mapping_Sheet!$N$2:$N$3143=REGEXEXTRACT($A7,"".*_(.*)"")))/sum(filter(
Master_Mapping_Sheet!$E$2:$E$3143, IS"&amp;"NUMBER(
Master_Mapping_Sheet!$E$2:$E$3143),
Master_Mapping_Sheet!$C$2:$C$3143=S$1))), 0, sum(filter(
Master_Mapping_Sheet!$E$2:$E$3143, ISNUMBER(
Master_Mapping_Sheet!$E$2:$E$3143),
Master_Mapping_Sheet!$C$2:$C$3143=S$1,
Master_Mapping_Sheet!$N$2:$N$3143="&amp;"REGEXEXTRACT($A7,"".*_(.*)"")))/sum(filter(
Master_Mapping_Sheet!$E$2:$E$3143, ISNUMBER(
Master_Mapping_Sheet!$E$2:$E$3143),
Master_Mapping_Sheet!$C$2:$C$3143=S$1)))"),0.0)</f>
        <v>0</v>
      </c>
      <c r="T7" s="34">
        <f>IFERROR(__xludf.DUMMYFUNCTION("IF(ISNA(sum(filter(
Master_Mapping_Sheet!$E$2:$E$3143, ISNUMBER(
Master_Mapping_Sheet!$E$2:$E$3143),
Master_Mapping_Sheet!$C$2:$C$3143=T$1,
Master_Mapping_Sheet!$N$2:$N$3143=REGEXEXTRACT($A7,"".*_(.*)"")))/sum(filter(
Master_Mapping_Sheet!$E$2:$E$3143, IS"&amp;"NUMBER(
Master_Mapping_Sheet!$E$2:$E$3143),
Master_Mapping_Sheet!$C$2:$C$3143=T$1))), 0, sum(filter(
Master_Mapping_Sheet!$E$2:$E$3143, ISNUMBER(
Master_Mapping_Sheet!$E$2:$E$3143),
Master_Mapping_Sheet!$C$2:$C$3143=T$1,
Master_Mapping_Sheet!$N$2:$N$3143="&amp;"REGEXEXTRACT($A7,"".*_(.*)"")))/sum(filter(
Master_Mapping_Sheet!$E$2:$E$3143, ISNUMBER(
Master_Mapping_Sheet!$E$2:$E$3143),
Master_Mapping_Sheet!$C$2:$C$3143=T$1)))"),0.0)</f>
        <v>0</v>
      </c>
      <c r="U7" s="34">
        <f>IFERROR(__xludf.DUMMYFUNCTION("IF(ISNA(sum(filter(
Master_Mapping_Sheet!$E$2:$E$3143, ISNUMBER(
Master_Mapping_Sheet!$E$2:$E$3143),
Master_Mapping_Sheet!$C$2:$C$3143=U$1,
Master_Mapping_Sheet!$N$2:$N$3143=REGEXEXTRACT($A7,"".*_(.*)"")))/sum(filter(
Master_Mapping_Sheet!$E$2:$E$3143, IS"&amp;"NUMBER(
Master_Mapping_Sheet!$E$2:$E$3143),
Master_Mapping_Sheet!$C$2:$C$3143=U$1))), 0, sum(filter(
Master_Mapping_Sheet!$E$2:$E$3143, ISNUMBER(
Master_Mapping_Sheet!$E$2:$E$3143),
Master_Mapping_Sheet!$C$2:$C$3143=U$1,
Master_Mapping_Sheet!$N$2:$N$3143="&amp;"REGEXEXTRACT($A7,"".*_(.*)"")))/sum(filter(
Master_Mapping_Sheet!$E$2:$E$3143, ISNUMBER(
Master_Mapping_Sheet!$E$2:$E$3143),
Master_Mapping_Sheet!$C$2:$C$3143=U$1)))"),0.0)</f>
        <v>0</v>
      </c>
      <c r="V7" s="34">
        <f>IFERROR(__xludf.DUMMYFUNCTION("IF(ISNA(sum(filter(
Master_Mapping_Sheet!$E$2:$E$3143, ISNUMBER(
Master_Mapping_Sheet!$E$2:$E$3143),
Master_Mapping_Sheet!$C$2:$C$3143=V$1,
Master_Mapping_Sheet!$N$2:$N$3143=REGEXEXTRACT($A7,"".*_(.*)"")))/sum(filter(
Master_Mapping_Sheet!$E$2:$E$3143, IS"&amp;"NUMBER(
Master_Mapping_Sheet!$E$2:$E$3143),
Master_Mapping_Sheet!$C$2:$C$3143=V$1))), 0, sum(filter(
Master_Mapping_Sheet!$E$2:$E$3143, ISNUMBER(
Master_Mapping_Sheet!$E$2:$E$3143),
Master_Mapping_Sheet!$C$2:$C$3143=V$1,
Master_Mapping_Sheet!$N$2:$N$3143="&amp;"REGEXEXTRACT($A7,"".*_(.*)"")))/sum(filter(
Master_Mapping_Sheet!$E$2:$E$3143, ISNUMBER(
Master_Mapping_Sheet!$E$2:$E$3143),
Master_Mapping_Sheet!$C$2:$C$3143=V$1)))"),0.0)</f>
        <v>0</v>
      </c>
      <c r="W7" s="34">
        <f>IFERROR(__xludf.DUMMYFUNCTION("IF(ISNA(sum(filter(
Master_Mapping_Sheet!$E$2:$E$3143, ISNUMBER(
Master_Mapping_Sheet!$E$2:$E$3143),
Master_Mapping_Sheet!$C$2:$C$3143=W$1,
Master_Mapping_Sheet!$N$2:$N$3143=REGEXEXTRACT($A7,"".*_(.*)"")))/sum(filter(
Master_Mapping_Sheet!$E$2:$E$3143, IS"&amp;"NUMBER(
Master_Mapping_Sheet!$E$2:$E$3143),
Master_Mapping_Sheet!$C$2:$C$3143=W$1))), 0, sum(filter(
Master_Mapping_Sheet!$E$2:$E$3143, ISNUMBER(
Master_Mapping_Sheet!$E$2:$E$3143),
Master_Mapping_Sheet!$C$2:$C$3143=W$1,
Master_Mapping_Sheet!$N$2:$N$3143="&amp;"REGEXEXTRACT($A7,"".*_(.*)"")))/sum(filter(
Master_Mapping_Sheet!$E$2:$E$3143, ISNUMBER(
Master_Mapping_Sheet!$E$2:$E$3143),
Master_Mapping_Sheet!$C$2:$C$3143=W$1)))"),0.0)</f>
        <v>0</v>
      </c>
      <c r="X7" s="34">
        <f>IFERROR(__xludf.DUMMYFUNCTION("IF(ISNA(sum(filter(
Master_Mapping_Sheet!$E$2:$E$3143, ISNUMBER(
Master_Mapping_Sheet!$E$2:$E$3143),
Master_Mapping_Sheet!$C$2:$C$3143=X$1,
Master_Mapping_Sheet!$N$2:$N$3143=REGEXEXTRACT($A7,"".*_(.*)"")))/sum(filter(
Master_Mapping_Sheet!$E$2:$E$3143, IS"&amp;"NUMBER(
Master_Mapping_Sheet!$E$2:$E$3143),
Master_Mapping_Sheet!$C$2:$C$3143=X$1))), 0, sum(filter(
Master_Mapping_Sheet!$E$2:$E$3143, ISNUMBER(
Master_Mapping_Sheet!$E$2:$E$3143),
Master_Mapping_Sheet!$C$2:$C$3143=X$1,
Master_Mapping_Sheet!$N$2:$N$3143="&amp;"REGEXEXTRACT($A7,"".*_(.*)"")))/sum(filter(
Master_Mapping_Sheet!$E$2:$E$3143, ISNUMBER(
Master_Mapping_Sheet!$E$2:$E$3143),
Master_Mapping_Sheet!$C$2:$C$3143=X$1)))"),0.0)</f>
        <v>0</v>
      </c>
      <c r="Y7" s="34">
        <f>IFERROR(__xludf.DUMMYFUNCTION("IF(ISNA(sum(filter(
Master_Mapping_Sheet!$E$2:$E$3143, ISNUMBER(
Master_Mapping_Sheet!$E$2:$E$3143),
Master_Mapping_Sheet!$C$2:$C$3143=Y$1,
Master_Mapping_Sheet!$N$2:$N$3143=REGEXEXTRACT($A7,"".*_(.*)"")))/sum(filter(
Master_Mapping_Sheet!$E$2:$E$3143, IS"&amp;"NUMBER(
Master_Mapping_Sheet!$E$2:$E$3143),
Master_Mapping_Sheet!$C$2:$C$3143=Y$1))), 0, sum(filter(
Master_Mapping_Sheet!$E$2:$E$3143, ISNUMBER(
Master_Mapping_Sheet!$E$2:$E$3143),
Master_Mapping_Sheet!$C$2:$C$3143=Y$1,
Master_Mapping_Sheet!$N$2:$N$3143="&amp;"REGEXEXTRACT($A7,"".*_(.*)"")))/sum(filter(
Master_Mapping_Sheet!$E$2:$E$3143, ISNUMBER(
Master_Mapping_Sheet!$E$2:$E$3143),
Master_Mapping_Sheet!$C$2:$C$3143=Y$1)))"),0.0)</f>
        <v>0</v>
      </c>
      <c r="Z7" s="34">
        <f>IFERROR(__xludf.DUMMYFUNCTION("IF(ISNA(sum(filter(
Master_Mapping_Sheet!$E$2:$E$3143, ISNUMBER(
Master_Mapping_Sheet!$E$2:$E$3143),
Master_Mapping_Sheet!$C$2:$C$3143=Z$1,
Master_Mapping_Sheet!$N$2:$N$3143=REGEXEXTRACT($A7,"".*_(.*)"")))/sum(filter(
Master_Mapping_Sheet!$E$2:$E$3143, IS"&amp;"NUMBER(
Master_Mapping_Sheet!$E$2:$E$3143),
Master_Mapping_Sheet!$C$2:$C$3143=Z$1))), 0, sum(filter(
Master_Mapping_Sheet!$E$2:$E$3143, ISNUMBER(
Master_Mapping_Sheet!$E$2:$E$3143),
Master_Mapping_Sheet!$C$2:$C$3143=Z$1,
Master_Mapping_Sheet!$N$2:$N$3143="&amp;"REGEXEXTRACT($A7,"".*_(.*)"")))/sum(filter(
Master_Mapping_Sheet!$E$2:$E$3143, ISNUMBER(
Master_Mapping_Sheet!$E$2:$E$3143),
Master_Mapping_Sheet!$C$2:$C$3143=Z$1)))"),0.0)</f>
        <v>0</v>
      </c>
      <c r="AA7" s="34">
        <f>IFERROR(__xludf.DUMMYFUNCTION("IF(ISNA(sum(filter(
Master_Mapping_Sheet!$E$2:$E$3143, ISNUMBER(
Master_Mapping_Sheet!$E$2:$E$3143),
Master_Mapping_Sheet!$C$2:$C$3143=AA$1,
Master_Mapping_Sheet!$N$2:$N$3143=REGEXEXTRACT($A7,"".*_(.*)"")))/sum(filter(
Master_Mapping_Sheet!$E$2:$E$3143, I"&amp;"SNUMBER(
Master_Mapping_Sheet!$E$2:$E$3143),
Master_Mapping_Sheet!$C$2:$C$3143=AA$1))), 0, sum(filter(
Master_Mapping_Sheet!$E$2:$E$3143, ISNUMBER(
Master_Mapping_Sheet!$E$2:$E$3143),
Master_Mapping_Sheet!$C$2:$C$3143=AA$1,
Master_Mapping_Sheet!$N$2:$N$31"&amp;"43=REGEXEXTRACT($A7,"".*_(.*)"")))/sum(filter(
Master_Mapping_Sheet!$E$2:$E$3143, ISNUMBER(
Master_Mapping_Sheet!$E$2:$E$3143),
Master_Mapping_Sheet!$C$2:$C$3143=AA$1)))"),0.0)</f>
        <v>0</v>
      </c>
      <c r="AB7" s="34">
        <f>IFERROR(__xludf.DUMMYFUNCTION("IF(ISNA(sum(filter(
Master_Mapping_Sheet!$E$2:$E$3143, ISNUMBER(
Master_Mapping_Sheet!$E$2:$E$3143),
Master_Mapping_Sheet!$C$2:$C$3143=AB$1,
Master_Mapping_Sheet!$N$2:$N$3143=REGEXEXTRACT($A7,"".*_(.*)"")))/sum(filter(
Master_Mapping_Sheet!$E$2:$E$3143, I"&amp;"SNUMBER(
Master_Mapping_Sheet!$E$2:$E$3143),
Master_Mapping_Sheet!$C$2:$C$3143=AB$1))), 0, sum(filter(
Master_Mapping_Sheet!$E$2:$E$3143, ISNUMBER(
Master_Mapping_Sheet!$E$2:$E$3143),
Master_Mapping_Sheet!$C$2:$C$3143=AB$1,
Master_Mapping_Sheet!$N$2:$N$31"&amp;"43=REGEXEXTRACT($A7,"".*_(.*)"")))/sum(filter(
Master_Mapping_Sheet!$E$2:$E$3143, ISNUMBER(
Master_Mapping_Sheet!$E$2:$E$3143),
Master_Mapping_Sheet!$C$2:$C$3143=AB$1)))"),0.0)</f>
        <v>0</v>
      </c>
      <c r="AC7" s="34">
        <f>IFERROR(__xludf.DUMMYFUNCTION("IF(ISNA(sum(filter(
Master_Mapping_Sheet!$E$2:$E$3143, ISNUMBER(
Master_Mapping_Sheet!$E$2:$E$3143),
Master_Mapping_Sheet!$C$2:$C$3143=AC$1,
Master_Mapping_Sheet!$N$2:$N$3143=REGEXEXTRACT($A7,"".*_(.*)"")))/sum(filter(
Master_Mapping_Sheet!$E$2:$E$3143, I"&amp;"SNUMBER(
Master_Mapping_Sheet!$E$2:$E$3143),
Master_Mapping_Sheet!$C$2:$C$3143=AC$1))), 0, sum(filter(
Master_Mapping_Sheet!$E$2:$E$3143, ISNUMBER(
Master_Mapping_Sheet!$E$2:$E$3143),
Master_Mapping_Sheet!$C$2:$C$3143=AC$1,
Master_Mapping_Sheet!$N$2:$N$31"&amp;"43=REGEXEXTRACT($A7,"".*_(.*)"")))/sum(filter(
Master_Mapping_Sheet!$E$2:$E$3143, ISNUMBER(
Master_Mapping_Sheet!$E$2:$E$3143),
Master_Mapping_Sheet!$C$2:$C$3143=AC$1)))"),0.0)</f>
        <v>0</v>
      </c>
      <c r="AD7" s="34">
        <f>IFERROR(__xludf.DUMMYFUNCTION("IF(ISNA(sum(filter(
Master_Mapping_Sheet!$E$2:$E$3143, ISNUMBER(
Master_Mapping_Sheet!$E$2:$E$3143),
Master_Mapping_Sheet!$C$2:$C$3143=AD$1,
Master_Mapping_Sheet!$N$2:$N$3143=REGEXEXTRACT($A7,"".*_(.*)"")))/sum(filter(
Master_Mapping_Sheet!$E$2:$E$3143, I"&amp;"SNUMBER(
Master_Mapping_Sheet!$E$2:$E$3143),
Master_Mapping_Sheet!$C$2:$C$3143=AD$1))), 0, sum(filter(
Master_Mapping_Sheet!$E$2:$E$3143, ISNUMBER(
Master_Mapping_Sheet!$E$2:$E$3143),
Master_Mapping_Sheet!$C$2:$C$3143=AD$1,
Master_Mapping_Sheet!$N$2:$N$31"&amp;"43=REGEXEXTRACT($A7,"".*_(.*)"")))/sum(filter(
Master_Mapping_Sheet!$E$2:$E$3143, ISNUMBER(
Master_Mapping_Sheet!$E$2:$E$3143),
Master_Mapping_Sheet!$C$2:$C$3143=AD$1)))"),0.7315104114488369)</f>
        <v>0.7315104114</v>
      </c>
      <c r="AE7" s="34">
        <f>IFERROR(__xludf.DUMMYFUNCTION("IF(ISNA(sum(filter(
Master_Mapping_Sheet!$E$2:$E$3143, ISNUMBER(
Master_Mapping_Sheet!$E$2:$E$3143),
Master_Mapping_Sheet!$C$2:$C$3143=AE$1,
Master_Mapping_Sheet!$N$2:$N$3143=REGEXEXTRACT($A7,"".*_(.*)"")))/sum(filter(
Master_Mapping_Sheet!$E$2:$E$3143, I"&amp;"SNUMBER(
Master_Mapping_Sheet!$E$2:$E$3143),
Master_Mapping_Sheet!$C$2:$C$3143=AE$1))), 0, sum(filter(
Master_Mapping_Sheet!$E$2:$E$3143, ISNUMBER(
Master_Mapping_Sheet!$E$2:$E$3143),
Master_Mapping_Sheet!$C$2:$C$3143=AE$1,
Master_Mapping_Sheet!$N$2:$N$31"&amp;"43=REGEXEXTRACT($A7,"".*_(.*)"")))/sum(filter(
Master_Mapping_Sheet!$E$2:$E$3143, ISNUMBER(
Master_Mapping_Sheet!$E$2:$E$3143),
Master_Mapping_Sheet!$C$2:$C$3143=AE$1)))"),0.0)</f>
        <v>0</v>
      </c>
      <c r="AF7" s="34">
        <f>IFERROR(__xludf.DUMMYFUNCTION("IF(ISNA(sum(filter(
Master_Mapping_Sheet!$E$2:$E$3143, ISNUMBER(
Master_Mapping_Sheet!$E$2:$E$3143),
Master_Mapping_Sheet!$C$2:$C$3143=AF$1,
Master_Mapping_Sheet!$N$2:$N$3143=REGEXEXTRACT($A7,"".*_(.*)"")))/sum(filter(
Master_Mapping_Sheet!$E$2:$E$3143, I"&amp;"SNUMBER(
Master_Mapping_Sheet!$E$2:$E$3143),
Master_Mapping_Sheet!$C$2:$C$3143=AF$1))), 0, sum(filter(
Master_Mapping_Sheet!$E$2:$E$3143, ISNUMBER(
Master_Mapping_Sheet!$E$2:$E$3143),
Master_Mapping_Sheet!$C$2:$C$3143=AF$1,
Master_Mapping_Sheet!$N$2:$N$31"&amp;"43=REGEXEXTRACT($A7,"".*_(.*)"")))/sum(filter(
Master_Mapping_Sheet!$E$2:$E$3143, ISNUMBER(
Master_Mapping_Sheet!$E$2:$E$3143),
Master_Mapping_Sheet!$C$2:$C$3143=AF$1)))"),0.0)</f>
        <v>0</v>
      </c>
      <c r="AG7" s="34">
        <f>IFERROR(__xludf.DUMMYFUNCTION("IF(ISNA(sum(filter(
Master_Mapping_Sheet!$E$2:$E$3143, ISNUMBER(
Master_Mapping_Sheet!$E$2:$E$3143),
Master_Mapping_Sheet!$C$2:$C$3143=AG$1,
Master_Mapping_Sheet!$N$2:$N$3143=REGEXEXTRACT($A7,"".*_(.*)"")))/sum(filter(
Master_Mapping_Sheet!$E$2:$E$3143, I"&amp;"SNUMBER(
Master_Mapping_Sheet!$E$2:$E$3143),
Master_Mapping_Sheet!$C$2:$C$3143=AG$1))), 0, sum(filter(
Master_Mapping_Sheet!$E$2:$E$3143, ISNUMBER(
Master_Mapping_Sheet!$E$2:$E$3143),
Master_Mapping_Sheet!$C$2:$C$3143=AG$1,
Master_Mapping_Sheet!$N$2:$N$31"&amp;"43=REGEXEXTRACT($A7,"".*_(.*)"")))/sum(filter(
Master_Mapping_Sheet!$E$2:$E$3143, ISNUMBER(
Master_Mapping_Sheet!$E$2:$E$3143),
Master_Mapping_Sheet!$C$2:$C$3143=AG$1)))"),0.245587458397793)</f>
        <v>0.2455874584</v>
      </c>
      <c r="AH7" s="34">
        <f>IFERROR(__xludf.DUMMYFUNCTION("IF(ISNA(sum(filter(
Master_Mapping_Sheet!$E$2:$E$3143, ISNUMBER(
Master_Mapping_Sheet!$E$2:$E$3143),
Master_Mapping_Sheet!$C$2:$C$3143=AH$1,
Master_Mapping_Sheet!$N$2:$N$3143=REGEXEXTRACT($A7,"".*_(.*)"")))/sum(filter(
Master_Mapping_Sheet!$E$2:$E$3143, I"&amp;"SNUMBER(
Master_Mapping_Sheet!$E$2:$E$3143),
Master_Mapping_Sheet!$C$2:$C$3143=AH$1))), 0, sum(filter(
Master_Mapping_Sheet!$E$2:$E$3143, ISNUMBER(
Master_Mapping_Sheet!$E$2:$E$3143),
Master_Mapping_Sheet!$C$2:$C$3143=AH$1,
Master_Mapping_Sheet!$N$2:$N$31"&amp;"43=REGEXEXTRACT($A7,"".*_(.*)"")))/sum(filter(
Master_Mapping_Sheet!$E$2:$E$3143, ISNUMBER(
Master_Mapping_Sheet!$E$2:$E$3143),
Master_Mapping_Sheet!$C$2:$C$3143=AH$1)))"),0.0)</f>
        <v>0</v>
      </c>
      <c r="AI7" s="34">
        <f>IFERROR(__xludf.DUMMYFUNCTION("IF(ISNA(sum(filter(
Master_Mapping_Sheet!$E$2:$E$3143, ISNUMBER(
Master_Mapping_Sheet!$E$2:$E$3143),
Master_Mapping_Sheet!$C$2:$C$3143=AI$1,
Master_Mapping_Sheet!$N$2:$N$3143=REGEXEXTRACT($A7,"".*_(.*)"")))/sum(filter(
Master_Mapping_Sheet!$E$2:$E$3143, I"&amp;"SNUMBER(
Master_Mapping_Sheet!$E$2:$E$3143),
Master_Mapping_Sheet!$C$2:$C$3143=AI$1))), 0, sum(filter(
Master_Mapping_Sheet!$E$2:$E$3143, ISNUMBER(
Master_Mapping_Sheet!$E$2:$E$3143),
Master_Mapping_Sheet!$C$2:$C$3143=AI$1,
Master_Mapping_Sheet!$N$2:$N$31"&amp;"43=REGEXEXTRACT($A7,"".*_(.*)"")))/sum(filter(
Master_Mapping_Sheet!$E$2:$E$3143, ISNUMBER(
Master_Mapping_Sheet!$E$2:$E$3143),
Master_Mapping_Sheet!$C$2:$C$3143=AI$1)))"),0.0)</f>
        <v>0</v>
      </c>
      <c r="AJ7" s="34">
        <f>IFERROR(__xludf.DUMMYFUNCTION("IF(ISNA(sum(filter(
Master_Mapping_Sheet!$E$2:$E$3143, ISNUMBER(
Master_Mapping_Sheet!$E$2:$E$3143),
Master_Mapping_Sheet!$C$2:$C$3143=AJ$1,
Master_Mapping_Sheet!$N$2:$N$3143=REGEXEXTRACT($A7,"".*_(.*)"")))/sum(filter(
Master_Mapping_Sheet!$E$2:$E$3143, I"&amp;"SNUMBER(
Master_Mapping_Sheet!$E$2:$E$3143),
Master_Mapping_Sheet!$C$2:$C$3143=AJ$1))), 0, sum(filter(
Master_Mapping_Sheet!$E$2:$E$3143, ISNUMBER(
Master_Mapping_Sheet!$E$2:$E$3143),
Master_Mapping_Sheet!$C$2:$C$3143=AJ$1,
Master_Mapping_Sheet!$N$2:$N$31"&amp;"43=REGEXEXTRACT($A7,"".*_(.*)"")))/sum(filter(
Master_Mapping_Sheet!$E$2:$E$3143, ISNUMBER(
Master_Mapping_Sheet!$E$2:$E$3143),
Master_Mapping_Sheet!$C$2:$C$3143=AJ$1)))"),0.0)</f>
        <v>0</v>
      </c>
      <c r="AK7" s="34">
        <f>IFERROR(__xludf.DUMMYFUNCTION("IF(ISNA(sum(filter(
Master_Mapping_Sheet!$E$2:$E$3143, ISNUMBER(
Master_Mapping_Sheet!$E$2:$E$3143),
Master_Mapping_Sheet!$C$2:$C$3143=AK$1,
Master_Mapping_Sheet!$N$2:$N$3143=REGEXEXTRACT($A7,"".*_(.*)"")))/sum(filter(
Master_Mapping_Sheet!$E$2:$E$3143, I"&amp;"SNUMBER(
Master_Mapping_Sheet!$E$2:$E$3143),
Master_Mapping_Sheet!$C$2:$C$3143=AK$1))), 0, sum(filter(
Master_Mapping_Sheet!$E$2:$E$3143, ISNUMBER(
Master_Mapping_Sheet!$E$2:$E$3143),
Master_Mapping_Sheet!$C$2:$C$3143=AK$1,
Master_Mapping_Sheet!$N$2:$N$31"&amp;"43=REGEXEXTRACT($A7,"".*_(.*)"")))/sum(filter(
Master_Mapping_Sheet!$E$2:$E$3143, ISNUMBER(
Master_Mapping_Sheet!$E$2:$E$3143),
Master_Mapping_Sheet!$C$2:$C$3143=AK$1)))"),0.0)</f>
        <v>0</v>
      </c>
      <c r="AL7" s="34">
        <f>IFERROR(__xludf.DUMMYFUNCTION("IF(ISNA(sum(filter(
Master_Mapping_Sheet!$E$2:$E$3143, ISNUMBER(
Master_Mapping_Sheet!$E$2:$E$3143),
Master_Mapping_Sheet!$C$2:$C$3143=AL$1,
Master_Mapping_Sheet!$N$2:$N$3143=REGEXEXTRACT($A7,"".*_(.*)"")))/sum(filter(
Master_Mapping_Sheet!$E$2:$E$3143, I"&amp;"SNUMBER(
Master_Mapping_Sheet!$E$2:$E$3143),
Master_Mapping_Sheet!$C$2:$C$3143=AL$1))), 0, sum(filter(
Master_Mapping_Sheet!$E$2:$E$3143, ISNUMBER(
Master_Mapping_Sheet!$E$2:$E$3143),
Master_Mapping_Sheet!$C$2:$C$3143=AL$1,
Master_Mapping_Sheet!$N$2:$N$31"&amp;"43=REGEXEXTRACT($A7,"".*_(.*)"")))/sum(filter(
Master_Mapping_Sheet!$E$2:$E$3143, ISNUMBER(
Master_Mapping_Sheet!$E$2:$E$3143),
Master_Mapping_Sheet!$C$2:$C$3143=AL$1)))"),0.0)</f>
        <v>0</v>
      </c>
      <c r="AM7" s="34">
        <f>IFERROR(__xludf.DUMMYFUNCTION("IF(ISNA(sum(filter(
Master_Mapping_Sheet!$E$2:$E$3143, ISNUMBER(
Master_Mapping_Sheet!$E$2:$E$3143),
Master_Mapping_Sheet!$C$2:$C$3143=AM$1,
Master_Mapping_Sheet!$N$2:$N$3143=REGEXEXTRACT($A7,"".*_(.*)"")))/sum(filter(
Master_Mapping_Sheet!$E$2:$E$3143, I"&amp;"SNUMBER(
Master_Mapping_Sheet!$E$2:$E$3143),
Master_Mapping_Sheet!$C$2:$C$3143=AM$1))), 0, sum(filter(
Master_Mapping_Sheet!$E$2:$E$3143, ISNUMBER(
Master_Mapping_Sheet!$E$2:$E$3143),
Master_Mapping_Sheet!$C$2:$C$3143=AM$1,
Master_Mapping_Sheet!$N$2:$N$31"&amp;"43=REGEXEXTRACT($A7,"".*_(.*)"")))/sum(filter(
Master_Mapping_Sheet!$E$2:$E$3143, ISNUMBER(
Master_Mapping_Sheet!$E$2:$E$3143),
Master_Mapping_Sheet!$C$2:$C$3143=AM$1)))"),0.0)</f>
        <v>0</v>
      </c>
      <c r="AN7" s="34">
        <f>IFERROR(__xludf.DUMMYFUNCTION("IF(ISNA(sum(filter(
Master_Mapping_Sheet!$E$2:$E$3143, ISNUMBER(
Master_Mapping_Sheet!$E$2:$E$3143),
Master_Mapping_Sheet!$C$2:$C$3143=AN$1,
Master_Mapping_Sheet!$N$2:$N$3143=REGEXEXTRACT($A7,"".*_(.*)"")))/sum(filter(
Master_Mapping_Sheet!$E$2:$E$3143, I"&amp;"SNUMBER(
Master_Mapping_Sheet!$E$2:$E$3143),
Master_Mapping_Sheet!$C$2:$C$3143=AN$1))), 0, sum(filter(
Master_Mapping_Sheet!$E$2:$E$3143, ISNUMBER(
Master_Mapping_Sheet!$E$2:$E$3143),
Master_Mapping_Sheet!$C$2:$C$3143=AN$1,
Master_Mapping_Sheet!$N$2:$N$31"&amp;"43=REGEXEXTRACT($A7,"".*_(.*)"")))/sum(filter(
Master_Mapping_Sheet!$E$2:$E$3143, ISNUMBER(
Master_Mapping_Sheet!$E$2:$E$3143),
Master_Mapping_Sheet!$C$2:$C$3143=AN$1)))"),0.0)</f>
        <v>0</v>
      </c>
      <c r="AO7" s="34">
        <f>IFERROR(__xludf.DUMMYFUNCTION("IF(ISNA(sum(filter(
Master_Mapping_Sheet!$E$2:$E$3143, ISNUMBER(
Master_Mapping_Sheet!$E$2:$E$3143),
Master_Mapping_Sheet!$C$2:$C$3143=AO$1,
Master_Mapping_Sheet!$N$2:$N$3143=REGEXEXTRACT($A7,"".*_(.*)"")))/sum(filter(
Master_Mapping_Sheet!$E$2:$E$3143, I"&amp;"SNUMBER(
Master_Mapping_Sheet!$E$2:$E$3143),
Master_Mapping_Sheet!$C$2:$C$3143=AO$1))), 0, sum(filter(
Master_Mapping_Sheet!$E$2:$E$3143, ISNUMBER(
Master_Mapping_Sheet!$E$2:$E$3143),
Master_Mapping_Sheet!$C$2:$C$3143=AO$1,
Master_Mapping_Sheet!$N$2:$N$31"&amp;"43=REGEXEXTRACT($A7,"".*_(.*)"")))/sum(filter(
Master_Mapping_Sheet!$E$2:$E$3143, ISNUMBER(
Master_Mapping_Sheet!$E$2:$E$3143),
Master_Mapping_Sheet!$C$2:$C$3143=AO$1)))"),0.0)</f>
        <v>0</v>
      </c>
      <c r="AP7" s="34">
        <f>IFERROR(__xludf.DUMMYFUNCTION("IF(ISNA(sum(filter(
Master_Mapping_Sheet!$E$2:$E$3143, ISNUMBER(
Master_Mapping_Sheet!$E$2:$E$3143),
Master_Mapping_Sheet!$C$2:$C$3143=AP$1,
Master_Mapping_Sheet!$N$2:$N$3143=REGEXEXTRACT($A7,"".*_(.*)"")))/sum(filter(
Master_Mapping_Sheet!$E$2:$E$3143, I"&amp;"SNUMBER(
Master_Mapping_Sheet!$E$2:$E$3143),
Master_Mapping_Sheet!$C$2:$C$3143=AP$1))), 0, sum(filter(
Master_Mapping_Sheet!$E$2:$E$3143, ISNUMBER(
Master_Mapping_Sheet!$E$2:$E$3143),
Master_Mapping_Sheet!$C$2:$C$3143=AP$1,
Master_Mapping_Sheet!$N$2:$N$31"&amp;"43=REGEXEXTRACT($A7,"".*_(.*)"")))/sum(filter(
Master_Mapping_Sheet!$E$2:$E$3143, ISNUMBER(
Master_Mapping_Sheet!$E$2:$E$3143),
Master_Mapping_Sheet!$C$2:$C$3143=AP$1)))"),0.0)</f>
        <v>0</v>
      </c>
      <c r="AQ7" s="34">
        <f>IFERROR(__xludf.DUMMYFUNCTION("IF(ISNA(sum(filter(
Master_Mapping_Sheet!$E$2:$E$3143, ISNUMBER(
Master_Mapping_Sheet!$E$2:$E$3143),
Master_Mapping_Sheet!$C$2:$C$3143=AQ$1,
Master_Mapping_Sheet!$N$2:$N$3143=REGEXEXTRACT($A7,"".*_(.*)"")))/sum(filter(
Master_Mapping_Sheet!$E$2:$E$3143, I"&amp;"SNUMBER(
Master_Mapping_Sheet!$E$2:$E$3143),
Master_Mapping_Sheet!$C$2:$C$3143=AQ$1))), 0, sum(filter(
Master_Mapping_Sheet!$E$2:$E$3143, ISNUMBER(
Master_Mapping_Sheet!$E$2:$E$3143),
Master_Mapping_Sheet!$C$2:$C$3143=AQ$1,
Master_Mapping_Sheet!$N$2:$N$31"&amp;"43=REGEXEXTRACT($A7,"".*_(.*)"")))/sum(filter(
Master_Mapping_Sheet!$E$2:$E$3143, ISNUMBER(
Master_Mapping_Sheet!$E$2:$E$3143),
Master_Mapping_Sheet!$C$2:$C$3143=AQ$1)))"),0.0)</f>
        <v>0</v>
      </c>
      <c r="AR7" s="34">
        <f>IFERROR(__xludf.DUMMYFUNCTION("IF(ISNA(sum(filter(
Master_Mapping_Sheet!$E$2:$E$3143, ISNUMBER(
Master_Mapping_Sheet!$E$2:$E$3143),
Master_Mapping_Sheet!$C$2:$C$3143=AR$1,
Master_Mapping_Sheet!$N$2:$N$3143=REGEXEXTRACT($A7,"".*_(.*)"")))/sum(filter(
Master_Mapping_Sheet!$E$2:$E$3143, I"&amp;"SNUMBER(
Master_Mapping_Sheet!$E$2:$E$3143),
Master_Mapping_Sheet!$C$2:$C$3143=AR$1))), 0, sum(filter(
Master_Mapping_Sheet!$E$2:$E$3143, ISNUMBER(
Master_Mapping_Sheet!$E$2:$E$3143),
Master_Mapping_Sheet!$C$2:$C$3143=AR$1,
Master_Mapping_Sheet!$N$2:$N$31"&amp;"43=REGEXEXTRACT($A7,"".*_(.*)"")))/sum(filter(
Master_Mapping_Sheet!$E$2:$E$3143, ISNUMBER(
Master_Mapping_Sheet!$E$2:$E$3143),
Master_Mapping_Sheet!$C$2:$C$3143=AR$1)))"),0.0)</f>
        <v>0</v>
      </c>
      <c r="AS7" s="34">
        <f>IFERROR(__xludf.DUMMYFUNCTION("IF(ISNA(sum(filter(
Master_Mapping_Sheet!$E$2:$E$3143, ISNUMBER(
Master_Mapping_Sheet!$E$2:$E$3143),
Master_Mapping_Sheet!$C$2:$C$3143=AS$1,
Master_Mapping_Sheet!$N$2:$N$3143=REGEXEXTRACT($A7,"".*_(.*)"")))/sum(filter(
Master_Mapping_Sheet!$E$2:$E$3143, I"&amp;"SNUMBER(
Master_Mapping_Sheet!$E$2:$E$3143),
Master_Mapping_Sheet!$C$2:$C$3143=AS$1))), 0, sum(filter(
Master_Mapping_Sheet!$E$2:$E$3143, ISNUMBER(
Master_Mapping_Sheet!$E$2:$E$3143),
Master_Mapping_Sheet!$C$2:$C$3143=AS$1,
Master_Mapping_Sheet!$N$2:$N$31"&amp;"43=REGEXEXTRACT($A7,"".*_(.*)"")))/sum(filter(
Master_Mapping_Sheet!$E$2:$E$3143, ISNUMBER(
Master_Mapping_Sheet!$E$2:$E$3143),
Master_Mapping_Sheet!$C$2:$C$3143=AS$1)))"),0.07345611545452081)</f>
        <v>0.07345611545</v>
      </c>
      <c r="AT7" s="34">
        <f>IFERROR(__xludf.DUMMYFUNCTION("IF(ISNA(sum(filter(
Master_Mapping_Sheet!$E$2:$E$3143, ISNUMBER(
Master_Mapping_Sheet!$E$2:$E$3143),
Master_Mapping_Sheet!$C$2:$C$3143=AT$1,
Master_Mapping_Sheet!$N$2:$N$3143=REGEXEXTRACT($A7,"".*_(.*)"")))/sum(filter(
Master_Mapping_Sheet!$E$2:$E$3143, I"&amp;"SNUMBER(
Master_Mapping_Sheet!$E$2:$E$3143),
Master_Mapping_Sheet!$C$2:$C$3143=AT$1))), 0, sum(filter(
Master_Mapping_Sheet!$E$2:$E$3143, ISNUMBER(
Master_Mapping_Sheet!$E$2:$E$3143),
Master_Mapping_Sheet!$C$2:$C$3143=AT$1,
Master_Mapping_Sheet!$N$2:$N$31"&amp;"43=REGEXEXTRACT($A7,"".*_(.*)"")))/sum(filter(
Master_Mapping_Sheet!$E$2:$E$3143, ISNUMBER(
Master_Mapping_Sheet!$E$2:$E$3143),
Master_Mapping_Sheet!$C$2:$C$3143=AT$1)))"),0.05923573923541153)</f>
        <v>0.05923573924</v>
      </c>
      <c r="AU7" s="34">
        <f>IFERROR(__xludf.DUMMYFUNCTION("IF(ISNA(sum(filter(
Master_Mapping_Sheet!$E$2:$E$3143, ISNUMBER(
Master_Mapping_Sheet!$E$2:$E$3143),
Master_Mapping_Sheet!$C$2:$C$3143=AU$1,
Master_Mapping_Sheet!$N$2:$N$3143=REGEXEXTRACT($A7,"".*_(.*)"")))/sum(filter(
Master_Mapping_Sheet!$E$2:$E$3143, I"&amp;"SNUMBER(
Master_Mapping_Sheet!$E$2:$E$3143),
Master_Mapping_Sheet!$C$2:$C$3143=AU$1))), 0, sum(filter(
Master_Mapping_Sheet!$E$2:$E$3143, ISNUMBER(
Master_Mapping_Sheet!$E$2:$E$3143),
Master_Mapping_Sheet!$C$2:$C$3143=AU$1,
Master_Mapping_Sheet!$N$2:$N$31"&amp;"43=REGEXEXTRACT($A7,"".*_(.*)"")))/sum(filter(
Master_Mapping_Sheet!$E$2:$E$3143, ISNUMBER(
Master_Mapping_Sheet!$E$2:$E$3143),
Master_Mapping_Sheet!$C$2:$C$3143=AU$1)))"),0.0)</f>
        <v>0</v>
      </c>
      <c r="AV7" s="34">
        <f>IFERROR(__xludf.DUMMYFUNCTION("IF(ISNA(sum(filter(
Master_Mapping_Sheet!$E$2:$E$3143, ISNUMBER(
Master_Mapping_Sheet!$E$2:$E$3143),
Master_Mapping_Sheet!$C$2:$C$3143=AV$1,
Master_Mapping_Sheet!$N$2:$N$3143=REGEXEXTRACT($A7,"".*_(.*)"")))/sum(filter(
Master_Mapping_Sheet!$E$2:$E$3143, I"&amp;"SNUMBER(
Master_Mapping_Sheet!$E$2:$E$3143),
Master_Mapping_Sheet!$C$2:$C$3143=AV$1))), 0, sum(filter(
Master_Mapping_Sheet!$E$2:$E$3143, ISNUMBER(
Master_Mapping_Sheet!$E$2:$E$3143),
Master_Mapping_Sheet!$C$2:$C$3143=AV$1,
Master_Mapping_Sheet!$N$2:$N$31"&amp;"43=REGEXEXTRACT($A7,"".*_(.*)"")))/sum(filter(
Master_Mapping_Sheet!$E$2:$E$3143, ISNUMBER(
Master_Mapping_Sheet!$E$2:$E$3143),
Master_Mapping_Sheet!$C$2:$C$3143=AV$1)))"),0.0)</f>
        <v>0</v>
      </c>
      <c r="AW7" s="34">
        <f>IFERROR(__xludf.DUMMYFUNCTION("IF(ISNA(sum(filter(
Master_Mapping_Sheet!$E$2:$E$3143, ISNUMBER(
Master_Mapping_Sheet!$E$2:$E$3143),
Master_Mapping_Sheet!$C$2:$C$3143=AW$1,
Master_Mapping_Sheet!$N$2:$N$3143=REGEXEXTRACT($A7,"".*_(.*)"")))/sum(filter(
Master_Mapping_Sheet!$E$2:$E$3143, I"&amp;"SNUMBER(
Master_Mapping_Sheet!$E$2:$E$3143),
Master_Mapping_Sheet!$C$2:$C$3143=AW$1))), 0, sum(filter(
Master_Mapping_Sheet!$E$2:$E$3143, ISNUMBER(
Master_Mapping_Sheet!$E$2:$E$3143),
Master_Mapping_Sheet!$C$2:$C$3143=AW$1,
Master_Mapping_Sheet!$N$2:$N$31"&amp;"43=REGEXEXTRACT($A7,"".*_(.*)"")))/sum(filter(
Master_Mapping_Sheet!$E$2:$E$3143, ISNUMBER(
Master_Mapping_Sheet!$E$2:$E$3143),
Master_Mapping_Sheet!$C$2:$C$3143=AW$1)))"),0.0)</f>
        <v>0</v>
      </c>
      <c r="AX7" s="34">
        <f>IFERROR(__xludf.DUMMYFUNCTION("IF(ISNA(sum(filter(
Master_Mapping_Sheet!$E$2:$E$3143, ISNUMBER(
Master_Mapping_Sheet!$E$2:$E$3143),
Master_Mapping_Sheet!$C$2:$C$3143=AX$1,
Master_Mapping_Sheet!$N$2:$N$3143=REGEXEXTRACT($A7,"".*_(.*)"")))/sum(filter(
Master_Mapping_Sheet!$E$2:$E$3143, I"&amp;"SNUMBER(
Master_Mapping_Sheet!$E$2:$E$3143),
Master_Mapping_Sheet!$C$2:$C$3143=AX$1))), 0, sum(filter(
Master_Mapping_Sheet!$E$2:$E$3143, ISNUMBER(
Master_Mapping_Sheet!$E$2:$E$3143),
Master_Mapping_Sheet!$C$2:$C$3143=AX$1,
Master_Mapping_Sheet!$N$2:$N$31"&amp;"43=REGEXEXTRACT($A7,"".*_(.*)"")))/sum(filter(
Master_Mapping_Sheet!$E$2:$E$3143, ISNUMBER(
Master_Mapping_Sheet!$E$2:$E$3143),
Master_Mapping_Sheet!$C$2:$C$3143=AX$1)))"),0.0)</f>
        <v>0</v>
      </c>
      <c r="AY7" s="34">
        <f>IFERROR(__xludf.DUMMYFUNCTION("IF(ISNA(sum(filter(
Master_Mapping_Sheet!$E$2:$E$3143, ISNUMBER(
Master_Mapping_Sheet!$E$2:$E$3143),
Master_Mapping_Sheet!$C$2:$C$3143=AY$1,
Master_Mapping_Sheet!$N$2:$N$3143=REGEXEXTRACT($A7,"".*_(.*)"")))/sum(filter(
Master_Mapping_Sheet!$E$2:$E$3143, I"&amp;"SNUMBER(
Master_Mapping_Sheet!$E$2:$E$3143),
Master_Mapping_Sheet!$C$2:$C$3143=AY$1))), 0, sum(filter(
Master_Mapping_Sheet!$E$2:$E$3143, ISNUMBER(
Master_Mapping_Sheet!$E$2:$E$3143),
Master_Mapping_Sheet!$C$2:$C$3143=AY$1,
Master_Mapping_Sheet!$N$2:$N$31"&amp;"43=REGEXEXTRACT($A7,"".*_(.*)"")))/sum(filter(
Master_Mapping_Sheet!$E$2:$E$3143, ISNUMBER(
Master_Mapping_Sheet!$E$2:$E$3143),
Master_Mapping_Sheet!$C$2:$C$3143=AY$1)))"),0.0)</f>
        <v>0</v>
      </c>
      <c r="AZ7" s="34">
        <f>IFERROR(__xludf.DUMMYFUNCTION("IF(ISNA(sum(filter(
Master_Mapping_Sheet!$E$2:$E$3143, ISNUMBER(
Master_Mapping_Sheet!$E$2:$E$3143),
Master_Mapping_Sheet!$C$2:$C$3143=AZ$1,
Master_Mapping_Sheet!$N$2:$N$3143=REGEXEXTRACT($A7,"".*_(.*)"")))/sum(filter(
Master_Mapping_Sheet!$E$2:$E$3143, I"&amp;"SNUMBER(
Master_Mapping_Sheet!$E$2:$E$3143),
Master_Mapping_Sheet!$C$2:$C$3143=AZ$1))), 0, sum(filter(
Master_Mapping_Sheet!$E$2:$E$3143, ISNUMBER(
Master_Mapping_Sheet!$E$2:$E$3143),
Master_Mapping_Sheet!$C$2:$C$3143=AZ$1,
Master_Mapping_Sheet!$N$2:$N$31"&amp;"43=REGEXEXTRACT($A7,"".*_(.*)"")))/sum(filter(
Master_Mapping_Sheet!$E$2:$E$3143, ISNUMBER(
Master_Mapping_Sheet!$E$2:$E$3143),
Master_Mapping_Sheet!$C$2:$C$3143=AZ$1)))"),0.0)</f>
        <v>0</v>
      </c>
    </row>
    <row r="8" ht="15.75" customHeight="1">
      <c r="A8" s="45" t="s">
        <v>4266</v>
      </c>
      <c r="B8" s="34">
        <f>IFERROR(__xludf.DUMMYFUNCTION("IF(ISNA(sum(filter(
Master_Mapping_Sheet!$E$2:$E$3143, ISNUMBER(
Master_Mapping_Sheet!$E$2:$E$3143),
Master_Mapping_Sheet!$C$2:$C$3143=B$1,
Master_Mapping_Sheet!$N$2:$N$3143=REGEXEXTRACT($A8,"".*_(.*)"")))/sum(filter(
Master_Mapping_Sheet!$E$2:$E$3143, IS"&amp;"NUMBER(
Master_Mapping_Sheet!$E$2:$E$3143),
Master_Mapping_Sheet!$C$2:$C$3143=B$1))), 0, sum(filter(
Master_Mapping_Sheet!$E$2:$E$3143, ISNUMBER(
Master_Mapping_Sheet!$E$2:$E$3143),
Master_Mapping_Sheet!$C$2:$C$3143=B$1,
Master_Mapping_Sheet!$N$2:$N$3143="&amp;"REGEXEXTRACT($A8,"".*_(.*)"")))/sum(filter(
Master_Mapping_Sheet!$E$2:$E$3143, ISNUMBER(
Master_Mapping_Sheet!$E$2:$E$3143),
Master_Mapping_Sheet!$C$2:$C$3143=B$1)))"),0.0)</f>
        <v>0</v>
      </c>
      <c r="C8" s="34">
        <f>IFERROR(__xludf.DUMMYFUNCTION("IF(ISNA(sum(filter(
Master_Mapping_Sheet!$E$2:$E$3143, ISNUMBER(
Master_Mapping_Sheet!$E$2:$E$3143),
Master_Mapping_Sheet!$C$2:$C$3143=C$1,
Master_Mapping_Sheet!$N$2:$N$3143=REGEXEXTRACT($A8,"".*_(.*)"")))/sum(filter(
Master_Mapping_Sheet!$E$2:$E$3143, IS"&amp;"NUMBER(
Master_Mapping_Sheet!$E$2:$E$3143),
Master_Mapping_Sheet!$C$2:$C$3143=C$1))), 0, sum(filter(
Master_Mapping_Sheet!$E$2:$E$3143, ISNUMBER(
Master_Mapping_Sheet!$E$2:$E$3143),
Master_Mapping_Sheet!$C$2:$C$3143=C$1,
Master_Mapping_Sheet!$N$2:$N$3143="&amp;"REGEXEXTRACT($A8,"".*_(.*)"")))/sum(filter(
Master_Mapping_Sheet!$E$2:$E$3143, ISNUMBER(
Master_Mapping_Sheet!$E$2:$E$3143),
Master_Mapping_Sheet!$C$2:$C$3143=C$1)))"),0.0)</f>
        <v>0</v>
      </c>
      <c r="D8" s="34">
        <f>IFERROR(__xludf.DUMMYFUNCTION("IF(ISNA(sum(filter(
Master_Mapping_Sheet!$E$2:$E$3143, ISNUMBER(
Master_Mapping_Sheet!$E$2:$E$3143),
Master_Mapping_Sheet!$C$2:$C$3143=D$1,
Master_Mapping_Sheet!$N$2:$N$3143=REGEXEXTRACT($A8,"".*_(.*)"")))/sum(filter(
Master_Mapping_Sheet!$E$2:$E$3143, IS"&amp;"NUMBER(
Master_Mapping_Sheet!$E$2:$E$3143),
Master_Mapping_Sheet!$C$2:$C$3143=D$1))), 0, sum(filter(
Master_Mapping_Sheet!$E$2:$E$3143, ISNUMBER(
Master_Mapping_Sheet!$E$2:$E$3143),
Master_Mapping_Sheet!$C$2:$C$3143=D$1,
Master_Mapping_Sheet!$N$2:$N$3143="&amp;"REGEXEXTRACT($A8,"".*_(.*)"")))/sum(filter(
Master_Mapping_Sheet!$E$2:$E$3143, ISNUMBER(
Master_Mapping_Sheet!$E$2:$E$3143),
Master_Mapping_Sheet!$C$2:$C$3143=D$1)))"),0.04078454718285145)</f>
        <v>0.04078454718</v>
      </c>
      <c r="E8" s="34">
        <f>IFERROR(__xludf.DUMMYFUNCTION("IF(ISNA(sum(filter(
Master_Mapping_Sheet!$E$2:$E$3143, ISNUMBER(
Master_Mapping_Sheet!$E$2:$E$3143),
Master_Mapping_Sheet!$C$2:$C$3143=E$1,
Master_Mapping_Sheet!$N$2:$N$3143=REGEXEXTRACT($A8,"".*_(.*)"")))/sum(filter(
Master_Mapping_Sheet!$E$2:$E$3143, IS"&amp;"NUMBER(
Master_Mapping_Sheet!$E$2:$E$3143),
Master_Mapping_Sheet!$C$2:$C$3143=E$1))), 0, sum(filter(
Master_Mapping_Sheet!$E$2:$E$3143, ISNUMBER(
Master_Mapping_Sheet!$E$2:$E$3143),
Master_Mapping_Sheet!$C$2:$C$3143=E$1,
Master_Mapping_Sheet!$N$2:$N$3143="&amp;"REGEXEXTRACT($A8,"".*_(.*)"")))/sum(filter(
Master_Mapping_Sheet!$E$2:$E$3143, ISNUMBER(
Master_Mapping_Sheet!$E$2:$E$3143),
Master_Mapping_Sheet!$C$2:$C$3143=E$1)))"),0.0)</f>
        <v>0</v>
      </c>
      <c r="F8" s="34">
        <f>IFERROR(__xludf.DUMMYFUNCTION("IF(ISNA(sum(filter(
Master_Mapping_Sheet!$E$2:$E$3143, ISNUMBER(
Master_Mapping_Sheet!$E$2:$E$3143),
Master_Mapping_Sheet!$C$2:$C$3143=F$1,
Master_Mapping_Sheet!$N$2:$N$3143=REGEXEXTRACT($A8,"".*_(.*)"")))/sum(filter(
Master_Mapping_Sheet!$E$2:$E$3143, IS"&amp;"NUMBER(
Master_Mapping_Sheet!$E$2:$E$3143),
Master_Mapping_Sheet!$C$2:$C$3143=F$1))), 0, sum(filter(
Master_Mapping_Sheet!$E$2:$E$3143, ISNUMBER(
Master_Mapping_Sheet!$E$2:$E$3143),
Master_Mapping_Sheet!$C$2:$C$3143=F$1,
Master_Mapping_Sheet!$N$2:$N$3143="&amp;"REGEXEXTRACT($A8,"".*_(.*)"")))/sum(filter(
Master_Mapping_Sheet!$E$2:$E$3143, ISNUMBER(
Master_Mapping_Sheet!$E$2:$E$3143),
Master_Mapping_Sheet!$C$2:$C$3143=F$1)))"),0.01164600929860658)</f>
        <v>0.0116460093</v>
      </c>
      <c r="G8" s="34">
        <f>IFERROR(__xludf.DUMMYFUNCTION("IF(ISNA(sum(filter(
Master_Mapping_Sheet!$E$2:$E$3143, ISNUMBER(
Master_Mapping_Sheet!$E$2:$E$3143),
Master_Mapping_Sheet!$C$2:$C$3143=G$1,
Master_Mapping_Sheet!$N$2:$N$3143=REGEXEXTRACT($A8,"".*_(.*)"")))/sum(filter(
Master_Mapping_Sheet!$E$2:$E$3143, IS"&amp;"NUMBER(
Master_Mapping_Sheet!$E$2:$E$3143),
Master_Mapping_Sheet!$C$2:$C$3143=G$1))), 0, sum(filter(
Master_Mapping_Sheet!$E$2:$E$3143, ISNUMBER(
Master_Mapping_Sheet!$E$2:$E$3143),
Master_Mapping_Sheet!$C$2:$C$3143=G$1,
Master_Mapping_Sheet!$N$2:$N$3143="&amp;"REGEXEXTRACT($A8,"".*_(.*)"")))/sum(filter(
Master_Mapping_Sheet!$E$2:$E$3143, ISNUMBER(
Master_Mapping_Sheet!$E$2:$E$3143),
Master_Mapping_Sheet!$C$2:$C$3143=G$1)))"),0.006095674942706304)</f>
        <v>0.006095674943</v>
      </c>
      <c r="H8" s="34">
        <f>IFERROR(__xludf.DUMMYFUNCTION("IF(ISNA(sum(filter(
Master_Mapping_Sheet!$E$2:$E$3143, ISNUMBER(
Master_Mapping_Sheet!$E$2:$E$3143),
Master_Mapping_Sheet!$C$2:$C$3143=H$1,
Master_Mapping_Sheet!$N$2:$N$3143=REGEXEXTRACT($A8,"".*_(.*)"")))/sum(filter(
Master_Mapping_Sheet!$E$2:$E$3143, IS"&amp;"NUMBER(
Master_Mapping_Sheet!$E$2:$E$3143),
Master_Mapping_Sheet!$C$2:$C$3143=H$1))), 0, sum(filter(
Master_Mapping_Sheet!$E$2:$E$3143, ISNUMBER(
Master_Mapping_Sheet!$E$2:$E$3143),
Master_Mapping_Sheet!$C$2:$C$3143=H$1,
Master_Mapping_Sheet!$N$2:$N$3143="&amp;"REGEXEXTRACT($A8,"".*_(.*)"")))/sum(filter(
Master_Mapping_Sheet!$E$2:$E$3143, ISNUMBER(
Master_Mapping_Sheet!$E$2:$E$3143),
Master_Mapping_Sheet!$C$2:$C$3143=H$1)))"),0.0)</f>
        <v>0</v>
      </c>
      <c r="I8" s="34">
        <f>IFERROR(__xludf.DUMMYFUNCTION("IF(ISNA(sum(filter(
Master_Mapping_Sheet!$E$2:$E$3143, ISNUMBER(
Master_Mapping_Sheet!$E$2:$E$3143),
Master_Mapping_Sheet!$C$2:$C$3143=I$1,
Master_Mapping_Sheet!$N$2:$N$3143=REGEXEXTRACT($A8,"".*_(.*)"")))/sum(filter(
Master_Mapping_Sheet!$E$2:$E$3143, IS"&amp;"NUMBER(
Master_Mapping_Sheet!$E$2:$E$3143),
Master_Mapping_Sheet!$C$2:$C$3143=I$1))), 0, sum(filter(
Master_Mapping_Sheet!$E$2:$E$3143, ISNUMBER(
Master_Mapping_Sheet!$E$2:$E$3143),
Master_Mapping_Sheet!$C$2:$C$3143=I$1,
Master_Mapping_Sheet!$N$2:$N$3143="&amp;"REGEXEXTRACT($A8,"".*_(.*)"")))/sum(filter(
Master_Mapping_Sheet!$E$2:$E$3143, ISNUMBER(
Master_Mapping_Sheet!$E$2:$E$3143),
Master_Mapping_Sheet!$C$2:$C$3143=I$1)))"),0.0)</f>
        <v>0</v>
      </c>
      <c r="J8" s="34">
        <f>IFERROR(__xludf.DUMMYFUNCTION("IF(ISNA(sum(filter(
Master_Mapping_Sheet!$E$2:$E$3143, ISNUMBER(
Master_Mapping_Sheet!$E$2:$E$3143),
Master_Mapping_Sheet!$C$2:$C$3143=J$1,
Master_Mapping_Sheet!$N$2:$N$3143=REGEXEXTRACT($A8,"".*_(.*)"")))/sum(filter(
Master_Mapping_Sheet!$E$2:$E$3143, IS"&amp;"NUMBER(
Master_Mapping_Sheet!$E$2:$E$3143),
Master_Mapping_Sheet!$C$2:$C$3143=J$1))), 0, sum(filter(
Master_Mapping_Sheet!$E$2:$E$3143, ISNUMBER(
Master_Mapping_Sheet!$E$2:$E$3143),
Master_Mapping_Sheet!$C$2:$C$3143=J$1,
Master_Mapping_Sheet!$N$2:$N$3143="&amp;"REGEXEXTRACT($A8,"".*_(.*)"")))/sum(filter(
Master_Mapping_Sheet!$E$2:$E$3143, ISNUMBER(
Master_Mapping_Sheet!$E$2:$E$3143),
Master_Mapping_Sheet!$C$2:$C$3143=J$1)))"),0.0)</f>
        <v>0</v>
      </c>
      <c r="K8" s="34">
        <f>IFERROR(__xludf.DUMMYFUNCTION("IF(ISNA(sum(filter(
Master_Mapping_Sheet!$E$2:$E$3143, ISNUMBER(
Master_Mapping_Sheet!$E$2:$E$3143),
Master_Mapping_Sheet!$C$2:$C$3143=K$1,
Master_Mapping_Sheet!$N$2:$N$3143=REGEXEXTRACT($A8,"".*_(.*)"")))/sum(filter(
Master_Mapping_Sheet!$E$2:$E$3143, IS"&amp;"NUMBER(
Master_Mapping_Sheet!$E$2:$E$3143),
Master_Mapping_Sheet!$C$2:$C$3143=K$1))), 0, sum(filter(
Master_Mapping_Sheet!$E$2:$E$3143, ISNUMBER(
Master_Mapping_Sheet!$E$2:$E$3143),
Master_Mapping_Sheet!$C$2:$C$3143=K$1,
Master_Mapping_Sheet!$N$2:$N$3143="&amp;"REGEXEXTRACT($A8,"".*_(.*)"")))/sum(filter(
Master_Mapping_Sheet!$E$2:$E$3143, ISNUMBER(
Master_Mapping_Sheet!$E$2:$E$3143),
Master_Mapping_Sheet!$C$2:$C$3143=K$1)))"),0.0)</f>
        <v>0</v>
      </c>
      <c r="L8" s="34">
        <f>IFERROR(__xludf.DUMMYFUNCTION("IF(ISNA(sum(filter(
Master_Mapping_Sheet!$E$2:$E$3143, ISNUMBER(
Master_Mapping_Sheet!$E$2:$E$3143),
Master_Mapping_Sheet!$C$2:$C$3143=L$1,
Master_Mapping_Sheet!$N$2:$N$3143=REGEXEXTRACT($A8,"".*_(.*)"")))/sum(filter(
Master_Mapping_Sheet!$E$2:$E$3143, IS"&amp;"NUMBER(
Master_Mapping_Sheet!$E$2:$E$3143),
Master_Mapping_Sheet!$C$2:$C$3143=L$1))), 0, sum(filter(
Master_Mapping_Sheet!$E$2:$E$3143, ISNUMBER(
Master_Mapping_Sheet!$E$2:$E$3143),
Master_Mapping_Sheet!$C$2:$C$3143=L$1,
Master_Mapping_Sheet!$N$2:$N$3143="&amp;"REGEXEXTRACT($A8,"".*_(.*)"")))/sum(filter(
Master_Mapping_Sheet!$E$2:$E$3143, ISNUMBER(
Master_Mapping_Sheet!$E$2:$E$3143),
Master_Mapping_Sheet!$C$2:$C$3143=L$1)))"),0.0)</f>
        <v>0</v>
      </c>
      <c r="M8" s="34">
        <f>IFERROR(__xludf.DUMMYFUNCTION("IF(ISNA(sum(filter(
Master_Mapping_Sheet!$E$2:$E$3143, ISNUMBER(
Master_Mapping_Sheet!$E$2:$E$3143),
Master_Mapping_Sheet!$C$2:$C$3143=M$1,
Master_Mapping_Sheet!$N$2:$N$3143=REGEXEXTRACT($A8,"".*_(.*)"")))/sum(filter(
Master_Mapping_Sheet!$E$2:$E$3143, IS"&amp;"NUMBER(
Master_Mapping_Sheet!$E$2:$E$3143),
Master_Mapping_Sheet!$C$2:$C$3143=M$1))), 0, sum(filter(
Master_Mapping_Sheet!$E$2:$E$3143, ISNUMBER(
Master_Mapping_Sheet!$E$2:$E$3143),
Master_Mapping_Sheet!$C$2:$C$3143=M$1,
Master_Mapping_Sheet!$N$2:$N$3143="&amp;"REGEXEXTRACT($A8,"".*_(.*)"")))/sum(filter(
Master_Mapping_Sheet!$E$2:$E$3143, ISNUMBER(
Master_Mapping_Sheet!$E$2:$E$3143),
Master_Mapping_Sheet!$C$2:$C$3143=M$1)))"),0.0)</f>
        <v>0</v>
      </c>
      <c r="N8" s="34">
        <f>IFERROR(__xludf.DUMMYFUNCTION("IF(ISNA(sum(filter(
Master_Mapping_Sheet!$E$2:$E$3143, ISNUMBER(
Master_Mapping_Sheet!$E$2:$E$3143),
Master_Mapping_Sheet!$C$2:$C$3143=N$1,
Master_Mapping_Sheet!$N$2:$N$3143=REGEXEXTRACT($A8,"".*_(.*)"")))/sum(filter(
Master_Mapping_Sheet!$E$2:$E$3143, IS"&amp;"NUMBER(
Master_Mapping_Sheet!$E$2:$E$3143),
Master_Mapping_Sheet!$C$2:$C$3143=N$1))), 0, sum(filter(
Master_Mapping_Sheet!$E$2:$E$3143, ISNUMBER(
Master_Mapping_Sheet!$E$2:$E$3143),
Master_Mapping_Sheet!$C$2:$C$3143=N$1,
Master_Mapping_Sheet!$N$2:$N$3143="&amp;"REGEXEXTRACT($A8,"".*_(.*)"")))/sum(filter(
Master_Mapping_Sheet!$E$2:$E$3143, ISNUMBER(
Master_Mapping_Sheet!$E$2:$E$3143),
Master_Mapping_Sheet!$C$2:$C$3143=N$1)))"),0.0)</f>
        <v>0</v>
      </c>
      <c r="O8" s="34">
        <f>IFERROR(__xludf.DUMMYFUNCTION("IF(ISNA(sum(filter(
Master_Mapping_Sheet!$E$2:$E$3143, ISNUMBER(
Master_Mapping_Sheet!$E$2:$E$3143),
Master_Mapping_Sheet!$C$2:$C$3143=O$1,
Master_Mapping_Sheet!$N$2:$N$3143=REGEXEXTRACT($A8,"".*_(.*)"")))/sum(filter(
Master_Mapping_Sheet!$E$2:$E$3143, IS"&amp;"NUMBER(
Master_Mapping_Sheet!$E$2:$E$3143),
Master_Mapping_Sheet!$C$2:$C$3143=O$1))), 0, sum(filter(
Master_Mapping_Sheet!$E$2:$E$3143, ISNUMBER(
Master_Mapping_Sheet!$E$2:$E$3143),
Master_Mapping_Sheet!$C$2:$C$3143=O$1,
Master_Mapping_Sheet!$N$2:$N$3143="&amp;"REGEXEXTRACT($A8,"".*_(.*)"")))/sum(filter(
Master_Mapping_Sheet!$E$2:$E$3143, ISNUMBER(
Master_Mapping_Sheet!$E$2:$E$3143),
Master_Mapping_Sheet!$C$2:$C$3143=O$1)))"),0.0)</f>
        <v>0</v>
      </c>
      <c r="P8" s="34">
        <f>IFERROR(__xludf.DUMMYFUNCTION("IF(ISNA(sum(filter(
Master_Mapping_Sheet!$E$2:$E$3143, ISNUMBER(
Master_Mapping_Sheet!$E$2:$E$3143),
Master_Mapping_Sheet!$C$2:$C$3143=P$1,
Master_Mapping_Sheet!$N$2:$N$3143=REGEXEXTRACT($A8,"".*_(.*)"")))/sum(filter(
Master_Mapping_Sheet!$E$2:$E$3143, IS"&amp;"NUMBER(
Master_Mapping_Sheet!$E$2:$E$3143),
Master_Mapping_Sheet!$C$2:$C$3143=P$1))), 0, sum(filter(
Master_Mapping_Sheet!$E$2:$E$3143, ISNUMBER(
Master_Mapping_Sheet!$E$2:$E$3143),
Master_Mapping_Sheet!$C$2:$C$3143=P$1,
Master_Mapping_Sheet!$N$2:$N$3143="&amp;"REGEXEXTRACT($A8,"".*_(.*)"")))/sum(filter(
Master_Mapping_Sheet!$E$2:$E$3143, ISNUMBER(
Master_Mapping_Sheet!$E$2:$E$3143),
Master_Mapping_Sheet!$C$2:$C$3143=P$1)))"),0.0)</f>
        <v>0</v>
      </c>
      <c r="Q8" s="34">
        <f>IFERROR(__xludf.DUMMYFUNCTION("IF(ISNA(sum(filter(
Master_Mapping_Sheet!$E$2:$E$3143, ISNUMBER(
Master_Mapping_Sheet!$E$2:$E$3143),
Master_Mapping_Sheet!$C$2:$C$3143=Q$1,
Master_Mapping_Sheet!$N$2:$N$3143=REGEXEXTRACT($A8,"".*_(.*)"")))/sum(filter(
Master_Mapping_Sheet!$E$2:$E$3143, IS"&amp;"NUMBER(
Master_Mapping_Sheet!$E$2:$E$3143),
Master_Mapping_Sheet!$C$2:$C$3143=Q$1))), 0, sum(filter(
Master_Mapping_Sheet!$E$2:$E$3143, ISNUMBER(
Master_Mapping_Sheet!$E$2:$E$3143),
Master_Mapping_Sheet!$C$2:$C$3143=Q$1,
Master_Mapping_Sheet!$N$2:$N$3143="&amp;"REGEXEXTRACT($A8,"".*_(.*)"")))/sum(filter(
Master_Mapping_Sheet!$E$2:$E$3143, ISNUMBER(
Master_Mapping_Sheet!$E$2:$E$3143),
Master_Mapping_Sheet!$C$2:$C$3143=Q$1)))"),0.0)</f>
        <v>0</v>
      </c>
      <c r="R8" s="34">
        <f>IFERROR(__xludf.DUMMYFUNCTION("IF(ISNA(sum(filter(
Master_Mapping_Sheet!$E$2:$E$3143, ISNUMBER(
Master_Mapping_Sheet!$E$2:$E$3143),
Master_Mapping_Sheet!$C$2:$C$3143=R$1,
Master_Mapping_Sheet!$N$2:$N$3143=REGEXEXTRACT($A8,"".*_(.*)"")))/sum(filter(
Master_Mapping_Sheet!$E$2:$E$3143, IS"&amp;"NUMBER(
Master_Mapping_Sheet!$E$2:$E$3143),
Master_Mapping_Sheet!$C$2:$C$3143=R$1))), 0, sum(filter(
Master_Mapping_Sheet!$E$2:$E$3143, ISNUMBER(
Master_Mapping_Sheet!$E$2:$E$3143),
Master_Mapping_Sheet!$C$2:$C$3143=R$1,
Master_Mapping_Sheet!$N$2:$N$3143="&amp;"REGEXEXTRACT($A8,"".*_(.*)"")))/sum(filter(
Master_Mapping_Sheet!$E$2:$E$3143, ISNUMBER(
Master_Mapping_Sheet!$E$2:$E$3143),
Master_Mapping_Sheet!$C$2:$C$3143=R$1)))"),0.0)</f>
        <v>0</v>
      </c>
      <c r="S8" s="34">
        <f>IFERROR(__xludf.DUMMYFUNCTION("IF(ISNA(sum(filter(
Master_Mapping_Sheet!$E$2:$E$3143, ISNUMBER(
Master_Mapping_Sheet!$E$2:$E$3143),
Master_Mapping_Sheet!$C$2:$C$3143=S$1,
Master_Mapping_Sheet!$N$2:$N$3143=REGEXEXTRACT($A8,"".*_(.*)"")))/sum(filter(
Master_Mapping_Sheet!$E$2:$E$3143, IS"&amp;"NUMBER(
Master_Mapping_Sheet!$E$2:$E$3143),
Master_Mapping_Sheet!$C$2:$C$3143=S$1))), 0, sum(filter(
Master_Mapping_Sheet!$E$2:$E$3143, ISNUMBER(
Master_Mapping_Sheet!$E$2:$E$3143),
Master_Mapping_Sheet!$C$2:$C$3143=S$1,
Master_Mapping_Sheet!$N$2:$N$3143="&amp;"REGEXEXTRACT($A8,"".*_(.*)"")))/sum(filter(
Master_Mapping_Sheet!$E$2:$E$3143, ISNUMBER(
Master_Mapping_Sheet!$E$2:$E$3143),
Master_Mapping_Sheet!$C$2:$C$3143=S$1)))"),0.0)</f>
        <v>0</v>
      </c>
      <c r="T8" s="34">
        <f>IFERROR(__xludf.DUMMYFUNCTION("IF(ISNA(sum(filter(
Master_Mapping_Sheet!$E$2:$E$3143, ISNUMBER(
Master_Mapping_Sheet!$E$2:$E$3143),
Master_Mapping_Sheet!$C$2:$C$3143=T$1,
Master_Mapping_Sheet!$N$2:$N$3143=REGEXEXTRACT($A8,"".*_(.*)"")))/sum(filter(
Master_Mapping_Sheet!$E$2:$E$3143, IS"&amp;"NUMBER(
Master_Mapping_Sheet!$E$2:$E$3143),
Master_Mapping_Sheet!$C$2:$C$3143=T$1))), 0, sum(filter(
Master_Mapping_Sheet!$E$2:$E$3143, ISNUMBER(
Master_Mapping_Sheet!$E$2:$E$3143),
Master_Mapping_Sheet!$C$2:$C$3143=T$1,
Master_Mapping_Sheet!$N$2:$N$3143="&amp;"REGEXEXTRACT($A8,"".*_(.*)"")))/sum(filter(
Master_Mapping_Sheet!$E$2:$E$3143, ISNUMBER(
Master_Mapping_Sheet!$E$2:$E$3143),
Master_Mapping_Sheet!$C$2:$C$3143=T$1)))"),0.0)</f>
        <v>0</v>
      </c>
      <c r="U8" s="34">
        <f>IFERROR(__xludf.DUMMYFUNCTION("IF(ISNA(sum(filter(
Master_Mapping_Sheet!$E$2:$E$3143, ISNUMBER(
Master_Mapping_Sheet!$E$2:$E$3143),
Master_Mapping_Sheet!$C$2:$C$3143=U$1,
Master_Mapping_Sheet!$N$2:$N$3143=REGEXEXTRACT($A8,"".*_(.*)"")))/sum(filter(
Master_Mapping_Sheet!$E$2:$E$3143, IS"&amp;"NUMBER(
Master_Mapping_Sheet!$E$2:$E$3143),
Master_Mapping_Sheet!$C$2:$C$3143=U$1))), 0, sum(filter(
Master_Mapping_Sheet!$E$2:$E$3143, ISNUMBER(
Master_Mapping_Sheet!$E$2:$E$3143),
Master_Mapping_Sheet!$C$2:$C$3143=U$1,
Master_Mapping_Sheet!$N$2:$N$3143="&amp;"REGEXEXTRACT($A8,"".*_(.*)"")))/sum(filter(
Master_Mapping_Sheet!$E$2:$E$3143, ISNUMBER(
Master_Mapping_Sheet!$E$2:$E$3143),
Master_Mapping_Sheet!$C$2:$C$3143=U$1)))"),0.0)</f>
        <v>0</v>
      </c>
      <c r="V8" s="34">
        <f>IFERROR(__xludf.DUMMYFUNCTION("IF(ISNA(sum(filter(
Master_Mapping_Sheet!$E$2:$E$3143, ISNUMBER(
Master_Mapping_Sheet!$E$2:$E$3143),
Master_Mapping_Sheet!$C$2:$C$3143=V$1,
Master_Mapping_Sheet!$N$2:$N$3143=REGEXEXTRACT($A8,"".*_(.*)"")))/sum(filter(
Master_Mapping_Sheet!$E$2:$E$3143, IS"&amp;"NUMBER(
Master_Mapping_Sheet!$E$2:$E$3143),
Master_Mapping_Sheet!$C$2:$C$3143=V$1))), 0, sum(filter(
Master_Mapping_Sheet!$E$2:$E$3143, ISNUMBER(
Master_Mapping_Sheet!$E$2:$E$3143),
Master_Mapping_Sheet!$C$2:$C$3143=V$1,
Master_Mapping_Sheet!$N$2:$N$3143="&amp;"REGEXEXTRACT($A8,"".*_(.*)"")))/sum(filter(
Master_Mapping_Sheet!$E$2:$E$3143, ISNUMBER(
Master_Mapping_Sheet!$E$2:$E$3143),
Master_Mapping_Sheet!$C$2:$C$3143=V$1)))"),0.0)</f>
        <v>0</v>
      </c>
      <c r="W8" s="34">
        <f>IFERROR(__xludf.DUMMYFUNCTION("IF(ISNA(sum(filter(
Master_Mapping_Sheet!$E$2:$E$3143, ISNUMBER(
Master_Mapping_Sheet!$E$2:$E$3143),
Master_Mapping_Sheet!$C$2:$C$3143=W$1,
Master_Mapping_Sheet!$N$2:$N$3143=REGEXEXTRACT($A8,"".*_(.*)"")))/sum(filter(
Master_Mapping_Sheet!$E$2:$E$3143, IS"&amp;"NUMBER(
Master_Mapping_Sheet!$E$2:$E$3143),
Master_Mapping_Sheet!$C$2:$C$3143=W$1))), 0, sum(filter(
Master_Mapping_Sheet!$E$2:$E$3143, ISNUMBER(
Master_Mapping_Sheet!$E$2:$E$3143),
Master_Mapping_Sheet!$C$2:$C$3143=W$1,
Master_Mapping_Sheet!$N$2:$N$3143="&amp;"REGEXEXTRACT($A8,"".*_(.*)"")))/sum(filter(
Master_Mapping_Sheet!$E$2:$E$3143, ISNUMBER(
Master_Mapping_Sheet!$E$2:$E$3143),
Master_Mapping_Sheet!$C$2:$C$3143=W$1)))"),0.0)</f>
        <v>0</v>
      </c>
      <c r="X8" s="34">
        <f>IFERROR(__xludf.DUMMYFUNCTION("IF(ISNA(sum(filter(
Master_Mapping_Sheet!$E$2:$E$3143, ISNUMBER(
Master_Mapping_Sheet!$E$2:$E$3143),
Master_Mapping_Sheet!$C$2:$C$3143=X$1,
Master_Mapping_Sheet!$N$2:$N$3143=REGEXEXTRACT($A8,"".*_(.*)"")))/sum(filter(
Master_Mapping_Sheet!$E$2:$E$3143, IS"&amp;"NUMBER(
Master_Mapping_Sheet!$E$2:$E$3143),
Master_Mapping_Sheet!$C$2:$C$3143=X$1))), 0, sum(filter(
Master_Mapping_Sheet!$E$2:$E$3143, ISNUMBER(
Master_Mapping_Sheet!$E$2:$E$3143),
Master_Mapping_Sheet!$C$2:$C$3143=X$1,
Master_Mapping_Sheet!$N$2:$N$3143="&amp;"REGEXEXTRACT($A8,"".*_(.*)"")))/sum(filter(
Master_Mapping_Sheet!$E$2:$E$3143, ISNUMBER(
Master_Mapping_Sheet!$E$2:$E$3143),
Master_Mapping_Sheet!$C$2:$C$3143=X$1)))"),0.0)</f>
        <v>0</v>
      </c>
      <c r="Y8" s="34">
        <f>IFERROR(__xludf.DUMMYFUNCTION("IF(ISNA(sum(filter(
Master_Mapping_Sheet!$E$2:$E$3143, ISNUMBER(
Master_Mapping_Sheet!$E$2:$E$3143),
Master_Mapping_Sheet!$C$2:$C$3143=Y$1,
Master_Mapping_Sheet!$N$2:$N$3143=REGEXEXTRACT($A8,"".*_(.*)"")))/sum(filter(
Master_Mapping_Sheet!$E$2:$E$3143, IS"&amp;"NUMBER(
Master_Mapping_Sheet!$E$2:$E$3143),
Master_Mapping_Sheet!$C$2:$C$3143=Y$1))), 0, sum(filter(
Master_Mapping_Sheet!$E$2:$E$3143, ISNUMBER(
Master_Mapping_Sheet!$E$2:$E$3143),
Master_Mapping_Sheet!$C$2:$C$3143=Y$1,
Master_Mapping_Sheet!$N$2:$N$3143="&amp;"REGEXEXTRACT($A8,"".*_(.*)"")))/sum(filter(
Master_Mapping_Sheet!$E$2:$E$3143, ISNUMBER(
Master_Mapping_Sheet!$E$2:$E$3143),
Master_Mapping_Sheet!$C$2:$C$3143=Y$1)))"),0.0)</f>
        <v>0</v>
      </c>
      <c r="Z8" s="34">
        <f>IFERROR(__xludf.DUMMYFUNCTION("IF(ISNA(sum(filter(
Master_Mapping_Sheet!$E$2:$E$3143, ISNUMBER(
Master_Mapping_Sheet!$E$2:$E$3143),
Master_Mapping_Sheet!$C$2:$C$3143=Z$1,
Master_Mapping_Sheet!$N$2:$N$3143=REGEXEXTRACT($A8,"".*_(.*)"")))/sum(filter(
Master_Mapping_Sheet!$E$2:$E$3143, IS"&amp;"NUMBER(
Master_Mapping_Sheet!$E$2:$E$3143),
Master_Mapping_Sheet!$C$2:$C$3143=Z$1))), 0, sum(filter(
Master_Mapping_Sheet!$E$2:$E$3143, ISNUMBER(
Master_Mapping_Sheet!$E$2:$E$3143),
Master_Mapping_Sheet!$C$2:$C$3143=Z$1,
Master_Mapping_Sheet!$N$2:$N$3143="&amp;"REGEXEXTRACT($A8,"".*_(.*)"")))/sum(filter(
Master_Mapping_Sheet!$E$2:$E$3143, ISNUMBER(
Master_Mapping_Sheet!$E$2:$E$3143),
Master_Mapping_Sheet!$C$2:$C$3143=Z$1)))"),0.0)</f>
        <v>0</v>
      </c>
      <c r="AA8" s="34">
        <f>IFERROR(__xludf.DUMMYFUNCTION("IF(ISNA(sum(filter(
Master_Mapping_Sheet!$E$2:$E$3143, ISNUMBER(
Master_Mapping_Sheet!$E$2:$E$3143),
Master_Mapping_Sheet!$C$2:$C$3143=AA$1,
Master_Mapping_Sheet!$N$2:$N$3143=REGEXEXTRACT($A8,"".*_(.*)"")))/sum(filter(
Master_Mapping_Sheet!$E$2:$E$3143, I"&amp;"SNUMBER(
Master_Mapping_Sheet!$E$2:$E$3143),
Master_Mapping_Sheet!$C$2:$C$3143=AA$1))), 0, sum(filter(
Master_Mapping_Sheet!$E$2:$E$3143, ISNUMBER(
Master_Mapping_Sheet!$E$2:$E$3143),
Master_Mapping_Sheet!$C$2:$C$3143=AA$1,
Master_Mapping_Sheet!$N$2:$N$31"&amp;"43=REGEXEXTRACT($A8,"".*_(.*)"")))/sum(filter(
Master_Mapping_Sheet!$E$2:$E$3143, ISNUMBER(
Master_Mapping_Sheet!$E$2:$E$3143),
Master_Mapping_Sheet!$C$2:$C$3143=AA$1)))"),0.0)</f>
        <v>0</v>
      </c>
      <c r="AB8" s="34">
        <f>IFERROR(__xludf.DUMMYFUNCTION("IF(ISNA(sum(filter(
Master_Mapping_Sheet!$E$2:$E$3143, ISNUMBER(
Master_Mapping_Sheet!$E$2:$E$3143),
Master_Mapping_Sheet!$C$2:$C$3143=AB$1,
Master_Mapping_Sheet!$N$2:$N$3143=REGEXEXTRACT($A8,"".*_(.*)"")))/sum(filter(
Master_Mapping_Sheet!$E$2:$E$3143, I"&amp;"SNUMBER(
Master_Mapping_Sheet!$E$2:$E$3143),
Master_Mapping_Sheet!$C$2:$C$3143=AB$1))), 0, sum(filter(
Master_Mapping_Sheet!$E$2:$E$3143, ISNUMBER(
Master_Mapping_Sheet!$E$2:$E$3143),
Master_Mapping_Sheet!$C$2:$C$3143=AB$1,
Master_Mapping_Sheet!$N$2:$N$31"&amp;"43=REGEXEXTRACT($A8,"".*_(.*)"")))/sum(filter(
Master_Mapping_Sheet!$E$2:$E$3143, ISNUMBER(
Master_Mapping_Sheet!$E$2:$E$3143),
Master_Mapping_Sheet!$C$2:$C$3143=AB$1)))"),0.0)</f>
        <v>0</v>
      </c>
      <c r="AC8" s="34">
        <f>IFERROR(__xludf.DUMMYFUNCTION("IF(ISNA(sum(filter(
Master_Mapping_Sheet!$E$2:$E$3143, ISNUMBER(
Master_Mapping_Sheet!$E$2:$E$3143),
Master_Mapping_Sheet!$C$2:$C$3143=AC$1,
Master_Mapping_Sheet!$N$2:$N$3143=REGEXEXTRACT($A8,"".*_(.*)"")))/sum(filter(
Master_Mapping_Sheet!$E$2:$E$3143, I"&amp;"SNUMBER(
Master_Mapping_Sheet!$E$2:$E$3143),
Master_Mapping_Sheet!$C$2:$C$3143=AC$1))), 0, sum(filter(
Master_Mapping_Sheet!$E$2:$E$3143, ISNUMBER(
Master_Mapping_Sheet!$E$2:$E$3143),
Master_Mapping_Sheet!$C$2:$C$3143=AC$1,
Master_Mapping_Sheet!$N$2:$N$31"&amp;"43=REGEXEXTRACT($A8,"".*_(.*)"")))/sum(filter(
Master_Mapping_Sheet!$E$2:$E$3143, ISNUMBER(
Master_Mapping_Sheet!$E$2:$E$3143),
Master_Mapping_Sheet!$C$2:$C$3143=AC$1)))"),0.0)</f>
        <v>0</v>
      </c>
      <c r="AD8" s="34">
        <f>IFERROR(__xludf.DUMMYFUNCTION("IF(ISNA(sum(filter(
Master_Mapping_Sheet!$E$2:$E$3143, ISNUMBER(
Master_Mapping_Sheet!$E$2:$E$3143),
Master_Mapping_Sheet!$C$2:$C$3143=AD$1,
Master_Mapping_Sheet!$N$2:$N$3143=REGEXEXTRACT($A8,"".*_(.*)"")))/sum(filter(
Master_Mapping_Sheet!$E$2:$E$3143, I"&amp;"SNUMBER(
Master_Mapping_Sheet!$E$2:$E$3143),
Master_Mapping_Sheet!$C$2:$C$3143=AD$1))), 0, sum(filter(
Master_Mapping_Sheet!$E$2:$E$3143, ISNUMBER(
Master_Mapping_Sheet!$E$2:$E$3143),
Master_Mapping_Sheet!$C$2:$C$3143=AD$1,
Master_Mapping_Sheet!$N$2:$N$31"&amp;"43=REGEXEXTRACT($A8,"".*_(.*)"")))/sum(filter(
Master_Mapping_Sheet!$E$2:$E$3143, ISNUMBER(
Master_Mapping_Sheet!$E$2:$E$3143),
Master_Mapping_Sheet!$C$2:$C$3143=AD$1)))"),0.0)</f>
        <v>0</v>
      </c>
      <c r="AE8" s="34">
        <f>IFERROR(__xludf.DUMMYFUNCTION("IF(ISNA(sum(filter(
Master_Mapping_Sheet!$E$2:$E$3143, ISNUMBER(
Master_Mapping_Sheet!$E$2:$E$3143),
Master_Mapping_Sheet!$C$2:$C$3143=AE$1,
Master_Mapping_Sheet!$N$2:$N$3143=REGEXEXTRACT($A8,"".*_(.*)"")))/sum(filter(
Master_Mapping_Sheet!$E$2:$E$3143, I"&amp;"SNUMBER(
Master_Mapping_Sheet!$E$2:$E$3143),
Master_Mapping_Sheet!$C$2:$C$3143=AE$1))), 0, sum(filter(
Master_Mapping_Sheet!$E$2:$E$3143, ISNUMBER(
Master_Mapping_Sheet!$E$2:$E$3143),
Master_Mapping_Sheet!$C$2:$C$3143=AE$1,
Master_Mapping_Sheet!$N$2:$N$31"&amp;"43=REGEXEXTRACT($A8,"".*_(.*)"")))/sum(filter(
Master_Mapping_Sheet!$E$2:$E$3143, ISNUMBER(
Master_Mapping_Sheet!$E$2:$E$3143),
Master_Mapping_Sheet!$C$2:$C$3143=AE$1)))"),0.0)</f>
        <v>0</v>
      </c>
      <c r="AF8" s="34">
        <f>IFERROR(__xludf.DUMMYFUNCTION("IF(ISNA(sum(filter(
Master_Mapping_Sheet!$E$2:$E$3143, ISNUMBER(
Master_Mapping_Sheet!$E$2:$E$3143),
Master_Mapping_Sheet!$C$2:$C$3143=AF$1,
Master_Mapping_Sheet!$N$2:$N$3143=REGEXEXTRACT($A8,"".*_(.*)"")))/sum(filter(
Master_Mapping_Sheet!$E$2:$E$3143, I"&amp;"SNUMBER(
Master_Mapping_Sheet!$E$2:$E$3143),
Master_Mapping_Sheet!$C$2:$C$3143=AF$1))), 0, sum(filter(
Master_Mapping_Sheet!$E$2:$E$3143, ISNUMBER(
Master_Mapping_Sheet!$E$2:$E$3143),
Master_Mapping_Sheet!$C$2:$C$3143=AF$1,
Master_Mapping_Sheet!$N$2:$N$31"&amp;"43=REGEXEXTRACT($A8,"".*_(.*)"")))/sum(filter(
Master_Mapping_Sheet!$E$2:$E$3143, ISNUMBER(
Master_Mapping_Sheet!$E$2:$E$3143),
Master_Mapping_Sheet!$C$2:$C$3143=AF$1)))"),0.0)</f>
        <v>0</v>
      </c>
      <c r="AG8" s="34">
        <f>IFERROR(__xludf.DUMMYFUNCTION("IF(ISNA(sum(filter(
Master_Mapping_Sheet!$E$2:$E$3143, ISNUMBER(
Master_Mapping_Sheet!$E$2:$E$3143),
Master_Mapping_Sheet!$C$2:$C$3143=AG$1,
Master_Mapping_Sheet!$N$2:$N$3143=REGEXEXTRACT($A8,"".*_(.*)"")))/sum(filter(
Master_Mapping_Sheet!$E$2:$E$3143, I"&amp;"SNUMBER(
Master_Mapping_Sheet!$E$2:$E$3143),
Master_Mapping_Sheet!$C$2:$C$3143=AG$1))), 0, sum(filter(
Master_Mapping_Sheet!$E$2:$E$3143, ISNUMBER(
Master_Mapping_Sheet!$E$2:$E$3143),
Master_Mapping_Sheet!$C$2:$C$3143=AG$1,
Master_Mapping_Sheet!$N$2:$N$31"&amp;"43=REGEXEXTRACT($A8,"".*_(.*)"")))/sum(filter(
Master_Mapping_Sheet!$E$2:$E$3143, ISNUMBER(
Master_Mapping_Sheet!$E$2:$E$3143),
Master_Mapping_Sheet!$C$2:$C$3143=AG$1)))"),0.43044054236460866)</f>
        <v>0.4304405424</v>
      </c>
      <c r="AH8" s="34">
        <f>IFERROR(__xludf.DUMMYFUNCTION("IF(ISNA(sum(filter(
Master_Mapping_Sheet!$E$2:$E$3143, ISNUMBER(
Master_Mapping_Sheet!$E$2:$E$3143),
Master_Mapping_Sheet!$C$2:$C$3143=AH$1,
Master_Mapping_Sheet!$N$2:$N$3143=REGEXEXTRACT($A8,"".*_(.*)"")))/sum(filter(
Master_Mapping_Sheet!$E$2:$E$3143, I"&amp;"SNUMBER(
Master_Mapping_Sheet!$E$2:$E$3143),
Master_Mapping_Sheet!$C$2:$C$3143=AH$1))), 0, sum(filter(
Master_Mapping_Sheet!$E$2:$E$3143, ISNUMBER(
Master_Mapping_Sheet!$E$2:$E$3143),
Master_Mapping_Sheet!$C$2:$C$3143=AH$1,
Master_Mapping_Sheet!$N$2:$N$31"&amp;"43=REGEXEXTRACT($A8,"".*_(.*)"")))/sum(filter(
Master_Mapping_Sheet!$E$2:$E$3143, ISNUMBER(
Master_Mapping_Sheet!$E$2:$E$3143),
Master_Mapping_Sheet!$C$2:$C$3143=AH$1)))"),0.0)</f>
        <v>0</v>
      </c>
      <c r="AI8" s="34">
        <f>IFERROR(__xludf.DUMMYFUNCTION("IF(ISNA(sum(filter(
Master_Mapping_Sheet!$E$2:$E$3143, ISNUMBER(
Master_Mapping_Sheet!$E$2:$E$3143),
Master_Mapping_Sheet!$C$2:$C$3143=AI$1,
Master_Mapping_Sheet!$N$2:$N$3143=REGEXEXTRACT($A8,"".*_(.*)"")))/sum(filter(
Master_Mapping_Sheet!$E$2:$E$3143, I"&amp;"SNUMBER(
Master_Mapping_Sheet!$E$2:$E$3143),
Master_Mapping_Sheet!$C$2:$C$3143=AI$1))), 0, sum(filter(
Master_Mapping_Sheet!$E$2:$E$3143, ISNUMBER(
Master_Mapping_Sheet!$E$2:$E$3143),
Master_Mapping_Sheet!$C$2:$C$3143=AI$1,
Master_Mapping_Sheet!$N$2:$N$31"&amp;"43=REGEXEXTRACT($A8,"".*_(.*)"")))/sum(filter(
Master_Mapping_Sheet!$E$2:$E$3143, ISNUMBER(
Master_Mapping_Sheet!$E$2:$E$3143),
Master_Mapping_Sheet!$C$2:$C$3143=AI$1)))"),0.0)</f>
        <v>0</v>
      </c>
      <c r="AJ8" s="34">
        <f>IFERROR(__xludf.DUMMYFUNCTION("IF(ISNA(sum(filter(
Master_Mapping_Sheet!$E$2:$E$3143, ISNUMBER(
Master_Mapping_Sheet!$E$2:$E$3143),
Master_Mapping_Sheet!$C$2:$C$3143=AJ$1,
Master_Mapping_Sheet!$N$2:$N$3143=REGEXEXTRACT($A8,"".*_(.*)"")))/sum(filter(
Master_Mapping_Sheet!$E$2:$E$3143, I"&amp;"SNUMBER(
Master_Mapping_Sheet!$E$2:$E$3143),
Master_Mapping_Sheet!$C$2:$C$3143=AJ$1))), 0, sum(filter(
Master_Mapping_Sheet!$E$2:$E$3143, ISNUMBER(
Master_Mapping_Sheet!$E$2:$E$3143),
Master_Mapping_Sheet!$C$2:$C$3143=AJ$1,
Master_Mapping_Sheet!$N$2:$N$31"&amp;"43=REGEXEXTRACT($A8,"".*_(.*)"")))/sum(filter(
Master_Mapping_Sheet!$E$2:$E$3143, ISNUMBER(
Master_Mapping_Sheet!$E$2:$E$3143),
Master_Mapping_Sheet!$C$2:$C$3143=AJ$1)))"),0.0)</f>
        <v>0</v>
      </c>
      <c r="AK8" s="34">
        <f>IFERROR(__xludf.DUMMYFUNCTION("IF(ISNA(sum(filter(
Master_Mapping_Sheet!$E$2:$E$3143, ISNUMBER(
Master_Mapping_Sheet!$E$2:$E$3143),
Master_Mapping_Sheet!$C$2:$C$3143=AK$1,
Master_Mapping_Sheet!$N$2:$N$3143=REGEXEXTRACT($A8,"".*_(.*)"")))/sum(filter(
Master_Mapping_Sheet!$E$2:$E$3143, I"&amp;"SNUMBER(
Master_Mapping_Sheet!$E$2:$E$3143),
Master_Mapping_Sheet!$C$2:$C$3143=AK$1))), 0, sum(filter(
Master_Mapping_Sheet!$E$2:$E$3143, ISNUMBER(
Master_Mapping_Sheet!$E$2:$E$3143),
Master_Mapping_Sheet!$C$2:$C$3143=AK$1,
Master_Mapping_Sheet!$N$2:$N$31"&amp;"43=REGEXEXTRACT($A8,"".*_(.*)"")))/sum(filter(
Master_Mapping_Sheet!$E$2:$E$3143, ISNUMBER(
Master_Mapping_Sheet!$E$2:$E$3143),
Master_Mapping_Sheet!$C$2:$C$3143=AK$1)))"),0.0)</f>
        <v>0</v>
      </c>
      <c r="AL8" s="34">
        <f>IFERROR(__xludf.DUMMYFUNCTION("IF(ISNA(sum(filter(
Master_Mapping_Sheet!$E$2:$E$3143, ISNUMBER(
Master_Mapping_Sheet!$E$2:$E$3143),
Master_Mapping_Sheet!$C$2:$C$3143=AL$1,
Master_Mapping_Sheet!$N$2:$N$3143=REGEXEXTRACT($A8,"".*_(.*)"")))/sum(filter(
Master_Mapping_Sheet!$E$2:$E$3143, I"&amp;"SNUMBER(
Master_Mapping_Sheet!$E$2:$E$3143),
Master_Mapping_Sheet!$C$2:$C$3143=AL$1))), 0, sum(filter(
Master_Mapping_Sheet!$E$2:$E$3143, ISNUMBER(
Master_Mapping_Sheet!$E$2:$E$3143),
Master_Mapping_Sheet!$C$2:$C$3143=AL$1,
Master_Mapping_Sheet!$N$2:$N$31"&amp;"43=REGEXEXTRACT($A8,"".*_(.*)"")))/sum(filter(
Master_Mapping_Sheet!$E$2:$E$3143, ISNUMBER(
Master_Mapping_Sheet!$E$2:$E$3143),
Master_Mapping_Sheet!$C$2:$C$3143=AL$1)))"),0.006803452739931482)</f>
        <v>0.00680345274</v>
      </c>
      <c r="AM8" s="34">
        <f>IFERROR(__xludf.DUMMYFUNCTION("IF(ISNA(sum(filter(
Master_Mapping_Sheet!$E$2:$E$3143, ISNUMBER(
Master_Mapping_Sheet!$E$2:$E$3143),
Master_Mapping_Sheet!$C$2:$C$3143=AM$1,
Master_Mapping_Sheet!$N$2:$N$3143=REGEXEXTRACT($A8,"".*_(.*)"")))/sum(filter(
Master_Mapping_Sheet!$E$2:$E$3143, I"&amp;"SNUMBER(
Master_Mapping_Sheet!$E$2:$E$3143),
Master_Mapping_Sheet!$C$2:$C$3143=AM$1))), 0, sum(filter(
Master_Mapping_Sheet!$E$2:$E$3143, ISNUMBER(
Master_Mapping_Sheet!$E$2:$E$3143),
Master_Mapping_Sheet!$C$2:$C$3143=AM$1,
Master_Mapping_Sheet!$N$2:$N$31"&amp;"43=REGEXEXTRACT($A8,"".*_(.*)"")))/sum(filter(
Master_Mapping_Sheet!$E$2:$E$3143, ISNUMBER(
Master_Mapping_Sheet!$E$2:$E$3143),
Master_Mapping_Sheet!$C$2:$C$3143=AM$1)))"),0.0)</f>
        <v>0</v>
      </c>
      <c r="AN8" s="34">
        <f>IFERROR(__xludf.DUMMYFUNCTION("IF(ISNA(sum(filter(
Master_Mapping_Sheet!$E$2:$E$3143, ISNUMBER(
Master_Mapping_Sheet!$E$2:$E$3143),
Master_Mapping_Sheet!$C$2:$C$3143=AN$1,
Master_Mapping_Sheet!$N$2:$N$3143=REGEXEXTRACT($A8,"".*_(.*)"")))/sum(filter(
Master_Mapping_Sheet!$E$2:$E$3143, I"&amp;"SNUMBER(
Master_Mapping_Sheet!$E$2:$E$3143),
Master_Mapping_Sheet!$C$2:$C$3143=AN$1))), 0, sum(filter(
Master_Mapping_Sheet!$E$2:$E$3143, ISNUMBER(
Master_Mapping_Sheet!$E$2:$E$3143),
Master_Mapping_Sheet!$C$2:$C$3143=AN$1,
Master_Mapping_Sheet!$N$2:$N$31"&amp;"43=REGEXEXTRACT($A8,"".*_(.*)"")))/sum(filter(
Master_Mapping_Sheet!$E$2:$E$3143, ISNUMBER(
Master_Mapping_Sheet!$E$2:$E$3143),
Master_Mapping_Sheet!$C$2:$C$3143=AN$1)))"),0.0)</f>
        <v>0</v>
      </c>
      <c r="AO8" s="34">
        <f>IFERROR(__xludf.DUMMYFUNCTION("IF(ISNA(sum(filter(
Master_Mapping_Sheet!$E$2:$E$3143, ISNUMBER(
Master_Mapping_Sheet!$E$2:$E$3143),
Master_Mapping_Sheet!$C$2:$C$3143=AO$1,
Master_Mapping_Sheet!$N$2:$N$3143=REGEXEXTRACT($A8,"".*_(.*)"")))/sum(filter(
Master_Mapping_Sheet!$E$2:$E$3143, I"&amp;"SNUMBER(
Master_Mapping_Sheet!$E$2:$E$3143),
Master_Mapping_Sheet!$C$2:$C$3143=AO$1))), 0, sum(filter(
Master_Mapping_Sheet!$E$2:$E$3143, ISNUMBER(
Master_Mapping_Sheet!$E$2:$E$3143),
Master_Mapping_Sheet!$C$2:$C$3143=AO$1,
Master_Mapping_Sheet!$N$2:$N$31"&amp;"43=REGEXEXTRACT($A8,"".*_(.*)"")))/sum(filter(
Master_Mapping_Sheet!$E$2:$E$3143, ISNUMBER(
Master_Mapping_Sheet!$E$2:$E$3143),
Master_Mapping_Sheet!$C$2:$C$3143=AO$1)))"),0.0)</f>
        <v>0</v>
      </c>
      <c r="AP8" s="34">
        <f>IFERROR(__xludf.DUMMYFUNCTION("IF(ISNA(sum(filter(
Master_Mapping_Sheet!$E$2:$E$3143, ISNUMBER(
Master_Mapping_Sheet!$E$2:$E$3143),
Master_Mapping_Sheet!$C$2:$C$3143=AP$1,
Master_Mapping_Sheet!$N$2:$N$3143=REGEXEXTRACT($A8,"".*_(.*)"")))/sum(filter(
Master_Mapping_Sheet!$E$2:$E$3143, I"&amp;"SNUMBER(
Master_Mapping_Sheet!$E$2:$E$3143),
Master_Mapping_Sheet!$C$2:$C$3143=AP$1))), 0, sum(filter(
Master_Mapping_Sheet!$E$2:$E$3143, ISNUMBER(
Master_Mapping_Sheet!$E$2:$E$3143),
Master_Mapping_Sheet!$C$2:$C$3143=AP$1,
Master_Mapping_Sheet!$N$2:$N$31"&amp;"43=REGEXEXTRACT($A8,"".*_(.*)"")))/sum(filter(
Master_Mapping_Sheet!$E$2:$E$3143, ISNUMBER(
Master_Mapping_Sheet!$E$2:$E$3143),
Master_Mapping_Sheet!$C$2:$C$3143=AP$1)))"),0.0)</f>
        <v>0</v>
      </c>
      <c r="AQ8" s="34">
        <f>IFERROR(__xludf.DUMMYFUNCTION("IF(ISNA(sum(filter(
Master_Mapping_Sheet!$E$2:$E$3143, ISNUMBER(
Master_Mapping_Sheet!$E$2:$E$3143),
Master_Mapping_Sheet!$C$2:$C$3143=AQ$1,
Master_Mapping_Sheet!$N$2:$N$3143=REGEXEXTRACT($A8,"".*_(.*)"")))/sum(filter(
Master_Mapping_Sheet!$E$2:$E$3143, I"&amp;"SNUMBER(
Master_Mapping_Sheet!$E$2:$E$3143),
Master_Mapping_Sheet!$C$2:$C$3143=AQ$1))), 0, sum(filter(
Master_Mapping_Sheet!$E$2:$E$3143, ISNUMBER(
Master_Mapping_Sheet!$E$2:$E$3143),
Master_Mapping_Sheet!$C$2:$C$3143=AQ$1,
Master_Mapping_Sheet!$N$2:$N$31"&amp;"43=REGEXEXTRACT($A8,"".*_(.*)"")))/sum(filter(
Master_Mapping_Sheet!$E$2:$E$3143, ISNUMBER(
Master_Mapping_Sheet!$E$2:$E$3143),
Master_Mapping_Sheet!$C$2:$C$3143=AQ$1)))"),0.0)</f>
        <v>0</v>
      </c>
      <c r="AR8" s="34">
        <f>IFERROR(__xludf.DUMMYFUNCTION("IF(ISNA(sum(filter(
Master_Mapping_Sheet!$E$2:$E$3143, ISNUMBER(
Master_Mapping_Sheet!$E$2:$E$3143),
Master_Mapping_Sheet!$C$2:$C$3143=AR$1,
Master_Mapping_Sheet!$N$2:$N$3143=REGEXEXTRACT($A8,"".*_(.*)"")))/sum(filter(
Master_Mapping_Sheet!$E$2:$E$3143, I"&amp;"SNUMBER(
Master_Mapping_Sheet!$E$2:$E$3143),
Master_Mapping_Sheet!$C$2:$C$3143=AR$1))), 0, sum(filter(
Master_Mapping_Sheet!$E$2:$E$3143, ISNUMBER(
Master_Mapping_Sheet!$E$2:$E$3143),
Master_Mapping_Sheet!$C$2:$C$3143=AR$1,
Master_Mapping_Sheet!$N$2:$N$31"&amp;"43=REGEXEXTRACT($A8,"".*_(.*)"")))/sum(filter(
Master_Mapping_Sheet!$E$2:$E$3143, ISNUMBER(
Master_Mapping_Sheet!$E$2:$E$3143),
Master_Mapping_Sheet!$C$2:$C$3143=AR$1)))"),0.0)</f>
        <v>0</v>
      </c>
      <c r="AS8" s="34">
        <f>IFERROR(__xludf.DUMMYFUNCTION("IF(ISNA(sum(filter(
Master_Mapping_Sheet!$E$2:$E$3143, ISNUMBER(
Master_Mapping_Sheet!$E$2:$E$3143),
Master_Mapping_Sheet!$C$2:$C$3143=AS$1,
Master_Mapping_Sheet!$N$2:$N$3143=REGEXEXTRACT($A8,"".*_(.*)"")))/sum(filter(
Master_Mapping_Sheet!$E$2:$E$3143, I"&amp;"SNUMBER(
Master_Mapping_Sheet!$E$2:$E$3143),
Master_Mapping_Sheet!$C$2:$C$3143=AS$1))), 0, sum(filter(
Master_Mapping_Sheet!$E$2:$E$3143, ISNUMBER(
Master_Mapping_Sheet!$E$2:$E$3143),
Master_Mapping_Sheet!$C$2:$C$3143=AS$1,
Master_Mapping_Sheet!$N$2:$N$31"&amp;"43=REGEXEXTRACT($A8,"".*_(.*)"")))/sum(filter(
Master_Mapping_Sheet!$E$2:$E$3143, ISNUMBER(
Master_Mapping_Sheet!$E$2:$E$3143),
Master_Mapping_Sheet!$C$2:$C$3143=AS$1)))"),0.01647661018720564)</f>
        <v>0.01647661019</v>
      </c>
      <c r="AT8" s="34">
        <f>IFERROR(__xludf.DUMMYFUNCTION("IF(ISNA(sum(filter(
Master_Mapping_Sheet!$E$2:$E$3143, ISNUMBER(
Master_Mapping_Sheet!$E$2:$E$3143),
Master_Mapping_Sheet!$C$2:$C$3143=AT$1,
Master_Mapping_Sheet!$N$2:$N$3143=REGEXEXTRACT($A8,"".*_(.*)"")))/sum(filter(
Master_Mapping_Sheet!$E$2:$E$3143, I"&amp;"SNUMBER(
Master_Mapping_Sheet!$E$2:$E$3143),
Master_Mapping_Sheet!$C$2:$C$3143=AT$1))), 0, sum(filter(
Master_Mapping_Sheet!$E$2:$E$3143, ISNUMBER(
Master_Mapping_Sheet!$E$2:$E$3143),
Master_Mapping_Sheet!$C$2:$C$3143=AT$1,
Master_Mapping_Sheet!$N$2:$N$31"&amp;"43=REGEXEXTRACT($A8,"".*_(.*)"")))/sum(filter(
Master_Mapping_Sheet!$E$2:$E$3143, ISNUMBER(
Master_Mapping_Sheet!$E$2:$E$3143),
Master_Mapping_Sheet!$C$2:$C$3143=AT$1)))"),0.0)</f>
        <v>0</v>
      </c>
      <c r="AU8" s="34">
        <f>IFERROR(__xludf.DUMMYFUNCTION("IF(ISNA(sum(filter(
Master_Mapping_Sheet!$E$2:$E$3143, ISNUMBER(
Master_Mapping_Sheet!$E$2:$E$3143),
Master_Mapping_Sheet!$C$2:$C$3143=AU$1,
Master_Mapping_Sheet!$N$2:$N$3143=REGEXEXTRACT($A8,"".*_(.*)"")))/sum(filter(
Master_Mapping_Sheet!$E$2:$E$3143, I"&amp;"SNUMBER(
Master_Mapping_Sheet!$E$2:$E$3143),
Master_Mapping_Sheet!$C$2:$C$3143=AU$1))), 0, sum(filter(
Master_Mapping_Sheet!$E$2:$E$3143, ISNUMBER(
Master_Mapping_Sheet!$E$2:$E$3143),
Master_Mapping_Sheet!$C$2:$C$3143=AU$1,
Master_Mapping_Sheet!$N$2:$N$31"&amp;"43=REGEXEXTRACT($A8,"".*_(.*)"")))/sum(filter(
Master_Mapping_Sheet!$E$2:$E$3143, ISNUMBER(
Master_Mapping_Sheet!$E$2:$E$3143),
Master_Mapping_Sheet!$C$2:$C$3143=AU$1)))"),0.0)</f>
        <v>0</v>
      </c>
      <c r="AV8" s="34">
        <f>IFERROR(__xludf.DUMMYFUNCTION("IF(ISNA(sum(filter(
Master_Mapping_Sheet!$E$2:$E$3143, ISNUMBER(
Master_Mapping_Sheet!$E$2:$E$3143),
Master_Mapping_Sheet!$C$2:$C$3143=AV$1,
Master_Mapping_Sheet!$N$2:$N$3143=REGEXEXTRACT($A8,"".*_(.*)"")))/sum(filter(
Master_Mapping_Sheet!$E$2:$E$3143, I"&amp;"SNUMBER(
Master_Mapping_Sheet!$E$2:$E$3143),
Master_Mapping_Sheet!$C$2:$C$3143=AV$1))), 0, sum(filter(
Master_Mapping_Sheet!$E$2:$E$3143, ISNUMBER(
Master_Mapping_Sheet!$E$2:$E$3143),
Master_Mapping_Sheet!$C$2:$C$3143=AV$1,
Master_Mapping_Sheet!$N$2:$N$31"&amp;"43=REGEXEXTRACT($A8,"".*_(.*)"")))/sum(filter(
Master_Mapping_Sheet!$E$2:$E$3143, ISNUMBER(
Master_Mapping_Sheet!$E$2:$E$3143),
Master_Mapping_Sheet!$C$2:$C$3143=AV$1)))"),0.0)</f>
        <v>0</v>
      </c>
      <c r="AW8" s="34">
        <f>IFERROR(__xludf.DUMMYFUNCTION("IF(ISNA(sum(filter(
Master_Mapping_Sheet!$E$2:$E$3143, ISNUMBER(
Master_Mapping_Sheet!$E$2:$E$3143),
Master_Mapping_Sheet!$C$2:$C$3143=AW$1,
Master_Mapping_Sheet!$N$2:$N$3143=REGEXEXTRACT($A8,"".*_(.*)"")))/sum(filter(
Master_Mapping_Sheet!$E$2:$E$3143, I"&amp;"SNUMBER(
Master_Mapping_Sheet!$E$2:$E$3143),
Master_Mapping_Sheet!$C$2:$C$3143=AW$1))), 0, sum(filter(
Master_Mapping_Sheet!$E$2:$E$3143, ISNUMBER(
Master_Mapping_Sheet!$E$2:$E$3143),
Master_Mapping_Sheet!$C$2:$C$3143=AW$1,
Master_Mapping_Sheet!$N$2:$N$31"&amp;"43=REGEXEXTRACT($A8,"".*_(.*)"")))/sum(filter(
Master_Mapping_Sheet!$E$2:$E$3143, ISNUMBER(
Master_Mapping_Sheet!$E$2:$E$3143),
Master_Mapping_Sheet!$C$2:$C$3143=AW$1)))"),0.0)</f>
        <v>0</v>
      </c>
      <c r="AX8" s="34">
        <f>IFERROR(__xludf.DUMMYFUNCTION("IF(ISNA(sum(filter(
Master_Mapping_Sheet!$E$2:$E$3143, ISNUMBER(
Master_Mapping_Sheet!$E$2:$E$3143),
Master_Mapping_Sheet!$C$2:$C$3143=AX$1,
Master_Mapping_Sheet!$N$2:$N$3143=REGEXEXTRACT($A8,"".*_(.*)"")))/sum(filter(
Master_Mapping_Sheet!$E$2:$E$3143, I"&amp;"SNUMBER(
Master_Mapping_Sheet!$E$2:$E$3143),
Master_Mapping_Sheet!$C$2:$C$3143=AX$1))), 0, sum(filter(
Master_Mapping_Sheet!$E$2:$E$3143, ISNUMBER(
Master_Mapping_Sheet!$E$2:$E$3143),
Master_Mapping_Sheet!$C$2:$C$3143=AX$1,
Master_Mapping_Sheet!$N$2:$N$31"&amp;"43=REGEXEXTRACT($A8,"".*_(.*)"")))/sum(filter(
Master_Mapping_Sheet!$E$2:$E$3143, ISNUMBER(
Master_Mapping_Sheet!$E$2:$E$3143),
Master_Mapping_Sheet!$C$2:$C$3143=AX$1)))"),0.0)</f>
        <v>0</v>
      </c>
      <c r="AY8" s="34">
        <f>IFERROR(__xludf.DUMMYFUNCTION("IF(ISNA(sum(filter(
Master_Mapping_Sheet!$E$2:$E$3143, ISNUMBER(
Master_Mapping_Sheet!$E$2:$E$3143),
Master_Mapping_Sheet!$C$2:$C$3143=AY$1,
Master_Mapping_Sheet!$N$2:$N$3143=REGEXEXTRACT($A8,"".*_(.*)"")))/sum(filter(
Master_Mapping_Sheet!$E$2:$E$3143, I"&amp;"SNUMBER(
Master_Mapping_Sheet!$E$2:$E$3143),
Master_Mapping_Sheet!$C$2:$C$3143=AY$1))), 0, sum(filter(
Master_Mapping_Sheet!$E$2:$E$3143, ISNUMBER(
Master_Mapping_Sheet!$E$2:$E$3143),
Master_Mapping_Sheet!$C$2:$C$3143=AY$1,
Master_Mapping_Sheet!$N$2:$N$31"&amp;"43=REGEXEXTRACT($A8,"".*_(.*)"")))/sum(filter(
Master_Mapping_Sheet!$E$2:$E$3143, ISNUMBER(
Master_Mapping_Sheet!$E$2:$E$3143),
Master_Mapping_Sheet!$C$2:$C$3143=AY$1)))"),0.0)</f>
        <v>0</v>
      </c>
      <c r="AZ8" s="34">
        <f>IFERROR(__xludf.DUMMYFUNCTION("IF(ISNA(sum(filter(
Master_Mapping_Sheet!$E$2:$E$3143, ISNUMBER(
Master_Mapping_Sheet!$E$2:$E$3143),
Master_Mapping_Sheet!$C$2:$C$3143=AZ$1,
Master_Mapping_Sheet!$N$2:$N$3143=REGEXEXTRACT($A8,"".*_(.*)"")))/sum(filter(
Master_Mapping_Sheet!$E$2:$E$3143, I"&amp;"SNUMBER(
Master_Mapping_Sheet!$E$2:$E$3143),
Master_Mapping_Sheet!$C$2:$C$3143=AZ$1))), 0, sum(filter(
Master_Mapping_Sheet!$E$2:$E$3143, ISNUMBER(
Master_Mapping_Sheet!$E$2:$E$3143),
Master_Mapping_Sheet!$C$2:$C$3143=AZ$1,
Master_Mapping_Sheet!$N$2:$N$31"&amp;"43=REGEXEXTRACT($A8,"".*_(.*)"")))/sum(filter(
Master_Mapping_Sheet!$E$2:$E$3143, ISNUMBER(
Master_Mapping_Sheet!$E$2:$E$3143),
Master_Mapping_Sheet!$C$2:$C$3143=AZ$1)))"),0.0)</f>
        <v>0</v>
      </c>
    </row>
    <row r="9" ht="15.75" customHeight="1">
      <c r="A9" s="45" t="s">
        <v>4267</v>
      </c>
      <c r="B9" s="34">
        <f>IFERROR(__xludf.DUMMYFUNCTION("IF(ISNA(sum(filter(
Master_Mapping_Sheet!$E$2:$E$3143, ISNUMBER(
Master_Mapping_Sheet!$E$2:$E$3143),
Master_Mapping_Sheet!$C$2:$C$3143=B$1,
Master_Mapping_Sheet!$N$2:$N$3143=REGEXEXTRACT($A9,"".*_(.*)"")))/sum(filter(
Master_Mapping_Sheet!$E$2:$E$3143, IS"&amp;"NUMBER(
Master_Mapping_Sheet!$E$2:$E$3143),
Master_Mapping_Sheet!$C$2:$C$3143=B$1))), 0, sum(filter(
Master_Mapping_Sheet!$E$2:$E$3143, ISNUMBER(
Master_Mapping_Sheet!$E$2:$E$3143),
Master_Mapping_Sheet!$C$2:$C$3143=B$1,
Master_Mapping_Sheet!$N$2:$N$3143="&amp;"REGEXEXTRACT($A9,"".*_(.*)"")))/sum(filter(
Master_Mapping_Sheet!$E$2:$E$3143, ISNUMBER(
Master_Mapping_Sheet!$E$2:$E$3143),
Master_Mapping_Sheet!$C$2:$C$3143=B$1)))"),0.0)</f>
        <v>0</v>
      </c>
      <c r="C9" s="34">
        <f>IFERROR(__xludf.DUMMYFUNCTION("IF(ISNA(sum(filter(
Master_Mapping_Sheet!$E$2:$E$3143, ISNUMBER(
Master_Mapping_Sheet!$E$2:$E$3143),
Master_Mapping_Sheet!$C$2:$C$3143=C$1,
Master_Mapping_Sheet!$N$2:$N$3143=REGEXEXTRACT($A9,"".*_(.*)"")))/sum(filter(
Master_Mapping_Sheet!$E$2:$E$3143, IS"&amp;"NUMBER(
Master_Mapping_Sheet!$E$2:$E$3143),
Master_Mapping_Sheet!$C$2:$C$3143=C$1))), 0, sum(filter(
Master_Mapping_Sheet!$E$2:$E$3143, ISNUMBER(
Master_Mapping_Sheet!$E$2:$E$3143),
Master_Mapping_Sheet!$C$2:$C$3143=C$1,
Master_Mapping_Sheet!$N$2:$N$3143="&amp;"REGEXEXTRACT($A9,"".*_(.*)"")))/sum(filter(
Master_Mapping_Sheet!$E$2:$E$3143, ISNUMBER(
Master_Mapping_Sheet!$E$2:$E$3143),
Master_Mapping_Sheet!$C$2:$C$3143=C$1)))"),0.0)</f>
        <v>0</v>
      </c>
      <c r="D9" s="34">
        <f>IFERROR(__xludf.DUMMYFUNCTION("IF(ISNA(sum(filter(
Master_Mapping_Sheet!$E$2:$E$3143, ISNUMBER(
Master_Mapping_Sheet!$E$2:$E$3143),
Master_Mapping_Sheet!$C$2:$C$3143=D$1,
Master_Mapping_Sheet!$N$2:$N$3143=REGEXEXTRACT($A9,"".*_(.*)"")))/sum(filter(
Master_Mapping_Sheet!$E$2:$E$3143, IS"&amp;"NUMBER(
Master_Mapping_Sheet!$E$2:$E$3143),
Master_Mapping_Sheet!$C$2:$C$3143=D$1))), 0, sum(filter(
Master_Mapping_Sheet!$E$2:$E$3143, ISNUMBER(
Master_Mapping_Sheet!$E$2:$E$3143),
Master_Mapping_Sheet!$C$2:$C$3143=D$1,
Master_Mapping_Sheet!$N$2:$N$3143="&amp;"REGEXEXTRACT($A9,"".*_(.*)"")))/sum(filter(
Master_Mapping_Sheet!$E$2:$E$3143, ISNUMBER(
Master_Mapping_Sheet!$E$2:$E$3143),
Master_Mapping_Sheet!$C$2:$C$3143=D$1)))"),0.0)</f>
        <v>0</v>
      </c>
      <c r="E9" s="34">
        <f>IFERROR(__xludf.DUMMYFUNCTION("IF(ISNA(sum(filter(
Master_Mapping_Sheet!$E$2:$E$3143, ISNUMBER(
Master_Mapping_Sheet!$E$2:$E$3143),
Master_Mapping_Sheet!$C$2:$C$3143=E$1,
Master_Mapping_Sheet!$N$2:$N$3143=REGEXEXTRACT($A9,"".*_(.*)"")))/sum(filter(
Master_Mapping_Sheet!$E$2:$E$3143, IS"&amp;"NUMBER(
Master_Mapping_Sheet!$E$2:$E$3143),
Master_Mapping_Sheet!$C$2:$C$3143=E$1))), 0, sum(filter(
Master_Mapping_Sheet!$E$2:$E$3143, ISNUMBER(
Master_Mapping_Sheet!$E$2:$E$3143),
Master_Mapping_Sheet!$C$2:$C$3143=E$1,
Master_Mapping_Sheet!$N$2:$N$3143="&amp;"REGEXEXTRACT($A9,"".*_(.*)"")))/sum(filter(
Master_Mapping_Sheet!$E$2:$E$3143, ISNUMBER(
Master_Mapping_Sheet!$E$2:$E$3143),
Master_Mapping_Sheet!$C$2:$C$3143=E$1)))"),0.0)</f>
        <v>0</v>
      </c>
      <c r="F9" s="34">
        <f>IFERROR(__xludf.DUMMYFUNCTION("IF(ISNA(sum(filter(
Master_Mapping_Sheet!$E$2:$E$3143, ISNUMBER(
Master_Mapping_Sheet!$E$2:$E$3143),
Master_Mapping_Sheet!$C$2:$C$3143=F$1,
Master_Mapping_Sheet!$N$2:$N$3143=REGEXEXTRACT($A9,"".*_(.*)"")))/sum(filter(
Master_Mapping_Sheet!$E$2:$E$3143, IS"&amp;"NUMBER(
Master_Mapping_Sheet!$E$2:$E$3143),
Master_Mapping_Sheet!$C$2:$C$3143=F$1))), 0, sum(filter(
Master_Mapping_Sheet!$E$2:$E$3143, ISNUMBER(
Master_Mapping_Sheet!$E$2:$E$3143),
Master_Mapping_Sheet!$C$2:$C$3143=F$1,
Master_Mapping_Sheet!$N$2:$N$3143="&amp;"REGEXEXTRACT($A9,"".*_(.*)"")))/sum(filter(
Master_Mapping_Sheet!$E$2:$E$3143, ISNUMBER(
Master_Mapping_Sheet!$E$2:$E$3143),
Master_Mapping_Sheet!$C$2:$C$3143=F$1)))"),0.21730083564580316)</f>
        <v>0.2173008356</v>
      </c>
      <c r="G9" s="34">
        <f>IFERROR(__xludf.DUMMYFUNCTION("IF(ISNA(sum(filter(
Master_Mapping_Sheet!$E$2:$E$3143, ISNUMBER(
Master_Mapping_Sheet!$E$2:$E$3143),
Master_Mapping_Sheet!$C$2:$C$3143=G$1,
Master_Mapping_Sheet!$N$2:$N$3143=REGEXEXTRACT($A9,"".*_(.*)"")))/sum(filter(
Master_Mapping_Sheet!$E$2:$E$3143, IS"&amp;"NUMBER(
Master_Mapping_Sheet!$E$2:$E$3143),
Master_Mapping_Sheet!$C$2:$C$3143=G$1))), 0, sum(filter(
Master_Mapping_Sheet!$E$2:$E$3143, ISNUMBER(
Master_Mapping_Sheet!$E$2:$E$3143),
Master_Mapping_Sheet!$C$2:$C$3143=G$1,
Master_Mapping_Sheet!$N$2:$N$3143="&amp;"REGEXEXTRACT($A9,"".*_(.*)"")))/sum(filter(
Master_Mapping_Sheet!$E$2:$E$3143, ISNUMBER(
Master_Mapping_Sheet!$E$2:$E$3143),
Master_Mapping_Sheet!$C$2:$C$3143=G$1)))"),0.0)</f>
        <v>0</v>
      </c>
      <c r="H9" s="34">
        <f>IFERROR(__xludf.DUMMYFUNCTION("IF(ISNA(sum(filter(
Master_Mapping_Sheet!$E$2:$E$3143, ISNUMBER(
Master_Mapping_Sheet!$E$2:$E$3143),
Master_Mapping_Sheet!$C$2:$C$3143=H$1,
Master_Mapping_Sheet!$N$2:$N$3143=REGEXEXTRACT($A9,"".*_(.*)"")))/sum(filter(
Master_Mapping_Sheet!$E$2:$E$3143, IS"&amp;"NUMBER(
Master_Mapping_Sheet!$E$2:$E$3143),
Master_Mapping_Sheet!$C$2:$C$3143=H$1))), 0, sum(filter(
Master_Mapping_Sheet!$E$2:$E$3143, ISNUMBER(
Master_Mapping_Sheet!$E$2:$E$3143),
Master_Mapping_Sheet!$C$2:$C$3143=H$1,
Master_Mapping_Sheet!$N$2:$N$3143="&amp;"REGEXEXTRACT($A9,"".*_(.*)"")))/sum(filter(
Master_Mapping_Sheet!$E$2:$E$3143, ISNUMBER(
Master_Mapping_Sheet!$E$2:$E$3143),
Master_Mapping_Sheet!$C$2:$C$3143=H$1)))"),0.0)</f>
        <v>0</v>
      </c>
      <c r="I9" s="34">
        <f>IFERROR(__xludf.DUMMYFUNCTION("IF(ISNA(sum(filter(
Master_Mapping_Sheet!$E$2:$E$3143, ISNUMBER(
Master_Mapping_Sheet!$E$2:$E$3143),
Master_Mapping_Sheet!$C$2:$C$3143=I$1,
Master_Mapping_Sheet!$N$2:$N$3143=REGEXEXTRACT($A9,"".*_(.*)"")))/sum(filter(
Master_Mapping_Sheet!$E$2:$E$3143, IS"&amp;"NUMBER(
Master_Mapping_Sheet!$E$2:$E$3143),
Master_Mapping_Sheet!$C$2:$C$3143=I$1))), 0, sum(filter(
Master_Mapping_Sheet!$E$2:$E$3143, ISNUMBER(
Master_Mapping_Sheet!$E$2:$E$3143),
Master_Mapping_Sheet!$C$2:$C$3143=I$1,
Master_Mapping_Sheet!$N$2:$N$3143="&amp;"REGEXEXTRACT($A9,"".*_(.*)"")))/sum(filter(
Master_Mapping_Sheet!$E$2:$E$3143, ISNUMBER(
Master_Mapping_Sheet!$E$2:$E$3143),
Master_Mapping_Sheet!$C$2:$C$3143=I$1)))"),0.0)</f>
        <v>0</v>
      </c>
      <c r="J9" s="34">
        <f>IFERROR(__xludf.DUMMYFUNCTION("IF(ISNA(sum(filter(
Master_Mapping_Sheet!$E$2:$E$3143, ISNUMBER(
Master_Mapping_Sheet!$E$2:$E$3143),
Master_Mapping_Sheet!$C$2:$C$3143=J$1,
Master_Mapping_Sheet!$N$2:$N$3143=REGEXEXTRACT($A9,"".*_(.*)"")))/sum(filter(
Master_Mapping_Sheet!$E$2:$E$3143, IS"&amp;"NUMBER(
Master_Mapping_Sheet!$E$2:$E$3143),
Master_Mapping_Sheet!$C$2:$C$3143=J$1))), 0, sum(filter(
Master_Mapping_Sheet!$E$2:$E$3143, ISNUMBER(
Master_Mapping_Sheet!$E$2:$E$3143),
Master_Mapping_Sheet!$C$2:$C$3143=J$1,
Master_Mapping_Sheet!$N$2:$N$3143="&amp;"REGEXEXTRACT($A9,"".*_(.*)"")))/sum(filter(
Master_Mapping_Sheet!$E$2:$E$3143, ISNUMBER(
Master_Mapping_Sheet!$E$2:$E$3143),
Master_Mapping_Sheet!$C$2:$C$3143=J$1)))"),0.0)</f>
        <v>0</v>
      </c>
      <c r="K9" s="34">
        <f>IFERROR(__xludf.DUMMYFUNCTION("IF(ISNA(sum(filter(
Master_Mapping_Sheet!$E$2:$E$3143, ISNUMBER(
Master_Mapping_Sheet!$E$2:$E$3143),
Master_Mapping_Sheet!$C$2:$C$3143=K$1,
Master_Mapping_Sheet!$N$2:$N$3143=REGEXEXTRACT($A9,"".*_(.*)"")))/sum(filter(
Master_Mapping_Sheet!$E$2:$E$3143, IS"&amp;"NUMBER(
Master_Mapping_Sheet!$E$2:$E$3143),
Master_Mapping_Sheet!$C$2:$C$3143=K$1))), 0, sum(filter(
Master_Mapping_Sheet!$E$2:$E$3143, ISNUMBER(
Master_Mapping_Sheet!$E$2:$E$3143),
Master_Mapping_Sheet!$C$2:$C$3143=K$1,
Master_Mapping_Sheet!$N$2:$N$3143="&amp;"REGEXEXTRACT($A9,"".*_(.*)"")))/sum(filter(
Master_Mapping_Sheet!$E$2:$E$3143, ISNUMBER(
Master_Mapping_Sheet!$E$2:$E$3143),
Master_Mapping_Sheet!$C$2:$C$3143=K$1)))"),0.0)</f>
        <v>0</v>
      </c>
      <c r="L9" s="34">
        <f>IFERROR(__xludf.DUMMYFUNCTION("IF(ISNA(sum(filter(
Master_Mapping_Sheet!$E$2:$E$3143, ISNUMBER(
Master_Mapping_Sheet!$E$2:$E$3143),
Master_Mapping_Sheet!$C$2:$C$3143=L$1,
Master_Mapping_Sheet!$N$2:$N$3143=REGEXEXTRACT($A9,"".*_(.*)"")))/sum(filter(
Master_Mapping_Sheet!$E$2:$E$3143, IS"&amp;"NUMBER(
Master_Mapping_Sheet!$E$2:$E$3143),
Master_Mapping_Sheet!$C$2:$C$3143=L$1))), 0, sum(filter(
Master_Mapping_Sheet!$E$2:$E$3143, ISNUMBER(
Master_Mapping_Sheet!$E$2:$E$3143),
Master_Mapping_Sheet!$C$2:$C$3143=L$1,
Master_Mapping_Sheet!$N$2:$N$3143="&amp;"REGEXEXTRACT($A9,"".*_(.*)"")))/sum(filter(
Master_Mapping_Sheet!$E$2:$E$3143, ISNUMBER(
Master_Mapping_Sheet!$E$2:$E$3143),
Master_Mapping_Sheet!$C$2:$C$3143=L$1)))"),0.0)</f>
        <v>0</v>
      </c>
      <c r="M9" s="34">
        <f>IFERROR(__xludf.DUMMYFUNCTION("IF(ISNA(sum(filter(
Master_Mapping_Sheet!$E$2:$E$3143, ISNUMBER(
Master_Mapping_Sheet!$E$2:$E$3143),
Master_Mapping_Sheet!$C$2:$C$3143=M$1,
Master_Mapping_Sheet!$N$2:$N$3143=REGEXEXTRACT($A9,"".*_(.*)"")))/sum(filter(
Master_Mapping_Sheet!$E$2:$E$3143, IS"&amp;"NUMBER(
Master_Mapping_Sheet!$E$2:$E$3143),
Master_Mapping_Sheet!$C$2:$C$3143=M$1))), 0, sum(filter(
Master_Mapping_Sheet!$E$2:$E$3143, ISNUMBER(
Master_Mapping_Sheet!$E$2:$E$3143),
Master_Mapping_Sheet!$C$2:$C$3143=M$1,
Master_Mapping_Sheet!$N$2:$N$3143="&amp;"REGEXEXTRACT($A9,"".*_(.*)"")))/sum(filter(
Master_Mapping_Sheet!$E$2:$E$3143, ISNUMBER(
Master_Mapping_Sheet!$E$2:$E$3143),
Master_Mapping_Sheet!$C$2:$C$3143=M$1)))"),0.0)</f>
        <v>0</v>
      </c>
      <c r="N9" s="34">
        <f>IFERROR(__xludf.DUMMYFUNCTION("IF(ISNA(sum(filter(
Master_Mapping_Sheet!$E$2:$E$3143, ISNUMBER(
Master_Mapping_Sheet!$E$2:$E$3143),
Master_Mapping_Sheet!$C$2:$C$3143=N$1,
Master_Mapping_Sheet!$N$2:$N$3143=REGEXEXTRACT($A9,"".*_(.*)"")))/sum(filter(
Master_Mapping_Sheet!$E$2:$E$3143, IS"&amp;"NUMBER(
Master_Mapping_Sheet!$E$2:$E$3143),
Master_Mapping_Sheet!$C$2:$C$3143=N$1))), 0, sum(filter(
Master_Mapping_Sheet!$E$2:$E$3143, ISNUMBER(
Master_Mapping_Sheet!$E$2:$E$3143),
Master_Mapping_Sheet!$C$2:$C$3143=N$1,
Master_Mapping_Sheet!$N$2:$N$3143="&amp;"REGEXEXTRACT($A9,"".*_(.*)"")))/sum(filter(
Master_Mapping_Sheet!$E$2:$E$3143, ISNUMBER(
Master_Mapping_Sheet!$E$2:$E$3143),
Master_Mapping_Sheet!$C$2:$C$3143=N$1)))"),0.0)</f>
        <v>0</v>
      </c>
      <c r="O9" s="34">
        <f>IFERROR(__xludf.DUMMYFUNCTION("IF(ISNA(sum(filter(
Master_Mapping_Sheet!$E$2:$E$3143, ISNUMBER(
Master_Mapping_Sheet!$E$2:$E$3143),
Master_Mapping_Sheet!$C$2:$C$3143=O$1,
Master_Mapping_Sheet!$N$2:$N$3143=REGEXEXTRACT($A9,"".*_(.*)"")))/sum(filter(
Master_Mapping_Sheet!$E$2:$E$3143, IS"&amp;"NUMBER(
Master_Mapping_Sheet!$E$2:$E$3143),
Master_Mapping_Sheet!$C$2:$C$3143=O$1))), 0, sum(filter(
Master_Mapping_Sheet!$E$2:$E$3143, ISNUMBER(
Master_Mapping_Sheet!$E$2:$E$3143),
Master_Mapping_Sheet!$C$2:$C$3143=O$1,
Master_Mapping_Sheet!$N$2:$N$3143="&amp;"REGEXEXTRACT($A9,"".*_(.*)"")))/sum(filter(
Master_Mapping_Sheet!$E$2:$E$3143, ISNUMBER(
Master_Mapping_Sheet!$E$2:$E$3143),
Master_Mapping_Sheet!$C$2:$C$3143=O$1)))"),0.0)</f>
        <v>0</v>
      </c>
      <c r="P9" s="34">
        <f>IFERROR(__xludf.DUMMYFUNCTION("IF(ISNA(sum(filter(
Master_Mapping_Sheet!$E$2:$E$3143, ISNUMBER(
Master_Mapping_Sheet!$E$2:$E$3143),
Master_Mapping_Sheet!$C$2:$C$3143=P$1,
Master_Mapping_Sheet!$N$2:$N$3143=REGEXEXTRACT($A9,"".*_(.*)"")))/sum(filter(
Master_Mapping_Sheet!$E$2:$E$3143, IS"&amp;"NUMBER(
Master_Mapping_Sheet!$E$2:$E$3143),
Master_Mapping_Sheet!$C$2:$C$3143=P$1))), 0, sum(filter(
Master_Mapping_Sheet!$E$2:$E$3143, ISNUMBER(
Master_Mapping_Sheet!$E$2:$E$3143),
Master_Mapping_Sheet!$C$2:$C$3143=P$1,
Master_Mapping_Sheet!$N$2:$N$3143="&amp;"REGEXEXTRACT($A9,"".*_(.*)"")))/sum(filter(
Master_Mapping_Sheet!$E$2:$E$3143, ISNUMBER(
Master_Mapping_Sheet!$E$2:$E$3143),
Master_Mapping_Sheet!$C$2:$C$3143=P$1)))"),0.0)</f>
        <v>0</v>
      </c>
      <c r="Q9" s="34">
        <f>IFERROR(__xludf.DUMMYFUNCTION("IF(ISNA(sum(filter(
Master_Mapping_Sheet!$E$2:$E$3143, ISNUMBER(
Master_Mapping_Sheet!$E$2:$E$3143),
Master_Mapping_Sheet!$C$2:$C$3143=Q$1,
Master_Mapping_Sheet!$N$2:$N$3143=REGEXEXTRACT($A9,"".*_(.*)"")))/sum(filter(
Master_Mapping_Sheet!$E$2:$E$3143, IS"&amp;"NUMBER(
Master_Mapping_Sheet!$E$2:$E$3143),
Master_Mapping_Sheet!$C$2:$C$3143=Q$1))), 0, sum(filter(
Master_Mapping_Sheet!$E$2:$E$3143, ISNUMBER(
Master_Mapping_Sheet!$E$2:$E$3143),
Master_Mapping_Sheet!$C$2:$C$3143=Q$1,
Master_Mapping_Sheet!$N$2:$N$3143="&amp;"REGEXEXTRACT($A9,"".*_(.*)"")))/sum(filter(
Master_Mapping_Sheet!$E$2:$E$3143, ISNUMBER(
Master_Mapping_Sheet!$E$2:$E$3143),
Master_Mapping_Sheet!$C$2:$C$3143=Q$1)))"),0.0)</f>
        <v>0</v>
      </c>
      <c r="R9" s="34">
        <f>IFERROR(__xludf.DUMMYFUNCTION("IF(ISNA(sum(filter(
Master_Mapping_Sheet!$E$2:$E$3143, ISNUMBER(
Master_Mapping_Sheet!$E$2:$E$3143),
Master_Mapping_Sheet!$C$2:$C$3143=R$1,
Master_Mapping_Sheet!$N$2:$N$3143=REGEXEXTRACT($A9,"".*_(.*)"")))/sum(filter(
Master_Mapping_Sheet!$E$2:$E$3143, IS"&amp;"NUMBER(
Master_Mapping_Sheet!$E$2:$E$3143),
Master_Mapping_Sheet!$C$2:$C$3143=R$1))), 0, sum(filter(
Master_Mapping_Sheet!$E$2:$E$3143, ISNUMBER(
Master_Mapping_Sheet!$E$2:$E$3143),
Master_Mapping_Sheet!$C$2:$C$3143=R$1,
Master_Mapping_Sheet!$N$2:$N$3143="&amp;"REGEXEXTRACT($A9,"".*_(.*)"")))/sum(filter(
Master_Mapping_Sheet!$E$2:$E$3143, ISNUMBER(
Master_Mapping_Sheet!$E$2:$E$3143),
Master_Mapping_Sheet!$C$2:$C$3143=R$1)))"),0.0)</f>
        <v>0</v>
      </c>
      <c r="S9" s="34">
        <f>IFERROR(__xludf.DUMMYFUNCTION("IF(ISNA(sum(filter(
Master_Mapping_Sheet!$E$2:$E$3143, ISNUMBER(
Master_Mapping_Sheet!$E$2:$E$3143),
Master_Mapping_Sheet!$C$2:$C$3143=S$1,
Master_Mapping_Sheet!$N$2:$N$3143=REGEXEXTRACT($A9,"".*_(.*)"")))/sum(filter(
Master_Mapping_Sheet!$E$2:$E$3143, IS"&amp;"NUMBER(
Master_Mapping_Sheet!$E$2:$E$3143),
Master_Mapping_Sheet!$C$2:$C$3143=S$1))), 0, sum(filter(
Master_Mapping_Sheet!$E$2:$E$3143, ISNUMBER(
Master_Mapping_Sheet!$E$2:$E$3143),
Master_Mapping_Sheet!$C$2:$C$3143=S$1,
Master_Mapping_Sheet!$N$2:$N$3143="&amp;"REGEXEXTRACT($A9,"".*_(.*)"")))/sum(filter(
Master_Mapping_Sheet!$E$2:$E$3143, ISNUMBER(
Master_Mapping_Sheet!$E$2:$E$3143),
Master_Mapping_Sheet!$C$2:$C$3143=S$1)))"),0.0)</f>
        <v>0</v>
      </c>
      <c r="T9" s="34">
        <f>IFERROR(__xludf.DUMMYFUNCTION("IF(ISNA(sum(filter(
Master_Mapping_Sheet!$E$2:$E$3143, ISNUMBER(
Master_Mapping_Sheet!$E$2:$E$3143),
Master_Mapping_Sheet!$C$2:$C$3143=T$1,
Master_Mapping_Sheet!$N$2:$N$3143=REGEXEXTRACT($A9,"".*_(.*)"")))/sum(filter(
Master_Mapping_Sheet!$E$2:$E$3143, IS"&amp;"NUMBER(
Master_Mapping_Sheet!$E$2:$E$3143),
Master_Mapping_Sheet!$C$2:$C$3143=T$1))), 0, sum(filter(
Master_Mapping_Sheet!$E$2:$E$3143, ISNUMBER(
Master_Mapping_Sheet!$E$2:$E$3143),
Master_Mapping_Sheet!$C$2:$C$3143=T$1,
Master_Mapping_Sheet!$N$2:$N$3143="&amp;"REGEXEXTRACT($A9,"".*_(.*)"")))/sum(filter(
Master_Mapping_Sheet!$E$2:$E$3143, ISNUMBER(
Master_Mapping_Sheet!$E$2:$E$3143),
Master_Mapping_Sheet!$C$2:$C$3143=T$1)))"),0.0)</f>
        <v>0</v>
      </c>
      <c r="U9" s="34">
        <f>IFERROR(__xludf.DUMMYFUNCTION("IF(ISNA(sum(filter(
Master_Mapping_Sheet!$E$2:$E$3143, ISNUMBER(
Master_Mapping_Sheet!$E$2:$E$3143),
Master_Mapping_Sheet!$C$2:$C$3143=U$1,
Master_Mapping_Sheet!$N$2:$N$3143=REGEXEXTRACT($A9,"".*_(.*)"")))/sum(filter(
Master_Mapping_Sheet!$E$2:$E$3143, IS"&amp;"NUMBER(
Master_Mapping_Sheet!$E$2:$E$3143),
Master_Mapping_Sheet!$C$2:$C$3143=U$1))), 0, sum(filter(
Master_Mapping_Sheet!$E$2:$E$3143, ISNUMBER(
Master_Mapping_Sheet!$E$2:$E$3143),
Master_Mapping_Sheet!$C$2:$C$3143=U$1,
Master_Mapping_Sheet!$N$2:$N$3143="&amp;"REGEXEXTRACT($A9,"".*_(.*)"")))/sum(filter(
Master_Mapping_Sheet!$E$2:$E$3143, ISNUMBER(
Master_Mapping_Sheet!$E$2:$E$3143),
Master_Mapping_Sheet!$C$2:$C$3143=U$1)))"),0.0)</f>
        <v>0</v>
      </c>
      <c r="V9" s="34">
        <f>IFERROR(__xludf.DUMMYFUNCTION("IF(ISNA(sum(filter(
Master_Mapping_Sheet!$E$2:$E$3143, ISNUMBER(
Master_Mapping_Sheet!$E$2:$E$3143),
Master_Mapping_Sheet!$C$2:$C$3143=V$1,
Master_Mapping_Sheet!$N$2:$N$3143=REGEXEXTRACT($A9,"".*_(.*)"")))/sum(filter(
Master_Mapping_Sheet!$E$2:$E$3143, IS"&amp;"NUMBER(
Master_Mapping_Sheet!$E$2:$E$3143),
Master_Mapping_Sheet!$C$2:$C$3143=V$1))), 0, sum(filter(
Master_Mapping_Sheet!$E$2:$E$3143, ISNUMBER(
Master_Mapping_Sheet!$E$2:$E$3143),
Master_Mapping_Sheet!$C$2:$C$3143=V$1,
Master_Mapping_Sheet!$N$2:$N$3143="&amp;"REGEXEXTRACT($A9,"".*_(.*)"")))/sum(filter(
Master_Mapping_Sheet!$E$2:$E$3143, ISNUMBER(
Master_Mapping_Sheet!$E$2:$E$3143),
Master_Mapping_Sheet!$C$2:$C$3143=V$1)))"),0.0)</f>
        <v>0</v>
      </c>
      <c r="W9" s="34">
        <f>IFERROR(__xludf.DUMMYFUNCTION("IF(ISNA(sum(filter(
Master_Mapping_Sheet!$E$2:$E$3143, ISNUMBER(
Master_Mapping_Sheet!$E$2:$E$3143),
Master_Mapping_Sheet!$C$2:$C$3143=W$1,
Master_Mapping_Sheet!$N$2:$N$3143=REGEXEXTRACT($A9,"".*_(.*)"")))/sum(filter(
Master_Mapping_Sheet!$E$2:$E$3143, IS"&amp;"NUMBER(
Master_Mapping_Sheet!$E$2:$E$3143),
Master_Mapping_Sheet!$C$2:$C$3143=W$1))), 0, sum(filter(
Master_Mapping_Sheet!$E$2:$E$3143, ISNUMBER(
Master_Mapping_Sheet!$E$2:$E$3143),
Master_Mapping_Sheet!$C$2:$C$3143=W$1,
Master_Mapping_Sheet!$N$2:$N$3143="&amp;"REGEXEXTRACT($A9,"".*_(.*)"")))/sum(filter(
Master_Mapping_Sheet!$E$2:$E$3143, ISNUMBER(
Master_Mapping_Sheet!$E$2:$E$3143),
Master_Mapping_Sheet!$C$2:$C$3143=W$1)))"),0.0)</f>
        <v>0</v>
      </c>
      <c r="X9" s="34">
        <f>IFERROR(__xludf.DUMMYFUNCTION("IF(ISNA(sum(filter(
Master_Mapping_Sheet!$E$2:$E$3143, ISNUMBER(
Master_Mapping_Sheet!$E$2:$E$3143),
Master_Mapping_Sheet!$C$2:$C$3143=X$1,
Master_Mapping_Sheet!$N$2:$N$3143=REGEXEXTRACT($A9,"".*_(.*)"")))/sum(filter(
Master_Mapping_Sheet!$E$2:$E$3143, IS"&amp;"NUMBER(
Master_Mapping_Sheet!$E$2:$E$3143),
Master_Mapping_Sheet!$C$2:$C$3143=X$1))), 0, sum(filter(
Master_Mapping_Sheet!$E$2:$E$3143, ISNUMBER(
Master_Mapping_Sheet!$E$2:$E$3143),
Master_Mapping_Sheet!$C$2:$C$3143=X$1,
Master_Mapping_Sheet!$N$2:$N$3143="&amp;"REGEXEXTRACT($A9,"".*_(.*)"")))/sum(filter(
Master_Mapping_Sheet!$E$2:$E$3143, ISNUMBER(
Master_Mapping_Sheet!$E$2:$E$3143),
Master_Mapping_Sheet!$C$2:$C$3143=X$1)))"),0.0)</f>
        <v>0</v>
      </c>
      <c r="Y9" s="34">
        <f>IFERROR(__xludf.DUMMYFUNCTION("IF(ISNA(sum(filter(
Master_Mapping_Sheet!$E$2:$E$3143, ISNUMBER(
Master_Mapping_Sheet!$E$2:$E$3143),
Master_Mapping_Sheet!$C$2:$C$3143=Y$1,
Master_Mapping_Sheet!$N$2:$N$3143=REGEXEXTRACT($A9,"".*_(.*)"")))/sum(filter(
Master_Mapping_Sheet!$E$2:$E$3143, IS"&amp;"NUMBER(
Master_Mapping_Sheet!$E$2:$E$3143),
Master_Mapping_Sheet!$C$2:$C$3143=Y$1))), 0, sum(filter(
Master_Mapping_Sheet!$E$2:$E$3143, ISNUMBER(
Master_Mapping_Sheet!$E$2:$E$3143),
Master_Mapping_Sheet!$C$2:$C$3143=Y$1,
Master_Mapping_Sheet!$N$2:$N$3143="&amp;"REGEXEXTRACT($A9,"".*_(.*)"")))/sum(filter(
Master_Mapping_Sheet!$E$2:$E$3143, ISNUMBER(
Master_Mapping_Sheet!$E$2:$E$3143),
Master_Mapping_Sheet!$C$2:$C$3143=Y$1)))"),0.0)</f>
        <v>0</v>
      </c>
      <c r="Z9" s="34">
        <f>IFERROR(__xludf.DUMMYFUNCTION("IF(ISNA(sum(filter(
Master_Mapping_Sheet!$E$2:$E$3143, ISNUMBER(
Master_Mapping_Sheet!$E$2:$E$3143),
Master_Mapping_Sheet!$C$2:$C$3143=Z$1,
Master_Mapping_Sheet!$N$2:$N$3143=REGEXEXTRACT($A9,"".*_(.*)"")))/sum(filter(
Master_Mapping_Sheet!$E$2:$E$3143, IS"&amp;"NUMBER(
Master_Mapping_Sheet!$E$2:$E$3143),
Master_Mapping_Sheet!$C$2:$C$3143=Z$1))), 0, sum(filter(
Master_Mapping_Sheet!$E$2:$E$3143, ISNUMBER(
Master_Mapping_Sheet!$E$2:$E$3143),
Master_Mapping_Sheet!$C$2:$C$3143=Z$1,
Master_Mapping_Sheet!$N$2:$N$3143="&amp;"REGEXEXTRACT($A9,"".*_(.*)"")))/sum(filter(
Master_Mapping_Sheet!$E$2:$E$3143, ISNUMBER(
Master_Mapping_Sheet!$E$2:$E$3143),
Master_Mapping_Sheet!$C$2:$C$3143=Z$1)))"),0.0)</f>
        <v>0</v>
      </c>
      <c r="AA9" s="34">
        <f>IFERROR(__xludf.DUMMYFUNCTION("IF(ISNA(sum(filter(
Master_Mapping_Sheet!$E$2:$E$3143, ISNUMBER(
Master_Mapping_Sheet!$E$2:$E$3143),
Master_Mapping_Sheet!$C$2:$C$3143=AA$1,
Master_Mapping_Sheet!$N$2:$N$3143=REGEXEXTRACT($A9,"".*_(.*)"")))/sum(filter(
Master_Mapping_Sheet!$E$2:$E$3143, I"&amp;"SNUMBER(
Master_Mapping_Sheet!$E$2:$E$3143),
Master_Mapping_Sheet!$C$2:$C$3143=AA$1))), 0, sum(filter(
Master_Mapping_Sheet!$E$2:$E$3143, ISNUMBER(
Master_Mapping_Sheet!$E$2:$E$3143),
Master_Mapping_Sheet!$C$2:$C$3143=AA$1,
Master_Mapping_Sheet!$N$2:$N$31"&amp;"43=REGEXEXTRACT($A9,"".*_(.*)"")))/sum(filter(
Master_Mapping_Sheet!$E$2:$E$3143, ISNUMBER(
Master_Mapping_Sheet!$E$2:$E$3143),
Master_Mapping_Sheet!$C$2:$C$3143=AA$1)))"),0.0)</f>
        <v>0</v>
      </c>
      <c r="AB9" s="34">
        <f>IFERROR(__xludf.DUMMYFUNCTION("IF(ISNA(sum(filter(
Master_Mapping_Sheet!$E$2:$E$3143, ISNUMBER(
Master_Mapping_Sheet!$E$2:$E$3143),
Master_Mapping_Sheet!$C$2:$C$3143=AB$1,
Master_Mapping_Sheet!$N$2:$N$3143=REGEXEXTRACT($A9,"".*_(.*)"")))/sum(filter(
Master_Mapping_Sheet!$E$2:$E$3143, I"&amp;"SNUMBER(
Master_Mapping_Sheet!$E$2:$E$3143),
Master_Mapping_Sheet!$C$2:$C$3143=AB$1))), 0, sum(filter(
Master_Mapping_Sheet!$E$2:$E$3143, ISNUMBER(
Master_Mapping_Sheet!$E$2:$E$3143),
Master_Mapping_Sheet!$C$2:$C$3143=AB$1,
Master_Mapping_Sheet!$N$2:$N$31"&amp;"43=REGEXEXTRACT($A9,"".*_(.*)"")))/sum(filter(
Master_Mapping_Sheet!$E$2:$E$3143, ISNUMBER(
Master_Mapping_Sheet!$E$2:$E$3143),
Master_Mapping_Sheet!$C$2:$C$3143=AB$1)))"),0.0)</f>
        <v>0</v>
      </c>
      <c r="AC9" s="34">
        <f>IFERROR(__xludf.DUMMYFUNCTION("IF(ISNA(sum(filter(
Master_Mapping_Sheet!$E$2:$E$3143, ISNUMBER(
Master_Mapping_Sheet!$E$2:$E$3143),
Master_Mapping_Sheet!$C$2:$C$3143=AC$1,
Master_Mapping_Sheet!$N$2:$N$3143=REGEXEXTRACT($A9,"".*_(.*)"")))/sum(filter(
Master_Mapping_Sheet!$E$2:$E$3143, I"&amp;"SNUMBER(
Master_Mapping_Sheet!$E$2:$E$3143),
Master_Mapping_Sheet!$C$2:$C$3143=AC$1))), 0, sum(filter(
Master_Mapping_Sheet!$E$2:$E$3143, ISNUMBER(
Master_Mapping_Sheet!$E$2:$E$3143),
Master_Mapping_Sheet!$C$2:$C$3143=AC$1,
Master_Mapping_Sheet!$N$2:$N$31"&amp;"43=REGEXEXTRACT($A9,"".*_(.*)"")))/sum(filter(
Master_Mapping_Sheet!$E$2:$E$3143, ISNUMBER(
Master_Mapping_Sheet!$E$2:$E$3143),
Master_Mapping_Sheet!$C$2:$C$3143=AC$1)))"),0.0)</f>
        <v>0</v>
      </c>
      <c r="AD9" s="34">
        <f>IFERROR(__xludf.DUMMYFUNCTION("IF(ISNA(sum(filter(
Master_Mapping_Sheet!$E$2:$E$3143, ISNUMBER(
Master_Mapping_Sheet!$E$2:$E$3143),
Master_Mapping_Sheet!$C$2:$C$3143=AD$1,
Master_Mapping_Sheet!$N$2:$N$3143=REGEXEXTRACT($A9,"".*_(.*)"")))/sum(filter(
Master_Mapping_Sheet!$E$2:$E$3143, I"&amp;"SNUMBER(
Master_Mapping_Sheet!$E$2:$E$3143),
Master_Mapping_Sheet!$C$2:$C$3143=AD$1))), 0, sum(filter(
Master_Mapping_Sheet!$E$2:$E$3143, ISNUMBER(
Master_Mapping_Sheet!$E$2:$E$3143),
Master_Mapping_Sheet!$C$2:$C$3143=AD$1,
Master_Mapping_Sheet!$N$2:$N$31"&amp;"43=REGEXEXTRACT($A9,"".*_(.*)"")))/sum(filter(
Master_Mapping_Sheet!$E$2:$E$3143, ISNUMBER(
Master_Mapping_Sheet!$E$2:$E$3143),
Master_Mapping_Sheet!$C$2:$C$3143=AD$1)))"),0.0)</f>
        <v>0</v>
      </c>
      <c r="AE9" s="34">
        <f>IFERROR(__xludf.DUMMYFUNCTION("IF(ISNA(sum(filter(
Master_Mapping_Sheet!$E$2:$E$3143, ISNUMBER(
Master_Mapping_Sheet!$E$2:$E$3143),
Master_Mapping_Sheet!$C$2:$C$3143=AE$1,
Master_Mapping_Sheet!$N$2:$N$3143=REGEXEXTRACT($A9,"".*_(.*)"")))/sum(filter(
Master_Mapping_Sheet!$E$2:$E$3143, I"&amp;"SNUMBER(
Master_Mapping_Sheet!$E$2:$E$3143),
Master_Mapping_Sheet!$C$2:$C$3143=AE$1))), 0, sum(filter(
Master_Mapping_Sheet!$E$2:$E$3143, ISNUMBER(
Master_Mapping_Sheet!$E$2:$E$3143),
Master_Mapping_Sheet!$C$2:$C$3143=AE$1,
Master_Mapping_Sheet!$N$2:$N$31"&amp;"43=REGEXEXTRACT($A9,"".*_(.*)"")))/sum(filter(
Master_Mapping_Sheet!$E$2:$E$3143, ISNUMBER(
Master_Mapping_Sheet!$E$2:$E$3143),
Master_Mapping_Sheet!$C$2:$C$3143=AE$1)))"),0.0)</f>
        <v>0</v>
      </c>
      <c r="AF9" s="34">
        <f>IFERROR(__xludf.DUMMYFUNCTION("IF(ISNA(sum(filter(
Master_Mapping_Sheet!$E$2:$E$3143, ISNUMBER(
Master_Mapping_Sheet!$E$2:$E$3143),
Master_Mapping_Sheet!$C$2:$C$3143=AF$1,
Master_Mapping_Sheet!$N$2:$N$3143=REGEXEXTRACT($A9,"".*_(.*)"")))/sum(filter(
Master_Mapping_Sheet!$E$2:$E$3143, I"&amp;"SNUMBER(
Master_Mapping_Sheet!$E$2:$E$3143),
Master_Mapping_Sheet!$C$2:$C$3143=AF$1))), 0, sum(filter(
Master_Mapping_Sheet!$E$2:$E$3143, ISNUMBER(
Master_Mapping_Sheet!$E$2:$E$3143),
Master_Mapping_Sheet!$C$2:$C$3143=AF$1,
Master_Mapping_Sheet!$N$2:$N$31"&amp;"43=REGEXEXTRACT($A9,"".*_(.*)"")))/sum(filter(
Master_Mapping_Sheet!$E$2:$E$3143, ISNUMBER(
Master_Mapping_Sheet!$E$2:$E$3143),
Master_Mapping_Sheet!$C$2:$C$3143=AF$1)))"),0.0)</f>
        <v>0</v>
      </c>
      <c r="AG9" s="34">
        <f>IFERROR(__xludf.DUMMYFUNCTION("IF(ISNA(sum(filter(
Master_Mapping_Sheet!$E$2:$E$3143, ISNUMBER(
Master_Mapping_Sheet!$E$2:$E$3143),
Master_Mapping_Sheet!$C$2:$C$3143=AG$1,
Master_Mapping_Sheet!$N$2:$N$3143=REGEXEXTRACT($A9,"".*_(.*)"")))/sum(filter(
Master_Mapping_Sheet!$E$2:$E$3143, I"&amp;"SNUMBER(
Master_Mapping_Sheet!$E$2:$E$3143),
Master_Mapping_Sheet!$C$2:$C$3143=AG$1))), 0, sum(filter(
Master_Mapping_Sheet!$E$2:$E$3143, ISNUMBER(
Master_Mapping_Sheet!$E$2:$E$3143),
Master_Mapping_Sheet!$C$2:$C$3143=AG$1,
Master_Mapping_Sheet!$N$2:$N$31"&amp;"43=REGEXEXTRACT($A9,"".*_(.*)"")))/sum(filter(
Master_Mapping_Sheet!$E$2:$E$3143, ISNUMBER(
Master_Mapping_Sheet!$E$2:$E$3143),
Master_Mapping_Sheet!$C$2:$C$3143=AG$1)))"),0.0)</f>
        <v>0</v>
      </c>
      <c r="AH9" s="34">
        <f>IFERROR(__xludf.DUMMYFUNCTION("IF(ISNA(sum(filter(
Master_Mapping_Sheet!$E$2:$E$3143, ISNUMBER(
Master_Mapping_Sheet!$E$2:$E$3143),
Master_Mapping_Sheet!$C$2:$C$3143=AH$1,
Master_Mapping_Sheet!$N$2:$N$3143=REGEXEXTRACT($A9,"".*_(.*)"")))/sum(filter(
Master_Mapping_Sheet!$E$2:$E$3143, I"&amp;"SNUMBER(
Master_Mapping_Sheet!$E$2:$E$3143),
Master_Mapping_Sheet!$C$2:$C$3143=AH$1))), 0, sum(filter(
Master_Mapping_Sheet!$E$2:$E$3143, ISNUMBER(
Master_Mapping_Sheet!$E$2:$E$3143),
Master_Mapping_Sheet!$C$2:$C$3143=AH$1,
Master_Mapping_Sheet!$N$2:$N$31"&amp;"43=REGEXEXTRACT($A9,"".*_(.*)"")))/sum(filter(
Master_Mapping_Sheet!$E$2:$E$3143, ISNUMBER(
Master_Mapping_Sheet!$E$2:$E$3143),
Master_Mapping_Sheet!$C$2:$C$3143=AH$1)))"),0.0)</f>
        <v>0</v>
      </c>
      <c r="AI9" s="34">
        <f>IFERROR(__xludf.DUMMYFUNCTION("IF(ISNA(sum(filter(
Master_Mapping_Sheet!$E$2:$E$3143, ISNUMBER(
Master_Mapping_Sheet!$E$2:$E$3143),
Master_Mapping_Sheet!$C$2:$C$3143=AI$1,
Master_Mapping_Sheet!$N$2:$N$3143=REGEXEXTRACT($A9,"".*_(.*)"")))/sum(filter(
Master_Mapping_Sheet!$E$2:$E$3143, I"&amp;"SNUMBER(
Master_Mapping_Sheet!$E$2:$E$3143),
Master_Mapping_Sheet!$C$2:$C$3143=AI$1))), 0, sum(filter(
Master_Mapping_Sheet!$E$2:$E$3143, ISNUMBER(
Master_Mapping_Sheet!$E$2:$E$3143),
Master_Mapping_Sheet!$C$2:$C$3143=AI$1,
Master_Mapping_Sheet!$N$2:$N$31"&amp;"43=REGEXEXTRACT($A9,"".*_(.*)"")))/sum(filter(
Master_Mapping_Sheet!$E$2:$E$3143, ISNUMBER(
Master_Mapping_Sheet!$E$2:$E$3143),
Master_Mapping_Sheet!$C$2:$C$3143=AI$1)))"),0.0)</f>
        <v>0</v>
      </c>
      <c r="AJ9" s="34">
        <f>IFERROR(__xludf.DUMMYFUNCTION("IF(ISNA(sum(filter(
Master_Mapping_Sheet!$E$2:$E$3143, ISNUMBER(
Master_Mapping_Sheet!$E$2:$E$3143),
Master_Mapping_Sheet!$C$2:$C$3143=AJ$1,
Master_Mapping_Sheet!$N$2:$N$3143=REGEXEXTRACT($A9,"".*_(.*)"")))/sum(filter(
Master_Mapping_Sheet!$E$2:$E$3143, I"&amp;"SNUMBER(
Master_Mapping_Sheet!$E$2:$E$3143),
Master_Mapping_Sheet!$C$2:$C$3143=AJ$1))), 0, sum(filter(
Master_Mapping_Sheet!$E$2:$E$3143, ISNUMBER(
Master_Mapping_Sheet!$E$2:$E$3143),
Master_Mapping_Sheet!$C$2:$C$3143=AJ$1,
Master_Mapping_Sheet!$N$2:$N$31"&amp;"43=REGEXEXTRACT($A9,"".*_(.*)"")))/sum(filter(
Master_Mapping_Sheet!$E$2:$E$3143, ISNUMBER(
Master_Mapping_Sheet!$E$2:$E$3143),
Master_Mapping_Sheet!$C$2:$C$3143=AJ$1)))"),0.0)</f>
        <v>0</v>
      </c>
      <c r="AK9" s="34">
        <f>IFERROR(__xludf.DUMMYFUNCTION("IF(ISNA(sum(filter(
Master_Mapping_Sheet!$E$2:$E$3143, ISNUMBER(
Master_Mapping_Sheet!$E$2:$E$3143),
Master_Mapping_Sheet!$C$2:$C$3143=AK$1,
Master_Mapping_Sheet!$N$2:$N$3143=REGEXEXTRACT($A9,"".*_(.*)"")))/sum(filter(
Master_Mapping_Sheet!$E$2:$E$3143, I"&amp;"SNUMBER(
Master_Mapping_Sheet!$E$2:$E$3143),
Master_Mapping_Sheet!$C$2:$C$3143=AK$1))), 0, sum(filter(
Master_Mapping_Sheet!$E$2:$E$3143, ISNUMBER(
Master_Mapping_Sheet!$E$2:$E$3143),
Master_Mapping_Sheet!$C$2:$C$3143=AK$1,
Master_Mapping_Sheet!$N$2:$N$31"&amp;"43=REGEXEXTRACT($A9,"".*_(.*)"")))/sum(filter(
Master_Mapping_Sheet!$E$2:$E$3143, ISNUMBER(
Master_Mapping_Sheet!$E$2:$E$3143),
Master_Mapping_Sheet!$C$2:$C$3143=AK$1)))"),0.0)</f>
        <v>0</v>
      </c>
      <c r="AL9" s="34">
        <f>IFERROR(__xludf.DUMMYFUNCTION("IF(ISNA(sum(filter(
Master_Mapping_Sheet!$E$2:$E$3143, ISNUMBER(
Master_Mapping_Sheet!$E$2:$E$3143),
Master_Mapping_Sheet!$C$2:$C$3143=AL$1,
Master_Mapping_Sheet!$N$2:$N$3143=REGEXEXTRACT($A9,"".*_(.*)"")))/sum(filter(
Master_Mapping_Sheet!$E$2:$E$3143, I"&amp;"SNUMBER(
Master_Mapping_Sheet!$E$2:$E$3143),
Master_Mapping_Sheet!$C$2:$C$3143=AL$1))), 0, sum(filter(
Master_Mapping_Sheet!$E$2:$E$3143, ISNUMBER(
Master_Mapping_Sheet!$E$2:$E$3143),
Master_Mapping_Sheet!$C$2:$C$3143=AL$1,
Master_Mapping_Sheet!$N$2:$N$31"&amp;"43=REGEXEXTRACT($A9,"".*_(.*)"")))/sum(filter(
Master_Mapping_Sheet!$E$2:$E$3143, ISNUMBER(
Master_Mapping_Sheet!$E$2:$E$3143),
Master_Mapping_Sheet!$C$2:$C$3143=AL$1)))"),0.0)</f>
        <v>0</v>
      </c>
      <c r="AM9" s="34">
        <f>IFERROR(__xludf.DUMMYFUNCTION("IF(ISNA(sum(filter(
Master_Mapping_Sheet!$E$2:$E$3143, ISNUMBER(
Master_Mapping_Sheet!$E$2:$E$3143),
Master_Mapping_Sheet!$C$2:$C$3143=AM$1,
Master_Mapping_Sheet!$N$2:$N$3143=REGEXEXTRACT($A9,"".*_(.*)"")))/sum(filter(
Master_Mapping_Sheet!$E$2:$E$3143, I"&amp;"SNUMBER(
Master_Mapping_Sheet!$E$2:$E$3143),
Master_Mapping_Sheet!$C$2:$C$3143=AM$1))), 0, sum(filter(
Master_Mapping_Sheet!$E$2:$E$3143, ISNUMBER(
Master_Mapping_Sheet!$E$2:$E$3143),
Master_Mapping_Sheet!$C$2:$C$3143=AM$1,
Master_Mapping_Sheet!$N$2:$N$31"&amp;"43=REGEXEXTRACT($A9,"".*_(.*)"")))/sum(filter(
Master_Mapping_Sheet!$E$2:$E$3143, ISNUMBER(
Master_Mapping_Sheet!$E$2:$E$3143),
Master_Mapping_Sheet!$C$2:$C$3143=AM$1)))"),0.8619795443711588)</f>
        <v>0.8619795444</v>
      </c>
      <c r="AN9" s="34">
        <f>IFERROR(__xludf.DUMMYFUNCTION("IF(ISNA(sum(filter(
Master_Mapping_Sheet!$E$2:$E$3143, ISNUMBER(
Master_Mapping_Sheet!$E$2:$E$3143),
Master_Mapping_Sheet!$C$2:$C$3143=AN$1,
Master_Mapping_Sheet!$N$2:$N$3143=REGEXEXTRACT($A9,"".*_(.*)"")))/sum(filter(
Master_Mapping_Sheet!$E$2:$E$3143, I"&amp;"SNUMBER(
Master_Mapping_Sheet!$E$2:$E$3143),
Master_Mapping_Sheet!$C$2:$C$3143=AN$1))), 0, sum(filter(
Master_Mapping_Sheet!$E$2:$E$3143, ISNUMBER(
Master_Mapping_Sheet!$E$2:$E$3143),
Master_Mapping_Sheet!$C$2:$C$3143=AN$1,
Master_Mapping_Sheet!$N$2:$N$31"&amp;"43=REGEXEXTRACT($A9,"".*_(.*)"")))/sum(filter(
Master_Mapping_Sheet!$E$2:$E$3143, ISNUMBER(
Master_Mapping_Sheet!$E$2:$E$3143),
Master_Mapping_Sheet!$C$2:$C$3143=AN$1)))"),0.0)</f>
        <v>0</v>
      </c>
      <c r="AO9" s="34">
        <f>IFERROR(__xludf.DUMMYFUNCTION("IF(ISNA(sum(filter(
Master_Mapping_Sheet!$E$2:$E$3143, ISNUMBER(
Master_Mapping_Sheet!$E$2:$E$3143),
Master_Mapping_Sheet!$C$2:$C$3143=AO$1,
Master_Mapping_Sheet!$N$2:$N$3143=REGEXEXTRACT($A9,"".*_(.*)"")))/sum(filter(
Master_Mapping_Sheet!$E$2:$E$3143, I"&amp;"SNUMBER(
Master_Mapping_Sheet!$E$2:$E$3143),
Master_Mapping_Sheet!$C$2:$C$3143=AO$1))), 0, sum(filter(
Master_Mapping_Sheet!$E$2:$E$3143, ISNUMBER(
Master_Mapping_Sheet!$E$2:$E$3143),
Master_Mapping_Sheet!$C$2:$C$3143=AO$1,
Master_Mapping_Sheet!$N$2:$N$31"&amp;"43=REGEXEXTRACT($A9,"".*_(.*)"")))/sum(filter(
Master_Mapping_Sheet!$E$2:$E$3143, ISNUMBER(
Master_Mapping_Sheet!$E$2:$E$3143),
Master_Mapping_Sheet!$C$2:$C$3143=AO$1)))"),0.0)</f>
        <v>0</v>
      </c>
      <c r="AP9" s="34">
        <f>IFERROR(__xludf.DUMMYFUNCTION("IF(ISNA(sum(filter(
Master_Mapping_Sheet!$E$2:$E$3143, ISNUMBER(
Master_Mapping_Sheet!$E$2:$E$3143),
Master_Mapping_Sheet!$C$2:$C$3143=AP$1,
Master_Mapping_Sheet!$N$2:$N$3143=REGEXEXTRACT($A9,"".*_(.*)"")))/sum(filter(
Master_Mapping_Sheet!$E$2:$E$3143, I"&amp;"SNUMBER(
Master_Mapping_Sheet!$E$2:$E$3143),
Master_Mapping_Sheet!$C$2:$C$3143=AP$1))), 0, sum(filter(
Master_Mapping_Sheet!$E$2:$E$3143, ISNUMBER(
Master_Mapping_Sheet!$E$2:$E$3143),
Master_Mapping_Sheet!$C$2:$C$3143=AP$1,
Master_Mapping_Sheet!$N$2:$N$31"&amp;"43=REGEXEXTRACT($A9,"".*_(.*)"")))/sum(filter(
Master_Mapping_Sheet!$E$2:$E$3143, ISNUMBER(
Master_Mapping_Sheet!$E$2:$E$3143),
Master_Mapping_Sheet!$C$2:$C$3143=AP$1)))"),0.0)</f>
        <v>0</v>
      </c>
      <c r="AQ9" s="34">
        <f>IFERROR(__xludf.DUMMYFUNCTION("IF(ISNA(sum(filter(
Master_Mapping_Sheet!$E$2:$E$3143, ISNUMBER(
Master_Mapping_Sheet!$E$2:$E$3143),
Master_Mapping_Sheet!$C$2:$C$3143=AQ$1,
Master_Mapping_Sheet!$N$2:$N$3143=REGEXEXTRACT($A9,"".*_(.*)"")))/sum(filter(
Master_Mapping_Sheet!$E$2:$E$3143, I"&amp;"SNUMBER(
Master_Mapping_Sheet!$E$2:$E$3143),
Master_Mapping_Sheet!$C$2:$C$3143=AQ$1))), 0, sum(filter(
Master_Mapping_Sheet!$E$2:$E$3143, ISNUMBER(
Master_Mapping_Sheet!$E$2:$E$3143),
Master_Mapping_Sheet!$C$2:$C$3143=AQ$1,
Master_Mapping_Sheet!$N$2:$N$31"&amp;"43=REGEXEXTRACT($A9,"".*_(.*)"")))/sum(filter(
Master_Mapping_Sheet!$E$2:$E$3143, ISNUMBER(
Master_Mapping_Sheet!$E$2:$E$3143),
Master_Mapping_Sheet!$C$2:$C$3143=AQ$1)))"),0.0)</f>
        <v>0</v>
      </c>
      <c r="AR9" s="34">
        <f>IFERROR(__xludf.DUMMYFUNCTION("IF(ISNA(sum(filter(
Master_Mapping_Sheet!$E$2:$E$3143, ISNUMBER(
Master_Mapping_Sheet!$E$2:$E$3143),
Master_Mapping_Sheet!$C$2:$C$3143=AR$1,
Master_Mapping_Sheet!$N$2:$N$3143=REGEXEXTRACT($A9,"".*_(.*)"")))/sum(filter(
Master_Mapping_Sheet!$E$2:$E$3143, I"&amp;"SNUMBER(
Master_Mapping_Sheet!$E$2:$E$3143),
Master_Mapping_Sheet!$C$2:$C$3143=AR$1))), 0, sum(filter(
Master_Mapping_Sheet!$E$2:$E$3143, ISNUMBER(
Master_Mapping_Sheet!$E$2:$E$3143),
Master_Mapping_Sheet!$C$2:$C$3143=AR$1,
Master_Mapping_Sheet!$N$2:$N$31"&amp;"43=REGEXEXTRACT($A9,"".*_(.*)"")))/sum(filter(
Master_Mapping_Sheet!$E$2:$E$3143, ISNUMBER(
Master_Mapping_Sheet!$E$2:$E$3143),
Master_Mapping_Sheet!$C$2:$C$3143=AR$1)))"),0.0)</f>
        <v>0</v>
      </c>
      <c r="AS9" s="34">
        <f>IFERROR(__xludf.DUMMYFUNCTION("IF(ISNA(sum(filter(
Master_Mapping_Sheet!$E$2:$E$3143, ISNUMBER(
Master_Mapping_Sheet!$E$2:$E$3143),
Master_Mapping_Sheet!$C$2:$C$3143=AS$1,
Master_Mapping_Sheet!$N$2:$N$3143=REGEXEXTRACT($A9,"".*_(.*)"")))/sum(filter(
Master_Mapping_Sheet!$E$2:$E$3143, I"&amp;"SNUMBER(
Master_Mapping_Sheet!$E$2:$E$3143),
Master_Mapping_Sheet!$C$2:$C$3143=AS$1))), 0, sum(filter(
Master_Mapping_Sheet!$E$2:$E$3143, ISNUMBER(
Master_Mapping_Sheet!$E$2:$E$3143),
Master_Mapping_Sheet!$C$2:$C$3143=AS$1,
Master_Mapping_Sheet!$N$2:$N$31"&amp;"43=REGEXEXTRACT($A9,"".*_(.*)"")))/sum(filter(
Master_Mapping_Sheet!$E$2:$E$3143, ISNUMBER(
Master_Mapping_Sheet!$E$2:$E$3143),
Master_Mapping_Sheet!$C$2:$C$3143=AS$1)))"),0.0)</f>
        <v>0</v>
      </c>
      <c r="AT9" s="34">
        <f>IFERROR(__xludf.DUMMYFUNCTION("IF(ISNA(sum(filter(
Master_Mapping_Sheet!$E$2:$E$3143, ISNUMBER(
Master_Mapping_Sheet!$E$2:$E$3143),
Master_Mapping_Sheet!$C$2:$C$3143=AT$1,
Master_Mapping_Sheet!$N$2:$N$3143=REGEXEXTRACT($A9,"".*_(.*)"")))/sum(filter(
Master_Mapping_Sheet!$E$2:$E$3143, I"&amp;"SNUMBER(
Master_Mapping_Sheet!$E$2:$E$3143),
Master_Mapping_Sheet!$C$2:$C$3143=AT$1))), 0, sum(filter(
Master_Mapping_Sheet!$E$2:$E$3143, ISNUMBER(
Master_Mapping_Sheet!$E$2:$E$3143),
Master_Mapping_Sheet!$C$2:$C$3143=AT$1,
Master_Mapping_Sheet!$N$2:$N$31"&amp;"43=REGEXEXTRACT($A9,"".*_(.*)"")))/sum(filter(
Master_Mapping_Sheet!$E$2:$E$3143, ISNUMBER(
Master_Mapping_Sheet!$E$2:$E$3143),
Master_Mapping_Sheet!$C$2:$C$3143=AT$1)))"),0.0)</f>
        <v>0</v>
      </c>
      <c r="AU9" s="34">
        <f>IFERROR(__xludf.DUMMYFUNCTION("IF(ISNA(sum(filter(
Master_Mapping_Sheet!$E$2:$E$3143, ISNUMBER(
Master_Mapping_Sheet!$E$2:$E$3143),
Master_Mapping_Sheet!$C$2:$C$3143=AU$1,
Master_Mapping_Sheet!$N$2:$N$3143=REGEXEXTRACT($A9,"".*_(.*)"")))/sum(filter(
Master_Mapping_Sheet!$E$2:$E$3143, I"&amp;"SNUMBER(
Master_Mapping_Sheet!$E$2:$E$3143),
Master_Mapping_Sheet!$C$2:$C$3143=AU$1))), 0, sum(filter(
Master_Mapping_Sheet!$E$2:$E$3143, ISNUMBER(
Master_Mapping_Sheet!$E$2:$E$3143),
Master_Mapping_Sheet!$C$2:$C$3143=AU$1,
Master_Mapping_Sheet!$N$2:$N$31"&amp;"43=REGEXEXTRACT($A9,"".*_(.*)"")))/sum(filter(
Master_Mapping_Sheet!$E$2:$E$3143, ISNUMBER(
Master_Mapping_Sheet!$E$2:$E$3143),
Master_Mapping_Sheet!$C$2:$C$3143=AU$1)))"),0.0)</f>
        <v>0</v>
      </c>
      <c r="AV9" s="34">
        <f>IFERROR(__xludf.DUMMYFUNCTION("IF(ISNA(sum(filter(
Master_Mapping_Sheet!$E$2:$E$3143, ISNUMBER(
Master_Mapping_Sheet!$E$2:$E$3143),
Master_Mapping_Sheet!$C$2:$C$3143=AV$1,
Master_Mapping_Sheet!$N$2:$N$3143=REGEXEXTRACT($A9,"".*_(.*)"")))/sum(filter(
Master_Mapping_Sheet!$E$2:$E$3143, I"&amp;"SNUMBER(
Master_Mapping_Sheet!$E$2:$E$3143),
Master_Mapping_Sheet!$C$2:$C$3143=AV$1))), 0, sum(filter(
Master_Mapping_Sheet!$E$2:$E$3143, ISNUMBER(
Master_Mapping_Sheet!$E$2:$E$3143),
Master_Mapping_Sheet!$C$2:$C$3143=AV$1,
Master_Mapping_Sheet!$N$2:$N$31"&amp;"43=REGEXEXTRACT($A9,"".*_(.*)"")))/sum(filter(
Master_Mapping_Sheet!$E$2:$E$3143, ISNUMBER(
Master_Mapping_Sheet!$E$2:$E$3143),
Master_Mapping_Sheet!$C$2:$C$3143=AV$1)))"),0.0)</f>
        <v>0</v>
      </c>
      <c r="AW9" s="34">
        <f>IFERROR(__xludf.DUMMYFUNCTION("IF(ISNA(sum(filter(
Master_Mapping_Sheet!$E$2:$E$3143, ISNUMBER(
Master_Mapping_Sheet!$E$2:$E$3143),
Master_Mapping_Sheet!$C$2:$C$3143=AW$1,
Master_Mapping_Sheet!$N$2:$N$3143=REGEXEXTRACT($A9,"".*_(.*)"")))/sum(filter(
Master_Mapping_Sheet!$E$2:$E$3143, I"&amp;"SNUMBER(
Master_Mapping_Sheet!$E$2:$E$3143),
Master_Mapping_Sheet!$C$2:$C$3143=AW$1))), 0, sum(filter(
Master_Mapping_Sheet!$E$2:$E$3143, ISNUMBER(
Master_Mapping_Sheet!$E$2:$E$3143),
Master_Mapping_Sheet!$C$2:$C$3143=AW$1,
Master_Mapping_Sheet!$N$2:$N$31"&amp;"43=REGEXEXTRACT($A9,"".*_(.*)"")))/sum(filter(
Master_Mapping_Sheet!$E$2:$E$3143, ISNUMBER(
Master_Mapping_Sheet!$E$2:$E$3143),
Master_Mapping_Sheet!$C$2:$C$3143=AW$1)))"),0.7802256018267272)</f>
        <v>0.7802256018</v>
      </c>
      <c r="AX9" s="34">
        <f>IFERROR(__xludf.DUMMYFUNCTION("IF(ISNA(sum(filter(
Master_Mapping_Sheet!$E$2:$E$3143, ISNUMBER(
Master_Mapping_Sheet!$E$2:$E$3143),
Master_Mapping_Sheet!$C$2:$C$3143=AX$1,
Master_Mapping_Sheet!$N$2:$N$3143=REGEXEXTRACT($A9,"".*_(.*)"")))/sum(filter(
Master_Mapping_Sheet!$E$2:$E$3143, I"&amp;"SNUMBER(
Master_Mapping_Sheet!$E$2:$E$3143),
Master_Mapping_Sheet!$C$2:$C$3143=AX$1))), 0, sum(filter(
Master_Mapping_Sheet!$E$2:$E$3143, ISNUMBER(
Master_Mapping_Sheet!$E$2:$E$3143),
Master_Mapping_Sheet!$C$2:$C$3143=AX$1,
Master_Mapping_Sheet!$N$2:$N$31"&amp;"43=REGEXEXTRACT($A9,"".*_(.*)"")))/sum(filter(
Master_Mapping_Sheet!$E$2:$E$3143, ISNUMBER(
Master_Mapping_Sheet!$E$2:$E$3143),
Master_Mapping_Sheet!$C$2:$C$3143=AX$1)))"),0.0)</f>
        <v>0</v>
      </c>
      <c r="AY9" s="34">
        <f>IFERROR(__xludf.DUMMYFUNCTION("IF(ISNA(sum(filter(
Master_Mapping_Sheet!$E$2:$E$3143, ISNUMBER(
Master_Mapping_Sheet!$E$2:$E$3143),
Master_Mapping_Sheet!$C$2:$C$3143=AY$1,
Master_Mapping_Sheet!$N$2:$N$3143=REGEXEXTRACT($A9,"".*_(.*)"")))/sum(filter(
Master_Mapping_Sheet!$E$2:$E$3143, I"&amp;"SNUMBER(
Master_Mapping_Sheet!$E$2:$E$3143),
Master_Mapping_Sheet!$C$2:$C$3143=AY$1))), 0, sum(filter(
Master_Mapping_Sheet!$E$2:$E$3143, ISNUMBER(
Master_Mapping_Sheet!$E$2:$E$3143),
Master_Mapping_Sheet!$C$2:$C$3143=AY$1,
Master_Mapping_Sheet!$N$2:$N$31"&amp;"43=REGEXEXTRACT($A9,"".*_(.*)"")))/sum(filter(
Master_Mapping_Sheet!$E$2:$E$3143, ISNUMBER(
Master_Mapping_Sheet!$E$2:$E$3143),
Master_Mapping_Sheet!$C$2:$C$3143=AY$1)))"),0.0)</f>
        <v>0</v>
      </c>
      <c r="AZ9" s="34">
        <f>IFERROR(__xludf.DUMMYFUNCTION("IF(ISNA(sum(filter(
Master_Mapping_Sheet!$E$2:$E$3143, ISNUMBER(
Master_Mapping_Sheet!$E$2:$E$3143),
Master_Mapping_Sheet!$C$2:$C$3143=AZ$1,
Master_Mapping_Sheet!$N$2:$N$3143=REGEXEXTRACT($A9,"".*_(.*)"")))/sum(filter(
Master_Mapping_Sheet!$E$2:$E$3143, I"&amp;"SNUMBER(
Master_Mapping_Sheet!$E$2:$E$3143),
Master_Mapping_Sheet!$C$2:$C$3143=AZ$1))), 0, sum(filter(
Master_Mapping_Sheet!$E$2:$E$3143, ISNUMBER(
Master_Mapping_Sheet!$E$2:$E$3143),
Master_Mapping_Sheet!$C$2:$C$3143=AZ$1,
Master_Mapping_Sheet!$N$2:$N$31"&amp;"43=REGEXEXTRACT($A9,"".*_(.*)"")))/sum(filter(
Master_Mapping_Sheet!$E$2:$E$3143, ISNUMBER(
Master_Mapping_Sheet!$E$2:$E$3143),
Master_Mapping_Sheet!$C$2:$C$3143=AZ$1)))"),0.0)</f>
        <v>0</v>
      </c>
    </row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45" t="s">
        <v>96</v>
      </c>
      <c r="B1" s="32" t="s">
        <v>4010</v>
      </c>
      <c r="C1" s="32" t="s">
        <v>3989</v>
      </c>
      <c r="D1" s="32" t="s">
        <v>3996</v>
      </c>
      <c r="E1" s="32" t="s">
        <v>3992</v>
      </c>
      <c r="F1" s="32" t="s">
        <v>4003</v>
      </c>
      <c r="G1" s="32" t="s">
        <v>3974</v>
      </c>
      <c r="H1" s="32" t="s">
        <v>3985</v>
      </c>
      <c r="I1" s="32" t="s">
        <v>4006</v>
      </c>
      <c r="J1" s="32" t="s">
        <v>4005</v>
      </c>
      <c r="K1" s="32" t="s">
        <v>3987</v>
      </c>
      <c r="L1" s="32" t="s">
        <v>3997</v>
      </c>
      <c r="M1" s="32" t="s">
        <v>3994</v>
      </c>
      <c r="N1" s="32" t="s">
        <v>3988</v>
      </c>
      <c r="O1" s="32" t="s">
        <v>4009</v>
      </c>
      <c r="P1" s="32" t="s">
        <v>3969</v>
      </c>
      <c r="Q1" s="32" t="s">
        <v>3970</v>
      </c>
      <c r="R1" s="32" t="s">
        <v>3976</v>
      </c>
      <c r="S1" s="32" t="s">
        <v>4001</v>
      </c>
      <c r="T1" s="32" t="s">
        <v>3999</v>
      </c>
      <c r="U1" s="32" t="s">
        <v>3972</v>
      </c>
      <c r="V1" s="32" t="s">
        <v>3979</v>
      </c>
      <c r="W1" s="32" t="s">
        <v>3981</v>
      </c>
      <c r="X1" s="32" t="s">
        <v>3980</v>
      </c>
      <c r="Y1" s="32" t="s">
        <v>3983</v>
      </c>
      <c r="Z1" s="32" t="s">
        <v>3990</v>
      </c>
    </row>
    <row r="2" ht="15.75" customHeight="1">
      <c r="A2" s="45" t="s">
        <v>4246</v>
      </c>
      <c r="B2" s="34">
        <f>IFERROR(__xludf.DUMMYFUNCTION("IF(ISNA(sum(filter(
Master_Mapping_Sheet!$E$2:$E$3143, ISNUMBER(
Master_Mapping_Sheet!$E$2:$E$3143),
Master_Mapping_Sheet!$H$2:$H$3143=B$1,
Master_Mapping_Sheet!$K$2:$K$3143=VALUE(RIGHT($A2,1))))/sum(filter(
Master_Mapping_Sheet!$E$2:$E$3143, ISNUMBER(
Ma"&amp;"ster_Mapping_Sheet!$E$2:$E$3143),
Master_Mapping_Sheet!$H$2:$H$3143=B$1))), 0, sum(filter(
Master_Mapping_Sheet!$E$2:$E$3143, ISNUMBER(
Master_Mapping_Sheet!$E$2:$E$3143),
Master_Mapping_Sheet!$H$2:$H$3143=B$1,
Master_Mapping_Sheet!$K$2:$K$3143=VALUE(RIGH"&amp;"T($A2,1))))/sum(filter(
Master_Mapping_Sheet!$E$2:$E$3143, ISNUMBER(
Master_Mapping_Sheet!$E$2:$E$3143),
Master_Mapping_Sheet!$H$2:$H$3143=B$1)))"),0.0)</f>
        <v>0</v>
      </c>
      <c r="C2" s="34">
        <f>IFERROR(__xludf.DUMMYFUNCTION("IF(ISNA(sum(filter(
Master_Mapping_Sheet!$E$2:$E$3143, ISNUMBER(
Master_Mapping_Sheet!$E$2:$E$3143),
Master_Mapping_Sheet!$H$2:$H$3143=C$1,
Master_Mapping_Sheet!$K$2:$K$3143=VALUE(RIGHT($A2,1))))/sum(filter(
Master_Mapping_Sheet!$E$2:$E$3143, ISNUMBER(
Ma"&amp;"ster_Mapping_Sheet!$E$2:$E$3143),
Master_Mapping_Sheet!$H$2:$H$3143=C$1))), 0, sum(filter(
Master_Mapping_Sheet!$E$2:$E$3143, ISNUMBER(
Master_Mapping_Sheet!$E$2:$E$3143),
Master_Mapping_Sheet!$H$2:$H$3143=C$1,
Master_Mapping_Sheet!$K$2:$K$3143=VALUE(RIGH"&amp;"T($A2,1))))/sum(filter(
Master_Mapping_Sheet!$E$2:$E$3143, ISNUMBER(
Master_Mapping_Sheet!$E$2:$E$3143),
Master_Mapping_Sheet!$H$2:$H$3143=C$1)))"),0.0)</f>
        <v>0</v>
      </c>
      <c r="D2" s="34">
        <f>IFERROR(__xludf.DUMMYFUNCTION("IF(ISNA(sum(filter(
Master_Mapping_Sheet!$E$2:$E$3143, ISNUMBER(
Master_Mapping_Sheet!$E$2:$E$3143),
Master_Mapping_Sheet!$H$2:$H$3143=D$1,
Master_Mapping_Sheet!$K$2:$K$3143=VALUE(RIGHT($A2,1))))/sum(filter(
Master_Mapping_Sheet!$E$2:$E$3143, ISNUMBER(
Ma"&amp;"ster_Mapping_Sheet!$E$2:$E$3143),
Master_Mapping_Sheet!$H$2:$H$3143=D$1))), 0, sum(filter(
Master_Mapping_Sheet!$E$2:$E$3143, ISNUMBER(
Master_Mapping_Sheet!$E$2:$E$3143),
Master_Mapping_Sheet!$H$2:$H$3143=D$1,
Master_Mapping_Sheet!$K$2:$K$3143=VALUE(RIGH"&amp;"T($A2,1))))/sum(filter(
Master_Mapping_Sheet!$E$2:$E$3143, ISNUMBER(
Master_Mapping_Sheet!$E$2:$E$3143),
Master_Mapping_Sheet!$H$2:$H$3143=D$1)))"),0.8502416552167811)</f>
        <v>0.8502416552</v>
      </c>
      <c r="E2" s="34">
        <f>IFERROR(__xludf.DUMMYFUNCTION("IF(ISNA(sum(filter(
Master_Mapping_Sheet!$E$2:$E$3143, ISNUMBER(
Master_Mapping_Sheet!$E$2:$E$3143),
Master_Mapping_Sheet!$H$2:$H$3143=E$1,
Master_Mapping_Sheet!$K$2:$K$3143=VALUE(RIGHT($A2,1))))/sum(filter(
Master_Mapping_Sheet!$E$2:$E$3143, ISNUMBER(
Ma"&amp;"ster_Mapping_Sheet!$E$2:$E$3143),
Master_Mapping_Sheet!$H$2:$H$3143=E$1))), 0, sum(filter(
Master_Mapping_Sheet!$E$2:$E$3143, ISNUMBER(
Master_Mapping_Sheet!$E$2:$E$3143),
Master_Mapping_Sheet!$H$2:$H$3143=E$1,
Master_Mapping_Sheet!$K$2:$K$3143=VALUE(RIGH"&amp;"T($A2,1))))/sum(filter(
Master_Mapping_Sheet!$E$2:$E$3143, ISNUMBER(
Master_Mapping_Sheet!$E$2:$E$3143),
Master_Mapping_Sheet!$H$2:$H$3143=E$1)))"),0.0)</f>
        <v>0</v>
      </c>
      <c r="F2" s="34">
        <f>IFERROR(__xludf.DUMMYFUNCTION("IF(ISNA(sum(filter(
Master_Mapping_Sheet!$E$2:$E$3143, ISNUMBER(
Master_Mapping_Sheet!$E$2:$E$3143),
Master_Mapping_Sheet!$H$2:$H$3143=F$1,
Master_Mapping_Sheet!$K$2:$K$3143=VALUE(RIGHT($A2,1))))/sum(filter(
Master_Mapping_Sheet!$E$2:$E$3143, ISNUMBER(
Ma"&amp;"ster_Mapping_Sheet!$E$2:$E$3143),
Master_Mapping_Sheet!$H$2:$H$3143=F$1))), 0, sum(filter(
Master_Mapping_Sheet!$E$2:$E$3143, ISNUMBER(
Master_Mapping_Sheet!$E$2:$E$3143),
Master_Mapping_Sheet!$H$2:$H$3143=F$1,
Master_Mapping_Sheet!$K$2:$K$3143=VALUE(RIGH"&amp;"T($A2,1))))/sum(filter(
Master_Mapping_Sheet!$E$2:$E$3143, ISNUMBER(
Master_Mapping_Sheet!$E$2:$E$3143),
Master_Mapping_Sheet!$H$2:$H$3143=F$1)))"),0.1143137643384885)</f>
        <v>0.1143137643</v>
      </c>
      <c r="G2" s="34">
        <f>IFERROR(__xludf.DUMMYFUNCTION("IF(ISNA(sum(filter(
Master_Mapping_Sheet!$E$2:$E$3143, ISNUMBER(
Master_Mapping_Sheet!$E$2:$E$3143),
Master_Mapping_Sheet!$H$2:$H$3143=G$1,
Master_Mapping_Sheet!$K$2:$K$3143=VALUE(RIGHT($A2,1))))/sum(filter(
Master_Mapping_Sheet!$E$2:$E$3143, ISNUMBER(
Ma"&amp;"ster_Mapping_Sheet!$E$2:$E$3143),
Master_Mapping_Sheet!$H$2:$H$3143=G$1))), 0, sum(filter(
Master_Mapping_Sheet!$E$2:$E$3143, ISNUMBER(
Master_Mapping_Sheet!$E$2:$E$3143),
Master_Mapping_Sheet!$H$2:$H$3143=G$1,
Master_Mapping_Sheet!$K$2:$K$3143=VALUE(RIGH"&amp;"T($A2,1))))/sum(filter(
Master_Mapping_Sheet!$E$2:$E$3143, ISNUMBER(
Master_Mapping_Sheet!$E$2:$E$3143),
Master_Mapping_Sheet!$H$2:$H$3143=G$1)))"),0.0)</f>
        <v>0</v>
      </c>
      <c r="H2" s="34">
        <f>IFERROR(__xludf.DUMMYFUNCTION("IF(ISNA(sum(filter(
Master_Mapping_Sheet!$E$2:$E$3143, ISNUMBER(
Master_Mapping_Sheet!$E$2:$E$3143),
Master_Mapping_Sheet!$H$2:$H$3143=H$1,
Master_Mapping_Sheet!$K$2:$K$3143=VALUE(RIGHT($A2,1))))/sum(filter(
Master_Mapping_Sheet!$E$2:$E$3143, ISNUMBER(
Ma"&amp;"ster_Mapping_Sheet!$E$2:$E$3143),
Master_Mapping_Sheet!$H$2:$H$3143=H$1))), 0, sum(filter(
Master_Mapping_Sheet!$E$2:$E$3143, ISNUMBER(
Master_Mapping_Sheet!$E$2:$E$3143),
Master_Mapping_Sheet!$H$2:$H$3143=H$1,
Master_Mapping_Sheet!$K$2:$K$3143=VALUE(RIGH"&amp;"T($A2,1))))/sum(filter(
Master_Mapping_Sheet!$E$2:$E$3143, ISNUMBER(
Master_Mapping_Sheet!$E$2:$E$3143),
Master_Mapping_Sheet!$H$2:$H$3143=H$1)))"),0.22743042318585713)</f>
        <v>0.2274304232</v>
      </c>
      <c r="I2" s="34">
        <f>IFERROR(__xludf.DUMMYFUNCTION("IF(ISNA(sum(filter(
Master_Mapping_Sheet!$E$2:$E$3143, ISNUMBER(
Master_Mapping_Sheet!$E$2:$E$3143),
Master_Mapping_Sheet!$H$2:$H$3143=I$1,
Master_Mapping_Sheet!$K$2:$K$3143=VALUE(RIGHT($A2,1))))/sum(filter(
Master_Mapping_Sheet!$E$2:$E$3143, ISNUMBER(
Ma"&amp;"ster_Mapping_Sheet!$E$2:$E$3143),
Master_Mapping_Sheet!$H$2:$H$3143=I$1))), 0, sum(filter(
Master_Mapping_Sheet!$E$2:$E$3143, ISNUMBER(
Master_Mapping_Sheet!$E$2:$E$3143),
Master_Mapping_Sheet!$H$2:$H$3143=I$1,
Master_Mapping_Sheet!$K$2:$K$3143=VALUE(RIGH"&amp;"T($A2,1))))/sum(filter(
Master_Mapping_Sheet!$E$2:$E$3143, ISNUMBER(
Master_Mapping_Sheet!$E$2:$E$3143),
Master_Mapping_Sheet!$H$2:$H$3143=I$1)))"),0.0)</f>
        <v>0</v>
      </c>
      <c r="J2" s="34">
        <f>IFERROR(__xludf.DUMMYFUNCTION("IF(ISNA(sum(filter(
Master_Mapping_Sheet!$E$2:$E$3143, ISNUMBER(
Master_Mapping_Sheet!$E$2:$E$3143),
Master_Mapping_Sheet!$H$2:$H$3143=J$1,
Master_Mapping_Sheet!$K$2:$K$3143=VALUE(RIGHT($A2,1))))/sum(filter(
Master_Mapping_Sheet!$E$2:$E$3143, ISNUMBER(
Ma"&amp;"ster_Mapping_Sheet!$E$2:$E$3143),
Master_Mapping_Sheet!$H$2:$H$3143=J$1))), 0, sum(filter(
Master_Mapping_Sheet!$E$2:$E$3143, ISNUMBER(
Master_Mapping_Sheet!$E$2:$E$3143),
Master_Mapping_Sheet!$H$2:$H$3143=J$1,
Master_Mapping_Sheet!$K$2:$K$3143=VALUE(RIGH"&amp;"T($A2,1))))/sum(filter(
Master_Mapping_Sheet!$E$2:$E$3143, ISNUMBER(
Master_Mapping_Sheet!$E$2:$E$3143),
Master_Mapping_Sheet!$H$2:$H$3143=J$1)))"),0.2831150583641693)</f>
        <v>0.2831150584</v>
      </c>
      <c r="K2" s="34">
        <f>IFERROR(__xludf.DUMMYFUNCTION("IF(ISNA(sum(filter(
Master_Mapping_Sheet!$E$2:$E$3143, ISNUMBER(
Master_Mapping_Sheet!$E$2:$E$3143),
Master_Mapping_Sheet!$H$2:$H$3143=K$1,
Master_Mapping_Sheet!$K$2:$K$3143=VALUE(RIGHT($A2,1))))/sum(filter(
Master_Mapping_Sheet!$E$2:$E$3143, ISNUMBER(
Ma"&amp;"ster_Mapping_Sheet!$E$2:$E$3143),
Master_Mapping_Sheet!$H$2:$H$3143=K$1))), 0, sum(filter(
Master_Mapping_Sheet!$E$2:$E$3143, ISNUMBER(
Master_Mapping_Sheet!$E$2:$E$3143),
Master_Mapping_Sheet!$H$2:$H$3143=K$1,
Master_Mapping_Sheet!$K$2:$K$3143=VALUE(RIGH"&amp;"T($A2,1))))/sum(filter(
Master_Mapping_Sheet!$E$2:$E$3143, ISNUMBER(
Master_Mapping_Sheet!$E$2:$E$3143),
Master_Mapping_Sheet!$H$2:$H$3143=K$1)))"),0.01589697291303059)</f>
        <v>0.01589697291</v>
      </c>
      <c r="L2" s="34">
        <f>IFERROR(__xludf.DUMMYFUNCTION("IF(ISNA(sum(filter(
Master_Mapping_Sheet!$E$2:$E$3143, ISNUMBER(
Master_Mapping_Sheet!$E$2:$E$3143),
Master_Mapping_Sheet!$H$2:$H$3143=L$1,
Master_Mapping_Sheet!$K$2:$K$3143=VALUE(RIGHT($A2,1))))/sum(filter(
Master_Mapping_Sheet!$E$2:$E$3143, ISNUMBER(
Ma"&amp;"ster_Mapping_Sheet!$E$2:$E$3143),
Master_Mapping_Sheet!$H$2:$H$3143=L$1))), 0, sum(filter(
Master_Mapping_Sheet!$E$2:$E$3143, ISNUMBER(
Master_Mapping_Sheet!$E$2:$E$3143),
Master_Mapping_Sheet!$H$2:$H$3143=L$1,
Master_Mapping_Sheet!$K$2:$K$3143=VALUE(RIGH"&amp;"T($A2,1))))/sum(filter(
Master_Mapping_Sheet!$E$2:$E$3143, ISNUMBER(
Master_Mapping_Sheet!$E$2:$E$3143),
Master_Mapping_Sheet!$H$2:$H$3143=L$1)))"),0.0)</f>
        <v>0</v>
      </c>
      <c r="M2" s="34">
        <f>IFERROR(__xludf.DUMMYFUNCTION("IF(ISNA(sum(filter(
Master_Mapping_Sheet!$E$2:$E$3143, ISNUMBER(
Master_Mapping_Sheet!$E$2:$E$3143),
Master_Mapping_Sheet!$H$2:$H$3143=M$1,
Master_Mapping_Sheet!$K$2:$K$3143=VALUE(RIGHT($A2,1))))/sum(filter(
Master_Mapping_Sheet!$E$2:$E$3143, ISNUMBER(
Ma"&amp;"ster_Mapping_Sheet!$E$2:$E$3143),
Master_Mapping_Sheet!$H$2:$H$3143=M$1))), 0, sum(filter(
Master_Mapping_Sheet!$E$2:$E$3143, ISNUMBER(
Master_Mapping_Sheet!$E$2:$E$3143),
Master_Mapping_Sheet!$H$2:$H$3143=M$1,
Master_Mapping_Sheet!$K$2:$K$3143=VALUE(RIGH"&amp;"T($A2,1))))/sum(filter(
Master_Mapping_Sheet!$E$2:$E$3143, ISNUMBER(
Master_Mapping_Sheet!$E$2:$E$3143),
Master_Mapping_Sheet!$H$2:$H$3143=M$1)))"),0.0)</f>
        <v>0</v>
      </c>
      <c r="N2" s="34">
        <f>IFERROR(__xludf.DUMMYFUNCTION("IF(ISNA(sum(filter(
Master_Mapping_Sheet!$E$2:$E$3143, ISNUMBER(
Master_Mapping_Sheet!$E$2:$E$3143),
Master_Mapping_Sheet!$H$2:$H$3143=N$1,
Master_Mapping_Sheet!$K$2:$K$3143=VALUE(RIGHT($A2,1))))/sum(filter(
Master_Mapping_Sheet!$E$2:$E$3143, ISNUMBER(
Ma"&amp;"ster_Mapping_Sheet!$E$2:$E$3143),
Master_Mapping_Sheet!$H$2:$H$3143=N$1))), 0, sum(filter(
Master_Mapping_Sheet!$E$2:$E$3143, ISNUMBER(
Master_Mapping_Sheet!$E$2:$E$3143),
Master_Mapping_Sheet!$H$2:$H$3143=N$1,
Master_Mapping_Sheet!$K$2:$K$3143=VALUE(RIGH"&amp;"T($A2,1))))/sum(filter(
Master_Mapping_Sheet!$E$2:$E$3143, ISNUMBER(
Master_Mapping_Sheet!$E$2:$E$3143),
Master_Mapping_Sheet!$H$2:$H$3143=N$1)))"),0.0)</f>
        <v>0</v>
      </c>
      <c r="O2" s="34">
        <f>IFERROR(__xludf.DUMMYFUNCTION("IF(ISNA(sum(filter(
Master_Mapping_Sheet!$E$2:$E$3143, ISNUMBER(
Master_Mapping_Sheet!$E$2:$E$3143),
Master_Mapping_Sheet!$H$2:$H$3143=O$1,
Master_Mapping_Sheet!$K$2:$K$3143=VALUE(RIGHT($A2,1))))/sum(filter(
Master_Mapping_Sheet!$E$2:$E$3143, ISNUMBER(
Ma"&amp;"ster_Mapping_Sheet!$E$2:$E$3143),
Master_Mapping_Sheet!$H$2:$H$3143=O$1))), 0, sum(filter(
Master_Mapping_Sheet!$E$2:$E$3143, ISNUMBER(
Master_Mapping_Sheet!$E$2:$E$3143),
Master_Mapping_Sheet!$H$2:$H$3143=O$1,
Master_Mapping_Sheet!$K$2:$K$3143=VALUE(RIGH"&amp;"T($A2,1))))/sum(filter(
Master_Mapping_Sheet!$E$2:$E$3143, ISNUMBER(
Master_Mapping_Sheet!$E$2:$E$3143),
Master_Mapping_Sheet!$H$2:$H$3143=O$1)))"),0.0)</f>
        <v>0</v>
      </c>
      <c r="P2" s="34">
        <f>IFERROR(__xludf.DUMMYFUNCTION("IF(ISNA(sum(filter(
Master_Mapping_Sheet!$E$2:$E$3143, ISNUMBER(
Master_Mapping_Sheet!$E$2:$E$3143),
Master_Mapping_Sheet!$H$2:$H$3143=P$1,
Master_Mapping_Sheet!$K$2:$K$3143=VALUE(RIGHT($A2,1))))/sum(filter(
Master_Mapping_Sheet!$E$2:$E$3143, ISNUMBER(
Ma"&amp;"ster_Mapping_Sheet!$E$2:$E$3143),
Master_Mapping_Sheet!$H$2:$H$3143=P$1))), 0, sum(filter(
Master_Mapping_Sheet!$E$2:$E$3143, ISNUMBER(
Master_Mapping_Sheet!$E$2:$E$3143),
Master_Mapping_Sheet!$H$2:$H$3143=P$1,
Master_Mapping_Sheet!$K$2:$K$3143=VALUE(RIGH"&amp;"T($A2,1))))/sum(filter(
Master_Mapping_Sheet!$E$2:$E$3143, ISNUMBER(
Master_Mapping_Sheet!$E$2:$E$3143),
Master_Mapping_Sheet!$H$2:$H$3143=P$1)))"),0.0)</f>
        <v>0</v>
      </c>
      <c r="Q2" s="34">
        <f>IFERROR(__xludf.DUMMYFUNCTION("IF(ISNA(sum(filter(
Master_Mapping_Sheet!$E$2:$E$3143, ISNUMBER(
Master_Mapping_Sheet!$E$2:$E$3143),
Master_Mapping_Sheet!$H$2:$H$3143=Q$1,
Master_Mapping_Sheet!$K$2:$K$3143=VALUE(RIGHT($A2,1))))/sum(filter(
Master_Mapping_Sheet!$E$2:$E$3143, ISNUMBER(
Ma"&amp;"ster_Mapping_Sheet!$E$2:$E$3143),
Master_Mapping_Sheet!$H$2:$H$3143=Q$1))), 0, sum(filter(
Master_Mapping_Sheet!$E$2:$E$3143, ISNUMBER(
Master_Mapping_Sheet!$E$2:$E$3143),
Master_Mapping_Sheet!$H$2:$H$3143=Q$1,
Master_Mapping_Sheet!$K$2:$K$3143=VALUE(RIGH"&amp;"T($A2,1))))/sum(filter(
Master_Mapping_Sheet!$E$2:$E$3143, ISNUMBER(
Master_Mapping_Sheet!$E$2:$E$3143),
Master_Mapping_Sheet!$H$2:$H$3143=Q$1)))"),0.0)</f>
        <v>0</v>
      </c>
      <c r="R2" s="34">
        <f>IFERROR(__xludf.DUMMYFUNCTION("IF(ISNA(sum(filter(
Master_Mapping_Sheet!$E$2:$E$3143, ISNUMBER(
Master_Mapping_Sheet!$E$2:$E$3143),
Master_Mapping_Sheet!$H$2:$H$3143=R$1,
Master_Mapping_Sheet!$K$2:$K$3143=VALUE(RIGHT($A2,1))))/sum(filter(
Master_Mapping_Sheet!$E$2:$E$3143, ISNUMBER(
Ma"&amp;"ster_Mapping_Sheet!$E$2:$E$3143),
Master_Mapping_Sheet!$H$2:$H$3143=R$1))), 0, sum(filter(
Master_Mapping_Sheet!$E$2:$E$3143, ISNUMBER(
Master_Mapping_Sheet!$E$2:$E$3143),
Master_Mapping_Sheet!$H$2:$H$3143=R$1,
Master_Mapping_Sheet!$K$2:$K$3143=VALUE(RIGH"&amp;"T($A2,1))))/sum(filter(
Master_Mapping_Sheet!$E$2:$E$3143, ISNUMBER(
Master_Mapping_Sheet!$E$2:$E$3143),
Master_Mapping_Sheet!$H$2:$H$3143=R$1)))"),0.0)</f>
        <v>0</v>
      </c>
      <c r="S2" s="34">
        <f>IFERROR(__xludf.DUMMYFUNCTION("IF(ISNA(sum(filter(
Master_Mapping_Sheet!$E$2:$E$3143, ISNUMBER(
Master_Mapping_Sheet!$E$2:$E$3143),
Master_Mapping_Sheet!$H$2:$H$3143=S$1,
Master_Mapping_Sheet!$K$2:$K$3143=VALUE(RIGHT($A2,1))))/sum(filter(
Master_Mapping_Sheet!$E$2:$E$3143, ISNUMBER(
Ma"&amp;"ster_Mapping_Sheet!$E$2:$E$3143),
Master_Mapping_Sheet!$H$2:$H$3143=S$1))), 0, sum(filter(
Master_Mapping_Sheet!$E$2:$E$3143, ISNUMBER(
Master_Mapping_Sheet!$E$2:$E$3143),
Master_Mapping_Sheet!$H$2:$H$3143=S$1,
Master_Mapping_Sheet!$K$2:$K$3143=VALUE(RIGH"&amp;"T($A2,1))))/sum(filter(
Master_Mapping_Sheet!$E$2:$E$3143, ISNUMBER(
Master_Mapping_Sheet!$E$2:$E$3143),
Master_Mapping_Sheet!$H$2:$H$3143=S$1)))"),0.0)</f>
        <v>0</v>
      </c>
      <c r="T2" s="34">
        <f>IFERROR(__xludf.DUMMYFUNCTION("IF(ISNA(sum(filter(
Master_Mapping_Sheet!$E$2:$E$3143, ISNUMBER(
Master_Mapping_Sheet!$E$2:$E$3143),
Master_Mapping_Sheet!$H$2:$H$3143=T$1,
Master_Mapping_Sheet!$K$2:$K$3143=VALUE(RIGHT($A2,1))))/sum(filter(
Master_Mapping_Sheet!$E$2:$E$3143, ISNUMBER(
Ma"&amp;"ster_Mapping_Sheet!$E$2:$E$3143),
Master_Mapping_Sheet!$H$2:$H$3143=T$1))), 0, sum(filter(
Master_Mapping_Sheet!$E$2:$E$3143, ISNUMBER(
Master_Mapping_Sheet!$E$2:$E$3143),
Master_Mapping_Sheet!$H$2:$H$3143=T$1,
Master_Mapping_Sheet!$K$2:$K$3143=VALUE(RIGH"&amp;"T($A2,1))))/sum(filter(
Master_Mapping_Sheet!$E$2:$E$3143, ISNUMBER(
Master_Mapping_Sheet!$E$2:$E$3143),
Master_Mapping_Sheet!$H$2:$H$3143=T$1)))"),0.4805415827498573)</f>
        <v>0.4805415827</v>
      </c>
      <c r="U2" s="34">
        <f>IFERROR(__xludf.DUMMYFUNCTION("IF(ISNA(sum(filter(
Master_Mapping_Sheet!$E$2:$E$3143, ISNUMBER(
Master_Mapping_Sheet!$E$2:$E$3143),
Master_Mapping_Sheet!$H$2:$H$3143=U$1,
Master_Mapping_Sheet!$K$2:$K$3143=VALUE(RIGHT($A2,1))))/sum(filter(
Master_Mapping_Sheet!$E$2:$E$3143, ISNUMBER(
Ma"&amp;"ster_Mapping_Sheet!$E$2:$E$3143),
Master_Mapping_Sheet!$H$2:$H$3143=U$1))), 0, sum(filter(
Master_Mapping_Sheet!$E$2:$E$3143, ISNUMBER(
Master_Mapping_Sheet!$E$2:$E$3143),
Master_Mapping_Sheet!$H$2:$H$3143=U$1,
Master_Mapping_Sheet!$K$2:$K$3143=VALUE(RIGH"&amp;"T($A2,1))))/sum(filter(
Master_Mapping_Sheet!$E$2:$E$3143, ISNUMBER(
Master_Mapping_Sheet!$E$2:$E$3143),
Master_Mapping_Sheet!$H$2:$H$3143=U$1)))"),0.0037746748007146487)</f>
        <v>0.003774674801</v>
      </c>
      <c r="V2" s="34">
        <f>IFERROR(__xludf.DUMMYFUNCTION("IF(ISNA(sum(filter(
Master_Mapping_Sheet!$E$2:$E$3143, ISNUMBER(
Master_Mapping_Sheet!$E$2:$E$3143),
Master_Mapping_Sheet!$H$2:$H$3143=V$1,
Master_Mapping_Sheet!$K$2:$K$3143=VALUE(RIGHT($A2,1))))/sum(filter(
Master_Mapping_Sheet!$E$2:$E$3143, ISNUMBER(
Ma"&amp;"ster_Mapping_Sheet!$E$2:$E$3143),
Master_Mapping_Sheet!$H$2:$H$3143=V$1))), 0, sum(filter(
Master_Mapping_Sheet!$E$2:$E$3143, ISNUMBER(
Master_Mapping_Sheet!$E$2:$E$3143),
Master_Mapping_Sheet!$H$2:$H$3143=V$1,
Master_Mapping_Sheet!$K$2:$K$3143=VALUE(RIGH"&amp;"T($A2,1))))/sum(filter(
Master_Mapping_Sheet!$E$2:$E$3143, ISNUMBER(
Master_Mapping_Sheet!$E$2:$E$3143),
Master_Mapping_Sheet!$H$2:$H$3143=V$1)))"),7.282505825366404E-5)</f>
        <v>0.00007282505825</v>
      </c>
      <c r="W2" s="34">
        <f>IFERROR(__xludf.DUMMYFUNCTION("IF(ISNA(sum(filter(
Master_Mapping_Sheet!$E$2:$E$3143, ISNUMBER(
Master_Mapping_Sheet!$E$2:$E$3143),
Master_Mapping_Sheet!$H$2:$H$3143=W$1,
Master_Mapping_Sheet!$K$2:$K$3143=VALUE(RIGHT($A2,1))))/sum(filter(
Master_Mapping_Sheet!$E$2:$E$3143, ISNUMBER(
Ma"&amp;"ster_Mapping_Sheet!$E$2:$E$3143),
Master_Mapping_Sheet!$H$2:$H$3143=W$1))), 0, sum(filter(
Master_Mapping_Sheet!$E$2:$E$3143, ISNUMBER(
Master_Mapping_Sheet!$E$2:$E$3143),
Master_Mapping_Sheet!$H$2:$H$3143=W$1,
Master_Mapping_Sheet!$K$2:$K$3143=VALUE(RIGH"&amp;"T($A2,1))))/sum(filter(
Master_Mapping_Sheet!$E$2:$E$3143, ISNUMBER(
Master_Mapping_Sheet!$E$2:$E$3143),
Master_Mapping_Sheet!$H$2:$H$3143=W$1)))"),5.678006615533898E-4)</f>
        <v>0.0005678006616</v>
      </c>
      <c r="X2" s="34">
        <f>IFERROR(__xludf.DUMMYFUNCTION("IF(ISNA(sum(filter(
Master_Mapping_Sheet!$E$2:$E$3143, ISNUMBER(
Master_Mapping_Sheet!$E$2:$E$3143),
Master_Mapping_Sheet!$H$2:$H$3143=X$1,
Master_Mapping_Sheet!$K$2:$K$3143=VALUE(RIGHT($A2,1))))/sum(filter(
Master_Mapping_Sheet!$E$2:$E$3143, ISNUMBER(
Ma"&amp;"ster_Mapping_Sheet!$E$2:$E$3143),
Master_Mapping_Sheet!$H$2:$H$3143=X$1))), 0, sum(filter(
Master_Mapping_Sheet!$E$2:$E$3143, ISNUMBER(
Master_Mapping_Sheet!$E$2:$E$3143),
Master_Mapping_Sheet!$H$2:$H$3143=X$1,
Master_Mapping_Sheet!$K$2:$K$3143=VALUE(RIGH"&amp;"T($A2,1))))/sum(filter(
Master_Mapping_Sheet!$E$2:$E$3143, ISNUMBER(
Master_Mapping_Sheet!$E$2:$E$3143),
Master_Mapping_Sheet!$H$2:$H$3143=X$1)))"),0.0986087498063016)</f>
        <v>0.09860874981</v>
      </c>
      <c r="Y2" s="34">
        <f>IFERROR(__xludf.DUMMYFUNCTION("IF(ISNA(sum(filter(
Master_Mapping_Sheet!$E$2:$E$3143, ISNUMBER(
Master_Mapping_Sheet!$E$2:$E$3143),
Master_Mapping_Sheet!$H$2:$H$3143=Y$1,
Master_Mapping_Sheet!$K$2:$K$3143=VALUE(RIGHT($A2,1))))/sum(filter(
Master_Mapping_Sheet!$E$2:$E$3143, ISNUMBER(
Ma"&amp;"ster_Mapping_Sheet!$E$2:$E$3143),
Master_Mapping_Sheet!$H$2:$H$3143=Y$1))), 0, sum(filter(
Master_Mapping_Sheet!$E$2:$E$3143, ISNUMBER(
Master_Mapping_Sheet!$E$2:$E$3143),
Master_Mapping_Sheet!$H$2:$H$3143=Y$1,
Master_Mapping_Sheet!$K$2:$K$3143=VALUE(RIGH"&amp;"T($A2,1))))/sum(filter(
Master_Mapping_Sheet!$E$2:$E$3143, ISNUMBER(
Master_Mapping_Sheet!$E$2:$E$3143),
Master_Mapping_Sheet!$H$2:$H$3143=Y$1)))"),0.12407685639533877)</f>
        <v>0.1240768564</v>
      </c>
      <c r="Z2" s="34">
        <f>IFERROR(__xludf.DUMMYFUNCTION("IF(ISNA(sum(filter(
Master_Mapping_Sheet!$E$2:$E$3143, ISNUMBER(
Master_Mapping_Sheet!$E$2:$E$3143),
Master_Mapping_Sheet!$H$2:$H$3143=Z$1,
Master_Mapping_Sheet!$K$2:$K$3143=VALUE(RIGHT($A2,1))))/sum(filter(
Master_Mapping_Sheet!$E$2:$E$3143, ISNUMBER(
Ma"&amp;"ster_Mapping_Sheet!$E$2:$E$3143),
Master_Mapping_Sheet!$H$2:$H$3143=Z$1))), 0, sum(filter(
Master_Mapping_Sheet!$E$2:$E$3143, ISNUMBER(
Master_Mapping_Sheet!$E$2:$E$3143),
Master_Mapping_Sheet!$H$2:$H$3143=Z$1,
Master_Mapping_Sheet!$K$2:$K$3143=VALUE(RIGH"&amp;"T($A2,1))))/sum(filter(
Master_Mapping_Sheet!$E$2:$E$3143, ISNUMBER(
Master_Mapping_Sheet!$E$2:$E$3143),
Master_Mapping_Sheet!$H$2:$H$3143=Z$1)))"),0.1423594366594481)</f>
        <v>0.1423594367</v>
      </c>
    </row>
    <row r="3" ht="15.75" customHeight="1">
      <c r="A3" s="45" t="s">
        <v>4247</v>
      </c>
      <c r="B3" s="34">
        <f>IFERROR(__xludf.DUMMYFUNCTION("IF(ISNA(sum(filter(
Master_Mapping_Sheet!$E$2:$E$3143, ISNUMBER(
Master_Mapping_Sheet!$E$2:$E$3143),
Master_Mapping_Sheet!$H$2:$H$3143=B$1,
Master_Mapping_Sheet!$K$2:$K$3143=VALUE(RIGHT($A3,1))))/sum(filter(
Master_Mapping_Sheet!$E$2:$E$3143, ISNUMBER(
Ma"&amp;"ster_Mapping_Sheet!$E$2:$E$3143),
Master_Mapping_Sheet!$H$2:$H$3143=B$1))), 0, sum(filter(
Master_Mapping_Sheet!$E$2:$E$3143, ISNUMBER(
Master_Mapping_Sheet!$E$2:$E$3143),
Master_Mapping_Sheet!$H$2:$H$3143=B$1,
Master_Mapping_Sheet!$K$2:$K$3143=VALUE(RIGH"&amp;"T($A3,1))))/sum(filter(
Master_Mapping_Sheet!$E$2:$E$3143, ISNUMBER(
Master_Mapping_Sheet!$E$2:$E$3143),
Master_Mapping_Sheet!$H$2:$H$3143=B$1)))"),0.0)</f>
        <v>0</v>
      </c>
      <c r="C3" s="34">
        <f>IFERROR(__xludf.DUMMYFUNCTION("IF(ISNA(sum(filter(
Master_Mapping_Sheet!$E$2:$E$3143, ISNUMBER(
Master_Mapping_Sheet!$E$2:$E$3143),
Master_Mapping_Sheet!$H$2:$H$3143=C$1,
Master_Mapping_Sheet!$K$2:$K$3143=VALUE(RIGHT($A3,1))))/sum(filter(
Master_Mapping_Sheet!$E$2:$E$3143, ISNUMBER(
Ma"&amp;"ster_Mapping_Sheet!$E$2:$E$3143),
Master_Mapping_Sheet!$H$2:$H$3143=C$1))), 0, sum(filter(
Master_Mapping_Sheet!$E$2:$E$3143, ISNUMBER(
Master_Mapping_Sheet!$E$2:$E$3143),
Master_Mapping_Sheet!$H$2:$H$3143=C$1,
Master_Mapping_Sheet!$K$2:$K$3143=VALUE(RIGH"&amp;"T($A3,1))))/sum(filter(
Master_Mapping_Sheet!$E$2:$E$3143, ISNUMBER(
Master_Mapping_Sheet!$E$2:$E$3143),
Master_Mapping_Sheet!$H$2:$H$3143=C$1)))"),0.0)</f>
        <v>0</v>
      </c>
      <c r="D3" s="34">
        <f>IFERROR(__xludf.DUMMYFUNCTION("IF(ISNA(sum(filter(
Master_Mapping_Sheet!$E$2:$E$3143, ISNUMBER(
Master_Mapping_Sheet!$E$2:$E$3143),
Master_Mapping_Sheet!$H$2:$H$3143=D$1,
Master_Mapping_Sheet!$K$2:$K$3143=VALUE(RIGHT($A3,1))))/sum(filter(
Master_Mapping_Sheet!$E$2:$E$3143, ISNUMBER(
Ma"&amp;"ster_Mapping_Sheet!$E$2:$E$3143),
Master_Mapping_Sheet!$H$2:$H$3143=D$1))), 0, sum(filter(
Master_Mapping_Sheet!$E$2:$E$3143, ISNUMBER(
Master_Mapping_Sheet!$E$2:$E$3143),
Master_Mapping_Sheet!$H$2:$H$3143=D$1,
Master_Mapping_Sheet!$K$2:$K$3143=VALUE(RIGH"&amp;"T($A3,1))))/sum(filter(
Master_Mapping_Sheet!$E$2:$E$3143, ISNUMBER(
Master_Mapping_Sheet!$E$2:$E$3143),
Master_Mapping_Sheet!$H$2:$H$3143=D$1)))"),0.14975834478321895)</f>
        <v>0.1497583448</v>
      </c>
      <c r="E3" s="34">
        <f>IFERROR(__xludf.DUMMYFUNCTION("IF(ISNA(sum(filter(
Master_Mapping_Sheet!$E$2:$E$3143, ISNUMBER(
Master_Mapping_Sheet!$E$2:$E$3143),
Master_Mapping_Sheet!$H$2:$H$3143=E$1,
Master_Mapping_Sheet!$K$2:$K$3143=VALUE(RIGHT($A3,1))))/sum(filter(
Master_Mapping_Sheet!$E$2:$E$3143, ISNUMBER(
Ma"&amp;"ster_Mapping_Sheet!$E$2:$E$3143),
Master_Mapping_Sheet!$H$2:$H$3143=E$1))), 0, sum(filter(
Master_Mapping_Sheet!$E$2:$E$3143, ISNUMBER(
Master_Mapping_Sheet!$E$2:$E$3143),
Master_Mapping_Sheet!$H$2:$H$3143=E$1,
Master_Mapping_Sheet!$K$2:$K$3143=VALUE(RIGH"&amp;"T($A3,1))))/sum(filter(
Master_Mapping_Sheet!$E$2:$E$3143, ISNUMBER(
Master_Mapping_Sheet!$E$2:$E$3143),
Master_Mapping_Sheet!$H$2:$H$3143=E$1)))"),0.4832729699145379)</f>
        <v>0.4832729699</v>
      </c>
      <c r="F3" s="34">
        <f>IFERROR(__xludf.DUMMYFUNCTION("IF(ISNA(sum(filter(
Master_Mapping_Sheet!$E$2:$E$3143, ISNUMBER(
Master_Mapping_Sheet!$E$2:$E$3143),
Master_Mapping_Sheet!$H$2:$H$3143=F$1,
Master_Mapping_Sheet!$K$2:$K$3143=VALUE(RIGHT($A3,1))))/sum(filter(
Master_Mapping_Sheet!$E$2:$E$3143, ISNUMBER(
Ma"&amp;"ster_Mapping_Sheet!$E$2:$E$3143),
Master_Mapping_Sheet!$H$2:$H$3143=F$1))), 0, sum(filter(
Master_Mapping_Sheet!$E$2:$E$3143, ISNUMBER(
Master_Mapping_Sheet!$E$2:$E$3143),
Master_Mapping_Sheet!$H$2:$H$3143=F$1,
Master_Mapping_Sheet!$K$2:$K$3143=VALUE(RIGH"&amp;"T($A3,1))))/sum(filter(
Master_Mapping_Sheet!$E$2:$E$3143, ISNUMBER(
Master_Mapping_Sheet!$E$2:$E$3143),
Master_Mapping_Sheet!$H$2:$H$3143=F$1)))"),0.8856862356615115)</f>
        <v>0.8856862357</v>
      </c>
      <c r="G3" s="34">
        <f>IFERROR(__xludf.DUMMYFUNCTION("IF(ISNA(sum(filter(
Master_Mapping_Sheet!$E$2:$E$3143, ISNUMBER(
Master_Mapping_Sheet!$E$2:$E$3143),
Master_Mapping_Sheet!$H$2:$H$3143=G$1,
Master_Mapping_Sheet!$K$2:$K$3143=VALUE(RIGHT($A3,1))))/sum(filter(
Master_Mapping_Sheet!$E$2:$E$3143, ISNUMBER(
Ma"&amp;"ster_Mapping_Sheet!$E$2:$E$3143),
Master_Mapping_Sheet!$H$2:$H$3143=G$1))), 0, sum(filter(
Master_Mapping_Sheet!$E$2:$E$3143, ISNUMBER(
Master_Mapping_Sheet!$E$2:$E$3143),
Master_Mapping_Sheet!$H$2:$H$3143=G$1,
Master_Mapping_Sheet!$K$2:$K$3143=VALUE(RIGH"&amp;"T($A3,1))))/sum(filter(
Master_Mapping_Sheet!$E$2:$E$3143, ISNUMBER(
Master_Mapping_Sheet!$E$2:$E$3143),
Master_Mapping_Sheet!$H$2:$H$3143=G$1)))"),0.0)</f>
        <v>0</v>
      </c>
      <c r="H3" s="34">
        <f>IFERROR(__xludf.DUMMYFUNCTION("IF(ISNA(sum(filter(
Master_Mapping_Sheet!$E$2:$E$3143, ISNUMBER(
Master_Mapping_Sheet!$E$2:$E$3143),
Master_Mapping_Sheet!$H$2:$H$3143=H$1,
Master_Mapping_Sheet!$K$2:$K$3143=VALUE(RIGHT($A3,1))))/sum(filter(
Master_Mapping_Sheet!$E$2:$E$3143, ISNUMBER(
Ma"&amp;"ster_Mapping_Sheet!$E$2:$E$3143),
Master_Mapping_Sheet!$H$2:$H$3143=H$1))), 0, sum(filter(
Master_Mapping_Sheet!$E$2:$E$3143, ISNUMBER(
Master_Mapping_Sheet!$E$2:$E$3143),
Master_Mapping_Sheet!$H$2:$H$3143=H$1,
Master_Mapping_Sheet!$K$2:$K$3143=VALUE(RIGH"&amp;"T($A3,1))))/sum(filter(
Master_Mapping_Sheet!$E$2:$E$3143, ISNUMBER(
Master_Mapping_Sheet!$E$2:$E$3143),
Master_Mapping_Sheet!$H$2:$H$3143=H$1)))"),0.7725695768141428)</f>
        <v>0.7725695768</v>
      </c>
      <c r="I3" s="34">
        <f>IFERROR(__xludf.DUMMYFUNCTION("IF(ISNA(sum(filter(
Master_Mapping_Sheet!$E$2:$E$3143, ISNUMBER(
Master_Mapping_Sheet!$E$2:$E$3143),
Master_Mapping_Sheet!$H$2:$H$3143=I$1,
Master_Mapping_Sheet!$K$2:$K$3143=VALUE(RIGHT($A3,1))))/sum(filter(
Master_Mapping_Sheet!$E$2:$E$3143, ISNUMBER(
Ma"&amp;"ster_Mapping_Sheet!$E$2:$E$3143),
Master_Mapping_Sheet!$H$2:$H$3143=I$1))), 0, sum(filter(
Master_Mapping_Sheet!$E$2:$E$3143, ISNUMBER(
Master_Mapping_Sheet!$E$2:$E$3143),
Master_Mapping_Sheet!$H$2:$H$3143=I$1,
Master_Mapping_Sheet!$K$2:$K$3143=VALUE(RIGH"&amp;"T($A3,1))))/sum(filter(
Master_Mapping_Sheet!$E$2:$E$3143, ISNUMBER(
Master_Mapping_Sheet!$E$2:$E$3143),
Master_Mapping_Sheet!$H$2:$H$3143=I$1)))"),0.13059791392474523)</f>
        <v>0.1305979139</v>
      </c>
      <c r="J3" s="34">
        <f>IFERROR(__xludf.DUMMYFUNCTION("IF(ISNA(sum(filter(
Master_Mapping_Sheet!$E$2:$E$3143, ISNUMBER(
Master_Mapping_Sheet!$E$2:$E$3143),
Master_Mapping_Sheet!$H$2:$H$3143=J$1,
Master_Mapping_Sheet!$K$2:$K$3143=VALUE(RIGHT($A3,1))))/sum(filter(
Master_Mapping_Sheet!$E$2:$E$3143, ISNUMBER(
Ma"&amp;"ster_Mapping_Sheet!$E$2:$E$3143),
Master_Mapping_Sheet!$H$2:$H$3143=J$1))), 0, sum(filter(
Master_Mapping_Sheet!$E$2:$E$3143, ISNUMBER(
Master_Mapping_Sheet!$E$2:$E$3143),
Master_Mapping_Sheet!$H$2:$H$3143=J$1,
Master_Mapping_Sheet!$K$2:$K$3143=VALUE(RIGH"&amp;"T($A3,1))))/sum(filter(
Master_Mapping_Sheet!$E$2:$E$3143, ISNUMBER(
Master_Mapping_Sheet!$E$2:$E$3143),
Master_Mapping_Sheet!$H$2:$H$3143=J$1)))"),0.7168849416358307)</f>
        <v>0.7168849416</v>
      </c>
      <c r="K3" s="34">
        <f>IFERROR(__xludf.DUMMYFUNCTION("IF(ISNA(sum(filter(
Master_Mapping_Sheet!$E$2:$E$3143, ISNUMBER(
Master_Mapping_Sheet!$E$2:$E$3143),
Master_Mapping_Sheet!$H$2:$H$3143=K$1,
Master_Mapping_Sheet!$K$2:$K$3143=VALUE(RIGHT($A3,1))))/sum(filter(
Master_Mapping_Sheet!$E$2:$E$3143, ISNUMBER(
Ma"&amp;"ster_Mapping_Sheet!$E$2:$E$3143),
Master_Mapping_Sheet!$H$2:$H$3143=K$1))), 0, sum(filter(
Master_Mapping_Sheet!$E$2:$E$3143, ISNUMBER(
Master_Mapping_Sheet!$E$2:$E$3143),
Master_Mapping_Sheet!$H$2:$H$3143=K$1,
Master_Mapping_Sheet!$K$2:$K$3143=VALUE(RIGH"&amp;"T($A3,1))))/sum(filter(
Master_Mapping_Sheet!$E$2:$E$3143, ISNUMBER(
Master_Mapping_Sheet!$E$2:$E$3143),
Master_Mapping_Sheet!$H$2:$H$3143=K$1)))"),0.2799270560190517)</f>
        <v>0.279927056</v>
      </c>
      <c r="L3" s="34">
        <f>IFERROR(__xludf.DUMMYFUNCTION("IF(ISNA(sum(filter(
Master_Mapping_Sheet!$E$2:$E$3143, ISNUMBER(
Master_Mapping_Sheet!$E$2:$E$3143),
Master_Mapping_Sheet!$H$2:$H$3143=L$1,
Master_Mapping_Sheet!$K$2:$K$3143=VALUE(RIGHT($A3,1))))/sum(filter(
Master_Mapping_Sheet!$E$2:$E$3143, ISNUMBER(
Ma"&amp;"ster_Mapping_Sheet!$E$2:$E$3143),
Master_Mapping_Sheet!$H$2:$H$3143=L$1))), 0, sum(filter(
Master_Mapping_Sheet!$E$2:$E$3143, ISNUMBER(
Master_Mapping_Sheet!$E$2:$E$3143),
Master_Mapping_Sheet!$H$2:$H$3143=L$1,
Master_Mapping_Sheet!$K$2:$K$3143=VALUE(RIGH"&amp;"T($A3,1))))/sum(filter(
Master_Mapping_Sheet!$E$2:$E$3143, ISNUMBER(
Master_Mapping_Sheet!$E$2:$E$3143),
Master_Mapping_Sheet!$H$2:$H$3143=L$1)))"),0.7389741589825044)</f>
        <v>0.738974159</v>
      </c>
      <c r="M3" s="34">
        <f>IFERROR(__xludf.DUMMYFUNCTION("IF(ISNA(sum(filter(
Master_Mapping_Sheet!$E$2:$E$3143, ISNUMBER(
Master_Mapping_Sheet!$E$2:$E$3143),
Master_Mapping_Sheet!$H$2:$H$3143=M$1,
Master_Mapping_Sheet!$K$2:$K$3143=VALUE(RIGHT($A3,1))))/sum(filter(
Master_Mapping_Sheet!$E$2:$E$3143, ISNUMBER(
Ma"&amp;"ster_Mapping_Sheet!$E$2:$E$3143),
Master_Mapping_Sheet!$H$2:$H$3143=M$1))), 0, sum(filter(
Master_Mapping_Sheet!$E$2:$E$3143, ISNUMBER(
Master_Mapping_Sheet!$E$2:$E$3143),
Master_Mapping_Sheet!$H$2:$H$3143=M$1,
Master_Mapping_Sheet!$K$2:$K$3143=VALUE(RIGH"&amp;"T($A3,1))))/sum(filter(
Master_Mapping_Sheet!$E$2:$E$3143, ISNUMBER(
Master_Mapping_Sheet!$E$2:$E$3143),
Master_Mapping_Sheet!$H$2:$H$3143=M$1)))"),1.0)</f>
        <v>1</v>
      </c>
      <c r="N3" s="34">
        <f>IFERROR(__xludf.DUMMYFUNCTION("IF(ISNA(sum(filter(
Master_Mapping_Sheet!$E$2:$E$3143, ISNUMBER(
Master_Mapping_Sheet!$E$2:$E$3143),
Master_Mapping_Sheet!$H$2:$H$3143=N$1,
Master_Mapping_Sheet!$K$2:$K$3143=VALUE(RIGHT($A3,1))))/sum(filter(
Master_Mapping_Sheet!$E$2:$E$3143, ISNUMBER(
Ma"&amp;"ster_Mapping_Sheet!$E$2:$E$3143),
Master_Mapping_Sheet!$H$2:$H$3143=N$1))), 0, sum(filter(
Master_Mapping_Sheet!$E$2:$E$3143, ISNUMBER(
Master_Mapping_Sheet!$E$2:$E$3143),
Master_Mapping_Sheet!$H$2:$H$3143=N$1,
Master_Mapping_Sheet!$K$2:$K$3143=VALUE(RIGH"&amp;"T($A3,1))))/sum(filter(
Master_Mapping_Sheet!$E$2:$E$3143, ISNUMBER(
Master_Mapping_Sheet!$E$2:$E$3143),
Master_Mapping_Sheet!$H$2:$H$3143=N$1)))"),0.0)</f>
        <v>0</v>
      </c>
      <c r="O3" s="34">
        <f>IFERROR(__xludf.DUMMYFUNCTION("IF(ISNA(sum(filter(
Master_Mapping_Sheet!$E$2:$E$3143, ISNUMBER(
Master_Mapping_Sheet!$E$2:$E$3143),
Master_Mapping_Sheet!$H$2:$H$3143=O$1,
Master_Mapping_Sheet!$K$2:$K$3143=VALUE(RIGHT($A3,1))))/sum(filter(
Master_Mapping_Sheet!$E$2:$E$3143, ISNUMBER(
Ma"&amp;"ster_Mapping_Sheet!$E$2:$E$3143),
Master_Mapping_Sheet!$H$2:$H$3143=O$1))), 0, sum(filter(
Master_Mapping_Sheet!$E$2:$E$3143, ISNUMBER(
Master_Mapping_Sheet!$E$2:$E$3143),
Master_Mapping_Sheet!$H$2:$H$3143=O$1,
Master_Mapping_Sheet!$K$2:$K$3143=VALUE(RIGH"&amp;"T($A3,1))))/sum(filter(
Master_Mapping_Sheet!$E$2:$E$3143, ISNUMBER(
Master_Mapping_Sheet!$E$2:$E$3143),
Master_Mapping_Sheet!$H$2:$H$3143=O$1)))"),0.0)</f>
        <v>0</v>
      </c>
      <c r="P3" s="34">
        <f>IFERROR(__xludf.DUMMYFUNCTION("IF(ISNA(sum(filter(
Master_Mapping_Sheet!$E$2:$E$3143, ISNUMBER(
Master_Mapping_Sheet!$E$2:$E$3143),
Master_Mapping_Sheet!$H$2:$H$3143=P$1,
Master_Mapping_Sheet!$K$2:$K$3143=VALUE(RIGHT($A3,1))))/sum(filter(
Master_Mapping_Sheet!$E$2:$E$3143, ISNUMBER(
Ma"&amp;"ster_Mapping_Sheet!$E$2:$E$3143),
Master_Mapping_Sheet!$H$2:$H$3143=P$1))), 0, sum(filter(
Master_Mapping_Sheet!$E$2:$E$3143, ISNUMBER(
Master_Mapping_Sheet!$E$2:$E$3143),
Master_Mapping_Sheet!$H$2:$H$3143=P$1,
Master_Mapping_Sheet!$K$2:$K$3143=VALUE(RIGH"&amp;"T($A3,1))))/sum(filter(
Master_Mapping_Sheet!$E$2:$E$3143, ISNUMBER(
Master_Mapping_Sheet!$E$2:$E$3143),
Master_Mapping_Sheet!$H$2:$H$3143=P$1)))"),0.0)</f>
        <v>0</v>
      </c>
      <c r="Q3" s="34">
        <f>IFERROR(__xludf.DUMMYFUNCTION("IF(ISNA(sum(filter(
Master_Mapping_Sheet!$E$2:$E$3143, ISNUMBER(
Master_Mapping_Sheet!$E$2:$E$3143),
Master_Mapping_Sheet!$H$2:$H$3143=Q$1,
Master_Mapping_Sheet!$K$2:$K$3143=VALUE(RIGHT($A3,1))))/sum(filter(
Master_Mapping_Sheet!$E$2:$E$3143, ISNUMBER(
Ma"&amp;"ster_Mapping_Sheet!$E$2:$E$3143),
Master_Mapping_Sheet!$H$2:$H$3143=Q$1))), 0, sum(filter(
Master_Mapping_Sheet!$E$2:$E$3143, ISNUMBER(
Master_Mapping_Sheet!$E$2:$E$3143),
Master_Mapping_Sheet!$H$2:$H$3143=Q$1,
Master_Mapping_Sheet!$K$2:$K$3143=VALUE(RIGH"&amp;"T($A3,1))))/sum(filter(
Master_Mapping_Sheet!$E$2:$E$3143, ISNUMBER(
Master_Mapping_Sheet!$E$2:$E$3143),
Master_Mapping_Sheet!$H$2:$H$3143=Q$1)))"),0.0)</f>
        <v>0</v>
      </c>
      <c r="R3" s="34">
        <f>IFERROR(__xludf.DUMMYFUNCTION("IF(ISNA(sum(filter(
Master_Mapping_Sheet!$E$2:$E$3143, ISNUMBER(
Master_Mapping_Sheet!$E$2:$E$3143),
Master_Mapping_Sheet!$H$2:$H$3143=R$1,
Master_Mapping_Sheet!$K$2:$K$3143=VALUE(RIGHT($A3,1))))/sum(filter(
Master_Mapping_Sheet!$E$2:$E$3143, ISNUMBER(
Ma"&amp;"ster_Mapping_Sheet!$E$2:$E$3143),
Master_Mapping_Sheet!$H$2:$H$3143=R$1))), 0, sum(filter(
Master_Mapping_Sheet!$E$2:$E$3143, ISNUMBER(
Master_Mapping_Sheet!$E$2:$E$3143),
Master_Mapping_Sheet!$H$2:$H$3143=R$1,
Master_Mapping_Sheet!$K$2:$K$3143=VALUE(RIGH"&amp;"T($A3,1))))/sum(filter(
Master_Mapping_Sheet!$E$2:$E$3143, ISNUMBER(
Master_Mapping_Sheet!$E$2:$E$3143),
Master_Mapping_Sheet!$H$2:$H$3143=R$1)))"),0.0)</f>
        <v>0</v>
      </c>
      <c r="S3" s="34">
        <f>IFERROR(__xludf.DUMMYFUNCTION("IF(ISNA(sum(filter(
Master_Mapping_Sheet!$E$2:$E$3143, ISNUMBER(
Master_Mapping_Sheet!$E$2:$E$3143),
Master_Mapping_Sheet!$H$2:$H$3143=S$1,
Master_Mapping_Sheet!$K$2:$K$3143=VALUE(RIGHT($A3,1))))/sum(filter(
Master_Mapping_Sheet!$E$2:$E$3143, ISNUMBER(
Ma"&amp;"ster_Mapping_Sheet!$E$2:$E$3143),
Master_Mapping_Sheet!$H$2:$H$3143=S$1))), 0, sum(filter(
Master_Mapping_Sheet!$E$2:$E$3143, ISNUMBER(
Master_Mapping_Sheet!$E$2:$E$3143),
Master_Mapping_Sheet!$H$2:$H$3143=S$1,
Master_Mapping_Sheet!$K$2:$K$3143=VALUE(RIGH"&amp;"T($A3,1))))/sum(filter(
Master_Mapping_Sheet!$E$2:$E$3143, ISNUMBER(
Master_Mapping_Sheet!$E$2:$E$3143),
Master_Mapping_Sheet!$H$2:$H$3143=S$1)))"),0.0662813927452984)</f>
        <v>0.06628139275</v>
      </c>
      <c r="T3" s="34">
        <f>IFERROR(__xludf.DUMMYFUNCTION("IF(ISNA(sum(filter(
Master_Mapping_Sheet!$E$2:$E$3143, ISNUMBER(
Master_Mapping_Sheet!$E$2:$E$3143),
Master_Mapping_Sheet!$H$2:$H$3143=T$1,
Master_Mapping_Sheet!$K$2:$K$3143=VALUE(RIGHT($A3,1))))/sum(filter(
Master_Mapping_Sheet!$E$2:$E$3143, ISNUMBER(
Ma"&amp;"ster_Mapping_Sheet!$E$2:$E$3143),
Master_Mapping_Sheet!$H$2:$H$3143=T$1))), 0, sum(filter(
Master_Mapping_Sheet!$E$2:$E$3143, ISNUMBER(
Master_Mapping_Sheet!$E$2:$E$3143),
Master_Mapping_Sheet!$H$2:$H$3143=T$1,
Master_Mapping_Sheet!$K$2:$K$3143=VALUE(RIGH"&amp;"T($A3,1))))/sum(filter(
Master_Mapping_Sheet!$E$2:$E$3143, ISNUMBER(
Master_Mapping_Sheet!$E$2:$E$3143),
Master_Mapping_Sheet!$H$2:$H$3143=T$1)))"),0.5194584172501427)</f>
        <v>0.5194584173</v>
      </c>
      <c r="U3" s="34">
        <f>IFERROR(__xludf.DUMMYFUNCTION("IF(ISNA(sum(filter(
Master_Mapping_Sheet!$E$2:$E$3143, ISNUMBER(
Master_Mapping_Sheet!$E$2:$E$3143),
Master_Mapping_Sheet!$H$2:$H$3143=U$1,
Master_Mapping_Sheet!$K$2:$K$3143=VALUE(RIGHT($A3,1))))/sum(filter(
Master_Mapping_Sheet!$E$2:$E$3143, ISNUMBER(
Ma"&amp;"ster_Mapping_Sheet!$E$2:$E$3143),
Master_Mapping_Sheet!$H$2:$H$3143=U$1))), 0, sum(filter(
Master_Mapping_Sheet!$E$2:$E$3143, ISNUMBER(
Master_Mapping_Sheet!$E$2:$E$3143),
Master_Mapping_Sheet!$H$2:$H$3143=U$1,
Master_Mapping_Sheet!$K$2:$K$3143=VALUE(RIGH"&amp;"T($A3,1))))/sum(filter(
Master_Mapping_Sheet!$E$2:$E$3143, ISNUMBER(
Master_Mapping_Sheet!$E$2:$E$3143),
Master_Mapping_Sheet!$H$2:$H$3143=U$1)))"),0.07007171176721166)</f>
        <v>0.07007171177</v>
      </c>
      <c r="V3" s="34">
        <f>IFERROR(__xludf.DUMMYFUNCTION("IF(ISNA(sum(filter(
Master_Mapping_Sheet!$E$2:$E$3143, ISNUMBER(
Master_Mapping_Sheet!$E$2:$E$3143),
Master_Mapping_Sheet!$H$2:$H$3143=V$1,
Master_Mapping_Sheet!$K$2:$K$3143=VALUE(RIGHT($A3,1))))/sum(filter(
Master_Mapping_Sheet!$E$2:$E$3143, ISNUMBER(
Ma"&amp;"ster_Mapping_Sheet!$E$2:$E$3143),
Master_Mapping_Sheet!$H$2:$H$3143=V$1))), 0, sum(filter(
Master_Mapping_Sheet!$E$2:$E$3143, ISNUMBER(
Master_Mapping_Sheet!$E$2:$E$3143),
Master_Mapping_Sheet!$H$2:$H$3143=V$1,
Master_Mapping_Sheet!$K$2:$K$3143=VALUE(RIGH"&amp;"T($A3,1))))/sum(filter(
Master_Mapping_Sheet!$E$2:$E$3143, ISNUMBER(
Master_Mapping_Sheet!$E$2:$E$3143),
Master_Mapping_Sheet!$H$2:$H$3143=V$1)))"),0.0012210483693697166)</f>
        <v>0.001221048369</v>
      </c>
      <c r="W3" s="34">
        <f>IFERROR(__xludf.DUMMYFUNCTION("IF(ISNA(sum(filter(
Master_Mapping_Sheet!$E$2:$E$3143, ISNUMBER(
Master_Mapping_Sheet!$E$2:$E$3143),
Master_Mapping_Sheet!$H$2:$H$3143=W$1,
Master_Mapping_Sheet!$K$2:$K$3143=VALUE(RIGHT($A3,1))))/sum(filter(
Master_Mapping_Sheet!$E$2:$E$3143, ISNUMBER(
Ma"&amp;"ster_Mapping_Sheet!$E$2:$E$3143),
Master_Mapping_Sheet!$H$2:$H$3143=W$1))), 0, sum(filter(
Master_Mapping_Sheet!$E$2:$E$3143, ISNUMBER(
Master_Mapping_Sheet!$E$2:$E$3143),
Master_Mapping_Sheet!$H$2:$H$3143=W$1,
Master_Mapping_Sheet!$K$2:$K$3143=VALUE(RIGH"&amp;"T($A3,1))))/sum(filter(
Master_Mapping_Sheet!$E$2:$E$3143, ISNUMBER(
Master_Mapping_Sheet!$E$2:$E$3143),
Master_Mapping_Sheet!$H$2:$H$3143=W$1)))"),0.0)</f>
        <v>0</v>
      </c>
      <c r="X3" s="34">
        <f>IFERROR(__xludf.DUMMYFUNCTION("IF(ISNA(sum(filter(
Master_Mapping_Sheet!$E$2:$E$3143, ISNUMBER(
Master_Mapping_Sheet!$E$2:$E$3143),
Master_Mapping_Sheet!$H$2:$H$3143=X$1,
Master_Mapping_Sheet!$K$2:$K$3143=VALUE(RIGHT($A3,1))))/sum(filter(
Master_Mapping_Sheet!$E$2:$E$3143, ISNUMBER(
Ma"&amp;"ster_Mapping_Sheet!$E$2:$E$3143),
Master_Mapping_Sheet!$H$2:$H$3143=X$1))), 0, sum(filter(
Master_Mapping_Sheet!$E$2:$E$3143, ISNUMBER(
Master_Mapping_Sheet!$E$2:$E$3143),
Master_Mapping_Sheet!$H$2:$H$3143=X$1,
Master_Mapping_Sheet!$K$2:$K$3143=VALUE(RIGH"&amp;"T($A3,1))))/sum(filter(
Master_Mapping_Sheet!$E$2:$E$3143, ISNUMBER(
Master_Mapping_Sheet!$E$2:$E$3143),
Master_Mapping_Sheet!$H$2:$H$3143=X$1)))"),0.18252498984689933)</f>
        <v>0.1825249898</v>
      </c>
      <c r="Y3" s="34">
        <f>IFERROR(__xludf.DUMMYFUNCTION("IF(ISNA(sum(filter(
Master_Mapping_Sheet!$E$2:$E$3143, ISNUMBER(
Master_Mapping_Sheet!$E$2:$E$3143),
Master_Mapping_Sheet!$H$2:$H$3143=Y$1,
Master_Mapping_Sheet!$K$2:$K$3143=VALUE(RIGHT($A3,1))))/sum(filter(
Master_Mapping_Sheet!$E$2:$E$3143, ISNUMBER(
Ma"&amp;"ster_Mapping_Sheet!$E$2:$E$3143),
Master_Mapping_Sheet!$H$2:$H$3143=Y$1))), 0, sum(filter(
Master_Mapping_Sheet!$E$2:$E$3143, ISNUMBER(
Master_Mapping_Sheet!$E$2:$E$3143),
Master_Mapping_Sheet!$H$2:$H$3143=Y$1,
Master_Mapping_Sheet!$K$2:$K$3143=VALUE(RIGH"&amp;"T($A3,1))))/sum(filter(
Master_Mapping_Sheet!$E$2:$E$3143, ISNUMBER(
Master_Mapping_Sheet!$E$2:$E$3143),
Master_Mapping_Sheet!$H$2:$H$3143=Y$1)))"),0.8309768150188711)</f>
        <v>0.830976815</v>
      </c>
      <c r="Z3" s="34">
        <f>IFERROR(__xludf.DUMMYFUNCTION("IF(ISNA(sum(filter(
Master_Mapping_Sheet!$E$2:$E$3143, ISNUMBER(
Master_Mapping_Sheet!$E$2:$E$3143),
Master_Mapping_Sheet!$H$2:$H$3143=Z$1,
Master_Mapping_Sheet!$K$2:$K$3143=VALUE(RIGHT($A3,1))))/sum(filter(
Master_Mapping_Sheet!$E$2:$E$3143, ISNUMBER(
Ma"&amp;"ster_Mapping_Sheet!$E$2:$E$3143),
Master_Mapping_Sheet!$H$2:$H$3143=Z$1))), 0, sum(filter(
Master_Mapping_Sheet!$E$2:$E$3143, ISNUMBER(
Master_Mapping_Sheet!$E$2:$E$3143),
Master_Mapping_Sheet!$H$2:$H$3143=Z$1,
Master_Mapping_Sheet!$K$2:$K$3143=VALUE(RIGH"&amp;"T($A3,1))))/sum(filter(
Master_Mapping_Sheet!$E$2:$E$3143, ISNUMBER(
Master_Mapping_Sheet!$E$2:$E$3143),
Master_Mapping_Sheet!$H$2:$H$3143=Z$1)))"),0.550538746558457)</f>
        <v>0.5505387466</v>
      </c>
    </row>
    <row r="4" ht="15.75" customHeight="1">
      <c r="A4" s="45" t="s">
        <v>4248</v>
      </c>
      <c r="B4" s="34">
        <f>IFERROR(__xludf.DUMMYFUNCTION("IF(ISNA(sum(filter(
Master_Mapping_Sheet!$E$2:$E$3143, ISNUMBER(
Master_Mapping_Sheet!$E$2:$E$3143),
Master_Mapping_Sheet!$H$2:$H$3143=B$1,
Master_Mapping_Sheet!$K$2:$K$3143=VALUE(RIGHT($A4,1))))/sum(filter(
Master_Mapping_Sheet!$E$2:$E$3143, ISNUMBER(
Ma"&amp;"ster_Mapping_Sheet!$E$2:$E$3143),
Master_Mapping_Sheet!$H$2:$H$3143=B$1))), 0, sum(filter(
Master_Mapping_Sheet!$E$2:$E$3143, ISNUMBER(
Master_Mapping_Sheet!$E$2:$E$3143),
Master_Mapping_Sheet!$H$2:$H$3143=B$1,
Master_Mapping_Sheet!$K$2:$K$3143=VALUE(RIGH"&amp;"T($A4,1))))/sum(filter(
Master_Mapping_Sheet!$E$2:$E$3143, ISNUMBER(
Master_Mapping_Sheet!$E$2:$E$3143),
Master_Mapping_Sheet!$H$2:$H$3143=B$1)))"),0.0)</f>
        <v>0</v>
      </c>
      <c r="C4" s="34">
        <f>IFERROR(__xludf.DUMMYFUNCTION("IF(ISNA(sum(filter(
Master_Mapping_Sheet!$E$2:$E$3143, ISNUMBER(
Master_Mapping_Sheet!$E$2:$E$3143),
Master_Mapping_Sheet!$H$2:$H$3143=C$1,
Master_Mapping_Sheet!$K$2:$K$3143=VALUE(RIGHT($A4,1))))/sum(filter(
Master_Mapping_Sheet!$E$2:$E$3143, ISNUMBER(
Ma"&amp;"ster_Mapping_Sheet!$E$2:$E$3143),
Master_Mapping_Sheet!$H$2:$H$3143=C$1))), 0, sum(filter(
Master_Mapping_Sheet!$E$2:$E$3143, ISNUMBER(
Master_Mapping_Sheet!$E$2:$E$3143),
Master_Mapping_Sheet!$H$2:$H$3143=C$1,
Master_Mapping_Sheet!$K$2:$K$3143=VALUE(RIGH"&amp;"T($A4,1))))/sum(filter(
Master_Mapping_Sheet!$E$2:$E$3143, ISNUMBER(
Master_Mapping_Sheet!$E$2:$E$3143),
Master_Mapping_Sheet!$H$2:$H$3143=C$1)))"),0.0)</f>
        <v>0</v>
      </c>
      <c r="D4" s="34">
        <f>IFERROR(__xludf.DUMMYFUNCTION("IF(ISNA(sum(filter(
Master_Mapping_Sheet!$E$2:$E$3143, ISNUMBER(
Master_Mapping_Sheet!$E$2:$E$3143),
Master_Mapping_Sheet!$H$2:$H$3143=D$1,
Master_Mapping_Sheet!$K$2:$K$3143=VALUE(RIGHT($A4,1))))/sum(filter(
Master_Mapping_Sheet!$E$2:$E$3143, ISNUMBER(
Ma"&amp;"ster_Mapping_Sheet!$E$2:$E$3143),
Master_Mapping_Sheet!$H$2:$H$3143=D$1))), 0, sum(filter(
Master_Mapping_Sheet!$E$2:$E$3143, ISNUMBER(
Master_Mapping_Sheet!$E$2:$E$3143),
Master_Mapping_Sheet!$H$2:$H$3143=D$1,
Master_Mapping_Sheet!$K$2:$K$3143=VALUE(RIGH"&amp;"T($A4,1))))/sum(filter(
Master_Mapping_Sheet!$E$2:$E$3143, ISNUMBER(
Master_Mapping_Sheet!$E$2:$E$3143),
Master_Mapping_Sheet!$H$2:$H$3143=D$1)))"),0.0)</f>
        <v>0</v>
      </c>
      <c r="E4" s="34">
        <f>IFERROR(__xludf.DUMMYFUNCTION("IF(ISNA(sum(filter(
Master_Mapping_Sheet!$E$2:$E$3143, ISNUMBER(
Master_Mapping_Sheet!$E$2:$E$3143),
Master_Mapping_Sheet!$H$2:$H$3143=E$1,
Master_Mapping_Sheet!$K$2:$K$3143=VALUE(RIGHT($A4,1))))/sum(filter(
Master_Mapping_Sheet!$E$2:$E$3143, ISNUMBER(
Ma"&amp;"ster_Mapping_Sheet!$E$2:$E$3143),
Master_Mapping_Sheet!$H$2:$H$3143=E$1))), 0, sum(filter(
Master_Mapping_Sheet!$E$2:$E$3143, ISNUMBER(
Master_Mapping_Sheet!$E$2:$E$3143),
Master_Mapping_Sheet!$H$2:$H$3143=E$1,
Master_Mapping_Sheet!$K$2:$K$3143=VALUE(RIGH"&amp;"T($A4,1))))/sum(filter(
Master_Mapping_Sheet!$E$2:$E$3143, ISNUMBER(
Master_Mapping_Sheet!$E$2:$E$3143),
Master_Mapping_Sheet!$H$2:$H$3143=E$1)))"),0.5167270300854621)</f>
        <v>0.5167270301</v>
      </c>
      <c r="F4" s="34">
        <f>IFERROR(__xludf.DUMMYFUNCTION("IF(ISNA(sum(filter(
Master_Mapping_Sheet!$E$2:$E$3143, ISNUMBER(
Master_Mapping_Sheet!$E$2:$E$3143),
Master_Mapping_Sheet!$H$2:$H$3143=F$1,
Master_Mapping_Sheet!$K$2:$K$3143=VALUE(RIGHT($A4,1))))/sum(filter(
Master_Mapping_Sheet!$E$2:$E$3143, ISNUMBER(
Ma"&amp;"ster_Mapping_Sheet!$E$2:$E$3143),
Master_Mapping_Sheet!$H$2:$H$3143=F$1))), 0, sum(filter(
Master_Mapping_Sheet!$E$2:$E$3143, ISNUMBER(
Master_Mapping_Sheet!$E$2:$E$3143),
Master_Mapping_Sheet!$H$2:$H$3143=F$1,
Master_Mapping_Sheet!$K$2:$K$3143=VALUE(RIGH"&amp;"T($A4,1))))/sum(filter(
Master_Mapping_Sheet!$E$2:$E$3143, ISNUMBER(
Master_Mapping_Sheet!$E$2:$E$3143),
Master_Mapping_Sheet!$H$2:$H$3143=F$1)))"),0.0)</f>
        <v>0</v>
      </c>
      <c r="G4" s="34">
        <f>IFERROR(__xludf.DUMMYFUNCTION("IF(ISNA(sum(filter(
Master_Mapping_Sheet!$E$2:$E$3143, ISNUMBER(
Master_Mapping_Sheet!$E$2:$E$3143),
Master_Mapping_Sheet!$H$2:$H$3143=G$1,
Master_Mapping_Sheet!$K$2:$K$3143=VALUE(RIGHT($A4,1))))/sum(filter(
Master_Mapping_Sheet!$E$2:$E$3143, ISNUMBER(
Ma"&amp;"ster_Mapping_Sheet!$E$2:$E$3143),
Master_Mapping_Sheet!$H$2:$H$3143=G$1))), 0, sum(filter(
Master_Mapping_Sheet!$E$2:$E$3143, ISNUMBER(
Master_Mapping_Sheet!$E$2:$E$3143),
Master_Mapping_Sheet!$H$2:$H$3143=G$1,
Master_Mapping_Sheet!$K$2:$K$3143=VALUE(RIGH"&amp;"T($A4,1))))/sum(filter(
Master_Mapping_Sheet!$E$2:$E$3143, ISNUMBER(
Master_Mapping_Sheet!$E$2:$E$3143),
Master_Mapping_Sheet!$H$2:$H$3143=G$1)))"),0.013302856811786681)</f>
        <v>0.01330285681</v>
      </c>
      <c r="H4" s="34">
        <f>IFERROR(__xludf.DUMMYFUNCTION("IF(ISNA(sum(filter(
Master_Mapping_Sheet!$E$2:$E$3143, ISNUMBER(
Master_Mapping_Sheet!$E$2:$E$3143),
Master_Mapping_Sheet!$H$2:$H$3143=H$1,
Master_Mapping_Sheet!$K$2:$K$3143=VALUE(RIGHT($A4,1))))/sum(filter(
Master_Mapping_Sheet!$E$2:$E$3143, ISNUMBER(
Ma"&amp;"ster_Mapping_Sheet!$E$2:$E$3143),
Master_Mapping_Sheet!$H$2:$H$3143=H$1))), 0, sum(filter(
Master_Mapping_Sheet!$E$2:$E$3143, ISNUMBER(
Master_Mapping_Sheet!$E$2:$E$3143),
Master_Mapping_Sheet!$H$2:$H$3143=H$1,
Master_Mapping_Sheet!$K$2:$K$3143=VALUE(RIGH"&amp;"T($A4,1))))/sum(filter(
Master_Mapping_Sheet!$E$2:$E$3143, ISNUMBER(
Master_Mapping_Sheet!$E$2:$E$3143),
Master_Mapping_Sheet!$H$2:$H$3143=H$1)))"),0.0)</f>
        <v>0</v>
      </c>
      <c r="I4" s="34">
        <f>IFERROR(__xludf.DUMMYFUNCTION("IF(ISNA(sum(filter(
Master_Mapping_Sheet!$E$2:$E$3143, ISNUMBER(
Master_Mapping_Sheet!$E$2:$E$3143),
Master_Mapping_Sheet!$H$2:$H$3143=I$1,
Master_Mapping_Sheet!$K$2:$K$3143=VALUE(RIGHT($A4,1))))/sum(filter(
Master_Mapping_Sheet!$E$2:$E$3143, ISNUMBER(
Ma"&amp;"ster_Mapping_Sheet!$E$2:$E$3143),
Master_Mapping_Sheet!$H$2:$H$3143=I$1))), 0, sum(filter(
Master_Mapping_Sheet!$E$2:$E$3143, ISNUMBER(
Master_Mapping_Sheet!$E$2:$E$3143),
Master_Mapping_Sheet!$H$2:$H$3143=I$1,
Master_Mapping_Sheet!$K$2:$K$3143=VALUE(RIGH"&amp;"T($A4,1))))/sum(filter(
Master_Mapping_Sheet!$E$2:$E$3143, ISNUMBER(
Master_Mapping_Sheet!$E$2:$E$3143),
Master_Mapping_Sheet!$H$2:$H$3143=I$1)))"),0.8694020860752547)</f>
        <v>0.8694020861</v>
      </c>
      <c r="J4" s="34">
        <f>IFERROR(__xludf.DUMMYFUNCTION("IF(ISNA(sum(filter(
Master_Mapping_Sheet!$E$2:$E$3143, ISNUMBER(
Master_Mapping_Sheet!$E$2:$E$3143),
Master_Mapping_Sheet!$H$2:$H$3143=J$1,
Master_Mapping_Sheet!$K$2:$K$3143=VALUE(RIGHT($A4,1))))/sum(filter(
Master_Mapping_Sheet!$E$2:$E$3143, ISNUMBER(
Ma"&amp;"ster_Mapping_Sheet!$E$2:$E$3143),
Master_Mapping_Sheet!$H$2:$H$3143=J$1))), 0, sum(filter(
Master_Mapping_Sheet!$E$2:$E$3143, ISNUMBER(
Master_Mapping_Sheet!$E$2:$E$3143),
Master_Mapping_Sheet!$H$2:$H$3143=J$1,
Master_Mapping_Sheet!$K$2:$K$3143=VALUE(RIGH"&amp;"T($A4,1))))/sum(filter(
Master_Mapping_Sheet!$E$2:$E$3143, ISNUMBER(
Master_Mapping_Sheet!$E$2:$E$3143),
Master_Mapping_Sheet!$H$2:$H$3143=J$1)))"),0.0)</f>
        <v>0</v>
      </c>
      <c r="K4" s="34">
        <f>IFERROR(__xludf.DUMMYFUNCTION("IF(ISNA(sum(filter(
Master_Mapping_Sheet!$E$2:$E$3143, ISNUMBER(
Master_Mapping_Sheet!$E$2:$E$3143),
Master_Mapping_Sheet!$H$2:$H$3143=K$1,
Master_Mapping_Sheet!$K$2:$K$3143=VALUE(RIGHT($A4,1))))/sum(filter(
Master_Mapping_Sheet!$E$2:$E$3143, ISNUMBER(
Ma"&amp;"ster_Mapping_Sheet!$E$2:$E$3143),
Master_Mapping_Sheet!$H$2:$H$3143=K$1))), 0, sum(filter(
Master_Mapping_Sheet!$E$2:$E$3143, ISNUMBER(
Master_Mapping_Sheet!$E$2:$E$3143),
Master_Mapping_Sheet!$H$2:$H$3143=K$1,
Master_Mapping_Sheet!$K$2:$K$3143=VALUE(RIGH"&amp;"T($A4,1))))/sum(filter(
Master_Mapping_Sheet!$E$2:$E$3143, ISNUMBER(
Master_Mapping_Sheet!$E$2:$E$3143),
Master_Mapping_Sheet!$H$2:$H$3143=K$1)))"),0.702408829492039)</f>
        <v>0.7024088295</v>
      </c>
      <c r="L4" s="34">
        <f>IFERROR(__xludf.DUMMYFUNCTION("IF(ISNA(sum(filter(
Master_Mapping_Sheet!$E$2:$E$3143, ISNUMBER(
Master_Mapping_Sheet!$E$2:$E$3143),
Master_Mapping_Sheet!$H$2:$H$3143=L$1,
Master_Mapping_Sheet!$K$2:$K$3143=VALUE(RIGHT($A4,1))))/sum(filter(
Master_Mapping_Sheet!$E$2:$E$3143, ISNUMBER(
Ma"&amp;"ster_Mapping_Sheet!$E$2:$E$3143),
Master_Mapping_Sheet!$H$2:$H$3143=L$1))), 0, sum(filter(
Master_Mapping_Sheet!$E$2:$E$3143, ISNUMBER(
Master_Mapping_Sheet!$E$2:$E$3143),
Master_Mapping_Sheet!$H$2:$H$3143=L$1,
Master_Mapping_Sheet!$K$2:$K$3143=VALUE(RIGH"&amp;"T($A4,1))))/sum(filter(
Master_Mapping_Sheet!$E$2:$E$3143, ISNUMBER(
Master_Mapping_Sheet!$E$2:$E$3143),
Master_Mapping_Sheet!$H$2:$H$3143=L$1)))"),0.2610258410174956)</f>
        <v>0.261025841</v>
      </c>
      <c r="M4" s="34">
        <f>IFERROR(__xludf.DUMMYFUNCTION("IF(ISNA(sum(filter(
Master_Mapping_Sheet!$E$2:$E$3143, ISNUMBER(
Master_Mapping_Sheet!$E$2:$E$3143),
Master_Mapping_Sheet!$H$2:$H$3143=M$1,
Master_Mapping_Sheet!$K$2:$K$3143=VALUE(RIGHT($A4,1))))/sum(filter(
Master_Mapping_Sheet!$E$2:$E$3143, ISNUMBER(
Ma"&amp;"ster_Mapping_Sheet!$E$2:$E$3143),
Master_Mapping_Sheet!$H$2:$H$3143=M$1))), 0, sum(filter(
Master_Mapping_Sheet!$E$2:$E$3143, ISNUMBER(
Master_Mapping_Sheet!$E$2:$E$3143),
Master_Mapping_Sheet!$H$2:$H$3143=M$1,
Master_Mapping_Sheet!$K$2:$K$3143=VALUE(RIGH"&amp;"T($A4,1))))/sum(filter(
Master_Mapping_Sheet!$E$2:$E$3143, ISNUMBER(
Master_Mapping_Sheet!$E$2:$E$3143),
Master_Mapping_Sheet!$H$2:$H$3143=M$1)))"),0.0)</f>
        <v>0</v>
      </c>
      <c r="N4" s="34">
        <f>IFERROR(__xludf.DUMMYFUNCTION("IF(ISNA(sum(filter(
Master_Mapping_Sheet!$E$2:$E$3143, ISNUMBER(
Master_Mapping_Sheet!$E$2:$E$3143),
Master_Mapping_Sheet!$H$2:$H$3143=N$1,
Master_Mapping_Sheet!$K$2:$K$3143=VALUE(RIGHT($A4,1))))/sum(filter(
Master_Mapping_Sheet!$E$2:$E$3143, ISNUMBER(
Ma"&amp;"ster_Mapping_Sheet!$E$2:$E$3143),
Master_Mapping_Sheet!$H$2:$H$3143=N$1))), 0, sum(filter(
Master_Mapping_Sheet!$E$2:$E$3143, ISNUMBER(
Master_Mapping_Sheet!$E$2:$E$3143),
Master_Mapping_Sheet!$H$2:$H$3143=N$1,
Master_Mapping_Sheet!$K$2:$K$3143=VALUE(RIGH"&amp;"T($A4,1))))/sum(filter(
Master_Mapping_Sheet!$E$2:$E$3143, ISNUMBER(
Master_Mapping_Sheet!$E$2:$E$3143),
Master_Mapping_Sheet!$H$2:$H$3143=N$1)))"),0.5656147128525696)</f>
        <v>0.5656147129</v>
      </c>
      <c r="O4" s="34">
        <f>IFERROR(__xludf.DUMMYFUNCTION("IF(ISNA(sum(filter(
Master_Mapping_Sheet!$E$2:$E$3143, ISNUMBER(
Master_Mapping_Sheet!$E$2:$E$3143),
Master_Mapping_Sheet!$H$2:$H$3143=O$1,
Master_Mapping_Sheet!$K$2:$K$3143=VALUE(RIGHT($A4,1))))/sum(filter(
Master_Mapping_Sheet!$E$2:$E$3143, ISNUMBER(
Ma"&amp;"ster_Mapping_Sheet!$E$2:$E$3143),
Master_Mapping_Sheet!$H$2:$H$3143=O$1))), 0, sum(filter(
Master_Mapping_Sheet!$E$2:$E$3143, ISNUMBER(
Master_Mapping_Sheet!$E$2:$E$3143),
Master_Mapping_Sheet!$H$2:$H$3143=O$1,
Master_Mapping_Sheet!$K$2:$K$3143=VALUE(RIGH"&amp;"T($A4,1))))/sum(filter(
Master_Mapping_Sheet!$E$2:$E$3143, ISNUMBER(
Master_Mapping_Sheet!$E$2:$E$3143),
Master_Mapping_Sheet!$H$2:$H$3143=O$1)))"),0.06407110465832148)</f>
        <v>0.06407110466</v>
      </c>
      <c r="P4" s="34">
        <f>IFERROR(__xludf.DUMMYFUNCTION("IF(ISNA(sum(filter(
Master_Mapping_Sheet!$E$2:$E$3143, ISNUMBER(
Master_Mapping_Sheet!$E$2:$E$3143),
Master_Mapping_Sheet!$H$2:$H$3143=P$1,
Master_Mapping_Sheet!$K$2:$K$3143=VALUE(RIGHT($A4,1))))/sum(filter(
Master_Mapping_Sheet!$E$2:$E$3143, ISNUMBER(
Ma"&amp;"ster_Mapping_Sheet!$E$2:$E$3143),
Master_Mapping_Sheet!$H$2:$H$3143=P$1))), 0, sum(filter(
Master_Mapping_Sheet!$E$2:$E$3143, ISNUMBER(
Master_Mapping_Sheet!$E$2:$E$3143),
Master_Mapping_Sheet!$H$2:$H$3143=P$1,
Master_Mapping_Sheet!$K$2:$K$3143=VALUE(RIGH"&amp;"T($A4,1))))/sum(filter(
Master_Mapping_Sheet!$E$2:$E$3143, ISNUMBER(
Master_Mapping_Sheet!$E$2:$E$3143),
Master_Mapping_Sheet!$H$2:$H$3143=P$1)))"),0.0)</f>
        <v>0</v>
      </c>
      <c r="Q4" s="34">
        <f>IFERROR(__xludf.DUMMYFUNCTION("IF(ISNA(sum(filter(
Master_Mapping_Sheet!$E$2:$E$3143, ISNUMBER(
Master_Mapping_Sheet!$E$2:$E$3143),
Master_Mapping_Sheet!$H$2:$H$3143=Q$1,
Master_Mapping_Sheet!$K$2:$K$3143=VALUE(RIGHT($A4,1))))/sum(filter(
Master_Mapping_Sheet!$E$2:$E$3143, ISNUMBER(
Ma"&amp;"ster_Mapping_Sheet!$E$2:$E$3143),
Master_Mapping_Sheet!$H$2:$H$3143=Q$1))), 0, sum(filter(
Master_Mapping_Sheet!$E$2:$E$3143, ISNUMBER(
Master_Mapping_Sheet!$E$2:$E$3143),
Master_Mapping_Sheet!$H$2:$H$3143=Q$1,
Master_Mapping_Sheet!$K$2:$K$3143=VALUE(RIGH"&amp;"T($A4,1))))/sum(filter(
Master_Mapping_Sheet!$E$2:$E$3143, ISNUMBER(
Master_Mapping_Sheet!$E$2:$E$3143),
Master_Mapping_Sheet!$H$2:$H$3143=Q$1)))"),0.5355733750560251)</f>
        <v>0.5355733751</v>
      </c>
      <c r="R4" s="34">
        <f>IFERROR(__xludf.DUMMYFUNCTION("IF(ISNA(sum(filter(
Master_Mapping_Sheet!$E$2:$E$3143, ISNUMBER(
Master_Mapping_Sheet!$E$2:$E$3143),
Master_Mapping_Sheet!$H$2:$H$3143=R$1,
Master_Mapping_Sheet!$K$2:$K$3143=VALUE(RIGHT($A4,1))))/sum(filter(
Master_Mapping_Sheet!$E$2:$E$3143, ISNUMBER(
Ma"&amp;"ster_Mapping_Sheet!$E$2:$E$3143),
Master_Mapping_Sheet!$H$2:$H$3143=R$1))), 0, sum(filter(
Master_Mapping_Sheet!$E$2:$E$3143, ISNUMBER(
Master_Mapping_Sheet!$E$2:$E$3143),
Master_Mapping_Sheet!$H$2:$H$3143=R$1,
Master_Mapping_Sheet!$K$2:$K$3143=VALUE(RIGH"&amp;"T($A4,1))))/sum(filter(
Master_Mapping_Sheet!$E$2:$E$3143, ISNUMBER(
Master_Mapping_Sheet!$E$2:$E$3143),
Master_Mapping_Sheet!$H$2:$H$3143=R$1)))"),0.18465129108781084)</f>
        <v>0.1846512911</v>
      </c>
      <c r="S4" s="34">
        <f>IFERROR(__xludf.DUMMYFUNCTION("IF(ISNA(sum(filter(
Master_Mapping_Sheet!$E$2:$E$3143, ISNUMBER(
Master_Mapping_Sheet!$E$2:$E$3143),
Master_Mapping_Sheet!$H$2:$H$3143=S$1,
Master_Mapping_Sheet!$K$2:$K$3143=VALUE(RIGHT($A4,1))))/sum(filter(
Master_Mapping_Sheet!$E$2:$E$3143, ISNUMBER(
Ma"&amp;"ster_Mapping_Sheet!$E$2:$E$3143),
Master_Mapping_Sheet!$H$2:$H$3143=S$1))), 0, sum(filter(
Master_Mapping_Sheet!$E$2:$E$3143, ISNUMBER(
Master_Mapping_Sheet!$E$2:$E$3143),
Master_Mapping_Sheet!$H$2:$H$3143=S$1,
Master_Mapping_Sheet!$K$2:$K$3143=VALUE(RIGH"&amp;"T($A4,1))))/sum(filter(
Master_Mapping_Sheet!$E$2:$E$3143, ISNUMBER(
Master_Mapping_Sheet!$E$2:$E$3143),
Master_Mapping_Sheet!$H$2:$H$3143=S$1)))"),0.9337186072547016)</f>
        <v>0.9337186073</v>
      </c>
      <c r="T4" s="34">
        <f>IFERROR(__xludf.DUMMYFUNCTION("IF(ISNA(sum(filter(
Master_Mapping_Sheet!$E$2:$E$3143, ISNUMBER(
Master_Mapping_Sheet!$E$2:$E$3143),
Master_Mapping_Sheet!$H$2:$H$3143=T$1,
Master_Mapping_Sheet!$K$2:$K$3143=VALUE(RIGHT($A4,1))))/sum(filter(
Master_Mapping_Sheet!$E$2:$E$3143, ISNUMBER(
Ma"&amp;"ster_Mapping_Sheet!$E$2:$E$3143),
Master_Mapping_Sheet!$H$2:$H$3143=T$1))), 0, sum(filter(
Master_Mapping_Sheet!$E$2:$E$3143, ISNUMBER(
Master_Mapping_Sheet!$E$2:$E$3143),
Master_Mapping_Sheet!$H$2:$H$3143=T$1,
Master_Mapping_Sheet!$K$2:$K$3143=VALUE(RIGH"&amp;"T($A4,1))))/sum(filter(
Master_Mapping_Sheet!$E$2:$E$3143, ISNUMBER(
Master_Mapping_Sheet!$E$2:$E$3143),
Master_Mapping_Sheet!$H$2:$H$3143=T$1)))"),0.0)</f>
        <v>0</v>
      </c>
      <c r="U4" s="34">
        <f>IFERROR(__xludf.DUMMYFUNCTION("IF(ISNA(sum(filter(
Master_Mapping_Sheet!$E$2:$E$3143, ISNUMBER(
Master_Mapping_Sheet!$E$2:$E$3143),
Master_Mapping_Sheet!$H$2:$H$3143=U$1,
Master_Mapping_Sheet!$K$2:$K$3143=VALUE(RIGHT($A4,1))))/sum(filter(
Master_Mapping_Sheet!$E$2:$E$3143, ISNUMBER(
Ma"&amp;"ster_Mapping_Sheet!$E$2:$E$3143),
Master_Mapping_Sheet!$H$2:$H$3143=U$1))), 0, sum(filter(
Master_Mapping_Sheet!$E$2:$E$3143, ISNUMBER(
Master_Mapping_Sheet!$E$2:$E$3143),
Master_Mapping_Sheet!$H$2:$H$3143=U$1,
Master_Mapping_Sheet!$K$2:$K$3143=VALUE(RIGH"&amp;"T($A4,1))))/sum(filter(
Master_Mapping_Sheet!$E$2:$E$3143, ISNUMBER(
Master_Mapping_Sheet!$E$2:$E$3143),
Master_Mapping_Sheet!$H$2:$H$3143=U$1)))"),0.11780594675874491)</f>
        <v>0.1178059468</v>
      </c>
      <c r="V4" s="34">
        <f>IFERROR(__xludf.DUMMYFUNCTION("IF(ISNA(sum(filter(
Master_Mapping_Sheet!$E$2:$E$3143, ISNUMBER(
Master_Mapping_Sheet!$E$2:$E$3143),
Master_Mapping_Sheet!$H$2:$H$3143=V$1,
Master_Mapping_Sheet!$K$2:$K$3143=VALUE(RIGHT($A4,1))))/sum(filter(
Master_Mapping_Sheet!$E$2:$E$3143, ISNUMBER(
Ma"&amp;"ster_Mapping_Sheet!$E$2:$E$3143),
Master_Mapping_Sheet!$H$2:$H$3143=V$1))), 0, sum(filter(
Master_Mapping_Sheet!$E$2:$E$3143, ISNUMBER(
Master_Mapping_Sheet!$E$2:$E$3143),
Master_Mapping_Sheet!$H$2:$H$3143=V$1,
Master_Mapping_Sheet!$K$2:$K$3143=VALUE(RIGH"&amp;"T($A4,1))))/sum(filter(
Master_Mapping_Sheet!$E$2:$E$3143, ISNUMBER(
Master_Mapping_Sheet!$E$2:$E$3143),
Master_Mapping_Sheet!$H$2:$H$3143=V$1)))"),0.016268645704113002)</f>
        <v>0.0162686457</v>
      </c>
      <c r="W4" s="34">
        <f>IFERROR(__xludf.DUMMYFUNCTION("IF(ISNA(sum(filter(
Master_Mapping_Sheet!$E$2:$E$3143, ISNUMBER(
Master_Mapping_Sheet!$E$2:$E$3143),
Master_Mapping_Sheet!$H$2:$H$3143=W$1,
Master_Mapping_Sheet!$K$2:$K$3143=VALUE(RIGHT($A4,1))))/sum(filter(
Master_Mapping_Sheet!$E$2:$E$3143, ISNUMBER(
Ma"&amp;"ster_Mapping_Sheet!$E$2:$E$3143),
Master_Mapping_Sheet!$H$2:$H$3143=W$1))), 0, sum(filter(
Master_Mapping_Sheet!$E$2:$E$3143, ISNUMBER(
Master_Mapping_Sheet!$E$2:$E$3143),
Master_Mapping_Sheet!$H$2:$H$3143=W$1,
Master_Mapping_Sheet!$K$2:$K$3143=VALUE(RIGH"&amp;"T($A4,1))))/sum(filter(
Master_Mapping_Sheet!$E$2:$E$3143, ISNUMBER(
Master_Mapping_Sheet!$E$2:$E$3143),
Master_Mapping_Sheet!$H$2:$H$3143=W$1)))"),8.051157857492464E-4)</f>
        <v>0.0008051157857</v>
      </c>
      <c r="X4" s="34">
        <f>IFERROR(__xludf.DUMMYFUNCTION("IF(ISNA(sum(filter(
Master_Mapping_Sheet!$E$2:$E$3143, ISNUMBER(
Master_Mapping_Sheet!$E$2:$E$3143),
Master_Mapping_Sheet!$H$2:$H$3143=X$1,
Master_Mapping_Sheet!$K$2:$K$3143=VALUE(RIGHT($A4,1))))/sum(filter(
Master_Mapping_Sheet!$E$2:$E$3143, ISNUMBER(
Ma"&amp;"ster_Mapping_Sheet!$E$2:$E$3143),
Master_Mapping_Sheet!$H$2:$H$3143=X$1))), 0, sum(filter(
Master_Mapping_Sheet!$E$2:$E$3143, ISNUMBER(
Master_Mapping_Sheet!$E$2:$E$3143),
Master_Mapping_Sheet!$H$2:$H$3143=X$1,
Master_Mapping_Sheet!$K$2:$K$3143=VALUE(RIGH"&amp;"T($A4,1))))/sum(filter(
Master_Mapping_Sheet!$E$2:$E$3143, ISNUMBER(
Master_Mapping_Sheet!$E$2:$E$3143),
Master_Mapping_Sheet!$H$2:$H$3143=X$1)))"),0.7188662603467991)</f>
        <v>0.7188662603</v>
      </c>
      <c r="Y4" s="34">
        <f>IFERROR(__xludf.DUMMYFUNCTION("IF(ISNA(sum(filter(
Master_Mapping_Sheet!$E$2:$E$3143, ISNUMBER(
Master_Mapping_Sheet!$E$2:$E$3143),
Master_Mapping_Sheet!$H$2:$H$3143=Y$1,
Master_Mapping_Sheet!$K$2:$K$3143=VALUE(RIGHT($A4,1))))/sum(filter(
Master_Mapping_Sheet!$E$2:$E$3143, ISNUMBER(
Ma"&amp;"ster_Mapping_Sheet!$E$2:$E$3143),
Master_Mapping_Sheet!$H$2:$H$3143=Y$1))), 0, sum(filter(
Master_Mapping_Sheet!$E$2:$E$3143, ISNUMBER(
Master_Mapping_Sheet!$E$2:$E$3143),
Master_Mapping_Sheet!$H$2:$H$3143=Y$1,
Master_Mapping_Sheet!$K$2:$K$3143=VALUE(RIGH"&amp;"T($A4,1))))/sum(filter(
Master_Mapping_Sheet!$E$2:$E$3143, ISNUMBER(
Master_Mapping_Sheet!$E$2:$E$3143),
Master_Mapping_Sheet!$H$2:$H$3143=Y$1)))"),0.04494632858579009)</f>
        <v>0.04494632859</v>
      </c>
      <c r="Z4" s="34">
        <f>IFERROR(__xludf.DUMMYFUNCTION("IF(ISNA(sum(filter(
Master_Mapping_Sheet!$E$2:$E$3143, ISNUMBER(
Master_Mapping_Sheet!$E$2:$E$3143),
Master_Mapping_Sheet!$H$2:$H$3143=Z$1,
Master_Mapping_Sheet!$K$2:$K$3143=VALUE(RIGHT($A4,1))))/sum(filter(
Master_Mapping_Sheet!$E$2:$E$3143, ISNUMBER(
Ma"&amp;"ster_Mapping_Sheet!$E$2:$E$3143),
Master_Mapping_Sheet!$H$2:$H$3143=Z$1))), 0, sum(filter(
Master_Mapping_Sheet!$E$2:$E$3143, ISNUMBER(
Master_Mapping_Sheet!$E$2:$E$3143),
Master_Mapping_Sheet!$H$2:$H$3143=Z$1,
Master_Mapping_Sheet!$K$2:$K$3143=VALUE(RIGH"&amp;"T($A4,1))))/sum(filter(
Master_Mapping_Sheet!$E$2:$E$3143, ISNUMBER(
Master_Mapping_Sheet!$E$2:$E$3143),
Master_Mapping_Sheet!$H$2:$H$3143=Z$1)))"),0.002131009294002533)</f>
        <v>0.002131009294</v>
      </c>
    </row>
    <row r="5" ht="15.75" customHeight="1">
      <c r="A5" s="45" t="s">
        <v>4249</v>
      </c>
      <c r="B5" s="34">
        <f>IFERROR(__xludf.DUMMYFUNCTION("IF(ISNA(sum(filter(
Master_Mapping_Sheet!$E$2:$E$3143, ISNUMBER(
Master_Mapping_Sheet!$E$2:$E$3143),
Master_Mapping_Sheet!$H$2:$H$3143=B$1,
Master_Mapping_Sheet!$K$2:$K$3143=VALUE(RIGHT($A5,1))))/sum(filter(
Master_Mapping_Sheet!$E$2:$E$3143, ISNUMBER(
Ma"&amp;"ster_Mapping_Sheet!$E$2:$E$3143),
Master_Mapping_Sheet!$H$2:$H$3143=B$1))), 0, sum(filter(
Master_Mapping_Sheet!$E$2:$E$3143, ISNUMBER(
Master_Mapping_Sheet!$E$2:$E$3143),
Master_Mapping_Sheet!$H$2:$H$3143=B$1,
Master_Mapping_Sheet!$K$2:$K$3143=VALUE(RIGH"&amp;"T($A5,1))))/sum(filter(
Master_Mapping_Sheet!$E$2:$E$3143, ISNUMBER(
Master_Mapping_Sheet!$E$2:$E$3143),
Master_Mapping_Sheet!$H$2:$H$3143=B$1)))"),0.0025102961826266746)</f>
        <v>0.002510296183</v>
      </c>
      <c r="C5" s="34">
        <f>IFERROR(__xludf.DUMMYFUNCTION("IF(ISNA(sum(filter(
Master_Mapping_Sheet!$E$2:$E$3143, ISNUMBER(
Master_Mapping_Sheet!$E$2:$E$3143),
Master_Mapping_Sheet!$H$2:$H$3143=C$1,
Master_Mapping_Sheet!$K$2:$K$3143=VALUE(RIGHT($A5,1))))/sum(filter(
Master_Mapping_Sheet!$E$2:$E$3143, ISNUMBER(
Ma"&amp;"ster_Mapping_Sheet!$E$2:$E$3143),
Master_Mapping_Sheet!$H$2:$H$3143=C$1))), 0, sum(filter(
Master_Mapping_Sheet!$E$2:$E$3143, ISNUMBER(
Master_Mapping_Sheet!$E$2:$E$3143),
Master_Mapping_Sheet!$H$2:$H$3143=C$1,
Master_Mapping_Sheet!$K$2:$K$3143=VALUE(RIGH"&amp;"T($A5,1))))/sum(filter(
Master_Mapping_Sheet!$E$2:$E$3143, ISNUMBER(
Master_Mapping_Sheet!$E$2:$E$3143),
Master_Mapping_Sheet!$H$2:$H$3143=C$1)))"),0.0)</f>
        <v>0</v>
      </c>
      <c r="D5" s="34">
        <f>IFERROR(__xludf.DUMMYFUNCTION("IF(ISNA(sum(filter(
Master_Mapping_Sheet!$E$2:$E$3143, ISNUMBER(
Master_Mapping_Sheet!$E$2:$E$3143),
Master_Mapping_Sheet!$H$2:$H$3143=D$1,
Master_Mapping_Sheet!$K$2:$K$3143=VALUE(RIGHT($A5,1))))/sum(filter(
Master_Mapping_Sheet!$E$2:$E$3143, ISNUMBER(
Ma"&amp;"ster_Mapping_Sheet!$E$2:$E$3143),
Master_Mapping_Sheet!$H$2:$H$3143=D$1))), 0, sum(filter(
Master_Mapping_Sheet!$E$2:$E$3143, ISNUMBER(
Master_Mapping_Sheet!$E$2:$E$3143),
Master_Mapping_Sheet!$H$2:$H$3143=D$1,
Master_Mapping_Sheet!$K$2:$K$3143=VALUE(RIGH"&amp;"T($A5,1))))/sum(filter(
Master_Mapping_Sheet!$E$2:$E$3143, ISNUMBER(
Master_Mapping_Sheet!$E$2:$E$3143),
Master_Mapping_Sheet!$H$2:$H$3143=D$1)))"),0.0)</f>
        <v>0</v>
      </c>
      <c r="E5" s="34">
        <f>IFERROR(__xludf.DUMMYFUNCTION("IF(ISNA(sum(filter(
Master_Mapping_Sheet!$E$2:$E$3143, ISNUMBER(
Master_Mapping_Sheet!$E$2:$E$3143),
Master_Mapping_Sheet!$H$2:$H$3143=E$1,
Master_Mapping_Sheet!$K$2:$K$3143=VALUE(RIGHT($A5,1))))/sum(filter(
Master_Mapping_Sheet!$E$2:$E$3143, ISNUMBER(
Ma"&amp;"ster_Mapping_Sheet!$E$2:$E$3143),
Master_Mapping_Sheet!$H$2:$H$3143=E$1))), 0, sum(filter(
Master_Mapping_Sheet!$E$2:$E$3143, ISNUMBER(
Master_Mapping_Sheet!$E$2:$E$3143),
Master_Mapping_Sheet!$H$2:$H$3143=E$1,
Master_Mapping_Sheet!$K$2:$K$3143=VALUE(RIGH"&amp;"T($A5,1))))/sum(filter(
Master_Mapping_Sheet!$E$2:$E$3143, ISNUMBER(
Master_Mapping_Sheet!$E$2:$E$3143),
Master_Mapping_Sheet!$H$2:$H$3143=E$1)))"),0.0)</f>
        <v>0</v>
      </c>
      <c r="F5" s="34">
        <f>IFERROR(__xludf.DUMMYFUNCTION("IF(ISNA(sum(filter(
Master_Mapping_Sheet!$E$2:$E$3143, ISNUMBER(
Master_Mapping_Sheet!$E$2:$E$3143),
Master_Mapping_Sheet!$H$2:$H$3143=F$1,
Master_Mapping_Sheet!$K$2:$K$3143=VALUE(RIGHT($A5,1))))/sum(filter(
Master_Mapping_Sheet!$E$2:$E$3143, ISNUMBER(
Ma"&amp;"ster_Mapping_Sheet!$E$2:$E$3143),
Master_Mapping_Sheet!$H$2:$H$3143=F$1))), 0, sum(filter(
Master_Mapping_Sheet!$E$2:$E$3143, ISNUMBER(
Master_Mapping_Sheet!$E$2:$E$3143),
Master_Mapping_Sheet!$H$2:$H$3143=F$1,
Master_Mapping_Sheet!$K$2:$K$3143=VALUE(RIGH"&amp;"T($A5,1))))/sum(filter(
Master_Mapping_Sheet!$E$2:$E$3143, ISNUMBER(
Master_Mapping_Sheet!$E$2:$E$3143),
Master_Mapping_Sheet!$H$2:$H$3143=F$1)))"),0.0)</f>
        <v>0</v>
      </c>
      <c r="G5" s="34">
        <f>IFERROR(__xludf.DUMMYFUNCTION("IF(ISNA(sum(filter(
Master_Mapping_Sheet!$E$2:$E$3143, ISNUMBER(
Master_Mapping_Sheet!$E$2:$E$3143),
Master_Mapping_Sheet!$H$2:$H$3143=G$1,
Master_Mapping_Sheet!$K$2:$K$3143=VALUE(RIGHT($A5,1))))/sum(filter(
Master_Mapping_Sheet!$E$2:$E$3143, ISNUMBER(
Ma"&amp;"ster_Mapping_Sheet!$E$2:$E$3143),
Master_Mapping_Sheet!$H$2:$H$3143=G$1))), 0, sum(filter(
Master_Mapping_Sheet!$E$2:$E$3143, ISNUMBER(
Master_Mapping_Sheet!$E$2:$E$3143),
Master_Mapping_Sheet!$H$2:$H$3143=G$1,
Master_Mapping_Sheet!$K$2:$K$3143=VALUE(RIGH"&amp;"T($A5,1))))/sum(filter(
Master_Mapping_Sheet!$E$2:$E$3143, ISNUMBER(
Master_Mapping_Sheet!$E$2:$E$3143),
Master_Mapping_Sheet!$H$2:$H$3143=G$1)))"),0.224722750374225)</f>
        <v>0.2247227504</v>
      </c>
      <c r="H5" s="34">
        <f>IFERROR(__xludf.DUMMYFUNCTION("IF(ISNA(sum(filter(
Master_Mapping_Sheet!$E$2:$E$3143, ISNUMBER(
Master_Mapping_Sheet!$E$2:$E$3143),
Master_Mapping_Sheet!$H$2:$H$3143=H$1,
Master_Mapping_Sheet!$K$2:$K$3143=VALUE(RIGHT($A5,1))))/sum(filter(
Master_Mapping_Sheet!$E$2:$E$3143, ISNUMBER(
Ma"&amp;"ster_Mapping_Sheet!$E$2:$E$3143),
Master_Mapping_Sheet!$H$2:$H$3143=H$1))), 0, sum(filter(
Master_Mapping_Sheet!$E$2:$E$3143, ISNUMBER(
Master_Mapping_Sheet!$E$2:$E$3143),
Master_Mapping_Sheet!$H$2:$H$3143=H$1,
Master_Mapping_Sheet!$K$2:$K$3143=VALUE(RIGH"&amp;"T($A5,1))))/sum(filter(
Master_Mapping_Sheet!$E$2:$E$3143, ISNUMBER(
Master_Mapping_Sheet!$E$2:$E$3143),
Master_Mapping_Sheet!$H$2:$H$3143=H$1)))"),0.0)</f>
        <v>0</v>
      </c>
      <c r="I5" s="34">
        <f>IFERROR(__xludf.DUMMYFUNCTION("IF(ISNA(sum(filter(
Master_Mapping_Sheet!$E$2:$E$3143, ISNUMBER(
Master_Mapping_Sheet!$E$2:$E$3143),
Master_Mapping_Sheet!$H$2:$H$3143=I$1,
Master_Mapping_Sheet!$K$2:$K$3143=VALUE(RIGHT($A5,1))))/sum(filter(
Master_Mapping_Sheet!$E$2:$E$3143, ISNUMBER(
Ma"&amp;"ster_Mapping_Sheet!$E$2:$E$3143),
Master_Mapping_Sheet!$H$2:$H$3143=I$1))), 0, sum(filter(
Master_Mapping_Sheet!$E$2:$E$3143, ISNUMBER(
Master_Mapping_Sheet!$E$2:$E$3143),
Master_Mapping_Sheet!$H$2:$H$3143=I$1,
Master_Mapping_Sheet!$K$2:$K$3143=VALUE(RIGH"&amp;"T($A5,1))))/sum(filter(
Master_Mapping_Sheet!$E$2:$E$3143, ISNUMBER(
Master_Mapping_Sheet!$E$2:$E$3143),
Master_Mapping_Sheet!$H$2:$H$3143=I$1)))"),0.0)</f>
        <v>0</v>
      </c>
      <c r="J5" s="34">
        <f>IFERROR(__xludf.DUMMYFUNCTION("IF(ISNA(sum(filter(
Master_Mapping_Sheet!$E$2:$E$3143, ISNUMBER(
Master_Mapping_Sheet!$E$2:$E$3143),
Master_Mapping_Sheet!$H$2:$H$3143=J$1,
Master_Mapping_Sheet!$K$2:$K$3143=VALUE(RIGHT($A5,1))))/sum(filter(
Master_Mapping_Sheet!$E$2:$E$3143, ISNUMBER(
Ma"&amp;"ster_Mapping_Sheet!$E$2:$E$3143),
Master_Mapping_Sheet!$H$2:$H$3143=J$1))), 0, sum(filter(
Master_Mapping_Sheet!$E$2:$E$3143, ISNUMBER(
Master_Mapping_Sheet!$E$2:$E$3143),
Master_Mapping_Sheet!$H$2:$H$3143=J$1,
Master_Mapping_Sheet!$K$2:$K$3143=VALUE(RIGH"&amp;"T($A5,1))))/sum(filter(
Master_Mapping_Sheet!$E$2:$E$3143, ISNUMBER(
Master_Mapping_Sheet!$E$2:$E$3143),
Master_Mapping_Sheet!$H$2:$H$3143=J$1)))"),0.0)</f>
        <v>0</v>
      </c>
      <c r="K5" s="34">
        <f>IFERROR(__xludf.DUMMYFUNCTION("IF(ISNA(sum(filter(
Master_Mapping_Sheet!$E$2:$E$3143, ISNUMBER(
Master_Mapping_Sheet!$E$2:$E$3143),
Master_Mapping_Sheet!$H$2:$H$3143=K$1,
Master_Mapping_Sheet!$K$2:$K$3143=VALUE(RIGHT($A5,1))))/sum(filter(
Master_Mapping_Sheet!$E$2:$E$3143, ISNUMBER(
Ma"&amp;"ster_Mapping_Sheet!$E$2:$E$3143),
Master_Mapping_Sheet!$H$2:$H$3143=K$1))), 0, sum(filter(
Master_Mapping_Sheet!$E$2:$E$3143, ISNUMBER(
Master_Mapping_Sheet!$E$2:$E$3143),
Master_Mapping_Sheet!$H$2:$H$3143=K$1,
Master_Mapping_Sheet!$K$2:$K$3143=VALUE(RIGH"&amp;"T($A5,1))))/sum(filter(
Master_Mapping_Sheet!$E$2:$E$3143, ISNUMBER(
Master_Mapping_Sheet!$E$2:$E$3143),
Master_Mapping_Sheet!$H$2:$H$3143=K$1)))"),0.0017671415758787595)</f>
        <v>0.001767141576</v>
      </c>
      <c r="L5" s="34">
        <f>IFERROR(__xludf.DUMMYFUNCTION("IF(ISNA(sum(filter(
Master_Mapping_Sheet!$E$2:$E$3143, ISNUMBER(
Master_Mapping_Sheet!$E$2:$E$3143),
Master_Mapping_Sheet!$H$2:$H$3143=L$1,
Master_Mapping_Sheet!$K$2:$K$3143=VALUE(RIGHT($A5,1))))/sum(filter(
Master_Mapping_Sheet!$E$2:$E$3143, ISNUMBER(
Ma"&amp;"ster_Mapping_Sheet!$E$2:$E$3143),
Master_Mapping_Sheet!$H$2:$H$3143=L$1))), 0, sum(filter(
Master_Mapping_Sheet!$E$2:$E$3143, ISNUMBER(
Master_Mapping_Sheet!$E$2:$E$3143),
Master_Mapping_Sheet!$H$2:$H$3143=L$1,
Master_Mapping_Sheet!$K$2:$K$3143=VALUE(RIGH"&amp;"T($A5,1))))/sum(filter(
Master_Mapping_Sheet!$E$2:$E$3143, ISNUMBER(
Master_Mapping_Sheet!$E$2:$E$3143),
Master_Mapping_Sheet!$H$2:$H$3143=L$1)))"),0.0)</f>
        <v>0</v>
      </c>
      <c r="M5" s="34">
        <f>IFERROR(__xludf.DUMMYFUNCTION("IF(ISNA(sum(filter(
Master_Mapping_Sheet!$E$2:$E$3143, ISNUMBER(
Master_Mapping_Sheet!$E$2:$E$3143),
Master_Mapping_Sheet!$H$2:$H$3143=M$1,
Master_Mapping_Sheet!$K$2:$K$3143=VALUE(RIGHT($A5,1))))/sum(filter(
Master_Mapping_Sheet!$E$2:$E$3143, ISNUMBER(
Ma"&amp;"ster_Mapping_Sheet!$E$2:$E$3143),
Master_Mapping_Sheet!$H$2:$H$3143=M$1))), 0, sum(filter(
Master_Mapping_Sheet!$E$2:$E$3143, ISNUMBER(
Master_Mapping_Sheet!$E$2:$E$3143),
Master_Mapping_Sheet!$H$2:$H$3143=M$1,
Master_Mapping_Sheet!$K$2:$K$3143=VALUE(RIGH"&amp;"T($A5,1))))/sum(filter(
Master_Mapping_Sheet!$E$2:$E$3143, ISNUMBER(
Master_Mapping_Sheet!$E$2:$E$3143),
Master_Mapping_Sheet!$H$2:$H$3143=M$1)))"),0.0)</f>
        <v>0</v>
      </c>
      <c r="N5" s="34">
        <f>IFERROR(__xludf.DUMMYFUNCTION("IF(ISNA(sum(filter(
Master_Mapping_Sheet!$E$2:$E$3143, ISNUMBER(
Master_Mapping_Sheet!$E$2:$E$3143),
Master_Mapping_Sheet!$H$2:$H$3143=N$1,
Master_Mapping_Sheet!$K$2:$K$3143=VALUE(RIGHT($A5,1))))/sum(filter(
Master_Mapping_Sheet!$E$2:$E$3143, ISNUMBER(
Ma"&amp;"ster_Mapping_Sheet!$E$2:$E$3143),
Master_Mapping_Sheet!$H$2:$H$3143=N$1))), 0, sum(filter(
Master_Mapping_Sheet!$E$2:$E$3143, ISNUMBER(
Master_Mapping_Sheet!$E$2:$E$3143),
Master_Mapping_Sheet!$H$2:$H$3143=N$1,
Master_Mapping_Sheet!$K$2:$K$3143=VALUE(RIGH"&amp;"T($A5,1))))/sum(filter(
Master_Mapping_Sheet!$E$2:$E$3143, ISNUMBER(
Master_Mapping_Sheet!$E$2:$E$3143),
Master_Mapping_Sheet!$H$2:$H$3143=N$1)))"),0.4343852871474304)</f>
        <v>0.4343852871</v>
      </c>
      <c r="O5" s="34">
        <f>IFERROR(__xludf.DUMMYFUNCTION("IF(ISNA(sum(filter(
Master_Mapping_Sheet!$E$2:$E$3143, ISNUMBER(
Master_Mapping_Sheet!$E$2:$E$3143),
Master_Mapping_Sheet!$H$2:$H$3143=O$1,
Master_Mapping_Sheet!$K$2:$K$3143=VALUE(RIGHT($A5,1))))/sum(filter(
Master_Mapping_Sheet!$E$2:$E$3143, ISNUMBER(
Ma"&amp;"ster_Mapping_Sheet!$E$2:$E$3143),
Master_Mapping_Sheet!$H$2:$H$3143=O$1))), 0, sum(filter(
Master_Mapping_Sheet!$E$2:$E$3143, ISNUMBER(
Master_Mapping_Sheet!$E$2:$E$3143),
Master_Mapping_Sheet!$H$2:$H$3143=O$1,
Master_Mapping_Sheet!$K$2:$K$3143=VALUE(RIGH"&amp;"T($A5,1))))/sum(filter(
Master_Mapping_Sheet!$E$2:$E$3143, ISNUMBER(
Master_Mapping_Sheet!$E$2:$E$3143),
Master_Mapping_Sheet!$H$2:$H$3143=O$1)))"),0.839026759560383)</f>
        <v>0.8390267596</v>
      </c>
      <c r="P5" s="34">
        <f>IFERROR(__xludf.DUMMYFUNCTION("IF(ISNA(sum(filter(
Master_Mapping_Sheet!$E$2:$E$3143, ISNUMBER(
Master_Mapping_Sheet!$E$2:$E$3143),
Master_Mapping_Sheet!$H$2:$H$3143=P$1,
Master_Mapping_Sheet!$K$2:$K$3143=VALUE(RIGHT($A5,1))))/sum(filter(
Master_Mapping_Sheet!$E$2:$E$3143, ISNUMBER(
Ma"&amp;"ster_Mapping_Sheet!$E$2:$E$3143),
Master_Mapping_Sheet!$H$2:$H$3143=P$1))), 0, sum(filter(
Master_Mapping_Sheet!$E$2:$E$3143, ISNUMBER(
Master_Mapping_Sheet!$E$2:$E$3143),
Master_Mapping_Sheet!$H$2:$H$3143=P$1,
Master_Mapping_Sheet!$K$2:$K$3143=VALUE(RIGH"&amp;"T($A5,1))))/sum(filter(
Master_Mapping_Sheet!$E$2:$E$3143, ISNUMBER(
Master_Mapping_Sheet!$E$2:$E$3143),
Master_Mapping_Sheet!$H$2:$H$3143=P$1)))"),0.6443192146273223)</f>
        <v>0.6443192146</v>
      </c>
      <c r="Q5" s="34">
        <f>IFERROR(__xludf.DUMMYFUNCTION("IF(ISNA(sum(filter(
Master_Mapping_Sheet!$E$2:$E$3143, ISNUMBER(
Master_Mapping_Sheet!$E$2:$E$3143),
Master_Mapping_Sheet!$H$2:$H$3143=Q$1,
Master_Mapping_Sheet!$K$2:$K$3143=VALUE(RIGHT($A5,1))))/sum(filter(
Master_Mapping_Sheet!$E$2:$E$3143, ISNUMBER(
Ma"&amp;"ster_Mapping_Sheet!$E$2:$E$3143),
Master_Mapping_Sheet!$H$2:$H$3143=Q$1))), 0, sum(filter(
Master_Mapping_Sheet!$E$2:$E$3143, ISNUMBER(
Master_Mapping_Sheet!$E$2:$E$3143),
Master_Mapping_Sheet!$H$2:$H$3143=Q$1,
Master_Mapping_Sheet!$K$2:$K$3143=VALUE(RIGH"&amp;"T($A5,1))))/sum(filter(
Master_Mapping_Sheet!$E$2:$E$3143, ISNUMBER(
Master_Mapping_Sheet!$E$2:$E$3143),
Master_Mapping_Sheet!$H$2:$H$3143=Q$1)))"),0.3933051178940878)</f>
        <v>0.3933051179</v>
      </c>
      <c r="R5" s="34">
        <f>IFERROR(__xludf.DUMMYFUNCTION("IF(ISNA(sum(filter(
Master_Mapping_Sheet!$E$2:$E$3143, ISNUMBER(
Master_Mapping_Sheet!$E$2:$E$3143),
Master_Mapping_Sheet!$H$2:$H$3143=R$1,
Master_Mapping_Sheet!$K$2:$K$3143=VALUE(RIGHT($A5,1))))/sum(filter(
Master_Mapping_Sheet!$E$2:$E$3143, ISNUMBER(
Ma"&amp;"ster_Mapping_Sheet!$E$2:$E$3143),
Master_Mapping_Sheet!$H$2:$H$3143=R$1))), 0, sum(filter(
Master_Mapping_Sheet!$E$2:$E$3143, ISNUMBER(
Master_Mapping_Sheet!$E$2:$E$3143),
Master_Mapping_Sheet!$H$2:$H$3143=R$1,
Master_Mapping_Sheet!$K$2:$K$3143=VALUE(RIGH"&amp;"T($A5,1))))/sum(filter(
Master_Mapping_Sheet!$E$2:$E$3143, ISNUMBER(
Master_Mapping_Sheet!$E$2:$E$3143),
Master_Mapping_Sheet!$H$2:$H$3143=R$1)))"),0.5279729742885793)</f>
        <v>0.5279729743</v>
      </c>
      <c r="S5" s="34">
        <f>IFERROR(__xludf.DUMMYFUNCTION("IF(ISNA(sum(filter(
Master_Mapping_Sheet!$E$2:$E$3143, ISNUMBER(
Master_Mapping_Sheet!$E$2:$E$3143),
Master_Mapping_Sheet!$H$2:$H$3143=S$1,
Master_Mapping_Sheet!$K$2:$K$3143=VALUE(RIGHT($A5,1))))/sum(filter(
Master_Mapping_Sheet!$E$2:$E$3143, ISNUMBER(
Ma"&amp;"ster_Mapping_Sheet!$E$2:$E$3143),
Master_Mapping_Sheet!$H$2:$H$3143=S$1))), 0, sum(filter(
Master_Mapping_Sheet!$E$2:$E$3143, ISNUMBER(
Master_Mapping_Sheet!$E$2:$E$3143),
Master_Mapping_Sheet!$H$2:$H$3143=S$1,
Master_Mapping_Sheet!$K$2:$K$3143=VALUE(RIGH"&amp;"T($A5,1))))/sum(filter(
Master_Mapping_Sheet!$E$2:$E$3143, ISNUMBER(
Master_Mapping_Sheet!$E$2:$E$3143),
Master_Mapping_Sheet!$H$2:$H$3143=S$1)))"),0.0)</f>
        <v>0</v>
      </c>
      <c r="T5" s="34">
        <f>IFERROR(__xludf.DUMMYFUNCTION("IF(ISNA(sum(filter(
Master_Mapping_Sheet!$E$2:$E$3143, ISNUMBER(
Master_Mapping_Sheet!$E$2:$E$3143),
Master_Mapping_Sheet!$H$2:$H$3143=T$1,
Master_Mapping_Sheet!$K$2:$K$3143=VALUE(RIGHT($A5,1))))/sum(filter(
Master_Mapping_Sheet!$E$2:$E$3143, ISNUMBER(
Ma"&amp;"ster_Mapping_Sheet!$E$2:$E$3143),
Master_Mapping_Sheet!$H$2:$H$3143=T$1))), 0, sum(filter(
Master_Mapping_Sheet!$E$2:$E$3143, ISNUMBER(
Master_Mapping_Sheet!$E$2:$E$3143),
Master_Mapping_Sheet!$H$2:$H$3143=T$1,
Master_Mapping_Sheet!$K$2:$K$3143=VALUE(RIGH"&amp;"T($A5,1))))/sum(filter(
Master_Mapping_Sheet!$E$2:$E$3143, ISNUMBER(
Master_Mapping_Sheet!$E$2:$E$3143),
Master_Mapping_Sheet!$H$2:$H$3143=T$1)))"),0.0)</f>
        <v>0</v>
      </c>
      <c r="U5" s="34">
        <f>IFERROR(__xludf.DUMMYFUNCTION("IF(ISNA(sum(filter(
Master_Mapping_Sheet!$E$2:$E$3143, ISNUMBER(
Master_Mapping_Sheet!$E$2:$E$3143),
Master_Mapping_Sheet!$H$2:$H$3143=U$1,
Master_Mapping_Sheet!$K$2:$K$3143=VALUE(RIGHT($A5,1))))/sum(filter(
Master_Mapping_Sheet!$E$2:$E$3143, ISNUMBER(
Ma"&amp;"ster_Mapping_Sheet!$E$2:$E$3143),
Master_Mapping_Sheet!$H$2:$H$3143=U$1))), 0, sum(filter(
Master_Mapping_Sheet!$E$2:$E$3143, ISNUMBER(
Master_Mapping_Sheet!$E$2:$E$3143),
Master_Mapping_Sheet!$H$2:$H$3143=U$1,
Master_Mapping_Sheet!$K$2:$K$3143=VALUE(RIGH"&amp;"T($A5,1))))/sum(filter(
Master_Mapping_Sheet!$E$2:$E$3143, ISNUMBER(
Master_Mapping_Sheet!$E$2:$E$3143),
Master_Mapping_Sheet!$H$2:$H$3143=U$1)))"),0.05512065674325353)</f>
        <v>0.05512065674</v>
      </c>
      <c r="V5" s="34">
        <f>IFERROR(__xludf.DUMMYFUNCTION("IF(ISNA(sum(filter(
Master_Mapping_Sheet!$E$2:$E$3143, ISNUMBER(
Master_Mapping_Sheet!$E$2:$E$3143),
Master_Mapping_Sheet!$H$2:$H$3143=V$1,
Master_Mapping_Sheet!$K$2:$K$3143=VALUE(RIGHT($A5,1))))/sum(filter(
Master_Mapping_Sheet!$E$2:$E$3143, ISNUMBER(
Ma"&amp;"ster_Mapping_Sheet!$E$2:$E$3143),
Master_Mapping_Sheet!$H$2:$H$3143=V$1))), 0, sum(filter(
Master_Mapping_Sheet!$E$2:$E$3143, ISNUMBER(
Master_Mapping_Sheet!$E$2:$E$3143),
Master_Mapping_Sheet!$H$2:$H$3143=V$1,
Master_Mapping_Sheet!$K$2:$K$3143=VALUE(RIGH"&amp;"T($A5,1))))/sum(filter(
Master_Mapping_Sheet!$E$2:$E$3143, ISNUMBER(
Master_Mapping_Sheet!$E$2:$E$3143),
Master_Mapping_Sheet!$H$2:$H$3143=V$1)))"),0.9824374808682637)</f>
        <v>0.9824374809</v>
      </c>
      <c r="W5" s="34">
        <f>IFERROR(__xludf.DUMMYFUNCTION("IF(ISNA(sum(filter(
Master_Mapping_Sheet!$E$2:$E$3143, ISNUMBER(
Master_Mapping_Sheet!$E$2:$E$3143),
Master_Mapping_Sheet!$H$2:$H$3143=W$1,
Master_Mapping_Sheet!$K$2:$K$3143=VALUE(RIGHT($A5,1))))/sum(filter(
Master_Mapping_Sheet!$E$2:$E$3143, ISNUMBER(
Ma"&amp;"ster_Mapping_Sheet!$E$2:$E$3143),
Master_Mapping_Sheet!$H$2:$H$3143=W$1))), 0, sum(filter(
Master_Mapping_Sheet!$E$2:$E$3143, ISNUMBER(
Master_Mapping_Sheet!$E$2:$E$3143),
Master_Mapping_Sheet!$H$2:$H$3143=W$1,
Master_Mapping_Sheet!$K$2:$K$3143=VALUE(RIGH"&amp;"T($A5,1))))/sum(filter(
Master_Mapping_Sheet!$E$2:$E$3143, ISNUMBER(
Master_Mapping_Sheet!$E$2:$E$3143),
Master_Mapping_Sheet!$H$2:$H$3143=W$1)))"),0.958915802323498)</f>
        <v>0.9589158023</v>
      </c>
      <c r="X5" s="34">
        <f>IFERROR(__xludf.DUMMYFUNCTION("IF(ISNA(sum(filter(
Master_Mapping_Sheet!$E$2:$E$3143, ISNUMBER(
Master_Mapping_Sheet!$E$2:$E$3143),
Master_Mapping_Sheet!$H$2:$H$3143=X$1,
Master_Mapping_Sheet!$K$2:$K$3143=VALUE(RIGHT($A5,1))))/sum(filter(
Master_Mapping_Sheet!$E$2:$E$3143, ISNUMBER(
Ma"&amp;"ster_Mapping_Sheet!$E$2:$E$3143),
Master_Mapping_Sheet!$H$2:$H$3143=X$1))), 0, sum(filter(
Master_Mapping_Sheet!$E$2:$E$3143, ISNUMBER(
Master_Mapping_Sheet!$E$2:$E$3143),
Master_Mapping_Sheet!$H$2:$H$3143=X$1,
Master_Mapping_Sheet!$K$2:$K$3143=VALUE(RIGH"&amp;"T($A5,1))))/sum(filter(
Master_Mapping_Sheet!$E$2:$E$3143, ISNUMBER(
Master_Mapping_Sheet!$E$2:$E$3143),
Master_Mapping_Sheet!$H$2:$H$3143=X$1)))"),0.0)</f>
        <v>0</v>
      </c>
      <c r="Y5" s="34">
        <f>IFERROR(__xludf.DUMMYFUNCTION("IF(ISNA(sum(filter(
Master_Mapping_Sheet!$E$2:$E$3143, ISNUMBER(
Master_Mapping_Sheet!$E$2:$E$3143),
Master_Mapping_Sheet!$H$2:$H$3143=Y$1,
Master_Mapping_Sheet!$K$2:$K$3143=VALUE(RIGHT($A5,1))))/sum(filter(
Master_Mapping_Sheet!$E$2:$E$3143, ISNUMBER(
Ma"&amp;"ster_Mapping_Sheet!$E$2:$E$3143),
Master_Mapping_Sheet!$H$2:$H$3143=Y$1))), 0, sum(filter(
Master_Mapping_Sheet!$E$2:$E$3143, ISNUMBER(
Master_Mapping_Sheet!$E$2:$E$3143),
Master_Mapping_Sheet!$H$2:$H$3143=Y$1,
Master_Mapping_Sheet!$K$2:$K$3143=VALUE(RIGH"&amp;"T($A5,1))))/sum(filter(
Master_Mapping_Sheet!$E$2:$E$3143, ISNUMBER(
Master_Mapping_Sheet!$E$2:$E$3143),
Master_Mapping_Sheet!$H$2:$H$3143=Y$1)))"),0.0)</f>
        <v>0</v>
      </c>
      <c r="Z5" s="34">
        <f>IFERROR(__xludf.DUMMYFUNCTION("IF(ISNA(sum(filter(
Master_Mapping_Sheet!$E$2:$E$3143, ISNUMBER(
Master_Mapping_Sheet!$E$2:$E$3143),
Master_Mapping_Sheet!$H$2:$H$3143=Z$1,
Master_Mapping_Sheet!$K$2:$K$3143=VALUE(RIGHT($A5,1))))/sum(filter(
Master_Mapping_Sheet!$E$2:$E$3143, ISNUMBER(
Ma"&amp;"ster_Mapping_Sheet!$E$2:$E$3143),
Master_Mapping_Sheet!$H$2:$H$3143=Z$1))), 0, sum(filter(
Master_Mapping_Sheet!$E$2:$E$3143, ISNUMBER(
Master_Mapping_Sheet!$E$2:$E$3143),
Master_Mapping_Sheet!$H$2:$H$3143=Z$1,
Master_Mapping_Sheet!$K$2:$K$3143=VALUE(RIGH"&amp;"T($A5,1))))/sum(filter(
Master_Mapping_Sheet!$E$2:$E$3143, ISNUMBER(
Master_Mapping_Sheet!$E$2:$E$3143),
Master_Mapping_Sheet!$H$2:$H$3143=Z$1)))"),0.0)</f>
        <v>0</v>
      </c>
    </row>
    <row r="6" ht="15.75" customHeight="1">
      <c r="A6" s="45" t="s">
        <v>4250</v>
      </c>
      <c r="B6" s="34">
        <f>IFERROR(__xludf.DUMMYFUNCTION("IF(ISNA(sum(filter(
Master_Mapping_Sheet!$E$2:$E$3143, ISNUMBER(
Master_Mapping_Sheet!$E$2:$E$3143),
Master_Mapping_Sheet!$H$2:$H$3143=B$1,
Master_Mapping_Sheet!$K$2:$K$3143=VALUE(RIGHT($A6,1))))/sum(filter(
Master_Mapping_Sheet!$E$2:$E$3143, ISNUMBER(
Ma"&amp;"ster_Mapping_Sheet!$E$2:$E$3143),
Master_Mapping_Sheet!$H$2:$H$3143=B$1))), 0, sum(filter(
Master_Mapping_Sheet!$E$2:$E$3143, ISNUMBER(
Master_Mapping_Sheet!$E$2:$E$3143),
Master_Mapping_Sheet!$H$2:$H$3143=B$1,
Master_Mapping_Sheet!$K$2:$K$3143=VALUE(RIGH"&amp;"T($A6,1))))/sum(filter(
Master_Mapping_Sheet!$E$2:$E$3143, ISNUMBER(
Master_Mapping_Sheet!$E$2:$E$3143),
Master_Mapping_Sheet!$H$2:$H$3143=B$1)))"),0.9974897038173733)</f>
        <v>0.9974897038</v>
      </c>
      <c r="C6" s="34">
        <f>IFERROR(__xludf.DUMMYFUNCTION("IF(ISNA(sum(filter(
Master_Mapping_Sheet!$E$2:$E$3143, ISNUMBER(
Master_Mapping_Sheet!$E$2:$E$3143),
Master_Mapping_Sheet!$H$2:$H$3143=C$1,
Master_Mapping_Sheet!$K$2:$K$3143=VALUE(RIGHT($A6,1))))/sum(filter(
Master_Mapping_Sheet!$E$2:$E$3143, ISNUMBER(
Ma"&amp;"ster_Mapping_Sheet!$E$2:$E$3143),
Master_Mapping_Sheet!$H$2:$H$3143=C$1))), 0, sum(filter(
Master_Mapping_Sheet!$E$2:$E$3143, ISNUMBER(
Master_Mapping_Sheet!$E$2:$E$3143),
Master_Mapping_Sheet!$H$2:$H$3143=C$1,
Master_Mapping_Sheet!$K$2:$K$3143=VALUE(RIGH"&amp;"T($A6,1))))/sum(filter(
Master_Mapping_Sheet!$E$2:$E$3143, ISNUMBER(
Master_Mapping_Sheet!$E$2:$E$3143),
Master_Mapping_Sheet!$H$2:$H$3143=C$1)))"),1.0)</f>
        <v>1</v>
      </c>
      <c r="D6" s="34">
        <f>IFERROR(__xludf.DUMMYFUNCTION("IF(ISNA(sum(filter(
Master_Mapping_Sheet!$E$2:$E$3143, ISNUMBER(
Master_Mapping_Sheet!$E$2:$E$3143),
Master_Mapping_Sheet!$H$2:$H$3143=D$1,
Master_Mapping_Sheet!$K$2:$K$3143=VALUE(RIGHT($A6,1))))/sum(filter(
Master_Mapping_Sheet!$E$2:$E$3143, ISNUMBER(
Ma"&amp;"ster_Mapping_Sheet!$E$2:$E$3143),
Master_Mapping_Sheet!$H$2:$H$3143=D$1))), 0, sum(filter(
Master_Mapping_Sheet!$E$2:$E$3143, ISNUMBER(
Master_Mapping_Sheet!$E$2:$E$3143),
Master_Mapping_Sheet!$H$2:$H$3143=D$1,
Master_Mapping_Sheet!$K$2:$K$3143=VALUE(RIGH"&amp;"T($A6,1))))/sum(filter(
Master_Mapping_Sheet!$E$2:$E$3143, ISNUMBER(
Master_Mapping_Sheet!$E$2:$E$3143),
Master_Mapping_Sheet!$H$2:$H$3143=D$1)))"),0.0)</f>
        <v>0</v>
      </c>
      <c r="E6" s="34">
        <f>IFERROR(__xludf.DUMMYFUNCTION("IF(ISNA(sum(filter(
Master_Mapping_Sheet!$E$2:$E$3143, ISNUMBER(
Master_Mapping_Sheet!$E$2:$E$3143),
Master_Mapping_Sheet!$H$2:$H$3143=E$1,
Master_Mapping_Sheet!$K$2:$K$3143=VALUE(RIGHT($A6,1))))/sum(filter(
Master_Mapping_Sheet!$E$2:$E$3143, ISNUMBER(
Ma"&amp;"ster_Mapping_Sheet!$E$2:$E$3143),
Master_Mapping_Sheet!$H$2:$H$3143=E$1))), 0, sum(filter(
Master_Mapping_Sheet!$E$2:$E$3143, ISNUMBER(
Master_Mapping_Sheet!$E$2:$E$3143),
Master_Mapping_Sheet!$H$2:$H$3143=E$1,
Master_Mapping_Sheet!$K$2:$K$3143=VALUE(RIGH"&amp;"T($A6,1))))/sum(filter(
Master_Mapping_Sheet!$E$2:$E$3143, ISNUMBER(
Master_Mapping_Sheet!$E$2:$E$3143),
Master_Mapping_Sheet!$H$2:$H$3143=E$1)))"),0.0)</f>
        <v>0</v>
      </c>
      <c r="F6" s="34">
        <f>IFERROR(__xludf.DUMMYFUNCTION("IF(ISNA(sum(filter(
Master_Mapping_Sheet!$E$2:$E$3143, ISNUMBER(
Master_Mapping_Sheet!$E$2:$E$3143),
Master_Mapping_Sheet!$H$2:$H$3143=F$1,
Master_Mapping_Sheet!$K$2:$K$3143=VALUE(RIGHT($A6,1))))/sum(filter(
Master_Mapping_Sheet!$E$2:$E$3143, ISNUMBER(
Ma"&amp;"ster_Mapping_Sheet!$E$2:$E$3143),
Master_Mapping_Sheet!$H$2:$H$3143=F$1))), 0, sum(filter(
Master_Mapping_Sheet!$E$2:$E$3143, ISNUMBER(
Master_Mapping_Sheet!$E$2:$E$3143),
Master_Mapping_Sheet!$H$2:$H$3143=F$1,
Master_Mapping_Sheet!$K$2:$K$3143=VALUE(RIGH"&amp;"T($A6,1))))/sum(filter(
Master_Mapping_Sheet!$E$2:$E$3143, ISNUMBER(
Master_Mapping_Sheet!$E$2:$E$3143),
Master_Mapping_Sheet!$H$2:$H$3143=F$1)))"),0.0)</f>
        <v>0</v>
      </c>
      <c r="G6" s="34">
        <f>IFERROR(__xludf.DUMMYFUNCTION("IF(ISNA(sum(filter(
Master_Mapping_Sheet!$E$2:$E$3143, ISNUMBER(
Master_Mapping_Sheet!$E$2:$E$3143),
Master_Mapping_Sheet!$H$2:$H$3143=G$1,
Master_Mapping_Sheet!$K$2:$K$3143=VALUE(RIGHT($A6,1))))/sum(filter(
Master_Mapping_Sheet!$E$2:$E$3143, ISNUMBER(
Ma"&amp;"ster_Mapping_Sheet!$E$2:$E$3143),
Master_Mapping_Sheet!$H$2:$H$3143=G$1))), 0, sum(filter(
Master_Mapping_Sheet!$E$2:$E$3143, ISNUMBER(
Master_Mapping_Sheet!$E$2:$E$3143),
Master_Mapping_Sheet!$H$2:$H$3143=G$1,
Master_Mapping_Sheet!$K$2:$K$3143=VALUE(RIGH"&amp;"T($A6,1))))/sum(filter(
Master_Mapping_Sheet!$E$2:$E$3143, ISNUMBER(
Master_Mapping_Sheet!$E$2:$E$3143),
Master_Mapping_Sheet!$H$2:$H$3143=G$1)))"),0.7619743928139883)</f>
        <v>0.7619743928</v>
      </c>
      <c r="H6" s="34">
        <f>IFERROR(__xludf.DUMMYFUNCTION("IF(ISNA(sum(filter(
Master_Mapping_Sheet!$E$2:$E$3143, ISNUMBER(
Master_Mapping_Sheet!$E$2:$E$3143),
Master_Mapping_Sheet!$H$2:$H$3143=H$1,
Master_Mapping_Sheet!$K$2:$K$3143=VALUE(RIGHT($A6,1))))/sum(filter(
Master_Mapping_Sheet!$E$2:$E$3143, ISNUMBER(
Ma"&amp;"ster_Mapping_Sheet!$E$2:$E$3143),
Master_Mapping_Sheet!$H$2:$H$3143=H$1))), 0, sum(filter(
Master_Mapping_Sheet!$E$2:$E$3143, ISNUMBER(
Master_Mapping_Sheet!$E$2:$E$3143),
Master_Mapping_Sheet!$H$2:$H$3143=H$1,
Master_Mapping_Sheet!$K$2:$K$3143=VALUE(RIGH"&amp;"T($A6,1))))/sum(filter(
Master_Mapping_Sheet!$E$2:$E$3143, ISNUMBER(
Master_Mapping_Sheet!$E$2:$E$3143),
Master_Mapping_Sheet!$H$2:$H$3143=H$1)))"),0.0)</f>
        <v>0</v>
      </c>
      <c r="I6" s="34">
        <f>IFERROR(__xludf.DUMMYFUNCTION("IF(ISNA(sum(filter(
Master_Mapping_Sheet!$E$2:$E$3143, ISNUMBER(
Master_Mapping_Sheet!$E$2:$E$3143),
Master_Mapping_Sheet!$H$2:$H$3143=I$1,
Master_Mapping_Sheet!$K$2:$K$3143=VALUE(RIGHT($A6,1))))/sum(filter(
Master_Mapping_Sheet!$E$2:$E$3143, ISNUMBER(
Ma"&amp;"ster_Mapping_Sheet!$E$2:$E$3143),
Master_Mapping_Sheet!$H$2:$H$3143=I$1))), 0, sum(filter(
Master_Mapping_Sheet!$E$2:$E$3143, ISNUMBER(
Master_Mapping_Sheet!$E$2:$E$3143),
Master_Mapping_Sheet!$H$2:$H$3143=I$1,
Master_Mapping_Sheet!$K$2:$K$3143=VALUE(RIGH"&amp;"T($A6,1))))/sum(filter(
Master_Mapping_Sheet!$E$2:$E$3143, ISNUMBER(
Master_Mapping_Sheet!$E$2:$E$3143),
Master_Mapping_Sheet!$H$2:$H$3143=I$1)))"),0.0)</f>
        <v>0</v>
      </c>
      <c r="J6" s="34">
        <f>IFERROR(__xludf.DUMMYFUNCTION("IF(ISNA(sum(filter(
Master_Mapping_Sheet!$E$2:$E$3143, ISNUMBER(
Master_Mapping_Sheet!$E$2:$E$3143),
Master_Mapping_Sheet!$H$2:$H$3143=J$1,
Master_Mapping_Sheet!$K$2:$K$3143=VALUE(RIGHT($A6,1))))/sum(filter(
Master_Mapping_Sheet!$E$2:$E$3143, ISNUMBER(
Ma"&amp;"ster_Mapping_Sheet!$E$2:$E$3143),
Master_Mapping_Sheet!$H$2:$H$3143=J$1))), 0, sum(filter(
Master_Mapping_Sheet!$E$2:$E$3143, ISNUMBER(
Master_Mapping_Sheet!$E$2:$E$3143),
Master_Mapping_Sheet!$H$2:$H$3143=J$1,
Master_Mapping_Sheet!$K$2:$K$3143=VALUE(RIGH"&amp;"T($A6,1))))/sum(filter(
Master_Mapping_Sheet!$E$2:$E$3143, ISNUMBER(
Master_Mapping_Sheet!$E$2:$E$3143),
Master_Mapping_Sheet!$H$2:$H$3143=J$1)))"),0.0)</f>
        <v>0</v>
      </c>
      <c r="K6" s="34">
        <f>IFERROR(__xludf.DUMMYFUNCTION("IF(ISNA(sum(filter(
Master_Mapping_Sheet!$E$2:$E$3143, ISNUMBER(
Master_Mapping_Sheet!$E$2:$E$3143),
Master_Mapping_Sheet!$H$2:$H$3143=K$1,
Master_Mapping_Sheet!$K$2:$K$3143=VALUE(RIGHT($A6,1))))/sum(filter(
Master_Mapping_Sheet!$E$2:$E$3143, ISNUMBER(
Ma"&amp;"ster_Mapping_Sheet!$E$2:$E$3143),
Master_Mapping_Sheet!$H$2:$H$3143=K$1))), 0, sum(filter(
Master_Mapping_Sheet!$E$2:$E$3143, ISNUMBER(
Master_Mapping_Sheet!$E$2:$E$3143),
Master_Mapping_Sheet!$H$2:$H$3143=K$1,
Master_Mapping_Sheet!$K$2:$K$3143=VALUE(RIGH"&amp;"T($A6,1))))/sum(filter(
Master_Mapping_Sheet!$E$2:$E$3143, ISNUMBER(
Master_Mapping_Sheet!$E$2:$E$3143),
Master_Mapping_Sheet!$H$2:$H$3143=K$1)))"),0.0)</f>
        <v>0</v>
      </c>
      <c r="L6" s="34">
        <f>IFERROR(__xludf.DUMMYFUNCTION("IF(ISNA(sum(filter(
Master_Mapping_Sheet!$E$2:$E$3143, ISNUMBER(
Master_Mapping_Sheet!$E$2:$E$3143),
Master_Mapping_Sheet!$H$2:$H$3143=L$1,
Master_Mapping_Sheet!$K$2:$K$3143=VALUE(RIGHT($A6,1))))/sum(filter(
Master_Mapping_Sheet!$E$2:$E$3143, ISNUMBER(
Ma"&amp;"ster_Mapping_Sheet!$E$2:$E$3143),
Master_Mapping_Sheet!$H$2:$H$3143=L$1))), 0, sum(filter(
Master_Mapping_Sheet!$E$2:$E$3143, ISNUMBER(
Master_Mapping_Sheet!$E$2:$E$3143),
Master_Mapping_Sheet!$H$2:$H$3143=L$1,
Master_Mapping_Sheet!$K$2:$K$3143=VALUE(RIGH"&amp;"T($A6,1))))/sum(filter(
Master_Mapping_Sheet!$E$2:$E$3143, ISNUMBER(
Master_Mapping_Sheet!$E$2:$E$3143),
Master_Mapping_Sheet!$H$2:$H$3143=L$1)))"),0.0)</f>
        <v>0</v>
      </c>
      <c r="M6" s="34">
        <f>IFERROR(__xludf.DUMMYFUNCTION("IF(ISNA(sum(filter(
Master_Mapping_Sheet!$E$2:$E$3143, ISNUMBER(
Master_Mapping_Sheet!$E$2:$E$3143),
Master_Mapping_Sheet!$H$2:$H$3143=M$1,
Master_Mapping_Sheet!$K$2:$K$3143=VALUE(RIGHT($A6,1))))/sum(filter(
Master_Mapping_Sheet!$E$2:$E$3143, ISNUMBER(
Ma"&amp;"ster_Mapping_Sheet!$E$2:$E$3143),
Master_Mapping_Sheet!$H$2:$H$3143=M$1))), 0, sum(filter(
Master_Mapping_Sheet!$E$2:$E$3143, ISNUMBER(
Master_Mapping_Sheet!$E$2:$E$3143),
Master_Mapping_Sheet!$H$2:$H$3143=M$1,
Master_Mapping_Sheet!$K$2:$K$3143=VALUE(RIGH"&amp;"T($A6,1))))/sum(filter(
Master_Mapping_Sheet!$E$2:$E$3143, ISNUMBER(
Master_Mapping_Sheet!$E$2:$E$3143),
Master_Mapping_Sheet!$H$2:$H$3143=M$1)))"),0.0)</f>
        <v>0</v>
      </c>
      <c r="N6" s="34">
        <f>IFERROR(__xludf.DUMMYFUNCTION("IF(ISNA(sum(filter(
Master_Mapping_Sheet!$E$2:$E$3143, ISNUMBER(
Master_Mapping_Sheet!$E$2:$E$3143),
Master_Mapping_Sheet!$H$2:$H$3143=N$1,
Master_Mapping_Sheet!$K$2:$K$3143=VALUE(RIGHT($A6,1))))/sum(filter(
Master_Mapping_Sheet!$E$2:$E$3143, ISNUMBER(
Ma"&amp;"ster_Mapping_Sheet!$E$2:$E$3143),
Master_Mapping_Sheet!$H$2:$H$3143=N$1))), 0, sum(filter(
Master_Mapping_Sheet!$E$2:$E$3143, ISNUMBER(
Master_Mapping_Sheet!$E$2:$E$3143),
Master_Mapping_Sheet!$H$2:$H$3143=N$1,
Master_Mapping_Sheet!$K$2:$K$3143=VALUE(RIGH"&amp;"T($A6,1))))/sum(filter(
Master_Mapping_Sheet!$E$2:$E$3143, ISNUMBER(
Master_Mapping_Sheet!$E$2:$E$3143),
Master_Mapping_Sheet!$H$2:$H$3143=N$1)))"),0.0)</f>
        <v>0</v>
      </c>
      <c r="O6" s="34">
        <f>IFERROR(__xludf.DUMMYFUNCTION("IF(ISNA(sum(filter(
Master_Mapping_Sheet!$E$2:$E$3143, ISNUMBER(
Master_Mapping_Sheet!$E$2:$E$3143),
Master_Mapping_Sheet!$H$2:$H$3143=O$1,
Master_Mapping_Sheet!$K$2:$K$3143=VALUE(RIGHT($A6,1))))/sum(filter(
Master_Mapping_Sheet!$E$2:$E$3143, ISNUMBER(
Ma"&amp;"ster_Mapping_Sheet!$E$2:$E$3143),
Master_Mapping_Sheet!$H$2:$H$3143=O$1))), 0, sum(filter(
Master_Mapping_Sheet!$E$2:$E$3143, ISNUMBER(
Master_Mapping_Sheet!$E$2:$E$3143),
Master_Mapping_Sheet!$H$2:$H$3143=O$1,
Master_Mapping_Sheet!$K$2:$K$3143=VALUE(RIGH"&amp;"T($A6,1))))/sum(filter(
Master_Mapping_Sheet!$E$2:$E$3143, ISNUMBER(
Master_Mapping_Sheet!$E$2:$E$3143),
Master_Mapping_Sheet!$H$2:$H$3143=O$1)))"),0.09690213578129556)</f>
        <v>0.09690213578</v>
      </c>
      <c r="P6" s="34">
        <f>IFERROR(__xludf.DUMMYFUNCTION("IF(ISNA(sum(filter(
Master_Mapping_Sheet!$E$2:$E$3143, ISNUMBER(
Master_Mapping_Sheet!$E$2:$E$3143),
Master_Mapping_Sheet!$H$2:$H$3143=P$1,
Master_Mapping_Sheet!$K$2:$K$3143=VALUE(RIGHT($A6,1))))/sum(filter(
Master_Mapping_Sheet!$E$2:$E$3143, ISNUMBER(
Ma"&amp;"ster_Mapping_Sheet!$E$2:$E$3143),
Master_Mapping_Sheet!$H$2:$H$3143=P$1))), 0, sum(filter(
Master_Mapping_Sheet!$E$2:$E$3143, ISNUMBER(
Master_Mapping_Sheet!$E$2:$E$3143),
Master_Mapping_Sheet!$H$2:$H$3143=P$1,
Master_Mapping_Sheet!$K$2:$K$3143=VALUE(RIGH"&amp;"T($A6,1))))/sum(filter(
Master_Mapping_Sheet!$E$2:$E$3143, ISNUMBER(
Master_Mapping_Sheet!$E$2:$E$3143),
Master_Mapping_Sheet!$H$2:$H$3143=P$1)))"),0.35568078537267767)</f>
        <v>0.3556807854</v>
      </c>
      <c r="Q6" s="34">
        <f>IFERROR(__xludf.DUMMYFUNCTION("IF(ISNA(sum(filter(
Master_Mapping_Sheet!$E$2:$E$3143, ISNUMBER(
Master_Mapping_Sheet!$E$2:$E$3143),
Master_Mapping_Sheet!$H$2:$H$3143=Q$1,
Master_Mapping_Sheet!$K$2:$K$3143=VALUE(RIGHT($A6,1))))/sum(filter(
Master_Mapping_Sheet!$E$2:$E$3143, ISNUMBER(
Ma"&amp;"ster_Mapping_Sheet!$E$2:$E$3143),
Master_Mapping_Sheet!$H$2:$H$3143=Q$1))), 0, sum(filter(
Master_Mapping_Sheet!$E$2:$E$3143, ISNUMBER(
Master_Mapping_Sheet!$E$2:$E$3143),
Master_Mapping_Sheet!$H$2:$H$3143=Q$1,
Master_Mapping_Sheet!$K$2:$K$3143=VALUE(RIGH"&amp;"T($A6,1))))/sum(filter(
Master_Mapping_Sheet!$E$2:$E$3143, ISNUMBER(
Master_Mapping_Sheet!$E$2:$E$3143),
Master_Mapping_Sheet!$H$2:$H$3143=Q$1)))"),0.0711215070498871)</f>
        <v>0.07112150705</v>
      </c>
      <c r="R6" s="34">
        <f>IFERROR(__xludf.DUMMYFUNCTION("IF(ISNA(sum(filter(
Master_Mapping_Sheet!$E$2:$E$3143, ISNUMBER(
Master_Mapping_Sheet!$E$2:$E$3143),
Master_Mapping_Sheet!$H$2:$H$3143=R$1,
Master_Mapping_Sheet!$K$2:$K$3143=VALUE(RIGHT($A6,1))))/sum(filter(
Master_Mapping_Sheet!$E$2:$E$3143, ISNUMBER(
Ma"&amp;"ster_Mapping_Sheet!$E$2:$E$3143),
Master_Mapping_Sheet!$H$2:$H$3143=R$1))), 0, sum(filter(
Master_Mapping_Sheet!$E$2:$E$3143, ISNUMBER(
Master_Mapping_Sheet!$E$2:$E$3143),
Master_Mapping_Sheet!$H$2:$H$3143=R$1,
Master_Mapping_Sheet!$K$2:$K$3143=VALUE(RIGH"&amp;"T($A6,1))))/sum(filter(
Master_Mapping_Sheet!$E$2:$E$3143, ISNUMBER(
Master_Mapping_Sheet!$E$2:$E$3143),
Master_Mapping_Sheet!$H$2:$H$3143=R$1)))"),0.2873757346236099)</f>
        <v>0.2873757346</v>
      </c>
      <c r="S6" s="34">
        <f>IFERROR(__xludf.DUMMYFUNCTION("IF(ISNA(sum(filter(
Master_Mapping_Sheet!$E$2:$E$3143, ISNUMBER(
Master_Mapping_Sheet!$E$2:$E$3143),
Master_Mapping_Sheet!$H$2:$H$3143=S$1,
Master_Mapping_Sheet!$K$2:$K$3143=VALUE(RIGHT($A6,1))))/sum(filter(
Master_Mapping_Sheet!$E$2:$E$3143, ISNUMBER(
Ma"&amp;"ster_Mapping_Sheet!$E$2:$E$3143),
Master_Mapping_Sheet!$H$2:$H$3143=S$1))), 0, sum(filter(
Master_Mapping_Sheet!$E$2:$E$3143, ISNUMBER(
Master_Mapping_Sheet!$E$2:$E$3143),
Master_Mapping_Sheet!$H$2:$H$3143=S$1,
Master_Mapping_Sheet!$K$2:$K$3143=VALUE(RIGH"&amp;"T($A6,1))))/sum(filter(
Master_Mapping_Sheet!$E$2:$E$3143, ISNUMBER(
Master_Mapping_Sheet!$E$2:$E$3143),
Master_Mapping_Sheet!$H$2:$H$3143=S$1)))"),0.0)</f>
        <v>0</v>
      </c>
      <c r="T6" s="34">
        <f>IFERROR(__xludf.DUMMYFUNCTION("IF(ISNA(sum(filter(
Master_Mapping_Sheet!$E$2:$E$3143, ISNUMBER(
Master_Mapping_Sheet!$E$2:$E$3143),
Master_Mapping_Sheet!$H$2:$H$3143=T$1,
Master_Mapping_Sheet!$K$2:$K$3143=VALUE(RIGHT($A6,1))))/sum(filter(
Master_Mapping_Sheet!$E$2:$E$3143, ISNUMBER(
Ma"&amp;"ster_Mapping_Sheet!$E$2:$E$3143),
Master_Mapping_Sheet!$H$2:$H$3143=T$1))), 0, sum(filter(
Master_Mapping_Sheet!$E$2:$E$3143, ISNUMBER(
Master_Mapping_Sheet!$E$2:$E$3143),
Master_Mapping_Sheet!$H$2:$H$3143=T$1,
Master_Mapping_Sheet!$K$2:$K$3143=VALUE(RIGH"&amp;"T($A6,1))))/sum(filter(
Master_Mapping_Sheet!$E$2:$E$3143, ISNUMBER(
Master_Mapping_Sheet!$E$2:$E$3143),
Master_Mapping_Sheet!$H$2:$H$3143=T$1)))"),0.0)</f>
        <v>0</v>
      </c>
      <c r="U6" s="34">
        <f>IFERROR(__xludf.DUMMYFUNCTION("IF(ISNA(sum(filter(
Master_Mapping_Sheet!$E$2:$E$3143, ISNUMBER(
Master_Mapping_Sheet!$E$2:$E$3143),
Master_Mapping_Sheet!$H$2:$H$3143=U$1,
Master_Mapping_Sheet!$K$2:$K$3143=VALUE(RIGHT($A6,1))))/sum(filter(
Master_Mapping_Sheet!$E$2:$E$3143, ISNUMBER(
Ma"&amp;"ster_Mapping_Sheet!$E$2:$E$3143),
Master_Mapping_Sheet!$H$2:$H$3143=U$1))), 0, sum(filter(
Master_Mapping_Sheet!$E$2:$E$3143, ISNUMBER(
Master_Mapping_Sheet!$E$2:$E$3143),
Master_Mapping_Sheet!$H$2:$H$3143=U$1,
Master_Mapping_Sheet!$K$2:$K$3143=VALUE(RIGH"&amp;"T($A6,1))))/sum(filter(
Master_Mapping_Sheet!$E$2:$E$3143, ISNUMBER(
Master_Mapping_Sheet!$E$2:$E$3143),
Master_Mapping_Sheet!$H$2:$H$3143=U$1)))"),0.7532270099300753)</f>
        <v>0.7532270099</v>
      </c>
      <c r="V6" s="34">
        <f>IFERROR(__xludf.DUMMYFUNCTION("IF(ISNA(sum(filter(
Master_Mapping_Sheet!$E$2:$E$3143, ISNUMBER(
Master_Mapping_Sheet!$E$2:$E$3143),
Master_Mapping_Sheet!$H$2:$H$3143=V$1,
Master_Mapping_Sheet!$K$2:$K$3143=VALUE(RIGHT($A6,1))))/sum(filter(
Master_Mapping_Sheet!$E$2:$E$3143, ISNUMBER(
Ma"&amp;"ster_Mapping_Sheet!$E$2:$E$3143),
Master_Mapping_Sheet!$H$2:$H$3143=V$1))), 0, sum(filter(
Master_Mapping_Sheet!$E$2:$E$3143, ISNUMBER(
Master_Mapping_Sheet!$E$2:$E$3143),
Master_Mapping_Sheet!$H$2:$H$3143=V$1,
Master_Mapping_Sheet!$K$2:$K$3143=VALUE(RIGH"&amp;"T($A6,1))))/sum(filter(
Master_Mapping_Sheet!$E$2:$E$3143, ISNUMBER(
Master_Mapping_Sheet!$E$2:$E$3143),
Master_Mapping_Sheet!$H$2:$H$3143=V$1)))"),0.0)</f>
        <v>0</v>
      </c>
      <c r="W6" s="34">
        <f>IFERROR(__xludf.DUMMYFUNCTION("IF(ISNA(sum(filter(
Master_Mapping_Sheet!$E$2:$E$3143, ISNUMBER(
Master_Mapping_Sheet!$E$2:$E$3143),
Master_Mapping_Sheet!$H$2:$H$3143=W$1,
Master_Mapping_Sheet!$K$2:$K$3143=VALUE(RIGHT($A6,1))))/sum(filter(
Master_Mapping_Sheet!$E$2:$E$3143, ISNUMBER(
Ma"&amp;"ster_Mapping_Sheet!$E$2:$E$3143),
Master_Mapping_Sheet!$H$2:$H$3143=W$1))), 0, sum(filter(
Master_Mapping_Sheet!$E$2:$E$3143, ISNUMBER(
Master_Mapping_Sheet!$E$2:$E$3143),
Master_Mapping_Sheet!$H$2:$H$3143=W$1,
Master_Mapping_Sheet!$K$2:$K$3143=VALUE(RIGH"&amp;"T($A6,1))))/sum(filter(
Master_Mapping_Sheet!$E$2:$E$3143, ISNUMBER(
Master_Mapping_Sheet!$E$2:$E$3143),
Master_Mapping_Sheet!$H$2:$H$3143=W$1)))"),0.03971128122919935)</f>
        <v>0.03971128123</v>
      </c>
      <c r="X6" s="34">
        <f>IFERROR(__xludf.DUMMYFUNCTION("IF(ISNA(sum(filter(
Master_Mapping_Sheet!$E$2:$E$3143, ISNUMBER(
Master_Mapping_Sheet!$E$2:$E$3143),
Master_Mapping_Sheet!$H$2:$H$3143=X$1,
Master_Mapping_Sheet!$K$2:$K$3143=VALUE(RIGHT($A6,1))))/sum(filter(
Master_Mapping_Sheet!$E$2:$E$3143, ISNUMBER(
Ma"&amp;"ster_Mapping_Sheet!$E$2:$E$3143),
Master_Mapping_Sheet!$H$2:$H$3143=X$1))), 0, sum(filter(
Master_Mapping_Sheet!$E$2:$E$3143, ISNUMBER(
Master_Mapping_Sheet!$E$2:$E$3143),
Master_Mapping_Sheet!$H$2:$H$3143=X$1,
Master_Mapping_Sheet!$K$2:$K$3143=VALUE(RIGH"&amp;"T($A6,1))))/sum(filter(
Master_Mapping_Sheet!$E$2:$E$3143, ISNUMBER(
Master_Mapping_Sheet!$E$2:$E$3143),
Master_Mapping_Sheet!$H$2:$H$3143=X$1)))"),0.0)</f>
        <v>0</v>
      </c>
      <c r="Y6" s="34">
        <f>IFERROR(__xludf.DUMMYFUNCTION("IF(ISNA(sum(filter(
Master_Mapping_Sheet!$E$2:$E$3143, ISNUMBER(
Master_Mapping_Sheet!$E$2:$E$3143),
Master_Mapping_Sheet!$H$2:$H$3143=Y$1,
Master_Mapping_Sheet!$K$2:$K$3143=VALUE(RIGHT($A6,1))))/sum(filter(
Master_Mapping_Sheet!$E$2:$E$3143, ISNUMBER(
Ma"&amp;"ster_Mapping_Sheet!$E$2:$E$3143),
Master_Mapping_Sheet!$H$2:$H$3143=Y$1))), 0, sum(filter(
Master_Mapping_Sheet!$E$2:$E$3143, ISNUMBER(
Master_Mapping_Sheet!$E$2:$E$3143),
Master_Mapping_Sheet!$H$2:$H$3143=Y$1,
Master_Mapping_Sheet!$K$2:$K$3143=VALUE(RIGH"&amp;"T($A6,1))))/sum(filter(
Master_Mapping_Sheet!$E$2:$E$3143, ISNUMBER(
Master_Mapping_Sheet!$E$2:$E$3143),
Master_Mapping_Sheet!$H$2:$H$3143=Y$1)))"),0.0)</f>
        <v>0</v>
      </c>
      <c r="Z6" s="34">
        <f>IFERROR(__xludf.DUMMYFUNCTION("IF(ISNA(sum(filter(
Master_Mapping_Sheet!$E$2:$E$3143, ISNUMBER(
Master_Mapping_Sheet!$E$2:$E$3143),
Master_Mapping_Sheet!$H$2:$H$3143=Z$1,
Master_Mapping_Sheet!$K$2:$K$3143=VALUE(RIGHT($A6,1))))/sum(filter(
Master_Mapping_Sheet!$E$2:$E$3143, ISNUMBER(
Ma"&amp;"ster_Mapping_Sheet!$E$2:$E$3143),
Master_Mapping_Sheet!$H$2:$H$3143=Z$1))), 0, sum(filter(
Master_Mapping_Sheet!$E$2:$E$3143, ISNUMBER(
Master_Mapping_Sheet!$E$2:$E$3143),
Master_Mapping_Sheet!$H$2:$H$3143=Z$1,
Master_Mapping_Sheet!$K$2:$K$3143=VALUE(RIGH"&amp;"T($A6,1))))/sum(filter(
Master_Mapping_Sheet!$E$2:$E$3143, ISNUMBER(
Master_Mapping_Sheet!$E$2:$E$3143),
Master_Mapping_Sheet!$H$2:$H$3143=Z$1)))"),0.30497080748809235)</f>
        <v>0.3049708075</v>
      </c>
    </row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45" t="s">
        <v>98</v>
      </c>
      <c r="B1" s="32" t="s">
        <v>4010</v>
      </c>
      <c r="C1" s="32" t="s">
        <v>3989</v>
      </c>
      <c r="D1" s="32" t="s">
        <v>3996</v>
      </c>
      <c r="E1" s="32" t="s">
        <v>3992</v>
      </c>
      <c r="F1" s="32" t="s">
        <v>4003</v>
      </c>
      <c r="G1" s="32" t="s">
        <v>3974</v>
      </c>
      <c r="H1" s="32" t="s">
        <v>3985</v>
      </c>
      <c r="I1" s="32" t="s">
        <v>4006</v>
      </c>
      <c r="J1" s="32" t="s">
        <v>4005</v>
      </c>
      <c r="K1" s="32" t="s">
        <v>3987</v>
      </c>
      <c r="L1" s="32" t="s">
        <v>3997</v>
      </c>
      <c r="M1" s="32" t="s">
        <v>3994</v>
      </c>
      <c r="N1" s="32" t="s">
        <v>3988</v>
      </c>
      <c r="O1" s="32" t="s">
        <v>4009</v>
      </c>
      <c r="P1" s="32" t="s">
        <v>3969</v>
      </c>
      <c r="Q1" s="32" t="s">
        <v>3970</v>
      </c>
      <c r="R1" s="32" t="s">
        <v>3976</v>
      </c>
      <c r="S1" s="32" t="s">
        <v>4001</v>
      </c>
      <c r="T1" s="32" t="s">
        <v>3999</v>
      </c>
      <c r="U1" s="32" t="s">
        <v>3972</v>
      </c>
      <c r="V1" s="32" t="s">
        <v>3979</v>
      </c>
      <c r="W1" s="32" t="s">
        <v>3981</v>
      </c>
      <c r="X1" s="32" t="s">
        <v>3980</v>
      </c>
      <c r="Y1" s="32" t="s">
        <v>3983</v>
      </c>
      <c r="Z1" s="32" t="s">
        <v>3990</v>
      </c>
    </row>
    <row r="2" ht="15.75" customHeight="1">
      <c r="A2" s="45" t="s">
        <v>4251</v>
      </c>
      <c r="B2" s="34">
        <f>IFERROR(__xludf.DUMMYFUNCTION("IF(ISNA(sum(filter(
Master_Mapping_Sheet!$E$2:$E$3143, ISNUMBER(
Master_Mapping_Sheet!$E$2:$E$3143),
Master_Mapping_Sheet!$H$2:$H$3143=B$1,
Master_Mapping_Sheet!$M$2:$M$3143=VALUE(RIGHT($A2,1))))/sum(filter(
Master_Mapping_Sheet!$E$2:$E$3143, ISNUMBER(
Ma"&amp;"ster_Mapping_Sheet!$E$2:$E$3143),
Master_Mapping_Sheet!$H$2:$H$3143=B$1))), 0, sum(filter(
Master_Mapping_Sheet!$E$2:$E$3143, ISNUMBER(
Master_Mapping_Sheet!$E$2:$E$3143),
Master_Mapping_Sheet!$H$2:$H$3143=B$1,
Master_Mapping_Sheet!$M$2:$M$3143=VALUE(RIGH"&amp;"T($A2,1))))/sum(filter(
Master_Mapping_Sheet!$E$2:$E$3143, ISNUMBER(
Master_Mapping_Sheet!$E$2:$E$3143),
Master_Mapping_Sheet!$H$2:$H$3143=B$1)))"),0.0)</f>
        <v>0</v>
      </c>
      <c r="C2" s="34">
        <f>IFERROR(__xludf.DUMMYFUNCTION("IF(ISNA(sum(filter(
Master_Mapping_Sheet!$E$2:$E$3143, ISNUMBER(
Master_Mapping_Sheet!$E$2:$E$3143),
Master_Mapping_Sheet!$H$2:$H$3143=C$1,
Master_Mapping_Sheet!$M$2:$M$3143=VALUE(RIGHT($A2,1))))/sum(filter(
Master_Mapping_Sheet!$E$2:$E$3143, ISNUMBER(
Ma"&amp;"ster_Mapping_Sheet!$E$2:$E$3143),
Master_Mapping_Sheet!$H$2:$H$3143=C$1))), 0, sum(filter(
Master_Mapping_Sheet!$E$2:$E$3143, ISNUMBER(
Master_Mapping_Sheet!$E$2:$E$3143),
Master_Mapping_Sheet!$H$2:$H$3143=C$1,
Master_Mapping_Sheet!$M$2:$M$3143=VALUE(RIGH"&amp;"T($A2,1))))/sum(filter(
Master_Mapping_Sheet!$E$2:$E$3143, ISNUMBER(
Master_Mapping_Sheet!$E$2:$E$3143),
Master_Mapping_Sheet!$H$2:$H$3143=C$1)))"),0.22039298065513674)</f>
        <v>0.2203929807</v>
      </c>
      <c r="D2" s="34">
        <f>IFERROR(__xludf.DUMMYFUNCTION("IF(ISNA(sum(filter(
Master_Mapping_Sheet!$E$2:$E$3143, ISNUMBER(
Master_Mapping_Sheet!$E$2:$E$3143),
Master_Mapping_Sheet!$H$2:$H$3143=D$1,
Master_Mapping_Sheet!$M$2:$M$3143=VALUE(RIGHT($A2,1))))/sum(filter(
Master_Mapping_Sheet!$E$2:$E$3143, ISNUMBER(
Ma"&amp;"ster_Mapping_Sheet!$E$2:$E$3143),
Master_Mapping_Sheet!$H$2:$H$3143=D$1))), 0, sum(filter(
Master_Mapping_Sheet!$E$2:$E$3143, ISNUMBER(
Master_Mapping_Sheet!$E$2:$E$3143),
Master_Mapping_Sheet!$H$2:$H$3143=D$1,
Master_Mapping_Sheet!$M$2:$M$3143=VALUE(RIGH"&amp;"T($A2,1))))/sum(filter(
Master_Mapping_Sheet!$E$2:$E$3143, ISNUMBER(
Master_Mapping_Sheet!$E$2:$E$3143),
Master_Mapping_Sheet!$H$2:$H$3143=D$1)))"),0.0)</f>
        <v>0</v>
      </c>
      <c r="E2" s="34">
        <f>IFERROR(__xludf.DUMMYFUNCTION("IF(ISNA(sum(filter(
Master_Mapping_Sheet!$E$2:$E$3143, ISNUMBER(
Master_Mapping_Sheet!$E$2:$E$3143),
Master_Mapping_Sheet!$H$2:$H$3143=E$1,
Master_Mapping_Sheet!$M$2:$M$3143=VALUE(RIGHT($A2,1))))/sum(filter(
Master_Mapping_Sheet!$E$2:$E$3143, ISNUMBER(
Ma"&amp;"ster_Mapping_Sheet!$E$2:$E$3143),
Master_Mapping_Sheet!$H$2:$H$3143=E$1))), 0, sum(filter(
Master_Mapping_Sheet!$E$2:$E$3143, ISNUMBER(
Master_Mapping_Sheet!$E$2:$E$3143),
Master_Mapping_Sheet!$H$2:$H$3143=E$1,
Master_Mapping_Sheet!$M$2:$M$3143=VALUE(RIGH"&amp;"T($A2,1))))/sum(filter(
Master_Mapping_Sheet!$E$2:$E$3143, ISNUMBER(
Master_Mapping_Sheet!$E$2:$E$3143),
Master_Mapping_Sheet!$H$2:$H$3143=E$1)))"),0.0)</f>
        <v>0</v>
      </c>
      <c r="F2" s="34">
        <f>IFERROR(__xludf.DUMMYFUNCTION("IF(ISNA(sum(filter(
Master_Mapping_Sheet!$E$2:$E$3143, ISNUMBER(
Master_Mapping_Sheet!$E$2:$E$3143),
Master_Mapping_Sheet!$H$2:$H$3143=F$1,
Master_Mapping_Sheet!$M$2:$M$3143=VALUE(RIGHT($A2,1))))/sum(filter(
Master_Mapping_Sheet!$E$2:$E$3143, ISNUMBER(
Ma"&amp;"ster_Mapping_Sheet!$E$2:$E$3143),
Master_Mapping_Sheet!$H$2:$H$3143=F$1))), 0, sum(filter(
Master_Mapping_Sheet!$E$2:$E$3143, ISNUMBER(
Master_Mapping_Sheet!$E$2:$E$3143),
Master_Mapping_Sheet!$H$2:$H$3143=F$1,
Master_Mapping_Sheet!$M$2:$M$3143=VALUE(RIGH"&amp;"T($A2,1))))/sum(filter(
Master_Mapping_Sheet!$E$2:$E$3143, ISNUMBER(
Master_Mapping_Sheet!$E$2:$E$3143),
Master_Mapping_Sheet!$H$2:$H$3143=F$1)))"),0.0)</f>
        <v>0</v>
      </c>
      <c r="G2" s="34">
        <f>IFERROR(__xludf.DUMMYFUNCTION("IF(ISNA(sum(filter(
Master_Mapping_Sheet!$E$2:$E$3143, ISNUMBER(
Master_Mapping_Sheet!$E$2:$E$3143),
Master_Mapping_Sheet!$H$2:$H$3143=G$1,
Master_Mapping_Sheet!$M$2:$M$3143=VALUE(RIGHT($A2,1))))/sum(filter(
Master_Mapping_Sheet!$E$2:$E$3143, ISNUMBER(
Ma"&amp;"ster_Mapping_Sheet!$E$2:$E$3143),
Master_Mapping_Sheet!$H$2:$H$3143=G$1))), 0, sum(filter(
Master_Mapping_Sheet!$E$2:$E$3143, ISNUMBER(
Master_Mapping_Sheet!$E$2:$E$3143),
Master_Mapping_Sheet!$H$2:$H$3143=G$1,
Master_Mapping_Sheet!$M$2:$M$3143=VALUE(RIGH"&amp;"T($A2,1))))/sum(filter(
Master_Mapping_Sheet!$E$2:$E$3143, ISNUMBER(
Master_Mapping_Sheet!$E$2:$E$3143),
Master_Mapping_Sheet!$H$2:$H$3143=G$1)))"),0.0)</f>
        <v>0</v>
      </c>
      <c r="H2" s="34">
        <f>IFERROR(__xludf.DUMMYFUNCTION("IF(ISNA(sum(filter(
Master_Mapping_Sheet!$E$2:$E$3143, ISNUMBER(
Master_Mapping_Sheet!$E$2:$E$3143),
Master_Mapping_Sheet!$H$2:$H$3143=H$1,
Master_Mapping_Sheet!$M$2:$M$3143=VALUE(RIGHT($A2,1))))/sum(filter(
Master_Mapping_Sheet!$E$2:$E$3143, ISNUMBER(
Ma"&amp;"ster_Mapping_Sheet!$E$2:$E$3143),
Master_Mapping_Sheet!$H$2:$H$3143=H$1))), 0, sum(filter(
Master_Mapping_Sheet!$E$2:$E$3143, ISNUMBER(
Master_Mapping_Sheet!$E$2:$E$3143),
Master_Mapping_Sheet!$H$2:$H$3143=H$1,
Master_Mapping_Sheet!$M$2:$M$3143=VALUE(RIGH"&amp;"T($A2,1))))/sum(filter(
Master_Mapping_Sheet!$E$2:$E$3143, ISNUMBER(
Master_Mapping_Sheet!$E$2:$E$3143),
Master_Mapping_Sheet!$H$2:$H$3143=H$1)))"),0.0)</f>
        <v>0</v>
      </c>
      <c r="I2" s="34">
        <f>IFERROR(__xludf.DUMMYFUNCTION("IF(ISNA(sum(filter(
Master_Mapping_Sheet!$E$2:$E$3143, ISNUMBER(
Master_Mapping_Sheet!$E$2:$E$3143),
Master_Mapping_Sheet!$H$2:$H$3143=I$1,
Master_Mapping_Sheet!$M$2:$M$3143=VALUE(RIGHT($A2,1))))/sum(filter(
Master_Mapping_Sheet!$E$2:$E$3143, ISNUMBER(
Ma"&amp;"ster_Mapping_Sheet!$E$2:$E$3143),
Master_Mapping_Sheet!$H$2:$H$3143=I$1))), 0, sum(filter(
Master_Mapping_Sheet!$E$2:$E$3143, ISNUMBER(
Master_Mapping_Sheet!$E$2:$E$3143),
Master_Mapping_Sheet!$H$2:$H$3143=I$1,
Master_Mapping_Sheet!$M$2:$M$3143=VALUE(RIGH"&amp;"T($A2,1))))/sum(filter(
Master_Mapping_Sheet!$E$2:$E$3143, ISNUMBER(
Master_Mapping_Sheet!$E$2:$E$3143),
Master_Mapping_Sheet!$H$2:$H$3143=I$1)))"),0.0)</f>
        <v>0</v>
      </c>
      <c r="J2" s="34">
        <f>IFERROR(__xludf.DUMMYFUNCTION("IF(ISNA(sum(filter(
Master_Mapping_Sheet!$E$2:$E$3143, ISNUMBER(
Master_Mapping_Sheet!$E$2:$E$3143),
Master_Mapping_Sheet!$H$2:$H$3143=J$1,
Master_Mapping_Sheet!$M$2:$M$3143=VALUE(RIGHT($A2,1))))/sum(filter(
Master_Mapping_Sheet!$E$2:$E$3143, ISNUMBER(
Ma"&amp;"ster_Mapping_Sheet!$E$2:$E$3143),
Master_Mapping_Sheet!$H$2:$H$3143=J$1))), 0, sum(filter(
Master_Mapping_Sheet!$E$2:$E$3143, ISNUMBER(
Master_Mapping_Sheet!$E$2:$E$3143),
Master_Mapping_Sheet!$H$2:$H$3143=J$1,
Master_Mapping_Sheet!$M$2:$M$3143=VALUE(RIGH"&amp;"T($A2,1))))/sum(filter(
Master_Mapping_Sheet!$E$2:$E$3143, ISNUMBER(
Master_Mapping_Sheet!$E$2:$E$3143),
Master_Mapping_Sheet!$H$2:$H$3143=J$1)))"),0.0)</f>
        <v>0</v>
      </c>
      <c r="K2" s="34">
        <f>IFERROR(__xludf.DUMMYFUNCTION("IF(ISNA(sum(filter(
Master_Mapping_Sheet!$E$2:$E$3143, ISNUMBER(
Master_Mapping_Sheet!$E$2:$E$3143),
Master_Mapping_Sheet!$H$2:$H$3143=K$1,
Master_Mapping_Sheet!$M$2:$M$3143=VALUE(RIGHT($A2,1))))/sum(filter(
Master_Mapping_Sheet!$E$2:$E$3143, ISNUMBER(
Ma"&amp;"ster_Mapping_Sheet!$E$2:$E$3143),
Master_Mapping_Sheet!$H$2:$H$3143=K$1))), 0, sum(filter(
Master_Mapping_Sheet!$E$2:$E$3143, ISNUMBER(
Master_Mapping_Sheet!$E$2:$E$3143),
Master_Mapping_Sheet!$H$2:$H$3143=K$1,
Master_Mapping_Sheet!$M$2:$M$3143=VALUE(RIGH"&amp;"T($A2,1))))/sum(filter(
Master_Mapping_Sheet!$E$2:$E$3143, ISNUMBER(
Master_Mapping_Sheet!$E$2:$E$3143),
Master_Mapping_Sheet!$H$2:$H$3143=K$1)))"),0.0)</f>
        <v>0</v>
      </c>
      <c r="L2" s="34">
        <f>IFERROR(__xludf.DUMMYFUNCTION("IF(ISNA(sum(filter(
Master_Mapping_Sheet!$E$2:$E$3143, ISNUMBER(
Master_Mapping_Sheet!$E$2:$E$3143),
Master_Mapping_Sheet!$H$2:$H$3143=L$1,
Master_Mapping_Sheet!$M$2:$M$3143=VALUE(RIGHT($A2,1))))/sum(filter(
Master_Mapping_Sheet!$E$2:$E$3143, ISNUMBER(
Ma"&amp;"ster_Mapping_Sheet!$E$2:$E$3143),
Master_Mapping_Sheet!$H$2:$H$3143=L$1))), 0, sum(filter(
Master_Mapping_Sheet!$E$2:$E$3143, ISNUMBER(
Master_Mapping_Sheet!$E$2:$E$3143),
Master_Mapping_Sheet!$H$2:$H$3143=L$1,
Master_Mapping_Sheet!$M$2:$M$3143=VALUE(RIGH"&amp;"T($A2,1))))/sum(filter(
Master_Mapping_Sheet!$E$2:$E$3143, ISNUMBER(
Master_Mapping_Sheet!$E$2:$E$3143),
Master_Mapping_Sheet!$H$2:$H$3143=L$1)))"),0.0)</f>
        <v>0</v>
      </c>
      <c r="M2" s="34">
        <f>IFERROR(__xludf.DUMMYFUNCTION("IF(ISNA(sum(filter(
Master_Mapping_Sheet!$E$2:$E$3143, ISNUMBER(
Master_Mapping_Sheet!$E$2:$E$3143),
Master_Mapping_Sheet!$H$2:$H$3143=M$1,
Master_Mapping_Sheet!$M$2:$M$3143=VALUE(RIGHT($A2,1))))/sum(filter(
Master_Mapping_Sheet!$E$2:$E$3143, ISNUMBER(
Ma"&amp;"ster_Mapping_Sheet!$E$2:$E$3143),
Master_Mapping_Sheet!$H$2:$H$3143=M$1))), 0, sum(filter(
Master_Mapping_Sheet!$E$2:$E$3143, ISNUMBER(
Master_Mapping_Sheet!$E$2:$E$3143),
Master_Mapping_Sheet!$H$2:$H$3143=M$1,
Master_Mapping_Sheet!$M$2:$M$3143=VALUE(RIGH"&amp;"T($A2,1))))/sum(filter(
Master_Mapping_Sheet!$E$2:$E$3143, ISNUMBER(
Master_Mapping_Sheet!$E$2:$E$3143),
Master_Mapping_Sheet!$H$2:$H$3143=M$1)))"),0.0)</f>
        <v>0</v>
      </c>
      <c r="N2" s="34">
        <f>IFERROR(__xludf.DUMMYFUNCTION("IF(ISNA(sum(filter(
Master_Mapping_Sheet!$E$2:$E$3143, ISNUMBER(
Master_Mapping_Sheet!$E$2:$E$3143),
Master_Mapping_Sheet!$H$2:$H$3143=N$1,
Master_Mapping_Sheet!$M$2:$M$3143=VALUE(RIGHT($A2,1))))/sum(filter(
Master_Mapping_Sheet!$E$2:$E$3143, ISNUMBER(
Ma"&amp;"ster_Mapping_Sheet!$E$2:$E$3143),
Master_Mapping_Sheet!$H$2:$H$3143=N$1))), 0, sum(filter(
Master_Mapping_Sheet!$E$2:$E$3143, ISNUMBER(
Master_Mapping_Sheet!$E$2:$E$3143),
Master_Mapping_Sheet!$H$2:$H$3143=N$1,
Master_Mapping_Sheet!$M$2:$M$3143=VALUE(RIGH"&amp;"T($A2,1))))/sum(filter(
Master_Mapping_Sheet!$E$2:$E$3143, ISNUMBER(
Master_Mapping_Sheet!$E$2:$E$3143),
Master_Mapping_Sheet!$H$2:$H$3143=N$1)))"),0.0)</f>
        <v>0</v>
      </c>
      <c r="O2" s="34">
        <f>IFERROR(__xludf.DUMMYFUNCTION("IF(ISNA(sum(filter(
Master_Mapping_Sheet!$E$2:$E$3143, ISNUMBER(
Master_Mapping_Sheet!$E$2:$E$3143),
Master_Mapping_Sheet!$H$2:$H$3143=O$1,
Master_Mapping_Sheet!$M$2:$M$3143=VALUE(RIGHT($A2,1))))/sum(filter(
Master_Mapping_Sheet!$E$2:$E$3143, ISNUMBER(
Ma"&amp;"ster_Mapping_Sheet!$E$2:$E$3143),
Master_Mapping_Sheet!$H$2:$H$3143=O$1))), 0, sum(filter(
Master_Mapping_Sheet!$E$2:$E$3143, ISNUMBER(
Master_Mapping_Sheet!$E$2:$E$3143),
Master_Mapping_Sheet!$H$2:$H$3143=O$1,
Master_Mapping_Sheet!$M$2:$M$3143=VALUE(RIGH"&amp;"T($A2,1))))/sum(filter(
Master_Mapping_Sheet!$E$2:$E$3143, ISNUMBER(
Master_Mapping_Sheet!$E$2:$E$3143),
Master_Mapping_Sheet!$H$2:$H$3143=O$1)))"),0.0)</f>
        <v>0</v>
      </c>
      <c r="P2" s="34">
        <f>IFERROR(__xludf.DUMMYFUNCTION("IF(ISNA(sum(filter(
Master_Mapping_Sheet!$E$2:$E$3143, ISNUMBER(
Master_Mapping_Sheet!$E$2:$E$3143),
Master_Mapping_Sheet!$H$2:$H$3143=P$1,
Master_Mapping_Sheet!$M$2:$M$3143=VALUE(RIGHT($A2,1))))/sum(filter(
Master_Mapping_Sheet!$E$2:$E$3143, ISNUMBER(
Ma"&amp;"ster_Mapping_Sheet!$E$2:$E$3143),
Master_Mapping_Sheet!$H$2:$H$3143=P$1))), 0, sum(filter(
Master_Mapping_Sheet!$E$2:$E$3143, ISNUMBER(
Master_Mapping_Sheet!$E$2:$E$3143),
Master_Mapping_Sheet!$H$2:$H$3143=P$1,
Master_Mapping_Sheet!$M$2:$M$3143=VALUE(RIGH"&amp;"T($A2,1))))/sum(filter(
Master_Mapping_Sheet!$E$2:$E$3143, ISNUMBER(
Master_Mapping_Sheet!$E$2:$E$3143),
Master_Mapping_Sheet!$H$2:$H$3143=P$1)))"),0.0)</f>
        <v>0</v>
      </c>
      <c r="Q2" s="34">
        <f>IFERROR(__xludf.DUMMYFUNCTION("IF(ISNA(sum(filter(
Master_Mapping_Sheet!$E$2:$E$3143, ISNUMBER(
Master_Mapping_Sheet!$E$2:$E$3143),
Master_Mapping_Sheet!$H$2:$H$3143=Q$1,
Master_Mapping_Sheet!$M$2:$M$3143=VALUE(RIGHT($A2,1))))/sum(filter(
Master_Mapping_Sheet!$E$2:$E$3143, ISNUMBER(
Ma"&amp;"ster_Mapping_Sheet!$E$2:$E$3143),
Master_Mapping_Sheet!$H$2:$H$3143=Q$1))), 0, sum(filter(
Master_Mapping_Sheet!$E$2:$E$3143, ISNUMBER(
Master_Mapping_Sheet!$E$2:$E$3143),
Master_Mapping_Sheet!$H$2:$H$3143=Q$1,
Master_Mapping_Sheet!$M$2:$M$3143=VALUE(RIGH"&amp;"T($A2,1))))/sum(filter(
Master_Mapping_Sheet!$E$2:$E$3143, ISNUMBER(
Master_Mapping_Sheet!$E$2:$E$3143),
Master_Mapping_Sheet!$H$2:$H$3143=Q$1)))"),0.0)</f>
        <v>0</v>
      </c>
      <c r="R2" s="34">
        <f>IFERROR(__xludf.DUMMYFUNCTION("IF(ISNA(sum(filter(
Master_Mapping_Sheet!$E$2:$E$3143, ISNUMBER(
Master_Mapping_Sheet!$E$2:$E$3143),
Master_Mapping_Sheet!$H$2:$H$3143=R$1,
Master_Mapping_Sheet!$M$2:$M$3143=VALUE(RIGHT($A2,1))))/sum(filter(
Master_Mapping_Sheet!$E$2:$E$3143, ISNUMBER(
Ma"&amp;"ster_Mapping_Sheet!$E$2:$E$3143),
Master_Mapping_Sheet!$H$2:$H$3143=R$1))), 0, sum(filter(
Master_Mapping_Sheet!$E$2:$E$3143, ISNUMBER(
Master_Mapping_Sheet!$E$2:$E$3143),
Master_Mapping_Sheet!$H$2:$H$3143=R$1,
Master_Mapping_Sheet!$M$2:$M$3143=VALUE(RIGH"&amp;"T($A2,1))))/sum(filter(
Master_Mapping_Sheet!$E$2:$E$3143, ISNUMBER(
Master_Mapping_Sheet!$E$2:$E$3143),
Master_Mapping_Sheet!$H$2:$H$3143=R$1)))"),0.0)</f>
        <v>0</v>
      </c>
      <c r="S2" s="34">
        <f>IFERROR(__xludf.DUMMYFUNCTION("IF(ISNA(sum(filter(
Master_Mapping_Sheet!$E$2:$E$3143, ISNUMBER(
Master_Mapping_Sheet!$E$2:$E$3143),
Master_Mapping_Sheet!$H$2:$H$3143=S$1,
Master_Mapping_Sheet!$M$2:$M$3143=VALUE(RIGHT($A2,1))))/sum(filter(
Master_Mapping_Sheet!$E$2:$E$3143, ISNUMBER(
Ma"&amp;"ster_Mapping_Sheet!$E$2:$E$3143),
Master_Mapping_Sheet!$H$2:$H$3143=S$1))), 0, sum(filter(
Master_Mapping_Sheet!$E$2:$E$3143, ISNUMBER(
Master_Mapping_Sheet!$E$2:$E$3143),
Master_Mapping_Sheet!$H$2:$H$3143=S$1,
Master_Mapping_Sheet!$M$2:$M$3143=VALUE(RIGH"&amp;"T($A2,1))))/sum(filter(
Master_Mapping_Sheet!$E$2:$E$3143, ISNUMBER(
Master_Mapping_Sheet!$E$2:$E$3143),
Master_Mapping_Sheet!$H$2:$H$3143=S$1)))"),0.0)</f>
        <v>0</v>
      </c>
      <c r="T2" s="34">
        <f>IFERROR(__xludf.DUMMYFUNCTION("IF(ISNA(sum(filter(
Master_Mapping_Sheet!$E$2:$E$3143, ISNUMBER(
Master_Mapping_Sheet!$E$2:$E$3143),
Master_Mapping_Sheet!$H$2:$H$3143=T$1,
Master_Mapping_Sheet!$M$2:$M$3143=VALUE(RIGHT($A2,1))))/sum(filter(
Master_Mapping_Sheet!$E$2:$E$3143, ISNUMBER(
Ma"&amp;"ster_Mapping_Sheet!$E$2:$E$3143),
Master_Mapping_Sheet!$H$2:$H$3143=T$1))), 0, sum(filter(
Master_Mapping_Sheet!$E$2:$E$3143, ISNUMBER(
Master_Mapping_Sheet!$E$2:$E$3143),
Master_Mapping_Sheet!$H$2:$H$3143=T$1,
Master_Mapping_Sheet!$M$2:$M$3143=VALUE(RIGH"&amp;"T($A2,1))))/sum(filter(
Master_Mapping_Sheet!$E$2:$E$3143, ISNUMBER(
Master_Mapping_Sheet!$E$2:$E$3143),
Master_Mapping_Sheet!$H$2:$H$3143=T$1)))"),0.0)</f>
        <v>0</v>
      </c>
      <c r="U2" s="34">
        <f>IFERROR(__xludf.DUMMYFUNCTION("IF(ISNA(sum(filter(
Master_Mapping_Sheet!$E$2:$E$3143, ISNUMBER(
Master_Mapping_Sheet!$E$2:$E$3143),
Master_Mapping_Sheet!$H$2:$H$3143=U$1,
Master_Mapping_Sheet!$M$2:$M$3143=VALUE(RIGHT($A2,1))))/sum(filter(
Master_Mapping_Sheet!$E$2:$E$3143, ISNUMBER(
Ma"&amp;"ster_Mapping_Sheet!$E$2:$E$3143),
Master_Mapping_Sheet!$H$2:$H$3143=U$1))), 0, sum(filter(
Master_Mapping_Sheet!$E$2:$E$3143, ISNUMBER(
Master_Mapping_Sheet!$E$2:$E$3143),
Master_Mapping_Sheet!$H$2:$H$3143=U$1,
Master_Mapping_Sheet!$M$2:$M$3143=VALUE(RIGH"&amp;"T($A2,1))))/sum(filter(
Master_Mapping_Sheet!$E$2:$E$3143, ISNUMBER(
Master_Mapping_Sheet!$E$2:$E$3143),
Master_Mapping_Sheet!$H$2:$H$3143=U$1)))"),0.0)</f>
        <v>0</v>
      </c>
      <c r="V2" s="34">
        <f>IFERROR(__xludf.DUMMYFUNCTION("IF(ISNA(sum(filter(
Master_Mapping_Sheet!$E$2:$E$3143, ISNUMBER(
Master_Mapping_Sheet!$E$2:$E$3143),
Master_Mapping_Sheet!$H$2:$H$3143=V$1,
Master_Mapping_Sheet!$M$2:$M$3143=VALUE(RIGHT($A2,1))))/sum(filter(
Master_Mapping_Sheet!$E$2:$E$3143, ISNUMBER(
Ma"&amp;"ster_Mapping_Sheet!$E$2:$E$3143),
Master_Mapping_Sheet!$H$2:$H$3143=V$1))), 0, sum(filter(
Master_Mapping_Sheet!$E$2:$E$3143, ISNUMBER(
Master_Mapping_Sheet!$E$2:$E$3143),
Master_Mapping_Sheet!$H$2:$H$3143=V$1,
Master_Mapping_Sheet!$M$2:$M$3143=VALUE(RIGH"&amp;"T($A2,1))))/sum(filter(
Master_Mapping_Sheet!$E$2:$E$3143, ISNUMBER(
Master_Mapping_Sheet!$E$2:$E$3143),
Master_Mapping_Sheet!$H$2:$H$3143=V$1)))"),0.0)</f>
        <v>0</v>
      </c>
      <c r="W2" s="34">
        <f>IFERROR(__xludf.DUMMYFUNCTION("IF(ISNA(sum(filter(
Master_Mapping_Sheet!$E$2:$E$3143, ISNUMBER(
Master_Mapping_Sheet!$E$2:$E$3143),
Master_Mapping_Sheet!$H$2:$H$3143=W$1,
Master_Mapping_Sheet!$M$2:$M$3143=VALUE(RIGHT($A2,1))))/sum(filter(
Master_Mapping_Sheet!$E$2:$E$3143, ISNUMBER(
Ma"&amp;"ster_Mapping_Sheet!$E$2:$E$3143),
Master_Mapping_Sheet!$H$2:$H$3143=W$1))), 0, sum(filter(
Master_Mapping_Sheet!$E$2:$E$3143, ISNUMBER(
Master_Mapping_Sheet!$E$2:$E$3143),
Master_Mapping_Sheet!$H$2:$H$3143=W$1,
Master_Mapping_Sheet!$M$2:$M$3143=VALUE(RIGH"&amp;"T($A2,1))))/sum(filter(
Master_Mapping_Sheet!$E$2:$E$3143, ISNUMBER(
Master_Mapping_Sheet!$E$2:$E$3143),
Master_Mapping_Sheet!$H$2:$H$3143=W$1)))"),0.0)</f>
        <v>0</v>
      </c>
      <c r="X2" s="34">
        <f>IFERROR(__xludf.DUMMYFUNCTION("IF(ISNA(sum(filter(
Master_Mapping_Sheet!$E$2:$E$3143, ISNUMBER(
Master_Mapping_Sheet!$E$2:$E$3143),
Master_Mapping_Sheet!$H$2:$H$3143=X$1,
Master_Mapping_Sheet!$M$2:$M$3143=VALUE(RIGHT($A2,1))))/sum(filter(
Master_Mapping_Sheet!$E$2:$E$3143, ISNUMBER(
Ma"&amp;"ster_Mapping_Sheet!$E$2:$E$3143),
Master_Mapping_Sheet!$H$2:$H$3143=X$1))), 0, sum(filter(
Master_Mapping_Sheet!$E$2:$E$3143, ISNUMBER(
Master_Mapping_Sheet!$E$2:$E$3143),
Master_Mapping_Sheet!$H$2:$H$3143=X$1,
Master_Mapping_Sheet!$M$2:$M$3143=VALUE(RIGH"&amp;"T($A2,1))))/sum(filter(
Master_Mapping_Sheet!$E$2:$E$3143, ISNUMBER(
Master_Mapping_Sheet!$E$2:$E$3143),
Master_Mapping_Sheet!$H$2:$H$3143=X$1)))"),0.0)</f>
        <v>0</v>
      </c>
      <c r="Y2" s="34">
        <f>IFERROR(__xludf.DUMMYFUNCTION("IF(ISNA(sum(filter(
Master_Mapping_Sheet!$E$2:$E$3143, ISNUMBER(
Master_Mapping_Sheet!$E$2:$E$3143),
Master_Mapping_Sheet!$H$2:$H$3143=Y$1,
Master_Mapping_Sheet!$M$2:$M$3143=VALUE(RIGHT($A2,1))))/sum(filter(
Master_Mapping_Sheet!$E$2:$E$3143, ISNUMBER(
Ma"&amp;"ster_Mapping_Sheet!$E$2:$E$3143),
Master_Mapping_Sheet!$H$2:$H$3143=Y$1))), 0, sum(filter(
Master_Mapping_Sheet!$E$2:$E$3143, ISNUMBER(
Master_Mapping_Sheet!$E$2:$E$3143),
Master_Mapping_Sheet!$H$2:$H$3143=Y$1,
Master_Mapping_Sheet!$M$2:$M$3143=VALUE(RIGH"&amp;"T($A2,1))))/sum(filter(
Master_Mapping_Sheet!$E$2:$E$3143, ISNUMBER(
Master_Mapping_Sheet!$E$2:$E$3143),
Master_Mapping_Sheet!$H$2:$H$3143=Y$1)))"),0.0)</f>
        <v>0</v>
      </c>
      <c r="Z2" s="34">
        <f>IFERROR(__xludf.DUMMYFUNCTION("IF(ISNA(sum(filter(
Master_Mapping_Sheet!$E$2:$E$3143, ISNUMBER(
Master_Mapping_Sheet!$E$2:$E$3143),
Master_Mapping_Sheet!$H$2:$H$3143=Z$1,
Master_Mapping_Sheet!$M$2:$M$3143=VALUE(RIGHT($A2,1))))/sum(filter(
Master_Mapping_Sheet!$E$2:$E$3143, ISNUMBER(
Ma"&amp;"ster_Mapping_Sheet!$E$2:$E$3143),
Master_Mapping_Sheet!$H$2:$H$3143=Z$1))), 0, sum(filter(
Master_Mapping_Sheet!$E$2:$E$3143, ISNUMBER(
Master_Mapping_Sheet!$E$2:$E$3143),
Master_Mapping_Sheet!$H$2:$H$3143=Z$1,
Master_Mapping_Sheet!$M$2:$M$3143=VALUE(RIGH"&amp;"T($A2,1))))/sum(filter(
Master_Mapping_Sheet!$E$2:$E$3143, ISNUMBER(
Master_Mapping_Sheet!$E$2:$E$3143),
Master_Mapping_Sheet!$H$2:$H$3143=Z$1)))"),0.0)</f>
        <v>0</v>
      </c>
    </row>
    <row r="3" ht="15.75" customHeight="1">
      <c r="A3" s="45" t="s">
        <v>4252</v>
      </c>
      <c r="B3" s="34">
        <f>IFERROR(__xludf.DUMMYFUNCTION("IF(ISNA(sum(filter(
Master_Mapping_Sheet!$E$2:$E$3143, ISNUMBER(
Master_Mapping_Sheet!$E$2:$E$3143),
Master_Mapping_Sheet!$H$2:$H$3143=B$1,
Master_Mapping_Sheet!$M$2:$M$3143=VALUE(RIGHT($A3,1))))/sum(filter(
Master_Mapping_Sheet!$E$2:$E$3143, ISNUMBER(
Ma"&amp;"ster_Mapping_Sheet!$E$2:$E$3143),
Master_Mapping_Sheet!$H$2:$H$3143=B$1))), 0, sum(filter(
Master_Mapping_Sheet!$E$2:$E$3143, ISNUMBER(
Master_Mapping_Sheet!$E$2:$E$3143),
Master_Mapping_Sheet!$H$2:$H$3143=B$1,
Master_Mapping_Sheet!$M$2:$M$3143=VALUE(RIGH"&amp;"T($A3,1))))/sum(filter(
Master_Mapping_Sheet!$E$2:$E$3143, ISNUMBER(
Master_Mapping_Sheet!$E$2:$E$3143),
Master_Mapping_Sheet!$H$2:$H$3143=B$1)))"),0.5971136810326294)</f>
        <v>0.597113681</v>
      </c>
      <c r="C3" s="34">
        <f>IFERROR(__xludf.DUMMYFUNCTION("IF(ISNA(sum(filter(
Master_Mapping_Sheet!$E$2:$E$3143, ISNUMBER(
Master_Mapping_Sheet!$E$2:$E$3143),
Master_Mapping_Sheet!$H$2:$H$3143=C$1,
Master_Mapping_Sheet!$M$2:$M$3143=VALUE(RIGHT($A3,1))))/sum(filter(
Master_Mapping_Sheet!$E$2:$E$3143, ISNUMBER(
Ma"&amp;"ster_Mapping_Sheet!$E$2:$E$3143),
Master_Mapping_Sheet!$H$2:$H$3143=C$1))), 0, sum(filter(
Master_Mapping_Sheet!$E$2:$E$3143, ISNUMBER(
Master_Mapping_Sheet!$E$2:$E$3143),
Master_Mapping_Sheet!$H$2:$H$3143=C$1,
Master_Mapping_Sheet!$M$2:$M$3143=VALUE(RIGH"&amp;"T($A3,1))))/sum(filter(
Master_Mapping_Sheet!$E$2:$E$3143, ISNUMBER(
Master_Mapping_Sheet!$E$2:$E$3143),
Master_Mapping_Sheet!$H$2:$H$3143=C$1)))"),0.7796070193448632)</f>
        <v>0.7796070193</v>
      </c>
      <c r="D3" s="34">
        <f>IFERROR(__xludf.DUMMYFUNCTION("IF(ISNA(sum(filter(
Master_Mapping_Sheet!$E$2:$E$3143, ISNUMBER(
Master_Mapping_Sheet!$E$2:$E$3143),
Master_Mapping_Sheet!$H$2:$H$3143=D$1,
Master_Mapping_Sheet!$M$2:$M$3143=VALUE(RIGHT($A3,1))))/sum(filter(
Master_Mapping_Sheet!$E$2:$E$3143, ISNUMBER(
Ma"&amp;"ster_Mapping_Sheet!$E$2:$E$3143),
Master_Mapping_Sheet!$H$2:$H$3143=D$1))), 0, sum(filter(
Master_Mapping_Sheet!$E$2:$E$3143, ISNUMBER(
Master_Mapping_Sheet!$E$2:$E$3143),
Master_Mapping_Sheet!$H$2:$H$3143=D$1,
Master_Mapping_Sheet!$M$2:$M$3143=VALUE(RIGH"&amp;"T($A3,1))))/sum(filter(
Master_Mapping_Sheet!$E$2:$E$3143, ISNUMBER(
Master_Mapping_Sheet!$E$2:$E$3143),
Master_Mapping_Sheet!$H$2:$H$3143=D$1)))"),0.0)</f>
        <v>0</v>
      </c>
      <c r="E3" s="34">
        <f>IFERROR(__xludf.DUMMYFUNCTION("IF(ISNA(sum(filter(
Master_Mapping_Sheet!$E$2:$E$3143, ISNUMBER(
Master_Mapping_Sheet!$E$2:$E$3143),
Master_Mapping_Sheet!$H$2:$H$3143=E$1,
Master_Mapping_Sheet!$M$2:$M$3143=VALUE(RIGHT($A3,1))))/sum(filter(
Master_Mapping_Sheet!$E$2:$E$3143, ISNUMBER(
Ma"&amp;"ster_Mapping_Sheet!$E$2:$E$3143),
Master_Mapping_Sheet!$H$2:$H$3143=E$1))), 0, sum(filter(
Master_Mapping_Sheet!$E$2:$E$3143, ISNUMBER(
Master_Mapping_Sheet!$E$2:$E$3143),
Master_Mapping_Sheet!$H$2:$H$3143=E$1,
Master_Mapping_Sheet!$M$2:$M$3143=VALUE(RIGH"&amp;"T($A3,1))))/sum(filter(
Master_Mapping_Sheet!$E$2:$E$3143, ISNUMBER(
Master_Mapping_Sheet!$E$2:$E$3143),
Master_Mapping_Sheet!$H$2:$H$3143=E$1)))"),0.0)</f>
        <v>0</v>
      </c>
      <c r="F3" s="34">
        <f>IFERROR(__xludf.DUMMYFUNCTION("IF(ISNA(sum(filter(
Master_Mapping_Sheet!$E$2:$E$3143, ISNUMBER(
Master_Mapping_Sheet!$E$2:$E$3143),
Master_Mapping_Sheet!$H$2:$H$3143=F$1,
Master_Mapping_Sheet!$M$2:$M$3143=VALUE(RIGHT($A3,1))))/sum(filter(
Master_Mapping_Sheet!$E$2:$E$3143, ISNUMBER(
Ma"&amp;"ster_Mapping_Sheet!$E$2:$E$3143),
Master_Mapping_Sheet!$H$2:$H$3143=F$1))), 0, sum(filter(
Master_Mapping_Sheet!$E$2:$E$3143, ISNUMBER(
Master_Mapping_Sheet!$E$2:$E$3143),
Master_Mapping_Sheet!$H$2:$H$3143=F$1,
Master_Mapping_Sheet!$M$2:$M$3143=VALUE(RIGH"&amp;"T($A3,1))))/sum(filter(
Master_Mapping_Sheet!$E$2:$E$3143, ISNUMBER(
Master_Mapping_Sheet!$E$2:$E$3143),
Master_Mapping_Sheet!$H$2:$H$3143=F$1)))"),0.0)</f>
        <v>0</v>
      </c>
      <c r="G3" s="34">
        <f>IFERROR(__xludf.DUMMYFUNCTION("IF(ISNA(sum(filter(
Master_Mapping_Sheet!$E$2:$E$3143, ISNUMBER(
Master_Mapping_Sheet!$E$2:$E$3143),
Master_Mapping_Sheet!$H$2:$H$3143=G$1,
Master_Mapping_Sheet!$M$2:$M$3143=VALUE(RIGHT($A3,1))))/sum(filter(
Master_Mapping_Sheet!$E$2:$E$3143, ISNUMBER(
Ma"&amp;"ster_Mapping_Sheet!$E$2:$E$3143),
Master_Mapping_Sheet!$H$2:$H$3143=G$1))), 0, sum(filter(
Master_Mapping_Sheet!$E$2:$E$3143, ISNUMBER(
Master_Mapping_Sheet!$E$2:$E$3143),
Master_Mapping_Sheet!$H$2:$H$3143=G$1,
Master_Mapping_Sheet!$M$2:$M$3143=VALUE(RIGH"&amp;"T($A3,1))))/sum(filter(
Master_Mapping_Sheet!$E$2:$E$3143, ISNUMBER(
Master_Mapping_Sheet!$E$2:$E$3143),
Master_Mapping_Sheet!$H$2:$H$3143=G$1)))"),0.5744617816954802)</f>
        <v>0.5744617817</v>
      </c>
      <c r="H3" s="34">
        <f>IFERROR(__xludf.DUMMYFUNCTION("IF(ISNA(sum(filter(
Master_Mapping_Sheet!$E$2:$E$3143, ISNUMBER(
Master_Mapping_Sheet!$E$2:$E$3143),
Master_Mapping_Sheet!$H$2:$H$3143=H$1,
Master_Mapping_Sheet!$M$2:$M$3143=VALUE(RIGHT($A3,1))))/sum(filter(
Master_Mapping_Sheet!$E$2:$E$3143, ISNUMBER(
Ma"&amp;"ster_Mapping_Sheet!$E$2:$E$3143),
Master_Mapping_Sheet!$H$2:$H$3143=H$1))), 0, sum(filter(
Master_Mapping_Sheet!$E$2:$E$3143, ISNUMBER(
Master_Mapping_Sheet!$E$2:$E$3143),
Master_Mapping_Sheet!$H$2:$H$3143=H$1,
Master_Mapping_Sheet!$M$2:$M$3143=VALUE(RIGH"&amp;"T($A3,1))))/sum(filter(
Master_Mapping_Sheet!$E$2:$E$3143, ISNUMBER(
Master_Mapping_Sheet!$E$2:$E$3143),
Master_Mapping_Sheet!$H$2:$H$3143=H$1)))"),0.0)</f>
        <v>0</v>
      </c>
      <c r="I3" s="34">
        <f>IFERROR(__xludf.DUMMYFUNCTION("IF(ISNA(sum(filter(
Master_Mapping_Sheet!$E$2:$E$3143, ISNUMBER(
Master_Mapping_Sheet!$E$2:$E$3143),
Master_Mapping_Sheet!$H$2:$H$3143=I$1,
Master_Mapping_Sheet!$M$2:$M$3143=VALUE(RIGHT($A3,1))))/sum(filter(
Master_Mapping_Sheet!$E$2:$E$3143, ISNUMBER(
Ma"&amp;"ster_Mapping_Sheet!$E$2:$E$3143),
Master_Mapping_Sheet!$H$2:$H$3143=I$1))), 0, sum(filter(
Master_Mapping_Sheet!$E$2:$E$3143, ISNUMBER(
Master_Mapping_Sheet!$E$2:$E$3143),
Master_Mapping_Sheet!$H$2:$H$3143=I$1,
Master_Mapping_Sheet!$M$2:$M$3143=VALUE(RIGH"&amp;"T($A3,1))))/sum(filter(
Master_Mapping_Sheet!$E$2:$E$3143, ISNUMBER(
Master_Mapping_Sheet!$E$2:$E$3143),
Master_Mapping_Sheet!$H$2:$H$3143=I$1)))"),0.0)</f>
        <v>0</v>
      </c>
      <c r="J3" s="34">
        <f>IFERROR(__xludf.DUMMYFUNCTION("IF(ISNA(sum(filter(
Master_Mapping_Sheet!$E$2:$E$3143, ISNUMBER(
Master_Mapping_Sheet!$E$2:$E$3143),
Master_Mapping_Sheet!$H$2:$H$3143=J$1,
Master_Mapping_Sheet!$M$2:$M$3143=VALUE(RIGHT($A3,1))))/sum(filter(
Master_Mapping_Sheet!$E$2:$E$3143, ISNUMBER(
Ma"&amp;"ster_Mapping_Sheet!$E$2:$E$3143),
Master_Mapping_Sheet!$H$2:$H$3143=J$1))), 0, sum(filter(
Master_Mapping_Sheet!$E$2:$E$3143, ISNUMBER(
Master_Mapping_Sheet!$E$2:$E$3143),
Master_Mapping_Sheet!$H$2:$H$3143=J$1,
Master_Mapping_Sheet!$M$2:$M$3143=VALUE(RIGH"&amp;"T($A3,1))))/sum(filter(
Master_Mapping_Sheet!$E$2:$E$3143, ISNUMBER(
Master_Mapping_Sheet!$E$2:$E$3143),
Master_Mapping_Sheet!$H$2:$H$3143=J$1)))"),0.0)</f>
        <v>0</v>
      </c>
      <c r="K3" s="34">
        <f>IFERROR(__xludf.DUMMYFUNCTION("IF(ISNA(sum(filter(
Master_Mapping_Sheet!$E$2:$E$3143, ISNUMBER(
Master_Mapping_Sheet!$E$2:$E$3143),
Master_Mapping_Sheet!$H$2:$H$3143=K$1,
Master_Mapping_Sheet!$M$2:$M$3143=VALUE(RIGHT($A3,1))))/sum(filter(
Master_Mapping_Sheet!$E$2:$E$3143, ISNUMBER(
Ma"&amp;"ster_Mapping_Sheet!$E$2:$E$3143),
Master_Mapping_Sheet!$H$2:$H$3143=K$1))), 0, sum(filter(
Master_Mapping_Sheet!$E$2:$E$3143, ISNUMBER(
Master_Mapping_Sheet!$E$2:$E$3143),
Master_Mapping_Sheet!$H$2:$H$3143=K$1,
Master_Mapping_Sheet!$M$2:$M$3143=VALUE(RIGH"&amp;"T($A3,1))))/sum(filter(
Master_Mapping_Sheet!$E$2:$E$3143, ISNUMBER(
Master_Mapping_Sheet!$E$2:$E$3143),
Master_Mapping_Sheet!$H$2:$H$3143=K$1)))"),0.0)</f>
        <v>0</v>
      </c>
      <c r="L3" s="34">
        <f>IFERROR(__xludf.DUMMYFUNCTION("IF(ISNA(sum(filter(
Master_Mapping_Sheet!$E$2:$E$3143, ISNUMBER(
Master_Mapping_Sheet!$E$2:$E$3143),
Master_Mapping_Sheet!$H$2:$H$3143=L$1,
Master_Mapping_Sheet!$M$2:$M$3143=VALUE(RIGHT($A3,1))))/sum(filter(
Master_Mapping_Sheet!$E$2:$E$3143, ISNUMBER(
Ma"&amp;"ster_Mapping_Sheet!$E$2:$E$3143),
Master_Mapping_Sheet!$H$2:$H$3143=L$1))), 0, sum(filter(
Master_Mapping_Sheet!$E$2:$E$3143, ISNUMBER(
Master_Mapping_Sheet!$E$2:$E$3143),
Master_Mapping_Sheet!$H$2:$H$3143=L$1,
Master_Mapping_Sheet!$M$2:$M$3143=VALUE(RIGH"&amp;"T($A3,1))))/sum(filter(
Master_Mapping_Sheet!$E$2:$E$3143, ISNUMBER(
Master_Mapping_Sheet!$E$2:$E$3143),
Master_Mapping_Sheet!$H$2:$H$3143=L$1)))"),0.0)</f>
        <v>0</v>
      </c>
      <c r="M3" s="34">
        <f>IFERROR(__xludf.DUMMYFUNCTION("IF(ISNA(sum(filter(
Master_Mapping_Sheet!$E$2:$E$3143, ISNUMBER(
Master_Mapping_Sheet!$E$2:$E$3143),
Master_Mapping_Sheet!$H$2:$H$3143=M$1,
Master_Mapping_Sheet!$M$2:$M$3143=VALUE(RIGHT($A3,1))))/sum(filter(
Master_Mapping_Sheet!$E$2:$E$3143, ISNUMBER(
Ma"&amp;"ster_Mapping_Sheet!$E$2:$E$3143),
Master_Mapping_Sheet!$H$2:$H$3143=M$1))), 0, sum(filter(
Master_Mapping_Sheet!$E$2:$E$3143, ISNUMBER(
Master_Mapping_Sheet!$E$2:$E$3143),
Master_Mapping_Sheet!$H$2:$H$3143=M$1,
Master_Mapping_Sheet!$M$2:$M$3143=VALUE(RIGH"&amp;"T($A3,1))))/sum(filter(
Master_Mapping_Sheet!$E$2:$E$3143, ISNUMBER(
Master_Mapping_Sheet!$E$2:$E$3143),
Master_Mapping_Sheet!$H$2:$H$3143=M$1)))"),0.0)</f>
        <v>0</v>
      </c>
      <c r="N3" s="34">
        <f>IFERROR(__xludf.DUMMYFUNCTION("IF(ISNA(sum(filter(
Master_Mapping_Sheet!$E$2:$E$3143, ISNUMBER(
Master_Mapping_Sheet!$E$2:$E$3143),
Master_Mapping_Sheet!$H$2:$H$3143=N$1,
Master_Mapping_Sheet!$M$2:$M$3143=VALUE(RIGHT($A3,1))))/sum(filter(
Master_Mapping_Sheet!$E$2:$E$3143, ISNUMBER(
Ma"&amp;"ster_Mapping_Sheet!$E$2:$E$3143),
Master_Mapping_Sheet!$H$2:$H$3143=N$1))), 0, sum(filter(
Master_Mapping_Sheet!$E$2:$E$3143, ISNUMBER(
Master_Mapping_Sheet!$E$2:$E$3143),
Master_Mapping_Sheet!$H$2:$H$3143=N$1,
Master_Mapping_Sheet!$M$2:$M$3143=VALUE(RIGH"&amp;"T($A3,1))))/sum(filter(
Master_Mapping_Sheet!$E$2:$E$3143, ISNUMBER(
Master_Mapping_Sheet!$E$2:$E$3143),
Master_Mapping_Sheet!$H$2:$H$3143=N$1)))"),0.0)</f>
        <v>0</v>
      </c>
      <c r="O3" s="34">
        <f>IFERROR(__xludf.DUMMYFUNCTION("IF(ISNA(sum(filter(
Master_Mapping_Sheet!$E$2:$E$3143, ISNUMBER(
Master_Mapping_Sheet!$E$2:$E$3143),
Master_Mapping_Sheet!$H$2:$H$3143=O$1,
Master_Mapping_Sheet!$M$2:$M$3143=VALUE(RIGHT($A3,1))))/sum(filter(
Master_Mapping_Sheet!$E$2:$E$3143, ISNUMBER(
Ma"&amp;"ster_Mapping_Sheet!$E$2:$E$3143),
Master_Mapping_Sheet!$H$2:$H$3143=O$1))), 0, sum(filter(
Master_Mapping_Sheet!$E$2:$E$3143, ISNUMBER(
Master_Mapping_Sheet!$E$2:$E$3143),
Master_Mapping_Sheet!$H$2:$H$3143=O$1,
Master_Mapping_Sheet!$M$2:$M$3143=VALUE(RIGH"&amp;"T($A3,1))))/sum(filter(
Master_Mapping_Sheet!$E$2:$E$3143, ISNUMBER(
Master_Mapping_Sheet!$E$2:$E$3143),
Master_Mapping_Sheet!$H$2:$H$3143=O$1)))"),0.0)</f>
        <v>0</v>
      </c>
      <c r="P3" s="34">
        <f>IFERROR(__xludf.DUMMYFUNCTION("IF(ISNA(sum(filter(
Master_Mapping_Sheet!$E$2:$E$3143, ISNUMBER(
Master_Mapping_Sheet!$E$2:$E$3143),
Master_Mapping_Sheet!$H$2:$H$3143=P$1,
Master_Mapping_Sheet!$M$2:$M$3143=VALUE(RIGHT($A3,1))))/sum(filter(
Master_Mapping_Sheet!$E$2:$E$3143, ISNUMBER(
Ma"&amp;"ster_Mapping_Sheet!$E$2:$E$3143),
Master_Mapping_Sheet!$H$2:$H$3143=P$1))), 0, sum(filter(
Master_Mapping_Sheet!$E$2:$E$3143, ISNUMBER(
Master_Mapping_Sheet!$E$2:$E$3143),
Master_Mapping_Sheet!$H$2:$H$3143=P$1,
Master_Mapping_Sheet!$M$2:$M$3143=VALUE(RIGH"&amp;"T($A3,1))))/sum(filter(
Master_Mapping_Sheet!$E$2:$E$3143, ISNUMBER(
Master_Mapping_Sheet!$E$2:$E$3143),
Master_Mapping_Sheet!$H$2:$H$3143=P$1)))"),0.2067011099378118)</f>
        <v>0.2067011099</v>
      </c>
      <c r="Q3" s="34">
        <f>IFERROR(__xludf.DUMMYFUNCTION("IF(ISNA(sum(filter(
Master_Mapping_Sheet!$E$2:$E$3143, ISNUMBER(
Master_Mapping_Sheet!$E$2:$E$3143),
Master_Mapping_Sheet!$H$2:$H$3143=Q$1,
Master_Mapping_Sheet!$M$2:$M$3143=VALUE(RIGHT($A3,1))))/sum(filter(
Master_Mapping_Sheet!$E$2:$E$3143, ISNUMBER(
Ma"&amp;"ster_Mapping_Sheet!$E$2:$E$3143),
Master_Mapping_Sheet!$H$2:$H$3143=Q$1))), 0, sum(filter(
Master_Mapping_Sheet!$E$2:$E$3143, ISNUMBER(
Master_Mapping_Sheet!$E$2:$E$3143),
Master_Mapping_Sheet!$H$2:$H$3143=Q$1,
Master_Mapping_Sheet!$M$2:$M$3143=VALUE(RIGH"&amp;"T($A3,1))))/sum(filter(
Master_Mapping_Sheet!$E$2:$E$3143, ISNUMBER(
Master_Mapping_Sheet!$E$2:$E$3143),
Master_Mapping_Sheet!$H$2:$H$3143=Q$1)))"),0.0)</f>
        <v>0</v>
      </c>
      <c r="R3" s="34">
        <f>IFERROR(__xludf.DUMMYFUNCTION("IF(ISNA(sum(filter(
Master_Mapping_Sheet!$E$2:$E$3143, ISNUMBER(
Master_Mapping_Sheet!$E$2:$E$3143),
Master_Mapping_Sheet!$H$2:$H$3143=R$1,
Master_Mapping_Sheet!$M$2:$M$3143=VALUE(RIGHT($A3,1))))/sum(filter(
Master_Mapping_Sheet!$E$2:$E$3143, ISNUMBER(
Ma"&amp;"ster_Mapping_Sheet!$E$2:$E$3143),
Master_Mapping_Sheet!$H$2:$H$3143=R$1))), 0, sum(filter(
Master_Mapping_Sheet!$E$2:$E$3143, ISNUMBER(
Master_Mapping_Sheet!$E$2:$E$3143),
Master_Mapping_Sheet!$H$2:$H$3143=R$1,
Master_Mapping_Sheet!$M$2:$M$3143=VALUE(RIGH"&amp;"T($A3,1))))/sum(filter(
Master_Mapping_Sheet!$E$2:$E$3143, ISNUMBER(
Master_Mapping_Sheet!$E$2:$E$3143),
Master_Mapping_Sheet!$H$2:$H$3143=R$1)))"),0.03314751534150465)</f>
        <v>0.03314751534</v>
      </c>
      <c r="S3" s="34">
        <f>IFERROR(__xludf.DUMMYFUNCTION("IF(ISNA(sum(filter(
Master_Mapping_Sheet!$E$2:$E$3143, ISNUMBER(
Master_Mapping_Sheet!$E$2:$E$3143),
Master_Mapping_Sheet!$H$2:$H$3143=S$1,
Master_Mapping_Sheet!$M$2:$M$3143=VALUE(RIGHT($A3,1))))/sum(filter(
Master_Mapping_Sheet!$E$2:$E$3143, ISNUMBER(
Ma"&amp;"ster_Mapping_Sheet!$E$2:$E$3143),
Master_Mapping_Sheet!$H$2:$H$3143=S$1))), 0, sum(filter(
Master_Mapping_Sheet!$E$2:$E$3143, ISNUMBER(
Master_Mapping_Sheet!$E$2:$E$3143),
Master_Mapping_Sheet!$H$2:$H$3143=S$1,
Master_Mapping_Sheet!$M$2:$M$3143=VALUE(RIGH"&amp;"T($A3,1))))/sum(filter(
Master_Mapping_Sheet!$E$2:$E$3143, ISNUMBER(
Master_Mapping_Sheet!$E$2:$E$3143),
Master_Mapping_Sheet!$H$2:$H$3143=S$1)))"),0.0)</f>
        <v>0</v>
      </c>
      <c r="T3" s="34">
        <f>IFERROR(__xludf.DUMMYFUNCTION("IF(ISNA(sum(filter(
Master_Mapping_Sheet!$E$2:$E$3143, ISNUMBER(
Master_Mapping_Sheet!$E$2:$E$3143),
Master_Mapping_Sheet!$H$2:$H$3143=T$1,
Master_Mapping_Sheet!$M$2:$M$3143=VALUE(RIGHT($A3,1))))/sum(filter(
Master_Mapping_Sheet!$E$2:$E$3143, ISNUMBER(
Ma"&amp;"ster_Mapping_Sheet!$E$2:$E$3143),
Master_Mapping_Sheet!$H$2:$H$3143=T$1))), 0, sum(filter(
Master_Mapping_Sheet!$E$2:$E$3143, ISNUMBER(
Master_Mapping_Sheet!$E$2:$E$3143),
Master_Mapping_Sheet!$H$2:$H$3143=T$1,
Master_Mapping_Sheet!$M$2:$M$3143=VALUE(RIGH"&amp;"T($A3,1))))/sum(filter(
Master_Mapping_Sheet!$E$2:$E$3143, ISNUMBER(
Master_Mapping_Sheet!$E$2:$E$3143),
Master_Mapping_Sheet!$H$2:$H$3143=T$1)))"),0.0)</f>
        <v>0</v>
      </c>
      <c r="U3" s="34">
        <f>IFERROR(__xludf.DUMMYFUNCTION("IF(ISNA(sum(filter(
Master_Mapping_Sheet!$E$2:$E$3143, ISNUMBER(
Master_Mapping_Sheet!$E$2:$E$3143),
Master_Mapping_Sheet!$H$2:$H$3143=U$1,
Master_Mapping_Sheet!$M$2:$M$3143=VALUE(RIGHT($A3,1))))/sum(filter(
Master_Mapping_Sheet!$E$2:$E$3143, ISNUMBER(
Ma"&amp;"ster_Mapping_Sheet!$E$2:$E$3143),
Master_Mapping_Sheet!$H$2:$H$3143=U$1))), 0, sum(filter(
Master_Mapping_Sheet!$E$2:$E$3143, ISNUMBER(
Master_Mapping_Sheet!$E$2:$E$3143),
Master_Mapping_Sheet!$H$2:$H$3143=U$1,
Master_Mapping_Sheet!$M$2:$M$3143=VALUE(RIGH"&amp;"T($A3,1))))/sum(filter(
Master_Mapping_Sheet!$E$2:$E$3143, ISNUMBER(
Master_Mapping_Sheet!$E$2:$E$3143),
Master_Mapping_Sheet!$H$2:$H$3143=U$1)))"),0.640959924255695)</f>
        <v>0.6409599243</v>
      </c>
      <c r="V3" s="34">
        <f>IFERROR(__xludf.DUMMYFUNCTION("IF(ISNA(sum(filter(
Master_Mapping_Sheet!$E$2:$E$3143, ISNUMBER(
Master_Mapping_Sheet!$E$2:$E$3143),
Master_Mapping_Sheet!$H$2:$H$3143=V$1,
Master_Mapping_Sheet!$M$2:$M$3143=VALUE(RIGHT($A3,1))))/sum(filter(
Master_Mapping_Sheet!$E$2:$E$3143, ISNUMBER(
Ma"&amp;"ster_Mapping_Sheet!$E$2:$E$3143),
Master_Mapping_Sheet!$H$2:$H$3143=V$1))), 0, sum(filter(
Master_Mapping_Sheet!$E$2:$E$3143, ISNUMBER(
Master_Mapping_Sheet!$E$2:$E$3143),
Master_Mapping_Sheet!$H$2:$H$3143=V$1,
Master_Mapping_Sheet!$M$2:$M$3143=VALUE(RIGH"&amp;"T($A3,1))))/sum(filter(
Master_Mapping_Sheet!$E$2:$E$3143, ISNUMBER(
Master_Mapping_Sheet!$E$2:$E$3143),
Master_Mapping_Sheet!$H$2:$H$3143=V$1)))"),0.0)</f>
        <v>0</v>
      </c>
      <c r="W3" s="34">
        <f>IFERROR(__xludf.DUMMYFUNCTION("IF(ISNA(sum(filter(
Master_Mapping_Sheet!$E$2:$E$3143, ISNUMBER(
Master_Mapping_Sheet!$E$2:$E$3143),
Master_Mapping_Sheet!$H$2:$H$3143=W$1,
Master_Mapping_Sheet!$M$2:$M$3143=VALUE(RIGHT($A3,1))))/sum(filter(
Master_Mapping_Sheet!$E$2:$E$3143, ISNUMBER(
Ma"&amp;"ster_Mapping_Sheet!$E$2:$E$3143),
Master_Mapping_Sheet!$H$2:$H$3143=W$1))), 0, sum(filter(
Master_Mapping_Sheet!$E$2:$E$3143, ISNUMBER(
Master_Mapping_Sheet!$E$2:$E$3143),
Master_Mapping_Sheet!$H$2:$H$3143=W$1,
Master_Mapping_Sheet!$M$2:$M$3143=VALUE(RIGH"&amp;"T($A3,1))))/sum(filter(
Master_Mapping_Sheet!$E$2:$E$3143, ISNUMBER(
Master_Mapping_Sheet!$E$2:$E$3143),
Master_Mapping_Sheet!$H$2:$H$3143=W$1)))"),0.0)</f>
        <v>0</v>
      </c>
      <c r="X3" s="34">
        <f>IFERROR(__xludf.DUMMYFUNCTION("IF(ISNA(sum(filter(
Master_Mapping_Sheet!$E$2:$E$3143, ISNUMBER(
Master_Mapping_Sheet!$E$2:$E$3143),
Master_Mapping_Sheet!$H$2:$H$3143=X$1,
Master_Mapping_Sheet!$M$2:$M$3143=VALUE(RIGHT($A3,1))))/sum(filter(
Master_Mapping_Sheet!$E$2:$E$3143, ISNUMBER(
Ma"&amp;"ster_Mapping_Sheet!$E$2:$E$3143),
Master_Mapping_Sheet!$H$2:$H$3143=X$1))), 0, sum(filter(
Master_Mapping_Sheet!$E$2:$E$3143, ISNUMBER(
Master_Mapping_Sheet!$E$2:$E$3143),
Master_Mapping_Sheet!$H$2:$H$3143=X$1,
Master_Mapping_Sheet!$M$2:$M$3143=VALUE(RIGH"&amp;"T($A3,1))))/sum(filter(
Master_Mapping_Sheet!$E$2:$E$3143, ISNUMBER(
Master_Mapping_Sheet!$E$2:$E$3143),
Master_Mapping_Sheet!$H$2:$H$3143=X$1)))"),0.0)</f>
        <v>0</v>
      </c>
      <c r="Y3" s="34">
        <f>IFERROR(__xludf.DUMMYFUNCTION("IF(ISNA(sum(filter(
Master_Mapping_Sheet!$E$2:$E$3143, ISNUMBER(
Master_Mapping_Sheet!$E$2:$E$3143),
Master_Mapping_Sheet!$H$2:$H$3143=Y$1,
Master_Mapping_Sheet!$M$2:$M$3143=VALUE(RIGHT($A3,1))))/sum(filter(
Master_Mapping_Sheet!$E$2:$E$3143, ISNUMBER(
Ma"&amp;"ster_Mapping_Sheet!$E$2:$E$3143),
Master_Mapping_Sheet!$H$2:$H$3143=Y$1))), 0, sum(filter(
Master_Mapping_Sheet!$E$2:$E$3143, ISNUMBER(
Master_Mapping_Sheet!$E$2:$E$3143),
Master_Mapping_Sheet!$H$2:$H$3143=Y$1,
Master_Mapping_Sheet!$M$2:$M$3143=VALUE(RIGH"&amp;"T($A3,1))))/sum(filter(
Master_Mapping_Sheet!$E$2:$E$3143, ISNUMBER(
Master_Mapping_Sheet!$E$2:$E$3143),
Master_Mapping_Sheet!$H$2:$H$3143=Y$1)))"),0.0)</f>
        <v>0</v>
      </c>
      <c r="Z3" s="34">
        <f>IFERROR(__xludf.DUMMYFUNCTION("IF(ISNA(sum(filter(
Master_Mapping_Sheet!$E$2:$E$3143, ISNUMBER(
Master_Mapping_Sheet!$E$2:$E$3143),
Master_Mapping_Sheet!$H$2:$H$3143=Z$1,
Master_Mapping_Sheet!$M$2:$M$3143=VALUE(RIGHT($A3,1))))/sum(filter(
Master_Mapping_Sheet!$E$2:$E$3143, ISNUMBER(
Ma"&amp;"ster_Mapping_Sheet!$E$2:$E$3143),
Master_Mapping_Sheet!$H$2:$H$3143=Z$1))), 0, sum(filter(
Master_Mapping_Sheet!$E$2:$E$3143, ISNUMBER(
Master_Mapping_Sheet!$E$2:$E$3143),
Master_Mapping_Sheet!$H$2:$H$3143=Z$1,
Master_Mapping_Sheet!$M$2:$M$3143=VALUE(RIGH"&amp;"T($A3,1))))/sum(filter(
Master_Mapping_Sheet!$E$2:$E$3143, ISNUMBER(
Master_Mapping_Sheet!$E$2:$E$3143),
Master_Mapping_Sheet!$H$2:$H$3143=Z$1)))"),0.0)</f>
        <v>0</v>
      </c>
    </row>
    <row r="4" ht="15.75" customHeight="1">
      <c r="A4" s="45" t="s">
        <v>4253</v>
      </c>
      <c r="B4" s="34">
        <f>IFERROR(__xludf.DUMMYFUNCTION("IF(ISNA(sum(filter(
Master_Mapping_Sheet!$E$2:$E$3143, ISNUMBER(
Master_Mapping_Sheet!$E$2:$E$3143),
Master_Mapping_Sheet!$H$2:$H$3143=B$1,
Master_Mapping_Sheet!$M$2:$M$3143=VALUE(RIGHT($A4,1))))/sum(filter(
Master_Mapping_Sheet!$E$2:$E$3143, ISNUMBER(
Ma"&amp;"ster_Mapping_Sheet!$E$2:$E$3143),
Master_Mapping_Sheet!$H$2:$H$3143=B$1))), 0, sum(filter(
Master_Mapping_Sheet!$E$2:$E$3143, ISNUMBER(
Master_Mapping_Sheet!$E$2:$E$3143),
Master_Mapping_Sheet!$H$2:$H$3143=B$1,
Master_Mapping_Sheet!$M$2:$M$3143=VALUE(RIGH"&amp;"T($A4,1))))/sum(filter(
Master_Mapping_Sheet!$E$2:$E$3143, ISNUMBER(
Master_Mapping_Sheet!$E$2:$E$3143),
Master_Mapping_Sheet!$H$2:$H$3143=B$1)))"),0.40276438736902453)</f>
        <v>0.4027643874</v>
      </c>
      <c r="C4" s="34">
        <f>IFERROR(__xludf.DUMMYFUNCTION("IF(ISNA(sum(filter(
Master_Mapping_Sheet!$E$2:$E$3143, ISNUMBER(
Master_Mapping_Sheet!$E$2:$E$3143),
Master_Mapping_Sheet!$H$2:$H$3143=C$1,
Master_Mapping_Sheet!$M$2:$M$3143=VALUE(RIGHT($A4,1))))/sum(filter(
Master_Mapping_Sheet!$E$2:$E$3143, ISNUMBER(
Ma"&amp;"ster_Mapping_Sheet!$E$2:$E$3143),
Master_Mapping_Sheet!$H$2:$H$3143=C$1))), 0, sum(filter(
Master_Mapping_Sheet!$E$2:$E$3143, ISNUMBER(
Master_Mapping_Sheet!$E$2:$E$3143),
Master_Mapping_Sheet!$H$2:$H$3143=C$1,
Master_Mapping_Sheet!$M$2:$M$3143=VALUE(RIGH"&amp;"T($A4,1))))/sum(filter(
Master_Mapping_Sheet!$E$2:$E$3143, ISNUMBER(
Master_Mapping_Sheet!$E$2:$E$3143),
Master_Mapping_Sheet!$H$2:$H$3143=C$1)))"),0.0)</f>
        <v>0</v>
      </c>
      <c r="D4" s="34">
        <f>IFERROR(__xludf.DUMMYFUNCTION("IF(ISNA(sum(filter(
Master_Mapping_Sheet!$E$2:$E$3143, ISNUMBER(
Master_Mapping_Sheet!$E$2:$E$3143),
Master_Mapping_Sheet!$H$2:$H$3143=D$1,
Master_Mapping_Sheet!$M$2:$M$3143=VALUE(RIGHT($A4,1))))/sum(filter(
Master_Mapping_Sheet!$E$2:$E$3143, ISNUMBER(
Ma"&amp;"ster_Mapping_Sheet!$E$2:$E$3143),
Master_Mapping_Sheet!$H$2:$H$3143=D$1))), 0, sum(filter(
Master_Mapping_Sheet!$E$2:$E$3143, ISNUMBER(
Master_Mapping_Sheet!$E$2:$E$3143),
Master_Mapping_Sheet!$H$2:$H$3143=D$1,
Master_Mapping_Sheet!$M$2:$M$3143=VALUE(RIGH"&amp;"T($A4,1))))/sum(filter(
Master_Mapping_Sheet!$E$2:$E$3143, ISNUMBER(
Master_Mapping_Sheet!$E$2:$E$3143),
Master_Mapping_Sheet!$H$2:$H$3143=D$1)))"),0.0)</f>
        <v>0</v>
      </c>
      <c r="E4" s="34">
        <f>IFERROR(__xludf.DUMMYFUNCTION("IF(ISNA(sum(filter(
Master_Mapping_Sheet!$E$2:$E$3143, ISNUMBER(
Master_Mapping_Sheet!$E$2:$E$3143),
Master_Mapping_Sheet!$H$2:$H$3143=E$1,
Master_Mapping_Sheet!$M$2:$M$3143=VALUE(RIGHT($A4,1))))/sum(filter(
Master_Mapping_Sheet!$E$2:$E$3143, ISNUMBER(
Ma"&amp;"ster_Mapping_Sheet!$E$2:$E$3143),
Master_Mapping_Sheet!$H$2:$H$3143=E$1))), 0, sum(filter(
Master_Mapping_Sheet!$E$2:$E$3143, ISNUMBER(
Master_Mapping_Sheet!$E$2:$E$3143),
Master_Mapping_Sheet!$H$2:$H$3143=E$1,
Master_Mapping_Sheet!$M$2:$M$3143=VALUE(RIGH"&amp;"T($A4,1))))/sum(filter(
Master_Mapping_Sheet!$E$2:$E$3143, ISNUMBER(
Master_Mapping_Sheet!$E$2:$E$3143),
Master_Mapping_Sheet!$H$2:$H$3143=E$1)))"),0.0)</f>
        <v>0</v>
      </c>
      <c r="F4" s="34">
        <f>IFERROR(__xludf.DUMMYFUNCTION("IF(ISNA(sum(filter(
Master_Mapping_Sheet!$E$2:$E$3143, ISNUMBER(
Master_Mapping_Sheet!$E$2:$E$3143),
Master_Mapping_Sheet!$H$2:$H$3143=F$1,
Master_Mapping_Sheet!$M$2:$M$3143=VALUE(RIGHT($A4,1))))/sum(filter(
Master_Mapping_Sheet!$E$2:$E$3143, ISNUMBER(
Ma"&amp;"ster_Mapping_Sheet!$E$2:$E$3143),
Master_Mapping_Sheet!$H$2:$H$3143=F$1))), 0, sum(filter(
Master_Mapping_Sheet!$E$2:$E$3143, ISNUMBER(
Master_Mapping_Sheet!$E$2:$E$3143),
Master_Mapping_Sheet!$H$2:$H$3143=F$1,
Master_Mapping_Sheet!$M$2:$M$3143=VALUE(RIGH"&amp;"T($A4,1))))/sum(filter(
Master_Mapping_Sheet!$E$2:$E$3143, ISNUMBER(
Master_Mapping_Sheet!$E$2:$E$3143),
Master_Mapping_Sheet!$H$2:$H$3143=F$1)))"),0.0)</f>
        <v>0</v>
      </c>
      <c r="G4" s="34">
        <f>IFERROR(__xludf.DUMMYFUNCTION("IF(ISNA(sum(filter(
Master_Mapping_Sheet!$E$2:$E$3143, ISNUMBER(
Master_Mapping_Sheet!$E$2:$E$3143),
Master_Mapping_Sheet!$H$2:$H$3143=G$1,
Master_Mapping_Sheet!$M$2:$M$3143=VALUE(RIGHT($A4,1))))/sum(filter(
Master_Mapping_Sheet!$E$2:$E$3143, ISNUMBER(
Ma"&amp;"ster_Mapping_Sheet!$E$2:$E$3143),
Master_Mapping_Sheet!$H$2:$H$3143=G$1))), 0, sum(filter(
Master_Mapping_Sheet!$E$2:$E$3143, ISNUMBER(
Master_Mapping_Sheet!$E$2:$E$3143),
Master_Mapping_Sheet!$H$2:$H$3143=G$1,
Master_Mapping_Sheet!$M$2:$M$3143=VALUE(RIGH"&amp;"T($A4,1))))/sum(filter(
Master_Mapping_Sheet!$E$2:$E$3143, ISNUMBER(
Master_Mapping_Sheet!$E$2:$E$3143),
Master_Mapping_Sheet!$H$2:$H$3143=G$1)))"),0.4092727583684625)</f>
        <v>0.4092727584</v>
      </c>
      <c r="H4" s="34">
        <f>IFERROR(__xludf.DUMMYFUNCTION("IF(ISNA(sum(filter(
Master_Mapping_Sheet!$E$2:$E$3143, ISNUMBER(
Master_Mapping_Sheet!$E$2:$E$3143),
Master_Mapping_Sheet!$H$2:$H$3143=H$1,
Master_Mapping_Sheet!$M$2:$M$3143=VALUE(RIGHT($A4,1))))/sum(filter(
Master_Mapping_Sheet!$E$2:$E$3143, ISNUMBER(
Ma"&amp;"ster_Mapping_Sheet!$E$2:$E$3143),
Master_Mapping_Sheet!$H$2:$H$3143=H$1))), 0, sum(filter(
Master_Mapping_Sheet!$E$2:$E$3143, ISNUMBER(
Master_Mapping_Sheet!$E$2:$E$3143),
Master_Mapping_Sheet!$H$2:$H$3143=H$1,
Master_Mapping_Sheet!$M$2:$M$3143=VALUE(RIGH"&amp;"T($A4,1))))/sum(filter(
Master_Mapping_Sheet!$E$2:$E$3143, ISNUMBER(
Master_Mapping_Sheet!$E$2:$E$3143),
Master_Mapping_Sheet!$H$2:$H$3143=H$1)))"),0.0)</f>
        <v>0</v>
      </c>
      <c r="I4" s="34">
        <f>IFERROR(__xludf.DUMMYFUNCTION("IF(ISNA(sum(filter(
Master_Mapping_Sheet!$E$2:$E$3143, ISNUMBER(
Master_Mapping_Sheet!$E$2:$E$3143),
Master_Mapping_Sheet!$H$2:$H$3143=I$1,
Master_Mapping_Sheet!$M$2:$M$3143=VALUE(RIGHT($A4,1))))/sum(filter(
Master_Mapping_Sheet!$E$2:$E$3143, ISNUMBER(
Ma"&amp;"ster_Mapping_Sheet!$E$2:$E$3143),
Master_Mapping_Sheet!$H$2:$H$3143=I$1))), 0, sum(filter(
Master_Mapping_Sheet!$E$2:$E$3143, ISNUMBER(
Master_Mapping_Sheet!$E$2:$E$3143),
Master_Mapping_Sheet!$H$2:$H$3143=I$1,
Master_Mapping_Sheet!$M$2:$M$3143=VALUE(RIGH"&amp;"T($A4,1))))/sum(filter(
Master_Mapping_Sheet!$E$2:$E$3143, ISNUMBER(
Master_Mapping_Sheet!$E$2:$E$3143),
Master_Mapping_Sheet!$H$2:$H$3143=I$1)))"),0.0)</f>
        <v>0</v>
      </c>
      <c r="J4" s="34">
        <f>IFERROR(__xludf.DUMMYFUNCTION("IF(ISNA(sum(filter(
Master_Mapping_Sheet!$E$2:$E$3143, ISNUMBER(
Master_Mapping_Sheet!$E$2:$E$3143),
Master_Mapping_Sheet!$H$2:$H$3143=J$1,
Master_Mapping_Sheet!$M$2:$M$3143=VALUE(RIGHT($A4,1))))/sum(filter(
Master_Mapping_Sheet!$E$2:$E$3143, ISNUMBER(
Ma"&amp;"ster_Mapping_Sheet!$E$2:$E$3143),
Master_Mapping_Sheet!$H$2:$H$3143=J$1))), 0, sum(filter(
Master_Mapping_Sheet!$E$2:$E$3143, ISNUMBER(
Master_Mapping_Sheet!$E$2:$E$3143),
Master_Mapping_Sheet!$H$2:$H$3143=J$1,
Master_Mapping_Sheet!$M$2:$M$3143=VALUE(RIGH"&amp;"T($A4,1))))/sum(filter(
Master_Mapping_Sheet!$E$2:$E$3143, ISNUMBER(
Master_Mapping_Sheet!$E$2:$E$3143),
Master_Mapping_Sheet!$H$2:$H$3143=J$1)))"),0.0)</f>
        <v>0</v>
      </c>
      <c r="K4" s="34">
        <f>IFERROR(__xludf.DUMMYFUNCTION("IF(ISNA(sum(filter(
Master_Mapping_Sheet!$E$2:$E$3143, ISNUMBER(
Master_Mapping_Sheet!$E$2:$E$3143),
Master_Mapping_Sheet!$H$2:$H$3143=K$1,
Master_Mapping_Sheet!$M$2:$M$3143=VALUE(RIGHT($A4,1))))/sum(filter(
Master_Mapping_Sheet!$E$2:$E$3143, ISNUMBER(
Ma"&amp;"ster_Mapping_Sheet!$E$2:$E$3143),
Master_Mapping_Sheet!$H$2:$H$3143=K$1))), 0, sum(filter(
Master_Mapping_Sheet!$E$2:$E$3143, ISNUMBER(
Master_Mapping_Sheet!$E$2:$E$3143),
Master_Mapping_Sheet!$H$2:$H$3143=K$1,
Master_Mapping_Sheet!$M$2:$M$3143=VALUE(RIGH"&amp;"T($A4,1))))/sum(filter(
Master_Mapping_Sheet!$E$2:$E$3143, ISNUMBER(
Master_Mapping_Sheet!$E$2:$E$3143),
Master_Mapping_Sheet!$H$2:$H$3143=K$1)))"),0.0)</f>
        <v>0</v>
      </c>
      <c r="L4" s="34">
        <f>IFERROR(__xludf.DUMMYFUNCTION("IF(ISNA(sum(filter(
Master_Mapping_Sheet!$E$2:$E$3143, ISNUMBER(
Master_Mapping_Sheet!$E$2:$E$3143),
Master_Mapping_Sheet!$H$2:$H$3143=L$1,
Master_Mapping_Sheet!$M$2:$M$3143=VALUE(RIGHT($A4,1))))/sum(filter(
Master_Mapping_Sheet!$E$2:$E$3143, ISNUMBER(
Ma"&amp;"ster_Mapping_Sheet!$E$2:$E$3143),
Master_Mapping_Sheet!$H$2:$H$3143=L$1))), 0, sum(filter(
Master_Mapping_Sheet!$E$2:$E$3143, ISNUMBER(
Master_Mapping_Sheet!$E$2:$E$3143),
Master_Mapping_Sheet!$H$2:$H$3143=L$1,
Master_Mapping_Sheet!$M$2:$M$3143=VALUE(RIGH"&amp;"T($A4,1))))/sum(filter(
Master_Mapping_Sheet!$E$2:$E$3143, ISNUMBER(
Master_Mapping_Sheet!$E$2:$E$3143),
Master_Mapping_Sheet!$H$2:$H$3143=L$1)))"),0.0)</f>
        <v>0</v>
      </c>
      <c r="M4" s="34">
        <f>IFERROR(__xludf.DUMMYFUNCTION("IF(ISNA(sum(filter(
Master_Mapping_Sheet!$E$2:$E$3143, ISNUMBER(
Master_Mapping_Sheet!$E$2:$E$3143),
Master_Mapping_Sheet!$H$2:$H$3143=M$1,
Master_Mapping_Sheet!$M$2:$M$3143=VALUE(RIGHT($A4,1))))/sum(filter(
Master_Mapping_Sheet!$E$2:$E$3143, ISNUMBER(
Ma"&amp;"ster_Mapping_Sheet!$E$2:$E$3143),
Master_Mapping_Sheet!$H$2:$H$3143=M$1))), 0, sum(filter(
Master_Mapping_Sheet!$E$2:$E$3143, ISNUMBER(
Master_Mapping_Sheet!$E$2:$E$3143),
Master_Mapping_Sheet!$H$2:$H$3143=M$1,
Master_Mapping_Sheet!$M$2:$M$3143=VALUE(RIGH"&amp;"T($A4,1))))/sum(filter(
Master_Mapping_Sheet!$E$2:$E$3143, ISNUMBER(
Master_Mapping_Sheet!$E$2:$E$3143),
Master_Mapping_Sheet!$H$2:$H$3143=M$1)))"),0.0)</f>
        <v>0</v>
      </c>
      <c r="N4" s="34">
        <f>IFERROR(__xludf.DUMMYFUNCTION("IF(ISNA(sum(filter(
Master_Mapping_Sheet!$E$2:$E$3143, ISNUMBER(
Master_Mapping_Sheet!$E$2:$E$3143),
Master_Mapping_Sheet!$H$2:$H$3143=N$1,
Master_Mapping_Sheet!$M$2:$M$3143=VALUE(RIGHT($A4,1))))/sum(filter(
Master_Mapping_Sheet!$E$2:$E$3143, ISNUMBER(
Ma"&amp;"ster_Mapping_Sheet!$E$2:$E$3143),
Master_Mapping_Sheet!$H$2:$H$3143=N$1))), 0, sum(filter(
Master_Mapping_Sheet!$E$2:$E$3143, ISNUMBER(
Master_Mapping_Sheet!$E$2:$E$3143),
Master_Mapping_Sheet!$H$2:$H$3143=N$1,
Master_Mapping_Sheet!$M$2:$M$3143=VALUE(RIGH"&amp;"T($A4,1))))/sum(filter(
Master_Mapping_Sheet!$E$2:$E$3143, ISNUMBER(
Master_Mapping_Sheet!$E$2:$E$3143),
Master_Mapping_Sheet!$H$2:$H$3143=N$1)))"),0.05267801241476261)</f>
        <v>0.05267801241</v>
      </c>
      <c r="O4" s="34">
        <f>IFERROR(__xludf.DUMMYFUNCTION("IF(ISNA(sum(filter(
Master_Mapping_Sheet!$E$2:$E$3143, ISNUMBER(
Master_Mapping_Sheet!$E$2:$E$3143),
Master_Mapping_Sheet!$H$2:$H$3143=O$1,
Master_Mapping_Sheet!$M$2:$M$3143=VALUE(RIGHT($A4,1))))/sum(filter(
Master_Mapping_Sheet!$E$2:$E$3143, ISNUMBER(
Ma"&amp;"ster_Mapping_Sheet!$E$2:$E$3143),
Master_Mapping_Sheet!$H$2:$H$3143=O$1))), 0, sum(filter(
Master_Mapping_Sheet!$E$2:$E$3143, ISNUMBER(
Master_Mapping_Sheet!$E$2:$E$3143),
Master_Mapping_Sheet!$H$2:$H$3143=O$1,
Master_Mapping_Sheet!$M$2:$M$3143=VALUE(RIGH"&amp;"T($A4,1))))/sum(filter(
Master_Mapping_Sheet!$E$2:$E$3143, ISNUMBER(
Master_Mapping_Sheet!$E$2:$E$3143),
Master_Mapping_Sheet!$H$2:$H$3143=O$1)))"),0.6568510607064728)</f>
        <v>0.6568510607</v>
      </c>
      <c r="P4" s="34">
        <f>IFERROR(__xludf.DUMMYFUNCTION("IF(ISNA(sum(filter(
Master_Mapping_Sheet!$E$2:$E$3143, ISNUMBER(
Master_Mapping_Sheet!$E$2:$E$3143),
Master_Mapping_Sheet!$H$2:$H$3143=P$1,
Master_Mapping_Sheet!$M$2:$M$3143=VALUE(RIGHT($A4,1))))/sum(filter(
Master_Mapping_Sheet!$E$2:$E$3143, ISNUMBER(
Ma"&amp;"ster_Mapping_Sheet!$E$2:$E$3143),
Master_Mapping_Sheet!$H$2:$H$3143=P$1))), 0, sum(filter(
Master_Mapping_Sheet!$E$2:$E$3143, ISNUMBER(
Master_Mapping_Sheet!$E$2:$E$3143),
Master_Mapping_Sheet!$H$2:$H$3143=P$1,
Master_Mapping_Sheet!$M$2:$M$3143=VALUE(RIGH"&amp;"T($A4,1))))/sum(filter(
Master_Mapping_Sheet!$E$2:$E$3143, ISNUMBER(
Master_Mapping_Sheet!$E$2:$E$3143),
Master_Mapping_Sheet!$H$2:$H$3143=P$1)))"),0.7346981069797456)</f>
        <v>0.734698107</v>
      </c>
      <c r="Q4" s="34">
        <f>IFERROR(__xludf.DUMMYFUNCTION("IF(ISNA(sum(filter(
Master_Mapping_Sheet!$E$2:$E$3143, ISNUMBER(
Master_Mapping_Sheet!$E$2:$E$3143),
Master_Mapping_Sheet!$H$2:$H$3143=Q$1,
Master_Mapping_Sheet!$M$2:$M$3143=VALUE(RIGHT($A4,1))))/sum(filter(
Master_Mapping_Sheet!$E$2:$E$3143, ISNUMBER(
Ma"&amp;"ster_Mapping_Sheet!$E$2:$E$3143),
Master_Mapping_Sheet!$H$2:$H$3143=Q$1))), 0, sum(filter(
Master_Mapping_Sheet!$E$2:$E$3143, ISNUMBER(
Master_Mapping_Sheet!$E$2:$E$3143),
Master_Mapping_Sheet!$H$2:$H$3143=Q$1,
Master_Mapping_Sheet!$M$2:$M$3143=VALUE(RIGH"&amp;"T($A4,1))))/sum(filter(
Master_Mapping_Sheet!$E$2:$E$3143, ISNUMBER(
Master_Mapping_Sheet!$E$2:$E$3143),
Master_Mapping_Sheet!$H$2:$H$3143=Q$1)))"),0.215568482747383)</f>
        <v>0.2155684827</v>
      </c>
      <c r="R4" s="34">
        <f>IFERROR(__xludf.DUMMYFUNCTION("IF(ISNA(sum(filter(
Master_Mapping_Sheet!$E$2:$E$3143, ISNUMBER(
Master_Mapping_Sheet!$E$2:$E$3143),
Master_Mapping_Sheet!$H$2:$H$3143=R$1,
Master_Mapping_Sheet!$M$2:$M$3143=VALUE(RIGHT($A4,1))))/sum(filter(
Master_Mapping_Sheet!$E$2:$E$3143, ISNUMBER(
Ma"&amp;"ster_Mapping_Sheet!$E$2:$E$3143),
Master_Mapping_Sheet!$H$2:$H$3143=R$1))), 0, sum(filter(
Master_Mapping_Sheet!$E$2:$E$3143, ISNUMBER(
Master_Mapping_Sheet!$E$2:$E$3143),
Master_Mapping_Sheet!$H$2:$H$3143=R$1,
Master_Mapping_Sheet!$M$2:$M$3143=VALUE(RIGH"&amp;"T($A4,1))))/sum(filter(
Master_Mapping_Sheet!$E$2:$E$3143, ISNUMBER(
Master_Mapping_Sheet!$E$2:$E$3143),
Master_Mapping_Sheet!$H$2:$H$3143=R$1)))"),0.8074893153032118)</f>
        <v>0.8074893153</v>
      </c>
      <c r="S4" s="34">
        <f>IFERROR(__xludf.DUMMYFUNCTION("IF(ISNA(sum(filter(
Master_Mapping_Sheet!$E$2:$E$3143, ISNUMBER(
Master_Mapping_Sheet!$E$2:$E$3143),
Master_Mapping_Sheet!$H$2:$H$3143=S$1,
Master_Mapping_Sheet!$M$2:$M$3143=VALUE(RIGHT($A4,1))))/sum(filter(
Master_Mapping_Sheet!$E$2:$E$3143, ISNUMBER(
Ma"&amp;"ster_Mapping_Sheet!$E$2:$E$3143),
Master_Mapping_Sheet!$H$2:$H$3143=S$1))), 0, sum(filter(
Master_Mapping_Sheet!$E$2:$E$3143, ISNUMBER(
Master_Mapping_Sheet!$E$2:$E$3143),
Master_Mapping_Sheet!$H$2:$H$3143=S$1,
Master_Mapping_Sheet!$M$2:$M$3143=VALUE(RIGH"&amp;"T($A4,1))))/sum(filter(
Master_Mapping_Sheet!$E$2:$E$3143, ISNUMBER(
Master_Mapping_Sheet!$E$2:$E$3143),
Master_Mapping_Sheet!$H$2:$H$3143=S$1)))"),0.0)</f>
        <v>0</v>
      </c>
      <c r="T4" s="34">
        <f>IFERROR(__xludf.DUMMYFUNCTION("IF(ISNA(sum(filter(
Master_Mapping_Sheet!$E$2:$E$3143, ISNUMBER(
Master_Mapping_Sheet!$E$2:$E$3143),
Master_Mapping_Sheet!$H$2:$H$3143=T$1,
Master_Mapping_Sheet!$M$2:$M$3143=VALUE(RIGHT($A4,1))))/sum(filter(
Master_Mapping_Sheet!$E$2:$E$3143, ISNUMBER(
Ma"&amp;"ster_Mapping_Sheet!$E$2:$E$3143),
Master_Mapping_Sheet!$H$2:$H$3143=T$1))), 0, sum(filter(
Master_Mapping_Sheet!$E$2:$E$3143, ISNUMBER(
Master_Mapping_Sheet!$E$2:$E$3143),
Master_Mapping_Sheet!$H$2:$H$3143=T$1,
Master_Mapping_Sheet!$M$2:$M$3143=VALUE(RIGH"&amp;"T($A4,1))))/sum(filter(
Master_Mapping_Sheet!$E$2:$E$3143, ISNUMBER(
Master_Mapping_Sheet!$E$2:$E$3143),
Master_Mapping_Sheet!$H$2:$H$3143=T$1)))"),0.0)</f>
        <v>0</v>
      </c>
      <c r="U4" s="34">
        <f>IFERROR(__xludf.DUMMYFUNCTION("IF(ISNA(sum(filter(
Master_Mapping_Sheet!$E$2:$E$3143, ISNUMBER(
Master_Mapping_Sheet!$E$2:$E$3143),
Master_Mapping_Sheet!$H$2:$H$3143=U$1,
Master_Mapping_Sheet!$M$2:$M$3143=VALUE(RIGHT($A4,1))))/sum(filter(
Master_Mapping_Sheet!$E$2:$E$3143, ISNUMBER(
Ma"&amp;"ster_Mapping_Sheet!$E$2:$E$3143),
Master_Mapping_Sheet!$H$2:$H$3143=U$1))), 0, sum(filter(
Master_Mapping_Sheet!$E$2:$E$3143, ISNUMBER(
Master_Mapping_Sheet!$E$2:$E$3143),
Master_Mapping_Sheet!$H$2:$H$3143=U$1,
Master_Mapping_Sheet!$M$2:$M$3143=VALUE(RIGH"&amp;"T($A4,1))))/sum(filter(
Master_Mapping_Sheet!$E$2:$E$3143, ISNUMBER(
Master_Mapping_Sheet!$E$2:$E$3143),
Master_Mapping_Sheet!$H$2:$H$3143=U$1)))"),0.16097144187326073)</f>
        <v>0.1609714419</v>
      </c>
      <c r="V4" s="34">
        <f>IFERROR(__xludf.DUMMYFUNCTION("IF(ISNA(sum(filter(
Master_Mapping_Sheet!$E$2:$E$3143, ISNUMBER(
Master_Mapping_Sheet!$E$2:$E$3143),
Master_Mapping_Sheet!$H$2:$H$3143=V$1,
Master_Mapping_Sheet!$M$2:$M$3143=VALUE(RIGHT($A4,1))))/sum(filter(
Master_Mapping_Sheet!$E$2:$E$3143, ISNUMBER(
Ma"&amp;"ster_Mapping_Sheet!$E$2:$E$3143),
Master_Mapping_Sheet!$H$2:$H$3143=V$1))), 0, sum(filter(
Master_Mapping_Sheet!$E$2:$E$3143, ISNUMBER(
Master_Mapping_Sheet!$E$2:$E$3143),
Master_Mapping_Sheet!$H$2:$H$3143=V$1,
Master_Mapping_Sheet!$M$2:$M$3143=VALUE(RIGH"&amp;"T($A4,1))))/sum(filter(
Master_Mapping_Sheet!$E$2:$E$3143, ISNUMBER(
Master_Mapping_Sheet!$E$2:$E$3143),
Master_Mapping_Sheet!$H$2:$H$3143=V$1)))"),0.9556567518211371)</f>
        <v>0.9556567518</v>
      </c>
      <c r="W4" s="34">
        <f>IFERROR(__xludf.DUMMYFUNCTION("IF(ISNA(sum(filter(
Master_Mapping_Sheet!$E$2:$E$3143, ISNUMBER(
Master_Mapping_Sheet!$E$2:$E$3143),
Master_Mapping_Sheet!$H$2:$H$3143=W$1,
Master_Mapping_Sheet!$M$2:$M$3143=VALUE(RIGHT($A4,1))))/sum(filter(
Master_Mapping_Sheet!$E$2:$E$3143, ISNUMBER(
Ma"&amp;"ster_Mapping_Sheet!$E$2:$E$3143),
Master_Mapping_Sheet!$H$2:$H$3143=W$1))), 0, sum(filter(
Master_Mapping_Sheet!$E$2:$E$3143, ISNUMBER(
Master_Mapping_Sheet!$E$2:$E$3143),
Master_Mapping_Sheet!$H$2:$H$3143=W$1,
Master_Mapping_Sheet!$M$2:$M$3143=VALUE(RIGH"&amp;"T($A4,1))))/sum(filter(
Master_Mapping_Sheet!$E$2:$E$3143, ISNUMBER(
Master_Mapping_Sheet!$E$2:$E$3143),
Master_Mapping_Sheet!$H$2:$H$3143=W$1)))"),0.9986270835526974)</f>
        <v>0.9986270836</v>
      </c>
      <c r="X4" s="34">
        <f>IFERROR(__xludf.DUMMYFUNCTION("IF(ISNA(sum(filter(
Master_Mapping_Sheet!$E$2:$E$3143, ISNUMBER(
Master_Mapping_Sheet!$E$2:$E$3143),
Master_Mapping_Sheet!$H$2:$H$3143=X$1,
Master_Mapping_Sheet!$M$2:$M$3143=VALUE(RIGHT($A4,1))))/sum(filter(
Master_Mapping_Sheet!$E$2:$E$3143, ISNUMBER(
Ma"&amp;"ster_Mapping_Sheet!$E$2:$E$3143),
Master_Mapping_Sheet!$H$2:$H$3143=X$1))), 0, sum(filter(
Master_Mapping_Sheet!$E$2:$E$3143, ISNUMBER(
Master_Mapping_Sheet!$E$2:$E$3143),
Master_Mapping_Sheet!$H$2:$H$3143=X$1,
Master_Mapping_Sheet!$M$2:$M$3143=VALUE(RIGH"&amp;"T($A4,1))))/sum(filter(
Master_Mapping_Sheet!$E$2:$E$3143, ISNUMBER(
Master_Mapping_Sheet!$E$2:$E$3143),
Master_Mapping_Sheet!$H$2:$H$3143=X$1)))"),0.0)</f>
        <v>0</v>
      </c>
      <c r="Y4" s="34">
        <f>IFERROR(__xludf.DUMMYFUNCTION("IF(ISNA(sum(filter(
Master_Mapping_Sheet!$E$2:$E$3143, ISNUMBER(
Master_Mapping_Sheet!$E$2:$E$3143),
Master_Mapping_Sheet!$H$2:$H$3143=Y$1,
Master_Mapping_Sheet!$M$2:$M$3143=VALUE(RIGHT($A4,1))))/sum(filter(
Master_Mapping_Sheet!$E$2:$E$3143, ISNUMBER(
Ma"&amp;"ster_Mapping_Sheet!$E$2:$E$3143),
Master_Mapping_Sheet!$H$2:$H$3143=Y$1))), 0, sum(filter(
Master_Mapping_Sheet!$E$2:$E$3143, ISNUMBER(
Master_Mapping_Sheet!$E$2:$E$3143),
Master_Mapping_Sheet!$H$2:$H$3143=Y$1,
Master_Mapping_Sheet!$M$2:$M$3143=VALUE(RIGH"&amp;"T($A4,1))))/sum(filter(
Master_Mapping_Sheet!$E$2:$E$3143, ISNUMBER(
Master_Mapping_Sheet!$E$2:$E$3143),
Master_Mapping_Sheet!$H$2:$H$3143=Y$1)))"),0.0)</f>
        <v>0</v>
      </c>
      <c r="Z4" s="34">
        <f>IFERROR(__xludf.DUMMYFUNCTION("IF(ISNA(sum(filter(
Master_Mapping_Sheet!$E$2:$E$3143, ISNUMBER(
Master_Mapping_Sheet!$E$2:$E$3143),
Master_Mapping_Sheet!$H$2:$H$3143=Z$1,
Master_Mapping_Sheet!$M$2:$M$3143=VALUE(RIGHT($A4,1))))/sum(filter(
Master_Mapping_Sheet!$E$2:$E$3143, ISNUMBER(
Ma"&amp;"ster_Mapping_Sheet!$E$2:$E$3143),
Master_Mapping_Sheet!$H$2:$H$3143=Z$1))), 0, sum(filter(
Master_Mapping_Sheet!$E$2:$E$3143, ISNUMBER(
Master_Mapping_Sheet!$E$2:$E$3143),
Master_Mapping_Sheet!$H$2:$H$3143=Z$1,
Master_Mapping_Sheet!$M$2:$M$3143=VALUE(RIGH"&amp;"T($A4,1))))/sum(filter(
Master_Mapping_Sheet!$E$2:$E$3143, ISNUMBER(
Master_Mapping_Sheet!$E$2:$E$3143),
Master_Mapping_Sheet!$H$2:$H$3143=Z$1)))"),0.2984218119632001)</f>
        <v>0.298421812</v>
      </c>
    </row>
    <row r="5" ht="15.75" customHeight="1">
      <c r="A5" s="45" t="s">
        <v>4254</v>
      </c>
      <c r="B5" s="34">
        <f>IFERROR(__xludf.DUMMYFUNCTION("IF(ISNA(sum(filter(
Master_Mapping_Sheet!$E$2:$E$3143, ISNUMBER(
Master_Mapping_Sheet!$E$2:$E$3143),
Master_Mapping_Sheet!$H$2:$H$3143=B$1,
Master_Mapping_Sheet!$M$2:$M$3143=VALUE(RIGHT($A5,1))))/sum(filter(
Master_Mapping_Sheet!$E$2:$E$3143, ISNUMBER(
Ma"&amp;"ster_Mapping_Sheet!$E$2:$E$3143),
Master_Mapping_Sheet!$H$2:$H$3143=B$1))), 0, sum(filter(
Master_Mapping_Sheet!$E$2:$E$3143, ISNUMBER(
Master_Mapping_Sheet!$E$2:$E$3143),
Master_Mapping_Sheet!$H$2:$H$3143=B$1,
Master_Mapping_Sheet!$M$2:$M$3143=VALUE(RIGH"&amp;"T($A5,1))))/sum(filter(
Master_Mapping_Sheet!$E$2:$E$3143, ISNUMBER(
Master_Mapping_Sheet!$E$2:$E$3143),
Master_Mapping_Sheet!$H$2:$H$3143=B$1)))"),1.2193159834608551E-4)</f>
        <v>0.0001219315983</v>
      </c>
      <c r="C5" s="34">
        <f>IFERROR(__xludf.DUMMYFUNCTION("IF(ISNA(sum(filter(
Master_Mapping_Sheet!$E$2:$E$3143, ISNUMBER(
Master_Mapping_Sheet!$E$2:$E$3143),
Master_Mapping_Sheet!$H$2:$H$3143=C$1,
Master_Mapping_Sheet!$M$2:$M$3143=VALUE(RIGHT($A5,1))))/sum(filter(
Master_Mapping_Sheet!$E$2:$E$3143, ISNUMBER(
Ma"&amp;"ster_Mapping_Sheet!$E$2:$E$3143),
Master_Mapping_Sheet!$H$2:$H$3143=C$1))), 0, sum(filter(
Master_Mapping_Sheet!$E$2:$E$3143, ISNUMBER(
Master_Mapping_Sheet!$E$2:$E$3143),
Master_Mapping_Sheet!$H$2:$H$3143=C$1,
Master_Mapping_Sheet!$M$2:$M$3143=VALUE(RIGH"&amp;"T($A5,1))))/sum(filter(
Master_Mapping_Sheet!$E$2:$E$3143, ISNUMBER(
Master_Mapping_Sheet!$E$2:$E$3143),
Master_Mapping_Sheet!$H$2:$H$3143=C$1)))"),0.0)</f>
        <v>0</v>
      </c>
      <c r="D5" s="34">
        <f>IFERROR(__xludf.DUMMYFUNCTION("IF(ISNA(sum(filter(
Master_Mapping_Sheet!$E$2:$E$3143, ISNUMBER(
Master_Mapping_Sheet!$E$2:$E$3143),
Master_Mapping_Sheet!$H$2:$H$3143=D$1,
Master_Mapping_Sheet!$M$2:$M$3143=VALUE(RIGHT($A5,1))))/sum(filter(
Master_Mapping_Sheet!$E$2:$E$3143, ISNUMBER(
Ma"&amp;"ster_Mapping_Sheet!$E$2:$E$3143),
Master_Mapping_Sheet!$H$2:$H$3143=D$1))), 0, sum(filter(
Master_Mapping_Sheet!$E$2:$E$3143, ISNUMBER(
Master_Mapping_Sheet!$E$2:$E$3143),
Master_Mapping_Sheet!$H$2:$H$3143=D$1,
Master_Mapping_Sheet!$M$2:$M$3143=VALUE(RIGH"&amp;"T($A5,1))))/sum(filter(
Master_Mapping_Sheet!$E$2:$E$3143, ISNUMBER(
Master_Mapping_Sheet!$E$2:$E$3143),
Master_Mapping_Sheet!$H$2:$H$3143=D$1)))"),0.0)</f>
        <v>0</v>
      </c>
      <c r="E5" s="34">
        <f>IFERROR(__xludf.DUMMYFUNCTION("IF(ISNA(sum(filter(
Master_Mapping_Sheet!$E$2:$E$3143, ISNUMBER(
Master_Mapping_Sheet!$E$2:$E$3143),
Master_Mapping_Sheet!$H$2:$H$3143=E$1,
Master_Mapping_Sheet!$M$2:$M$3143=VALUE(RIGHT($A5,1))))/sum(filter(
Master_Mapping_Sheet!$E$2:$E$3143, ISNUMBER(
Ma"&amp;"ster_Mapping_Sheet!$E$2:$E$3143),
Master_Mapping_Sheet!$H$2:$H$3143=E$1))), 0, sum(filter(
Master_Mapping_Sheet!$E$2:$E$3143, ISNUMBER(
Master_Mapping_Sheet!$E$2:$E$3143),
Master_Mapping_Sheet!$H$2:$H$3143=E$1,
Master_Mapping_Sheet!$M$2:$M$3143=VALUE(RIGH"&amp;"T($A5,1))))/sum(filter(
Master_Mapping_Sheet!$E$2:$E$3143, ISNUMBER(
Master_Mapping_Sheet!$E$2:$E$3143),
Master_Mapping_Sheet!$H$2:$H$3143=E$1)))"),0.5112549250919098)</f>
        <v>0.5112549251</v>
      </c>
      <c r="F5" s="34">
        <f>IFERROR(__xludf.DUMMYFUNCTION("IF(ISNA(sum(filter(
Master_Mapping_Sheet!$E$2:$E$3143, ISNUMBER(
Master_Mapping_Sheet!$E$2:$E$3143),
Master_Mapping_Sheet!$H$2:$H$3143=F$1,
Master_Mapping_Sheet!$M$2:$M$3143=VALUE(RIGHT($A5,1))))/sum(filter(
Master_Mapping_Sheet!$E$2:$E$3143, ISNUMBER(
Ma"&amp;"ster_Mapping_Sheet!$E$2:$E$3143),
Master_Mapping_Sheet!$H$2:$H$3143=F$1))), 0, sum(filter(
Master_Mapping_Sheet!$E$2:$E$3143, ISNUMBER(
Master_Mapping_Sheet!$E$2:$E$3143),
Master_Mapping_Sheet!$H$2:$H$3143=F$1,
Master_Mapping_Sheet!$M$2:$M$3143=VALUE(RIGH"&amp;"T($A5,1))))/sum(filter(
Master_Mapping_Sheet!$E$2:$E$3143, ISNUMBER(
Master_Mapping_Sheet!$E$2:$E$3143),
Master_Mapping_Sheet!$H$2:$H$3143=F$1)))"),0.0)</f>
        <v>0</v>
      </c>
      <c r="G5" s="34">
        <f>IFERROR(__xludf.DUMMYFUNCTION("IF(ISNA(sum(filter(
Master_Mapping_Sheet!$E$2:$E$3143, ISNUMBER(
Master_Mapping_Sheet!$E$2:$E$3143),
Master_Mapping_Sheet!$H$2:$H$3143=G$1,
Master_Mapping_Sheet!$M$2:$M$3143=VALUE(RIGHT($A5,1))))/sum(filter(
Master_Mapping_Sheet!$E$2:$E$3143, ISNUMBER(
Ma"&amp;"ster_Mapping_Sheet!$E$2:$E$3143),
Master_Mapping_Sheet!$H$2:$H$3143=G$1))), 0, sum(filter(
Master_Mapping_Sheet!$E$2:$E$3143, ISNUMBER(
Master_Mapping_Sheet!$E$2:$E$3143),
Master_Mapping_Sheet!$H$2:$H$3143=G$1,
Master_Mapping_Sheet!$M$2:$M$3143=VALUE(RIGH"&amp;"T($A5,1))))/sum(filter(
Master_Mapping_Sheet!$E$2:$E$3143, ISNUMBER(
Master_Mapping_Sheet!$E$2:$E$3143),
Master_Mapping_Sheet!$H$2:$H$3143=G$1)))"),0.01626545993605724)</f>
        <v>0.01626545994</v>
      </c>
      <c r="H5" s="34">
        <f>IFERROR(__xludf.DUMMYFUNCTION("IF(ISNA(sum(filter(
Master_Mapping_Sheet!$E$2:$E$3143, ISNUMBER(
Master_Mapping_Sheet!$E$2:$E$3143),
Master_Mapping_Sheet!$H$2:$H$3143=H$1,
Master_Mapping_Sheet!$M$2:$M$3143=VALUE(RIGHT($A5,1))))/sum(filter(
Master_Mapping_Sheet!$E$2:$E$3143, ISNUMBER(
Ma"&amp;"ster_Mapping_Sheet!$E$2:$E$3143),
Master_Mapping_Sheet!$H$2:$H$3143=H$1))), 0, sum(filter(
Master_Mapping_Sheet!$E$2:$E$3143, ISNUMBER(
Master_Mapping_Sheet!$E$2:$E$3143),
Master_Mapping_Sheet!$H$2:$H$3143=H$1,
Master_Mapping_Sheet!$M$2:$M$3143=VALUE(RIGH"&amp;"T($A5,1))))/sum(filter(
Master_Mapping_Sheet!$E$2:$E$3143, ISNUMBER(
Master_Mapping_Sheet!$E$2:$E$3143),
Master_Mapping_Sheet!$H$2:$H$3143=H$1)))"),0.0)</f>
        <v>0</v>
      </c>
      <c r="I5" s="34">
        <f>IFERROR(__xludf.DUMMYFUNCTION("IF(ISNA(sum(filter(
Master_Mapping_Sheet!$E$2:$E$3143, ISNUMBER(
Master_Mapping_Sheet!$E$2:$E$3143),
Master_Mapping_Sheet!$H$2:$H$3143=I$1,
Master_Mapping_Sheet!$M$2:$M$3143=VALUE(RIGHT($A5,1))))/sum(filter(
Master_Mapping_Sheet!$E$2:$E$3143, ISNUMBER(
Ma"&amp;"ster_Mapping_Sheet!$E$2:$E$3143),
Master_Mapping_Sheet!$H$2:$H$3143=I$1))), 0, sum(filter(
Master_Mapping_Sheet!$E$2:$E$3143, ISNUMBER(
Master_Mapping_Sheet!$E$2:$E$3143),
Master_Mapping_Sheet!$H$2:$H$3143=I$1,
Master_Mapping_Sheet!$M$2:$M$3143=VALUE(RIGH"&amp;"T($A5,1))))/sum(filter(
Master_Mapping_Sheet!$E$2:$E$3143, ISNUMBER(
Master_Mapping_Sheet!$E$2:$E$3143),
Master_Mapping_Sheet!$H$2:$H$3143=I$1)))"),1.0)</f>
        <v>1</v>
      </c>
      <c r="J5" s="34">
        <f>IFERROR(__xludf.DUMMYFUNCTION("IF(ISNA(sum(filter(
Master_Mapping_Sheet!$E$2:$E$3143, ISNUMBER(
Master_Mapping_Sheet!$E$2:$E$3143),
Master_Mapping_Sheet!$H$2:$H$3143=J$1,
Master_Mapping_Sheet!$M$2:$M$3143=VALUE(RIGHT($A5,1))))/sum(filter(
Master_Mapping_Sheet!$E$2:$E$3143, ISNUMBER(
Ma"&amp;"ster_Mapping_Sheet!$E$2:$E$3143),
Master_Mapping_Sheet!$H$2:$H$3143=J$1))), 0, sum(filter(
Master_Mapping_Sheet!$E$2:$E$3143, ISNUMBER(
Master_Mapping_Sheet!$E$2:$E$3143),
Master_Mapping_Sheet!$H$2:$H$3143=J$1,
Master_Mapping_Sheet!$M$2:$M$3143=VALUE(RIGH"&amp;"T($A5,1))))/sum(filter(
Master_Mapping_Sheet!$E$2:$E$3143, ISNUMBER(
Master_Mapping_Sheet!$E$2:$E$3143),
Master_Mapping_Sheet!$H$2:$H$3143=J$1)))"),0.0)</f>
        <v>0</v>
      </c>
      <c r="K5" s="34">
        <f>IFERROR(__xludf.DUMMYFUNCTION("IF(ISNA(sum(filter(
Master_Mapping_Sheet!$E$2:$E$3143, ISNUMBER(
Master_Mapping_Sheet!$E$2:$E$3143),
Master_Mapping_Sheet!$H$2:$H$3143=K$1,
Master_Mapping_Sheet!$M$2:$M$3143=VALUE(RIGHT($A5,1))))/sum(filter(
Master_Mapping_Sheet!$E$2:$E$3143, ISNUMBER(
Ma"&amp;"ster_Mapping_Sheet!$E$2:$E$3143),
Master_Mapping_Sheet!$H$2:$H$3143=K$1))), 0, sum(filter(
Master_Mapping_Sheet!$E$2:$E$3143, ISNUMBER(
Master_Mapping_Sheet!$E$2:$E$3143),
Master_Mapping_Sheet!$H$2:$H$3143=K$1,
Master_Mapping_Sheet!$M$2:$M$3143=VALUE(RIGH"&amp;"T($A5,1))))/sum(filter(
Master_Mapping_Sheet!$E$2:$E$3143, ISNUMBER(
Master_Mapping_Sheet!$E$2:$E$3143),
Master_Mapping_Sheet!$H$2:$H$3143=K$1)))"),0.6632963562407487)</f>
        <v>0.6632963562</v>
      </c>
      <c r="L5" s="34">
        <f>IFERROR(__xludf.DUMMYFUNCTION("IF(ISNA(sum(filter(
Master_Mapping_Sheet!$E$2:$E$3143, ISNUMBER(
Master_Mapping_Sheet!$E$2:$E$3143),
Master_Mapping_Sheet!$H$2:$H$3143=L$1,
Master_Mapping_Sheet!$M$2:$M$3143=VALUE(RIGHT($A5,1))))/sum(filter(
Master_Mapping_Sheet!$E$2:$E$3143, ISNUMBER(
Ma"&amp;"ster_Mapping_Sheet!$E$2:$E$3143),
Master_Mapping_Sheet!$H$2:$H$3143=L$1))), 0, sum(filter(
Master_Mapping_Sheet!$E$2:$E$3143, ISNUMBER(
Master_Mapping_Sheet!$E$2:$E$3143),
Master_Mapping_Sheet!$H$2:$H$3143=L$1,
Master_Mapping_Sheet!$M$2:$M$3143=VALUE(RIGH"&amp;"T($A5,1))))/sum(filter(
Master_Mapping_Sheet!$E$2:$E$3143, ISNUMBER(
Master_Mapping_Sheet!$E$2:$E$3143),
Master_Mapping_Sheet!$H$2:$H$3143=L$1)))"),0.24845797096835442)</f>
        <v>0.248457971</v>
      </c>
      <c r="M5" s="34">
        <f>IFERROR(__xludf.DUMMYFUNCTION("IF(ISNA(sum(filter(
Master_Mapping_Sheet!$E$2:$E$3143, ISNUMBER(
Master_Mapping_Sheet!$E$2:$E$3143),
Master_Mapping_Sheet!$H$2:$H$3143=M$1,
Master_Mapping_Sheet!$M$2:$M$3143=VALUE(RIGHT($A5,1))))/sum(filter(
Master_Mapping_Sheet!$E$2:$E$3143, ISNUMBER(
Ma"&amp;"ster_Mapping_Sheet!$E$2:$E$3143),
Master_Mapping_Sheet!$H$2:$H$3143=M$1))), 0, sum(filter(
Master_Mapping_Sheet!$E$2:$E$3143, ISNUMBER(
Master_Mapping_Sheet!$E$2:$E$3143),
Master_Mapping_Sheet!$H$2:$H$3143=M$1,
Master_Mapping_Sheet!$M$2:$M$3143=VALUE(RIGH"&amp;"T($A5,1))))/sum(filter(
Master_Mapping_Sheet!$E$2:$E$3143, ISNUMBER(
Master_Mapping_Sheet!$E$2:$E$3143),
Master_Mapping_Sheet!$H$2:$H$3143=M$1)))"),0.0)</f>
        <v>0</v>
      </c>
      <c r="N5" s="34">
        <f>IFERROR(__xludf.DUMMYFUNCTION("IF(ISNA(sum(filter(
Master_Mapping_Sheet!$E$2:$E$3143, ISNUMBER(
Master_Mapping_Sheet!$E$2:$E$3143),
Master_Mapping_Sheet!$H$2:$H$3143=N$1,
Master_Mapping_Sheet!$M$2:$M$3143=VALUE(RIGHT($A5,1))))/sum(filter(
Master_Mapping_Sheet!$E$2:$E$3143, ISNUMBER(
Ma"&amp;"ster_Mapping_Sheet!$E$2:$E$3143),
Master_Mapping_Sheet!$H$2:$H$3143=N$1))), 0, sum(filter(
Master_Mapping_Sheet!$E$2:$E$3143, ISNUMBER(
Master_Mapping_Sheet!$E$2:$E$3143),
Master_Mapping_Sheet!$H$2:$H$3143=N$1,
Master_Mapping_Sheet!$M$2:$M$3143=VALUE(RIGH"&amp;"T($A5,1))))/sum(filter(
Master_Mapping_Sheet!$E$2:$E$3143, ISNUMBER(
Master_Mapping_Sheet!$E$2:$E$3143),
Master_Mapping_Sheet!$H$2:$H$3143=N$1)))"),0.9473219875852374)</f>
        <v>0.9473219876</v>
      </c>
      <c r="O5" s="34">
        <f>IFERROR(__xludf.DUMMYFUNCTION("IF(ISNA(sum(filter(
Master_Mapping_Sheet!$E$2:$E$3143, ISNUMBER(
Master_Mapping_Sheet!$E$2:$E$3143),
Master_Mapping_Sheet!$H$2:$H$3143=O$1,
Master_Mapping_Sheet!$M$2:$M$3143=VALUE(RIGHT($A5,1))))/sum(filter(
Master_Mapping_Sheet!$E$2:$E$3143, ISNUMBER(
Ma"&amp;"ster_Mapping_Sheet!$E$2:$E$3143),
Master_Mapping_Sheet!$H$2:$H$3143=O$1))), 0, sum(filter(
Master_Mapping_Sheet!$E$2:$E$3143, ISNUMBER(
Master_Mapping_Sheet!$E$2:$E$3143),
Master_Mapping_Sheet!$H$2:$H$3143=O$1,
Master_Mapping_Sheet!$M$2:$M$3143=VALUE(RIGH"&amp;"T($A5,1))))/sum(filter(
Master_Mapping_Sheet!$E$2:$E$3143, ISNUMBER(
Master_Mapping_Sheet!$E$2:$E$3143),
Master_Mapping_Sheet!$H$2:$H$3143=O$1)))"),0.33376989515578476)</f>
        <v>0.3337698952</v>
      </c>
      <c r="P5" s="34">
        <f>IFERROR(__xludf.DUMMYFUNCTION("IF(ISNA(sum(filter(
Master_Mapping_Sheet!$E$2:$E$3143, ISNUMBER(
Master_Mapping_Sheet!$E$2:$E$3143),
Master_Mapping_Sheet!$H$2:$H$3143=P$1,
Master_Mapping_Sheet!$M$2:$M$3143=VALUE(RIGHT($A5,1))))/sum(filter(
Master_Mapping_Sheet!$E$2:$E$3143, ISNUMBER(
Ma"&amp;"ster_Mapping_Sheet!$E$2:$E$3143),
Master_Mapping_Sheet!$H$2:$H$3143=P$1))), 0, sum(filter(
Master_Mapping_Sheet!$E$2:$E$3143, ISNUMBER(
Master_Mapping_Sheet!$E$2:$E$3143),
Master_Mapping_Sheet!$H$2:$H$3143=P$1,
Master_Mapping_Sheet!$M$2:$M$3143=VALUE(RIGH"&amp;"T($A5,1))))/sum(filter(
Master_Mapping_Sheet!$E$2:$E$3143, ISNUMBER(
Master_Mapping_Sheet!$E$2:$E$3143),
Master_Mapping_Sheet!$H$2:$H$3143=P$1)))"),0.058600783082442626)</f>
        <v>0.05860078308</v>
      </c>
      <c r="Q5" s="34">
        <f>IFERROR(__xludf.DUMMYFUNCTION("IF(ISNA(sum(filter(
Master_Mapping_Sheet!$E$2:$E$3143, ISNUMBER(
Master_Mapping_Sheet!$E$2:$E$3143),
Master_Mapping_Sheet!$H$2:$H$3143=Q$1,
Master_Mapping_Sheet!$M$2:$M$3143=VALUE(RIGHT($A5,1))))/sum(filter(
Master_Mapping_Sheet!$E$2:$E$3143, ISNUMBER(
Ma"&amp;"ster_Mapping_Sheet!$E$2:$E$3143),
Master_Mapping_Sheet!$H$2:$H$3143=Q$1))), 0, sum(filter(
Master_Mapping_Sheet!$E$2:$E$3143, ISNUMBER(
Master_Mapping_Sheet!$E$2:$E$3143),
Master_Mapping_Sheet!$H$2:$H$3143=Q$1,
Master_Mapping_Sheet!$M$2:$M$3143=VALUE(RIGH"&amp;"T($A5,1))))/sum(filter(
Master_Mapping_Sheet!$E$2:$E$3143, ISNUMBER(
Master_Mapping_Sheet!$E$2:$E$3143),
Master_Mapping_Sheet!$H$2:$H$3143=Q$1)))"),0.7844315172526171)</f>
        <v>0.7844315173</v>
      </c>
      <c r="R5" s="34">
        <f>IFERROR(__xludf.DUMMYFUNCTION("IF(ISNA(sum(filter(
Master_Mapping_Sheet!$E$2:$E$3143, ISNUMBER(
Master_Mapping_Sheet!$E$2:$E$3143),
Master_Mapping_Sheet!$H$2:$H$3143=R$1,
Master_Mapping_Sheet!$M$2:$M$3143=VALUE(RIGHT($A5,1))))/sum(filter(
Master_Mapping_Sheet!$E$2:$E$3143, ISNUMBER(
Ma"&amp;"ster_Mapping_Sheet!$E$2:$E$3143),
Master_Mapping_Sheet!$H$2:$H$3143=R$1))), 0, sum(filter(
Master_Mapping_Sheet!$E$2:$E$3143, ISNUMBER(
Master_Mapping_Sheet!$E$2:$E$3143),
Master_Mapping_Sheet!$H$2:$H$3143=R$1,
Master_Mapping_Sheet!$M$2:$M$3143=VALUE(RIGH"&amp;"T($A5,1))))/sum(filter(
Master_Mapping_Sheet!$E$2:$E$3143, ISNUMBER(
Master_Mapping_Sheet!$E$2:$E$3143),
Master_Mapping_Sheet!$H$2:$H$3143=R$1)))"),0.1593631693552836)</f>
        <v>0.1593631694</v>
      </c>
      <c r="S5" s="34">
        <f>IFERROR(__xludf.DUMMYFUNCTION("IF(ISNA(sum(filter(
Master_Mapping_Sheet!$E$2:$E$3143, ISNUMBER(
Master_Mapping_Sheet!$E$2:$E$3143),
Master_Mapping_Sheet!$H$2:$H$3143=S$1,
Master_Mapping_Sheet!$M$2:$M$3143=VALUE(RIGHT($A5,1))))/sum(filter(
Master_Mapping_Sheet!$E$2:$E$3143, ISNUMBER(
Ma"&amp;"ster_Mapping_Sheet!$E$2:$E$3143),
Master_Mapping_Sheet!$H$2:$H$3143=S$1))), 0, sum(filter(
Master_Mapping_Sheet!$E$2:$E$3143, ISNUMBER(
Master_Mapping_Sheet!$E$2:$E$3143),
Master_Mapping_Sheet!$H$2:$H$3143=S$1,
Master_Mapping_Sheet!$M$2:$M$3143=VALUE(RIGH"&amp;"T($A5,1))))/sum(filter(
Master_Mapping_Sheet!$E$2:$E$3143, ISNUMBER(
Master_Mapping_Sheet!$E$2:$E$3143),
Master_Mapping_Sheet!$H$2:$H$3143=S$1)))"),0.9375588395177511)</f>
        <v>0.9375588395</v>
      </c>
      <c r="T5" s="34">
        <f>IFERROR(__xludf.DUMMYFUNCTION("IF(ISNA(sum(filter(
Master_Mapping_Sheet!$E$2:$E$3143, ISNUMBER(
Master_Mapping_Sheet!$E$2:$E$3143),
Master_Mapping_Sheet!$H$2:$H$3143=T$1,
Master_Mapping_Sheet!$M$2:$M$3143=VALUE(RIGHT($A5,1))))/sum(filter(
Master_Mapping_Sheet!$E$2:$E$3143, ISNUMBER(
Ma"&amp;"ster_Mapping_Sheet!$E$2:$E$3143),
Master_Mapping_Sheet!$H$2:$H$3143=T$1))), 0, sum(filter(
Master_Mapping_Sheet!$E$2:$E$3143, ISNUMBER(
Master_Mapping_Sheet!$E$2:$E$3143),
Master_Mapping_Sheet!$H$2:$H$3143=T$1,
Master_Mapping_Sheet!$M$2:$M$3143=VALUE(RIGH"&amp;"T($A5,1))))/sum(filter(
Master_Mapping_Sheet!$E$2:$E$3143, ISNUMBER(
Master_Mapping_Sheet!$E$2:$E$3143),
Master_Mapping_Sheet!$H$2:$H$3143=T$1)))"),0.0)</f>
        <v>0</v>
      </c>
      <c r="U5" s="34">
        <f>IFERROR(__xludf.DUMMYFUNCTION("IF(ISNA(sum(filter(
Master_Mapping_Sheet!$E$2:$E$3143, ISNUMBER(
Master_Mapping_Sheet!$E$2:$E$3143),
Master_Mapping_Sheet!$H$2:$H$3143=U$1,
Master_Mapping_Sheet!$M$2:$M$3143=VALUE(RIGHT($A5,1))))/sum(filter(
Master_Mapping_Sheet!$E$2:$E$3143, ISNUMBER(
Ma"&amp;"ster_Mapping_Sheet!$E$2:$E$3143),
Master_Mapping_Sheet!$H$2:$H$3143=U$1))), 0, sum(filter(
Master_Mapping_Sheet!$E$2:$E$3143, ISNUMBER(
Master_Mapping_Sheet!$E$2:$E$3143),
Master_Mapping_Sheet!$H$2:$H$3143=U$1,
Master_Mapping_Sheet!$M$2:$M$3143=VALUE(RIGH"&amp;"T($A5,1))))/sum(filter(
Master_Mapping_Sheet!$E$2:$E$3143, ISNUMBER(
Master_Mapping_Sheet!$E$2:$E$3143),
Master_Mapping_Sheet!$H$2:$H$3143=U$1)))"),0.11418234516563776)</f>
        <v>0.1141823452</v>
      </c>
      <c r="V5" s="34">
        <f>IFERROR(__xludf.DUMMYFUNCTION("IF(ISNA(sum(filter(
Master_Mapping_Sheet!$E$2:$E$3143, ISNUMBER(
Master_Mapping_Sheet!$E$2:$E$3143),
Master_Mapping_Sheet!$H$2:$H$3143=V$1,
Master_Mapping_Sheet!$M$2:$M$3143=VALUE(RIGHT($A5,1))))/sum(filter(
Master_Mapping_Sheet!$E$2:$E$3143, ISNUMBER(
Ma"&amp;"ster_Mapping_Sheet!$E$2:$E$3143),
Master_Mapping_Sheet!$H$2:$H$3143=V$1))), 0, sum(filter(
Master_Mapping_Sheet!$E$2:$E$3143, ISNUMBER(
Master_Mapping_Sheet!$E$2:$E$3143),
Master_Mapping_Sheet!$H$2:$H$3143=V$1,
Master_Mapping_Sheet!$M$2:$M$3143=VALUE(RIGH"&amp;"T($A5,1))))/sum(filter(
Master_Mapping_Sheet!$E$2:$E$3143, ISNUMBER(
Master_Mapping_Sheet!$E$2:$E$3143),
Master_Mapping_Sheet!$H$2:$H$3143=V$1)))"),0.036332555596602534)</f>
        <v>0.0363325556</v>
      </c>
      <c r="W5" s="34">
        <f>IFERROR(__xludf.DUMMYFUNCTION("IF(ISNA(sum(filter(
Master_Mapping_Sheet!$E$2:$E$3143, ISNUMBER(
Master_Mapping_Sheet!$E$2:$E$3143),
Master_Mapping_Sheet!$H$2:$H$3143=W$1,
Master_Mapping_Sheet!$M$2:$M$3143=VALUE(RIGHT($A5,1))))/sum(filter(
Master_Mapping_Sheet!$E$2:$E$3143, ISNUMBER(
Ma"&amp;"ster_Mapping_Sheet!$E$2:$E$3143),
Master_Mapping_Sheet!$H$2:$H$3143=W$1))), 0, sum(filter(
Master_Mapping_Sheet!$E$2:$E$3143, ISNUMBER(
Master_Mapping_Sheet!$E$2:$E$3143),
Master_Mapping_Sheet!$H$2:$H$3143=W$1,
Master_Mapping_Sheet!$M$2:$M$3143=VALUE(RIGH"&amp;"T($A5,1))))/sum(filter(
Master_Mapping_Sheet!$E$2:$E$3143, ISNUMBER(
Master_Mapping_Sheet!$E$2:$E$3143),
Master_Mapping_Sheet!$H$2:$H$3143=W$1)))"),8.051157857492464E-4)</f>
        <v>0.0008051157857</v>
      </c>
      <c r="X5" s="34">
        <f>IFERROR(__xludf.DUMMYFUNCTION("IF(ISNA(sum(filter(
Master_Mapping_Sheet!$E$2:$E$3143, ISNUMBER(
Master_Mapping_Sheet!$E$2:$E$3143),
Master_Mapping_Sheet!$H$2:$H$3143=X$1,
Master_Mapping_Sheet!$M$2:$M$3143=VALUE(RIGHT($A5,1))))/sum(filter(
Master_Mapping_Sheet!$E$2:$E$3143, ISNUMBER(
Ma"&amp;"ster_Mapping_Sheet!$E$2:$E$3143),
Master_Mapping_Sheet!$H$2:$H$3143=X$1))), 0, sum(filter(
Master_Mapping_Sheet!$E$2:$E$3143, ISNUMBER(
Master_Mapping_Sheet!$E$2:$E$3143),
Master_Mapping_Sheet!$H$2:$H$3143=X$1,
Master_Mapping_Sheet!$M$2:$M$3143=VALUE(RIGH"&amp;"T($A5,1))))/sum(filter(
Master_Mapping_Sheet!$E$2:$E$3143, ISNUMBER(
Master_Mapping_Sheet!$E$2:$E$3143),
Master_Mapping_Sheet!$H$2:$H$3143=X$1)))"),0.717617924684189)</f>
        <v>0.7176179247</v>
      </c>
      <c r="Y5" s="34">
        <f>IFERROR(__xludf.DUMMYFUNCTION("IF(ISNA(sum(filter(
Master_Mapping_Sheet!$E$2:$E$3143, ISNUMBER(
Master_Mapping_Sheet!$E$2:$E$3143),
Master_Mapping_Sheet!$H$2:$H$3143=Y$1,
Master_Mapping_Sheet!$M$2:$M$3143=VALUE(RIGHT($A5,1))))/sum(filter(
Master_Mapping_Sheet!$E$2:$E$3143, ISNUMBER(
Ma"&amp;"ster_Mapping_Sheet!$E$2:$E$3143),
Master_Mapping_Sheet!$H$2:$H$3143=Y$1))), 0, sum(filter(
Master_Mapping_Sheet!$E$2:$E$3143, ISNUMBER(
Master_Mapping_Sheet!$E$2:$E$3143),
Master_Mapping_Sheet!$H$2:$H$3143=Y$1,
Master_Mapping_Sheet!$M$2:$M$3143=VALUE(RIGH"&amp;"T($A5,1))))/sum(filter(
Master_Mapping_Sheet!$E$2:$E$3143, ISNUMBER(
Master_Mapping_Sheet!$E$2:$E$3143),
Master_Mapping_Sheet!$H$2:$H$3143=Y$1)))"),0.0056366390980874)</f>
        <v>0.005636639098</v>
      </c>
      <c r="Z5" s="34">
        <f>IFERROR(__xludf.DUMMYFUNCTION("IF(ISNA(sum(filter(
Master_Mapping_Sheet!$E$2:$E$3143, ISNUMBER(
Master_Mapping_Sheet!$E$2:$E$3143),
Master_Mapping_Sheet!$H$2:$H$3143=Z$1,
Master_Mapping_Sheet!$M$2:$M$3143=VALUE(RIGHT($A5,1))))/sum(filter(
Master_Mapping_Sheet!$E$2:$E$3143, ISNUMBER(
Ma"&amp;"ster_Mapping_Sheet!$E$2:$E$3143),
Master_Mapping_Sheet!$H$2:$H$3143=Z$1))), 0, sum(filter(
Master_Mapping_Sheet!$E$2:$E$3143, ISNUMBER(
Master_Mapping_Sheet!$E$2:$E$3143),
Master_Mapping_Sheet!$H$2:$H$3143=Z$1,
Master_Mapping_Sheet!$M$2:$M$3143=VALUE(RIGH"&amp;"T($A5,1))))/sum(filter(
Master_Mapping_Sheet!$E$2:$E$3143, ISNUMBER(
Master_Mapping_Sheet!$E$2:$E$3143),
Master_Mapping_Sheet!$H$2:$H$3143=Z$1)))"),0.0)</f>
        <v>0</v>
      </c>
    </row>
    <row r="6" ht="15.75" customHeight="1">
      <c r="A6" s="45" t="s">
        <v>4255</v>
      </c>
      <c r="B6" s="34">
        <f>IFERROR(__xludf.DUMMYFUNCTION("IF(ISNA(sum(filter(
Master_Mapping_Sheet!$E$2:$E$3143, ISNUMBER(
Master_Mapping_Sheet!$E$2:$E$3143),
Master_Mapping_Sheet!$H$2:$H$3143=B$1,
Master_Mapping_Sheet!$M$2:$M$3143=VALUE(RIGHT($A6,1))))/sum(filter(
Master_Mapping_Sheet!$E$2:$E$3143, ISNUMBER(
Ma"&amp;"ster_Mapping_Sheet!$E$2:$E$3143),
Master_Mapping_Sheet!$H$2:$H$3143=B$1))), 0, sum(filter(
Master_Mapping_Sheet!$E$2:$E$3143, ISNUMBER(
Master_Mapping_Sheet!$E$2:$E$3143),
Master_Mapping_Sheet!$H$2:$H$3143=B$1,
Master_Mapping_Sheet!$M$2:$M$3143=VALUE(RIGH"&amp;"T($A6,1))))/sum(filter(
Master_Mapping_Sheet!$E$2:$E$3143, ISNUMBER(
Master_Mapping_Sheet!$E$2:$E$3143),
Master_Mapping_Sheet!$H$2:$H$3143=B$1)))"),0.0)</f>
        <v>0</v>
      </c>
      <c r="C6" s="34">
        <f>IFERROR(__xludf.DUMMYFUNCTION("IF(ISNA(sum(filter(
Master_Mapping_Sheet!$E$2:$E$3143, ISNUMBER(
Master_Mapping_Sheet!$E$2:$E$3143),
Master_Mapping_Sheet!$H$2:$H$3143=C$1,
Master_Mapping_Sheet!$M$2:$M$3143=VALUE(RIGHT($A6,1))))/sum(filter(
Master_Mapping_Sheet!$E$2:$E$3143, ISNUMBER(
Ma"&amp;"ster_Mapping_Sheet!$E$2:$E$3143),
Master_Mapping_Sheet!$H$2:$H$3143=C$1))), 0, sum(filter(
Master_Mapping_Sheet!$E$2:$E$3143, ISNUMBER(
Master_Mapping_Sheet!$E$2:$E$3143),
Master_Mapping_Sheet!$H$2:$H$3143=C$1,
Master_Mapping_Sheet!$M$2:$M$3143=VALUE(RIGH"&amp;"T($A6,1))))/sum(filter(
Master_Mapping_Sheet!$E$2:$E$3143, ISNUMBER(
Master_Mapping_Sheet!$E$2:$E$3143),
Master_Mapping_Sheet!$H$2:$H$3143=C$1)))"),0.0)</f>
        <v>0</v>
      </c>
      <c r="D6" s="34">
        <f>IFERROR(__xludf.DUMMYFUNCTION("IF(ISNA(sum(filter(
Master_Mapping_Sheet!$E$2:$E$3143, ISNUMBER(
Master_Mapping_Sheet!$E$2:$E$3143),
Master_Mapping_Sheet!$H$2:$H$3143=D$1,
Master_Mapping_Sheet!$M$2:$M$3143=VALUE(RIGHT($A6,1))))/sum(filter(
Master_Mapping_Sheet!$E$2:$E$3143, ISNUMBER(
Ma"&amp;"ster_Mapping_Sheet!$E$2:$E$3143),
Master_Mapping_Sheet!$H$2:$H$3143=D$1))), 0, sum(filter(
Master_Mapping_Sheet!$E$2:$E$3143, ISNUMBER(
Master_Mapping_Sheet!$E$2:$E$3143),
Master_Mapping_Sheet!$H$2:$H$3143=D$1,
Master_Mapping_Sheet!$M$2:$M$3143=VALUE(RIGH"&amp;"T($A6,1))))/sum(filter(
Master_Mapping_Sheet!$E$2:$E$3143, ISNUMBER(
Master_Mapping_Sheet!$E$2:$E$3143),
Master_Mapping_Sheet!$H$2:$H$3143=D$1)))"),0.14975834478321895)</f>
        <v>0.1497583448</v>
      </c>
      <c r="E6" s="34">
        <f>IFERROR(__xludf.DUMMYFUNCTION("IF(ISNA(sum(filter(
Master_Mapping_Sheet!$E$2:$E$3143, ISNUMBER(
Master_Mapping_Sheet!$E$2:$E$3143),
Master_Mapping_Sheet!$H$2:$H$3143=E$1,
Master_Mapping_Sheet!$M$2:$M$3143=VALUE(RIGHT($A6,1))))/sum(filter(
Master_Mapping_Sheet!$E$2:$E$3143, ISNUMBER(
Ma"&amp;"ster_Mapping_Sheet!$E$2:$E$3143),
Master_Mapping_Sheet!$H$2:$H$3143=E$1))), 0, sum(filter(
Master_Mapping_Sheet!$E$2:$E$3143, ISNUMBER(
Master_Mapping_Sheet!$E$2:$E$3143),
Master_Mapping_Sheet!$H$2:$H$3143=E$1,
Master_Mapping_Sheet!$M$2:$M$3143=VALUE(RIGH"&amp;"T($A6,1))))/sum(filter(
Master_Mapping_Sheet!$E$2:$E$3143, ISNUMBER(
Master_Mapping_Sheet!$E$2:$E$3143),
Master_Mapping_Sheet!$H$2:$H$3143=E$1)))"),0.4887450749080901)</f>
        <v>0.4887450749</v>
      </c>
      <c r="F6" s="34">
        <f>IFERROR(__xludf.DUMMYFUNCTION("IF(ISNA(sum(filter(
Master_Mapping_Sheet!$E$2:$E$3143, ISNUMBER(
Master_Mapping_Sheet!$E$2:$E$3143),
Master_Mapping_Sheet!$H$2:$H$3143=F$1,
Master_Mapping_Sheet!$M$2:$M$3143=VALUE(RIGHT($A6,1))))/sum(filter(
Master_Mapping_Sheet!$E$2:$E$3143, ISNUMBER(
Ma"&amp;"ster_Mapping_Sheet!$E$2:$E$3143),
Master_Mapping_Sheet!$H$2:$H$3143=F$1))), 0, sum(filter(
Master_Mapping_Sheet!$E$2:$E$3143, ISNUMBER(
Master_Mapping_Sheet!$E$2:$E$3143),
Master_Mapping_Sheet!$H$2:$H$3143=F$1,
Master_Mapping_Sheet!$M$2:$M$3143=VALUE(RIGH"&amp;"T($A6,1))))/sum(filter(
Master_Mapping_Sheet!$E$2:$E$3143, ISNUMBER(
Master_Mapping_Sheet!$E$2:$E$3143),
Master_Mapping_Sheet!$H$2:$H$3143=F$1)))"),0.898477757410173)</f>
        <v>0.8984777574</v>
      </c>
      <c r="G6" s="34">
        <f>IFERROR(__xludf.DUMMYFUNCTION("IF(ISNA(sum(filter(
Master_Mapping_Sheet!$E$2:$E$3143, ISNUMBER(
Master_Mapping_Sheet!$E$2:$E$3143),
Master_Mapping_Sheet!$H$2:$H$3143=G$1,
Master_Mapping_Sheet!$M$2:$M$3143=VALUE(RIGHT($A6,1))))/sum(filter(
Master_Mapping_Sheet!$E$2:$E$3143, ISNUMBER(
Ma"&amp;"ster_Mapping_Sheet!$E$2:$E$3143),
Master_Mapping_Sheet!$H$2:$H$3143=G$1))), 0, sum(filter(
Master_Mapping_Sheet!$E$2:$E$3143, ISNUMBER(
Master_Mapping_Sheet!$E$2:$E$3143),
Master_Mapping_Sheet!$H$2:$H$3143=G$1,
Master_Mapping_Sheet!$M$2:$M$3143=VALUE(RIGH"&amp;"T($A6,1))))/sum(filter(
Master_Mapping_Sheet!$E$2:$E$3143, ISNUMBER(
Master_Mapping_Sheet!$E$2:$E$3143),
Master_Mapping_Sheet!$H$2:$H$3143=G$1)))"),0.0)</f>
        <v>0</v>
      </c>
      <c r="H6" s="34">
        <f>IFERROR(__xludf.DUMMYFUNCTION("IF(ISNA(sum(filter(
Master_Mapping_Sheet!$E$2:$E$3143, ISNUMBER(
Master_Mapping_Sheet!$E$2:$E$3143),
Master_Mapping_Sheet!$H$2:$H$3143=H$1,
Master_Mapping_Sheet!$M$2:$M$3143=VALUE(RIGHT($A6,1))))/sum(filter(
Master_Mapping_Sheet!$E$2:$E$3143, ISNUMBER(
Ma"&amp;"ster_Mapping_Sheet!$E$2:$E$3143),
Master_Mapping_Sheet!$H$2:$H$3143=H$1))), 0, sum(filter(
Master_Mapping_Sheet!$E$2:$E$3143, ISNUMBER(
Master_Mapping_Sheet!$E$2:$E$3143),
Master_Mapping_Sheet!$H$2:$H$3143=H$1,
Master_Mapping_Sheet!$M$2:$M$3143=VALUE(RIGH"&amp;"T($A6,1))))/sum(filter(
Master_Mapping_Sheet!$E$2:$E$3143, ISNUMBER(
Master_Mapping_Sheet!$E$2:$E$3143),
Master_Mapping_Sheet!$H$2:$H$3143=H$1)))"),0.8358752606273407)</f>
        <v>0.8358752606</v>
      </c>
      <c r="I6" s="34">
        <f>IFERROR(__xludf.DUMMYFUNCTION("IF(ISNA(sum(filter(
Master_Mapping_Sheet!$E$2:$E$3143, ISNUMBER(
Master_Mapping_Sheet!$E$2:$E$3143),
Master_Mapping_Sheet!$H$2:$H$3143=I$1,
Master_Mapping_Sheet!$M$2:$M$3143=VALUE(RIGHT($A6,1))))/sum(filter(
Master_Mapping_Sheet!$E$2:$E$3143, ISNUMBER(
Ma"&amp;"ster_Mapping_Sheet!$E$2:$E$3143),
Master_Mapping_Sheet!$H$2:$H$3143=I$1))), 0, sum(filter(
Master_Mapping_Sheet!$E$2:$E$3143, ISNUMBER(
Master_Mapping_Sheet!$E$2:$E$3143),
Master_Mapping_Sheet!$H$2:$H$3143=I$1,
Master_Mapping_Sheet!$M$2:$M$3143=VALUE(RIGH"&amp;"T($A6,1))))/sum(filter(
Master_Mapping_Sheet!$E$2:$E$3143, ISNUMBER(
Master_Mapping_Sheet!$E$2:$E$3143),
Master_Mapping_Sheet!$H$2:$H$3143=I$1)))"),0.0)</f>
        <v>0</v>
      </c>
      <c r="J6" s="34">
        <f>IFERROR(__xludf.DUMMYFUNCTION("IF(ISNA(sum(filter(
Master_Mapping_Sheet!$E$2:$E$3143, ISNUMBER(
Master_Mapping_Sheet!$E$2:$E$3143),
Master_Mapping_Sheet!$H$2:$H$3143=J$1,
Master_Mapping_Sheet!$M$2:$M$3143=VALUE(RIGHT($A6,1))))/sum(filter(
Master_Mapping_Sheet!$E$2:$E$3143, ISNUMBER(
Ma"&amp;"ster_Mapping_Sheet!$E$2:$E$3143),
Master_Mapping_Sheet!$H$2:$H$3143=J$1))), 0, sum(filter(
Master_Mapping_Sheet!$E$2:$E$3143, ISNUMBER(
Master_Mapping_Sheet!$E$2:$E$3143),
Master_Mapping_Sheet!$H$2:$H$3143=J$1,
Master_Mapping_Sheet!$M$2:$M$3143=VALUE(RIGH"&amp;"T($A6,1))))/sum(filter(
Master_Mapping_Sheet!$E$2:$E$3143, ISNUMBER(
Master_Mapping_Sheet!$E$2:$E$3143),
Master_Mapping_Sheet!$H$2:$H$3143=J$1)))"),0.7371624510160393)</f>
        <v>0.737162451</v>
      </c>
      <c r="K6" s="34">
        <f>IFERROR(__xludf.DUMMYFUNCTION("IF(ISNA(sum(filter(
Master_Mapping_Sheet!$E$2:$E$3143, ISNUMBER(
Master_Mapping_Sheet!$E$2:$E$3143),
Master_Mapping_Sheet!$H$2:$H$3143=K$1,
Master_Mapping_Sheet!$M$2:$M$3143=VALUE(RIGHT($A6,1))))/sum(filter(
Master_Mapping_Sheet!$E$2:$E$3143, ISNUMBER(
Ma"&amp;"ster_Mapping_Sheet!$E$2:$E$3143),
Master_Mapping_Sheet!$H$2:$H$3143=K$1))), 0, sum(filter(
Master_Mapping_Sheet!$E$2:$E$3143, ISNUMBER(
Master_Mapping_Sheet!$E$2:$E$3143),
Master_Mapping_Sheet!$H$2:$H$3143=K$1,
Master_Mapping_Sheet!$M$2:$M$3143=VALUE(RIGH"&amp;"T($A6,1))))/sum(filter(
Master_Mapping_Sheet!$E$2:$E$3143, ISNUMBER(
Master_Mapping_Sheet!$E$2:$E$3143),
Master_Mapping_Sheet!$H$2:$H$3143=K$1)))"),0.3250920086898387)</f>
        <v>0.3250920087</v>
      </c>
      <c r="L6" s="34">
        <f>IFERROR(__xludf.DUMMYFUNCTION("IF(ISNA(sum(filter(
Master_Mapping_Sheet!$E$2:$E$3143, ISNUMBER(
Master_Mapping_Sheet!$E$2:$E$3143),
Master_Mapping_Sheet!$H$2:$H$3143=L$1,
Master_Mapping_Sheet!$M$2:$M$3143=VALUE(RIGHT($A6,1))))/sum(filter(
Master_Mapping_Sheet!$E$2:$E$3143, ISNUMBER(
Ma"&amp;"ster_Mapping_Sheet!$E$2:$E$3143),
Master_Mapping_Sheet!$H$2:$H$3143=L$1))), 0, sum(filter(
Master_Mapping_Sheet!$E$2:$E$3143, ISNUMBER(
Master_Mapping_Sheet!$E$2:$E$3143),
Master_Mapping_Sheet!$H$2:$H$3143=L$1,
Master_Mapping_Sheet!$M$2:$M$3143=VALUE(RIGH"&amp;"T($A6,1))))/sum(filter(
Master_Mapping_Sheet!$E$2:$E$3143, ISNUMBER(
Master_Mapping_Sheet!$E$2:$E$3143),
Master_Mapping_Sheet!$H$2:$H$3143=L$1)))"),0.7515420290316456)</f>
        <v>0.751542029</v>
      </c>
      <c r="M6" s="34">
        <f>IFERROR(__xludf.DUMMYFUNCTION("IF(ISNA(sum(filter(
Master_Mapping_Sheet!$E$2:$E$3143, ISNUMBER(
Master_Mapping_Sheet!$E$2:$E$3143),
Master_Mapping_Sheet!$H$2:$H$3143=M$1,
Master_Mapping_Sheet!$M$2:$M$3143=VALUE(RIGHT($A6,1))))/sum(filter(
Master_Mapping_Sheet!$E$2:$E$3143, ISNUMBER(
Ma"&amp;"ster_Mapping_Sheet!$E$2:$E$3143),
Master_Mapping_Sheet!$H$2:$H$3143=M$1))), 0, sum(filter(
Master_Mapping_Sheet!$E$2:$E$3143, ISNUMBER(
Master_Mapping_Sheet!$E$2:$E$3143),
Master_Mapping_Sheet!$H$2:$H$3143=M$1,
Master_Mapping_Sheet!$M$2:$M$3143=VALUE(RIGH"&amp;"T($A6,1))))/sum(filter(
Master_Mapping_Sheet!$E$2:$E$3143, ISNUMBER(
Master_Mapping_Sheet!$E$2:$E$3143),
Master_Mapping_Sheet!$H$2:$H$3143=M$1)))"),1.0)</f>
        <v>1</v>
      </c>
      <c r="N6" s="34">
        <f>IFERROR(__xludf.DUMMYFUNCTION("IF(ISNA(sum(filter(
Master_Mapping_Sheet!$E$2:$E$3143, ISNUMBER(
Master_Mapping_Sheet!$E$2:$E$3143),
Master_Mapping_Sheet!$H$2:$H$3143=N$1,
Master_Mapping_Sheet!$M$2:$M$3143=VALUE(RIGHT($A6,1))))/sum(filter(
Master_Mapping_Sheet!$E$2:$E$3143, ISNUMBER(
Ma"&amp;"ster_Mapping_Sheet!$E$2:$E$3143),
Master_Mapping_Sheet!$H$2:$H$3143=N$1))), 0, sum(filter(
Master_Mapping_Sheet!$E$2:$E$3143, ISNUMBER(
Master_Mapping_Sheet!$E$2:$E$3143),
Master_Mapping_Sheet!$H$2:$H$3143=N$1,
Master_Mapping_Sheet!$M$2:$M$3143=VALUE(RIGH"&amp;"T($A6,1))))/sum(filter(
Master_Mapping_Sheet!$E$2:$E$3143, ISNUMBER(
Master_Mapping_Sheet!$E$2:$E$3143),
Master_Mapping_Sheet!$H$2:$H$3143=N$1)))"),0.0)</f>
        <v>0</v>
      </c>
      <c r="O6" s="34">
        <f>IFERROR(__xludf.DUMMYFUNCTION("IF(ISNA(sum(filter(
Master_Mapping_Sheet!$E$2:$E$3143, ISNUMBER(
Master_Mapping_Sheet!$E$2:$E$3143),
Master_Mapping_Sheet!$H$2:$H$3143=O$1,
Master_Mapping_Sheet!$M$2:$M$3143=VALUE(RIGHT($A6,1))))/sum(filter(
Master_Mapping_Sheet!$E$2:$E$3143, ISNUMBER(
Ma"&amp;"ster_Mapping_Sheet!$E$2:$E$3143),
Master_Mapping_Sheet!$H$2:$H$3143=O$1))), 0, sum(filter(
Master_Mapping_Sheet!$E$2:$E$3143, ISNUMBER(
Master_Mapping_Sheet!$E$2:$E$3143),
Master_Mapping_Sheet!$H$2:$H$3143=O$1,
Master_Mapping_Sheet!$M$2:$M$3143=VALUE(RIGH"&amp;"T($A6,1))))/sum(filter(
Master_Mapping_Sheet!$E$2:$E$3143, ISNUMBER(
Master_Mapping_Sheet!$E$2:$E$3143),
Master_Mapping_Sheet!$H$2:$H$3143=O$1)))"),0.00937904413774242)</f>
        <v>0.009379044138</v>
      </c>
      <c r="P6" s="34">
        <f>IFERROR(__xludf.DUMMYFUNCTION("IF(ISNA(sum(filter(
Master_Mapping_Sheet!$E$2:$E$3143, ISNUMBER(
Master_Mapping_Sheet!$E$2:$E$3143),
Master_Mapping_Sheet!$H$2:$H$3143=P$1,
Master_Mapping_Sheet!$M$2:$M$3143=VALUE(RIGHT($A6,1))))/sum(filter(
Master_Mapping_Sheet!$E$2:$E$3143, ISNUMBER(
Ma"&amp;"ster_Mapping_Sheet!$E$2:$E$3143),
Master_Mapping_Sheet!$H$2:$H$3143=P$1))), 0, sum(filter(
Master_Mapping_Sheet!$E$2:$E$3143, ISNUMBER(
Master_Mapping_Sheet!$E$2:$E$3143),
Master_Mapping_Sheet!$H$2:$H$3143=P$1,
Master_Mapping_Sheet!$M$2:$M$3143=VALUE(RIGH"&amp;"T($A6,1))))/sum(filter(
Master_Mapping_Sheet!$E$2:$E$3143, ISNUMBER(
Master_Mapping_Sheet!$E$2:$E$3143),
Master_Mapping_Sheet!$H$2:$H$3143=P$1)))"),0.0)</f>
        <v>0</v>
      </c>
      <c r="Q6" s="34">
        <f>IFERROR(__xludf.DUMMYFUNCTION("IF(ISNA(sum(filter(
Master_Mapping_Sheet!$E$2:$E$3143, ISNUMBER(
Master_Mapping_Sheet!$E$2:$E$3143),
Master_Mapping_Sheet!$H$2:$H$3143=Q$1,
Master_Mapping_Sheet!$M$2:$M$3143=VALUE(RIGHT($A6,1))))/sum(filter(
Master_Mapping_Sheet!$E$2:$E$3143, ISNUMBER(
Ma"&amp;"ster_Mapping_Sheet!$E$2:$E$3143),
Master_Mapping_Sheet!$H$2:$H$3143=Q$1))), 0, sum(filter(
Master_Mapping_Sheet!$E$2:$E$3143, ISNUMBER(
Master_Mapping_Sheet!$E$2:$E$3143),
Master_Mapping_Sheet!$H$2:$H$3143=Q$1,
Master_Mapping_Sheet!$M$2:$M$3143=VALUE(RIGH"&amp;"T($A6,1))))/sum(filter(
Master_Mapping_Sheet!$E$2:$E$3143, ISNUMBER(
Master_Mapping_Sheet!$E$2:$E$3143),
Master_Mapping_Sheet!$H$2:$H$3143=Q$1)))"),0.0)</f>
        <v>0</v>
      </c>
      <c r="R6" s="34">
        <f>IFERROR(__xludf.DUMMYFUNCTION("IF(ISNA(sum(filter(
Master_Mapping_Sheet!$E$2:$E$3143, ISNUMBER(
Master_Mapping_Sheet!$E$2:$E$3143),
Master_Mapping_Sheet!$H$2:$H$3143=R$1,
Master_Mapping_Sheet!$M$2:$M$3143=VALUE(RIGHT($A6,1))))/sum(filter(
Master_Mapping_Sheet!$E$2:$E$3143, ISNUMBER(
Ma"&amp;"ster_Mapping_Sheet!$E$2:$E$3143),
Master_Mapping_Sheet!$H$2:$H$3143=R$1))), 0, sum(filter(
Master_Mapping_Sheet!$E$2:$E$3143, ISNUMBER(
Master_Mapping_Sheet!$E$2:$E$3143),
Master_Mapping_Sheet!$H$2:$H$3143=R$1,
Master_Mapping_Sheet!$M$2:$M$3143=VALUE(RIGH"&amp;"T($A6,1))))/sum(filter(
Master_Mapping_Sheet!$E$2:$E$3143, ISNUMBER(
Master_Mapping_Sheet!$E$2:$E$3143),
Master_Mapping_Sheet!$H$2:$H$3143=R$1)))"),0.0)</f>
        <v>0</v>
      </c>
      <c r="S6" s="34">
        <f>IFERROR(__xludf.DUMMYFUNCTION("IF(ISNA(sum(filter(
Master_Mapping_Sheet!$E$2:$E$3143, ISNUMBER(
Master_Mapping_Sheet!$E$2:$E$3143),
Master_Mapping_Sheet!$H$2:$H$3143=S$1,
Master_Mapping_Sheet!$M$2:$M$3143=VALUE(RIGHT($A6,1))))/sum(filter(
Master_Mapping_Sheet!$E$2:$E$3143, ISNUMBER(
Ma"&amp;"ster_Mapping_Sheet!$E$2:$E$3143),
Master_Mapping_Sheet!$H$2:$H$3143=S$1))), 0, sum(filter(
Master_Mapping_Sheet!$E$2:$E$3143, ISNUMBER(
Master_Mapping_Sheet!$E$2:$E$3143),
Master_Mapping_Sheet!$H$2:$H$3143=S$1,
Master_Mapping_Sheet!$M$2:$M$3143=VALUE(RIGH"&amp;"T($A6,1))))/sum(filter(
Master_Mapping_Sheet!$E$2:$E$3143, ISNUMBER(
Master_Mapping_Sheet!$E$2:$E$3143),
Master_Mapping_Sheet!$H$2:$H$3143=S$1)))"),0.06244116048224887)</f>
        <v>0.06244116048</v>
      </c>
      <c r="T6" s="34">
        <f>IFERROR(__xludf.DUMMYFUNCTION("IF(ISNA(sum(filter(
Master_Mapping_Sheet!$E$2:$E$3143, ISNUMBER(
Master_Mapping_Sheet!$E$2:$E$3143),
Master_Mapping_Sheet!$H$2:$H$3143=T$1,
Master_Mapping_Sheet!$M$2:$M$3143=VALUE(RIGHT($A6,1))))/sum(filter(
Master_Mapping_Sheet!$E$2:$E$3143, ISNUMBER(
Ma"&amp;"ster_Mapping_Sheet!$E$2:$E$3143),
Master_Mapping_Sheet!$H$2:$H$3143=T$1))), 0, sum(filter(
Master_Mapping_Sheet!$E$2:$E$3143, ISNUMBER(
Master_Mapping_Sheet!$E$2:$E$3143),
Master_Mapping_Sheet!$H$2:$H$3143=T$1,
Master_Mapping_Sheet!$M$2:$M$3143=VALUE(RIGH"&amp;"T($A6,1))))/sum(filter(
Master_Mapping_Sheet!$E$2:$E$3143, ISNUMBER(
Master_Mapping_Sheet!$E$2:$E$3143),
Master_Mapping_Sheet!$H$2:$H$3143=T$1)))"),0.5435784732419057)</f>
        <v>0.5435784732</v>
      </c>
      <c r="U6" s="34">
        <f>IFERROR(__xludf.DUMMYFUNCTION("IF(ISNA(sum(filter(
Master_Mapping_Sheet!$E$2:$E$3143, ISNUMBER(
Master_Mapping_Sheet!$E$2:$E$3143),
Master_Mapping_Sheet!$H$2:$H$3143=U$1,
Master_Mapping_Sheet!$M$2:$M$3143=VALUE(RIGHT($A6,1))))/sum(filter(
Master_Mapping_Sheet!$E$2:$E$3143, ISNUMBER(
Ma"&amp;"ster_Mapping_Sheet!$E$2:$E$3143),
Master_Mapping_Sheet!$H$2:$H$3143=U$1))), 0, sum(filter(
Master_Mapping_Sheet!$E$2:$E$3143, ISNUMBER(
Master_Mapping_Sheet!$E$2:$E$3143),
Master_Mapping_Sheet!$H$2:$H$3143=U$1,
Master_Mapping_Sheet!$M$2:$M$3143=VALUE(RIGH"&amp;"T($A6,1))))/sum(filter(
Master_Mapping_Sheet!$E$2:$E$3143, ISNUMBER(
Master_Mapping_Sheet!$E$2:$E$3143),
Master_Mapping_Sheet!$H$2:$H$3143=U$1)))"),0.08388628870540646)</f>
        <v>0.08388628871</v>
      </c>
      <c r="V6" s="34">
        <f>IFERROR(__xludf.DUMMYFUNCTION("IF(ISNA(sum(filter(
Master_Mapping_Sheet!$E$2:$E$3143, ISNUMBER(
Master_Mapping_Sheet!$E$2:$E$3143),
Master_Mapping_Sheet!$H$2:$H$3143=V$1,
Master_Mapping_Sheet!$M$2:$M$3143=VALUE(RIGHT($A6,1))))/sum(filter(
Master_Mapping_Sheet!$E$2:$E$3143, ISNUMBER(
Ma"&amp;"ster_Mapping_Sheet!$E$2:$E$3143),
Master_Mapping_Sheet!$H$2:$H$3143=V$1))), 0, sum(filter(
Master_Mapping_Sheet!$E$2:$E$3143, ISNUMBER(
Master_Mapping_Sheet!$E$2:$E$3143),
Master_Mapping_Sheet!$H$2:$H$3143=V$1,
Master_Mapping_Sheet!$M$2:$M$3143=VALUE(RIGH"&amp;"T($A6,1))))/sum(filter(
Master_Mapping_Sheet!$E$2:$E$3143, ISNUMBER(
Master_Mapping_Sheet!$E$2:$E$3143),
Master_Mapping_Sheet!$H$2:$H$3143=V$1)))"),0.007937867524006739)</f>
        <v>0.007937867524</v>
      </c>
      <c r="W6" s="34">
        <f>IFERROR(__xludf.DUMMYFUNCTION("IF(ISNA(sum(filter(
Master_Mapping_Sheet!$E$2:$E$3143, ISNUMBER(
Master_Mapping_Sheet!$E$2:$E$3143),
Master_Mapping_Sheet!$H$2:$H$3143=W$1,
Master_Mapping_Sheet!$M$2:$M$3143=VALUE(RIGHT($A6,1))))/sum(filter(
Master_Mapping_Sheet!$E$2:$E$3143, ISNUMBER(
Ma"&amp;"ster_Mapping_Sheet!$E$2:$E$3143),
Master_Mapping_Sheet!$H$2:$H$3143=W$1))), 0, sum(filter(
Master_Mapping_Sheet!$E$2:$E$3143, ISNUMBER(
Master_Mapping_Sheet!$E$2:$E$3143),
Master_Mapping_Sheet!$H$2:$H$3143=W$1,
Master_Mapping_Sheet!$M$2:$M$3143=VALUE(RIGH"&amp;"T($A6,1))))/sum(filter(
Master_Mapping_Sheet!$E$2:$E$3143, ISNUMBER(
Master_Mapping_Sheet!$E$2:$E$3143),
Master_Mapping_Sheet!$H$2:$H$3143=W$1)))"),0.0)</f>
        <v>0</v>
      </c>
      <c r="X6" s="34">
        <f>IFERROR(__xludf.DUMMYFUNCTION("IF(ISNA(sum(filter(
Master_Mapping_Sheet!$E$2:$E$3143, ISNUMBER(
Master_Mapping_Sheet!$E$2:$E$3143),
Master_Mapping_Sheet!$H$2:$H$3143=X$1,
Master_Mapping_Sheet!$M$2:$M$3143=VALUE(RIGHT($A6,1))))/sum(filter(
Master_Mapping_Sheet!$E$2:$E$3143, ISNUMBER(
Ma"&amp;"ster_Mapping_Sheet!$E$2:$E$3143),
Master_Mapping_Sheet!$H$2:$H$3143=X$1))), 0, sum(filter(
Master_Mapping_Sheet!$E$2:$E$3143, ISNUMBER(
Master_Mapping_Sheet!$E$2:$E$3143),
Master_Mapping_Sheet!$H$2:$H$3143=X$1,
Master_Mapping_Sheet!$M$2:$M$3143=VALUE(RIGH"&amp;"T($A6,1))))/sum(filter(
Master_Mapping_Sheet!$E$2:$E$3143, ISNUMBER(
Master_Mapping_Sheet!$E$2:$E$3143),
Master_Mapping_Sheet!$H$2:$H$3143=X$1)))"),0.1890251040463319)</f>
        <v>0.189025104</v>
      </c>
      <c r="Y6" s="34">
        <f>IFERROR(__xludf.DUMMYFUNCTION("IF(ISNA(sum(filter(
Master_Mapping_Sheet!$E$2:$E$3143, ISNUMBER(
Master_Mapping_Sheet!$E$2:$E$3143),
Master_Mapping_Sheet!$H$2:$H$3143=Y$1,
Master_Mapping_Sheet!$M$2:$M$3143=VALUE(RIGHT($A6,1))))/sum(filter(
Master_Mapping_Sheet!$E$2:$E$3143, ISNUMBER(
Ma"&amp;"ster_Mapping_Sheet!$E$2:$E$3143),
Master_Mapping_Sheet!$H$2:$H$3143=Y$1))), 0, sum(filter(
Master_Mapping_Sheet!$E$2:$E$3143, ISNUMBER(
Master_Mapping_Sheet!$E$2:$E$3143),
Master_Mapping_Sheet!$H$2:$H$3143=Y$1,
Master_Mapping_Sheet!$M$2:$M$3143=VALUE(RIGH"&amp;"T($A6,1))))/sum(filter(
Master_Mapping_Sheet!$E$2:$E$3143, ISNUMBER(
Master_Mapping_Sheet!$E$2:$E$3143),
Master_Mapping_Sheet!$H$2:$H$3143=Y$1)))"),0.8946611770739757)</f>
        <v>0.8946611771</v>
      </c>
      <c r="Z6" s="34">
        <f>IFERROR(__xludf.DUMMYFUNCTION("IF(ISNA(sum(filter(
Master_Mapping_Sheet!$E$2:$E$3143, ISNUMBER(
Master_Mapping_Sheet!$E$2:$E$3143),
Master_Mapping_Sheet!$H$2:$H$3143=Z$1,
Master_Mapping_Sheet!$M$2:$M$3143=VALUE(RIGHT($A6,1))))/sum(filter(
Master_Mapping_Sheet!$E$2:$E$3143, ISNUMBER(
Ma"&amp;"ster_Mapping_Sheet!$E$2:$E$3143),
Master_Mapping_Sheet!$H$2:$H$3143=Z$1))), 0, sum(filter(
Master_Mapping_Sheet!$E$2:$E$3143, ISNUMBER(
Master_Mapping_Sheet!$E$2:$E$3143),
Master_Mapping_Sheet!$H$2:$H$3143=Z$1,
Master_Mapping_Sheet!$M$2:$M$3143=VALUE(RIGH"&amp;"T($A6,1))))/sum(filter(
Master_Mapping_Sheet!$E$2:$E$3143, ISNUMBER(
Master_Mapping_Sheet!$E$2:$E$3143),
Master_Mapping_Sheet!$H$2:$H$3143=Z$1)))"),0.5633926194512925)</f>
        <v>0.5633926195</v>
      </c>
    </row>
    <row r="7" ht="15.75" customHeight="1">
      <c r="A7" s="45" t="s">
        <v>4256</v>
      </c>
      <c r="B7" s="34">
        <f>IFERROR(__xludf.DUMMYFUNCTION("IF(ISNA(sum(filter(
Master_Mapping_Sheet!$E$2:$E$3143, ISNUMBER(
Master_Mapping_Sheet!$E$2:$E$3143),
Master_Mapping_Sheet!$H$2:$H$3143=B$1,
Master_Mapping_Sheet!$M$2:$M$3143=VALUE(RIGHT($A7,1))))/sum(filter(
Master_Mapping_Sheet!$E$2:$E$3143, ISNUMBER(
Ma"&amp;"ster_Mapping_Sheet!$E$2:$E$3143),
Master_Mapping_Sheet!$H$2:$H$3143=B$1))), 0, sum(filter(
Master_Mapping_Sheet!$E$2:$E$3143, ISNUMBER(
Master_Mapping_Sheet!$E$2:$E$3143),
Master_Mapping_Sheet!$H$2:$H$3143=B$1,
Master_Mapping_Sheet!$M$2:$M$3143=VALUE(RIGH"&amp;"T($A7,1))))/sum(filter(
Master_Mapping_Sheet!$E$2:$E$3143, ISNUMBER(
Master_Mapping_Sheet!$E$2:$E$3143),
Master_Mapping_Sheet!$H$2:$H$3143=B$1)))"),0.0)</f>
        <v>0</v>
      </c>
      <c r="C7" s="34">
        <f>IFERROR(__xludf.DUMMYFUNCTION("IF(ISNA(sum(filter(
Master_Mapping_Sheet!$E$2:$E$3143, ISNUMBER(
Master_Mapping_Sheet!$E$2:$E$3143),
Master_Mapping_Sheet!$H$2:$H$3143=C$1,
Master_Mapping_Sheet!$M$2:$M$3143=VALUE(RIGHT($A7,1))))/sum(filter(
Master_Mapping_Sheet!$E$2:$E$3143, ISNUMBER(
Ma"&amp;"ster_Mapping_Sheet!$E$2:$E$3143),
Master_Mapping_Sheet!$H$2:$H$3143=C$1))), 0, sum(filter(
Master_Mapping_Sheet!$E$2:$E$3143, ISNUMBER(
Master_Mapping_Sheet!$E$2:$E$3143),
Master_Mapping_Sheet!$H$2:$H$3143=C$1,
Master_Mapping_Sheet!$M$2:$M$3143=VALUE(RIGH"&amp;"T($A7,1))))/sum(filter(
Master_Mapping_Sheet!$E$2:$E$3143, ISNUMBER(
Master_Mapping_Sheet!$E$2:$E$3143),
Master_Mapping_Sheet!$H$2:$H$3143=C$1)))"),0.0)</f>
        <v>0</v>
      </c>
      <c r="D7" s="34">
        <f>IFERROR(__xludf.DUMMYFUNCTION("IF(ISNA(sum(filter(
Master_Mapping_Sheet!$E$2:$E$3143, ISNUMBER(
Master_Mapping_Sheet!$E$2:$E$3143),
Master_Mapping_Sheet!$H$2:$H$3143=D$1,
Master_Mapping_Sheet!$M$2:$M$3143=VALUE(RIGHT($A7,1))))/sum(filter(
Master_Mapping_Sheet!$E$2:$E$3143, ISNUMBER(
Ma"&amp;"ster_Mapping_Sheet!$E$2:$E$3143),
Master_Mapping_Sheet!$H$2:$H$3143=D$1))), 0, sum(filter(
Master_Mapping_Sheet!$E$2:$E$3143, ISNUMBER(
Master_Mapping_Sheet!$E$2:$E$3143),
Master_Mapping_Sheet!$H$2:$H$3143=D$1,
Master_Mapping_Sheet!$M$2:$M$3143=VALUE(RIGH"&amp;"T($A7,1))))/sum(filter(
Master_Mapping_Sheet!$E$2:$E$3143, ISNUMBER(
Master_Mapping_Sheet!$E$2:$E$3143),
Master_Mapping_Sheet!$H$2:$H$3143=D$1)))"),0.7674569406099381)</f>
        <v>0.7674569406</v>
      </c>
      <c r="E7" s="34">
        <f>IFERROR(__xludf.DUMMYFUNCTION("IF(ISNA(sum(filter(
Master_Mapping_Sheet!$E$2:$E$3143, ISNUMBER(
Master_Mapping_Sheet!$E$2:$E$3143),
Master_Mapping_Sheet!$H$2:$H$3143=E$1,
Master_Mapping_Sheet!$M$2:$M$3143=VALUE(RIGHT($A7,1))))/sum(filter(
Master_Mapping_Sheet!$E$2:$E$3143, ISNUMBER(
Ma"&amp;"ster_Mapping_Sheet!$E$2:$E$3143),
Master_Mapping_Sheet!$H$2:$H$3143=E$1))), 0, sum(filter(
Master_Mapping_Sheet!$E$2:$E$3143, ISNUMBER(
Master_Mapping_Sheet!$E$2:$E$3143),
Master_Mapping_Sheet!$H$2:$H$3143=E$1,
Master_Mapping_Sheet!$M$2:$M$3143=VALUE(RIGH"&amp;"T($A7,1))))/sum(filter(
Master_Mapping_Sheet!$E$2:$E$3143, ISNUMBER(
Master_Mapping_Sheet!$E$2:$E$3143),
Master_Mapping_Sheet!$H$2:$H$3143=E$1)))"),0.0)</f>
        <v>0</v>
      </c>
      <c r="F7" s="34">
        <f>IFERROR(__xludf.DUMMYFUNCTION("IF(ISNA(sum(filter(
Master_Mapping_Sheet!$E$2:$E$3143, ISNUMBER(
Master_Mapping_Sheet!$E$2:$E$3143),
Master_Mapping_Sheet!$H$2:$H$3143=F$1,
Master_Mapping_Sheet!$M$2:$M$3143=VALUE(RIGHT($A7,1))))/sum(filter(
Master_Mapping_Sheet!$E$2:$E$3143, ISNUMBER(
Ma"&amp;"ster_Mapping_Sheet!$E$2:$E$3143),
Master_Mapping_Sheet!$H$2:$H$3143=F$1))), 0, sum(filter(
Master_Mapping_Sheet!$E$2:$E$3143, ISNUMBER(
Master_Mapping_Sheet!$E$2:$E$3143),
Master_Mapping_Sheet!$H$2:$H$3143=F$1,
Master_Mapping_Sheet!$M$2:$M$3143=VALUE(RIGH"&amp;"T($A7,1))))/sum(filter(
Master_Mapping_Sheet!$E$2:$E$3143, ISNUMBER(
Master_Mapping_Sheet!$E$2:$E$3143),
Master_Mapping_Sheet!$H$2:$H$3143=F$1)))"),0.10152224258982696)</f>
        <v>0.1015222426</v>
      </c>
      <c r="G7" s="34">
        <f>IFERROR(__xludf.DUMMYFUNCTION("IF(ISNA(sum(filter(
Master_Mapping_Sheet!$E$2:$E$3143, ISNUMBER(
Master_Mapping_Sheet!$E$2:$E$3143),
Master_Mapping_Sheet!$H$2:$H$3143=G$1,
Master_Mapping_Sheet!$M$2:$M$3143=VALUE(RIGHT($A7,1))))/sum(filter(
Master_Mapping_Sheet!$E$2:$E$3143, ISNUMBER(
Ma"&amp;"ster_Mapping_Sheet!$E$2:$E$3143),
Master_Mapping_Sheet!$H$2:$H$3143=G$1))), 0, sum(filter(
Master_Mapping_Sheet!$E$2:$E$3143, ISNUMBER(
Master_Mapping_Sheet!$E$2:$E$3143),
Master_Mapping_Sheet!$H$2:$H$3143=G$1,
Master_Mapping_Sheet!$M$2:$M$3143=VALUE(RIGH"&amp;"T($A7,1))))/sum(filter(
Master_Mapping_Sheet!$E$2:$E$3143, ISNUMBER(
Master_Mapping_Sheet!$E$2:$E$3143),
Master_Mapping_Sheet!$H$2:$H$3143=G$1)))"),0.0)</f>
        <v>0</v>
      </c>
      <c r="H7" s="34">
        <f>IFERROR(__xludf.DUMMYFUNCTION("IF(ISNA(sum(filter(
Master_Mapping_Sheet!$E$2:$E$3143, ISNUMBER(
Master_Mapping_Sheet!$E$2:$E$3143),
Master_Mapping_Sheet!$H$2:$H$3143=H$1,
Master_Mapping_Sheet!$M$2:$M$3143=VALUE(RIGHT($A7,1))))/sum(filter(
Master_Mapping_Sheet!$E$2:$E$3143, ISNUMBER(
Ma"&amp;"ster_Mapping_Sheet!$E$2:$E$3143),
Master_Mapping_Sheet!$H$2:$H$3143=H$1))), 0, sum(filter(
Master_Mapping_Sheet!$E$2:$E$3143, ISNUMBER(
Master_Mapping_Sheet!$E$2:$E$3143),
Master_Mapping_Sheet!$H$2:$H$3143=H$1,
Master_Mapping_Sheet!$M$2:$M$3143=VALUE(RIGH"&amp;"T($A7,1))))/sum(filter(
Master_Mapping_Sheet!$E$2:$E$3143, ISNUMBER(
Master_Mapping_Sheet!$E$2:$E$3143),
Master_Mapping_Sheet!$H$2:$H$3143=H$1)))"),0.15967870181591698)</f>
        <v>0.1596787018</v>
      </c>
      <c r="I7" s="34">
        <f>IFERROR(__xludf.DUMMYFUNCTION("IF(ISNA(sum(filter(
Master_Mapping_Sheet!$E$2:$E$3143, ISNUMBER(
Master_Mapping_Sheet!$E$2:$E$3143),
Master_Mapping_Sheet!$H$2:$H$3143=I$1,
Master_Mapping_Sheet!$M$2:$M$3143=VALUE(RIGHT($A7,1))))/sum(filter(
Master_Mapping_Sheet!$E$2:$E$3143, ISNUMBER(
Ma"&amp;"ster_Mapping_Sheet!$E$2:$E$3143),
Master_Mapping_Sheet!$H$2:$H$3143=I$1))), 0, sum(filter(
Master_Mapping_Sheet!$E$2:$E$3143, ISNUMBER(
Master_Mapping_Sheet!$E$2:$E$3143),
Master_Mapping_Sheet!$H$2:$H$3143=I$1,
Master_Mapping_Sheet!$M$2:$M$3143=VALUE(RIGH"&amp;"T($A7,1))))/sum(filter(
Master_Mapping_Sheet!$E$2:$E$3143, ISNUMBER(
Master_Mapping_Sheet!$E$2:$E$3143),
Master_Mapping_Sheet!$H$2:$H$3143=I$1)))"),0.0)</f>
        <v>0</v>
      </c>
      <c r="J7" s="34">
        <f>IFERROR(__xludf.DUMMYFUNCTION("IF(ISNA(sum(filter(
Master_Mapping_Sheet!$E$2:$E$3143, ISNUMBER(
Master_Mapping_Sheet!$E$2:$E$3143),
Master_Mapping_Sheet!$H$2:$H$3143=J$1,
Master_Mapping_Sheet!$M$2:$M$3143=VALUE(RIGHT($A7,1))))/sum(filter(
Master_Mapping_Sheet!$E$2:$E$3143, ISNUMBER(
Ma"&amp;"ster_Mapping_Sheet!$E$2:$E$3143),
Master_Mapping_Sheet!$H$2:$H$3143=J$1))), 0, sum(filter(
Master_Mapping_Sheet!$E$2:$E$3143, ISNUMBER(
Master_Mapping_Sheet!$E$2:$E$3143),
Master_Mapping_Sheet!$H$2:$H$3143=J$1,
Master_Mapping_Sheet!$M$2:$M$3143=VALUE(RIGH"&amp;"T($A7,1))))/sum(filter(
Master_Mapping_Sheet!$E$2:$E$3143, ISNUMBER(
Master_Mapping_Sheet!$E$2:$E$3143),
Master_Mapping_Sheet!$H$2:$H$3143=J$1)))"),0.2628375489839607)</f>
        <v>0.262837549</v>
      </c>
      <c r="K7" s="34">
        <f>IFERROR(__xludf.DUMMYFUNCTION("IF(ISNA(sum(filter(
Master_Mapping_Sheet!$E$2:$E$3143, ISNUMBER(
Master_Mapping_Sheet!$E$2:$E$3143),
Master_Mapping_Sheet!$H$2:$H$3143=K$1,
Master_Mapping_Sheet!$M$2:$M$3143=VALUE(RIGHT($A7,1))))/sum(filter(
Master_Mapping_Sheet!$E$2:$E$3143, ISNUMBER(
Ma"&amp;"ster_Mapping_Sheet!$E$2:$E$3143),
Master_Mapping_Sheet!$H$2:$H$3143=K$1))), 0, sum(filter(
Master_Mapping_Sheet!$E$2:$E$3143, ISNUMBER(
Master_Mapping_Sheet!$E$2:$E$3143),
Master_Mapping_Sheet!$H$2:$H$3143=K$1,
Master_Mapping_Sheet!$M$2:$M$3143=VALUE(RIGH"&amp;"T($A7,1))))/sum(filter(
Master_Mapping_Sheet!$E$2:$E$3143, ISNUMBER(
Master_Mapping_Sheet!$E$2:$E$3143),
Master_Mapping_Sheet!$H$2:$H$3143=K$1)))"),0.011611635069412625)</f>
        <v>0.01161163507</v>
      </c>
      <c r="L7" s="34">
        <f>IFERROR(__xludf.DUMMYFUNCTION("IF(ISNA(sum(filter(
Master_Mapping_Sheet!$E$2:$E$3143, ISNUMBER(
Master_Mapping_Sheet!$E$2:$E$3143),
Master_Mapping_Sheet!$H$2:$H$3143=L$1,
Master_Mapping_Sheet!$M$2:$M$3143=VALUE(RIGHT($A7,1))))/sum(filter(
Master_Mapping_Sheet!$E$2:$E$3143, ISNUMBER(
Ma"&amp;"ster_Mapping_Sheet!$E$2:$E$3143),
Master_Mapping_Sheet!$H$2:$H$3143=L$1))), 0, sum(filter(
Master_Mapping_Sheet!$E$2:$E$3143, ISNUMBER(
Master_Mapping_Sheet!$E$2:$E$3143),
Master_Mapping_Sheet!$H$2:$H$3143=L$1,
Master_Mapping_Sheet!$M$2:$M$3143=VALUE(RIGH"&amp;"T($A7,1))))/sum(filter(
Master_Mapping_Sheet!$E$2:$E$3143, ISNUMBER(
Master_Mapping_Sheet!$E$2:$E$3143),
Master_Mapping_Sheet!$H$2:$H$3143=L$1)))"),0.0)</f>
        <v>0</v>
      </c>
      <c r="M7" s="34">
        <f>IFERROR(__xludf.DUMMYFUNCTION("IF(ISNA(sum(filter(
Master_Mapping_Sheet!$E$2:$E$3143, ISNUMBER(
Master_Mapping_Sheet!$E$2:$E$3143),
Master_Mapping_Sheet!$H$2:$H$3143=M$1,
Master_Mapping_Sheet!$M$2:$M$3143=VALUE(RIGHT($A7,1))))/sum(filter(
Master_Mapping_Sheet!$E$2:$E$3143, ISNUMBER(
Ma"&amp;"ster_Mapping_Sheet!$E$2:$E$3143),
Master_Mapping_Sheet!$H$2:$H$3143=M$1))), 0, sum(filter(
Master_Mapping_Sheet!$E$2:$E$3143, ISNUMBER(
Master_Mapping_Sheet!$E$2:$E$3143),
Master_Mapping_Sheet!$H$2:$H$3143=M$1,
Master_Mapping_Sheet!$M$2:$M$3143=VALUE(RIGH"&amp;"T($A7,1))))/sum(filter(
Master_Mapping_Sheet!$E$2:$E$3143, ISNUMBER(
Master_Mapping_Sheet!$E$2:$E$3143),
Master_Mapping_Sheet!$H$2:$H$3143=M$1)))"),0.0)</f>
        <v>0</v>
      </c>
      <c r="N7" s="34">
        <f>IFERROR(__xludf.DUMMYFUNCTION("IF(ISNA(sum(filter(
Master_Mapping_Sheet!$E$2:$E$3143, ISNUMBER(
Master_Mapping_Sheet!$E$2:$E$3143),
Master_Mapping_Sheet!$H$2:$H$3143=N$1,
Master_Mapping_Sheet!$M$2:$M$3143=VALUE(RIGHT($A7,1))))/sum(filter(
Master_Mapping_Sheet!$E$2:$E$3143, ISNUMBER(
Ma"&amp;"ster_Mapping_Sheet!$E$2:$E$3143),
Master_Mapping_Sheet!$H$2:$H$3143=N$1))), 0, sum(filter(
Master_Mapping_Sheet!$E$2:$E$3143, ISNUMBER(
Master_Mapping_Sheet!$E$2:$E$3143),
Master_Mapping_Sheet!$H$2:$H$3143=N$1,
Master_Mapping_Sheet!$M$2:$M$3143=VALUE(RIGH"&amp;"T($A7,1))))/sum(filter(
Master_Mapping_Sheet!$E$2:$E$3143, ISNUMBER(
Master_Mapping_Sheet!$E$2:$E$3143),
Master_Mapping_Sheet!$H$2:$H$3143=N$1)))"),0.0)</f>
        <v>0</v>
      </c>
      <c r="O7" s="34">
        <f>IFERROR(__xludf.DUMMYFUNCTION("IF(ISNA(sum(filter(
Master_Mapping_Sheet!$E$2:$E$3143, ISNUMBER(
Master_Mapping_Sheet!$E$2:$E$3143),
Master_Mapping_Sheet!$H$2:$H$3143=O$1,
Master_Mapping_Sheet!$M$2:$M$3143=VALUE(RIGHT($A7,1))))/sum(filter(
Master_Mapping_Sheet!$E$2:$E$3143, ISNUMBER(
Ma"&amp;"ster_Mapping_Sheet!$E$2:$E$3143),
Master_Mapping_Sheet!$H$2:$H$3143=O$1))), 0, sum(filter(
Master_Mapping_Sheet!$E$2:$E$3143, ISNUMBER(
Master_Mapping_Sheet!$E$2:$E$3143),
Master_Mapping_Sheet!$H$2:$H$3143=O$1,
Master_Mapping_Sheet!$M$2:$M$3143=VALUE(RIGH"&amp;"T($A7,1))))/sum(filter(
Master_Mapping_Sheet!$E$2:$E$3143, ISNUMBER(
Master_Mapping_Sheet!$E$2:$E$3143),
Master_Mapping_Sheet!$H$2:$H$3143=O$1)))"),0.0)</f>
        <v>0</v>
      </c>
      <c r="P7" s="34">
        <f>IFERROR(__xludf.DUMMYFUNCTION("IF(ISNA(sum(filter(
Master_Mapping_Sheet!$E$2:$E$3143, ISNUMBER(
Master_Mapping_Sheet!$E$2:$E$3143),
Master_Mapping_Sheet!$H$2:$H$3143=P$1,
Master_Mapping_Sheet!$M$2:$M$3143=VALUE(RIGHT($A7,1))))/sum(filter(
Master_Mapping_Sheet!$E$2:$E$3143, ISNUMBER(
Ma"&amp;"ster_Mapping_Sheet!$E$2:$E$3143),
Master_Mapping_Sheet!$H$2:$H$3143=P$1))), 0, sum(filter(
Master_Mapping_Sheet!$E$2:$E$3143, ISNUMBER(
Master_Mapping_Sheet!$E$2:$E$3143),
Master_Mapping_Sheet!$H$2:$H$3143=P$1,
Master_Mapping_Sheet!$M$2:$M$3143=VALUE(RIGH"&amp;"T($A7,1))))/sum(filter(
Master_Mapping_Sheet!$E$2:$E$3143, ISNUMBER(
Master_Mapping_Sheet!$E$2:$E$3143),
Master_Mapping_Sheet!$H$2:$H$3143=P$1)))"),0.0)</f>
        <v>0</v>
      </c>
      <c r="Q7" s="34">
        <f>IFERROR(__xludf.DUMMYFUNCTION("IF(ISNA(sum(filter(
Master_Mapping_Sheet!$E$2:$E$3143, ISNUMBER(
Master_Mapping_Sheet!$E$2:$E$3143),
Master_Mapping_Sheet!$H$2:$H$3143=Q$1,
Master_Mapping_Sheet!$M$2:$M$3143=VALUE(RIGHT($A7,1))))/sum(filter(
Master_Mapping_Sheet!$E$2:$E$3143, ISNUMBER(
Ma"&amp;"ster_Mapping_Sheet!$E$2:$E$3143),
Master_Mapping_Sheet!$H$2:$H$3143=Q$1))), 0, sum(filter(
Master_Mapping_Sheet!$E$2:$E$3143, ISNUMBER(
Master_Mapping_Sheet!$E$2:$E$3143),
Master_Mapping_Sheet!$H$2:$H$3143=Q$1,
Master_Mapping_Sheet!$M$2:$M$3143=VALUE(RIGH"&amp;"T($A7,1))))/sum(filter(
Master_Mapping_Sheet!$E$2:$E$3143, ISNUMBER(
Master_Mapping_Sheet!$E$2:$E$3143),
Master_Mapping_Sheet!$H$2:$H$3143=Q$1)))"),0.0)</f>
        <v>0</v>
      </c>
      <c r="R7" s="34">
        <f>IFERROR(__xludf.DUMMYFUNCTION("IF(ISNA(sum(filter(
Master_Mapping_Sheet!$E$2:$E$3143, ISNUMBER(
Master_Mapping_Sheet!$E$2:$E$3143),
Master_Mapping_Sheet!$H$2:$H$3143=R$1,
Master_Mapping_Sheet!$M$2:$M$3143=VALUE(RIGHT($A7,1))))/sum(filter(
Master_Mapping_Sheet!$E$2:$E$3143, ISNUMBER(
Ma"&amp;"ster_Mapping_Sheet!$E$2:$E$3143),
Master_Mapping_Sheet!$H$2:$H$3143=R$1))), 0, sum(filter(
Master_Mapping_Sheet!$E$2:$E$3143, ISNUMBER(
Master_Mapping_Sheet!$E$2:$E$3143),
Master_Mapping_Sheet!$H$2:$H$3143=R$1,
Master_Mapping_Sheet!$M$2:$M$3143=VALUE(RIGH"&amp;"T($A7,1))))/sum(filter(
Master_Mapping_Sheet!$E$2:$E$3143, ISNUMBER(
Master_Mapping_Sheet!$E$2:$E$3143),
Master_Mapping_Sheet!$H$2:$H$3143=R$1)))"),0.0)</f>
        <v>0</v>
      </c>
      <c r="S7" s="34">
        <f>IFERROR(__xludf.DUMMYFUNCTION("IF(ISNA(sum(filter(
Master_Mapping_Sheet!$E$2:$E$3143, ISNUMBER(
Master_Mapping_Sheet!$E$2:$E$3143),
Master_Mapping_Sheet!$H$2:$H$3143=S$1,
Master_Mapping_Sheet!$M$2:$M$3143=VALUE(RIGHT($A7,1))))/sum(filter(
Master_Mapping_Sheet!$E$2:$E$3143, ISNUMBER(
Ma"&amp;"ster_Mapping_Sheet!$E$2:$E$3143),
Master_Mapping_Sheet!$H$2:$H$3143=S$1))), 0, sum(filter(
Master_Mapping_Sheet!$E$2:$E$3143, ISNUMBER(
Master_Mapping_Sheet!$E$2:$E$3143),
Master_Mapping_Sheet!$H$2:$H$3143=S$1,
Master_Mapping_Sheet!$M$2:$M$3143=VALUE(RIGH"&amp;"T($A7,1))))/sum(filter(
Master_Mapping_Sheet!$E$2:$E$3143, ISNUMBER(
Master_Mapping_Sheet!$E$2:$E$3143),
Master_Mapping_Sheet!$H$2:$H$3143=S$1)))"),0.0)</f>
        <v>0</v>
      </c>
      <c r="T7" s="34">
        <f>IFERROR(__xludf.DUMMYFUNCTION("IF(ISNA(sum(filter(
Master_Mapping_Sheet!$E$2:$E$3143, ISNUMBER(
Master_Mapping_Sheet!$E$2:$E$3143),
Master_Mapping_Sheet!$H$2:$H$3143=T$1,
Master_Mapping_Sheet!$M$2:$M$3143=VALUE(RIGHT($A7,1))))/sum(filter(
Master_Mapping_Sheet!$E$2:$E$3143, ISNUMBER(
Ma"&amp;"ster_Mapping_Sheet!$E$2:$E$3143),
Master_Mapping_Sheet!$H$2:$H$3143=T$1))), 0, sum(filter(
Master_Mapping_Sheet!$E$2:$E$3143, ISNUMBER(
Master_Mapping_Sheet!$E$2:$E$3143),
Master_Mapping_Sheet!$H$2:$H$3143=T$1,
Master_Mapping_Sheet!$M$2:$M$3143=VALUE(RIGH"&amp;"T($A7,1))))/sum(filter(
Master_Mapping_Sheet!$E$2:$E$3143, ISNUMBER(
Master_Mapping_Sheet!$E$2:$E$3143),
Master_Mapping_Sheet!$H$2:$H$3143=T$1)))"),0.31300798517854345)</f>
        <v>0.3130079852</v>
      </c>
      <c r="U7" s="34">
        <f>IFERROR(__xludf.DUMMYFUNCTION("IF(ISNA(sum(filter(
Master_Mapping_Sheet!$E$2:$E$3143, ISNUMBER(
Master_Mapping_Sheet!$E$2:$E$3143),
Master_Mapping_Sheet!$H$2:$H$3143=U$1,
Master_Mapping_Sheet!$M$2:$M$3143=VALUE(RIGHT($A7,1))))/sum(filter(
Master_Mapping_Sheet!$E$2:$E$3143, ISNUMBER(
Ma"&amp;"ster_Mapping_Sheet!$E$2:$E$3143),
Master_Mapping_Sheet!$H$2:$H$3143=U$1))), 0, sum(filter(
Master_Mapping_Sheet!$E$2:$E$3143, ISNUMBER(
Master_Mapping_Sheet!$E$2:$E$3143),
Master_Mapping_Sheet!$H$2:$H$3143=U$1,
Master_Mapping_Sheet!$M$2:$M$3143=VALUE(RIGH"&amp;"T($A7,1))))/sum(filter(
Master_Mapping_Sheet!$E$2:$E$3143, ISNUMBER(
Master_Mapping_Sheet!$E$2:$E$3143),
Master_Mapping_Sheet!$H$2:$H$3143=U$1)))"),0.0)</f>
        <v>0</v>
      </c>
      <c r="V7" s="34">
        <f>IFERROR(__xludf.DUMMYFUNCTION("IF(ISNA(sum(filter(
Master_Mapping_Sheet!$E$2:$E$3143, ISNUMBER(
Master_Mapping_Sheet!$E$2:$E$3143),
Master_Mapping_Sheet!$H$2:$H$3143=V$1,
Master_Mapping_Sheet!$M$2:$M$3143=VALUE(RIGHT($A7,1))))/sum(filter(
Master_Mapping_Sheet!$E$2:$E$3143, ISNUMBER(
Ma"&amp;"ster_Mapping_Sheet!$E$2:$E$3143),
Master_Mapping_Sheet!$H$2:$H$3143=V$1))), 0, sum(filter(
Master_Mapping_Sheet!$E$2:$E$3143, ISNUMBER(
Master_Mapping_Sheet!$E$2:$E$3143),
Master_Mapping_Sheet!$H$2:$H$3143=V$1,
Master_Mapping_Sheet!$M$2:$M$3143=VALUE(RIGH"&amp;"T($A7,1))))/sum(filter(
Master_Mapping_Sheet!$E$2:$E$3143, ISNUMBER(
Master_Mapping_Sheet!$E$2:$E$3143),
Master_Mapping_Sheet!$H$2:$H$3143=V$1)))"),7.282505825366404E-5)</f>
        <v>0.00007282505825</v>
      </c>
      <c r="W7" s="34">
        <f>IFERROR(__xludf.DUMMYFUNCTION("IF(ISNA(sum(filter(
Master_Mapping_Sheet!$E$2:$E$3143, ISNUMBER(
Master_Mapping_Sheet!$E$2:$E$3143),
Master_Mapping_Sheet!$H$2:$H$3143=W$1,
Master_Mapping_Sheet!$M$2:$M$3143=VALUE(RIGHT($A7,1))))/sum(filter(
Master_Mapping_Sheet!$E$2:$E$3143, ISNUMBER(
Ma"&amp;"ster_Mapping_Sheet!$E$2:$E$3143),
Master_Mapping_Sheet!$H$2:$H$3143=W$1))), 0, sum(filter(
Master_Mapping_Sheet!$E$2:$E$3143, ISNUMBER(
Master_Mapping_Sheet!$E$2:$E$3143),
Master_Mapping_Sheet!$H$2:$H$3143=W$1,
Master_Mapping_Sheet!$M$2:$M$3143=VALUE(RIGH"&amp;"T($A7,1))))/sum(filter(
Master_Mapping_Sheet!$E$2:$E$3143, ISNUMBER(
Master_Mapping_Sheet!$E$2:$E$3143),
Master_Mapping_Sheet!$H$2:$H$3143=W$1)))"),5.678006615533898E-4)</f>
        <v>0.0005678006616</v>
      </c>
      <c r="X7" s="34">
        <f>IFERROR(__xludf.DUMMYFUNCTION("IF(ISNA(sum(filter(
Master_Mapping_Sheet!$E$2:$E$3143, ISNUMBER(
Master_Mapping_Sheet!$E$2:$E$3143),
Master_Mapping_Sheet!$H$2:$H$3143=X$1,
Master_Mapping_Sheet!$M$2:$M$3143=VALUE(RIGHT($A7,1))))/sum(filter(
Master_Mapping_Sheet!$E$2:$E$3143, ISNUMBER(
Ma"&amp;"ster_Mapping_Sheet!$E$2:$E$3143),
Master_Mapping_Sheet!$H$2:$H$3143=X$1))), 0, sum(filter(
Master_Mapping_Sheet!$E$2:$E$3143, ISNUMBER(
Master_Mapping_Sheet!$E$2:$E$3143),
Master_Mapping_Sheet!$H$2:$H$3143=X$1,
Master_Mapping_Sheet!$M$2:$M$3143=VALUE(RIGH"&amp;"T($A7,1))))/sum(filter(
Master_Mapping_Sheet!$E$2:$E$3143, ISNUMBER(
Master_Mapping_Sheet!$E$2:$E$3143),
Master_Mapping_Sheet!$H$2:$H$3143=X$1)))"),0.09335697126947907)</f>
        <v>0.09335697127</v>
      </c>
      <c r="Y7" s="34">
        <f>IFERROR(__xludf.DUMMYFUNCTION("IF(ISNA(sum(filter(
Master_Mapping_Sheet!$E$2:$E$3143, ISNUMBER(
Master_Mapping_Sheet!$E$2:$E$3143),
Master_Mapping_Sheet!$H$2:$H$3143=Y$1,
Master_Mapping_Sheet!$M$2:$M$3143=VALUE(RIGHT($A7,1))))/sum(filter(
Master_Mapping_Sheet!$E$2:$E$3143, ISNUMBER(
Ma"&amp;"ster_Mapping_Sheet!$E$2:$E$3143),
Master_Mapping_Sheet!$H$2:$H$3143=Y$1))), 0, sum(filter(
Master_Mapping_Sheet!$E$2:$E$3143, ISNUMBER(
Master_Mapping_Sheet!$E$2:$E$3143),
Master_Mapping_Sheet!$H$2:$H$3143=Y$1,
Master_Mapping_Sheet!$M$2:$M$3143=VALUE(RIGH"&amp;"T($A7,1))))/sum(filter(
Master_Mapping_Sheet!$E$2:$E$3143, ISNUMBER(
Master_Mapping_Sheet!$E$2:$E$3143),
Master_Mapping_Sheet!$H$2:$H$3143=Y$1)))"),0.07530705901417026)</f>
        <v>0.07530705901</v>
      </c>
      <c r="Z7" s="34">
        <f>IFERROR(__xludf.DUMMYFUNCTION("IF(ISNA(sum(filter(
Master_Mapping_Sheet!$E$2:$E$3143, ISNUMBER(
Master_Mapping_Sheet!$E$2:$E$3143),
Master_Mapping_Sheet!$H$2:$H$3143=Z$1,
Master_Mapping_Sheet!$M$2:$M$3143=VALUE(RIGHT($A7,1))))/sum(filter(
Master_Mapping_Sheet!$E$2:$E$3143, ISNUMBER(
Ma"&amp;"ster_Mapping_Sheet!$E$2:$E$3143),
Master_Mapping_Sheet!$H$2:$H$3143=Z$1))), 0, sum(filter(
Master_Mapping_Sheet!$E$2:$E$3143, ISNUMBER(
Master_Mapping_Sheet!$E$2:$E$3143),
Master_Mapping_Sheet!$H$2:$H$3143=Z$1,
Master_Mapping_Sheet!$M$2:$M$3143=VALUE(RIGH"&amp;"T($A7,1))))/sum(filter(
Master_Mapping_Sheet!$E$2:$E$3143, ISNUMBER(
Master_Mapping_Sheet!$E$2:$E$3143),
Master_Mapping_Sheet!$H$2:$H$3143=Z$1)))"),0.1319467453361032)</f>
        <v>0.1319467453</v>
      </c>
    </row>
    <row r="8" ht="15.75" customHeight="1">
      <c r="A8" s="45" t="s">
        <v>4257</v>
      </c>
      <c r="B8" s="34">
        <f>IFERROR(__xludf.DUMMYFUNCTION("IF(ISNA(sum(filter(
Master_Mapping_Sheet!$E$2:$E$3143, ISNUMBER(
Master_Mapping_Sheet!$E$2:$E$3143),
Master_Mapping_Sheet!$H$2:$H$3143=B$1,
Master_Mapping_Sheet!$M$2:$M$3143=VALUE(RIGHT($A8,1))))/sum(filter(
Master_Mapping_Sheet!$E$2:$E$3143, ISNUMBER(
Ma"&amp;"ster_Mapping_Sheet!$E$2:$E$3143),
Master_Mapping_Sheet!$H$2:$H$3143=B$1))), 0, sum(filter(
Master_Mapping_Sheet!$E$2:$E$3143, ISNUMBER(
Master_Mapping_Sheet!$E$2:$E$3143),
Master_Mapping_Sheet!$H$2:$H$3143=B$1,
Master_Mapping_Sheet!$M$2:$M$3143=VALUE(RIGH"&amp;"T($A8,1))))/sum(filter(
Master_Mapping_Sheet!$E$2:$E$3143, ISNUMBER(
Master_Mapping_Sheet!$E$2:$E$3143),
Master_Mapping_Sheet!$H$2:$H$3143=B$1)))"),0.0)</f>
        <v>0</v>
      </c>
      <c r="C8" s="34">
        <f>IFERROR(__xludf.DUMMYFUNCTION("IF(ISNA(sum(filter(
Master_Mapping_Sheet!$E$2:$E$3143, ISNUMBER(
Master_Mapping_Sheet!$E$2:$E$3143),
Master_Mapping_Sheet!$H$2:$H$3143=C$1,
Master_Mapping_Sheet!$M$2:$M$3143=VALUE(RIGHT($A8,1))))/sum(filter(
Master_Mapping_Sheet!$E$2:$E$3143, ISNUMBER(
Ma"&amp;"ster_Mapping_Sheet!$E$2:$E$3143),
Master_Mapping_Sheet!$H$2:$H$3143=C$1))), 0, sum(filter(
Master_Mapping_Sheet!$E$2:$E$3143, ISNUMBER(
Master_Mapping_Sheet!$E$2:$E$3143),
Master_Mapping_Sheet!$H$2:$H$3143=C$1,
Master_Mapping_Sheet!$M$2:$M$3143=VALUE(RIGH"&amp;"T($A8,1))))/sum(filter(
Master_Mapping_Sheet!$E$2:$E$3143, ISNUMBER(
Master_Mapping_Sheet!$E$2:$E$3143),
Master_Mapping_Sheet!$H$2:$H$3143=C$1)))"),0.0)</f>
        <v>0</v>
      </c>
      <c r="D8" s="34">
        <f>IFERROR(__xludf.DUMMYFUNCTION("IF(ISNA(sum(filter(
Master_Mapping_Sheet!$E$2:$E$3143, ISNUMBER(
Master_Mapping_Sheet!$E$2:$E$3143),
Master_Mapping_Sheet!$H$2:$H$3143=D$1,
Master_Mapping_Sheet!$M$2:$M$3143=VALUE(RIGHT($A8,1))))/sum(filter(
Master_Mapping_Sheet!$E$2:$E$3143, ISNUMBER(
Ma"&amp;"ster_Mapping_Sheet!$E$2:$E$3143),
Master_Mapping_Sheet!$H$2:$H$3143=D$1))), 0, sum(filter(
Master_Mapping_Sheet!$E$2:$E$3143, ISNUMBER(
Master_Mapping_Sheet!$E$2:$E$3143),
Master_Mapping_Sheet!$H$2:$H$3143=D$1,
Master_Mapping_Sheet!$M$2:$M$3143=VALUE(RIGH"&amp;"T($A8,1))))/sum(filter(
Master_Mapping_Sheet!$E$2:$E$3143, ISNUMBER(
Master_Mapping_Sheet!$E$2:$E$3143),
Master_Mapping_Sheet!$H$2:$H$3143=D$1)))"),0.08278471460684297)</f>
        <v>0.08278471461</v>
      </c>
      <c r="E8" s="34">
        <f>IFERROR(__xludf.DUMMYFUNCTION("IF(ISNA(sum(filter(
Master_Mapping_Sheet!$E$2:$E$3143, ISNUMBER(
Master_Mapping_Sheet!$E$2:$E$3143),
Master_Mapping_Sheet!$H$2:$H$3143=E$1,
Master_Mapping_Sheet!$M$2:$M$3143=VALUE(RIGHT($A8,1))))/sum(filter(
Master_Mapping_Sheet!$E$2:$E$3143, ISNUMBER(
Ma"&amp;"ster_Mapping_Sheet!$E$2:$E$3143),
Master_Mapping_Sheet!$H$2:$H$3143=E$1))), 0, sum(filter(
Master_Mapping_Sheet!$E$2:$E$3143, ISNUMBER(
Master_Mapping_Sheet!$E$2:$E$3143),
Master_Mapping_Sheet!$H$2:$H$3143=E$1,
Master_Mapping_Sheet!$M$2:$M$3143=VALUE(RIGH"&amp;"T($A8,1))))/sum(filter(
Master_Mapping_Sheet!$E$2:$E$3143, ISNUMBER(
Master_Mapping_Sheet!$E$2:$E$3143),
Master_Mapping_Sheet!$H$2:$H$3143=E$1)))"),0.0)</f>
        <v>0</v>
      </c>
      <c r="F8" s="34">
        <f>IFERROR(__xludf.DUMMYFUNCTION("IF(ISNA(sum(filter(
Master_Mapping_Sheet!$E$2:$E$3143, ISNUMBER(
Master_Mapping_Sheet!$E$2:$E$3143),
Master_Mapping_Sheet!$H$2:$H$3143=F$1,
Master_Mapping_Sheet!$M$2:$M$3143=VALUE(RIGHT($A8,1))))/sum(filter(
Master_Mapping_Sheet!$E$2:$E$3143, ISNUMBER(
Ma"&amp;"ster_Mapping_Sheet!$E$2:$E$3143),
Master_Mapping_Sheet!$H$2:$H$3143=F$1))), 0, sum(filter(
Master_Mapping_Sheet!$E$2:$E$3143, ISNUMBER(
Master_Mapping_Sheet!$E$2:$E$3143),
Master_Mapping_Sheet!$H$2:$H$3143=F$1,
Master_Mapping_Sheet!$M$2:$M$3143=VALUE(RIGH"&amp;"T($A8,1))))/sum(filter(
Master_Mapping_Sheet!$E$2:$E$3143, ISNUMBER(
Master_Mapping_Sheet!$E$2:$E$3143),
Master_Mapping_Sheet!$H$2:$H$3143=F$1)))"),0.0)</f>
        <v>0</v>
      </c>
      <c r="G8" s="34">
        <f>IFERROR(__xludf.DUMMYFUNCTION("IF(ISNA(sum(filter(
Master_Mapping_Sheet!$E$2:$E$3143, ISNUMBER(
Master_Mapping_Sheet!$E$2:$E$3143),
Master_Mapping_Sheet!$H$2:$H$3143=G$1,
Master_Mapping_Sheet!$M$2:$M$3143=VALUE(RIGHT($A8,1))))/sum(filter(
Master_Mapping_Sheet!$E$2:$E$3143, ISNUMBER(
Ma"&amp;"ster_Mapping_Sheet!$E$2:$E$3143),
Master_Mapping_Sheet!$H$2:$H$3143=G$1))), 0, sum(filter(
Master_Mapping_Sheet!$E$2:$E$3143, ISNUMBER(
Master_Mapping_Sheet!$E$2:$E$3143),
Master_Mapping_Sheet!$H$2:$H$3143=G$1,
Master_Mapping_Sheet!$M$2:$M$3143=VALUE(RIGH"&amp;"T($A8,1))))/sum(filter(
Master_Mapping_Sheet!$E$2:$E$3143, ISNUMBER(
Master_Mapping_Sheet!$E$2:$E$3143),
Master_Mapping_Sheet!$H$2:$H$3143=G$1)))"),0.0)</f>
        <v>0</v>
      </c>
      <c r="H8" s="34">
        <f>IFERROR(__xludf.DUMMYFUNCTION("IF(ISNA(sum(filter(
Master_Mapping_Sheet!$E$2:$E$3143, ISNUMBER(
Master_Mapping_Sheet!$E$2:$E$3143),
Master_Mapping_Sheet!$H$2:$H$3143=H$1,
Master_Mapping_Sheet!$M$2:$M$3143=VALUE(RIGHT($A8,1))))/sum(filter(
Master_Mapping_Sheet!$E$2:$E$3143, ISNUMBER(
Ma"&amp;"ster_Mapping_Sheet!$E$2:$E$3143),
Master_Mapping_Sheet!$H$2:$H$3143=H$1))), 0, sum(filter(
Master_Mapping_Sheet!$E$2:$E$3143, ISNUMBER(
Master_Mapping_Sheet!$E$2:$E$3143),
Master_Mapping_Sheet!$H$2:$H$3143=H$1,
Master_Mapping_Sheet!$M$2:$M$3143=VALUE(RIGH"&amp;"T($A8,1))))/sum(filter(
Master_Mapping_Sheet!$E$2:$E$3143, ISNUMBER(
Master_Mapping_Sheet!$E$2:$E$3143),
Master_Mapping_Sheet!$H$2:$H$3143=H$1)))"),0.0044460375567422486)</f>
        <v>0.004446037557</v>
      </c>
      <c r="I8" s="34">
        <f>IFERROR(__xludf.DUMMYFUNCTION("IF(ISNA(sum(filter(
Master_Mapping_Sheet!$E$2:$E$3143, ISNUMBER(
Master_Mapping_Sheet!$E$2:$E$3143),
Master_Mapping_Sheet!$H$2:$H$3143=I$1,
Master_Mapping_Sheet!$M$2:$M$3143=VALUE(RIGHT($A8,1))))/sum(filter(
Master_Mapping_Sheet!$E$2:$E$3143, ISNUMBER(
Ma"&amp;"ster_Mapping_Sheet!$E$2:$E$3143),
Master_Mapping_Sheet!$H$2:$H$3143=I$1))), 0, sum(filter(
Master_Mapping_Sheet!$E$2:$E$3143, ISNUMBER(
Master_Mapping_Sheet!$E$2:$E$3143),
Master_Mapping_Sheet!$H$2:$H$3143=I$1,
Master_Mapping_Sheet!$M$2:$M$3143=VALUE(RIGH"&amp;"T($A8,1))))/sum(filter(
Master_Mapping_Sheet!$E$2:$E$3143, ISNUMBER(
Master_Mapping_Sheet!$E$2:$E$3143),
Master_Mapping_Sheet!$H$2:$H$3143=I$1)))"),0.0)</f>
        <v>0</v>
      </c>
      <c r="J8" s="34">
        <f>IFERROR(__xludf.DUMMYFUNCTION("IF(ISNA(sum(filter(
Master_Mapping_Sheet!$E$2:$E$3143, ISNUMBER(
Master_Mapping_Sheet!$E$2:$E$3143),
Master_Mapping_Sheet!$H$2:$H$3143=J$1,
Master_Mapping_Sheet!$M$2:$M$3143=VALUE(RIGHT($A8,1))))/sum(filter(
Master_Mapping_Sheet!$E$2:$E$3143, ISNUMBER(
Ma"&amp;"ster_Mapping_Sheet!$E$2:$E$3143),
Master_Mapping_Sheet!$H$2:$H$3143=J$1))), 0, sum(filter(
Master_Mapping_Sheet!$E$2:$E$3143, ISNUMBER(
Master_Mapping_Sheet!$E$2:$E$3143),
Master_Mapping_Sheet!$H$2:$H$3143=J$1,
Master_Mapping_Sheet!$M$2:$M$3143=VALUE(RIGH"&amp;"T($A8,1))))/sum(filter(
Master_Mapping_Sheet!$E$2:$E$3143, ISNUMBER(
Master_Mapping_Sheet!$E$2:$E$3143),
Master_Mapping_Sheet!$H$2:$H$3143=J$1)))"),0.0)</f>
        <v>0</v>
      </c>
      <c r="K8" s="34">
        <f>IFERROR(__xludf.DUMMYFUNCTION("IF(ISNA(sum(filter(
Master_Mapping_Sheet!$E$2:$E$3143, ISNUMBER(
Master_Mapping_Sheet!$E$2:$E$3143),
Master_Mapping_Sheet!$H$2:$H$3143=K$1,
Master_Mapping_Sheet!$M$2:$M$3143=VALUE(RIGHT($A8,1))))/sum(filter(
Master_Mapping_Sheet!$E$2:$E$3143, ISNUMBER(
Ma"&amp;"ster_Mapping_Sheet!$E$2:$E$3143),
Master_Mapping_Sheet!$H$2:$H$3143=K$1))), 0, sum(filter(
Master_Mapping_Sheet!$E$2:$E$3143, ISNUMBER(
Master_Mapping_Sheet!$E$2:$E$3143),
Master_Mapping_Sheet!$H$2:$H$3143=K$1,
Master_Mapping_Sheet!$M$2:$M$3143=VALUE(RIGH"&amp;"T($A8,1))))/sum(filter(
Master_Mapping_Sheet!$E$2:$E$3143, ISNUMBER(
Master_Mapping_Sheet!$E$2:$E$3143),
Master_Mapping_Sheet!$H$2:$H$3143=K$1)))"),0.0)</f>
        <v>0</v>
      </c>
      <c r="L8" s="34">
        <f>IFERROR(__xludf.DUMMYFUNCTION("IF(ISNA(sum(filter(
Master_Mapping_Sheet!$E$2:$E$3143, ISNUMBER(
Master_Mapping_Sheet!$E$2:$E$3143),
Master_Mapping_Sheet!$H$2:$H$3143=L$1,
Master_Mapping_Sheet!$M$2:$M$3143=VALUE(RIGHT($A8,1))))/sum(filter(
Master_Mapping_Sheet!$E$2:$E$3143, ISNUMBER(
Ma"&amp;"ster_Mapping_Sheet!$E$2:$E$3143),
Master_Mapping_Sheet!$H$2:$H$3143=L$1))), 0, sum(filter(
Master_Mapping_Sheet!$E$2:$E$3143, ISNUMBER(
Master_Mapping_Sheet!$E$2:$E$3143),
Master_Mapping_Sheet!$H$2:$H$3143=L$1,
Master_Mapping_Sheet!$M$2:$M$3143=VALUE(RIGH"&amp;"T($A8,1))))/sum(filter(
Master_Mapping_Sheet!$E$2:$E$3143, ISNUMBER(
Master_Mapping_Sheet!$E$2:$E$3143),
Master_Mapping_Sheet!$H$2:$H$3143=L$1)))"),0.0)</f>
        <v>0</v>
      </c>
      <c r="M8" s="34">
        <f>IFERROR(__xludf.DUMMYFUNCTION("IF(ISNA(sum(filter(
Master_Mapping_Sheet!$E$2:$E$3143, ISNUMBER(
Master_Mapping_Sheet!$E$2:$E$3143),
Master_Mapping_Sheet!$H$2:$H$3143=M$1,
Master_Mapping_Sheet!$M$2:$M$3143=VALUE(RIGHT($A8,1))))/sum(filter(
Master_Mapping_Sheet!$E$2:$E$3143, ISNUMBER(
Ma"&amp;"ster_Mapping_Sheet!$E$2:$E$3143),
Master_Mapping_Sheet!$H$2:$H$3143=M$1))), 0, sum(filter(
Master_Mapping_Sheet!$E$2:$E$3143, ISNUMBER(
Master_Mapping_Sheet!$E$2:$E$3143),
Master_Mapping_Sheet!$H$2:$H$3143=M$1,
Master_Mapping_Sheet!$M$2:$M$3143=VALUE(RIGH"&amp;"T($A8,1))))/sum(filter(
Master_Mapping_Sheet!$E$2:$E$3143, ISNUMBER(
Master_Mapping_Sheet!$E$2:$E$3143),
Master_Mapping_Sheet!$H$2:$H$3143=M$1)))"),0.0)</f>
        <v>0</v>
      </c>
      <c r="N8" s="34">
        <f>IFERROR(__xludf.DUMMYFUNCTION("IF(ISNA(sum(filter(
Master_Mapping_Sheet!$E$2:$E$3143, ISNUMBER(
Master_Mapping_Sheet!$E$2:$E$3143),
Master_Mapping_Sheet!$H$2:$H$3143=N$1,
Master_Mapping_Sheet!$M$2:$M$3143=VALUE(RIGHT($A8,1))))/sum(filter(
Master_Mapping_Sheet!$E$2:$E$3143, ISNUMBER(
Ma"&amp;"ster_Mapping_Sheet!$E$2:$E$3143),
Master_Mapping_Sheet!$H$2:$H$3143=N$1))), 0, sum(filter(
Master_Mapping_Sheet!$E$2:$E$3143, ISNUMBER(
Master_Mapping_Sheet!$E$2:$E$3143),
Master_Mapping_Sheet!$H$2:$H$3143=N$1,
Master_Mapping_Sheet!$M$2:$M$3143=VALUE(RIGH"&amp;"T($A8,1))))/sum(filter(
Master_Mapping_Sheet!$E$2:$E$3143, ISNUMBER(
Master_Mapping_Sheet!$E$2:$E$3143),
Master_Mapping_Sheet!$H$2:$H$3143=N$1)))"),0.0)</f>
        <v>0</v>
      </c>
      <c r="O8" s="34">
        <f>IFERROR(__xludf.DUMMYFUNCTION("IF(ISNA(sum(filter(
Master_Mapping_Sheet!$E$2:$E$3143, ISNUMBER(
Master_Mapping_Sheet!$E$2:$E$3143),
Master_Mapping_Sheet!$H$2:$H$3143=O$1,
Master_Mapping_Sheet!$M$2:$M$3143=VALUE(RIGHT($A8,1))))/sum(filter(
Master_Mapping_Sheet!$E$2:$E$3143, ISNUMBER(
Ma"&amp;"ster_Mapping_Sheet!$E$2:$E$3143),
Master_Mapping_Sheet!$H$2:$H$3143=O$1))), 0, sum(filter(
Master_Mapping_Sheet!$E$2:$E$3143, ISNUMBER(
Master_Mapping_Sheet!$E$2:$E$3143),
Master_Mapping_Sheet!$H$2:$H$3143=O$1,
Master_Mapping_Sheet!$M$2:$M$3143=VALUE(RIGH"&amp;"T($A8,1))))/sum(filter(
Master_Mapping_Sheet!$E$2:$E$3143, ISNUMBER(
Master_Mapping_Sheet!$E$2:$E$3143),
Master_Mapping_Sheet!$H$2:$H$3143=O$1)))"),0.0)</f>
        <v>0</v>
      </c>
      <c r="P8" s="34">
        <f>IFERROR(__xludf.DUMMYFUNCTION("IF(ISNA(sum(filter(
Master_Mapping_Sheet!$E$2:$E$3143, ISNUMBER(
Master_Mapping_Sheet!$E$2:$E$3143),
Master_Mapping_Sheet!$H$2:$H$3143=P$1,
Master_Mapping_Sheet!$M$2:$M$3143=VALUE(RIGHT($A8,1))))/sum(filter(
Master_Mapping_Sheet!$E$2:$E$3143, ISNUMBER(
Ma"&amp;"ster_Mapping_Sheet!$E$2:$E$3143),
Master_Mapping_Sheet!$H$2:$H$3143=P$1))), 0, sum(filter(
Master_Mapping_Sheet!$E$2:$E$3143, ISNUMBER(
Master_Mapping_Sheet!$E$2:$E$3143),
Master_Mapping_Sheet!$H$2:$H$3143=P$1,
Master_Mapping_Sheet!$M$2:$M$3143=VALUE(RIGH"&amp;"T($A8,1))))/sum(filter(
Master_Mapping_Sheet!$E$2:$E$3143, ISNUMBER(
Master_Mapping_Sheet!$E$2:$E$3143),
Master_Mapping_Sheet!$H$2:$H$3143=P$1)))"),0.0)</f>
        <v>0</v>
      </c>
      <c r="Q8" s="34">
        <f>IFERROR(__xludf.DUMMYFUNCTION("IF(ISNA(sum(filter(
Master_Mapping_Sheet!$E$2:$E$3143, ISNUMBER(
Master_Mapping_Sheet!$E$2:$E$3143),
Master_Mapping_Sheet!$H$2:$H$3143=Q$1,
Master_Mapping_Sheet!$M$2:$M$3143=VALUE(RIGHT($A8,1))))/sum(filter(
Master_Mapping_Sheet!$E$2:$E$3143, ISNUMBER(
Ma"&amp;"ster_Mapping_Sheet!$E$2:$E$3143),
Master_Mapping_Sheet!$H$2:$H$3143=Q$1))), 0, sum(filter(
Master_Mapping_Sheet!$E$2:$E$3143, ISNUMBER(
Master_Mapping_Sheet!$E$2:$E$3143),
Master_Mapping_Sheet!$H$2:$H$3143=Q$1,
Master_Mapping_Sheet!$M$2:$M$3143=VALUE(RIGH"&amp;"T($A8,1))))/sum(filter(
Master_Mapping_Sheet!$E$2:$E$3143, ISNUMBER(
Master_Mapping_Sheet!$E$2:$E$3143),
Master_Mapping_Sheet!$H$2:$H$3143=Q$1)))"),0.0)</f>
        <v>0</v>
      </c>
      <c r="R8" s="34">
        <f>IFERROR(__xludf.DUMMYFUNCTION("IF(ISNA(sum(filter(
Master_Mapping_Sheet!$E$2:$E$3143, ISNUMBER(
Master_Mapping_Sheet!$E$2:$E$3143),
Master_Mapping_Sheet!$H$2:$H$3143=R$1,
Master_Mapping_Sheet!$M$2:$M$3143=VALUE(RIGHT($A8,1))))/sum(filter(
Master_Mapping_Sheet!$E$2:$E$3143, ISNUMBER(
Ma"&amp;"ster_Mapping_Sheet!$E$2:$E$3143),
Master_Mapping_Sheet!$H$2:$H$3143=R$1))), 0, sum(filter(
Master_Mapping_Sheet!$E$2:$E$3143, ISNUMBER(
Master_Mapping_Sheet!$E$2:$E$3143),
Master_Mapping_Sheet!$H$2:$H$3143=R$1,
Master_Mapping_Sheet!$M$2:$M$3143=VALUE(RIGH"&amp;"T($A8,1))))/sum(filter(
Master_Mapping_Sheet!$E$2:$E$3143, ISNUMBER(
Master_Mapping_Sheet!$E$2:$E$3143),
Master_Mapping_Sheet!$H$2:$H$3143=R$1)))"),0.0)</f>
        <v>0</v>
      </c>
      <c r="S8" s="34">
        <f>IFERROR(__xludf.DUMMYFUNCTION("IF(ISNA(sum(filter(
Master_Mapping_Sheet!$E$2:$E$3143, ISNUMBER(
Master_Mapping_Sheet!$E$2:$E$3143),
Master_Mapping_Sheet!$H$2:$H$3143=S$1,
Master_Mapping_Sheet!$M$2:$M$3143=VALUE(RIGHT($A8,1))))/sum(filter(
Master_Mapping_Sheet!$E$2:$E$3143, ISNUMBER(
Ma"&amp;"ster_Mapping_Sheet!$E$2:$E$3143),
Master_Mapping_Sheet!$H$2:$H$3143=S$1))), 0, sum(filter(
Master_Mapping_Sheet!$E$2:$E$3143, ISNUMBER(
Master_Mapping_Sheet!$E$2:$E$3143),
Master_Mapping_Sheet!$H$2:$H$3143=S$1,
Master_Mapping_Sheet!$M$2:$M$3143=VALUE(RIGH"&amp;"T($A8,1))))/sum(filter(
Master_Mapping_Sheet!$E$2:$E$3143, ISNUMBER(
Master_Mapping_Sheet!$E$2:$E$3143),
Master_Mapping_Sheet!$H$2:$H$3143=S$1)))"),0.0)</f>
        <v>0</v>
      </c>
      <c r="T8" s="34">
        <f>IFERROR(__xludf.DUMMYFUNCTION("IF(ISNA(sum(filter(
Master_Mapping_Sheet!$E$2:$E$3143, ISNUMBER(
Master_Mapping_Sheet!$E$2:$E$3143),
Master_Mapping_Sheet!$H$2:$H$3143=T$1,
Master_Mapping_Sheet!$M$2:$M$3143=VALUE(RIGHT($A8,1))))/sum(filter(
Master_Mapping_Sheet!$E$2:$E$3143, ISNUMBER(
Ma"&amp;"ster_Mapping_Sheet!$E$2:$E$3143),
Master_Mapping_Sheet!$H$2:$H$3143=T$1))), 0, sum(filter(
Master_Mapping_Sheet!$E$2:$E$3143, ISNUMBER(
Master_Mapping_Sheet!$E$2:$E$3143),
Master_Mapping_Sheet!$H$2:$H$3143=T$1,
Master_Mapping_Sheet!$M$2:$M$3143=VALUE(RIGH"&amp;"T($A8,1))))/sum(filter(
Master_Mapping_Sheet!$E$2:$E$3143, ISNUMBER(
Master_Mapping_Sheet!$E$2:$E$3143),
Master_Mapping_Sheet!$H$2:$H$3143=T$1)))"),0.14341354157955086)</f>
        <v>0.1434135416</v>
      </c>
      <c r="U8" s="34">
        <f>IFERROR(__xludf.DUMMYFUNCTION("IF(ISNA(sum(filter(
Master_Mapping_Sheet!$E$2:$E$3143, ISNUMBER(
Master_Mapping_Sheet!$E$2:$E$3143),
Master_Mapping_Sheet!$H$2:$H$3143=U$1,
Master_Mapping_Sheet!$M$2:$M$3143=VALUE(RIGHT($A8,1))))/sum(filter(
Master_Mapping_Sheet!$E$2:$E$3143, ISNUMBER(
Ma"&amp;"ster_Mapping_Sheet!$E$2:$E$3143),
Master_Mapping_Sheet!$H$2:$H$3143=U$1))), 0, sum(filter(
Master_Mapping_Sheet!$E$2:$E$3143, ISNUMBER(
Master_Mapping_Sheet!$E$2:$E$3143),
Master_Mapping_Sheet!$H$2:$H$3143=U$1,
Master_Mapping_Sheet!$M$2:$M$3143=VALUE(RIGH"&amp;"T($A8,1))))/sum(filter(
Master_Mapping_Sheet!$E$2:$E$3143, ISNUMBER(
Master_Mapping_Sheet!$E$2:$E$3143),
Master_Mapping_Sheet!$H$2:$H$3143=U$1)))"),0.0)</f>
        <v>0</v>
      </c>
      <c r="V8" s="34">
        <f>IFERROR(__xludf.DUMMYFUNCTION("IF(ISNA(sum(filter(
Master_Mapping_Sheet!$E$2:$E$3143, ISNUMBER(
Master_Mapping_Sheet!$E$2:$E$3143),
Master_Mapping_Sheet!$H$2:$H$3143=V$1,
Master_Mapping_Sheet!$M$2:$M$3143=VALUE(RIGHT($A8,1))))/sum(filter(
Master_Mapping_Sheet!$E$2:$E$3143, ISNUMBER(
Ma"&amp;"ster_Mapping_Sheet!$E$2:$E$3143),
Master_Mapping_Sheet!$H$2:$H$3143=V$1))), 0, sum(filter(
Master_Mapping_Sheet!$E$2:$E$3143, ISNUMBER(
Master_Mapping_Sheet!$E$2:$E$3143),
Master_Mapping_Sheet!$H$2:$H$3143=V$1,
Master_Mapping_Sheet!$M$2:$M$3143=VALUE(RIGH"&amp;"T($A8,1))))/sum(filter(
Master_Mapping_Sheet!$E$2:$E$3143, ISNUMBER(
Master_Mapping_Sheet!$E$2:$E$3143),
Master_Mapping_Sheet!$H$2:$H$3143=V$1)))"),0.0)</f>
        <v>0</v>
      </c>
      <c r="W8" s="34">
        <f>IFERROR(__xludf.DUMMYFUNCTION("IF(ISNA(sum(filter(
Master_Mapping_Sheet!$E$2:$E$3143, ISNUMBER(
Master_Mapping_Sheet!$E$2:$E$3143),
Master_Mapping_Sheet!$H$2:$H$3143=W$1,
Master_Mapping_Sheet!$M$2:$M$3143=VALUE(RIGHT($A8,1))))/sum(filter(
Master_Mapping_Sheet!$E$2:$E$3143, ISNUMBER(
Ma"&amp;"ster_Mapping_Sheet!$E$2:$E$3143),
Master_Mapping_Sheet!$H$2:$H$3143=W$1))), 0, sum(filter(
Master_Mapping_Sheet!$E$2:$E$3143, ISNUMBER(
Master_Mapping_Sheet!$E$2:$E$3143),
Master_Mapping_Sheet!$H$2:$H$3143=W$1,
Master_Mapping_Sheet!$M$2:$M$3143=VALUE(RIGH"&amp;"T($A8,1))))/sum(filter(
Master_Mapping_Sheet!$E$2:$E$3143, ISNUMBER(
Master_Mapping_Sheet!$E$2:$E$3143),
Master_Mapping_Sheet!$H$2:$H$3143=W$1)))"),0.0)</f>
        <v>0</v>
      </c>
      <c r="X8" s="34">
        <f>IFERROR(__xludf.DUMMYFUNCTION("IF(ISNA(sum(filter(
Master_Mapping_Sheet!$E$2:$E$3143, ISNUMBER(
Master_Mapping_Sheet!$E$2:$E$3143),
Master_Mapping_Sheet!$H$2:$H$3143=X$1,
Master_Mapping_Sheet!$M$2:$M$3143=VALUE(RIGHT($A8,1))))/sum(filter(
Master_Mapping_Sheet!$E$2:$E$3143, ISNUMBER(
Ma"&amp;"ster_Mapping_Sheet!$E$2:$E$3143),
Master_Mapping_Sheet!$H$2:$H$3143=X$1))), 0, sum(filter(
Master_Mapping_Sheet!$E$2:$E$3143, ISNUMBER(
Master_Mapping_Sheet!$E$2:$E$3143),
Master_Mapping_Sheet!$H$2:$H$3143=X$1,
Master_Mapping_Sheet!$M$2:$M$3143=VALUE(RIGH"&amp;"T($A8,1))))/sum(filter(
Master_Mapping_Sheet!$E$2:$E$3143, ISNUMBER(
Master_Mapping_Sheet!$E$2:$E$3143),
Master_Mapping_Sheet!$H$2:$H$3143=X$1)))"),0.0)</f>
        <v>0</v>
      </c>
      <c r="Y8" s="34">
        <f>IFERROR(__xludf.DUMMYFUNCTION("IF(ISNA(sum(filter(
Master_Mapping_Sheet!$E$2:$E$3143, ISNUMBER(
Master_Mapping_Sheet!$E$2:$E$3143),
Master_Mapping_Sheet!$H$2:$H$3143=Y$1,
Master_Mapping_Sheet!$M$2:$M$3143=VALUE(RIGHT($A8,1))))/sum(filter(
Master_Mapping_Sheet!$E$2:$E$3143, ISNUMBER(
Ma"&amp;"ster_Mapping_Sheet!$E$2:$E$3143),
Master_Mapping_Sheet!$H$2:$H$3143=Y$1))), 0, sum(filter(
Master_Mapping_Sheet!$E$2:$E$3143, ISNUMBER(
Master_Mapping_Sheet!$E$2:$E$3143),
Master_Mapping_Sheet!$H$2:$H$3143=Y$1,
Master_Mapping_Sheet!$M$2:$M$3143=VALUE(RIGH"&amp;"T($A8,1))))/sum(filter(
Master_Mapping_Sheet!$E$2:$E$3143, ISNUMBER(
Master_Mapping_Sheet!$E$2:$E$3143),
Master_Mapping_Sheet!$H$2:$H$3143=Y$1)))"),0.024395124813766565)</f>
        <v>0.02439512481</v>
      </c>
      <c r="Z8" s="34">
        <f>IFERROR(__xludf.DUMMYFUNCTION("IF(ISNA(sum(filter(
Master_Mapping_Sheet!$E$2:$E$3143, ISNUMBER(
Master_Mapping_Sheet!$E$2:$E$3143),
Master_Mapping_Sheet!$H$2:$H$3143=Z$1,
Master_Mapping_Sheet!$M$2:$M$3143=VALUE(RIGHT($A8,1))))/sum(filter(
Master_Mapping_Sheet!$E$2:$E$3143, ISNUMBER(
Ma"&amp;"ster_Mapping_Sheet!$E$2:$E$3143),
Master_Mapping_Sheet!$H$2:$H$3143=Z$1))), 0, sum(filter(
Master_Mapping_Sheet!$E$2:$E$3143, ISNUMBER(
Master_Mapping_Sheet!$E$2:$E$3143),
Master_Mapping_Sheet!$H$2:$H$3143=Z$1,
Master_Mapping_Sheet!$M$2:$M$3143=VALUE(RIGH"&amp;"T($A8,1))))/sum(filter(
Master_Mapping_Sheet!$E$2:$E$3143, ISNUMBER(
Master_Mapping_Sheet!$E$2:$E$3143),
Master_Mapping_Sheet!$H$2:$H$3143=Z$1)))"),0.006238823249404249)</f>
        <v>0.006238823249</v>
      </c>
    </row>
    <row r="9" ht="15.75" customHeight="1">
      <c r="A9" s="45" t="s">
        <v>4258</v>
      </c>
      <c r="B9" s="34">
        <f>IFERROR(__xludf.DUMMYFUNCTION("IF(ISNA(sum(filter(
Master_Mapping_Sheet!$E$2:$E$3143, ISNUMBER(
Master_Mapping_Sheet!$E$2:$E$3143),
Master_Mapping_Sheet!$H$2:$H$3143=B$1,
Master_Mapping_Sheet!$M$2:$M$3143=VALUE(RIGHT($A9,1))))/sum(filter(
Master_Mapping_Sheet!$E$2:$E$3143, ISNUMBER(
Ma"&amp;"ster_Mapping_Sheet!$E$2:$E$3143),
Master_Mapping_Sheet!$H$2:$H$3143=B$1))), 0, sum(filter(
Master_Mapping_Sheet!$E$2:$E$3143, ISNUMBER(
Master_Mapping_Sheet!$E$2:$E$3143),
Master_Mapping_Sheet!$H$2:$H$3143=B$1,
Master_Mapping_Sheet!$M$2:$M$3143=VALUE(RIGH"&amp;"T($A9,1))))/sum(filter(
Master_Mapping_Sheet!$E$2:$E$3143, ISNUMBER(
Master_Mapping_Sheet!$E$2:$E$3143),
Master_Mapping_Sheet!$H$2:$H$3143=B$1)))"),0.0)</f>
        <v>0</v>
      </c>
      <c r="C9" s="34">
        <f>IFERROR(__xludf.DUMMYFUNCTION("IF(ISNA(sum(filter(
Master_Mapping_Sheet!$E$2:$E$3143, ISNUMBER(
Master_Mapping_Sheet!$E$2:$E$3143),
Master_Mapping_Sheet!$H$2:$H$3143=C$1,
Master_Mapping_Sheet!$M$2:$M$3143=VALUE(RIGHT($A9,1))))/sum(filter(
Master_Mapping_Sheet!$E$2:$E$3143, ISNUMBER(
Ma"&amp;"ster_Mapping_Sheet!$E$2:$E$3143),
Master_Mapping_Sheet!$H$2:$H$3143=C$1))), 0, sum(filter(
Master_Mapping_Sheet!$E$2:$E$3143, ISNUMBER(
Master_Mapping_Sheet!$E$2:$E$3143),
Master_Mapping_Sheet!$H$2:$H$3143=C$1,
Master_Mapping_Sheet!$M$2:$M$3143=VALUE(RIGH"&amp;"T($A9,1))))/sum(filter(
Master_Mapping_Sheet!$E$2:$E$3143, ISNUMBER(
Master_Mapping_Sheet!$E$2:$E$3143),
Master_Mapping_Sheet!$H$2:$H$3143=C$1)))"),0.0)</f>
        <v>0</v>
      </c>
      <c r="D9" s="34">
        <f>IFERROR(__xludf.DUMMYFUNCTION("IF(ISNA(sum(filter(
Master_Mapping_Sheet!$E$2:$E$3143, ISNUMBER(
Master_Mapping_Sheet!$E$2:$E$3143),
Master_Mapping_Sheet!$H$2:$H$3143=D$1,
Master_Mapping_Sheet!$M$2:$M$3143=VALUE(RIGHT($A9,1))))/sum(filter(
Master_Mapping_Sheet!$E$2:$E$3143, ISNUMBER(
Ma"&amp;"ster_Mapping_Sheet!$E$2:$E$3143),
Master_Mapping_Sheet!$H$2:$H$3143=D$1))), 0, sum(filter(
Master_Mapping_Sheet!$E$2:$E$3143, ISNUMBER(
Master_Mapping_Sheet!$E$2:$E$3143),
Master_Mapping_Sheet!$H$2:$H$3143=D$1,
Master_Mapping_Sheet!$M$2:$M$3143=VALUE(RIGH"&amp;"T($A9,1))))/sum(filter(
Master_Mapping_Sheet!$E$2:$E$3143, ISNUMBER(
Master_Mapping_Sheet!$E$2:$E$3143),
Master_Mapping_Sheet!$H$2:$H$3143=D$1)))"),0.0)</f>
        <v>0</v>
      </c>
      <c r="E9" s="34">
        <f>IFERROR(__xludf.DUMMYFUNCTION("IF(ISNA(sum(filter(
Master_Mapping_Sheet!$E$2:$E$3143, ISNUMBER(
Master_Mapping_Sheet!$E$2:$E$3143),
Master_Mapping_Sheet!$H$2:$H$3143=E$1,
Master_Mapping_Sheet!$M$2:$M$3143=VALUE(RIGHT($A9,1))))/sum(filter(
Master_Mapping_Sheet!$E$2:$E$3143, ISNUMBER(
Ma"&amp;"ster_Mapping_Sheet!$E$2:$E$3143),
Master_Mapping_Sheet!$H$2:$H$3143=E$1))), 0, sum(filter(
Master_Mapping_Sheet!$E$2:$E$3143, ISNUMBER(
Master_Mapping_Sheet!$E$2:$E$3143),
Master_Mapping_Sheet!$H$2:$H$3143=E$1,
Master_Mapping_Sheet!$M$2:$M$3143=VALUE(RIGH"&amp;"T($A9,1))))/sum(filter(
Master_Mapping_Sheet!$E$2:$E$3143, ISNUMBER(
Master_Mapping_Sheet!$E$2:$E$3143),
Master_Mapping_Sheet!$H$2:$H$3143=E$1)))"),0.0)</f>
        <v>0</v>
      </c>
      <c r="F9" s="34">
        <f>IFERROR(__xludf.DUMMYFUNCTION("IF(ISNA(sum(filter(
Master_Mapping_Sheet!$E$2:$E$3143, ISNUMBER(
Master_Mapping_Sheet!$E$2:$E$3143),
Master_Mapping_Sheet!$H$2:$H$3143=F$1,
Master_Mapping_Sheet!$M$2:$M$3143=VALUE(RIGHT($A9,1))))/sum(filter(
Master_Mapping_Sheet!$E$2:$E$3143, ISNUMBER(
Ma"&amp;"ster_Mapping_Sheet!$E$2:$E$3143),
Master_Mapping_Sheet!$H$2:$H$3143=F$1))), 0, sum(filter(
Master_Mapping_Sheet!$E$2:$E$3143, ISNUMBER(
Master_Mapping_Sheet!$E$2:$E$3143),
Master_Mapping_Sheet!$H$2:$H$3143=F$1,
Master_Mapping_Sheet!$M$2:$M$3143=VALUE(RIGH"&amp;"T($A9,1))))/sum(filter(
Master_Mapping_Sheet!$E$2:$E$3143, ISNUMBER(
Master_Mapping_Sheet!$E$2:$E$3143),
Master_Mapping_Sheet!$H$2:$H$3143=F$1)))"),0.0)</f>
        <v>0</v>
      </c>
      <c r="G9" s="34">
        <f>IFERROR(__xludf.DUMMYFUNCTION("IF(ISNA(sum(filter(
Master_Mapping_Sheet!$E$2:$E$3143, ISNUMBER(
Master_Mapping_Sheet!$E$2:$E$3143),
Master_Mapping_Sheet!$H$2:$H$3143=G$1,
Master_Mapping_Sheet!$M$2:$M$3143=VALUE(RIGHT($A9,1))))/sum(filter(
Master_Mapping_Sheet!$E$2:$E$3143, ISNUMBER(
Ma"&amp;"ster_Mapping_Sheet!$E$2:$E$3143),
Master_Mapping_Sheet!$H$2:$H$3143=G$1))), 0, sum(filter(
Master_Mapping_Sheet!$E$2:$E$3143, ISNUMBER(
Master_Mapping_Sheet!$E$2:$E$3143),
Master_Mapping_Sheet!$H$2:$H$3143=G$1,
Master_Mapping_Sheet!$M$2:$M$3143=VALUE(RIGH"&amp;"T($A9,1))))/sum(filter(
Master_Mapping_Sheet!$E$2:$E$3143, ISNUMBER(
Master_Mapping_Sheet!$E$2:$E$3143),
Master_Mapping_Sheet!$H$2:$H$3143=G$1)))"),0.0)</f>
        <v>0</v>
      </c>
      <c r="H9" s="34">
        <f>IFERROR(__xludf.DUMMYFUNCTION("IF(ISNA(sum(filter(
Master_Mapping_Sheet!$E$2:$E$3143, ISNUMBER(
Master_Mapping_Sheet!$E$2:$E$3143),
Master_Mapping_Sheet!$H$2:$H$3143=H$1,
Master_Mapping_Sheet!$M$2:$M$3143=VALUE(RIGHT($A9,1))))/sum(filter(
Master_Mapping_Sheet!$E$2:$E$3143, ISNUMBER(
Ma"&amp;"ster_Mapping_Sheet!$E$2:$E$3143),
Master_Mapping_Sheet!$H$2:$H$3143=H$1))), 0, sum(filter(
Master_Mapping_Sheet!$E$2:$E$3143, ISNUMBER(
Master_Mapping_Sheet!$E$2:$E$3143),
Master_Mapping_Sheet!$H$2:$H$3143=H$1,
Master_Mapping_Sheet!$M$2:$M$3143=VALUE(RIGH"&amp;"T($A9,1))))/sum(filter(
Master_Mapping_Sheet!$E$2:$E$3143, ISNUMBER(
Master_Mapping_Sheet!$E$2:$E$3143),
Master_Mapping_Sheet!$H$2:$H$3143=H$1)))"),0.0)</f>
        <v>0</v>
      </c>
      <c r="I9" s="34">
        <f>IFERROR(__xludf.DUMMYFUNCTION("IF(ISNA(sum(filter(
Master_Mapping_Sheet!$E$2:$E$3143, ISNUMBER(
Master_Mapping_Sheet!$E$2:$E$3143),
Master_Mapping_Sheet!$H$2:$H$3143=I$1,
Master_Mapping_Sheet!$M$2:$M$3143=VALUE(RIGHT($A9,1))))/sum(filter(
Master_Mapping_Sheet!$E$2:$E$3143, ISNUMBER(
Ma"&amp;"ster_Mapping_Sheet!$E$2:$E$3143),
Master_Mapping_Sheet!$H$2:$H$3143=I$1))), 0, sum(filter(
Master_Mapping_Sheet!$E$2:$E$3143, ISNUMBER(
Master_Mapping_Sheet!$E$2:$E$3143),
Master_Mapping_Sheet!$H$2:$H$3143=I$1,
Master_Mapping_Sheet!$M$2:$M$3143=VALUE(RIGH"&amp;"T($A9,1))))/sum(filter(
Master_Mapping_Sheet!$E$2:$E$3143, ISNUMBER(
Master_Mapping_Sheet!$E$2:$E$3143),
Master_Mapping_Sheet!$H$2:$H$3143=I$1)))"),0.0)</f>
        <v>0</v>
      </c>
      <c r="J9" s="34">
        <f>IFERROR(__xludf.DUMMYFUNCTION("IF(ISNA(sum(filter(
Master_Mapping_Sheet!$E$2:$E$3143, ISNUMBER(
Master_Mapping_Sheet!$E$2:$E$3143),
Master_Mapping_Sheet!$H$2:$H$3143=J$1,
Master_Mapping_Sheet!$M$2:$M$3143=VALUE(RIGHT($A9,1))))/sum(filter(
Master_Mapping_Sheet!$E$2:$E$3143, ISNUMBER(
Ma"&amp;"ster_Mapping_Sheet!$E$2:$E$3143),
Master_Mapping_Sheet!$H$2:$H$3143=J$1))), 0, sum(filter(
Master_Mapping_Sheet!$E$2:$E$3143, ISNUMBER(
Master_Mapping_Sheet!$E$2:$E$3143),
Master_Mapping_Sheet!$H$2:$H$3143=J$1,
Master_Mapping_Sheet!$M$2:$M$3143=VALUE(RIGH"&amp;"T($A9,1))))/sum(filter(
Master_Mapping_Sheet!$E$2:$E$3143, ISNUMBER(
Master_Mapping_Sheet!$E$2:$E$3143),
Master_Mapping_Sheet!$H$2:$H$3143=J$1)))"),0.0)</f>
        <v>0</v>
      </c>
      <c r="K9" s="34">
        <f>IFERROR(__xludf.DUMMYFUNCTION("IF(ISNA(sum(filter(
Master_Mapping_Sheet!$E$2:$E$3143, ISNUMBER(
Master_Mapping_Sheet!$E$2:$E$3143),
Master_Mapping_Sheet!$H$2:$H$3143=K$1,
Master_Mapping_Sheet!$M$2:$M$3143=VALUE(RIGHT($A9,1))))/sum(filter(
Master_Mapping_Sheet!$E$2:$E$3143, ISNUMBER(
Ma"&amp;"ster_Mapping_Sheet!$E$2:$E$3143),
Master_Mapping_Sheet!$H$2:$H$3143=K$1))), 0, sum(filter(
Master_Mapping_Sheet!$E$2:$E$3143, ISNUMBER(
Master_Mapping_Sheet!$E$2:$E$3143),
Master_Mapping_Sheet!$H$2:$H$3143=K$1,
Master_Mapping_Sheet!$M$2:$M$3143=VALUE(RIGH"&amp;"T($A9,1))))/sum(filter(
Master_Mapping_Sheet!$E$2:$E$3143, ISNUMBER(
Master_Mapping_Sheet!$E$2:$E$3143),
Master_Mapping_Sheet!$H$2:$H$3143=K$1)))"),0.0)</f>
        <v>0</v>
      </c>
      <c r="L9" s="34">
        <f>IFERROR(__xludf.DUMMYFUNCTION("IF(ISNA(sum(filter(
Master_Mapping_Sheet!$E$2:$E$3143, ISNUMBER(
Master_Mapping_Sheet!$E$2:$E$3143),
Master_Mapping_Sheet!$H$2:$H$3143=L$1,
Master_Mapping_Sheet!$M$2:$M$3143=VALUE(RIGHT($A9,1))))/sum(filter(
Master_Mapping_Sheet!$E$2:$E$3143, ISNUMBER(
Ma"&amp;"ster_Mapping_Sheet!$E$2:$E$3143),
Master_Mapping_Sheet!$H$2:$H$3143=L$1))), 0, sum(filter(
Master_Mapping_Sheet!$E$2:$E$3143, ISNUMBER(
Master_Mapping_Sheet!$E$2:$E$3143),
Master_Mapping_Sheet!$H$2:$H$3143=L$1,
Master_Mapping_Sheet!$M$2:$M$3143=VALUE(RIGH"&amp;"T($A9,1))))/sum(filter(
Master_Mapping_Sheet!$E$2:$E$3143, ISNUMBER(
Master_Mapping_Sheet!$E$2:$E$3143),
Master_Mapping_Sheet!$H$2:$H$3143=L$1)))"),0.0)</f>
        <v>0</v>
      </c>
      <c r="M9" s="34">
        <f>IFERROR(__xludf.DUMMYFUNCTION("IF(ISNA(sum(filter(
Master_Mapping_Sheet!$E$2:$E$3143, ISNUMBER(
Master_Mapping_Sheet!$E$2:$E$3143),
Master_Mapping_Sheet!$H$2:$H$3143=M$1,
Master_Mapping_Sheet!$M$2:$M$3143=VALUE(RIGHT($A9,1))))/sum(filter(
Master_Mapping_Sheet!$E$2:$E$3143, ISNUMBER(
Ma"&amp;"ster_Mapping_Sheet!$E$2:$E$3143),
Master_Mapping_Sheet!$H$2:$H$3143=M$1))), 0, sum(filter(
Master_Mapping_Sheet!$E$2:$E$3143, ISNUMBER(
Master_Mapping_Sheet!$E$2:$E$3143),
Master_Mapping_Sheet!$H$2:$H$3143=M$1,
Master_Mapping_Sheet!$M$2:$M$3143=VALUE(RIGH"&amp;"T($A9,1))))/sum(filter(
Master_Mapping_Sheet!$E$2:$E$3143, ISNUMBER(
Master_Mapping_Sheet!$E$2:$E$3143),
Master_Mapping_Sheet!$H$2:$H$3143=M$1)))"),0.0)</f>
        <v>0</v>
      </c>
      <c r="N9" s="34">
        <f>IFERROR(__xludf.DUMMYFUNCTION("IF(ISNA(sum(filter(
Master_Mapping_Sheet!$E$2:$E$3143, ISNUMBER(
Master_Mapping_Sheet!$E$2:$E$3143),
Master_Mapping_Sheet!$H$2:$H$3143=N$1,
Master_Mapping_Sheet!$M$2:$M$3143=VALUE(RIGHT($A9,1))))/sum(filter(
Master_Mapping_Sheet!$E$2:$E$3143, ISNUMBER(
Ma"&amp;"ster_Mapping_Sheet!$E$2:$E$3143),
Master_Mapping_Sheet!$H$2:$H$3143=N$1))), 0, sum(filter(
Master_Mapping_Sheet!$E$2:$E$3143, ISNUMBER(
Master_Mapping_Sheet!$E$2:$E$3143),
Master_Mapping_Sheet!$H$2:$H$3143=N$1,
Master_Mapping_Sheet!$M$2:$M$3143=VALUE(RIGH"&amp;"T($A9,1))))/sum(filter(
Master_Mapping_Sheet!$E$2:$E$3143, ISNUMBER(
Master_Mapping_Sheet!$E$2:$E$3143),
Master_Mapping_Sheet!$H$2:$H$3143=N$1)))"),0.0)</f>
        <v>0</v>
      </c>
      <c r="O9" s="34">
        <f>IFERROR(__xludf.DUMMYFUNCTION("IF(ISNA(sum(filter(
Master_Mapping_Sheet!$E$2:$E$3143, ISNUMBER(
Master_Mapping_Sheet!$E$2:$E$3143),
Master_Mapping_Sheet!$H$2:$H$3143=O$1,
Master_Mapping_Sheet!$M$2:$M$3143=VALUE(RIGHT($A9,1))))/sum(filter(
Master_Mapping_Sheet!$E$2:$E$3143, ISNUMBER(
Ma"&amp;"ster_Mapping_Sheet!$E$2:$E$3143),
Master_Mapping_Sheet!$H$2:$H$3143=O$1))), 0, sum(filter(
Master_Mapping_Sheet!$E$2:$E$3143, ISNUMBER(
Master_Mapping_Sheet!$E$2:$E$3143),
Master_Mapping_Sheet!$H$2:$H$3143=O$1,
Master_Mapping_Sheet!$M$2:$M$3143=VALUE(RIGH"&amp;"T($A9,1))))/sum(filter(
Master_Mapping_Sheet!$E$2:$E$3143, ISNUMBER(
Master_Mapping_Sheet!$E$2:$E$3143),
Master_Mapping_Sheet!$H$2:$H$3143=O$1)))"),0.0)</f>
        <v>0</v>
      </c>
      <c r="P9" s="34">
        <f>IFERROR(__xludf.DUMMYFUNCTION("IF(ISNA(sum(filter(
Master_Mapping_Sheet!$E$2:$E$3143, ISNUMBER(
Master_Mapping_Sheet!$E$2:$E$3143),
Master_Mapping_Sheet!$H$2:$H$3143=P$1,
Master_Mapping_Sheet!$M$2:$M$3143=VALUE(RIGHT($A9,1))))/sum(filter(
Master_Mapping_Sheet!$E$2:$E$3143, ISNUMBER(
Ma"&amp;"ster_Mapping_Sheet!$E$2:$E$3143),
Master_Mapping_Sheet!$H$2:$H$3143=P$1))), 0, sum(filter(
Master_Mapping_Sheet!$E$2:$E$3143, ISNUMBER(
Master_Mapping_Sheet!$E$2:$E$3143),
Master_Mapping_Sheet!$H$2:$H$3143=P$1,
Master_Mapping_Sheet!$M$2:$M$3143=VALUE(RIGH"&amp;"T($A9,1))))/sum(filter(
Master_Mapping_Sheet!$E$2:$E$3143, ISNUMBER(
Master_Mapping_Sheet!$E$2:$E$3143),
Master_Mapping_Sheet!$H$2:$H$3143=P$1)))"),0.0)</f>
        <v>0</v>
      </c>
      <c r="Q9" s="34">
        <f>IFERROR(__xludf.DUMMYFUNCTION("IF(ISNA(sum(filter(
Master_Mapping_Sheet!$E$2:$E$3143, ISNUMBER(
Master_Mapping_Sheet!$E$2:$E$3143),
Master_Mapping_Sheet!$H$2:$H$3143=Q$1,
Master_Mapping_Sheet!$M$2:$M$3143=VALUE(RIGHT($A9,1))))/sum(filter(
Master_Mapping_Sheet!$E$2:$E$3143, ISNUMBER(
Ma"&amp;"ster_Mapping_Sheet!$E$2:$E$3143),
Master_Mapping_Sheet!$H$2:$H$3143=Q$1))), 0, sum(filter(
Master_Mapping_Sheet!$E$2:$E$3143, ISNUMBER(
Master_Mapping_Sheet!$E$2:$E$3143),
Master_Mapping_Sheet!$H$2:$H$3143=Q$1,
Master_Mapping_Sheet!$M$2:$M$3143=VALUE(RIGH"&amp;"T($A9,1))))/sum(filter(
Master_Mapping_Sheet!$E$2:$E$3143, ISNUMBER(
Master_Mapping_Sheet!$E$2:$E$3143),
Master_Mapping_Sheet!$H$2:$H$3143=Q$1)))"),0.0)</f>
        <v>0</v>
      </c>
      <c r="R9" s="34">
        <f>IFERROR(__xludf.DUMMYFUNCTION("IF(ISNA(sum(filter(
Master_Mapping_Sheet!$E$2:$E$3143, ISNUMBER(
Master_Mapping_Sheet!$E$2:$E$3143),
Master_Mapping_Sheet!$H$2:$H$3143=R$1,
Master_Mapping_Sheet!$M$2:$M$3143=VALUE(RIGHT($A9,1))))/sum(filter(
Master_Mapping_Sheet!$E$2:$E$3143, ISNUMBER(
Ma"&amp;"ster_Mapping_Sheet!$E$2:$E$3143),
Master_Mapping_Sheet!$H$2:$H$3143=R$1))), 0, sum(filter(
Master_Mapping_Sheet!$E$2:$E$3143, ISNUMBER(
Master_Mapping_Sheet!$E$2:$E$3143),
Master_Mapping_Sheet!$H$2:$H$3143=R$1,
Master_Mapping_Sheet!$M$2:$M$3143=VALUE(RIGH"&amp;"T($A9,1))))/sum(filter(
Master_Mapping_Sheet!$E$2:$E$3143, ISNUMBER(
Master_Mapping_Sheet!$E$2:$E$3143),
Master_Mapping_Sheet!$H$2:$H$3143=R$1)))"),0.0)</f>
        <v>0</v>
      </c>
      <c r="S9" s="34">
        <f>IFERROR(__xludf.DUMMYFUNCTION("IF(ISNA(sum(filter(
Master_Mapping_Sheet!$E$2:$E$3143, ISNUMBER(
Master_Mapping_Sheet!$E$2:$E$3143),
Master_Mapping_Sheet!$H$2:$H$3143=S$1,
Master_Mapping_Sheet!$M$2:$M$3143=VALUE(RIGHT($A9,1))))/sum(filter(
Master_Mapping_Sheet!$E$2:$E$3143, ISNUMBER(
Ma"&amp;"ster_Mapping_Sheet!$E$2:$E$3143),
Master_Mapping_Sheet!$H$2:$H$3143=S$1))), 0, sum(filter(
Master_Mapping_Sheet!$E$2:$E$3143, ISNUMBER(
Master_Mapping_Sheet!$E$2:$E$3143),
Master_Mapping_Sheet!$H$2:$H$3143=S$1,
Master_Mapping_Sheet!$M$2:$M$3143=VALUE(RIGH"&amp;"T($A9,1))))/sum(filter(
Master_Mapping_Sheet!$E$2:$E$3143, ISNUMBER(
Master_Mapping_Sheet!$E$2:$E$3143),
Master_Mapping_Sheet!$H$2:$H$3143=S$1)))"),0.0)</f>
        <v>0</v>
      </c>
      <c r="T9" s="34">
        <f>IFERROR(__xludf.DUMMYFUNCTION("IF(ISNA(sum(filter(
Master_Mapping_Sheet!$E$2:$E$3143, ISNUMBER(
Master_Mapping_Sheet!$E$2:$E$3143),
Master_Mapping_Sheet!$H$2:$H$3143=T$1,
Master_Mapping_Sheet!$M$2:$M$3143=VALUE(RIGHT($A9,1))))/sum(filter(
Master_Mapping_Sheet!$E$2:$E$3143, ISNUMBER(
Ma"&amp;"ster_Mapping_Sheet!$E$2:$E$3143),
Master_Mapping_Sheet!$H$2:$H$3143=T$1))), 0, sum(filter(
Master_Mapping_Sheet!$E$2:$E$3143, ISNUMBER(
Master_Mapping_Sheet!$E$2:$E$3143),
Master_Mapping_Sheet!$H$2:$H$3143=T$1,
Master_Mapping_Sheet!$M$2:$M$3143=VALUE(RIGH"&amp;"T($A9,1))))/sum(filter(
Master_Mapping_Sheet!$E$2:$E$3143, ISNUMBER(
Master_Mapping_Sheet!$E$2:$E$3143),
Master_Mapping_Sheet!$H$2:$H$3143=T$1)))"),0.0)</f>
        <v>0</v>
      </c>
      <c r="U9" s="34">
        <f>IFERROR(__xludf.DUMMYFUNCTION("IF(ISNA(sum(filter(
Master_Mapping_Sheet!$E$2:$E$3143, ISNUMBER(
Master_Mapping_Sheet!$E$2:$E$3143),
Master_Mapping_Sheet!$H$2:$H$3143=U$1,
Master_Mapping_Sheet!$M$2:$M$3143=VALUE(RIGHT($A9,1))))/sum(filter(
Master_Mapping_Sheet!$E$2:$E$3143, ISNUMBER(
Ma"&amp;"ster_Mapping_Sheet!$E$2:$E$3143),
Master_Mapping_Sheet!$H$2:$H$3143=U$1))), 0, sum(filter(
Master_Mapping_Sheet!$E$2:$E$3143, ISNUMBER(
Master_Mapping_Sheet!$E$2:$E$3143),
Master_Mapping_Sheet!$H$2:$H$3143=U$1,
Master_Mapping_Sheet!$M$2:$M$3143=VALUE(RIGH"&amp;"T($A9,1))))/sum(filter(
Master_Mapping_Sheet!$E$2:$E$3143, ISNUMBER(
Master_Mapping_Sheet!$E$2:$E$3143),
Master_Mapping_Sheet!$H$2:$H$3143=U$1)))"),0.0)</f>
        <v>0</v>
      </c>
      <c r="V9" s="34">
        <f>IFERROR(__xludf.DUMMYFUNCTION("IF(ISNA(sum(filter(
Master_Mapping_Sheet!$E$2:$E$3143, ISNUMBER(
Master_Mapping_Sheet!$E$2:$E$3143),
Master_Mapping_Sheet!$H$2:$H$3143=V$1,
Master_Mapping_Sheet!$M$2:$M$3143=VALUE(RIGHT($A9,1))))/sum(filter(
Master_Mapping_Sheet!$E$2:$E$3143, ISNUMBER(
Ma"&amp;"ster_Mapping_Sheet!$E$2:$E$3143),
Master_Mapping_Sheet!$H$2:$H$3143=V$1))), 0, sum(filter(
Master_Mapping_Sheet!$E$2:$E$3143, ISNUMBER(
Master_Mapping_Sheet!$E$2:$E$3143),
Master_Mapping_Sheet!$H$2:$H$3143=V$1,
Master_Mapping_Sheet!$M$2:$M$3143=VALUE(RIGH"&amp;"T($A9,1))))/sum(filter(
Master_Mapping_Sheet!$E$2:$E$3143, ISNUMBER(
Master_Mapping_Sheet!$E$2:$E$3143),
Master_Mapping_Sheet!$H$2:$H$3143=V$1)))"),0.0)</f>
        <v>0</v>
      </c>
      <c r="W9" s="34">
        <f>IFERROR(__xludf.DUMMYFUNCTION("IF(ISNA(sum(filter(
Master_Mapping_Sheet!$E$2:$E$3143, ISNUMBER(
Master_Mapping_Sheet!$E$2:$E$3143),
Master_Mapping_Sheet!$H$2:$H$3143=W$1,
Master_Mapping_Sheet!$M$2:$M$3143=VALUE(RIGHT($A9,1))))/sum(filter(
Master_Mapping_Sheet!$E$2:$E$3143, ISNUMBER(
Ma"&amp;"ster_Mapping_Sheet!$E$2:$E$3143),
Master_Mapping_Sheet!$H$2:$H$3143=W$1))), 0, sum(filter(
Master_Mapping_Sheet!$E$2:$E$3143, ISNUMBER(
Master_Mapping_Sheet!$E$2:$E$3143),
Master_Mapping_Sheet!$H$2:$H$3143=W$1,
Master_Mapping_Sheet!$M$2:$M$3143=VALUE(RIGH"&amp;"T($A9,1))))/sum(filter(
Master_Mapping_Sheet!$E$2:$E$3143, ISNUMBER(
Master_Mapping_Sheet!$E$2:$E$3143),
Master_Mapping_Sheet!$H$2:$H$3143=W$1)))"),0.0)</f>
        <v>0</v>
      </c>
      <c r="X9" s="34">
        <f>IFERROR(__xludf.DUMMYFUNCTION("IF(ISNA(sum(filter(
Master_Mapping_Sheet!$E$2:$E$3143, ISNUMBER(
Master_Mapping_Sheet!$E$2:$E$3143),
Master_Mapping_Sheet!$H$2:$H$3143=X$1,
Master_Mapping_Sheet!$M$2:$M$3143=VALUE(RIGHT($A9,1))))/sum(filter(
Master_Mapping_Sheet!$E$2:$E$3143, ISNUMBER(
Ma"&amp;"ster_Mapping_Sheet!$E$2:$E$3143),
Master_Mapping_Sheet!$H$2:$H$3143=X$1))), 0, sum(filter(
Master_Mapping_Sheet!$E$2:$E$3143, ISNUMBER(
Master_Mapping_Sheet!$E$2:$E$3143),
Master_Mapping_Sheet!$H$2:$H$3143=X$1,
Master_Mapping_Sheet!$M$2:$M$3143=VALUE(RIGH"&amp;"T($A9,1))))/sum(filter(
Master_Mapping_Sheet!$E$2:$E$3143, ISNUMBER(
Master_Mapping_Sheet!$E$2:$E$3143),
Master_Mapping_Sheet!$H$2:$H$3143=X$1)))"),0.0)</f>
        <v>0</v>
      </c>
      <c r="Y9" s="34">
        <f>IFERROR(__xludf.DUMMYFUNCTION("IF(ISNA(sum(filter(
Master_Mapping_Sheet!$E$2:$E$3143, ISNUMBER(
Master_Mapping_Sheet!$E$2:$E$3143),
Master_Mapping_Sheet!$H$2:$H$3143=Y$1,
Master_Mapping_Sheet!$M$2:$M$3143=VALUE(RIGHT($A9,1))))/sum(filter(
Master_Mapping_Sheet!$E$2:$E$3143, ISNUMBER(
Ma"&amp;"ster_Mapping_Sheet!$E$2:$E$3143),
Master_Mapping_Sheet!$H$2:$H$3143=Y$1))), 0, sum(filter(
Master_Mapping_Sheet!$E$2:$E$3143, ISNUMBER(
Master_Mapping_Sheet!$E$2:$E$3143),
Master_Mapping_Sheet!$H$2:$H$3143=Y$1,
Master_Mapping_Sheet!$M$2:$M$3143=VALUE(RIGH"&amp;"T($A9,1))))/sum(filter(
Master_Mapping_Sheet!$E$2:$E$3143, ISNUMBER(
Master_Mapping_Sheet!$E$2:$E$3143),
Master_Mapping_Sheet!$H$2:$H$3143=Y$1)))"),0.0)</f>
        <v>0</v>
      </c>
      <c r="Z9" s="34">
        <f>IFERROR(__xludf.DUMMYFUNCTION("IF(ISNA(sum(filter(
Master_Mapping_Sheet!$E$2:$E$3143, ISNUMBER(
Master_Mapping_Sheet!$E$2:$E$3143),
Master_Mapping_Sheet!$H$2:$H$3143=Z$1,
Master_Mapping_Sheet!$M$2:$M$3143=VALUE(RIGHT($A9,1))))/sum(filter(
Master_Mapping_Sheet!$E$2:$E$3143, ISNUMBER(
Ma"&amp;"ster_Mapping_Sheet!$E$2:$E$3143),
Master_Mapping_Sheet!$H$2:$H$3143=Z$1))), 0, sum(filter(
Master_Mapping_Sheet!$E$2:$E$3143, ISNUMBER(
Master_Mapping_Sheet!$E$2:$E$3143),
Master_Mapping_Sheet!$H$2:$H$3143=Z$1,
Master_Mapping_Sheet!$M$2:$M$3143=VALUE(RIGH"&amp;"T($A9,1))))/sum(filter(
Master_Mapping_Sheet!$E$2:$E$3143, ISNUMBER(
Master_Mapping_Sheet!$E$2:$E$3143),
Master_Mapping_Sheet!$H$2:$H$3143=Z$1)))"),0.0)</f>
        <v>0</v>
      </c>
    </row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32" t="s">
        <v>97</v>
      </c>
      <c r="B1" s="32" t="s">
        <v>4010</v>
      </c>
      <c r="C1" s="32" t="s">
        <v>3989</v>
      </c>
      <c r="D1" s="32" t="s">
        <v>3996</v>
      </c>
      <c r="E1" s="32" t="s">
        <v>3992</v>
      </c>
      <c r="F1" s="32" t="s">
        <v>4003</v>
      </c>
      <c r="G1" s="32" t="s">
        <v>3974</v>
      </c>
      <c r="H1" s="32" t="s">
        <v>3985</v>
      </c>
      <c r="I1" s="32" t="s">
        <v>4006</v>
      </c>
      <c r="J1" s="32" t="s">
        <v>4005</v>
      </c>
      <c r="K1" s="32" t="s">
        <v>3987</v>
      </c>
      <c r="L1" s="32" t="s">
        <v>3997</v>
      </c>
      <c r="M1" s="32" t="s">
        <v>3994</v>
      </c>
      <c r="N1" s="32" t="s">
        <v>3988</v>
      </c>
      <c r="O1" s="32" t="s">
        <v>4009</v>
      </c>
      <c r="P1" s="32" t="s">
        <v>3969</v>
      </c>
      <c r="Q1" s="32" t="s">
        <v>3970</v>
      </c>
      <c r="R1" s="32" t="s">
        <v>3976</v>
      </c>
      <c r="S1" s="32" t="s">
        <v>4001</v>
      </c>
      <c r="T1" s="32" t="s">
        <v>3999</v>
      </c>
      <c r="U1" s="32" t="s">
        <v>3972</v>
      </c>
      <c r="V1" s="32" t="s">
        <v>3979</v>
      </c>
      <c r="W1" s="32" t="s">
        <v>3981</v>
      </c>
      <c r="X1" s="32" t="s">
        <v>3980</v>
      </c>
      <c r="Y1" s="32" t="s">
        <v>3983</v>
      </c>
      <c r="Z1" s="32" t="s">
        <v>3990</v>
      </c>
    </row>
    <row r="2" ht="15.75" customHeight="1">
      <c r="A2" s="32" t="s">
        <v>416</v>
      </c>
      <c r="B2" s="34">
        <f>IFERROR(__xludf.DUMMYFUNCTION("IF(ISNA(sum(filter(
Master_Mapping_Sheet!$E$2:$E$3143, ISNUMBER(
Master_Mapping_Sheet!$E$2:$E$3143),
Master_Mapping_Sheet!$H$2:$H$3143=B$1,
Master_Mapping_Sheet!$L$2:$L$3143=$A2))/sum(filter(
Master_Mapping_Sheet!$E$2:$E$3143, ISNUMBER(
Master_Mapping_She"&amp;"et!$E$2:$E$3143),
Master_Mapping_Sheet!$H$2:$H$3143=B$1))), 0, sum(filter(
Master_Mapping_Sheet!$E$2:$E$3143, ISNUMBER(
Master_Mapping_Sheet!$E$2:$E$3143),
Master_Mapping_Sheet!$H$2:$H$3143=B$1,
Master_Mapping_Sheet!$L$2:$L$3143=$A2))/sum(filter(
Master_M"&amp;"apping_Sheet!$E$2:$E$3143, ISNUMBER(
Master_Mapping_Sheet!$E$2:$E$3143),
Master_Mapping_Sheet!$H$2:$H$3143=B$1)))"),0.0)</f>
        <v>0</v>
      </c>
      <c r="C2" s="34">
        <f>IFERROR(__xludf.DUMMYFUNCTION("IF(ISNA(sum(filter(
Master_Mapping_Sheet!$E$2:$E$3143, ISNUMBER(
Master_Mapping_Sheet!$E$2:$E$3143),
Master_Mapping_Sheet!$H$2:$H$3143=C$1,
Master_Mapping_Sheet!$L$2:$L$3143=$A2))/sum(filter(
Master_Mapping_Sheet!$E$2:$E$3143, ISNUMBER(
Master_Mapping_She"&amp;"et!$E$2:$E$3143),
Master_Mapping_Sheet!$H$2:$H$3143=C$1))), 0, sum(filter(
Master_Mapping_Sheet!$E$2:$E$3143, ISNUMBER(
Master_Mapping_Sheet!$E$2:$E$3143),
Master_Mapping_Sheet!$H$2:$H$3143=C$1,
Master_Mapping_Sheet!$L$2:$L$3143=$A2))/sum(filter(
Master_M"&amp;"apping_Sheet!$E$2:$E$3143, ISNUMBER(
Master_Mapping_Sheet!$E$2:$E$3143),
Master_Mapping_Sheet!$H$2:$H$3143=C$1)))"),0.22039298065513674)</f>
        <v>0.2203929807</v>
      </c>
      <c r="D2" s="34">
        <f>IFERROR(__xludf.DUMMYFUNCTION("IF(ISNA(sum(filter(
Master_Mapping_Sheet!$E$2:$E$3143, ISNUMBER(
Master_Mapping_Sheet!$E$2:$E$3143),
Master_Mapping_Sheet!$H$2:$H$3143=D$1,
Master_Mapping_Sheet!$L$2:$L$3143=$A2))/sum(filter(
Master_Mapping_Sheet!$E$2:$E$3143, ISNUMBER(
Master_Mapping_She"&amp;"et!$E$2:$E$3143),
Master_Mapping_Sheet!$H$2:$H$3143=D$1))), 0, sum(filter(
Master_Mapping_Sheet!$E$2:$E$3143, ISNUMBER(
Master_Mapping_Sheet!$E$2:$E$3143),
Master_Mapping_Sheet!$H$2:$H$3143=D$1,
Master_Mapping_Sheet!$L$2:$L$3143=$A2))/sum(filter(
Master_M"&amp;"apping_Sheet!$E$2:$E$3143, ISNUMBER(
Master_Mapping_Sheet!$E$2:$E$3143),
Master_Mapping_Sheet!$H$2:$H$3143=D$1)))"),0.0)</f>
        <v>0</v>
      </c>
      <c r="E2" s="34">
        <f>IFERROR(__xludf.DUMMYFUNCTION("IF(ISNA(sum(filter(
Master_Mapping_Sheet!$E$2:$E$3143, ISNUMBER(
Master_Mapping_Sheet!$E$2:$E$3143),
Master_Mapping_Sheet!$H$2:$H$3143=E$1,
Master_Mapping_Sheet!$L$2:$L$3143=$A2))/sum(filter(
Master_Mapping_Sheet!$E$2:$E$3143, ISNUMBER(
Master_Mapping_She"&amp;"et!$E$2:$E$3143),
Master_Mapping_Sheet!$H$2:$H$3143=E$1))), 0, sum(filter(
Master_Mapping_Sheet!$E$2:$E$3143, ISNUMBER(
Master_Mapping_Sheet!$E$2:$E$3143),
Master_Mapping_Sheet!$H$2:$H$3143=E$1,
Master_Mapping_Sheet!$L$2:$L$3143=$A2))/sum(filter(
Master_M"&amp;"apping_Sheet!$E$2:$E$3143, ISNUMBER(
Master_Mapping_Sheet!$E$2:$E$3143),
Master_Mapping_Sheet!$H$2:$H$3143=E$1)))"),0.0)</f>
        <v>0</v>
      </c>
      <c r="F2" s="34">
        <f>IFERROR(__xludf.DUMMYFUNCTION("IF(ISNA(sum(filter(
Master_Mapping_Sheet!$E$2:$E$3143, ISNUMBER(
Master_Mapping_Sheet!$E$2:$E$3143),
Master_Mapping_Sheet!$H$2:$H$3143=F$1,
Master_Mapping_Sheet!$L$2:$L$3143=$A2))/sum(filter(
Master_Mapping_Sheet!$E$2:$E$3143, ISNUMBER(
Master_Mapping_She"&amp;"et!$E$2:$E$3143),
Master_Mapping_Sheet!$H$2:$H$3143=F$1))), 0, sum(filter(
Master_Mapping_Sheet!$E$2:$E$3143, ISNUMBER(
Master_Mapping_Sheet!$E$2:$E$3143),
Master_Mapping_Sheet!$H$2:$H$3143=F$1,
Master_Mapping_Sheet!$L$2:$L$3143=$A2))/sum(filter(
Master_M"&amp;"apping_Sheet!$E$2:$E$3143, ISNUMBER(
Master_Mapping_Sheet!$E$2:$E$3143),
Master_Mapping_Sheet!$H$2:$H$3143=F$1)))"),0.0)</f>
        <v>0</v>
      </c>
      <c r="G2" s="34">
        <f>IFERROR(__xludf.DUMMYFUNCTION("IF(ISNA(sum(filter(
Master_Mapping_Sheet!$E$2:$E$3143, ISNUMBER(
Master_Mapping_Sheet!$E$2:$E$3143),
Master_Mapping_Sheet!$H$2:$H$3143=G$1,
Master_Mapping_Sheet!$L$2:$L$3143=$A2))/sum(filter(
Master_Mapping_Sheet!$E$2:$E$3143, ISNUMBER(
Master_Mapping_She"&amp;"et!$E$2:$E$3143),
Master_Mapping_Sheet!$H$2:$H$3143=G$1))), 0, sum(filter(
Master_Mapping_Sheet!$E$2:$E$3143, ISNUMBER(
Master_Mapping_Sheet!$E$2:$E$3143),
Master_Mapping_Sheet!$H$2:$H$3143=G$1,
Master_Mapping_Sheet!$L$2:$L$3143=$A2))/sum(filter(
Master_M"&amp;"apping_Sheet!$E$2:$E$3143, ISNUMBER(
Master_Mapping_Sheet!$E$2:$E$3143),
Master_Mapping_Sheet!$H$2:$H$3143=G$1)))"),0.0)</f>
        <v>0</v>
      </c>
      <c r="H2" s="34">
        <f>IFERROR(__xludf.DUMMYFUNCTION("IF(ISNA(sum(filter(
Master_Mapping_Sheet!$E$2:$E$3143, ISNUMBER(
Master_Mapping_Sheet!$E$2:$E$3143),
Master_Mapping_Sheet!$H$2:$H$3143=H$1,
Master_Mapping_Sheet!$L$2:$L$3143=$A2))/sum(filter(
Master_Mapping_Sheet!$E$2:$E$3143, ISNUMBER(
Master_Mapping_She"&amp;"et!$E$2:$E$3143),
Master_Mapping_Sheet!$H$2:$H$3143=H$1))), 0, sum(filter(
Master_Mapping_Sheet!$E$2:$E$3143, ISNUMBER(
Master_Mapping_Sheet!$E$2:$E$3143),
Master_Mapping_Sheet!$H$2:$H$3143=H$1,
Master_Mapping_Sheet!$L$2:$L$3143=$A2))/sum(filter(
Master_M"&amp;"apping_Sheet!$E$2:$E$3143, ISNUMBER(
Master_Mapping_Sheet!$E$2:$E$3143),
Master_Mapping_Sheet!$H$2:$H$3143=H$1)))"),0.0)</f>
        <v>0</v>
      </c>
      <c r="I2" s="34">
        <f>IFERROR(__xludf.DUMMYFUNCTION("IF(ISNA(sum(filter(
Master_Mapping_Sheet!$E$2:$E$3143, ISNUMBER(
Master_Mapping_Sheet!$E$2:$E$3143),
Master_Mapping_Sheet!$H$2:$H$3143=I$1,
Master_Mapping_Sheet!$L$2:$L$3143=$A2))/sum(filter(
Master_Mapping_Sheet!$E$2:$E$3143, ISNUMBER(
Master_Mapping_She"&amp;"et!$E$2:$E$3143),
Master_Mapping_Sheet!$H$2:$H$3143=I$1))), 0, sum(filter(
Master_Mapping_Sheet!$E$2:$E$3143, ISNUMBER(
Master_Mapping_Sheet!$E$2:$E$3143),
Master_Mapping_Sheet!$H$2:$H$3143=I$1,
Master_Mapping_Sheet!$L$2:$L$3143=$A2))/sum(filter(
Master_M"&amp;"apping_Sheet!$E$2:$E$3143, ISNUMBER(
Master_Mapping_Sheet!$E$2:$E$3143),
Master_Mapping_Sheet!$H$2:$H$3143=I$1)))"),0.0)</f>
        <v>0</v>
      </c>
      <c r="J2" s="34">
        <f>IFERROR(__xludf.DUMMYFUNCTION("IF(ISNA(sum(filter(
Master_Mapping_Sheet!$E$2:$E$3143, ISNUMBER(
Master_Mapping_Sheet!$E$2:$E$3143),
Master_Mapping_Sheet!$H$2:$H$3143=J$1,
Master_Mapping_Sheet!$L$2:$L$3143=$A2))/sum(filter(
Master_Mapping_Sheet!$E$2:$E$3143, ISNUMBER(
Master_Mapping_She"&amp;"et!$E$2:$E$3143),
Master_Mapping_Sheet!$H$2:$H$3143=J$1))), 0, sum(filter(
Master_Mapping_Sheet!$E$2:$E$3143, ISNUMBER(
Master_Mapping_Sheet!$E$2:$E$3143),
Master_Mapping_Sheet!$H$2:$H$3143=J$1,
Master_Mapping_Sheet!$L$2:$L$3143=$A2))/sum(filter(
Master_M"&amp;"apping_Sheet!$E$2:$E$3143, ISNUMBER(
Master_Mapping_Sheet!$E$2:$E$3143),
Master_Mapping_Sheet!$H$2:$H$3143=J$1)))"),0.0)</f>
        <v>0</v>
      </c>
      <c r="K2" s="34">
        <f>IFERROR(__xludf.DUMMYFUNCTION("IF(ISNA(sum(filter(
Master_Mapping_Sheet!$E$2:$E$3143, ISNUMBER(
Master_Mapping_Sheet!$E$2:$E$3143),
Master_Mapping_Sheet!$H$2:$H$3143=K$1,
Master_Mapping_Sheet!$L$2:$L$3143=$A2))/sum(filter(
Master_Mapping_Sheet!$E$2:$E$3143, ISNUMBER(
Master_Mapping_She"&amp;"et!$E$2:$E$3143),
Master_Mapping_Sheet!$H$2:$H$3143=K$1))), 0, sum(filter(
Master_Mapping_Sheet!$E$2:$E$3143, ISNUMBER(
Master_Mapping_Sheet!$E$2:$E$3143),
Master_Mapping_Sheet!$H$2:$H$3143=K$1,
Master_Mapping_Sheet!$L$2:$L$3143=$A2))/sum(filter(
Master_M"&amp;"apping_Sheet!$E$2:$E$3143, ISNUMBER(
Master_Mapping_Sheet!$E$2:$E$3143),
Master_Mapping_Sheet!$H$2:$H$3143=K$1)))"),0.0)</f>
        <v>0</v>
      </c>
      <c r="L2" s="34">
        <f>IFERROR(__xludf.DUMMYFUNCTION("IF(ISNA(sum(filter(
Master_Mapping_Sheet!$E$2:$E$3143, ISNUMBER(
Master_Mapping_Sheet!$E$2:$E$3143),
Master_Mapping_Sheet!$H$2:$H$3143=L$1,
Master_Mapping_Sheet!$L$2:$L$3143=$A2))/sum(filter(
Master_Mapping_Sheet!$E$2:$E$3143, ISNUMBER(
Master_Mapping_She"&amp;"et!$E$2:$E$3143),
Master_Mapping_Sheet!$H$2:$H$3143=L$1))), 0, sum(filter(
Master_Mapping_Sheet!$E$2:$E$3143, ISNUMBER(
Master_Mapping_Sheet!$E$2:$E$3143),
Master_Mapping_Sheet!$H$2:$H$3143=L$1,
Master_Mapping_Sheet!$L$2:$L$3143=$A2))/sum(filter(
Master_M"&amp;"apping_Sheet!$E$2:$E$3143, ISNUMBER(
Master_Mapping_Sheet!$E$2:$E$3143),
Master_Mapping_Sheet!$H$2:$H$3143=L$1)))"),0.0)</f>
        <v>0</v>
      </c>
      <c r="M2" s="34">
        <f>IFERROR(__xludf.DUMMYFUNCTION("IF(ISNA(sum(filter(
Master_Mapping_Sheet!$E$2:$E$3143, ISNUMBER(
Master_Mapping_Sheet!$E$2:$E$3143),
Master_Mapping_Sheet!$H$2:$H$3143=M$1,
Master_Mapping_Sheet!$L$2:$L$3143=$A2))/sum(filter(
Master_Mapping_Sheet!$E$2:$E$3143, ISNUMBER(
Master_Mapping_She"&amp;"et!$E$2:$E$3143),
Master_Mapping_Sheet!$H$2:$H$3143=M$1))), 0, sum(filter(
Master_Mapping_Sheet!$E$2:$E$3143, ISNUMBER(
Master_Mapping_Sheet!$E$2:$E$3143),
Master_Mapping_Sheet!$H$2:$H$3143=M$1,
Master_Mapping_Sheet!$L$2:$L$3143=$A2))/sum(filter(
Master_M"&amp;"apping_Sheet!$E$2:$E$3143, ISNUMBER(
Master_Mapping_Sheet!$E$2:$E$3143),
Master_Mapping_Sheet!$H$2:$H$3143=M$1)))"),0.0)</f>
        <v>0</v>
      </c>
      <c r="N2" s="34">
        <f>IFERROR(__xludf.DUMMYFUNCTION("IF(ISNA(sum(filter(
Master_Mapping_Sheet!$E$2:$E$3143, ISNUMBER(
Master_Mapping_Sheet!$E$2:$E$3143),
Master_Mapping_Sheet!$H$2:$H$3143=N$1,
Master_Mapping_Sheet!$L$2:$L$3143=$A2))/sum(filter(
Master_Mapping_Sheet!$E$2:$E$3143, ISNUMBER(
Master_Mapping_She"&amp;"et!$E$2:$E$3143),
Master_Mapping_Sheet!$H$2:$H$3143=N$1))), 0, sum(filter(
Master_Mapping_Sheet!$E$2:$E$3143, ISNUMBER(
Master_Mapping_Sheet!$E$2:$E$3143),
Master_Mapping_Sheet!$H$2:$H$3143=N$1,
Master_Mapping_Sheet!$L$2:$L$3143=$A2))/sum(filter(
Master_M"&amp;"apping_Sheet!$E$2:$E$3143, ISNUMBER(
Master_Mapping_Sheet!$E$2:$E$3143),
Master_Mapping_Sheet!$H$2:$H$3143=N$1)))"),0.0)</f>
        <v>0</v>
      </c>
      <c r="O2" s="34">
        <f>IFERROR(__xludf.DUMMYFUNCTION("IF(ISNA(sum(filter(
Master_Mapping_Sheet!$E$2:$E$3143, ISNUMBER(
Master_Mapping_Sheet!$E$2:$E$3143),
Master_Mapping_Sheet!$H$2:$H$3143=O$1,
Master_Mapping_Sheet!$L$2:$L$3143=$A2))/sum(filter(
Master_Mapping_Sheet!$E$2:$E$3143, ISNUMBER(
Master_Mapping_She"&amp;"et!$E$2:$E$3143),
Master_Mapping_Sheet!$H$2:$H$3143=O$1))), 0, sum(filter(
Master_Mapping_Sheet!$E$2:$E$3143, ISNUMBER(
Master_Mapping_Sheet!$E$2:$E$3143),
Master_Mapping_Sheet!$H$2:$H$3143=O$1,
Master_Mapping_Sheet!$L$2:$L$3143=$A2))/sum(filter(
Master_M"&amp;"apping_Sheet!$E$2:$E$3143, ISNUMBER(
Master_Mapping_Sheet!$E$2:$E$3143),
Master_Mapping_Sheet!$H$2:$H$3143=O$1)))"),0.0)</f>
        <v>0</v>
      </c>
      <c r="P2" s="34">
        <f>IFERROR(__xludf.DUMMYFUNCTION("IF(ISNA(sum(filter(
Master_Mapping_Sheet!$E$2:$E$3143, ISNUMBER(
Master_Mapping_Sheet!$E$2:$E$3143),
Master_Mapping_Sheet!$H$2:$H$3143=P$1,
Master_Mapping_Sheet!$L$2:$L$3143=$A2))/sum(filter(
Master_Mapping_Sheet!$E$2:$E$3143, ISNUMBER(
Master_Mapping_She"&amp;"et!$E$2:$E$3143),
Master_Mapping_Sheet!$H$2:$H$3143=P$1))), 0, sum(filter(
Master_Mapping_Sheet!$E$2:$E$3143, ISNUMBER(
Master_Mapping_Sheet!$E$2:$E$3143),
Master_Mapping_Sheet!$H$2:$H$3143=P$1,
Master_Mapping_Sheet!$L$2:$L$3143=$A2))/sum(filter(
Master_M"&amp;"apping_Sheet!$E$2:$E$3143, ISNUMBER(
Master_Mapping_Sheet!$E$2:$E$3143),
Master_Mapping_Sheet!$H$2:$H$3143=P$1)))"),0.0)</f>
        <v>0</v>
      </c>
      <c r="Q2" s="34">
        <f>IFERROR(__xludf.DUMMYFUNCTION("IF(ISNA(sum(filter(
Master_Mapping_Sheet!$E$2:$E$3143, ISNUMBER(
Master_Mapping_Sheet!$E$2:$E$3143),
Master_Mapping_Sheet!$H$2:$H$3143=Q$1,
Master_Mapping_Sheet!$L$2:$L$3143=$A2))/sum(filter(
Master_Mapping_Sheet!$E$2:$E$3143, ISNUMBER(
Master_Mapping_She"&amp;"et!$E$2:$E$3143),
Master_Mapping_Sheet!$H$2:$H$3143=Q$1))), 0, sum(filter(
Master_Mapping_Sheet!$E$2:$E$3143, ISNUMBER(
Master_Mapping_Sheet!$E$2:$E$3143),
Master_Mapping_Sheet!$H$2:$H$3143=Q$1,
Master_Mapping_Sheet!$L$2:$L$3143=$A2))/sum(filter(
Master_M"&amp;"apping_Sheet!$E$2:$E$3143, ISNUMBER(
Master_Mapping_Sheet!$E$2:$E$3143),
Master_Mapping_Sheet!$H$2:$H$3143=Q$1)))"),0.0)</f>
        <v>0</v>
      </c>
      <c r="R2" s="34">
        <f>IFERROR(__xludf.DUMMYFUNCTION("IF(ISNA(sum(filter(
Master_Mapping_Sheet!$E$2:$E$3143, ISNUMBER(
Master_Mapping_Sheet!$E$2:$E$3143),
Master_Mapping_Sheet!$H$2:$H$3143=R$1,
Master_Mapping_Sheet!$L$2:$L$3143=$A2))/sum(filter(
Master_Mapping_Sheet!$E$2:$E$3143, ISNUMBER(
Master_Mapping_She"&amp;"et!$E$2:$E$3143),
Master_Mapping_Sheet!$H$2:$H$3143=R$1))), 0, sum(filter(
Master_Mapping_Sheet!$E$2:$E$3143, ISNUMBER(
Master_Mapping_Sheet!$E$2:$E$3143),
Master_Mapping_Sheet!$H$2:$H$3143=R$1,
Master_Mapping_Sheet!$L$2:$L$3143=$A2))/sum(filter(
Master_M"&amp;"apping_Sheet!$E$2:$E$3143, ISNUMBER(
Master_Mapping_Sheet!$E$2:$E$3143),
Master_Mapping_Sheet!$H$2:$H$3143=R$1)))"),0.0)</f>
        <v>0</v>
      </c>
      <c r="S2" s="34">
        <f>IFERROR(__xludf.DUMMYFUNCTION("IF(ISNA(sum(filter(
Master_Mapping_Sheet!$E$2:$E$3143, ISNUMBER(
Master_Mapping_Sheet!$E$2:$E$3143),
Master_Mapping_Sheet!$H$2:$H$3143=S$1,
Master_Mapping_Sheet!$L$2:$L$3143=$A2))/sum(filter(
Master_Mapping_Sheet!$E$2:$E$3143, ISNUMBER(
Master_Mapping_She"&amp;"et!$E$2:$E$3143),
Master_Mapping_Sheet!$H$2:$H$3143=S$1))), 0, sum(filter(
Master_Mapping_Sheet!$E$2:$E$3143, ISNUMBER(
Master_Mapping_Sheet!$E$2:$E$3143),
Master_Mapping_Sheet!$H$2:$H$3143=S$1,
Master_Mapping_Sheet!$L$2:$L$3143=$A2))/sum(filter(
Master_M"&amp;"apping_Sheet!$E$2:$E$3143, ISNUMBER(
Master_Mapping_Sheet!$E$2:$E$3143),
Master_Mapping_Sheet!$H$2:$H$3143=S$1)))"),0.0)</f>
        <v>0</v>
      </c>
      <c r="T2" s="34">
        <f>IFERROR(__xludf.DUMMYFUNCTION("IF(ISNA(sum(filter(
Master_Mapping_Sheet!$E$2:$E$3143, ISNUMBER(
Master_Mapping_Sheet!$E$2:$E$3143),
Master_Mapping_Sheet!$H$2:$H$3143=T$1,
Master_Mapping_Sheet!$L$2:$L$3143=$A2))/sum(filter(
Master_Mapping_Sheet!$E$2:$E$3143, ISNUMBER(
Master_Mapping_She"&amp;"et!$E$2:$E$3143),
Master_Mapping_Sheet!$H$2:$H$3143=T$1))), 0, sum(filter(
Master_Mapping_Sheet!$E$2:$E$3143, ISNUMBER(
Master_Mapping_Sheet!$E$2:$E$3143),
Master_Mapping_Sheet!$H$2:$H$3143=T$1,
Master_Mapping_Sheet!$L$2:$L$3143=$A2))/sum(filter(
Master_M"&amp;"apping_Sheet!$E$2:$E$3143, ISNUMBER(
Master_Mapping_Sheet!$E$2:$E$3143),
Master_Mapping_Sheet!$H$2:$H$3143=T$1)))"),0.0)</f>
        <v>0</v>
      </c>
      <c r="U2" s="34">
        <f>IFERROR(__xludf.DUMMYFUNCTION("IF(ISNA(sum(filter(
Master_Mapping_Sheet!$E$2:$E$3143, ISNUMBER(
Master_Mapping_Sheet!$E$2:$E$3143),
Master_Mapping_Sheet!$H$2:$H$3143=U$1,
Master_Mapping_Sheet!$L$2:$L$3143=$A2))/sum(filter(
Master_Mapping_Sheet!$E$2:$E$3143, ISNUMBER(
Master_Mapping_She"&amp;"et!$E$2:$E$3143),
Master_Mapping_Sheet!$H$2:$H$3143=U$1))), 0, sum(filter(
Master_Mapping_Sheet!$E$2:$E$3143, ISNUMBER(
Master_Mapping_Sheet!$E$2:$E$3143),
Master_Mapping_Sheet!$H$2:$H$3143=U$1,
Master_Mapping_Sheet!$L$2:$L$3143=$A2))/sum(filter(
Master_M"&amp;"apping_Sheet!$E$2:$E$3143, ISNUMBER(
Master_Mapping_Sheet!$E$2:$E$3143),
Master_Mapping_Sheet!$H$2:$H$3143=U$1)))"),0.0)</f>
        <v>0</v>
      </c>
      <c r="V2" s="34">
        <f>IFERROR(__xludf.DUMMYFUNCTION("IF(ISNA(sum(filter(
Master_Mapping_Sheet!$E$2:$E$3143, ISNUMBER(
Master_Mapping_Sheet!$E$2:$E$3143),
Master_Mapping_Sheet!$H$2:$H$3143=V$1,
Master_Mapping_Sheet!$L$2:$L$3143=$A2))/sum(filter(
Master_Mapping_Sheet!$E$2:$E$3143, ISNUMBER(
Master_Mapping_She"&amp;"et!$E$2:$E$3143),
Master_Mapping_Sheet!$H$2:$H$3143=V$1))), 0, sum(filter(
Master_Mapping_Sheet!$E$2:$E$3143, ISNUMBER(
Master_Mapping_Sheet!$E$2:$E$3143),
Master_Mapping_Sheet!$H$2:$H$3143=V$1,
Master_Mapping_Sheet!$L$2:$L$3143=$A2))/sum(filter(
Master_M"&amp;"apping_Sheet!$E$2:$E$3143, ISNUMBER(
Master_Mapping_Sheet!$E$2:$E$3143),
Master_Mapping_Sheet!$H$2:$H$3143=V$1)))"),0.0)</f>
        <v>0</v>
      </c>
      <c r="W2" s="34">
        <f>IFERROR(__xludf.DUMMYFUNCTION("IF(ISNA(sum(filter(
Master_Mapping_Sheet!$E$2:$E$3143, ISNUMBER(
Master_Mapping_Sheet!$E$2:$E$3143),
Master_Mapping_Sheet!$H$2:$H$3143=W$1,
Master_Mapping_Sheet!$L$2:$L$3143=$A2))/sum(filter(
Master_Mapping_Sheet!$E$2:$E$3143, ISNUMBER(
Master_Mapping_She"&amp;"et!$E$2:$E$3143),
Master_Mapping_Sheet!$H$2:$H$3143=W$1))), 0, sum(filter(
Master_Mapping_Sheet!$E$2:$E$3143, ISNUMBER(
Master_Mapping_Sheet!$E$2:$E$3143),
Master_Mapping_Sheet!$H$2:$H$3143=W$1,
Master_Mapping_Sheet!$L$2:$L$3143=$A2))/sum(filter(
Master_M"&amp;"apping_Sheet!$E$2:$E$3143, ISNUMBER(
Master_Mapping_Sheet!$E$2:$E$3143),
Master_Mapping_Sheet!$H$2:$H$3143=W$1)))"),0.0)</f>
        <v>0</v>
      </c>
      <c r="X2" s="34">
        <f>IFERROR(__xludf.DUMMYFUNCTION("IF(ISNA(sum(filter(
Master_Mapping_Sheet!$E$2:$E$3143, ISNUMBER(
Master_Mapping_Sheet!$E$2:$E$3143),
Master_Mapping_Sheet!$H$2:$H$3143=X$1,
Master_Mapping_Sheet!$L$2:$L$3143=$A2))/sum(filter(
Master_Mapping_Sheet!$E$2:$E$3143, ISNUMBER(
Master_Mapping_She"&amp;"et!$E$2:$E$3143),
Master_Mapping_Sheet!$H$2:$H$3143=X$1))), 0, sum(filter(
Master_Mapping_Sheet!$E$2:$E$3143, ISNUMBER(
Master_Mapping_Sheet!$E$2:$E$3143),
Master_Mapping_Sheet!$H$2:$H$3143=X$1,
Master_Mapping_Sheet!$L$2:$L$3143=$A2))/sum(filter(
Master_M"&amp;"apping_Sheet!$E$2:$E$3143, ISNUMBER(
Master_Mapping_Sheet!$E$2:$E$3143),
Master_Mapping_Sheet!$H$2:$H$3143=X$1)))"),0.0)</f>
        <v>0</v>
      </c>
      <c r="Y2" s="34">
        <f>IFERROR(__xludf.DUMMYFUNCTION("IF(ISNA(sum(filter(
Master_Mapping_Sheet!$E$2:$E$3143, ISNUMBER(
Master_Mapping_Sheet!$E$2:$E$3143),
Master_Mapping_Sheet!$H$2:$H$3143=Y$1,
Master_Mapping_Sheet!$L$2:$L$3143=$A2))/sum(filter(
Master_Mapping_Sheet!$E$2:$E$3143, ISNUMBER(
Master_Mapping_She"&amp;"et!$E$2:$E$3143),
Master_Mapping_Sheet!$H$2:$H$3143=Y$1))), 0, sum(filter(
Master_Mapping_Sheet!$E$2:$E$3143, ISNUMBER(
Master_Mapping_Sheet!$E$2:$E$3143),
Master_Mapping_Sheet!$H$2:$H$3143=Y$1,
Master_Mapping_Sheet!$L$2:$L$3143=$A2))/sum(filter(
Master_M"&amp;"apping_Sheet!$E$2:$E$3143, ISNUMBER(
Master_Mapping_Sheet!$E$2:$E$3143),
Master_Mapping_Sheet!$H$2:$H$3143=Y$1)))"),0.0)</f>
        <v>0</v>
      </c>
      <c r="Z2" s="34">
        <f>IFERROR(__xludf.DUMMYFUNCTION("IF(ISNA(sum(filter(
Master_Mapping_Sheet!$E$2:$E$3143, ISNUMBER(
Master_Mapping_Sheet!$E$2:$E$3143),
Master_Mapping_Sheet!$H$2:$H$3143=Z$1,
Master_Mapping_Sheet!$L$2:$L$3143=$A2))/sum(filter(
Master_Mapping_Sheet!$E$2:$E$3143, ISNUMBER(
Master_Mapping_She"&amp;"et!$E$2:$E$3143),
Master_Mapping_Sheet!$H$2:$H$3143=Z$1))), 0, sum(filter(
Master_Mapping_Sheet!$E$2:$E$3143, ISNUMBER(
Master_Mapping_Sheet!$E$2:$E$3143),
Master_Mapping_Sheet!$H$2:$H$3143=Z$1,
Master_Mapping_Sheet!$L$2:$L$3143=$A2))/sum(filter(
Master_M"&amp;"apping_Sheet!$E$2:$E$3143, ISNUMBER(
Master_Mapping_Sheet!$E$2:$E$3143),
Master_Mapping_Sheet!$H$2:$H$3143=Z$1)))"),0.0)</f>
        <v>0</v>
      </c>
    </row>
    <row r="3" ht="15.75" customHeight="1">
      <c r="A3" s="32" t="s">
        <v>104</v>
      </c>
      <c r="B3" s="34">
        <f>IFERROR(__xludf.DUMMYFUNCTION("IF(ISNA(sum(filter(
Master_Mapping_Sheet!$E$2:$E$3143, ISNUMBER(
Master_Mapping_Sheet!$E$2:$E$3143),
Master_Mapping_Sheet!$H$2:$H$3143=B$1,
Master_Mapping_Sheet!$L$2:$L$3143=$A3))/sum(filter(
Master_Mapping_Sheet!$E$2:$E$3143, ISNUMBER(
Master_Mapping_She"&amp;"et!$E$2:$E$3143),
Master_Mapping_Sheet!$H$2:$H$3143=B$1))), 0, sum(filter(
Master_Mapping_Sheet!$E$2:$E$3143, ISNUMBER(
Master_Mapping_Sheet!$E$2:$E$3143),
Master_Mapping_Sheet!$H$2:$H$3143=B$1,
Master_Mapping_Sheet!$L$2:$L$3143=$A3))/sum(filter(
Master_M"&amp;"apping_Sheet!$E$2:$E$3143, ISNUMBER(
Master_Mapping_Sheet!$E$2:$E$3143),
Master_Mapping_Sheet!$H$2:$H$3143=B$1)))"),0.5766179429668932)</f>
        <v>0.576617943</v>
      </c>
      <c r="C3" s="34">
        <f>IFERROR(__xludf.DUMMYFUNCTION("IF(ISNA(sum(filter(
Master_Mapping_Sheet!$E$2:$E$3143, ISNUMBER(
Master_Mapping_Sheet!$E$2:$E$3143),
Master_Mapping_Sheet!$H$2:$H$3143=C$1,
Master_Mapping_Sheet!$L$2:$L$3143=$A3))/sum(filter(
Master_Mapping_Sheet!$E$2:$E$3143, ISNUMBER(
Master_Mapping_She"&amp;"et!$E$2:$E$3143),
Master_Mapping_Sheet!$H$2:$H$3143=C$1))), 0, sum(filter(
Master_Mapping_Sheet!$E$2:$E$3143, ISNUMBER(
Master_Mapping_Sheet!$E$2:$E$3143),
Master_Mapping_Sheet!$H$2:$H$3143=C$1,
Master_Mapping_Sheet!$L$2:$L$3143=$A3))/sum(filter(
Master_M"&amp;"apping_Sheet!$E$2:$E$3143, ISNUMBER(
Master_Mapping_Sheet!$E$2:$E$3143),
Master_Mapping_Sheet!$H$2:$H$3143=C$1)))"),0.7796070193448632)</f>
        <v>0.7796070193</v>
      </c>
      <c r="D3" s="34">
        <f>IFERROR(__xludf.DUMMYFUNCTION("IF(ISNA(sum(filter(
Master_Mapping_Sheet!$E$2:$E$3143, ISNUMBER(
Master_Mapping_Sheet!$E$2:$E$3143),
Master_Mapping_Sheet!$H$2:$H$3143=D$1,
Master_Mapping_Sheet!$L$2:$L$3143=$A3))/sum(filter(
Master_Mapping_Sheet!$E$2:$E$3143, ISNUMBER(
Master_Mapping_She"&amp;"et!$E$2:$E$3143),
Master_Mapping_Sheet!$H$2:$H$3143=D$1))), 0, sum(filter(
Master_Mapping_Sheet!$E$2:$E$3143, ISNUMBER(
Master_Mapping_Sheet!$E$2:$E$3143),
Master_Mapping_Sheet!$H$2:$H$3143=D$1,
Master_Mapping_Sheet!$L$2:$L$3143=$A3))/sum(filter(
Master_M"&amp;"apping_Sheet!$E$2:$E$3143, ISNUMBER(
Master_Mapping_Sheet!$E$2:$E$3143),
Master_Mapping_Sheet!$H$2:$H$3143=D$1)))"),0.0)</f>
        <v>0</v>
      </c>
      <c r="E3" s="34">
        <f>IFERROR(__xludf.DUMMYFUNCTION("IF(ISNA(sum(filter(
Master_Mapping_Sheet!$E$2:$E$3143, ISNUMBER(
Master_Mapping_Sheet!$E$2:$E$3143),
Master_Mapping_Sheet!$H$2:$H$3143=E$1,
Master_Mapping_Sheet!$L$2:$L$3143=$A3))/sum(filter(
Master_Mapping_Sheet!$E$2:$E$3143, ISNUMBER(
Master_Mapping_She"&amp;"et!$E$2:$E$3143),
Master_Mapping_Sheet!$H$2:$H$3143=E$1))), 0, sum(filter(
Master_Mapping_Sheet!$E$2:$E$3143, ISNUMBER(
Master_Mapping_Sheet!$E$2:$E$3143),
Master_Mapping_Sheet!$H$2:$H$3143=E$1,
Master_Mapping_Sheet!$L$2:$L$3143=$A3))/sum(filter(
Master_M"&amp;"apping_Sheet!$E$2:$E$3143, ISNUMBER(
Master_Mapping_Sheet!$E$2:$E$3143),
Master_Mapping_Sheet!$H$2:$H$3143=E$1)))"),0.0)</f>
        <v>0</v>
      </c>
      <c r="F3" s="34">
        <f>IFERROR(__xludf.DUMMYFUNCTION("IF(ISNA(sum(filter(
Master_Mapping_Sheet!$E$2:$E$3143, ISNUMBER(
Master_Mapping_Sheet!$E$2:$E$3143),
Master_Mapping_Sheet!$H$2:$H$3143=F$1,
Master_Mapping_Sheet!$L$2:$L$3143=$A3))/sum(filter(
Master_Mapping_Sheet!$E$2:$E$3143, ISNUMBER(
Master_Mapping_She"&amp;"et!$E$2:$E$3143),
Master_Mapping_Sheet!$H$2:$H$3143=F$1))), 0, sum(filter(
Master_Mapping_Sheet!$E$2:$E$3143, ISNUMBER(
Master_Mapping_Sheet!$E$2:$E$3143),
Master_Mapping_Sheet!$H$2:$H$3143=F$1,
Master_Mapping_Sheet!$L$2:$L$3143=$A3))/sum(filter(
Master_M"&amp;"apping_Sheet!$E$2:$E$3143, ISNUMBER(
Master_Mapping_Sheet!$E$2:$E$3143),
Master_Mapping_Sheet!$H$2:$H$3143=F$1)))"),0.0)</f>
        <v>0</v>
      </c>
      <c r="G3" s="34">
        <f>IFERROR(__xludf.DUMMYFUNCTION("IF(ISNA(sum(filter(
Master_Mapping_Sheet!$E$2:$E$3143, ISNUMBER(
Master_Mapping_Sheet!$E$2:$E$3143),
Master_Mapping_Sheet!$H$2:$H$3143=G$1,
Master_Mapping_Sheet!$L$2:$L$3143=$A3))/sum(filter(
Master_Mapping_Sheet!$E$2:$E$3143, ISNUMBER(
Master_Mapping_She"&amp;"et!$E$2:$E$3143),
Master_Mapping_Sheet!$H$2:$H$3143=G$1))), 0, sum(filter(
Master_Mapping_Sheet!$E$2:$E$3143, ISNUMBER(
Master_Mapping_Sheet!$E$2:$E$3143),
Master_Mapping_Sheet!$H$2:$H$3143=G$1,
Master_Mapping_Sheet!$L$2:$L$3143=$A3))/sum(filter(
Master_M"&amp;"apping_Sheet!$E$2:$E$3143, ISNUMBER(
Master_Mapping_Sheet!$E$2:$E$3143),
Master_Mapping_Sheet!$H$2:$H$3143=G$1)))"),0.5744617816954802)</f>
        <v>0.5744617817</v>
      </c>
      <c r="H3" s="34">
        <f>IFERROR(__xludf.DUMMYFUNCTION("IF(ISNA(sum(filter(
Master_Mapping_Sheet!$E$2:$E$3143, ISNUMBER(
Master_Mapping_Sheet!$E$2:$E$3143),
Master_Mapping_Sheet!$H$2:$H$3143=H$1,
Master_Mapping_Sheet!$L$2:$L$3143=$A3))/sum(filter(
Master_Mapping_Sheet!$E$2:$E$3143, ISNUMBER(
Master_Mapping_She"&amp;"et!$E$2:$E$3143),
Master_Mapping_Sheet!$H$2:$H$3143=H$1))), 0, sum(filter(
Master_Mapping_Sheet!$E$2:$E$3143, ISNUMBER(
Master_Mapping_Sheet!$E$2:$E$3143),
Master_Mapping_Sheet!$H$2:$H$3143=H$1,
Master_Mapping_Sheet!$L$2:$L$3143=$A3))/sum(filter(
Master_M"&amp;"apping_Sheet!$E$2:$E$3143, ISNUMBER(
Master_Mapping_Sheet!$E$2:$E$3143),
Master_Mapping_Sheet!$H$2:$H$3143=H$1)))"),0.0)</f>
        <v>0</v>
      </c>
      <c r="I3" s="34">
        <f>IFERROR(__xludf.DUMMYFUNCTION("IF(ISNA(sum(filter(
Master_Mapping_Sheet!$E$2:$E$3143, ISNUMBER(
Master_Mapping_Sheet!$E$2:$E$3143),
Master_Mapping_Sheet!$H$2:$H$3143=I$1,
Master_Mapping_Sheet!$L$2:$L$3143=$A3))/sum(filter(
Master_Mapping_Sheet!$E$2:$E$3143, ISNUMBER(
Master_Mapping_She"&amp;"et!$E$2:$E$3143),
Master_Mapping_Sheet!$H$2:$H$3143=I$1))), 0, sum(filter(
Master_Mapping_Sheet!$E$2:$E$3143, ISNUMBER(
Master_Mapping_Sheet!$E$2:$E$3143),
Master_Mapping_Sheet!$H$2:$H$3143=I$1,
Master_Mapping_Sheet!$L$2:$L$3143=$A3))/sum(filter(
Master_M"&amp;"apping_Sheet!$E$2:$E$3143, ISNUMBER(
Master_Mapping_Sheet!$E$2:$E$3143),
Master_Mapping_Sheet!$H$2:$H$3143=I$1)))"),0.0)</f>
        <v>0</v>
      </c>
      <c r="J3" s="34">
        <f>IFERROR(__xludf.DUMMYFUNCTION("IF(ISNA(sum(filter(
Master_Mapping_Sheet!$E$2:$E$3143, ISNUMBER(
Master_Mapping_Sheet!$E$2:$E$3143),
Master_Mapping_Sheet!$H$2:$H$3143=J$1,
Master_Mapping_Sheet!$L$2:$L$3143=$A3))/sum(filter(
Master_Mapping_Sheet!$E$2:$E$3143, ISNUMBER(
Master_Mapping_She"&amp;"et!$E$2:$E$3143),
Master_Mapping_Sheet!$H$2:$H$3143=J$1))), 0, sum(filter(
Master_Mapping_Sheet!$E$2:$E$3143, ISNUMBER(
Master_Mapping_Sheet!$E$2:$E$3143),
Master_Mapping_Sheet!$H$2:$H$3143=J$1,
Master_Mapping_Sheet!$L$2:$L$3143=$A3))/sum(filter(
Master_M"&amp;"apping_Sheet!$E$2:$E$3143, ISNUMBER(
Master_Mapping_Sheet!$E$2:$E$3143),
Master_Mapping_Sheet!$H$2:$H$3143=J$1)))"),0.0)</f>
        <v>0</v>
      </c>
      <c r="K3" s="34">
        <f>IFERROR(__xludf.DUMMYFUNCTION("IF(ISNA(sum(filter(
Master_Mapping_Sheet!$E$2:$E$3143, ISNUMBER(
Master_Mapping_Sheet!$E$2:$E$3143),
Master_Mapping_Sheet!$H$2:$H$3143=K$1,
Master_Mapping_Sheet!$L$2:$L$3143=$A3))/sum(filter(
Master_Mapping_Sheet!$E$2:$E$3143, ISNUMBER(
Master_Mapping_She"&amp;"et!$E$2:$E$3143),
Master_Mapping_Sheet!$H$2:$H$3143=K$1))), 0, sum(filter(
Master_Mapping_Sheet!$E$2:$E$3143, ISNUMBER(
Master_Mapping_Sheet!$E$2:$E$3143),
Master_Mapping_Sheet!$H$2:$H$3143=K$1,
Master_Mapping_Sheet!$L$2:$L$3143=$A3))/sum(filter(
Master_M"&amp;"apping_Sheet!$E$2:$E$3143, ISNUMBER(
Master_Mapping_Sheet!$E$2:$E$3143),
Master_Mapping_Sheet!$H$2:$H$3143=K$1)))"),0.0)</f>
        <v>0</v>
      </c>
      <c r="L3" s="34">
        <f>IFERROR(__xludf.DUMMYFUNCTION("IF(ISNA(sum(filter(
Master_Mapping_Sheet!$E$2:$E$3143, ISNUMBER(
Master_Mapping_Sheet!$E$2:$E$3143),
Master_Mapping_Sheet!$H$2:$H$3143=L$1,
Master_Mapping_Sheet!$L$2:$L$3143=$A3))/sum(filter(
Master_Mapping_Sheet!$E$2:$E$3143, ISNUMBER(
Master_Mapping_She"&amp;"et!$E$2:$E$3143),
Master_Mapping_Sheet!$H$2:$H$3143=L$1))), 0, sum(filter(
Master_Mapping_Sheet!$E$2:$E$3143, ISNUMBER(
Master_Mapping_Sheet!$E$2:$E$3143),
Master_Mapping_Sheet!$H$2:$H$3143=L$1,
Master_Mapping_Sheet!$L$2:$L$3143=$A3))/sum(filter(
Master_M"&amp;"apping_Sheet!$E$2:$E$3143, ISNUMBER(
Master_Mapping_Sheet!$E$2:$E$3143),
Master_Mapping_Sheet!$H$2:$H$3143=L$1)))"),0.0)</f>
        <v>0</v>
      </c>
      <c r="M3" s="34">
        <f>IFERROR(__xludf.DUMMYFUNCTION("IF(ISNA(sum(filter(
Master_Mapping_Sheet!$E$2:$E$3143, ISNUMBER(
Master_Mapping_Sheet!$E$2:$E$3143),
Master_Mapping_Sheet!$H$2:$H$3143=M$1,
Master_Mapping_Sheet!$L$2:$L$3143=$A3))/sum(filter(
Master_Mapping_Sheet!$E$2:$E$3143, ISNUMBER(
Master_Mapping_She"&amp;"et!$E$2:$E$3143),
Master_Mapping_Sheet!$H$2:$H$3143=M$1))), 0, sum(filter(
Master_Mapping_Sheet!$E$2:$E$3143, ISNUMBER(
Master_Mapping_Sheet!$E$2:$E$3143),
Master_Mapping_Sheet!$H$2:$H$3143=M$1,
Master_Mapping_Sheet!$L$2:$L$3143=$A3))/sum(filter(
Master_M"&amp;"apping_Sheet!$E$2:$E$3143, ISNUMBER(
Master_Mapping_Sheet!$E$2:$E$3143),
Master_Mapping_Sheet!$H$2:$H$3143=M$1)))"),0.0)</f>
        <v>0</v>
      </c>
      <c r="N3" s="34">
        <f>IFERROR(__xludf.DUMMYFUNCTION("IF(ISNA(sum(filter(
Master_Mapping_Sheet!$E$2:$E$3143, ISNUMBER(
Master_Mapping_Sheet!$E$2:$E$3143),
Master_Mapping_Sheet!$H$2:$H$3143=N$1,
Master_Mapping_Sheet!$L$2:$L$3143=$A3))/sum(filter(
Master_Mapping_Sheet!$E$2:$E$3143, ISNUMBER(
Master_Mapping_She"&amp;"et!$E$2:$E$3143),
Master_Mapping_Sheet!$H$2:$H$3143=N$1))), 0, sum(filter(
Master_Mapping_Sheet!$E$2:$E$3143, ISNUMBER(
Master_Mapping_Sheet!$E$2:$E$3143),
Master_Mapping_Sheet!$H$2:$H$3143=N$1,
Master_Mapping_Sheet!$L$2:$L$3143=$A3))/sum(filter(
Master_M"&amp;"apping_Sheet!$E$2:$E$3143, ISNUMBER(
Master_Mapping_Sheet!$E$2:$E$3143),
Master_Mapping_Sheet!$H$2:$H$3143=N$1)))"),0.0)</f>
        <v>0</v>
      </c>
      <c r="O3" s="34">
        <f>IFERROR(__xludf.DUMMYFUNCTION("IF(ISNA(sum(filter(
Master_Mapping_Sheet!$E$2:$E$3143, ISNUMBER(
Master_Mapping_Sheet!$E$2:$E$3143),
Master_Mapping_Sheet!$H$2:$H$3143=O$1,
Master_Mapping_Sheet!$L$2:$L$3143=$A3))/sum(filter(
Master_Mapping_Sheet!$E$2:$E$3143, ISNUMBER(
Master_Mapping_She"&amp;"et!$E$2:$E$3143),
Master_Mapping_Sheet!$H$2:$H$3143=O$1))), 0, sum(filter(
Master_Mapping_Sheet!$E$2:$E$3143, ISNUMBER(
Master_Mapping_Sheet!$E$2:$E$3143),
Master_Mapping_Sheet!$H$2:$H$3143=O$1,
Master_Mapping_Sheet!$L$2:$L$3143=$A3))/sum(filter(
Master_M"&amp;"apping_Sheet!$E$2:$E$3143, ISNUMBER(
Master_Mapping_Sheet!$E$2:$E$3143),
Master_Mapping_Sheet!$H$2:$H$3143=O$1)))"),0.0)</f>
        <v>0</v>
      </c>
      <c r="P3" s="34">
        <f>IFERROR(__xludf.DUMMYFUNCTION("IF(ISNA(sum(filter(
Master_Mapping_Sheet!$E$2:$E$3143, ISNUMBER(
Master_Mapping_Sheet!$E$2:$E$3143),
Master_Mapping_Sheet!$H$2:$H$3143=P$1,
Master_Mapping_Sheet!$L$2:$L$3143=$A3))/sum(filter(
Master_Mapping_Sheet!$E$2:$E$3143, ISNUMBER(
Master_Mapping_She"&amp;"et!$E$2:$E$3143),
Master_Mapping_Sheet!$H$2:$H$3143=P$1))), 0, sum(filter(
Master_Mapping_Sheet!$E$2:$E$3143, ISNUMBER(
Master_Mapping_Sheet!$E$2:$E$3143),
Master_Mapping_Sheet!$H$2:$H$3143=P$1,
Master_Mapping_Sheet!$L$2:$L$3143=$A3))/sum(filter(
Master_M"&amp;"apping_Sheet!$E$2:$E$3143, ISNUMBER(
Master_Mapping_Sheet!$E$2:$E$3143),
Master_Mapping_Sheet!$H$2:$H$3143=P$1)))"),0.2067011099378118)</f>
        <v>0.2067011099</v>
      </c>
      <c r="Q3" s="34">
        <f>IFERROR(__xludf.DUMMYFUNCTION("IF(ISNA(sum(filter(
Master_Mapping_Sheet!$E$2:$E$3143, ISNUMBER(
Master_Mapping_Sheet!$E$2:$E$3143),
Master_Mapping_Sheet!$H$2:$H$3143=Q$1,
Master_Mapping_Sheet!$L$2:$L$3143=$A3))/sum(filter(
Master_Mapping_Sheet!$E$2:$E$3143, ISNUMBER(
Master_Mapping_She"&amp;"et!$E$2:$E$3143),
Master_Mapping_Sheet!$H$2:$H$3143=Q$1))), 0, sum(filter(
Master_Mapping_Sheet!$E$2:$E$3143, ISNUMBER(
Master_Mapping_Sheet!$E$2:$E$3143),
Master_Mapping_Sheet!$H$2:$H$3143=Q$1,
Master_Mapping_Sheet!$L$2:$L$3143=$A3))/sum(filter(
Master_M"&amp;"apping_Sheet!$E$2:$E$3143, ISNUMBER(
Master_Mapping_Sheet!$E$2:$E$3143),
Master_Mapping_Sheet!$H$2:$H$3143=Q$1)))"),0.0)</f>
        <v>0</v>
      </c>
      <c r="R3" s="34">
        <f>IFERROR(__xludf.DUMMYFUNCTION("IF(ISNA(sum(filter(
Master_Mapping_Sheet!$E$2:$E$3143, ISNUMBER(
Master_Mapping_Sheet!$E$2:$E$3143),
Master_Mapping_Sheet!$H$2:$H$3143=R$1,
Master_Mapping_Sheet!$L$2:$L$3143=$A3))/sum(filter(
Master_Mapping_Sheet!$E$2:$E$3143, ISNUMBER(
Master_Mapping_She"&amp;"et!$E$2:$E$3143),
Master_Mapping_Sheet!$H$2:$H$3143=R$1))), 0, sum(filter(
Master_Mapping_Sheet!$E$2:$E$3143, ISNUMBER(
Master_Mapping_Sheet!$E$2:$E$3143),
Master_Mapping_Sheet!$H$2:$H$3143=R$1,
Master_Mapping_Sheet!$L$2:$L$3143=$A3))/sum(filter(
Master_M"&amp;"apping_Sheet!$E$2:$E$3143, ISNUMBER(
Master_Mapping_Sheet!$E$2:$E$3143),
Master_Mapping_Sheet!$H$2:$H$3143=R$1)))"),0.03314751534150465)</f>
        <v>0.03314751534</v>
      </c>
      <c r="S3" s="34">
        <f>IFERROR(__xludf.DUMMYFUNCTION("IF(ISNA(sum(filter(
Master_Mapping_Sheet!$E$2:$E$3143, ISNUMBER(
Master_Mapping_Sheet!$E$2:$E$3143),
Master_Mapping_Sheet!$H$2:$H$3143=S$1,
Master_Mapping_Sheet!$L$2:$L$3143=$A3))/sum(filter(
Master_Mapping_Sheet!$E$2:$E$3143, ISNUMBER(
Master_Mapping_She"&amp;"et!$E$2:$E$3143),
Master_Mapping_Sheet!$H$2:$H$3143=S$1))), 0, sum(filter(
Master_Mapping_Sheet!$E$2:$E$3143, ISNUMBER(
Master_Mapping_Sheet!$E$2:$E$3143),
Master_Mapping_Sheet!$H$2:$H$3143=S$1,
Master_Mapping_Sheet!$L$2:$L$3143=$A3))/sum(filter(
Master_M"&amp;"apping_Sheet!$E$2:$E$3143, ISNUMBER(
Master_Mapping_Sheet!$E$2:$E$3143),
Master_Mapping_Sheet!$H$2:$H$3143=S$1)))"),0.0)</f>
        <v>0</v>
      </c>
      <c r="T3" s="34">
        <f>IFERROR(__xludf.DUMMYFUNCTION("IF(ISNA(sum(filter(
Master_Mapping_Sheet!$E$2:$E$3143, ISNUMBER(
Master_Mapping_Sheet!$E$2:$E$3143),
Master_Mapping_Sheet!$H$2:$H$3143=T$1,
Master_Mapping_Sheet!$L$2:$L$3143=$A3))/sum(filter(
Master_Mapping_Sheet!$E$2:$E$3143, ISNUMBER(
Master_Mapping_She"&amp;"et!$E$2:$E$3143),
Master_Mapping_Sheet!$H$2:$H$3143=T$1))), 0, sum(filter(
Master_Mapping_Sheet!$E$2:$E$3143, ISNUMBER(
Master_Mapping_Sheet!$E$2:$E$3143),
Master_Mapping_Sheet!$H$2:$H$3143=T$1,
Master_Mapping_Sheet!$L$2:$L$3143=$A3))/sum(filter(
Master_M"&amp;"apping_Sheet!$E$2:$E$3143, ISNUMBER(
Master_Mapping_Sheet!$E$2:$E$3143),
Master_Mapping_Sheet!$H$2:$H$3143=T$1)))"),0.0)</f>
        <v>0</v>
      </c>
      <c r="U3" s="34">
        <f>IFERROR(__xludf.DUMMYFUNCTION("IF(ISNA(sum(filter(
Master_Mapping_Sheet!$E$2:$E$3143, ISNUMBER(
Master_Mapping_Sheet!$E$2:$E$3143),
Master_Mapping_Sheet!$H$2:$H$3143=U$1,
Master_Mapping_Sheet!$L$2:$L$3143=$A3))/sum(filter(
Master_Mapping_Sheet!$E$2:$E$3143, ISNUMBER(
Master_Mapping_She"&amp;"et!$E$2:$E$3143),
Master_Mapping_Sheet!$H$2:$H$3143=U$1))), 0, sum(filter(
Master_Mapping_Sheet!$E$2:$E$3143, ISNUMBER(
Master_Mapping_Sheet!$E$2:$E$3143),
Master_Mapping_Sheet!$H$2:$H$3143=U$1,
Master_Mapping_Sheet!$L$2:$L$3143=$A3))/sum(filter(
Master_M"&amp;"apping_Sheet!$E$2:$E$3143, ISNUMBER(
Master_Mapping_Sheet!$E$2:$E$3143),
Master_Mapping_Sheet!$H$2:$H$3143=U$1)))"),0.0)</f>
        <v>0</v>
      </c>
      <c r="V3" s="34">
        <f>IFERROR(__xludf.DUMMYFUNCTION("IF(ISNA(sum(filter(
Master_Mapping_Sheet!$E$2:$E$3143, ISNUMBER(
Master_Mapping_Sheet!$E$2:$E$3143),
Master_Mapping_Sheet!$H$2:$H$3143=V$1,
Master_Mapping_Sheet!$L$2:$L$3143=$A3))/sum(filter(
Master_Mapping_Sheet!$E$2:$E$3143, ISNUMBER(
Master_Mapping_She"&amp;"et!$E$2:$E$3143),
Master_Mapping_Sheet!$H$2:$H$3143=V$1))), 0, sum(filter(
Master_Mapping_Sheet!$E$2:$E$3143, ISNUMBER(
Master_Mapping_Sheet!$E$2:$E$3143),
Master_Mapping_Sheet!$H$2:$H$3143=V$1,
Master_Mapping_Sheet!$L$2:$L$3143=$A3))/sum(filter(
Master_M"&amp;"apping_Sheet!$E$2:$E$3143, ISNUMBER(
Master_Mapping_Sheet!$E$2:$E$3143),
Master_Mapping_Sheet!$H$2:$H$3143=V$1)))"),0.0)</f>
        <v>0</v>
      </c>
      <c r="W3" s="34">
        <f>IFERROR(__xludf.DUMMYFUNCTION("IF(ISNA(sum(filter(
Master_Mapping_Sheet!$E$2:$E$3143, ISNUMBER(
Master_Mapping_Sheet!$E$2:$E$3143),
Master_Mapping_Sheet!$H$2:$H$3143=W$1,
Master_Mapping_Sheet!$L$2:$L$3143=$A3))/sum(filter(
Master_Mapping_Sheet!$E$2:$E$3143, ISNUMBER(
Master_Mapping_She"&amp;"et!$E$2:$E$3143),
Master_Mapping_Sheet!$H$2:$H$3143=W$1))), 0, sum(filter(
Master_Mapping_Sheet!$E$2:$E$3143, ISNUMBER(
Master_Mapping_Sheet!$E$2:$E$3143),
Master_Mapping_Sheet!$H$2:$H$3143=W$1,
Master_Mapping_Sheet!$L$2:$L$3143=$A3))/sum(filter(
Master_M"&amp;"apping_Sheet!$E$2:$E$3143, ISNUMBER(
Master_Mapping_Sheet!$E$2:$E$3143),
Master_Mapping_Sheet!$H$2:$H$3143=W$1)))"),0.0)</f>
        <v>0</v>
      </c>
      <c r="X3" s="34">
        <f>IFERROR(__xludf.DUMMYFUNCTION("IF(ISNA(sum(filter(
Master_Mapping_Sheet!$E$2:$E$3143, ISNUMBER(
Master_Mapping_Sheet!$E$2:$E$3143),
Master_Mapping_Sheet!$H$2:$H$3143=X$1,
Master_Mapping_Sheet!$L$2:$L$3143=$A3))/sum(filter(
Master_Mapping_Sheet!$E$2:$E$3143, ISNUMBER(
Master_Mapping_She"&amp;"et!$E$2:$E$3143),
Master_Mapping_Sheet!$H$2:$H$3143=X$1))), 0, sum(filter(
Master_Mapping_Sheet!$E$2:$E$3143, ISNUMBER(
Master_Mapping_Sheet!$E$2:$E$3143),
Master_Mapping_Sheet!$H$2:$H$3143=X$1,
Master_Mapping_Sheet!$L$2:$L$3143=$A3))/sum(filter(
Master_M"&amp;"apping_Sheet!$E$2:$E$3143, ISNUMBER(
Master_Mapping_Sheet!$E$2:$E$3143),
Master_Mapping_Sheet!$H$2:$H$3143=X$1)))"),0.0)</f>
        <v>0</v>
      </c>
      <c r="Y3" s="34">
        <f>IFERROR(__xludf.DUMMYFUNCTION("IF(ISNA(sum(filter(
Master_Mapping_Sheet!$E$2:$E$3143, ISNUMBER(
Master_Mapping_Sheet!$E$2:$E$3143),
Master_Mapping_Sheet!$H$2:$H$3143=Y$1,
Master_Mapping_Sheet!$L$2:$L$3143=$A3))/sum(filter(
Master_Mapping_Sheet!$E$2:$E$3143, ISNUMBER(
Master_Mapping_She"&amp;"et!$E$2:$E$3143),
Master_Mapping_Sheet!$H$2:$H$3143=Y$1))), 0, sum(filter(
Master_Mapping_Sheet!$E$2:$E$3143, ISNUMBER(
Master_Mapping_Sheet!$E$2:$E$3143),
Master_Mapping_Sheet!$H$2:$H$3143=Y$1,
Master_Mapping_Sheet!$L$2:$L$3143=$A3))/sum(filter(
Master_M"&amp;"apping_Sheet!$E$2:$E$3143, ISNUMBER(
Master_Mapping_Sheet!$E$2:$E$3143),
Master_Mapping_Sheet!$H$2:$H$3143=Y$1)))"),0.0)</f>
        <v>0</v>
      </c>
      <c r="Z3" s="34">
        <f>IFERROR(__xludf.DUMMYFUNCTION("IF(ISNA(sum(filter(
Master_Mapping_Sheet!$E$2:$E$3143, ISNUMBER(
Master_Mapping_Sheet!$E$2:$E$3143),
Master_Mapping_Sheet!$H$2:$H$3143=Z$1,
Master_Mapping_Sheet!$L$2:$L$3143=$A3))/sum(filter(
Master_Mapping_Sheet!$E$2:$E$3143, ISNUMBER(
Master_Mapping_She"&amp;"et!$E$2:$E$3143),
Master_Mapping_Sheet!$H$2:$H$3143=Z$1))), 0, sum(filter(
Master_Mapping_Sheet!$E$2:$E$3143, ISNUMBER(
Master_Mapping_Sheet!$E$2:$E$3143),
Master_Mapping_Sheet!$H$2:$H$3143=Z$1,
Master_Mapping_Sheet!$L$2:$L$3143=$A3))/sum(filter(
Master_M"&amp;"apping_Sheet!$E$2:$E$3143, ISNUMBER(
Master_Mapping_Sheet!$E$2:$E$3143),
Master_Mapping_Sheet!$H$2:$H$3143=Z$1)))"),0.0)</f>
        <v>0</v>
      </c>
    </row>
    <row r="4" ht="15.75" customHeight="1">
      <c r="A4" s="32" t="s">
        <v>211</v>
      </c>
      <c r="B4" s="34">
        <f>IFERROR(__xludf.DUMMYFUNCTION("IF(ISNA(sum(filter(
Master_Mapping_Sheet!$E$2:$E$3143, ISNUMBER(
Master_Mapping_Sheet!$E$2:$E$3143),
Master_Mapping_Sheet!$H$2:$H$3143=B$1,
Master_Mapping_Sheet!$L$2:$L$3143=$A4))/sum(filter(
Master_Mapping_Sheet!$E$2:$E$3143, ISNUMBER(
Master_Mapping_She"&amp;"et!$E$2:$E$3143),
Master_Mapping_Sheet!$H$2:$H$3143=B$1))), 0, sum(filter(
Master_Mapping_Sheet!$E$2:$E$3143, ISNUMBER(
Master_Mapping_Sheet!$E$2:$E$3143),
Master_Mapping_Sheet!$H$2:$H$3143=B$1,
Master_Mapping_Sheet!$L$2:$L$3143=$A4))/sum(filter(
Master_M"&amp;"apping_Sheet!$E$2:$E$3143, ISNUMBER(
Master_Mapping_Sheet!$E$2:$E$3143),
Master_Mapping_Sheet!$H$2:$H$3143=B$1)))"),0.020495738065736156)</f>
        <v>0.02049573807</v>
      </c>
      <c r="C4" s="34">
        <f>IFERROR(__xludf.DUMMYFUNCTION("IF(ISNA(sum(filter(
Master_Mapping_Sheet!$E$2:$E$3143, ISNUMBER(
Master_Mapping_Sheet!$E$2:$E$3143),
Master_Mapping_Sheet!$H$2:$H$3143=C$1,
Master_Mapping_Sheet!$L$2:$L$3143=$A4))/sum(filter(
Master_Mapping_Sheet!$E$2:$E$3143, ISNUMBER(
Master_Mapping_She"&amp;"et!$E$2:$E$3143),
Master_Mapping_Sheet!$H$2:$H$3143=C$1))), 0, sum(filter(
Master_Mapping_Sheet!$E$2:$E$3143, ISNUMBER(
Master_Mapping_Sheet!$E$2:$E$3143),
Master_Mapping_Sheet!$H$2:$H$3143=C$1,
Master_Mapping_Sheet!$L$2:$L$3143=$A4))/sum(filter(
Master_M"&amp;"apping_Sheet!$E$2:$E$3143, ISNUMBER(
Master_Mapping_Sheet!$E$2:$E$3143),
Master_Mapping_Sheet!$H$2:$H$3143=C$1)))"),0.0)</f>
        <v>0</v>
      </c>
      <c r="D4" s="34">
        <f>IFERROR(__xludf.DUMMYFUNCTION("IF(ISNA(sum(filter(
Master_Mapping_Sheet!$E$2:$E$3143, ISNUMBER(
Master_Mapping_Sheet!$E$2:$E$3143),
Master_Mapping_Sheet!$H$2:$H$3143=D$1,
Master_Mapping_Sheet!$L$2:$L$3143=$A4))/sum(filter(
Master_Mapping_Sheet!$E$2:$E$3143, ISNUMBER(
Master_Mapping_She"&amp;"et!$E$2:$E$3143),
Master_Mapping_Sheet!$H$2:$H$3143=D$1))), 0, sum(filter(
Master_Mapping_Sheet!$E$2:$E$3143, ISNUMBER(
Master_Mapping_Sheet!$E$2:$E$3143),
Master_Mapping_Sheet!$H$2:$H$3143=D$1,
Master_Mapping_Sheet!$L$2:$L$3143=$A4))/sum(filter(
Master_M"&amp;"apping_Sheet!$E$2:$E$3143, ISNUMBER(
Master_Mapping_Sheet!$E$2:$E$3143),
Master_Mapping_Sheet!$H$2:$H$3143=D$1)))"),0.0)</f>
        <v>0</v>
      </c>
      <c r="E4" s="34">
        <f>IFERROR(__xludf.DUMMYFUNCTION("IF(ISNA(sum(filter(
Master_Mapping_Sheet!$E$2:$E$3143, ISNUMBER(
Master_Mapping_Sheet!$E$2:$E$3143),
Master_Mapping_Sheet!$H$2:$H$3143=E$1,
Master_Mapping_Sheet!$L$2:$L$3143=$A4))/sum(filter(
Master_Mapping_Sheet!$E$2:$E$3143, ISNUMBER(
Master_Mapping_She"&amp;"et!$E$2:$E$3143),
Master_Mapping_Sheet!$H$2:$H$3143=E$1))), 0, sum(filter(
Master_Mapping_Sheet!$E$2:$E$3143, ISNUMBER(
Master_Mapping_Sheet!$E$2:$E$3143),
Master_Mapping_Sheet!$H$2:$H$3143=E$1,
Master_Mapping_Sheet!$L$2:$L$3143=$A4))/sum(filter(
Master_M"&amp;"apping_Sheet!$E$2:$E$3143, ISNUMBER(
Master_Mapping_Sheet!$E$2:$E$3143),
Master_Mapping_Sheet!$H$2:$H$3143=E$1)))"),0.0)</f>
        <v>0</v>
      </c>
      <c r="F4" s="34">
        <f>IFERROR(__xludf.DUMMYFUNCTION("IF(ISNA(sum(filter(
Master_Mapping_Sheet!$E$2:$E$3143, ISNUMBER(
Master_Mapping_Sheet!$E$2:$E$3143),
Master_Mapping_Sheet!$H$2:$H$3143=F$1,
Master_Mapping_Sheet!$L$2:$L$3143=$A4))/sum(filter(
Master_Mapping_Sheet!$E$2:$E$3143, ISNUMBER(
Master_Mapping_She"&amp;"et!$E$2:$E$3143),
Master_Mapping_Sheet!$H$2:$H$3143=F$1))), 0, sum(filter(
Master_Mapping_Sheet!$E$2:$E$3143, ISNUMBER(
Master_Mapping_Sheet!$E$2:$E$3143),
Master_Mapping_Sheet!$H$2:$H$3143=F$1,
Master_Mapping_Sheet!$L$2:$L$3143=$A4))/sum(filter(
Master_M"&amp;"apping_Sheet!$E$2:$E$3143, ISNUMBER(
Master_Mapping_Sheet!$E$2:$E$3143),
Master_Mapping_Sheet!$H$2:$H$3143=F$1)))"),0.0)</f>
        <v>0</v>
      </c>
      <c r="G4" s="34">
        <f>IFERROR(__xludf.DUMMYFUNCTION("IF(ISNA(sum(filter(
Master_Mapping_Sheet!$E$2:$E$3143, ISNUMBER(
Master_Mapping_Sheet!$E$2:$E$3143),
Master_Mapping_Sheet!$H$2:$H$3143=G$1,
Master_Mapping_Sheet!$L$2:$L$3143=$A4))/sum(filter(
Master_Mapping_Sheet!$E$2:$E$3143, ISNUMBER(
Master_Mapping_She"&amp;"et!$E$2:$E$3143),
Master_Mapping_Sheet!$H$2:$H$3143=G$1))), 0, sum(filter(
Master_Mapping_Sheet!$E$2:$E$3143, ISNUMBER(
Master_Mapping_Sheet!$E$2:$E$3143),
Master_Mapping_Sheet!$H$2:$H$3143=G$1,
Master_Mapping_Sheet!$L$2:$L$3143=$A4))/sum(filter(
Master_M"&amp;"apping_Sheet!$E$2:$E$3143, ISNUMBER(
Master_Mapping_Sheet!$E$2:$E$3143),
Master_Mapping_Sheet!$H$2:$H$3143=G$1)))"),0.0)</f>
        <v>0</v>
      </c>
      <c r="H4" s="34">
        <f>IFERROR(__xludf.DUMMYFUNCTION("IF(ISNA(sum(filter(
Master_Mapping_Sheet!$E$2:$E$3143, ISNUMBER(
Master_Mapping_Sheet!$E$2:$E$3143),
Master_Mapping_Sheet!$H$2:$H$3143=H$1,
Master_Mapping_Sheet!$L$2:$L$3143=$A4))/sum(filter(
Master_Mapping_Sheet!$E$2:$E$3143, ISNUMBER(
Master_Mapping_She"&amp;"et!$E$2:$E$3143),
Master_Mapping_Sheet!$H$2:$H$3143=H$1))), 0, sum(filter(
Master_Mapping_Sheet!$E$2:$E$3143, ISNUMBER(
Master_Mapping_Sheet!$E$2:$E$3143),
Master_Mapping_Sheet!$H$2:$H$3143=H$1,
Master_Mapping_Sheet!$L$2:$L$3143=$A4))/sum(filter(
Master_M"&amp;"apping_Sheet!$E$2:$E$3143, ISNUMBER(
Master_Mapping_Sheet!$E$2:$E$3143),
Master_Mapping_Sheet!$H$2:$H$3143=H$1)))"),0.0)</f>
        <v>0</v>
      </c>
      <c r="I4" s="34">
        <f>IFERROR(__xludf.DUMMYFUNCTION("IF(ISNA(sum(filter(
Master_Mapping_Sheet!$E$2:$E$3143, ISNUMBER(
Master_Mapping_Sheet!$E$2:$E$3143),
Master_Mapping_Sheet!$H$2:$H$3143=I$1,
Master_Mapping_Sheet!$L$2:$L$3143=$A4))/sum(filter(
Master_Mapping_Sheet!$E$2:$E$3143, ISNUMBER(
Master_Mapping_She"&amp;"et!$E$2:$E$3143),
Master_Mapping_Sheet!$H$2:$H$3143=I$1))), 0, sum(filter(
Master_Mapping_Sheet!$E$2:$E$3143, ISNUMBER(
Master_Mapping_Sheet!$E$2:$E$3143),
Master_Mapping_Sheet!$H$2:$H$3143=I$1,
Master_Mapping_Sheet!$L$2:$L$3143=$A4))/sum(filter(
Master_M"&amp;"apping_Sheet!$E$2:$E$3143, ISNUMBER(
Master_Mapping_Sheet!$E$2:$E$3143),
Master_Mapping_Sheet!$H$2:$H$3143=I$1)))"),0.0)</f>
        <v>0</v>
      </c>
      <c r="J4" s="34">
        <f>IFERROR(__xludf.DUMMYFUNCTION("IF(ISNA(sum(filter(
Master_Mapping_Sheet!$E$2:$E$3143, ISNUMBER(
Master_Mapping_Sheet!$E$2:$E$3143),
Master_Mapping_Sheet!$H$2:$H$3143=J$1,
Master_Mapping_Sheet!$L$2:$L$3143=$A4))/sum(filter(
Master_Mapping_Sheet!$E$2:$E$3143, ISNUMBER(
Master_Mapping_She"&amp;"et!$E$2:$E$3143),
Master_Mapping_Sheet!$H$2:$H$3143=J$1))), 0, sum(filter(
Master_Mapping_Sheet!$E$2:$E$3143, ISNUMBER(
Master_Mapping_Sheet!$E$2:$E$3143),
Master_Mapping_Sheet!$H$2:$H$3143=J$1,
Master_Mapping_Sheet!$L$2:$L$3143=$A4))/sum(filter(
Master_M"&amp;"apping_Sheet!$E$2:$E$3143, ISNUMBER(
Master_Mapping_Sheet!$E$2:$E$3143),
Master_Mapping_Sheet!$H$2:$H$3143=J$1)))"),0.0)</f>
        <v>0</v>
      </c>
      <c r="K4" s="34">
        <f>IFERROR(__xludf.DUMMYFUNCTION("IF(ISNA(sum(filter(
Master_Mapping_Sheet!$E$2:$E$3143, ISNUMBER(
Master_Mapping_Sheet!$E$2:$E$3143),
Master_Mapping_Sheet!$H$2:$H$3143=K$1,
Master_Mapping_Sheet!$L$2:$L$3143=$A4))/sum(filter(
Master_Mapping_Sheet!$E$2:$E$3143, ISNUMBER(
Master_Mapping_She"&amp;"et!$E$2:$E$3143),
Master_Mapping_Sheet!$H$2:$H$3143=K$1))), 0, sum(filter(
Master_Mapping_Sheet!$E$2:$E$3143, ISNUMBER(
Master_Mapping_Sheet!$E$2:$E$3143),
Master_Mapping_Sheet!$H$2:$H$3143=K$1,
Master_Mapping_Sheet!$L$2:$L$3143=$A4))/sum(filter(
Master_M"&amp;"apping_Sheet!$E$2:$E$3143, ISNUMBER(
Master_Mapping_Sheet!$E$2:$E$3143),
Master_Mapping_Sheet!$H$2:$H$3143=K$1)))"),0.0)</f>
        <v>0</v>
      </c>
      <c r="L4" s="34">
        <f>IFERROR(__xludf.DUMMYFUNCTION("IF(ISNA(sum(filter(
Master_Mapping_Sheet!$E$2:$E$3143, ISNUMBER(
Master_Mapping_Sheet!$E$2:$E$3143),
Master_Mapping_Sheet!$H$2:$H$3143=L$1,
Master_Mapping_Sheet!$L$2:$L$3143=$A4))/sum(filter(
Master_Mapping_Sheet!$E$2:$E$3143, ISNUMBER(
Master_Mapping_She"&amp;"et!$E$2:$E$3143),
Master_Mapping_Sheet!$H$2:$H$3143=L$1))), 0, sum(filter(
Master_Mapping_Sheet!$E$2:$E$3143, ISNUMBER(
Master_Mapping_Sheet!$E$2:$E$3143),
Master_Mapping_Sheet!$H$2:$H$3143=L$1,
Master_Mapping_Sheet!$L$2:$L$3143=$A4))/sum(filter(
Master_M"&amp;"apping_Sheet!$E$2:$E$3143, ISNUMBER(
Master_Mapping_Sheet!$E$2:$E$3143),
Master_Mapping_Sheet!$H$2:$H$3143=L$1)))"),0.0)</f>
        <v>0</v>
      </c>
      <c r="M4" s="34">
        <f>IFERROR(__xludf.DUMMYFUNCTION("IF(ISNA(sum(filter(
Master_Mapping_Sheet!$E$2:$E$3143, ISNUMBER(
Master_Mapping_Sheet!$E$2:$E$3143),
Master_Mapping_Sheet!$H$2:$H$3143=M$1,
Master_Mapping_Sheet!$L$2:$L$3143=$A4))/sum(filter(
Master_Mapping_Sheet!$E$2:$E$3143, ISNUMBER(
Master_Mapping_She"&amp;"et!$E$2:$E$3143),
Master_Mapping_Sheet!$H$2:$H$3143=M$1))), 0, sum(filter(
Master_Mapping_Sheet!$E$2:$E$3143, ISNUMBER(
Master_Mapping_Sheet!$E$2:$E$3143),
Master_Mapping_Sheet!$H$2:$H$3143=M$1,
Master_Mapping_Sheet!$L$2:$L$3143=$A4))/sum(filter(
Master_M"&amp;"apping_Sheet!$E$2:$E$3143, ISNUMBER(
Master_Mapping_Sheet!$E$2:$E$3143),
Master_Mapping_Sheet!$H$2:$H$3143=M$1)))"),0.0)</f>
        <v>0</v>
      </c>
      <c r="N4" s="34">
        <f>IFERROR(__xludf.DUMMYFUNCTION("IF(ISNA(sum(filter(
Master_Mapping_Sheet!$E$2:$E$3143, ISNUMBER(
Master_Mapping_Sheet!$E$2:$E$3143),
Master_Mapping_Sheet!$H$2:$H$3143=N$1,
Master_Mapping_Sheet!$L$2:$L$3143=$A4))/sum(filter(
Master_Mapping_Sheet!$E$2:$E$3143, ISNUMBER(
Master_Mapping_She"&amp;"et!$E$2:$E$3143),
Master_Mapping_Sheet!$H$2:$H$3143=N$1))), 0, sum(filter(
Master_Mapping_Sheet!$E$2:$E$3143, ISNUMBER(
Master_Mapping_Sheet!$E$2:$E$3143),
Master_Mapping_Sheet!$H$2:$H$3143=N$1,
Master_Mapping_Sheet!$L$2:$L$3143=$A4))/sum(filter(
Master_M"&amp;"apping_Sheet!$E$2:$E$3143, ISNUMBER(
Master_Mapping_Sheet!$E$2:$E$3143),
Master_Mapping_Sheet!$H$2:$H$3143=N$1)))"),0.0)</f>
        <v>0</v>
      </c>
      <c r="O4" s="34">
        <f>IFERROR(__xludf.DUMMYFUNCTION("IF(ISNA(sum(filter(
Master_Mapping_Sheet!$E$2:$E$3143, ISNUMBER(
Master_Mapping_Sheet!$E$2:$E$3143),
Master_Mapping_Sheet!$H$2:$H$3143=O$1,
Master_Mapping_Sheet!$L$2:$L$3143=$A4))/sum(filter(
Master_Mapping_Sheet!$E$2:$E$3143, ISNUMBER(
Master_Mapping_She"&amp;"et!$E$2:$E$3143),
Master_Mapping_Sheet!$H$2:$H$3143=O$1))), 0, sum(filter(
Master_Mapping_Sheet!$E$2:$E$3143, ISNUMBER(
Master_Mapping_Sheet!$E$2:$E$3143),
Master_Mapping_Sheet!$H$2:$H$3143=O$1,
Master_Mapping_Sheet!$L$2:$L$3143=$A4))/sum(filter(
Master_M"&amp;"apping_Sheet!$E$2:$E$3143, ISNUMBER(
Master_Mapping_Sheet!$E$2:$E$3143),
Master_Mapping_Sheet!$H$2:$H$3143=O$1)))"),0.0)</f>
        <v>0</v>
      </c>
      <c r="P4" s="34">
        <f>IFERROR(__xludf.DUMMYFUNCTION("IF(ISNA(sum(filter(
Master_Mapping_Sheet!$E$2:$E$3143, ISNUMBER(
Master_Mapping_Sheet!$E$2:$E$3143),
Master_Mapping_Sheet!$H$2:$H$3143=P$1,
Master_Mapping_Sheet!$L$2:$L$3143=$A4))/sum(filter(
Master_Mapping_Sheet!$E$2:$E$3143, ISNUMBER(
Master_Mapping_She"&amp;"et!$E$2:$E$3143),
Master_Mapping_Sheet!$H$2:$H$3143=P$1))), 0, sum(filter(
Master_Mapping_Sheet!$E$2:$E$3143, ISNUMBER(
Master_Mapping_Sheet!$E$2:$E$3143),
Master_Mapping_Sheet!$H$2:$H$3143=P$1,
Master_Mapping_Sheet!$L$2:$L$3143=$A4))/sum(filter(
Master_M"&amp;"apping_Sheet!$E$2:$E$3143, ISNUMBER(
Master_Mapping_Sheet!$E$2:$E$3143),
Master_Mapping_Sheet!$H$2:$H$3143=P$1)))"),0.0)</f>
        <v>0</v>
      </c>
      <c r="Q4" s="34">
        <f>IFERROR(__xludf.DUMMYFUNCTION("IF(ISNA(sum(filter(
Master_Mapping_Sheet!$E$2:$E$3143, ISNUMBER(
Master_Mapping_Sheet!$E$2:$E$3143),
Master_Mapping_Sheet!$H$2:$H$3143=Q$1,
Master_Mapping_Sheet!$L$2:$L$3143=$A4))/sum(filter(
Master_Mapping_Sheet!$E$2:$E$3143, ISNUMBER(
Master_Mapping_She"&amp;"et!$E$2:$E$3143),
Master_Mapping_Sheet!$H$2:$H$3143=Q$1))), 0, sum(filter(
Master_Mapping_Sheet!$E$2:$E$3143, ISNUMBER(
Master_Mapping_Sheet!$E$2:$E$3143),
Master_Mapping_Sheet!$H$2:$H$3143=Q$1,
Master_Mapping_Sheet!$L$2:$L$3143=$A4))/sum(filter(
Master_M"&amp;"apping_Sheet!$E$2:$E$3143, ISNUMBER(
Master_Mapping_Sheet!$E$2:$E$3143),
Master_Mapping_Sheet!$H$2:$H$3143=Q$1)))"),0.0)</f>
        <v>0</v>
      </c>
      <c r="R4" s="34">
        <f>IFERROR(__xludf.DUMMYFUNCTION("IF(ISNA(sum(filter(
Master_Mapping_Sheet!$E$2:$E$3143, ISNUMBER(
Master_Mapping_Sheet!$E$2:$E$3143),
Master_Mapping_Sheet!$H$2:$H$3143=R$1,
Master_Mapping_Sheet!$L$2:$L$3143=$A4))/sum(filter(
Master_Mapping_Sheet!$E$2:$E$3143, ISNUMBER(
Master_Mapping_She"&amp;"et!$E$2:$E$3143),
Master_Mapping_Sheet!$H$2:$H$3143=R$1))), 0, sum(filter(
Master_Mapping_Sheet!$E$2:$E$3143, ISNUMBER(
Master_Mapping_Sheet!$E$2:$E$3143),
Master_Mapping_Sheet!$H$2:$H$3143=R$1,
Master_Mapping_Sheet!$L$2:$L$3143=$A4))/sum(filter(
Master_M"&amp;"apping_Sheet!$E$2:$E$3143, ISNUMBER(
Master_Mapping_Sheet!$E$2:$E$3143),
Master_Mapping_Sheet!$H$2:$H$3143=R$1)))"),0.0)</f>
        <v>0</v>
      </c>
      <c r="S4" s="34">
        <f>IFERROR(__xludf.DUMMYFUNCTION("IF(ISNA(sum(filter(
Master_Mapping_Sheet!$E$2:$E$3143, ISNUMBER(
Master_Mapping_Sheet!$E$2:$E$3143),
Master_Mapping_Sheet!$H$2:$H$3143=S$1,
Master_Mapping_Sheet!$L$2:$L$3143=$A4))/sum(filter(
Master_Mapping_Sheet!$E$2:$E$3143, ISNUMBER(
Master_Mapping_She"&amp;"et!$E$2:$E$3143),
Master_Mapping_Sheet!$H$2:$H$3143=S$1))), 0, sum(filter(
Master_Mapping_Sheet!$E$2:$E$3143, ISNUMBER(
Master_Mapping_Sheet!$E$2:$E$3143),
Master_Mapping_Sheet!$H$2:$H$3143=S$1,
Master_Mapping_Sheet!$L$2:$L$3143=$A4))/sum(filter(
Master_M"&amp;"apping_Sheet!$E$2:$E$3143, ISNUMBER(
Master_Mapping_Sheet!$E$2:$E$3143),
Master_Mapping_Sheet!$H$2:$H$3143=S$1)))"),0.0)</f>
        <v>0</v>
      </c>
      <c r="T4" s="34">
        <f>IFERROR(__xludf.DUMMYFUNCTION("IF(ISNA(sum(filter(
Master_Mapping_Sheet!$E$2:$E$3143, ISNUMBER(
Master_Mapping_Sheet!$E$2:$E$3143),
Master_Mapping_Sheet!$H$2:$H$3143=T$1,
Master_Mapping_Sheet!$L$2:$L$3143=$A4))/sum(filter(
Master_Mapping_Sheet!$E$2:$E$3143, ISNUMBER(
Master_Mapping_She"&amp;"et!$E$2:$E$3143),
Master_Mapping_Sheet!$H$2:$H$3143=T$1))), 0, sum(filter(
Master_Mapping_Sheet!$E$2:$E$3143, ISNUMBER(
Master_Mapping_Sheet!$E$2:$E$3143),
Master_Mapping_Sheet!$H$2:$H$3143=T$1,
Master_Mapping_Sheet!$L$2:$L$3143=$A4))/sum(filter(
Master_M"&amp;"apping_Sheet!$E$2:$E$3143, ISNUMBER(
Master_Mapping_Sheet!$E$2:$E$3143),
Master_Mapping_Sheet!$H$2:$H$3143=T$1)))"),0.0)</f>
        <v>0</v>
      </c>
      <c r="U4" s="34">
        <f>IFERROR(__xludf.DUMMYFUNCTION("IF(ISNA(sum(filter(
Master_Mapping_Sheet!$E$2:$E$3143, ISNUMBER(
Master_Mapping_Sheet!$E$2:$E$3143),
Master_Mapping_Sheet!$H$2:$H$3143=U$1,
Master_Mapping_Sheet!$L$2:$L$3143=$A4))/sum(filter(
Master_Mapping_Sheet!$E$2:$E$3143, ISNUMBER(
Master_Mapping_She"&amp;"et!$E$2:$E$3143),
Master_Mapping_Sheet!$H$2:$H$3143=U$1))), 0, sum(filter(
Master_Mapping_Sheet!$E$2:$E$3143, ISNUMBER(
Master_Mapping_Sheet!$E$2:$E$3143),
Master_Mapping_Sheet!$H$2:$H$3143=U$1,
Master_Mapping_Sheet!$L$2:$L$3143=$A4))/sum(filter(
Master_M"&amp;"apping_Sheet!$E$2:$E$3143, ISNUMBER(
Master_Mapping_Sheet!$E$2:$E$3143),
Master_Mapping_Sheet!$H$2:$H$3143=U$1)))"),0.640959924255695)</f>
        <v>0.6409599243</v>
      </c>
      <c r="V4" s="34">
        <f>IFERROR(__xludf.DUMMYFUNCTION("IF(ISNA(sum(filter(
Master_Mapping_Sheet!$E$2:$E$3143, ISNUMBER(
Master_Mapping_Sheet!$E$2:$E$3143),
Master_Mapping_Sheet!$H$2:$H$3143=V$1,
Master_Mapping_Sheet!$L$2:$L$3143=$A4))/sum(filter(
Master_Mapping_Sheet!$E$2:$E$3143, ISNUMBER(
Master_Mapping_She"&amp;"et!$E$2:$E$3143),
Master_Mapping_Sheet!$H$2:$H$3143=V$1))), 0, sum(filter(
Master_Mapping_Sheet!$E$2:$E$3143, ISNUMBER(
Master_Mapping_Sheet!$E$2:$E$3143),
Master_Mapping_Sheet!$H$2:$H$3143=V$1,
Master_Mapping_Sheet!$L$2:$L$3143=$A4))/sum(filter(
Master_M"&amp;"apping_Sheet!$E$2:$E$3143, ISNUMBER(
Master_Mapping_Sheet!$E$2:$E$3143),
Master_Mapping_Sheet!$H$2:$H$3143=V$1)))"),0.0)</f>
        <v>0</v>
      </c>
      <c r="W4" s="34">
        <f>IFERROR(__xludf.DUMMYFUNCTION("IF(ISNA(sum(filter(
Master_Mapping_Sheet!$E$2:$E$3143, ISNUMBER(
Master_Mapping_Sheet!$E$2:$E$3143),
Master_Mapping_Sheet!$H$2:$H$3143=W$1,
Master_Mapping_Sheet!$L$2:$L$3143=$A4))/sum(filter(
Master_Mapping_Sheet!$E$2:$E$3143, ISNUMBER(
Master_Mapping_She"&amp;"et!$E$2:$E$3143),
Master_Mapping_Sheet!$H$2:$H$3143=W$1))), 0, sum(filter(
Master_Mapping_Sheet!$E$2:$E$3143, ISNUMBER(
Master_Mapping_Sheet!$E$2:$E$3143),
Master_Mapping_Sheet!$H$2:$H$3143=W$1,
Master_Mapping_Sheet!$L$2:$L$3143=$A4))/sum(filter(
Master_M"&amp;"apping_Sheet!$E$2:$E$3143, ISNUMBER(
Master_Mapping_Sheet!$E$2:$E$3143),
Master_Mapping_Sheet!$H$2:$H$3143=W$1)))"),0.0)</f>
        <v>0</v>
      </c>
      <c r="X4" s="34">
        <f>IFERROR(__xludf.DUMMYFUNCTION("IF(ISNA(sum(filter(
Master_Mapping_Sheet!$E$2:$E$3143, ISNUMBER(
Master_Mapping_Sheet!$E$2:$E$3143),
Master_Mapping_Sheet!$H$2:$H$3143=X$1,
Master_Mapping_Sheet!$L$2:$L$3143=$A4))/sum(filter(
Master_Mapping_Sheet!$E$2:$E$3143, ISNUMBER(
Master_Mapping_She"&amp;"et!$E$2:$E$3143),
Master_Mapping_Sheet!$H$2:$H$3143=X$1))), 0, sum(filter(
Master_Mapping_Sheet!$E$2:$E$3143, ISNUMBER(
Master_Mapping_Sheet!$E$2:$E$3143),
Master_Mapping_Sheet!$H$2:$H$3143=X$1,
Master_Mapping_Sheet!$L$2:$L$3143=$A4))/sum(filter(
Master_M"&amp;"apping_Sheet!$E$2:$E$3143, ISNUMBER(
Master_Mapping_Sheet!$E$2:$E$3143),
Master_Mapping_Sheet!$H$2:$H$3143=X$1)))"),0.0)</f>
        <v>0</v>
      </c>
      <c r="Y4" s="34">
        <f>IFERROR(__xludf.DUMMYFUNCTION("IF(ISNA(sum(filter(
Master_Mapping_Sheet!$E$2:$E$3143, ISNUMBER(
Master_Mapping_Sheet!$E$2:$E$3143),
Master_Mapping_Sheet!$H$2:$H$3143=Y$1,
Master_Mapping_Sheet!$L$2:$L$3143=$A4))/sum(filter(
Master_Mapping_Sheet!$E$2:$E$3143, ISNUMBER(
Master_Mapping_She"&amp;"et!$E$2:$E$3143),
Master_Mapping_Sheet!$H$2:$H$3143=Y$1))), 0, sum(filter(
Master_Mapping_Sheet!$E$2:$E$3143, ISNUMBER(
Master_Mapping_Sheet!$E$2:$E$3143),
Master_Mapping_Sheet!$H$2:$H$3143=Y$1,
Master_Mapping_Sheet!$L$2:$L$3143=$A4))/sum(filter(
Master_M"&amp;"apping_Sheet!$E$2:$E$3143, ISNUMBER(
Master_Mapping_Sheet!$E$2:$E$3143),
Master_Mapping_Sheet!$H$2:$H$3143=Y$1)))"),0.0)</f>
        <v>0</v>
      </c>
      <c r="Z4" s="34">
        <f>IFERROR(__xludf.DUMMYFUNCTION("IF(ISNA(sum(filter(
Master_Mapping_Sheet!$E$2:$E$3143, ISNUMBER(
Master_Mapping_Sheet!$E$2:$E$3143),
Master_Mapping_Sheet!$H$2:$H$3143=Z$1,
Master_Mapping_Sheet!$L$2:$L$3143=$A4))/sum(filter(
Master_Mapping_Sheet!$E$2:$E$3143, ISNUMBER(
Master_Mapping_She"&amp;"et!$E$2:$E$3143),
Master_Mapping_Sheet!$H$2:$H$3143=Z$1))), 0, sum(filter(
Master_Mapping_Sheet!$E$2:$E$3143, ISNUMBER(
Master_Mapping_Sheet!$E$2:$E$3143),
Master_Mapping_Sheet!$H$2:$H$3143=Z$1,
Master_Mapping_Sheet!$L$2:$L$3143=$A4))/sum(filter(
Master_M"&amp;"apping_Sheet!$E$2:$E$3143, ISNUMBER(
Master_Mapping_Sheet!$E$2:$E$3143),
Master_Mapping_Sheet!$H$2:$H$3143=Z$1)))"),0.0)</f>
        <v>0</v>
      </c>
    </row>
    <row r="5" ht="15.75" customHeight="1">
      <c r="A5" s="32" t="s">
        <v>102</v>
      </c>
      <c r="B5" s="34">
        <f>IFERROR(__xludf.DUMMYFUNCTION("IF(ISNA(sum(filter(
Master_Mapping_Sheet!$E$2:$E$3143, ISNUMBER(
Master_Mapping_Sheet!$E$2:$E$3143),
Master_Mapping_Sheet!$H$2:$H$3143=B$1,
Master_Mapping_Sheet!$L$2:$L$3143=$A5))/sum(filter(
Master_Mapping_Sheet!$E$2:$E$3143, ISNUMBER(
Master_Mapping_She"&amp;"et!$E$2:$E$3143),
Master_Mapping_Sheet!$H$2:$H$3143=B$1))), 0, sum(filter(
Master_Mapping_Sheet!$E$2:$E$3143, ISNUMBER(
Master_Mapping_Sheet!$E$2:$E$3143),
Master_Mapping_Sheet!$H$2:$H$3143=B$1,
Master_Mapping_Sheet!$L$2:$L$3143=$A5))/sum(filter(
Master_M"&amp;"apping_Sheet!$E$2:$E$3143, ISNUMBER(
Master_Mapping_Sheet!$E$2:$E$3143),
Master_Mapping_Sheet!$H$2:$H$3143=B$1)))"),0.36506794765408956)</f>
        <v>0.3650679477</v>
      </c>
      <c r="C5" s="34">
        <f>IFERROR(__xludf.DUMMYFUNCTION("IF(ISNA(sum(filter(
Master_Mapping_Sheet!$E$2:$E$3143, ISNUMBER(
Master_Mapping_Sheet!$E$2:$E$3143),
Master_Mapping_Sheet!$H$2:$H$3143=C$1,
Master_Mapping_Sheet!$L$2:$L$3143=$A5))/sum(filter(
Master_Mapping_Sheet!$E$2:$E$3143, ISNUMBER(
Master_Mapping_She"&amp;"et!$E$2:$E$3143),
Master_Mapping_Sheet!$H$2:$H$3143=C$1))), 0, sum(filter(
Master_Mapping_Sheet!$E$2:$E$3143, ISNUMBER(
Master_Mapping_Sheet!$E$2:$E$3143),
Master_Mapping_Sheet!$H$2:$H$3143=C$1,
Master_Mapping_Sheet!$L$2:$L$3143=$A5))/sum(filter(
Master_M"&amp;"apping_Sheet!$E$2:$E$3143, ISNUMBER(
Master_Mapping_Sheet!$E$2:$E$3143),
Master_Mapping_Sheet!$H$2:$H$3143=C$1)))"),0.0)</f>
        <v>0</v>
      </c>
      <c r="D5" s="34">
        <f>IFERROR(__xludf.DUMMYFUNCTION("IF(ISNA(sum(filter(
Master_Mapping_Sheet!$E$2:$E$3143, ISNUMBER(
Master_Mapping_Sheet!$E$2:$E$3143),
Master_Mapping_Sheet!$H$2:$H$3143=D$1,
Master_Mapping_Sheet!$L$2:$L$3143=$A5))/sum(filter(
Master_Mapping_Sheet!$E$2:$E$3143, ISNUMBER(
Master_Mapping_She"&amp;"et!$E$2:$E$3143),
Master_Mapping_Sheet!$H$2:$H$3143=D$1))), 0, sum(filter(
Master_Mapping_Sheet!$E$2:$E$3143, ISNUMBER(
Master_Mapping_Sheet!$E$2:$E$3143),
Master_Mapping_Sheet!$H$2:$H$3143=D$1,
Master_Mapping_Sheet!$L$2:$L$3143=$A5))/sum(filter(
Master_M"&amp;"apping_Sheet!$E$2:$E$3143, ISNUMBER(
Master_Mapping_Sheet!$E$2:$E$3143),
Master_Mapping_Sheet!$H$2:$H$3143=D$1)))"),0.0)</f>
        <v>0</v>
      </c>
      <c r="E5" s="34">
        <f>IFERROR(__xludf.DUMMYFUNCTION("IF(ISNA(sum(filter(
Master_Mapping_Sheet!$E$2:$E$3143, ISNUMBER(
Master_Mapping_Sheet!$E$2:$E$3143),
Master_Mapping_Sheet!$H$2:$H$3143=E$1,
Master_Mapping_Sheet!$L$2:$L$3143=$A5))/sum(filter(
Master_Mapping_Sheet!$E$2:$E$3143, ISNUMBER(
Master_Mapping_She"&amp;"et!$E$2:$E$3143),
Master_Mapping_Sheet!$H$2:$H$3143=E$1))), 0, sum(filter(
Master_Mapping_Sheet!$E$2:$E$3143, ISNUMBER(
Master_Mapping_Sheet!$E$2:$E$3143),
Master_Mapping_Sheet!$H$2:$H$3143=E$1,
Master_Mapping_Sheet!$L$2:$L$3143=$A5))/sum(filter(
Master_M"&amp;"apping_Sheet!$E$2:$E$3143, ISNUMBER(
Master_Mapping_Sheet!$E$2:$E$3143),
Master_Mapping_Sheet!$H$2:$H$3143=E$1)))"),0.0)</f>
        <v>0</v>
      </c>
      <c r="F5" s="34">
        <f>IFERROR(__xludf.DUMMYFUNCTION("IF(ISNA(sum(filter(
Master_Mapping_Sheet!$E$2:$E$3143, ISNUMBER(
Master_Mapping_Sheet!$E$2:$E$3143),
Master_Mapping_Sheet!$H$2:$H$3143=F$1,
Master_Mapping_Sheet!$L$2:$L$3143=$A5))/sum(filter(
Master_Mapping_Sheet!$E$2:$E$3143, ISNUMBER(
Master_Mapping_She"&amp;"et!$E$2:$E$3143),
Master_Mapping_Sheet!$H$2:$H$3143=F$1))), 0, sum(filter(
Master_Mapping_Sheet!$E$2:$E$3143, ISNUMBER(
Master_Mapping_Sheet!$E$2:$E$3143),
Master_Mapping_Sheet!$H$2:$H$3143=F$1,
Master_Mapping_Sheet!$L$2:$L$3143=$A5))/sum(filter(
Master_M"&amp;"apping_Sheet!$E$2:$E$3143, ISNUMBER(
Master_Mapping_Sheet!$E$2:$E$3143),
Master_Mapping_Sheet!$H$2:$H$3143=F$1)))"),0.0)</f>
        <v>0</v>
      </c>
      <c r="G5" s="34">
        <f>IFERROR(__xludf.DUMMYFUNCTION("IF(ISNA(sum(filter(
Master_Mapping_Sheet!$E$2:$E$3143, ISNUMBER(
Master_Mapping_Sheet!$E$2:$E$3143),
Master_Mapping_Sheet!$H$2:$H$3143=G$1,
Master_Mapping_Sheet!$L$2:$L$3143=$A5))/sum(filter(
Master_Mapping_Sheet!$E$2:$E$3143, ISNUMBER(
Master_Mapping_She"&amp;"et!$E$2:$E$3143),
Master_Mapping_Sheet!$H$2:$H$3143=G$1))), 0, sum(filter(
Master_Mapping_Sheet!$E$2:$E$3143, ISNUMBER(
Master_Mapping_Sheet!$E$2:$E$3143),
Master_Mapping_Sheet!$H$2:$H$3143=G$1,
Master_Mapping_Sheet!$L$2:$L$3143=$A5))/sum(filter(
Master_M"&amp;"apping_Sheet!$E$2:$E$3143, ISNUMBER(
Master_Mapping_Sheet!$E$2:$E$3143),
Master_Mapping_Sheet!$H$2:$H$3143=G$1)))"),0.4092727583684625)</f>
        <v>0.4092727584</v>
      </c>
      <c r="H5" s="34">
        <f>IFERROR(__xludf.DUMMYFUNCTION("IF(ISNA(sum(filter(
Master_Mapping_Sheet!$E$2:$E$3143, ISNUMBER(
Master_Mapping_Sheet!$E$2:$E$3143),
Master_Mapping_Sheet!$H$2:$H$3143=H$1,
Master_Mapping_Sheet!$L$2:$L$3143=$A5))/sum(filter(
Master_Mapping_Sheet!$E$2:$E$3143, ISNUMBER(
Master_Mapping_She"&amp;"et!$E$2:$E$3143),
Master_Mapping_Sheet!$H$2:$H$3143=H$1))), 0, sum(filter(
Master_Mapping_Sheet!$E$2:$E$3143, ISNUMBER(
Master_Mapping_Sheet!$E$2:$E$3143),
Master_Mapping_Sheet!$H$2:$H$3143=H$1,
Master_Mapping_Sheet!$L$2:$L$3143=$A5))/sum(filter(
Master_M"&amp;"apping_Sheet!$E$2:$E$3143, ISNUMBER(
Master_Mapping_Sheet!$E$2:$E$3143),
Master_Mapping_Sheet!$H$2:$H$3143=H$1)))"),0.0)</f>
        <v>0</v>
      </c>
      <c r="I5" s="34">
        <f>IFERROR(__xludf.DUMMYFUNCTION("IF(ISNA(sum(filter(
Master_Mapping_Sheet!$E$2:$E$3143, ISNUMBER(
Master_Mapping_Sheet!$E$2:$E$3143),
Master_Mapping_Sheet!$H$2:$H$3143=I$1,
Master_Mapping_Sheet!$L$2:$L$3143=$A5))/sum(filter(
Master_Mapping_Sheet!$E$2:$E$3143, ISNUMBER(
Master_Mapping_She"&amp;"et!$E$2:$E$3143),
Master_Mapping_Sheet!$H$2:$H$3143=I$1))), 0, sum(filter(
Master_Mapping_Sheet!$E$2:$E$3143, ISNUMBER(
Master_Mapping_Sheet!$E$2:$E$3143),
Master_Mapping_Sheet!$H$2:$H$3143=I$1,
Master_Mapping_Sheet!$L$2:$L$3143=$A5))/sum(filter(
Master_M"&amp;"apping_Sheet!$E$2:$E$3143, ISNUMBER(
Master_Mapping_Sheet!$E$2:$E$3143),
Master_Mapping_Sheet!$H$2:$H$3143=I$1)))"),0.0)</f>
        <v>0</v>
      </c>
      <c r="J5" s="34">
        <f>IFERROR(__xludf.DUMMYFUNCTION("IF(ISNA(sum(filter(
Master_Mapping_Sheet!$E$2:$E$3143, ISNUMBER(
Master_Mapping_Sheet!$E$2:$E$3143),
Master_Mapping_Sheet!$H$2:$H$3143=J$1,
Master_Mapping_Sheet!$L$2:$L$3143=$A5))/sum(filter(
Master_Mapping_Sheet!$E$2:$E$3143, ISNUMBER(
Master_Mapping_She"&amp;"et!$E$2:$E$3143),
Master_Mapping_Sheet!$H$2:$H$3143=J$1))), 0, sum(filter(
Master_Mapping_Sheet!$E$2:$E$3143, ISNUMBER(
Master_Mapping_Sheet!$E$2:$E$3143),
Master_Mapping_Sheet!$H$2:$H$3143=J$1,
Master_Mapping_Sheet!$L$2:$L$3143=$A5))/sum(filter(
Master_M"&amp;"apping_Sheet!$E$2:$E$3143, ISNUMBER(
Master_Mapping_Sheet!$E$2:$E$3143),
Master_Mapping_Sheet!$H$2:$H$3143=J$1)))"),0.0)</f>
        <v>0</v>
      </c>
      <c r="K5" s="34">
        <f>IFERROR(__xludf.DUMMYFUNCTION("IF(ISNA(sum(filter(
Master_Mapping_Sheet!$E$2:$E$3143, ISNUMBER(
Master_Mapping_Sheet!$E$2:$E$3143),
Master_Mapping_Sheet!$H$2:$H$3143=K$1,
Master_Mapping_Sheet!$L$2:$L$3143=$A5))/sum(filter(
Master_Mapping_Sheet!$E$2:$E$3143, ISNUMBER(
Master_Mapping_She"&amp;"et!$E$2:$E$3143),
Master_Mapping_Sheet!$H$2:$H$3143=K$1))), 0, sum(filter(
Master_Mapping_Sheet!$E$2:$E$3143, ISNUMBER(
Master_Mapping_Sheet!$E$2:$E$3143),
Master_Mapping_Sheet!$H$2:$H$3143=K$1,
Master_Mapping_Sheet!$L$2:$L$3143=$A5))/sum(filter(
Master_M"&amp;"apping_Sheet!$E$2:$E$3143, ISNUMBER(
Master_Mapping_Sheet!$E$2:$E$3143),
Master_Mapping_Sheet!$H$2:$H$3143=K$1)))"),0.0)</f>
        <v>0</v>
      </c>
      <c r="L5" s="34">
        <f>IFERROR(__xludf.DUMMYFUNCTION("IF(ISNA(sum(filter(
Master_Mapping_Sheet!$E$2:$E$3143, ISNUMBER(
Master_Mapping_Sheet!$E$2:$E$3143),
Master_Mapping_Sheet!$H$2:$H$3143=L$1,
Master_Mapping_Sheet!$L$2:$L$3143=$A5))/sum(filter(
Master_Mapping_Sheet!$E$2:$E$3143, ISNUMBER(
Master_Mapping_She"&amp;"et!$E$2:$E$3143),
Master_Mapping_Sheet!$H$2:$H$3143=L$1))), 0, sum(filter(
Master_Mapping_Sheet!$E$2:$E$3143, ISNUMBER(
Master_Mapping_Sheet!$E$2:$E$3143),
Master_Mapping_Sheet!$H$2:$H$3143=L$1,
Master_Mapping_Sheet!$L$2:$L$3143=$A5))/sum(filter(
Master_M"&amp;"apping_Sheet!$E$2:$E$3143, ISNUMBER(
Master_Mapping_Sheet!$E$2:$E$3143),
Master_Mapping_Sheet!$H$2:$H$3143=L$1)))"),0.0)</f>
        <v>0</v>
      </c>
      <c r="M5" s="34">
        <f>IFERROR(__xludf.DUMMYFUNCTION("IF(ISNA(sum(filter(
Master_Mapping_Sheet!$E$2:$E$3143, ISNUMBER(
Master_Mapping_Sheet!$E$2:$E$3143),
Master_Mapping_Sheet!$H$2:$H$3143=M$1,
Master_Mapping_Sheet!$L$2:$L$3143=$A5))/sum(filter(
Master_Mapping_Sheet!$E$2:$E$3143, ISNUMBER(
Master_Mapping_She"&amp;"et!$E$2:$E$3143),
Master_Mapping_Sheet!$H$2:$H$3143=M$1))), 0, sum(filter(
Master_Mapping_Sheet!$E$2:$E$3143, ISNUMBER(
Master_Mapping_Sheet!$E$2:$E$3143),
Master_Mapping_Sheet!$H$2:$H$3143=M$1,
Master_Mapping_Sheet!$L$2:$L$3143=$A5))/sum(filter(
Master_M"&amp;"apping_Sheet!$E$2:$E$3143, ISNUMBER(
Master_Mapping_Sheet!$E$2:$E$3143),
Master_Mapping_Sheet!$H$2:$H$3143=M$1)))"),0.0)</f>
        <v>0</v>
      </c>
      <c r="N5" s="34">
        <f>IFERROR(__xludf.DUMMYFUNCTION("IF(ISNA(sum(filter(
Master_Mapping_Sheet!$E$2:$E$3143, ISNUMBER(
Master_Mapping_Sheet!$E$2:$E$3143),
Master_Mapping_Sheet!$H$2:$H$3143=N$1,
Master_Mapping_Sheet!$L$2:$L$3143=$A5))/sum(filter(
Master_Mapping_Sheet!$E$2:$E$3143, ISNUMBER(
Master_Mapping_She"&amp;"et!$E$2:$E$3143),
Master_Mapping_Sheet!$H$2:$H$3143=N$1))), 0, sum(filter(
Master_Mapping_Sheet!$E$2:$E$3143, ISNUMBER(
Master_Mapping_Sheet!$E$2:$E$3143),
Master_Mapping_Sheet!$H$2:$H$3143=N$1,
Master_Mapping_Sheet!$L$2:$L$3143=$A5))/sum(filter(
Master_M"&amp;"apping_Sheet!$E$2:$E$3143, ISNUMBER(
Master_Mapping_Sheet!$E$2:$E$3143),
Master_Mapping_Sheet!$H$2:$H$3143=N$1)))"),0.05267801241476261)</f>
        <v>0.05267801241</v>
      </c>
      <c r="O5" s="34">
        <f>IFERROR(__xludf.DUMMYFUNCTION("IF(ISNA(sum(filter(
Master_Mapping_Sheet!$E$2:$E$3143, ISNUMBER(
Master_Mapping_Sheet!$E$2:$E$3143),
Master_Mapping_Sheet!$H$2:$H$3143=O$1,
Master_Mapping_Sheet!$L$2:$L$3143=$A5))/sum(filter(
Master_Mapping_Sheet!$E$2:$E$3143, ISNUMBER(
Master_Mapping_She"&amp;"et!$E$2:$E$3143),
Master_Mapping_Sheet!$H$2:$H$3143=O$1))), 0, sum(filter(
Master_Mapping_Sheet!$E$2:$E$3143, ISNUMBER(
Master_Mapping_Sheet!$E$2:$E$3143),
Master_Mapping_Sheet!$H$2:$H$3143=O$1,
Master_Mapping_Sheet!$L$2:$L$3143=$A5))/sum(filter(
Master_M"&amp;"apping_Sheet!$E$2:$E$3143, ISNUMBER(
Master_Mapping_Sheet!$E$2:$E$3143),
Master_Mapping_Sheet!$H$2:$H$3143=O$1)))"),0.6568510607064728)</f>
        <v>0.6568510607</v>
      </c>
      <c r="P5" s="34">
        <f>IFERROR(__xludf.DUMMYFUNCTION("IF(ISNA(sum(filter(
Master_Mapping_Sheet!$E$2:$E$3143, ISNUMBER(
Master_Mapping_Sheet!$E$2:$E$3143),
Master_Mapping_Sheet!$H$2:$H$3143=P$1,
Master_Mapping_Sheet!$L$2:$L$3143=$A5))/sum(filter(
Master_Mapping_Sheet!$E$2:$E$3143, ISNUMBER(
Master_Mapping_She"&amp;"et!$E$2:$E$3143),
Master_Mapping_Sheet!$H$2:$H$3143=P$1))), 0, sum(filter(
Master_Mapping_Sheet!$E$2:$E$3143, ISNUMBER(
Master_Mapping_Sheet!$E$2:$E$3143),
Master_Mapping_Sheet!$H$2:$H$3143=P$1,
Master_Mapping_Sheet!$L$2:$L$3143=$A5))/sum(filter(
Master_M"&amp;"apping_Sheet!$E$2:$E$3143, ISNUMBER(
Master_Mapping_Sheet!$E$2:$E$3143),
Master_Mapping_Sheet!$H$2:$H$3143=P$1)))"),0.7346981069797456)</f>
        <v>0.734698107</v>
      </c>
      <c r="Q5" s="34">
        <f>IFERROR(__xludf.DUMMYFUNCTION("IF(ISNA(sum(filter(
Master_Mapping_Sheet!$E$2:$E$3143, ISNUMBER(
Master_Mapping_Sheet!$E$2:$E$3143),
Master_Mapping_Sheet!$H$2:$H$3143=Q$1,
Master_Mapping_Sheet!$L$2:$L$3143=$A5))/sum(filter(
Master_Mapping_Sheet!$E$2:$E$3143, ISNUMBER(
Master_Mapping_She"&amp;"et!$E$2:$E$3143),
Master_Mapping_Sheet!$H$2:$H$3143=Q$1))), 0, sum(filter(
Master_Mapping_Sheet!$E$2:$E$3143, ISNUMBER(
Master_Mapping_Sheet!$E$2:$E$3143),
Master_Mapping_Sheet!$H$2:$H$3143=Q$1,
Master_Mapping_Sheet!$L$2:$L$3143=$A5))/sum(filter(
Master_M"&amp;"apping_Sheet!$E$2:$E$3143, ISNUMBER(
Master_Mapping_Sheet!$E$2:$E$3143),
Master_Mapping_Sheet!$H$2:$H$3143=Q$1)))"),0.215568482747383)</f>
        <v>0.2155684827</v>
      </c>
      <c r="R5" s="34">
        <f>IFERROR(__xludf.DUMMYFUNCTION("IF(ISNA(sum(filter(
Master_Mapping_Sheet!$E$2:$E$3143, ISNUMBER(
Master_Mapping_Sheet!$E$2:$E$3143),
Master_Mapping_Sheet!$H$2:$H$3143=R$1,
Master_Mapping_Sheet!$L$2:$L$3143=$A5))/sum(filter(
Master_Mapping_Sheet!$E$2:$E$3143, ISNUMBER(
Master_Mapping_She"&amp;"et!$E$2:$E$3143),
Master_Mapping_Sheet!$H$2:$H$3143=R$1))), 0, sum(filter(
Master_Mapping_Sheet!$E$2:$E$3143, ISNUMBER(
Master_Mapping_Sheet!$E$2:$E$3143),
Master_Mapping_Sheet!$H$2:$H$3143=R$1,
Master_Mapping_Sheet!$L$2:$L$3143=$A5))/sum(filter(
Master_M"&amp;"apping_Sheet!$E$2:$E$3143, ISNUMBER(
Master_Mapping_Sheet!$E$2:$E$3143),
Master_Mapping_Sheet!$H$2:$H$3143=R$1)))"),0.7335492015278224)</f>
        <v>0.7335492015</v>
      </c>
      <c r="S5" s="34">
        <f>IFERROR(__xludf.DUMMYFUNCTION("IF(ISNA(sum(filter(
Master_Mapping_Sheet!$E$2:$E$3143, ISNUMBER(
Master_Mapping_Sheet!$E$2:$E$3143),
Master_Mapping_Sheet!$H$2:$H$3143=S$1,
Master_Mapping_Sheet!$L$2:$L$3143=$A5))/sum(filter(
Master_Mapping_Sheet!$E$2:$E$3143, ISNUMBER(
Master_Mapping_She"&amp;"et!$E$2:$E$3143),
Master_Mapping_Sheet!$H$2:$H$3143=S$1))), 0, sum(filter(
Master_Mapping_Sheet!$E$2:$E$3143, ISNUMBER(
Master_Mapping_Sheet!$E$2:$E$3143),
Master_Mapping_Sheet!$H$2:$H$3143=S$1,
Master_Mapping_Sheet!$L$2:$L$3143=$A5))/sum(filter(
Master_M"&amp;"apping_Sheet!$E$2:$E$3143, ISNUMBER(
Master_Mapping_Sheet!$E$2:$E$3143),
Master_Mapping_Sheet!$H$2:$H$3143=S$1)))"),0.0)</f>
        <v>0</v>
      </c>
      <c r="T5" s="34">
        <f>IFERROR(__xludf.DUMMYFUNCTION("IF(ISNA(sum(filter(
Master_Mapping_Sheet!$E$2:$E$3143, ISNUMBER(
Master_Mapping_Sheet!$E$2:$E$3143),
Master_Mapping_Sheet!$H$2:$H$3143=T$1,
Master_Mapping_Sheet!$L$2:$L$3143=$A5))/sum(filter(
Master_Mapping_Sheet!$E$2:$E$3143, ISNUMBER(
Master_Mapping_She"&amp;"et!$E$2:$E$3143),
Master_Mapping_Sheet!$H$2:$H$3143=T$1))), 0, sum(filter(
Master_Mapping_Sheet!$E$2:$E$3143, ISNUMBER(
Master_Mapping_Sheet!$E$2:$E$3143),
Master_Mapping_Sheet!$H$2:$H$3143=T$1,
Master_Mapping_Sheet!$L$2:$L$3143=$A5))/sum(filter(
Master_M"&amp;"apping_Sheet!$E$2:$E$3143, ISNUMBER(
Master_Mapping_Sheet!$E$2:$E$3143),
Master_Mapping_Sheet!$H$2:$H$3143=T$1)))"),0.0)</f>
        <v>0</v>
      </c>
      <c r="U5" s="34">
        <f>IFERROR(__xludf.DUMMYFUNCTION("IF(ISNA(sum(filter(
Master_Mapping_Sheet!$E$2:$E$3143, ISNUMBER(
Master_Mapping_Sheet!$E$2:$E$3143),
Master_Mapping_Sheet!$H$2:$H$3143=U$1,
Master_Mapping_Sheet!$L$2:$L$3143=$A5))/sum(filter(
Master_Mapping_Sheet!$E$2:$E$3143, ISNUMBER(
Master_Mapping_She"&amp;"et!$E$2:$E$3143),
Master_Mapping_Sheet!$H$2:$H$3143=U$1))), 0, sum(filter(
Master_Mapping_Sheet!$E$2:$E$3143, ISNUMBER(
Master_Mapping_Sheet!$E$2:$E$3143),
Master_Mapping_Sheet!$H$2:$H$3143=U$1,
Master_Mapping_Sheet!$L$2:$L$3143=$A5))/sum(filter(
Master_M"&amp;"apping_Sheet!$E$2:$E$3143, ISNUMBER(
Master_Mapping_Sheet!$E$2:$E$3143),
Master_Mapping_Sheet!$H$2:$H$3143=U$1)))"),0.0)</f>
        <v>0</v>
      </c>
      <c r="V5" s="34">
        <f>IFERROR(__xludf.DUMMYFUNCTION("IF(ISNA(sum(filter(
Master_Mapping_Sheet!$E$2:$E$3143, ISNUMBER(
Master_Mapping_Sheet!$E$2:$E$3143),
Master_Mapping_Sheet!$H$2:$H$3143=V$1,
Master_Mapping_Sheet!$L$2:$L$3143=$A5))/sum(filter(
Master_Mapping_Sheet!$E$2:$E$3143, ISNUMBER(
Master_Mapping_She"&amp;"et!$E$2:$E$3143),
Master_Mapping_Sheet!$H$2:$H$3143=V$1))), 0, sum(filter(
Master_Mapping_Sheet!$E$2:$E$3143, ISNUMBER(
Master_Mapping_Sheet!$E$2:$E$3143),
Master_Mapping_Sheet!$H$2:$H$3143=V$1,
Master_Mapping_Sheet!$L$2:$L$3143=$A5))/sum(filter(
Master_M"&amp;"apping_Sheet!$E$2:$E$3143, ISNUMBER(
Master_Mapping_Sheet!$E$2:$E$3143),
Master_Mapping_Sheet!$H$2:$H$3143=V$1)))"),0.0)</f>
        <v>0</v>
      </c>
      <c r="W5" s="34">
        <f>IFERROR(__xludf.DUMMYFUNCTION("IF(ISNA(sum(filter(
Master_Mapping_Sheet!$E$2:$E$3143, ISNUMBER(
Master_Mapping_Sheet!$E$2:$E$3143),
Master_Mapping_Sheet!$H$2:$H$3143=W$1,
Master_Mapping_Sheet!$L$2:$L$3143=$A5))/sum(filter(
Master_Mapping_Sheet!$E$2:$E$3143, ISNUMBER(
Master_Mapping_She"&amp;"et!$E$2:$E$3143),
Master_Mapping_Sheet!$H$2:$H$3143=W$1))), 0, sum(filter(
Master_Mapping_Sheet!$E$2:$E$3143, ISNUMBER(
Master_Mapping_Sheet!$E$2:$E$3143),
Master_Mapping_Sheet!$H$2:$H$3143=W$1,
Master_Mapping_Sheet!$L$2:$L$3143=$A5))/sum(filter(
Master_M"&amp;"apping_Sheet!$E$2:$E$3143, ISNUMBER(
Master_Mapping_Sheet!$E$2:$E$3143),
Master_Mapping_Sheet!$H$2:$H$3143=W$1)))"),0.0)</f>
        <v>0</v>
      </c>
      <c r="X5" s="34">
        <f>IFERROR(__xludf.DUMMYFUNCTION("IF(ISNA(sum(filter(
Master_Mapping_Sheet!$E$2:$E$3143, ISNUMBER(
Master_Mapping_Sheet!$E$2:$E$3143),
Master_Mapping_Sheet!$H$2:$H$3143=X$1,
Master_Mapping_Sheet!$L$2:$L$3143=$A5))/sum(filter(
Master_Mapping_Sheet!$E$2:$E$3143, ISNUMBER(
Master_Mapping_She"&amp;"et!$E$2:$E$3143),
Master_Mapping_Sheet!$H$2:$H$3143=X$1))), 0, sum(filter(
Master_Mapping_Sheet!$E$2:$E$3143, ISNUMBER(
Master_Mapping_Sheet!$E$2:$E$3143),
Master_Mapping_Sheet!$H$2:$H$3143=X$1,
Master_Mapping_Sheet!$L$2:$L$3143=$A5))/sum(filter(
Master_M"&amp;"apping_Sheet!$E$2:$E$3143, ISNUMBER(
Master_Mapping_Sheet!$E$2:$E$3143),
Master_Mapping_Sheet!$H$2:$H$3143=X$1)))"),0.0)</f>
        <v>0</v>
      </c>
      <c r="Y5" s="34">
        <f>IFERROR(__xludf.DUMMYFUNCTION("IF(ISNA(sum(filter(
Master_Mapping_Sheet!$E$2:$E$3143, ISNUMBER(
Master_Mapping_Sheet!$E$2:$E$3143),
Master_Mapping_Sheet!$H$2:$H$3143=Y$1,
Master_Mapping_Sheet!$L$2:$L$3143=$A5))/sum(filter(
Master_Mapping_Sheet!$E$2:$E$3143, ISNUMBER(
Master_Mapping_She"&amp;"et!$E$2:$E$3143),
Master_Mapping_Sheet!$H$2:$H$3143=Y$1))), 0, sum(filter(
Master_Mapping_Sheet!$E$2:$E$3143, ISNUMBER(
Master_Mapping_Sheet!$E$2:$E$3143),
Master_Mapping_Sheet!$H$2:$H$3143=Y$1,
Master_Mapping_Sheet!$L$2:$L$3143=$A5))/sum(filter(
Master_M"&amp;"apping_Sheet!$E$2:$E$3143, ISNUMBER(
Master_Mapping_Sheet!$E$2:$E$3143),
Master_Mapping_Sheet!$H$2:$H$3143=Y$1)))"),0.0)</f>
        <v>0</v>
      </c>
      <c r="Z5" s="34">
        <f>IFERROR(__xludf.DUMMYFUNCTION("IF(ISNA(sum(filter(
Master_Mapping_Sheet!$E$2:$E$3143, ISNUMBER(
Master_Mapping_Sheet!$E$2:$E$3143),
Master_Mapping_Sheet!$H$2:$H$3143=Z$1,
Master_Mapping_Sheet!$L$2:$L$3143=$A5))/sum(filter(
Master_Mapping_Sheet!$E$2:$E$3143, ISNUMBER(
Master_Mapping_She"&amp;"et!$E$2:$E$3143),
Master_Mapping_Sheet!$H$2:$H$3143=Z$1))), 0, sum(filter(
Master_Mapping_Sheet!$E$2:$E$3143, ISNUMBER(
Master_Mapping_Sheet!$E$2:$E$3143),
Master_Mapping_Sheet!$H$2:$H$3143=Z$1,
Master_Mapping_Sheet!$L$2:$L$3143=$A5))/sum(filter(
Master_M"&amp;"apping_Sheet!$E$2:$E$3143, ISNUMBER(
Master_Mapping_Sheet!$E$2:$E$3143),
Master_Mapping_Sheet!$H$2:$H$3143=Z$1)))"),0.0)</f>
        <v>0</v>
      </c>
    </row>
    <row r="6" ht="15.75" customHeight="1">
      <c r="A6" s="32" t="s">
        <v>204</v>
      </c>
      <c r="B6" s="34">
        <f>IFERROR(__xludf.DUMMYFUNCTION("IF(ISNA(sum(filter(
Master_Mapping_Sheet!$E$2:$E$3143, ISNUMBER(
Master_Mapping_Sheet!$E$2:$E$3143),
Master_Mapping_Sheet!$H$2:$H$3143=B$1,
Master_Mapping_Sheet!$L$2:$L$3143=$A6))/sum(filter(
Master_Mapping_Sheet!$E$2:$E$3143, ISNUMBER(
Master_Mapping_She"&amp;"et!$E$2:$E$3143),
Master_Mapping_Sheet!$H$2:$H$3143=B$1))), 0, sum(filter(
Master_Mapping_Sheet!$E$2:$E$3143, ISNUMBER(
Master_Mapping_Sheet!$E$2:$E$3143),
Master_Mapping_Sheet!$H$2:$H$3143=B$1,
Master_Mapping_Sheet!$L$2:$L$3143=$A6))/sum(filter(
Master_M"&amp;"apping_Sheet!$E$2:$E$3143, ISNUMBER(
Master_Mapping_Sheet!$E$2:$E$3143),
Master_Mapping_Sheet!$H$2:$H$3143=B$1)))"),0.037696439714935)</f>
        <v>0.03769643971</v>
      </c>
      <c r="C6" s="34">
        <f>IFERROR(__xludf.DUMMYFUNCTION("IF(ISNA(sum(filter(
Master_Mapping_Sheet!$E$2:$E$3143, ISNUMBER(
Master_Mapping_Sheet!$E$2:$E$3143),
Master_Mapping_Sheet!$H$2:$H$3143=C$1,
Master_Mapping_Sheet!$L$2:$L$3143=$A6))/sum(filter(
Master_Mapping_Sheet!$E$2:$E$3143, ISNUMBER(
Master_Mapping_She"&amp;"et!$E$2:$E$3143),
Master_Mapping_Sheet!$H$2:$H$3143=C$1))), 0, sum(filter(
Master_Mapping_Sheet!$E$2:$E$3143, ISNUMBER(
Master_Mapping_Sheet!$E$2:$E$3143),
Master_Mapping_Sheet!$H$2:$H$3143=C$1,
Master_Mapping_Sheet!$L$2:$L$3143=$A6))/sum(filter(
Master_M"&amp;"apping_Sheet!$E$2:$E$3143, ISNUMBER(
Master_Mapping_Sheet!$E$2:$E$3143),
Master_Mapping_Sheet!$H$2:$H$3143=C$1)))"),0.0)</f>
        <v>0</v>
      </c>
      <c r="D6" s="34">
        <f>IFERROR(__xludf.DUMMYFUNCTION("IF(ISNA(sum(filter(
Master_Mapping_Sheet!$E$2:$E$3143, ISNUMBER(
Master_Mapping_Sheet!$E$2:$E$3143),
Master_Mapping_Sheet!$H$2:$H$3143=D$1,
Master_Mapping_Sheet!$L$2:$L$3143=$A6))/sum(filter(
Master_Mapping_Sheet!$E$2:$E$3143, ISNUMBER(
Master_Mapping_She"&amp;"et!$E$2:$E$3143),
Master_Mapping_Sheet!$H$2:$H$3143=D$1))), 0, sum(filter(
Master_Mapping_Sheet!$E$2:$E$3143, ISNUMBER(
Master_Mapping_Sheet!$E$2:$E$3143),
Master_Mapping_Sheet!$H$2:$H$3143=D$1,
Master_Mapping_Sheet!$L$2:$L$3143=$A6))/sum(filter(
Master_M"&amp;"apping_Sheet!$E$2:$E$3143, ISNUMBER(
Master_Mapping_Sheet!$E$2:$E$3143),
Master_Mapping_Sheet!$H$2:$H$3143=D$1)))"),0.0)</f>
        <v>0</v>
      </c>
      <c r="E6" s="34">
        <f>IFERROR(__xludf.DUMMYFUNCTION("IF(ISNA(sum(filter(
Master_Mapping_Sheet!$E$2:$E$3143, ISNUMBER(
Master_Mapping_Sheet!$E$2:$E$3143),
Master_Mapping_Sheet!$H$2:$H$3143=E$1,
Master_Mapping_Sheet!$L$2:$L$3143=$A6))/sum(filter(
Master_Mapping_Sheet!$E$2:$E$3143, ISNUMBER(
Master_Mapping_She"&amp;"et!$E$2:$E$3143),
Master_Mapping_Sheet!$H$2:$H$3143=E$1))), 0, sum(filter(
Master_Mapping_Sheet!$E$2:$E$3143, ISNUMBER(
Master_Mapping_Sheet!$E$2:$E$3143),
Master_Mapping_Sheet!$H$2:$H$3143=E$1,
Master_Mapping_Sheet!$L$2:$L$3143=$A6))/sum(filter(
Master_M"&amp;"apping_Sheet!$E$2:$E$3143, ISNUMBER(
Master_Mapping_Sheet!$E$2:$E$3143),
Master_Mapping_Sheet!$H$2:$H$3143=E$1)))"),0.0)</f>
        <v>0</v>
      </c>
      <c r="F6" s="34">
        <f>IFERROR(__xludf.DUMMYFUNCTION("IF(ISNA(sum(filter(
Master_Mapping_Sheet!$E$2:$E$3143, ISNUMBER(
Master_Mapping_Sheet!$E$2:$E$3143),
Master_Mapping_Sheet!$H$2:$H$3143=F$1,
Master_Mapping_Sheet!$L$2:$L$3143=$A6))/sum(filter(
Master_Mapping_Sheet!$E$2:$E$3143, ISNUMBER(
Master_Mapping_She"&amp;"et!$E$2:$E$3143),
Master_Mapping_Sheet!$H$2:$H$3143=F$1))), 0, sum(filter(
Master_Mapping_Sheet!$E$2:$E$3143, ISNUMBER(
Master_Mapping_Sheet!$E$2:$E$3143),
Master_Mapping_Sheet!$H$2:$H$3143=F$1,
Master_Mapping_Sheet!$L$2:$L$3143=$A6))/sum(filter(
Master_M"&amp;"apping_Sheet!$E$2:$E$3143, ISNUMBER(
Master_Mapping_Sheet!$E$2:$E$3143),
Master_Mapping_Sheet!$H$2:$H$3143=F$1)))"),0.0)</f>
        <v>0</v>
      </c>
      <c r="G6" s="34">
        <f>IFERROR(__xludf.DUMMYFUNCTION("IF(ISNA(sum(filter(
Master_Mapping_Sheet!$E$2:$E$3143, ISNUMBER(
Master_Mapping_Sheet!$E$2:$E$3143),
Master_Mapping_Sheet!$H$2:$H$3143=G$1,
Master_Mapping_Sheet!$L$2:$L$3143=$A6))/sum(filter(
Master_Mapping_Sheet!$E$2:$E$3143, ISNUMBER(
Master_Mapping_She"&amp;"et!$E$2:$E$3143),
Master_Mapping_Sheet!$H$2:$H$3143=G$1))), 0, sum(filter(
Master_Mapping_Sheet!$E$2:$E$3143, ISNUMBER(
Master_Mapping_Sheet!$E$2:$E$3143),
Master_Mapping_Sheet!$H$2:$H$3143=G$1,
Master_Mapping_Sheet!$L$2:$L$3143=$A6))/sum(filter(
Master_M"&amp;"apping_Sheet!$E$2:$E$3143, ISNUMBER(
Master_Mapping_Sheet!$E$2:$E$3143),
Master_Mapping_Sheet!$H$2:$H$3143=G$1)))"),0.0)</f>
        <v>0</v>
      </c>
      <c r="H6" s="34">
        <f>IFERROR(__xludf.DUMMYFUNCTION("IF(ISNA(sum(filter(
Master_Mapping_Sheet!$E$2:$E$3143, ISNUMBER(
Master_Mapping_Sheet!$E$2:$E$3143),
Master_Mapping_Sheet!$H$2:$H$3143=H$1,
Master_Mapping_Sheet!$L$2:$L$3143=$A6))/sum(filter(
Master_Mapping_Sheet!$E$2:$E$3143, ISNUMBER(
Master_Mapping_She"&amp;"et!$E$2:$E$3143),
Master_Mapping_Sheet!$H$2:$H$3143=H$1))), 0, sum(filter(
Master_Mapping_Sheet!$E$2:$E$3143, ISNUMBER(
Master_Mapping_Sheet!$E$2:$E$3143),
Master_Mapping_Sheet!$H$2:$H$3143=H$1,
Master_Mapping_Sheet!$L$2:$L$3143=$A6))/sum(filter(
Master_M"&amp;"apping_Sheet!$E$2:$E$3143, ISNUMBER(
Master_Mapping_Sheet!$E$2:$E$3143),
Master_Mapping_Sheet!$H$2:$H$3143=H$1)))"),0.0)</f>
        <v>0</v>
      </c>
      <c r="I6" s="34">
        <f>IFERROR(__xludf.DUMMYFUNCTION("IF(ISNA(sum(filter(
Master_Mapping_Sheet!$E$2:$E$3143, ISNUMBER(
Master_Mapping_Sheet!$E$2:$E$3143),
Master_Mapping_Sheet!$H$2:$H$3143=I$1,
Master_Mapping_Sheet!$L$2:$L$3143=$A6))/sum(filter(
Master_Mapping_Sheet!$E$2:$E$3143, ISNUMBER(
Master_Mapping_She"&amp;"et!$E$2:$E$3143),
Master_Mapping_Sheet!$H$2:$H$3143=I$1))), 0, sum(filter(
Master_Mapping_Sheet!$E$2:$E$3143, ISNUMBER(
Master_Mapping_Sheet!$E$2:$E$3143),
Master_Mapping_Sheet!$H$2:$H$3143=I$1,
Master_Mapping_Sheet!$L$2:$L$3143=$A6))/sum(filter(
Master_M"&amp;"apping_Sheet!$E$2:$E$3143, ISNUMBER(
Master_Mapping_Sheet!$E$2:$E$3143),
Master_Mapping_Sheet!$H$2:$H$3143=I$1)))"),0.0)</f>
        <v>0</v>
      </c>
      <c r="J6" s="34">
        <f>IFERROR(__xludf.DUMMYFUNCTION("IF(ISNA(sum(filter(
Master_Mapping_Sheet!$E$2:$E$3143, ISNUMBER(
Master_Mapping_Sheet!$E$2:$E$3143),
Master_Mapping_Sheet!$H$2:$H$3143=J$1,
Master_Mapping_Sheet!$L$2:$L$3143=$A6))/sum(filter(
Master_Mapping_Sheet!$E$2:$E$3143, ISNUMBER(
Master_Mapping_She"&amp;"et!$E$2:$E$3143),
Master_Mapping_Sheet!$H$2:$H$3143=J$1))), 0, sum(filter(
Master_Mapping_Sheet!$E$2:$E$3143, ISNUMBER(
Master_Mapping_Sheet!$E$2:$E$3143),
Master_Mapping_Sheet!$H$2:$H$3143=J$1,
Master_Mapping_Sheet!$L$2:$L$3143=$A6))/sum(filter(
Master_M"&amp;"apping_Sheet!$E$2:$E$3143, ISNUMBER(
Master_Mapping_Sheet!$E$2:$E$3143),
Master_Mapping_Sheet!$H$2:$H$3143=J$1)))"),0.0)</f>
        <v>0</v>
      </c>
      <c r="K6" s="34">
        <f>IFERROR(__xludf.DUMMYFUNCTION("IF(ISNA(sum(filter(
Master_Mapping_Sheet!$E$2:$E$3143, ISNUMBER(
Master_Mapping_Sheet!$E$2:$E$3143),
Master_Mapping_Sheet!$H$2:$H$3143=K$1,
Master_Mapping_Sheet!$L$2:$L$3143=$A6))/sum(filter(
Master_Mapping_Sheet!$E$2:$E$3143, ISNUMBER(
Master_Mapping_She"&amp;"et!$E$2:$E$3143),
Master_Mapping_Sheet!$H$2:$H$3143=K$1))), 0, sum(filter(
Master_Mapping_Sheet!$E$2:$E$3143, ISNUMBER(
Master_Mapping_Sheet!$E$2:$E$3143),
Master_Mapping_Sheet!$H$2:$H$3143=K$1,
Master_Mapping_Sheet!$L$2:$L$3143=$A6))/sum(filter(
Master_M"&amp;"apping_Sheet!$E$2:$E$3143, ISNUMBER(
Master_Mapping_Sheet!$E$2:$E$3143),
Master_Mapping_Sheet!$H$2:$H$3143=K$1)))"),0.0)</f>
        <v>0</v>
      </c>
      <c r="L6" s="34">
        <f>IFERROR(__xludf.DUMMYFUNCTION("IF(ISNA(sum(filter(
Master_Mapping_Sheet!$E$2:$E$3143, ISNUMBER(
Master_Mapping_Sheet!$E$2:$E$3143),
Master_Mapping_Sheet!$H$2:$H$3143=L$1,
Master_Mapping_Sheet!$L$2:$L$3143=$A6))/sum(filter(
Master_Mapping_Sheet!$E$2:$E$3143, ISNUMBER(
Master_Mapping_She"&amp;"et!$E$2:$E$3143),
Master_Mapping_Sheet!$H$2:$H$3143=L$1))), 0, sum(filter(
Master_Mapping_Sheet!$E$2:$E$3143, ISNUMBER(
Master_Mapping_Sheet!$E$2:$E$3143),
Master_Mapping_Sheet!$H$2:$H$3143=L$1,
Master_Mapping_Sheet!$L$2:$L$3143=$A6))/sum(filter(
Master_M"&amp;"apping_Sheet!$E$2:$E$3143, ISNUMBER(
Master_Mapping_Sheet!$E$2:$E$3143),
Master_Mapping_Sheet!$H$2:$H$3143=L$1)))"),0.0)</f>
        <v>0</v>
      </c>
      <c r="M6" s="34">
        <f>IFERROR(__xludf.DUMMYFUNCTION("IF(ISNA(sum(filter(
Master_Mapping_Sheet!$E$2:$E$3143, ISNUMBER(
Master_Mapping_Sheet!$E$2:$E$3143),
Master_Mapping_Sheet!$H$2:$H$3143=M$1,
Master_Mapping_Sheet!$L$2:$L$3143=$A6))/sum(filter(
Master_Mapping_Sheet!$E$2:$E$3143, ISNUMBER(
Master_Mapping_She"&amp;"et!$E$2:$E$3143),
Master_Mapping_Sheet!$H$2:$H$3143=M$1))), 0, sum(filter(
Master_Mapping_Sheet!$E$2:$E$3143, ISNUMBER(
Master_Mapping_Sheet!$E$2:$E$3143),
Master_Mapping_Sheet!$H$2:$H$3143=M$1,
Master_Mapping_Sheet!$L$2:$L$3143=$A6))/sum(filter(
Master_M"&amp;"apping_Sheet!$E$2:$E$3143, ISNUMBER(
Master_Mapping_Sheet!$E$2:$E$3143),
Master_Mapping_Sheet!$H$2:$H$3143=M$1)))"),0.0)</f>
        <v>0</v>
      </c>
      <c r="N6" s="34">
        <f>IFERROR(__xludf.DUMMYFUNCTION("IF(ISNA(sum(filter(
Master_Mapping_Sheet!$E$2:$E$3143, ISNUMBER(
Master_Mapping_Sheet!$E$2:$E$3143),
Master_Mapping_Sheet!$H$2:$H$3143=N$1,
Master_Mapping_Sheet!$L$2:$L$3143=$A6))/sum(filter(
Master_Mapping_Sheet!$E$2:$E$3143, ISNUMBER(
Master_Mapping_She"&amp;"et!$E$2:$E$3143),
Master_Mapping_Sheet!$H$2:$H$3143=N$1))), 0, sum(filter(
Master_Mapping_Sheet!$E$2:$E$3143, ISNUMBER(
Master_Mapping_Sheet!$E$2:$E$3143),
Master_Mapping_Sheet!$H$2:$H$3143=N$1,
Master_Mapping_Sheet!$L$2:$L$3143=$A6))/sum(filter(
Master_M"&amp;"apping_Sheet!$E$2:$E$3143, ISNUMBER(
Master_Mapping_Sheet!$E$2:$E$3143),
Master_Mapping_Sheet!$H$2:$H$3143=N$1)))"),0.0)</f>
        <v>0</v>
      </c>
      <c r="O6" s="34">
        <f>IFERROR(__xludf.DUMMYFUNCTION("IF(ISNA(sum(filter(
Master_Mapping_Sheet!$E$2:$E$3143, ISNUMBER(
Master_Mapping_Sheet!$E$2:$E$3143),
Master_Mapping_Sheet!$H$2:$H$3143=O$1,
Master_Mapping_Sheet!$L$2:$L$3143=$A6))/sum(filter(
Master_Mapping_Sheet!$E$2:$E$3143, ISNUMBER(
Master_Mapping_She"&amp;"et!$E$2:$E$3143),
Master_Mapping_Sheet!$H$2:$H$3143=O$1))), 0, sum(filter(
Master_Mapping_Sheet!$E$2:$E$3143, ISNUMBER(
Master_Mapping_Sheet!$E$2:$E$3143),
Master_Mapping_Sheet!$H$2:$H$3143=O$1,
Master_Mapping_Sheet!$L$2:$L$3143=$A6))/sum(filter(
Master_M"&amp;"apping_Sheet!$E$2:$E$3143, ISNUMBER(
Master_Mapping_Sheet!$E$2:$E$3143),
Master_Mapping_Sheet!$H$2:$H$3143=O$1)))"),0.0)</f>
        <v>0</v>
      </c>
      <c r="P6" s="34">
        <f>IFERROR(__xludf.DUMMYFUNCTION("IF(ISNA(sum(filter(
Master_Mapping_Sheet!$E$2:$E$3143, ISNUMBER(
Master_Mapping_Sheet!$E$2:$E$3143),
Master_Mapping_Sheet!$H$2:$H$3143=P$1,
Master_Mapping_Sheet!$L$2:$L$3143=$A6))/sum(filter(
Master_Mapping_Sheet!$E$2:$E$3143, ISNUMBER(
Master_Mapping_She"&amp;"et!$E$2:$E$3143),
Master_Mapping_Sheet!$H$2:$H$3143=P$1))), 0, sum(filter(
Master_Mapping_Sheet!$E$2:$E$3143, ISNUMBER(
Master_Mapping_Sheet!$E$2:$E$3143),
Master_Mapping_Sheet!$H$2:$H$3143=P$1,
Master_Mapping_Sheet!$L$2:$L$3143=$A6))/sum(filter(
Master_M"&amp;"apping_Sheet!$E$2:$E$3143, ISNUMBER(
Master_Mapping_Sheet!$E$2:$E$3143),
Master_Mapping_Sheet!$H$2:$H$3143=P$1)))"),0.0)</f>
        <v>0</v>
      </c>
      <c r="Q6" s="34">
        <f>IFERROR(__xludf.DUMMYFUNCTION("IF(ISNA(sum(filter(
Master_Mapping_Sheet!$E$2:$E$3143, ISNUMBER(
Master_Mapping_Sheet!$E$2:$E$3143),
Master_Mapping_Sheet!$H$2:$H$3143=Q$1,
Master_Mapping_Sheet!$L$2:$L$3143=$A6))/sum(filter(
Master_Mapping_Sheet!$E$2:$E$3143, ISNUMBER(
Master_Mapping_She"&amp;"et!$E$2:$E$3143),
Master_Mapping_Sheet!$H$2:$H$3143=Q$1))), 0, sum(filter(
Master_Mapping_Sheet!$E$2:$E$3143, ISNUMBER(
Master_Mapping_Sheet!$E$2:$E$3143),
Master_Mapping_Sheet!$H$2:$H$3143=Q$1,
Master_Mapping_Sheet!$L$2:$L$3143=$A6))/sum(filter(
Master_M"&amp;"apping_Sheet!$E$2:$E$3143, ISNUMBER(
Master_Mapping_Sheet!$E$2:$E$3143),
Master_Mapping_Sheet!$H$2:$H$3143=Q$1)))"),0.0)</f>
        <v>0</v>
      </c>
      <c r="R6" s="34">
        <f>IFERROR(__xludf.DUMMYFUNCTION("IF(ISNA(sum(filter(
Master_Mapping_Sheet!$E$2:$E$3143, ISNUMBER(
Master_Mapping_Sheet!$E$2:$E$3143),
Master_Mapping_Sheet!$H$2:$H$3143=R$1,
Master_Mapping_Sheet!$L$2:$L$3143=$A6))/sum(filter(
Master_Mapping_Sheet!$E$2:$E$3143, ISNUMBER(
Master_Mapping_She"&amp;"et!$E$2:$E$3143),
Master_Mapping_Sheet!$H$2:$H$3143=R$1))), 0, sum(filter(
Master_Mapping_Sheet!$E$2:$E$3143, ISNUMBER(
Master_Mapping_Sheet!$E$2:$E$3143),
Master_Mapping_Sheet!$H$2:$H$3143=R$1,
Master_Mapping_Sheet!$L$2:$L$3143=$A6))/sum(filter(
Master_M"&amp;"apping_Sheet!$E$2:$E$3143, ISNUMBER(
Master_Mapping_Sheet!$E$2:$E$3143),
Master_Mapping_Sheet!$H$2:$H$3143=R$1)))"),0.07394011377538934)</f>
        <v>0.07394011378</v>
      </c>
      <c r="S6" s="34">
        <f>IFERROR(__xludf.DUMMYFUNCTION("IF(ISNA(sum(filter(
Master_Mapping_Sheet!$E$2:$E$3143, ISNUMBER(
Master_Mapping_Sheet!$E$2:$E$3143),
Master_Mapping_Sheet!$H$2:$H$3143=S$1,
Master_Mapping_Sheet!$L$2:$L$3143=$A6))/sum(filter(
Master_Mapping_Sheet!$E$2:$E$3143, ISNUMBER(
Master_Mapping_She"&amp;"et!$E$2:$E$3143),
Master_Mapping_Sheet!$H$2:$H$3143=S$1))), 0, sum(filter(
Master_Mapping_Sheet!$E$2:$E$3143, ISNUMBER(
Master_Mapping_Sheet!$E$2:$E$3143),
Master_Mapping_Sheet!$H$2:$H$3143=S$1,
Master_Mapping_Sheet!$L$2:$L$3143=$A6))/sum(filter(
Master_M"&amp;"apping_Sheet!$E$2:$E$3143, ISNUMBER(
Master_Mapping_Sheet!$E$2:$E$3143),
Master_Mapping_Sheet!$H$2:$H$3143=S$1)))"),0.0)</f>
        <v>0</v>
      </c>
      <c r="T6" s="34">
        <f>IFERROR(__xludf.DUMMYFUNCTION("IF(ISNA(sum(filter(
Master_Mapping_Sheet!$E$2:$E$3143, ISNUMBER(
Master_Mapping_Sheet!$E$2:$E$3143),
Master_Mapping_Sheet!$H$2:$H$3143=T$1,
Master_Mapping_Sheet!$L$2:$L$3143=$A6))/sum(filter(
Master_Mapping_Sheet!$E$2:$E$3143, ISNUMBER(
Master_Mapping_She"&amp;"et!$E$2:$E$3143),
Master_Mapping_Sheet!$H$2:$H$3143=T$1))), 0, sum(filter(
Master_Mapping_Sheet!$E$2:$E$3143, ISNUMBER(
Master_Mapping_Sheet!$E$2:$E$3143),
Master_Mapping_Sheet!$H$2:$H$3143=T$1,
Master_Mapping_Sheet!$L$2:$L$3143=$A6))/sum(filter(
Master_M"&amp;"apping_Sheet!$E$2:$E$3143, ISNUMBER(
Master_Mapping_Sheet!$E$2:$E$3143),
Master_Mapping_Sheet!$H$2:$H$3143=T$1)))"),0.0)</f>
        <v>0</v>
      </c>
      <c r="U6" s="34">
        <f>IFERROR(__xludf.DUMMYFUNCTION("IF(ISNA(sum(filter(
Master_Mapping_Sheet!$E$2:$E$3143, ISNUMBER(
Master_Mapping_Sheet!$E$2:$E$3143),
Master_Mapping_Sheet!$H$2:$H$3143=U$1,
Master_Mapping_Sheet!$L$2:$L$3143=$A6))/sum(filter(
Master_Mapping_Sheet!$E$2:$E$3143, ISNUMBER(
Master_Mapping_She"&amp;"et!$E$2:$E$3143),
Master_Mapping_Sheet!$H$2:$H$3143=U$1))), 0, sum(filter(
Master_Mapping_Sheet!$E$2:$E$3143, ISNUMBER(
Master_Mapping_Sheet!$E$2:$E$3143),
Master_Mapping_Sheet!$H$2:$H$3143=U$1,
Master_Mapping_Sheet!$L$2:$L$3143=$A6))/sum(filter(
Master_M"&amp;"apping_Sheet!$E$2:$E$3143, ISNUMBER(
Master_Mapping_Sheet!$E$2:$E$3143),
Master_Mapping_Sheet!$H$2:$H$3143=U$1)))"),0.16097144187326073)</f>
        <v>0.1609714419</v>
      </c>
      <c r="V6" s="34">
        <f>IFERROR(__xludf.DUMMYFUNCTION("IF(ISNA(sum(filter(
Master_Mapping_Sheet!$E$2:$E$3143, ISNUMBER(
Master_Mapping_Sheet!$E$2:$E$3143),
Master_Mapping_Sheet!$H$2:$H$3143=V$1,
Master_Mapping_Sheet!$L$2:$L$3143=$A6))/sum(filter(
Master_Mapping_Sheet!$E$2:$E$3143, ISNUMBER(
Master_Mapping_She"&amp;"et!$E$2:$E$3143),
Master_Mapping_Sheet!$H$2:$H$3143=V$1))), 0, sum(filter(
Master_Mapping_Sheet!$E$2:$E$3143, ISNUMBER(
Master_Mapping_Sheet!$E$2:$E$3143),
Master_Mapping_Sheet!$H$2:$H$3143=V$1,
Master_Mapping_Sheet!$L$2:$L$3143=$A6))/sum(filter(
Master_M"&amp;"apping_Sheet!$E$2:$E$3143, ISNUMBER(
Master_Mapping_Sheet!$E$2:$E$3143),
Master_Mapping_Sheet!$H$2:$H$3143=V$1)))"),0.4784321026643121)</f>
        <v>0.4784321027</v>
      </c>
      <c r="W6" s="34">
        <f>IFERROR(__xludf.DUMMYFUNCTION("IF(ISNA(sum(filter(
Master_Mapping_Sheet!$E$2:$E$3143, ISNUMBER(
Master_Mapping_Sheet!$E$2:$E$3143),
Master_Mapping_Sheet!$H$2:$H$3143=W$1,
Master_Mapping_Sheet!$L$2:$L$3143=$A6))/sum(filter(
Master_Mapping_Sheet!$E$2:$E$3143, ISNUMBER(
Master_Mapping_She"&amp;"et!$E$2:$E$3143),
Master_Mapping_Sheet!$H$2:$H$3143=W$1))), 0, sum(filter(
Master_Mapping_Sheet!$E$2:$E$3143, ISNUMBER(
Master_Mapping_Sheet!$E$2:$E$3143),
Master_Mapping_Sheet!$H$2:$H$3143=W$1,
Master_Mapping_Sheet!$L$2:$L$3143=$A6))/sum(filter(
Master_M"&amp;"apping_Sheet!$E$2:$E$3143, ISNUMBER(
Master_Mapping_Sheet!$E$2:$E$3143),
Master_Mapping_Sheet!$H$2:$H$3143=W$1)))"),0.9625761306353487)</f>
        <v>0.9625761306</v>
      </c>
      <c r="X6" s="34">
        <f>IFERROR(__xludf.DUMMYFUNCTION("IF(ISNA(sum(filter(
Master_Mapping_Sheet!$E$2:$E$3143, ISNUMBER(
Master_Mapping_Sheet!$E$2:$E$3143),
Master_Mapping_Sheet!$H$2:$H$3143=X$1,
Master_Mapping_Sheet!$L$2:$L$3143=$A6))/sum(filter(
Master_Mapping_Sheet!$E$2:$E$3143, ISNUMBER(
Master_Mapping_She"&amp;"et!$E$2:$E$3143),
Master_Mapping_Sheet!$H$2:$H$3143=X$1))), 0, sum(filter(
Master_Mapping_Sheet!$E$2:$E$3143, ISNUMBER(
Master_Mapping_Sheet!$E$2:$E$3143),
Master_Mapping_Sheet!$H$2:$H$3143=X$1,
Master_Mapping_Sheet!$L$2:$L$3143=$A6))/sum(filter(
Master_M"&amp;"apping_Sheet!$E$2:$E$3143, ISNUMBER(
Master_Mapping_Sheet!$E$2:$E$3143),
Master_Mapping_Sheet!$H$2:$H$3143=X$1)))"),0.0)</f>
        <v>0</v>
      </c>
      <c r="Y6" s="34">
        <f>IFERROR(__xludf.DUMMYFUNCTION("IF(ISNA(sum(filter(
Master_Mapping_Sheet!$E$2:$E$3143, ISNUMBER(
Master_Mapping_Sheet!$E$2:$E$3143),
Master_Mapping_Sheet!$H$2:$H$3143=Y$1,
Master_Mapping_Sheet!$L$2:$L$3143=$A6))/sum(filter(
Master_Mapping_Sheet!$E$2:$E$3143, ISNUMBER(
Master_Mapping_She"&amp;"et!$E$2:$E$3143),
Master_Mapping_Sheet!$H$2:$H$3143=Y$1))), 0, sum(filter(
Master_Mapping_Sheet!$E$2:$E$3143, ISNUMBER(
Master_Mapping_Sheet!$E$2:$E$3143),
Master_Mapping_Sheet!$H$2:$H$3143=Y$1,
Master_Mapping_Sheet!$L$2:$L$3143=$A6))/sum(filter(
Master_M"&amp;"apping_Sheet!$E$2:$E$3143, ISNUMBER(
Master_Mapping_Sheet!$E$2:$E$3143),
Master_Mapping_Sheet!$H$2:$H$3143=Y$1)))"),0.0)</f>
        <v>0</v>
      </c>
      <c r="Z6" s="34">
        <f>IFERROR(__xludf.DUMMYFUNCTION("IF(ISNA(sum(filter(
Master_Mapping_Sheet!$E$2:$E$3143, ISNUMBER(
Master_Mapping_Sheet!$E$2:$E$3143),
Master_Mapping_Sheet!$H$2:$H$3143=Z$1,
Master_Mapping_Sheet!$L$2:$L$3143=$A6))/sum(filter(
Master_Mapping_Sheet!$E$2:$E$3143, ISNUMBER(
Master_Mapping_She"&amp;"et!$E$2:$E$3143),
Master_Mapping_Sheet!$H$2:$H$3143=Z$1))), 0, sum(filter(
Master_Mapping_Sheet!$E$2:$E$3143, ISNUMBER(
Master_Mapping_Sheet!$E$2:$E$3143),
Master_Mapping_Sheet!$H$2:$H$3143=Z$1,
Master_Mapping_Sheet!$L$2:$L$3143=$A6))/sum(filter(
Master_M"&amp;"apping_Sheet!$E$2:$E$3143, ISNUMBER(
Master_Mapping_Sheet!$E$2:$E$3143),
Master_Mapping_Sheet!$H$2:$H$3143=Z$1)))"),0.2984218119632001)</f>
        <v>0.298421812</v>
      </c>
    </row>
    <row r="7" ht="15.75" customHeight="1">
      <c r="A7" s="32" t="s">
        <v>280</v>
      </c>
      <c r="B7" s="34">
        <f>IFERROR(__xludf.DUMMYFUNCTION("IF(ISNA(sum(filter(
Master_Mapping_Sheet!$E$2:$E$3143, ISNUMBER(
Master_Mapping_Sheet!$E$2:$E$3143),
Master_Mapping_Sheet!$H$2:$H$3143=B$1,
Master_Mapping_Sheet!$L$2:$L$3143=$A7))/sum(filter(
Master_Mapping_Sheet!$E$2:$E$3143, ISNUMBER(
Master_Mapping_She"&amp;"et!$E$2:$E$3143),
Master_Mapping_Sheet!$H$2:$H$3143=B$1))), 0, sum(filter(
Master_Mapping_Sheet!$E$2:$E$3143, ISNUMBER(
Master_Mapping_Sheet!$E$2:$E$3143),
Master_Mapping_Sheet!$H$2:$H$3143=B$1,
Master_Mapping_Sheet!$L$2:$L$3143=$A7))/sum(filter(
Master_M"&amp;"apping_Sheet!$E$2:$E$3143, ISNUMBER(
Master_Mapping_Sheet!$E$2:$E$3143),
Master_Mapping_Sheet!$H$2:$H$3143=B$1)))"),0.0)</f>
        <v>0</v>
      </c>
      <c r="C7" s="34">
        <f>IFERROR(__xludf.DUMMYFUNCTION("IF(ISNA(sum(filter(
Master_Mapping_Sheet!$E$2:$E$3143, ISNUMBER(
Master_Mapping_Sheet!$E$2:$E$3143),
Master_Mapping_Sheet!$H$2:$H$3143=C$1,
Master_Mapping_Sheet!$L$2:$L$3143=$A7))/sum(filter(
Master_Mapping_Sheet!$E$2:$E$3143, ISNUMBER(
Master_Mapping_She"&amp;"et!$E$2:$E$3143),
Master_Mapping_Sheet!$H$2:$H$3143=C$1))), 0, sum(filter(
Master_Mapping_Sheet!$E$2:$E$3143, ISNUMBER(
Master_Mapping_Sheet!$E$2:$E$3143),
Master_Mapping_Sheet!$H$2:$H$3143=C$1,
Master_Mapping_Sheet!$L$2:$L$3143=$A7))/sum(filter(
Master_M"&amp;"apping_Sheet!$E$2:$E$3143, ISNUMBER(
Master_Mapping_Sheet!$E$2:$E$3143),
Master_Mapping_Sheet!$H$2:$H$3143=C$1)))"),0.0)</f>
        <v>0</v>
      </c>
      <c r="D7" s="34">
        <f>IFERROR(__xludf.DUMMYFUNCTION("IF(ISNA(sum(filter(
Master_Mapping_Sheet!$E$2:$E$3143, ISNUMBER(
Master_Mapping_Sheet!$E$2:$E$3143),
Master_Mapping_Sheet!$H$2:$H$3143=D$1,
Master_Mapping_Sheet!$L$2:$L$3143=$A7))/sum(filter(
Master_Mapping_Sheet!$E$2:$E$3143, ISNUMBER(
Master_Mapping_She"&amp;"et!$E$2:$E$3143),
Master_Mapping_Sheet!$H$2:$H$3143=D$1))), 0, sum(filter(
Master_Mapping_Sheet!$E$2:$E$3143, ISNUMBER(
Master_Mapping_Sheet!$E$2:$E$3143),
Master_Mapping_Sheet!$H$2:$H$3143=D$1,
Master_Mapping_Sheet!$L$2:$L$3143=$A7))/sum(filter(
Master_M"&amp;"apping_Sheet!$E$2:$E$3143, ISNUMBER(
Master_Mapping_Sheet!$E$2:$E$3143),
Master_Mapping_Sheet!$H$2:$H$3143=D$1)))"),0.0)</f>
        <v>0</v>
      </c>
      <c r="E7" s="34">
        <f>IFERROR(__xludf.DUMMYFUNCTION("IF(ISNA(sum(filter(
Master_Mapping_Sheet!$E$2:$E$3143, ISNUMBER(
Master_Mapping_Sheet!$E$2:$E$3143),
Master_Mapping_Sheet!$H$2:$H$3143=E$1,
Master_Mapping_Sheet!$L$2:$L$3143=$A7))/sum(filter(
Master_Mapping_Sheet!$E$2:$E$3143, ISNUMBER(
Master_Mapping_She"&amp;"et!$E$2:$E$3143),
Master_Mapping_Sheet!$H$2:$H$3143=E$1))), 0, sum(filter(
Master_Mapping_Sheet!$E$2:$E$3143, ISNUMBER(
Master_Mapping_Sheet!$E$2:$E$3143),
Master_Mapping_Sheet!$H$2:$H$3143=E$1,
Master_Mapping_Sheet!$L$2:$L$3143=$A7))/sum(filter(
Master_M"&amp;"apping_Sheet!$E$2:$E$3143, ISNUMBER(
Master_Mapping_Sheet!$E$2:$E$3143),
Master_Mapping_Sheet!$H$2:$H$3143=E$1)))"),0.0)</f>
        <v>0</v>
      </c>
      <c r="F7" s="34">
        <f>IFERROR(__xludf.DUMMYFUNCTION("IF(ISNA(sum(filter(
Master_Mapping_Sheet!$E$2:$E$3143, ISNUMBER(
Master_Mapping_Sheet!$E$2:$E$3143),
Master_Mapping_Sheet!$H$2:$H$3143=F$1,
Master_Mapping_Sheet!$L$2:$L$3143=$A7))/sum(filter(
Master_Mapping_Sheet!$E$2:$E$3143, ISNUMBER(
Master_Mapping_She"&amp;"et!$E$2:$E$3143),
Master_Mapping_Sheet!$H$2:$H$3143=F$1))), 0, sum(filter(
Master_Mapping_Sheet!$E$2:$E$3143, ISNUMBER(
Master_Mapping_Sheet!$E$2:$E$3143),
Master_Mapping_Sheet!$H$2:$H$3143=F$1,
Master_Mapping_Sheet!$L$2:$L$3143=$A7))/sum(filter(
Master_M"&amp;"apping_Sheet!$E$2:$E$3143, ISNUMBER(
Master_Mapping_Sheet!$E$2:$E$3143),
Master_Mapping_Sheet!$H$2:$H$3143=F$1)))"),0.0)</f>
        <v>0</v>
      </c>
      <c r="G7" s="34">
        <f>IFERROR(__xludf.DUMMYFUNCTION("IF(ISNA(sum(filter(
Master_Mapping_Sheet!$E$2:$E$3143, ISNUMBER(
Master_Mapping_Sheet!$E$2:$E$3143),
Master_Mapping_Sheet!$H$2:$H$3143=G$1,
Master_Mapping_Sheet!$L$2:$L$3143=$A7))/sum(filter(
Master_Mapping_Sheet!$E$2:$E$3143, ISNUMBER(
Master_Mapping_She"&amp;"et!$E$2:$E$3143),
Master_Mapping_Sheet!$H$2:$H$3143=G$1))), 0, sum(filter(
Master_Mapping_Sheet!$E$2:$E$3143, ISNUMBER(
Master_Mapping_Sheet!$E$2:$E$3143),
Master_Mapping_Sheet!$H$2:$H$3143=G$1,
Master_Mapping_Sheet!$L$2:$L$3143=$A7))/sum(filter(
Master_M"&amp;"apping_Sheet!$E$2:$E$3143, ISNUMBER(
Master_Mapping_Sheet!$E$2:$E$3143),
Master_Mapping_Sheet!$H$2:$H$3143=G$1)))"),0.0)</f>
        <v>0</v>
      </c>
      <c r="H7" s="34">
        <f>IFERROR(__xludf.DUMMYFUNCTION("IF(ISNA(sum(filter(
Master_Mapping_Sheet!$E$2:$E$3143, ISNUMBER(
Master_Mapping_Sheet!$E$2:$E$3143),
Master_Mapping_Sheet!$H$2:$H$3143=H$1,
Master_Mapping_Sheet!$L$2:$L$3143=$A7))/sum(filter(
Master_Mapping_Sheet!$E$2:$E$3143, ISNUMBER(
Master_Mapping_She"&amp;"et!$E$2:$E$3143),
Master_Mapping_Sheet!$H$2:$H$3143=H$1))), 0, sum(filter(
Master_Mapping_Sheet!$E$2:$E$3143, ISNUMBER(
Master_Mapping_Sheet!$E$2:$E$3143),
Master_Mapping_Sheet!$H$2:$H$3143=H$1,
Master_Mapping_Sheet!$L$2:$L$3143=$A7))/sum(filter(
Master_M"&amp;"apping_Sheet!$E$2:$E$3143, ISNUMBER(
Master_Mapping_Sheet!$E$2:$E$3143),
Master_Mapping_Sheet!$H$2:$H$3143=H$1)))"),0.0)</f>
        <v>0</v>
      </c>
      <c r="I7" s="34">
        <f>IFERROR(__xludf.DUMMYFUNCTION("IF(ISNA(sum(filter(
Master_Mapping_Sheet!$E$2:$E$3143, ISNUMBER(
Master_Mapping_Sheet!$E$2:$E$3143),
Master_Mapping_Sheet!$H$2:$H$3143=I$1,
Master_Mapping_Sheet!$L$2:$L$3143=$A7))/sum(filter(
Master_Mapping_Sheet!$E$2:$E$3143, ISNUMBER(
Master_Mapping_She"&amp;"et!$E$2:$E$3143),
Master_Mapping_Sheet!$H$2:$H$3143=I$1))), 0, sum(filter(
Master_Mapping_Sheet!$E$2:$E$3143, ISNUMBER(
Master_Mapping_Sheet!$E$2:$E$3143),
Master_Mapping_Sheet!$H$2:$H$3143=I$1,
Master_Mapping_Sheet!$L$2:$L$3143=$A7))/sum(filter(
Master_M"&amp;"apping_Sheet!$E$2:$E$3143, ISNUMBER(
Master_Mapping_Sheet!$E$2:$E$3143),
Master_Mapping_Sheet!$H$2:$H$3143=I$1)))"),0.0)</f>
        <v>0</v>
      </c>
      <c r="J7" s="34">
        <f>IFERROR(__xludf.DUMMYFUNCTION("IF(ISNA(sum(filter(
Master_Mapping_Sheet!$E$2:$E$3143, ISNUMBER(
Master_Mapping_Sheet!$E$2:$E$3143),
Master_Mapping_Sheet!$H$2:$H$3143=J$1,
Master_Mapping_Sheet!$L$2:$L$3143=$A7))/sum(filter(
Master_Mapping_Sheet!$E$2:$E$3143, ISNUMBER(
Master_Mapping_She"&amp;"et!$E$2:$E$3143),
Master_Mapping_Sheet!$H$2:$H$3143=J$1))), 0, sum(filter(
Master_Mapping_Sheet!$E$2:$E$3143, ISNUMBER(
Master_Mapping_Sheet!$E$2:$E$3143),
Master_Mapping_Sheet!$H$2:$H$3143=J$1,
Master_Mapping_Sheet!$L$2:$L$3143=$A7))/sum(filter(
Master_M"&amp;"apping_Sheet!$E$2:$E$3143, ISNUMBER(
Master_Mapping_Sheet!$E$2:$E$3143),
Master_Mapping_Sheet!$H$2:$H$3143=J$1)))"),0.0)</f>
        <v>0</v>
      </c>
      <c r="K7" s="34">
        <f>IFERROR(__xludf.DUMMYFUNCTION("IF(ISNA(sum(filter(
Master_Mapping_Sheet!$E$2:$E$3143, ISNUMBER(
Master_Mapping_Sheet!$E$2:$E$3143),
Master_Mapping_Sheet!$H$2:$H$3143=K$1,
Master_Mapping_Sheet!$L$2:$L$3143=$A7))/sum(filter(
Master_Mapping_Sheet!$E$2:$E$3143, ISNUMBER(
Master_Mapping_She"&amp;"et!$E$2:$E$3143),
Master_Mapping_Sheet!$H$2:$H$3143=K$1))), 0, sum(filter(
Master_Mapping_Sheet!$E$2:$E$3143, ISNUMBER(
Master_Mapping_Sheet!$E$2:$E$3143),
Master_Mapping_Sheet!$H$2:$H$3143=K$1,
Master_Mapping_Sheet!$L$2:$L$3143=$A7))/sum(filter(
Master_M"&amp;"apping_Sheet!$E$2:$E$3143, ISNUMBER(
Master_Mapping_Sheet!$E$2:$E$3143),
Master_Mapping_Sheet!$H$2:$H$3143=K$1)))"),0.0)</f>
        <v>0</v>
      </c>
      <c r="L7" s="34">
        <f>IFERROR(__xludf.DUMMYFUNCTION("IF(ISNA(sum(filter(
Master_Mapping_Sheet!$E$2:$E$3143, ISNUMBER(
Master_Mapping_Sheet!$E$2:$E$3143),
Master_Mapping_Sheet!$H$2:$H$3143=L$1,
Master_Mapping_Sheet!$L$2:$L$3143=$A7))/sum(filter(
Master_Mapping_Sheet!$E$2:$E$3143, ISNUMBER(
Master_Mapping_She"&amp;"et!$E$2:$E$3143),
Master_Mapping_Sheet!$H$2:$H$3143=L$1))), 0, sum(filter(
Master_Mapping_Sheet!$E$2:$E$3143, ISNUMBER(
Master_Mapping_Sheet!$E$2:$E$3143),
Master_Mapping_Sheet!$H$2:$H$3143=L$1,
Master_Mapping_Sheet!$L$2:$L$3143=$A7))/sum(filter(
Master_M"&amp;"apping_Sheet!$E$2:$E$3143, ISNUMBER(
Master_Mapping_Sheet!$E$2:$E$3143),
Master_Mapping_Sheet!$H$2:$H$3143=L$1)))"),0.0)</f>
        <v>0</v>
      </c>
      <c r="M7" s="34">
        <f>IFERROR(__xludf.DUMMYFUNCTION("IF(ISNA(sum(filter(
Master_Mapping_Sheet!$E$2:$E$3143, ISNUMBER(
Master_Mapping_Sheet!$E$2:$E$3143),
Master_Mapping_Sheet!$H$2:$H$3143=M$1,
Master_Mapping_Sheet!$L$2:$L$3143=$A7))/sum(filter(
Master_Mapping_Sheet!$E$2:$E$3143, ISNUMBER(
Master_Mapping_She"&amp;"et!$E$2:$E$3143),
Master_Mapping_Sheet!$H$2:$H$3143=M$1))), 0, sum(filter(
Master_Mapping_Sheet!$E$2:$E$3143, ISNUMBER(
Master_Mapping_Sheet!$E$2:$E$3143),
Master_Mapping_Sheet!$H$2:$H$3143=M$1,
Master_Mapping_Sheet!$L$2:$L$3143=$A7))/sum(filter(
Master_M"&amp;"apping_Sheet!$E$2:$E$3143, ISNUMBER(
Master_Mapping_Sheet!$E$2:$E$3143),
Master_Mapping_Sheet!$H$2:$H$3143=M$1)))"),0.0)</f>
        <v>0</v>
      </c>
      <c r="N7" s="34">
        <f>IFERROR(__xludf.DUMMYFUNCTION("IF(ISNA(sum(filter(
Master_Mapping_Sheet!$E$2:$E$3143, ISNUMBER(
Master_Mapping_Sheet!$E$2:$E$3143),
Master_Mapping_Sheet!$H$2:$H$3143=N$1,
Master_Mapping_Sheet!$L$2:$L$3143=$A7))/sum(filter(
Master_Mapping_Sheet!$E$2:$E$3143, ISNUMBER(
Master_Mapping_She"&amp;"et!$E$2:$E$3143),
Master_Mapping_Sheet!$H$2:$H$3143=N$1))), 0, sum(filter(
Master_Mapping_Sheet!$E$2:$E$3143, ISNUMBER(
Master_Mapping_Sheet!$E$2:$E$3143),
Master_Mapping_Sheet!$H$2:$H$3143=N$1,
Master_Mapping_Sheet!$L$2:$L$3143=$A7))/sum(filter(
Master_M"&amp;"apping_Sheet!$E$2:$E$3143, ISNUMBER(
Master_Mapping_Sheet!$E$2:$E$3143),
Master_Mapping_Sheet!$H$2:$H$3143=N$1)))"),0.0)</f>
        <v>0</v>
      </c>
      <c r="O7" s="34">
        <f>IFERROR(__xludf.DUMMYFUNCTION("IF(ISNA(sum(filter(
Master_Mapping_Sheet!$E$2:$E$3143, ISNUMBER(
Master_Mapping_Sheet!$E$2:$E$3143),
Master_Mapping_Sheet!$H$2:$H$3143=O$1,
Master_Mapping_Sheet!$L$2:$L$3143=$A7))/sum(filter(
Master_Mapping_Sheet!$E$2:$E$3143, ISNUMBER(
Master_Mapping_She"&amp;"et!$E$2:$E$3143),
Master_Mapping_Sheet!$H$2:$H$3143=O$1))), 0, sum(filter(
Master_Mapping_Sheet!$E$2:$E$3143, ISNUMBER(
Master_Mapping_Sheet!$E$2:$E$3143),
Master_Mapping_Sheet!$H$2:$H$3143=O$1,
Master_Mapping_Sheet!$L$2:$L$3143=$A7))/sum(filter(
Master_M"&amp;"apping_Sheet!$E$2:$E$3143, ISNUMBER(
Master_Mapping_Sheet!$E$2:$E$3143),
Master_Mapping_Sheet!$H$2:$H$3143=O$1)))"),0.0)</f>
        <v>0</v>
      </c>
      <c r="P7" s="34">
        <f>IFERROR(__xludf.DUMMYFUNCTION("IF(ISNA(sum(filter(
Master_Mapping_Sheet!$E$2:$E$3143, ISNUMBER(
Master_Mapping_Sheet!$E$2:$E$3143),
Master_Mapping_Sheet!$H$2:$H$3143=P$1,
Master_Mapping_Sheet!$L$2:$L$3143=$A7))/sum(filter(
Master_Mapping_Sheet!$E$2:$E$3143, ISNUMBER(
Master_Mapping_She"&amp;"et!$E$2:$E$3143),
Master_Mapping_Sheet!$H$2:$H$3143=P$1))), 0, sum(filter(
Master_Mapping_Sheet!$E$2:$E$3143, ISNUMBER(
Master_Mapping_Sheet!$E$2:$E$3143),
Master_Mapping_Sheet!$H$2:$H$3143=P$1,
Master_Mapping_Sheet!$L$2:$L$3143=$A7))/sum(filter(
Master_M"&amp;"apping_Sheet!$E$2:$E$3143, ISNUMBER(
Master_Mapping_Sheet!$E$2:$E$3143),
Master_Mapping_Sheet!$H$2:$H$3143=P$1)))"),0.0)</f>
        <v>0</v>
      </c>
      <c r="Q7" s="34">
        <f>IFERROR(__xludf.DUMMYFUNCTION("IF(ISNA(sum(filter(
Master_Mapping_Sheet!$E$2:$E$3143, ISNUMBER(
Master_Mapping_Sheet!$E$2:$E$3143),
Master_Mapping_Sheet!$H$2:$H$3143=Q$1,
Master_Mapping_Sheet!$L$2:$L$3143=$A7))/sum(filter(
Master_Mapping_Sheet!$E$2:$E$3143, ISNUMBER(
Master_Mapping_She"&amp;"et!$E$2:$E$3143),
Master_Mapping_Sheet!$H$2:$H$3143=Q$1))), 0, sum(filter(
Master_Mapping_Sheet!$E$2:$E$3143, ISNUMBER(
Master_Mapping_Sheet!$E$2:$E$3143),
Master_Mapping_Sheet!$H$2:$H$3143=Q$1,
Master_Mapping_Sheet!$L$2:$L$3143=$A7))/sum(filter(
Master_M"&amp;"apping_Sheet!$E$2:$E$3143, ISNUMBER(
Master_Mapping_Sheet!$E$2:$E$3143),
Master_Mapping_Sheet!$H$2:$H$3143=Q$1)))"),0.0)</f>
        <v>0</v>
      </c>
      <c r="R7" s="34">
        <f>IFERROR(__xludf.DUMMYFUNCTION("IF(ISNA(sum(filter(
Master_Mapping_Sheet!$E$2:$E$3143, ISNUMBER(
Master_Mapping_Sheet!$E$2:$E$3143),
Master_Mapping_Sheet!$H$2:$H$3143=R$1,
Master_Mapping_Sheet!$L$2:$L$3143=$A7))/sum(filter(
Master_Mapping_Sheet!$E$2:$E$3143, ISNUMBER(
Master_Mapping_She"&amp;"et!$E$2:$E$3143),
Master_Mapping_Sheet!$H$2:$H$3143=R$1))), 0, sum(filter(
Master_Mapping_Sheet!$E$2:$E$3143, ISNUMBER(
Master_Mapping_Sheet!$E$2:$E$3143),
Master_Mapping_Sheet!$H$2:$H$3143=R$1,
Master_Mapping_Sheet!$L$2:$L$3143=$A7))/sum(filter(
Master_M"&amp;"apping_Sheet!$E$2:$E$3143, ISNUMBER(
Master_Mapping_Sheet!$E$2:$E$3143),
Master_Mapping_Sheet!$H$2:$H$3143=R$1)))"),0.0)</f>
        <v>0</v>
      </c>
      <c r="S7" s="34">
        <f>IFERROR(__xludf.DUMMYFUNCTION("IF(ISNA(sum(filter(
Master_Mapping_Sheet!$E$2:$E$3143, ISNUMBER(
Master_Mapping_Sheet!$E$2:$E$3143),
Master_Mapping_Sheet!$H$2:$H$3143=S$1,
Master_Mapping_Sheet!$L$2:$L$3143=$A7))/sum(filter(
Master_Mapping_Sheet!$E$2:$E$3143, ISNUMBER(
Master_Mapping_She"&amp;"et!$E$2:$E$3143),
Master_Mapping_Sheet!$H$2:$H$3143=S$1))), 0, sum(filter(
Master_Mapping_Sheet!$E$2:$E$3143, ISNUMBER(
Master_Mapping_Sheet!$E$2:$E$3143),
Master_Mapping_Sheet!$H$2:$H$3143=S$1,
Master_Mapping_Sheet!$L$2:$L$3143=$A7))/sum(filter(
Master_M"&amp;"apping_Sheet!$E$2:$E$3143, ISNUMBER(
Master_Mapping_Sheet!$E$2:$E$3143),
Master_Mapping_Sheet!$H$2:$H$3143=S$1)))"),0.0)</f>
        <v>0</v>
      </c>
      <c r="T7" s="34">
        <f>IFERROR(__xludf.DUMMYFUNCTION("IF(ISNA(sum(filter(
Master_Mapping_Sheet!$E$2:$E$3143, ISNUMBER(
Master_Mapping_Sheet!$E$2:$E$3143),
Master_Mapping_Sheet!$H$2:$H$3143=T$1,
Master_Mapping_Sheet!$L$2:$L$3143=$A7))/sum(filter(
Master_Mapping_Sheet!$E$2:$E$3143, ISNUMBER(
Master_Mapping_She"&amp;"et!$E$2:$E$3143),
Master_Mapping_Sheet!$H$2:$H$3143=T$1))), 0, sum(filter(
Master_Mapping_Sheet!$E$2:$E$3143, ISNUMBER(
Master_Mapping_Sheet!$E$2:$E$3143),
Master_Mapping_Sheet!$H$2:$H$3143=T$1,
Master_Mapping_Sheet!$L$2:$L$3143=$A7))/sum(filter(
Master_M"&amp;"apping_Sheet!$E$2:$E$3143, ISNUMBER(
Master_Mapping_Sheet!$E$2:$E$3143),
Master_Mapping_Sheet!$H$2:$H$3143=T$1)))"),0.0)</f>
        <v>0</v>
      </c>
      <c r="U7" s="34">
        <f>IFERROR(__xludf.DUMMYFUNCTION("IF(ISNA(sum(filter(
Master_Mapping_Sheet!$E$2:$E$3143, ISNUMBER(
Master_Mapping_Sheet!$E$2:$E$3143),
Master_Mapping_Sheet!$H$2:$H$3143=U$1,
Master_Mapping_Sheet!$L$2:$L$3143=$A7))/sum(filter(
Master_Mapping_Sheet!$E$2:$E$3143, ISNUMBER(
Master_Mapping_She"&amp;"et!$E$2:$E$3143),
Master_Mapping_Sheet!$H$2:$H$3143=U$1))), 0, sum(filter(
Master_Mapping_Sheet!$E$2:$E$3143, ISNUMBER(
Master_Mapping_Sheet!$E$2:$E$3143),
Master_Mapping_Sheet!$H$2:$H$3143=U$1,
Master_Mapping_Sheet!$L$2:$L$3143=$A7))/sum(filter(
Master_M"&amp;"apping_Sheet!$E$2:$E$3143, ISNUMBER(
Master_Mapping_Sheet!$E$2:$E$3143),
Master_Mapping_Sheet!$H$2:$H$3143=U$1)))"),0.0)</f>
        <v>0</v>
      </c>
      <c r="V7" s="34">
        <f>IFERROR(__xludf.DUMMYFUNCTION("IF(ISNA(sum(filter(
Master_Mapping_Sheet!$E$2:$E$3143, ISNUMBER(
Master_Mapping_Sheet!$E$2:$E$3143),
Master_Mapping_Sheet!$H$2:$H$3143=V$1,
Master_Mapping_Sheet!$L$2:$L$3143=$A7))/sum(filter(
Master_Mapping_Sheet!$E$2:$E$3143, ISNUMBER(
Master_Mapping_She"&amp;"et!$E$2:$E$3143),
Master_Mapping_Sheet!$H$2:$H$3143=V$1))), 0, sum(filter(
Master_Mapping_Sheet!$E$2:$E$3143, ISNUMBER(
Master_Mapping_Sheet!$E$2:$E$3143),
Master_Mapping_Sheet!$H$2:$H$3143=V$1,
Master_Mapping_Sheet!$L$2:$L$3143=$A7))/sum(filter(
Master_M"&amp;"apping_Sheet!$E$2:$E$3143, ISNUMBER(
Master_Mapping_Sheet!$E$2:$E$3143),
Master_Mapping_Sheet!$H$2:$H$3143=V$1)))"),0.47722464915682494)</f>
        <v>0.4772246492</v>
      </c>
      <c r="W7" s="34">
        <f>IFERROR(__xludf.DUMMYFUNCTION("IF(ISNA(sum(filter(
Master_Mapping_Sheet!$E$2:$E$3143, ISNUMBER(
Master_Mapping_Sheet!$E$2:$E$3143),
Master_Mapping_Sheet!$H$2:$H$3143=W$1,
Master_Mapping_Sheet!$L$2:$L$3143=$A7))/sum(filter(
Master_Mapping_Sheet!$E$2:$E$3143, ISNUMBER(
Master_Mapping_She"&amp;"et!$E$2:$E$3143),
Master_Mapping_Sheet!$H$2:$H$3143=W$1))), 0, sum(filter(
Master_Mapping_Sheet!$E$2:$E$3143, ISNUMBER(
Master_Mapping_Sheet!$E$2:$E$3143),
Master_Mapping_Sheet!$H$2:$H$3143=W$1,
Master_Mapping_Sheet!$L$2:$L$3143=$A7))/sum(filter(
Master_M"&amp;"apping_Sheet!$E$2:$E$3143, ISNUMBER(
Master_Mapping_Sheet!$E$2:$E$3143),
Master_Mapping_Sheet!$H$2:$H$3143=W$1)))"),0.03605095291734859)</f>
        <v>0.03605095292</v>
      </c>
      <c r="X7" s="34">
        <f>IFERROR(__xludf.DUMMYFUNCTION("IF(ISNA(sum(filter(
Master_Mapping_Sheet!$E$2:$E$3143, ISNUMBER(
Master_Mapping_Sheet!$E$2:$E$3143),
Master_Mapping_Sheet!$H$2:$H$3143=X$1,
Master_Mapping_Sheet!$L$2:$L$3143=$A7))/sum(filter(
Master_Mapping_Sheet!$E$2:$E$3143, ISNUMBER(
Master_Mapping_She"&amp;"et!$E$2:$E$3143),
Master_Mapping_Sheet!$H$2:$H$3143=X$1))), 0, sum(filter(
Master_Mapping_Sheet!$E$2:$E$3143, ISNUMBER(
Master_Mapping_Sheet!$E$2:$E$3143),
Master_Mapping_Sheet!$H$2:$H$3143=X$1,
Master_Mapping_Sheet!$L$2:$L$3143=$A7))/sum(filter(
Master_M"&amp;"apping_Sheet!$E$2:$E$3143, ISNUMBER(
Master_Mapping_Sheet!$E$2:$E$3143),
Master_Mapping_Sheet!$H$2:$H$3143=X$1)))"),0.0)</f>
        <v>0</v>
      </c>
      <c r="Y7" s="34">
        <f>IFERROR(__xludf.DUMMYFUNCTION("IF(ISNA(sum(filter(
Master_Mapping_Sheet!$E$2:$E$3143, ISNUMBER(
Master_Mapping_Sheet!$E$2:$E$3143),
Master_Mapping_Sheet!$H$2:$H$3143=Y$1,
Master_Mapping_Sheet!$L$2:$L$3143=$A7))/sum(filter(
Master_Mapping_Sheet!$E$2:$E$3143, ISNUMBER(
Master_Mapping_She"&amp;"et!$E$2:$E$3143),
Master_Mapping_Sheet!$H$2:$H$3143=Y$1))), 0, sum(filter(
Master_Mapping_Sheet!$E$2:$E$3143, ISNUMBER(
Master_Mapping_Sheet!$E$2:$E$3143),
Master_Mapping_Sheet!$H$2:$H$3143=Y$1,
Master_Mapping_Sheet!$L$2:$L$3143=$A7))/sum(filter(
Master_M"&amp;"apping_Sheet!$E$2:$E$3143, ISNUMBER(
Master_Mapping_Sheet!$E$2:$E$3143),
Master_Mapping_Sheet!$H$2:$H$3143=Y$1)))"),0.0)</f>
        <v>0</v>
      </c>
      <c r="Z7" s="34">
        <f>IFERROR(__xludf.DUMMYFUNCTION("IF(ISNA(sum(filter(
Master_Mapping_Sheet!$E$2:$E$3143, ISNUMBER(
Master_Mapping_Sheet!$E$2:$E$3143),
Master_Mapping_Sheet!$H$2:$H$3143=Z$1,
Master_Mapping_Sheet!$L$2:$L$3143=$A7))/sum(filter(
Master_Mapping_Sheet!$E$2:$E$3143, ISNUMBER(
Master_Mapping_She"&amp;"et!$E$2:$E$3143),
Master_Mapping_Sheet!$H$2:$H$3143=Z$1))), 0, sum(filter(
Master_Mapping_Sheet!$E$2:$E$3143, ISNUMBER(
Master_Mapping_Sheet!$E$2:$E$3143),
Master_Mapping_Sheet!$H$2:$H$3143=Z$1,
Master_Mapping_Sheet!$L$2:$L$3143=$A7))/sum(filter(
Master_M"&amp;"apping_Sheet!$E$2:$E$3143, ISNUMBER(
Master_Mapping_Sheet!$E$2:$E$3143),
Master_Mapping_Sheet!$H$2:$H$3143=Z$1)))"),0.0)</f>
        <v>0</v>
      </c>
    </row>
    <row r="8" ht="15.75" customHeight="1">
      <c r="A8" s="32" t="s">
        <v>223</v>
      </c>
      <c r="B8" s="34">
        <f>IFERROR(__xludf.DUMMYFUNCTION("IF(ISNA(sum(filter(
Master_Mapping_Sheet!$E$2:$E$3143, ISNUMBER(
Master_Mapping_Sheet!$E$2:$E$3143),
Master_Mapping_Sheet!$H$2:$H$3143=B$1,
Master_Mapping_Sheet!$L$2:$L$3143=$A8))/sum(filter(
Master_Mapping_Sheet!$E$2:$E$3143, ISNUMBER(
Master_Mapping_She"&amp;"et!$E$2:$E$3143),
Master_Mapping_Sheet!$H$2:$H$3143=B$1))), 0, sum(filter(
Master_Mapping_Sheet!$E$2:$E$3143, ISNUMBER(
Master_Mapping_Sheet!$E$2:$E$3143),
Master_Mapping_Sheet!$H$2:$H$3143=B$1,
Master_Mapping_Sheet!$L$2:$L$3143=$A8))/sum(filter(
Master_M"&amp;"apping_Sheet!$E$2:$E$3143, ISNUMBER(
Master_Mapping_Sheet!$E$2:$E$3143),
Master_Mapping_Sheet!$H$2:$H$3143=B$1)))"),0.0)</f>
        <v>0</v>
      </c>
      <c r="C8" s="34">
        <f>IFERROR(__xludf.DUMMYFUNCTION("IF(ISNA(sum(filter(
Master_Mapping_Sheet!$E$2:$E$3143, ISNUMBER(
Master_Mapping_Sheet!$E$2:$E$3143),
Master_Mapping_Sheet!$H$2:$H$3143=C$1,
Master_Mapping_Sheet!$L$2:$L$3143=$A8))/sum(filter(
Master_Mapping_Sheet!$E$2:$E$3143, ISNUMBER(
Master_Mapping_She"&amp;"et!$E$2:$E$3143),
Master_Mapping_Sheet!$H$2:$H$3143=C$1))), 0, sum(filter(
Master_Mapping_Sheet!$E$2:$E$3143, ISNUMBER(
Master_Mapping_Sheet!$E$2:$E$3143),
Master_Mapping_Sheet!$H$2:$H$3143=C$1,
Master_Mapping_Sheet!$L$2:$L$3143=$A8))/sum(filter(
Master_M"&amp;"apping_Sheet!$E$2:$E$3143, ISNUMBER(
Master_Mapping_Sheet!$E$2:$E$3143),
Master_Mapping_Sheet!$H$2:$H$3143=C$1)))"),0.0)</f>
        <v>0</v>
      </c>
      <c r="D8" s="34">
        <f>IFERROR(__xludf.DUMMYFUNCTION("IF(ISNA(sum(filter(
Master_Mapping_Sheet!$E$2:$E$3143, ISNUMBER(
Master_Mapping_Sheet!$E$2:$E$3143),
Master_Mapping_Sheet!$H$2:$H$3143=D$1,
Master_Mapping_Sheet!$L$2:$L$3143=$A8))/sum(filter(
Master_Mapping_Sheet!$E$2:$E$3143, ISNUMBER(
Master_Mapping_She"&amp;"et!$E$2:$E$3143),
Master_Mapping_Sheet!$H$2:$H$3143=D$1))), 0, sum(filter(
Master_Mapping_Sheet!$E$2:$E$3143, ISNUMBER(
Master_Mapping_Sheet!$E$2:$E$3143),
Master_Mapping_Sheet!$H$2:$H$3143=D$1,
Master_Mapping_Sheet!$L$2:$L$3143=$A8))/sum(filter(
Master_M"&amp;"apping_Sheet!$E$2:$E$3143, ISNUMBER(
Master_Mapping_Sheet!$E$2:$E$3143),
Master_Mapping_Sheet!$H$2:$H$3143=D$1)))"),0.0)</f>
        <v>0</v>
      </c>
      <c r="E8" s="34">
        <f>IFERROR(__xludf.DUMMYFUNCTION("IF(ISNA(sum(filter(
Master_Mapping_Sheet!$E$2:$E$3143, ISNUMBER(
Master_Mapping_Sheet!$E$2:$E$3143),
Master_Mapping_Sheet!$H$2:$H$3143=E$1,
Master_Mapping_Sheet!$L$2:$L$3143=$A8))/sum(filter(
Master_Mapping_Sheet!$E$2:$E$3143, ISNUMBER(
Master_Mapping_She"&amp;"et!$E$2:$E$3143),
Master_Mapping_Sheet!$H$2:$H$3143=E$1))), 0, sum(filter(
Master_Mapping_Sheet!$E$2:$E$3143, ISNUMBER(
Master_Mapping_Sheet!$E$2:$E$3143),
Master_Mapping_Sheet!$H$2:$H$3143=E$1,
Master_Mapping_Sheet!$L$2:$L$3143=$A8))/sum(filter(
Master_M"&amp;"apping_Sheet!$E$2:$E$3143, ISNUMBER(
Master_Mapping_Sheet!$E$2:$E$3143),
Master_Mapping_Sheet!$H$2:$H$3143=E$1)))"),0.5112549250919098)</f>
        <v>0.5112549251</v>
      </c>
      <c r="F8" s="34">
        <f>IFERROR(__xludf.DUMMYFUNCTION("IF(ISNA(sum(filter(
Master_Mapping_Sheet!$E$2:$E$3143, ISNUMBER(
Master_Mapping_Sheet!$E$2:$E$3143),
Master_Mapping_Sheet!$H$2:$H$3143=F$1,
Master_Mapping_Sheet!$L$2:$L$3143=$A8))/sum(filter(
Master_Mapping_Sheet!$E$2:$E$3143, ISNUMBER(
Master_Mapping_She"&amp;"et!$E$2:$E$3143),
Master_Mapping_Sheet!$H$2:$H$3143=F$1))), 0, sum(filter(
Master_Mapping_Sheet!$E$2:$E$3143, ISNUMBER(
Master_Mapping_Sheet!$E$2:$E$3143),
Master_Mapping_Sheet!$H$2:$H$3143=F$1,
Master_Mapping_Sheet!$L$2:$L$3143=$A8))/sum(filter(
Master_M"&amp;"apping_Sheet!$E$2:$E$3143, ISNUMBER(
Master_Mapping_Sheet!$E$2:$E$3143),
Master_Mapping_Sheet!$H$2:$H$3143=F$1)))"),0.0)</f>
        <v>0</v>
      </c>
      <c r="G8" s="34">
        <f>IFERROR(__xludf.DUMMYFUNCTION("IF(ISNA(sum(filter(
Master_Mapping_Sheet!$E$2:$E$3143, ISNUMBER(
Master_Mapping_Sheet!$E$2:$E$3143),
Master_Mapping_Sheet!$H$2:$H$3143=G$1,
Master_Mapping_Sheet!$L$2:$L$3143=$A8))/sum(filter(
Master_Mapping_Sheet!$E$2:$E$3143, ISNUMBER(
Master_Mapping_She"&amp;"et!$E$2:$E$3143),
Master_Mapping_Sheet!$H$2:$H$3143=G$1))), 0, sum(filter(
Master_Mapping_Sheet!$E$2:$E$3143, ISNUMBER(
Master_Mapping_Sheet!$E$2:$E$3143),
Master_Mapping_Sheet!$H$2:$H$3143=G$1,
Master_Mapping_Sheet!$L$2:$L$3143=$A8))/sum(filter(
Master_M"&amp;"apping_Sheet!$E$2:$E$3143, ISNUMBER(
Master_Mapping_Sheet!$E$2:$E$3143),
Master_Mapping_Sheet!$H$2:$H$3143=G$1)))"),0.01626545993605724)</f>
        <v>0.01626545994</v>
      </c>
      <c r="H8" s="34">
        <f>IFERROR(__xludf.DUMMYFUNCTION("IF(ISNA(sum(filter(
Master_Mapping_Sheet!$E$2:$E$3143, ISNUMBER(
Master_Mapping_Sheet!$E$2:$E$3143),
Master_Mapping_Sheet!$H$2:$H$3143=H$1,
Master_Mapping_Sheet!$L$2:$L$3143=$A8))/sum(filter(
Master_Mapping_Sheet!$E$2:$E$3143, ISNUMBER(
Master_Mapping_She"&amp;"et!$E$2:$E$3143),
Master_Mapping_Sheet!$H$2:$H$3143=H$1))), 0, sum(filter(
Master_Mapping_Sheet!$E$2:$E$3143, ISNUMBER(
Master_Mapping_Sheet!$E$2:$E$3143),
Master_Mapping_Sheet!$H$2:$H$3143=H$1,
Master_Mapping_Sheet!$L$2:$L$3143=$A8))/sum(filter(
Master_M"&amp;"apping_Sheet!$E$2:$E$3143, ISNUMBER(
Master_Mapping_Sheet!$E$2:$E$3143),
Master_Mapping_Sheet!$H$2:$H$3143=H$1)))"),0.0)</f>
        <v>0</v>
      </c>
      <c r="I8" s="34">
        <f>IFERROR(__xludf.DUMMYFUNCTION("IF(ISNA(sum(filter(
Master_Mapping_Sheet!$E$2:$E$3143, ISNUMBER(
Master_Mapping_Sheet!$E$2:$E$3143),
Master_Mapping_Sheet!$H$2:$H$3143=I$1,
Master_Mapping_Sheet!$L$2:$L$3143=$A8))/sum(filter(
Master_Mapping_Sheet!$E$2:$E$3143, ISNUMBER(
Master_Mapping_She"&amp;"et!$E$2:$E$3143),
Master_Mapping_Sheet!$H$2:$H$3143=I$1))), 0, sum(filter(
Master_Mapping_Sheet!$E$2:$E$3143, ISNUMBER(
Master_Mapping_Sheet!$E$2:$E$3143),
Master_Mapping_Sheet!$H$2:$H$3143=I$1,
Master_Mapping_Sheet!$L$2:$L$3143=$A8))/sum(filter(
Master_M"&amp;"apping_Sheet!$E$2:$E$3143, ISNUMBER(
Master_Mapping_Sheet!$E$2:$E$3143),
Master_Mapping_Sheet!$H$2:$H$3143=I$1)))"),1.0)</f>
        <v>1</v>
      </c>
      <c r="J8" s="34">
        <f>IFERROR(__xludf.DUMMYFUNCTION("IF(ISNA(sum(filter(
Master_Mapping_Sheet!$E$2:$E$3143, ISNUMBER(
Master_Mapping_Sheet!$E$2:$E$3143),
Master_Mapping_Sheet!$H$2:$H$3143=J$1,
Master_Mapping_Sheet!$L$2:$L$3143=$A8))/sum(filter(
Master_Mapping_Sheet!$E$2:$E$3143, ISNUMBER(
Master_Mapping_She"&amp;"et!$E$2:$E$3143),
Master_Mapping_Sheet!$H$2:$H$3143=J$1))), 0, sum(filter(
Master_Mapping_Sheet!$E$2:$E$3143, ISNUMBER(
Master_Mapping_Sheet!$E$2:$E$3143),
Master_Mapping_Sheet!$H$2:$H$3143=J$1,
Master_Mapping_Sheet!$L$2:$L$3143=$A8))/sum(filter(
Master_M"&amp;"apping_Sheet!$E$2:$E$3143, ISNUMBER(
Master_Mapping_Sheet!$E$2:$E$3143),
Master_Mapping_Sheet!$H$2:$H$3143=J$1)))"),0.0)</f>
        <v>0</v>
      </c>
      <c r="K8" s="34">
        <f>IFERROR(__xludf.DUMMYFUNCTION("IF(ISNA(sum(filter(
Master_Mapping_Sheet!$E$2:$E$3143, ISNUMBER(
Master_Mapping_Sheet!$E$2:$E$3143),
Master_Mapping_Sheet!$H$2:$H$3143=K$1,
Master_Mapping_Sheet!$L$2:$L$3143=$A8))/sum(filter(
Master_Mapping_Sheet!$E$2:$E$3143, ISNUMBER(
Master_Mapping_She"&amp;"et!$E$2:$E$3143),
Master_Mapping_Sheet!$H$2:$H$3143=K$1))), 0, sum(filter(
Master_Mapping_Sheet!$E$2:$E$3143, ISNUMBER(
Master_Mapping_Sheet!$E$2:$E$3143),
Master_Mapping_Sheet!$H$2:$H$3143=K$1,
Master_Mapping_Sheet!$L$2:$L$3143=$A8))/sum(filter(
Master_M"&amp;"apping_Sheet!$E$2:$E$3143, ISNUMBER(
Master_Mapping_Sheet!$E$2:$E$3143),
Master_Mapping_Sheet!$H$2:$H$3143=K$1)))"),0.6632963562407487)</f>
        <v>0.6632963562</v>
      </c>
      <c r="L8" s="34">
        <f>IFERROR(__xludf.DUMMYFUNCTION("IF(ISNA(sum(filter(
Master_Mapping_Sheet!$E$2:$E$3143, ISNUMBER(
Master_Mapping_Sheet!$E$2:$E$3143),
Master_Mapping_Sheet!$H$2:$H$3143=L$1,
Master_Mapping_Sheet!$L$2:$L$3143=$A8))/sum(filter(
Master_Mapping_Sheet!$E$2:$E$3143, ISNUMBER(
Master_Mapping_She"&amp;"et!$E$2:$E$3143),
Master_Mapping_Sheet!$H$2:$H$3143=L$1))), 0, sum(filter(
Master_Mapping_Sheet!$E$2:$E$3143, ISNUMBER(
Master_Mapping_Sheet!$E$2:$E$3143),
Master_Mapping_Sheet!$H$2:$H$3143=L$1,
Master_Mapping_Sheet!$L$2:$L$3143=$A8))/sum(filter(
Master_M"&amp;"apping_Sheet!$E$2:$E$3143, ISNUMBER(
Master_Mapping_Sheet!$E$2:$E$3143),
Master_Mapping_Sheet!$H$2:$H$3143=L$1)))"),0.24845797096835442)</f>
        <v>0.248457971</v>
      </c>
      <c r="M8" s="34">
        <f>IFERROR(__xludf.DUMMYFUNCTION("IF(ISNA(sum(filter(
Master_Mapping_Sheet!$E$2:$E$3143, ISNUMBER(
Master_Mapping_Sheet!$E$2:$E$3143),
Master_Mapping_Sheet!$H$2:$H$3143=M$1,
Master_Mapping_Sheet!$L$2:$L$3143=$A8))/sum(filter(
Master_Mapping_Sheet!$E$2:$E$3143, ISNUMBER(
Master_Mapping_She"&amp;"et!$E$2:$E$3143),
Master_Mapping_Sheet!$H$2:$H$3143=M$1))), 0, sum(filter(
Master_Mapping_Sheet!$E$2:$E$3143, ISNUMBER(
Master_Mapping_Sheet!$E$2:$E$3143),
Master_Mapping_Sheet!$H$2:$H$3143=M$1,
Master_Mapping_Sheet!$L$2:$L$3143=$A8))/sum(filter(
Master_M"&amp;"apping_Sheet!$E$2:$E$3143, ISNUMBER(
Master_Mapping_Sheet!$E$2:$E$3143),
Master_Mapping_Sheet!$H$2:$H$3143=M$1)))"),0.0)</f>
        <v>0</v>
      </c>
      <c r="N8" s="34">
        <f>IFERROR(__xludf.DUMMYFUNCTION("IF(ISNA(sum(filter(
Master_Mapping_Sheet!$E$2:$E$3143, ISNUMBER(
Master_Mapping_Sheet!$E$2:$E$3143),
Master_Mapping_Sheet!$H$2:$H$3143=N$1,
Master_Mapping_Sheet!$L$2:$L$3143=$A8))/sum(filter(
Master_Mapping_Sheet!$E$2:$E$3143, ISNUMBER(
Master_Mapping_She"&amp;"et!$E$2:$E$3143),
Master_Mapping_Sheet!$H$2:$H$3143=N$1))), 0, sum(filter(
Master_Mapping_Sheet!$E$2:$E$3143, ISNUMBER(
Master_Mapping_Sheet!$E$2:$E$3143),
Master_Mapping_Sheet!$H$2:$H$3143=N$1,
Master_Mapping_Sheet!$L$2:$L$3143=$A8))/sum(filter(
Master_M"&amp;"apping_Sheet!$E$2:$E$3143, ISNUMBER(
Master_Mapping_Sheet!$E$2:$E$3143),
Master_Mapping_Sheet!$H$2:$H$3143=N$1)))"),0.9473219875852374)</f>
        <v>0.9473219876</v>
      </c>
      <c r="O8" s="34">
        <f>IFERROR(__xludf.DUMMYFUNCTION("IF(ISNA(sum(filter(
Master_Mapping_Sheet!$E$2:$E$3143, ISNUMBER(
Master_Mapping_Sheet!$E$2:$E$3143),
Master_Mapping_Sheet!$H$2:$H$3143=O$1,
Master_Mapping_Sheet!$L$2:$L$3143=$A8))/sum(filter(
Master_Mapping_Sheet!$E$2:$E$3143, ISNUMBER(
Master_Mapping_She"&amp;"et!$E$2:$E$3143),
Master_Mapping_Sheet!$H$2:$H$3143=O$1))), 0, sum(filter(
Master_Mapping_Sheet!$E$2:$E$3143, ISNUMBER(
Master_Mapping_Sheet!$E$2:$E$3143),
Master_Mapping_Sheet!$H$2:$H$3143=O$1,
Master_Mapping_Sheet!$L$2:$L$3143=$A8))/sum(filter(
Master_M"&amp;"apping_Sheet!$E$2:$E$3143, ISNUMBER(
Master_Mapping_Sheet!$E$2:$E$3143),
Master_Mapping_Sheet!$H$2:$H$3143=O$1)))"),0.33376989515578476)</f>
        <v>0.3337698952</v>
      </c>
      <c r="P8" s="34">
        <f>IFERROR(__xludf.DUMMYFUNCTION("IF(ISNA(sum(filter(
Master_Mapping_Sheet!$E$2:$E$3143, ISNUMBER(
Master_Mapping_Sheet!$E$2:$E$3143),
Master_Mapping_Sheet!$H$2:$H$3143=P$1,
Master_Mapping_Sheet!$L$2:$L$3143=$A8))/sum(filter(
Master_Mapping_Sheet!$E$2:$E$3143, ISNUMBER(
Master_Mapping_She"&amp;"et!$E$2:$E$3143),
Master_Mapping_Sheet!$H$2:$H$3143=P$1))), 0, sum(filter(
Master_Mapping_Sheet!$E$2:$E$3143, ISNUMBER(
Master_Mapping_Sheet!$E$2:$E$3143),
Master_Mapping_Sheet!$H$2:$H$3143=P$1,
Master_Mapping_Sheet!$L$2:$L$3143=$A8))/sum(filter(
Master_M"&amp;"apping_Sheet!$E$2:$E$3143, ISNUMBER(
Master_Mapping_Sheet!$E$2:$E$3143),
Master_Mapping_Sheet!$H$2:$H$3143=P$1)))"),0.058600783082442626)</f>
        <v>0.05860078308</v>
      </c>
      <c r="Q8" s="34">
        <f>IFERROR(__xludf.DUMMYFUNCTION("IF(ISNA(sum(filter(
Master_Mapping_Sheet!$E$2:$E$3143, ISNUMBER(
Master_Mapping_Sheet!$E$2:$E$3143),
Master_Mapping_Sheet!$H$2:$H$3143=Q$1,
Master_Mapping_Sheet!$L$2:$L$3143=$A8))/sum(filter(
Master_Mapping_Sheet!$E$2:$E$3143, ISNUMBER(
Master_Mapping_She"&amp;"et!$E$2:$E$3143),
Master_Mapping_Sheet!$H$2:$H$3143=Q$1))), 0, sum(filter(
Master_Mapping_Sheet!$E$2:$E$3143, ISNUMBER(
Master_Mapping_Sheet!$E$2:$E$3143),
Master_Mapping_Sheet!$H$2:$H$3143=Q$1,
Master_Mapping_Sheet!$L$2:$L$3143=$A8))/sum(filter(
Master_M"&amp;"apping_Sheet!$E$2:$E$3143, ISNUMBER(
Master_Mapping_Sheet!$E$2:$E$3143),
Master_Mapping_Sheet!$H$2:$H$3143=Q$1)))"),0.7844315172526171)</f>
        <v>0.7844315173</v>
      </c>
      <c r="R8" s="34">
        <f>IFERROR(__xludf.DUMMYFUNCTION("IF(ISNA(sum(filter(
Master_Mapping_Sheet!$E$2:$E$3143, ISNUMBER(
Master_Mapping_Sheet!$E$2:$E$3143),
Master_Mapping_Sheet!$H$2:$H$3143=R$1,
Master_Mapping_Sheet!$L$2:$L$3143=$A8))/sum(filter(
Master_Mapping_Sheet!$E$2:$E$3143, ISNUMBER(
Master_Mapping_She"&amp;"et!$E$2:$E$3143),
Master_Mapping_Sheet!$H$2:$H$3143=R$1))), 0, sum(filter(
Master_Mapping_Sheet!$E$2:$E$3143, ISNUMBER(
Master_Mapping_Sheet!$E$2:$E$3143),
Master_Mapping_Sheet!$H$2:$H$3143=R$1,
Master_Mapping_Sheet!$L$2:$L$3143=$A8))/sum(filter(
Master_M"&amp;"apping_Sheet!$E$2:$E$3143, ISNUMBER(
Master_Mapping_Sheet!$E$2:$E$3143),
Master_Mapping_Sheet!$H$2:$H$3143=R$1)))"),0.08128768039045793)</f>
        <v>0.08128768039</v>
      </c>
      <c r="S8" s="34">
        <f>IFERROR(__xludf.DUMMYFUNCTION("IF(ISNA(sum(filter(
Master_Mapping_Sheet!$E$2:$E$3143, ISNUMBER(
Master_Mapping_Sheet!$E$2:$E$3143),
Master_Mapping_Sheet!$H$2:$H$3143=S$1,
Master_Mapping_Sheet!$L$2:$L$3143=$A8))/sum(filter(
Master_Mapping_Sheet!$E$2:$E$3143, ISNUMBER(
Master_Mapping_She"&amp;"et!$E$2:$E$3143),
Master_Mapping_Sheet!$H$2:$H$3143=S$1))), 0, sum(filter(
Master_Mapping_Sheet!$E$2:$E$3143, ISNUMBER(
Master_Mapping_Sheet!$E$2:$E$3143),
Master_Mapping_Sheet!$H$2:$H$3143=S$1,
Master_Mapping_Sheet!$L$2:$L$3143=$A8))/sum(filter(
Master_M"&amp;"apping_Sheet!$E$2:$E$3143, ISNUMBER(
Master_Mapping_Sheet!$E$2:$E$3143),
Master_Mapping_Sheet!$H$2:$H$3143=S$1)))"),0.9375588395177511)</f>
        <v>0.9375588395</v>
      </c>
      <c r="T8" s="34">
        <f>IFERROR(__xludf.DUMMYFUNCTION("IF(ISNA(sum(filter(
Master_Mapping_Sheet!$E$2:$E$3143, ISNUMBER(
Master_Mapping_Sheet!$E$2:$E$3143),
Master_Mapping_Sheet!$H$2:$H$3143=T$1,
Master_Mapping_Sheet!$L$2:$L$3143=$A8))/sum(filter(
Master_Mapping_Sheet!$E$2:$E$3143, ISNUMBER(
Master_Mapping_She"&amp;"et!$E$2:$E$3143),
Master_Mapping_Sheet!$H$2:$H$3143=T$1))), 0, sum(filter(
Master_Mapping_Sheet!$E$2:$E$3143, ISNUMBER(
Master_Mapping_Sheet!$E$2:$E$3143),
Master_Mapping_Sheet!$H$2:$H$3143=T$1,
Master_Mapping_Sheet!$L$2:$L$3143=$A8))/sum(filter(
Master_M"&amp;"apping_Sheet!$E$2:$E$3143, ISNUMBER(
Master_Mapping_Sheet!$E$2:$E$3143),
Master_Mapping_Sheet!$H$2:$H$3143=T$1)))"),0.0)</f>
        <v>0</v>
      </c>
      <c r="U8" s="34">
        <f>IFERROR(__xludf.DUMMYFUNCTION("IF(ISNA(sum(filter(
Master_Mapping_Sheet!$E$2:$E$3143, ISNUMBER(
Master_Mapping_Sheet!$E$2:$E$3143),
Master_Mapping_Sheet!$H$2:$H$3143=U$1,
Master_Mapping_Sheet!$L$2:$L$3143=$A8))/sum(filter(
Master_Mapping_Sheet!$E$2:$E$3143, ISNUMBER(
Master_Mapping_She"&amp;"et!$E$2:$E$3143),
Master_Mapping_Sheet!$H$2:$H$3143=U$1))), 0, sum(filter(
Master_Mapping_Sheet!$E$2:$E$3143, ISNUMBER(
Master_Mapping_Sheet!$E$2:$E$3143),
Master_Mapping_Sheet!$H$2:$H$3143=U$1,
Master_Mapping_Sheet!$L$2:$L$3143=$A8))/sum(filter(
Master_M"&amp;"apping_Sheet!$E$2:$E$3143, ISNUMBER(
Master_Mapping_Sheet!$E$2:$E$3143),
Master_Mapping_Sheet!$H$2:$H$3143=U$1)))"),0.0)</f>
        <v>0</v>
      </c>
      <c r="V8" s="34">
        <f>IFERROR(__xludf.DUMMYFUNCTION("IF(ISNA(sum(filter(
Master_Mapping_Sheet!$E$2:$E$3143, ISNUMBER(
Master_Mapping_Sheet!$E$2:$E$3143),
Master_Mapping_Sheet!$H$2:$H$3143=V$1,
Master_Mapping_Sheet!$L$2:$L$3143=$A8))/sum(filter(
Master_Mapping_Sheet!$E$2:$E$3143, ISNUMBER(
Master_Mapping_She"&amp;"et!$E$2:$E$3143),
Master_Mapping_Sheet!$H$2:$H$3143=V$1))), 0, sum(filter(
Master_Mapping_Sheet!$E$2:$E$3143, ISNUMBER(
Master_Mapping_Sheet!$E$2:$E$3143),
Master_Mapping_Sheet!$H$2:$H$3143=V$1,
Master_Mapping_Sheet!$L$2:$L$3143=$A8))/sum(filter(
Master_M"&amp;"apping_Sheet!$E$2:$E$3143, ISNUMBER(
Master_Mapping_Sheet!$E$2:$E$3143),
Master_Mapping_Sheet!$H$2:$H$3143=V$1)))"),0.0)</f>
        <v>0</v>
      </c>
      <c r="W8" s="34">
        <f>IFERROR(__xludf.DUMMYFUNCTION("IF(ISNA(sum(filter(
Master_Mapping_Sheet!$E$2:$E$3143, ISNUMBER(
Master_Mapping_Sheet!$E$2:$E$3143),
Master_Mapping_Sheet!$H$2:$H$3143=W$1,
Master_Mapping_Sheet!$L$2:$L$3143=$A8))/sum(filter(
Master_Mapping_Sheet!$E$2:$E$3143, ISNUMBER(
Master_Mapping_She"&amp;"et!$E$2:$E$3143),
Master_Mapping_Sheet!$H$2:$H$3143=W$1))), 0, sum(filter(
Master_Mapping_Sheet!$E$2:$E$3143, ISNUMBER(
Master_Mapping_Sheet!$E$2:$E$3143),
Master_Mapping_Sheet!$H$2:$H$3143=W$1,
Master_Mapping_Sheet!$L$2:$L$3143=$A8))/sum(filter(
Master_M"&amp;"apping_Sheet!$E$2:$E$3143, ISNUMBER(
Master_Mapping_Sheet!$E$2:$E$3143),
Master_Mapping_Sheet!$H$2:$H$3143=W$1)))"),0.0)</f>
        <v>0</v>
      </c>
      <c r="X8" s="34">
        <f>IFERROR(__xludf.DUMMYFUNCTION("IF(ISNA(sum(filter(
Master_Mapping_Sheet!$E$2:$E$3143, ISNUMBER(
Master_Mapping_Sheet!$E$2:$E$3143),
Master_Mapping_Sheet!$H$2:$H$3143=X$1,
Master_Mapping_Sheet!$L$2:$L$3143=$A8))/sum(filter(
Master_Mapping_Sheet!$E$2:$E$3143, ISNUMBER(
Master_Mapping_She"&amp;"et!$E$2:$E$3143),
Master_Mapping_Sheet!$H$2:$H$3143=X$1))), 0, sum(filter(
Master_Mapping_Sheet!$E$2:$E$3143, ISNUMBER(
Master_Mapping_Sheet!$E$2:$E$3143),
Master_Mapping_Sheet!$H$2:$H$3143=X$1,
Master_Mapping_Sheet!$L$2:$L$3143=$A8))/sum(filter(
Master_M"&amp;"apping_Sheet!$E$2:$E$3143, ISNUMBER(
Master_Mapping_Sheet!$E$2:$E$3143),
Master_Mapping_Sheet!$H$2:$H$3143=X$1)))"),0.0)</f>
        <v>0</v>
      </c>
      <c r="Y8" s="34">
        <f>IFERROR(__xludf.DUMMYFUNCTION("IF(ISNA(sum(filter(
Master_Mapping_Sheet!$E$2:$E$3143, ISNUMBER(
Master_Mapping_Sheet!$E$2:$E$3143),
Master_Mapping_Sheet!$H$2:$H$3143=Y$1,
Master_Mapping_Sheet!$L$2:$L$3143=$A8))/sum(filter(
Master_Mapping_Sheet!$E$2:$E$3143, ISNUMBER(
Master_Mapping_She"&amp;"et!$E$2:$E$3143),
Master_Mapping_Sheet!$H$2:$H$3143=Y$1))), 0, sum(filter(
Master_Mapping_Sheet!$E$2:$E$3143, ISNUMBER(
Master_Mapping_Sheet!$E$2:$E$3143),
Master_Mapping_Sheet!$H$2:$H$3143=Y$1,
Master_Mapping_Sheet!$L$2:$L$3143=$A8))/sum(filter(
Master_M"&amp;"apping_Sheet!$E$2:$E$3143, ISNUMBER(
Master_Mapping_Sheet!$E$2:$E$3143),
Master_Mapping_Sheet!$H$2:$H$3143=Y$1)))"),0.0)</f>
        <v>0</v>
      </c>
      <c r="Z8" s="34">
        <f>IFERROR(__xludf.DUMMYFUNCTION("IF(ISNA(sum(filter(
Master_Mapping_Sheet!$E$2:$E$3143, ISNUMBER(
Master_Mapping_Sheet!$E$2:$E$3143),
Master_Mapping_Sheet!$H$2:$H$3143=Z$1,
Master_Mapping_Sheet!$L$2:$L$3143=$A8))/sum(filter(
Master_Mapping_Sheet!$E$2:$E$3143, ISNUMBER(
Master_Mapping_She"&amp;"et!$E$2:$E$3143),
Master_Mapping_Sheet!$H$2:$H$3143=Z$1))), 0, sum(filter(
Master_Mapping_Sheet!$E$2:$E$3143, ISNUMBER(
Master_Mapping_Sheet!$E$2:$E$3143),
Master_Mapping_Sheet!$H$2:$H$3143=Z$1,
Master_Mapping_Sheet!$L$2:$L$3143=$A8))/sum(filter(
Master_M"&amp;"apping_Sheet!$E$2:$E$3143, ISNUMBER(
Master_Mapping_Sheet!$E$2:$E$3143),
Master_Mapping_Sheet!$H$2:$H$3143=Z$1)))"),0.0)</f>
        <v>0</v>
      </c>
    </row>
    <row r="9" ht="15.75" customHeight="1">
      <c r="A9" s="32" t="s">
        <v>207</v>
      </c>
      <c r="B9" s="34">
        <f>IFERROR(__xludf.DUMMYFUNCTION("IF(ISNA(sum(filter(
Master_Mapping_Sheet!$E$2:$E$3143, ISNUMBER(
Master_Mapping_Sheet!$E$2:$E$3143),
Master_Mapping_Sheet!$H$2:$H$3143=B$1,
Master_Mapping_Sheet!$L$2:$L$3143=$A9))/sum(filter(
Master_Mapping_Sheet!$E$2:$E$3143, ISNUMBER(
Master_Mapping_She"&amp;"et!$E$2:$E$3143),
Master_Mapping_Sheet!$H$2:$H$3143=B$1))), 0, sum(filter(
Master_Mapping_Sheet!$E$2:$E$3143, ISNUMBER(
Master_Mapping_Sheet!$E$2:$E$3143),
Master_Mapping_Sheet!$H$2:$H$3143=B$1,
Master_Mapping_Sheet!$L$2:$L$3143=$A9))/sum(filter(
Master_M"&amp;"apping_Sheet!$E$2:$E$3143, ISNUMBER(
Master_Mapping_Sheet!$E$2:$E$3143),
Master_Mapping_Sheet!$H$2:$H$3143=B$1)))"),1.2193159834608551E-4)</f>
        <v>0.0001219315983</v>
      </c>
      <c r="C9" s="34">
        <f>IFERROR(__xludf.DUMMYFUNCTION("IF(ISNA(sum(filter(
Master_Mapping_Sheet!$E$2:$E$3143, ISNUMBER(
Master_Mapping_Sheet!$E$2:$E$3143),
Master_Mapping_Sheet!$H$2:$H$3143=C$1,
Master_Mapping_Sheet!$L$2:$L$3143=$A9))/sum(filter(
Master_Mapping_Sheet!$E$2:$E$3143, ISNUMBER(
Master_Mapping_She"&amp;"et!$E$2:$E$3143),
Master_Mapping_Sheet!$H$2:$H$3143=C$1))), 0, sum(filter(
Master_Mapping_Sheet!$E$2:$E$3143, ISNUMBER(
Master_Mapping_Sheet!$E$2:$E$3143),
Master_Mapping_Sheet!$H$2:$H$3143=C$1,
Master_Mapping_Sheet!$L$2:$L$3143=$A9))/sum(filter(
Master_M"&amp;"apping_Sheet!$E$2:$E$3143, ISNUMBER(
Master_Mapping_Sheet!$E$2:$E$3143),
Master_Mapping_Sheet!$H$2:$H$3143=C$1)))"),0.0)</f>
        <v>0</v>
      </c>
      <c r="D9" s="34">
        <f>IFERROR(__xludf.DUMMYFUNCTION("IF(ISNA(sum(filter(
Master_Mapping_Sheet!$E$2:$E$3143, ISNUMBER(
Master_Mapping_Sheet!$E$2:$E$3143),
Master_Mapping_Sheet!$H$2:$H$3143=D$1,
Master_Mapping_Sheet!$L$2:$L$3143=$A9))/sum(filter(
Master_Mapping_Sheet!$E$2:$E$3143, ISNUMBER(
Master_Mapping_She"&amp;"et!$E$2:$E$3143),
Master_Mapping_Sheet!$H$2:$H$3143=D$1))), 0, sum(filter(
Master_Mapping_Sheet!$E$2:$E$3143, ISNUMBER(
Master_Mapping_Sheet!$E$2:$E$3143),
Master_Mapping_Sheet!$H$2:$H$3143=D$1,
Master_Mapping_Sheet!$L$2:$L$3143=$A9))/sum(filter(
Master_M"&amp;"apping_Sheet!$E$2:$E$3143, ISNUMBER(
Master_Mapping_Sheet!$E$2:$E$3143),
Master_Mapping_Sheet!$H$2:$H$3143=D$1)))"),0.0)</f>
        <v>0</v>
      </c>
      <c r="E9" s="34">
        <f>IFERROR(__xludf.DUMMYFUNCTION("IF(ISNA(sum(filter(
Master_Mapping_Sheet!$E$2:$E$3143, ISNUMBER(
Master_Mapping_Sheet!$E$2:$E$3143),
Master_Mapping_Sheet!$H$2:$H$3143=E$1,
Master_Mapping_Sheet!$L$2:$L$3143=$A9))/sum(filter(
Master_Mapping_Sheet!$E$2:$E$3143, ISNUMBER(
Master_Mapping_She"&amp;"et!$E$2:$E$3143),
Master_Mapping_Sheet!$H$2:$H$3143=E$1))), 0, sum(filter(
Master_Mapping_Sheet!$E$2:$E$3143, ISNUMBER(
Master_Mapping_Sheet!$E$2:$E$3143),
Master_Mapping_Sheet!$H$2:$H$3143=E$1,
Master_Mapping_Sheet!$L$2:$L$3143=$A9))/sum(filter(
Master_M"&amp;"apping_Sheet!$E$2:$E$3143, ISNUMBER(
Master_Mapping_Sheet!$E$2:$E$3143),
Master_Mapping_Sheet!$H$2:$H$3143=E$1)))"),0.0)</f>
        <v>0</v>
      </c>
      <c r="F9" s="34">
        <f>IFERROR(__xludf.DUMMYFUNCTION("IF(ISNA(sum(filter(
Master_Mapping_Sheet!$E$2:$E$3143, ISNUMBER(
Master_Mapping_Sheet!$E$2:$E$3143),
Master_Mapping_Sheet!$H$2:$H$3143=F$1,
Master_Mapping_Sheet!$L$2:$L$3143=$A9))/sum(filter(
Master_Mapping_Sheet!$E$2:$E$3143, ISNUMBER(
Master_Mapping_She"&amp;"et!$E$2:$E$3143),
Master_Mapping_Sheet!$H$2:$H$3143=F$1))), 0, sum(filter(
Master_Mapping_Sheet!$E$2:$E$3143, ISNUMBER(
Master_Mapping_Sheet!$E$2:$E$3143),
Master_Mapping_Sheet!$H$2:$H$3143=F$1,
Master_Mapping_Sheet!$L$2:$L$3143=$A9))/sum(filter(
Master_M"&amp;"apping_Sheet!$E$2:$E$3143, ISNUMBER(
Master_Mapping_Sheet!$E$2:$E$3143),
Master_Mapping_Sheet!$H$2:$H$3143=F$1)))"),0.0)</f>
        <v>0</v>
      </c>
      <c r="G9" s="34">
        <f>IFERROR(__xludf.DUMMYFUNCTION("IF(ISNA(sum(filter(
Master_Mapping_Sheet!$E$2:$E$3143, ISNUMBER(
Master_Mapping_Sheet!$E$2:$E$3143),
Master_Mapping_Sheet!$H$2:$H$3143=G$1,
Master_Mapping_Sheet!$L$2:$L$3143=$A9))/sum(filter(
Master_Mapping_Sheet!$E$2:$E$3143, ISNUMBER(
Master_Mapping_She"&amp;"et!$E$2:$E$3143),
Master_Mapping_Sheet!$H$2:$H$3143=G$1))), 0, sum(filter(
Master_Mapping_Sheet!$E$2:$E$3143, ISNUMBER(
Master_Mapping_Sheet!$E$2:$E$3143),
Master_Mapping_Sheet!$H$2:$H$3143=G$1,
Master_Mapping_Sheet!$L$2:$L$3143=$A9))/sum(filter(
Master_M"&amp;"apping_Sheet!$E$2:$E$3143, ISNUMBER(
Master_Mapping_Sheet!$E$2:$E$3143),
Master_Mapping_Sheet!$H$2:$H$3143=G$1)))"),0.0)</f>
        <v>0</v>
      </c>
      <c r="H9" s="34">
        <f>IFERROR(__xludf.DUMMYFUNCTION("IF(ISNA(sum(filter(
Master_Mapping_Sheet!$E$2:$E$3143, ISNUMBER(
Master_Mapping_Sheet!$E$2:$E$3143),
Master_Mapping_Sheet!$H$2:$H$3143=H$1,
Master_Mapping_Sheet!$L$2:$L$3143=$A9))/sum(filter(
Master_Mapping_Sheet!$E$2:$E$3143, ISNUMBER(
Master_Mapping_She"&amp;"et!$E$2:$E$3143),
Master_Mapping_Sheet!$H$2:$H$3143=H$1))), 0, sum(filter(
Master_Mapping_Sheet!$E$2:$E$3143, ISNUMBER(
Master_Mapping_Sheet!$E$2:$E$3143),
Master_Mapping_Sheet!$H$2:$H$3143=H$1,
Master_Mapping_Sheet!$L$2:$L$3143=$A9))/sum(filter(
Master_M"&amp;"apping_Sheet!$E$2:$E$3143, ISNUMBER(
Master_Mapping_Sheet!$E$2:$E$3143),
Master_Mapping_Sheet!$H$2:$H$3143=H$1)))"),0.0)</f>
        <v>0</v>
      </c>
      <c r="I9" s="34">
        <f>IFERROR(__xludf.DUMMYFUNCTION("IF(ISNA(sum(filter(
Master_Mapping_Sheet!$E$2:$E$3143, ISNUMBER(
Master_Mapping_Sheet!$E$2:$E$3143),
Master_Mapping_Sheet!$H$2:$H$3143=I$1,
Master_Mapping_Sheet!$L$2:$L$3143=$A9))/sum(filter(
Master_Mapping_Sheet!$E$2:$E$3143, ISNUMBER(
Master_Mapping_She"&amp;"et!$E$2:$E$3143),
Master_Mapping_Sheet!$H$2:$H$3143=I$1))), 0, sum(filter(
Master_Mapping_Sheet!$E$2:$E$3143, ISNUMBER(
Master_Mapping_Sheet!$E$2:$E$3143),
Master_Mapping_Sheet!$H$2:$H$3143=I$1,
Master_Mapping_Sheet!$L$2:$L$3143=$A9))/sum(filter(
Master_M"&amp;"apping_Sheet!$E$2:$E$3143, ISNUMBER(
Master_Mapping_Sheet!$E$2:$E$3143),
Master_Mapping_Sheet!$H$2:$H$3143=I$1)))"),0.0)</f>
        <v>0</v>
      </c>
      <c r="J9" s="34">
        <f>IFERROR(__xludf.DUMMYFUNCTION("IF(ISNA(sum(filter(
Master_Mapping_Sheet!$E$2:$E$3143, ISNUMBER(
Master_Mapping_Sheet!$E$2:$E$3143),
Master_Mapping_Sheet!$H$2:$H$3143=J$1,
Master_Mapping_Sheet!$L$2:$L$3143=$A9))/sum(filter(
Master_Mapping_Sheet!$E$2:$E$3143, ISNUMBER(
Master_Mapping_She"&amp;"et!$E$2:$E$3143),
Master_Mapping_Sheet!$H$2:$H$3143=J$1))), 0, sum(filter(
Master_Mapping_Sheet!$E$2:$E$3143, ISNUMBER(
Master_Mapping_Sheet!$E$2:$E$3143),
Master_Mapping_Sheet!$H$2:$H$3143=J$1,
Master_Mapping_Sheet!$L$2:$L$3143=$A9))/sum(filter(
Master_M"&amp;"apping_Sheet!$E$2:$E$3143, ISNUMBER(
Master_Mapping_Sheet!$E$2:$E$3143),
Master_Mapping_Sheet!$H$2:$H$3143=J$1)))"),0.0)</f>
        <v>0</v>
      </c>
      <c r="K9" s="34">
        <f>IFERROR(__xludf.DUMMYFUNCTION("IF(ISNA(sum(filter(
Master_Mapping_Sheet!$E$2:$E$3143, ISNUMBER(
Master_Mapping_Sheet!$E$2:$E$3143),
Master_Mapping_Sheet!$H$2:$H$3143=K$1,
Master_Mapping_Sheet!$L$2:$L$3143=$A9))/sum(filter(
Master_Mapping_Sheet!$E$2:$E$3143, ISNUMBER(
Master_Mapping_She"&amp;"et!$E$2:$E$3143),
Master_Mapping_Sheet!$H$2:$H$3143=K$1))), 0, sum(filter(
Master_Mapping_Sheet!$E$2:$E$3143, ISNUMBER(
Master_Mapping_Sheet!$E$2:$E$3143),
Master_Mapping_Sheet!$H$2:$H$3143=K$1,
Master_Mapping_Sheet!$L$2:$L$3143=$A9))/sum(filter(
Master_M"&amp;"apping_Sheet!$E$2:$E$3143, ISNUMBER(
Master_Mapping_Sheet!$E$2:$E$3143),
Master_Mapping_Sheet!$H$2:$H$3143=K$1)))"),0.0)</f>
        <v>0</v>
      </c>
      <c r="L9" s="34">
        <f>IFERROR(__xludf.DUMMYFUNCTION("IF(ISNA(sum(filter(
Master_Mapping_Sheet!$E$2:$E$3143, ISNUMBER(
Master_Mapping_Sheet!$E$2:$E$3143),
Master_Mapping_Sheet!$H$2:$H$3143=L$1,
Master_Mapping_Sheet!$L$2:$L$3143=$A9))/sum(filter(
Master_Mapping_Sheet!$E$2:$E$3143, ISNUMBER(
Master_Mapping_She"&amp;"et!$E$2:$E$3143),
Master_Mapping_Sheet!$H$2:$H$3143=L$1))), 0, sum(filter(
Master_Mapping_Sheet!$E$2:$E$3143, ISNUMBER(
Master_Mapping_Sheet!$E$2:$E$3143),
Master_Mapping_Sheet!$H$2:$H$3143=L$1,
Master_Mapping_Sheet!$L$2:$L$3143=$A9))/sum(filter(
Master_M"&amp;"apping_Sheet!$E$2:$E$3143, ISNUMBER(
Master_Mapping_Sheet!$E$2:$E$3143),
Master_Mapping_Sheet!$H$2:$H$3143=L$1)))"),0.0)</f>
        <v>0</v>
      </c>
      <c r="M9" s="34">
        <f>IFERROR(__xludf.DUMMYFUNCTION("IF(ISNA(sum(filter(
Master_Mapping_Sheet!$E$2:$E$3143, ISNUMBER(
Master_Mapping_Sheet!$E$2:$E$3143),
Master_Mapping_Sheet!$H$2:$H$3143=M$1,
Master_Mapping_Sheet!$L$2:$L$3143=$A9))/sum(filter(
Master_Mapping_Sheet!$E$2:$E$3143, ISNUMBER(
Master_Mapping_She"&amp;"et!$E$2:$E$3143),
Master_Mapping_Sheet!$H$2:$H$3143=M$1))), 0, sum(filter(
Master_Mapping_Sheet!$E$2:$E$3143, ISNUMBER(
Master_Mapping_Sheet!$E$2:$E$3143),
Master_Mapping_Sheet!$H$2:$H$3143=M$1,
Master_Mapping_Sheet!$L$2:$L$3143=$A9))/sum(filter(
Master_M"&amp;"apping_Sheet!$E$2:$E$3143, ISNUMBER(
Master_Mapping_Sheet!$E$2:$E$3143),
Master_Mapping_Sheet!$H$2:$H$3143=M$1)))"),0.0)</f>
        <v>0</v>
      </c>
      <c r="N9" s="34">
        <f>IFERROR(__xludf.DUMMYFUNCTION("IF(ISNA(sum(filter(
Master_Mapping_Sheet!$E$2:$E$3143, ISNUMBER(
Master_Mapping_Sheet!$E$2:$E$3143),
Master_Mapping_Sheet!$H$2:$H$3143=N$1,
Master_Mapping_Sheet!$L$2:$L$3143=$A9))/sum(filter(
Master_Mapping_Sheet!$E$2:$E$3143, ISNUMBER(
Master_Mapping_She"&amp;"et!$E$2:$E$3143),
Master_Mapping_Sheet!$H$2:$H$3143=N$1))), 0, sum(filter(
Master_Mapping_Sheet!$E$2:$E$3143, ISNUMBER(
Master_Mapping_Sheet!$E$2:$E$3143),
Master_Mapping_Sheet!$H$2:$H$3143=N$1,
Master_Mapping_Sheet!$L$2:$L$3143=$A9))/sum(filter(
Master_M"&amp;"apping_Sheet!$E$2:$E$3143, ISNUMBER(
Master_Mapping_Sheet!$E$2:$E$3143),
Master_Mapping_Sheet!$H$2:$H$3143=N$1)))"),0.0)</f>
        <v>0</v>
      </c>
      <c r="O9" s="34">
        <f>IFERROR(__xludf.DUMMYFUNCTION("IF(ISNA(sum(filter(
Master_Mapping_Sheet!$E$2:$E$3143, ISNUMBER(
Master_Mapping_Sheet!$E$2:$E$3143),
Master_Mapping_Sheet!$H$2:$H$3143=O$1,
Master_Mapping_Sheet!$L$2:$L$3143=$A9))/sum(filter(
Master_Mapping_Sheet!$E$2:$E$3143, ISNUMBER(
Master_Mapping_She"&amp;"et!$E$2:$E$3143),
Master_Mapping_Sheet!$H$2:$H$3143=O$1))), 0, sum(filter(
Master_Mapping_Sheet!$E$2:$E$3143, ISNUMBER(
Master_Mapping_Sheet!$E$2:$E$3143),
Master_Mapping_Sheet!$H$2:$H$3143=O$1,
Master_Mapping_Sheet!$L$2:$L$3143=$A9))/sum(filter(
Master_M"&amp;"apping_Sheet!$E$2:$E$3143, ISNUMBER(
Master_Mapping_Sheet!$E$2:$E$3143),
Master_Mapping_Sheet!$H$2:$H$3143=O$1)))"),0.0)</f>
        <v>0</v>
      </c>
      <c r="P9" s="34">
        <f>IFERROR(__xludf.DUMMYFUNCTION("IF(ISNA(sum(filter(
Master_Mapping_Sheet!$E$2:$E$3143, ISNUMBER(
Master_Mapping_Sheet!$E$2:$E$3143),
Master_Mapping_Sheet!$H$2:$H$3143=P$1,
Master_Mapping_Sheet!$L$2:$L$3143=$A9))/sum(filter(
Master_Mapping_Sheet!$E$2:$E$3143, ISNUMBER(
Master_Mapping_She"&amp;"et!$E$2:$E$3143),
Master_Mapping_Sheet!$H$2:$H$3143=P$1))), 0, sum(filter(
Master_Mapping_Sheet!$E$2:$E$3143, ISNUMBER(
Master_Mapping_Sheet!$E$2:$E$3143),
Master_Mapping_Sheet!$H$2:$H$3143=P$1,
Master_Mapping_Sheet!$L$2:$L$3143=$A9))/sum(filter(
Master_M"&amp;"apping_Sheet!$E$2:$E$3143, ISNUMBER(
Master_Mapping_Sheet!$E$2:$E$3143),
Master_Mapping_Sheet!$H$2:$H$3143=P$1)))"),0.0)</f>
        <v>0</v>
      </c>
      <c r="Q9" s="34">
        <f>IFERROR(__xludf.DUMMYFUNCTION("IF(ISNA(sum(filter(
Master_Mapping_Sheet!$E$2:$E$3143, ISNUMBER(
Master_Mapping_Sheet!$E$2:$E$3143),
Master_Mapping_Sheet!$H$2:$H$3143=Q$1,
Master_Mapping_Sheet!$L$2:$L$3143=$A9))/sum(filter(
Master_Mapping_Sheet!$E$2:$E$3143, ISNUMBER(
Master_Mapping_She"&amp;"et!$E$2:$E$3143),
Master_Mapping_Sheet!$H$2:$H$3143=Q$1))), 0, sum(filter(
Master_Mapping_Sheet!$E$2:$E$3143, ISNUMBER(
Master_Mapping_Sheet!$E$2:$E$3143),
Master_Mapping_Sheet!$H$2:$H$3143=Q$1,
Master_Mapping_Sheet!$L$2:$L$3143=$A9))/sum(filter(
Master_M"&amp;"apping_Sheet!$E$2:$E$3143, ISNUMBER(
Master_Mapping_Sheet!$E$2:$E$3143),
Master_Mapping_Sheet!$H$2:$H$3143=Q$1)))"),0.0)</f>
        <v>0</v>
      </c>
      <c r="R9" s="34">
        <f>IFERROR(__xludf.DUMMYFUNCTION("IF(ISNA(sum(filter(
Master_Mapping_Sheet!$E$2:$E$3143, ISNUMBER(
Master_Mapping_Sheet!$E$2:$E$3143),
Master_Mapping_Sheet!$H$2:$H$3143=R$1,
Master_Mapping_Sheet!$L$2:$L$3143=$A9))/sum(filter(
Master_Mapping_Sheet!$E$2:$E$3143, ISNUMBER(
Master_Mapping_She"&amp;"et!$E$2:$E$3143),
Master_Mapping_Sheet!$H$2:$H$3143=R$1))), 0, sum(filter(
Master_Mapping_Sheet!$E$2:$E$3143, ISNUMBER(
Master_Mapping_Sheet!$E$2:$E$3143),
Master_Mapping_Sheet!$H$2:$H$3143=R$1,
Master_Mapping_Sheet!$L$2:$L$3143=$A9))/sum(filter(
Master_M"&amp;"apping_Sheet!$E$2:$E$3143, ISNUMBER(
Master_Mapping_Sheet!$E$2:$E$3143),
Master_Mapping_Sheet!$H$2:$H$3143=R$1)))"),0.07807548896482569)</f>
        <v>0.07807548896</v>
      </c>
      <c r="S9" s="34">
        <f>IFERROR(__xludf.DUMMYFUNCTION("IF(ISNA(sum(filter(
Master_Mapping_Sheet!$E$2:$E$3143, ISNUMBER(
Master_Mapping_Sheet!$E$2:$E$3143),
Master_Mapping_Sheet!$H$2:$H$3143=S$1,
Master_Mapping_Sheet!$L$2:$L$3143=$A9))/sum(filter(
Master_Mapping_Sheet!$E$2:$E$3143, ISNUMBER(
Master_Mapping_She"&amp;"et!$E$2:$E$3143),
Master_Mapping_Sheet!$H$2:$H$3143=S$1))), 0, sum(filter(
Master_Mapping_Sheet!$E$2:$E$3143, ISNUMBER(
Master_Mapping_Sheet!$E$2:$E$3143),
Master_Mapping_Sheet!$H$2:$H$3143=S$1,
Master_Mapping_Sheet!$L$2:$L$3143=$A9))/sum(filter(
Master_M"&amp;"apping_Sheet!$E$2:$E$3143, ISNUMBER(
Master_Mapping_Sheet!$E$2:$E$3143),
Master_Mapping_Sheet!$H$2:$H$3143=S$1)))"),0.0)</f>
        <v>0</v>
      </c>
      <c r="T9" s="34">
        <f>IFERROR(__xludf.DUMMYFUNCTION("IF(ISNA(sum(filter(
Master_Mapping_Sheet!$E$2:$E$3143, ISNUMBER(
Master_Mapping_Sheet!$E$2:$E$3143),
Master_Mapping_Sheet!$H$2:$H$3143=T$1,
Master_Mapping_Sheet!$L$2:$L$3143=$A9))/sum(filter(
Master_Mapping_Sheet!$E$2:$E$3143, ISNUMBER(
Master_Mapping_She"&amp;"et!$E$2:$E$3143),
Master_Mapping_Sheet!$H$2:$H$3143=T$1))), 0, sum(filter(
Master_Mapping_Sheet!$E$2:$E$3143, ISNUMBER(
Master_Mapping_Sheet!$E$2:$E$3143),
Master_Mapping_Sheet!$H$2:$H$3143=T$1,
Master_Mapping_Sheet!$L$2:$L$3143=$A9))/sum(filter(
Master_M"&amp;"apping_Sheet!$E$2:$E$3143, ISNUMBER(
Master_Mapping_Sheet!$E$2:$E$3143),
Master_Mapping_Sheet!$H$2:$H$3143=T$1)))"),0.0)</f>
        <v>0</v>
      </c>
      <c r="U9" s="34">
        <f>IFERROR(__xludf.DUMMYFUNCTION("IF(ISNA(sum(filter(
Master_Mapping_Sheet!$E$2:$E$3143, ISNUMBER(
Master_Mapping_Sheet!$E$2:$E$3143),
Master_Mapping_Sheet!$H$2:$H$3143=U$1,
Master_Mapping_Sheet!$L$2:$L$3143=$A9))/sum(filter(
Master_Mapping_Sheet!$E$2:$E$3143, ISNUMBER(
Master_Mapping_She"&amp;"et!$E$2:$E$3143),
Master_Mapping_Sheet!$H$2:$H$3143=U$1))), 0, sum(filter(
Master_Mapping_Sheet!$E$2:$E$3143, ISNUMBER(
Master_Mapping_Sheet!$E$2:$E$3143),
Master_Mapping_Sheet!$H$2:$H$3143=U$1,
Master_Mapping_Sheet!$L$2:$L$3143=$A9))/sum(filter(
Master_M"&amp;"apping_Sheet!$E$2:$E$3143, ISNUMBER(
Master_Mapping_Sheet!$E$2:$E$3143),
Master_Mapping_Sheet!$H$2:$H$3143=U$1)))"),0.11418234516563776)</f>
        <v>0.1141823452</v>
      </c>
      <c r="V9" s="34">
        <f>IFERROR(__xludf.DUMMYFUNCTION("IF(ISNA(sum(filter(
Master_Mapping_Sheet!$E$2:$E$3143, ISNUMBER(
Master_Mapping_Sheet!$E$2:$E$3143),
Master_Mapping_Sheet!$H$2:$H$3143=V$1,
Master_Mapping_Sheet!$L$2:$L$3143=$A9))/sum(filter(
Master_Mapping_Sheet!$E$2:$E$3143, ISNUMBER(
Master_Mapping_She"&amp;"et!$E$2:$E$3143),
Master_Mapping_Sheet!$H$2:$H$3143=V$1))), 0, sum(filter(
Master_Mapping_Sheet!$E$2:$E$3143, ISNUMBER(
Master_Mapping_Sheet!$E$2:$E$3143),
Master_Mapping_Sheet!$H$2:$H$3143=V$1,
Master_Mapping_Sheet!$L$2:$L$3143=$A9))/sum(filter(
Master_M"&amp;"apping_Sheet!$E$2:$E$3143, ISNUMBER(
Master_Mapping_Sheet!$E$2:$E$3143),
Master_Mapping_Sheet!$H$2:$H$3143=V$1)))"),0.027780876867314914)</f>
        <v>0.02778087687</v>
      </c>
      <c r="W9" s="34">
        <f>IFERROR(__xludf.DUMMYFUNCTION("IF(ISNA(sum(filter(
Master_Mapping_Sheet!$E$2:$E$3143, ISNUMBER(
Master_Mapping_Sheet!$E$2:$E$3143),
Master_Mapping_Sheet!$H$2:$H$3143=W$1,
Master_Mapping_Sheet!$L$2:$L$3143=$A9))/sum(filter(
Master_Mapping_Sheet!$E$2:$E$3143, ISNUMBER(
Master_Mapping_She"&amp;"et!$E$2:$E$3143),
Master_Mapping_Sheet!$H$2:$H$3143=W$1))), 0, sum(filter(
Master_Mapping_Sheet!$E$2:$E$3143, ISNUMBER(
Master_Mapping_Sheet!$E$2:$E$3143),
Master_Mapping_Sheet!$H$2:$H$3143=W$1,
Master_Mapping_Sheet!$L$2:$L$3143=$A9))/sum(filter(
Master_M"&amp;"apping_Sheet!$E$2:$E$3143, ISNUMBER(
Master_Mapping_Sheet!$E$2:$E$3143),
Master_Mapping_Sheet!$H$2:$H$3143=W$1)))"),8.051157857492464E-4)</f>
        <v>0.0008051157857</v>
      </c>
      <c r="X9" s="34">
        <f>IFERROR(__xludf.DUMMYFUNCTION("IF(ISNA(sum(filter(
Master_Mapping_Sheet!$E$2:$E$3143, ISNUMBER(
Master_Mapping_Sheet!$E$2:$E$3143),
Master_Mapping_Sheet!$H$2:$H$3143=X$1,
Master_Mapping_Sheet!$L$2:$L$3143=$A9))/sum(filter(
Master_Mapping_Sheet!$E$2:$E$3143, ISNUMBER(
Master_Mapping_She"&amp;"et!$E$2:$E$3143),
Master_Mapping_Sheet!$H$2:$H$3143=X$1))), 0, sum(filter(
Master_Mapping_Sheet!$E$2:$E$3143, ISNUMBER(
Master_Mapping_Sheet!$E$2:$E$3143),
Master_Mapping_Sheet!$H$2:$H$3143=X$1,
Master_Mapping_Sheet!$L$2:$L$3143=$A9))/sum(filter(
Master_M"&amp;"apping_Sheet!$E$2:$E$3143, ISNUMBER(
Master_Mapping_Sheet!$E$2:$E$3143),
Master_Mapping_Sheet!$H$2:$H$3143=X$1)))"),0.0)</f>
        <v>0</v>
      </c>
      <c r="Y9" s="34">
        <f>IFERROR(__xludf.DUMMYFUNCTION("IF(ISNA(sum(filter(
Master_Mapping_Sheet!$E$2:$E$3143, ISNUMBER(
Master_Mapping_Sheet!$E$2:$E$3143),
Master_Mapping_Sheet!$H$2:$H$3143=Y$1,
Master_Mapping_Sheet!$L$2:$L$3143=$A9))/sum(filter(
Master_Mapping_Sheet!$E$2:$E$3143, ISNUMBER(
Master_Mapping_She"&amp;"et!$E$2:$E$3143),
Master_Mapping_Sheet!$H$2:$H$3143=Y$1))), 0, sum(filter(
Master_Mapping_Sheet!$E$2:$E$3143, ISNUMBER(
Master_Mapping_Sheet!$E$2:$E$3143),
Master_Mapping_Sheet!$H$2:$H$3143=Y$1,
Master_Mapping_Sheet!$L$2:$L$3143=$A9))/sum(filter(
Master_M"&amp;"apping_Sheet!$E$2:$E$3143, ISNUMBER(
Master_Mapping_Sheet!$E$2:$E$3143),
Master_Mapping_Sheet!$H$2:$H$3143=Y$1)))"),0.0056366390980874)</f>
        <v>0.005636639098</v>
      </c>
      <c r="Z9" s="34">
        <f>IFERROR(__xludf.DUMMYFUNCTION("IF(ISNA(sum(filter(
Master_Mapping_Sheet!$E$2:$E$3143, ISNUMBER(
Master_Mapping_Sheet!$E$2:$E$3143),
Master_Mapping_Sheet!$H$2:$H$3143=Z$1,
Master_Mapping_Sheet!$L$2:$L$3143=$A9))/sum(filter(
Master_Mapping_Sheet!$E$2:$E$3143, ISNUMBER(
Master_Mapping_She"&amp;"et!$E$2:$E$3143),
Master_Mapping_Sheet!$H$2:$H$3143=Z$1))), 0, sum(filter(
Master_Mapping_Sheet!$E$2:$E$3143, ISNUMBER(
Master_Mapping_Sheet!$E$2:$E$3143),
Master_Mapping_Sheet!$H$2:$H$3143=Z$1,
Master_Mapping_Sheet!$L$2:$L$3143=$A9))/sum(filter(
Master_M"&amp;"apping_Sheet!$E$2:$E$3143, ISNUMBER(
Master_Mapping_Sheet!$E$2:$E$3143),
Master_Mapping_Sheet!$H$2:$H$3143=Z$1)))"),0.0)</f>
        <v>0</v>
      </c>
    </row>
    <row r="10" ht="15.75" customHeight="1">
      <c r="A10" s="32" t="s">
        <v>289</v>
      </c>
      <c r="B10" s="34">
        <f>IFERROR(__xludf.DUMMYFUNCTION("IF(ISNA(sum(filter(
Master_Mapping_Sheet!$E$2:$E$3143, ISNUMBER(
Master_Mapping_Sheet!$E$2:$E$3143),
Master_Mapping_Sheet!$H$2:$H$3143=B$1,
Master_Mapping_Sheet!$L$2:$L$3143=$A10))/sum(filter(
Master_Mapping_Sheet!$E$2:$E$3143, ISNUMBER(
Master_Mapping_Sh"&amp;"eet!$E$2:$E$3143),
Master_Mapping_Sheet!$H$2:$H$3143=B$1))), 0, sum(filter(
Master_Mapping_Sheet!$E$2:$E$3143, ISNUMBER(
Master_Mapping_Sheet!$E$2:$E$3143),
Master_Mapping_Sheet!$H$2:$H$3143=B$1,
Master_Mapping_Sheet!$L$2:$L$3143=$A10))/sum(filter(
Master"&amp;"_Mapping_Sheet!$E$2:$E$3143, ISNUMBER(
Master_Mapping_Sheet!$E$2:$E$3143),
Master_Mapping_Sheet!$H$2:$H$3143=B$1)))"),0.0)</f>
        <v>0</v>
      </c>
      <c r="C10" s="34">
        <f>IFERROR(__xludf.DUMMYFUNCTION("IF(ISNA(sum(filter(
Master_Mapping_Sheet!$E$2:$E$3143, ISNUMBER(
Master_Mapping_Sheet!$E$2:$E$3143),
Master_Mapping_Sheet!$H$2:$H$3143=C$1,
Master_Mapping_Sheet!$L$2:$L$3143=$A10))/sum(filter(
Master_Mapping_Sheet!$E$2:$E$3143, ISNUMBER(
Master_Mapping_Sh"&amp;"eet!$E$2:$E$3143),
Master_Mapping_Sheet!$H$2:$H$3143=C$1))), 0, sum(filter(
Master_Mapping_Sheet!$E$2:$E$3143, ISNUMBER(
Master_Mapping_Sheet!$E$2:$E$3143),
Master_Mapping_Sheet!$H$2:$H$3143=C$1,
Master_Mapping_Sheet!$L$2:$L$3143=$A10))/sum(filter(
Master"&amp;"_Mapping_Sheet!$E$2:$E$3143, ISNUMBER(
Master_Mapping_Sheet!$E$2:$E$3143),
Master_Mapping_Sheet!$H$2:$H$3143=C$1)))"),0.0)</f>
        <v>0</v>
      </c>
      <c r="D10" s="34">
        <f>IFERROR(__xludf.DUMMYFUNCTION("IF(ISNA(sum(filter(
Master_Mapping_Sheet!$E$2:$E$3143, ISNUMBER(
Master_Mapping_Sheet!$E$2:$E$3143),
Master_Mapping_Sheet!$H$2:$H$3143=D$1,
Master_Mapping_Sheet!$L$2:$L$3143=$A10))/sum(filter(
Master_Mapping_Sheet!$E$2:$E$3143, ISNUMBER(
Master_Mapping_Sh"&amp;"eet!$E$2:$E$3143),
Master_Mapping_Sheet!$H$2:$H$3143=D$1))), 0, sum(filter(
Master_Mapping_Sheet!$E$2:$E$3143, ISNUMBER(
Master_Mapping_Sheet!$E$2:$E$3143),
Master_Mapping_Sheet!$H$2:$H$3143=D$1,
Master_Mapping_Sheet!$L$2:$L$3143=$A10))/sum(filter(
Master"&amp;"_Mapping_Sheet!$E$2:$E$3143, ISNUMBER(
Master_Mapping_Sheet!$E$2:$E$3143),
Master_Mapping_Sheet!$H$2:$H$3143=D$1)))"),0.0)</f>
        <v>0</v>
      </c>
      <c r="E10" s="34">
        <f>IFERROR(__xludf.DUMMYFUNCTION("IF(ISNA(sum(filter(
Master_Mapping_Sheet!$E$2:$E$3143, ISNUMBER(
Master_Mapping_Sheet!$E$2:$E$3143),
Master_Mapping_Sheet!$H$2:$H$3143=E$1,
Master_Mapping_Sheet!$L$2:$L$3143=$A10))/sum(filter(
Master_Mapping_Sheet!$E$2:$E$3143, ISNUMBER(
Master_Mapping_Sh"&amp;"eet!$E$2:$E$3143),
Master_Mapping_Sheet!$H$2:$H$3143=E$1))), 0, sum(filter(
Master_Mapping_Sheet!$E$2:$E$3143, ISNUMBER(
Master_Mapping_Sheet!$E$2:$E$3143),
Master_Mapping_Sheet!$H$2:$H$3143=E$1,
Master_Mapping_Sheet!$L$2:$L$3143=$A10))/sum(filter(
Master"&amp;"_Mapping_Sheet!$E$2:$E$3143, ISNUMBER(
Master_Mapping_Sheet!$E$2:$E$3143),
Master_Mapping_Sheet!$H$2:$H$3143=E$1)))"),0.0)</f>
        <v>0</v>
      </c>
      <c r="F10" s="34">
        <f>IFERROR(__xludf.DUMMYFUNCTION("IF(ISNA(sum(filter(
Master_Mapping_Sheet!$E$2:$E$3143, ISNUMBER(
Master_Mapping_Sheet!$E$2:$E$3143),
Master_Mapping_Sheet!$H$2:$H$3143=F$1,
Master_Mapping_Sheet!$L$2:$L$3143=$A10))/sum(filter(
Master_Mapping_Sheet!$E$2:$E$3143, ISNUMBER(
Master_Mapping_Sh"&amp;"eet!$E$2:$E$3143),
Master_Mapping_Sheet!$H$2:$H$3143=F$1))), 0, sum(filter(
Master_Mapping_Sheet!$E$2:$E$3143, ISNUMBER(
Master_Mapping_Sheet!$E$2:$E$3143),
Master_Mapping_Sheet!$H$2:$H$3143=F$1,
Master_Mapping_Sheet!$L$2:$L$3143=$A10))/sum(filter(
Master"&amp;"_Mapping_Sheet!$E$2:$E$3143, ISNUMBER(
Master_Mapping_Sheet!$E$2:$E$3143),
Master_Mapping_Sheet!$H$2:$H$3143=F$1)))"),0.0)</f>
        <v>0</v>
      </c>
      <c r="G10" s="34">
        <f>IFERROR(__xludf.DUMMYFUNCTION("IF(ISNA(sum(filter(
Master_Mapping_Sheet!$E$2:$E$3143, ISNUMBER(
Master_Mapping_Sheet!$E$2:$E$3143),
Master_Mapping_Sheet!$H$2:$H$3143=G$1,
Master_Mapping_Sheet!$L$2:$L$3143=$A10))/sum(filter(
Master_Mapping_Sheet!$E$2:$E$3143, ISNUMBER(
Master_Mapping_Sh"&amp;"eet!$E$2:$E$3143),
Master_Mapping_Sheet!$H$2:$H$3143=G$1))), 0, sum(filter(
Master_Mapping_Sheet!$E$2:$E$3143, ISNUMBER(
Master_Mapping_Sheet!$E$2:$E$3143),
Master_Mapping_Sheet!$H$2:$H$3143=G$1,
Master_Mapping_Sheet!$L$2:$L$3143=$A10))/sum(filter(
Master"&amp;"_Mapping_Sheet!$E$2:$E$3143, ISNUMBER(
Master_Mapping_Sheet!$E$2:$E$3143),
Master_Mapping_Sheet!$H$2:$H$3143=G$1)))"),0.0)</f>
        <v>0</v>
      </c>
      <c r="H10" s="34">
        <f>IFERROR(__xludf.DUMMYFUNCTION("IF(ISNA(sum(filter(
Master_Mapping_Sheet!$E$2:$E$3143, ISNUMBER(
Master_Mapping_Sheet!$E$2:$E$3143),
Master_Mapping_Sheet!$H$2:$H$3143=H$1,
Master_Mapping_Sheet!$L$2:$L$3143=$A10))/sum(filter(
Master_Mapping_Sheet!$E$2:$E$3143, ISNUMBER(
Master_Mapping_Sh"&amp;"eet!$E$2:$E$3143),
Master_Mapping_Sheet!$H$2:$H$3143=H$1))), 0, sum(filter(
Master_Mapping_Sheet!$E$2:$E$3143, ISNUMBER(
Master_Mapping_Sheet!$E$2:$E$3143),
Master_Mapping_Sheet!$H$2:$H$3143=H$1,
Master_Mapping_Sheet!$L$2:$L$3143=$A10))/sum(filter(
Master"&amp;"_Mapping_Sheet!$E$2:$E$3143, ISNUMBER(
Master_Mapping_Sheet!$E$2:$E$3143),
Master_Mapping_Sheet!$H$2:$H$3143=H$1)))"),0.0)</f>
        <v>0</v>
      </c>
      <c r="I10" s="34">
        <f>IFERROR(__xludf.DUMMYFUNCTION("IF(ISNA(sum(filter(
Master_Mapping_Sheet!$E$2:$E$3143, ISNUMBER(
Master_Mapping_Sheet!$E$2:$E$3143),
Master_Mapping_Sheet!$H$2:$H$3143=I$1,
Master_Mapping_Sheet!$L$2:$L$3143=$A10))/sum(filter(
Master_Mapping_Sheet!$E$2:$E$3143, ISNUMBER(
Master_Mapping_Sh"&amp;"eet!$E$2:$E$3143),
Master_Mapping_Sheet!$H$2:$H$3143=I$1))), 0, sum(filter(
Master_Mapping_Sheet!$E$2:$E$3143, ISNUMBER(
Master_Mapping_Sheet!$E$2:$E$3143),
Master_Mapping_Sheet!$H$2:$H$3143=I$1,
Master_Mapping_Sheet!$L$2:$L$3143=$A10))/sum(filter(
Master"&amp;"_Mapping_Sheet!$E$2:$E$3143, ISNUMBER(
Master_Mapping_Sheet!$E$2:$E$3143),
Master_Mapping_Sheet!$H$2:$H$3143=I$1)))"),0.0)</f>
        <v>0</v>
      </c>
      <c r="J10" s="34">
        <f>IFERROR(__xludf.DUMMYFUNCTION("IF(ISNA(sum(filter(
Master_Mapping_Sheet!$E$2:$E$3143, ISNUMBER(
Master_Mapping_Sheet!$E$2:$E$3143),
Master_Mapping_Sheet!$H$2:$H$3143=J$1,
Master_Mapping_Sheet!$L$2:$L$3143=$A10))/sum(filter(
Master_Mapping_Sheet!$E$2:$E$3143, ISNUMBER(
Master_Mapping_Sh"&amp;"eet!$E$2:$E$3143),
Master_Mapping_Sheet!$H$2:$H$3143=J$1))), 0, sum(filter(
Master_Mapping_Sheet!$E$2:$E$3143, ISNUMBER(
Master_Mapping_Sheet!$E$2:$E$3143),
Master_Mapping_Sheet!$H$2:$H$3143=J$1,
Master_Mapping_Sheet!$L$2:$L$3143=$A10))/sum(filter(
Master"&amp;"_Mapping_Sheet!$E$2:$E$3143, ISNUMBER(
Master_Mapping_Sheet!$E$2:$E$3143),
Master_Mapping_Sheet!$H$2:$H$3143=J$1)))"),0.0)</f>
        <v>0</v>
      </c>
      <c r="K10" s="34">
        <f>IFERROR(__xludf.DUMMYFUNCTION("IF(ISNA(sum(filter(
Master_Mapping_Sheet!$E$2:$E$3143, ISNUMBER(
Master_Mapping_Sheet!$E$2:$E$3143),
Master_Mapping_Sheet!$H$2:$H$3143=K$1,
Master_Mapping_Sheet!$L$2:$L$3143=$A10))/sum(filter(
Master_Mapping_Sheet!$E$2:$E$3143, ISNUMBER(
Master_Mapping_Sh"&amp;"eet!$E$2:$E$3143),
Master_Mapping_Sheet!$H$2:$H$3143=K$1))), 0, sum(filter(
Master_Mapping_Sheet!$E$2:$E$3143, ISNUMBER(
Master_Mapping_Sheet!$E$2:$E$3143),
Master_Mapping_Sheet!$H$2:$H$3143=K$1,
Master_Mapping_Sheet!$L$2:$L$3143=$A10))/sum(filter(
Master"&amp;"_Mapping_Sheet!$E$2:$E$3143, ISNUMBER(
Master_Mapping_Sheet!$E$2:$E$3143),
Master_Mapping_Sheet!$H$2:$H$3143=K$1)))"),0.0)</f>
        <v>0</v>
      </c>
      <c r="L10" s="34">
        <f>IFERROR(__xludf.DUMMYFUNCTION("IF(ISNA(sum(filter(
Master_Mapping_Sheet!$E$2:$E$3143, ISNUMBER(
Master_Mapping_Sheet!$E$2:$E$3143),
Master_Mapping_Sheet!$H$2:$H$3143=L$1,
Master_Mapping_Sheet!$L$2:$L$3143=$A10))/sum(filter(
Master_Mapping_Sheet!$E$2:$E$3143, ISNUMBER(
Master_Mapping_Sh"&amp;"eet!$E$2:$E$3143),
Master_Mapping_Sheet!$H$2:$H$3143=L$1))), 0, sum(filter(
Master_Mapping_Sheet!$E$2:$E$3143, ISNUMBER(
Master_Mapping_Sheet!$E$2:$E$3143),
Master_Mapping_Sheet!$H$2:$H$3143=L$1,
Master_Mapping_Sheet!$L$2:$L$3143=$A10))/sum(filter(
Master"&amp;"_Mapping_Sheet!$E$2:$E$3143, ISNUMBER(
Master_Mapping_Sheet!$E$2:$E$3143),
Master_Mapping_Sheet!$H$2:$H$3143=L$1)))"),0.0)</f>
        <v>0</v>
      </c>
      <c r="M10" s="34">
        <f>IFERROR(__xludf.DUMMYFUNCTION("IF(ISNA(sum(filter(
Master_Mapping_Sheet!$E$2:$E$3143, ISNUMBER(
Master_Mapping_Sheet!$E$2:$E$3143),
Master_Mapping_Sheet!$H$2:$H$3143=M$1,
Master_Mapping_Sheet!$L$2:$L$3143=$A10))/sum(filter(
Master_Mapping_Sheet!$E$2:$E$3143, ISNUMBER(
Master_Mapping_Sh"&amp;"eet!$E$2:$E$3143),
Master_Mapping_Sheet!$H$2:$H$3143=M$1))), 0, sum(filter(
Master_Mapping_Sheet!$E$2:$E$3143, ISNUMBER(
Master_Mapping_Sheet!$E$2:$E$3143),
Master_Mapping_Sheet!$H$2:$H$3143=M$1,
Master_Mapping_Sheet!$L$2:$L$3143=$A10))/sum(filter(
Master"&amp;"_Mapping_Sheet!$E$2:$E$3143, ISNUMBER(
Master_Mapping_Sheet!$E$2:$E$3143),
Master_Mapping_Sheet!$H$2:$H$3143=M$1)))"),0.0)</f>
        <v>0</v>
      </c>
      <c r="N10" s="34">
        <f>IFERROR(__xludf.DUMMYFUNCTION("IF(ISNA(sum(filter(
Master_Mapping_Sheet!$E$2:$E$3143, ISNUMBER(
Master_Mapping_Sheet!$E$2:$E$3143),
Master_Mapping_Sheet!$H$2:$H$3143=N$1,
Master_Mapping_Sheet!$L$2:$L$3143=$A10))/sum(filter(
Master_Mapping_Sheet!$E$2:$E$3143, ISNUMBER(
Master_Mapping_Sh"&amp;"eet!$E$2:$E$3143),
Master_Mapping_Sheet!$H$2:$H$3143=N$1))), 0, sum(filter(
Master_Mapping_Sheet!$E$2:$E$3143, ISNUMBER(
Master_Mapping_Sheet!$E$2:$E$3143),
Master_Mapping_Sheet!$H$2:$H$3143=N$1,
Master_Mapping_Sheet!$L$2:$L$3143=$A10))/sum(filter(
Master"&amp;"_Mapping_Sheet!$E$2:$E$3143, ISNUMBER(
Master_Mapping_Sheet!$E$2:$E$3143),
Master_Mapping_Sheet!$H$2:$H$3143=N$1)))"),0.0)</f>
        <v>0</v>
      </c>
      <c r="O10" s="34">
        <f>IFERROR(__xludf.DUMMYFUNCTION("IF(ISNA(sum(filter(
Master_Mapping_Sheet!$E$2:$E$3143, ISNUMBER(
Master_Mapping_Sheet!$E$2:$E$3143),
Master_Mapping_Sheet!$H$2:$H$3143=O$1,
Master_Mapping_Sheet!$L$2:$L$3143=$A10))/sum(filter(
Master_Mapping_Sheet!$E$2:$E$3143, ISNUMBER(
Master_Mapping_Sh"&amp;"eet!$E$2:$E$3143),
Master_Mapping_Sheet!$H$2:$H$3143=O$1))), 0, sum(filter(
Master_Mapping_Sheet!$E$2:$E$3143, ISNUMBER(
Master_Mapping_Sheet!$E$2:$E$3143),
Master_Mapping_Sheet!$H$2:$H$3143=O$1,
Master_Mapping_Sheet!$L$2:$L$3143=$A10))/sum(filter(
Master"&amp;"_Mapping_Sheet!$E$2:$E$3143, ISNUMBER(
Master_Mapping_Sheet!$E$2:$E$3143),
Master_Mapping_Sheet!$H$2:$H$3143=O$1)))"),0.0)</f>
        <v>0</v>
      </c>
      <c r="P10" s="34">
        <f>IFERROR(__xludf.DUMMYFUNCTION("IF(ISNA(sum(filter(
Master_Mapping_Sheet!$E$2:$E$3143, ISNUMBER(
Master_Mapping_Sheet!$E$2:$E$3143),
Master_Mapping_Sheet!$H$2:$H$3143=P$1,
Master_Mapping_Sheet!$L$2:$L$3143=$A10))/sum(filter(
Master_Mapping_Sheet!$E$2:$E$3143, ISNUMBER(
Master_Mapping_Sh"&amp;"eet!$E$2:$E$3143),
Master_Mapping_Sheet!$H$2:$H$3143=P$1))), 0, sum(filter(
Master_Mapping_Sheet!$E$2:$E$3143, ISNUMBER(
Master_Mapping_Sheet!$E$2:$E$3143),
Master_Mapping_Sheet!$H$2:$H$3143=P$1,
Master_Mapping_Sheet!$L$2:$L$3143=$A10))/sum(filter(
Master"&amp;"_Mapping_Sheet!$E$2:$E$3143, ISNUMBER(
Master_Mapping_Sheet!$E$2:$E$3143),
Master_Mapping_Sheet!$H$2:$H$3143=P$1)))"),0.0)</f>
        <v>0</v>
      </c>
      <c r="Q10" s="34">
        <f>IFERROR(__xludf.DUMMYFUNCTION("IF(ISNA(sum(filter(
Master_Mapping_Sheet!$E$2:$E$3143, ISNUMBER(
Master_Mapping_Sheet!$E$2:$E$3143),
Master_Mapping_Sheet!$H$2:$H$3143=Q$1,
Master_Mapping_Sheet!$L$2:$L$3143=$A10))/sum(filter(
Master_Mapping_Sheet!$E$2:$E$3143, ISNUMBER(
Master_Mapping_Sh"&amp;"eet!$E$2:$E$3143),
Master_Mapping_Sheet!$H$2:$H$3143=Q$1))), 0, sum(filter(
Master_Mapping_Sheet!$E$2:$E$3143, ISNUMBER(
Master_Mapping_Sheet!$E$2:$E$3143),
Master_Mapping_Sheet!$H$2:$H$3143=Q$1,
Master_Mapping_Sheet!$L$2:$L$3143=$A10))/sum(filter(
Master"&amp;"_Mapping_Sheet!$E$2:$E$3143, ISNUMBER(
Master_Mapping_Sheet!$E$2:$E$3143),
Master_Mapping_Sheet!$H$2:$H$3143=Q$1)))"),0.0)</f>
        <v>0</v>
      </c>
      <c r="R10" s="34">
        <f>IFERROR(__xludf.DUMMYFUNCTION("IF(ISNA(sum(filter(
Master_Mapping_Sheet!$E$2:$E$3143, ISNUMBER(
Master_Mapping_Sheet!$E$2:$E$3143),
Master_Mapping_Sheet!$H$2:$H$3143=R$1,
Master_Mapping_Sheet!$L$2:$L$3143=$A10))/sum(filter(
Master_Mapping_Sheet!$E$2:$E$3143, ISNUMBER(
Master_Mapping_Sh"&amp;"eet!$E$2:$E$3143),
Master_Mapping_Sheet!$H$2:$H$3143=R$1))), 0, sum(filter(
Master_Mapping_Sheet!$E$2:$E$3143, ISNUMBER(
Master_Mapping_Sheet!$E$2:$E$3143),
Master_Mapping_Sheet!$H$2:$H$3143=R$1,
Master_Mapping_Sheet!$L$2:$L$3143=$A10))/sum(filter(
Master"&amp;"_Mapping_Sheet!$E$2:$E$3143, ISNUMBER(
Master_Mapping_Sheet!$E$2:$E$3143),
Master_Mapping_Sheet!$H$2:$H$3143=R$1)))"),0.0)</f>
        <v>0</v>
      </c>
      <c r="S10" s="34">
        <f>IFERROR(__xludf.DUMMYFUNCTION("IF(ISNA(sum(filter(
Master_Mapping_Sheet!$E$2:$E$3143, ISNUMBER(
Master_Mapping_Sheet!$E$2:$E$3143),
Master_Mapping_Sheet!$H$2:$H$3143=S$1,
Master_Mapping_Sheet!$L$2:$L$3143=$A10))/sum(filter(
Master_Mapping_Sheet!$E$2:$E$3143, ISNUMBER(
Master_Mapping_Sh"&amp;"eet!$E$2:$E$3143),
Master_Mapping_Sheet!$H$2:$H$3143=S$1))), 0, sum(filter(
Master_Mapping_Sheet!$E$2:$E$3143, ISNUMBER(
Master_Mapping_Sheet!$E$2:$E$3143),
Master_Mapping_Sheet!$H$2:$H$3143=S$1,
Master_Mapping_Sheet!$L$2:$L$3143=$A10))/sum(filter(
Master"&amp;"_Mapping_Sheet!$E$2:$E$3143, ISNUMBER(
Master_Mapping_Sheet!$E$2:$E$3143),
Master_Mapping_Sheet!$H$2:$H$3143=S$1)))"),0.0)</f>
        <v>0</v>
      </c>
      <c r="T10" s="34">
        <f>IFERROR(__xludf.DUMMYFUNCTION("IF(ISNA(sum(filter(
Master_Mapping_Sheet!$E$2:$E$3143, ISNUMBER(
Master_Mapping_Sheet!$E$2:$E$3143),
Master_Mapping_Sheet!$H$2:$H$3143=T$1,
Master_Mapping_Sheet!$L$2:$L$3143=$A10))/sum(filter(
Master_Mapping_Sheet!$E$2:$E$3143, ISNUMBER(
Master_Mapping_Sh"&amp;"eet!$E$2:$E$3143),
Master_Mapping_Sheet!$H$2:$H$3143=T$1))), 0, sum(filter(
Master_Mapping_Sheet!$E$2:$E$3143, ISNUMBER(
Master_Mapping_Sheet!$E$2:$E$3143),
Master_Mapping_Sheet!$H$2:$H$3143=T$1,
Master_Mapping_Sheet!$L$2:$L$3143=$A10))/sum(filter(
Master"&amp;"_Mapping_Sheet!$E$2:$E$3143, ISNUMBER(
Master_Mapping_Sheet!$E$2:$E$3143),
Master_Mapping_Sheet!$H$2:$H$3143=T$1)))"),0.0)</f>
        <v>0</v>
      </c>
      <c r="U10" s="34">
        <f>IFERROR(__xludf.DUMMYFUNCTION("IF(ISNA(sum(filter(
Master_Mapping_Sheet!$E$2:$E$3143, ISNUMBER(
Master_Mapping_Sheet!$E$2:$E$3143),
Master_Mapping_Sheet!$H$2:$H$3143=U$1,
Master_Mapping_Sheet!$L$2:$L$3143=$A10))/sum(filter(
Master_Mapping_Sheet!$E$2:$E$3143, ISNUMBER(
Master_Mapping_Sh"&amp;"eet!$E$2:$E$3143),
Master_Mapping_Sheet!$H$2:$H$3143=U$1))), 0, sum(filter(
Master_Mapping_Sheet!$E$2:$E$3143, ISNUMBER(
Master_Mapping_Sheet!$E$2:$E$3143),
Master_Mapping_Sheet!$H$2:$H$3143=U$1,
Master_Mapping_Sheet!$L$2:$L$3143=$A10))/sum(filter(
Master"&amp;"_Mapping_Sheet!$E$2:$E$3143, ISNUMBER(
Master_Mapping_Sheet!$E$2:$E$3143),
Master_Mapping_Sheet!$H$2:$H$3143=U$1)))"),0.0)</f>
        <v>0</v>
      </c>
      <c r="V10" s="34">
        <f>IFERROR(__xludf.DUMMYFUNCTION("IF(ISNA(sum(filter(
Master_Mapping_Sheet!$E$2:$E$3143, ISNUMBER(
Master_Mapping_Sheet!$E$2:$E$3143),
Master_Mapping_Sheet!$H$2:$H$3143=V$1,
Master_Mapping_Sheet!$L$2:$L$3143=$A10))/sum(filter(
Master_Mapping_Sheet!$E$2:$E$3143, ISNUMBER(
Master_Mapping_Sh"&amp;"eet!$E$2:$E$3143),
Master_Mapping_Sheet!$H$2:$H$3143=V$1))), 0, sum(filter(
Master_Mapping_Sheet!$E$2:$E$3143, ISNUMBER(
Master_Mapping_Sheet!$E$2:$E$3143),
Master_Mapping_Sheet!$H$2:$H$3143=V$1,
Master_Mapping_Sheet!$L$2:$L$3143=$A10))/sum(filter(
Master"&amp;"_Mapping_Sheet!$E$2:$E$3143, ISNUMBER(
Master_Mapping_Sheet!$E$2:$E$3143),
Master_Mapping_Sheet!$H$2:$H$3143=V$1)))"),0.008551678729287622)</f>
        <v>0.008551678729</v>
      </c>
      <c r="W10" s="34">
        <f>IFERROR(__xludf.DUMMYFUNCTION("IF(ISNA(sum(filter(
Master_Mapping_Sheet!$E$2:$E$3143, ISNUMBER(
Master_Mapping_Sheet!$E$2:$E$3143),
Master_Mapping_Sheet!$H$2:$H$3143=W$1,
Master_Mapping_Sheet!$L$2:$L$3143=$A10))/sum(filter(
Master_Mapping_Sheet!$E$2:$E$3143, ISNUMBER(
Master_Mapping_Sh"&amp;"eet!$E$2:$E$3143),
Master_Mapping_Sheet!$H$2:$H$3143=W$1))), 0, sum(filter(
Master_Mapping_Sheet!$E$2:$E$3143, ISNUMBER(
Master_Mapping_Sheet!$E$2:$E$3143),
Master_Mapping_Sheet!$H$2:$H$3143=W$1,
Master_Mapping_Sheet!$L$2:$L$3143=$A10))/sum(filter(
Master"&amp;"_Mapping_Sheet!$E$2:$E$3143, ISNUMBER(
Master_Mapping_Sheet!$E$2:$E$3143),
Master_Mapping_Sheet!$H$2:$H$3143=W$1)))"),0.0)</f>
        <v>0</v>
      </c>
      <c r="X10" s="34">
        <f>IFERROR(__xludf.DUMMYFUNCTION("IF(ISNA(sum(filter(
Master_Mapping_Sheet!$E$2:$E$3143, ISNUMBER(
Master_Mapping_Sheet!$E$2:$E$3143),
Master_Mapping_Sheet!$H$2:$H$3143=X$1,
Master_Mapping_Sheet!$L$2:$L$3143=$A10))/sum(filter(
Master_Mapping_Sheet!$E$2:$E$3143, ISNUMBER(
Master_Mapping_Sh"&amp;"eet!$E$2:$E$3143),
Master_Mapping_Sheet!$H$2:$H$3143=X$1))), 0, sum(filter(
Master_Mapping_Sheet!$E$2:$E$3143, ISNUMBER(
Master_Mapping_Sheet!$E$2:$E$3143),
Master_Mapping_Sheet!$H$2:$H$3143=X$1,
Master_Mapping_Sheet!$L$2:$L$3143=$A10))/sum(filter(
Master"&amp;"_Mapping_Sheet!$E$2:$E$3143, ISNUMBER(
Master_Mapping_Sheet!$E$2:$E$3143),
Master_Mapping_Sheet!$H$2:$H$3143=X$1)))"),0.717617924684189)</f>
        <v>0.7176179247</v>
      </c>
      <c r="Y10" s="34">
        <f>IFERROR(__xludf.DUMMYFUNCTION("IF(ISNA(sum(filter(
Master_Mapping_Sheet!$E$2:$E$3143, ISNUMBER(
Master_Mapping_Sheet!$E$2:$E$3143),
Master_Mapping_Sheet!$H$2:$H$3143=Y$1,
Master_Mapping_Sheet!$L$2:$L$3143=$A10))/sum(filter(
Master_Mapping_Sheet!$E$2:$E$3143, ISNUMBER(
Master_Mapping_Sh"&amp;"eet!$E$2:$E$3143),
Master_Mapping_Sheet!$H$2:$H$3143=Y$1))), 0, sum(filter(
Master_Mapping_Sheet!$E$2:$E$3143, ISNUMBER(
Master_Mapping_Sheet!$E$2:$E$3143),
Master_Mapping_Sheet!$H$2:$H$3143=Y$1,
Master_Mapping_Sheet!$L$2:$L$3143=$A10))/sum(filter(
Master"&amp;"_Mapping_Sheet!$E$2:$E$3143, ISNUMBER(
Master_Mapping_Sheet!$E$2:$E$3143),
Master_Mapping_Sheet!$H$2:$H$3143=Y$1)))"),0.0)</f>
        <v>0</v>
      </c>
      <c r="Z10" s="34">
        <f>IFERROR(__xludf.DUMMYFUNCTION("IF(ISNA(sum(filter(
Master_Mapping_Sheet!$E$2:$E$3143, ISNUMBER(
Master_Mapping_Sheet!$E$2:$E$3143),
Master_Mapping_Sheet!$H$2:$H$3143=Z$1,
Master_Mapping_Sheet!$L$2:$L$3143=$A10))/sum(filter(
Master_Mapping_Sheet!$E$2:$E$3143, ISNUMBER(
Master_Mapping_Sh"&amp;"eet!$E$2:$E$3143),
Master_Mapping_Sheet!$H$2:$H$3143=Z$1))), 0, sum(filter(
Master_Mapping_Sheet!$E$2:$E$3143, ISNUMBER(
Master_Mapping_Sheet!$E$2:$E$3143),
Master_Mapping_Sheet!$H$2:$H$3143=Z$1,
Master_Mapping_Sheet!$L$2:$L$3143=$A10))/sum(filter(
Master"&amp;"_Mapping_Sheet!$E$2:$E$3143, ISNUMBER(
Master_Mapping_Sheet!$E$2:$E$3143),
Master_Mapping_Sheet!$H$2:$H$3143=Z$1)))"),0.0)</f>
        <v>0</v>
      </c>
    </row>
    <row r="11" ht="15.75" customHeight="1">
      <c r="A11" s="32" t="s">
        <v>396</v>
      </c>
      <c r="B11" s="34">
        <f>IFERROR(__xludf.DUMMYFUNCTION("IF(ISNA(sum(filter(
Master_Mapping_Sheet!$E$2:$E$3143, ISNUMBER(
Master_Mapping_Sheet!$E$2:$E$3143),
Master_Mapping_Sheet!$H$2:$H$3143=B$1,
Master_Mapping_Sheet!$L$2:$L$3143=$A11))/sum(filter(
Master_Mapping_Sheet!$E$2:$E$3143, ISNUMBER(
Master_Mapping_Sh"&amp;"eet!$E$2:$E$3143),
Master_Mapping_Sheet!$H$2:$H$3143=B$1))), 0, sum(filter(
Master_Mapping_Sheet!$E$2:$E$3143, ISNUMBER(
Master_Mapping_Sheet!$E$2:$E$3143),
Master_Mapping_Sheet!$H$2:$H$3143=B$1,
Master_Mapping_Sheet!$L$2:$L$3143=$A11))/sum(filter(
Master"&amp;"_Mapping_Sheet!$E$2:$E$3143, ISNUMBER(
Master_Mapping_Sheet!$E$2:$E$3143),
Master_Mapping_Sheet!$H$2:$H$3143=B$1)))"),0.0)</f>
        <v>0</v>
      </c>
      <c r="C11" s="34">
        <f>IFERROR(__xludf.DUMMYFUNCTION("IF(ISNA(sum(filter(
Master_Mapping_Sheet!$E$2:$E$3143, ISNUMBER(
Master_Mapping_Sheet!$E$2:$E$3143),
Master_Mapping_Sheet!$H$2:$H$3143=C$1,
Master_Mapping_Sheet!$L$2:$L$3143=$A11))/sum(filter(
Master_Mapping_Sheet!$E$2:$E$3143, ISNUMBER(
Master_Mapping_Sh"&amp;"eet!$E$2:$E$3143),
Master_Mapping_Sheet!$H$2:$H$3143=C$1))), 0, sum(filter(
Master_Mapping_Sheet!$E$2:$E$3143, ISNUMBER(
Master_Mapping_Sheet!$E$2:$E$3143),
Master_Mapping_Sheet!$H$2:$H$3143=C$1,
Master_Mapping_Sheet!$L$2:$L$3143=$A11))/sum(filter(
Master"&amp;"_Mapping_Sheet!$E$2:$E$3143, ISNUMBER(
Master_Mapping_Sheet!$E$2:$E$3143),
Master_Mapping_Sheet!$H$2:$H$3143=C$1)))"),0.0)</f>
        <v>0</v>
      </c>
      <c r="D11" s="34">
        <f>IFERROR(__xludf.DUMMYFUNCTION("IF(ISNA(sum(filter(
Master_Mapping_Sheet!$E$2:$E$3143, ISNUMBER(
Master_Mapping_Sheet!$E$2:$E$3143),
Master_Mapping_Sheet!$H$2:$H$3143=D$1,
Master_Mapping_Sheet!$L$2:$L$3143=$A11))/sum(filter(
Master_Mapping_Sheet!$E$2:$E$3143, ISNUMBER(
Master_Mapping_Sh"&amp;"eet!$E$2:$E$3143),
Master_Mapping_Sheet!$H$2:$H$3143=D$1))), 0, sum(filter(
Master_Mapping_Sheet!$E$2:$E$3143, ISNUMBER(
Master_Mapping_Sheet!$E$2:$E$3143),
Master_Mapping_Sheet!$H$2:$H$3143=D$1,
Master_Mapping_Sheet!$L$2:$L$3143=$A11))/sum(filter(
Master"&amp;"_Mapping_Sheet!$E$2:$E$3143, ISNUMBER(
Master_Mapping_Sheet!$E$2:$E$3143),
Master_Mapping_Sheet!$H$2:$H$3143=D$1)))"),0.14975834478321895)</f>
        <v>0.1497583448</v>
      </c>
      <c r="E11" s="34">
        <f>IFERROR(__xludf.DUMMYFUNCTION("IF(ISNA(sum(filter(
Master_Mapping_Sheet!$E$2:$E$3143, ISNUMBER(
Master_Mapping_Sheet!$E$2:$E$3143),
Master_Mapping_Sheet!$H$2:$H$3143=E$1,
Master_Mapping_Sheet!$L$2:$L$3143=$A11))/sum(filter(
Master_Mapping_Sheet!$E$2:$E$3143, ISNUMBER(
Master_Mapping_Sh"&amp;"eet!$E$2:$E$3143),
Master_Mapping_Sheet!$H$2:$H$3143=E$1))), 0, sum(filter(
Master_Mapping_Sheet!$E$2:$E$3143, ISNUMBER(
Master_Mapping_Sheet!$E$2:$E$3143),
Master_Mapping_Sheet!$H$2:$H$3143=E$1,
Master_Mapping_Sheet!$L$2:$L$3143=$A11))/sum(filter(
Master"&amp;"_Mapping_Sheet!$E$2:$E$3143, ISNUMBER(
Master_Mapping_Sheet!$E$2:$E$3143),
Master_Mapping_Sheet!$H$2:$H$3143=E$1)))"),0.4887450749080901)</f>
        <v>0.4887450749</v>
      </c>
      <c r="F11" s="34">
        <f>IFERROR(__xludf.DUMMYFUNCTION("IF(ISNA(sum(filter(
Master_Mapping_Sheet!$E$2:$E$3143, ISNUMBER(
Master_Mapping_Sheet!$E$2:$E$3143),
Master_Mapping_Sheet!$H$2:$H$3143=F$1,
Master_Mapping_Sheet!$L$2:$L$3143=$A11))/sum(filter(
Master_Mapping_Sheet!$E$2:$E$3143, ISNUMBER(
Master_Mapping_Sh"&amp;"eet!$E$2:$E$3143),
Master_Mapping_Sheet!$H$2:$H$3143=F$1))), 0, sum(filter(
Master_Mapping_Sheet!$E$2:$E$3143, ISNUMBER(
Master_Mapping_Sheet!$E$2:$E$3143),
Master_Mapping_Sheet!$H$2:$H$3143=F$1,
Master_Mapping_Sheet!$L$2:$L$3143=$A11))/sum(filter(
Master"&amp;"_Mapping_Sheet!$E$2:$E$3143, ISNUMBER(
Master_Mapping_Sheet!$E$2:$E$3143),
Master_Mapping_Sheet!$H$2:$H$3143=F$1)))"),0.898477757410173)</f>
        <v>0.8984777574</v>
      </c>
      <c r="G11" s="34">
        <f>IFERROR(__xludf.DUMMYFUNCTION("IF(ISNA(sum(filter(
Master_Mapping_Sheet!$E$2:$E$3143, ISNUMBER(
Master_Mapping_Sheet!$E$2:$E$3143),
Master_Mapping_Sheet!$H$2:$H$3143=G$1,
Master_Mapping_Sheet!$L$2:$L$3143=$A11))/sum(filter(
Master_Mapping_Sheet!$E$2:$E$3143, ISNUMBER(
Master_Mapping_Sh"&amp;"eet!$E$2:$E$3143),
Master_Mapping_Sheet!$H$2:$H$3143=G$1))), 0, sum(filter(
Master_Mapping_Sheet!$E$2:$E$3143, ISNUMBER(
Master_Mapping_Sheet!$E$2:$E$3143),
Master_Mapping_Sheet!$H$2:$H$3143=G$1,
Master_Mapping_Sheet!$L$2:$L$3143=$A11))/sum(filter(
Master"&amp;"_Mapping_Sheet!$E$2:$E$3143, ISNUMBER(
Master_Mapping_Sheet!$E$2:$E$3143),
Master_Mapping_Sheet!$H$2:$H$3143=G$1)))"),0.0)</f>
        <v>0</v>
      </c>
      <c r="H11" s="34">
        <f>IFERROR(__xludf.DUMMYFUNCTION("IF(ISNA(sum(filter(
Master_Mapping_Sheet!$E$2:$E$3143, ISNUMBER(
Master_Mapping_Sheet!$E$2:$E$3143),
Master_Mapping_Sheet!$H$2:$H$3143=H$1,
Master_Mapping_Sheet!$L$2:$L$3143=$A11))/sum(filter(
Master_Mapping_Sheet!$E$2:$E$3143, ISNUMBER(
Master_Mapping_Sh"&amp;"eet!$E$2:$E$3143),
Master_Mapping_Sheet!$H$2:$H$3143=H$1))), 0, sum(filter(
Master_Mapping_Sheet!$E$2:$E$3143, ISNUMBER(
Master_Mapping_Sheet!$E$2:$E$3143),
Master_Mapping_Sheet!$H$2:$H$3143=H$1,
Master_Mapping_Sheet!$L$2:$L$3143=$A11))/sum(filter(
Master"&amp;"_Mapping_Sheet!$E$2:$E$3143, ISNUMBER(
Master_Mapping_Sheet!$E$2:$E$3143),
Master_Mapping_Sheet!$H$2:$H$3143=H$1)))"),0.8358752606273407)</f>
        <v>0.8358752606</v>
      </c>
      <c r="I11" s="34">
        <f>IFERROR(__xludf.DUMMYFUNCTION("IF(ISNA(sum(filter(
Master_Mapping_Sheet!$E$2:$E$3143, ISNUMBER(
Master_Mapping_Sheet!$E$2:$E$3143),
Master_Mapping_Sheet!$H$2:$H$3143=I$1,
Master_Mapping_Sheet!$L$2:$L$3143=$A11))/sum(filter(
Master_Mapping_Sheet!$E$2:$E$3143, ISNUMBER(
Master_Mapping_Sh"&amp;"eet!$E$2:$E$3143),
Master_Mapping_Sheet!$H$2:$H$3143=I$1))), 0, sum(filter(
Master_Mapping_Sheet!$E$2:$E$3143, ISNUMBER(
Master_Mapping_Sheet!$E$2:$E$3143),
Master_Mapping_Sheet!$H$2:$H$3143=I$1,
Master_Mapping_Sheet!$L$2:$L$3143=$A11))/sum(filter(
Master"&amp;"_Mapping_Sheet!$E$2:$E$3143, ISNUMBER(
Master_Mapping_Sheet!$E$2:$E$3143),
Master_Mapping_Sheet!$H$2:$H$3143=I$1)))"),0.0)</f>
        <v>0</v>
      </c>
      <c r="J11" s="34">
        <f>IFERROR(__xludf.DUMMYFUNCTION("IF(ISNA(sum(filter(
Master_Mapping_Sheet!$E$2:$E$3143, ISNUMBER(
Master_Mapping_Sheet!$E$2:$E$3143),
Master_Mapping_Sheet!$H$2:$H$3143=J$1,
Master_Mapping_Sheet!$L$2:$L$3143=$A11))/sum(filter(
Master_Mapping_Sheet!$E$2:$E$3143, ISNUMBER(
Master_Mapping_Sh"&amp;"eet!$E$2:$E$3143),
Master_Mapping_Sheet!$H$2:$H$3143=J$1))), 0, sum(filter(
Master_Mapping_Sheet!$E$2:$E$3143, ISNUMBER(
Master_Mapping_Sheet!$E$2:$E$3143),
Master_Mapping_Sheet!$H$2:$H$3143=J$1,
Master_Mapping_Sheet!$L$2:$L$3143=$A11))/sum(filter(
Master"&amp;"_Mapping_Sheet!$E$2:$E$3143, ISNUMBER(
Master_Mapping_Sheet!$E$2:$E$3143),
Master_Mapping_Sheet!$H$2:$H$3143=J$1)))"),0.7371624510160393)</f>
        <v>0.737162451</v>
      </c>
      <c r="K11" s="34">
        <f>IFERROR(__xludf.DUMMYFUNCTION("IF(ISNA(sum(filter(
Master_Mapping_Sheet!$E$2:$E$3143, ISNUMBER(
Master_Mapping_Sheet!$E$2:$E$3143),
Master_Mapping_Sheet!$H$2:$H$3143=K$1,
Master_Mapping_Sheet!$L$2:$L$3143=$A11))/sum(filter(
Master_Mapping_Sheet!$E$2:$E$3143, ISNUMBER(
Master_Mapping_Sh"&amp;"eet!$E$2:$E$3143),
Master_Mapping_Sheet!$H$2:$H$3143=K$1))), 0, sum(filter(
Master_Mapping_Sheet!$E$2:$E$3143, ISNUMBER(
Master_Mapping_Sheet!$E$2:$E$3143),
Master_Mapping_Sheet!$H$2:$H$3143=K$1,
Master_Mapping_Sheet!$L$2:$L$3143=$A11))/sum(filter(
Master"&amp;"_Mapping_Sheet!$E$2:$E$3143, ISNUMBER(
Master_Mapping_Sheet!$E$2:$E$3143),
Master_Mapping_Sheet!$H$2:$H$3143=K$1)))"),0.3250920086898387)</f>
        <v>0.3250920087</v>
      </c>
      <c r="L11" s="34">
        <f>IFERROR(__xludf.DUMMYFUNCTION("IF(ISNA(sum(filter(
Master_Mapping_Sheet!$E$2:$E$3143, ISNUMBER(
Master_Mapping_Sheet!$E$2:$E$3143),
Master_Mapping_Sheet!$H$2:$H$3143=L$1,
Master_Mapping_Sheet!$L$2:$L$3143=$A11))/sum(filter(
Master_Mapping_Sheet!$E$2:$E$3143, ISNUMBER(
Master_Mapping_Sh"&amp;"eet!$E$2:$E$3143),
Master_Mapping_Sheet!$H$2:$H$3143=L$1))), 0, sum(filter(
Master_Mapping_Sheet!$E$2:$E$3143, ISNUMBER(
Master_Mapping_Sheet!$E$2:$E$3143),
Master_Mapping_Sheet!$H$2:$H$3143=L$1,
Master_Mapping_Sheet!$L$2:$L$3143=$A11))/sum(filter(
Master"&amp;"_Mapping_Sheet!$E$2:$E$3143, ISNUMBER(
Master_Mapping_Sheet!$E$2:$E$3143),
Master_Mapping_Sheet!$H$2:$H$3143=L$1)))"),0.7515420290316456)</f>
        <v>0.751542029</v>
      </c>
      <c r="M11" s="34">
        <f>IFERROR(__xludf.DUMMYFUNCTION("IF(ISNA(sum(filter(
Master_Mapping_Sheet!$E$2:$E$3143, ISNUMBER(
Master_Mapping_Sheet!$E$2:$E$3143),
Master_Mapping_Sheet!$H$2:$H$3143=M$1,
Master_Mapping_Sheet!$L$2:$L$3143=$A11))/sum(filter(
Master_Mapping_Sheet!$E$2:$E$3143, ISNUMBER(
Master_Mapping_Sh"&amp;"eet!$E$2:$E$3143),
Master_Mapping_Sheet!$H$2:$H$3143=M$1))), 0, sum(filter(
Master_Mapping_Sheet!$E$2:$E$3143, ISNUMBER(
Master_Mapping_Sheet!$E$2:$E$3143),
Master_Mapping_Sheet!$H$2:$H$3143=M$1,
Master_Mapping_Sheet!$L$2:$L$3143=$A11))/sum(filter(
Master"&amp;"_Mapping_Sheet!$E$2:$E$3143, ISNUMBER(
Master_Mapping_Sheet!$E$2:$E$3143),
Master_Mapping_Sheet!$H$2:$H$3143=M$1)))"),1.0)</f>
        <v>1</v>
      </c>
      <c r="N11" s="34">
        <f>IFERROR(__xludf.DUMMYFUNCTION("IF(ISNA(sum(filter(
Master_Mapping_Sheet!$E$2:$E$3143, ISNUMBER(
Master_Mapping_Sheet!$E$2:$E$3143),
Master_Mapping_Sheet!$H$2:$H$3143=N$1,
Master_Mapping_Sheet!$L$2:$L$3143=$A11))/sum(filter(
Master_Mapping_Sheet!$E$2:$E$3143, ISNUMBER(
Master_Mapping_Sh"&amp;"eet!$E$2:$E$3143),
Master_Mapping_Sheet!$H$2:$H$3143=N$1))), 0, sum(filter(
Master_Mapping_Sheet!$E$2:$E$3143, ISNUMBER(
Master_Mapping_Sheet!$E$2:$E$3143),
Master_Mapping_Sheet!$H$2:$H$3143=N$1,
Master_Mapping_Sheet!$L$2:$L$3143=$A11))/sum(filter(
Master"&amp;"_Mapping_Sheet!$E$2:$E$3143, ISNUMBER(
Master_Mapping_Sheet!$E$2:$E$3143),
Master_Mapping_Sheet!$H$2:$H$3143=N$1)))"),0.0)</f>
        <v>0</v>
      </c>
      <c r="O11" s="34">
        <f>IFERROR(__xludf.DUMMYFUNCTION("IF(ISNA(sum(filter(
Master_Mapping_Sheet!$E$2:$E$3143, ISNUMBER(
Master_Mapping_Sheet!$E$2:$E$3143),
Master_Mapping_Sheet!$H$2:$H$3143=O$1,
Master_Mapping_Sheet!$L$2:$L$3143=$A11))/sum(filter(
Master_Mapping_Sheet!$E$2:$E$3143, ISNUMBER(
Master_Mapping_Sh"&amp;"eet!$E$2:$E$3143),
Master_Mapping_Sheet!$H$2:$H$3143=O$1))), 0, sum(filter(
Master_Mapping_Sheet!$E$2:$E$3143, ISNUMBER(
Master_Mapping_Sheet!$E$2:$E$3143),
Master_Mapping_Sheet!$H$2:$H$3143=O$1,
Master_Mapping_Sheet!$L$2:$L$3143=$A11))/sum(filter(
Master"&amp;"_Mapping_Sheet!$E$2:$E$3143, ISNUMBER(
Master_Mapping_Sheet!$E$2:$E$3143),
Master_Mapping_Sheet!$H$2:$H$3143=O$1)))"),0.00937904413774242)</f>
        <v>0.009379044138</v>
      </c>
      <c r="P11" s="34">
        <f>IFERROR(__xludf.DUMMYFUNCTION("IF(ISNA(sum(filter(
Master_Mapping_Sheet!$E$2:$E$3143, ISNUMBER(
Master_Mapping_Sheet!$E$2:$E$3143),
Master_Mapping_Sheet!$H$2:$H$3143=P$1,
Master_Mapping_Sheet!$L$2:$L$3143=$A11))/sum(filter(
Master_Mapping_Sheet!$E$2:$E$3143, ISNUMBER(
Master_Mapping_Sh"&amp;"eet!$E$2:$E$3143),
Master_Mapping_Sheet!$H$2:$H$3143=P$1))), 0, sum(filter(
Master_Mapping_Sheet!$E$2:$E$3143, ISNUMBER(
Master_Mapping_Sheet!$E$2:$E$3143),
Master_Mapping_Sheet!$H$2:$H$3143=P$1,
Master_Mapping_Sheet!$L$2:$L$3143=$A11))/sum(filter(
Master"&amp;"_Mapping_Sheet!$E$2:$E$3143, ISNUMBER(
Master_Mapping_Sheet!$E$2:$E$3143),
Master_Mapping_Sheet!$H$2:$H$3143=P$1)))"),0.0)</f>
        <v>0</v>
      </c>
      <c r="Q11" s="34">
        <f>IFERROR(__xludf.DUMMYFUNCTION("IF(ISNA(sum(filter(
Master_Mapping_Sheet!$E$2:$E$3143, ISNUMBER(
Master_Mapping_Sheet!$E$2:$E$3143),
Master_Mapping_Sheet!$H$2:$H$3143=Q$1,
Master_Mapping_Sheet!$L$2:$L$3143=$A11))/sum(filter(
Master_Mapping_Sheet!$E$2:$E$3143, ISNUMBER(
Master_Mapping_Sh"&amp;"eet!$E$2:$E$3143),
Master_Mapping_Sheet!$H$2:$H$3143=Q$1))), 0, sum(filter(
Master_Mapping_Sheet!$E$2:$E$3143, ISNUMBER(
Master_Mapping_Sheet!$E$2:$E$3143),
Master_Mapping_Sheet!$H$2:$H$3143=Q$1,
Master_Mapping_Sheet!$L$2:$L$3143=$A11))/sum(filter(
Master"&amp;"_Mapping_Sheet!$E$2:$E$3143, ISNUMBER(
Master_Mapping_Sheet!$E$2:$E$3143),
Master_Mapping_Sheet!$H$2:$H$3143=Q$1)))"),0.0)</f>
        <v>0</v>
      </c>
      <c r="R11" s="34">
        <f>IFERROR(__xludf.DUMMYFUNCTION("IF(ISNA(sum(filter(
Master_Mapping_Sheet!$E$2:$E$3143, ISNUMBER(
Master_Mapping_Sheet!$E$2:$E$3143),
Master_Mapping_Sheet!$H$2:$H$3143=R$1,
Master_Mapping_Sheet!$L$2:$L$3143=$A11))/sum(filter(
Master_Mapping_Sheet!$E$2:$E$3143, ISNUMBER(
Master_Mapping_Sh"&amp;"eet!$E$2:$E$3143),
Master_Mapping_Sheet!$H$2:$H$3143=R$1))), 0, sum(filter(
Master_Mapping_Sheet!$E$2:$E$3143, ISNUMBER(
Master_Mapping_Sheet!$E$2:$E$3143),
Master_Mapping_Sheet!$H$2:$H$3143=R$1,
Master_Mapping_Sheet!$L$2:$L$3143=$A11))/sum(filter(
Master"&amp;"_Mapping_Sheet!$E$2:$E$3143, ISNUMBER(
Master_Mapping_Sheet!$E$2:$E$3143),
Master_Mapping_Sheet!$H$2:$H$3143=R$1)))"),0.0)</f>
        <v>0</v>
      </c>
      <c r="S11" s="34">
        <f>IFERROR(__xludf.DUMMYFUNCTION("IF(ISNA(sum(filter(
Master_Mapping_Sheet!$E$2:$E$3143, ISNUMBER(
Master_Mapping_Sheet!$E$2:$E$3143),
Master_Mapping_Sheet!$H$2:$H$3143=S$1,
Master_Mapping_Sheet!$L$2:$L$3143=$A11))/sum(filter(
Master_Mapping_Sheet!$E$2:$E$3143, ISNUMBER(
Master_Mapping_Sh"&amp;"eet!$E$2:$E$3143),
Master_Mapping_Sheet!$H$2:$H$3143=S$1))), 0, sum(filter(
Master_Mapping_Sheet!$E$2:$E$3143, ISNUMBER(
Master_Mapping_Sheet!$E$2:$E$3143),
Master_Mapping_Sheet!$H$2:$H$3143=S$1,
Master_Mapping_Sheet!$L$2:$L$3143=$A11))/sum(filter(
Master"&amp;"_Mapping_Sheet!$E$2:$E$3143, ISNUMBER(
Master_Mapping_Sheet!$E$2:$E$3143),
Master_Mapping_Sheet!$H$2:$H$3143=S$1)))"),0.06244116048224887)</f>
        <v>0.06244116048</v>
      </c>
      <c r="T11" s="34">
        <f>IFERROR(__xludf.DUMMYFUNCTION("IF(ISNA(sum(filter(
Master_Mapping_Sheet!$E$2:$E$3143, ISNUMBER(
Master_Mapping_Sheet!$E$2:$E$3143),
Master_Mapping_Sheet!$H$2:$H$3143=T$1,
Master_Mapping_Sheet!$L$2:$L$3143=$A11))/sum(filter(
Master_Mapping_Sheet!$E$2:$E$3143, ISNUMBER(
Master_Mapping_Sh"&amp;"eet!$E$2:$E$3143),
Master_Mapping_Sheet!$H$2:$H$3143=T$1))), 0, sum(filter(
Master_Mapping_Sheet!$E$2:$E$3143, ISNUMBER(
Master_Mapping_Sheet!$E$2:$E$3143),
Master_Mapping_Sheet!$H$2:$H$3143=T$1,
Master_Mapping_Sheet!$L$2:$L$3143=$A11))/sum(filter(
Master"&amp;"_Mapping_Sheet!$E$2:$E$3143, ISNUMBER(
Master_Mapping_Sheet!$E$2:$E$3143),
Master_Mapping_Sheet!$H$2:$H$3143=T$1)))"),0.5472374517806816)</f>
        <v>0.5472374518</v>
      </c>
      <c r="U11" s="34">
        <f>IFERROR(__xludf.DUMMYFUNCTION("IF(ISNA(sum(filter(
Master_Mapping_Sheet!$E$2:$E$3143, ISNUMBER(
Master_Mapping_Sheet!$E$2:$E$3143),
Master_Mapping_Sheet!$H$2:$H$3143=U$1,
Master_Mapping_Sheet!$L$2:$L$3143=$A11))/sum(filter(
Master_Mapping_Sheet!$E$2:$E$3143, ISNUMBER(
Master_Mapping_Sh"&amp;"eet!$E$2:$E$3143),
Master_Mapping_Sheet!$H$2:$H$3143=U$1))), 0, sum(filter(
Master_Mapping_Sheet!$E$2:$E$3143, ISNUMBER(
Master_Mapping_Sheet!$E$2:$E$3143),
Master_Mapping_Sheet!$H$2:$H$3143=U$1,
Master_Mapping_Sheet!$L$2:$L$3143=$A11))/sum(filter(
Master"&amp;"_Mapping_Sheet!$E$2:$E$3143, ISNUMBER(
Master_Mapping_Sheet!$E$2:$E$3143),
Master_Mapping_Sheet!$H$2:$H$3143=U$1)))"),0.0)</f>
        <v>0</v>
      </c>
      <c r="V11" s="34">
        <f>IFERROR(__xludf.DUMMYFUNCTION("IF(ISNA(sum(filter(
Master_Mapping_Sheet!$E$2:$E$3143, ISNUMBER(
Master_Mapping_Sheet!$E$2:$E$3143),
Master_Mapping_Sheet!$H$2:$H$3143=V$1,
Master_Mapping_Sheet!$L$2:$L$3143=$A11))/sum(filter(
Master_Mapping_Sheet!$E$2:$E$3143, ISNUMBER(
Master_Mapping_Sh"&amp;"eet!$E$2:$E$3143),
Master_Mapping_Sheet!$H$2:$H$3143=V$1))), 0, sum(filter(
Master_Mapping_Sheet!$E$2:$E$3143, ISNUMBER(
Master_Mapping_Sheet!$E$2:$E$3143),
Master_Mapping_Sheet!$H$2:$H$3143=V$1,
Master_Mapping_Sheet!$L$2:$L$3143=$A11))/sum(filter(
Master"&amp;"_Mapping_Sheet!$E$2:$E$3143, ISNUMBER(
Master_Mapping_Sheet!$E$2:$E$3143),
Master_Mapping_Sheet!$H$2:$H$3143=V$1)))"),0.0)</f>
        <v>0</v>
      </c>
      <c r="W11" s="34">
        <f>IFERROR(__xludf.DUMMYFUNCTION("IF(ISNA(sum(filter(
Master_Mapping_Sheet!$E$2:$E$3143, ISNUMBER(
Master_Mapping_Sheet!$E$2:$E$3143),
Master_Mapping_Sheet!$H$2:$H$3143=W$1,
Master_Mapping_Sheet!$L$2:$L$3143=$A11))/sum(filter(
Master_Mapping_Sheet!$E$2:$E$3143, ISNUMBER(
Master_Mapping_Sh"&amp;"eet!$E$2:$E$3143),
Master_Mapping_Sheet!$H$2:$H$3143=W$1))), 0, sum(filter(
Master_Mapping_Sheet!$E$2:$E$3143, ISNUMBER(
Master_Mapping_Sheet!$E$2:$E$3143),
Master_Mapping_Sheet!$H$2:$H$3143=W$1,
Master_Mapping_Sheet!$L$2:$L$3143=$A11))/sum(filter(
Master"&amp;"_Mapping_Sheet!$E$2:$E$3143, ISNUMBER(
Master_Mapping_Sheet!$E$2:$E$3143),
Master_Mapping_Sheet!$H$2:$H$3143=W$1)))"),0.0)</f>
        <v>0</v>
      </c>
      <c r="X11" s="34">
        <f>IFERROR(__xludf.DUMMYFUNCTION("IF(ISNA(sum(filter(
Master_Mapping_Sheet!$E$2:$E$3143, ISNUMBER(
Master_Mapping_Sheet!$E$2:$E$3143),
Master_Mapping_Sheet!$H$2:$H$3143=X$1,
Master_Mapping_Sheet!$L$2:$L$3143=$A11))/sum(filter(
Master_Mapping_Sheet!$E$2:$E$3143, ISNUMBER(
Master_Mapping_Sh"&amp;"eet!$E$2:$E$3143),
Master_Mapping_Sheet!$H$2:$H$3143=X$1))), 0, sum(filter(
Master_Mapping_Sheet!$E$2:$E$3143, ISNUMBER(
Master_Mapping_Sheet!$E$2:$E$3143),
Master_Mapping_Sheet!$H$2:$H$3143=X$1,
Master_Mapping_Sheet!$L$2:$L$3143=$A11))/sum(filter(
Master"&amp;"_Mapping_Sheet!$E$2:$E$3143, ISNUMBER(
Master_Mapping_Sheet!$E$2:$E$3143),
Master_Mapping_Sheet!$H$2:$H$3143=X$1)))"),0.0)</f>
        <v>0</v>
      </c>
      <c r="Y11" s="34">
        <f>IFERROR(__xludf.DUMMYFUNCTION("IF(ISNA(sum(filter(
Master_Mapping_Sheet!$E$2:$E$3143, ISNUMBER(
Master_Mapping_Sheet!$E$2:$E$3143),
Master_Mapping_Sheet!$H$2:$H$3143=Y$1,
Master_Mapping_Sheet!$L$2:$L$3143=$A11))/sum(filter(
Master_Mapping_Sheet!$E$2:$E$3143, ISNUMBER(
Master_Mapping_Sh"&amp;"eet!$E$2:$E$3143),
Master_Mapping_Sheet!$H$2:$H$3143=Y$1))), 0, sum(filter(
Master_Mapping_Sheet!$E$2:$E$3143, ISNUMBER(
Master_Mapping_Sheet!$E$2:$E$3143),
Master_Mapping_Sheet!$H$2:$H$3143=Y$1,
Master_Mapping_Sheet!$L$2:$L$3143=$A11))/sum(filter(
Master"&amp;"_Mapping_Sheet!$E$2:$E$3143, ISNUMBER(
Master_Mapping_Sheet!$E$2:$E$3143),
Master_Mapping_Sheet!$H$2:$H$3143=Y$1)))"),0.0035855934376607663)</f>
        <v>0.003585593438</v>
      </c>
      <c r="Z11" s="34">
        <f>IFERROR(__xludf.DUMMYFUNCTION("IF(ISNA(sum(filter(
Master_Mapping_Sheet!$E$2:$E$3143, ISNUMBER(
Master_Mapping_Sheet!$E$2:$E$3143),
Master_Mapping_Sheet!$H$2:$H$3143=Z$1,
Master_Mapping_Sheet!$L$2:$L$3143=$A11))/sum(filter(
Master_Mapping_Sheet!$E$2:$E$3143, ISNUMBER(
Master_Mapping_Sh"&amp;"eet!$E$2:$E$3143),
Master_Mapping_Sheet!$H$2:$H$3143=Z$1))), 0, sum(filter(
Master_Mapping_Sheet!$E$2:$E$3143, ISNUMBER(
Master_Mapping_Sheet!$E$2:$E$3143),
Master_Mapping_Sheet!$H$2:$H$3143=Z$1,
Master_Mapping_Sheet!$L$2:$L$3143=$A11))/sum(filter(
Master"&amp;"_Mapping_Sheet!$E$2:$E$3143, ISNUMBER(
Master_Mapping_Sheet!$E$2:$E$3143),
Master_Mapping_Sheet!$H$2:$H$3143=Z$1)))"),0.0)</f>
        <v>0</v>
      </c>
    </row>
    <row r="12" ht="15.75" customHeight="1">
      <c r="A12" s="32" t="s">
        <v>202</v>
      </c>
      <c r="B12" s="34">
        <f>IFERROR(__xludf.DUMMYFUNCTION("IF(ISNA(sum(filter(
Master_Mapping_Sheet!$E$2:$E$3143, ISNUMBER(
Master_Mapping_Sheet!$E$2:$E$3143),
Master_Mapping_Sheet!$H$2:$H$3143=B$1,
Master_Mapping_Sheet!$L$2:$L$3143=$A12))/sum(filter(
Master_Mapping_Sheet!$E$2:$E$3143, ISNUMBER(
Master_Mapping_Sh"&amp;"eet!$E$2:$E$3143),
Master_Mapping_Sheet!$H$2:$H$3143=B$1))), 0, sum(filter(
Master_Mapping_Sheet!$E$2:$E$3143, ISNUMBER(
Master_Mapping_Sheet!$E$2:$E$3143),
Master_Mapping_Sheet!$H$2:$H$3143=B$1,
Master_Mapping_Sheet!$L$2:$L$3143=$A12))/sum(filter(
Master"&amp;"_Mapping_Sheet!$E$2:$E$3143, ISNUMBER(
Master_Mapping_Sheet!$E$2:$E$3143),
Master_Mapping_Sheet!$H$2:$H$3143=B$1)))"),0.0)</f>
        <v>0</v>
      </c>
      <c r="C12" s="34">
        <f>IFERROR(__xludf.DUMMYFUNCTION("IF(ISNA(sum(filter(
Master_Mapping_Sheet!$E$2:$E$3143, ISNUMBER(
Master_Mapping_Sheet!$E$2:$E$3143),
Master_Mapping_Sheet!$H$2:$H$3143=C$1,
Master_Mapping_Sheet!$L$2:$L$3143=$A12))/sum(filter(
Master_Mapping_Sheet!$E$2:$E$3143, ISNUMBER(
Master_Mapping_Sh"&amp;"eet!$E$2:$E$3143),
Master_Mapping_Sheet!$H$2:$H$3143=C$1))), 0, sum(filter(
Master_Mapping_Sheet!$E$2:$E$3143, ISNUMBER(
Master_Mapping_Sheet!$E$2:$E$3143),
Master_Mapping_Sheet!$H$2:$H$3143=C$1,
Master_Mapping_Sheet!$L$2:$L$3143=$A12))/sum(filter(
Master"&amp;"_Mapping_Sheet!$E$2:$E$3143, ISNUMBER(
Master_Mapping_Sheet!$E$2:$E$3143),
Master_Mapping_Sheet!$H$2:$H$3143=C$1)))"),0.0)</f>
        <v>0</v>
      </c>
      <c r="D12" s="34">
        <f>IFERROR(__xludf.DUMMYFUNCTION("IF(ISNA(sum(filter(
Master_Mapping_Sheet!$E$2:$E$3143, ISNUMBER(
Master_Mapping_Sheet!$E$2:$E$3143),
Master_Mapping_Sheet!$H$2:$H$3143=D$1,
Master_Mapping_Sheet!$L$2:$L$3143=$A12))/sum(filter(
Master_Mapping_Sheet!$E$2:$E$3143, ISNUMBER(
Master_Mapping_Sh"&amp;"eet!$E$2:$E$3143),
Master_Mapping_Sheet!$H$2:$H$3143=D$1))), 0, sum(filter(
Master_Mapping_Sheet!$E$2:$E$3143, ISNUMBER(
Master_Mapping_Sheet!$E$2:$E$3143),
Master_Mapping_Sheet!$H$2:$H$3143=D$1,
Master_Mapping_Sheet!$L$2:$L$3143=$A12))/sum(filter(
Master"&amp;"_Mapping_Sheet!$E$2:$E$3143, ISNUMBER(
Master_Mapping_Sheet!$E$2:$E$3143),
Master_Mapping_Sheet!$H$2:$H$3143=D$1)))"),0.0)</f>
        <v>0</v>
      </c>
      <c r="E12" s="34">
        <f>IFERROR(__xludf.DUMMYFUNCTION("IF(ISNA(sum(filter(
Master_Mapping_Sheet!$E$2:$E$3143, ISNUMBER(
Master_Mapping_Sheet!$E$2:$E$3143),
Master_Mapping_Sheet!$H$2:$H$3143=E$1,
Master_Mapping_Sheet!$L$2:$L$3143=$A12))/sum(filter(
Master_Mapping_Sheet!$E$2:$E$3143, ISNUMBER(
Master_Mapping_Sh"&amp;"eet!$E$2:$E$3143),
Master_Mapping_Sheet!$H$2:$H$3143=E$1))), 0, sum(filter(
Master_Mapping_Sheet!$E$2:$E$3143, ISNUMBER(
Master_Mapping_Sheet!$E$2:$E$3143),
Master_Mapping_Sheet!$H$2:$H$3143=E$1,
Master_Mapping_Sheet!$L$2:$L$3143=$A12))/sum(filter(
Master"&amp;"_Mapping_Sheet!$E$2:$E$3143, ISNUMBER(
Master_Mapping_Sheet!$E$2:$E$3143),
Master_Mapping_Sheet!$H$2:$H$3143=E$1)))"),0.0)</f>
        <v>0</v>
      </c>
      <c r="F12" s="34">
        <f>IFERROR(__xludf.DUMMYFUNCTION("IF(ISNA(sum(filter(
Master_Mapping_Sheet!$E$2:$E$3143, ISNUMBER(
Master_Mapping_Sheet!$E$2:$E$3143),
Master_Mapping_Sheet!$H$2:$H$3143=F$1,
Master_Mapping_Sheet!$L$2:$L$3143=$A12))/sum(filter(
Master_Mapping_Sheet!$E$2:$E$3143, ISNUMBER(
Master_Mapping_Sh"&amp;"eet!$E$2:$E$3143),
Master_Mapping_Sheet!$H$2:$H$3143=F$1))), 0, sum(filter(
Master_Mapping_Sheet!$E$2:$E$3143, ISNUMBER(
Master_Mapping_Sheet!$E$2:$E$3143),
Master_Mapping_Sheet!$H$2:$H$3143=F$1,
Master_Mapping_Sheet!$L$2:$L$3143=$A12))/sum(filter(
Master"&amp;"_Mapping_Sheet!$E$2:$E$3143, ISNUMBER(
Master_Mapping_Sheet!$E$2:$E$3143),
Master_Mapping_Sheet!$H$2:$H$3143=F$1)))"),0.0)</f>
        <v>0</v>
      </c>
      <c r="G12" s="34">
        <f>IFERROR(__xludf.DUMMYFUNCTION("IF(ISNA(sum(filter(
Master_Mapping_Sheet!$E$2:$E$3143, ISNUMBER(
Master_Mapping_Sheet!$E$2:$E$3143),
Master_Mapping_Sheet!$H$2:$H$3143=G$1,
Master_Mapping_Sheet!$L$2:$L$3143=$A12))/sum(filter(
Master_Mapping_Sheet!$E$2:$E$3143, ISNUMBER(
Master_Mapping_Sh"&amp;"eet!$E$2:$E$3143),
Master_Mapping_Sheet!$H$2:$H$3143=G$1))), 0, sum(filter(
Master_Mapping_Sheet!$E$2:$E$3143, ISNUMBER(
Master_Mapping_Sheet!$E$2:$E$3143),
Master_Mapping_Sheet!$H$2:$H$3143=G$1,
Master_Mapping_Sheet!$L$2:$L$3143=$A12))/sum(filter(
Master"&amp;"_Mapping_Sheet!$E$2:$E$3143, ISNUMBER(
Master_Mapping_Sheet!$E$2:$E$3143),
Master_Mapping_Sheet!$H$2:$H$3143=G$1)))"),0.0)</f>
        <v>0</v>
      </c>
      <c r="H12" s="34">
        <f>IFERROR(__xludf.DUMMYFUNCTION("IF(ISNA(sum(filter(
Master_Mapping_Sheet!$E$2:$E$3143, ISNUMBER(
Master_Mapping_Sheet!$E$2:$E$3143),
Master_Mapping_Sheet!$H$2:$H$3143=H$1,
Master_Mapping_Sheet!$L$2:$L$3143=$A12))/sum(filter(
Master_Mapping_Sheet!$E$2:$E$3143, ISNUMBER(
Master_Mapping_Sh"&amp;"eet!$E$2:$E$3143),
Master_Mapping_Sheet!$H$2:$H$3143=H$1))), 0, sum(filter(
Master_Mapping_Sheet!$E$2:$E$3143, ISNUMBER(
Master_Mapping_Sheet!$E$2:$E$3143),
Master_Mapping_Sheet!$H$2:$H$3143=H$1,
Master_Mapping_Sheet!$L$2:$L$3143=$A12))/sum(filter(
Master"&amp;"_Mapping_Sheet!$E$2:$E$3143, ISNUMBER(
Master_Mapping_Sheet!$E$2:$E$3143),
Master_Mapping_Sheet!$H$2:$H$3143=H$1)))"),0.0)</f>
        <v>0</v>
      </c>
      <c r="I12" s="34">
        <f>IFERROR(__xludf.DUMMYFUNCTION("IF(ISNA(sum(filter(
Master_Mapping_Sheet!$E$2:$E$3143, ISNUMBER(
Master_Mapping_Sheet!$E$2:$E$3143),
Master_Mapping_Sheet!$H$2:$H$3143=I$1,
Master_Mapping_Sheet!$L$2:$L$3143=$A12))/sum(filter(
Master_Mapping_Sheet!$E$2:$E$3143, ISNUMBER(
Master_Mapping_Sh"&amp;"eet!$E$2:$E$3143),
Master_Mapping_Sheet!$H$2:$H$3143=I$1))), 0, sum(filter(
Master_Mapping_Sheet!$E$2:$E$3143, ISNUMBER(
Master_Mapping_Sheet!$E$2:$E$3143),
Master_Mapping_Sheet!$H$2:$H$3143=I$1,
Master_Mapping_Sheet!$L$2:$L$3143=$A12))/sum(filter(
Master"&amp;"_Mapping_Sheet!$E$2:$E$3143, ISNUMBER(
Master_Mapping_Sheet!$E$2:$E$3143),
Master_Mapping_Sheet!$H$2:$H$3143=I$1)))"),0.0)</f>
        <v>0</v>
      </c>
      <c r="J12" s="34">
        <f>IFERROR(__xludf.DUMMYFUNCTION("IF(ISNA(sum(filter(
Master_Mapping_Sheet!$E$2:$E$3143, ISNUMBER(
Master_Mapping_Sheet!$E$2:$E$3143),
Master_Mapping_Sheet!$H$2:$H$3143=J$1,
Master_Mapping_Sheet!$L$2:$L$3143=$A12))/sum(filter(
Master_Mapping_Sheet!$E$2:$E$3143, ISNUMBER(
Master_Mapping_Sh"&amp;"eet!$E$2:$E$3143),
Master_Mapping_Sheet!$H$2:$H$3143=J$1))), 0, sum(filter(
Master_Mapping_Sheet!$E$2:$E$3143, ISNUMBER(
Master_Mapping_Sheet!$E$2:$E$3143),
Master_Mapping_Sheet!$H$2:$H$3143=J$1,
Master_Mapping_Sheet!$L$2:$L$3143=$A12))/sum(filter(
Master"&amp;"_Mapping_Sheet!$E$2:$E$3143, ISNUMBER(
Master_Mapping_Sheet!$E$2:$E$3143),
Master_Mapping_Sheet!$H$2:$H$3143=J$1)))"),0.0)</f>
        <v>0</v>
      </c>
      <c r="K12" s="34">
        <f>IFERROR(__xludf.DUMMYFUNCTION("IF(ISNA(sum(filter(
Master_Mapping_Sheet!$E$2:$E$3143, ISNUMBER(
Master_Mapping_Sheet!$E$2:$E$3143),
Master_Mapping_Sheet!$H$2:$H$3143=K$1,
Master_Mapping_Sheet!$L$2:$L$3143=$A12))/sum(filter(
Master_Mapping_Sheet!$E$2:$E$3143, ISNUMBER(
Master_Mapping_Sh"&amp;"eet!$E$2:$E$3143),
Master_Mapping_Sheet!$H$2:$H$3143=K$1))), 0, sum(filter(
Master_Mapping_Sheet!$E$2:$E$3143, ISNUMBER(
Master_Mapping_Sheet!$E$2:$E$3143),
Master_Mapping_Sheet!$H$2:$H$3143=K$1,
Master_Mapping_Sheet!$L$2:$L$3143=$A12))/sum(filter(
Master"&amp;"_Mapping_Sheet!$E$2:$E$3143, ISNUMBER(
Master_Mapping_Sheet!$E$2:$E$3143),
Master_Mapping_Sheet!$H$2:$H$3143=K$1)))"),0.0)</f>
        <v>0</v>
      </c>
      <c r="L12" s="34">
        <f>IFERROR(__xludf.DUMMYFUNCTION("IF(ISNA(sum(filter(
Master_Mapping_Sheet!$E$2:$E$3143, ISNUMBER(
Master_Mapping_Sheet!$E$2:$E$3143),
Master_Mapping_Sheet!$H$2:$H$3143=L$1,
Master_Mapping_Sheet!$L$2:$L$3143=$A12))/sum(filter(
Master_Mapping_Sheet!$E$2:$E$3143, ISNUMBER(
Master_Mapping_Sh"&amp;"eet!$E$2:$E$3143),
Master_Mapping_Sheet!$H$2:$H$3143=L$1))), 0, sum(filter(
Master_Mapping_Sheet!$E$2:$E$3143, ISNUMBER(
Master_Mapping_Sheet!$E$2:$E$3143),
Master_Mapping_Sheet!$H$2:$H$3143=L$1,
Master_Mapping_Sheet!$L$2:$L$3143=$A12))/sum(filter(
Master"&amp;"_Mapping_Sheet!$E$2:$E$3143, ISNUMBER(
Master_Mapping_Sheet!$E$2:$E$3143),
Master_Mapping_Sheet!$H$2:$H$3143=L$1)))"),0.0)</f>
        <v>0</v>
      </c>
      <c r="M12" s="34">
        <f>IFERROR(__xludf.DUMMYFUNCTION("IF(ISNA(sum(filter(
Master_Mapping_Sheet!$E$2:$E$3143, ISNUMBER(
Master_Mapping_Sheet!$E$2:$E$3143),
Master_Mapping_Sheet!$H$2:$H$3143=M$1,
Master_Mapping_Sheet!$L$2:$L$3143=$A12))/sum(filter(
Master_Mapping_Sheet!$E$2:$E$3143, ISNUMBER(
Master_Mapping_Sh"&amp;"eet!$E$2:$E$3143),
Master_Mapping_Sheet!$H$2:$H$3143=M$1))), 0, sum(filter(
Master_Mapping_Sheet!$E$2:$E$3143, ISNUMBER(
Master_Mapping_Sheet!$E$2:$E$3143),
Master_Mapping_Sheet!$H$2:$H$3143=M$1,
Master_Mapping_Sheet!$L$2:$L$3143=$A12))/sum(filter(
Master"&amp;"_Mapping_Sheet!$E$2:$E$3143, ISNUMBER(
Master_Mapping_Sheet!$E$2:$E$3143),
Master_Mapping_Sheet!$H$2:$H$3143=M$1)))"),0.0)</f>
        <v>0</v>
      </c>
      <c r="N12" s="34">
        <f>IFERROR(__xludf.DUMMYFUNCTION("IF(ISNA(sum(filter(
Master_Mapping_Sheet!$E$2:$E$3143, ISNUMBER(
Master_Mapping_Sheet!$E$2:$E$3143),
Master_Mapping_Sheet!$H$2:$H$3143=N$1,
Master_Mapping_Sheet!$L$2:$L$3143=$A12))/sum(filter(
Master_Mapping_Sheet!$E$2:$E$3143, ISNUMBER(
Master_Mapping_Sh"&amp;"eet!$E$2:$E$3143),
Master_Mapping_Sheet!$H$2:$H$3143=N$1))), 0, sum(filter(
Master_Mapping_Sheet!$E$2:$E$3143, ISNUMBER(
Master_Mapping_Sheet!$E$2:$E$3143),
Master_Mapping_Sheet!$H$2:$H$3143=N$1,
Master_Mapping_Sheet!$L$2:$L$3143=$A12))/sum(filter(
Master"&amp;"_Mapping_Sheet!$E$2:$E$3143, ISNUMBER(
Master_Mapping_Sheet!$E$2:$E$3143),
Master_Mapping_Sheet!$H$2:$H$3143=N$1)))"),0.0)</f>
        <v>0</v>
      </c>
      <c r="O12" s="34">
        <f>IFERROR(__xludf.DUMMYFUNCTION("IF(ISNA(sum(filter(
Master_Mapping_Sheet!$E$2:$E$3143, ISNUMBER(
Master_Mapping_Sheet!$E$2:$E$3143),
Master_Mapping_Sheet!$H$2:$H$3143=O$1,
Master_Mapping_Sheet!$L$2:$L$3143=$A12))/sum(filter(
Master_Mapping_Sheet!$E$2:$E$3143, ISNUMBER(
Master_Mapping_Sh"&amp;"eet!$E$2:$E$3143),
Master_Mapping_Sheet!$H$2:$H$3143=O$1))), 0, sum(filter(
Master_Mapping_Sheet!$E$2:$E$3143, ISNUMBER(
Master_Mapping_Sheet!$E$2:$E$3143),
Master_Mapping_Sheet!$H$2:$H$3143=O$1,
Master_Mapping_Sheet!$L$2:$L$3143=$A12))/sum(filter(
Master"&amp;"_Mapping_Sheet!$E$2:$E$3143, ISNUMBER(
Master_Mapping_Sheet!$E$2:$E$3143),
Master_Mapping_Sheet!$H$2:$H$3143=O$1)))"),0.0)</f>
        <v>0</v>
      </c>
      <c r="P12" s="34">
        <f>IFERROR(__xludf.DUMMYFUNCTION("IF(ISNA(sum(filter(
Master_Mapping_Sheet!$E$2:$E$3143, ISNUMBER(
Master_Mapping_Sheet!$E$2:$E$3143),
Master_Mapping_Sheet!$H$2:$H$3143=P$1,
Master_Mapping_Sheet!$L$2:$L$3143=$A12))/sum(filter(
Master_Mapping_Sheet!$E$2:$E$3143, ISNUMBER(
Master_Mapping_Sh"&amp;"eet!$E$2:$E$3143),
Master_Mapping_Sheet!$H$2:$H$3143=P$1))), 0, sum(filter(
Master_Mapping_Sheet!$E$2:$E$3143, ISNUMBER(
Master_Mapping_Sheet!$E$2:$E$3143),
Master_Mapping_Sheet!$H$2:$H$3143=P$1,
Master_Mapping_Sheet!$L$2:$L$3143=$A12))/sum(filter(
Master"&amp;"_Mapping_Sheet!$E$2:$E$3143, ISNUMBER(
Master_Mapping_Sheet!$E$2:$E$3143),
Master_Mapping_Sheet!$H$2:$H$3143=P$1)))"),0.0)</f>
        <v>0</v>
      </c>
      <c r="Q12" s="34">
        <f>IFERROR(__xludf.DUMMYFUNCTION("IF(ISNA(sum(filter(
Master_Mapping_Sheet!$E$2:$E$3143, ISNUMBER(
Master_Mapping_Sheet!$E$2:$E$3143),
Master_Mapping_Sheet!$H$2:$H$3143=Q$1,
Master_Mapping_Sheet!$L$2:$L$3143=$A12))/sum(filter(
Master_Mapping_Sheet!$E$2:$E$3143, ISNUMBER(
Master_Mapping_Sh"&amp;"eet!$E$2:$E$3143),
Master_Mapping_Sheet!$H$2:$H$3143=Q$1))), 0, sum(filter(
Master_Mapping_Sheet!$E$2:$E$3143, ISNUMBER(
Master_Mapping_Sheet!$E$2:$E$3143),
Master_Mapping_Sheet!$H$2:$H$3143=Q$1,
Master_Mapping_Sheet!$L$2:$L$3143=$A12))/sum(filter(
Master"&amp;"_Mapping_Sheet!$E$2:$E$3143, ISNUMBER(
Master_Mapping_Sheet!$E$2:$E$3143),
Master_Mapping_Sheet!$H$2:$H$3143=Q$1)))"),0.0)</f>
        <v>0</v>
      </c>
      <c r="R12" s="34">
        <f>IFERROR(__xludf.DUMMYFUNCTION("IF(ISNA(sum(filter(
Master_Mapping_Sheet!$E$2:$E$3143, ISNUMBER(
Master_Mapping_Sheet!$E$2:$E$3143),
Master_Mapping_Sheet!$H$2:$H$3143=R$1,
Master_Mapping_Sheet!$L$2:$L$3143=$A12))/sum(filter(
Master_Mapping_Sheet!$E$2:$E$3143, ISNUMBER(
Master_Mapping_Sh"&amp;"eet!$E$2:$E$3143),
Master_Mapping_Sheet!$H$2:$H$3143=R$1))), 0, sum(filter(
Master_Mapping_Sheet!$E$2:$E$3143, ISNUMBER(
Master_Mapping_Sheet!$E$2:$E$3143),
Master_Mapping_Sheet!$H$2:$H$3143=R$1,
Master_Mapping_Sheet!$L$2:$L$3143=$A12))/sum(filter(
Master"&amp;"_Mapping_Sheet!$E$2:$E$3143, ISNUMBER(
Master_Mapping_Sheet!$E$2:$E$3143),
Master_Mapping_Sheet!$H$2:$H$3143=R$1)))"),0.0)</f>
        <v>0</v>
      </c>
      <c r="S12" s="34">
        <f>IFERROR(__xludf.DUMMYFUNCTION("IF(ISNA(sum(filter(
Master_Mapping_Sheet!$E$2:$E$3143, ISNUMBER(
Master_Mapping_Sheet!$E$2:$E$3143),
Master_Mapping_Sheet!$H$2:$H$3143=S$1,
Master_Mapping_Sheet!$L$2:$L$3143=$A12))/sum(filter(
Master_Mapping_Sheet!$E$2:$E$3143, ISNUMBER(
Master_Mapping_Sh"&amp;"eet!$E$2:$E$3143),
Master_Mapping_Sheet!$H$2:$H$3143=S$1))), 0, sum(filter(
Master_Mapping_Sheet!$E$2:$E$3143, ISNUMBER(
Master_Mapping_Sheet!$E$2:$E$3143),
Master_Mapping_Sheet!$H$2:$H$3143=S$1,
Master_Mapping_Sheet!$L$2:$L$3143=$A12))/sum(filter(
Master"&amp;"_Mapping_Sheet!$E$2:$E$3143, ISNUMBER(
Master_Mapping_Sheet!$E$2:$E$3143),
Master_Mapping_Sheet!$H$2:$H$3143=S$1)))"),0.0)</f>
        <v>0</v>
      </c>
      <c r="T12" s="34">
        <f>IFERROR(__xludf.DUMMYFUNCTION("IF(ISNA(sum(filter(
Master_Mapping_Sheet!$E$2:$E$3143, ISNUMBER(
Master_Mapping_Sheet!$E$2:$E$3143),
Master_Mapping_Sheet!$H$2:$H$3143=T$1,
Master_Mapping_Sheet!$L$2:$L$3143=$A12))/sum(filter(
Master_Mapping_Sheet!$E$2:$E$3143, ISNUMBER(
Master_Mapping_Sh"&amp;"eet!$E$2:$E$3143),
Master_Mapping_Sheet!$H$2:$H$3143=T$1))), 0, sum(filter(
Master_Mapping_Sheet!$E$2:$E$3143, ISNUMBER(
Master_Mapping_Sheet!$E$2:$E$3143),
Master_Mapping_Sheet!$H$2:$H$3143=T$1,
Master_Mapping_Sheet!$L$2:$L$3143=$A12))/sum(filter(
Master"&amp;"_Mapping_Sheet!$E$2:$E$3143, ISNUMBER(
Master_Mapping_Sheet!$E$2:$E$3143),
Master_Mapping_Sheet!$H$2:$H$3143=T$1)))"),0.0)</f>
        <v>0</v>
      </c>
      <c r="U12" s="34">
        <f>IFERROR(__xludf.DUMMYFUNCTION("IF(ISNA(sum(filter(
Master_Mapping_Sheet!$E$2:$E$3143, ISNUMBER(
Master_Mapping_Sheet!$E$2:$E$3143),
Master_Mapping_Sheet!$H$2:$H$3143=U$1,
Master_Mapping_Sheet!$L$2:$L$3143=$A12))/sum(filter(
Master_Mapping_Sheet!$E$2:$E$3143, ISNUMBER(
Master_Mapping_Sh"&amp;"eet!$E$2:$E$3143),
Master_Mapping_Sheet!$H$2:$H$3143=U$1))), 0, sum(filter(
Master_Mapping_Sheet!$E$2:$E$3143, ISNUMBER(
Master_Mapping_Sheet!$E$2:$E$3143),
Master_Mapping_Sheet!$H$2:$H$3143=U$1,
Master_Mapping_Sheet!$L$2:$L$3143=$A12))/sum(filter(
Master"&amp;"_Mapping_Sheet!$E$2:$E$3143, ISNUMBER(
Master_Mapping_Sheet!$E$2:$E$3143),
Master_Mapping_Sheet!$H$2:$H$3143=U$1)))"),0.08388628870540646)</f>
        <v>0.08388628871</v>
      </c>
      <c r="V12" s="34">
        <f>IFERROR(__xludf.DUMMYFUNCTION("IF(ISNA(sum(filter(
Master_Mapping_Sheet!$E$2:$E$3143, ISNUMBER(
Master_Mapping_Sheet!$E$2:$E$3143),
Master_Mapping_Sheet!$H$2:$H$3143=V$1,
Master_Mapping_Sheet!$L$2:$L$3143=$A12))/sum(filter(
Master_Mapping_Sheet!$E$2:$E$3143, ISNUMBER(
Master_Mapping_Sh"&amp;"eet!$E$2:$E$3143),
Master_Mapping_Sheet!$H$2:$H$3143=V$1))), 0, sum(filter(
Master_Mapping_Sheet!$E$2:$E$3143, ISNUMBER(
Master_Mapping_Sheet!$E$2:$E$3143),
Master_Mapping_Sheet!$H$2:$H$3143=V$1,
Master_Mapping_Sheet!$L$2:$L$3143=$A12))/sum(filter(
Master"&amp;"_Mapping_Sheet!$E$2:$E$3143, ISNUMBER(
Master_Mapping_Sheet!$E$2:$E$3143),
Master_Mapping_Sheet!$H$2:$H$3143=V$1)))"),0.007937867524006739)</f>
        <v>0.007937867524</v>
      </c>
      <c r="W12" s="34">
        <f>IFERROR(__xludf.DUMMYFUNCTION("IF(ISNA(sum(filter(
Master_Mapping_Sheet!$E$2:$E$3143, ISNUMBER(
Master_Mapping_Sheet!$E$2:$E$3143),
Master_Mapping_Sheet!$H$2:$H$3143=W$1,
Master_Mapping_Sheet!$L$2:$L$3143=$A12))/sum(filter(
Master_Mapping_Sheet!$E$2:$E$3143, ISNUMBER(
Master_Mapping_Sh"&amp;"eet!$E$2:$E$3143),
Master_Mapping_Sheet!$H$2:$H$3143=W$1))), 0, sum(filter(
Master_Mapping_Sheet!$E$2:$E$3143, ISNUMBER(
Master_Mapping_Sheet!$E$2:$E$3143),
Master_Mapping_Sheet!$H$2:$H$3143=W$1,
Master_Mapping_Sheet!$L$2:$L$3143=$A12))/sum(filter(
Master"&amp;"_Mapping_Sheet!$E$2:$E$3143, ISNUMBER(
Master_Mapping_Sheet!$E$2:$E$3143),
Master_Mapping_Sheet!$H$2:$H$3143=W$1)))"),0.0)</f>
        <v>0</v>
      </c>
      <c r="X12" s="34">
        <f>IFERROR(__xludf.DUMMYFUNCTION("IF(ISNA(sum(filter(
Master_Mapping_Sheet!$E$2:$E$3143, ISNUMBER(
Master_Mapping_Sheet!$E$2:$E$3143),
Master_Mapping_Sheet!$H$2:$H$3143=X$1,
Master_Mapping_Sheet!$L$2:$L$3143=$A12))/sum(filter(
Master_Mapping_Sheet!$E$2:$E$3143, ISNUMBER(
Master_Mapping_Sh"&amp;"eet!$E$2:$E$3143),
Master_Mapping_Sheet!$H$2:$H$3143=X$1))), 0, sum(filter(
Master_Mapping_Sheet!$E$2:$E$3143, ISNUMBER(
Master_Mapping_Sheet!$E$2:$E$3143),
Master_Mapping_Sheet!$H$2:$H$3143=X$1,
Master_Mapping_Sheet!$L$2:$L$3143=$A12))/sum(filter(
Master"&amp;"_Mapping_Sheet!$E$2:$E$3143, ISNUMBER(
Master_Mapping_Sheet!$E$2:$E$3143),
Master_Mapping_Sheet!$H$2:$H$3143=X$1)))"),0.17017720373692857)</f>
        <v>0.1701772037</v>
      </c>
      <c r="Y12" s="34">
        <f>IFERROR(__xludf.DUMMYFUNCTION("IF(ISNA(sum(filter(
Master_Mapping_Sheet!$E$2:$E$3143, ISNUMBER(
Master_Mapping_Sheet!$E$2:$E$3143),
Master_Mapping_Sheet!$H$2:$H$3143=Y$1,
Master_Mapping_Sheet!$L$2:$L$3143=$A12))/sum(filter(
Master_Mapping_Sheet!$E$2:$E$3143, ISNUMBER(
Master_Mapping_Sh"&amp;"eet!$E$2:$E$3143),
Master_Mapping_Sheet!$H$2:$H$3143=Y$1))), 0, sum(filter(
Master_Mapping_Sheet!$E$2:$E$3143, ISNUMBER(
Master_Mapping_Sheet!$E$2:$E$3143),
Master_Mapping_Sheet!$H$2:$H$3143=Y$1,
Master_Mapping_Sheet!$L$2:$L$3143=$A12))/sum(filter(
Master"&amp;"_Mapping_Sheet!$E$2:$E$3143, ISNUMBER(
Master_Mapping_Sheet!$E$2:$E$3143),
Master_Mapping_Sheet!$H$2:$H$3143=Y$1)))"),0.891075583636315)</f>
        <v>0.8910755836</v>
      </c>
      <c r="Z12" s="34">
        <f>IFERROR(__xludf.DUMMYFUNCTION("IF(ISNA(sum(filter(
Master_Mapping_Sheet!$E$2:$E$3143, ISNUMBER(
Master_Mapping_Sheet!$E$2:$E$3143),
Master_Mapping_Sheet!$H$2:$H$3143=Z$1,
Master_Mapping_Sheet!$L$2:$L$3143=$A12))/sum(filter(
Master_Mapping_Sheet!$E$2:$E$3143, ISNUMBER(
Master_Mapping_Sh"&amp;"eet!$E$2:$E$3143),
Master_Mapping_Sheet!$H$2:$H$3143=Z$1))), 0, sum(filter(
Master_Mapping_Sheet!$E$2:$E$3143, ISNUMBER(
Master_Mapping_Sheet!$E$2:$E$3143),
Master_Mapping_Sheet!$H$2:$H$3143=Z$1,
Master_Mapping_Sheet!$L$2:$L$3143=$A12))/sum(filter(
Master"&amp;"_Mapping_Sheet!$E$2:$E$3143, ISNUMBER(
Master_Mapping_Sheet!$E$2:$E$3143),
Master_Mapping_Sheet!$H$2:$H$3143=Z$1)))"),0.5633926194512925)</f>
        <v>0.5633926195</v>
      </c>
    </row>
    <row r="13" ht="15.75" customHeight="1">
      <c r="A13" s="32" t="s">
        <v>1923</v>
      </c>
      <c r="B13" s="34">
        <f>IFERROR(__xludf.DUMMYFUNCTION("IF(ISNA(sum(filter(
Master_Mapping_Sheet!$E$2:$E$3143, ISNUMBER(
Master_Mapping_Sheet!$E$2:$E$3143),
Master_Mapping_Sheet!$H$2:$H$3143=B$1,
Master_Mapping_Sheet!$L$2:$L$3143=$A13))/sum(filter(
Master_Mapping_Sheet!$E$2:$E$3143, ISNUMBER(
Master_Mapping_Sh"&amp;"eet!$E$2:$E$3143),
Master_Mapping_Sheet!$H$2:$H$3143=B$1))), 0, sum(filter(
Master_Mapping_Sheet!$E$2:$E$3143, ISNUMBER(
Master_Mapping_Sheet!$E$2:$E$3143),
Master_Mapping_Sheet!$H$2:$H$3143=B$1,
Master_Mapping_Sheet!$L$2:$L$3143=$A13))/sum(filter(
Master"&amp;"_Mapping_Sheet!$E$2:$E$3143, ISNUMBER(
Master_Mapping_Sheet!$E$2:$E$3143),
Master_Mapping_Sheet!$H$2:$H$3143=B$1)))"),0.0)</f>
        <v>0</v>
      </c>
      <c r="C13" s="34">
        <f>IFERROR(__xludf.DUMMYFUNCTION("IF(ISNA(sum(filter(
Master_Mapping_Sheet!$E$2:$E$3143, ISNUMBER(
Master_Mapping_Sheet!$E$2:$E$3143),
Master_Mapping_Sheet!$H$2:$H$3143=C$1,
Master_Mapping_Sheet!$L$2:$L$3143=$A13))/sum(filter(
Master_Mapping_Sheet!$E$2:$E$3143, ISNUMBER(
Master_Mapping_Sh"&amp;"eet!$E$2:$E$3143),
Master_Mapping_Sheet!$H$2:$H$3143=C$1))), 0, sum(filter(
Master_Mapping_Sheet!$E$2:$E$3143, ISNUMBER(
Master_Mapping_Sheet!$E$2:$E$3143),
Master_Mapping_Sheet!$H$2:$H$3143=C$1,
Master_Mapping_Sheet!$L$2:$L$3143=$A13))/sum(filter(
Master"&amp;"_Mapping_Sheet!$E$2:$E$3143, ISNUMBER(
Master_Mapping_Sheet!$E$2:$E$3143),
Master_Mapping_Sheet!$H$2:$H$3143=C$1)))"),0.0)</f>
        <v>0</v>
      </c>
      <c r="D13" s="34">
        <f>IFERROR(__xludf.DUMMYFUNCTION("IF(ISNA(sum(filter(
Master_Mapping_Sheet!$E$2:$E$3143, ISNUMBER(
Master_Mapping_Sheet!$E$2:$E$3143),
Master_Mapping_Sheet!$H$2:$H$3143=D$1,
Master_Mapping_Sheet!$L$2:$L$3143=$A13))/sum(filter(
Master_Mapping_Sheet!$E$2:$E$3143, ISNUMBER(
Master_Mapping_Sh"&amp;"eet!$E$2:$E$3143),
Master_Mapping_Sheet!$H$2:$H$3143=D$1))), 0, sum(filter(
Master_Mapping_Sheet!$E$2:$E$3143, ISNUMBER(
Master_Mapping_Sheet!$E$2:$E$3143),
Master_Mapping_Sheet!$H$2:$H$3143=D$1,
Master_Mapping_Sheet!$L$2:$L$3143=$A13))/sum(filter(
Master"&amp;"_Mapping_Sheet!$E$2:$E$3143, ISNUMBER(
Master_Mapping_Sheet!$E$2:$E$3143),
Master_Mapping_Sheet!$H$2:$H$3143=D$1)))"),0.0)</f>
        <v>0</v>
      </c>
      <c r="E13" s="34">
        <f>IFERROR(__xludf.DUMMYFUNCTION("IF(ISNA(sum(filter(
Master_Mapping_Sheet!$E$2:$E$3143, ISNUMBER(
Master_Mapping_Sheet!$E$2:$E$3143),
Master_Mapping_Sheet!$H$2:$H$3143=E$1,
Master_Mapping_Sheet!$L$2:$L$3143=$A13))/sum(filter(
Master_Mapping_Sheet!$E$2:$E$3143, ISNUMBER(
Master_Mapping_Sh"&amp;"eet!$E$2:$E$3143),
Master_Mapping_Sheet!$H$2:$H$3143=E$1))), 0, sum(filter(
Master_Mapping_Sheet!$E$2:$E$3143, ISNUMBER(
Master_Mapping_Sheet!$E$2:$E$3143),
Master_Mapping_Sheet!$H$2:$H$3143=E$1,
Master_Mapping_Sheet!$L$2:$L$3143=$A13))/sum(filter(
Master"&amp;"_Mapping_Sheet!$E$2:$E$3143, ISNUMBER(
Master_Mapping_Sheet!$E$2:$E$3143),
Master_Mapping_Sheet!$H$2:$H$3143=E$1)))"),0.0)</f>
        <v>0</v>
      </c>
      <c r="F13" s="34">
        <f>IFERROR(__xludf.DUMMYFUNCTION("IF(ISNA(sum(filter(
Master_Mapping_Sheet!$E$2:$E$3143, ISNUMBER(
Master_Mapping_Sheet!$E$2:$E$3143),
Master_Mapping_Sheet!$H$2:$H$3143=F$1,
Master_Mapping_Sheet!$L$2:$L$3143=$A13))/sum(filter(
Master_Mapping_Sheet!$E$2:$E$3143, ISNUMBER(
Master_Mapping_Sh"&amp;"eet!$E$2:$E$3143),
Master_Mapping_Sheet!$H$2:$H$3143=F$1))), 0, sum(filter(
Master_Mapping_Sheet!$E$2:$E$3143, ISNUMBER(
Master_Mapping_Sheet!$E$2:$E$3143),
Master_Mapping_Sheet!$H$2:$H$3143=F$1,
Master_Mapping_Sheet!$L$2:$L$3143=$A13))/sum(filter(
Master"&amp;"_Mapping_Sheet!$E$2:$E$3143, ISNUMBER(
Master_Mapping_Sheet!$E$2:$E$3143),
Master_Mapping_Sheet!$H$2:$H$3143=F$1)))"),0.0)</f>
        <v>0</v>
      </c>
      <c r="G13" s="34">
        <f>IFERROR(__xludf.DUMMYFUNCTION("IF(ISNA(sum(filter(
Master_Mapping_Sheet!$E$2:$E$3143, ISNUMBER(
Master_Mapping_Sheet!$E$2:$E$3143),
Master_Mapping_Sheet!$H$2:$H$3143=G$1,
Master_Mapping_Sheet!$L$2:$L$3143=$A13))/sum(filter(
Master_Mapping_Sheet!$E$2:$E$3143, ISNUMBER(
Master_Mapping_Sh"&amp;"eet!$E$2:$E$3143),
Master_Mapping_Sheet!$H$2:$H$3143=G$1))), 0, sum(filter(
Master_Mapping_Sheet!$E$2:$E$3143, ISNUMBER(
Master_Mapping_Sheet!$E$2:$E$3143),
Master_Mapping_Sheet!$H$2:$H$3143=G$1,
Master_Mapping_Sheet!$L$2:$L$3143=$A13))/sum(filter(
Master"&amp;"_Mapping_Sheet!$E$2:$E$3143, ISNUMBER(
Master_Mapping_Sheet!$E$2:$E$3143),
Master_Mapping_Sheet!$H$2:$H$3143=G$1)))"),0.0)</f>
        <v>0</v>
      </c>
      <c r="H13" s="34">
        <f>IFERROR(__xludf.DUMMYFUNCTION("IF(ISNA(sum(filter(
Master_Mapping_Sheet!$E$2:$E$3143, ISNUMBER(
Master_Mapping_Sheet!$E$2:$E$3143),
Master_Mapping_Sheet!$H$2:$H$3143=H$1,
Master_Mapping_Sheet!$L$2:$L$3143=$A13))/sum(filter(
Master_Mapping_Sheet!$E$2:$E$3143, ISNUMBER(
Master_Mapping_Sh"&amp;"eet!$E$2:$E$3143),
Master_Mapping_Sheet!$H$2:$H$3143=H$1))), 0, sum(filter(
Master_Mapping_Sheet!$E$2:$E$3143, ISNUMBER(
Master_Mapping_Sheet!$E$2:$E$3143),
Master_Mapping_Sheet!$H$2:$H$3143=H$1,
Master_Mapping_Sheet!$L$2:$L$3143=$A13))/sum(filter(
Master"&amp;"_Mapping_Sheet!$E$2:$E$3143, ISNUMBER(
Master_Mapping_Sheet!$E$2:$E$3143),
Master_Mapping_Sheet!$H$2:$H$3143=H$1)))"),0.0)</f>
        <v>0</v>
      </c>
      <c r="I13" s="34">
        <f>IFERROR(__xludf.DUMMYFUNCTION("IF(ISNA(sum(filter(
Master_Mapping_Sheet!$E$2:$E$3143, ISNUMBER(
Master_Mapping_Sheet!$E$2:$E$3143),
Master_Mapping_Sheet!$H$2:$H$3143=I$1,
Master_Mapping_Sheet!$L$2:$L$3143=$A13))/sum(filter(
Master_Mapping_Sheet!$E$2:$E$3143, ISNUMBER(
Master_Mapping_Sh"&amp;"eet!$E$2:$E$3143),
Master_Mapping_Sheet!$H$2:$H$3143=I$1))), 0, sum(filter(
Master_Mapping_Sheet!$E$2:$E$3143, ISNUMBER(
Master_Mapping_Sheet!$E$2:$E$3143),
Master_Mapping_Sheet!$H$2:$H$3143=I$1,
Master_Mapping_Sheet!$L$2:$L$3143=$A13))/sum(filter(
Master"&amp;"_Mapping_Sheet!$E$2:$E$3143, ISNUMBER(
Master_Mapping_Sheet!$E$2:$E$3143),
Master_Mapping_Sheet!$H$2:$H$3143=I$1)))"),0.0)</f>
        <v>0</v>
      </c>
      <c r="J13" s="34">
        <f>IFERROR(__xludf.DUMMYFUNCTION("IF(ISNA(sum(filter(
Master_Mapping_Sheet!$E$2:$E$3143, ISNUMBER(
Master_Mapping_Sheet!$E$2:$E$3143),
Master_Mapping_Sheet!$H$2:$H$3143=J$1,
Master_Mapping_Sheet!$L$2:$L$3143=$A13))/sum(filter(
Master_Mapping_Sheet!$E$2:$E$3143, ISNUMBER(
Master_Mapping_Sh"&amp;"eet!$E$2:$E$3143),
Master_Mapping_Sheet!$H$2:$H$3143=J$1))), 0, sum(filter(
Master_Mapping_Sheet!$E$2:$E$3143, ISNUMBER(
Master_Mapping_Sheet!$E$2:$E$3143),
Master_Mapping_Sheet!$H$2:$H$3143=J$1,
Master_Mapping_Sheet!$L$2:$L$3143=$A13))/sum(filter(
Master"&amp;"_Mapping_Sheet!$E$2:$E$3143, ISNUMBER(
Master_Mapping_Sheet!$E$2:$E$3143),
Master_Mapping_Sheet!$H$2:$H$3143=J$1)))"),0.0)</f>
        <v>0</v>
      </c>
      <c r="K13" s="34">
        <f>IFERROR(__xludf.DUMMYFUNCTION("IF(ISNA(sum(filter(
Master_Mapping_Sheet!$E$2:$E$3143, ISNUMBER(
Master_Mapping_Sheet!$E$2:$E$3143),
Master_Mapping_Sheet!$H$2:$H$3143=K$1,
Master_Mapping_Sheet!$L$2:$L$3143=$A13))/sum(filter(
Master_Mapping_Sheet!$E$2:$E$3143, ISNUMBER(
Master_Mapping_Sh"&amp;"eet!$E$2:$E$3143),
Master_Mapping_Sheet!$H$2:$H$3143=K$1))), 0, sum(filter(
Master_Mapping_Sheet!$E$2:$E$3143, ISNUMBER(
Master_Mapping_Sheet!$E$2:$E$3143),
Master_Mapping_Sheet!$H$2:$H$3143=K$1,
Master_Mapping_Sheet!$L$2:$L$3143=$A13))/sum(filter(
Master"&amp;"_Mapping_Sheet!$E$2:$E$3143, ISNUMBER(
Master_Mapping_Sheet!$E$2:$E$3143),
Master_Mapping_Sheet!$H$2:$H$3143=K$1)))"),0.0)</f>
        <v>0</v>
      </c>
      <c r="L13" s="34">
        <f>IFERROR(__xludf.DUMMYFUNCTION("IF(ISNA(sum(filter(
Master_Mapping_Sheet!$E$2:$E$3143, ISNUMBER(
Master_Mapping_Sheet!$E$2:$E$3143),
Master_Mapping_Sheet!$H$2:$H$3143=L$1,
Master_Mapping_Sheet!$L$2:$L$3143=$A13))/sum(filter(
Master_Mapping_Sheet!$E$2:$E$3143, ISNUMBER(
Master_Mapping_Sh"&amp;"eet!$E$2:$E$3143),
Master_Mapping_Sheet!$H$2:$H$3143=L$1))), 0, sum(filter(
Master_Mapping_Sheet!$E$2:$E$3143, ISNUMBER(
Master_Mapping_Sheet!$E$2:$E$3143),
Master_Mapping_Sheet!$H$2:$H$3143=L$1,
Master_Mapping_Sheet!$L$2:$L$3143=$A13))/sum(filter(
Master"&amp;"_Mapping_Sheet!$E$2:$E$3143, ISNUMBER(
Master_Mapping_Sheet!$E$2:$E$3143),
Master_Mapping_Sheet!$H$2:$H$3143=L$1)))"),0.0)</f>
        <v>0</v>
      </c>
      <c r="M13" s="34">
        <f>IFERROR(__xludf.DUMMYFUNCTION("IF(ISNA(sum(filter(
Master_Mapping_Sheet!$E$2:$E$3143, ISNUMBER(
Master_Mapping_Sheet!$E$2:$E$3143),
Master_Mapping_Sheet!$H$2:$H$3143=M$1,
Master_Mapping_Sheet!$L$2:$L$3143=$A13))/sum(filter(
Master_Mapping_Sheet!$E$2:$E$3143, ISNUMBER(
Master_Mapping_Sh"&amp;"eet!$E$2:$E$3143),
Master_Mapping_Sheet!$H$2:$H$3143=M$1))), 0, sum(filter(
Master_Mapping_Sheet!$E$2:$E$3143, ISNUMBER(
Master_Mapping_Sheet!$E$2:$E$3143),
Master_Mapping_Sheet!$H$2:$H$3143=M$1,
Master_Mapping_Sheet!$L$2:$L$3143=$A13))/sum(filter(
Master"&amp;"_Mapping_Sheet!$E$2:$E$3143, ISNUMBER(
Master_Mapping_Sheet!$E$2:$E$3143),
Master_Mapping_Sheet!$H$2:$H$3143=M$1)))"),0.0)</f>
        <v>0</v>
      </c>
      <c r="N13" s="34">
        <f>IFERROR(__xludf.DUMMYFUNCTION("IF(ISNA(sum(filter(
Master_Mapping_Sheet!$E$2:$E$3143, ISNUMBER(
Master_Mapping_Sheet!$E$2:$E$3143),
Master_Mapping_Sheet!$H$2:$H$3143=N$1,
Master_Mapping_Sheet!$L$2:$L$3143=$A13))/sum(filter(
Master_Mapping_Sheet!$E$2:$E$3143, ISNUMBER(
Master_Mapping_Sh"&amp;"eet!$E$2:$E$3143),
Master_Mapping_Sheet!$H$2:$H$3143=N$1))), 0, sum(filter(
Master_Mapping_Sheet!$E$2:$E$3143, ISNUMBER(
Master_Mapping_Sheet!$E$2:$E$3143),
Master_Mapping_Sheet!$H$2:$H$3143=N$1,
Master_Mapping_Sheet!$L$2:$L$3143=$A13))/sum(filter(
Master"&amp;"_Mapping_Sheet!$E$2:$E$3143, ISNUMBER(
Master_Mapping_Sheet!$E$2:$E$3143),
Master_Mapping_Sheet!$H$2:$H$3143=N$1)))"),0.0)</f>
        <v>0</v>
      </c>
      <c r="O13" s="34">
        <f>IFERROR(__xludf.DUMMYFUNCTION("IF(ISNA(sum(filter(
Master_Mapping_Sheet!$E$2:$E$3143, ISNUMBER(
Master_Mapping_Sheet!$E$2:$E$3143),
Master_Mapping_Sheet!$H$2:$H$3143=O$1,
Master_Mapping_Sheet!$L$2:$L$3143=$A13))/sum(filter(
Master_Mapping_Sheet!$E$2:$E$3143, ISNUMBER(
Master_Mapping_Sh"&amp;"eet!$E$2:$E$3143),
Master_Mapping_Sheet!$H$2:$H$3143=O$1))), 0, sum(filter(
Master_Mapping_Sheet!$E$2:$E$3143, ISNUMBER(
Master_Mapping_Sheet!$E$2:$E$3143),
Master_Mapping_Sheet!$H$2:$H$3143=O$1,
Master_Mapping_Sheet!$L$2:$L$3143=$A13))/sum(filter(
Master"&amp;"_Mapping_Sheet!$E$2:$E$3143, ISNUMBER(
Master_Mapping_Sheet!$E$2:$E$3143),
Master_Mapping_Sheet!$H$2:$H$3143=O$1)))"),0.0)</f>
        <v>0</v>
      </c>
      <c r="P13" s="34">
        <f>IFERROR(__xludf.DUMMYFUNCTION("IF(ISNA(sum(filter(
Master_Mapping_Sheet!$E$2:$E$3143, ISNUMBER(
Master_Mapping_Sheet!$E$2:$E$3143),
Master_Mapping_Sheet!$H$2:$H$3143=P$1,
Master_Mapping_Sheet!$L$2:$L$3143=$A13))/sum(filter(
Master_Mapping_Sheet!$E$2:$E$3143, ISNUMBER(
Master_Mapping_Sh"&amp;"eet!$E$2:$E$3143),
Master_Mapping_Sheet!$H$2:$H$3143=P$1))), 0, sum(filter(
Master_Mapping_Sheet!$E$2:$E$3143, ISNUMBER(
Master_Mapping_Sheet!$E$2:$E$3143),
Master_Mapping_Sheet!$H$2:$H$3143=P$1,
Master_Mapping_Sheet!$L$2:$L$3143=$A13))/sum(filter(
Master"&amp;"_Mapping_Sheet!$E$2:$E$3143, ISNUMBER(
Master_Mapping_Sheet!$E$2:$E$3143),
Master_Mapping_Sheet!$H$2:$H$3143=P$1)))"),0.0)</f>
        <v>0</v>
      </c>
      <c r="Q13" s="34">
        <f>IFERROR(__xludf.DUMMYFUNCTION("IF(ISNA(sum(filter(
Master_Mapping_Sheet!$E$2:$E$3143, ISNUMBER(
Master_Mapping_Sheet!$E$2:$E$3143),
Master_Mapping_Sheet!$H$2:$H$3143=Q$1,
Master_Mapping_Sheet!$L$2:$L$3143=$A13))/sum(filter(
Master_Mapping_Sheet!$E$2:$E$3143, ISNUMBER(
Master_Mapping_Sh"&amp;"eet!$E$2:$E$3143),
Master_Mapping_Sheet!$H$2:$H$3143=Q$1))), 0, sum(filter(
Master_Mapping_Sheet!$E$2:$E$3143, ISNUMBER(
Master_Mapping_Sheet!$E$2:$E$3143),
Master_Mapping_Sheet!$H$2:$H$3143=Q$1,
Master_Mapping_Sheet!$L$2:$L$3143=$A13))/sum(filter(
Master"&amp;"_Mapping_Sheet!$E$2:$E$3143, ISNUMBER(
Master_Mapping_Sheet!$E$2:$E$3143),
Master_Mapping_Sheet!$H$2:$H$3143=Q$1)))"),0.0)</f>
        <v>0</v>
      </c>
      <c r="R13" s="34">
        <f>IFERROR(__xludf.DUMMYFUNCTION("IF(ISNA(sum(filter(
Master_Mapping_Sheet!$E$2:$E$3143, ISNUMBER(
Master_Mapping_Sheet!$E$2:$E$3143),
Master_Mapping_Sheet!$H$2:$H$3143=R$1,
Master_Mapping_Sheet!$L$2:$L$3143=$A13))/sum(filter(
Master_Mapping_Sheet!$E$2:$E$3143, ISNUMBER(
Master_Mapping_Sh"&amp;"eet!$E$2:$E$3143),
Master_Mapping_Sheet!$H$2:$H$3143=R$1))), 0, sum(filter(
Master_Mapping_Sheet!$E$2:$E$3143, ISNUMBER(
Master_Mapping_Sheet!$E$2:$E$3143),
Master_Mapping_Sheet!$H$2:$H$3143=R$1,
Master_Mapping_Sheet!$L$2:$L$3143=$A13))/sum(filter(
Master"&amp;"_Mapping_Sheet!$E$2:$E$3143, ISNUMBER(
Master_Mapping_Sheet!$E$2:$E$3143),
Master_Mapping_Sheet!$H$2:$H$3143=R$1)))"),0.0)</f>
        <v>0</v>
      </c>
      <c r="S13" s="34">
        <f>IFERROR(__xludf.DUMMYFUNCTION("IF(ISNA(sum(filter(
Master_Mapping_Sheet!$E$2:$E$3143, ISNUMBER(
Master_Mapping_Sheet!$E$2:$E$3143),
Master_Mapping_Sheet!$H$2:$H$3143=S$1,
Master_Mapping_Sheet!$L$2:$L$3143=$A13))/sum(filter(
Master_Mapping_Sheet!$E$2:$E$3143, ISNUMBER(
Master_Mapping_Sh"&amp;"eet!$E$2:$E$3143),
Master_Mapping_Sheet!$H$2:$H$3143=S$1))), 0, sum(filter(
Master_Mapping_Sheet!$E$2:$E$3143, ISNUMBER(
Master_Mapping_Sheet!$E$2:$E$3143),
Master_Mapping_Sheet!$H$2:$H$3143=S$1,
Master_Mapping_Sheet!$L$2:$L$3143=$A13))/sum(filter(
Master"&amp;"_Mapping_Sheet!$E$2:$E$3143, ISNUMBER(
Master_Mapping_Sheet!$E$2:$E$3143),
Master_Mapping_Sheet!$H$2:$H$3143=S$1)))"),0.0)</f>
        <v>0</v>
      </c>
      <c r="T13" s="34">
        <f>IFERROR(__xludf.DUMMYFUNCTION("IF(ISNA(sum(filter(
Master_Mapping_Sheet!$E$2:$E$3143, ISNUMBER(
Master_Mapping_Sheet!$E$2:$E$3143),
Master_Mapping_Sheet!$H$2:$H$3143=T$1,
Master_Mapping_Sheet!$L$2:$L$3143=$A13))/sum(filter(
Master_Mapping_Sheet!$E$2:$E$3143, ISNUMBER(
Master_Mapping_Sh"&amp;"eet!$E$2:$E$3143),
Master_Mapping_Sheet!$H$2:$H$3143=T$1))), 0, sum(filter(
Master_Mapping_Sheet!$E$2:$E$3143, ISNUMBER(
Master_Mapping_Sheet!$E$2:$E$3143),
Master_Mapping_Sheet!$H$2:$H$3143=T$1,
Master_Mapping_Sheet!$L$2:$L$3143=$A13))/sum(filter(
Master"&amp;"_Mapping_Sheet!$E$2:$E$3143, ISNUMBER(
Master_Mapping_Sheet!$E$2:$E$3143),
Master_Mapping_Sheet!$H$2:$H$3143=T$1)))"),0.0)</f>
        <v>0</v>
      </c>
      <c r="U13" s="34">
        <f>IFERROR(__xludf.DUMMYFUNCTION("IF(ISNA(sum(filter(
Master_Mapping_Sheet!$E$2:$E$3143, ISNUMBER(
Master_Mapping_Sheet!$E$2:$E$3143),
Master_Mapping_Sheet!$H$2:$H$3143=U$1,
Master_Mapping_Sheet!$L$2:$L$3143=$A13))/sum(filter(
Master_Mapping_Sheet!$E$2:$E$3143, ISNUMBER(
Master_Mapping_Sh"&amp;"eet!$E$2:$E$3143),
Master_Mapping_Sheet!$H$2:$H$3143=U$1))), 0, sum(filter(
Master_Mapping_Sheet!$E$2:$E$3143, ISNUMBER(
Master_Mapping_Sheet!$E$2:$E$3143),
Master_Mapping_Sheet!$H$2:$H$3143=U$1,
Master_Mapping_Sheet!$L$2:$L$3143=$A13))/sum(filter(
Master"&amp;"_Mapping_Sheet!$E$2:$E$3143, ISNUMBER(
Master_Mapping_Sheet!$E$2:$E$3143),
Master_Mapping_Sheet!$H$2:$H$3143=U$1)))"),0.0)</f>
        <v>0</v>
      </c>
      <c r="V13" s="34">
        <f>IFERROR(__xludf.DUMMYFUNCTION("IF(ISNA(sum(filter(
Master_Mapping_Sheet!$E$2:$E$3143, ISNUMBER(
Master_Mapping_Sheet!$E$2:$E$3143),
Master_Mapping_Sheet!$H$2:$H$3143=V$1,
Master_Mapping_Sheet!$L$2:$L$3143=$A13))/sum(filter(
Master_Mapping_Sheet!$E$2:$E$3143, ISNUMBER(
Master_Mapping_Sh"&amp;"eet!$E$2:$E$3143),
Master_Mapping_Sheet!$H$2:$H$3143=V$1))), 0, sum(filter(
Master_Mapping_Sheet!$E$2:$E$3143, ISNUMBER(
Master_Mapping_Sheet!$E$2:$E$3143),
Master_Mapping_Sheet!$H$2:$H$3143=V$1,
Master_Mapping_Sheet!$L$2:$L$3143=$A13))/sum(filter(
Master"&amp;"_Mapping_Sheet!$E$2:$E$3143, ISNUMBER(
Master_Mapping_Sheet!$E$2:$E$3143),
Master_Mapping_Sheet!$H$2:$H$3143=V$1)))"),0.0)</f>
        <v>0</v>
      </c>
      <c r="W13" s="34">
        <f>IFERROR(__xludf.DUMMYFUNCTION("IF(ISNA(sum(filter(
Master_Mapping_Sheet!$E$2:$E$3143, ISNUMBER(
Master_Mapping_Sheet!$E$2:$E$3143),
Master_Mapping_Sheet!$H$2:$H$3143=W$1,
Master_Mapping_Sheet!$L$2:$L$3143=$A13))/sum(filter(
Master_Mapping_Sheet!$E$2:$E$3143, ISNUMBER(
Master_Mapping_Sh"&amp;"eet!$E$2:$E$3143),
Master_Mapping_Sheet!$H$2:$H$3143=W$1))), 0, sum(filter(
Master_Mapping_Sheet!$E$2:$E$3143, ISNUMBER(
Master_Mapping_Sheet!$E$2:$E$3143),
Master_Mapping_Sheet!$H$2:$H$3143=W$1,
Master_Mapping_Sheet!$L$2:$L$3143=$A13))/sum(filter(
Master"&amp;"_Mapping_Sheet!$E$2:$E$3143, ISNUMBER(
Master_Mapping_Sheet!$E$2:$E$3143),
Master_Mapping_Sheet!$H$2:$H$3143=W$1)))"),0.0)</f>
        <v>0</v>
      </c>
      <c r="X13" s="34">
        <f>IFERROR(__xludf.DUMMYFUNCTION("IF(ISNA(sum(filter(
Master_Mapping_Sheet!$E$2:$E$3143, ISNUMBER(
Master_Mapping_Sheet!$E$2:$E$3143),
Master_Mapping_Sheet!$H$2:$H$3143=X$1,
Master_Mapping_Sheet!$L$2:$L$3143=$A13))/sum(filter(
Master_Mapping_Sheet!$E$2:$E$3143, ISNUMBER(
Master_Mapping_Sh"&amp;"eet!$E$2:$E$3143),
Master_Mapping_Sheet!$H$2:$H$3143=X$1))), 0, sum(filter(
Master_Mapping_Sheet!$E$2:$E$3143, ISNUMBER(
Master_Mapping_Sheet!$E$2:$E$3143),
Master_Mapping_Sheet!$H$2:$H$3143=X$1,
Master_Mapping_Sheet!$L$2:$L$3143=$A13))/sum(filter(
Master"&amp;"_Mapping_Sheet!$E$2:$E$3143, ISNUMBER(
Master_Mapping_Sheet!$E$2:$E$3143),
Master_Mapping_Sheet!$H$2:$H$3143=X$1)))"),0.01884790030940335)</f>
        <v>0.01884790031</v>
      </c>
      <c r="Y13" s="34">
        <f>IFERROR(__xludf.DUMMYFUNCTION("IF(ISNA(sum(filter(
Master_Mapping_Sheet!$E$2:$E$3143, ISNUMBER(
Master_Mapping_Sheet!$E$2:$E$3143),
Master_Mapping_Sheet!$H$2:$H$3143=Y$1,
Master_Mapping_Sheet!$L$2:$L$3143=$A13))/sum(filter(
Master_Mapping_Sheet!$E$2:$E$3143, ISNUMBER(
Master_Mapping_Sh"&amp;"eet!$E$2:$E$3143),
Master_Mapping_Sheet!$H$2:$H$3143=Y$1))), 0, sum(filter(
Master_Mapping_Sheet!$E$2:$E$3143, ISNUMBER(
Master_Mapping_Sheet!$E$2:$E$3143),
Master_Mapping_Sheet!$H$2:$H$3143=Y$1,
Master_Mapping_Sheet!$L$2:$L$3143=$A13))/sum(filter(
Master"&amp;"_Mapping_Sheet!$E$2:$E$3143, ISNUMBER(
Master_Mapping_Sheet!$E$2:$E$3143),
Master_Mapping_Sheet!$H$2:$H$3143=Y$1)))"),0.0)</f>
        <v>0</v>
      </c>
      <c r="Z13" s="34">
        <f>IFERROR(__xludf.DUMMYFUNCTION("IF(ISNA(sum(filter(
Master_Mapping_Sheet!$E$2:$E$3143, ISNUMBER(
Master_Mapping_Sheet!$E$2:$E$3143),
Master_Mapping_Sheet!$H$2:$H$3143=Z$1,
Master_Mapping_Sheet!$L$2:$L$3143=$A13))/sum(filter(
Master_Mapping_Sheet!$E$2:$E$3143, ISNUMBER(
Master_Mapping_Sh"&amp;"eet!$E$2:$E$3143),
Master_Mapping_Sheet!$H$2:$H$3143=Z$1))), 0, sum(filter(
Master_Mapping_Sheet!$E$2:$E$3143, ISNUMBER(
Master_Mapping_Sheet!$E$2:$E$3143),
Master_Mapping_Sheet!$H$2:$H$3143=Z$1,
Master_Mapping_Sheet!$L$2:$L$3143=$A13))/sum(filter(
Master"&amp;"_Mapping_Sheet!$E$2:$E$3143, ISNUMBER(
Master_Mapping_Sheet!$E$2:$E$3143),
Master_Mapping_Sheet!$H$2:$H$3143=Z$1)))"),0.0)</f>
        <v>0</v>
      </c>
    </row>
    <row r="14" ht="15.75" customHeight="1">
      <c r="A14" s="32" t="s">
        <v>707</v>
      </c>
      <c r="B14" s="34">
        <f>IFERROR(__xludf.DUMMYFUNCTION("IF(ISNA(sum(filter(
Master_Mapping_Sheet!$E$2:$E$3143, ISNUMBER(
Master_Mapping_Sheet!$E$2:$E$3143),
Master_Mapping_Sheet!$H$2:$H$3143=B$1,
Master_Mapping_Sheet!$L$2:$L$3143=$A14))/sum(filter(
Master_Mapping_Sheet!$E$2:$E$3143, ISNUMBER(
Master_Mapping_Sh"&amp;"eet!$E$2:$E$3143),
Master_Mapping_Sheet!$H$2:$H$3143=B$1))), 0, sum(filter(
Master_Mapping_Sheet!$E$2:$E$3143, ISNUMBER(
Master_Mapping_Sheet!$E$2:$E$3143),
Master_Mapping_Sheet!$H$2:$H$3143=B$1,
Master_Mapping_Sheet!$L$2:$L$3143=$A14))/sum(filter(
Master"&amp;"_Mapping_Sheet!$E$2:$E$3143, ISNUMBER(
Master_Mapping_Sheet!$E$2:$E$3143),
Master_Mapping_Sheet!$H$2:$H$3143=B$1)))"),0.0)</f>
        <v>0</v>
      </c>
      <c r="C14" s="34">
        <f>IFERROR(__xludf.DUMMYFUNCTION("IF(ISNA(sum(filter(
Master_Mapping_Sheet!$E$2:$E$3143, ISNUMBER(
Master_Mapping_Sheet!$E$2:$E$3143),
Master_Mapping_Sheet!$H$2:$H$3143=C$1,
Master_Mapping_Sheet!$L$2:$L$3143=$A14))/sum(filter(
Master_Mapping_Sheet!$E$2:$E$3143, ISNUMBER(
Master_Mapping_Sh"&amp;"eet!$E$2:$E$3143),
Master_Mapping_Sheet!$H$2:$H$3143=C$1))), 0, sum(filter(
Master_Mapping_Sheet!$E$2:$E$3143, ISNUMBER(
Master_Mapping_Sheet!$E$2:$E$3143),
Master_Mapping_Sheet!$H$2:$H$3143=C$1,
Master_Mapping_Sheet!$L$2:$L$3143=$A14))/sum(filter(
Master"&amp;"_Mapping_Sheet!$E$2:$E$3143, ISNUMBER(
Master_Mapping_Sheet!$E$2:$E$3143),
Master_Mapping_Sheet!$H$2:$H$3143=C$1)))"),0.0)</f>
        <v>0</v>
      </c>
      <c r="D14" s="34">
        <f>IFERROR(__xludf.DUMMYFUNCTION("IF(ISNA(sum(filter(
Master_Mapping_Sheet!$E$2:$E$3143, ISNUMBER(
Master_Mapping_Sheet!$E$2:$E$3143),
Master_Mapping_Sheet!$H$2:$H$3143=D$1,
Master_Mapping_Sheet!$L$2:$L$3143=$A14))/sum(filter(
Master_Mapping_Sheet!$E$2:$E$3143, ISNUMBER(
Master_Mapping_Sh"&amp;"eet!$E$2:$E$3143),
Master_Mapping_Sheet!$H$2:$H$3143=D$1))), 0, sum(filter(
Master_Mapping_Sheet!$E$2:$E$3143, ISNUMBER(
Master_Mapping_Sheet!$E$2:$E$3143),
Master_Mapping_Sheet!$H$2:$H$3143=D$1,
Master_Mapping_Sheet!$L$2:$L$3143=$A14))/sum(filter(
Master"&amp;"_Mapping_Sheet!$E$2:$E$3143, ISNUMBER(
Master_Mapping_Sheet!$E$2:$E$3143),
Master_Mapping_Sheet!$H$2:$H$3143=D$1)))"),0.7669858655331522)</f>
        <v>0.7669858655</v>
      </c>
      <c r="E14" s="34">
        <f>IFERROR(__xludf.DUMMYFUNCTION("IF(ISNA(sum(filter(
Master_Mapping_Sheet!$E$2:$E$3143, ISNUMBER(
Master_Mapping_Sheet!$E$2:$E$3143),
Master_Mapping_Sheet!$H$2:$H$3143=E$1,
Master_Mapping_Sheet!$L$2:$L$3143=$A14))/sum(filter(
Master_Mapping_Sheet!$E$2:$E$3143, ISNUMBER(
Master_Mapping_Sh"&amp;"eet!$E$2:$E$3143),
Master_Mapping_Sheet!$H$2:$H$3143=E$1))), 0, sum(filter(
Master_Mapping_Sheet!$E$2:$E$3143, ISNUMBER(
Master_Mapping_Sheet!$E$2:$E$3143),
Master_Mapping_Sheet!$H$2:$H$3143=E$1,
Master_Mapping_Sheet!$L$2:$L$3143=$A14))/sum(filter(
Master"&amp;"_Mapping_Sheet!$E$2:$E$3143, ISNUMBER(
Master_Mapping_Sheet!$E$2:$E$3143),
Master_Mapping_Sheet!$H$2:$H$3143=E$1)))"),0.0)</f>
        <v>0</v>
      </c>
      <c r="F14" s="34">
        <f>IFERROR(__xludf.DUMMYFUNCTION("IF(ISNA(sum(filter(
Master_Mapping_Sheet!$E$2:$E$3143, ISNUMBER(
Master_Mapping_Sheet!$E$2:$E$3143),
Master_Mapping_Sheet!$H$2:$H$3143=F$1,
Master_Mapping_Sheet!$L$2:$L$3143=$A14))/sum(filter(
Master_Mapping_Sheet!$E$2:$E$3143, ISNUMBER(
Master_Mapping_Sh"&amp;"eet!$E$2:$E$3143),
Master_Mapping_Sheet!$H$2:$H$3143=F$1))), 0, sum(filter(
Master_Mapping_Sheet!$E$2:$E$3143, ISNUMBER(
Master_Mapping_Sheet!$E$2:$E$3143),
Master_Mapping_Sheet!$H$2:$H$3143=F$1,
Master_Mapping_Sheet!$L$2:$L$3143=$A14))/sum(filter(
Master"&amp;"_Mapping_Sheet!$E$2:$E$3143, ISNUMBER(
Master_Mapping_Sheet!$E$2:$E$3143),
Master_Mapping_Sheet!$H$2:$H$3143=F$1)))"),0.10152224258982696)</f>
        <v>0.1015222426</v>
      </c>
      <c r="G14" s="34">
        <f>IFERROR(__xludf.DUMMYFUNCTION("IF(ISNA(sum(filter(
Master_Mapping_Sheet!$E$2:$E$3143, ISNUMBER(
Master_Mapping_Sheet!$E$2:$E$3143),
Master_Mapping_Sheet!$H$2:$H$3143=G$1,
Master_Mapping_Sheet!$L$2:$L$3143=$A14))/sum(filter(
Master_Mapping_Sheet!$E$2:$E$3143, ISNUMBER(
Master_Mapping_Sh"&amp;"eet!$E$2:$E$3143),
Master_Mapping_Sheet!$H$2:$H$3143=G$1))), 0, sum(filter(
Master_Mapping_Sheet!$E$2:$E$3143, ISNUMBER(
Master_Mapping_Sheet!$E$2:$E$3143),
Master_Mapping_Sheet!$H$2:$H$3143=G$1,
Master_Mapping_Sheet!$L$2:$L$3143=$A14))/sum(filter(
Master"&amp;"_Mapping_Sheet!$E$2:$E$3143, ISNUMBER(
Master_Mapping_Sheet!$E$2:$E$3143),
Master_Mapping_Sheet!$H$2:$H$3143=G$1)))"),0.0)</f>
        <v>0</v>
      </c>
      <c r="H14" s="34">
        <f>IFERROR(__xludf.DUMMYFUNCTION("IF(ISNA(sum(filter(
Master_Mapping_Sheet!$E$2:$E$3143, ISNUMBER(
Master_Mapping_Sheet!$E$2:$E$3143),
Master_Mapping_Sheet!$H$2:$H$3143=H$1,
Master_Mapping_Sheet!$L$2:$L$3143=$A14))/sum(filter(
Master_Mapping_Sheet!$E$2:$E$3143, ISNUMBER(
Master_Mapping_Sh"&amp;"eet!$E$2:$E$3143),
Master_Mapping_Sheet!$H$2:$H$3143=H$1))), 0, sum(filter(
Master_Mapping_Sheet!$E$2:$E$3143, ISNUMBER(
Master_Mapping_Sheet!$E$2:$E$3143),
Master_Mapping_Sheet!$H$2:$H$3143=H$1,
Master_Mapping_Sheet!$L$2:$L$3143=$A14))/sum(filter(
Master"&amp;"_Mapping_Sheet!$E$2:$E$3143, ISNUMBER(
Master_Mapping_Sheet!$E$2:$E$3143),
Master_Mapping_Sheet!$H$2:$H$3143=H$1)))"),0.15967870181591698)</f>
        <v>0.1596787018</v>
      </c>
      <c r="I14" s="34">
        <f>IFERROR(__xludf.DUMMYFUNCTION("IF(ISNA(sum(filter(
Master_Mapping_Sheet!$E$2:$E$3143, ISNUMBER(
Master_Mapping_Sheet!$E$2:$E$3143),
Master_Mapping_Sheet!$H$2:$H$3143=I$1,
Master_Mapping_Sheet!$L$2:$L$3143=$A14))/sum(filter(
Master_Mapping_Sheet!$E$2:$E$3143, ISNUMBER(
Master_Mapping_Sh"&amp;"eet!$E$2:$E$3143),
Master_Mapping_Sheet!$H$2:$H$3143=I$1))), 0, sum(filter(
Master_Mapping_Sheet!$E$2:$E$3143, ISNUMBER(
Master_Mapping_Sheet!$E$2:$E$3143),
Master_Mapping_Sheet!$H$2:$H$3143=I$1,
Master_Mapping_Sheet!$L$2:$L$3143=$A14))/sum(filter(
Master"&amp;"_Mapping_Sheet!$E$2:$E$3143, ISNUMBER(
Master_Mapping_Sheet!$E$2:$E$3143),
Master_Mapping_Sheet!$H$2:$H$3143=I$1)))"),0.0)</f>
        <v>0</v>
      </c>
      <c r="J14" s="34">
        <f>IFERROR(__xludf.DUMMYFUNCTION("IF(ISNA(sum(filter(
Master_Mapping_Sheet!$E$2:$E$3143, ISNUMBER(
Master_Mapping_Sheet!$E$2:$E$3143),
Master_Mapping_Sheet!$H$2:$H$3143=J$1,
Master_Mapping_Sheet!$L$2:$L$3143=$A14))/sum(filter(
Master_Mapping_Sheet!$E$2:$E$3143, ISNUMBER(
Master_Mapping_Sh"&amp;"eet!$E$2:$E$3143),
Master_Mapping_Sheet!$H$2:$H$3143=J$1))), 0, sum(filter(
Master_Mapping_Sheet!$E$2:$E$3143, ISNUMBER(
Master_Mapping_Sheet!$E$2:$E$3143),
Master_Mapping_Sheet!$H$2:$H$3143=J$1,
Master_Mapping_Sheet!$L$2:$L$3143=$A14))/sum(filter(
Master"&amp;"_Mapping_Sheet!$E$2:$E$3143, ISNUMBER(
Master_Mapping_Sheet!$E$2:$E$3143),
Master_Mapping_Sheet!$H$2:$H$3143=J$1)))"),0.2628375489839607)</f>
        <v>0.262837549</v>
      </c>
      <c r="K14" s="34">
        <f>IFERROR(__xludf.DUMMYFUNCTION("IF(ISNA(sum(filter(
Master_Mapping_Sheet!$E$2:$E$3143, ISNUMBER(
Master_Mapping_Sheet!$E$2:$E$3143),
Master_Mapping_Sheet!$H$2:$H$3143=K$1,
Master_Mapping_Sheet!$L$2:$L$3143=$A14))/sum(filter(
Master_Mapping_Sheet!$E$2:$E$3143, ISNUMBER(
Master_Mapping_Sh"&amp;"eet!$E$2:$E$3143),
Master_Mapping_Sheet!$H$2:$H$3143=K$1))), 0, sum(filter(
Master_Mapping_Sheet!$E$2:$E$3143, ISNUMBER(
Master_Mapping_Sheet!$E$2:$E$3143),
Master_Mapping_Sheet!$H$2:$H$3143=K$1,
Master_Mapping_Sheet!$L$2:$L$3143=$A14))/sum(filter(
Master"&amp;"_Mapping_Sheet!$E$2:$E$3143, ISNUMBER(
Master_Mapping_Sheet!$E$2:$E$3143),
Master_Mapping_Sheet!$H$2:$H$3143=K$1)))"),0.011611635069412625)</f>
        <v>0.01161163507</v>
      </c>
      <c r="L14" s="34">
        <f>IFERROR(__xludf.DUMMYFUNCTION("IF(ISNA(sum(filter(
Master_Mapping_Sheet!$E$2:$E$3143, ISNUMBER(
Master_Mapping_Sheet!$E$2:$E$3143),
Master_Mapping_Sheet!$H$2:$H$3143=L$1,
Master_Mapping_Sheet!$L$2:$L$3143=$A14))/sum(filter(
Master_Mapping_Sheet!$E$2:$E$3143, ISNUMBER(
Master_Mapping_Sh"&amp;"eet!$E$2:$E$3143),
Master_Mapping_Sheet!$H$2:$H$3143=L$1))), 0, sum(filter(
Master_Mapping_Sheet!$E$2:$E$3143, ISNUMBER(
Master_Mapping_Sheet!$E$2:$E$3143),
Master_Mapping_Sheet!$H$2:$H$3143=L$1,
Master_Mapping_Sheet!$L$2:$L$3143=$A14))/sum(filter(
Master"&amp;"_Mapping_Sheet!$E$2:$E$3143, ISNUMBER(
Master_Mapping_Sheet!$E$2:$E$3143),
Master_Mapping_Sheet!$H$2:$H$3143=L$1)))"),0.0)</f>
        <v>0</v>
      </c>
      <c r="M14" s="34">
        <f>IFERROR(__xludf.DUMMYFUNCTION("IF(ISNA(sum(filter(
Master_Mapping_Sheet!$E$2:$E$3143, ISNUMBER(
Master_Mapping_Sheet!$E$2:$E$3143),
Master_Mapping_Sheet!$H$2:$H$3143=M$1,
Master_Mapping_Sheet!$L$2:$L$3143=$A14))/sum(filter(
Master_Mapping_Sheet!$E$2:$E$3143, ISNUMBER(
Master_Mapping_Sh"&amp;"eet!$E$2:$E$3143),
Master_Mapping_Sheet!$H$2:$H$3143=M$1))), 0, sum(filter(
Master_Mapping_Sheet!$E$2:$E$3143, ISNUMBER(
Master_Mapping_Sheet!$E$2:$E$3143),
Master_Mapping_Sheet!$H$2:$H$3143=M$1,
Master_Mapping_Sheet!$L$2:$L$3143=$A14))/sum(filter(
Master"&amp;"_Mapping_Sheet!$E$2:$E$3143, ISNUMBER(
Master_Mapping_Sheet!$E$2:$E$3143),
Master_Mapping_Sheet!$H$2:$H$3143=M$1)))"),0.0)</f>
        <v>0</v>
      </c>
      <c r="N14" s="34">
        <f>IFERROR(__xludf.DUMMYFUNCTION("IF(ISNA(sum(filter(
Master_Mapping_Sheet!$E$2:$E$3143, ISNUMBER(
Master_Mapping_Sheet!$E$2:$E$3143),
Master_Mapping_Sheet!$H$2:$H$3143=N$1,
Master_Mapping_Sheet!$L$2:$L$3143=$A14))/sum(filter(
Master_Mapping_Sheet!$E$2:$E$3143, ISNUMBER(
Master_Mapping_Sh"&amp;"eet!$E$2:$E$3143),
Master_Mapping_Sheet!$H$2:$H$3143=N$1))), 0, sum(filter(
Master_Mapping_Sheet!$E$2:$E$3143, ISNUMBER(
Master_Mapping_Sheet!$E$2:$E$3143),
Master_Mapping_Sheet!$H$2:$H$3143=N$1,
Master_Mapping_Sheet!$L$2:$L$3143=$A14))/sum(filter(
Master"&amp;"_Mapping_Sheet!$E$2:$E$3143, ISNUMBER(
Master_Mapping_Sheet!$E$2:$E$3143),
Master_Mapping_Sheet!$H$2:$H$3143=N$1)))"),0.0)</f>
        <v>0</v>
      </c>
      <c r="O14" s="34">
        <f>IFERROR(__xludf.DUMMYFUNCTION("IF(ISNA(sum(filter(
Master_Mapping_Sheet!$E$2:$E$3143, ISNUMBER(
Master_Mapping_Sheet!$E$2:$E$3143),
Master_Mapping_Sheet!$H$2:$H$3143=O$1,
Master_Mapping_Sheet!$L$2:$L$3143=$A14))/sum(filter(
Master_Mapping_Sheet!$E$2:$E$3143, ISNUMBER(
Master_Mapping_Sh"&amp;"eet!$E$2:$E$3143),
Master_Mapping_Sheet!$H$2:$H$3143=O$1))), 0, sum(filter(
Master_Mapping_Sheet!$E$2:$E$3143, ISNUMBER(
Master_Mapping_Sheet!$E$2:$E$3143),
Master_Mapping_Sheet!$H$2:$H$3143=O$1,
Master_Mapping_Sheet!$L$2:$L$3143=$A14))/sum(filter(
Master"&amp;"_Mapping_Sheet!$E$2:$E$3143, ISNUMBER(
Master_Mapping_Sheet!$E$2:$E$3143),
Master_Mapping_Sheet!$H$2:$H$3143=O$1)))"),0.0)</f>
        <v>0</v>
      </c>
      <c r="P14" s="34">
        <f>IFERROR(__xludf.DUMMYFUNCTION("IF(ISNA(sum(filter(
Master_Mapping_Sheet!$E$2:$E$3143, ISNUMBER(
Master_Mapping_Sheet!$E$2:$E$3143),
Master_Mapping_Sheet!$H$2:$H$3143=P$1,
Master_Mapping_Sheet!$L$2:$L$3143=$A14))/sum(filter(
Master_Mapping_Sheet!$E$2:$E$3143, ISNUMBER(
Master_Mapping_Sh"&amp;"eet!$E$2:$E$3143),
Master_Mapping_Sheet!$H$2:$H$3143=P$1))), 0, sum(filter(
Master_Mapping_Sheet!$E$2:$E$3143, ISNUMBER(
Master_Mapping_Sheet!$E$2:$E$3143),
Master_Mapping_Sheet!$H$2:$H$3143=P$1,
Master_Mapping_Sheet!$L$2:$L$3143=$A14))/sum(filter(
Master"&amp;"_Mapping_Sheet!$E$2:$E$3143, ISNUMBER(
Master_Mapping_Sheet!$E$2:$E$3143),
Master_Mapping_Sheet!$H$2:$H$3143=P$1)))"),0.0)</f>
        <v>0</v>
      </c>
      <c r="Q14" s="34">
        <f>IFERROR(__xludf.DUMMYFUNCTION("IF(ISNA(sum(filter(
Master_Mapping_Sheet!$E$2:$E$3143, ISNUMBER(
Master_Mapping_Sheet!$E$2:$E$3143),
Master_Mapping_Sheet!$H$2:$H$3143=Q$1,
Master_Mapping_Sheet!$L$2:$L$3143=$A14))/sum(filter(
Master_Mapping_Sheet!$E$2:$E$3143, ISNUMBER(
Master_Mapping_Sh"&amp;"eet!$E$2:$E$3143),
Master_Mapping_Sheet!$H$2:$H$3143=Q$1))), 0, sum(filter(
Master_Mapping_Sheet!$E$2:$E$3143, ISNUMBER(
Master_Mapping_Sheet!$E$2:$E$3143),
Master_Mapping_Sheet!$H$2:$H$3143=Q$1,
Master_Mapping_Sheet!$L$2:$L$3143=$A14))/sum(filter(
Master"&amp;"_Mapping_Sheet!$E$2:$E$3143, ISNUMBER(
Master_Mapping_Sheet!$E$2:$E$3143),
Master_Mapping_Sheet!$H$2:$H$3143=Q$1)))"),0.0)</f>
        <v>0</v>
      </c>
      <c r="R14" s="34">
        <f>IFERROR(__xludf.DUMMYFUNCTION("IF(ISNA(sum(filter(
Master_Mapping_Sheet!$E$2:$E$3143, ISNUMBER(
Master_Mapping_Sheet!$E$2:$E$3143),
Master_Mapping_Sheet!$H$2:$H$3143=R$1,
Master_Mapping_Sheet!$L$2:$L$3143=$A14))/sum(filter(
Master_Mapping_Sheet!$E$2:$E$3143, ISNUMBER(
Master_Mapping_Sh"&amp;"eet!$E$2:$E$3143),
Master_Mapping_Sheet!$H$2:$H$3143=R$1))), 0, sum(filter(
Master_Mapping_Sheet!$E$2:$E$3143, ISNUMBER(
Master_Mapping_Sheet!$E$2:$E$3143),
Master_Mapping_Sheet!$H$2:$H$3143=R$1,
Master_Mapping_Sheet!$L$2:$L$3143=$A14))/sum(filter(
Master"&amp;"_Mapping_Sheet!$E$2:$E$3143, ISNUMBER(
Master_Mapping_Sheet!$E$2:$E$3143),
Master_Mapping_Sheet!$H$2:$H$3143=R$1)))"),0.0)</f>
        <v>0</v>
      </c>
      <c r="S14" s="34">
        <f>IFERROR(__xludf.DUMMYFUNCTION("IF(ISNA(sum(filter(
Master_Mapping_Sheet!$E$2:$E$3143, ISNUMBER(
Master_Mapping_Sheet!$E$2:$E$3143),
Master_Mapping_Sheet!$H$2:$H$3143=S$1,
Master_Mapping_Sheet!$L$2:$L$3143=$A14))/sum(filter(
Master_Mapping_Sheet!$E$2:$E$3143, ISNUMBER(
Master_Mapping_Sh"&amp;"eet!$E$2:$E$3143),
Master_Mapping_Sheet!$H$2:$H$3143=S$1))), 0, sum(filter(
Master_Mapping_Sheet!$E$2:$E$3143, ISNUMBER(
Master_Mapping_Sheet!$E$2:$E$3143),
Master_Mapping_Sheet!$H$2:$H$3143=S$1,
Master_Mapping_Sheet!$L$2:$L$3143=$A14))/sum(filter(
Master"&amp;"_Mapping_Sheet!$E$2:$E$3143, ISNUMBER(
Master_Mapping_Sheet!$E$2:$E$3143),
Master_Mapping_Sheet!$H$2:$H$3143=S$1)))"),0.0)</f>
        <v>0</v>
      </c>
      <c r="T14" s="34">
        <f>IFERROR(__xludf.DUMMYFUNCTION("IF(ISNA(sum(filter(
Master_Mapping_Sheet!$E$2:$E$3143, ISNUMBER(
Master_Mapping_Sheet!$E$2:$E$3143),
Master_Mapping_Sheet!$H$2:$H$3143=T$1,
Master_Mapping_Sheet!$L$2:$L$3143=$A14))/sum(filter(
Master_Mapping_Sheet!$E$2:$E$3143, ISNUMBER(
Master_Mapping_Sh"&amp;"eet!$E$2:$E$3143),
Master_Mapping_Sheet!$H$2:$H$3143=T$1))), 0, sum(filter(
Master_Mapping_Sheet!$E$2:$E$3143, ISNUMBER(
Master_Mapping_Sheet!$E$2:$E$3143),
Master_Mapping_Sheet!$H$2:$H$3143=T$1,
Master_Mapping_Sheet!$L$2:$L$3143=$A14))/sum(filter(
Master"&amp;"_Mapping_Sheet!$E$2:$E$3143, ISNUMBER(
Master_Mapping_Sheet!$E$2:$E$3143),
Master_Mapping_Sheet!$H$2:$H$3143=T$1)))"),0.30127882590958055)</f>
        <v>0.3012788259</v>
      </c>
      <c r="U14" s="34">
        <f>IFERROR(__xludf.DUMMYFUNCTION("IF(ISNA(sum(filter(
Master_Mapping_Sheet!$E$2:$E$3143, ISNUMBER(
Master_Mapping_Sheet!$E$2:$E$3143),
Master_Mapping_Sheet!$H$2:$H$3143=U$1,
Master_Mapping_Sheet!$L$2:$L$3143=$A14))/sum(filter(
Master_Mapping_Sheet!$E$2:$E$3143, ISNUMBER(
Master_Mapping_Sh"&amp;"eet!$E$2:$E$3143),
Master_Mapping_Sheet!$H$2:$H$3143=U$1))), 0, sum(filter(
Master_Mapping_Sheet!$E$2:$E$3143, ISNUMBER(
Master_Mapping_Sheet!$E$2:$E$3143),
Master_Mapping_Sheet!$H$2:$H$3143=U$1,
Master_Mapping_Sheet!$L$2:$L$3143=$A14))/sum(filter(
Master"&amp;"_Mapping_Sheet!$E$2:$E$3143, ISNUMBER(
Master_Mapping_Sheet!$E$2:$E$3143),
Master_Mapping_Sheet!$H$2:$H$3143=U$1)))"),0.0)</f>
        <v>0</v>
      </c>
      <c r="V14" s="34">
        <f>IFERROR(__xludf.DUMMYFUNCTION("IF(ISNA(sum(filter(
Master_Mapping_Sheet!$E$2:$E$3143, ISNUMBER(
Master_Mapping_Sheet!$E$2:$E$3143),
Master_Mapping_Sheet!$H$2:$H$3143=V$1,
Master_Mapping_Sheet!$L$2:$L$3143=$A14))/sum(filter(
Master_Mapping_Sheet!$E$2:$E$3143, ISNUMBER(
Master_Mapping_Sh"&amp;"eet!$E$2:$E$3143),
Master_Mapping_Sheet!$H$2:$H$3143=V$1))), 0, sum(filter(
Master_Mapping_Sheet!$E$2:$E$3143, ISNUMBER(
Master_Mapping_Sheet!$E$2:$E$3143),
Master_Mapping_Sheet!$H$2:$H$3143=V$1,
Master_Mapping_Sheet!$L$2:$L$3143=$A14))/sum(filter(
Master"&amp;"_Mapping_Sheet!$E$2:$E$3143, ISNUMBER(
Master_Mapping_Sheet!$E$2:$E$3143),
Master_Mapping_Sheet!$H$2:$H$3143=V$1)))"),0.0)</f>
        <v>0</v>
      </c>
      <c r="W14" s="34">
        <f>IFERROR(__xludf.DUMMYFUNCTION("IF(ISNA(sum(filter(
Master_Mapping_Sheet!$E$2:$E$3143, ISNUMBER(
Master_Mapping_Sheet!$E$2:$E$3143),
Master_Mapping_Sheet!$H$2:$H$3143=W$1,
Master_Mapping_Sheet!$L$2:$L$3143=$A14))/sum(filter(
Master_Mapping_Sheet!$E$2:$E$3143, ISNUMBER(
Master_Mapping_Sh"&amp;"eet!$E$2:$E$3143),
Master_Mapping_Sheet!$H$2:$H$3143=W$1))), 0, sum(filter(
Master_Mapping_Sheet!$E$2:$E$3143, ISNUMBER(
Master_Mapping_Sheet!$E$2:$E$3143),
Master_Mapping_Sheet!$H$2:$H$3143=W$1,
Master_Mapping_Sheet!$L$2:$L$3143=$A14))/sum(filter(
Master"&amp;"_Mapping_Sheet!$E$2:$E$3143, ISNUMBER(
Master_Mapping_Sheet!$E$2:$E$3143),
Master_Mapping_Sheet!$H$2:$H$3143=W$1)))"),0.0)</f>
        <v>0</v>
      </c>
      <c r="X14" s="34">
        <f>IFERROR(__xludf.DUMMYFUNCTION("IF(ISNA(sum(filter(
Master_Mapping_Sheet!$E$2:$E$3143, ISNUMBER(
Master_Mapping_Sheet!$E$2:$E$3143),
Master_Mapping_Sheet!$H$2:$H$3143=X$1,
Master_Mapping_Sheet!$L$2:$L$3143=$A14))/sum(filter(
Master_Mapping_Sheet!$E$2:$E$3143, ISNUMBER(
Master_Mapping_Sh"&amp;"eet!$E$2:$E$3143),
Master_Mapping_Sheet!$H$2:$H$3143=X$1))), 0, sum(filter(
Master_Mapping_Sheet!$E$2:$E$3143, ISNUMBER(
Master_Mapping_Sheet!$E$2:$E$3143),
Master_Mapping_Sheet!$H$2:$H$3143=X$1,
Master_Mapping_Sheet!$L$2:$L$3143=$A14))/sum(filter(
Master"&amp;"_Mapping_Sheet!$E$2:$E$3143, ISNUMBER(
Master_Mapping_Sheet!$E$2:$E$3143),
Master_Mapping_Sheet!$H$2:$H$3143=X$1)))"),0.0)</f>
        <v>0</v>
      </c>
      <c r="Y14" s="34">
        <f>IFERROR(__xludf.DUMMYFUNCTION("IF(ISNA(sum(filter(
Master_Mapping_Sheet!$E$2:$E$3143, ISNUMBER(
Master_Mapping_Sheet!$E$2:$E$3143),
Master_Mapping_Sheet!$H$2:$H$3143=Y$1,
Master_Mapping_Sheet!$L$2:$L$3143=$A14))/sum(filter(
Master_Mapping_Sheet!$E$2:$E$3143, ISNUMBER(
Master_Mapping_Sh"&amp;"eet!$E$2:$E$3143),
Master_Mapping_Sheet!$H$2:$H$3143=Y$1))), 0, sum(filter(
Master_Mapping_Sheet!$E$2:$E$3143, ISNUMBER(
Master_Mapping_Sheet!$E$2:$E$3143),
Master_Mapping_Sheet!$H$2:$H$3143=Y$1,
Master_Mapping_Sheet!$L$2:$L$3143=$A14))/sum(filter(
Master"&amp;"_Mapping_Sheet!$E$2:$E$3143, ISNUMBER(
Master_Mapping_Sheet!$E$2:$E$3143),
Master_Mapping_Sheet!$H$2:$H$3143=Y$1)))"),0.008719893900038859)</f>
        <v>0.0087198939</v>
      </c>
      <c r="Z14" s="34">
        <f>IFERROR(__xludf.DUMMYFUNCTION("IF(ISNA(sum(filter(
Master_Mapping_Sheet!$E$2:$E$3143, ISNUMBER(
Master_Mapping_Sheet!$E$2:$E$3143),
Master_Mapping_Sheet!$H$2:$H$3143=Z$1,
Master_Mapping_Sheet!$L$2:$L$3143=$A14))/sum(filter(
Master_Mapping_Sheet!$E$2:$E$3143, ISNUMBER(
Master_Mapping_Sh"&amp;"eet!$E$2:$E$3143),
Master_Mapping_Sheet!$H$2:$H$3143=Z$1))), 0, sum(filter(
Master_Mapping_Sheet!$E$2:$E$3143, ISNUMBER(
Master_Mapping_Sheet!$E$2:$E$3143),
Master_Mapping_Sheet!$H$2:$H$3143=Z$1,
Master_Mapping_Sheet!$L$2:$L$3143=$A14))/sum(filter(
Master"&amp;"_Mapping_Sheet!$E$2:$E$3143, ISNUMBER(
Master_Mapping_Sheet!$E$2:$E$3143),
Master_Mapping_Sheet!$H$2:$H$3143=Z$1)))"),0.0)</f>
        <v>0</v>
      </c>
    </row>
    <row r="15" ht="15.75" customHeight="1">
      <c r="A15" s="32" t="s">
        <v>282</v>
      </c>
      <c r="B15" s="34">
        <f>IFERROR(__xludf.DUMMYFUNCTION("IF(ISNA(sum(filter(
Master_Mapping_Sheet!$E$2:$E$3143, ISNUMBER(
Master_Mapping_Sheet!$E$2:$E$3143),
Master_Mapping_Sheet!$H$2:$H$3143=B$1,
Master_Mapping_Sheet!$L$2:$L$3143=$A15))/sum(filter(
Master_Mapping_Sheet!$E$2:$E$3143, ISNUMBER(
Master_Mapping_Sh"&amp;"eet!$E$2:$E$3143),
Master_Mapping_Sheet!$H$2:$H$3143=B$1))), 0, sum(filter(
Master_Mapping_Sheet!$E$2:$E$3143, ISNUMBER(
Master_Mapping_Sheet!$E$2:$E$3143),
Master_Mapping_Sheet!$H$2:$H$3143=B$1,
Master_Mapping_Sheet!$L$2:$L$3143=$A15))/sum(filter(
Master"&amp;"_Mapping_Sheet!$E$2:$E$3143, ISNUMBER(
Master_Mapping_Sheet!$E$2:$E$3143),
Master_Mapping_Sheet!$H$2:$H$3143=B$1)))"),0.0)</f>
        <v>0</v>
      </c>
      <c r="C15" s="34">
        <f>IFERROR(__xludf.DUMMYFUNCTION("IF(ISNA(sum(filter(
Master_Mapping_Sheet!$E$2:$E$3143, ISNUMBER(
Master_Mapping_Sheet!$E$2:$E$3143),
Master_Mapping_Sheet!$H$2:$H$3143=C$1,
Master_Mapping_Sheet!$L$2:$L$3143=$A15))/sum(filter(
Master_Mapping_Sheet!$E$2:$E$3143, ISNUMBER(
Master_Mapping_Sh"&amp;"eet!$E$2:$E$3143),
Master_Mapping_Sheet!$H$2:$H$3143=C$1))), 0, sum(filter(
Master_Mapping_Sheet!$E$2:$E$3143, ISNUMBER(
Master_Mapping_Sheet!$E$2:$E$3143),
Master_Mapping_Sheet!$H$2:$H$3143=C$1,
Master_Mapping_Sheet!$L$2:$L$3143=$A15))/sum(filter(
Master"&amp;"_Mapping_Sheet!$E$2:$E$3143, ISNUMBER(
Master_Mapping_Sheet!$E$2:$E$3143),
Master_Mapping_Sheet!$H$2:$H$3143=C$1)))"),0.0)</f>
        <v>0</v>
      </c>
      <c r="D15" s="34">
        <f>IFERROR(__xludf.DUMMYFUNCTION("IF(ISNA(sum(filter(
Master_Mapping_Sheet!$E$2:$E$3143, ISNUMBER(
Master_Mapping_Sheet!$E$2:$E$3143),
Master_Mapping_Sheet!$H$2:$H$3143=D$1,
Master_Mapping_Sheet!$L$2:$L$3143=$A15))/sum(filter(
Master_Mapping_Sheet!$E$2:$E$3143, ISNUMBER(
Master_Mapping_Sh"&amp;"eet!$E$2:$E$3143),
Master_Mapping_Sheet!$H$2:$H$3143=D$1))), 0, sum(filter(
Master_Mapping_Sheet!$E$2:$E$3143, ISNUMBER(
Master_Mapping_Sheet!$E$2:$E$3143),
Master_Mapping_Sheet!$H$2:$H$3143=D$1,
Master_Mapping_Sheet!$L$2:$L$3143=$A15))/sum(filter(
Master"&amp;"_Mapping_Sheet!$E$2:$E$3143, ISNUMBER(
Master_Mapping_Sheet!$E$2:$E$3143),
Master_Mapping_Sheet!$H$2:$H$3143=D$1)))"),4.710750767858604E-4)</f>
        <v>0.0004710750768</v>
      </c>
      <c r="E15" s="34">
        <f>IFERROR(__xludf.DUMMYFUNCTION("IF(ISNA(sum(filter(
Master_Mapping_Sheet!$E$2:$E$3143, ISNUMBER(
Master_Mapping_Sheet!$E$2:$E$3143),
Master_Mapping_Sheet!$H$2:$H$3143=E$1,
Master_Mapping_Sheet!$L$2:$L$3143=$A15))/sum(filter(
Master_Mapping_Sheet!$E$2:$E$3143, ISNUMBER(
Master_Mapping_Sh"&amp;"eet!$E$2:$E$3143),
Master_Mapping_Sheet!$H$2:$H$3143=E$1))), 0, sum(filter(
Master_Mapping_Sheet!$E$2:$E$3143, ISNUMBER(
Master_Mapping_Sheet!$E$2:$E$3143),
Master_Mapping_Sheet!$H$2:$H$3143=E$1,
Master_Mapping_Sheet!$L$2:$L$3143=$A15))/sum(filter(
Master"&amp;"_Mapping_Sheet!$E$2:$E$3143, ISNUMBER(
Master_Mapping_Sheet!$E$2:$E$3143),
Master_Mapping_Sheet!$H$2:$H$3143=E$1)))"),0.0)</f>
        <v>0</v>
      </c>
      <c r="F15" s="34">
        <f>IFERROR(__xludf.DUMMYFUNCTION("IF(ISNA(sum(filter(
Master_Mapping_Sheet!$E$2:$E$3143, ISNUMBER(
Master_Mapping_Sheet!$E$2:$E$3143),
Master_Mapping_Sheet!$H$2:$H$3143=F$1,
Master_Mapping_Sheet!$L$2:$L$3143=$A15))/sum(filter(
Master_Mapping_Sheet!$E$2:$E$3143, ISNUMBER(
Master_Mapping_Sh"&amp;"eet!$E$2:$E$3143),
Master_Mapping_Sheet!$H$2:$H$3143=F$1))), 0, sum(filter(
Master_Mapping_Sheet!$E$2:$E$3143, ISNUMBER(
Master_Mapping_Sheet!$E$2:$E$3143),
Master_Mapping_Sheet!$H$2:$H$3143=F$1,
Master_Mapping_Sheet!$L$2:$L$3143=$A15))/sum(filter(
Master"&amp;"_Mapping_Sheet!$E$2:$E$3143, ISNUMBER(
Master_Mapping_Sheet!$E$2:$E$3143),
Master_Mapping_Sheet!$H$2:$H$3143=F$1)))"),0.0)</f>
        <v>0</v>
      </c>
      <c r="G15" s="34">
        <f>IFERROR(__xludf.DUMMYFUNCTION("IF(ISNA(sum(filter(
Master_Mapping_Sheet!$E$2:$E$3143, ISNUMBER(
Master_Mapping_Sheet!$E$2:$E$3143),
Master_Mapping_Sheet!$H$2:$H$3143=G$1,
Master_Mapping_Sheet!$L$2:$L$3143=$A15))/sum(filter(
Master_Mapping_Sheet!$E$2:$E$3143, ISNUMBER(
Master_Mapping_Sh"&amp;"eet!$E$2:$E$3143),
Master_Mapping_Sheet!$H$2:$H$3143=G$1))), 0, sum(filter(
Master_Mapping_Sheet!$E$2:$E$3143, ISNUMBER(
Master_Mapping_Sheet!$E$2:$E$3143),
Master_Mapping_Sheet!$H$2:$H$3143=G$1,
Master_Mapping_Sheet!$L$2:$L$3143=$A15))/sum(filter(
Master"&amp;"_Mapping_Sheet!$E$2:$E$3143, ISNUMBER(
Master_Mapping_Sheet!$E$2:$E$3143),
Master_Mapping_Sheet!$H$2:$H$3143=G$1)))"),0.0)</f>
        <v>0</v>
      </c>
      <c r="H15" s="34">
        <f>IFERROR(__xludf.DUMMYFUNCTION("IF(ISNA(sum(filter(
Master_Mapping_Sheet!$E$2:$E$3143, ISNUMBER(
Master_Mapping_Sheet!$E$2:$E$3143),
Master_Mapping_Sheet!$H$2:$H$3143=H$1,
Master_Mapping_Sheet!$L$2:$L$3143=$A15))/sum(filter(
Master_Mapping_Sheet!$E$2:$E$3143, ISNUMBER(
Master_Mapping_Sh"&amp;"eet!$E$2:$E$3143),
Master_Mapping_Sheet!$H$2:$H$3143=H$1))), 0, sum(filter(
Master_Mapping_Sheet!$E$2:$E$3143, ISNUMBER(
Master_Mapping_Sheet!$E$2:$E$3143),
Master_Mapping_Sheet!$H$2:$H$3143=H$1,
Master_Mapping_Sheet!$L$2:$L$3143=$A15))/sum(filter(
Master"&amp;"_Mapping_Sheet!$E$2:$E$3143, ISNUMBER(
Master_Mapping_Sheet!$E$2:$E$3143),
Master_Mapping_Sheet!$H$2:$H$3143=H$1)))"),0.0)</f>
        <v>0</v>
      </c>
      <c r="I15" s="34">
        <f>IFERROR(__xludf.DUMMYFUNCTION("IF(ISNA(sum(filter(
Master_Mapping_Sheet!$E$2:$E$3143, ISNUMBER(
Master_Mapping_Sheet!$E$2:$E$3143),
Master_Mapping_Sheet!$H$2:$H$3143=I$1,
Master_Mapping_Sheet!$L$2:$L$3143=$A15))/sum(filter(
Master_Mapping_Sheet!$E$2:$E$3143, ISNUMBER(
Master_Mapping_Sh"&amp;"eet!$E$2:$E$3143),
Master_Mapping_Sheet!$H$2:$H$3143=I$1))), 0, sum(filter(
Master_Mapping_Sheet!$E$2:$E$3143, ISNUMBER(
Master_Mapping_Sheet!$E$2:$E$3143),
Master_Mapping_Sheet!$H$2:$H$3143=I$1,
Master_Mapping_Sheet!$L$2:$L$3143=$A15))/sum(filter(
Master"&amp;"_Mapping_Sheet!$E$2:$E$3143, ISNUMBER(
Master_Mapping_Sheet!$E$2:$E$3143),
Master_Mapping_Sheet!$H$2:$H$3143=I$1)))"),0.0)</f>
        <v>0</v>
      </c>
      <c r="J15" s="34">
        <f>IFERROR(__xludf.DUMMYFUNCTION("IF(ISNA(sum(filter(
Master_Mapping_Sheet!$E$2:$E$3143, ISNUMBER(
Master_Mapping_Sheet!$E$2:$E$3143),
Master_Mapping_Sheet!$H$2:$H$3143=J$1,
Master_Mapping_Sheet!$L$2:$L$3143=$A15))/sum(filter(
Master_Mapping_Sheet!$E$2:$E$3143, ISNUMBER(
Master_Mapping_Sh"&amp;"eet!$E$2:$E$3143),
Master_Mapping_Sheet!$H$2:$H$3143=J$1))), 0, sum(filter(
Master_Mapping_Sheet!$E$2:$E$3143, ISNUMBER(
Master_Mapping_Sheet!$E$2:$E$3143),
Master_Mapping_Sheet!$H$2:$H$3143=J$1,
Master_Mapping_Sheet!$L$2:$L$3143=$A15))/sum(filter(
Master"&amp;"_Mapping_Sheet!$E$2:$E$3143, ISNUMBER(
Master_Mapping_Sheet!$E$2:$E$3143),
Master_Mapping_Sheet!$H$2:$H$3143=J$1)))"),0.0)</f>
        <v>0</v>
      </c>
      <c r="K15" s="34">
        <f>IFERROR(__xludf.DUMMYFUNCTION("IF(ISNA(sum(filter(
Master_Mapping_Sheet!$E$2:$E$3143, ISNUMBER(
Master_Mapping_Sheet!$E$2:$E$3143),
Master_Mapping_Sheet!$H$2:$H$3143=K$1,
Master_Mapping_Sheet!$L$2:$L$3143=$A15))/sum(filter(
Master_Mapping_Sheet!$E$2:$E$3143, ISNUMBER(
Master_Mapping_Sh"&amp;"eet!$E$2:$E$3143),
Master_Mapping_Sheet!$H$2:$H$3143=K$1))), 0, sum(filter(
Master_Mapping_Sheet!$E$2:$E$3143, ISNUMBER(
Master_Mapping_Sheet!$E$2:$E$3143),
Master_Mapping_Sheet!$H$2:$H$3143=K$1,
Master_Mapping_Sheet!$L$2:$L$3143=$A15))/sum(filter(
Master"&amp;"_Mapping_Sheet!$E$2:$E$3143, ISNUMBER(
Master_Mapping_Sheet!$E$2:$E$3143),
Master_Mapping_Sheet!$H$2:$H$3143=K$1)))"),0.0)</f>
        <v>0</v>
      </c>
      <c r="L15" s="34">
        <f>IFERROR(__xludf.DUMMYFUNCTION("IF(ISNA(sum(filter(
Master_Mapping_Sheet!$E$2:$E$3143, ISNUMBER(
Master_Mapping_Sheet!$E$2:$E$3143),
Master_Mapping_Sheet!$H$2:$H$3143=L$1,
Master_Mapping_Sheet!$L$2:$L$3143=$A15))/sum(filter(
Master_Mapping_Sheet!$E$2:$E$3143, ISNUMBER(
Master_Mapping_Sh"&amp;"eet!$E$2:$E$3143),
Master_Mapping_Sheet!$H$2:$H$3143=L$1))), 0, sum(filter(
Master_Mapping_Sheet!$E$2:$E$3143, ISNUMBER(
Master_Mapping_Sheet!$E$2:$E$3143),
Master_Mapping_Sheet!$H$2:$H$3143=L$1,
Master_Mapping_Sheet!$L$2:$L$3143=$A15))/sum(filter(
Master"&amp;"_Mapping_Sheet!$E$2:$E$3143, ISNUMBER(
Master_Mapping_Sheet!$E$2:$E$3143),
Master_Mapping_Sheet!$H$2:$H$3143=L$1)))"),0.0)</f>
        <v>0</v>
      </c>
      <c r="M15" s="34">
        <f>IFERROR(__xludf.DUMMYFUNCTION("IF(ISNA(sum(filter(
Master_Mapping_Sheet!$E$2:$E$3143, ISNUMBER(
Master_Mapping_Sheet!$E$2:$E$3143),
Master_Mapping_Sheet!$H$2:$H$3143=M$1,
Master_Mapping_Sheet!$L$2:$L$3143=$A15))/sum(filter(
Master_Mapping_Sheet!$E$2:$E$3143, ISNUMBER(
Master_Mapping_Sh"&amp;"eet!$E$2:$E$3143),
Master_Mapping_Sheet!$H$2:$H$3143=M$1))), 0, sum(filter(
Master_Mapping_Sheet!$E$2:$E$3143, ISNUMBER(
Master_Mapping_Sheet!$E$2:$E$3143),
Master_Mapping_Sheet!$H$2:$H$3143=M$1,
Master_Mapping_Sheet!$L$2:$L$3143=$A15))/sum(filter(
Master"&amp;"_Mapping_Sheet!$E$2:$E$3143, ISNUMBER(
Master_Mapping_Sheet!$E$2:$E$3143),
Master_Mapping_Sheet!$H$2:$H$3143=M$1)))"),0.0)</f>
        <v>0</v>
      </c>
      <c r="N15" s="34">
        <f>IFERROR(__xludf.DUMMYFUNCTION("IF(ISNA(sum(filter(
Master_Mapping_Sheet!$E$2:$E$3143, ISNUMBER(
Master_Mapping_Sheet!$E$2:$E$3143),
Master_Mapping_Sheet!$H$2:$H$3143=N$1,
Master_Mapping_Sheet!$L$2:$L$3143=$A15))/sum(filter(
Master_Mapping_Sheet!$E$2:$E$3143, ISNUMBER(
Master_Mapping_Sh"&amp;"eet!$E$2:$E$3143),
Master_Mapping_Sheet!$H$2:$H$3143=N$1))), 0, sum(filter(
Master_Mapping_Sheet!$E$2:$E$3143, ISNUMBER(
Master_Mapping_Sheet!$E$2:$E$3143),
Master_Mapping_Sheet!$H$2:$H$3143=N$1,
Master_Mapping_Sheet!$L$2:$L$3143=$A15))/sum(filter(
Master"&amp;"_Mapping_Sheet!$E$2:$E$3143, ISNUMBER(
Master_Mapping_Sheet!$E$2:$E$3143),
Master_Mapping_Sheet!$H$2:$H$3143=N$1)))"),0.0)</f>
        <v>0</v>
      </c>
      <c r="O15" s="34">
        <f>IFERROR(__xludf.DUMMYFUNCTION("IF(ISNA(sum(filter(
Master_Mapping_Sheet!$E$2:$E$3143, ISNUMBER(
Master_Mapping_Sheet!$E$2:$E$3143),
Master_Mapping_Sheet!$H$2:$H$3143=O$1,
Master_Mapping_Sheet!$L$2:$L$3143=$A15))/sum(filter(
Master_Mapping_Sheet!$E$2:$E$3143, ISNUMBER(
Master_Mapping_Sh"&amp;"eet!$E$2:$E$3143),
Master_Mapping_Sheet!$H$2:$H$3143=O$1))), 0, sum(filter(
Master_Mapping_Sheet!$E$2:$E$3143, ISNUMBER(
Master_Mapping_Sheet!$E$2:$E$3143),
Master_Mapping_Sheet!$H$2:$H$3143=O$1,
Master_Mapping_Sheet!$L$2:$L$3143=$A15))/sum(filter(
Master"&amp;"_Mapping_Sheet!$E$2:$E$3143, ISNUMBER(
Master_Mapping_Sheet!$E$2:$E$3143),
Master_Mapping_Sheet!$H$2:$H$3143=O$1)))"),0.0)</f>
        <v>0</v>
      </c>
      <c r="P15" s="34">
        <f>IFERROR(__xludf.DUMMYFUNCTION("IF(ISNA(sum(filter(
Master_Mapping_Sheet!$E$2:$E$3143, ISNUMBER(
Master_Mapping_Sheet!$E$2:$E$3143),
Master_Mapping_Sheet!$H$2:$H$3143=P$1,
Master_Mapping_Sheet!$L$2:$L$3143=$A15))/sum(filter(
Master_Mapping_Sheet!$E$2:$E$3143, ISNUMBER(
Master_Mapping_Sh"&amp;"eet!$E$2:$E$3143),
Master_Mapping_Sheet!$H$2:$H$3143=P$1))), 0, sum(filter(
Master_Mapping_Sheet!$E$2:$E$3143, ISNUMBER(
Master_Mapping_Sheet!$E$2:$E$3143),
Master_Mapping_Sheet!$H$2:$H$3143=P$1,
Master_Mapping_Sheet!$L$2:$L$3143=$A15))/sum(filter(
Master"&amp;"_Mapping_Sheet!$E$2:$E$3143, ISNUMBER(
Master_Mapping_Sheet!$E$2:$E$3143),
Master_Mapping_Sheet!$H$2:$H$3143=P$1)))"),0.0)</f>
        <v>0</v>
      </c>
      <c r="Q15" s="34">
        <f>IFERROR(__xludf.DUMMYFUNCTION("IF(ISNA(sum(filter(
Master_Mapping_Sheet!$E$2:$E$3143, ISNUMBER(
Master_Mapping_Sheet!$E$2:$E$3143),
Master_Mapping_Sheet!$H$2:$H$3143=Q$1,
Master_Mapping_Sheet!$L$2:$L$3143=$A15))/sum(filter(
Master_Mapping_Sheet!$E$2:$E$3143, ISNUMBER(
Master_Mapping_Sh"&amp;"eet!$E$2:$E$3143),
Master_Mapping_Sheet!$H$2:$H$3143=Q$1))), 0, sum(filter(
Master_Mapping_Sheet!$E$2:$E$3143, ISNUMBER(
Master_Mapping_Sheet!$E$2:$E$3143),
Master_Mapping_Sheet!$H$2:$H$3143=Q$1,
Master_Mapping_Sheet!$L$2:$L$3143=$A15))/sum(filter(
Master"&amp;"_Mapping_Sheet!$E$2:$E$3143, ISNUMBER(
Master_Mapping_Sheet!$E$2:$E$3143),
Master_Mapping_Sheet!$H$2:$H$3143=Q$1)))"),0.0)</f>
        <v>0</v>
      </c>
      <c r="R15" s="34">
        <f>IFERROR(__xludf.DUMMYFUNCTION("IF(ISNA(sum(filter(
Master_Mapping_Sheet!$E$2:$E$3143, ISNUMBER(
Master_Mapping_Sheet!$E$2:$E$3143),
Master_Mapping_Sheet!$H$2:$H$3143=R$1,
Master_Mapping_Sheet!$L$2:$L$3143=$A15))/sum(filter(
Master_Mapping_Sheet!$E$2:$E$3143, ISNUMBER(
Master_Mapping_Sh"&amp;"eet!$E$2:$E$3143),
Master_Mapping_Sheet!$H$2:$H$3143=R$1))), 0, sum(filter(
Master_Mapping_Sheet!$E$2:$E$3143, ISNUMBER(
Master_Mapping_Sheet!$E$2:$E$3143),
Master_Mapping_Sheet!$H$2:$H$3143=R$1,
Master_Mapping_Sheet!$L$2:$L$3143=$A15))/sum(filter(
Master"&amp;"_Mapping_Sheet!$E$2:$E$3143, ISNUMBER(
Master_Mapping_Sheet!$E$2:$E$3143),
Master_Mapping_Sheet!$H$2:$H$3143=R$1)))"),0.0)</f>
        <v>0</v>
      </c>
      <c r="S15" s="34">
        <f>IFERROR(__xludf.DUMMYFUNCTION("IF(ISNA(sum(filter(
Master_Mapping_Sheet!$E$2:$E$3143, ISNUMBER(
Master_Mapping_Sheet!$E$2:$E$3143),
Master_Mapping_Sheet!$H$2:$H$3143=S$1,
Master_Mapping_Sheet!$L$2:$L$3143=$A15))/sum(filter(
Master_Mapping_Sheet!$E$2:$E$3143, ISNUMBER(
Master_Mapping_Sh"&amp;"eet!$E$2:$E$3143),
Master_Mapping_Sheet!$H$2:$H$3143=S$1))), 0, sum(filter(
Master_Mapping_Sheet!$E$2:$E$3143, ISNUMBER(
Master_Mapping_Sheet!$E$2:$E$3143),
Master_Mapping_Sheet!$H$2:$H$3143=S$1,
Master_Mapping_Sheet!$L$2:$L$3143=$A15))/sum(filter(
Master"&amp;"_Mapping_Sheet!$E$2:$E$3143, ISNUMBER(
Master_Mapping_Sheet!$E$2:$E$3143),
Master_Mapping_Sheet!$H$2:$H$3143=S$1)))"),0.0)</f>
        <v>0</v>
      </c>
      <c r="T15" s="34">
        <f>IFERROR(__xludf.DUMMYFUNCTION("IF(ISNA(sum(filter(
Master_Mapping_Sheet!$E$2:$E$3143, ISNUMBER(
Master_Mapping_Sheet!$E$2:$E$3143),
Master_Mapping_Sheet!$H$2:$H$3143=T$1,
Master_Mapping_Sheet!$L$2:$L$3143=$A15))/sum(filter(
Master_Mapping_Sheet!$E$2:$E$3143, ISNUMBER(
Master_Mapping_Sh"&amp;"eet!$E$2:$E$3143),
Master_Mapping_Sheet!$H$2:$H$3143=T$1))), 0, sum(filter(
Master_Mapping_Sheet!$E$2:$E$3143, ISNUMBER(
Master_Mapping_Sheet!$E$2:$E$3143),
Master_Mapping_Sheet!$H$2:$H$3143=T$1,
Master_Mapping_Sheet!$L$2:$L$3143=$A15))/sum(filter(
Master"&amp;"_Mapping_Sheet!$E$2:$E$3143, ISNUMBER(
Master_Mapping_Sheet!$E$2:$E$3143),
Master_Mapping_Sheet!$H$2:$H$3143=T$1)))"),0.008070180730187065)</f>
        <v>0.00807018073</v>
      </c>
      <c r="U15" s="34">
        <f>IFERROR(__xludf.DUMMYFUNCTION("IF(ISNA(sum(filter(
Master_Mapping_Sheet!$E$2:$E$3143, ISNUMBER(
Master_Mapping_Sheet!$E$2:$E$3143),
Master_Mapping_Sheet!$H$2:$H$3143=U$1,
Master_Mapping_Sheet!$L$2:$L$3143=$A15))/sum(filter(
Master_Mapping_Sheet!$E$2:$E$3143, ISNUMBER(
Master_Mapping_Sh"&amp;"eet!$E$2:$E$3143),
Master_Mapping_Sheet!$H$2:$H$3143=U$1))), 0, sum(filter(
Master_Mapping_Sheet!$E$2:$E$3143, ISNUMBER(
Master_Mapping_Sheet!$E$2:$E$3143),
Master_Mapping_Sheet!$H$2:$H$3143=U$1,
Master_Mapping_Sheet!$L$2:$L$3143=$A15))/sum(filter(
Master"&amp;"_Mapping_Sheet!$E$2:$E$3143, ISNUMBER(
Master_Mapping_Sheet!$E$2:$E$3143),
Master_Mapping_Sheet!$H$2:$H$3143=U$1)))"),0.0)</f>
        <v>0</v>
      </c>
      <c r="V15" s="34">
        <f>IFERROR(__xludf.DUMMYFUNCTION("IF(ISNA(sum(filter(
Master_Mapping_Sheet!$E$2:$E$3143, ISNUMBER(
Master_Mapping_Sheet!$E$2:$E$3143),
Master_Mapping_Sheet!$H$2:$H$3143=V$1,
Master_Mapping_Sheet!$L$2:$L$3143=$A15))/sum(filter(
Master_Mapping_Sheet!$E$2:$E$3143, ISNUMBER(
Master_Mapping_Sh"&amp;"eet!$E$2:$E$3143),
Master_Mapping_Sheet!$H$2:$H$3143=V$1))), 0, sum(filter(
Master_Mapping_Sheet!$E$2:$E$3143, ISNUMBER(
Master_Mapping_Sheet!$E$2:$E$3143),
Master_Mapping_Sheet!$H$2:$H$3143=V$1,
Master_Mapping_Sheet!$L$2:$L$3143=$A15))/sum(filter(
Master"&amp;"_Mapping_Sheet!$E$2:$E$3143, ISNUMBER(
Master_Mapping_Sheet!$E$2:$E$3143),
Master_Mapping_Sheet!$H$2:$H$3143=V$1)))"),7.282505825366404E-5)</f>
        <v>0.00007282505825</v>
      </c>
      <c r="W15" s="34">
        <f>IFERROR(__xludf.DUMMYFUNCTION("IF(ISNA(sum(filter(
Master_Mapping_Sheet!$E$2:$E$3143, ISNUMBER(
Master_Mapping_Sheet!$E$2:$E$3143),
Master_Mapping_Sheet!$H$2:$H$3143=W$1,
Master_Mapping_Sheet!$L$2:$L$3143=$A15))/sum(filter(
Master_Mapping_Sheet!$E$2:$E$3143, ISNUMBER(
Master_Mapping_Sh"&amp;"eet!$E$2:$E$3143),
Master_Mapping_Sheet!$H$2:$H$3143=W$1))), 0, sum(filter(
Master_Mapping_Sheet!$E$2:$E$3143, ISNUMBER(
Master_Mapping_Sheet!$E$2:$E$3143),
Master_Mapping_Sheet!$H$2:$H$3143=W$1,
Master_Mapping_Sheet!$L$2:$L$3143=$A15))/sum(filter(
Master"&amp;"_Mapping_Sheet!$E$2:$E$3143, ISNUMBER(
Master_Mapping_Sheet!$E$2:$E$3143),
Master_Mapping_Sheet!$H$2:$H$3143=W$1)))"),5.678006615533898E-4)</f>
        <v>0.0005678006616</v>
      </c>
      <c r="X15" s="34">
        <f>IFERROR(__xludf.DUMMYFUNCTION("IF(ISNA(sum(filter(
Master_Mapping_Sheet!$E$2:$E$3143, ISNUMBER(
Master_Mapping_Sheet!$E$2:$E$3143),
Master_Mapping_Sheet!$H$2:$H$3143=X$1,
Master_Mapping_Sheet!$L$2:$L$3143=$A15))/sum(filter(
Master_Mapping_Sheet!$E$2:$E$3143, ISNUMBER(
Master_Mapping_Sh"&amp;"eet!$E$2:$E$3143),
Master_Mapping_Sheet!$H$2:$H$3143=X$1))), 0, sum(filter(
Master_Mapping_Sheet!$E$2:$E$3143, ISNUMBER(
Master_Mapping_Sheet!$E$2:$E$3143),
Master_Mapping_Sheet!$H$2:$H$3143=X$1,
Master_Mapping_Sheet!$L$2:$L$3143=$A15))/sum(filter(
Master"&amp;"_Mapping_Sheet!$E$2:$E$3143, ISNUMBER(
Master_Mapping_Sheet!$E$2:$E$3143),
Master_Mapping_Sheet!$H$2:$H$3143=X$1)))"),0.09335697126947907)</f>
        <v>0.09335697127</v>
      </c>
      <c r="Y15" s="34">
        <f>IFERROR(__xludf.DUMMYFUNCTION("IF(ISNA(sum(filter(
Master_Mapping_Sheet!$E$2:$E$3143, ISNUMBER(
Master_Mapping_Sheet!$E$2:$E$3143),
Master_Mapping_Sheet!$H$2:$H$3143=Y$1,
Master_Mapping_Sheet!$L$2:$L$3143=$A15))/sum(filter(
Master_Mapping_Sheet!$E$2:$E$3143, ISNUMBER(
Master_Mapping_Sh"&amp;"eet!$E$2:$E$3143),
Master_Mapping_Sheet!$H$2:$H$3143=Y$1))), 0, sum(filter(
Master_Mapping_Sheet!$E$2:$E$3143, ISNUMBER(
Master_Mapping_Sheet!$E$2:$E$3143),
Master_Mapping_Sheet!$H$2:$H$3143=Y$1,
Master_Mapping_Sheet!$L$2:$L$3143=$A15))/sum(filter(
Master"&amp;"_Mapping_Sheet!$E$2:$E$3143, ISNUMBER(
Master_Mapping_Sheet!$E$2:$E$3143),
Master_Mapping_Sheet!$H$2:$H$3143=Y$1)))"),0.0665871651141314)</f>
        <v>0.06658716511</v>
      </c>
      <c r="Z15" s="34">
        <f>IFERROR(__xludf.DUMMYFUNCTION("IF(ISNA(sum(filter(
Master_Mapping_Sheet!$E$2:$E$3143, ISNUMBER(
Master_Mapping_Sheet!$E$2:$E$3143),
Master_Mapping_Sheet!$H$2:$H$3143=Z$1,
Master_Mapping_Sheet!$L$2:$L$3143=$A15))/sum(filter(
Master_Mapping_Sheet!$E$2:$E$3143, ISNUMBER(
Master_Mapping_Sh"&amp;"eet!$E$2:$E$3143),
Master_Mapping_Sheet!$H$2:$H$3143=Z$1))), 0, sum(filter(
Master_Mapping_Sheet!$E$2:$E$3143, ISNUMBER(
Master_Mapping_Sheet!$E$2:$E$3143),
Master_Mapping_Sheet!$H$2:$H$3143=Z$1,
Master_Mapping_Sheet!$L$2:$L$3143=$A15))/sum(filter(
Master"&amp;"_Mapping_Sheet!$E$2:$E$3143, ISNUMBER(
Master_Mapping_Sheet!$E$2:$E$3143),
Master_Mapping_Sheet!$H$2:$H$3143=Z$1)))"),0.1319467453361032)</f>
        <v>0.1319467453</v>
      </c>
    </row>
    <row r="16" ht="15.75" customHeight="1">
      <c r="A16" s="32">
        <v>7.0</v>
      </c>
      <c r="B16" s="34">
        <f>IFERROR(__xludf.DUMMYFUNCTION("IF(ISNA(sum(filter(
Master_Mapping_Sheet!$E$2:$E$3143, ISNUMBER(
Master_Mapping_Sheet!$E$2:$E$3143),
Master_Mapping_Sheet!$H$2:$H$3143=B$1,
Master_Mapping_Sheet!$L$2:$L$3143=$A16))/sum(filter(
Master_Mapping_Sheet!$E$2:$E$3143, ISNUMBER(
Master_Mapping_Sh"&amp;"eet!$E$2:$E$3143),
Master_Mapping_Sheet!$H$2:$H$3143=B$1))), 0, sum(filter(
Master_Mapping_Sheet!$E$2:$E$3143, ISNUMBER(
Master_Mapping_Sheet!$E$2:$E$3143),
Master_Mapping_Sheet!$H$2:$H$3143=B$1,
Master_Mapping_Sheet!$L$2:$L$3143=$A16))/sum(filter(
Master"&amp;"_Mapping_Sheet!$E$2:$E$3143, ISNUMBER(
Master_Mapping_Sheet!$E$2:$E$3143),
Master_Mapping_Sheet!$H$2:$H$3143=B$1)))"),0.0)</f>
        <v>0</v>
      </c>
      <c r="C16" s="34">
        <f>IFERROR(__xludf.DUMMYFUNCTION("IF(ISNA(sum(filter(
Master_Mapping_Sheet!$E$2:$E$3143, ISNUMBER(
Master_Mapping_Sheet!$E$2:$E$3143),
Master_Mapping_Sheet!$H$2:$H$3143=C$1,
Master_Mapping_Sheet!$L$2:$L$3143=$A16))/sum(filter(
Master_Mapping_Sheet!$E$2:$E$3143, ISNUMBER(
Master_Mapping_Sh"&amp;"eet!$E$2:$E$3143),
Master_Mapping_Sheet!$H$2:$H$3143=C$1))), 0, sum(filter(
Master_Mapping_Sheet!$E$2:$E$3143, ISNUMBER(
Master_Mapping_Sheet!$E$2:$E$3143),
Master_Mapping_Sheet!$H$2:$H$3143=C$1,
Master_Mapping_Sheet!$L$2:$L$3143=$A16))/sum(filter(
Master"&amp;"_Mapping_Sheet!$E$2:$E$3143, ISNUMBER(
Master_Mapping_Sheet!$E$2:$E$3143),
Master_Mapping_Sheet!$H$2:$H$3143=C$1)))"),0.0)</f>
        <v>0</v>
      </c>
      <c r="D16" s="34">
        <f>IFERROR(__xludf.DUMMYFUNCTION("IF(ISNA(sum(filter(
Master_Mapping_Sheet!$E$2:$E$3143, ISNUMBER(
Master_Mapping_Sheet!$E$2:$E$3143),
Master_Mapping_Sheet!$H$2:$H$3143=D$1,
Master_Mapping_Sheet!$L$2:$L$3143=$A16))/sum(filter(
Master_Mapping_Sheet!$E$2:$E$3143, ISNUMBER(
Master_Mapping_Sh"&amp;"eet!$E$2:$E$3143),
Master_Mapping_Sheet!$H$2:$H$3143=D$1))), 0, sum(filter(
Master_Mapping_Sheet!$E$2:$E$3143, ISNUMBER(
Master_Mapping_Sheet!$E$2:$E$3143),
Master_Mapping_Sheet!$H$2:$H$3143=D$1,
Master_Mapping_Sheet!$L$2:$L$3143=$A16))/sum(filter(
Master"&amp;"_Mapping_Sheet!$E$2:$E$3143, ISNUMBER(
Master_Mapping_Sheet!$E$2:$E$3143),
Master_Mapping_Sheet!$H$2:$H$3143=D$1)))"),0.08278471460684297)</f>
        <v>0.08278471461</v>
      </c>
      <c r="E16" s="34">
        <f>IFERROR(__xludf.DUMMYFUNCTION("IF(ISNA(sum(filter(
Master_Mapping_Sheet!$E$2:$E$3143, ISNUMBER(
Master_Mapping_Sheet!$E$2:$E$3143),
Master_Mapping_Sheet!$H$2:$H$3143=E$1,
Master_Mapping_Sheet!$L$2:$L$3143=$A16))/sum(filter(
Master_Mapping_Sheet!$E$2:$E$3143, ISNUMBER(
Master_Mapping_Sh"&amp;"eet!$E$2:$E$3143),
Master_Mapping_Sheet!$H$2:$H$3143=E$1))), 0, sum(filter(
Master_Mapping_Sheet!$E$2:$E$3143, ISNUMBER(
Master_Mapping_Sheet!$E$2:$E$3143),
Master_Mapping_Sheet!$H$2:$H$3143=E$1,
Master_Mapping_Sheet!$L$2:$L$3143=$A16))/sum(filter(
Master"&amp;"_Mapping_Sheet!$E$2:$E$3143, ISNUMBER(
Master_Mapping_Sheet!$E$2:$E$3143),
Master_Mapping_Sheet!$H$2:$H$3143=E$1)))"),0.0)</f>
        <v>0</v>
      </c>
      <c r="F16" s="34">
        <f>IFERROR(__xludf.DUMMYFUNCTION("IF(ISNA(sum(filter(
Master_Mapping_Sheet!$E$2:$E$3143, ISNUMBER(
Master_Mapping_Sheet!$E$2:$E$3143),
Master_Mapping_Sheet!$H$2:$H$3143=F$1,
Master_Mapping_Sheet!$L$2:$L$3143=$A16))/sum(filter(
Master_Mapping_Sheet!$E$2:$E$3143, ISNUMBER(
Master_Mapping_Sh"&amp;"eet!$E$2:$E$3143),
Master_Mapping_Sheet!$H$2:$H$3143=F$1))), 0, sum(filter(
Master_Mapping_Sheet!$E$2:$E$3143, ISNUMBER(
Master_Mapping_Sheet!$E$2:$E$3143),
Master_Mapping_Sheet!$H$2:$H$3143=F$1,
Master_Mapping_Sheet!$L$2:$L$3143=$A16))/sum(filter(
Master"&amp;"_Mapping_Sheet!$E$2:$E$3143, ISNUMBER(
Master_Mapping_Sheet!$E$2:$E$3143),
Master_Mapping_Sheet!$H$2:$H$3143=F$1)))"),0.0)</f>
        <v>0</v>
      </c>
      <c r="G16" s="34">
        <f>IFERROR(__xludf.DUMMYFUNCTION("IF(ISNA(sum(filter(
Master_Mapping_Sheet!$E$2:$E$3143, ISNUMBER(
Master_Mapping_Sheet!$E$2:$E$3143),
Master_Mapping_Sheet!$H$2:$H$3143=G$1,
Master_Mapping_Sheet!$L$2:$L$3143=$A16))/sum(filter(
Master_Mapping_Sheet!$E$2:$E$3143, ISNUMBER(
Master_Mapping_Sh"&amp;"eet!$E$2:$E$3143),
Master_Mapping_Sheet!$H$2:$H$3143=G$1))), 0, sum(filter(
Master_Mapping_Sheet!$E$2:$E$3143, ISNUMBER(
Master_Mapping_Sheet!$E$2:$E$3143),
Master_Mapping_Sheet!$H$2:$H$3143=G$1,
Master_Mapping_Sheet!$L$2:$L$3143=$A16))/sum(filter(
Master"&amp;"_Mapping_Sheet!$E$2:$E$3143, ISNUMBER(
Master_Mapping_Sheet!$E$2:$E$3143),
Master_Mapping_Sheet!$H$2:$H$3143=G$1)))"),0.0)</f>
        <v>0</v>
      </c>
      <c r="H16" s="34">
        <f>IFERROR(__xludf.DUMMYFUNCTION("IF(ISNA(sum(filter(
Master_Mapping_Sheet!$E$2:$E$3143, ISNUMBER(
Master_Mapping_Sheet!$E$2:$E$3143),
Master_Mapping_Sheet!$H$2:$H$3143=H$1,
Master_Mapping_Sheet!$L$2:$L$3143=$A16))/sum(filter(
Master_Mapping_Sheet!$E$2:$E$3143, ISNUMBER(
Master_Mapping_Sh"&amp;"eet!$E$2:$E$3143),
Master_Mapping_Sheet!$H$2:$H$3143=H$1))), 0, sum(filter(
Master_Mapping_Sheet!$E$2:$E$3143, ISNUMBER(
Master_Mapping_Sheet!$E$2:$E$3143),
Master_Mapping_Sheet!$H$2:$H$3143=H$1,
Master_Mapping_Sheet!$L$2:$L$3143=$A16))/sum(filter(
Master"&amp;"_Mapping_Sheet!$E$2:$E$3143, ISNUMBER(
Master_Mapping_Sheet!$E$2:$E$3143),
Master_Mapping_Sheet!$H$2:$H$3143=H$1)))"),0.0044460375567422486)</f>
        <v>0.004446037557</v>
      </c>
      <c r="I16" s="34">
        <f>IFERROR(__xludf.DUMMYFUNCTION("IF(ISNA(sum(filter(
Master_Mapping_Sheet!$E$2:$E$3143, ISNUMBER(
Master_Mapping_Sheet!$E$2:$E$3143),
Master_Mapping_Sheet!$H$2:$H$3143=I$1,
Master_Mapping_Sheet!$L$2:$L$3143=$A16))/sum(filter(
Master_Mapping_Sheet!$E$2:$E$3143, ISNUMBER(
Master_Mapping_Sh"&amp;"eet!$E$2:$E$3143),
Master_Mapping_Sheet!$H$2:$H$3143=I$1))), 0, sum(filter(
Master_Mapping_Sheet!$E$2:$E$3143, ISNUMBER(
Master_Mapping_Sheet!$E$2:$E$3143),
Master_Mapping_Sheet!$H$2:$H$3143=I$1,
Master_Mapping_Sheet!$L$2:$L$3143=$A16))/sum(filter(
Master"&amp;"_Mapping_Sheet!$E$2:$E$3143, ISNUMBER(
Master_Mapping_Sheet!$E$2:$E$3143),
Master_Mapping_Sheet!$H$2:$H$3143=I$1)))"),0.0)</f>
        <v>0</v>
      </c>
      <c r="J16" s="34">
        <f>IFERROR(__xludf.DUMMYFUNCTION("IF(ISNA(sum(filter(
Master_Mapping_Sheet!$E$2:$E$3143, ISNUMBER(
Master_Mapping_Sheet!$E$2:$E$3143),
Master_Mapping_Sheet!$H$2:$H$3143=J$1,
Master_Mapping_Sheet!$L$2:$L$3143=$A16))/sum(filter(
Master_Mapping_Sheet!$E$2:$E$3143, ISNUMBER(
Master_Mapping_Sh"&amp;"eet!$E$2:$E$3143),
Master_Mapping_Sheet!$H$2:$H$3143=J$1))), 0, sum(filter(
Master_Mapping_Sheet!$E$2:$E$3143, ISNUMBER(
Master_Mapping_Sheet!$E$2:$E$3143),
Master_Mapping_Sheet!$H$2:$H$3143=J$1,
Master_Mapping_Sheet!$L$2:$L$3143=$A16))/sum(filter(
Master"&amp;"_Mapping_Sheet!$E$2:$E$3143, ISNUMBER(
Master_Mapping_Sheet!$E$2:$E$3143),
Master_Mapping_Sheet!$H$2:$H$3143=J$1)))"),0.0)</f>
        <v>0</v>
      </c>
      <c r="K16" s="34">
        <f>IFERROR(__xludf.DUMMYFUNCTION("IF(ISNA(sum(filter(
Master_Mapping_Sheet!$E$2:$E$3143, ISNUMBER(
Master_Mapping_Sheet!$E$2:$E$3143),
Master_Mapping_Sheet!$H$2:$H$3143=K$1,
Master_Mapping_Sheet!$L$2:$L$3143=$A16))/sum(filter(
Master_Mapping_Sheet!$E$2:$E$3143, ISNUMBER(
Master_Mapping_Sh"&amp;"eet!$E$2:$E$3143),
Master_Mapping_Sheet!$H$2:$H$3143=K$1))), 0, sum(filter(
Master_Mapping_Sheet!$E$2:$E$3143, ISNUMBER(
Master_Mapping_Sheet!$E$2:$E$3143),
Master_Mapping_Sheet!$H$2:$H$3143=K$1,
Master_Mapping_Sheet!$L$2:$L$3143=$A16))/sum(filter(
Master"&amp;"_Mapping_Sheet!$E$2:$E$3143, ISNUMBER(
Master_Mapping_Sheet!$E$2:$E$3143),
Master_Mapping_Sheet!$H$2:$H$3143=K$1)))"),0.0)</f>
        <v>0</v>
      </c>
      <c r="L16" s="34">
        <f>IFERROR(__xludf.DUMMYFUNCTION("IF(ISNA(sum(filter(
Master_Mapping_Sheet!$E$2:$E$3143, ISNUMBER(
Master_Mapping_Sheet!$E$2:$E$3143),
Master_Mapping_Sheet!$H$2:$H$3143=L$1,
Master_Mapping_Sheet!$L$2:$L$3143=$A16))/sum(filter(
Master_Mapping_Sheet!$E$2:$E$3143, ISNUMBER(
Master_Mapping_Sh"&amp;"eet!$E$2:$E$3143),
Master_Mapping_Sheet!$H$2:$H$3143=L$1))), 0, sum(filter(
Master_Mapping_Sheet!$E$2:$E$3143, ISNUMBER(
Master_Mapping_Sheet!$E$2:$E$3143),
Master_Mapping_Sheet!$H$2:$H$3143=L$1,
Master_Mapping_Sheet!$L$2:$L$3143=$A16))/sum(filter(
Master"&amp;"_Mapping_Sheet!$E$2:$E$3143, ISNUMBER(
Master_Mapping_Sheet!$E$2:$E$3143),
Master_Mapping_Sheet!$H$2:$H$3143=L$1)))"),0.0)</f>
        <v>0</v>
      </c>
      <c r="M16" s="34">
        <f>IFERROR(__xludf.DUMMYFUNCTION("IF(ISNA(sum(filter(
Master_Mapping_Sheet!$E$2:$E$3143, ISNUMBER(
Master_Mapping_Sheet!$E$2:$E$3143),
Master_Mapping_Sheet!$H$2:$H$3143=M$1,
Master_Mapping_Sheet!$L$2:$L$3143=$A16))/sum(filter(
Master_Mapping_Sheet!$E$2:$E$3143, ISNUMBER(
Master_Mapping_Sh"&amp;"eet!$E$2:$E$3143),
Master_Mapping_Sheet!$H$2:$H$3143=M$1))), 0, sum(filter(
Master_Mapping_Sheet!$E$2:$E$3143, ISNUMBER(
Master_Mapping_Sheet!$E$2:$E$3143),
Master_Mapping_Sheet!$H$2:$H$3143=M$1,
Master_Mapping_Sheet!$L$2:$L$3143=$A16))/sum(filter(
Master"&amp;"_Mapping_Sheet!$E$2:$E$3143, ISNUMBER(
Master_Mapping_Sheet!$E$2:$E$3143),
Master_Mapping_Sheet!$H$2:$H$3143=M$1)))"),0.0)</f>
        <v>0</v>
      </c>
      <c r="N16" s="34">
        <f>IFERROR(__xludf.DUMMYFUNCTION("IF(ISNA(sum(filter(
Master_Mapping_Sheet!$E$2:$E$3143, ISNUMBER(
Master_Mapping_Sheet!$E$2:$E$3143),
Master_Mapping_Sheet!$H$2:$H$3143=N$1,
Master_Mapping_Sheet!$L$2:$L$3143=$A16))/sum(filter(
Master_Mapping_Sheet!$E$2:$E$3143, ISNUMBER(
Master_Mapping_Sh"&amp;"eet!$E$2:$E$3143),
Master_Mapping_Sheet!$H$2:$H$3143=N$1))), 0, sum(filter(
Master_Mapping_Sheet!$E$2:$E$3143, ISNUMBER(
Master_Mapping_Sheet!$E$2:$E$3143),
Master_Mapping_Sheet!$H$2:$H$3143=N$1,
Master_Mapping_Sheet!$L$2:$L$3143=$A16))/sum(filter(
Master"&amp;"_Mapping_Sheet!$E$2:$E$3143, ISNUMBER(
Master_Mapping_Sheet!$E$2:$E$3143),
Master_Mapping_Sheet!$H$2:$H$3143=N$1)))"),0.0)</f>
        <v>0</v>
      </c>
      <c r="O16" s="34">
        <f>IFERROR(__xludf.DUMMYFUNCTION("IF(ISNA(sum(filter(
Master_Mapping_Sheet!$E$2:$E$3143, ISNUMBER(
Master_Mapping_Sheet!$E$2:$E$3143),
Master_Mapping_Sheet!$H$2:$H$3143=O$1,
Master_Mapping_Sheet!$L$2:$L$3143=$A16))/sum(filter(
Master_Mapping_Sheet!$E$2:$E$3143, ISNUMBER(
Master_Mapping_Sh"&amp;"eet!$E$2:$E$3143),
Master_Mapping_Sheet!$H$2:$H$3143=O$1))), 0, sum(filter(
Master_Mapping_Sheet!$E$2:$E$3143, ISNUMBER(
Master_Mapping_Sheet!$E$2:$E$3143),
Master_Mapping_Sheet!$H$2:$H$3143=O$1,
Master_Mapping_Sheet!$L$2:$L$3143=$A16))/sum(filter(
Master"&amp;"_Mapping_Sheet!$E$2:$E$3143, ISNUMBER(
Master_Mapping_Sheet!$E$2:$E$3143),
Master_Mapping_Sheet!$H$2:$H$3143=O$1)))"),0.0)</f>
        <v>0</v>
      </c>
      <c r="P16" s="34">
        <f>IFERROR(__xludf.DUMMYFUNCTION("IF(ISNA(sum(filter(
Master_Mapping_Sheet!$E$2:$E$3143, ISNUMBER(
Master_Mapping_Sheet!$E$2:$E$3143),
Master_Mapping_Sheet!$H$2:$H$3143=P$1,
Master_Mapping_Sheet!$L$2:$L$3143=$A16))/sum(filter(
Master_Mapping_Sheet!$E$2:$E$3143, ISNUMBER(
Master_Mapping_Sh"&amp;"eet!$E$2:$E$3143),
Master_Mapping_Sheet!$H$2:$H$3143=P$1))), 0, sum(filter(
Master_Mapping_Sheet!$E$2:$E$3143, ISNUMBER(
Master_Mapping_Sheet!$E$2:$E$3143),
Master_Mapping_Sheet!$H$2:$H$3143=P$1,
Master_Mapping_Sheet!$L$2:$L$3143=$A16))/sum(filter(
Master"&amp;"_Mapping_Sheet!$E$2:$E$3143, ISNUMBER(
Master_Mapping_Sheet!$E$2:$E$3143),
Master_Mapping_Sheet!$H$2:$H$3143=P$1)))"),0.0)</f>
        <v>0</v>
      </c>
      <c r="Q16" s="34">
        <f>IFERROR(__xludf.DUMMYFUNCTION("IF(ISNA(sum(filter(
Master_Mapping_Sheet!$E$2:$E$3143, ISNUMBER(
Master_Mapping_Sheet!$E$2:$E$3143),
Master_Mapping_Sheet!$H$2:$H$3143=Q$1,
Master_Mapping_Sheet!$L$2:$L$3143=$A16))/sum(filter(
Master_Mapping_Sheet!$E$2:$E$3143, ISNUMBER(
Master_Mapping_Sh"&amp;"eet!$E$2:$E$3143),
Master_Mapping_Sheet!$H$2:$H$3143=Q$1))), 0, sum(filter(
Master_Mapping_Sheet!$E$2:$E$3143, ISNUMBER(
Master_Mapping_Sheet!$E$2:$E$3143),
Master_Mapping_Sheet!$H$2:$H$3143=Q$1,
Master_Mapping_Sheet!$L$2:$L$3143=$A16))/sum(filter(
Master"&amp;"_Mapping_Sheet!$E$2:$E$3143, ISNUMBER(
Master_Mapping_Sheet!$E$2:$E$3143),
Master_Mapping_Sheet!$H$2:$H$3143=Q$1)))"),0.0)</f>
        <v>0</v>
      </c>
      <c r="R16" s="34">
        <f>IFERROR(__xludf.DUMMYFUNCTION("IF(ISNA(sum(filter(
Master_Mapping_Sheet!$E$2:$E$3143, ISNUMBER(
Master_Mapping_Sheet!$E$2:$E$3143),
Master_Mapping_Sheet!$H$2:$H$3143=R$1,
Master_Mapping_Sheet!$L$2:$L$3143=$A16))/sum(filter(
Master_Mapping_Sheet!$E$2:$E$3143, ISNUMBER(
Master_Mapping_Sh"&amp;"eet!$E$2:$E$3143),
Master_Mapping_Sheet!$H$2:$H$3143=R$1))), 0, sum(filter(
Master_Mapping_Sheet!$E$2:$E$3143, ISNUMBER(
Master_Mapping_Sheet!$E$2:$E$3143),
Master_Mapping_Sheet!$H$2:$H$3143=R$1,
Master_Mapping_Sheet!$L$2:$L$3143=$A16))/sum(filter(
Master"&amp;"_Mapping_Sheet!$E$2:$E$3143, ISNUMBER(
Master_Mapping_Sheet!$E$2:$E$3143),
Master_Mapping_Sheet!$H$2:$H$3143=R$1)))"),0.0)</f>
        <v>0</v>
      </c>
      <c r="S16" s="34">
        <f>IFERROR(__xludf.DUMMYFUNCTION("IF(ISNA(sum(filter(
Master_Mapping_Sheet!$E$2:$E$3143, ISNUMBER(
Master_Mapping_Sheet!$E$2:$E$3143),
Master_Mapping_Sheet!$H$2:$H$3143=S$1,
Master_Mapping_Sheet!$L$2:$L$3143=$A16))/sum(filter(
Master_Mapping_Sheet!$E$2:$E$3143, ISNUMBER(
Master_Mapping_Sh"&amp;"eet!$E$2:$E$3143),
Master_Mapping_Sheet!$H$2:$H$3143=S$1))), 0, sum(filter(
Master_Mapping_Sheet!$E$2:$E$3143, ISNUMBER(
Master_Mapping_Sheet!$E$2:$E$3143),
Master_Mapping_Sheet!$H$2:$H$3143=S$1,
Master_Mapping_Sheet!$L$2:$L$3143=$A16))/sum(filter(
Master"&amp;"_Mapping_Sheet!$E$2:$E$3143, ISNUMBER(
Master_Mapping_Sheet!$E$2:$E$3143),
Master_Mapping_Sheet!$H$2:$H$3143=S$1)))"),0.0)</f>
        <v>0</v>
      </c>
      <c r="T16" s="34">
        <f>IFERROR(__xludf.DUMMYFUNCTION("IF(ISNA(sum(filter(
Master_Mapping_Sheet!$E$2:$E$3143, ISNUMBER(
Master_Mapping_Sheet!$E$2:$E$3143),
Master_Mapping_Sheet!$H$2:$H$3143=T$1,
Master_Mapping_Sheet!$L$2:$L$3143=$A16))/sum(filter(
Master_Mapping_Sheet!$E$2:$E$3143, ISNUMBER(
Master_Mapping_Sh"&amp;"eet!$E$2:$E$3143),
Master_Mapping_Sheet!$H$2:$H$3143=T$1))), 0, sum(filter(
Master_Mapping_Sheet!$E$2:$E$3143, ISNUMBER(
Master_Mapping_Sheet!$E$2:$E$3143),
Master_Mapping_Sheet!$H$2:$H$3143=T$1,
Master_Mapping_Sheet!$L$2:$L$3143=$A16))/sum(filter(
Master"&amp;"_Mapping_Sheet!$E$2:$E$3143, ISNUMBER(
Master_Mapping_Sheet!$E$2:$E$3143),
Master_Mapping_Sheet!$H$2:$H$3143=T$1)))"),0.14341354157955086)</f>
        <v>0.1434135416</v>
      </c>
      <c r="U16" s="34">
        <f>IFERROR(__xludf.DUMMYFUNCTION("IF(ISNA(sum(filter(
Master_Mapping_Sheet!$E$2:$E$3143, ISNUMBER(
Master_Mapping_Sheet!$E$2:$E$3143),
Master_Mapping_Sheet!$H$2:$H$3143=U$1,
Master_Mapping_Sheet!$L$2:$L$3143=$A16))/sum(filter(
Master_Mapping_Sheet!$E$2:$E$3143, ISNUMBER(
Master_Mapping_Sh"&amp;"eet!$E$2:$E$3143),
Master_Mapping_Sheet!$H$2:$H$3143=U$1))), 0, sum(filter(
Master_Mapping_Sheet!$E$2:$E$3143, ISNUMBER(
Master_Mapping_Sheet!$E$2:$E$3143),
Master_Mapping_Sheet!$H$2:$H$3143=U$1,
Master_Mapping_Sheet!$L$2:$L$3143=$A16))/sum(filter(
Master"&amp;"_Mapping_Sheet!$E$2:$E$3143, ISNUMBER(
Master_Mapping_Sheet!$E$2:$E$3143),
Master_Mapping_Sheet!$H$2:$H$3143=U$1)))"),0.0)</f>
        <v>0</v>
      </c>
      <c r="V16" s="34">
        <f>IFERROR(__xludf.DUMMYFUNCTION("IF(ISNA(sum(filter(
Master_Mapping_Sheet!$E$2:$E$3143, ISNUMBER(
Master_Mapping_Sheet!$E$2:$E$3143),
Master_Mapping_Sheet!$H$2:$H$3143=V$1,
Master_Mapping_Sheet!$L$2:$L$3143=$A16))/sum(filter(
Master_Mapping_Sheet!$E$2:$E$3143, ISNUMBER(
Master_Mapping_Sh"&amp;"eet!$E$2:$E$3143),
Master_Mapping_Sheet!$H$2:$H$3143=V$1))), 0, sum(filter(
Master_Mapping_Sheet!$E$2:$E$3143, ISNUMBER(
Master_Mapping_Sheet!$E$2:$E$3143),
Master_Mapping_Sheet!$H$2:$H$3143=V$1,
Master_Mapping_Sheet!$L$2:$L$3143=$A16))/sum(filter(
Master"&amp;"_Mapping_Sheet!$E$2:$E$3143, ISNUMBER(
Master_Mapping_Sheet!$E$2:$E$3143),
Master_Mapping_Sheet!$H$2:$H$3143=V$1)))"),0.0)</f>
        <v>0</v>
      </c>
      <c r="W16" s="34">
        <f>IFERROR(__xludf.DUMMYFUNCTION("IF(ISNA(sum(filter(
Master_Mapping_Sheet!$E$2:$E$3143, ISNUMBER(
Master_Mapping_Sheet!$E$2:$E$3143),
Master_Mapping_Sheet!$H$2:$H$3143=W$1,
Master_Mapping_Sheet!$L$2:$L$3143=$A16))/sum(filter(
Master_Mapping_Sheet!$E$2:$E$3143, ISNUMBER(
Master_Mapping_Sh"&amp;"eet!$E$2:$E$3143),
Master_Mapping_Sheet!$H$2:$H$3143=W$1))), 0, sum(filter(
Master_Mapping_Sheet!$E$2:$E$3143, ISNUMBER(
Master_Mapping_Sheet!$E$2:$E$3143),
Master_Mapping_Sheet!$H$2:$H$3143=W$1,
Master_Mapping_Sheet!$L$2:$L$3143=$A16))/sum(filter(
Master"&amp;"_Mapping_Sheet!$E$2:$E$3143, ISNUMBER(
Master_Mapping_Sheet!$E$2:$E$3143),
Master_Mapping_Sheet!$H$2:$H$3143=W$1)))"),0.0)</f>
        <v>0</v>
      </c>
      <c r="X16" s="34">
        <f>IFERROR(__xludf.DUMMYFUNCTION("IF(ISNA(sum(filter(
Master_Mapping_Sheet!$E$2:$E$3143, ISNUMBER(
Master_Mapping_Sheet!$E$2:$E$3143),
Master_Mapping_Sheet!$H$2:$H$3143=X$1,
Master_Mapping_Sheet!$L$2:$L$3143=$A16))/sum(filter(
Master_Mapping_Sheet!$E$2:$E$3143, ISNUMBER(
Master_Mapping_Sh"&amp;"eet!$E$2:$E$3143),
Master_Mapping_Sheet!$H$2:$H$3143=X$1))), 0, sum(filter(
Master_Mapping_Sheet!$E$2:$E$3143, ISNUMBER(
Master_Mapping_Sheet!$E$2:$E$3143),
Master_Mapping_Sheet!$H$2:$H$3143=X$1,
Master_Mapping_Sheet!$L$2:$L$3143=$A16))/sum(filter(
Master"&amp;"_Mapping_Sheet!$E$2:$E$3143, ISNUMBER(
Master_Mapping_Sheet!$E$2:$E$3143),
Master_Mapping_Sheet!$H$2:$H$3143=X$1)))"),0.0)</f>
        <v>0</v>
      </c>
      <c r="Y16" s="34">
        <f>IFERROR(__xludf.DUMMYFUNCTION("IF(ISNA(sum(filter(
Master_Mapping_Sheet!$E$2:$E$3143, ISNUMBER(
Master_Mapping_Sheet!$E$2:$E$3143),
Master_Mapping_Sheet!$H$2:$H$3143=Y$1,
Master_Mapping_Sheet!$L$2:$L$3143=$A16))/sum(filter(
Master_Mapping_Sheet!$E$2:$E$3143, ISNUMBER(
Master_Mapping_Sh"&amp;"eet!$E$2:$E$3143),
Master_Mapping_Sheet!$H$2:$H$3143=Y$1))), 0, sum(filter(
Master_Mapping_Sheet!$E$2:$E$3143, ISNUMBER(
Master_Mapping_Sheet!$E$2:$E$3143),
Master_Mapping_Sheet!$H$2:$H$3143=Y$1,
Master_Mapping_Sheet!$L$2:$L$3143=$A16))/sum(filter(
Master"&amp;"_Mapping_Sheet!$E$2:$E$3143, ISNUMBER(
Master_Mapping_Sheet!$E$2:$E$3143),
Master_Mapping_Sheet!$H$2:$H$3143=Y$1)))"),0.024395124813766565)</f>
        <v>0.02439512481</v>
      </c>
      <c r="Z16" s="34">
        <f>IFERROR(__xludf.DUMMYFUNCTION("IF(ISNA(sum(filter(
Master_Mapping_Sheet!$E$2:$E$3143, ISNUMBER(
Master_Mapping_Sheet!$E$2:$E$3143),
Master_Mapping_Sheet!$H$2:$H$3143=Z$1,
Master_Mapping_Sheet!$L$2:$L$3143=$A16))/sum(filter(
Master_Mapping_Sheet!$E$2:$E$3143, ISNUMBER(
Master_Mapping_Sh"&amp;"eet!$E$2:$E$3143),
Master_Mapping_Sheet!$H$2:$H$3143=Z$1))), 0, sum(filter(
Master_Mapping_Sheet!$E$2:$E$3143, ISNUMBER(
Master_Mapping_Sheet!$E$2:$E$3143),
Master_Mapping_Sheet!$H$2:$H$3143=Z$1,
Master_Mapping_Sheet!$L$2:$L$3143=$A16))/sum(filter(
Master"&amp;"_Mapping_Sheet!$E$2:$E$3143, ISNUMBER(
Master_Mapping_Sheet!$E$2:$E$3143),
Master_Mapping_Sheet!$H$2:$H$3143=Z$1)))"),0.006238823249404249)</f>
        <v>0.006238823249</v>
      </c>
    </row>
    <row r="17" ht="15.75" customHeight="1">
      <c r="A17" s="32">
        <v>8.0</v>
      </c>
      <c r="B17" s="34">
        <f>IFERROR(__xludf.DUMMYFUNCTION("IF(ISNA(sum(filter(
Master_Mapping_Sheet!$E$2:$E$3143, ISNUMBER(
Master_Mapping_Sheet!$E$2:$E$3143),
Master_Mapping_Sheet!$H$2:$H$3143=B$1,
Master_Mapping_Sheet!$L$2:$L$3143=$A17))/sum(filter(
Master_Mapping_Sheet!$E$2:$E$3143, ISNUMBER(
Master_Mapping_Sh"&amp;"eet!$E$2:$E$3143),
Master_Mapping_Sheet!$H$2:$H$3143=B$1))), 0, sum(filter(
Master_Mapping_Sheet!$E$2:$E$3143, ISNUMBER(
Master_Mapping_Sheet!$E$2:$E$3143),
Master_Mapping_Sheet!$H$2:$H$3143=B$1,
Master_Mapping_Sheet!$L$2:$L$3143=$A17))/sum(filter(
Master"&amp;"_Mapping_Sheet!$E$2:$E$3143, ISNUMBER(
Master_Mapping_Sheet!$E$2:$E$3143),
Master_Mapping_Sheet!$H$2:$H$3143=B$1)))"),0.0)</f>
        <v>0</v>
      </c>
      <c r="C17" s="34">
        <f>IFERROR(__xludf.DUMMYFUNCTION("IF(ISNA(sum(filter(
Master_Mapping_Sheet!$E$2:$E$3143, ISNUMBER(
Master_Mapping_Sheet!$E$2:$E$3143),
Master_Mapping_Sheet!$H$2:$H$3143=C$1,
Master_Mapping_Sheet!$L$2:$L$3143=$A17))/sum(filter(
Master_Mapping_Sheet!$E$2:$E$3143, ISNUMBER(
Master_Mapping_Sh"&amp;"eet!$E$2:$E$3143),
Master_Mapping_Sheet!$H$2:$H$3143=C$1))), 0, sum(filter(
Master_Mapping_Sheet!$E$2:$E$3143, ISNUMBER(
Master_Mapping_Sheet!$E$2:$E$3143),
Master_Mapping_Sheet!$H$2:$H$3143=C$1,
Master_Mapping_Sheet!$L$2:$L$3143=$A17))/sum(filter(
Master"&amp;"_Mapping_Sheet!$E$2:$E$3143, ISNUMBER(
Master_Mapping_Sheet!$E$2:$E$3143),
Master_Mapping_Sheet!$H$2:$H$3143=C$1)))"),0.0)</f>
        <v>0</v>
      </c>
      <c r="D17" s="34">
        <f>IFERROR(__xludf.DUMMYFUNCTION("IF(ISNA(sum(filter(
Master_Mapping_Sheet!$E$2:$E$3143, ISNUMBER(
Master_Mapping_Sheet!$E$2:$E$3143),
Master_Mapping_Sheet!$H$2:$H$3143=D$1,
Master_Mapping_Sheet!$L$2:$L$3143=$A17))/sum(filter(
Master_Mapping_Sheet!$E$2:$E$3143, ISNUMBER(
Master_Mapping_Sh"&amp;"eet!$E$2:$E$3143),
Master_Mapping_Sheet!$H$2:$H$3143=D$1))), 0, sum(filter(
Master_Mapping_Sheet!$E$2:$E$3143, ISNUMBER(
Master_Mapping_Sheet!$E$2:$E$3143),
Master_Mapping_Sheet!$H$2:$H$3143=D$1,
Master_Mapping_Sheet!$L$2:$L$3143=$A17))/sum(filter(
Master"&amp;"_Mapping_Sheet!$E$2:$E$3143, ISNUMBER(
Master_Mapping_Sheet!$E$2:$E$3143),
Master_Mapping_Sheet!$H$2:$H$3143=D$1)))"),0.0)</f>
        <v>0</v>
      </c>
      <c r="E17" s="34">
        <f>IFERROR(__xludf.DUMMYFUNCTION("IF(ISNA(sum(filter(
Master_Mapping_Sheet!$E$2:$E$3143, ISNUMBER(
Master_Mapping_Sheet!$E$2:$E$3143),
Master_Mapping_Sheet!$H$2:$H$3143=E$1,
Master_Mapping_Sheet!$L$2:$L$3143=$A17))/sum(filter(
Master_Mapping_Sheet!$E$2:$E$3143, ISNUMBER(
Master_Mapping_Sh"&amp;"eet!$E$2:$E$3143),
Master_Mapping_Sheet!$H$2:$H$3143=E$1))), 0, sum(filter(
Master_Mapping_Sheet!$E$2:$E$3143, ISNUMBER(
Master_Mapping_Sheet!$E$2:$E$3143),
Master_Mapping_Sheet!$H$2:$H$3143=E$1,
Master_Mapping_Sheet!$L$2:$L$3143=$A17))/sum(filter(
Master"&amp;"_Mapping_Sheet!$E$2:$E$3143, ISNUMBER(
Master_Mapping_Sheet!$E$2:$E$3143),
Master_Mapping_Sheet!$H$2:$H$3143=E$1)))"),0.0)</f>
        <v>0</v>
      </c>
      <c r="F17" s="34">
        <f>IFERROR(__xludf.DUMMYFUNCTION("IF(ISNA(sum(filter(
Master_Mapping_Sheet!$E$2:$E$3143, ISNUMBER(
Master_Mapping_Sheet!$E$2:$E$3143),
Master_Mapping_Sheet!$H$2:$H$3143=F$1,
Master_Mapping_Sheet!$L$2:$L$3143=$A17))/sum(filter(
Master_Mapping_Sheet!$E$2:$E$3143, ISNUMBER(
Master_Mapping_Sh"&amp;"eet!$E$2:$E$3143),
Master_Mapping_Sheet!$H$2:$H$3143=F$1))), 0, sum(filter(
Master_Mapping_Sheet!$E$2:$E$3143, ISNUMBER(
Master_Mapping_Sheet!$E$2:$E$3143),
Master_Mapping_Sheet!$H$2:$H$3143=F$1,
Master_Mapping_Sheet!$L$2:$L$3143=$A17))/sum(filter(
Master"&amp;"_Mapping_Sheet!$E$2:$E$3143, ISNUMBER(
Master_Mapping_Sheet!$E$2:$E$3143),
Master_Mapping_Sheet!$H$2:$H$3143=F$1)))"),0.0)</f>
        <v>0</v>
      </c>
      <c r="G17" s="34">
        <f>IFERROR(__xludf.DUMMYFUNCTION("IF(ISNA(sum(filter(
Master_Mapping_Sheet!$E$2:$E$3143, ISNUMBER(
Master_Mapping_Sheet!$E$2:$E$3143),
Master_Mapping_Sheet!$H$2:$H$3143=G$1,
Master_Mapping_Sheet!$L$2:$L$3143=$A17))/sum(filter(
Master_Mapping_Sheet!$E$2:$E$3143, ISNUMBER(
Master_Mapping_Sh"&amp;"eet!$E$2:$E$3143),
Master_Mapping_Sheet!$H$2:$H$3143=G$1))), 0, sum(filter(
Master_Mapping_Sheet!$E$2:$E$3143, ISNUMBER(
Master_Mapping_Sheet!$E$2:$E$3143),
Master_Mapping_Sheet!$H$2:$H$3143=G$1,
Master_Mapping_Sheet!$L$2:$L$3143=$A17))/sum(filter(
Master"&amp;"_Mapping_Sheet!$E$2:$E$3143, ISNUMBER(
Master_Mapping_Sheet!$E$2:$E$3143),
Master_Mapping_Sheet!$H$2:$H$3143=G$1)))"),0.0)</f>
        <v>0</v>
      </c>
      <c r="H17" s="34">
        <f>IFERROR(__xludf.DUMMYFUNCTION("IF(ISNA(sum(filter(
Master_Mapping_Sheet!$E$2:$E$3143, ISNUMBER(
Master_Mapping_Sheet!$E$2:$E$3143),
Master_Mapping_Sheet!$H$2:$H$3143=H$1,
Master_Mapping_Sheet!$L$2:$L$3143=$A17))/sum(filter(
Master_Mapping_Sheet!$E$2:$E$3143, ISNUMBER(
Master_Mapping_Sh"&amp;"eet!$E$2:$E$3143),
Master_Mapping_Sheet!$H$2:$H$3143=H$1))), 0, sum(filter(
Master_Mapping_Sheet!$E$2:$E$3143, ISNUMBER(
Master_Mapping_Sheet!$E$2:$E$3143),
Master_Mapping_Sheet!$H$2:$H$3143=H$1,
Master_Mapping_Sheet!$L$2:$L$3143=$A17))/sum(filter(
Master"&amp;"_Mapping_Sheet!$E$2:$E$3143, ISNUMBER(
Master_Mapping_Sheet!$E$2:$E$3143),
Master_Mapping_Sheet!$H$2:$H$3143=H$1)))"),0.0)</f>
        <v>0</v>
      </c>
      <c r="I17" s="34">
        <f>IFERROR(__xludf.DUMMYFUNCTION("IF(ISNA(sum(filter(
Master_Mapping_Sheet!$E$2:$E$3143, ISNUMBER(
Master_Mapping_Sheet!$E$2:$E$3143),
Master_Mapping_Sheet!$H$2:$H$3143=I$1,
Master_Mapping_Sheet!$L$2:$L$3143=$A17))/sum(filter(
Master_Mapping_Sheet!$E$2:$E$3143, ISNUMBER(
Master_Mapping_Sh"&amp;"eet!$E$2:$E$3143),
Master_Mapping_Sheet!$H$2:$H$3143=I$1))), 0, sum(filter(
Master_Mapping_Sheet!$E$2:$E$3143, ISNUMBER(
Master_Mapping_Sheet!$E$2:$E$3143),
Master_Mapping_Sheet!$H$2:$H$3143=I$1,
Master_Mapping_Sheet!$L$2:$L$3143=$A17))/sum(filter(
Master"&amp;"_Mapping_Sheet!$E$2:$E$3143, ISNUMBER(
Master_Mapping_Sheet!$E$2:$E$3143),
Master_Mapping_Sheet!$H$2:$H$3143=I$1)))"),0.0)</f>
        <v>0</v>
      </c>
      <c r="J17" s="34">
        <f>IFERROR(__xludf.DUMMYFUNCTION("IF(ISNA(sum(filter(
Master_Mapping_Sheet!$E$2:$E$3143, ISNUMBER(
Master_Mapping_Sheet!$E$2:$E$3143),
Master_Mapping_Sheet!$H$2:$H$3143=J$1,
Master_Mapping_Sheet!$L$2:$L$3143=$A17))/sum(filter(
Master_Mapping_Sheet!$E$2:$E$3143, ISNUMBER(
Master_Mapping_Sh"&amp;"eet!$E$2:$E$3143),
Master_Mapping_Sheet!$H$2:$H$3143=J$1))), 0, sum(filter(
Master_Mapping_Sheet!$E$2:$E$3143, ISNUMBER(
Master_Mapping_Sheet!$E$2:$E$3143),
Master_Mapping_Sheet!$H$2:$H$3143=J$1,
Master_Mapping_Sheet!$L$2:$L$3143=$A17))/sum(filter(
Master"&amp;"_Mapping_Sheet!$E$2:$E$3143, ISNUMBER(
Master_Mapping_Sheet!$E$2:$E$3143),
Master_Mapping_Sheet!$H$2:$H$3143=J$1)))"),0.0)</f>
        <v>0</v>
      </c>
      <c r="K17" s="34">
        <f>IFERROR(__xludf.DUMMYFUNCTION("IF(ISNA(sum(filter(
Master_Mapping_Sheet!$E$2:$E$3143, ISNUMBER(
Master_Mapping_Sheet!$E$2:$E$3143),
Master_Mapping_Sheet!$H$2:$H$3143=K$1,
Master_Mapping_Sheet!$L$2:$L$3143=$A17))/sum(filter(
Master_Mapping_Sheet!$E$2:$E$3143, ISNUMBER(
Master_Mapping_Sh"&amp;"eet!$E$2:$E$3143),
Master_Mapping_Sheet!$H$2:$H$3143=K$1))), 0, sum(filter(
Master_Mapping_Sheet!$E$2:$E$3143, ISNUMBER(
Master_Mapping_Sheet!$E$2:$E$3143),
Master_Mapping_Sheet!$H$2:$H$3143=K$1,
Master_Mapping_Sheet!$L$2:$L$3143=$A17))/sum(filter(
Master"&amp;"_Mapping_Sheet!$E$2:$E$3143, ISNUMBER(
Master_Mapping_Sheet!$E$2:$E$3143),
Master_Mapping_Sheet!$H$2:$H$3143=K$1)))"),0.0)</f>
        <v>0</v>
      </c>
      <c r="L17" s="34">
        <f>IFERROR(__xludf.DUMMYFUNCTION("IF(ISNA(sum(filter(
Master_Mapping_Sheet!$E$2:$E$3143, ISNUMBER(
Master_Mapping_Sheet!$E$2:$E$3143),
Master_Mapping_Sheet!$H$2:$H$3143=L$1,
Master_Mapping_Sheet!$L$2:$L$3143=$A17))/sum(filter(
Master_Mapping_Sheet!$E$2:$E$3143, ISNUMBER(
Master_Mapping_Sh"&amp;"eet!$E$2:$E$3143),
Master_Mapping_Sheet!$H$2:$H$3143=L$1))), 0, sum(filter(
Master_Mapping_Sheet!$E$2:$E$3143, ISNUMBER(
Master_Mapping_Sheet!$E$2:$E$3143),
Master_Mapping_Sheet!$H$2:$H$3143=L$1,
Master_Mapping_Sheet!$L$2:$L$3143=$A17))/sum(filter(
Master"&amp;"_Mapping_Sheet!$E$2:$E$3143, ISNUMBER(
Master_Mapping_Sheet!$E$2:$E$3143),
Master_Mapping_Sheet!$H$2:$H$3143=L$1)))"),0.0)</f>
        <v>0</v>
      </c>
      <c r="M17" s="34">
        <f>IFERROR(__xludf.DUMMYFUNCTION("IF(ISNA(sum(filter(
Master_Mapping_Sheet!$E$2:$E$3143, ISNUMBER(
Master_Mapping_Sheet!$E$2:$E$3143),
Master_Mapping_Sheet!$H$2:$H$3143=M$1,
Master_Mapping_Sheet!$L$2:$L$3143=$A17))/sum(filter(
Master_Mapping_Sheet!$E$2:$E$3143, ISNUMBER(
Master_Mapping_Sh"&amp;"eet!$E$2:$E$3143),
Master_Mapping_Sheet!$H$2:$H$3143=M$1))), 0, sum(filter(
Master_Mapping_Sheet!$E$2:$E$3143, ISNUMBER(
Master_Mapping_Sheet!$E$2:$E$3143),
Master_Mapping_Sheet!$H$2:$H$3143=M$1,
Master_Mapping_Sheet!$L$2:$L$3143=$A17))/sum(filter(
Master"&amp;"_Mapping_Sheet!$E$2:$E$3143, ISNUMBER(
Master_Mapping_Sheet!$E$2:$E$3143),
Master_Mapping_Sheet!$H$2:$H$3143=M$1)))"),0.0)</f>
        <v>0</v>
      </c>
      <c r="N17" s="34">
        <f>IFERROR(__xludf.DUMMYFUNCTION("IF(ISNA(sum(filter(
Master_Mapping_Sheet!$E$2:$E$3143, ISNUMBER(
Master_Mapping_Sheet!$E$2:$E$3143),
Master_Mapping_Sheet!$H$2:$H$3143=N$1,
Master_Mapping_Sheet!$L$2:$L$3143=$A17))/sum(filter(
Master_Mapping_Sheet!$E$2:$E$3143, ISNUMBER(
Master_Mapping_Sh"&amp;"eet!$E$2:$E$3143),
Master_Mapping_Sheet!$H$2:$H$3143=N$1))), 0, sum(filter(
Master_Mapping_Sheet!$E$2:$E$3143, ISNUMBER(
Master_Mapping_Sheet!$E$2:$E$3143),
Master_Mapping_Sheet!$H$2:$H$3143=N$1,
Master_Mapping_Sheet!$L$2:$L$3143=$A17))/sum(filter(
Master"&amp;"_Mapping_Sheet!$E$2:$E$3143, ISNUMBER(
Master_Mapping_Sheet!$E$2:$E$3143),
Master_Mapping_Sheet!$H$2:$H$3143=N$1)))"),0.0)</f>
        <v>0</v>
      </c>
      <c r="O17" s="34">
        <f>IFERROR(__xludf.DUMMYFUNCTION("IF(ISNA(sum(filter(
Master_Mapping_Sheet!$E$2:$E$3143, ISNUMBER(
Master_Mapping_Sheet!$E$2:$E$3143),
Master_Mapping_Sheet!$H$2:$H$3143=O$1,
Master_Mapping_Sheet!$L$2:$L$3143=$A17))/sum(filter(
Master_Mapping_Sheet!$E$2:$E$3143, ISNUMBER(
Master_Mapping_Sh"&amp;"eet!$E$2:$E$3143),
Master_Mapping_Sheet!$H$2:$H$3143=O$1))), 0, sum(filter(
Master_Mapping_Sheet!$E$2:$E$3143, ISNUMBER(
Master_Mapping_Sheet!$E$2:$E$3143),
Master_Mapping_Sheet!$H$2:$H$3143=O$1,
Master_Mapping_Sheet!$L$2:$L$3143=$A17))/sum(filter(
Master"&amp;"_Mapping_Sheet!$E$2:$E$3143, ISNUMBER(
Master_Mapping_Sheet!$E$2:$E$3143),
Master_Mapping_Sheet!$H$2:$H$3143=O$1)))"),0.0)</f>
        <v>0</v>
      </c>
      <c r="P17" s="34">
        <f>IFERROR(__xludf.DUMMYFUNCTION("IF(ISNA(sum(filter(
Master_Mapping_Sheet!$E$2:$E$3143, ISNUMBER(
Master_Mapping_Sheet!$E$2:$E$3143),
Master_Mapping_Sheet!$H$2:$H$3143=P$1,
Master_Mapping_Sheet!$L$2:$L$3143=$A17))/sum(filter(
Master_Mapping_Sheet!$E$2:$E$3143, ISNUMBER(
Master_Mapping_Sh"&amp;"eet!$E$2:$E$3143),
Master_Mapping_Sheet!$H$2:$H$3143=P$1))), 0, sum(filter(
Master_Mapping_Sheet!$E$2:$E$3143, ISNUMBER(
Master_Mapping_Sheet!$E$2:$E$3143),
Master_Mapping_Sheet!$H$2:$H$3143=P$1,
Master_Mapping_Sheet!$L$2:$L$3143=$A17))/sum(filter(
Master"&amp;"_Mapping_Sheet!$E$2:$E$3143, ISNUMBER(
Master_Mapping_Sheet!$E$2:$E$3143),
Master_Mapping_Sheet!$H$2:$H$3143=P$1)))"),0.0)</f>
        <v>0</v>
      </c>
      <c r="Q17" s="34">
        <f>IFERROR(__xludf.DUMMYFUNCTION("IF(ISNA(sum(filter(
Master_Mapping_Sheet!$E$2:$E$3143, ISNUMBER(
Master_Mapping_Sheet!$E$2:$E$3143),
Master_Mapping_Sheet!$H$2:$H$3143=Q$1,
Master_Mapping_Sheet!$L$2:$L$3143=$A17))/sum(filter(
Master_Mapping_Sheet!$E$2:$E$3143, ISNUMBER(
Master_Mapping_Sh"&amp;"eet!$E$2:$E$3143),
Master_Mapping_Sheet!$H$2:$H$3143=Q$1))), 0, sum(filter(
Master_Mapping_Sheet!$E$2:$E$3143, ISNUMBER(
Master_Mapping_Sheet!$E$2:$E$3143),
Master_Mapping_Sheet!$H$2:$H$3143=Q$1,
Master_Mapping_Sheet!$L$2:$L$3143=$A17))/sum(filter(
Master"&amp;"_Mapping_Sheet!$E$2:$E$3143, ISNUMBER(
Master_Mapping_Sheet!$E$2:$E$3143),
Master_Mapping_Sheet!$H$2:$H$3143=Q$1)))"),0.0)</f>
        <v>0</v>
      </c>
      <c r="R17" s="34">
        <f>IFERROR(__xludf.DUMMYFUNCTION("IF(ISNA(sum(filter(
Master_Mapping_Sheet!$E$2:$E$3143, ISNUMBER(
Master_Mapping_Sheet!$E$2:$E$3143),
Master_Mapping_Sheet!$H$2:$H$3143=R$1,
Master_Mapping_Sheet!$L$2:$L$3143=$A17))/sum(filter(
Master_Mapping_Sheet!$E$2:$E$3143, ISNUMBER(
Master_Mapping_Sh"&amp;"eet!$E$2:$E$3143),
Master_Mapping_Sheet!$H$2:$H$3143=R$1))), 0, sum(filter(
Master_Mapping_Sheet!$E$2:$E$3143, ISNUMBER(
Master_Mapping_Sheet!$E$2:$E$3143),
Master_Mapping_Sheet!$H$2:$H$3143=R$1,
Master_Mapping_Sheet!$L$2:$L$3143=$A17))/sum(filter(
Master"&amp;"_Mapping_Sheet!$E$2:$E$3143, ISNUMBER(
Master_Mapping_Sheet!$E$2:$E$3143),
Master_Mapping_Sheet!$H$2:$H$3143=R$1)))"),0.0)</f>
        <v>0</v>
      </c>
      <c r="S17" s="34">
        <f>IFERROR(__xludf.DUMMYFUNCTION("IF(ISNA(sum(filter(
Master_Mapping_Sheet!$E$2:$E$3143, ISNUMBER(
Master_Mapping_Sheet!$E$2:$E$3143),
Master_Mapping_Sheet!$H$2:$H$3143=S$1,
Master_Mapping_Sheet!$L$2:$L$3143=$A17))/sum(filter(
Master_Mapping_Sheet!$E$2:$E$3143, ISNUMBER(
Master_Mapping_Sh"&amp;"eet!$E$2:$E$3143),
Master_Mapping_Sheet!$H$2:$H$3143=S$1))), 0, sum(filter(
Master_Mapping_Sheet!$E$2:$E$3143, ISNUMBER(
Master_Mapping_Sheet!$E$2:$E$3143),
Master_Mapping_Sheet!$H$2:$H$3143=S$1,
Master_Mapping_Sheet!$L$2:$L$3143=$A17))/sum(filter(
Master"&amp;"_Mapping_Sheet!$E$2:$E$3143, ISNUMBER(
Master_Mapping_Sheet!$E$2:$E$3143),
Master_Mapping_Sheet!$H$2:$H$3143=S$1)))"),0.0)</f>
        <v>0</v>
      </c>
      <c r="T17" s="34">
        <f>IFERROR(__xludf.DUMMYFUNCTION("IF(ISNA(sum(filter(
Master_Mapping_Sheet!$E$2:$E$3143, ISNUMBER(
Master_Mapping_Sheet!$E$2:$E$3143),
Master_Mapping_Sheet!$H$2:$H$3143=T$1,
Master_Mapping_Sheet!$L$2:$L$3143=$A17))/sum(filter(
Master_Mapping_Sheet!$E$2:$E$3143, ISNUMBER(
Master_Mapping_Sh"&amp;"eet!$E$2:$E$3143),
Master_Mapping_Sheet!$H$2:$H$3143=T$1))), 0, sum(filter(
Master_Mapping_Sheet!$E$2:$E$3143, ISNUMBER(
Master_Mapping_Sheet!$E$2:$E$3143),
Master_Mapping_Sheet!$H$2:$H$3143=T$1,
Master_Mapping_Sheet!$L$2:$L$3143=$A17))/sum(filter(
Master"&amp;"_Mapping_Sheet!$E$2:$E$3143, ISNUMBER(
Master_Mapping_Sheet!$E$2:$E$3143),
Master_Mapping_Sheet!$H$2:$H$3143=T$1)))"),0.0)</f>
        <v>0</v>
      </c>
      <c r="U17" s="34">
        <f>IFERROR(__xludf.DUMMYFUNCTION("IF(ISNA(sum(filter(
Master_Mapping_Sheet!$E$2:$E$3143, ISNUMBER(
Master_Mapping_Sheet!$E$2:$E$3143),
Master_Mapping_Sheet!$H$2:$H$3143=U$1,
Master_Mapping_Sheet!$L$2:$L$3143=$A17))/sum(filter(
Master_Mapping_Sheet!$E$2:$E$3143, ISNUMBER(
Master_Mapping_Sh"&amp;"eet!$E$2:$E$3143),
Master_Mapping_Sheet!$H$2:$H$3143=U$1))), 0, sum(filter(
Master_Mapping_Sheet!$E$2:$E$3143, ISNUMBER(
Master_Mapping_Sheet!$E$2:$E$3143),
Master_Mapping_Sheet!$H$2:$H$3143=U$1,
Master_Mapping_Sheet!$L$2:$L$3143=$A17))/sum(filter(
Master"&amp;"_Mapping_Sheet!$E$2:$E$3143, ISNUMBER(
Master_Mapping_Sheet!$E$2:$E$3143),
Master_Mapping_Sheet!$H$2:$H$3143=U$1)))"),0.0)</f>
        <v>0</v>
      </c>
      <c r="V17" s="34">
        <f>IFERROR(__xludf.DUMMYFUNCTION("IF(ISNA(sum(filter(
Master_Mapping_Sheet!$E$2:$E$3143, ISNUMBER(
Master_Mapping_Sheet!$E$2:$E$3143),
Master_Mapping_Sheet!$H$2:$H$3143=V$1,
Master_Mapping_Sheet!$L$2:$L$3143=$A17))/sum(filter(
Master_Mapping_Sheet!$E$2:$E$3143, ISNUMBER(
Master_Mapping_Sh"&amp;"eet!$E$2:$E$3143),
Master_Mapping_Sheet!$H$2:$H$3143=V$1))), 0, sum(filter(
Master_Mapping_Sheet!$E$2:$E$3143, ISNUMBER(
Master_Mapping_Sheet!$E$2:$E$3143),
Master_Mapping_Sheet!$H$2:$H$3143=V$1,
Master_Mapping_Sheet!$L$2:$L$3143=$A17))/sum(filter(
Master"&amp;"_Mapping_Sheet!$E$2:$E$3143, ISNUMBER(
Master_Mapping_Sheet!$E$2:$E$3143),
Master_Mapping_Sheet!$H$2:$H$3143=V$1)))"),0.0)</f>
        <v>0</v>
      </c>
      <c r="W17" s="34">
        <f>IFERROR(__xludf.DUMMYFUNCTION("IF(ISNA(sum(filter(
Master_Mapping_Sheet!$E$2:$E$3143, ISNUMBER(
Master_Mapping_Sheet!$E$2:$E$3143),
Master_Mapping_Sheet!$H$2:$H$3143=W$1,
Master_Mapping_Sheet!$L$2:$L$3143=$A17))/sum(filter(
Master_Mapping_Sheet!$E$2:$E$3143, ISNUMBER(
Master_Mapping_Sh"&amp;"eet!$E$2:$E$3143),
Master_Mapping_Sheet!$H$2:$H$3143=W$1))), 0, sum(filter(
Master_Mapping_Sheet!$E$2:$E$3143, ISNUMBER(
Master_Mapping_Sheet!$E$2:$E$3143),
Master_Mapping_Sheet!$H$2:$H$3143=W$1,
Master_Mapping_Sheet!$L$2:$L$3143=$A17))/sum(filter(
Master"&amp;"_Mapping_Sheet!$E$2:$E$3143, ISNUMBER(
Master_Mapping_Sheet!$E$2:$E$3143),
Master_Mapping_Sheet!$H$2:$H$3143=W$1)))"),0.0)</f>
        <v>0</v>
      </c>
      <c r="X17" s="34">
        <f>IFERROR(__xludf.DUMMYFUNCTION("IF(ISNA(sum(filter(
Master_Mapping_Sheet!$E$2:$E$3143, ISNUMBER(
Master_Mapping_Sheet!$E$2:$E$3143),
Master_Mapping_Sheet!$H$2:$H$3143=X$1,
Master_Mapping_Sheet!$L$2:$L$3143=$A17))/sum(filter(
Master_Mapping_Sheet!$E$2:$E$3143, ISNUMBER(
Master_Mapping_Sh"&amp;"eet!$E$2:$E$3143),
Master_Mapping_Sheet!$H$2:$H$3143=X$1))), 0, sum(filter(
Master_Mapping_Sheet!$E$2:$E$3143, ISNUMBER(
Master_Mapping_Sheet!$E$2:$E$3143),
Master_Mapping_Sheet!$H$2:$H$3143=X$1,
Master_Mapping_Sheet!$L$2:$L$3143=$A17))/sum(filter(
Master"&amp;"_Mapping_Sheet!$E$2:$E$3143, ISNUMBER(
Master_Mapping_Sheet!$E$2:$E$3143),
Master_Mapping_Sheet!$H$2:$H$3143=X$1)))"),0.0)</f>
        <v>0</v>
      </c>
      <c r="Y17" s="34">
        <f>IFERROR(__xludf.DUMMYFUNCTION("IF(ISNA(sum(filter(
Master_Mapping_Sheet!$E$2:$E$3143, ISNUMBER(
Master_Mapping_Sheet!$E$2:$E$3143),
Master_Mapping_Sheet!$H$2:$H$3143=Y$1,
Master_Mapping_Sheet!$L$2:$L$3143=$A17))/sum(filter(
Master_Mapping_Sheet!$E$2:$E$3143, ISNUMBER(
Master_Mapping_Sh"&amp;"eet!$E$2:$E$3143),
Master_Mapping_Sheet!$H$2:$H$3143=Y$1))), 0, sum(filter(
Master_Mapping_Sheet!$E$2:$E$3143, ISNUMBER(
Master_Mapping_Sheet!$E$2:$E$3143),
Master_Mapping_Sheet!$H$2:$H$3143=Y$1,
Master_Mapping_Sheet!$L$2:$L$3143=$A17))/sum(filter(
Master"&amp;"_Mapping_Sheet!$E$2:$E$3143, ISNUMBER(
Master_Mapping_Sheet!$E$2:$E$3143),
Master_Mapping_Sheet!$H$2:$H$3143=Y$1)))"),0.0)</f>
        <v>0</v>
      </c>
      <c r="Z17" s="34">
        <f>IFERROR(__xludf.DUMMYFUNCTION("IF(ISNA(sum(filter(
Master_Mapping_Sheet!$E$2:$E$3143, ISNUMBER(
Master_Mapping_Sheet!$E$2:$E$3143),
Master_Mapping_Sheet!$H$2:$H$3143=Z$1,
Master_Mapping_Sheet!$L$2:$L$3143=$A17))/sum(filter(
Master_Mapping_Sheet!$E$2:$E$3143, ISNUMBER(
Master_Mapping_Sh"&amp;"eet!$E$2:$E$3143),
Master_Mapping_Sheet!$H$2:$H$3143=Z$1))), 0, sum(filter(
Master_Mapping_Sheet!$E$2:$E$3143, ISNUMBER(
Master_Mapping_Sheet!$E$2:$E$3143),
Master_Mapping_Sheet!$H$2:$H$3143=Z$1,
Master_Mapping_Sheet!$L$2:$L$3143=$A17))/sum(filter(
Master"&amp;"_Mapping_Sheet!$E$2:$E$3143, ISNUMBER(
Master_Mapping_Sheet!$E$2:$E$3143),
Master_Mapping_Sheet!$H$2:$H$3143=Z$1)))"),0.0)</f>
        <v>0</v>
      </c>
    </row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4.0"/>
    <col customWidth="1" min="2" max="6" width="12.63"/>
  </cols>
  <sheetData>
    <row r="1" ht="15.75" customHeight="1">
      <c r="A1" s="45" t="s">
        <v>4259</v>
      </c>
      <c r="B1" s="32" t="s">
        <v>4010</v>
      </c>
      <c r="C1" s="32" t="s">
        <v>3989</v>
      </c>
      <c r="D1" s="32" t="s">
        <v>3996</v>
      </c>
      <c r="E1" s="32" t="s">
        <v>3992</v>
      </c>
      <c r="F1" s="32" t="s">
        <v>4003</v>
      </c>
      <c r="G1" s="32" t="s">
        <v>3974</v>
      </c>
      <c r="H1" s="32" t="s">
        <v>3985</v>
      </c>
      <c r="I1" s="32" t="s">
        <v>4006</v>
      </c>
      <c r="J1" s="32" t="s">
        <v>4005</v>
      </c>
      <c r="K1" s="32" t="s">
        <v>3987</v>
      </c>
      <c r="L1" s="32" t="s">
        <v>3997</v>
      </c>
      <c r="M1" s="32" t="s">
        <v>3994</v>
      </c>
      <c r="N1" s="32" t="s">
        <v>3988</v>
      </c>
      <c r="O1" s="32" t="s">
        <v>4009</v>
      </c>
      <c r="P1" s="32" t="s">
        <v>3969</v>
      </c>
      <c r="Q1" s="32" t="s">
        <v>3970</v>
      </c>
      <c r="R1" s="32" t="s">
        <v>3976</v>
      </c>
      <c r="S1" s="32" t="s">
        <v>4001</v>
      </c>
      <c r="T1" s="32" t="s">
        <v>3999</v>
      </c>
      <c r="U1" s="32" t="s">
        <v>3972</v>
      </c>
      <c r="V1" s="32" t="s">
        <v>3979</v>
      </c>
      <c r="W1" s="32" t="s">
        <v>3981</v>
      </c>
      <c r="X1" s="32" t="s">
        <v>3980</v>
      </c>
      <c r="Y1" s="32" t="s">
        <v>3983</v>
      </c>
      <c r="Z1" s="32" t="s">
        <v>3990</v>
      </c>
    </row>
    <row r="2" ht="15.75" customHeight="1">
      <c r="A2" s="45" t="s">
        <v>4260</v>
      </c>
      <c r="B2" s="34">
        <f>IFERROR(__xludf.DUMMYFUNCTION("IF(ISNA(sum(filter(
Master_Mapping_Sheet!$E$2:$E$3143, ISNUMBER(
Master_Mapping_Sheet!$E$2:$E$3143),
Master_Mapping_Sheet!$H$2:$H$3143=B$1,
Master_Mapping_Sheet!$N$2:$N$3143=REGEXEXTRACT($A2,"".*_(.*)"")))/sum(filter(
Master_Mapping_Sheet!$E$2:$E$3143, IS"&amp;"NUMBER(
Master_Mapping_Sheet!$E$2:$E$3143),
Master_Mapping_Sheet!$H$2:$H$3143=B$1))), 0, sum(filter(
Master_Mapping_Sheet!$E$2:$E$3143, ISNUMBER(
Master_Mapping_Sheet!$E$2:$E$3143),
Master_Mapping_Sheet!$H$2:$H$3143=B$1,
Master_Mapping_Sheet!$N$2:$N$3143="&amp;"REGEXEXTRACT($A2,"".*_(.*)"")))/sum(filter(
Master_Mapping_Sheet!$E$2:$E$3143, ISNUMBER(
Master_Mapping_Sheet!$E$2:$E$3143),
Master_Mapping_Sheet!$H$2:$H$3143=B$1)))"),0.9408596086633045)</f>
        <v>0.9408596087</v>
      </c>
      <c r="C2" s="34">
        <f>IFERROR(__xludf.DUMMYFUNCTION("IF(ISNA(sum(filter(
Master_Mapping_Sheet!$E$2:$E$3143, ISNUMBER(
Master_Mapping_Sheet!$E$2:$E$3143),
Master_Mapping_Sheet!$H$2:$H$3143=C$1,
Master_Mapping_Sheet!$N$2:$N$3143=REGEXEXTRACT($A2,"".*_(.*)"")))/sum(filter(
Master_Mapping_Sheet!$E$2:$E$3143, IS"&amp;"NUMBER(
Master_Mapping_Sheet!$E$2:$E$3143),
Master_Mapping_Sheet!$H$2:$H$3143=C$1))), 0, sum(filter(
Master_Mapping_Sheet!$E$2:$E$3143, ISNUMBER(
Master_Mapping_Sheet!$E$2:$E$3143),
Master_Mapping_Sheet!$H$2:$H$3143=C$1,
Master_Mapping_Sheet!$N$2:$N$3143="&amp;"REGEXEXTRACT($A2,"".*_(.*)"")))/sum(filter(
Master_Mapping_Sheet!$E$2:$E$3143, ISNUMBER(
Master_Mapping_Sheet!$E$2:$E$3143),
Master_Mapping_Sheet!$H$2:$H$3143=C$1)))"),1.0)</f>
        <v>1</v>
      </c>
      <c r="D2" s="34">
        <f>IFERROR(__xludf.DUMMYFUNCTION("IF(ISNA(sum(filter(
Master_Mapping_Sheet!$E$2:$E$3143, ISNUMBER(
Master_Mapping_Sheet!$E$2:$E$3143),
Master_Mapping_Sheet!$H$2:$H$3143=D$1,
Master_Mapping_Sheet!$N$2:$N$3143=REGEXEXTRACT($A2,"".*_(.*)"")))/sum(filter(
Master_Mapping_Sheet!$E$2:$E$3143, IS"&amp;"NUMBER(
Master_Mapping_Sheet!$E$2:$E$3143),
Master_Mapping_Sheet!$H$2:$H$3143=D$1))), 0, sum(filter(
Master_Mapping_Sheet!$E$2:$E$3143, ISNUMBER(
Master_Mapping_Sheet!$E$2:$E$3143),
Master_Mapping_Sheet!$H$2:$H$3143=D$1,
Master_Mapping_Sheet!$N$2:$N$3143="&amp;"REGEXEXTRACT($A2,"".*_(.*)"")))/sum(filter(
Master_Mapping_Sheet!$E$2:$E$3143, ISNUMBER(
Master_Mapping_Sheet!$E$2:$E$3143),
Master_Mapping_Sheet!$H$2:$H$3143=D$1)))"),0.0)</f>
        <v>0</v>
      </c>
      <c r="E2" s="34">
        <f>IFERROR(__xludf.DUMMYFUNCTION("IF(ISNA(sum(filter(
Master_Mapping_Sheet!$E$2:$E$3143, ISNUMBER(
Master_Mapping_Sheet!$E$2:$E$3143),
Master_Mapping_Sheet!$H$2:$H$3143=E$1,
Master_Mapping_Sheet!$N$2:$N$3143=REGEXEXTRACT($A2,"".*_(.*)"")))/sum(filter(
Master_Mapping_Sheet!$E$2:$E$3143, IS"&amp;"NUMBER(
Master_Mapping_Sheet!$E$2:$E$3143),
Master_Mapping_Sheet!$H$2:$H$3143=E$1))), 0, sum(filter(
Master_Mapping_Sheet!$E$2:$E$3143, ISNUMBER(
Master_Mapping_Sheet!$E$2:$E$3143),
Master_Mapping_Sheet!$H$2:$H$3143=E$1,
Master_Mapping_Sheet!$N$2:$N$3143="&amp;"REGEXEXTRACT($A2,"".*_(.*)"")))/sum(filter(
Master_Mapping_Sheet!$E$2:$E$3143, ISNUMBER(
Master_Mapping_Sheet!$E$2:$E$3143),
Master_Mapping_Sheet!$H$2:$H$3143=E$1)))"),0.0)</f>
        <v>0</v>
      </c>
      <c r="F2" s="34">
        <f>IFERROR(__xludf.DUMMYFUNCTION("IF(ISNA(sum(filter(
Master_Mapping_Sheet!$E$2:$E$3143, ISNUMBER(
Master_Mapping_Sheet!$E$2:$E$3143),
Master_Mapping_Sheet!$H$2:$H$3143=F$1,
Master_Mapping_Sheet!$N$2:$N$3143=REGEXEXTRACT($A2,"".*_(.*)"")))/sum(filter(
Master_Mapping_Sheet!$E$2:$E$3143, IS"&amp;"NUMBER(
Master_Mapping_Sheet!$E$2:$E$3143),
Master_Mapping_Sheet!$H$2:$H$3143=F$1))), 0, sum(filter(
Master_Mapping_Sheet!$E$2:$E$3143, ISNUMBER(
Master_Mapping_Sheet!$E$2:$E$3143),
Master_Mapping_Sheet!$H$2:$H$3143=F$1,
Master_Mapping_Sheet!$N$2:$N$3143="&amp;"REGEXEXTRACT($A2,"".*_(.*)"")))/sum(filter(
Master_Mapping_Sheet!$E$2:$E$3143, ISNUMBER(
Master_Mapping_Sheet!$E$2:$E$3143),
Master_Mapping_Sheet!$H$2:$H$3143=F$1)))"),0.0)</f>
        <v>0</v>
      </c>
      <c r="G2" s="34">
        <f>IFERROR(__xludf.DUMMYFUNCTION("IF(ISNA(sum(filter(
Master_Mapping_Sheet!$E$2:$E$3143, ISNUMBER(
Master_Mapping_Sheet!$E$2:$E$3143),
Master_Mapping_Sheet!$H$2:$H$3143=G$1,
Master_Mapping_Sheet!$N$2:$N$3143=REGEXEXTRACT($A2,"".*_(.*)"")))/sum(filter(
Master_Mapping_Sheet!$E$2:$E$3143, IS"&amp;"NUMBER(
Master_Mapping_Sheet!$E$2:$E$3143),
Master_Mapping_Sheet!$H$2:$H$3143=G$1))), 0, sum(filter(
Master_Mapping_Sheet!$E$2:$E$3143, ISNUMBER(
Master_Mapping_Sheet!$E$2:$E$3143),
Master_Mapping_Sheet!$H$2:$H$3143=G$1,
Master_Mapping_Sheet!$N$2:$N$3143="&amp;"REGEXEXTRACT($A2,"".*_(.*)"")))/sum(filter(
Master_Mapping_Sheet!$E$2:$E$3143, ISNUMBER(
Master_Mapping_Sheet!$E$2:$E$3143),
Master_Mapping_Sheet!$H$2:$H$3143=G$1)))"),0.6931403871662127)</f>
        <v>0.6931403872</v>
      </c>
      <c r="H2" s="34">
        <f>IFERROR(__xludf.DUMMYFUNCTION("IF(ISNA(sum(filter(
Master_Mapping_Sheet!$E$2:$E$3143, ISNUMBER(
Master_Mapping_Sheet!$E$2:$E$3143),
Master_Mapping_Sheet!$H$2:$H$3143=H$1,
Master_Mapping_Sheet!$N$2:$N$3143=REGEXEXTRACT($A2,"".*_(.*)"")))/sum(filter(
Master_Mapping_Sheet!$E$2:$E$3143, IS"&amp;"NUMBER(
Master_Mapping_Sheet!$E$2:$E$3143),
Master_Mapping_Sheet!$H$2:$H$3143=H$1))), 0, sum(filter(
Master_Mapping_Sheet!$E$2:$E$3143, ISNUMBER(
Master_Mapping_Sheet!$E$2:$E$3143),
Master_Mapping_Sheet!$H$2:$H$3143=H$1,
Master_Mapping_Sheet!$N$2:$N$3143="&amp;"REGEXEXTRACT($A2,"".*_(.*)"")))/sum(filter(
Master_Mapping_Sheet!$E$2:$E$3143, ISNUMBER(
Master_Mapping_Sheet!$E$2:$E$3143),
Master_Mapping_Sheet!$H$2:$H$3143=H$1)))"),0.0)</f>
        <v>0</v>
      </c>
      <c r="I2" s="34">
        <f>IFERROR(__xludf.DUMMYFUNCTION("IF(ISNA(sum(filter(
Master_Mapping_Sheet!$E$2:$E$3143, ISNUMBER(
Master_Mapping_Sheet!$E$2:$E$3143),
Master_Mapping_Sheet!$H$2:$H$3143=I$1,
Master_Mapping_Sheet!$N$2:$N$3143=REGEXEXTRACT($A2,"".*_(.*)"")))/sum(filter(
Master_Mapping_Sheet!$E$2:$E$3143, IS"&amp;"NUMBER(
Master_Mapping_Sheet!$E$2:$E$3143),
Master_Mapping_Sheet!$H$2:$H$3143=I$1))), 0, sum(filter(
Master_Mapping_Sheet!$E$2:$E$3143, ISNUMBER(
Master_Mapping_Sheet!$E$2:$E$3143),
Master_Mapping_Sheet!$H$2:$H$3143=I$1,
Master_Mapping_Sheet!$N$2:$N$3143="&amp;"REGEXEXTRACT($A2,"".*_(.*)"")))/sum(filter(
Master_Mapping_Sheet!$E$2:$E$3143, ISNUMBER(
Master_Mapping_Sheet!$E$2:$E$3143),
Master_Mapping_Sheet!$H$2:$H$3143=I$1)))"),0.0)</f>
        <v>0</v>
      </c>
      <c r="J2" s="34">
        <f>IFERROR(__xludf.DUMMYFUNCTION("IF(ISNA(sum(filter(
Master_Mapping_Sheet!$E$2:$E$3143, ISNUMBER(
Master_Mapping_Sheet!$E$2:$E$3143),
Master_Mapping_Sheet!$H$2:$H$3143=J$1,
Master_Mapping_Sheet!$N$2:$N$3143=REGEXEXTRACT($A2,"".*_(.*)"")))/sum(filter(
Master_Mapping_Sheet!$E$2:$E$3143, IS"&amp;"NUMBER(
Master_Mapping_Sheet!$E$2:$E$3143),
Master_Mapping_Sheet!$H$2:$H$3143=J$1))), 0, sum(filter(
Master_Mapping_Sheet!$E$2:$E$3143, ISNUMBER(
Master_Mapping_Sheet!$E$2:$E$3143),
Master_Mapping_Sheet!$H$2:$H$3143=J$1,
Master_Mapping_Sheet!$N$2:$N$3143="&amp;"REGEXEXTRACT($A2,"".*_(.*)"")))/sum(filter(
Master_Mapping_Sheet!$E$2:$E$3143, ISNUMBER(
Master_Mapping_Sheet!$E$2:$E$3143),
Master_Mapping_Sheet!$H$2:$H$3143=J$1)))"),0.0)</f>
        <v>0</v>
      </c>
      <c r="K2" s="34">
        <f>IFERROR(__xludf.DUMMYFUNCTION("IF(ISNA(sum(filter(
Master_Mapping_Sheet!$E$2:$E$3143, ISNUMBER(
Master_Mapping_Sheet!$E$2:$E$3143),
Master_Mapping_Sheet!$H$2:$H$3143=K$1,
Master_Mapping_Sheet!$N$2:$N$3143=REGEXEXTRACT($A2,"".*_(.*)"")))/sum(filter(
Master_Mapping_Sheet!$E$2:$E$3143, IS"&amp;"NUMBER(
Master_Mapping_Sheet!$E$2:$E$3143),
Master_Mapping_Sheet!$H$2:$H$3143=K$1))), 0, sum(filter(
Master_Mapping_Sheet!$E$2:$E$3143, ISNUMBER(
Master_Mapping_Sheet!$E$2:$E$3143),
Master_Mapping_Sheet!$H$2:$H$3143=K$1,
Master_Mapping_Sheet!$N$2:$N$3143="&amp;"REGEXEXTRACT($A2,"".*_(.*)"")))/sum(filter(
Master_Mapping_Sheet!$E$2:$E$3143, ISNUMBER(
Master_Mapping_Sheet!$E$2:$E$3143),
Master_Mapping_Sheet!$H$2:$H$3143=K$1)))"),0.0)</f>
        <v>0</v>
      </c>
      <c r="L2" s="34">
        <f>IFERROR(__xludf.DUMMYFUNCTION("IF(ISNA(sum(filter(
Master_Mapping_Sheet!$E$2:$E$3143, ISNUMBER(
Master_Mapping_Sheet!$E$2:$E$3143),
Master_Mapping_Sheet!$H$2:$H$3143=L$1,
Master_Mapping_Sheet!$N$2:$N$3143=REGEXEXTRACT($A2,"".*_(.*)"")))/sum(filter(
Master_Mapping_Sheet!$E$2:$E$3143, IS"&amp;"NUMBER(
Master_Mapping_Sheet!$E$2:$E$3143),
Master_Mapping_Sheet!$H$2:$H$3143=L$1))), 0, sum(filter(
Master_Mapping_Sheet!$E$2:$E$3143, ISNUMBER(
Master_Mapping_Sheet!$E$2:$E$3143),
Master_Mapping_Sheet!$H$2:$H$3143=L$1,
Master_Mapping_Sheet!$N$2:$N$3143="&amp;"REGEXEXTRACT($A2,"".*_(.*)"")))/sum(filter(
Master_Mapping_Sheet!$E$2:$E$3143, ISNUMBER(
Master_Mapping_Sheet!$E$2:$E$3143),
Master_Mapping_Sheet!$H$2:$H$3143=L$1)))"),0.0)</f>
        <v>0</v>
      </c>
      <c r="M2" s="34">
        <f>IFERROR(__xludf.DUMMYFUNCTION("IF(ISNA(sum(filter(
Master_Mapping_Sheet!$E$2:$E$3143, ISNUMBER(
Master_Mapping_Sheet!$E$2:$E$3143),
Master_Mapping_Sheet!$H$2:$H$3143=M$1,
Master_Mapping_Sheet!$N$2:$N$3143=REGEXEXTRACT($A2,"".*_(.*)"")))/sum(filter(
Master_Mapping_Sheet!$E$2:$E$3143, IS"&amp;"NUMBER(
Master_Mapping_Sheet!$E$2:$E$3143),
Master_Mapping_Sheet!$H$2:$H$3143=M$1))), 0, sum(filter(
Master_Mapping_Sheet!$E$2:$E$3143, ISNUMBER(
Master_Mapping_Sheet!$E$2:$E$3143),
Master_Mapping_Sheet!$H$2:$H$3143=M$1,
Master_Mapping_Sheet!$N$2:$N$3143="&amp;"REGEXEXTRACT($A2,"".*_(.*)"")))/sum(filter(
Master_Mapping_Sheet!$E$2:$E$3143, ISNUMBER(
Master_Mapping_Sheet!$E$2:$E$3143),
Master_Mapping_Sheet!$H$2:$H$3143=M$1)))"),0.0)</f>
        <v>0</v>
      </c>
      <c r="N2" s="34">
        <f>IFERROR(__xludf.DUMMYFUNCTION("IF(ISNA(sum(filter(
Master_Mapping_Sheet!$E$2:$E$3143, ISNUMBER(
Master_Mapping_Sheet!$E$2:$E$3143),
Master_Mapping_Sheet!$H$2:$H$3143=N$1,
Master_Mapping_Sheet!$N$2:$N$3143=REGEXEXTRACT($A2,"".*_(.*)"")))/sum(filter(
Master_Mapping_Sheet!$E$2:$E$3143, IS"&amp;"NUMBER(
Master_Mapping_Sheet!$E$2:$E$3143),
Master_Mapping_Sheet!$H$2:$H$3143=N$1))), 0, sum(filter(
Master_Mapping_Sheet!$E$2:$E$3143, ISNUMBER(
Master_Mapping_Sheet!$E$2:$E$3143),
Master_Mapping_Sheet!$H$2:$H$3143=N$1,
Master_Mapping_Sheet!$N$2:$N$3143="&amp;"REGEXEXTRACT($A2,"".*_(.*)"")))/sum(filter(
Master_Mapping_Sheet!$E$2:$E$3143, ISNUMBER(
Master_Mapping_Sheet!$E$2:$E$3143),
Master_Mapping_Sheet!$H$2:$H$3143=N$1)))"),0.0)</f>
        <v>0</v>
      </c>
      <c r="O2" s="34">
        <f>IFERROR(__xludf.DUMMYFUNCTION("IF(ISNA(sum(filter(
Master_Mapping_Sheet!$E$2:$E$3143, ISNUMBER(
Master_Mapping_Sheet!$E$2:$E$3143),
Master_Mapping_Sheet!$H$2:$H$3143=O$1,
Master_Mapping_Sheet!$N$2:$N$3143=REGEXEXTRACT($A2,"".*_(.*)"")))/sum(filter(
Master_Mapping_Sheet!$E$2:$E$3143, IS"&amp;"NUMBER(
Master_Mapping_Sheet!$E$2:$E$3143),
Master_Mapping_Sheet!$H$2:$H$3143=O$1))), 0, sum(filter(
Master_Mapping_Sheet!$E$2:$E$3143, ISNUMBER(
Master_Mapping_Sheet!$E$2:$E$3143),
Master_Mapping_Sheet!$H$2:$H$3143=O$1,
Master_Mapping_Sheet!$N$2:$N$3143="&amp;"REGEXEXTRACT($A2,"".*_(.*)"")))/sum(filter(
Master_Mapping_Sheet!$E$2:$E$3143, ISNUMBER(
Master_Mapping_Sheet!$E$2:$E$3143),
Master_Mapping_Sheet!$H$2:$H$3143=O$1)))"),0.15844633009585102)</f>
        <v>0.1584463301</v>
      </c>
      <c r="P2" s="34">
        <f>IFERROR(__xludf.DUMMYFUNCTION("IF(ISNA(sum(filter(
Master_Mapping_Sheet!$E$2:$E$3143, ISNUMBER(
Master_Mapping_Sheet!$E$2:$E$3143),
Master_Mapping_Sheet!$H$2:$H$3143=P$1,
Master_Mapping_Sheet!$N$2:$N$3143=REGEXEXTRACT($A2,"".*_(.*)"")))/sum(filter(
Master_Mapping_Sheet!$E$2:$E$3143, IS"&amp;"NUMBER(
Master_Mapping_Sheet!$E$2:$E$3143),
Master_Mapping_Sheet!$H$2:$H$3143=P$1))), 0, sum(filter(
Master_Mapping_Sheet!$E$2:$E$3143, ISNUMBER(
Master_Mapping_Sheet!$E$2:$E$3143),
Master_Mapping_Sheet!$H$2:$H$3143=P$1,
Master_Mapping_Sheet!$N$2:$N$3143="&amp;"REGEXEXTRACT($A2,"".*_(.*)"")))/sum(filter(
Master_Mapping_Sheet!$E$2:$E$3143, ISNUMBER(
Master_Mapping_Sheet!$E$2:$E$3143),
Master_Mapping_Sheet!$H$2:$H$3143=P$1)))"),0.3368923070114414)</f>
        <v>0.336892307</v>
      </c>
      <c r="Q2" s="34">
        <f>IFERROR(__xludf.DUMMYFUNCTION("IF(ISNA(sum(filter(
Master_Mapping_Sheet!$E$2:$E$3143, ISNUMBER(
Master_Mapping_Sheet!$E$2:$E$3143),
Master_Mapping_Sheet!$H$2:$H$3143=Q$1,
Master_Mapping_Sheet!$N$2:$N$3143=REGEXEXTRACT($A2,"".*_(.*)"")))/sum(filter(
Master_Mapping_Sheet!$E$2:$E$3143, IS"&amp;"NUMBER(
Master_Mapping_Sheet!$E$2:$E$3143),
Master_Mapping_Sheet!$H$2:$H$3143=Q$1))), 0, sum(filter(
Master_Mapping_Sheet!$E$2:$E$3143, ISNUMBER(
Master_Mapping_Sheet!$E$2:$E$3143),
Master_Mapping_Sheet!$H$2:$H$3143=Q$1,
Master_Mapping_Sheet!$N$2:$N$3143="&amp;"REGEXEXTRACT($A2,"".*_(.*)"")))/sum(filter(
Master_Mapping_Sheet!$E$2:$E$3143, ISNUMBER(
Master_Mapping_Sheet!$E$2:$E$3143),
Master_Mapping_Sheet!$H$2:$H$3143=Q$1)))"),0.0)</f>
        <v>0</v>
      </c>
      <c r="R2" s="34">
        <f>IFERROR(__xludf.DUMMYFUNCTION("IF(ISNA(sum(filter(
Master_Mapping_Sheet!$E$2:$E$3143, ISNUMBER(
Master_Mapping_Sheet!$E$2:$E$3143),
Master_Mapping_Sheet!$H$2:$H$3143=R$1,
Master_Mapping_Sheet!$N$2:$N$3143=REGEXEXTRACT($A2,"".*_(.*)"")))/sum(filter(
Master_Mapping_Sheet!$E$2:$E$3143, IS"&amp;"NUMBER(
Master_Mapping_Sheet!$E$2:$E$3143),
Master_Mapping_Sheet!$H$2:$H$3143=R$1))), 0, sum(filter(
Master_Mapping_Sheet!$E$2:$E$3143, ISNUMBER(
Master_Mapping_Sheet!$E$2:$E$3143),
Master_Mapping_Sheet!$H$2:$H$3143=R$1,
Master_Mapping_Sheet!$N$2:$N$3143="&amp;"REGEXEXTRACT($A2,"".*_(.*)"")))/sum(filter(
Master_Mapping_Sheet!$E$2:$E$3143, ISNUMBER(
Master_Mapping_Sheet!$E$2:$E$3143),
Master_Mapping_Sheet!$H$2:$H$3143=R$1)))"),0.1958211396360875)</f>
        <v>0.1958211396</v>
      </c>
      <c r="S2" s="34">
        <f>IFERROR(__xludf.DUMMYFUNCTION("IF(ISNA(sum(filter(
Master_Mapping_Sheet!$E$2:$E$3143, ISNUMBER(
Master_Mapping_Sheet!$E$2:$E$3143),
Master_Mapping_Sheet!$H$2:$H$3143=S$1,
Master_Mapping_Sheet!$N$2:$N$3143=REGEXEXTRACT($A2,"".*_(.*)"")))/sum(filter(
Master_Mapping_Sheet!$E$2:$E$3143, IS"&amp;"NUMBER(
Master_Mapping_Sheet!$E$2:$E$3143),
Master_Mapping_Sheet!$H$2:$H$3143=S$1))), 0, sum(filter(
Master_Mapping_Sheet!$E$2:$E$3143, ISNUMBER(
Master_Mapping_Sheet!$E$2:$E$3143),
Master_Mapping_Sheet!$H$2:$H$3143=S$1,
Master_Mapping_Sheet!$N$2:$N$3143="&amp;"REGEXEXTRACT($A2,"".*_(.*)"")))/sum(filter(
Master_Mapping_Sheet!$E$2:$E$3143, ISNUMBER(
Master_Mapping_Sheet!$E$2:$E$3143),
Master_Mapping_Sheet!$H$2:$H$3143=S$1)))"),0.0)</f>
        <v>0</v>
      </c>
      <c r="T2" s="34">
        <f>IFERROR(__xludf.DUMMYFUNCTION("IF(ISNA(sum(filter(
Master_Mapping_Sheet!$E$2:$E$3143, ISNUMBER(
Master_Mapping_Sheet!$E$2:$E$3143),
Master_Mapping_Sheet!$H$2:$H$3143=T$1,
Master_Mapping_Sheet!$N$2:$N$3143=REGEXEXTRACT($A2,"".*_(.*)"")))/sum(filter(
Master_Mapping_Sheet!$E$2:$E$3143, IS"&amp;"NUMBER(
Master_Mapping_Sheet!$E$2:$E$3143),
Master_Mapping_Sheet!$H$2:$H$3143=T$1))), 0, sum(filter(
Master_Mapping_Sheet!$E$2:$E$3143, ISNUMBER(
Master_Mapping_Sheet!$E$2:$E$3143),
Master_Mapping_Sheet!$H$2:$H$3143=T$1,
Master_Mapping_Sheet!$N$2:$N$3143="&amp;"REGEXEXTRACT($A2,"".*_(.*)"")))/sum(filter(
Master_Mapping_Sheet!$E$2:$E$3143, ISNUMBER(
Master_Mapping_Sheet!$E$2:$E$3143),
Master_Mapping_Sheet!$H$2:$H$3143=T$1)))"),0.0)</f>
        <v>0</v>
      </c>
      <c r="U2" s="34">
        <f>IFERROR(__xludf.DUMMYFUNCTION("IF(ISNA(sum(filter(
Master_Mapping_Sheet!$E$2:$E$3143, ISNUMBER(
Master_Mapping_Sheet!$E$2:$E$3143),
Master_Mapping_Sheet!$H$2:$H$3143=U$1,
Master_Mapping_Sheet!$N$2:$N$3143=REGEXEXTRACT($A2,"".*_(.*)"")))/sum(filter(
Master_Mapping_Sheet!$E$2:$E$3143, IS"&amp;"NUMBER(
Master_Mapping_Sheet!$E$2:$E$3143),
Master_Mapping_Sheet!$H$2:$H$3143=U$1))), 0, sum(filter(
Master_Mapping_Sheet!$E$2:$E$3143, ISNUMBER(
Master_Mapping_Sheet!$E$2:$E$3143),
Master_Mapping_Sheet!$H$2:$H$3143=U$1,
Master_Mapping_Sheet!$N$2:$N$3143="&amp;"REGEXEXTRACT($A2,"".*_(.*)"")))/sum(filter(
Master_Mapping_Sheet!$E$2:$E$3143, ISNUMBER(
Master_Mapping_Sheet!$E$2:$E$3143),
Master_Mapping_Sheet!$H$2:$H$3143=U$1)))"),0.0)</f>
        <v>0</v>
      </c>
      <c r="V2" s="34">
        <f>IFERROR(__xludf.DUMMYFUNCTION("IF(ISNA(sum(filter(
Master_Mapping_Sheet!$E$2:$E$3143, ISNUMBER(
Master_Mapping_Sheet!$E$2:$E$3143),
Master_Mapping_Sheet!$H$2:$H$3143=V$1,
Master_Mapping_Sheet!$N$2:$N$3143=REGEXEXTRACT($A2,"".*_(.*)"")))/sum(filter(
Master_Mapping_Sheet!$E$2:$E$3143, IS"&amp;"NUMBER(
Master_Mapping_Sheet!$E$2:$E$3143),
Master_Mapping_Sheet!$H$2:$H$3143=V$1))), 0, sum(filter(
Master_Mapping_Sheet!$E$2:$E$3143, ISNUMBER(
Master_Mapping_Sheet!$E$2:$E$3143),
Master_Mapping_Sheet!$H$2:$H$3143=V$1,
Master_Mapping_Sheet!$N$2:$N$3143="&amp;"REGEXEXTRACT($A2,"".*_(.*)"")))/sum(filter(
Master_Mapping_Sheet!$E$2:$E$3143, ISNUMBER(
Master_Mapping_Sheet!$E$2:$E$3143),
Master_Mapping_Sheet!$H$2:$H$3143=V$1)))"),0.0)</f>
        <v>0</v>
      </c>
      <c r="W2" s="34">
        <f>IFERROR(__xludf.DUMMYFUNCTION("IF(ISNA(sum(filter(
Master_Mapping_Sheet!$E$2:$E$3143, ISNUMBER(
Master_Mapping_Sheet!$E$2:$E$3143),
Master_Mapping_Sheet!$H$2:$H$3143=W$1,
Master_Mapping_Sheet!$N$2:$N$3143=REGEXEXTRACT($A2,"".*_(.*)"")))/sum(filter(
Master_Mapping_Sheet!$E$2:$E$3143, IS"&amp;"NUMBER(
Master_Mapping_Sheet!$E$2:$E$3143),
Master_Mapping_Sheet!$H$2:$H$3143=W$1))), 0, sum(filter(
Master_Mapping_Sheet!$E$2:$E$3143, ISNUMBER(
Master_Mapping_Sheet!$E$2:$E$3143),
Master_Mapping_Sheet!$H$2:$H$3143=W$1,
Master_Mapping_Sheet!$N$2:$N$3143="&amp;"REGEXEXTRACT($A2,"".*_(.*)"")))/sum(filter(
Master_Mapping_Sheet!$E$2:$E$3143, ISNUMBER(
Master_Mapping_Sheet!$E$2:$E$3143),
Master_Mapping_Sheet!$H$2:$H$3143=W$1)))"),0.0)</f>
        <v>0</v>
      </c>
      <c r="X2" s="34">
        <f>IFERROR(__xludf.DUMMYFUNCTION("IF(ISNA(sum(filter(
Master_Mapping_Sheet!$E$2:$E$3143, ISNUMBER(
Master_Mapping_Sheet!$E$2:$E$3143),
Master_Mapping_Sheet!$H$2:$H$3143=X$1,
Master_Mapping_Sheet!$N$2:$N$3143=REGEXEXTRACT($A2,"".*_(.*)"")))/sum(filter(
Master_Mapping_Sheet!$E$2:$E$3143, IS"&amp;"NUMBER(
Master_Mapping_Sheet!$E$2:$E$3143),
Master_Mapping_Sheet!$H$2:$H$3143=X$1))), 0, sum(filter(
Master_Mapping_Sheet!$E$2:$E$3143, ISNUMBER(
Master_Mapping_Sheet!$E$2:$E$3143),
Master_Mapping_Sheet!$H$2:$H$3143=X$1,
Master_Mapping_Sheet!$N$2:$N$3143="&amp;"REGEXEXTRACT($A2,"".*_(.*)"")))/sum(filter(
Master_Mapping_Sheet!$E$2:$E$3143, ISNUMBER(
Master_Mapping_Sheet!$E$2:$E$3143),
Master_Mapping_Sheet!$H$2:$H$3143=X$1)))"),0.0)</f>
        <v>0</v>
      </c>
      <c r="Y2" s="34">
        <f>IFERROR(__xludf.DUMMYFUNCTION("IF(ISNA(sum(filter(
Master_Mapping_Sheet!$E$2:$E$3143, ISNUMBER(
Master_Mapping_Sheet!$E$2:$E$3143),
Master_Mapping_Sheet!$H$2:$H$3143=Y$1,
Master_Mapping_Sheet!$N$2:$N$3143=REGEXEXTRACT($A2,"".*_(.*)"")))/sum(filter(
Master_Mapping_Sheet!$E$2:$E$3143, IS"&amp;"NUMBER(
Master_Mapping_Sheet!$E$2:$E$3143),
Master_Mapping_Sheet!$H$2:$H$3143=Y$1))), 0, sum(filter(
Master_Mapping_Sheet!$E$2:$E$3143, ISNUMBER(
Master_Mapping_Sheet!$E$2:$E$3143),
Master_Mapping_Sheet!$H$2:$H$3143=Y$1,
Master_Mapping_Sheet!$N$2:$N$3143="&amp;"REGEXEXTRACT($A2,"".*_(.*)"")))/sum(filter(
Master_Mapping_Sheet!$E$2:$E$3143, ISNUMBER(
Master_Mapping_Sheet!$E$2:$E$3143),
Master_Mapping_Sheet!$H$2:$H$3143=Y$1)))"),0.0)</f>
        <v>0</v>
      </c>
      <c r="Z2" s="34">
        <f>IFERROR(__xludf.DUMMYFUNCTION("IF(ISNA(sum(filter(
Master_Mapping_Sheet!$E$2:$E$3143, ISNUMBER(
Master_Mapping_Sheet!$E$2:$E$3143),
Master_Mapping_Sheet!$H$2:$H$3143=Z$1,
Master_Mapping_Sheet!$N$2:$N$3143=REGEXEXTRACT($A2,"".*_(.*)"")))/sum(filter(
Master_Mapping_Sheet!$E$2:$E$3143, IS"&amp;"NUMBER(
Master_Mapping_Sheet!$E$2:$E$3143),
Master_Mapping_Sheet!$H$2:$H$3143=Z$1))), 0, sum(filter(
Master_Mapping_Sheet!$E$2:$E$3143, ISNUMBER(
Master_Mapping_Sheet!$E$2:$E$3143),
Master_Mapping_Sheet!$H$2:$H$3143=Z$1,
Master_Mapping_Sheet!$N$2:$N$3143="&amp;"REGEXEXTRACT($A2,"".*_(.*)"")))/sum(filter(
Master_Mapping_Sheet!$E$2:$E$3143, ISNUMBER(
Master_Mapping_Sheet!$E$2:$E$3143),
Master_Mapping_Sheet!$H$2:$H$3143=Z$1)))"),0.0)</f>
        <v>0</v>
      </c>
    </row>
    <row r="3" ht="15.75" customHeight="1">
      <c r="A3" s="45" t="s">
        <v>4261</v>
      </c>
      <c r="B3" s="34">
        <f>IFERROR(__xludf.DUMMYFUNCTION("IF(ISNA(sum(filter(
Master_Mapping_Sheet!$E$2:$E$3143, ISNUMBER(
Master_Mapping_Sheet!$E$2:$E$3143),
Master_Mapping_Sheet!$H$2:$H$3143=B$1,
Master_Mapping_Sheet!$N$2:$N$3143=REGEXEXTRACT($A3,"".*_(.*)"")))/sum(filter(
Master_Mapping_Sheet!$E$2:$E$3143, IS"&amp;"NUMBER(
Master_Mapping_Sheet!$E$2:$E$3143),
Master_Mapping_Sheet!$H$2:$H$3143=B$1))), 0, sum(filter(
Master_Mapping_Sheet!$E$2:$E$3143, ISNUMBER(
Master_Mapping_Sheet!$E$2:$E$3143),
Master_Mapping_Sheet!$H$2:$H$3143=B$1,
Master_Mapping_Sheet!$N$2:$N$3143="&amp;"REGEXEXTRACT($A3,"".*_(.*)"")))/sum(filter(
Master_Mapping_Sheet!$E$2:$E$3143, ISNUMBER(
Master_Mapping_Sheet!$E$2:$E$3143),
Master_Mapping_Sheet!$H$2:$H$3143=B$1)))"),0.021322020023414358)</f>
        <v>0.02132202002</v>
      </c>
      <c r="C3" s="34">
        <f>IFERROR(__xludf.DUMMYFUNCTION("IF(ISNA(sum(filter(
Master_Mapping_Sheet!$E$2:$E$3143, ISNUMBER(
Master_Mapping_Sheet!$E$2:$E$3143),
Master_Mapping_Sheet!$H$2:$H$3143=C$1,
Master_Mapping_Sheet!$N$2:$N$3143=REGEXEXTRACT($A3,"".*_(.*)"")))/sum(filter(
Master_Mapping_Sheet!$E$2:$E$3143, IS"&amp;"NUMBER(
Master_Mapping_Sheet!$E$2:$E$3143),
Master_Mapping_Sheet!$H$2:$H$3143=C$1))), 0, sum(filter(
Master_Mapping_Sheet!$E$2:$E$3143, ISNUMBER(
Master_Mapping_Sheet!$E$2:$E$3143),
Master_Mapping_Sheet!$H$2:$H$3143=C$1,
Master_Mapping_Sheet!$N$2:$N$3143="&amp;"REGEXEXTRACT($A3,"".*_(.*)"")))/sum(filter(
Master_Mapping_Sheet!$E$2:$E$3143, ISNUMBER(
Master_Mapping_Sheet!$E$2:$E$3143),
Master_Mapping_Sheet!$H$2:$H$3143=C$1)))"),0.0)</f>
        <v>0</v>
      </c>
      <c r="D3" s="34">
        <f>IFERROR(__xludf.DUMMYFUNCTION("IF(ISNA(sum(filter(
Master_Mapping_Sheet!$E$2:$E$3143, ISNUMBER(
Master_Mapping_Sheet!$E$2:$E$3143),
Master_Mapping_Sheet!$H$2:$H$3143=D$1,
Master_Mapping_Sheet!$N$2:$N$3143=REGEXEXTRACT($A3,"".*_(.*)"")))/sum(filter(
Master_Mapping_Sheet!$E$2:$E$3143, IS"&amp;"NUMBER(
Master_Mapping_Sheet!$E$2:$E$3143),
Master_Mapping_Sheet!$H$2:$H$3143=D$1))), 0, sum(filter(
Master_Mapping_Sheet!$E$2:$E$3143, ISNUMBER(
Master_Mapping_Sheet!$E$2:$E$3143),
Master_Mapping_Sheet!$H$2:$H$3143=D$1,
Master_Mapping_Sheet!$N$2:$N$3143="&amp;"REGEXEXTRACT($A3,"".*_(.*)"")))/sum(filter(
Master_Mapping_Sheet!$E$2:$E$3143, ISNUMBER(
Master_Mapping_Sheet!$E$2:$E$3143),
Master_Mapping_Sheet!$H$2:$H$3143=D$1)))"),0.0)</f>
        <v>0</v>
      </c>
      <c r="E3" s="34">
        <f>IFERROR(__xludf.DUMMYFUNCTION("IF(ISNA(sum(filter(
Master_Mapping_Sheet!$E$2:$E$3143, ISNUMBER(
Master_Mapping_Sheet!$E$2:$E$3143),
Master_Mapping_Sheet!$H$2:$H$3143=E$1,
Master_Mapping_Sheet!$N$2:$N$3143=REGEXEXTRACT($A3,"".*_(.*)"")))/sum(filter(
Master_Mapping_Sheet!$E$2:$E$3143, IS"&amp;"NUMBER(
Master_Mapping_Sheet!$E$2:$E$3143),
Master_Mapping_Sheet!$H$2:$H$3143=E$1))), 0, sum(filter(
Master_Mapping_Sheet!$E$2:$E$3143, ISNUMBER(
Master_Mapping_Sheet!$E$2:$E$3143),
Master_Mapping_Sheet!$H$2:$H$3143=E$1,
Master_Mapping_Sheet!$N$2:$N$3143="&amp;"REGEXEXTRACT($A3,"".*_(.*)"")))/sum(filter(
Master_Mapping_Sheet!$E$2:$E$3143, ISNUMBER(
Master_Mapping_Sheet!$E$2:$E$3143),
Master_Mapping_Sheet!$H$2:$H$3143=E$1)))"),0.5112549250919098)</f>
        <v>0.5112549251</v>
      </c>
      <c r="F3" s="34">
        <f>IFERROR(__xludf.DUMMYFUNCTION("IF(ISNA(sum(filter(
Master_Mapping_Sheet!$E$2:$E$3143, ISNUMBER(
Master_Mapping_Sheet!$E$2:$E$3143),
Master_Mapping_Sheet!$H$2:$H$3143=F$1,
Master_Mapping_Sheet!$N$2:$N$3143=REGEXEXTRACT($A3,"".*_(.*)"")))/sum(filter(
Master_Mapping_Sheet!$E$2:$E$3143, IS"&amp;"NUMBER(
Master_Mapping_Sheet!$E$2:$E$3143),
Master_Mapping_Sheet!$H$2:$H$3143=F$1))), 0, sum(filter(
Master_Mapping_Sheet!$E$2:$E$3143, ISNUMBER(
Master_Mapping_Sheet!$E$2:$E$3143),
Master_Mapping_Sheet!$H$2:$H$3143=F$1,
Master_Mapping_Sheet!$N$2:$N$3143="&amp;"REGEXEXTRACT($A3,"".*_(.*)"")))/sum(filter(
Master_Mapping_Sheet!$E$2:$E$3143, ISNUMBER(
Master_Mapping_Sheet!$E$2:$E$3143),
Master_Mapping_Sheet!$H$2:$H$3143=F$1)))"),0.0)</f>
        <v>0</v>
      </c>
      <c r="G3" s="34">
        <f>IFERROR(__xludf.DUMMYFUNCTION("IF(ISNA(sum(filter(
Master_Mapping_Sheet!$E$2:$E$3143, ISNUMBER(
Master_Mapping_Sheet!$E$2:$E$3143),
Master_Mapping_Sheet!$H$2:$H$3143=G$1,
Master_Mapping_Sheet!$N$2:$N$3143=REGEXEXTRACT($A3,"".*_(.*)"")))/sum(filter(
Master_Mapping_Sheet!$E$2:$E$3143, IS"&amp;"NUMBER(
Master_Mapping_Sheet!$E$2:$E$3143),
Master_Mapping_Sheet!$H$2:$H$3143=G$1))), 0, sum(filter(
Master_Mapping_Sheet!$E$2:$E$3143, ISNUMBER(
Master_Mapping_Sheet!$E$2:$E$3143),
Master_Mapping_Sheet!$H$2:$H$3143=G$1,
Master_Mapping_Sheet!$N$2:$N$3143="&amp;"REGEXEXTRACT($A3,"".*_(.*)"")))/sum(filter(
Master_Mapping_Sheet!$E$2:$E$3143, ISNUMBER(
Master_Mapping_Sheet!$E$2:$E$3143),
Master_Mapping_Sheet!$H$2:$H$3143=G$1)))"),0.30685961283378727)</f>
        <v>0.3068596128</v>
      </c>
      <c r="H3" s="34">
        <f>IFERROR(__xludf.DUMMYFUNCTION("IF(ISNA(sum(filter(
Master_Mapping_Sheet!$E$2:$E$3143, ISNUMBER(
Master_Mapping_Sheet!$E$2:$E$3143),
Master_Mapping_Sheet!$H$2:$H$3143=H$1,
Master_Mapping_Sheet!$N$2:$N$3143=REGEXEXTRACT($A3,"".*_(.*)"")))/sum(filter(
Master_Mapping_Sheet!$E$2:$E$3143, IS"&amp;"NUMBER(
Master_Mapping_Sheet!$E$2:$E$3143),
Master_Mapping_Sheet!$H$2:$H$3143=H$1))), 0, sum(filter(
Master_Mapping_Sheet!$E$2:$E$3143, ISNUMBER(
Master_Mapping_Sheet!$E$2:$E$3143),
Master_Mapping_Sheet!$H$2:$H$3143=H$1,
Master_Mapping_Sheet!$N$2:$N$3143="&amp;"REGEXEXTRACT($A3,"".*_(.*)"")))/sum(filter(
Master_Mapping_Sheet!$E$2:$E$3143, ISNUMBER(
Master_Mapping_Sheet!$E$2:$E$3143),
Master_Mapping_Sheet!$H$2:$H$3143=H$1)))"),0.0)</f>
        <v>0</v>
      </c>
      <c r="I3" s="34">
        <f>IFERROR(__xludf.DUMMYFUNCTION("IF(ISNA(sum(filter(
Master_Mapping_Sheet!$E$2:$E$3143, ISNUMBER(
Master_Mapping_Sheet!$E$2:$E$3143),
Master_Mapping_Sheet!$H$2:$H$3143=I$1,
Master_Mapping_Sheet!$N$2:$N$3143=REGEXEXTRACT($A3,"".*_(.*)"")))/sum(filter(
Master_Mapping_Sheet!$E$2:$E$3143, IS"&amp;"NUMBER(
Master_Mapping_Sheet!$E$2:$E$3143),
Master_Mapping_Sheet!$H$2:$H$3143=I$1))), 0, sum(filter(
Master_Mapping_Sheet!$E$2:$E$3143, ISNUMBER(
Master_Mapping_Sheet!$E$2:$E$3143),
Master_Mapping_Sheet!$H$2:$H$3143=I$1,
Master_Mapping_Sheet!$N$2:$N$3143="&amp;"REGEXEXTRACT($A3,"".*_(.*)"")))/sum(filter(
Master_Mapping_Sheet!$E$2:$E$3143, ISNUMBER(
Master_Mapping_Sheet!$E$2:$E$3143),
Master_Mapping_Sheet!$H$2:$H$3143=I$1)))"),1.0)</f>
        <v>1</v>
      </c>
      <c r="J3" s="34">
        <f>IFERROR(__xludf.DUMMYFUNCTION("IF(ISNA(sum(filter(
Master_Mapping_Sheet!$E$2:$E$3143, ISNUMBER(
Master_Mapping_Sheet!$E$2:$E$3143),
Master_Mapping_Sheet!$H$2:$H$3143=J$1,
Master_Mapping_Sheet!$N$2:$N$3143=REGEXEXTRACT($A3,"".*_(.*)"")))/sum(filter(
Master_Mapping_Sheet!$E$2:$E$3143, IS"&amp;"NUMBER(
Master_Mapping_Sheet!$E$2:$E$3143),
Master_Mapping_Sheet!$H$2:$H$3143=J$1))), 0, sum(filter(
Master_Mapping_Sheet!$E$2:$E$3143, ISNUMBER(
Master_Mapping_Sheet!$E$2:$E$3143),
Master_Mapping_Sheet!$H$2:$H$3143=J$1,
Master_Mapping_Sheet!$N$2:$N$3143="&amp;"REGEXEXTRACT($A3,"".*_(.*)"")))/sum(filter(
Master_Mapping_Sheet!$E$2:$E$3143, ISNUMBER(
Master_Mapping_Sheet!$E$2:$E$3143),
Master_Mapping_Sheet!$H$2:$H$3143=J$1)))"),0.0)</f>
        <v>0</v>
      </c>
      <c r="K3" s="34">
        <f>IFERROR(__xludf.DUMMYFUNCTION("IF(ISNA(sum(filter(
Master_Mapping_Sheet!$E$2:$E$3143, ISNUMBER(
Master_Mapping_Sheet!$E$2:$E$3143),
Master_Mapping_Sheet!$H$2:$H$3143=K$1,
Master_Mapping_Sheet!$N$2:$N$3143=REGEXEXTRACT($A3,"".*_(.*)"")))/sum(filter(
Master_Mapping_Sheet!$E$2:$E$3143, IS"&amp;"NUMBER(
Master_Mapping_Sheet!$E$2:$E$3143),
Master_Mapping_Sheet!$H$2:$H$3143=K$1))), 0, sum(filter(
Master_Mapping_Sheet!$E$2:$E$3143, ISNUMBER(
Master_Mapping_Sheet!$E$2:$E$3143),
Master_Mapping_Sheet!$H$2:$H$3143=K$1,
Master_Mapping_Sheet!$N$2:$N$3143="&amp;"REGEXEXTRACT($A3,"".*_(.*)"")))/sum(filter(
Master_Mapping_Sheet!$E$2:$E$3143, ISNUMBER(
Master_Mapping_Sheet!$E$2:$E$3143),
Master_Mapping_Sheet!$H$2:$H$3143=K$1)))"),0.6632963562407487)</f>
        <v>0.6632963562</v>
      </c>
      <c r="L3" s="34">
        <f>IFERROR(__xludf.DUMMYFUNCTION("IF(ISNA(sum(filter(
Master_Mapping_Sheet!$E$2:$E$3143, ISNUMBER(
Master_Mapping_Sheet!$E$2:$E$3143),
Master_Mapping_Sheet!$H$2:$H$3143=L$1,
Master_Mapping_Sheet!$N$2:$N$3143=REGEXEXTRACT($A3,"".*_(.*)"")))/sum(filter(
Master_Mapping_Sheet!$E$2:$E$3143, IS"&amp;"NUMBER(
Master_Mapping_Sheet!$E$2:$E$3143),
Master_Mapping_Sheet!$H$2:$H$3143=L$1))), 0, sum(filter(
Master_Mapping_Sheet!$E$2:$E$3143, ISNUMBER(
Master_Mapping_Sheet!$E$2:$E$3143),
Master_Mapping_Sheet!$H$2:$H$3143=L$1,
Master_Mapping_Sheet!$N$2:$N$3143="&amp;"REGEXEXTRACT($A3,"".*_(.*)"")))/sum(filter(
Master_Mapping_Sheet!$E$2:$E$3143, ISNUMBER(
Master_Mapping_Sheet!$E$2:$E$3143),
Master_Mapping_Sheet!$H$2:$H$3143=L$1)))"),0.24845797096835442)</f>
        <v>0.248457971</v>
      </c>
      <c r="M3" s="34">
        <f>IFERROR(__xludf.DUMMYFUNCTION("IF(ISNA(sum(filter(
Master_Mapping_Sheet!$E$2:$E$3143, ISNUMBER(
Master_Mapping_Sheet!$E$2:$E$3143),
Master_Mapping_Sheet!$H$2:$H$3143=M$1,
Master_Mapping_Sheet!$N$2:$N$3143=REGEXEXTRACT($A3,"".*_(.*)"")))/sum(filter(
Master_Mapping_Sheet!$E$2:$E$3143, IS"&amp;"NUMBER(
Master_Mapping_Sheet!$E$2:$E$3143),
Master_Mapping_Sheet!$H$2:$H$3143=M$1))), 0, sum(filter(
Master_Mapping_Sheet!$E$2:$E$3143, ISNUMBER(
Master_Mapping_Sheet!$E$2:$E$3143),
Master_Mapping_Sheet!$H$2:$H$3143=M$1,
Master_Mapping_Sheet!$N$2:$N$3143="&amp;"REGEXEXTRACT($A3,"".*_(.*)"")))/sum(filter(
Master_Mapping_Sheet!$E$2:$E$3143, ISNUMBER(
Master_Mapping_Sheet!$E$2:$E$3143),
Master_Mapping_Sheet!$H$2:$H$3143=M$1)))"),0.0)</f>
        <v>0</v>
      </c>
      <c r="N3" s="34">
        <f>IFERROR(__xludf.DUMMYFUNCTION("IF(ISNA(sum(filter(
Master_Mapping_Sheet!$E$2:$E$3143, ISNUMBER(
Master_Mapping_Sheet!$E$2:$E$3143),
Master_Mapping_Sheet!$H$2:$H$3143=N$1,
Master_Mapping_Sheet!$N$2:$N$3143=REGEXEXTRACT($A3,"".*_(.*)"")))/sum(filter(
Master_Mapping_Sheet!$E$2:$E$3143, IS"&amp;"NUMBER(
Master_Mapping_Sheet!$E$2:$E$3143),
Master_Mapping_Sheet!$H$2:$H$3143=N$1))), 0, sum(filter(
Master_Mapping_Sheet!$E$2:$E$3143, ISNUMBER(
Master_Mapping_Sheet!$E$2:$E$3143),
Master_Mapping_Sheet!$H$2:$H$3143=N$1,
Master_Mapping_Sheet!$N$2:$N$3143="&amp;"REGEXEXTRACT($A3,"".*_(.*)"")))/sum(filter(
Master_Mapping_Sheet!$E$2:$E$3143, ISNUMBER(
Master_Mapping_Sheet!$E$2:$E$3143),
Master_Mapping_Sheet!$H$2:$H$3143=N$1)))"),1.0)</f>
        <v>1</v>
      </c>
      <c r="O3" s="34">
        <f>IFERROR(__xludf.DUMMYFUNCTION("IF(ISNA(sum(filter(
Master_Mapping_Sheet!$E$2:$E$3143, ISNUMBER(
Master_Mapping_Sheet!$E$2:$E$3143),
Master_Mapping_Sheet!$H$2:$H$3143=O$1,
Master_Mapping_Sheet!$N$2:$N$3143=REGEXEXTRACT($A3,"".*_(.*)"")))/sum(filter(
Master_Mapping_Sheet!$E$2:$E$3143, IS"&amp;"NUMBER(
Master_Mapping_Sheet!$E$2:$E$3143),
Master_Mapping_Sheet!$H$2:$H$3143=O$1))), 0, sum(filter(
Master_Mapping_Sheet!$E$2:$E$3143, ISNUMBER(
Master_Mapping_Sheet!$E$2:$E$3143),
Master_Mapping_Sheet!$H$2:$H$3143=O$1,
Master_Mapping_Sheet!$N$2:$N$3143="&amp;"REGEXEXTRACT($A3,"".*_(.*)"")))/sum(filter(
Master_Mapping_Sheet!$E$2:$E$3143, ISNUMBER(
Master_Mapping_Sheet!$E$2:$E$3143),
Master_Mapping_Sheet!$H$2:$H$3143=O$1)))"),0.8321746257664066)</f>
        <v>0.8321746258</v>
      </c>
      <c r="P3" s="34">
        <f>IFERROR(__xludf.DUMMYFUNCTION("IF(ISNA(sum(filter(
Master_Mapping_Sheet!$E$2:$E$3143, ISNUMBER(
Master_Mapping_Sheet!$E$2:$E$3143),
Master_Mapping_Sheet!$H$2:$H$3143=P$1,
Master_Mapping_Sheet!$N$2:$N$3143=REGEXEXTRACT($A3,"".*_(.*)"")))/sum(filter(
Master_Mapping_Sheet!$E$2:$E$3143, IS"&amp;"NUMBER(
Master_Mapping_Sheet!$E$2:$E$3143),
Master_Mapping_Sheet!$H$2:$H$3143=P$1))), 0, sum(filter(
Master_Mapping_Sheet!$E$2:$E$3143, ISNUMBER(
Master_Mapping_Sheet!$E$2:$E$3143),
Master_Mapping_Sheet!$H$2:$H$3143=P$1,
Master_Mapping_Sheet!$N$2:$N$3143="&amp;"REGEXEXTRACT($A3,"".*_(.*)"")))/sum(filter(
Master_Mapping_Sheet!$E$2:$E$3143, ISNUMBER(
Master_Mapping_Sheet!$E$2:$E$3143),
Master_Mapping_Sheet!$H$2:$H$3143=P$1)))"),0.6631076929885585)</f>
        <v>0.663107693</v>
      </c>
      <c r="Q3" s="34">
        <f>IFERROR(__xludf.DUMMYFUNCTION("IF(ISNA(sum(filter(
Master_Mapping_Sheet!$E$2:$E$3143, ISNUMBER(
Master_Mapping_Sheet!$E$2:$E$3143),
Master_Mapping_Sheet!$H$2:$H$3143=Q$1,
Master_Mapping_Sheet!$N$2:$N$3143=REGEXEXTRACT($A3,"".*_(.*)"")))/sum(filter(
Master_Mapping_Sheet!$E$2:$E$3143, IS"&amp;"NUMBER(
Master_Mapping_Sheet!$E$2:$E$3143),
Master_Mapping_Sheet!$H$2:$H$3143=Q$1))), 0, sum(filter(
Master_Mapping_Sheet!$E$2:$E$3143, ISNUMBER(
Master_Mapping_Sheet!$E$2:$E$3143),
Master_Mapping_Sheet!$H$2:$H$3143=Q$1,
Master_Mapping_Sheet!$N$2:$N$3143="&amp;"REGEXEXTRACT($A3,"".*_(.*)"")))/sum(filter(
Master_Mapping_Sheet!$E$2:$E$3143, ISNUMBER(
Master_Mapping_Sheet!$E$2:$E$3143),
Master_Mapping_Sheet!$H$2:$H$3143=Q$1)))"),1.0)</f>
        <v>1</v>
      </c>
      <c r="R3" s="34">
        <f>IFERROR(__xludf.DUMMYFUNCTION("IF(ISNA(sum(filter(
Master_Mapping_Sheet!$E$2:$E$3143, ISNUMBER(
Master_Mapping_Sheet!$E$2:$E$3143),
Master_Mapping_Sheet!$H$2:$H$3143=R$1,
Master_Mapping_Sheet!$N$2:$N$3143=REGEXEXTRACT($A3,"".*_(.*)"")))/sum(filter(
Master_Mapping_Sheet!$E$2:$E$3143, IS"&amp;"NUMBER(
Master_Mapping_Sheet!$E$2:$E$3143),
Master_Mapping_Sheet!$H$2:$H$3143=R$1))), 0, sum(filter(
Master_Mapping_Sheet!$E$2:$E$3143, ISNUMBER(
Master_Mapping_Sheet!$E$2:$E$3143),
Master_Mapping_Sheet!$H$2:$H$3143=R$1,
Master_Mapping_Sheet!$N$2:$N$3143="&amp;"REGEXEXTRACT($A3,"".*_(.*)"")))/sum(filter(
Master_Mapping_Sheet!$E$2:$E$3143, ISNUMBER(
Master_Mapping_Sheet!$E$2:$E$3143),
Master_Mapping_Sheet!$H$2:$H$3143=R$1)))"),0.6521632576236974)</f>
        <v>0.6521632576</v>
      </c>
      <c r="S3" s="34">
        <f>IFERROR(__xludf.DUMMYFUNCTION("IF(ISNA(sum(filter(
Master_Mapping_Sheet!$E$2:$E$3143, ISNUMBER(
Master_Mapping_Sheet!$E$2:$E$3143),
Master_Mapping_Sheet!$H$2:$H$3143=S$1,
Master_Mapping_Sheet!$N$2:$N$3143=REGEXEXTRACT($A3,"".*_(.*)"")))/sum(filter(
Master_Mapping_Sheet!$E$2:$E$3143, IS"&amp;"NUMBER(
Master_Mapping_Sheet!$E$2:$E$3143),
Master_Mapping_Sheet!$H$2:$H$3143=S$1))), 0, sum(filter(
Master_Mapping_Sheet!$E$2:$E$3143, ISNUMBER(
Master_Mapping_Sheet!$E$2:$E$3143),
Master_Mapping_Sheet!$H$2:$H$3143=S$1,
Master_Mapping_Sheet!$N$2:$N$3143="&amp;"REGEXEXTRACT($A3,"".*_(.*)"")))/sum(filter(
Master_Mapping_Sheet!$E$2:$E$3143, ISNUMBER(
Master_Mapping_Sheet!$E$2:$E$3143),
Master_Mapping_Sheet!$H$2:$H$3143=S$1)))"),0.9375588395177511)</f>
        <v>0.9375588395</v>
      </c>
      <c r="T3" s="34">
        <f>IFERROR(__xludf.DUMMYFUNCTION("IF(ISNA(sum(filter(
Master_Mapping_Sheet!$E$2:$E$3143, ISNUMBER(
Master_Mapping_Sheet!$E$2:$E$3143),
Master_Mapping_Sheet!$H$2:$H$3143=T$1,
Master_Mapping_Sheet!$N$2:$N$3143=REGEXEXTRACT($A3,"".*_(.*)"")))/sum(filter(
Master_Mapping_Sheet!$E$2:$E$3143, IS"&amp;"NUMBER(
Master_Mapping_Sheet!$E$2:$E$3143),
Master_Mapping_Sheet!$H$2:$H$3143=T$1))), 0, sum(filter(
Master_Mapping_Sheet!$E$2:$E$3143, ISNUMBER(
Master_Mapping_Sheet!$E$2:$E$3143),
Master_Mapping_Sheet!$H$2:$H$3143=T$1,
Master_Mapping_Sheet!$N$2:$N$3143="&amp;"REGEXEXTRACT($A3,"".*_(.*)"")))/sum(filter(
Master_Mapping_Sheet!$E$2:$E$3143, ISNUMBER(
Master_Mapping_Sheet!$E$2:$E$3143),
Master_Mapping_Sheet!$H$2:$H$3143=T$1)))"),0.0)</f>
        <v>0</v>
      </c>
      <c r="U3" s="34">
        <f>IFERROR(__xludf.DUMMYFUNCTION("IF(ISNA(sum(filter(
Master_Mapping_Sheet!$E$2:$E$3143, ISNUMBER(
Master_Mapping_Sheet!$E$2:$E$3143),
Master_Mapping_Sheet!$H$2:$H$3143=U$1,
Master_Mapping_Sheet!$N$2:$N$3143=REGEXEXTRACT($A3,"".*_(.*)"")))/sum(filter(
Master_Mapping_Sheet!$E$2:$E$3143, IS"&amp;"NUMBER(
Master_Mapping_Sheet!$E$2:$E$3143),
Master_Mapping_Sheet!$H$2:$H$3143=U$1))), 0, sum(filter(
Master_Mapping_Sheet!$E$2:$E$3143, ISNUMBER(
Master_Mapping_Sheet!$E$2:$E$3143),
Master_Mapping_Sheet!$H$2:$H$3143=U$1,
Master_Mapping_Sheet!$N$2:$N$3143="&amp;"REGEXEXTRACT($A3,"".*_(.*)"")))/sum(filter(
Master_Mapping_Sheet!$E$2:$E$3143, ISNUMBER(
Master_Mapping_Sheet!$E$2:$E$3143),
Master_Mapping_Sheet!$H$2:$H$3143=U$1)))"),0.0)</f>
        <v>0</v>
      </c>
      <c r="V3" s="34">
        <f>IFERROR(__xludf.DUMMYFUNCTION("IF(ISNA(sum(filter(
Master_Mapping_Sheet!$E$2:$E$3143, ISNUMBER(
Master_Mapping_Sheet!$E$2:$E$3143),
Master_Mapping_Sheet!$H$2:$H$3143=V$1,
Master_Mapping_Sheet!$N$2:$N$3143=REGEXEXTRACT($A3,"".*_(.*)"")))/sum(filter(
Master_Mapping_Sheet!$E$2:$E$3143, IS"&amp;"NUMBER(
Master_Mapping_Sheet!$E$2:$E$3143),
Master_Mapping_Sheet!$H$2:$H$3143=V$1))), 0, sum(filter(
Master_Mapping_Sheet!$E$2:$E$3143, ISNUMBER(
Master_Mapping_Sheet!$E$2:$E$3143),
Master_Mapping_Sheet!$H$2:$H$3143=V$1,
Master_Mapping_Sheet!$N$2:$N$3143="&amp;"REGEXEXTRACT($A3,"".*_(.*)"")))/sum(filter(
Master_Mapping_Sheet!$E$2:$E$3143, ISNUMBER(
Master_Mapping_Sheet!$E$2:$E$3143),
Master_Mapping_Sheet!$H$2:$H$3143=V$1)))"),0.0)</f>
        <v>0</v>
      </c>
      <c r="W3" s="34">
        <f>IFERROR(__xludf.DUMMYFUNCTION("IF(ISNA(sum(filter(
Master_Mapping_Sheet!$E$2:$E$3143, ISNUMBER(
Master_Mapping_Sheet!$E$2:$E$3143),
Master_Mapping_Sheet!$H$2:$H$3143=W$1,
Master_Mapping_Sheet!$N$2:$N$3143=REGEXEXTRACT($A3,"".*_(.*)"")))/sum(filter(
Master_Mapping_Sheet!$E$2:$E$3143, IS"&amp;"NUMBER(
Master_Mapping_Sheet!$E$2:$E$3143),
Master_Mapping_Sheet!$H$2:$H$3143=W$1))), 0, sum(filter(
Master_Mapping_Sheet!$E$2:$E$3143, ISNUMBER(
Master_Mapping_Sheet!$E$2:$E$3143),
Master_Mapping_Sheet!$H$2:$H$3143=W$1,
Master_Mapping_Sheet!$N$2:$N$3143="&amp;"REGEXEXTRACT($A3,"".*_(.*)"")))/sum(filter(
Master_Mapping_Sheet!$E$2:$E$3143, ISNUMBER(
Master_Mapping_Sheet!$E$2:$E$3143),
Master_Mapping_Sheet!$H$2:$H$3143=W$1)))"),0.0)</f>
        <v>0</v>
      </c>
      <c r="X3" s="34">
        <f>IFERROR(__xludf.DUMMYFUNCTION("IF(ISNA(sum(filter(
Master_Mapping_Sheet!$E$2:$E$3143, ISNUMBER(
Master_Mapping_Sheet!$E$2:$E$3143),
Master_Mapping_Sheet!$H$2:$H$3143=X$1,
Master_Mapping_Sheet!$N$2:$N$3143=REGEXEXTRACT($A3,"".*_(.*)"")))/sum(filter(
Master_Mapping_Sheet!$E$2:$E$3143, IS"&amp;"NUMBER(
Master_Mapping_Sheet!$E$2:$E$3143),
Master_Mapping_Sheet!$H$2:$H$3143=X$1))), 0, sum(filter(
Master_Mapping_Sheet!$E$2:$E$3143, ISNUMBER(
Master_Mapping_Sheet!$E$2:$E$3143),
Master_Mapping_Sheet!$H$2:$H$3143=X$1,
Master_Mapping_Sheet!$N$2:$N$3143="&amp;"REGEXEXTRACT($A3,"".*_(.*)"")))/sum(filter(
Master_Mapping_Sheet!$E$2:$E$3143, ISNUMBER(
Master_Mapping_Sheet!$E$2:$E$3143),
Master_Mapping_Sheet!$H$2:$H$3143=X$1)))"),0.0)</f>
        <v>0</v>
      </c>
      <c r="Y3" s="34">
        <f>IFERROR(__xludf.DUMMYFUNCTION("IF(ISNA(sum(filter(
Master_Mapping_Sheet!$E$2:$E$3143, ISNUMBER(
Master_Mapping_Sheet!$E$2:$E$3143),
Master_Mapping_Sheet!$H$2:$H$3143=Y$1,
Master_Mapping_Sheet!$N$2:$N$3143=REGEXEXTRACT($A3,"".*_(.*)"")))/sum(filter(
Master_Mapping_Sheet!$E$2:$E$3143, IS"&amp;"NUMBER(
Master_Mapping_Sheet!$E$2:$E$3143),
Master_Mapping_Sheet!$H$2:$H$3143=Y$1))), 0, sum(filter(
Master_Mapping_Sheet!$E$2:$E$3143, ISNUMBER(
Master_Mapping_Sheet!$E$2:$E$3143),
Master_Mapping_Sheet!$H$2:$H$3143=Y$1,
Master_Mapping_Sheet!$N$2:$N$3143="&amp;"REGEXEXTRACT($A3,"".*_(.*)"")))/sum(filter(
Master_Mapping_Sheet!$E$2:$E$3143, ISNUMBER(
Master_Mapping_Sheet!$E$2:$E$3143),
Master_Mapping_Sheet!$H$2:$H$3143=Y$1)))"),0.0)</f>
        <v>0</v>
      </c>
      <c r="Z3" s="34">
        <f>IFERROR(__xludf.DUMMYFUNCTION("IF(ISNA(sum(filter(
Master_Mapping_Sheet!$E$2:$E$3143, ISNUMBER(
Master_Mapping_Sheet!$E$2:$E$3143),
Master_Mapping_Sheet!$H$2:$H$3143=Z$1,
Master_Mapping_Sheet!$N$2:$N$3143=REGEXEXTRACT($A3,"".*_(.*)"")))/sum(filter(
Master_Mapping_Sheet!$E$2:$E$3143, IS"&amp;"NUMBER(
Master_Mapping_Sheet!$E$2:$E$3143),
Master_Mapping_Sheet!$H$2:$H$3143=Z$1))), 0, sum(filter(
Master_Mapping_Sheet!$E$2:$E$3143, ISNUMBER(
Master_Mapping_Sheet!$E$2:$E$3143),
Master_Mapping_Sheet!$H$2:$H$3143=Z$1,
Master_Mapping_Sheet!$N$2:$N$3143="&amp;"REGEXEXTRACT($A3,"".*_(.*)"")))/sum(filter(
Master_Mapping_Sheet!$E$2:$E$3143, ISNUMBER(
Master_Mapping_Sheet!$E$2:$E$3143),
Master_Mapping_Sheet!$H$2:$H$3143=Z$1)))"),0.0)</f>
        <v>0</v>
      </c>
    </row>
    <row r="4" ht="15.75" customHeight="1">
      <c r="A4" s="45" t="s">
        <v>4262</v>
      </c>
      <c r="B4" s="34">
        <f>IFERROR(__xludf.DUMMYFUNCTION("IF(ISNA(sum(filter(
Master_Mapping_Sheet!$E$2:$E$3143, ISNUMBER(
Master_Mapping_Sheet!$E$2:$E$3143),
Master_Mapping_Sheet!$H$2:$H$3143=B$1,
Master_Mapping_Sheet!$N$2:$N$3143=REGEXEXTRACT($A4,"".*_(.*)"")))/sum(filter(
Master_Mapping_Sheet!$E$2:$E$3143, IS"&amp;"NUMBER(
Master_Mapping_Sheet!$E$2:$E$3143),
Master_Mapping_Sheet!$H$2:$H$3143=B$1))), 0, sum(filter(
Master_Mapping_Sheet!$E$2:$E$3143, ISNUMBER(
Master_Mapping_Sheet!$E$2:$E$3143),
Master_Mapping_Sheet!$H$2:$H$3143=B$1,
Master_Mapping_Sheet!$N$2:$N$3143="&amp;"REGEXEXTRACT($A4,"".*_(.*)"")))/sum(filter(
Master_Mapping_Sheet!$E$2:$E$3143, ISNUMBER(
Master_Mapping_Sheet!$E$2:$E$3143),
Master_Mapping_Sheet!$H$2:$H$3143=B$1)))"),0.0)</f>
        <v>0</v>
      </c>
      <c r="C4" s="34">
        <f>IFERROR(__xludf.DUMMYFUNCTION("IF(ISNA(sum(filter(
Master_Mapping_Sheet!$E$2:$E$3143, ISNUMBER(
Master_Mapping_Sheet!$E$2:$E$3143),
Master_Mapping_Sheet!$H$2:$H$3143=C$1,
Master_Mapping_Sheet!$N$2:$N$3143=REGEXEXTRACT($A4,"".*_(.*)"")))/sum(filter(
Master_Mapping_Sheet!$E$2:$E$3143, IS"&amp;"NUMBER(
Master_Mapping_Sheet!$E$2:$E$3143),
Master_Mapping_Sheet!$H$2:$H$3143=C$1))), 0, sum(filter(
Master_Mapping_Sheet!$E$2:$E$3143, ISNUMBER(
Master_Mapping_Sheet!$E$2:$E$3143),
Master_Mapping_Sheet!$H$2:$H$3143=C$1,
Master_Mapping_Sheet!$N$2:$N$3143="&amp;"REGEXEXTRACT($A4,"".*_(.*)"")))/sum(filter(
Master_Mapping_Sheet!$E$2:$E$3143, ISNUMBER(
Master_Mapping_Sheet!$E$2:$E$3143),
Master_Mapping_Sheet!$H$2:$H$3143=C$1)))"),0.0)</f>
        <v>0</v>
      </c>
      <c r="D4" s="34">
        <f>IFERROR(__xludf.DUMMYFUNCTION("IF(ISNA(sum(filter(
Master_Mapping_Sheet!$E$2:$E$3143, ISNUMBER(
Master_Mapping_Sheet!$E$2:$E$3143),
Master_Mapping_Sheet!$H$2:$H$3143=D$1,
Master_Mapping_Sheet!$N$2:$N$3143=REGEXEXTRACT($A4,"".*_(.*)"")))/sum(filter(
Master_Mapping_Sheet!$E$2:$E$3143, IS"&amp;"NUMBER(
Master_Mapping_Sheet!$E$2:$E$3143),
Master_Mapping_Sheet!$H$2:$H$3143=D$1))), 0, sum(filter(
Master_Mapping_Sheet!$E$2:$E$3143, ISNUMBER(
Master_Mapping_Sheet!$E$2:$E$3143),
Master_Mapping_Sheet!$H$2:$H$3143=D$1,
Master_Mapping_Sheet!$N$2:$N$3143="&amp;"REGEXEXTRACT($A4,"".*_(.*)"")))/sum(filter(
Master_Mapping_Sheet!$E$2:$E$3143, ISNUMBER(
Master_Mapping_Sheet!$E$2:$E$3143),
Master_Mapping_Sheet!$H$2:$H$3143=D$1)))"),0.08278471460684297)</f>
        <v>0.08278471461</v>
      </c>
      <c r="E4" s="34">
        <f>IFERROR(__xludf.DUMMYFUNCTION("IF(ISNA(sum(filter(
Master_Mapping_Sheet!$E$2:$E$3143, ISNUMBER(
Master_Mapping_Sheet!$E$2:$E$3143),
Master_Mapping_Sheet!$H$2:$H$3143=E$1,
Master_Mapping_Sheet!$N$2:$N$3143=REGEXEXTRACT($A4,"".*_(.*)"")))/sum(filter(
Master_Mapping_Sheet!$E$2:$E$3143, IS"&amp;"NUMBER(
Master_Mapping_Sheet!$E$2:$E$3143),
Master_Mapping_Sheet!$H$2:$H$3143=E$1))), 0, sum(filter(
Master_Mapping_Sheet!$E$2:$E$3143, ISNUMBER(
Master_Mapping_Sheet!$E$2:$E$3143),
Master_Mapping_Sheet!$H$2:$H$3143=E$1,
Master_Mapping_Sheet!$N$2:$N$3143="&amp;"REGEXEXTRACT($A4,"".*_(.*)"")))/sum(filter(
Master_Mapping_Sheet!$E$2:$E$3143, ISNUMBER(
Master_Mapping_Sheet!$E$2:$E$3143),
Master_Mapping_Sheet!$H$2:$H$3143=E$1)))"),0.0)</f>
        <v>0</v>
      </c>
      <c r="F4" s="34">
        <f>IFERROR(__xludf.DUMMYFUNCTION("IF(ISNA(sum(filter(
Master_Mapping_Sheet!$E$2:$E$3143, ISNUMBER(
Master_Mapping_Sheet!$E$2:$E$3143),
Master_Mapping_Sheet!$H$2:$H$3143=F$1,
Master_Mapping_Sheet!$N$2:$N$3143=REGEXEXTRACT($A4,"".*_(.*)"")))/sum(filter(
Master_Mapping_Sheet!$E$2:$E$3143, IS"&amp;"NUMBER(
Master_Mapping_Sheet!$E$2:$E$3143),
Master_Mapping_Sheet!$H$2:$H$3143=F$1))), 0, sum(filter(
Master_Mapping_Sheet!$E$2:$E$3143, ISNUMBER(
Master_Mapping_Sheet!$E$2:$E$3143),
Master_Mapping_Sheet!$H$2:$H$3143=F$1,
Master_Mapping_Sheet!$N$2:$N$3143="&amp;"REGEXEXTRACT($A4,"".*_(.*)"")))/sum(filter(
Master_Mapping_Sheet!$E$2:$E$3143, ISNUMBER(
Master_Mapping_Sheet!$E$2:$E$3143),
Master_Mapping_Sheet!$H$2:$H$3143=F$1)))"),0.0)</f>
        <v>0</v>
      </c>
      <c r="G4" s="34">
        <f>IFERROR(__xludf.DUMMYFUNCTION("IF(ISNA(sum(filter(
Master_Mapping_Sheet!$E$2:$E$3143, ISNUMBER(
Master_Mapping_Sheet!$E$2:$E$3143),
Master_Mapping_Sheet!$H$2:$H$3143=G$1,
Master_Mapping_Sheet!$N$2:$N$3143=REGEXEXTRACT($A4,"".*_(.*)"")))/sum(filter(
Master_Mapping_Sheet!$E$2:$E$3143, IS"&amp;"NUMBER(
Master_Mapping_Sheet!$E$2:$E$3143),
Master_Mapping_Sheet!$H$2:$H$3143=G$1))), 0, sum(filter(
Master_Mapping_Sheet!$E$2:$E$3143, ISNUMBER(
Master_Mapping_Sheet!$E$2:$E$3143),
Master_Mapping_Sheet!$H$2:$H$3143=G$1,
Master_Mapping_Sheet!$N$2:$N$3143="&amp;"REGEXEXTRACT($A4,"".*_(.*)"")))/sum(filter(
Master_Mapping_Sheet!$E$2:$E$3143, ISNUMBER(
Master_Mapping_Sheet!$E$2:$E$3143),
Master_Mapping_Sheet!$H$2:$H$3143=G$1)))"),0.0)</f>
        <v>0</v>
      </c>
      <c r="H4" s="34">
        <f>IFERROR(__xludf.DUMMYFUNCTION("IF(ISNA(sum(filter(
Master_Mapping_Sheet!$E$2:$E$3143, ISNUMBER(
Master_Mapping_Sheet!$E$2:$E$3143),
Master_Mapping_Sheet!$H$2:$H$3143=H$1,
Master_Mapping_Sheet!$N$2:$N$3143=REGEXEXTRACT($A4,"".*_(.*)"")))/sum(filter(
Master_Mapping_Sheet!$E$2:$E$3143, IS"&amp;"NUMBER(
Master_Mapping_Sheet!$E$2:$E$3143),
Master_Mapping_Sheet!$H$2:$H$3143=H$1))), 0, sum(filter(
Master_Mapping_Sheet!$E$2:$E$3143, ISNUMBER(
Master_Mapping_Sheet!$E$2:$E$3143),
Master_Mapping_Sheet!$H$2:$H$3143=H$1,
Master_Mapping_Sheet!$N$2:$N$3143="&amp;"REGEXEXTRACT($A4,"".*_(.*)"")))/sum(filter(
Master_Mapping_Sheet!$E$2:$E$3143, ISNUMBER(
Master_Mapping_Sheet!$E$2:$E$3143),
Master_Mapping_Sheet!$H$2:$H$3143=H$1)))"),0.0044460375567422486)</f>
        <v>0.004446037557</v>
      </c>
      <c r="I4" s="34">
        <f>IFERROR(__xludf.DUMMYFUNCTION("IF(ISNA(sum(filter(
Master_Mapping_Sheet!$E$2:$E$3143, ISNUMBER(
Master_Mapping_Sheet!$E$2:$E$3143),
Master_Mapping_Sheet!$H$2:$H$3143=I$1,
Master_Mapping_Sheet!$N$2:$N$3143=REGEXEXTRACT($A4,"".*_(.*)"")))/sum(filter(
Master_Mapping_Sheet!$E$2:$E$3143, IS"&amp;"NUMBER(
Master_Mapping_Sheet!$E$2:$E$3143),
Master_Mapping_Sheet!$H$2:$H$3143=I$1))), 0, sum(filter(
Master_Mapping_Sheet!$E$2:$E$3143, ISNUMBER(
Master_Mapping_Sheet!$E$2:$E$3143),
Master_Mapping_Sheet!$H$2:$H$3143=I$1,
Master_Mapping_Sheet!$N$2:$N$3143="&amp;"REGEXEXTRACT($A4,"".*_(.*)"")))/sum(filter(
Master_Mapping_Sheet!$E$2:$E$3143, ISNUMBER(
Master_Mapping_Sheet!$E$2:$E$3143),
Master_Mapping_Sheet!$H$2:$H$3143=I$1)))"),0.0)</f>
        <v>0</v>
      </c>
      <c r="J4" s="34">
        <f>IFERROR(__xludf.DUMMYFUNCTION("IF(ISNA(sum(filter(
Master_Mapping_Sheet!$E$2:$E$3143, ISNUMBER(
Master_Mapping_Sheet!$E$2:$E$3143),
Master_Mapping_Sheet!$H$2:$H$3143=J$1,
Master_Mapping_Sheet!$N$2:$N$3143=REGEXEXTRACT($A4,"".*_(.*)"")))/sum(filter(
Master_Mapping_Sheet!$E$2:$E$3143, IS"&amp;"NUMBER(
Master_Mapping_Sheet!$E$2:$E$3143),
Master_Mapping_Sheet!$H$2:$H$3143=J$1))), 0, sum(filter(
Master_Mapping_Sheet!$E$2:$E$3143, ISNUMBER(
Master_Mapping_Sheet!$E$2:$E$3143),
Master_Mapping_Sheet!$H$2:$H$3143=J$1,
Master_Mapping_Sheet!$N$2:$N$3143="&amp;"REGEXEXTRACT($A4,"".*_(.*)"")))/sum(filter(
Master_Mapping_Sheet!$E$2:$E$3143, ISNUMBER(
Master_Mapping_Sheet!$E$2:$E$3143),
Master_Mapping_Sheet!$H$2:$H$3143=J$1)))"),0.0)</f>
        <v>0</v>
      </c>
      <c r="K4" s="34">
        <f>IFERROR(__xludf.DUMMYFUNCTION("IF(ISNA(sum(filter(
Master_Mapping_Sheet!$E$2:$E$3143, ISNUMBER(
Master_Mapping_Sheet!$E$2:$E$3143),
Master_Mapping_Sheet!$H$2:$H$3143=K$1,
Master_Mapping_Sheet!$N$2:$N$3143=REGEXEXTRACT($A4,"".*_(.*)"")))/sum(filter(
Master_Mapping_Sheet!$E$2:$E$3143, IS"&amp;"NUMBER(
Master_Mapping_Sheet!$E$2:$E$3143),
Master_Mapping_Sheet!$H$2:$H$3143=K$1))), 0, sum(filter(
Master_Mapping_Sheet!$E$2:$E$3143, ISNUMBER(
Master_Mapping_Sheet!$E$2:$E$3143),
Master_Mapping_Sheet!$H$2:$H$3143=K$1,
Master_Mapping_Sheet!$N$2:$N$3143="&amp;"REGEXEXTRACT($A4,"".*_(.*)"")))/sum(filter(
Master_Mapping_Sheet!$E$2:$E$3143, ISNUMBER(
Master_Mapping_Sheet!$E$2:$E$3143),
Master_Mapping_Sheet!$H$2:$H$3143=K$1)))"),0.0)</f>
        <v>0</v>
      </c>
      <c r="L4" s="34">
        <f>IFERROR(__xludf.DUMMYFUNCTION("IF(ISNA(sum(filter(
Master_Mapping_Sheet!$E$2:$E$3143, ISNUMBER(
Master_Mapping_Sheet!$E$2:$E$3143),
Master_Mapping_Sheet!$H$2:$H$3143=L$1,
Master_Mapping_Sheet!$N$2:$N$3143=REGEXEXTRACT($A4,"".*_(.*)"")))/sum(filter(
Master_Mapping_Sheet!$E$2:$E$3143, IS"&amp;"NUMBER(
Master_Mapping_Sheet!$E$2:$E$3143),
Master_Mapping_Sheet!$H$2:$H$3143=L$1))), 0, sum(filter(
Master_Mapping_Sheet!$E$2:$E$3143, ISNUMBER(
Master_Mapping_Sheet!$E$2:$E$3143),
Master_Mapping_Sheet!$H$2:$H$3143=L$1,
Master_Mapping_Sheet!$N$2:$N$3143="&amp;"REGEXEXTRACT($A4,"".*_(.*)"")))/sum(filter(
Master_Mapping_Sheet!$E$2:$E$3143, ISNUMBER(
Master_Mapping_Sheet!$E$2:$E$3143),
Master_Mapping_Sheet!$H$2:$H$3143=L$1)))"),0.0)</f>
        <v>0</v>
      </c>
      <c r="M4" s="34">
        <f>IFERROR(__xludf.DUMMYFUNCTION("IF(ISNA(sum(filter(
Master_Mapping_Sheet!$E$2:$E$3143, ISNUMBER(
Master_Mapping_Sheet!$E$2:$E$3143),
Master_Mapping_Sheet!$H$2:$H$3143=M$1,
Master_Mapping_Sheet!$N$2:$N$3143=REGEXEXTRACT($A4,"".*_(.*)"")))/sum(filter(
Master_Mapping_Sheet!$E$2:$E$3143, IS"&amp;"NUMBER(
Master_Mapping_Sheet!$E$2:$E$3143),
Master_Mapping_Sheet!$H$2:$H$3143=M$1))), 0, sum(filter(
Master_Mapping_Sheet!$E$2:$E$3143, ISNUMBER(
Master_Mapping_Sheet!$E$2:$E$3143),
Master_Mapping_Sheet!$H$2:$H$3143=M$1,
Master_Mapping_Sheet!$N$2:$N$3143="&amp;"REGEXEXTRACT($A4,"".*_(.*)"")))/sum(filter(
Master_Mapping_Sheet!$E$2:$E$3143, ISNUMBER(
Master_Mapping_Sheet!$E$2:$E$3143),
Master_Mapping_Sheet!$H$2:$H$3143=M$1)))"),0.0)</f>
        <v>0</v>
      </c>
      <c r="N4" s="34">
        <f>IFERROR(__xludf.DUMMYFUNCTION("IF(ISNA(sum(filter(
Master_Mapping_Sheet!$E$2:$E$3143, ISNUMBER(
Master_Mapping_Sheet!$E$2:$E$3143),
Master_Mapping_Sheet!$H$2:$H$3143=N$1,
Master_Mapping_Sheet!$N$2:$N$3143=REGEXEXTRACT($A4,"".*_(.*)"")))/sum(filter(
Master_Mapping_Sheet!$E$2:$E$3143, IS"&amp;"NUMBER(
Master_Mapping_Sheet!$E$2:$E$3143),
Master_Mapping_Sheet!$H$2:$H$3143=N$1))), 0, sum(filter(
Master_Mapping_Sheet!$E$2:$E$3143, ISNUMBER(
Master_Mapping_Sheet!$E$2:$E$3143),
Master_Mapping_Sheet!$H$2:$H$3143=N$1,
Master_Mapping_Sheet!$N$2:$N$3143="&amp;"REGEXEXTRACT($A4,"".*_(.*)"")))/sum(filter(
Master_Mapping_Sheet!$E$2:$E$3143, ISNUMBER(
Master_Mapping_Sheet!$E$2:$E$3143),
Master_Mapping_Sheet!$H$2:$H$3143=N$1)))"),0.0)</f>
        <v>0</v>
      </c>
      <c r="O4" s="34">
        <f>IFERROR(__xludf.DUMMYFUNCTION("IF(ISNA(sum(filter(
Master_Mapping_Sheet!$E$2:$E$3143, ISNUMBER(
Master_Mapping_Sheet!$E$2:$E$3143),
Master_Mapping_Sheet!$H$2:$H$3143=O$1,
Master_Mapping_Sheet!$N$2:$N$3143=REGEXEXTRACT($A4,"".*_(.*)"")))/sum(filter(
Master_Mapping_Sheet!$E$2:$E$3143, IS"&amp;"NUMBER(
Master_Mapping_Sheet!$E$2:$E$3143),
Master_Mapping_Sheet!$H$2:$H$3143=O$1))), 0, sum(filter(
Master_Mapping_Sheet!$E$2:$E$3143, ISNUMBER(
Master_Mapping_Sheet!$E$2:$E$3143),
Master_Mapping_Sheet!$H$2:$H$3143=O$1,
Master_Mapping_Sheet!$N$2:$N$3143="&amp;"REGEXEXTRACT($A4,"".*_(.*)"")))/sum(filter(
Master_Mapping_Sheet!$E$2:$E$3143, ISNUMBER(
Master_Mapping_Sheet!$E$2:$E$3143),
Master_Mapping_Sheet!$H$2:$H$3143=O$1)))"),0.0)</f>
        <v>0</v>
      </c>
      <c r="P4" s="34">
        <f>IFERROR(__xludf.DUMMYFUNCTION("IF(ISNA(sum(filter(
Master_Mapping_Sheet!$E$2:$E$3143, ISNUMBER(
Master_Mapping_Sheet!$E$2:$E$3143),
Master_Mapping_Sheet!$H$2:$H$3143=P$1,
Master_Mapping_Sheet!$N$2:$N$3143=REGEXEXTRACT($A4,"".*_(.*)"")))/sum(filter(
Master_Mapping_Sheet!$E$2:$E$3143, IS"&amp;"NUMBER(
Master_Mapping_Sheet!$E$2:$E$3143),
Master_Mapping_Sheet!$H$2:$H$3143=P$1))), 0, sum(filter(
Master_Mapping_Sheet!$E$2:$E$3143, ISNUMBER(
Master_Mapping_Sheet!$E$2:$E$3143),
Master_Mapping_Sheet!$H$2:$H$3143=P$1,
Master_Mapping_Sheet!$N$2:$N$3143="&amp;"REGEXEXTRACT($A4,"".*_(.*)"")))/sum(filter(
Master_Mapping_Sheet!$E$2:$E$3143, ISNUMBER(
Master_Mapping_Sheet!$E$2:$E$3143),
Master_Mapping_Sheet!$H$2:$H$3143=P$1)))"),0.0)</f>
        <v>0</v>
      </c>
      <c r="Q4" s="34">
        <f>IFERROR(__xludf.DUMMYFUNCTION("IF(ISNA(sum(filter(
Master_Mapping_Sheet!$E$2:$E$3143, ISNUMBER(
Master_Mapping_Sheet!$E$2:$E$3143),
Master_Mapping_Sheet!$H$2:$H$3143=Q$1,
Master_Mapping_Sheet!$N$2:$N$3143=REGEXEXTRACT($A4,"".*_(.*)"")))/sum(filter(
Master_Mapping_Sheet!$E$2:$E$3143, IS"&amp;"NUMBER(
Master_Mapping_Sheet!$E$2:$E$3143),
Master_Mapping_Sheet!$H$2:$H$3143=Q$1))), 0, sum(filter(
Master_Mapping_Sheet!$E$2:$E$3143, ISNUMBER(
Master_Mapping_Sheet!$E$2:$E$3143),
Master_Mapping_Sheet!$H$2:$H$3143=Q$1,
Master_Mapping_Sheet!$N$2:$N$3143="&amp;"REGEXEXTRACT($A4,"".*_(.*)"")))/sum(filter(
Master_Mapping_Sheet!$E$2:$E$3143, ISNUMBER(
Master_Mapping_Sheet!$E$2:$E$3143),
Master_Mapping_Sheet!$H$2:$H$3143=Q$1)))"),0.0)</f>
        <v>0</v>
      </c>
      <c r="R4" s="34">
        <f>IFERROR(__xludf.DUMMYFUNCTION("IF(ISNA(sum(filter(
Master_Mapping_Sheet!$E$2:$E$3143, ISNUMBER(
Master_Mapping_Sheet!$E$2:$E$3143),
Master_Mapping_Sheet!$H$2:$H$3143=R$1,
Master_Mapping_Sheet!$N$2:$N$3143=REGEXEXTRACT($A4,"".*_(.*)"")))/sum(filter(
Master_Mapping_Sheet!$E$2:$E$3143, IS"&amp;"NUMBER(
Master_Mapping_Sheet!$E$2:$E$3143),
Master_Mapping_Sheet!$H$2:$H$3143=R$1))), 0, sum(filter(
Master_Mapping_Sheet!$E$2:$E$3143, ISNUMBER(
Master_Mapping_Sheet!$E$2:$E$3143),
Master_Mapping_Sheet!$H$2:$H$3143=R$1,
Master_Mapping_Sheet!$N$2:$N$3143="&amp;"REGEXEXTRACT($A4,"".*_(.*)"")))/sum(filter(
Master_Mapping_Sheet!$E$2:$E$3143, ISNUMBER(
Master_Mapping_Sheet!$E$2:$E$3143),
Master_Mapping_Sheet!$H$2:$H$3143=R$1)))"),0.0)</f>
        <v>0</v>
      </c>
      <c r="S4" s="34">
        <f>IFERROR(__xludf.DUMMYFUNCTION("IF(ISNA(sum(filter(
Master_Mapping_Sheet!$E$2:$E$3143, ISNUMBER(
Master_Mapping_Sheet!$E$2:$E$3143),
Master_Mapping_Sheet!$H$2:$H$3143=S$1,
Master_Mapping_Sheet!$N$2:$N$3143=REGEXEXTRACT($A4,"".*_(.*)"")))/sum(filter(
Master_Mapping_Sheet!$E$2:$E$3143, IS"&amp;"NUMBER(
Master_Mapping_Sheet!$E$2:$E$3143),
Master_Mapping_Sheet!$H$2:$H$3143=S$1))), 0, sum(filter(
Master_Mapping_Sheet!$E$2:$E$3143, ISNUMBER(
Master_Mapping_Sheet!$E$2:$E$3143),
Master_Mapping_Sheet!$H$2:$H$3143=S$1,
Master_Mapping_Sheet!$N$2:$N$3143="&amp;"REGEXEXTRACT($A4,"".*_(.*)"")))/sum(filter(
Master_Mapping_Sheet!$E$2:$E$3143, ISNUMBER(
Master_Mapping_Sheet!$E$2:$E$3143),
Master_Mapping_Sheet!$H$2:$H$3143=S$1)))"),0.0)</f>
        <v>0</v>
      </c>
      <c r="T4" s="34">
        <f>IFERROR(__xludf.DUMMYFUNCTION("IF(ISNA(sum(filter(
Master_Mapping_Sheet!$E$2:$E$3143, ISNUMBER(
Master_Mapping_Sheet!$E$2:$E$3143),
Master_Mapping_Sheet!$H$2:$H$3143=T$1,
Master_Mapping_Sheet!$N$2:$N$3143=REGEXEXTRACT($A4,"".*_(.*)"")))/sum(filter(
Master_Mapping_Sheet!$E$2:$E$3143, IS"&amp;"NUMBER(
Master_Mapping_Sheet!$E$2:$E$3143),
Master_Mapping_Sheet!$H$2:$H$3143=T$1))), 0, sum(filter(
Master_Mapping_Sheet!$E$2:$E$3143, ISNUMBER(
Master_Mapping_Sheet!$E$2:$E$3143),
Master_Mapping_Sheet!$H$2:$H$3143=T$1,
Master_Mapping_Sheet!$N$2:$N$3143="&amp;"REGEXEXTRACT($A4,"".*_(.*)"")))/sum(filter(
Master_Mapping_Sheet!$E$2:$E$3143, ISNUMBER(
Master_Mapping_Sheet!$E$2:$E$3143),
Master_Mapping_Sheet!$H$2:$H$3143=T$1)))"),0.14341354157955086)</f>
        <v>0.1434135416</v>
      </c>
      <c r="U4" s="34">
        <f>IFERROR(__xludf.DUMMYFUNCTION("IF(ISNA(sum(filter(
Master_Mapping_Sheet!$E$2:$E$3143, ISNUMBER(
Master_Mapping_Sheet!$E$2:$E$3143),
Master_Mapping_Sheet!$H$2:$H$3143=U$1,
Master_Mapping_Sheet!$N$2:$N$3143=REGEXEXTRACT($A4,"".*_(.*)"")))/sum(filter(
Master_Mapping_Sheet!$E$2:$E$3143, IS"&amp;"NUMBER(
Master_Mapping_Sheet!$E$2:$E$3143),
Master_Mapping_Sheet!$H$2:$H$3143=U$1))), 0, sum(filter(
Master_Mapping_Sheet!$E$2:$E$3143, ISNUMBER(
Master_Mapping_Sheet!$E$2:$E$3143),
Master_Mapping_Sheet!$H$2:$H$3143=U$1,
Master_Mapping_Sheet!$N$2:$N$3143="&amp;"REGEXEXTRACT($A4,"".*_(.*)"")))/sum(filter(
Master_Mapping_Sheet!$E$2:$E$3143, ISNUMBER(
Master_Mapping_Sheet!$E$2:$E$3143),
Master_Mapping_Sheet!$H$2:$H$3143=U$1)))"),0.0)</f>
        <v>0</v>
      </c>
      <c r="V4" s="34">
        <f>IFERROR(__xludf.DUMMYFUNCTION("IF(ISNA(sum(filter(
Master_Mapping_Sheet!$E$2:$E$3143, ISNUMBER(
Master_Mapping_Sheet!$E$2:$E$3143),
Master_Mapping_Sheet!$H$2:$H$3143=V$1,
Master_Mapping_Sheet!$N$2:$N$3143=REGEXEXTRACT($A4,"".*_(.*)"")))/sum(filter(
Master_Mapping_Sheet!$E$2:$E$3143, IS"&amp;"NUMBER(
Master_Mapping_Sheet!$E$2:$E$3143),
Master_Mapping_Sheet!$H$2:$H$3143=V$1))), 0, sum(filter(
Master_Mapping_Sheet!$E$2:$E$3143, ISNUMBER(
Master_Mapping_Sheet!$E$2:$E$3143),
Master_Mapping_Sheet!$H$2:$H$3143=V$1,
Master_Mapping_Sheet!$N$2:$N$3143="&amp;"REGEXEXTRACT($A4,"".*_(.*)"")))/sum(filter(
Master_Mapping_Sheet!$E$2:$E$3143, ISNUMBER(
Master_Mapping_Sheet!$E$2:$E$3143),
Master_Mapping_Sheet!$H$2:$H$3143=V$1)))"),0.0)</f>
        <v>0</v>
      </c>
      <c r="W4" s="34">
        <f>IFERROR(__xludf.DUMMYFUNCTION("IF(ISNA(sum(filter(
Master_Mapping_Sheet!$E$2:$E$3143, ISNUMBER(
Master_Mapping_Sheet!$E$2:$E$3143),
Master_Mapping_Sheet!$H$2:$H$3143=W$1,
Master_Mapping_Sheet!$N$2:$N$3143=REGEXEXTRACT($A4,"".*_(.*)"")))/sum(filter(
Master_Mapping_Sheet!$E$2:$E$3143, IS"&amp;"NUMBER(
Master_Mapping_Sheet!$E$2:$E$3143),
Master_Mapping_Sheet!$H$2:$H$3143=W$1))), 0, sum(filter(
Master_Mapping_Sheet!$E$2:$E$3143, ISNUMBER(
Master_Mapping_Sheet!$E$2:$E$3143),
Master_Mapping_Sheet!$H$2:$H$3143=W$1,
Master_Mapping_Sheet!$N$2:$N$3143="&amp;"REGEXEXTRACT($A4,"".*_(.*)"")))/sum(filter(
Master_Mapping_Sheet!$E$2:$E$3143, ISNUMBER(
Master_Mapping_Sheet!$E$2:$E$3143),
Master_Mapping_Sheet!$H$2:$H$3143=W$1)))"),0.0)</f>
        <v>0</v>
      </c>
      <c r="X4" s="34">
        <f>IFERROR(__xludf.DUMMYFUNCTION("IF(ISNA(sum(filter(
Master_Mapping_Sheet!$E$2:$E$3143, ISNUMBER(
Master_Mapping_Sheet!$E$2:$E$3143),
Master_Mapping_Sheet!$H$2:$H$3143=X$1,
Master_Mapping_Sheet!$N$2:$N$3143=REGEXEXTRACT($A4,"".*_(.*)"")))/sum(filter(
Master_Mapping_Sheet!$E$2:$E$3143, IS"&amp;"NUMBER(
Master_Mapping_Sheet!$E$2:$E$3143),
Master_Mapping_Sheet!$H$2:$H$3143=X$1))), 0, sum(filter(
Master_Mapping_Sheet!$E$2:$E$3143, ISNUMBER(
Master_Mapping_Sheet!$E$2:$E$3143),
Master_Mapping_Sheet!$H$2:$H$3143=X$1,
Master_Mapping_Sheet!$N$2:$N$3143="&amp;"REGEXEXTRACT($A4,"".*_(.*)"")))/sum(filter(
Master_Mapping_Sheet!$E$2:$E$3143, ISNUMBER(
Master_Mapping_Sheet!$E$2:$E$3143),
Master_Mapping_Sheet!$H$2:$H$3143=X$1)))"),0.0)</f>
        <v>0</v>
      </c>
      <c r="Y4" s="34">
        <f>IFERROR(__xludf.DUMMYFUNCTION("IF(ISNA(sum(filter(
Master_Mapping_Sheet!$E$2:$E$3143, ISNUMBER(
Master_Mapping_Sheet!$E$2:$E$3143),
Master_Mapping_Sheet!$H$2:$H$3143=Y$1,
Master_Mapping_Sheet!$N$2:$N$3143=REGEXEXTRACT($A4,"".*_(.*)"")))/sum(filter(
Master_Mapping_Sheet!$E$2:$E$3143, IS"&amp;"NUMBER(
Master_Mapping_Sheet!$E$2:$E$3143),
Master_Mapping_Sheet!$H$2:$H$3143=Y$1))), 0, sum(filter(
Master_Mapping_Sheet!$E$2:$E$3143, ISNUMBER(
Master_Mapping_Sheet!$E$2:$E$3143),
Master_Mapping_Sheet!$H$2:$H$3143=Y$1,
Master_Mapping_Sheet!$N$2:$N$3143="&amp;"REGEXEXTRACT($A4,"".*_(.*)"")))/sum(filter(
Master_Mapping_Sheet!$E$2:$E$3143, ISNUMBER(
Master_Mapping_Sheet!$E$2:$E$3143),
Master_Mapping_Sheet!$H$2:$H$3143=Y$1)))"),0.024395124813766565)</f>
        <v>0.02439512481</v>
      </c>
      <c r="Z4" s="34">
        <f>IFERROR(__xludf.DUMMYFUNCTION("IF(ISNA(sum(filter(
Master_Mapping_Sheet!$E$2:$E$3143, ISNUMBER(
Master_Mapping_Sheet!$E$2:$E$3143),
Master_Mapping_Sheet!$H$2:$H$3143=Z$1,
Master_Mapping_Sheet!$N$2:$N$3143=REGEXEXTRACT($A4,"".*_(.*)"")))/sum(filter(
Master_Mapping_Sheet!$E$2:$E$3143, IS"&amp;"NUMBER(
Master_Mapping_Sheet!$E$2:$E$3143),
Master_Mapping_Sheet!$H$2:$H$3143=Z$1))), 0, sum(filter(
Master_Mapping_Sheet!$E$2:$E$3143, ISNUMBER(
Master_Mapping_Sheet!$E$2:$E$3143),
Master_Mapping_Sheet!$H$2:$H$3143=Z$1,
Master_Mapping_Sheet!$N$2:$N$3143="&amp;"REGEXEXTRACT($A4,"".*_(.*)"")))/sum(filter(
Master_Mapping_Sheet!$E$2:$E$3143, ISNUMBER(
Master_Mapping_Sheet!$E$2:$E$3143),
Master_Mapping_Sheet!$H$2:$H$3143=Z$1)))"),0.006238823249404249)</f>
        <v>0.006238823249</v>
      </c>
    </row>
    <row r="5" ht="15.75" customHeight="1">
      <c r="A5" s="45" t="s">
        <v>4263</v>
      </c>
      <c r="B5" s="34">
        <f>IFERROR(__xludf.DUMMYFUNCTION("IF(ISNA(sum(filter(
Master_Mapping_Sheet!$E$2:$E$3143, ISNUMBER(
Master_Mapping_Sheet!$E$2:$E$3143),
Master_Mapping_Sheet!$H$2:$H$3143=B$1,
Master_Mapping_Sheet!$N$2:$N$3143=REGEXEXTRACT($A5,"".*_(.*)"")))/sum(filter(
Master_Mapping_Sheet!$E$2:$E$3143, IS"&amp;"NUMBER(
Master_Mapping_Sheet!$E$2:$E$3143),
Master_Mapping_Sheet!$H$2:$H$3143=B$1))), 0, sum(filter(
Master_Mapping_Sheet!$E$2:$E$3143, ISNUMBER(
Master_Mapping_Sheet!$E$2:$E$3143),
Master_Mapping_Sheet!$H$2:$H$3143=B$1,
Master_Mapping_Sheet!$N$2:$N$3143="&amp;"REGEXEXTRACT($A5,"".*_(.*)"")))/sum(filter(
Master_Mapping_Sheet!$E$2:$E$3143, ISNUMBER(
Master_Mapping_Sheet!$E$2:$E$3143),
Master_Mapping_Sheet!$H$2:$H$3143=B$1)))"),0.0)</f>
        <v>0</v>
      </c>
      <c r="C5" s="34">
        <f>IFERROR(__xludf.DUMMYFUNCTION("IF(ISNA(sum(filter(
Master_Mapping_Sheet!$E$2:$E$3143, ISNUMBER(
Master_Mapping_Sheet!$E$2:$E$3143),
Master_Mapping_Sheet!$H$2:$H$3143=C$1,
Master_Mapping_Sheet!$N$2:$N$3143=REGEXEXTRACT($A5,"".*_(.*)"")))/sum(filter(
Master_Mapping_Sheet!$E$2:$E$3143, IS"&amp;"NUMBER(
Master_Mapping_Sheet!$E$2:$E$3143),
Master_Mapping_Sheet!$H$2:$H$3143=C$1))), 0, sum(filter(
Master_Mapping_Sheet!$E$2:$E$3143, ISNUMBER(
Master_Mapping_Sheet!$E$2:$E$3143),
Master_Mapping_Sheet!$H$2:$H$3143=C$1,
Master_Mapping_Sheet!$N$2:$N$3143="&amp;"REGEXEXTRACT($A5,"".*_(.*)"")))/sum(filter(
Master_Mapping_Sheet!$E$2:$E$3143, ISNUMBER(
Master_Mapping_Sheet!$E$2:$E$3143),
Master_Mapping_Sheet!$H$2:$H$3143=C$1)))"),0.0)</f>
        <v>0</v>
      </c>
      <c r="D5" s="34">
        <f>IFERROR(__xludf.DUMMYFUNCTION("IF(ISNA(sum(filter(
Master_Mapping_Sheet!$E$2:$E$3143, ISNUMBER(
Master_Mapping_Sheet!$E$2:$E$3143),
Master_Mapping_Sheet!$H$2:$H$3143=D$1,
Master_Mapping_Sheet!$N$2:$N$3143=REGEXEXTRACT($A5,"".*_(.*)"")))/sum(filter(
Master_Mapping_Sheet!$E$2:$E$3143, IS"&amp;"NUMBER(
Master_Mapping_Sheet!$E$2:$E$3143),
Master_Mapping_Sheet!$H$2:$H$3143=D$1))), 0, sum(filter(
Master_Mapping_Sheet!$E$2:$E$3143, ISNUMBER(
Master_Mapping_Sheet!$E$2:$E$3143),
Master_Mapping_Sheet!$H$2:$H$3143=D$1,
Master_Mapping_Sheet!$N$2:$N$3143="&amp;"REGEXEXTRACT($A5,"".*_(.*)"")))/sum(filter(
Master_Mapping_Sheet!$E$2:$E$3143, ISNUMBER(
Master_Mapping_Sheet!$E$2:$E$3143),
Master_Mapping_Sheet!$H$2:$H$3143=D$1)))"),0.0)</f>
        <v>0</v>
      </c>
      <c r="E5" s="34">
        <f>IFERROR(__xludf.DUMMYFUNCTION("IF(ISNA(sum(filter(
Master_Mapping_Sheet!$E$2:$E$3143, ISNUMBER(
Master_Mapping_Sheet!$E$2:$E$3143),
Master_Mapping_Sheet!$H$2:$H$3143=E$1,
Master_Mapping_Sheet!$N$2:$N$3143=REGEXEXTRACT($A5,"".*_(.*)"")))/sum(filter(
Master_Mapping_Sheet!$E$2:$E$3143, IS"&amp;"NUMBER(
Master_Mapping_Sheet!$E$2:$E$3143),
Master_Mapping_Sheet!$H$2:$H$3143=E$1))), 0, sum(filter(
Master_Mapping_Sheet!$E$2:$E$3143, ISNUMBER(
Master_Mapping_Sheet!$E$2:$E$3143),
Master_Mapping_Sheet!$H$2:$H$3143=E$1,
Master_Mapping_Sheet!$N$2:$N$3143="&amp;"REGEXEXTRACT($A5,"".*_(.*)"")))/sum(filter(
Master_Mapping_Sheet!$E$2:$E$3143, ISNUMBER(
Master_Mapping_Sheet!$E$2:$E$3143),
Master_Mapping_Sheet!$H$2:$H$3143=E$1)))"),0.0)</f>
        <v>0</v>
      </c>
      <c r="F5" s="34">
        <f>IFERROR(__xludf.DUMMYFUNCTION("IF(ISNA(sum(filter(
Master_Mapping_Sheet!$E$2:$E$3143, ISNUMBER(
Master_Mapping_Sheet!$E$2:$E$3143),
Master_Mapping_Sheet!$H$2:$H$3143=F$1,
Master_Mapping_Sheet!$N$2:$N$3143=REGEXEXTRACT($A5,"".*_(.*)"")))/sum(filter(
Master_Mapping_Sheet!$E$2:$E$3143, IS"&amp;"NUMBER(
Master_Mapping_Sheet!$E$2:$E$3143),
Master_Mapping_Sheet!$H$2:$H$3143=F$1))), 0, sum(filter(
Master_Mapping_Sheet!$E$2:$E$3143, ISNUMBER(
Master_Mapping_Sheet!$E$2:$E$3143),
Master_Mapping_Sheet!$H$2:$H$3143=F$1,
Master_Mapping_Sheet!$N$2:$N$3143="&amp;"REGEXEXTRACT($A5,"".*_(.*)"")))/sum(filter(
Master_Mapping_Sheet!$E$2:$E$3143, ISNUMBER(
Master_Mapping_Sheet!$E$2:$E$3143),
Master_Mapping_Sheet!$H$2:$H$3143=F$1)))"),0.0)</f>
        <v>0</v>
      </c>
      <c r="G5" s="34">
        <f>IFERROR(__xludf.DUMMYFUNCTION("IF(ISNA(sum(filter(
Master_Mapping_Sheet!$E$2:$E$3143, ISNUMBER(
Master_Mapping_Sheet!$E$2:$E$3143),
Master_Mapping_Sheet!$H$2:$H$3143=G$1,
Master_Mapping_Sheet!$N$2:$N$3143=REGEXEXTRACT($A5,"".*_(.*)"")))/sum(filter(
Master_Mapping_Sheet!$E$2:$E$3143, IS"&amp;"NUMBER(
Master_Mapping_Sheet!$E$2:$E$3143),
Master_Mapping_Sheet!$H$2:$H$3143=G$1))), 0, sum(filter(
Master_Mapping_Sheet!$E$2:$E$3143, ISNUMBER(
Master_Mapping_Sheet!$E$2:$E$3143),
Master_Mapping_Sheet!$H$2:$H$3143=G$1,
Master_Mapping_Sheet!$N$2:$N$3143="&amp;"REGEXEXTRACT($A5,"".*_(.*)"")))/sum(filter(
Master_Mapping_Sheet!$E$2:$E$3143, ISNUMBER(
Master_Mapping_Sheet!$E$2:$E$3143),
Master_Mapping_Sheet!$H$2:$H$3143=G$1)))"),0.0)</f>
        <v>0</v>
      </c>
      <c r="H5" s="34">
        <f>IFERROR(__xludf.DUMMYFUNCTION("IF(ISNA(sum(filter(
Master_Mapping_Sheet!$E$2:$E$3143, ISNUMBER(
Master_Mapping_Sheet!$E$2:$E$3143),
Master_Mapping_Sheet!$H$2:$H$3143=H$1,
Master_Mapping_Sheet!$N$2:$N$3143=REGEXEXTRACT($A5,"".*_(.*)"")))/sum(filter(
Master_Mapping_Sheet!$E$2:$E$3143, IS"&amp;"NUMBER(
Master_Mapping_Sheet!$E$2:$E$3143),
Master_Mapping_Sheet!$H$2:$H$3143=H$1))), 0, sum(filter(
Master_Mapping_Sheet!$E$2:$E$3143, ISNUMBER(
Master_Mapping_Sheet!$E$2:$E$3143),
Master_Mapping_Sheet!$H$2:$H$3143=H$1,
Master_Mapping_Sheet!$N$2:$N$3143="&amp;"REGEXEXTRACT($A5,"".*_(.*)"")))/sum(filter(
Master_Mapping_Sheet!$E$2:$E$3143, ISNUMBER(
Master_Mapping_Sheet!$E$2:$E$3143),
Master_Mapping_Sheet!$H$2:$H$3143=H$1)))"),0.0)</f>
        <v>0</v>
      </c>
      <c r="I5" s="34">
        <f>IFERROR(__xludf.DUMMYFUNCTION("IF(ISNA(sum(filter(
Master_Mapping_Sheet!$E$2:$E$3143, ISNUMBER(
Master_Mapping_Sheet!$E$2:$E$3143),
Master_Mapping_Sheet!$H$2:$H$3143=I$1,
Master_Mapping_Sheet!$N$2:$N$3143=REGEXEXTRACT($A5,"".*_(.*)"")))/sum(filter(
Master_Mapping_Sheet!$E$2:$E$3143, IS"&amp;"NUMBER(
Master_Mapping_Sheet!$E$2:$E$3143),
Master_Mapping_Sheet!$H$2:$H$3143=I$1))), 0, sum(filter(
Master_Mapping_Sheet!$E$2:$E$3143, ISNUMBER(
Master_Mapping_Sheet!$E$2:$E$3143),
Master_Mapping_Sheet!$H$2:$H$3143=I$1,
Master_Mapping_Sheet!$N$2:$N$3143="&amp;"REGEXEXTRACT($A5,"".*_(.*)"")))/sum(filter(
Master_Mapping_Sheet!$E$2:$E$3143, ISNUMBER(
Master_Mapping_Sheet!$E$2:$E$3143),
Master_Mapping_Sheet!$H$2:$H$3143=I$1)))"),0.0)</f>
        <v>0</v>
      </c>
      <c r="J5" s="34">
        <f>IFERROR(__xludf.DUMMYFUNCTION("IF(ISNA(sum(filter(
Master_Mapping_Sheet!$E$2:$E$3143, ISNUMBER(
Master_Mapping_Sheet!$E$2:$E$3143),
Master_Mapping_Sheet!$H$2:$H$3143=J$1,
Master_Mapping_Sheet!$N$2:$N$3143=REGEXEXTRACT($A5,"".*_(.*)"")))/sum(filter(
Master_Mapping_Sheet!$E$2:$E$3143, IS"&amp;"NUMBER(
Master_Mapping_Sheet!$E$2:$E$3143),
Master_Mapping_Sheet!$H$2:$H$3143=J$1))), 0, sum(filter(
Master_Mapping_Sheet!$E$2:$E$3143, ISNUMBER(
Master_Mapping_Sheet!$E$2:$E$3143),
Master_Mapping_Sheet!$H$2:$H$3143=J$1,
Master_Mapping_Sheet!$N$2:$N$3143="&amp;"REGEXEXTRACT($A5,"".*_(.*)"")))/sum(filter(
Master_Mapping_Sheet!$E$2:$E$3143, ISNUMBER(
Master_Mapping_Sheet!$E$2:$E$3143),
Master_Mapping_Sheet!$H$2:$H$3143=J$1)))"),0.0)</f>
        <v>0</v>
      </c>
      <c r="K5" s="34">
        <f>IFERROR(__xludf.DUMMYFUNCTION("IF(ISNA(sum(filter(
Master_Mapping_Sheet!$E$2:$E$3143, ISNUMBER(
Master_Mapping_Sheet!$E$2:$E$3143),
Master_Mapping_Sheet!$H$2:$H$3143=K$1,
Master_Mapping_Sheet!$N$2:$N$3143=REGEXEXTRACT($A5,"".*_(.*)"")))/sum(filter(
Master_Mapping_Sheet!$E$2:$E$3143, IS"&amp;"NUMBER(
Master_Mapping_Sheet!$E$2:$E$3143),
Master_Mapping_Sheet!$H$2:$H$3143=K$1))), 0, sum(filter(
Master_Mapping_Sheet!$E$2:$E$3143, ISNUMBER(
Master_Mapping_Sheet!$E$2:$E$3143),
Master_Mapping_Sheet!$H$2:$H$3143=K$1,
Master_Mapping_Sheet!$N$2:$N$3143="&amp;"REGEXEXTRACT($A5,"".*_(.*)"")))/sum(filter(
Master_Mapping_Sheet!$E$2:$E$3143, ISNUMBER(
Master_Mapping_Sheet!$E$2:$E$3143),
Master_Mapping_Sheet!$H$2:$H$3143=K$1)))"),0.0)</f>
        <v>0</v>
      </c>
      <c r="L5" s="34">
        <f>IFERROR(__xludf.DUMMYFUNCTION("IF(ISNA(sum(filter(
Master_Mapping_Sheet!$E$2:$E$3143, ISNUMBER(
Master_Mapping_Sheet!$E$2:$E$3143),
Master_Mapping_Sheet!$H$2:$H$3143=L$1,
Master_Mapping_Sheet!$N$2:$N$3143=REGEXEXTRACT($A5,"".*_(.*)"")))/sum(filter(
Master_Mapping_Sheet!$E$2:$E$3143, IS"&amp;"NUMBER(
Master_Mapping_Sheet!$E$2:$E$3143),
Master_Mapping_Sheet!$H$2:$H$3143=L$1))), 0, sum(filter(
Master_Mapping_Sheet!$E$2:$E$3143, ISNUMBER(
Master_Mapping_Sheet!$E$2:$E$3143),
Master_Mapping_Sheet!$H$2:$H$3143=L$1,
Master_Mapping_Sheet!$N$2:$N$3143="&amp;"REGEXEXTRACT($A5,"".*_(.*)"")))/sum(filter(
Master_Mapping_Sheet!$E$2:$E$3143, ISNUMBER(
Master_Mapping_Sheet!$E$2:$E$3143),
Master_Mapping_Sheet!$H$2:$H$3143=L$1)))"),0.0)</f>
        <v>0</v>
      </c>
      <c r="M5" s="34">
        <f>IFERROR(__xludf.DUMMYFUNCTION("IF(ISNA(sum(filter(
Master_Mapping_Sheet!$E$2:$E$3143, ISNUMBER(
Master_Mapping_Sheet!$E$2:$E$3143),
Master_Mapping_Sheet!$H$2:$H$3143=M$1,
Master_Mapping_Sheet!$N$2:$N$3143=REGEXEXTRACT($A5,"".*_(.*)"")))/sum(filter(
Master_Mapping_Sheet!$E$2:$E$3143, IS"&amp;"NUMBER(
Master_Mapping_Sheet!$E$2:$E$3143),
Master_Mapping_Sheet!$H$2:$H$3143=M$1))), 0, sum(filter(
Master_Mapping_Sheet!$E$2:$E$3143, ISNUMBER(
Master_Mapping_Sheet!$E$2:$E$3143),
Master_Mapping_Sheet!$H$2:$H$3143=M$1,
Master_Mapping_Sheet!$N$2:$N$3143="&amp;"REGEXEXTRACT($A5,"".*_(.*)"")))/sum(filter(
Master_Mapping_Sheet!$E$2:$E$3143, ISNUMBER(
Master_Mapping_Sheet!$E$2:$E$3143),
Master_Mapping_Sheet!$H$2:$H$3143=M$1)))"),0.0)</f>
        <v>0</v>
      </c>
      <c r="N5" s="34">
        <f>IFERROR(__xludf.DUMMYFUNCTION("IF(ISNA(sum(filter(
Master_Mapping_Sheet!$E$2:$E$3143, ISNUMBER(
Master_Mapping_Sheet!$E$2:$E$3143),
Master_Mapping_Sheet!$H$2:$H$3143=N$1,
Master_Mapping_Sheet!$N$2:$N$3143=REGEXEXTRACT($A5,"".*_(.*)"")))/sum(filter(
Master_Mapping_Sheet!$E$2:$E$3143, IS"&amp;"NUMBER(
Master_Mapping_Sheet!$E$2:$E$3143),
Master_Mapping_Sheet!$H$2:$H$3143=N$1))), 0, sum(filter(
Master_Mapping_Sheet!$E$2:$E$3143, ISNUMBER(
Master_Mapping_Sheet!$E$2:$E$3143),
Master_Mapping_Sheet!$H$2:$H$3143=N$1,
Master_Mapping_Sheet!$N$2:$N$3143="&amp;"REGEXEXTRACT($A5,"".*_(.*)"")))/sum(filter(
Master_Mapping_Sheet!$E$2:$E$3143, ISNUMBER(
Master_Mapping_Sheet!$E$2:$E$3143),
Master_Mapping_Sheet!$H$2:$H$3143=N$1)))"),0.0)</f>
        <v>0</v>
      </c>
      <c r="O5" s="34">
        <f>IFERROR(__xludf.DUMMYFUNCTION("IF(ISNA(sum(filter(
Master_Mapping_Sheet!$E$2:$E$3143, ISNUMBER(
Master_Mapping_Sheet!$E$2:$E$3143),
Master_Mapping_Sheet!$H$2:$H$3143=O$1,
Master_Mapping_Sheet!$N$2:$N$3143=REGEXEXTRACT($A5,"".*_(.*)"")))/sum(filter(
Master_Mapping_Sheet!$E$2:$E$3143, IS"&amp;"NUMBER(
Master_Mapping_Sheet!$E$2:$E$3143),
Master_Mapping_Sheet!$H$2:$H$3143=O$1))), 0, sum(filter(
Master_Mapping_Sheet!$E$2:$E$3143, ISNUMBER(
Master_Mapping_Sheet!$E$2:$E$3143),
Master_Mapping_Sheet!$H$2:$H$3143=O$1,
Master_Mapping_Sheet!$N$2:$N$3143="&amp;"REGEXEXTRACT($A5,"".*_(.*)"")))/sum(filter(
Master_Mapping_Sheet!$E$2:$E$3143, ISNUMBER(
Master_Mapping_Sheet!$E$2:$E$3143),
Master_Mapping_Sheet!$H$2:$H$3143=O$1)))"),0.0)</f>
        <v>0</v>
      </c>
      <c r="P5" s="34">
        <f>IFERROR(__xludf.DUMMYFUNCTION("IF(ISNA(sum(filter(
Master_Mapping_Sheet!$E$2:$E$3143, ISNUMBER(
Master_Mapping_Sheet!$E$2:$E$3143),
Master_Mapping_Sheet!$H$2:$H$3143=P$1,
Master_Mapping_Sheet!$N$2:$N$3143=REGEXEXTRACT($A5,"".*_(.*)"")))/sum(filter(
Master_Mapping_Sheet!$E$2:$E$3143, IS"&amp;"NUMBER(
Master_Mapping_Sheet!$E$2:$E$3143),
Master_Mapping_Sheet!$H$2:$H$3143=P$1))), 0, sum(filter(
Master_Mapping_Sheet!$E$2:$E$3143, ISNUMBER(
Master_Mapping_Sheet!$E$2:$E$3143),
Master_Mapping_Sheet!$H$2:$H$3143=P$1,
Master_Mapping_Sheet!$N$2:$N$3143="&amp;"REGEXEXTRACT($A5,"".*_(.*)"")))/sum(filter(
Master_Mapping_Sheet!$E$2:$E$3143, ISNUMBER(
Master_Mapping_Sheet!$E$2:$E$3143),
Master_Mapping_Sheet!$H$2:$H$3143=P$1)))"),0.0)</f>
        <v>0</v>
      </c>
      <c r="Q5" s="34">
        <f>IFERROR(__xludf.DUMMYFUNCTION("IF(ISNA(sum(filter(
Master_Mapping_Sheet!$E$2:$E$3143, ISNUMBER(
Master_Mapping_Sheet!$E$2:$E$3143),
Master_Mapping_Sheet!$H$2:$H$3143=Q$1,
Master_Mapping_Sheet!$N$2:$N$3143=REGEXEXTRACT($A5,"".*_(.*)"")))/sum(filter(
Master_Mapping_Sheet!$E$2:$E$3143, IS"&amp;"NUMBER(
Master_Mapping_Sheet!$E$2:$E$3143),
Master_Mapping_Sheet!$H$2:$H$3143=Q$1))), 0, sum(filter(
Master_Mapping_Sheet!$E$2:$E$3143, ISNUMBER(
Master_Mapping_Sheet!$E$2:$E$3143),
Master_Mapping_Sheet!$H$2:$H$3143=Q$1,
Master_Mapping_Sheet!$N$2:$N$3143="&amp;"REGEXEXTRACT($A5,"".*_(.*)"")))/sum(filter(
Master_Mapping_Sheet!$E$2:$E$3143, ISNUMBER(
Master_Mapping_Sheet!$E$2:$E$3143),
Master_Mapping_Sheet!$H$2:$H$3143=Q$1)))"),0.0)</f>
        <v>0</v>
      </c>
      <c r="R5" s="34">
        <f>IFERROR(__xludf.DUMMYFUNCTION("IF(ISNA(sum(filter(
Master_Mapping_Sheet!$E$2:$E$3143, ISNUMBER(
Master_Mapping_Sheet!$E$2:$E$3143),
Master_Mapping_Sheet!$H$2:$H$3143=R$1,
Master_Mapping_Sheet!$N$2:$N$3143=REGEXEXTRACT($A5,"".*_(.*)"")))/sum(filter(
Master_Mapping_Sheet!$E$2:$E$3143, IS"&amp;"NUMBER(
Master_Mapping_Sheet!$E$2:$E$3143),
Master_Mapping_Sheet!$H$2:$H$3143=R$1))), 0, sum(filter(
Master_Mapping_Sheet!$E$2:$E$3143, ISNUMBER(
Master_Mapping_Sheet!$E$2:$E$3143),
Master_Mapping_Sheet!$H$2:$H$3143=R$1,
Master_Mapping_Sheet!$N$2:$N$3143="&amp;"REGEXEXTRACT($A5,"".*_(.*)"")))/sum(filter(
Master_Mapping_Sheet!$E$2:$E$3143, ISNUMBER(
Master_Mapping_Sheet!$E$2:$E$3143),
Master_Mapping_Sheet!$H$2:$H$3143=R$1)))"),0.0)</f>
        <v>0</v>
      </c>
      <c r="S5" s="34">
        <f>IFERROR(__xludf.DUMMYFUNCTION("IF(ISNA(sum(filter(
Master_Mapping_Sheet!$E$2:$E$3143, ISNUMBER(
Master_Mapping_Sheet!$E$2:$E$3143),
Master_Mapping_Sheet!$H$2:$H$3143=S$1,
Master_Mapping_Sheet!$N$2:$N$3143=REGEXEXTRACT($A5,"".*_(.*)"")))/sum(filter(
Master_Mapping_Sheet!$E$2:$E$3143, IS"&amp;"NUMBER(
Master_Mapping_Sheet!$E$2:$E$3143),
Master_Mapping_Sheet!$H$2:$H$3143=S$1))), 0, sum(filter(
Master_Mapping_Sheet!$E$2:$E$3143, ISNUMBER(
Master_Mapping_Sheet!$E$2:$E$3143),
Master_Mapping_Sheet!$H$2:$H$3143=S$1,
Master_Mapping_Sheet!$N$2:$N$3143="&amp;"REGEXEXTRACT($A5,"".*_(.*)"")))/sum(filter(
Master_Mapping_Sheet!$E$2:$E$3143, ISNUMBER(
Master_Mapping_Sheet!$E$2:$E$3143),
Master_Mapping_Sheet!$H$2:$H$3143=S$1)))"),0.0)</f>
        <v>0</v>
      </c>
      <c r="T5" s="34">
        <f>IFERROR(__xludf.DUMMYFUNCTION("IF(ISNA(sum(filter(
Master_Mapping_Sheet!$E$2:$E$3143, ISNUMBER(
Master_Mapping_Sheet!$E$2:$E$3143),
Master_Mapping_Sheet!$H$2:$H$3143=T$1,
Master_Mapping_Sheet!$N$2:$N$3143=REGEXEXTRACT($A5,"".*_(.*)"")))/sum(filter(
Master_Mapping_Sheet!$E$2:$E$3143, IS"&amp;"NUMBER(
Master_Mapping_Sheet!$E$2:$E$3143),
Master_Mapping_Sheet!$H$2:$H$3143=T$1))), 0, sum(filter(
Master_Mapping_Sheet!$E$2:$E$3143, ISNUMBER(
Master_Mapping_Sheet!$E$2:$E$3143),
Master_Mapping_Sheet!$H$2:$H$3143=T$1,
Master_Mapping_Sheet!$N$2:$N$3143="&amp;"REGEXEXTRACT($A5,"".*_(.*)"")))/sum(filter(
Master_Mapping_Sheet!$E$2:$E$3143, ISNUMBER(
Master_Mapping_Sheet!$E$2:$E$3143),
Master_Mapping_Sheet!$H$2:$H$3143=T$1)))"),0.0)</f>
        <v>0</v>
      </c>
      <c r="U5" s="34">
        <f>IFERROR(__xludf.DUMMYFUNCTION("IF(ISNA(sum(filter(
Master_Mapping_Sheet!$E$2:$E$3143, ISNUMBER(
Master_Mapping_Sheet!$E$2:$E$3143),
Master_Mapping_Sheet!$H$2:$H$3143=U$1,
Master_Mapping_Sheet!$N$2:$N$3143=REGEXEXTRACT($A5,"".*_(.*)"")))/sum(filter(
Master_Mapping_Sheet!$E$2:$E$3143, IS"&amp;"NUMBER(
Master_Mapping_Sheet!$E$2:$E$3143),
Master_Mapping_Sheet!$H$2:$H$3143=U$1))), 0, sum(filter(
Master_Mapping_Sheet!$E$2:$E$3143, ISNUMBER(
Master_Mapping_Sheet!$E$2:$E$3143),
Master_Mapping_Sheet!$H$2:$H$3143=U$1,
Master_Mapping_Sheet!$N$2:$N$3143="&amp;"REGEXEXTRACT($A5,"".*_(.*)"")))/sum(filter(
Master_Mapping_Sheet!$E$2:$E$3143, ISNUMBER(
Master_Mapping_Sheet!$E$2:$E$3143),
Master_Mapping_Sheet!$H$2:$H$3143=U$1)))"),0.0)</f>
        <v>0</v>
      </c>
      <c r="V5" s="34">
        <f>IFERROR(__xludf.DUMMYFUNCTION("IF(ISNA(sum(filter(
Master_Mapping_Sheet!$E$2:$E$3143, ISNUMBER(
Master_Mapping_Sheet!$E$2:$E$3143),
Master_Mapping_Sheet!$H$2:$H$3143=V$1,
Master_Mapping_Sheet!$N$2:$N$3143=REGEXEXTRACT($A5,"".*_(.*)"")))/sum(filter(
Master_Mapping_Sheet!$E$2:$E$3143, IS"&amp;"NUMBER(
Master_Mapping_Sheet!$E$2:$E$3143),
Master_Mapping_Sheet!$H$2:$H$3143=V$1))), 0, sum(filter(
Master_Mapping_Sheet!$E$2:$E$3143, ISNUMBER(
Master_Mapping_Sheet!$E$2:$E$3143),
Master_Mapping_Sheet!$H$2:$H$3143=V$1,
Master_Mapping_Sheet!$N$2:$N$3143="&amp;"REGEXEXTRACT($A5,"".*_(.*)"")))/sum(filter(
Master_Mapping_Sheet!$E$2:$E$3143, ISNUMBER(
Master_Mapping_Sheet!$E$2:$E$3143),
Master_Mapping_Sheet!$H$2:$H$3143=V$1)))"),0.0)</f>
        <v>0</v>
      </c>
      <c r="W5" s="34">
        <f>IFERROR(__xludf.DUMMYFUNCTION("IF(ISNA(sum(filter(
Master_Mapping_Sheet!$E$2:$E$3143, ISNUMBER(
Master_Mapping_Sheet!$E$2:$E$3143),
Master_Mapping_Sheet!$H$2:$H$3143=W$1,
Master_Mapping_Sheet!$N$2:$N$3143=REGEXEXTRACT($A5,"".*_(.*)"")))/sum(filter(
Master_Mapping_Sheet!$E$2:$E$3143, IS"&amp;"NUMBER(
Master_Mapping_Sheet!$E$2:$E$3143),
Master_Mapping_Sheet!$H$2:$H$3143=W$1))), 0, sum(filter(
Master_Mapping_Sheet!$E$2:$E$3143, ISNUMBER(
Master_Mapping_Sheet!$E$2:$E$3143),
Master_Mapping_Sheet!$H$2:$H$3143=W$1,
Master_Mapping_Sheet!$N$2:$N$3143="&amp;"REGEXEXTRACT($A5,"".*_(.*)"")))/sum(filter(
Master_Mapping_Sheet!$E$2:$E$3143, ISNUMBER(
Master_Mapping_Sheet!$E$2:$E$3143),
Master_Mapping_Sheet!$H$2:$H$3143=W$1)))"),0.0)</f>
        <v>0</v>
      </c>
      <c r="X5" s="34">
        <f>IFERROR(__xludf.DUMMYFUNCTION("IF(ISNA(sum(filter(
Master_Mapping_Sheet!$E$2:$E$3143, ISNUMBER(
Master_Mapping_Sheet!$E$2:$E$3143),
Master_Mapping_Sheet!$H$2:$H$3143=X$1,
Master_Mapping_Sheet!$N$2:$N$3143=REGEXEXTRACT($A5,"".*_(.*)"")))/sum(filter(
Master_Mapping_Sheet!$E$2:$E$3143, IS"&amp;"NUMBER(
Master_Mapping_Sheet!$E$2:$E$3143),
Master_Mapping_Sheet!$H$2:$H$3143=X$1))), 0, sum(filter(
Master_Mapping_Sheet!$E$2:$E$3143, ISNUMBER(
Master_Mapping_Sheet!$E$2:$E$3143),
Master_Mapping_Sheet!$H$2:$H$3143=X$1,
Master_Mapping_Sheet!$N$2:$N$3143="&amp;"REGEXEXTRACT($A5,"".*_(.*)"")))/sum(filter(
Master_Mapping_Sheet!$E$2:$E$3143, ISNUMBER(
Master_Mapping_Sheet!$E$2:$E$3143),
Master_Mapping_Sheet!$H$2:$H$3143=X$1)))"),0.0)</f>
        <v>0</v>
      </c>
      <c r="Y5" s="34">
        <f>IFERROR(__xludf.DUMMYFUNCTION("IF(ISNA(sum(filter(
Master_Mapping_Sheet!$E$2:$E$3143, ISNUMBER(
Master_Mapping_Sheet!$E$2:$E$3143),
Master_Mapping_Sheet!$H$2:$H$3143=Y$1,
Master_Mapping_Sheet!$N$2:$N$3143=REGEXEXTRACT($A5,"".*_(.*)"")))/sum(filter(
Master_Mapping_Sheet!$E$2:$E$3143, IS"&amp;"NUMBER(
Master_Mapping_Sheet!$E$2:$E$3143),
Master_Mapping_Sheet!$H$2:$H$3143=Y$1))), 0, sum(filter(
Master_Mapping_Sheet!$E$2:$E$3143, ISNUMBER(
Master_Mapping_Sheet!$E$2:$E$3143),
Master_Mapping_Sheet!$H$2:$H$3143=Y$1,
Master_Mapping_Sheet!$N$2:$N$3143="&amp;"REGEXEXTRACT($A5,"".*_(.*)"")))/sum(filter(
Master_Mapping_Sheet!$E$2:$E$3143, ISNUMBER(
Master_Mapping_Sheet!$E$2:$E$3143),
Master_Mapping_Sheet!$H$2:$H$3143=Y$1)))"),0.0)</f>
        <v>0</v>
      </c>
      <c r="Z5" s="34">
        <f>IFERROR(__xludf.DUMMYFUNCTION("IF(ISNA(sum(filter(
Master_Mapping_Sheet!$E$2:$E$3143, ISNUMBER(
Master_Mapping_Sheet!$E$2:$E$3143),
Master_Mapping_Sheet!$H$2:$H$3143=Z$1,
Master_Mapping_Sheet!$N$2:$N$3143=REGEXEXTRACT($A5,"".*_(.*)"")))/sum(filter(
Master_Mapping_Sheet!$E$2:$E$3143, IS"&amp;"NUMBER(
Master_Mapping_Sheet!$E$2:$E$3143),
Master_Mapping_Sheet!$H$2:$H$3143=Z$1))), 0, sum(filter(
Master_Mapping_Sheet!$E$2:$E$3143, ISNUMBER(
Master_Mapping_Sheet!$E$2:$E$3143),
Master_Mapping_Sheet!$H$2:$H$3143=Z$1,
Master_Mapping_Sheet!$N$2:$N$3143="&amp;"REGEXEXTRACT($A5,"".*_(.*)"")))/sum(filter(
Master_Mapping_Sheet!$E$2:$E$3143, ISNUMBER(
Master_Mapping_Sheet!$E$2:$E$3143),
Master_Mapping_Sheet!$H$2:$H$3143=Z$1)))"),0.0)</f>
        <v>0</v>
      </c>
    </row>
    <row r="6" ht="15.75" customHeight="1">
      <c r="A6" s="45" t="s">
        <v>4264</v>
      </c>
      <c r="B6" s="34">
        <f>IFERROR(__xludf.DUMMYFUNCTION("IF(ISNA(sum(filter(
Master_Mapping_Sheet!$E$2:$E$3143, ISNUMBER(
Master_Mapping_Sheet!$E$2:$E$3143),
Master_Mapping_Sheet!$H$2:$H$3143=B$1,
Master_Mapping_Sheet!$N$2:$N$3143=REGEXEXTRACT($A6,"".*_(.*)"")))/sum(filter(
Master_Mapping_Sheet!$E$2:$E$3143, IS"&amp;"NUMBER(
Master_Mapping_Sheet!$E$2:$E$3143),
Master_Mapping_Sheet!$H$2:$H$3143=B$1))), 0, sum(filter(
Master_Mapping_Sheet!$E$2:$E$3143, ISNUMBER(
Master_Mapping_Sheet!$E$2:$E$3143),
Master_Mapping_Sheet!$H$2:$H$3143=B$1,
Master_Mapping_Sheet!$N$2:$N$3143="&amp;"REGEXEXTRACT($A6,"".*_(.*)"")))/sum(filter(
Master_Mapping_Sheet!$E$2:$E$3143, ISNUMBER(
Master_Mapping_Sheet!$E$2:$E$3143),
Master_Mapping_Sheet!$H$2:$H$3143=B$1)))"),0.0)</f>
        <v>0</v>
      </c>
      <c r="C6" s="34">
        <f>IFERROR(__xludf.DUMMYFUNCTION("IF(ISNA(sum(filter(
Master_Mapping_Sheet!$E$2:$E$3143, ISNUMBER(
Master_Mapping_Sheet!$E$2:$E$3143),
Master_Mapping_Sheet!$H$2:$H$3143=C$1,
Master_Mapping_Sheet!$N$2:$N$3143=REGEXEXTRACT($A6,"".*_(.*)"")))/sum(filter(
Master_Mapping_Sheet!$E$2:$E$3143, IS"&amp;"NUMBER(
Master_Mapping_Sheet!$E$2:$E$3143),
Master_Mapping_Sheet!$H$2:$H$3143=C$1))), 0, sum(filter(
Master_Mapping_Sheet!$E$2:$E$3143, ISNUMBER(
Master_Mapping_Sheet!$E$2:$E$3143),
Master_Mapping_Sheet!$H$2:$H$3143=C$1,
Master_Mapping_Sheet!$N$2:$N$3143="&amp;"REGEXEXTRACT($A6,"".*_(.*)"")))/sum(filter(
Master_Mapping_Sheet!$E$2:$E$3143, ISNUMBER(
Master_Mapping_Sheet!$E$2:$E$3143),
Master_Mapping_Sheet!$H$2:$H$3143=C$1)))"),0.0)</f>
        <v>0</v>
      </c>
      <c r="D6" s="34">
        <f>IFERROR(__xludf.DUMMYFUNCTION("IF(ISNA(sum(filter(
Master_Mapping_Sheet!$E$2:$E$3143, ISNUMBER(
Master_Mapping_Sheet!$E$2:$E$3143),
Master_Mapping_Sheet!$H$2:$H$3143=D$1,
Master_Mapping_Sheet!$N$2:$N$3143=REGEXEXTRACT($A6,"".*_(.*)"")))/sum(filter(
Master_Mapping_Sheet!$E$2:$E$3143, IS"&amp;"NUMBER(
Master_Mapping_Sheet!$E$2:$E$3143),
Master_Mapping_Sheet!$H$2:$H$3143=D$1))), 0, sum(filter(
Master_Mapping_Sheet!$E$2:$E$3143, ISNUMBER(
Master_Mapping_Sheet!$E$2:$E$3143),
Master_Mapping_Sheet!$H$2:$H$3143=D$1,
Master_Mapping_Sheet!$N$2:$N$3143="&amp;"REGEXEXTRACT($A6,"".*_(.*)"")))/sum(filter(
Master_Mapping_Sheet!$E$2:$E$3143, ISNUMBER(
Master_Mapping_Sheet!$E$2:$E$3143),
Master_Mapping_Sheet!$H$2:$H$3143=D$1)))"),0.917215285393157)</f>
        <v>0.9172152854</v>
      </c>
      <c r="E6" s="34">
        <f>IFERROR(__xludf.DUMMYFUNCTION("IF(ISNA(sum(filter(
Master_Mapping_Sheet!$E$2:$E$3143, ISNUMBER(
Master_Mapping_Sheet!$E$2:$E$3143),
Master_Mapping_Sheet!$H$2:$H$3143=E$1,
Master_Mapping_Sheet!$N$2:$N$3143=REGEXEXTRACT($A6,"".*_(.*)"")))/sum(filter(
Master_Mapping_Sheet!$E$2:$E$3143, IS"&amp;"NUMBER(
Master_Mapping_Sheet!$E$2:$E$3143),
Master_Mapping_Sheet!$H$2:$H$3143=E$1))), 0, sum(filter(
Master_Mapping_Sheet!$E$2:$E$3143, ISNUMBER(
Master_Mapping_Sheet!$E$2:$E$3143),
Master_Mapping_Sheet!$H$2:$H$3143=E$1,
Master_Mapping_Sheet!$N$2:$N$3143="&amp;"REGEXEXTRACT($A6,"".*_(.*)"")))/sum(filter(
Master_Mapping_Sheet!$E$2:$E$3143, ISNUMBER(
Master_Mapping_Sheet!$E$2:$E$3143),
Master_Mapping_Sheet!$H$2:$H$3143=E$1)))"),0.4887450749080901)</f>
        <v>0.4887450749</v>
      </c>
      <c r="F6" s="34">
        <f>IFERROR(__xludf.DUMMYFUNCTION("IF(ISNA(sum(filter(
Master_Mapping_Sheet!$E$2:$E$3143, ISNUMBER(
Master_Mapping_Sheet!$E$2:$E$3143),
Master_Mapping_Sheet!$H$2:$H$3143=F$1,
Master_Mapping_Sheet!$N$2:$N$3143=REGEXEXTRACT($A6,"".*_(.*)"")))/sum(filter(
Master_Mapping_Sheet!$E$2:$E$3143, IS"&amp;"NUMBER(
Master_Mapping_Sheet!$E$2:$E$3143),
Master_Mapping_Sheet!$H$2:$H$3143=F$1))), 0, sum(filter(
Master_Mapping_Sheet!$E$2:$E$3143, ISNUMBER(
Master_Mapping_Sheet!$E$2:$E$3143),
Master_Mapping_Sheet!$H$2:$H$3143=F$1,
Master_Mapping_Sheet!$N$2:$N$3143="&amp;"REGEXEXTRACT($A6,"".*_(.*)"")))/sum(filter(
Master_Mapping_Sheet!$E$2:$E$3143, ISNUMBER(
Master_Mapping_Sheet!$E$2:$E$3143),
Master_Mapping_Sheet!$H$2:$H$3143=F$1)))"),1.0)</f>
        <v>1</v>
      </c>
      <c r="G6" s="34">
        <f>IFERROR(__xludf.DUMMYFUNCTION("IF(ISNA(sum(filter(
Master_Mapping_Sheet!$E$2:$E$3143, ISNUMBER(
Master_Mapping_Sheet!$E$2:$E$3143),
Master_Mapping_Sheet!$H$2:$H$3143=G$1,
Master_Mapping_Sheet!$N$2:$N$3143=REGEXEXTRACT($A6,"".*_(.*)"")))/sum(filter(
Master_Mapping_Sheet!$E$2:$E$3143, IS"&amp;"NUMBER(
Master_Mapping_Sheet!$E$2:$E$3143),
Master_Mapping_Sheet!$H$2:$H$3143=G$1))), 0, sum(filter(
Master_Mapping_Sheet!$E$2:$E$3143, ISNUMBER(
Master_Mapping_Sheet!$E$2:$E$3143),
Master_Mapping_Sheet!$H$2:$H$3143=G$1,
Master_Mapping_Sheet!$N$2:$N$3143="&amp;"REGEXEXTRACT($A6,"".*_(.*)"")))/sum(filter(
Master_Mapping_Sheet!$E$2:$E$3143, ISNUMBER(
Master_Mapping_Sheet!$E$2:$E$3143),
Master_Mapping_Sheet!$H$2:$H$3143=G$1)))"),0.0)</f>
        <v>0</v>
      </c>
      <c r="H6" s="34">
        <f>IFERROR(__xludf.DUMMYFUNCTION("IF(ISNA(sum(filter(
Master_Mapping_Sheet!$E$2:$E$3143, ISNUMBER(
Master_Mapping_Sheet!$E$2:$E$3143),
Master_Mapping_Sheet!$H$2:$H$3143=H$1,
Master_Mapping_Sheet!$N$2:$N$3143=REGEXEXTRACT($A6,"".*_(.*)"")))/sum(filter(
Master_Mapping_Sheet!$E$2:$E$3143, IS"&amp;"NUMBER(
Master_Mapping_Sheet!$E$2:$E$3143),
Master_Mapping_Sheet!$H$2:$H$3143=H$1))), 0, sum(filter(
Master_Mapping_Sheet!$E$2:$E$3143, ISNUMBER(
Master_Mapping_Sheet!$E$2:$E$3143),
Master_Mapping_Sheet!$H$2:$H$3143=H$1,
Master_Mapping_Sheet!$N$2:$N$3143="&amp;"REGEXEXTRACT($A6,"".*_(.*)"")))/sum(filter(
Master_Mapping_Sheet!$E$2:$E$3143, ISNUMBER(
Master_Mapping_Sheet!$E$2:$E$3143),
Master_Mapping_Sheet!$H$2:$H$3143=H$1)))"),0.9955539624432578)</f>
        <v>0.9955539624</v>
      </c>
      <c r="I6" s="34">
        <f>IFERROR(__xludf.DUMMYFUNCTION("IF(ISNA(sum(filter(
Master_Mapping_Sheet!$E$2:$E$3143, ISNUMBER(
Master_Mapping_Sheet!$E$2:$E$3143),
Master_Mapping_Sheet!$H$2:$H$3143=I$1,
Master_Mapping_Sheet!$N$2:$N$3143=REGEXEXTRACT($A6,"".*_(.*)"")))/sum(filter(
Master_Mapping_Sheet!$E$2:$E$3143, IS"&amp;"NUMBER(
Master_Mapping_Sheet!$E$2:$E$3143),
Master_Mapping_Sheet!$H$2:$H$3143=I$1))), 0, sum(filter(
Master_Mapping_Sheet!$E$2:$E$3143, ISNUMBER(
Master_Mapping_Sheet!$E$2:$E$3143),
Master_Mapping_Sheet!$H$2:$H$3143=I$1,
Master_Mapping_Sheet!$N$2:$N$3143="&amp;"REGEXEXTRACT($A6,"".*_(.*)"")))/sum(filter(
Master_Mapping_Sheet!$E$2:$E$3143, ISNUMBER(
Master_Mapping_Sheet!$E$2:$E$3143),
Master_Mapping_Sheet!$H$2:$H$3143=I$1)))"),0.0)</f>
        <v>0</v>
      </c>
      <c r="J6" s="34">
        <f>IFERROR(__xludf.DUMMYFUNCTION("IF(ISNA(sum(filter(
Master_Mapping_Sheet!$E$2:$E$3143, ISNUMBER(
Master_Mapping_Sheet!$E$2:$E$3143),
Master_Mapping_Sheet!$H$2:$H$3143=J$1,
Master_Mapping_Sheet!$N$2:$N$3143=REGEXEXTRACT($A6,"".*_(.*)"")))/sum(filter(
Master_Mapping_Sheet!$E$2:$E$3143, IS"&amp;"NUMBER(
Master_Mapping_Sheet!$E$2:$E$3143),
Master_Mapping_Sheet!$H$2:$H$3143=J$1))), 0, sum(filter(
Master_Mapping_Sheet!$E$2:$E$3143, ISNUMBER(
Master_Mapping_Sheet!$E$2:$E$3143),
Master_Mapping_Sheet!$H$2:$H$3143=J$1,
Master_Mapping_Sheet!$N$2:$N$3143="&amp;"REGEXEXTRACT($A6,"".*_(.*)"")))/sum(filter(
Master_Mapping_Sheet!$E$2:$E$3143, ISNUMBER(
Master_Mapping_Sheet!$E$2:$E$3143),
Master_Mapping_Sheet!$H$2:$H$3143=J$1)))"),1.0)</f>
        <v>1</v>
      </c>
      <c r="K6" s="34">
        <f>IFERROR(__xludf.DUMMYFUNCTION("IF(ISNA(sum(filter(
Master_Mapping_Sheet!$E$2:$E$3143, ISNUMBER(
Master_Mapping_Sheet!$E$2:$E$3143),
Master_Mapping_Sheet!$H$2:$H$3143=K$1,
Master_Mapping_Sheet!$N$2:$N$3143=REGEXEXTRACT($A6,"".*_(.*)"")))/sum(filter(
Master_Mapping_Sheet!$E$2:$E$3143, IS"&amp;"NUMBER(
Master_Mapping_Sheet!$E$2:$E$3143),
Master_Mapping_Sheet!$H$2:$H$3143=K$1))), 0, sum(filter(
Master_Mapping_Sheet!$E$2:$E$3143, ISNUMBER(
Master_Mapping_Sheet!$E$2:$E$3143),
Master_Mapping_Sheet!$H$2:$H$3143=K$1,
Master_Mapping_Sheet!$N$2:$N$3143="&amp;"REGEXEXTRACT($A6,"".*_(.*)"")))/sum(filter(
Master_Mapping_Sheet!$E$2:$E$3143, ISNUMBER(
Master_Mapping_Sheet!$E$2:$E$3143),
Master_Mapping_Sheet!$H$2:$H$3143=K$1)))"),0.33670364375925127)</f>
        <v>0.3367036438</v>
      </c>
      <c r="L6" s="34">
        <f>IFERROR(__xludf.DUMMYFUNCTION("IF(ISNA(sum(filter(
Master_Mapping_Sheet!$E$2:$E$3143, ISNUMBER(
Master_Mapping_Sheet!$E$2:$E$3143),
Master_Mapping_Sheet!$H$2:$H$3143=L$1,
Master_Mapping_Sheet!$N$2:$N$3143=REGEXEXTRACT($A6,"".*_(.*)"")))/sum(filter(
Master_Mapping_Sheet!$E$2:$E$3143, IS"&amp;"NUMBER(
Master_Mapping_Sheet!$E$2:$E$3143),
Master_Mapping_Sheet!$H$2:$H$3143=L$1))), 0, sum(filter(
Master_Mapping_Sheet!$E$2:$E$3143, ISNUMBER(
Master_Mapping_Sheet!$E$2:$E$3143),
Master_Mapping_Sheet!$H$2:$H$3143=L$1,
Master_Mapping_Sheet!$N$2:$N$3143="&amp;"REGEXEXTRACT($A6,"".*_(.*)"")))/sum(filter(
Master_Mapping_Sheet!$E$2:$E$3143, ISNUMBER(
Master_Mapping_Sheet!$E$2:$E$3143),
Master_Mapping_Sheet!$H$2:$H$3143=L$1)))"),0.7515420290316456)</f>
        <v>0.751542029</v>
      </c>
      <c r="M6" s="34">
        <f>IFERROR(__xludf.DUMMYFUNCTION("IF(ISNA(sum(filter(
Master_Mapping_Sheet!$E$2:$E$3143, ISNUMBER(
Master_Mapping_Sheet!$E$2:$E$3143),
Master_Mapping_Sheet!$H$2:$H$3143=M$1,
Master_Mapping_Sheet!$N$2:$N$3143=REGEXEXTRACT($A6,"".*_(.*)"")))/sum(filter(
Master_Mapping_Sheet!$E$2:$E$3143, IS"&amp;"NUMBER(
Master_Mapping_Sheet!$E$2:$E$3143),
Master_Mapping_Sheet!$H$2:$H$3143=M$1))), 0, sum(filter(
Master_Mapping_Sheet!$E$2:$E$3143, ISNUMBER(
Master_Mapping_Sheet!$E$2:$E$3143),
Master_Mapping_Sheet!$H$2:$H$3143=M$1,
Master_Mapping_Sheet!$N$2:$N$3143="&amp;"REGEXEXTRACT($A6,"".*_(.*)"")))/sum(filter(
Master_Mapping_Sheet!$E$2:$E$3143, ISNUMBER(
Master_Mapping_Sheet!$E$2:$E$3143),
Master_Mapping_Sheet!$H$2:$H$3143=M$1)))"),1.0)</f>
        <v>1</v>
      </c>
      <c r="N6" s="34">
        <f>IFERROR(__xludf.DUMMYFUNCTION("IF(ISNA(sum(filter(
Master_Mapping_Sheet!$E$2:$E$3143, ISNUMBER(
Master_Mapping_Sheet!$E$2:$E$3143),
Master_Mapping_Sheet!$H$2:$H$3143=N$1,
Master_Mapping_Sheet!$N$2:$N$3143=REGEXEXTRACT($A6,"".*_(.*)"")))/sum(filter(
Master_Mapping_Sheet!$E$2:$E$3143, IS"&amp;"NUMBER(
Master_Mapping_Sheet!$E$2:$E$3143),
Master_Mapping_Sheet!$H$2:$H$3143=N$1))), 0, sum(filter(
Master_Mapping_Sheet!$E$2:$E$3143, ISNUMBER(
Master_Mapping_Sheet!$E$2:$E$3143),
Master_Mapping_Sheet!$H$2:$H$3143=N$1,
Master_Mapping_Sheet!$N$2:$N$3143="&amp;"REGEXEXTRACT($A6,"".*_(.*)"")))/sum(filter(
Master_Mapping_Sheet!$E$2:$E$3143, ISNUMBER(
Master_Mapping_Sheet!$E$2:$E$3143),
Master_Mapping_Sheet!$H$2:$H$3143=N$1)))"),0.0)</f>
        <v>0</v>
      </c>
      <c r="O6" s="34">
        <f>IFERROR(__xludf.DUMMYFUNCTION("IF(ISNA(sum(filter(
Master_Mapping_Sheet!$E$2:$E$3143, ISNUMBER(
Master_Mapping_Sheet!$E$2:$E$3143),
Master_Mapping_Sheet!$H$2:$H$3143=O$1,
Master_Mapping_Sheet!$N$2:$N$3143=REGEXEXTRACT($A6,"".*_(.*)"")))/sum(filter(
Master_Mapping_Sheet!$E$2:$E$3143, IS"&amp;"NUMBER(
Master_Mapping_Sheet!$E$2:$E$3143),
Master_Mapping_Sheet!$H$2:$H$3143=O$1))), 0, sum(filter(
Master_Mapping_Sheet!$E$2:$E$3143, ISNUMBER(
Master_Mapping_Sheet!$E$2:$E$3143),
Master_Mapping_Sheet!$H$2:$H$3143=O$1,
Master_Mapping_Sheet!$N$2:$N$3143="&amp;"REGEXEXTRACT($A6,"".*_(.*)"")))/sum(filter(
Master_Mapping_Sheet!$E$2:$E$3143, ISNUMBER(
Master_Mapping_Sheet!$E$2:$E$3143),
Master_Mapping_Sheet!$H$2:$H$3143=O$1)))"),0.00937904413774242)</f>
        <v>0.009379044138</v>
      </c>
      <c r="P6" s="34">
        <f>IFERROR(__xludf.DUMMYFUNCTION("IF(ISNA(sum(filter(
Master_Mapping_Sheet!$E$2:$E$3143, ISNUMBER(
Master_Mapping_Sheet!$E$2:$E$3143),
Master_Mapping_Sheet!$H$2:$H$3143=P$1,
Master_Mapping_Sheet!$N$2:$N$3143=REGEXEXTRACT($A6,"".*_(.*)"")))/sum(filter(
Master_Mapping_Sheet!$E$2:$E$3143, IS"&amp;"NUMBER(
Master_Mapping_Sheet!$E$2:$E$3143),
Master_Mapping_Sheet!$H$2:$H$3143=P$1))), 0, sum(filter(
Master_Mapping_Sheet!$E$2:$E$3143, ISNUMBER(
Master_Mapping_Sheet!$E$2:$E$3143),
Master_Mapping_Sheet!$H$2:$H$3143=P$1,
Master_Mapping_Sheet!$N$2:$N$3143="&amp;"REGEXEXTRACT($A6,"".*_(.*)"")))/sum(filter(
Master_Mapping_Sheet!$E$2:$E$3143, ISNUMBER(
Master_Mapping_Sheet!$E$2:$E$3143),
Master_Mapping_Sheet!$H$2:$H$3143=P$1)))"),0.0)</f>
        <v>0</v>
      </c>
      <c r="Q6" s="34">
        <f>IFERROR(__xludf.DUMMYFUNCTION("IF(ISNA(sum(filter(
Master_Mapping_Sheet!$E$2:$E$3143, ISNUMBER(
Master_Mapping_Sheet!$E$2:$E$3143),
Master_Mapping_Sheet!$H$2:$H$3143=Q$1,
Master_Mapping_Sheet!$N$2:$N$3143=REGEXEXTRACT($A6,"".*_(.*)"")))/sum(filter(
Master_Mapping_Sheet!$E$2:$E$3143, IS"&amp;"NUMBER(
Master_Mapping_Sheet!$E$2:$E$3143),
Master_Mapping_Sheet!$H$2:$H$3143=Q$1))), 0, sum(filter(
Master_Mapping_Sheet!$E$2:$E$3143, ISNUMBER(
Master_Mapping_Sheet!$E$2:$E$3143),
Master_Mapping_Sheet!$H$2:$H$3143=Q$1,
Master_Mapping_Sheet!$N$2:$N$3143="&amp;"REGEXEXTRACT($A6,"".*_(.*)"")))/sum(filter(
Master_Mapping_Sheet!$E$2:$E$3143, ISNUMBER(
Master_Mapping_Sheet!$E$2:$E$3143),
Master_Mapping_Sheet!$H$2:$H$3143=Q$1)))"),0.0)</f>
        <v>0</v>
      </c>
      <c r="R6" s="34">
        <f>IFERROR(__xludf.DUMMYFUNCTION("IF(ISNA(sum(filter(
Master_Mapping_Sheet!$E$2:$E$3143, ISNUMBER(
Master_Mapping_Sheet!$E$2:$E$3143),
Master_Mapping_Sheet!$H$2:$H$3143=R$1,
Master_Mapping_Sheet!$N$2:$N$3143=REGEXEXTRACT($A6,"".*_(.*)"")))/sum(filter(
Master_Mapping_Sheet!$E$2:$E$3143, IS"&amp;"NUMBER(
Master_Mapping_Sheet!$E$2:$E$3143),
Master_Mapping_Sheet!$H$2:$H$3143=R$1))), 0, sum(filter(
Master_Mapping_Sheet!$E$2:$E$3143, ISNUMBER(
Master_Mapping_Sheet!$E$2:$E$3143),
Master_Mapping_Sheet!$H$2:$H$3143=R$1,
Master_Mapping_Sheet!$N$2:$N$3143="&amp;"REGEXEXTRACT($A6,"".*_(.*)"")))/sum(filter(
Master_Mapping_Sheet!$E$2:$E$3143, ISNUMBER(
Master_Mapping_Sheet!$E$2:$E$3143),
Master_Mapping_Sheet!$H$2:$H$3143=R$1)))"),0.0)</f>
        <v>0</v>
      </c>
      <c r="S6" s="34">
        <f>IFERROR(__xludf.DUMMYFUNCTION("IF(ISNA(sum(filter(
Master_Mapping_Sheet!$E$2:$E$3143, ISNUMBER(
Master_Mapping_Sheet!$E$2:$E$3143),
Master_Mapping_Sheet!$H$2:$H$3143=S$1,
Master_Mapping_Sheet!$N$2:$N$3143=REGEXEXTRACT($A6,"".*_(.*)"")))/sum(filter(
Master_Mapping_Sheet!$E$2:$E$3143, IS"&amp;"NUMBER(
Master_Mapping_Sheet!$E$2:$E$3143),
Master_Mapping_Sheet!$H$2:$H$3143=S$1))), 0, sum(filter(
Master_Mapping_Sheet!$E$2:$E$3143, ISNUMBER(
Master_Mapping_Sheet!$E$2:$E$3143),
Master_Mapping_Sheet!$H$2:$H$3143=S$1,
Master_Mapping_Sheet!$N$2:$N$3143="&amp;"REGEXEXTRACT($A6,"".*_(.*)"")))/sum(filter(
Master_Mapping_Sheet!$E$2:$E$3143, ISNUMBER(
Master_Mapping_Sheet!$E$2:$E$3143),
Master_Mapping_Sheet!$H$2:$H$3143=S$1)))"),0.06244116048224887)</f>
        <v>0.06244116048</v>
      </c>
      <c r="T6" s="34">
        <f>IFERROR(__xludf.DUMMYFUNCTION("IF(ISNA(sum(filter(
Master_Mapping_Sheet!$E$2:$E$3143, ISNUMBER(
Master_Mapping_Sheet!$E$2:$E$3143),
Master_Mapping_Sheet!$H$2:$H$3143=T$1,
Master_Mapping_Sheet!$N$2:$N$3143=REGEXEXTRACT($A6,"".*_(.*)"")))/sum(filter(
Master_Mapping_Sheet!$E$2:$E$3143, IS"&amp;"NUMBER(
Master_Mapping_Sheet!$E$2:$E$3143),
Master_Mapping_Sheet!$H$2:$H$3143=T$1))), 0, sum(filter(
Master_Mapping_Sheet!$E$2:$E$3143, ISNUMBER(
Master_Mapping_Sheet!$E$2:$E$3143),
Master_Mapping_Sheet!$H$2:$H$3143=T$1,
Master_Mapping_Sheet!$N$2:$N$3143="&amp;"REGEXEXTRACT($A6,"".*_(.*)"")))/sum(filter(
Master_Mapping_Sheet!$E$2:$E$3143, ISNUMBER(
Master_Mapping_Sheet!$E$2:$E$3143),
Master_Mapping_Sheet!$H$2:$H$3143=T$1)))"),0.8565864584204491)</f>
        <v>0.8565864584</v>
      </c>
      <c r="U6" s="34">
        <f>IFERROR(__xludf.DUMMYFUNCTION("IF(ISNA(sum(filter(
Master_Mapping_Sheet!$E$2:$E$3143, ISNUMBER(
Master_Mapping_Sheet!$E$2:$E$3143),
Master_Mapping_Sheet!$H$2:$H$3143=U$1,
Master_Mapping_Sheet!$N$2:$N$3143=REGEXEXTRACT($A6,"".*_(.*)"")))/sum(filter(
Master_Mapping_Sheet!$E$2:$E$3143, IS"&amp;"NUMBER(
Master_Mapping_Sheet!$E$2:$E$3143),
Master_Mapping_Sheet!$H$2:$H$3143=U$1))), 0, sum(filter(
Master_Mapping_Sheet!$E$2:$E$3143, ISNUMBER(
Master_Mapping_Sheet!$E$2:$E$3143),
Master_Mapping_Sheet!$H$2:$H$3143=U$1,
Master_Mapping_Sheet!$N$2:$N$3143="&amp;"REGEXEXTRACT($A6,"".*_(.*)"")))/sum(filter(
Master_Mapping_Sheet!$E$2:$E$3143, ISNUMBER(
Master_Mapping_Sheet!$E$2:$E$3143),
Master_Mapping_Sheet!$H$2:$H$3143=U$1)))"),0.08650998552753941)</f>
        <v>0.08650998553</v>
      </c>
      <c r="V6" s="34">
        <f>IFERROR(__xludf.DUMMYFUNCTION("IF(ISNA(sum(filter(
Master_Mapping_Sheet!$E$2:$E$3143, ISNUMBER(
Master_Mapping_Sheet!$E$2:$E$3143),
Master_Mapping_Sheet!$H$2:$H$3143=V$1,
Master_Mapping_Sheet!$N$2:$N$3143=REGEXEXTRACT($A6,"".*_(.*)"")))/sum(filter(
Master_Mapping_Sheet!$E$2:$E$3143, IS"&amp;"NUMBER(
Master_Mapping_Sheet!$E$2:$E$3143),
Master_Mapping_Sheet!$H$2:$H$3143=V$1))), 0, sum(filter(
Master_Mapping_Sheet!$E$2:$E$3143, ISNUMBER(
Master_Mapping_Sheet!$E$2:$E$3143),
Master_Mapping_Sheet!$H$2:$H$3143=V$1,
Master_Mapping_Sheet!$N$2:$N$3143="&amp;"REGEXEXTRACT($A6,"".*_(.*)"")))/sum(filter(
Master_Mapping_Sheet!$E$2:$E$3143, ISNUMBER(
Master_Mapping_Sheet!$E$2:$E$3143),
Master_Mapping_Sheet!$H$2:$H$3143=V$1)))"),0.008010692582260403)</f>
        <v>0.008010692582</v>
      </c>
      <c r="W6" s="34">
        <f>IFERROR(__xludf.DUMMYFUNCTION("IF(ISNA(sum(filter(
Master_Mapping_Sheet!$E$2:$E$3143, ISNUMBER(
Master_Mapping_Sheet!$E$2:$E$3143),
Master_Mapping_Sheet!$H$2:$H$3143=W$1,
Master_Mapping_Sheet!$N$2:$N$3143=REGEXEXTRACT($A6,"".*_(.*)"")))/sum(filter(
Master_Mapping_Sheet!$E$2:$E$3143, IS"&amp;"NUMBER(
Master_Mapping_Sheet!$E$2:$E$3143),
Master_Mapping_Sheet!$H$2:$H$3143=W$1))), 0, sum(filter(
Master_Mapping_Sheet!$E$2:$E$3143, ISNUMBER(
Master_Mapping_Sheet!$E$2:$E$3143),
Master_Mapping_Sheet!$H$2:$H$3143=W$1,
Master_Mapping_Sheet!$N$2:$N$3143="&amp;"REGEXEXTRACT($A6,"".*_(.*)"")))/sum(filter(
Master_Mapping_Sheet!$E$2:$E$3143, ISNUMBER(
Master_Mapping_Sheet!$E$2:$E$3143),
Master_Mapping_Sheet!$H$2:$H$3143=W$1)))"),5.678006615533898E-4)</f>
        <v>0.0005678006616</v>
      </c>
      <c r="X6" s="34">
        <f>IFERROR(__xludf.DUMMYFUNCTION("IF(ISNA(sum(filter(
Master_Mapping_Sheet!$E$2:$E$3143, ISNUMBER(
Master_Mapping_Sheet!$E$2:$E$3143),
Master_Mapping_Sheet!$H$2:$H$3143=X$1,
Master_Mapping_Sheet!$N$2:$N$3143=REGEXEXTRACT($A6,"".*_(.*)"")))/sum(filter(
Master_Mapping_Sheet!$E$2:$E$3143, IS"&amp;"NUMBER(
Master_Mapping_Sheet!$E$2:$E$3143),
Master_Mapping_Sheet!$H$2:$H$3143=X$1))), 0, sum(filter(
Master_Mapping_Sheet!$E$2:$E$3143, ISNUMBER(
Master_Mapping_Sheet!$E$2:$E$3143),
Master_Mapping_Sheet!$H$2:$H$3143=X$1,
Master_Mapping_Sheet!$N$2:$N$3143="&amp;"REGEXEXTRACT($A6,"".*_(.*)"")))/sum(filter(
Master_Mapping_Sheet!$E$2:$E$3143, ISNUMBER(
Master_Mapping_Sheet!$E$2:$E$3143),
Master_Mapping_Sheet!$H$2:$H$3143=X$1)))"),0.282382075315811)</f>
        <v>0.2823820753</v>
      </c>
      <c r="Y6" s="34">
        <f>IFERROR(__xludf.DUMMYFUNCTION("IF(ISNA(sum(filter(
Master_Mapping_Sheet!$E$2:$E$3143, ISNUMBER(
Master_Mapping_Sheet!$E$2:$E$3143),
Master_Mapping_Sheet!$H$2:$H$3143=Y$1,
Master_Mapping_Sheet!$N$2:$N$3143=REGEXEXTRACT($A6,"".*_(.*)"")))/sum(filter(
Master_Mapping_Sheet!$E$2:$E$3143, IS"&amp;"NUMBER(
Master_Mapping_Sheet!$E$2:$E$3143),
Master_Mapping_Sheet!$H$2:$H$3143=Y$1))), 0, sum(filter(
Master_Mapping_Sheet!$E$2:$E$3143, ISNUMBER(
Master_Mapping_Sheet!$E$2:$E$3143),
Master_Mapping_Sheet!$H$2:$H$3143=Y$1,
Master_Mapping_Sheet!$N$2:$N$3143="&amp;"REGEXEXTRACT($A6,"".*_(.*)"")))/sum(filter(
Master_Mapping_Sheet!$E$2:$E$3143, ISNUMBER(
Master_Mapping_Sheet!$E$2:$E$3143),
Master_Mapping_Sheet!$H$2:$H$3143=Y$1)))"),0.9699682360881461)</f>
        <v>0.9699682361</v>
      </c>
      <c r="Z6" s="34">
        <f>IFERROR(__xludf.DUMMYFUNCTION("IF(ISNA(sum(filter(
Master_Mapping_Sheet!$E$2:$E$3143, ISNUMBER(
Master_Mapping_Sheet!$E$2:$E$3143),
Master_Mapping_Sheet!$H$2:$H$3143=Z$1,
Master_Mapping_Sheet!$N$2:$N$3143=REGEXEXTRACT($A6,"".*_(.*)"")))/sum(filter(
Master_Mapping_Sheet!$E$2:$E$3143, IS"&amp;"NUMBER(
Master_Mapping_Sheet!$E$2:$E$3143),
Master_Mapping_Sheet!$H$2:$H$3143=Z$1))), 0, sum(filter(
Master_Mapping_Sheet!$E$2:$E$3143, ISNUMBER(
Master_Mapping_Sheet!$E$2:$E$3143),
Master_Mapping_Sheet!$H$2:$H$3143=Z$1,
Master_Mapping_Sheet!$N$2:$N$3143="&amp;"REGEXEXTRACT($A6,"".*_(.*)"")))/sum(filter(
Master_Mapping_Sheet!$E$2:$E$3143, ISNUMBER(
Master_Mapping_Sheet!$E$2:$E$3143),
Master_Mapping_Sheet!$H$2:$H$3143=Z$1)))"),0.6953393647873957)</f>
        <v>0.6953393648</v>
      </c>
    </row>
    <row r="7" ht="15.75" customHeight="1">
      <c r="A7" s="45" t="s">
        <v>4265</v>
      </c>
      <c r="B7" s="34">
        <f>IFERROR(__xludf.DUMMYFUNCTION("IF(ISNA(sum(filter(
Master_Mapping_Sheet!$E$2:$E$3143, ISNUMBER(
Master_Mapping_Sheet!$E$2:$E$3143),
Master_Mapping_Sheet!$H$2:$H$3143=B$1,
Master_Mapping_Sheet!$N$2:$N$3143=REGEXEXTRACT($A7,"".*_(.*)"")))/sum(filter(
Master_Mapping_Sheet!$E$2:$E$3143, IS"&amp;"NUMBER(
Master_Mapping_Sheet!$E$2:$E$3143),
Master_Mapping_Sheet!$H$2:$H$3143=B$1))), 0, sum(filter(
Master_Mapping_Sheet!$E$2:$E$3143, ISNUMBER(
Master_Mapping_Sheet!$E$2:$E$3143),
Master_Mapping_Sheet!$H$2:$H$3143=B$1,
Master_Mapping_Sheet!$N$2:$N$3143="&amp;"REGEXEXTRACT($A7,"".*_(.*)"")))/sum(filter(
Master_Mapping_Sheet!$E$2:$E$3143, ISNUMBER(
Master_Mapping_Sheet!$E$2:$E$3143),
Master_Mapping_Sheet!$H$2:$H$3143=B$1)))"),0.037696439714935)</f>
        <v>0.03769643971</v>
      </c>
      <c r="C7" s="34">
        <f>IFERROR(__xludf.DUMMYFUNCTION("IF(ISNA(sum(filter(
Master_Mapping_Sheet!$E$2:$E$3143, ISNUMBER(
Master_Mapping_Sheet!$E$2:$E$3143),
Master_Mapping_Sheet!$H$2:$H$3143=C$1,
Master_Mapping_Sheet!$N$2:$N$3143=REGEXEXTRACT($A7,"".*_(.*)"")))/sum(filter(
Master_Mapping_Sheet!$E$2:$E$3143, IS"&amp;"NUMBER(
Master_Mapping_Sheet!$E$2:$E$3143),
Master_Mapping_Sheet!$H$2:$H$3143=C$1))), 0, sum(filter(
Master_Mapping_Sheet!$E$2:$E$3143, ISNUMBER(
Master_Mapping_Sheet!$E$2:$E$3143),
Master_Mapping_Sheet!$H$2:$H$3143=C$1,
Master_Mapping_Sheet!$N$2:$N$3143="&amp;"REGEXEXTRACT($A7,"".*_(.*)"")))/sum(filter(
Master_Mapping_Sheet!$E$2:$E$3143, ISNUMBER(
Master_Mapping_Sheet!$E$2:$E$3143),
Master_Mapping_Sheet!$H$2:$H$3143=C$1)))"),0.0)</f>
        <v>0</v>
      </c>
      <c r="D7" s="34">
        <f>IFERROR(__xludf.DUMMYFUNCTION("IF(ISNA(sum(filter(
Master_Mapping_Sheet!$E$2:$E$3143, ISNUMBER(
Master_Mapping_Sheet!$E$2:$E$3143),
Master_Mapping_Sheet!$H$2:$H$3143=D$1,
Master_Mapping_Sheet!$N$2:$N$3143=REGEXEXTRACT($A7,"".*_(.*)"")))/sum(filter(
Master_Mapping_Sheet!$E$2:$E$3143, IS"&amp;"NUMBER(
Master_Mapping_Sheet!$E$2:$E$3143),
Master_Mapping_Sheet!$H$2:$H$3143=D$1))), 0, sum(filter(
Master_Mapping_Sheet!$E$2:$E$3143, ISNUMBER(
Master_Mapping_Sheet!$E$2:$E$3143),
Master_Mapping_Sheet!$H$2:$H$3143=D$1,
Master_Mapping_Sheet!$N$2:$N$3143="&amp;"REGEXEXTRACT($A7,"".*_(.*)"")))/sum(filter(
Master_Mapping_Sheet!$E$2:$E$3143, ISNUMBER(
Master_Mapping_Sheet!$E$2:$E$3143),
Master_Mapping_Sheet!$H$2:$H$3143=D$1)))"),0.0)</f>
        <v>0</v>
      </c>
      <c r="E7" s="34">
        <f>IFERROR(__xludf.DUMMYFUNCTION("IF(ISNA(sum(filter(
Master_Mapping_Sheet!$E$2:$E$3143, ISNUMBER(
Master_Mapping_Sheet!$E$2:$E$3143),
Master_Mapping_Sheet!$H$2:$H$3143=E$1,
Master_Mapping_Sheet!$N$2:$N$3143=REGEXEXTRACT($A7,"".*_(.*)"")))/sum(filter(
Master_Mapping_Sheet!$E$2:$E$3143, IS"&amp;"NUMBER(
Master_Mapping_Sheet!$E$2:$E$3143),
Master_Mapping_Sheet!$H$2:$H$3143=E$1))), 0, sum(filter(
Master_Mapping_Sheet!$E$2:$E$3143, ISNUMBER(
Master_Mapping_Sheet!$E$2:$E$3143),
Master_Mapping_Sheet!$H$2:$H$3143=E$1,
Master_Mapping_Sheet!$N$2:$N$3143="&amp;"REGEXEXTRACT($A7,"".*_(.*)"")))/sum(filter(
Master_Mapping_Sheet!$E$2:$E$3143, ISNUMBER(
Master_Mapping_Sheet!$E$2:$E$3143),
Master_Mapping_Sheet!$H$2:$H$3143=E$1)))"),0.0)</f>
        <v>0</v>
      </c>
      <c r="F7" s="34">
        <f>IFERROR(__xludf.DUMMYFUNCTION("IF(ISNA(sum(filter(
Master_Mapping_Sheet!$E$2:$E$3143, ISNUMBER(
Master_Mapping_Sheet!$E$2:$E$3143),
Master_Mapping_Sheet!$H$2:$H$3143=F$1,
Master_Mapping_Sheet!$N$2:$N$3143=REGEXEXTRACT($A7,"".*_(.*)"")))/sum(filter(
Master_Mapping_Sheet!$E$2:$E$3143, IS"&amp;"NUMBER(
Master_Mapping_Sheet!$E$2:$E$3143),
Master_Mapping_Sheet!$H$2:$H$3143=F$1))), 0, sum(filter(
Master_Mapping_Sheet!$E$2:$E$3143, ISNUMBER(
Master_Mapping_Sheet!$E$2:$E$3143),
Master_Mapping_Sheet!$H$2:$H$3143=F$1,
Master_Mapping_Sheet!$N$2:$N$3143="&amp;"REGEXEXTRACT($A7,"".*_(.*)"")))/sum(filter(
Master_Mapping_Sheet!$E$2:$E$3143, ISNUMBER(
Master_Mapping_Sheet!$E$2:$E$3143),
Master_Mapping_Sheet!$H$2:$H$3143=F$1)))"),0.0)</f>
        <v>0</v>
      </c>
      <c r="G7" s="34">
        <f>IFERROR(__xludf.DUMMYFUNCTION("IF(ISNA(sum(filter(
Master_Mapping_Sheet!$E$2:$E$3143, ISNUMBER(
Master_Mapping_Sheet!$E$2:$E$3143),
Master_Mapping_Sheet!$H$2:$H$3143=G$1,
Master_Mapping_Sheet!$N$2:$N$3143=REGEXEXTRACT($A7,"".*_(.*)"")))/sum(filter(
Master_Mapping_Sheet!$E$2:$E$3143, IS"&amp;"NUMBER(
Master_Mapping_Sheet!$E$2:$E$3143),
Master_Mapping_Sheet!$H$2:$H$3143=G$1))), 0, sum(filter(
Master_Mapping_Sheet!$E$2:$E$3143, ISNUMBER(
Master_Mapping_Sheet!$E$2:$E$3143),
Master_Mapping_Sheet!$H$2:$H$3143=G$1,
Master_Mapping_Sheet!$N$2:$N$3143="&amp;"REGEXEXTRACT($A7,"".*_(.*)"")))/sum(filter(
Master_Mapping_Sheet!$E$2:$E$3143, ISNUMBER(
Master_Mapping_Sheet!$E$2:$E$3143),
Master_Mapping_Sheet!$H$2:$H$3143=G$1)))"),0.0)</f>
        <v>0</v>
      </c>
      <c r="H7" s="34">
        <f>IFERROR(__xludf.DUMMYFUNCTION("IF(ISNA(sum(filter(
Master_Mapping_Sheet!$E$2:$E$3143, ISNUMBER(
Master_Mapping_Sheet!$E$2:$E$3143),
Master_Mapping_Sheet!$H$2:$H$3143=H$1,
Master_Mapping_Sheet!$N$2:$N$3143=REGEXEXTRACT($A7,"".*_(.*)"")))/sum(filter(
Master_Mapping_Sheet!$E$2:$E$3143, IS"&amp;"NUMBER(
Master_Mapping_Sheet!$E$2:$E$3143),
Master_Mapping_Sheet!$H$2:$H$3143=H$1))), 0, sum(filter(
Master_Mapping_Sheet!$E$2:$E$3143, ISNUMBER(
Master_Mapping_Sheet!$E$2:$E$3143),
Master_Mapping_Sheet!$H$2:$H$3143=H$1,
Master_Mapping_Sheet!$N$2:$N$3143="&amp;"REGEXEXTRACT($A7,"".*_(.*)"")))/sum(filter(
Master_Mapping_Sheet!$E$2:$E$3143, ISNUMBER(
Master_Mapping_Sheet!$E$2:$E$3143),
Master_Mapping_Sheet!$H$2:$H$3143=H$1)))"),0.0)</f>
        <v>0</v>
      </c>
      <c r="I7" s="34">
        <f>IFERROR(__xludf.DUMMYFUNCTION("IF(ISNA(sum(filter(
Master_Mapping_Sheet!$E$2:$E$3143, ISNUMBER(
Master_Mapping_Sheet!$E$2:$E$3143),
Master_Mapping_Sheet!$H$2:$H$3143=I$1,
Master_Mapping_Sheet!$N$2:$N$3143=REGEXEXTRACT($A7,"".*_(.*)"")))/sum(filter(
Master_Mapping_Sheet!$E$2:$E$3143, IS"&amp;"NUMBER(
Master_Mapping_Sheet!$E$2:$E$3143),
Master_Mapping_Sheet!$H$2:$H$3143=I$1))), 0, sum(filter(
Master_Mapping_Sheet!$E$2:$E$3143, ISNUMBER(
Master_Mapping_Sheet!$E$2:$E$3143),
Master_Mapping_Sheet!$H$2:$H$3143=I$1,
Master_Mapping_Sheet!$N$2:$N$3143="&amp;"REGEXEXTRACT($A7,"".*_(.*)"")))/sum(filter(
Master_Mapping_Sheet!$E$2:$E$3143, ISNUMBER(
Master_Mapping_Sheet!$E$2:$E$3143),
Master_Mapping_Sheet!$H$2:$H$3143=I$1)))"),0.0)</f>
        <v>0</v>
      </c>
      <c r="J7" s="34">
        <f>IFERROR(__xludf.DUMMYFUNCTION("IF(ISNA(sum(filter(
Master_Mapping_Sheet!$E$2:$E$3143, ISNUMBER(
Master_Mapping_Sheet!$E$2:$E$3143),
Master_Mapping_Sheet!$H$2:$H$3143=J$1,
Master_Mapping_Sheet!$N$2:$N$3143=REGEXEXTRACT($A7,"".*_(.*)"")))/sum(filter(
Master_Mapping_Sheet!$E$2:$E$3143, IS"&amp;"NUMBER(
Master_Mapping_Sheet!$E$2:$E$3143),
Master_Mapping_Sheet!$H$2:$H$3143=J$1))), 0, sum(filter(
Master_Mapping_Sheet!$E$2:$E$3143, ISNUMBER(
Master_Mapping_Sheet!$E$2:$E$3143),
Master_Mapping_Sheet!$H$2:$H$3143=J$1,
Master_Mapping_Sheet!$N$2:$N$3143="&amp;"REGEXEXTRACT($A7,"".*_(.*)"")))/sum(filter(
Master_Mapping_Sheet!$E$2:$E$3143, ISNUMBER(
Master_Mapping_Sheet!$E$2:$E$3143),
Master_Mapping_Sheet!$H$2:$H$3143=J$1)))"),0.0)</f>
        <v>0</v>
      </c>
      <c r="K7" s="34">
        <f>IFERROR(__xludf.DUMMYFUNCTION("IF(ISNA(sum(filter(
Master_Mapping_Sheet!$E$2:$E$3143, ISNUMBER(
Master_Mapping_Sheet!$E$2:$E$3143),
Master_Mapping_Sheet!$H$2:$H$3143=K$1,
Master_Mapping_Sheet!$N$2:$N$3143=REGEXEXTRACT($A7,"".*_(.*)"")))/sum(filter(
Master_Mapping_Sheet!$E$2:$E$3143, IS"&amp;"NUMBER(
Master_Mapping_Sheet!$E$2:$E$3143),
Master_Mapping_Sheet!$H$2:$H$3143=K$1))), 0, sum(filter(
Master_Mapping_Sheet!$E$2:$E$3143, ISNUMBER(
Master_Mapping_Sheet!$E$2:$E$3143),
Master_Mapping_Sheet!$H$2:$H$3143=K$1,
Master_Mapping_Sheet!$N$2:$N$3143="&amp;"REGEXEXTRACT($A7,"".*_(.*)"")))/sum(filter(
Master_Mapping_Sheet!$E$2:$E$3143, ISNUMBER(
Master_Mapping_Sheet!$E$2:$E$3143),
Master_Mapping_Sheet!$H$2:$H$3143=K$1)))"),0.0)</f>
        <v>0</v>
      </c>
      <c r="L7" s="34">
        <f>IFERROR(__xludf.DUMMYFUNCTION("IF(ISNA(sum(filter(
Master_Mapping_Sheet!$E$2:$E$3143, ISNUMBER(
Master_Mapping_Sheet!$E$2:$E$3143),
Master_Mapping_Sheet!$H$2:$H$3143=L$1,
Master_Mapping_Sheet!$N$2:$N$3143=REGEXEXTRACT($A7,"".*_(.*)"")))/sum(filter(
Master_Mapping_Sheet!$E$2:$E$3143, IS"&amp;"NUMBER(
Master_Mapping_Sheet!$E$2:$E$3143),
Master_Mapping_Sheet!$H$2:$H$3143=L$1))), 0, sum(filter(
Master_Mapping_Sheet!$E$2:$E$3143, ISNUMBER(
Master_Mapping_Sheet!$E$2:$E$3143),
Master_Mapping_Sheet!$H$2:$H$3143=L$1,
Master_Mapping_Sheet!$N$2:$N$3143="&amp;"REGEXEXTRACT($A7,"".*_(.*)"")))/sum(filter(
Master_Mapping_Sheet!$E$2:$E$3143, ISNUMBER(
Master_Mapping_Sheet!$E$2:$E$3143),
Master_Mapping_Sheet!$H$2:$H$3143=L$1)))"),0.0)</f>
        <v>0</v>
      </c>
      <c r="M7" s="34">
        <f>IFERROR(__xludf.DUMMYFUNCTION("IF(ISNA(sum(filter(
Master_Mapping_Sheet!$E$2:$E$3143, ISNUMBER(
Master_Mapping_Sheet!$E$2:$E$3143),
Master_Mapping_Sheet!$H$2:$H$3143=M$1,
Master_Mapping_Sheet!$N$2:$N$3143=REGEXEXTRACT($A7,"".*_(.*)"")))/sum(filter(
Master_Mapping_Sheet!$E$2:$E$3143, IS"&amp;"NUMBER(
Master_Mapping_Sheet!$E$2:$E$3143),
Master_Mapping_Sheet!$H$2:$H$3143=M$1))), 0, sum(filter(
Master_Mapping_Sheet!$E$2:$E$3143, ISNUMBER(
Master_Mapping_Sheet!$E$2:$E$3143),
Master_Mapping_Sheet!$H$2:$H$3143=M$1,
Master_Mapping_Sheet!$N$2:$N$3143="&amp;"REGEXEXTRACT($A7,"".*_(.*)"")))/sum(filter(
Master_Mapping_Sheet!$E$2:$E$3143, ISNUMBER(
Master_Mapping_Sheet!$E$2:$E$3143),
Master_Mapping_Sheet!$H$2:$H$3143=M$1)))"),0.0)</f>
        <v>0</v>
      </c>
      <c r="N7" s="34">
        <f>IFERROR(__xludf.DUMMYFUNCTION("IF(ISNA(sum(filter(
Master_Mapping_Sheet!$E$2:$E$3143, ISNUMBER(
Master_Mapping_Sheet!$E$2:$E$3143),
Master_Mapping_Sheet!$H$2:$H$3143=N$1,
Master_Mapping_Sheet!$N$2:$N$3143=REGEXEXTRACT($A7,"".*_(.*)"")))/sum(filter(
Master_Mapping_Sheet!$E$2:$E$3143, IS"&amp;"NUMBER(
Master_Mapping_Sheet!$E$2:$E$3143),
Master_Mapping_Sheet!$H$2:$H$3143=N$1))), 0, sum(filter(
Master_Mapping_Sheet!$E$2:$E$3143, ISNUMBER(
Master_Mapping_Sheet!$E$2:$E$3143),
Master_Mapping_Sheet!$H$2:$H$3143=N$1,
Master_Mapping_Sheet!$N$2:$N$3143="&amp;"REGEXEXTRACT($A7,"".*_(.*)"")))/sum(filter(
Master_Mapping_Sheet!$E$2:$E$3143, ISNUMBER(
Master_Mapping_Sheet!$E$2:$E$3143),
Master_Mapping_Sheet!$H$2:$H$3143=N$1)))"),0.0)</f>
        <v>0</v>
      </c>
      <c r="O7" s="34">
        <f>IFERROR(__xludf.DUMMYFUNCTION("IF(ISNA(sum(filter(
Master_Mapping_Sheet!$E$2:$E$3143, ISNUMBER(
Master_Mapping_Sheet!$E$2:$E$3143),
Master_Mapping_Sheet!$H$2:$H$3143=O$1,
Master_Mapping_Sheet!$N$2:$N$3143=REGEXEXTRACT($A7,"".*_(.*)"")))/sum(filter(
Master_Mapping_Sheet!$E$2:$E$3143, IS"&amp;"NUMBER(
Master_Mapping_Sheet!$E$2:$E$3143),
Master_Mapping_Sheet!$H$2:$H$3143=O$1))), 0, sum(filter(
Master_Mapping_Sheet!$E$2:$E$3143, ISNUMBER(
Master_Mapping_Sheet!$E$2:$E$3143),
Master_Mapping_Sheet!$H$2:$H$3143=O$1,
Master_Mapping_Sheet!$N$2:$N$3143="&amp;"REGEXEXTRACT($A7,"".*_(.*)"")))/sum(filter(
Master_Mapping_Sheet!$E$2:$E$3143, ISNUMBER(
Master_Mapping_Sheet!$E$2:$E$3143),
Master_Mapping_Sheet!$H$2:$H$3143=O$1)))"),0.0)</f>
        <v>0</v>
      </c>
      <c r="P7" s="34">
        <f>IFERROR(__xludf.DUMMYFUNCTION("IF(ISNA(sum(filter(
Master_Mapping_Sheet!$E$2:$E$3143, ISNUMBER(
Master_Mapping_Sheet!$E$2:$E$3143),
Master_Mapping_Sheet!$H$2:$H$3143=P$1,
Master_Mapping_Sheet!$N$2:$N$3143=REGEXEXTRACT($A7,"".*_(.*)"")))/sum(filter(
Master_Mapping_Sheet!$E$2:$E$3143, IS"&amp;"NUMBER(
Master_Mapping_Sheet!$E$2:$E$3143),
Master_Mapping_Sheet!$H$2:$H$3143=P$1))), 0, sum(filter(
Master_Mapping_Sheet!$E$2:$E$3143, ISNUMBER(
Master_Mapping_Sheet!$E$2:$E$3143),
Master_Mapping_Sheet!$H$2:$H$3143=P$1,
Master_Mapping_Sheet!$N$2:$N$3143="&amp;"REGEXEXTRACT($A7,"".*_(.*)"")))/sum(filter(
Master_Mapping_Sheet!$E$2:$E$3143, ISNUMBER(
Master_Mapping_Sheet!$E$2:$E$3143),
Master_Mapping_Sheet!$H$2:$H$3143=P$1)))"),0.0)</f>
        <v>0</v>
      </c>
      <c r="Q7" s="34">
        <f>IFERROR(__xludf.DUMMYFUNCTION("IF(ISNA(sum(filter(
Master_Mapping_Sheet!$E$2:$E$3143, ISNUMBER(
Master_Mapping_Sheet!$E$2:$E$3143),
Master_Mapping_Sheet!$H$2:$H$3143=Q$1,
Master_Mapping_Sheet!$N$2:$N$3143=REGEXEXTRACT($A7,"".*_(.*)"")))/sum(filter(
Master_Mapping_Sheet!$E$2:$E$3143, IS"&amp;"NUMBER(
Master_Mapping_Sheet!$E$2:$E$3143),
Master_Mapping_Sheet!$H$2:$H$3143=Q$1))), 0, sum(filter(
Master_Mapping_Sheet!$E$2:$E$3143, ISNUMBER(
Master_Mapping_Sheet!$E$2:$E$3143),
Master_Mapping_Sheet!$H$2:$H$3143=Q$1,
Master_Mapping_Sheet!$N$2:$N$3143="&amp;"REGEXEXTRACT($A7,"".*_(.*)"")))/sum(filter(
Master_Mapping_Sheet!$E$2:$E$3143, ISNUMBER(
Master_Mapping_Sheet!$E$2:$E$3143),
Master_Mapping_Sheet!$H$2:$H$3143=Q$1)))"),0.0)</f>
        <v>0</v>
      </c>
      <c r="R7" s="34">
        <f>IFERROR(__xludf.DUMMYFUNCTION("IF(ISNA(sum(filter(
Master_Mapping_Sheet!$E$2:$E$3143, ISNUMBER(
Master_Mapping_Sheet!$E$2:$E$3143),
Master_Mapping_Sheet!$H$2:$H$3143=R$1,
Master_Mapping_Sheet!$N$2:$N$3143=REGEXEXTRACT($A7,"".*_(.*)"")))/sum(filter(
Master_Mapping_Sheet!$E$2:$E$3143, IS"&amp;"NUMBER(
Master_Mapping_Sheet!$E$2:$E$3143),
Master_Mapping_Sheet!$H$2:$H$3143=R$1))), 0, sum(filter(
Master_Mapping_Sheet!$E$2:$E$3143, ISNUMBER(
Master_Mapping_Sheet!$E$2:$E$3143),
Master_Mapping_Sheet!$H$2:$H$3143=R$1,
Master_Mapping_Sheet!$N$2:$N$3143="&amp;"REGEXEXTRACT($A7,"".*_(.*)"")))/sum(filter(
Master_Mapping_Sheet!$E$2:$E$3143, ISNUMBER(
Master_Mapping_Sheet!$E$2:$E$3143),
Master_Mapping_Sheet!$H$2:$H$3143=R$1)))"),0.07394011377538934)</f>
        <v>0.07394011378</v>
      </c>
      <c r="S7" s="34">
        <f>IFERROR(__xludf.DUMMYFUNCTION("IF(ISNA(sum(filter(
Master_Mapping_Sheet!$E$2:$E$3143, ISNUMBER(
Master_Mapping_Sheet!$E$2:$E$3143),
Master_Mapping_Sheet!$H$2:$H$3143=S$1,
Master_Mapping_Sheet!$N$2:$N$3143=REGEXEXTRACT($A7,"".*_(.*)"")))/sum(filter(
Master_Mapping_Sheet!$E$2:$E$3143, IS"&amp;"NUMBER(
Master_Mapping_Sheet!$E$2:$E$3143),
Master_Mapping_Sheet!$H$2:$H$3143=S$1))), 0, sum(filter(
Master_Mapping_Sheet!$E$2:$E$3143, ISNUMBER(
Master_Mapping_Sheet!$E$2:$E$3143),
Master_Mapping_Sheet!$H$2:$H$3143=S$1,
Master_Mapping_Sheet!$N$2:$N$3143="&amp;"REGEXEXTRACT($A7,"".*_(.*)"")))/sum(filter(
Master_Mapping_Sheet!$E$2:$E$3143, ISNUMBER(
Master_Mapping_Sheet!$E$2:$E$3143),
Master_Mapping_Sheet!$H$2:$H$3143=S$1)))"),0.0)</f>
        <v>0</v>
      </c>
      <c r="T7" s="34">
        <f>IFERROR(__xludf.DUMMYFUNCTION("IF(ISNA(sum(filter(
Master_Mapping_Sheet!$E$2:$E$3143, ISNUMBER(
Master_Mapping_Sheet!$E$2:$E$3143),
Master_Mapping_Sheet!$H$2:$H$3143=T$1,
Master_Mapping_Sheet!$N$2:$N$3143=REGEXEXTRACT($A7,"".*_(.*)"")))/sum(filter(
Master_Mapping_Sheet!$E$2:$E$3143, IS"&amp;"NUMBER(
Master_Mapping_Sheet!$E$2:$E$3143),
Master_Mapping_Sheet!$H$2:$H$3143=T$1))), 0, sum(filter(
Master_Mapping_Sheet!$E$2:$E$3143, ISNUMBER(
Master_Mapping_Sheet!$E$2:$E$3143),
Master_Mapping_Sheet!$H$2:$H$3143=T$1,
Master_Mapping_Sheet!$N$2:$N$3143="&amp;"REGEXEXTRACT($A7,"".*_(.*)"")))/sum(filter(
Master_Mapping_Sheet!$E$2:$E$3143, ISNUMBER(
Master_Mapping_Sheet!$E$2:$E$3143),
Master_Mapping_Sheet!$H$2:$H$3143=T$1)))"),0.0)</f>
        <v>0</v>
      </c>
      <c r="U7" s="34">
        <f>IFERROR(__xludf.DUMMYFUNCTION("IF(ISNA(sum(filter(
Master_Mapping_Sheet!$E$2:$E$3143, ISNUMBER(
Master_Mapping_Sheet!$E$2:$E$3143),
Master_Mapping_Sheet!$H$2:$H$3143=U$1,
Master_Mapping_Sheet!$N$2:$N$3143=REGEXEXTRACT($A7,"".*_(.*)"")))/sum(filter(
Master_Mapping_Sheet!$E$2:$E$3143, IS"&amp;"NUMBER(
Master_Mapping_Sheet!$E$2:$E$3143),
Master_Mapping_Sheet!$H$2:$H$3143=U$1))), 0, sum(filter(
Master_Mapping_Sheet!$E$2:$E$3143, ISNUMBER(
Master_Mapping_Sheet!$E$2:$E$3143),
Master_Mapping_Sheet!$H$2:$H$3143=U$1,
Master_Mapping_Sheet!$N$2:$N$3143="&amp;"REGEXEXTRACT($A7,"".*_(.*)"")))/sum(filter(
Master_Mapping_Sheet!$E$2:$E$3143, ISNUMBER(
Master_Mapping_Sheet!$E$2:$E$3143),
Master_Mapping_Sheet!$H$2:$H$3143=U$1)))"),0.8019313661289558)</f>
        <v>0.8019313661</v>
      </c>
      <c r="V7" s="34">
        <f>IFERROR(__xludf.DUMMYFUNCTION("IF(ISNA(sum(filter(
Master_Mapping_Sheet!$E$2:$E$3143, ISNUMBER(
Master_Mapping_Sheet!$E$2:$E$3143),
Master_Mapping_Sheet!$H$2:$H$3143=V$1,
Master_Mapping_Sheet!$N$2:$N$3143=REGEXEXTRACT($A7,"".*_(.*)"")))/sum(filter(
Master_Mapping_Sheet!$E$2:$E$3143, IS"&amp;"NUMBER(
Master_Mapping_Sheet!$E$2:$E$3143),
Master_Mapping_Sheet!$H$2:$H$3143=V$1))), 0, sum(filter(
Master_Mapping_Sheet!$E$2:$E$3143, ISNUMBER(
Master_Mapping_Sheet!$E$2:$E$3143),
Master_Mapping_Sheet!$H$2:$H$3143=V$1,
Master_Mapping_Sheet!$N$2:$N$3143="&amp;"REGEXEXTRACT($A7,"".*_(.*)"")))/sum(filter(
Master_Mapping_Sheet!$E$2:$E$3143, ISNUMBER(
Master_Mapping_Sheet!$E$2:$E$3143),
Master_Mapping_Sheet!$H$2:$H$3143=V$1)))"),0.4784321026643121)</f>
        <v>0.4784321027</v>
      </c>
      <c r="W7" s="34">
        <f>IFERROR(__xludf.DUMMYFUNCTION("IF(ISNA(sum(filter(
Master_Mapping_Sheet!$E$2:$E$3143, ISNUMBER(
Master_Mapping_Sheet!$E$2:$E$3143),
Master_Mapping_Sheet!$H$2:$H$3143=W$1,
Master_Mapping_Sheet!$N$2:$N$3143=REGEXEXTRACT($A7,"".*_(.*)"")))/sum(filter(
Master_Mapping_Sheet!$E$2:$E$3143, IS"&amp;"NUMBER(
Master_Mapping_Sheet!$E$2:$E$3143),
Master_Mapping_Sheet!$H$2:$H$3143=W$1))), 0, sum(filter(
Master_Mapping_Sheet!$E$2:$E$3143, ISNUMBER(
Master_Mapping_Sheet!$E$2:$E$3143),
Master_Mapping_Sheet!$H$2:$H$3143=W$1,
Master_Mapping_Sheet!$N$2:$N$3143="&amp;"REGEXEXTRACT($A7,"".*_(.*)"")))/sum(filter(
Master_Mapping_Sheet!$E$2:$E$3143, ISNUMBER(
Master_Mapping_Sheet!$E$2:$E$3143),
Master_Mapping_Sheet!$H$2:$H$3143=W$1)))"),0.9625761306353487)</f>
        <v>0.9625761306</v>
      </c>
      <c r="X7" s="34">
        <f>IFERROR(__xludf.DUMMYFUNCTION("IF(ISNA(sum(filter(
Master_Mapping_Sheet!$E$2:$E$3143, ISNUMBER(
Master_Mapping_Sheet!$E$2:$E$3143),
Master_Mapping_Sheet!$H$2:$H$3143=X$1,
Master_Mapping_Sheet!$N$2:$N$3143=REGEXEXTRACT($A7,"".*_(.*)"")))/sum(filter(
Master_Mapping_Sheet!$E$2:$E$3143, IS"&amp;"NUMBER(
Master_Mapping_Sheet!$E$2:$E$3143),
Master_Mapping_Sheet!$H$2:$H$3143=X$1))), 0, sum(filter(
Master_Mapping_Sheet!$E$2:$E$3143, ISNUMBER(
Master_Mapping_Sheet!$E$2:$E$3143),
Master_Mapping_Sheet!$H$2:$H$3143=X$1,
Master_Mapping_Sheet!$N$2:$N$3143="&amp;"REGEXEXTRACT($A7,"".*_(.*)"")))/sum(filter(
Master_Mapping_Sheet!$E$2:$E$3143, ISNUMBER(
Master_Mapping_Sheet!$E$2:$E$3143),
Master_Mapping_Sheet!$H$2:$H$3143=X$1)))"),0.0)</f>
        <v>0</v>
      </c>
      <c r="Y7" s="34">
        <f>IFERROR(__xludf.DUMMYFUNCTION("IF(ISNA(sum(filter(
Master_Mapping_Sheet!$E$2:$E$3143, ISNUMBER(
Master_Mapping_Sheet!$E$2:$E$3143),
Master_Mapping_Sheet!$H$2:$H$3143=Y$1,
Master_Mapping_Sheet!$N$2:$N$3143=REGEXEXTRACT($A7,"".*_(.*)"")))/sum(filter(
Master_Mapping_Sheet!$E$2:$E$3143, IS"&amp;"NUMBER(
Master_Mapping_Sheet!$E$2:$E$3143),
Master_Mapping_Sheet!$H$2:$H$3143=Y$1))), 0, sum(filter(
Master_Mapping_Sheet!$E$2:$E$3143, ISNUMBER(
Master_Mapping_Sheet!$E$2:$E$3143),
Master_Mapping_Sheet!$H$2:$H$3143=Y$1,
Master_Mapping_Sheet!$N$2:$N$3143="&amp;"REGEXEXTRACT($A7,"".*_(.*)"")))/sum(filter(
Master_Mapping_Sheet!$E$2:$E$3143, ISNUMBER(
Master_Mapping_Sheet!$E$2:$E$3143),
Master_Mapping_Sheet!$H$2:$H$3143=Y$1)))"),0.0)</f>
        <v>0</v>
      </c>
      <c r="Z7" s="34">
        <f>IFERROR(__xludf.DUMMYFUNCTION("IF(ISNA(sum(filter(
Master_Mapping_Sheet!$E$2:$E$3143, ISNUMBER(
Master_Mapping_Sheet!$E$2:$E$3143),
Master_Mapping_Sheet!$H$2:$H$3143=Z$1,
Master_Mapping_Sheet!$N$2:$N$3143=REGEXEXTRACT($A7,"".*_(.*)"")))/sum(filter(
Master_Mapping_Sheet!$E$2:$E$3143, IS"&amp;"NUMBER(
Master_Mapping_Sheet!$E$2:$E$3143),
Master_Mapping_Sheet!$H$2:$H$3143=Z$1))), 0, sum(filter(
Master_Mapping_Sheet!$E$2:$E$3143, ISNUMBER(
Master_Mapping_Sheet!$E$2:$E$3143),
Master_Mapping_Sheet!$H$2:$H$3143=Z$1,
Master_Mapping_Sheet!$N$2:$N$3143="&amp;"REGEXEXTRACT($A7,"".*_(.*)"")))/sum(filter(
Master_Mapping_Sheet!$E$2:$E$3143, ISNUMBER(
Master_Mapping_Sheet!$E$2:$E$3143),
Master_Mapping_Sheet!$H$2:$H$3143=Z$1)))"),0.2984218119632001)</f>
        <v>0.298421812</v>
      </c>
    </row>
    <row r="8" ht="15.75" customHeight="1">
      <c r="A8" s="45" t="s">
        <v>4266</v>
      </c>
      <c r="B8" s="34">
        <f>IFERROR(__xludf.DUMMYFUNCTION("IF(ISNA(sum(filter(
Master_Mapping_Sheet!$E$2:$E$3143, ISNUMBER(
Master_Mapping_Sheet!$E$2:$E$3143),
Master_Mapping_Sheet!$H$2:$H$3143=B$1,
Master_Mapping_Sheet!$N$2:$N$3143=REGEXEXTRACT($A8,"".*_(.*)"")))/sum(filter(
Master_Mapping_Sheet!$E$2:$E$3143, IS"&amp;"NUMBER(
Master_Mapping_Sheet!$E$2:$E$3143),
Master_Mapping_Sheet!$H$2:$H$3143=B$1))), 0, sum(filter(
Master_Mapping_Sheet!$E$2:$E$3143, ISNUMBER(
Master_Mapping_Sheet!$E$2:$E$3143),
Master_Mapping_Sheet!$H$2:$H$3143=B$1,
Master_Mapping_Sheet!$N$2:$N$3143="&amp;"REGEXEXTRACT($A8,"".*_(.*)"")))/sum(filter(
Master_Mapping_Sheet!$E$2:$E$3143, ISNUMBER(
Master_Mapping_Sheet!$E$2:$E$3143),
Master_Mapping_Sheet!$H$2:$H$3143=B$1)))"),1.2193159834608551E-4)</f>
        <v>0.0001219315983</v>
      </c>
      <c r="C8" s="34">
        <f>IFERROR(__xludf.DUMMYFUNCTION("IF(ISNA(sum(filter(
Master_Mapping_Sheet!$E$2:$E$3143, ISNUMBER(
Master_Mapping_Sheet!$E$2:$E$3143),
Master_Mapping_Sheet!$H$2:$H$3143=C$1,
Master_Mapping_Sheet!$N$2:$N$3143=REGEXEXTRACT($A8,"".*_(.*)"")))/sum(filter(
Master_Mapping_Sheet!$E$2:$E$3143, IS"&amp;"NUMBER(
Master_Mapping_Sheet!$E$2:$E$3143),
Master_Mapping_Sheet!$H$2:$H$3143=C$1))), 0, sum(filter(
Master_Mapping_Sheet!$E$2:$E$3143, ISNUMBER(
Master_Mapping_Sheet!$E$2:$E$3143),
Master_Mapping_Sheet!$H$2:$H$3143=C$1,
Master_Mapping_Sheet!$N$2:$N$3143="&amp;"REGEXEXTRACT($A8,"".*_(.*)"")))/sum(filter(
Master_Mapping_Sheet!$E$2:$E$3143, ISNUMBER(
Master_Mapping_Sheet!$E$2:$E$3143),
Master_Mapping_Sheet!$H$2:$H$3143=C$1)))"),0.0)</f>
        <v>0</v>
      </c>
      <c r="D8" s="34">
        <f>IFERROR(__xludf.DUMMYFUNCTION("IF(ISNA(sum(filter(
Master_Mapping_Sheet!$E$2:$E$3143, ISNUMBER(
Master_Mapping_Sheet!$E$2:$E$3143),
Master_Mapping_Sheet!$H$2:$H$3143=D$1,
Master_Mapping_Sheet!$N$2:$N$3143=REGEXEXTRACT($A8,"".*_(.*)"")))/sum(filter(
Master_Mapping_Sheet!$E$2:$E$3143, IS"&amp;"NUMBER(
Master_Mapping_Sheet!$E$2:$E$3143),
Master_Mapping_Sheet!$H$2:$H$3143=D$1))), 0, sum(filter(
Master_Mapping_Sheet!$E$2:$E$3143, ISNUMBER(
Master_Mapping_Sheet!$E$2:$E$3143),
Master_Mapping_Sheet!$H$2:$H$3143=D$1,
Master_Mapping_Sheet!$N$2:$N$3143="&amp;"REGEXEXTRACT($A8,"".*_(.*)"")))/sum(filter(
Master_Mapping_Sheet!$E$2:$E$3143, ISNUMBER(
Master_Mapping_Sheet!$E$2:$E$3143),
Master_Mapping_Sheet!$H$2:$H$3143=D$1)))"),0.0)</f>
        <v>0</v>
      </c>
      <c r="E8" s="34">
        <f>IFERROR(__xludf.DUMMYFUNCTION("IF(ISNA(sum(filter(
Master_Mapping_Sheet!$E$2:$E$3143, ISNUMBER(
Master_Mapping_Sheet!$E$2:$E$3143),
Master_Mapping_Sheet!$H$2:$H$3143=E$1,
Master_Mapping_Sheet!$N$2:$N$3143=REGEXEXTRACT($A8,"".*_(.*)"")))/sum(filter(
Master_Mapping_Sheet!$E$2:$E$3143, IS"&amp;"NUMBER(
Master_Mapping_Sheet!$E$2:$E$3143),
Master_Mapping_Sheet!$H$2:$H$3143=E$1))), 0, sum(filter(
Master_Mapping_Sheet!$E$2:$E$3143, ISNUMBER(
Master_Mapping_Sheet!$E$2:$E$3143),
Master_Mapping_Sheet!$H$2:$H$3143=E$1,
Master_Mapping_Sheet!$N$2:$N$3143="&amp;"REGEXEXTRACT($A8,"".*_(.*)"")))/sum(filter(
Master_Mapping_Sheet!$E$2:$E$3143, ISNUMBER(
Master_Mapping_Sheet!$E$2:$E$3143),
Master_Mapping_Sheet!$H$2:$H$3143=E$1)))"),0.0)</f>
        <v>0</v>
      </c>
      <c r="F8" s="34">
        <f>IFERROR(__xludf.DUMMYFUNCTION("IF(ISNA(sum(filter(
Master_Mapping_Sheet!$E$2:$E$3143, ISNUMBER(
Master_Mapping_Sheet!$E$2:$E$3143),
Master_Mapping_Sheet!$H$2:$H$3143=F$1,
Master_Mapping_Sheet!$N$2:$N$3143=REGEXEXTRACT($A8,"".*_(.*)"")))/sum(filter(
Master_Mapping_Sheet!$E$2:$E$3143, IS"&amp;"NUMBER(
Master_Mapping_Sheet!$E$2:$E$3143),
Master_Mapping_Sheet!$H$2:$H$3143=F$1))), 0, sum(filter(
Master_Mapping_Sheet!$E$2:$E$3143, ISNUMBER(
Master_Mapping_Sheet!$E$2:$E$3143),
Master_Mapping_Sheet!$H$2:$H$3143=F$1,
Master_Mapping_Sheet!$N$2:$N$3143="&amp;"REGEXEXTRACT($A8,"".*_(.*)"")))/sum(filter(
Master_Mapping_Sheet!$E$2:$E$3143, ISNUMBER(
Master_Mapping_Sheet!$E$2:$E$3143),
Master_Mapping_Sheet!$H$2:$H$3143=F$1)))"),0.0)</f>
        <v>0</v>
      </c>
      <c r="G8" s="34">
        <f>IFERROR(__xludf.DUMMYFUNCTION("IF(ISNA(sum(filter(
Master_Mapping_Sheet!$E$2:$E$3143, ISNUMBER(
Master_Mapping_Sheet!$E$2:$E$3143),
Master_Mapping_Sheet!$H$2:$H$3143=G$1,
Master_Mapping_Sheet!$N$2:$N$3143=REGEXEXTRACT($A8,"".*_(.*)"")))/sum(filter(
Master_Mapping_Sheet!$E$2:$E$3143, IS"&amp;"NUMBER(
Master_Mapping_Sheet!$E$2:$E$3143),
Master_Mapping_Sheet!$H$2:$H$3143=G$1))), 0, sum(filter(
Master_Mapping_Sheet!$E$2:$E$3143, ISNUMBER(
Master_Mapping_Sheet!$E$2:$E$3143),
Master_Mapping_Sheet!$H$2:$H$3143=G$1,
Master_Mapping_Sheet!$N$2:$N$3143="&amp;"REGEXEXTRACT($A8,"".*_(.*)"")))/sum(filter(
Master_Mapping_Sheet!$E$2:$E$3143, ISNUMBER(
Master_Mapping_Sheet!$E$2:$E$3143),
Master_Mapping_Sheet!$H$2:$H$3143=G$1)))"),0.0)</f>
        <v>0</v>
      </c>
      <c r="H8" s="34">
        <f>IFERROR(__xludf.DUMMYFUNCTION("IF(ISNA(sum(filter(
Master_Mapping_Sheet!$E$2:$E$3143, ISNUMBER(
Master_Mapping_Sheet!$E$2:$E$3143),
Master_Mapping_Sheet!$H$2:$H$3143=H$1,
Master_Mapping_Sheet!$N$2:$N$3143=REGEXEXTRACT($A8,"".*_(.*)"")))/sum(filter(
Master_Mapping_Sheet!$E$2:$E$3143, IS"&amp;"NUMBER(
Master_Mapping_Sheet!$E$2:$E$3143),
Master_Mapping_Sheet!$H$2:$H$3143=H$1))), 0, sum(filter(
Master_Mapping_Sheet!$E$2:$E$3143, ISNUMBER(
Master_Mapping_Sheet!$E$2:$E$3143),
Master_Mapping_Sheet!$H$2:$H$3143=H$1,
Master_Mapping_Sheet!$N$2:$N$3143="&amp;"REGEXEXTRACT($A8,"".*_(.*)"")))/sum(filter(
Master_Mapping_Sheet!$E$2:$E$3143, ISNUMBER(
Master_Mapping_Sheet!$E$2:$E$3143),
Master_Mapping_Sheet!$H$2:$H$3143=H$1)))"),0.0)</f>
        <v>0</v>
      </c>
      <c r="I8" s="34">
        <f>IFERROR(__xludf.DUMMYFUNCTION("IF(ISNA(sum(filter(
Master_Mapping_Sheet!$E$2:$E$3143, ISNUMBER(
Master_Mapping_Sheet!$E$2:$E$3143),
Master_Mapping_Sheet!$H$2:$H$3143=I$1,
Master_Mapping_Sheet!$N$2:$N$3143=REGEXEXTRACT($A8,"".*_(.*)"")))/sum(filter(
Master_Mapping_Sheet!$E$2:$E$3143, IS"&amp;"NUMBER(
Master_Mapping_Sheet!$E$2:$E$3143),
Master_Mapping_Sheet!$H$2:$H$3143=I$1))), 0, sum(filter(
Master_Mapping_Sheet!$E$2:$E$3143, ISNUMBER(
Master_Mapping_Sheet!$E$2:$E$3143),
Master_Mapping_Sheet!$H$2:$H$3143=I$1,
Master_Mapping_Sheet!$N$2:$N$3143="&amp;"REGEXEXTRACT($A8,"".*_(.*)"")))/sum(filter(
Master_Mapping_Sheet!$E$2:$E$3143, ISNUMBER(
Master_Mapping_Sheet!$E$2:$E$3143),
Master_Mapping_Sheet!$H$2:$H$3143=I$1)))"),0.0)</f>
        <v>0</v>
      </c>
      <c r="J8" s="34">
        <f>IFERROR(__xludf.DUMMYFUNCTION("IF(ISNA(sum(filter(
Master_Mapping_Sheet!$E$2:$E$3143, ISNUMBER(
Master_Mapping_Sheet!$E$2:$E$3143),
Master_Mapping_Sheet!$H$2:$H$3143=J$1,
Master_Mapping_Sheet!$N$2:$N$3143=REGEXEXTRACT($A8,"".*_(.*)"")))/sum(filter(
Master_Mapping_Sheet!$E$2:$E$3143, IS"&amp;"NUMBER(
Master_Mapping_Sheet!$E$2:$E$3143),
Master_Mapping_Sheet!$H$2:$H$3143=J$1))), 0, sum(filter(
Master_Mapping_Sheet!$E$2:$E$3143, ISNUMBER(
Master_Mapping_Sheet!$E$2:$E$3143),
Master_Mapping_Sheet!$H$2:$H$3143=J$1,
Master_Mapping_Sheet!$N$2:$N$3143="&amp;"REGEXEXTRACT($A8,"".*_(.*)"")))/sum(filter(
Master_Mapping_Sheet!$E$2:$E$3143, ISNUMBER(
Master_Mapping_Sheet!$E$2:$E$3143),
Master_Mapping_Sheet!$H$2:$H$3143=J$1)))"),0.0)</f>
        <v>0</v>
      </c>
      <c r="K8" s="34">
        <f>IFERROR(__xludf.DUMMYFUNCTION("IF(ISNA(sum(filter(
Master_Mapping_Sheet!$E$2:$E$3143, ISNUMBER(
Master_Mapping_Sheet!$E$2:$E$3143),
Master_Mapping_Sheet!$H$2:$H$3143=K$1,
Master_Mapping_Sheet!$N$2:$N$3143=REGEXEXTRACT($A8,"".*_(.*)"")))/sum(filter(
Master_Mapping_Sheet!$E$2:$E$3143, IS"&amp;"NUMBER(
Master_Mapping_Sheet!$E$2:$E$3143),
Master_Mapping_Sheet!$H$2:$H$3143=K$1))), 0, sum(filter(
Master_Mapping_Sheet!$E$2:$E$3143, ISNUMBER(
Master_Mapping_Sheet!$E$2:$E$3143),
Master_Mapping_Sheet!$H$2:$H$3143=K$1,
Master_Mapping_Sheet!$N$2:$N$3143="&amp;"REGEXEXTRACT($A8,"".*_(.*)"")))/sum(filter(
Master_Mapping_Sheet!$E$2:$E$3143, ISNUMBER(
Master_Mapping_Sheet!$E$2:$E$3143),
Master_Mapping_Sheet!$H$2:$H$3143=K$1)))"),0.0)</f>
        <v>0</v>
      </c>
      <c r="L8" s="34">
        <f>IFERROR(__xludf.DUMMYFUNCTION("IF(ISNA(sum(filter(
Master_Mapping_Sheet!$E$2:$E$3143, ISNUMBER(
Master_Mapping_Sheet!$E$2:$E$3143),
Master_Mapping_Sheet!$H$2:$H$3143=L$1,
Master_Mapping_Sheet!$N$2:$N$3143=REGEXEXTRACT($A8,"".*_(.*)"")))/sum(filter(
Master_Mapping_Sheet!$E$2:$E$3143, IS"&amp;"NUMBER(
Master_Mapping_Sheet!$E$2:$E$3143),
Master_Mapping_Sheet!$H$2:$H$3143=L$1))), 0, sum(filter(
Master_Mapping_Sheet!$E$2:$E$3143, ISNUMBER(
Master_Mapping_Sheet!$E$2:$E$3143),
Master_Mapping_Sheet!$H$2:$H$3143=L$1,
Master_Mapping_Sheet!$N$2:$N$3143="&amp;"REGEXEXTRACT($A8,"".*_(.*)"")))/sum(filter(
Master_Mapping_Sheet!$E$2:$E$3143, ISNUMBER(
Master_Mapping_Sheet!$E$2:$E$3143),
Master_Mapping_Sheet!$H$2:$H$3143=L$1)))"),0.0)</f>
        <v>0</v>
      </c>
      <c r="M8" s="34">
        <f>IFERROR(__xludf.DUMMYFUNCTION("IF(ISNA(sum(filter(
Master_Mapping_Sheet!$E$2:$E$3143, ISNUMBER(
Master_Mapping_Sheet!$E$2:$E$3143),
Master_Mapping_Sheet!$H$2:$H$3143=M$1,
Master_Mapping_Sheet!$N$2:$N$3143=REGEXEXTRACT($A8,"".*_(.*)"")))/sum(filter(
Master_Mapping_Sheet!$E$2:$E$3143, IS"&amp;"NUMBER(
Master_Mapping_Sheet!$E$2:$E$3143),
Master_Mapping_Sheet!$H$2:$H$3143=M$1))), 0, sum(filter(
Master_Mapping_Sheet!$E$2:$E$3143, ISNUMBER(
Master_Mapping_Sheet!$E$2:$E$3143),
Master_Mapping_Sheet!$H$2:$H$3143=M$1,
Master_Mapping_Sheet!$N$2:$N$3143="&amp;"REGEXEXTRACT($A8,"".*_(.*)"")))/sum(filter(
Master_Mapping_Sheet!$E$2:$E$3143, ISNUMBER(
Master_Mapping_Sheet!$E$2:$E$3143),
Master_Mapping_Sheet!$H$2:$H$3143=M$1)))"),0.0)</f>
        <v>0</v>
      </c>
      <c r="N8" s="34">
        <f>IFERROR(__xludf.DUMMYFUNCTION("IF(ISNA(sum(filter(
Master_Mapping_Sheet!$E$2:$E$3143, ISNUMBER(
Master_Mapping_Sheet!$E$2:$E$3143),
Master_Mapping_Sheet!$H$2:$H$3143=N$1,
Master_Mapping_Sheet!$N$2:$N$3143=REGEXEXTRACT($A8,"".*_(.*)"")))/sum(filter(
Master_Mapping_Sheet!$E$2:$E$3143, IS"&amp;"NUMBER(
Master_Mapping_Sheet!$E$2:$E$3143),
Master_Mapping_Sheet!$H$2:$H$3143=N$1))), 0, sum(filter(
Master_Mapping_Sheet!$E$2:$E$3143, ISNUMBER(
Master_Mapping_Sheet!$E$2:$E$3143),
Master_Mapping_Sheet!$H$2:$H$3143=N$1,
Master_Mapping_Sheet!$N$2:$N$3143="&amp;"REGEXEXTRACT($A8,"".*_(.*)"")))/sum(filter(
Master_Mapping_Sheet!$E$2:$E$3143, ISNUMBER(
Master_Mapping_Sheet!$E$2:$E$3143),
Master_Mapping_Sheet!$H$2:$H$3143=N$1)))"),0.0)</f>
        <v>0</v>
      </c>
      <c r="O8" s="34">
        <f>IFERROR(__xludf.DUMMYFUNCTION("IF(ISNA(sum(filter(
Master_Mapping_Sheet!$E$2:$E$3143, ISNUMBER(
Master_Mapping_Sheet!$E$2:$E$3143),
Master_Mapping_Sheet!$H$2:$H$3143=O$1,
Master_Mapping_Sheet!$N$2:$N$3143=REGEXEXTRACT($A8,"".*_(.*)"")))/sum(filter(
Master_Mapping_Sheet!$E$2:$E$3143, IS"&amp;"NUMBER(
Master_Mapping_Sheet!$E$2:$E$3143),
Master_Mapping_Sheet!$H$2:$H$3143=O$1))), 0, sum(filter(
Master_Mapping_Sheet!$E$2:$E$3143, ISNUMBER(
Master_Mapping_Sheet!$E$2:$E$3143),
Master_Mapping_Sheet!$H$2:$H$3143=O$1,
Master_Mapping_Sheet!$N$2:$N$3143="&amp;"REGEXEXTRACT($A8,"".*_(.*)"")))/sum(filter(
Master_Mapping_Sheet!$E$2:$E$3143, ISNUMBER(
Master_Mapping_Sheet!$E$2:$E$3143),
Master_Mapping_Sheet!$H$2:$H$3143=O$1)))"),0.0)</f>
        <v>0</v>
      </c>
      <c r="P8" s="34">
        <f>IFERROR(__xludf.DUMMYFUNCTION("IF(ISNA(sum(filter(
Master_Mapping_Sheet!$E$2:$E$3143, ISNUMBER(
Master_Mapping_Sheet!$E$2:$E$3143),
Master_Mapping_Sheet!$H$2:$H$3143=P$1,
Master_Mapping_Sheet!$N$2:$N$3143=REGEXEXTRACT($A8,"".*_(.*)"")))/sum(filter(
Master_Mapping_Sheet!$E$2:$E$3143, IS"&amp;"NUMBER(
Master_Mapping_Sheet!$E$2:$E$3143),
Master_Mapping_Sheet!$H$2:$H$3143=P$1))), 0, sum(filter(
Master_Mapping_Sheet!$E$2:$E$3143, ISNUMBER(
Master_Mapping_Sheet!$E$2:$E$3143),
Master_Mapping_Sheet!$H$2:$H$3143=P$1,
Master_Mapping_Sheet!$N$2:$N$3143="&amp;"REGEXEXTRACT($A8,"".*_(.*)"")))/sum(filter(
Master_Mapping_Sheet!$E$2:$E$3143, ISNUMBER(
Master_Mapping_Sheet!$E$2:$E$3143),
Master_Mapping_Sheet!$H$2:$H$3143=P$1)))"),0.0)</f>
        <v>0</v>
      </c>
      <c r="Q8" s="34">
        <f>IFERROR(__xludf.DUMMYFUNCTION("IF(ISNA(sum(filter(
Master_Mapping_Sheet!$E$2:$E$3143, ISNUMBER(
Master_Mapping_Sheet!$E$2:$E$3143),
Master_Mapping_Sheet!$H$2:$H$3143=Q$1,
Master_Mapping_Sheet!$N$2:$N$3143=REGEXEXTRACT($A8,"".*_(.*)"")))/sum(filter(
Master_Mapping_Sheet!$E$2:$E$3143, IS"&amp;"NUMBER(
Master_Mapping_Sheet!$E$2:$E$3143),
Master_Mapping_Sheet!$H$2:$H$3143=Q$1))), 0, sum(filter(
Master_Mapping_Sheet!$E$2:$E$3143, ISNUMBER(
Master_Mapping_Sheet!$E$2:$E$3143),
Master_Mapping_Sheet!$H$2:$H$3143=Q$1,
Master_Mapping_Sheet!$N$2:$N$3143="&amp;"REGEXEXTRACT($A8,"".*_(.*)"")))/sum(filter(
Master_Mapping_Sheet!$E$2:$E$3143, ISNUMBER(
Master_Mapping_Sheet!$E$2:$E$3143),
Master_Mapping_Sheet!$H$2:$H$3143=Q$1)))"),0.0)</f>
        <v>0</v>
      </c>
      <c r="R8" s="34">
        <f>IFERROR(__xludf.DUMMYFUNCTION("IF(ISNA(sum(filter(
Master_Mapping_Sheet!$E$2:$E$3143, ISNUMBER(
Master_Mapping_Sheet!$E$2:$E$3143),
Master_Mapping_Sheet!$H$2:$H$3143=R$1,
Master_Mapping_Sheet!$N$2:$N$3143=REGEXEXTRACT($A8,"".*_(.*)"")))/sum(filter(
Master_Mapping_Sheet!$E$2:$E$3143, IS"&amp;"NUMBER(
Master_Mapping_Sheet!$E$2:$E$3143),
Master_Mapping_Sheet!$H$2:$H$3143=R$1))), 0, sum(filter(
Master_Mapping_Sheet!$E$2:$E$3143, ISNUMBER(
Master_Mapping_Sheet!$E$2:$E$3143),
Master_Mapping_Sheet!$H$2:$H$3143=R$1,
Master_Mapping_Sheet!$N$2:$N$3143="&amp;"REGEXEXTRACT($A8,"".*_(.*)"")))/sum(filter(
Master_Mapping_Sheet!$E$2:$E$3143, ISNUMBER(
Master_Mapping_Sheet!$E$2:$E$3143),
Master_Mapping_Sheet!$H$2:$H$3143=R$1)))"),0.07807548896482569)</f>
        <v>0.07807548896</v>
      </c>
      <c r="S8" s="34">
        <f>IFERROR(__xludf.DUMMYFUNCTION("IF(ISNA(sum(filter(
Master_Mapping_Sheet!$E$2:$E$3143, ISNUMBER(
Master_Mapping_Sheet!$E$2:$E$3143),
Master_Mapping_Sheet!$H$2:$H$3143=S$1,
Master_Mapping_Sheet!$N$2:$N$3143=REGEXEXTRACT($A8,"".*_(.*)"")))/sum(filter(
Master_Mapping_Sheet!$E$2:$E$3143, IS"&amp;"NUMBER(
Master_Mapping_Sheet!$E$2:$E$3143),
Master_Mapping_Sheet!$H$2:$H$3143=S$1))), 0, sum(filter(
Master_Mapping_Sheet!$E$2:$E$3143, ISNUMBER(
Master_Mapping_Sheet!$E$2:$E$3143),
Master_Mapping_Sheet!$H$2:$H$3143=S$1,
Master_Mapping_Sheet!$N$2:$N$3143="&amp;"REGEXEXTRACT($A8,"".*_(.*)"")))/sum(filter(
Master_Mapping_Sheet!$E$2:$E$3143, ISNUMBER(
Master_Mapping_Sheet!$E$2:$E$3143),
Master_Mapping_Sheet!$H$2:$H$3143=S$1)))"),0.0)</f>
        <v>0</v>
      </c>
      <c r="T8" s="34">
        <f>IFERROR(__xludf.DUMMYFUNCTION("IF(ISNA(sum(filter(
Master_Mapping_Sheet!$E$2:$E$3143, ISNUMBER(
Master_Mapping_Sheet!$E$2:$E$3143),
Master_Mapping_Sheet!$H$2:$H$3143=T$1,
Master_Mapping_Sheet!$N$2:$N$3143=REGEXEXTRACT($A8,"".*_(.*)"")))/sum(filter(
Master_Mapping_Sheet!$E$2:$E$3143, IS"&amp;"NUMBER(
Master_Mapping_Sheet!$E$2:$E$3143),
Master_Mapping_Sheet!$H$2:$H$3143=T$1))), 0, sum(filter(
Master_Mapping_Sheet!$E$2:$E$3143, ISNUMBER(
Master_Mapping_Sheet!$E$2:$E$3143),
Master_Mapping_Sheet!$H$2:$H$3143=T$1,
Master_Mapping_Sheet!$N$2:$N$3143="&amp;"REGEXEXTRACT($A8,"".*_(.*)"")))/sum(filter(
Master_Mapping_Sheet!$E$2:$E$3143, ISNUMBER(
Master_Mapping_Sheet!$E$2:$E$3143),
Master_Mapping_Sheet!$H$2:$H$3143=T$1)))"),0.0)</f>
        <v>0</v>
      </c>
      <c r="U8" s="34">
        <f>IFERROR(__xludf.DUMMYFUNCTION("IF(ISNA(sum(filter(
Master_Mapping_Sheet!$E$2:$E$3143, ISNUMBER(
Master_Mapping_Sheet!$E$2:$E$3143),
Master_Mapping_Sheet!$H$2:$H$3143=U$1,
Master_Mapping_Sheet!$N$2:$N$3143=REGEXEXTRACT($A8,"".*_(.*)"")))/sum(filter(
Master_Mapping_Sheet!$E$2:$E$3143, IS"&amp;"NUMBER(
Master_Mapping_Sheet!$E$2:$E$3143),
Master_Mapping_Sheet!$H$2:$H$3143=U$1))), 0, sum(filter(
Master_Mapping_Sheet!$E$2:$E$3143, ISNUMBER(
Master_Mapping_Sheet!$E$2:$E$3143),
Master_Mapping_Sheet!$H$2:$H$3143=U$1,
Master_Mapping_Sheet!$N$2:$N$3143="&amp;"REGEXEXTRACT($A8,"".*_(.*)"")))/sum(filter(
Master_Mapping_Sheet!$E$2:$E$3143, ISNUMBER(
Master_Mapping_Sheet!$E$2:$E$3143),
Master_Mapping_Sheet!$H$2:$H$3143=U$1)))"),0.11155864834350482)</f>
        <v>0.1115586483</v>
      </c>
      <c r="V8" s="34">
        <f>IFERROR(__xludf.DUMMYFUNCTION("IF(ISNA(sum(filter(
Master_Mapping_Sheet!$E$2:$E$3143, ISNUMBER(
Master_Mapping_Sheet!$E$2:$E$3143),
Master_Mapping_Sheet!$H$2:$H$3143=V$1,
Master_Mapping_Sheet!$N$2:$N$3143=REGEXEXTRACT($A8,"".*_(.*)"")))/sum(filter(
Master_Mapping_Sheet!$E$2:$E$3143, IS"&amp;"NUMBER(
Master_Mapping_Sheet!$E$2:$E$3143),
Master_Mapping_Sheet!$H$2:$H$3143=V$1))), 0, sum(filter(
Master_Mapping_Sheet!$E$2:$E$3143, ISNUMBER(
Master_Mapping_Sheet!$E$2:$E$3143),
Master_Mapping_Sheet!$H$2:$H$3143=V$1,
Master_Mapping_Sheet!$N$2:$N$3143="&amp;"REGEXEXTRACT($A8,"".*_(.*)"")))/sum(filter(
Master_Mapping_Sheet!$E$2:$E$3143, ISNUMBER(
Master_Mapping_Sheet!$E$2:$E$3143),
Master_Mapping_Sheet!$H$2:$H$3143=V$1)))"),0.027780876867314914)</f>
        <v>0.02778087687</v>
      </c>
      <c r="W8" s="34">
        <f>IFERROR(__xludf.DUMMYFUNCTION("IF(ISNA(sum(filter(
Master_Mapping_Sheet!$E$2:$E$3143, ISNUMBER(
Master_Mapping_Sheet!$E$2:$E$3143),
Master_Mapping_Sheet!$H$2:$H$3143=W$1,
Master_Mapping_Sheet!$N$2:$N$3143=REGEXEXTRACT($A8,"".*_(.*)"")))/sum(filter(
Master_Mapping_Sheet!$E$2:$E$3143, IS"&amp;"NUMBER(
Master_Mapping_Sheet!$E$2:$E$3143),
Master_Mapping_Sheet!$H$2:$H$3143=W$1))), 0, sum(filter(
Master_Mapping_Sheet!$E$2:$E$3143, ISNUMBER(
Master_Mapping_Sheet!$E$2:$E$3143),
Master_Mapping_Sheet!$H$2:$H$3143=W$1,
Master_Mapping_Sheet!$N$2:$N$3143="&amp;"REGEXEXTRACT($A8,"".*_(.*)"")))/sum(filter(
Master_Mapping_Sheet!$E$2:$E$3143, ISNUMBER(
Master_Mapping_Sheet!$E$2:$E$3143),
Master_Mapping_Sheet!$H$2:$H$3143=W$1)))"),8.051157857492464E-4)</f>
        <v>0.0008051157857</v>
      </c>
      <c r="X8" s="34">
        <f>IFERROR(__xludf.DUMMYFUNCTION("IF(ISNA(sum(filter(
Master_Mapping_Sheet!$E$2:$E$3143, ISNUMBER(
Master_Mapping_Sheet!$E$2:$E$3143),
Master_Mapping_Sheet!$H$2:$H$3143=X$1,
Master_Mapping_Sheet!$N$2:$N$3143=REGEXEXTRACT($A8,"".*_(.*)"")))/sum(filter(
Master_Mapping_Sheet!$E$2:$E$3143, IS"&amp;"NUMBER(
Master_Mapping_Sheet!$E$2:$E$3143),
Master_Mapping_Sheet!$H$2:$H$3143=X$1))), 0, sum(filter(
Master_Mapping_Sheet!$E$2:$E$3143, ISNUMBER(
Master_Mapping_Sheet!$E$2:$E$3143),
Master_Mapping_Sheet!$H$2:$H$3143=X$1,
Master_Mapping_Sheet!$N$2:$N$3143="&amp;"REGEXEXTRACT($A8,"".*_(.*)"")))/sum(filter(
Master_Mapping_Sheet!$E$2:$E$3143, ISNUMBER(
Master_Mapping_Sheet!$E$2:$E$3143),
Master_Mapping_Sheet!$H$2:$H$3143=X$1)))"),0.0)</f>
        <v>0</v>
      </c>
      <c r="Y8" s="34">
        <f>IFERROR(__xludf.DUMMYFUNCTION("IF(ISNA(sum(filter(
Master_Mapping_Sheet!$E$2:$E$3143, ISNUMBER(
Master_Mapping_Sheet!$E$2:$E$3143),
Master_Mapping_Sheet!$H$2:$H$3143=Y$1,
Master_Mapping_Sheet!$N$2:$N$3143=REGEXEXTRACT($A8,"".*_(.*)"")))/sum(filter(
Master_Mapping_Sheet!$E$2:$E$3143, IS"&amp;"NUMBER(
Master_Mapping_Sheet!$E$2:$E$3143),
Master_Mapping_Sheet!$H$2:$H$3143=Y$1))), 0, sum(filter(
Master_Mapping_Sheet!$E$2:$E$3143, ISNUMBER(
Master_Mapping_Sheet!$E$2:$E$3143),
Master_Mapping_Sheet!$H$2:$H$3143=Y$1,
Master_Mapping_Sheet!$N$2:$N$3143="&amp;"REGEXEXTRACT($A8,"".*_(.*)"")))/sum(filter(
Master_Mapping_Sheet!$E$2:$E$3143, ISNUMBER(
Master_Mapping_Sheet!$E$2:$E$3143),
Master_Mapping_Sheet!$H$2:$H$3143=Y$1)))"),0.0056366390980874)</f>
        <v>0.005636639098</v>
      </c>
      <c r="Z8" s="34">
        <f>IFERROR(__xludf.DUMMYFUNCTION("IF(ISNA(sum(filter(
Master_Mapping_Sheet!$E$2:$E$3143, ISNUMBER(
Master_Mapping_Sheet!$E$2:$E$3143),
Master_Mapping_Sheet!$H$2:$H$3143=Z$1,
Master_Mapping_Sheet!$N$2:$N$3143=REGEXEXTRACT($A8,"".*_(.*)"")))/sum(filter(
Master_Mapping_Sheet!$E$2:$E$3143, IS"&amp;"NUMBER(
Master_Mapping_Sheet!$E$2:$E$3143),
Master_Mapping_Sheet!$H$2:$H$3143=Z$1))), 0, sum(filter(
Master_Mapping_Sheet!$E$2:$E$3143, ISNUMBER(
Master_Mapping_Sheet!$E$2:$E$3143),
Master_Mapping_Sheet!$H$2:$H$3143=Z$1,
Master_Mapping_Sheet!$N$2:$N$3143="&amp;"REGEXEXTRACT($A8,"".*_(.*)"")))/sum(filter(
Master_Mapping_Sheet!$E$2:$E$3143, ISNUMBER(
Master_Mapping_Sheet!$E$2:$E$3143),
Master_Mapping_Sheet!$H$2:$H$3143=Z$1)))"),0.0)</f>
        <v>0</v>
      </c>
    </row>
    <row r="9" ht="15.75" customHeight="1">
      <c r="A9" s="45" t="s">
        <v>4267</v>
      </c>
      <c r="B9" s="34">
        <f>IFERROR(__xludf.DUMMYFUNCTION("IF(ISNA(sum(filter(
Master_Mapping_Sheet!$E$2:$E$3143, ISNUMBER(
Master_Mapping_Sheet!$E$2:$E$3143),
Master_Mapping_Sheet!$H$2:$H$3143=B$1,
Master_Mapping_Sheet!$N$2:$N$3143=REGEXEXTRACT($A9,"".*_(.*)"")))/sum(filter(
Master_Mapping_Sheet!$E$2:$E$3143, IS"&amp;"NUMBER(
Master_Mapping_Sheet!$E$2:$E$3143),
Master_Mapping_Sheet!$H$2:$H$3143=B$1))), 0, sum(filter(
Master_Mapping_Sheet!$E$2:$E$3143, ISNUMBER(
Master_Mapping_Sheet!$E$2:$E$3143),
Master_Mapping_Sheet!$H$2:$H$3143=B$1,
Master_Mapping_Sheet!$N$2:$N$3143="&amp;"REGEXEXTRACT($A9,"".*_(.*)"")))/sum(filter(
Master_Mapping_Sheet!$E$2:$E$3143, ISNUMBER(
Master_Mapping_Sheet!$E$2:$E$3143),
Master_Mapping_Sheet!$H$2:$H$3143=B$1)))"),0.0)</f>
        <v>0</v>
      </c>
      <c r="C9" s="34">
        <f>IFERROR(__xludf.DUMMYFUNCTION("IF(ISNA(sum(filter(
Master_Mapping_Sheet!$E$2:$E$3143, ISNUMBER(
Master_Mapping_Sheet!$E$2:$E$3143),
Master_Mapping_Sheet!$H$2:$H$3143=C$1,
Master_Mapping_Sheet!$N$2:$N$3143=REGEXEXTRACT($A9,"".*_(.*)"")))/sum(filter(
Master_Mapping_Sheet!$E$2:$E$3143, IS"&amp;"NUMBER(
Master_Mapping_Sheet!$E$2:$E$3143),
Master_Mapping_Sheet!$H$2:$H$3143=C$1))), 0, sum(filter(
Master_Mapping_Sheet!$E$2:$E$3143, ISNUMBER(
Master_Mapping_Sheet!$E$2:$E$3143),
Master_Mapping_Sheet!$H$2:$H$3143=C$1,
Master_Mapping_Sheet!$N$2:$N$3143="&amp;"REGEXEXTRACT($A9,"".*_(.*)"")))/sum(filter(
Master_Mapping_Sheet!$E$2:$E$3143, ISNUMBER(
Master_Mapping_Sheet!$E$2:$E$3143),
Master_Mapping_Sheet!$H$2:$H$3143=C$1)))"),0.0)</f>
        <v>0</v>
      </c>
      <c r="D9" s="34">
        <f>IFERROR(__xludf.DUMMYFUNCTION("IF(ISNA(sum(filter(
Master_Mapping_Sheet!$E$2:$E$3143, ISNUMBER(
Master_Mapping_Sheet!$E$2:$E$3143),
Master_Mapping_Sheet!$H$2:$H$3143=D$1,
Master_Mapping_Sheet!$N$2:$N$3143=REGEXEXTRACT($A9,"".*_(.*)"")))/sum(filter(
Master_Mapping_Sheet!$E$2:$E$3143, IS"&amp;"NUMBER(
Master_Mapping_Sheet!$E$2:$E$3143),
Master_Mapping_Sheet!$H$2:$H$3143=D$1))), 0, sum(filter(
Master_Mapping_Sheet!$E$2:$E$3143, ISNUMBER(
Master_Mapping_Sheet!$E$2:$E$3143),
Master_Mapping_Sheet!$H$2:$H$3143=D$1,
Master_Mapping_Sheet!$N$2:$N$3143="&amp;"REGEXEXTRACT($A9,"".*_(.*)"")))/sum(filter(
Master_Mapping_Sheet!$E$2:$E$3143, ISNUMBER(
Master_Mapping_Sheet!$E$2:$E$3143),
Master_Mapping_Sheet!$H$2:$H$3143=D$1)))"),0.0)</f>
        <v>0</v>
      </c>
      <c r="E9" s="34">
        <f>IFERROR(__xludf.DUMMYFUNCTION("IF(ISNA(sum(filter(
Master_Mapping_Sheet!$E$2:$E$3143, ISNUMBER(
Master_Mapping_Sheet!$E$2:$E$3143),
Master_Mapping_Sheet!$H$2:$H$3143=E$1,
Master_Mapping_Sheet!$N$2:$N$3143=REGEXEXTRACT($A9,"".*_(.*)"")))/sum(filter(
Master_Mapping_Sheet!$E$2:$E$3143, IS"&amp;"NUMBER(
Master_Mapping_Sheet!$E$2:$E$3143),
Master_Mapping_Sheet!$H$2:$H$3143=E$1))), 0, sum(filter(
Master_Mapping_Sheet!$E$2:$E$3143, ISNUMBER(
Master_Mapping_Sheet!$E$2:$E$3143),
Master_Mapping_Sheet!$H$2:$H$3143=E$1,
Master_Mapping_Sheet!$N$2:$N$3143="&amp;"REGEXEXTRACT($A9,"".*_(.*)"")))/sum(filter(
Master_Mapping_Sheet!$E$2:$E$3143, ISNUMBER(
Master_Mapping_Sheet!$E$2:$E$3143),
Master_Mapping_Sheet!$H$2:$H$3143=E$1)))"),0.0)</f>
        <v>0</v>
      </c>
      <c r="F9" s="34">
        <f>IFERROR(__xludf.DUMMYFUNCTION("IF(ISNA(sum(filter(
Master_Mapping_Sheet!$E$2:$E$3143, ISNUMBER(
Master_Mapping_Sheet!$E$2:$E$3143),
Master_Mapping_Sheet!$H$2:$H$3143=F$1,
Master_Mapping_Sheet!$N$2:$N$3143=REGEXEXTRACT($A9,"".*_(.*)"")))/sum(filter(
Master_Mapping_Sheet!$E$2:$E$3143, IS"&amp;"NUMBER(
Master_Mapping_Sheet!$E$2:$E$3143),
Master_Mapping_Sheet!$H$2:$H$3143=F$1))), 0, sum(filter(
Master_Mapping_Sheet!$E$2:$E$3143, ISNUMBER(
Master_Mapping_Sheet!$E$2:$E$3143),
Master_Mapping_Sheet!$H$2:$H$3143=F$1,
Master_Mapping_Sheet!$N$2:$N$3143="&amp;"REGEXEXTRACT($A9,"".*_(.*)"")))/sum(filter(
Master_Mapping_Sheet!$E$2:$E$3143, ISNUMBER(
Master_Mapping_Sheet!$E$2:$E$3143),
Master_Mapping_Sheet!$H$2:$H$3143=F$1)))"),0.0)</f>
        <v>0</v>
      </c>
      <c r="G9" s="34">
        <f>IFERROR(__xludf.DUMMYFUNCTION("IF(ISNA(sum(filter(
Master_Mapping_Sheet!$E$2:$E$3143, ISNUMBER(
Master_Mapping_Sheet!$E$2:$E$3143),
Master_Mapping_Sheet!$H$2:$H$3143=G$1,
Master_Mapping_Sheet!$N$2:$N$3143=REGEXEXTRACT($A9,"".*_(.*)"")))/sum(filter(
Master_Mapping_Sheet!$E$2:$E$3143, IS"&amp;"NUMBER(
Master_Mapping_Sheet!$E$2:$E$3143),
Master_Mapping_Sheet!$H$2:$H$3143=G$1))), 0, sum(filter(
Master_Mapping_Sheet!$E$2:$E$3143, ISNUMBER(
Master_Mapping_Sheet!$E$2:$E$3143),
Master_Mapping_Sheet!$H$2:$H$3143=G$1,
Master_Mapping_Sheet!$N$2:$N$3143="&amp;"REGEXEXTRACT($A9,"".*_(.*)"")))/sum(filter(
Master_Mapping_Sheet!$E$2:$E$3143, ISNUMBER(
Master_Mapping_Sheet!$E$2:$E$3143),
Master_Mapping_Sheet!$H$2:$H$3143=G$1)))"),0.0)</f>
        <v>0</v>
      </c>
      <c r="H9" s="34">
        <f>IFERROR(__xludf.DUMMYFUNCTION("IF(ISNA(sum(filter(
Master_Mapping_Sheet!$E$2:$E$3143, ISNUMBER(
Master_Mapping_Sheet!$E$2:$E$3143),
Master_Mapping_Sheet!$H$2:$H$3143=H$1,
Master_Mapping_Sheet!$N$2:$N$3143=REGEXEXTRACT($A9,"".*_(.*)"")))/sum(filter(
Master_Mapping_Sheet!$E$2:$E$3143, IS"&amp;"NUMBER(
Master_Mapping_Sheet!$E$2:$E$3143),
Master_Mapping_Sheet!$H$2:$H$3143=H$1))), 0, sum(filter(
Master_Mapping_Sheet!$E$2:$E$3143, ISNUMBER(
Master_Mapping_Sheet!$E$2:$E$3143),
Master_Mapping_Sheet!$H$2:$H$3143=H$1,
Master_Mapping_Sheet!$N$2:$N$3143="&amp;"REGEXEXTRACT($A9,"".*_(.*)"")))/sum(filter(
Master_Mapping_Sheet!$E$2:$E$3143, ISNUMBER(
Master_Mapping_Sheet!$E$2:$E$3143),
Master_Mapping_Sheet!$H$2:$H$3143=H$1)))"),0.0)</f>
        <v>0</v>
      </c>
      <c r="I9" s="34">
        <f>IFERROR(__xludf.DUMMYFUNCTION("IF(ISNA(sum(filter(
Master_Mapping_Sheet!$E$2:$E$3143, ISNUMBER(
Master_Mapping_Sheet!$E$2:$E$3143),
Master_Mapping_Sheet!$H$2:$H$3143=I$1,
Master_Mapping_Sheet!$N$2:$N$3143=REGEXEXTRACT($A9,"".*_(.*)"")))/sum(filter(
Master_Mapping_Sheet!$E$2:$E$3143, IS"&amp;"NUMBER(
Master_Mapping_Sheet!$E$2:$E$3143),
Master_Mapping_Sheet!$H$2:$H$3143=I$1))), 0, sum(filter(
Master_Mapping_Sheet!$E$2:$E$3143, ISNUMBER(
Master_Mapping_Sheet!$E$2:$E$3143),
Master_Mapping_Sheet!$H$2:$H$3143=I$1,
Master_Mapping_Sheet!$N$2:$N$3143="&amp;"REGEXEXTRACT($A9,"".*_(.*)"")))/sum(filter(
Master_Mapping_Sheet!$E$2:$E$3143, ISNUMBER(
Master_Mapping_Sheet!$E$2:$E$3143),
Master_Mapping_Sheet!$H$2:$H$3143=I$1)))"),0.0)</f>
        <v>0</v>
      </c>
      <c r="J9" s="34">
        <f>IFERROR(__xludf.DUMMYFUNCTION("IF(ISNA(sum(filter(
Master_Mapping_Sheet!$E$2:$E$3143, ISNUMBER(
Master_Mapping_Sheet!$E$2:$E$3143),
Master_Mapping_Sheet!$H$2:$H$3143=J$1,
Master_Mapping_Sheet!$N$2:$N$3143=REGEXEXTRACT($A9,"".*_(.*)"")))/sum(filter(
Master_Mapping_Sheet!$E$2:$E$3143, IS"&amp;"NUMBER(
Master_Mapping_Sheet!$E$2:$E$3143),
Master_Mapping_Sheet!$H$2:$H$3143=J$1))), 0, sum(filter(
Master_Mapping_Sheet!$E$2:$E$3143, ISNUMBER(
Master_Mapping_Sheet!$E$2:$E$3143),
Master_Mapping_Sheet!$H$2:$H$3143=J$1,
Master_Mapping_Sheet!$N$2:$N$3143="&amp;"REGEXEXTRACT($A9,"".*_(.*)"")))/sum(filter(
Master_Mapping_Sheet!$E$2:$E$3143, ISNUMBER(
Master_Mapping_Sheet!$E$2:$E$3143),
Master_Mapping_Sheet!$H$2:$H$3143=J$1)))"),0.0)</f>
        <v>0</v>
      </c>
      <c r="K9" s="34">
        <f>IFERROR(__xludf.DUMMYFUNCTION("IF(ISNA(sum(filter(
Master_Mapping_Sheet!$E$2:$E$3143, ISNUMBER(
Master_Mapping_Sheet!$E$2:$E$3143),
Master_Mapping_Sheet!$H$2:$H$3143=K$1,
Master_Mapping_Sheet!$N$2:$N$3143=REGEXEXTRACT($A9,"".*_(.*)"")))/sum(filter(
Master_Mapping_Sheet!$E$2:$E$3143, IS"&amp;"NUMBER(
Master_Mapping_Sheet!$E$2:$E$3143),
Master_Mapping_Sheet!$H$2:$H$3143=K$1))), 0, sum(filter(
Master_Mapping_Sheet!$E$2:$E$3143, ISNUMBER(
Master_Mapping_Sheet!$E$2:$E$3143),
Master_Mapping_Sheet!$H$2:$H$3143=K$1,
Master_Mapping_Sheet!$N$2:$N$3143="&amp;"REGEXEXTRACT($A9,"".*_(.*)"")))/sum(filter(
Master_Mapping_Sheet!$E$2:$E$3143, ISNUMBER(
Master_Mapping_Sheet!$E$2:$E$3143),
Master_Mapping_Sheet!$H$2:$H$3143=K$1)))"),0.0)</f>
        <v>0</v>
      </c>
      <c r="L9" s="34">
        <f>IFERROR(__xludf.DUMMYFUNCTION("IF(ISNA(sum(filter(
Master_Mapping_Sheet!$E$2:$E$3143, ISNUMBER(
Master_Mapping_Sheet!$E$2:$E$3143),
Master_Mapping_Sheet!$H$2:$H$3143=L$1,
Master_Mapping_Sheet!$N$2:$N$3143=REGEXEXTRACT($A9,"".*_(.*)"")))/sum(filter(
Master_Mapping_Sheet!$E$2:$E$3143, IS"&amp;"NUMBER(
Master_Mapping_Sheet!$E$2:$E$3143),
Master_Mapping_Sheet!$H$2:$H$3143=L$1))), 0, sum(filter(
Master_Mapping_Sheet!$E$2:$E$3143, ISNUMBER(
Master_Mapping_Sheet!$E$2:$E$3143),
Master_Mapping_Sheet!$H$2:$H$3143=L$1,
Master_Mapping_Sheet!$N$2:$N$3143="&amp;"REGEXEXTRACT($A9,"".*_(.*)"")))/sum(filter(
Master_Mapping_Sheet!$E$2:$E$3143, ISNUMBER(
Master_Mapping_Sheet!$E$2:$E$3143),
Master_Mapping_Sheet!$H$2:$H$3143=L$1)))"),0.0)</f>
        <v>0</v>
      </c>
      <c r="M9" s="34">
        <f>IFERROR(__xludf.DUMMYFUNCTION("IF(ISNA(sum(filter(
Master_Mapping_Sheet!$E$2:$E$3143, ISNUMBER(
Master_Mapping_Sheet!$E$2:$E$3143),
Master_Mapping_Sheet!$H$2:$H$3143=M$1,
Master_Mapping_Sheet!$N$2:$N$3143=REGEXEXTRACT($A9,"".*_(.*)"")))/sum(filter(
Master_Mapping_Sheet!$E$2:$E$3143, IS"&amp;"NUMBER(
Master_Mapping_Sheet!$E$2:$E$3143),
Master_Mapping_Sheet!$H$2:$H$3143=M$1))), 0, sum(filter(
Master_Mapping_Sheet!$E$2:$E$3143, ISNUMBER(
Master_Mapping_Sheet!$E$2:$E$3143),
Master_Mapping_Sheet!$H$2:$H$3143=M$1,
Master_Mapping_Sheet!$N$2:$N$3143="&amp;"REGEXEXTRACT($A9,"".*_(.*)"")))/sum(filter(
Master_Mapping_Sheet!$E$2:$E$3143, ISNUMBER(
Master_Mapping_Sheet!$E$2:$E$3143),
Master_Mapping_Sheet!$H$2:$H$3143=M$1)))"),0.0)</f>
        <v>0</v>
      </c>
      <c r="N9" s="34">
        <f>IFERROR(__xludf.DUMMYFUNCTION("IF(ISNA(sum(filter(
Master_Mapping_Sheet!$E$2:$E$3143, ISNUMBER(
Master_Mapping_Sheet!$E$2:$E$3143),
Master_Mapping_Sheet!$H$2:$H$3143=N$1,
Master_Mapping_Sheet!$N$2:$N$3143=REGEXEXTRACT($A9,"".*_(.*)"")))/sum(filter(
Master_Mapping_Sheet!$E$2:$E$3143, IS"&amp;"NUMBER(
Master_Mapping_Sheet!$E$2:$E$3143),
Master_Mapping_Sheet!$H$2:$H$3143=N$1))), 0, sum(filter(
Master_Mapping_Sheet!$E$2:$E$3143, ISNUMBER(
Master_Mapping_Sheet!$E$2:$E$3143),
Master_Mapping_Sheet!$H$2:$H$3143=N$1,
Master_Mapping_Sheet!$N$2:$N$3143="&amp;"REGEXEXTRACT($A9,"".*_(.*)"")))/sum(filter(
Master_Mapping_Sheet!$E$2:$E$3143, ISNUMBER(
Master_Mapping_Sheet!$E$2:$E$3143),
Master_Mapping_Sheet!$H$2:$H$3143=N$1)))"),0.0)</f>
        <v>0</v>
      </c>
      <c r="O9" s="34">
        <f>IFERROR(__xludf.DUMMYFUNCTION("IF(ISNA(sum(filter(
Master_Mapping_Sheet!$E$2:$E$3143, ISNUMBER(
Master_Mapping_Sheet!$E$2:$E$3143),
Master_Mapping_Sheet!$H$2:$H$3143=O$1,
Master_Mapping_Sheet!$N$2:$N$3143=REGEXEXTRACT($A9,"".*_(.*)"")))/sum(filter(
Master_Mapping_Sheet!$E$2:$E$3143, IS"&amp;"NUMBER(
Master_Mapping_Sheet!$E$2:$E$3143),
Master_Mapping_Sheet!$H$2:$H$3143=O$1))), 0, sum(filter(
Master_Mapping_Sheet!$E$2:$E$3143, ISNUMBER(
Master_Mapping_Sheet!$E$2:$E$3143),
Master_Mapping_Sheet!$H$2:$H$3143=O$1,
Master_Mapping_Sheet!$N$2:$N$3143="&amp;"REGEXEXTRACT($A9,"".*_(.*)"")))/sum(filter(
Master_Mapping_Sheet!$E$2:$E$3143, ISNUMBER(
Master_Mapping_Sheet!$E$2:$E$3143),
Master_Mapping_Sheet!$H$2:$H$3143=O$1)))"),0.0)</f>
        <v>0</v>
      </c>
      <c r="P9" s="34">
        <f>IFERROR(__xludf.DUMMYFUNCTION("IF(ISNA(sum(filter(
Master_Mapping_Sheet!$E$2:$E$3143, ISNUMBER(
Master_Mapping_Sheet!$E$2:$E$3143),
Master_Mapping_Sheet!$H$2:$H$3143=P$1,
Master_Mapping_Sheet!$N$2:$N$3143=REGEXEXTRACT($A9,"".*_(.*)"")))/sum(filter(
Master_Mapping_Sheet!$E$2:$E$3143, IS"&amp;"NUMBER(
Master_Mapping_Sheet!$E$2:$E$3143),
Master_Mapping_Sheet!$H$2:$H$3143=P$1))), 0, sum(filter(
Master_Mapping_Sheet!$E$2:$E$3143, ISNUMBER(
Master_Mapping_Sheet!$E$2:$E$3143),
Master_Mapping_Sheet!$H$2:$H$3143=P$1,
Master_Mapping_Sheet!$N$2:$N$3143="&amp;"REGEXEXTRACT($A9,"".*_(.*)"")))/sum(filter(
Master_Mapping_Sheet!$E$2:$E$3143, ISNUMBER(
Master_Mapping_Sheet!$E$2:$E$3143),
Master_Mapping_Sheet!$H$2:$H$3143=P$1)))"),0.0)</f>
        <v>0</v>
      </c>
      <c r="Q9" s="34">
        <f>IFERROR(__xludf.DUMMYFUNCTION("IF(ISNA(sum(filter(
Master_Mapping_Sheet!$E$2:$E$3143, ISNUMBER(
Master_Mapping_Sheet!$E$2:$E$3143),
Master_Mapping_Sheet!$H$2:$H$3143=Q$1,
Master_Mapping_Sheet!$N$2:$N$3143=REGEXEXTRACT($A9,"".*_(.*)"")))/sum(filter(
Master_Mapping_Sheet!$E$2:$E$3143, IS"&amp;"NUMBER(
Master_Mapping_Sheet!$E$2:$E$3143),
Master_Mapping_Sheet!$H$2:$H$3143=Q$1))), 0, sum(filter(
Master_Mapping_Sheet!$E$2:$E$3143, ISNUMBER(
Master_Mapping_Sheet!$E$2:$E$3143),
Master_Mapping_Sheet!$H$2:$H$3143=Q$1,
Master_Mapping_Sheet!$N$2:$N$3143="&amp;"REGEXEXTRACT($A9,"".*_(.*)"")))/sum(filter(
Master_Mapping_Sheet!$E$2:$E$3143, ISNUMBER(
Master_Mapping_Sheet!$E$2:$E$3143),
Master_Mapping_Sheet!$H$2:$H$3143=Q$1)))"),0.0)</f>
        <v>0</v>
      </c>
      <c r="R9" s="34">
        <f>IFERROR(__xludf.DUMMYFUNCTION("IF(ISNA(sum(filter(
Master_Mapping_Sheet!$E$2:$E$3143, ISNUMBER(
Master_Mapping_Sheet!$E$2:$E$3143),
Master_Mapping_Sheet!$H$2:$H$3143=R$1,
Master_Mapping_Sheet!$N$2:$N$3143=REGEXEXTRACT($A9,"".*_(.*)"")))/sum(filter(
Master_Mapping_Sheet!$E$2:$E$3143, IS"&amp;"NUMBER(
Master_Mapping_Sheet!$E$2:$E$3143),
Master_Mapping_Sheet!$H$2:$H$3143=R$1))), 0, sum(filter(
Master_Mapping_Sheet!$E$2:$E$3143, ISNUMBER(
Master_Mapping_Sheet!$E$2:$E$3143),
Master_Mapping_Sheet!$H$2:$H$3143=R$1,
Master_Mapping_Sheet!$N$2:$N$3143="&amp;"REGEXEXTRACT($A9,"".*_(.*)"")))/sum(filter(
Master_Mapping_Sheet!$E$2:$E$3143, ISNUMBER(
Master_Mapping_Sheet!$E$2:$E$3143),
Master_Mapping_Sheet!$H$2:$H$3143=R$1)))"),0.0)</f>
        <v>0</v>
      </c>
      <c r="S9" s="34">
        <f>IFERROR(__xludf.DUMMYFUNCTION("IF(ISNA(sum(filter(
Master_Mapping_Sheet!$E$2:$E$3143, ISNUMBER(
Master_Mapping_Sheet!$E$2:$E$3143),
Master_Mapping_Sheet!$H$2:$H$3143=S$1,
Master_Mapping_Sheet!$N$2:$N$3143=REGEXEXTRACT($A9,"".*_(.*)"")))/sum(filter(
Master_Mapping_Sheet!$E$2:$E$3143, IS"&amp;"NUMBER(
Master_Mapping_Sheet!$E$2:$E$3143),
Master_Mapping_Sheet!$H$2:$H$3143=S$1))), 0, sum(filter(
Master_Mapping_Sheet!$E$2:$E$3143, ISNUMBER(
Master_Mapping_Sheet!$E$2:$E$3143),
Master_Mapping_Sheet!$H$2:$H$3143=S$1,
Master_Mapping_Sheet!$N$2:$N$3143="&amp;"REGEXEXTRACT($A9,"".*_(.*)"")))/sum(filter(
Master_Mapping_Sheet!$E$2:$E$3143, ISNUMBER(
Master_Mapping_Sheet!$E$2:$E$3143),
Master_Mapping_Sheet!$H$2:$H$3143=S$1)))"),0.0)</f>
        <v>0</v>
      </c>
      <c r="T9" s="34">
        <f>IFERROR(__xludf.DUMMYFUNCTION("IF(ISNA(sum(filter(
Master_Mapping_Sheet!$E$2:$E$3143, ISNUMBER(
Master_Mapping_Sheet!$E$2:$E$3143),
Master_Mapping_Sheet!$H$2:$H$3143=T$1,
Master_Mapping_Sheet!$N$2:$N$3143=REGEXEXTRACT($A9,"".*_(.*)"")))/sum(filter(
Master_Mapping_Sheet!$E$2:$E$3143, IS"&amp;"NUMBER(
Master_Mapping_Sheet!$E$2:$E$3143),
Master_Mapping_Sheet!$H$2:$H$3143=T$1))), 0, sum(filter(
Master_Mapping_Sheet!$E$2:$E$3143, ISNUMBER(
Master_Mapping_Sheet!$E$2:$E$3143),
Master_Mapping_Sheet!$H$2:$H$3143=T$1,
Master_Mapping_Sheet!$N$2:$N$3143="&amp;"REGEXEXTRACT($A9,"".*_(.*)"")))/sum(filter(
Master_Mapping_Sheet!$E$2:$E$3143, ISNUMBER(
Master_Mapping_Sheet!$E$2:$E$3143),
Master_Mapping_Sheet!$H$2:$H$3143=T$1)))"),0.0)</f>
        <v>0</v>
      </c>
      <c r="U9" s="34">
        <f>IFERROR(__xludf.DUMMYFUNCTION("IF(ISNA(sum(filter(
Master_Mapping_Sheet!$E$2:$E$3143, ISNUMBER(
Master_Mapping_Sheet!$E$2:$E$3143),
Master_Mapping_Sheet!$H$2:$H$3143=U$1,
Master_Mapping_Sheet!$N$2:$N$3143=REGEXEXTRACT($A9,"".*_(.*)"")))/sum(filter(
Master_Mapping_Sheet!$E$2:$E$3143, IS"&amp;"NUMBER(
Master_Mapping_Sheet!$E$2:$E$3143),
Master_Mapping_Sheet!$H$2:$H$3143=U$1))), 0, sum(filter(
Master_Mapping_Sheet!$E$2:$E$3143, ISNUMBER(
Master_Mapping_Sheet!$E$2:$E$3143),
Master_Mapping_Sheet!$H$2:$H$3143=U$1,
Master_Mapping_Sheet!$N$2:$N$3143="&amp;"REGEXEXTRACT($A9,"".*_(.*)"")))/sum(filter(
Master_Mapping_Sheet!$E$2:$E$3143, ISNUMBER(
Master_Mapping_Sheet!$E$2:$E$3143),
Master_Mapping_Sheet!$H$2:$H$3143=U$1)))"),0.0)</f>
        <v>0</v>
      </c>
      <c r="V9" s="34">
        <f>IFERROR(__xludf.DUMMYFUNCTION("IF(ISNA(sum(filter(
Master_Mapping_Sheet!$E$2:$E$3143, ISNUMBER(
Master_Mapping_Sheet!$E$2:$E$3143),
Master_Mapping_Sheet!$H$2:$H$3143=V$1,
Master_Mapping_Sheet!$N$2:$N$3143=REGEXEXTRACT($A9,"".*_(.*)"")))/sum(filter(
Master_Mapping_Sheet!$E$2:$E$3143, IS"&amp;"NUMBER(
Master_Mapping_Sheet!$E$2:$E$3143),
Master_Mapping_Sheet!$H$2:$H$3143=V$1))), 0, sum(filter(
Master_Mapping_Sheet!$E$2:$E$3143, ISNUMBER(
Master_Mapping_Sheet!$E$2:$E$3143),
Master_Mapping_Sheet!$H$2:$H$3143=V$1,
Master_Mapping_Sheet!$N$2:$N$3143="&amp;"REGEXEXTRACT($A9,"".*_(.*)"")))/sum(filter(
Master_Mapping_Sheet!$E$2:$E$3143, ISNUMBER(
Master_Mapping_Sheet!$E$2:$E$3143),
Master_Mapping_Sheet!$H$2:$H$3143=V$1)))"),0.4857763278861126)</f>
        <v>0.4857763279</v>
      </c>
      <c r="W9" s="34">
        <f>IFERROR(__xludf.DUMMYFUNCTION("IF(ISNA(sum(filter(
Master_Mapping_Sheet!$E$2:$E$3143, ISNUMBER(
Master_Mapping_Sheet!$E$2:$E$3143),
Master_Mapping_Sheet!$H$2:$H$3143=W$1,
Master_Mapping_Sheet!$N$2:$N$3143=REGEXEXTRACT($A9,"".*_(.*)"")))/sum(filter(
Master_Mapping_Sheet!$E$2:$E$3143, IS"&amp;"NUMBER(
Master_Mapping_Sheet!$E$2:$E$3143),
Master_Mapping_Sheet!$H$2:$H$3143=W$1))), 0, sum(filter(
Master_Mapping_Sheet!$E$2:$E$3143, ISNUMBER(
Master_Mapping_Sheet!$E$2:$E$3143),
Master_Mapping_Sheet!$H$2:$H$3143=W$1,
Master_Mapping_Sheet!$N$2:$N$3143="&amp;"REGEXEXTRACT($A9,"".*_(.*)"")))/sum(filter(
Master_Mapping_Sheet!$E$2:$E$3143, ISNUMBER(
Master_Mapping_Sheet!$E$2:$E$3143),
Master_Mapping_Sheet!$H$2:$H$3143=W$1)))"),0.03605095291734859)</f>
        <v>0.03605095292</v>
      </c>
      <c r="X9" s="34">
        <f>IFERROR(__xludf.DUMMYFUNCTION("IF(ISNA(sum(filter(
Master_Mapping_Sheet!$E$2:$E$3143, ISNUMBER(
Master_Mapping_Sheet!$E$2:$E$3143),
Master_Mapping_Sheet!$H$2:$H$3143=X$1,
Master_Mapping_Sheet!$N$2:$N$3143=REGEXEXTRACT($A9,"".*_(.*)"")))/sum(filter(
Master_Mapping_Sheet!$E$2:$E$3143, IS"&amp;"NUMBER(
Master_Mapping_Sheet!$E$2:$E$3143),
Master_Mapping_Sheet!$H$2:$H$3143=X$1))), 0, sum(filter(
Master_Mapping_Sheet!$E$2:$E$3143, ISNUMBER(
Master_Mapping_Sheet!$E$2:$E$3143),
Master_Mapping_Sheet!$H$2:$H$3143=X$1,
Master_Mapping_Sheet!$N$2:$N$3143="&amp;"REGEXEXTRACT($A9,"".*_(.*)"")))/sum(filter(
Master_Mapping_Sheet!$E$2:$E$3143, ISNUMBER(
Master_Mapping_Sheet!$E$2:$E$3143),
Master_Mapping_Sheet!$H$2:$H$3143=X$1)))"),0.717617924684189)</f>
        <v>0.7176179247</v>
      </c>
      <c r="Y9" s="34">
        <f>IFERROR(__xludf.DUMMYFUNCTION("IF(ISNA(sum(filter(
Master_Mapping_Sheet!$E$2:$E$3143, ISNUMBER(
Master_Mapping_Sheet!$E$2:$E$3143),
Master_Mapping_Sheet!$H$2:$H$3143=Y$1,
Master_Mapping_Sheet!$N$2:$N$3143=REGEXEXTRACT($A9,"".*_(.*)"")))/sum(filter(
Master_Mapping_Sheet!$E$2:$E$3143, IS"&amp;"NUMBER(
Master_Mapping_Sheet!$E$2:$E$3143),
Master_Mapping_Sheet!$H$2:$H$3143=Y$1))), 0, sum(filter(
Master_Mapping_Sheet!$E$2:$E$3143, ISNUMBER(
Master_Mapping_Sheet!$E$2:$E$3143),
Master_Mapping_Sheet!$H$2:$H$3143=Y$1,
Master_Mapping_Sheet!$N$2:$N$3143="&amp;"REGEXEXTRACT($A9,"".*_(.*)"")))/sum(filter(
Master_Mapping_Sheet!$E$2:$E$3143, ISNUMBER(
Master_Mapping_Sheet!$E$2:$E$3143),
Master_Mapping_Sheet!$H$2:$H$3143=Y$1)))"),0.0)</f>
        <v>0</v>
      </c>
      <c r="Z9" s="34">
        <f>IFERROR(__xludf.DUMMYFUNCTION("IF(ISNA(sum(filter(
Master_Mapping_Sheet!$E$2:$E$3143, ISNUMBER(
Master_Mapping_Sheet!$E$2:$E$3143),
Master_Mapping_Sheet!$H$2:$H$3143=Z$1,
Master_Mapping_Sheet!$N$2:$N$3143=REGEXEXTRACT($A9,"".*_(.*)"")))/sum(filter(
Master_Mapping_Sheet!$E$2:$E$3143, IS"&amp;"NUMBER(
Master_Mapping_Sheet!$E$2:$E$3143),
Master_Mapping_Sheet!$H$2:$H$3143=Z$1))), 0, sum(filter(
Master_Mapping_Sheet!$E$2:$E$3143, ISNUMBER(
Master_Mapping_Sheet!$E$2:$E$3143),
Master_Mapping_Sheet!$H$2:$H$3143=Z$1,
Master_Mapping_Sheet!$N$2:$N$3143="&amp;"REGEXEXTRACT($A9,"".*_(.*)"")))/sum(filter(
Master_Mapping_Sheet!$E$2:$E$3143, ISNUMBER(
Master_Mapping_Sheet!$E$2:$E$3143),
Master_Mapping_Sheet!$H$2:$H$3143=Z$1)))"),0.0)</f>
        <v>0</v>
      </c>
    </row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45" t="s">
        <v>94</v>
      </c>
      <c r="B1" s="45" t="s">
        <v>1994</v>
      </c>
      <c r="C1" s="45" t="s">
        <v>2062</v>
      </c>
      <c r="D1" s="45" t="s">
        <v>2063</v>
      </c>
      <c r="E1" s="45" t="s">
        <v>2079</v>
      </c>
      <c r="F1" s="45" t="s">
        <v>2137</v>
      </c>
      <c r="G1" s="45" t="s">
        <v>2194</v>
      </c>
      <c r="H1" s="45" t="s">
        <v>2250</v>
      </c>
      <c r="I1" s="45" t="s">
        <v>2259</v>
      </c>
      <c r="J1" s="45" t="s">
        <v>2263</v>
      </c>
      <c r="K1" s="45" t="s">
        <v>2264</v>
      </c>
      <c r="L1" s="45" t="s">
        <v>2314</v>
      </c>
      <c r="M1" s="45" t="s">
        <v>2423</v>
      </c>
      <c r="N1" s="45" t="s">
        <v>2424</v>
      </c>
      <c r="O1" s="45" t="s">
        <v>2458</v>
      </c>
      <c r="P1" s="45" t="s">
        <v>2513</v>
      </c>
      <c r="Q1" s="45" t="s">
        <v>2555</v>
      </c>
      <c r="R1" s="45" t="s">
        <v>2601</v>
      </c>
      <c r="S1" s="45" t="s">
        <v>2669</v>
      </c>
      <c r="T1" s="45" t="s">
        <v>2725</v>
      </c>
      <c r="U1" s="45" t="s">
        <v>2790</v>
      </c>
      <c r="V1" s="45" t="s">
        <v>2801</v>
      </c>
      <c r="W1" s="45" t="s">
        <v>2819</v>
      </c>
      <c r="X1" s="45" t="s">
        <v>2830</v>
      </c>
      <c r="Y1" s="45" t="s">
        <v>2893</v>
      </c>
      <c r="Z1" s="45" t="s">
        <v>2955</v>
      </c>
      <c r="AA1" s="45" t="s">
        <v>2992</v>
      </c>
      <c r="AB1" s="45" t="s">
        <v>3034</v>
      </c>
      <c r="AC1" s="45" t="s">
        <v>3071</v>
      </c>
      <c r="AD1" s="45" t="s">
        <v>3112</v>
      </c>
      <c r="AE1" s="45" t="s">
        <v>3123</v>
      </c>
      <c r="AF1" s="45" t="s">
        <v>3131</v>
      </c>
      <c r="AG1" s="45" t="s">
        <v>3143</v>
      </c>
      <c r="AH1" s="45" t="s">
        <v>3168</v>
      </c>
      <c r="AI1" s="45" t="s">
        <v>3200</v>
      </c>
      <c r="AJ1" s="45" t="s">
        <v>3265</v>
      </c>
      <c r="AK1" s="45" t="s">
        <v>3297</v>
      </c>
      <c r="AL1" s="45" t="s">
        <v>3333</v>
      </c>
      <c r="AM1" s="45" t="s">
        <v>3376</v>
      </c>
      <c r="AN1" s="45" t="s">
        <v>3393</v>
      </c>
      <c r="AO1" s="45" t="s">
        <v>3427</v>
      </c>
      <c r="AP1" s="45" t="s">
        <v>3430</v>
      </c>
      <c r="AQ1" s="45" t="s">
        <v>3458</v>
      </c>
      <c r="AR1" s="45" t="s">
        <v>3497</v>
      </c>
      <c r="AS1" s="45" t="s">
        <v>3524</v>
      </c>
      <c r="AT1" s="45" t="s">
        <v>3687</v>
      </c>
      <c r="AU1" s="45" t="s">
        <v>3704</v>
      </c>
      <c r="AV1" s="45" t="s">
        <v>3713</v>
      </c>
      <c r="AW1" s="45" t="s">
        <v>3797</v>
      </c>
      <c r="AX1" s="45" t="s">
        <v>3820</v>
      </c>
      <c r="AY1" s="45" t="s">
        <v>3838</v>
      </c>
      <c r="AZ1" s="45" t="s">
        <v>3874</v>
      </c>
    </row>
    <row r="2" ht="15.75" customHeight="1">
      <c r="A2" s="34">
        <v>1.0</v>
      </c>
      <c r="B2" s="34">
        <f>State_Fossil_All_Mapping_SEDS!C109/State_Fossil_All_Mapping_SEDS!$BB109</f>
        <v>0</v>
      </c>
      <c r="C2" s="34">
        <f>State_Fossil_All_Mapping_SEDS!D109/State_Fossil_All_Mapping_SEDS!$BB109</f>
        <v>0</v>
      </c>
      <c r="D2" s="34">
        <f>State_Fossil_All_Mapping_SEDS!E109/State_Fossil_All_Mapping_SEDS!$BB109</f>
        <v>0</v>
      </c>
      <c r="E2" s="34">
        <f>State_Fossil_All_Mapping_SEDS!F109/State_Fossil_All_Mapping_SEDS!$BB109</f>
        <v>0</v>
      </c>
      <c r="F2" s="34">
        <f>State_Fossil_All_Mapping_SEDS!G109/State_Fossil_All_Mapping_SEDS!$BB109</f>
        <v>0</v>
      </c>
      <c r="G2" s="34">
        <f>State_Fossil_All_Mapping_SEDS!H109/State_Fossil_All_Mapping_SEDS!$BB109</f>
        <v>0</v>
      </c>
      <c r="H2" s="34">
        <f>State_Fossil_All_Mapping_SEDS!I109/State_Fossil_All_Mapping_SEDS!$BB109</f>
        <v>0.2350936968</v>
      </c>
      <c r="I2" s="34">
        <f>State_Fossil_All_Mapping_SEDS!J109/State_Fossil_All_Mapping_SEDS!$BB109</f>
        <v>0</v>
      </c>
      <c r="J2" s="34">
        <f>State_Fossil_All_Mapping_SEDS!K109/State_Fossil_All_Mapping_SEDS!$BB109</f>
        <v>0</v>
      </c>
      <c r="K2" s="34">
        <f>State_Fossil_All_Mapping_SEDS!L109/State_Fossil_All_Mapping_SEDS!$BB109</f>
        <v>0</v>
      </c>
      <c r="L2" s="34">
        <f>State_Fossil_All_Mapping_SEDS!M109/State_Fossil_All_Mapping_SEDS!$BB109</f>
        <v>0</v>
      </c>
      <c r="M2" s="34">
        <f>State_Fossil_All_Mapping_SEDS!N109/State_Fossil_All_Mapping_SEDS!$BB109</f>
        <v>0</v>
      </c>
      <c r="N2" s="34">
        <f>State_Fossil_All_Mapping_SEDS!O109/State_Fossil_All_Mapping_SEDS!$BB109</f>
        <v>0</v>
      </c>
      <c r="O2" s="34">
        <f>State_Fossil_All_Mapping_SEDS!P109/State_Fossil_All_Mapping_SEDS!$BB109</f>
        <v>0</v>
      </c>
      <c r="P2" s="34">
        <f>State_Fossil_All_Mapping_SEDS!Q109/State_Fossil_All_Mapping_SEDS!$BB109</f>
        <v>0</v>
      </c>
      <c r="Q2" s="34">
        <f>State_Fossil_All_Mapping_SEDS!R109/State_Fossil_All_Mapping_SEDS!$BB109</f>
        <v>0</v>
      </c>
      <c r="R2" s="34">
        <f>State_Fossil_All_Mapping_SEDS!S109/State_Fossil_All_Mapping_SEDS!$BB109</f>
        <v>0</v>
      </c>
      <c r="S2" s="34">
        <f>State_Fossil_All_Mapping_SEDS!T109/State_Fossil_All_Mapping_SEDS!$BB109</f>
        <v>0</v>
      </c>
      <c r="T2" s="34">
        <f>State_Fossil_All_Mapping_SEDS!U109/State_Fossil_All_Mapping_SEDS!$BB109</f>
        <v>0</v>
      </c>
      <c r="U2" s="34">
        <f>State_Fossil_All_Mapping_SEDS!V109/State_Fossil_All_Mapping_SEDS!$BB109</f>
        <v>0.09540034072</v>
      </c>
      <c r="V2" s="34">
        <f>State_Fossil_All_Mapping_SEDS!W109/State_Fossil_All_Mapping_SEDS!$BB109</f>
        <v>0</v>
      </c>
      <c r="W2" s="34">
        <f>State_Fossil_All_Mapping_SEDS!X109/State_Fossil_All_Mapping_SEDS!$BB109</f>
        <v>0.461669506</v>
      </c>
      <c r="X2" s="34">
        <f>State_Fossil_All_Mapping_SEDS!Y109/State_Fossil_All_Mapping_SEDS!$BB109</f>
        <v>0</v>
      </c>
      <c r="Y2" s="34">
        <f>State_Fossil_All_Mapping_SEDS!Z109/State_Fossil_All_Mapping_SEDS!$BB109</f>
        <v>0</v>
      </c>
      <c r="Z2" s="34">
        <f>State_Fossil_All_Mapping_SEDS!AA109/State_Fossil_All_Mapping_SEDS!$BB109</f>
        <v>0</v>
      </c>
      <c r="AA2" s="34">
        <f>State_Fossil_All_Mapping_SEDS!AB109/State_Fossil_All_Mapping_SEDS!$BB109</f>
        <v>0</v>
      </c>
      <c r="AB2" s="34">
        <f>State_Fossil_All_Mapping_SEDS!AC109/State_Fossil_All_Mapping_SEDS!$BB109</f>
        <v>0</v>
      </c>
      <c r="AC2" s="34">
        <f>State_Fossil_All_Mapping_SEDS!AD109/State_Fossil_All_Mapping_SEDS!$BB109</f>
        <v>0</v>
      </c>
      <c r="AD2" s="34">
        <f>State_Fossil_All_Mapping_SEDS!AE109/State_Fossil_All_Mapping_SEDS!$BB109</f>
        <v>0</v>
      </c>
      <c r="AE2" s="34">
        <f>State_Fossil_All_Mapping_SEDS!AF109/State_Fossil_All_Mapping_SEDS!$BB109</f>
        <v>0.09199318569</v>
      </c>
      <c r="AF2" s="34">
        <f>State_Fossil_All_Mapping_SEDS!AG109/State_Fossil_All_Mapping_SEDS!$BB109</f>
        <v>0</v>
      </c>
      <c r="AG2" s="34">
        <f>State_Fossil_All_Mapping_SEDS!AH109/State_Fossil_All_Mapping_SEDS!$BB109</f>
        <v>0</v>
      </c>
      <c r="AH2" s="34">
        <f>State_Fossil_All_Mapping_SEDS!AI109/State_Fossil_All_Mapping_SEDS!$BB109</f>
        <v>0</v>
      </c>
      <c r="AI2" s="34">
        <f>State_Fossil_All_Mapping_SEDS!AJ109/State_Fossil_All_Mapping_SEDS!$BB109</f>
        <v>0</v>
      </c>
      <c r="AJ2" s="34">
        <f>State_Fossil_All_Mapping_SEDS!AK109/State_Fossil_All_Mapping_SEDS!$BB109</f>
        <v>0</v>
      </c>
      <c r="AK2" s="34">
        <f>State_Fossil_All_Mapping_SEDS!AL109/State_Fossil_All_Mapping_SEDS!$BB109</f>
        <v>0</v>
      </c>
      <c r="AL2" s="34">
        <f>State_Fossil_All_Mapping_SEDS!AM109/State_Fossil_All_Mapping_SEDS!$BB109</f>
        <v>0</v>
      </c>
      <c r="AM2" s="34">
        <f>State_Fossil_All_Mapping_SEDS!AN109/State_Fossil_All_Mapping_SEDS!$BB109</f>
        <v>0</v>
      </c>
      <c r="AN2" s="34">
        <f>State_Fossil_All_Mapping_SEDS!AO109/State_Fossil_All_Mapping_SEDS!$BB109</f>
        <v>0</v>
      </c>
      <c r="AO2" s="34">
        <f>State_Fossil_All_Mapping_SEDS!AP109/State_Fossil_All_Mapping_SEDS!$BB109</f>
        <v>0.07155025554</v>
      </c>
      <c r="AP2" s="34">
        <f>State_Fossil_All_Mapping_SEDS!AQ109/State_Fossil_All_Mapping_SEDS!$BB109</f>
        <v>0</v>
      </c>
      <c r="AQ2" s="34">
        <f>State_Fossil_All_Mapping_SEDS!AR109/State_Fossil_All_Mapping_SEDS!$BB109</f>
        <v>0</v>
      </c>
      <c r="AR2" s="34">
        <f>State_Fossil_All_Mapping_SEDS!AS109/State_Fossil_All_Mapping_SEDS!$BB109</f>
        <v>0</v>
      </c>
      <c r="AS2" s="34">
        <f>State_Fossil_All_Mapping_SEDS!AT109/State_Fossil_All_Mapping_SEDS!$BB109</f>
        <v>0</v>
      </c>
      <c r="AT2" s="34">
        <f>State_Fossil_All_Mapping_SEDS!AU109/State_Fossil_All_Mapping_SEDS!$BB109</f>
        <v>0</v>
      </c>
      <c r="AU2" s="34">
        <f>State_Fossil_All_Mapping_SEDS!AV109/State_Fossil_All_Mapping_SEDS!$BB109</f>
        <v>0.04429301533</v>
      </c>
      <c r="AV2" s="34">
        <f>State_Fossil_All_Mapping_SEDS!AW109/State_Fossil_All_Mapping_SEDS!$BB109</f>
        <v>0</v>
      </c>
      <c r="AW2" s="34">
        <f>State_Fossil_All_Mapping_SEDS!AX109/State_Fossil_All_Mapping_SEDS!$BB109</f>
        <v>0</v>
      </c>
      <c r="AX2" s="34">
        <f>State_Fossil_All_Mapping_SEDS!AY109/State_Fossil_All_Mapping_SEDS!$BB109</f>
        <v>0</v>
      </c>
      <c r="AY2" s="34">
        <f>State_Fossil_All_Mapping_SEDS!AZ109/State_Fossil_All_Mapping_SEDS!$BB109</f>
        <v>0</v>
      </c>
      <c r="AZ2" s="34">
        <f>State_Fossil_All_Mapping_SEDS!BA109/State_Fossil_All_Mapping_SEDS!$BB109</f>
        <v>0</v>
      </c>
    </row>
    <row r="3" ht="15.75" customHeight="1">
      <c r="A3" s="34">
        <v>2.0</v>
      </c>
      <c r="B3" s="34">
        <f>State_Fossil_All_Mapping_SEDS!C110/State_Fossil_All_Mapping_SEDS!$BB110</f>
        <v>0</v>
      </c>
      <c r="C3" s="34">
        <f>State_Fossil_All_Mapping_SEDS!D110/State_Fossil_All_Mapping_SEDS!$BB110</f>
        <v>0</v>
      </c>
      <c r="D3" s="34">
        <f>State_Fossil_All_Mapping_SEDS!E110/State_Fossil_All_Mapping_SEDS!$BB110</f>
        <v>0</v>
      </c>
      <c r="E3" s="34">
        <f>State_Fossil_All_Mapping_SEDS!F110/State_Fossil_All_Mapping_SEDS!$BB110</f>
        <v>0</v>
      </c>
      <c r="F3" s="34">
        <f>State_Fossil_All_Mapping_SEDS!G110/State_Fossil_All_Mapping_SEDS!$BB110</f>
        <v>0</v>
      </c>
      <c r="G3" s="34">
        <f>State_Fossil_All_Mapping_SEDS!H110/State_Fossil_All_Mapping_SEDS!$BB110</f>
        <v>0</v>
      </c>
      <c r="H3" s="34">
        <f>State_Fossil_All_Mapping_SEDS!I110/State_Fossil_All_Mapping_SEDS!$BB110</f>
        <v>0</v>
      </c>
      <c r="I3" s="34">
        <f>State_Fossil_All_Mapping_SEDS!J110/State_Fossil_All_Mapping_SEDS!$BB110</f>
        <v>0</v>
      </c>
      <c r="J3" s="34">
        <f>State_Fossil_All_Mapping_SEDS!K110/State_Fossil_All_Mapping_SEDS!$BB110</f>
        <v>0</v>
      </c>
      <c r="K3" s="34">
        <f>State_Fossil_All_Mapping_SEDS!L110/State_Fossil_All_Mapping_SEDS!$BB110</f>
        <v>0</v>
      </c>
      <c r="L3" s="34">
        <f>State_Fossil_All_Mapping_SEDS!M110/State_Fossil_All_Mapping_SEDS!$BB110</f>
        <v>0</v>
      </c>
      <c r="M3" s="34">
        <f>State_Fossil_All_Mapping_SEDS!N110/State_Fossil_All_Mapping_SEDS!$BB110</f>
        <v>0</v>
      </c>
      <c r="N3" s="34">
        <f>State_Fossil_All_Mapping_SEDS!O110/State_Fossil_All_Mapping_SEDS!$BB110</f>
        <v>0</v>
      </c>
      <c r="O3" s="34">
        <f>State_Fossil_All_Mapping_SEDS!P110/State_Fossil_All_Mapping_SEDS!$BB110</f>
        <v>0</v>
      </c>
      <c r="P3" s="34">
        <f>State_Fossil_All_Mapping_SEDS!Q110/State_Fossil_All_Mapping_SEDS!$BB110</f>
        <v>0</v>
      </c>
      <c r="Q3" s="34">
        <f>State_Fossil_All_Mapping_SEDS!R110/State_Fossil_All_Mapping_SEDS!$BB110</f>
        <v>0</v>
      </c>
      <c r="R3" s="34">
        <f>State_Fossil_All_Mapping_SEDS!S110/State_Fossil_All_Mapping_SEDS!$BB110</f>
        <v>0</v>
      </c>
      <c r="S3" s="34">
        <f>State_Fossil_All_Mapping_SEDS!T110/State_Fossil_All_Mapping_SEDS!$BB110</f>
        <v>0</v>
      </c>
      <c r="T3" s="34">
        <f>State_Fossil_All_Mapping_SEDS!U110/State_Fossil_All_Mapping_SEDS!$BB110</f>
        <v>0</v>
      </c>
      <c r="U3" s="34">
        <f>State_Fossil_All_Mapping_SEDS!V110/State_Fossil_All_Mapping_SEDS!$BB110</f>
        <v>0</v>
      </c>
      <c r="V3" s="34">
        <f>State_Fossil_All_Mapping_SEDS!W110/State_Fossil_All_Mapping_SEDS!$BB110</f>
        <v>0</v>
      </c>
      <c r="W3" s="34">
        <f>State_Fossil_All_Mapping_SEDS!X110/State_Fossil_All_Mapping_SEDS!$BB110</f>
        <v>0</v>
      </c>
      <c r="X3" s="34">
        <f>State_Fossil_All_Mapping_SEDS!Y110/State_Fossil_All_Mapping_SEDS!$BB110</f>
        <v>0</v>
      </c>
      <c r="Y3" s="34">
        <f>State_Fossil_All_Mapping_SEDS!Z110/State_Fossil_All_Mapping_SEDS!$BB110</f>
        <v>0</v>
      </c>
      <c r="Z3" s="34">
        <f>State_Fossil_All_Mapping_SEDS!AA110/State_Fossil_All_Mapping_SEDS!$BB110</f>
        <v>0</v>
      </c>
      <c r="AA3" s="34">
        <f>State_Fossil_All_Mapping_SEDS!AB110/State_Fossil_All_Mapping_SEDS!$BB110</f>
        <v>0</v>
      </c>
      <c r="AB3" s="34">
        <f>State_Fossil_All_Mapping_SEDS!AC110/State_Fossil_All_Mapping_SEDS!$BB110</f>
        <v>0</v>
      </c>
      <c r="AC3" s="34">
        <f>State_Fossil_All_Mapping_SEDS!AD110/State_Fossil_All_Mapping_SEDS!$BB110</f>
        <v>0</v>
      </c>
      <c r="AD3" s="34">
        <f>State_Fossil_All_Mapping_SEDS!AE110/State_Fossil_All_Mapping_SEDS!$BB110</f>
        <v>0</v>
      </c>
      <c r="AE3" s="34">
        <f>State_Fossil_All_Mapping_SEDS!AF110/State_Fossil_All_Mapping_SEDS!$BB110</f>
        <v>0</v>
      </c>
      <c r="AF3" s="34">
        <f>State_Fossil_All_Mapping_SEDS!AG110/State_Fossil_All_Mapping_SEDS!$BB110</f>
        <v>0.2113466334</v>
      </c>
      <c r="AG3" s="34">
        <f>State_Fossil_All_Mapping_SEDS!AH110/State_Fossil_All_Mapping_SEDS!$BB110</f>
        <v>0</v>
      </c>
      <c r="AH3" s="34">
        <f>State_Fossil_All_Mapping_SEDS!AI110/State_Fossil_All_Mapping_SEDS!$BB110</f>
        <v>0.4688279302</v>
      </c>
      <c r="AI3" s="34">
        <f>State_Fossil_All_Mapping_SEDS!AJ110/State_Fossil_All_Mapping_SEDS!$BB110</f>
        <v>0</v>
      </c>
      <c r="AJ3" s="34">
        <f>State_Fossil_All_Mapping_SEDS!AK110/State_Fossil_All_Mapping_SEDS!$BB110</f>
        <v>0</v>
      </c>
      <c r="AK3" s="34">
        <f>State_Fossil_All_Mapping_SEDS!AL110/State_Fossil_All_Mapping_SEDS!$BB110</f>
        <v>0</v>
      </c>
      <c r="AL3" s="34">
        <f>State_Fossil_All_Mapping_SEDS!AM110/State_Fossil_All_Mapping_SEDS!$BB110</f>
        <v>0</v>
      </c>
      <c r="AM3" s="34">
        <f>State_Fossil_All_Mapping_SEDS!AN110/State_Fossil_All_Mapping_SEDS!$BB110</f>
        <v>0</v>
      </c>
      <c r="AN3" s="34">
        <f>State_Fossil_All_Mapping_SEDS!AO110/State_Fossil_All_Mapping_SEDS!$BB110</f>
        <v>0.3198254364</v>
      </c>
      <c r="AO3" s="34">
        <f>State_Fossil_All_Mapping_SEDS!AP110/State_Fossil_All_Mapping_SEDS!$BB110</f>
        <v>0</v>
      </c>
      <c r="AP3" s="34">
        <f>State_Fossil_All_Mapping_SEDS!AQ110/State_Fossil_All_Mapping_SEDS!$BB110</f>
        <v>0</v>
      </c>
      <c r="AQ3" s="34">
        <f>State_Fossil_All_Mapping_SEDS!AR110/State_Fossil_All_Mapping_SEDS!$BB110</f>
        <v>0</v>
      </c>
      <c r="AR3" s="34">
        <f>State_Fossil_All_Mapping_SEDS!AS110/State_Fossil_All_Mapping_SEDS!$BB110</f>
        <v>0</v>
      </c>
      <c r="AS3" s="34">
        <f>State_Fossil_All_Mapping_SEDS!AT110/State_Fossil_All_Mapping_SEDS!$BB110</f>
        <v>0</v>
      </c>
      <c r="AT3" s="34">
        <f>State_Fossil_All_Mapping_SEDS!AU110/State_Fossil_All_Mapping_SEDS!$BB110</f>
        <v>0</v>
      </c>
      <c r="AU3" s="34">
        <f>State_Fossil_All_Mapping_SEDS!AV110/State_Fossil_All_Mapping_SEDS!$BB110</f>
        <v>0</v>
      </c>
      <c r="AV3" s="34">
        <f>State_Fossil_All_Mapping_SEDS!AW110/State_Fossil_All_Mapping_SEDS!$BB110</f>
        <v>0</v>
      </c>
      <c r="AW3" s="34">
        <f>State_Fossil_All_Mapping_SEDS!AX110/State_Fossil_All_Mapping_SEDS!$BB110</f>
        <v>0</v>
      </c>
      <c r="AX3" s="34">
        <f>State_Fossil_All_Mapping_SEDS!AY110/State_Fossil_All_Mapping_SEDS!$BB110</f>
        <v>0</v>
      </c>
      <c r="AY3" s="34">
        <f>State_Fossil_All_Mapping_SEDS!AZ110/State_Fossil_All_Mapping_SEDS!$BB110</f>
        <v>0</v>
      </c>
      <c r="AZ3" s="34">
        <f>State_Fossil_All_Mapping_SEDS!BA110/State_Fossil_All_Mapping_SEDS!$BB110</f>
        <v>0</v>
      </c>
    </row>
    <row r="4" ht="15.75" customHeight="1">
      <c r="A4" s="34">
        <v>3.0</v>
      </c>
      <c r="B4" s="34">
        <f>State_Fossil_All_Mapping_SEDS!C111/State_Fossil_All_Mapping_SEDS!$BB111</f>
        <v>0</v>
      </c>
      <c r="C4" s="34">
        <f>State_Fossil_All_Mapping_SEDS!D111/State_Fossil_All_Mapping_SEDS!$BB111</f>
        <v>0</v>
      </c>
      <c r="D4" s="34">
        <f>State_Fossil_All_Mapping_SEDS!E111/State_Fossil_All_Mapping_SEDS!$BB111</f>
        <v>0</v>
      </c>
      <c r="E4" s="34">
        <f>State_Fossil_All_Mapping_SEDS!F111/State_Fossil_All_Mapping_SEDS!$BB111</f>
        <v>0</v>
      </c>
      <c r="F4" s="34">
        <f>State_Fossil_All_Mapping_SEDS!G111/State_Fossil_All_Mapping_SEDS!$BB111</f>
        <v>0</v>
      </c>
      <c r="G4" s="34">
        <f>State_Fossil_All_Mapping_SEDS!H111/State_Fossil_All_Mapping_SEDS!$BB111</f>
        <v>0</v>
      </c>
      <c r="H4" s="34">
        <f>State_Fossil_All_Mapping_SEDS!I111/State_Fossil_All_Mapping_SEDS!$BB111</f>
        <v>0</v>
      </c>
      <c r="I4" s="34">
        <f>State_Fossil_All_Mapping_SEDS!J111/State_Fossil_All_Mapping_SEDS!$BB111</f>
        <v>0</v>
      </c>
      <c r="J4" s="34">
        <f>State_Fossil_All_Mapping_SEDS!K111/State_Fossil_All_Mapping_SEDS!$BB111</f>
        <v>0</v>
      </c>
      <c r="K4" s="34">
        <f>State_Fossil_All_Mapping_SEDS!L111/State_Fossil_All_Mapping_SEDS!$BB111</f>
        <v>0</v>
      </c>
      <c r="L4" s="34">
        <f>State_Fossil_All_Mapping_SEDS!M111/State_Fossil_All_Mapping_SEDS!$BB111</f>
        <v>0</v>
      </c>
      <c r="M4" s="34">
        <f>State_Fossil_All_Mapping_SEDS!N111/State_Fossil_All_Mapping_SEDS!$BB111</f>
        <v>0</v>
      </c>
      <c r="N4" s="34">
        <f>State_Fossil_All_Mapping_SEDS!O111/State_Fossil_All_Mapping_SEDS!$BB111</f>
        <v>0</v>
      </c>
      <c r="O4" s="34">
        <f>State_Fossil_All_Mapping_SEDS!P111/State_Fossil_All_Mapping_SEDS!$BB111</f>
        <v>0.2641509434</v>
      </c>
      <c r="P4" s="34">
        <f>State_Fossil_All_Mapping_SEDS!Q111/State_Fossil_All_Mapping_SEDS!$BB111</f>
        <v>0.1401617251</v>
      </c>
      <c r="Q4" s="34">
        <f>State_Fossil_All_Mapping_SEDS!R111/State_Fossil_All_Mapping_SEDS!$BB111</f>
        <v>0</v>
      </c>
      <c r="R4" s="34">
        <f>State_Fossil_All_Mapping_SEDS!S111/State_Fossil_All_Mapping_SEDS!$BB111</f>
        <v>0</v>
      </c>
      <c r="S4" s="34">
        <f>State_Fossil_All_Mapping_SEDS!T111/State_Fossil_All_Mapping_SEDS!$BB111</f>
        <v>0</v>
      </c>
      <c r="T4" s="34">
        <f>State_Fossil_All_Mapping_SEDS!U111/State_Fossil_All_Mapping_SEDS!$BB111</f>
        <v>0</v>
      </c>
      <c r="U4" s="34">
        <f>State_Fossil_All_Mapping_SEDS!V111/State_Fossil_All_Mapping_SEDS!$BB111</f>
        <v>0</v>
      </c>
      <c r="V4" s="34">
        <f>State_Fossil_All_Mapping_SEDS!W111/State_Fossil_All_Mapping_SEDS!$BB111</f>
        <v>0</v>
      </c>
      <c r="W4" s="34">
        <f>State_Fossil_All_Mapping_SEDS!X111/State_Fossil_All_Mapping_SEDS!$BB111</f>
        <v>0</v>
      </c>
      <c r="X4" s="34">
        <f>State_Fossil_All_Mapping_SEDS!Y111/State_Fossil_All_Mapping_SEDS!$BB111</f>
        <v>0.2113207547</v>
      </c>
      <c r="Y4" s="34">
        <f>State_Fossil_All_Mapping_SEDS!Z111/State_Fossil_All_Mapping_SEDS!$BB111</f>
        <v>0</v>
      </c>
      <c r="Z4" s="34">
        <f>State_Fossil_All_Mapping_SEDS!AA111/State_Fossil_All_Mapping_SEDS!$BB111</f>
        <v>0</v>
      </c>
      <c r="AA4" s="34">
        <f>State_Fossil_All_Mapping_SEDS!AB111/State_Fossil_All_Mapping_SEDS!$BB111</f>
        <v>0</v>
      </c>
      <c r="AB4" s="34">
        <f>State_Fossil_All_Mapping_SEDS!AC111/State_Fossil_All_Mapping_SEDS!$BB111</f>
        <v>0</v>
      </c>
      <c r="AC4" s="34">
        <f>State_Fossil_All_Mapping_SEDS!AD111/State_Fossil_All_Mapping_SEDS!$BB111</f>
        <v>0</v>
      </c>
      <c r="AD4" s="34">
        <f>State_Fossil_All_Mapping_SEDS!AE111/State_Fossil_All_Mapping_SEDS!$BB111</f>
        <v>0</v>
      </c>
      <c r="AE4" s="34">
        <f>State_Fossil_All_Mapping_SEDS!AF111/State_Fossil_All_Mapping_SEDS!$BB111</f>
        <v>0</v>
      </c>
      <c r="AF4" s="34">
        <f>State_Fossil_All_Mapping_SEDS!AG111/State_Fossil_All_Mapping_SEDS!$BB111</f>
        <v>0</v>
      </c>
      <c r="AG4" s="34">
        <f>State_Fossil_All_Mapping_SEDS!AH111/State_Fossil_All_Mapping_SEDS!$BB111</f>
        <v>0</v>
      </c>
      <c r="AH4" s="34">
        <f>State_Fossil_All_Mapping_SEDS!AI111/State_Fossil_All_Mapping_SEDS!$BB111</f>
        <v>0</v>
      </c>
      <c r="AI4" s="34">
        <f>State_Fossil_All_Mapping_SEDS!AJ111/State_Fossil_All_Mapping_SEDS!$BB111</f>
        <v>0</v>
      </c>
      <c r="AJ4" s="34">
        <f>State_Fossil_All_Mapping_SEDS!AK111/State_Fossil_All_Mapping_SEDS!$BB111</f>
        <v>0</v>
      </c>
      <c r="AK4" s="34">
        <f>State_Fossil_All_Mapping_SEDS!AL111/State_Fossil_All_Mapping_SEDS!$BB111</f>
        <v>0.2555256065</v>
      </c>
      <c r="AL4" s="34">
        <f>State_Fossil_All_Mapping_SEDS!AM111/State_Fossil_All_Mapping_SEDS!$BB111</f>
        <v>0</v>
      </c>
      <c r="AM4" s="34">
        <f>State_Fossil_All_Mapping_SEDS!AN111/State_Fossil_All_Mapping_SEDS!$BB111</f>
        <v>0</v>
      </c>
      <c r="AN4" s="34">
        <f>State_Fossil_All_Mapping_SEDS!AO111/State_Fossil_All_Mapping_SEDS!$BB111</f>
        <v>0</v>
      </c>
      <c r="AO4" s="34">
        <f>State_Fossil_All_Mapping_SEDS!AP111/State_Fossil_All_Mapping_SEDS!$BB111</f>
        <v>0</v>
      </c>
      <c r="AP4" s="34">
        <f>State_Fossil_All_Mapping_SEDS!AQ111/State_Fossil_All_Mapping_SEDS!$BB111</f>
        <v>0</v>
      </c>
      <c r="AQ4" s="34">
        <f>State_Fossil_All_Mapping_SEDS!AR111/State_Fossil_All_Mapping_SEDS!$BB111</f>
        <v>0</v>
      </c>
      <c r="AR4" s="34">
        <f>State_Fossil_All_Mapping_SEDS!AS111/State_Fossil_All_Mapping_SEDS!$BB111</f>
        <v>0</v>
      </c>
      <c r="AS4" s="34">
        <f>State_Fossil_All_Mapping_SEDS!AT111/State_Fossil_All_Mapping_SEDS!$BB111</f>
        <v>0</v>
      </c>
      <c r="AT4" s="34">
        <f>State_Fossil_All_Mapping_SEDS!AU111/State_Fossil_All_Mapping_SEDS!$BB111</f>
        <v>0</v>
      </c>
      <c r="AU4" s="34">
        <f>State_Fossil_All_Mapping_SEDS!AV111/State_Fossil_All_Mapping_SEDS!$BB111</f>
        <v>0</v>
      </c>
      <c r="AV4" s="34">
        <f>State_Fossil_All_Mapping_SEDS!AW111/State_Fossil_All_Mapping_SEDS!$BB111</f>
        <v>0</v>
      </c>
      <c r="AW4" s="34">
        <f>State_Fossil_All_Mapping_SEDS!AX111/State_Fossil_All_Mapping_SEDS!$BB111</f>
        <v>0</v>
      </c>
      <c r="AX4" s="34">
        <f>State_Fossil_All_Mapping_SEDS!AY111/State_Fossil_All_Mapping_SEDS!$BB111</f>
        <v>0</v>
      </c>
      <c r="AY4" s="34">
        <f>State_Fossil_All_Mapping_SEDS!AZ111/State_Fossil_All_Mapping_SEDS!$BB111</f>
        <v>0.1288409704</v>
      </c>
      <c r="AZ4" s="34">
        <f>State_Fossil_All_Mapping_SEDS!BA111/State_Fossil_All_Mapping_SEDS!$BB111</f>
        <v>0</v>
      </c>
    </row>
    <row r="5" ht="15.75" customHeight="1">
      <c r="A5" s="34">
        <v>4.0</v>
      </c>
      <c r="B5" s="34">
        <f>State_Fossil_All_Mapping_SEDS!C112/State_Fossil_All_Mapping_SEDS!$BB112</f>
        <v>0</v>
      </c>
      <c r="C5" s="34">
        <f>State_Fossil_All_Mapping_SEDS!D112/State_Fossil_All_Mapping_SEDS!$BB112</f>
        <v>0</v>
      </c>
      <c r="D5" s="34">
        <f>State_Fossil_All_Mapping_SEDS!E112/State_Fossil_All_Mapping_SEDS!$BB112</f>
        <v>0</v>
      </c>
      <c r="E5" s="34">
        <f>State_Fossil_All_Mapping_SEDS!F112/State_Fossil_All_Mapping_SEDS!$BB112</f>
        <v>0</v>
      </c>
      <c r="F5" s="34">
        <f>State_Fossil_All_Mapping_SEDS!G112/State_Fossil_All_Mapping_SEDS!$BB112</f>
        <v>0</v>
      </c>
      <c r="G5" s="34">
        <f>State_Fossil_All_Mapping_SEDS!H112/State_Fossil_All_Mapping_SEDS!$BB112</f>
        <v>0</v>
      </c>
      <c r="H5" s="34">
        <f>State_Fossil_All_Mapping_SEDS!I112/State_Fossil_All_Mapping_SEDS!$BB112</f>
        <v>0</v>
      </c>
      <c r="I5" s="34">
        <f>State_Fossil_All_Mapping_SEDS!J112/State_Fossil_All_Mapping_SEDS!$BB112</f>
        <v>0</v>
      </c>
      <c r="J5" s="34">
        <f>State_Fossil_All_Mapping_SEDS!K112/State_Fossil_All_Mapping_SEDS!$BB112</f>
        <v>0</v>
      </c>
      <c r="K5" s="34">
        <f>State_Fossil_All_Mapping_SEDS!L112/State_Fossil_All_Mapping_SEDS!$BB112</f>
        <v>0</v>
      </c>
      <c r="L5" s="34">
        <f>State_Fossil_All_Mapping_SEDS!M112/State_Fossil_All_Mapping_SEDS!$BB112</f>
        <v>0</v>
      </c>
      <c r="M5" s="34">
        <f>State_Fossil_All_Mapping_SEDS!N112/State_Fossil_All_Mapping_SEDS!$BB112</f>
        <v>0</v>
      </c>
      <c r="N5" s="34">
        <f>State_Fossil_All_Mapping_SEDS!O112/State_Fossil_All_Mapping_SEDS!$BB112</f>
        <v>0</v>
      </c>
      <c r="O5" s="34">
        <f>State_Fossil_All_Mapping_SEDS!P112/State_Fossil_All_Mapping_SEDS!$BB112</f>
        <v>0</v>
      </c>
      <c r="P5" s="34">
        <f>State_Fossil_All_Mapping_SEDS!Q112/State_Fossil_All_Mapping_SEDS!$BB112</f>
        <v>0</v>
      </c>
      <c r="Q5" s="34">
        <f>State_Fossil_All_Mapping_SEDS!R112/State_Fossil_All_Mapping_SEDS!$BB112</f>
        <v>0.1504112808</v>
      </c>
      <c r="R5" s="34">
        <f>State_Fossil_All_Mapping_SEDS!S112/State_Fossil_All_Mapping_SEDS!$BB112</f>
        <v>0.1327849589</v>
      </c>
      <c r="S5" s="34">
        <f>State_Fossil_All_Mapping_SEDS!T112/State_Fossil_All_Mapping_SEDS!$BB112</f>
        <v>0</v>
      </c>
      <c r="T5" s="34">
        <f>State_Fossil_All_Mapping_SEDS!U112/State_Fossil_All_Mapping_SEDS!$BB112</f>
        <v>0</v>
      </c>
      <c r="U5" s="34">
        <f>State_Fossil_All_Mapping_SEDS!V112/State_Fossil_All_Mapping_SEDS!$BB112</f>
        <v>0</v>
      </c>
      <c r="V5" s="34">
        <f>State_Fossil_All_Mapping_SEDS!W112/State_Fossil_All_Mapping_SEDS!$BB112</f>
        <v>0</v>
      </c>
      <c r="W5" s="34">
        <f>State_Fossil_All_Mapping_SEDS!X112/State_Fossil_All_Mapping_SEDS!$BB112</f>
        <v>0</v>
      </c>
      <c r="X5" s="34">
        <f>State_Fossil_All_Mapping_SEDS!Y112/State_Fossil_All_Mapping_SEDS!$BB112</f>
        <v>0</v>
      </c>
      <c r="Y5" s="34">
        <f>State_Fossil_All_Mapping_SEDS!Z112/State_Fossil_All_Mapping_SEDS!$BB112</f>
        <v>0.2620446533</v>
      </c>
      <c r="Z5" s="34">
        <f>State_Fossil_All_Mapping_SEDS!AA112/State_Fossil_All_Mapping_SEDS!$BB112</f>
        <v>0</v>
      </c>
      <c r="AA5" s="34">
        <f>State_Fossil_All_Mapping_SEDS!AB112/State_Fossil_All_Mapping_SEDS!$BB112</f>
        <v>0.285546416</v>
      </c>
      <c r="AB5" s="34">
        <f>State_Fossil_All_Mapping_SEDS!AC112/State_Fossil_All_Mapping_SEDS!$BB112</f>
        <v>0</v>
      </c>
      <c r="AC5" s="34">
        <f>State_Fossil_All_Mapping_SEDS!AD112/State_Fossil_All_Mapping_SEDS!$BB112</f>
        <v>0.09048178613</v>
      </c>
      <c r="AD5" s="34">
        <f>State_Fossil_All_Mapping_SEDS!AE112/State_Fossil_All_Mapping_SEDS!$BB112</f>
        <v>0</v>
      </c>
      <c r="AE5" s="34">
        <f>State_Fossil_All_Mapping_SEDS!AF112/State_Fossil_All_Mapping_SEDS!$BB112</f>
        <v>0</v>
      </c>
      <c r="AF5" s="34">
        <f>State_Fossil_All_Mapping_SEDS!AG112/State_Fossil_All_Mapping_SEDS!$BB112</f>
        <v>0</v>
      </c>
      <c r="AG5" s="34">
        <f>State_Fossil_All_Mapping_SEDS!AH112/State_Fossil_All_Mapping_SEDS!$BB112</f>
        <v>0</v>
      </c>
      <c r="AH5" s="34">
        <f>State_Fossil_All_Mapping_SEDS!AI112/State_Fossil_All_Mapping_SEDS!$BB112</f>
        <v>0</v>
      </c>
      <c r="AI5" s="34">
        <f>State_Fossil_All_Mapping_SEDS!AJ112/State_Fossil_All_Mapping_SEDS!$BB112</f>
        <v>0</v>
      </c>
      <c r="AJ5" s="34">
        <f>State_Fossil_All_Mapping_SEDS!AK112/State_Fossil_All_Mapping_SEDS!$BB112</f>
        <v>0.03760282021</v>
      </c>
      <c r="AK5" s="34">
        <f>State_Fossil_All_Mapping_SEDS!AL112/State_Fossil_All_Mapping_SEDS!$BB112</f>
        <v>0</v>
      </c>
      <c r="AL5" s="34">
        <f>State_Fossil_All_Mapping_SEDS!AM112/State_Fossil_All_Mapping_SEDS!$BB112</f>
        <v>0</v>
      </c>
      <c r="AM5" s="34">
        <f>State_Fossil_All_Mapping_SEDS!AN112/State_Fossil_All_Mapping_SEDS!$BB112</f>
        <v>0</v>
      </c>
      <c r="AN5" s="34">
        <f>State_Fossil_All_Mapping_SEDS!AO112/State_Fossil_All_Mapping_SEDS!$BB112</f>
        <v>0</v>
      </c>
      <c r="AO5" s="34">
        <f>State_Fossil_All_Mapping_SEDS!AP112/State_Fossil_All_Mapping_SEDS!$BB112</f>
        <v>0</v>
      </c>
      <c r="AP5" s="34">
        <f>State_Fossil_All_Mapping_SEDS!AQ112/State_Fossil_All_Mapping_SEDS!$BB112</f>
        <v>0</v>
      </c>
      <c r="AQ5" s="34">
        <f>State_Fossil_All_Mapping_SEDS!AR112/State_Fossil_All_Mapping_SEDS!$BB112</f>
        <v>0.04112808461</v>
      </c>
      <c r="AR5" s="34">
        <f>State_Fossil_All_Mapping_SEDS!AS112/State_Fossil_All_Mapping_SEDS!$BB112</f>
        <v>0</v>
      </c>
      <c r="AS5" s="34">
        <f>State_Fossil_All_Mapping_SEDS!AT112/State_Fossil_All_Mapping_SEDS!$BB112</f>
        <v>0</v>
      </c>
      <c r="AT5" s="34">
        <f>State_Fossil_All_Mapping_SEDS!AU112/State_Fossil_All_Mapping_SEDS!$BB112</f>
        <v>0</v>
      </c>
      <c r="AU5" s="34">
        <f>State_Fossil_All_Mapping_SEDS!AV112/State_Fossil_All_Mapping_SEDS!$BB112</f>
        <v>0</v>
      </c>
      <c r="AV5" s="34">
        <f>State_Fossil_All_Mapping_SEDS!AW112/State_Fossil_All_Mapping_SEDS!$BB112</f>
        <v>0</v>
      </c>
      <c r="AW5" s="34">
        <f>State_Fossil_All_Mapping_SEDS!AX112/State_Fossil_All_Mapping_SEDS!$BB112</f>
        <v>0</v>
      </c>
      <c r="AX5" s="34">
        <f>State_Fossil_All_Mapping_SEDS!AY112/State_Fossil_All_Mapping_SEDS!$BB112</f>
        <v>0</v>
      </c>
      <c r="AY5" s="34">
        <f>State_Fossil_All_Mapping_SEDS!AZ112/State_Fossil_All_Mapping_SEDS!$BB112</f>
        <v>0</v>
      </c>
      <c r="AZ5" s="34">
        <f>State_Fossil_All_Mapping_SEDS!BA112/State_Fossil_All_Mapping_SEDS!$BB112</f>
        <v>0</v>
      </c>
    </row>
    <row r="6" ht="15.75" customHeight="1">
      <c r="A6" s="34">
        <v>5.0</v>
      </c>
      <c r="B6" s="34">
        <f>State_Fossil_All_Mapping_SEDS!C113/State_Fossil_All_Mapping_SEDS!$BB113</f>
        <v>0</v>
      </c>
      <c r="C6" s="34">
        <f>State_Fossil_All_Mapping_SEDS!D113/State_Fossil_All_Mapping_SEDS!$BB113</f>
        <v>0</v>
      </c>
      <c r="D6" s="34">
        <f>State_Fossil_All_Mapping_SEDS!E113/State_Fossil_All_Mapping_SEDS!$BB113</f>
        <v>0</v>
      </c>
      <c r="E6" s="34">
        <f>State_Fossil_All_Mapping_SEDS!F113/State_Fossil_All_Mapping_SEDS!$BB113</f>
        <v>0</v>
      </c>
      <c r="F6" s="34">
        <f>State_Fossil_All_Mapping_SEDS!G113/State_Fossil_All_Mapping_SEDS!$BB113</f>
        <v>0</v>
      </c>
      <c r="G6" s="34">
        <f>State_Fossil_All_Mapping_SEDS!H113/State_Fossil_All_Mapping_SEDS!$BB113</f>
        <v>0</v>
      </c>
      <c r="H6" s="34">
        <f>State_Fossil_All_Mapping_SEDS!I113/State_Fossil_All_Mapping_SEDS!$BB113</f>
        <v>0</v>
      </c>
      <c r="I6" s="34">
        <f>State_Fossil_All_Mapping_SEDS!J113/State_Fossil_All_Mapping_SEDS!$BB113</f>
        <v>0.0152979066</v>
      </c>
      <c r="J6" s="34">
        <f>State_Fossil_All_Mapping_SEDS!K113/State_Fossil_All_Mapping_SEDS!$BB113</f>
        <v>0.01288244767</v>
      </c>
      <c r="K6" s="34">
        <f>State_Fossil_All_Mapping_SEDS!L113/State_Fossil_All_Mapping_SEDS!$BB113</f>
        <v>0.3244766506</v>
      </c>
      <c r="L6" s="34">
        <f>State_Fossil_All_Mapping_SEDS!M113/State_Fossil_All_Mapping_SEDS!$BB113</f>
        <v>0.1561996779</v>
      </c>
      <c r="M6" s="34">
        <f>State_Fossil_All_Mapping_SEDS!N113/State_Fossil_All_Mapping_SEDS!$BB113</f>
        <v>0</v>
      </c>
      <c r="N6" s="34">
        <f>State_Fossil_All_Mapping_SEDS!O113/State_Fossil_All_Mapping_SEDS!$BB113</f>
        <v>0</v>
      </c>
      <c r="O6" s="34">
        <f>State_Fossil_All_Mapping_SEDS!P113/State_Fossil_All_Mapping_SEDS!$BB113</f>
        <v>0</v>
      </c>
      <c r="P6" s="34">
        <f>State_Fossil_All_Mapping_SEDS!Q113/State_Fossil_All_Mapping_SEDS!$BB113</f>
        <v>0</v>
      </c>
      <c r="Q6" s="34">
        <f>State_Fossil_All_Mapping_SEDS!R113/State_Fossil_All_Mapping_SEDS!$BB113</f>
        <v>0</v>
      </c>
      <c r="R6" s="34">
        <f>State_Fossil_All_Mapping_SEDS!S113/State_Fossil_All_Mapping_SEDS!$BB113</f>
        <v>0</v>
      </c>
      <c r="S6" s="34">
        <f>State_Fossil_All_Mapping_SEDS!T113/State_Fossil_All_Mapping_SEDS!$BB113</f>
        <v>0</v>
      </c>
      <c r="T6" s="34">
        <f>State_Fossil_All_Mapping_SEDS!U113/State_Fossil_All_Mapping_SEDS!$BB113</f>
        <v>0</v>
      </c>
      <c r="U6" s="34">
        <f>State_Fossil_All_Mapping_SEDS!V113/State_Fossil_All_Mapping_SEDS!$BB113</f>
        <v>0</v>
      </c>
      <c r="V6" s="34">
        <f>State_Fossil_All_Mapping_SEDS!W113/State_Fossil_All_Mapping_SEDS!$BB113</f>
        <v>0.09178743961</v>
      </c>
      <c r="W6" s="34">
        <f>State_Fossil_All_Mapping_SEDS!X113/State_Fossil_All_Mapping_SEDS!$BB113</f>
        <v>0</v>
      </c>
      <c r="X6" s="34">
        <f>State_Fossil_All_Mapping_SEDS!Y113/State_Fossil_All_Mapping_SEDS!$BB113</f>
        <v>0</v>
      </c>
      <c r="Y6" s="34">
        <f>State_Fossil_All_Mapping_SEDS!Z113/State_Fossil_All_Mapping_SEDS!$BB113</f>
        <v>0</v>
      </c>
      <c r="Z6" s="34">
        <f>State_Fossil_All_Mapping_SEDS!AA113/State_Fossil_All_Mapping_SEDS!$BB113</f>
        <v>0</v>
      </c>
      <c r="AA6" s="34">
        <f>State_Fossil_All_Mapping_SEDS!AB113/State_Fossil_All_Mapping_SEDS!$BB113</f>
        <v>0</v>
      </c>
      <c r="AB6" s="34">
        <f>State_Fossil_All_Mapping_SEDS!AC113/State_Fossil_All_Mapping_SEDS!$BB113</f>
        <v>0</v>
      </c>
      <c r="AC6" s="34">
        <f>State_Fossil_All_Mapping_SEDS!AD113/State_Fossil_All_Mapping_SEDS!$BB113</f>
        <v>0</v>
      </c>
      <c r="AD6" s="34">
        <f>State_Fossil_All_Mapping_SEDS!AE113/State_Fossil_All_Mapping_SEDS!$BB113</f>
        <v>0</v>
      </c>
      <c r="AE6" s="34">
        <f>State_Fossil_All_Mapping_SEDS!AF113/State_Fossil_All_Mapping_SEDS!$BB113</f>
        <v>0</v>
      </c>
      <c r="AF6" s="34">
        <f>State_Fossil_All_Mapping_SEDS!AG113/State_Fossil_All_Mapping_SEDS!$BB113</f>
        <v>0</v>
      </c>
      <c r="AG6" s="34">
        <f>State_Fossil_All_Mapping_SEDS!AH113/State_Fossil_All_Mapping_SEDS!$BB113</f>
        <v>0</v>
      </c>
      <c r="AH6" s="34">
        <f>State_Fossil_All_Mapping_SEDS!AI113/State_Fossil_All_Mapping_SEDS!$BB113</f>
        <v>0</v>
      </c>
      <c r="AI6" s="34">
        <f>State_Fossil_All_Mapping_SEDS!AJ113/State_Fossil_All_Mapping_SEDS!$BB113</f>
        <v>0.1614331723</v>
      </c>
      <c r="AJ6" s="34">
        <f>State_Fossil_All_Mapping_SEDS!AK113/State_Fossil_All_Mapping_SEDS!$BB113</f>
        <v>0</v>
      </c>
      <c r="AK6" s="34">
        <f>State_Fossil_All_Mapping_SEDS!AL113/State_Fossil_All_Mapping_SEDS!$BB113</f>
        <v>0</v>
      </c>
      <c r="AL6" s="34">
        <f>State_Fossil_All_Mapping_SEDS!AM113/State_Fossil_All_Mapping_SEDS!$BB113</f>
        <v>0</v>
      </c>
      <c r="AM6" s="34">
        <f>State_Fossil_All_Mapping_SEDS!AN113/State_Fossil_All_Mapping_SEDS!$BB113</f>
        <v>0</v>
      </c>
      <c r="AN6" s="34">
        <f>State_Fossil_All_Mapping_SEDS!AO113/State_Fossil_All_Mapping_SEDS!$BB113</f>
        <v>0</v>
      </c>
      <c r="AO6" s="34">
        <f>State_Fossil_All_Mapping_SEDS!AP113/State_Fossil_All_Mapping_SEDS!$BB113</f>
        <v>0</v>
      </c>
      <c r="AP6" s="34">
        <f>State_Fossil_All_Mapping_SEDS!AQ113/State_Fossil_All_Mapping_SEDS!$BB113</f>
        <v>0.07930756844</v>
      </c>
      <c r="AQ6" s="34">
        <f>State_Fossil_All_Mapping_SEDS!AR113/State_Fossil_All_Mapping_SEDS!$BB113</f>
        <v>0</v>
      </c>
      <c r="AR6" s="34">
        <f>State_Fossil_All_Mapping_SEDS!AS113/State_Fossil_All_Mapping_SEDS!$BB113</f>
        <v>0</v>
      </c>
      <c r="AS6" s="34">
        <f>State_Fossil_All_Mapping_SEDS!AT113/State_Fossil_All_Mapping_SEDS!$BB113</f>
        <v>0</v>
      </c>
      <c r="AT6" s="34">
        <f>State_Fossil_All_Mapping_SEDS!AU113/State_Fossil_All_Mapping_SEDS!$BB113</f>
        <v>0</v>
      </c>
      <c r="AU6" s="34">
        <f>State_Fossil_All_Mapping_SEDS!AV113/State_Fossil_All_Mapping_SEDS!$BB113</f>
        <v>0</v>
      </c>
      <c r="AV6" s="34">
        <f>State_Fossil_All_Mapping_SEDS!AW113/State_Fossil_All_Mapping_SEDS!$BB113</f>
        <v>0.1304347826</v>
      </c>
      <c r="AW6" s="34">
        <f>State_Fossil_All_Mapping_SEDS!AX113/State_Fossil_All_Mapping_SEDS!$BB113</f>
        <v>0</v>
      </c>
      <c r="AX6" s="34">
        <f>State_Fossil_All_Mapping_SEDS!AY113/State_Fossil_All_Mapping_SEDS!$BB113</f>
        <v>0.02818035427</v>
      </c>
      <c r="AY6" s="34">
        <f>State_Fossil_All_Mapping_SEDS!AZ113/State_Fossil_All_Mapping_SEDS!$BB113</f>
        <v>0</v>
      </c>
      <c r="AZ6" s="34">
        <f>State_Fossil_All_Mapping_SEDS!BA113/State_Fossil_All_Mapping_SEDS!$BB113</f>
        <v>0</v>
      </c>
    </row>
    <row r="7" ht="15.75" customHeight="1">
      <c r="A7" s="34">
        <v>6.0</v>
      </c>
      <c r="B7" s="34">
        <f>State_Fossil_All_Mapping_SEDS!C114/State_Fossil_All_Mapping_SEDS!$BB114</f>
        <v>0.2574525745</v>
      </c>
      <c r="C7" s="34">
        <f>State_Fossil_All_Mapping_SEDS!D114/State_Fossil_All_Mapping_SEDS!$BB114</f>
        <v>0</v>
      </c>
      <c r="D7" s="34">
        <f>State_Fossil_All_Mapping_SEDS!E114/State_Fossil_All_Mapping_SEDS!$BB114</f>
        <v>0</v>
      </c>
      <c r="E7" s="34">
        <f>State_Fossil_All_Mapping_SEDS!F114/State_Fossil_All_Mapping_SEDS!$BB114</f>
        <v>0</v>
      </c>
      <c r="F7" s="34">
        <f>State_Fossil_All_Mapping_SEDS!G114/State_Fossil_All_Mapping_SEDS!$BB114</f>
        <v>0</v>
      </c>
      <c r="G7" s="34">
        <f>State_Fossil_All_Mapping_SEDS!H114/State_Fossil_All_Mapping_SEDS!$BB114</f>
        <v>0</v>
      </c>
      <c r="H7" s="34">
        <f>State_Fossil_All_Mapping_SEDS!I114/State_Fossil_All_Mapping_SEDS!$BB114</f>
        <v>0</v>
      </c>
      <c r="I7" s="34">
        <f>State_Fossil_All_Mapping_SEDS!J114/State_Fossil_All_Mapping_SEDS!$BB114</f>
        <v>0</v>
      </c>
      <c r="J7" s="34">
        <f>State_Fossil_All_Mapping_SEDS!K114/State_Fossil_All_Mapping_SEDS!$BB114</f>
        <v>0</v>
      </c>
      <c r="K7" s="34">
        <f>State_Fossil_All_Mapping_SEDS!L114/State_Fossil_All_Mapping_SEDS!$BB114</f>
        <v>0</v>
      </c>
      <c r="L7" s="34">
        <f>State_Fossil_All_Mapping_SEDS!M114/State_Fossil_All_Mapping_SEDS!$BB114</f>
        <v>0</v>
      </c>
      <c r="M7" s="34">
        <f>State_Fossil_All_Mapping_SEDS!N114/State_Fossil_All_Mapping_SEDS!$BB114</f>
        <v>0</v>
      </c>
      <c r="N7" s="34">
        <f>State_Fossil_All_Mapping_SEDS!O114/State_Fossil_All_Mapping_SEDS!$BB114</f>
        <v>0</v>
      </c>
      <c r="O7" s="34">
        <f>State_Fossil_All_Mapping_SEDS!P114/State_Fossil_All_Mapping_SEDS!$BB114</f>
        <v>0</v>
      </c>
      <c r="P7" s="34">
        <f>State_Fossil_All_Mapping_SEDS!Q114/State_Fossil_All_Mapping_SEDS!$BB114</f>
        <v>0</v>
      </c>
      <c r="Q7" s="34">
        <f>State_Fossil_All_Mapping_SEDS!R114/State_Fossil_All_Mapping_SEDS!$BB114</f>
        <v>0</v>
      </c>
      <c r="R7" s="34">
        <f>State_Fossil_All_Mapping_SEDS!S114/State_Fossil_All_Mapping_SEDS!$BB114</f>
        <v>0</v>
      </c>
      <c r="S7" s="34">
        <f>State_Fossil_All_Mapping_SEDS!T114/State_Fossil_All_Mapping_SEDS!$BB114</f>
        <v>0.2357723577</v>
      </c>
      <c r="T7" s="34">
        <f>State_Fossil_All_Mapping_SEDS!U114/State_Fossil_All_Mapping_SEDS!$BB114</f>
        <v>0</v>
      </c>
      <c r="U7" s="34">
        <f>State_Fossil_All_Mapping_SEDS!V114/State_Fossil_All_Mapping_SEDS!$BB114</f>
        <v>0</v>
      </c>
      <c r="V7" s="34">
        <f>State_Fossil_All_Mapping_SEDS!W114/State_Fossil_All_Mapping_SEDS!$BB114</f>
        <v>0</v>
      </c>
      <c r="W7" s="34">
        <f>State_Fossil_All_Mapping_SEDS!X114/State_Fossil_All_Mapping_SEDS!$BB114</f>
        <v>0</v>
      </c>
      <c r="X7" s="34">
        <f>State_Fossil_All_Mapping_SEDS!Y114/State_Fossil_All_Mapping_SEDS!$BB114</f>
        <v>0</v>
      </c>
      <c r="Y7" s="34">
        <f>State_Fossil_All_Mapping_SEDS!Z114/State_Fossil_All_Mapping_SEDS!$BB114</f>
        <v>0</v>
      </c>
      <c r="Z7" s="34">
        <f>State_Fossil_All_Mapping_SEDS!AA114/State_Fossil_All_Mapping_SEDS!$BB114</f>
        <v>0.1463414634</v>
      </c>
      <c r="AA7" s="34">
        <f>State_Fossil_All_Mapping_SEDS!AB114/State_Fossil_All_Mapping_SEDS!$BB114</f>
        <v>0</v>
      </c>
      <c r="AB7" s="34">
        <f>State_Fossil_All_Mapping_SEDS!AC114/State_Fossil_All_Mapping_SEDS!$BB114</f>
        <v>0</v>
      </c>
      <c r="AC7" s="34">
        <f>State_Fossil_All_Mapping_SEDS!AD114/State_Fossil_All_Mapping_SEDS!$BB114</f>
        <v>0</v>
      </c>
      <c r="AD7" s="34">
        <f>State_Fossil_All_Mapping_SEDS!AE114/State_Fossil_All_Mapping_SEDS!$BB114</f>
        <v>0</v>
      </c>
      <c r="AE7" s="34">
        <f>State_Fossil_All_Mapping_SEDS!AF114/State_Fossil_All_Mapping_SEDS!$BB114</f>
        <v>0</v>
      </c>
      <c r="AF7" s="34">
        <f>State_Fossil_All_Mapping_SEDS!AG114/State_Fossil_All_Mapping_SEDS!$BB114</f>
        <v>0</v>
      </c>
      <c r="AG7" s="34">
        <f>State_Fossil_All_Mapping_SEDS!AH114/State_Fossil_All_Mapping_SEDS!$BB114</f>
        <v>0</v>
      </c>
      <c r="AH7" s="34">
        <f>State_Fossil_All_Mapping_SEDS!AI114/State_Fossil_All_Mapping_SEDS!$BB114</f>
        <v>0</v>
      </c>
      <c r="AI7" s="34">
        <f>State_Fossil_All_Mapping_SEDS!AJ114/State_Fossil_All_Mapping_SEDS!$BB114</f>
        <v>0</v>
      </c>
      <c r="AJ7" s="34">
        <f>State_Fossil_All_Mapping_SEDS!AK114/State_Fossil_All_Mapping_SEDS!$BB114</f>
        <v>0</v>
      </c>
      <c r="AK7" s="34">
        <f>State_Fossil_All_Mapping_SEDS!AL114/State_Fossil_All_Mapping_SEDS!$BB114</f>
        <v>0</v>
      </c>
      <c r="AL7" s="34">
        <f>State_Fossil_All_Mapping_SEDS!AM114/State_Fossil_All_Mapping_SEDS!$BB114</f>
        <v>0</v>
      </c>
      <c r="AM7" s="34">
        <f>State_Fossil_All_Mapping_SEDS!AN114/State_Fossil_All_Mapping_SEDS!$BB114</f>
        <v>0</v>
      </c>
      <c r="AN7" s="34">
        <f>State_Fossil_All_Mapping_SEDS!AO114/State_Fossil_All_Mapping_SEDS!$BB114</f>
        <v>0</v>
      </c>
      <c r="AO7" s="34">
        <f>State_Fossil_All_Mapping_SEDS!AP114/State_Fossil_All_Mapping_SEDS!$BB114</f>
        <v>0</v>
      </c>
      <c r="AP7" s="34">
        <f>State_Fossil_All_Mapping_SEDS!AQ114/State_Fossil_All_Mapping_SEDS!$BB114</f>
        <v>0</v>
      </c>
      <c r="AQ7" s="34">
        <f>State_Fossil_All_Mapping_SEDS!AR114/State_Fossil_All_Mapping_SEDS!$BB114</f>
        <v>0</v>
      </c>
      <c r="AR7" s="34">
        <f>State_Fossil_All_Mapping_SEDS!AS114/State_Fossil_All_Mapping_SEDS!$BB114</f>
        <v>0.3604336043</v>
      </c>
      <c r="AS7" s="34">
        <f>State_Fossil_All_Mapping_SEDS!AT114/State_Fossil_All_Mapping_SEDS!$BB114</f>
        <v>0</v>
      </c>
      <c r="AT7" s="34">
        <f>State_Fossil_All_Mapping_SEDS!AU114/State_Fossil_All_Mapping_SEDS!$BB114</f>
        <v>0</v>
      </c>
      <c r="AU7" s="34">
        <f>State_Fossil_All_Mapping_SEDS!AV114/State_Fossil_All_Mapping_SEDS!$BB114</f>
        <v>0</v>
      </c>
      <c r="AV7" s="34">
        <f>State_Fossil_All_Mapping_SEDS!AW114/State_Fossil_All_Mapping_SEDS!$BB114</f>
        <v>0</v>
      </c>
      <c r="AW7" s="34">
        <f>State_Fossil_All_Mapping_SEDS!AX114/State_Fossil_All_Mapping_SEDS!$BB114</f>
        <v>0</v>
      </c>
      <c r="AX7" s="34">
        <f>State_Fossil_All_Mapping_SEDS!AY114/State_Fossil_All_Mapping_SEDS!$BB114</f>
        <v>0</v>
      </c>
      <c r="AY7" s="34">
        <f>State_Fossil_All_Mapping_SEDS!AZ114/State_Fossil_All_Mapping_SEDS!$BB114</f>
        <v>0</v>
      </c>
      <c r="AZ7" s="34">
        <f>State_Fossil_All_Mapping_SEDS!BA114/State_Fossil_All_Mapping_SEDS!$BB114</f>
        <v>0</v>
      </c>
    </row>
    <row r="8" ht="15.75" customHeight="1">
      <c r="A8" s="34">
        <v>7.0</v>
      </c>
      <c r="B8" s="34">
        <f>State_Fossil_All_Mapping_SEDS!C115/State_Fossil_All_Mapping_SEDS!$BB115</f>
        <v>0</v>
      </c>
      <c r="C8" s="34">
        <f>State_Fossil_All_Mapping_SEDS!D115/State_Fossil_All_Mapping_SEDS!$BB115</f>
        <v>0</v>
      </c>
      <c r="D8" s="34">
        <f>State_Fossil_All_Mapping_SEDS!E115/State_Fossil_All_Mapping_SEDS!$BB115</f>
        <v>0</v>
      </c>
      <c r="E8" s="34">
        <f>State_Fossil_All_Mapping_SEDS!F115/State_Fossil_All_Mapping_SEDS!$BB115</f>
        <v>0.0779753762</v>
      </c>
      <c r="F8" s="34">
        <f>State_Fossil_All_Mapping_SEDS!G115/State_Fossil_All_Mapping_SEDS!$BB115</f>
        <v>0</v>
      </c>
      <c r="G8" s="34">
        <f>State_Fossil_All_Mapping_SEDS!H115/State_Fossil_All_Mapping_SEDS!$BB115</f>
        <v>0</v>
      </c>
      <c r="H8" s="34">
        <f>State_Fossil_All_Mapping_SEDS!I115/State_Fossil_All_Mapping_SEDS!$BB115</f>
        <v>0</v>
      </c>
      <c r="I8" s="34">
        <f>State_Fossil_All_Mapping_SEDS!J115/State_Fossil_All_Mapping_SEDS!$BB115</f>
        <v>0</v>
      </c>
      <c r="J8" s="34">
        <f>State_Fossil_All_Mapping_SEDS!K115/State_Fossil_All_Mapping_SEDS!$BB115</f>
        <v>0</v>
      </c>
      <c r="K8" s="34">
        <f>State_Fossil_All_Mapping_SEDS!L115/State_Fossil_All_Mapping_SEDS!$BB115</f>
        <v>0</v>
      </c>
      <c r="L8" s="34">
        <f>State_Fossil_All_Mapping_SEDS!M115/State_Fossil_All_Mapping_SEDS!$BB115</f>
        <v>0</v>
      </c>
      <c r="M8" s="34">
        <f>State_Fossil_All_Mapping_SEDS!N115/State_Fossil_All_Mapping_SEDS!$BB115</f>
        <v>0</v>
      </c>
      <c r="N8" s="34">
        <f>State_Fossil_All_Mapping_SEDS!O115/State_Fossil_All_Mapping_SEDS!$BB115</f>
        <v>0</v>
      </c>
      <c r="O8" s="34">
        <f>State_Fossil_All_Mapping_SEDS!P115/State_Fossil_All_Mapping_SEDS!$BB115</f>
        <v>0</v>
      </c>
      <c r="P8" s="34">
        <f>State_Fossil_All_Mapping_SEDS!Q115/State_Fossil_All_Mapping_SEDS!$BB115</f>
        <v>0</v>
      </c>
      <c r="Q8" s="34">
        <f>State_Fossil_All_Mapping_SEDS!R115/State_Fossil_All_Mapping_SEDS!$BB115</f>
        <v>0</v>
      </c>
      <c r="R8" s="34">
        <f>State_Fossil_All_Mapping_SEDS!S115/State_Fossil_All_Mapping_SEDS!$BB115</f>
        <v>0</v>
      </c>
      <c r="S8" s="34">
        <f>State_Fossil_All_Mapping_SEDS!T115/State_Fossil_All_Mapping_SEDS!$BB115</f>
        <v>0</v>
      </c>
      <c r="T8" s="34">
        <f>State_Fossil_All_Mapping_SEDS!U115/State_Fossil_All_Mapping_SEDS!$BB115</f>
        <v>0.1183310534</v>
      </c>
      <c r="U8" s="34">
        <f>State_Fossil_All_Mapping_SEDS!V115/State_Fossil_All_Mapping_SEDS!$BB115</f>
        <v>0</v>
      </c>
      <c r="V8" s="34">
        <f>State_Fossil_All_Mapping_SEDS!W115/State_Fossil_All_Mapping_SEDS!$BB115</f>
        <v>0</v>
      </c>
      <c r="W8" s="34">
        <f>State_Fossil_All_Mapping_SEDS!X115/State_Fossil_All_Mapping_SEDS!$BB115</f>
        <v>0</v>
      </c>
      <c r="X8" s="34">
        <f>State_Fossil_All_Mapping_SEDS!Y115/State_Fossil_All_Mapping_SEDS!$BB115</f>
        <v>0</v>
      </c>
      <c r="Y8" s="34">
        <f>State_Fossil_All_Mapping_SEDS!Z115/State_Fossil_All_Mapping_SEDS!$BB115</f>
        <v>0</v>
      </c>
      <c r="Z8" s="34">
        <f>State_Fossil_All_Mapping_SEDS!AA115/State_Fossil_All_Mapping_SEDS!$BB115</f>
        <v>0</v>
      </c>
      <c r="AA8" s="34">
        <f>State_Fossil_All_Mapping_SEDS!AB115/State_Fossil_All_Mapping_SEDS!$BB115</f>
        <v>0</v>
      </c>
      <c r="AB8" s="34">
        <f>State_Fossil_All_Mapping_SEDS!AC115/State_Fossil_All_Mapping_SEDS!$BB115</f>
        <v>0</v>
      </c>
      <c r="AC8" s="34">
        <f>State_Fossil_All_Mapping_SEDS!AD115/State_Fossil_All_Mapping_SEDS!$BB115</f>
        <v>0</v>
      </c>
      <c r="AD8" s="34">
        <f>State_Fossil_All_Mapping_SEDS!AE115/State_Fossil_All_Mapping_SEDS!$BB115</f>
        <v>0</v>
      </c>
      <c r="AE8" s="34">
        <f>State_Fossil_All_Mapping_SEDS!AF115/State_Fossil_All_Mapping_SEDS!$BB115</f>
        <v>0</v>
      </c>
      <c r="AF8" s="34">
        <f>State_Fossil_All_Mapping_SEDS!AG115/State_Fossil_All_Mapping_SEDS!$BB115</f>
        <v>0</v>
      </c>
      <c r="AG8" s="34">
        <f>State_Fossil_All_Mapping_SEDS!AH115/State_Fossil_All_Mapping_SEDS!$BB115</f>
        <v>0</v>
      </c>
      <c r="AH8" s="34">
        <f>State_Fossil_All_Mapping_SEDS!AI115/State_Fossil_All_Mapping_SEDS!$BB115</f>
        <v>0</v>
      </c>
      <c r="AI8" s="34">
        <f>State_Fossil_All_Mapping_SEDS!AJ115/State_Fossil_All_Mapping_SEDS!$BB115</f>
        <v>0</v>
      </c>
      <c r="AJ8" s="34">
        <f>State_Fossil_All_Mapping_SEDS!AK115/State_Fossil_All_Mapping_SEDS!$BB115</f>
        <v>0</v>
      </c>
      <c r="AK8" s="34">
        <f>State_Fossil_All_Mapping_SEDS!AL115/State_Fossil_All_Mapping_SEDS!$BB115</f>
        <v>0</v>
      </c>
      <c r="AL8" s="34">
        <f>State_Fossil_All_Mapping_SEDS!AM115/State_Fossil_All_Mapping_SEDS!$BB115</f>
        <v>0.1019151847</v>
      </c>
      <c r="AM8" s="34">
        <f>State_Fossil_All_Mapping_SEDS!AN115/State_Fossil_All_Mapping_SEDS!$BB115</f>
        <v>0</v>
      </c>
      <c r="AN8" s="34">
        <f>State_Fossil_All_Mapping_SEDS!AO115/State_Fossil_All_Mapping_SEDS!$BB115</f>
        <v>0</v>
      </c>
      <c r="AO8" s="34">
        <f>State_Fossil_All_Mapping_SEDS!AP115/State_Fossil_All_Mapping_SEDS!$BB115</f>
        <v>0</v>
      </c>
      <c r="AP8" s="34">
        <f>State_Fossil_All_Mapping_SEDS!AQ115/State_Fossil_All_Mapping_SEDS!$BB115</f>
        <v>0</v>
      </c>
      <c r="AQ8" s="34">
        <f>State_Fossil_All_Mapping_SEDS!AR115/State_Fossil_All_Mapping_SEDS!$BB115</f>
        <v>0</v>
      </c>
      <c r="AR8" s="34">
        <f>State_Fossil_All_Mapping_SEDS!AS115/State_Fossil_All_Mapping_SEDS!$BB115</f>
        <v>0</v>
      </c>
      <c r="AS8" s="34">
        <f>State_Fossil_All_Mapping_SEDS!AT115/State_Fossil_All_Mapping_SEDS!$BB115</f>
        <v>0.7017783858</v>
      </c>
      <c r="AT8" s="34">
        <f>State_Fossil_All_Mapping_SEDS!AU115/State_Fossil_All_Mapping_SEDS!$BB115</f>
        <v>0</v>
      </c>
      <c r="AU8" s="34">
        <f>State_Fossil_All_Mapping_SEDS!AV115/State_Fossil_All_Mapping_SEDS!$BB115</f>
        <v>0</v>
      </c>
      <c r="AV8" s="34">
        <f>State_Fossil_All_Mapping_SEDS!AW115/State_Fossil_All_Mapping_SEDS!$BB115</f>
        <v>0</v>
      </c>
      <c r="AW8" s="34">
        <f>State_Fossil_All_Mapping_SEDS!AX115/State_Fossil_All_Mapping_SEDS!$BB115</f>
        <v>0</v>
      </c>
      <c r="AX8" s="34">
        <f>State_Fossil_All_Mapping_SEDS!AY115/State_Fossil_All_Mapping_SEDS!$BB115</f>
        <v>0</v>
      </c>
      <c r="AY8" s="34">
        <f>State_Fossil_All_Mapping_SEDS!AZ115/State_Fossil_All_Mapping_SEDS!$BB115</f>
        <v>0</v>
      </c>
      <c r="AZ8" s="34">
        <f>State_Fossil_All_Mapping_SEDS!BA115/State_Fossil_All_Mapping_SEDS!$BB115</f>
        <v>0</v>
      </c>
    </row>
    <row r="9" ht="15.75" customHeight="1">
      <c r="A9" s="34">
        <v>8.0</v>
      </c>
      <c r="B9" s="34">
        <f>State_Fossil_All_Mapping_SEDS!C116/State_Fossil_All_Mapping_SEDS!$BB116</f>
        <v>0</v>
      </c>
      <c r="C9" s="34">
        <f>State_Fossil_All_Mapping_SEDS!D116/State_Fossil_All_Mapping_SEDS!$BB116</f>
        <v>0</v>
      </c>
      <c r="D9" s="34">
        <f>State_Fossil_All_Mapping_SEDS!E116/State_Fossil_All_Mapping_SEDS!$BB116</f>
        <v>0.2903575298</v>
      </c>
      <c r="E9" s="34">
        <f>State_Fossil_All_Mapping_SEDS!F116/State_Fossil_All_Mapping_SEDS!$BB116</f>
        <v>0</v>
      </c>
      <c r="F9" s="34">
        <f>State_Fossil_All_Mapping_SEDS!G116/State_Fossil_All_Mapping_SEDS!$BB116</f>
        <v>0</v>
      </c>
      <c r="G9" s="34">
        <f>State_Fossil_All_Mapping_SEDS!H116/State_Fossil_All_Mapping_SEDS!$BB116</f>
        <v>0.2448537378</v>
      </c>
      <c r="H9" s="34">
        <f>State_Fossil_All_Mapping_SEDS!I116/State_Fossil_All_Mapping_SEDS!$BB116</f>
        <v>0</v>
      </c>
      <c r="I9" s="34">
        <f>State_Fossil_All_Mapping_SEDS!J116/State_Fossil_All_Mapping_SEDS!$BB116</f>
        <v>0</v>
      </c>
      <c r="J9" s="34">
        <f>State_Fossil_All_Mapping_SEDS!K116/State_Fossil_All_Mapping_SEDS!$BB116</f>
        <v>0</v>
      </c>
      <c r="K9" s="34">
        <f>State_Fossil_All_Mapping_SEDS!L116/State_Fossil_All_Mapping_SEDS!$BB116</f>
        <v>0</v>
      </c>
      <c r="L9" s="34">
        <f>State_Fossil_All_Mapping_SEDS!M116/State_Fossil_All_Mapping_SEDS!$BB116</f>
        <v>0</v>
      </c>
      <c r="M9" s="34">
        <f>State_Fossil_All_Mapping_SEDS!N116/State_Fossil_All_Mapping_SEDS!$BB116</f>
        <v>0</v>
      </c>
      <c r="N9" s="34">
        <f>State_Fossil_All_Mapping_SEDS!O116/State_Fossil_All_Mapping_SEDS!$BB116</f>
        <v>0.07150595883</v>
      </c>
      <c r="O9" s="34">
        <f>State_Fossil_All_Mapping_SEDS!P116/State_Fossil_All_Mapping_SEDS!$BB116</f>
        <v>0</v>
      </c>
      <c r="P9" s="34">
        <f>State_Fossil_All_Mapping_SEDS!Q116/State_Fossil_All_Mapping_SEDS!$BB116</f>
        <v>0</v>
      </c>
      <c r="Q9" s="34">
        <f>State_Fossil_All_Mapping_SEDS!R116/State_Fossil_All_Mapping_SEDS!$BB116</f>
        <v>0</v>
      </c>
      <c r="R9" s="34">
        <f>State_Fossil_All_Mapping_SEDS!S116/State_Fossil_All_Mapping_SEDS!$BB116</f>
        <v>0</v>
      </c>
      <c r="S9" s="34">
        <f>State_Fossil_All_Mapping_SEDS!T116/State_Fossil_All_Mapping_SEDS!$BB116</f>
        <v>0</v>
      </c>
      <c r="T9" s="34">
        <f>State_Fossil_All_Mapping_SEDS!U116/State_Fossil_All_Mapping_SEDS!$BB116</f>
        <v>0</v>
      </c>
      <c r="U9" s="34">
        <f>State_Fossil_All_Mapping_SEDS!V116/State_Fossil_All_Mapping_SEDS!$BB116</f>
        <v>0</v>
      </c>
      <c r="V9" s="34">
        <f>State_Fossil_All_Mapping_SEDS!W116/State_Fossil_All_Mapping_SEDS!$BB116</f>
        <v>0</v>
      </c>
      <c r="W9" s="34">
        <f>State_Fossil_All_Mapping_SEDS!X116/State_Fossil_All_Mapping_SEDS!$BB116</f>
        <v>0</v>
      </c>
      <c r="X9" s="34">
        <f>State_Fossil_All_Mapping_SEDS!Y116/State_Fossil_All_Mapping_SEDS!$BB116</f>
        <v>0</v>
      </c>
      <c r="Y9" s="34">
        <f>State_Fossil_All_Mapping_SEDS!Z116/State_Fossil_All_Mapping_SEDS!$BB116</f>
        <v>0</v>
      </c>
      <c r="Z9" s="34">
        <f>State_Fossil_All_Mapping_SEDS!AA116/State_Fossil_All_Mapping_SEDS!$BB116</f>
        <v>0</v>
      </c>
      <c r="AA9" s="34">
        <f>State_Fossil_All_Mapping_SEDS!AB116/State_Fossil_All_Mapping_SEDS!$BB116</f>
        <v>0</v>
      </c>
      <c r="AB9" s="34">
        <f>State_Fossil_All_Mapping_SEDS!AC116/State_Fossil_All_Mapping_SEDS!$BB116</f>
        <v>0.0465872156</v>
      </c>
      <c r="AC9" s="34">
        <f>State_Fossil_All_Mapping_SEDS!AD116/State_Fossil_All_Mapping_SEDS!$BB116</f>
        <v>0</v>
      </c>
      <c r="AD9" s="34">
        <f>State_Fossil_All_Mapping_SEDS!AE116/State_Fossil_All_Mapping_SEDS!$BB116</f>
        <v>0.1235102925</v>
      </c>
      <c r="AE9" s="34">
        <f>State_Fossil_All_Mapping_SEDS!AF116/State_Fossil_All_Mapping_SEDS!$BB116</f>
        <v>0</v>
      </c>
      <c r="AF9" s="34">
        <f>State_Fossil_All_Mapping_SEDS!AG116/State_Fossil_All_Mapping_SEDS!$BB116</f>
        <v>0</v>
      </c>
      <c r="AG9" s="34">
        <f>State_Fossil_All_Mapping_SEDS!AH116/State_Fossil_All_Mapping_SEDS!$BB116</f>
        <v>0.08559046587</v>
      </c>
      <c r="AH9" s="34">
        <f>State_Fossil_All_Mapping_SEDS!AI116/State_Fossil_All_Mapping_SEDS!$BB116</f>
        <v>0</v>
      </c>
      <c r="AI9" s="34">
        <f>State_Fossil_All_Mapping_SEDS!AJ116/State_Fossil_All_Mapping_SEDS!$BB116</f>
        <v>0</v>
      </c>
      <c r="AJ9" s="34">
        <f>State_Fossil_All_Mapping_SEDS!AK116/State_Fossil_All_Mapping_SEDS!$BB116</f>
        <v>0</v>
      </c>
      <c r="AK9" s="34">
        <f>State_Fossil_All_Mapping_SEDS!AL116/State_Fossil_All_Mapping_SEDS!$BB116</f>
        <v>0</v>
      </c>
      <c r="AL9" s="34">
        <f>State_Fossil_All_Mapping_SEDS!AM116/State_Fossil_All_Mapping_SEDS!$BB116</f>
        <v>0</v>
      </c>
      <c r="AM9" s="34">
        <f>State_Fossil_All_Mapping_SEDS!AN116/State_Fossil_All_Mapping_SEDS!$BB116</f>
        <v>0</v>
      </c>
      <c r="AN9" s="34">
        <f>State_Fossil_All_Mapping_SEDS!AO116/State_Fossil_All_Mapping_SEDS!$BB116</f>
        <v>0</v>
      </c>
      <c r="AO9" s="34">
        <f>State_Fossil_All_Mapping_SEDS!AP116/State_Fossil_All_Mapping_SEDS!$BB116</f>
        <v>0</v>
      </c>
      <c r="AP9" s="34">
        <f>State_Fossil_All_Mapping_SEDS!AQ116/State_Fossil_All_Mapping_SEDS!$BB116</f>
        <v>0</v>
      </c>
      <c r="AQ9" s="34">
        <f>State_Fossil_All_Mapping_SEDS!AR116/State_Fossil_All_Mapping_SEDS!$BB116</f>
        <v>0</v>
      </c>
      <c r="AR9" s="34">
        <f>State_Fossil_All_Mapping_SEDS!AS116/State_Fossil_All_Mapping_SEDS!$BB116</f>
        <v>0</v>
      </c>
      <c r="AS9" s="34">
        <f>State_Fossil_All_Mapping_SEDS!AT116/State_Fossil_All_Mapping_SEDS!$BB116</f>
        <v>0</v>
      </c>
      <c r="AT9" s="34">
        <f>State_Fossil_All_Mapping_SEDS!AU116/State_Fossil_All_Mapping_SEDS!$BB116</f>
        <v>0.1126760563</v>
      </c>
      <c r="AU9" s="34">
        <f>State_Fossil_All_Mapping_SEDS!AV116/State_Fossil_All_Mapping_SEDS!$BB116</f>
        <v>0</v>
      </c>
      <c r="AV9" s="34">
        <f>State_Fossil_All_Mapping_SEDS!AW116/State_Fossil_All_Mapping_SEDS!$BB116</f>
        <v>0</v>
      </c>
      <c r="AW9" s="34">
        <f>State_Fossil_All_Mapping_SEDS!AX116/State_Fossil_All_Mapping_SEDS!$BB116</f>
        <v>0</v>
      </c>
      <c r="AX9" s="34">
        <f>State_Fossil_All_Mapping_SEDS!AY116/State_Fossil_All_Mapping_SEDS!$BB116</f>
        <v>0</v>
      </c>
      <c r="AY9" s="34">
        <f>State_Fossil_All_Mapping_SEDS!AZ116/State_Fossil_All_Mapping_SEDS!$BB116</f>
        <v>0</v>
      </c>
      <c r="AZ9" s="34">
        <f>State_Fossil_All_Mapping_SEDS!BA116/State_Fossil_All_Mapping_SEDS!$BB116</f>
        <v>0.02491874323</v>
      </c>
    </row>
    <row r="10" ht="15.75" customHeight="1">
      <c r="A10" s="34">
        <v>9.0</v>
      </c>
      <c r="B10" s="34">
        <f>State_Fossil_All_Mapping_SEDS!C117/State_Fossil_All_Mapping_SEDS!$BB117</f>
        <v>0</v>
      </c>
      <c r="C10" s="34">
        <f>State_Fossil_All_Mapping_SEDS!D117/State_Fossil_All_Mapping_SEDS!$BB117</f>
        <v>0.01405405405</v>
      </c>
      <c r="D10" s="34">
        <f>State_Fossil_All_Mapping_SEDS!E117/State_Fossil_All_Mapping_SEDS!$BB117</f>
        <v>0</v>
      </c>
      <c r="E10" s="34">
        <f>State_Fossil_All_Mapping_SEDS!F117/State_Fossil_All_Mapping_SEDS!$BB117</f>
        <v>0</v>
      </c>
      <c r="F10" s="34">
        <f>State_Fossil_All_Mapping_SEDS!G117/State_Fossil_All_Mapping_SEDS!$BB117</f>
        <v>0.7124324324</v>
      </c>
      <c r="G10" s="34">
        <f>State_Fossil_All_Mapping_SEDS!H117/State_Fossil_All_Mapping_SEDS!$BB117</f>
        <v>0</v>
      </c>
      <c r="H10" s="34">
        <f>State_Fossil_All_Mapping_SEDS!I117/State_Fossil_All_Mapping_SEDS!$BB117</f>
        <v>0</v>
      </c>
      <c r="I10" s="34">
        <f>State_Fossil_All_Mapping_SEDS!J117/State_Fossil_All_Mapping_SEDS!$BB117</f>
        <v>0</v>
      </c>
      <c r="J10" s="34">
        <f>State_Fossil_All_Mapping_SEDS!K117/State_Fossil_All_Mapping_SEDS!$BB117</f>
        <v>0</v>
      </c>
      <c r="K10" s="34">
        <f>State_Fossil_All_Mapping_SEDS!L117/State_Fossil_All_Mapping_SEDS!$BB117</f>
        <v>0</v>
      </c>
      <c r="L10" s="34">
        <f>State_Fossil_All_Mapping_SEDS!M117/State_Fossil_All_Mapping_SEDS!$BB117</f>
        <v>0</v>
      </c>
      <c r="M10" s="34">
        <f>State_Fossil_All_Mapping_SEDS!N117/State_Fossil_All_Mapping_SEDS!$BB117</f>
        <v>0.02540540541</v>
      </c>
      <c r="N10" s="34">
        <f>State_Fossil_All_Mapping_SEDS!O117/State_Fossil_All_Mapping_SEDS!$BB117</f>
        <v>0</v>
      </c>
      <c r="O10" s="34">
        <f>State_Fossil_All_Mapping_SEDS!P117/State_Fossil_All_Mapping_SEDS!$BB117</f>
        <v>0</v>
      </c>
      <c r="P10" s="34">
        <f>State_Fossil_All_Mapping_SEDS!Q117/State_Fossil_All_Mapping_SEDS!$BB117</f>
        <v>0</v>
      </c>
      <c r="Q10" s="34">
        <f>State_Fossil_All_Mapping_SEDS!R117/State_Fossil_All_Mapping_SEDS!$BB117</f>
        <v>0</v>
      </c>
      <c r="R10" s="34">
        <f>State_Fossil_All_Mapping_SEDS!S117/State_Fossil_All_Mapping_SEDS!$BB117</f>
        <v>0</v>
      </c>
      <c r="S10" s="34">
        <f>State_Fossil_All_Mapping_SEDS!T117/State_Fossil_All_Mapping_SEDS!$BB117</f>
        <v>0</v>
      </c>
      <c r="T10" s="34">
        <f>State_Fossil_All_Mapping_SEDS!U117/State_Fossil_All_Mapping_SEDS!$BB117</f>
        <v>0</v>
      </c>
      <c r="U10" s="34">
        <f>State_Fossil_All_Mapping_SEDS!V117/State_Fossil_All_Mapping_SEDS!$BB117</f>
        <v>0</v>
      </c>
      <c r="V10" s="34">
        <f>State_Fossil_All_Mapping_SEDS!W117/State_Fossil_All_Mapping_SEDS!$BB117</f>
        <v>0</v>
      </c>
      <c r="W10" s="34">
        <f>State_Fossil_All_Mapping_SEDS!X117/State_Fossil_All_Mapping_SEDS!$BB117</f>
        <v>0</v>
      </c>
      <c r="X10" s="34">
        <f>State_Fossil_All_Mapping_SEDS!Y117/State_Fossil_All_Mapping_SEDS!$BB117</f>
        <v>0</v>
      </c>
      <c r="Y10" s="34">
        <f>State_Fossil_All_Mapping_SEDS!Z117/State_Fossil_All_Mapping_SEDS!$BB117</f>
        <v>0</v>
      </c>
      <c r="Z10" s="34">
        <f>State_Fossil_All_Mapping_SEDS!AA117/State_Fossil_All_Mapping_SEDS!$BB117</f>
        <v>0</v>
      </c>
      <c r="AA10" s="34">
        <f>State_Fossil_All_Mapping_SEDS!AB117/State_Fossil_All_Mapping_SEDS!$BB117</f>
        <v>0</v>
      </c>
      <c r="AB10" s="34">
        <f>State_Fossil_All_Mapping_SEDS!AC117/State_Fossil_All_Mapping_SEDS!$BB117</f>
        <v>0</v>
      </c>
      <c r="AC10" s="34">
        <f>State_Fossil_All_Mapping_SEDS!AD117/State_Fossil_All_Mapping_SEDS!$BB117</f>
        <v>0</v>
      </c>
      <c r="AD10" s="34">
        <f>State_Fossil_All_Mapping_SEDS!AE117/State_Fossil_All_Mapping_SEDS!$BB117</f>
        <v>0</v>
      </c>
      <c r="AE10" s="34">
        <f>State_Fossil_All_Mapping_SEDS!AF117/State_Fossil_All_Mapping_SEDS!$BB117</f>
        <v>0</v>
      </c>
      <c r="AF10" s="34">
        <f>State_Fossil_All_Mapping_SEDS!AG117/State_Fossil_All_Mapping_SEDS!$BB117</f>
        <v>0</v>
      </c>
      <c r="AG10" s="34">
        <f>State_Fossil_All_Mapping_SEDS!AH117/State_Fossil_All_Mapping_SEDS!$BB117</f>
        <v>0</v>
      </c>
      <c r="AH10" s="34">
        <f>State_Fossil_All_Mapping_SEDS!AI117/State_Fossil_All_Mapping_SEDS!$BB117</f>
        <v>0</v>
      </c>
      <c r="AI10" s="34">
        <f>State_Fossil_All_Mapping_SEDS!AJ117/State_Fossil_All_Mapping_SEDS!$BB117</f>
        <v>0</v>
      </c>
      <c r="AJ10" s="34">
        <f>State_Fossil_All_Mapping_SEDS!AK117/State_Fossil_All_Mapping_SEDS!$BB117</f>
        <v>0</v>
      </c>
      <c r="AK10" s="34">
        <f>State_Fossil_All_Mapping_SEDS!AL117/State_Fossil_All_Mapping_SEDS!$BB117</f>
        <v>0</v>
      </c>
      <c r="AL10" s="34">
        <f>State_Fossil_All_Mapping_SEDS!AM117/State_Fossil_All_Mapping_SEDS!$BB117</f>
        <v>0</v>
      </c>
      <c r="AM10" s="34">
        <f>State_Fossil_All_Mapping_SEDS!AN117/State_Fossil_All_Mapping_SEDS!$BB117</f>
        <v>0.08918918919</v>
      </c>
      <c r="AN10" s="34">
        <f>State_Fossil_All_Mapping_SEDS!AO117/State_Fossil_All_Mapping_SEDS!$BB117</f>
        <v>0</v>
      </c>
      <c r="AO10" s="34">
        <f>State_Fossil_All_Mapping_SEDS!AP117/State_Fossil_All_Mapping_SEDS!$BB117</f>
        <v>0</v>
      </c>
      <c r="AP10" s="34">
        <f>State_Fossil_All_Mapping_SEDS!AQ117/State_Fossil_All_Mapping_SEDS!$BB117</f>
        <v>0</v>
      </c>
      <c r="AQ10" s="34">
        <f>State_Fossil_All_Mapping_SEDS!AR117/State_Fossil_All_Mapping_SEDS!$BB117</f>
        <v>0</v>
      </c>
      <c r="AR10" s="34">
        <f>State_Fossil_All_Mapping_SEDS!AS117/State_Fossil_All_Mapping_SEDS!$BB117</f>
        <v>0</v>
      </c>
      <c r="AS10" s="34">
        <f>State_Fossil_All_Mapping_SEDS!AT117/State_Fossil_All_Mapping_SEDS!$BB117</f>
        <v>0</v>
      </c>
      <c r="AT10" s="34">
        <f>State_Fossil_All_Mapping_SEDS!AU117/State_Fossil_All_Mapping_SEDS!$BB117</f>
        <v>0</v>
      </c>
      <c r="AU10" s="34">
        <f>State_Fossil_All_Mapping_SEDS!AV117/State_Fossil_All_Mapping_SEDS!$BB117</f>
        <v>0</v>
      </c>
      <c r="AV10" s="34">
        <f>State_Fossil_All_Mapping_SEDS!AW117/State_Fossil_All_Mapping_SEDS!$BB117</f>
        <v>0</v>
      </c>
      <c r="AW10" s="34">
        <f>State_Fossil_All_Mapping_SEDS!AX117/State_Fossil_All_Mapping_SEDS!$BB117</f>
        <v>0.1589189189</v>
      </c>
      <c r="AX10" s="34">
        <f>State_Fossil_All_Mapping_SEDS!AY117/State_Fossil_All_Mapping_SEDS!$BB117</f>
        <v>0</v>
      </c>
      <c r="AY10" s="34">
        <f>State_Fossil_All_Mapping_SEDS!AZ117/State_Fossil_All_Mapping_SEDS!$BB117</f>
        <v>0</v>
      </c>
      <c r="AZ10" s="34">
        <f>State_Fossil_All_Mapping_SEDS!BA117/State_Fossil_All_Mapping_SEDS!$BB117</f>
        <v>0</v>
      </c>
    </row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45" t="s">
        <v>94</v>
      </c>
      <c r="B1" s="45" t="s">
        <v>1994</v>
      </c>
      <c r="C1" s="45" t="s">
        <v>2062</v>
      </c>
      <c r="D1" s="45" t="s">
        <v>2063</v>
      </c>
      <c r="E1" s="45" t="s">
        <v>2079</v>
      </c>
      <c r="F1" s="45" t="s">
        <v>2137</v>
      </c>
      <c r="G1" s="45" t="s">
        <v>2194</v>
      </c>
      <c r="H1" s="45" t="s">
        <v>2250</v>
      </c>
      <c r="I1" s="45" t="s">
        <v>2259</v>
      </c>
      <c r="J1" s="45" t="s">
        <v>2263</v>
      </c>
      <c r="K1" s="45" t="s">
        <v>2264</v>
      </c>
      <c r="L1" s="45" t="s">
        <v>2314</v>
      </c>
      <c r="M1" s="45" t="s">
        <v>2423</v>
      </c>
      <c r="N1" s="45" t="s">
        <v>2424</v>
      </c>
      <c r="O1" s="45" t="s">
        <v>2458</v>
      </c>
      <c r="P1" s="45" t="s">
        <v>2513</v>
      </c>
      <c r="Q1" s="45" t="s">
        <v>2555</v>
      </c>
      <c r="R1" s="45" t="s">
        <v>2601</v>
      </c>
      <c r="S1" s="45" t="s">
        <v>2669</v>
      </c>
      <c r="T1" s="45" t="s">
        <v>2725</v>
      </c>
      <c r="U1" s="45" t="s">
        <v>2790</v>
      </c>
      <c r="V1" s="45" t="s">
        <v>2801</v>
      </c>
      <c r="W1" s="45" t="s">
        <v>2819</v>
      </c>
      <c r="X1" s="45" t="s">
        <v>2830</v>
      </c>
      <c r="Y1" s="45" t="s">
        <v>2893</v>
      </c>
      <c r="Z1" s="45" t="s">
        <v>2955</v>
      </c>
      <c r="AA1" s="45" t="s">
        <v>2992</v>
      </c>
      <c r="AB1" s="45" t="s">
        <v>3034</v>
      </c>
      <c r="AC1" s="45" t="s">
        <v>3071</v>
      </c>
      <c r="AD1" s="45" t="s">
        <v>3112</v>
      </c>
      <c r="AE1" s="45" t="s">
        <v>3123</v>
      </c>
      <c r="AF1" s="45" t="s">
        <v>3131</v>
      </c>
      <c r="AG1" s="45" t="s">
        <v>3143</v>
      </c>
      <c r="AH1" s="45" t="s">
        <v>3168</v>
      </c>
      <c r="AI1" s="45" t="s">
        <v>3200</v>
      </c>
      <c r="AJ1" s="45" t="s">
        <v>3265</v>
      </c>
      <c r="AK1" s="45" t="s">
        <v>3297</v>
      </c>
      <c r="AL1" s="45" t="s">
        <v>3333</v>
      </c>
      <c r="AM1" s="45" t="s">
        <v>3376</v>
      </c>
      <c r="AN1" s="45" t="s">
        <v>3393</v>
      </c>
      <c r="AO1" s="45" t="s">
        <v>3427</v>
      </c>
      <c r="AP1" s="45" t="s">
        <v>3430</v>
      </c>
      <c r="AQ1" s="45" t="s">
        <v>3458</v>
      </c>
      <c r="AR1" s="45" t="s">
        <v>3497</v>
      </c>
      <c r="AS1" s="45" t="s">
        <v>3524</v>
      </c>
      <c r="AT1" s="45" t="s">
        <v>3687</v>
      </c>
      <c r="AU1" s="45" t="s">
        <v>3704</v>
      </c>
      <c r="AV1" s="45" t="s">
        <v>3713</v>
      </c>
      <c r="AW1" s="45" t="s">
        <v>3797</v>
      </c>
      <c r="AX1" s="45" t="s">
        <v>3820</v>
      </c>
      <c r="AY1" s="45" t="s">
        <v>3838</v>
      </c>
      <c r="AZ1" s="45" t="s">
        <v>3874</v>
      </c>
    </row>
    <row r="2" ht="15.75" customHeight="1">
      <c r="A2" s="34">
        <v>1.0</v>
      </c>
      <c r="B2" s="34">
        <f>State_Fossil_All_Mapping_SEDS!C122/State_Fossil_All_Mapping_SEDS!$BB122</f>
        <v>0</v>
      </c>
      <c r="C2" s="34">
        <f>State_Fossil_All_Mapping_SEDS!D122/State_Fossil_All_Mapping_SEDS!$BB122</f>
        <v>0</v>
      </c>
      <c r="D2" s="34">
        <f>State_Fossil_All_Mapping_SEDS!E122/State_Fossil_All_Mapping_SEDS!$BB122</f>
        <v>0</v>
      </c>
      <c r="E2" s="34">
        <f>State_Fossil_All_Mapping_SEDS!F122/State_Fossil_All_Mapping_SEDS!$BB122</f>
        <v>0</v>
      </c>
      <c r="F2" s="34">
        <f>State_Fossil_All_Mapping_SEDS!G122/State_Fossil_All_Mapping_SEDS!$BB122</f>
        <v>0</v>
      </c>
      <c r="G2" s="34">
        <f>State_Fossil_All_Mapping_SEDS!H122/State_Fossil_All_Mapping_SEDS!$BB122</f>
        <v>0</v>
      </c>
      <c r="H2" s="34">
        <f>State_Fossil_All_Mapping_SEDS!I122/State_Fossil_All_Mapping_SEDS!$BB122</f>
        <v>0.246031746</v>
      </c>
      <c r="I2" s="34">
        <f>State_Fossil_All_Mapping_SEDS!J122/State_Fossil_All_Mapping_SEDS!$BB122</f>
        <v>0</v>
      </c>
      <c r="J2" s="34">
        <f>State_Fossil_All_Mapping_SEDS!K122/State_Fossil_All_Mapping_SEDS!$BB122</f>
        <v>0</v>
      </c>
      <c r="K2" s="34">
        <f>State_Fossil_All_Mapping_SEDS!L122/State_Fossil_All_Mapping_SEDS!$BB122</f>
        <v>0</v>
      </c>
      <c r="L2" s="34">
        <f>State_Fossil_All_Mapping_SEDS!M122/State_Fossil_All_Mapping_SEDS!$BB122</f>
        <v>0</v>
      </c>
      <c r="M2" s="34">
        <f>State_Fossil_All_Mapping_SEDS!N122/State_Fossil_All_Mapping_SEDS!$BB122</f>
        <v>0</v>
      </c>
      <c r="N2" s="34">
        <f>State_Fossil_All_Mapping_SEDS!O122/State_Fossil_All_Mapping_SEDS!$BB122</f>
        <v>0</v>
      </c>
      <c r="O2" s="34">
        <f>State_Fossil_All_Mapping_SEDS!P122/State_Fossil_All_Mapping_SEDS!$BB122</f>
        <v>0</v>
      </c>
      <c r="P2" s="34">
        <f>State_Fossil_All_Mapping_SEDS!Q122/State_Fossil_All_Mapping_SEDS!$BB122</f>
        <v>0</v>
      </c>
      <c r="Q2" s="34">
        <f>State_Fossil_All_Mapping_SEDS!R122/State_Fossil_All_Mapping_SEDS!$BB122</f>
        <v>0</v>
      </c>
      <c r="R2" s="34">
        <f>State_Fossil_All_Mapping_SEDS!S122/State_Fossil_All_Mapping_SEDS!$BB122</f>
        <v>0</v>
      </c>
      <c r="S2" s="34">
        <f>State_Fossil_All_Mapping_SEDS!T122/State_Fossil_All_Mapping_SEDS!$BB122</f>
        <v>0</v>
      </c>
      <c r="T2" s="34">
        <f>State_Fossil_All_Mapping_SEDS!U122/State_Fossil_All_Mapping_SEDS!$BB122</f>
        <v>0</v>
      </c>
      <c r="U2" s="34">
        <f>State_Fossil_All_Mapping_SEDS!V122/State_Fossil_All_Mapping_SEDS!$BB122</f>
        <v>0.0987654321</v>
      </c>
      <c r="V2" s="34">
        <f>State_Fossil_All_Mapping_SEDS!W122/State_Fossil_All_Mapping_SEDS!$BB122</f>
        <v>0</v>
      </c>
      <c r="W2" s="34">
        <f>State_Fossil_All_Mapping_SEDS!X122/State_Fossil_All_Mapping_SEDS!$BB122</f>
        <v>0.4435626102</v>
      </c>
      <c r="X2" s="34">
        <f>State_Fossil_All_Mapping_SEDS!Y122/State_Fossil_All_Mapping_SEDS!$BB122</f>
        <v>0</v>
      </c>
      <c r="Y2" s="34">
        <f>State_Fossil_All_Mapping_SEDS!Z122/State_Fossil_All_Mapping_SEDS!$BB122</f>
        <v>0</v>
      </c>
      <c r="Z2" s="34">
        <f>State_Fossil_All_Mapping_SEDS!AA122/State_Fossil_All_Mapping_SEDS!$BB122</f>
        <v>0</v>
      </c>
      <c r="AA2" s="34">
        <f>State_Fossil_All_Mapping_SEDS!AB122/State_Fossil_All_Mapping_SEDS!$BB122</f>
        <v>0</v>
      </c>
      <c r="AB2" s="34">
        <f>State_Fossil_All_Mapping_SEDS!AC122/State_Fossil_All_Mapping_SEDS!$BB122</f>
        <v>0</v>
      </c>
      <c r="AC2" s="34">
        <f>State_Fossil_All_Mapping_SEDS!AD122/State_Fossil_All_Mapping_SEDS!$BB122</f>
        <v>0</v>
      </c>
      <c r="AD2" s="34">
        <f>State_Fossil_All_Mapping_SEDS!AE122/State_Fossil_All_Mapping_SEDS!$BB122</f>
        <v>0</v>
      </c>
      <c r="AE2" s="34">
        <f>State_Fossil_All_Mapping_SEDS!AF122/State_Fossil_All_Mapping_SEDS!$BB122</f>
        <v>0.09964726631</v>
      </c>
      <c r="AF2" s="34">
        <f>State_Fossil_All_Mapping_SEDS!AG122/State_Fossil_All_Mapping_SEDS!$BB122</f>
        <v>0</v>
      </c>
      <c r="AG2" s="34">
        <f>State_Fossil_All_Mapping_SEDS!AH122/State_Fossil_All_Mapping_SEDS!$BB122</f>
        <v>0</v>
      </c>
      <c r="AH2" s="34">
        <f>State_Fossil_All_Mapping_SEDS!AI122/State_Fossil_All_Mapping_SEDS!$BB122</f>
        <v>0</v>
      </c>
      <c r="AI2" s="34">
        <f>State_Fossil_All_Mapping_SEDS!AJ122/State_Fossil_All_Mapping_SEDS!$BB122</f>
        <v>0</v>
      </c>
      <c r="AJ2" s="34">
        <f>State_Fossil_All_Mapping_SEDS!AK122/State_Fossil_All_Mapping_SEDS!$BB122</f>
        <v>0</v>
      </c>
      <c r="AK2" s="34">
        <f>State_Fossil_All_Mapping_SEDS!AL122/State_Fossil_All_Mapping_SEDS!$BB122</f>
        <v>0</v>
      </c>
      <c r="AL2" s="34">
        <f>State_Fossil_All_Mapping_SEDS!AM122/State_Fossil_All_Mapping_SEDS!$BB122</f>
        <v>0</v>
      </c>
      <c r="AM2" s="34">
        <f>State_Fossil_All_Mapping_SEDS!AN122/State_Fossil_All_Mapping_SEDS!$BB122</f>
        <v>0</v>
      </c>
      <c r="AN2" s="34">
        <f>State_Fossil_All_Mapping_SEDS!AO122/State_Fossil_All_Mapping_SEDS!$BB122</f>
        <v>0</v>
      </c>
      <c r="AO2" s="34">
        <f>State_Fossil_All_Mapping_SEDS!AP122/State_Fossil_All_Mapping_SEDS!$BB122</f>
        <v>0.06878306878</v>
      </c>
      <c r="AP2" s="34">
        <f>State_Fossil_All_Mapping_SEDS!AQ122/State_Fossil_All_Mapping_SEDS!$BB122</f>
        <v>0</v>
      </c>
      <c r="AQ2" s="34">
        <f>State_Fossil_All_Mapping_SEDS!AR122/State_Fossil_All_Mapping_SEDS!$BB122</f>
        <v>0</v>
      </c>
      <c r="AR2" s="34">
        <f>State_Fossil_All_Mapping_SEDS!AS122/State_Fossil_All_Mapping_SEDS!$BB122</f>
        <v>0</v>
      </c>
      <c r="AS2" s="34">
        <f>State_Fossil_All_Mapping_SEDS!AT122/State_Fossil_All_Mapping_SEDS!$BB122</f>
        <v>0</v>
      </c>
      <c r="AT2" s="34">
        <f>State_Fossil_All_Mapping_SEDS!AU122/State_Fossil_All_Mapping_SEDS!$BB122</f>
        <v>0</v>
      </c>
      <c r="AU2" s="34">
        <f>State_Fossil_All_Mapping_SEDS!AV122/State_Fossil_All_Mapping_SEDS!$BB122</f>
        <v>0.04320987654</v>
      </c>
      <c r="AV2" s="34">
        <f>State_Fossil_All_Mapping_SEDS!AW122/State_Fossil_All_Mapping_SEDS!$BB122</f>
        <v>0</v>
      </c>
      <c r="AW2" s="34">
        <f>State_Fossil_All_Mapping_SEDS!AX122/State_Fossil_All_Mapping_SEDS!$BB122</f>
        <v>0</v>
      </c>
      <c r="AX2" s="34">
        <f>State_Fossil_All_Mapping_SEDS!AY122/State_Fossil_All_Mapping_SEDS!$BB122</f>
        <v>0</v>
      </c>
      <c r="AY2" s="34">
        <f>State_Fossil_All_Mapping_SEDS!AZ122/State_Fossil_All_Mapping_SEDS!$BB122</f>
        <v>0</v>
      </c>
      <c r="AZ2" s="34">
        <f>State_Fossil_All_Mapping_SEDS!BA122/State_Fossil_All_Mapping_SEDS!$BB122</f>
        <v>0</v>
      </c>
    </row>
    <row r="3" ht="15.75" customHeight="1">
      <c r="A3" s="34">
        <v>2.0</v>
      </c>
      <c r="B3" s="34">
        <f>State_Fossil_All_Mapping_SEDS!C123/State_Fossil_All_Mapping_SEDS!$BB123</f>
        <v>0</v>
      </c>
      <c r="C3" s="34">
        <f>State_Fossil_All_Mapping_SEDS!D123/State_Fossil_All_Mapping_SEDS!$BB123</f>
        <v>0</v>
      </c>
      <c r="D3" s="34">
        <f>State_Fossil_All_Mapping_SEDS!E123/State_Fossil_All_Mapping_SEDS!$BB123</f>
        <v>0</v>
      </c>
      <c r="E3" s="34">
        <f>State_Fossil_All_Mapping_SEDS!F123/State_Fossil_All_Mapping_SEDS!$BB123</f>
        <v>0</v>
      </c>
      <c r="F3" s="34">
        <f>State_Fossil_All_Mapping_SEDS!G123/State_Fossil_All_Mapping_SEDS!$BB123</f>
        <v>0</v>
      </c>
      <c r="G3" s="34">
        <f>State_Fossil_All_Mapping_SEDS!H123/State_Fossil_All_Mapping_SEDS!$BB123</f>
        <v>0</v>
      </c>
      <c r="H3" s="34">
        <f>State_Fossil_All_Mapping_SEDS!I123/State_Fossil_All_Mapping_SEDS!$BB123</f>
        <v>0</v>
      </c>
      <c r="I3" s="34">
        <f>State_Fossil_All_Mapping_SEDS!J123/State_Fossil_All_Mapping_SEDS!$BB123</f>
        <v>0</v>
      </c>
      <c r="J3" s="34">
        <f>State_Fossil_All_Mapping_SEDS!K123/State_Fossil_All_Mapping_SEDS!$BB123</f>
        <v>0</v>
      </c>
      <c r="K3" s="34">
        <f>State_Fossil_All_Mapping_SEDS!L123/State_Fossil_All_Mapping_SEDS!$BB123</f>
        <v>0</v>
      </c>
      <c r="L3" s="34">
        <f>State_Fossil_All_Mapping_SEDS!M123/State_Fossil_All_Mapping_SEDS!$BB123</f>
        <v>0</v>
      </c>
      <c r="M3" s="34">
        <f>State_Fossil_All_Mapping_SEDS!N123/State_Fossil_All_Mapping_SEDS!$BB123</f>
        <v>0</v>
      </c>
      <c r="N3" s="34">
        <f>State_Fossil_All_Mapping_SEDS!O123/State_Fossil_All_Mapping_SEDS!$BB123</f>
        <v>0</v>
      </c>
      <c r="O3" s="34">
        <f>State_Fossil_All_Mapping_SEDS!P123/State_Fossil_All_Mapping_SEDS!$BB123</f>
        <v>0</v>
      </c>
      <c r="P3" s="34">
        <f>State_Fossil_All_Mapping_SEDS!Q123/State_Fossil_All_Mapping_SEDS!$BB123</f>
        <v>0</v>
      </c>
      <c r="Q3" s="34">
        <f>State_Fossil_All_Mapping_SEDS!R123/State_Fossil_All_Mapping_SEDS!$BB123</f>
        <v>0</v>
      </c>
      <c r="R3" s="34">
        <f>State_Fossil_All_Mapping_SEDS!S123/State_Fossil_All_Mapping_SEDS!$BB123</f>
        <v>0</v>
      </c>
      <c r="S3" s="34">
        <f>State_Fossil_All_Mapping_SEDS!T123/State_Fossil_All_Mapping_SEDS!$BB123</f>
        <v>0</v>
      </c>
      <c r="T3" s="34">
        <f>State_Fossil_All_Mapping_SEDS!U123/State_Fossil_All_Mapping_SEDS!$BB123</f>
        <v>0</v>
      </c>
      <c r="U3" s="34">
        <f>State_Fossil_All_Mapping_SEDS!V123/State_Fossil_All_Mapping_SEDS!$BB123</f>
        <v>0</v>
      </c>
      <c r="V3" s="34">
        <f>State_Fossil_All_Mapping_SEDS!W123/State_Fossil_All_Mapping_SEDS!$BB123</f>
        <v>0</v>
      </c>
      <c r="W3" s="34">
        <f>State_Fossil_All_Mapping_SEDS!X123/State_Fossil_All_Mapping_SEDS!$BB123</f>
        <v>0</v>
      </c>
      <c r="X3" s="34">
        <f>State_Fossil_All_Mapping_SEDS!Y123/State_Fossil_All_Mapping_SEDS!$BB123</f>
        <v>0</v>
      </c>
      <c r="Y3" s="34">
        <f>State_Fossil_All_Mapping_SEDS!Z123/State_Fossil_All_Mapping_SEDS!$BB123</f>
        <v>0</v>
      </c>
      <c r="Z3" s="34">
        <f>State_Fossil_All_Mapping_SEDS!AA123/State_Fossil_All_Mapping_SEDS!$BB123</f>
        <v>0</v>
      </c>
      <c r="AA3" s="34">
        <f>State_Fossil_All_Mapping_SEDS!AB123/State_Fossil_All_Mapping_SEDS!$BB123</f>
        <v>0</v>
      </c>
      <c r="AB3" s="34">
        <f>State_Fossil_All_Mapping_SEDS!AC123/State_Fossil_All_Mapping_SEDS!$BB123</f>
        <v>0</v>
      </c>
      <c r="AC3" s="34">
        <f>State_Fossil_All_Mapping_SEDS!AD123/State_Fossil_All_Mapping_SEDS!$BB123</f>
        <v>0</v>
      </c>
      <c r="AD3" s="34">
        <f>State_Fossil_All_Mapping_SEDS!AE123/State_Fossil_All_Mapping_SEDS!$BB123</f>
        <v>0</v>
      </c>
      <c r="AE3" s="34">
        <f>State_Fossil_All_Mapping_SEDS!AF123/State_Fossil_All_Mapping_SEDS!$BB123</f>
        <v>0</v>
      </c>
      <c r="AF3" s="34">
        <f>State_Fossil_All_Mapping_SEDS!AG123/State_Fossil_All_Mapping_SEDS!$BB123</f>
        <v>0.2212543554</v>
      </c>
      <c r="AG3" s="34">
        <f>State_Fossil_All_Mapping_SEDS!AH123/State_Fossil_All_Mapping_SEDS!$BB123</f>
        <v>0</v>
      </c>
      <c r="AH3" s="34">
        <f>State_Fossil_All_Mapping_SEDS!AI123/State_Fossil_All_Mapping_SEDS!$BB123</f>
        <v>0.4229965157</v>
      </c>
      <c r="AI3" s="34">
        <f>State_Fossil_All_Mapping_SEDS!AJ123/State_Fossil_All_Mapping_SEDS!$BB123</f>
        <v>0</v>
      </c>
      <c r="AJ3" s="34">
        <f>State_Fossil_All_Mapping_SEDS!AK123/State_Fossil_All_Mapping_SEDS!$BB123</f>
        <v>0</v>
      </c>
      <c r="AK3" s="34">
        <f>State_Fossil_All_Mapping_SEDS!AL123/State_Fossil_All_Mapping_SEDS!$BB123</f>
        <v>0</v>
      </c>
      <c r="AL3" s="34">
        <f>State_Fossil_All_Mapping_SEDS!AM123/State_Fossil_All_Mapping_SEDS!$BB123</f>
        <v>0</v>
      </c>
      <c r="AM3" s="34">
        <f>State_Fossil_All_Mapping_SEDS!AN123/State_Fossil_All_Mapping_SEDS!$BB123</f>
        <v>0</v>
      </c>
      <c r="AN3" s="34">
        <f>State_Fossil_All_Mapping_SEDS!AO123/State_Fossil_All_Mapping_SEDS!$BB123</f>
        <v>0.3557491289</v>
      </c>
      <c r="AO3" s="34">
        <f>State_Fossil_All_Mapping_SEDS!AP123/State_Fossil_All_Mapping_SEDS!$BB123</f>
        <v>0</v>
      </c>
      <c r="AP3" s="34">
        <f>State_Fossil_All_Mapping_SEDS!AQ123/State_Fossil_All_Mapping_SEDS!$BB123</f>
        <v>0</v>
      </c>
      <c r="AQ3" s="34">
        <f>State_Fossil_All_Mapping_SEDS!AR123/State_Fossil_All_Mapping_SEDS!$BB123</f>
        <v>0</v>
      </c>
      <c r="AR3" s="34">
        <f>State_Fossil_All_Mapping_SEDS!AS123/State_Fossil_All_Mapping_SEDS!$BB123</f>
        <v>0</v>
      </c>
      <c r="AS3" s="34">
        <f>State_Fossil_All_Mapping_SEDS!AT123/State_Fossil_All_Mapping_SEDS!$BB123</f>
        <v>0</v>
      </c>
      <c r="AT3" s="34">
        <f>State_Fossil_All_Mapping_SEDS!AU123/State_Fossil_All_Mapping_SEDS!$BB123</f>
        <v>0</v>
      </c>
      <c r="AU3" s="34">
        <f>State_Fossil_All_Mapping_SEDS!AV123/State_Fossil_All_Mapping_SEDS!$BB123</f>
        <v>0</v>
      </c>
      <c r="AV3" s="34">
        <f>State_Fossil_All_Mapping_SEDS!AW123/State_Fossil_All_Mapping_SEDS!$BB123</f>
        <v>0</v>
      </c>
      <c r="AW3" s="34">
        <f>State_Fossil_All_Mapping_SEDS!AX123/State_Fossil_All_Mapping_SEDS!$BB123</f>
        <v>0</v>
      </c>
      <c r="AX3" s="34">
        <f>State_Fossil_All_Mapping_SEDS!AY123/State_Fossil_All_Mapping_SEDS!$BB123</f>
        <v>0</v>
      </c>
      <c r="AY3" s="34">
        <f>State_Fossil_All_Mapping_SEDS!AZ123/State_Fossil_All_Mapping_SEDS!$BB123</f>
        <v>0</v>
      </c>
      <c r="AZ3" s="34">
        <f>State_Fossil_All_Mapping_SEDS!BA123/State_Fossil_All_Mapping_SEDS!$BB123</f>
        <v>0</v>
      </c>
    </row>
    <row r="4" ht="15.75" customHeight="1">
      <c r="A4" s="34">
        <v>3.0</v>
      </c>
      <c r="B4" s="34">
        <f>State_Fossil_All_Mapping_SEDS!C124/State_Fossil_All_Mapping_SEDS!$BB124</f>
        <v>0</v>
      </c>
      <c r="C4" s="34">
        <f>State_Fossil_All_Mapping_SEDS!D124/State_Fossil_All_Mapping_SEDS!$BB124</f>
        <v>0</v>
      </c>
      <c r="D4" s="34">
        <f>State_Fossil_All_Mapping_SEDS!E124/State_Fossil_All_Mapping_SEDS!$BB124</f>
        <v>0</v>
      </c>
      <c r="E4" s="34">
        <f>State_Fossil_All_Mapping_SEDS!F124/State_Fossil_All_Mapping_SEDS!$BB124</f>
        <v>0</v>
      </c>
      <c r="F4" s="34">
        <f>State_Fossil_All_Mapping_SEDS!G124/State_Fossil_All_Mapping_SEDS!$BB124</f>
        <v>0</v>
      </c>
      <c r="G4" s="34">
        <f>State_Fossil_All_Mapping_SEDS!H124/State_Fossil_All_Mapping_SEDS!$BB124</f>
        <v>0</v>
      </c>
      <c r="H4" s="34">
        <f>State_Fossil_All_Mapping_SEDS!I124/State_Fossil_All_Mapping_SEDS!$BB124</f>
        <v>0</v>
      </c>
      <c r="I4" s="34">
        <f>State_Fossil_All_Mapping_SEDS!J124/State_Fossil_All_Mapping_SEDS!$BB124</f>
        <v>0</v>
      </c>
      <c r="J4" s="34">
        <f>State_Fossil_All_Mapping_SEDS!K124/State_Fossil_All_Mapping_SEDS!$BB124</f>
        <v>0</v>
      </c>
      <c r="K4" s="34">
        <f>State_Fossil_All_Mapping_SEDS!L124/State_Fossil_All_Mapping_SEDS!$BB124</f>
        <v>0</v>
      </c>
      <c r="L4" s="34">
        <f>State_Fossil_All_Mapping_SEDS!M124/State_Fossil_All_Mapping_SEDS!$BB124</f>
        <v>0</v>
      </c>
      <c r="M4" s="34">
        <f>State_Fossil_All_Mapping_SEDS!N124/State_Fossil_All_Mapping_SEDS!$BB124</f>
        <v>0</v>
      </c>
      <c r="N4" s="34">
        <f>State_Fossil_All_Mapping_SEDS!O124/State_Fossil_All_Mapping_SEDS!$BB124</f>
        <v>0</v>
      </c>
      <c r="O4" s="34">
        <f>State_Fossil_All_Mapping_SEDS!P124/State_Fossil_All_Mapping_SEDS!$BB124</f>
        <v>0.2541094045</v>
      </c>
      <c r="P4" s="34">
        <f>State_Fossil_All_Mapping_SEDS!Q124/State_Fossil_All_Mapping_SEDS!$BB124</f>
        <v>0.1414713015</v>
      </c>
      <c r="Q4" s="34">
        <f>State_Fossil_All_Mapping_SEDS!R124/State_Fossil_All_Mapping_SEDS!$BB124</f>
        <v>0</v>
      </c>
      <c r="R4" s="34">
        <f>State_Fossil_All_Mapping_SEDS!S124/State_Fossil_All_Mapping_SEDS!$BB124</f>
        <v>0</v>
      </c>
      <c r="S4" s="34">
        <f>State_Fossil_All_Mapping_SEDS!T124/State_Fossil_All_Mapping_SEDS!$BB124</f>
        <v>0</v>
      </c>
      <c r="T4" s="34">
        <f>State_Fossil_All_Mapping_SEDS!U124/State_Fossil_All_Mapping_SEDS!$BB124</f>
        <v>0</v>
      </c>
      <c r="U4" s="34">
        <f>State_Fossil_All_Mapping_SEDS!V124/State_Fossil_All_Mapping_SEDS!$BB124</f>
        <v>0</v>
      </c>
      <c r="V4" s="34">
        <f>State_Fossil_All_Mapping_SEDS!W124/State_Fossil_All_Mapping_SEDS!$BB124</f>
        <v>0</v>
      </c>
      <c r="W4" s="34">
        <f>State_Fossil_All_Mapping_SEDS!X124/State_Fossil_All_Mapping_SEDS!$BB124</f>
        <v>0</v>
      </c>
      <c r="X4" s="34">
        <f>State_Fossil_All_Mapping_SEDS!Y124/State_Fossil_All_Mapping_SEDS!$BB124</f>
        <v>0.2142279709</v>
      </c>
      <c r="Y4" s="34">
        <f>State_Fossil_All_Mapping_SEDS!Z124/State_Fossil_All_Mapping_SEDS!$BB124</f>
        <v>0</v>
      </c>
      <c r="Z4" s="34">
        <f>State_Fossil_All_Mapping_SEDS!AA124/State_Fossil_All_Mapping_SEDS!$BB124</f>
        <v>0</v>
      </c>
      <c r="AA4" s="34">
        <f>State_Fossil_All_Mapping_SEDS!AB124/State_Fossil_All_Mapping_SEDS!$BB124</f>
        <v>0</v>
      </c>
      <c r="AB4" s="34">
        <f>State_Fossil_All_Mapping_SEDS!AC124/State_Fossil_All_Mapping_SEDS!$BB124</f>
        <v>0</v>
      </c>
      <c r="AC4" s="34">
        <f>State_Fossil_All_Mapping_SEDS!AD124/State_Fossil_All_Mapping_SEDS!$BB124</f>
        <v>0</v>
      </c>
      <c r="AD4" s="34">
        <f>State_Fossil_All_Mapping_SEDS!AE124/State_Fossil_All_Mapping_SEDS!$BB124</f>
        <v>0</v>
      </c>
      <c r="AE4" s="34">
        <f>State_Fossil_All_Mapping_SEDS!AF124/State_Fossil_All_Mapping_SEDS!$BB124</f>
        <v>0</v>
      </c>
      <c r="AF4" s="34">
        <f>State_Fossil_All_Mapping_SEDS!AG124/State_Fossil_All_Mapping_SEDS!$BB124</f>
        <v>0</v>
      </c>
      <c r="AG4" s="34">
        <f>State_Fossil_All_Mapping_SEDS!AH124/State_Fossil_All_Mapping_SEDS!$BB124</f>
        <v>0</v>
      </c>
      <c r="AH4" s="34">
        <f>State_Fossil_All_Mapping_SEDS!AI124/State_Fossil_All_Mapping_SEDS!$BB124</f>
        <v>0</v>
      </c>
      <c r="AI4" s="34">
        <f>State_Fossil_All_Mapping_SEDS!AJ124/State_Fossil_All_Mapping_SEDS!$BB124</f>
        <v>0</v>
      </c>
      <c r="AJ4" s="34">
        <f>State_Fossil_All_Mapping_SEDS!AK124/State_Fossil_All_Mapping_SEDS!$BB124</f>
        <v>0</v>
      </c>
      <c r="AK4" s="34">
        <f>State_Fossil_All_Mapping_SEDS!AL124/State_Fossil_All_Mapping_SEDS!$BB124</f>
        <v>0.2570735651</v>
      </c>
      <c r="AL4" s="34">
        <f>State_Fossil_All_Mapping_SEDS!AM124/State_Fossil_All_Mapping_SEDS!$BB124</f>
        <v>0</v>
      </c>
      <c r="AM4" s="34">
        <f>State_Fossil_All_Mapping_SEDS!AN124/State_Fossil_All_Mapping_SEDS!$BB124</f>
        <v>0</v>
      </c>
      <c r="AN4" s="34">
        <f>State_Fossil_All_Mapping_SEDS!AO124/State_Fossil_All_Mapping_SEDS!$BB124</f>
        <v>0</v>
      </c>
      <c r="AO4" s="34">
        <f>State_Fossil_All_Mapping_SEDS!AP124/State_Fossil_All_Mapping_SEDS!$BB124</f>
        <v>0</v>
      </c>
      <c r="AP4" s="34">
        <f>State_Fossil_All_Mapping_SEDS!AQ124/State_Fossil_All_Mapping_SEDS!$BB124</f>
        <v>0</v>
      </c>
      <c r="AQ4" s="34">
        <f>State_Fossil_All_Mapping_SEDS!AR124/State_Fossil_All_Mapping_SEDS!$BB124</f>
        <v>0</v>
      </c>
      <c r="AR4" s="34">
        <f>State_Fossil_All_Mapping_SEDS!AS124/State_Fossil_All_Mapping_SEDS!$BB124</f>
        <v>0</v>
      </c>
      <c r="AS4" s="34">
        <f>State_Fossil_All_Mapping_SEDS!AT124/State_Fossil_All_Mapping_SEDS!$BB124</f>
        <v>0</v>
      </c>
      <c r="AT4" s="34">
        <f>State_Fossil_All_Mapping_SEDS!AU124/State_Fossil_All_Mapping_SEDS!$BB124</f>
        <v>0</v>
      </c>
      <c r="AU4" s="34">
        <f>State_Fossil_All_Mapping_SEDS!AV124/State_Fossil_All_Mapping_SEDS!$BB124</f>
        <v>0</v>
      </c>
      <c r="AV4" s="34">
        <f>State_Fossil_All_Mapping_SEDS!AW124/State_Fossil_All_Mapping_SEDS!$BB124</f>
        <v>0</v>
      </c>
      <c r="AW4" s="34">
        <f>State_Fossil_All_Mapping_SEDS!AX124/State_Fossil_All_Mapping_SEDS!$BB124</f>
        <v>0</v>
      </c>
      <c r="AX4" s="34">
        <f>State_Fossil_All_Mapping_SEDS!AY124/State_Fossil_All_Mapping_SEDS!$BB124</f>
        <v>0</v>
      </c>
      <c r="AY4" s="34">
        <f>State_Fossil_All_Mapping_SEDS!AZ124/State_Fossil_All_Mapping_SEDS!$BB124</f>
        <v>0.133117758</v>
      </c>
      <c r="AZ4" s="34">
        <f>State_Fossil_All_Mapping_SEDS!BA124/State_Fossil_All_Mapping_SEDS!$BB124</f>
        <v>0</v>
      </c>
    </row>
    <row r="5" ht="15.75" customHeight="1">
      <c r="A5" s="34">
        <v>4.0</v>
      </c>
      <c r="B5" s="34">
        <f>State_Fossil_All_Mapping_SEDS!C125/State_Fossil_All_Mapping_SEDS!$BB125</f>
        <v>0</v>
      </c>
      <c r="C5" s="34">
        <f>State_Fossil_All_Mapping_SEDS!D125/State_Fossil_All_Mapping_SEDS!$BB125</f>
        <v>0</v>
      </c>
      <c r="D5" s="34">
        <f>State_Fossil_All_Mapping_SEDS!E125/State_Fossil_All_Mapping_SEDS!$BB125</f>
        <v>0</v>
      </c>
      <c r="E5" s="34">
        <f>State_Fossil_All_Mapping_SEDS!F125/State_Fossil_All_Mapping_SEDS!$BB125</f>
        <v>0</v>
      </c>
      <c r="F5" s="34">
        <f>State_Fossil_All_Mapping_SEDS!G125/State_Fossil_All_Mapping_SEDS!$BB125</f>
        <v>0</v>
      </c>
      <c r="G5" s="34">
        <f>State_Fossil_All_Mapping_SEDS!H125/State_Fossil_All_Mapping_SEDS!$BB125</f>
        <v>0</v>
      </c>
      <c r="H5" s="34">
        <f>State_Fossil_All_Mapping_SEDS!I125/State_Fossil_All_Mapping_SEDS!$BB125</f>
        <v>0</v>
      </c>
      <c r="I5" s="34">
        <f>State_Fossil_All_Mapping_SEDS!J125/State_Fossil_All_Mapping_SEDS!$BB125</f>
        <v>0</v>
      </c>
      <c r="J5" s="34">
        <f>State_Fossil_All_Mapping_SEDS!K125/State_Fossil_All_Mapping_SEDS!$BB125</f>
        <v>0</v>
      </c>
      <c r="K5" s="34">
        <f>State_Fossil_All_Mapping_SEDS!L125/State_Fossil_All_Mapping_SEDS!$BB125</f>
        <v>0</v>
      </c>
      <c r="L5" s="34">
        <f>State_Fossil_All_Mapping_SEDS!M125/State_Fossil_All_Mapping_SEDS!$BB125</f>
        <v>0</v>
      </c>
      <c r="M5" s="34">
        <f>State_Fossil_All_Mapping_SEDS!N125/State_Fossil_All_Mapping_SEDS!$BB125</f>
        <v>0</v>
      </c>
      <c r="N5" s="34">
        <f>State_Fossil_All_Mapping_SEDS!O125/State_Fossil_All_Mapping_SEDS!$BB125</f>
        <v>0</v>
      </c>
      <c r="O5" s="34">
        <f>State_Fossil_All_Mapping_SEDS!P125/State_Fossil_All_Mapping_SEDS!$BB125</f>
        <v>0</v>
      </c>
      <c r="P5" s="34">
        <f>State_Fossil_All_Mapping_SEDS!Q125/State_Fossil_All_Mapping_SEDS!$BB125</f>
        <v>0</v>
      </c>
      <c r="Q5" s="34">
        <f>State_Fossil_All_Mapping_SEDS!R125/State_Fossil_All_Mapping_SEDS!$BB125</f>
        <v>0.1575262544</v>
      </c>
      <c r="R5" s="34">
        <f>State_Fossil_All_Mapping_SEDS!S125/State_Fossil_All_Mapping_SEDS!$BB125</f>
        <v>0.1283547258</v>
      </c>
      <c r="S5" s="34">
        <f>State_Fossil_All_Mapping_SEDS!T125/State_Fossil_All_Mapping_SEDS!$BB125</f>
        <v>0</v>
      </c>
      <c r="T5" s="34">
        <f>State_Fossil_All_Mapping_SEDS!U125/State_Fossil_All_Mapping_SEDS!$BB125</f>
        <v>0</v>
      </c>
      <c r="U5" s="34">
        <f>State_Fossil_All_Mapping_SEDS!V125/State_Fossil_All_Mapping_SEDS!$BB125</f>
        <v>0</v>
      </c>
      <c r="V5" s="34">
        <f>State_Fossil_All_Mapping_SEDS!W125/State_Fossil_All_Mapping_SEDS!$BB125</f>
        <v>0</v>
      </c>
      <c r="W5" s="34">
        <f>State_Fossil_All_Mapping_SEDS!X125/State_Fossil_All_Mapping_SEDS!$BB125</f>
        <v>0</v>
      </c>
      <c r="X5" s="34">
        <f>State_Fossil_All_Mapping_SEDS!Y125/State_Fossil_All_Mapping_SEDS!$BB125</f>
        <v>0</v>
      </c>
      <c r="Y5" s="34">
        <f>State_Fossil_All_Mapping_SEDS!Z125/State_Fossil_All_Mapping_SEDS!$BB125</f>
        <v>0.2596266044</v>
      </c>
      <c r="Z5" s="34">
        <f>State_Fossil_All_Mapping_SEDS!AA125/State_Fossil_All_Mapping_SEDS!$BB125</f>
        <v>0</v>
      </c>
      <c r="AA5" s="34">
        <f>State_Fossil_All_Mapping_SEDS!AB125/State_Fossil_All_Mapping_SEDS!$BB125</f>
        <v>0.2893815636</v>
      </c>
      <c r="AB5" s="34">
        <f>State_Fossil_All_Mapping_SEDS!AC125/State_Fossil_All_Mapping_SEDS!$BB125</f>
        <v>0</v>
      </c>
      <c r="AC5" s="34">
        <f>State_Fossil_All_Mapping_SEDS!AD125/State_Fossil_All_Mapping_SEDS!$BB125</f>
        <v>0.08634772462</v>
      </c>
      <c r="AD5" s="34">
        <f>State_Fossil_All_Mapping_SEDS!AE125/State_Fossil_All_Mapping_SEDS!$BB125</f>
        <v>0</v>
      </c>
      <c r="AE5" s="34">
        <f>State_Fossil_All_Mapping_SEDS!AF125/State_Fossil_All_Mapping_SEDS!$BB125</f>
        <v>0</v>
      </c>
      <c r="AF5" s="34">
        <f>State_Fossil_All_Mapping_SEDS!AG125/State_Fossil_All_Mapping_SEDS!$BB125</f>
        <v>0</v>
      </c>
      <c r="AG5" s="34">
        <f>State_Fossil_All_Mapping_SEDS!AH125/State_Fossil_All_Mapping_SEDS!$BB125</f>
        <v>0</v>
      </c>
      <c r="AH5" s="34">
        <f>State_Fossil_All_Mapping_SEDS!AI125/State_Fossil_All_Mapping_SEDS!$BB125</f>
        <v>0</v>
      </c>
      <c r="AI5" s="34">
        <f>State_Fossil_All_Mapping_SEDS!AJ125/State_Fossil_All_Mapping_SEDS!$BB125</f>
        <v>0</v>
      </c>
      <c r="AJ5" s="34">
        <f>State_Fossil_All_Mapping_SEDS!AK125/State_Fossil_All_Mapping_SEDS!$BB125</f>
        <v>0.03733955659</v>
      </c>
      <c r="AK5" s="34">
        <f>State_Fossil_All_Mapping_SEDS!AL125/State_Fossil_All_Mapping_SEDS!$BB125</f>
        <v>0</v>
      </c>
      <c r="AL5" s="34">
        <f>State_Fossil_All_Mapping_SEDS!AM125/State_Fossil_All_Mapping_SEDS!$BB125</f>
        <v>0</v>
      </c>
      <c r="AM5" s="34">
        <f>State_Fossil_All_Mapping_SEDS!AN125/State_Fossil_All_Mapping_SEDS!$BB125</f>
        <v>0</v>
      </c>
      <c r="AN5" s="34">
        <f>State_Fossil_All_Mapping_SEDS!AO125/State_Fossil_All_Mapping_SEDS!$BB125</f>
        <v>0</v>
      </c>
      <c r="AO5" s="34">
        <f>State_Fossil_All_Mapping_SEDS!AP125/State_Fossil_All_Mapping_SEDS!$BB125</f>
        <v>0</v>
      </c>
      <c r="AP5" s="34">
        <f>State_Fossil_All_Mapping_SEDS!AQ125/State_Fossil_All_Mapping_SEDS!$BB125</f>
        <v>0</v>
      </c>
      <c r="AQ5" s="34">
        <f>State_Fossil_All_Mapping_SEDS!AR125/State_Fossil_All_Mapping_SEDS!$BB125</f>
        <v>0.0414235706</v>
      </c>
      <c r="AR5" s="34">
        <f>State_Fossil_All_Mapping_SEDS!AS125/State_Fossil_All_Mapping_SEDS!$BB125</f>
        <v>0</v>
      </c>
      <c r="AS5" s="34">
        <f>State_Fossil_All_Mapping_SEDS!AT125/State_Fossil_All_Mapping_SEDS!$BB125</f>
        <v>0</v>
      </c>
      <c r="AT5" s="34">
        <f>State_Fossil_All_Mapping_SEDS!AU125/State_Fossil_All_Mapping_SEDS!$BB125</f>
        <v>0</v>
      </c>
      <c r="AU5" s="34">
        <f>State_Fossil_All_Mapping_SEDS!AV125/State_Fossil_All_Mapping_SEDS!$BB125</f>
        <v>0</v>
      </c>
      <c r="AV5" s="34">
        <f>State_Fossil_All_Mapping_SEDS!AW125/State_Fossil_All_Mapping_SEDS!$BB125</f>
        <v>0</v>
      </c>
      <c r="AW5" s="34">
        <f>State_Fossil_All_Mapping_SEDS!AX125/State_Fossil_All_Mapping_SEDS!$BB125</f>
        <v>0</v>
      </c>
      <c r="AX5" s="34">
        <f>State_Fossil_All_Mapping_SEDS!AY125/State_Fossil_All_Mapping_SEDS!$BB125</f>
        <v>0</v>
      </c>
      <c r="AY5" s="34">
        <f>State_Fossil_All_Mapping_SEDS!AZ125/State_Fossil_All_Mapping_SEDS!$BB125</f>
        <v>0</v>
      </c>
      <c r="AZ5" s="34">
        <f>State_Fossil_All_Mapping_SEDS!BA125/State_Fossil_All_Mapping_SEDS!$BB125</f>
        <v>0</v>
      </c>
    </row>
    <row r="6" ht="15.75" customHeight="1">
      <c r="A6" s="34">
        <v>5.0</v>
      </c>
      <c r="B6" s="34">
        <f>State_Fossil_All_Mapping_SEDS!C126/State_Fossil_All_Mapping_SEDS!$BB126</f>
        <v>0</v>
      </c>
      <c r="C6" s="34">
        <f>State_Fossil_All_Mapping_SEDS!D126/State_Fossil_All_Mapping_SEDS!$BB126</f>
        <v>0</v>
      </c>
      <c r="D6" s="34">
        <f>State_Fossil_All_Mapping_SEDS!E126/State_Fossil_All_Mapping_SEDS!$BB126</f>
        <v>0</v>
      </c>
      <c r="E6" s="34">
        <f>State_Fossil_All_Mapping_SEDS!F126/State_Fossil_All_Mapping_SEDS!$BB126</f>
        <v>0</v>
      </c>
      <c r="F6" s="34">
        <f>State_Fossil_All_Mapping_SEDS!G126/State_Fossil_All_Mapping_SEDS!$BB126</f>
        <v>0</v>
      </c>
      <c r="G6" s="34">
        <f>State_Fossil_All_Mapping_SEDS!H126/State_Fossil_All_Mapping_SEDS!$BB126</f>
        <v>0</v>
      </c>
      <c r="H6" s="34">
        <f>State_Fossil_All_Mapping_SEDS!I126/State_Fossil_All_Mapping_SEDS!$BB126</f>
        <v>0</v>
      </c>
      <c r="I6" s="34">
        <f>State_Fossil_All_Mapping_SEDS!J126/State_Fossil_All_Mapping_SEDS!$BB126</f>
        <v>0.01743159753</v>
      </c>
      <c r="J6" s="34">
        <f>State_Fossil_All_Mapping_SEDS!K126/State_Fossil_All_Mapping_SEDS!$BB126</f>
        <v>0.008384819064</v>
      </c>
      <c r="K6" s="34">
        <f>State_Fossil_All_Mapping_SEDS!L126/State_Fossil_All_Mapping_SEDS!$BB126</f>
        <v>0.2886142983</v>
      </c>
      <c r="L6" s="34">
        <f>State_Fossil_All_Mapping_SEDS!M126/State_Fossil_All_Mapping_SEDS!$BB126</f>
        <v>0.1690203001</v>
      </c>
      <c r="M6" s="34">
        <f>State_Fossil_All_Mapping_SEDS!N126/State_Fossil_All_Mapping_SEDS!$BB126</f>
        <v>0</v>
      </c>
      <c r="N6" s="34">
        <f>State_Fossil_All_Mapping_SEDS!O126/State_Fossil_All_Mapping_SEDS!$BB126</f>
        <v>0</v>
      </c>
      <c r="O6" s="34">
        <f>State_Fossil_All_Mapping_SEDS!P126/State_Fossil_All_Mapping_SEDS!$BB126</f>
        <v>0</v>
      </c>
      <c r="P6" s="34">
        <f>State_Fossil_All_Mapping_SEDS!Q126/State_Fossil_All_Mapping_SEDS!$BB126</f>
        <v>0</v>
      </c>
      <c r="Q6" s="34">
        <f>State_Fossil_All_Mapping_SEDS!R126/State_Fossil_All_Mapping_SEDS!$BB126</f>
        <v>0</v>
      </c>
      <c r="R6" s="34">
        <f>State_Fossil_All_Mapping_SEDS!S126/State_Fossil_All_Mapping_SEDS!$BB126</f>
        <v>0</v>
      </c>
      <c r="S6" s="34">
        <f>State_Fossil_All_Mapping_SEDS!T126/State_Fossil_All_Mapping_SEDS!$BB126</f>
        <v>0</v>
      </c>
      <c r="T6" s="34">
        <f>State_Fossil_All_Mapping_SEDS!U126/State_Fossil_All_Mapping_SEDS!$BB126</f>
        <v>0</v>
      </c>
      <c r="U6" s="34">
        <f>State_Fossil_All_Mapping_SEDS!V126/State_Fossil_All_Mapping_SEDS!$BB126</f>
        <v>0</v>
      </c>
      <c r="V6" s="34">
        <f>State_Fossil_All_Mapping_SEDS!W126/State_Fossil_All_Mapping_SEDS!$BB126</f>
        <v>0.09995586937</v>
      </c>
      <c r="W6" s="34">
        <f>State_Fossil_All_Mapping_SEDS!X126/State_Fossil_All_Mapping_SEDS!$BB126</f>
        <v>0</v>
      </c>
      <c r="X6" s="34">
        <f>State_Fossil_All_Mapping_SEDS!Y126/State_Fossil_All_Mapping_SEDS!$BB126</f>
        <v>0</v>
      </c>
      <c r="Y6" s="34">
        <f>State_Fossil_All_Mapping_SEDS!Z126/State_Fossil_All_Mapping_SEDS!$BB126</f>
        <v>0</v>
      </c>
      <c r="Z6" s="34">
        <f>State_Fossil_All_Mapping_SEDS!AA126/State_Fossil_All_Mapping_SEDS!$BB126</f>
        <v>0</v>
      </c>
      <c r="AA6" s="34">
        <f>State_Fossil_All_Mapping_SEDS!AB126/State_Fossil_All_Mapping_SEDS!$BB126</f>
        <v>0</v>
      </c>
      <c r="AB6" s="34">
        <f>State_Fossil_All_Mapping_SEDS!AC126/State_Fossil_All_Mapping_SEDS!$BB126</f>
        <v>0</v>
      </c>
      <c r="AC6" s="34">
        <f>State_Fossil_All_Mapping_SEDS!AD126/State_Fossil_All_Mapping_SEDS!$BB126</f>
        <v>0</v>
      </c>
      <c r="AD6" s="34">
        <f>State_Fossil_All_Mapping_SEDS!AE126/State_Fossil_All_Mapping_SEDS!$BB126</f>
        <v>0</v>
      </c>
      <c r="AE6" s="34">
        <f>State_Fossil_All_Mapping_SEDS!AF126/State_Fossil_All_Mapping_SEDS!$BB126</f>
        <v>0</v>
      </c>
      <c r="AF6" s="34">
        <f>State_Fossil_All_Mapping_SEDS!AG126/State_Fossil_All_Mapping_SEDS!$BB126</f>
        <v>0</v>
      </c>
      <c r="AG6" s="34">
        <f>State_Fossil_All_Mapping_SEDS!AH126/State_Fossil_All_Mapping_SEDS!$BB126</f>
        <v>0</v>
      </c>
      <c r="AH6" s="34">
        <f>State_Fossil_All_Mapping_SEDS!AI126/State_Fossil_All_Mapping_SEDS!$BB126</f>
        <v>0</v>
      </c>
      <c r="AI6" s="34">
        <f>State_Fossil_All_Mapping_SEDS!AJ126/State_Fossil_All_Mapping_SEDS!$BB126</f>
        <v>0.1683583407</v>
      </c>
      <c r="AJ6" s="34">
        <f>State_Fossil_All_Mapping_SEDS!AK126/State_Fossil_All_Mapping_SEDS!$BB126</f>
        <v>0</v>
      </c>
      <c r="AK6" s="34">
        <f>State_Fossil_All_Mapping_SEDS!AL126/State_Fossil_All_Mapping_SEDS!$BB126</f>
        <v>0</v>
      </c>
      <c r="AL6" s="34">
        <f>State_Fossil_All_Mapping_SEDS!AM126/State_Fossil_All_Mapping_SEDS!$BB126</f>
        <v>0</v>
      </c>
      <c r="AM6" s="34">
        <f>State_Fossil_All_Mapping_SEDS!AN126/State_Fossil_All_Mapping_SEDS!$BB126</f>
        <v>0</v>
      </c>
      <c r="AN6" s="34">
        <f>State_Fossil_All_Mapping_SEDS!AO126/State_Fossil_All_Mapping_SEDS!$BB126</f>
        <v>0</v>
      </c>
      <c r="AO6" s="34">
        <f>State_Fossil_All_Mapping_SEDS!AP126/State_Fossil_All_Mapping_SEDS!$BB126</f>
        <v>0</v>
      </c>
      <c r="AP6" s="34">
        <f>State_Fossil_All_Mapping_SEDS!AQ126/State_Fossil_All_Mapping_SEDS!$BB126</f>
        <v>0.07700794351</v>
      </c>
      <c r="AQ6" s="34">
        <f>State_Fossil_All_Mapping_SEDS!AR126/State_Fossil_All_Mapping_SEDS!$BB126</f>
        <v>0</v>
      </c>
      <c r="AR6" s="34">
        <f>State_Fossil_All_Mapping_SEDS!AS126/State_Fossil_All_Mapping_SEDS!$BB126</f>
        <v>0</v>
      </c>
      <c r="AS6" s="34">
        <f>State_Fossil_All_Mapping_SEDS!AT126/State_Fossil_All_Mapping_SEDS!$BB126</f>
        <v>0</v>
      </c>
      <c r="AT6" s="34">
        <f>State_Fossil_All_Mapping_SEDS!AU126/State_Fossil_All_Mapping_SEDS!$BB126</f>
        <v>0</v>
      </c>
      <c r="AU6" s="34">
        <f>State_Fossil_All_Mapping_SEDS!AV126/State_Fossil_All_Mapping_SEDS!$BB126</f>
        <v>0</v>
      </c>
      <c r="AV6" s="34">
        <f>State_Fossil_All_Mapping_SEDS!AW126/State_Fossil_All_Mapping_SEDS!$BB126</f>
        <v>0.1421006178</v>
      </c>
      <c r="AW6" s="34">
        <f>State_Fossil_All_Mapping_SEDS!AX126/State_Fossil_All_Mapping_SEDS!$BB126</f>
        <v>0</v>
      </c>
      <c r="AX6" s="34">
        <f>State_Fossil_All_Mapping_SEDS!AY126/State_Fossil_All_Mapping_SEDS!$BB126</f>
        <v>0.02912621359</v>
      </c>
      <c r="AY6" s="34">
        <f>State_Fossil_All_Mapping_SEDS!AZ126/State_Fossil_All_Mapping_SEDS!$BB126</f>
        <v>0</v>
      </c>
      <c r="AZ6" s="34">
        <f>State_Fossil_All_Mapping_SEDS!BA126/State_Fossil_All_Mapping_SEDS!$BB126</f>
        <v>0</v>
      </c>
    </row>
    <row r="7" ht="15.75" customHeight="1">
      <c r="A7" s="34">
        <v>6.0</v>
      </c>
      <c r="B7" s="34">
        <f>State_Fossil_All_Mapping_SEDS!C127/State_Fossil_All_Mapping_SEDS!$BB127</f>
        <v>0.2424242424</v>
      </c>
      <c r="C7" s="34">
        <f>State_Fossil_All_Mapping_SEDS!D127/State_Fossil_All_Mapping_SEDS!$BB127</f>
        <v>0</v>
      </c>
      <c r="D7" s="34">
        <f>State_Fossil_All_Mapping_SEDS!E127/State_Fossil_All_Mapping_SEDS!$BB127</f>
        <v>0</v>
      </c>
      <c r="E7" s="34">
        <f>State_Fossil_All_Mapping_SEDS!F127/State_Fossil_All_Mapping_SEDS!$BB127</f>
        <v>0</v>
      </c>
      <c r="F7" s="34">
        <f>State_Fossil_All_Mapping_SEDS!G127/State_Fossil_All_Mapping_SEDS!$BB127</f>
        <v>0</v>
      </c>
      <c r="G7" s="34">
        <f>State_Fossil_All_Mapping_SEDS!H127/State_Fossil_All_Mapping_SEDS!$BB127</f>
        <v>0</v>
      </c>
      <c r="H7" s="34">
        <f>State_Fossil_All_Mapping_SEDS!I127/State_Fossil_All_Mapping_SEDS!$BB127</f>
        <v>0</v>
      </c>
      <c r="I7" s="34">
        <f>State_Fossil_All_Mapping_SEDS!J127/State_Fossil_All_Mapping_SEDS!$BB127</f>
        <v>0</v>
      </c>
      <c r="J7" s="34">
        <f>State_Fossil_All_Mapping_SEDS!K127/State_Fossil_All_Mapping_SEDS!$BB127</f>
        <v>0</v>
      </c>
      <c r="K7" s="34">
        <f>State_Fossil_All_Mapping_SEDS!L127/State_Fossil_All_Mapping_SEDS!$BB127</f>
        <v>0</v>
      </c>
      <c r="L7" s="34">
        <f>State_Fossil_All_Mapping_SEDS!M127/State_Fossil_All_Mapping_SEDS!$BB127</f>
        <v>0</v>
      </c>
      <c r="M7" s="34">
        <f>State_Fossil_All_Mapping_SEDS!N127/State_Fossil_All_Mapping_SEDS!$BB127</f>
        <v>0</v>
      </c>
      <c r="N7" s="34">
        <f>State_Fossil_All_Mapping_SEDS!O127/State_Fossil_All_Mapping_SEDS!$BB127</f>
        <v>0</v>
      </c>
      <c r="O7" s="34">
        <f>State_Fossil_All_Mapping_SEDS!P127/State_Fossil_All_Mapping_SEDS!$BB127</f>
        <v>0</v>
      </c>
      <c r="P7" s="34">
        <f>State_Fossil_All_Mapping_SEDS!Q127/State_Fossil_All_Mapping_SEDS!$BB127</f>
        <v>0</v>
      </c>
      <c r="Q7" s="34">
        <f>State_Fossil_All_Mapping_SEDS!R127/State_Fossil_All_Mapping_SEDS!$BB127</f>
        <v>0</v>
      </c>
      <c r="R7" s="34">
        <f>State_Fossil_All_Mapping_SEDS!S127/State_Fossil_All_Mapping_SEDS!$BB127</f>
        <v>0</v>
      </c>
      <c r="S7" s="34">
        <f>State_Fossil_All_Mapping_SEDS!T127/State_Fossil_All_Mapping_SEDS!$BB127</f>
        <v>0.2395382395</v>
      </c>
      <c r="T7" s="34">
        <f>State_Fossil_All_Mapping_SEDS!U127/State_Fossil_All_Mapping_SEDS!$BB127</f>
        <v>0</v>
      </c>
      <c r="U7" s="34">
        <f>State_Fossil_All_Mapping_SEDS!V127/State_Fossil_All_Mapping_SEDS!$BB127</f>
        <v>0</v>
      </c>
      <c r="V7" s="34">
        <f>State_Fossil_All_Mapping_SEDS!W127/State_Fossil_All_Mapping_SEDS!$BB127</f>
        <v>0</v>
      </c>
      <c r="W7" s="34">
        <f>State_Fossil_All_Mapping_SEDS!X127/State_Fossil_All_Mapping_SEDS!$BB127</f>
        <v>0</v>
      </c>
      <c r="X7" s="34">
        <f>State_Fossil_All_Mapping_SEDS!Y127/State_Fossil_All_Mapping_SEDS!$BB127</f>
        <v>0</v>
      </c>
      <c r="Y7" s="34">
        <f>State_Fossil_All_Mapping_SEDS!Z127/State_Fossil_All_Mapping_SEDS!$BB127</f>
        <v>0</v>
      </c>
      <c r="Z7" s="34">
        <f>State_Fossil_All_Mapping_SEDS!AA127/State_Fossil_All_Mapping_SEDS!$BB127</f>
        <v>0.145021645</v>
      </c>
      <c r="AA7" s="34">
        <f>State_Fossil_All_Mapping_SEDS!AB127/State_Fossil_All_Mapping_SEDS!$BB127</f>
        <v>0</v>
      </c>
      <c r="AB7" s="34">
        <f>State_Fossil_All_Mapping_SEDS!AC127/State_Fossil_All_Mapping_SEDS!$BB127</f>
        <v>0</v>
      </c>
      <c r="AC7" s="34">
        <f>State_Fossil_All_Mapping_SEDS!AD127/State_Fossil_All_Mapping_SEDS!$BB127</f>
        <v>0</v>
      </c>
      <c r="AD7" s="34">
        <f>State_Fossil_All_Mapping_SEDS!AE127/State_Fossil_All_Mapping_SEDS!$BB127</f>
        <v>0</v>
      </c>
      <c r="AE7" s="34">
        <f>State_Fossil_All_Mapping_SEDS!AF127/State_Fossil_All_Mapping_SEDS!$BB127</f>
        <v>0</v>
      </c>
      <c r="AF7" s="34">
        <f>State_Fossil_All_Mapping_SEDS!AG127/State_Fossil_All_Mapping_SEDS!$BB127</f>
        <v>0</v>
      </c>
      <c r="AG7" s="34">
        <f>State_Fossil_All_Mapping_SEDS!AH127/State_Fossil_All_Mapping_SEDS!$BB127</f>
        <v>0</v>
      </c>
      <c r="AH7" s="34">
        <f>State_Fossil_All_Mapping_SEDS!AI127/State_Fossil_All_Mapping_SEDS!$BB127</f>
        <v>0</v>
      </c>
      <c r="AI7" s="34">
        <f>State_Fossil_All_Mapping_SEDS!AJ127/State_Fossil_All_Mapping_SEDS!$BB127</f>
        <v>0</v>
      </c>
      <c r="AJ7" s="34">
        <f>State_Fossil_All_Mapping_SEDS!AK127/State_Fossil_All_Mapping_SEDS!$BB127</f>
        <v>0</v>
      </c>
      <c r="AK7" s="34">
        <f>State_Fossil_All_Mapping_SEDS!AL127/State_Fossil_All_Mapping_SEDS!$BB127</f>
        <v>0</v>
      </c>
      <c r="AL7" s="34">
        <f>State_Fossil_All_Mapping_SEDS!AM127/State_Fossil_All_Mapping_SEDS!$BB127</f>
        <v>0</v>
      </c>
      <c r="AM7" s="34">
        <f>State_Fossil_All_Mapping_SEDS!AN127/State_Fossil_All_Mapping_SEDS!$BB127</f>
        <v>0</v>
      </c>
      <c r="AN7" s="34">
        <f>State_Fossil_All_Mapping_SEDS!AO127/State_Fossil_All_Mapping_SEDS!$BB127</f>
        <v>0</v>
      </c>
      <c r="AO7" s="34">
        <f>State_Fossil_All_Mapping_SEDS!AP127/State_Fossil_All_Mapping_SEDS!$BB127</f>
        <v>0</v>
      </c>
      <c r="AP7" s="34">
        <f>State_Fossil_All_Mapping_SEDS!AQ127/State_Fossil_All_Mapping_SEDS!$BB127</f>
        <v>0</v>
      </c>
      <c r="AQ7" s="34">
        <f>State_Fossil_All_Mapping_SEDS!AR127/State_Fossil_All_Mapping_SEDS!$BB127</f>
        <v>0</v>
      </c>
      <c r="AR7" s="34">
        <f>State_Fossil_All_Mapping_SEDS!AS127/State_Fossil_All_Mapping_SEDS!$BB127</f>
        <v>0.373015873</v>
      </c>
      <c r="AS7" s="34">
        <f>State_Fossil_All_Mapping_SEDS!AT127/State_Fossil_All_Mapping_SEDS!$BB127</f>
        <v>0</v>
      </c>
      <c r="AT7" s="34">
        <f>State_Fossil_All_Mapping_SEDS!AU127/State_Fossil_All_Mapping_SEDS!$BB127</f>
        <v>0</v>
      </c>
      <c r="AU7" s="34">
        <f>State_Fossil_All_Mapping_SEDS!AV127/State_Fossil_All_Mapping_SEDS!$BB127</f>
        <v>0</v>
      </c>
      <c r="AV7" s="34">
        <f>State_Fossil_All_Mapping_SEDS!AW127/State_Fossil_All_Mapping_SEDS!$BB127</f>
        <v>0</v>
      </c>
      <c r="AW7" s="34">
        <f>State_Fossil_All_Mapping_SEDS!AX127/State_Fossil_All_Mapping_SEDS!$BB127</f>
        <v>0</v>
      </c>
      <c r="AX7" s="34">
        <f>State_Fossil_All_Mapping_SEDS!AY127/State_Fossil_All_Mapping_SEDS!$BB127</f>
        <v>0</v>
      </c>
      <c r="AY7" s="34">
        <f>State_Fossil_All_Mapping_SEDS!AZ127/State_Fossil_All_Mapping_SEDS!$BB127</f>
        <v>0</v>
      </c>
      <c r="AZ7" s="34">
        <f>State_Fossil_All_Mapping_SEDS!BA127/State_Fossil_All_Mapping_SEDS!$BB127</f>
        <v>0</v>
      </c>
    </row>
    <row r="8" ht="15.75" customHeight="1">
      <c r="A8" s="34">
        <v>7.0</v>
      </c>
      <c r="B8" s="34">
        <f>State_Fossil_All_Mapping_SEDS!C128/State_Fossil_All_Mapping_SEDS!$BB128</f>
        <v>0</v>
      </c>
      <c r="C8" s="34">
        <f>State_Fossil_All_Mapping_SEDS!D128/State_Fossil_All_Mapping_SEDS!$BB128</f>
        <v>0</v>
      </c>
      <c r="D8" s="34">
        <f>State_Fossil_All_Mapping_SEDS!E128/State_Fossil_All_Mapping_SEDS!$BB128</f>
        <v>0</v>
      </c>
      <c r="E8" s="34">
        <f>State_Fossil_All_Mapping_SEDS!F128/State_Fossil_All_Mapping_SEDS!$BB128</f>
        <v>0.08064516129</v>
      </c>
      <c r="F8" s="34">
        <f>State_Fossil_All_Mapping_SEDS!G128/State_Fossil_All_Mapping_SEDS!$BB128</f>
        <v>0</v>
      </c>
      <c r="G8" s="34">
        <f>State_Fossil_All_Mapping_SEDS!H128/State_Fossil_All_Mapping_SEDS!$BB128</f>
        <v>0</v>
      </c>
      <c r="H8" s="34">
        <f>State_Fossil_All_Mapping_SEDS!I128/State_Fossil_All_Mapping_SEDS!$BB128</f>
        <v>0</v>
      </c>
      <c r="I8" s="34">
        <f>State_Fossil_All_Mapping_SEDS!J128/State_Fossil_All_Mapping_SEDS!$BB128</f>
        <v>0</v>
      </c>
      <c r="J8" s="34">
        <f>State_Fossil_All_Mapping_SEDS!K128/State_Fossil_All_Mapping_SEDS!$BB128</f>
        <v>0</v>
      </c>
      <c r="K8" s="34">
        <f>State_Fossil_All_Mapping_SEDS!L128/State_Fossil_All_Mapping_SEDS!$BB128</f>
        <v>0</v>
      </c>
      <c r="L8" s="34">
        <f>State_Fossil_All_Mapping_SEDS!M128/State_Fossil_All_Mapping_SEDS!$BB128</f>
        <v>0</v>
      </c>
      <c r="M8" s="34">
        <f>State_Fossil_All_Mapping_SEDS!N128/State_Fossil_All_Mapping_SEDS!$BB128</f>
        <v>0</v>
      </c>
      <c r="N8" s="34">
        <f>State_Fossil_All_Mapping_SEDS!O128/State_Fossil_All_Mapping_SEDS!$BB128</f>
        <v>0</v>
      </c>
      <c r="O8" s="34">
        <f>State_Fossil_All_Mapping_SEDS!P128/State_Fossil_All_Mapping_SEDS!$BB128</f>
        <v>0</v>
      </c>
      <c r="P8" s="34">
        <f>State_Fossil_All_Mapping_SEDS!Q128/State_Fossil_All_Mapping_SEDS!$BB128</f>
        <v>0</v>
      </c>
      <c r="Q8" s="34">
        <f>State_Fossil_All_Mapping_SEDS!R128/State_Fossil_All_Mapping_SEDS!$BB128</f>
        <v>0</v>
      </c>
      <c r="R8" s="34">
        <f>State_Fossil_All_Mapping_SEDS!S128/State_Fossil_All_Mapping_SEDS!$BB128</f>
        <v>0</v>
      </c>
      <c r="S8" s="34">
        <f>State_Fossil_All_Mapping_SEDS!T128/State_Fossil_All_Mapping_SEDS!$BB128</f>
        <v>0</v>
      </c>
      <c r="T8" s="34">
        <f>State_Fossil_All_Mapping_SEDS!U128/State_Fossil_All_Mapping_SEDS!$BB128</f>
        <v>0.1184107002</v>
      </c>
      <c r="U8" s="34">
        <f>State_Fossil_All_Mapping_SEDS!V128/State_Fossil_All_Mapping_SEDS!$BB128</f>
        <v>0</v>
      </c>
      <c r="V8" s="34">
        <f>State_Fossil_All_Mapping_SEDS!W128/State_Fossil_All_Mapping_SEDS!$BB128</f>
        <v>0</v>
      </c>
      <c r="W8" s="34">
        <f>State_Fossil_All_Mapping_SEDS!X128/State_Fossil_All_Mapping_SEDS!$BB128</f>
        <v>0</v>
      </c>
      <c r="X8" s="34">
        <f>State_Fossil_All_Mapping_SEDS!Y128/State_Fossil_All_Mapping_SEDS!$BB128</f>
        <v>0</v>
      </c>
      <c r="Y8" s="34">
        <f>State_Fossil_All_Mapping_SEDS!Z128/State_Fossil_All_Mapping_SEDS!$BB128</f>
        <v>0</v>
      </c>
      <c r="Z8" s="34">
        <f>State_Fossil_All_Mapping_SEDS!AA128/State_Fossil_All_Mapping_SEDS!$BB128</f>
        <v>0</v>
      </c>
      <c r="AA8" s="34">
        <f>State_Fossil_All_Mapping_SEDS!AB128/State_Fossil_All_Mapping_SEDS!$BB128</f>
        <v>0</v>
      </c>
      <c r="AB8" s="34">
        <f>State_Fossil_All_Mapping_SEDS!AC128/State_Fossil_All_Mapping_SEDS!$BB128</f>
        <v>0</v>
      </c>
      <c r="AC8" s="34">
        <f>State_Fossil_All_Mapping_SEDS!AD128/State_Fossil_All_Mapping_SEDS!$BB128</f>
        <v>0</v>
      </c>
      <c r="AD8" s="34">
        <f>State_Fossil_All_Mapping_SEDS!AE128/State_Fossil_All_Mapping_SEDS!$BB128</f>
        <v>0</v>
      </c>
      <c r="AE8" s="34">
        <f>State_Fossil_All_Mapping_SEDS!AF128/State_Fossil_All_Mapping_SEDS!$BB128</f>
        <v>0</v>
      </c>
      <c r="AF8" s="34">
        <f>State_Fossil_All_Mapping_SEDS!AG128/State_Fossil_All_Mapping_SEDS!$BB128</f>
        <v>0</v>
      </c>
      <c r="AG8" s="34">
        <f>State_Fossil_All_Mapping_SEDS!AH128/State_Fossil_All_Mapping_SEDS!$BB128</f>
        <v>0</v>
      </c>
      <c r="AH8" s="34">
        <f>State_Fossil_All_Mapping_SEDS!AI128/State_Fossil_All_Mapping_SEDS!$BB128</f>
        <v>0</v>
      </c>
      <c r="AI8" s="34">
        <f>State_Fossil_All_Mapping_SEDS!AJ128/State_Fossil_All_Mapping_SEDS!$BB128</f>
        <v>0</v>
      </c>
      <c r="AJ8" s="34">
        <f>State_Fossil_All_Mapping_SEDS!AK128/State_Fossil_All_Mapping_SEDS!$BB128</f>
        <v>0</v>
      </c>
      <c r="AK8" s="34">
        <f>State_Fossil_All_Mapping_SEDS!AL128/State_Fossil_All_Mapping_SEDS!$BB128</f>
        <v>0</v>
      </c>
      <c r="AL8" s="34">
        <f>State_Fossil_All_Mapping_SEDS!AM128/State_Fossil_All_Mapping_SEDS!$BB128</f>
        <v>0.1014948859</v>
      </c>
      <c r="AM8" s="34">
        <f>State_Fossil_All_Mapping_SEDS!AN128/State_Fossil_All_Mapping_SEDS!$BB128</f>
        <v>0</v>
      </c>
      <c r="AN8" s="34">
        <f>State_Fossil_All_Mapping_SEDS!AO128/State_Fossil_All_Mapping_SEDS!$BB128</f>
        <v>0</v>
      </c>
      <c r="AO8" s="34">
        <f>State_Fossil_All_Mapping_SEDS!AP128/State_Fossil_All_Mapping_SEDS!$BB128</f>
        <v>0</v>
      </c>
      <c r="AP8" s="34">
        <f>State_Fossil_All_Mapping_SEDS!AQ128/State_Fossil_All_Mapping_SEDS!$BB128</f>
        <v>0</v>
      </c>
      <c r="AQ8" s="34">
        <f>State_Fossil_All_Mapping_SEDS!AR128/State_Fossil_All_Mapping_SEDS!$BB128</f>
        <v>0</v>
      </c>
      <c r="AR8" s="34">
        <f>State_Fossil_All_Mapping_SEDS!AS128/State_Fossil_All_Mapping_SEDS!$BB128</f>
        <v>0</v>
      </c>
      <c r="AS8" s="34">
        <f>State_Fossil_All_Mapping_SEDS!AT128/State_Fossil_All_Mapping_SEDS!$BB128</f>
        <v>0.6994492526</v>
      </c>
      <c r="AT8" s="34">
        <f>State_Fossil_All_Mapping_SEDS!AU128/State_Fossil_All_Mapping_SEDS!$BB128</f>
        <v>0</v>
      </c>
      <c r="AU8" s="34">
        <f>State_Fossil_All_Mapping_SEDS!AV128/State_Fossil_All_Mapping_SEDS!$BB128</f>
        <v>0</v>
      </c>
      <c r="AV8" s="34">
        <f>State_Fossil_All_Mapping_SEDS!AW128/State_Fossil_All_Mapping_SEDS!$BB128</f>
        <v>0</v>
      </c>
      <c r="AW8" s="34">
        <f>State_Fossil_All_Mapping_SEDS!AX128/State_Fossil_All_Mapping_SEDS!$BB128</f>
        <v>0</v>
      </c>
      <c r="AX8" s="34">
        <f>State_Fossil_All_Mapping_SEDS!AY128/State_Fossil_All_Mapping_SEDS!$BB128</f>
        <v>0</v>
      </c>
      <c r="AY8" s="34">
        <f>State_Fossil_All_Mapping_SEDS!AZ128/State_Fossil_All_Mapping_SEDS!$BB128</f>
        <v>0</v>
      </c>
      <c r="AZ8" s="34">
        <f>State_Fossil_All_Mapping_SEDS!BA128/State_Fossil_All_Mapping_SEDS!$BB128</f>
        <v>0</v>
      </c>
    </row>
    <row r="9" ht="15.75" customHeight="1">
      <c r="A9" s="34">
        <v>8.0</v>
      </c>
      <c r="B9" s="34">
        <f>State_Fossil_All_Mapping_SEDS!C129/State_Fossil_All_Mapping_SEDS!$BB129</f>
        <v>0</v>
      </c>
      <c r="C9" s="34">
        <f>State_Fossil_All_Mapping_SEDS!D129/State_Fossil_All_Mapping_SEDS!$BB129</f>
        <v>0</v>
      </c>
      <c r="D9" s="34">
        <f>State_Fossil_All_Mapping_SEDS!E129/State_Fossil_All_Mapping_SEDS!$BB129</f>
        <v>0.2687793427</v>
      </c>
      <c r="E9" s="34">
        <f>State_Fossil_All_Mapping_SEDS!F129/State_Fossil_All_Mapping_SEDS!$BB129</f>
        <v>0</v>
      </c>
      <c r="F9" s="34">
        <f>State_Fossil_All_Mapping_SEDS!G129/State_Fossil_All_Mapping_SEDS!$BB129</f>
        <v>0</v>
      </c>
      <c r="G9" s="34">
        <f>State_Fossil_All_Mapping_SEDS!H129/State_Fossil_All_Mapping_SEDS!$BB129</f>
        <v>0.265258216</v>
      </c>
      <c r="H9" s="34">
        <f>State_Fossil_All_Mapping_SEDS!I129/State_Fossil_All_Mapping_SEDS!$BB129</f>
        <v>0</v>
      </c>
      <c r="I9" s="34">
        <f>State_Fossil_All_Mapping_SEDS!J129/State_Fossil_All_Mapping_SEDS!$BB129</f>
        <v>0</v>
      </c>
      <c r="J9" s="34">
        <f>State_Fossil_All_Mapping_SEDS!K129/State_Fossil_All_Mapping_SEDS!$BB129</f>
        <v>0</v>
      </c>
      <c r="K9" s="34">
        <f>State_Fossil_All_Mapping_SEDS!L129/State_Fossil_All_Mapping_SEDS!$BB129</f>
        <v>0</v>
      </c>
      <c r="L9" s="34">
        <f>State_Fossil_All_Mapping_SEDS!M129/State_Fossil_All_Mapping_SEDS!$BB129</f>
        <v>0</v>
      </c>
      <c r="M9" s="34">
        <f>State_Fossil_All_Mapping_SEDS!N129/State_Fossil_All_Mapping_SEDS!$BB129</f>
        <v>0</v>
      </c>
      <c r="N9" s="34">
        <f>State_Fossil_All_Mapping_SEDS!O129/State_Fossil_All_Mapping_SEDS!$BB129</f>
        <v>0.07629107981</v>
      </c>
      <c r="O9" s="34">
        <f>State_Fossil_All_Mapping_SEDS!P129/State_Fossil_All_Mapping_SEDS!$BB129</f>
        <v>0</v>
      </c>
      <c r="P9" s="34">
        <f>State_Fossil_All_Mapping_SEDS!Q129/State_Fossil_All_Mapping_SEDS!$BB129</f>
        <v>0</v>
      </c>
      <c r="Q9" s="34">
        <f>State_Fossil_All_Mapping_SEDS!R129/State_Fossil_All_Mapping_SEDS!$BB129</f>
        <v>0</v>
      </c>
      <c r="R9" s="34">
        <f>State_Fossil_All_Mapping_SEDS!S129/State_Fossil_All_Mapping_SEDS!$BB129</f>
        <v>0</v>
      </c>
      <c r="S9" s="34">
        <f>State_Fossil_All_Mapping_SEDS!T129/State_Fossil_All_Mapping_SEDS!$BB129</f>
        <v>0</v>
      </c>
      <c r="T9" s="34">
        <f>State_Fossil_All_Mapping_SEDS!U129/State_Fossil_All_Mapping_SEDS!$BB129</f>
        <v>0</v>
      </c>
      <c r="U9" s="34">
        <f>State_Fossil_All_Mapping_SEDS!V129/State_Fossil_All_Mapping_SEDS!$BB129</f>
        <v>0</v>
      </c>
      <c r="V9" s="34">
        <f>State_Fossil_All_Mapping_SEDS!W129/State_Fossil_All_Mapping_SEDS!$BB129</f>
        <v>0</v>
      </c>
      <c r="W9" s="34">
        <f>State_Fossil_All_Mapping_SEDS!X129/State_Fossil_All_Mapping_SEDS!$BB129</f>
        <v>0</v>
      </c>
      <c r="X9" s="34">
        <f>State_Fossil_All_Mapping_SEDS!Y129/State_Fossil_All_Mapping_SEDS!$BB129</f>
        <v>0</v>
      </c>
      <c r="Y9" s="34">
        <f>State_Fossil_All_Mapping_SEDS!Z129/State_Fossil_All_Mapping_SEDS!$BB129</f>
        <v>0</v>
      </c>
      <c r="Z9" s="34">
        <f>State_Fossil_All_Mapping_SEDS!AA129/State_Fossil_All_Mapping_SEDS!$BB129</f>
        <v>0</v>
      </c>
      <c r="AA9" s="34">
        <f>State_Fossil_All_Mapping_SEDS!AB129/State_Fossil_All_Mapping_SEDS!$BB129</f>
        <v>0</v>
      </c>
      <c r="AB9" s="34">
        <f>State_Fossil_All_Mapping_SEDS!AC129/State_Fossil_All_Mapping_SEDS!$BB129</f>
        <v>0.04753521127</v>
      </c>
      <c r="AC9" s="34">
        <f>State_Fossil_All_Mapping_SEDS!AD129/State_Fossil_All_Mapping_SEDS!$BB129</f>
        <v>0</v>
      </c>
      <c r="AD9" s="34">
        <f>State_Fossil_All_Mapping_SEDS!AE129/State_Fossil_All_Mapping_SEDS!$BB129</f>
        <v>0.1079812207</v>
      </c>
      <c r="AE9" s="34">
        <f>State_Fossil_All_Mapping_SEDS!AF129/State_Fossil_All_Mapping_SEDS!$BB129</f>
        <v>0</v>
      </c>
      <c r="AF9" s="34">
        <f>State_Fossil_All_Mapping_SEDS!AG129/State_Fossil_All_Mapping_SEDS!$BB129</f>
        <v>0</v>
      </c>
      <c r="AG9" s="34">
        <f>State_Fossil_All_Mapping_SEDS!AH129/State_Fossil_All_Mapping_SEDS!$BB129</f>
        <v>0.07746478873</v>
      </c>
      <c r="AH9" s="34">
        <f>State_Fossil_All_Mapping_SEDS!AI129/State_Fossil_All_Mapping_SEDS!$BB129</f>
        <v>0</v>
      </c>
      <c r="AI9" s="34">
        <f>State_Fossil_All_Mapping_SEDS!AJ129/State_Fossil_All_Mapping_SEDS!$BB129</f>
        <v>0</v>
      </c>
      <c r="AJ9" s="34">
        <f>State_Fossil_All_Mapping_SEDS!AK129/State_Fossil_All_Mapping_SEDS!$BB129</f>
        <v>0</v>
      </c>
      <c r="AK9" s="34">
        <f>State_Fossil_All_Mapping_SEDS!AL129/State_Fossil_All_Mapping_SEDS!$BB129</f>
        <v>0</v>
      </c>
      <c r="AL9" s="34">
        <f>State_Fossil_All_Mapping_SEDS!AM129/State_Fossil_All_Mapping_SEDS!$BB129</f>
        <v>0</v>
      </c>
      <c r="AM9" s="34">
        <f>State_Fossil_All_Mapping_SEDS!AN129/State_Fossil_All_Mapping_SEDS!$BB129</f>
        <v>0</v>
      </c>
      <c r="AN9" s="34">
        <f>State_Fossil_All_Mapping_SEDS!AO129/State_Fossil_All_Mapping_SEDS!$BB129</f>
        <v>0</v>
      </c>
      <c r="AO9" s="34">
        <f>State_Fossil_All_Mapping_SEDS!AP129/State_Fossil_All_Mapping_SEDS!$BB129</f>
        <v>0</v>
      </c>
      <c r="AP9" s="34">
        <f>State_Fossil_All_Mapping_SEDS!AQ129/State_Fossil_All_Mapping_SEDS!$BB129</f>
        <v>0</v>
      </c>
      <c r="AQ9" s="34">
        <f>State_Fossil_All_Mapping_SEDS!AR129/State_Fossil_All_Mapping_SEDS!$BB129</f>
        <v>0</v>
      </c>
      <c r="AR9" s="34">
        <f>State_Fossil_All_Mapping_SEDS!AS129/State_Fossil_All_Mapping_SEDS!$BB129</f>
        <v>0</v>
      </c>
      <c r="AS9" s="34">
        <f>State_Fossil_All_Mapping_SEDS!AT129/State_Fossil_All_Mapping_SEDS!$BB129</f>
        <v>0</v>
      </c>
      <c r="AT9" s="34">
        <f>State_Fossil_All_Mapping_SEDS!AU129/State_Fossil_All_Mapping_SEDS!$BB129</f>
        <v>0.1314553991</v>
      </c>
      <c r="AU9" s="34">
        <f>State_Fossil_All_Mapping_SEDS!AV129/State_Fossil_All_Mapping_SEDS!$BB129</f>
        <v>0</v>
      </c>
      <c r="AV9" s="34">
        <f>State_Fossil_All_Mapping_SEDS!AW129/State_Fossil_All_Mapping_SEDS!$BB129</f>
        <v>0</v>
      </c>
      <c r="AW9" s="34">
        <f>State_Fossil_All_Mapping_SEDS!AX129/State_Fossil_All_Mapping_SEDS!$BB129</f>
        <v>0</v>
      </c>
      <c r="AX9" s="34">
        <f>State_Fossil_All_Mapping_SEDS!AY129/State_Fossil_All_Mapping_SEDS!$BB129</f>
        <v>0</v>
      </c>
      <c r="AY9" s="34">
        <f>State_Fossil_All_Mapping_SEDS!AZ129/State_Fossil_All_Mapping_SEDS!$BB129</f>
        <v>0</v>
      </c>
      <c r="AZ9" s="34">
        <f>State_Fossil_All_Mapping_SEDS!BA129/State_Fossil_All_Mapping_SEDS!$BB129</f>
        <v>0.02523474178</v>
      </c>
    </row>
    <row r="10" ht="15.75" customHeight="1">
      <c r="A10" s="34">
        <v>9.0</v>
      </c>
      <c r="B10" s="34">
        <f>State_Fossil_All_Mapping_SEDS!C130/State_Fossil_All_Mapping_SEDS!$BB130</f>
        <v>0</v>
      </c>
      <c r="C10" s="34">
        <f>State_Fossil_All_Mapping_SEDS!D130/State_Fossil_All_Mapping_SEDS!$BB130</f>
        <v>0.01567944251</v>
      </c>
      <c r="D10" s="34">
        <f>State_Fossil_All_Mapping_SEDS!E130/State_Fossil_All_Mapping_SEDS!$BB130</f>
        <v>0</v>
      </c>
      <c r="E10" s="34">
        <f>State_Fossil_All_Mapping_SEDS!F130/State_Fossil_All_Mapping_SEDS!$BB130</f>
        <v>0</v>
      </c>
      <c r="F10" s="34">
        <f>State_Fossil_All_Mapping_SEDS!G130/State_Fossil_All_Mapping_SEDS!$BB130</f>
        <v>0.6909407666</v>
      </c>
      <c r="G10" s="34">
        <f>State_Fossil_All_Mapping_SEDS!H130/State_Fossil_All_Mapping_SEDS!$BB130</f>
        <v>0</v>
      </c>
      <c r="H10" s="34">
        <f>State_Fossil_All_Mapping_SEDS!I130/State_Fossil_All_Mapping_SEDS!$BB130</f>
        <v>0</v>
      </c>
      <c r="I10" s="34">
        <f>State_Fossil_All_Mapping_SEDS!J130/State_Fossil_All_Mapping_SEDS!$BB130</f>
        <v>0</v>
      </c>
      <c r="J10" s="34">
        <f>State_Fossil_All_Mapping_SEDS!K130/State_Fossil_All_Mapping_SEDS!$BB130</f>
        <v>0</v>
      </c>
      <c r="K10" s="34">
        <f>State_Fossil_All_Mapping_SEDS!L130/State_Fossil_All_Mapping_SEDS!$BB130</f>
        <v>0</v>
      </c>
      <c r="L10" s="34">
        <f>State_Fossil_All_Mapping_SEDS!M130/State_Fossil_All_Mapping_SEDS!$BB130</f>
        <v>0</v>
      </c>
      <c r="M10" s="34">
        <f>State_Fossil_All_Mapping_SEDS!N130/State_Fossil_All_Mapping_SEDS!$BB130</f>
        <v>0.02404181185</v>
      </c>
      <c r="N10" s="34">
        <f>State_Fossil_All_Mapping_SEDS!O130/State_Fossil_All_Mapping_SEDS!$BB130</f>
        <v>0</v>
      </c>
      <c r="O10" s="34">
        <f>State_Fossil_All_Mapping_SEDS!P130/State_Fossil_All_Mapping_SEDS!$BB130</f>
        <v>0</v>
      </c>
      <c r="P10" s="34">
        <f>State_Fossil_All_Mapping_SEDS!Q130/State_Fossil_All_Mapping_SEDS!$BB130</f>
        <v>0</v>
      </c>
      <c r="Q10" s="34">
        <f>State_Fossil_All_Mapping_SEDS!R130/State_Fossil_All_Mapping_SEDS!$BB130</f>
        <v>0</v>
      </c>
      <c r="R10" s="34">
        <f>State_Fossil_All_Mapping_SEDS!S130/State_Fossil_All_Mapping_SEDS!$BB130</f>
        <v>0</v>
      </c>
      <c r="S10" s="34">
        <f>State_Fossil_All_Mapping_SEDS!T130/State_Fossil_All_Mapping_SEDS!$BB130</f>
        <v>0</v>
      </c>
      <c r="T10" s="34">
        <f>State_Fossil_All_Mapping_SEDS!U130/State_Fossil_All_Mapping_SEDS!$BB130</f>
        <v>0</v>
      </c>
      <c r="U10" s="34">
        <f>State_Fossil_All_Mapping_SEDS!V130/State_Fossil_All_Mapping_SEDS!$BB130</f>
        <v>0</v>
      </c>
      <c r="V10" s="34">
        <f>State_Fossil_All_Mapping_SEDS!W130/State_Fossil_All_Mapping_SEDS!$BB130</f>
        <v>0</v>
      </c>
      <c r="W10" s="34">
        <f>State_Fossil_All_Mapping_SEDS!X130/State_Fossil_All_Mapping_SEDS!$BB130</f>
        <v>0</v>
      </c>
      <c r="X10" s="34">
        <f>State_Fossil_All_Mapping_SEDS!Y130/State_Fossil_All_Mapping_SEDS!$BB130</f>
        <v>0</v>
      </c>
      <c r="Y10" s="34">
        <f>State_Fossil_All_Mapping_SEDS!Z130/State_Fossil_All_Mapping_SEDS!$BB130</f>
        <v>0</v>
      </c>
      <c r="Z10" s="34">
        <f>State_Fossil_All_Mapping_SEDS!AA130/State_Fossil_All_Mapping_SEDS!$BB130</f>
        <v>0</v>
      </c>
      <c r="AA10" s="34">
        <f>State_Fossil_All_Mapping_SEDS!AB130/State_Fossil_All_Mapping_SEDS!$BB130</f>
        <v>0</v>
      </c>
      <c r="AB10" s="34">
        <f>State_Fossil_All_Mapping_SEDS!AC130/State_Fossil_All_Mapping_SEDS!$BB130</f>
        <v>0</v>
      </c>
      <c r="AC10" s="34">
        <f>State_Fossil_All_Mapping_SEDS!AD130/State_Fossil_All_Mapping_SEDS!$BB130</f>
        <v>0</v>
      </c>
      <c r="AD10" s="34">
        <f>State_Fossil_All_Mapping_SEDS!AE130/State_Fossil_All_Mapping_SEDS!$BB130</f>
        <v>0</v>
      </c>
      <c r="AE10" s="34">
        <f>State_Fossil_All_Mapping_SEDS!AF130/State_Fossil_All_Mapping_SEDS!$BB130</f>
        <v>0</v>
      </c>
      <c r="AF10" s="34">
        <f>State_Fossil_All_Mapping_SEDS!AG130/State_Fossil_All_Mapping_SEDS!$BB130</f>
        <v>0</v>
      </c>
      <c r="AG10" s="34">
        <f>State_Fossil_All_Mapping_SEDS!AH130/State_Fossil_All_Mapping_SEDS!$BB130</f>
        <v>0</v>
      </c>
      <c r="AH10" s="34">
        <f>State_Fossil_All_Mapping_SEDS!AI130/State_Fossil_All_Mapping_SEDS!$BB130</f>
        <v>0</v>
      </c>
      <c r="AI10" s="34">
        <f>State_Fossil_All_Mapping_SEDS!AJ130/State_Fossil_All_Mapping_SEDS!$BB130</f>
        <v>0</v>
      </c>
      <c r="AJ10" s="34">
        <f>State_Fossil_All_Mapping_SEDS!AK130/State_Fossil_All_Mapping_SEDS!$BB130</f>
        <v>0</v>
      </c>
      <c r="AK10" s="34">
        <f>State_Fossil_All_Mapping_SEDS!AL130/State_Fossil_All_Mapping_SEDS!$BB130</f>
        <v>0</v>
      </c>
      <c r="AL10" s="34">
        <f>State_Fossil_All_Mapping_SEDS!AM130/State_Fossil_All_Mapping_SEDS!$BB130</f>
        <v>0</v>
      </c>
      <c r="AM10" s="34">
        <f>State_Fossil_All_Mapping_SEDS!AN130/State_Fossil_All_Mapping_SEDS!$BB130</f>
        <v>0.09790940767</v>
      </c>
      <c r="AN10" s="34">
        <f>State_Fossil_All_Mapping_SEDS!AO130/State_Fossil_All_Mapping_SEDS!$BB130</f>
        <v>0</v>
      </c>
      <c r="AO10" s="34">
        <f>State_Fossil_All_Mapping_SEDS!AP130/State_Fossil_All_Mapping_SEDS!$BB130</f>
        <v>0</v>
      </c>
      <c r="AP10" s="34">
        <f>State_Fossil_All_Mapping_SEDS!AQ130/State_Fossil_All_Mapping_SEDS!$BB130</f>
        <v>0</v>
      </c>
      <c r="AQ10" s="34">
        <f>State_Fossil_All_Mapping_SEDS!AR130/State_Fossil_All_Mapping_SEDS!$BB130</f>
        <v>0</v>
      </c>
      <c r="AR10" s="34">
        <f>State_Fossil_All_Mapping_SEDS!AS130/State_Fossil_All_Mapping_SEDS!$BB130</f>
        <v>0</v>
      </c>
      <c r="AS10" s="34">
        <f>State_Fossil_All_Mapping_SEDS!AT130/State_Fossil_All_Mapping_SEDS!$BB130</f>
        <v>0</v>
      </c>
      <c r="AT10" s="34">
        <f>State_Fossil_All_Mapping_SEDS!AU130/State_Fossil_All_Mapping_SEDS!$BB130</f>
        <v>0</v>
      </c>
      <c r="AU10" s="34">
        <f>State_Fossil_All_Mapping_SEDS!AV130/State_Fossil_All_Mapping_SEDS!$BB130</f>
        <v>0</v>
      </c>
      <c r="AV10" s="34">
        <f>State_Fossil_All_Mapping_SEDS!AW130/State_Fossil_All_Mapping_SEDS!$BB130</f>
        <v>0</v>
      </c>
      <c r="AW10" s="34">
        <f>State_Fossil_All_Mapping_SEDS!AX130/State_Fossil_All_Mapping_SEDS!$BB130</f>
        <v>0.1714285714</v>
      </c>
      <c r="AX10" s="34">
        <f>State_Fossil_All_Mapping_SEDS!AY130/State_Fossil_All_Mapping_SEDS!$BB130</f>
        <v>0</v>
      </c>
      <c r="AY10" s="34">
        <f>State_Fossil_All_Mapping_SEDS!AZ130/State_Fossil_All_Mapping_SEDS!$BB130</f>
        <v>0</v>
      </c>
      <c r="AZ10" s="34">
        <f>State_Fossil_All_Mapping_SEDS!BA130/State_Fossil_All_Mapping_SEDS!$BB130</f>
        <v>0</v>
      </c>
    </row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45" t="s">
        <v>94</v>
      </c>
      <c r="B1" s="45" t="s">
        <v>1994</v>
      </c>
      <c r="C1" s="45" t="s">
        <v>2062</v>
      </c>
      <c r="D1" s="45" t="s">
        <v>2063</v>
      </c>
      <c r="E1" s="45" t="s">
        <v>2079</v>
      </c>
      <c r="F1" s="45" t="s">
        <v>2137</v>
      </c>
      <c r="G1" s="45" t="s">
        <v>2194</v>
      </c>
      <c r="H1" s="45" t="s">
        <v>2250</v>
      </c>
      <c r="I1" s="45" t="s">
        <v>2259</v>
      </c>
      <c r="J1" s="45" t="s">
        <v>2263</v>
      </c>
      <c r="K1" s="45" t="s">
        <v>2264</v>
      </c>
      <c r="L1" s="45" t="s">
        <v>2314</v>
      </c>
      <c r="M1" s="45" t="s">
        <v>2423</v>
      </c>
      <c r="N1" s="45" t="s">
        <v>2424</v>
      </c>
      <c r="O1" s="45" t="s">
        <v>2458</v>
      </c>
      <c r="P1" s="45" t="s">
        <v>2513</v>
      </c>
      <c r="Q1" s="45" t="s">
        <v>2555</v>
      </c>
      <c r="R1" s="45" t="s">
        <v>2601</v>
      </c>
      <c r="S1" s="45" t="s">
        <v>2669</v>
      </c>
      <c r="T1" s="45" t="s">
        <v>2725</v>
      </c>
      <c r="U1" s="45" t="s">
        <v>2790</v>
      </c>
      <c r="V1" s="45" t="s">
        <v>2801</v>
      </c>
      <c r="W1" s="45" t="s">
        <v>2819</v>
      </c>
      <c r="X1" s="45" t="s">
        <v>2830</v>
      </c>
      <c r="Y1" s="45" t="s">
        <v>2893</v>
      </c>
      <c r="Z1" s="45" t="s">
        <v>2955</v>
      </c>
      <c r="AA1" s="45" t="s">
        <v>2992</v>
      </c>
      <c r="AB1" s="45" t="s">
        <v>3034</v>
      </c>
      <c r="AC1" s="45" t="s">
        <v>3071</v>
      </c>
      <c r="AD1" s="45" t="s">
        <v>3112</v>
      </c>
      <c r="AE1" s="45" t="s">
        <v>3123</v>
      </c>
      <c r="AF1" s="45" t="s">
        <v>3131</v>
      </c>
      <c r="AG1" s="45" t="s">
        <v>3143</v>
      </c>
      <c r="AH1" s="45" t="s">
        <v>3168</v>
      </c>
      <c r="AI1" s="45" t="s">
        <v>3200</v>
      </c>
      <c r="AJ1" s="45" t="s">
        <v>3265</v>
      </c>
      <c r="AK1" s="45" t="s">
        <v>3297</v>
      </c>
      <c r="AL1" s="45" t="s">
        <v>3333</v>
      </c>
      <c r="AM1" s="45" t="s">
        <v>3376</v>
      </c>
      <c r="AN1" s="45" t="s">
        <v>3393</v>
      </c>
      <c r="AO1" s="45" t="s">
        <v>3427</v>
      </c>
      <c r="AP1" s="45" t="s">
        <v>3430</v>
      </c>
      <c r="AQ1" s="45" t="s">
        <v>3458</v>
      </c>
      <c r="AR1" s="45" t="s">
        <v>3497</v>
      </c>
      <c r="AS1" s="45" t="s">
        <v>3524</v>
      </c>
      <c r="AT1" s="45" t="s">
        <v>3687</v>
      </c>
      <c r="AU1" s="45" t="s">
        <v>3704</v>
      </c>
      <c r="AV1" s="45" t="s">
        <v>3713</v>
      </c>
      <c r="AW1" s="45" t="s">
        <v>3797</v>
      </c>
      <c r="AX1" s="45" t="s">
        <v>3820</v>
      </c>
      <c r="AY1" s="45" t="s">
        <v>3838</v>
      </c>
      <c r="AZ1" s="45" t="s">
        <v>3874</v>
      </c>
    </row>
    <row r="2" ht="15.75" customHeight="1">
      <c r="A2" s="34">
        <v>1.0</v>
      </c>
      <c r="B2" s="34">
        <f>State_Fossil_All_Mapping_SEDS!C82/State_Fossil_All_Mapping_SEDS!$BB82</f>
        <v>0</v>
      </c>
      <c r="C2" s="34">
        <f>State_Fossil_All_Mapping_SEDS!D82/State_Fossil_All_Mapping_SEDS!$BB82</f>
        <v>0</v>
      </c>
      <c r="D2" s="34">
        <f>State_Fossil_All_Mapping_SEDS!E82/State_Fossil_All_Mapping_SEDS!$BB82</f>
        <v>0</v>
      </c>
      <c r="E2" s="34">
        <f>State_Fossil_All_Mapping_SEDS!F82/State_Fossil_All_Mapping_SEDS!$BB82</f>
        <v>0</v>
      </c>
      <c r="F2" s="34">
        <f>State_Fossil_All_Mapping_SEDS!G82/State_Fossil_All_Mapping_SEDS!$BB82</f>
        <v>0</v>
      </c>
      <c r="G2" s="34">
        <f>State_Fossil_All_Mapping_SEDS!H82/State_Fossil_All_Mapping_SEDS!$BB82</f>
        <v>0</v>
      </c>
      <c r="H2" s="34">
        <f>State_Fossil_All_Mapping_SEDS!I82/State_Fossil_All_Mapping_SEDS!$BB82</f>
        <v>0.2408002336</v>
      </c>
      <c r="I2" s="34">
        <f>State_Fossil_All_Mapping_SEDS!J82/State_Fossil_All_Mapping_SEDS!$BB82</f>
        <v>0</v>
      </c>
      <c r="J2" s="34">
        <f>State_Fossil_All_Mapping_SEDS!K82/State_Fossil_All_Mapping_SEDS!$BB82</f>
        <v>0</v>
      </c>
      <c r="K2" s="34">
        <f>State_Fossil_All_Mapping_SEDS!L82/State_Fossil_All_Mapping_SEDS!$BB82</f>
        <v>0</v>
      </c>
      <c r="L2" s="34">
        <f>State_Fossil_All_Mapping_SEDS!M82/State_Fossil_All_Mapping_SEDS!$BB82</f>
        <v>0</v>
      </c>
      <c r="M2" s="34">
        <f>State_Fossil_All_Mapping_SEDS!N82/State_Fossil_All_Mapping_SEDS!$BB82</f>
        <v>0</v>
      </c>
      <c r="N2" s="34">
        <f>State_Fossil_All_Mapping_SEDS!O82/State_Fossil_All_Mapping_SEDS!$BB82</f>
        <v>0</v>
      </c>
      <c r="O2" s="34">
        <f>State_Fossil_All_Mapping_SEDS!P82/State_Fossil_All_Mapping_SEDS!$BB82</f>
        <v>0</v>
      </c>
      <c r="P2" s="34">
        <f>State_Fossil_All_Mapping_SEDS!Q82/State_Fossil_All_Mapping_SEDS!$BB82</f>
        <v>0</v>
      </c>
      <c r="Q2" s="34">
        <f>State_Fossil_All_Mapping_SEDS!R82/State_Fossil_All_Mapping_SEDS!$BB82</f>
        <v>0</v>
      </c>
      <c r="R2" s="34">
        <f>State_Fossil_All_Mapping_SEDS!S82/State_Fossil_All_Mapping_SEDS!$BB82</f>
        <v>0</v>
      </c>
      <c r="S2" s="34">
        <f>State_Fossil_All_Mapping_SEDS!T82/State_Fossil_All_Mapping_SEDS!$BB82</f>
        <v>0</v>
      </c>
      <c r="T2" s="34">
        <f>State_Fossil_All_Mapping_SEDS!U82/State_Fossil_All_Mapping_SEDS!$BB82</f>
        <v>0</v>
      </c>
      <c r="U2" s="34">
        <f>State_Fossil_All_Mapping_SEDS!V82/State_Fossil_All_Mapping_SEDS!$BB82</f>
        <v>0.1061623832</v>
      </c>
      <c r="V2" s="34">
        <f>State_Fossil_All_Mapping_SEDS!W82/State_Fossil_All_Mapping_SEDS!$BB82</f>
        <v>0</v>
      </c>
      <c r="W2" s="34">
        <f>State_Fossil_All_Mapping_SEDS!X82/State_Fossil_All_Mapping_SEDS!$BB82</f>
        <v>0.4312207944</v>
      </c>
      <c r="X2" s="34">
        <f>State_Fossil_All_Mapping_SEDS!Y82/State_Fossil_All_Mapping_SEDS!$BB82</f>
        <v>0</v>
      </c>
      <c r="Y2" s="34">
        <f>State_Fossil_All_Mapping_SEDS!Z82/State_Fossil_All_Mapping_SEDS!$BB82</f>
        <v>0</v>
      </c>
      <c r="Z2" s="34">
        <f>State_Fossil_All_Mapping_SEDS!AA82/State_Fossil_All_Mapping_SEDS!$BB82</f>
        <v>0</v>
      </c>
      <c r="AA2" s="34">
        <f>State_Fossil_All_Mapping_SEDS!AB82/State_Fossil_All_Mapping_SEDS!$BB82</f>
        <v>0</v>
      </c>
      <c r="AB2" s="34">
        <f>State_Fossil_All_Mapping_SEDS!AC82/State_Fossil_All_Mapping_SEDS!$BB82</f>
        <v>0</v>
      </c>
      <c r="AC2" s="34">
        <f>State_Fossil_All_Mapping_SEDS!AD82/State_Fossil_All_Mapping_SEDS!$BB82</f>
        <v>0</v>
      </c>
      <c r="AD2" s="34">
        <f>State_Fossil_All_Mapping_SEDS!AE82/State_Fossil_All_Mapping_SEDS!$BB82</f>
        <v>0</v>
      </c>
      <c r="AE2" s="34">
        <f>State_Fossil_All_Mapping_SEDS!AF82/State_Fossil_All_Mapping_SEDS!$BB82</f>
        <v>0.09462616822</v>
      </c>
      <c r="AF2" s="34">
        <f>State_Fossil_All_Mapping_SEDS!AG82/State_Fossil_All_Mapping_SEDS!$BB82</f>
        <v>0</v>
      </c>
      <c r="AG2" s="34">
        <f>State_Fossil_All_Mapping_SEDS!AH82/State_Fossil_All_Mapping_SEDS!$BB82</f>
        <v>0</v>
      </c>
      <c r="AH2" s="34">
        <f>State_Fossil_All_Mapping_SEDS!AI82/State_Fossil_All_Mapping_SEDS!$BB82</f>
        <v>0</v>
      </c>
      <c r="AI2" s="34">
        <f>State_Fossil_All_Mapping_SEDS!AJ82/State_Fossil_All_Mapping_SEDS!$BB82</f>
        <v>0</v>
      </c>
      <c r="AJ2" s="34">
        <f>State_Fossil_All_Mapping_SEDS!AK82/State_Fossil_All_Mapping_SEDS!$BB82</f>
        <v>0</v>
      </c>
      <c r="AK2" s="34">
        <f>State_Fossil_All_Mapping_SEDS!AL82/State_Fossil_All_Mapping_SEDS!$BB82</f>
        <v>0</v>
      </c>
      <c r="AL2" s="34">
        <f>State_Fossil_All_Mapping_SEDS!AM82/State_Fossil_All_Mapping_SEDS!$BB82</f>
        <v>0</v>
      </c>
      <c r="AM2" s="34">
        <f>State_Fossil_All_Mapping_SEDS!AN82/State_Fossil_All_Mapping_SEDS!$BB82</f>
        <v>0</v>
      </c>
      <c r="AN2" s="34">
        <f>State_Fossil_All_Mapping_SEDS!AO82/State_Fossil_All_Mapping_SEDS!$BB82</f>
        <v>0</v>
      </c>
      <c r="AO2" s="34">
        <f>State_Fossil_All_Mapping_SEDS!AP82/State_Fossil_All_Mapping_SEDS!$BB82</f>
        <v>0.06790303738</v>
      </c>
      <c r="AP2" s="34">
        <f>State_Fossil_All_Mapping_SEDS!AQ82/State_Fossil_All_Mapping_SEDS!$BB82</f>
        <v>0</v>
      </c>
      <c r="AQ2" s="34">
        <f>State_Fossil_All_Mapping_SEDS!AR82/State_Fossil_All_Mapping_SEDS!$BB82</f>
        <v>0</v>
      </c>
      <c r="AR2" s="34">
        <f>State_Fossil_All_Mapping_SEDS!AS82/State_Fossil_All_Mapping_SEDS!$BB82</f>
        <v>0</v>
      </c>
      <c r="AS2" s="34">
        <f>State_Fossil_All_Mapping_SEDS!AT82/State_Fossil_All_Mapping_SEDS!$BB82</f>
        <v>0</v>
      </c>
      <c r="AT2" s="34">
        <f>State_Fossil_All_Mapping_SEDS!AU82/State_Fossil_All_Mapping_SEDS!$BB82</f>
        <v>0</v>
      </c>
      <c r="AU2" s="34">
        <f>State_Fossil_All_Mapping_SEDS!AV82/State_Fossil_All_Mapping_SEDS!$BB82</f>
        <v>0.05928738318</v>
      </c>
      <c r="AV2" s="34">
        <f>State_Fossil_All_Mapping_SEDS!AW82/State_Fossil_All_Mapping_SEDS!$BB82</f>
        <v>0</v>
      </c>
      <c r="AW2" s="34">
        <f>State_Fossil_All_Mapping_SEDS!AX82/State_Fossil_All_Mapping_SEDS!$BB82</f>
        <v>0</v>
      </c>
      <c r="AX2" s="34">
        <f>State_Fossil_All_Mapping_SEDS!AY82/State_Fossil_All_Mapping_SEDS!$BB82</f>
        <v>0</v>
      </c>
      <c r="AY2" s="34">
        <f>State_Fossil_All_Mapping_SEDS!AZ82/State_Fossil_All_Mapping_SEDS!$BB82</f>
        <v>0</v>
      </c>
      <c r="AZ2" s="34">
        <f>State_Fossil_All_Mapping_SEDS!BA82/State_Fossil_All_Mapping_SEDS!$BB82</f>
        <v>0</v>
      </c>
    </row>
    <row r="3" ht="15.75" customHeight="1">
      <c r="A3" s="34">
        <v>2.0</v>
      </c>
      <c r="B3" s="34">
        <f>State_Fossil_All_Mapping_SEDS!C83/State_Fossil_All_Mapping_SEDS!$BB83</f>
        <v>0</v>
      </c>
      <c r="C3" s="34">
        <f>State_Fossil_All_Mapping_SEDS!D83/State_Fossil_All_Mapping_SEDS!$BB83</f>
        <v>0</v>
      </c>
      <c r="D3" s="34">
        <f>State_Fossil_All_Mapping_SEDS!E83/State_Fossil_All_Mapping_SEDS!$BB83</f>
        <v>0</v>
      </c>
      <c r="E3" s="34">
        <f>State_Fossil_All_Mapping_SEDS!F83/State_Fossil_All_Mapping_SEDS!$BB83</f>
        <v>0</v>
      </c>
      <c r="F3" s="34">
        <f>State_Fossil_All_Mapping_SEDS!G83/State_Fossil_All_Mapping_SEDS!$BB83</f>
        <v>0</v>
      </c>
      <c r="G3" s="34">
        <f>State_Fossil_All_Mapping_SEDS!H83/State_Fossil_All_Mapping_SEDS!$BB83</f>
        <v>0</v>
      </c>
      <c r="H3" s="34">
        <f>State_Fossil_All_Mapping_SEDS!I83/State_Fossil_All_Mapping_SEDS!$BB83</f>
        <v>0</v>
      </c>
      <c r="I3" s="34">
        <f>State_Fossil_All_Mapping_SEDS!J83/State_Fossil_All_Mapping_SEDS!$BB83</f>
        <v>0</v>
      </c>
      <c r="J3" s="34">
        <f>State_Fossil_All_Mapping_SEDS!K83/State_Fossil_All_Mapping_SEDS!$BB83</f>
        <v>0</v>
      </c>
      <c r="K3" s="34">
        <f>State_Fossil_All_Mapping_SEDS!L83/State_Fossil_All_Mapping_SEDS!$BB83</f>
        <v>0</v>
      </c>
      <c r="L3" s="34">
        <f>State_Fossil_All_Mapping_SEDS!M83/State_Fossil_All_Mapping_SEDS!$BB83</f>
        <v>0</v>
      </c>
      <c r="M3" s="34">
        <f>State_Fossil_All_Mapping_SEDS!N83/State_Fossil_All_Mapping_SEDS!$BB83</f>
        <v>0</v>
      </c>
      <c r="N3" s="34">
        <f>State_Fossil_All_Mapping_SEDS!O83/State_Fossil_All_Mapping_SEDS!$BB83</f>
        <v>0</v>
      </c>
      <c r="O3" s="34">
        <f>State_Fossil_All_Mapping_SEDS!P83/State_Fossil_All_Mapping_SEDS!$BB83</f>
        <v>0</v>
      </c>
      <c r="P3" s="34">
        <f>State_Fossil_All_Mapping_SEDS!Q83/State_Fossil_All_Mapping_SEDS!$BB83</f>
        <v>0</v>
      </c>
      <c r="Q3" s="34">
        <f>State_Fossil_All_Mapping_SEDS!R83/State_Fossil_All_Mapping_SEDS!$BB83</f>
        <v>0</v>
      </c>
      <c r="R3" s="34">
        <f>State_Fossil_All_Mapping_SEDS!S83/State_Fossil_All_Mapping_SEDS!$BB83</f>
        <v>0</v>
      </c>
      <c r="S3" s="34">
        <f>State_Fossil_All_Mapping_SEDS!T83/State_Fossil_All_Mapping_SEDS!$BB83</f>
        <v>0</v>
      </c>
      <c r="T3" s="34">
        <f>State_Fossil_All_Mapping_SEDS!U83/State_Fossil_All_Mapping_SEDS!$BB83</f>
        <v>0</v>
      </c>
      <c r="U3" s="34">
        <f>State_Fossil_All_Mapping_SEDS!V83/State_Fossil_All_Mapping_SEDS!$BB83</f>
        <v>0</v>
      </c>
      <c r="V3" s="34">
        <f>State_Fossil_All_Mapping_SEDS!W83/State_Fossil_All_Mapping_SEDS!$BB83</f>
        <v>0</v>
      </c>
      <c r="W3" s="34">
        <f>State_Fossil_All_Mapping_SEDS!X83/State_Fossil_All_Mapping_SEDS!$BB83</f>
        <v>0</v>
      </c>
      <c r="X3" s="34">
        <f>State_Fossil_All_Mapping_SEDS!Y83/State_Fossil_All_Mapping_SEDS!$BB83</f>
        <v>0</v>
      </c>
      <c r="Y3" s="34">
        <f>State_Fossil_All_Mapping_SEDS!Z83/State_Fossil_All_Mapping_SEDS!$BB83</f>
        <v>0</v>
      </c>
      <c r="Z3" s="34">
        <f>State_Fossil_All_Mapping_SEDS!AA83/State_Fossil_All_Mapping_SEDS!$BB83</f>
        <v>0</v>
      </c>
      <c r="AA3" s="34">
        <f>State_Fossil_All_Mapping_SEDS!AB83/State_Fossil_All_Mapping_SEDS!$BB83</f>
        <v>0</v>
      </c>
      <c r="AB3" s="34">
        <f>State_Fossil_All_Mapping_SEDS!AC83/State_Fossil_All_Mapping_SEDS!$BB83</f>
        <v>0</v>
      </c>
      <c r="AC3" s="34">
        <f>State_Fossil_All_Mapping_SEDS!AD83/State_Fossil_All_Mapping_SEDS!$BB83</f>
        <v>0</v>
      </c>
      <c r="AD3" s="34">
        <f>State_Fossil_All_Mapping_SEDS!AE83/State_Fossil_All_Mapping_SEDS!$BB83</f>
        <v>0</v>
      </c>
      <c r="AE3" s="34">
        <f>State_Fossil_All_Mapping_SEDS!AF83/State_Fossil_All_Mapping_SEDS!$BB83</f>
        <v>0</v>
      </c>
      <c r="AF3" s="34">
        <f>State_Fossil_All_Mapping_SEDS!AG83/State_Fossil_All_Mapping_SEDS!$BB83</f>
        <v>0.2206074368</v>
      </c>
      <c r="AG3" s="34">
        <f>State_Fossil_All_Mapping_SEDS!AH83/State_Fossil_All_Mapping_SEDS!$BB83</f>
        <v>0</v>
      </c>
      <c r="AH3" s="34">
        <f>State_Fossil_All_Mapping_SEDS!AI83/State_Fossil_All_Mapping_SEDS!$BB83</f>
        <v>0.4571104173</v>
      </c>
      <c r="AI3" s="34">
        <f>State_Fossil_All_Mapping_SEDS!AJ83/State_Fossil_All_Mapping_SEDS!$BB83</f>
        <v>0</v>
      </c>
      <c r="AJ3" s="34">
        <f>State_Fossil_All_Mapping_SEDS!AK83/State_Fossil_All_Mapping_SEDS!$BB83</f>
        <v>0</v>
      </c>
      <c r="AK3" s="34">
        <f>State_Fossil_All_Mapping_SEDS!AL83/State_Fossil_All_Mapping_SEDS!$BB83</f>
        <v>0</v>
      </c>
      <c r="AL3" s="34">
        <f>State_Fossil_All_Mapping_SEDS!AM83/State_Fossil_All_Mapping_SEDS!$BB83</f>
        <v>0</v>
      </c>
      <c r="AM3" s="34">
        <f>State_Fossil_All_Mapping_SEDS!AN83/State_Fossil_All_Mapping_SEDS!$BB83</f>
        <v>0</v>
      </c>
      <c r="AN3" s="34">
        <f>State_Fossil_All_Mapping_SEDS!AO83/State_Fossil_All_Mapping_SEDS!$BB83</f>
        <v>0.3222821459</v>
      </c>
      <c r="AO3" s="34">
        <f>State_Fossil_All_Mapping_SEDS!AP83/State_Fossil_All_Mapping_SEDS!$BB83</f>
        <v>0</v>
      </c>
      <c r="AP3" s="34">
        <f>State_Fossil_All_Mapping_SEDS!AQ83/State_Fossil_All_Mapping_SEDS!$BB83</f>
        <v>0</v>
      </c>
      <c r="AQ3" s="34">
        <f>State_Fossil_All_Mapping_SEDS!AR83/State_Fossil_All_Mapping_SEDS!$BB83</f>
        <v>0</v>
      </c>
      <c r="AR3" s="34">
        <f>State_Fossil_All_Mapping_SEDS!AS83/State_Fossil_All_Mapping_SEDS!$BB83</f>
        <v>0</v>
      </c>
      <c r="AS3" s="34">
        <f>State_Fossil_All_Mapping_SEDS!AT83/State_Fossil_All_Mapping_SEDS!$BB83</f>
        <v>0</v>
      </c>
      <c r="AT3" s="34">
        <f>State_Fossil_All_Mapping_SEDS!AU83/State_Fossil_All_Mapping_SEDS!$BB83</f>
        <v>0</v>
      </c>
      <c r="AU3" s="34">
        <f>State_Fossil_All_Mapping_SEDS!AV83/State_Fossil_All_Mapping_SEDS!$BB83</f>
        <v>0</v>
      </c>
      <c r="AV3" s="34">
        <f>State_Fossil_All_Mapping_SEDS!AW83/State_Fossil_All_Mapping_SEDS!$BB83</f>
        <v>0</v>
      </c>
      <c r="AW3" s="34">
        <f>State_Fossil_All_Mapping_SEDS!AX83/State_Fossil_All_Mapping_SEDS!$BB83</f>
        <v>0</v>
      </c>
      <c r="AX3" s="34">
        <f>State_Fossil_All_Mapping_SEDS!AY83/State_Fossil_All_Mapping_SEDS!$BB83</f>
        <v>0</v>
      </c>
      <c r="AY3" s="34">
        <f>State_Fossil_All_Mapping_SEDS!AZ83/State_Fossil_All_Mapping_SEDS!$BB83</f>
        <v>0</v>
      </c>
      <c r="AZ3" s="34">
        <f>State_Fossil_All_Mapping_SEDS!BA83/State_Fossil_All_Mapping_SEDS!$BB83</f>
        <v>0</v>
      </c>
    </row>
    <row r="4" ht="15.75" customHeight="1">
      <c r="A4" s="34">
        <v>3.0</v>
      </c>
      <c r="B4" s="34">
        <f>State_Fossil_All_Mapping_SEDS!C84/State_Fossil_All_Mapping_SEDS!$BB84</f>
        <v>0</v>
      </c>
      <c r="C4" s="34">
        <f>State_Fossil_All_Mapping_SEDS!D84/State_Fossil_All_Mapping_SEDS!$BB84</f>
        <v>0</v>
      </c>
      <c r="D4" s="34">
        <f>State_Fossil_All_Mapping_SEDS!E84/State_Fossil_All_Mapping_SEDS!$BB84</f>
        <v>0</v>
      </c>
      <c r="E4" s="34">
        <f>State_Fossil_All_Mapping_SEDS!F84/State_Fossil_All_Mapping_SEDS!$BB84</f>
        <v>0</v>
      </c>
      <c r="F4" s="34">
        <f>State_Fossil_All_Mapping_SEDS!G84/State_Fossil_All_Mapping_SEDS!$BB84</f>
        <v>0</v>
      </c>
      <c r="G4" s="34">
        <f>State_Fossil_All_Mapping_SEDS!H84/State_Fossil_All_Mapping_SEDS!$BB84</f>
        <v>0</v>
      </c>
      <c r="H4" s="34">
        <f>State_Fossil_All_Mapping_SEDS!I84/State_Fossil_All_Mapping_SEDS!$BB84</f>
        <v>0</v>
      </c>
      <c r="I4" s="34">
        <f>State_Fossil_All_Mapping_SEDS!J84/State_Fossil_All_Mapping_SEDS!$BB84</f>
        <v>0</v>
      </c>
      <c r="J4" s="34">
        <f>State_Fossil_All_Mapping_SEDS!K84/State_Fossil_All_Mapping_SEDS!$BB84</f>
        <v>0</v>
      </c>
      <c r="K4" s="34">
        <f>State_Fossil_All_Mapping_SEDS!L84/State_Fossil_All_Mapping_SEDS!$BB84</f>
        <v>0</v>
      </c>
      <c r="L4" s="34">
        <f>State_Fossil_All_Mapping_SEDS!M84/State_Fossil_All_Mapping_SEDS!$BB84</f>
        <v>0</v>
      </c>
      <c r="M4" s="34">
        <f>State_Fossil_All_Mapping_SEDS!N84/State_Fossil_All_Mapping_SEDS!$BB84</f>
        <v>0</v>
      </c>
      <c r="N4" s="34">
        <f>State_Fossil_All_Mapping_SEDS!O84/State_Fossil_All_Mapping_SEDS!$BB84</f>
        <v>0</v>
      </c>
      <c r="O4" s="34">
        <f>State_Fossil_All_Mapping_SEDS!P84/State_Fossil_All_Mapping_SEDS!$BB84</f>
        <v>0.2747152422</v>
      </c>
      <c r="P4" s="34">
        <f>State_Fossil_All_Mapping_SEDS!Q84/State_Fossil_All_Mapping_SEDS!$BB84</f>
        <v>0.1278584471</v>
      </c>
      <c r="Q4" s="34">
        <f>State_Fossil_All_Mapping_SEDS!R84/State_Fossil_All_Mapping_SEDS!$BB84</f>
        <v>0</v>
      </c>
      <c r="R4" s="34">
        <f>State_Fossil_All_Mapping_SEDS!S84/State_Fossil_All_Mapping_SEDS!$BB84</f>
        <v>0</v>
      </c>
      <c r="S4" s="34">
        <f>State_Fossil_All_Mapping_SEDS!T84/State_Fossil_All_Mapping_SEDS!$BB84</f>
        <v>0</v>
      </c>
      <c r="T4" s="34">
        <f>State_Fossil_All_Mapping_SEDS!U84/State_Fossil_All_Mapping_SEDS!$BB84</f>
        <v>0</v>
      </c>
      <c r="U4" s="34">
        <f>State_Fossil_All_Mapping_SEDS!V84/State_Fossil_All_Mapping_SEDS!$BB84</f>
        <v>0</v>
      </c>
      <c r="V4" s="34">
        <f>State_Fossil_All_Mapping_SEDS!W84/State_Fossil_All_Mapping_SEDS!$BB84</f>
        <v>0</v>
      </c>
      <c r="W4" s="34">
        <f>State_Fossil_All_Mapping_SEDS!X84/State_Fossil_All_Mapping_SEDS!$BB84</f>
        <v>0</v>
      </c>
      <c r="X4" s="34">
        <f>State_Fossil_All_Mapping_SEDS!Y84/State_Fossil_All_Mapping_SEDS!$BB84</f>
        <v>0.2330666899</v>
      </c>
      <c r="Y4" s="34">
        <f>State_Fossil_All_Mapping_SEDS!Z84/State_Fossil_All_Mapping_SEDS!$BB84</f>
        <v>0</v>
      </c>
      <c r="Z4" s="34">
        <f>State_Fossil_All_Mapping_SEDS!AA84/State_Fossil_All_Mapping_SEDS!$BB84</f>
        <v>0</v>
      </c>
      <c r="AA4" s="34">
        <f>State_Fossil_All_Mapping_SEDS!AB84/State_Fossil_All_Mapping_SEDS!$BB84</f>
        <v>0</v>
      </c>
      <c r="AB4" s="34">
        <f>State_Fossil_All_Mapping_SEDS!AC84/State_Fossil_All_Mapping_SEDS!$BB84</f>
        <v>0</v>
      </c>
      <c r="AC4" s="34">
        <f>State_Fossil_All_Mapping_SEDS!AD84/State_Fossil_All_Mapping_SEDS!$BB84</f>
        <v>0</v>
      </c>
      <c r="AD4" s="34">
        <f>State_Fossil_All_Mapping_SEDS!AE84/State_Fossil_All_Mapping_SEDS!$BB84</f>
        <v>0</v>
      </c>
      <c r="AE4" s="34">
        <f>State_Fossil_All_Mapping_SEDS!AF84/State_Fossil_All_Mapping_SEDS!$BB84</f>
        <v>0</v>
      </c>
      <c r="AF4" s="34">
        <f>State_Fossil_All_Mapping_SEDS!AG84/State_Fossil_All_Mapping_SEDS!$BB84</f>
        <v>0</v>
      </c>
      <c r="AG4" s="34">
        <f>State_Fossil_All_Mapping_SEDS!AH84/State_Fossil_All_Mapping_SEDS!$BB84</f>
        <v>0</v>
      </c>
      <c r="AH4" s="34">
        <f>State_Fossil_All_Mapping_SEDS!AI84/State_Fossil_All_Mapping_SEDS!$BB84</f>
        <v>0</v>
      </c>
      <c r="AI4" s="34">
        <f>State_Fossil_All_Mapping_SEDS!AJ84/State_Fossil_All_Mapping_SEDS!$BB84</f>
        <v>0</v>
      </c>
      <c r="AJ4" s="34">
        <f>State_Fossil_All_Mapping_SEDS!AK84/State_Fossil_All_Mapping_SEDS!$BB84</f>
        <v>0</v>
      </c>
      <c r="AK4" s="34">
        <f>State_Fossil_All_Mapping_SEDS!AL84/State_Fossil_All_Mapping_SEDS!$BB84</f>
        <v>0.2365011738</v>
      </c>
      <c r="AL4" s="34">
        <f>State_Fossil_All_Mapping_SEDS!AM84/State_Fossil_All_Mapping_SEDS!$BB84</f>
        <v>0</v>
      </c>
      <c r="AM4" s="34">
        <f>State_Fossil_All_Mapping_SEDS!AN84/State_Fossil_All_Mapping_SEDS!$BB84</f>
        <v>0</v>
      </c>
      <c r="AN4" s="34">
        <f>State_Fossil_All_Mapping_SEDS!AO84/State_Fossil_All_Mapping_SEDS!$BB84</f>
        <v>0</v>
      </c>
      <c r="AO4" s="34">
        <f>State_Fossil_All_Mapping_SEDS!AP84/State_Fossil_All_Mapping_SEDS!$BB84</f>
        <v>0</v>
      </c>
      <c r="AP4" s="34">
        <f>State_Fossil_All_Mapping_SEDS!AQ84/State_Fossil_All_Mapping_SEDS!$BB84</f>
        <v>0</v>
      </c>
      <c r="AQ4" s="34">
        <f>State_Fossil_All_Mapping_SEDS!AR84/State_Fossil_All_Mapping_SEDS!$BB84</f>
        <v>0</v>
      </c>
      <c r="AR4" s="34">
        <f>State_Fossil_All_Mapping_SEDS!AS84/State_Fossil_All_Mapping_SEDS!$BB84</f>
        <v>0</v>
      </c>
      <c r="AS4" s="34">
        <f>State_Fossil_All_Mapping_SEDS!AT84/State_Fossil_All_Mapping_SEDS!$BB84</f>
        <v>0</v>
      </c>
      <c r="AT4" s="34">
        <f>State_Fossil_All_Mapping_SEDS!AU84/State_Fossil_All_Mapping_SEDS!$BB84</f>
        <v>0</v>
      </c>
      <c r="AU4" s="34">
        <f>State_Fossil_All_Mapping_SEDS!AV84/State_Fossil_All_Mapping_SEDS!$BB84</f>
        <v>0</v>
      </c>
      <c r="AV4" s="34">
        <f>State_Fossil_All_Mapping_SEDS!AW84/State_Fossil_All_Mapping_SEDS!$BB84</f>
        <v>0</v>
      </c>
      <c r="AW4" s="34">
        <f>State_Fossil_All_Mapping_SEDS!AX84/State_Fossil_All_Mapping_SEDS!$BB84</f>
        <v>0</v>
      </c>
      <c r="AX4" s="34">
        <f>State_Fossil_All_Mapping_SEDS!AY84/State_Fossil_All_Mapping_SEDS!$BB84</f>
        <v>0</v>
      </c>
      <c r="AY4" s="34">
        <f>State_Fossil_All_Mapping_SEDS!AZ84/State_Fossil_All_Mapping_SEDS!$BB84</f>
        <v>0.1278584471</v>
      </c>
      <c r="AZ4" s="34">
        <f>State_Fossil_All_Mapping_SEDS!BA84/State_Fossil_All_Mapping_SEDS!$BB84</f>
        <v>0</v>
      </c>
    </row>
    <row r="5" ht="15.75" customHeight="1">
      <c r="A5" s="34">
        <v>4.0</v>
      </c>
      <c r="B5" s="34">
        <f>State_Fossil_All_Mapping_SEDS!C85/State_Fossil_All_Mapping_SEDS!$BB85</f>
        <v>0</v>
      </c>
      <c r="C5" s="34">
        <f>State_Fossil_All_Mapping_SEDS!D85/State_Fossil_All_Mapping_SEDS!$BB85</f>
        <v>0</v>
      </c>
      <c r="D5" s="34">
        <f>State_Fossil_All_Mapping_SEDS!E85/State_Fossil_All_Mapping_SEDS!$BB85</f>
        <v>0</v>
      </c>
      <c r="E5" s="34">
        <f>State_Fossil_All_Mapping_SEDS!F85/State_Fossil_All_Mapping_SEDS!$BB85</f>
        <v>0</v>
      </c>
      <c r="F5" s="34">
        <f>State_Fossil_All_Mapping_SEDS!G85/State_Fossil_All_Mapping_SEDS!$BB85</f>
        <v>0</v>
      </c>
      <c r="G5" s="34">
        <f>State_Fossil_All_Mapping_SEDS!H85/State_Fossil_All_Mapping_SEDS!$BB85</f>
        <v>0</v>
      </c>
      <c r="H5" s="34">
        <f>State_Fossil_All_Mapping_SEDS!I85/State_Fossil_All_Mapping_SEDS!$BB85</f>
        <v>0</v>
      </c>
      <c r="I5" s="34">
        <f>State_Fossil_All_Mapping_SEDS!J85/State_Fossil_All_Mapping_SEDS!$BB85</f>
        <v>0</v>
      </c>
      <c r="J5" s="34">
        <f>State_Fossil_All_Mapping_SEDS!K85/State_Fossil_All_Mapping_SEDS!$BB85</f>
        <v>0</v>
      </c>
      <c r="K5" s="34">
        <f>State_Fossil_All_Mapping_SEDS!L85/State_Fossil_All_Mapping_SEDS!$BB85</f>
        <v>0</v>
      </c>
      <c r="L5" s="34">
        <f>State_Fossil_All_Mapping_SEDS!M85/State_Fossil_All_Mapping_SEDS!$BB85</f>
        <v>0</v>
      </c>
      <c r="M5" s="34">
        <f>State_Fossil_All_Mapping_SEDS!N85/State_Fossil_All_Mapping_SEDS!$BB85</f>
        <v>0</v>
      </c>
      <c r="N5" s="34">
        <f>State_Fossil_All_Mapping_SEDS!O85/State_Fossil_All_Mapping_SEDS!$BB85</f>
        <v>0</v>
      </c>
      <c r="O5" s="34">
        <f>State_Fossil_All_Mapping_SEDS!P85/State_Fossil_All_Mapping_SEDS!$BB85</f>
        <v>0</v>
      </c>
      <c r="P5" s="34">
        <f>State_Fossil_All_Mapping_SEDS!Q85/State_Fossil_All_Mapping_SEDS!$BB85</f>
        <v>0</v>
      </c>
      <c r="Q5" s="34">
        <f>State_Fossil_All_Mapping_SEDS!R85/State_Fossil_All_Mapping_SEDS!$BB85</f>
        <v>0.1532536783</v>
      </c>
      <c r="R5" s="34">
        <f>State_Fossil_All_Mapping_SEDS!S85/State_Fossil_All_Mapping_SEDS!$BB85</f>
        <v>0.1274809914</v>
      </c>
      <c r="S5" s="34">
        <f>State_Fossil_All_Mapping_SEDS!T85/State_Fossil_All_Mapping_SEDS!$BB85</f>
        <v>0</v>
      </c>
      <c r="T5" s="34">
        <f>State_Fossil_All_Mapping_SEDS!U85/State_Fossil_All_Mapping_SEDS!$BB85</f>
        <v>0</v>
      </c>
      <c r="U5" s="34">
        <f>State_Fossil_All_Mapping_SEDS!V85/State_Fossil_All_Mapping_SEDS!$BB85</f>
        <v>0</v>
      </c>
      <c r="V5" s="34">
        <f>State_Fossil_All_Mapping_SEDS!W85/State_Fossil_All_Mapping_SEDS!$BB85</f>
        <v>0</v>
      </c>
      <c r="W5" s="34">
        <f>State_Fossil_All_Mapping_SEDS!X85/State_Fossil_All_Mapping_SEDS!$BB85</f>
        <v>0</v>
      </c>
      <c r="X5" s="34">
        <f>State_Fossil_All_Mapping_SEDS!Y85/State_Fossil_All_Mapping_SEDS!$BB85</f>
        <v>0</v>
      </c>
      <c r="Y5" s="34">
        <f>State_Fossil_All_Mapping_SEDS!Z85/State_Fossil_All_Mapping_SEDS!$BB85</f>
        <v>0.2863631875</v>
      </c>
      <c r="Z5" s="34">
        <f>State_Fossil_All_Mapping_SEDS!AA85/State_Fossil_All_Mapping_SEDS!$BB85</f>
        <v>0</v>
      </c>
      <c r="AA5" s="34">
        <f>State_Fossil_All_Mapping_SEDS!AB85/State_Fossil_All_Mapping_SEDS!$BB85</f>
        <v>0.2661202725</v>
      </c>
      <c r="AB5" s="34">
        <f>State_Fossil_All_Mapping_SEDS!AC85/State_Fossil_All_Mapping_SEDS!$BB85</f>
        <v>0</v>
      </c>
      <c r="AC5" s="34">
        <f>State_Fossil_All_Mapping_SEDS!AD85/State_Fossil_All_Mapping_SEDS!$BB85</f>
        <v>0.08610644811</v>
      </c>
      <c r="AD5" s="34">
        <f>State_Fossil_All_Mapping_SEDS!AE85/State_Fossil_All_Mapping_SEDS!$BB85</f>
        <v>0</v>
      </c>
      <c r="AE5" s="34">
        <f>State_Fossil_All_Mapping_SEDS!AF85/State_Fossil_All_Mapping_SEDS!$BB85</f>
        <v>0</v>
      </c>
      <c r="AF5" s="34">
        <f>State_Fossil_All_Mapping_SEDS!AG85/State_Fossil_All_Mapping_SEDS!$BB85</f>
        <v>0</v>
      </c>
      <c r="AG5" s="34">
        <f>State_Fossil_All_Mapping_SEDS!AH85/State_Fossil_All_Mapping_SEDS!$BB85</f>
        <v>0</v>
      </c>
      <c r="AH5" s="34">
        <f>State_Fossil_All_Mapping_SEDS!AI85/State_Fossil_All_Mapping_SEDS!$BB85</f>
        <v>0</v>
      </c>
      <c r="AI5" s="34">
        <f>State_Fossil_All_Mapping_SEDS!AJ85/State_Fossil_All_Mapping_SEDS!$BB85</f>
        <v>0</v>
      </c>
      <c r="AJ5" s="34">
        <f>State_Fossil_All_Mapping_SEDS!AK85/State_Fossil_All_Mapping_SEDS!$BB85</f>
        <v>0.0398933544</v>
      </c>
      <c r="AK5" s="34">
        <f>State_Fossil_All_Mapping_SEDS!AL85/State_Fossil_All_Mapping_SEDS!$BB85</f>
        <v>0</v>
      </c>
      <c r="AL5" s="34">
        <f>State_Fossil_All_Mapping_SEDS!AM85/State_Fossil_All_Mapping_SEDS!$BB85</f>
        <v>0</v>
      </c>
      <c r="AM5" s="34">
        <f>State_Fossil_All_Mapping_SEDS!AN85/State_Fossil_All_Mapping_SEDS!$BB85</f>
        <v>0</v>
      </c>
      <c r="AN5" s="34">
        <f>State_Fossil_All_Mapping_SEDS!AO85/State_Fossil_All_Mapping_SEDS!$BB85</f>
        <v>0</v>
      </c>
      <c r="AO5" s="34">
        <f>State_Fossil_All_Mapping_SEDS!AP85/State_Fossil_All_Mapping_SEDS!$BB85</f>
        <v>0</v>
      </c>
      <c r="AP5" s="34">
        <f>State_Fossil_All_Mapping_SEDS!AQ85/State_Fossil_All_Mapping_SEDS!$BB85</f>
        <v>0</v>
      </c>
      <c r="AQ5" s="34">
        <f>State_Fossil_All_Mapping_SEDS!AR85/State_Fossil_All_Mapping_SEDS!$BB85</f>
        <v>0.04078206774</v>
      </c>
      <c r="AR5" s="34">
        <f>State_Fossil_All_Mapping_SEDS!AS85/State_Fossil_All_Mapping_SEDS!$BB85</f>
        <v>0</v>
      </c>
      <c r="AS5" s="34">
        <f>State_Fossil_All_Mapping_SEDS!AT85/State_Fossil_All_Mapping_SEDS!$BB85</f>
        <v>0</v>
      </c>
      <c r="AT5" s="34">
        <f>State_Fossil_All_Mapping_SEDS!AU85/State_Fossil_All_Mapping_SEDS!$BB85</f>
        <v>0</v>
      </c>
      <c r="AU5" s="34">
        <f>State_Fossil_All_Mapping_SEDS!AV85/State_Fossil_All_Mapping_SEDS!$BB85</f>
        <v>0</v>
      </c>
      <c r="AV5" s="34">
        <f>State_Fossil_All_Mapping_SEDS!AW85/State_Fossil_All_Mapping_SEDS!$BB85</f>
        <v>0</v>
      </c>
      <c r="AW5" s="34">
        <f>State_Fossil_All_Mapping_SEDS!AX85/State_Fossil_All_Mapping_SEDS!$BB85</f>
        <v>0</v>
      </c>
      <c r="AX5" s="34">
        <f>State_Fossil_All_Mapping_SEDS!AY85/State_Fossil_All_Mapping_SEDS!$BB85</f>
        <v>0</v>
      </c>
      <c r="AY5" s="34">
        <f>State_Fossil_All_Mapping_SEDS!AZ85/State_Fossil_All_Mapping_SEDS!$BB85</f>
        <v>0</v>
      </c>
      <c r="AZ5" s="34">
        <f>State_Fossil_All_Mapping_SEDS!BA85/State_Fossil_All_Mapping_SEDS!$BB85</f>
        <v>0</v>
      </c>
    </row>
    <row r="6" ht="15.75" customHeight="1">
      <c r="A6" s="34">
        <v>5.0</v>
      </c>
      <c r="B6" s="34">
        <f>State_Fossil_All_Mapping_SEDS!C86/State_Fossil_All_Mapping_SEDS!$BB86</f>
        <v>0</v>
      </c>
      <c r="C6" s="34">
        <f>State_Fossil_All_Mapping_SEDS!D86/State_Fossil_All_Mapping_SEDS!$BB86</f>
        <v>0</v>
      </c>
      <c r="D6" s="34">
        <f>State_Fossil_All_Mapping_SEDS!E86/State_Fossil_All_Mapping_SEDS!$BB86</f>
        <v>0</v>
      </c>
      <c r="E6" s="34">
        <f>State_Fossil_All_Mapping_SEDS!F86/State_Fossil_All_Mapping_SEDS!$BB86</f>
        <v>0</v>
      </c>
      <c r="F6" s="34">
        <f>State_Fossil_All_Mapping_SEDS!G86/State_Fossil_All_Mapping_SEDS!$BB86</f>
        <v>0</v>
      </c>
      <c r="G6" s="34">
        <f>State_Fossil_All_Mapping_SEDS!H86/State_Fossil_All_Mapping_SEDS!$BB86</f>
        <v>0</v>
      </c>
      <c r="H6" s="34">
        <f>State_Fossil_All_Mapping_SEDS!I86/State_Fossil_All_Mapping_SEDS!$BB86</f>
        <v>0</v>
      </c>
      <c r="I6" s="34">
        <f>State_Fossil_All_Mapping_SEDS!J86/State_Fossil_All_Mapping_SEDS!$BB86</f>
        <v>0.01849339163</v>
      </c>
      <c r="J6" s="34">
        <f>State_Fossil_All_Mapping_SEDS!K86/State_Fossil_All_Mapping_SEDS!$BB86</f>
        <v>0.01100557817</v>
      </c>
      <c r="K6" s="34">
        <f>State_Fossil_All_Mapping_SEDS!L86/State_Fossil_All_Mapping_SEDS!$BB86</f>
        <v>0.2647871752</v>
      </c>
      <c r="L6" s="34">
        <f>State_Fossil_All_Mapping_SEDS!M86/State_Fossil_All_Mapping_SEDS!$BB86</f>
        <v>0.179707523</v>
      </c>
      <c r="M6" s="34">
        <f>State_Fossil_All_Mapping_SEDS!N86/State_Fossil_All_Mapping_SEDS!$BB86</f>
        <v>0</v>
      </c>
      <c r="N6" s="34">
        <f>State_Fossil_All_Mapping_SEDS!O86/State_Fossil_All_Mapping_SEDS!$BB86</f>
        <v>0</v>
      </c>
      <c r="O6" s="34">
        <f>State_Fossil_All_Mapping_SEDS!P86/State_Fossil_All_Mapping_SEDS!$BB86</f>
        <v>0</v>
      </c>
      <c r="P6" s="34">
        <f>State_Fossil_All_Mapping_SEDS!Q86/State_Fossil_All_Mapping_SEDS!$BB86</f>
        <v>0</v>
      </c>
      <c r="Q6" s="34">
        <f>State_Fossil_All_Mapping_SEDS!R86/State_Fossil_All_Mapping_SEDS!$BB86</f>
        <v>0</v>
      </c>
      <c r="R6" s="34">
        <f>State_Fossil_All_Mapping_SEDS!S86/State_Fossil_All_Mapping_SEDS!$BB86</f>
        <v>0</v>
      </c>
      <c r="S6" s="34">
        <f>State_Fossil_All_Mapping_SEDS!T86/State_Fossil_All_Mapping_SEDS!$BB86</f>
        <v>0</v>
      </c>
      <c r="T6" s="34">
        <f>State_Fossil_All_Mapping_SEDS!U86/State_Fossil_All_Mapping_SEDS!$BB86</f>
        <v>0</v>
      </c>
      <c r="U6" s="34">
        <f>State_Fossil_All_Mapping_SEDS!V86/State_Fossil_All_Mapping_SEDS!$BB86</f>
        <v>0</v>
      </c>
      <c r="V6" s="34">
        <f>State_Fossil_All_Mapping_SEDS!W86/State_Fossil_All_Mapping_SEDS!$BB86</f>
        <v>0.1061359867</v>
      </c>
      <c r="W6" s="34">
        <f>State_Fossil_All_Mapping_SEDS!X86/State_Fossil_All_Mapping_SEDS!$BB86</f>
        <v>0</v>
      </c>
      <c r="X6" s="34">
        <f>State_Fossil_All_Mapping_SEDS!Y86/State_Fossil_All_Mapping_SEDS!$BB86</f>
        <v>0</v>
      </c>
      <c r="Y6" s="34">
        <f>State_Fossil_All_Mapping_SEDS!Z86/State_Fossil_All_Mapping_SEDS!$BB86</f>
        <v>0</v>
      </c>
      <c r="Z6" s="34">
        <f>State_Fossil_All_Mapping_SEDS!AA86/State_Fossil_All_Mapping_SEDS!$BB86</f>
        <v>0</v>
      </c>
      <c r="AA6" s="34">
        <f>State_Fossil_All_Mapping_SEDS!AB86/State_Fossil_All_Mapping_SEDS!$BB86</f>
        <v>0</v>
      </c>
      <c r="AB6" s="34">
        <f>State_Fossil_All_Mapping_SEDS!AC86/State_Fossil_All_Mapping_SEDS!$BB86</f>
        <v>0</v>
      </c>
      <c r="AC6" s="34">
        <f>State_Fossil_All_Mapping_SEDS!AD86/State_Fossil_All_Mapping_SEDS!$BB86</f>
        <v>0</v>
      </c>
      <c r="AD6" s="34">
        <f>State_Fossil_All_Mapping_SEDS!AE86/State_Fossil_All_Mapping_SEDS!$BB86</f>
        <v>0</v>
      </c>
      <c r="AE6" s="34">
        <f>State_Fossil_All_Mapping_SEDS!AF86/State_Fossil_All_Mapping_SEDS!$BB86</f>
        <v>0</v>
      </c>
      <c r="AF6" s="34">
        <f>State_Fossil_All_Mapping_SEDS!AG86/State_Fossil_All_Mapping_SEDS!$BB86</f>
        <v>0</v>
      </c>
      <c r="AG6" s="34">
        <f>State_Fossil_All_Mapping_SEDS!AH86/State_Fossil_All_Mapping_SEDS!$BB86</f>
        <v>0</v>
      </c>
      <c r="AH6" s="34">
        <f>State_Fossil_All_Mapping_SEDS!AI86/State_Fossil_All_Mapping_SEDS!$BB86</f>
        <v>0</v>
      </c>
      <c r="AI6" s="34">
        <f>State_Fossil_All_Mapping_SEDS!AJ86/State_Fossil_All_Mapping_SEDS!$BB86</f>
        <v>0.1606613398</v>
      </c>
      <c r="AJ6" s="34">
        <f>State_Fossil_All_Mapping_SEDS!AK86/State_Fossil_All_Mapping_SEDS!$BB86</f>
        <v>0</v>
      </c>
      <c r="AK6" s="34">
        <f>State_Fossil_All_Mapping_SEDS!AL86/State_Fossil_All_Mapping_SEDS!$BB86</f>
        <v>0</v>
      </c>
      <c r="AL6" s="34">
        <f>State_Fossil_All_Mapping_SEDS!AM86/State_Fossil_All_Mapping_SEDS!$BB86</f>
        <v>0</v>
      </c>
      <c r="AM6" s="34">
        <f>State_Fossil_All_Mapping_SEDS!AN86/State_Fossil_All_Mapping_SEDS!$BB86</f>
        <v>0</v>
      </c>
      <c r="AN6" s="34">
        <f>State_Fossil_All_Mapping_SEDS!AO86/State_Fossil_All_Mapping_SEDS!$BB86</f>
        <v>0</v>
      </c>
      <c r="AO6" s="34">
        <f>State_Fossil_All_Mapping_SEDS!AP86/State_Fossil_All_Mapping_SEDS!$BB86</f>
        <v>0</v>
      </c>
      <c r="AP6" s="34">
        <f>State_Fossil_All_Mapping_SEDS!AQ86/State_Fossil_All_Mapping_SEDS!$BB86</f>
        <v>0.07668727072</v>
      </c>
      <c r="AQ6" s="34">
        <f>State_Fossil_All_Mapping_SEDS!AR86/State_Fossil_All_Mapping_SEDS!$BB86</f>
        <v>0</v>
      </c>
      <c r="AR6" s="34">
        <f>State_Fossil_All_Mapping_SEDS!AS86/State_Fossil_All_Mapping_SEDS!$BB86</f>
        <v>0</v>
      </c>
      <c r="AS6" s="34">
        <f>State_Fossil_All_Mapping_SEDS!AT86/State_Fossil_All_Mapping_SEDS!$BB86</f>
        <v>0</v>
      </c>
      <c r="AT6" s="34">
        <f>State_Fossil_All_Mapping_SEDS!AU86/State_Fossil_All_Mapping_SEDS!$BB86</f>
        <v>0</v>
      </c>
      <c r="AU6" s="34">
        <f>State_Fossil_All_Mapping_SEDS!AV86/State_Fossil_All_Mapping_SEDS!$BB86</f>
        <v>0</v>
      </c>
      <c r="AV6" s="34">
        <f>State_Fossil_All_Mapping_SEDS!AW86/State_Fossil_All_Mapping_SEDS!$BB86</f>
        <v>0.1433237851</v>
      </c>
      <c r="AW6" s="34">
        <f>State_Fossil_All_Mapping_SEDS!AX86/State_Fossil_All_Mapping_SEDS!$BB86</f>
        <v>0</v>
      </c>
      <c r="AX6" s="34">
        <f>State_Fossil_All_Mapping_SEDS!AY86/State_Fossil_All_Mapping_SEDS!$BB86</f>
        <v>0.03919794965</v>
      </c>
      <c r="AY6" s="34">
        <f>State_Fossil_All_Mapping_SEDS!AZ86/State_Fossil_All_Mapping_SEDS!$BB86</f>
        <v>0</v>
      </c>
      <c r="AZ6" s="34">
        <f>State_Fossil_All_Mapping_SEDS!BA86/State_Fossil_All_Mapping_SEDS!$BB86</f>
        <v>0</v>
      </c>
    </row>
    <row r="7" ht="15.75" customHeight="1">
      <c r="A7" s="34">
        <v>6.0</v>
      </c>
      <c r="B7" s="34">
        <f>State_Fossil_All_Mapping_SEDS!C87/State_Fossil_All_Mapping_SEDS!$BB87</f>
        <v>0.2328682171</v>
      </c>
      <c r="C7" s="34">
        <f>State_Fossil_All_Mapping_SEDS!D87/State_Fossil_All_Mapping_SEDS!$BB87</f>
        <v>0</v>
      </c>
      <c r="D7" s="34">
        <f>State_Fossil_All_Mapping_SEDS!E87/State_Fossil_All_Mapping_SEDS!$BB87</f>
        <v>0</v>
      </c>
      <c r="E7" s="34">
        <f>State_Fossil_All_Mapping_SEDS!F87/State_Fossil_All_Mapping_SEDS!$BB87</f>
        <v>0</v>
      </c>
      <c r="F7" s="34">
        <f>State_Fossil_All_Mapping_SEDS!G87/State_Fossil_All_Mapping_SEDS!$BB87</f>
        <v>0</v>
      </c>
      <c r="G7" s="34">
        <f>State_Fossil_All_Mapping_SEDS!H87/State_Fossil_All_Mapping_SEDS!$BB87</f>
        <v>0</v>
      </c>
      <c r="H7" s="34">
        <f>State_Fossil_All_Mapping_SEDS!I87/State_Fossil_All_Mapping_SEDS!$BB87</f>
        <v>0</v>
      </c>
      <c r="I7" s="34">
        <f>State_Fossil_All_Mapping_SEDS!J87/State_Fossil_All_Mapping_SEDS!$BB87</f>
        <v>0</v>
      </c>
      <c r="J7" s="34">
        <f>State_Fossil_All_Mapping_SEDS!K87/State_Fossil_All_Mapping_SEDS!$BB87</f>
        <v>0</v>
      </c>
      <c r="K7" s="34">
        <f>State_Fossil_All_Mapping_SEDS!L87/State_Fossil_All_Mapping_SEDS!$BB87</f>
        <v>0</v>
      </c>
      <c r="L7" s="34">
        <f>State_Fossil_All_Mapping_SEDS!M87/State_Fossil_All_Mapping_SEDS!$BB87</f>
        <v>0</v>
      </c>
      <c r="M7" s="34">
        <f>State_Fossil_All_Mapping_SEDS!N87/State_Fossil_All_Mapping_SEDS!$BB87</f>
        <v>0</v>
      </c>
      <c r="N7" s="34">
        <f>State_Fossil_All_Mapping_SEDS!O87/State_Fossil_All_Mapping_SEDS!$BB87</f>
        <v>0</v>
      </c>
      <c r="O7" s="34">
        <f>State_Fossil_All_Mapping_SEDS!P87/State_Fossil_All_Mapping_SEDS!$BB87</f>
        <v>0</v>
      </c>
      <c r="P7" s="34">
        <f>State_Fossil_All_Mapping_SEDS!Q87/State_Fossil_All_Mapping_SEDS!$BB87</f>
        <v>0</v>
      </c>
      <c r="Q7" s="34">
        <f>State_Fossil_All_Mapping_SEDS!R87/State_Fossil_All_Mapping_SEDS!$BB87</f>
        <v>0</v>
      </c>
      <c r="R7" s="34">
        <f>State_Fossil_All_Mapping_SEDS!S87/State_Fossil_All_Mapping_SEDS!$BB87</f>
        <v>0</v>
      </c>
      <c r="S7" s="34">
        <f>State_Fossil_All_Mapping_SEDS!T87/State_Fossil_All_Mapping_SEDS!$BB87</f>
        <v>0.252248062</v>
      </c>
      <c r="T7" s="34">
        <f>State_Fossil_All_Mapping_SEDS!U87/State_Fossil_All_Mapping_SEDS!$BB87</f>
        <v>0</v>
      </c>
      <c r="U7" s="34">
        <f>State_Fossil_All_Mapping_SEDS!V87/State_Fossil_All_Mapping_SEDS!$BB87</f>
        <v>0</v>
      </c>
      <c r="V7" s="34">
        <f>State_Fossil_All_Mapping_SEDS!W87/State_Fossil_All_Mapping_SEDS!$BB87</f>
        <v>0</v>
      </c>
      <c r="W7" s="34">
        <f>State_Fossil_All_Mapping_SEDS!X87/State_Fossil_All_Mapping_SEDS!$BB87</f>
        <v>0</v>
      </c>
      <c r="X7" s="34">
        <f>State_Fossil_All_Mapping_SEDS!Y87/State_Fossil_All_Mapping_SEDS!$BB87</f>
        <v>0</v>
      </c>
      <c r="Y7" s="34">
        <f>State_Fossil_All_Mapping_SEDS!Z87/State_Fossil_All_Mapping_SEDS!$BB87</f>
        <v>0</v>
      </c>
      <c r="Z7" s="34">
        <f>State_Fossil_All_Mapping_SEDS!AA87/State_Fossil_All_Mapping_SEDS!$BB87</f>
        <v>0.1460465116</v>
      </c>
      <c r="AA7" s="34">
        <f>State_Fossil_All_Mapping_SEDS!AB87/State_Fossil_All_Mapping_SEDS!$BB87</f>
        <v>0</v>
      </c>
      <c r="AB7" s="34">
        <f>State_Fossil_All_Mapping_SEDS!AC87/State_Fossil_All_Mapping_SEDS!$BB87</f>
        <v>0</v>
      </c>
      <c r="AC7" s="34">
        <f>State_Fossil_All_Mapping_SEDS!AD87/State_Fossil_All_Mapping_SEDS!$BB87</f>
        <v>0</v>
      </c>
      <c r="AD7" s="34">
        <f>State_Fossil_All_Mapping_SEDS!AE87/State_Fossil_All_Mapping_SEDS!$BB87</f>
        <v>0</v>
      </c>
      <c r="AE7" s="34">
        <f>State_Fossil_All_Mapping_SEDS!AF87/State_Fossil_All_Mapping_SEDS!$BB87</f>
        <v>0</v>
      </c>
      <c r="AF7" s="34">
        <f>State_Fossil_All_Mapping_SEDS!AG87/State_Fossil_All_Mapping_SEDS!$BB87</f>
        <v>0</v>
      </c>
      <c r="AG7" s="34">
        <f>State_Fossil_All_Mapping_SEDS!AH87/State_Fossil_All_Mapping_SEDS!$BB87</f>
        <v>0</v>
      </c>
      <c r="AH7" s="34">
        <f>State_Fossil_All_Mapping_SEDS!AI87/State_Fossil_All_Mapping_SEDS!$BB87</f>
        <v>0</v>
      </c>
      <c r="AI7" s="34">
        <f>State_Fossil_All_Mapping_SEDS!AJ87/State_Fossil_All_Mapping_SEDS!$BB87</f>
        <v>0</v>
      </c>
      <c r="AJ7" s="34">
        <f>State_Fossil_All_Mapping_SEDS!AK87/State_Fossil_All_Mapping_SEDS!$BB87</f>
        <v>0</v>
      </c>
      <c r="AK7" s="34">
        <f>State_Fossil_All_Mapping_SEDS!AL87/State_Fossil_All_Mapping_SEDS!$BB87</f>
        <v>0</v>
      </c>
      <c r="AL7" s="34">
        <f>State_Fossil_All_Mapping_SEDS!AM87/State_Fossil_All_Mapping_SEDS!$BB87</f>
        <v>0</v>
      </c>
      <c r="AM7" s="34">
        <f>State_Fossil_All_Mapping_SEDS!AN87/State_Fossil_All_Mapping_SEDS!$BB87</f>
        <v>0</v>
      </c>
      <c r="AN7" s="34">
        <f>State_Fossil_All_Mapping_SEDS!AO87/State_Fossil_All_Mapping_SEDS!$BB87</f>
        <v>0</v>
      </c>
      <c r="AO7" s="34">
        <f>State_Fossil_All_Mapping_SEDS!AP87/State_Fossil_All_Mapping_SEDS!$BB87</f>
        <v>0</v>
      </c>
      <c r="AP7" s="34">
        <f>State_Fossil_All_Mapping_SEDS!AQ87/State_Fossil_All_Mapping_SEDS!$BB87</f>
        <v>0</v>
      </c>
      <c r="AQ7" s="34">
        <f>State_Fossil_All_Mapping_SEDS!AR87/State_Fossil_All_Mapping_SEDS!$BB87</f>
        <v>0</v>
      </c>
      <c r="AR7" s="34">
        <f>State_Fossil_All_Mapping_SEDS!AS87/State_Fossil_All_Mapping_SEDS!$BB87</f>
        <v>0.3688372093</v>
      </c>
      <c r="AS7" s="34">
        <f>State_Fossil_All_Mapping_SEDS!AT87/State_Fossil_All_Mapping_SEDS!$BB87</f>
        <v>0</v>
      </c>
      <c r="AT7" s="34">
        <f>State_Fossil_All_Mapping_SEDS!AU87/State_Fossil_All_Mapping_SEDS!$BB87</f>
        <v>0</v>
      </c>
      <c r="AU7" s="34">
        <f>State_Fossil_All_Mapping_SEDS!AV87/State_Fossil_All_Mapping_SEDS!$BB87</f>
        <v>0</v>
      </c>
      <c r="AV7" s="34">
        <f>State_Fossil_All_Mapping_SEDS!AW87/State_Fossil_All_Mapping_SEDS!$BB87</f>
        <v>0</v>
      </c>
      <c r="AW7" s="34">
        <f>State_Fossil_All_Mapping_SEDS!AX87/State_Fossil_All_Mapping_SEDS!$BB87</f>
        <v>0</v>
      </c>
      <c r="AX7" s="34">
        <f>State_Fossil_All_Mapping_SEDS!AY87/State_Fossil_All_Mapping_SEDS!$BB87</f>
        <v>0</v>
      </c>
      <c r="AY7" s="34">
        <f>State_Fossil_All_Mapping_SEDS!AZ87/State_Fossil_All_Mapping_SEDS!$BB87</f>
        <v>0</v>
      </c>
      <c r="AZ7" s="34">
        <f>State_Fossil_All_Mapping_SEDS!BA87/State_Fossil_All_Mapping_SEDS!$BB87</f>
        <v>0</v>
      </c>
    </row>
    <row r="8" ht="15.75" customHeight="1">
      <c r="A8" s="34">
        <v>7.0</v>
      </c>
      <c r="B8" s="34">
        <f>State_Fossil_All_Mapping_SEDS!C88/State_Fossil_All_Mapping_SEDS!$BB88</f>
        <v>0</v>
      </c>
      <c r="C8" s="34">
        <f>State_Fossil_All_Mapping_SEDS!D88/State_Fossil_All_Mapping_SEDS!$BB88</f>
        <v>0</v>
      </c>
      <c r="D8" s="34">
        <f>State_Fossil_All_Mapping_SEDS!E88/State_Fossil_All_Mapping_SEDS!$BB88</f>
        <v>0</v>
      </c>
      <c r="E8" s="34">
        <f>State_Fossil_All_Mapping_SEDS!F88/State_Fossil_All_Mapping_SEDS!$BB88</f>
        <v>0.08515834252</v>
      </c>
      <c r="F8" s="34">
        <f>State_Fossil_All_Mapping_SEDS!G88/State_Fossil_All_Mapping_SEDS!$BB88</f>
        <v>0</v>
      </c>
      <c r="G8" s="34">
        <f>State_Fossil_All_Mapping_SEDS!H88/State_Fossil_All_Mapping_SEDS!$BB88</f>
        <v>0</v>
      </c>
      <c r="H8" s="34">
        <f>State_Fossil_All_Mapping_SEDS!I88/State_Fossil_All_Mapping_SEDS!$BB88</f>
        <v>0</v>
      </c>
      <c r="I8" s="34">
        <f>State_Fossil_All_Mapping_SEDS!J88/State_Fossil_All_Mapping_SEDS!$BB88</f>
        <v>0</v>
      </c>
      <c r="J8" s="34">
        <f>State_Fossil_All_Mapping_SEDS!K88/State_Fossil_All_Mapping_SEDS!$BB88</f>
        <v>0</v>
      </c>
      <c r="K8" s="34">
        <f>State_Fossil_All_Mapping_SEDS!L88/State_Fossil_All_Mapping_SEDS!$BB88</f>
        <v>0</v>
      </c>
      <c r="L8" s="34">
        <f>State_Fossil_All_Mapping_SEDS!M88/State_Fossil_All_Mapping_SEDS!$BB88</f>
        <v>0</v>
      </c>
      <c r="M8" s="34">
        <f>State_Fossil_All_Mapping_SEDS!N88/State_Fossil_All_Mapping_SEDS!$BB88</f>
        <v>0</v>
      </c>
      <c r="N8" s="34">
        <f>State_Fossil_All_Mapping_SEDS!O88/State_Fossil_All_Mapping_SEDS!$BB88</f>
        <v>0</v>
      </c>
      <c r="O8" s="34">
        <f>State_Fossil_All_Mapping_SEDS!P88/State_Fossil_All_Mapping_SEDS!$BB88</f>
        <v>0</v>
      </c>
      <c r="P8" s="34">
        <f>State_Fossil_All_Mapping_SEDS!Q88/State_Fossil_All_Mapping_SEDS!$BB88</f>
        <v>0</v>
      </c>
      <c r="Q8" s="34">
        <f>State_Fossil_All_Mapping_SEDS!R88/State_Fossil_All_Mapping_SEDS!$BB88</f>
        <v>0</v>
      </c>
      <c r="R8" s="34">
        <f>State_Fossil_All_Mapping_SEDS!S88/State_Fossil_All_Mapping_SEDS!$BB88</f>
        <v>0</v>
      </c>
      <c r="S8" s="34">
        <f>State_Fossil_All_Mapping_SEDS!T88/State_Fossil_All_Mapping_SEDS!$BB88</f>
        <v>0</v>
      </c>
      <c r="T8" s="34">
        <f>State_Fossil_All_Mapping_SEDS!U88/State_Fossil_All_Mapping_SEDS!$BB88</f>
        <v>0.1162754057</v>
      </c>
      <c r="U8" s="34">
        <f>State_Fossil_All_Mapping_SEDS!V88/State_Fossil_All_Mapping_SEDS!$BB88</f>
        <v>0</v>
      </c>
      <c r="V8" s="34">
        <f>State_Fossil_All_Mapping_SEDS!W88/State_Fossil_All_Mapping_SEDS!$BB88</f>
        <v>0</v>
      </c>
      <c r="W8" s="34">
        <f>State_Fossil_All_Mapping_SEDS!X88/State_Fossil_All_Mapping_SEDS!$BB88</f>
        <v>0</v>
      </c>
      <c r="X8" s="34">
        <f>State_Fossil_All_Mapping_SEDS!Y88/State_Fossil_All_Mapping_SEDS!$BB88</f>
        <v>0</v>
      </c>
      <c r="Y8" s="34">
        <f>State_Fossil_All_Mapping_SEDS!Z88/State_Fossil_All_Mapping_SEDS!$BB88</f>
        <v>0</v>
      </c>
      <c r="Z8" s="34">
        <f>State_Fossil_All_Mapping_SEDS!AA88/State_Fossil_All_Mapping_SEDS!$BB88</f>
        <v>0</v>
      </c>
      <c r="AA8" s="34">
        <f>State_Fossil_All_Mapping_SEDS!AB88/State_Fossil_All_Mapping_SEDS!$BB88</f>
        <v>0</v>
      </c>
      <c r="AB8" s="34">
        <f>State_Fossil_All_Mapping_SEDS!AC88/State_Fossil_All_Mapping_SEDS!$BB88</f>
        <v>0</v>
      </c>
      <c r="AC8" s="34">
        <f>State_Fossil_All_Mapping_SEDS!AD88/State_Fossil_All_Mapping_SEDS!$BB88</f>
        <v>0</v>
      </c>
      <c r="AD8" s="34">
        <f>State_Fossil_All_Mapping_SEDS!AE88/State_Fossil_All_Mapping_SEDS!$BB88</f>
        <v>0</v>
      </c>
      <c r="AE8" s="34">
        <f>State_Fossil_All_Mapping_SEDS!AF88/State_Fossil_All_Mapping_SEDS!$BB88</f>
        <v>0</v>
      </c>
      <c r="AF8" s="34">
        <f>State_Fossil_All_Mapping_SEDS!AG88/State_Fossil_All_Mapping_SEDS!$BB88</f>
        <v>0</v>
      </c>
      <c r="AG8" s="34">
        <f>State_Fossil_All_Mapping_SEDS!AH88/State_Fossil_All_Mapping_SEDS!$BB88</f>
        <v>0</v>
      </c>
      <c r="AH8" s="34">
        <f>State_Fossil_All_Mapping_SEDS!AI88/State_Fossil_All_Mapping_SEDS!$BB88</f>
        <v>0</v>
      </c>
      <c r="AI8" s="34">
        <f>State_Fossil_All_Mapping_SEDS!AJ88/State_Fossil_All_Mapping_SEDS!$BB88</f>
        <v>0</v>
      </c>
      <c r="AJ8" s="34">
        <f>State_Fossil_All_Mapping_SEDS!AK88/State_Fossil_All_Mapping_SEDS!$BB88</f>
        <v>0</v>
      </c>
      <c r="AK8" s="34">
        <f>State_Fossil_All_Mapping_SEDS!AL88/State_Fossil_All_Mapping_SEDS!$BB88</f>
        <v>0</v>
      </c>
      <c r="AL8" s="34">
        <f>State_Fossil_All_Mapping_SEDS!AM88/State_Fossil_All_Mapping_SEDS!$BB88</f>
        <v>0.1278556798</v>
      </c>
      <c r="AM8" s="34">
        <f>State_Fossil_All_Mapping_SEDS!AN88/State_Fossil_All_Mapping_SEDS!$BB88</f>
        <v>0</v>
      </c>
      <c r="AN8" s="34">
        <f>State_Fossil_All_Mapping_SEDS!AO88/State_Fossil_All_Mapping_SEDS!$BB88</f>
        <v>0</v>
      </c>
      <c r="AO8" s="34">
        <f>State_Fossil_All_Mapping_SEDS!AP88/State_Fossil_All_Mapping_SEDS!$BB88</f>
        <v>0</v>
      </c>
      <c r="AP8" s="34">
        <f>State_Fossil_All_Mapping_SEDS!AQ88/State_Fossil_All_Mapping_SEDS!$BB88</f>
        <v>0</v>
      </c>
      <c r="AQ8" s="34">
        <f>State_Fossil_All_Mapping_SEDS!AR88/State_Fossil_All_Mapping_SEDS!$BB88</f>
        <v>0</v>
      </c>
      <c r="AR8" s="34">
        <f>State_Fossil_All_Mapping_SEDS!AS88/State_Fossil_All_Mapping_SEDS!$BB88</f>
        <v>0</v>
      </c>
      <c r="AS8" s="34">
        <f>State_Fossil_All_Mapping_SEDS!AT88/State_Fossil_All_Mapping_SEDS!$BB88</f>
        <v>0.6707105719</v>
      </c>
      <c r="AT8" s="34">
        <f>State_Fossil_All_Mapping_SEDS!AU88/State_Fossil_All_Mapping_SEDS!$BB88</f>
        <v>0</v>
      </c>
      <c r="AU8" s="34">
        <f>State_Fossil_All_Mapping_SEDS!AV88/State_Fossil_All_Mapping_SEDS!$BB88</f>
        <v>0</v>
      </c>
      <c r="AV8" s="34">
        <f>State_Fossil_All_Mapping_SEDS!AW88/State_Fossil_All_Mapping_SEDS!$BB88</f>
        <v>0</v>
      </c>
      <c r="AW8" s="34">
        <f>State_Fossil_All_Mapping_SEDS!AX88/State_Fossil_All_Mapping_SEDS!$BB88</f>
        <v>0</v>
      </c>
      <c r="AX8" s="34">
        <f>State_Fossil_All_Mapping_SEDS!AY88/State_Fossil_All_Mapping_SEDS!$BB88</f>
        <v>0</v>
      </c>
      <c r="AY8" s="34">
        <f>State_Fossil_All_Mapping_SEDS!AZ88/State_Fossil_All_Mapping_SEDS!$BB88</f>
        <v>0</v>
      </c>
      <c r="AZ8" s="34">
        <f>State_Fossil_All_Mapping_SEDS!BA88/State_Fossil_All_Mapping_SEDS!$BB88</f>
        <v>0</v>
      </c>
    </row>
    <row r="9" ht="15.75" customHeight="1">
      <c r="A9" s="34">
        <v>8.0</v>
      </c>
      <c r="B9" s="34">
        <f>State_Fossil_All_Mapping_SEDS!C89/State_Fossil_All_Mapping_SEDS!$BB89</f>
        <v>0</v>
      </c>
      <c r="C9" s="34">
        <f>State_Fossil_All_Mapping_SEDS!D89/State_Fossil_All_Mapping_SEDS!$BB89</f>
        <v>0</v>
      </c>
      <c r="D9" s="34">
        <f>State_Fossil_All_Mapping_SEDS!E89/State_Fossil_All_Mapping_SEDS!$BB89</f>
        <v>0.2080876158</v>
      </c>
      <c r="E9" s="34">
        <f>State_Fossil_All_Mapping_SEDS!F89/State_Fossil_All_Mapping_SEDS!$BB89</f>
        <v>0</v>
      </c>
      <c r="F9" s="34">
        <f>State_Fossil_All_Mapping_SEDS!G89/State_Fossil_All_Mapping_SEDS!$BB89</f>
        <v>0</v>
      </c>
      <c r="G9" s="34">
        <f>State_Fossil_All_Mapping_SEDS!H89/State_Fossil_All_Mapping_SEDS!$BB89</f>
        <v>0.2581086773</v>
      </c>
      <c r="H9" s="34">
        <f>State_Fossil_All_Mapping_SEDS!I89/State_Fossil_All_Mapping_SEDS!$BB89</f>
        <v>0</v>
      </c>
      <c r="I9" s="34">
        <f>State_Fossil_All_Mapping_SEDS!J89/State_Fossil_All_Mapping_SEDS!$BB89</f>
        <v>0</v>
      </c>
      <c r="J9" s="34">
        <f>State_Fossil_All_Mapping_SEDS!K89/State_Fossil_All_Mapping_SEDS!$BB89</f>
        <v>0</v>
      </c>
      <c r="K9" s="34">
        <f>State_Fossil_All_Mapping_SEDS!L89/State_Fossil_All_Mapping_SEDS!$BB89</f>
        <v>0</v>
      </c>
      <c r="L9" s="34">
        <f>State_Fossil_All_Mapping_SEDS!M89/State_Fossil_All_Mapping_SEDS!$BB89</f>
        <v>0</v>
      </c>
      <c r="M9" s="34">
        <f>State_Fossil_All_Mapping_SEDS!N89/State_Fossil_All_Mapping_SEDS!$BB89</f>
        <v>0</v>
      </c>
      <c r="N9" s="34">
        <f>State_Fossil_All_Mapping_SEDS!O89/State_Fossil_All_Mapping_SEDS!$BB89</f>
        <v>0.09604043808</v>
      </c>
      <c r="O9" s="34">
        <f>State_Fossil_All_Mapping_SEDS!P89/State_Fossil_All_Mapping_SEDS!$BB89</f>
        <v>0</v>
      </c>
      <c r="P9" s="34">
        <f>State_Fossil_All_Mapping_SEDS!Q89/State_Fossil_All_Mapping_SEDS!$BB89</f>
        <v>0</v>
      </c>
      <c r="Q9" s="34">
        <f>State_Fossil_All_Mapping_SEDS!R89/State_Fossil_All_Mapping_SEDS!$BB89</f>
        <v>0</v>
      </c>
      <c r="R9" s="34">
        <f>State_Fossil_All_Mapping_SEDS!S89/State_Fossil_All_Mapping_SEDS!$BB89</f>
        <v>0</v>
      </c>
      <c r="S9" s="34">
        <f>State_Fossil_All_Mapping_SEDS!T89/State_Fossil_All_Mapping_SEDS!$BB89</f>
        <v>0</v>
      </c>
      <c r="T9" s="34">
        <f>State_Fossil_All_Mapping_SEDS!U89/State_Fossil_All_Mapping_SEDS!$BB89</f>
        <v>0</v>
      </c>
      <c r="U9" s="34">
        <f>State_Fossil_All_Mapping_SEDS!V89/State_Fossil_All_Mapping_SEDS!$BB89</f>
        <v>0</v>
      </c>
      <c r="V9" s="34">
        <f>State_Fossil_All_Mapping_SEDS!W89/State_Fossil_All_Mapping_SEDS!$BB89</f>
        <v>0</v>
      </c>
      <c r="W9" s="34">
        <f>State_Fossil_All_Mapping_SEDS!X89/State_Fossil_All_Mapping_SEDS!$BB89</f>
        <v>0</v>
      </c>
      <c r="X9" s="34">
        <f>State_Fossil_All_Mapping_SEDS!Y89/State_Fossil_All_Mapping_SEDS!$BB89</f>
        <v>0</v>
      </c>
      <c r="Y9" s="34">
        <f>State_Fossil_All_Mapping_SEDS!Z89/State_Fossil_All_Mapping_SEDS!$BB89</f>
        <v>0</v>
      </c>
      <c r="Z9" s="34">
        <f>State_Fossil_All_Mapping_SEDS!AA89/State_Fossil_All_Mapping_SEDS!$BB89</f>
        <v>0</v>
      </c>
      <c r="AA9" s="34">
        <f>State_Fossil_All_Mapping_SEDS!AB89/State_Fossil_All_Mapping_SEDS!$BB89</f>
        <v>0</v>
      </c>
      <c r="AB9" s="34">
        <f>State_Fossil_All_Mapping_SEDS!AC89/State_Fossil_All_Mapping_SEDS!$BB89</f>
        <v>0.07076663858</v>
      </c>
      <c r="AC9" s="34">
        <f>State_Fossil_All_Mapping_SEDS!AD89/State_Fossil_All_Mapping_SEDS!$BB89</f>
        <v>0</v>
      </c>
      <c r="AD9" s="34">
        <f>State_Fossil_All_Mapping_SEDS!AE89/State_Fossil_All_Mapping_SEDS!$BB89</f>
        <v>0.1136267902</v>
      </c>
      <c r="AE9" s="34">
        <f>State_Fossil_All_Mapping_SEDS!AF89/State_Fossil_All_Mapping_SEDS!$BB89</f>
        <v>0</v>
      </c>
      <c r="AF9" s="34">
        <f>State_Fossil_All_Mapping_SEDS!AG89/State_Fossil_All_Mapping_SEDS!$BB89</f>
        <v>0</v>
      </c>
      <c r="AG9" s="34">
        <f>State_Fossil_All_Mapping_SEDS!AH89/State_Fossil_All_Mapping_SEDS!$BB89</f>
        <v>0.08393007582</v>
      </c>
      <c r="AH9" s="34">
        <f>State_Fossil_All_Mapping_SEDS!AI89/State_Fossil_All_Mapping_SEDS!$BB89</f>
        <v>0</v>
      </c>
      <c r="AI9" s="34">
        <f>State_Fossil_All_Mapping_SEDS!AJ89/State_Fossil_All_Mapping_SEDS!$BB89</f>
        <v>0</v>
      </c>
      <c r="AJ9" s="34">
        <f>State_Fossil_All_Mapping_SEDS!AK89/State_Fossil_All_Mapping_SEDS!$BB89</f>
        <v>0</v>
      </c>
      <c r="AK9" s="34">
        <f>State_Fossil_All_Mapping_SEDS!AL89/State_Fossil_All_Mapping_SEDS!$BB89</f>
        <v>0</v>
      </c>
      <c r="AL9" s="34">
        <f>State_Fossil_All_Mapping_SEDS!AM89/State_Fossil_All_Mapping_SEDS!$BB89</f>
        <v>0</v>
      </c>
      <c r="AM9" s="34">
        <f>State_Fossil_All_Mapping_SEDS!AN89/State_Fossil_All_Mapping_SEDS!$BB89</f>
        <v>0</v>
      </c>
      <c r="AN9" s="34">
        <f>State_Fossil_All_Mapping_SEDS!AO89/State_Fossil_All_Mapping_SEDS!$BB89</f>
        <v>0</v>
      </c>
      <c r="AO9" s="34">
        <f>State_Fossil_All_Mapping_SEDS!AP89/State_Fossil_All_Mapping_SEDS!$BB89</f>
        <v>0</v>
      </c>
      <c r="AP9" s="34">
        <f>State_Fossil_All_Mapping_SEDS!AQ89/State_Fossil_All_Mapping_SEDS!$BB89</f>
        <v>0</v>
      </c>
      <c r="AQ9" s="34">
        <f>State_Fossil_All_Mapping_SEDS!AR89/State_Fossil_All_Mapping_SEDS!$BB89</f>
        <v>0</v>
      </c>
      <c r="AR9" s="34">
        <f>State_Fossil_All_Mapping_SEDS!AS89/State_Fossil_All_Mapping_SEDS!$BB89</f>
        <v>0</v>
      </c>
      <c r="AS9" s="34">
        <f>State_Fossil_All_Mapping_SEDS!AT89/State_Fossil_All_Mapping_SEDS!$BB89</f>
        <v>0</v>
      </c>
      <c r="AT9" s="34">
        <f>State_Fossil_All_Mapping_SEDS!AU89/State_Fossil_All_Mapping_SEDS!$BB89</f>
        <v>0.1352148273</v>
      </c>
      <c r="AU9" s="34">
        <f>State_Fossil_All_Mapping_SEDS!AV89/State_Fossil_All_Mapping_SEDS!$BB89</f>
        <v>0</v>
      </c>
      <c r="AV9" s="34">
        <f>State_Fossil_All_Mapping_SEDS!AW89/State_Fossil_All_Mapping_SEDS!$BB89</f>
        <v>0</v>
      </c>
      <c r="AW9" s="34">
        <f>State_Fossil_All_Mapping_SEDS!AX89/State_Fossil_All_Mapping_SEDS!$BB89</f>
        <v>0</v>
      </c>
      <c r="AX9" s="34">
        <f>State_Fossil_All_Mapping_SEDS!AY89/State_Fossil_All_Mapping_SEDS!$BB89</f>
        <v>0</v>
      </c>
      <c r="AY9" s="34">
        <f>State_Fossil_All_Mapping_SEDS!AZ89/State_Fossil_All_Mapping_SEDS!$BB89</f>
        <v>0</v>
      </c>
      <c r="AZ9" s="34">
        <f>State_Fossil_All_Mapping_SEDS!BA89/State_Fossil_All_Mapping_SEDS!$BB89</f>
        <v>0.03422493682</v>
      </c>
    </row>
    <row r="10" ht="15.75" customHeight="1">
      <c r="A10" s="34">
        <v>9.0</v>
      </c>
      <c r="B10" s="34">
        <f>State_Fossil_All_Mapping_SEDS!C90/State_Fossil_All_Mapping_SEDS!$BB90</f>
        <v>0</v>
      </c>
      <c r="C10" s="34">
        <f>State_Fossil_All_Mapping_SEDS!D90/State_Fossil_All_Mapping_SEDS!$BB90</f>
        <v>0.02995921394</v>
      </c>
      <c r="D10" s="34">
        <f>State_Fossil_All_Mapping_SEDS!E90/State_Fossil_All_Mapping_SEDS!$BB90</f>
        <v>0</v>
      </c>
      <c r="E10" s="34">
        <f>State_Fossil_All_Mapping_SEDS!F90/State_Fossil_All_Mapping_SEDS!$BB90</f>
        <v>0</v>
      </c>
      <c r="F10" s="34">
        <f>State_Fossil_All_Mapping_SEDS!G90/State_Fossil_All_Mapping_SEDS!$BB90</f>
        <v>0.6447163515</v>
      </c>
      <c r="G10" s="34">
        <f>State_Fossil_All_Mapping_SEDS!H90/State_Fossil_All_Mapping_SEDS!$BB90</f>
        <v>0</v>
      </c>
      <c r="H10" s="34">
        <f>State_Fossil_All_Mapping_SEDS!I90/State_Fossil_All_Mapping_SEDS!$BB90</f>
        <v>0</v>
      </c>
      <c r="I10" s="34">
        <f>State_Fossil_All_Mapping_SEDS!J90/State_Fossil_All_Mapping_SEDS!$BB90</f>
        <v>0</v>
      </c>
      <c r="J10" s="34">
        <f>State_Fossil_All_Mapping_SEDS!K90/State_Fossil_All_Mapping_SEDS!$BB90</f>
        <v>0</v>
      </c>
      <c r="K10" s="34">
        <f>State_Fossil_All_Mapping_SEDS!L90/State_Fossil_All_Mapping_SEDS!$BB90</f>
        <v>0</v>
      </c>
      <c r="L10" s="34">
        <f>State_Fossil_All_Mapping_SEDS!M90/State_Fossil_All_Mapping_SEDS!$BB90</f>
        <v>0</v>
      </c>
      <c r="M10" s="34">
        <f>State_Fossil_All_Mapping_SEDS!N90/State_Fossil_All_Mapping_SEDS!$BB90</f>
        <v>0.01104931405</v>
      </c>
      <c r="N10" s="34">
        <f>State_Fossil_All_Mapping_SEDS!O90/State_Fossil_All_Mapping_SEDS!$BB90</f>
        <v>0</v>
      </c>
      <c r="O10" s="34">
        <f>State_Fossil_All_Mapping_SEDS!P90/State_Fossil_All_Mapping_SEDS!$BB90</f>
        <v>0</v>
      </c>
      <c r="P10" s="34">
        <f>State_Fossil_All_Mapping_SEDS!Q90/State_Fossil_All_Mapping_SEDS!$BB90</f>
        <v>0</v>
      </c>
      <c r="Q10" s="34">
        <f>State_Fossil_All_Mapping_SEDS!R90/State_Fossil_All_Mapping_SEDS!$BB90</f>
        <v>0</v>
      </c>
      <c r="R10" s="34">
        <f>State_Fossil_All_Mapping_SEDS!S90/State_Fossil_All_Mapping_SEDS!$BB90</f>
        <v>0</v>
      </c>
      <c r="S10" s="34">
        <f>State_Fossil_All_Mapping_SEDS!T90/State_Fossil_All_Mapping_SEDS!$BB90</f>
        <v>0</v>
      </c>
      <c r="T10" s="34">
        <f>State_Fossil_All_Mapping_SEDS!U90/State_Fossil_All_Mapping_SEDS!$BB90</f>
        <v>0</v>
      </c>
      <c r="U10" s="34">
        <f>State_Fossil_All_Mapping_SEDS!V90/State_Fossil_All_Mapping_SEDS!$BB90</f>
        <v>0</v>
      </c>
      <c r="V10" s="34">
        <f>State_Fossil_All_Mapping_SEDS!W90/State_Fossil_All_Mapping_SEDS!$BB90</f>
        <v>0</v>
      </c>
      <c r="W10" s="34">
        <f>State_Fossil_All_Mapping_SEDS!X90/State_Fossil_All_Mapping_SEDS!$BB90</f>
        <v>0</v>
      </c>
      <c r="X10" s="34">
        <f>State_Fossil_All_Mapping_SEDS!Y90/State_Fossil_All_Mapping_SEDS!$BB90</f>
        <v>0</v>
      </c>
      <c r="Y10" s="34">
        <f>State_Fossil_All_Mapping_SEDS!Z90/State_Fossil_All_Mapping_SEDS!$BB90</f>
        <v>0</v>
      </c>
      <c r="Z10" s="34">
        <f>State_Fossil_All_Mapping_SEDS!AA90/State_Fossil_All_Mapping_SEDS!$BB90</f>
        <v>0</v>
      </c>
      <c r="AA10" s="34">
        <f>State_Fossil_All_Mapping_SEDS!AB90/State_Fossil_All_Mapping_SEDS!$BB90</f>
        <v>0</v>
      </c>
      <c r="AB10" s="34">
        <f>State_Fossil_All_Mapping_SEDS!AC90/State_Fossil_All_Mapping_SEDS!$BB90</f>
        <v>0</v>
      </c>
      <c r="AC10" s="34">
        <f>State_Fossil_All_Mapping_SEDS!AD90/State_Fossil_All_Mapping_SEDS!$BB90</f>
        <v>0</v>
      </c>
      <c r="AD10" s="34">
        <f>State_Fossil_All_Mapping_SEDS!AE90/State_Fossil_All_Mapping_SEDS!$BB90</f>
        <v>0</v>
      </c>
      <c r="AE10" s="34">
        <f>State_Fossil_All_Mapping_SEDS!AF90/State_Fossil_All_Mapping_SEDS!$BB90</f>
        <v>0</v>
      </c>
      <c r="AF10" s="34">
        <f>State_Fossil_All_Mapping_SEDS!AG90/State_Fossil_All_Mapping_SEDS!$BB90</f>
        <v>0</v>
      </c>
      <c r="AG10" s="34">
        <f>State_Fossil_All_Mapping_SEDS!AH90/State_Fossil_All_Mapping_SEDS!$BB90</f>
        <v>0</v>
      </c>
      <c r="AH10" s="34">
        <f>State_Fossil_All_Mapping_SEDS!AI90/State_Fossil_All_Mapping_SEDS!$BB90</f>
        <v>0</v>
      </c>
      <c r="AI10" s="34">
        <f>State_Fossil_All_Mapping_SEDS!AJ90/State_Fossil_All_Mapping_SEDS!$BB90</f>
        <v>0</v>
      </c>
      <c r="AJ10" s="34">
        <f>State_Fossil_All_Mapping_SEDS!AK90/State_Fossil_All_Mapping_SEDS!$BB90</f>
        <v>0</v>
      </c>
      <c r="AK10" s="34">
        <f>State_Fossil_All_Mapping_SEDS!AL90/State_Fossil_All_Mapping_SEDS!$BB90</f>
        <v>0</v>
      </c>
      <c r="AL10" s="34">
        <f>State_Fossil_All_Mapping_SEDS!AM90/State_Fossil_All_Mapping_SEDS!$BB90</f>
        <v>0</v>
      </c>
      <c r="AM10" s="34">
        <f>State_Fossil_All_Mapping_SEDS!AN90/State_Fossil_All_Mapping_SEDS!$BB90</f>
        <v>0.1103448276</v>
      </c>
      <c r="AN10" s="34">
        <f>State_Fossil_All_Mapping_SEDS!AO90/State_Fossil_All_Mapping_SEDS!$BB90</f>
        <v>0</v>
      </c>
      <c r="AO10" s="34">
        <f>State_Fossil_All_Mapping_SEDS!AP90/State_Fossil_All_Mapping_SEDS!$BB90</f>
        <v>0</v>
      </c>
      <c r="AP10" s="34">
        <f>State_Fossil_All_Mapping_SEDS!AQ90/State_Fossil_All_Mapping_SEDS!$BB90</f>
        <v>0</v>
      </c>
      <c r="AQ10" s="34">
        <f>State_Fossil_All_Mapping_SEDS!AR90/State_Fossil_All_Mapping_SEDS!$BB90</f>
        <v>0</v>
      </c>
      <c r="AR10" s="34">
        <f>State_Fossil_All_Mapping_SEDS!AS90/State_Fossil_All_Mapping_SEDS!$BB90</f>
        <v>0</v>
      </c>
      <c r="AS10" s="34">
        <f>State_Fossil_All_Mapping_SEDS!AT90/State_Fossil_All_Mapping_SEDS!$BB90</f>
        <v>0</v>
      </c>
      <c r="AT10" s="34">
        <f>State_Fossil_All_Mapping_SEDS!AU90/State_Fossil_All_Mapping_SEDS!$BB90</f>
        <v>0</v>
      </c>
      <c r="AU10" s="34">
        <f>State_Fossil_All_Mapping_SEDS!AV90/State_Fossil_All_Mapping_SEDS!$BB90</f>
        <v>0</v>
      </c>
      <c r="AV10" s="34">
        <f>State_Fossil_All_Mapping_SEDS!AW90/State_Fossil_All_Mapping_SEDS!$BB90</f>
        <v>0</v>
      </c>
      <c r="AW10" s="34">
        <f>State_Fossil_All_Mapping_SEDS!AX90/State_Fossil_All_Mapping_SEDS!$BB90</f>
        <v>0.2039302929</v>
      </c>
      <c r="AX10" s="34">
        <f>State_Fossil_All_Mapping_SEDS!AY90/State_Fossil_All_Mapping_SEDS!$BB90</f>
        <v>0</v>
      </c>
      <c r="AY10" s="34">
        <f>State_Fossil_All_Mapping_SEDS!AZ90/State_Fossil_All_Mapping_SEDS!$BB90</f>
        <v>0</v>
      </c>
      <c r="AZ10" s="34">
        <f>State_Fossil_All_Mapping_SEDS!BA90/State_Fossil_All_Mapping_SEDS!$BB90</f>
        <v>0</v>
      </c>
    </row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78" t="s">
        <v>94</v>
      </c>
      <c r="B1" s="82" t="s">
        <v>1994</v>
      </c>
      <c r="C1" s="82" t="s">
        <v>2062</v>
      </c>
      <c r="D1" s="82" t="s">
        <v>2063</v>
      </c>
      <c r="E1" s="82" t="s">
        <v>2079</v>
      </c>
      <c r="F1" s="82" t="s">
        <v>2137</v>
      </c>
      <c r="G1" s="82" t="s">
        <v>2194</v>
      </c>
      <c r="H1" s="82" t="s">
        <v>2250</v>
      </c>
      <c r="I1" s="82" t="s">
        <v>2259</v>
      </c>
      <c r="J1" s="78" t="s">
        <v>2263</v>
      </c>
      <c r="K1" s="82" t="s">
        <v>2264</v>
      </c>
      <c r="L1" s="82" t="s">
        <v>2314</v>
      </c>
      <c r="M1" s="82" t="s">
        <v>2423</v>
      </c>
      <c r="N1" s="82" t="s">
        <v>2424</v>
      </c>
      <c r="O1" s="82" t="s">
        <v>2458</v>
      </c>
      <c r="P1" s="82" t="s">
        <v>2513</v>
      </c>
      <c r="Q1" s="82" t="s">
        <v>2555</v>
      </c>
      <c r="R1" s="82" t="s">
        <v>2601</v>
      </c>
      <c r="S1" s="82" t="s">
        <v>2669</v>
      </c>
      <c r="T1" s="82" t="s">
        <v>2725</v>
      </c>
      <c r="U1" s="82" t="s">
        <v>2790</v>
      </c>
      <c r="V1" s="82" t="s">
        <v>2801</v>
      </c>
      <c r="W1" s="82" t="s">
        <v>2819</v>
      </c>
      <c r="X1" s="82" t="s">
        <v>2830</v>
      </c>
      <c r="Y1" s="82" t="s">
        <v>2893</v>
      </c>
      <c r="Z1" s="82" t="s">
        <v>2955</v>
      </c>
      <c r="AA1" s="82" t="s">
        <v>2992</v>
      </c>
      <c r="AB1" s="82" t="s">
        <v>3034</v>
      </c>
      <c r="AC1" s="82" t="s">
        <v>3071</v>
      </c>
      <c r="AD1" s="82" t="s">
        <v>3112</v>
      </c>
      <c r="AE1" s="82" t="s">
        <v>3123</v>
      </c>
      <c r="AF1" s="82" t="s">
        <v>3131</v>
      </c>
      <c r="AG1" s="82" t="s">
        <v>3143</v>
      </c>
      <c r="AH1" s="82" t="s">
        <v>3168</v>
      </c>
      <c r="AI1" s="82" t="s">
        <v>3200</v>
      </c>
      <c r="AJ1" s="82" t="s">
        <v>3265</v>
      </c>
      <c r="AK1" s="82" t="s">
        <v>3297</v>
      </c>
      <c r="AL1" s="82" t="s">
        <v>3333</v>
      </c>
      <c r="AM1" s="82" t="s">
        <v>3376</v>
      </c>
      <c r="AN1" s="82" t="s">
        <v>3393</v>
      </c>
      <c r="AO1" s="82" t="s">
        <v>3427</v>
      </c>
      <c r="AP1" s="82" t="s">
        <v>3430</v>
      </c>
      <c r="AQ1" s="82" t="s">
        <v>3458</v>
      </c>
      <c r="AR1" s="82" t="s">
        <v>3497</v>
      </c>
      <c r="AS1" s="82" t="s">
        <v>3524</v>
      </c>
      <c r="AT1" s="82" t="s">
        <v>3687</v>
      </c>
      <c r="AU1" s="82" t="s">
        <v>3704</v>
      </c>
      <c r="AV1" s="82" t="s">
        <v>3713</v>
      </c>
      <c r="AW1" s="82" t="s">
        <v>3797</v>
      </c>
      <c r="AX1" s="82" t="s">
        <v>3820</v>
      </c>
      <c r="AY1" s="82" t="s">
        <v>3838</v>
      </c>
      <c r="AZ1" s="82" t="s">
        <v>3874</v>
      </c>
    </row>
    <row r="2" ht="15.75" customHeight="1">
      <c r="A2" s="34">
        <v>1.0</v>
      </c>
      <c r="B2" s="34">
        <f>State_Fossil_All_Mapping_SEDS!C95/State_Fossil_All_Mapping_SEDS!$BB95</f>
        <v>0</v>
      </c>
      <c r="C2" s="34">
        <f>State_Fossil_All_Mapping_SEDS!D95/State_Fossil_All_Mapping_SEDS!$BB95</f>
        <v>0</v>
      </c>
      <c r="D2" s="34">
        <f>State_Fossil_All_Mapping_SEDS!E95/State_Fossil_All_Mapping_SEDS!$BB95</f>
        <v>0</v>
      </c>
      <c r="E2" s="34">
        <f>State_Fossil_All_Mapping_SEDS!F95/State_Fossil_All_Mapping_SEDS!$BB95</f>
        <v>0</v>
      </c>
      <c r="F2" s="34">
        <f>State_Fossil_All_Mapping_SEDS!G95/State_Fossil_All_Mapping_SEDS!$BB95</f>
        <v>0</v>
      </c>
      <c r="G2" s="34">
        <f>State_Fossil_All_Mapping_SEDS!H95/State_Fossil_All_Mapping_SEDS!$BB95</f>
        <v>0</v>
      </c>
      <c r="H2" s="34">
        <f>State_Fossil_All_Mapping_SEDS!I95/State_Fossil_All_Mapping_SEDS!$BB95</f>
        <v>0.2303415409</v>
      </c>
      <c r="I2" s="34">
        <f>State_Fossil_All_Mapping_SEDS!J95/State_Fossil_All_Mapping_SEDS!$BB95</f>
        <v>0</v>
      </c>
      <c r="J2" s="34">
        <f>State_Fossil_All_Mapping_SEDS!K95/State_Fossil_All_Mapping_SEDS!$BB95</f>
        <v>0</v>
      </c>
      <c r="K2" s="34">
        <f>State_Fossil_All_Mapping_SEDS!L95/State_Fossil_All_Mapping_SEDS!$BB95</f>
        <v>0</v>
      </c>
      <c r="L2" s="34">
        <f>State_Fossil_All_Mapping_SEDS!M95/State_Fossil_All_Mapping_SEDS!$BB95</f>
        <v>0</v>
      </c>
      <c r="M2" s="34">
        <f>State_Fossil_All_Mapping_SEDS!N95/State_Fossil_All_Mapping_SEDS!$BB95</f>
        <v>0</v>
      </c>
      <c r="N2" s="34">
        <f>State_Fossil_All_Mapping_SEDS!O95/State_Fossil_All_Mapping_SEDS!$BB95</f>
        <v>0</v>
      </c>
      <c r="O2" s="34">
        <f>State_Fossil_All_Mapping_SEDS!P95/State_Fossil_All_Mapping_SEDS!$BB95</f>
        <v>0</v>
      </c>
      <c r="P2" s="34">
        <f>State_Fossil_All_Mapping_SEDS!Q95/State_Fossil_All_Mapping_SEDS!$BB95</f>
        <v>0</v>
      </c>
      <c r="Q2" s="34">
        <f>State_Fossil_All_Mapping_SEDS!R95/State_Fossil_All_Mapping_SEDS!$BB95</f>
        <v>0</v>
      </c>
      <c r="R2" s="34">
        <f>State_Fossil_All_Mapping_SEDS!S95/State_Fossil_All_Mapping_SEDS!$BB95</f>
        <v>0</v>
      </c>
      <c r="S2" s="34">
        <f>State_Fossil_All_Mapping_SEDS!T95/State_Fossil_All_Mapping_SEDS!$BB95</f>
        <v>0</v>
      </c>
      <c r="T2" s="34">
        <f>State_Fossil_All_Mapping_SEDS!U95/State_Fossil_All_Mapping_SEDS!$BB95</f>
        <v>0</v>
      </c>
      <c r="U2" s="34">
        <f>State_Fossil_All_Mapping_SEDS!V95/State_Fossil_All_Mapping_SEDS!$BB95</f>
        <v>0.09293089754</v>
      </c>
      <c r="V2" s="34">
        <f>State_Fossil_All_Mapping_SEDS!W95/State_Fossil_All_Mapping_SEDS!$BB95</f>
        <v>0</v>
      </c>
      <c r="W2" s="34">
        <f>State_Fossil_All_Mapping_SEDS!X95/State_Fossil_All_Mapping_SEDS!$BB95</f>
        <v>0.4886814932</v>
      </c>
      <c r="X2" s="34">
        <f>State_Fossil_All_Mapping_SEDS!Y95/State_Fossil_All_Mapping_SEDS!$BB95</f>
        <v>0</v>
      </c>
      <c r="Y2" s="34">
        <f>State_Fossil_All_Mapping_SEDS!Z95/State_Fossil_All_Mapping_SEDS!$BB95</f>
        <v>0</v>
      </c>
      <c r="Z2" s="34">
        <f>State_Fossil_All_Mapping_SEDS!AA95/State_Fossil_All_Mapping_SEDS!$BB95</f>
        <v>0</v>
      </c>
      <c r="AA2" s="34">
        <f>State_Fossil_All_Mapping_SEDS!AB95/State_Fossil_All_Mapping_SEDS!$BB95</f>
        <v>0</v>
      </c>
      <c r="AB2" s="34">
        <f>State_Fossil_All_Mapping_SEDS!AC95/State_Fossil_All_Mapping_SEDS!$BB95</f>
        <v>0</v>
      </c>
      <c r="AC2" s="34">
        <f>State_Fossil_All_Mapping_SEDS!AD95/State_Fossil_All_Mapping_SEDS!$BB95</f>
        <v>0</v>
      </c>
      <c r="AD2" s="34">
        <f>State_Fossil_All_Mapping_SEDS!AE95/State_Fossil_All_Mapping_SEDS!$BB95</f>
        <v>0</v>
      </c>
      <c r="AE2" s="34">
        <f>State_Fossil_All_Mapping_SEDS!AF95/State_Fossil_All_Mapping_SEDS!$BB95</f>
        <v>0.07903097697</v>
      </c>
      <c r="AF2" s="34">
        <f>State_Fossil_All_Mapping_SEDS!AG95/State_Fossil_All_Mapping_SEDS!$BB95</f>
        <v>0</v>
      </c>
      <c r="AG2" s="34">
        <f>State_Fossil_All_Mapping_SEDS!AH95/State_Fossil_All_Mapping_SEDS!$BB95</f>
        <v>0</v>
      </c>
      <c r="AH2" s="34">
        <f>State_Fossil_All_Mapping_SEDS!AI95/State_Fossil_All_Mapping_SEDS!$BB95</f>
        <v>0</v>
      </c>
      <c r="AI2" s="34">
        <f>State_Fossil_All_Mapping_SEDS!AJ95/State_Fossil_All_Mapping_SEDS!$BB95</f>
        <v>0</v>
      </c>
      <c r="AJ2" s="34">
        <f>State_Fossil_All_Mapping_SEDS!AK95/State_Fossil_All_Mapping_SEDS!$BB95</f>
        <v>0</v>
      </c>
      <c r="AK2" s="34">
        <f>State_Fossil_All_Mapping_SEDS!AL95/State_Fossil_All_Mapping_SEDS!$BB95</f>
        <v>0</v>
      </c>
      <c r="AL2" s="34">
        <f>State_Fossil_All_Mapping_SEDS!AM95/State_Fossil_All_Mapping_SEDS!$BB95</f>
        <v>0</v>
      </c>
      <c r="AM2" s="34">
        <f>State_Fossil_All_Mapping_SEDS!AN95/State_Fossil_All_Mapping_SEDS!$BB95</f>
        <v>0</v>
      </c>
      <c r="AN2" s="34">
        <f>State_Fossil_All_Mapping_SEDS!AO95/State_Fossil_All_Mapping_SEDS!$BB95</f>
        <v>0</v>
      </c>
      <c r="AO2" s="34">
        <f>State_Fossil_All_Mapping_SEDS!AP95/State_Fossil_All_Mapping_SEDS!$BB95</f>
        <v>0.06016679905</v>
      </c>
      <c r="AP2" s="34">
        <f>State_Fossil_All_Mapping_SEDS!AQ95/State_Fossil_All_Mapping_SEDS!$BB95</f>
        <v>0</v>
      </c>
      <c r="AQ2" s="34">
        <f>State_Fossil_All_Mapping_SEDS!AR95/State_Fossil_All_Mapping_SEDS!$BB95</f>
        <v>0</v>
      </c>
      <c r="AR2" s="34">
        <f>State_Fossil_All_Mapping_SEDS!AS95/State_Fossil_All_Mapping_SEDS!$BB95</f>
        <v>0</v>
      </c>
      <c r="AS2" s="34">
        <f>State_Fossil_All_Mapping_SEDS!AT95/State_Fossil_All_Mapping_SEDS!$BB95</f>
        <v>0</v>
      </c>
      <c r="AT2" s="34">
        <f>State_Fossil_All_Mapping_SEDS!AU95/State_Fossil_All_Mapping_SEDS!$BB95</f>
        <v>0</v>
      </c>
      <c r="AU2" s="34">
        <f>State_Fossil_All_Mapping_SEDS!AV95/State_Fossil_All_Mapping_SEDS!$BB95</f>
        <v>0.0488482923</v>
      </c>
      <c r="AV2" s="34">
        <f>State_Fossil_All_Mapping_SEDS!AW95/State_Fossil_All_Mapping_SEDS!$BB95</f>
        <v>0</v>
      </c>
      <c r="AW2" s="34">
        <f>State_Fossil_All_Mapping_SEDS!AX95/State_Fossil_All_Mapping_SEDS!$BB95</f>
        <v>0</v>
      </c>
      <c r="AX2" s="34">
        <f>State_Fossil_All_Mapping_SEDS!AY95/State_Fossil_All_Mapping_SEDS!$BB95</f>
        <v>0</v>
      </c>
      <c r="AY2" s="34">
        <f>State_Fossil_All_Mapping_SEDS!AZ95/State_Fossil_All_Mapping_SEDS!$BB95</f>
        <v>0</v>
      </c>
      <c r="AZ2" s="34">
        <f>State_Fossil_All_Mapping_SEDS!BA95/State_Fossil_All_Mapping_SEDS!$BB95</f>
        <v>0</v>
      </c>
    </row>
    <row r="3" ht="15.75" customHeight="1">
      <c r="A3" s="34">
        <v>2.0</v>
      </c>
      <c r="B3" s="34">
        <f>State_Fossil_All_Mapping_SEDS!C96/State_Fossil_All_Mapping_SEDS!$BB96</f>
        <v>0</v>
      </c>
      <c r="C3" s="34">
        <f>State_Fossil_All_Mapping_SEDS!D96/State_Fossil_All_Mapping_SEDS!$BB96</f>
        <v>0</v>
      </c>
      <c r="D3" s="34">
        <f>State_Fossil_All_Mapping_SEDS!E96/State_Fossil_All_Mapping_SEDS!$BB96</f>
        <v>0</v>
      </c>
      <c r="E3" s="34">
        <f>State_Fossil_All_Mapping_SEDS!F96/State_Fossil_All_Mapping_SEDS!$BB96</f>
        <v>0</v>
      </c>
      <c r="F3" s="34">
        <f>State_Fossil_All_Mapping_SEDS!G96/State_Fossil_All_Mapping_SEDS!$BB96</f>
        <v>0</v>
      </c>
      <c r="G3" s="34">
        <f>State_Fossil_All_Mapping_SEDS!H96/State_Fossil_All_Mapping_SEDS!$BB96</f>
        <v>0</v>
      </c>
      <c r="H3" s="34">
        <f>State_Fossil_All_Mapping_SEDS!I96/State_Fossil_All_Mapping_SEDS!$BB96</f>
        <v>0</v>
      </c>
      <c r="I3" s="34">
        <f>State_Fossil_All_Mapping_SEDS!J96/State_Fossil_All_Mapping_SEDS!$BB96</f>
        <v>0</v>
      </c>
      <c r="J3" s="34">
        <f>State_Fossil_All_Mapping_SEDS!K96/State_Fossil_All_Mapping_SEDS!$BB96</f>
        <v>0</v>
      </c>
      <c r="K3" s="34">
        <f>State_Fossil_All_Mapping_SEDS!L96/State_Fossil_All_Mapping_SEDS!$BB96</f>
        <v>0</v>
      </c>
      <c r="L3" s="34">
        <f>State_Fossil_All_Mapping_SEDS!M96/State_Fossil_All_Mapping_SEDS!$BB96</f>
        <v>0</v>
      </c>
      <c r="M3" s="34">
        <f>State_Fossil_All_Mapping_SEDS!N96/State_Fossil_All_Mapping_SEDS!$BB96</f>
        <v>0</v>
      </c>
      <c r="N3" s="34">
        <f>State_Fossil_All_Mapping_SEDS!O96/State_Fossil_All_Mapping_SEDS!$BB96</f>
        <v>0</v>
      </c>
      <c r="O3" s="34">
        <f>State_Fossil_All_Mapping_SEDS!P96/State_Fossil_All_Mapping_SEDS!$BB96</f>
        <v>0</v>
      </c>
      <c r="P3" s="34">
        <f>State_Fossil_All_Mapping_SEDS!Q96/State_Fossil_All_Mapping_SEDS!$BB96</f>
        <v>0</v>
      </c>
      <c r="Q3" s="34">
        <f>State_Fossil_All_Mapping_SEDS!R96/State_Fossil_All_Mapping_SEDS!$BB96</f>
        <v>0</v>
      </c>
      <c r="R3" s="34">
        <f>State_Fossil_All_Mapping_SEDS!S96/State_Fossil_All_Mapping_SEDS!$BB96</f>
        <v>0</v>
      </c>
      <c r="S3" s="34">
        <f>State_Fossil_All_Mapping_SEDS!T96/State_Fossil_All_Mapping_SEDS!$BB96</f>
        <v>0</v>
      </c>
      <c r="T3" s="34">
        <f>State_Fossil_All_Mapping_SEDS!U96/State_Fossil_All_Mapping_SEDS!$BB96</f>
        <v>0</v>
      </c>
      <c r="U3" s="34">
        <f>State_Fossil_All_Mapping_SEDS!V96/State_Fossil_All_Mapping_SEDS!$BB96</f>
        <v>0</v>
      </c>
      <c r="V3" s="34">
        <f>State_Fossil_All_Mapping_SEDS!W96/State_Fossil_All_Mapping_SEDS!$BB96</f>
        <v>0</v>
      </c>
      <c r="W3" s="34">
        <f>State_Fossil_All_Mapping_SEDS!X96/State_Fossil_All_Mapping_SEDS!$BB96</f>
        <v>0</v>
      </c>
      <c r="X3" s="34">
        <f>State_Fossil_All_Mapping_SEDS!Y96/State_Fossil_All_Mapping_SEDS!$BB96</f>
        <v>0</v>
      </c>
      <c r="Y3" s="34">
        <f>State_Fossil_All_Mapping_SEDS!Z96/State_Fossil_All_Mapping_SEDS!$BB96</f>
        <v>0</v>
      </c>
      <c r="Z3" s="34">
        <f>State_Fossil_All_Mapping_SEDS!AA96/State_Fossil_All_Mapping_SEDS!$BB96</f>
        <v>0</v>
      </c>
      <c r="AA3" s="34">
        <f>State_Fossil_All_Mapping_SEDS!AB96/State_Fossil_All_Mapping_SEDS!$BB96</f>
        <v>0</v>
      </c>
      <c r="AB3" s="34">
        <f>State_Fossil_All_Mapping_SEDS!AC96/State_Fossil_All_Mapping_SEDS!$BB96</f>
        <v>0</v>
      </c>
      <c r="AC3" s="34">
        <f>State_Fossil_All_Mapping_SEDS!AD96/State_Fossil_All_Mapping_SEDS!$BB96</f>
        <v>0</v>
      </c>
      <c r="AD3" s="34">
        <f>State_Fossil_All_Mapping_SEDS!AE96/State_Fossil_All_Mapping_SEDS!$BB96</f>
        <v>0</v>
      </c>
      <c r="AE3" s="34">
        <f>State_Fossil_All_Mapping_SEDS!AF96/State_Fossil_All_Mapping_SEDS!$BB96</f>
        <v>0</v>
      </c>
      <c r="AF3" s="34">
        <f>State_Fossil_All_Mapping_SEDS!AG96/State_Fossil_All_Mapping_SEDS!$BB96</f>
        <v>0.2412714956</v>
      </c>
      <c r="AG3" s="34">
        <f>State_Fossil_All_Mapping_SEDS!AH96/State_Fossil_All_Mapping_SEDS!$BB96</f>
        <v>0</v>
      </c>
      <c r="AH3" s="34">
        <f>State_Fossil_All_Mapping_SEDS!AI96/State_Fossil_All_Mapping_SEDS!$BB96</f>
        <v>0.4959428274</v>
      </c>
      <c r="AI3" s="34">
        <f>State_Fossil_All_Mapping_SEDS!AJ96/State_Fossil_All_Mapping_SEDS!$BB96</f>
        <v>0</v>
      </c>
      <c r="AJ3" s="34">
        <f>State_Fossil_All_Mapping_SEDS!AK96/State_Fossil_All_Mapping_SEDS!$BB96</f>
        <v>0</v>
      </c>
      <c r="AK3" s="34">
        <f>State_Fossil_All_Mapping_SEDS!AL96/State_Fossil_All_Mapping_SEDS!$BB96</f>
        <v>0</v>
      </c>
      <c r="AL3" s="34">
        <f>State_Fossil_All_Mapping_SEDS!AM96/State_Fossil_All_Mapping_SEDS!$BB96</f>
        <v>0</v>
      </c>
      <c r="AM3" s="34">
        <f>State_Fossil_All_Mapping_SEDS!AN96/State_Fossil_All_Mapping_SEDS!$BB96</f>
        <v>0</v>
      </c>
      <c r="AN3" s="34">
        <f>State_Fossil_All_Mapping_SEDS!AO96/State_Fossil_All_Mapping_SEDS!$BB96</f>
        <v>0.2627856771</v>
      </c>
      <c r="AO3" s="34">
        <f>State_Fossil_All_Mapping_SEDS!AP96/State_Fossil_All_Mapping_SEDS!$BB96</f>
        <v>0</v>
      </c>
      <c r="AP3" s="34">
        <f>State_Fossil_All_Mapping_SEDS!AQ96/State_Fossil_All_Mapping_SEDS!$BB96</f>
        <v>0</v>
      </c>
      <c r="AQ3" s="34">
        <f>State_Fossil_All_Mapping_SEDS!AR96/State_Fossil_All_Mapping_SEDS!$BB96</f>
        <v>0</v>
      </c>
      <c r="AR3" s="34">
        <f>State_Fossil_All_Mapping_SEDS!AS96/State_Fossil_All_Mapping_SEDS!$BB96</f>
        <v>0</v>
      </c>
      <c r="AS3" s="34">
        <f>State_Fossil_All_Mapping_SEDS!AT96/State_Fossil_All_Mapping_SEDS!$BB96</f>
        <v>0</v>
      </c>
      <c r="AT3" s="34">
        <f>State_Fossil_All_Mapping_SEDS!AU96/State_Fossil_All_Mapping_SEDS!$BB96</f>
        <v>0</v>
      </c>
      <c r="AU3" s="34">
        <f>State_Fossil_All_Mapping_SEDS!AV96/State_Fossil_All_Mapping_SEDS!$BB96</f>
        <v>0</v>
      </c>
      <c r="AV3" s="34">
        <f>State_Fossil_All_Mapping_SEDS!AW96/State_Fossil_All_Mapping_SEDS!$BB96</f>
        <v>0</v>
      </c>
      <c r="AW3" s="34">
        <f>State_Fossil_All_Mapping_SEDS!AX96/State_Fossil_All_Mapping_SEDS!$BB96</f>
        <v>0</v>
      </c>
      <c r="AX3" s="34">
        <f>State_Fossil_All_Mapping_SEDS!AY96/State_Fossil_All_Mapping_SEDS!$BB96</f>
        <v>0</v>
      </c>
      <c r="AY3" s="34">
        <f>State_Fossil_All_Mapping_SEDS!AZ96/State_Fossil_All_Mapping_SEDS!$BB96</f>
        <v>0</v>
      </c>
      <c r="AZ3" s="34">
        <f>State_Fossil_All_Mapping_SEDS!BA96/State_Fossil_All_Mapping_SEDS!$BB96</f>
        <v>0</v>
      </c>
    </row>
    <row r="4" ht="15.75" customHeight="1">
      <c r="A4" s="34">
        <v>3.0</v>
      </c>
      <c r="B4" s="34">
        <f>State_Fossil_All_Mapping_SEDS!C97/State_Fossil_All_Mapping_SEDS!$BB97</f>
        <v>0</v>
      </c>
      <c r="C4" s="34">
        <f>State_Fossil_All_Mapping_SEDS!D97/State_Fossil_All_Mapping_SEDS!$BB97</f>
        <v>0</v>
      </c>
      <c r="D4" s="34">
        <f>State_Fossil_All_Mapping_SEDS!E97/State_Fossil_All_Mapping_SEDS!$BB97</f>
        <v>0</v>
      </c>
      <c r="E4" s="34">
        <f>State_Fossil_All_Mapping_SEDS!F97/State_Fossil_All_Mapping_SEDS!$BB97</f>
        <v>0</v>
      </c>
      <c r="F4" s="34">
        <f>State_Fossil_All_Mapping_SEDS!G97/State_Fossil_All_Mapping_SEDS!$BB97</f>
        <v>0</v>
      </c>
      <c r="G4" s="34">
        <f>State_Fossil_All_Mapping_SEDS!H97/State_Fossil_All_Mapping_SEDS!$BB97</f>
        <v>0</v>
      </c>
      <c r="H4" s="34">
        <f>State_Fossil_All_Mapping_SEDS!I97/State_Fossil_All_Mapping_SEDS!$BB97</f>
        <v>0</v>
      </c>
      <c r="I4" s="34">
        <f>State_Fossil_All_Mapping_SEDS!J97/State_Fossil_All_Mapping_SEDS!$BB97</f>
        <v>0</v>
      </c>
      <c r="J4" s="34">
        <f>State_Fossil_All_Mapping_SEDS!K97/State_Fossil_All_Mapping_SEDS!$BB97</f>
        <v>0</v>
      </c>
      <c r="K4" s="34">
        <f>State_Fossil_All_Mapping_SEDS!L97/State_Fossil_All_Mapping_SEDS!$BB97</f>
        <v>0</v>
      </c>
      <c r="L4" s="34">
        <f>State_Fossil_All_Mapping_SEDS!M97/State_Fossil_All_Mapping_SEDS!$BB97</f>
        <v>0</v>
      </c>
      <c r="M4" s="34">
        <f>State_Fossil_All_Mapping_SEDS!N97/State_Fossil_All_Mapping_SEDS!$BB97</f>
        <v>0</v>
      </c>
      <c r="N4" s="34">
        <f>State_Fossil_All_Mapping_SEDS!O97/State_Fossil_All_Mapping_SEDS!$BB97</f>
        <v>0</v>
      </c>
      <c r="O4" s="34">
        <f>State_Fossil_All_Mapping_SEDS!P97/State_Fossil_All_Mapping_SEDS!$BB97</f>
        <v>0.2763638615</v>
      </c>
      <c r="P4" s="34">
        <f>State_Fossil_All_Mapping_SEDS!Q97/State_Fossil_All_Mapping_SEDS!$BB97</f>
        <v>0.1270666914</v>
      </c>
      <c r="Q4" s="34">
        <f>State_Fossil_All_Mapping_SEDS!R97/State_Fossil_All_Mapping_SEDS!$BB97</f>
        <v>0</v>
      </c>
      <c r="R4" s="34">
        <f>State_Fossil_All_Mapping_SEDS!S97/State_Fossil_All_Mapping_SEDS!$BB97</f>
        <v>0</v>
      </c>
      <c r="S4" s="34">
        <f>State_Fossil_All_Mapping_SEDS!T97/State_Fossil_All_Mapping_SEDS!$BB97</f>
        <v>0</v>
      </c>
      <c r="T4" s="34">
        <f>State_Fossil_All_Mapping_SEDS!U97/State_Fossil_All_Mapping_SEDS!$BB97</f>
        <v>0</v>
      </c>
      <c r="U4" s="34">
        <f>State_Fossil_All_Mapping_SEDS!V97/State_Fossil_All_Mapping_SEDS!$BB97</f>
        <v>0</v>
      </c>
      <c r="V4" s="34">
        <f>State_Fossil_All_Mapping_SEDS!W97/State_Fossil_All_Mapping_SEDS!$BB97</f>
        <v>0</v>
      </c>
      <c r="W4" s="34">
        <f>State_Fossil_All_Mapping_SEDS!X97/State_Fossil_All_Mapping_SEDS!$BB97</f>
        <v>0</v>
      </c>
      <c r="X4" s="34">
        <f>State_Fossil_All_Mapping_SEDS!Y97/State_Fossil_All_Mapping_SEDS!$BB97</f>
        <v>0.2156789894</v>
      </c>
      <c r="Y4" s="34">
        <f>State_Fossil_All_Mapping_SEDS!Z97/State_Fossil_All_Mapping_SEDS!$BB97</f>
        <v>0</v>
      </c>
      <c r="Z4" s="34">
        <f>State_Fossil_All_Mapping_SEDS!AA97/State_Fossil_All_Mapping_SEDS!$BB97</f>
        <v>0</v>
      </c>
      <c r="AA4" s="34">
        <f>State_Fossil_All_Mapping_SEDS!AB97/State_Fossil_All_Mapping_SEDS!$BB97</f>
        <v>0</v>
      </c>
      <c r="AB4" s="34">
        <f>State_Fossil_All_Mapping_SEDS!AC97/State_Fossil_All_Mapping_SEDS!$BB97</f>
        <v>0</v>
      </c>
      <c r="AC4" s="34">
        <f>State_Fossil_All_Mapping_SEDS!AD97/State_Fossil_All_Mapping_SEDS!$BB97</f>
        <v>0</v>
      </c>
      <c r="AD4" s="34">
        <f>State_Fossil_All_Mapping_SEDS!AE97/State_Fossil_All_Mapping_SEDS!$BB97</f>
        <v>0</v>
      </c>
      <c r="AE4" s="34">
        <f>State_Fossil_All_Mapping_SEDS!AF97/State_Fossil_All_Mapping_SEDS!$BB97</f>
        <v>0</v>
      </c>
      <c r="AF4" s="34">
        <f>State_Fossil_All_Mapping_SEDS!AG97/State_Fossil_All_Mapping_SEDS!$BB97</f>
        <v>0</v>
      </c>
      <c r="AG4" s="34">
        <f>State_Fossil_All_Mapping_SEDS!AH97/State_Fossil_All_Mapping_SEDS!$BB97</f>
        <v>0</v>
      </c>
      <c r="AH4" s="34">
        <f>State_Fossil_All_Mapping_SEDS!AI97/State_Fossil_All_Mapping_SEDS!$BB97</f>
        <v>0</v>
      </c>
      <c r="AI4" s="34">
        <f>State_Fossil_All_Mapping_SEDS!AJ97/State_Fossil_All_Mapping_SEDS!$BB97</f>
        <v>0</v>
      </c>
      <c r="AJ4" s="34">
        <f>State_Fossil_All_Mapping_SEDS!AK97/State_Fossil_All_Mapping_SEDS!$BB97</f>
        <v>0</v>
      </c>
      <c r="AK4" s="34">
        <f>State_Fossil_All_Mapping_SEDS!AL97/State_Fossil_All_Mapping_SEDS!$BB97</f>
        <v>0.2424917952</v>
      </c>
      <c r="AL4" s="34">
        <f>State_Fossil_All_Mapping_SEDS!AM97/State_Fossil_All_Mapping_SEDS!$BB97</f>
        <v>0</v>
      </c>
      <c r="AM4" s="34">
        <f>State_Fossil_All_Mapping_SEDS!AN97/State_Fossil_All_Mapping_SEDS!$BB97</f>
        <v>0</v>
      </c>
      <c r="AN4" s="34">
        <f>State_Fossil_All_Mapping_SEDS!AO97/State_Fossil_All_Mapping_SEDS!$BB97</f>
        <v>0</v>
      </c>
      <c r="AO4" s="34">
        <f>State_Fossil_All_Mapping_SEDS!AP97/State_Fossil_All_Mapping_SEDS!$BB97</f>
        <v>0</v>
      </c>
      <c r="AP4" s="34">
        <f>State_Fossil_All_Mapping_SEDS!AQ97/State_Fossil_All_Mapping_SEDS!$BB97</f>
        <v>0</v>
      </c>
      <c r="AQ4" s="34">
        <f>State_Fossil_All_Mapping_SEDS!AR97/State_Fossil_All_Mapping_SEDS!$BB97</f>
        <v>0</v>
      </c>
      <c r="AR4" s="34">
        <f>State_Fossil_All_Mapping_SEDS!AS97/State_Fossil_All_Mapping_SEDS!$BB97</f>
        <v>0</v>
      </c>
      <c r="AS4" s="34">
        <f>State_Fossil_All_Mapping_SEDS!AT97/State_Fossil_All_Mapping_SEDS!$BB97</f>
        <v>0</v>
      </c>
      <c r="AT4" s="34">
        <f>State_Fossil_All_Mapping_SEDS!AU97/State_Fossil_All_Mapping_SEDS!$BB97</f>
        <v>0</v>
      </c>
      <c r="AU4" s="34">
        <f>State_Fossil_All_Mapping_SEDS!AV97/State_Fossil_All_Mapping_SEDS!$BB97</f>
        <v>0</v>
      </c>
      <c r="AV4" s="34">
        <f>State_Fossil_All_Mapping_SEDS!AW97/State_Fossil_All_Mapping_SEDS!$BB97</f>
        <v>0</v>
      </c>
      <c r="AW4" s="34">
        <f>State_Fossil_All_Mapping_SEDS!AX97/State_Fossil_All_Mapping_SEDS!$BB97</f>
        <v>0</v>
      </c>
      <c r="AX4" s="34">
        <f>State_Fossil_All_Mapping_SEDS!AY97/State_Fossil_All_Mapping_SEDS!$BB97</f>
        <v>0</v>
      </c>
      <c r="AY4" s="34">
        <f>State_Fossil_All_Mapping_SEDS!AZ97/State_Fossil_All_Mapping_SEDS!$BB97</f>
        <v>0.1383986625</v>
      </c>
      <c r="AZ4" s="34">
        <f>State_Fossil_All_Mapping_SEDS!BA97/State_Fossil_All_Mapping_SEDS!$BB97</f>
        <v>0</v>
      </c>
    </row>
    <row r="5" ht="15.75" customHeight="1">
      <c r="A5" s="34">
        <v>4.0</v>
      </c>
      <c r="B5" s="34">
        <f>State_Fossil_All_Mapping_SEDS!C98/State_Fossil_All_Mapping_SEDS!$BB98</f>
        <v>0</v>
      </c>
      <c r="C5" s="34">
        <f>State_Fossil_All_Mapping_SEDS!D98/State_Fossil_All_Mapping_SEDS!$BB98</f>
        <v>0</v>
      </c>
      <c r="D5" s="34">
        <f>State_Fossil_All_Mapping_SEDS!E98/State_Fossil_All_Mapping_SEDS!$BB98</f>
        <v>0</v>
      </c>
      <c r="E5" s="34">
        <f>State_Fossil_All_Mapping_SEDS!F98/State_Fossil_All_Mapping_SEDS!$BB98</f>
        <v>0</v>
      </c>
      <c r="F5" s="34">
        <f>State_Fossil_All_Mapping_SEDS!G98/State_Fossil_All_Mapping_SEDS!$BB98</f>
        <v>0</v>
      </c>
      <c r="G5" s="34">
        <f>State_Fossil_All_Mapping_SEDS!H98/State_Fossil_All_Mapping_SEDS!$BB98</f>
        <v>0</v>
      </c>
      <c r="H5" s="34">
        <f>State_Fossil_All_Mapping_SEDS!I98/State_Fossil_All_Mapping_SEDS!$BB98</f>
        <v>0</v>
      </c>
      <c r="I5" s="34">
        <f>State_Fossil_All_Mapping_SEDS!J98/State_Fossil_All_Mapping_SEDS!$BB98</f>
        <v>0</v>
      </c>
      <c r="J5" s="34">
        <f>State_Fossil_All_Mapping_SEDS!K98/State_Fossil_All_Mapping_SEDS!$BB98</f>
        <v>0</v>
      </c>
      <c r="K5" s="34">
        <f>State_Fossil_All_Mapping_SEDS!L98/State_Fossil_All_Mapping_SEDS!$BB98</f>
        <v>0</v>
      </c>
      <c r="L5" s="34">
        <f>State_Fossil_All_Mapping_SEDS!M98/State_Fossil_All_Mapping_SEDS!$BB98</f>
        <v>0</v>
      </c>
      <c r="M5" s="34">
        <f>State_Fossil_All_Mapping_SEDS!N98/State_Fossil_All_Mapping_SEDS!$BB98</f>
        <v>0</v>
      </c>
      <c r="N5" s="34">
        <f>State_Fossil_All_Mapping_SEDS!O98/State_Fossil_All_Mapping_SEDS!$BB98</f>
        <v>0</v>
      </c>
      <c r="O5" s="34">
        <f>State_Fossil_All_Mapping_SEDS!P98/State_Fossil_All_Mapping_SEDS!$BB98</f>
        <v>0</v>
      </c>
      <c r="P5" s="34">
        <f>State_Fossil_All_Mapping_SEDS!Q98/State_Fossil_All_Mapping_SEDS!$BB98</f>
        <v>0</v>
      </c>
      <c r="Q5" s="34">
        <f>State_Fossil_All_Mapping_SEDS!R98/State_Fossil_All_Mapping_SEDS!$BB98</f>
        <v>0.1563685305</v>
      </c>
      <c r="R5" s="34">
        <f>State_Fossil_All_Mapping_SEDS!S98/State_Fossil_All_Mapping_SEDS!$BB98</f>
        <v>0.1338553775</v>
      </c>
      <c r="S5" s="34">
        <f>State_Fossil_All_Mapping_SEDS!T98/State_Fossil_All_Mapping_SEDS!$BB98</f>
        <v>0</v>
      </c>
      <c r="T5" s="34">
        <f>State_Fossil_All_Mapping_SEDS!U98/State_Fossil_All_Mapping_SEDS!$BB98</f>
        <v>0</v>
      </c>
      <c r="U5" s="34">
        <f>State_Fossil_All_Mapping_SEDS!V98/State_Fossil_All_Mapping_SEDS!$BB98</f>
        <v>0</v>
      </c>
      <c r="V5" s="34">
        <f>State_Fossil_All_Mapping_SEDS!W98/State_Fossil_All_Mapping_SEDS!$BB98</f>
        <v>0</v>
      </c>
      <c r="W5" s="34">
        <f>State_Fossil_All_Mapping_SEDS!X98/State_Fossil_All_Mapping_SEDS!$BB98</f>
        <v>0</v>
      </c>
      <c r="X5" s="34">
        <f>State_Fossil_All_Mapping_SEDS!Y98/State_Fossil_All_Mapping_SEDS!$BB98</f>
        <v>0</v>
      </c>
      <c r="Y5" s="34">
        <f>State_Fossil_All_Mapping_SEDS!Z98/State_Fossil_All_Mapping_SEDS!$BB98</f>
        <v>0.281047351</v>
      </c>
      <c r="Z5" s="34">
        <f>State_Fossil_All_Mapping_SEDS!AA98/State_Fossil_All_Mapping_SEDS!$BB98</f>
        <v>0</v>
      </c>
      <c r="AA5" s="34">
        <f>State_Fossil_All_Mapping_SEDS!AB98/State_Fossil_All_Mapping_SEDS!$BB98</f>
        <v>0.2317386517</v>
      </c>
      <c r="AB5" s="34">
        <f>State_Fossil_All_Mapping_SEDS!AC98/State_Fossil_All_Mapping_SEDS!$BB98</f>
        <v>0</v>
      </c>
      <c r="AC5" s="34">
        <f>State_Fossil_All_Mapping_SEDS!AD98/State_Fossil_All_Mapping_SEDS!$BB98</f>
        <v>0.09041967454</v>
      </c>
      <c r="AD5" s="34">
        <f>State_Fossil_All_Mapping_SEDS!AE98/State_Fossil_All_Mapping_SEDS!$BB98</f>
        <v>0</v>
      </c>
      <c r="AE5" s="34">
        <f>State_Fossil_All_Mapping_SEDS!AF98/State_Fossil_All_Mapping_SEDS!$BB98</f>
        <v>0</v>
      </c>
      <c r="AF5" s="34">
        <f>State_Fossil_All_Mapping_SEDS!AG98/State_Fossil_All_Mapping_SEDS!$BB98</f>
        <v>0</v>
      </c>
      <c r="AG5" s="34">
        <f>State_Fossil_All_Mapping_SEDS!AH98/State_Fossil_All_Mapping_SEDS!$BB98</f>
        <v>0</v>
      </c>
      <c r="AH5" s="34">
        <f>State_Fossil_All_Mapping_SEDS!AI98/State_Fossil_All_Mapping_SEDS!$BB98</f>
        <v>0</v>
      </c>
      <c r="AI5" s="34">
        <f>State_Fossil_All_Mapping_SEDS!AJ98/State_Fossil_All_Mapping_SEDS!$BB98</f>
        <v>0</v>
      </c>
      <c r="AJ5" s="34">
        <f>State_Fossil_All_Mapping_SEDS!AK98/State_Fossil_All_Mapping_SEDS!$BB98</f>
        <v>0.06423589869</v>
      </c>
      <c r="AK5" s="34">
        <f>State_Fossil_All_Mapping_SEDS!AL98/State_Fossil_All_Mapping_SEDS!$BB98</f>
        <v>0</v>
      </c>
      <c r="AL5" s="34">
        <f>State_Fossil_All_Mapping_SEDS!AM98/State_Fossil_All_Mapping_SEDS!$BB98</f>
        <v>0</v>
      </c>
      <c r="AM5" s="34">
        <f>State_Fossil_All_Mapping_SEDS!AN98/State_Fossil_All_Mapping_SEDS!$BB98</f>
        <v>0</v>
      </c>
      <c r="AN5" s="34">
        <f>State_Fossil_All_Mapping_SEDS!AO98/State_Fossil_All_Mapping_SEDS!$BB98</f>
        <v>0</v>
      </c>
      <c r="AO5" s="34">
        <f>State_Fossil_All_Mapping_SEDS!AP98/State_Fossil_All_Mapping_SEDS!$BB98</f>
        <v>0</v>
      </c>
      <c r="AP5" s="34">
        <f>State_Fossil_All_Mapping_SEDS!AQ98/State_Fossil_All_Mapping_SEDS!$BB98</f>
        <v>0</v>
      </c>
      <c r="AQ5" s="34">
        <f>State_Fossil_All_Mapping_SEDS!AR98/State_Fossil_All_Mapping_SEDS!$BB98</f>
        <v>0.04233451609</v>
      </c>
      <c r="AR5" s="34">
        <f>State_Fossil_All_Mapping_SEDS!AS98/State_Fossil_All_Mapping_SEDS!$BB98</f>
        <v>0</v>
      </c>
      <c r="AS5" s="34">
        <f>State_Fossil_All_Mapping_SEDS!AT98/State_Fossil_All_Mapping_SEDS!$BB98</f>
        <v>0</v>
      </c>
      <c r="AT5" s="34">
        <f>State_Fossil_All_Mapping_SEDS!AU98/State_Fossil_All_Mapping_SEDS!$BB98</f>
        <v>0</v>
      </c>
      <c r="AU5" s="34">
        <f>State_Fossil_All_Mapping_SEDS!AV98/State_Fossil_All_Mapping_SEDS!$BB98</f>
        <v>0</v>
      </c>
      <c r="AV5" s="34">
        <f>State_Fossil_All_Mapping_SEDS!AW98/State_Fossil_All_Mapping_SEDS!$BB98</f>
        <v>0</v>
      </c>
      <c r="AW5" s="34">
        <f>State_Fossil_All_Mapping_SEDS!AX98/State_Fossil_All_Mapping_SEDS!$BB98</f>
        <v>0</v>
      </c>
      <c r="AX5" s="34">
        <f>State_Fossil_All_Mapping_SEDS!AY98/State_Fossil_All_Mapping_SEDS!$BB98</f>
        <v>0</v>
      </c>
      <c r="AY5" s="34">
        <f>State_Fossil_All_Mapping_SEDS!AZ98/State_Fossil_All_Mapping_SEDS!$BB98</f>
        <v>0</v>
      </c>
      <c r="AZ5" s="34">
        <f>State_Fossil_All_Mapping_SEDS!BA98/State_Fossil_All_Mapping_SEDS!$BB98</f>
        <v>0</v>
      </c>
    </row>
    <row r="6" ht="15.75" customHeight="1">
      <c r="A6" s="34">
        <v>5.0</v>
      </c>
      <c r="B6" s="34">
        <f>State_Fossil_All_Mapping_SEDS!C99/State_Fossil_All_Mapping_SEDS!$BB99</f>
        <v>0</v>
      </c>
      <c r="C6" s="34">
        <f>State_Fossil_All_Mapping_SEDS!D99/State_Fossil_All_Mapping_SEDS!$BB99</f>
        <v>0</v>
      </c>
      <c r="D6" s="34">
        <f>State_Fossil_All_Mapping_SEDS!E99/State_Fossil_All_Mapping_SEDS!$BB99</f>
        <v>0</v>
      </c>
      <c r="E6" s="34">
        <f>State_Fossil_All_Mapping_SEDS!F99/State_Fossil_All_Mapping_SEDS!$BB99</f>
        <v>0</v>
      </c>
      <c r="F6" s="34">
        <f>State_Fossil_All_Mapping_SEDS!G99/State_Fossil_All_Mapping_SEDS!$BB99</f>
        <v>0</v>
      </c>
      <c r="G6" s="34">
        <f>State_Fossil_All_Mapping_SEDS!H99/State_Fossil_All_Mapping_SEDS!$BB99</f>
        <v>0</v>
      </c>
      <c r="H6" s="34">
        <f>State_Fossil_All_Mapping_SEDS!I99/State_Fossil_All_Mapping_SEDS!$BB99</f>
        <v>0</v>
      </c>
      <c r="I6" s="34">
        <f>State_Fossil_All_Mapping_SEDS!J99/State_Fossil_All_Mapping_SEDS!$BB99</f>
        <v>0.0164776853</v>
      </c>
      <c r="J6" s="34">
        <f>State_Fossil_All_Mapping_SEDS!K99/State_Fossil_All_Mapping_SEDS!$BB99</f>
        <v>0.02407417751</v>
      </c>
      <c r="K6" s="34">
        <f>State_Fossil_All_Mapping_SEDS!L99/State_Fossil_All_Mapping_SEDS!$BB99</f>
        <v>0.2554320505</v>
      </c>
      <c r="L6" s="34">
        <f>State_Fossil_All_Mapping_SEDS!M99/State_Fossil_All_Mapping_SEDS!$BB99</f>
        <v>0.1408702452</v>
      </c>
      <c r="M6" s="34">
        <f>State_Fossil_All_Mapping_SEDS!N99/State_Fossil_All_Mapping_SEDS!$BB99</f>
        <v>0</v>
      </c>
      <c r="N6" s="34">
        <f>State_Fossil_All_Mapping_SEDS!O99/State_Fossil_All_Mapping_SEDS!$BB99</f>
        <v>0</v>
      </c>
      <c r="O6" s="34">
        <f>State_Fossil_All_Mapping_SEDS!P99/State_Fossil_All_Mapping_SEDS!$BB99</f>
        <v>0</v>
      </c>
      <c r="P6" s="34">
        <f>State_Fossil_All_Mapping_SEDS!Q99/State_Fossil_All_Mapping_SEDS!$BB99</f>
        <v>0</v>
      </c>
      <c r="Q6" s="34">
        <f>State_Fossil_All_Mapping_SEDS!R99/State_Fossil_All_Mapping_SEDS!$BB99</f>
        <v>0</v>
      </c>
      <c r="R6" s="34">
        <f>State_Fossil_All_Mapping_SEDS!S99/State_Fossil_All_Mapping_SEDS!$BB99</f>
        <v>0</v>
      </c>
      <c r="S6" s="34">
        <f>State_Fossil_All_Mapping_SEDS!T99/State_Fossil_All_Mapping_SEDS!$BB99</f>
        <v>0</v>
      </c>
      <c r="T6" s="34">
        <f>State_Fossil_All_Mapping_SEDS!U99/State_Fossil_All_Mapping_SEDS!$BB99</f>
        <v>0</v>
      </c>
      <c r="U6" s="34">
        <f>State_Fossil_All_Mapping_SEDS!V99/State_Fossil_All_Mapping_SEDS!$BB99</f>
        <v>0</v>
      </c>
      <c r="V6" s="34">
        <f>State_Fossil_All_Mapping_SEDS!W99/State_Fossil_All_Mapping_SEDS!$BB99</f>
        <v>0.1081383008</v>
      </c>
      <c r="W6" s="34">
        <f>State_Fossil_All_Mapping_SEDS!X99/State_Fossil_All_Mapping_SEDS!$BB99</f>
        <v>0</v>
      </c>
      <c r="X6" s="34">
        <f>State_Fossil_All_Mapping_SEDS!Y99/State_Fossil_All_Mapping_SEDS!$BB99</f>
        <v>0</v>
      </c>
      <c r="Y6" s="34">
        <f>State_Fossil_All_Mapping_SEDS!Z99/State_Fossil_All_Mapping_SEDS!$BB99</f>
        <v>0</v>
      </c>
      <c r="Z6" s="34">
        <f>State_Fossil_All_Mapping_SEDS!AA99/State_Fossil_All_Mapping_SEDS!$BB99</f>
        <v>0</v>
      </c>
      <c r="AA6" s="34">
        <f>State_Fossil_All_Mapping_SEDS!AB99/State_Fossil_All_Mapping_SEDS!$BB99</f>
        <v>0</v>
      </c>
      <c r="AB6" s="34">
        <f>State_Fossil_All_Mapping_SEDS!AC99/State_Fossil_All_Mapping_SEDS!$BB99</f>
        <v>0</v>
      </c>
      <c r="AC6" s="34">
        <f>State_Fossil_All_Mapping_SEDS!AD99/State_Fossil_All_Mapping_SEDS!$BB99</f>
        <v>0</v>
      </c>
      <c r="AD6" s="34">
        <f>State_Fossil_All_Mapping_SEDS!AE99/State_Fossil_All_Mapping_SEDS!$BB99</f>
        <v>0</v>
      </c>
      <c r="AE6" s="34">
        <f>State_Fossil_All_Mapping_SEDS!AF99/State_Fossil_All_Mapping_SEDS!$BB99</f>
        <v>0</v>
      </c>
      <c r="AF6" s="34">
        <f>State_Fossil_All_Mapping_SEDS!AG99/State_Fossil_All_Mapping_SEDS!$BB99</f>
        <v>0</v>
      </c>
      <c r="AG6" s="34">
        <f>State_Fossil_All_Mapping_SEDS!AH99/State_Fossil_All_Mapping_SEDS!$BB99</f>
        <v>0</v>
      </c>
      <c r="AH6" s="34">
        <f>State_Fossil_All_Mapping_SEDS!AI99/State_Fossil_All_Mapping_SEDS!$BB99</f>
        <v>0</v>
      </c>
      <c r="AI6" s="34">
        <f>State_Fossil_All_Mapping_SEDS!AJ99/State_Fossil_All_Mapping_SEDS!$BB99</f>
        <v>0.1564542255</v>
      </c>
      <c r="AJ6" s="34">
        <f>State_Fossil_All_Mapping_SEDS!AK99/State_Fossil_All_Mapping_SEDS!$BB99</f>
        <v>0</v>
      </c>
      <c r="AK6" s="34">
        <f>State_Fossil_All_Mapping_SEDS!AL99/State_Fossil_All_Mapping_SEDS!$BB99</f>
        <v>0</v>
      </c>
      <c r="AL6" s="34">
        <f>State_Fossil_All_Mapping_SEDS!AM99/State_Fossil_All_Mapping_SEDS!$BB99</f>
        <v>0</v>
      </c>
      <c r="AM6" s="34">
        <f>State_Fossil_All_Mapping_SEDS!AN99/State_Fossil_All_Mapping_SEDS!$BB99</f>
        <v>0</v>
      </c>
      <c r="AN6" s="34">
        <f>State_Fossil_All_Mapping_SEDS!AO99/State_Fossil_All_Mapping_SEDS!$BB99</f>
        <v>0</v>
      </c>
      <c r="AO6" s="34">
        <f>State_Fossil_All_Mapping_SEDS!AP99/State_Fossil_All_Mapping_SEDS!$BB99</f>
        <v>0</v>
      </c>
      <c r="AP6" s="34">
        <f>State_Fossil_All_Mapping_SEDS!AQ99/State_Fossil_All_Mapping_SEDS!$BB99</f>
        <v>0.06875942579</v>
      </c>
      <c r="AQ6" s="34">
        <f>State_Fossil_All_Mapping_SEDS!AR99/State_Fossil_All_Mapping_SEDS!$BB99</f>
        <v>0</v>
      </c>
      <c r="AR6" s="34">
        <f>State_Fossil_All_Mapping_SEDS!AS99/State_Fossil_All_Mapping_SEDS!$BB99</f>
        <v>0</v>
      </c>
      <c r="AS6" s="34">
        <f>State_Fossil_All_Mapping_SEDS!AT99/State_Fossil_All_Mapping_SEDS!$BB99</f>
        <v>0</v>
      </c>
      <c r="AT6" s="34">
        <f>State_Fossil_All_Mapping_SEDS!AU99/State_Fossil_All_Mapping_SEDS!$BB99</f>
        <v>0</v>
      </c>
      <c r="AU6" s="34">
        <f>State_Fossil_All_Mapping_SEDS!AV99/State_Fossil_All_Mapping_SEDS!$BB99</f>
        <v>0</v>
      </c>
      <c r="AV6" s="34">
        <f>State_Fossil_All_Mapping_SEDS!AW99/State_Fossil_All_Mapping_SEDS!$BB99</f>
        <v>0.1976763671</v>
      </c>
      <c r="AW6" s="34">
        <f>State_Fossil_All_Mapping_SEDS!AX99/State_Fossil_All_Mapping_SEDS!$BB99</f>
        <v>0</v>
      </c>
      <c r="AX6" s="34">
        <f>State_Fossil_All_Mapping_SEDS!AY99/State_Fossil_All_Mapping_SEDS!$BB99</f>
        <v>0.0321175222</v>
      </c>
      <c r="AY6" s="34">
        <f>State_Fossil_All_Mapping_SEDS!AZ99/State_Fossil_All_Mapping_SEDS!$BB99</f>
        <v>0</v>
      </c>
      <c r="AZ6" s="34">
        <f>State_Fossil_All_Mapping_SEDS!BA99/State_Fossil_All_Mapping_SEDS!$BB99</f>
        <v>0</v>
      </c>
    </row>
    <row r="7" ht="15.75" customHeight="1">
      <c r="A7" s="34">
        <v>6.0</v>
      </c>
      <c r="B7" s="34">
        <f>State_Fossil_All_Mapping_SEDS!C100/State_Fossil_All_Mapping_SEDS!$BB100</f>
        <v>0.2310059627</v>
      </c>
      <c r="C7" s="34">
        <f>State_Fossil_All_Mapping_SEDS!D100/State_Fossil_All_Mapping_SEDS!$BB100</f>
        <v>0</v>
      </c>
      <c r="D7" s="34">
        <f>State_Fossil_All_Mapping_SEDS!E100/State_Fossil_All_Mapping_SEDS!$BB100</f>
        <v>0</v>
      </c>
      <c r="E7" s="34">
        <f>State_Fossil_All_Mapping_SEDS!F100/State_Fossil_All_Mapping_SEDS!$BB100</f>
        <v>0</v>
      </c>
      <c r="F7" s="34">
        <f>State_Fossil_All_Mapping_SEDS!G100/State_Fossil_All_Mapping_SEDS!$BB100</f>
        <v>0</v>
      </c>
      <c r="G7" s="34">
        <f>State_Fossil_All_Mapping_SEDS!H100/State_Fossil_All_Mapping_SEDS!$BB100</f>
        <v>0</v>
      </c>
      <c r="H7" s="34">
        <f>State_Fossil_All_Mapping_SEDS!I100/State_Fossil_All_Mapping_SEDS!$BB100</f>
        <v>0</v>
      </c>
      <c r="I7" s="34">
        <f>State_Fossil_All_Mapping_SEDS!J100/State_Fossil_All_Mapping_SEDS!$BB100</f>
        <v>0</v>
      </c>
      <c r="J7" s="34">
        <f>State_Fossil_All_Mapping_SEDS!K100/State_Fossil_All_Mapping_SEDS!$BB100</f>
        <v>0</v>
      </c>
      <c r="K7" s="34">
        <f>State_Fossil_All_Mapping_SEDS!L100/State_Fossil_All_Mapping_SEDS!$BB100</f>
        <v>0</v>
      </c>
      <c r="L7" s="34">
        <f>State_Fossil_All_Mapping_SEDS!M100/State_Fossil_All_Mapping_SEDS!$BB100</f>
        <v>0</v>
      </c>
      <c r="M7" s="34">
        <f>State_Fossil_All_Mapping_SEDS!N100/State_Fossil_All_Mapping_SEDS!$BB100</f>
        <v>0</v>
      </c>
      <c r="N7" s="34">
        <f>State_Fossil_All_Mapping_SEDS!O100/State_Fossil_All_Mapping_SEDS!$BB100</f>
        <v>0</v>
      </c>
      <c r="O7" s="34">
        <f>State_Fossil_All_Mapping_SEDS!P100/State_Fossil_All_Mapping_SEDS!$BB100</f>
        <v>0</v>
      </c>
      <c r="P7" s="34">
        <f>State_Fossil_All_Mapping_SEDS!Q100/State_Fossil_All_Mapping_SEDS!$BB100</f>
        <v>0</v>
      </c>
      <c r="Q7" s="34">
        <f>State_Fossil_All_Mapping_SEDS!R100/State_Fossil_All_Mapping_SEDS!$BB100</f>
        <v>0</v>
      </c>
      <c r="R7" s="34">
        <f>State_Fossil_All_Mapping_SEDS!S100/State_Fossil_All_Mapping_SEDS!$BB100</f>
        <v>0</v>
      </c>
      <c r="S7" s="34">
        <f>State_Fossil_All_Mapping_SEDS!T100/State_Fossil_All_Mapping_SEDS!$BB100</f>
        <v>0.2319676861</v>
      </c>
      <c r="T7" s="34">
        <f>State_Fossil_All_Mapping_SEDS!U100/State_Fossil_All_Mapping_SEDS!$BB100</f>
        <v>0</v>
      </c>
      <c r="U7" s="34">
        <f>State_Fossil_All_Mapping_SEDS!V100/State_Fossil_All_Mapping_SEDS!$BB100</f>
        <v>0</v>
      </c>
      <c r="V7" s="34">
        <f>State_Fossil_All_Mapping_SEDS!W100/State_Fossil_All_Mapping_SEDS!$BB100</f>
        <v>0</v>
      </c>
      <c r="W7" s="34">
        <f>State_Fossil_All_Mapping_SEDS!X100/State_Fossil_All_Mapping_SEDS!$BB100</f>
        <v>0</v>
      </c>
      <c r="X7" s="34">
        <f>State_Fossil_All_Mapping_SEDS!Y100/State_Fossil_All_Mapping_SEDS!$BB100</f>
        <v>0</v>
      </c>
      <c r="Y7" s="34">
        <f>State_Fossil_All_Mapping_SEDS!Z100/State_Fossil_All_Mapping_SEDS!$BB100</f>
        <v>0</v>
      </c>
      <c r="Z7" s="34">
        <f>State_Fossil_All_Mapping_SEDS!AA100/State_Fossil_All_Mapping_SEDS!$BB100</f>
        <v>0.1502211964</v>
      </c>
      <c r="AA7" s="34">
        <f>State_Fossil_All_Mapping_SEDS!AB100/State_Fossil_All_Mapping_SEDS!$BB100</f>
        <v>0</v>
      </c>
      <c r="AB7" s="34">
        <f>State_Fossil_All_Mapping_SEDS!AC100/State_Fossil_All_Mapping_SEDS!$BB100</f>
        <v>0</v>
      </c>
      <c r="AC7" s="34">
        <f>State_Fossil_All_Mapping_SEDS!AD100/State_Fossil_All_Mapping_SEDS!$BB100</f>
        <v>0</v>
      </c>
      <c r="AD7" s="34">
        <f>State_Fossil_All_Mapping_SEDS!AE100/State_Fossil_All_Mapping_SEDS!$BB100</f>
        <v>0</v>
      </c>
      <c r="AE7" s="34">
        <f>State_Fossil_All_Mapping_SEDS!AF100/State_Fossil_All_Mapping_SEDS!$BB100</f>
        <v>0</v>
      </c>
      <c r="AF7" s="34">
        <f>State_Fossil_All_Mapping_SEDS!AG100/State_Fossil_All_Mapping_SEDS!$BB100</f>
        <v>0</v>
      </c>
      <c r="AG7" s="34">
        <f>State_Fossil_All_Mapping_SEDS!AH100/State_Fossil_All_Mapping_SEDS!$BB100</f>
        <v>0</v>
      </c>
      <c r="AH7" s="34">
        <f>State_Fossil_All_Mapping_SEDS!AI100/State_Fossil_All_Mapping_SEDS!$BB100</f>
        <v>0</v>
      </c>
      <c r="AI7" s="34">
        <f>State_Fossil_All_Mapping_SEDS!AJ100/State_Fossil_All_Mapping_SEDS!$BB100</f>
        <v>0</v>
      </c>
      <c r="AJ7" s="34">
        <f>State_Fossil_All_Mapping_SEDS!AK100/State_Fossil_All_Mapping_SEDS!$BB100</f>
        <v>0</v>
      </c>
      <c r="AK7" s="34">
        <f>State_Fossil_All_Mapping_SEDS!AL100/State_Fossil_All_Mapping_SEDS!$BB100</f>
        <v>0</v>
      </c>
      <c r="AL7" s="34">
        <f>State_Fossil_All_Mapping_SEDS!AM100/State_Fossil_All_Mapping_SEDS!$BB100</f>
        <v>0</v>
      </c>
      <c r="AM7" s="34">
        <f>State_Fossil_All_Mapping_SEDS!AN100/State_Fossil_All_Mapping_SEDS!$BB100</f>
        <v>0</v>
      </c>
      <c r="AN7" s="34">
        <f>State_Fossil_All_Mapping_SEDS!AO100/State_Fossil_All_Mapping_SEDS!$BB100</f>
        <v>0</v>
      </c>
      <c r="AO7" s="34">
        <f>State_Fossil_All_Mapping_SEDS!AP100/State_Fossil_All_Mapping_SEDS!$BB100</f>
        <v>0</v>
      </c>
      <c r="AP7" s="34">
        <f>State_Fossil_All_Mapping_SEDS!AQ100/State_Fossil_All_Mapping_SEDS!$BB100</f>
        <v>0</v>
      </c>
      <c r="AQ7" s="34">
        <f>State_Fossil_All_Mapping_SEDS!AR100/State_Fossil_All_Mapping_SEDS!$BB100</f>
        <v>0</v>
      </c>
      <c r="AR7" s="34">
        <f>State_Fossil_All_Mapping_SEDS!AS100/State_Fossil_All_Mapping_SEDS!$BB100</f>
        <v>0.3868051548</v>
      </c>
      <c r="AS7" s="34">
        <f>State_Fossil_All_Mapping_SEDS!AT100/State_Fossil_All_Mapping_SEDS!$BB100</f>
        <v>0</v>
      </c>
      <c r="AT7" s="34">
        <f>State_Fossil_All_Mapping_SEDS!AU100/State_Fossil_All_Mapping_SEDS!$BB100</f>
        <v>0</v>
      </c>
      <c r="AU7" s="34">
        <f>State_Fossil_All_Mapping_SEDS!AV100/State_Fossil_All_Mapping_SEDS!$BB100</f>
        <v>0</v>
      </c>
      <c r="AV7" s="34">
        <f>State_Fossil_All_Mapping_SEDS!AW100/State_Fossil_All_Mapping_SEDS!$BB100</f>
        <v>0</v>
      </c>
      <c r="AW7" s="34">
        <f>State_Fossil_All_Mapping_SEDS!AX100/State_Fossil_All_Mapping_SEDS!$BB100</f>
        <v>0</v>
      </c>
      <c r="AX7" s="34">
        <f>State_Fossil_All_Mapping_SEDS!AY100/State_Fossil_All_Mapping_SEDS!$BB100</f>
        <v>0</v>
      </c>
      <c r="AY7" s="34">
        <f>State_Fossil_All_Mapping_SEDS!AZ100/State_Fossil_All_Mapping_SEDS!$BB100</f>
        <v>0</v>
      </c>
      <c r="AZ7" s="34">
        <f>State_Fossil_All_Mapping_SEDS!BA100/State_Fossil_All_Mapping_SEDS!$BB100</f>
        <v>0</v>
      </c>
    </row>
    <row r="8" ht="15.75" customHeight="1">
      <c r="A8" s="34">
        <v>7.0</v>
      </c>
      <c r="B8" s="34">
        <f>State_Fossil_All_Mapping_SEDS!C101/State_Fossil_All_Mapping_SEDS!$BB101</f>
        <v>0</v>
      </c>
      <c r="C8" s="34">
        <f>State_Fossil_All_Mapping_SEDS!D101/State_Fossil_All_Mapping_SEDS!$BB101</f>
        <v>0</v>
      </c>
      <c r="D8" s="34">
        <f>State_Fossil_All_Mapping_SEDS!E101/State_Fossil_All_Mapping_SEDS!$BB101</f>
        <v>0</v>
      </c>
      <c r="E8" s="34">
        <f>State_Fossil_All_Mapping_SEDS!F101/State_Fossil_All_Mapping_SEDS!$BB101</f>
        <v>0.08958528485</v>
      </c>
      <c r="F8" s="34">
        <f>State_Fossil_All_Mapping_SEDS!G101/State_Fossil_All_Mapping_SEDS!$BB101</f>
        <v>0</v>
      </c>
      <c r="G8" s="34">
        <f>State_Fossil_All_Mapping_SEDS!H101/State_Fossil_All_Mapping_SEDS!$BB101</f>
        <v>0</v>
      </c>
      <c r="H8" s="34">
        <f>State_Fossil_All_Mapping_SEDS!I101/State_Fossil_All_Mapping_SEDS!$BB101</f>
        <v>0</v>
      </c>
      <c r="I8" s="34">
        <f>State_Fossil_All_Mapping_SEDS!J101/State_Fossil_All_Mapping_SEDS!$BB101</f>
        <v>0</v>
      </c>
      <c r="J8" s="34">
        <f>State_Fossil_All_Mapping_SEDS!K101/State_Fossil_All_Mapping_SEDS!$BB101</f>
        <v>0</v>
      </c>
      <c r="K8" s="34">
        <f>State_Fossil_All_Mapping_SEDS!L101/State_Fossil_All_Mapping_SEDS!$BB101</f>
        <v>0</v>
      </c>
      <c r="L8" s="34">
        <f>State_Fossil_All_Mapping_SEDS!M101/State_Fossil_All_Mapping_SEDS!$BB101</f>
        <v>0</v>
      </c>
      <c r="M8" s="34">
        <f>State_Fossil_All_Mapping_SEDS!N101/State_Fossil_All_Mapping_SEDS!$BB101</f>
        <v>0</v>
      </c>
      <c r="N8" s="34">
        <f>State_Fossil_All_Mapping_SEDS!O101/State_Fossil_All_Mapping_SEDS!$BB101</f>
        <v>0</v>
      </c>
      <c r="O8" s="34">
        <f>State_Fossil_All_Mapping_SEDS!P101/State_Fossil_All_Mapping_SEDS!$BB101</f>
        <v>0</v>
      </c>
      <c r="P8" s="34">
        <f>State_Fossil_All_Mapping_SEDS!Q101/State_Fossil_All_Mapping_SEDS!$BB101</f>
        <v>0</v>
      </c>
      <c r="Q8" s="34">
        <f>State_Fossil_All_Mapping_SEDS!R101/State_Fossil_All_Mapping_SEDS!$BB101</f>
        <v>0</v>
      </c>
      <c r="R8" s="34">
        <f>State_Fossil_All_Mapping_SEDS!S101/State_Fossil_All_Mapping_SEDS!$BB101</f>
        <v>0</v>
      </c>
      <c r="S8" s="34">
        <f>State_Fossil_All_Mapping_SEDS!T101/State_Fossil_All_Mapping_SEDS!$BB101</f>
        <v>0</v>
      </c>
      <c r="T8" s="34">
        <f>State_Fossil_All_Mapping_SEDS!U101/State_Fossil_All_Mapping_SEDS!$BB101</f>
        <v>0.1048284084</v>
      </c>
      <c r="U8" s="34">
        <f>State_Fossil_All_Mapping_SEDS!V101/State_Fossil_All_Mapping_SEDS!$BB101</f>
        <v>0</v>
      </c>
      <c r="V8" s="34">
        <f>State_Fossil_All_Mapping_SEDS!W101/State_Fossil_All_Mapping_SEDS!$BB101</f>
        <v>0</v>
      </c>
      <c r="W8" s="34">
        <f>State_Fossil_All_Mapping_SEDS!X101/State_Fossil_All_Mapping_SEDS!$BB101</f>
        <v>0</v>
      </c>
      <c r="X8" s="34">
        <f>State_Fossil_All_Mapping_SEDS!Y101/State_Fossil_All_Mapping_SEDS!$BB101</f>
        <v>0</v>
      </c>
      <c r="Y8" s="34">
        <f>State_Fossil_All_Mapping_SEDS!Z101/State_Fossil_All_Mapping_SEDS!$BB101</f>
        <v>0</v>
      </c>
      <c r="Z8" s="34">
        <f>State_Fossil_All_Mapping_SEDS!AA101/State_Fossil_All_Mapping_SEDS!$BB101</f>
        <v>0</v>
      </c>
      <c r="AA8" s="34">
        <f>State_Fossil_All_Mapping_SEDS!AB101/State_Fossil_All_Mapping_SEDS!$BB101</f>
        <v>0</v>
      </c>
      <c r="AB8" s="34">
        <f>State_Fossil_All_Mapping_SEDS!AC101/State_Fossil_All_Mapping_SEDS!$BB101</f>
        <v>0</v>
      </c>
      <c r="AC8" s="34">
        <f>State_Fossil_All_Mapping_SEDS!AD101/State_Fossil_All_Mapping_SEDS!$BB101</f>
        <v>0</v>
      </c>
      <c r="AD8" s="34">
        <f>State_Fossil_All_Mapping_SEDS!AE101/State_Fossil_All_Mapping_SEDS!$BB101</f>
        <v>0</v>
      </c>
      <c r="AE8" s="34">
        <f>State_Fossil_All_Mapping_SEDS!AF101/State_Fossil_All_Mapping_SEDS!$BB101</f>
        <v>0</v>
      </c>
      <c r="AF8" s="34">
        <f>State_Fossil_All_Mapping_SEDS!AG101/State_Fossil_All_Mapping_SEDS!$BB101</f>
        <v>0</v>
      </c>
      <c r="AG8" s="34">
        <f>State_Fossil_All_Mapping_SEDS!AH101/State_Fossil_All_Mapping_SEDS!$BB101</f>
        <v>0</v>
      </c>
      <c r="AH8" s="34">
        <f>State_Fossil_All_Mapping_SEDS!AI101/State_Fossil_All_Mapping_SEDS!$BB101</f>
        <v>0</v>
      </c>
      <c r="AI8" s="34">
        <f>State_Fossil_All_Mapping_SEDS!AJ101/State_Fossil_All_Mapping_SEDS!$BB101</f>
        <v>0</v>
      </c>
      <c r="AJ8" s="34">
        <f>State_Fossil_All_Mapping_SEDS!AK101/State_Fossil_All_Mapping_SEDS!$BB101</f>
        <v>0</v>
      </c>
      <c r="AK8" s="34">
        <f>State_Fossil_All_Mapping_SEDS!AL101/State_Fossil_All_Mapping_SEDS!$BB101</f>
        <v>0</v>
      </c>
      <c r="AL8" s="34">
        <f>State_Fossil_All_Mapping_SEDS!AM101/State_Fossil_All_Mapping_SEDS!$BB101</f>
        <v>0.1162394618</v>
      </c>
      <c r="AM8" s="34">
        <f>State_Fossil_All_Mapping_SEDS!AN101/State_Fossil_All_Mapping_SEDS!$BB101</f>
        <v>0</v>
      </c>
      <c r="AN8" s="34">
        <f>State_Fossil_All_Mapping_SEDS!AO101/State_Fossil_All_Mapping_SEDS!$BB101</f>
        <v>0</v>
      </c>
      <c r="AO8" s="34">
        <f>State_Fossil_All_Mapping_SEDS!AP101/State_Fossil_All_Mapping_SEDS!$BB101</f>
        <v>0</v>
      </c>
      <c r="AP8" s="34">
        <f>State_Fossil_All_Mapping_SEDS!AQ101/State_Fossil_All_Mapping_SEDS!$BB101</f>
        <v>0</v>
      </c>
      <c r="AQ8" s="34">
        <f>State_Fossil_All_Mapping_SEDS!AR101/State_Fossil_All_Mapping_SEDS!$BB101</f>
        <v>0</v>
      </c>
      <c r="AR8" s="34">
        <f>State_Fossil_All_Mapping_SEDS!AS101/State_Fossil_All_Mapping_SEDS!$BB101</f>
        <v>0</v>
      </c>
      <c r="AS8" s="34">
        <f>State_Fossil_All_Mapping_SEDS!AT101/State_Fossil_All_Mapping_SEDS!$BB101</f>
        <v>0.6893468449</v>
      </c>
      <c r="AT8" s="34">
        <f>State_Fossil_All_Mapping_SEDS!AU101/State_Fossil_All_Mapping_SEDS!$BB101</f>
        <v>0</v>
      </c>
      <c r="AU8" s="34">
        <f>State_Fossil_All_Mapping_SEDS!AV101/State_Fossil_All_Mapping_SEDS!$BB101</f>
        <v>0</v>
      </c>
      <c r="AV8" s="34">
        <f>State_Fossil_All_Mapping_SEDS!AW101/State_Fossil_All_Mapping_SEDS!$BB101</f>
        <v>0</v>
      </c>
      <c r="AW8" s="34">
        <f>State_Fossil_All_Mapping_SEDS!AX101/State_Fossil_All_Mapping_SEDS!$BB101</f>
        <v>0</v>
      </c>
      <c r="AX8" s="34">
        <f>State_Fossil_All_Mapping_SEDS!AY101/State_Fossil_All_Mapping_SEDS!$BB101</f>
        <v>0</v>
      </c>
      <c r="AY8" s="34">
        <f>State_Fossil_All_Mapping_SEDS!AZ101/State_Fossil_All_Mapping_SEDS!$BB101</f>
        <v>0</v>
      </c>
      <c r="AZ8" s="34">
        <f>State_Fossil_All_Mapping_SEDS!BA101/State_Fossil_All_Mapping_SEDS!$BB101</f>
        <v>0</v>
      </c>
    </row>
    <row r="9" ht="15.75" customHeight="1">
      <c r="A9" s="34">
        <v>8.0</v>
      </c>
      <c r="B9" s="34">
        <f>State_Fossil_All_Mapping_SEDS!C102/State_Fossil_All_Mapping_SEDS!$BB102</f>
        <v>0</v>
      </c>
      <c r="C9" s="34">
        <f>State_Fossil_All_Mapping_SEDS!D102/State_Fossil_All_Mapping_SEDS!$BB102</f>
        <v>0</v>
      </c>
      <c r="D9" s="34">
        <f>State_Fossil_All_Mapping_SEDS!E102/State_Fossil_All_Mapping_SEDS!$BB102</f>
        <v>0.2313009816</v>
      </c>
      <c r="E9" s="34">
        <f>State_Fossil_All_Mapping_SEDS!F102/State_Fossil_All_Mapping_SEDS!$BB102</f>
        <v>0</v>
      </c>
      <c r="F9" s="34">
        <f>State_Fossil_All_Mapping_SEDS!G102/State_Fossil_All_Mapping_SEDS!$BB102</f>
        <v>0</v>
      </c>
      <c r="G9" s="34">
        <f>State_Fossil_All_Mapping_SEDS!H102/State_Fossil_All_Mapping_SEDS!$BB102</f>
        <v>0.2165076732</v>
      </c>
      <c r="H9" s="34">
        <f>State_Fossil_All_Mapping_SEDS!I102/State_Fossil_All_Mapping_SEDS!$BB102</f>
        <v>0</v>
      </c>
      <c r="I9" s="34">
        <f>State_Fossil_All_Mapping_SEDS!J102/State_Fossil_All_Mapping_SEDS!$BB102</f>
        <v>0</v>
      </c>
      <c r="J9" s="34">
        <f>State_Fossil_All_Mapping_SEDS!K102/State_Fossil_All_Mapping_SEDS!$BB102</f>
        <v>0</v>
      </c>
      <c r="K9" s="34">
        <f>State_Fossil_All_Mapping_SEDS!L102/State_Fossil_All_Mapping_SEDS!$BB102</f>
        <v>0</v>
      </c>
      <c r="L9" s="34">
        <f>State_Fossil_All_Mapping_SEDS!M102/State_Fossil_All_Mapping_SEDS!$BB102</f>
        <v>0</v>
      </c>
      <c r="M9" s="34">
        <f>State_Fossil_All_Mapping_SEDS!N102/State_Fossil_All_Mapping_SEDS!$BB102</f>
        <v>0</v>
      </c>
      <c r="N9" s="34">
        <f>State_Fossil_All_Mapping_SEDS!O102/State_Fossil_All_Mapping_SEDS!$BB102</f>
        <v>0.07797594359</v>
      </c>
      <c r="O9" s="34">
        <f>State_Fossil_All_Mapping_SEDS!P102/State_Fossil_All_Mapping_SEDS!$BB102</f>
        <v>0</v>
      </c>
      <c r="P9" s="34">
        <f>State_Fossil_All_Mapping_SEDS!Q102/State_Fossil_All_Mapping_SEDS!$BB102</f>
        <v>0</v>
      </c>
      <c r="Q9" s="34">
        <f>State_Fossil_All_Mapping_SEDS!R102/State_Fossil_All_Mapping_SEDS!$BB102</f>
        <v>0</v>
      </c>
      <c r="R9" s="34">
        <f>State_Fossil_All_Mapping_SEDS!S102/State_Fossil_All_Mapping_SEDS!$BB102</f>
        <v>0</v>
      </c>
      <c r="S9" s="34">
        <f>State_Fossil_All_Mapping_SEDS!T102/State_Fossil_All_Mapping_SEDS!$BB102</f>
        <v>0</v>
      </c>
      <c r="T9" s="34">
        <f>State_Fossil_All_Mapping_SEDS!U102/State_Fossil_All_Mapping_SEDS!$BB102</f>
        <v>0</v>
      </c>
      <c r="U9" s="34">
        <f>State_Fossil_All_Mapping_SEDS!V102/State_Fossil_All_Mapping_SEDS!$BB102</f>
        <v>0</v>
      </c>
      <c r="V9" s="34">
        <f>State_Fossil_All_Mapping_SEDS!W102/State_Fossil_All_Mapping_SEDS!$BB102</f>
        <v>0</v>
      </c>
      <c r="W9" s="34">
        <f>State_Fossil_All_Mapping_SEDS!X102/State_Fossil_All_Mapping_SEDS!$BB102</f>
        <v>0</v>
      </c>
      <c r="X9" s="34">
        <f>State_Fossil_All_Mapping_SEDS!Y102/State_Fossil_All_Mapping_SEDS!$BB102</f>
        <v>0</v>
      </c>
      <c r="Y9" s="34">
        <f>State_Fossil_All_Mapping_SEDS!Z102/State_Fossil_All_Mapping_SEDS!$BB102</f>
        <v>0</v>
      </c>
      <c r="Z9" s="34">
        <f>State_Fossil_All_Mapping_SEDS!AA102/State_Fossil_All_Mapping_SEDS!$BB102</f>
        <v>0</v>
      </c>
      <c r="AA9" s="34">
        <f>State_Fossil_All_Mapping_SEDS!AB102/State_Fossil_All_Mapping_SEDS!$BB102</f>
        <v>0</v>
      </c>
      <c r="AB9" s="34">
        <f>State_Fossil_All_Mapping_SEDS!AC102/State_Fossil_All_Mapping_SEDS!$BB102</f>
        <v>0.07203096917</v>
      </c>
      <c r="AC9" s="34">
        <f>State_Fossil_All_Mapping_SEDS!AD102/State_Fossil_All_Mapping_SEDS!$BB102</f>
        <v>0</v>
      </c>
      <c r="AD9" s="34">
        <f>State_Fossil_All_Mapping_SEDS!AE102/State_Fossil_All_Mapping_SEDS!$BB102</f>
        <v>0.1202820406</v>
      </c>
      <c r="AE9" s="34">
        <f>State_Fossil_All_Mapping_SEDS!AF102/State_Fossil_All_Mapping_SEDS!$BB102</f>
        <v>0</v>
      </c>
      <c r="AF9" s="34">
        <f>State_Fossil_All_Mapping_SEDS!AG102/State_Fossil_All_Mapping_SEDS!$BB102</f>
        <v>0</v>
      </c>
      <c r="AG9" s="34">
        <f>State_Fossil_All_Mapping_SEDS!AH102/State_Fossil_All_Mapping_SEDS!$BB102</f>
        <v>0.09346052813</v>
      </c>
      <c r="AH9" s="34">
        <f>State_Fossil_All_Mapping_SEDS!AI102/State_Fossil_All_Mapping_SEDS!$BB102</f>
        <v>0</v>
      </c>
      <c r="AI9" s="34">
        <f>State_Fossil_All_Mapping_SEDS!AJ102/State_Fossil_All_Mapping_SEDS!$BB102</f>
        <v>0</v>
      </c>
      <c r="AJ9" s="34">
        <f>State_Fossil_All_Mapping_SEDS!AK102/State_Fossil_All_Mapping_SEDS!$BB102</f>
        <v>0</v>
      </c>
      <c r="AK9" s="34">
        <f>State_Fossil_All_Mapping_SEDS!AL102/State_Fossil_All_Mapping_SEDS!$BB102</f>
        <v>0</v>
      </c>
      <c r="AL9" s="34">
        <f>State_Fossil_All_Mapping_SEDS!AM102/State_Fossil_All_Mapping_SEDS!$BB102</f>
        <v>0</v>
      </c>
      <c r="AM9" s="34">
        <f>State_Fossil_All_Mapping_SEDS!AN102/State_Fossil_All_Mapping_SEDS!$BB102</f>
        <v>0</v>
      </c>
      <c r="AN9" s="34">
        <f>State_Fossil_All_Mapping_SEDS!AO102/State_Fossil_All_Mapping_SEDS!$BB102</f>
        <v>0</v>
      </c>
      <c r="AO9" s="34">
        <f>State_Fossil_All_Mapping_SEDS!AP102/State_Fossil_All_Mapping_SEDS!$BB102</f>
        <v>0</v>
      </c>
      <c r="AP9" s="34">
        <f>State_Fossil_All_Mapping_SEDS!AQ102/State_Fossil_All_Mapping_SEDS!$BB102</f>
        <v>0</v>
      </c>
      <c r="AQ9" s="34">
        <f>State_Fossil_All_Mapping_SEDS!AR102/State_Fossil_All_Mapping_SEDS!$BB102</f>
        <v>0</v>
      </c>
      <c r="AR9" s="34">
        <f>State_Fossil_All_Mapping_SEDS!AS102/State_Fossil_All_Mapping_SEDS!$BB102</f>
        <v>0</v>
      </c>
      <c r="AS9" s="34">
        <f>State_Fossil_All_Mapping_SEDS!AT102/State_Fossil_All_Mapping_SEDS!$BB102</f>
        <v>0</v>
      </c>
      <c r="AT9" s="34">
        <f>State_Fossil_All_Mapping_SEDS!AU102/State_Fossil_All_Mapping_SEDS!$BB102</f>
        <v>0.1436471727</v>
      </c>
      <c r="AU9" s="34">
        <f>State_Fossil_All_Mapping_SEDS!AV102/State_Fossil_All_Mapping_SEDS!$BB102</f>
        <v>0</v>
      </c>
      <c r="AV9" s="34">
        <f>State_Fossil_All_Mapping_SEDS!AW102/State_Fossil_All_Mapping_SEDS!$BB102</f>
        <v>0</v>
      </c>
      <c r="AW9" s="34">
        <f>State_Fossil_All_Mapping_SEDS!AX102/State_Fossil_All_Mapping_SEDS!$BB102</f>
        <v>0</v>
      </c>
      <c r="AX9" s="34">
        <f>State_Fossil_All_Mapping_SEDS!AY102/State_Fossil_All_Mapping_SEDS!$BB102</f>
        <v>0</v>
      </c>
      <c r="AY9" s="34">
        <f>State_Fossil_All_Mapping_SEDS!AZ102/State_Fossil_All_Mapping_SEDS!$BB102</f>
        <v>0</v>
      </c>
      <c r="AZ9" s="34">
        <f>State_Fossil_All_Mapping_SEDS!BA102/State_Fossil_All_Mapping_SEDS!$BB102</f>
        <v>0.044794691</v>
      </c>
    </row>
    <row r="10" ht="15.75" customHeight="1">
      <c r="A10" s="34">
        <v>9.0</v>
      </c>
      <c r="B10" s="34">
        <f>State_Fossil_All_Mapping_SEDS!C103/State_Fossil_All_Mapping_SEDS!$BB103</f>
        <v>0</v>
      </c>
      <c r="C10" s="34">
        <f>State_Fossil_All_Mapping_SEDS!D103/State_Fossil_All_Mapping_SEDS!$BB103</f>
        <v>0.03831586365</v>
      </c>
      <c r="D10" s="34">
        <f>State_Fossil_All_Mapping_SEDS!E103/State_Fossil_All_Mapping_SEDS!$BB103</f>
        <v>0</v>
      </c>
      <c r="E10" s="34">
        <f>State_Fossil_All_Mapping_SEDS!F103/State_Fossil_All_Mapping_SEDS!$BB103</f>
        <v>0</v>
      </c>
      <c r="F10" s="34">
        <f>State_Fossil_All_Mapping_SEDS!G103/State_Fossil_All_Mapping_SEDS!$BB103</f>
        <v>0.675504272</v>
      </c>
      <c r="G10" s="34">
        <f>State_Fossil_All_Mapping_SEDS!H103/State_Fossil_All_Mapping_SEDS!$BB103</f>
        <v>0</v>
      </c>
      <c r="H10" s="34">
        <f>State_Fossil_All_Mapping_SEDS!I103/State_Fossil_All_Mapping_SEDS!$BB103</f>
        <v>0</v>
      </c>
      <c r="I10" s="34">
        <f>State_Fossil_All_Mapping_SEDS!J103/State_Fossil_All_Mapping_SEDS!$BB103</f>
        <v>0</v>
      </c>
      <c r="J10" s="34">
        <f>State_Fossil_All_Mapping_SEDS!K103/State_Fossil_All_Mapping_SEDS!$BB103</f>
        <v>0</v>
      </c>
      <c r="K10" s="34">
        <f>State_Fossil_All_Mapping_SEDS!L103/State_Fossil_All_Mapping_SEDS!$BB103</f>
        <v>0</v>
      </c>
      <c r="L10" s="34">
        <f>State_Fossil_All_Mapping_SEDS!M103/State_Fossil_All_Mapping_SEDS!$BB103</f>
        <v>0</v>
      </c>
      <c r="M10" s="34">
        <f>State_Fossil_All_Mapping_SEDS!N103/State_Fossil_All_Mapping_SEDS!$BB103</f>
        <v>0.01840923104</v>
      </c>
      <c r="N10" s="34">
        <f>State_Fossil_All_Mapping_SEDS!O103/State_Fossil_All_Mapping_SEDS!$BB103</f>
        <v>0</v>
      </c>
      <c r="O10" s="34">
        <f>State_Fossil_All_Mapping_SEDS!P103/State_Fossil_All_Mapping_SEDS!$BB103</f>
        <v>0</v>
      </c>
      <c r="P10" s="34">
        <f>State_Fossil_All_Mapping_SEDS!Q103/State_Fossil_All_Mapping_SEDS!$BB103</f>
        <v>0</v>
      </c>
      <c r="Q10" s="34">
        <f>State_Fossil_All_Mapping_SEDS!R103/State_Fossil_All_Mapping_SEDS!$BB103</f>
        <v>0</v>
      </c>
      <c r="R10" s="34">
        <f>State_Fossil_All_Mapping_SEDS!S103/State_Fossil_All_Mapping_SEDS!$BB103</f>
        <v>0</v>
      </c>
      <c r="S10" s="34">
        <f>State_Fossil_All_Mapping_SEDS!T103/State_Fossil_All_Mapping_SEDS!$BB103</f>
        <v>0</v>
      </c>
      <c r="T10" s="34">
        <f>State_Fossil_All_Mapping_SEDS!U103/State_Fossil_All_Mapping_SEDS!$BB103</f>
        <v>0</v>
      </c>
      <c r="U10" s="34">
        <f>State_Fossil_All_Mapping_SEDS!V103/State_Fossil_All_Mapping_SEDS!$BB103</f>
        <v>0</v>
      </c>
      <c r="V10" s="34">
        <f>State_Fossil_All_Mapping_SEDS!W103/State_Fossil_All_Mapping_SEDS!$BB103</f>
        <v>0</v>
      </c>
      <c r="W10" s="34">
        <f>State_Fossil_All_Mapping_SEDS!X103/State_Fossil_All_Mapping_SEDS!$BB103</f>
        <v>0</v>
      </c>
      <c r="X10" s="34">
        <f>State_Fossil_All_Mapping_SEDS!Y103/State_Fossil_All_Mapping_SEDS!$BB103</f>
        <v>0</v>
      </c>
      <c r="Y10" s="34">
        <f>State_Fossil_All_Mapping_SEDS!Z103/State_Fossil_All_Mapping_SEDS!$BB103</f>
        <v>0</v>
      </c>
      <c r="Z10" s="34">
        <f>State_Fossil_All_Mapping_SEDS!AA103/State_Fossil_All_Mapping_SEDS!$BB103</f>
        <v>0</v>
      </c>
      <c r="AA10" s="34">
        <f>State_Fossil_All_Mapping_SEDS!AB103/State_Fossil_All_Mapping_SEDS!$BB103</f>
        <v>0</v>
      </c>
      <c r="AB10" s="34">
        <f>State_Fossil_All_Mapping_SEDS!AC103/State_Fossil_All_Mapping_SEDS!$BB103</f>
        <v>0</v>
      </c>
      <c r="AC10" s="34">
        <f>State_Fossil_All_Mapping_SEDS!AD103/State_Fossil_All_Mapping_SEDS!$BB103</f>
        <v>0</v>
      </c>
      <c r="AD10" s="34">
        <f>State_Fossil_All_Mapping_SEDS!AE103/State_Fossil_All_Mapping_SEDS!$BB103</f>
        <v>0</v>
      </c>
      <c r="AE10" s="34">
        <f>State_Fossil_All_Mapping_SEDS!AF103/State_Fossil_All_Mapping_SEDS!$BB103</f>
        <v>0</v>
      </c>
      <c r="AF10" s="34">
        <f>State_Fossil_All_Mapping_SEDS!AG103/State_Fossil_All_Mapping_SEDS!$BB103</f>
        <v>0</v>
      </c>
      <c r="AG10" s="34">
        <f>State_Fossil_All_Mapping_SEDS!AH103/State_Fossil_All_Mapping_SEDS!$BB103</f>
        <v>0</v>
      </c>
      <c r="AH10" s="34">
        <f>State_Fossil_All_Mapping_SEDS!AI103/State_Fossil_All_Mapping_SEDS!$BB103</f>
        <v>0</v>
      </c>
      <c r="AI10" s="34">
        <f>State_Fossil_All_Mapping_SEDS!AJ103/State_Fossil_All_Mapping_SEDS!$BB103</f>
        <v>0</v>
      </c>
      <c r="AJ10" s="34">
        <f>State_Fossil_All_Mapping_SEDS!AK103/State_Fossil_All_Mapping_SEDS!$BB103</f>
        <v>0</v>
      </c>
      <c r="AK10" s="34">
        <f>State_Fossil_All_Mapping_SEDS!AL103/State_Fossil_All_Mapping_SEDS!$BB103</f>
        <v>0</v>
      </c>
      <c r="AL10" s="34">
        <f>State_Fossil_All_Mapping_SEDS!AM103/State_Fossil_All_Mapping_SEDS!$BB103</f>
        <v>0</v>
      </c>
      <c r="AM10" s="34">
        <f>State_Fossil_All_Mapping_SEDS!AN103/State_Fossil_All_Mapping_SEDS!$BB103</f>
        <v>0.09530520567</v>
      </c>
      <c r="AN10" s="34">
        <f>State_Fossil_All_Mapping_SEDS!AO103/State_Fossil_All_Mapping_SEDS!$BB103</f>
        <v>0</v>
      </c>
      <c r="AO10" s="34">
        <f>State_Fossil_All_Mapping_SEDS!AP103/State_Fossil_All_Mapping_SEDS!$BB103</f>
        <v>0</v>
      </c>
      <c r="AP10" s="34">
        <f>State_Fossil_All_Mapping_SEDS!AQ103/State_Fossil_All_Mapping_SEDS!$BB103</f>
        <v>0</v>
      </c>
      <c r="AQ10" s="34">
        <f>State_Fossil_All_Mapping_SEDS!AR103/State_Fossil_All_Mapping_SEDS!$BB103</f>
        <v>0</v>
      </c>
      <c r="AR10" s="34">
        <f>State_Fossil_All_Mapping_SEDS!AS103/State_Fossil_All_Mapping_SEDS!$BB103</f>
        <v>0</v>
      </c>
      <c r="AS10" s="34">
        <f>State_Fossil_All_Mapping_SEDS!AT103/State_Fossil_All_Mapping_SEDS!$BB103</f>
        <v>0</v>
      </c>
      <c r="AT10" s="34">
        <f>State_Fossil_All_Mapping_SEDS!AU103/State_Fossil_All_Mapping_SEDS!$BB103</f>
        <v>0</v>
      </c>
      <c r="AU10" s="34">
        <f>State_Fossil_All_Mapping_SEDS!AV103/State_Fossil_All_Mapping_SEDS!$BB103</f>
        <v>0</v>
      </c>
      <c r="AV10" s="34">
        <f>State_Fossil_All_Mapping_SEDS!AW103/State_Fossil_All_Mapping_SEDS!$BB103</f>
        <v>0</v>
      </c>
      <c r="AW10" s="34">
        <f>State_Fossil_All_Mapping_SEDS!AX103/State_Fossil_All_Mapping_SEDS!$BB103</f>
        <v>0.1724654276</v>
      </c>
      <c r="AX10" s="34">
        <f>State_Fossil_All_Mapping_SEDS!AY103/State_Fossil_All_Mapping_SEDS!$BB103</f>
        <v>0</v>
      </c>
      <c r="AY10" s="34">
        <f>State_Fossil_All_Mapping_SEDS!AZ103/State_Fossil_All_Mapping_SEDS!$BB103</f>
        <v>0</v>
      </c>
      <c r="AZ10" s="34">
        <f>State_Fossil_All_Mapping_SEDS!BA103/State_Fossil_All_Mapping_SEDS!$BB103</f>
        <v>0</v>
      </c>
    </row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</sheetData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45" t="s">
        <v>94</v>
      </c>
      <c r="B1" s="45" t="s">
        <v>1994</v>
      </c>
      <c r="C1" s="45" t="s">
        <v>2062</v>
      </c>
      <c r="D1" s="45" t="s">
        <v>2063</v>
      </c>
      <c r="E1" s="45" t="s">
        <v>2079</v>
      </c>
      <c r="F1" s="45" t="s">
        <v>2137</v>
      </c>
      <c r="G1" s="45" t="s">
        <v>2194</v>
      </c>
      <c r="H1" s="45" t="s">
        <v>2250</v>
      </c>
      <c r="I1" s="45" t="s">
        <v>2259</v>
      </c>
      <c r="J1" s="45" t="s">
        <v>2263</v>
      </c>
      <c r="K1" s="45" t="s">
        <v>2264</v>
      </c>
      <c r="L1" s="45" t="s">
        <v>2314</v>
      </c>
      <c r="M1" s="45" t="s">
        <v>2423</v>
      </c>
      <c r="N1" s="45" t="s">
        <v>2424</v>
      </c>
      <c r="O1" s="45" t="s">
        <v>2458</v>
      </c>
      <c r="P1" s="45" t="s">
        <v>2513</v>
      </c>
      <c r="Q1" s="45" t="s">
        <v>2555</v>
      </c>
      <c r="R1" s="45" t="s">
        <v>2601</v>
      </c>
      <c r="S1" s="45" t="s">
        <v>2669</v>
      </c>
      <c r="T1" s="45" t="s">
        <v>2725</v>
      </c>
      <c r="U1" s="45" t="s">
        <v>2790</v>
      </c>
      <c r="V1" s="45" t="s">
        <v>2801</v>
      </c>
      <c r="W1" s="45" t="s">
        <v>2819</v>
      </c>
      <c r="X1" s="45" t="s">
        <v>2830</v>
      </c>
      <c r="Y1" s="45" t="s">
        <v>2893</v>
      </c>
      <c r="Z1" s="45" t="s">
        <v>2955</v>
      </c>
      <c r="AA1" s="45" t="s">
        <v>2992</v>
      </c>
      <c r="AB1" s="45" t="s">
        <v>3034</v>
      </c>
      <c r="AC1" s="45" t="s">
        <v>3071</v>
      </c>
      <c r="AD1" s="45" t="s">
        <v>3112</v>
      </c>
      <c r="AE1" s="45" t="s">
        <v>3123</v>
      </c>
      <c r="AF1" s="45" t="s">
        <v>3131</v>
      </c>
      <c r="AG1" s="45" t="s">
        <v>3143</v>
      </c>
      <c r="AH1" s="45" t="s">
        <v>3168</v>
      </c>
      <c r="AI1" s="45" t="s">
        <v>3200</v>
      </c>
      <c r="AJ1" s="45" t="s">
        <v>3265</v>
      </c>
      <c r="AK1" s="45" t="s">
        <v>3297</v>
      </c>
      <c r="AL1" s="45" t="s">
        <v>3333</v>
      </c>
      <c r="AM1" s="45" t="s">
        <v>3376</v>
      </c>
      <c r="AN1" s="45" t="s">
        <v>3393</v>
      </c>
      <c r="AO1" s="45" t="s">
        <v>3427</v>
      </c>
      <c r="AP1" s="45" t="s">
        <v>3430</v>
      </c>
      <c r="AQ1" s="45" t="s">
        <v>3458</v>
      </c>
      <c r="AR1" s="45" t="s">
        <v>3497</v>
      </c>
      <c r="AS1" s="45" t="s">
        <v>3524</v>
      </c>
      <c r="AT1" s="45" t="s">
        <v>3687</v>
      </c>
      <c r="AU1" s="45" t="s">
        <v>3704</v>
      </c>
      <c r="AV1" s="45" t="s">
        <v>3713</v>
      </c>
      <c r="AW1" s="45" t="s">
        <v>3797</v>
      </c>
      <c r="AX1" s="45" t="s">
        <v>3820</v>
      </c>
      <c r="AY1" s="45" t="s">
        <v>3838</v>
      </c>
      <c r="AZ1" s="45" t="s">
        <v>3874</v>
      </c>
    </row>
    <row r="2" ht="15.75" customHeight="1">
      <c r="A2" s="34">
        <v>1.0</v>
      </c>
      <c r="B2" s="34">
        <f>EMM_State_Elec_Map_NEMS_SEDS!B66/EMM_State_Elec_Map_NEMS_SEDS!$BA66</f>
        <v>0</v>
      </c>
      <c r="C2" s="34">
        <f>EMM_State_Elec_Map_NEMS_SEDS!C66/EMM_State_Elec_Map_NEMS_SEDS!$BA66</f>
        <v>0</v>
      </c>
      <c r="D2" s="34">
        <f>EMM_State_Elec_Map_NEMS_SEDS!D66/EMM_State_Elec_Map_NEMS_SEDS!$BA66</f>
        <v>0</v>
      </c>
      <c r="E2" s="34">
        <f>EMM_State_Elec_Map_NEMS_SEDS!E66/EMM_State_Elec_Map_NEMS_SEDS!$BA66</f>
        <v>0</v>
      </c>
      <c r="F2" s="34">
        <f>EMM_State_Elec_Map_NEMS_SEDS!F66/EMM_State_Elec_Map_NEMS_SEDS!$BA66</f>
        <v>0</v>
      </c>
      <c r="G2" s="34">
        <f>EMM_State_Elec_Map_NEMS_SEDS!G66/EMM_State_Elec_Map_NEMS_SEDS!$BA66</f>
        <v>0</v>
      </c>
      <c r="H2" s="34">
        <f>EMM_State_Elec_Map_NEMS_SEDS!H66/EMM_State_Elec_Map_NEMS_SEDS!$BA66</f>
        <v>0.2739179954</v>
      </c>
      <c r="I2" s="34">
        <f>EMM_State_Elec_Map_NEMS_SEDS!I66/EMM_State_Elec_Map_NEMS_SEDS!$BA66</f>
        <v>0</v>
      </c>
      <c r="J2" s="34">
        <f>EMM_State_Elec_Map_NEMS_SEDS!J66/EMM_State_Elec_Map_NEMS_SEDS!$BA66</f>
        <v>0</v>
      </c>
      <c r="K2" s="34">
        <f>EMM_State_Elec_Map_NEMS_SEDS!K66/EMM_State_Elec_Map_NEMS_SEDS!$BA66</f>
        <v>0</v>
      </c>
      <c r="L2" s="34">
        <f>EMM_State_Elec_Map_NEMS_SEDS!L66/EMM_State_Elec_Map_NEMS_SEDS!$BA66</f>
        <v>0</v>
      </c>
      <c r="M2" s="34">
        <f>EMM_State_Elec_Map_NEMS_SEDS!M66/EMM_State_Elec_Map_NEMS_SEDS!$BA66</f>
        <v>0</v>
      </c>
      <c r="N2" s="34">
        <f>EMM_State_Elec_Map_NEMS_SEDS!N66/EMM_State_Elec_Map_NEMS_SEDS!$BA66</f>
        <v>0</v>
      </c>
      <c r="O2" s="34">
        <f>EMM_State_Elec_Map_NEMS_SEDS!O66/EMM_State_Elec_Map_NEMS_SEDS!$BA66</f>
        <v>0</v>
      </c>
      <c r="P2" s="34">
        <f>EMM_State_Elec_Map_NEMS_SEDS!P66/EMM_State_Elec_Map_NEMS_SEDS!$BA66</f>
        <v>0</v>
      </c>
      <c r="Q2" s="34">
        <f>EMM_State_Elec_Map_NEMS_SEDS!Q66/EMM_State_Elec_Map_NEMS_SEDS!$BA66</f>
        <v>0</v>
      </c>
      <c r="R2" s="34">
        <f>EMM_State_Elec_Map_NEMS_SEDS!R66/EMM_State_Elec_Map_NEMS_SEDS!$BA66</f>
        <v>0</v>
      </c>
      <c r="S2" s="34">
        <f>EMM_State_Elec_Map_NEMS_SEDS!S66/EMM_State_Elec_Map_NEMS_SEDS!$BA66</f>
        <v>0</v>
      </c>
      <c r="T2" s="34">
        <f>EMM_State_Elec_Map_NEMS_SEDS!T66/EMM_State_Elec_Map_NEMS_SEDS!$BA66</f>
        <v>0</v>
      </c>
      <c r="U2" s="34">
        <f>EMM_State_Elec_Map_NEMS_SEDS!U66/EMM_State_Elec_Map_NEMS_SEDS!$BA66</f>
        <v>0.1019362187</v>
      </c>
      <c r="V2" s="34">
        <f>EMM_State_Elec_Map_NEMS_SEDS!V66/EMM_State_Elec_Map_NEMS_SEDS!$BA66</f>
        <v>0</v>
      </c>
      <c r="W2" s="34">
        <f>EMM_State_Elec_Map_NEMS_SEDS!W66/EMM_State_Elec_Map_NEMS_SEDS!$BA66</f>
        <v>0.4174259681</v>
      </c>
      <c r="X2" s="34">
        <f>EMM_State_Elec_Map_NEMS_SEDS!X66/EMM_State_Elec_Map_NEMS_SEDS!$BA66</f>
        <v>0</v>
      </c>
      <c r="Y2" s="34">
        <f>EMM_State_Elec_Map_NEMS_SEDS!Y66/EMM_State_Elec_Map_NEMS_SEDS!$BA66</f>
        <v>0</v>
      </c>
      <c r="Z2" s="34">
        <f>EMM_State_Elec_Map_NEMS_SEDS!Z66/EMM_State_Elec_Map_NEMS_SEDS!$BA66</f>
        <v>0</v>
      </c>
      <c r="AA2" s="34">
        <f>EMM_State_Elec_Map_NEMS_SEDS!AA66/EMM_State_Elec_Map_NEMS_SEDS!$BA66</f>
        <v>0</v>
      </c>
      <c r="AB2" s="34">
        <f>EMM_State_Elec_Map_NEMS_SEDS!AB66/EMM_State_Elec_Map_NEMS_SEDS!$BA66</f>
        <v>0</v>
      </c>
      <c r="AC2" s="34">
        <f>EMM_State_Elec_Map_NEMS_SEDS!AC66/EMM_State_Elec_Map_NEMS_SEDS!$BA66</f>
        <v>0</v>
      </c>
      <c r="AD2" s="34">
        <f>EMM_State_Elec_Map_NEMS_SEDS!AD66/EMM_State_Elec_Map_NEMS_SEDS!$BA66</f>
        <v>0</v>
      </c>
      <c r="AE2" s="34">
        <f>EMM_State_Elec_Map_NEMS_SEDS!AE66/EMM_State_Elec_Map_NEMS_SEDS!$BA66</f>
        <v>0.09624145786</v>
      </c>
      <c r="AF2" s="34">
        <f>EMM_State_Elec_Map_NEMS_SEDS!AF66/EMM_State_Elec_Map_NEMS_SEDS!$BA66</f>
        <v>0</v>
      </c>
      <c r="AG2" s="34">
        <f>EMM_State_Elec_Map_NEMS_SEDS!AG66/EMM_State_Elec_Map_NEMS_SEDS!$BA66</f>
        <v>0</v>
      </c>
      <c r="AH2" s="34">
        <f>EMM_State_Elec_Map_NEMS_SEDS!AH66/EMM_State_Elec_Map_NEMS_SEDS!$BA66</f>
        <v>0</v>
      </c>
      <c r="AI2" s="34">
        <f>EMM_State_Elec_Map_NEMS_SEDS!AI66/EMM_State_Elec_Map_NEMS_SEDS!$BA66</f>
        <v>0</v>
      </c>
      <c r="AJ2" s="34">
        <f>EMM_State_Elec_Map_NEMS_SEDS!AJ66/EMM_State_Elec_Map_NEMS_SEDS!$BA66</f>
        <v>0</v>
      </c>
      <c r="AK2" s="34">
        <f>EMM_State_Elec_Map_NEMS_SEDS!AK66/EMM_State_Elec_Map_NEMS_SEDS!$BA66</f>
        <v>0</v>
      </c>
      <c r="AL2" s="34">
        <f>EMM_State_Elec_Map_NEMS_SEDS!AL66/EMM_State_Elec_Map_NEMS_SEDS!$BA66</f>
        <v>0</v>
      </c>
      <c r="AM2" s="34">
        <f>EMM_State_Elec_Map_NEMS_SEDS!AM66/EMM_State_Elec_Map_NEMS_SEDS!$BA66</f>
        <v>0</v>
      </c>
      <c r="AN2" s="34">
        <f>EMM_State_Elec_Map_NEMS_SEDS!AN66/EMM_State_Elec_Map_NEMS_SEDS!$BA66</f>
        <v>0</v>
      </c>
      <c r="AO2" s="34">
        <f>EMM_State_Elec_Map_NEMS_SEDS!AO66/EMM_State_Elec_Map_NEMS_SEDS!$BA66</f>
        <v>0.06492027335</v>
      </c>
      <c r="AP2" s="34">
        <f>EMM_State_Elec_Map_NEMS_SEDS!AP66/EMM_State_Elec_Map_NEMS_SEDS!$BA66</f>
        <v>0</v>
      </c>
      <c r="AQ2" s="34">
        <f>EMM_State_Elec_Map_NEMS_SEDS!AQ66/EMM_State_Elec_Map_NEMS_SEDS!$BA66</f>
        <v>0</v>
      </c>
      <c r="AR2" s="34">
        <f>EMM_State_Elec_Map_NEMS_SEDS!AR66/EMM_State_Elec_Map_NEMS_SEDS!$BA66</f>
        <v>0</v>
      </c>
      <c r="AS2" s="34">
        <f>EMM_State_Elec_Map_NEMS_SEDS!AS66/EMM_State_Elec_Map_NEMS_SEDS!$BA66</f>
        <v>0</v>
      </c>
      <c r="AT2" s="34">
        <f>EMM_State_Elec_Map_NEMS_SEDS!AT66/EMM_State_Elec_Map_NEMS_SEDS!$BA66</f>
        <v>0</v>
      </c>
      <c r="AU2" s="34">
        <f>EMM_State_Elec_Map_NEMS_SEDS!AU66/EMM_State_Elec_Map_NEMS_SEDS!$BA66</f>
        <v>0.04555808656</v>
      </c>
      <c r="AV2" s="34">
        <f>EMM_State_Elec_Map_NEMS_SEDS!AV66/EMM_State_Elec_Map_NEMS_SEDS!$BA66</f>
        <v>0</v>
      </c>
      <c r="AW2" s="34">
        <f>EMM_State_Elec_Map_NEMS_SEDS!AW66/EMM_State_Elec_Map_NEMS_SEDS!$BA66</f>
        <v>0</v>
      </c>
      <c r="AX2" s="34">
        <f>EMM_State_Elec_Map_NEMS_SEDS!AX66/EMM_State_Elec_Map_NEMS_SEDS!$BA66</f>
        <v>0</v>
      </c>
      <c r="AY2" s="34">
        <f>EMM_State_Elec_Map_NEMS_SEDS!AY66/EMM_State_Elec_Map_NEMS_SEDS!$BA66</f>
        <v>0</v>
      </c>
      <c r="AZ2" s="34">
        <f>EMM_State_Elec_Map_NEMS_SEDS!AZ66/EMM_State_Elec_Map_NEMS_SEDS!$BA66</f>
        <v>0</v>
      </c>
    </row>
    <row r="3" ht="15.75" customHeight="1">
      <c r="A3" s="34">
        <v>2.0</v>
      </c>
      <c r="B3" s="34">
        <f>EMM_State_Elec_Map_NEMS_SEDS!B67/EMM_State_Elec_Map_NEMS_SEDS!$BA67</f>
        <v>0</v>
      </c>
      <c r="C3" s="34">
        <f>EMM_State_Elec_Map_NEMS_SEDS!C67/EMM_State_Elec_Map_NEMS_SEDS!$BA67</f>
        <v>0</v>
      </c>
      <c r="D3" s="34">
        <f>EMM_State_Elec_Map_NEMS_SEDS!D67/EMM_State_Elec_Map_NEMS_SEDS!$BA67</f>
        <v>0</v>
      </c>
      <c r="E3" s="34">
        <f>EMM_State_Elec_Map_NEMS_SEDS!E67/EMM_State_Elec_Map_NEMS_SEDS!$BA67</f>
        <v>0</v>
      </c>
      <c r="F3" s="34">
        <f>EMM_State_Elec_Map_NEMS_SEDS!F67/EMM_State_Elec_Map_NEMS_SEDS!$BA67</f>
        <v>0</v>
      </c>
      <c r="G3" s="34">
        <f>EMM_State_Elec_Map_NEMS_SEDS!G67/EMM_State_Elec_Map_NEMS_SEDS!$BA67</f>
        <v>0</v>
      </c>
      <c r="H3" s="34">
        <f>EMM_State_Elec_Map_NEMS_SEDS!H67/EMM_State_Elec_Map_NEMS_SEDS!$BA67</f>
        <v>0</v>
      </c>
      <c r="I3" s="34">
        <f>EMM_State_Elec_Map_NEMS_SEDS!I67/EMM_State_Elec_Map_NEMS_SEDS!$BA67</f>
        <v>0</v>
      </c>
      <c r="J3" s="34">
        <f>EMM_State_Elec_Map_NEMS_SEDS!J67/EMM_State_Elec_Map_NEMS_SEDS!$BA67</f>
        <v>0</v>
      </c>
      <c r="K3" s="34">
        <f>EMM_State_Elec_Map_NEMS_SEDS!K67/EMM_State_Elec_Map_NEMS_SEDS!$BA67</f>
        <v>0</v>
      </c>
      <c r="L3" s="34">
        <f>EMM_State_Elec_Map_NEMS_SEDS!L67/EMM_State_Elec_Map_NEMS_SEDS!$BA67</f>
        <v>0</v>
      </c>
      <c r="M3" s="34">
        <f>EMM_State_Elec_Map_NEMS_SEDS!M67/EMM_State_Elec_Map_NEMS_SEDS!$BA67</f>
        <v>0</v>
      </c>
      <c r="N3" s="34">
        <f>EMM_State_Elec_Map_NEMS_SEDS!N67/EMM_State_Elec_Map_NEMS_SEDS!$BA67</f>
        <v>0</v>
      </c>
      <c r="O3" s="34">
        <f>EMM_State_Elec_Map_NEMS_SEDS!O67/EMM_State_Elec_Map_NEMS_SEDS!$BA67</f>
        <v>0</v>
      </c>
      <c r="P3" s="34">
        <f>EMM_State_Elec_Map_NEMS_SEDS!P67/EMM_State_Elec_Map_NEMS_SEDS!$BA67</f>
        <v>0</v>
      </c>
      <c r="Q3" s="34">
        <f>EMM_State_Elec_Map_NEMS_SEDS!Q67/EMM_State_Elec_Map_NEMS_SEDS!$BA67</f>
        <v>0</v>
      </c>
      <c r="R3" s="34">
        <f>EMM_State_Elec_Map_NEMS_SEDS!R67/EMM_State_Elec_Map_NEMS_SEDS!$BA67</f>
        <v>0</v>
      </c>
      <c r="S3" s="34">
        <f>EMM_State_Elec_Map_NEMS_SEDS!S67/EMM_State_Elec_Map_NEMS_SEDS!$BA67</f>
        <v>0</v>
      </c>
      <c r="T3" s="34">
        <f>EMM_State_Elec_Map_NEMS_SEDS!T67/EMM_State_Elec_Map_NEMS_SEDS!$BA67</f>
        <v>0</v>
      </c>
      <c r="U3" s="34">
        <f>EMM_State_Elec_Map_NEMS_SEDS!U67/EMM_State_Elec_Map_NEMS_SEDS!$BA67</f>
        <v>0</v>
      </c>
      <c r="V3" s="34">
        <f>EMM_State_Elec_Map_NEMS_SEDS!V67/EMM_State_Elec_Map_NEMS_SEDS!$BA67</f>
        <v>0</v>
      </c>
      <c r="W3" s="34">
        <f>EMM_State_Elec_Map_NEMS_SEDS!W67/EMM_State_Elec_Map_NEMS_SEDS!$BA67</f>
        <v>0</v>
      </c>
      <c r="X3" s="34">
        <f>EMM_State_Elec_Map_NEMS_SEDS!X67/EMM_State_Elec_Map_NEMS_SEDS!$BA67</f>
        <v>0</v>
      </c>
      <c r="Y3" s="34">
        <f>EMM_State_Elec_Map_NEMS_SEDS!Y67/EMM_State_Elec_Map_NEMS_SEDS!$BA67</f>
        <v>0</v>
      </c>
      <c r="Z3" s="34">
        <f>EMM_State_Elec_Map_NEMS_SEDS!Z67/EMM_State_Elec_Map_NEMS_SEDS!$BA67</f>
        <v>0</v>
      </c>
      <c r="AA3" s="34">
        <f>EMM_State_Elec_Map_NEMS_SEDS!AA67/EMM_State_Elec_Map_NEMS_SEDS!$BA67</f>
        <v>0</v>
      </c>
      <c r="AB3" s="34">
        <f>EMM_State_Elec_Map_NEMS_SEDS!AB67/EMM_State_Elec_Map_NEMS_SEDS!$BA67</f>
        <v>0</v>
      </c>
      <c r="AC3" s="34">
        <f>EMM_State_Elec_Map_NEMS_SEDS!AC67/EMM_State_Elec_Map_NEMS_SEDS!$BA67</f>
        <v>0</v>
      </c>
      <c r="AD3" s="34">
        <f>EMM_State_Elec_Map_NEMS_SEDS!AD67/EMM_State_Elec_Map_NEMS_SEDS!$BA67</f>
        <v>0</v>
      </c>
      <c r="AE3" s="34">
        <f>EMM_State_Elec_Map_NEMS_SEDS!AE67/EMM_State_Elec_Map_NEMS_SEDS!$BA67</f>
        <v>0</v>
      </c>
      <c r="AF3" s="34">
        <f>EMM_State_Elec_Map_NEMS_SEDS!AF67/EMM_State_Elec_Map_NEMS_SEDS!$BA67</f>
        <v>0.2241203986</v>
      </c>
      <c r="AG3" s="34">
        <f>EMM_State_Elec_Map_NEMS_SEDS!AG67/EMM_State_Elec_Map_NEMS_SEDS!$BA67</f>
        <v>0</v>
      </c>
      <c r="AH3" s="34">
        <f>EMM_State_Elec_Map_NEMS_SEDS!AH67/EMM_State_Elec_Map_NEMS_SEDS!$BA67</f>
        <v>0.3766524303</v>
      </c>
      <c r="AI3" s="34">
        <f>EMM_State_Elec_Map_NEMS_SEDS!AI67/EMM_State_Elec_Map_NEMS_SEDS!$BA67</f>
        <v>0</v>
      </c>
      <c r="AJ3" s="34">
        <f>EMM_State_Elec_Map_NEMS_SEDS!AJ67/EMM_State_Elec_Map_NEMS_SEDS!$BA67</f>
        <v>0</v>
      </c>
      <c r="AK3" s="34">
        <f>EMM_State_Elec_Map_NEMS_SEDS!AK67/EMM_State_Elec_Map_NEMS_SEDS!$BA67</f>
        <v>0</v>
      </c>
      <c r="AL3" s="34">
        <f>EMM_State_Elec_Map_NEMS_SEDS!AL67/EMM_State_Elec_Map_NEMS_SEDS!$BA67</f>
        <v>0</v>
      </c>
      <c r="AM3" s="34">
        <f>EMM_State_Elec_Map_NEMS_SEDS!AM67/EMM_State_Elec_Map_NEMS_SEDS!$BA67</f>
        <v>0</v>
      </c>
      <c r="AN3" s="34">
        <f>EMM_State_Elec_Map_NEMS_SEDS!AN67/EMM_State_Elec_Map_NEMS_SEDS!$BA67</f>
        <v>0.399227171</v>
      </c>
      <c r="AO3" s="34">
        <f>EMM_State_Elec_Map_NEMS_SEDS!AO67/EMM_State_Elec_Map_NEMS_SEDS!$BA67</f>
        <v>0</v>
      </c>
      <c r="AP3" s="34">
        <f>EMM_State_Elec_Map_NEMS_SEDS!AP67/EMM_State_Elec_Map_NEMS_SEDS!$BA67</f>
        <v>0</v>
      </c>
      <c r="AQ3" s="34">
        <f>EMM_State_Elec_Map_NEMS_SEDS!AQ67/EMM_State_Elec_Map_NEMS_SEDS!$BA67</f>
        <v>0</v>
      </c>
      <c r="AR3" s="34">
        <f>EMM_State_Elec_Map_NEMS_SEDS!AR67/EMM_State_Elec_Map_NEMS_SEDS!$BA67</f>
        <v>0</v>
      </c>
      <c r="AS3" s="34">
        <f>EMM_State_Elec_Map_NEMS_SEDS!AS67/EMM_State_Elec_Map_NEMS_SEDS!$BA67</f>
        <v>0</v>
      </c>
      <c r="AT3" s="34">
        <f>EMM_State_Elec_Map_NEMS_SEDS!AT67/EMM_State_Elec_Map_NEMS_SEDS!$BA67</f>
        <v>0</v>
      </c>
      <c r="AU3" s="34">
        <f>EMM_State_Elec_Map_NEMS_SEDS!AU67/EMM_State_Elec_Map_NEMS_SEDS!$BA67</f>
        <v>0</v>
      </c>
      <c r="AV3" s="34">
        <f>EMM_State_Elec_Map_NEMS_SEDS!AV67/EMM_State_Elec_Map_NEMS_SEDS!$BA67</f>
        <v>0</v>
      </c>
      <c r="AW3" s="34">
        <f>EMM_State_Elec_Map_NEMS_SEDS!AW67/EMM_State_Elec_Map_NEMS_SEDS!$BA67</f>
        <v>0</v>
      </c>
      <c r="AX3" s="34">
        <f>EMM_State_Elec_Map_NEMS_SEDS!AX67/EMM_State_Elec_Map_NEMS_SEDS!$BA67</f>
        <v>0</v>
      </c>
      <c r="AY3" s="34">
        <f>EMM_State_Elec_Map_NEMS_SEDS!AY67/EMM_State_Elec_Map_NEMS_SEDS!$BA67</f>
        <v>0</v>
      </c>
      <c r="AZ3" s="34">
        <f>EMM_State_Elec_Map_NEMS_SEDS!AZ67/EMM_State_Elec_Map_NEMS_SEDS!$BA67</f>
        <v>0</v>
      </c>
    </row>
    <row r="4" ht="15.75" customHeight="1">
      <c r="A4" s="34">
        <v>3.0</v>
      </c>
      <c r="B4" s="34">
        <f>EMM_State_Elec_Map_NEMS_SEDS!B68/EMM_State_Elec_Map_NEMS_SEDS!$BA68</f>
        <v>0</v>
      </c>
      <c r="C4" s="34">
        <f>EMM_State_Elec_Map_NEMS_SEDS!C68/EMM_State_Elec_Map_NEMS_SEDS!$BA68</f>
        <v>0</v>
      </c>
      <c r="D4" s="34">
        <f>EMM_State_Elec_Map_NEMS_SEDS!D68/EMM_State_Elec_Map_NEMS_SEDS!$BA68</f>
        <v>0</v>
      </c>
      <c r="E4" s="34">
        <f>EMM_State_Elec_Map_NEMS_SEDS!E68/EMM_State_Elec_Map_NEMS_SEDS!$BA68</f>
        <v>0</v>
      </c>
      <c r="F4" s="34">
        <f>EMM_State_Elec_Map_NEMS_SEDS!F68/EMM_State_Elec_Map_NEMS_SEDS!$BA68</f>
        <v>0</v>
      </c>
      <c r="G4" s="34">
        <f>EMM_State_Elec_Map_NEMS_SEDS!G68/EMM_State_Elec_Map_NEMS_SEDS!$BA68</f>
        <v>0</v>
      </c>
      <c r="H4" s="34">
        <f>EMM_State_Elec_Map_NEMS_SEDS!H68/EMM_State_Elec_Map_NEMS_SEDS!$BA68</f>
        <v>0</v>
      </c>
      <c r="I4" s="34">
        <f>EMM_State_Elec_Map_NEMS_SEDS!I68/EMM_State_Elec_Map_NEMS_SEDS!$BA68</f>
        <v>0</v>
      </c>
      <c r="J4" s="34">
        <f>EMM_State_Elec_Map_NEMS_SEDS!J68/EMM_State_Elec_Map_NEMS_SEDS!$BA68</f>
        <v>0</v>
      </c>
      <c r="K4" s="34">
        <f>EMM_State_Elec_Map_NEMS_SEDS!K68/EMM_State_Elec_Map_NEMS_SEDS!$BA68</f>
        <v>0</v>
      </c>
      <c r="L4" s="34">
        <f>EMM_State_Elec_Map_NEMS_SEDS!L68/EMM_State_Elec_Map_NEMS_SEDS!$BA68</f>
        <v>0</v>
      </c>
      <c r="M4" s="34">
        <f>EMM_State_Elec_Map_NEMS_SEDS!M68/EMM_State_Elec_Map_NEMS_SEDS!$BA68</f>
        <v>0</v>
      </c>
      <c r="N4" s="34">
        <f>EMM_State_Elec_Map_NEMS_SEDS!N68/EMM_State_Elec_Map_NEMS_SEDS!$BA68</f>
        <v>0</v>
      </c>
      <c r="O4" s="34">
        <f>EMM_State_Elec_Map_NEMS_SEDS!O68/EMM_State_Elec_Map_NEMS_SEDS!$BA68</f>
        <v>0.2427977428</v>
      </c>
      <c r="P4" s="34">
        <f>EMM_State_Elec_Map_NEMS_SEDS!P68/EMM_State_Elec_Map_NEMS_SEDS!$BA68</f>
        <v>0.1789426789</v>
      </c>
      <c r="Q4" s="34">
        <f>EMM_State_Elec_Map_NEMS_SEDS!Q68/EMM_State_Elec_Map_NEMS_SEDS!$BA68</f>
        <v>0</v>
      </c>
      <c r="R4" s="34">
        <f>EMM_State_Elec_Map_NEMS_SEDS!R68/EMM_State_Elec_Map_NEMS_SEDS!$BA68</f>
        <v>0</v>
      </c>
      <c r="S4" s="34">
        <f>EMM_State_Elec_Map_NEMS_SEDS!S68/EMM_State_Elec_Map_NEMS_SEDS!$BA68</f>
        <v>0</v>
      </c>
      <c r="T4" s="34">
        <f>EMM_State_Elec_Map_NEMS_SEDS!T68/EMM_State_Elec_Map_NEMS_SEDS!$BA68</f>
        <v>0</v>
      </c>
      <c r="U4" s="34">
        <f>EMM_State_Elec_Map_NEMS_SEDS!U68/EMM_State_Elec_Map_NEMS_SEDS!$BA68</f>
        <v>0</v>
      </c>
      <c r="V4" s="34">
        <f>EMM_State_Elec_Map_NEMS_SEDS!V68/EMM_State_Elec_Map_NEMS_SEDS!$BA68</f>
        <v>0</v>
      </c>
      <c r="W4" s="34">
        <f>EMM_State_Elec_Map_NEMS_SEDS!W68/EMM_State_Elec_Map_NEMS_SEDS!$BA68</f>
        <v>0</v>
      </c>
      <c r="X4" s="34">
        <f>EMM_State_Elec_Map_NEMS_SEDS!X68/EMM_State_Elec_Map_NEMS_SEDS!$BA68</f>
        <v>0.1853281853</v>
      </c>
      <c r="Y4" s="34">
        <f>EMM_State_Elec_Map_NEMS_SEDS!Y68/EMM_State_Elec_Map_NEMS_SEDS!$BA68</f>
        <v>0</v>
      </c>
      <c r="Z4" s="34">
        <f>EMM_State_Elec_Map_NEMS_SEDS!Z68/EMM_State_Elec_Map_NEMS_SEDS!$BA68</f>
        <v>0</v>
      </c>
      <c r="AA4" s="34">
        <f>EMM_State_Elec_Map_NEMS_SEDS!AA68/EMM_State_Elec_Map_NEMS_SEDS!$BA68</f>
        <v>0</v>
      </c>
      <c r="AB4" s="34">
        <f>EMM_State_Elec_Map_NEMS_SEDS!AB68/EMM_State_Elec_Map_NEMS_SEDS!$BA68</f>
        <v>0</v>
      </c>
      <c r="AC4" s="34">
        <f>EMM_State_Elec_Map_NEMS_SEDS!AC68/EMM_State_Elec_Map_NEMS_SEDS!$BA68</f>
        <v>0</v>
      </c>
      <c r="AD4" s="34">
        <f>EMM_State_Elec_Map_NEMS_SEDS!AD68/EMM_State_Elec_Map_NEMS_SEDS!$BA68</f>
        <v>0</v>
      </c>
      <c r="AE4" s="34">
        <f>EMM_State_Elec_Map_NEMS_SEDS!AE68/EMM_State_Elec_Map_NEMS_SEDS!$BA68</f>
        <v>0</v>
      </c>
      <c r="AF4" s="34">
        <f>EMM_State_Elec_Map_NEMS_SEDS!AF68/EMM_State_Elec_Map_NEMS_SEDS!$BA68</f>
        <v>0</v>
      </c>
      <c r="AG4" s="34">
        <f>EMM_State_Elec_Map_NEMS_SEDS!AG68/EMM_State_Elec_Map_NEMS_SEDS!$BA68</f>
        <v>0</v>
      </c>
      <c r="AH4" s="34">
        <f>EMM_State_Elec_Map_NEMS_SEDS!AH68/EMM_State_Elec_Map_NEMS_SEDS!$BA68</f>
        <v>0</v>
      </c>
      <c r="AI4" s="34">
        <f>EMM_State_Elec_Map_NEMS_SEDS!AI68/EMM_State_Elec_Map_NEMS_SEDS!$BA68</f>
        <v>0</v>
      </c>
      <c r="AJ4" s="34">
        <f>EMM_State_Elec_Map_NEMS_SEDS!AJ68/EMM_State_Elec_Map_NEMS_SEDS!$BA68</f>
        <v>0</v>
      </c>
      <c r="AK4" s="34">
        <f>EMM_State_Elec_Map_NEMS_SEDS!AK68/EMM_State_Elec_Map_NEMS_SEDS!$BA68</f>
        <v>0.2751707752</v>
      </c>
      <c r="AL4" s="34">
        <f>EMM_State_Elec_Map_NEMS_SEDS!AL68/EMM_State_Elec_Map_NEMS_SEDS!$BA68</f>
        <v>0</v>
      </c>
      <c r="AM4" s="34">
        <f>EMM_State_Elec_Map_NEMS_SEDS!AM68/EMM_State_Elec_Map_NEMS_SEDS!$BA68</f>
        <v>0</v>
      </c>
      <c r="AN4" s="34">
        <f>EMM_State_Elec_Map_NEMS_SEDS!AN68/EMM_State_Elec_Map_NEMS_SEDS!$BA68</f>
        <v>0</v>
      </c>
      <c r="AO4" s="34">
        <f>EMM_State_Elec_Map_NEMS_SEDS!AO68/EMM_State_Elec_Map_NEMS_SEDS!$BA68</f>
        <v>0</v>
      </c>
      <c r="AP4" s="34">
        <f>EMM_State_Elec_Map_NEMS_SEDS!AP68/EMM_State_Elec_Map_NEMS_SEDS!$BA68</f>
        <v>0</v>
      </c>
      <c r="AQ4" s="34">
        <f>EMM_State_Elec_Map_NEMS_SEDS!AQ68/EMM_State_Elec_Map_NEMS_SEDS!$BA68</f>
        <v>0</v>
      </c>
      <c r="AR4" s="34">
        <f>EMM_State_Elec_Map_NEMS_SEDS!AR68/EMM_State_Elec_Map_NEMS_SEDS!$BA68</f>
        <v>0</v>
      </c>
      <c r="AS4" s="34">
        <f>EMM_State_Elec_Map_NEMS_SEDS!AS68/EMM_State_Elec_Map_NEMS_SEDS!$BA68</f>
        <v>0</v>
      </c>
      <c r="AT4" s="34">
        <f>EMM_State_Elec_Map_NEMS_SEDS!AT68/EMM_State_Elec_Map_NEMS_SEDS!$BA68</f>
        <v>0</v>
      </c>
      <c r="AU4" s="34">
        <f>EMM_State_Elec_Map_NEMS_SEDS!AU68/EMM_State_Elec_Map_NEMS_SEDS!$BA68</f>
        <v>0</v>
      </c>
      <c r="AV4" s="34">
        <f>EMM_State_Elec_Map_NEMS_SEDS!AV68/EMM_State_Elec_Map_NEMS_SEDS!$BA68</f>
        <v>0</v>
      </c>
      <c r="AW4" s="34">
        <f>EMM_State_Elec_Map_NEMS_SEDS!AW68/EMM_State_Elec_Map_NEMS_SEDS!$BA68</f>
        <v>0</v>
      </c>
      <c r="AX4" s="34">
        <f>EMM_State_Elec_Map_NEMS_SEDS!AX68/EMM_State_Elec_Map_NEMS_SEDS!$BA68</f>
        <v>0</v>
      </c>
      <c r="AY4" s="34">
        <f>EMM_State_Elec_Map_NEMS_SEDS!AY68/EMM_State_Elec_Map_NEMS_SEDS!$BA68</f>
        <v>0.1177606178</v>
      </c>
      <c r="AZ4" s="34">
        <f>EMM_State_Elec_Map_NEMS_SEDS!AZ68/EMM_State_Elec_Map_NEMS_SEDS!$BA68</f>
        <v>0</v>
      </c>
    </row>
    <row r="5" ht="15.75" customHeight="1">
      <c r="A5" s="34">
        <v>4.0</v>
      </c>
      <c r="B5" s="34">
        <f>EMM_State_Elec_Map_NEMS_SEDS!B69/EMM_State_Elec_Map_NEMS_SEDS!$BA69</f>
        <v>0</v>
      </c>
      <c r="C5" s="34">
        <f>EMM_State_Elec_Map_NEMS_SEDS!C69/EMM_State_Elec_Map_NEMS_SEDS!$BA69</f>
        <v>0</v>
      </c>
      <c r="D5" s="34">
        <f>EMM_State_Elec_Map_NEMS_SEDS!D69/EMM_State_Elec_Map_NEMS_SEDS!$BA69</f>
        <v>0</v>
      </c>
      <c r="E5" s="34">
        <f>EMM_State_Elec_Map_NEMS_SEDS!E69/EMM_State_Elec_Map_NEMS_SEDS!$BA69</f>
        <v>0</v>
      </c>
      <c r="F5" s="34">
        <f>EMM_State_Elec_Map_NEMS_SEDS!F69/EMM_State_Elec_Map_NEMS_SEDS!$BA69</f>
        <v>0</v>
      </c>
      <c r="G5" s="34">
        <f>EMM_State_Elec_Map_NEMS_SEDS!G69/EMM_State_Elec_Map_NEMS_SEDS!$BA69</f>
        <v>0</v>
      </c>
      <c r="H5" s="34">
        <f>EMM_State_Elec_Map_NEMS_SEDS!H69/EMM_State_Elec_Map_NEMS_SEDS!$BA69</f>
        <v>0</v>
      </c>
      <c r="I5" s="34">
        <f>EMM_State_Elec_Map_NEMS_SEDS!I69/EMM_State_Elec_Map_NEMS_SEDS!$BA69</f>
        <v>0</v>
      </c>
      <c r="J5" s="34">
        <f>EMM_State_Elec_Map_NEMS_SEDS!J69/EMM_State_Elec_Map_NEMS_SEDS!$BA69</f>
        <v>0</v>
      </c>
      <c r="K5" s="34">
        <f>EMM_State_Elec_Map_NEMS_SEDS!K69/EMM_State_Elec_Map_NEMS_SEDS!$BA69</f>
        <v>0</v>
      </c>
      <c r="L5" s="34">
        <f>EMM_State_Elec_Map_NEMS_SEDS!L69/EMM_State_Elec_Map_NEMS_SEDS!$BA69</f>
        <v>0</v>
      </c>
      <c r="M5" s="34">
        <f>EMM_State_Elec_Map_NEMS_SEDS!M69/EMM_State_Elec_Map_NEMS_SEDS!$BA69</f>
        <v>0</v>
      </c>
      <c r="N5" s="34">
        <f>EMM_State_Elec_Map_NEMS_SEDS!N69/EMM_State_Elec_Map_NEMS_SEDS!$BA69</f>
        <v>0</v>
      </c>
      <c r="O5" s="34">
        <f>EMM_State_Elec_Map_NEMS_SEDS!O69/EMM_State_Elec_Map_NEMS_SEDS!$BA69</f>
        <v>0</v>
      </c>
      <c r="P5" s="34">
        <f>EMM_State_Elec_Map_NEMS_SEDS!P69/EMM_State_Elec_Map_NEMS_SEDS!$BA69</f>
        <v>0</v>
      </c>
      <c r="Q5" s="34">
        <f>EMM_State_Elec_Map_NEMS_SEDS!Q69/EMM_State_Elec_Map_NEMS_SEDS!$BA69</f>
        <v>0.1359423275</v>
      </c>
      <c r="R5" s="34">
        <f>EMM_State_Elec_Map_NEMS_SEDS!R69/EMM_State_Elec_Map_NEMS_SEDS!$BA69</f>
        <v>0.1282183316</v>
      </c>
      <c r="S5" s="34">
        <f>EMM_State_Elec_Map_NEMS_SEDS!S69/EMM_State_Elec_Map_NEMS_SEDS!$BA69</f>
        <v>0</v>
      </c>
      <c r="T5" s="34">
        <f>EMM_State_Elec_Map_NEMS_SEDS!T69/EMM_State_Elec_Map_NEMS_SEDS!$BA69</f>
        <v>0</v>
      </c>
      <c r="U5" s="34">
        <f>EMM_State_Elec_Map_NEMS_SEDS!U69/EMM_State_Elec_Map_NEMS_SEDS!$BA69</f>
        <v>0</v>
      </c>
      <c r="V5" s="34">
        <f>EMM_State_Elec_Map_NEMS_SEDS!V69/EMM_State_Elec_Map_NEMS_SEDS!$BA69</f>
        <v>0</v>
      </c>
      <c r="W5" s="34">
        <f>EMM_State_Elec_Map_NEMS_SEDS!W69/EMM_State_Elec_Map_NEMS_SEDS!$BA69</f>
        <v>0</v>
      </c>
      <c r="X5" s="34">
        <f>EMM_State_Elec_Map_NEMS_SEDS!X69/EMM_State_Elec_Map_NEMS_SEDS!$BA69</f>
        <v>0</v>
      </c>
      <c r="Y5" s="34">
        <f>EMM_State_Elec_Map_NEMS_SEDS!Y69/EMM_State_Elec_Map_NEMS_SEDS!$BA69</f>
        <v>0.2103501545</v>
      </c>
      <c r="Z5" s="34">
        <f>EMM_State_Elec_Map_NEMS_SEDS!Z69/EMM_State_Elec_Map_NEMS_SEDS!$BA69</f>
        <v>0</v>
      </c>
      <c r="AA5" s="34">
        <f>EMM_State_Elec_Map_NEMS_SEDS!AA69/EMM_State_Elec_Map_NEMS_SEDS!$BA69</f>
        <v>0.3313594233</v>
      </c>
      <c r="AB5" s="34">
        <f>EMM_State_Elec_Map_NEMS_SEDS!AB69/EMM_State_Elec_Map_NEMS_SEDS!$BA69</f>
        <v>0</v>
      </c>
      <c r="AC5" s="34">
        <f>EMM_State_Elec_Map_NEMS_SEDS!AC69/EMM_State_Elec_Map_NEMS_SEDS!$BA69</f>
        <v>0.09809474768</v>
      </c>
      <c r="AD5" s="34">
        <f>EMM_State_Elec_Map_NEMS_SEDS!AD69/EMM_State_Elec_Map_NEMS_SEDS!$BA69</f>
        <v>0</v>
      </c>
      <c r="AE5" s="34">
        <f>EMM_State_Elec_Map_NEMS_SEDS!AE69/EMM_State_Elec_Map_NEMS_SEDS!$BA69</f>
        <v>0</v>
      </c>
      <c r="AF5" s="34">
        <f>EMM_State_Elec_Map_NEMS_SEDS!AF69/EMM_State_Elec_Map_NEMS_SEDS!$BA69</f>
        <v>0</v>
      </c>
      <c r="AG5" s="34">
        <f>EMM_State_Elec_Map_NEMS_SEDS!AG69/EMM_State_Elec_Map_NEMS_SEDS!$BA69</f>
        <v>0</v>
      </c>
      <c r="AH5" s="34">
        <f>EMM_State_Elec_Map_NEMS_SEDS!AH69/EMM_State_Elec_Map_NEMS_SEDS!$BA69</f>
        <v>0</v>
      </c>
      <c r="AI5" s="34">
        <f>EMM_State_Elec_Map_NEMS_SEDS!AI69/EMM_State_Elec_Map_NEMS_SEDS!$BA69</f>
        <v>0</v>
      </c>
      <c r="AJ5" s="34">
        <f>EMM_State_Elec_Map_NEMS_SEDS!AJ69/EMM_State_Elec_Map_NEMS_SEDS!$BA69</f>
        <v>0.04763130793</v>
      </c>
      <c r="AK5" s="34">
        <f>EMM_State_Elec_Map_NEMS_SEDS!AK69/EMM_State_Elec_Map_NEMS_SEDS!$BA69</f>
        <v>0</v>
      </c>
      <c r="AL5" s="34">
        <f>EMM_State_Elec_Map_NEMS_SEDS!AL69/EMM_State_Elec_Map_NEMS_SEDS!$BA69</f>
        <v>0</v>
      </c>
      <c r="AM5" s="34">
        <f>EMM_State_Elec_Map_NEMS_SEDS!AM69/EMM_State_Elec_Map_NEMS_SEDS!$BA69</f>
        <v>0</v>
      </c>
      <c r="AN5" s="34">
        <f>EMM_State_Elec_Map_NEMS_SEDS!AN69/EMM_State_Elec_Map_NEMS_SEDS!$BA69</f>
        <v>0</v>
      </c>
      <c r="AO5" s="34">
        <f>EMM_State_Elec_Map_NEMS_SEDS!AO69/EMM_State_Elec_Map_NEMS_SEDS!$BA69</f>
        <v>0</v>
      </c>
      <c r="AP5" s="34">
        <f>EMM_State_Elec_Map_NEMS_SEDS!AP69/EMM_State_Elec_Map_NEMS_SEDS!$BA69</f>
        <v>0</v>
      </c>
      <c r="AQ5" s="34">
        <f>EMM_State_Elec_Map_NEMS_SEDS!AQ69/EMM_State_Elec_Map_NEMS_SEDS!$BA69</f>
        <v>0.04840370752</v>
      </c>
      <c r="AR5" s="34">
        <f>EMM_State_Elec_Map_NEMS_SEDS!AR69/EMM_State_Elec_Map_NEMS_SEDS!$BA69</f>
        <v>0</v>
      </c>
      <c r="AS5" s="34">
        <f>EMM_State_Elec_Map_NEMS_SEDS!AS69/EMM_State_Elec_Map_NEMS_SEDS!$BA69</f>
        <v>0</v>
      </c>
      <c r="AT5" s="34">
        <f>EMM_State_Elec_Map_NEMS_SEDS!AT69/EMM_State_Elec_Map_NEMS_SEDS!$BA69</f>
        <v>0</v>
      </c>
      <c r="AU5" s="34">
        <f>EMM_State_Elec_Map_NEMS_SEDS!AU69/EMM_State_Elec_Map_NEMS_SEDS!$BA69</f>
        <v>0</v>
      </c>
      <c r="AV5" s="34">
        <f>EMM_State_Elec_Map_NEMS_SEDS!AV69/EMM_State_Elec_Map_NEMS_SEDS!$BA69</f>
        <v>0</v>
      </c>
      <c r="AW5" s="34">
        <f>EMM_State_Elec_Map_NEMS_SEDS!AW69/EMM_State_Elec_Map_NEMS_SEDS!$BA69</f>
        <v>0</v>
      </c>
      <c r="AX5" s="34">
        <f>EMM_State_Elec_Map_NEMS_SEDS!AX69/EMM_State_Elec_Map_NEMS_SEDS!$BA69</f>
        <v>0</v>
      </c>
      <c r="AY5" s="34">
        <f>EMM_State_Elec_Map_NEMS_SEDS!AY69/EMM_State_Elec_Map_NEMS_SEDS!$BA69</f>
        <v>0</v>
      </c>
      <c r="AZ5" s="34">
        <f>EMM_State_Elec_Map_NEMS_SEDS!AZ69/EMM_State_Elec_Map_NEMS_SEDS!$BA69</f>
        <v>0</v>
      </c>
    </row>
    <row r="6" ht="15.75" customHeight="1">
      <c r="A6" s="34">
        <v>5.0</v>
      </c>
      <c r="B6" s="34">
        <f>EMM_State_Elec_Map_NEMS_SEDS!B70/EMM_State_Elec_Map_NEMS_SEDS!$BA70</f>
        <v>0</v>
      </c>
      <c r="C6" s="34">
        <f>EMM_State_Elec_Map_NEMS_SEDS!C70/EMM_State_Elec_Map_NEMS_SEDS!$BA70</f>
        <v>0</v>
      </c>
      <c r="D6" s="34">
        <f>EMM_State_Elec_Map_NEMS_SEDS!D70/EMM_State_Elec_Map_NEMS_SEDS!$BA70</f>
        <v>0</v>
      </c>
      <c r="E6" s="34">
        <f>EMM_State_Elec_Map_NEMS_SEDS!E70/EMM_State_Elec_Map_NEMS_SEDS!$BA70</f>
        <v>0</v>
      </c>
      <c r="F6" s="34">
        <f>EMM_State_Elec_Map_NEMS_SEDS!F70/EMM_State_Elec_Map_NEMS_SEDS!$BA70</f>
        <v>0</v>
      </c>
      <c r="G6" s="34">
        <f>EMM_State_Elec_Map_NEMS_SEDS!G70/EMM_State_Elec_Map_NEMS_SEDS!$BA70</f>
        <v>0</v>
      </c>
      <c r="H6" s="34">
        <f>EMM_State_Elec_Map_NEMS_SEDS!H70/EMM_State_Elec_Map_NEMS_SEDS!$BA70</f>
        <v>0</v>
      </c>
      <c r="I6" s="34">
        <f>EMM_State_Elec_Map_NEMS_SEDS!I70/EMM_State_Elec_Map_NEMS_SEDS!$BA70</f>
        <v>0.01361739512</v>
      </c>
      <c r="J6" s="34">
        <f>EMM_State_Elec_Map_NEMS_SEDS!J70/EMM_State_Elec_Map_NEMS_SEDS!$BA70</f>
        <v>0.006589062157</v>
      </c>
      <c r="K6" s="34">
        <f>EMM_State_Elec_Map_NEMS_SEDS!K70/EMM_State_Elec_Map_NEMS_SEDS!$BA70</f>
        <v>0.3669375503</v>
      </c>
      <c r="L6" s="34">
        <f>EMM_State_Elec_Map_NEMS_SEDS!L70/EMM_State_Elec_Map_NEMS_SEDS!$BA70</f>
        <v>0.1534519365</v>
      </c>
      <c r="M6" s="34">
        <f>EMM_State_Elec_Map_NEMS_SEDS!M70/EMM_State_Elec_Map_NEMS_SEDS!$BA70</f>
        <v>0</v>
      </c>
      <c r="N6" s="34">
        <f>EMM_State_Elec_Map_NEMS_SEDS!N70/EMM_State_Elec_Map_NEMS_SEDS!$BA70</f>
        <v>0</v>
      </c>
      <c r="O6" s="34">
        <f>EMM_State_Elec_Map_NEMS_SEDS!O70/EMM_State_Elec_Map_NEMS_SEDS!$BA70</f>
        <v>0</v>
      </c>
      <c r="P6" s="34">
        <f>EMM_State_Elec_Map_NEMS_SEDS!P70/EMM_State_Elec_Map_NEMS_SEDS!$BA70</f>
        <v>0</v>
      </c>
      <c r="Q6" s="34">
        <f>EMM_State_Elec_Map_NEMS_SEDS!Q70/EMM_State_Elec_Map_NEMS_SEDS!$BA70</f>
        <v>0</v>
      </c>
      <c r="R6" s="34">
        <f>EMM_State_Elec_Map_NEMS_SEDS!R70/EMM_State_Elec_Map_NEMS_SEDS!$BA70</f>
        <v>0</v>
      </c>
      <c r="S6" s="34">
        <f>EMM_State_Elec_Map_NEMS_SEDS!S70/EMM_State_Elec_Map_NEMS_SEDS!$BA70</f>
        <v>0</v>
      </c>
      <c r="T6" s="34">
        <f>EMM_State_Elec_Map_NEMS_SEDS!T70/EMM_State_Elec_Map_NEMS_SEDS!$BA70</f>
        <v>0</v>
      </c>
      <c r="U6" s="34">
        <f>EMM_State_Elec_Map_NEMS_SEDS!U70/EMM_State_Elec_Map_NEMS_SEDS!$BA70</f>
        <v>0</v>
      </c>
      <c r="V6" s="34">
        <f>EMM_State_Elec_Map_NEMS_SEDS!V70/EMM_State_Elec_Map_NEMS_SEDS!$BA70</f>
        <v>0.07299216634</v>
      </c>
      <c r="W6" s="34">
        <f>EMM_State_Elec_Map_NEMS_SEDS!W70/EMM_State_Elec_Map_NEMS_SEDS!$BA70</f>
        <v>0</v>
      </c>
      <c r="X6" s="34">
        <f>EMM_State_Elec_Map_NEMS_SEDS!X70/EMM_State_Elec_Map_NEMS_SEDS!$BA70</f>
        <v>0</v>
      </c>
      <c r="Y6" s="34">
        <f>EMM_State_Elec_Map_NEMS_SEDS!Y70/EMM_State_Elec_Map_NEMS_SEDS!$BA70</f>
        <v>0</v>
      </c>
      <c r="Z6" s="34">
        <f>EMM_State_Elec_Map_NEMS_SEDS!Z70/EMM_State_Elec_Map_NEMS_SEDS!$BA70</f>
        <v>0</v>
      </c>
      <c r="AA6" s="34">
        <f>EMM_State_Elec_Map_NEMS_SEDS!AA70/EMM_State_Elec_Map_NEMS_SEDS!$BA70</f>
        <v>0</v>
      </c>
      <c r="AB6" s="34">
        <f>EMM_State_Elec_Map_NEMS_SEDS!AB70/EMM_State_Elec_Map_NEMS_SEDS!$BA70</f>
        <v>0</v>
      </c>
      <c r="AC6" s="34">
        <f>EMM_State_Elec_Map_NEMS_SEDS!AC70/EMM_State_Elec_Map_NEMS_SEDS!$BA70</f>
        <v>0</v>
      </c>
      <c r="AD6" s="34">
        <f>EMM_State_Elec_Map_NEMS_SEDS!AD70/EMM_State_Elec_Map_NEMS_SEDS!$BA70</f>
        <v>0</v>
      </c>
      <c r="AE6" s="34">
        <f>EMM_State_Elec_Map_NEMS_SEDS!AE70/EMM_State_Elec_Map_NEMS_SEDS!$BA70</f>
        <v>0</v>
      </c>
      <c r="AF6" s="34">
        <f>EMM_State_Elec_Map_NEMS_SEDS!AF70/EMM_State_Elec_Map_NEMS_SEDS!$BA70</f>
        <v>0</v>
      </c>
      <c r="AG6" s="34">
        <f>EMM_State_Elec_Map_NEMS_SEDS!AG70/EMM_State_Elec_Map_NEMS_SEDS!$BA70</f>
        <v>0</v>
      </c>
      <c r="AH6" s="34">
        <f>EMM_State_Elec_Map_NEMS_SEDS!AH70/EMM_State_Elec_Map_NEMS_SEDS!$BA70</f>
        <v>0</v>
      </c>
      <c r="AI6" s="34">
        <f>EMM_State_Elec_Map_NEMS_SEDS!AI70/EMM_State_Elec_Map_NEMS_SEDS!$BA70</f>
        <v>0.1579910682</v>
      </c>
      <c r="AJ6" s="34">
        <f>EMM_State_Elec_Map_NEMS_SEDS!AJ70/EMM_State_Elec_Map_NEMS_SEDS!$BA70</f>
        <v>0</v>
      </c>
      <c r="AK6" s="34">
        <f>EMM_State_Elec_Map_NEMS_SEDS!AK70/EMM_State_Elec_Map_NEMS_SEDS!$BA70</f>
        <v>0</v>
      </c>
      <c r="AL6" s="34">
        <f>EMM_State_Elec_Map_NEMS_SEDS!AL70/EMM_State_Elec_Map_NEMS_SEDS!$BA70</f>
        <v>0</v>
      </c>
      <c r="AM6" s="34">
        <f>EMM_State_Elec_Map_NEMS_SEDS!AM70/EMM_State_Elec_Map_NEMS_SEDS!$BA70</f>
        <v>0</v>
      </c>
      <c r="AN6" s="34">
        <f>EMM_State_Elec_Map_NEMS_SEDS!AN70/EMM_State_Elec_Map_NEMS_SEDS!$BA70</f>
        <v>0</v>
      </c>
      <c r="AO6" s="34">
        <f>EMM_State_Elec_Map_NEMS_SEDS!AO70/EMM_State_Elec_Map_NEMS_SEDS!$BA70</f>
        <v>0</v>
      </c>
      <c r="AP6" s="34">
        <f>EMM_State_Elec_Map_NEMS_SEDS!AP70/EMM_State_Elec_Map_NEMS_SEDS!$BA70</f>
        <v>0.08207042975</v>
      </c>
      <c r="AQ6" s="34">
        <f>EMM_State_Elec_Map_NEMS_SEDS!AQ70/EMM_State_Elec_Map_NEMS_SEDS!$BA70</f>
        <v>0</v>
      </c>
      <c r="AR6" s="34">
        <f>EMM_State_Elec_Map_NEMS_SEDS!AR70/EMM_State_Elec_Map_NEMS_SEDS!$BA70</f>
        <v>0</v>
      </c>
      <c r="AS6" s="34">
        <f>EMM_State_Elec_Map_NEMS_SEDS!AS70/EMM_State_Elec_Map_NEMS_SEDS!$BA70</f>
        <v>0</v>
      </c>
      <c r="AT6" s="34">
        <f>EMM_State_Elec_Map_NEMS_SEDS!AT70/EMM_State_Elec_Map_NEMS_SEDS!$BA70</f>
        <v>0</v>
      </c>
      <c r="AU6" s="34">
        <f>EMM_State_Elec_Map_NEMS_SEDS!AU70/EMM_State_Elec_Map_NEMS_SEDS!$BA70</f>
        <v>0</v>
      </c>
      <c r="AV6" s="34">
        <f>EMM_State_Elec_Map_NEMS_SEDS!AV70/EMM_State_Elec_Map_NEMS_SEDS!$BA70</f>
        <v>0.1184566952</v>
      </c>
      <c r="AW6" s="34">
        <f>EMM_State_Elec_Map_NEMS_SEDS!AW70/EMM_State_Elec_Map_NEMS_SEDS!$BA70</f>
        <v>0</v>
      </c>
      <c r="AX6" s="34">
        <f>EMM_State_Elec_Map_NEMS_SEDS!AX70/EMM_State_Elec_Map_NEMS_SEDS!$BA70</f>
        <v>0.02789369646</v>
      </c>
      <c r="AY6" s="34">
        <f>EMM_State_Elec_Map_NEMS_SEDS!AY70/EMM_State_Elec_Map_NEMS_SEDS!$BA70</f>
        <v>0</v>
      </c>
      <c r="AZ6" s="34">
        <f>EMM_State_Elec_Map_NEMS_SEDS!AZ70/EMM_State_Elec_Map_NEMS_SEDS!$BA70</f>
        <v>0</v>
      </c>
    </row>
    <row r="7" ht="15.75" customHeight="1">
      <c r="A7" s="34">
        <v>6.0</v>
      </c>
      <c r="B7" s="34">
        <f>EMM_State_Elec_Map_NEMS_SEDS!B71/EMM_State_Elec_Map_NEMS_SEDS!$BA71</f>
        <v>0.2677296525</v>
      </c>
      <c r="C7" s="34">
        <f>EMM_State_Elec_Map_NEMS_SEDS!C71/EMM_State_Elec_Map_NEMS_SEDS!$BA71</f>
        <v>0</v>
      </c>
      <c r="D7" s="34">
        <f>EMM_State_Elec_Map_NEMS_SEDS!D71/EMM_State_Elec_Map_NEMS_SEDS!$BA71</f>
        <v>0</v>
      </c>
      <c r="E7" s="34">
        <f>EMM_State_Elec_Map_NEMS_SEDS!E71/EMM_State_Elec_Map_NEMS_SEDS!$BA71</f>
        <v>0</v>
      </c>
      <c r="F7" s="34">
        <f>EMM_State_Elec_Map_NEMS_SEDS!F71/EMM_State_Elec_Map_NEMS_SEDS!$BA71</f>
        <v>0</v>
      </c>
      <c r="G7" s="34">
        <f>EMM_State_Elec_Map_NEMS_SEDS!G71/EMM_State_Elec_Map_NEMS_SEDS!$BA71</f>
        <v>0</v>
      </c>
      <c r="H7" s="34">
        <f>EMM_State_Elec_Map_NEMS_SEDS!H71/EMM_State_Elec_Map_NEMS_SEDS!$BA71</f>
        <v>0</v>
      </c>
      <c r="I7" s="34">
        <f>EMM_State_Elec_Map_NEMS_SEDS!I71/EMM_State_Elec_Map_NEMS_SEDS!$BA71</f>
        <v>0</v>
      </c>
      <c r="J7" s="34">
        <f>EMM_State_Elec_Map_NEMS_SEDS!J71/EMM_State_Elec_Map_NEMS_SEDS!$BA71</f>
        <v>0</v>
      </c>
      <c r="K7" s="34">
        <f>EMM_State_Elec_Map_NEMS_SEDS!K71/EMM_State_Elec_Map_NEMS_SEDS!$BA71</f>
        <v>0</v>
      </c>
      <c r="L7" s="34">
        <f>EMM_State_Elec_Map_NEMS_SEDS!L71/EMM_State_Elec_Map_NEMS_SEDS!$BA71</f>
        <v>0</v>
      </c>
      <c r="M7" s="34">
        <f>EMM_State_Elec_Map_NEMS_SEDS!M71/EMM_State_Elec_Map_NEMS_SEDS!$BA71</f>
        <v>0</v>
      </c>
      <c r="N7" s="34">
        <f>EMM_State_Elec_Map_NEMS_SEDS!N71/EMM_State_Elec_Map_NEMS_SEDS!$BA71</f>
        <v>0</v>
      </c>
      <c r="O7" s="34">
        <f>EMM_State_Elec_Map_NEMS_SEDS!O71/EMM_State_Elec_Map_NEMS_SEDS!$BA71</f>
        <v>0</v>
      </c>
      <c r="P7" s="34">
        <f>EMM_State_Elec_Map_NEMS_SEDS!P71/EMM_State_Elec_Map_NEMS_SEDS!$BA71</f>
        <v>0</v>
      </c>
      <c r="Q7" s="34">
        <f>EMM_State_Elec_Map_NEMS_SEDS!Q71/EMM_State_Elec_Map_NEMS_SEDS!$BA71</f>
        <v>0</v>
      </c>
      <c r="R7" s="34">
        <f>EMM_State_Elec_Map_NEMS_SEDS!R71/EMM_State_Elec_Map_NEMS_SEDS!$BA71</f>
        <v>0</v>
      </c>
      <c r="S7" s="34">
        <f>EMM_State_Elec_Map_NEMS_SEDS!S71/EMM_State_Elec_Map_NEMS_SEDS!$BA71</f>
        <v>0.2232270347</v>
      </c>
      <c r="T7" s="34">
        <f>EMM_State_Elec_Map_NEMS_SEDS!T71/EMM_State_Elec_Map_NEMS_SEDS!$BA71</f>
        <v>0</v>
      </c>
      <c r="U7" s="34">
        <f>EMM_State_Elec_Map_NEMS_SEDS!U71/EMM_State_Elec_Map_NEMS_SEDS!$BA71</f>
        <v>0</v>
      </c>
      <c r="V7" s="34">
        <f>EMM_State_Elec_Map_NEMS_SEDS!V71/EMM_State_Elec_Map_NEMS_SEDS!$BA71</f>
        <v>0</v>
      </c>
      <c r="W7" s="34">
        <f>EMM_State_Elec_Map_NEMS_SEDS!W71/EMM_State_Elec_Map_NEMS_SEDS!$BA71</f>
        <v>0</v>
      </c>
      <c r="X7" s="34">
        <f>EMM_State_Elec_Map_NEMS_SEDS!X71/EMM_State_Elec_Map_NEMS_SEDS!$BA71</f>
        <v>0</v>
      </c>
      <c r="Y7" s="34">
        <f>EMM_State_Elec_Map_NEMS_SEDS!Y71/EMM_State_Elec_Map_NEMS_SEDS!$BA71</f>
        <v>0</v>
      </c>
      <c r="Z7" s="34">
        <f>EMM_State_Elec_Map_NEMS_SEDS!Z71/EMM_State_Elec_Map_NEMS_SEDS!$BA71</f>
        <v>0.1542122799</v>
      </c>
      <c r="AA7" s="34">
        <f>EMM_State_Elec_Map_NEMS_SEDS!AA71/EMM_State_Elec_Map_NEMS_SEDS!$BA71</f>
        <v>0</v>
      </c>
      <c r="AB7" s="34">
        <f>EMM_State_Elec_Map_NEMS_SEDS!AB71/EMM_State_Elec_Map_NEMS_SEDS!$BA71</f>
        <v>0</v>
      </c>
      <c r="AC7" s="34">
        <f>EMM_State_Elec_Map_NEMS_SEDS!AC71/EMM_State_Elec_Map_NEMS_SEDS!$BA71</f>
        <v>0</v>
      </c>
      <c r="AD7" s="34">
        <f>EMM_State_Elec_Map_NEMS_SEDS!AD71/EMM_State_Elec_Map_NEMS_SEDS!$BA71</f>
        <v>0</v>
      </c>
      <c r="AE7" s="34">
        <f>EMM_State_Elec_Map_NEMS_SEDS!AE71/EMM_State_Elec_Map_NEMS_SEDS!$BA71</f>
        <v>0</v>
      </c>
      <c r="AF7" s="34">
        <f>EMM_State_Elec_Map_NEMS_SEDS!AF71/EMM_State_Elec_Map_NEMS_SEDS!$BA71</f>
        <v>0</v>
      </c>
      <c r="AG7" s="34">
        <f>EMM_State_Elec_Map_NEMS_SEDS!AG71/EMM_State_Elec_Map_NEMS_SEDS!$BA71</f>
        <v>0</v>
      </c>
      <c r="AH7" s="34">
        <f>EMM_State_Elec_Map_NEMS_SEDS!AH71/EMM_State_Elec_Map_NEMS_SEDS!$BA71</f>
        <v>0</v>
      </c>
      <c r="AI7" s="34">
        <f>EMM_State_Elec_Map_NEMS_SEDS!AI71/EMM_State_Elec_Map_NEMS_SEDS!$BA71</f>
        <v>0</v>
      </c>
      <c r="AJ7" s="34">
        <f>EMM_State_Elec_Map_NEMS_SEDS!AJ71/EMM_State_Elec_Map_NEMS_SEDS!$BA71</f>
        <v>0</v>
      </c>
      <c r="AK7" s="34">
        <f>EMM_State_Elec_Map_NEMS_SEDS!AK71/EMM_State_Elec_Map_NEMS_SEDS!$BA71</f>
        <v>0</v>
      </c>
      <c r="AL7" s="34">
        <f>EMM_State_Elec_Map_NEMS_SEDS!AL71/EMM_State_Elec_Map_NEMS_SEDS!$BA71</f>
        <v>0</v>
      </c>
      <c r="AM7" s="34">
        <f>EMM_State_Elec_Map_NEMS_SEDS!AM71/EMM_State_Elec_Map_NEMS_SEDS!$BA71</f>
        <v>0</v>
      </c>
      <c r="AN7" s="34">
        <f>EMM_State_Elec_Map_NEMS_SEDS!AN71/EMM_State_Elec_Map_NEMS_SEDS!$BA71</f>
        <v>0</v>
      </c>
      <c r="AO7" s="34">
        <f>EMM_State_Elec_Map_NEMS_SEDS!AO71/EMM_State_Elec_Map_NEMS_SEDS!$BA71</f>
        <v>0</v>
      </c>
      <c r="AP7" s="34">
        <f>EMM_State_Elec_Map_NEMS_SEDS!AP71/EMM_State_Elec_Map_NEMS_SEDS!$BA71</f>
        <v>0</v>
      </c>
      <c r="AQ7" s="34">
        <f>EMM_State_Elec_Map_NEMS_SEDS!AQ71/EMM_State_Elec_Map_NEMS_SEDS!$BA71</f>
        <v>0</v>
      </c>
      <c r="AR7" s="34">
        <f>EMM_State_Elec_Map_NEMS_SEDS!AR71/EMM_State_Elec_Map_NEMS_SEDS!$BA71</f>
        <v>0.3548310328</v>
      </c>
      <c r="AS7" s="34">
        <f>EMM_State_Elec_Map_NEMS_SEDS!AS71/EMM_State_Elec_Map_NEMS_SEDS!$BA71</f>
        <v>0</v>
      </c>
      <c r="AT7" s="34">
        <f>EMM_State_Elec_Map_NEMS_SEDS!AT71/EMM_State_Elec_Map_NEMS_SEDS!$BA71</f>
        <v>0</v>
      </c>
      <c r="AU7" s="34">
        <f>EMM_State_Elec_Map_NEMS_SEDS!AU71/EMM_State_Elec_Map_NEMS_SEDS!$BA71</f>
        <v>0</v>
      </c>
      <c r="AV7" s="34">
        <f>EMM_State_Elec_Map_NEMS_SEDS!AV71/EMM_State_Elec_Map_NEMS_SEDS!$BA71</f>
        <v>0</v>
      </c>
      <c r="AW7" s="34">
        <f>EMM_State_Elec_Map_NEMS_SEDS!AW71/EMM_State_Elec_Map_NEMS_SEDS!$BA71</f>
        <v>0</v>
      </c>
      <c r="AX7" s="34">
        <f>EMM_State_Elec_Map_NEMS_SEDS!AX71/EMM_State_Elec_Map_NEMS_SEDS!$BA71</f>
        <v>0</v>
      </c>
      <c r="AY7" s="34">
        <f>EMM_State_Elec_Map_NEMS_SEDS!AY71/EMM_State_Elec_Map_NEMS_SEDS!$BA71</f>
        <v>0</v>
      </c>
      <c r="AZ7" s="34">
        <f>EMM_State_Elec_Map_NEMS_SEDS!AZ71/EMM_State_Elec_Map_NEMS_SEDS!$BA71</f>
        <v>0</v>
      </c>
    </row>
    <row r="8" ht="15.75" customHeight="1">
      <c r="A8" s="34">
        <v>7.0</v>
      </c>
      <c r="B8" s="34">
        <f>EMM_State_Elec_Map_NEMS_SEDS!B72/EMM_State_Elec_Map_NEMS_SEDS!$BA72</f>
        <v>0</v>
      </c>
      <c r="C8" s="34">
        <f>EMM_State_Elec_Map_NEMS_SEDS!C72/EMM_State_Elec_Map_NEMS_SEDS!$BA72</f>
        <v>0</v>
      </c>
      <c r="D8" s="34">
        <f>EMM_State_Elec_Map_NEMS_SEDS!D72/EMM_State_Elec_Map_NEMS_SEDS!$BA72</f>
        <v>0</v>
      </c>
      <c r="E8" s="34">
        <f>EMM_State_Elec_Map_NEMS_SEDS!E72/EMM_State_Elec_Map_NEMS_SEDS!$BA72</f>
        <v>0.07822533567</v>
      </c>
      <c r="F8" s="34">
        <f>EMM_State_Elec_Map_NEMS_SEDS!F72/EMM_State_Elec_Map_NEMS_SEDS!$BA72</f>
        <v>0</v>
      </c>
      <c r="G8" s="34">
        <f>EMM_State_Elec_Map_NEMS_SEDS!G72/EMM_State_Elec_Map_NEMS_SEDS!$BA72</f>
        <v>0</v>
      </c>
      <c r="H8" s="34">
        <f>EMM_State_Elec_Map_NEMS_SEDS!H72/EMM_State_Elec_Map_NEMS_SEDS!$BA72</f>
        <v>0</v>
      </c>
      <c r="I8" s="34">
        <f>EMM_State_Elec_Map_NEMS_SEDS!I72/EMM_State_Elec_Map_NEMS_SEDS!$BA72</f>
        <v>0</v>
      </c>
      <c r="J8" s="34">
        <f>EMM_State_Elec_Map_NEMS_SEDS!J72/EMM_State_Elec_Map_NEMS_SEDS!$BA72</f>
        <v>0</v>
      </c>
      <c r="K8" s="34">
        <f>EMM_State_Elec_Map_NEMS_SEDS!K72/EMM_State_Elec_Map_NEMS_SEDS!$BA72</f>
        <v>0</v>
      </c>
      <c r="L8" s="34">
        <f>EMM_State_Elec_Map_NEMS_SEDS!L72/EMM_State_Elec_Map_NEMS_SEDS!$BA72</f>
        <v>0</v>
      </c>
      <c r="M8" s="34">
        <f>EMM_State_Elec_Map_NEMS_SEDS!M72/EMM_State_Elec_Map_NEMS_SEDS!$BA72</f>
        <v>0</v>
      </c>
      <c r="N8" s="34">
        <f>EMM_State_Elec_Map_NEMS_SEDS!N72/EMM_State_Elec_Map_NEMS_SEDS!$BA72</f>
        <v>0</v>
      </c>
      <c r="O8" s="34">
        <f>EMM_State_Elec_Map_NEMS_SEDS!O72/EMM_State_Elec_Map_NEMS_SEDS!$BA72</f>
        <v>0</v>
      </c>
      <c r="P8" s="34">
        <f>EMM_State_Elec_Map_NEMS_SEDS!P72/EMM_State_Elec_Map_NEMS_SEDS!$BA72</f>
        <v>0</v>
      </c>
      <c r="Q8" s="34">
        <f>EMM_State_Elec_Map_NEMS_SEDS!Q72/EMM_State_Elec_Map_NEMS_SEDS!$BA72</f>
        <v>0</v>
      </c>
      <c r="R8" s="34">
        <f>EMM_State_Elec_Map_NEMS_SEDS!R72/EMM_State_Elec_Map_NEMS_SEDS!$BA72</f>
        <v>0</v>
      </c>
      <c r="S8" s="34">
        <f>EMM_State_Elec_Map_NEMS_SEDS!S72/EMM_State_Elec_Map_NEMS_SEDS!$BA72</f>
        <v>0</v>
      </c>
      <c r="T8" s="34">
        <f>EMM_State_Elec_Map_NEMS_SEDS!T72/EMM_State_Elec_Map_NEMS_SEDS!$BA72</f>
        <v>0.1274956217</v>
      </c>
      <c r="U8" s="34">
        <f>EMM_State_Elec_Map_NEMS_SEDS!U72/EMM_State_Elec_Map_NEMS_SEDS!$BA72</f>
        <v>0</v>
      </c>
      <c r="V8" s="34">
        <f>EMM_State_Elec_Map_NEMS_SEDS!V72/EMM_State_Elec_Map_NEMS_SEDS!$BA72</f>
        <v>0</v>
      </c>
      <c r="W8" s="34">
        <f>EMM_State_Elec_Map_NEMS_SEDS!W72/EMM_State_Elec_Map_NEMS_SEDS!$BA72</f>
        <v>0</v>
      </c>
      <c r="X8" s="34">
        <f>EMM_State_Elec_Map_NEMS_SEDS!X72/EMM_State_Elec_Map_NEMS_SEDS!$BA72</f>
        <v>0</v>
      </c>
      <c r="Y8" s="34">
        <f>EMM_State_Elec_Map_NEMS_SEDS!Y72/EMM_State_Elec_Map_NEMS_SEDS!$BA72</f>
        <v>0</v>
      </c>
      <c r="Z8" s="34">
        <f>EMM_State_Elec_Map_NEMS_SEDS!Z72/EMM_State_Elec_Map_NEMS_SEDS!$BA72</f>
        <v>0</v>
      </c>
      <c r="AA8" s="34">
        <f>EMM_State_Elec_Map_NEMS_SEDS!AA72/EMM_State_Elec_Map_NEMS_SEDS!$BA72</f>
        <v>0</v>
      </c>
      <c r="AB8" s="34">
        <f>EMM_State_Elec_Map_NEMS_SEDS!AB72/EMM_State_Elec_Map_NEMS_SEDS!$BA72</f>
        <v>0</v>
      </c>
      <c r="AC8" s="34">
        <f>EMM_State_Elec_Map_NEMS_SEDS!AC72/EMM_State_Elec_Map_NEMS_SEDS!$BA72</f>
        <v>0</v>
      </c>
      <c r="AD8" s="34">
        <f>EMM_State_Elec_Map_NEMS_SEDS!AD72/EMM_State_Elec_Map_NEMS_SEDS!$BA72</f>
        <v>0</v>
      </c>
      <c r="AE8" s="34">
        <f>EMM_State_Elec_Map_NEMS_SEDS!AE72/EMM_State_Elec_Map_NEMS_SEDS!$BA72</f>
        <v>0</v>
      </c>
      <c r="AF8" s="34">
        <f>EMM_State_Elec_Map_NEMS_SEDS!AF72/EMM_State_Elec_Map_NEMS_SEDS!$BA72</f>
        <v>0</v>
      </c>
      <c r="AG8" s="34">
        <f>EMM_State_Elec_Map_NEMS_SEDS!AG72/EMM_State_Elec_Map_NEMS_SEDS!$BA72</f>
        <v>0</v>
      </c>
      <c r="AH8" s="34">
        <f>EMM_State_Elec_Map_NEMS_SEDS!AH72/EMM_State_Elec_Map_NEMS_SEDS!$BA72</f>
        <v>0</v>
      </c>
      <c r="AI8" s="34">
        <f>EMM_State_Elec_Map_NEMS_SEDS!AI72/EMM_State_Elec_Map_NEMS_SEDS!$BA72</f>
        <v>0</v>
      </c>
      <c r="AJ8" s="34">
        <f>EMM_State_Elec_Map_NEMS_SEDS!AJ72/EMM_State_Elec_Map_NEMS_SEDS!$BA72</f>
        <v>0</v>
      </c>
      <c r="AK8" s="34">
        <f>EMM_State_Elec_Map_NEMS_SEDS!AK72/EMM_State_Elec_Map_NEMS_SEDS!$BA72</f>
        <v>0</v>
      </c>
      <c r="AL8" s="34">
        <f>EMM_State_Elec_Map_NEMS_SEDS!AL72/EMM_State_Elec_Map_NEMS_SEDS!$BA72</f>
        <v>0.1018096906</v>
      </c>
      <c r="AM8" s="34">
        <f>EMM_State_Elec_Map_NEMS_SEDS!AM72/EMM_State_Elec_Map_NEMS_SEDS!$BA72</f>
        <v>0</v>
      </c>
      <c r="AN8" s="34">
        <f>EMM_State_Elec_Map_NEMS_SEDS!AN72/EMM_State_Elec_Map_NEMS_SEDS!$BA72</f>
        <v>0</v>
      </c>
      <c r="AO8" s="34">
        <f>EMM_State_Elec_Map_NEMS_SEDS!AO72/EMM_State_Elec_Map_NEMS_SEDS!$BA72</f>
        <v>0</v>
      </c>
      <c r="AP8" s="34">
        <f>EMM_State_Elec_Map_NEMS_SEDS!AP72/EMM_State_Elec_Map_NEMS_SEDS!$BA72</f>
        <v>0</v>
      </c>
      <c r="AQ8" s="34">
        <f>EMM_State_Elec_Map_NEMS_SEDS!AQ72/EMM_State_Elec_Map_NEMS_SEDS!$BA72</f>
        <v>0</v>
      </c>
      <c r="AR8" s="34">
        <f>EMM_State_Elec_Map_NEMS_SEDS!AR72/EMM_State_Elec_Map_NEMS_SEDS!$BA72</f>
        <v>0</v>
      </c>
      <c r="AS8" s="34">
        <f>EMM_State_Elec_Map_NEMS_SEDS!AS72/EMM_State_Elec_Map_NEMS_SEDS!$BA72</f>
        <v>0.692469352</v>
      </c>
      <c r="AT8" s="34">
        <f>EMM_State_Elec_Map_NEMS_SEDS!AT72/EMM_State_Elec_Map_NEMS_SEDS!$BA72</f>
        <v>0</v>
      </c>
      <c r="AU8" s="34">
        <f>EMM_State_Elec_Map_NEMS_SEDS!AU72/EMM_State_Elec_Map_NEMS_SEDS!$BA72</f>
        <v>0</v>
      </c>
      <c r="AV8" s="34">
        <f>EMM_State_Elec_Map_NEMS_SEDS!AV72/EMM_State_Elec_Map_NEMS_SEDS!$BA72</f>
        <v>0</v>
      </c>
      <c r="AW8" s="34">
        <f>EMM_State_Elec_Map_NEMS_SEDS!AW72/EMM_State_Elec_Map_NEMS_SEDS!$BA72</f>
        <v>0</v>
      </c>
      <c r="AX8" s="34">
        <f>EMM_State_Elec_Map_NEMS_SEDS!AX72/EMM_State_Elec_Map_NEMS_SEDS!$BA72</f>
        <v>0</v>
      </c>
      <c r="AY8" s="34">
        <f>EMM_State_Elec_Map_NEMS_SEDS!AY72/EMM_State_Elec_Map_NEMS_SEDS!$BA72</f>
        <v>0</v>
      </c>
      <c r="AZ8" s="34">
        <f>EMM_State_Elec_Map_NEMS_SEDS!AZ72/EMM_State_Elec_Map_NEMS_SEDS!$BA72</f>
        <v>0</v>
      </c>
    </row>
    <row r="9" ht="15.75" customHeight="1">
      <c r="A9" s="34">
        <v>8.0</v>
      </c>
      <c r="B9" s="34">
        <f>EMM_State_Elec_Map_NEMS_SEDS!B73/EMM_State_Elec_Map_NEMS_SEDS!$BA73</f>
        <v>0</v>
      </c>
      <c r="C9" s="34">
        <f>EMM_State_Elec_Map_NEMS_SEDS!C73/EMM_State_Elec_Map_NEMS_SEDS!$BA73</f>
        <v>0</v>
      </c>
      <c r="D9" s="34">
        <f>EMM_State_Elec_Map_NEMS_SEDS!D73/EMM_State_Elec_Map_NEMS_SEDS!$BA73</f>
        <v>0.3566158387</v>
      </c>
      <c r="E9" s="34">
        <f>EMM_State_Elec_Map_NEMS_SEDS!E73/EMM_State_Elec_Map_NEMS_SEDS!$BA73</f>
        <v>0</v>
      </c>
      <c r="F9" s="34">
        <f>EMM_State_Elec_Map_NEMS_SEDS!F73/EMM_State_Elec_Map_NEMS_SEDS!$BA73</f>
        <v>0</v>
      </c>
      <c r="G9" s="34">
        <f>EMM_State_Elec_Map_NEMS_SEDS!G73/EMM_State_Elec_Map_NEMS_SEDS!$BA73</f>
        <v>0.1827348746</v>
      </c>
      <c r="H9" s="34">
        <f>EMM_State_Elec_Map_NEMS_SEDS!H73/EMM_State_Elec_Map_NEMS_SEDS!$BA73</f>
        <v>0</v>
      </c>
      <c r="I9" s="34">
        <f>EMM_State_Elec_Map_NEMS_SEDS!I73/EMM_State_Elec_Map_NEMS_SEDS!$BA73</f>
        <v>0</v>
      </c>
      <c r="J9" s="34">
        <f>EMM_State_Elec_Map_NEMS_SEDS!J73/EMM_State_Elec_Map_NEMS_SEDS!$BA73</f>
        <v>0</v>
      </c>
      <c r="K9" s="34">
        <f>EMM_State_Elec_Map_NEMS_SEDS!K73/EMM_State_Elec_Map_NEMS_SEDS!$BA73</f>
        <v>0</v>
      </c>
      <c r="L9" s="34">
        <f>EMM_State_Elec_Map_NEMS_SEDS!L73/EMM_State_Elec_Map_NEMS_SEDS!$BA73</f>
        <v>0</v>
      </c>
      <c r="M9" s="34">
        <f>EMM_State_Elec_Map_NEMS_SEDS!M73/EMM_State_Elec_Map_NEMS_SEDS!$BA73</f>
        <v>0</v>
      </c>
      <c r="N9" s="34">
        <f>EMM_State_Elec_Map_NEMS_SEDS!N73/EMM_State_Elec_Map_NEMS_SEDS!$BA73</f>
        <v>0.08509591736</v>
      </c>
      <c r="O9" s="34">
        <f>EMM_State_Elec_Map_NEMS_SEDS!O73/EMM_State_Elec_Map_NEMS_SEDS!$BA73</f>
        <v>0</v>
      </c>
      <c r="P9" s="34">
        <f>EMM_State_Elec_Map_NEMS_SEDS!P73/EMM_State_Elec_Map_NEMS_SEDS!$BA73</f>
        <v>0</v>
      </c>
      <c r="Q9" s="34">
        <f>EMM_State_Elec_Map_NEMS_SEDS!Q73/EMM_State_Elec_Map_NEMS_SEDS!$BA73</f>
        <v>0</v>
      </c>
      <c r="R9" s="34">
        <f>EMM_State_Elec_Map_NEMS_SEDS!R73/EMM_State_Elec_Map_NEMS_SEDS!$BA73</f>
        <v>0</v>
      </c>
      <c r="S9" s="34">
        <f>EMM_State_Elec_Map_NEMS_SEDS!S73/EMM_State_Elec_Map_NEMS_SEDS!$BA73</f>
        <v>0</v>
      </c>
      <c r="T9" s="34">
        <f>EMM_State_Elec_Map_NEMS_SEDS!T73/EMM_State_Elec_Map_NEMS_SEDS!$BA73</f>
        <v>0</v>
      </c>
      <c r="U9" s="34">
        <f>EMM_State_Elec_Map_NEMS_SEDS!U73/EMM_State_Elec_Map_NEMS_SEDS!$BA73</f>
        <v>0</v>
      </c>
      <c r="V9" s="34">
        <f>EMM_State_Elec_Map_NEMS_SEDS!V73/EMM_State_Elec_Map_NEMS_SEDS!$BA73</f>
        <v>0</v>
      </c>
      <c r="W9" s="34">
        <f>EMM_State_Elec_Map_NEMS_SEDS!W73/EMM_State_Elec_Map_NEMS_SEDS!$BA73</f>
        <v>0</v>
      </c>
      <c r="X9" s="34">
        <f>EMM_State_Elec_Map_NEMS_SEDS!X73/EMM_State_Elec_Map_NEMS_SEDS!$BA73</f>
        <v>0</v>
      </c>
      <c r="Y9" s="34">
        <f>EMM_State_Elec_Map_NEMS_SEDS!Y73/EMM_State_Elec_Map_NEMS_SEDS!$BA73</f>
        <v>0</v>
      </c>
      <c r="Z9" s="34">
        <f>EMM_State_Elec_Map_NEMS_SEDS!Z73/EMM_State_Elec_Map_NEMS_SEDS!$BA73</f>
        <v>0</v>
      </c>
      <c r="AA9" s="34">
        <f>EMM_State_Elec_Map_NEMS_SEDS!AA73/EMM_State_Elec_Map_NEMS_SEDS!$BA73</f>
        <v>0</v>
      </c>
      <c r="AB9" s="34">
        <f>EMM_State_Elec_Map_NEMS_SEDS!AB73/EMM_State_Elec_Map_NEMS_SEDS!$BA73</f>
        <v>0.04992621741</v>
      </c>
      <c r="AC9" s="34">
        <f>EMM_State_Elec_Map_NEMS_SEDS!AC73/EMM_State_Elec_Map_NEMS_SEDS!$BA73</f>
        <v>0</v>
      </c>
      <c r="AD9" s="34">
        <f>EMM_State_Elec_Map_NEMS_SEDS!AD73/EMM_State_Elec_Map_NEMS_SEDS!$BA73</f>
        <v>0.133546483</v>
      </c>
      <c r="AE9" s="34">
        <f>EMM_State_Elec_Map_NEMS_SEDS!AE73/EMM_State_Elec_Map_NEMS_SEDS!$BA73</f>
        <v>0</v>
      </c>
      <c r="AF9" s="34">
        <f>EMM_State_Elec_Map_NEMS_SEDS!AF73/EMM_State_Elec_Map_NEMS_SEDS!$BA73</f>
        <v>0</v>
      </c>
      <c r="AG9" s="34">
        <f>EMM_State_Elec_Map_NEMS_SEDS!AG73/EMM_State_Elec_Map_NEMS_SEDS!$BA73</f>
        <v>0.06542056075</v>
      </c>
      <c r="AH9" s="34">
        <f>EMM_State_Elec_Map_NEMS_SEDS!AH73/EMM_State_Elec_Map_NEMS_SEDS!$BA73</f>
        <v>0</v>
      </c>
      <c r="AI9" s="34">
        <f>EMM_State_Elec_Map_NEMS_SEDS!AI73/EMM_State_Elec_Map_NEMS_SEDS!$BA73</f>
        <v>0</v>
      </c>
      <c r="AJ9" s="34">
        <f>EMM_State_Elec_Map_NEMS_SEDS!AJ73/EMM_State_Elec_Map_NEMS_SEDS!$BA73</f>
        <v>0</v>
      </c>
      <c r="AK9" s="34">
        <f>EMM_State_Elec_Map_NEMS_SEDS!AK73/EMM_State_Elec_Map_NEMS_SEDS!$BA73</f>
        <v>0</v>
      </c>
      <c r="AL9" s="34">
        <f>EMM_State_Elec_Map_NEMS_SEDS!AL73/EMM_State_Elec_Map_NEMS_SEDS!$BA73</f>
        <v>0</v>
      </c>
      <c r="AM9" s="34">
        <f>EMM_State_Elec_Map_NEMS_SEDS!AM73/EMM_State_Elec_Map_NEMS_SEDS!$BA73</f>
        <v>0</v>
      </c>
      <c r="AN9" s="34">
        <f>EMM_State_Elec_Map_NEMS_SEDS!AN73/EMM_State_Elec_Map_NEMS_SEDS!$BA73</f>
        <v>0</v>
      </c>
      <c r="AO9" s="34">
        <f>EMM_State_Elec_Map_NEMS_SEDS!AO73/EMM_State_Elec_Map_NEMS_SEDS!$BA73</f>
        <v>0</v>
      </c>
      <c r="AP9" s="34">
        <f>EMM_State_Elec_Map_NEMS_SEDS!AP73/EMM_State_Elec_Map_NEMS_SEDS!$BA73</f>
        <v>0</v>
      </c>
      <c r="AQ9" s="34">
        <f>EMM_State_Elec_Map_NEMS_SEDS!AQ73/EMM_State_Elec_Map_NEMS_SEDS!$BA73</f>
        <v>0</v>
      </c>
      <c r="AR9" s="34">
        <f>EMM_State_Elec_Map_NEMS_SEDS!AR73/EMM_State_Elec_Map_NEMS_SEDS!$BA73</f>
        <v>0</v>
      </c>
      <c r="AS9" s="34">
        <f>EMM_State_Elec_Map_NEMS_SEDS!AS73/EMM_State_Elec_Map_NEMS_SEDS!$BA73</f>
        <v>0</v>
      </c>
      <c r="AT9" s="34">
        <f>EMM_State_Elec_Map_NEMS_SEDS!AT73/EMM_State_Elec_Map_NEMS_SEDS!$BA73</f>
        <v>0.1008362027</v>
      </c>
      <c r="AU9" s="34">
        <f>EMM_State_Elec_Map_NEMS_SEDS!AU73/EMM_State_Elec_Map_NEMS_SEDS!$BA73</f>
        <v>0</v>
      </c>
      <c r="AV9" s="34">
        <f>EMM_State_Elec_Map_NEMS_SEDS!AV73/EMM_State_Elec_Map_NEMS_SEDS!$BA73</f>
        <v>0</v>
      </c>
      <c r="AW9" s="34">
        <f>EMM_State_Elec_Map_NEMS_SEDS!AW73/EMM_State_Elec_Map_NEMS_SEDS!$BA73</f>
        <v>0</v>
      </c>
      <c r="AX9" s="34">
        <f>EMM_State_Elec_Map_NEMS_SEDS!AX73/EMM_State_Elec_Map_NEMS_SEDS!$BA73</f>
        <v>0</v>
      </c>
      <c r="AY9" s="34">
        <f>EMM_State_Elec_Map_NEMS_SEDS!AY73/EMM_State_Elec_Map_NEMS_SEDS!$BA73</f>
        <v>0</v>
      </c>
      <c r="AZ9" s="34">
        <f>EMM_State_Elec_Map_NEMS_SEDS!AZ73/EMM_State_Elec_Map_NEMS_SEDS!$BA73</f>
        <v>0.02582390556</v>
      </c>
    </row>
    <row r="10" ht="15.75" customHeight="1">
      <c r="A10" s="34">
        <v>9.0</v>
      </c>
      <c r="B10" s="34">
        <f>EMM_State_Elec_Map_NEMS_SEDS!B74/EMM_State_Elec_Map_NEMS_SEDS!$BA74</f>
        <v>0</v>
      </c>
      <c r="C10" s="34">
        <f>EMM_State_Elec_Map_NEMS_SEDS!C74/EMM_State_Elec_Map_NEMS_SEDS!$BA74</f>
        <v>0.01162790698</v>
      </c>
      <c r="D10" s="34">
        <f>EMM_State_Elec_Map_NEMS_SEDS!D74/EMM_State_Elec_Map_NEMS_SEDS!$BA74</f>
        <v>0</v>
      </c>
      <c r="E10" s="34">
        <f>EMM_State_Elec_Map_NEMS_SEDS!E74/EMM_State_Elec_Map_NEMS_SEDS!$BA74</f>
        <v>0</v>
      </c>
      <c r="F10" s="34">
        <f>EMM_State_Elec_Map_NEMS_SEDS!F74/EMM_State_Elec_Map_NEMS_SEDS!$BA74</f>
        <v>0.6197183099</v>
      </c>
      <c r="G10" s="34">
        <f>EMM_State_Elec_Map_NEMS_SEDS!G74/EMM_State_Elec_Map_NEMS_SEDS!$BA74</f>
        <v>0</v>
      </c>
      <c r="H10" s="34">
        <f>EMM_State_Elec_Map_NEMS_SEDS!H74/EMM_State_Elec_Map_NEMS_SEDS!$BA74</f>
        <v>0</v>
      </c>
      <c r="I10" s="34">
        <f>EMM_State_Elec_Map_NEMS_SEDS!I74/EMM_State_Elec_Map_NEMS_SEDS!$BA74</f>
        <v>0</v>
      </c>
      <c r="J10" s="34">
        <f>EMM_State_Elec_Map_NEMS_SEDS!J74/EMM_State_Elec_Map_NEMS_SEDS!$BA74</f>
        <v>0</v>
      </c>
      <c r="K10" s="34">
        <f>EMM_State_Elec_Map_NEMS_SEDS!K74/EMM_State_Elec_Map_NEMS_SEDS!$BA74</f>
        <v>0</v>
      </c>
      <c r="L10" s="34">
        <f>EMM_State_Elec_Map_NEMS_SEDS!L74/EMM_State_Elec_Map_NEMS_SEDS!$BA74</f>
        <v>0</v>
      </c>
      <c r="M10" s="34">
        <f>EMM_State_Elec_Map_NEMS_SEDS!M74/EMM_State_Elec_Map_NEMS_SEDS!$BA74</f>
        <v>0.02341958729</v>
      </c>
      <c r="N10" s="34">
        <f>EMM_State_Elec_Map_NEMS_SEDS!N74/EMM_State_Elec_Map_NEMS_SEDS!$BA74</f>
        <v>0</v>
      </c>
      <c r="O10" s="34">
        <f>EMM_State_Elec_Map_NEMS_SEDS!O74/EMM_State_Elec_Map_NEMS_SEDS!$BA74</f>
        <v>0</v>
      </c>
      <c r="P10" s="34">
        <f>EMM_State_Elec_Map_NEMS_SEDS!P74/EMM_State_Elec_Map_NEMS_SEDS!$BA74</f>
        <v>0</v>
      </c>
      <c r="Q10" s="34">
        <f>EMM_State_Elec_Map_NEMS_SEDS!Q74/EMM_State_Elec_Map_NEMS_SEDS!$BA74</f>
        <v>0</v>
      </c>
      <c r="R10" s="34">
        <f>EMM_State_Elec_Map_NEMS_SEDS!R74/EMM_State_Elec_Map_NEMS_SEDS!$BA74</f>
        <v>0</v>
      </c>
      <c r="S10" s="34">
        <f>EMM_State_Elec_Map_NEMS_SEDS!S74/EMM_State_Elec_Map_NEMS_SEDS!$BA74</f>
        <v>0</v>
      </c>
      <c r="T10" s="34">
        <f>EMM_State_Elec_Map_NEMS_SEDS!T74/EMM_State_Elec_Map_NEMS_SEDS!$BA74</f>
        <v>0</v>
      </c>
      <c r="U10" s="34">
        <f>EMM_State_Elec_Map_NEMS_SEDS!U74/EMM_State_Elec_Map_NEMS_SEDS!$BA74</f>
        <v>0</v>
      </c>
      <c r="V10" s="34">
        <f>EMM_State_Elec_Map_NEMS_SEDS!V74/EMM_State_Elec_Map_NEMS_SEDS!$BA74</f>
        <v>0</v>
      </c>
      <c r="W10" s="34">
        <f>EMM_State_Elec_Map_NEMS_SEDS!W74/EMM_State_Elec_Map_NEMS_SEDS!$BA74</f>
        <v>0</v>
      </c>
      <c r="X10" s="34">
        <f>EMM_State_Elec_Map_NEMS_SEDS!X74/EMM_State_Elec_Map_NEMS_SEDS!$BA74</f>
        <v>0</v>
      </c>
      <c r="Y10" s="34">
        <f>EMM_State_Elec_Map_NEMS_SEDS!Y74/EMM_State_Elec_Map_NEMS_SEDS!$BA74</f>
        <v>0</v>
      </c>
      <c r="Z10" s="34">
        <f>EMM_State_Elec_Map_NEMS_SEDS!Z74/EMM_State_Elec_Map_NEMS_SEDS!$BA74</f>
        <v>0</v>
      </c>
      <c r="AA10" s="34">
        <f>EMM_State_Elec_Map_NEMS_SEDS!AA74/EMM_State_Elec_Map_NEMS_SEDS!$BA74</f>
        <v>0</v>
      </c>
      <c r="AB10" s="34">
        <f>EMM_State_Elec_Map_NEMS_SEDS!AB74/EMM_State_Elec_Map_NEMS_SEDS!$BA74</f>
        <v>0</v>
      </c>
      <c r="AC10" s="34">
        <f>EMM_State_Elec_Map_NEMS_SEDS!AC74/EMM_State_Elec_Map_NEMS_SEDS!$BA74</f>
        <v>0</v>
      </c>
      <c r="AD10" s="34">
        <f>EMM_State_Elec_Map_NEMS_SEDS!AD74/EMM_State_Elec_Map_NEMS_SEDS!$BA74</f>
        <v>0</v>
      </c>
      <c r="AE10" s="34">
        <f>EMM_State_Elec_Map_NEMS_SEDS!AE74/EMM_State_Elec_Map_NEMS_SEDS!$BA74</f>
        <v>0</v>
      </c>
      <c r="AF10" s="34">
        <f>EMM_State_Elec_Map_NEMS_SEDS!AF74/EMM_State_Elec_Map_NEMS_SEDS!$BA74</f>
        <v>0</v>
      </c>
      <c r="AG10" s="34">
        <f>EMM_State_Elec_Map_NEMS_SEDS!AG74/EMM_State_Elec_Map_NEMS_SEDS!$BA74</f>
        <v>0</v>
      </c>
      <c r="AH10" s="34">
        <f>EMM_State_Elec_Map_NEMS_SEDS!AH74/EMM_State_Elec_Map_NEMS_SEDS!$BA74</f>
        <v>0</v>
      </c>
      <c r="AI10" s="34">
        <f>EMM_State_Elec_Map_NEMS_SEDS!AI74/EMM_State_Elec_Map_NEMS_SEDS!$BA74</f>
        <v>0</v>
      </c>
      <c r="AJ10" s="34">
        <f>EMM_State_Elec_Map_NEMS_SEDS!AJ74/EMM_State_Elec_Map_NEMS_SEDS!$BA74</f>
        <v>0</v>
      </c>
      <c r="AK10" s="34">
        <f>EMM_State_Elec_Map_NEMS_SEDS!AK74/EMM_State_Elec_Map_NEMS_SEDS!$BA74</f>
        <v>0</v>
      </c>
      <c r="AL10" s="34">
        <f>EMM_State_Elec_Map_NEMS_SEDS!AL74/EMM_State_Elec_Map_NEMS_SEDS!$BA74</f>
        <v>0</v>
      </c>
      <c r="AM10" s="34">
        <f>EMM_State_Elec_Map_NEMS_SEDS!AM74/EMM_State_Elec_Map_NEMS_SEDS!$BA74</f>
        <v>0.1202096299</v>
      </c>
      <c r="AN10" s="34">
        <f>EMM_State_Elec_Map_NEMS_SEDS!AN74/EMM_State_Elec_Map_NEMS_SEDS!$BA74</f>
        <v>0</v>
      </c>
      <c r="AO10" s="34">
        <f>EMM_State_Elec_Map_NEMS_SEDS!AO74/EMM_State_Elec_Map_NEMS_SEDS!$BA74</f>
        <v>0</v>
      </c>
      <c r="AP10" s="34">
        <f>EMM_State_Elec_Map_NEMS_SEDS!AP74/EMM_State_Elec_Map_NEMS_SEDS!$BA74</f>
        <v>0</v>
      </c>
      <c r="AQ10" s="34">
        <f>EMM_State_Elec_Map_NEMS_SEDS!AQ74/EMM_State_Elec_Map_NEMS_SEDS!$BA74</f>
        <v>0</v>
      </c>
      <c r="AR10" s="34">
        <f>EMM_State_Elec_Map_NEMS_SEDS!AR74/EMM_State_Elec_Map_NEMS_SEDS!$BA74</f>
        <v>0</v>
      </c>
      <c r="AS10" s="34">
        <f>EMM_State_Elec_Map_NEMS_SEDS!AS74/EMM_State_Elec_Map_NEMS_SEDS!$BA74</f>
        <v>0</v>
      </c>
      <c r="AT10" s="34">
        <f>EMM_State_Elec_Map_NEMS_SEDS!AT74/EMM_State_Elec_Map_NEMS_SEDS!$BA74</f>
        <v>0</v>
      </c>
      <c r="AU10" s="34">
        <f>EMM_State_Elec_Map_NEMS_SEDS!AU74/EMM_State_Elec_Map_NEMS_SEDS!$BA74</f>
        <v>0</v>
      </c>
      <c r="AV10" s="34">
        <f>EMM_State_Elec_Map_NEMS_SEDS!AV74/EMM_State_Elec_Map_NEMS_SEDS!$BA74</f>
        <v>0</v>
      </c>
      <c r="AW10" s="34">
        <f>EMM_State_Elec_Map_NEMS_SEDS!AW74/EMM_State_Elec_Map_NEMS_SEDS!$BA74</f>
        <v>0.225024566</v>
      </c>
      <c r="AX10" s="34">
        <f>EMM_State_Elec_Map_NEMS_SEDS!AX74/EMM_State_Elec_Map_NEMS_SEDS!$BA74</f>
        <v>0</v>
      </c>
      <c r="AY10" s="34">
        <f>EMM_State_Elec_Map_NEMS_SEDS!AY74/EMM_State_Elec_Map_NEMS_SEDS!$BA74</f>
        <v>0</v>
      </c>
      <c r="AZ10" s="34">
        <f>EMM_State_Elec_Map_NEMS_SEDS!AZ74/EMM_State_Elec_Map_NEMS_SEDS!$BA74</f>
        <v>0</v>
      </c>
    </row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</sheetData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78" t="s">
        <v>94</v>
      </c>
      <c r="B1" s="82" t="s">
        <v>1994</v>
      </c>
      <c r="C1" s="82" t="s">
        <v>2062</v>
      </c>
      <c r="D1" s="82" t="s">
        <v>2063</v>
      </c>
      <c r="E1" s="82" t="s">
        <v>2079</v>
      </c>
      <c r="F1" s="82" t="s">
        <v>2137</v>
      </c>
      <c r="G1" s="82" t="s">
        <v>2194</v>
      </c>
      <c r="H1" s="82" t="s">
        <v>2250</v>
      </c>
      <c r="I1" s="82" t="s">
        <v>2259</v>
      </c>
      <c r="J1" s="78" t="s">
        <v>2263</v>
      </c>
      <c r="K1" s="82" t="s">
        <v>2264</v>
      </c>
      <c r="L1" s="82" t="s">
        <v>2314</v>
      </c>
      <c r="M1" s="82" t="s">
        <v>2423</v>
      </c>
      <c r="N1" s="82" t="s">
        <v>2424</v>
      </c>
      <c r="O1" s="82" t="s">
        <v>2458</v>
      </c>
      <c r="P1" s="82" t="s">
        <v>2513</v>
      </c>
      <c r="Q1" s="82" t="s">
        <v>2555</v>
      </c>
      <c r="R1" s="82" t="s">
        <v>2601</v>
      </c>
      <c r="S1" s="82" t="s">
        <v>2669</v>
      </c>
      <c r="T1" s="82" t="s">
        <v>2725</v>
      </c>
      <c r="U1" s="82" t="s">
        <v>2790</v>
      </c>
      <c r="V1" s="82" t="s">
        <v>2801</v>
      </c>
      <c r="W1" s="82" t="s">
        <v>2819</v>
      </c>
      <c r="X1" s="82" t="s">
        <v>2830</v>
      </c>
      <c r="Y1" s="82" t="s">
        <v>2893</v>
      </c>
      <c r="Z1" s="82" t="s">
        <v>2955</v>
      </c>
      <c r="AA1" s="82" t="s">
        <v>2992</v>
      </c>
      <c r="AB1" s="82" t="s">
        <v>3034</v>
      </c>
      <c r="AC1" s="82" t="s">
        <v>3071</v>
      </c>
      <c r="AD1" s="82" t="s">
        <v>3112</v>
      </c>
      <c r="AE1" s="82" t="s">
        <v>3123</v>
      </c>
      <c r="AF1" s="82" t="s">
        <v>3131</v>
      </c>
      <c r="AG1" s="82" t="s">
        <v>3143</v>
      </c>
      <c r="AH1" s="82" t="s">
        <v>3168</v>
      </c>
      <c r="AI1" s="82" t="s">
        <v>3200</v>
      </c>
      <c r="AJ1" s="82" t="s">
        <v>3265</v>
      </c>
      <c r="AK1" s="82" t="s">
        <v>3297</v>
      </c>
      <c r="AL1" s="82" t="s">
        <v>3333</v>
      </c>
      <c r="AM1" s="82" t="s">
        <v>3376</v>
      </c>
      <c r="AN1" s="82" t="s">
        <v>3393</v>
      </c>
      <c r="AO1" s="82" t="s">
        <v>3427</v>
      </c>
      <c r="AP1" s="82" t="s">
        <v>3430</v>
      </c>
      <c r="AQ1" s="82" t="s">
        <v>3458</v>
      </c>
      <c r="AR1" s="82" t="s">
        <v>3497</v>
      </c>
      <c r="AS1" s="82" t="s">
        <v>3524</v>
      </c>
      <c r="AT1" s="82" t="s">
        <v>3687</v>
      </c>
      <c r="AU1" s="82" t="s">
        <v>3704</v>
      </c>
      <c r="AV1" s="82" t="s">
        <v>3713</v>
      </c>
      <c r="AW1" s="82" t="s">
        <v>3797</v>
      </c>
      <c r="AX1" s="82" t="s">
        <v>3820</v>
      </c>
      <c r="AY1" s="82" t="s">
        <v>3838</v>
      </c>
      <c r="AZ1" s="82" t="s">
        <v>3874</v>
      </c>
    </row>
    <row r="2" ht="15.75" customHeight="1">
      <c r="A2" s="34">
        <v>1.0</v>
      </c>
      <c r="B2" s="34">
        <f>EMM_State_Elec_Map_NEMS_SEDS!B79/EMM_State_Elec_Map_NEMS_SEDS!$BA79</f>
        <v>0</v>
      </c>
      <c r="C2" s="34">
        <f>EMM_State_Elec_Map_NEMS_SEDS!C79/EMM_State_Elec_Map_NEMS_SEDS!$BA79</f>
        <v>0</v>
      </c>
      <c r="D2" s="34">
        <f>EMM_State_Elec_Map_NEMS_SEDS!D79/EMM_State_Elec_Map_NEMS_SEDS!$BA79</f>
        <v>0</v>
      </c>
      <c r="E2" s="34">
        <f>EMM_State_Elec_Map_NEMS_SEDS!E79/EMM_State_Elec_Map_NEMS_SEDS!$BA79</f>
        <v>0</v>
      </c>
      <c r="F2" s="34">
        <f>EMM_State_Elec_Map_NEMS_SEDS!F79/EMM_State_Elec_Map_NEMS_SEDS!$BA79</f>
        <v>0</v>
      </c>
      <c r="G2" s="34">
        <f>EMM_State_Elec_Map_NEMS_SEDS!G79/EMM_State_Elec_Map_NEMS_SEDS!$BA79</f>
        <v>0</v>
      </c>
      <c r="H2" s="34">
        <f>EMM_State_Elec_Map_NEMS_SEDS!H79/EMM_State_Elec_Map_NEMS_SEDS!$BA79</f>
        <v>0.2252747253</v>
      </c>
      <c r="I2" s="34">
        <f>EMM_State_Elec_Map_NEMS_SEDS!I79/EMM_State_Elec_Map_NEMS_SEDS!$BA79</f>
        <v>0</v>
      </c>
      <c r="J2" s="34">
        <f>EMM_State_Elec_Map_NEMS_SEDS!J79/EMM_State_Elec_Map_NEMS_SEDS!$BA79</f>
        <v>0</v>
      </c>
      <c r="K2" s="34">
        <f>EMM_State_Elec_Map_NEMS_SEDS!K79/EMM_State_Elec_Map_NEMS_SEDS!$BA79</f>
        <v>0</v>
      </c>
      <c r="L2" s="34">
        <f>EMM_State_Elec_Map_NEMS_SEDS!L79/EMM_State_Elec_Map_NEMS_SEDS!$BA79</f>
        <v>0</v>
      </c>
      <c r="M2" s="34">
        <f>EMM_State_Elec_Map_NEMS_SEDS!M79/EMM_State_Elec_Map_NEMS_SEDS!$BA79</f>
        <v>0</v>
      </c>
      <c r="N2" s="34">
        <f>EMM_State_Elec_Map_NEMS_SEDS!N79/EMM_State_Elec_Map_NEMS_SEDS!$BA79</f>
        <v>0</v>
      </c>
      <c r="O2" s="34">
        <f>EMM_State_Elec_Map_NEMS_SEDS!O79/EMM_State_Elec_Map_NEMS_SEDS!$BA79</f>
        <v>0</v>
      </c>
      <c r="P2" s="34">
        <f>EMM_State_Elec_Map_NEMS_SEDS!P79/EMM_State_Elec_Map_NEMS_SEDS!$BA79</f>
        <v>0</v>
      </c>
      <c r="Q2" s="34">
        <f>EMM_State_Elec_Map_NEMS_SEDS!Q79/EMM_State_Elec_Map_NEMS_SEDS!$BA79</f>
        <v>0</v>
      </c>
      <c r="R2" s="34">
        <f>EMM_State_Elec_Map_NEMS_SEDS!R79/EMM_State_Elec_Map_NEMS_SEDS!$BA79</f>
        <v>0</v>
      </c>
      <c r="S2" s="34">
        <f>EMM_State_Elec_Map_NEMS_SEDS!S79/EMM_State_Elec_Map_NEMS_SEDS!$BA79</f>
        <v>0</v>
      </c>
      <c r="T2" s="34">
        <f>EMM_State_Elec_Map_NEMS_SEDS!T79/EMM_State_Elec_Map_NEMS_SEDS!$BA79</f>
        <v>0</v>
      </c>
      <c r="U2" s="34">
        <f>EMM_State_Elec_Map_NEMS_SEDS!U79/EMM_State_Elec_Map_NEMS_SEDS!$BA79</f>
        <v>0.08241758242</v>
      </c>
      <c r="V2" s="34">
        <f>EMM_State_Elec_Map_NEMS_SEDS!V79/EMM_State_Elec_Map_NEMS_SEDS!$BA79</f>
        <v>0</v>
      </c>
      <c r="W2" s="34">
        <f>EMM_State_Elec_Map_NEMS_SEDS!W79/EMM_State_Elec_Map_NEMS_SEDS!$BA79</f>
        <v>0.4994505495</v>
      </c>
      <c r="X2" s="34">
        <f>EMM_State_Elec_Map_NEMS_SEDS!X79/EMM_State_Elec_Map_NEMS_SEDS!$BA79</f>
        <v>0</v>
      </c>
      <c r="Y2" s="34">
        <f>EMM_State_Elec_Map_NEMS_SEDS!Y79/EMM_State_Elec_Map_NEMS_SEDS!$BA79</f>
        <v>0</v>
      </c>
      <c r="Z2" s="34">
        <f>EMM_State_Elec_Map_NEMS_SEDS!Z79/EMM_State_Elec_Map_NEMS_SEDS!$BA79</f>
        <v>0</v>
      </c>
      <c r="AA2" s="34">
        <f>EMM_State_Elec_Map_NEMS_SEDS!AA79/EMM_State_Elec_Map_NEMS_SEDS!$BA79</f>
        <v>0</v>
      </c>
      <c r="AB2" s="34">
        <f>EMM_State_Elec_Map_NEMS_SEDS!AB79/EMM_State_Elec_Map_NEMS_SEDS!$BA79</f>
        <v>0</v>
      </c>
      <c r="AC2" s="34">
        <f>EMM_State_Elec_Map_NEMS_SEDS!AC79/EMM_State_Elec_Map_NEMS_SEDS!$BA79</f>
        <v>0</v>
      </c>
      <c r="AD2" s="34">
        <f>EMM_State_Elec_Map_NEMS_SEDS!AD79/EMM_State_Elec_Map_NEMS_SEDS!$BA79</f>
        <v>0</v>
      </c>
      <c r="AE2" s="34">
        <f>EMM_State_Elec_Map_NEMS_SEDS!AE79/EMM_State_Elec_Map_NEMS_SEDS!$BA79</f>
        <v>0.07802197802</v>
      </c>
      <c r="AF2" s="34">
        <f>EMM_State_Elec_Map_NEMS_SEDS!AF79/EMM_State_Elec_Map_NEMS_SEDS!$BA79</f>
        <v>0</v>
      </c>
      <c r="AG2" s="34">
        <f>EMM_State_Elec_Map_NEMS_SEDS!AG79/EMM_State_Elec_Map_NEMS_SEDS!$BA79</f>
        <v>0</v>
      </c>
      <c r="AH2" s="34">
        <f>EMM_State_Elec_Map_NEMS_SEDS!AH79/EMM_State_Elec_Map_NEMS_SEDS!$BA79</f>
        <v>0</v>
      </c>
      <c r="AI2" s="34">
        <f>EMM_State_Elec_Map_NEMS_SEDS!AI79/EMM_State_Elec_Map_NEMS_SEDS!$BA79</f>
        <v>0</v>
      </c>
      <c r="AJ2" s="34">
        <f>EMM_State_Elec_Map_NEMS_SEDS!AJ79/EMM_State_Elec_Map_NEMS_SEDS!$BA79</f>
        <v>0</v>
      </c>
      <c r="AK2" s="34">
        <f>EMM_State_Elec_Map_NEMS_SEDS!AK79/EMM_State_Elec_Map_NEMS_SEDS!$BA79</f>
        <v>0</v>
      </c>
      <c r="AL2" s="34">
        <f>EMM_State_Elec_Map_NEMS_SEDS!AL79/EMM_State_Elec_Map_NEMS_SEDS!$BA79</f>
        <v>0</v>
      </c>
      <c r="AM2" s="34">
        <f>EMM_State_Elec_Map_NEMS_SEDS!AM79/EMM_State_Elec_Map_NEMS_SEDS!$BA79</f>
        <v>0</v>
      </c>
      <c r="AN2" s="34">
        <f>EMM_State_Elec_Map_NEMS_SEDS!AN79/EMM_State_Elec_Map_NEMS_SEDS!$BA79</f>
        <v>0</v>
      </c>
      <c r="AO2" s="34">
        <f>EMM_State_Elec_Map_NEMS_SEDS!AO79/EMM_State_Elec_Map_NEMS_SEDS!$BA79</f>
        <v>0.07747252747</v>
      </c>
      <c r="AP2" s="34">
        <f>EMM_State_Elec_Map_NEMS_SEDS!AP79/EMM_State_Elec_Map_NEMS_SEDS!$BA79</f>
        <v>0</v>
      </c>
      <c r="AQ2" s="34">
        <f>EMM_State_Elec_Map_NEMS_SEDS!AQ79/EMM_State_Elec_Map_NEMS_SEDS!$BA79</f>
        <v>0</v>
      </c>
      <c r="AR2" s="34">
        <f>EMM_State_Elec_Map_NEMS_SEDS!AR79/EMM_State_Elec_Map_NEMS_SEDS!$BA79</f>
        <v>0</v>
      </c>
      <c r="AS2" s="34">
        <f>EMM_State_Elec_Map_NEMS_SEDS!AS79/EMM_State_Elec_Map_NEMS_SEDS!$BA79</f>
        <v>0</v>
      </c>
      <c r="AT2" s="34">
        <f>EMM_State_Elec_Map_NEMS_SEDS!AT79/EMM_State_Elec_Map_NEMS_SEDS!$BA79</f>
        <v>0</v>
      </c>
      <c r="AU2" s="34">
        <f>EMM_State_Elec_Map_NEMS_SEDS!AU79/EMM_State_Elec_Map_NEMS_SEDS!$BA79</f>
        <v>0.03736263736</v>
      </c>
      <c r="AV2" s="34">
        <f>EMM_State_Elec_Map_NEMS_SEDS!AV79/EMM_State_Elec_Map_NEMS_SEDS!$BA79</f>
        <v>0</v>
      </c>
      <c r="AW2" s="34">
        <f>EMM_State_Elec_Map_NEMS_SEDS!AW79/EMM_State_Elec_Map_NEMS_SEDS!$BA79</f>
        <v>0</v>
      </c>
      <c r="AX2" s="34">
        <f>EMM_State_Elec_Map_NEMS_SEDS!AX79/EMM_State_Elec_Map_NEMS_SEDS!$BA79</f>
        <v>0</v>
      </c>
      <c r="AY2" s="34">
        <f>EMM_State_Elec_Map_NEMS_SEDS!AY79/EMM_State_Elec_Map_NEMS_SEDS!$BA79</f>
        <v>0</v>
      </c>
      <c r="AZ2" s="34">
        <f>EMM_State_Elec_Map_NEMS_SEDS!AZ79/EMM_State_Elec_Map_NEMS_SEDS!$BA79</f>
        <v>0</v>
      </c>
    </row>
    <row r="3" ht="15.75" customHeight="1">
      <c r="A3" s="34">
        <v>2.0</v>
      </c>
      <c r="B3" s="34">
        <f>EMM_State_Elec_Map_NEMS_SEDS!B80/EMM_State_Elec_Map_NEMS_SEDS!$BA80</f>
        <v>0</v>
      </c>
      <c r="C3" s="34">
        <f>EMM_State_Elec_Map_NEMS_SEDS!C80/EMM_State_Elec_Map_NEMS_SEDS!$BA80</f>
        <v>0</v>
      </c>
      <c r="D3" s="34">
        <f>EMM_State_Elec_Map_NEMS_SEDS!D80/EMM_State_Elec_Map_NEMS_SEDS!$BA80</f>
        <v>0</v>
      </c>
      <c r="E3" s="34">
        <f>EMM_State_Elec_Map_NEMS_SEDS!E80/EMM_State_Elec_Map_NEMS_SEDS!$BA80</f>
        <v>0</v>
      </c>
      <c r="F3" s="34">
        <f>EMM_State_Elec_Map_NEMS_SEDS!F80/EMM_State_Elec_Map_NEMS_SEDS!$BA80</f>
        <v>0</v>
      </c>
      <c r="G3" s="34">
        <f>EMM_State_Elec_Map_NEMS_SEDS!G80/EMM_State_Elec_Map_NEMS_SEDS!$BA80</f>
        <v>0</v>
      </c>
      <c r="H3" s="34">
        <f>EMM_State_Elec_Map_NEMS_SEDS!H80/EMM_State_Elec_Map_NEMS_SEDS!$BA80</f>
        <v>0</v>
      </c>
      <c r="I3" s="34">
        <f>EMM_State_Elec_Map_NEMS_SEDS!I80/EMM_State_Elec_Map_NEMS_SEDS!$BA80</f>
        <v>0</v>
      </c>
      <c r="J3" s="34">
        <f>EMM_State_Elec_Map_NEMS_SEDS!J80/EMM_State_Elec_Map_NEMS_SEDS!$BA80</f>
        <v>0</v>
      </c>
      <c r="K3" s="34">
        <f>EMM_State_Elec_Map_NEMS_SEDS!K80/EMM_State_Elec_Map_NEMS_SEDS!$BA80</f>
        <v>0</v>
      </c>
      <c r="L3" s="34">
        <f>EMM_State_Elec_Map_NEMS_SEDS!L80/EMM_State_Elec_Map_NEMS_SEDS!$BA80</f>
        <v>0</v>
      </c>
      <c r="M3" s="34">
        <f>EMM_State_Elec_Map_NEMS_SEDS!M80/EMM_State_Elec_Map_NEMS_SEDS!$BA80</f>
        <v>0</v>
      </c>
      <c r="N3" s="34">
        <f>EMM_State_Elec_Map_NEMS_SEDS!N80/EMM_State_Elec_Map_NEMS_SEDS!$BA80</f>
        <v>0</v>
      </c>
      <c r="O3" s="34">
        <f>EMM_State_Elec_Map_NEMS_SEDS!O80/EMM_State_Elec_Map_NEMS_SEDS!$BA80</f>
        <v>0</v>
      </c>
      <c r="P3" s="34">
        <f>EMM_State_Elec_Map_NEMS_SEDS!P80/EMM_State_Elec_Map_NEMS_SEDS!$BA80</f>
        <v>0</v>
      </c>
      <c r="Q3" s="34">
        <f>EMM_State_Elec_Map_NEMS_SEDS!Q80/EMM_State_Elec_Map_NEMS_SEDS!$BA80</f>
        <v>0</v>
      </c>
      <c r="R3" s="34">
        <f>EMM_State_Elec_Map_NEMS_SEDS!R80/EMM_State_Elec_Map_NEMS_SEDS!$BA80</f>
        <v>0</v>
      </c>
      <c r="S3" s="34">
        <f>EMM_State_Elec_Map_NEMS_SEDS!S80/EMM_State_Elec_Map_NEMS_SEDS!$BA80</f>
        <v>0</v>
      </c>
      <c r="T3" s="34">
        <f>EMM_State_Elec_Map_NEMS_SEDS!T80/EMM_State_Elec_Map_NEMS_SEDS!$BA80</f>
        <v>0</v>
      </c>
      <c r="U3" s="34">
        <f>EMM_State_Elec_Map_NEMS_SEDS!U80/EMM_State_Elec_Map_NEMS_SEDS!$BA80</f>
        <v>0</v>
      </c>
      <c r="V3" s="34">
        <f>EMM_State_Elec_Map_NEMS_SEDS!V80/EMM_State_Elec_Map_NEMS_SEDS!$BA80</f>
        <v>0</v>
      </c>
      <c r="W3" s="34">
        <f>EMM_State_Elec_Map_NEMS_SEDS!W80/EMM_State_Elec_Map_NEMS_SEDS!$BA80</f>
        <v>0</v>
      </c>
      <c r="X3" s="34">
        <f>EMM_State_Elec_Map_NEMS_SEDS!X80/EMM_State_Elec_Map_NEMS_SEDS!$BA80</f>
        <v>0</v>
      </c>
      <c r="Y3" s="34">
        <f>EMM_State_Elec_Map_NEMS_SEDS!Y80/EMM_State_Elec_Map_NEMS_SEDS!$BA80</f>
        <v>0</v>
      </c>
      <c r="Z3" s="34">
        <f>EMM_State_Elec_Map_NEMS_SEDS!Z80/EMM_State_Elec_Map_NEMS_SEDS!$BA80</f>
        <v>0</v>
      </c>
      <c r="AA3" s="34">
        <f>EMM_State_Elec_Map_NEMS_SEDS!AA80/EMM_State_Elec_Map_NEMS_SEDS!$BA80</f>
        <v>0</v>
      </c>
      <c r="AB3" s="34">
        <f>EMM_State_Elec_Map_NEMS_SEDS!AB80/EMM_State_Elec_Map_NEMS_SEDS!$BA80</f>
        <v>0</v>
      </c>
      <c r="AC3" s="34">
        <f>EMM_State_Elec_Map_NEMS_SEDS!AC80/EMM_State_Elec_Map_NEMS_SEDS!$BA80</f>
        <v>0</v>
      </c>
      <c r="AD3" s="34">
        <f>EMM_State_Elec_Map_NEMS_SEDS!AD80/EMM_State_Elec_Map_NEMS_SEDS!$BA80</f>
        <v>0</v>
      </c>
      <c r="AE3" s="34">
        <f>EMM_State_Elec_Map_NEMS_SEDS!AE80/EMM_State_Elec_Map_NEMS_SEDS!$BA80</f>
        <v>0</v>
      </c>
      <c r="AF3" s="34">
        <f>EMM_State_Elec_Map_NEMS_SEDS!AF80/EMM_State_Elec_Map_NEMS_SEDS!$BA80</f>
        <v>0.2577639752</v>
      </c>
      <c r="AG3" s="34">
        <f>EMM_State_Elec_Map_NEMS_SEDS!AG80/EMM_State_Elec_Map_NEMS_SEDS!$BA80</f>
        <v>0</v>
      </c>
      <c r="AH3" s="34">
        <f>EMM_State_Elec_Map_NEMS_SEDS!AH80/EMM_State_Elec_Map_NEMS_SEDS!$BA80</f>
        <v>0.4926242236</v>
      </c>
      <c r="AI3" s="34">
        <f>EMM_State_Elec_Map_NEMS_SEDS!AI80/EMM_State_Elec_Map_NEMS_SEDS!$BA80</f>
        <v>0</v>
      </c>
      <c r="AJ3" s="34">
        <f>EMM_State_Elec_Map_NEMS_SEDS!AJ80/EMM_State_Elec_Map_NEMS_SEDS!$BA80</f>
        <v>0</v>
      </c>
      <c r="AK3" s="34">
        <f>EMM_State_Elec_Map_NEMS_SEDS!AK80/EMM_State_Elec_Map_NEMS_SEDS!$BA80</f>
        <v>0</v>
      </c>
      <c r="AL3" s="34">
        <f>EMM_State_Elec_Map_NEMS_SEDS!AL80/EMM_State_Elec_Map_NEMS_SEDS!$BA80</f>
        <v>0</v>
      </c>
      <c r="AM3" s="34">
        <f>EMM_State_Elec_Map_NEMS_SEDS!AM80/EMM_State_Elec_Map_NEMS_SEDS!$BA80</f>
        <v>0</v>
      </c>
      <c r="AN3" s="34">
        <f>EMM_State_Elec_Map_NEMS_SEDS!AN80/EMM_State_Elec_Map_NEMS_SEDS!$BA80</f>
        <v>0.2496118012</v>
      </c>
      <c r="AO3" s="34">
        <f>EMM_State_Elec_Map_NEMS_SEDS!AO80/EMM_State_Elec_Map_NEMS_SEDS!$BA80</f>
        <v>0</v>
      </c>
      <c r="AP3" s="34">
        <f>EMM_State_Elec_Map_NEMS_SEDS!AP80/EMM_State_Elec_Map_NEMS_SEDS!$BA80</f>
        <v>0</v>
      </c>
      <c r="AQ3" s="34">
        <f>EMM_State_Elec_Map_NEMS_SEDS!AQ80/EMM_State_Elec_Map_NEMS_SEDS!$BA80</f>
        <v>0</v>
      </c>
      <c r="AR3" s="34">
        <f>EMM_State_Elec_Map_NEMS_SEDS!AR80/EMM_State_Elec_Map_NEMS_SEDS!$BA80</f>
        <v>0</v>
      </c>
      <c r="AS3" s="34">
        <f>EMM_State_Elec_Map_NEMS_SEDS!AS80/EMM_State_Elec_Map_NEMS_SEDS!$BA80</f>
        <v>0</v>
      </c>
      <c r="AT3" s="34">
        <f>EMM_State_Elec_Map_NEMS_SEDS!AT80/EMM_State_Elec_Map_NEMS_SEDS!$BA80</f>
        <v>0</v>
      </c>
      <c r="AU3" s="34">
        <f>EMM_State_Elec_Map_NEMS_SEDS!AU80/EMM_State_Elec_Map_NEMS_SEDS!$BA80</f>
        <v>0</v>
      </c>
      <c r="AV3" s="34">
        <f>EMM_State_Elec_Map_NEMS_SEDS!AV80/EMM_State_Elec_Map_NEMS_SEDS!$BA80</f>
        <v>0</v>
      </c>
      <c r="AW3" s="34">
        <f>EMM_State_Elec_Map_NEMS_SEDS!AW80/EMM_State_Elec_Map_NEMS_SEDS!$BA80</f>
        <v>0</v>
      </c>
      <c r="AX3" s="34">
        <f>EMM_State_Elec_Map_NEMS_SEDS!AX80/EMM_State_Elec_Map_NEMS_SEDS!$BA80</f>
        <v>0</v>
      </c>
      <c r="AY3" s="34">
        <f>EMM_State_Elec_Map_NEMS_SEDS!AY80/EMM_State_Elec_Map_NEMS_SEDS!$BA80</f>
        <v>0</v>
      </c>
      <c r="AZ3" s="34">
        <f>EMM_State_Elec_Map_NEMS_SEDS!AZ80/EMM_State_Elec_Map_NEMS_SEDS!$BA80</f>
        <v>0</v>
      </c>
    </row>
    <row r="4" ht="15.75" customHeight="1">
      <c r="A4" s="34">
        <v>3.0</v>
      </c>
      <c r="B4" s="34">
        <f>EMM_State_Elec_Map_NEMS_SEDS!B81/EMM_State_Elec_Map_NEMS_SEDS!$BA81</f>
        <v>0</v>
      </c>
      <c r="C4" s="34">
        <f>EMM_State_Elec_Map_NEMS_SEDS!C81/EMM_State_Elec_Map_NEMS_SEDS!$BA81</f>
        <v>0</v>
      </c>
      <c r="D4" s="34">
        <f>EMM_State_Elec_Map_NEMS_SEDS!D81/EMM_State_Elec_Map_NEMS_SEDS!$BA81</f>
        <v>0</v>
      </c>
      <c r="E4" s="34">
        <f>EMM_State_Elec_Map_NEMS_SEDS!E81/EMM_State_Elec_Map_NEMS_SEDS!$BA81</f>
        <v>0</v>
      </c>
      <c r="F4" s="34">
        <f>EMM_State_Elec_Map_NEMS_SEDS!F81/EMM_State_Elec_Map_NEMS_SEDS!$BA81</f>
        <v>0</v>
      </c>
      <c r="G4" s="34">
        <f>EMM_State_Elec_Map_NEMS_SEDS!G81/EMM_State_Elec_Map_NEMS_SEDS!$BA81</f>
        <v>0</v>
      </c>
      <c r="H4" s="34">
        <f>EMM_State_Elec_Map_NEMS_SEDS!H81/EMM_State_Elec_Map_NEMS_SEDS!$BA81</f>
        <v>0</v>
      </c>
      <c r="I4" s="34">
        <f>EMM_State_Elec_Map_NEMS_SEDS!I81/EMM_State_Elec_Map_NEMS_SEDS!$BA81</f>
        <v>0</v>
      </c>
      <c r="J4" s="34">
        <f>EMM_State_Elec_Map_NEMS_SEDS!J81/EMM_State_Elec_Map_NEMS_SEDS!$BA81</f>
        <v>0</v>
      </c>
      <c r="K4" s="34">
        <f>EMM_State_Elec_Map_NEMS_SEDS!K81/EMM_State_Elec_Map_NEMS_SEDS!$BA81</f>
        <v>0</v>
      </c>
      <c r="L4" s="34">
        <f>EMM_State_Elec_Map_NEMS_SEDS!L81/EMM_State_Elec_Map_NEMS_SEDS!$BA81</f>
        <v>0</v>
      </c>
      <c r="M4" s="34">
        <f>EMM_State_Elec_Map_NEMS_SEDS!M81/EMM_State_Elec_Map_NEMS_SEDS!$BA81</f>
        <v>0</v>
      </c>
      <c r="N4" s="34">
        <f>EMM_State_Elec_Map_NEMS_SEDS!N81/EMM_State_Elec_Map_NEMS_SEDS!$BA81</f>
        <v>0</v>
      </c>
      <c r="O4" s="34">
        <f>EMM_State_Elec_Map_NEMS_SEDS!O81/EMM_State_Elec_Map_NEMS_SEDS!$BA81</f>
        <v>0.2671680837</v>
      </c>
      <c r="P4" s="34">
        <f>EMM_State_Elec_Map_NEMS_SEDS!P81/EMM_State_Elec_Map_NEMS_SEDS!$BA81</f>
        <v>0.1334205363</v>
      </c>
      <c r="Q4" s="34">
        <f>EMM_State_Elec_Map_NEMS_SEDS!Q81/EMM_State_Elec_Map_NEMS_SEDS!$BA81</f>
        <v>0</v>
      </c>
      <c r="R4" s="34">
        <f>EMM_State_Elec_Map_NEMS_SEDS!R81/EMM_State_Elec_Map_NEMS_SEDS!$BA81</f>
        <v>0</v>
      </c>
      <c r="S4" s="34">
        <f>EMM_State_Elec_Map_NEMS_SEDS!S81/EMM_State_Elec_Map_NEMS_SEDS!$BA81</f>
        <v>0</v>
      </c>
      <c r="T4" s="34">
        <f>EMM_State_Elec_Map_NEMS_SEDS!T81/EMM_State_Elec_Map_NEMS_SEDS!$BA81</f>
        <v>0</v>
      </c>
      <c r="U4" s="34">
        <f>EMM_State_Elec_Map_NEMS_SEDS!U81/EMM_State_Elec_Map_NEMS_SEDS!$BA81</f>
        <v>0</v>
      </c>
      <c r="V4" s="34">
        <f>EMM_State_Elec_Map_NEMS_SEDS!V81/EMM_State_Elec_Map_NEMS_SEDS!$BA81</f>
        <v>0</v>
      </c>
      <c r="W4" s="34">
        <f>EMM_State_Elec_Map_NEMS_SEDS!W81/EMM_State_Elec_Map_NEMS_SEDS!$BA81</f>
        <v>0</v>
      </c>
      <c r="X4" s="34">
        <f>EMM_State_Elec_Map_NEMS_SEDS!X81/EMM_State_Elec_Map_NEMS_SEDS!$BA81</f>
        <v>0.2089601046</v>
      </c>
      <c r="Y4" s="34">
        <f>EMM_State_Elec_Map_NEMS_SEDS!Y81/EMM_State_Elec_Map_NEMS_SEDS!$BA81</f>
        <v>0</v>
      </c>
      <c r="Z4" s="34">
        <f>EMM_State_Elec_Map_NEMS_SEDS!Z81/EMM_State_Elec_Map_NEMS_SEDS!$BA81</f>
        <v>0</v>
      </c>
      <c r="AA4" s="34">
        <f>EMM_State_Elec_Map_NEMS_SEDS!AA81/EMM_State_Elec_Map_NEMS_SEDS!$BA81</f>
        <v>0</v>
      </c>
      <c r="AB4" s="34">
        <f>EMM_State_Elec_Map_NEMS_SEDS!AB81/EMM_State_Elec_Map_NEMS_SEDS!$BA81</f>
        <v>0</v>
      </c>
      <c r="AC4" s="34">
        <f>EMM_State_Elec_Map_NEMS_SEDS!AC81/EMM_State_Elec_Map_NEMS_SEDS!$BA81</f>
        <v>0</v>
      </c>
      <c r="AD4" s="34">
        <f>EMM_State_Elec_Map_NEMS_SEDS!AD81/EMM_State_Elec_Map_NEMS_SEDS!$BA81</f>
        <v>0</v>
      </c>
      <c r="AE4" s="34">
        <f>EMM_State_Elec_Map_NEMS_SEDS!AE81/EMM_State_Elec_Map_NEMS_SEDS!$BA81</f>
        <v>0</v>
      </c>
      <c r="AF4" s="34">
        <f>EMM_State_Elec_Map_NEMS_SEDS!AF81/EMM_State_Elec_Map_NEMS_SEDS!$BA81</f>
        <v>0</v>
      </c>
      <c r="AG4" s="34">
        <f>EMM_State_Elec_Map_NEMS_SEDS!AG81/EMM_State_Elec_Map_NEMS_SEDS!$BA81</f>
        <v>0</v>
      </c>
      <c r="AH4" s="34">
        <f>EMM_State_Elec_Map_NEMS_SEDS!AH81/EMM_State_Elec_Map_NEMS_SEDS!$BA81</f>
        <v>0</v>
      </c>
      <c r="AI4" s="34">
        <f>EMM_State_Elec_Map_NEMS_SEDS!AI81/EMM_State_Elec_Map_NEMS_SEDS!$BA81</f>
        <v>0</v>
      </c>
      <c r="AJ4" s="34">
        <f>EMM_State_Elec_Map_NEMS_SEDS!AJ81/EMM_State_Elec_Map_NEMS_SEDS!$BA81</f>
        <v>0</v>
      </c>
      <c r="AK4" s="34">
        <f>EMM_State_Elec_Map_NEMS_SEDS!AK81/EMM_State_Elec_Map_NEMS_SEDS!$BA81</f>
        <v>0.2593198169</v>
      </c>
      <c r="AL4" s="34">
        <f>EMM_State_Elec_Map_NEMS_SEDS!AL81/EMM_State_Elec_Map_NEMS_SEDS!$BA81</f>
        <v>0</v>
      </c>
      <c r="AM4" s="34">
        <f>EMM_State_Elec_Map_NEMS_SEDS!AM81/EMM_State_Elec_Map_NEMS_SEDS!$BA81</f>
        <v>0</v>
      </c>
      <c r="AN4" s="34">
        <f>EMM_State_Elec_Map_NEMS_SEDS!AN81/EMM_State_Elec_Map_NEMS_SEDS!$BA81</f>
        <v>0</v>
      </c>
      <c r="AO4" s="34">
        <f>EMM_State_Elec_Map_NEMS_SEDS!AO81/EMM_State_Elec_Map_NEMS_SEDS!$BA81</f>
        <v>0</v>
      </c>
      <c r="AP4" s="34">
        <f>EMM_State_Elec_Map_NEMS_SEDS!AP81/EMM_State_Elec_Map_NEMS_SEDS!$BA81</f>
        <v>0</v>
      </c>
      <c r="AQ4" s="34">
        <f>EMM_State_Elec_Map_NEMS_SEDS!AQ81/EMM_State_Elec_Map_NEMS_SEDS!$BA81</f>
        <v>0</v>
      </c>
      <c r="AR4" s="34">
        <f>EMM_State_Elec_Map_NEMS_SEDS!AR81/EMM_State_Elec_Map_NEMS_SEDS!$BA81</f>
        <v>0</v>
      </c>
      <c r="AS4" s="34">
        <f>EMM_State_Elec_Map_NEMS_SEDS!AS81/EMM_State_Elec_Map_NEMS_SEDS!$BA81</f>
        <v>0</v>
      </c>
      <c r="AT4" s="34">
        <f>EMM_State_Elec_Map_NEMS_SEDS!AT81/EMM_State_Elec_Map_NEMS_SEDS!$BA81</f>
        <v>0</v>
      </c>
      <c r="AU4" s="34">
        <f>EMM_State_Elec_Map_NEMS_SEDS!AU81/EMM_State_Elec_Map_NEMS_SEDS!$BA81</f>
        <v>0</v>
      </c>
      <c r="AV4" s="34">
        <f>EMM_State_Elec_Map_NEMS_SEDS!AV81/EMM_State_Elec_Map_NEMS_SEDS!$BA81</f>
        <v>0</v>
      </c>
      <c r="AW4" s="34">
        <f>EMM_State_Elec_Map_NEMS_SEDS!AW81/EMM_State_Elec_Map_NEMS_SEDS!$BA81</f>
        <v>0</v>
      </c>
      <c r="AX4" s="34">
        <f>EMM_State_Elec_Map_NEMS_SEDS!AX81/EMM_State_Elec_Map_NEMS_SEDS!$BA81</f>
        <v>0</v>
      </c>
      <c r="AY4" s="34">
        <f>EMM_State_Elec_Map_NEMS_SEDS!AY81/EMM_State_Elec_Map_NEMS_SEDS!$BA81</f>
        <v>0.1311314585</v>
      </c>
      <c r="AZ4" s="34">
        <f>EMM_State_Elec_Map_NEMS_SEDS!AZ81/EMM_State_Elec_Map_NEMS_SEDS!$BA81</f>
        <v>0</v>
      </c>
    </row>
    <row r="5" ht="15.75" customHeight="1">
      <c r="A5" s="34">
        <v>4.0</v>
      </c>
      <c r="B5" s="34">
        <f>EMM_State_Elec_Map_NEMS_SEDS!B82/EMM_State_Elec_Map_NEMS_SEDS!$BA82</f>
        <v>0</v>
      </c>
      <c r="C5" s="34">
        <f>EMM_State_Elec_Map_NEMS_SEDS!C82/EMM_State_Elec_Map_NEMS_SEDS!$BA82</f>
        <v>0</v>
      </c>
      <c r="D5" s="34">
        <f>EMM_State_Elec_Map_NEMS_SEDS!D82/EMM_State_Elec_Map_NEMS_SEDS!$BA82</f>
        <v>0</v>
      </c>
      <c r="E5" s="34">
        <f>EMM_State_Elec_Map_NEMS_SEDS!E82/EMM_State_Elec_Map_NEMS_SEDS!$BA82</f>
        <v>0</v>
      </c>
      <c r="F5" s="34">
        <f>EMM_State_Elec_Map_NEMS_SEDS!F82/EMM_State_Elec_Map_NEMS_SEDS!$BA82</f>
        <v>0</v>
      </c>
      <c r="G5" s="34">
        <f>EMM_State_Elec_Map_NEMS_SEDS!G82/EMM_State_Elec_Map_NEMS_SEDS!$BA82</f>
        <v>0</v>
      </c>
      <c r="H5" s="34">
        <f>EMM_State_Elec_Map_NEMS_SEDS!H82/EMM_State_Elec_Map_NEMS_SEDS!$BA82</f>
        <v>0</v>
      </c>
      <c r="I5" s="34">
        <f>EMM_State_Elec_Map_NEMS_SEDS!I82/EMM_State_Elec_Map_NEMS_SEDS!$BA82</f>
        <v>0</v>
      </c>
      <c r="J5" s="34">
        <f>EMM_State_Elec_Map_NEMS_SEDS!J82/EMM_State_Elec_Map_NEMS_SEDS!$BA82</f>
        <v>0</v>
      </c>
      <c r="K5" s="34">
        <f>EMM_State_Elec_Map_NEMS_SEDS!K82/EMM_State_Elec_Map_NEMS_SEDS!$BA82</f>
        <v>0</v>
      </c>
      <c r="L5" s="34">
        <f>EMM_State_Elec_Map_NEMS_SEDS!L82/EMM_State_Elec_Map_NEMS_SEDS!$BA82</f>
        <v>0</v>
      </c>
      <c r="M5" s="34">
        <f>EMM_State_Elec_Map_NEMS_SEDS!M82/EMM_State_Elec_Map_NEMS_SEDS!$BA82</f>
        <v>0</v>
      </c>
      <c r="N5" s="34">
        <f>EMM_State_Elec_Map_NEMS_SEDS!N82/EMM_State_Elec_Map_NEMS_SEDS!$BA82</f>
        <v>0</v>
      </c>
      <c r="O5" s="34">
        <f>EMM_State_Elec_Map_NEMS_SEDS!O82/EMM_State_Elec_Map_NEMS_SEDS!$BA82</f>
        <v>0</v>
      </c>
      <c r="P5" s="34">
        <f>EMM_State_Elec_Map_NEMS_SEDS!P82/EMM_State_Elec_Map_NEMS_SEDS!$BA82</f>
        <v>0</v>
      </c>
      <c r="Q5" s="34">
        <f>EMM_State_Elec_Map_NEMS_SEDS!Q82/EMM_State_Elec_Map_NEMS_SEDS!$BA82</f>
        <v>0.1223463687</v>
      </c>
      <c r="R5" s="34">
        <f>EMM_State_Elec_Map_NEMS_SEDS!R82/EMM_State_Elec_Map_NEMS_SEDS!$BA82</f>
        <v>0.1525139665</v>
      </c>
      <c r="S5" s="34">
        <f>EMM_State_Elec_Map_NEMS_SEDS!S82/EMM_State_Elec_Map_NEMS_SEDS!$BA82</f>
        <v>0</v>
      </c>
      <c r="T5" s="34">
        <f>EMM_State_Elec_Map_NEMS_SEDS!T82/EMM_State_Elec_Map_NEMS_SEDS!$BA82</f>
        <v>0</v>
      </c>
      <c r="U5" s="34">
        <f>EMM_State_Elec_Map_NEMS_SEDS!U82/EMM_State_Elec_Map_NEMS_SEDS!$BA82</f>
        <v>0</v>
      </c>
      <c r="V5" s="34">
        <f>EMM_State_Elec_Map_NEMS_SEDS!V82/EMM_State_Elec_Map_NEMS_SEDS!$BA82</f>
        <v>0</v>
      </c>
      <c r="W5" s="34">
        <f>EMM_State_Elec_Map_NEMS_SEDS!W82/EMM_State_Elec_Map_NEMS_SEDS!$BA82</f>
        <v>0</v>
      </c>
      <c r="X5" s="34">
        <f>EMM_State_Elec_Map_NEMS_SEDS!X82/EMM_State_Elec_Map_NEMS_SEDS!$BA82</f>
        <v>0</v>
      </c>
      <c r="Y5" s="34">
        <f>EMM_State_Elec_Map_NEMS_SEDS!Y82/EMM_State_Elec_Map_NEMS_SEDS!$BA82</f>
        <v>0.2153631285</v>
      </c>
      <c r="Z5" s="34">
        <f>EMM_State_Elec_Map_NEMS_SEDS!Z82/EMM_State_Elec_Map_NEMS_SEDS!$BA82</f>
        <v>0</v>
      </c>
      <c r="AA5" s="34">
        <f>EMM_State_Elec_Map_NEMS_SEDS!AA82/EMM_State_Elec_Map_NEMS_SEDS!$BA82</f>
        <v>0.2854748603</v>
      </c>
      <c r="AB5" s="34">
        <f>EMM_State_Elec_Map_NEMS_SEDS!AB82/EMM_State_Elec_Map_NEMS_SEDS!$BA82</f>
        <v>0</v>
      </c>
      <c r="AC5" s="34">
        <f>EMM_State_Elec_Map_NEMS_SEDS!AC82/EMM_State_Elec_Map_NEMS_SEDS!$BA82</f>
        <v>0.09357541899</v>
      </c>
      <c r="AD5" s="34">
        <f>EMM_State_Elec_Map_NEMS_SEDS!AD82/EMM_State_Elec_Map_NEMS_SEDS!$BA82</f>
        <v>0</v>
      </c>
      <c r="AE5" s="34">
        <f>EMM_State_Elec_Map_NEMS_SEDS!AE82/EMM_State_Elec_Map_NEMS_SEDS!$BA82</f>
        <v>0</v>
      </c>
      <c r="AF5" s="34">
        <f>EMM_State_Elec_Map_NEMS_SEDS!AF82/EMM_State_Elec_Map_NEMS_SEDS!$BA82</f>
        <v>0</v>
      </c>
      <c r="AG5" s="34">
        <f>EMM_State_Elec_Map_NEMS_SEDS!AG82/EMM_State_Elec_Map_NEMS_SEDS!$BA82</f>
        <v>0</v>
      </c>
      <c r="AH5" s="34">
        <f>EMM_State_Elec_Map_NEMS_SEDS!AH82/EMM_State_Elec_Map_NEMS_SEDS!$BA82</f>
        <v>0</v>
      </c>
      <c r="AI5" s="34">
        <f>EMM_State_Elec_Map_NEMS_SEDS!AI82/EMM_State_Elec_Map_NEMS_SEDS!$BA82</f>
        <v>0</v>
      </c>
      <c r="AJ5" s="34">
        <f>EMM_State_Elec_Map_NEMS_SEDS!AJ82/EMM_State_Elec_Map_NEMS_SEDS!$BA82</f>
        <v>0.08100558659</v>
      </c>
      <c r="AK5" s="34">
        <f>EMM_State_Elec_Map_NEMS_SEDS!AK82/EMM_State_Elec_Map_NEMS_SEDS!$BA82</f>
        <v>0</v>
      </c>
      <c r="AL5" s="34">
        <f>EMM_State_Elec_Map_NEMS_SEDS!AL82/EMM_State_Elec_Map_NEMS_SEDS!$BA82</f>
        <v>0</v>
      </c>
      <c r="AM5" s="34">
        <f>EMM_State_Elec_Map_NEMS_SEDS!AM82/EMM_State_Elec_Map_NEMS_SEDS!$BA82</f>
        <v>0</v>
      </c>
      <c r="AN5" s="34">
        <f>EMM_State_Elec_Map_NEMS_SEDS!AN82/EMM_State_Elec_Map_NEMS_SEDS!$BA82</f>
        <v>0</v>
      </c>
      <c r="AO5" s="34">
        <f>EMM_State_Elec_Map_NEMS_SEDS!AO82/EMM_State_Elec_Map_NEMS_SEDS!$BA82</f>
        <v>0</v>
      </c>
      <c r="AP5" s="34">
        <f>EMM_State_Elec_Map_NEMS_SEDS!AP82/EMM_State_Elec_Map_NEMS_SEDS!$BA82</f>
        <v>0</v>
      </c>
      <c r="AQ5" s="34">
        <f>EMM_State_Elec_Map_NEMS_SEDS!AQ82/EMM_State_Elec_Map_NEMS_SEDS!$BA82</f>
        <v>0.04972067039</v>
      </c>
      <c r="AR5" s="34">
        <f>EMM_State_Elec_Map_NEMS_SEDS!AR82/EMM_State_Elec_Map_NEMS_SEDS!$BA82</f>
        <v>0</v>
      </c>
      <c r="AS5" s="34">
        <f>EMM_State_Elec_Map_NEMS_SEDS!AS82/EMM_State_Elec_Map_NEMS_SEDS!$BA82</f>
        <v>0</v>
      </c>
      <c r="AT5" s="34">
        <f>EMM_State_Elec_Map_NEMS_SEDS!AT82/EMM_State_Elec_Map_NEMS_SEDS!$BA82</f>
        <v>0</v>
      </c>
      <c r="AU5" s="34">
        <f>EMM_State_Elec_Map_NEMS_SEDS!AU82/EMM_State_Elec_Map_NEMS_SEDS!$BA82</f>
        <v>0</v>
      </c>
      <c r="AV5" s="34">
        <f>EMM_State_Elec_Map_NEMS_SEDS!AV82/EMM_State_Elec_Map_NEMS_SEDS!$BA82</f>
        <v>0</v>
      </c>
      <c r="AW5" s="34">
        <f>EMM_State_Elec_Map_NEMS_SEDS!AW82/EMM_State_Elec_Map_NEMS_SEDS!$BA82</f>
        <v>0</v>
      </c>
      <c r="AX5" s="34">
        <f>EMM_State_Elec_Map_NEMS_SEDS!AX82/EMM_State_Elec_Map_NEMS_SEDS!$BA82</f>
        <v>0</v>
      </c>
      <c r="AY5" s="34">
        <f>EMM_State_Elec_Map_NEMS_SEDS!AY82/EMM_State_Elec_Map_NEMS_SEDS!$BA82</f>
        <v>0</v>
      </c>
      <c r="AZ5" s="34">
        <f>EMM_State_Elec_Map_NEMS_SEDS!AZ82/EMM_State_Elec_Map_NEMS_SEDS!$BA82</f>
        <v>0</v>
      </c>
    </row>
    <row r="6" ht="15.75" customHeight="1">
      <c r="A6" s="34">
        <v>5.0</v>
      </c>
      <c r="B6" s="34">
        <f>EMM_State_Elec_Map_NEMS_SEDS!B83/EMM_State_Elec_Map_NEMS_SEDS!$BA83</f>
        <v>0</v>
      </c>
      <c r="C6" s="34">
        <f>EMM_State_Elec_Map_NEMS_SEDS!C83/EMM_State_Elec_Map_NEMS_SEDS!$BA83</f>
        <v>0</v>
      </c>
      <c r="D6" s="34">
        <f>EMM_State_Elec_Map_NEMS_SEDS!D83/EMM_State_Elec_Map_NEMS_SEDS!$BA83</f>
        <v>0</v>
      </c>
      <c r="E6" s="34">
        <f>EMM_State_Elec_Map_NEMS_SEDS!E83/EMM_State_Elec_Map_NEMS_SEDS!$BA83</f>
        <v>0</v>
      </c>
      <c r="F6" s="34">
        <f>EMM_State_Elec_Map_NEMS_SEDS!F83/EMM_State_Elec_Map_NEMS_SEDS!$BA83</f>
        <v>0</v>
      </c>
      <c r="G6" s="34">
        <f>EMM_State_Elec_Map_NEMS_SEDS!G83/EMM_State_Elec_Map_NEMS_SEDS!$BA83</f>
        <v>0</v>
      </c>
      <c r="H6" s="34">
        <f>EMM_State_Elec_Map_NEMS_SEDS!H83/EMM_State_Elec_Map_NEMS_SEDS!$BA83</f>
        <v>0</v>
      </c>
      <c r="I6" s="34">
        <f>EMM_State_Elec_Map_NEMS_SEDS!I83/EMM_State_Elec_Map_NEMS_SEDS!$BA83</f>
        <v>0.01287628328</v>
      </c>
      <c r="J6" s="34">
        <f>EMM_State_Elec_Map_NEMS_SEDS!J83/EMM_State_Elec_Map_NEMS_SEDS!$BA83</f>
        <v>0.02183748042</v>
      </c>
      <c r="K6" s="34">
        <f>EMM_State_Elec_Map_NEMS_SEDS!K83/EMM_State_Elec_Map_NEMS_SEDS!$BA83</f>
        <v>0.2900643814</v>
      </c>
      <c r="L6" s="34">
        <f>EMM_State_Elec_Map_NEMS_SEDS!L83/EMM_State_Elec_Map_NEMS_SEDS!$BA83</f>
        <v>0.1472072386</v>
      </c>
      <c r="M6" s="34">
        <f>EMM_State_Elec_Map_NEMS_SEDS!M83/EMM_State_Elec_Map_NEMS_SEDS!$BA83</f>
        <v>0</v>
      </c>
      <c r="N6" s="34">
        <f>EMM_State_Elec_Map_NEMS_SEDS!N83/EMM_State_Elec_Map_NEMS_SEDS!$BA83</f>
        <v>0</v>
      </c>
      <c r="O6" s="34">
        <f>EMM_State_Elec_Map_NEMS_SEDS!O83/EMM_State_Elec_Map_NEMS_SEDS!$BA83</f>
        <v>0</v>
      </c>
      <c r="P6" s="34">
        <f>EMM_State_Elec_Map_NEMS_SEDS!P83/EMM_State_Elec_Map_NEMS_SEDS!$BA83</f>
        <v>0</v>
      </c>
      <c r="Q6" s="34">
        <f>EMM_State_Elec_Map_NEMS_SEDS!Q83/EMM_State_Elec_Map_NEMS_SEDS!$BA83</f>
        <v>0</v>
      </c>
      <c r="R6" s="34">
        <f>EMM_State_Elec_Map_NEMS_SEDS!R83/EMM_State_Elec_Map_NEMS_SEDS!$BA83</f>
        <v>0</v>
      </c>
      <c r="S6" s="34">
        <f>EMM_State_Elec_Map_NEMS_SEDS!S83/EMM_State_Elec_Map_NEMS_SEDS!$BA83</f>
        <v>0</v>
      </c>
      <c r="T6" s="34">
        <f>EMM_State_Elec_Map_NEMS_SEDS!T83/EMM_State_Elec_Map_NEMS_SEDS!$BA83</f>
        <v>0</v>
      </c>
      <c r="U6" s="34">
        <f>EMM_State_Elec_Map_NEMS_SEDS!U83/EMM_State_Elec_Map_NEMS_SEDS!$BA83</f>
        <v>0</v>
      </c>
      <c r="V6" s="34">
        <f>EMM_State_Elec_Map_NEMS_SEDS!V83/EMM_State_Elec_Map_NEMS_SEDS!$BA83</f>
        <v>0.082999826</v>
      </c>
      <c r="W6" s="34">
        <f>EMM_State_Elec_Map_NEMS_SEDS!W83/EMM_State_Elec_Map_NEMS_SEDS!$BA83</f>
        <v>0</v>
      </c>
      <c r="X6" s="34">
        <f>EMM_State_Elec_Map_NEMS_SEDS!X83/EMM_State_Elec_Map_NEMS_SEDS!$BA83</f>
        <v>0</v>
      </c>
      <c r="Y6" s="34">
        <f>EMM_State_Elec_Map_NEMS_SEDS!Y83/EMM_State_Elec_Map_NEMS_SEDS!$BA83</f>
        <v>0</v>
      </c>
      <c r="Z6" s="34">
        <f>EMM_State_Elec_Map_NEMS_SEDS!Z83/EMM_State_Elec_Map_NEMS_SEDS!$BA83</f>
        <v>0</v>
      </c>
      <c r="AA6" s="34">
        <f>EMM_State_Elec_Map_NEMS_SEDS!AA83/EMM_State_Elec_Map_NEMS_SEDS!$BA83</f>
        <v>0</v>
      </c>
      <c r="AB6" s="34">
        <f>EMM_State_Elec_Map_NEMS_SEDS!AB83/EMM_State_Elec_Map_NEMS_SEDS!$BA83</f>
        <v>0</v>
      </c>
      <c r="AC6" s="34">
        <f>EMM_State_Elec_Map_NEMS_SEDS!AC83/EMM_State_Elec_Map_NEMS_SEDS!$BA83</f>
        <v>0</v>
      </c>
      <c r="AD6" s="34">
        <f>EMM_State_Elec_Map_NEMS_SEDS!AD83/EMM_State_Elec_Map_NEMS_SEDS!$BA83</f>
        <v>0</v>
      </c>
      <c r="AE6" s="34">
        <f>EMM_State_Elec_Map_NEMS_SEDS!AE83/EMM_State_Elec_Map_NEMS_SEDS!$BA83</f>
        <v>0</v>
      </c>
      <c r="AF6" s="34">
        <f>EMM_State_Elec_Map_NEMS_SEDS!AF83/EMM_State_Elec_Map_NEMS_SEDS!$BA83</f>
        <v>0</v>
      </c>
      <c r="AG6" s="34">
        <f>EMM_State_Elec_Map_NEMS_SEDS!AG83/EMM_State_Elec_Map_NEMS_SEDS!$BA83</f>
        <v>0</v>
      </c>
      <c r="AH6" s="34">
        <f>EMM_State_Elec_Map_NEMS_SEDS!AH83/EMM_State_Elec_Map_NEMS_SEDS!$BA83</f>
        <v>0</v>
      </c>
      <c r="AI6" s="34">
        <f>EMM_State_Elec_Map_NEMS_SEDS!AI83/EMM_State_Elec_Map_NEMS_SEDS!$BA83</f>
        <v>0.1470332347</v>
      </c>
      <c r="AJ6" s="34">
        <f>EMM_State_Elec_Map_NEMS_SEDS!AJ83/EMM_State_Elec_Map_NEMS_SEDS!$BA83</f>
        <v>0</v>
      </c>
      <c r="AK6" s="34">
        <f>EMM_State_Elec_Map_NEMS_SEDS!AK83/EMM_State_Elec_Map_NEMS_SEDS!$BA83</f>
        <v>0</v>
      </c>
      <c r="AL6" s="34">
        <f>EMM_State_Elec_Map_NEMS_SEDS!AL83/EMM_State_Elec_Map_NEMS_SEDS!$BA83</f>
        <v>0</v>
      </c>
      <c r="AM6" s="34">
        <f>EMM_State_Elec_Map_NEMS_SEDS!AM83/EMM_State_Elec_Map_NEMS_SEDS!$BA83</f>
        <v>0</v>
      </c>
      <c r="AN6" s="34">
        <f>EMM_State_Elec_Map_NEMS_SEDS!AN83/EMM_State_Elec_Map_NEMS_SEDS!$BA83</f>
        <v>0</v>
      </c>
      <c r="AO6" s="34">
        <f>EMM_State_Elec_Map_NEMS_SEDS!AO83/EMM_State_Elec_Map_NEMS_SEDS!$BA83</f>
        <v>0</v>
      </c>
      <c r="AP6" s="34">
        <f>EMM_State_Elec_Map_NEMS_SEDS!AP83/EMM_State_Elec_Map_NEMS_SEDS!$BA83</f>
        <v>0.071863581</v>
      </c>
      <c r="AQ6" s="34">
        <f>EMM_State_Elec_Map_NEMS_SEDS!AQ83/EMM_State_Elec_Map_NEMS_SEDS!$BA83</f>
        <v>0</v>
      </c>
      <c r="AR6" s="34">
        <f>EMM_State_Elec_Map_NEMS_SEDS!AR83/EMM_State_Elec_Map_NEMS_SEDS!$BA83</f>
        <v>0</v>
      </c>
      <c r="AS6" s="34">
        <f>EMM_State_Elec_Map_NEMS_SEDS!AS83/EMM_State_Elec_Map_NEMS_SEDS!$BA83</f>
        <v>0</v>
      </c>
      <c r="AT6" s="34">
        <f>EMM_State_Elec_Map_NEMS_SEDS!AT83/EMM_State_Elec_Map_NEMS_SEDS!$BA83</f>
        <v>0</v>
      </c>
      <c r="AU6" s="34">
        <f>EMM_State_Elec_Map_NEMS_SEDS!AU83/EMM_State_Elec_Map_NEMS_SEDS!$BA83</f>
        <v>0</v>
      </c>
      <c r="AV6" s="34">
        <f>EMM_State_Elec_Map_NEMS_SEDS!AV83/EMM_State_Elec_Map_NEMS_SEDS!$BA83</f>
        <v>0.2045414999</v>
      </c>
      <c r="AW6" s="34">
        <f>EMM_State_Elec_Map_NEMS_SEDS!AW83/EMM_State_Elec_Map_NEMS_SEDS!$BA83</f>
        <v>0</v>
      </c>
      <c r="AX6" s="34">
        <f>EMM_State_Elec_Map_NEMS_SEDS!AX83/EMM_State_Elec_Map_NEMS_SEDS!$BA83</f>
        <v>0.02157647468</v>
      </c>
      <c r="AY6" s="34">
        <f>EMM_State_Elec_Map_NEMS_SEDS!AY83/EMM_State_Elec_Map_NEMS_SEDS!$BA83</f>
        <v>0</v>
      </c>
      <c r="AZ6" s="34">
        <f>EMM_State_Elec_Map_NEMS_SEDS!AZ83/EMM_State_Elec_Map_NEMS_SEDS!$BA83</f>
        <v>0</v>
      </c>
    </row>
    <row r="7" ht="15.75" customHeight="1">
      <c r="A7" s="34">
        <v>6.0</v>
      </c>
      <c r="B7" s="34">
        <f>EMM_State_Elec_Map_NEMS_SEDS!B84/EMM_State_Elec_Map_NEMS_SEDS!$BA84</f>
        <v>0.2424722662</v>
      </c>
      <c r="C7" s="34">
        <f>EMM_State_Elec_Map_NEMS_SEDS!C84/EMM_State_Elec_Map_NEMS_SEDS!$BA84</f>
        <v>0</v>
      </c>
      <c r="D7" s="34">
        <f>EMM_State_Elec_Map_NEMS_SEDS!D84/EMM_State_Elec_Map_NEMS_SEDS!$BA84</f>
        <v>0</v>
      </c>
      <c r="E7" s="34">
        <f>EMM_State_Elec_Map_NEMS_SEDS!E84/EMM_State_Elec_Map_NEMS_SEDS!$BA84</f>
        <v>0</v>
      </c>
      <c r="F7" s="34">
        <f>EMM_State_Elec_Map_NEMS_SEDS!F84/EMM_State_Elec_Map_NEMS_SEDS!$BA84</f>
        <v>0</v>
      </c>
      <c r="G7" s="34">
        <f>EMM_State_Elec_Map_NEMS_SEDS!G84/EMM_State_Elec_Map_NEMS_SEDS!$BA84</f>
        <v>0</v>
      </c>
      <c r="H7" s="34">
        <f>EMM_State_Elec_Map_NEMS_SEDS!H84/EMM_State_Elec_Map_NEMS_SEDS!$BA84</f>
        <v>0</v>
      </c>
      <c r="I7" s="34">
        <f>EMM_State_Elec_Map_NEMS_SEDS!I84/EMM_State_Elec_Map_NEMS_SEDS!$BA84</f>
        <v>0</v>
      </c>
      <c r="J7" s="34">
        <f>EMM_State_Elec_Map_NEMS_SEDS!J84/EMM_State_Elec_Map_NEMS_SEDS!$BA84</f>
        <v>0</v>
      </c>
      <c r="K7" s="34">
        <f>EMM_State_Elec_Map_NEMS_SEDS!K84/EMM_State_Elec_Map_NEMS_SEDS!$BA84</f>
        <v>0</v>
      </c>
      <c r="L7" s="34">
        <f>EMM_State_Elec_Map_NEMS_SEDS!L84/EMM_State_Elec_Map_NEMS_SEDS!$BA84</f>
        <v>0</v>
      </c>
      <c r="M7" s="34">
        <f>EMM_State_Elec_Map_NEMS_SEDS!M84/EMM_State_Elec_Map_NEMS_SEDS!$BA84</f>
        <v>0</v>
      </c>
      <c r="N7" s="34">
        <f>EMM_State_Elec_Map_NEMS_SEDS!N84/EMM_State_Elec_Map_NEMS_SEDS!$BA84</f>
        <v>0</v>
      </c>
      <c r="O7" s="34">
        <f>EMM_State_Elec_Map_NEMS_SEDS!O84/EMM_State_Elec_Map_NEMS_SEDS!$BA84</f>
        <v>0</v>
      </c>
      <c r="P7" s="34">
        <f>EMM_State_Elec_Map_NEMS_SEDS!P84/EMM_State_Elec_Map_NEMS_SEDS!$BA84</f>
        <v>0</v>
      </c>
      <c r="Q7" s="34">
        <f>EMM_State_Elec_Map_NEMS_SEDS!Q84/EMM_State_Elec_Map_NEMS_SEDS!$BA84</f>
        <v>0</v>
      </c>
      <c r="R7" s="34">
        <f>EMM_State_Elec_Map_NEMS_SEDS!R84/EMM_State_Elec_Map_NEMS_SEDS!$BA84</f>
        <v>0</v>
      </c>
      <c r="S7" s="34">
        <f>EMM_State_Elec_Map_NEMS_SEDS!S84/EMM_State_Elec_Map_NEMS_SEDS!$BA84</f>
        <v>0.2158478605</v>
      </c>
      <c r="T7" s="34">
        <f>EMM_State_Elec_Map_NEMS_SEDS!T84/EMM_State_Elec_Map_NEMS_SEDS!$BA84</f>
        <v>0</v>
      </c>
      <c r="U7" s="34">
        <f>EMM_State_Elec_Map_NEMS_SEDS!U84/EMM_State_Elec_Map_NEMS_SEDS!$BA84</f>
        <v>0</v>
      </c>
      <c r="V7" s="34">
        <f>EMM_State_Elec_Map_NEMS_SEDS!V84/EMM_State_Elec_Map_NEMS_SEDS!$BA84</f>
        <v>0</v>
      </c>
      <c r="W7" s="34">
        <f>EMM_State_Elec_Map_NEMS_SEDS!W84/EMM_State_Elec_Map_NEMS_SEDS!$BA84</f>
        <v>0</v>
      </c>
      <c r="X7" s="34">
        <f>EMM_State_Elec_Map_NEMS_SEDS!X84/EMM_State_Elec_Map_NEMS_SEDS!$BA84</f>
        <v>0</v>
      </c>
      <c r="Y7" s="34">
        <f>EMM_State_Elec_Map_NEMS_SEDS!Y84/EMM_State_Elec_Map_NEMS_SEDS!$BA84</f>
        <v>0</v>
      </c>
      <c r="Z7" s="34">
        <f>EMM_State_Elec_Map_NEMS_SEDS!Z84/EMM_State_Elec_Map_NEMS_SEDS!$BA84</f>
        <v>0.1546751189</v>
      </c>
      <c r="AA7" s="34">
        <f>EMM_State_Elec_Map_NEMS_SEDS!AA84/EMM_State_Elec_Map_NEMS_SEDS!$BA84</f>
        <v>0</v>
      </c>
      <c r="AB7" s="34">
        <f>EMM_State_Elec_Map_NEMS_SEDS!AB84/EMM_State_Elec_Map_NEMS_SEDS!$BA84</f>
        <v>0</v>
      </c>
      <c r="AC7" s="34">
        <f>EMM_State_Elec_Map_NEMS_SEDS!AC84/EMM_State_Elec_Map_NEMS_SEDS!$BA84</f>
        <v>0</v>
      </c>
      <c r="AD7" s="34">
        <f>EMM_State_Elec_Map_NEMS_SEDS!AD84/EMM_State_Elec_Map_NEMS_SEDS!$BA84</f>
        <v>0</v>
      </c>
      <c r="AE7" s="34">
        <f>EMM_State_Elec_Map_NEMS_SEDS!AE84/EMM_State_Elec_Map_NEMS_SEDS!$BA84</f>
        <v>0</v>
      </c>
      <c r="AF7" s="34">
        <f>EMM_State_Elec_Map_NEMS_SEDS!AF84/EMM_State_Elec_Map_NEMS_SEDS!$BA84</f>
        <v>0</v>
      </c>
      <c r="AG7" s="34">
        <f>EMM_State_Elec_Map_NEMS_SEDS!AG84/EMM_State_Elec_Map_NEMS_SEDS!$BA84</f>
        <v>0</v>
      </c>
      <c r="AH7" s="34">
        <f>EMM_State_Elec_Map_NEMS_SEDS!AH84/EMM_State_Elec_Map_NEMS_SEDS!$BA84</f>
        <v>0</v>
      </c>
      <c r="AI7" s="34">
        <f>EMM_State_Elec_Map_NEMS_SEDS!AI84/EMM_State_Elec_Map_NEMS_SEDS!$BA84</f>
        <v>0</v>
      </c>
      <c r="AJ7" s="34">
        <f>EMM_State_Elec_Map_NEMS_SEDS!AJ84/EMM_State_Elec_Map_NEMS_SEDS!$BA84</f>
        <v>0</v>
      </c>
      <c r="AK7" s="34">
        <f>EMM_State_Elec_Map_NEMS_SEDS!AK84/EMM_State_Elec_Map_NEMS_SEDS!$BA84</f>
        <v>0</v>
      </c>
      <c r="AL7" s="34">
        <f>EMM_State_Elec_Map_NEMS_SEDS!AL84/EMM_State_Elec_Map_NEMS_SEDS!$BA84</f>
        <v>0</v>
      </c>
      <c r="AM7" s="34">
        <f>EMM_State_Elec_Map_NEMS_SEDS!AM84/EMM_State_Elec_Map_NEMS_SEDS!$BA84</f>
        <v>0</v>
      </c>
      <c r="AN7" s="34">
        <f>EMM_State_Elec_Map_NEMS_SEDS!AN84/EMM_State_Elec_Map_NEMS_SEDS!$BA84</f>
        <v>0</v>
      </c>
      <c r="AO7" s="34">
        <f>EMM_State_Elec_Map_NEMS_SEDS!AO84/EMM_State_Elec_Map_NEMS_SEDS!$BA84</f>
        <v>0</v>
      </c>
      <c r="AP7" s="34">
        <f>EMM_State_Elec_Map_NEMS_SEDS!AP84/EMM_State_Elec_Map_NEMS_SEDS!$BA84</f>
        <v>0</v>
      </c>
      <c r="AQ7" s="34">
        <f>EMM_State_Elec_Map_NEMS_SEDS!AQ84/EMM_State_Elec_Map_NEMS_SEDS!$BA84</f>
        <v>0</v>
      </c>
      <c r="AR7" s="34">
        <f>EMM_State_Elec_Map_NEMS_SEDS!AR84/EMM_State_Elec_Map_NEMS_SEDS!$BA84</f>
        <v>0.3870047544</v>
      </c>
      <c r="AS7" s="34">
        <f>EMM_State_Elec_Map_NEMS_SEDS!AS84/EMM_State_Elec_Map_NEMS_SEDS!$BA84</f>
        <v>0</v>
      </c>
      <c r="AT7" s="34">
        <f>EMM_State_Elec_Map_NEMS_SEDS!AT84/EMM_State_Elec_Map_NEMS_SEDS!$BA84</f>
        <v>0</v>
      </c>
      <c r="AU7" s="34">
        <f>EMM_State_Elec_Map_NEMS_SEDS!AU84/EMM_State_Elec_Map_NEMS_SEDS!$BA84</f>
        <v>0</v>
      </c>
      <c r="AV7" s="34">
        <f>EMM_State_Elec_Map_NEMS_SEDS!AV84/EMM_State_Elec_Map_NEMS_SEDS!$BA84</f>
        <v>0</v>
      </c>
      <c r="AW7" s="34">
        <f>EMM_State_Elec_Map_NEMS_SEDS!AW84/EMM_State_Elec_Map_NEMS_SEDS!$BA84</f>
        <v>0</v>
      </c>
      <c r="AX7" s="34">
        <f>EMM_State_Elec_Map_NEMS_SEDS!AX84/EMM_State_Elec_Map_NEMS_SEDS!$BA84</f>
        <v>0</v>
      </c>
      <c r="AY7" s="34">
        <f>EMM_State_Elec_Map_NEMS_SEDS!AY84/EMM_State_Elec_Map_NEMS_SEDS!$BA84</f>
        <v>0</v>
      </c>
      <c r="AZ7" s="34">
        <f>EMM_State_Elec_Map_NEMS_SEDS!AZ84/EMM_State_Elec_Map_NEMS_SEDS!$BA84</f>
        <v>0</v>
      </c>
    </row>
    <row r="8" ht="15.75" customHeight="1">
      <c r="A8" s="34">
        <v>7.0</v>
      </c>
      <c r="B8" s="34">
        <f>EMM_State_Elec_Map_NEMS_SEDS!B85/EMM_State_Elec_Map_NEMS_SEDS!$BA85</f>
        <v>0</v>
      </c>
      <c r="C8" s="34">
        <f>EMM_State_Elec_Map_NEMS_SEDS!C85/EMM_State_Elec_Map_NEMS_SEDS!$BA85</f>
        <v>0</v>
      </c>
      <c r="D8" s="34">
        <f>EMM_State_Elec_Map_NEMS_SEDS!D85/EMM_State_Elec_Map_NEMS_SEDS!$BA85</f>
        <v>0</v>
      </c>
      <c r="E8" s="34">
        <f>EMM_State_Elec_Map_NEMS_SEDS!E85/EMM_State_Elec_Map_NEMS_SEDS!$BA85</f>
        <v>0.05412267807</v>
      </c>
      <c r="F8" s="34">
        <f>EMM_State_Elec_Map_NEMS_SEDS!F85/EMM_State_Elec_Map_NEMS_SEDS!$BA85</f>
        <v>0</v>
      </c>
      <c r="G8" s="34">
        <f>EMM_State_Elec_Map_NEMS_SEDS!G85/EMM_State_Elec_Map_NEMS_SEDS!$BA85</f>
        <v>0</v>
      </c>
      <c r="H8" s="34">
        <f>EMM_State_Elec_Map_NEMS_SEDS!H85/EMM_State_Elec_Map_NEMS_SEDS!$BA85</f>
        <v>0</v>
      </c>
      <c r="I8" s="34">
        <f>EMM_State_Elec_Map_NEMS_SEDS!I85/EMM_State_Elec_Map_NEMS_SEDS!$BA85</f>
        <v>0</v>
      </c>
      <c r="J8" s="34">
        <f>EMM_State_Elec_Map_NEMS_SEDS!J85/EMM_State_Elec_Map_NEMS_SEDS!$BA85</f>
        <v>0</v>
      </c>
      <c r="K8" s="34">
        <f>EMM_State_Elec_Map_NEMS_SEDS!K85/EMM_State_Elec_Map_NEMS_SEDS!$BA85</f>
        <v>0</v>
      </c>
      <c r="L8" s="34">
        <f>EMM_State_Elec_Map_NEMS_SEDS!L85/EMM_State_Elec_Map_NEMS_SEDS!$BA85</f>
        <v>0</v>
      </c>
      <c r="M8" s="34">
        <f>EMM_State_Elec_Map_NEMS_SEDS!M85/EMM_State_Elec_Map_NEMS_SEDS!$BA85</f>
        <v>0</v>
      </c>
      <c r="N8" s="34">
        <f>EMM_State_Elec_Map_NEMS_SEDS!N85/EMM_State_Elec_Map_NEMS_SEDS!$BA85</f>
        <v>0</v>
      </c>
      <c r="O8" s="34">
        <f>EMM_State_Elec_Map_NEMS_SEDS!O85/EMM_State_Elec_Map_NEMS_SEDS!$BA85</f>
        <v>0</v>
      </c>
      <c r="P8" s="34">
        <f>EMM_State_Elec_Map_NEMS_SEDS!P85/EMM_State_Elec_Map_NEMS_SEDS!$BA85</f>
        <v>0</v>
      </c>
      <c r="Q8" s="34">
        <f>EMM_State_Elec_Map_NEMS_SEDS!Q85/EMM_State_Elec_Map_NEMS_SEDS!$BA85</f>
        <v>0</v>
      </c>
      <c r="R8" s="34">
        <f>EMM_State_Elec_Map_NEMS_SEDS!R85/EMM_State_Elec_Map_NEMS_SEDS!$BA85</f>
        <v>0</v>
      </c>
      <c r="S8" s="34">
        <f>EMM_State_Elec_Map_NEMS_SEDS!S85/EMM_State_Elec_Map_NEMS_SEDS!$BA85</f>
        <v>0</v>
      </c>
      <c r="T8" s="34">
        <f>EMM_State_Elec_Map_NEMS_SEDS!T85/EMM_State_Elec_Map_NEMS_SEDS!$BA85</f>
        <v>0.1086462649</v>
      </c>
      <c r="U8" s="34">
        <f>EMM_State_Elec_Map_NEMS_SEDS!U85/EMM_State_Elec_Map_NEMS_SEDS!$BA85</f>
        <v>0</v>
      </c>
      <c r="V8" s="34">
        <f>EMM_State_Elec_Map_NEMS_SEDS!V85/EMM_State_Elec_Map_NEMS_SEDS!$BA85</f>
        <v>0</v>
      </c>
      <c r="W8" s="34">
        <f>EMM_State_Elec_Map_NEMS_SEDS!W85/EMM_State_Elec_Map_NEMS_SEDS!$BA85</f>
        <v>0</v>
      </c>
      <c r="X8" s="34">
        <f>EMM_State_Elec_Map_NEMS_SEDS!X85/EMM_State_Elec_Map_NEMS_SEDS!$BA85</f>
        <v>0</v>
      </c>
      <c r="Y8" s="34">
        <f>EMM_State_Elec_Map_NEMS_SEDS!Y85/EMM_State_Elec_Map_NEMS_SEDS!$BA85</f>
        <v>0</v>
      </c>
      <c r="Z8" s="34">
        <f>EMM_State_Elec_Map_NEMS_SEDS!Z85/EMM_State_Elec_Map_NEMS_SEDS!$BA85</f>
        <v>0</v>
      </c>
      <c r="AA8" s="34">
        <f>EMM_State_Elec_Map_NEMS_SEDS!AA85/EMM_State_Elec_Map_NEMS_SEDS!$BA85</f>
        <v>0</v>
      </c>
      <c r="AB8" s="34">
        <f>EMM_State_Elec_Map_NEMS_SEDS!AB85/EMM_State_Elec_Map_NEMS_SEDS!$BA85</f>
        <v>0</v>
      </c>
      <c r="AC8" s="34">
        <f>EMM_State_Elec_Map_NEMS_SEDS!AC85/EMM_State_Elec_Map_NEMS_SEDS!$BA85</f>
        <v>0</v>
      </c>
      <c r="AD8" s="34">
        <f>EMM_State_Elec_Map_NEMS_SEDS!AD85/EMM_State_Elec_Map_NEMS_SEDS!$BA85</f>
        <v>0</v>
      </c>
      <c r="AE8" s="34">
        <f>EMM_State_Elec_Map_NEMS_SEDS!AE85/EMM_State_Elec_Map_NEMS_SEDS!$BA85</f>
        <v>0</v>
      </c>
      <c r="AF8" s="34">
        <f>EMM_State_Elec_Map_NEMS_SEDS!AF85/EMM_State_Elec_Map_NEMS_SEDS!$BA85</f>
        <v>0</v>
      </c>
      <c r="AG8" s="34">
        <f>EMM_State_Elec_Map_NEMS_SEDS!AG85/EMM_State_Elec_Map_NEMS_SEDS!$BA85</f>
        <v>0</v>
      </c>
      <c r="AH8" s="34">
        <f>EMM_State_Elec_Map_NEMS_SEDS!AH85/EMM_State_Elec_Map_NEMS_SEDS!$BA85</f>
        <v>0</v>
      </c>
      <c r="AI8" s="34">
        <f>EMM_State_Elec_Map_NEMS_SEDS!AI85/EMM_State_Elec_Map_NEMS_SEDS!$BA85</f>
        <v>0</v>
      </c>
      <c r="AJ8" s="34">
        <f>EMM_State_Elec_Map_NEMS_SEDS!AJ85/EMM_State_Elec_Map_NEMS_SEDS!$BA85</f>
        <v>0</v>
      </c>
      <c r="AK8" s="34">
        <f>EMM_State_Elec_Map_NEMS_SEDS!AK85/EMM_State_Elec_Map_NEMS_SEDS!$BA85</f>
        <v>0</v>
      </c>
      <c r="AL8" s="34">
        <f>EMM_State_Elec_Map_NEMS_SEDS!AL85/EMM_State_Elec_Map_NEMS_SEDS!$BA85</f>
        <v>0.1012962715</v>
      </c>
      <c r="AM8" s="34">
        <f>EMM_State_Elec_Map_NEMS_SEDS!AM85/EMM_State_Elec_Map_NEMS_SEDS!$BA85</f>
        <v>0</v>
      </c>
      <c r="AN8" s="34">
        <f>EMM_State_Elec_Map_NEMS_SEDS!AN85/EMM_State_Elec_Map_NEMS_SEDS!$BA85</f>
        <v>0</v>
      </c>
      <c r="AO8" s="34">
        <f>EMM_State_Elec_Map_NEMS_SEDS!AO85/EMM_State_Elec_Map_NEMS_SEDS!$BA85</f>
        <v>0</v>
      </c>
      <c r="AP8" s="34">
        <f>EMM_State_Elec_Map_NEMS_SEDS!AP85/EMM_State_Elec_Map_NEMS_SEDS!$BA85</f>
        <v>0</v>
      </c>
      <c r="AQ8" s="34">
        <f>EMM_State_Elec_Map_NEMS_SEDS!AQ85/EMM_State_Elec_Map_NEMS_SEDS!$BA85</f>
        <v>0</v>
      </c>
      <c r="AR8" s="34">
        <f>EMM_State_Elec_Map_NEMS_SEDS!AR85/EMM_State_Elec_Map_NEMS_SEDS!$BA85</f>
        <v>0</v>
      </c>
      <c r="AS8" s="34">
        <f>EMM_State_Elec_Map_NEMS_SEDS!AS85/EMM_State_Elec_Map_NEMS_SEDS!$BA85</f>
        <v>0.7359347855</v>
      </c>
      <c r="AT8" s="34">
        <f>EMM_State_Elec_Map_NEMS_SEDS!AT85/EMM_State_Elec_Map_NEMS_SEDS!$BA85</f>
        <v>0</v>
      </c>
      <c r="AU8" s="34">
        <f>EMM_State_Elec_Map_NEMS_SEDS!AU85/EMM_State_Elec_Map_NEMS_SEDS!$BA85</f>
        <v>0</v>
      </c>
      <c r="AV8" s="34">
        <f>EMM_State_Elec_Map_NEMS_SEDS!AV85/EMM_State_Elec_Map_NEMS_SEDS!$BA85</f>
        <v>0</v>
      </c>
      <c r="AW8" s="34">
        <f>EMM_State_Elec_Map_NEMS_SEDS!AW85/EMM_State_Elec_Map_NEMS_SEDS!$BA85</f>
        <v>0</v>
      </c>
      <c r="AX8" s="34">
        <f>EMM_State_Elec_Map_NEMS_SEDS!AX85/EMM_State_Elec_Map_NEMS_SEDS!$BA85</f>
        <v>0</v>
      </c>
      <c r="AY8" s="34">
        <f>EMM_State_Elec_Map_NEMS_SEDS!AY85/EMM_State_Elec_Map_NEMS_SEDS!$BA85</f>
        <v>0</v>
      </c>
      <c r="AZ8" s="34">
        <f>EMM_State_Elec_Map_NEMS_SEDS!AZ85/EMM_State_Elec_Map_NEMS_SEDS!$BA85</f>
        <v>0</v>
      </c>
    </row>
    <row r="9" ht="15.75" customHeight="1">
      <c r="A9" s="34">
        <v>8.0</v>
      </c>
      <c r="B9" s="34">
        <f>EMM_State_Elec_Map_NEMS_SEDS!B86/EMM_State_Elec_Map_NEMS_SEDS!$BA86</f>
        <v>0</v>
      </c>
      <c r="C9" s="34">
        <f>EMM_State_Elec_Map_NEMS_SEDS!C86/EMM_State_Elec_Map_NEMS_SEDS!$BA86</f>
        <v>0</v>
      </c>
      <c r="D9" s="34">
        <f>EMM_State_Elec_Map_NEMS_SEDS!D86/EMM_State_Elec_Map_NEMS_SEDS!$BA86</f>
        <v>0.3088317496</v>
      </c>
      <c r="E9" s="34">
        <f>EMM_State_Elec_Map_NEMS_SEDS!E86/EMM_State_Elec_Map_NEMS_SEDS!$BA86</f>
        <v>0</v>
      </c>
      <c r="F9" s="34">
        <f>EMM_State_Elec_Map_NEMS_SEDS!F86/EMM_State_Elec_Map_NEMS_SEDS!$BA86</f>
        <v>0</v>
      </c>
      <c r="G9" s="34">
        <f>EMM_State_Elec_Map_NEMS_SEDS!G86/EMM_State_Elec_Map_NEMS_SEDS!$BA86</f>
        <v>0.204863052</v>
      </c>
      <c r="H9" s="34">
        <f>EMM_State_Elec_Map_NEMS_SEDS!H86/EMM_State_Elec_Map_NEMS_SEDS!$BA86</f>
        <v>0</v>
      </c>
      <c r="I9" s="34">
        <f>EMM_State_Elec_Map_NEMS_SEDS!I86/EMM_State_Elec_Map_NEMS_SEDS!$BA86</f>
        <v>0</v>
      </c>
      <c r="J9" s="34">
        <f>EMM_State_Elec_Map_NEMS_SEDS!J86/EMM_State_Elec_Map_NEMS_SEDS!$BA86</f>
        <v>0</v>
      </c>
      <c r="K9" s="34">
        <f>EMM_State_Elec_Map_NEMS_SEDS!K86/EMM_State_Elec_Map_NEMS_SEDS!$BA86</f>
        <v>0</v>
      </c>
      <c r="L9" s="34">
        <f>EMM_State_Elec_Map_NEMS_SEDS!L86/EMM_State_Elec_Map_NEMS_SEDS!$BA86</f>
        <v>0</v>
      </c>
      <c r="M9" s="34">
        <f>EMM_State_Elec_Map_NEMS_SEDS!M86/EMM_State_Elec_Map_NEMS_SEDS!$BA86</f>
        <v>0</v>
      </c>
      <c r="N9" s="34">
        <f>EMM_State_Elec_Map_NEMS_SEDS!N86/EMM_State_Elec_Map_NEMS_SEDS!$BA86</f>
        <v>0.06679709335</v>
      </c>
      <c r="O9" s="34">
        <f>EMM_State_Elec_Map_NEMS_SEDS!O86/EMM_State_Elec_Map_NEMS_SEDS!$BA86</f>
        <v>0</v>
      </c>
      <c r="P9" s="34">
        <f>EMM_State_Elec_Map_NEMS_SEDS!P86/EMM_State_Elec_Map_NEMS_SEDS!$BA86</f>
        <v>0</v>
      </c>
      <c r="Q9" s="34">
        <f>EMM_State_Elec_Map_NEMS_SEDS!Q86/EMM_State_Elec_Map_NEMS_SEDS!$BA86</f>
        <v>0</v>
      </c>
      <c r="R9" s="34">
        <f>EMM_State_Elec_Map_NEMS_SEDS!R86/EMM_State_Elec_Map_NEMS_SEDS!$BA86</f>
        <v>0</v>
      </c>
      <c r="S9" s="34">
        <f>EMM_State_Elec_Map_NEMS_SEDS!S86/EMM_State_Elec_Map_NEMS_SEDS!$BA86</f>
        <v>0</v>
      </c>
      <c r="T9" s="34">
        <f>EMM_State_Elec_Map_NEMS_SEDS!T86/EMM_State_Elec_Map_NEMS_SEDS!$BA86</f>
        <v>0</v>
      </c>
      <c r="U9" s="34">
        <f>EMM_State_Elec_Map_NEMS_SEDS!U86/EMM_State_Elec_Map_NEMS_SEDS!$BA86</f>
        <v>0</v>
      </c>
      <c r="V9" s="34">
        <f>EMM_State_Elec_Map_NEMS_SEDS!V86/EMM_State_Elec_Map_NEMS_SEDS!$BA86</f>
        <v>0</v>
      </c>
      <c r="W9" s="34">
        <f>EMM_State_Elec_Map_NEMS_SEDS!W86/EMM_State_Elec_Map_NEMS_SEDS!$BA86</f>
        <v>0</v>
      </c>
      <c r="X9" s="34">
        <f>EMM_State_Elec_Map_NEMS_SEDS!X86/EMM_State_Elec_Map_NEMS_SEDS!$BA86</f>
        <v>0</v>
      </c>
      <c r="Y9" s="34">
        <f>EMM_State_Elec_Map_NEMS_SEDS!Y86/EMM_State_Elec_Map_NEMS_SEDS!$BA86</f>
        <v>0</v>
      </c>
      <c r="Z9" s="34">
        <f>EMM_State_Elec_Map_NEMS_SEDS!Z86/EMM_State_Elec_Map_NEMS_SEDS!$BA86</f>
        <v>0</v>
      </c>
      <c r="AA9" s="34">
        <f>EMM_State_Elec_Map_NEMS_SEDS!AA86/EMM_State_Elec_Map_NEMS_SEDS!$BA86</f>
        <v>0</v>
      </c>
      <c r="AB9" s="34">
        <f>EMM_State_Elec_Map_NEMS_SEDS!AB86/EMM_State_Elec_Map_NEMS_SEDS!$BA86</f>
        <v>0.04807154835</v>
      </c>
      <c r="AC9" s="34">
        <f>EMM_State_Elec_Map_NEMS_SEDS!AC86/EMM_State_Elec_Map_NEMS_SEDS!$BA86</f>
        <v>0</v>
      </c>
      <c r="AD9" s="34">
        <f>EMM_State_Elec_Map_NEMS_SEDS!AD86/EMM_State_Elec_Map_NEMS_SEDS!$BA86</f>
        <v>0.1224147568</v>
      </c>
      <c r="AE9" s="34">
        <f>EMM_State_Elec_Map_NEMS_SEDS!AE86/EMM_State_Elec_Map_NEMS_SEDS!$BA86</f>
        <v>0</v>
      </c>
      <c r="AF9" s="34">
        <f>EMM_State_Elec_Map_NEMS_SEDS!AF86/EMM_State_Elec_Map_NEMS_SEDS!$BA86</f>
        <v>0</v>
      </c>
      <c r="AG9" s="34">
        <f>EMM_State_Elec_Map_NEMS_SEDS!AG86/EMM_State_Elec_Map_NEMS_SEDS!$BA86</f>
        <v>0.08831749581</v>
      </c>
      <c r="AH9" s="34">
        <f>EMM_State_Elec_Map_NEMS_SEDS!AH86/EMM_State_Elec_Map_NEMS_SEDS!$BA86</f>
        <v>0</v>
      </c>
      <c r="AI9" s="34">
        <f>EMM_State_Elec_Map_NEMS_SEDS!AI86/EMM_State_Elec_Map_NEMS_SEDS!$BA86</f>
        <v>0</v>
      </c>
      <c r="AJ9" s="34">
        <f>EMM_State_Elec_Map_NEMS_SEDS!AJ86/EMM_State_Elec_Map_NEMS_SEDS!$BA86</f>
        <v>0</v>
      </c>
      <c r="AK9" s="34">
        <f>EMM_State_Elec_Map_NEMS_SEDS!AK86/EMM_State_Elec_Map_NEMS_SEDS!$BA86</f>
        <v>0</v>
      </c>
      <c r="AL9" s="34">
        <f>EMM_State_Elec_Map_NEMS_SEDS!AL86/EMM_State_Elec_Map_NEMS_SEDS!$BA86</f>
        <v>0</v>
      </c>
      <c r="AM9" s="34">
        <f>EMM_State_Elec_Map_NEMS_SEDS!AM86/EMM_State_Elec_Map_NEMS_SEDS!$BA86</f>
        <v>0</v>
      </c>
      <c r="AN9" s="34">
        <f>EMM_State_Elec_Map_NEMS_SEDS!AN86/EMM_State_Elec_Map_NEMS_SEDS!$BA86</f>
        <v>0</v>
      </c>
      <c r="AO9" s="34">
        <f>EMM_State_Elec_Map_NEMS_SEDS!AO86/EMM_State_Elec_Map_NEMS_SEDS!$BA86</f>
        <v>0</v>
      </c>
      <c r="AP9" s="34">
        <f>EMM_State_Elec_Map_NEMS_SEDS!AP86/EMM_State_Elec_Map_NEMS_SEDS!$BA86</f>
        <v>0</v>
      </c>
      <c r="AQ9" s="34">
        <f>EMM_State_Elec_Map_NEMS_SEDS!AQ86/EMM_State_Elec_Map_NEMS_SEDS!$BA86</f>
        <v>0</v>
      </c>
      <c r="AR9" s="34">
        <f>EMM_State_Elec_Map_NEMS_SEDS!AR86/EMM_State_Elec_Map_NEMS_SEDS!$BA86</f>
        <v>0</v>
      </c>
      <c r="AS9" s="34">
        <f>EMM_State_Elec_Map_NEMS_SEDS!AS86/EMM_State_Elec_Map_NEMS_SEDS!$BA86</f>
        <v>0</v>
      </c>
      <c r="AT9" s="34">
        <f>EMM_State_Elec_Map_NEMS_SEDS!AT86/EMM_State_Elec_Map_NEMS_SEDS!$BA86</f>
        <v>0.1249301286</v>
      </c>
      <c r="AU9" s="34">
        <f>EMM_State_Elec_Map_NEMS_SEDS!AU86/EMM_State_Elec_Map_NEMS_SEDS!$BA86</f>
        <v>0</v>
      </c>
      <c r="AV9" s="34">
        <f>EMM_State_Elec_Map_NEMS_SEDS!AV86/EMM_State_Elec_Map_NEMS_SEDS!$BA86</f>
        <v>0</v>
      </c>
      <c r="AW9" s="34">
        <f>EMM_State_Elec_Map_NEMS_SEDS!AW86/EMM_State_Elec_Map_NEMS_SEDS!$BA86</f>
        <v>0</v>
      </c>
      <c r="AX9" s="34">
        <f>EMM_State_Elec_Map_NEMS_SEDS!AX86/EMM_State_Elec_Map_NEMS_SEDS!$BA86</f>
        <v>0</v>
      </c>
      <c r="AY9" s="34">
        <f>EMM_State_Elec_Map_NEMS_SEDS!AY86/EMM_State_Elec_Map_NEMS_SEDS!$BA86</f>
        <v>0</v>
      </c>
      <c r="AZ9" s="34">
        <f>EMM_State_Elec_Map_NEMS_SEDS!AZ86/EMM_State_Elec_Map_NEMS_SEDS!$BA86</f>
        <v>0.03577417552</v>
      </c>
    </row>
    <row r="10" ht="15.75" customHeight="1">
      <c r="A10" s="34">
        <v>9.0</v>
      </c>
      <c r="B10" s="34">
        <f>EMM_State_Elec_Map_NEMS_SEDS!B87/EMM_State_Elec_Map_NEMS_SEDS!$BA87</f>
        <v>0</v>
      </c>
      <c r="C10" s="34">
        <f>EMM_State_Elec_Map_NEMS_SEDS!C87/EMM_State_Elec_Map_NEMS_SEDS!$BA87</f>
        <v>0.01508986097</v>
      </c>
      <c r="D10" s="34">
        <f>EMM_State_Elec_Map_NEMS_SEDS!D87/EMM_State_Elec_Map_NEMS_SEDS!$BA87</f>
        <v>0</v>
      </c>
      <c r="E10" s="34">
        <f>EMM_State_Elec_Map_NEMS_SEDS!E87/EMM_State_Elec_Map_NEMS_SEDS!$BA87</f>
        <v>0</v>
      </c>
      <c r="F10" s="34">
        <f>EMM_State_Elec_Map_NEMS_SEDS!F87/EMM_State_Elec_Map_NEMS_SEDS!$BA87</f>
        <v>0.6934554086</v>
      </c>
      <c r="G10" s="34">
        <f>EMM_State_Elec_Map_NEMS_SEDS!G87/EMM_State_Elec_Map_NEMS_SEDS!$BA87</f>
        <v>0</v>
      </c>
      <c r="H10" s="34">
        <f>EMM_State_Elec_Map_NEMS_SEDS!H87/EMM_State_Elec_Map_NEMS_SEDS!$BA87</f>
        <v>0</v>
      </c>
      <c r="I10" s="34">
        <f>EMM_State_Elec_Map_NEMS_SEDS!I87/EMM_State_Elec_Map_NEMS_SEDS!$BA87</f>
        <v>0</v>
      </c>
      <c r="J10" s="34">
        <f>EMM_State_Elec_Map_NEMS_SEDS!J87/EMM_State_Elec_Map_NEMS_SEDS!$BA87</f>
        <v>0</v>
      </c>
      <c r="K10" s="34">
        <f>EMM_State_Elec_Map_NEMS_SEDS!K87/EMM_State_Elec_Map_NEMS_SEDS!$BA87</f>
        <v>0</v>
      </c>
      <c r="L10" s="34">
        <f>EMM_State_Elec_Map_NEMS_SEDS!L87/EMM_State_Elec_Map_NEMS_SEDS!$BA87</f>
        <v>0</v>
      </c>
      <c r="M10" s="34">
        <f>EMM_State_Elec_Map_NEMS_SEDS!M87/EMM_State_Elec_Map_NEMS_SEDS!$BA87</f>
        <v>0.01932858596</v>
      </c>
      <c r="N10" s="34">
        <f>EMM_State_Elec_Map_NEMS_SEDS!N87/EMM_State_Elec_Map_NEMS_SEDS!$BA87</f>
        <v>0</v>
      </c>
      <c r="O10" s="34">
        <f>EMM_State_Elec_Map_NEMS_SEDS!O87/EMM_State_Elec_Map_NEMS_SEDS!$BA87</f>
        <v>0</v>
      </c>
      <c r="P10" s="34">
        <f>EMM_State_Elec_Map_NEMS_SEDS!P87/EMM_State_Elec_Map_NEMS_SEDS!$BA87</f>
        <v>0</v>
      </c>
      <c r="Q10" s="34">
        <f>EMM_State_Elec_Map_NEMS_SEDS!Q87/EMM_State_Elec_Map_NEMS_SEDS!$BA87</f>
        <v>0</v>
      </c>
      <c r="R10" s="34">
        <f>EMM_State_Elec_Map_NEMS_SEDS!R87/EMM_State_Elec_Map_NEMS_SEDS!$BA87</f>
        <v>0</v>
      </c>
      <c r="S10" s="34">
        <f>EMM_State_Elec_Map_NEMS_SEDS!S87/EMM_State_Elec_Map_NEMS_SEDS!$BA87</f>
        <v>0</v>
      </c>
      <c r="T10" s="34">
        <f>EMM_State_Elec_Map_NEMS_SEDS!T87/EMM_State_Elec_Map_NEMS_SEDS!$BA87</f>
        <v>0</v>
      </c>
      <c r="U10" s="34">
        <f>EMM_State_Elec_Map_NEMS_SEDS!U87/EMM_State_Elec_Map_NEMS_SEDS!$BA87</f>
        <v>0</v>
      </c>
      <c r="V10" s="34">
        <f>EMM_State_Elec_Map_NEMS_SEDS!V87/EMM_State_Elec_Map_NEMS_SEDS!$BA87</f>
        <v>0</v>
      </c>
      <c r="W10" s="34">
        <f>EMM_State_Elec_Map_NEMS_SEDS!W87/EMM_State_Elec_Map_NEMS_SEDS!$BA87</f>
        <v>0</v>
      </c>
      <c r="X10" s="34">
        <f>EMM_State_Elec_Map_NEMS_SEDS!X87/EMM_State_Elec_Map_NEMS_SEDS!$BA87</f>
        <v>0</v>
      </c>
      <c r="Y10" s="34">
        <f>EMM_State_Elec_Map_NEMS_SEDS!Y87/EMM_State_Elec_Map_NEMS_SEDS!$BA87</f>
        <v>0</v>
      </c>
      <c r="Z10" s="34">
        <f>EMM_State_Elec_Map_NEMS_SEDS!Z87/EMM_State_Elec_Map_NEMS_SEDS!$BA87</f>
        <v>0</v>
      </c>
      <c r="AA10" s="34">
        <f>EMM_State_Elec_Map_NEMS_SEDS!AA87/EMM_State_Elec_Map_NEMS_SEDS!$BA87</f>
        <v>0</v>
      </c>
      <c r="AB10" s="34">
        <f>EMM_State_Elec_Map_NEMS_SEDS!AB87/EMM_State_Elec_Map_NEMS_SEDS!$BA87</f>
        <v>0</v>
      </c>
      <c r="AC10" s="34">
        <f>EMM_State_Elec_Map_NEMS_SEDS!AC87/EMM_State_Elec_Map_NEMS_SEDS!$BA87</f>
        <v>0</v>
      </c>
      <c r="AD10" s="34">
        <f>EMM_State_Elec_Map_NEMS_SEDS!AD87/EMM_State_Elec_Map_NEMS_SEDS!$BA87</f>
        <v>0</v>
      </c>
      <c r="AE10" s="34">
        <f>EMM_State_Elec_Map_NEMS_SEDS!AE87/EMM_State_Elec_Map_NEMS_SEDS!$BA87</f>
        <v>0</v>
      </c>
      <c r="AF10" s="34">
        <f>EMM_State_Elec_Map_NEMS_SEDS!AF87/EMM_State_Elec_Map_NEMS_SEDS!$BA87</f>
        <v>0</v>
      </c>
      <c r="AG10" s="34">
        <f>EMM_State_Elec_Map_NEMS_SEDS!AG87/EMM_State_Elec_Map_NEMS_SEDS!$BA87</f>
        <v>0</v>
      </c>
      <c r="AH10" s="34">
        <f>EMM_State_Elec_Map_NEMS_SEDS!AH87/EMM_State_Elec_Map_NEMS_SEDS!$BA87</f>
        <v>0</v>
      </c>
      <c r="AI10" s="34">
        <f>EMM_State_Elec_Map_NEMS_SEDS!AI87/EMM_State_Elec_Map_NEMS_SEDS!$BA87</f>
        <v>0</v>
      </c>
      <c r="AJ10" s="34">
        <f>EMM_State_Elec_Map_NEMS_SEDS!AJ87/EMM_State_Elec_Map_NEMS_SEDS!$BA87</f>
        <v>0</v>
      </c>
      <c r="AK10" s="34">
        <f>EMM_State_Elec_Map_NEMS_SEDS!AK87/EMM_State_Elec_Map_NEMS_SEDS!$BA87</f>
        <v>0</v>
      </c>
      <c r="AL10" s="34">
        <f>EMM_State_Elec_Map_NEMS_SEDS!AL87/EMM_State_Elec_Map_NEMS_SEDS!$BA87</f>
        <v>0</v>
      </c>
      <c r="AM10" s="34">
        <f>EMM_State_Elec_Map_NEMS_SEDS!AM87/EMM_State_Elec_Map_NEMS_SEDS!$BA87</f>
        <v>0.0981688708</v>
      </c>
      <c r="AN10" s="34">
        <f>EMM_State_Elec_Map_NEMS_SEDS!AN87/EMM_State_Elec_Map_NEMS_SEDS!$BA87</f>
        <v>0</v>
      </c>
      <c r="AO10" s="34">
        <f>EMM_State_Elec_Map_NEMS_SEDS!AO87/EMM_State_Elec_Map_NEMS_SEDS!$BA87</f>
        <v>0</v>
      </c>
      <c r="AP10" s="34">
        <f>EMM_State_Elec_Map_NEMS_SEDS!AP87/EMM_State_Elec_Map_NEMS_SEDS!$BA87</f>
        <v>0</v>
      </c>
      <c r="AQ10" s="34">
        <f>EMM_State_Elec_Map_NEMS_SEDS!AQ87/EMM_State_Elec_Map_NEMS_SEDS!$BA87</f>
        <v>0</v>
      </c>
      <c r="AR10" s="34">
        <f>EMM_State_Elec_Map_NEMS_SEDS!AR87/EMM_State_Elec_Map_NEMS_SEDS!$BA87</f>
        <v>0</v>
      </c>
      <c r="AS10" s="34">
        <f>EMM_State_Elec_Map_NEMS_SEDS!AS87/EMM_State_Elec_Map_NEMS_SEDS!$BA87</f>
        <v>0</v>
      </c>
      <c r="AT10" s="34">
        <f>EMM_State_Elec_Map_NEMS_SEDS!AT87/EMM_State_Elec_Map_NEMS_SEDS!$BA87</f>
        <v>0</v>
      </c>
      <c r="AU10" s="34">
        <f>EMM_State_Elec_Map_NEMS_SEDS!AU87/EMM_State_Elec_Map_NEMS_SEDS!$BA87</f>
        <v>0</v>
      </c>
      <c r="AV10" s="34">
        <f>EMM_State_Elec_Map_NEMS_SEDS!AV87/EMM_State_Elec_Map_NEMS_SEDS!$BA87</f>
        <v>0</v>
      </c>
      <c r="AW10" s="34">
        <f>EMM_State_Elec_Map_NEMS_SEDS!AW87/EMM_State_Elec_Map_NEMS_SEDS!$BA87</f>
        <v>0.1739572737</v>
      </c>
      <c r="AX10" s="34">
        <f>EMM_State_Elec_Map_NEMS_SEDS!AX87/EMM_State_Elec_Map_NEMS_SEDS!$BA87</f>
        <v>0</v>
      </c>
      <c r="AY10" s="34">
        <f>EMM_State_Elec_Map_NEMS_SEDS!AY87/EMM_State_Elec_Map_NEMS_SEDS!$BA87</f>
        <v>0</v>
      </c>
      <c r="AZ10" s="34">
        <f>EMM_State_Elec_Map_NEMS_SEDS!AZ87/EMM_State_Elec_Map_NEMS_SEDS!$BA87</f>
        <v>0</v>
      </c>
    </row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</sheetData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45" t="s">
        <v>94</v>
      </c>
      <c r="B1" s="45" t="s">
        <v>1994</v>
      </c>
      <c r="C1" s="45" t="s">
        <v>2062</v>
      </c>
      <c r="D1" s="45" t="s">
        <v>2063</v>
      </c>
      <c r="E1" s="45" t="s">
        <v>2079</v>
      </c>
      <c r="F1" s="45" t="s">
        <v>2137</v>
      </c>
      <c r="G1" s="45" t="s">
        <v>2194</v>
      </c>
      <c r="H1" s="45" t="s">
        <v>2250</v>
      </c>
      <c r="I1" s="45" t="s">
        <v>2259</v>
      </c>
      <c r="J1" s="45" t="s">
        <v>2263</v>
      </c>
      <c r="K1" s="45" t="s">
        <v>2264</v>
      </c>
      <c r="L1" s="45" t="s">
        <v>2314</v>
      </c>
      <c r="M1" s="45" t="s">
        <v>2423</v>
      </c>
      <c r="N1" s="45" t="s">
        <v>2424</v>
      </c>
      <c r="O1" s="45" t="s">
        <v>2458</v>
      </c>
      <c r="P1" s="45" t="s">
        <v>2513</v>
      </c>
      <c r="Q1" s="45" t="s">
        <v>2555</v>
      </c>
      <c r="R1" s="45" t="s">
        <v>2601</v>
      </c>
      <c r="S1" s="45" t="s">
        <v>2669</v>
      </c>
      <c r="T1" s="45" t="s">
        <v>2725</v>
      </c>
      <c r="U1" s="45" t="s">
        <v>2790</v>
      </c>
      <c r="V1" s="45" t="s">
        <v>2801</v>
      </c>
      <c r="W1" s="45" t="s">
        <v>2819</v>
      </c>
      <c r="X1" s="45" t="s">
        <v>2830</v>
      </c>
      <c r="Y1" s="45" t="s">
        <v>2893</v>
      </c>
      <c r="Z1" s="45" t="s">
        <v>2955</v>
      </c>
      <c r="AA1" s="45" t="s">
        <v>2992</v>
      </c>
      <c r="AB1" s="45" t="s">
        <v>3034</v>
      </c>
      <c r="AC1" s="45" t="s">
        <v>3071</v>
      </c>
      <c r="AD1" s="45" t="s">
        <v>3112</v>
      </c>
      <c r="AE1" s="45" t="s">
        <v>3123</v>
      </c>
      <c r="AF1" s="45" t="s">
        <v>3131</v>
      </c>
      <c r="AG1" s="45" t="s">
        <v>3143</v>
      </c>
      <c r="AH1" s="45" t="s">
        <v>3168</v>
      </c>
      <c r="AI1" s="45" t="s">
        <v>3200</v>
      </c>
      <c r="AJ1" s="45" t="s">
        <v>3265</v>
      </c>
      <c r="AK1" s="45" t="s">
        <v>3297</v>
      </c>
      <c r="AL1" s="45" t="s">
        <v>3333</v>
      </c>
      <c r="AM1" s="45" t="s">
        <v>3376</v>
      </c>
      <c r="AN1" s="45" t="s">
        <v>3393</v>
      </c>
      <c r="AO1" s="45" t="s">
        <v>3427</v>
      </c>
      <c r="AP1" s="45" t="s">
        <v>3430</v>
      </c>
      <c r="AQ1" s="45" t="s">
        <v>3458</v>
      </c>
      <c r="AR1" s="45" t="s">
        <v>3497</v>
      </c>
      <c r="AS1" s="45" t="s">
        <v>3524</v>
      </c>
      <c r="AT1" s="45" t="s">
        <v>3687</v>
      </c>
      <c r="AU1" s="45" t="s">
        <v>3704</v>
      </c>
      <c r="AV1" s="45" t="s">
        <v>3713</v>
      </c>
      <c r="AW1" s="45" t="s">
        <v>3797</v>
      </c>
      <c r="AX1" s="45" t="s">
        <v>3820</v>
      </c>
      <c r="AY1" s="45" t="s">
        <v>3838</v>
      </c>
      <c r="AZ1" s="45" t="s">
        <v>3874</v>
      </c>
    </row>
    <row r="2" ht="15.75" customHeight="1">
      <c r="A2" s="34">
        <v>1.0</v>
      </c>
      <c r="B2" s="34">
        <f>State_Fossil_All_Mapping_SEDS!C3/State_Fossil_All_Mapping_SEDS!$BB3</f>
        <v>0</v>
      </c>
      <c r="C2" s="34">
        <f>State_Fossil_All_Mapping_SEDS!D3/State_Fossil_All_Mapping_SEDS!$BB3</f>
        <v>0</v>
      </c>
      <c r="D2" s="32">
        <f>State_Fossil_All_Mapping_SEDS!E3/State_Fossil_All_Mapping_SEDS!$BB3</f>
        <v>0</v>
      </c>
      <c r="E2" s="34">
        <f>State_Fossil_All_Mapping_SEDS!F3/State_Fossil_All_Mapping_SEDS!$BB3</f>
        <v>0</v>
      </c>
      <c r="F2" s="34">
        <f>State_Fossil_All_Mapping_SEDS!G3/State_Fossil_All_Mapping_SEDS!$BB3</f>
        <v>0</v>
      </c>
      <c r="G2" s="34">
        <f>State_Fossil_All_Mapping_SEDS!H3/State_Fossil_All_Mapping_SEDS!$BB3</f>
        <v>0</v>
      </c>
      <c r="H2" s="34">
        <f>State_Fossil_All_Mapping_SEDS!I3/State_Fossil_All_Mapping_SEDS!$BB3</f>
        <v>0.2356659142</v>
      </c>
      <c r="I2" s="34">
        <f>State_Fossil_All_Mapping_SEDS!J3/State_Fossil_All_Mapping_SEDS!$BB3</f>
        <v>0</v>
      </c>
      <c r="J2" s="34">
        <f>State_Fossil_All_Mapping_SEDS!K3/State_Fossil_All_Mapping_SEDS!$BB3</f>
        <v>0</v>
      </c>
      <c r="K2" s="32">
        <f>State_Fossil_All_Mapping_SEDS!L3/State_Fossil_All_Mapping_SEDS!$BB3</f>
        <v>0</v>
      </c>
      <c r="L2" s="34">
        <f>State_Fossil_All_Mapping_SEDS!M3/State_Fossil_All_Mapping_SEDS!$BB3</f>
        <v>0</v>
      </c>
      <c r="M2" s="34">
        <f>State_Fossil_All_Mapping_SEDS!N3/State_Fossil_All_Mapping_SEDS!$BB3</f>
        <v>0</v>
      </c>
      <c r="N2" s="34">
        <f>State_Fossil_All_Mapping_SEDS!O3/State_Fossil_All_Mapping_SEDS!$BB3</f>
        <v>0</v>
      </c>
      <c r="O2" s="34">
        <f>State_Fossil_All_Mapping_SEDS!P3/State_Fossil_All_Mapping_SEDS!$BB3</f>
        <v>0</v>
      </c>
      <c r="P2" s="34">
        <f>State_Fossil_All_Mapping_SEDS!Q3/State_Fossil_All_Mapping_SEDS!$BB3</f>
        <v>0</v>
      </c>
      <c r="Q2" s="34">
        <f>State_Fossil_All_Mapping_SEDS!R3/State_Fossil_All_Mapping_SEDS!$BB3</f>
        <v>0</v>
      </c>
      <c r="R2" s="34">
        <f>State_Fossil_All_Mapping_SEDS!S3/State_Fossil_All_Mapping_SEDS!$BB3</f>
        <v>0</v>
      </c>
      <c r="S2" s="34">
        <f>State_Fossil_All_Mapping_SEDS!T3/State_Fossil_All_Mapping_SEDS!$BB3</f>
        <v>0</v>
      </c>
      <c r="T2" s="34">
        <f>State_Fossil_All_Mapping_SEDS!U3/State_Fossil_All_Mapping_SEDS!$BB3</f>
        <v>0</v>
      </c>
      <c r="U2" s="34">
        <f>State_Fossil_All_Mapping_SEDS!V3/State_Fossil_All_Mapping_SEDS!$BB3</f>
        <v>0.0144469526</v>
      </c>
      <c r="V2" s="34">
        <f>State_Fossil_All_Mapping_SEDS!W3/State_Fossil_All_Mapping_SEDS!$BB3</f>
        <v>0</v>
      </c>
      <c r="W2" s="34">
        <f>State_Fossil_All_Mapping_SEDS!X3/State_Fossil_All_Mapping_SEDS!$BB3</f>
        <v>0.611738149</v>
      </c>
      <c r="X2" s="34">
        <f>State_Fossil_All_Mapping_SEDS!Y3/State_Fossil_All_Mapping_SEDS!$BB3</f>
        <v>0</v>
      </c>
      <c r="Y2" s="34">
        <f>State_Fossil_All_Mapping_SEDS!Z3/State_Fossil_All_Mapping_SEDS!$BB3</f>
        <v>0</v>
      </c>
      <c r="Z2" s="34">
        <f>State_Fossil_All_Mapping_SEDS!AA3/State_Fossil_All_Mapping_SEDS!$BB3</f>
        <v>0</v>
      </c>
      <c r="AA2" s="34">
        <f>State_Fossil_All_Mapping_SEDS!AB3/State_Fossil_All_Mapping_SEDS!$BB3</f>
        <v>0</v>
      </c>
      <c r="AB2" s="34">
        <f>State_Fossil_All_Mapping_SEDS!AC3/State_Fossil_All_Mapping_SEDS!$BB3</f>
        <v>0</v>
      </c>
      <c r="AC2" s="34">
        <f>State_Fossil_All_Mapping_SEDS!AD3/State_Fossil_All_Mapping_SEDS!$BB3</f>
        <v>0</v>
      </c>
      <c r="AD2" s="34">
        <f>State_Fossil_All_Mapping_SEDS!AE3/State_Fossil_All_Mapping_SEDS!$BB3</f>
        <v>0</v>
      </c>
      <c r="AE2" s="34">
        <f>State_Fossil_All_Mapping_SEDS!AF3/State_Fossil_All_Mapping_SEDS!$BB3</f>
        <v>0.03476297968</v>
      </c>
      <c r="AF2" s="34">
        <f>State_Fossil_All_Mapping_SEDS!AG3/State_Fossil_All_Mapping_SEDS!$BB3</f>
        <v>0</v>
      </c>
      <c r="AG2" s="32">
        <f>State_Fossil_All_Mapping_SEDS!AH3/State_Fossil_All_Mapping_SEDS!$BB3</f>
        <v>0</v>
      </c>
      <c r="AH2" s="34">
        <f>State_Fossil_All_Mapping_SEDS!AI3/State_Fossil_All_Mapping_SEDS!$BB3</f>
        <v>0</v>
      </c>
      <c r="AI2" s="34">
        <f>State_Fossil_All_Mapping_SEDS!AJ3/State_Fossil_All_Mapping_SEDS!$BB3</f>
        <v>0</v>
      </c>
      <c r="AJ2" s="34">
        <f>State_Fossil_All_Mapping_SEDS!AK3/State_Fossil_All_Mapping_SEDS!$BB3</f>
        <v>0</v>
      </c>
      <c r="AK2" s="34">
        <f>State_Fossil_All_Mapping_SEDS!AL3/State_Fossil_All_Mapping_SEDS!$BB3</f>
        <v>0</v>
      </c>
      <c r="AL2" s="34">
        <f>State_Fossil_All_Mapping_SEDS!AM3/State_Fossil_All_Mapping_SEDS!$BB3</f>
        <v>0</v>
      </c>
      <c r="AM2" s="34">
        <f>State_Fossil_All_Mapping_SEDS!AN3/State_Fossil_All_Mapping_SEDS!$BB3</f>
        <v>0</v>
      </c>
      <c r="AN2" s="34">
        <f>State_Fossil_All_Mapping_SEDS!AO3/State_Fossil_All_Mapping_SEDS!$BB3</f>
        <v>0</v>
      </c>
      <c r="AO2" s="34">
        <f>State_Fossil_All_Mapping_SEDS!AP3/State_Fossil_All_Mapping_SEDS!$BB3</f>
        <v>0.0848758465</v>
      </c>
      <c r="AP2" s="34">
        <f>State_Fossil_All_Mapping_SEDS!AQ3/State_Fossil_All_Mapping_SEDS!$BB3</f>
        <v>0</v>
      </c>
      <c r="AQ2" s="34">
        <f>State_Fossil_All_Mapping_SEDS!AR3/State_Fossil_All_Mapping_SEDS!$BB3</f>
        <v>0</v>
      </c>
      <c r="AR2" s="34">
        <f>State_Fossil_All_Mapping_SEDS!AS3/State_Fossil_All_Mapping_SEDS!$BB3</f>
        <v>0</v>
      </c>
      <c r="AS2" s="34">
        <f>State_Fossil_All_Mapping_SEDS!AT3/State_Fossil_All_Mapping_SEDS!$BB3</f>
        <v>0</v>
      </c>
      <c r="AT2" s="34">
        <f>State_Fossil_All_Mapping_SEDS!AU3/State_Fossil_All_Mapping_SEDS!$BB3</f>
        <v>0</v>
      </c>
      <c r="AU2" s="34">
        <f>State_Fossil_All_Mapping_SEDS!AV3/State_Fossil_All_Mapping_SEDS!$BB3</f>
        <v>0.01851015801</v>
      </c>
      <c r="AV2" s="34">
        <f>State_Fossil_All_Mapping_SEDS!AW3/State_Fossil_All_Mapping_SEDS!$BB3</f>
        <v>0</v>
      </c>
      <c r="AW2" s="34">
        <f>State_Fossil_All_Mapping_SEDS!AX3/State_Fossil_All_Mapping_SEDS!$BB3</f>
        <v>0</v>
      </c>
      <c r="AX2" s="34">
        <f>State_Fossil_All_Mapping_SEDS!AY3/State_Fossil_All_Mapping_SEDS!$BB3</f>
        <v>0</v>
      </c>
      <c r="AY2" s="34">
        <f>State_Fossil_All_Mapping_SEDS!AZ3/State_Fossil_All_Mapping_SEDS!$BB3</f>
        <v>0</v>
      </c>
      <c r="AZ2" s="34">
        <f>State_Fossil_All_Mapping_SEDS!BA3/State_Fossil_All_Mapping_SEDS!$BB3</f>
        <v>0</v>
      </c>
    </row>
    <row r="3" ht="15.75" customHeight="1">
      <c r="A3" s="34">
        <v>2.0</v>
      </c>
      <c r="B3" s="34">
        <f>State_Fossil_All_Mapping_SEDS!C4/State_Fossil_All_Mapping_SEDS!$BB4</f>
        <v>0</v>
      </c>
      <c r="C3" s="34">
        <f>State_Fossil_All_Mapping_SEDS!D4/State_Fossil_All_Mapping_SEDS!$BB4</f>
        <v>0</v>
      </c>
      <c r="D3" s="32">
        <f>State_Fossil_All_Mapping_SEDS!E4/State_Fossil_All_Mapping_SEDS!$BB4</f>
        <v>0</v>
      </c>
      <c r="E3" s="34">
        <f>State_Fossil_All_Mapping_SEDS!F4/State_Fossil_All_Mapping_SEDS!$BB4</f>
        <v>0</v>
      </c>
      <c r="F3" s="34">
        <f>State_Fossil_All_Mapping_SEDS!G4/State_Fossil_All_Mapping_SEDS!$BB4</f>
        <v>0</v>
      </c>
      <c r="G3" s="34">
        <f>State_Fossil_All_Mapping_SEDS!H4/State_Fossil_All_Mapping_SEDS!$BB4</f>
        <v>0</v>
      </c>
      <c r="H3" s="34">
        <f>State_Fossil_All_Mapping_SEDS!I4/State_Fossil_All_Mapping_SEDS!$BB4</f>
        <v>0</v>
      </c>
      <c r="I3" s="34">
        <f>State_Fossil_All_Mapping_SEDS!J4/State_Fossil_All_Mapping_SEDS!$BB4</f>
        <v>0</v>
      </c>
      <c r="J3" s="34">
        <f>State_Fossil_All_Mapping_SEDS!K4/State_Fossil_All_Mapping_SEDS!$BB4</f>
        <v>0</v>
      </c>
      <c r="K3" s="32">
        <f>State_Fossil_All_Mapping_SEDS!L4/State_Fossil_All_Mapping_SEDS!$BB4</f>
        <v>0</v>
      </c>
      <c r="L3" s="34">
        <f>State_Fossil_All_Mapping_SEDS!M4/State_Fossil_All_Mapping_SEDS!$BB4</f>
        <v>0</v>
      </c>
      <c r="M3" s="34">
        <f>State_Fossil_All_Mapping_SEDS!N4/State_Fossil_All_Mapping_SEDS!$BB4</f>
        <v>0</v>
      </c>
      <c r="N3" s="34">
        <f>State_Fossil_All_Mapping_SEDS!O4/State_Fossil_All_Mapping_SEDS!$BB4</f>
        <v>0</v>
      </c>
      <c r="O3" s="34">
        <f>State_Fossil_All_Mapping_SEDS!P4/State_Fossil_All_Mapping_SEDS!$BB4</f>
        <v>0</v>
      </c>
      <c r="P3" s="34">
        <f>State_Fossil_All_Mapping_SEDS!Q4/State_Fossil_All_Mapping_SEDS!$BB4</f>
        <v>0</v>
      </c>
      <c r="Q3" s="34">
        <f>State_Fossil_All_Mapping_SEDS!R4/State_Fossil_All_Mapping_SEDS!$BB4</f>
        <v>0</v>
      </c>
      <c r="R3" s="34">
        <f>State_Fossil_All_Mapping_SEDS!S4/State_Fossil_All_Mapping_SEDS!$BB4</f>
        <v>0</v>
      </c>
      <c r="S3" s="34">
        <f>State_Fossil_All_Mapping_SEDS!T4/State_Fossil_All_Mapping_SEDS!$BB4</f>
        <v>0</v>
      </c>
      <c r="T3" s="34">
        <f>State_Fossil_All_Mapping_SEDS!U4/State_Fossil_All_Mapping_SEDS!$BB4</f>
        <v>0</v>
      </c>
      <c r="U3" s="34">
        <f>State_Fossil_All_Mapping_SEDS!V4/State_Fossil_All_Mapping_SEDS!$BB4</f>
        <v>0</v>
      </c>
      <c r="V3" s="34">
        <f>State_Fossil_All_Mapping_SEDS!W4/State_Fossil_All_Mapping_SEDS!$BB4</f>
        <v>0</v>
      </c>
      <c r="W3" s="34">
        <f>State_Fossil_All_Mapping_SEDS!X4/State_Fossil_All_Mapping_SEDS!$BB4</f>
        <v>0</v>
      </c>
      <c r="X3" s="34">
        <f>State_Fossil_All_Mapping_SEDS!Y4/State_Fossil_All_Mapping_SEDS!$BB4</f>
        <v>0</v>
      </c>
      <c r="Y3" s="34">
        <f>State_Fossil_All_Mapping_SEDS!Z4/State_Fossil_All_Mapping_SEDS!$BB4</f>
        <v>0</v>
      </c>
      <c r="Z3" s="34">
        <f>State_Fossil_All_Mapping_SEDS!AA4/State_Fossil_All_Mapping_SEDS!$BB4</f>
        <v>0</v>
      </c>
      <c r="AA3" s="34">
        <f>State_Fossil_All_Mapping_SEDS!AB4/State_Fossil_All_Mapping_SEDS!$BB4</f>
        <v>0</v>
      </c>
      <c r="AB3" s="34">
        <f>State_Fossil_All_Mapping_SEDS!AC4/State_Fossil_All_Mapping_SEDS!$BB4</f>
        <v>0</v>
      </c>
      <c r="AC3" s="34">
        <f>State_Fossil_All_Mapping_SEDS!AD4/State_Fossil_All_Mapping_SEDS!$BB4</f>
        <v>0</v>
      </c>
      <c r="AD3" s="34">
        <f>State_Fossil_All_Mapping_SEDS!AE4/State_Fossil_All_Mapping_SEDS!$BB4</f>
        <v>0</v>
      </c>
      <c r="AE3" s="34">
        <f>State_Fossil_All_Mapping_SEDS!AF4/State_Fossil_All_Mapping_SEDS!$BB4</f>
        <v>0</v>
      </c>
      <c r="AF3" s="34">
        <f>State_Fossil_All_Mapping_SEDS!AG4/State_Fossil_All_Mapping_SEDS!$BB4</f>
        <v>0.2586836341</v>
      </c>
      <c r="AG3" s="32">
        <f>State_Fossil_All_Mapping_SEDS!AH4/State_Fossil_All_Mapping_SEDS!$BB4</f>
        <v>0</v>
      </c>
      <c r="AH3" s="34">
        <f>State_Fossil_All_Mapping_SEDS!AI4/State_Fossil_All_Mapping_SEDS!$BB4</f>
        <v>0.4841973506</v>
      </c>
      <c r="AI3" s="34">
        <f>State_Fossil_All_Mapping_SEDS!AJ4/State_Fossil_All_Mapping_SEDS!$BB4</f>
        <v>0</v>
      </c>
      <c r="AJ3" s="34">
        <f>State_Fossil_All_Mapping_SEDS!AK4/State_Fossil_All_Mapping_SEDS!$BB4</f>
        <v>0</v>
      </c>
      <c r="AK3" s="34">
        <f>State_Fossil_All_Mapping_SEDS!AL4/State_Fossil_All_Mapping_SEDS!$BB4</f>
        <v>0</v>
      </c>
      <c r="AL3" s="34">
        <f>State_Fossil_All_Mapping_SEDS!AM4/State_Fossil_All_Mapping_SEDS!$BB4</f>
        <v>0</v>
      </c>
      <c r="AM3" s="34">
        <f>State_Fossil_All_Mapping_SEDS!AN4/State_Fossil_All_Mapping_SEDS!$BB4</f>
        <v>0</v>
      </c>
      <c r="AN3" s="34">
        <f>State_Fossil_All_Mapping_SEDS!AO4/State_Fossil_All_Mapping_SEDS!$BB4</f>
        <v>0.2571190153</v>
      </c>
      <c r="AO3" s="34">
        <f>State_Fossil_All_Mapping_SEDS!AP4/State_Fossil_All_Mapping_SEDS!$BB4</f>
        <v>0</v>
      </c>
      <c r="AP3" s="34">
        <f>State_Fossil_All_Mapping_SEDS!AQ4/State_Fossil_All_Mapping_SEDS!$BB4</f>
        <v>0</v>
      </c>
      <c r="AQ3" s="34">
        <f>State_Fossil_All_Mapping_SEDS!AR4/State_Fossil_All_Mapping_SEDS!$BB4</f>
        <v>0</v>
      </c>
      <c r="AR3" s="34">
        <f>State_Fossil_All_Mapping_SEDS!AS4/State_Fossil_All_Mapping_SEDS!$BB4</f>
        <v>0</v>
      </c>
      <c r="AS3" s="34">
        <f>State_Fossil_All_Mapping_SEDS!AT4/State_Fossil_All_Mapping_SEDS!$BB4</f>
        <v>0</v>
      </c>
      <c r="AT3" s="34">
        <f>State_Fossil_All_Mapping_SEDS!AU4/State_Fossil_All_Mapping_SEDS!$BB4</f>
        <v>0</v>
      </c>
      <c r="AU3" s="34">
        <f>State_Fossil_All_Mapping_SEDS!AV4/State_Fossil_All_Mapping_SEDS!$BB4</f>
        <v>0</v>
      </c>
      <c r="AV3" s="34">
        <f>State_Fossil_All_Mapping_SEDS!AW4/State_Fossil_All_Mapping_SEDS!$BB4</f>
        <v>0</v>
      </c>
      <c r="AW3" s="34">
        <f>State_Fossil_All_Mapping_SEDS!AX4/State_Fossil_All_Mapping_SEDS!$BB4</f>
        <v>0</v>
      </c>
      <c r="AX3" s="34">
        <f>State_Fossil_All_Mapping_SEDS!AY4/State_Fossil_All_Mapping_SEDS!$BB4</f>
        <v>0</v>
      </c>
      <c r="AY3" s="34">
        <f>State_Fossil_All_Mapping_SEDS!AZ4/State_Fossil_All_Mapping_SEDS!$BB4</f>
        <v>0</v>
      </c>
      <c r="AZ3" s="34">
        <f>State_Fossil_All_Mapping_SEDS!BA4/State_Fossil_All_Mapping_SEDS!$BB4</f>
        <v>0</v>
      </c>
    </row>
    <row r="4" ht="15.75" customHeight="1">
      <c r="A4" s="34">
        <v>3.0</v>
      </c>
      <c r="B4" s="34">
        <f>State_Fossil_All_Mapping_SEDS!C5/State_Fossil_All_Mapping_SEDS!$BB5</f>
        <v>0</v>
      </c>
      <c r="C4" s="34">
        <f>State_Fossil_All_Mapping_SEDS!D5/State_Fossil_All_Mapping_SEDS!$BB5</f>
        <v>0</v>
      </c>
      <c r="D4" s="32">
        <f>State_Fossil_All_Mapping_SEDS!E5/State_Fossil_All_Mapping_SEDS!$BB5</f>
        <v>0</v>
      </c>
      <c r="E4" s="34">
        <f>State_Fossil_All_Mapping_SEDS!F5/State_Fossil_All_Mapping_SEDS!$BB5</f>
        <v>0</v>
      </c>
      <c r="F4" s="34">
        <f>State_Fossil_All_Mapping_SEDS!G5/State_Fossil_All_Mapping_SEDS!$BB5</f>
        <v>0</v>
      </c>
      <c r="G4" s="34">
        <f>State_Fossil_All_Mapping_SEDS!H5/State_Fossil_All_Mapping_SEDS!$BB5</f>
        <v>0</v>
      </c>
      <c r="H4" s="34">
        <f>State_Fossil_All_Mapping_SEDS!I5/State_Fossil_All_Mapping_SEDS!$BB5</f>
        <v>0</v>
      </c>
      <c r="I4" s="34">
        <f>State_Fossil_All_Mapping_SEDS!J5/State_Fossil_All_Mapping_SEDS!$BB5</f>
        <v>0</v>
      </c>
      <c r="J4" s="34">
        <f>State_Fossil_All_Mapping_SEDS!K5/State_Fossil_All_Mapping_SEDS!$BB5</f>
        <v>0</v>
      </c>
      <c r="K4" s="32">
        <f>State_Fossil_All_Mapping_SEDS!L5/State_Fossil_All_Mapping_SEDS!$BB5</f>
        <v>0</v>
      </c>
      <c r="L4" s="34">
        <f>State_Fossil_All_Mapping_SEDS!M5/State_Fossil_All_Mapping_SEDS!$BB5</f>
        <v>0</v>
      </c>
      <c r="M4" s="34">
        <f>State_Fossil_All_Mapping_SEDS!N5/State_Fossil_All_Mapping_SEDS!$BB5</f>
        <v>0</v>
      </c>
      <c r="N4" s="34">
        <f>State_Fossil_All_Mapping_SEDS!O5/State_Fossil_All_Mapping_SEDS!$BB5</f>
        <v>0</v>
      </c>
      <c r="O4" s="34">
        <f>State_Fossil_All_Mapping_SEDS!P5/State_Fossil_All_Mapping_SEDS!$BB5</f>
        <v>0.3137574384</v>
      </c>
      <c r="P4" s="34">
        <f>State_Fossil_All_Mapping_SEDS!Q5/State_Fossil_All_Mapping_SEDS!$BB5</f>
        <v>0.1068291301</v>
      </c>
      <c r="Q4" s="34">
        <f>State_Fossil_All_Mapping_SEDS!R5/State_Fossil_All_Mapping_SEDS!$BB5</f>
        <v>0</v>
      </c>
      <c r="R4" s="34">
        <f>State_Fossil_All_Mapping_SEDS!S5/State_Fossil_All_Mapping_SEDS!$BB5</f>
        <v>0</v>
      </c>
      <c r="S4" s="34">
        <f>State_Fossil_All_Mapping_SEDS!T5/State_Fossil_All_Mapping_SEDS!$BB5</f>
        <v>0</v>
      </c>
      <c r="T4" s="34">
        <f>State_Fossil_All_Mapping_SEDS!U5/State_Fossil_All_Mapping_SEDS!$BB5</f>
        <v>0</v>
      </c>
      <c r="U4" s="34">
        <f>State_Fossil_All_Mapping_SEDS!V5/State_Fossil_All_Mapping_SEDS!$BB5</f>
        <v>0</v>
      </c>
      <c r="V4" s="34">
        <f>State_Fossil_All_Mapping_SEDS!W5/State_Fossil_All_Mapping_SEDS!$BB5</f>
        <v>0</v>
      </c>
      <c r="W4" s="34">
        <f>State_Fossil_All_Mapping_SEDS!X5/State_Fossil_All_Mapping_SEDS!$BB5</f>
        <v>0</v>
      </c>
      <c r="X4" s="34">
        <f>State_Fossil_All_Mapping_SEDS!Y5/State_Fossil_All_Mapping_SEDS!$BB5</f>
        <v>0.2463870785</v>
      </c>
      <c r="Y4" s="34">
        <f>State_Fossil_All_Mapping_SEDS!Z5/State_Fossil_All_Mapping_SEDS!$BB5</f>
        <v>0</v>
      </c>
      <c r="Z4" s="34">
        <f>State_Fossil_All_Mapping_SEDS!AA5/State_Fossil_All_Mapping_SEDS!$BB5</f>
        <v>0</v>
      </c>
      <c r="AA4" s="34">
        <f>State_Fossil_All_Mapping_SEDS!AB5/State_Fossil_All_Mapping_SEDS!$BB5</f>
        <v>0</v>
      </c>
      <c r="AB4" s="34">
        <f>State_Fossil_All_Mapping_SEDS!AC5/State_Fossil_All_Mapping_SEDS!$BB5</f>
        <v>0</v>
      </c>
      <c r="AC4" s="34">
        <f>State_Fossil_All_Mapping_SEDS!AD5/State_Fossil_All_Mapping_SEDS!$BB5</f>
        <v>0</v>
      </c>
      <c r="AD4" s="34">
        <f>State_Fossil_All_Mapping_SEDS!AE5/State_Fossil_All_Mapping_SEDS!$BB5</f>
        <v>0</v>
      </c>
      <c r="AE4" s="34">
        <f>State_Fossil_All_Mapping_SEDS!AF5/State_Fossil_All_Mapping_SEDS!$BB5</f>
        <v>0</v>
      </c>
      <c r="AF4" s="34">
        <f>State_Fossil_All_Mapping_SEDS!AG5/State_Fossil_All_Mapping_SEDS!$BB5</f>
        <v>0</v>
      </c>
      <c r="AG4" s="32">
        <f>State_Fossil_All_Mapping_SEDS!AH5/State_Fossil_All_Mapping_SEDS!$BB5</f>
        <v>0</v>
      </c>
      <c r="AH4" s="34">
        <f>State_Fossil_All_Mapping_SEDS!AI5/State_Fossil_All_Mapping_SEDS!$BB5</f>
        <v>0</v>
      </c>
      <c r="AI4" s="34">
        <f>State_Fossil_All_Mapping_SEDS!AJ5/State_Fossil_All_Mapping_SEDS!$BB5</f>
        <v>0</v>
      </c>
      <c r="AJ4" s="34">
        <f>State_Fossil_All_Mapping_SEDS!AK5/State_Fossil_All_Mapping_SEDS!$BB5</f>
        <v>0</v>
      </c>
      <c r="AK4" s="34">
        <f>State_Fossil_All_Mapping_SEDS!AL5/State_Fossil_All_Mapping_SEDS!$BB5</f>
        <v>0.2220175687</v>
      </c>
      <c r="AL4" s="34">
        <f>State_Fossil_All_Mapping_SEDS!AM5/State_Fossil_All_Mapping_SEDS!$BB5</f>
        <v>0</v>
      </c>
      <c r="AM4" s="34">
        <f>State_Fossil_All_Mapping_SEDS!AN5/State_Fossil_All_Mapping_SEDS!$BB5</f>
        <v>0</v>
      </c>
      <c r="AN4" s="34">
        <f>State_Fossil_All_Mapping_SEDS!AO5/State_Fossil_All_Mapping_SEDS!$BB5</f>
        <v>0</v>
      </c>
      <c r="AO4" s="34">
        <f>State_Fossil_All_Mapping_SEDS!AP5/State_Fossil_All_Mapping_SEDS!$BB5</f>
        <v>0</v>
      </c>
      <c r="AP4" s="34">
        <f>State_Fossil_All_Mapping_SEDS!AQ5/State_Fossil_All_Mapping_SEDS!$BB5</f>
        <v>0</v>
      </c>
      <c r="AQ4" s="34">
        <f>State_Fossil_All_Mapping_SEDS!AR5/State_Fossil_All_Mapping_SEDS!$BB5</f>
        <v>0</v>
      </c>
      <c r="AR4" s="34">
        <f>State_Fossil_All_Mapping_SEDS!AS5/State_Fossil_All_Mapping_SEDS!$BB5</f>
        <v>0</v>
      </c>
      <c r="AS4" s="34">
        <f>State_Fossil_All_Mapping_SEDS!AT5/State_Fossil_All_Mapping_SEDS!$BB5</f>
        <v>0</v>
      </c>
      <c r="AT4" s="34">
        <f>State_Fossil_All_Mapping_SEDS!AU5/State_Fossil_All_Mapping_SEDS!$BB5</f>
        <v>0</v>
      </c>
      <c r="AU4" s="34">
        <f>State_Fossil_All_Mapping_SEDS!AV5/State_Fossil_All_Mapping_SEDS!$BB5</f>
        <v>0</v>
      </c>
      <c r="AV4" s="34">
        <f>State_Fossil_All_Mapping_SEDS!AW5/State_Fossil_All_Mapping_SEDS!$BB5</f>
        <v>0</v>
      </c>
      <c r="AW4" s="34">
        <f>State_Fossil_All_Mapping_SEDS!AX5/State_Fossil_All_Mapping_SEDS!$BB5</f>
        <v>0</v>
      </c>
      <c r="AX4" s="34">
        <f>State_Fossil_All_Mapping_SEDS!AY5/State_Fossil_All_Mapping_SEDS!$BB5</f>
        <v>0</v>
      </c>
      <c r="AY4" s="34">
        <f>State_Fossil_All_Mapping_SEDS!AZ5/State_Fossil_All_Mapping_SEDS!$BB5</f>
        <v>0.1110087844</v>
      </c>
      <c r="AZ4" s="34">
        <f>State_Fossil_All_Mapping_SEDS!BA5/State_Fossil_All_Mapping_SEDS!$BB5</f>
        <v>0</v>
      </c>
    </row>
    <row r="5" ht="15.75" customHeight="1">
      <c r="A5" s="34">
        <v>4.0</v>
      </c>
      <c r="B5" s="34">
        <f>State_Fossil_All_Mapping_SEDS!C6/State_Fossil_All_Mapping_SEDS!$BB6</f>
        <v>0</v>
      </c>
      <c r="C5" s="34">
        <f>State_Fossil_All_Mapping_SEDS!D6/State_Fossil_All_Mapping_SEDS!$BB6</f>
        <v>0</v>
      </c>
      <c r="D5" s="32">
        <f>State_Fossil_All_Mapping_SEDS!E6/State_Fossil_All_Mapping_SEDS!$BB6</f>
        <v>0</v>
      </c>
      <c r="E5" s="34">
        <f>State_Fossil_All_Mapping_SEDS!F6/State_Fossil_All_Mapping_SEDS!$BB6</f>
        <v>0</v>
      </c>
      <c r="F5" s="34">
        <f>State_Fossil_All_Mapping_SEDS!G6/State_Fossil_All_Mapping_SEDS!$BB6</f>
        <v>0</v>
      </c>
      <c r="G5" s="34">
        <f>State_Fossil_All_Mapping_SEDS!H6/State_Fossil_All_Mapping_SEDS!$BB6</f>
        <v>0</v>
      </c>
      <c r="H5" s="34">
        <f>State_Fossil_All_Mapping_SEDS!I6/State_Fossil_All_Mapping_SEDS!$BB6</f>
        <v>0</v>
      </c>
      <c r="I5" s="34">
        <f>State_Fossil_All_Mapping_SEDS!J6/State_Fossil_All_Mapping_SEDS!$BB6</f>
        <v>0</v>
      </c>
      <c r="J5" s="34">
        <f>State_Fossil_All_Mapping_SEDS!K6/State_Fossil_All_Mapping_SEDS!$BB6</f>
        <v>0</v>
      </c>
      <c r="K5" s="32">
        <f>State_Fossil_All_Mapping_SEDS!L6/State_Fossil_All_Mapping_SEDS!$BB6</f>
        <v>0</v>
      </c>
      <c r="L5" s="34">
        <f>State_Fossil_All_Mapping_SEDS!M6/State_Fossil_All_Mapping_SEDS!$BB6</f>
        <v>0</v>
      </c>
      <c r="M5" s="34">
        <f>State_Fossil_All_Mapping_SEDS!N6/State_Fossil_All_Mapping_SEDS!$BB6</f>
        <v>0</v>
      </c>
      <c r="N5" s="34">
        <f>State_Fossil_All_Mapping_SEDS!O6/State_Fossil_All_Mapping_SEDS!$BB6</f>
        <v>0</v>
      </c>
      <c r="O5" s="34">
        <f>State_Fossil_All_Mapping_SEDS!P6/State_Fossil_All_Mapping_SEDS!$BB6</f>
        <v>0</v>
      </c>
      <c r="P5" s="34">
        <f>State_Fossil_All_Mapping_SEDS!Q6/State_Fossil_All_Mapping_SEDS!$BB6</f>
        <v>0</v>
      </c>
      <c r="Q5" s="34">
        <f>State_Fossil_All_Mapping_SEDS!R6/State_Fossil_All_Mapping_SEDS!$BB6</f>
        <v>0.1576642336</v>
      </c>
      <c r="R5" s="34">
        <f>State_Fossil_All_Mapping_SEDS!S6/State_Fossil_All_Mapping_SEDS!$BB6</f>
        <v>0.1409801877</v>
      </c>
      <c r="S5" s="34">
        <f>State_Fossil_All_Mapping_SEDS!T6/State_Fossil_All_Mapping_SEDS!$BB6</f>
        <v>0</v>
      </c>
      <c r="T5" s="34">
        <f>State_Fossil_All_Mapping_SEDS!U6/State_Fossil_All_Mapping_SEDS!$BB6</f>
        <v>0</v>
      </c>
      <c r="U5" s="34">
        <f>State_Fossil_All_Mapping_SEDS!V6/State_Fossil_All_Mapping_SEDS!$BB6</f>
        <v>0</v>
      </c>
      <c r="V5" s="34">
        <f>State_Fossil_All_Mapping_SEDS!W6/State_Fossil_All_Mapping_SEDS!$BB6</f>
        <v>0</v>
      </c>
      <c r="W5" s="34">
        <f>State_Fossil_All_Mapping_SEDS!X6/State_Fossil_All_Mapping_SEDS!$BB6</f>
        <v>0</v>
      </c>
      <c r="X5" s="34">
        <f>State_Fossil_All_Mapping_SEDS!Y6/State_Fossil_All_Mapping_SEDS!$BB6</f>
        <v>0</v>
      </c>
      <c r="Y5" s="34">
        <f>State_Fossil_All_Mapping_SEDS!Z6/State_Fossil_All_Mapping_SEDS!$BB6</f>
        <v>0.3303441084</v>
      </c>
      <c r="Z5" s="34">
        <f>State_Fossil_All_Mapping_SEDS!AA6/State_Fossil_All_Mapping_SEDS!$BB6</f>
        <v>0</v>
      </c>
      <c r="AA5" s="34">
        <f>State_Fossil_All_Mapping_SEDS!AB6/State_Fossil_All_Mapping_SEDS!$BB6</f>
        <v>0.2206465068</v>
      </c>
      <c r="AB5" s="34">
        <f>State_Fossil_All_Mapping_SEDS!AC6/State_Fossil_All_Mapping_SEDS!$BB6</f>
        <v>0</v>
      </c>
      <c r="AC5" s="34">
        <f>State_Fossil_All_Mapping_SEDS!AD6/State_Fossil_All_Mapping_SEDS!$BB6</f>
        <v>0.08675703858</v>
      </c>
      <c r="AD5" s="34">
        <f>State_Fossil_All_Mapping_SEDS!AE6/State_Fossil_All_Mapping_SEDS!$BB6</f>
        <v>0</v>
      </c>
      <c r="AE5" s="34">
        <f>State_Fossil_All_Mapping_SEDS!AF6/State_Fossil_All_Mapping_SEDS!$BB6</f>
        <v>0</v>
      </c>
      <c r="AF5" s="34">
        <f>State_Fossil_All_Mapping_SEDS!AG6/State_Fossil_All_Mapping_SEDS!$BB6</f>
        <v>0</v>
      </c>
      <c r="AG5" s="32">
        <f>State_Fossil_All_Mapping_SEDS!AH6/State_Fossil_All_Mapping_SEDS!$BB6</f>
        <v>0</v>
      </c>
      <c r="AH5" s="34">
        <f>State_Fossil_All_Mapping_SEDS!AI6/State_Fossil_All_Mapping_SEDS!$BB6</f>
        <v>0</v>
      </c>
      <c r="AI5" s="34">
        <f>State_Fossil_All_Mapping_SEDS!AJ6/State_Fossil_All_Mapping_SEDS!$BB6</f>
        <v>0</v>
      </c>
      <c r="AJ5" s="34">
        <f>State_Fossil_All_Mapping_SEDS!AK6/State_Fossil_All_Mapping_SEDS!$BB6</f>
        <v>0.03086548488</v>
      </c>
      <c r="AK5" s="34">
        <f>State_Fossil_All_Mapping_SEDS!AL6/State_Fossil_All_Mapping_SEDS!$BB6</f>
        <v>0</v>
      </c>
      <c r="AL5" s="34">
        <f>State_Fossil_All_Mapping_SEDS!AM6/State_Fossil_All_Mapping_SEDS!$BB6</f>
        <v>0</v>
      </c>
      <c r="AM5" s="34">
        <f>State_Fossil_All_Mapping_SEDS!AN6/State_Fossil_All_Mapping_SEDS!$BB6</f>
        <v>0</v>
      </c>
      <c r="AN5" s="34">
        <f>State_Fossil_All_Mapping_SEDS!AO6/State_Fossil_All_Mapping_SEDS!$BB6</f>
        <v>0</v>
      </c>
      <c r="AO5" s="34">
        <f>State_Fossil_All_Mapping_SEDS!AP6/State_Fossil_All_Mapping_SEDS!$BB6</f>
        <v>0</v>
      </c>
      <c r="AP5" s="34">
        <f>State_Fossil_All_Mapping_SEDS!AQ6/State_Fossil_All_Mapping_SEDS!$BB6</f>
        <v>0</v>
      </c>
      <c r="AQ5" s="34">
        <f>State_Fossil_All_Mapping_SEDS!AR6/State_Fossil_All_Mapping_SEDS!$BB6</f>
        <v>0.03274244004</v>
      </c>
      <c r="AR5" s="34">
        <f>State_Fossil_All_Mapping_SEDS!AS6/State_Fossil_All_Mapping_SEDS!$BB6</f>
        <v>0</v>
      </c>
      <c r="AS5" s="34">
        <f>State_Fossil_All_Mapping_SEDS!AT6/State_Fossil_All_Mapping_SEDS!$BB6</f>
        <v>0</v>
      </c>
      <c r="AT5" s="34">
        <f>State_Fossil_All_Mapping_SEDS!AU6/State_Fossil_All_Mapping_SEDS!$BB6</f>
        <v>0</v>
      </c>
      <c r="AU5" s="34">
        <f>State_Fossil_All_Mapping_SEDS!AV6/State_Fossil_All_Mapping_SEDS!$BB6</f>
        <v>0</v>
      </c>
      <c r="AV5" s="34">
        <f>State_Fossil_All_Mapping_SEDS!AW6/State_Fossil_All_Mapping_SEDS!$BB6</f>
        <v>0</v>
      </c>
      <c r="AW5" s="34">
        <f>State_Fossil_All_Mapping_SEDS!AX6/State_Fossil_All_Mapping_SEDS!$BB6</f>
        <v>0</v>
      </c>
      <c r="AX5" s="34">
        <f>State_Fossil_All_Mapping_SEDS!AY6/State_Fossil_All_Mapping_SEDS!$BB6</f>
        <v>0</v>
      </c>
      <c r="AY5" s="34">
        <f>State_Fossil_All_Mapping_SEDS!AZ6/State_Fossil_All_Mapping_SEDS!$BB6</f>
        <v>0</v>
      </c>
      <c r="AZ5" s="34">
        <f>State_Fossil_All_Mapping_SEDS!BA6/State_Fossil_All_Mapping_SEDS!$BB6</f>
        <v>0</v>
      </c>
    </row>
    <row r="6" ht="15.75" customHeight="1">
      <c r="A6" s="34">
        <v>5.0</v>
      </c>
      <c r="B6" s="34">
        <f>State_Fossil_All_Mapping_SEDS!C7/State_Fossil_All_Mapping_SEDS!$BB7</f>
        <v>0</v>
      </c>
      <c r="C6" s="34">
        <f>State_Fossil_All_Mapping_SEDS!D7/State_Fossil_All_Mapping_SEDS!$BB7</f>
        <v>0</v>
      </c>
      <c r="D6" s="32">
        <f>State_Fossil_All_Mapping_SEDS!E7/State_Fossil_All_Mapping_SEDS!$BB7</f>
        <v>0</v>
      </c>
      <c r="E6" s="34">
        <f>State_Fossil_All_Mapping_SEDS!F7/State_Fossil_All_Mapping_SEDS!$BB7</f>
        <v>0</v>
      </c>
      <c r="F6" s="34">
        <f>State_Fossil_All_Mapping_SEDS!G7/State_Fossil_All_Mapping_SEDS!$BB7</f>
        <v>0</v>
      </c>
      <c r="G6" s="34">
        <f>State_Fossil_All_Mapping_SEDS!H7/State_Fossil_All_Mapping_SEDS!$BB7</f>
        <v>0</v>
      </c>
      <c r="H6" s="34">
        <f>State_Fossil_All_Mapping_SEDS!I7/State_Fossil_All_Mapping_SEDS!$BB7</f>
        <v>0</v>
      </c>
      <c r="I6" s="34">
        <f>State_Fossil_All_Mapping_SEDS!J7/State_Fossil_All_Mapping_SEDS!$BB7</f>
        <v>0.02496448143</v>
      </c>
      <c r="J6" s="34">
        <f>State_Fossil_All_Mapping_SEDS!K7/State_Fossil_All_Mapping_SEDS!$BB7</f>
        <v>0.02496448143</v>
      </c>
      <c r="K6" s="32">
        <f>State_Fossil_All_Mapping_SEDS!L7/State_Fossil_All_Mapping_SEDS!$BB7</f>
        <v>0.03917190988</v>
      </c>
      <c r="L6" s="34">
        <f>State_Fossil_All_Mapping_SEDS!M7/State_Fossil_All_Mapping_SEDS!$BB7</f>
        <v>0.2804952304</v>
      </c>
      <c r="M6" s="34">
        <f>State_Fossil_All_Mapping_SEDS!N7/State_Fossil_All_Mapping_SEDS!$BB7</f>
        <v>0</v>
      </c>
      <c r="N6" s="34">
        <f>State_Fossil_All_Mapping_SEDS!O7/State_Fossil_All_Mapping_SEDS!$BB7</f>
        <v>0</v>
      </c>
      <c r="O6" s="34">
        <f>State_Fossil_All_Mapping_SEDS!P7/State_Fossil_All_Mapping_SEDS!$BB7</f>
        <v>0</v>
      </c>
      <c r="P6" s="34">
        <f>State_Fossil_All_Mapping_SEDS!Q7/State_Fossil_All_Mapping_SEDS!$BB7</f>
        <v>0</v>
      </c>
      <c r="Q6" s="34">
        <f>State_Fossil_All_Mapping_SEDS!R7/State_Fossil_All_Mapping_SEDS!$BB7</f>
        <v>0</v>
      </c>
      <c r="R6" s="34">
        <f>State_Fossil_All_Mapping_SEDS!S7/State_Fossil_All_Mapping_SEDS!$BB7</f>
        <v>0</v>
      </c>
      <c r="S6" s="34">
        <f>State_Fossil_All_Mapping_SEDS!T7/State_Fossil_All_Mapping_SEDS!$BB7</f>
        <v>0</v>
      </c>
      <c r="T6" s="34">
        <f>State_Fossil_All_Mapping_SEDS!U7/State_Fossil_All_Mapping_SEDS!$BB7</f>
        <v>0</v>
      </c>
      <c r="U6" s="34">
        <f>State_Fossil_All_Mapping_SEDS!V7/State_Fossil_All_Mapping_SEDS!$BB7</f>
        <v>0</v>
      </c>
      <c r="V6" s="34">
        <f>State_Fossil_All_Mapping_SEDS!W7/State_Fossil_All_Mapping_SEDS!$BB7</f>
        <v>0.1741424802</v>
      </c>
      <c r="W6" s="34">
        <f>State_Fossil_All_Mapping_SEDS!X7/State_Fossil_All_Mapping_SEDS!$BB7</f>
        <v>0</v>
      </c>
      <c r="X6" s="34">
        <f>State_Fossil_All_Mapping_SEDS!Y7/State_Fossil_All_Mapping_SEDS!$BB7</f>
        <v>0</v>
      </c>
      <c r="Y6" s="34">
        <f>State_Fossil_All_Mapping_SEDS!Z7/State_Fossil_All_Mapping_SEDS!$BB7</f>
        <v>0</v>
      </c>
      <c r="Z6" s="34">
        <f>State_Fossil_All_Mapping_SEDS!AA7/State_Fossil_All_Mapping_SEDS!$BB7</f>
        <v>0</v>
      </c>
      <c r="AA6" s="34">
        <f>State_Fossil_All_Mapping_SEDS!AB7/State_Fossil_All_Mapping_SEDS!$BB7</f>
        <v>0</v>
      </c>
      <c r="AB6" s="34">
        <f>State_Fossil_All_Mapping_SEDS!AC7/State_Fossil_All_Mapping_SEDS!$BB7</f>
        <v>0</v>
      </c>
      <c r="AC6" s="34">
        <f>State_Fossil_All_Mapping_SEDS!AD7/State_Fossil_All_Mapping_SEDS!$BB7</f>
        <v>0</v>
      </c>
      <c r="AD6" s="34">
        <f>State_Fossil_All_Mapping_SEDS!AE7/State_Fossil_All_Mapping_SEDS!$BB7</f>
        <v>0</v>
      </c>
      <c r="AE6" s="34">
        <f>State_Fossil_All_Mapping_SEDS!AF7/State_Fossil_All_Mapping_SEDS!$BB7</f>
        <v>0</v>
      </c>
      <c r="AF6" s="34">
        <f>State_Fossil_All_Mapping_SEDS!AG7/State_Fossil_All_Mapping_SEDS!$BB7</f>
        <v>0</v>
      </c>
      <c r="AG6" s="32">
        <f>State_Fossil_All_Mapping_SEDS!AH7/State_Fossil_All_Mapping_SEDS!$BB7</f>
        <v>0</v>
      </c>
      <c r="AH6" s="34">
        <f>State_Fossil_All_Mapping_SEDS!AI7/State_Fossil_All_Mapping_SEDS!$BB7</f>
        <v>0</v>
      </c>
      <c r="AI6" s="34">
        <f>State_Fossil_All_Mapping_SEDS!AJ7/State_Fossil_All_Mapping_SEDS!$BB7</f>
        <v>0.1503957784</v>
      </c>
      <c r="AJ6" s="34">
        <f>State_Fossil_All_Mapping_SEDS!AK7/State_Fossil_All_Mapping_SEDS!$BB7</f>
        <v>0</v>
      </c>
      <c r="AK6" s="34">
        <f>State_Fossil_All_Mapping_SEDS!AL7/State_Fossil_All_Mapping_SEDS!$BB7</f>
        <v>0</v>
      </c>
      <c r="AL6" s="34">
        <f>State_Fossil_All_Mapping_SEDS!AM7/State_Fossil_All_Mapping_SEDS!$BB7</f>
        <v>0</v>
      </c>
      <c r="AM6" s="34">
        <f>State_Fossil_All_Mapping_SEDS!AN7/State_Fossil_All_Mapping_SEDS!$BB7</f>
        <v>0</v>
      </c>
      <c r="AN6" s="34">
        <f>State_Fossil_All_Mapping_SEDS!AO7/State_Fossil_All_Mapping_SEDS!$BB7</f>
        <v>0</v>
      </c>
      <c r="AO6" s="34">
        <f>State_Fossil_All_Mapping_SEDS!AP7/State_Fossil_All_Mapping_SEDS!$BB7</f>
        <v>0</v>
      </c>
      <c r="AP6" s="34">
        <f>State_Fossil_All_Mapping_SEDS!AQ7/State_Fossil_All_Mapping_SEDS!$BB7</f>
        <v>0.07002232596</v>
      </c>
      <c r="AQ6" s="34">
        <f>State_Fossil_All_Mapping_SEDS!AR7/State_Fossil_All_Mapping_SEDS!$BB7</f>
        <v>0</v>
      </c>
      <c r="AR6" s="34">
        <f>State_Fossil_All_Mapping_SEDS!AS7/State_Fossil_All_Mapping_SEDS!$BB7</f>
        <v>0</v>
      </c>
      <c r="AS6" s="34">
        <f>State_Fossil_All_Mapping_SEDS!AT7/State_Fossil_All_Mapping_SEDS!$BB7</f>
        <v>0</v>
      </c>
      <c r="AT6" s="34">
        <f>State_Fossil_All_Mapping_SEDS!AU7/State_Fossil_All_Mapping_SEDS!$BB7</f>
        <v>0</v>
      </c>
      <c r="AU6" s="34">
        <f>State_Fossil_All_Mapping_SEDS!AV7/State_Fossil_All_Mapping_SEDS!$BB7</f>
        <v>0</v>
      </c>
      <c r="AV6" s="34">
        <f>State_Fossil_All_Mapping_SEDS!AW7/State_Fossil_All_Mapping_SEDS!$BB7</f>
        <v>0.1806373046</v>
      </c>
      <c r="AW6" s="34">
        <f>State_Fossil_All_Mapping_SEDS!AX7/State_Fossil_All_Mapping_SEDS!$BB7</f>
        <v>0</v>
      </c>
      <c r="AX6" s="34">
        <f>State_Fossil_All_Mapping_SEDS!AY7/State_Fossil_All_Mapping_SEDS!$BB7</f>
        <v>0.05520600771</v>
      </c>
      <c r="AY6" s="34">
        <f>State_Fossil_All_Mapping_SEDS!AZ7/State_Fossil_All_Mapping_SEDS!$BB7</f>
        <v>0</v>
      </c>
      <c r="AZ6" s="34">
        <f>State_Fossil_All_Mapping_SEDS!BA7/State_Fossil_All_Mapping_SEDS!$BB7</f>
        <v>0</v>
      </c>
    </row>
    <row r="7" ht="15.75" customHeight="1">
      <c r="A7" s="34">
        <v>6.0</v>
      </c>
      <c r="B7" s="34">
        <f>State_Fossil_All_Mapping_SEDS!C8/State_Fossil_All_Mapping_SEDS!$BB8</f>
        <v>0.1714129244</v>
      </c>
      <c r="C7" s="34">
        <f>State_Fossil_All_Mapping_SEDS!D8/State_Fossil_All_Mapping_SEDS!$BB8</f>
        <v>0</v>
      </c>
      <c r="D7" s="32">
        <f>State_Fossil_All_Mapping_SEDS!E8/State_Fossil_All_Mapping_SEDS!$BB8</f>
        <v>0</v>
      </c>
      <c r="E7" s="34">
        <f>State_Fossil_All_Mapping_SEDS!F8/State_Fossil_All_Mapping_SEDS!$BB8</f>
        <v>0</v>
      </c>
      <c r="F7" s="34">
        <f>State_Fossil_All_Mapping_SEDS!G8/State_Fossil_All_Mapping_SEDS!$BB8</f>
        <v>0</v>
      </c>
      <c r="G7" s="34">
        <f>State_Fossil_All_Mapping_SEDS!H8/State_Fossil_All_Mapping_SEDS!$BB8</f>
        <v>0</v>
      </c>
      <c r="H7" s="34">
        <f>State_Fossil_All_Mapping_SEDS!I8/State_Fossil_All_Mapping_SEDS!$BB8</f>
        <v>0</v>
      </c>
      <c r="I7" s="34">
        <f>State_Fossil_All_Mapping_SEDS!J8/State_Fossil_All_Mapping_SEDS!$BB8</f>
        <v>0</v>
      </c>
      <c r="J7" s="34">
        <f>State_Fossil_All_Mapping_SEDS!K8/State_Fossil_All_Mapping_SEDS!$BB8</f>
        <v>0</v>
      </c>
      <c r="K7" s="32">
        <f>State_Fossil_All_Mapping_SEDS!L8/State_Fossil_All_Mapping_SEDS!$BB8</f>
        <v>0</v>
      </c>
      <c r="L7" s="34">
        <f>State_Fossil_All_Mapping_SEDS!M8/State_Fossil_All_Mapping_SEDS!$BB8</f>
        <v>0</v>
      </c>
      <c r="M7" s="34">
        <f>State_Fossil_All_Mapping_SEDS!N8/State_Fossil_All_Mapping_SEDS!$BB8</f>
        <v>0</v>
      </c>
      <c r="N7" s="34">
        <f>State_Fossil_All_Mapping_SEDS!O8/State_Fossil_All_Mapping_SEDS!$BB8</f>
        <v>0</v>
      </c>
      <c r="O7" s="34">
        <f>State_Fossil_All_Mapping_SEDS!P8/State_Fossil_All_Mapping_SEDS!$BB8</f>
        <v>0</v>
      </c>
      <c r="P7" s="34">
        <f>State_Fossil_All_Mapping_SEDS!Q8/State_Fossil_All_Mapping_SEDS!$BB8</f>
        <v>0</v>
      </c>
      <c r="Q7" s="34">
        <f>State_Fossil_All_Mapping_SEDS!R8/State_Fossil_All_Mapping_SEDS!$BB8</f>
        <v>0</v>
      </c>
      <c r="R7" s="34">
        <f>State_Fossil_All_Mapping_SEDS!S8/State_Fossil_All_Mapping_SEDS!$BB8</f>
        <v>0</v>
      </c>
      <c r="S7" s="34">
        <f>State_Fossil_All_Mapping_SEDS!T8/State_Fossil_All_Mapping_SEDS!$BB8</f>
        <v>0.286966046</v>
      </c>
      <c r="T7" s="34">
        <f>State_Fossil_All_Mapping_SEDS!U8/State_Fossil_All_Mapping_SEDS!$BB8</f>
        <v>0</v>
      </c>
      <c r="U7" s="34">
        <f>State_Fossil_All_Mapping_SEDS!V8/State_Fossil_All_Mapping_SEDS!$BB8</f>
        <v>0</v>
      </c>
      <c r="V7" s="34">
        <f>State_Fossil_All_Mapping_SEDS!W8/State_Fossil_All_Mapping_SEDS!$BB8</f>
        <v>0</v>
      </c>
      <c r="W7" s="34">
        <f>State_Fossil_All_Mapping_SEDS!X8/State_Fossil_All_Mapping_SEDS!$BB8</f>
        <v>0</v>
      </c>
      <c r="X7" s="34">
        <f>State_Fossil_All_Mapping_SEDS!Y8/State_Fossil_All_Mapping_SEDS!$BB8</f>
        <v>0</v>
      </c>
      <c r="Y7" s="34">
        <f>State_Fossil_All_Mapping_SEDS!Z8/State_Fossil_All_Mapping_SEDS!$BB8</f>
        <v>0</v>
      </c>
      <c r="Z7" s="34">
        <f>State_Fossil_All_Mapping_SEDS!AA8/State_Fossil_All_Mapping_SEDS!$BB8</f>
        <v>0.1265060241</v>
      </c>
      <c r="AA7" s="34">
        <f>State_Fossil_All_Mapping_SEDS!AB8/State_Fossil_All_Mapping_SEDS!$BB8</f>
        <v>0</v>
      </c>
      <c r="AB7" s="34">
        <f>State_Fossil_All_Mapping_SEDS!AC8/State_Fossil_All_Mapping_SEDS!$BB8</f>
        <v>0</v>
      </c>
      <c r="AC7" s="34">
        <f>State_Fossil_All_Mapping_SEDS!AD8/State_Fossil_All_Mapping_SEDS!$BB8</f>
        <v>0</v>
      </c>
      <c r="AD7" s="34">
        <f>State_Fossil_All_Mapping_SEDS!AE8/State_Fossil_All_Mapping_SEDS!$BB8</f>
        <v>0</v>
      </c>
      <c r="AE7" s="34">
        <f>State_Fossil_All_Mapping_SEDS!AF8/State_Fossil_All_Mapping_SEDS!$BB8</f>
        <v>0</v>
      </c>
      <c r="AF7" s="34">
        <f>State_Fossil_All_Mapping_SEDS!AG8/State_Fossil_All_Mapping_SEDS!$BB8</f>
        <v>0</v>
      </c>
      <c r="AG7" s="32">
        <f>State_Fossil_All_Mapping_SEDS!AH8/State_Fossil_All_Mapping_SEDS!$BB8</f>
        <v>0</v>
      </c>
      <c r="AH7" s="34">
        <f>State_Fossil_All_Mapping_SEDS!AI8/State_Fossil_All_Mapping_SEDS!$BB8</f>
        <v>0</v>
      </c>
      <c r="AI7" s="34">
        <f>State_Fossil_All_Mapping_SEDS!AJ8/State_Fossil_All_Mapping_SEDS!$BB8</f>
        <v>0</v>
      </c>
      <c r="AJ7" s="34">
        <f>State_Fossil_All_Mapping_SEDS!AK8/State_Fossil_All_Mapping_SEDS!$BB8</f>
        <v>0</v>
      </c>
      <c r="AK7" s="34">
        <f>State_Fossil_All_Mapping_SEDS!AL8/State_Fossil_All_Mapping_SEDS!$BB8</f>
        <v>0</v>
      </c>
      <c r="AL7" s="34">
        <f>State_Fossil_All_Mapping_SEDS!AM8/State_Fossil_All_Mapping_SEDS!$BB8</f>
        <v>0</v>
      </c>
      <c r="AM7" s="34">
        <f>State_Fossil_All_Mapping_SEDS!AN8/State_Fossil_All_Mapping_SEDS!$BB8</f>
        <v>0</v>
      </c>
      <c r="AN7" s="34">
        <f>State_Fossil_All_Mapping_SEDS!AO8/State_Fossil_All_Mapping_SEDS!$BB8</f>
        <v>0</v>
      </c>
      <c r="AO7" s="34">
        <f>State_Fossil_All_Mapping_SEDS!AP8/State_Fossil_All_Mapping_SEDS!$BB8</f>
        <v>0</v>
      </c>
      <c r="AP7" s="34">
        <f>State_Fossil_All_Mapping_SEDS!AQ8/State_Fossil_All_Mapping_SEDS!$BB8</f>
        <v>0</v>
      </c>
      <c r="AQ7" s="34">
        <f>State_Fossil_All_Mapping_SEDS!AR8/State_Fossil_All_Mapping_SEDS!$BB8</f>
        <v>0</v>
      </c>
      <c r="AR7" s="34">
        <f>State_Fossil_All_Mapping_SEDS!AS8/State_Fossil_All_Mapping_SEDS!$BB8</f>
        <v>0.4151150055</v>
      </c>
      <c r="AS7" s="34">
        <f>State_Fossil_All_Mapping_SEDS!AT8/State_Fossil_All_Mapping_SEDS!$BB8</f>
        <v>0</v>
      </c>
      <c r="AT7" s="34">
        <f>State_Fossil_All_Mapping_SEDS!AU8/State_Fossil_All_Mapping_SEDS!$BB8</f>
        <v>0</v>
      </c>
      <c r="AU7" s="34">
        <f>State_Fossil_All_Mapping_SEDS!AV8/State_Fossil_All_Mapping_SEDS!$BB8</f>
        <v>0</v>
      </c>
      <c r="AV7" s="34">
        <f>State_Fossil_All_Mapping_SEDS!AW8/State_Fossil_All_Mapping_SEDS!$BB8</f>
        <v>0</v>
      </c>
      <c r="AW7" s="34">
        <f>State_Fossil_All_Mapping_SEDS!AX8/State_Fossil_All_Mapping_SEDS!$BB8</f>
        <v>0</v>
      </c>
      <c r="AX7" s="34">
        <f>State_Fossil_All_Mapping_SEDS!AY8/State_Fossil_All_Mapping_SEDS!$BB8</f>
        <v>0</v>
      </c>
      <c r="AY7" s="34">
        <f>State_Fossil_All_Mapping_SEDS!AZ8/State_Fossil_All_Mapping_SEDS!$BB8</f>
        <v>0</v>
      </c>
      <c r="AZ7" s="34">
        <f>State_Fossil_All_Mapping_SEDS!BA8/State_Fossil_All_Mapping_SEDS!$BB8</f>
        <v>0</v>
      </c>
    </row>
    <row r="8" ht="15.75" customHeight="1">
      <c r="A8" s="34">
        <v>7.0</v>
      </c>
      <c r="B8" s="34">
        <f>State_Fossil_All_Mapping_SEDS!C9/State_Fossil_All_Mapping_SEDS!$BB9</f>
        <v>0</v>
      </c>
      <c r="C8" s="34">
        <f>State_Fossil_All_Mapping_SEDS!D9/State_Fossil_All_Mapping_SEDS!$BB9</f>
        <v>0</v>
      </c>
      <c r="D8" s="32">
        <f>State_Fossil_All_Mapping_SEDS!E9/State_Fossil_All_Mapping_SEDS!$BB9</f>
        <v>0</v>
      </c>
      <c r="E8" s="34">
        <f>State_Fossil_All_Mapping_SEDS!F9/State_Fossil_All_Mapping_SEDS!$BB9</f>
        <v>0.08659066232</v>
      </c>
      <c r="F8" s="34">
        <f>State_Fossil_All_Mapping_SEDS!G9/State_Fossil_All_Mapping_SEDS!$BB9</f>
        <v>0</v>
      </c>
      <c r="G8" s="34">
        <f>State_Fossil_All_Mapping_SEDS!H9/State_Fossil_All_Mapping_SEDS!$BB9</f>
        <v>0</v>
      </c>
      <c r="H8" s="34">
        <f>State_Fossil_All_Mapping_SEDS!I9/State_Fossil_All_Mapping_SEDS!$BB9</f>
        <v>0</v>
      </c>
      <c r="I8" s="34">
        <f>State_Fossil_All_Mapping_SEDS!J9/State_Fossil_All_Mapping_SEDS!$BB9</f>
        <v>0</v>
      </c>
      <c r="J8" s="34">
        <f>State_Fossil_All_Mapping_SEDS!K9/State_Fossil_All_Mapping_SEDS!$BB9</f>
        <v>0</v>
      </c>
      <c r="K8" s="32">
        <f>State_Fossil_All_Mapping_SEDS!L9/State_Fossil_All_Mapping_SEDS!$BB9</f>
        <v>0</v>
      </c>
      <c r="L8" s="34">
        <f>State_Fossil_All_Mapping_SEDS!M9/State_Fossil_All_Mapping_SEDS!$BB9</f>
        <v>0</v>
      </c>
      <c r="M8" s="34">
        <f>State_Fossil_All_Mapping_SEDS!N9/State_Fossil_All_Mapping_SEDS!$BB9</f>
        <v>0</v>
      </c>
      <c r="N8" s="34">
        <f>State_Fossil_All_Mapping_SEDS!O9/State_Fossil_All_Mapping_SEDS!$BB9</f>
        <v>0</v>
      </c>
      <c r="O8" s="34">
        <f>State_Fossil_All_Mapping_SEDS!P9/State_Fossil_All_Mapping_SEDS!$BB9</f>
        <v>0</v>
      </c>
      <c r="P8" s="34">
        <f>State_Fossil_All_Mapping_SEDS!Q9/State_Fossil_All_Mapping_SEDS!$BB9</f>
        <v>0</v>
      </c>
      <c r="Q8" s="34">
        <f>State_Fossil_All_Mapping_SEDS!R9/State_Fossil_All_Mapping_SEDS!$BB9</f>
        <v>0</v>
      </c>
      <c r="R8" s="34">
        <f>State_Fossil_All_Mapping_SEDS!S9/State_Fossil_All_Mapping_SEDS!$BB9</f>
        <v>0</v>
      </c>
      <c r="S8" s="34">
        <f>State_Fossil_All_Mapping_SEDS!T9/State_Fossil_All_Mapping_SEDS!$BB9</f>
        <v>0</v>
      </c>
      <c r="T8" s="34">
        <f>State_Fossil_All_Mapping_SEDS!U9/State_Fossil_All_Mapping_SEDS!$BB9</f>
        <v>0.09799131379</v>
      </c>
      <c r="U8" s="34">
        <f>State_Fossil_All_Mapping_SEDS!V9/State_Fossil_All_Mapping_SEDS!$BB9</f>
        <v>0</v>
      </c>
      <c r="V8" s="34">
        <f>State_Fossil_All_Mapping_SEDS!W9/State_Fossil_All_Mapping_SEDS!$BB9</f>
        <v>0</v>
      </c>
      <c r="W8" s="34">
        <f>State_Fossil_All_Mapping_SEDS!X9/State_Fossil_All_Mapping_SEDS!$BB9</f>
        <v>0</v>
      </c>
      <c r="X8" s="34">
        <f>State_Fossil_All_Mapping_SEDS!Y9/State_Fossil_All_Mapping_SEDS!$BB9</f>
        <v>0</v>
      </c>
      <c r="Y8" s="34">
        <f>State_Fossil_All_Mapping_SEDS!Z9/State_Fossil_All_Mapping_SEDS!$BB9</f>
        <v>0</v>
      </c>
      <c r="Z8" s="34">
        <f>State_Fossil_All_Mapping_SEDS!AA9/State_Fossil_All_Mapping_SEDS!$BB9</f>
        <v>0</v>
      </c>
      <c r="AA8" s="34">
        <f>State_Fossil_All_Mapping_SEDS!AB9/State_Fossil_All_Mapping_SEDS!$BB9</f>
        <v>0</v>
      </c>
      <c r="AB8" s="34">
        <f>State_Fossil_All_Mapping_SEDS!AC9/State_Fossil_All_Mapping_SEDS!$BB9</f>
        <v>0</v>
      </c>
      <c r="AC8" s="34">
        <f>State_Fossil_All_Mapping_SEDS!AD9/State_Fossil_All_Mapping_SEDS!$BB9</f>
        <v>0</v>
      </c>
      <c r="AD8" s="34">
        <f>State_Fossil_All_Mapping_SEDS!AE9/State_Fossil_All_Mapping_SEDS!$BB9</f>
        <v>0</v>
      </c>
      <c r="AE8" s="34">
        <f>State_Fossil_All_Mapping_SEDS!AF9/State_Fossil_All_Mapping_SEDS!$BB9</f>
        <v>0</v>
      </c>
      <c r="AF8" s="34">
        <f>State_Fossil_All_Mapping_SEDS!AG9/State_Fossil_All_Mapping_SEDS!$BB9</f>
        <v>0</v>
      </c>
      <c r="AG8" s="32">
        <f>State_Fossil_All_Mapping_SEDS!AH9/State_Fossil_All_Mapping_SEDS!$BB9</f>
        <v>0</v>
      </c>
      <c r="AH8" s="34">
        <f>State_Fossil_All_Mapping_SEDS!AI9/State_Fossil_All_Mapping_SEDS!$BB9</f>
        <v>0</v>
      </c>
      <c r="AI8" s="34">
        <f>State_Fossil_All_Mapping_SEDS!AJ9/State_Fossil_All_Mapping_SEDS!$BB9</f>
        <v>0</v>
      </c>
      <c r="AJ8" s="34">
        <f>State_Fossil_All_Mapping_SEDS!AK9/State_Fossil_All_Mapping_SEDS!$BB9</f>
        <v>0</v>
      </c>
      <c r="AK8" s="34">
        <f>State_Fossil_All_Mapping_SEDS!AL9/State_Fossil_All_Mapping_SEDS!$BB9</f>
        <v>0</v>
      </c>
      <c r="AL8" s="34">
        <f>State_Fossil_All_Mapping_SEDS!AM9/State_Fossil_All_Mapping_SEDS!$BB9</f>
        <v>0.1718241042</v>
      </c>
      <c r="AM8" s="34">
        <f>State_Fossil_All_Mapping_SEDS!AN9/State_Fossil_All_Mapping_SEDS!$BB9</f>
        <v>0</v>
      </c>
      <c r="AN8" s="34">
        <f>State_Fossil_All_Mapping_SEDS!AO9/State_Fossil_All_Mapping_SEDS!$BB9</f>
        <v>0</v>
      </c>
      <c r="AO8" s="34">
        <f>State_Fossil_All_Mapping_SEDS!AP9/State_Fossil_All_Mapping_SEDS!$BB9</f>
        <v>0</v>
      </c>
      <c r="AP8" s="34">
        <f>State_Fossil_All_Mapping_SEDS!AQ9/State_Fossil_All_Mapping_SEDS!$BB9</f>
        <v>0</v>
      </c>
      <c r="AQ8" s="34">
        <f>State_Fossil_All_Mapping_SEDS!AR9/State_Fossil_All_Mapping_SEDS!$BB9</f>
        <v>0</v>
      </c>
      <c r="AR8" s="34">
        <f>State_Fossil_All_Mapping_SEDS!AS9/State_Fossil_All_Mapping_SEDS!$BB9</f>
        <v>0</v>
      </c>
      <c r="AS8" s="34">
        <f>State_Fossil_All_Mapping_SEDS!AT9/State_Fossil_All_Mapping_SEDS!$BB9</f>
        <v>0.6435939197</v>
      </c>
      <c r="AT8" s="34">
        <f>State_Fossil_All_Mapping_SEDS!AU9/State_Fossil_All_Mapping_SEDS!$BB9</f>
        <v>0</v>
      </c>
      <c r="AU8" s="34">
        <f>State_Fossil_All_Mapping_SEDS!AV9/State_Fossil_All_Mapping_SEDS!$BB9</f>
        <v>0</v>
      </c>
      <c r="AV8" s="34">
        <f>State_Fossil_All_Mapping_SEDS!AW9/State_Fossil_All_Mapping_SEDS!$BB9</f>
        <v>0</v>
      </c>
      <c r="AW8" s="34">
        <f>State_Fossil_All_Mapping_SEDS!AX9/State_Fossil_All_Mapping_SEDS!$BB9</f>
        <v>0</v>
      </c>
      <c r="AX8" s="34">
        <f>State_Fossil_All_Mapping_SEDS!AY9/State_Fossil_All_Mapping_SEDS!$BB9</f>
        <v>0</v>
      </c>
      <c r="AY8" s="34">
        <f>State_Fossil_All_Mapping_SEDS!AZ9/State_Fossil_All_Mapping_SEDS!$BB9</f>
        <v>0</v>
      </c>
      <c r="AZ8" s="34">
        <f>State_Fossil_All_Mapping_SEDS!BA9/State_Fossil_All_Mapping_SEDS!$BB9</f>
        <v>0</v>
      </c>
    </row>
    <row r="9" ht="15.75" customHeight="1">
      <c r="A9" s="32">
        <v>8.0</v>
      </c>
      <c r="B9" s="32">
        <f>State_Fossil_All_Mapping_SEDS!C10/State_Fossil_All_Mapping_SEDS!$BB10</f>
        <v>0</v>
      </c>
      <c r="C9" s="32">
        <f>State_Fossil_All_Mapping_SEDS!D10/State_Fossil_All_Mapping_SEDS!$BB10</f>
        <v>0</v>
      </c>
      <c r="D9" s="32">
        <f>State_Fossil_All_Mapping_SEDS!E10/State_Fossil_All_Mapping_SEDS!$BB10</f>
        <v>0.09947404528</v>
      </c>
      <c r="E9" s="32">
        <f>State_Fossil_All_Mapping_SEDS!F10/State_Fossil_All_Mapping_SEDS!$BB10</f>
        <v>0</v>
      </c>
      <c r="F9" s="32">
        <f>State_Fossil_All_Mapping_SEDS!G10/State_Fossil_All_Mapping_SEDS!$BB10</f>
        <v>0</v>
      </c>
      <c r="G9" s="32">
        <f>State_Fossil_All_Mapping_SEDS!H10/State_Fossil_All_Mapping_SEDS!$BB10</f>
        <v>0.3404985136</v>
      </c>
      <c r="H9" s="32">
        <f>State_Fossil_All_Mapping_SEDS!I10/State_Fossil_All_Mapping_SEDS!$BB10</f>
        <v>0</v>
      </c>
      <c r="I9" s="32">
        <f>State_Fossil_All_Mapping_SEDS!J10/State_Fossil_All_Mapping_SEDS!$BB10</f>
        <v>0</v>
      </c>
      <c r="J9" s="32">
        <f>State_Fossil_All_Mapping_SEDS!K10/State_Fossil_All_Mapping_SEDS!$BB10</f>
        <v>0</v>
      </c>
      <c r="K9" s="32">
        <f>State_Fossil_All_Mapping_SEDS!L10/State_Fossil_All_Mapping_SEDS!$BB10</f>
        <v>0</v>
      </c>
      <c r="L9" s="32">
        <f>State_Fossil_All_Mapping_SEDS!M10/State_Fossil_All_Mapping_SEDS!$BB10</f>
        <v>0</v>
      </c>
      <c r="M9" s="32">
        <f>State_Fossil_All_Mapping_SEDS!N10/State_Fossil_All_Mapping_SEDS!$BB10</f>
        <v>0</v>
      </c>
      <c r="N9" s="32">
        <f>State_Fossil_All_Mapping_SEDS!O10/State_Fossil_All_Mapping_SEDS!$BB10</f>
        <v>0.08438143151</v>
      </c>
      <c r="O9" s="32">
        <f>State_Fossil_All_Mapping_SEDS!P10/State_Fossil_All_Mapping_SEDS!$BB10</f>
        <v>0</v>
      </c>
      <c r="P9" s="32">
        <f>State_Fossil_All_Mapping_SEDS!Q10/State_Fossil_All_Mapping_SEDS!$BB10</f>
        <v>0</v>
      </c>
      <c r="Q9" s="32">
        <f>State_Fossil_All_Mapping_SEDS!R10/State_Fossil_All_Mapping_SEDS!$BB10</f>
        <v>0</v>
      </c>
      <c r="R9" s="32">
        <f>State_Fossil_All_Mapping_SEDS!S10/State_Fossil_All_Mapping_SEDS!$BB10</f>
        <v>0</v>
      </c>
      <c r="S9" s="32">
        <f>State_Fossil_All_Mapping_SEDS!T10/State_Fossil_All_Mapping_SEDS!$BB10</f>
        <v>0</v>
      </c>
      <c r="T9" s="32">
        <f>State_Fossil_All_Mapping_SEDS!U10/State_Fossil_All_Mapping_SEDS!$BB10</f>
        <v>0</v>
      </c>
      <c r="U9" s="32">
        <f>State_Fossil_All_Mapping_SEDS!V10/State_Fossil_All_Mapping_SEDS!$BB10</f>
        <v>0</v>
      </c>
      <c r="V9" s="32">
        <f>State_Fossil_All_Mapping_SEDS!W10/State_Fossil_All_Mapping_SEDS!$BB10</f>
        <v>0</v>
      </c>
      <c r="W9" s="32">
        <f>State_Fossil_All_Mapping_SEDS!X10/State_Fossil_All_Mapping_SEDS!$BB10</f>
        <v>0</v>
      </c>
      <c r="X9" s="32">
        <f>State_Fossil_All_Mapping_SEDS!Y10/State_Fossil_All_Mapping_SEDS!$BB10</f>
        <v>0</v>
      </c>
      <c r="Y9" s="32">
        <f>State_Fossil_All_Mapping_SEDS!Z10/State_Fossil_All_Mapping_SEDS!$BB10</f>
        <v>0</v>
      </c>
      <c r="Z9" s="32">
        <f>State_Fossil_All_Mapping_SEDS!AA10/State_Fossil_All_Mapping_SEDS!$BB10</f>
        <v>0</v>
      </c>
      <c r="AA9" s="32">
        <f>State_Fossil_All_Mapping_SEDS!AB10/State_Fossil_All_Mapping_SEDS!$BB10</f>
        <v>0</v>
      </c>
      <c r="AB9" s="32">
        <f>State_Fossil_All_Mapping_SEDS!AC10/State_Fossil_All_Mapping_SEDS!$BB10</f>
        <v>0.05602561171</v>
      </c>
      <c r="AC9" s="32">
        <f>State_Fossil_All_Mapping_SEDS!AD10/State_Fossil_All_Mapping_SEDS!$BB10</f>
        <v>0</v>
      </c>
      <c r="AD9" s="32">
        <f>State_Fossil_All_Mapping_SEDS!AE10/State_Fossil_All_Mapping_SEDS!$BB10</f>
        <v>0.1122798994</v>
      </c>
      <c r="AE9" s="32">
        <f>State_Fossil_All_Mapping_SEDS!AF10/State_Fossil_All_Mapping_SEDS!$BB10</f>
        <v>0</v>
      </c>
      <c r="AF9" s="32">
        <f>State_Fossil_All_Mapping_SEDS!AG10/State_Fossil_All_Mapping_SEDS!$BB10</f>
        <v>0</v>
      </c>
      <c r="AG9" s="32">
        <f>State_Fossil_All_Mapping_SEDS!AH10/State_Fossil_All_Mapping_SEDS!$BB10</f>
        <v>0.08643951521</v>
      </c>
      <c r="AH9" s="32">
        <f>State_Fossil_All_Mapping_SEDS!AI10/State_Fossil_All_Mapping_SEDS!$BB10</f>
        <v>0</v>
      </c>
      <c r="AI9" s="32">
        <f>State_Fossil_All_Mapping_SEDS!AJ10/State_Fossil_All_Mapping_SEDS!$BB10</f>
        <v>0</v>
      </c>
      <c r="AJ9" s="32">
        <f>State_Fossil_All_Mapping_SEDS!AK10/State_Fossil_All_Mapping_SEDS!$BB10</f>
        <v>0</v>
      </c>
      <c r="AK9" s="32">
        <f>State_Fossil_All_Mapping_SEDS!AL10/State_Fossil_All_Mapping_SEDS!$BB10</f>
        <v>0</v>
      </c>
      <c r="AL9" s="32">
        <f>State_Fossil_All_Mapping_SEDS!AM10/State_Fossil_All_Mapping_SEDS!$BB10</f>
        <v>0</v>
      </c>
      <c r="AM9" s="32">
        <f>State_Fossil_All_Mapping_SEDS!AN10/State_Fossil_All_Mapping_SEDS!$BB10</f>
        <v>0</v>
      </c>
      <c r="AN9" s="32">
        <f>State_Fossil_All_Mapping_SEDS!AO10/State_Fossil_All_Mapping_SEDS!$BB10</f>
        <v>0</v>
      </c>
      <c r="AO9" s="32">
        <f>State_Fossil_All_Mapping_SEDS!AP10/State_Fossil_All_Mapping_SEDS!$BB10</f>
        <v>0</v>
      </c>
      <c r="AP9" s="32">
        <f>State_Fossil_All_Mapping_SEDS!AQ10/State_Fossil_All_Mapping_SEDS!$BB10</f>
        <v>0</v>
      </c>
      <c r="AQ9" s="32">
        <f>State_Fossil_All_Mapping_SEDS!AR10/State_Fossil_All_Mapping_SEDS!$BB10</f>
        <v>0</v>
      </c>
      <c r="AR9" s="32">
        <f>State_Fossil_All_Mapping_SEDS!AS10/State_Fossil_All_Mapping_SEDS!$BB10</f>
        <v>0</v>
      </c>
      <c r="AS9" s="32">
        <f>State_Fossil_All_Mapping_SEDS!AT10/State_Fossil_All_Mapping_SEDS!$BB10</f>
        <v>0</v>
      </c>
      <c r="AT9" s="32">
        <f>State_Fossil_All_Mapping_SEDS!AU10/State_Fossil_All_Mapping_SEDS!$BB10</f>
        <v>0.1884289961</v>
      </c>
      <c r="AU9" s="32">
        <f>State_Fossil_All_Mapping_SEDS!AV10/State_Fossil_All_Mapping_SEDS!$BB10</f>
        <v>0</v>
      </c>
      <c r="AV9" s="32">
        <f>State_Fossil_All_Mapping_SEDS!AW10/State_Fossil_All_Mapping_SEDS!$BB10</f>
        <v>0</v>
      </c>
      <c r="AW9" s="32">
        <f>State_Fossil_All_Mapping_SEDS!AX10/State_Fossil_All_Mapping_SEDS!$BB10</f>
        <v>0</v>
      </c>
      <c r="AX9" s="32">
        <f>State_Fossil_All_Mapping_SEDS!AY10/State_Fossil_All_Mapping_SEDS!$BB10</f>
        <v>0</v>
      </c>
      <c r="AY9" s="32">
        <f>State_Fossil_All_Mapping_SEDS!AZ10/State_Fossil_All_Mapping_SEDS!$BB10</f>
        <v>0</v>
      </c>
      <c r="AZ9" s="32">
        <f>State_Fossil_All_Mapping_SEDS!BA10/State_Fossil_All_Mapping_SEDS!$BB10</f>
        <v>0.03247198719</v>
      </c>
    </row>
    <row r="10" ht="15.75" customHeight="1">
      <c r="A10" s="34">
        <v>9.0</v>
      </c>
      <c r="B10" s="34">
        <f>State_Fossil_All_Mapping_SEDS!C11/State_Fossil_All_Mapping_SEDS!$BB11</f>
        <v>0</v>
      </c>
      <c r="C10" s="34">
        <f>State_Fossil_All_Mapping_SEDS!D11/State_Fossil_All_Mapping_SEDS!$BB11</f>
        <v>0.03194221509</v>
      </c>
      <c r="D10" s="32">
        <f>State_Fossil_All_Mapping_SEDS!E11/State_Fossil_All_Mapping_SEDS!$BB11</f>
        <v>0</v>
      </c>
      <c r="E10" s="34">
        <f>State_Fossil_All_Mapping_SEDS!F11/State_Fossil_All_Mapping_SEDS!$BB11</f>
        <v>0</v>
      </c>
      <c r="F10" s="34">
        <f>State_Fossil_All_Mapping_SEDS!G11/State_Fossil_All_Mapping_SEDS!$BB11</f>
        <v>0.7186195827</v>
      </c>
      <c r="G10" s="34">
        <f>State_Fossil_All_Mapping_SEDS!H11/State_Fossil_All_Mapping_SEDS!$BB11</f>
        <v>0</v>
      </c>
      <c r="H10" s="34">
        <f>State_Fossil_All_Mapping_SEDS!I11/State_Fossil_All_Mapping_SEDS!$BB11</f>
        <v>0</v>
      </c>
      <c r="I10" s="34">
        <f>State_Fossil_All_Mapping_SEDS!J11/State_Fossil_All_Mapping_SEDS!$BB11</f>
        <v>0</v>
      </c>
      <c r="J10" s="34">
        <f>State_Fossil_All_Mapping_SEDS!K11/State_Fossil_All_Mapping_SEDS!$BB11</f>
        <v>0</v>
      </c>
      <c r="K10" s="32">
        <f>State_Fossil_All_Mapping_SEDS!L11/State_Fossil_All_Mapping_SEDS!$BB11</f>
        <v>0</v>
      </c>
      <c r="L10" s="34">
        <f>State_Fossil_All_Mapping_SEDS!M11/State_Fossil_All_Mapping_SEDS!$BB11</f>
        <v>0</v>
      </c>
      <c r="M10" s="34">
        <f>State_Fossil_All_Mapping_SEDS!N11/State_Fossil_All_Mapping_SEDS!$BB11</f>
        <v>0.0008025682183</v>
      </c>
      <c r="N10" s="34">
        <f>State_Fossil_All_Mapping_SEDS!O11/State_Fossil_All_Mapping_SEDS!$BB11</f>
        <v>0</v>
      </c>
      <c r="O10" s="34">
        <f>State_Fossil_All_Mapping_SEDS!P11/State_Fossil_All_Mapping_SEDS!$BB11</f>
        <v>0</v>
      </c>
      <c r="P10" s="34">
        <f>State_Fossil_All_Mapping_SEDS!Q11/State_Fossil_All_Mapping_SEDS!$BB11</f>
        <v>0</v>
      </c>
      <c r="Q10" s="34">
        <f>State_Fossil_All_Mapping_SEDS!R11/State_Fossil_All_Mapping_SEDS!$BB11</f>
        <v>0</v>
      </c>
      <c r="R10" s="34">
        <f>State_Fossil_All_Mapping_SEDS!S11/State_Fossil_All_Mapping_SEDS!$BB11</f>
        <v>0</v>
      </c>
      <c r="S10" s="34">
        <f>State_Fossil_All_Mapping_SEDS!T11/State_Fossil_All_Mapping_SEDS!$BB11</f>
        <v>0</v>
      </c>
      <c r="T10" s="34">
        <f>State_Fossil_All_Mapping_SEDS!U11/State_Fossil_All_Mapping_SEDS!$BB11</f>
        <v>0</v>
      </c>
      <c r="U10" s="34">
        <f>State_Fossil_All_Mapping_SEDS!V11/State_Fossil_All_Mapping_SEDS!$BB11</f>
        <v>0</v>
      </c>
      <c r="V10" s="34">
        <f>State_Fossil_All_Mapping_SEDS!W11/State_Fossil_All_Mapping_SEDS!$BB11</f>
        <v>0</v>
      </c>
      <c r="W10" s="34">
        <f>State_Fossil_All_Mapping_SEDS!X11/State_Fossil_All_Mapping_SEDS!$BB11</f>
        <v>0</v>
      </c>
      <c r="X10" s="34">
        <f>State_Fossil_All_Mapping_SEDS!Y11/State_Fossil_All_Mapping_SEDS!$BB11</f>
        <v>0</v>
      </c>
      <c r="Y10" s="34">
        <f>State_Fossil_All_Mapping_SEDS!Z11/State_Fossil_All_Mapping_SEDS!$BB11</f>
        <v>0</v>
      </c>
      <c r="Z10" s="34">
        <f>State_Fossil_All_Mapping_SEDS!AA11/State_Fossil_All_Mapping_SEDS!$BB11</f>
        <v>0</v>
      </c>
      <c r="AA10" s="34">
        <f>State_Fossil_All_Mapping_SEDS!AB11/State_Fossil_All_Mapping_SEDS!$BB11</f>
        <v>0</v>
      </c>
      <c r="AB10" s="34">
        <f>State_Fossil_All_Mapping_SEDS!AC11/State_Fossil_All_Mapping_SEDS!$BB11</f>
        <v>0</v>
      </c>
      <c r="AC10" s="34">
        <f>State_Fossil_All_Mapping_SEDS!AD11/State_Fossil_All_Mapping_SEDS!$BB11</f>
        <v>0</v>
      </c>
      <c r="AD10" s="34">
        <f>State_Fossil_All_Mapping_SEDS!AE11/State_Fossil_All_Mapping_SEDS!$BB11</f>
        <v>0</v>
      </c>
      <c r="AE10" s="34">
        <f>State_Fossil_All_Mapping_SEDS!AF11/State_Fossil_All_Mapping_SEDS!$BB11</f>
        <v>0</v>
      </c>
      <c r="AF10" s="34">
        <f>State_Fossil_All_Mapping_SEDS!AG11/State_Fossil_All_Mapping_SEDS!$BB11</f>
        <v>0</v>
      </c>
      <c r="AG10" s="32">
        <f>State_Fossil_All_Mapping_SEDS!AH11/State_Fossil_All_Mapping_SEDS!$BB11</f>
        <v>0</v>
      </c>
      <c r="AH10" s="34">
        <f>State_Fossil_All_Mapping_SEDS!AI11/State_Fossil_All_Mapping_SEDS!$BB11</f>
        <v>0</v>
      </c>
      <c r="AI10" s="34">
        <f>State_Fossil_All_Mapping_SEDS!AJ11/State_Fossil_All_Mapping_SEDS!$BB11</f>
        <v>0</v>
      </c>
      <c r="AJ10" s="34">
        <f>State_Fossil_All_Mapping_SEDS!AK11/State_Fossil_All_Mapping_SEDS!$BB11</f>
        <v>0</v>
      </c>
      <c r="AK10" s="34">
        <f>State_Fossil_All_Mapping_SEDS!AL11/State_Fossil_All_Mapping_SEDS!$BB11</f>
        <v>0</v>
      </c>
      <c r="AL10" s="34">
        <f>State_Fossil_All_Mapping_SEDS!AM11/State_Fossil_All_Mapping_SEDS!$BB11</f>
        <v>0</v>
      </c>
      <c r="AM10" s="34">
        <f>State_Fossil_All_Mapping_SEDS!AN11/State_Fossil_All_Mapping_SEDS!$BB11</f>
        <v>0.08443017657</v>
      </c>
      <c r="AN10" s="34">
        <f>State_Fossil_All_Mapping_SEDS!AO11/State_Fossil_All_Mapping_SEDS!$BB11</f>
        <v>0</v>
      </c>
      <c r="AO10" s="34">
        <f>State_Fossil_All_Mapping_SEDS!AP11/State_Fossil_All_Mapping_SEDS!$BB11</f>
        <v>0</v>
      </c>
      <c r="AP10" s="34">
        <f>State_Fossil_All_Mapping_SEDS!AQ11/State_Fossil_All_Mapping_SEDS!$BB11</f>
        <v>0</v>
      </c>
      <c r="AQ10" s="34">
        <f>State_Fossil_All_Mapping_SEDS!AR11/State_Fossil_All_Mapping_SEDS!$BB11</f>
        <v>0</v>
      </c>
      <c r="AR10" s="34">
        <f>State_Fossil_All_Mapping_SEDS!AS11/State_Fossil_All_Mapping_SEDS!$BB11</f>
        <v>0</v>
      </c>
      <c r="AS10" s="34">
        <f>State_Fossil_All_Mapping_SEDS!AT11/State_Fossil_All_Mapping_SEDS!$BB11</f>
        <v>0</v>
      </c>
      <c r="AT10" s="34">
        <f>State_Fossil_All_Mapping_SEDS!AU11/State_Fossil_All_Mapping_SEDS!$BB11</f>
        <v>0</v>
      </c>
      <c r="AU10" s="34">
        <f>State_Fossil_All_Mapping_SEDS!AV11/State_Fossil_All_Mapping_SEDS!$BB11</f>
        <v>0</v>
      </c>
      <c r="AV10" s="34">
        <f>State_Fossil_All_Mapping_SEDS!AW11/State_Fossil_All_Mapping_SEDS!$BB11</f>
        <v>0</v>
      </c>
      <c r="AW10" s="34">
        <f>State_Fossil_All_Mapping_SEDS!AX11/State_Fossil_All_Mapping_SEDS!$BB11</f>
        <v>0.1642054575</v>
      </c>
      <c r="AX10" s="34">
        <f>State_Fossil_All_Mapping_SEDS!AY11/State_Fossil_All_Mapping_SEDS!$BB11</f>
        <v>0</v>
      </c>
      <c r="AY10" s="34">
        <f>State_Fossil_All_Mapping_SEDS!AZ11/State_Fossil_All_Mapping_SEDS!$BB11</f>
        <v>0</v>
      </c>
      <c r="AZ10" s="34">
        <f>State_Fossil_All_Mapping_SEDS!BA11/State_Fossil_All_Mapping_SEDS!$BB11</f>
        <v>0</v>
      </c>
    </row>
    <row r="11" ht="15.75" customHeight="1">
      <c r="D11" s="32"/>
      <c r="K11" s="32"/>
      <c r="AG11" s="32"/>
    </row>
    <row r="12" ht="15.75" customHeight="1">
      <c r="D12" s="32"/>
      <c r="K12" s="32"/>
      <c r="AG12" s="32"/>
    </row>
    <row r="13" ht="15.75" customHeight="1">
      <c r="D13" s="32"/>
      <c r="K13" s="32"/>
      <c r="AG13" s="32"/>
    </row>
    <row r="14" ht="15.75" customHeight="1">
      <c r="D14" s="32"/>
      <c r="K14" s="32"/>
      <c r="AG14" s="32"/>
    </row>
    <row r="15" ht="15.75" customHeight="1">
      <c r="D15" s="32"/>
      <c r="K15" s="32"/>
      <c r="AG15" s="32"/>
    </row>
    <row r="16" ht="15.75" customHeight="1">
      <c r="D16" s="32"/>
      <c r="K16" s="32"/>
      <c r="AG16" s="32"/>
    </row>
    <row r="17" ht="15.75" customHeight="1">
      <c r="D17" s="32"/>
      <c r="K17" s="32"/>
      <c r="AG17" s="32"/>
    </row>
    <row r="18" ht="15.75" customHeight="1">
      <c r="D18" s="32"/>
      <c r="K18" s="32"/>
      <c r="AG18" s="32"/>
    </row>
    <row r="19" ht="15.75" customHeight="1">
      <c r="D19" s="32"/>
      <c r="K19" s="32"/>
      <c r="AG19" s="32"/>
    </row>
    <row r="20" ht="15.75" customHeight="1">
      <c r="D20" s="32"/>
      <c r="K20" s="32"/>
      <c r="AG20" s="32"/>
    </row>
    <row r="21" ht="15.75" customHeight="1">
      <c r="D21" s="32"/>
      <c r="K21" s="32"/>
      <c r="AG21" s="32"/>
    </row>
    <row r="22" ht="15.75" customHeight="1">
      <c r="D22" s="32"/>
      <c r="K22" s="32"/>
      <c r="AG22" s="32"/>
    </row>
    <row r="23" ht="15.75" customHeight="1">
      <c r="D23" s="32"/>
      <c r="K23" s="32"/>
      <c r="AG23" s="32"/>
    </row>
    <row r="24" ht="15.75" customHeight="1">
      <c r="D24" s="32"/>
      <c r="K24" s="32"/>
      <c r="AG24" s="32"/>
    </row>
    <row r="25" ht="15.75" customHeight="1">
      <c r="D25" s="32"/>
      <c r="K25" s="32"/>
      <c r="AG25" s="32"/>
    </row>
    <row r="26" ht="15.75" customHeight="1">
      <c r="D26" s="32"/>
      <c r="K26" s="32"/>
      <c r="AG26" s="32"/>
    </row>
    <row r="27" ht="15.75" customHeight="1">
      <c r="D27" s="32"/>
      <c r="K27" s="32"/>
      <c r="AG27" s="32"/>
    </row>
    <row r="28" ht="15.75" customHeight="1">
      <c r="D28" s="32"/>
      <c r="K28" s="32"/>
      <c r="AG28" s="32"/>
    </row>
    <row r="29" ht="15.75" customHeight="1">
      <c r="D29" s="32"/>
      <c r="K29" s="32"/>
      <c r="AG29" s="32"/>
    </row>
    <row r="30" ht="15.75" customHeight="1">
      <c r="D30" s="32"/>
      <c r="K30" s="32"/>
      <c r="AG30" s="32"/>
    </row>
    <row r="31" ht="15.75" customHeight="1">
      <c r="D31" s="32"/>
      <c r="K31" s="32"/>
      <c r="AG31" s="32"/>
    </row>
    <row r="32" ht="15.75" customHeight="1">
      <c r="D32" s="32"/>
      <c r="K32" s="32"/>
      <c r="AG32" s="32"/>
    </row>
    <row r="33" ht="15.75" customHeight="1">
      <c r="D33" s="32"/>
      <c r="K33" s="32"/>
      <c r="AG33" s="32"/>
    </row>
    <row r="34" ht="15.75" customHeight="1">
      <c r="D34" s="32"/>
      <c r="K34" s="32"/>
      <c r="AG34" s="32"/>
    </row>
    <row r="35" ht="15.75" customHeight="1">
      <c r="D35" s="32"/>
      <c r="K35" s="32"/>
      <c r="AG35" s="32"/>
    </row>
    <row r="36" ht="15.75" customHeight="1">
      <c r="D36" s="32"/>
      <c r="K36" s="32"/>
      <c r="AG36" s="32"/>
    </row>
    <row r="37" ht="15.75" customHeight="1">
      <c r="D37" s="32"/>
      <c r="K37" s="32"/>
      <c r="AG37" s="32"/>
    </row>
    <row r="38" ht="15.75" customHeight="1">
      <c r="D38" s="32"/>
      <c r="K38" s="32"/>
      <c r="AG38" s="32"/>
    </row>
    <row r="39" ht="15.75" customHeight="1">
      <c r="D39" s="32"/>
      <c r="K39" s="32"/>
      <c r="AG39" s="32"/>
    </row>
    <row r="40" ht="15.75" customHeight="1">
      <c r="D40" s="32"/>
      <c r="K40" s="32"/>
      <c r="AG40" s="32"/>
    </row>
    <row r="41" ht="15.75" customHeight="1">
      <c r="D41" s="32"/>
      <c r="K41" s="32"/>
      <c r="AG41" s="32"/>
    </row>
    <row r="42" ht="15.75" customHeight="1">
      <c r="D42" s="32"/>
      <c r="K42" s="32"/>
      <c r="AG42" s="32"/>
    </row>
    <row r="43" ht="15.75" customHeight="1">
      <c r="D43" s="32"/>
      <c r="K43" s="32"/>
      <c r="AG43" s="32"/>
    </row>
    <row r="44" ht="15.75" customHeight="1">
      <c r="D44" s="32"/>
      <c r="K44" s="32"/>
      <c r="AG44" s="32"/>
    </row>
    <row r="45" ht="15.75" customHeight="1">
      <c r="D45" s="32"/>
      <c r="K45" s="32"/>
      <c r="AG45" s="32"/>
    </row>
    <row r="46" ht="15.75" customHeight="1">
      <c r="D46" s="32"/>
      <c r="K46" s="32"/>
      <c r="AG46" s="32"/>
    </row>
    <row r="47" ht="15.75" customHeight="1">
      <c r="D47" s="32"/>
      <c r="K47" s="32"/>
      <c r="AG47" s="32"/>
    </row>
    <row r="48" ht="15.75" customHeight="1">
      <c r="D48" s="32"/>
      <c r="K48" s="32"/>
      <c r="AG48" s="32"/>
    </row>
    <row r="49" ht="15.75" customHeight="1">
      <c r="D49" s="32"/>
      <c r="K49" s="32"/>
      <c r="AG49" s="32"/>
    </row>
    <row r="50" ht="15.75" customHeight="1">
      <c r="D50" s="32"/>
      <c r="K50" s="32"/>
      <c r="AG50" s="32"/>
    </row>
    <row r="51" ht="15.75" customHeight="1">
      <c r="D51" s="32"/>
      <c r="K51" s="32"/>
      <c r="AG51" s="32"/>
    </row>
    <row r="52" ht="15.75" customHeight="1">
      <c r="D52" s="32"/>
      <c r="K52" s="32"/>
      <c r="AG52" s="32"/>
    </row>
    <row r="53" ht="15.75" customHeight="1">
      <c r="D53" s="32"/>
      <c r="K53" s="32"/>
      <c r="AG53" s="32"/>
    </row>
    <row r="54" ht="15.75" customHeight="1">
      <c r="D54" s="32"/>
      <c r="K54" s="32"/>
      <c r="AG54" s="32"/>
    </row>
    <row r="55" ht="15.75" customHeight="1">
      <c r="D55" s="32"/>
      <c r="K55" s="32"/>
      <c r="AG55" s="32"/>
    </row>
    <row r="56" ht="15.75" customHeight="1">
      <c r="D56" s="32"/>
      <c r="K56" s="32"/>
      <c r="AG56" s="32"/>
    </row>
    <row r="57" ht="15.75" customHeight="1">
      <c r="D57" s="32"/>
      <c r="K57" s="32"/>
      <c r="AG57" s="32"/>
    </row>
    <row r="58" ht="15.75" customHeight="1">
      <c r="D58" s="32"/>
      <c r="K58" s="32"/>
      <c r="AG58" s="32"/>
    </row>
    <row r="59" ht="15.75" customHeight="1">
      <c r="D59" s="32"/>
      <c r="K59" s="32"/>
      <c r="AG59" s="32"/>
    </row>
    <row r="60" ht="15.75" customHeight="1">
      <c r="D60" s="32"/>
      <c r="K60" s="32"/>
      <c r="AG60" s="32"/>
    </row>
    <row r="61" ht="15.75" customHeight="1">
      <c r="D61" s="32"/>
      <c r="K61" s="32"/>
      <c r="AG61" s="32"/>
    </row>
    <row r="62" ht="15.75" customHeight="1">
      <c r="D62" s="32"/>
      <c r="K62" s="32"/>
      <c r="AG62" s="32"/>
    </row>
    <row r="63" ht="15.75" customHeight="1">
      <c r="D63" s="32"/>
      <c r="K63" s="32"/>
      <c r="AG63" s="32"/>
    </row>
    <row r="64" ht="15.75" customHeight="1">
      <c r="D64" s="32"/>
      <c r="K64" s="32"/>
      <c r="AG64" s="32"/>
    </row>
    <row r="65" ht="15.75" customHeight="1">
      <c r="D65" s="32"/>
      <c r="K65" s="32"/>
      <c r="AG65" s="32"/>
    </row>
    <row r="66" ht="15.75" customHeight="1">
      <c r="D66" s="32"/>
      <c r="K66" s="32"/>
      <c r="AG66" s="32"/>
    </row>
    <row r="67" ht="15.75" customHeight="1">
      <c r="D67" s="32"/>
      <c r="K67" s="32"/>
      <c r="AG67" s="32"/>
    </row>
    <row r="68" ht="15.75" customHeight="1">
      <c r="D68" s="32"/>
      <c r="K68" s="32"/>
      <c r="AG68" s="32"/>
    </row>
    <row r="69" ht="15.75" customHeight="1">
      <c r="D69" s="32"/>
      <c r="K69" s="32"/>
      <c r="AG69" s="32"/>
    </row>
    <row r="70" ht="15.75" customHeight="1">
      <c r="D70" s="32"/>
      <c r="K70" s="32"/>
      <c r="AG70" s="32"/>
    </row>
    <row r="71" ht="15.75" customHeight="1">
      <c r="D71" s="32"/>
      <c r="K71" s="32"/>
      <c r="AG71" s="32"/>
    </row>
    <row r="72" ht="15.75" customHeight="1">
      <c r="D72" s="32"/>
      <c r="K72" s="32"/>
      <c r="AG72" s="32"/>
    </row>
    <row r="73" ht="15.75" customHeight="1">
      <c r="D73" s="32"/>
      <c r="K73" s="32"/>
      <c r="AG73" s="32"/>
    </row>
    <row r="74" ht="15.75" customHeight="1">
      <c r="D74" s="32"/>
      <c r="K74" s="32"/>
      <c r="AG74" s="32"/>
    </row>
    <row r="75" ht="15.75" customHeight="1">
      <c r="D75" s="32"/>
      <c r="K75" s="32"/>
      <c r="AG75" s="32"/>
    </row>
    <row r="76" ht="15.75" customHeight="1">
      <c r="D76" s="32"/>
      <c r="K76" s="32"/>
      <c r="AG76" s="32"/>
    </row>
    <row r="77" ht="15.75" customHeight="1">
      <c r="D77" s="32"/>
      <c r="K77" s="32"/>
      <c r="AG77" s="32"/>
    </row>
    <row r="78" ht="15.75" customHeight="1">
      <c r="D78" s="32"/>
      <c r="K78" s="32"/>
      <c r="AG78" s="32"/>
    </row>
    <row r="79" ht="15.75" customHeight="1">
      <c r="D79" s="32"/>
      <c r="K79" s="32"/>
      <c r="AG79" s="32"/>
    </row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</sheetData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45" t="s">
        <v>94</v>
      </c>
      <c r="B1" s="45" t="s">
        <v>1994</v>
      </c>
      <c r="C1" s="45" t="s">
        <v>2062</v>
      </c>
      <c r="D1" s="45" t="s">
        <v>2063</v>
      </c>
      <c r="E1" s="45" t="s">
        <v>2079</v>
      </c>
      <c r="F1" s="45" t="s">
        <v>2137</v>
      </c>
      <c r="G1" s="45" t="s">
        <v>2194</v>
      </c>
      <c r="H1" s="45" t="s">
        <v>2250</v>
      </c>
      <c r="I1" s="45" t="s">
        <v>2259</v>
      </c>
      <c r="J1" s="45" t="s">
        <v>2263</v>
      </c>
      <c r="K1" s="45" t="s">
        <v>2264</v>
      </c>
      <c r="L1" s="45" t="s">
        <v>2314</v>
      </c>
      <c r="M1" s="45" t="s">
        <v>2423</v>
      </c>
      <c r="N1" s="45" t="s">
        <v>2424</v>
      </c>
      <c r="O1" s="45" t="s">
        <v>2458</v>
      </c>
      <c r="P1" s="45" t="s">
        <v>2513</v>
      </c>
      <c r="Q1" s="45" t="s">
        <v>2555</v>
      </c>
      <c r="R1" s="45" t="s">
        <v>2601</v>
      </c>
      <c r="S1" s="45" t="s">
        <v>2669</v>
      </c>
      <c r="T1" s="45" t="s">
        <v>2725</v>
      </c>
      <c r="U1" s="45" t="s">
        <v>2790</v>
      </c>
      <c r="V1" s="45" t="s">
        <v>2801</v>
      </c>
      <c r="W1" s="45" t="s">
        <v>2819</v>
      </c>
      <c r="X1" s="45" t="s">
        <v>2830</v>
      </c>
      <c r="Y1" s="45" t="s">
        <v>2893</v>
      </c>
      <c r="Z1" s="45" t="s">
        <v>2955</v>
      </c>
      <c r="AA1" s="45" t="s">
        <v>2992</v>
      </c>
      <c r="AB1" s="45" t="s">
        <v>3034</v>
      </c>
      <c r="AC1" s="45" t="s">
        <v>3071</v>
      </c>
      <c r="AD1" s="45" t="s">
        <v>3112</v>
      </c>
      <c r="AE1" s="45" t="s">
        <v>3123</v>
      </c>
      <c r="AF1" s="45" t="s">
        <v>3131</v>
      </c>
      <c r="AG1" s="45" t="s">
        <v>3143</v>
      </c>
      <c r="AH1" s="45" t="s">
        <v>3168</v>
      </c>
      <c r="AI1" s="45" t="s">
        <v>3200</v>
      </c>
      <c r="AJ1" s="45" t="s">
        <v>3265</v>
      </c>
      <c r="AK1" s="45" t="s">
        <v>3297</v>
      </c>
      <c r="AL1" s="45" t="s">
        <v>3333</v>
      </c>
      <c r="AM1" s="45" t="s">
        <v>3376</v>
      </c>
      <c r="AN1" s="45" t="s">
        <v>3393</v>
      </c>
      <c r="AO1" s="45" t="s">
        <v>3427</v>
      </c>
      <c r="AP1" s="45" t="s">
        <v>3430</v>
      </c>
      <c r="AQ1" s="45" t="s">
        <v>3458</v>
      </c>
      <c r="AR1" s="45" t="s">
        <v>3497</v>
      </c>
      <c r="AS1" s="45" t="s">
        <v>3524</v>
      </c>
      <c r="AT1" s="45" t="s">
        <v>3687</v>
      </c>
      <c r="AU1" s="45" t="s">
        <v>3704</v>
      </c>
      <c r="AV1" s="45" t="s">
        <v>3713</v>
      </c>
      <c r="AW1" s="45" t="s">
        <v>3797</v>
      </c>
      <c r="AX1" s="45" t="s">
        <v>3820</v>
      </c>
      <c r="AY1" s="45" t="s">
        <v>3838</v>
      </c>
      <c r="AZ1" s="45" t="s">
        <v>3874</v>
      </c>
    </row>
    <row r="2" ht="15.75" customHeight="1">
      <c r="A2" s="34">
        <v>1.0</v>
      </c>
      <c r="B2" s="34">
        <f>State_Fossil_All_Mapping_SEDS!C17/State_Fossil_All_Mapping_SEDS!$BB17</f>
        <v>0</v>
      </c>
      <c r="C2" s="34">
        <f>State_Fossil_All_Mapping_SEDS!D17/State_Fossil_All_Mapping_SEDS!$BB17</f>
        <v>0</v>
      </c>
      <c r="D2" s="34">
        <f>State_Fossil_All_Mapping_SEDS!E17/State_Fossil_All_Mapping_SEDS!$BB17</f>
        <v>0</v>
      </c>
      <c r="E2" s="34">
        <f>State_Fossil_All_Mapping_SEDS!F17/State_Fossil_All_Mapping_SEDS!$BB17</f>
        <v>0</v>
      </c>
      <c r="F2" s="34">
        <f>State_Fossil_All_Mapping_SEDS!G17/State_Fossil_All_Mapping_SEDS!$BB17</f>
        <v>0</v>
      </c>
      <c r="G2" s="34">
        <f>State_Fossil_All_Mapping_SEDS!H17/State_Fossil_All_Mapping_SEDS!$BB17</f>
        <v>0</v>
      </c>
      <c r="H2" s="34">
        <f>State_Fossil_All_Mapping_SEDS!I17/State_Fossil_All_Mapping_SEDS!$BB17</f>
        <v>0.262987013</v>
      </c>
      <c r="I2" s="34">
        <f>State_Fossil_All_Mapping_SEDS!J17/State_Fossil_All_Mapping_SEDS!$BB17</f>
        <v>0</v>
      </c>
      <c r="J2" s="34">
        <f>State_Fossil_All_Mapping_SEDS!K17/State_Fossil_All_Mapping_SEDS!$BB17</f>
        <v>0</v>
      </c>
      <c r="K2" s="34">
        <f>State_Fossil_All_Mapping_SEDS!L17/State_Fossil_All_Mapping_SEDS!$BB17</f>
        <v>0</v>
      </c>
      <c r="L2" s="34">
        <f>State_Fossil_All_Mapping_SEDS!M17/State_Fossil_All_Mapping_SEDS!$BB17</f>
        <v>0</v>
      </c>
      <c r="M2" s="34">
        <f>State_Fossil_All_Mapping_SEDS!N17/State_Fossil_All_Mapping_SEDS!$BB17</f>
        <v>0</v>
      </c>
      <c r="N2" s="34">
        <f>State_Fossil_All_Mapping_SEDS!O17/State_Fossil_All_Mapping_SEDS!$BB17</f>
        <v>0</v>
      </c>
      <c r="O2" s="34">
        <f>State_Fossil_All_Mapping_SEDS!P17/State_Fossil_All_Mapping_SEDS!$BB17</f>
        <v>0</v>
      </c>
      <c r="P2" s="34">
        <f>State_Fossil_All_Mapping_SEDS!Q17/State_Fossil_All_Mapping_SEDS!$BB17</f>
        <v>0</v>
      </c>
      <c r="Q2" s="34">
        <f>State_Fossil_All_Mapping_SEDS!R17/State_Fossil_All_Mapping_SEDS!$BB17</f>
        <v>0</v>
      </c>
      <c r="R2" s="34">
        <f>State_Fossil_All_Mapping_SEDS!S17/State_Fossil_All_Mapping_SEDS!$BB17</f>
        <v>0</v>
      </c>
      <c r="S2" s="34">
        <f>State_Fossil_All_Mapping_SEDS!T17/State_Fossil_All_Mapping_SEDS!$BB17</f>
        <v>0</v>
      </c>
      <c r="T2" s="34">
        <f>State_Fossil_All_Mapping_SEDS!U17/State_Fossil_All_Mapping_SEDS!$BB17</f>
        <v>0</v>
      </c>
      <c r="U2" s="34">
        <f>State_Fossil_All_Mapping_SEDS!V17/State_Fossil_All_Mapping_SEDS!$BB17</f>
        <v>0.04545454545</v>
      </c>
      <c r="V2" s="34">
        <f>State_Fossil_All_Mapping_SEDS!W17/State_Fossil_All_Mapping_SEDS!$BB17</f>
        <v>0</v>
      </c>
      <c r="W2" s="34">
        <f>State_Fossil_All_Mapping_SEDS!X17/State_Fossil_All_Mapping_SEDS!$BB17</f>
        <v>0.5575139147</v>
      </c>
      <c r="X2" s="34">
        <f>State_Fossil_All_Mapping_SEDS!Y17/State_Fossil_All_Mapping_SEDS!$BB17</f>
        <v>0</v>
      </c>
      <c r="Y2" s="34">
        <f>State_Fossil_All_Mapping_SEDS!Z17/State_Fossil_All_Mapping_SEDS!$BB17</f>
        <v>0</v>
      </c>
      <c r="Z2" s="34">
        <f>State_Fossil_All_Mapping_SEDS!AA17/State_Fossil_All_Mapping_SEDS!$BB17</f>
        <v>0</v>
      </c>
      <c r="AA2" s="34">
        <f>State_Fossil_All_Mapping_SEDS!AB17/State_Fossil_All_Mapping_SEDS!$BB17</f>
        <v>0</v>
      </c>
      <c r="AB2" s="34">
        <f>State_Fossil_All_Mapping_SEDS!AC17/State_Fossil_All_Mapping_SEDS!$BB17</f>
        <v>0</v>
      </c>
      <c r="AC2" s="34">
        <f>State_Fossil_All_Mapping_SEDS!AD17/State_Fossil_All_Mapping_SEDS!$BB17</f>
        <v>0</v>
      </c>
      <c r="AD2" s="34">
        <f>State_Fossil_All_Mapping_SEDS!AE17/State_Fossil_All_Mapping_SEDS!$BB17</f>
        <v>0</v>
      </c>
      <c r="AE2" s="34">
        <f>State_Fossil_All_Mapping_SEDS!AF17/State_Fossil_All_Mapping_SEDS!$BB17</f>
        <v>0.04499072356</v>
      </c>
      <c r="AF2" s="34">
        <f>State_Fossil_All_Mapping_SEDS!AG17/State_Fossil_All_Mapping_SEDS!$BB17</f>
        <v>0</v>
      </c>
      <c r="AG2" s="34">
        <f>State_Fossil_All_Mapping_SEDS!AH17/State_Fossil_All_Mapping_SEDS!$BB17</f>
        <v>0</v>
      </c>
      <c r="AH2" s="34">
        <f>State_Fossil_All_Mapping_SEDS!AI17/State_Fossil_All_Mapping_SEDS!$BB17</f>
        <v>0</v>
      </c>
      <c r="AI2" s="34">
        <f>State_Fossil_All_Mapping_SEDS!AJ17/State_Fossil_All_Mapping_SEDS!$BB17</f>
        <v>0</v>
      </c>
      <c r="AJ2" s="34">
        <f>State_Fossil_All_Mapping_SEDS!AK17/State_Fossil_All_Mapping_SEDS!$BB17</f>
        <v>0</v>
      </c>
      <c r="AK2" s="34">
        <f>State_Fossil_All_Mapping_SEDS!AL17/State_Fossil_All_Mapping_SEDS!$BB17</f>
        <v>0</v>
      </c>
      <c r="AL2" s="34">
        <f>State_Fossil_All_Mapping_SEDS!AM17/State_Fossil_All_Mapping_SEDS!$BB17</f>
        <v>0</v>
      </c>
      <c r="AM2" s="34">
        <f>State_Fossil_All_Mapping_SEDS!AN17/State_Fossil_All_Mapping_SEDS!$BB17</f>
        <v>0</v>
      </c>
      <c r="AN2" s="34">
        <f>State_Fossil_All_Mapping_SEDS!AO17/State_Fossil_All_Mapping_SEDS!$BB17</f>
        <v>0</v>
      </c>
      <c r="AO2" s="34">
        <f>State_Fossil_All_Mapping_SEDS!AP17/State_Fossil_All_Mapping_SEDS!$BB17</f>
        <v>0.05333951763</v>
      </c>
      <c r="AP2" s="34">
        <f>State_Fossil_All_Mapping_SEDS!AQ17/State_Fossil_All_Mapping_SEDS!$BB17</f>
        <v>0</v>
      </c>
      <c r="AQ2" s="34">
        <f>State_Fossil_All_Mapping_SEDS!AR17/State_Fossil_All_Mapping_SEDS!$BB17</f>
        <v>0</v>
      </c>
      <c r="AR2" s="34">
        <f>State_Fossil_All_Mapping_SEDS!AS17/State_Fossil_All_Mapping_SEDS!$BB17</f>
        <v>0</v>
      </c>
      <c r="AS2" s="34">
        <f>State_Fossil_All_Mapping_SEDS!AT17/State_Fossil_All_Mapping_SEDS!$BB17</f>
        <v>0</v>
      </c>
      <c r="AT2" s="34">
        <f>State_Fossil_All_Mapping_SEDS!AU17/State_Fossil_All_Mapping_SEDS!$BB17</f>
        <v>0</v>
      </c>
      <c r="AU2" s="34">
        <f>State_Fossil_All_Mapping_SEDS!AV17/State_Fossil_All_Mapping_SEDS!$BB17</f>
        <v>0.03571428571</v>
      </c>
      <c r="AV2" s="34">
        <f>State_Fossil_All_Mapping_SEDS!AW17/State_Fossil_All_Mapping_SEDS!$BB17</f>
        <v>0</v>
      </c>
      <c r="AW2" s="34">
        <f>State_Fossil_All_Mapping_SEDS!AX17/State_Fossil_All_Mapping_SEDS!$BB17</f>
        <v>0</v>
      </c>
      <c r="AX2" s="34">
        <f>State_Fossil_All_Mapping_SEDS!AY17/State_Fossil_All_Mapping_SEDS!$BB17</f>
        <v>0</v>
      </c>
      <c r="AY2" s="34">
        <f>State_Fossil_All_Mapping_SEDS!AZ17/State_Fossil_All_Mapping_SEDS!$BB17</f>
        <v>0</v>
      </c>
      <c r="AZ2" s="34">
        <f>State_Fossil_All_Mapping_SEDS!BA17/State_Fossil_All_Mapping_SEDS!$BB17</f>
        <v>0</v>
      </c>
    </row>
    <row r="3" ht="15.75" customHeight="1">
      <c r="A3" s="34">
        <v>2.0</v>
      </c>
      <c r="B3" s="34">
        <f>State_Fossil_All_Mapping_SEDS!C18/State_Fossil_All_Mapping_SEDS!$BB18</f>
        <v>0</v>
      </c>
      <c r="C3" s="34">
        <f>State_Fossil_All_Mapping_SEDS!D18/State_Fossil_All_Mapping_SEDS!$BB18</f>
        <v>0</v>
      </c>
      <c r="D3" s="34">
        <f>State_Fossil_All_Mapping_SEDS!E18/State_Fossil_All_Mapping_SEDS!$BB18</f>
        <v>0</v>
      </c>
      <c r="E3" s="34">
        <f>State_Fossil_All_Mapping_SEDS!F18/State_Fossil_All_Mapping_SEDS!$BB18</f>
        <v>0</v>
      </c>
      <c r="F3" s="34">
        <f>State_Fossil_All_Mapping_SEDS!G18/State_Fossil_All_Mapping_SEDS!$BB18</f>
        <v>0</v>
      </c>
      <c r="G3" s="34">
        <f>State_Fossil_All_Mapping_SEDS!H18/State_Fossil_All_Mapping_SEDS!$BB18</f>
        <v>0</v>
      </c>
      <c r="H3" s="34">
        <f>State_Fossil_All_Mapping_SEDS!I18/State_Fossil_All_Mapping_SEDS!$BB18</f>
        <v>0</v>
      </c>
      <c r="I3" s="34">
        <f>State_Fossil_All_Mapping_SEDS!J18/State_Fossil_All_Mapping_SEDS!$BB18</f>
        <v>0</v>
      </c>
      <c r="J3" s="34">
        <f>State_Fossil_All_Mapping_SEDS!K18/State_Fossil_All_Mapping_SEDS!$BB18</f>
        <v>0</v>
      </c>
      <c r="K3" s="34">
        <f>State_Fossil_All_Mapping_SEDS!L18/State_Fossil_All_Mapping_SEDS!$BB18</f>
        <v>0</v>
      </c>
      <c r="L3" s="34">
        <f>State_Fossil_All_Mapping_SEDS!M18/State_Fossil_All_Mapping_SEDS!$BB18</f>
        <v>0</v>
      </c>
      <c r="M3" s="34">
        <f>State_Fossil_All_Mapping_SEDS!N18/State_Fossil_All_Mapping_SEDS!$BB18</f>
        <v>0</v>
      </c>
      <c r="N3" s="34">
        <f>State_Fossil_All_Mapping_SEDS!O18/State_Fossil_All_Mapping_SEDS!$BB18</f>
        <v>0</v>
      </c>
      <c r="O3" s="34">
        <f>State_Fossil_All_Mapping_SEDS!P18/State_Fossil_All_Mapping_SEDS!$BB18</f>
        <v>0</v>
      </c>
      <c r="P3" s="34">
        <f>State_Fossil_All_Mapping_SEDS!Q18/State_Fossil_All_Mapping_SEDS!$BB18</f>
        <v>0</v>
      </c>
      <c r="Q3" s="34">
        <f>State_Fossil_All_Mapping_SEDS!R18/State_Fossil_All_Mapping_SEDS!$BB18</f>
        <v>0</v>
      </c>
      <c r="R3" s="34">
        <f>State_Fossil_All_Mapping_SEDS!S18/State_Fossil_All_Mapping_SEDS!$BB18</f>
        <v>0</v>
      </c>
      <c r="S3" s="34">
        <f>State_Fossil_All_Mapping_SEDS!T18/State_Fossil_All_Mapping_SEDS!$BB18</f>
        <v>0</v>
      </c>
      <c r="T3" s="34">
        <f>State_Fossil_All_Mapping_SEDS!U18/State_Fossil_All_Mapping_SEDS!$BB18</f>
        <v>0</v>
      </c>
      <c r="U3" s="34">
        <f>State_Fossil_All_Mapping_SEDS!V18/State_Fossil_All_Mapping_SEDS!$BB18</f>
        <v>0</v>
      </c>
      <c r="V3" s="34">
        <f>State_Fossil_All_Mapping_SEDS!W18/State_Fossil_All_Mapping_SEDS!$BB18</f>
        <v>0</v>
      </c>
      <c r="W3" s="34">
        <f>State_Fossil_All_Mapping_SEDS!X18/State_Fossil_All_Mapping_SEDS!$BB18</f>
        <v>0</v>
      </c>
      <c r="X3" s="34">
        <f>State_Fossil_All_Mapping_SEDS!Y18/State_Fossil_All_Mapping_SEDS!$BB18</f>
        <v>0</v>
      </c>
      <c r="Y3" s="34">
        <f>State_Fossil_All_Mapping_SEDS!Z18/State_Fossil_All_Mapping_SEDS!$BB18</f>
        <v>0</v>
      </c>
      <c r="Z3" s="34">
        <f>State_Fossil_All_Mapping_SEDS!AA18/State_Fossil_All_Mapping_SEDS!$BB18</f>
        <v>0</v>
      </c>
      <c r="AA3" s="34">
        <f>State_Fossil_All_Mapping_SEDS!AB18/State_Fossil_All_Mapping_SEDS!$BB18</f>
        <v>0</v>
      </c>
      <c r="AB3" s="34">
        <f>State_Fossil_All_Mapping_SEDS!AC18/State_Fossil_All_Mapping_SEDS!$BB18</f>
        <v>0</v>
      </c>
      <c r="AC3" s="34">
        <f>State_Fossil_All_Mapping_SEDS!AD18/State_Fossil_All_Mapping_SEDS!$BB18</f>
        <v>0</v>
      </c>
      <c r="AD3" s="34">
        <f>State_Fossil_All_Mapping_SEDS!AE18/State_Fossil_All_Mapping_SEDS!$BB18</f>
        <v>0</v>
      </c>
      <c r="AE3" s="34">
        <f>State_Fossil_All_Mapping_SEDS!AF18/State_Fossil_All_Mapping_SEDS!$BB18</f>
        <v>0</v>
      </c>
      <c r="AF3" s="34">
        <f>State_Fossil_All_Mapping_SEDS!AG18/State_Fossil_All_Mapping_SEDS!$BB18</f>
        <v>0.2473716759</v>
      </c>
      <c r="AG3" s="34">
        <f>State_Fossil_All_Mapping_SEDS!AH18/State_Fossil_All_Mapping_SEDS!$BB18</f>
        <v>0</v>
      </c>
      <c r="AH3" s="34">
        <f>State_Fossil_All_Mapping_SEDS!AI18/State_Fossil_All_Mapping_SEDS!$BB18</f>
        <v>0.4848484848</v>
      </c>
      <c r="AI3" s="34">
        <f>State_Fossil_All_Mapping_SEDS!AJ18/State_Fossil_All_Mapping_SEDS!$BB18</f>
        <v>0</v>
      </c>
      <c r="AJ3" s="34">
        <f>State_Fossil_All_Mapping_SEDS!AK18/State_Fossil_All_Mapping_SEDS!$BB18</f>
        <v>0</v>
      </c>
      <c r="AK3" s="34">
        <f>State_Fossil_All_Mapping_SEDS!AL18/State_Fossil_All_Mapping_SEDS!$BB18</f>
        <v>0</v>
      </c>
      <c r="AL3" s="34">
        <f>State_Fossil_All_Mapping_SEDS!AM18/State_Fossil_All_Mapping_SEDS!$BB18</f>
        <v>0</v>
      </c>
      <c r="AM3" s="34">
        <f>State_Fossil_All_Mapping_SEDS!AN18/State_Fossil_All_Mapping_SEDS!$BB18</f>
        <v>0</v>
      </c>
      <c r="AN3" s="34">
        <f>State_Fossil_All_Mapping_SEDS!AO18/State_Fossil_All_Mapping_SEDS!$BB18</f>
        <v>0.2677798392</v>
      </c>
      <c r="AO3" s="34">
        <f>State_Fossil_All_Mapping_SEDS!AP18/State_Fossil_All_Mapping_SEDS!$BB18</f>
        <v>0</v>
      </c>
      <c r="AP3" s="34">
        <f>State_Fossil_All_Mapping_SEDS!AQ18/State_Fossil_All_Mapping_SEDS!$BB18</f>
        <v>0</v>
      </c>
      <c r="AQ3" s="34">
        <f>State_Fossil_All_Mapping_SEDS!AR18/State_Fossil_All_Mapping_SEDS!$BB18</f>
        <v>0</v>
      </c>
      <c r="AR3" s="34">
        <f>State_Fossil_All_Mapping_SEDS!AS18/State_Fossil_All_Mapping_SEDS!$BB18</f>
        <v>0</v>
      </c>
      <c r="AS3" s="34">
        <f>State_Fossil_All_Mapping_SEDS!AT18/State_Fossil_All_Mapping_SEDS!$BB18</f>
        <v>0</v>
      </c>
      <c r="AT3" s="34">
        <f>State_Fossil_All_Mapping_SEDS!AU18/State_Fossil_All_Mapping_SEDS!$BB18</f>
        <v>0</v>
      </c>
      <c r="AU3" s="34">
        <f>State_Fossil_All_Mapping_SEDS!AV18/State_Fossil_All_Mapping_SEDS!$BB18</f>
        <v>0</v>
      </c>
      <c r="AV3" s="34">
        <f>State_Fossil_All_Mapping_SEDS!AW18/State_Fossil_All_Mapping_SEDS!$BB18</f>
        <v>0</v>
      </c>
      <c r="AW3" s="34">
        <f>State_Fossil_All_Mapping_SEDS!AX18/State_Fossil_All_Mapping_SEDS!$BB18</f>
        <v>0</v>
      </c>
      <c r="AX3" s="34">
        <f>State_Fossil_All_Mapping_SEDS!AY18/State_Fossil_All_Mapping_SEDS!$BB18</f>
        <v>0</v>
      </c>
      <c r="AY3" s="34">
        <f>State_Fossil_All_Mapping_SEDS!AZ18/State_Fossil_All_Mapping_SEDS!$BB18</f>
        <v>0</v>
      </c>
      <c r="AZ3" s="34">
        <f>State_Fossil_All_Mapping_SEDS!BA18/State_Fossil_All_Mapping_SEDS!$BB18</f>
        <v>0</v>
      </c>
    </row>
    <row r="4" ht="15.75" customHeight="1">
      <c r="A4" s="34">
        <v>3.0</v>
      </c>
      <c r="B4" s="34">
        <f>State_Fossil_All_Mapping_SEDS!C19/State_Fossil_All_Mapping_SEDS!$BB19</f>
        <v>0</v>
      </c>
      <c r="C4" s="34">
        <f>State_Fossil_All_Mapping_SEDS!D19/State_Fossil_All_Mapping_SEDS!$BB19</f>
        <v>0</v>
      </c>
      <c r="D4" s="34">
        <f>State_Fossil_All_Mapping_SEDS!E19/State_Fossil_All_Mapping_SEDS!$BB19</f>
        <v>0</v>
      </c>
      <c r="E4" s="34">
        <f>State_Fossil_All_Mapping_SEDS!F19/State_Fossil_All_Mapping_SEDS!$BB19</f>
        <v>0</v>
      </c>
      <c r="F4" s="34">
        <f>State_Fossil_All_Mapping_SEDS!G19/State_Fossil_All_Mapping_SEDS!$BB19</f>
        <v>0</v>
      </c>
      <c r="G4" s="34">
        <f>State_Fossil_All_Mapping_SEDS!H19/State_Fossil_All_Mapping_SEDS!$BB19</f>
        <v>0</v>
      </c>
      <c r="H4" s="34">
        <f>State_Fossil_All_Mapping_SEDS!I19/State_Fossil_All_Mapping_SEDS!$BB19</f>
        <v>0</v>
      </c>
      <c r="I4" s="34">
        <f>State_Fossil_All_Mapping_SEDS!J19/State_Fossil_All_Mapping_SEDS!$BB19</f>
        <v>0</v>
      </c>
      <c r="J4" s="34">
        <f>State_Fossil_All_Mapping_SEDS!K19/State_Fossil_All_Mapping_SEDS!$BB19</f>
        <v>0</v>
      </c>
      <c r="K4" s="34">
        <f>State_Fossil_All_Mapping_SEDS!L19/State_Fossil_All_Mapping_SEDS!$BB19</f>
        <v>0</v>
      </c>
      <c r="L4" s="34">
        <f>State_Fossil_All_Mapping_SEDS!M19/State_Fossil_All_Mapping_SEDS!$BB19</f>
        <v>0</v>
      </c>
      <c r="M4" s="34">
        <f>State_Fossil_All_Mapping_SEDS!N19/State_Fossil_All_Mapping_SEDS!$BB19</f>
        <v>0</v>
      </c>
      <c r="N4" s="34">
        <f>State_Fossil_All_Mapping_SEDS!O19/State_Fossil_All_Mapping_SEDS!$BB19</f>
        <v>0</v>
      </c>
      <c r="O4" s="34">
        <f>State_Fossil_All_Mapping_SEDS!P19/State_Fossil_All_Mapping_SEDS!$BB19</f>
        <v>0.295884058</v>
      </c>
      <c r="P4" s="34">
        <f>State_Fossil_All_Mapping_SEDS!Q19/State_Fossil_All_Mapping_SEDS!$BB19</f>
        <v>0.1167536232</v>
      </c>
      <c r="Q4" s="34">
        <f>State_Fossil_All_Mapping_SEDS!R19/State_Fossil_All_Mapping_SEDS!$BB19</f>
        <v>0</v>
      </c>
      <c r="R4" s="34">
        <f>State_Fossil_All_Mapping_SEDS!S19/State_Fossil_All_Mapping_SEDS!$BB19</f>
        <v>0</v>
      </c>
      <c r="S4" s="34">
        <f>State_Fossil_All_Mapping_SEDS!T19/State_Fossil_All_Mapping_SEDS!$BB19</f>
        <v>0</v>
      </c>
      <c r="T4" s="34">
        <f>State_Fossil_All_Mapping_SEDS!U19/State_Fossil_All_Mapping_SEDS!$BB19</f>
        <v>0</v>
      </c>
      <c r="U4" s="34">
        <f>State_Fossil_All_Mapping_SEDS!V19/State_Fossil_All_Mapping_SEDS!$BB19</f>
        <v>0</v>
      </c>
      <c r="V4" s="34">
        <f>State_Fossil_All_Mapping_SEDS!W19/State_Fossil_All_Mapping_SEDS!$BB19</f>
        <v>0</v>
      </c>
      <c r="W4" s="34">
        <f>State_Fossil_All_Mapping_SEDS!X19/State_Fossil_All_Mapping_SEDS!$BB19</f>
        <v>0</v>
      </c>
      <c r="X4" s="34">
        <f>State_Fossil_All_Mapping_SEDS!Y19/State_Fossil_All_Mapping_SEDS!$BB19</f>
        <v>0.219942029</v>
      </c>
      <c r="Y4" s="34">
        <f>State_Fossil_All_Mapping_SEDS!Z19/State_Fossil_All_Mapping_SEDS!$BB19</f>
        <v>0</v>
      </c>
      <c r="Z4" s="34">
        <f>State_Fossil_All_Mapping_SEDS!AA19/State_Fossil_All_Mapping_SEDS!$BB19</f>
        <v>0</v>
      </c>
      <c r="AA4" s="34">
        <f>State_Fossil_All_Mapping_SEDS!AB19/State_Fossil_All_Mapping_SEDS!$BB19</f>
        <v>0</v>
      </c>
      <c r="AB4" s="34">
        <f>State_Fossil_All_Mapping_SEDS!AC19/State_Fossil_All_Mapping_SEDS!$BB19</f>
        <v>0</v>
      </c>
      <c r="AC4" s="34">
        <f>State_Fossil_All_Mapping_SEDS!AD19/State_Fossil_All_Mapping_SEDS!$BB19</f>
        <v>0</v>
      </c>
      <c r="AD4" s="34">
        <f>State_Fossil_All_Mapping_SEDS!AE19/State_Fossil_All_Mapping_SEDS!$BB19</f>
        <v>0</v>
      </c>
      <c r="AE4" s="34">
        <f>State_Fossil_All_Mapping_SEDS!AF19/State_Fossil_All_Mapping_SEDS!$BB19</f>
        <v>0</v>
      </c>
      <c r="AF4" s="34">
        <f>State_Fossil_All_Mapping_SEDS!AG19/State_Fossil_All_Mapping_SEDS!$BB19</f>
        <v>0</v>
      </c>
      <c r="AG4" s="34">
        <f>State_Fossil_All_Mapping_SEDS!AH19/State_Fossil_All_Mapping_SEDS!$BB19</f>
        <v>0</v>
      </c>
      <c r="AH4" s="34">
        <f>State_Fossil_All_Mapping_SEDS!AI19/State_Fossil_All_Mapping_SEDS!$BB19</f>
        <v>0</v>
      </c>
      <c r="AI4" s="34">
        <f>State_Fossil_All_Mapping_SEDS!AJ19/State_Fossil_All_Mapping_SEDS!$BB19</f>
        <v>0</v>
      </c>
      <c r="AJ4" s="34">
        <f>State_Fossil_All_Mapping_SEDS!AK19/State_Fossil_All_Mapping_SEDS!$BB19</f>
        <v>0</v>
      </c>
      <c r="AK4" s="34">
        <f>State_Fossil_All_Mapping_SEDS!AL19/State_Fossil_All_Mapping_SEDS!$BB19</f>
        <v>0.2253913043</v>
      </c>
      <c r="AL4" s="34">
        <f>State_Fossil_All_Mapping_SEDS!AM19/State_Fossil_All_Mapping_SEDS!$BB19</f>
        <v>0</v>
      </c>
      <c r="AM4" s="34">
        <f>State_Fossil_All_Mapping_SEDS!AN19/State_Fossil_All_Mapping_SEDS!$BB19</f>
        <v>0</v>
      </c>
      <c r="AN4" s="34">
        <f>State_Fossil_All_Mapping_SEDS!AO19/State_Fossil_All_Mapping_SEDS!$BB19</f>
        <v>0</v>
      </c>
      <c r="AO4" s="34">
        <f>State_Fossil_All_Mapping_SEDS!AP19/State_Fossil_All_Mapping_SEDS!$BB19</f>
        <v>0</v>
      </c>
      <c r="AP4" s="34">
        <f>State_Fossil_All_Mapping_SEDS!AQ19/State_Fossil_All_Mapping_SEDS!$BB19</f>
        <v>0</v>
      </c>
      <c r="AQ4" s="34">
        <f>State_Fossil_All_Mapping_SEDS!AR19/State_Fossil_All_Mapping_SEDS!$BB19</f>
        <v>0</v>
      </c>
      <c r="AR4" s="34">
        <f>State_Fossil_All_Mapping_SEDS!AS19/State_Fossil_All_Mapping_SEDS!$BB19</f>
        <v>0</v>
      </c>
      <c r="AS4" s="34">
        <f>State_Fossil_All_Mapping_SEDS!AT19/State_Fossil_All_Mapping_SEDS!$BB19</f>
        <v>0</v>
      </c>
      <c r="AT4" s="34">
        <f>State_Fossil_All_Mapping_SEDS!AU19/State_Fossil_All_Mapping_SEDS!$BB19</f>
        <v>0</v>
      </c>
      <c r="AU4" s="34">
        <f>State_Fossil_All_Mapping_SEDS!AV19/State_Fossil_All_Mapping_SEDS!$BB19</f>
        <v>0</v>
      </c>
      <c r="AV4" s="34">
        <f>State_Fossil_All_Mapping_SEDS!AW19/State_Fossil_All_Mapping_SEDS!$BB19</f>
        <v>0</v>
      </c>
      <c r="AW4" s="34">
        <f>State_Fossil_All_Mapping_SEDS!AX19/State_Fossil_All_Mapping_SEDS!$BB19</f>
        <v>0</v>
      </c>
      <c r="AX4" s="34">
        <f>State_Fossil_All_Mapping_SEDS!AY19/State_Fossil_All_Mapping_SEDS!$BB19</f>
        <v>0</v>
      </c>
      <c r="AY4" s="34">
        <f>State_Fossil_All_Mapping_SEDS!AZ19/State_Fossil_All_Mapping_SEDS!$BB19</f>
        <v>0.1420289855</v>
      </c>
      <c r="AZ4" s="34">
        <f>State_Fossil_All_Mapping_SEDS!BA19/State_Fossil_All_Mapping_SEDS!$BB19</f>
        <v>0</v>
      </c>
    </row>
    <row r="5" ht="15.75" customHeight="1">
      <c r="A5" s="34">
        <v>4.0</v>
      </c>
      <c r="B5" s="34">
        <f>State_Fossil_All_Mapping_SEDS!C20/State_Fossil_All_Mapping_SEDS!$BB20</f>
        <v>0</v>
      </c>
      <c r="C5" s="34">
        <f>State_Fossil_All_Mapping_SEDS!D20/State_Fossil_All_Mapping_SEDS!$BB20</f>
        <v>0</v>
      </c>
      <c r="D5" s="34">
        <f>State_Fossil_All_Mapping_SEDS!E20/State_Fossil_All_Mapping_SEDS!$BB20</f>
        <v>0</v>
      </c>
      <c r="E5" s="34">
        <f>State_Fossil_All_Mapping_SEDS!F20/State_Fossil_All_Mapping_SEDS!$BB20</f>
        <v>0</v>
      </c>
      <c r="F5" s="34">
        <f>State_Fossil_All_Mapping_SEDS!G20/State_Fossil_All_Mapping_SEDS!$BB20</f>
        <v>0</v>
      </c>
      <c r="G5" s="34">
        <f>State_Fossil_All_Mapping_SEDS!H20/State_Fossil_All_Mapping_SEDS!$BB20</f>
        <v>0</v>
      </c>
      <c r="H5" s="34">
        <f>State_Fossil_All_Mapping_SEDS!I20/State_Fossil_All_Mapping_SEDS!$BB20</f>
        <v>0</v>
      </c>
      <c r="I5" s="34">
        <f>State_Fossil_All_Mapping_SEDS!J20/State_Fossil_All_Mapping_SEDS!$BB20</f>
        <v>0</v>
      </c>
      <c r="J5" s="34">
        <f>State_Fossil_All_Mapping_SEDS!K20/State_Fossil_All_Mapping_SEDS!$BB20</f>
        <v>0</v>
      </c>
      <c r="K5" s="34">
        <f>State_Fossil_All_Mapping_SEDS!L20/State_Fossil_All_Mapping_SEDS!$BB20</f>
        <v>0</v>
      </c>
      <c r="L5" s="34">
        <f>State_Fossil_All_Mapping_SEDS!M20/State_Fossil_All_Mapping_SEDS!$BB20</f>
        <v>0</v>
      </c>
      <c r="M5" s="34">
        <f>State_Fossil_All_Mapping_SEDS!N20/State_Fossil_All_Mapping_SEDS!$BB20</f>
        <v>0</v>
      </c>
      <c r="N5" s="34">
        <f>State_Fossil_All_Mapping_SEDS!O20/State_Fossil_All_Mapping_SEDS!$BB20</f>
        <v>0</v>
      </c>
      <c r="O5" s="34">
        <f>State_Fossil_All_Mapping_SEDS!P20/State_Fossil_All_Mapping_SEDS!$BB20</f>
        <v>0</v>
      </c>
      <c r="P5" s="34">
        <f>State_Fossil_All_Mapping_SEDS!Q20/State_Fossil_All_Mapping_SEDS!$BB20</f>
        <v>0</v>
      </c>
      <c r="Q5" s="34">
        <f>State_Fossil_All_Mapping_SEDS!R20/State_Fossil_All_Mapping_SEDS!$BB20</f>
        <v>0.1676144056</v>
      </c>
      <c r="R5" s="34">
        <f>State_Fossil_All_Mapping_SEDS!S20/State_Fossil_All_Mapping_SEDS!$BB20</f>
        <v>0.1286217168</v>
      </c>
      <c r="S5" s="34">
        <f>State_Fossil_All_Mapping_SEDS!T20/State_Fossil_All_Mapping_SEDS!$BB20</f>
        <v>0</v>
      </c>
      <c r="T5" s="34">
        <f>State_Fossil_All_Mapping_SEDS!U20/State_Fossil_All_Mapping_SEDS!$BB20</f>
        <v>0</v>
      </c>
      <c r="U5" s="34">
        <f>State_Fossil_All_Mapping_SEDS!V20/State_Fossil_All_Mapping_SEDS!$BB20</f>
        <v>0</v>
      </c>
      <c r="V5" s="34">
        <f>State_Fossil_All_Mapping_SEDS!W20/State_Fossil_All_Mapping_SEDS!$BB20</f>
        <v>0</v>
      </c>
      <c r="W5" s="34">
        <f>State_Fossil_All_Mapping_SEDS!X20/State_Fossil_All_Mapping_SEDS!$BB20</f>
        <v>0</v>
      </c>
      <c r="X5" s="34">
        <f>State_Fossil_All_Mapping_SEDS!Y20/State_Fossil_All_Mapping_SEDS!$BB20</f>
        <v>0</v>
      </c>
      <c r="Y5" s="34">
        <f>State_Fossil_All_Mapping_SEDS!Z20/State_Fossil_All_Mapping_SEDS!$BB20</f>
        <v>0.3401028974</v>
      </c>
      <c r="Z5" s="34">
        <f>State_Fossil_All_Mapping_SEDS!AA20/State_Fossil_All_Mapping_SEDS!$BB20</f>
        <v>0</v>
      </c>
      <c r="AA5" s="34">
        <f>State_Fossil_All_Mapping_SEDS!AB20/State_Fossil_All_Mapping_SEDS!$BB20</f>
        <v>0.1825074465</v>
      </c>
      <c r="AB5" s="34">
        <f>State_Fossil_All_Mapping_SEDS!AC20/State_Fossil_All_Mapping_SEDS!$BB20</f>
        <v>0</v>
      </c>
      <c r="AC5" s="34">
        <f>State_Fossil_All_Mapping_SEDS!AD20/State_Fossil_All_Mapping_SEDS!$BB20</f>
        <v>0.09369076631</v>
      </c>
      <c r="AD5" s="34">
        <f>State_Fossil_All_Mapping_SEDS!AE20/State_Fossil_All_Mapping_SEDS!$BB20</f>
        <v>0</v>
      </c>
      <c r="AE5" s="34">
        <f>State_Fossil_All_Mapping_SEDS!AF20/State_Fossil_All_Mapping_SEDS!$BB20</f>
        <v>0</v>
      </c>
      <c r="AF5" s="34">
        <f>State_Fossil_All_Mapping_SEDS!AG20/State_Fossil_All_Mapping_SEDS!$BB20</f>
        <v>0</v>
      </c>
      <c r="AG5" s="34">
        <f>State_Fossil_All_Mapping_SEDS!AH20/State_Fossil_All_Mapping_SEDS!$BB20</f>
        <v>0</v>
      </c>
      <c r="AH5" s="34">
        <f>State_Fossil_All_Mapping_SEDS!AI20/State_Fossil_All_Mapping_SEDS!$BB20</f>
        <v>0</v>
      </c>
      <c r="AI5" s="34">
        <f>State_Fossil_All_Mapping_SEDS!AJ20/State_Fossil_All_Mapping_SEDS!$BB20</f>
        <v>0</v>
      </c>
      <c r="AJ5" s="34">
        <f>State_Fossil_All_Mapping_SEDS!AK20/State_Fossil_All_Mapping_SEDS!$BB20</f>
        <v>0.04901164365</v>
      </c>
      <c r="AK5" s="34">
        <f>State_Fossil_All_Mapping_SEDS!AL20/State_Fossil_All_Mapping_SEDS!$BB20</f>
        <v>0</v>
      </c>
      <c r="AL5" s="34">
        <f>State_Fossil_All_Mapping_SEDS!AM20/State_Fossil_All_Mapping_SEDS!$BB20</f>
        <v>0</v>
      </c>
      <c r="AM5" s="34">
        <f>State_Fossil_All_Mapping_SEDS!AN20/State_Fossil_All_Mapping_SEDS!$BB20</f>
        <v>0</v>
      </c>
      <c r="AN5" s="34">
        <f>State_Fossil_All_Mapping_SEDS!AO20/State_Fossil_All_Mapping_SEDS!$BB20</f>
        <v>0</v>
      </c>
      <c r="AO5" s="34">
        <f>State_Fossil_All_Mapping_SEDS!AP20/State_Fossil_All_Mapping_SEDS!$BB20</f>
        <v>0</v>
      </c>
      <c r="AP5" s="34">
        <f>State_Fossil_All_Mapping_SEDS!AQ20/State_Fossil_All_Mapping_SEDS!$BB20</f>
        <v>0</v>
      </c>
      <c r="AQ5" s="34">
        <f>State_Fossil_All_Mapping_SEDS!AR20/State_Fossil_All_Mapping_SEDS!$BB20</f>
        <v>0.03845112375</v>
      </c>
      <c r="AR5" s="34">
        <f>State_Fossil_All_Mapping_SEDS!AS20/State_Fossil_All_Mapping_SEDS!$BB20</f>
        <v>0</v>
      </c>
      <c r="AS5" s="34">
        <f>State_Fossil_All_Mapping_SEDS!AT20/State_Fossil_All_Mapping_SEDS!$BB20</f>
        <v>0</v>
      </c>
      <c r="AT5" s="34">
        <f>State_Fossil_All_Mapping_SEDS!AU20/State_Fossil_All_Mapping_SEDS!$BB20</f>
        <v>0</v>
      </c>
      <c r="AU5" s="34">
        <f>State_Fossil_All_Mapping_SEDS!AV20/State_Fossil_All_Mapping_SEDS!$BB20</f>
        <v>0</v>
      </c>
      <c r="AV5" s="34">
        <f>State_Fossil_All_Mapping_SEDS!AW20/State_Fossil_All_Mapping_SEDS!$BB20</f>
        <v>0</v>
      </c>
      <c r="AW5" s="34">
        <f>State_Fossil_All_Mapping_SEDS!AX20/State_Fossil_All_Mapping_SEDS!$BB20</f>
        <v>0</v>
      </c>
      <c r="AX5" s="34">
        <f>State_Fossil_All_Mapping_SEDS!AY20/State_Fossil_All_Mapping_SEDS!$BB20</f>
        <v>0</v>
      </c>
      <c r="AY5" s="34">
        <f>State_Fossil_All_Mapping_SEDS!AZ20/State_Fossil_All_Mapping_SEDS!$BB20</f>
        <v>0</v>
      </c>
      <c r="AZ5" s="34">
        <f>State_Fossil_All_Mapping_SEDS!BA20/State_Fossil_All_Mapping_SEDS!$BB20</f>
        <v>0</v>
      </c>
    </row>
    <row r="6" ht="15.75" customHeight="1">
      <c r="A6" s="34">
        <v>5.0</v>
      </c>
      <c r="B6" s="34">
        <f>State_Fossil_All_Mapping_SEDS!C21/State_Fossil_All_Mapping_SEDS!$BB21</f>
        <v>0</v>
      </c>
      <c r="C6" s="34">
        <f>State_Fossil_All_Mapping_SEDS!D21/State_Fossil_All_Mapping_SEDS!$BB21</f>
        <v>0</v>
      </c>
      <c r="D6" s="34">
        <f>State_Fossil_All_Mapping_SEDS!E21/State_Fossil_All_Mapping_SEDS!$BB21</f>
        <v>0</v>
      </c>
      <c r="E6" s="34">
        <f>State_Fossil_All_Mapping_SEDS!F21/State_Fossil_All_Mapping_SEDS!$BB21</f>
        <v>0</v>
      </c>
      <c r="F6" s="34">
        <f>State_Fossil_All_Mapping_SEDS!G21/State_Fossil_All_Mapping_SEDS!$BB21</f>
        <v>0</v>
      </c>
      <c r="G6" s="34">
        <f>State_Fossil_All_Mapping_SEDS!H21/State_Fossil_All_Mapping_SEDS!$BB21</f>
        <v>0</v>
      </c>
      <c r="H6" s="34">
        <f>State_Fossil_All_Mapping_SEDS!I21/State_Fossil_All_Mapping_SEDS!$BB21</f>
        <v>0</v>
      </c>
      <c r="I6" s="34">
        <f>State_Fossil_All_Mapping_SEDS!J21/State_Fossil_All_Mapping_SEDS!$BB21</f>
        <v>0.02706586826</v>
      </c>
      <c r="J6" s="34">
        <f>State_Fossil_All_Mapping_SEDS!K21/State_Fossil_All_Mapping_SEDS!$BB21</f>
        <v>0.03832335329</v>
      </c>
      <c r="K6" s="34">
        <f>State_Fossil_All_Mapping_SEDS!L21/State_Fossil_All_Mapping_SEDS!$BB21</f>
        <v>0.1552095808</v>
      </c>
      <c r="L6" s="34">
        <f>State_Fossil_All_Mapping_SEDS!M21/State_Fossil_All_Mapping_SEDS!$BB21</f>
        <v>0.1362874251</v>
      </c>
      <c r="M6" s="34">
        <f>State_Fossil_All_Mapping_SEDS!N21/State_Fossil_All_Mapping_SEDS!$BB21</f>
        <v>0</v>
      </c>
      <c r="N6" s="34">
        <f>State_Fossil_All_Mapping_SEDS!O21/State_Fossil_All_Mapping_SEDS!$BB21</f>
        <v>0</v>
      </c>
      <c r="O6" s="34">
        <f>State_Fossil_All_Mapping_SEDS!P21/State_Fossil_All_Mapping_SEDS!$BB21</f>
        <v>0</v>
      </c>
      <c r="P6" s="34">
        <f>State_Fossil_All_Mapping_SEDS!Q21/State_Fossil_All_Mapping_SEDS!$BB21</f>
        <v>0</v>
      </c>
      <c r="Q6" s="34">
        <f>State_Fossil_All_Mapping_SEDS!R21/State_Fossil_All_Mapping_SEDS!$BB21</f>
        <v>0</v>
      </c>
      <c r="R6" s="34">
        <f>State_Fossil_All_Mapping_SEDS!S21/State_Fossil_All_Mapping_SEDS!$BB21</f>
        <v>0</v>
      </c>
      <c r="S6" s="34">
        <f>State_Fossil_All_Mapping_SEDS!T21/State_Fossil_All_Mapping_SEDS!$BB21</f>
        <v>0</v>
      </c>
      <c r="T6" s="34">
        <f>State_Fossil_All_Mapping_SEDS!U21/State_Fossil_All_Mapping_SEDS!$BB21</f>
        <v>0</v>
      </c>
      <c r="U6" s="34">
        <f>State_Fossil_All_Mapping_SEDS!V21/State_Fossil_All_Mapping_SEDS!$BB21</f>
        <v>0</v>
      </c>
      <c r="V6" s="34">
        <f>State_Fossil_All_Mapping_SEDS!W21/State_Fossil_All_Mapping_SEDS!$BB21</f>
        <v>0.1839520958</v>
      </c>
      <c r="W6" s="34">
        <f>State_Fossil_All_Mapping_SEDS!X21/State_Fossil_All_Mapping_SEDS!$BB21</f>
        <v>0</v>
      </c>
      <c r="X6" s="34">
        <f>State_Fossil_All_Mapping_SEDS!Y21/State_Fossil_All_Mapping_SEDS!$BB21</f>
        <v>0</v>
      </c>
      <c r="Y6" s="34">
        <f>State_Fossil_All_Mapping_SEDS!Z21/State_Fossil_All_Mapping_SEDS!$BB21</f>
        <v>0</v>
      </c>
      <c r="Z6" s="34">
        <f>State_Fossil_All_Mapping_SEDS!AA21/State_Fossil_All_Mapping_SEDS!$BB21</f>
        <v>0</v>
      </c>
      <c r="AA6" s="34">
        <f>State_Fossil_All_Mapping_SEDS!AB21/State_Fossil_All_Mapping_SEDS!$BB21</f>
        <v>0</v>
      </c>
      <c r="AB6" s="34">
        <f>State_Fossil_All_Mapping_SEDS!AC21/State_Fossil_All_Mapping_SEDS!$BB21</f>
        <v>0</v>
      </c>
      <c r="AC6" s="34">
        <f>State_Fossil_All_Mapping_SEDS!AD21/State_Fossil_All_Mapping_SEDS!$BB21</f>
        <v>0</v>
      </c>
      <c r="AD6" s="34">
        <f>State_Fossil_All_Mapping_SEDS!AE21/State_Fossil_All_Mapping_SEDS!$BB21</f>
        <v>0</v>
      </c>
      <c r="AE6" s="34">
        <f>State_Fossil_All_Mapping_SEDS!AF21/State_Fossil_All_Mapping_SEDS!$BB21</f>
        <v>0</v>
      </c>
      <c r="AF6" s="34">
        <f>State_Fossil_All_Mapping_SEDS!AG21/State_Fossil_All_Mapping_SEDS!$BB21</f>
        <v>0</v>
      </c>
      <c r="AG6" s="34">
        <f>State_Fossil_All_Mapping_SEDS!AH21/State_Fossil_All_Mapping_SEDS!$BB21</f>
        <v>0</v>
      </c>
      <c r="AH6" s="34">
        <f>State_Fossil_All_Mapping_SEDS!AI21/State_Fossil_All_Mapping_SEDS!$BB21</f>
        <v>0</v>
      </c>
      <c r="AI6" s="34">
        <f>State_Fossil_All_Mapping_SEDS!AJ21/State_Fossil_All_Mapping_SEDS!$BB21</f>
        <v>0.1451497006</v>
      </c>
      <c r="AJ6" s="34">
        <f>State_Fossil_All_Mapping_SEDS!AK21/State_Fossil_All_Mapping_SEDS!$BB21</f>
        <v>0</v>
      </c>
      <c r="AK6" s="34">
        <f>State_Fossil_All_Mapping_SEDS!AL21/State_Fossil_All_Mapping_SEDS!$BB21</f>
        <v>0</v>
      </c>
      <c r="AL6" s="34">
        <f>State_Fossil_All_Mapping_SEDS!AM21/State_Fossil_All_Mapping_SEDS!$BB21</f>
        <v>0</v>
      </c>
      <c r="AM6" s="34">
        <f>State_Fossil_All_Mapping_SEDS!AN21/State_Fossil_All_Mapping_SEDS!$BB21</f>
        <v>0</v>
      </c>
      <c r="AN6" s="34">
        <f>State_Fossil_All_Mapping_SEDS!AO21/State_Fossil_All_Mapping_SEDS!$BB21</f>
        <v>0</v>
      </c>
      <c r="AO6" s="34">
        <f>State_Fossil_All_Mapping_SEDS!AP21/State_Fossil_All_Mapping_SEDS!$BB21</f>
        <v>0</v>
      </c>
      <c r="AP6" s="34">
        <f>State_Fossil_All_Mapping_SEDS!AQ21/State_Fossil_All_Mapping_SEDS!$BB21</f>
        <v>0.06419161677</v>
      </c>
      <c r="AQ6" s="34">
        <f>State_Fossil_All_Mapping_SEDS!AR21/State_Fossil_All_Mapping_SEDS!$BB21</f>
        <v>0</v>
      </c>
      <c r="AR6" s="34">
        <f>State_Fossil_All_Mapping_SEDS!AS21/State_Fossil_All_Mapping_SEDS!$BB21</f>
        <v>0</v>
      </c>
      <c r="AS6" s="34">
        <f>State_Fossil_All_Mapping_SEDS!AT21/State_Fossil_All_Mapping_SEDS!$BB21</f>
        <v>0</v>
      </c>
      <c r="AT6" s="34">
        <f>State_Fossil_All_Mapping_SEDS!AU21/State_Fossil_All_Mapping_SEDS!$BB21</f>
        <v>0</v>
      </c>
      <c r="AU6" s="34">
        <f>State_Fossil_All_Mapping_SEDS!AV21/State_Fossil_All_Mapping_SEDS!$BB21</f>
        <v>0</v>
      </c>
      <c r="AV6" s="34">
        <f>State_Fossil_All_Mapping_SEDS!AW21/State_Fossil_All_Mapping_SEDS!$BB21</f>
        <v>0.1882634731</v>
      </c>
      <c r="AW6" s="34">
        <f>State_Fossil_All_Mapping_SEDS!AX21/State_Fossil_All_Mapping_SEDS!$BB21</f>
        <v>0</v>
      </c>
      <c r="AX6" s="34">
        <f>State_Fossil_All_Mapping_SEDS!AY21/State_Fossil_All_Mapping_SEDS!$BB21</f>
        <v>0.06155688623</v>
      </c>
      <c r="AY6" s="34">
        <f>State_Fossil_All_Mapping_SEDS!AZ21/State_Fossil_All_Mapping_SEDS!$BB21</f>
        <v>0</v>
      </c>
      <c r="AZ6" s="34">
        <f>State_Fossil_All_Mapping_SEDS!BA21/State_Fossil_All_Mapping_SEDS!$BB21</f>
        <v>0</v>
      </c>
    </row>
    <row r="7" ht="15.75" customHeight="1">
      <c r="A7" s="34">
        <v>6.0</v>
      </c>
      <c r="B7" s="34">
        <f>State_Fossil_All_Mapping_SEDS!C22/State_Fossil_All_Mapping_SEDS!$BB22</f>
        <v>0.1758460518</v>
      </c>
      <c r="C7" s="34">
        <f>State_Fossil_All_Mapping_SEDS!D22/State_Fossil_All_Mapping_SEDS!$BB22</f>
        <v>0</v>
      </c>
      <c r="D7" s="34">
        <f>State_Fossil_All_Mapping_SEDS!E22/State_Fossil_All_Mapping_SEDS!$BB22</f>
        <v>0</v>
      </c>
      <c r="E7" s="34">
        <f>State_Fossil_All_Mapping_SEDS!F22/State_Fossil_All_Mapping_SEDS!$BB22</f>
        <v>0</v>
      </c>
      <c r="F7" s="34">
        <f>State_Fossil_All_Mapping_SEDS!G22/State_Fossil_All_Mapping_SEDS!$BB22</f>
        <v>0</v>
      </c>
      <c r="G7" s="34">
        <f>State_Fossil_All_Mapping_SEDS!H22/State_Fossil_All_Mapping_SEDS!$BB22</f>
        <v>0</v>
      </c>
      <c r="H7" s="34">
        <f>State_Fossil_All_Mapping_SEDS!I22/State_Fossil_All_Mapping_SEDS!$BB22</f>
        <v>0</v>
      </c>
      <c r="I7" s="34">
        <f>State_Fossil_All_Mapping_SEDS!J22/State_Fossil_All_Mapping_SEDS!$BB22</f>
        <v>0</v>
      </c>
      <c r="J7" s="34">
        <f>State_Fossil_All_Mapping_SEDS!K22/State_Fossil_All_Mapping_SEDS!$BB22</f>
        <v>0</v>
      </c>
      <c r="K7" s="34">
        <f>State_Fossil_All_Mapping_SEDS!L22/State_Fossil_All_Mapping_SEDS!$BB22</f>
        <v>0</v>
      </c>
      <c r="L7" s="34">
        <f>State_Fossil_All_Mapping_SEDS!M22/State_Fossil_All_Mapping_SEDS!$BB22</f>
        <v>0</v>
      </c>
      <c r="M7" s="34">
        <f>State_Fossil_All_Mapping_SEDS!N22/State_Fossil_All_Mapping_SEDS!$BB22</f>
        <v>0</v>
      </c>
      <c r="N7" s="34">
        <f>State_Fossil_All_Mapping_SEDS!O22/State_Fossil_All_Mapping_SEDS!$BB22</f>
        <v>0</v>
      </c>
      <c r="O7" s="34">
        <f>State_Fossil_All_Mapping_SEDS!P22/State_Fossil_All_Mapping_SEDS!$BB22</f>
        <v>0</v>
      </c>
      <c r="P7" s="34">
        <f>State_Fossil_All_Mapping_SEDS!Q22/State_Fossil_All_Mapping_SEDS!$BB22</f>
        <v>0</v>
      </c>
      <c r="Q7" s="34">
        <f>State_Fossil_All_Mapping_SEDS!R22/State_Fossil_All_Mapping_SEDS!$BB22</f>
        <v>0</v>
      </c>
      <c r="R7" s="34">
        <f>State_Fossil_All_Mapping_SEDS!S22/State_Fossil_All_Mapping_SEDS!$BB22</f>
        <v>0</v>
      </c>
      <c r="S7" s="34">
        <f>State_Fossil_All_Mapping_SEDS!T22/State_Fossil_All_Mapping_SEDS!$BB22</f>
        <v>0.2687458527</v>
      </c>
      <c r="T7" s="34">
        <f>State_Fossil_All_Mapping_SEDS!U22/State_Fossil_All_Mapping_SEDS!$BB22</f>
        <v>0</v>
      </c>
      <c r="U7" s="34">
        <f>State_Fossil_All_Mapping_SEDS!V22/State_Fossil_All_Mapping_SEDS!$BB22</f>
        <v>0</v>
      </c>
      <c r="V7" s="34">
        <f>State_Fossil_All_Mapping_SEDS!W22/State_Fossil_All_Mapping_SEDS!$BB22</f>
        <v>0</v>
      </c>
      <c r="W7" s="34">
        <f>State_Fossil_All_Mapping_SEDS!X22/State_Fossil_All_Mapping_SEDS!$BB22</f>
        <v>0</v>
      </c>
      <c r="X7" s="34">
        <f>State_Fossil_All_Mapping_SEDS!Y22/State_Fossil_All_Mapping_SEDS!$BB22</f>
        <v>0</v>
      </c>
      <c r="Y7" s="34">
        <f>State_Fossil_All_Mapping_SEDS!Z22/State_Fossil_All_Mapping_SEDS!$BB22</f>
        <v>0</v>
      </c>
      <c r="Z7" s="34">
        <f>State_Fossil_All_Mapping_SEDS!AA22/State_Fossil_All_Mapping_SEDS!$BB22</f>
        <v>0.1373589914</v>
      </c>
      <c r="AA7" s="34">
        <f>State_Fossil_All_Mapping_SEDS!AB22/State_Fossil_All_Mapping_SEDS!$BB22</f>
        <v>0</v>
      </c>
      <c r="AB7" s="34">
        <f>State_Fossil_All_Mapping_SEDS!AC22/State_Fossil_All_Mapping_SEDS!$BB22</f>
        <v>0</v>
      </c>
      <c r="AC7" s="34">
        <f>State_Fossil_All_Mapping_SEDS!AD22/State_Fossil_All_Mapping_SEDS!$BB22</f>
        <v>0</v>
      </c>
      <c r="AD7" s="34">
        <f>State_Fossil_All_Mapping_SEDS!AE22/State_Fossil_All_Mapping_SEDS!$BB22</f>
        <v>0</v>
      </c>
      <c r="AE7" s="34">
        <f>State_Fossil_All_Mapping_SEDS!AF22/State_Fossil_All_Mapping_SEDS!$BB22</f>
        <v>0</v>
      </c>
      <c r="AF7" s="34">
        <f>State_Fossil_All_Mapping_SEDS!AG22/State_Fossil_All_Mapping_SEDS!$BB22</f>
        <v>0</v>
      </c>
      <c r="AG7" s="34">
        <f>State_Fossil_All_Mapping_SEDS!AH22/State_Fossil_All_Mapping_SEDS!$BB22</f>
        <v>0</v>
      </c>
      <c r="AH7" s="34">
        <f>State_Fossil_All_Mapping_SEDS!AI22/State_Fossil_All_Mapping_SEDS!$BB22</f>
        <v>0</v>
      </c>
      <c r="AI7" s="34">
        <f>State_Fossil_All_Mapping_SEDS!AJ22/State_Fossil_All_Mapping_SEDS!$BB22</f>
        <v>0</v>
      </c>
      <c r="AJ7" s="34">
        <f>State_Fossil_All_Mapping_SEDS!AK22/State_Fossil_All_Mapping_SEDS!$BB22</f>
        <v>0</v>
      </c>
      <c r="AK7" s="34">
        <f>State_Fossil_All_Mapping_SEDS!AL22/State_Fossil_All_Mapping_SEDS!$BB22</f>
        <v>0</v>
      </c>
      <c r="AL7" s="34">
        <f>State_Fossil_All_Mapping_SEDS!AM22/State_Fossil_All_Mapping_SEDS!$BB22</f>
        <v>0</v>
      </c>
      <c r="AM7" s="34">
        <f>State_Fossil_All_Mapping_SEDS!AN22/State_Fossil_All_Mapping_SEDS!$BB22</f>
        <v>0</v>
      </c>
      <c r="AN7" s="34">
        <f>State_Fossil_All_Mapping_SEDS!AO22/State_Fossil_All_Mapping_SEDS!$BB22</f>
        <v>0</v>
      </c>
      <c r="AO7" s="34">
        <f>State_Fossil_All_Mapping_SEDS!AP22/State_Fossil_All_Mapping_SEDS!$BB22</f>
        <v>0</v>
      </c>
      <c r="AP7" s="34">
        <f>State_Fossil_All_Mapping_SEDS!AQ22/State_Fossil_All_Mapping_SEDS!$BB22</f>
        <v>0</v>
      </c>
      <c r="AQ7" s="34">
        <f>State_Fossil_All_Mapping_SEDS!AR22/State_Fossil_All_Mapping_SEDS!$BB22</f>
        <v>0</v>
      </c>
      <c r="AR7" s="34">
        <f>State_Fossil_All_Mapping_SEDS!AS22/State_Fossil_All_Mapping_SEDS!$BB22</f>
        <v>0.4180491042</v>
      </c>
      <c r="AS7" s="34">
        <f>State_Fossil_All_Mapping_SEDS!AT22/State_Fossil_All_Mapping_SEDS!$BB22</f>
        <v>0</v>
      </c>
      <c r="AT7" s="34">
        <f>State_Fossil_All_Mapping_SEDS!AU22/State_Fossil_All_Mapping_SEDS!$BB22</f>
        <v>0</v>
      </c>
      <c r="AU7" s="34">
        <f>State_Fossil_All_Mapping_SEDS!AV22/State_Fossil_All_Mapping_SEDS!$BB22</f>
        <v>0</v>
      </c>
      <c r="AV7" s="34">
        <f>State_Fossil_All_Mapping_SEDS!AW22/State_Fossil_All_Mapping_SEDS!$BB22</f>
        <v>0</v>
      </c>
      <c r="AW7" s="34">
        <f>State_Fossil_All_Mapping_SEDS!AX22/State_Fossil_All_Mapping_SEDS!$BB22</f>
        <v>0</v>
      </c>
      <c r="AX7" s="34">
        <f>State_Fossil_All_Mapping_SEDS!AY22/State_Fossil_All_Mapping_SEDS!$BB22</f>
        <v>0</v>
      </c>
      <c r="AY7" s="34">
        <f>State_Fossil_All_Mapping_SEDS!AZ22/State_Fossil_All_Mapping_SEDS!$BB22</f>
        <v>0</v>
      </c>
      <c r="AZ7" s="34">
        <f>State_Fossil_All_Mapping_SEDS!BA22/State_Fossil_All_Mapping_SEDS!$BB22</f>
        <v>0</v>
      </c>
    </row>
    <row r="8" ht="15.75" customHeight="1">
      <c r="A8" s="34">
        <v>7.0</v>
      </c>
      <c r="B8" s="34">
        <f>State_Fossil_All_Mapping_SEDS!C23/State_Fossil_All_Mapping_SEDS!$BB23</f>
        <v>0</v>
      </c>
      <c r="C8" s="34">
        <f>State_Fossil_All_Mapping_SEDS!D23/State_Fossil_All_Mapping_SEDS!$BB23</f>
        <v>0</v>
      </c>
      <c r="D8" s="34">
        <f>State_Fossil_All_Mapping_SEDS!E23/State_Fossil_All_Mapping_SEDS!$BB23</f>
        <v>0</v>
      </c>
      <c r="E8" s="34">
        <f>State_Fossil_All_Mapping_SEDS!F23/State_Fossil_All_Mapping_SEDS!$BB23</f>
        <v>0.1673116999</v>
      </c>
      <c r="F8" s="34">
        <f>State_Fossil_All_Mapping_SEDS!G23/State_Fossil_All_Mapping_SEDS!$BB23</f>
        <v>0</v>
      </c>
      <c r="G8" s="34">
        <f>State_Fossil_All_Mapping_SEDS!H23/State_Fossil_All_Mapping_SEDS!$BB23</f>
        <v>0</v>
      </c>
      <c r="H8" s="34">
        <f>State_Fossil_All_Mapping_SEDS!I23/State_Fossil_All_Mapping_SEDS!$BB23</f>
        <v>0</v>
      </c>
      <c r="I8" s="34">
        <f>State_Fossil_All_Mapping_SEDS!J23/State_Fossil_All_Mapping_SEDS!$BB23</f>
        <v>0</v>
      </c>
      <c r="J8" s="34">
        <f>State_Fossil_All_Mapping_SEDS!K23/State_Fossil_All_Mapping_SEDS!$BB23</f>
        <v>0</v>
      </c>
      <c r="K8" s="34">
        <f>State_Fossil_All_Mapping_SEDS!L23/State_Fossil_All_Mapping_SEDS!$BB23</f>
        <v>0</v>
      </c>
      <c r="L8" s="34">
        <f>State_Fossil_All_Mapping_SEDS!M23/State_Fossil_All_Mapping_SEDS!$BB23</f>
        <v>0</v>
      </c>
      <c r="M8" s="34">
        <f>State_Fossil_All_Mapping_SEDS!N23/State_Fossil_All_Mapping_SEDS!$BB23</f>
        <v>0</v>
      </c>
      <c r="N8" s="34">
        <f>State_Fossil_All_Mapping_SEDS!O23/State_Fossil_All_Mapping_SEDS!$BB23</f>
        <v>0</v>
      </c>
      <c r="O8" s="34">
        <f>State_Fossil_All_Mapping_SEDS!P23/State_Fossil_All_Mapping_SEDS!$BB23</f>
        <v>0</v>
      </c>
      <c r="P8" s="34">
        <f>State_Fossil_All_Mapping_SEDS!Q23/State_Fossil_All_Mapping_SEDS!$BB23</f>
        <v>0</v>
      </c>
      <c r="Q8" s="34">
        <f>State_Fossil_All_Mapping_SEDS!R23/State_Fossil_All_Mapping_SEDS!$BB23</f>
        <v>0</v>
      </c>
      <c r="R8" s="34">
        <f>State_Fossil_All_Mapping_SEDS!S23/State_Fossil_All_Mapping_SEDS!$BB23</f>
        <v>0</v>
      </c>
      <c r="S8" s="34">
        <f>State_Fossil_All_Mapping_SEDS!T23/State_Fossil_All_Mapping_SEDS!$BB23</f>
        <v>0</v>
      </c>
      <c r="T8" s="34">
        <f>State_Fossil_All_Mapping_SEDS!U23/State_Fossil_All_Mapping_SEDS!$BB23</f>
        <v>0.09645727895</v>
      </c>
      <c r="U8" s="34">
        <f>State_Fossil_All_Mapping_SEDS!V23/State_Fossil_All_Mapping_SEDS!$BB23</f>
        <v>0</v>
      </c>
      <c r="V8" s="34">
        <f>State_Fossil_All_Mapping_SEDS!W23/State_Fossil_All_Mapping_SEDS!$BB23</f>
        <v>0</v>
      </c>
      <c r="W8" s="34">
        <f>State_Fossil_All_Mapping_SEDS!X23/State_Fossil_All_Mapping_SEDS!$BB23</f>
        <v>0</v>
      </c>
      <c r="X8" s="34">
        <f>State_Fossil_All_Mapping_SEDS!Y23/State_Fossil_All_Mapping_SEDS!$BB23</f>
        <v>0</v>
      </c>
      <c r="Y8" s="34">
        <f>State_Fossil_All_Mapping_SEDS!Z23/State_Fossil_All_Mapping_SEDS!$BB23</f>
        <v>0</v>
      </c>
      <c r="Z8" s="34">
        <f>State_Fossil_All_Mapping_SEDS!AA23/State_Fossil_All_Mapping_SEDS!$BB23</f>
        <v>0</v>
      </c>
      <c r="AA8" s="34">
        <f>State_Fossil_All_Mapping_SEDS!AB23/State_Fossil_All_Mapping_SEDS!$BB23</f>
        <v>0</v>
      </c>
      <c r="AB8" s="34">
        <f>State_Fossil_All_Mapping_SEDS!AC23/State_Fossil_All_Mapping_SEDS!$BB23</f>
        <v>0</v>
      </c>
      <c r="AC8" s="34">
        <f>State_Fossil_All_Mapping_SEDS!AD23/State_Fossil_All_Mapping_SEDS!$BB23</f>
        <v>0</v>
      </c>
      <c r="AD8" s="34">
        <f>State_Fossil_All_Mapping_SEDS!AE23/State_Fossil_All_Mapping_SEDS!$BB23</f>
        <v>0</v>
      </c>
      <c r="AE8" s="34">
        <f>State_Fossil_All_Mapping_SEDS!AF23/State_Fossil_All_Mapping_SEDS!$BB23</f>
        <v>0</v>
      </c>
      <c r="AF8" s="34">
        <f>State_Fossil_All_Mapping_SEDS!AG23/State_Fossil_All_Mapping_SEDS!$BB23</f>
        <v>0</v>
      </c>
      <c r="AG8" s="34">
        <f>State_Fossil_All_Mapping_SEDS!AH23/State_Fossil_All_Mapping_SEDS!$BB23</f>
        <v>0</v>
      </c>
      <c r="AH8" s="34">
        <f>State_Fossil_All_Mapping_SEDS!AI23/State_Fossil_All_Mapping_SEDS!$BB23</f>
        <v>0</v>
      </c>
      <c r="AI8" s="34">
        <f>State_Fossil_All_Mapping_SEDS!AJ23/State_Fossil_All_Mapping_SEDS!$BB23</f>
        <v>0</v>
      </c>
      <c r="AJ8" s="34">
        <f>State_Fossil_All_Mapping_SEDS!AK23/State_Fossil_All_Mapping_SEDS!$BB23</f>
        <v>0</v>
      </c>
      <c r="AK8" s="34">
        <f>State_Fossil_All_Mapping_SEDS!AL23/State_Fossil_All_Mapping_SEDS!$BB23</f>
        <v>0</v>
      </c>
      <c r="AL8" s="34">
        <f>State_Fossil_All_Mapping_SEDS!AM23/State_Fossil_All_Mapping_SEDS!$BB23</f>
        <v>0.1396248884</v>
      </c>
      <c r="AM8" s="34">
        <f>State_Fossil_All_Mapping_SEDS!AN23/State_Fossil_All_Mapping_SEDS!$BB23</f>
        <v>0</v>
      </c>
      <c r="AN8" s="34">
        <f>State_Fossil_All_Mapping_SEDS!AO23/State_Fossil_All_Mapping_SEDS!$BB23</f>
        <v>0</v>
      </c>
      <c r="AO8" s="34">
        <f>State_Fossil_All_Mapping_SEDS!AP23/State_Fossil_All_Mapping_SEDS!$BB23</f>
        <v>0</v>
      </c>
      <c r="AP8" s="34">
        <f>State_Fossil_All_Mapping_SEDS!AQ23/State_Fossil_All_Mapping_SEDS!$BB23</f>
        <v>0</v>
      </c>
      <c r="AQ8" s="34">
        <f>State_Fossil_All_Mapping_SEDS!AR23/State_Fossil_All_Mapping_SEDS!$BB23</f>
        <v>0</v>
      </c>
      <c r="AR8" s="34">
        <f>State_Fossil_All_Mapping_SEDS!AS23/State_Fossil_All_Mapping_SEDS!$BB23</f>
        <v>0</v>
      </c>
      <c r="AS8" s="34">
        <f>State_Fossil_All_Mapping_SEDS!AT23/State_Fossil_All_Mapping_SEDS!$BB23</f>
        <v>0.5966061328</v>
      </c>
      <c r="AT8" s="34">
        <f>State_Fossil_All_Mapping_SEDS!AU23/State_Fossil_All_Mapping_SEDS!$BB23</f>
        <v>0</v>
      </c>
      <c r="AU8" s="34">
        <f>State_Fossil_All_Mapping_SEDS!AV23/State_Fossil_All_Mapping_SEDS!$BB23</f>
        <v>0</v>
      </c>
      <c r="AV8" s="34">
        <f>State_Fossil_All_Mapping_SEDS!AW23/State_Fossil_All_Mapping_SEDS!$BB23</f>
        <v>0</v>
      </c>
      <c r="AW8" s="34">
        <f>State_Fossil_All_Mapping_SEDS!AX23/State_Fossil_All_Mapping_SEDS!$BB23</f>
        <v>0</v>
      </c>
      <c r="AX8" s="34">
        <f>State_Fossil_All_Mapping_SEDS!AY23/State_Fossil_All_Mapping_SEDS!$BB23</f>
        <v>0</v>
      </c>
      <c r="AY8" s="34">
        <f>State_Fossil_All_Mapping_SEDS!AZ23/State_Fossil_All_Mapping_SEDS!$BB23</f>
        <v>0</v>
      </c>
      <c r="AZ8" s="34">
        <f>State_Fossil_All_Mapping_SEDS!BA23/State_Fossil_All_Mapping_SEDS!$BB23</f>
        <v>0</v>
      </c>
    </row>
    <row r="9" ht="15.75" customHeight="1">
      <c r="A9" s="34">
        <v>8.0</v>
      </c>
      <c r="B9" s="34">
        <f>State_Fossil_All_Mapping_SEDS!C24/State_Fossil_All_Mapping_SEDS!$BB24</f>
        <v>0</v>
      </c>
      <c r="C9" s="34">
        <f>State_Fossil_All_Mapping_SEDS!D24/State_Fossil_All_Mapping_SEDS!$BB24</f>
        <v>0</v>
      </c>
      <c r="D9" s="34">
        <f>State_Fossil_All_Mapping_SEDS!E24/State_Fossil_All_Mapping_SEDS!$BB24</f>
        <v>0.1314285714</v>
      </c>
      <c r="E9" s="34">
        <f>State_Fossil_All_Mapping_SEDS!F24/State_Fossil_All_Mapping_SEDS!$BB24</f>
        <v>0</v>
      </c>
      <c r="F9" s="34">
        <f>State_Fossil_All_Mapping_SEDS!G24/State_Fossil_All_Mapping_SEDS!$BB24</f>
        <v>0</v>
      </c>
      <c r="G9" s="34">
        <f>State_Fossil_All_Mapping_SEDS!H24/State_Fossil_All_Mapping_SEDS!$BB24</f>
        <v>0.2307142857</v>
      </c>
      <c r="H9" s="34">
        <f>State_Fossil_All_Mapping_SEDS!I24/State_Fossil_All_Mapping_SEDS!$BB24</f>
        <v>0</v>
      </c>
      <c r="I9" s="34">
        <f>State_Fossil_All_Mapping_SEDS!J24/State_Fossil_All_Mapping_SEDS!$BB24</f>
        <v>0</v>
      </c>
      <c r="J9" s="34">
        <f>State_Fossil_All_Mapping_SEDS!K24/State_Fossil_All_Mapping_SEDS!$BB24</f>
        <v>0</v>
      </c>
      <c r="K9" s="34">
        <f>State_Fossil_All_Mapping_SEDS!L24/State_Fossil_All_Mapping_SEDS!$BB24</f>
        <v>0</v>
      </c>
      <c r="L9" s="34">
        <f>State_Fossil_All_Mapping_SEDS!M24/State_Fossil_All_Mapping_SEDS!$BB24</f>
        <v>0</v>
      </c>
      <c r="M9" s="34">
        <f>State_Fossil_All_Mapping_SEDS!N24/State_Fossil_All_Mapping_SEDS!$BB24</f>
        <v>0</v>
      </c>
      <c r="N9" s="34">
        <f>State_Fossil_All_Mapping_SEDS!O24/State_Fossil_All_Mapping_SEDS!$BB24</f>
        <v>0.085</v>
      </c>
      <c r="O9" s="34">
        <f>State_Fossil_All_Mapping_SEDS!P24/State_Fossil_All_Mapping_SEDS!$BB24</f>
        <v>0</v>
      </c>
      <c r="P9" s="34">
        <f>State_Fossil_All_Mapping_SEDS!Q24/State_Fossil_All_Mapping_SEDS!$BB24</f>
        <v>0</v>
      </c>
      <c r="Q9" s="34">
        <f>State_Fossil_All_Mapping_SEDS!R24/State_Fossil_All_Mapping_SEDS!$BB24</f>
        <v>0</v>
      </c>
      <c r="R9" s="34">
        <f>State_Fossil_All_Mapping_SEDS!S24/State_Fossil_All_Mapping_SEDS!$BB24</f>
        <v>0</v>
      </c>
      <c r="S9" s="34">
        <f>State_Fossil_All_Mapping_SEDS!T24/State_Fossil_All_Mapping_SEDS!$BB24</f>
        <v>0</v>
      </c>
      <c r="T9" s="34">
        <f>State_Fossil_All_Mapping_SEDS!U24/State_Fossil_All_Mapping_SEDS!$BB24</f>
        <v>0</v>
      </c>
      <c r="U9" s="34">
        <f>State_Fossil_All_Mapping_SEDS!V24/State_Fossil_All_Mapping_SEDS!$BB24</f>
        <v>0</v>
      </c>
      <c r="V9" s="34">
        <f>State_Fossil_All_Mapping_SEDS!W24/State_Fossil_All_Mapping_SEDS!$BB24</f>
        <v>0</v>
      </c>
      <c r="W9" s="34">
        <f>State_Fossil_All_Mapping_SEDS!X24/State_Fossil_All_Mapping_SEDS!$BB24</f>
        <v>0</v>
      </c>
      <c r="X9" s="34">
        <f>State_Fossil_All_Mapping_SEDS!Y24/State_Fossil_All_Mapping_SEDS!$BB24</f>
        <v>0</v>
      </c>
      <c r="Y9" s="34">
        <f>State_Fossil_All_Mapping_SEDS!Z24/State_Fossil_All_Mapping_SEDS!$BB24</f>
        <v>0</v>
      </c>
      <c r="Z9" s="34">
        <f>State_Fossil_All_Mapping_SEDS!AA24/State_Fossil_All_Mapping_SEDS!$BB24</f>
        <v>0</v>
      </c>
      <c r="AA9" s="34">
        <f>State_Fossil_All_Mapping_SEDS!AB24/State_Fossil_All_Mapping_SEDS!$BB24</f>
        <v>0</v>
      </c>
      <c r="AB9" s="34">
        <f>State_Fossil_All_Mapping_SEDS!AC24/State_Fossil_All_Mapping_SEDS!$BB24</f>
        <v>0.1017857143</v>
      </c>
      <c r="AC9" s="34">
        <f>State_Fossil_All_Mapping_SEDS!AD24/State_Fossil_All_Mapping_SEDS!$BB24</f>
        <v>0</v>
      </c>
      <c r="AD9" s="34">
        <f>State_Fossil_All_Mapping_SEDS!AE24/State_Fossil_All_Mapping_SEDS!$BB24</f>
        <v>0.1221428571</v>
      </c>
      <c r="AE9" s="34">
        <f>State_Fossil_All_Mapping_SEDS!AF24/State_Fossil_All_Mapping_SEDS!$BB24</f>
        <v>0</v>
      </c>
      <c r="AF9" s="34">
        <f>State_Fossil_All_Mapping_SEDS!AG24/State_Fossil_All_Mapping_SEDS!$BB24</f>
        <v>0</v>
      </c>
      <c r="AG9" s="34">
        <f>State_Fossil_All_Mapping_SEDS!AH24/State_Fossil_All_Mapping_SEDS!$BB24</f>
        <v>0.1021428571</v>
      </c>
      <c r="AH9" s="34">
        <f>State_Fossil_All_Mapping_SEDS!AI24/State_Fossil_All_Mapping_SEDS!$BB24</f>
        <v>0</v>
      </c>
      <c r="AI9" s="34">
        <f>State_Fossil_All_Mapping_SEDS!AJ24/State_Fossil_All_Mapping_SEDS!$BB24</f>
        <v>0</v>
      </c>
      <c r="AJ9" s="34">
        <f>State_Fossil_All_Mapping_SEDS!AK24/State_Fossil_All_Mapping_SEDS!$BB24</f>
        <v>0</v>
      </c>
      <c r="AK9" s="34">
        <f>State_Fossil_All_Mapping_SEDS!AL24/State_Fossil_All_Mapping_SEDS!$BB24</f>
        <v>0</v>
      </c>
      <c r="AL9" s="34">
        <f>State_Fossil_All_Mapping_SEDS!AM24/State_Fossil_All_Mapping_SEDS!$BB24</f>
        <v>0</v>
      </c>
      <c r="AM9" s="34">
        <f>State_Fossil_All_Mapping_SEDS!AN24/State_Fossil_All_Mapping_SEDS!$BB24</f>
        <v>0</v>
      </c>
      <c r="AN9" s="34">
        <f>State_Fossil_All_Mapping_SEDS!AO24/State_Fossil_All_Mapping_SEDS!$BB24</f>
        <v>0</v>
      </c>
      <c r="AO9" s="34">
        <f>State_Fossil_All_Mapping_SEDS!AP24/State_Fossil_All_Mapping_SEDS!$BB24</f>
        <v>0</v>
      </c>
      <c r="AP9" s="34">
        <f>State_Fossil_All_Mapping_SEDS!AQ24/State_Fossil_All_Mapping_SEDS!$BB24</f>
        <v>0</v>
      </c>
      <c r="AQ9" s="34">
        <f>State_Fossil_All_Mapping_SEDS!AR24/State_Fossil_All_Mapping_SEDS!$BB24</f>
        <v>0</v>
      </c>
      <c r="AR9" s="34">
        <f>State_Fossil_All_Mapping_SEDS!AS24/State_Fossil_All_Mapping_SEDS!$BB24</f>
        <v>0</v>
      </c>
      <c r="AS9" s="34">
        <f>State_Fossil_All_Mapping_SEDS!AT24/State_Fossil_All_Mapping_SEDS!$BB24</f>
        <v>0</v>
      </c>
      <c r="AT9" s="34">
        <f>State_Fossil_All_Mapping_SEDS!AU24/State_Fossil_All_Mapping_SEDS!$BB24</f>
        <v>0.1778571429</v>
      </c>
      <c r="AU9" s="34">
        <f>State_Fossil_All_Mapping_SEDS!AV24/State_Fossil_All_Mapping_SEDS!$BB24</f>
        <v>0</v>
      </c>
      <c r="AV9" s="34">
        <f>State_Fossil_All_Mapping_SEDS!AW24/State_Fossil_All_Mapping_SEDS!$BB24</f>
        <v>0</v>
      </c>
      <c r="AW9" s="34">
        <f>State_Fossil_All_Mapping_SEDS!AX24/State_Fossil_All_Mapping_SEDS!$BB24</f>
        <v>0</v>
      </c>
      <c r="AX9" s="34">
        <f>State_Fossil_All_Mapping_SEDS!AY24/State_Fossil_All_Mapping_SEDS!$BB24</f>
        <v>0</v>
      </c>
      <c r="AY9" s="34">
        <f>State_Fossil_All_Mapping_SEDS!AZ24/State_Fossil_All_Mapping_SEDS!$BB24</f>
        <v>0</v>
      </c>
      <c r="AZ9" s="34">
        <f>State_Fossil_All_Mapping_SEDS!BA24/State_Fossil_All_Mapping_SEDS!$BB24</f>
        <v>0.04892857143</v>
      </c>
    </row>
    <row r="10" ht="15.75" customHeight="1">
      <c r="A10" s="34">
        <v>9.0</v>
      </c>
      <c r="B10" s="34">
        <f>State_Fossil_All_Mapping_SEDS!C25/State_Fossil_All_Mapping_SEDS!$BB25</f>
        <v>0</v>
      </c>
      <c r="C10" s="34">
        <f>State_Fossil_All_Mapping_SEDS!D25/State_Fossil_All_Mapping_SEDS!$BB25</f>
        <v>0.04193205945</v>
      </c>
      <c r="D10" s="34">
        <f>State_Fossil_All_Mapping_SEDS!E25/State_Fossil_All_Mapping_SEDS!$BB25</f>
        <v>0</v>
      </c>
      <c r="E10" s="34">
        <f>State_Fossil_All_Mapping_SEDS!F25/State_Fossil_All_Mapping_SEDS!$BB25</f>
        <v>0</v>
      </c>
      <c r="F10" s="34">
        <f>State_Fossil_All_Mapping_SEDS!G25/State_Fossil_All_Mapping_SEDS!$BB25</f>
        <v>0.6772823779</v>
      </c>
      <c r="G10" s="34">
        <f>State_Fossil_All_Mapping_SEDS!H25/State_Fossil_All_Mapping_SEDS!$BB25</f>
        <v>0</v>
      </c>
      <c r="H10" s="34">
        <f>State_Fossil_All_Mapping_SEDS!I25/State_Fossil_All_Mapping_SEDS!$BB25</f>
        <v>0</v>
      </c>
      <c r="I10" s="34">
        <f>State_Fossil_All_Mapping_SEDS!J25/State_Fossil_All_Mapping_SEDS!$BB25</f>
        <v>0</v>
      </c>
      <c r="J10" s="34">
        <f>State_Fossil_All_Mapping_SEDS!K25/State_Fossil_All_Mapping_SEDS!$BB25</f>
        <v>0</v>
      </c>
      <c r="K10" s="34">
        <f>State_Fossil_All_Mapping_SEDS!L25/State_Fossil_All_Mapping_SEDS!$BB25</f>
        <v>0</v>
      </c>
      <c r="L10" s="34">
        <f>State_Fossil_All_Mapping_SEDS!M25/State_Fossil_All_Mapping_SEDS!$BB25</f>
        <v>0</v>
      </c>
      <c r="M10" s="34">
        <f>State_Fossil_All_Mapping_SEDS!N25/State_Fossil_All_Mapping_SEDS!$BB25</f>
        <v>0.005573248408</v>
      </c>
      <c r="N10" s="34">
        <f>State_Fossil_All_Mapping_SEDS!O25/State_Fossil_All_Mapping_SEDS!$BB25</f>
        <v>0</v>
      </c>
      <c r="O10" s="34">
        <f>State_Fossil_All_Mapping_SEDS!P25/State_Fossil_All_Mapping_SEDS!$BB25</f>
        <v>0</v>
      </c>
      <c r="P10" s="34">
        <f>State_Fossil_All_Mapping_SEDS!Q25/State_Fossil_All_Mapping_SEDS!$BB25</f>
        <v>0</v>
      </c>
      <c r="Q10" s="34">
        <f>State_Fossil_All_Mapping_SEDS!R25/State_Fossil_All_Mapping_SEDS!$BB25</f>
        <v>0</v>
      </c>
      <c r="R10" s="34">
        <f>State_Fossil_All_Mapping_SEDS!S25/State_Fossil_All_Mapping_SEDS!$BB25</f>
        <v>0</v>
      </c>
      <c r="S10" s="34">
        <f>State_Fossil_All_Mapping_SEDS!T25/State_Fossil_All_Mapping_SEDS!$BB25</f>
        <v>0</v>
      </c>
      <c r="T10" s="34">
        <f>State_Fossil_All_Mapping_SEDS!U25/State_Fossil_All_Mapping_SEDS!$BB25</f>
        <v>0</v>
      </c>
      <c r="U10" s="34">
        <f>State_Fossil_All_Mapping_SEDS!V25/State_Fossil_All_Mapping_SEDS!$BB25</f>
        <v>0</v>
      </c>
      <c r="V10" s="34">
        <f>State_Fossil_All_Mapping_SEDS!W25/State_Fossil_All_Mapping_SEDS!$BB25</f>
        <v>0</v>
      </c>
      <c r="W10" s="34">
        <f>State_Fossil_All_Mapping_SEDS!X25/State_Fossil_All_Mapping_SEDS!$BB25</f>
        <v>0</v>
      </c>
      <c r="X10" s="34">
        <f>State_Fossil_All_Mapping_SEDS!Y25/State_Fossil_All_Mapping_SEDS!$BB25</f>
        <v>0</v>
      </c>
      <c r="Y10" s="34">
        <f>State_Fossil_All_Mapping_SEDS!Z25/State_Fossil_All_Mapping_SEDS!$BB25</f>
        <v>0</v>
      </c>
      <c r="Z10" s="34">
        <f>State_Fossil_All_Mapping_SEDS!AA25/State_Fossil_All_Mapping_SEDS!$BB25</f>
        <v>0</v>
      </c>
      <c r="AA10" s="34">
        <f>State_Fossil_All_Mapping_SEDS!AB25/State_Fossil_All_Mapping_SEDS!$BB25</f>
        <v>0</v>
      </c>
      <c r="AB10" s="34">
        <f>State_Fossil_All_Mapping_SEDS!AC25/State_Fossil_All_Mapping_SEDS!$BB25</f>
        <v>0</v>
      </c>
      <c r="AC10" s="34">
        <f>State_Fossil_All_Mapping_SEDS!AD25/State_Fossil_All_Mapping_SEDS!$BB25</f>
        <v>0</v>
      </c>
      <c r="AD10" s="34">
        <f>State_Fossil_All_Mapping_SEDS!AE25/State_Fossil_All_Mapping_SEDS!$BB25</f>
        <v>0</v>
      </c>
      <c r="AE10" s="34">
        <f>State_Fossil_All_Mapping_SEDS!AF25/State_Fossil_All_Mapping_SEDS!$BB25</f>
        <v>0</v>
      </c>
      <c r="AF10" s="34">
        <f>State_Fossil_All_Mapping_SEDS!AG25/State_Fossil_All_Mapping_SEDS!$BB25</f>
        <v>0</v>
      </c>
      <c r="AG10" s="34">
        <f>State_Fossil_All_Mapping_SEDS!AH25/State_Fossil_All_Mapping_SEDS!$BB25</f>
        <v>0</v>
      </c>
      <c r="AH10" s="34">
        <f>State_Fossil_All_Mapping_SEDS!AI25/State_Fossil_All_Mapping_SEDS!$BB25</f>
        <v>0</v>
      </c>
      <c r="AI10" s="34">
        <f>State_Fossil_All_Mapping_SEDS!AJ25/State_Fossil_All_Mapping_SEDS!$BB25</f>
        <v>0</v>
      </c>
      <c r="AJ10" s="34">
        <f>State_Fossil_All_Mapping_SEDS!AK25/State_Fossil_All_Mapping_SEDS!$BB25</f>
        <v>0</v>
      </c>
      <c r="AK10" s="34">
        <f>State_Fossil_All_Mapping_SEDS!AL25/State_Fossil_All_Mapping_SEDS!$BB25</f>
        <v>0</v>
      </c>
      <c r="AL10" s="34">
        <f>State_Fossil_All_Mapping_SEDS!AM25/State_Fossil_All_Mapping_SEDS!$BB25</f>
        <v>0</v>
      </c>
      <c r="AM10" s="34">
        <f>State_Fossil_All_Mapping_SEDS!AN25/State_Fossil_All_Mapping_SEDS!$BB25</f>
        <v>0.09288747346</v>
      </c>
      <c r="AN10" s="34">
        <f>State_Fossil_All_Mapping_SEDS!AO25/State_Fossil_All_Mapping_SEDS!$BB25</f>
        <v>0</v>
      </c>
      <c r="AO10" s="34">
        <f>State_Fossil_All_Mapping_SEDS!AP25/State_Fossil_All_Mapping_SEDS!$BB25</f>
        <v>0</v>
      </c>
      <c r="AP10" s="34">
        <f>State_Fossil_All_Mapping_SEDS!AQ25/State_Fossil_All_Mapping_SEDS!$BB25</f>
        <v>0</v>
      </c>
      <c r="AQ10" s="34">
        <f>State_Fossil_All_Mapping_SEDS!AR25/State_Fossil_All_Mapping_SEDS!$BB25</f>
        <v>0</v>
      </c>
      <c r="AR10" s="34">
        <f>State_Fossil_All_Mapping_SEDS!AS25/State_Fossil_All_Mapping_SEDS!$BB25</f>
        <v>0</v>
      </c>
      <c r="AS10" s="34">
        <f>State_Fossil_All_Mapping_SEDS!AT25/State_Fossil_All_Mapping_SEDS!$BB25</f>
        <v>0</v>
      </c>
      <c r="AT10" s="34">
        <f>State_Fossil_All_Mapping_SEDS!AU25/State_Fossil_All_Mapping_SEDS!$BB25</f>
        <v>0</v>
      </c>
      <c r="AU10" s="34">
        <f>State_Fossil_All_Mapping_SEDS!AV25/State_Fossil_All_Mapping_SEDS!$BB25</f>
        <v>0</v>
      </c>
      <c r="AV10" s="34">
        <f>State_Fossil_All_Mapping_SEDS!AW25/State_Fossil_All_Mapping_SEDS!$BB25</f>
        <v>0</v>
      </c>
      <c r="AW10" s="34">
        <f>State_Fossil_All_Mapping_SEDS!AX25/State_Fossil_All_Mapping_SEDS!$BB25</f>
        <v>0.1823248408</v>
      </c>
      <c r="AX10" s="34">
        <f>State_Fossil_All_Mapping_SEDS!AY25/State_Fossil_All_Mapping_SEDS!$BB25</f>
        <v>0</v>
      </c>
      <c r="AY10" s="34">
        <f>State_Fossil_All_Mapping_SEDS!AZ25/State_Fossil_All_Mapping_SEDS!$BB25</f>
        <v>0</v>
      </c>
      <c r="AZ10" s="34">
        <f>State_Fossil_All_Mapping_SEDS!BA25/State_Fossil_All_Mapping_SEDS!$BB25</f>
        <v>0</v>
      </c>
    </row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</sheetData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45" t="s">
        <v>94</v>
      </c>
      <c r="B1" s="45" t="s">
        <v>1994</v>
      </c>
      <c r="C1" s="45" t="s">
        <v>2062</v>
      </c>
      <c r="D1" s="45" t="s">
        <v>2063</v>
      </c>
      <c r="E1" s="45" t="s">
        <v>2079</v>
      </c>
      <c r="F1" s="45" t="s">
        <v>2137</v>
      </c>
      <c r="G1" s="45" t="s">
        <v>2194</v>
      </c>
      <c r="H1" s="45" t="s">
        <v>2250</v>
      </c>
      <c r="I1" s="45" t="s">
        <v>2259</v>
      </c>
      <c r="J1" s="45" t="s">
        <v>2263</v>
      </c>
      <c r="K1" s="45" t="s">
        <v>2264</v>
      </c>
      <c r="L1" s="45" t="s">
        <v>2314</v>
      </c>
      <c r="M1" s="45" t="s">
        <v>2423</v>
      </c>
      <c r="N1" s="45" t="s">
        <v>2424</v>
      </c>
      <c r="O1" s="45" t="s">
        <v>2458</v>
      </c>
      <c r="P1" s="45" t="s">
        <v>2513</v>
      </c>
      <c r="Q1" s="45" t="s">
        <v>2555</v>
      </c>
      <c r="R1" s="45" t="s">
        <v>2601</v>
      </c>
      <c r="S1" s="45" t="s">
        <v>2669</v>
      </c>
      <c r="T1" s="45" t="s">
        <v>2725</v>
      </c>
      <c r="U1" s="45" t="s">
        <v>2790</v>
      </c>
      <c r="V1" s="45" t="s">
        <v>2801</v>
      </c>
      <c r="W1" s="45" t="s">
        <v>2819</v>
      </c>
      <c r="X1" s="45" t="s">
        <v>2830</v>
      </c>
      <c r="Y1" s="45" t="s">
        <v>2893</v>
      </c>
      <c r="Z1" s="45" t="s">
        <v>2955</v>
      </c>
      <c r="AA1" s="45" t="s">
        <v>2992</v>
      </c>
      <c r="AB1" s="45" t="s">
        <v>3034</v>
      </c>
      <c r="AC1" s="45" t="s">
        <v>3071</v>
      </c>
      <c r="AD1" s="45" t="s">
        <v>3112</v>
      </c>
      <c r="AE1" s="45" t="s">
        <v>3123</v>
      </c>
      <c r="AF1" s="45" t="s">
        <v>3131</v>
      </c>
      <c r="AG1" s="45" t="s">
        <v>3143</v>
      </c>
      <c r="AH1" s="45" t="s">
        <v>3168</v>
      </c>
      <c r="AI1" s="45" t="s">
        <v>3200</v>
      </c>
      <c r="AJ1" s="45" t="s">
        <v>3265</v>
      </c>
      <c r="AK1" s="45" t="s">
        <v>3297</v>
      </c>
      <c r="AL1" s="45" t="s">
        <v>3333</v>
      </c>
      <c r="AM1" s="45" t="s">
        <v>3376</v>
      </c>
      <c r="AN1" s="45" t="s">
        <v>3393</v>
      </c>
      <c r="AO1" s="45" t="s">
        <v>3427</v>
      </c>
      <c r="AP1" s="45" t="s">
        <v>3430</v>
      </c>
      <c r="AQ1" s="45" t="s">
        <v>3458</v>
      </c>
      <c r="AR1" s="45" t="s">
        <v>3497</v>
      </c>
      <c r="AS1" s="45" t="s">
        <v>3524</v>
      </c>
      <c r="AT1" s="45" t="s">
        <v>3687</v>
      </c>
      <c r="AU1" s="45" t="s">
        <v>3704</v>
      </c>
      <c r="AV1" s="45" t="s">
        <v>3713</v>
      </c>
      <c r="AW1" s="45" t="s">
        <v>3797</v>
      </c>
      <c r="AX1" s="45" t="s">
        <v>3820</v>
      </c>
      <c r="AY1" s="45" t="s">
        <v>3838</v>
      </c>
      <c r="AZ1" s="45" t="s">
        <v>3874</v>
      </c>
    </row>
    <row r="2" ht="15.75" customHeight="1">
      <c r="A2" s="34">
        <v>1.0</v>
      </c>
      <c r="B2" s="34">
        <f>State_Fossil_All_Mapping_SEDS!C30/State_Fossil_All_Mapping_SEDS!$BB30</f>
        <v>0</v>
      </c>
      <c r="C2" s="34">
        <f>State_Fossil_All_Mapping_SEDS!D30/State_Fossil_All_Mapping_SEDS!$BB30</f>
        <v>0</v>
      </c>
      <c r="D2" s="34">
        <f>State_Fossil_All_Mapping_SEDS!E30/State_Fossil_All_Mapping_SEDS!$BB30</f>
        <v>0</v>
      </c>
      <c r="E2" s="34">
        <f>State_Fossil_All_Mapping_SEDS!F30/State_Fossil_All_Mapping_SEDS!$BB30</f>
        <v>0</v>
      </c>
      <c r="F2" s="34">
        <f>State_Fossil_All_Mapping_SEDS!G30/State_Fossil_All_Mapping_SEDS!$BB30</f>
        <v>0</v>
      </c>
      <c r="G2" s="34">
        <f>State_Fossil_All_Mapping_SEDS!H30/State_Fossil_All_Mapping_SEDS!$BB30</f>
        <v>0</v>
      </c>
      <c r="H2" s="34">
        <f>State_Fossil_All_Mapping_SEDS!I30/State_Fossil_All_Mapping_SEDS!$BB30</f>
        <v>0.2750389206</v>
      </c>
      <c r="I2" s="34">
        <f>State_Fossil_All_Mapping_SEDS!J30/State_Fossil_All_Mapping_SEDS!$BB30</f>
        <v>0</v>
      </c>
      <c r="J2" s="34">
        <f>State_Fossil_All_Mapping_SEDS!K30/State_Fossil_All_Mapping_SEDS!$BB30</f>
        <v>0</v>
      </c>
      <c r="K2" s="34">
        <f>State_Fossil_All_Mapping_SEDS!L30/State_Fossil_All_Mapping_SEDS!$BB30</f>
        <v>0</v>
      </c>
      <c r="L2" s="34">
        <f>State_Fossil_All_Mapping_SEDS!M30/State_Fossil_All_Mapping_SEDS!$BB30</f>
        <v>0</v>
      </c>
      <c r="M2" s="34">
        <f>State_Fossil_All_Mapping_SEDS!N30/State_Fossil_All_Mapping_SEDS!$BB30</f>
        <v>0</v>
      </c>
      <c r="N2" s="34">
        <f>State_Fossil_All_Mapping_SEDS!O30/State_Fossil_All_Mapping_SEDS!$BB30</f>
        <v>0</v>
      </c>
      <c r="O2" s="34">
        <f>State_Fossil_All_Mapping_SEDS!P30/State_Fossil_All_Mapping_SEDS!$BB30</f>
        <v>0</v>
      </c>
      <c r="P2" s="34">
        <f>State_Fossil_All_Mapping_SEDS!Q30/State_Fossil_All_Mapping_SEDS!$BB30</f>
        <v>0</v>
      </c>
      <c r="Q2" s="34">
        <f>State_Fossil_All_Mapping_SEDS!R30/State_Fossil_All_Mapping_SEDS!$BB30</f>
        <v>0</v>
      </c>
      <c r="R2" s="34">
        <f>State_Fossil_All_Mapping_SEDS!S30/State_Fossil_All_Mapping_SEDS!$BB30</f>
        <v>0</v>
      </c>
      <c r="S2" s="34">
        <f>State_Fossil_All_Mapping_SEDS!T30/State_Fossil_All_Mapping_SEDS!$BB30</f>
        <v>0</v>
      </c>
      <c r="T2" s="34">
        <f>State_Fossil_All_Mapping_SEDS!U30/State_Fossil_All_Mapping_SEDS!$BB30</f>
        <v>0</v>
      </c>
      <c r="U2" s="34">
        <f>State_Fossil_All_Mapping_SEDS!V30/State_Fossil_All_Mapping_SEDS!$BB30</f>
        <v>0.1390762844</v>
      </c>
      <c r="V2" s="34">
        <f>State_Fossil_All_Mapping_SEDS!W30/State_Fossil_All_Mapping_SEDS!$BB30</f>
        <v>0</v>
      </c>
      <c r="W2" s="34">
        <f>State_Fossil_All_Mapping_SEDS!X30/State_Fossil_All_Mapping_SEDS!$BB30</f>
        <v>0.3668915413</v>
      </c>
      <c r="X2" s="34">
        <f>State_Fossil_All_Mapping_SEDS!Y30/State_Fossil_All_Mapping_SEDS!$BB30</f>
        <v>0</v>
      </c>
      <c r="Y2" s="34">
        <f>State_Fossil_All_Mapping_SEDS!Z30/State_Fossil_All_Mapping_SEDS!$BB30</f>
        <v>0</v>
      </c>
      <c r="Z2" s="34">
        <f>State_Fossil_All_Mapping_SEDS!AA30/State_Fossil_All_Mapping_SEDS!$BB30</f>
        <v>0</v>
      </c>
      <c r="AA2" s="34">
        <f>State_Fossil_All_Mapping_SEDS!AB30/State_Fossil_All_Mapping_SEDS!$BB30</f>
        <v>0</v>
      </c>
      <c r="AB2" s="34">
        <f>State_Fossil_All_Mapping_SEDS!AC30/State_Fossil_All_Mapping_SEDS!$BB30</f>
        <v>0</v>
      </c>
      <c r="AC2" s="34">
        <f>State_Fossil_All_Mapping_SEDS!AD30/State_Fossil_All_Mapping_SEDS!$BB30</f>
        <v>0</v>
      </c>
      <c r="AD2" s="34">
        <f>State_Fossil_All_Mapping_SEDS!AE30/State_Fossil_All_Mapping_SEDS!$BB30</f>
        <v>0</v>
      </c>
      <c r="AE2" s="34">
        <f>State_Fossil_All_Mapping_SEDS!AF30/State_Fossil_All_Mapping_SEDS!$BB30</f>
        <v>0.09911779969</v>
      </c>
      <c r="AF2" s="34">
        <f>State_Fossil_All_Mapping_SEDS!AG30/State_Fossil_All_Mapping_SEDS!$BB30</f>
        <v>0</v>
      </c>
      <c r="AG2" s="34">
        <f>State_Fossil_All_Mapping_SEDS!AH30/State_Fossil_All_Mapping_SEDS!$BB30</f>
        <v>0</v>
      </c>
      <c r="AH2" s="34">
        <f>State_Fossil_All_Mapping_SEDS!AI30/State_Fossil_All_Mapping_SEDS!$BB30</f>
        <v>0</v>
      </c>
      <c r="AI2" s="34">
        <f>State_Fossil_All_Mapping_SEDS!AJ30/State_Fossil_All_Mapping_SEDS!$BB30</f>
        <v>0</v>
      </c>
      <c r="AJ2" s="34">
        <f>State_Fossil_All_Mapping_SEDS!AK30/State_Fossil_All_Mapping_SEDS!$BB30</f>
        <v>0</v>
      </c>
      <c r="AK2" s="34">
        <f>State_Fossil_All_Mapping_SEDS!AL30/State_Fossil_All_Mapping_SEDS!$BB30</f>
        <v>0</v>
      </c>
      <c r="AL2" s="34">
        <f>State_Fossil_All_Mapping_SEDS!AM30/State_Fossil_All_Mapping_SEDS!$BB30</f>
        <v>0</v>
      </c>
      <c r="AM2" s="34">
        <f>State_Fossil_All_Mapping_SEDS!AN30/State_Fossil_All_Mapping_SEDS!$BB30</f>
        <v>0</v>
      </c>
      <c r="AN2" s="34">
        <f>State_Fossil_All_Mapping_SEDS!AO30/State_Fossil_All_Mapping_SEDS!$BB30</f>
        <v>0</v>
      </c>
      <c r="AO2" s="34">
        <f>State_Fossil_All_Mapping_SEDS!AP30/State_Fossil_All_Mapping_SEDS!$BB30</f>
        <v>0.07005708355</v>
      </c>
      <c r="AP2" s="34">
        <f>State_Fossil_All_Mapping_SEDS!AQ30/State_Fossil_All_Mapping_SEDS!$BB30</f>
        <v>0</v>
      </c>
      <c r="AQ2" s="34">
        <f>State_Fossil_All_Mapping_SEDS!AR30/State_Fossil_All_Mapping_SEDS!$BB30</f>
        <v>0</v>
      </c>
      <c r="AR2" s="34">
        <f>State_Fossil_All_Mapping_SEDS!AS30/State_Fossil_All_Mapping_SEDS!$BB30</f>
        <v>0</v>
      </c>
      <c r="AS2" s="34">
        <f>State_Fossil_All_Mapping_SEDS!AT30/State_Fossil_All_Mapping_SEDS!$BB30</f>
        <v>0</v>
      </c>
      <c r="AT2" s="34">
        <f>State_Fossil_All_Mapping_SEDS!AU30/State_Fossil_All_Mapping_SEDS!$BB30</f>
        <v>0</v>
      </c>
      <c r="AU2" s="34">
        <f>State_Fossil_All_Mapping_SEDS!AV30/State_Fossil_All_Mapping_SEDS!$BB30</f>
        <v>0.04981837052</v>
      </c>
      <c r="AV2" s="34">
        <f>State_Fossil_All_Mapping_SEDS!AW30/State_Fossil_All_Mapping_SEDS!$BB30</f>
        <v>0</v>
      </c>
      <c r="AW2" s="34">
        <f>State_Fossil_All_Mapping_SEDS!AX30/State_Fossil_All_Mapping_SEDS!$BB30</f>
        <v>0</v>
      </c>
      <c r="AX2" s="34">
        <f>State_Fossil_All_Mapping_SEDS!AY30/State_Fossil_All_Mapping_SEDS!$BB30</f>
        <v>0</v>
      </c>
      <c r="AY2" s="34">
        <f>State_Fossil_All_Mapping_SEDS!AZ30/State_Fossil_All_Mapping_SEDS!$BB30</f>
        <v>0</v>
      </c>
      <c r="AZ2" s="34">
        <f>State_Fossil_All_Mapping_SEDS!BA30/State_Fossil_All_Mapping_SEDS!$BB30</f>
        <v>0</v>
      </c>
    </row>
    <row r="3" ht="15.75" customHeight="1">
      <c r="A3" s="34">
        <v>2.0</v>
      </c>
      <c r="B3" s="34">
        <f>State_Fossil_All_Mapping_SEDS!C31/State_Fossil_All_Mapping_SEDS!$BB31</f>
        <v>0</v>
      </c>
      <c r="C3" s="34">
        <f>State_Fossil_All_Mapping_SEDS!D31/State_Fossil_All_Mapping_SEDS!$BB31</f>
        <v>0</v>
      </c>
      <c r="D3" s="34">
        <f>State_Fossil_All_Mapping_SEDS!E31/State_Fossil_All_Mapping_SEDS!$BB31</f>
        <v>0</v>
      </c>
      <c r="E3" s="34">
        <f>State_Fossil_All_Mapping_SEDS!F31/State_Fossil_All_Mapping_SEDS!$BB31</f>
        <v>0</v>
      </c>
      <c r="F3" s="34">
        <f>State_Fossil_All_Mapping_SEDS!G31/State_Fossil_All_Mapping_SEDS!$BB31</f>
        <v>0</v>
      </c>
      <c r="G3" s="34">
        <f>State_Fossil_All_Mapping_SEDS!H31/State_Fossil_All_Mapping_SEDS!$BB31</f>
        <v>0</v>
      </c>
      <c r="H3" s="34">
        <f>State_Fossil_All_Mapping_SEDS!I31/State_Fossil_All_Mapping_SEDS!$BB31</f>
        <v>0</v>
      </c>
      <c r="I3" s="34">
        <f>State_Fossil_All_Mapping_SEDS!J31/State_Fossil_All_Mapping_SEDS!$BB31</f>
        <v>0</v>
      </c>
      <c r="J3" s="34">
        <f>State_Fossil_All_Mapping_SEDS!K31/State_Fossil_All_Mapping_SEDS!$BB31</f>
        <v>0</v>
      </c>
      <c r="K3" s="34">
        <f>State_Fossil_All_Mapping_SEDS!L31/State_Fossil_All_Mapping_SEDS!$BB31</f>
        <v>0</v>
      </c>
      <c r="L3" s="34">
        <f>State_Fossil_All_Mapping_SEDS!M31/State_Fossil_All_Mapping_SEDS!$BB31</f>
        <v>0</v>
      </c>
      <c r="M3" s="34">
        <f>State_Fossil_All_Mapping_SEDS!N31/State_Fossil_All_Mapping_SEDS!$BB31</f>
        <v>0</v>
      </c>
      <c r="N3" s="34">
        <f>State_Fossil_All_Mapping_SEDS!O31/State_Fossil_All_Mapping_SEDS!$BB31</f>
        <v>0</v>
      </c>
      <c r="O3" s="34">
        <f>State_Fossil_All_Mapping_SEDS!P31/State_Fossil_All_Mapping_SEDS!$BB31</f>
        <v>0</v>
      </c>
      <c r="P3" s="34">
        <f>State_Fossil_All_Mapping_SEDS!Q31/State_Fossil_All_Mapping_SEDS!$BB31</f>
        <v>0</v>
      </c>
      <c r="Q3" s="34">
        <f>State_Fossil_All_Mapping_SEDS!R31/State_Fossil_All_Mapping_SEDS!$BB31</f>
        <v>0</v>
      </c>
      <c r="R3" s="34">
        <f>State_Fossil_All_Mapping_SEDS!S31/State_Fossil_All_Mapping_SEDS!$BB31</f>
        <v>0</v>
      </c>
      <c r="S3" s="34">
        <f>State_Fossil_All_Mapping_SEDS!T31/State_Fossil_All_Mapping_SEDS!$BB31</f>
        <v>0</v>
      </c>
      <c r="T3" s="34">
        <f>State_Fossil_All_Mapping_SEDS!U31/State_Fossil_All_Mapping_SEDS!$BB31</f>
        <v>0</v>
      </c>
      <c r="U3" s="34">
        <f>State_Fossil_All_Mapping_SEDS!V31/State_Fossil_All_Mapping_SEDS!$BB31</f>
        <v>0</v>
      </c>
      <c r="V3" s="34">
        <f>State_Fossil_All_Mapping_SEDS!W31/State_Fossil_All_Mapping_SEDS!$BB31</f>
        <v>0</v>
      </c>
      <c r="W3" s="34">
        <f>State_Fossil_All_Mapping_SEDS!X31/State_Fossil_All_Mapping_SEDS!$BB31</f>
        <v>0</v>
      </c>
      <c r="X3" s="34">
        <f>State_Fossil_All_Mapping_SEDS!Y31/State_Fossil_All_Mapping_SEDS!$BB31</f>
        <v>0</v>
      </c>
      <c r="Y3" s="34">
        <f>State_Fossil_All_Mapping_SEDS!Z31/State_Fossil_All_Mapping_SEDS!$BB31</f>
        <v>0</v>
      </c>
      <c r="Z3" s="34">
        <f>State_Fossil_All_Mapping_SEDS!AA31/State_Fossil_All_Mapping_SEDS!$BB31</f>
        <v>0</v>
      </c>
      <c r="AA3" s="34">
        <f>State_Fossil_All_Mapping_SEDS!AB31/State_Fossil_All_Mapping_SEDS!$BB31</f>
        <v>0</v>
      </c>
      <c r="AB3" s="34">
        <f>State_Fossil_All_Mapping_SEDS!AC31/State_Fossil_All_Mapping_SEDS!$BB31</f>
        <v>0</v>
      </c>
      <c r="AC3" s="34">
        <f>State_Fossil_All_Mapping_SEDS!AD31/State_Fossil_All_Mapping_SEDS!$BB31</f>
        <v>0</v>
      </c>
      <c r="AD3" s="34">
        <f>State_Fossil_All_Mapping_SEDS!AE31/State_Fossil_All_Mapping_SEDS!$BB31</f>
        <v>0</v>
      </c>
      <c r="AE3" s="34">
        <f>State_Fossil_All_Mapping_SEDS!AF31/State_Fossil_All_Mapping_SEDS!$BB31</f>
        <v>0</v>
      </c>
      <c r="AF3" s="34">
        <f>State_Fossil_All_Mapping_SEDS!AG31/State_Fossil_All_Mapping_SEDS!$BB31</f>
        <v>0.1187015504</v>
      </c>
      <c r="AG3" s="34">
        <f>State_Fossil_All_Mapping_SEDS!AH31/State_Fossil_All_Mapping_SEDS!$BB31</f>
        <v>0</v>
      </c>
      <c r="AH3" s="34">
        <f>State_Fossil_All_Mapping_SEDS!AI31/State_Fossil_All_Mapping_SEDS!$BB31</f>
        <v>0.5019379845</v>
      </c>
      <c r="AI3" s="34">
        <f>State_Fossil_All_Mapping_SEDS!AJ31/State_Fossil_All_Mapping_SEDS!$BB31</f>
        <v>0</v>
      </c>
      <c r="AJ3" s="34">
        <f>State_Fossil_All_Mapping_SEDS!AK31/State_Fossil_All_Mapping_SEDS!$BB31</f>
        <v>0</v>
      </c>
      <c r="AK3" s="34">
        <f>State_Fossil_All_Mapping_SEDS!AL31/State_Fossil_All_Mapping_SEDS!$BB31</f>
        <v>0</v>
      </c>
      <c r="AL3" s="34">
        <f>State_Fossil_All_Mapping_SEDS!AM31/State_Fossil_All_Mapping_SEDS!$BB31</f>
        <v>0</v>
      </c>
      <c r="AM3" s="34">
        <f>State_Fossil_All_Mapping_SEDS!AN31/State_Fossil_All_Mapping_SEDS!$BB31</f>
        <v>0</v>
      </c>
      <c r="AN3" s="34">
        <f>State_Fossil_All_Mapping_SEDS!AO31/State_Fossil_All_Mapping_SEDS!$BB31</f>
        <v>0.3793604651</v>
      </c>
      <c r="AO3" s="34">
        <f>State_Fossil_All_Mapping_SEDS!AP31/State_Fossil_All_Mapping_SEDS!$BB31</f>
        <v>0</v>
      </c>
      <c r="AP3" s="34">
        <f>State_Fossil_All_Mapping_SEDS!AQ31/State_Fossil_All_Mapping_SEDS!$BB31</f>
        <v>0</v>
      </c>
      <c r="AQ3" s="34">
        <f>State_Fossil_All_Mapping_SEDS!AR31/State_Fossil_All_Mapping_SEDS!$BB31</f>
        <v>0</v>
      </c>
      <c r="AR3" s="34">
        <f>State_Fossil_All_Mapping_SEDS!AS31/State_Fossil_All_Mapping_SEDS!$BB31</f>
        <v>0</v>
      </c>
      <c r="AS3" s="34">
        <f>State_Fossil_All_Mapping_SEDS!AT31/State_Fossil_All_Mapping_SEDS!$BB31</f>
        <v>0</v>
      </c>
      <c r="AT3" s="34">
        <f>State_Fossil_All_Mapping_SEDS!AU31/State_Fossil_All_Mapping_SEDS!$BB31</f>
        <v>0</v>
      </c>
      <c r="AU3" s="34">
        <f>State_Fossil_All_Mapping_SEDS!AV31/State_Fossil_All_Mapping_SEDS!$BB31</f>
        <v>0</v>
      </c>
      <c r="AV3" s="34">
        <f>State_Fossil_All_Mapping_SEDS!AW31/State_Fossil_All_Mapping_SEDS!$BB31</f>
        <v>0</v>
      </c>
      <c r="AW3" s="34">
        <f>State_Fossil_All_Mapping_SEDS!AX31/State_Fossil_All_Mapping_SEDS!$BB31</f>
        <v>0</v>
      </c>
      <c r="AX3" s="34">
        <f>State_Fossil_All_Mapping_SEDS!AY31/State_Fossil_All_Mapping_SEDS!$BB31</f>
        <v>0</v>
      </c>
      <c r="AY3" s="34">
        <f>State_Fossil_All_Mapping_SEDS!AZ31/State_Fossil_All_Mapping_SEDS!$BB31</f>
        <v>0</v>
      </c>
      <c r="AZ3" s="34">
        <f>State_Fossil_All_Mapping_SEDS!BA31/State_Fossil_All_Mapping_SEDS!$BB31</f>
        <v>0</v>
      </c>
    </row>
    <row r="4" ht="15.75" customHeight="1">
      <c r="A4" s="34">
        <v>3.0</v>
      </c>
      <c r="B4" s="34">
        <f>State_Fossil_All_Mapping_SEDS!C32/State_Fossil_All_Mapping_SEDS!$BB32</f>
        <v>0</v>
      </c>
      <c r="C4" s="34">
        <f>State_Fossil_All_Mapping_SEDS!D32/State_Fossil_All_Mapping_SEDS!$BB32</f>
        <v>0</v>
      </c>
      <c r="D4" s="34">
        <f>State_Fossil_All_Mapping_SEDS!E32/State_Fossil_All_Mapping_SEDS!$BB32</f>
        <v>0</v>
      </c>
      <c r="E4" s="34">
        <f>State_Fossil_All_Mapping_SEDS!F32/State_Fossil_All_Mapping_SEDS!$BB32</f>
        <v>0</v>
      </c>
      <c r="F4" s="34">
        <f>State_Fossil_All_Mapping_SEDS!G32/State_Fossil_All_Mapping_SEDS!$BB32</f>
        <v>0</v>
      </c>
      <c r="G4" s="34">
        <f>State_Fossil_All_Mapping_SEDS!H32/State_Fossil_All_Mapping_SEDS!$BB32</f>
        <v>0</v>
      </c>
      <c r="H4" s="34">
        <f>State_Fossil_All_Mapping_SEDS!I32/State_Fossil_All_Mapping_SEDS!$BB32</f>
        <v>0</v>
      </c>
      <c r="I4" s="34">
        <f>State_Fossil_All_Mapping_SEDS!J32/State_Fossil_All_Mapping_SEDS!$BB32</f>
        <v>0</v>
      </c>
      <c r="J4" s="34">
        <f>State_Fossil_All_Mapping_SEDS!K32/State_Fossil_All_Mapping_SEDS!$BB32</f>
        <v>0</v>
      </c>
      <c r="K4" s="34">
        <f>State_Fossil_All_Mapping_SEDS!L32/State_Fossil_All_Mapping_SEDS!$BB32</f>
        <v>0</v>
      </c>
      <c r="L4" s="34">
        <f>State_Fossil_All_Mapping_SEDS!M32/State_Fossil_All_Mapping_SEDS!$BB32</f>
        <v>0</v>
      </c>
      <c r="M4" s="34">
        <f>State_Fossil_All_Mapping_SEDS!N32/State_Fossil_All_Mapping_SEDS!$BB32</f>
        <v>0</v>
      </c>
      <c r="N4" s="34">
        <f>State_Fossil_All_Mapping_SEDS!O32/State_Fossil_All_Mapping_SEDS!$BB32</f>
        <v>0</v>
      </c>
      <c r="O4" s="34">
        <f>State_Fossil_All_Mapping_SEDS!P32/State_Fossil_All_Mapping_SEDS!$BB32</f>
        <v>0.02840909091</v>
      </c>
      <c r="P4" s="34">
        <f>State_Fossil_All_Mapping_SEDS!Q32/State_Fossil_All_Mapping_SEDS!$BB32</f>
        <v>0.06818181818</v>
      </c>
      <c r="Q4" s="34">
        <f>State_Fossil_All_Mapping_SEDS!R32/State_Fossil_All_Mapping_SEDS!$BB32</f>
        <v>0</v>
      </c>
      <c r="R4" s="34">
        <f>State_Fossil_All_Mapping_SEDS!S32/State_Fossil_All_Mapping_SEDS!$BB32</f>
        <v>0</v>
      </c>
      <c r="S4" s="34">
        <f>State_Fossil_All_Mapping_SEDS!T32/State_Fossil_All_Mapping_SEDS!$BB32</f>
        <v>0</v>
      </c>
      <c r="T4" s="34">
        <f>State_Fossil_All_Mapping_SEDS!U32/State_Fossil_All_Mapping_SEDS!$BB32</f>
        <v>0</v>
      </c>
      <c r="U4" s="34">
        <f>State_Fossil_All_Mapping_SEDS!V32/State_Fossil_All_Mapping_SEDS!$BB32</f>
        <v>0</v>
      </c>
      <c r="V4" s="34">
        <f>State_Fossil_All_Mapping_SEDS!W32/State_Fossil_All_Mapping_SEDS!$BB32</f>
        <v>0</v>
      </c>
      <c r="W4" s="34">
        <f>State_Fossil_All_Mapping_SEDS!X32/State_Fossil_All_Mapping_SEDS!$BB32</f>
        <v>0</v>
      </c>
      <c r="X4" s="34">
        <f>State_Fossil_All_Mapping_SEDS!Y32/State_Fossil_All_Mapping_SEDS!$BB32</f>
        <v>0.1761363636</v>
      </c>
      <c r="Y4" s="34">
        <f>State_Fossil_All_Mapping_SEDS!Z32/State_Fossil_All_Mapping_SEDS!$BB32</f>
        <v>0</v>
      </c>
      <c r="Z4" s="34">
        <f>State_Fossil_All_Mapping_SEDS!AA32/State_Fossil_All_Mapping_SEDS!$BB32</f>
        <v>0</v>
      </c>
      <c r="AA4" s="34">
        <f>State_Fossil_All_Mapping_SEDS!AB32/State_Fossil_All_Mapping_SEDS!$BB32</f>
        <v>0</v>
      </c>
      <c r="AB4" s="34">
        <f>State_Fossil_All_Mapping_SEDS!AC32/State_Fossil_All_Mapping_SEDS!$BB32</f>
        <v>0</v>
      </c>
      <c r="AC4" s="34">
        <f>State_Fossil_All_Mapping_SEDS!AD32/State_Fossil_All_Mapping_SEDS!$BB32</f>
        <v>0</v>
      </c>
      <c r="AD4" s="34">
        <f>State_Fossil_All_Mapping_SEDS!AE32/State_Fossil_All_Mapping_SEDS!$BB32</f>
        <v>0</v>
      </c>
      <c r="AE4" s="34">
        <f>State_Fossil_All_Mapping_SEDS!AF32/State_Fossil_All_Mapping_SEDS!$BB32</f>
        <v>0</v>
      </c>
      <c r="AF4" s="34">
        <f>State_Fossil_All_Mapping_SEDS!AG32/State_Fossil_All_Mapping_SEDS!$BB32</f>
        <v>0</v>
      </c>
      <c r="AG4" s="34">
        <f>State_Fossil_All_Mapping_SEDS!AH32/State_Fossil_All_Mapping_SEDS!$BB32</f>
        <v>0</v>
      </c>
      <c r="AH4" s="34">
        <f>State_Fossil_All_Mapping_SEDS!AI32/State_Fossil_All_Mapping_SEDS!$BB32</f>
        <v>0</v>
      </c>
      <c r="AI4" s="34">
        <f>State_Fossil_All_Mapping_SEDS!AJ32/State_Fossil_All_Mapping_SEDS!$BB32</f>
        <v>0</v>
      </c>
      <c r="AJ4" s="34">
        <f>State_Fossil_All_Mapping_SEDS!AK32/State_Fossil_All_Mapping_SEDS!$BB32</f>
        <v>0</v>
      </c>
      <c r="AK4" s="34">
        <f>State_Fossil_All_Mapping_SEDS!AL32/State_Fossil_All_Mapping_SEDS!$BB32</f>
        <v>0.4545454545</v>
      </c>
      <c r="AL4" s="34">
        <f>State_Fossil_All_Mapping_SEDS!AM32/State_Fossil_All_Mapping_SEDS!$BB32</f>
        <v>0</v>
      </c>
      <c r="AM4" s="34">
        <f>State_Fossil_All_Mapping_SEDS!AN32/State_Fossil_All_Mapping_SEDS!$BB32</f>
        <v>0</v>
      </c>
      <c r="AN4" s="34">
        <f>State_Fossil_All_Mapping_SEDS!AO32/State_Fossil_All_Mapping_SEDS!$BB32</f>
        <v>0</v>
      </c>
      <c r="AO4" s="34">
        <f>State_Fossil_All_Mapping_SEDS!AP32/State_Fossil_All_Mapping_SEDS!$BB32</f>
        <v>0</v>
      </c>
      <c r="AP4" s="34">
        <f>State_Fossil_All_Mapping_SEDS!AQ32/State_Fossil_All_Mapping_SEDS!$BB32</f>
        <v>0</v>
      </c>
      <c r="AQ4" s="34">
        <f>State_Fossil_All_Mapping_SEDS!AR32/State_Fossil_All_Mapping_SEDS!$BB32</f>
        <v>0</v>
      </c>
      <c r="AR4" s="34">
        <f>State_Fossil_All_Mapping_SEDS!AS32/State_Fossil_All_Mapping_SEDS!$BB32</f>
        <v>0</v>
      </c>
      <c r="AS4" s="34">
        <f>State_Fossil_All_Mapping_SEDS!AT32/State_Fossil_All_Mapping_SEDS!$BB32</f>
        <v>0</v>
      </c>
      <c r="AT4" s="34">
        <f>State_Fossil_All_Mapping_SEDS!AU32/State_Fossil_All_Mapping_SEDS!$BB32</f>
        <v>0</v>
      </c>
      <c r="AU4" s="34">
        <f>State_Fossil_All_Mapping_SEDS!AV32/State_Fossil_All_Mapping_SEDS!$BB32</f>
        <v>0</v>
      </c>
      <c r="AV4" s="34">
        <f>State_Fossil_All_Mapping_SEDS!AW32/State_Fossil_All_Mapping_SEDS!$BB32</f>
        <v>0</v>
      </c>
      <c r="AW4" s="34">
        <f>State_Fossil_All_Mapping_SEDS!AX32/State_Fossil_All_Mapping_SEDS!$BB32</f>
        <v>0</v>
      </c>
      <c r="AX4" s="34">
        <f>State_Fossil_All_Mapping_SEDS!AY32/State_Fossil_All_Mapping_SEDS!$BB32</f>
        <v>0</v>
      </c>
      <c r="AY4" s="34">
        <f>State_Fossil_All_Mapping_SEDS!AZ32/State_Fossil_All_Mapping_SEDS!$BB32</f>
        <v>0.2727272727</v>
      </c>
      <c r="AZ4" s="34">
        <f>State_Fossil_All_Mapping_SEDS!BA32/State_Fossil_All_Mapping_SEDS!$BB32</f>
        <v>0</v>
      </c>
    </row>
    <row r="5" ht="15.75" customHeight="1">
      <c r="A5" s="34">
        <v>4.0</v>
      </c>
      <c r="B5" s="34">
        <f>State_Fossil_All_Mapping_SEDS!C33/State_Fossil_All_Mapping_SEDS!$BB33</f>
        <v>0</v>
      </c>
      <c r="C5" s="34">
        <f>State_Fossil_All_Mapping_SEDS!D33/State_Fossil_All_Mapping_SEDS!$BB33</f>
        <v>0</v>
      </c>
      <c r="D5" s="34">
        <f>State_Fossil_All_Mapping_SEDS!E33/State_Fossil_All_Mapping_SEDS!$BB33</f>
        <v>0</v>
      </c>
      <c r="E5" s="34">
        <f>State_Fossil_All_Mapping_SEDS!F33/State_Fossil_All_Mapping_SEDS!$BB33</f>
        <v>0</v>
      </c>
      <c r="F5" s="34">
        <f>State_Fossil_All_Mapping_SEDS!G33/State_Fossil_All_Mapping_SEDS!$BB33</f>
        <v>0</v>
      </c>
      <c r="G5" s="34">
        <f>State_Fossil_All_Mapping_SEDS!H33/State_Fossil_All_Mapping_SEDS!$BB33</f>
        <v>0</v>
      </c>
      <c r="H5" s="34">
        <f>State_Fossil_All_Mapping_SEDS!I33/State_Fossil_All_Mapping_SEDS!$BB33</f>
        <v>0</v>
      </c>
      <c r="I5" s="34">
        <f>State_Fossil_All_Mapping_SEDS!J33/State_Fossil_All_Mapping_SEDS!$BB33</f>
        <v>0</v>
      </c>
      <c r="J5" s="34">
        <f>State_Fossil_All_Mapping_SEDS!K33/State_Fossil_All_Mapping_SEDS!$BB33</f>
        <v>0</v>
      </c>
      <c r="K5" s="34">
        <f>State_Fossil_All_Mapping_SEDS!L33/State_Fossil_All_Mapping_SEDS!$BB33</f>
        <v>0</v>
      </c>
      <c r="L5" s="34">
        <f>State_Fossil_All_Mapping_SEDS!M33/State_Fossil_All_Mapping_SEDS!$BB33</f>
        <v>0</v>
      </c>
      <c r="M5" s="34">
        <f>State_Fossil_All_Mapping_SEDS!N33/State_Fossil_All_Mapping_SEDS!$BB33</f>
        <v>0</v>
      </c>
      <c r="N5" s="34">
        <f>State_Fossil_All_Mapping_SEDS!O33/State_Fossil_All_Mapping_SEDS!$BB33</f>
        <v>0</v>
      </c>
      <c r="O5" s="34">
        <f>State_Fossil_All_Mapping_SEDS!P33/State_Fossil_All_Mapping_SEDS!$BB33</f>
        <v>0</v>
      </c>
      <c r="P5" s="34">
        <f>State_Fossil_All_Mapping_SEDS!Q33/State_Fossil_All_Mapping_SEDS!$BB33</f>
        <v>0</v>
      </c>
      <c r="Q5" s="34">
        <f>State_Fossil_All_Mapping_SEDS!R33/State_Fossil_All_Mapping_SEDS!$BB33</f>
        <v>0.1184210526</v>
      </c>
      <c r="R5" s="34">
        <f>State_Fossil_All_Mapping_SEDS!S33/State_Fossil_All_Mapping_SEDS!$BB33</f>
        <v>0</v>
      </c>
      <c r="S5" s="34">
        <f>State_Fossil_All_Mapping_SEDS!T33/State_Fossil_All_Mapping_SEDS!$BB33</f>
        <v>0</v>
      </c>
      <c r="T5" s="34">
        <f>State_Fossil_All_Mapping_SEDS!U33/State_Fossil_All_Mapping_SEDS!$BB33</f>
        <v>0</v>
      </c>
      <c r="U5" s="34">
        <f>State_Fossil_All_Mapping_SEDS!V33/State_Fossil_All_Mapping_SEDS!$BB33</f>
        <v>0</v>
      </c>
      <c r="V5" s="34">
        <f>State_Fossil_All_Mapping_SEDS!W33/State_Fossil_All_Mapping_SEDS!$BB33</f>
        <v>0</v>
      </c>
      <c r="W5" s="34">
        <f>State_Fossil_All_Mapping_SEDS!X33/State_Fossil_All_Mapping_SEDS!$BB33</f>
        <v>0</v>
      </c>
      <c r="X5" s="34">
        <f>State_Fossil_All_Mapping_SEDS!Y33/State_Fossil_All_Mapping_SEDS!$BB33</f>
        <v>0</v>
      </c>
      <c r="Y5" s="34">
        <f>State_Fossil_All_Mapping_SEDS!Z33/State_Fossil_All_Mapping_SEDS!$BB33</f>
        <v>0.6447368421</v>
      </c>
      <c r="Z5" s="34">
        <f>State_Fossil_All_Mapping_SEDS!AA33/State_Fossil_All_Mapping_SEDS!$BB33</f>
        <v>0</v>
      </c>
      <c r="AA5" s="34">
        <f>State_Fossil_All_Mapping_SEDS!AB33/State_Fossil_All_Mapping_SEDS!$BB33</f>
        <v>0.02631578947</v>
      </c>
      <c r="AB5" s="34">
        <f>State_Fossil_All_Mapping_SEDS!AC33/State_Fossil_All_Mapping_SEDS!$BB33</f>
        <v>0</v>
      </c>
      <c r="AC5" s="34">
        <f>State_Fossil_All_Mapping_SEDS!AD33/State_Fossil_All_Mapping_SEDS!$BB33</f>
        <v>0.01315789474</v>
      </c>
      <c r="AD5" s="34">
        <f>State_Fossil_All_Mapping_SEDS!AE33/State_Fossil_All_Mapping_SEDS!$BB33</f>
        <v>0</v>
      </c>
      <c r="AE5" s="34">
        <f>State_Fossil_All_Mapping_SEDS!AF33/State_Fossil_All_Mapping_SEDS!$BB33</f>
        <v>0</v>
      </c>
      <c r="AF5" s="34">
        <f>State_Fossil_All_Mapping_SEDS!AG33/State_Fossil_All_Mapping_SEDS!$BB33</f>
        <v>0</v>
      </c>
      <c r="AG5" s="34">
        <f>State_Fossil_All_Mapping_SEDS!AH33/State_Fossil_All_Mapping_SEDS!$BB33</f>
        <v>0</v>
      </c>
      <c r="AH5" s="34">
        <f>State_Fossil_All_Mapping_SEDS!AI33/State_Fossil_All_Mapping_SEDS!$BB33</f>
        <v>0</v>
      </c>
      <c r="AI5" s="34">
        <f>State_Fossil_All_Mapping_SEDS!AJ33/State_Fossil_All_Mapping_SEDS!$BB33</f>
        <v>0</v>
      </c>
      <c r="AJ5" s="34">
        <f>State_Fossil_All_Mapping_SEDS!AK33/State_Fossil_All_Mapping_SEDS!$BB33</f>
        <v>0.1184210526</v>
      </c>
      <c r="AK5" s="34">
        <f>State_Fossil_All_Mapping_SEDS!AL33/State_Fossil_All_Mapping_SEDS!$BB33</f>
        <v>0</v>
      </c>
      <c r="AL5" s="34">
        <f>State_Fossil_All_Mapping_SEDS!AM33/State_Fossil_All_Mapping_SEDS!$BB33</f>
        <v>0</v>
      </c>
      <c r="AM5" s="34">
        <f>State_Fossil_All_Mapping_SEDS!AN33/State_Fossil_All_Mapping_SEDS!$BB33</f>
        <v>0</v>
      </c>
      <c r="AN5" s="34">
        <f>State_Fossil_All_Mapping_SEDS!AO33/State_Fossil_All_Mapping_SEDS!$BB33</f>
        <v>0</v>
      </c>
      <c r="AO5" s="34">
        <f>State_Fossil_All_Mapping_SEDS!AP33/State_Fossil_All_Mapping_SEDS!$BB33</f>
        <v>0</v>
      </c>
      <c r="AP5" s="34">
        <f>State_Fossil_All_Mapping_SEDS!AQ33/State_Fossil_All_Mapping_SEDS!$BB33</f>
        <v>0</v>
      </c>
      <c r="AQ5" s="34">
        <f>State_Fossil_All_Mapping_SEDS!AR33/State_Fossil_All_Mapping_SEDS!$BB33</f>
        <v>0.07894736842</v>
      </c>
      <c r="AR5" s="34">
        <f>State_Fossil_All_Mapping_SEDS!AS33/State_Fossil_All_Mapping_SEDS!$BB33</f>
        <v>0</v>
      </c>
      <c r="AS5" s="34">
        <f>State_Fossil_All_Mapping_SEDS!AT33/State_Fossil_All_Mapping_SEDS!$BB33</f>
        <v>0</v>
      </c>
      <c r="AT5" s="34">
        <f>State_Fossil_All_Mapping_SEDS!AU33/State_Fossil_All_Mapping_SEDS!$BB33</f>
        <v>0</v>
      </c>
      <c r="AU5" s="34">
        <f>State_Fossil_All_Mapping_SEDS!AV33/State_Fossil_All_Mapping_SEDS!$BB33</f>
        <v>0</v>
      </c>
      <c r="AV5" s="34">
        <f>State_Fossil_All_Mapping_SEDS!AW33/State_Fossil_All_Mapping_SEDS!$BB33</f>
        <v>0</v>
      </c>
      <c r="AW5" s="34">
        <f>State_Fossil_All_Mapping_SEDS!AX33/State_Fossil_All_Mapping_SEDS!$BB33</f>
        <v>0</v>
      </c>
      <c r="AX5" s="34">
        <f>State_Fossil_All_Mapping_SEDS!AY33/State_Fossil_All_Mapping_SEDS!$BB33</f>
        <v>0</v>
      </c>
      <c r="AY5" s="34">
        <f>State_Fossil_All_Mapping_SEDS!AZ33/State_Fossil_All_Mapping_SEDS!$BB33</f>
        <v>0</v>
      </c>
      <c r="AZ5" s="34">
        <f>State_Fossil_All_Mapping_SEDS!BA33/State_Fossil_All_Mapping_SEDS!$BB33</f>
        <v>0</v>
      </c>
    </row>
    <row r="6" ht="15.75" customHeight="1">
      <c r="A6" s="34">
        <v>5.0</v>
      </c>
      <c r="B6" s="34">
        <f>State_Fossil_All_Mapping_SEDS!C34/State_Fossil_All_Mapping_SEDS!$BB34</f>
        <v>0</v>
      </c>
      <c r="C6" s="34">
        <f>State_Fossil_All_Mapping_SEDS!D34/State_Fossil_All_Mapping_SEDS!$BB34</f>
        <v>0</v>
      </c>
      <c r="D6" s="34">
        <f>State_Fossil_All_Mapping_SEDS!E34/State_Fossil_All_Mapping_SEDS!$BB34</f>
        <v>0</v>
      </c>
      <c r="E6" s="34">
        <f>State_Fossil_All_Mapping_SEDS!F34/State_Fossil_All_Mapping_SEDS!$BB34</f>
        <v>0</v>
      </c>
      <c r="F6" s="34">
        <f>State_Fossil_All_Mapping_SEDS!G34/State_Fossil_All_Mapping_SEDS!$BB34</f>
        <v>0</v>
      </c>
      <c r="G6" s="34">
        <f>State_Fossil_All_Mapping_SEDS!H34/State_Fossil_All_Mapping_SEDS!$BB34</f>
        <v>0</v>
      </c>
      <c r="H6" s="34">
        <f>State_Fossil_All_Mapping_SEDS!I34/State_Fossil_All_Mapping_SEDS!$BB34</f>
        <v>0</v>
      </c>
      <c r="I6" s="34">
        <f>State_Fossil_All_Mapping_SEDS!J34/State_Fossil_All_Mapping_SEDS!$BB34</f>
        <v>0.06631299735</v>
      </c>
      <c r="J6" s="34">
        <f>State_Fossil_All_Mapping_SEDS!K34/State_Fossil_All_Mapping_SEDS!$BB34</f>
        <v>0.01591511936</v>
      </c>
      <c r="K6" s="34">
        <f>State_Fossil_All_Mapping_SEDS!L34/State_Fossil_All_Mapping_SEDS!$BB34</f>
        <v>0.002652519894</v>
      </c>
      <c r="L6" s="34">
        <f>State_Fossil_All_Mapping_SEDS!M34/State_Fossil_All_Mapping_SEDS!$BB34</f>
        <v>0.002652519894</v>
      </c>
      <c r="M6" s="34">
        <f>State_Fossil_All_Mapping_SEDS!N34/State_Fossil_All_Mapping_SEDS!$BB34</f>
        <v>0</v>
      </c>
      <c r="N6" s="34">
        <f>State_Fossil_All_Mapping_SEDS!O34/State_Fossil_All_Mapping_SEDS!$BB34</f>
        <v>0</v>
      </c>
      <c r="O6" s="34">
        <f>State_Fossil_All_Mapping_SEDS!P34/State_Fossil_All_Mapping_SEDS!$BB34</f>
        <v>0</v>
      </c>
      <c r="P6" s="34">
        <f>State_Fossil_All_Mapping_SEDS!Q34/State_Fossil_All_Mapping_SEDS!$BB34</f>
        <v>0</v>
      </c>
      <c r="Q6" s="34">
        <f>State_Fossil_All_Mapping_SEDS!R34/State_Fossil_All_Mapping_SEDS!$BB34</f>
        <v>0</v>
      </c>
      <c r="R6" s="34">
        <f>State_Fossil_All_Mapping_SEDS!S34/State_Fossil_All_Mapping_SEDS!$BB34</f>
        <v>0</v>
      </c>
      <c r="S6" s="34">
        <f>State_Fossil_All_Mapping_SEDS!T34/State_Fossil_All_Mapping_SEDS!$BB34</f>
        <v>0</v>
      </c>
      <c r="T6" s="34">
        <f>State_Fossil_All_Mapping_SEDS!U34/State_Fossil_All_Mapping_SEDS!$BB34</f>
        <v>0</v>
      </c>
      <c r="U6" s="34">
        <f>State_Fossil_All_Mapping_SEDS!V34/State_Fossil_All_Mapping_SEDS!$BB34</f>
        <v>0</v>
      </c>
      <c r="V6" s="34">
        <f>State_Fossil_All_Mapping_SEDS!W34/State_Fossil_All_Mapping_SEDS!$BB34</f>
        <v>0.3872679045</v>
      </c>
      <c r="W6" s="34">
        <f>State_Fossil_All_Mapping_SEDS!X34/State_Fossil_All_Mapping_SEDS!$BB34</f>
        <v>0</v>
      </c>
      <c r="X6" s="34">
        <f>State_Fossil_All_Mapping_SEDS!Y34/State_Fossil_All_Mapping_SEDS!$BB34</f>
        <v>0</v>
      </c>
      <c r="Y6" s="34">
        <f>State_Fossil_All_Mapping_SEDS!Z34/State_Fossil_All_Mapping_SEDS!$BB34</f>
        <v>0</v>
      </c>
      <c r="Z6" s="34">
        <f>State_Fossil_All_Mapping_SEDS!AA34/State_Fossil_All_Mapping_SEDS!$BB34</f>
        <v>0</v>
      </c>
      <c r="AA6" s="34">
        <f>State_Fossil_All_Mapping_SEDS!AB34/State_Fossil_All_Mapping_SEDS!$BB34</f>
        <v>0</v>
      </c>
      <c r="AB6" s="34">
        <f>State_Fossil_All_Mapping_SEDS!AC34/State_Fossil_All_Mapping_SEDS!$BB34</f>
        <v>0</v>
      </c>
      <c r="AC6" s="34">
        <f>State_Fossil_All_Mapping_SEDS!AD34/State_Fossil_All_Mapping_SEDS!$BB34</f>
        <v>0</v>
      </c>
      <c r="AD6" s="34">
        <f>State_Fossil_All_Mapping_SEDS!AE34/State_Fossil_All_Mapping_SEDS!$BB34</f>
        <v>0</v>
      </c>
      <c r="AE6" s="34">
        <f>State_Fossil_All_Mapping_SEDS!AF34/State_Fossil_All_Mapping_SEDS!$BB34</f>
        <v>0</v>
      </c>
      <c r="AF6" s="34">
        <f>State_Fossil_All_Mapping_SEDS!AG34/State_Fossil_All_Mapping_SEDS!$BB34</f>
        <v>0</v>
      </c>
      <c r="AG6" s="34">
        <f>State_Fossil_All_Mapping_SEDS!AH34/State_Fossil_All_Mapping_SEDS!$BB34</f>
        <v>0</v>
      </c>
      <c r="AH6" s="34">
        <f>State_Fossil_All_Mapping_SEDS!AI34/State_Fossil_All_Mapping_SEDS!$BB34</f>
        <v>0</v>
      </c>
      <c r="AI6" s="34">
        <f>State_Fossil_All_Mapping_SEDS!AJ34/State_Fossil_All_Mapping_SEDS!$BB34</f>
        <v>0.1458885942</v>
      </c>
      <c r="AJ6" s="34">
        <f>State_Fossil_All_Mapping_SEDS!AK34/State_Fossil_All_Mapping_SEDS!$BB34</f>
        <v>0</v>
      </c>
      <c r="AK6" s="34">
        <f>State_Fossil_All_Mapping_SEDS!AL34/State_Fossil_All_Mapping_SEDS!$BB34</f>
        <v>0</v>
      </c>
      <c r="AL6" s="34">
        <f>State_Fossil_All_Mapping_SEDS!AM34/State_Fossil_All_Mapping_SEDS!$BB34</f>
        <v>0</v>
      </c>
      <c r="AM6" s="34">
        <f>State_Fossil_All_Mapping_SEDS!AN34/State_Fossil_All_Mapping_SEDS!$BB34</f>
        <v>0</v>
      </c>
      <c r="AN6" s="34">
        <f>State_Fossil_All_Mapping_SEDS!AO34/State_Fossil_All_Mapping_SEDS!$BB34</f>
        <v>0</v>
      </c>
      <c r="AO6" s="34">
        <f>State_Fossil_All_Mapping_SEDS!AP34/State_Fossil_All_Mapping_SEDS!$BB34</f>
        <v>0</v>
      </c>
      <c r="AP6" s="34">
        <f>State_Fossil_All_Mapping_SEDS!AQ34/State_Fossil_All_Mapping_SEDS!$BB34</f>
        <v>0.01326259947</v>
      </c>
      <c r="AQ6" s="34">
        <f>State_Fossil_All_Mapping_SEDS!AR34/State_Fossil_All_Mapping_SEDS!$BB34</f>
        <v>0</v>
      </c>
      <c r="AR6" s="34">
        <f>State_Fossil_All_Mapping_SEDS!AS34/State_Fossil_All_Mapping_SEDS!$BB34</f>
        <v>0</v>
      </c>
      <c r="AS6" s="34">
        <f>State_Fossil_All_Mapping_SEDS!AT34/State_Fossil_All_Mapping_SEDS!$BB34</f>
        <v>0</v>
      </c>
      <c r="AT6" s="34">
        <f>State_Fossil_All_Mapping_SEDS!AU34/State_Fossil_All_Mapping_SEDS!$BB34</f>
        <v>0</v>
      </c>
      <c r="AU6" s="34">
        <f>State_Fossil_All_Mapping_SEDS!AV34/State_Fossil_All_Mapping_SEDS!$BB34</f>
        <v>0</v>
      </c>
      <c r="AV6" s="34">
        <f>State_Fossil_All_Mapping_SEDS!AW34/State_Fossil_All_Mapping_SEDS!$BB34</f>
        <v>0.3289124668</v>
      </c>
      <c r="AW6" s="34">
        <f>State_Fossil_All_Mapping_SEDS!AX34/State_Fossil_All_Mapping_SEDS!$BB34</f>
        <v>0</v>
      </c>
      <c r="AX6" s="34">
        <f>State_Fossil_All_Mapping_SEDS!AY34/State_Fossil_All_Mapping_SEDS!$BB34</f>
        <v>0.03713527851</v>
      </c>
      <c r="AY6" s="34">
        <f>State_Fossil_All_Mapping_SEDS!AZ34/State_Fossil_All_Mapping_SEDS!$BB34</f>
        <v>0</v>
      </c>
      <c r="AZ6" s="34">
        <f>State_Fossil_All_Mapping_SEDS!BA34/State_Fossil_All_Mapping_SEDS!$BB34</f>
        <v>0</v>
      </c>
    </row>
    <row r="7" ht="15.75" customHeight="1">
      <c r="A7" s="34">
        <v>6.0</v>
      </c>
      <c r="B7" s="34">
        <f>State_Fossil_All_Mapping_SEDS!C35/State_Fossil_All_Mapping_SEDS!$BB35</f>
        <v>0.1</v>
      </c>
      <c r="C7" s="34">
        <f>State_Fossil_All_Mapping_SEDS!D35/State_Fossil_All_Mapping_SEDS!$BB35</f>
        <v>0</v>
      </c>
      <c r="D7" s="34">
        <f>State_Fossil_All_Mapping_SEDS!E35/State_Fossil_All_Mapping_SEDS!$BB35</f>
        <v>0</v>
      </c>
      <c r="E7" s="34">
        <f>State_Fossil_All_Mapping_SEDS!F35/State_Fossil_All_Mapping_SEDS!$BB35</f>
        <v>0</v>
      </c>
      <c r="F7" s="34">
        <f>State_Fossil_All_Mapping_SEDS!G35/State_Fossil_All_Mapping_SEDS!$BB35</f>
        <v>0</v>
      </c>
      <c r="G7" s="34">
        <f>State_Fossil_All_Mapping_SEDS!H35/State_Fossil_All_Mapping_SEDS!$BB35</f>
        <v>0</v>
      </c>
      <c r="H7" s="34">
        <f>State_Fossil_All_Mapping_SEDS!I35/State_Fossil_All_Mapping_SEDS!$BB35</f>
        <v>0</v>
      </c>
      <c r="I7" s="34">
        <f>State_Fossil_All_Mapping_SEDS!J35/State_Fossil_All_Mapping_SEDS!$BB35</f>
        <v>0</v>
      </c>
      <c r="J7" s="34">
        <f>State_Fossil_All_Mapping_SEDS!K35/State_Fossil_All_Mapping_SEDS!$BB35</f>
        <v>0</v>
      </c>
      <c r="K7" s="34">
        <f>State_Fossil_All_Mapping_SEDS!L35/State_Fossil_All_Mapping_SEDS!$BB35</f>
        <v>0</v>
      </c>
      <c r="L7" s="34">
        <f>State_Fossil_All_Mapping_SEDS!M35/State_Fossil_All_Mapping_SEDS!$BB35</f>
        <v>0</v>
      </c>
      <c r="M7" s="34">
        <f>State_Fossil_All_Mapping_SEDS!N35/State_Fossil_All_Mapping_SEDS!$BB35</f>
        <v>0</v>
      </c>
      <c r="N7" s="34">
        <f>State_Fossil_All_Mapping_SEDS!O35/State_Fossil_All_Mapping_SEDS!$BB35</f>
        <v>0</v>
      </c>
      <c r="O7" s="34">
        <f>State_Fossil_All_Mapping_SEDS!P35/State_Fossil_All_Mapping_SEDS!$BB35</f>
        <v>0</v>
      </c>
      <c r="P7" s="34">
        <f>State_Fossil_All_Mapping_SEDS!Q35/State_Fossil_All_Mapping_SEDS!$BB35</f>
        <v>0</v>
      </c>
      <c r="Q7" s="34">
        <f>State_Fossil_All_Mapping_SEDS!R35/State_Fossil_All_Mapping_SEDS!$BB35</f>
        <v>0</v>
      </c>
      <c r="R7" s="34">
        <f>State_Fossil_All_Mapping_SEDS!S35/State_Fossil_All_Mapping_SEDS!$BB35</f>
        <v>0</v>
      </c>
      <c r="S7" s="34">
        <f>State_Fossil_All_Mapping_SEDS!T35/State_Fossil_All_Mapping_SEDS!$BB35</f>
        <v>0.6</v>
      </c>
      <c r="T7" s="34">
        <f>State_Fossil_All_Mapping_SEDS!U35/State_Fossil_All_Mapping_SEDS!$BB35</f>
        <v>0</v>
      </c>
      <c r="U7" s="34">
        <f>State_Fossil_All_Mapping_SEDS!V35/State_Fossil_All_Mapping_SEDS!$BB35</f>
        <v>0</v>
      </c>
      <c r="V7" s="34">
        <f>State_Fossil_All_Mapping_SEDS!W35/State_Fossil_All_Mapping_SEDS!$BB35</f>
        <v>0</v>
      </c>
      <c r="W7" s="34">
        <f>State_Fossil_All_Mapping_SEDS!X35/State_Fossil_All_Mapping_SEDS!$BB35</f>
        <v>0</v>
      </c>
      <c r="X7" s="34">
        <f>State_Fossil_All_Mapping_SEDS!Y35/State_Fossil_All_Mapping_SEDS!$BB35</f>
        <v>0</v>
      </c>
      <c r="Y7" s="34">
        <f>State_Fossil_All_Mapping_SEDS!Z35/State_Fossil_All_Mapping_SEDS!$BB35</f>
        <v>0</v>
      </c>
      <c r="Z7" s="34">
        <f>State_Fossil_All_Mapping_SEDS!AA35/State_Fossil_All_Mapping_SEDS!$BB35</f>
        <v>0</v>
      </c>
      <c r="AA7" s="34">
        <f>State_Fossil_All_Mapping_SEDS!AB35/State_Fossil_All_Mapping_SEDS!$BB35</f>
        <v>0</v>
      </c>
      <c r="AB7" s="34">
        <f>State_Fossil_All_Mapping_SEDS!AC35/State_Fossil_All_Mapping_SEDS!$BB35</f>
        <v>0</v>
      </c>
      <c r="AC7" s="34">
        <f>State_Fossil_All_Mapping_SEDS!AD35/State_Fossil_All_Mapping_SEDS!$BB35</f>
        <v>0</v>
      </c>
      <c r="AD7" s="34">
        <f>State_Fossil_All_Mapping_SEDS!AE35/State_Fossil_All_Mapping_SEDS!$BB35</f>
        <v>0</v>
      </c>
      <c r="AE7" s="34">
        <f>State_Fossil_All_Mapping_SEDS!AF35/State_Fossil_All_Mapping_SEDS!$BB35</f>
        <v>0</v>
      </c>
      <c r="AF7" s="34">
        <f>State_Fossil_All_Mapping_SEDS!AG35/State_Fossil_All_Mapping_SEDS!$BB35</f>
        <v>0</v>
      </c>
      <c r="AG7" s="34">
        <f>State_Fossil_All_Mapping_SEDS!AH35/State_Fossil_All_Mapping_SEDS!$BB35</f>
        <v>0</v>
      </c>
      <c r="AH7" s="34">
        <f>State_Fossil_All_Mapping_SEDS!AI35/State_Fossil_All_Mapping_SEDS!$BB35</f>
        <v>0</v>
      </c>
      <c r="AI7" s="34">
        <f>State_Fossil_All_Mapping_SEDS!AJ35/State_Fossil_All_Mapping_SEDS!$BB35</f>
        <v>0</v>
      </c>
      <c r="AJ7" s="34">
        <f>State_Fossil_All_Mapping_SEDS!AK35/State_Fossil_All_Mapping_SEDS!$BB35</f>
        <v>0</v>
      </c>
      <c r="AK7" s="34">
        <f>State_Fossil_All_Mapping_SEDS!AL35/State_Fossil_All_Mapping_SEDS!$BB35</f>
        <v>0</v>
      </c>
      <c r="AL7" s="34">
        <f>State_Fossil_All_Mapping_SEDS!AM35/State_Fossil_All_Mapping_SEDS!$BB35</f>
        <v>0</v>
      </c>
      <c r="AM7" s="34">
        <f>State_Fossil_All_Mapping_SEDS!AN35/State_Fossil_All_Mapping_SEDS!$BB35</f>
        <v>0</v>
      </c>
      <c r="AN7" s="34">
        <f>State_Fossil_All_Mapping_SEDS!AO35/State_Fossil_All_Mapping_SEDS!$BB35</f>
        <v>0</v>
      </c>
      <c r="AO7" s="34">
        <f>State_Fossil_All_Mapping_SEDS!AP35/State_Fossil_All_Mapping_SEDS!$BB35</f>
        <v>0</v>
      </c>
      <c r="AP7" s="34">
        <f>State_Fossil_All_Mapping_SEDS!AQ35/State_Fossil_All_Mapping_SEDS!$BB35</f>
        <v>0</v>
      </c>
      <c r="AQ7" s="34">
        <f>State_Fossil_All_Mapping_SEDS!AR35/State_Fossil_All_Mapping_SEDS!$BB35</f>
        <v>0</v>
      </c>
      <c r="AR7" s="34">
        <f>State_Fossil_All_Mapping_SEDS!AS35/State_Fossil_All_Mapping_SEDS!$BB35</f>
        <v>0.3</v>
      </c>
      <c r="AS7" s="34">
        <f>State_Fossil_All_Mapping_SEDS!AT35/State_Fossil_All_Mapping_SEDS!$BB35</f>
        <v>0</v>
      </c>
      <c r="AT7" s="34">
        <f>State_Fossil_All_Mapping_SEDS!AU35/State_Fossil_All_Mapping_SEDS!$BB35</f>
        <v>0</v>
      </c>
      <c r="AU7" s="34">
        <f>State_Fossil_All_Mapping_SEDS!AV35/State_Fossil_All_Mapping_SEDS!$BB35</f>
        <v>0</v>
      </c>
      <c r="AV7" s="34">
        <f>State_Fossil_All_Mapping_SEDS!AW35/State_Fossil_All_Mapping_SEDS!$BB35</f>
        <v>0</v>
      </c>
      <c r="AW7" s="34">
        <f>State_Fossil_All_Mapping_SEDS!AX35/State_Fossil_All_Mapping_SEDS!$BB35</f>
        <v>0</v>
      </c>
      <c r="AX7" s="34">
        <f>State_Fossil_All_Mapping_SEDS!AY35/State_Fossil_All_Mapping_SEDS!$BB35</f>
        <v>0</v>
      </c>
      <c r="AY7" s="34">
        <f>State_Fossil_All_Mapping_SEDS!AZ35/State_Fossil_All_Mapping_SEDS!$BB35</f>
        <v>0</v>
      </c>
      <c r="AZ7" s="34">
        <f>State_Fossil_All_Mapping_SEDS!BA35/State_Fossil_All_Mapping_SEDS!$BB35</f>
        <v>0</v>
      </c>
    </row>
    <row r="8" ht="15.75" customHeight="1">
      <c r="A8" s="34">
        <v>7.0</v>
      </c>
      <c r="B8" s="32">
        <v>0.0</v>
      </c>
      <c r="C8" s="32">
        <v>0.0</v>
      </c>
      <c r="D8" s="32">
        <v>0.0</v>
      </c>
      <c r="E8" s="32">
        <v>1.0</v>
      </c>
      <c r="F8" s="32">
        <v>0.0</v>
      </c>
      <c r="G8" s="32">
        <v>0.0</v>
      </c>
      <c r="H8" s="32">
        <v>0.0</v>
      </c>
      <c r="I8" s="32">
        <v>0.0</v>
      </c>
      <c r="J8" s="32">
        <v>0.0</v>
      </c>
      <c r="K8" s="32">
        <v>0.0</v>
      </c>
      <c r="L8" s="32">
        <v>0.0</v>
      </c>
      <c r="M8" s="32">
        <v>0.0</v>
      </c>
      <c r="N8" s="32">
        <v>0.0</v>
      </c>
      <c r="O8" s="32">
        <v>0.0</v>
      </c>
      <c r="P8" s="32">
        <v>0.0</v>
      </c>
      <c r="Q8" s="32">
        <v>0.0</v>
      </c>
      <c r="R8" s="32">
        <v>0.0</v>
      </c>
      <c r="S8" s="32">
        <v>0.0</v>
      </c>
      <c r="T8" s="32">
        <v>0.0</v>
      </c>
      <c r="U8" s="32">
        <v>0.0</v>
      </c>
      <c r="V8" s="32">
        <v>0.0</v>
      </c>
      <c r="W8" s="32">
        <v>0.0</v>
      </c>
      <c r="X8" s="32">
        <v>0.0</v>
      </c>
      <c r="Y8" s="32">
        <v>0.0</v>
      </c>
      <c r="Z8" s="32">
        <v>0.0</v>
      </c>
      <c r="AA8" s="32">
        <v>0.0</v>
      </c>
      <c r="AB8" s="32">
        <v>0.0</v>
      </c>
      <c r="AC8" s="32">
        <v>0.0</v>
      </c>
      <c r="AD8" s="32">
        <v>0.0</v>
      </c>
      <c r="AE8" s="32">
        <v>0.0</v>
      </c>
      <c r="AF8" s="32">
        <v>0.0</v>
      </c>
      <c r="AG8" s="32">
        <v>0.0</v>
      </c>
      <c r="AH8" s="32">
        <v>0.0</v>
      </c>
      <c r="AI8" s="32">
        <v>0.0</v>
      </c>
      <c r="AJ8" s="32">
        <v>0.0</v>
      </c>
      <c r="AK8" s="32">
        <v>0.0</v>
      </c>
      <c r="AL8" s="32">
        <v>0.0</v>
      </c>
      <c r="AM8" s="32">
        <v>0.0</v>
      </c>
      <c r="AN8" s="32">
        <v>0.0</v>
      </c>
      <c r="AO8" s="32">
        <v>0.0</v>
      </c>
      <c r="AP8" s="32">
        <v>0.0</v>
      </c>
      <c r="AQ8" s="32">
        <v>0.0</v>
      </c>
      <c r="AR8" s="32">
        <v>0.0</v>
      </c>
      <c r="AS8" s="32">
        <v>0.0</v>
      </c>
      <c r="AT8" s="32">
        <v>0.0</v>
      </c>
      <c r="AU8" s="32">
        <v>0.0</v>
      </c>
      <c r="AV8" s="32">
        <v>0.0</v>
      </c>
      <c r="AW8" s="32">
        <v>0.0</v>
      </c>
      <c r="AX8" s="32">
        <v>0.0</v>
      </c>
      <c r="AY8" s="32">
        <v>0.0</v>
      </c>
      <c r="AZ8" s="32">
        <v>0.0</v>
      </c>
    </row>
    <row r="9" ht="15.75" customHeight="1">
      <c r="A9" s="34">
        <v>8.0</v>
      </c>
      <c r="B9" s="34">
        <f>State_Fossil_All_Mapping_SEDS!C37/State_Fossil_All_Mapping_SEDS!$BB37</f>
        <v>0</v>
      </c>
      <c r="C9" s="34">
        <f>State_Fossil_All_Mapping_SEDS!D37/State_Fossil_All_Mapping_SEDS!$BB37</f>
        <v>0</v>
      </c>
      <c r="D9" s="34">
        <f>State_Fossil_All_Mapping_SEDS!E37/State_Fossil_All_Mapping_SEDS!$BB37</f>
        <v>0</v>
      </c>
      <c r="E9" s="34">
        <f>State_Fossil_All_Mapping_SEDS!F37/State_Fossil_All_Mapping_SEDS!$BB37</f>
        <v>0</v>
      </c>
      <c r="F9" s="34">
        <f>State_Fossil_All_Mapping_SEDS!G37/State_Fossil_All_Mapping_SEDS!$BB37</f>
        <v>0</v>
      </c>
      <c r="G9" s="34">
        <f>State_Fossil_All_Mapping_SEDS!H37/State_Fossil_All_Mapping_SEDS!$BB37</f>
        <v>0.05555555556</v>
      </c>
      <c r="H9" s="34">
        <f>State_Fossil_All_Mapping_SEDS!I37/State_Fossil_All_Mapping_SEDS!$BB37</f>
        <v>0</v>
      </c>
      <c r="I9" s="34">
        <f>State_Fossil_All_Mapping_SEDS!J37/State_Fossil_All_Mapping_SEDS!$BB37</f>
        <v>0</v>
      </c>
      <c r="J9" s="34">
        <f>State_Fossil_All_Mapping_SEDS!K37/State_Fossil_All_Mapping_SEDS!$BB37</f>
        <v>0</v>
      </c>
      <c r="K9" s="34">
        <f>State_Fossil_All_Mapping_SEDS!L37/State_Fossil_All_Mapping_SEDS!$BB37</f>
        <v>0</v>
      </c>
      <c r="L9" s="34">
        <f>State_Fossil_All_Mapping_SEDS!M37/State_Fossil_All_Mapping_SEDS!$BB37</f>
        <v>0</v>
      </c>
      <c r="M9" s="34">
        <f>State_Fossil_All_Mapping_SEDS!N37/State_Fossil_All_Mapping_SEDS!$BB37</f>
        <v>0</v>
      </c>
      <c r="N9" s="34">
        <f>State_Fossil_All_Mapping_SEDS!O37/State_Fossil_All_Mapping_SEDS!$BB37</f>
        <v>0.4444444444</v>
      </c>
      <c r="O9" s="34">
        <f>State_Fossil_All_Mapping_SEDS!P37/State_Fossil_All_Mapping_SEDS!$BB37</f>
        <v>0</v>
      </c>
      <c r="P9" s="34">
        <f>State_Fossil_All_Mapping_SEDS!Q37/State_Fossil_All_Mapping_SEDS!$BB37</f>
        <v>0</v>
      </c>
      <c r="Q9" s="34">
        <f>State_Fossil_All_Mapping_SEDS!R37/State_Fossil_All_Mapping_SEDS!$BB37</f>
        <v>0</v>
      </c>
      <c r="R9" s="34">
        <f>State_Fossil_All_Mapping_SEDS!S37/State_Fossil_All_Mapping_SEDS!$BB37</f>
        <v>0</v>
      </c>
      <c r="S9" s="34">
        <f>State_Fossil_All_Mapping_SEDS!T37/State_Fossil_All_Mapping_SEDS!$BB37</f>
        <v>0</v>
      </c>
      <c r="T9" s="34">
        <f>State_Fossil_All_Mapping_SEDS!U37/State_Fossil_All_Mapping_SEDS!$BB37</f>
        <v>0</v>
      </c>
      <c r="U9" s="34">
        <f>State_Fossil_All_Mapping_SEDS!V37/State_Fossil_All_Mapping_SEDS!$BB37</f>
        <v>0</v>
      </c>
      <c r="V9" s="34">
        <f>State_Fossil_All_Mapping_SEDS!W37/State_Fossil_All_Mapping_SEDS!$BB37</f>
        <v>0</v>
      </c>
      <c r="W9" s="34">
        <f>State_Fossil_All_Mapping_SEDS!X37/State_Fossil_All_Mapping_SEDS!$BB37</f>
        <v>0</v>
      </c>
      <c r="X9" s="34">
        <f>State_Fossil_All_Mapping_SEDS!Y37/State_Fossil_All_Mapping_SEDS!$BB37</f>
        <v>0</v>
      </c>
      <c r="Y9" s="34">
        <f>State_Fossil_All_Mapping_SEDS!Z37/State_Fossil_All_Mapping_SEDS!$BB37</f>
        <v>0</v>
      </c>
      <c r="Z9" s="34">
        <f>State_Fossil_All_Mapping_SEDS!AA37/State_Fossil_All_Mapping_SEDS!$BB37</f>
        <v>0</v>
      </c>
      <c r="AA9" s="34">
        <f>State_Fossil_All_Mapping_SEDS!AB37/State_Fossil_All_Mapping_SEDS!$BB37</f>
        <v>0</v>
      </c>
      <c r="AB9" s="34">
        <f>State_Fossil_All_Mapping_SEDS!AC37/State_Fossil_All_Mapping_SEDS!$BB37</f>
        <v>0.2222222222</v>
      </c>
      <c r="AC9" s="34">
        <f>State_Fossil_All_Mapping_SEDS!AD37/State_Fossil_All_Mapping_SEDS!$BB37</f>
        <v>0</v>
      </c>
      <c r="AD9" s="34">
        <f>State_Fossil_All_Mapping_SEDS!AE37/State_Fossil_All_Mapping_SEDS!$BB37</f>
        <v>0.1666666667</v>
      </c>
      <c r="AE9" s="34">
        <f>State_Fossil_All_Mapping_SEDS!AF37/State_Fossil_All_Mapping_SEDS!$BB37</f>
        <v>0</v>
      </c>
      <c r="AF9" s="34">
        <f>State_Fossil_All_Mapping_SEDS!AG37/State_Fossil_All_Mapping_SEDS!$BB37</f>
        <v>0</v>
      </c>
      <c r="AG9" s="34">
        <f>State_Fossil_All_Mapping_SEDS!AH37/State_Fossil_All_Mapping_SEDS!$BB37</f>
        <v>0</v>
      </c>
      <c r="AH9" s="34">
        <f>State_Fossil_All_Mapping_SEDS!AI37/State_Fossil_All_Mapping_SEDS!$BB37</f>
        <v>0</v>
      </c>
      <c r="AI9" s="34">
        <f>State_Fossil_All_Mapping_SEDS!AJ37/State_Fossil_All_Mapping_SEDS!$BB37</f>
        <v>0</v>
      </c>
      <c r="AJ9" s="34">
        <f>State_Fossil_All_Mapping_SEDS!AK37/State_Fossil_All_Mapping_SEDS!$BB37</f>
        <v>0</v>
      </c>
      <c r="AK9" s="34">
        <f>State_Fossil_All_Mapping_SEDS!AL37/State_Fossil_All_Mapping_SEDS!$BB37</f>
        <v>0</v>
      </c>
      <c r="AL9" s="34">
        <f>State_Fossil_All_Mapping_SEDS!AM37/State_Fossil_All_Mapping_SEDS!$BB37</f>
        <v>0</v>
      </c>
      <c r="AM9" s="34">
        <f>State_Fossil_All_Mapping_SEDS!AN37/State_Fossil_All_Mapping_SEDS!$BB37</f>
        <v>0</v>
      </c>
      <c r="AN9" s="34">
        <f>State_Fossil_All_Mapping_SEDS!AO37/State_Fossil_All_Mapping_SEDS!$BB37</f>
        <v>0</v>
      </c>
      <c r="AO9" s="34">
        <f>State_Fossil_All_Mapping_SEDS!AP37/State_Fossil_All_Mapping_SEDS!$BB37</f>
        <v>0</v>
      </c>
      <c r="AP9" s="34">
        <f>State_Fossil_All_Mapping_SEDS!AQ37/State_Fossil_All_Mapping_SEDS!$BB37</f>
        <v>0</v>
      </c>
      <c r="AQ9" s="34">
        <f>State_Fossil_All_Mapping_SEDS!AR37/State_Fossil_All_Mapping_SEDS!$BB37</f>
        <v>0</v>
      </c>
      <c r="AR9" s="34">
        <f>State_Fossil_All_Mapping_SEDS!AS37/State_Fossil_All_Mapping_SEDS!$BB37</f>
        <v>0</v>
      </c>
      <c r="AS9" s="34">
        <f>State_Fossil_All_Mapping_SEDS!AT37/State_Fossil_All_Mapping_SEDS!$BB37</f>
        <v>0</v>
      </c>
      <c r="AT9" s="34">
        <f>State_Fossil_All_Mapping_SEDS!AU37/State_Fossil_All_Mapping_SEDS!$BB37</f>
        <v>0.05555555556</v>
      </c>
      <c r="AU9" s="34">
        <f>State_Fossil_All_Mapping_SEDS!AV37/State_Fossil_All_Mapping_SEDS!$BB37</f>
        <v>0</v>
      </c>
      <c r="AV9" s="34">
        <f>State_Fossil_All_Mapping_SEDS!AW37/State_Fossil_All_Mapping_SEDS!$BB37</f>
        <v>0</v>
      </c>
      <c r="AW9" s="34">
        <f>State_Fossil_All_Mapping_SEDS!AX37/State_Fossil_All_Mapping_SEDS!$BB37</f>
        <v>0</v>
      </c>
      <c r="AX9" s="34">
        <f>State_Fossil_All_Mapping_SEDS!AY37/State_Fossil_All_Mapping_SEDS!$BB37</f>
        <v>0</v>
      </c>
      <c r="AY9" s="34">
        <f>State_Fossil_All_Mapping_SEDS!AZ37/State_Fossil_All_Mapping_SEDS!$BB37</f>
        <v>0</v>
      </c>
      <c r="AZ9" s="34">
        <f>State_Fossil_All_Mapping_SEDS!BA37/State_Fossil_All_Mapping_SEDS!$BB37</f>
        <v>0.05555555556</v>
      </c>
    </row>
    <row r="10" ht="15.75" customHeight="1">
      <c r="A10" s="34">
        <v>9.0</v>
      </c>
      <c r="B10" s="34">
        <f>State_Fossil_All_Mapping_SEDS!C38/State_Fossil_All_Mapping_SEDS!$BB38</f>
        <v>0</v>
      </c>
      <c r="C10" s="34">
        <f>State_Fossil_All_Mapping_SEDS!D38/State_Fossil_All_Mapping_SEDS!$BB38</f>
        <v>0.5220588235</v>
      </c>
      <c r="D10" s="34">
        <f>State_Fossil_All_Mapping_SEDS!E38/State_Fossil_All_Mapping_SEDS!$BB38</f>
        <v>0</v>
      </c>
      <c r="E10" s="34">
        <f>State_Fossil_All_Mapping_SEDS!F38/State_Fossil_All_Mapping_SEDS!$BB38</f>
        <v>0</v>
      </c>
      <c r="F10" s="34">
        <f>State_Fossil_All_Mapping_SEDS!G38/State_Fossil_All_Mapping_SEDS!$BB38</f>
        <v>0.03676470588</v>
      </c>
      <c r="G10" s="34">
        <f>State_Fossil_All_Mapping_SEDS!H38/State_Fossil_All_Mapping_SEDS!$BB38</f>
        <v>0</v>
      </c>
      <c r="H10" s="34">
        <f>State_Fossil_All_Mapping_SEDS!I38/State_Fossil_All_Mapping_SEDS!$BB38</f>
        <v>0</v>
      </c>
      <c r="I10" s="34">
        <f>State_Fossil_All_Mapping_SEDS!J38/State_Fossil_All_Mapping_SEDS!$BB38</f>
        <v>0</v>
      </c>
      <c r="J10" s="34">
        <f>State_Fossil_All_Mapping_SEDS!K38/State_Fossil_All_Mapping_SEDS!$BB38</f>
        <v>0</v>
      </c>
      <c r="K10" s="34">
        <f>State_Fossil_All_Mapping_SEDS!L38/State_Fossil_All_Mapping_SEDS!$BB38</f>
        <v>0</v>
      </c>
      <c r="L10" s="34">
        <f>State_Fossil_All_Mapping_SEDS!M38/State_Fossil_All_Mapping_SEDS!$BB38</f>
        <v>0</v>
      </c>
      <c r="M10" s="34">
        <f>State_Fossil_All_Mapping_SEDS!N38/State_Fossil_All_Mapping_SEDS!$BB38</f>
        <v>0</v>
      </c>
      <c r="N10" s="34">
        <f>State_Fossil_All_Mapping_SEDS!O38/State_Fossil_All_Mapping_SEDS!$BB38</f>
        <v>0</v>
      </c>
      <c r="O10" s="34">
        <f>State_Fossil_All_Mapping_SEDS!P38/State_Fossil_All_Mapping_SEDS!$BB38</f>
        <v>0</v>
      </c>
      <c r="P10" s="34">
        <f>State_Fossil_All_Mapping_SEDS!Q38/State_Fossil_All_Mapping_SEDS!$BB38</f>
        <v>0</v>
      </c>
      <c r="Q10" s="34">
        <f>State_Fossil_All_Mapping_SEDS!R38/State_Fossil_All_Mapping_SEDS!$BB38</f>
        <v>0</v>
      </c>
      <c r="R10" s="34">
        <f>State_Fossil_All_Mapping_SEDS!S38/State_Fossil_All_Mapping_SEDS!$BB38</f>
        <v>0</v>
      </c>
      <c r="S10" s="34">
        <f>State_Fossil_All_Mapping_SEDS!T38/State_Fossil_All_Mapping_SEDS!$BB38</f>
        <v>0</v>
      </c>
      <c r="T10" s="34">
        <f>State_Fossil_All_Mapping_SEDS!U38/State_Fossil_All_Mapping_SEDS!$BB38</f>
        <v>0</v>
      </c>
      <c r="U10" s="34">
        <f>State_Fossil_All_Mapping_SEDS!V38/State_Fossil_All_Mapping_SEDS!$BB38</f>
        <v>0</v>
      </c>
      <c r="V10" s="34">
        <f>State_Fossil_All_Mapping_SEDS!W38/State_Fossil_All_Mapping_SEDS!$BB38</f>
        <v>0</v>
      </c>
      <c r="W10" s="34">
        <f>State_Fossil_All_Mapping_SEDS!X38/State_Fossil_All_Mapping_SEDS!$BB38</f>
        <v>0</v>
      </c>
      <c r="X10" s="34">
        <f>State_Fossil_All_Mapping_SEDS!Y38/State_Fossil_All_Mapping_SEDS!$BB38</f>
        <v>0</v>
      </c>
      <c r="Y10" s="34">
        <f>State_Fossil_All_Mapping_SEDS!Z38/State_Fossil_All_Mapping_SEDS!$BB38</f>
        <v>0</v>
      </c>
      <c r="Z10" s="34">
        <f>State_Fossil_All_Mapping_SEDS!AA38/State_Fossil_All_Mapping_SEDS!$BB38</f>
        <v>0</v>
      </c>
      <c r="AA10" s="34">
        <f>State_Fossil_All_Mapping_SEDS!AB38/State_Fossil_All_Mapping_SEDS!$BB38</f>
        <v>0</v>
      </c>
      <c r="AB10" s="34">
        <f>State_Fossil_All_Mapping_SEDS!AC38/State_Fossil_All_Mapping_SEDS!$BB38</f>
        <v>0</v>
      </c>
      <c r="AC10" s="34">
        <f>State_Fossil_All_Mapping_SEDS!AD38/State_Fossil_All_Mapping_SEDS!$BB38</f>
        <v>0</v>
      </c>
      <c r="AD10" s="34">
        <f>State_Fossil_All_Mapping_SEDS!AE38/State_Fossil_All_Mapping_SEDS!$BB38</f>
        <v>0</v>
      </c>
      <c r="AE10" s="34">
        <f>State_Fossil_All_Mapping_SEDS!AF38/State_Fossil_All_Mapping_SEDS!$BB38</f>
        <v>0</v>
      </c>
      <c r="AF10" s="34">
        <f>State_Fossil_All_Mapping_SEDS!AG38/State_Fossil_All_Mapping_SEDS!$BB38</f>
        <v>0</v>
      </c>
      <c r="AG10" s="34">
        <f>State_Fossil_All_Mapping_SEDS!AH38/State_Fossil_All_Mapping_SEDS!$BB38</f>
        <v>0</v>
      </c>
      <c r="AH10" s="34">
        <f>State_Fossil_All_Mapping_SEDS!AI38/State_Fossil_All_Mapping_SEDS!$BB38</f>
        <v>0</v>
      </c>
      <c r="AI10" s="34">
        <f>State_Fossil_All_Mapping_SEDS!AJ38/State_Fossil_All_Mapping_SEDS!$BB38</f>
        <v>0</v>
      </c>
      <c r="AJ10" s="34">
        <f>State_Fossil_All_Mapping_SEDS!AK38/State_Fossil_All_Mapping_SEDS!$BB38</f>
        <v>0</v>
      </c>
      <c r="AK10" s="34">
        <f>State_Fossil_All_Mapping_SEDS!AL38/State_Fossil_All_Mapping_SEDS!$BB38</f>
        <v>0</v>
      </c>
      <c r="AL10" s="34">
        <f>State_Fossil_All_Mapping_SEDS!AM38/State_Fossil_All_Mapping_SEDS!$BB38</f>
        <v>0</v>
      </c>
      <c r="AM10" s="34">
        <f>State_Fossil_All_Mapping_SEDS!AN38/State_Fossil_All_Mapping_SEDS!$BB38</f>
        <v>0.1397058824</v>
      </c>
      <c r="AN10" s="34">
        <f>State_Fossil_All_Mapping_SEDS!AO38/State_Fossil_All_Mapping_SEDS!$BB38</f>
        <v>0</v>
      </c>
      <c r="AO10" s="34">
        <f>State_Fossil_All_Mapping_SEDS!AP38/State_Fossil_All_Mapping_SEDS!$BB38</f>
        <v>0</v>
      </c>
      <c r="AP10" s="34">
        <f>State_Fossil_All_Mapping_SEDS!AQ38/State_Fossil_All_Mapping_SEDS!$BB38</f>
        <v>0</v>
      </c>
      <c r="AQ10" s="34">
        <f>State_Fossil_All_Mapping_SEDS!AR38/State_Fossil_All_Mapping_SEDS!$BB38</f>
        <v>0</v>
      </c>
      <c r="AR10" s="34">
        <f>State_Fossil_All_Mapping_SEDS!AS38/State_Fossil_All_Mapping_SEDS!$BB38</f>
        <v>0</v>
      </c>
      <c r="AS10" s="34">
        <f>State_Fossil_All_Mapping_SEDS!AT38/State_Fossil_All_Mapping_SEDS!$BB38</f>
        <v>0</v>
      </c>
      <c r="AT10" s="34">
        <f>State_Fossil_All_Mapping_SEDS!AU38/State_Fossil_All_Mapping_SEDS!$BB38</f>
        <v>0</v>
      </c>
      <c r="AU10" s="34">
        <f>State_Fossil_All_Mapping_SEDS!AV38/State_Fossil_All_Mapping_SEDS!$BB38</f>
        <v>0</v>
      </c>
      <c r="AV10" s="34">
        <f>State_Fossil_All_Mapping_SEDS!AW38/State_Fossil_All_Mapping_SEDS!$BB38</f>
        <v>0</v>
      </c>
      <c r="AW10" s="34">
        <f>State_Fossil_All_Mapping_SEDS!AX38/State_Fossil_All_Mapping_SEDS!$BB38</f>
        <v>0.3014705882</v>
      </c>
      <c r="AX10" s="34">
        <f>State_Fossil_All_Mapping_SEDS!AY38/State_Fossil_All_Mapping_SEDS!$BB38</f>
        <v>0</v>
      </c>
      <c r="AY10" s="34">
        <f>State_Fossil_All_Mapping_SEDS!AZ38/State_Fossil_All_Mapping_SEDS!$BB38</f>
        <v>0</v>
      </c>
      <c r="AZ10" s="34">
        <f>State_Fossil_All_Mapping_SEDS!BA38/State_Fossil_All_Mapping_SEDS!$BB38</f>
        <v>0</v>
      </c>
    </row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</sheetData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45" t="s">
        <v>94</v>
      </c>
      <c r="B1" s="45" t="s">
        <v>1994</v>
      </c>
      <c r="C1" s="45" t="s">
        <v>2062</v>
      </c>
      <c r="D1" s="45" t="s">
        <v>2063</v>
      </c>
      <c r="E1" s="45" t="s">
        <v>2079</v>
      </c>
      <c r="F1" s="45" t="s">
        <v>2137</v>
      </c>
      <c r="G1" s="45" t="s">
        <v>2194</v>
      </c>
      <c r="H1" s="45" t="s">
        <v>2250</v>
      </c>
      <c r="I1" s="45" t="s">
        <v>2259</v>
      </c>
      <c r="J1" s="45" t="s">
        <v>2263</v>
      </c>
      <c r="K1" s="45" t="s">
        <v>2264</v>
      </c>
      <c r="L1" s="45" t="s">
        <v>2314</v>
      </c>
      <c r="M1" s="45" t="s">
        <v>2423</v>
      </c>
      <c r="N1" s="45" t="s">
        <v>2424</v>
      </c>
      <c r="O1" s="45" t="s">
        <v>2458</v>
      </c>
      <c r="P1" s="45" t="s">
        <v>2513</v>
      </c>
      <c r="Q1" s="45" t="s">
        <v>2555</v>
      </c>
      <c r="R1" s="45" t="s">
        <v>2601</v>
      </c>
      <c r="S1" s="45" t="s">
        <v>2669</v>
      </c>
      <c r="T1" s="45" t="s">
        <v>2725</v>
      </c>
      <c r="U1" s="45" t="s">
        <v>2790</v>
      </c>
      <c r="V1" s="45" t="s">
        <v>2801</v>
      </c>
      <c r="W1" s="45" t="s">
        <v>2819</v>
      </c>
      <c r="X1" s="45" t="s">
        <v>2830</v>
      </c>
      <c r="Y1" s="45" t="s">
        <v>2893</v>
      </c>
      <c r="Z1" s="45" t="s">
        <v>2955</v>
      </c>
      <c r="AA1" s="45" t="s">
        <v>2992</v>
      </c>
      <c r="AB1" s="45" t="s">
        <v>3034</v>
      </c>
      <c r="AC1" s="45" t="s">
        <v>3071</v>
      </c>
      <c r="AD1" s="45" t="s">
        <v>3112</v>
      </c>
      <c r="AE1" s="45" t="s">
        <v>3123</v>
      </c>
      <c r="AF1" s="45" t="s">
        <v>3131</v>
      </c>
      <c r="AG1" s="45" t="s">
        <v>3143</v>
      </c>
      <c r="AH1" s="45" t="s">
        <v>3168</v>
      </c>
      <c r="AI1" s="45" t="s">
        <v>3200</v>
      </c>
      <c r="AJ1" s="45" t="s">
        <v>3265</v>
      </c>
      <c r="AK1" s="45" t="s">
        <v>3297</v>
      </c>
      <c r="AL1" s="45" t="s">
        <v>3333</v>
      </c>
      <c r="AM1" s="45" t="s">
        <v>3376</v>
      </c>
      <c r="AN1" s="45" t="s">
        <v>3393</v>
      </c>
      <c r="AO1" s="45" t="s">
        <v>3427</v>
      </c>
      <c r="AP1" s="45" t="s">
        <v>3430</v>
      </c>
      <c r="AQ1" s="45" t="s">
        <v>3458</v>
      </c>
      <c r="AR1" s="45" t="s">
        <v>3497</v>
      </c>
      <c r="AS1" s="45" t="s">
        <v>3524</v>
      </c>
      <c r="AT1" s="45" t="s">
        <v>3687</v>
      </c>
      <c r="AU1" s="45" t="s">
        <v>3704</v>
      </c>
      <c r="AV1" s="45" t="s">
        <v>3713</v>
      </c>
      <c r="AW1" s="45" t="s">
        <v>3797</v>
      </c>
      <c r="AX1" s="45" t="s">
        <v>3820</v>
      </c>
      <c r="AY1" s="45" t="s">
        <v>3838</v>
      </c>
      <c r="AZ1" s="45" t="s">
        <v>3874</v>
      </c>
    </row>
    <row r="2" ht="15.75" customHeight="1">
      <c r="A2" s="34">
        <v>1.0</v>
      </c>
      <c r="B2" s="34">
        <f>State_Fossil_All_Mapping_SEDS!C43/State_Fossil_All_Mapping_SEDS!$BB43</f>
        <v>0</v>
      </c>
      <c r="C2" s="34">
        <f>State_Fossil_All_Mapping_SEDS!D43/State_Fossil_All_Mapping_SEDS!$BB43</f>
        <v>0</v>
      </c>
      <c r="D2" s="34">
        <f>State_Fossil_All_Mapping_SEDS!E43/State_Fossil_All_Mapping_SEDS!$BB43</f>
        <v>0</v>
      </c>
      <c r="E2" s="34">
        <f>State_Fossil_All_Mapping_SEDS!F43/State_Fossil_All_Mapping_SEDS!$BB43</f>
        <v>0</v>
      </c>
      <c r="F2" s="34">
        <f>State_Fossil_All_Mapping_SEDS!G43/State_Fossil_All_Mapping_SEDS!$BB43</f>
        <v>0</v>
      </c>
      <c r="G2" s="34">
        <f>State_Fossil_All_Mapping_SEDS!H43/State_Fossil_All_Mapping_SEDS!$BB43</f>
        <v>0</v>
      </c>
      <c r="H2" s="34">
        <f>State_Fossil_All_Mapping_SEDS!I43/State_Fossil_All_Mapping_SEDS!$BB43</f>
        <v>0.2264150943</v>
      </c>
      <c r="I2" s="34">
        <f>State_Fossil_All_Mapping_SEDS!J43/State_Fossil_All_Mapping_SEDS!$BB43</f>
        <v>0</v>
      </c>
      <c r="J2" s="34">
        <f>State_Fossil_All_Mapping_SEDS!K43/State_Fossil_All_Mapping_SEDS!$BB43</f>
        <v>0</v>
      </c>
      <c r="K2" s="34">
        <f>State_Fossil_All_Mapping_SEDS!L43/State_Fossil_All_Mapping_SEDS!$BB43</f>
        <v>0</v>
      </c>
      <c r="L2" s="34">
        <f>State_Fossil_All_Mapping_SEDS!M43/State_Fossil_All_Mapping_SEDS!$BB43</f>
        <v>0</v>
      </c>
      <c r="M2" s="34">
        <f>State_Fossil_All_Mapping_SEDS!N43/State_Fossil_All_Mapping_SEDS!$BB43</f>
        <v>0</v>
      </c>
      <c r="N2" s="34">
        <f>State_Fossil_All_Mapping_SEDS!O43/State_Fossil_All_Mapping_SEDS!$BB43</f>
        <v>0</v>
      </c>
      <c r="O2" s="34">
        <f>State_Fossil_All_Mapping_SEDS!P43/State_Fossil_All_Mapping_SEDS!$BB43</f>
        <v>0</v>
      </c>
      <c r="P2" s="34">
        <f>State_Fossil_All_Mapping_SEDS!Q43/State_Fossil_All_Mapping_SEDS!$BB43</f>
        <v>0</v>
      </c>
      <c r="Q2" s="34">
        <f>State_Fossil_All_Mapping_SEDS!R43/State_Fossil_All_Mapping_SEDS!$BB43</f>
        <v>0</v>
      </c>
      <c r="R2" s="34">
        <f>State_Fossil_All_Mapping_SEDS!S43/State_Fossil_All_Mapping_SEDS!$BB43</f>
        <v>0</v>
      </c>
      <c r="S2" s="34">
        <f>State_Fossil_All_Mapping_SEDS!T43/State_Fossil_All_Mapping_SEDS!$BB43</f>
        <v>0</v>
      </c>
      <c r="T2" s="34">
        <f>State_Fossil_All_Mapping_SEDS!U43/State_Fossil_All_Mapping_SEDS!$BB43</f>
        <v>0</v>
      </c>
      <c r="U2" s="34">
        <f>State_Fossil_All_Mapping_SEDS!V43/State_Fossil_All_Mapping_SEDS!$BB43</f>
        <v>0.2099056604</v>
      </c>
      <c r="V2" s="34">
        <f>State_Fossil_All_Mapping_SEDS!W43/State_Fossil_All_Mapping_SEDS!$BB43</f>
        <v>0</v>
      </c>
      <c r="W2" s="34">
        <f>State_Fossil_All_Mapping_SEDS!X43/State_Fossil_All_Mapping_SEDS!$BB43</f>
        <v>0.3113207547</v>
      </c>
      <c r="X2" s="34">
        <f>State_Fossil_All_Mapping_SEDS!Y43/State_Fossil_All_Mapping_SEDS!$BB43</f>
        <v>0</v>
      </c>
      <c r="Y2" s="34">
        <f>State_Fossil_All_Mapping_SEDS!Z43/State_Fossil_All_Mapping_SEDS!$BB43</f>
        <v>0</v>
      </c>
      <c r="Z2" s="34">
        <f>State_Fossil_All_Mapping_SEDS!AA43/State_Fossil_All_Mapping_SEDS!$BB43</f>
        <v>0</v>
      </c>
      <c r="AA2" s="34">
        <f>State_Fossil_All_Mapping_SEDS!AB43/State_Fossil_All_Mapping_SEDS!$BB43</f>
        <v>0</v>
      </c>
      <c r="AB2" s="34">
        <f>State_Fossil_All_Mapping_SEDS!AC43/State_Fossil_All_Mapping_SEDS!$BB43</f>
        <v>0</v>
      </c>
      <c r="AC2" s="34">
        <f>State_Fossil_All_Mapping_SEDS!AD43/State_Fossil_All_Mapping_SEDS!$BB43</f>
        <v>0</v>
      </c>
      <c r="AD2" s="34">
        <f>State_Fossil_All_Mapping_SEDS!AE43/State_Fossil_All_Mapping_SEDS!$BB43</f>
        <v>0</v>
      </c>
      <c r="AE2" s="34">
        <f>State_Fossil_All_Mapping_SEDS!AF43/State_Fossil_All_Mapping_SEDS!$BB43</f>
        <v>0.1108490566</v>
      </c>
      <c r="AF2" s="34">
        <f>State_Fossil_All_Mapping_SEDS!AG43/State_Fossil_All_Mapping_SEDS!$BB43</f>
        <v>0</v>
      </c>
      <c r="AG2" s="34">
        <f>State_Fossil_All_Mapping_SEDS!AH43/State_Fossil_All_Mapping_SEDS!$BB43</f>
        <v>0</v>
      </c>
      <c r="AH2" s="34">
        <f>State_Fossil_All_Mapping_SEDS!AI43/State_Fossil_All_Mapping_SEDS!$BB43</f>
        <v>0</v>
      </c>
      <c r="AI2" s="34">
        <f>State_Fossil_All_Mapping_SEDS!AJ43/State_Fossil_All_Mapping_SEDS!$BB43</f>
        <v>0</v>
      </c>
      <c r="AJ2" s="34">
        <f>State_Fossil_All_Mapping_SEDS!AK43/State_Fossil_All_Mapping_SEDS!$BB43</f>
        <v>0</v>
      </c>
      <c r="AK2" s="34">
        <f>State_Fossil_All_Mapping_SEDS!AL43/State_Fossil_All_Mapping_SEDS!$BB43</f>
        <v>0</v>
      </c>
      <c r="AL2" s="34">
        <f>State_Fossil_All_Mapping_SEDS!AM43/State_Fossil_All_Mapping_SEDS!$BB43</f>
        <v>0</v>
      </c>
      <c r="AM2" s="34">
        <f>State_Fossil_All_Mapping_SEDS!AN43/State_Fossil_All_Mapping_SEDS!$BB43</f>
        <v>0</v>
      </c>
      <c r="AN2" s="34">
        <f>State_Fossil_All_Mapping_SEDS!AO43/State_Fossil_All_Mapping_SEDS!$BB43</f>
        <v>0</v>
      </c>
      <c r="AO2" s="34">
        <f>State_Fossil_All_Mapping_SEDS!AP43/State_Fossil_All_Mapping_SEDS!$BB43</f>
        <v>0.06367924528</v>
      </c>
      <c r="AP2" s="34">
        <f>State_Fossil_All_Mapping_SEDS!AQ43/State_Fossil_All_Mapping_SEDS!$BB43</f>
        <v>0</v>
      </c>
      <c r="AQ2" s="34">
        <f>State_Fossil_All_Mapping_SEDS!AR43/State_Fossil_All_Mapping_SEDS!$BB43</f>
        <v>0</v>
      </c>
      <c r="AR2" s="34">
        <f>State_Fossil_All_Mapping_SEDS!AS43/State_Fossil_All_Mapping_SEDS!$BB43</f>
        <v>0</v>
      </c>
      <c r="AS2" s="34">
        <f>State_Fossil_All_Mapping_SEDS!AT43/State_Fossil_All_Mapping_SEDS!$BB43</f>
        <v>0</v>
      </c>
      <c r="AT2" s="34">
        <f>State_Fossil_All_Mapping_SEDS!AU43/State_Fossil_All_Mapping_SEDS!$BB43</f>
        <v>0</v>
      </c>
      <c r="AU2" s="34">
        <f>State_Fossil_All_Mapping_SEDS!AV43/State_Fossil_All_Mapping_SEDS!$BB43</f>
        <v>0.07783018868</v>
      </c>
      <c r="AV2" s="34">
        <f>State_Fossil_All_Mapping_SEDS!AW43/State_Fossil_All_Mapping_SEDS!$BB43</f>
        <v>0</v>
      </c>
      <c r="AW2" s="34">
        <f>State_Fossil_All_Mapping_SEDS!AX43/State_Fossil_All_Mapping_SEDS!$BB43</f>
        <v>0</v>
      </c>
      <c r="AX2" s="34">
        <f>State_Fossil_All_Mapping_SEDS!AY43/State_Fossil_All_Mapping_SEDS!$BB43</f>
        <v>0</v>
      </c>
      <c r="AY2" s="34">
        <f>State_Fossil_All_Mapping_SEDS!AZ43/State_Fossil_All_Mapping_SEDS!$BB43</f>
        <v>0</v>
      </c>
      <c r="AZ2" s="34">
        <f>State_Fossil_All_Mapping_SEDS!BA43/State_Fossil_All_Mapping_SEDS!$BB43</f>
        <v>0</v>
      </c>
    </row>
    <row r="3" ht="15.75" customHeight="1">
      <c r="A3" s="34">
        <v>2.0</v>
      </c>
      <c r="B3" s="34">
        <f>State_Fossil_All_Mapping_SEDS!C44/State_Fossil_All_Mapping_SEDS!$BB44</f>
        <v>0</v>
      </c>
      <c r="C3" s="34">
        <f>State_Fossil_All_Mapping_SEDS!D44/State_Fossil_All_Mapping_SEDS!$BB44</f>
        <v>0</v>
      </c>
      <c r="D3" s="34">
        <f>State_Fossil_All_Mapping_SEDS!E44/State_Fossil_All_Mapping_SEDS!$BB44</f>
        <v>0</v>
      </c>
      <c r="E3" s="34">
        <f>State_Fossil_All_Mapping_SEDS!F44/State_Fossil_All_Mapping_SEDS!$BB44</f>
        <v>0</v>
      </c>
      <c r="F3" s="34">
        <f>State_Fossil_All_Mapping_SEDS!G44/State_Fossil_All_Mapping_SEDS!$BB44</f>
        <v>0</v>
      </c>
      <c r="G3" s="34">
        <f>State_Fossil_All_Mapping_SEDS!H44/State_Fossil_All_Mapping_SEDS!$BB44</f>
        <v>0</v>
      </c>
      <c r="H3" s="34">
        <f>State_Fossil_All_Mapping_SEDS!I44/State_Fossil_All_Mapping_SEDS!$BB44</f>
        <v>0</v>
      </c>
      <c r="I3" s="34">
        <f>State_Fossil_All_Mapping_SEDS!J44/State_Fossil_All_Mapping_SEDS!$BB44</f>
        <v>0</v>
      </c>
      <c r="J3" s="34">
        <f>State_Fossil_All_Mapping_SEDS!K44/State_Fossil_All_Mapping_SEDS!$BB44</f>
        <v>0</v>
      </c>
      <c r="K3" s="34">
        <f>State_Fossil_All_Mapping_SEDS!L44/State_Fossil_All_Mapping_SEDS!$BB44</f>
        <v>0</v>
      </c>
      <c r="L3" s="34">
        <f>State_Fossil_All_Mapping_SEDS!M44/State_Fossil_All_Mapping_SEDS!$BB44</f>
        <v>0</v>
      </c>
      <c r="M3" s="34">
        <f>State_Fossil_All_Mapping_SEDS!N44/State_Fossil_All_Mapping_SEDS!$BB44</f>
        <v>0</v>
      </c>
      <c r="N3" s="34">
        <f>State_Fossil_All_Mapping_SEDS!O44/State_Fossil_All_Mapping_SEDS!$BB44</f>
        <v>0</v>
      </c>
      <c r="O3" s="34">
        <f>State_Fossil_All_Mapping_SEDS!P44/State_Fossil_All_Mapping_SEDS!$BB44</f>
        <v>0</v>
      </c>
      <c r="P3" s="34">
        <f>State_Fossil_All_Mapping_SEDS!Q44/State_Fossil_All_Mapping_SEDS!$BB44</f>
        <v>0</v>
      </c>
      <c r="Q3" s="34">
        <f>State_Fossil_All_Mapping_SEDS!R44/State_Fossil_All_Mapping_SEDS!$BB44</f>
        <v>0</v>
      </c>
      <c r="R3" s="34">
        <f>State_Fossil_All_Mapping_SEDS!S44/State_Fossil_All_Mapping_SEDS!$BB44</f>
        <v>0</v>
      </c>
      <c r="S3" s="34">
        <f>State_Fossil_All_Mapping_SEDS!T44/State_Fossil_All_Mapping_SEDS!$BB44</f>
        <v>0</v>
      </c>
      <c r="T3" s="34">
        <f>State_Fossil_All_Mapping_SEDS!U44/State_Fossil_All_Mapping_SEDS!$BB44</f>
        <v>0</v>
      </c>
      <c r="U3" s="34">
        <f>State_Fossil_All_Mapping_SEDS!V44/State_Fossil_All_Mapping_SEDS!$BB44</f>
        <v>0</v>
      </c>
      <c r="V3" s="34">
        <f>State_Fossil_All_Mapping_SEDS!W44/State_Fossil_All_Mapping_SEDS!$BB44</f>
        <v>0</v>
      </c>
      <c r="W3" s="34">
        <f>State_Fossil_All_Mapping_SEDS!X44/State_Fossil_All_Mapping_SEDS!$BB44</f>
        <v>0</v>
      </c>
      <c r="X3" s="34">
        <f>State_Fossil_All_Mapping_SEDS!Y44/State_Fossil_All_Mapping_SEDS!$BB44</f>
        <v>0</v>
      </c>
      <c r="Y3" s="34">
        <f>State_Fossil_All_Mapping_SEDS!Z44/State_Fossil_All_Mapping_SEDS!$BB44</f>
        <v>0</v>
      </c>
      <c r="Z3" s="34">
        <f>State_Fossil_All_Mapping_SEDS!AA44/State_Fossil_All_Mapping_SEDS!$BB44</f>
        <v>0</v>
      </c>
      <c r="AA3" s="34">
        <f>State_Fossil_All_Mapping_SEDS!AB44/State_Fossil_All_Mapping_SEDS!$BB44</f>
        <v>0</v>
      </c>
      <c r="AB3" s="34">
        <f>State_Fossil_All_Mapping_SEDS!AC44/State_Fossil_All_Mapping_SEDS!$BB44</f>
        <v>0</v>
      </c>
      <c r="AC3" s="34">
        <f>State_Fossil_All_Mapping_SEDS!AD44/State_Fossil_All_Mapping_SEDS!$BB44</f>
        <v>0</v>
      </c>
      <c r="AD3" s="34">
        <f>State_Fossil_All_Mapping_SEDS!AE44/State_Fossil_All_Mapping_SEDS!$BB44</f>
        <v>0</v>
      </c>
      <c r="AE3" s="34">
        <f>State_Fossil_All_Mapping_SEDS!AF44/State_Fossil_All_Mapping_SEDS!$BB44</f>
        <v>0</v>
      </c>
      <c r="AF3" s="34">
        <f>State_Fossil_All_Mapping_SEDS!AG44/State_Fossil_All_Mapping_SEDS!$BB44</f>
        <v>0.1325611326</v>
      </c>
      <c r="AG3" s="34">
        <f>State_Fossil_All_Mapping_SEDS!AH44/State_Fossil_All_Mapping_SEDS!$BB44</f>
        <v>0</v>
      </c>
      <c r="AH3" s="34">
        <f>State_Fossil_All_Mapping_SEDS!AI44/State_Fossil_All_Mapping_SEDS!$BB44</f>
        <v>0.6267696268</v>
      </c>
      <c r="AI3" s="34">
        <f>State_Fossil_All_Mapping_SEDS!AJ44/State_Fossil_All_Mapping_SEDS!$BB44</f>
        <v>0</v>
      </c>
      <c r="AJ3" s="34">
        <f>State_Fossil_All_Mapping_SEDS!AK44/State_Fossil_All_Mapping_SEDS!$BB44</f>
        <v>0</v>
      </c>
      <c r="AK3" s="34">
        <f>State_Fossil_All_Mapping_SEDS!AL44/State_Fossil_All_Mapping_SEDS!$BB44</f>
        <v>0</v>
      </c>
      <c r="AL3" s="34">
        <f>State_Fossil_All_Mapping_SEDS!AM44/State_Fossil_All_Mapping_SEDS!$BB44</f>
        <v>0</v>
      </c>
      <c r="AM3" s="34">
        <f>State_Fossil_All_Mapping_SEDS!AN44/State_Fossil_All_Mapping_SEDS!$BB44</f>
        <v>0</v>
      </c>
      <c r="AN3" s="34">
        <f>State_Fossil_All_Mapping_SEDS!AO44/State_Fossil_All_Mapping_SEDS!$BB44</f>
        <v>0.2406692407</v>
      </c>
      <c r="AO3" s="34">
        <f>State_Fossil_All_Mapping_SEDS!AP44/State_Fossil_All_Mapping_SEDS!$BB44</f>
        <v>0</v>
      </c>
      <c r="AP3" s="34">
        <f>State_Fossil_All_Mapping_SEDS!AQ44/State_Fossil_All_Mapping_SEDS!$BB44</f>
        <v>0</v>
      </c>
      <c r="AQ3" s="34">
        <f>State_Fossil_All_Mapping_SEDS!AR44/State_Fossil_All_Mapping_SEDS!$BB44</f>
        <v>0</v>
      </c>
      <c r="AR3" s="34">
        <f>State_Fossil_All_Mapping_SEDS!AS44/State_Fossil_All_Mapping_SEDS!$BB44</f>
        <v>0</v>
      </c>
      <c r="AS3" s="34">
        <f>State_Fossil_All_Mapping_SEDS!AT44/State_Fossil_All_Mapping_SEDS!$BB44</f>
        <v>0</v>
      </c>
      <c r="AT3" s="34">
        <f>State_Fossil_All_Mapping_SEDS!AU44/State_Fossil_All_Mapping_SEDS!$BB44</f>
        <v>0</v>
      </c>
      <c r="AU3" s="34">
        <f>State_Fossil_All_Mapping_SEDS!AV44/State_Fossil_All_Mapping_SEDS!$BB44</f>
        <v>0</v>
      </c>
      <c r="AV3" s="34">
        <f>State_Fossil_All_Mapping_SEDS!AW44/State_Fossil_All_Mapping_SEDS!$BB44</f>
        <v>0</v>
      </c>
      <c r="AW3" s="34">
        <f>State_Fossil_All_Mapping_SEDS!AX44/State_Fossil_All_Mapping_SEDS!$BB44</f>
        <v>0</v>
      </c>
      <c r="AX3" s="34">
        <f>State_Fossil_All_Mapping_SEDS!AY44/State_Fossil_All_Mapping_SEDS!$BB44</f>
        <v>0</v>
      </c>
      <c r="AY3" s="34">
        <f>State_Fossil_All_Mapping_SEDS!AZ44/State_Fossil_All_Mapping_SEDS!$BB44</f>
        <v>0</v>
      </c>
      <c r="AZ3" s="34">
        <f>State_Fossil_All_Mapping_SEDS!BA44/State_Fossil_All_Mapping_SEDS!$BB44</f>
        <v>0</v>
      </c>
    </row>
    <row r="4" ht="15.75" customHeight="1">
      <c r="A4" s="34">
        <v>3.0</v>
      </c>
      <c r="B4" s="34">
        <f>State_Fossil_All_Mapping_SEDS!C45/State_Fossil_All_Mapping_SEDS!$BB45</f>
        <v>0</v>
      </c>
      <c r="C4" s="34">
        <f>State_Fossil_All_Mapping_SEDS!D45/State_Fossil_All_Mapping_SEDS!$BB45</f>
        <v>0</v>
      </c>
      <c r="D4" s="34">
        <f>State_Fossil_All_Mapping_SEDS!E45/State_Fossil_All_Mapping_SEDS!$BB45</f>
        <v>0</v>
      </c>
      <c r="E4" s="34">
        <f>State_Fossil_All_Mapping_SEDS!F45/State_Fossil_All_Mapping_SEDS!$BB45</f>
        <v>0</v>
      </c>
      <c r="F4" s="34">
        <f>State_Fossil_All_Mapping_SEDS!G45/State_Fossil_All_Mapping_SEDS!$BB45</f>
        <v>0</v>
      </c>
      <c r="G4" s="34">
        <f>State_Fossil_All_Mapping_SEDS!H45/State_Fossil_All_Mapping_SEDS!$BB45</f>
        <v>0</v>
      </c>
      <c r="H4" s="34">
        <f>State_Fossil_All_Mapping_SEDS!I45/State_Fossil_All_Mapping_SEDS!$BB45</f>
        <v>0</v>
      </c>
      <c r="I4" s="34">
        <f>State_Fossil_All_Mapping_SEDS!J45/State_Fossil_All_Mapping_SEDS!$BB45</f>
        <v>0</v>
      </c>
      <c r="J4" s="34">
        <f>State_Fossil_All_Mapping_SEDS!K45/State_Fossil_All_Mapping_SEDS!$BB45</f>
        <v>0</v>
      </c>
      <c r="K4" s="34">
        <f>State_Fossil_All_Mapping_SEDS!L45/State_Fossil_All_Mapping_SEDS!$BB45</f>
        <v>0</v>
      </c>
      <c r="L4" s="34">
        <f>State_Fossil_All_Mapping_SEDS!M45/State_Fossil_All_Mapping_SEDS!$BB45</f>
        <v>0</v>
      </c>
      <c r="M4" s="34">
        <f>State_Fossil_All_Mapping_SEDS!N45/State_Fossil_All_Mapping_SEDS!$BB45</f>
        <v>0</v>
      </c>
      <c r="N4" s="34">
        <f>State_Fossil_All_Mapping_SEDS!O45/State_Fossil_All_Mapping_SEDS!$BB45</f>
        <v>0</v>
      </c>
      <c r="O4" s="34">
        <f>State_Fossil_All_Mapping_SEDS!P45/State_Fossil_All_Mapping_SEDS!$BB45</f>
        <v>0.1886227545</v>
      </c>
      <c r="P4" s="34">
        <f>State_Fossil_All_Mapping_SEDS!Q45/State_Fossil_All_Mapping_SEDS!$BB45</f>
        <v>0.122754491</v>
      </c>
      <c r="Q4" s="34">
        <f>State_Fossil_All_Mapping_SEDS!R45/State_Fossil_All_Mapping_SEDS!$BB45</f>
        <v>0</v>
      </c>
      <c r="R4" s="34">
        <f>State_Fossil_All_Mapping_SEDS!S45/State_Fossil_All_Mapping_SEDS!$BB45</f>
        <v>0</v>
      </c>
      <c r="S4" s="34">
        <f>State_Fossil_All_Mapping_SEDS!T45/State_Fossil_All_Mapping_SEDS!$BB45</f>
        <v>0</v>
      </c>
      <c r="T4" s="34">
        <f>State_Fossil_All_Mapping_SEDS!U45/State_Fossil_All_Mapping_SEDS!$BB45</f>
        <v>0</v>
      </c>
      <c r="U4" s="34">
        <f>State_Fossil_All_Mapping_SEDS!V45/State_Fossil_All_Mapping_SEDS!$BB45</f>
        <v>0</v>
      </c>
      <c r="V4" s="34">
        <f>State_Fossil_All_Mapping_SEDS!W45/State_Fossil_All_Mapping_SEDS!$BB45</f>
        <v>0</v>
      </c>
      <c r="W4" s="34">
        <f>State_Fossil_All_Mapping_SEDS!X45/State_Fossil_All_Mapping_SEDS!$BB45</f>
        <v>0</v>
      </c>
      <c r="X4" s="34">
        <f>State_Fossil_All_Mapping_SEDS!Y45/State_Fossil_All_Mapping_SEDS!$BB45</f>
        <v>0.2035928144</v>
      </c>
      <c r="Y4" s="34">
        <f>State_Fossil_All_Mapping_SEDS!Z45/State_Fossil_All_Mapping_SEDS!$BB45</f>
        <v>0</v>
      </c>
      <c r="Z4" s="34">
        <f>State_Fossil_All_Mapping_SEDS!AA45/State_Fossil_All_Mapping_SEDS!$BB45</f>
        <v>0</v>
      </c>
      <c r="AA4" s="34">
        <f>State_Fossil_All_Mapping_SEDS!AB45/State_Fossil_All_Mapping_SEDS!$BB45</f>
        <v>0</v>
      </c>
      <c r="AB4" s="34">
        <f>State_Fossil_All_Mapping_SEDS!AC45/State_Fossil_All_Mapping_SEDS!$BB45</f>
        <v>0</v>
      </c>
      <c r="AC4" s="34">
        <f>State_Fossil_All_Mapping_SEDS!AD45/State_Fossil_All_Mapping_SEDS!$BB45</f>
        <v>0</v>
      </c>
      <c r="AD4" s="34">
        <f>State_Fossil_All_Mapping_SEDS!AE45/State_Fossil_All_Mapping_SEDS!$BB45</f>
        <v>0</v>
      </c>
      <c r="AE4" s="34">
        <f>State_Fossil_All_Mapping_SEDS!AF45/State_Fossil_All_Mapping_SEDS!$BB45</f>
        <v>0</v>
      </c>
      <c r="AF4" s="34">
        <f>State_Fossil_All_Mapping_SEDS!AG45/State_Fossil_All_Mapping_SEDS!$BB45</f>
        <v>0</v>
      </c>
      <c r="AG4" s="34">
        <f>State_Fossil_All_Mapping_SEDS!AH45/State_Fossil_All_Mapping_SEDS!$BB45</f>
        <v>0</v>
      </c>
      <c r="AH4" s="34">
        <f>State_Fossil_All_Mapping_SEDS!AI45/State_Fossil_All_Mapping_SEDS!$BB45</f>
        <v>0</v>
      </c>
      <c r="AI4" s="34">
        <f>State_Fossil_All_Mapping_SEDS!AJ45/State_Fossil_All_Mapping_SEDS!$BB45</f>
        <v>0</v>
      </c>
      <c r="AJ4" s="34">
        <f>State_Fossil_All_Mapping_SEDS!AK45/State_Fossil_All_Mapping_SEDS!$BB45</f>
        <v>0</v>
      </c>
      <c r="AK4" s="34">
        <f>State_Fossil_All_Mapping_SEDS!AL45/State_Fossil_All_Mapping_SEDS!$BB45</f>
        <v>0.3652694611</v>
      </c>
      <c r="AL4" s="34">
        <f>State_Fossil_All_Mapping_SEDS!AM45/State_Fossil_All_Mapping_SEDS!$BB45</f>
        <v>0</v>
      </c>
      <c r="AM4" s="34">
        <f>State_Fossil_All_Mapping_SEDS!AN45/State_Fossil_All_Mapping_SEDS!$BB45</f>
        <v>0</v>
      </c>
      <c r="AN4" s="34">
        <f>State_Fossil_All_Mapping_SEDS!AO45/State_Fossil_All_Mapping_SEDS!$BB45</f>
        <v>0</v>
      </c>
      <c r="AO4" s="34">
        <f>State_Fossil_All_Mapping_SEDS!AP45/State_Fossil_All_Mapping_SEDS!$BB45</f>
        <v>0</v>
      </c>
      <c r="AP4" s="34">
        <f>State_Fossil_All_Mapping_SEDS!AQ45/State_Fossil_All_Mapping_SEDS!$BB45</f>
        <v>0</v>
      </c>
      <c r="AQ4" s="34">
        <f>State_Fossil_All_Mapping_SEDS!AR45/State_Fossil_All_Mapping_SEDS!$BB45</f>
        <v>0</v>
      </c>
      <c r="AR4" s="34">
        <f>State_Fossil_All_Mapping_SEDS!AS45/State_Fossil_All_Mapping_SEDS!$BB45</f>
        <v>0</v>
      </c>
      <c r="AS4" s="34">
        <f>State_Fossil_All_Mapping_SEDS!AT45/State_Fossil_All_Mapping_SEDS!$BB45</f>
        <v>0</v>
      </c>
      <c r="AT4" s="34">
        <f>State_Fossil_All_Mapping_SEDS!AU45/State_Fossil_All_Mapping_SEDS!$BB45</f>
        <v>0</v>
      </c>
      <c r="AU4" s="34">
        <f>State_Fossil_All_Mapping_SEDS!AV45/State_Fossil_All_Mapping_SEDS!$BB45</f>
        <v>0</v>
      </c>
      <c r="AV4" s="34">
        <f>State_Fossil_All_Mapping_SEDS!AW45/State_Fossil_All_Mapping_SEDS!$BB45</f>
        <v>0</v>
      </c>
      <c r="AW4" s="34">
        <f>State_Fossil_All_Mapping_SEDS!AX45/State_Fossil_All_Mapping_SEDS!$BB45</f>
        <v>0</v>
      </c>
      <c r="AX4" s="34">
        <f>State_Fossil_All_Mapping_SEDS!AY45/State_Fossil_All_Mapping_SEDS!$BB45</f>
        <v>0</v>
      </c>
      <c r="AY4" s="34">
        <f>State_Fossil_All_Mapping_SEDS!AZ45/State_Fossil_All_Mapping_SEDS!$BB45</f>
        <v>0.119760479</v>
      </c>
      <c r="AZ4" s="34">
        <f>State_Fossil_All_Mapping_SEDS!BA45/State_Fossil_All_Mapping_SEDS!$BB45</f>
        <v>0</v>
      </c>
    </row>
    <row r="5" ht="15.75" customHeight="1">
      <c r="A5" s="34">
        <v>4.0</v>
      </c>
      <c r="B5" s="34">
        <f>State_Fossil_All_Mapping_SEDS!C46/State_Fossil_All_Mapping_SEDS!$BB46</f>
        <v>0</v>
      </c>
      <c r="C5" s="34">
        <f>State_Fossil_All_Mapping_SEDS!D46/State_Fossil_All_Mapping_SEDS!$BB46</f>
        <v>0</v>
      </c>
      <c r="D5" s="34">
        <f>State_Fossil_All_Mapping_SEDS!E46/State_Fossil_All_Mapping_SEDS!$BB46</f>
        <v>0</v>
      </c>
      <c r="E5" s="34">
        <f>State_Fossil_All_Mapping_SEDS!F46/State_Fossil_All_Mapping_SEDS!$BB46</f>
        <v>0</v>
      </c>
      <c r="F5" s="34">
        <f>State_Fossil_All_Mapping_SEDS!G46/State_Fossil_All_Mapping_SEDS!$BB46</f>
        <v>0</v>
      </c>
      <c r="G5" s="34">
        <f>State_Fossil_All_Mapping_SEDS!H46/State_Fossil_All_Mapping_SEDS!$BB46</f>
        <v>0</v>
      </c>
      <c r="H5" s="34">
        <f>State_Fossil_All_Mapping_SEDS!I46/State_Fossil_All_Mapping_SEDS!$BB46</f>
        <v>0</v>
      </c>
      <c r="I5" s="34">
        <f>State_Fossil_All_Mapping_SEDS!J46/State_Fossil_All_Mapping_SEDS!$BB46</f>
        <v>0</v>
      </c>
      <c r="J5" s="34">
        <f>State_Fossil_All_Mapping_SEDS!K46/State_Fossil_All_Mapping_SEDS!$BB46</f>
        <v>0</v>
      </c>
      <c r="K5" s="34">
        <f>State_Fossil_All_Mapping_SEDS!L46/State_Fossil_All_Mapping_SEDS!$BB46</f>
        <v>0</v>
      </c>
      <c r="L5" s="34">
        <f>State_Fossil_All_Mapping_SEDS!M46/State_Fossil_All_Mapping_SEDS!$BB46</f>
        <v>0</v>
      </c>
      <c r="M5" s="34">
        <f>State_Fossil_All_Mapping_SEDS!N46/State_Fossil_All_Mapping_SEDS!$BB46</f>
        <v>0</v>
      </c>
      <c r="N5" s="34">
        <f>State_Fossil_All_Mapping_SEDS!O46/State_Fossil_All_Mapping_SEDS!$BB46</f>
        <v>0</v>
      </c>
      <c r="O5" s="34">
        <f>State_Fossil_All_Mapping_SEDS!P46/State_Fossil_All_Mapping_SEDS!$BB46</f>
        <v>0</v>
      </c>
      <c r="P5" s="34">
        <f>State_Fossil_All_Mapping_SEDS!Q46/State_Fossil_All_Mapping_SEDS!$BB46</f>
        <v>0</v>
      </c>
      <c r="Q5" s="34">
        <f>State_Fossil_All_Mapping_SEDS!R46/State_Fossil_All_Mapping_SEDS!$BB46</f>
        <v>0.2212765957</v>
      </c>
      <c r="R5" s="34">
        <f>State_Fossil_All_Mapping_SEDS!S46/State_Fossil_All_Mapping_SEDS!$BB46</f>
        <v>0.08510638298</v>
      </c>
      <c r="S5" s="34">
        <f>State_Fossil_All_Mapping_SEDS!T46/State_Fossil_All_Mapping_SEDS!$BB46</f>
        <v>0</v>
      </c>
      <c r="T5" s="34">
        <f>State_Fossil_All_Mapping_SEDS!U46/State_Fossil_All_Mapping_SEDS!$BB46</f>
        <v>0</v>
      </c>
      <c r="U5" s="34">
        <f>State_Fossil_All_Mapping_SEDS!V46/State_Fossil_All_Mapping_SEDS!$BB46</f>
        <v>0</v>
      </c>
      <c r="V5" s="34">
        <f>State_Fossil_All_Mapping_SEDS!W46/State_Fossil_All_Mapping_SEDS!$BB46</f>
        <v>0</v>
      </c>
      <c r="W5" s="34">
        <f>State_Fossil_All_Mapping_SEDS!X46/State_Fossil_All_Mapping_SEDS!$BB46</f>
        <v>0</v>
      </c>
      <c r="X5" s="34">
        <f>State_Fossil_All_Mapping_SEDS!Y46/State_Fossil_All_Mapping_SEDS!$BB46</f>
        <v>0</v>
      </c>
      <c r="Y5" s="34">
        <f>State_Fossil_All_Mapping_SEDS!Z46/State_Fossil_All_Mapping_SEDS!$BB46</f>
        <v>0.2510638298</v>
      </c>
      <c r="Z5" s="34">
        <f>State_Fossil_All_Mapping_SEDS!AA46/State_Fossil_All_Mapping_SEDS!$BB46</f>
        <v>0</v>
      </c>
      <c r="AA5" s="34">
        <f>State_Fossil_All_Mapping_SEDS!AB46/State_Fossil_All_Mapping_SEDS!$BB46</f>
        <v>0.1744680851</v>
      </c>
      <c r="AB5" s="34">
        <f>State_Fossil_All_Mapping_SEDS!AC46/State_Fossil_All_Mapping_SEDS!$BB46</f>
        <v>0</v>
      </c>
      <c r="AC5" s="34">
        <f>State_Fossil_All_Mapping_SEDS!AD46/State_Fossil_All_Mapping_SEDS!$BB46</f>
        <v>0.07659574468</v>
      </c>
      <c r="AD5" s="34">
        <f>State_Fossil_All_Mapping_SEDS!AE46/State_Fossil_All_Mapping_SEDS!$BB46</f>
        <v>0</v>
      </c>
      <c r="AE5" s="34">
        <f>State_Fossil_All_Mapping_SEDS!AF46/State_Fossil_All_Mapping_SEDS!$BB46</f>
        <v>0</v>
      </c>
      <c r="AF5" s="34">
        <f>State_Fossil_All_Mapping_SEDS!AG46/State_Fossil_All_Mapping_SEDS!$BB46</f>
        <v>0</v>
      </c>
      <c r="AG5" s="34">
        <f>State_Fossil_All_Mapping_SEDS!AH46/State_Fossil_All_Mapping_SEDS!$BB46</f>
        <v>0</v>
      </c>
      <c r="AH5" s="34">
        <f>State_Fossil_All_Mapping_SEDS!AI46/State_Fossil_All_Mapping_SEDS!$BB46</f>
        <v>0</v>
      </c>
      <c r="AI5" s="34">
        <f>State_Fossil_All_Mapping_SEDS!AJ46/State_Fossil_All_Mapping_SEDS!$BB46</f>
        <v>0</v>
      </c>
      <c r="AJ5" s="34">
        <f>State_Fossil_All_Mapping_SEDS!AK46/State_Fossil_All_Mapping_SEDS!$BB46</f>
        <v>0.1531914894</v>
      </c>
      <c r="AK5" s="34">
        <f>State_Fossil_All_Mapping_SEDS!AL46/State_Fossil_All_Mapping_SEDS!$BB46</f>
        <v>0</v>
      </c>
      <c r="AL5" s="34">
        <f>State_Fossil_All_Mapping_SEDS!AM46/State_Fossil_All_Mapping_SEDS!$BB46</f>
        <v>0</v>
      </c>
      <c r="AM5" s="34">
        <f>State_Fossil_All_Mapping_SEDS!AN46/State_Fossil_All_Mapping_SEDS!$BB46</f>
        <v>0</v>
      </c>
      <c r="AN5" s="34">
        <f>State_Fossil_All_Mapping_SEDS!AO46/State_Fossil_All_Mapping_SEDS!$BB46</f>
        <v>0</v>
      </c>
      <c r="AO5" s="34">
        <f>State_Fossil_All_Mapping_SEDS!AP46/State_Fossil_All_Mapping_SEDS!$BB46</f>
        <v>0</v>
      </c>
      <c r="AP5" s="34">
        <f>State_Fossil_All_Mapping_SEDS!AQ46/State_Fossil_All_Mapping_SEDS!$BB46</f>
        <v>0</v>
      </c>
      <c r="AQ5" s="34">
        <f>State_Fossil_All_Mapping_SEDS!AR46/State_Fossil_All_Mapping_SEDS!$BB46</f>
        <v>0.03829787234</v>
      </c>
      <c r="AR5" s="34">
        <f>State_Fossil_All_Mapping_SEDS!AS46/State_Fossil_All_Mapping_SEDS!$BB46</f>
        <v>0</v>
      </c>
      <c r="AS5" s="34">
        <f>State_Fossil_All_Mapping_SEDS!AT46/State_Fossil_All_Mapping_SEDS!$BB46</f>
        <v>0</v>
      </c>
      <c r="AT5" s="34">
        <f>State_Fossil_All_Mapping_SEDS!AU46/State_Fossil_All_Mapping_SEDS!$BB46</f>
        <v>0</v>
      </c>
      <c r="AU5" s="34">
        <f>State_Fossil_All_Mapping_SEDS!AV46/State_Fossil_All_Mapping_SEDS!$BB46</f>
        <v>0</v>
      </c>
      <c r="AV5" s="34">
        <f>State_Fossil_All_Mapping_SEDS!AW46/State_Fossil_All_Mapping_SEDS!$BB46</f>
        <v>0</v>
      </c>
      <c r="AW5" s="34">
        <f>State_Fossil_All_Mapping_SEDS!AX46/State_Fossil_All_Mapping_SEDS!$BB46</f>
        <v>0</v>
      </c>
      <c r="AX5" s="34">
        <f>State_Fossil_All_Mapping_SEDS!AY46/State_Fossil_All_Mapping_SEDS!$BB46</f>
        <v>0</v>
      </c>
      <c r="AY5" s="34">
        <f>State_Fossil_All_Mapping_SEDS!AZ46/State_Fossil_All_Mapping_SEDS!$BB46</f>
        <v>0</v>
      </c>
      <c r="AZ5" s="34">
        <f>State_Fossil_All_Mapping_SEDS!BA46/State_Fossil_All_Mapping_SEDS!$BB46</f>
        <v>0</v>
      </c>
    </row>
    <row r="6" ht="15.75" customHeight="1">
      <c r="A6" s="34">
        <v>5.0</v>
      </c>
      <c r="B6" s="34">
        <f>State_Fossil_All_Mapping_SEDS!C47/State_Fossil_All_Mapping_SEDS!$BB47</f>
        <v>0</v>
      </c>
      <c r="C6" s="34">
        <f>State_Fossil_All_Mapping_SEDS!D47/State_Fossil_All_Mapping_SEDS!$BB47</f>
        <v>0</v>
      </c>
      <c r="D6" s="34">
        <f>State_Fossil_All_Mapping_SEDS!E47/State_Fossil_All_Mapping_SEDS!$BB47</f>
        <v>0</v>
      </c>
      <c r="E6" s="34">
        <f>State_Fossil_All_Mapping_SEDS!F47/State_Fossil_All_Mapping_SEDS!$BB47</f>
        <v>0</v>
      </c>
      <c r="F6" s="34">
        <f>State_Fossil_All_Mapping_SEDS!G47/State_Fossil_All_Mapping_SEDS!$BB47</f>
        <v>0</v>
      </c>
      <c r="G6" s="34">
        <f>State_Fossil_All_Mapping_SEDS!H47/State_Fossil_All_Mapping_SEDS!$BB47</f>
        <v>0</v>
      </c>
      <c r="H6" s="34">
        <f>State_Fossil_All_Mapping_SEDS!I47/State_Fossil_All_Mapping_SEDS!$BB47</f>
        <v>0</v>
      </c>
      <c r="I6" s="34">
        <f>State_Fossil_All_Mapping_SEDS!J47/State_Fossil_All_Mapping_SEDS!$BB47</f>
        <v>0.02474226804</v>
      </c>
      <c r="J6" s="34">
        <f>State_Fossil_All_Mapping_SEDS!K47/State_Fossil_All_Mapping_SEDS!$BB47</f>
        <v>0.01237113402</v>
      </c>
      <c r="K6" s="34">
        <f>State_Fossil_All_Mapping_SEDS!L47/State_Fossil_All_Mapping_SEDS!$BB47</f>
        <v>0.218556701</v>
      </c>
      <c r="L6" s="34">
        <f>State_Fossil_All_Mapping_SEDS!M47/State_Fossil_All_Mapping_SEDS!$BB47</f>
        <v>0.1546391753</v>
      </c>
      <c r="M6" s="34">
        <f>State_Fossil_All_Mapping_SEDS!N47/State_Fossil_All_Mapping_SEDS!$BB47</f>
        <v>0</v>
      </c>
      <c r="N6" s="34">
        <f>State_Fossil_All_Mapping_SEDS!O47/State_Fossil_All_Mapping_SEDS!$BB47</f>
        <v>0</v>
      </c>
      <c r="O6" s="34">
        <f>State_Fossil_All_Mapping_SEDS!P47/State_Fossil_All_Mapping_SEDS!$BB47</f>
        <v>0</v>
      </c>
      <c r="P6" s="34">
        <f>State_Fossil_All_Mapping_SEDS!Q47/State_Fossil_All_Mapping_SEDS!$BB47</f>
        <v>0</v>
      </c>
      <c r="Q6" s="34">
        <f>State_Fossil_All_Mapping_SEDS!R47/State_Fossil_All_Mapping_SEDS!$BB47</f>
        <v>0</v>
      </c>
      <c r="R6" s="34">
        <f>State_Fossil_All_Mapping_SEDS!S47/State_Fossil_All_Mapping_SEDS!$BB47</f>
        <v>0</v>
      </c>
      <c r="S6" s="34">
        <f>State_Fossil_All_Mapping_SEDS!T47/State_Fossil_All_Mapping_SEDS!$BB47</f>
        <v>0</v>
      </c>
      <c r="T6" s="34">
        <f>State_Fossil_All_Mapping_SEDS!U47/State_Fossil_All_Mapping_SEDS!$BB47</f>
        <v>0</v>
      </c>
      <c r="U6" s="34">
        <f>State_Fossil_All_Mapping_SEDS!V47/State_Fossil_All_Mapping_SEDS!$BB47</f>
        <v>0</v>
      </c>
      <c r="V6" s="34">
        <f>State_Fossil_All_Mapping_SEDS!W47/State_Fossil_All_Mapping_SEDS!$BB47</f>
        <v>0.1546391753</v>
      </c>
      <c r="W6" s="34">
        <f>State_Fossil_All_Mapping_SEDS!X47/State_Fossil_All_Mapping_SEDS!$BB47</f>
        <v>0</v>
      </c>
      <c r="X6" s="34">
        <f>State_Fossil_All_Mapping_SEDS!Y47/State_Fossil_All_Mapping_SEDS!$BB47</f>
        <v>0</v>
      </c>
      <c r="Y6" s="34">
        <f>State_Fossil_All_Mapping_SEDS!Z47/State_Fossil_All_Mapping_SEDS!$BB47</f>
        <v>0</v>
      </c>
      <c r="Z6" s="34">
        <f>State_Fossil_All_Mapping_SEDS!AA47/State_Fossil_All_Mapping_SEDS!$BB47</f>
        <v>0</v>
      </c>
      <c r="AA6" s="34">
        <f>State_Fossil_All_Mapping_SEDS!AB47/State_Fossil_All_Mapping_SEDS!$BB47</f>
        <v>0</v>
      </c>
      <c r="AB6" s="34">
        <f>State_Fossil_All_Mapping_SEDS!AC47/State_Fossil_All_Mapping_SEDS!$BB47</f>
        <v>0</v>
      </c>
      <c r="AC6" s="34">
        <f>State_Fossil_All_Mapping_SEDS!AD47/State_Fossil_All_Mapping_SEDS!$BB47</f>
        <v>0</v>
      </c>
      <c r="AD6" s="34">
        <f>State_Fossil_All_Mapping_SEDS!AE47/State_Fossil_All_Mapping_SEDS!$BB47</f>
        <v>0</v>
      </c>
      <c r="AE6" s="34">
        <f>State_Fossil_All_Mapping_SEDS!AF47/State_Fossil_All_Mapping_SEDS!$BB47</f>
        <v>0</v>
      </c>
      <c r="AF6" s="34">
        <f>State_Fossil_All_Mapping_SEDS!AG47/State_Fossil_All_Mapping_SEDS!$BB47</f>
        <v>0</v>
      </c>
      <c r="AG6" s="34">
        <f>State_Fossil_All_Mapping_SEDS!AH47/State_Fossil_All_Mapping_SEDS!$BB47</f>
        <v>0</v>
      </c>
      <c r="AH6" s="34">
        <f>State_Fossil_All_Mapping_SEDS!AI47/State_Fossil_All_Mapping_SEDS!$BB47</f>
        <v>0</v>
      </c>
      <c r="AI6" s="34">
        <f>State_Fossil_All_Mapping_SEDS!AJ47/State_Fossil_All_Mapping_SEDS!$BB47</f>
        <v>0.1463917526</v>
      </c>
      <c r="AJ6" s="34">
        <f>State_Fossil_All_Mapping_SEDS!AK47/State_Fossil_All_Mapping_SEDS!$BB47</f>
        <v>0</v>
      </c>
      <c r="AK6" s="34">
        <f>State_Fossil_All_Mapping_SEDS!AL47/State_Fossil_All_Mapping_SEDS!$BB47</f>
        <v>0</v>
      </c>
      <c r="AL6" s="34">
        <f>State_Fossil_All_Mapping_SEDS!AM47/State_Fossil_All_Mapping_SEDS!$BB47</f>
        <v>0</v>
      </c>
      <c r="AM6" s="34">
        <f>State_Fossil_All_Mapping_SEDS!AN47/State_Fossil_All_Mapping_SEDS!$BB47</f>
        <v>0</v>
      </c>
      <c r="AN6" s="34">
        <f>State_Fossil_All_Mapping_SEDS!AO47/State_Fossil_All_Mapping_SEDS!$BB47</f>
        <v>0</v>
      </c>
      <c r="AO6" s="34">
        <f>State_Fossil_All_Mapping_SEDS!AP47/State_Fossil_All_Mapping_SEDS!$BB47</f>
        <v>0</v>
      </c>
      <c r="AP6" s="34">
        <f>State_Fossil_All_Mapping_SEDS!AQ47/State_Fossil_All_Mapping_SEDS!$BB47</f>
        <v>0.0618556701</v>
      </c>
      <c r="AQ6" s="34">
        <f>State_Fossil_All_Mapping_SEDS!AR47/State_Fossil_All_Mapping_SEDS!$BB47</f>
        <v>0</v>
      </c>
      <c r="AR6" s="34">
        <f>State_Fossil_All_Mapping_SEDS!AS47/State_Fossil_All_Mapping_SEDS!$BB47</f>
        <v>0</v>
      </c>
      <c r="AS6" s="34">
        <f>State_Fossil_All_Mapping_SEDS!AT47/State_Fossil_All_Mapping_SEDS!$BB47</f>
        <v>0</v>
      </c>
      <c r="AT6" s="34">
        <f>State_Fossil_All_Mapping_SEDS!AU47/State_Fossil_All_Mapping_SEDS!$BB47</f>
        <v>0</v>
      </c>
      <c r="AU6" s="34">
        <f>State_Fossil_All_Mapping_SEDS!AV47/State_Fossil_All_Mapping_SEDS!$BB47</f>
        <v>0</v>
      </c>
      <c r="AV6" s="34">
        <f>State_Fossil_All_Mapping_SEDS!AW47/State_Fossil_All_Mapping_SEDS!$BB47</f>
        <v>0.1793814433</v>
      </c>
      <c r="AW6" s="34">
        <f>State_Fossil_All_Mapping_SEDS!AX47/State_Fossil_All_Mapping_SEDS!$BB47</f>
        <v>0</v>
      </c>
      <c r="AX6" s="34">
        <f>State_Fossil_All_Mapping_SEDS!AY47/State_Fossil_All_Mapping_SEDS!$BB47</f>
        <v>0.04742268041</v>
      </c>
      <c r="AY6" s="34">
        <f>State_Fossil_All_Mapping_SEDS!AZ47/State_Fossil_All_Mapping_SEDS!$BB47</f>
        <v>0</v>
      </c>
      <c r="AZ6" s="34">
        <f>State_Fossil_All_Mapping_SEDS!BA47/State_Fossil_All_Mapping_SEDS!$BB47</f>
        <v>0</v>
      </c>
    </row>
    <row r="7" ht="15.75" customHeight="1">
      <c r="A7" s="34">
        <v>6.0</v>
      </c>
      <c r="B7" s="34">
        <f>State_Fossil_All_Mapping_SEDS!C48/State_Fossil_All_Mapping_SEDS!$BB48</f>
        <v>0.2857142857</v>
      </c>
      <c r="C7" s="34">
        <f>State_Fossil_All_Mapping_SEDS!D48/State_Fossil_All_Mapping_SEDS!$BB48</f>
        <v>0</v>
      </c>
      <c r="D7" s="34">
        <f>State_Fossil_All_Mapping_SEDS!E48/State_Fossil_All_Mapping_SEDS!$BB48</f>
        <v>0</v>
      </c>
      <c r="E7" s="34">
        <f>State_Fossil_All_Mapping_SEDS!F48/State_Fossil_All_Mapping_SEDS!$BB48</f>
        <v>0</v>
      </c>
      <c r="F7" s="34">
        <f>State_Fossil_All_Mapping_SEDS!G48/State_Fossil_All_Mapping_SEDS!$BB48</f>
        <v>0</v>
      </c>
      <c r="G7" s="34">
        <f>State_Fossil_All_Mapping_SEDS!H48/State_Fossil_All_Mapping_SEDS!$BB48</f>
        <v>0</v>
      </c>
      <c r="H7" s="34">
        <f>State_Fossil_All_Mapping_SEDS!I48/State_Fossil_All_Mapping_SEDS!$BB48</f>
        <v>0</v>
      </c>
      <c r="I7" s="34">
        <f>State_Fossil_All_Mapping_SEDS!J48/State_Fossil_All_Mapping_SEDS!$BB48</f>
        <v>0</v>
      </c>
      <c r="J7" s="34">
        <f>State_Fossil_All_Mapping_SEDS!K48/State_Fossil_All_Mapping_SEDS!$BB48</f>
        <v>0</v>
      </c>
      <c r="K7" s="34">
        <f>State_Fossil_All_Mapping_SEDS!L48/State_Fossil_All_Mapping_SEDS!$BB48</f>
        <v>0</v>
      </c>
      <c r="L7" s="34">
        <f>State_Fossil_All_Mapping_SEDS!M48/State_Fossil_All_Mapping_SEDS!$BB48</f>
        <v>0</v>
      </c>
      <c r="M7" s="34">
        <f>State_Fossil_All_Mapping_SEDS!N48/State_Fossil_All_Mapping_SEDS!$BB48</f>
        <v>0</v>
      </c>
      <c r="N7" s="34">
        <f>State_Fossil_All_Mapping_SEDS!O48/State_Fossil_All_Mapping_SEDS!$BB48</f>
        <v>0</v>
      </c>
      <c r="O7" s="34">
        <f>State_Fossil_All_Mapping_SEDS!P48/State_Fossil_All_Mapping_SEDS!$BB48</f>
        <v>0</v>
      </c>
      <c r="P7" s="34">
        <f>State_Fossil_All_Mapping_SEDS!Q48/State_Fossil_All_Mapping_SEDS!$BB48</f>
        <v>0</v>
      </c>
      <c r="Q7" s="34">
        <f>State_Fossil_All_Mapping_SEDS!R48/State_Fossil_All_Mapping_SEDS!$BB48</f>
        <v>0</v>
      </c>
      <c r="R7" s="34">
        <f>State_Fossil_All_Mapping_SEDS!S48/State_Fossil_All_Mapping_SEDS!$BB48</f>
        <v>0</v>
      </c>
      <c r="S7" s="34">
        <f>State_Fossil_All_Mapping_SEDS!T48/State_Fossil_All_Mapping_SEDS!$BB48</f>
        <v>0.2023809524</v>
      </c>
      <c r="T7" s="34">
        <f>State_Fossil_All_Mapping_SEDS!U48/State_Fossil_All_Mapping_SEDS!$BB48</f>
        <v>0</v>
      </c>
      <c r="U7" s="34">
        <f>State_Fossil_All_Mapping_SEDS!V48/State_Fossil_All_Mapping_SEDS!$BB48</f>
        <v>0</v>
      </c>
      <c r="V7" s="34">
        <f>State_Fossil_All_Mapping_SEDS!W48/State_Fossil_All_Mapping_SEDS!$BB48</f>
        <v>0</v>
      </c>
      <c r="W7" s="34">
        <f>State_Fossil_All_Mapping_SEDS!X48/State_Fossil_All_Mapping_SEDS!$BB48</f>
        <v>0</v>
      </c>
      <c r="X7" s="34">
        <f>State_Fossil_All_Mapping_SEDS!Y48/State_Fossil_All_Mapping_SEDS!$BB48</f>
        <v>0</v>
      </c>
      <c r="Y7" s="34">
        <f>State_Fossil_All_Mapping_SEDS!Z48/State_Fossil_All_Mapping_SEDS!$BB48</f>
        <v>0</v>
      </c>
      <c r="Z7" s="34">
        <f>State_Fossil_All_Mapping_SEDS!AA48/State_Fossil_All_Mapping_SEDS!$BB48</f>
        <v>0.2023809524</v>
      </c>
      <c r="AA7" s="34">
        <f>State_Fossil_All_Mapping_SEDS!AB48/State_Fossil_All_Mapping_SEDS!$BB48</f>
        <v>0</v>
      </c>
      <c r="AB7" s="34">
        <f>State_Fossil_All_Mapping_SEDS!AC48/State_Fossil_All_Mapping_SEDS!$BB48</f>
        <v>0</v>
      </c>
      <c r="AC7" s="34">
        <f>State_Fossil_All_Mapping_SEDS!AD48/State_Fossil_All_Mapping_SEDS!$BB48</f>
        <v>0</v>
      </c>
      <c r="AD7" s="34">
        <f>State_Fossil_All_Mapping_SEDS!AE48/State_Fossil_All_Mapping_SEDS!$BB48</f>
        <v>0</v>
      </c>
      <c r="AE7" s="34">
        <f>State_Fossil_All_Mapping_SEDS!AF48/State_Fossil_All_Mapping_SEDS!$BB48</f>
        <v>0</v>
      </c>
      <c r="AF7" s="34">
        <f>State_Fossil_All_Mapping_SEDS!AG48/State_Fossil_All_Mapping_SEDS!$BB48</f>
        <v>0</v>
      </c>
      <c r="AG7" s="34">
        <f>State_Fossil_All_Mapping_SEDS!AH48/State_Fossil_All_Mapping_SEDS!$BB48</f>
        <v>0</v>
      </c>
      <c r="AH7" s="34">
        <f>State_Fossil_All_Mapping_SEDS!AI48/State_Fossil_All_Mapping_SEDS!$BB48</f>
        <v>0</v>
      </c>
      <c r="AI7" s="34">
        <f>State_Fossil_All_Mapping_SEDS!AJ48/State_Fossil_All_Mapping_SEDS!$BB48</f>
        <v>0</v>
      </c>
      <c r="AJ7" s="34">
        <f>State_Fossil_All_Mapping_SEDS!AK48/State_Fossil_All_Mapping_SEDS!$BB48</f>
        <v>0</v>
      </c>
      <c r="AK7" s="34">
        <f>State_Fossil_All_Mapping_SEDS!AL48/State_Fossil_All_Mapping_SEDS!$BB48</f>
        <v>0</v>
      </c>
      <c r="AL7" s="34">
        <f>State_Fossil_All_Mapping_SEDS!AM48/State_Fossil_All_Mapping_SEDS!$BB48</f>
        <v>0</v>
      </c>
      <c r="AM7" s="34">
        <f>State_Fossil_All_Mapping_SEDS!AN48/State_Fossil_All_Mapping_SEDS!$BB48</f>
        <v>0</v>
      </c>
      <c r="AN7" s="34">
        <f>State_Fossil_All_Mapping_SEDS!AO48/State_Fossil_All_Mapping_SEDS!$BB48</f>
        <v>0</v>
      </c>
      <c r="AO7" s="34">
        <f>State_Fossil_All_Mapping_SEDS!AP48/State_Fossil_All_Mapping_SEDS!$BB48</f>
        <v>0</v>
      </c>
      <c r="AP7" s="34">
        <f>State_Fossil_All_Mapping_SEDS!AQ48/State_Fossil_All_Mapping_SEDS!$BB48</f>
        <v>0</v>
      </c>
      <c r="AQ7" s="34">
        <f>State_Fossil_All_Mapping_SEDS!AR48/State_Fossil_All_Mapping_SEDS!$BB48</f>
        <v>0</v>
      </c>
      <c r="AR7" s="34">
        <f>State_Fossil_All_Mapping_SEDS!AS48/State_Fossil_All_Mapping_SEDS!$BB48</f>
        <v>0.3095238095</v>
      </c>
      <c r="AS7" s="34">
        <f>State_Fossil_All_Mapping_SEDS!AT48/State_Fossil_All_Mapping_SEDS!$BB48</f>
        <v>0</v>
      </c>
      <c r="AT7" s="34">
        <f>State_Fossil_All_Mapping_SEDS!AU48/State_Fossil_All_Mapping_SEDS!$BB48</f>
        <v>0</v>
      </c>
      <c r="AU7" s="34">
        <f>State_Fossil_All_Mapping_SEDS!AV48/State_Fossil_All_Mapping_SEDS!$BB48</f>
        <v>0</v>
      </c>
      <c r="AV7" s="34">
        <f>State_Fossil_All_Mapping_SEDS!AW48/State_Fossil_All_Mapping_SEDS!$BB48</f>
        <v>0</v>
      </c>
      <c r="AW7" s="34">
        <f>State_Fossil_All_Mapping_SEDS!AX48/State_Fossil_All_Mapping_SEDS!$BB48</f>
        <v>0</v>
      </c>
      <c r="AX7" s="34">
        <f>State_Fossil_All_Mapping_SEDS!AY48/State_Fossil_All_Mapping_SEDS!$BB48</f>
        <v>0</v>
      </c>
      <c r="AY7" s="34">
        <f>State_Fossil_All_Mapping_SEDS!AZ48/State_Fossil_All_Mapping_SEDS!$BB48</f>
        <v>0</v>
      </c>
      <c r="AZ7" s="34">
        <f>State_Fossil_All_Mapping_SEDS!BA48/State_Fossil_All_Mapping_SEDS!$BB48</f>
        <v>0</v>
      </c>
    </row>
    <row r="8" ht="15.75" customHeight="1">
      <c r="A8" s="34">
        <v>7.0</v>
      </c>
      <c r="B8" s="34">
        <f>State_Fossil_All_Mapping_SEDS!C49/State_Fossil_All_Mapping_SEDS!$BB49</f>
        <v>0</v>
      </c>
      <c r="C8" s="34">
        <f>State_Fossil_All_Mapping_SEDS!D49/State_Fossil_All_Mapping_SEDS!$BB49</f>
        <v>0</v>
      </c>
      <c r="D8" s="34">
        <f>State_Fossil_All_Mapping_SEDS!E49/State_Fossil_All_Mapping_SEDS!$BB49</f>
        <v>0</v>
      </c>
      <c r="E8" s="34">
        <f>State_Fossil_All_Mapping_SEDS!F49/State_Fossil_All_Mapping_SEDS!$BB49</f>
        <v>0.1114982578</v>
      </c>
      <c r="F8" s="34">
        <f>State_Fossil_All_Mapping_SEDS!G49/State_Fossil_All_Mapping_SEDS!$BB49</f>
        <v>0</v>
      </c>
      <c r="G8" s="34">
        <f>State_Fossil_All_Mapping_SEDS!H49/State_Fossil_All_Mapping_SEDS!$BB49</f>
        <v>0</v>
      </c>
      <c r="H8" s="34">
        <f>State_Fossil_All_Mapping_SEDS!I49/State_Fossil_All_Mapping_SEDS!$BB49</f>
        <v>0</v>
      </c>
      <c r="I8" s="34">
        <f>State_Fossil_All_Mapping_SEDS!J49/State_Fossil_All_Mapping_SEDS!$BB49</f>
        <v>0</v>
      </c>
      <c r="J8" s="34">
        <f>State_Fossil_All_Mapping_SEDS!K49/State_Fossil_All_Mapping_SEDS!$BB49</f>
        <v>0</v>
      </c>
      <c r="K8" s="34">
        <f>State_Fossil_All_Mapping_SEDS!L49/State_Fossil_All_Mapping_SEDS!$BB49</f>
        <v>0</v>
      </c>
      <c r="L8" s="34">
        <f>State_Fossil_All_Mapping_SEDS!M49/State_Fossil_All_Mapping_SEDS!$BB49</f>
        <v>0</v>
      </c>
      <c r="M8" s="34">
        <f>State_Fossil_All_Mapping_SEDS!N49/State_Fossil_All_Mapping_SEDS!$BB49</f>
        <v>0</v>
      </c>
      <c r="N8" s="34">
        <f>State_Fossil_All_Mapping_SEDS!O49/State_Fossil_All_Mapping_SEDS!$BB49</f>
        <v>0</v>
      </c>
      <c r="O8" s="34">
        <f>State_Fossil_All_Mapping_SEDS!P49/State_Fossil_All_Mapping_SEDS!$BB49</f>
        <v>0</v>
      </c>
      <c r="P8" s="34">
        <f>State_Fossil_All_Mapping_SEDS!Q49/State_Fossil_All_Mapping_SEDS!$BB49</f>
        <v>0</v>
      </c>
      <c r="Q8" s="34">
        <f>State_Fossil_All_Mapping_SEDS!R49/State_Fossil_All_Mapping_SEDS!$BB49</f>
        <v>0</v>
      </c>
      <c r="R8" s="34">
        <f>State_Fossil_All_Mapping_SEDS!S49/State_Fossil_All_Mapping_SEDS!$BB49</f>
        <v>0</v>
      </c>
      <c r="S8" s="34">
        <f>State_Fossil_All_Mapping_SEDS!T49/State_Fossil_All_Mapping_SEDS!$BB49</f>
        <v>0</v>
      </c>
      <c r="T8" s="34">
        <f>State_Fossil_All_Mapping_SEDS!U49/State_Fossil_All_Mapping_SEDS!$BB49</f>
        <v>0.1254355401</v>
      </c>
      <c r="U8" s="34">
        <f>State_Fossil_All_Mapping_SEDS!V49/State_Fossil_All_Mapping_SEDS!$BB49</f>
        <v>0</v>
      </c>
      <c r="V8" s="34">
        <f>State_Fossil_All_Mapping_SEDS!W49/State_Fossil_All_Mapping_SEDS!$BB49</f>
        <v>0</v>
      </c>
      <c r="W8" s="34">
        <f>State_Fossil_All_Mapping_SEDS!X49/State_Fossil_All_Mapping_SEDS!$BB49</f>
        <v>0</v>
      </c>
      <c r="X8" s="34">
        <f>State_Fossil_All_Mapping_SEDS!Y49/State_Fossil_All_Mapping_SEDS!$BB49</f>
        <v>0</v>
      </c>
      <c r="Y8" s="34">
        <f>State_Fossil_All_Mapping_SEDS!Z49/State_Fossil_All_Mapping_SEDS!$BB49</f>
        <v>0</v>
      </c>
      <c r="Z8" s="34">
        <f>State_Fossil_All_Mapping_SEDS!AA49/State_Fossil_All_Mapping_SEDS!$BB49</f>
        <v>0</v>
      </c>
      <c r="AA8" s="34">
        <f>State_Fossil_All_Mapping_SEDS!AB49/State_Fossil_All_Mapping_SEDS!$BB49</f>
        <v>0</v>
      </c>
      <c r="AB8" s="34">
        <f>State_Fossil_All_Mapping_SEDS!AC49/State_Fossil_All_Mapping_SEDS!$BB49</f>
        <v>0</v>
      </c>
      <c r="AC8" s="34">
        <f>State_Fossil_All_Mapping_SEDS!AD49/State_Fossil_All_Mapping_SEDS!$BB49</f>
        <v>0</v>
      </c>
      <c r="AD8" s="34">
        <f>State_Fossil_All_Mapping_SEDS!AE49/State_Fossil_All_Mapping_SEDS!$BB49</f>
        <v>0</v>
      </c>
      <c r="AE8" s="34">
        <f>State_Fossil_All_Mapping_SEDS!AF49/State_Fossil_All_Mapping_SEDS!$BB49</f>
        <v>0</v>
      </c>
      <c r="AF8" s="34">
        <f>State_Fossil_All_Mapping_SEDS!AG49/State_Fossil_All_Mapping_SEDS!$BB49</f>
        <v>0</v>
      </c>
      <c r="AG8" s="34">
        <f>State_Fossil_All_Mapping_SEDS!AH49/State_Fossil_All_Mapping_SEDS!$BB49</f>
        <v>0</v>
      </c>
      <c r="AH8" s="34">
        <f>State_Fossil_All_Mapping_SEDS!AI49/State_Fossil_All_Mapping_SEDS!$BB49</f>
        <v>0</v>
      </c>
      <c r="AI8" s="34">
        <f>State_Fossil_All_Mapping_SEDS!AJ49/State_Fossil_All_Mapping_SEDS!$BB49</f>
        <v>0</v>
      </c>
      <c r="AJ8" s="34">
        <f>State_Fossil_All_Mapping_SEDS!AK49/State_Fossil_All_Mapping_SEDS!$BB49</f>
        <v>0</v>
      </c>
      <c r="AK8" s="34">
        <f>State_Fossil_All_Mapping_SEDS!AL49/State_Fossil_All_Mapping_SEDS!$BB49</f>
        <v>0</v>
      </c>
      <c r="AL8" s="34">
        <f>State_Fossil_All_Mapping_SEDS!AM49/State_Fossil_All_Mapping_SEDS!$BB49</f>
        <v>0.1428571429</v>
      </c>
      <c r="AM8" s="34">
        <f>State_Fossil_All_Mapping_SEDS!AN49/State_Fossil_All_Mapping_SEDS!$BB49</f>
        <v>0</v>
      </c>
      <c r="AN8" s="34">
        <f>State_Fossil_All_Mapping_SEDS!AO49/State_Fossil_All_Mapping_SEDS!$BB49</f>
        <v>0</v>
      </c>
      <c r="AO8" s="34">
        <f>State_Fossil_All_Mapping_SEDS!AP49/State_Fossil_All_Mapping_SEDS!$BB49</f>
        <v>0</v>
      </c>
      <c r="AP8" s="34">
        <f>State_Fossil_All_Mapping_SEDS!AQ49/State_Fossil_All_Mapping_SEDS!$BB49</f>
        <v>0</v>
      </c>
      <c r="AQ8" s="34">
        <f>State_Fossil_All_Mapping_SEDS!AR49/State_Fossil_All_Mapping_SEDS!$BB49</f>
        <v>0</v>
      </c>
      <c r="AR8" s="34">
        <f>State_Fossil_All_Mapping_SEDS!AS49/State_Fossil_All_Mapping_SEDS!$BB49</f>
        <v>0</v>
      </c>
      <c r="AS8" s="34">
        <f>State_Fossil_All_Mapping_SEDS!AT49/State_Fossil_All_Mapping_SEDS!$BB49</f>
        <v>0.6202090592</v>
      </c>
      <c r="AT8" s="34">
        <f>State_Fossil_All_Mapping_SEDS!AU49/State_Fossil_All_Mapping_SEDS!$BB49</f>
        <v>0</v>
      </c>
      <c r="AU8" s="34">
        <f>State_Fossil_All_Mapping_SEDS!AV49/State_Fossil_All_Mapping_SEDS!$BB49</f>
        <v>0</v>
      </c>
      <c r="AV8" s="34">
        <f>State_Fossil_All_Mapping_SEDS!AW49/State_Fossil_All_Mapping_SEDS!$BB49</f>
        <v>0</v>
      </c>
      <c r="AW8" s="34">
        <f>State_Fossil_All_Mapping_SEDS!AX49/State_Fossil_All_Mapping_SEDS!$BB49</f>
        <v>0</v>
      </c>
      <c r="AX8" s="34">
        <f>State_Fossil_All_Mapping_SEDS!AY49/State_Fossil_All_Mapping_SEDS!$BB49</f>
        <v>0</v>
      </c>
      <c r="AY8" s="34">
        <f>State_Fossil_All_Mapping_SEDS!AZ49/State_Fossil_All_Mapping_SEDS!$BB49</f>
        <v>0</v>
      </c>
      <c r="AZ8" s="34">
        <f>State_Fossil_All_Mapping_SEDS!BA49/State_Fossil_All_Mapping_SEDS!$BB49</f>
        <v>0</v>
      </c>
    </row>
    <row r="9" ht="15.75" customHeight="1">
      <c r="A9" s="34">
        <v>8.0</v>
      </c>
      <c r="B9" s="34">
        <f>State_Fossil_All_Mapping_SEDS!C50/State_Fossil_All_Mapping_SEDS!$BB50</f>
        <v>0</v>
      </c>
      <c r="C9" s="34">
        <f>State_Fossil_All_Mapping_SEDS!D50/State_Fossil_All_Mapping_SEDS!$BB50</f>
        <v>0</v>
      </c>
      <c r="D9" s="34">
        <f>State_Fossil_All_Mapping_SEDS!E50/State_Fossil_All_Mapping_SEDS!$BB50</f>
        <v>0.2727272727</v>
      </c>
      <c r="E9" s="34">
        <f>State_Fossil_All_Mapping_SEDS!F50/State_Fossil_All_Mapping_SEDS!$BB50</f>
        <v>0</v>
      </c>
      <c r="F9" s="34">
        <f>State_Fossil_All_Mapping_SEDS!G50/State_Fossil_All_Mapping_SEDS!$BB50</f>
        <v>0</v>
      </c>
      <c r="G9" s="34">
        <f>State_Fossil_All_Mapping_SEDS!H50/State_Fossil_All_Mapping_SEDS!$BB50</f>
        <v>0.2227272727</v>
      </c>
      <c r="H9" s="34">
        <f>State_Fossil_All_Mapping_SEDS!I50/State_Fossil_All_Mapping_SEDS!$BB50</f>
        <v>0</v>
      </c>
      <c r="I9" s="34">
        <f>State_Fossil_All_Mapping_SEDS!J50/State_Fossil_All_Mapping_SEDS!$BB50</f>
        <v>0</v>
      </c>
      <c r="J9" s="34">
        <f>State_Fossil_All_Mapping_SEDS!K50/State_Fossil_All_Mapping_SEDS!$BB50</f>
        <v>0</v>
      </c>
      <c r="K9" s="34">
        <f>State_Fossil_All_Mapping_SEDS!L50/State_Fossil_All_Mapping_SEDS!$BB50</f>
        <v>0</v>
      </c>
      <c r="L9" s="34">
        <f>State_Fossil_All_Mapping_SEDS!M50/State_Fossil_All_Mapping_SEDS!$BB50</f>
        <v>0</v>
      </c>
      <c r="M9" s="34">
        <f>State_Fossil_All_Mapping_SEDS!N50/State_Fossil_All_Mapping_SEDS!$BB50</f>
        <v>0</v>
      </c>
      <c r="N9" s="34">
        <f>State_Fossil_All_Mapping_SEDS!O50/State_Fossil_All_Mapping_SEDS!$BB50</f>
        <v>0.1090909091</v>
      </c>
      <c r="O9" s="34">
        <f>State_Fossil_All_Mapping_SEDS!P50/State_Fossil_All_Mapping_SEDS!$BB50</f>
        <v>0</v>
      </c>
      <c r="P9" s="34">
        <f>State_Fossil_All_Mapping_SEDS!Q50/State_Fossil_All_Mapping_SEDS!$BB50</f>
        <v>0</v>
      </c>
      <c r="Q9" s="34">
        <f>State_Fossil_All_Mapping_SEDS!R50/State_Fossil_All_Mapping_SEDS!$BB50</f>
        <v>0</v>
      </c>
      <c r="R9" s="34">
        <f>State_Fossil_All_Mapping_SEDS!S50/State_Fossil_All_Mapping_SEDS!$BB50</f>
        <v>0</v>
      </c>
      <c r="S9" s="34">
        <f>State_Fossil_All_Mapping_SEDS!T50/State_Fossil_All_Mapping_SEDS!$BB50</f>
        <v>0</v>
      </c>
      <c r="T9" s="34">
        <f>State_Fossil_All_Mapping_SEDS!U50/State_Fossil_All_Mapping_SEDS!$BB50</f>
        <v>0</v>
      </c>
      <c r="U9" s="34">
        <f>State_Fossil_All_Mapping_SEDS!V50/State_Fossil_All_Mapping_SEDS!$BB50</f>
        <v>0</v>
      </c>
      <c r="V9" s="34">
        <f>State_Fossil_All_Mapping_SEDS!W50/State_Fossil_All_Mapping_SEDS!$BB50</f>
        <v>0</v>
      </c>
      <c r="W9" s="34">
        <f>State_Fossil_All_Mapping_SEDS!X50/State_Fossil_All_Mapping_SEDS!$BB50</f>
        <v>0</v>
      </c>
      <c r="X9" s="34">
        <f>State_Fossil_All_Mapping_SEDS!Y50/State_Fossil_All_Mapping_SEDS!$BB50</f>
        <v>0</v>
      </c>
      <c r="Y9" s="34">
        <f>State_Fossil_All_Mapping_SEDS!Z50/State_Fossil_All_Mapping_SEDS!$BB50</f>
        <v>0</v>
      </c>
      <c r="Z9" s="34">
        <f>State_Fossil_All_Mapping_SEDS!AA50/State_Fossil_All_Mapping_SEDS!$BB50</f>
        <v>0</v>
      </c>
      <c r="AA9" s="34">
        <f>State_Fossil_All_Mapping_SEDS!AB50/State_Fossil_All_Mapping_SEDS!$BB50</f>
        <v>0</v>
      </c>
      <c r="AB9" s="34">
        <f>State_Fossil_All_Mapping_SEDS!AC50/State_Fossil_All_Mapping_SEDS!$BB50</f>
        <v>0.02727272727</v>
      </c>
      <c r="AC9" s="34">
        <f>State_Fossil_All_Mapping_SEDS!AD50/State_Fossil_All_Mapping_SEDS!$BB50</f>
        <v>0</v>
      </c>
      <c r="AD9" s="34">
        <f>State_Fossil_All_Mapping_SEDS!AE50/State_Fossil_All_Mapping_SEDS!$BB50</f>
        <v>0.1</v>
      </c>
      <c r="AE9" s="34">
        <f>State_Fossil_All_Mapping_SEDS!AF50/State_Fossil_All_Mapping_SEDS!$BB50</f>
        <v>0</v>
      </c>
      <c r="AF9" s="34">
        <f>State_Fossil_All_Mapping_SEDS!AG50/State_Fossil_All_Mapping_SEDS!$BB50</f>
        <v>0</v>
      </c>
      <c r="AG9" s="34">
        <f>State_Fossil_All_Mapping_SEDS!AH50/State_Fossil_All_Mapping_SEDS!$BB50</f>
        <v>0.06363636364</v>
      </c>
      <c r="AH9" s="34">
        <f>State_Fossil_All_Mapping_SEDS!AI50/State_Fossil_All_Mapping_SEDS!$BB50</f>
        <v>0</v>
      </c>
      <c r="AI9" s="34">
        <f>State_Fossil_All_Mapping_SEDS!AJ50/State_Fossil_All_Mapping_SEDS!$BB50</f>
        <v>0</v>
      </c>
      <c r="AJ9" s="34">
        <f>State_Fossil_All_Mapping_SEDS!AK50/State_Fossil_All_Mapping_SEDS!$BB50</f>
        <v>0</v>
      </c>
      <c r="AK9" s="34">
        <f>State_Fossil_All_Mapping_SEDS!AL50/State_Fossil_All_Mapping_SEDS!$BB50</f>
        <v>0</v>
      </c>
      <c r="AL9" s="34">
        <f>State_Fossil_All_Mapping_SEDS!AM50/State_Fossil_All_Mapping_SEDS!$BB50</f>
        <v>0</v>
      </c>
      <c r="AM9" s="34">
        <f>State_Fossil_All_Mapping_SEDS!AN50/State_Fossil_All_Mapping_SEDS!$BB50</f>
        <v>0</v>
      </c>
      <c r="AN9" s="34">
        <f>State_Fossil_All_Mapping_SEDS!AO50/State_Fossil_All_Mapping_SEDS!$BB50</f>
        <v>0</v>
      </c>
      <c r="AO9" s="34">
        <f>State_Fossil_All_Mapping_SEDS!AP50/State_Fossil_All_Mapping_SEDS!$BB50</f>
        <v>0</v>
      </c>
      <c r="AP9" s="34">
        <f>State_Fossil_All_Mapping_SEDS!AQ50/State_Fossil_All_Mapping_SEDS!$BB50</f>
        <v>0</v>
      </c>
      <c r="AQ9" s="34">
        <f>State_Fossil_All_Mapping_SEDS!AR50/State_Fossil_All_Mapping_SEDS!$BB50</f>
        <v>0</v>
      </c>
      <c r="AR9" s="34">
        <f>State_Fossil_All_Mapping_SEDS!AS50/State_Fossil_All_Mapping_SEDS!$BB50</f>
        <v>0</v>
      </c>
      <c r="AS9" s="34">
        <f>State_Fossil_All_Mapping_SEDS!AT50/State_Fossil_All_Mapping_SEDS!$BB50</f>
        <v>0</v>
      </c>
      <c r="AT9" s="34">
        <f>State_Fossil_All_Mapping_SEDS!AU50/State_Fossil_All_Mapping_SEDS!$BB50</f>
        <v>0.1318181818</v>
      </c>
      <c r="AU9" s="34">
        <f>State_Fossil_All_Mapping_SEDS!AV50/State_Fossil_All_Mapping_SEDS!$BB50</f>
        <v>0</v>
      </c>
      <c r="AV9" s="34">
        <f>State_Fossil_All_Mapping_SEDS!AW50/State_Fossil_All_Mapping_SEDS!$BB50</f>
        <v>0</v>
      </c>
      <c r="AW9" s="34">
        <f>State_Fossil_All_Mapping_SEDS!AX50/State_Fossil_All_Mapping_SEDS!$BB50</f>
        <v>0</v>
      </c>
      <c r="AX9" s="34">
        <f>State_Fossil_All_Mapping_SEDS!AY50/State_Fossil_All_Mapping_SEDS!$BB50</f>
        <v>0</v>
      </c>
      <c r="AY9" s="34">
        <f>State_Fossil_All_Mapping_SEDS!AZ50/State_Fossil_All_Mapping_SEDS!$BB50</f>
        <v>0</v>
      </c>
      <c r="AZ9" s="34">
        <f>State_Fossil_All_Mapping_SEDS!BA50/State_Fossil_All_Mapping_SEDS!$BB50</f>
        <v>0.07272727273</v>
      </c>
    </row>
    <row r="10" ht="15.75" customHeight="1">
      <c r="A10" s="34">
        <v>9.0</v>
      </c>
      <c r="B10" s="34">
        <f>State_Fossil_All_Mapping_SEDS!C51/State_Fossil_All_Mapping_SEDS!$BB51</f>
        <v>0</v>
      </c>
      <c r="C10" s="34">
        <f>State_Fossil_All_Mapping_SEDS!D51/State_Fossil_All_Mapping_SEDS!$BB51</f>
        <v>0.1953125</v>
      </c>
      <c r="D10" s="34">
        <f>State_Fossil_All_Mapping_SEDS!E51/State_Fossil_All_Mapping_SEDS!$BB51</f>
        <v>0</v>
      </c>
      <c r="E10" s="34">
        <f>State_Fossil_All_Mapping_SEDS!F51/State_Fossil_All_Mapping_SEDS!$BB51</f>
        <v>0</v>
      </c>
      <c r="F10" s="34">
        <f>State_Fossil_All_Mapping_SEDS!G51/State_Fossil_All_Mapping_SEDS!$BB51</f>
        <v>0.5338541667</v>
      </c>
      <c r="G10" s="34">
        <f>State_Fossil_All_Mapping_SEDS!H51/State_Fossil_All_Mapping_SEDS!$BB51</f>
        <v>0</v>
      </c>
      <c r="H10" s="34">
        <f>State_Fossil_All_Mapping_SEDS!I51/State_Fossil_All_Mapping_SEDS!$BB51</f>
        <v>0</v>
      </c>
      <c r="I10" s="34">
        <f>State_Fossil_All_Mapping_SEDS!J51/State_Fossil_All_Mapping_SEDS!$BB51</f>
        <v>0</v>
      </c>
      <c r="J10" s="34">
        <f>State_Fossil_All_Mapping_SEDS!K51/State_Fossil_All_Mapping_SEDS!$BB51</f>
        <v>0</v>
      </c>
      <c r="K10" s="34">
        <f>State_Fossil_All_Mapping_SEDS!L51/State_Fossil_All_Mapping_SEDS!$BB51</f>
        <v>0</v>
      </c>
      <c r="L10" s="34">
        <f>State_Fossil_All_Mapping_SEDS!M51/State_Fossil_All_Mapping_SEDS!$BB51</f>
        <v>0</v>
      </c>
      <c r="M10" s="34">
        <f>State_Fossil_All_Mapping_SEDS!N51/State_Fossil_All_Mapping_SEDS!$BB51</f>
        <v>0.03385416667</v>
      </c>
      <c r="N10" s="34">
        <f>State_Fossil_All_Mapping_SEDS!O51/State_Fossil_All_Mapping_SEDS!$BB51</f>
        <v>0</v>
      </c>
      <c r="O10" s="34">
        <f>State_Fossil_All_Mapping_SEDS!P51/State_Fossil_All_Mapping_SEDS!$BB51</f>
        <v>0</v>
      </c>
      <c r="P10" s="34">
        <f>State_Fossil_All_Mapping_SEDS!Q51/State_Fossil_All_Mapping_SEDS!$BB51</f>
        <v>0</v>
      </c>
      <c r="Q10" s="34">
        <f>State_Fossil_All_Mapping_SEDS!R51/State_Fossil_All_Mapping_SEDS!$BB51</f>
        <v>0</v>
      </c>
      <c r="R10" s="34">
        <f>State_Fossil_All_Mapping_SEDS!S51/State_Fossil_All_Mapping_SEDS!$BB51</f>
        <v>0</v>
      </c>
      <c r="S10" s="34">
        <f>State_Fossil_All_Mapping_SEDS!T51/State_Fossil_All_Mapping_SEDS!$BB51</f>
        <v>0</v>
      </c>
      <c r="T10" s="34">
        <f>State_Fossil_All_Mapping_SEDS!U51/State_Fossil_All_Mapping_SEDS!$BB51</f>
        <v>0</v>
      </c>
      <c r="U10" s="34">
        <f>State_Fossil_All_Mapping_SEDS!V51/State_Fossil_All_Mapping_SEDS!$BB51</f>
        <v>0</v>
      </c>
      <c r="V10" s="34">
        <f>State_Fossil_All_Mapping_SEDS!W51/State_Fossil_All_Mapping_SEDS!$BB51</f>
        <v>0</v>
      </c>
      <c r="W10" s="34">
        <f>State_Fossil_All_Mapping_SEDS!X51/State_Fossil_All_Mapping_SEDS!$BB51</f>
        <v>0</v>
      </c>
      <c r="X10" s="34">
        <f>State_Fossil_All_Mapping_SEDS!Y51/State_Fossil_All_Mapping_SEDS!$BB51</f>
        <v>0</v>
      </c>
      <c r="Y10" s="34">
        <f>State_Fossil_All_Mapping_SEDS!Z51/State_Fossil_All_Mapping_SEDS!$BB51</f>
        <v>0</v>
      </c>
      <c r="Z10" s="34">
        <f>State_Fossil_All_Mapping_SEDS!AA51/State_Fossil_All_Mapping_SEDS!$BB51</f>
        <v>0</v>
      </c>
      <c r="AA10" s="34">
        <f>State_Fossil_All_Mapping_SEDS!AB51/State_Fossil_All_Mapping_SEDS!$BB51</f>
        <v>0</v>
      </c>
      <c r="AB10" s="34">
        <f>State_Fossil_All_Mapping_SEDS!AC51/State_Fossil_All_Mapping_SEDS!$BB51</f>
        <v>0</v>
      </c>
      <c r="AC10" s="34">
        <f>State_Fossil_All_Mapping_SEDS!AD51/State_Fossil_All_Mapping_SEDS!$BB51</f>
        <v>0</v>
      </c>
      <c r="AD10" s="34">
        <f>State_Fossil_All_Mapping_SEDS!AE51/State_Fossil_All_Mapping_SEDS!$BB51</f>
        <v>0</v>
      </c>
      <c r="AE10" s="34">
        <f>State_Fossil_All_Mapping_SEDS!AF51/State_Fossil_All_Mapping_SEDS!$BB51</f>
        <v>0</v>
      </c>
      <c r="AF10" s="34">
        <f>State_Fossil_All_Mapping_SEDS!AG51/State_Fossil_All_Mapping_SEDS!$BB51</f>
        <v>0</v>
      </c>
      <c r="AG10" s="34">
        <f>State_Fossil_All_Mapping_SEDS!AH51/State_Fossil_All_Mapping_SEDS!$BB51</f>
        <v>0</v>
      </c>
      <c r="AH10" s="34">
        <f>State_Fossil_All_Mapping_SEDS!AI51/State_Fossil_All_Mapping_SEDS!$BB51</f>
        <v>0</v>
      </c>
      <c r="AI10" s="34">
        <f>State_Fossil_All_Mapping_SEDS!AJ51/State_Fossil_All_Mapping_SEDS!$BB51</f>
        <v>0</v>
      </c>
      <c r="AJ10" s="34">
        <f>State_Fossil_All_Mapping_SEDS!AK51/State_Fossil_All_Mapping_SEDS!$BB51</f>
        <v>0</v>
      </c>
      <c r="AK10" s="34">
        <f>State_Fossil_All_Mapping_SEDS!AL51/State_Fossil_All_Mapping_SEDS!$BB51</f>
        <v>0</v>
      </c>
      <c r="AL10" s="34">
        <f>State_Fossil_All_Mapping_SEDS!AM51/State_Fossil_All_Mapping_SEDS!$BB51</f>
        <v>0</v>
      </c>
      <c r="AM10" s="34">
        <f>State_Fossil_All_Mapping_SEDS!AN51/State_Fossil_All_Mapping_SEDS!$BB51</f>
        <v>0.0625</v>
      </c>
      <c r="AN10" s="34">
        <f>State_Fossil_All_Mapping_SEDS!AO51/State_Fossil_All_Mapping_SEDS!$BB51</f>
        <v>0</v>
      </c>
      <c r="AO10" s="34">
        <f>State_Fossil_All_Mapping_SEDS!AP51/State_Fossil_All_Mapping_SEDS!$BB51</f>
        <v>0</v>
      </c>
      <c r="AP10" s="34">
        <f>State_Fossil_All_Mapping_SEDS!AQ51/State_Fossil_All_Mapping_SEDS!$BB51</f>
        <v>0</v>
      </c>
      <c r="AQ10" s="34">
        <f>State_Fossil_All_Mapping_SEDS!AR51/State_Fossil_All_Mapping_SEDS!$BB51</f>
        <v>0</v>
      </c>
      <c r="AR10" s="34">
        <f>State_Fossil_All_Mapping_SEDS!AS51/State_Fossil_All_Mapping_SEDS!$BB51</f>
        <v>0</v>
      </c>
      <c r="AS10" s="34">
        <f>State_Fossil_All_Mapping_SEDS!AT51/State_Fossil_All_Mapping_SEDS!$BB51</f>
        <v>0</v>
      </c>
      <c r="AT10" s="34">
        <f>State_Fossil_All_Mapping_SEDS!AU51/State_Fossil_All_Mapping_SEDS!$BB51</f>
        <v>0</v>
      </c>
      <c r="AU10" s="34">
        <f>State_Fossil_All_Mapping_SEDS!AV51/State_Fossil_All_Mapping_SEDS!$BB51</f>
        <v>0</v>
      </c>
      <c r="AV10" s="34">
        <f>State_Fossil_All_Mapping_SEDS!AW51/State_Fossil_All_Mapping_SEDS!$BB51</f>
        <v>0</v>
      </c>
      <c r="AW10" s="34">
        <f>State_Fossil_All_Mapping_SEDS!AX51/State_Fossil_All_Mapping_SEDS!$BB51</f>
        <v>0.1744791667</v>
      </c>
      <c r="AX10" s="34">
        <f>State_Fossil_All_Mapping_SEDS!AY51/State_Fossil_All_Mapping_SEDS!$BB51</f>
        <v>0</v>
      </c>
      <c r="AY10" s="34">
        <f>State_Fossil_All_Mapping_SEDS!AZ51/State_Fossil_All_Mapping_SEDS!$BB51</f>
        <v>0</v>
      </c>
      <c r="AZ10" s="34">
        <f>State_Fossil_All_Mapping_SEDS!BA51/State_Fossil_All_Mapping_SEDS!$BB51</f>
        <v>0</v>
      </c>
    </row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</sheetData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45" t="s">
        <v>94</v>
      </c>
      <c r="B1" s="45" t="s">
        <v>1994</v>
      </c>
      <c r="C1" s="45" t="s">
        <v>2062</v>
      </c>
      <c r="D1" s="45" t="s">
        <v>2063</v>
      </c>
      <c r="E1" s="45" t="s">
        <v>2079</v>
      </c>
      <c r="F1" s="45" t="s">
        <v>2137</v>
      </c>
      <c r="G1" s="45" t="s">
        <v>2194</v>
      </c>
      <c r="H1" s="45" t="s">
        <v>2250</v>
      </c>
      <c r="I1" s="45" t="s">
        <v>2259</v>
      </c>
      <c r="J1" s="45" t="s">
        <v>2263</v>
      </c>
      <c r="K1" s="45" t="s">
        <v>2264</v>
      </c>
      <c r="L1" s="45" t="s">
        <v>2314</v>
      </c>
      <c r="M1" s="45" t="s">
        <v>2423</v>
      </c>
      <c r="N1" s="45" t="s">
        <v>2424</v>
      </c>
      <c r="O1" s="45" t="s">
        <v>2458</v>
      </c>
      <c r="P1" s="45" t="s">
        <v>2513</v>
      </c>
      <c r="Q1" s="45" t="s">
        <v>2555</v>
      </c>
      <c r="R1" s="45" t="s">
        <v>2601</v>
      </c>
      <c r="S1" s="45" t="s">
        <v>2669</v>
      </c>
      <c r="T1" s="45" t="s">
        <v>2725</v>
      </c>
      <c r="U1" s="45" t="s">
        <v>2790</v>
      </c>
      <c r="V1" s="45" t="s">
        <v>2801</v>
      </c>
      <c r="W1" s="45" t="s">
        <v>2819</v>
      </c>
      <c r="X1" s="45" t="s">
        <v>2830</v>
      </c>
      <c r="Y1" s="45" t="s">
        <v>2893</v>
      </c>
      <c r="Z1" s="45" t="s">
        <v>2955</v>
      </c>
      <c r="AA1" s="45" t="s">
        <v>2992</v>
      </c>
      <c r="AB1" s="45" t="s">
        <v>3034</v>
      </c>
      <c r="AC1" s="45" t="s">
        <v>3071</v>
      </c>
      <c r="AD1" s="45" t="s">
        <v>3112</v>
      </c>
      <c r="AE1" s="45" t="s">
        <v>3123</v>
      </c>
      <c r="AF1" s="45" t="s">
        <v>3131</v>
      </c>
      <c r="AG1" s="45" t="s">
        <v>3143</v>
      </c>
      <c r="AH1" s="45" t="s">
        <v>3168</v>
      </c>
      <c r="AI1" s="45" t="s">
        <v>3200</v>
      </c>
      <c r="AJ1" s="45" t="s">
        <v>3265</v>
      </c>
      <c r="AK1" s="45" t="s">
        <v>3297</v>
      </c>
      <c r="AL1" s="45" t="s">
        <v>3333</v>
      </c>
      <c r="AM1" s="45" t="s">
        <v>3376</v>
      </c>
      <c r="AN1" s="45" t="s">
        <v>3393</v>
      </c>
      <c r="AO1" s="45" t="s">
        <v>3427</v>
      </c>
      <c r="AP1" s="45" t="s">
        <v>3430</v>
      </c>
      <c r="AQ1" s="45" t="s">
        <v>3458</v>
      </c>
      <c r="AR1" s="45" t="s">
        <v>3497</v>
      </c>
      <c r="AS1" s="45" t="s">
        <v>3524</v>
      </c>
      <c r="AT1" s="45" t="s">
        <v>3687</v>
      </c>
      <c r="AU1" s="45" t="s">
        <v>3704</v>
      </c>
      <c r="AV1" s="45" t="s">
        <v>3713</v>
      </c>
      <c r="AW1" s="45" t="s">
        <v>3797</v>
      </c>
      <c r="AX1" s="45" t="s">
        <v>3820</v>
      </c>
      <c r="AY1" s="45" t="s">
        <v>3838</v>
      </c>
      <c r="AZ1" s="45" t="s">
        <v>3874</v>
      </c>
    </row>
    <row r="2" ht="15.75" customHeight="1">
      <c r="A2" s="34">
        <v>1.0</v>
      </c>
      <c r="B2" s="34">
        <f>State_Fossil_All_Mapping_SEDS!C56/State_Fossil_All_Mapping_SEDS!$BB56</f>
        <v>0</v>
      </c>
      <c r="C2" s="34">
        <f>State_Fossil_All_Mapping_SEDS!D56/State_Fossil_All_Mapping_SEDS!$BB56</f>
        <v>0</v>
      </c>
      <c r="D2" s="34">
        <f>State_Fossil_All_Mapping_SEDS!E56/State_Fossil_All_Mapping_SEDS!$BB56</f>
        <v>0</v>
      </c>
      <c r="E2" s="34">
        <f>State_Fossil_All_Mapping_SEDS!F56/State_Fossil_All_Mapping_SEDS!$BB56</f>
        <v>0</v>
      </c>
      <c r="F2" s="34">
        <f>State_Fossil_All_Mapping_SEDS!G56/State_Fossil_All_Mapping_SEDS!$BB56</f>
        <v>0</v>
      </c>
      <c r="G2" s="34">
        <f>State_Fossil_All_Mapping_SEDS!H56/State_Fossil_All_Mapping_SEDS!$BB56</f>
        <v>0</v>
      </c>
      <c r="H2" s="34">
        <f>State_Fossil_All_Mapping_SEDS!I56/State_Fossil_All_Mapping_SEDS!$BB56</f>
        <v>0.1211801897</v>
      </c>
      <c r="I2" s="34">
        <f>State_Fossil_All_Mapping_SEDS!J56/State_Fossil_All_Mapping_SEDS!$BB56</f>
        <v>0</v>
      </c>
      <c r="J2" s="34">
        <f>State_Fossil_All_Mapping_SEDS!K56/State_Fossil_All_Mapping_SEDS!$BB56</f>
        <v>0</v>
      </c>
      <c r="K2" s="34">
        <f>State_Fossil_All_Mapping_SEDS!L56/State_Fossil_All_Mapping_SEDS!$BB56</f>
        <v>0</v>
      </c>
      <c r="L2" s="34">
        <f>State_Fossil_All_Mapping_SEDS!M56/State_Fossil_All_Mapping_SEDS!$BB56</f>
        <v>0</v>
      </c>
      <c r="M2" s="34">
        <f>State_Fossil_All_Mapping_SEDS!N56/State_Fossil_All_Mapping_SEDS!$BB56</f>
        <v>0</v>
      </c>
      <c r="N2" s="34">
        <f>State_Fossil_All_Mapping_SEDS!O56/State_Fossil_All_Mapping_SEDS!$BB56</f>
        <v>0</v>
      </c>
      <c r="O2" s="34">
        <f>State_Fossil_All_Mapping_SEDS!P56/State_Fossil_All_Mapping_SEDS!$BB56</f>
        <v>0</v>
      </c>
      <c r="P2" s="34">
        <f>State_Fossil_All_Mapping_SEDS!Q56/State_Fossil_All_Mapping_SEDS!$BB56</f>
        <v>0</v>
      </c>
      <c r="Q2" s="34">
        <f>State_Fossil_All_Mapping_SEDS!R56/State_Fossil_All_Mapping_SEDS!$BB56</f>
        <v>0</v>
      </c>
      <c r="R2" s="34">
        <f>State_Fossil_All_Mapping_SEDS!S56/State_Fossil_All_Mapping_SEDS!$BB56</f>
        <v>0</v>
      </c>
      <c r="S2" s="34">
        <f>State_Fossil_All_Mapping_SEDS!T56/State_Fossil_All_Mapping_SEDS!$BB56</f>
        <v>0</v>
      </c>
      <c r="T2" s="34">
        <f>State_Fossil_All_Mapping_SEDS!U56/State_Fossil_All_Mapping_SEDS!$BB56</f>
        <v>0</v>
      </c>
      <c r="U2" s="34">
        <f>State_Fossil_All_Mapping_SEDS!V56/State_Fossil_All_Mapping_SEDS!$BB56</f>
        <v>0.2613277134</v>
      </c>
      <c r="V2" s="34">
        <f>State_Fossil_All_Mapping_SEDS!W56/State_Fossil_All_Mapping_SEDS!$BB56</f>
        <v>0</v>
      </c>
      <c r="W2" s="34">
        <f>State_Fossil_All_Mapping_SEDS!X56/State_Fossil_All_Mapping_SEDS!$BB56</f>
        <v>0.167544784</v>
      </c>
      <c r="X2" s="34">
        <f>State_Fossil_All_Mapping_SEDS!Y56/State_Fossil_All_Mapping_SEDS!$BB56</f>
        <v>0</v>
      </c>
      <c r="Y2" s="34">
        <f>State_Fossil_All_Mapping_SEDS!Z56/State_Fossil_All_Mapping_SEDS!$BB56</f>
        <v>0</v>
      </c>
      <c r="Z2" s="34">
        <f>State_Fossil_All_Mapping_SEDS!AA56/State_Fossil_All_Mapping_SEDS!$BB56</f>
        <v>0</v>
      </c>
      <c r="AA2" s="34">
        <f>State_Fossil_All_Mapping_SEDS!AB56/State_Fossil_All_Mapping_SEDS!$BB56</f>
        <v>0</v>
      </c>
      <c r="AB2" s="34">
        <f>State_Fossil_All_Mapping_SEDS!AC56/State_Fossil_All_Mapping_SEDS!$BB56</f>
        <v>0</v>
      </c>
      <c r="AC2" s="34">
        <f>State_Fossil_All_Mapping_SEDS!AD56/State_Fossil_All_Mapping_SEDS!$BB56</f>
        <v>0</v>
      </c>
      <c r="AD2" s="34">
        <f>State_Fossil_All_Mapping_SEDS!AE56/State_Fossil_All_Mapping_SEDS!$BB56</f>
        <v>0</v>
      </c>
      <c r="AE2" s="34">
        <f>State_Fossil_All_Mapping_SEDS!AF56/State_Fossil_All_Mapping_SEDS!$BB56</f>
        <v>0.2223393045</v>
      </c>
      <c r="AF2" s="34">
        <f>State_Fossil_All_Mapping_SEDS!AG56/State_Fossil_All_Mapping_SEDS!$BB56</f>
        <v>0</v>
      </c>
      <c r="AG2" s="34">
        <f>State_Fossil_All_Mapping_SEDS!AH56/State_Fossil_All_Mapping_SEDS!$BB56</f>
        <v>0</v>
      </c>
      <c r="AH2" s="34">
        <f>State_Fossil_All_Mapping_SEDS!AI56/State_Fossil_All_Mapping_SEDS!$BB56</f>
        <v>0</v>
      </c>
      <c r="AI2" s="34">
        <f>State_Fossil_All_Mapping_SEDS!AJ56/State_Fossil_All_Mapping_SEDS!$BB56</f>
        <v>0</v>
      </c>
      <c r="AJ2" s="34">
        <f>State_Fossil_All_Mapping_SEDS!AK56/State_Fossil_All_Mapping_SEDS!$BB56</f>
        <v>0</v>
      </c>
      <c r="AK2" s="34">
        <f>State_Fossil_All_Mapping_SEDS!AL56/State_Fossil_All_Mapping_SEDS!$BB56</f>
        <v>0</v>
      </c>
      <c r="AL2" s="34">
        <f>State_Fossil_All_Mapping_SEDS!AM56/State_Fossil_All_Mapping_SEDS!$BB56</f>
        <v>0</v>
      </c>
      <c r="AM2" s="34">
        <f>State_Fossil_All_Mapping_SEDS!AN56/State_Fossil_All_Mapping_SEDS!$BB56</f>
        <v>0</v>
      </c>
      <c r="AN2" s="34">
        <f>State_Fossil_All_Mapping_SEDS!AO56/State_Fossil_All_Mapping_SEDS!$BB56</f>
        <v>0</v>
      </c>
      <c r="AO2" s="34">
        <f>State_Fossil_All_Mapping_SEDS!AP56/State_Fossil_All_Mapping_SEDS!$BB56</f>
        <v>0.02950474183</v>
      </c>
      <c r="AP2" s="34">
        <f>State_Fossil_All_Mapping_SEDS!AQ56/State_Fossil_All_Mapping_SEDS!$BB56</f>
        <v>0</v>
      </c>
      <c r="AQ2" s="34">
        <f>State_Fossil_All_Mapping_SEDS!AR56/State_Fossil_All_Mapping_SEDS!$BB56</f>
        <v>0</v>
      </c>
      <c r="AR2" s="34">
        <f>State_Fossil_All_Mapping_SEDS!AS56/State_Fossil_All_Mapping_SEDS!$BB56</f>
        <v>0</v>
      </c>
      <c r="AS2" s="34">
        <f>State_Fossil_All_Mapping_SEDS!AT56/State_Fossil_All_Mapping_SEDS!$BB56</f>
        <v>0</v>
      </c>
      <c r="AT2" s="34">
        <f>State_Fossil_All_Mapping_SEDS!AU56/State_Fossil_All_Mapping_SEDS!$BB56</f>
        <v>0</v>
      </c>
      <c r="AU2" s="34">
        <f>State_Fossil_All_Mapping_SEDS!AV56/State_Fossil_All_Mapping_SEDS!$BB56</f>
        <v>0.1981032666</v>
      </c>
      <c r="AV2" s="34">
        <f>State_Fossil_All_Mapping_SEDS!AW56/State_Fossil_All_Mapping_SEDS!$BB56</f>
        <v>0</v>
      </c>
      <c r="AW2" s="34">
        <f>State_Fossil_All_Mapping_SEDS!AX56/State_Fossil_All_Mapping_SEDS!$BB56</f>
        <v>0</v>
      </c>
      <c r="AX2" s="34">
        <f>State_Fossil_All_Mapping_SEDS!AY56/State_Fossil_All_Mapping_SEDS!$BB56</f>
        <v>0</v>
      </c>
      <c r="AY2" s="34">
        <f>State_Fossil_All_Mapping_SEDS!AZ56/State_Fossil_All_Mapping_SEDS!$BB56</f>
        <v>0</v>
      </c>
      <c r="AZ2" s="34">
        <f>State_Fossil_All_Mapping_SEDS!BA56/State_Fossil_All_Mapping_SEDS!$BB56</f>
        <v>0</v>
      </c>
    </row>
    <row r="3" ht="15.75" customHeight="1">
      <c r="A3" s="34">
        <v>2.0</v>
      </c>
      <c r="B3" s="34">
        <f>State_Fossil_All_Mapping_SEDS!C57/State_Fossil_All_Mapping_SEDS!$BB57</f>
        <v>0</v>
      </c>
      <c r="C3" s="34">
        <f>State_Fossil_All_Mapping_SEDS!D57/State_Fossil_All_Mapping_SEDS!$BB57</f>
        <v>0</v>
      </c>
      <c r="D3" s="34">
        <f>State_Fossil_All_Mapping_SEDS!E57/State_Fossil_All_Mapping_SEDS!$BB57</f>
        <v>0</v>
      </c>
      <c r="E3" s="34">
        <f>State_Fossil_All_Mapping_SEDS!F57/State_Fossil_All_Mapping_SEDS!$BB57</f>
        <v>0</v>
      </c>
      <c r="F3" s="34">
        <f>State_Fossil_All_Mapping_SEDS!G57/State_Fossil_All_Mapping_SEDS!$BB57</f>
        <v>0</v>
      </c>
      <c r="G3" s="34">
        <f>State_Fossil_All_Mapping_SEDS!H57/State_Fossil_All_Mapping_SEDS!$BB57</f>
        <v>0</v>
      </c>
      <c r="H3" s="34">
        <f>State_Fossil_All_Mapping_SEDS!I57/State_Fossil_All_Mapping_SEDS!$BB57</f>
        <v>0</v>
      </c>
      <c r="I3" s="34">
        <f>State_Fossil_All_Mapping_SEDS!J57/State_Fossil_All_Mapping_SEDS!$BB57</f>
        <v>0</v>
      </c>
      <c r="J3" s="34">
        <f>State_Fossil_All_Mapping_SEDS!K57/State_Fossil_All_Mapping_SEDS!$BB57</f>
        <v>0</v>
      </c>
      <c r="K3" s="34">
        <f>State_Fossil_All_Mapping_SEDS!L57/State_Fossil_All_Mapping_SEDS!$BB57</f>
        <v>0</v>
      </c>
      <c r="L3" s="34">
        <f>State_Fossil_All_Mapping_SEDS!M57/State_Fossil_All_Mapping_SEDS!$BB57</f>
        <v>0</v>
      </c>
      <c r="M3" s="34">
        <f>State_Fossil_All_Mapping_SEDS!N57/State_Fossil_All_Mapping_SEDS!$BB57</f>
        <v>0</v>
      </c>
      <c r="N3" s="34">
        <f>State_Fossil_All_Mapping_SEDS!O57/State_Fossil_All_Mapping_SEDS!$BB57</f>
        <v>0</v>
      </c>
      <c r="O3" s="34">
        <f>State_Fossil_All_Mapping_SEDS!P57/State_Fossil_All_Mapping_SEDS!$BB57</f>
        <v>0</v>
      </c>
      <c r="P3" s="34">
        <f>State_Fossil_All_Mapping_SEDS!Q57/State_Fossil_All_Mapping_SEDS!$BB57</f>
        <v>0</v>
      </c>
      <c r="Q3" s="34">
        <f>State_Fossil_All_Mapping_SEDS!R57/State_Fossil_All_Mapping_SEDS!$BB57</f>
        <v>0</v>
      </c>
      <c r="R3" s="34">
        <f>State_Fossil_All_Mapping_SEDS!S57/State_Fossil_All_Mapping_SEDS!$BB57</f>
        <v>0</v>
      </c>
      <c r="S3" s="34">
        <f>State_Fossil_All_Mapping_SEDS!T57/State_Fossil_All_Mapping_SEDS!$BB57</f>
        <v>0</v>
      </c>
      <c r="T3" s="34">
        <f>State_Fossil_All_Mapping_SEDS!U57/State_Fossil_All_Mapping_SEDS!$BB57</f>
        <v>0</v>
      </c>
      <c r="U3" s="34">
        <f>State_Fossil_All_Mapping_SEDS!V57/State_Fossil_All_Mapping_SEDS!$BB57</f>
        <v>0</v>
      </c>
      <c r="V3" s="34">
        <f>State_Fossil_All_Mapping_SEDS!W57/State_Fossil_All_Mapping_SEDS!$BB57</f>
        <v>0</v>
      </c>
      <c r="W3" s="34">
        <f>State_Fossil_All_Mapping_SEDS!X57/State_Fossil_All_Mapping_SEDS!$BB57</f>
        <v>0</v>
      </c>
      <c r="X3" s="34">
        <f>State_Fossil_All_Mapping_SEDS!Y57/State_Fossil_All_Mapping_SEDS!$BB57</f>
        <v>0</v>
      </c>
      <c r="Y3" s="34">
        <f>State_Fossil_All_Mapping_SEDS!Z57/State_Fossil_All_Mapping_SEDS!$BB57</f>
        <v>0</v>
      </c>
      <c r="Z3" s="34">
        <f>State_Fossil_All_Mapping_SEDS!AA57/State_Fossil_All_Mapping_SEDS!$BB57</f>
        <v>0</v>
      </c>
      <c r="AA3" s="34">
        <f>State_Fossil_All_Mapping_SEDS!AB57/State_Fossil_All_Mapping_SEDS!$BB57</f>
        <v>0</v>
      </c>
      <c r="AB3" s="34">
        <f>State_Fossil_All_Mapping_SEDS!AC57/State_Fossil_All_Mapping_SEDS!$BB57</f>
        <v>0</v>
      </c>
      <c r="AC3" s="34">
        <f>State_Fossil_All_Mapping_SEDS!AD57/State_Fossil_All_Mapping_SEDS!$BB57</f>
        <v>0</v>
      </c>
      <c r="AD3" s="34">
        <f>State_Fossil_All_Mapping_SEDS!AE57/State_Fossil_All_Mapping_SEDS!$BB57</f>
        <v>0</v>
      </c>
      <c r="AE3" s="34">
        <f>State_Fossil_All_Mapping_SEDS!AF57/State_Fossil_All_Mapping_SEDS!$BB57</f>
        <v>0</v>
      </c>
      <c r="AF3" s="34">
        <f>State_Fossil_All_Mapping_SEDS!AG57/State_Fossil_All_Mapping_SEDS!$BB57</f>
        <v>0.05603038936</v>
      </c>
      <c r="AG3" s="34">
        <f>State_Fossil_All_Mapping_SEDS!AH57/State_Fossil_All_Mapping_SEDS!$BB57</f>
        <v>0</v>
      </c>
      <c r="AH3" s="34">
        <f>State_Fossil_All_Mapping_SEDS!AI57/State_Fossil_All_Mapping_SEDS!$BB57</f>
        <v>0.4985754986</v>
      </c>
      <c r="AI3" s="34">
        <f>State_Fossil_All_Mapping_SEDS!AJ57/State_Fossil_All_Mapping_SEDS!$BB57</f>
        <v>0</v>
      </c>
      <c r="AJ3" s="34">
        <f>State_Fossil_All_Mapping_SEDS!AK57/State_Fossil_All_Mapping_SEDS!$BB57</f>
        <v>0</v>
      </c>
      <c r="AK3" s="34">
        <f>State_Fossil_All_Mapping_SEDS!AL57/State_Fossil_All_Mapping_SEDS!$BB57</f>
        <v>0</v>
      </c>
      <c r="AL3" s="34">
        <f>State_Fossil_All_Mapping_SEDS!AM57/State_Fossil_All_Mapping_SEDS!$BB57</f>
        <v>0</v>
      </c>
      <c r="AM3" s="34">
        <f>State_Fossil_All_Mapping_SEDS!AN57/State_Fossil_All_Mapping_SEDS!$BB57</f>
        <v>0</v>
      </c>
      <c r="AN3" s="34">
        <f>State_Fossil_All_Mapping_SEDS!AO57/State_Fossil_All_Mapping_SEDS!$BB57</f>
        <v>0.4453941121</v>
      </c>
      <c r="AO3" s="34">
        <f>State_Fossil_All_Mapping_SEDS!AP57/State_Fossil_All_Mapping_SEDS!$BB57</f>
        <v>0</v>
      </c>
      <c r="AP3" s="34">
        <f>State_Fossil_All_Mapping_SEDS!AQ57/State_Fossil_All_Mapping_SEDS!$BB57</f>
        <v>0</v>
      </c>
      <c r="AQ3" s="34">
        <f>State_Fossil_All_Mapping_SEDS!AR57/State_Fossil_All_Mapping_SEDS!$BB57</f>
        <v>0</v>
      </c>
      <c r="AR3" s="34">
        <f>State_Fossil_All_Mapping_SEDS!AS57/State_Fossil_All_Mapping_SEDS!$BB57</f>
        <v>0</v>
      </c>
      <c r="AS3" s="34">
        <f>State_Fossil_All_Mapping_SEDS!AT57/State_Fossil_All_Mapping_SEDS!$BB57</f>
        <v>0</v>
      </c>
      <c r="AT3" s="34">
        <f>State_Fossil_All_Mapping_SEDS!AU57/State_Fossil_All_Mapping_SEDS!$BB57</f>
        <v>0</v>
      </c>
      <c r="AU3" s="34">
        <f>State_Fossil_All_Mapping_SEDS!AV57/State_Fossil_All_Mapping_SEDS!$BB57</f>
        <v>0</v>
      </c>
      <c r="AV3" s="34">
        <f>State_Fossil_All_Mapping_SEDS!AW57/State_Fossil_All_Mapping_SEDS!$BB57</f>
        <v>0</v>
      </c>
      <c r="AW3" s="34">
        <f>State_Fossil_All_Mapping_SEDS!AX57/State_Fossil_All_Mapping_SEDS!$BB57</f>
        <v>0</v>
      </c>
      <c r="AX3" s="34">
        <f>State_Fossil_All_Mapping_SEDS!AY57/State_Fossil_All_Mapping_SEDS!$BB57</f>
        <v>0</v>
      </c>
      <c r="AY3" s="34">
        <f>State_Fossil_All_Mapping_SEDS!AZ57/State_Fossil_All_Mapping_SEDS!$BB57</f>
        <v>0</v>
      </c>
      <c r="AZ3" s="34">
        <f>State_Fossil_All_Mapping_SEDS!BA57/State_Fossil_All_Mapping_SEDS!$BB57</f>
        <v>0</v>
      </c>
    </row>
    <row r="4" ht="15.75" customHeight="1">
      <c r="A4" s="34">
        <v>3.0</v>
      </c>
      <c r="B4" s="34">
        <f>State_Fossil_All_Mapping_SEDS!C58/State_Fossil_All_Mapping_SEDS!$BB58</f>
        <v>0</v>
      </c>
      <c r="C4" s="34">
        <f>State_Fossil_All_Mapping_SEDS!D58/State_Fossil_All_Mapping_SEDS!$BB58</f>
        <v>0</v>
      </c>
      <c r="D4" s="34">
        <f>State_Fossil_All_Mapping_SEDS!E58/State_Fossil_All_Mapping_SEDS!$BB58</f>
        <v>0</v>
      </c>
      <c r="E4" s="34">
        <f>State_Fossil_All_Mapping_SEDS!F58/State_Fossil_All_Mapping_SEDS!$BB58</f>
        <v>0</v>
      </c>
      <c r="F4" s="34">
        <f>State_Fossil_All_Mapping_SEDS!G58/State_Fossil_All_Mapping_SEDS!$BB58</f>
        <v>0</v>
      </c>
      <c r="G4" s="34">
        <f>State_Fossil_All_Mapping_SEDS!H58/State_Fossil_All_Mapping_SEDS!$BB58</f>
        <v>0</v>
      </c>
      <c r="H4" s="34">
        <f>State_Fossil_All_Mapping_SEDS!I58/State_Fossil_All_Mapping_SEDS!$BB58</f>
        <v>0</v>
      </c>
      <c r="I4" s="34">
        <f>State_Fossil_All_Mapping_SEDS!J58/State_Fossil_All_Mapping_SEDS!$BB58</f>
        <v>0</v>
      </c>
      <c r="J4" s="34">
        <f>State_Fossil_All_Mapping_SEDS!K58/State_Fossil_All_Mapping_SEDS!$BB58</f>
        <v>0</v>
      </c>
      <c r="K4" s="34">
        <f>State_Fossil_All_Mapping_SEDS!L58/State_Fossil_All_Mapping_SEDS!$BB58</f>
        <v>0</v>
      </c>
      <c r="L4" s="34">
        <f>State_Fossil_All_Mapping_SEDS!M58/State_Fossil_All_Mapping_SEDS!$BB58</f>
        <v>0</v>
      </c>
      <c r="M4" s="34">
        <f>State_Fossil_All_Mapping_SEDS!N58/State_Fossil_All_Mapping_SEDS!$BB58</f>
        <v>0</v>
      </c>
      <c r="N4" s="34">
        <f>State_Fossil_All_Mapping_SEDS!O58/State_Fossil_All_Mapping_SEDS!$BB58</f>
        <v>0</v>
      </c>
      <c r="O4" s="34">
        <f>State_Fossil_All_Mapping_SEDS!P58/State_Fossil_All_Mapping_SEDS!$BB58</f>
        <v>0.148257241</v>
      </c>
      <c r="P4" s="34">
        <f>State_Fossil_All_Mapping_SEDS!Q58/State_Fossil_All_Mapping_SEDS!$BB58</f>
        <v>0.1080019637</v>
      </c>
      <c r="Q4" s="34">
        <f>State_Fossil_All_Mapping_SEDS!R58/State_Fossil_All_Mapping_SEDS!$BB58</f>
        <v>0</v>
      </c>
      <c r="R4" s="34">
        <f>State_Fossil_All_Mapping_SEDS!S58/State_Fossil_All_Mapping_SEDS!$BB58</f>
        <v>0</v>
      </c>
      <c r="S4" s="34">
        <f>State_Fossil_All_Mapping_SEDS!T58/State_Fossil_All_Mapping_SEDS!$BB58</f>
        <v>0</v>
      </c>
      <c r="T4" s="34">
        <f>State_Fossil_All_Mapping_SEDS!U58/State_Fossil_All_Mapping_SEDS!$BB58</f>
        <v>0</v>
      </c>
      <c r="U4" s="34">
        <f>State_Fossil_All_Mapping_SEDS!V58/State_Fossil_All_Mapping_SEDS!$BB58</f>
        <v>0</v>
      </c>
      <c r="V4" s="34">
        <f>State_Fossil_All_Mapping_SEDS!W58/State_Fossil_All_Mapping_SEDS!$BB58</f>
        <v>0</v>
      </c>
      <c r="W4" s="34">
        <f>State_Fossil_All_Mapping_SEDS!X58/State_Fossil_All_Mapping_SEDS!$BB58</f>
        <v>0</v>
      </c>
      <c r="X4" s="34">
        <f>State_Fossil_All_Mapping_SEDS!Y58/State_Fossil_All_Mapping_SEDS!$BB58</f>
        <v>0.2965144821</v>
      </c>
      <c r="Y4" s="34">
        <f>State_Fossil_All_Mapping_SEDS!Z58/State_Fossil_All_Mapping_SEDS!$BB58</f>
        <v>0</v>
      </c>
      <c r="Z4" s="34">
        <f>State_Fossil_All_Mapping_SEDS!AA58/State_Fossil_All_Mapping_SEDS!$BB58</f>
        <v>0</v>
      </c>
      <c r="AA4" s="34">
        <f>State_Fossil_All_Mapping_SEDS!AB58/State_Fossil_All_Mapping_SEDS!$BB58</f>
        <v>0</v>
      </c>
      <c r="AB4" s="34">
        <f>State_Fossil_All_Mapping_SEDS!AC58/State_Fossil_All_Mapping_SEDS!$BB58</f>
        <v>0</v>
      </c>
      <c r="AC4" s="34">
        <f>State_Fossil_All_Mapping_SEDS!AD58/State_Fossil_All_Mapping_SEDS!$BB58</f>
        <v>0</v>
      </c>
      <c r="AD4" s="34">
        <f>State_Fossil_All_Mapping_SEDS!AE58/State_Fossil_All_Mapping_SEDS!$BB58</f>
        <v>0</v>
      </c>
      <c r="AE4" s="34">
        <f>State_Fossil_All_Mapping_SEDS!AF58/State_Fossil_All_Mapping_SEDS!$BB58</f>
        <v>0</v>
      </c>
      <c r="AF4" s="34">
        <f>State_Fossil_All_Mapping_SEDS!AG58/State_Fossil_All_Mapping_SEDS!$BB58</f>
        <v>0</v>
      </c>
      <c r="AG4" s="34">
        <f>State_Fossil_All_Mapping_SEDS!AH58/State_Fossil_All_Mapping_SEDS!$BB58</f>
        <v>0</v>
      </c>
      <c r="AH4" s="34">
        <f>State_Fossil_All_Mapping_SEDS!AI58/State_Fossil_All_Mapping_SEDS!$BB58</f>
        <v>0</v>
      </c>
      <c r="AI4" s="34">
        <f>State_Fossil_All_Mapping_SEDS!AJ58/State_Fossil_All_Mapping_SEDS!$BB58</f>
        <v>0</v>
      </c>
      <c r="AJ4" s="34">
        <f>State_Fossil_All_Mapping_SEDS!AK58/State_Fossil_All_Mapping_SEDS!$BB58</f>
        <v>0</v>
      </c>
      <c r="AK4" s="34">
        <f>State_Fossil_All_Mapping_SEDS!AL58/State_Fossil_All_Mapping_SEDS!$BB58</f>
        <v>0.1860579283</v>
      </c>
      <c r="AL4" s="34">
        <f>State_Fossil_All_Mapping_SEDS!AM58/State_Fossil_All_Mapping_SEDS!$BB58</f>
        <v>0</v>
      </c>
      <c r="AM4" s="34">
        <f>State_Fossil_All_Mapping_SEDS!AN58/State_Fossil_All_Mapping_SEDS!$BB58</f>
        <v>0</v>
      </c>
      <c r="AN4" s="34">
        <f>State_Fossil_All_Mapping_SEDS!AO58/State_Fossil_All_Mapping_SEDS!$BB58</f>
        <v>0</v>
      </c>
      <c r="AO4" s="34">
        <f>State_Fossil_All_Mapping_SEDS!AP58/State_Fossil_All_Mapping_SEDS!$BB58</f>
        <v>0</v>
      </c>
      <c r="AP4" s="34">
        <f>State_Fossil_All_Mapping_SEDS!AQ58/State_Fossil_All_Mapping_SEDS!$BB58</f>
        <v>0</v>
      </c>
      <c r="AQ4" s="34">
        <f>State_Fossil_All_Mapping_SEDS!AR58/State_Fossil_All_Mapping_SEDS!$BB58</f>
        <v>0</v>
      </c>
      <c r="AR4" s="34">
        <f>State_Fossil_All_Mapping_SEDS!AS58/State_Fossil_All_Mapping_SEDS!$BB58</f>
        <v>0</v>
      </c>
      <c r="AS4" s="34">
        <f>State_Fossil_All_Mapping_SEDS!AT58/State_Fossil_All_Mapping_SEDS!$BB58</f>
        <v>0</v>
      </c>
      <c r="AT4" s="34">
        <f>State_Fossil_All_Mapping_SEDS!AU58/State_Fossil_All_Mapping_SEDS!$BB58</f>
        <v>0</v>
      </c>
      <c r="AU4" s="34">
        <f>State_Fossil_All_Mapping_SEDS!AV58/State_Fossil_All_Mapping_SEDS!$BB58</f>
        <v>0</v>
      </c>
      <c r="AV4" s="34">
        <f>State_Fossil_All_Mapping_SEDS!AW58/State_Fossil_All_Mapping_SEDS!$BB58</f>
        <v>0</v>
      </c>
      <c r="AW4" s="34">
        <f>State_Fossil_All_Mapping_SEDS!AX58/State_Fossil_All_Mapping_SEDS!$BB58</f>
        <v>0</v>
      </c>
      <c r="AX4" s="34">
        <f>State_Fossil_All_Mapping_SEDS!AY58/State_Fossil_All_Mapping_SEDS!$BB58</f>
        <v>0</v>
      </c>
      <c r="AY4" s="34">
        <f>State_Fossil_All_Mapping_SEDS!AZ58/State_Fossil_All_Mapping_SEDS!$BB58</f>
        <v>0.2611683849</v>
      </c>
      <c r="AZ4" s="34">
        <f>State_Fossil_All_Mapping_SEDS!BA58/State_Fossil_All_Mapping_SEDS!$BB58</f>
        <v>0</v>
      </c>
    </row>
    <row r="5" ht="15.75" customHeight="1">
      <c r="A5" s="34">
        <v>4.0</v>
      </c>
      <c r="B5" s="34">
        <f>State_Fossil_All_Mapping_SEDS!C59/State_Fossil_All_Mapping_SEDS!$BB59</f>
        <v>0</v>
      </c>
      <c r="C5" s="34">
        <f>State_Fossil_All_Mapping_SEDS!D59/State_Fossil_All_Mapping_SEDS!$BB59</f>
        <v>0</v>
      </c>
      <c r="D5" s="34">
        <f>State_Fossil_All_Mapping_SEDS!E59/State_Fossil_All_Mapping_SEDS!$BB59</f>
        <v>0</v>
      </c>
      <c r="E5" s="34">
        <f>State_Fossil_All_Mapping_SEDS!F59/State_Fossil_All_Mapping_SEDS!$BB59</f>
        <v>0</v>
      </c>
      <c r="F5" s="34">
        <f>State_Fossil_All_Mapping_SEDS!G59/State_Fossil_All_Mapping_SEDS!$BB59</f>
        <v>0</v>
      </c>
      <c r="G5" s="34">
        <f>State_Fossil_All_Mapping_SEDS!H59/State_Fossil_All_Mapping_SEDS!$BB59</f>
        <v>0</v>
      </c>
      <c r="H5" s="34">
        <f>State_Fossil_All_Mapping_SEDS!I59/State_Fossil_All_Mapping_SEDS!$BB59</f>
        <v>0</v>
      </c>
      <c r="I5" s="34">
        <f>State_Fossil_All_Mapping_SEDS!J59/State_Fossil_All_Mapping_SEDS!$BB59</f>
        <v>0</v>
      </c>
      <c r="J5" s="34">
        <f>State_Fossil_All_Mapping_SEDS!K59/State_Fossil_All_Mapping_SEDS!$BB59</f>
        <v>0</v>
      </c>
      <c r="K5" s="34">
        <f>State_Fossil_All_Mapping_SEDS!L59/State_Fossil_All_Mapping_SEDS!$BB59</f>
        <v>0</v>
      </c>
      <c r="L5" s="34">
        <f>State_Fossil_All_Mapping_SEDS!M59/State_Fossil_All_Mapping_SEDS!$BB59</f>
        <v>0</v>
      </c>
      <c r="M5" s="34">
        <f>State_Fossil_All_Mapping_SEDS!N59/State_Fossil_All_Mapping_SEDS!$BB59</f>
        <v>0</v>
      </c>
      <c r="N5" s="34">
        <f>State_Fossil_All_Mapping_SEDS!O59/State_Fossil_All_Mapping_SEDS!$BB59</f>
        <v>0</v>
      </c>
      <c r="O5" s="34">
        <f>State_Fossil_All_Mapping_SEDS!P59/State_Fossil_All_Mapping_SEDS!$BB59</f>
        <v>0</v>
      </c>
      <c r="P5" s="34">
        <f>State_Fossil_All_Mapping_SEDS!Q59/State_Fossil_All_Mapping_SEDS!$BB59</f>
        <v>0</v>
      </c>
      <c r="Q5" s="34">
        <f>State_Fossil_All_Mapping_SEDS!R59/State_Fossil_All_Mapping_SEDS!$BB59</f>
        <v>0.2182070883</v>
      </c>
      <c r="R5" s="34">
        <f>State_Fossil_All_Mapping_SEDS!S59/State_Fossil_All_Mapping_SEDS!$BB59</f>
        <v>0.08269631689</v>
      </c>
      <c r="S5" s="34">
        <f>State_Fossil_All_Mapping_SEDS!T59/State_Fossil_All_Mapping_SEDS!$BB59</f>
        <v>0</v>
      </c>
      <c r="T5" s="34">
        <f>State_Fossil_All_Mapping_SEDS!U59/State_Fossil_All_Mapping_SEDS!$BB59</f>
        <v>0</v>
      </c>
      <c r="U5" s="34">
        <f>State_Fossil_All_Mapping_SEDS!V59/State_Fossil_All_Mapping_SEDS!$BB59</f>
        <v>0</v>
      </c>
      <c r="V5" s="34">
        <f>State_Fossil_All_Mapping_SEDS!W59/State_Fossil_All_Mapping_SEDS!$BB59</f>
        <v>0</v>
      </c>
      <c r="W5" s="34">
        <f>State_Fossil_All_Mapping_SEDS!X59/State_Fossil_All_Mapping_SEDS!$BB59</f>
        <v>0</v>
      </c>
      <c r="X5" s="34">
        <f>State_Fossil_All_Mapping_SEDS!Y59/State_Fossil_All_Mapping_SEDS!$BB59</f>
        <v>0</v>
      </c>
      <c r="Y5" s="34">
        <f>State_Fossil_All_Mapping_SEDS!Z59/State_Fossil_All_Mapping_SEDS!$BB59</f>
        <v>0.3127171647</v>
      </c>
      <c r="Z5" s="34">
        <f>State_Fossil_All_Mapping_SEDS!AA59/State_Fossil_All_Mapping_SEDS!$BB59</f>
        <v>0</v>
      </c>
      <c r="AA5" s="34">
        <f>State_Fossil_All_Mapping_SEDS!AB59/State_Fossil_All_Mapping_SEDS!$BB59</f>
        <v>0.2425295344</v>
      </c>
      <c r="AB5" s="34">
        <f>State_Fossil_All_Mapping_SEDS!AC59/State_Fossil_All_Mapping_SEDS!$BB59</f>
        <v>0</v>
      </c>
      <c r="AC5" s="34">
        <f>State_Fossil_All_Mapping_SEDS!AD59/State_Fossil_All_Mapping_SEDS!$BB59</f>
        <v>0.05211952745</v>
      </c>
      <c r="AD5" s="34">
        <f>State_Fossil_All_Mapping_SEDS!AE59/State_Fossil_All_Mapping_SEDS!$BB59</f>
        <v>0</v>
      </c>
      <c r="AE5" s="34">
        <f>State_Fossil_All_Mapping_SEDS!AF59/State_Fossil_All_Mapping_SEDS!$BB59</f>
        <v>0</v>
      </c>
      <c r="AF5" s="34">
        <f>State_Fossil_All_Mapping_SEDS!AG59/State_Fossil_All_Mapping_SEDS!$BB59</f>
        <v>0</v>
      </c>
      <c r="AG5" s="34">
        <f>State_Fossil_All_Mapping_SEDS!AH59/State_Fossil_All_Mapping_SEDS!$BB59</f>
        <v>0</v>
      </c>
      <c r="AH5" s="34">
        <f>State_Fossil_All_Mapping_SEDS!AI59/State_Fossil_All_Mapping_SEDS!$BB59</f>
        <v>0</v>
      </c>
      <c r="AI5" s="34">
        <f>State_Fossil_All_Mapping_SEDS!AJ59/State_Fossil_All_Mapping_SEDS!$BB59</f>
        <v>0</v>
      </c>
      <c r="AJ5" s="34">
        <f>State_Fossil_All_Mapping_SEDS!AK59/State_Fossil_All_Mapping_SEDS!$BB59</f>
        <v>0.04864489229</v>
      </c>
      <c r="AK5" s="34">
        <f>State_Fossil_All_Mapping_SEDS!AL59/State_Fossil_All_Mapping_SEDS!$BB59</f>
        <v>0</v>
      </c>
      <c r="AL5" s="34">
        <f>State_Fossil_All_Mapping_SEDS!AM59/State_Fossil_All_Mapping_SEDS!$BB59</f>
        <v>0</v>
      </c>
      <c r="AM5" s="34">
        <f>State_Fossil_All_Mapping_SEDS!AN59/State_Fossil_All_Mapping_SEDS!$BB59</f>
        <v>0</v>
      </c>
      <c r="AN5" s="34">
        <f>State_Fossil_All_Mapping_SEDS!AO59/State_Fossil_All_Mapping_SEDS!$BB59</f>
        <v>0</v>
      </c>
      <c r="AO5" s="34">
        <f>State_Fossil_All_Mapping_SEDS!AP59/State_Fossil_All_Mapping_SEDS!$BB59</f>
        <v>0</v>
      </c>
      <c r="AP5" s="34">
        <f>State_Fossil_All_Mapping_SEDS!AQ59/State_Fossil_All_Mapping_SEDS!$BB59</f>
        <v>0</v>
      </c>
      <c r="AQ5" s="34">
        <f>State_Fossil_All_Mapping_SEDS!AR59/State_Fossil_All_Mapping_SEDS!$BB59</f>
        <v>0.04308547603</v>
      </c>
      <c r="AR5" s="34">
        <f>State_Fossil_All_Mapping_SEDS!AS59/State_Fossil_All_Mapping_SEDS!$BB59</f>
        <v>0</v>
      </c>
      <c r="AS5" s="34">
        <f>State_Fossil_All_Mapping_SEDS!AT59/State_Fossil_All_Mapping_SEDS!$BB59</f>
        <v>0</v>
      </c>
      <c r="AT5" s="34">
        <f>State_Fossil_All_Mapping_SEDS!AU59/State_Fossil_All_Mapping_SEDS!$BB59</f>
        <v>0</v>
      </c>
      <c r="AU5" s="34">
        <f>State_Fossil_All_Mapping_SEDS!AV59/State_Fossil_All_Mapping_SEDS!$BB59</f>
        <v>0</v>
      </c>
      <c r="AV5" s="34">
        <f>State_Fossil_All_Mapping_SEDS!AW59/State_Fossil_All_Mapping_SEDS!$BB59</f>
        <v>0</v>
      </c>
      <c r="AW5" s="34">
        <f>State_Fossil_All_Mapping_SEDS!AX59/State_Fossil_All_Mapping_SEDS!$BB59</f>
        <v>0</v>
      </c>
      <c r="AX5" s="34">
        <f>State_Fossil_All_Mapping_SEDS!AY59/State_Fossil_All_Mapping_SEDS!$BB59</f>
        <v>0</v>
      </c>
      <c r="AY5" s="34">
        <f>State_Fossil_All_Mapping_SEDS!AZ59/State_Fossil_All_Mapping_SEDS!$BB59</f>
        <v>0</v>
      </c>
      <c r="AZ5" s="34">
        <f>State_Fossil_All_Mapping_SEDS!BA59/State_Fossil_All_Mapping_SEDS!$BB59</f>
        <v>0</v>
      </c>
    </row>
    <row r="6" ht="15.75" customHeight="1">
      <c r="A6" s="34">
        <v>5.0</v>
      </c>
      <c r="B6" s="34">
        <f>State_Fossil_All_Mapping_SEDS!C60/State_Fossil_All_Mapping_SEDS!$BB60</f>
        <v>0</v>
      </c>
      <c r="C6" s="34">
        <f>State_Fossil_All_Mapping_SEDS!D60/State_Fossil_All_Mapping_SEDS!$BB60</f>
        <v>0</v>
      </c>
      <c r="D6" s="34">
        <f>State_Fossil_All_Mapping_SEDS!E60/State_Fossil_All_Mapping_SEDS!$BB60</f>
        <v>0</v>
      </c>
      <c r="E6" s="34">
        <f>State_Fossil_All_Mapping_SEDS!F60/State_Fossil_All_Mapping_SEDS!$BB60</f>
        <v>0</v>
      </c>
      <c r="F6" s="34">
        <f>State_Fossil_All_Mapping_SEDS!G60/State_Fossil_All_Mapping_SEDS!$BB60</f>
        <v>0</v>
      </c>
      <c r="G6" s="34">
        <f>State_Fossil_All_Mapping_SEDS!H60/State_Fossil_All_Mapping_SEDS!$BB60</f>
        <v>0</v>
      </c>
      <c r="H6" s="34">
        <f>State_Fossil_All_Mapping_SEDS!I60/State_Fossil_All_Mapping_SEDS!$BB60</f>
        <v>0</v>
      </c>
      <c r="I6" s="34">
        <f>State_Fossil_All_Mapping_SEDS!J60/State_Fossil_All_Mapping_SEDS!$BB60</f>
        <v>0.03529411765</v>
      </c>
      <c r="J6" s="34">
        <f>State_Fossil_All_Mapping_SEDS!K60/State_Fossil_All_Mapping_SEDS!$BB60</f>
        <v>0</v>
      </c>
      <c r="K6" s="34">
        <f>State_Fossil_All_Mapping_SEDS!L60/State_Fossil_All_Mapping_SEDS!$BB60</f>
        <v>0.06631016043</v>
      </c>
      <c r="L6" s="34">
        <f>State_Fossil_All_Mapping_SEDS!M60/State_Fossil_All_Mapping_SEDS!$BB60</f>
        <v>0.1037433155</v>
      </c>
      <c r="M6" s="34">
        <f>State_Fossil_All_Mapping_SEDS!N60/State_Fossil_All_Mapping_SEDS!$BB60</f>
        <v>0</v>
      </c>
      <c r="N6" s="34">
        <f>State_Fossil_All_Mapping_SEDS!O60/State_Fossil_All_Mapping_SEDS!$BB60</f>
        <v>0</v>
      </c>
      <c r="O6" s="34">
        <f>State_Fossil_All_Mapping_SEDS!P60/State_Fossil_All_Mapping_SEDS!$BB60</f>
        <v>0</v>
      </c>
      <c r="P6" s="34">
        <f>State_Fossil_All_Mapping_SEDS!Q60/State_Fossil_All_Mapping_SEDS!$BB60</f>
        <v>0</v>
      </c>
      <c r="Q6" s="34">
        <f>State_Fossil_All_Mapping_SEDS!R60/State_Fossil_All_Mapping_SEDS!$BB60</f>
        <v>0</v>
      </c>
      <c r="R6" s="34">
        <f>State_Fossil_All_Mapping_SEDS!S60/State_Fossil_All_Mapping_SEDS!$BB60</f>
        <v>0</v>
      </c>
      <c r="S6" s="34">
        <f>State_Fossil_All_Mapping_SEDS!T60/State_Fossil_All_Mapping_SEDS!$BB60</f>
        <v>0</v>
      </c>
      <c r="T6" s="34">
        <f>State_Fossil_All_Mapping_SEDS!U60/State_Fossil_All_Mapping_SEDS!$BB60</f>
        <v>0</v>
      </c>
      <c r="U6" s="34">
        <f>State_Fossil_All_Mapping_SEDS!V60/State_Fossil_All_Mapping_SEDS!$BB60</f>
        <v>0</v>
      </c>
      <c r="V6" s="34">
        <f>State_Fossil_All_Mapping_SEDS!W60/State_Fossil_All_Mapping_SEDS!$BB60</f>
        <v>0.1219251337</v>
      </c>
      <c r="W6" s="34">
        <f>State_Fossil_All_Mapping_SEDS!X60/State_Fossil_All_Mapping_SEDS!$BB60</f>
        <v>0</v>
      </c>
      <c r="X6" s="34">
        <f>State_Fossil_All_Mapping_SEDS!Y60/State_Fossil_All_Mapping_SEDS!$BB60</f>
        <v>0</v>
      </c>
      <c r="Y6" s="34">
        <f>State_Fossil_All_Mapping_SEDS!Z60/State_Fossil_All_Mapping_SEDS!$BB60</f>
        <v>0</v>
      </c>
      <c r="Z6" s="34">
        <f>State_Fossil_All_Mapping_SEDS!AA60/State_Fossil_All_Mapping_SEDS!$BB60</f>
        <v>0</v>
      </c>
      <c r="AA6" s="34">
        <f>State_Fossil_All_Mapping_SEDS!AB60/State_Fossil_All_Mapping_SEDS!$BB60</f>
        <v>0</v>
      </c>
      <c r="AB6" s="34">
        <f>State_Fossil_All_Mapping_SEDS!AC60/State_Fossil_All_Mapping_SEDS!$BB60</f>
        <v>0</v>
      </c>
      <c r="AC6" s="34">
        <f>State_Fossil_All_Mapping_SEDS!AD60/State_Fossil_All_Mapping_SEDS!$BB60</f>
        <v>0</v>
      </c>
      <c r="AD6" s="34">
        <f>State_Fossil_All_Mapping_SEDS!AE60/State_Fossil_All_Mapping_SEDS!$BB60</f>
        <v>0</v>
      </c>
      <c r="AE6" s="34">
        <f>State_Fossil_All_Mapping_SEDS!AF60/State_Fossil_All_Mapping_SEDS!$BB60</f>
        <v>0</v>
      </c>
      <c r="AF6" s="34">
        <f>State_Fossil_All_Mapping_SEDS!AG60/State_Fossil_All_Mapping_SEDS!$BB60</f>
        <v>0</v>
      </c>
      <c r="AG6" s="34">
        <f>State_Fossil_All_Mapping_SEDS!AH60/State_Fossil_All_Mapping_SEDS!$BB60</f>
        <v>0</v>
      </c>
      <c r="AH6" s="34">
        <f>State_Fossil_All_Mapping_SEDS!AI60/State_Fossil_All_Mapping_SEDS!$BB60</f>
        <v>0</v>
      </c>
      <c r="AI6" s="34">
        <f>State_Fossil_All_Mapping_SEDS!AJ60/State_Fossil_All_Mapping_SEDS!$BB60</f>
        <v>0.2588235294</v>
      </c>
      <c r="AJ6" s="34">
        <f>State_Fossil_All_Mapping_SEDS!AK60/State_Fossil_All_Mapping_SEDS!$BB60</f>
        <v>0</v>
      </c>
      <c r="AK6" s="34">
        <f>State_Fossil_All_Mapping_SEDS!AL60/State_Fossil_All_Mapping_SEDS!$BB60</f>
        <v>0</v>
      </c>
      <c r="AL6" s="34">
        <f>State_Fossil_All_Mapping_SEDS!AM60/State_Fossil_All_Mapping_SEDS!$BB60</f>
        <v>0</v>
      </c>
      <c r="AM6" s="34">
        <f>State_Fossil_All_Mapping_SEDS!AN60/State_Fossil_All_Mapping_SEDS!$BB60</f>
        <v>0</v>
      </c>
      <c r="AN6" s="34">
        <f>State_Fossil_All_Mapping_SEDS!AO60/State_Fossil_All_Mapping_SEDS!$BB60</f>
        <v>0</v>
      </c>
      <c r="AO6" s="34">
        <f>State_Fossil_All_Mapping_SEDS!AP60/State_Fossil_All_Mapping_SEDS!$BB60</f>
        <v>0</v>
      </c>
      <c r="AP6" s="34">
        <f>State_Fossil_All_Mapping_SEDS!AQ60/State_Fossil_All_Mapping_SEDS!$BB60</f>
        <v>0.05882352941</v>
      </c>
      <c r="AQ6" s="34">
        <f>State_Fossil_All_Mapping_SEDS!AR60/State_Fossil_All_Mapping_SEDS!$BB60</f>
        <v>0</v>
      </c>
      <c r="AR6" s="34">
        <f>State_Fossil_All_Mapping_SEDS!AS60/State_Fossil_All_Mapping_SEDS!$BB60</f>
        <v>0</v>
      </c>
      <c r="AS6" s="34">
        <f>State_Fossil_All_Mapping_SEDS!AT60/State_Fossil_All_Mapping_SEDS!$BB60</f>
        <v>0</v>
      </c>
      <c r="AT6" s="34">
        <f>State_Fossil_All_Mapping_SEDS!AU60/State_Fossil_All_Mapping_SEDS!$BB60</f>
        <v>0</v>
      </c>
      <c r="AU6" s="34">
        <f>State_Fossil_All_Mapping_SEDS!AV60/State_Fossil_All_Mapping_SEDS!$BB60</f>
        <v>0</v>
      </c>
      <c r="AV6" s="34">
        <f>State_Fossil_All_Mapping_SEDS!AW60/State_Fossil_All_Mapping_SEDS!$BB60</f>
        <v>0.2363636364</v>
      </c>
      <c r="AW6" s="34">
        <f>State_Fossil_All_Mapping_SEDS!AX60/State_Fossil_All_Mapping_SEDS!$BB60</f>
        <v>0</v>
      </c>
      <c r="AX6" s="34">
        <f>State_Fossil_All_Mapping_SEDS!AY60/State_Fossil_All_Mapping_SEDS!$BB60</f>
        <v>0.1187165775</v>
      </c>
      <c r="AY6" s="34">
        <f>State_Fossil_All_Mapping_SEDS!AZ60/State_Fossil_All_Mapping_SEDS!$BB60</f>
        <v>0</v>
      </c>
      <c r="AZ6" s="34">
        <f>State_Fossil_All_Mapping_SEDS!BA60/State_Fossil_All_Mapping_SEDS!$BB60</f>
        <v>0</v>
      </c>
    </row>
    <row r="7" ht="15.75" customHeight="1">
      <c r="A7" s="34">
        <v>6.0</v>
      </c>
      <c r="B7" s="34">
        <f>State_Fossil_All_Mapping_SEDS!C61/State_Fossil_All_Mapping_SEDS!$BB61</f>
        <v>0.1508515815</v>
      </c>
      <c r="C7" s="34">
        <f>State_Fossil_All_Mapping_SEDS!D61/State_Fossil_All_Mapping_SEDS!$BB61</f>
        <v>0</v>
      </c>
      <c r="D7" s="34">
        <f>State_Fossil_All_Mapping_SEDS!E61/State_Fossil_All_Mapping_SEDS!$BB61</f>
        <v>0</v>
      </c>
      <c r="E7" s="34">
        <f>State_Fossil_All_Mapping_SEDS!F61/State_Fossil_All_Mapping_SEDS!$BB61</f>
        <v>0</v>
      </c>
      <c r="F7" s="34">
        <f>State_Fossil_All_Mapping_SEDS!G61/State_Fossil_All_Mapping_SEDS!$BB61</f>
        <v>0</v>
      </c>
      <c r="G7" s="34">
        <f>State_Fossil_All_Mapping_SEDS!H61/State_Fossil_All_Mapping_SEDS!$BB61</f>
        <v>0</v>
      </c>
      <c r="H7" s="34">
        <f>State_Fossil_All_Mapping_SEDS!I61/State_Fossil_All_Mapping_SEDS!$BB61</f>
        <v>0</v>
      </c>
      <c r="I7" s="34">
        <f>State_Fossil_All_Mapping_SEDS!J61/State_Fossil_All_Mapping_SEDS!$BB61</f>
        <v>0</v>
      </c>
      <c r="J7" s="34">
        <f>State_Fossil_All_Mapping_SEDS!K61/State_Fossil_All_Mapping_SEDS!$BB61</f>
        <v>0</v>
      </c>
      <c r="K7" s="34">
        <f>State_Fossil_All_Mapping_SEDS!L61/State_Fossil_All_Mapping_SEDS!$BB61</f>
        <v>0</v>
      </c>
      <c r="L7" s="34">
        <f>State_Fossil_All_Mapping_SEDS!M61/State_Fossil_All_Mapping_SEDS!$BB61</f>
        <v>0</v>
      </c>
      <c r="M7" s="34">
        <f>State_Fossil_All_Mapping_SEDS!N61/State_Fossil_All_Mapping_SEDS!$BB61</f>
        <v>0</v>
      </c>
      <c r="N7" s="34">
        <f>State_Fossil_All_Mapping_SEDS!O61/State_Fossil_All_Mapping_SEDS!$BB61</f>
        <v>0</v>
      </c>
      <c r="O7" s="34">
        <f>State_Fossil_All_Mapping_SEDS!P61/State_Fossil_All_Mapping_SEDS!$BB61</f>
        <v>0</v>
      </c>
      <c r="P7" s="34">
        <f>State_Fossil_All_Mapping_SEDS!Q61/State_Fossil_All_Mapping_SEDS!$BB61</f>
        <v>0</v>
      </c>
      <c r="Q7" s="34">
        <f>State_Fossil_All_Mapping_SEDS!R61/State_Fossil_All_Mapping_SEDS!$BB61</f>
        <v>0</v>
      </c>
      <c r="R7" s="34">
        <f>State_Fossil_All_Mapping_SEDS!S61/State_Fossil_All_Mapping_SEDS!$BB61</f>
        <v>0</v>
      </c>
      <c r="S7" s="34">
        <f>State_Fossil_All_Mapping_SEDS!T61/State_Fossil_All_Mapping_SEDS!$BB61</f>
        <v>0.3868613139</v>
      </c>
      <c r="T7" s="34">
        <f>State_Fossil_All_Mapping_SEDS!U61/State_Fossil_All_Mapping_SEDS!$BB61</f>
        <v>0</v>
      </c>
      <c r="U7" s="34">
        <f>State_Fossil_All_Mapping_SEDS!V61/State_Fossil_All_Mapping_SEDS!$BB61</f>
        <v>0</v>
      </c>
      <c r="V7" s="34">
        <f>State_Fossil_All_Mapping_SEDS!W61/State_Fossil_All_Mapping_SEDS!$BB61</f>
        <v>0</v>
      </c>
      <c r="W7" s="34">
        <f>State_Fossil_All_Mapping_SEDS!X61/State_Fossil_All_Mapping_SEDS!$BB61</f>
        <v>0</v>
      </c>
      <c r="X7" s="34">
        <f>State_Fossil_All_Mapping_SEDS!Y61/State_Fossil_All_Mapping_SEDS!$BB61</f>
        <v>0</v>
      </c>
      <c r="Y7" s="34">
        <f>State_Fossil_All_Mapping_SEDS!Z61/State_Fossil_All_Mapping_SEDS!$BB61</f>
        <v>0</v>
      </c>
      <c r="Z7" s="34">
        <f>State_Fossil_All_Mapping_SEDS!AA61/State_Fossil_All_Mapping_SEDS!$BB61</f>
        <v>0.1532846715</v>
      </c>
      <c r="AA7" s="34">
        <f>State_Fossil_All_Mapping_SEDS!AB61/State_Fossil_All_Mapping_SEDS!$BB61</f>
        <v>0</v>
      </c>
      <c r="AB7" s="34">
        <f>State_Fossil_All_Mapping_SEDS!AC61/State_Fossil_All_Mapping_SEDS!$BB61</f>
        <v>0</v>
      </c>
      <c r="AC7" s="34">
        <f>State_Fossil_All_Mapping_SEDS!AD61/State_Fossil_All_Mapping_SEDS!$BB61</f>
        <v>0</v>
      </c>
      <c r="AD7" s="34">
        <f>State_Fossil_All_Mapping_SEDS!AE61/State_Fossil_All_Mapping_SEDS!$BB61</f>
        <v>0</v>
      </c>
      <c r="AE7" s="34">
        <f>State_Fossil_All_Mapping_SEDS!AF61/State_Fossil_All_Mapping_SEDS!$BB61</f>
        <v>0</v>
      </c>
      <c r="AF7" s="34">
        <f>State_Fossil_All_Mapping_SEDS!AG61/State_Fossil_All_Mapping_SEDS!$BB61</f>
        <v>0</v>
      </c>
      <c r="AG7" s="34">
        <f>State_Fossil_All_Mapping_SEDS!AH61/State_Fossil_All_Mapping_SEDS!$BB61</f>
        <v>0</v>
      </c>
      <c r="AH7" s="34">
        <f>State_Fossil_All_Mapping_SEDS!AI61/State_Fossil_All_Mapping_SEDS!$BB61</f>
        <v>0</v>
      </c>
      <c r="AI7" s="34">
        <f>State_Fossil_All_Mapping_SEDS!AJ61/State_Fossil_All_Mapping_SEDS!$BB61</f>
        <v>0</v>
      </c>
      <c r="AJ7" s="34">
        <f>State_Fossil_All_Mapping_SEDS!AK61/State_Fossil_All_Mapping_SEDS!$BB61</f>
        <v>0</v>
      </c>
      <c r="AK7" s="34">
        <f>State_Fossil_All_Mapping_SEDS!AL61/State_Fossil_All_Mapping_SEDS!$BB61</f>
        <v>0</v>
      </c>
      <c r="AL7" s="34">
        <f>State_Fossil_All_Mapping_SEDS!AM61/State_Fossil_All_Mapping_SEDS!$BB61</f>
        <v>0</v>
      </c>
      <c r="AM7" s="34">
        <f>State_Fossil_All_Mapping_SEDS!AN61/State_Fossil_All_Mapping_SEDS!$BB61</f>
        <v>0</v>
      </c>
      <c r="AN7" s="34">
        <f>State_Fossil_All_Mapping_SEDS!AO61/State_Fossil_All_Mapping_SEDS!$BB61</f>
        <v>0</v>
      </c>
      <c r="AO7" s="34">
        <f>State_Fossil_All_Mapping_SEDS!AP61/State_Fossil_All_Mapping_SEDS!$BB61</f>
        <v>0</v>
      </c>
      <c r="AP7" s="34">
        <f>State_Fossil_All_Mapping_SEDS!AQ61/State_Fossil_All_Mapping_SEDS!$BB61</f>
        <v>0</v>
      </c>
      <c r="AQ7" s="34">
        <f>State_Fossil_All_Mapping_SEDS!AR61/State_Fossil_All_Mapping_SEDS!$BB61</f>
        <v>0</v>
      </c>
      <c r="AR7" s="34">
        <f>State_Fossil_All_Mapping_SEDS!AS61/State_Fossil_All_Mapping_SEDS!$BB61</f>
        <v>0.3090024331</v>
      </c>
      <c r="AS7" s="34">
        <f>State_Fossil_All_Mapping_SEDS!AT61/State_Fossil_All_Mapping_SEDS!$BB61</f>
        <v>0</v>
      </c>
      <c r="AT7" s="34">
        <f>State_Fossil_All_Mapping_SEDS!AU61/State_Fossil_All_Mapping_SEDS!$BB61</f>
        <v>0</v>
      </c>
      <c r="AU7" s="34">
        <f>State_Fossil_All_Mapping_SEDS!AV61/State_Fossil_All_Mapping_SEDS!$BB61</f>
        <v>0</v>
      </c>
      <c r="AV7" s="34">
        <f>State_Fossil_All_Mapping_SEDS!AW61/State_Fossil_All_Mapping_SEDS!$BB61</f>
        <v>0</v>
      </c>
      <c r="AW7" s="34">
        <f>State_Fossil_All_Mapping_SEDS!AX61/State_Fossil_All_Mapping_SEDS!$BB61</f>
        <v>0</v>
      </c>
      <c r="AX7" s="34">
        <f>State_Fossil_All_Mapping_SEDS!AY61/State_Fossil_All_Mapping_SEDS!$BB61</f>
        <v>0</v>
      </c>
      <c r="AY7" s="34">
        <f>State_Fossil_All_Mapping_SEDS!AZ61/State_Fossil_All_Mapping_SEDS!$BB61</f>
        <v>0</v>
      </c>
      <c r="AZ7" s="34">
        <f>State_Fossil_All_Mapping_SEDS!BA61/State_Fossil_All_Mapping_SEDS!$BB61</f>
        <v>0</v>
      </c>
    </row>
    <row r="8" ht="15.75" customHeight="1">
      <c r="A8" s="34">
        <v>7.0</v>
      </c>
      <c r="B8" s="34">
        <f>State_Fossil_All_Mapping_SEDS!C62/State_Fossil_All_Mapping_SEDS!$BB62</f>
        <v>0</v>
      </c>
      <c r="C8" s="34">
        <f>State_Fossil_All_Mapping_SEDS!D62/State_Fossil_All_Mapping_SEDS!$BB62</f>
        <v>0</v>
      </c>
      <c r="D8" s="34">
        <f>State_Fossil_All_Mapping_SEDS!E62/State_Fossil_All_Mapping_SEDS!$BB62</f>
        <v>0</v>
      </c>
      <c r="E8" s="34">
        <f>State_Fossil_All_Mapping_SEDS!F62/State_Fossil_All_Mapping_SEDS!$BB62</f>
        <v>0.2058165548</v>
      </c>
      <c r="F8" s="34">
        <f>State_Fossil_All_Mapping_SEDS!G62/State_Fossil_All_Mapping_SEDS!$BB62</f>
        <v>0</v>
      </c>
      <c r="G8" s="34">
        <f>State_Fossil_All_Mapping_SEDS!H62/State_Fossil_All_Mapping_SEDS!$BB62</f>
        <v>0</v>
      </c>
      <c r="H8" s="34">
        <f>State_Fossil_All_Mapping_SEDS!I62/State_Fossil_All_Mapping_SEDS!$BB62</f>
        <v>0</v>
      </c>
      <c r="I8" s="34">
        <f>State_Fossil_All_Mapping_SEDS!J62/State_Fossil_All_Mapping_SEDS!$BB62</f>
        <v>0</v>
      </c>
      <c r="J8" s="34">
        <f>State_Fossil_All_Mapping_SEDS!K62/State_Fossil_All_Mapping_SEDS!$BB62</f>
        <v>0</v>
      </c>
      <c r="K8" s="34">
        <f>State_Fossil_All_Mapping_SEDS!L62/State_Fossil_All_Mapping_SEDS!$BB62</f>
        <v>0</v>
      </c>
      <c r="L8" s="34">
        <f>State_Fossil_All_Mapping_SEDS!M62/State_Fossil_All_Mapping_SEDS!$BB62</f>
        <v>0</v>
      </c>
      <c r="M8" s="34">
        <f>State_Fossil_All_Mapping_SEDS!N62/State_Fossil_All_Mapping_SEDS!$BB62</f>
        <v>0</v>
      </c>
      <c r="N8" s="34">
        <f>State_Fossil_All_Mapping_SEDS!O62/State_Fossil_All_Mapping_SEDS!$BB62</f>
        <v>0</v>
      </c>
      <c r="O8" s="34">
        <f>State_Fossil_All_Mapping_SEDS!P62/State_Fossil_All_Mapping_SEDS!$BB62</f>
        <v>0</v>
      </c>
      <c r="P8" s="34">
        <f>State_Fossil_All_Mapping_SEDS!Q62/State_Fossil_All_Mapping_SEDS!$BB62</f>
        <v>0</v>
      </c>
      <c r="Q8" s="34">
        <f>State_Fossil_All_Mapping_SEDS!R62/State_Fossil_All_Mapping_SEDS!$BB62</f>
        <v>0</v>
      </c>
      <c r="R8" s="34">
        <f>State_Fossil_All_Mapping_SEDS!S62/State_Fossil_All_Mapping_SEDS!$BB62</f>
        <v>0</v>
      </c>
      <c r="S8" s="34">
        <f>State_Fossil_All_Mapping_SEDS!T62/State_Fossil_All_Mapping_SEDS!$BB62</f>
        <v>0</v>
      </c>
      <c r="T8" s="34">
        <f>State_Fossil_All_Mapping_SEDS!U62/State_Fossil_All_Mapping_SEDS!$BB62</f>
        <v>0.04921700224</v>
      </c>
      <c r="U8" s="34">
        <f>State_Fossil_All_Mapping_SEDS!V62/State_Fossil_All_Mapping_SEDS!$BB62</f>
        <v>0</v>
      </c>
      <c r="V8" s="34">
        <f>State_Fossil_All_Mapping_SEDS!W62/State_Fossil_All_Mapping_SEDS!$BB62</f>
        <v>0</v>
      </c>
      <c r="W8" s="34">
        <f>State_Fossil_All_Mapping_SEDS!X62/State_Fossil_All_Mapping_SEDS!$BB62</f>
        <v>0</v>
      </c>
      <c r="X8" s="34">
        <f>State_Fossil_All_Mapping_SEDS!Y62/State_Fossil_All_Mapping_SEDS!$BB62</f>
        <v>0</v>
      </c>
      <c r="Y8" s="34">
        <f>State_Fossil_All_Mapping_SEDS!Z62/State_Fossil_All_Mapping_SEDS!$BB62</f>
        <v>0</v>
      </c>
      <c r="Z8" s="34">
        <f>State_Fossil_All_Mapping_SEDS!AA62/State_Fossil_All_Mapping_SEDS!$BB62</f>
        <v>0</v>
      </c>
      <c r="AA8" s="34">
        <f>State_Fossil_All_Mapping_SEDS!AB62/State_Fossil_All_Mapping_SEDS!$BB62</f>
        <v>0</v>
      </c>
      <c r="AB8" s="34">
        <f>State_Fossil_All_Mapping_SEDS!AC62/State_Fossil_All_Mapping_SEDS!$BB62</f>
        <v>0</v>
      </c>
      <c r="AC8" s="34">
        <f>State_Fossil_All_Mapping_SEDS!AD62/State_Fossil_All_Mapping_SEDS!$BB62</f>
        <v>0</v>
      </c>
      <c r="AD8" s="34">
        <f>State_Fossil_All_Mapping_SEDS!AE62/State_Fossil_All_Mapping_SEDS!$BB62</f>
        <v>0</v>
      </c>
      <c r="AE8" s="34">
        <f>State_Fossil_All_Mapping_SEDS!AF62/State_Fossil_All_Mapping_SEDS!$BB62</f>
        <v>0</v>
      </c>
      <c r="AF8" s="34">
        <f>State_Fossil_All_Mapping_SEDS!AG62/State_Fossil_All_Mapping_SEDS!$BB62</f>
        <v>0</v>
      </c>
      <c r="AG8" s="34">
        <f>State_Fossil_All_Mapping_SEDS!AH62/State_Fossil_All_Mapping_SEDS!$BB62</f>
        <v>0</v>
      </c>
      <c r="AH8" s="34">
        <f>State_Fossil_All_Mapping_SEDS!AI62/State_Fossil_All_Mapping_SEDS!$BB62</f>
        <v>0</v>
      </c>
      <c r="AI8" s="34">
        <f>State_Fossil_All_Mapping_SEDS!AJ62/State_Fossil_All_Mapping_SEDS!$BB62</f>
        <v>0</v>
      </c>
      <c r="AJ8" s="34">
        <f>State_Fossil_All_Mapping_SEDS!AK62/State_Fossil_All_Mapping_SEDS!$BB62</f>
        <v>0</v>
      </c>
      <c r="AK8" s="34">
        <f>State_Fossil_All_Mapping_SEDS!AL62/State_Fossil_All_Mapping_SEDS!$BB62</f>
        <v>0</v>
      </c>
      <c r="AL8" s="34">
        <f>State_Fossil_All_Mapping_SEDS!AM62/State_Fossil_All_Mapping_SEDS!$BB62</f>
        <v>0.2639821029</v>
      </c>
      <c r="AM8" s="34">
        <f>State_Fossil_All_Mapping_SEDS!AN62/State_Fossil_All_Mapping_SEDS!$BB62</f>
        <v>0</v>
      </c>
      <c r="AN8" s="34">
        <f>State_Fossil_All_Mapping_SEDS!AO62/State_Fossil_All_Mapping_SEDS!$BB62</f>
        <v>0</v>
      </c>
      <c r="AO8" s="34">
        <f>State_Fossil_All_Mapping_SEDS!AP62/State_Fossil_All_Mapping_SEDS!$BB62</f>
        <v>0</v>
      </c>
      <c r="AP8" s="34">
        <f>State_Fossil_All_Mapping_SEDS!AQ62/State_Fossil_All_Mapping_SEDS!$BB62</f>
        <v>0</v>
      </c>
      <c r="AQ8" s="34">
        <f>State_Fossil_All_Mapping_SEDS!AR62/State_Fossil_All_Mapping_SEDS!$BB62</f>
        <v>0</v>
      </c>
      <c r="AR8" s="34">
        <f>State_Fossil_All_Mapping_SEDS!AS62/State_Fossil_All_Mapping_SEDS!$BB62</f>
        <v>0</v>
      </c>
      <c r="AS8" s="34">
        <f>State_Fossil_All_Mapping_SEDS!AT62/State_Fossil_All_Mapping_SEDS!$BB62</f>
        <v>0.48098434</v>
      </c>
      <c r="AT8" s="34">
        <f>State_Fossil_All_Mapping_SEDS!AU62/State_Fossil_All_Mapping_SEDS!$BB62</f>
        <v>0</v>
      </c>
      <c r="AU8" s="34">
        <f>State_Fossil_All_Mapping_SEDS!AV62/State_Fossil_All_Mapping_SEDS!$BB62</f>
        <v>0</v>
      </c>
      <c r="AV8" s="34">
        <f>State_Fossil_All_Mapping_SEDS!AW62/State_Fossil_All_Mapping_SEDS!$BB62</f>
        <v>0</v>
      </c>
      <c r="AW8" s="34">
        <f>State_Fossil_All_Mapping_SEDS!AX62/State_Fossil_All_Mapping_SEDS!$BB62</f>
        <v>0</v>
      </c>
      <c r="AX8" s="34">
        <f>State_Fossil_All_Mapping_SEDS!AY62/State_Fossil_All_Mapping_SEDS!$BB62</f>
        <v>0</v>
      </c>
      <c r="AY8" s="34">
        <f>State_Fossil_All_Mapping_SEDS!AZ62/State_Fossil_All_Mapping_SEDS!$BB62</f>
        <v>0</v>
      </c>
      <c r="AZ8" s="34">
        <f>State_Fossil_All_Mapping_SEDS!BA62/State_Fossil_All_Mapping_SEDS!$BB62</f>
        <v>0</v>
      </c>
    </row>
    <row r="9" ht="15.75" customHeight="1">
      <c r="A9" s="34">
        <v>8.0</v>
      </c>
      <c r="B9" s="34">
        <f>State_Fossil_All_Mapping_SEDS!C63/State_Fossil_All_Mapping_SEDS!$BB63</f>
        <v>0</v>
      </c>
      <c r="C9" s="34">
        <f>State_Fossil_All_Mapping_SEDS!D63/State_Fossil_All_Mapping_SEDS!$BB63</f>
        <v>0</v>
      </c>
      <c r="D9" s="34">
        <f>State_Fossil_All_Mapping_SEDS!E63/State_Fossil_All_Mapping_SEDS!$BB63</f>
        <v>0.08538899431</v>
      </c>
      <c r="E9" s="34">
        <f>State_Fossil_All_Mapping_SEDS!F63/State_Fossil_All_Mapping_SEDS!$BB63</f>
        <v>0</v>
      </c>
      <c r="F9" s="34">
        <f>State_Fossil_All_Mapping_SEDS!G63/State_Fossil_All_Mapping_SEDS!$BB63</f>
        <v>0</v>
      </c>
      <c r="G9" s="34">
        <f>State_Fossil_All_Mapping_SEDS!H63/State_Fossil_All_Mapping_SEDS!$BB63</f>
        <v>0.224857685</v>
      </c>
      <c r="H9" s="34">
        <f>State_Fossil_All_Mapping_SEDS!I63/State_Fossil_All_Mapping_SEDS!$BB63</f>
        <v>0</v>
      </c>
      <c r="I9" s="34">
        <f>State_Fossil_All_Mapping_SEDS!J63/State_Fossil_All_Mapping_SEDS!$BB63</f>
        <v>0</v>
      </c>
      <c r="J9" s="34">
        <f>State_Fossil_All_Mapping_SEDS!K63/State_Fossil_All_Mapping_SEDS!$BB63</f>
        <v>0</v>
      </c>
      <c r="K9" s="34">
        <f>State_Fossil_All_Mapping_SEDS!L63/State_Fossil_All_Mapping_SEDS!$BB63</f>
        <v>0</v>
      </c>
      <c r="L9" s="34">
        <f>State_Fossil_All_Mapping_SEDS!M63/State_Fossil_All_Mapping_SEDS!$BB63</f>
        <v>0</v>
      </c>
      <c r="M9" s="34">
        <f>State_Fossil_All_Mapping_SEDS!N63/State_Fossil_All_Mapping_SEDS!$BB63</f>
        <v>0</v>
      </c>
      <c r="N9" s="34">
        <f>State_Fossil_All_Mapping_SEDS!O63/State_Fossil_All_Mapping_SEDS!$BB63</f>
        <v>0.179316888</v>
      </c>
      <c r="O9" s="34">
        <f>State_Fossil_All_Mapping_SEDS!P63/State_Fossil_All_Mapping_SEDS!$BB63</f>
        <v>0</v>
      </c>
      <c r="P9" s="34">
        <f>State_Fossil_All_Mapping_SEDS!Q63/State_Fossil_All_Mapping_SEDS!$BB63</f>
        <v>0</v>
      </c>
      <c r="Q9" s="34">
        <f>State_Fossil_All_Mapping_SEDS!R63/State_Fossil_All_Mapping_SEDS!$BB63</f>
        <v>0</v>
      </c>
      <c r="R9" s="34">
        <f>State_Fossil_All_Mapping_SEDS!S63/State_Fossil_All_Mapping_SEDS!$BB63</f>
        <v>0</v>
      </c>
      <c r="S9" s="34">
        <f>State_Fossil_All_Mapping_SEDS!T63/State_Fossil_All_Mapping_SEDS!$BB63</f>
        <v>0</v>
      </c>
      <c r="T9" s="34">
        <f>State_Fossil_All_Mapping_SEDS!U63/State_Fossil_All_Mapping_SEDS!$BB63</f>
        <v>0</v>
      </c>
      <c r="U9" s="34">
        <f>State_Fossil_All_Mapping_SEDS!V63/State_Fossil_All_Mapping_SEDS!$BB63</f>
        <v>0</v>
      </c>
      <c r="V9" s="34">
        <f>State_Fossil_All_Mapping_SEDS!W63/State_Fossil_All_Mapping_SEDS!$BB63</f>
        <v>0</v>
      </c>
      <c r="W9" s="34">
        <f>State_Fossil_All_Mapping_SEDS!X63/State_Fossil_All_Mapping_SEDS!$BB63</f>
        <v>0</v>
      </c>
      <c r="X9" s="34">
        <f>State_Fossil_All_Mapping_SEDS!Y63/State_Fossil_All_Mapping_SEDS!$BB63</f>
        <v>0</v>
      </c>
      <c r="Y9" s="34">
        <f>State_Fossil_All_Mapping_SEDS!Z63/State_Fossil_All_Mapping_SEDS!$BB63</f>
        <v>0</v>
      </c>
      <c r="Z9" s="34">
        <f>State_Fossil_All_Mapping_SEDS!AA63/State_Fossil_All_Mapping_SEDS!$BB63</f>
        <v>0</v>
      </c>
      <c r="AA9" s="34">
        <f>State_Fossil_All_Mapping_SEDS!AB63/State_Fossil_All_Mapping_SEDS!$BB63</f>
        <v>0</v>
      </c>
      <c r="AB9" s="34">
        <f>State_Fossil_All_Mapping_SEDS!AC63/State_Fossil_All_Mapping_SEDS!$BB63</f>
        <v>0.2077798861</v>
      </c>
      <c r="AC9" s="34">
        <f>State_Fossil_All_Mapping_SEDS!AD63/State_Fossil_All_Mapping_SEDS!$BB63</f>
        <v>0</v>
      </c>
      <c r="AD9" s="34">
        <f>State_Fossil_All_Mapping_SEDS!AE63/State_Fossil_All_Mapping_SEDS!$BB63</f>
        <v>0.03889943074</v>
      </c>
      <c r="AE9" s="34">
        <f>State_Fossil_All_Mapping_SEDS!AF63/State_Fossil_All_Mapping_SEDS!$BB63</f>
        <v>0</v>
      </c>
      <c r="AF9" s="34">
        <f>State_Fossil_All_Mapping_SEDS!AG63/State_Fossil_All_Mapping_SEDS!$BB63</f>
        <v>0</v>
      </c>
      <c r="AG9" s="34">
        <f>State_Fossil_All_Mapping_SEDS!AH63/State_Fossil_All_Mapping_SEDS!$BB63</f>
        <v>0.1451612903</v>
      </c>
      <c r="AH9" s="34">
        <f>State_Fossil_All_Mapping_SEDS!AI63/State_Fossil_All_Mapping_SEDS!$BB63</f>
        <v>0</v>
      </c>
      <c r="AI9" s="34">
        <f>State_Fossil_All_Mapping_SEDS!AJ63/State_Fossil_All_Mapping_SEDS!$BB63</f>
        <v>0</v>
      </c>
      <c r="AJ9" s="34">
        <f>State_Fossil_All_Mapping_SEDS!AK63/State_Fossil_All_Mapping_SEDS!$BB63</f>
        <v>0</v>
      </c>
      <c r="AK9" s="34">
        <f>State_Fossil_All_Mapping_SEDS!AL63/State_Fossil_All_Mapping_SEDS!$BB63</f>
        <v>0</v>
      </c>
      <c r="AL9" s="34">
        <f>State_Fossil_All_Mapping_SEDS!AM63/State_Fossil_All_Mapping_SEDS!$BB63</f>
        <v>0</v>
      </c>
      <c r="AM9" s="34">
        <f>State_Fossil_All_Mapping_SEDS!AN63/State_Fossil_All_Mapping_SEDS!$BB63</f>
        <v>0</v>
      </c>
      <c r="AN9" s="34">
        <f>State_Fossil_All_Mapping_SEDS!AO63/State_Fossil_All_Mapping_SEDS!$BB63</f>
        <v>0</v>
      </c>
      <c r="AO9" s="34">
        <f>State_Fossil_All_Mapping_SEDS!AP63/State_Fossil_All_Mapping_SEDS!$BB63</f>
        <v>0</v>
      </c>
      <c r="AP9" s="34">
        <f>State_Fossil_All_Mapping_SEDS!AQ63/State_Fossil_All_Mapping_SEDS!$BB63</f>
        <v>0</v>
      </c>
      <c r="AQ9" s="34">
        <f>State_Fossil_All_Mapping_SEDS!AR63/State_Fossil_All_Mapping_SEDS!$BB63</f>
        <v>0</v>
      </c>
      <c r="AR9" s="34">
        <f>State_Fossil_All_Mapping_SEDS!AS63/State_Fossil_All_Mapping_SEDS!$BB63</f>
        <v>0</v>
      </c>
      <c r="AS9" s="34">
        <f>State_Fossil_All_Mapping_SEDS!AT63/State_Fossil_All_Mapping_SEDS!$BB63</f>
        <v>0</v>
      </c>
      <c r="AT9" s="34">
        <f>State_Fossil_All_Mapping_SEDS!AU63/State_Fossil_All_Mapping_SEDS!$BB63</f>
        <v>0.04554079696</v>
      </c>
      <c r="AU9" s="34">
        <f>State_Fossil_All_Mapping_SEDS!AV63/State_Fossil_All_Mapping_SEDS!$BB63</f>
        <v>0</v>
      </c>
      <c r="AV9" s="34">
        <f>State_Fossil_All_Mapping_SEDS!AW63/State_Fossil_All_Mapping_SEDS!$BB63</f>
        <v>0</v>
      </c>
      <c r="AW9" s="34">
        <f>State_Fossil_All_Mapping_SEDS!AX63/State_Fossil_All_Mapping_SEDS!$BB63</f>
        <v>0</v>
      </c>
      <c r="AX9" s="34">
        <f>State_Fossil_All_Mapping_SEDS!AY63/State_Fossil_All_Mapping_SEDS!$BB63</f>
        <v>0</v>
      </c>
      <c r="AY9" s="34">
        <f>State_Fossil_All_Mapping_SEDS!AZ63/State_Fossil_All_Mapping_SEDS!$BB63</f>
        <v>0</v>
      </c>
      <c r="AZ9" s="34">
        <f>State_Fossil_All_Mapping_SEDS!BA63/State_Fossil_All_Mapping_SEDS!$BB63</f>
        <v>0.07305502846</v>
      </c>
    </row>
    <row r="10" ht="15.75" customHeight="1">
      <c r="A10" s="34">
        <v>9.0</v>
      </c>
      <c r="B10" s="34">
        <f>State_Fossil_All_Mapping_SEDS!C64/State_Fossil_All_Mapping_SEDS!$BB64</f>
        <v>0</v>
      </c>
      <c r="C10" s="34">
        <f>State_Fossil_All_Mapping_SEDS!D64/State_Fossil_All_Mapping_SEDS!$BB64</f>
        <v>0.06274509804</v>
      </c>
      <c r="D10" s="34">
        <f>State_Fossil_All_Mapping_SEDS!E64/State_Fossil_All_Mapping_SEDS!$BB64</f>
        <v>0</v>
      </c>
      <c r="E10" s="34">
        <f>State_Fossil_All_Mapping_SEDS!F64/State_Fossil_All_Mapping_SEDS!$BB64</f>
        <v>0</v>
      </c>
      <c r="F10" s="34">
        <f>State_Fossil_All_Mapping_SEDS!G64/State_Fossil_All_Mapping_SEDS!$BB64</f>
        <v>0.4196078431</v>
      </c>
      <c r="G10" s="34">
        <f>State_Fossil_All_Mapping_SEDS!H64/State_Fossil_All_Mapping_SEDS!$BB64</f>
        <v>0</v>
      </c>
      <c r="H10" s="34">
        <f>State_Fossil_All_Mapping_SEDS!I64/State_Fossil_All_Mapping_SEDS!$BB64</f>
        <v>0</v>
      </c>
      <c r="I10" s="34">
        <f>State_Fossil_All_Mapping_SEDS!J64/State_Fossil_All_Mapping_SEDS!$BB64</f>
        <v>0</v>
      </c>
      <c r="J10" s="34">
        <f>State_Fossil_All_Mapping_SEDS!K64/State_Fossil_All_Mapping_SEDS!$BB64</f>
        <v>0</v>
      </c>
      <c r="K10" s="34">
        <f>State_Fossil_All_Mapping_SEDS!L64/State_Fossil_All_Mapping_SEDS!$BB64</f>
        <v>0</v>
      </c>
      <c r="L10" s="34">
        <f>State_Fossil_All_Mapping_SEDS!M64/State_Fossil_All_Mapping_SEDS!$BB64</f>
        <v>0</v>
      </c>
      <c r="M10" s="34">
        <f>State_Fossil_All_Mapping_SEDS!N64/State_Fossil_All_Mapping_SEDS!$BB64</f>
        <v>0.005882352941</v>
      </c>
      <c r="N10" s="34">
        <f>State_Fossil_All_Mapping_SEDS!O64/State_Fossil_All_Mapping_SEDS!$BB64</f>
        <v>0</v>
      </c>
      <c r="O10" s="34">
        <f>State_Fossil_All_Mapping_SEDS!P64/State_Fossil_All_Mapping_SEDS!$BB64</f>
        <v>0</v>
      </c>
      <c r="P10" s="34">
        <f>State_Fossil_All_Mapping_SEDS!Q64/State_Fossil_All_Mapping_SEDS!$BB64</f>
        <v>0</v>
      </c>
      <c r="Q10" s="34">
        <f>State_Fossil_All_Mapping_SEDS!R64/State_Fossil_All_Mapping_SEDS!$BB64</f>
        <v>0</v>
      </c>
      <c r="R10" s="34">
        <f>State_Fossil_All_Mapping_SEDS!S64/State_Fossil_All_Mapping_SEDS!$BB64</f>
        <v>0</v>
      </c>
      <c r="S10" s="34">
        <f>State_Fossil_All_Mapping_SEDS!T64/State_Fossil_All_Mapping_SEDS!$BB64</f>
        <v>0</v>
      </c>
      <c r="T10" s="34">
        <f>State_Fossil_All_Mapping_SEDS!U64/State_Fossil_All_Mapping_SEDS!$BB64</f>
        <v>0</v>
      </c>
      <c r="U10" s="34">
        <f>State_Fossil_All_Mapping_SEDS!V64/State_Fossil_All_Mapping_SEDS!$BB64</f>
        <v>0</v>
      </c>
      <c r="V10" s="34">
        <f>State_Fossil_All_Mapping_SEDS!W64/State_Fossil_All_Mapping_SEDS!$BB64</f>
        <v>0</v>
      </c>
      <c r="W10" s="34">
        <f>State_Fossil_All_Mapping_SEDS!X64/State_Fossil_All_Mapping_SEDS!$BB64</f>
        <v>0</v>
      </c>
      <c r="X10" s="34">
        <f>State_Fossil_All_Mapping_SEDS!Y64/State_Fossil_All_Mapping_SEDS!$BB64</f>
        <v>0</v>
      </c>
      <c r="Y10" s="34">
        <f>State_Fossil_All_Mapping_SEDS!Z64/State_Fossil_All_Mapping_SEDS!$BB64</f>
        <v>0</v>
      </c>
      <c r="Z10" s="34">
        <f>State_Fossil_All_Mapping_SEDS!AA64/State_Fossil_All_Mapping_SEDS!$BB64</f>
        <v>0</v>
      </c>
      <c r="AA10" s="34">
        <f>State_Fossil_All_Mapping_SEDS!AB64/State_Fossil_All_Mapping_SEDS!$BB64</f>
        <v>0</v>
      </c>
      <c r="AB10" s="34">
        <f>State_Fossil_All_Mapping_SEDS!AC64/State_Fossil_All_Mapping_SEDS!$BB64</f>
        <v>0</v>
      </c>
      <c r="AC10" s="34">
        <f>State_Fossil_All_Mapping_SEDS!AD64/State_Fossil_All_Mapping_SEDS!$BB64</f>
        <v>0</v>
      </c>
      <c r="AD10" s="34">
        <f>State_Fossil_All_Mapping_SEDS!AE64/State_Fossil_All_Mapping_SEDS!$BB64</f>
        <v>0</v>
      </c>
      <c r="AE10" s="34">
        <f>State_Fossil_All_Mapping_SEDS!AF64/State_Fossil_All_Mapping_SEDS!$BB64</f>
        <v>0</v>
      </c>
      <c r="AF10" s="34">
        <f>State_Fossil_All_Mapping_SEDS!AG64/State_Fossil_All_Mapping_SEDS!$BB64</f>
        <v>0</v>
      </c>
      <c r="AG10" s="34">
        <f>State_Fossil_All_Mapping_SEDS!AH64/State_Fossil_All_Mapping_SEDS!$BB64</f>
        <v>0</v>
      </c>
      <c r="AH10" s="34">
        <f>State_Fossil_All_Mapping_SEDS!AI64/State_Fossil_All_Mapping_SEDS!$BB64</f>
        <v>0</v>
      </c>
      <c r="AI10" s="34">
        <f>State_Fossil_All_Mapping_SEDS!AJ64/State_Fossil_All_Mapping_SEDS!$BB64</f>
        <v>0</v>
      </c>
      <c r="AJ10" s="34">
        <f>State_Fossil_All_Mapping_SEDS!AK64/State_Fossil_All_Mapping_SEDS!$BB64</f>
        <v>0</v>
      </c>
      <c r="AK10" s="34">
        <f>State_Fossil_All_Mapping_SEDS!AL64/State_Fossil_All_Mapping_SEDS!$BB64</f>
        <v>0</v>
      </c>
      <c r="AL10" s="34">
        <f>State_Fossil_All_Mapping_SEDS!AM64/State_Fossil_All_Mapping_SEDS!$BB64</f>
        <v>0</v>
      </c>
      <c r="AM10" s="34">
        <f>State_Fossil_All_Mapping_SEDS!AN64/State_Fossil_All_Mapping_SEDS!$BB64</f>
        <v>0.2058823529</v>
      </c>
      <c r="AN10" s="34">
        <f>State_Fossil_All_Mapping_SEDS!AO64/State_Fossil_All_Mapping_SEDS!$BB64</f>
        <v>0</v>
      </c>
      <c r="AO10" s="34">
        <f>State_Fossil_All_Mapping_SEDS!AP64/State_Fossil_All_Mapping_SEDS!$BB64</f>
        <v>0</v>
      </c>
      <c r="AP10" s="34">
        <f>State_Fossil_All_Mapping_SEDS!AQ64/State_Fossil_All_Mapping_SEDS!$BB64</f>
        <v>0</v>
      </c>
      <c r="AQ10" s="34">
        <f>State_Fossil_All_Mapping_SEDS!AR64/State_Fossil_All_Mapping_SEDS!$BB64</f>
        <v>0</v>
      </c>
      <c r="AR10" s="34">
        <f>State_Fossil_All_Mapping_SEDS!AS64/State_Fossil_All_Mapping_SEDS!$BB64</f>
        <v>0</v>
      </c>
      <c r="AS10" s="34">
        <f>State_Fossil_All_Mapping_SEDS!AT64/State_Fossil_All_Mapping_SEDS!$BB64</f>
        <v>0</v>
      </c>
      <c r="AT10" s="34">
        <f>State_Fossil_All_Mapping_SEDS!AU64/State_Fossil_All_Mapping_SEDS!$BB64</f>
        <v>0</v>
      </c>
      <c r="AU10" s="34">
        <f>State_Fossil_All_Mapping_SEDS!AV64/State_Fossil_All_Mapping_SEDS!$BB64</f>
        <v>0</v>
      </c>
      <c r="AV10" s="34">
        <f>State_Fossil_All_Mapping_SEDS!AW64/State_Fossil_All_Mapping_SEDS!$BB64</f>
        <v>0</v>
      </c>
      <c r="AW10" s="34">
        <f>State_Fossil_All_Mapping_SEDS!AX64/State_Fossil_All_Mapping_SEDS!$BB64</f>
        <v>0.3058823529</v>
      </c>
      <c r="AX10" s="34">
        <f>State_Fossil_All_Mapping_SEDS!AY64/State_Fossil_All_Mapping_SEDS!$BB64</f>
        <v>0</v>
      </c>
      <c r="AY10" s="34">
        <f>State_Fossil_All_Mapping_SEDS!AZ64/State_Fossil_All_Mapping_SEDS!$BB64</f>
        <v>0</v>
      </c>
      <c r="AZ10" s="34">
        <f>State_Fossil_All_Mapping_SEDS!BA64/State_Fossil_All_Mapping_SEDS!$BB64</f>
        <v>0</v>
      </c>
    </row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45" t="s">
        <v>94</v>
      </c>
      <c r="B1" s="45" t="s">
        <v>1994</v>
      </c>
      <c r="C1" s="45" t="s">
        <v>2062</v>
      </c>
      <c r="D1" s="45" t="s">
        <v>2063</v>
      </c>
      <c r="E1" s="45" t="s">
        <v>2079</v>
      </c>
      <c r="F1" s="45" t="s">
        <v>2137</v>
      </c>
      <c r="G1" s="45" t="s">
        <v>2194</v>
      </c>
      <c r="H1" s="45" t="s">
        <v>2250</v>
      </c>
      <c r="I1" s="45" t="s">
        <v>2259</v>
      </c>
      <c r="J1" s="45" t="s">
        <v>2263</v>
      </c>
      <c r="K1" s="45" t="s">
        <v>2264</v>
      </c>
      <c r="L1" s="45" t="s">
        <v>2314</v>
      </c>
      <c r="M1" s="45" t="s">
        <v>2423</v>
      </c>
      <c r="N1" s="45" t="s">
        <v>2424</v>
      </c>
      <c r="O1" s="45" t="s">
        <v>2458</v>
      </c>
      <c r="P1" s="45" t="s">
        <v>2513</v>
      </c>
      <c r="Q1" s="45" t="s">
        <v>2555</v>
      </c>
      <c r="R1" s="45" t="s">
        <v>2601</v>
      </c>
      <c r="S1" s="45" t="s">
        <v>2669</v>
      </c>
      <c r="T1" s="45" t="s">
        <v>2725</v>
      </c>
      <c r="U1" s="45" t="s">
        <v>2790</v>
      </c>
      <c r="V1" s="45" t="s">
        <v>2801</v>
      </c>
      <c r="W1" s="45" t="s">
        <v>2819</v>
      </c>
      <c r="X1" s="45" t="s">
        <v>2830</v>
      </c>
      <c r="Y1" s="45" t="s">
        <v>2893</v>
      </c>
      <c r="Z1" s="45" t="s">
        <v>2955</v>
      </c>
      <c r="AA1" s="45" t="s">
        <v>2992</v>
      </c>
      <c r="AB1" s="45" t="s">
        <v>3034</v>
      </c>
      <c r="AC1" s="45" t="s">
        <v>3071</v>
      </c>
      <c r="AD1" s="45" t="s">
        <v>3112</v>
      </c>
      <c r="AE1" s="45" t="s">
        <v>3123</v>
      </c>
      <c r="AF1" s="45" t="s">
        <v>3131</v>
      </c>
      <c r="AG1" s="45" t="s">
        <v>3143</v>
      </c>
      <c r="AH1" s="45" t="s">
        <v>3168</v>
      </c>
      <c r="AI1" s="45" t="s">
        <v>3200</v>
      </c>
      <c r="AJ1" s="45" t="s">
        <v>3265</v>
      </c>
      <c r="AK1" s="45" t="s">
        <v>3297</v>
      </c>
      <c r="AL1" s="45" t="s">
        <v>3333</v>
      </c>
      <c r="AM1" s="45" t="s">
        <v>3376</v>
      </c>
      <c r="AN1" s="45" t="s">
        <v>3393</v>
      </c>
      <c r="AO1" s="45" t="s">
        <v>3427</v>
      </c>
      <c r="AP1" s="45" t="s">
        <v>3430</v>
      </c>
      <c r="AQ1" s="45" t="s">
        <v>3458</v>
      </c>
      <c r="AR1" s="45" t="s">
        <v>3497</v>
      </c>
      <c r="AS1" s="45" t="s">
        <v>3524</v>
      </c>
      <c r="AT1" s="45" t="s">
        <v>3687</v>
      </c>
      <c r="AU1" s="45" t="s">
        <v>3704</v>
      </c>
      <c r="AV1" s="45" t="s">
        <v>3713</v>
      </c>
      <c r="AW1" s="45" t="s">
        <v>3797</v>
      </c>
      <c r="AX1" s="45" t="s">
        <v>3820</v>
      </c>
      <c r="AY1" s="45" t="s">
        <v>3838</v>
      </c>
      <c r="AZ1" s="45" t="s">
        <v>3874</v>
      </c>
    </row>
    <row r="2" ht="15.75" customHeight="1">
      <c r="A2" s="34">
        <v>1.0</v>
      </c>
      <c r="B2" s="34">
        <f>State_Fossil_All_Mapping_SEDS!C69/State_Fossil_All_Mapping_SEDS!$BB69</f>
        <v>0</v>
      </c>
      <c r="C2" s="34">
        <f>State_Fossil_All_Mapping_SEDS!D69/State_Fossil_All_Mapping_SEDS!$BB69</f>
        <v>0</v>
      </c>
      <c r="D2" s="34">
        <f>State_Fossil_All_Mapping_SEDS!E69/State_Fossil_All_Mapping_SEDS!$BB69</f>
        <v>0</v>
      </c>
      <c r="E2" s="34">
        <f>State_Fossil_All_Mapping_SEDS!F69/State_Fossil_All_Mapping_SEDS!$BB69</f>
        <v>0</v>
      </c>
      <c r="F2" s="34">
        <f>State_Fossil_All_Mapping_SEDS!G69/State_Fossil_All_Mapping_SEDS!$BB69</f>
        <v>0</v>
      </c>
      <c r="G2" s="34">
        <f>State_Fossil_All_Mapping_SEDS!H69/State_Fossil_All_Mapping_SEDS!$BB69</f>
        <v>0</v>
      </c>
      <c r="H2" s="34">
        <f>State_Fossil_All_Mapping_SEDS!I69/State_Fossil_All_Mapping_SEDS!$BB69</f>
        <v>0.1780821918</v>
      </c>
      <c r="I2" s="34">
        <f>State_Fossil_All_Mapping_SEDS!J69/State_Fossil_All_Mapping_SEDS!$BB69</f>
        <v>0</v>
      </c>
      <c r="J2" s="34">
        <f>State_Fossil_All_Mapping_SEDS!K69/State_Fossil_All_Mapping_SEDS!$BB69</f>
        <v>0</v>
      </c>
      <c r="K2" s="34">
        <f>State_Fossil_All_Mapping_SEDS!L69/State_Fossil_All_Mapping_SEDS!$BB69</f>
        <v>0</v>
      </c>
      <c r="L2" s="34">
        <f>State_Fossil_All_Mapping_SEDS!M69/State_Fossil_All_Mapping_SEDS!$BB69</f>
        <v>0</v>
      </c>
      <c r="M2" s="34">
        <f>State_Fossil_All_Mapping_SEDS!N69/State_Fossil_All_Mapping_SEDS!$BB69</f>
        <v>0</v>
      </c>
      <c r="N2" s="34">
        <f>State_Fossil_All_Mapping_SEDS!O69/State_Fossil_All_Mapping_SEDS!$BB69</f>
        <v>0</v>
      </c>
      <c r="O2" s="34">
        <f>State_Fossil_All_Mapping_SEDS!P69/State_Fossil_All_Mapping_SEDS!$BB69</f>
        <v>0</v>
      </c>
      <c r="P2" s="34">
        <f>State_Fossil_All_Mapping_SEDS!Q69/State_Fossil_All_Mapping_SEDS!$BB69</f>
        <v>0</v>
      </c>
      <c r="Q2" s="34">
        <f>State_Fossil_All_Mapping_SEDS!R69/State_Fossil_All_Mapping_SEDS!$BB69</f>
        <v>0</v>
      </c>
      <c r="R2" s="34">
        <f>State_Fossil_All_Mapping_SEDS!S69/State_Fossil_All_Mapping_SEDS!$BB69</f>
        <v>0</v>
      </c>
      <c r="S2" s="34">
        <f>State_Fossil_All_Mapping_SEDS!T69/State_Fossil_All_Mapping_SEDS!$BB69</f>
        <v>0</v>
      </c>
      <c r="T2" s="34">
        <f>State_Fossil_All_Mapping_SEDS!U69/State_Fossil_All_Mapping_SEDS!$BB69</f>
        <v>0</v>
      </c>
      <c r="U2" s="34">
        <f>State_Fossil_All_Mapping_SEDS!V69/State_Fossil_All_Mapping_SEDS!$BB69</f>
        <v>0.2077625571</v>
      </c>
      <c r="V2" s="34">
        <f>State_Fossil_All_Mapping_SEDS!W69/State_Fossil_All_Mapping_SEDS!$BB69</f>
        <v>0</v>
      </c>
      <c r="W2" s="34">
        <f>State_Fossil_All_Mapping_SEDS!X69/State_Fossil_All_Mapping_SEDS!$BB69</f>
        <v>0.2762557078</v>
      </c>
      <c r="X2" s="34">
        <f>State_Fossil_All_Mapping_SEDS!Y69/State_Fossil_All_Mapping_SEDS!$BB69</f>
        <v>0</v>
      </c>
      <c r="Y2" s="34">
        <f>State_Fossil_All_Mapping_SEDS!Z69/State_Fossil_All_Mapping_SEDS!$BB69</f>
        <v>0</v>
      </c>
      <c r="Z2" s="34">
        <f>State_Fossil_All_Mapping_SEDS!AA69/State_Fossil_All_Mapping_SEDS!$BB69</f>
        <v>0</v>
      </c>
      <c r="AA2" s="34">
        <f>State_Fossil_All_Mapping_SEDS!AB69/State_Fossil_All_Mapping_SEDS!$BB69</f>
        <v>0</v>
      </c>
      <c r="AB2" s="34">
        <f>State_Fossil_All_Mapping_SEDS!AC69/State_Fossil_All_Mapping_SEDS!$BB69</f>
        <v>0</v>
      </c>
      <c r="AC2" s="34">
        <f>State_Fossil_All_Mapping_SEDS!AD69/State_Fossil_All_Mapping_SEDS!$BB69</f>
        <v>0</v>
      </c>
      <c r="AD2" s="34">
        <f>State_Fossil_All_Mapping_SEDS!AE69/State_Fossil_All_Mapping_SEDS!$BB69</f>
        <v>0</v>
      </c>
      <c r="AE2" s="34">
        <f>State_Fossil_All_Mapping_SEDS!AF69/State_Fossil_All_Mapping_SEDS!$BB69</f>
        <v>0.198630137</v>
      </c>
      <c r="AF2" s="34">
        <f>State_Fossil_All_Mapping_SEDS!AG69/State_Fossil_All_Mapping_SEDS!$BB69</f>
        <v>0</v>
      </c>
      <c r="AG2" s="34">
        <f>State_Fossil_All_Mapping_SEDS!AH69/State_Fossil_All_Mapping_SEDS!$BB69</f>
        <v>0</v>
      </c>
      <c r="AH2" s="34">
        <f>State_Fossil_All_Mapping_SEDS!AI69/State_Fossil_All_Mapping_SEDS!$BB69</f>
        <v>0</v>
      </c>
      <c r="AI2" s="34">
        <f>State_Fossil_All_Mapping_SEDS!AJ69/State_Fossil_All_Mapping_SEDS!$BB69</f>
        <v>0</v>
      </c>
      <c r="AJ2" s="34">
        <f>State_Fossil_All_Mapping_SEDS!AK69/State_Fossil_All_Mapping_SEDS!$BB69</f>
        <v>0</v>
      </c>
      <c r="AK2" s="34">
        <f>State_Fossil_All_Mapping_SEDS!AL69/State_Fossil_All_Mapping_SEDS!$BB69</f>
        <v>0</v>
      </c>
      <c r="AL2" s="34">
        <f>State_Fossil_All_Mapping_SEDS!AM69/State_Fossil_All_Mapping_SEDS!$BB69</f>
        <v>0</v>
      </c>
      <c r="AM2" s="34">
        <f>State_Fossil_All_Mapping_SEDS!AN69/State_Fossil_All_Mapping_SEDS!$BB69</f>
        <v>0</v>
      </c>
      <c r="AN2" s="34">
        <f>State_Fossil_All_Mapping_SEDS!AO69/State_Fossil_All_Mapping_SEDS!$BB69</f>
        <v>0</v>
      </c>
      <c r="AO2" s="34">
        <f>State_Fossil_All_Mapping_SEDS!AP69/State_Fossil_All_Mapping_SEDS!$BB69</f>
        <v>0.04109589041</v>
      </c>
      <c r="AP2" s="34">
        <f>State_Fossil_All_Mapping_SEDS!AQ69/State_Fossil_All_Mapping_SEDS!$BB69</f>
        <v>0</v>
      </c>
      <c r="AQ2" s="34">
        <f>State_Fossil_All_Mapping_SEDS!AR69/State_Fossil_All_Mapping_SEDS!$BB69</f>
        <v>0</v>
      </c>
      <c r="AR2" s="34">
        <f>State_Fossil_All_Mapping_SEDS!AS69/State_Fossil_All_Mapping_SEDS!$BB69</f>
        <v>0</v>
      </c>
      <c r="AS2" s="34">
        <f>State_Fossil_All_Mapping_SEDS!AT69/State_Fossil_All_Mapping_SEDS!$BB69</f>
        <v>0</v>
      </c>
      <c r="AT2" s="34">
        <f>State_Fossil_All_Mapping_SEDS!AU69/State_Fossil_All_Mapping_SEDS!$BB69</f>
        <v>0</v>
      </c>
      <c r="AU2" s="34">
        <f>State_Fossil_All_Mapping_SEDS!AV69/State_Fossil_All_Mapping_SEDS!$BB69</f>
        <v>0.09817351598</v>
      </c>
      <c r="AV2" s="34">
        <f>State_Fossil_All_Mapping_SEDS!AW69/State_Fossil_All_Mapping_SEDS!$BB69</f>
        <v>0</v>
      </c>
      <c r="AW2" s="34">
        <f>State_Fossil_All_Mapping_SEDS!AX69/State_Fossil_All_Mapping_SEDS!$BB69</f>
        <v>0</v>
      </c>
      <c r="AX2" s="34">
        <f>State_Fossil_All_Mapping_SEDS!AY69/State_Fossil_All_Mapping_SEDS!$BB69</f>
        <v>0</v>
      </c>
      <c r="AY2" s="34">
        <f>State_Fossil_All_Mapping_SEDS!AZ69/State_Fossil_All_Mapping_SEDS!$BB69</f>
        <v>0</v>
      </c>
      <c r="AZ2" s="34">
        <f>State_Fossil_All_Mapping_SEDS!BA69/State_Fossil_All_Mapping_SEDS!$BB69</f>
        <v>0</v>
      </c>
    </row>
    <row r="3" ht="15.75" customHeight="1">
      <c r="A3" s="34">
        <v>2.0</v>
      </c>
      <c r="B3" s="34">
        <f>State_Fossil_All_Mapping_SEDS!C70/State_Fossil_All_Mapping_SEDS!$BB70</f>
        <v>0</v>
      </c>
      <c r="C3" s="34">
        <f>State_Fossil_All_Mapping_SEDS!D70/State_Fossil_All_Mapping_SEDS!$BB70</f>
        <v>0</v>
      </c>
      <c r="D3" s="34">
        <f>State_Fossil_All_Mapping_SEDS!E70/State_Fossil_All_Mapping_SEDS!$BB70</f>
        <v>0</v>
      </c>
      <c r="E3" s="34">
        <f>State_Fossil_All_Mapping_SEDS!F70/State_Fossil_All_Mapping_SEDS!$BB70</f>
        <v>0</v>
      </c>
      <c r="F3" s="34">
        <f>State_Fossil_All_Mapping_SEDS!G70/State_Fossil_All_Mapping_SEDS!$BB70</f>
        <v>0</v>
      </c>
      <c r="G3" s="34">
        <f>State_Fossil_All_Mapping_SEDS!H70/State_Fossil_All_Mapping_SEDS!$BB70</f>
        <v>0</v>
      </c>
      <c r="H3" s="34">
        <f>State_Fossil_All_Mapping_SEDS!I70/State_Fossil_All_Mapping_SEDS!$BB70</f>
        <v>0</v>
      </c>
      <c r="I3" s="34">
        <f>State_Fossil_All_Mapping_SEDS!J70/State_Fossil_All_Mapping_SEDS!$BB70</f>
        <v>0</v>
      </c>
      <c r="J3" s="34">
        <f>State_Fossil_All_Mapping_SEDS!K70/State_Fossil_All_Mapping_SEDS!$BB70</f>
        <v>0</v>
      </c>
      <c r="K3" s="34">
        <f>State_Fossil_All_Mapping_SEDS!L70/State_Fossil_All_Mapping_SEDS!$BB70</f>
        <v>0</v>
      </c>
      <c r="L3" s="34">
        <f>State_Fossil_All_Mapping_SEDS!M70/State_Fossil_All_Mapping_SEDS!$BB70</f>
        <v>0</v>
      </c>
      <c r="M3" s="34">
        <f>State_Fossil_All_Mapping_SEDS!N70/State_Fossil_All_Mapping_SEDS!$BB70</f>
        <v>0</v>
      </c>
      <c r="N3" s="34">
        <f>State_Fossil_All_Mapping_SEDS!O70/State_Fossil_All_Mapping_SEDS!$BB70</f>
        <v>0</v>
      </c>
      <c r="O3" s="34">
        <f>State_Fossil_All_Mapping_SEDS!P70/State_Fossil_All_Mapping_SEDS!$BB70</f>
        <v>0</v>
      </c>
      <c r="P3" s="34">
        <f>State_Fossil_All_Mapping_SEDS!Q70/State_Fossil_All_Mapping_SEDS!$BB70</f>
        <v>0</v>
      </c>
      <c r="Q3" s="34">
        <f>State_Fossil_All_Mapping_SEDS!R70/State_Fossil_All_Mapping_SEDS!$BB70</f>
        <v>0</v>
      </c>
      <c r="R3" s="34">
        <f>State_Fossil_All_Mapping_SEDS!S70/State_Fossil_All_Mapping_SEDS!$BB70</f>
        <v>0</v>
      </c>
      <c r="S3" s="34">
        <f>State_Fossil_All_Mapping_SEDS!T70/State_Fossil_All_Mapping_SEDS!$BB70</f>
        <v>0</v>
      </c>
      <c r="T3" s="34">
        <f>State_Fossil_All_Mapping_SEDS!U70/State_Fossil_All_Mapping_SEDS!$BB70</f>
        <v>0</v>
      </c>
      <c r="U3" s="34">
        <f>State_Fossil_All_Mapping_SEDS!V70/State_Fossil_All_Mapping_SEDS!$BB70</f>
        <v>0</v>
      </c>
      <c r="V3" s="34">
        <f>State_Fossil_All_Mapping_SEDS!W70/State_Fossil_All_Mapping_SEDS!$BB70</f>
        <v>0</v>
      </c>
      <c r="W3" s="34">
        <f>State_Fossil_All_Mapping_SEDS!X70/State_Fossil_All_Mapping_SEDS!$BB70</f>
        <v>0</v>
      </c>
      <c r="X3" s="34">
        <f>State_Fossil_All_Mapping_SEDS!Y70/State_Fossil_All_Mapping_SEDS!$BB70</f>
        <v>0</v>
      </c>
      <c r="Y3" s="34">
        <f>State_Fossil_All_Mapping_SEDS!Z70/State_Fossil_All_Mapping_SEDS!$BB70</f>
        <v>0</v>
      </c>
      <c r="Z3" s="34">
        <f>State_Fossil_All_Mapping_SEDS!AA70/State_Fossil_All_Mapping_SEDS!$BB70</f>
        <v>0</v>
      </c>
      <c r="AA3" s="34">
        <f>State_Fossil_All_Mapping_SEDS!AB70/State_Fossil_All_Mapping_SEDS!$BB70</f>
        <v>0</v>
      </c>
      <c r="AB3" s="34">
        <f>State_Fossil_All_Mapping_SEDS!AC70/State_Fossil_All_Mapping_SEDS!$BB70</f>
        <v>0</v>
      </c>
      <c r="AC3" s="34">
        <f>State_Fossil_All_Mapping_SEDS!AD70/State_Fossil_All_Mapping_SEDS!$BB70</f>
        <v>0</v>
      </c>
      <c r="AD3" s="34">
        <f>State_Fossil_All_Mapping_SEDS!AE70/State_Fossil_All_Mapping_SEDS!$BB70</f>
        <v>0</v>
      </c>
      <c r="AE3" s="34">
        <f>State_Fossil_All_Mapping_SEDS!AF70/State_Fossil_All_Mapping_SEDS!$BB70</f>
        <v>0</v>
      </c>
      <c r="AF3" s="34">
        <f>State_Fossil_All_Mapping_SEDS!AG70/State_Fossil_All_Mapping_SEDS!$BB70</f>
        <v>0.2032163743</v>
      </c>
      <c r="AG3" s="34">
        <f>State_Fossil_All_Mapping_SEDS!AH70/State_Fossil_All_Mapping_SEDS!$BB70</f>
        <v>0</v>
      </c>
      <c r="AH3" s="34">
        <f>State_Fossil_All_Mapping_SEDS!AI70/State_Fossil_All_Mapping_SEDS!$BB70</f>
        <v>0.451754386</v>
      </c>
      <c r="AI3" s="34">
        <f>State_Fossil_All_Mapping_SEDS!AJ70/State_Fossil_All_Mapping_SEDS!$BB70</f>
        <v>0</v>
      </c>
      <c r="AJ3" s="34">
        <f>State_Fossil_All_Mapping_SEDS!AK70/State_Fossil_All_Mapping_SEDS!$BB70</f>
        <v>0</v>
      </c>
      <c r="AK3" s="34">
        <f>State_Fossil_All_Mapping_SEDS!AL70/State_Fossil_All_Mapping_SEDS!$BB70</f>
        <v>0</v>
      </c>
      <c r="AL3" s="34">
        <f>State_Fossil_All_Mapping_SEDS!AM70/State_Fossil_All_Mapping_SEDS!$BB70</f>
        <v>0</v>
      </c>
      <c r="AM3" s="34">
        <f>State_Fossil_All_Mapping_SEDS!AN70/State_Fossil_All_Mapping_SEDS!$BB70</f>
        <v>0</v>
      </c>
      <c r="AN3" s="34">
        <f>State_Fossil_All_Mapping_SEDS!AO70/State_Fossil_All_Mapping_SEDS!$BB70</f>
        <v>0.3450292398</v>
      </c>
      <c r="AO3" s="34">
        <f>State_Fossil_All_Mapping_SEDS!AP70/State_Fossil_All_Mapping_SEDS!$BB70</f>
        <v>0</v>
      </c>
      <c r="AP3" s="34">
        <f>State_Fossil_All_Mapping_SEDS!AQ70/State_Fossil_All_Mapping_SEDS!$BB70</f>
        <v>0</v>
      </c>
      <c r="AQ3" s="34">
        <f>State_Fossil_All_Mapping_SEDS!AR70/State_Fossil_All_Mapping_SEDS!$BB70</f>
        <v>0</v>
      </c>
      <c r="AR3" s="34">
        <f>State_Fossil_All_Mapping_SEDS!AS70/State_Fossil_All_Mapping_SEDS!$BB70</f>
        <v>0</v>
      </c>
      <c r="AS3" s="34">
        <f>State_Fossil_All_Mapping_SEDS!AT70/State_Fossil_All_Mapping_SEDS!$BB70</f>
        <v>0</v>
      </c>
      <c r="AT3" s="34">
        <f>State_Fossil_All_Mapping_SEDS!AU70/State_Fossil_All_Mapping_SEDS!$BB70</f>
        <v>0</v>
      </c>
      <c r="AU3" s="34">
        <f>State_Fossil_All_Mapping_SEDS!AV70/State_Fossil_All_Mapping_SEDS!$BB70</f>
        <v>0</v>
      </c>
      <c r="AV3" s="34">
        <f>State_Fossil_All_Mapping_SEDS!AW70/State_Fossil_All_Mapping_SEDS!$BB70</f>
        <v>0</v>
      </c>
      <c r="AW3" s="34">
        <f>State_Fossil_All_Mapping_SEDS!AX70/State_Fossil_All_Mapping_SEDS!$BB70</f>
        <v>0</v>
      </c>
      <c r="AX3" s="34">
        <f>State_Fossil_All_Mapping_SEDS!AY70/State_Fossil_All_Mapping_SEDS!$BB70</f>
        <v>0</v>
      </c>
      <c r="AY3" s="34">
        <f>State_Fossil_All_Mapping_SEDS!AZ70/State_Fossil_All_Mapping_SEDS!$BB70</f>
        <v>0</v>
      </c>
      <c r="AZ3" s="34">
        <f>State_Fossil_All_Mapping_SEDS!BA70/State_Fossil_All_Mapping_SEDS!$BB70</f>
        <v>0</v>
      </c>
    </row>
    <row r="4" ht="15.75" customHeight="1">
      <c r="A4" s="34">
        <v>3.0</v>
      </c>
      <c r="B4" s="34">
        <f>State_Fossil_All_Mapping_SEDS!C71/State_Fossil_All_Mapping_SEDS!$BB71</f>
        <v>0</v>
      </c>
      <c r="C4" s="34">
        <f>State_Fossil_All_Mapping_SEDS!D71/State_Fossil_All_Mapping_SEDS!$BB71</f>
        <v>0</v>
      </c>
      <c r="D4" s="34">
        <f>State_Fossil_All_Mapping_SEDS!E71/State_Fossil_All_Mapping_SEDS!$BB71</f>
        <v>0</v>
      </c>
      <c r="E4" s="34">
        <f>State_Fossil_All_Mapping_SEDS!F71/State_Fossil_All_Mapping_SEDS!$BB71</f>
        <v>0</v>
      </c>
      <c r="F4" s="34">
        <f>State_Fossil_All_Mapping_SEDS!G71/State_Fossil_All_Mapping_SEDS!$BB71</f>
        <v>0</v>
      </c>
      <c r="G4" s="34">
        <f>State_Fossil_All_Mapping_SEDS!H71/State_Fossil_All_Mapping_SEDS!$BB71</f>
        <v>0</v>
      </c>
      <c r="H4" s="34">
        <f>State_Fossil_All_Mapping_SEDS!I71/State_Fossil_All_Mapping_SEDS!$BB71</f>
        <v>0</v>
      </c>
      <c r="I4" s="34">
        <f>State_Fossil_All_Mapping_SEDS!J71/State_Fossil_All_Mapping_SEDS!$BB71</f>
        <v>0</v>
      </c>
      <c r="J4" s="34">
        <f>State_Fossil_All_Mapping_SEDS!K71/State_Fossil_All_Mapping_SEDS!$BB71</f>
        <v>0</v>
      </c>
      <c r="K4" s="34">
        <f>State_Fossil_All_Mapping_SEDS!L71/State_Fossil_All_Mapping_SEDS!$BB71</f>
        <v>0</v>
      </c>
      <c r="L4" s="34">
        <f>State_Fossil_All_Mapping_SEDS!M71/State_Fossil_All_Mapping_SEDS!$BB71</f>
        <v>0</v>
      </c>
      <c r="M4" s="34">
        <f>State_Fossil_All_Mapping_SEDS!N71/State_Fossil_All_Mapping_SEDS!$BB71</f>
        <v>0</v>
      </c>
      <c r="N4" s="34">
        <f>State_Fossil_All_Mapping_SEDS!O71/State_Fossil_All_Mapping_SEDS!$BB71</f>
        <v>0</v>
      </c>
      <c r="O4" s="34">
        <f>State_Fossil_All_Mapping_SEDS!P71/State_Fossil_All_Mapping_SEDS!$BB71</f>
        <v>0.2485746864</v>
      </c>
      <c r="P4" s="34">
        <f>State_Fossil_All_Mapping_SEDS!Q71/State_Fossil_All_Mapping_SEDS!$BB71</f>
        <v>0.1459521095</v>
      </c>
      <c r="Q4" s="34">
        <f>State_Fossil_All_Mapping_SEDS!R71/State_Fossil_All_Mapping_SEDS!$BB71</f>
        <v>0</v>
      </c>
      <c r="R4" s="34">
        <f>State_Fossil_All_Mapping_SEDS!S71/State_Fossil_All_Mapping_SEDS!$BB71</f>
        <v>0</v>
      </c>
      <c r="S4" s="34">
        <f>State_Fossil_All_Mapping_SEDS!T71/State_Fossil_All_Mapping_SEDS!$BB71</f>
        <v>0</v>
      </c>
      <c r="T4" s="34">
        <f>State_Fossil_All_Mapping_SEDS!U71/State_Fossil_All_Mapping_SEDS!$BB71</f>
        <v>0</v>
      </c>
      <c r="U4" s="34">
        <f>State_Fossil_All_Mapping_SEDS!V71/State_Fossil_All_Mapping_SEDS!$BB71</f>
        <v>0</v>
      </c>
      <c r="V4" s="34">
        <f>State_Fossil_All_Mapping_SEDS!W71/State_Fossil_All_Mapping_SEDS!$BB71</f>
        <v>0</v>
      </c>
      <c r="W4" s="34">
        <f>State_Fossil_All_Mapping_SEDS!X71/State_Fossil_All_Mapping_SEDS!$BB71</f>
        <v>0</v>
      </c>
      <c r="X4" s="34">
        <f>State_Fossil_All_Mapping_SEDS!Y71/State_Fossil_All_Mapping_SEDS!$BB71</f>
        <v>0.2063854048</v>
      </c>
      <c r="Y4" s="34">
        <f>State_Fossil_All_Mapping_SEDS!Z71/State_Fossil_All_Mapping_SEDS!$BB71</f>
        <v>0</v>
      </c>
      <c r="Z4" s="34">
        <f>State_Fossil_All_Mapping_SEDS!AA71/State_Fossil_All_Mapping_SEDS!$BB71</f>
        <v>0</v>
      </c>
      <c r="AA4" s="34">
        <f>State_Fossil_All_Mapping_SEDS!AB71/State_Fossil_All_Mapping_SEDS!$BB71</f>
        <v>0</v>
      </c>
      <c r="AB4" s="34">
        <f>State_Fossil_All_Mapping_SEDS!AC71/State_Fossil_All_Mapping_SEDS!$BB71</f>
        <v>0</v>
      </c>
      <c r="AC4" s="34">
        <f>State_Fossil_All_Mapping_SEDS!AD71/State_Fossil_All_Mapping_SEDS!$BB71</f>
        <v>0</v>
      </c>
      <c r="AD4" s="34">
        <f>State_Fossil_All_Mapping_SEDS!AE71/State_Fossil_All_Mapping_SEDS!$BB71</f>
        <v>0</v>
      </c>
      <c r="AE4" s="34">
        <f>State_Fossil_All_Mapping_SEDS!AF71/State_Fossil_All_Mapping_SEDS!$BB71</f>
        <v>0</v>
      </c>
      <c r="AF4" s="34">
        <f>State_Fossil_All_Mapping_SEDS!AG71/State_Fossil_All_Mapping_SEDS!$BB71</f>
        <v>0</v>
      </c>
      <c r="AG4" s="34">
        <f>State_Fossil_All_Mapping_SEDS!AH71/State_Fossil_All_Mapping_SEDS!$BB71</f>
        <v>0</v>
      </c>
      <c r="AH4" s="34">
        <f>State_Fossil_All_Mapping_SEDS!AI71/State_Fossil_All_Mapping_SEDS!$BB71</f>
        <v>0</v>
      </c>
      <c r="AI4" s="34">
        <f>State_Fossil_All_Mapping_SEDS!AJ71/State_Fossil_All_Mapping_SEDS!$BB71</f>
        <v>0</v>
      </c>
      <c r="AJ4" s="34">
        <f>State_Fossil_All_Mapping_SEDS!AK71/State_Fossil_All_Mapping_SEDS!$BB71</f>
        <v>0</v>
      </c>
      <c r="AK4" s="34">
        <f>State_Fossil_All_Mapping_SEDS!AL71/State_Fossil_All_Mapping_SEDS!$BB71</f>
        <v>0.2656784493</v>
      </c>
      <c r="AL4" s="34">
        <f>State_Fossil_All_Mapping_SEDS!AM71/State_Fossil_All_Mapping_SEDS!$BB71</f>
        <v>0</v>
      </c>
      <c r="AM4" s="34">
        <f>State_Fossil_All_Mapping_SEDS!AN71/State_Fossil_All_Mapping_SEDS!$BB71</f>
        <v>0</v>
      </c>
      <c r="AN4" s="34">
        <f>State_Fossil_All_Mapping_SEDS!AO71/State_Fossil_All_Mapping_SEDS!$BB71</f>
        <v>0</v>
      </c>
      <c r="AO4" s="34">
        <f>State_Fossil_All_Mapping_SEDS!AP71/State_Fossil_All_Mapping_SEDS!$BB71</f>
        <v>0</v>
      </c>
      <c r="AP4" s="34">
        <f>State_Fossil_All_Mapping_SEDS!AQ71/State_Fossil_All_Mapping_SEDS!$BB71</f>
        <v>0</v>
      </c>
      <c r="AQ4" s="34">
        <f>State_Fossil_All_Mapping_SEDS!AR71/State_Fossil_All_Mapping_SEDS!$BB71</f>
        <v>0</v>
      </c>
      <c r="AR4" s="34">
        <f>State_Fossil_All_Mapping_SEDS!AS71/State_Fossil_All_Mapping_SEDS!$BB71</f>
        <v>0</v>
      </c>
      <c r="AS4" s="34">
        <f>State_Fossil_All_Mapping_SEDS!AT71/State_Fossil_All_Mapping_SEDS!$BB71</f>
        <v>0</v>
      </c>
      <c r="AT4" s="34">
        <f>State_Fossil_All_Mapping_SEDS!AU71/State_Fossil_All_Mapping_SEDS!$BB71</f>
        <v>0</v>
      </c>
      <c r="AU4" s="34">
        <f>State_Fossil_All_Mapping_SEDS!AV71/State_Fossil_All_Mapping_SEDS!$BB71</f>
        <v>0</v>
      </c>
      <c r="AV4" s="34">
        <f>State_Fossil_All_Mapping_SEDS!AW71/State_Fossil_All_Mapping_SEDS!$BB71</f>
        <v>0</v>
      </c>
      <c r="AW4" s="34">
        <f>State_Fossil_All_Mapping_SEDS!AX71/State_Fossil_All_Mapping_SEDS!$BB71</f>
        <v>0</v>
      </c>
      <c r="AX4" s="34">
        <f>State_Fossil_All_Mapping_SEDS!AY71/State_Fossil_All_Mapping_SEDS!$BB71</f>
        <v>0</v>
      </c>
      <c r="AY4" s="34">
        <f>State_Fossil_All_Mapping_SEDS!AZ71/State_Fossil_All_Mapping_SEDS!$BB71</f>
        <v>0.1334093501</v>
      </c>
      <c r="AZ4" s="34">
        <f>State_Fossil_All_Mapping_SEDS!BA71/State_Fossil_All_Mapping_SEDS!$BB71</f>
        <v>0</v>
      </c>
    </row>
    <row r="5" ht="15.75" customHeight="1">
      <c r="A5" s="34">
        <v>4.0</v>
      </c>
      <c r="B5" s="34">
        <f>State_Fossil_All_Mapping_SEDS!C72/State_Fossil_All_Mapping_SEDS!$BB72</f>
        <v>0</v>
      </c>
      <c r="C5" s="34">
        <f>State_Fossil_All_Mapping_SEDS!D72/State_Fossil_All_Mapping_SEDS!$BB72</f>
        <v>0</v>
      </c>
      <c r="D5" s="34">
        <f>State_Fossil_All_Mapping_SEDS!E72/State_Fossil_All_Mapping_SEDS!$BB72</f>
        <v>0</v>
      </c>
      <c r="E5" s="34">
        <f>State_Fossil_All_Mapping_SEDS!F72/State_Fossil_All_Mapping_SEDS!$BB72</f>
        <v>0</v>
      </c>
      <c r="F5" s="34">
        <f>State_Fossil_All_Mapping_SEDS!G72/State_Fossil_All_Mapping_SEDS!$BB72</f>
        <v>0</v>
      </c>
      <c r="G5" s="34">
        <f>State_Fossil_All_Mapping_SEDS!H72/State_Fossil_All_Mapping_SEDS!$BB72</f>
        <v>0</v>
      </c>
      <c r="H5" s="34">
        <f>State_Fossil_All_Mapping_SEDS!I72/State_Fossil_All_Mapping_SEDS!$BB72</f>
        <v>0</v>
      </c>
      <c r="I5" s="34">
        <f>State_Fossil_All_Mapping_SEDS!J72/State_Fossil_All_Mapping_SEDS!$BB72</f>
        <v>0</v>
      </c>
      <c r="J5" s="34">
        <f>State_Fossil_All_Mapping_SEDS!K72/State_Fossil_All_Mapping_SEDS!$BB72</f>
        <v>0</v>
      </c>
      <c r="K5" s="34">
        <f>State_Fossil_All_Mapping_SEDS!L72/State_Fossil_All_Mapping_SEDS!$BB72</f>
        <v>0</v>
      </c>
      <c r="L5" s="34">
        <f>State_Fossil_All_Mapping_SEDS!M72/State_Fossil_All_Mapping_SEDS!$BB72</f>
        <v>0</v>
      </c>
      <c r="M5" s="34">
        <f>State_Fossil_All_Mapping_SEDS!N72/State_Fossil_All_Mapping_SEDS!$BB72</f>
        <v>0</v>
      </c>
      <c r="N5" s="34">
        <f>State_Fossil_All_Mapping_SEDS!O72/State_Fossil_All_Mapping_SEDS!$BB72</f>
        <v>0</v>
      </c>
      <c r="O5" s="34">
        <f>State_Fossil_All_Mapping_SEDS!P72/State_Fossil_All_Mapping_SEDS!$BB72</f>
        <v>0</v>
      </c>
      <c r="P5" s="34">
        <f>State_Fossil_All_Mapping_SEDS!Q72/State_Fossil_All_Mapping_SEDS!$BB72</f>
        <v>0</v>
      </c>
      <c r="Q5" s="34">
        <f>State_Fossil_All_Mapping_SEDS!R72/State_Fossil_All_Mapping_SEDS!$BB72</f>
        <v>0.309352518</v>
      </c>
      <c r="R5" s="34">
        <f>State_Fossil_All_Mapping_SEDS!S72/State_Fossil_All_Mapping_SEDS!$BB72</f>
        <v>0.08633093525</v>
      </c>
      <c r="S5" s="34">
        <f>State_Fossil_All_Mapping_SEDS!T72/State_Fossil_All_Mapping_SEDS!$BB72</f>
        <v>0</v>
      </c>
      <c r="T5" s="34">
        <f>State_Fossil_All_Mapping_SEDS!U72/State_Fossil_All_Mapping_SEDS!$BB72</f>
        <v>0</v>
      </c>
      <c r="U5" s="34">
        <f>State_Fossil_All_Mapping_SEDS!V72/State_Fossil_All_Mapping_SEDS!$BB72</f>
        <v>0</v>
      </c>
      <c r="V5" s="34">
        <f>State_Fossil_All_Mapping_SEDS!W72/State_Fossil_All_Mapping_SEDS!$BB72</f>
        <v>0</v>
      </c>
      <c r="W5" s="34">
        <f>State_Fossil_All_Mapping_SEDS!X72/State_Fossil_All_Mapping_SEDS!$BB72</f>
        <v>0</v>
      </c>
      <c r="X5" s="34">
        <f>State_Fossil_All_Mapping_SEDS!Y72/State_Fossil_All_Mapping_SEDS!$BB72</f>
        <v>0</v>
      </c>
      <c r="Y5" s="34">
        <f>State_Fossil_All_Mapping_SEDS!Z72/State_Fossil_All_Mapping_SEDS!$BB72</f>
        <v>0.273381295</v>
      </c>
      <c r="Z5" s="34">
        <f>State_Fossil_All_Mapping_SEDS!AA72/State_Fossil_All_Mapping_SEDS!$BB72</f>
        <v>0</v>
      </c>
      <c r="AA5" s="34">
        <f>State_Fossil_All_Mapping_SEDS!AB72/State_Fossil_All_Mapping_SEDS!$BB72</f>
        <v>0.2050359712</v>
      </c>
      <c r="AB5" s="34">
        <f>State_Fossil_All_Mapping_SEDS!AC72/State_Fossil_All_Mapping_SEDS!$BB72</f>
        <v>0</v>
      </c>
      <c r="AC5" s="34">
        <f>State_Fossil_All_Mapping_SEDS!AD72/State_Fossil_All_Mapping_SEDS!$BB72</f>
        <v>0.06115107914</v>
      </c>
      <c r="AD5" s="34">
        <f>State_Fossil_All_Mapping_SEDS!AE72/State_Fossil_All_Mapping_SEDS!$BB72</f>
        <v>0</v>
      </c>
      <c r="AE5" s="34">
        <f>State_Fossil_All_Mapping_SEDS!AF72/State_Fossil_All_Mapping_SEDS!$BB72</f>
        <v>0</v>
      </c>
      <c r="AF5" s="34">
        <f>State_Fossil_All_Mapping_SEDS!AG72/State_Fossil_All_Mapping_SEDS!$BB72</f>
        <v>0</v>
      </c>
      <c r="AG5" s="34">
        <f>State_Fossil_All_Mapping_SEDS!AH72/State_Fossil_All_Mapping_SEDS!$BB72</f>
        <v>0</v>
      </c>
      <c r="AH5" s="34">
        <f>State_Fossil_All_Mapping_SEDS!AI72/State_Fossil_All_Mapping_SEDS!$BB72</f>
        <v>0</v>
      </c>
      <c r="AI5" s="34">
        <f>State_Fossil_All_Mapping_SEDS!AJ72/State_Fossil_All_Mapping_SEDS!$BB72</f>
        <v>0</v>
      </c>
      <c r="AJ5" s="34">
        <f>State_Fossil_All_Mapping_SEDS!AK72/State_Fossil_All_Mapping_SEDS!$BB72</f>
        <v>0.03956834532</v>
      </c>
      <c r="AK5" s="34">
        <f>State_Fossil_All_Mapping_SEDS!AL72/State_Fossil_All_Mapping_SEDS!$BB72</f>
        <v>0</v>
      </c>
      <c r="AL5" s="34">
        <f>State_Fossil_All_Mapping_SEDS!AM72/State_Fossil_All_Mapping_SEDS!$BB72</f>
        <v>0</v>
      </c>
      <c r="AM5" s="34">
        <f>State_Fossil_All_Mapping_SEDS!AN72/State_Fossil_All_Mapping_SEDS!$BB72</f>
        <v>0</v>
      </c>
      <c r="AN5" s="34">
        <f>State_Fossil_All_Mapping_SEDS!AO72/State_Fossil_All_Mapping_SEDS!$BB72</f>
        <v>0</v>
      </c>
      <c r="AO5" s="34">
        <f>State_Fossil_All_Mapping_SEDS!AP72/State_Fossil_All_Mapping_SEDS!$BB72</f>
        <v>0</v>
      </c>
      <c r="AP5" s="34">
        <f>State_Fossil_All_Mapping_SEDS!AQ72/State_Fossil_All_Mapping_SEDS!$BB72</f>
        <v>0</v>
      </c>
      <c r="AQ5" s="34">
        <f>State_Fossil_All_Mapping_SEDS!AR72/State_Fossil_All_Mapping_SEDS!$BB72</f>
        <v>0.02517985612</v>
      </c>
      <c r="AR5" s="34">
        <f>State_Fossil_All_Mapping_SEDS!AS72/State_Fossil_All_Mapping_SEDS!$BB72</f>
        <v>0</v>
      </c>
      <c r="AS5" s="34">
        <f>State_Fossil_All_Mapping_SEDS!AT72/State_Fossil_All_Mapping_SEDS!$BB72</f>
        <v>0</v>
      </c>
      <c r="AT5" s="34">
        <f>State_Fossil_All_Mapping_SEDS!AU72/State_Fossil_All_Mapping_SEDS!$BB72</f>
        <v>0</v>
      </c>
      <c r="AU5" s="34">
        <f>State_Fossil_All_Mapping_SEDS!AV72/State_Fossil_All_Mapping_SEDS!$BB72</f>
        <v>0</v>
      </c>
      <c r="AV5" s="34">
        <f>State_Fossil_All_Mapping_SEDS!AW72/State_Fossil_All_Mapping_SEDS!$BB72</f>
        <v>0</v>
      </c>
      <c r="AW5" s="34">
        <f>State_Fossil_All_Mapping_SEDS!AX72/State_Fossil_All_Mapping_SEDS!$BB72</f>
        <v>0</v>
      </c>
      <c r="AX5" s="34">
        <f>State_Fossil_All_Mapping_SEDS!AY72/State_Fossil_All_Mapping_SEDS!$BB72</f>
        <v>0</v>
      </c>
      <c r="AY5" s="34">
        <f>State_Fossil_All_Mapping_SEDS!AZ72/State_Fossil_All_Mapping_SEDS!$BB72</f>
        <v>0</v>
      </c>
      <c r="AZ5" s="34">
        <f>State_Fossil_All_Mapping_SEDS!BA72/State_Fossil_All_Mapping_SEDS!$BB72</f>
        <v>0</v>
      </c>
    </row>
    <row r="6" ht="15.75" customHeight="1">
      <c r="A6" s="34">
        <v>5.0</v>
      </c>
      <c r="B6" s="34">
        <f>State_Fossil_All_Mapping_SEDS!C73/State_Fossil_All_Mapping_SEDS!$BB73</f>
        <v>0</v>
      </c>
      <c r="C6" s="34">
        <f>State_Fossil_All_Mapping_SEDS!D73/State_Fossil_All_Mapping_SEDS!$BB73</f>
        <v>0</v>
      </c>
      <c r="D6" s="34">
        <f>State_Fossil_All_Mapping_SEDS!E73/State_Fossil_All_Mapping_SEDS!$BB73</f>
        <v>0</v>
      </c>
      <c r="E6" s="34">
        <f>State_Fossil_All_Mapping_SEDS!F73/State_Fossil_All_Mapping_SEDS!$BB73</f>
        <v>0</v>
      </c>
      <c r="F6" s="34">
        <f>State_Fossil_All_Mapping_SEDS!G73/State_Fossil_All_Mapping_SEDS!$BB73</f>
        <v>0</v>
      </c>
      <c r="G6" s="34">
        <f>State_Fossil_All_Mapping_SEDS!H73/State_Fossil_All_Mapping_SEDS!$BB73</f>
        <v>0</v>
      </c>
      <c r="H6" s="34">
        <f>State_Fossil_All_Mapping_SEDS!I73/State_Fossil_All_Mapping_SEDS!$BB73</f>
        <v>0</v>
      </c>
      <c r="I6" s="34">
        <f>State_Fossil_All_Mapping_SEDS!J73/State_Fossil_All_Mapping_SEDS!$BB73</f>
        <v>0.01493550577</v>
      </c>
      <c r="J6" s="34">
        <f>State_Fossil_All_Mapping_SEDS!K73/State_Fossil_All_Mapping_SEDS!$BB73</f>
        <v>0.002715546504</v>
      </c>
      <c r="K6" s="34">
        <f>State_Fossil_All_Mapping_SEDS!L73/State_Fossil_All_Mapping_SEDS!$BB73</f>
        <v>0.2654446707</v>
      </c>
      <c r="L6" s="34">
        <f>State_Fossil_All_Mapping_SEDS!M73/State_Fossil_All_Mapping_SEDS!$BB73</f>
        <v>0.1228784793</v>
      </c>
      <c r="M6" s="34">
        <f>State_Fossil_All_Mapping_SEDS!N73/State_Fossil_All_Mapping_SEDS!$BB73</f>
        <v>0</v>
      </c>
      <c r="N6" s="34">
        <f>State_Fossil_All_Mapping_SEDS!O73/State_Fossil_All_Mapping_SEDS!$BB73</f>
        <v>0</v>
      </c>
      <c r="O6" s="34">
        <f>State_Fossil_All_Mapping_SEDS!P73/State_Fossil_All_Mapping_SEDS!$BB73</f>
        <v>0</v>
      </c>
      <c r="P6" s="34">
        <f>State_Fossil_All_Mapping_SEDS!Q73/State_Fossil_All_Mapping_SEDS!$BB73</f>
        <v>0</v>
      </c>
      <c r="Q6" s="34">
        <f>State_Fossil_All_Mapping_SEDS!R73/State_Fossil_All_Mapping_SEDS!$BB73</f>
        <v>0</v>
      </c>
      <c r="R6" s="34">
        <f>State_Fossil_All_Mapping_SEDS!S73/State_Fossil_All_Mapping_SEDS!$BB73</f>
        <v>0</v>
      </c>
      <c r="S6" s="34">
        <f>State_Fossil_All_Mapping_SEDS!T73/State_Fossil_All_Mapping_SEDS!$BB73</f>
        <v>0</v>
      </c>
      <c r="T6" s="34">
        <f>State_Fossil_All_Mapping_SEDS!U73/State_Fossil_All_Mapping_SEDS!$BB73</f>
        <v>0</v>
      </c>
      <c r="U6" s="34">
        <f>State_Fossil_All_Mapping_SEDS!V73/State_Fossil_All_Mapping_SEDS!$BB73</f>
        <v>0</v>
      </c>
      <c r="V6" s="34">
        <f>State_Fossil_All_Mapping_SEDS!W73/State_Fossil_All_Mapping_SEDS!$BB73</f>
        <v>0.08553971487</v>
      </c>
      <c r="W6" s="34">
        <f>State_Fossil_All_Mapping_SEDS!X73/State_Fossil_All_Mapping_SEDS!$BB73</f>
        <v>0</v>
      </c>
      <c r="X6" s="34">
        <f>State_Fossil_All_Mapping_SEDS!Y73/State_Fossil_All_Mapping_SEDS!$BB73</f>
        <v>0</v>
      </c>
      <c r="Y6" s="34">
        <f>State_Fossil_All_Mapping_SEDS!Z73/State_Fossil_All_Mapping_SEDS!$BB73</f>
        <v>0</v>
      </c>
      <c r="Z6" s="34">
        <f>State_Fossil_All_Mapping_SEDS!AA73/State_Fossil_All_Mapping_SEDS!$BB73</f>
        <v>0</v>
      </c>
      <c r="AA6" s="34">
        <f>State_Fossil_All_Mapping_SEDS!AB73/State_Fossil_All_Mapping_SEDS!$BB73</f>
        <v>0</v>
      </c>
      <c r="AB6" s="34">
        <f>State_Fossil_All_Mapping_SEDS!AC73/State_Fossil_All_Mapping_SEDS!$BB73</f>
        <v>0</v>
      </c>
      <c r="AC6" s="34">
        <f>State_Fossil_All_Mapping_SEDS!AD73/State_Fossil_All_Mapping_SEDS!$BB73</f>
        <v>0</v>
      </c>
      <c r="AD6" s="34">
        <f>State_Fossil_All_Mapping_SEDS!AE73/State_Fossil_All_Mapping_SEDS!$BB73</f>
        <v>0</v>
      </c>
      <c r="AE6" s="34">
        <f>State_Fossil_All_Mapping_SEDS!AF73/State_Fossil_All_Mapping_SEDS!$BB73</f>
        <v>0</v>
      </c>
      <c r="AF6" s="34">
        <f>State_Fossil_All_Mapping_SEDS!AG73/State_Fossil_All_Mapping_SEDS!$BB73</f>
        <v>0</v>
      </c>
      <c r="AG6" s="34">
        <f>State_Fossil_All_Mapping_SEDS!AH73/State_Fossil_All_Mapping_SEDS!$BB73</f>
        <v>0</v>
      </c>
      <c r="AH6" s="34">
        <f>State_Fossil_All_Mapping_SEDS!AI73/State_Fossil_All_Mapping_SEDS!$BB73</f>
        <v>0</v>
      </c>
      <c r="AI6" s="34">
        <f>State_Fossil_All_Mapping_SEDS!AJ73/State_Fossil_All_Mapping_SEDS!$BB73</f>
        <v>0.2797012899</v>
      </c>
      <c r="AJ6" s="34">
        <f>State_Fossil_All_Mapping_SEDS!AK73/State_Fossil_All_Mapping_SEDS!$BB73</f>
        <v>0</v>
      </c>
      <c r="AK6" s="34">
        <f>State_Fossil_All_Mapping_SEDS!AL73/State_Fossil_All_Mapping_SEDS!$BB73</f>
        <v>0</v>
      </c>
      <c r="AL6" s="34">
        <f>State_Fossil_All_Mapping_SEDS!AM73/State_Fossil_All_Mapping_SEDS!$BB73</f>
        <v>0</v>
      </c>
      <c r="AM6" s="34">
        <f>State_Fossil_All_Mapping_SEDS!AN73/State_Fossil_All_Mapping_SEDS!$BB73</f>
        <v>0</v>
      </c>
      <c r="AN6" s="34">
        <f>State_Fossil_All_Mapping_SEDS!AO73/State_Fossil_All_Mapping_SEDS!$BB73</f>
        <v>0</v>
      </c>
      <c r="AO6" s="34">
        <f>State_Fossil_All_Mapping_SEDS!AP73/State_Fossil_All_Mapping_SEDS!$BB73</f>
        <v>0</v>
      </c>
      <c r="AP6" s="34">
        <f>State_Fossil_All_Mapping_SEDS!AQ73/State_Fossil_All_Mapping_SEDS!$BB73</f>
        <v>0.0706042091</v>
      </c>
      <c r="AQ6" s="34">
        <f>State_Fossil_All_Mapping_SEDS!AR73/State_Fossil_All_Mapping_SEDS!$BB73</f>
        <v>0</v>
      </c>
      <c r="AR6" s="34">
        <f>State_Fossil_All_Mapping_SEDS!AS73/State_Fossil_All_Mapping_SEDS!$BB73</f>
        <v>0</v>
      </c>
      <c r="AS6" s="34">
        <f>State_Fossil_All_Mapping_SEDS!AT73/State_Fossil_All_Mapping_SEDS!$BB73</f>
        <v>0</v>
      </c>
      <c r="AT6" s="34">
        <f>State_Fossil_All_Mapping_SEDS!AU73/State_Fossil_All_Mapping_SEDS!$BB73</f>
        <v>0</v>
      </c>
      <c r="AU6" s="34">
        <f>State_Fossil_All_Mapping_SEDS!AV73/State_Fossil_All_Mapping_SEDS!$BB73</f>
        <v>0</v>
      </c>
      <c r="AV6" s="34">
        <f>State_Fossil_All_Mapping_SEDS!AW73/State_Fossil_All_Mapping_SEDS!$BB73</f>
        <v>0.1371350984</v>
      </c>
      <c r="AW6" s="34">
        <f>State_Fossil_All_Mapping_SEDS!AX73/State_Fossil_All_Mapping_SEDS!$BB73</f>
        <v>0</v>
      </c>
      <c r="AX6" s="34">
        <f>State_Fossil_All_Mapping_SEDS!AY73/State_Fossil_All_Mapping_SEDS!$BB73</f>
        <v>0.0210454854</v>
      </c>
      <c r="AY6" s="34">
        <f>State_Fossil_All_Mapping_SEDS!AZ73/State_Fossil_All_Mapping_SEDS!$BB73</f>
        <v>0</v>
      </c>
      <c r="AZ6" s="34">
        <f>State_Fossil_All_Mapping_SEDS!BA73/State_Fossil_All_Mapping_SEDS!$BB73</f>
        <v>0</v>
      </c>
    </row>
    <row r="7" ht="15.75" customHeight="1">
      <c r="A7" s="34">
        <v>6.0</v>
      </c>
      <c r="B7" s="34">
        <f>State_Fossil_All_Mapping_SEDS!C74/State_Fossil_All_Mapping_SEDS!$BB74</f>
        <v>0.3541666667</v>
      </c>
      <c r="C7" s="34">
        <f>State_Fossil_All_Mapping_SEDS!D74/State_Fossil_All_Mapping_SEDS!$BB74</f>
        <v>0</v>
      </c>
      <c r="D7" s="34">
        <f>State_Fossil_All_Mapping_SEDS!E74/State_Fossil_All_Mapping_SEDS!$BB74</f>
        <v>0</v>
      </c>
      <c r="E7" s="34">
        <f>State_Fossil_All_Mapping_SEDS!F74/State_Fossil_All_Mapping_SEDS!$BB74</f>
        <v>0</v>
      </c>
      <c r="F7" s="34">
        <f>State_Fossil_All_Mapping_SEDS!G74/State_Fossil_All_Mapping_SEDS!$BB74</f>
        <v>0</v>
      </c>
      <c r="G7" s="34">
        <f>State_Fossil_All_Mapping_SEDS!H74/State_Fossil_All_Mapping_SEDS!$BB74</f>
        <v>0</v>
      </c>
      <c r="H7" s="34">
        <f>State_Fossil_All_Mapping_SEDS!I74/State_Fossil_All_Mapping_SEDS!$BB74</f>
        <v>0</v>
      </c>
      <c r="I7" s="34">
        <f>State_Fossil_All_Mapping_SEDS!J74/State_Fossil_All_Mapping_SEDS!$BB74</f>
        <v>0</v>
      </c>
      <c r="J7" s="34">
        <f>State_Fossil_All_Mapping_SEDS!K74/State_Fossil_All_Mapping_SEDS!$BB74</f>
        <v>0</v>
      </c>
      <c r="K7" s="34">
        <f>State_Fossil_All_Mapping_SEDS!L74/State_Fossil_All_Mapping_SEDS!$BB74</f>
        <v>0</v>
      </c>
      <c r="L7" s="34">
        <f>State_Fossil_All_Mapping_SEDS!M74/State_Fossil_All_Mapping_SEDS!$BB74</f>
        <v>0</v>
      </c>
      <c r="M7" s="34">
        <f>State_Fossil_All_Mapping_SEDS!N74/State_Fossil_All_Mapping_SEDS!$BB74</f>
        <v>0</v>
      </c>
      <c r="N7" s="34">
        <f>State_Fossil_All_Mapping_SEDS!O74/State_Fossil_All_Mapping_SEDS!$BB74</f>
        <v>0</v>
      </c>
      <c r="O7" s="34">
        <f>State_Fossil_All_Mapping_SEDS!P74/State_Fossil_All_Mapping_SEDS!$BB74</f>
        <v>0</v>
      </c>
      <c r="P7" s="34">
        <f>State_Fossil_All_Mapping_SEDS!Q74/State_Fossil_All_Mapping_SEDS!$BB74</f>
        <v>0</v>
      </c>
      <c r="Q7" s="34">
        <f>State_Fossil_All_Mapping_SEDS!R74/State_Fossil_All_Mapping_SEDS!$BB74</f>
        <v>0</v>
      </c>
      <c r="R7" s="34">
        <f>State_Fossil_All_Mapping_SEDS!S74/State_Fossil_All_Mapping_SEDS!$BB74</f>
        <v>0</v>
      </c>
      <c r="S7" s="34">
        <f>State_Fossil_All_Mapping_SEDS!T74/State_Fossil_All_Mapping_SEDS!$BB74</f>
        <v>0.2113095238</v>
      </c>
      <c r="T7" s="34">
        <f>State_Fossil_All_Mapping_SEDS!U74/State_Fossil_All_Mapping_SEDS!$BB74</f>
        <v>0</v>
      </c>
      <c r="U7" s="34">
        <f>State_Fossil_All_Mapping_SEDS!V74/State_Fossil_All_Mapping_SEDS!$BB74</f>
        <v>0</v>
      </c>
      <c r="V7" s="34">
        <f>State_Fossil_All_Mapping_SEDS!W74/State_Fossil_All_Mapping_SEDS!$BB74</f>
        <v>0</v>
      </c>
      <c r="W7" s="34">
        <f>State_Fossil_All_Mapping_SEDS!X74/State_Fossil_All_Mapping_SEDS!$BB74</f>
        <v>0</v>
      </c>
      <c r="X7" s="34">
        <f>State_Fossil_All_Mapping_SEDS!Y74/State_Fossil_All_Mapping_SEDS!$BB74</f>
        <v>0</v>
      </c>
      <c r="Y7" s="34">
        <f>State_Fossil_All_Mapping_SEDS!Z74/State_Fossil_All_Mapping_SEDS!$BB74</f>
        <v>0</v>
      </c>
      <c r="Z7" s="34">
        <f>State_Fossil_All_Mapping_SEDS!AA74/State_Fossil_All_Mapping_SEDS!$BB74</f>
        <v>0.1458333333</v>
      </c>
      <c r="AA7" s="34">
        <f>State_Fossil_All_Mapping_SEDS!AB74/State_Fossil_All_Mapping_SEDS!$BB74</f>
        <v>0</v>
      </c>
      <c r="AB7" s="34">
        <f>State_Fossil_All_Mapping_SEDS!AC74/State_Fossil_All_Mapping_SEDS!$BB74</f>
        <v>0</v>
      </c>
      <c r="AC7" s="34">
        <f>State_Fossil_All_Mapping_SEDS!AD74/State_Fossil_All_Mapping_SEDS!$BB74</f>
        <v>0</v>
      </c>
      <c r="AD7" s="34">
        <f>State_Fossil_All_Mapping_SEDS!AE74/State_Fossil_All_Mapping_SEDS!$BB74</f>
        <v>0</v>
      </c>
      <c r="AE7" s="34">
        <f>State_Fossil_All_Mapping_SEDS!AF74/State_Fossil_All_Mapping_SEDS!$BB74</f>
        <v>0</v>
      </c>
      <c r="AF7" s="34">
        <f>State_Fossil_All_Mapping_SEDS!AG74/State_Fossil_All_Mapping_SEDS!$BB74</f>
        <v>0</v>
      </c>
      <c r="AG7" s="34">
        <f>State_Fossil_All_Mapping_SEDS!AH74/State_Fossil_All_Mapping_SEDS!$BB74</f>
        <v>0</v>
      </c>
      <c r="AH7" s="34">
        <f>State_Fossil_All_Mapping_SEDS!AI74/State_Fossil_All_Mapping_SEDS!$BB74</f>
        <v>0</v>
      </c>
      <c r="AI7" s="34">
        <f>State_Fossil_All_Mapping_SEDS!AJ74/State_Fossil_All_Mapping_SEDS!$BB74</f>
        <v>0</v>
      </c>
      <c r="AJ7" s="34">
        <f>State_Fossil_All_Mapping_SEDS!AK74/State_Fossil_All_Mapping_SEDS!$BB74</f>
        <v>0</v>
      </c>
      <c r="AK7" s="34">
        <f>State_Fossil_All_Mapping_SEDS!AL74/State_Fossil_All_Mapping_SEDS!$BB74</f>
        <v>0</v>
      </c>
      <c r="AL7" s="34">
        <f>State_Fossil_All_Mapping_SEDS!AM74/State_Fossil_All_Mapping_SEDS!$BB74</f>
        <v>0</v>
      </c>
      <c r="AM7" s="34">
        <f>State_Fossil_All_Mapping_SEDS!AN74/State_Fossil_All_Mapping_SEDS!$BB74</f>
        <v>0</v>
      </c>
      <c r="AN7" s="34">
        <f>State_Fossil_All_Mapping_SEDS!AO74/State_Fossil_All_Mapping_SEDS!$BB74</f>
        <v>0</v>
      </c>
      <c r="AO7" s="34">
        <f>State_Fossil_All_Mapping_SEDS!AP74/State_Fossil_All_Mapping_SEDS!$BB74</f>
        <v>0</v>
      </c>
      <c r="AP7" s="34">
        <f>State_Fossil_All_Mapping_SEDS!AQ74/State_Fossil_All_Mapping_SEDS!$BB74</f>
        <v>0</v>
      </c>
      <c r="AQ7" s="34">
        <f>State_Fossil_All_Mapping_SEDS!AR74/State_Fossil_All_Mapping_SEDS!$BB74</f>
        <v>0</v>
      </c>
      <c r="AR7" s="34">
        <f>State_Fossil_All_Mapping_SEDS!AS74/State_Fossil_All_Mapping_SEDS!$BB74</f>
        <v>0.2886904762</v>
      </c>
      <c r="AS7" s="34">
        <f>State_Fossil_All_Mapping_SEDS!AT74/State_Fossil_All_Mapping_SEDS!$BB74</f>
        <v>0</v>
      </c>
      <c r="AT7" s="34">
        <f>State_Fossil_All_Mapping_SEDS!AU74/State_Fossil_All_Mapping_SEDS!$BB74</f>
        <v>0</v>
      </c>
      <c r="AU7" s="34">
        <f>State_Fossil_All_Mapping_SEDS!AV74/State_Fossil_All_Mapping_SEDS!$BB74</f>
        <v>0</v>
      </c>
      <c r="AV7" s="34">
        <f>State_Fossil_All_Mapping_SEDS!AW74/State_Fossil_All_Mapping_SEDS!$BB74</f>
        <v>0</v>
      </c>
      <c r="AW7" s="34">
        <f>State_Fossil_All_Mapping_SEDS!AX74/State_Fossil_All_Mapping_SEDS!$BB74</f>
        <v>0</v>
      </c>
      <c r="AX7" s="34">
        <f>State_Fossil_All_Mapping_SEDS!AY74/State_Fossil_All_Mapping_SEDS!$BB74</f>
        <v>0</v>
      </c>
      <c r="AY7" s="34">
        <f>State_Fossil_All_Mapping_SEDS!AZ74/State_Fossil_All_Mapping_SEDS!$BB74</f>
        <v>0</v>
      </c>
      <c r="AZ7" s="34">
        <f>State_Fossil_All_Mapping_SEDS!BA74/State_Fossil_All_Mapping_SEDS!$BB74</f>
        <v>0</v>
      </c>
    </row>
    <row r="8" ht="15.75" customHeight="1">
      <c r="A8" s="34">
        <v>7.0</v>
      </c>
      <c r="B8" s="34">
        <f>State_Fossil_All_Mapping_SEDS!C75/State_Fossil_All_Mapping_SEDS!$BB75</f>
        <v>0</v>
      </c>
      <c r="C8" s="34">
        <f>State_Fossil_All_Mapping_SEDS!D75/State_Fossil_All_Mapping_SEDS!$BB75</f>
        <v>0</v>
      </c>
      <c r="D8" s="34">
        <f>State_Fossil_All_Mapping_SEDS!E75/State_Fossil_All_Mapping_SEDS!$BB75</f>
        <v>0</v>
      </c>
      <c r="E8" s="34">
        <f>State_Fossil_All_Mapping_SEDS!F75/State_Fossil_All_Mapping_SEDS!$BB75</f>
        <v>0.07692307692</v>
      </c>
      <c r="F8" s="34">
        <f>State_Fossil_All_Mapping_SEDS!G75/State_Fossil_All_Mapping_SEDS!$BB75</f>
        <v>0</v>
      </c>
      <c r="G8" s="34">
        <f>State_Fossil_All_Mapping_SEDS!H75/State_Fossil_All_Mapping_SEDS!$BB75</f>
        <v>0</v>
      </c>
      <c r="H8" s="34">
        <f>State_Fossil_All_Mapping_SEDS!I75/State_Fossil_All_Mapping_SEDS!$BB75</f>
        <v>0</v>
      </c>
      <c r="I8" s="34">
        <f>State_Fossil_All_Mapping_SEDS!J75/State_Fossil_All_Mapping_SEDS!$BB75</f>
        <v>0</v>
      </c>
      <c r="J8" s="34">
        <f>State_Fossil_All_Mapping_SEDS!K75/State_Fossil_All_Mapping_SEDS!$BB75</f>
        <v>0</v>
      </c>
      <c r="K8" s="34">
        <f>State_Fossil_All_Mapping_SEDS!L75/State_Fossil_All_Mapping_SEDS!$BB75</f>
        <v>0</v>
      </c>
      <c r="L8" s="34">
        <f>State_Fossil_All_Mapping_SEDS!M75/State_Fossil_All_Mapping_SEDS!$BB75</f>
        <v>0</v>
      </c>
      <c r="M8" s="34">
        <f>State_Fossil_All_Mapping_SEDS!N75/State_Fossil_All_Mapping_SEDS!$BB75</f>
        <v>0</v>
      </c>
      <c r="N8" s="34">
        <f>State_Fossil_All_Mapping_SEDS!O75/State_Fossil_All_Mapping_SEDS!$BB75</f>
        <v>0</v>
      </c>
      <c r="O8" s="34">
        <f>State_Fossil_All_Mapping_SEDS!P75/State_Fossil_All_Mapping_SEDS!$BB75</f>
        <v>0</v>
      </c>
      <c r="P8" s="34">
        <f>State_Fossil_All_Mapping_SEDS!Q75/State_Fossil_All_Mapping_SEDS!$BB75</f>
        <v>0</v>
      </c>
      <c r="Q8" s="34">
        <f>State_Fossil_All_Mapping_SEDS!R75/State_Fossil_All_Mapping_SEDS!$BB75</f>
        <v>0</v>
      </c>
      <c r="R8" s="34">
        <f>State_Fossil_All_Mapping_SEDS!S75/State_Fossil_All_Mapping_SEDS!$BB75</f>
        <v>0</v>
      </c>
      <c r="S8" s="34">
        <f>State_Fossil_All_Mapping_SEDS!T75/State_Fossil_All_Mapping_SEDS!$BB75</f>
        <v>0</v>
      </c>
      <c r="T8" s="34">
        <f>State_Fossil_All_Mapping_SEDS!U75/State_Fossil_All_Mapping_SEDS!$BB75</f>
        <v>0.09914529915</v>
      </c>
      <c r="U8" s="34">
        <f>State_Fossil_All_Mapping_SEDS!V75/State_Fossil_All_Mapping_SEDS!$BB75</f>
        <v>0</v>
      </c>
      <c r="V8" s="34">
        <f>State_Fossil_All_Mapping_SEDS!W75/State_Fossil_All_Mapping_SEDS!$BB75</f>
        <v>0</v>
      </c>
      <c r="W8" s="34">
        <f>State_Fossil_All_Mapping_SEDS!X75/State_Fossil_All_Mapping_SEDS!$BB75</f>
        <v>0</v>
      </c>
      <c r="X8" s="34">
        <f>State_Fossil_All_Mapping_SEDS!Y75/State_Fossil_All_Mapping_SEDS!$BB75</f>
        <v>0</v>
      </c>
      <c r="Y8" s="34">
        <f>State_Fossil_All_Mapping_SEDS!Z75/State_Fossil_All_Mapping_SEDS!$BB75</f>
        <v>0</v>
      </c>
      <c r="Z8" s="34">
        <f>State_Fossil_All_Mapping_SEDS!AA75/State_Fossil_All_Mapping_SEDS!$BB75</f>
        <v>0</v>
      </c>
      <c r="AA8" s="34">
        <f>State_Fossil_All_Mapping_SEDS!AB75/State_Fossil_All_Mapping_SEDS!$BB75</f>
        <v>0</v>
      </c>
      <c r="AB8" s="34">
        <f>State_Fossil_All_Mapping_SEDS!AC75/State_Fossil_All_Mapping_SEDS!$BB75</f>
        <v>0</v>
      </c>
      <c r="AC8" s="34">
        <f>State_Fossil_All_Mapping_SEDS!AD75/State_Fossil_All_Mapping_SEDS!$BB75</f>
        <v>0</v>
      </c>
      <c r="AD8" s="34">
        <f>State_Fossil_All_Mapping_SEDS!AE75/State_Fossil_All_Mapping_SEDS!$BB75</f>
        <v>0</v>
      </c>
      <c r="AE8" s="34">
        <f>State_Fossil_All_Mapping_SEDS!AF75/State_Fossil_All_Mapping_SEDS!$BB75</f>
        <v>0</v>
      </c>
      <c r="AF8" s="34">
        <f>State_Fossil_All_Mapping_SEDS!AG75/State_Fossil_All_Mapping_SEDS!$BB75</f>
        <v>0</v>
      </c>
      <c r="AG8" s="34">
        <f>State_Fossil_All_Mapping_SEDS!AH75/State_Fossil_All_Mapping_SEDS!$BB75</f>
        <v>0</v>
      </c>
      <c r="AH8" s="34">
        <f>State_Fossil_All_Mapping_SEDS!AI75/State_Fossil_All_Mapping_SEDS!$BB75</f>
        <v>0</v>
      </c>
      <c r="AI8" s="34">
        <f>State_Fossil_All_Mapping_SEDS!AJ75/State_Fossil_All_Mapping_SEDS!$BB75</f>
        <v>0</v>
      </c>
      <c r="AJ8" s="34">
        <f>State_Fossil_All_Mapping_SEDS!AK75/State_Fossil_All_Mapping_SEDS!$BB75</f>
        <v>0</v>
      </c>
      <c r="AK8" s="34">
        <f>State_Fossil_All_Mapping_SEDS!AL75/State_Fossil_All_Mapping_SEDS!$BB75</f>
        <v>0</v>
      </c>
      <c r="AL8" s="34">
        <f>State_Fossil_All_Mapping_SEDS!AM75/State_Fossil_All_Mapping_SEDS!$BB75</f>
        <v>0.1367521368</v>
      </c>
      <c r="AM8" s="34">
        <f>State_Fossil_All_Mapping_SEDS!AN75/State_Fossil_All_Mapping_SEDS!$BB75</f>
        <v>0</v>
      </c>
      <c r="AN8" s="34">
        <f>State_Fossil_All_Mapping_SEDS!AO75/State_Fossil_All_Mapping_SEDS!$BB75</f>
        <v>0</v>
      </c>
      <c r="AO8" s="34">
        <f>State_Fossil_All_Mapping_SEDS!AP75/State_Fossil_All_Mapping_SEDS!$BB75</f>
        <v>0</v>
      </c>
      <c r="AP8" s="34">
        <f>State_Fossil_All_Mapping_SEDS!AQ75/State_Fossil_All_Mapping_SEDS!$BB75</f>
        <v>0</v>
      </c>
      <c r="AQ8" s="34">
        <f>State_Fossil_All_Mapping_SEDS!AR75/State_Fossil_All_Mapping_SEDS!$BB75</f>
        <v>0</v>
      </c>
      <c r="AR8" s="34">
        <f>State_Fossil_All_Mapping_SEDS!AS75/State_Fossil_All_Mapping_SEDS!$BB75</f>
        <v>0</v>
      </c>
      <c r="AS8" s="34">
        <f>State_Fossil_All_Mapping_SEDS!AT75/State_Fossil_All_Mapping_SEDS!$BB75</f>
        <v>0.6871794872</v>
      </c>
      <c r="AT8" s="34">
        <f>State_Fossil_All_Mapping_SEDS!AU75/State_Fossil_All_Mapping_SEDS!$BB75</f>
        <v>0</v>
      </c>
      <c r="AU8" s="34">
        <f>State_Fossil_All_Mapping_SEDS!AV75/State_Fossil_All_Mapping_SEDS!$BB75</f>
        <v>0</v>
      </c>
      <c r="AV8" s="34">
        <f>State_Fossil_All_Mapping_SEDS!AW75/State_Fossil_All_Mapping_SEDS!$BB75</f>
        <v>0</v>
      </c>
      <c r="AW8" s="34">
        <f>State_Fossil_All_Mapping_SEDS!AX75/State_Fossil_All_Mapping_SEDS!$BB75</f>
        <v>0</v>
      </c>
      <c r="AX8" s="34">
        <f>State_Fossil_All_Mapping_SEDS!AY75/State_Fossil_All_Mapping_SEDS!$BB75</f>
        <v>0</v>
      </c>
      <c r="AY8" s="34">
        <f>State_Fossil_All_Mapping_SEDS!AZ75/State_Fossil_All_Mapping_SEDS!$BB75</f>
        <v>0</v>
      </c>
      <c r="AZ8" s="34">
        <f>State_Fossil_All_Mapping_SEDS!BA75/State_Fossil_All_Mapping_SEDS!$BB75</f>
        <v>0</v>
      </c>
    </row>
    <row r="9" ht="15.75" customHeight="1">
      <c r="A9" s="34">
        <v>8.0</v>
      </c>
      <c r="B9" s="34">
        <f>State_Fossil_All_Mapping_SEDS!C76/State_Fossil_All_Mapping_SEDS!$BB76</f>
        <v>0</v>
      </c>
      <c r="C9" s="34">
        <f>State_Fossil_All_Mapping_SEDS!D76/State_Fossil_All_Mapping_SEDS!$BB76</f>
        <v>0</v>
      </c>
      <c r="D9" s="34">
        <f>State_Fossil_All_Mapping_SEDS!E76/State_Fossil_All_Mapping_SEDS!$BB76</f>
        <v>0.2528735632</v>
      </c>
      <c r="E9" s="34">
        <f>State_Fossil_All_Mapping_SEDS!F76/State_Fossil_All_Mapping_SEDS!$BB76</f>
        <v>0</v>
      </c>
      <c r="F9" s="34">
        <f>State_Fossil_All_Mapping_SEDS!G76/State_Fossil_All_Mapping_SEDS!$BB76</f>
        <v>0</v>
      </c>
      <c r="G9" s="34">
        <f>State_Fossil_All_Mapping_SEDS!H76/State_Fossil_All_Mapping_SEDS!$BB76</f>
        <v>0.2375478927</v>
      </c>
      <c r="H9" s="34">
        <f>State_Fossil_All_Mapping_SEDS!I76/State_Fossil_All_Mapping_SEDS!$BB76</f>
        <v>0</v>
      </c>
      <c r="I9" s="34">
        <f>State_Fossil_All_Mapping_SEDS!J76/State_Fossil_All_Mapping_SEDS!$BB76</f>
        <v>0</v>
      </c>
      <c r="J9" s="34">
        <f>State_Fossil_All_Mapping_SEDS!K76/State_Fossil_All_Mapping_SEDS!$BB76</f>
        <v>0</v>
      </c>
      <c r="K9" s="34">
        <f>State_Fossil_All_Mapping_SEDS!L76/State_Fossil_All_Mapping_SEDS!$BB76</f>
        <v>0</v>
      </c>
      <c r="L9" s="34">
        <f>State_Fossil_All_Mapping_SEDS!M76/State_Fossil_All_Mapping_SEDS!$BB76</f>
        <v>0</v>
      </c>
      <c r="M9" s="34">
        <f>State_Fossil_All_Mapping_SEDS!N76/State_Fossil_All_Mapping_SEDS!$BB76</f>
        <v>0</v>
      </c>
      <c r="N9" s="34">
        <f>State_Fossil_All_Mapping_SEDS!O76/State_Fossil_All_Mapping_SEDS!$BB76</f>
        <v>0.06896551724</v>
      </c>
      <c r="O9" s="34">
        <f>State_Fossil_All_Mapping_SEDS!P76/State_Fossil_All_Mapping_SEDS!$BB76</f>
        <v>0</v>
      </c>
      <c r="P9" s="34">
        <f>State_Fossil_All_Mapping_SEDS!Q76/State_Fossil_All_Mapping_SEDS!$BB76</f>
        <v>0</v>
      </c>
      <c r="Q9" s="34">
        <f>State_Fossil_All_Mapping_SEDS!R76/State_Fossil_All_Mapping_SEDS!$BB76</f>
        <v>0</v>
      </c>
      <c r="R9" s="34">
        <f>State_Fossil_All_Mapping_SEDS!S76/State_Fossil_All_Mapping_SEDS!$BB76</f>
        <v>0</v>
      </c>
      <c r="S9" s="34">
        <f>State_Fossil_All_Mapping_SEDS!T76/State_Fossil_All_Mapping_SEDS!$BB76</f>
        <v>0</v>
      </c>
      <c r="T9" s="34">
        <f>State_Fossil_All_Mapping_SEDS!U76/State_Fossil_All_Mapping_SEDS!$BB76</f>
        <v>0</v>
      </c>
      <c r="U9" s="34">
        <f>State_Fossil_All_Mapping_SEDS!V76/State_Fossil_All_Mapping_SEDS!$BB76</f>
        <v>0</v>
      </c>
      <c r="V9" s="34">
        <f>State_Fossil_All_Mapping_SEDS!W76/State_Fossil_All_Mapping_SEDS!$BB76</f>
        <v>0</v>
      </c>
      <c r="W9" s="34">
        <f>State_Fossil_All_Mapping_SEDS!X76/State_Fossil_All_Mapping_SEDS!$BB76</f>
        <v>0</v>
      </c>
      <c r="X9" s="34">
        <f>State_Fossil_All_Mapping_SEDS!Y76/State_Fossil_All_Mapping_SEDS!$BB76</f>
        <v>0</v>
      </c>
      <c r="Y9" s="34">
        <f>State_Fossil_All_Mapping_SEDS!Z76/State_Fossil_All_Mapping_SEDS!$BB76</f>
        <v>0</v>
      </c>
      <c r="Z9" s="34">
        <f>State_Fossil_All_Mapping_SEDS!AA76/State_Fossil_All_Mapping_SEDS!$BB76</f>
        <v>0</v>
      </c>
      <c r="AA9" s="34">
        <f>State_Fossil_All_Mapping_SEDS!AB76/State_Fossil_All_Mapping_SEDS!$BB76</f>
        <v>0</v>
      </c>
      <c r="AB9" s="34">
        <f>State_Fossil_All_Mapping_SEDS!AC76/State_Fossil_All_Mapping_SEDS!$BB76</f>
        <v>0.06513409962</v>
      </c>
      <c r="AC9" s="34">
        <f>State_Fossil_All_Mapping_SEDS!AD76/State_Fossil_All_Mapping_SEDS!$BB76</f>
        <v>0</v>
      </c>
      <c r="AD9" s="34">
        <f>State_Fossil_All_Mapping_SEDS!AE76/State_Fossil_All_Mapping_SEDS!$BB76</f>
        <v>0.1245210728</v>
      </c>
      <c r="AE9" s="34">
        <f>State_Fossil_All_Mapping_SEDS!AF76/State_Fossil_All_Mapping_SEDS!$BB76</f>
        <v>0</v>
      </c>
      <c r="AF9" s="34">
        <f>State_Fossil_All_Mapping_SEDS!AG76/State_Fossil_All_Mapping_SEDS!$BB76</f>
        <v>0</v>
      </c>
      <c r="AG9" s="34">
        <f>State_Fossil_All_Mapping_SEDS!AH76/State_Fossil_All_Mapping_SEDS!$BB76</f>
        <v>0.0785440613</v>
      </c>
      <c r="AH9" s="34">
        <f>State_Fossil_All_Mapping_SEDS!AI76/State_Fossil_All_Mapping_SEDS!$BB76</f>
        <v>0</v>
      </c>
      <c r="AI9" s="34">
        <f>State_Fossil_All_Mapping_SEDS!AJ76/State_Fossil_All_Mapping_SEDS!$BB76</f>
        <v>0</v>
      </c>
      <c r="AJ9" s="34">
        <f>State_Fossil_All_Mapping_SEDS!AK76/State_Fossil_All_Mapping_SEDS!$BB76</f>
        <v>0</v>
      </c>
      <c r="AK9" s="34">
        <f>State_Fossil_All_Mapping_SEDS!AL76/State_Fossil_All_Mapping_SEDS!$BB76</f>
        <v>0</v>
      </c>
      <c r="AL9" s="34">
        <f>State_Fossil_All_Mapping_SEDS!AM76/State_Fossil_All_Mapping_SEDS!$BB76</f>
        <v>0</v>
      </c>
      <c r="AM9" s="34">
        <f>State_Fossil_All_Mapping_SEDS!AN76/State_Fossil_All_Mapping_SEDS!$BB76</f>
        <v>0</v>
      </c>
      <c r="AN9" s="34">
        <f>State_Fossil_All_Mapping_SEDS!AO76/State_Fossil_All_Mapping_SEDS!$BB76</f>
        <v>0</v>
      </c>
      <c r="AO9" s="34">
        <f>State_Fossil_All_Mapping_SEDS!AP76/State_Fossil_All_Mapping_SEDS!$BB76</f>
        <v>0</v>
      </c>
      <c r="AP9" s="34">
        <f>State_Fossil_All_Mapping_SEDS!AQ76/State_Fossil_All_Mapping_SEDS!$BB76</f>
        <v>0</v>
      </c>
      <c r="AQ9" s="34">
        <f>State_Fossil_All_Mapping_SEDS!AR76/State_Fossil_All_Mapping_SEDS!$BB76</f>
        <v>0</v>
      </c>
      <c r="AR9" s="34">
        <f>State_Fossil_All_Mapping_SEDS!AS76/State_Fossil_All_Mapping_SEDS!$BB76</f>
        <v>0</v>
      </c>
      <c r="AS9" s="34">
        <f>State_Fossil_All_Mapping_SEDS!AT76/State_Fossil_All_Mapping_SEDS!$BB76</f>
        <v>0</v>
      </c>
      <c r="AT9" s="34">
        <f>State_Fossil_All_Mapping_SEDS!AU76/State_Fossil_All_Mapping_SEDS!$BB76</f>
        <v>0.1130268199</v>
      </c>
      <c r="AU9" s="34">
        <f>State_Fossil_All_Mapping_SEDS!AV76/State_Fossil_All_Mapping_SEDS!$BB76</f>
        <v>0</v>
      </c>
      <c r="AV9" s="34">
        <f>State_Fossil_All_Mapping_SEDS!AW76/State_Fossil_All_Mapping_SEDS!$BB76</f>
        <v>0</v>
      </c>
      <c r="AW9" s="34">
        <f>State_Fossil_All_Mapping_SEDS!AX76/State_Fossil_All_Mapping_SEDS!$BB76</f>
        <v>0</v>
      </c>
      <c r="AX9" s="34">
        <f>State_Fossil_All_Mapping_SEDS!AY76/State_Fossil_All_Mapping_SEDS!$BB76</f>
        <v>0</v>
      </c>
      <c r="AY9" s="34">
        <f>State_Fossil_All_Mapping_SEDS!AZ76/State_Fossil_All_Mapping_SEDS!$BB76</f>
        <v>0</v>
      </c>
      <c r="AZ9" s="34">
        <f>State_Fossil_All_Mapping_SEDS!BA76/State_Fossil_All_Mapping_SEDS!$BB76</f>
        <v>0.05938697318</v>
      </c>
    </row>
    <row r="10" ht="15.75" customHeight="1">
      <c r="A10" s="34">
        <v>9.0</v>
      </c>
      <c r="B10" s="34">
        <f>State_Fossil_All_Mapping_SEDS!C77/State_Fossil_All_Mapping_SEDS!$BB77</f>
        <v>0</v>
      </c>
      <c r="C10" s="34">
        <f>State_Fossil_All_Mapping_SEDS!D77/State_Fossil_All_Mapping_SEDS!$BB77</f>
        <v>0.0183299389</v>
      </c>
      <c r="D10" s="34">
        <f>State_Fossil_All_Mapping_SEDS!E77/State_Fossil_All_Mapping_SEDS!$BB77</f>
        <v>0</v>
      </c>
      <c r="E10" s="34">
        <f>State_Fossil_All_Mapping_SEDS!F77/State_Fossil_All_Mapping_SEDS!$BB77</f>
        <v>0</v>
      </c>
      <c r="F10" s="34">
        <f>State_Fossil_All_Mapping_SEDS!G77/State_Fossil_All_Mapping_SEDS!$BB77</f>
        <v>0.7036659878</v>
      </c>
      <c r="G10" s="34">
        <f>State_Fossil_All_Mapping_SEDS!H77/State_Fossil_All_Mapping_SEDS!$BB77</f>
        <v>0</v>
      </c>
      <c r="H10" s="34">
        <f>State_Fossil_All_Mapping_SEDS!I77/State_Fossil_All_Mapping_SEDS!$BB77</f>
        <v>0</v>
      </c>
      <c r="I10" s="34">
        <f>State_Fossil_All_Mapping_SEDS!J77/State_Fossil_All_Mapping_SEDS!$BB77</f>
        <v>0</v>
      </c>
      <c r="J10" s="34">
        <f>State_Fossil_All_Mapping_SEDS!K77/State_Fossil_All_Mapping_SEDS!$BB77</f>
        <v>0</v>
      </c>
      <c r="K10" s="34">
        <f>State_Fossil_All_Mapping_SEDS!L77/State_Fossil_All_Mapping_SEDS!$BB77</f>
        <v>0</v>
      </c>
      <c r="L10" s="34">
        <f>State_Fossil_All_Mapping_SEDS!M77/State_Fossil_All_Mapping_SEDS!$BB77</f>
        <v>0</v>
      </c>
      <c r="M10" s="34">
        <f>State_Fossil_All_Mapping_SEDS!N77/State_Fossil_All_Mapping_SEDS!$BB77</f>
        <v>0.04989816701</v>
      </c>
      <c r="N10" s="34">
        <f>State_Fossil_All_Mapping_SEDS!O77/State_Fossil_All_Mapping_SEDS!$BB77</f>
        <v>0</v>
      </c>
      <c r="O10" s="34">
        <f>State_Fossil_All_Mapping_SEDS!P77/State_Fossil_All_Mapping_SEDS!$BB77</f>
        <v>0</v>
      </c>
      <c r="P10" s="34">
        <f>State_Fossil_All_Mapping_SEDS!Q77/State_Fossil_All_Mapping_SEDS!$BB77</f>
        <v>0</v>
      </c>
      <c r="Q10" s="34">
        <f>State_Fossil_All_Mapping_SEDS!R77/State_Fossil_All_Mapping_SEDS!$BB77</f>
        <v>0</v>
      </c>
      <c r="R10" s="34">
        <f>State_Fossil_All_Mapping_SEDS!S77/State_Fossil_All_Mapping_SEDS!$BB77</f>
        <v>0</v>
      </c>
      <c r="S10" s="34">
        <f>State_Fossil_All_Mapping_SEDS!T77/State_Fossil_All_Mapping_SEDS!$BB77</f>
        <v>0</v>
      </c>
      <c r="T10" s="34">
        <f>State_Fossil_All_Mapping_SEDS!U77/State_Fossil_All_Mapping_SEDS!$BB77</f>
        <v>0</v>
      </c>
      <c r="U10" s="34">
        <f>State_Fossil_All_Mapping_SEDS!V77/State_Fossil_All_Mapping_SEDS!$BB77</f>
        <v>0</v>
      </c>
      <c r="V10" s="34">
        <f>State_Fossil_All_Mapping_SEDS!W77/State_Fossil_All_Mapping_SEDS!$BB77</f>
        <v>0</v>
      </c>
      <c r="W10" s="34">
        <f>State_Fossil_All_Mapping_SEDS!X77/State_Fossil_All_Mapping_SEDS!$BB77</f>
        <v>0</v>
      </c>
      <c r="X10" s="34">
        <f>State_Fossil_All_Mapping_SEDS!Y77/State_Fossil_All_Mapping_SEDS!$BB77</f>
        <v>0</v>
      </c>
      <c r="Y10" s="34">
        <f>State_Fossil_All_Mapping_SEDS!Z77/State_Fossil_All_Mapping_SEDS!$BB77</f>
        <v>0</v>
      </c>
      <c r="Z10" s="34">
        <f>State_Fossil_All_Mapping_SEDS!AA77/State_Fossil_All_Mapping_SEDS!$BB77</f>
        <v>0</v>
      </c>
      <c r="AA10" s="34">
        <f>State_Fossil_All_Mapping_SEDS!AB77/State_Fossil_All_Mapping_SEDS!$BB77</f>
        <v>0</v>
      </c>
      <c r="AB10" s="34">
        <f>State_Fossil_All_Mapping_SEDS!AC77/State_Fossil_All_Mapping_SEDS!$BB77</f>
        <v>0</v>
      </c>
      <c r="AC10" s="34">
        <f>State_Fossil_All_Mapping_SEDS!AD77/State_Fossil_All_Mapping_SEDS!$BB77</f>
        <v>0</v>
      </c>
      <c r="AD10" s="34">
        <f>State_Fossil_All_Mapping_SEDS!AE77/State_Fossil_All_Mapping_SEDS!$BB77</f>
        <v>0</v>
      </c>
      <c r="AE10" s="34">
        <f>State_Fossil_All_Mapping_SEDS!AF77/State_Fossil_All_Mapping_SEDS!$BB77</f>
        <v>0</v>
      </c>
      <c r="AF10" s="34">
        <f>State_Fossil_All_Mapping_SEDS!AG77/State_Fossil_All_Mapping_SEDS!$BB77</f>
        <v>0</v>
      </c>
      <c r="AG10" s="34">
        <f>State_Fossil_All_Mapping_SEDS!AH77/State_Fossil_All_Mapping_SEDS!$BB77</f>
        <v>0</v>
      </c>
      <c r="AH10" s="34">
        <f>State_Fossil_All_Mapping_SEDS!AI77/State_Fossil_All_Mapping_SEDS!$BB77</f>
        <v>0</v>
      </c>
      <c r="AI10" s="34">
        <f>State_Fossil_All_Mapping_SEDS!AJ77/State_Fossil_All_Mapping_SEDS!$BB77</f>
        <v>0</v>
      </c>
      <c r="AJ10" s="34">
        <f>State_Fossil_All_Mapping_SEDS!AK77/State_Fossil_All_Mapping_SEDS!$BB77</f>
        <v>0</v>
      </c>
      <c r="AK10" s="34">
        <f>State_Fossil_All_Mapping_SEDS!AL77/State_Fossil_All_Mapping_SEDS!$BB77</f>
        <v>0</v>
      </c>
      <c r="AL10" s="34">
        <f>State_Fossil_All_Mapping_SEDS!AM77/State_Fossil_All_Mapping_SEDS!$BB77</f>
        <v>0</v>
      </c>
      <c r="AM10" s="34">
        <f>State_Fossil_All_Mapping_SEDS!AN77/State_Fossil_All_Mapping_SEDS!$BB77</f>
        <v>0.0916496945</v>
      </c>
      <c r="AN10" s="34">
        <f>State_Fossil_All_Mapping_SEDS!AO77/State_Fossil_All_Mapping_SEDS!$BB77</f>
        <v>0</v>
      </c>
      <c r="AO10" s="34">
        <f>State_Fossil_All_Mapping_SEDS!AP77/State_Fossil_All_Mapping_SEDS!$BB77</f>
        <v>0</v>
      </c>
      <c r="AP10" s="34">
        <f>State_Fossil_All_Mapping_SEDS!AQ77/State_Fossil_All_Mapping_SEDS!$BB77</f>
        <v>0</v>
      </c>
      <c r="AQ10" s="34">
        <f>State_Fossil_All_Mapping_SEDS!AR77/State_Fossil_All_Mapping_SEDS!$BB77</f>
        <v>0</v>
      </c>
      <c r="AR10" s="34">
        <f>State_Fossil_All_Mapping_SEDS!AS77/State_Fossil_All_Mapping_SEDS!$BB77</f>
        <v>0</v>
      </c>
      <c r="AS10" s="34">
        <f>State_Fossil_All_Mapping_SEDS!AT77/State_Fossil_All_Mapping_SEDS!$BB77</f>
        <v>0</v>
      </c>
      <c r="AT10" s="34">
        <f>State_Fossil_All_Mapping_SEDS!AU77/State_Fossil_All_Mapping_SEDS!$BB77</f>
        <v>0</v>
      </c>
      <c r="AU10" s="34">
        <f>State_Fossil_All_Mapping_SEDS!AV77/State_Fossil_All_Mapping_SEDS!$BB77</f>
        <v>0</v>
      </c>
      <c r="AV10" s="34">
        <f>State_Fossil_All_Mapping_SEDS!AW77/State_Fossil_All_Mapping_SEDS!$BB77</f>
        <v>0</v>
      </c>
      <c r="AW10" s="34">
        <f>State_Fossil_All_Mapping_SEDS!AX77/State_Fossil_All_Mapping_SEDS!$BB77</f>
        <v>0.1364562118</v>
      </c>
      <c r="AX10" s="34">
        <f>State_Fossil_All_Mapping_SEDS!AY77/State_Fossil_All_Mapping_SEDS!$BB77</f>
        <v>0</v>
      </c>
      <c r="AY10" s="34">
        <f>State_Fossil_All_Mapping_SEDS!AZ77/State_Fossil_All_Mapping_SEDS!$BB77</f>
        <v>0</v>
      </c>
      <c r="AZ10" s="34">
        <f>State_Fossil_All_Mapping_SEDS!BA77/State_Fossil_All_Mapping_SEDS!$BB77</f>
        <v>0</v>
      </c>
    </row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32" t="s">
        <v>94</v>
      </c>
      <c r="B1" s="32" t="s">
        <v>4010</v>
      </c>
      <c r="C1" s="32" t="s">
        <v>3989</v>
      </c>
      <c r="D1" s="32" t="s">
        <v>3996</v>
      </c>
      <c r="E1" s="32" t="s">
        <v>3992</v>
      </c>
      <c r="F1" s="32" t="s">
        <v>4003</v>
      </c>
      <c r="G1" s="32" t="s">
        <v>3974</v>
      </c>
      <c r="H1" s="32" t="s">
        <v>3985</v>
      </c>
      <c r="I1" s="32" t="s">
        <v>4006</v>
      </c>
      <c r="J1" s="32" t="s">
        <v>4005</v>
      </c>
      <c r="K1" s="32" t="s">
        <v>3987</v>
      </c>
      <c r="L1" s="32" t="s">
        <v>3997</v>
      </c>
      <c r="M1" s="32" t="s">
        <v>3994</v>
      </c>
      <c r="N1" s="32" t="s">
        <v>3988</v>
      </c>
      <c r="O1" s="32" t="s">
        <v>4009</v>
      </c>
      <c r="P1" s="32" t="s">
        <v>3969</v>
      </c>
      <c r="Q1" s="32" t="s">
        <v>3970</v>
      </c>
      <c r="R1" s="32" t="s">
        <v>3976</v>
      </c>
      <c r="S1" s="32" t="s">
        <v>4001</v>
      </c>
      <c r="T1" s="32" t="s">
        <v>3999</v>
      </c>
      <c r="U1" s="32" t="s">
        <v>3972</v>
      </c>
      <c r="V1" s="32" t="s">
        <v>3979</v>
      </c>
      <c r="W1" s="32" t="s">
        <v>3981</v>
      </c>
      <c r="X1" s="32" t="s">
        <v>3980</v>
      </c>
      <c r="Y1" s="32" t="s">
        <v>3983</v>
      </c>
      <c r="Z1" s="32" t="s">
        <v>3990</v>
      </c>
    </row>
    <row r="2" ht="15.75" customHeight="1">
      <c r="A2" s="32">
        <v>1.0</v>
      </c>
      <c r="B2" s="34">
        <f t="array" ref="B2">SUMPRODUCT(Res_Cdiv_State_NG_RowSums!$B2:$AZ2,transpose(State_EMM_RowSums!C$2:C$52))</f>
        <v>0</v>
      </c>
      <c r="C2" s="34">
        <f t="array" ref="C2">SUMPRODUCT(Res_Cdiv_State_NG_RowSums!$B2:$AZ2,transpose(State_EMM_RowSums!D$2:D$52))</f>
        <v>0</v>
      </c>
      <c r="D2" s="34">
        <f t="array" ref="D2">SUMPRODUCT(Res_Cdiv_State_NG_RowSums!$B2:$AZ2,transpose(State_EMM_RowSums!E$2:E$52))</f>
        <v>0</v>
      </c>
      <c r="E2" s="34">
        <f t="array" ref="E2">SUMPRODUCT(Res_Cdiv_State_NG_RowSums!$B2:$AZ2,transpose(State_EMM_RowSums!F$2:F$52))</f>
        <v>0</v>
      </c>
      <c r="F2" s="34">
        <f t="array" ref="F2">SUMPRODUCT(Res_Cdiv_State_NG_RowSums!$B2:$AZ2,transpose(State_EMM_RowSums!G$2:G$52))</f>
        <v>0</v>
      </c>
      <c r="G2" s="34">
        <f t="array" ref="G2">SUMPRODUCT(Res_Cdiv_State_NG_RowSums!$B2:$AZ2,transpose(State_EMM_RowSums!H$2:H$52))</f>
        <v>0</v>
      </c>
      <c r="H2" s="34">
        <f t="array" ref="H2">SUMPRODUCT(Res_Cdiv_State_NG_RowSums!$B2:$AZ2,transpose(State_EMM_RowSums!I$2:I$52))</f>
        <v>1</v>
      </c>
      <c r="I2" s="34">
        <f t="array" ref="I2">SUMPRODUCT(Res_Cdiv_State_NG_RowSums!$B2:$AZ2,transpose(State_EMM_RowSums!J$2:J$52))</f>
        <v>0</v>
      </c>
      <c r="J2" s="34">
        <f t="array" ref="J2">SUMPRODUCT(Res_Cdiv_State_NG_RowSums!$B2:$AZ2,transpose(State_EMM_RowSums!K$2:K$52))</f>
        <v>0</v>
      </c>
      <c r="K2" s="34">
        <f t="array" ref="K2">SUMPRODUCT(Res_Cdiv_State_NG_RowSums!$B2:$AZ2,transpose(State_EMM_RowSums!L$2:L$52))</f>
        <v>0</v>
      </c>
      <c r="L2" s="34">
        <f t="array" ref="L2">SUMPRODUCT(Res_Cdiv_State_NG_RowSums!$B2:$AZ2,transpose(State_EMM_RowSums!M$2:M$52))</f>
        <v>0</v>
      </c>
      <c r="M2" s="34">
        <f t="array" ref="M2">SUMPRODUCT(Res_Cdiv_State_NG_RowSums!$B2:$AZ2,transpose(State_EMM_RowSums!N$2:N$52))</f>
        <v>0</v>
      </c>
      <c r="N2" s="34">
        <f t="array" ref="N2">SUMPRODUCT(Res_Cdiv_State_NG_RowSums!$B2:$AZ2,transpose(State_EMM_RowSums!O$2:O$52))</f>
        <v>0</v>
      </c>
      <c r="O2" s="34">
        <f t="array" ref="O2">SUMPRODUCT(Res_Cdiv_State_NG_RowSums!$B2:$AZ2,transpose(State_EMM_RowSums!P$2:P$52))</f>
        <v>0</v>
      </c>
      <c r="P2" s="34">
        <f t="array" ref="P2">SUMPRODUCT(Res_Cdiv_State_NG_RowSums!$B2:$AZ2,transpose(State_EMM_RowSums!Q$2:Q$52))</f>
        <v>0</v>
      </c>
      <c r="Q2" s="34">
        <f t="array" ref="Q2">SUMPRODUCT(Res_Cdiv_State_NG_RowSums!$B2:$AZ2,transpose(State_EMM_RowSums!R$2:R$52))</f>
        <v>0</v>
      </c>
      <c r="R2" s="34">
        <f t="array" ref="R2">SUMPRODUCT(Res_Cdiv_State_NG_RowSums!$B2:$AZ2,transpose(State_EMM_RowSums!S$2:S$52))</f>
        <v>0</v>
      </c>
      <c r="S2" s="34">
        <f t="array" ref="S2">SUMPRODUCT(Res_Cdiv_State_NG_RowSums!$B2:$AZ2,transpose(State_EMM_RowSums!T$2:T$52))</f>
        <v>0</v>
      </c>
      <c r="T2" s="34">
        <f t="array" ref="T2">SUMPRODUCT(Res_Cdiv_State_NG_RowSums!$B2:$AZ2,transpose(State_EMM_RowSums!U$2:U$52))</f>
        <v>0</v>
      </c>
      <c r="U2" s="34">
        <f t="array" ref="U2">SUMPRODUCT(Res_Cdiv_State_NG_RowSums!$B2:$AZ2,transpose(State_EMM_RowSums!V$2:V$52))</f>
        <v>0</v>
      </c>
      <c r="V2" s="34">
        <f t="array" ref="V2">SUMPRODUCT(Res_Cdiv_State_NG_RowSums!$B2:$AZ2,transpose(State_EMM_RowSums!W$2:W$52))</f>
        <v>0</v>
      </c>
      <c r="W2" s="34">
        <f t="array" ref="W2">SUMPRODUCT(Res_Cdiv_State_NG_RowSums!$B2:$AZ2,transpose(State_EMM_RowSums!X$2:X$52))</f>
        <v>0</v>
      </c>
      <c r="X2" s="34">
        <f t="array" ref="X2">SUMPRODUCT(Res_Cdiv_State_NG_RowSums!$B2:$AZ2,transpose(State_EMM_RowSums!Y$2:Y$52))</f>
        <v>0</v>
      </c>
      <c r="Y2" s="34">
        <f t="array" ref="Y2">SUMPRODUCT(Res_Cdiv_State_NG_RowSums!$B2:$AZ2,transpose(State_EMM_RowSums!Z$2:Z$52))</f>
        <v>0</v>
      </c>
      <c r="Z2" s="34">
        <f t="array" ref="Z2">SUMPRODUCT(Res_Cdiv_State_NG_RowSums!$B2:$AZ2,transpose(State_EMM_RowSums!AA$2:AA$52))</f>
        <v>0</v>
      </c>
    </row>
    <row r="3" ht="15.75" customHeight="1">
      <c r="A3" s="32">
        <v>2.0</v>
      </c>
      <c r="B3" s="34">
        <f t="array" ref="B3">SUMPRODUCT(Res_Cdiv_State_NG_RowSums!$B3:$AZ3,transpose(State_EMM_RowSums!C$2:C$52))</f>
        <v>0</v>
      </c>
      <c r="C3" s="34">
        <f t="array" ref="C3">SUMPRODUCT(Res_Cdiv_State_NG_RowSums!$B3:$AZ3,transpose(State_EMM_RowSums!D$2:D$52))</f>
        <v>0</v>
      </c>
      <c r="D3" s="34">
        <f t="array" ref="D3">SUMPRODUCT(Res_Cdiv_State_NG_RowSums!$B3:$AZ3,transpose(State_EMM_RowSums!E$2:E$52))</f>
        <v>0</v>
      </c>
      <c r="E3" s="34">
        <f t="array" ref="E3">SUMPRODUCT(Res_Cdiv_State_NG_RowSums!$B3:$AZ3,transpose(State_EMM_RowSums!F$2:F$52))</f>
        <v>0</v>
      </c>
      <c r="F3" s="34">
        <f t="array" ref="F3">SUMPRODUCT(Res_Cdiv_State_NG_RowSums!$B3:$AZ3,transpose(State_EMM_RowSums!G$2:G$52))</f>
        <v>0</v>
      </c>
      <c r="G3" s="34">
        <f t="array" ref="G3">SUMPRODUCT(Res_Cdiv_State_NG_RowSums!$B3:$AZ3,transpose(State_EMM_RowSums!H$2:H$52))</f>
        <v>0</v>
      </c>
      <c r="H3" s="34">
        <f t="array" ref="H3">SUMPRODUCT(Res_Cdiv_State_NG_RowSums!$B3:$AZ3,transpose(State_EMM_RowSums!I$2:I$52))</f>
        <v>0</v>
      </c>
      <c r="I3" s="34">
        <f t="array" ref="I3">SUMPRODUCT(Res_Cdiv_State_NG_RowSums!$B3:$AZ3,transpose(State_EMM_RowSums!J$2:J$52))</f>
        <v>0.2885471148</v>
      </c>
      <c r="J3" s="34">
        <f t="array" ref="J3">SUMPRODUCT(Res_Cdiv_State_NG_RowSums!$B3:$AZ3,transpose(State_EMM_RowSums!K$2:K$52))</f>
        <v>0.1835105024</v>
      </c>
      <c r="K3" s="34">
        <f t="array" ref="K3">SUMPRODUCT(Res_Cdiv_State_NG_RowSums!$B3:$AZ3,transpose(State_EMM_RowSums!L$2:L$52))</f>
        <v>0.472691646</v>
      </c>
      <c r="L3" s="34">
        <f t="array" ref="L3">SUMPRODUCT(Res_Cdiv_State_NG_RowSums!$B3:$AZ3,transpose(State_EMM_RowSums!M$2:M$52))</f>
        <v>0.05525073691</v>
      </c>
      <c r="M3" s="34">
        <f t="array" ref="M3">SUMPRODUCT(Res_Cdiv_State_NG_RowSums!$B3:$AZ3,transpose(State_EMM_RowSums!N$2:N$52))</f>
        <v>0</v>
      </c>
      <c r="N3" s="34">
        <f t="array" ref="N3">SUMPRODUCT(Res_Cdiv_State_NG_RowSums!$B3:$AZ3,transpose(State_EMM_RowSums!O$2:O$52))</f>
        <v>0</v>
      </c>
      <c r="O3" s="34">
        <f t="array" ref="O3">SUMPRODUCT(Res_Cdiv_State_NG_RowSums!$B3:$AZ3,transpose(State_EMM_RowSums!P$2:P$52))</f>
        <v>0</v>
      </c>
      <c r="P3" s="34">
        <f t="array" ref="P3">SUMPRODUCT(Res_Cdiv_State_NG_RowSums!$B3:$AZ3,transpose(State_EMM_RowSums!Q$2:Q$52))</f>
        <v>0</v>
      </c>
      <c r="Q3" s="34">
        <f t="array" ref="Q3">SUMPRODUCT(Res_Cdiv_State_NG_RowSums!$B3:$AZ3,transpose(State_EMM_RowSums!R$2:R$52))</f>
        <v>0</v>
      </c>
      <c r="R3" s="34">
        <f t="array" ref="R3">SUMPRODUCT(Res_Cdiv_State_NG_RowSums!$B3:$AZ3,transpose(State_EMM_RowSums!S$2:S$52))</f>
        <v>0</v>
      </c>
      <c r="S3" s="34">
        <f t="array" ref="S3">SUMPRODUCT(Res_Cdiv_State_NG_RowSums!$B3:$AZ3,transpose(State_EMM_RowSums!T$2:T$52))</f>
        <v>0</v>
      </c>
      <c r="T3" s="34">
        <f t="array" ref="T3">SUMPRODUCT(Res_Cdiv_State_NG_RowSums!$B3:$AZ3,transpose(State_EMM_RowSums!U$2:U$52))</f>
        <v>0</v>
      </c>
      <c r="U3" s="34">
        <f t="array" ref="U3">SUMPRODUCT(Res_Cdiv_State_NG_RowSums!$B3:$AZ3,transpose(State_EMM_RowSums!V$2:V$52))</f>
        <v>0</v>
      </c>
      <c r="V3" s="34">
        <f t="array" ref="V3">SUMPRODUCT(Res_Cdiv_State_NG_RowSums!$B3:$AZ3,transpose(State_EMM_RowSums!W$2:W$52))</f>
        <v>0</v>
      </c>
      <c r="W3" s="34">
        <f t="array" ref="W3">SUMPRODUCT(Res_Cdiv_State_NG_RowSums!$B3:$AZ3,transpose(State_EMM_RowSums!X$2:X$52))</f>
        <v>0</v>
      </c>
      <c r="X3" s="34">
        <f t="array" ref="X3">SUMPRODUCT(Res_Cdiv_State_NG_RowSums!$B3:$AZ3,transpose(State_EMM_RowSums!Y$2:Y$52))</f>
        <v>0</v>
      </c>
      <c r="Y3" s="34">
        <f t="array" ref="Y3">SUMPRODUCT(Res_Cdiv_State_NG_RowSums!$B3:$AZ3,transpose(State_EMM_RowSums!Z$2:Z$52))</f>
        <v>0</v>
      </c>
      <c r="Z3" s="34">
        <f t="array" ref="Z3">SUMPRODUCT(Res_Cdiv_State_NG_RowSums!$B3:$AZ3,transpose(State_EMM_RowSums!AA$2:AA$52))</f>
        <v>0</v>
      </c>
    </row>
    <row r="4" ht="15.75" customHeight="1">
      <c r="A4" s="32">
        <v>3.0</v>
      </c>
      <c r="B4" s="34">
        <f t="array" ref="B4">SUMPRODUCT(Res_Cdiv_State_NG_RowSums!$B4:$AZ4,transpose(State_EMM_RowSums!C$2:C$52))</f>
        <v>0</v>
      </c>
      <c r="C4" s="34">
        <f t="array" ref="C4">SUMPRODUCT(Res_Cdiv_State_NG_RowSums!$B4:$AZ4,transpose(State_EMM_RowSums!D$2:D$52))</f>
        <v>0</v>
      </c>
      <c r="D4" s="34">
        <f t="array" ref="D4">SUMPRODUCT(Res_Cdiv_State_NG_RowSums!$B4:$AZ4,transpose(State_EMM_RowSums!E$2:E$52))</f>
        <v>0.1189935445</v>
      </c>
      <c r="E4" s="34">
        <f t="array" ref="E4">SUMPRODUCT(Res_Cdiv_State_NG_RowSums!$B4:$AZ4,transpose(State_EMM_RowSums!F$2:F$52))</f>
        <v>0.160282354</v>
      </c>
      <c r="F4" s="34">
        <f t="array" ref="F4">SUMPRODUCT(Res_Cdiv_State_NG_RowSums!$B4:$AZ4,transpose(State_EMM_RowSums!G$2:G$52))</f>
        <v>0.2211560481</v>
      </c>
      <c r="G4" s="34">
        <f t="array" ref="G4">SUMPRODUCT(Res_Cdiv_State_NG_RowSums!$B4:$AZ4,transpose(State_EMM_RowSums!H$2:H$52))</f>
        <v>0</v>
      </c>
      <c r="H4" s="34">
        <f t="array" ref="H4">SUMPRODUCT(Res_Cdiv_State_NG_RowSums!$B4:$AZ4,transpose(State_EMM_RowSums!I$2:I$52))</f>
        <v>0</v>
      </c>
      <c r="I4" s="34">
        <f t="array" ref="I4">SUMPRODUCT(Res_Cdiv_State_NG_RowSums!$B4:$AZ4,transpose(State_EMM_RowSums!J$2:J$52))</f>
        <v>0</v>
      </c>
      <c r="J4" s="34">
        <f t="array" ref="J4">SUMPRODUCT(Res_Cdiv_State_NG_RowSums!$B4:$AZ4,transpose(State_EMM_RowSums!K$2:K$52))</f>
        <v>0</v>
      </c>
      <c r="K4" s="34">
        <f t="array" ref="K4">SUMPRODUCT(Res_Cdiv_State_NG_RowSums!$B4:$AZ4,transpose(State_EMM_RowSums!L$2:L$52))</f>
        <v>0</v>
      </c>
      <c r="L4" s="34">
        <f t="array" ref="L4">SUMPRODUCT(Res_Cdiv_State_NG_RowSums!$B4:$AZ4,transpose(State_EMM_RowSums!M$2:M$52))</f>
        <v>0.277606916</v>
      </c>
      <c r="M4" s="34">
        <f t="array" ref="M4">SUMPRODUCT(Res_Cdiv_State_NG_RowSums!$B4:$AZ4,transpose(State_EMM_RowSums!N$2:N$52))</f>
        <v>0.2219611374</v>
      </c>
      <c r="N4" s="34">
        <f t="array" ref="N4">SUMPRODUCT(Res_Cdiv_State_NG_RowSums!$B4:$AZ4,transpose(State_EMM_RowSums!O$2:O$52))</f>
        <v>0</v>
      </c>
      <c r="O4" s="34">
        <f t="array" ref="O4">SUMPRODUCT(Res_Cdiv_State_NG_RowSums!$B4:$AZ4,transpose(State_EMM_RowSums!P$2:P$52))</f>
        <v>0</v>
      </c>
      <c r="P4" s="34">
        <f t="array" ref="P4">SUMPRODUCT(Res_Cdiv_State_NG_RowSums!$B4:$AZ4,transpose(State_EMM_RowSums!Q$2:Q$52))</f>
        <v>0</v>
      </c>
      <c r="Q4" s="34">
        <f t="array" ref="Q4">SUMPRODUCT(Res_Cdiv_State_NG_RowSums!$B4:$AZ4,transpose(State_EMM_RowSums!R$2:R$52))</f>
        <v>0</v>
      </c>
      <c r="R4" s="34">
        <f t="array" ref="R4">SUMPRODUCT(Res_Cdiv_State_NG_RowSums!$B4:$AZ4,transpose(State_EMM_RowSums!S$2:S$52))</f>
        <v>0</v>
      </c>
      <c r="S4" s="34">
        <f t="array" ref="S4">SUMPRODUCT(Res_Cdiv_State_NG_RowSums!$B4:$AZ4,transpose(State_EMM_RowSums!T$2:T$52))</f>
        <v>0</v>
      </c>
      <c r="T4" s="34">
        <f t="array" ref="T4">SUMPRODUCT(Res_Cdiv_State_NG_RowSums!$B4:$AZ4,transpose(State_EMM_RowSums!U$2:U$52))</f>
        <v>0</v>
      </c>
      <c r="U4" s="34">
        <f t="array" ref="U4">SUMPRODUCT(Res_Cdiv_State_NG_RowSums!$B4:$AZ4,transpose(State_EMM_RowSums!V$2:V$52))</f>
        <v>0</v>
      </c>
      <c r="V4" s="34">
        <f t="array" ref="V4">SUMPRODUCT(Res_Cdiv_State_NG_RowSums!$B4:$AZ4,transpose(State_EMM_RowSums!W$2:W$52))</f>
        <v>0</v>
      </c>
      <c r="W4" s="34">
        <f t="array" ref="W4">SUMPRODUCT(Res_Cdiv_State_NG_RowSums!$B4:$AZ4,transpose(State_EMM_RowSums!X$2:X$52))</f>
        <v>0</v>
      </c>
      <c r="X4" s="34">
        <f t="array" ref="X4">SUMPRODUCT(Res_Cdiv_State_NG_RowSums!$B4:$AZ4,transpose(State_EMM_RowSums!Y$2:Y$52))</f>
        <v>0</v>
      </c>
      <c r="Y4" s="34">
        <f t="array" ref="Y4">SUMPRODUCT(Res_Cdiv_State_NG_RowSums!$B4:$AZ4,transpose(State_EMM_RowSums!Z$2:Z$52))</f>
        <v>0</v>
      </c>
      <c r="Z4" s="34">
        <f t="array" ref="Z4">SUMPRODUCT(Res_Cdiv_State_NG_RowSums!$B4:$AZ4,transpose(State_EMM_RowSums!AA$2:AA$52))</f>
        <v>0</v>
      </c>
    </row>
    <row r="5" ht="15.75" customHeight="1">
      <c r="A5" s="32">
        <v>4.0</v>
      </c>
      <c r="B5" s="34">
        <f t="array" ref="B5">SUMPRODUCT(Res_Cdiv_State_NG_RowSums!$B5:$AZ5,transpose(State_EMM_RowSums!C$2:C$52))</f>
        <v>0</v>
      </c>
      <c r="C5" s="34">
        <f t="array" ref="C5">SUMPRODUCT(Res_Cdiv_State_NG_RowSums!$B5:$AZ5,transpose(State_EMM_RowSums!D$2:D$52))</f>
        <v>0</v>
      </c>
      <c r="D5" s="34">
        <f t="array" ref="D5">SUMPRODUCT(Res_Cdiv_State_NG_RowSums!$B5:$AZ5,transpose(State_EMM_RowSums!E$2:E$52))</f>
        <v>0.4488403724</v>
      </c>
      <c r="E5" s="34">
        <f t="array" ref="E5">SUMPRODUCT(Res_Cdiv_State_NG_RowSums!$B5:$AZ5,transpose(State_EMM_RowSums!F$2:F$52))</f>
        <v>0.1270026553</v>
      </c>
      <c r="F5" s="34">
        <f t="array" ref="F5">SUMPRODUCT(Res_Cdiv_State_NG_RowSums!$B5:$AZ5,transpose(State_EMM_RowSums!G$2:G$52))</f>
        <v>0</v>
      </c>
      <c r="G5" s="34">
        <f t="array" ref="G5">SUMPRODUCT(Res_Cdiv_State_NG_RowSums!$B5:$AZ5,transpose(State_EMM_RowSums!H$2:H$52))</f>
        <v>0</v>
      </c>
      <c r="H5" s="34">
        <f t="array" ref="H5">SUMPRODUCT(Res_Cdiv_State_NG_RowSums!$B5:$AZ5,transpose(State_EMM_RowSums!I$2:I$52))</f>
        <v>0</v>
      </c>
      <c r="I5" s="34">
        <f t="array" ref="I5">SUMPRODUCT(Res_Cdiv_State_NG_RowSums!$B5:$AZ5,transpose(State_EMM_RowSums!J$2:J$52))</f>
        <v>0</v>
      </c>
      <c r="J5" s="34">
        <f t="array" ref="J5">SUMPRODUCT(Res_Cdiv_State_NG_RowSums!$B5:$AZ5,transpose(State_EMM_RowSums!K$2:K$52))</f>
        <v>0</v>
      </c>
      <c r="K5" s="34">
        <f t="array" ref="K5">SUMPRODUCT(Res_Cdiv_State_NG_RowSums!$B5:$AZ5,transpose(State_EMM_RowSums!L$2:L$52))</f>
        <v>0</v>
      </c>
      <c r="L5" s="34">
        <f t="array" ref="L5">SUMPRODUCT(Res_Cdiv_State_NG_RowSums!$B5:$AZ5,transpose(State_EMM_RowSums!M$2:M$52))</f>
        <v>0</v>
      </c>
      <c r="M5" s="34">
        <f t="array" ref="M5">SUMPRODUCT(Res_Cdiv_State_NG_RowSums!$B5:$AZ5,transpose(State_EMM_RowSums!N$2:N$52))</f>
        <v>0</v>
      </c>
      <c r="N5" s="34">
        <f t="array" ref="N5">SUMPRODUCT(Res_Cdiv_State_NG_RowSums!$B5:$AZ5,transpose(State_EMM_RowSums!O$2:O$52))</f>
        <v>0</v>
      </c>
      <c r="O5" s="34">
        <f t="array" ref="O5">SUMPRODUCT(Res_Cdiv_State_NG_RowSums!$B5:$AZ5,transpose(State_EMM_RowSums!P$2:P$52))</f>
        <v>0</v>
      </c>
      <c r="P5" s="34">
        <f t="array" ref="P5">SUMPRODUCT(Res_Cdiv_State_NG_RowSums!$B5:$AZ5,transpose(State_EMM_RowSums!Q$2:Q$52))</f>
        <v>0</v>
      </c>
      <c r="Q5" s="34">
        <f t="array" ref="Q5">SUMPRODUCT(Res_Cdiv_State_NG_RowSums!$B5:$AZ5,transpose(State_EMM_RowSums!R$2:R$52))</f>
        <v>0</v>
      </c>
      <c r="R5" s="34">
        <f t="array" ref="R5">SUMPRODUCT(Res_Cdiv_State_NG_RowSums!$B5:$AZ5,transpose(State_EMM_RowSums!S$2:S$52))</f>
        <v>0</v>
      </c>
      <c r="S5" s="34">
        <f t="array" ref="S5">SUMPRODUCT(Res_Cdiv_State_NG_RowSums!$B5:$AZ5,transpose(State_EMM_RowSums!T$2:T$52))</f>
        <v>0.2346240392</v>
      </c>
      <c r="T5" s="34">
        <f t="array" ref="T5">SUMPRODUCT(Res_Cdiv_State_NG_RowSums!$B5:$AZ5,transpose(State_EMM_RowSums!U$2:U$52))</f>
        <v>0.1865594358</v>
      </c>
      <c r="U5" s="34">
        <f t="array" ref="U5">SUMPRODUCT(Res_Cdiv_State_NG_RowSums!$B5:$AZ5,transpose(State_EMM_RowSums!V$2:V$52))</f>
        <v>0</v>
      </c>
      <c r="V5" s="34">
        <f t="array" ref="V5">SUMPRODUCT(Res_Cdiv_State_NG_RowSums!$B5:$AZ5,transpose(State_EMM_RowSums!W$2:W$52))</f>
        <v>0</v>
      </c>
      <c r="W5" s="34">
        <f t="array" ref="W5">SUMPRODUCT(Res_Cdiv_State_NG_RowSums!$B5:$AZ5,transpose(State_EMM_RowSums!X$2:X$52))</f>
        <v>0</v>
      </c>
      <c r="X5" s="34">
        <f t="array" ref="X5">SUMPRODUCT(Res_Cdiv_State_NG_RowSums!$B5:$AZ5,transpose(State_EMM_RowSums!Y$2:Y$52))</f>
        <v>0</v>
      </c>
      <c r="Y5" s="34">
        <f t="array" ref="Y5">SUMPRODUCT(Res_Cdiv_State_NG_RowSums!$B5:$AZ5,transpose(State_EMM_RowSums!Z$2:Z$52))</f>
        <v>0.002973497354</v>
      </c>
      <c r="Z5" s="34">
        <f t="array" ref="Z5">SUMPRODUCT(Res_Cdiv_State_NG_RowSums!$B5:$AZ5,transpose(State_EMM_RowSums!AA$2:AA$52))</f>
        <v>0</v>
      </c>
    </row>
    <row r="6" ht="15.75" customHeight="1">
      <c r="A6" s="32">
        <v>5.0</v>
      </c>
      <c r="B6" s="34">
        <f t="array" ref="B6">SUMPRODUCT(Res_Cdiv_State_NG_RowSums!$B6:$AZ6,transpose(State_EMM_RowSums!C$2:C$52))</f>
        <v>0</v>
      </c>
      <c r="C6" s="34">
        <f t="array" ref="C6">SUMPRODUCT(Res_Cdiv_State_NG_RowSums!$B6:$AZ6,transpose(State_EMM_RowSums!D$2:D$52))</f>
        <v>0.03718131313</v>
      </c>
      <c r="D6" s="34">
        <f t="array" ref="D6">SUMPRODUCT(Res_Cdiv_State_NG_RowSums!$B6:$AZ6,transpose(State_EMM_RowSums!E$2:E$52))</f>
        <v>0</v>
      </c>
      <c r="E6" s="34">
        <f t="array" ref="E6">SUMPRODUCT(Res_Cdiv_State_NG_RowSums!$B6:$AZ6,transpose(State_EMM_RowSums!F$2:F$52))</f>
        <v>0</v>
      </c>
      <c r="F6" s="34">
        <f t="array" ref="F6">SUMPRODUCT(Res_Cdiv_State_NG_RowSums!$B6:$AZ6,transpose(State_EMM_RowSums!G$2:G$52))</f>
        <v>0</v>
      </c>
      <c r="G6" s="34">
        <f t="array" ref="G6">SUMPRODUCT(Res_Cdiv_State_NG_RowSums!$B6:$AZ6,transpose(State_EMM_RowSums!H$2:H$52))</f>
        <v>0</v>
      </c>
      <c r="H6" s="34">
        <f t="array" ref="H6">SUMPRODUCT(Res_Cdiv_State_NG_RowSums!$B6:$AZ6,transpose(State_EMM_RowSums!I$2:I$52))</f>
        <v>0</v>
      </c>
      <c r="I6" s="34">
        <f t="array" ref="I6">SUMPRODUCT(Res_Cdiv_State_NG_RowSums!$B6:$AZ6,transpose(State_EMM_RowSums!J$2:J$52))</f>
        <v>0</v>
      </c>
      <c r="J6" s="34">
        <f t="array" ref="J6">SUMPRODUCT(Res_Cdiv_State_NG_RowSums!$B6:$AZ6,transpose(State_EMM_RowSums!K$2:K$52))</f>
        <v>0</v>
      </c>
      <c r="K6" s="34">
        <f t="array" ref="K6">SUMPRODUCT(Res_Cdiv_State_NG_RowSums!$B6:$AZ6,transpose(State_EMM_RowSums!L$2:L$52))</f>
        <v>0.1548663422</v>
      </c>
      <c r="L6" s="34">
        <f t="array" ref="L6">SUMPRODUCT(Res_Cdiv_State_NG_RowSums!$B6:$AZ6,transpose(State_EMM_RowSums!M$2:M$52))</f>
        <v>0.1281291608</v>
      </c>
      <c r="M6" s="34">
        <f t="array" ref="M6">SUMPRODUCT(Res_Cdiv_State_NG_RowSums!$B6:$AZ6,transpose(State_EMM_RowSums!N$2:N$52))</f>
        <v>0</v>
      </c>
      <c r="N6" s="34">
        <f t="array" ref="N6">SUMPRODUCT(Res_Cdiv_State_NG_RowSums!$B6:$AZ6,transpose(State_EMM_RowSums!O$2:O$52))</f>
        <v>0.1857878741</v>
      </c>
      <c r="O6" s="34">
        <f t="array" ref="O6">SUMPRODUCT(Res_Cdiv_State_NG_RowSums!$B6:$AZ6,transpose(State_EMM_RowSums!P$2:P$52))</f>
        <v>0.2095048901</v>
      </c>
      <c r="P6" s="34">
        <f t="array" ref="P6">SUMPRODUCT(Res_Cdiv_State_NG_RowSums!$B6:$AZ6,transpose(State_EMM_RowSums!Q$2:Q$52))</f>
        <v>0.2810533955</v>
      </c>
      <c r="Q6" s="34">
        <f t="array" ref="Q6">SUMPRODUCT(Res_Cdiv_State_NG_RowSums!$B6:$AZ6,transpose(State_EMM_RowSums!R$2:R$52))</f>
        <v>0.003477024104</v>
      </c>
      <c r="R6" s="34">
        <f t="array" ref="R6">SUMPRODUCT(Res_Cdiv_State_NG_RowSums!$B6:$AZ6,transpose(State_EMM_RowSums!S$2:S$52))</f>
        <v>0</v>
      </c>
      <c r="S6" s="34">
        <f t="array" ref="S6">SUMPRODUCT(Res_Cdiv_State_NG_RowSums!$B6:$AZ6,transpose(State_EMM_RowSums!T$2:T$52))</f>
        <v>0</v>
      </c>
      <c r="T6" s="34">
        <f t="array" ref="T6">SUMPRODUCT(Res_Cdiv_State_NG_RowSums!$B6:$AZ6,transpose(State_EMM_RowSums!U$2:U$52))</f>
        <v>0</v>
      </c>
      <c r="U6" s="34">
        <f t="array" ref="U6">SUMPRODUCT(Res_Cdiv_State_NG_RowSums!$B6:$AZ6,transpose(State_EMM_RowSums!V$2:V$52))</f>
        <v>0</v>
      </c>
      <c r="V6" s="34">
        <f t="array" ref="V6">SUMPRODUCT(Res_Cdiv_State_NG_RowSums!$B6:$AZ6,transpose(State_EMM_RowSums!W$2:W$52))</f>
        <v>0</v>
      </c>
      <c r="W6" s="34">
        <f t="array" ref="W6">SUMPRODUCT(Res_Cdiv_State_NG_RowSums!$B6:$AZ6,transpose(State_EMM_RowSums!X$2:X$52))</f>
        <v>0</v>
      </c>
      <c r="X6" s="34">
        <f t="array" ref="X6">SUMPRODUCT(Res_Cdiv_State_NG_RowSums!$B6:$AZ6,transpose(State_EMM_RowSums!Y$2:Y$52))</f>
        <v>0</v>
      </c>
      <c r="Y6" s="34">
        <f t="array" ref="Y6">SUMPRODUCT(Res_Cdiv_State_NG_RowSums!$B6:$AZ6,transpose(State_EMM_RowSums!Z$2:Z$52))</f>
        <v>0</v>
      </c>
      <c r="Z6" s="34">
        <f t="array" ref="Z6">SUMPRODUCT(Res_Cdiv_State_NG_RowSums!$B6:$AZ6,transpose(State_EMM_RowSums!AA$2:AA$52))</f>
        <v>0</v>
      </c>
    </row>
    <row r="7" ht="15.75" customHeight="1">
      <c r="A7" s="32">
        <v>6.0</v>
      </c>
      <c r="B7" s="34">
        <f t="array" ref="B7">SUMPRODUCT(Res_Cdiv_State_NG_RowSums!$B7:$AZ7,transpose(State_EMM_RowSums!C$2:C$52))</f>
        <v>0</v>
      </c>
      <c r="C7" s="34">
        <f t="array" ref="C7">SUMPRODUCT(Res_Cdiv_State_NG_RowSums!$B7:$AZ7,transpose(State_EMM_RowSums!D$2:D$52))</f>
        <v>0</v>
      </c>
      <c r="D7" s="34">
        <f t="array" ref="D7">SUMPRODUCT(Res_Cdiv_State_NG_RowSums!$B7:$AZ7,transpose(State_EMM_RowSums!E$2:E$52))</f>
        <v>0</v>
      </c>
      <c r="E7" s="34">
        <f t="array" ref="E7">SUMPRODUCT(Res_Cdiv_State_NG_RowSums!$B7:$AZ7,transpose(State_EMM_RowSums!F$2:F$52))</f>
        <v>0</v>
      </c>
      <c r="F7" s="34">
        <f t="array" ref="F7">SUMPRODUCT(Res_Cdiv_State_NG_RowSums!$B7:$AZ7,transpose(State_EMM_RowSums!G$2:G$52))</f>
        <v>0</v>
      </c>
      <c r="G7" s="34">
        <f t="array" ref="G7">SUMPRODUCT(Res_Cdiv_State_NG_RowSums!$B7:$AZ7,transpose(State_EMM_RowSums!H$2:H$52))</f>
        <v>0.0620676461</v>
      </c>
      <c r="H7" s="34">
        <f t="array" ref="H7">SUMPRODUCT(Res_Cdiv_State_NG_RowSums!$B7:$AZ7,transpose(State_EMM_RowSums!I$2:I$52))</f>
        <v>0</v>
      </c>
      <c r="I7" s="34">
        <f t="array" ref="I7">SUMPRODUCT(Res_Cdiv_State_NG_RowSums!$B7:$AZ7,transpose(State_EMM_RowSums!J$2:J$52))</f>
        <v>0</v>
      </c>
      <c r="J7" s="34">
        <f t="array" ref="J7">SUMPRODUCT(Res_Cdiv_State_NG_RowSums!$B7:$AZ7,transpose(State_EMM_RowSums!K$2:K$52))</f>
        <v>0</v>
      </c>
      <c r="K7" s="34">
        <f t="array" ref="K7">SUMPRODUCT(Res_Cdiv_State_NG_RowSums!$B7:$AZ7,transpose(State_EMM_RowSums!L$2:L$52))</f>
        <v>0</v>
      </c>
      <c r="L7" s="34">
        <f t="array" ref="L7">SUMPRODUCT(Res_Cdiv_State_NG_RowSums!$B7:$AZ7,transpose(State_EMM_RowSums!M$2:M$52))</f>
        <v>0.02735943651</v>
      </c>
      <c r="M7" s="34">
        <f t="array" ref="M7">SUMPRODUCT(Res_Cdiv_State_NG_RowSums!$B7:$AZ7,transpose(State_EMM_RowSums!N$2:N$52))</f>
        <v>0</v>
      </c>
      <c r="N7" s="34">
        <f t="array" ref="N7">SUMPRODUCT(Res_Cdiv_State_NG_RowSums!$B7:$AZ7,transpose(State_EMM_RowSums!O$2:O$52))</f>
        <v>0</v>
      </c>
      <c r="O7" s="34">
        <f t="array" ref="O7">SUMPRODUCT(Res_Cdiv_State_NG_RowSums!$B7:$AZ7,transpose(State_EMM_RowSums!P$2:P$52))</f>
        <v>0</v>
      </c>
      <c r="P7" s="34">
        <f t="array" ref="P7">SUMPRODUCT(Res_Cdiv_State_NG_RowSums!$B7:$AZ7,transpose(State_EMM_RowSums!Q$2:Q$52))</f>
        <v>0.1830612297</v>
      </c>
      <c r="Q7" s="34">
        <f t="array" ref="Q7">SUMPRODUCT(Res_Cdiv_State_NG_RowSums!$B7:$AZ7,transpose(State_EMM_RowSums!R$2:R$52))</f>
        <v>0.7275116877</v>
      </c>
      <c r="R7" s="34">
        <f t="array" ref="R7">SUMPRODUCT(Res_Cdiv_State_NG_RowSums!$B7:$AZ7,transpose(State_EMM_RowSums!S$2:S$52))</f>
        <v>0</v>
      </c>
      <c r="S7" s="34">
        <f t="array" ref="S7">SUMPRODUCT(Res_Cdiv_State_NG_RowSums!$B7:$AZ7,transpose(State_EMM_RowSums!T$2:T$52))</f>
        <v>0</v>
      </c>
      <c r="T7" s="34">
        <f t="array" ref="T7">SUMPRODUCT(Res_Cdiv_State_NG_RowSums!$B7:$AZ7,transpose(State_EMM_RowSums!U$2:U$52))</f>
        <v>0</v>
      </c>
      <c r="U7" s="34">
        <f t="array" ref="U7">SUMPRODUCT(Res_Cdiv_State_NG_RowSums!$B7:$AZ7,transpose(State_EMM_RowSums!V$2:V$52))</f>
        <v>0</v>
      </c>
      <c r="V7" s="34">
        <f t="array" ref="V7">SUMPRODUCT(Res_Cdiv_State_NG_RowSums!$B7:$AZ7,transpose(State_EMM_RowSums!W$2:W$52))</f>
        <v>0</v>
      </c>
      <c r="W7" s="34">
        <f t="array" ref="W7">SUMPRODUCT(Res_Cdiv_State_NG_RowSums!$B7:$AZ7,transpose(State_EMM_RowSums!X$2:X$52))</f>
        <v>0</v>
      </c>
      <c r="X7" s="34">
        <f t="array" ref="X7">SUMPRODUCT(Res_Cdiv_State_NG_RowSums!$B7:$AZ7,transpose(State_EMM_RowSums!Y$2:Y$52))</f>
        <v>0</v>
      </c>
      <c r="Y7" s="34">
        <f t="array" ref="Y7">SUMPRODUCT(Res_Cdiv_State_NG_RowSums!$B7:$AZ7,transpose(State_EMM_RowSums!Z$2:Z$52))</f>
        <v>0</v>
      </c>
      <c r="Z7" s="34">
        <f t="array" ref="Z7">SUMPRODUCT(Res_Cdiv_State_NG_RowSums!$B7:$AZ7,transpose(State_EMM_RowSums!AA$2:AA$52))</f>
        <v>0</v>
      </c>
    </row>
    <row r="8" ht="15.75" customHeight="1">
      <c r="A8" s="32">
        <v>7.0</v>
      </c>
      <c r="B8" s="34">
        <f t="array" ref="B8">SUMPRODUCT(Res_Cdiv_State_NG_RowSums!$B8:$AZ8,transpose(State_EMM_RowSums!C$2:C$52))</f>
        <v>0.5561535296</v>
      </c>
      <c r="C8" s="34">
        <f t="array" ref="C8">SUMPRODUCT(Res_Cdiv_State_NG_RowSums!$B8:$AZ8,transpose(State_EMM_RowSums!D$2:D$52))</f>
        <v>0</v>
      </c>
      <c r="D8" s="34">
        <f t="array" ref="D8">SUMPRODUCT(Res_Cdiv_State_NG_RowSums!$B8:$AZ8,transpose(State_EMM_RowSums!E$2:E$52))</f>
        <v>0</v>
      </c>
      <c r="E8" s="34">
        <f t="array" ref="E8">SUMPRODUCT(Res_Cdiv_State_NG_RowSums!$B8:$AZ8,transpose(State_EMM_RowSums!F$2:F$52))</f>
        <v>0</v>
      </c>
      <c r="F8" s="34">
        <f t="array" ref="F8">SUMPRODUCT(Res_Cdiv_State_NG_RowSums!$B8:$AZ8,transpose(State_EMM_RowSums!G$2:G$52))</f>
        <v>0</v>
      </c>
      <c r="G8" s="34">
        <f t="array" ref="G8">SUMPRODUCT(Res_Cdiv_State_NG_RowSums!$B8:$AZ8,transpose(State_EMM_RowSums!H$2:H$52))</f>
        <v>0.1744685947</v>
      </c>
      <c r="H8" s="34">
        <f t="array" ref="H8">SUMPRODUCT(Res_Cdiv_State_NG_RowSums!$B8:$AZ8,transpose(State_EMM_RowSums!I$2:I$52))</f>
        <v>0</v>
      </c>
      <c r="I8" s="34">
        <f t="array" ref="I8">SUMPRODUCT(Res_Cdiv_State_NG_RowSums!$B8:$AZ8,transpose(State_EMM_RowSums!J$2:J$52))</f>
        <v>0</v>
      </c>
      <c r="J8" s="34">
        <f t="array" ref="J8">SUMPRODUCT(Res_Cdiv_State_NG_RowSums!$B8:$AZ8,transpose(State_EMM_RowSums!K$2:K$52))</f>
        <v>0</v>
      </c>
      <c r="K8" s="34">
        <f t="array" ref="K8">SUMPRODUCT(Res_Cdiv_State_NG_RowSums!$B8:$AZ8,transpose(State_EMM_RowSums!L$2:L$52))</f>
        <v>0</v>
      </c>
      <c r="L8" s="34">
        <f t="array" ref="L8">SUMPRODUCT(Res_Cdiv_State_NG_RowSums!$B8:$AZ8,transpose(State_EMM_RowSums!M$2:M$52))</f>
        <v>0</v>
      </c>
      <c r="M8" s="34">
        <f t="array" ref="M8">SUMPRODUCT(Res_Cdiv_State_NG_RowSums!$B8:$AZ8,transpose(State_EMM_RowSums!N$2:N$52))</f>
        <v>0</v>
      </c>
      <c r="N8" s="34">
        <f t="array" ref="N8">SUMPRODUCT(Res_Cdiv_State_NG_RowSums!$B8:$AZ8,transpose(State_EMM_RowSums!O$2:O$52))</f>
        <v>0</v>
      </c>
      <c r="O8" s="34">
        <f t="array" ref="O8">SUMPRODUCT(Res_Cdiv_State_NG_RowSums!$B8:$AZ8,transpose(State_EMM_RowSums!P$2:P$52))</f>
        <v>0</v>
      </c>
      <c r="P8" s="34">
        <f t="array" ref="P8">SUMPRODUCT(Res_Cdiv_State_NG_RowSums!$B8:$AZ8,transpose(State_EMM_RowSums!Q$2:Q$52))</f>
        <v>0</v>
      </c>
      <c r="Q8" s="34">
        <f t="array" ref="Q8">SUMPRODUCT(Res_Cdiv_State_NG_RowSums!$B8:$AZ8,transpose(State_EMM_RowSums!R$2:R$52))</f>
        <v>0</v>
      </c>
      <c r="R8" s="34">
        <f t="array" ref="R8">SUMPRODUCT(Res_Cdiv_State_NG_RowSums!$B8:$AZ8,transpose(State_EMM_RowSums!S$2:S$52))</f>
        <v>0.2509513284</v>
      </c>
      <c r="S8" s="34">
        <f t="array" ref="S8">SUMPRODUCT(Res_Cdiv_State_NG_RowSums!$B8:$AZ8,transpose(State_EMM_RowSums!T$2:T$52))</f>
        <v>0</v>
      </c>
      <c r="T8" s="34">
        <f t="array" ref="T8">SUMPRODUCT(Res_Cdiv_State_NG_RowSums!$B8:$AZ8,transpose(State_EMM_RowSums!U$2:U$52))</f>
        <v>0</v>
      </c>
      <c r="U8" s="34">
        <f t="array" ref="U8">SUMPRODUCT(Res_Cdiv_State_NG_RowSums!$B8:$AZ8,transpose(State_EMM_RowSums!V$2:V$52))</f>
        <v>0.01842654739</v>
      </c>
      <c r="V8" s="34">
        <f t="array" ref="V8">SUMPRODUCT(Res_Cdiv_State_NG_RowSums!$B8:$AZ8,transpose(State_EMM_RowSums!W$2:W$52))</f>
        <v>0</v>
      </c>
      <c r="W8" s="34">
        <f t="array" ref="W8">SUMPRODUCT(Res_Cdiv_State_NG_RowSums!$B8:$AZ8,transpose(State_EMM_RowSums!X$2:X$52))</f>
        <v>0</v>
      </c>
      <c r="X8" s="34">
        <f t="array" ref="X8">SUMPRODUCT(Res_Cdiv_State_NG_RowSums!$B8:$AZ8,transpose(State_EMM_RowSums!Y$2:Y$52))</f>
        <v>0</v>
      </c>
      <c r="Y8" s="34">
        <f t="array" ref="Y8">SUMPRODUCT(Res_Cdiv_State_NG_RowSums!$B8:$AZ8,transpose(State_EMM_RowSums!Z$2:Z$52))</f>
        <v>0</v>
      </c>
      <c r="Z8" s="34">
        <f t="array" ref="Z8">SUMPRODUCT(Res_Cdiv_State_NG_RowSums!$B8:$AZ8,transpose(State_EMM_RowSums!AA$2:AA$52))</f>
        <v>0</v>
      </c>
    </row>
    <row r="9" ht="15.75" customHeight="1">
      <c r="A9" s="32">
        <v>8.0</v>
      </c>
      <c r="B9" s="34">
        <f t="array" ref="B9">SUMPRODUCT(Res_Cdiv_State_NG_RowSums!$B9:$AZ9,transpose(State_EMM_RowSums!C$2:C$52))</f>
        <v>0</v>
      </c>
      <c r="C9" s="34">
        <f t="array" ref="C9">SUMPRODUCT(Res_Cdiv_State_NG_RowSums!$B9:$AZ9,transpose(State_EMM_RowSums!D$2:D$52))</f>
        <v>0</v>
      </c>
      <c r="D9" s="34">
        <f t="array" ref="D9">SUMPRODUCT(Res_Cdiv_State_NG_RowSums!$B9:$AZ9,transpose(State_EMM_RowSums!E$2:E$52))</f>
        <v>0.0003366545719</v>
      </c>
      <c r="E9" s="34">
        <f t="array" ref="E9">SUMPRODUCT(Res_Cdiv_State_NG_RowSums!$B9:$AZ9,transpose(State_EMM_RowSums!F$2:F$52))</f>
        <v>0</v>
      </c>
      <c r="F9" s="34">
        <f t="array" ref="F9">SUMPRODUCT(Res_Cdiv_State_NG_RowSums!$B9:$AZ9,transpose(State_EMM_RowSums!G$2:G$52))</f>
        <v>0</v>
      </c>
      <c r="G9" s="34">
        <f t="array" ref="G9">SUMPRODUCT(Res_Cdiv_State_NG_RowSums!$B9:$AZ9,transpose(State_EMM_RowSums!H$2:H$52))</f>
        <v>0</v>
      </c>
      <c r="H9" s="34">
        <f t="array" ref="H9">SUMPRODUCT(Res_Cdiv_State_NG_RowSums!$B9:$AZ9,transpose(State_EMM_RowSums!I$2:I$52))</f>
        <v>0</v>
      </c>
      <c r="I9" s="34">
        <f t="array" ref="I9">SUMPRODUCT(Res_Cdiv_State_NG_RowSums!$B9:$AZ9,transpose(State_EMM_RowSums!J$2:J$52))</f>
        <v>0</v>
      </c>
      <c r="J9" s="34">
        <f t="array" ref="J9">SUMPRODUCT(Res_Cdiv_State_NG_RowSums!$B9:$AZ9,transpose(State_EMM_RowSums!K$2:K$52))</f>
        <v>0</v>
      </c>
      <c r="K9" s="34">
        <f t="array" ref="K9">SUMPRODUCT(Res_Cdiv_State_NG_RowSums!$B9:$AZ9,transpose(State_EMM_RowSums!L$2:L$52))</f>
        <v>0</v>
      </c>
      <c r="L9" s="34">
        <f t="array" ref="L9">SUMPRODUCT(Res_Cdiv_State_NG_RowSums!$B9:$AZ9,transpose(State_EMM_RowSums!M$2:M$52))</f>
        <v>0</v>
      </c>
      <c r="M9" s="34">
        <f t="array" ref="M9">SUMPRODUCT(Res_Cdiv_State_NG_RowSums!$B9:$AZ9,transpose(State_EMM_RowSums!N$2:N$52))</f>
        <v>0</v>
      </c>
      <c r="N9" s="34">
        <f t="array" ref="N9">SUMPRODUCT(Res_Cdiv_State_NG_RowSums!$B9:$AZ9,transpose(State_EMM_RowSums!O$2:O$52))</f>
        <v>0</v>
      </c>
      <c r="O9" s="34">
        <f t="array" ref="O9">SUMPRODUCT(Res_Cdiv_State_NG_RowSums!$B9:$AZ9,transpose(State_EMM_RowSums!P$2:P$52))</f>
        <v>0</v>
      </c>
      <c r="P9" s="34">
        <f t="array" ref="P9">SUMPRODUCT(Res_Cdiv_State_NG_RowSums!$B9:$AZ9,transpose(State_EMM_RowSums!Q$2:Q$52))</f>
        <v>0</v>
      </c>
      <c r="Q9" s="34">
        <f t="array" ref="Q9">SUMPRODUCT(Res_Cdiv_State_NG_RowSums!$B9:$AZ9,transpose(State_EMM_RowSums!R$2:R$52))</f>
        <v>0</v>
      </c>
      <c r="R9" s="34">
        <f t="array" ref="R9">SUMPRODUCT(Res_Cdiv_State_NG_RowSums!$B9:$AZ9,transpose(State_EMM_RowSums!S$2:S$52))</f>
        <v>0.01105675661</v>
      </c>
      <c r="S9" s="34">
        <f t="array" ref="S9">SUMPRODUCT(Res_Cdiv_State_NG_RowSums!$B9:$AZ9,transpose(State_EMM_RowSums!T$2:T$52))</f>
        <v>0</v>
      </c>
      <c r="T9" s="34">
        <f t="array" ref="T9">SUMPRODUCT(Res_Cdiv_State_NG_RowSums!$B9:$AZ9,transpose(State_EMM_RowSums!U$2:U$52))</f>
        <v>0.001746726336</v>
      </c>
      <c r="U9" s="34">
        <f t="array" ref="U9">SUMPRODUCT(Res_Cdiv_State_NG_RowSums!$B9:$AZ9,transpose(State_EMM_RowSums!V$2:V$52))</f>
        <v>0.1699233799</v>
      </c>
      <c r="V9" s="34">
        <f t="array" ref="V9">SUMPRODUCT(Res_Cdiv_State_NG_RowSums!$B9:$AZ9,transpose(State_EMM_RowSums!W$2:W$52))</f>
        <v>0</v>
      </c>
      <c r="W9" s="34">
        <f t="array" ref="W9">SUMPRODUCT(Res_Cdiv_State_NG_RowSums!$B9:$AZ9,transpose(State_EMM_RowSums!X$2:X$52))</f>
        <v>0</v>
      </c>
      <c r="X9" s="34">
        <f t="array" ref="X9">SUMPRODUCT(Res_Cdiv_State_NG_RowSums!$B9:$AZ9,transpose(State_EMM_RowSums!Y$2:Y$52))</f>
        <v>0.06995116975</v>
      </c>
      <c r="Y9" s="34">
        <f t="array" ref="Y9">SUMPRODUCT(Res_Cdiv_State_NG_RowSums!$B9:$AZ9,transpose(State_EMM_RowSums!Z$2:Z$52))</f>
        <v>0.3609862805</v>
      </c>
      <c r="Z9" s="34">
        <f t="array" ref="Z9">SUMPRODUCT(Res_Cdiv_State_NG_RowSums!$B9:$AZ9,transpose(State_EMM_RowSums!AA$2:AA$52))</f>
        <v>0.3859990322</v>
      </c>
    </row>
    <row r="10" ht="15.75" customHeight="1">
      <c r="A10" s="32">
        <v>9.0</v>
      </c>
      <c r="B10" s="34">
        <f t="array" ref="B10">SUMPRODUCT(Res_Cdiv_State_NG_RowSums!$B10:$AZ10,transpose(State_EMM_RowSums!C$2:C$52))</f>
        <v>0</v>
      </c>
      <c r="C10" s="34">
        <f t="array" ref="C10">SUMPRODUCT(Res_Cdiv_State_NG_RowSums!$B10:$AZ10,transpose(State_EMM_RowSums!D$2:D$52))</f>
        <v>0</v>
      </c>
      <c r="D10" s="34">
        <f t="array" ref="D10">SUMPRODUCT(Res_Cdiv_State_NG_RowSums!$B10:$AZ10,transpose(State_EMM_RowSums!E$2:E$52))</f>
        <v>0</v>
      </c>
      <c r="E10" s="34">
        <f t="array" ref="E10">SUMPRODUCT(Res_Cdiv_State_NG_RowSums!$B10:$AZ10,transpose(State_EMM_RowSums!F$2:F$52))</f>
        <v>0</v>
      </c>
      <c r="F10" s="34">
        <f t="array" ref="F10">SUMPRODUCT(Res_Cdiv_State_NG_RowSums!$B10:$AZ10,transpose(State_EMM_RowSums!G$2:G$52))</f>
        <v>0</v>
      </c>
      <c r="G10" s="34">
        <f t="array" ref="G10">SUMPRODUCT(Res_Cdiv_State_NG_RowSums!$B10:$AZ10,transpose(State_EMM_RowSums!H$2:H$52))</f>
        <v>0</v>
      </c>
      <c r="H10" s="34">
        <f t="array" ref="H10">SUMPRODUCT(Res_Cdiv_State_NG_RowSums!$B10:$AZ10,transpose(State_EMM_RowSums!I$2:I$52))</f>
        <v>0</v>
      </c>
      <c r="I10" s="34">
        <f t="array" ref="I10">SUMPRODUCT(Res_Cdiv_State_NG_RowSums!$B10:$AZ10,transpose(State_EMM_RowSums!J$2:J$52))</f>
        <v>0</v>
      </c>
      <c r="J10" s="34">
        <f t="array" ref="J10">SUMPRODUCT(Res_Cdiv_State_NG_RowSums!$B10:$AZ10,transpose(State_EMM_RowSums!K$2:K$52))</f>
        <v>0</v>
      </c>
      <c r="K10" s="34">
        <f t="array" ref="K10">SUMPRODUCT(Res_Cdiv_State_NG_RowSums!$B10:$AZ10,transpose(State_EMM_RowSums!L$2:L$52))</f>
        <v>0</v>
      </c>
      <c r="L10" s="34">
        <f t="array" ref="L10">SUMPRODUCT(Res_Cdiv_State_NG_RowSums!$B10:$AZ10,transpose(State_EMM_RowSums!M$2:M$52))</f>
        <v>0</v>
      </c>
      <c r="M10" s="34">
        <f t="array" ref="M10">SUMPRODUCT(Res_Cdiv_State_NG_RowSums!$B10:$AZ10,transpose(State_EMM_RowSums!N$2:N$52))</f>
        <v>0</v>
      </c>
      <c r="N10" s="34">
        <f t="array" ref="N10">SUMPRODUCT(Res_Cdiv_State_NG_RowSums!$B10:$AZ10,transpose(State_EMM_RowSums!O$2:O$52))</f>
        <v>0</v>
      </c>
      <c r="O10" s="34">
        <f t="array" ref="O10">SUMPRODUCT(Res_Cdiv_State_NG_RowSums!$B10:$AZ10,transpose(State_EMM_RowSums!P$2:P$52))</f>
        <v>0</v>
      </c>
      <c r="P10" s="34">
        <f t="array" ref="P10">SUMPRODUCT(Res_Cdiv_State_NG_RowSums!$B10:$AZ10,transpose(State_EMM_RowSums!Q$2:Q$52))</f>
        <v>0</v>
      </c>
      <c r="Q10" s="34">
        <f t="array" ref="Q10">SUMPRODUCT(Res_Cdiv_State_NG_RowSums!$B10:$AZ10,transpose(State_EMM_RowSums!R$2:R$52))</f>
        <v>0</v>
      </c>
      <c r="R10" s="34">
        <f t="array" ref="R10">SUMPRODUCT(Res_Cdiv_State_NG_RowSums!$B10:$AZ10,transpose(State_EMM_RowSums!S$2:S$52))</f>
        <v>0</v>
      </c>
      <c r="S10" s="34">
        <f t="array" ref="S10">SUMPRODUCT(Res_Cdiv_State_NG_RowSums!$B10:$AZ10,transpose(State_EMM_RowSums!T$2:T$52))</f>
        <v>0</v>
      </c>
      <c r="T10" s="34">
        <f t="array" ref="T10">SUMPRODUCT(Res_Cdiv_State_NG_RowSums!$B10:$AZ10,transpose(State_EMM_RowSums!U$2:U$52))</f>
        <v>0</v>
      </c>
      <c r="U10" s="34">
        <f t="array" ref="U10">SUMPRODUCT(Res_Cdiv_State_NG_RowSums!$B10:$AZ10,transpose(State_EMM_RowSums!V$2:V$52))</f>
        <v>0.003302277153</v>
      </c>
      <c r="V10" s="34">
        <f t="array" ref="V10">SUMPRODUCT(Res_Cdiv_State_NG_RowSums!$B10:$AZ10,transpose(State_EMM_RowSums!W$2:W$52))</f>
        <v>0.2889528749</v>
      </c>
      <c r="W10" s="34">
        <f t="array" ref="W10">SUMPRODUCT(Res_Cdiv_State_NG_RowSums!$B10:$AZ10,transpose(State_EMM_RowSums!X$2:X$52))</f>
        <v>0.4243937463</v>
      </c>
      <c r="X10" s="34">
        <f t="array" ref="X10">SUMPRODUCT(Res_Cdiv_State_NG_RowSums!$B10:$AZ10,transpose(State_EMM_RowSums!Y$2:Y$52))</f>
        <v>0.2506063184</v>
      </c>
      <c r="Y10" s="34">
        <f t="array" ref="Y10">SUMPRODUCT(Res_Cdiv_State_NG_RowSums!$B10:$AZ10,transpose(State_EMM_RowSums!Z$2:Z$52))</f>
        <v>0</v>
      </c>
      <c r="Z10" s="34">
        <f t="array" ref="Z10">SUMPRODUCT(Res_Cdiv_State_NG_RowSums!$B10:$AZ10,transpose(State_EMM_RowSums!AA$2:AA$52))</f>
        <v>0</v>
      </c>
    </row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</sheetData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32" t="s">
        <v>94</v>
      </c>
      <c r="B1" s="32" t="s">
        <v>4010</v>
      </c>
      <c r="C1" s="32" t="s">
        <v>3989</v>
      </c>
      <c r="D1" s="32" t="s">
        <v>3996</v>
      </c>
      <c r="E1" s="32" t="s">
        <v>3992</v>
      </c>
      <c r="F1" s="32" t="s">
        <v>4003</v>
      </c>
      <c r="G1" s="32" t="s">
        <v>3974</v>
      </c>
      <c r="H1" s="32" t="s">
        <v>3985</v>
      </c>
      <c r="I1" s="32" t="s">
        <v>4006</v>
      </c>
      <c r="J1" s="32" t="s">
        <v>4005</v>
      </c>
      <c r="K1" s="32" t="s">
        <v>3987</v>
      </c>
      <c r="L1" s="32" t="s">
        <v>3997</v>
      </c>
      <c r="M1" s="32" t="s">
        <v>3994</v>
      </c>
      <c r="N1" s="32" t="s">
        <v>3988</v>
      </c>
      <c r="O1" s="32" t="s">
        <v>4009</v>
      </c>
      <c r="P1" s="32" t="s">
        <v>3969</v>
      </c>
      <c r="Q1" s="32" t="s">
        <v>3970</v>
      </c>
      <c r="R1" s="32" t="s">
        <v>3976</v>
      </c>
      <c r="S1" s="32" t="s">
        <v>4001</v>
      </c>
      <c r="T1" s="32" t="s">
        <v>3999</v>
      </c>
      <c r="U1" s="32" t="s">
        <v>3972</v>
      </c>
      <c r="V1" s="32" t="s">
        <v>3979</v>
      </c>
      <c r="W1" s="32" t="s">
        <v>3981</v>
      </c>
      <c r="X1" s="32" t="s">
        <v>3980</v>
      </c>
      <c r="Y1" s="32" t="s">
        <v>3983</v>
      </c>
      <c r="Z1" s="32" t="s">
        <v>3990</v>
      </c>
    </row>
    <row r="2" ht="15.75" customHeight="1">
      <c r="A2" s="32">
        <v>1.0</v>
      </c>
      <c r="B2" s="34">
        <f t="array" ref="B2">SUMPRODUCT(Res_Cdiv_State_Dist_RowSums!$B2:$AZ2,transpose(State_EMM_RowSums!C$2:C$52))</f>
        <v>0</v>
      </c>
      <c r="C2" s="34">
        <f t="array" ref="C2">SUMPRODUCT(Res_Cdiv_State_Dist_RowSums!$B2:$AZ2,transpose(State_EMM_RowSums!D$2:D$52))</f>
        <v>0</v>
      </c>
      <c r="D2" s="34">
        <f t="array" ref="D2">SUMPRODUCT(Res_Cdiv_State_Dist_RowSums!$B2:$AZ2,transpose(State_EMM_RowSums!E$2:E$52))</f>
        <v>0</v>
      </c>
      <c r="E2" s="34">
        <f t="array" ref="E2">SUMPRODUCT(Res_Cdiv_State_Dist_RowSums!$B2:$AZ2,transpose(State_EMM_RowSums!F$2:F$52))</f>
        <v>0</v>
      </c>
      <c r="F2" s="34">
        <f t="array" ref="F2">SUMPRODUCT(Res_Cdiv_State_Dist_RowSums!$B2:$AZ2,transpose(State_EMM_RowSums!G$2:G$52))</f>
        <v>0</v>
      </c>
      <c r="G2" s="34">
        <f t="array" ref="G2">SUMPRODUCT(Res_Cdiv_State_Dist_RowSums!$B2:$AZ2,transpose(State_EMM_RowSums!H$2:H$52))</f>
        <v>0</v>
      </c>
      <c r="H2" s="34">
        <f t="array" ref="H2">SUMPRODUCT(Res_Cdiv_State_Dist_RowSums!$B2:$AZ2,transpose(State_EMM_RowSums!I$2:I$52))</f>
        <v>1</v>
      </c>
      <c r="I2" s="34">
        <f t="array" ref="I2">SUMPRODUCT(Res_Cdiv_State_Dist_RowSums!$B2:$AZ2,transpose(State_EMM_RowSums!J$2:J$52))</f>
        <v>0</v>
      </c>
      <c r="J2" s="34">
        <f t="array" ref="J2">SUMPRODUCT(Res_Cdiv_State_Dist_RowSums!$B2:$AZ2,transpose(State_EMM_RowSums!K$2:K$52))</f>
        <v>0</v>
      </c>
      <c r="K2" s="34">
        <f t="array" ref="K2">SUMPRODUCT(Res_Cdiv_State_Dist_RowSums!$B2:$AZ2,transpose(State_EMM_RowSums!L$2:L$52))</f>
        <v>0</v>
      </c>
      <c r="L2" s="34">
        <f t="array" ref="L2">SUMPRODUCT(Res_Cdiv_State_Dist_RowSums!$B2:$AZ2,transpose(State_EMM_RowSums!M$2:M$52))</f>
        <v>0</v>
      </c>
      <c r="M2" s="34">
        <f t="array" ref="M2">SUMPRODUCT(Res_Cdiv_State_Dist_RowSums!$B2:$AZ2,transpose(State_EMM_RowSums!N$2:N$52))</f>
        <v>0</v>
      </c>
      <c r="N2" s="34">
        <f t="array" ref="N2">SUMPRODUCT(Res_Cdiv_State_Dist_RowSums!$B2:$AZ2,transpose(State_EMM_RowSums!O$2:O$52))</f>
        <v>0</v>
      </c>
      <c r="O2" s="34">
        <f t="array" ref="O2">SUMPRODUCT(Res_Cdiv_State_Dist_RowSums!$B2:$AZ2,transpose(State_EMM_RowSums!P$2:P$52))</f>
        <v>0</v>
      </c>
      <c r="P2" s="34">
        <f t="array" ref="P2">SUMPRODUCT(Res_Cdiv_State_Dist_RowSums!$B2:$AZ2,transpose(State_EMM_RowSums!Q$2:Q$52))</f>
        <v>0</v>
      </c>
      <c r="Q2" s="34">
        <f t="array" ref="Q2">SUMPRODUCT(Res_Cdiv_State_Dist_RowSums!$B2:$AZ2,transpose(State_EMM_RowSums!R$2:R$52))</f>
        <v>0</v>
      </c>
      <c r="R2" s="34">
        <f t="array" ref="R2">SUMPRODUCT(Res_Cdiv_State_Dist_RowSums!$B2:$AZ2,transpose(State_EMM_RowSums!S$2:S$52))</f>
        <v>0</v>
      </c>
      <c r="S2" s="34">
        <f t="array" ref="S2">SUMPRODUCT(Res_Cdiv_State_Dist_RowSums!$B2:$AZ2,transpose(State_EMM_RowSums!T$2:T$52))</f>
        <v>0</v>
      </c>
      <c r="T2" s="34">
        <f t="array" ref="T2">SUMPRODUCT(Res_Cdiv_State_Dist_RowSums!$B2:$AZ2,transpose(State_EMM_RowSums!U$2:U$52))</f>
        <v>0</v>
      </c>
      <c r="U2" s="34">
        <f t="array" ref="U2">SUMPRODUCT(Res_Cdiv_State_Dist_RowSums!$B2:$AZ2,transpose(State_EMM_RowSums!V$2:V$52))</f>
        <v>0</v>
      </c>
      <c r="V2" s="34">
        <f t="array" ref="V2">SUMPRODUCT(Res_Cdiv_State_Dist_RowSums!$B2:$AZ2,transpose(State_EMM_RowSums!W$2:W$52))</f>
        <v>0</v>
      </c>
      <c r="W2" s="34">
        <f t="array" ref="W2">SUMPRODUCT(Res_Cdiv_State_Dist_RowSums!$B2:$AZ2,transpose(State_EMM_RowSums!X$2:X$52))</f>
        <v>0</v>
      </c>
      <c r="X2" s="34">
        <f t="array" ref="X2">SUMPRODUCT(Res_Cdiv_State_Dist_RowSums!$B2:$AZ2,transpose(State_EMM_RowSums!Y$2:Y$52))</f>
        <v>0</v>
      </c>
      <c r="Y2" s="34">
        <f t="array" ref="Y2">SUMPRODUCT(Res_Cdiv_State_Dist_RowSums!$B2:$AZ2,transpose(State_EMM_RowSums!Z$2:Z$52))</f>
        <v>0</v>
      </c>
      <c r="Z2" s="34">
        <f t="array" ref="Z2">SUMPRODUCT(Res_Cdiv_State_Dist_RowSums!$B2:$AZ2,transpose(State_EMM_RowSums!AA$2:AA$52))</f>
        <v>0</v>
      </c>
    </row>
    <row r="3" ht="15.75" customHeight="1">
      <c r="A3" s="32">
        <v>2.0</v>
      </c>
      <c r="B3" s="34">
        <f t="array" ref="B3">SUMPRODUCT(Res_Cdiv_State_Dist_RowSums!$B3:$AZ3,transpose(State_EMM_RowSums!C$2:C$52))</f>
        <v>0</v>
      </c>
      <c r="C3" s="34">
        <f t="array" ref="C3">SUMPRODUCT(Res_Cdiv_State_Dist_RowSums!$B3:$AZ3,transpose(State_EMM_RowSums!D$2:D$52))</f>
        <v>0</v>
      </c>
      <c r="D3" s="34">
        <f t="array" ref="D3">SUMPRODUCT(Res_Cdiv_State_Dist_RowSums!$B3:$AZ3,transpose(State_EMM_RowSums!E$2:E$52))</f>
        <v>0</v>
      </c>
      <c r="E3" s="34">
        <f t="array" ref="E3">SUMPRODUCT(Res_Cdiv_State_Dist_RowSums!$B3:$AZ3,transpose(State_EMM_RowSums!F$2:F$52))</f>
        <v>0</v>
      </c>
      <c r="F3" s="34">
        <f t="array" ref="F3">SUMPRODUCT(Res_Cdiv_State_Dist_RowSums!$B3:$AZ3,transpose(State_EMM_RowSums!G$2:G$52))</f>
        <v>0</v>
      </c>
      <c r="G3" s="34">
        <f t="array" ref="G3">SUMPRODUCT(Res_Cdiv_State_Dist_RowSums!$B3:$AZ3,transpose(State_EMM_RowSums!H$2:H$52))</f>
        <v>0</v>
      </c>
      <c r="H3" s="34">
        <f t="array" ref="H3">SUMPRODUCT(Res_Cdiv_State_Dist_RowSums!$B3:$AZ3,transpose(State_EMM_RowSums!I$2:I$52))</f>
        <v>0</v>
      </c>
      <c r="I3" s="34">
        <f t="array" ref="I3">SUMPRODUCT(Res_Cdiv_State_Dist_RowSums!$B3:$AZ3,transpose(State_EMM_RowSums!J$2:J$52))</f>
        <v>0.2991192683</v>
      </c>
      <c r="J3" s="34">
        <f t="array" ref="J3">SUMPRODUCT(Res_Cdiv_State_Dist_RowSums!$B3:$AZ3,transpose(State_EMM_RowSums!K$2:K$52))</f>
        <v>0.1902341919</v>
      </c>
      <c r="K3" s="34">
        <f t="array" ref="K3">SUMPRODUCT(Res_Cdiv_State_Dist_RowSums!$B3:$AZ3,transpose(State_EMM_RowSums!L$2:L$52))</f>
        <v>0.4291280834</v>
      </c>
      <c r="L3" s="34">
        <f t="array" ref="L3">SUMPRODUCT(Res_Cdiv_State_Dist_RowSums!$B3:$AZ3,transpose(State_EMM_RowSums!M$2:M$52))</f>
        <v>0.08151845644</v>
      </c>
      <c r="M3" s="34">
        <f t="array" ref="M3">SUMPRODUCT(Res_Cdiv_State_Dist_RowSums!$B3:$AZ3,transpose(State_EMM_RowSums!N$2:N$52))</f>
        <v>0</v>
      </c>
      <c r="N3" s="34">
        <f t="array" ref="N3">SUMPRODUCT(Res_Cdiv_State_Dist_RowSums!$B3:$AZ3,transpose(State_EMM_RowSums!O$2:O$52))</f>
        <v>0</v>
      </c>
      <c r="O3" s="34">
        <f t="array" ref="O3">SUMPRODUCT(Res_Cdiv_State_Dist_RowSums!$B3:$AZ3,transpose(State_EMM_RowSums!P$2:P$52))</f>
        <v>0</v>
      </c>
      <c r="P3" s="34">
        <f t="array" ref="P3">SUMPRODUCT(Res_Cdiv_State_Dist_RowSums!$B3:$AZ3,transpose(State_EMM_RowSums!Q$2:Q$52))</f>
        <v>0</v>
      </c>
      <c r="Q3" s="34">
        <f t="array" ref="Q3">SUMPRODUCT(Res_Cdiv_State_Dist_RowSums!$B3:$AZ3,transpose(State_EMM_RowSums!R$2:R$52))</f>
        <v>0</v>
      </c>
      <c r="R3" s="34">
        <f t="array" ref="R3">SUMPRODUCT(Res_Cdiv_State_Dist_RowSums!$B3:$AZ3,transpose(State_EMM_RowSums!S$2:S$52))</f>
        <v>0</v>
      </c>
      <c r="S3" s="34">
        <f t="array" ref="S3">SUMPRODUCT(Res_Cdiv_State_Dist_RowSums!$B3:$AZ3,transpose(State_EMM_RowSums!T$2:T$52))</f>
        <v>0</v>
      </c>
      <c r="T3" s="34">
        <f t="array" ref="T3">SUMPRODUCT(Res_Cdiv_State_Dist_RowSums!$B3:$AZ3,transpose(State_EMM_RowSums!U$2:U$52))</f>
        <v>0</v>
      </c>
      <c r="U3" s="34">
        <f t="array" ref="U3">SUMPRODUCT(Res_Cdiv_State_Dist_RowSums!$B3:$AZ3,transpose(State_EMM_RowSums!V$2:V$52))</f>
        <v>0</v>
      </c>
      <c r="V3" s="34">
        <f t="array" ref="V3">SUMPRODUCT(Res_Cdiv_State_Dist_RowSums!$B3:$AZ3,transpose(State_EMM_RowSums!W$2:W$52))</f>
        <v>0</v>
      </c>
      <c r="W3" s="34">
        <f t="array" ref="W3">SUMPRODUCT(Res_Cdiv_State_Dist_RowSums!$B3:$AZ3,transpose(State_EMM_RowSums!X$2:X$52))</f>
        <v>0</v>
      </c>
      <c r="X3" s="34">
        <f t="array" ref="X3">SUMPRODUCT(Res_Cdiv_State_Dist_RowSums!$B3:$AZ3,transpose(State_EMM_RowSums!Y$2:Y$52))</f>
        <v>0</v>
      </c>
      <c r="Y3" s="34">
        <f t="array" ref="Y3">SUMPRODUCT(Res_Cdiv_State_Dist_RowSums!$B3:$AZ3,transpose(State_EMM_RowSums!Z$2:Z$52))</f>
        <v>0</v>
      </c>
      <c r="Z3" s="34">
        <f t="array" ref="Z3">SUMPRODUCT(Res_Cdiv_State_Dist_RowSums!$B3:$AZ3,transpose(State_EMM_RowSums!AA$2:AA$52))</f>
        <v>0</v>
      </c>
    </row>
    <row r="4" ht="15.75" customHeight="1">
      <c r="A4" s="32">
        <v>3.0</v>
      </c>
      <c r="B4" s="34">
        <f t="array" ref="B4">SUMPRODUCT(Res_Cdiv_State_Dist_RowSums!$B4:$AZ4,transpose(State_EMM_RowSums!C$2:C$52))</f>
        <v>0</v>
      </c>
      <c r="C4" s="34">
        <f t="array" ref="C4">SUMPRODUCT(Res_Cdiv_State_Dist_RowSums!$B4:$AZ4,transpose(State_EMM_RowSums!D$2:D$52))</f>
        <v>0</v>
      </c>
      <c r="D4" s="34">
        <f t="array" ref="D4">SUMPRODUCT(Res_Cdiv_State_Dist_RowSums!$B4:$AZ4,transpose(State_EMM_RowSums!E$2:E$52))</f>
        <v>0.2780958005</v>
      </c>
      <c r="E4" s="34">
        <f t="array" ref="E4">SUMPRODUCT(Res_Cdiv_State_Dist_RowSums!$B4:$AZ4,transpose(State_EMM_RowSums!F$2:F$52))</f>
        <v>0.05231959741</v>
      </c>
      <c r="F4" s="34">
        <f t="array" ref="F4">SUMPRODUCT(Res_Cdiv_State_Dist_RowSums!$B4:$AZ4,transpose(State_EMM_RowSums!G$2:G$52))</f>
        <v>0.1580992898</v>
      </c>
      <c r="G4" s="34">
        <f t="array" ref="G4">SUMPRODUCT(Res_Cdiv_State_Dist_RowSums!$B4:$AZ4,transpose(State_EMM_RowSums!H$2:H$52))</f>
        <v>0</v>
      </c>
      <c r="H4" s="34">
        <f t="array" ref="H4">SUMPRODUCT(Res_Cdiv_State_Dist_RowSums!$B4:$AZ4,transpose(State_EMM_RowSums!I$2:I$52))</f>
        <v>0</v>
      </c>
      <c r="I4" s="34">
        <f t="array" ref="I4">SUMPRODUCT(Res_Cdiv_State_Dist_RowSums!$B4:$AZ4,transpose(State_EMM_RowSums!J$2:J$52))</f>
        <v>0</v>
      </c>
      <c r="J4" s="34">
        <f t="array" ref="J4">SUMPRODUCT(Res_Cdiv_State_Dist_RowSums!$B4:$AZ4,transpose(State_EMM_RowSums!K$2:K$52))</f>
        <v>0</v>
      </c>
      <c r="K4" s="34">
        <f t="array" ref="K4">SUMPRODUCT(Res_Cdiv_State_Dist_RowSums!$B4:$AZ4,transpose(State_EMM_RowSums!L$2:L$52))</f>
        <v>0</v>
      </c>
      <c r="L4" s="34">
        <f t="array" ref="L4">SUMPRODUCT(Res_Cdiv_State_Dist_RowSums!$B4:$AZ4,transpose(State_EMM_RowSums!M$2:M$52))</f>
        <v>0.4913878951</v>
      </c>
      <c r="M4" s="34">
        <f t="array" ref="M4">SUMPRODUCT(Res_Cdiv_State_Dist_RowSums!$B4:$AZ4,transpose(State_EMM_RowSums!N$2:N$52))</f>
        <v>0.02009741717</v>
      </c>
      <c r="N4" s="34">
        <f t="array" ref="N4">SUMPRODUCT(Res_Cdiv_State_Dist_RowSums!$B4:$AZ4,transpose(State_EMM_RowSums!O$2:O$52))</f>
        <v>0</v>
      </c>
      <c r="O4" s="34">
        <f t="array" ref="O4">SUMPRODUCT(Res_Cdiv_State_Dist_RowSums!$B4:$AZ4,transpose(State_EMM_RowSums!P$2:P$52))</f>
        <v>0</v>
      </c>
      <c r="P4" s="34">
        <f t="array" ref="P4">SUMPRODUCT(Res_Cdiv_State_Dist_RowSums!$B4:$AZ4,transpose(State_EMM_RowSums!Q$2:Q$52))</f>
        <v>0</v>
      </c>
      <c r="Q4" s="34">
        <f t="array" ref="Q4">SUMPRODUCT(Res_Cdiv_State_Dist_RowSums!$B4:$AZ4,transpose(State_EMM_RowSums!R$2:R$52))</f>
        <v>0</v>
      </c>
      <c r="R4" s="34">
        <f t="array" ref="R4">SUMPRODUCT(Res_Cdiv_State_Dist_RowSums!$B4:$AZ4,transpose(State_EMM_RowSums!S$2:S$52))</f>
        <v>0</v>
      </c>
      <c r="S4" s="34">
        <f t="array" ref="S4">SUMPRODUCT(Res_Cdiv_State_Dist_RowSums!$B4:$AZ4,transpose(State_EMM_RowSums!T$2:T$52))</f>
        <v>0</v>
      </c>
      <c r="T4" s="34">
        <f t="array" ref="T4">SUMPRODUCT(Res_Cdiv_State_Dist_RowSums!$B4:$AZ4,transpose(State_EMM_RowSums!U$2:U$52))</f>
        <v>0</v>
      </c>
      <c r="U4" s="34">
        <f t="array" ref="U4">SUMPRODUCT(Res_Cdiv_State_Dist_RowSums!$B4:$AZ4,transpose(State_EMM_RowSums!V$2:V$52))</f>
        <v>0</v>
      </c>
      <c r="V4" s="34">
        <f t="array" ref="V4">SUMPRODUCT(Res_Cdiv_State_Dist_RowSums!$B4:$AZ4,transpose(State_EMM_RowSums!W$2:W$52))</f>
        <v>0</v>
      </c>
      <c r="W4" s="34">
        <f t="array" ref="W4">SUMPRODUCT(Res_Cdiv_State_Dist_RowSums!$B4:$AZ4,transpose(State_EMM_RowSums!X$2:X$52))</f>
        <v>0</v>
      </c>
      <c r="X4" s="34">
        <f t="array" ref="X4">SUMPRODUCT(Res_Cdiv_State_Dist_RowSums!$B4:$AZ4,transpose(State_EMM_RowSums!Y$2:Y$52))</f>
        <v>0</v>
      </c>
      <c r="Y4" s="34">
        <f t="array" ref="Y4">SUMPRODUCT(Res_Cdiv_State_Dist_RowSums!$B4:$AZ4,transpose(State_EMM_RowSums!Z$2:Z$52))</f>
        <v>0</v>
      </c>
      <c r="Z4" s="34">
        <f t="array" ref="Z4">SUMPRODUCT(Res_Cdiv_State_Dist_RowSums!$B4:$AZ4,transpose(State_EMM_RowSums!AA$2:AA$52))</f>
        <v>0</v>
      </c>
    </row>
    <row r="5" ht="15.75" customHeight="1">
      <c r="A5" s="32">
        <v>4.0</v>
      </c>
      <c r="B5" s="34">
        <f t="array" ref="B5">SUMPRODUCT(Res_Cdiv_State_Dist_RowSums!$B5:$AZ5,transpose(State_EMM_RowSums!C$2:C$52))</f>
        <v>0</v>
      </c>
      <c r="C5" s="34">
        <f t="array" ref="C5">SUMPRODUCT(Res_Cdiv_State_Dist_RowSums!$B5:$AZ5,transpose(State_EMM_RowSums!D$2:D$52))</f>
        <v>0</v>
      </c>
      <c r="D5" s="34">
        <f t="array" ref="D5">SUMPRODUCT(Res_Cdiv_State_Dist_RowSums!$B5:$AZ5,transpose(State_EMM_RowSums!E$2:E$52))</f>
        <v>0.7242894714</v>
      </c>
      <c r="E5" s="34">
        <f t="array" ref="E5">SUMPRODUCT(Res_Cdiv_State_Dist_RowSums!$B5:$AZ5,transpose(State_EMM_RowSums!F$2:F$52))</f>
        <v>0.01514719262</v>
      </c>
      <c r="F5" s="34">
        <f t="array" ref="F5">SUMPRODUCT(Res_Cdiv_State_Dist_RowSums!$B5:$AZ5,transpose(State_EMM_RowSums!G$2:G$52))</f>
        <v>0</v>
      </c>
      <c r="G5" s="34">
        <f t="array" ref="G5">SUMPRODUCT(Res_Cdiv_State_Dist_RowSums!$B5:$AZ5,transpose(State_EMM_RowSums!H$2:H$52))</f>
        <v>0</v>
      </c>
      <c r="H5" s="34">
        <f t="array" ref="H5">SUMPRODUCT(Res_Cdiv_State_Dist_RowSums!$B5:$AZ5,transpose(State_EMM_RowSums!I$2:I$52))</f>
        <v>0</v>
      </c>
      <c r="I5" s="34">
        <f t="array" ref="I5">SUMPRODUCT(Res_Cdiv_State_Dist_RowSums!$B5:$AZ5,transpose(State_EMM_RowSums!J$2:J$52))</f>
        <v>0</v>
      </c>
      <c r="J5" s="34">
        <f t="array" ref="J5">SUMPRODUCT(Res_Cdiv_State_Dist_RowSums!$B5:$AZ5,transpose(State_EMM_RowSums!K$2:K$52))</f>
        <v>0</v>
      </c>
      <c r="K5" s="34">
        <f t="array" ref="K5">SUMPRODUCT(Res_Cdiv_State_Dist_RowSums!$B5:$AZ5,transpose(State_EMM_RowSums!L$2:L$52))</f>
        <v>0</v>
      </c>
      <c r="L5" s="34">
        <f t="array" ref="L5">SUMPRODUCT(Res_Cdiv_State_Dist_RowSums!$B5:$AZ5,transpose(State_EMM_RowSums!M$2:M$52))</f>
        <v>0</v>
      </c>
      <c r="M5" s="34">
        <f t="array" ref="M5">SUMPRODUCT(Res_Cdiv_State_Dist_RowSums!$B5:$AZ5,transpose(State_EMM_RowSums!N$2:N$52))</f>
        <v>0</v>
      </c>
      <c r="N5" s="34">
        <f t="array" ref="N5">SUMPRODUCT(Res_Cdiv_State_Dist_RowSums!$B5:$AZ5,transpose(State_EMM_RowSums!O$2:O$52))</f>
        <v>0</v>
      </c>
      <c r="O5" s="34">
        <f t="array" ref="O5">SUMPRODUCT(Res_Cdiv_State_Dist_RowSums!$B5:$AZ5,transpose(State_EMM_RowSums!P$2:P$52))</f>
        <v>0</v>
      </c>
      <c r="P5" s="34">
        <f t="array" ref="P5">SUMPRODUCT(Res_Cdiv_State_Dist_RowSums!$B5:$AZ5,transpose(State_EMM_RowSums!Q$2:Q$52))</f>
        <v>0</v>
      </c>
      <c r="Q5" s="34">
        <f t="array" ref="Q5">SUMPRODUCT(Res_Cdiv_State_Dist_RowSums!$B5:$AZ5,transpose(State_EMM_RowSums!R$2:R$52))</f>
        <v>0</v>
      </c>
      <c r="R5" s="34">
        <f t="array" ref="R5">SUMPRODUCT(Res_Cdiv_State_Dist_RowSums!$B5:$AZ5,transpose(State_EMM_RowSums!S$2:S$52))</f>
        <v>0</v>
      </c>
      <c r="S5" s="34">
        <f t="array" ref="S5">SUMPRODUCT(Res_Cdiv_State_Dist_RowSums!$B5:$AZ5,transpose(State_EMM_RowSums!T$2:T$52))</f>
        <v>0.01116859686</v>
      </c>
      <c r="T5" s="34">
        <f t="array" ref="T5">SUMPRODUCT(Res_Cdiv_State_Dist_RowSums!$B5:$AZ5,transpose(State_EMM_RowSums!U$2:U$52))</f>
        <v>0.2444833956</v>
      </c>
      <c r="U5" s="34">
        <f t="array" ref="U5">SUMPRODUCT(Res_Cdiv_State_Dist_RowSums!$B5:$AZ5,transpose(State_EMM_RowSums!V$2:V$52))</f>
        <v>0</v>
      </c>
      <c r="V5" s="34">
        <f t="array" ref="V5">SUMPRODUCT(Res_Cdiv_State_Dist_RowSums!$B5:$AZ5,transpose(State_EMM_RowSums!W$2:W$52))</f>
        <v>0</v>
      </c>
      <c r="W5" s="34">
        <f t="array" ref="W5">SUMPRODUCT(Res_Cdiv_State_Dist_RowSums!$B5:$AZ5,transpose(State_EMM_RowSums!X$2:X$52))</f>
        <v>0</v>
      </c>
      <c r="X5" s="34">
        <f t="array" ref="X5">SUMPRODUCT(Res_Cdiv_State_Dist_RowSums!$B5:$AZ5,transpose(State_EMM_RowSums!Y$2:Y$52))</f>
        <v>0</v>
      </c>
      <c r="Y5" s="34">
        <f t="array" ref="Y5">SUMPRODUCT(Res_Cdiv_State_Dist_RowSums!$B5:$AZ5,transpose(State_EMM_RowSums!Z$2:Z$52))</f>
        <v>0.004911343571</v>
      </c>
      <c r="Z5" s="34">
        <f t="array" ref="Z5">SUMPRODUCT(Res_Cdiv_State_Dist_RowSums!$B5:$AZ5,transpose(State_EMM_RowSums!AA$2:AA$52))</f>
        <v>0</v>
      </c>
    </row>
    <row r="6" ht="15.75" customHeight="1">
      <c r="A6" s="32">
        <v>5.0</v>
      </c>
      <c r="B6" s="34">
        <f t="array" ref="B6">SUMPRODUCT(Res_Cdiv_State_Dist_RowSums!$B6:$AZ6,transpose(State_EMM_RowSums!C$2:C$52))</f>
        <v>0</v>
      </c>
      <c r="C6" s="34">
        <f t="array" ref="C6">SUMPRODUCT(Res_Cdiv_State_Dist_RowSums!$B6:$AZ6,transpose(State_EMM_RowSums!D$2:D$52))</f>
        <v>0.002517726939</v>
      </c>
      <c r="D6" s="34">
        <f t="array" ref="D6">SUMPRODUCT(Res_Cdiv_State_Dist_RowSums!$B6:$AZ6,transpose(State_EMM_RowSums!E$2:E$52))</f>
        <v>0</v>
      </c>
      <c r="E6" s="34">
        <f t="array" ref="E6">SUMPRODUCT(Res_Cdiv_State_Dist_RowSums!$B6:$AZ6,transpose(State_EMM_RowSums!F$2:F$52))</f>
        <v>0</v>
      </c>
      <c r="F6" s="34">
        <f t="array" ref="F6">SUMPRODUCT(Res_Cdiv_State_Dist_RowSums!$B6:$AZ6,transpose(State_EMM_RowSums!G$2:G$52))</f>
        <v>0</v>
      </c>
      <c r="G6" s="34">
        <f t="array" ref="G6">SUMPRODUCT(Res_Cdiv_State_Dist_RowSums!$B6:$AZ6,transpose(State_EMM_RowSums!H$2:H$52))</f>
        <v>0</v>
      </c>
      <c r="H6" s="34">
        <f t="array" ref="H6">SUMPRODUCT(Res_Cdiv_State_Dist_RowSums!$B6:$AZ6,transpose(State_EMM_RowSums!I$2:I$52))</f>
        <v>0</v>
      </c>
      <c r="I6" s="34">
        <f t="array" ref="I6">SUMPRODUCT(Res_Cdiv_State_Dist_RowSums!$B6:$AZ6,transpose(State_EMM_RowSums!J$2:J$52))</f>
        <v>0</v>
      </c>
      <c r="J6" s="34">
        <f t="array" ref="J6">SUMPRODUCT(Res_Cdiv_State_Dist_RowSums!$B6:$AZ6,transpose(State_EMM_RowSums!K$2:K$52))</f>
        <v>0</v>
      </c>
      <c r="K6" s="34">
        <f t="array" ref="K6">SUMPRODUCT(Res_Cdiv_State_Dist_RowSums!$B6:$AZ6,transpose(State_EMM_RowSums!L$2:L$52))</f>
        <v>0.3548180682</v>
      </c>
      <c r="L6" s="34">
        <f t="array" ref="L6">SUMPRODUCT(Res_Cdiv_State_Dist_RowSums!$B6:$AZ6,transpose(State_EMM_RowSums!M$2:M$52))</f>
        <v>0.1881245497</v>
      </c>
      <c r="M6" s="34">
        <f t="array" ref="M6">SUMPRODUCT(Res_Cdiv_State_Dist_RowSums!$B6:$AZ6,transpose(State_EMM_RowSums!N$2:N$52))</f>
        <v>0</v>
      </c>
      <c r="N6" s="34">
        <f t="array" ref="N6">SUMPRODUCT(Res_Cdiv_State_Dist_RowSums!$B6:$AZ6,transpose(State_EMM_RowSums!O$2:O$52))</f>
        <v>0.2994644215</v>
      </c>
      <c r="O6" s="34">
        <f t="array" ref="O6">SUMPRODUCT(Res_Cdiv_State_Dist_RowSums!$B6:$AZ6,transpose(State_EMM_RowSums!P$2:P$52))</f>
        <v>0.1485650356</v>
      </c>
      <c r="P6" s="34">
        <f t="array" ref="P6">SUMPRODUCT(Res_Cdiv_State_Dist_RowSums!$B6:$AZ6,transpose(State_EMM_RowSums!Q$2:Q$52))</f>
        <v>0.002773766974</v>
      </c>
      <c r="Q6" s="34">
        <f t="array" ref="Q6">SUMPRODUCT(Res_Cdiv_State_Dist_RowSums!$B6:$AZ6,transpose(State_EMM_RowSums!R$2:R$52))</f>
        <v>0.003736431152</v>
      </c>
      <c r="R6" s="34">
        <f t="array" ref="R6">SUMPRODUCT(Res_Cdiv_State_Dist_RowSums!$B6:$AZ6,transpose(State_EMM_RowSums!S$2:S$52))</f>
        <v>0</v>
      </c>
      <c r="S6" s="34">
        <f t="array" ref="S6">SUMPRODUCT(Res_Cdiv_State_Dist_RowSums!$B6:$AZ6,transpose(State_EMM_RowSums!T$2:T$52))</f>
        <v>0</v>
      </c>
      <c r="T6" s="34">
        <f t="array" ref="T6">SUMPRODUCT(Res_Cdiv_State_Dist_RowSums!$B6:$AZ6,transpose(State_EMM_RowSums!U$2:U$52))</f>
        <v>0</v>
      </c>
      <c r="U6" s="34">
        <f t="array" ref="U6">SUMPRODUCT(Res_Cdiv_State_Dist_RowSums!$B6:$AZ6,transpose(State_EMM_RowSums!V$2:V$52))</f>
        <v>0</v>
      </c>
      <c r="V6" s="34">
        <f t="array" ref="V6">SUMPRODUCT(Res_Cdiv_State_Dist_RowSums!$B6:$AZ6,transpose(State_EMM_RowSums!W$2:W$52))</f>
        <v>0</v>
      </c>
      <c r="W6" s="34">
        <f t="array" ref="W6">SUMPRODUCT(Res_Cdiv_State_Dist_RowSums!$B6:$AZ6,transpose(State_EMM_RowSums!X$2:X$52))</f>
        <v>0</v>
      </c>
      <c r="X6" s="34">
        <f t="array" ref="X6">SUMPRODUCT(Res_Cdiv_State_Dist_RowSums!$B6:$AZ6,transpose(State_EMM_RowSums!Y$2:Y$52))</f>
        <v>0</v>
      </c>
      <c r="Y6" s="34">
        <f t="array" ref="Y6">SUMPRODUCT(Res_Cdiv_State_Dist_RowSums!$B6:$AZ6,transpose(State_EMM_RowSums!Z$2:Z$52))</f>
        <v>0</v>
      </c>
      <c r="Z6" s="34">
        <f t="array" ref="Z6">SUMPRODUCT(Res_Cdiv_State_Dist_RowSums!$B6:$AZ6,transpose(State_EMM_RowSums!AA$2:AA$52))</f>
        <v>0</v>
      </c>
    </row>
    <row r="7" ht="15.75" customHeight="1">
      <c r="A7" s="32">
        <v>6.0</v>
      </c>
      <c r="B7" s="34">
        <f t="array" ref="B7">SUMPRODUCT(Res_Cdiv_State_Dist_RowSums!$B7:$AZ7,transpose(State_EMM_RowSums!C$2:C$52))</f>
        <v>0</v>
      </c>
      <c r="C7" s="34">
        <f t="array" ref="C7">SUMPRODUCT(Res_Cdiv_State_Dist_RowSums!$B7:$AZ7,transpose(State_EMM_RowSums!D$2:D$52))</f>
        <v>0</v>
      </c>
      <c r="D7" s="34">
        <f t="array" ref="D7">SUMPRODUCT(Res_Cdiv_State_Dist_RowSums!$B7:$AZ7,transpose(State_EMM_RowSums!E$2:E$52))</f>
        <v>0</v>
      </c>
      <c r="E7" s="34">
        <f t="array" ref="E7">SUMPRODUCT(Res_Cdiv_State_Dist_RowSums!$B7:$AZ7,transpose(State_EMM_RowSums!F$2:F$52))</f>
        <v>0</v>
      </c>
      <c r="F7" s="34">
        <f t="array" ref="F7">SUMPRODUCT(Res_Cdiv_State_Dist_RowSums!$B7:$AZ7,transpose(State_EMM_RowSums!G$2:G$52))</f>
        <v>0</v>
      </c>
      <c r="G7" s="34">
        <f t="array" ref="G7">SUMPRODUCT(Res_Cdiv_State_Dist_RowSums!$B7:$AZ7,transpose(State_EMM_RowSums!H$2:H$52))</f>
        <v>0</v>
      </c>
      <c r="H7" s="34">
        <f t="array" ref="H7">SUMPRODUCT(Res_Cdiv_State_Dist_RowSums!$B7:$AZ7,transpose(State_EMM_RowSums!I$2:I$52))</f>
        <v>0</v>
      </c>
      <c r="I7" s="34">
        <f t="array" ref="I7">SUMPRODUCT(Res_Cdiv_State_Dist_RowSums!$B7:$AZ7,transpose(State_EMM_RowSums!J$2:J$52))</f>
        <v>0</v>
      </c>
      <c r="J7" s="34">
        <f t="array" ref="J7">SUMPRODUCT(Res_Cdiv_State_Dist_RowSums!$B7:$AZ7,transpose(State_EMM_RowSums!K$2:K$52))</f>
        <v>0</v>
      </c>
      <c r="K7" s="34">
        <f t="array" ref="K7">SUMPRODUCT(Res_Cdiv_State_Dist_RowSums!$B7:$AZ7,transpose(State_EMM_RowSums!L$2:L$52))</f>
        <v>0</v>
      </c>
      <c r="L7" s="34">
        <f t="array" ref="L7">SUMPRODUCT(Res_Cdiv_State_Dist_RowSums!$B7:$AZ7,transpose(State_EMM_RowSums!M$2:M$52))</f>
        <v>0.05720419588</v>
      </c>
      <c r="M7" s="34">
        <f t="array" ref="M7">SUMPRODUCT(Res_Cdiv_State_Dist_RowSums!$B7:$AZ7,transpose(State_EMM_RowSums!N$2:N$52))</f>
        <v>0</v>
      </c>
      <c r="N7" s="34">
        <f t="array" ref="N7">SUMPRODUCT(Res_Cdiv_State_Dist_RowSums!$B7:$AZ7,transpose(State_EMM_RowSums!O$2:O$52))</f>
        <v>0</v>
      </c>
      <c r="O7" s="34">
        <f t="array" ref="O7">SUMPRODUCT(Res_Cdiv_State_Dist_RowSums!$B7:$AZ7,transpose(State_EMM_RowSums!P$2:P$52))</f>
        <v>0</v>
      </c>
      <c r="P7" s="34">
        <f t="array" ref="P7">SUMPRODUCT(Res_Cdiv_State_Dist_RowSums!$B7:$AZ7,transpose(State_EMM_RowSums!Q$2:Q$52))</f>
        <v>0.0828669378</v>
      </c>
      <c r="Q7" s="34">
        <f t="array" ref="Q7">SUMPRODUCT(Res_Cdiv_State_Dist_RowSums!$B7:$AZ7,transpose(State_EMM_RowSums!R$2:R$52))</f>
        <v>0.8599288663</v>
      </c>
      <c r="R7" s="34">
        <f t="array" ref="R7">SUMPRODUCT(Res_Cdiv_State_Dist_RowSums!$B7:$AZ7,transpose(State_EMM_RowSums!S$2:S$52))</f>
        <v>0</v>
      </c>
      <c r="S7" s="34">
        <f t="array" ref="S7">SUMPRODUCT(Res_Cdiv_State_Dist_RowSums!$B7:$AZ7,transpose(State_EMM_RowSums!T$2:T$52))</f>
        <v>0</v>
      </c>
      <c r="T7" s="34">
        <f t="array" ref="T7">SUMPRODUCT(Res_Cdiv_State_Dist_RowSums!$B7:$AZ7,transpose(State_EMM_RowSums!U$2:U$52))</f>
        <v>0</v>
      </c>
      <c r="U7" s="34">
        <f t="array" ref="U7">SUMPRODUCT(Res_Cdiv_State_Dist_RowSums!$B7:$AZ7,transpose(State_EMM_RowSums!V$2:V$52))</f>
        <v>0</v>
      </c>
      <c r="V7" s="34">
        <f t="array" ref="V7">SUMPRODUCT(Res_Cdiv_State_Dist_RowSums!$B7:$AZ7,transpose(State_EMM_RowSums!W$2:W$52))</f>
        <v>0</v>
      </c>
      <c r="W7" s="34">
        <f t="array" ref="W7">SUMPRODUCT(Res_Cdiv_State_Dist_RowSums!$B7:$AZ7,transpose(State_EMM_RowSums!X$2:X$52))</f>
        <v>0</v>
      </c>
      <c r="X7" s="34">
        <f t="array" ref="X7">SUMPRODUCT(Res_Cdiv_State_Dist_RowSums!$B7:$AZ7,transpose(State_EMM_RowSums!Y$2:Y$52))</f>
        <v>0</v>
      </c>
      <c r="Y7" s="34">
        <f t="array" ref="Y7">SUMPRODUCT(Res_Cdiv_State_Dist_RowSums!$B7:$AZ7,transpose(State_EMM_RowSums!Z$2:Z$52))</f>
        <v>0</v>
      </c>
      <c r="Z7" s="34">
        <f t="array" ref="Z7">SUMPRODUCT(Res_Cdiv_State_Dist_RowSums!$B7:$AZ7,transpose(State_EMM_RowSums!AA$2:AA$52))</f>
        <v>0</v>
      </c>
    </row>
    <row r="8" ht="15.75" customHeight="1">
      <c r="A8" s="32">
        <v>7.0</v>
      </c>
      <c r="B8" s="34">
        <f t="array" ref="B8">SUMPRODUCT(Res_Cdiv_State_Dist_RowSums!$B8:$AZ8,transpose(State_EMM_RowSums!C$2:C$52))</f>
        <v>0</v>
      </c>
      <c r="C8" s="34">
        <f t="array" ref="C8">SUMPRODUCT(Res_Cdiv_State_Dist_RowSums!$B8:$AZ8,transpose(State_EMM_RowSums!D$2:D$52))</f>
        <v>0</v>
      </c>
      <c r="D8" s="34">
        <f t="array" ref="D8">SUMPRODUCT(Res_Cdiv_State_Dist_RowSums!$B8:$AZ8,transpose(State_EMM_RowSums!E$2:E$52))</f>
        <v>0</v>
      </c>
      <c r="E8" s="34">
        <f t="array" ref="E8">SUMPRODUCT(Res_Cdiv_State_Dist_RowSums!$B8:$AZ8,transpose(State_EMM_RowSums!F$2:F$52))</f>
        <v>0</v>
      </c>
      <c r="F8" s="34">
        <f t="array" ref="F8">SUMPRODUCT(Res_Cdiv_State_Dist_RowSums!$B8:$AZ8,transpose(State_EMM_RowSums!G$2:G$52))</f>
        <v>0</v>
      </c>
      <c r="G8" s="34">
        <f t="array" ref="G8">SUMPRODUCT(Res_Cdiv_State_Dist_RowSums!$B8:$AZ8,transpose(State_EMM_RowSums!H$2:H$52))</f>
        <v>0.6550578734</v>
      </c>
      <c r="H8" s="34">
        <f t="array" ref="H8">SUMPRODUCT(Res_Cdiv_State_Dist_RowSums!$B8:$AZ8,transpose(State_EMM_RowSums!I$2:I$52))</f>
        <v>0</v>
      </c>
      <c r="I8" s="34">
        <f t="array" ref="I8">SUMPRODUCT(Res_Cdiv_State_Dist_RowSums!$B8:$AZ8,transpose(State_EMM_RowSums!J$2:J$52))</f>
        <v>0</v>
      </c>
      <c r="J8" s="34">
        <f t="array" ref="J8">SUMPRODUCT(Res_Cdiv_State_Dist_RowSums!$B8:$AZ8,transpose(State_EMM_RowSums!K$2:K$52))</f>
        <v>0</v>
      </c>
      <c r="K8" s="34">
        <f t="array" ref="K8">SUMPRODUCT(Res_Cdiv_State_Dist_RowSums!$B8:$AZ8,transpose(State_EMM_RowSums!L$2:L$52))</f>
        <v>0</v>
      </c>
      <c r="L8" s="34">
        <f t="array" ref="L8">SUMPRODUCT(Res_Cdiv_State_Dist_RowSums!$B8:$AZ8,transpose(State_EMM_RowSums!M$2:M$52))</f>
        <v>0</v>
      </c>
      <c r="M8" s="34">
        <f t="array" ref="M8">SUMPRODUCT(Res_Cdiv_State_Dist_RowSums!$B8:$AZ8,transpose(State_EMM_RowSums!N$2:N$52))</f>
        <v>0</v>
      </c>
      <c r="N8" s="34">
        <f t="array" ref="N8">SUMPRODUCT(Res_Cdiv_State_Dist_RowSums!$B8:$AZ8,transpose(State_EMM_RowSums!O$2:O$52))</f>
        <v>0</v>
      </c>
      <c r="O8" s="34">
        <f t="array" ref="O8">SUMPRODUCT(Res_Cdiv_State_Dist_RowSums!$B8:$AZ8,transpose(State_EMM_RowSums!P$2:P$52))</f>
        <v>0</v>
      </c>
      <c r="P8" s="34">
        <f t="array" ref="P8">SUMPRODUCT(Res_Cdiv_State_Dist_RowSums!$B8:$AZ8,transpose(State_EMM_RowSums!Q$2:Q$52))</f>
        <v>0</v>
      </c>
      <c r="Q8" s="34">
        <f t="array" ref="Q8">SUMPRODUCT(Res_Cdiv_State_Dist_RowSums!$B8:$AZ8,transpose(State_EMM_RowSums!R$2:R$52))</f>
        <v>0</v>
      </c>
      <c r="R8" s="34">
        <f t="array" ref="R8">SUMPRODUCT(Res_Cdiv_State_Dist_RowSums!$B8:$AZ8,transpose(State_EMM_RowSums!S$2:S$52))</f>
        <v>0.3449421266</v>
      </c>
      <c r="S8" s="34">
        <f t="array" ref="S8">SUMPRODUCT(Res_Cdiv_State_Dist_RowSums!$B8:$AZ8,transpose(State_EMM_RowSums!T$2:T$52))</f>
        <v>0</v>
      </c>
      <c r="T8" s="34">
        <f t="array" ref="T8">SUMPRODUCT(Res_Cdiv_State_Dist_RowSums!$B8:$AZ8,transpose(State_EMM_RowSums!U$2:U$52))</f>
        <v>0</v>
      </c>
      <c r="U8" s="34">
        <f t="array" ref="U8">SUMPRODUCT(Res_Cdiv_State_Dist_RowSums!$B8:$AZ8,transpose(State_EMM_RowSums!V$2:V$52))</f>
        <v>0</v>
      </c>
      <c r="V8" s="34">
        <f t="array" ref="V8">SUMPRODUCT(Res_Cdiv_State_Dist_RowSums!$B8:$AZ8,transpose(State_EMM_RowSums!W$2:W$52))</f>
        <v>0</v>
      </c>
      <c r="W8" s="34">
        <f t="array" ref="W8">SUMPRODUCT(Res_Cdiv_State_Dist_RowSums!$B8:$AZ8,transpose(State_EMM_RowSums!X$2:X$52))</f>
        <v>0</v>
      </c>
      <c r="X8" s="34">
        <f t="array" ref="X8">SUMPRODUCT(Res_Cdiv_State_Dist_RowSums!$B8:$AZ8,transpose(State_EMM_RowSums!Y$2:Y$52))</f>
        <v>0</v>
      </c>
      <c r="Y8" s="34">
        <f t="array" ref="Y8">SUMPRODUCT(Res_Cdiv_State_Dist_RowSums!$B8:$AZ8,transpose(State_EMM_RowSums!Z$2:Z$52))</f>
        <v>0</v>
      </c>
      <c r="Z8" s="34">
        <f t="array" ref="Z8">SUMPRODUCT(Res_Cdiv_State_Dist_RowSums!$B8:$AZ8,transpose(State_EMM_RowSums!AA$2:AA$52))</f>
        <v>0</v>
      </c>
    </row>
    <row r="9" ht="15.75" customHeight="1">
      <c r="A9" s="32">
        <v>8.0</v>
      </c>
      <c r="B9" s="34">
        <f t="array" ref="B9">SUMPRODUCT(Res_Cdiv_State_Dist_RowSums!$B9:$AZ9,transpose(State_EMM_RowSums!C$2:C$52))</f>
        <v>0</v>
      </c>
      <c r="C9" s="34">
        <f t="array" ref="C9">SUMPRODUCT(Res_Cdiv_State_Dist_RowSums!$B9:$AZ9,transpose(State_EMM_RowSums!D$2:D$52))</f>
        <v>0</v>
      </c>
      <c r="D9" s="34">
        <f t="array" ref="D9">SUMPRODUCT(Res_Cdiv_State_Dist_RowSums!$B9:$AZ9,transpose(State_EMM_RowSums!E$2:E$52))</f>
        <v>0.00133532013</v>
      </c>
      <c r="E9" s="34">
        <f t="array" ref="E9">SUMPRODUCT(Res_Cdiv_State_Dist_RowSums!$B9:$AZ9,transpose(State_EMM_RowSums!F$2:F$52))</f>
        <v>0</v>
      </c>
      <c r="F9" s="34">
        <f t="array" ref="F9">SUMPRODUCT(Res_Cdiv_State_Dist_RowSums!$B9:$AZ9,transpose(State_EMM_RowSums!G$2:G$52))</f>
        <v>0</v>
      </c>
      <c r="G9" s="34">
        <f t="array" ref="G9">SUMPRODUCT(Res_Cdiv_State_Dist_RowSums!$B9:$AZ9,transpose(State_EMM_RowSums!H$2:H$52))</f>
        <v>0</v>
      </c>
      <c r="H9" s="34">
        <f t="array" ref="H9">SUMPRODUCT(Res_Cdiv_State_Dist_RowSums!$B9:$AZ9,transpose(State_EMM_RowSums!I$2:I$52))</f>
        <v>0</v>
      </c>
      <c r="I9" s="34">
        <f t="array" ref="I9">SUMPRODUCT(Res_Cdiv_State_Dist_RowSums!$B9:$AZ9,transpose(State_EMM_RowSums!J$2:J$52))</f>
        <v>0</v>
      </c>
      <c r="J9" s="34">
        <f t="array" ref="J9">SUMPRODUCT(Res_Cdiv_State_Dist_RowSums!$B9:$AZ9,transpose(State_EMM_RowSums!K$2:K$52))</f>
        <v>0</v>
      </c>
      <c r="K9" s="34">
        <f t="array" ref="K9">SUMPRODUCT(Res_Cdiv_State_Dist_RowSums!$B9:$AZ9,transpose(State_EMM_RowSums!L$2:L$52))</f>
        <v>0</v>
      </c>
      <c r="L9" s="34">
        <f t="array" ref="L9">SUMPRODUCT(Res_Cdiv_State_Dist_RowSums!$B9:$AZ9,transpose(State_EMM_RowSums!M$2:M$52))</f>
        <v>0</v>
      </c>
      <c r="M9" s="34">
        <f t="array" ref="M9">SUMPRODUCT(Res_Cdiv_State_Dist_RowSums!$B9:$AZ9,transpose(State_EMM_RowSums!N$2:N$52))</f>
        <v>0</v>
      </c>
      <c r="N9" s="34">
        <f t="array" ref="N9">SUMPRODUCT(Res_Cdiv_State_Dist_RowSums!$B9:$AZ9,transpose(State_EMM_RowSums!O$2:O$52))</f>
        <v>0</v>
      </c>
      <c r="O9" s="34">
        <f t="array" ref="O9">SUMPRODUCT(Res_Cdiv_State_Dist_RowSums!$B9:$AZ9,transpose(State_EMM_RowSums!P$2:P$52))</f>
        <v>0</v>
      </c>
      <c r="P9" s="34">
        <f t="array" ref="P9">SUMPRODUCT(Res_Cdiv_State_Dist_RowSums!$B9:$AZ9,transpose(State_EMM_RowSums!Q$2:Q$52))</f>
        <v>0</v>
      </c>
      <c r="Q9" s="34">
        <f t="array" ref="Q9">SUMPRODUCT(Res_Cdiv_State_Dist_RowSums!$B9:$AZ9,transpose(State_EMM_RowSums!R$2:R$52))</f>
        <v>0</v>
      </c>
      <c r="R9" s="34">
        <f t="array" ref="R9">SUMPRODUCT(Res_Cdiv_State_Dist_RowSums!$B9:$AZ9,transpose(State_EMM_RowSums!S$2:S$52))</f>
        <v>0</v>
      </c>
      <c r="S9" s="34">
        <f t="array" ref="S9">SUMPRODUCT(Res_Cdiv_State_Dist_RowSums!$B9:$AZ9,transpose(State_EMM_RowSums!T$2:T$52))</f>
        <v>0</v>
      </c>
      <c r="T9" s="34">
        <f t="array" ref="T9">SUMPRODUCT(Res_Cdiv_State_Dist_RowSums!$B9:$AZ9,transpose(State_EMM_RowSums!U$2:U$52))</f>
        <v>0.00692828505</v>
      </c>
      <c r="U9" s="34">
        <f t="array" ref="U9">SUMPRODUCT(Res_Cdiv_State_Dist_RowSums!$B9:$AZ9,transpose(State_EMM_RowSums!V$2:V$52))</f>
        <v>0</v>
      </c>
      <c r="V9" s="34">
        <f t="array" ref="V9">SUMPRODUCT(Res_Cdiv_State_Dist_RowSums!$B9:$AZ9,transpose(State_EMM_RowSums!W$2:W$52))</f>
        <v>0</v>
      </c>
      <c r="W9" s="34">
        <f t="array" ref="W9">SUMPRODUCT(Res_Cdiv_State_Dist_RowSums!$B9:$AZ9,transpose(State_EMM_RowSums!X$2:X$52))</f>
        <v>0</v>
      </c>
      <c r="X9" s="34">
        <f t="array" ref="X9">SUMPRODUCT(Res_Cdiv_State_Dist_RowSums!$B9:$AZ9,transpose(State_EMM_RowSums!Y$2:Y$52))</f>
        <v>0.2982791109</v>
      </c>
      <c r="Y9" s="34">
        <f t="array" ref="Y9">SUMPRODUCT(Res_Cdiv_State_Dist_RowSums!$B9:$AZ9,transpose(State_EMM_RowSums!Z$2:Z$52))</f>
        <v>0.08216711345</v>
      </c>
      <c r="Z9" s="34">
        <f t="array" ref="Z9">SUMPRODUCT(Res_Cdiv_State_Dist_RowSums!$B9:$AZ9,transpose(State_EMM_RowSums!AA$2:AA$52))</f>
        <v>0.6112901704</v>
      </c>
    </row>
    <row r="10" ht="15.75" customHeight="1">
      <c r="A10" s="32">
        <v>9.0</v>
      </c>
      <c r="B10" s="34">
        <f t="array" ref="B10">SUMPRODUCT(Res_Cdiv_State_Dist_RowSums!$B10:$AZ10,transpose(State_EMM_RowSums!C$2:C$52))</f>
        <v>0</v>
      </c>
      <c r="C10" s="34">
        <f t="array" ref="C10">SUMPRODUCT(Res_Cdiv_State_Dist_RowSums!$B10:$AZ10,transpose(State_EMM_RowSums!D$2:D$52))</f>
        <v>0</v>
      </c>
      <c r="D10" s="34">
        <f t="array" ref="D10">SUMPRODUCT(Res_Cdiv_State_Dist_RowSums!$B10:$AZ10,transpose(State_EMM_RowSums!E$2:E$52))</f>
        <v>0</v>
      </c>
      <c r="E10" s="34">
        <f t="array" ref="E10">SUMPRODUCT(Res_Cdiv_State_Dist_RowSums!$B10:$AZ10,transpose(State_EMM_RowSums!F$2:F$52))</f>
        <v>0</v>
      </c>
      <c r="F10" s="34">
        <f t="array" ref="F10">SUMPRODUCT(Res_Cdiv_State_Dist_RowSums!$B10:$AZ10,transpose(State_EMM_RowSums!G$2:G$52))</f>
        <v>0</v>
      </c>
      <c r="G10" s="34">
        <f t="array" ref="G10">SUMPRODUCT(Res_Cdiv_State_Dist_RowSums!$B10:$AZ10,transpose(State_EMM_RowSums!H$2:H$52))</f>
        <v>0</v>
      </c>
      <c r="H10" s="34">
        <f t="array" ref="H10">SUMPRODUCT(Res_Cdiv_State_Dist_RowSums!$B10:$AZ10,transpose(State_EMM_RowSums!I$2:I$52))</f>
        <v>0</v>
      </c>
      <c r="I10" s="34">
        <f t="array" ref="I10">SUMPRODUCT(Res_Cdiv_State_Dist_RowSums!$B10:$AZ10,transpose(State_EMM_RowSums!J$2:J$52))</f>
        <v>0</v>
      </c>
      <c r="J10" s="34">
        <f t="array" ref="J10">SUMPRODUCT(Res_Cdiv_State_Dist_RowSums!$B10:$AZ10,transpose(State_EMM_RowSums!K$2:K$52))</f>
        <v>0</v>
      </c>
      <c r="K10" s="34">
        <f t="array" ref="K10">SUMPRODUCT(Res_Cdiv_State_Dist_RowSums!$B10:$AZ10,transpose(State_EMM_RowSums!L$2:L$52))</f>
        <v>0</v>
      </c>
      <c r="L10" s="34">
        <f t="array" ref="L10">SUMPRODUCT(Res_Cdiv_State_Dist_RowSums!$B10:$AZ10,transpose(State_EMM_RowSums!M$2:M$52))</f>
        <v>0</v>
      </c>
      <c r="M10" s="34">
        <f t="array" ref="M10">SUMPRODUCT(Res_Cdiv_State_Dist_RowSums!$B10:$AZ10,transpose(State_EMM_RowSums!N$2:N$52))</f>
        <v>0</v>
      </c>
      <c r="N10" s="34">
        <f t="array" ref="N10">SUMPRODUCT(Res_Cdiv_State_Dist_RowSums!$B10:$AZ10,transpose(State_EMM_RowSums!O$2:O$52))</f>
        <v>0</v>
      </c>
      <c r="O10" s="34">
        <f t="array" ref="O10">SUMPRODUCT(Res_Cdiv_State_Dist_RowSums!$B10:$AZ10,transpose(State_EMM_RowSums!P$2:P$52))</f>
        <v>0</v>
      </c>
      <c r="P10" s="34">
        <f t="array" ref="P10">SUMPRODUCT(Res_Cdiv_State_Dist_RowSums!$B10:$AZ10,transpose(State_EMM_RowSums!Q$2:Q$52))</f>
        <v>0</v>
      </c>
      <c r="Q10" s="34">
        <f t="array" ref="Q10">SUMPRODUCT(Res_Cdiv_State_Dist_RowSums!$B10:$AZ10,transpose(State_EMM_RowSums!R$2:R$52))</f>
        <v>0</v>
      </c>
      <c r="R10" s="34">
        <f t="array" ref="R10">SUMPRODUCT(Res_Cdiv_State_Dist_RowSums!$B10:$AZ10,transpose(State_EMM_RowSums!S$2:S$52))</f>
        <v>0</v>
      </c>
      <c r="S10" s="34">
        <f t="array" ref="S10">SUMPRODUCT(Res_Cdiv_State_Dist_RowSums!$B10:$AZ10,transpose(State_EMM_RowSums!T$2:T$52))</f>
        <v>0</v>
      </c>
      <c r="T10" s="34">
        <f t="array" ref="T10">SUMPRODUCT(Res_Cdiv_State_Dist_RowSums!$B10:$AZ10,transpose(State_EMM_RowSums!U$2:U$52))</f>
        <v>0</v>
      </c>
      <c r="U10" s="34">
        <f t="array" ref="U10">SUMPRODUCT(Res_Cdiv_State_Dist_RowSums!$B10:$AZ10,transpose(State_EMM_RowSums!V$2:V$52))</f>
        <v>0.0001689450875</v>
      </c>
      <c r="V10" s="34">
        <f t="array" ref="V10">SUMPRODUCT(Res_Cdiv_State_Dist_RowSums!$B10:$AZ10,transpose(State_EMM_RowSums!W$2:W$52))</f>
        <v>0.01478288056</v>
      </c>
      <c r="W10" s="34">
        <f t="array" ref="W10">SUMPRODUCT(Res_Cdiv_State_Dist_RowSums!$B10:$AZ10,transpose(State_EMM_RowSums!X$2:X$52))</f>
        <v>0.02171205967</v>
      </c>
      <c r="X10" s="34">
        <f t="array" ref="X10">SUMPRODUCT(Res_Cdiv_State_Dist_RowSums!$B10:$AZ10,transpose(State_EMM_RowSums!Y$2:Y$52))</f>
        <v>0.4412772911</v>
      </c>
      <c r="Y10" s="34">
        <f t="array" ref="Y10">SUMPRODUCT(Res_Cdiv_State_Dist_RowSums!$B10:$AZ10,transpose(State_EMM_RowSums!Z$2:Z$52))</f>
        <v>0</v>
      </c>
      <c r="Z10" s="34">
        <f t="array" ref="Z10">SUMPRODUCT(Res_Cdiv_State_Dist_RowSums!$B10:$AZ10,transpose(State_EMM_RowSums!AA$2:AA$52))</f>
        <v>0</v>
      </c>
    </row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</sheetData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32" t="s">
        <v>94</v>
      </c>
      <c r="B1" s="32" t="s">
        <v>4010</v>
      </c>
      <c r="C1" s="32" t="s">
        <v>3989</v>
      </c>
      <c r="D1" s="32" t="s">
        <v>3996</v>
      </c>
      <c r="E1" s="32" t="s">
        <v>3992</v>
      </c>
      <c r="F1" s="32" t="s">
        <v>4003</v>
      </c>
      <c r="G1" s="32" t="s">
        <v>3974</v>
      </c>
      <c r="H1" s="32" t="s">
        <v>3985</v>
      </c>
      <c r="I1" s="32" t="s">
        <v>4006</v>
      </c>
      <c r="J1" s="32" t="s">
        <v>4005</v>
      </c>
      <c r="K1" s="32" t="s">
        <v>3987</v>
      </c>
      <c r="L1" s="32" t="s">
        <v>3997</v>
      </c>
      <c r="M1" s="32" t="s">
        <v>3994</v>
      </c>
      <c r="N1" s="32" t="s">
        <v>3988</v>
      </c>
      <c r="O1" s="32" t="s">
        <v>4009</v>
      </c>
      <c r="P1" s="32" t="s">
        <v>3969</v>
      </c>
      <c r="Q1" s="32" t="s">
        <v>3970</v>
      </c>
      <c r="R1" s="32" t="s">
        <v>3976</v>
      </c>
      <c r="S1" s="32" t="s">
        <v>4001</v>
      </c>
      <c r="T1" s="32" t="s">
        <v>3999</v>
      </c>
      <c r="U1" s="32" t="s">
        <v>3972</v>
      </c>
      <c r="V1" s="32" t="s">
        <v>3979</v>
      </c>
      <c r="W1" s="32" t="s">
        <v>3981</v>
      </c>
      <c r="X1" s="32" t="s">
        <v>3980</v>
      </c>
      <c r="Y1" s="32" t="s">
        <v>3983</v>
      </c>
      <c r="Z1" s="32" t="s">
        <v>3990</v>
      </c>
    </row>
    <row r="2" ht="15.75" customHeight="1">
      <c r="A2" s="32">
        <v>1.0</v>
      </c>
      <c r="B2" s="34">
        <f t="array" ref="B2">SUMPRODUCT(Res_Cdiv_State_Other_RowSums!$B2:$AZ2,transpose(State_EMM_RowSums!C$2:C$52))</f>
        <v>0</v>
      </c>
      <c r="C2" s="34">
        <f t="array" ref="C2">SUMPRODUCT(Res_Cdiv_State_Other_RowSums!$B2:$AZ2,transpose(State_EMM_RowSums!D$2:D$52))</f>
        <v>0</v>
      </c>
      <c r="D2" s="34">
        <f t="array" ref="D2">SUMPRODUCT(Res_Cdiv_State_Other_RowSums!$B2:$AZ2,transpose(State_EMM_RowSums!E$2:E$52))</f>
        <v>0</v>
      </c>
      <c r="E2" s="34">
        <f t="array" ref="E2">SUMPRODUCT(Res_Cdiv_State_Other_RowSums!$B2:$AZ2,transpose(State_EMM_RowSums!F$2:F$52))</f>
        <v>0</v>
      </c>
      <c r="F2" s="34">
        <f t="array" ref="F2">SUMPRODUCT(Res_Cdiv_State_Other_RowSums!$B2:$AZ2,transpose(State_EMM_RowSums!G$2:G$52))</f>
        <v>0</v>
      </c>
      <c r="G2" s="34">
        <f t="array" ref="G2">SUMPRODUCT(Res_Cdiv_State_Other_RowSums!$B2:$AZ2,transpose(State_EMM_RowSums!H$2:H$52))</f>
        <v>0</v>
      </c>
      <c r="H2" s="34">
        <f t="array" ref="H2">SUMPRODUCT(Res_Cdiv_State_Other_RowSums!$B2:$AZ2,transpose(State_EMM_RowSums!I$2:I$52))</f>
        <v>1</v>
      </c>
      <c r="I2" s="34">
        <f t="array" ref="I2">SUMPRODUCT(Res_Cdiv_State_Other_RowSums!$B2:$AZ2,transpose(State_EMM_RowSums!J$2:J$52))</f>
        <v>0</v>
      </c>
      <c r="J2" s="34">
        <f t="array" ref="J2">SUMPRODUCT(Res_Cdiv_State_Other_RowSums!$B2:$AZ2,transpose(State_EMM_RowSums!K$2:K$52))</f>
        <v>0</v>
      </c>
      <c r="K2" s="34">
        <f t="array" ref="K2">SUMPRODUCT(Res_Cdiv_State_Other_RowSums!$B2:$AZ2,transpose(State_EMM_RowSums!L$2:L$52))</f>
        <v>0</v>
      </c>
      <c r="L2" s="34">
        <f t="array" ref="L2">SUMPRODUCT(Res_Cdiv_State_Other_RowSums!$B2:$AZ2,transpose(State_EMM_RowSums!M$2:M$52))</f>
        <v>0</v>
      </c>
      <c r="M2" s="34">
        <f t="array" ref="M2">SUMPRODUCT(Res_Cdiv_State_Other_RowSums!$B2:$AZ2,transpose(State_EMM_RowSums!N$2:N$52))</f>
        <v>0</v>
      </c>
      <c r="N2" s="34">
        <f t="array" ref="N2">SUMPRODUCT(Res_Cdiv_State_Other_RowSums!$B2:$AZ2,transpose(State_EMM_RowSums!O$2:O$52))</f>
        <v>0</v>
      </c>
      <c r="O2" s="34">
        <f t="array" ref="O2">SUMPRODUCT(Res_Cdiv_State_Other_RowSums!$B2:$AZ2,transpose(State_EMM_RowSums!P$2:P$52))</f>
        <v>0</v>
      </c>
      <c r="P2" s="34">
        <f t="array" ref="P2">SUMPRODUCT(Res_Cdiv_State_Other_RowSums!$B2:$AZ2,transpose(State_EMM_RowSums!Q$2:Q$52))</f>
        <v>0</v>
      </c>
      <c r="Q2" s="34">
        <f t="array" ref="Q2">SUMPRODUCT(Res_Cdiv_State_Other_RowSums!$B2:$AZ2,transpose(State_EMM_RowSums!R$2:R$52))</f>
        <v>0</v>
      </c>
      <c r="R2" s="34">
        <f t="array" ref="R2">SUMPRODUCT(Res_Cdiv_State_Other_RowSums!$B2:$AZ2,transpose(State_EMM_RowSums!S$2:S$52))</f>
        <v>0</v>
      </c>
      <c r="S2" s="34">
        <f t="array" ref="S2">SUMPRODUCT(Res_Cdiv_State_Other_RowSums!$B2:$AZ2,transpose(State_EMM_RowSums!T$2:T$52))</f>
        <v>0</v>
      </c>
      <c r="T2" s="34">
        <f t="array" ref="T2">SUMPRODUCT(Res_Cdiv_State_Other_RowSums!$B2:$AZ2,transpose(State_EMM_RowSums!U$2:U$52))</f>
        <v>0</v>
      </c>
      <c r="U2" s="34">
        <f t="array" ref="U2">SUMPRODUCT(Res_Cdiv_State_Other_RowSums!$B2:$AZ2,transpose(State_EMM_RowSums!V$2:V$52))</f>
        <v>0</v>
      </c>
      <c r="V2" s="34">
        <f t="array" ref="V2">SUMPRODUCT(Res_Cdiv_State_Other_RowSums!$B2:$AZ2,transpose(State_EMM_RowSums!W$2:W$52))</f>
        <v>0</v>
      </c>
      <c r="W2" s="34">
        <f t="array" ref="W2">SUMPRODUCT(Res_Cdiv_State_Other_RowSums!$B2:$AZ2,transpose(State_EMM_RowSums!X$2:X$52))</f>
        <v>0</v>
      </c>
      <c r="X2" s="34">
        <f t="array" ref="X2">SUMPRODUCT(Res_Cdiv_State_Other_RowSums!$B2:$AZ2,transpose(State_EMM_RowSums!Y$2:Y$52))</f>
        <v>0</v>
      </c>
      <c r="Y2" s="34">
        <f t="array" ref="Y2">SUMPRODUCT(Res_Cdiv_State_Other_RowSums!$B2:$AZ2,transpose(State_EMM_RowSums!Z$2:Z$52))</f>
        <v>0</v>
      </c>
      <c r="Z2" s="34">
        <f t="array" ref="Z2">SUMPRODUCT(Res_Cdiv_State_Other_RowSums!$B2:$AZ2,transpose(State_EMM_RowSums!AA$2:AA$52))</f>
        <v>0</v>
      </c>
    </row>
    <row r="3" ht="15.75" customHeight="1">
      <c r="A3" s="32">
        <v>2.0</v>
      </c>
      <c r="B3" s="34">
        <f t="array" ref="B3">SUMPRODUCT(Res_Cdiv_State_Other_RowSums!$B3:$AZ3,transpose(State_EMM_RowSums!C$2:C$52))</f>
        <v>0</v>
      </c>
      <c r="C3" s="34">
        <f t="array" ref="C3">SUMPRODUCT(Res_Cdiv_State_Other_RowSums!$B3:$AZ3,transpose(State_EMM_RowSums!D$2:D$52))</f>
        <v>0</v>
      </c>
      <c r="D3" s="34">
        <f t="array" ref="D3">SUMPRODUCT(Res_Cdiv_State_Other_RowSums!$B3:$AZ3,transpose(State_EMM_RowSums!E$2:E$52))</f>
        <v>0</v>
      </c>
      <c r="E3" s="34">
        <f t="array" ref="E3">SUMPRODUCT(Res_Cdiv_State_Other_RowSums!$B3:$AZ3,transpose(State_EMM_RowSums!F$2:F$52))</f>
        <v>0</v>
      </c>
      <c r="F3" s="34">
        <f t="array" ref="F3">SUMPRODUCT(Res_Cdiv_State_Other_RowSums!$B3:$AZ3,transpose(State_EMM_RowSums!G$2:G$52))</f>
        <v>0</v>
      </c>
      <c r="G3" s="34">
        <f t="array" ref="G3">SUMPRODUCT(Res_Cdiv_State_Other_RowSums!$B3:$AZ3,transpose(State_EMM_RowSums!H$2:H$52))</f>
        <v>0</v>
      </c>
      <c r="H3" s="34">
        <f t="array" ref="H3">SUMPRODUCT(Res_Cdiv_State_Other_RowSums!$B3:$AZ3,transpose(State_EMM_RowSums!I$2:I$52))</f>
        <v>0</v>
      </c>
      <c r="I3" s="34">
        <f t="array" ref="I3">SUMPRODUCT(Res_Cdiv_State_Other_RowSums!$B3:$AZ3,transpose(State_EMM_RowSums!J$2:J$52))</f>
        <v>0.2971154663</v>
      </c>
      <c r="J3" s="34">
        <f t="array" ref="J3">SUMPRODUCT(Res_Cdiv_State_Other_RowSums!$B3:$AZ3,transpose(State_EMM_RowSums!K$2:K$52))</f>
        <v>0.1889598117</v>
      </c>
      <c r="K3" s="34">
        <f t="array" ref="K3">SUMPRODUCT(Res_Cdiv_State_Other_RowSums!$B3:$AZ3,transpose(State_EMM_RowSums!L$2:L$52))</f>
        <v>0.4182166979</v>
      </c>
      <c r="L3" s="34">
        <f t="array" ref="L3">SUMPRODUCT(Res_Cdiv_State_Other_RowSums!$B3:$AZ3,transpose(State_EMM_RowSums!M$2:M$52))</f>
        <v>0.09570802406</v>
      </c>
      <c r="M3" s="34">
        <f t="array" ref="M3">SUMPRODUCT(Res_Cdiv_State_Other_RowSums!$B3:$AZ3,transpose(State_EMM_RowSums!N$2:N$52))</f>
        <v>0</v>
      </c>
      <c r="N3" s="34">
        <f t="array" ref="N3">SUMPRODUCT(Res_Cdiv_State_Other_RowSums!$B3:$AZ3,transpose(State_EMM_RowSums!O$2:O$52))</f>
        <v>0</v>
      </c>
      <c r="O3" s="34">
        <f t="array" ref="O3">SUMPRODUCT(Res_Cdiv_State_Other_RowSums!$B3:$AZ3,transpose(State_EMM_RowSums!P$2:P$52))</f>
        <v>0</v>
      </c>
      <c r="P3" s="34">
        <f t="array" ref="P3">SUMPRODUCT(Res_Cdiv_State_Other_RowSums!$B3:$AZ3,transpose(State_EMM_RowSums!Q$2:Q$52))</f>
        <v>0</v>
      </c>
      <c r="Q3" s="34">
        <f t="array" ref="Q3">SUMPRODUCT(Res_Cdiv_State_Other_RowSums!$B3:$AZ3,transpose(State_EMM_RowSums!R$2:R$52))</f>
        <v>0</v>
      </c>
      <c r="R3" s="34">
        <f t="array" ref="R3">SUMPRODUCT(Res_Cdiv_State_Other_RowSums!$B3:$AZ3,transpose(State_EMM_RowSums!S$2:S$52))</f>
        <v>0</v>
      </c>
      <c r="S3" s="34">
        <f t="array" ref="S3">SUMPRODUCT(Res_Cdiv_State_Other_RowSums!$B3:$AZ3,transpose(State_EMM_RowSums!T$2:T$52))</f>
        <v>0</v>
      </c>
      <c r="T3" s="34">
        <f t="array" ref="T3">SUMPRODUCT(Res_Cdiv_State_Other_RowSums!$B3:$AZ3,transpose(State_EMM_RowSums!U$2:U$52))</f>
        <v>0</v>
      </c>
      <c r="U3" s="34">
        <f t="array" ref="U3">SUMPRODUCT(Res_Cdiv_State_Other_RowSums!$B3:$AZ3,transpose(State_EMM_RowSums!V$2:V$52))</f>
        <v>0</v>
      </c>
      <c r="V3" s="34">
        <f t="array" ref="V3">SUMPRODUCT(Res_Cdiv_State_Other_RowSums!$B3:$AZ3,transpose(State_EMM_RowSums!W$2:W$52))</f>
        <v>0</v>
      </c>
      <c r="W3" s="34">
        <f t="array" ref="W3">SUMPRODUCT(Res_Cdiv_State_Other_RowSums!$B3:$AZ3,transpose(State_EMM_RowSums!X$2:X$52))</f>
        <v>0</v>
      </c>
      <c r="X3" s="34">
        <f t="array" ref="X3">SUMPRODUCT(Res_Cdiv_State_Other_RowSums!$B3:$AZ3,transpose(State_EMM_RowSums!Y$2:Y$52))</f>
        <v>0</v>
      </c>
      <c r="Y3" s="34">
        <f t="array" ref="Y3">SUMPRODUCT(Res_Cdiv_State_Other_RowSums!$B3:$AZ3,transpose(State_EMM_RowSums!Z$2:Z$52))</f>
        <v>0</v>
      </c>
      <c r="Z3" s="34">
        <f t="array" ref="Z3">SUMPRODUCT(Res_Cdiv_State_Other_RowSums!$B3:$AZ3,transpose(State_EMM_RowSums!AA$2:AA$52))</f>
        <v>0</v>
      </c>
    </row>
    <row r="4" ht="15.75" customHeight="1">
      <c r="A4" s="32">
        <v>3.0</v>
      </c>
      <c r="B4" s="34">
        <f t="array" ref="B4">SUMPRODUCT(Res_Cdiv_State_Other_RowSums!$B4:$AZ4,transpose(State_EMM_RowSums!C$2:C$52))</f>
        <v>0</v>
      </c>
      <c r="C4" s="34">
        <f t="array" ref="C4">SUMPRODUCT(Res_Cdiv_State_Other_RowSums!$B4:$AZ4,transpose(State_EMM_RowSums!D$2:D$52))</f>
        <v>0</v>
      </c>
      <c r="D4" s="34">
        <f t="array" ref="D4">SUMPRODUCT(Res_Cdiv_State_Other_RowSums!$B4:$AZ4,transpose(State_EMM_RowSums!E$2:E$52))</f>
        <v>0.2703800719</v>
      </c>
      <c r="E4" s="34">
        <f t="array" ref="E4">SUMPRODUCT(Res_Cdiv_State_Other_RowSums!$B4:$AZ4,transpose(State_EMM_RowSums!F$2:F$52))</f>
        <v>0.1129065711</v>
      </c>
      <c r="F4" s="34">
        <f t="array" ref="F4">SUMPRODUCT(Res_Cdiv_State_Other_RowSums!$B4:$AZ4,transpose(State_EMM_RowSums!G$2:G$52))</f>
        <v>0.2661502035</v>
      </c>
      <c r="G4" s="34">
        <f t="array" ref="G4">SUMPRODUCT(Res_Cdiv_State_Other_RowSums!$B4:$AZ4,transpose(State_EMM_RowSums!H$2:H$52))</f>
        <v>0</v>
      </c>
      <c r="H4" s="34">
        <f t="array" ref="H4">SUMPRODUCT(Res_Cdiv_State_Other_RowSums!$B4:$AZ4,transpose(State_EMM_RowSums!I$2:I$52))</f>
        <v>0</v>
      </c>
      <c r="I4" s="34">
        <f t="array" ref="I4">SUMPRODUCT(Res_Cdiv_State_Other_RowSums!$B4:$AZ4,transpose(State_EMM_RowSums!J$2:J$52))</f>
        <v>0</v>
      </c>
      <c r="J4" s="34">
        <f t="array" ref="J4">SUMPRODUCT(Res_Cdiv_State_Other_RowSums!$B4:$AZ4,transpose(State_EMM_RowSums!K$2:K$52))</f>
        <v>0</v>
      </c>
      <c r="K4" s="34">
        <f t="array" ref="K4">SUMPRODUCT(Res_Cdiv_State_Other_RowSums!$B4:$AZ4,transpose(State_EMM_RowSums!L$2:L$52))</f>
        <v>0</v>
      </c>
      <c r="L4" s="34">
        <f t="array" ref="L4">SUMPRODUCT(Res_Cdiv_State_Other_RowSums!$B4:$AZ4,transpose(State_EMM_RowSums!M$2:M$52))</f>
        <v>0.2456816692</v>
      </c>
      <c r="M4" s="34">
        <f t="array" ref="M4">SUMPRODUCT(Res_Cdiv_State_Other_RowSums!$B4:$AZ4,transpose(State_EMM_RowSums!N$2:N$52))</f>
        <v>0.1048814843</v>
      </c>
      <c r="N4" s="34">
        <f t="array" ref="N4">SUMPRODUCT(Res_Cdiv_State_Other_RowSums!$B4:$AZ4,transpose(State_EMM_RowSums!O$2:O$52))</f>
        <v>0</v>
      </c>
      <c r="O4" s="34">
        <f t="array" ref="O4">SUMPRODUCT(Res_Cdiv_State_Other_RowSums!$B4:$AZ4,transpose(State_EMM_RowSums!P$2:P$52))</f>
        <v>0</v>
      </c>
      <c r="P4" s="34">
        <f t="array" ref="P4">SUMPRODUCT(Res_Cdiv_State_Other_RowSums!$B4:$AZ4,transpose(State_EMM_RowSums!Q$2:Q$52))</f>
        <v>0</v>
      </c>
      <c r="Q4" s="34">
        <f t="array" ref="Q4">SUMPRODUCT(Res_Cdiv_State_Other_RowSums!$B4:$AZ4,transpose(State_EMM_RowSums!R$2:R$52))</f>
        <v>0</v>
      </c>
      <c r="R4" s="34">
        <f t="array" ref="R4">SUMPRODUCT(Res_Cdiv_State_Other_RowSums!$B4:$AZ4,transpose(State_EMM_RowSums!S$2:S$52))</f>
        <v>0</v>
      </c>
      <c r="S4" s="34">
        <f t="array" ref="S4">SUMPRODUCT(Res_Cdiv_State_Other_RowSums!$B4:$AZ4,transpose(State_EMM_RowSums!T$2:T$52))</f>
        <v>0</v>
      </c>
      <c r="T4" s="34">
        <f t="array" ref="T4">SUMPRODUCT(Res_Cdiv_State_Other_RowSums!$B4:$AZ4,transpose(State_EMM_RowSums!U$2:U$52))</f>
        <v>0</v>
      </c>
      <c r="U4" s="34">
        <f t="array" ref="U4">SUMPRODUCT(Res_Cdiv_State_Other_RowSums!$B4:$AZ4,transpose(State_EMM_RowSums!V$2:V$52))</f>
        <v>0</v>
      </c>
      <c r="V4" s="34">
        <f t="array" ref="V4">SUMPRODUCT(Res_Cdiv_State_Other_RowSums!$B4:$AZ4,transpose(State_EMM_RowSums!W$2:W$52))</f>
        <v>0</v>
      </c>
      <c r="W4" s="34">
        <f t="array" ref="W4">SUMPRODUCT(Res_Cdiv_State_Other_RowSums!$B4:$AZ4,transpose(State_EMM_RowSums!X$2:X$52))</f>
        <v>0</v>
      </c>
      <c r="X4" s="34">
        <f t="array" ref="X4">SUMPRODUCT(Res_Cdiv_State_Other_RowSums!$B4:$AZ4,transpose(State_EMM_RowSums!Y$2:Y$52))</f>
        <v>0</v>
      </c>
      <c r="Y4" s="34">
        <f t="array" ref="Y4">SUMPRODUCT(Res_Cdiv_State_Other_RowSums!$B4:$AZ4,transpose(State_EMM_RowSums!Z$2:Z$52))</f>
        <v>0</v>
      </c>
      <c r="Z4" s="34">
        <f t="array" ref="Z4">SUMPRODUCT(Res_Cdiv_State_Other_RowSums!$B4:$AZ4,transpose(State_EMM_RowSums!AA$2:AA$52))</f>
        <v>0</v>
      </c>
    </row>
    <row r="5" ht="15.75" customHeight="1">
      <c r="A5" s="32">
        <v>4.0</v>
      </c>
      <c r="B5" s="34">
        <f t="array" ref="B5">SUMPRODUCT(Res_Cdiv_State_Other_RowSums!$B5:$AZ5,transpose(State_EMM_RowSums!C$2:C$52))</f>
        <v>0</v>
      </c>
      <c r="C5" s="34">
        <f t="array" ref="C5">SUMPRODUCT(Res_Cdiv_State_Other_RowSums!$B5:$AZ5,transpose(State_EMM_RowSums!D$2:D$52))</f>
        <v>0</v>
      </c>
      <c r="D5" s="34">
        <f t="array" ref="D5">SUMPRODUCT(Res_Cdiv_State_Other_RowSums!$B5:$AZ5,transpose(State_EMM_RowSums!E$2:E$52))</f>
        <v>0.4838579265</v>
      </c>
      <c r="E5" s="34">
        <f t="array" ref="E5">SUMPRODUCT(Res_Cdiv_State_Other_RowSums!$B5:$AZ5,transpose(State_EMM_RowSums!F$2:F$52))</f>
        <v>0.1395983798</v>
      </c>
      <c r="F5" s="34">
        <f t="array" ref="F5">SUMPRODUCT(Res_Cdiv_State_Other_RowSums!$B5:$AZ5,transpose(State_EMM_RowSums!G$2:G$52))</f>
        <v>0</v>
      </c>
      <c r="G5" s="34">
        <f t="array" ref="G5">SUMPRODUCT(Res_Cdiv_State_Other_RowSums!$B5:$AZ5,transpose(State_EMM_RowSums!H$2:H$52))</f>
        <v>0</v>
      </c>
      <c r="H5" s="34">
        <f t="array" ref="H5">SUMPRODUCT(Res_Cdiv_State_Other_RowSums!$B5:$AZ5,transpose(State_EMM_RowSums!I$2:I$52))</f>
        <v>0</v>
      </c>
      <c r="I5" s="34">
        <f t="array" ref="I5">SUMPRODUCT(Res_Cdiv_State_Other_RowSums!$B5:$AZ5,transpose(State_EMM_RowSums!J$2:J$52))</f>
        <v>0</v>
      </c>
      <c r="J5" s="34">
        <f t="array" ref="J5">SUMPRODUCT(Res_Cdiv_State_Other_RowSums!$B5:$AZ5,transpose(State_EMM_RowSums!K$2:K$52))</f>
        <v>0</v>
      </c>
      <c r="K5" s="34">
        <f t="array" ref="K5">SUMPRODUCT(Res_Cdiv_State_Other_RowSums!$B5:$AZ5,transpose(State_EMM_RowSums!L$2:L$52))</f>
        <v>0</v>
      </c>
      <c r="L5" s="34">
        <f t="array" ref="L5">SUMPRODUCT(Res_Cdiv_State_Other_RowSums!$B5:$AZ5,transpose(State_EMM_RowSums!M$2:M$52))</f>
        <v>0</v>
      </c>
      <c r="M5" s="34">
        <f t="array" ref="M5">SUMPRODUCT(Res_Cdiv_State_Other_RowSums!$B5:$AZ5,transpose(State_EMM_RowSums!N$2:N$52))</f>
        <v>0</v>
      </c>
      <c r="N5" s="34">
        <f t="array" ref="N5">SUMPRODUCT(Res_Cdiv_State_Other_RowSums!$B5:$AZ5,transpose(State_EMM_RowSums!O$2:O$52))</f>
        <v>0</v>
      </c>
      <c r="O5" s="34">
        <f t="array" ref="O5">SUMPRODUCT(Res_Cdiv_State_Other_RowSums!$B5:$AZ5,transpose(State_EMM_RowSums!P$2:P$52))</f>
        <v>0</v>
      </c>
      <c r="P5" s="34">
        <f t="array" ref="P5">SUMPRODUCT(Res_Cdiv_State_Other_RowSums!$B5:$AZ5,transpose(State_EMM_RowSums!Q$2:Q$52))</f>
        <v>0</v>
      </c>
      <c r="Q5" s="34">
        <f t="array" ref="Q5">SUMPRODUCT(Res_Cdiv_State_Other_RowSums!$B5:$AZ5,transpose(State_EMM_RowSums!R$2:R$52))</f>
        <v>0</v>
      </c>
      <c r="R5" s="34">
        <f t="array" ref="R5">SUMPRODUCT(Res_Cdiv_State_Other_RowSums!$B5:$AZ5,transpose(State_EMM_RowSums!S$2:S$52))</f>
        <v>0</v>
      </c>
      <c r="S5" s="34">
        <f t="array" ref="S5">SUMPRODUCT(Res_Cdiv_State_Other_RowSums!$B5:$AZ5,transpose(State_EMM_RowSums!T$2:T$52))</f>
        <v>0.1856274715</v>
      </c>
      <c r="T5" s="34">
        <f t="array" ref="T5">SUMPRODUCT(Res_Cdiv_State_Other_RowSums!$B5:$AZ5,transpose(State_EMM_RowSums!U$2:U$52))</f>
        <v>0.1877181651</v>
      </c>
      <c r="U5" s="34">
        <f t="array" ref="U5">SUMPRODUCT(Res_Cdiv_State_Other_RowSums!$B5:$AZ5,transpose(State_EMM_RowSums!V$2:V$52))</f>
        <v>0</v>
      </c>
      <c r="V5" s="34">
        <f t="array" ref="V5">SUMPRODUCT(Res_Cdiv_State_Other_RowSums!$B5:$AZ5,transpose(State_EMM_RowSums!W$2:W$52))</f>
        <v>0</v>
      </c>
      <c r="W5" s="34">
        <f t="array" ref="W5">SUMPRODUCT(Res_Cdiv_State_Other_RowSums!$B5:$AZ5,transpose(State_EMM_RowSums!X$2:X$52))</f>
        <v>0</v>
      </c>
      <c r="X5" s="34">
        <f t="array" ref="X5">SUMPRODUCT(Res_Cdiv_State_Other_RowSums!$B5:$AZ5,transpose(State_EMM_RowSums!Y$2:Y$52))</f>
        <v>0</v>
      </c>
      <c r="Y5" s="34">
        <f t="array" ref="Y5">SUMPRODUCT(Res_Cdiv_State_Other_RowSums!$B5:$AZ5,transpose(State_EMM_RowSums!Z$2:Z$52))</f>
        <v>0.003198057146</v>
      </c>
      <c r="Z5" s="34">
        <f t="array" ref="Z5">SUMPRODUCT(Res_Cdiv_State_Other_RowSums!$B5:$AZ5,transpose(State_EMM_RowSums!AA$2:AA$52))</f>
        <v>0</v>
      </c>
    </row>
    <row r="6" ht="15.75" customHeight="1">
      <c r="A6" s="32">
        <v>5.0</v>
      </c>
      <c r="B6" s="34">
        <f t="array" ref="B6">SUMPRODUCT(Res_Cdiv_State_Other_RowSums!$B6:$AZ6,transpose(State_EMM_RowSums!C$2:C$52))</f>
        <v>0</v>
      </c>
      <c r="C6" s="34">
        <f t="array" ref="C6">SUMPRODUCT(Res_Cdiv_State_Other_RowSums!$B6:$AZ6,transpose(State_EMM_RowSums!D$2:D$52))</f>
        <v>0.06294048071</v>
      </c>
      <c r="D6" s="34">
        <f t="array" ref="D6">SUMPRODUCT(Res_Cdiv_State_Other_RowSums!$B6:$AZ6,transpose(State_EMM_RowSums!E$2:E$52))</f>
        <v>0</v>
      </c>
      <c r="E6" s="34">
        <f t="array" ref="E6">SUMPRODUCT(Res_Cdiv_State_Other_RowSums!$B6:$AZ6,transpose(State_EMM_RowSums!F$2:F$52))</f>
        <v>0</v>
      </c>
      <c r="F6" s="34">
        <f t="array" ref="F6">SUMPRODUCT(Res_Cdiv_State_Other_RowSums!$B6:$AZ6,transpose(State_EMM_RowSums!G$2:G$52))</f>
        <v>0</v>
      </c>
      <c r="G6" s="34">
        <f t="array" ref="G6">SUMPRODUCT(Res_Cdiv_State_Other_RowSums!$B6:$AZ6,transpose(State_EMM_RowSums!H$2:H$52))</f>
        <v>0</v>
      </c>
      <c r="H6" s="34">
        <f t="array" ref="H6">SUMPRODUCT(Res_Cdiv_State_Other_RowSums!$B6:$AZ6,transpose(State_EMM_RowSums!I$2:I$52))</f>
        <v>0</v>
      </c>
      <c r="I6" s="34">
        <f t="array" ref="I6">SUMPRODUCT(Res_Cdiv_State_Other_RowSums!$B6:$AZ6,transpose(State_EMM_RowSums!J$2:J$52))</f>
        <v>0</v>
      </c>
      <c r="J6" s="34">
        <f t="array" ref="J6">SUMPRODUCT(Res_Cdiv_State_Other_RowSums!$B6:$AZ6,transpose(State_EMM_RowSums!K$2:K$52))</f>
        <v>0</v>
      </c>
      <c r="K6" s="34">
        <f t="array" ref="K6">SUMPRODUCT(Res_Cdiv_State_Other_RowSums!$B6:$AZ6,transpose(State_EMM_RowSums!L$2:L$52))</f>
        <v>0.1268150226</v>
      </c>
      <c r="L6" s="34">
        <f t="array" ref="L6">SUMPRODUCT(Res_Cdiv_State_Other_RowSums!$B6:$AZ6,transpose(State_EMM_RowSums!M$2:M$52))</f>
        <v>0.1866518576</v>
      </c>
      <c r="M6" s="34">
        <f t="array" ref="M6">SUMPRODUCT(Res_Cdiv_State_Other_RowSums!$B6:$AZ6,transpose(State_EMM_RowSums!N$2:N$52))</f>
        <v>0</v>
      </c>
      <c r="N6" s="34">
        <f t="array" ref="N6">SUMPRODUCT(Res_Cdiv_State_Other_RowSums!$B6:$AZ6,transpose(State_EMM_RowSums!O$2:O$52))</f>
        <v>0.2149383287</v>
      </c>
      <c r="O6" s="34">
        <f t="array" ref="O6">SUMPRODUCT(Res_Cdiv_State_Other_RowSums!$B6:$AZ6,transpose(State_EMM_RowSums!P$2:P$52))</f>
        <v>0.298865969</v>
      </c>
      <c r="P6" s="34">
        <f t="array" ref="P6">SUMPRODUCT(Res_Cdiv_State_Other_RowSums!$B6:$AZ6,transpose(State_EMM_RowSums!Q$2:Q$52))</f>
        <v>0.1065831994</v>
      </c>
      <c r="Q6" s="34">
        <f t="array" ref="Q6">SUMPRODUCT(Res_Cdiv_State_Other_RowSums!$B6:$AZ6,transpose(State_EMM_RowSums!R$2:R$52))</f>
        <v>0.003205141983</v>
      </c>
      <c r="R6" s="34">
        <f t="array" ref="R6">SUMPRODUCT(Res_Cdiv_State_Other_RowSums!$B6:$AZ6,transpose(State_EMM_RowSums!S$2:S$52))</f>
        <v>0</v>
      </c>
      <c r="S6" s="34">
        <f t="array" ref="S6">SUMPRODUCT(Res_Cdiv_State_Other_RowSums!$B6:$AZ6,transpose(State_EMM_RowSums!T$2:T$52))</f>
        <v>0</v>
      </c>
      <c r="T6" s="34">
        <f t="array" ref="T6">SUMPRODUCT(Res_Cdiv_State_Other_RowSums!$B6:$AZ6,transpose(State_EMM_RowSums!U$2:U$52))</f>
        <v>0</v>
      </c>
      <c r="U6" s="34">
        <f t="array" ref="U6">SUMPRODUCT(Res_Cdiv_State_Other_RowSums!$B6:$AZ6,transpose(State_EMM_RowSums!V$2:V$52))</f>
        <v>0</v>
      </c>
      <c r="V6" s="34">
        <f t="array" ref="V6">SUMPRODUCT(Res_Cdiv_State_Other_RowSums!$B6:$AZ6,transpose(State_EMM_RowSums!W$2:W$52))</f>
        <v>0</v>
      </c>
      <c r="W6" s="34">
        <f t="array" ref="W6">SUMPRODUCT(Res_Cdiv_State_Other_RowSums!$B6:$AZ6,transpose(State_EMM_RowSums!X$2:X$52))</f>
        <v>0</v>
      </c>
      <c r="X6" s="34">
        <f t="array" ref="X6">SUMPRODUCT(Res_Cdiv_State_Other_RowSums!$B6:$AZ6,transpose(State_EMM_RowSums!Y$2:Y$52))</f>
        <v>0</v>
      </c>
      <c r="Y6" s="34">
        <f t="array" ref="Y6">SUMPRODUCT(Res_Cdiv_State_Other_RowSums!$B6:$AZ6,transpose(State_EMM_RowSums!Z$2:Z$52))</f>
        <v>0</v>
      </c>
      <c r="Z6" s="34">
        <f t="array" ref="Z6">SUMPRODUCT(Res_Cdiv_State_Other_RowSums!$B6:$AZ6,transpose(State_EMM_RowSums!AA$2:AA$52))</f>
        <v>0</v>
      </c>
    </row>
    <row r="7" ht="15.75" customHeight="1">
      <c r="A7" s="32">
        <v>6.0</v>
      </c>
      <c r="B7" s="34">
        <f t="array" ref="B7">SUMPRODUCT(Res_Cdiv_State_Other_RowSums!$B7:$AZ7,transpose(State_EMM_RowSums!C$2:C$52))</f>
        <v>0</v>
      </c>
      <c r="C7" s="34">
        <f t="array" ref="C7">SUMPRODUCT(Res_Cdiv_State_Other_RowSums!$B7:$AZ7,transpose(State_EMM_RowSums!D$2:D$52))</f>
        <v>0</v>
      </c>
      <c r="D7" s="34">
        <f t="array" ref="D7">SUMPRODUCT(Res_Cdiv_State_Other_RowSums!$B7:$AZ7,transpose(State_EMM_RowSums!E$2:E$52))</f>
        <v>0</v>
      </c>
      <c r="E7" s="34">
        <f t="array" ref="E7">SUMPRODUCT(Res_Cdiv_State_Other_RowSums!$B7:$AZ7,transpose(State_EMM_RowSums!F$2:F$52))</f>
        <v>0</v>
      </c>
      <c r="F7" s="34">
        <f t="array" ref="F7">SUMPRODUCT(Res_Cdiv_State_Other_RowSums!$B7:$AZ7,transpose(State_EMM_RowSums!G$2:G$52))</f>
        <v>0</v>
      </c>
      <c r="G7" s="34">
        <f t="array" ref="G7">SUMPRODUCT(Res_Cdiv_State_Other_RowSums!$B7:$AZ7,transpose(State_EMM_RowSums!H$2:H$52))</f>
        <v>0.07520605293</v>
      </c>
      <c r="H7" s="34">
        <f t="array" ref="H7">SUMPRODUCT(Res_Cdiv_State_Other_RowSums!$B7:$AZ7,transpose(State_EMM_RowSums!I$2:I$52))</f>
        <v>0</v>
      </c>
      <c r="I7" s="34">
        <f t="array" ref="I7">SUMPRODUCT(Res_Cdiv_State_Other_RowSums!$B7:$AZ7,transpose(State_EMM_RowSums!J$2:J$52))</f>
        <v>0</v>
      </c>
      <c r="J7" s="34">
        <f t="array" ref="J7">SUMPRODUCT(Res_Cdiv_State_Other_RowSums!$B7:$AZ7,transpose(State_EMM_RowSums!K$2:K$52))</f>
        <v>0</v>
      </c>
      <c r="K7" s="34">
        <f t="array" ref="K7">SUMPRODUCT(Res_Cdiv_State_Other_RowSums!$B7:$AZ7,transpose(State_EMM_RowSums!L$2:L$52))</f>
        <v>0</v>
      </c>
      <c r="L7" s="34">
        <f t="array" ref="L7">SUMPRODUCT(Res_Cdiv_State_Other_RowSums!$B7:$AZ7,transpose(State_EMM_RowSums!M$2:M$52))</f>
        <v>0.03688348396</v>
      </c>
      <c r="M7" s="34">
        <f t="array" ref="M7">SUMPRODUCT(Res_Cdiv_State_Other_RowSums!$B7:$AZ7,transpose(State_EMM_RowSums!N$2:N$52))</f>
        <v>0</v>
      </c>
      <c r="N7" s="34">
        <f t="array" ref="N7">SUMPRODUCT(Res_Cdiv_State_Other_RowSums!$B7:$AZ7,transpose(State_EMM_RowSums!O$2:O$52))</f>
        <v>0</v>
      </c>
      <c r="O7" s="34">
        <f t="array" ref="O7">SUMPRODUCT(Res_Cdiv_State_Other_RowSums!$B7:$AZ7,transpose(State_EMM_RowSums!P$2:P$52))</f>
        <v>0</v>
      </c>
      <c r="P7" s="34">
        <f t="array" ref="P7">SUMPRODUCT(Res_Cdiv_State_Other_RowSums!$B7:$AZ7,transpose(State_EMM_RowSums!Q$2:Q$52))</f>
        <v>0.1747050179</v>
      </c>
      <c r="Q7" s="34">
        <f t="array" ref="Q7">SUMPRODUCT(Res_Cdiv_State_Other_RowSums!$B7:$AZ7,transpose(State_EMM_RowSums!R$2:R$52))</f>
        <v>0.7132054452</v>
      </c>
      <c r="R7" s="34">
        <f t="array" ref="R7">SUMPRODUCT(Res_Cdiv_State_Other_RowSums!$B7:$AZ7,transpose(State_EMM_RowSums!S$2:S$52))</f>
        <v>0</v>
      </c>
      <c r="S7" s="34">
        <f t="array" ref="S7">SUMPRODUCT(Res_Cdiv_State_Other_RowSums!$B7:$AZ7,transpose(State_EMM_RowSums!T$2:T$52))</f>
        <v>0</v>
      </c>
      <c r="T7" s="34">
        <f t="array" ref="T7">SUMPRODUCT(Res_Cdiv_State_Other_RowSums!$B7:$AZ7,transpose(State_EMM_RowSums!U$2:U$52))</f>
        <v>0</v>
      </c>
      <c r="U7" s="34">
        <f t="array" ref="U7">SUMPRODUCT(Res_Cdiv_State_Other_RowSums!$B7:$AZ7,transpose(State_EMM_RowSums!V$2:V$52))</f>
        <v>0</v>
      </c>
      <c r="V7" s="34">
        <f t="array" ref="V7">SUMPRODUCT(Res_Cdiv_State_Other_RowSums!$B7:$AZ7,transpose(State_EMM_RowSums!W$2:W$52))</f>
        <v>0</v>
      </c>
      <c r="W7" s="34">
        <f t="array" ref="W7">SUMPRODUCT(Res_Cdiv_State_Other_RowSums!$B7:$AZ7,transpose(State_EMM_RowSums!X$2:X$52))</f>
        <v>0</v>
      </c>
      <c r="X7" s="34">
        <f t="array" ref="X7">SUMPRODUCT(Res_Cdiv_State_Other_RowSums!$B7:$AZ7,transpose(State_EMM_RowSums!Y$2:Y$52))</f>
        <v>0</v>
      </c>
      <c r="Y7" s="34">
        <f t="array" ref="Y7">SUMPRODUCT(Res_Cdiv_State_Other_RowSums!$B7:$AZ7,transpose(State_EMM_RowSums!Z$2:Z$52))</f>
        <v>0</v>
      </c>
      <c r="Z7" s="34">
        <f t="array" ref="Z7">SUMPRODUCT(Res_Cdiv_State_Other_RowSums!$B7:$AZ7,transpose(State_EMM_RowSums!AA$2:AA$52))</f>
        <v>0</v>
      </c>
    </row>
    <row r="8" ht="15.75" customHeight="1">
      <c r="A8" s="32">
        <v>7.0</v>
      </c>
      <c r="B8" s="34">
        <f t="array" ref="B8">SUMPRODUCT(Res_Cdiv_State_Other_RowSums!$B8:$AZ8,transpose(State_EMM_RowSums!C$2:C$52))</f>
        <v>0.4156365221</v>
      </c>
      <c r="C8" s="34">
        <f t="array" ref="C8">SUMPRODUCT(Res_Cdiv_State_Other_RowSums!$B8:$AZ8,transpose(State_EMM_RowSums!D$2:D$52))</f>
        <v>0</v>
      </c>
      <c r="D8" s="34">
        <f t="array" ref="D8">SUMPRODUCT(Res_Cdiv_State_Other_RowSums!$B8:$AZ8,transpose(State_EMM_RowSums!E$2:E$52))</f>
        <v>0</v>
      </c>
      <c r="E8" s="34">
        <f t="array" ref="E8">SUMPRODUCT(Res_Cdiv_State_Other_RowSums!$B8:$AZ8,transpose(State_EMM_RowSums!F$2:F$52))</f>
        <v>0</v>
      </c>
      <c r="F8" s="34">
        <f t="array" ref="F8">SUMPRODUCT(Res_Cdiv_State_Other_RowSums!$B8:$AZ8,transpose(State_EMM_RowSums!G$2:G$52))</f>
        <v>0</v>
      </c>
      <c r="G8" s="34">
        <f t="array" ref="G8">SUMPRODUCT(Res_Cdiv_State_Other_RowSums!$B8:$AZ8,transpose(State_EMM_RowSums!H$2:H$52))</f>
        <v>0.2033328494</v>
      </c>
      <c r="H8" s="34">
        <f t="array" ref="H8">SUMPRODUCT(Res_Cdiv_State_Other_RowSums!$B8:$AZ8,transpose(State_EMM_RowSums!I$2:I$52))</f>
        <v>0</v>
      </c>
      <c r="I8" s="34">
        <f t="array" ref="I8">SUMPRODUCT(Res_Cdiv_State_Other_RowSums!$B8:$AZ8,transpose(State_EMM_RowSums!J$2:J$52))</f>
        <v>0</v>
      </c>
      <c r="J8" s="34">
        <f t="array" ref="J8">SUMPRODUCT(Res_Cdiv_State_Other_RowSums!$B8:$AZ8,transpose(State_EMM_RowSums!K$2:K$52))</f>
        <v>0</v>
      </c>
      <c r="K8" s="34">
        <f t="array" ref="K8">SUMPRODUCT(Res_Cdiv_State_Other_RowSums!$B8:$AZ8,transpose(State_EMM_RowSums!L$2:L$52))</f>
        <v>0</v>
      </c>
      <c r="L8" s="34">
        <f t="array" ref="L8">SUMPRODUCT(Res_Cdiv_State_Other_RowSums!$B8:$AZ8,transpose(State_EMM_RowSums!M$2:M$52))</f>
        <v>0</v>
      </c>
      <c r="M8" s="34">
        <f t="array" ref="M8">SUMPRODUCT(Res_Cdiv_State_Other_RowSums!$B8:$AZ8,transpose(State_EMM_RowSums!N$2:N$52))</f>
        <v>0</v>
      </c>
      <c r="N8" s="34">
        <f t="array" ref="N8">SUMPRODUCT(Res_Cdiv_State_Other_RowSums!$B8:$AZ8,transpose(State_EMM_RowSums!O$2:O$52))</f>
        <v>0</v>
      </c>
      <c r="O8" s="34">
        <f t="array" ref="O8">SUMPRODUCT(Res_Cdiv_State_Other_RowSums!$B8:$AZ8,transpose(State_EMM_RowSums!P$2:P$52))</f>
        <v>0</v>
      </c>
      <c r="P8" s="34">
        <f t="array" ref="P8">SUMPRODUCT(Res_Cdiv_State_Other_RowSums!$B8:$AZ8,transpose(State_EMM_RowSums!Q$2:Q$52))</f>
        <v>0</v>
      </c>
      <c r="Q8" s="34">
        <f t="array" ref="Q8">SUMPRODUCT(Res_Cdiv_State_Other_RowSums!$B8:$AZ8,transpose(State_EMM_RowSums!R$2:R$52))</f>
        <v>0</v>
      </c>
      <c r="R8" s="34">
        <f t="array" ref="R8">SUMPRODUCT(Res_Cdiv_State_Other_RowSums!$B8:$AZ8,transpose(State_EMM_RowSums!S$2:S$52))</f>
        <v>0.367259708</v>
      </c>
      <c r="S8" s="34">
        <f t="array" ref="S8">SUMPRODUCT(Res_Cdiv_State_Other_RowSums!$B8:$AZ8,transpose(State_EMM_RowSums!T$2:T$52))</f>
        <v>0</v>
      </c>
      <c r="T8" s="34">
        <f t="array" ref="T8">SUMPRODUCT(Res_Cdiv_State_Other_RowSums!$B8:$AZ8,transpose(State_EMM_RowSums!U$2:U$52))</f>
        <v>0</v>
      </c>
      <c r="U8" s="34">
        <f t="array" ref="U8">SUMPRODUCT(Res_Cdiv_State_Other_RowSums!$B8:$AZ8,transpose(State_EMM_RowSums!V$2:V$52))</f>
        <v>0.01377092055</v>
      </c>
      <c r="V8" s="34">
        <f t="array" ref="V8">SUMPRODUCT(Res_Cdiv_State_Other_RowSums!$B8:$AZ8,transpose(State_EMM_RowSums!W$2:W$52))</f>
        <v>0</v>
      </c>
      <c r="W8" s="34">
        <f t="array" ref="W8">SUMPRODUCT(Res_Cdiv_State_Other_RowSums!$B8:$AZ8,transpose(State_EMM_RowSums!X$2:X$52))</f>
        <v>0</v>
      </c>
      <c r="X8" s="34">
        <f t="array" ref="X8">SUMPRODUCT(Res_Cdiv_State_Other_RowSums!$B8:$AZ8,transpose(State_EMM_RowSums!Y$2:Y$52))</f>
        <v>0</v>
      </c>
      <c r="Y8" s="34">
        <f t="array" ref="Y8">SUMPRODUCT(Res_Cdiv_State_Other_RowSums!$B8:$AZ8,transpose(State_EMM_RowSums!Z$2:Z$52))</f>
        <v>0</v>
      </c>
      <c r="Z8" s="34">
        <f t="array" ref="Z8">SUMPRODUCT(Res_Cdiv_State_Other_RowSums!$B8:$AZ8,transpose(State_EMM_RowSums!AA$2:AA$52))</f>
        <v>0</v>
      </c>
    </row>
    <row r="9" ht="15.75" customHeight="1">
      <c r="A9" s="32">
        <v>8.0</v>
      </c>
      <c r="B9" s="34">
        <f t="array" ref="B9">SUMPRODUCT(Res_Cdiv_State_Other_RowSums!$B9:$AZ9,transpose(State_EMM_RowSums!C$2:C$52))</f>
        <v>0</v>
      </c>
      <c r="C9" s="34">
        <f t="array" ref="C9">SUMPRODUCT(Res_Cdiv_State_Other_RowSums!$B9:$AZ9,transpose(State_EMM_RowSums!D$2:D$52))</f>
        <v>0</v>
      </c>
      <c r="D9" s="34">
        <f t="array" ref="D9">SUMPRODUCT(Res_Cdiv_State_Other_RowSums!$B9:$AZ9,transpose(State_EMM_RowSums!E$2:E$52))</f>
        <v>0.00124853699</v>
      </c>
      <c r="E9" s="34">
        <f t="array" ref="E9">SUMPRODUCT(Res_Cdiv_State_Other_RowSums!$B9:$AZ9,transpose(State_EMM_RowSums!F$2:F$52))</f>
        <v>0</v>
      </c>
      <c r="F9" s="34">
        <f t="array" ref="F9">SUMPRODUCT(Res_Cdiv_State_Other_RowSums!$B9:$AZ9,transpose(State_EMM_RowSums!G$2:G$52))</f>
        <v>0</v>
      </c>
      <c r="G9" s="34">
        <f t="array" ref="G9">SUMPRODUCT(Res_Cdiv_State_Other_RowSums!$B9:$AZ9,transpose(State_EMM_RowSums!H$2:H$52))</f>
        <v>0</v>
      </c>
      <c r="H9" s="34">
        <f t="array" ref="H9">SUMPRODUCT(Res_Cdiv_State_Other_RowSums!$B9:$AZ9,transpose(State_EMM_RowSums!I$2:I$52))</f>
        <v>0</v>
      </c>
      <c r="I9" s="34">
        <f t="array" ref="I9">SUMPRODUCT(Res_Cdiv_State_Other_RowSums!$B9:$AZ9,transpose(State_EMM_RowSums!J$2:J$52))</f>
        <v>0</v>
      </c>
      <c r="J9" s="34">
        <f t="array" ref="J9">SUMPRODUCT(Res_Cdiv_State_Other_RowSums!$B9:$AZ9,transpose(State_EMM_RowSums!K$2:K$52))</f>
        <v>0</v>
      </c>
      <c r="K9" s="34">
        <f t="array" ref="K9">SUMPRODUCT(Res_Cdiv_State_Other_RowSums!$B9:$AZ9,transpose(State_EMM_RowSums!L$2:L$52))</f>
        <v>0</v>
      </c>
      <c r="L9" s="34">
        <f t="array" ref="L9">SUMPRODUCT(Res_Cdiv_State_Other_RowSums!$B9:$AZ9,transpose(State_EMM_RowSums!M$2:M$52))</f>
        <v>0</v>
      </c>
      <c r="M9" s="34">
        <f t="array" ref="M9">SUMPRODUCT(Res_Cdiv_State_Other_RowSums!$B9:$AZ9,transpose(State_EMM_RowSums!N$2:N$52))</f>
        <v>0</v>
      </c>
      <c r="N9" s="34">
        <f t="array" ref="N9">SUMPRODUCT(Res_Cdiv_State_Other_RowSums!$B9:$AZ9,transpose(State_EMM_RowSums!O$2:O$52))</f>
        <v>0</v>
      </c>
      <c r="O9" s="34">
        <f t="array" ref="O9">SUMPRODUCT(Res_Cdiv_State_Other_RowSums!$B9:$AZ9,transpose(State_EMM_RowSums!P$2:P$52))</f>
        <v>0</v>
      </c>
      <c r="P9" s="34">
        <f t="array" ref="P9">SUMPRODUCT(Res_Cdiv_State_Other_RowSums!$B9:$AZ9,transpose(State_EMM_RowSums!Q$2:Q$52))</f>
        <v>0</v>
      </c>
      <c r="Q9" s="34">
        <f t="array" ref="Q9">SUMPRODUCT(Res_Cdiv_State_Other_RowSums!$B9:$AZ9,transpose(State_EMM_RowSums!R$2:R$52))</f>
        <v>0</v>
      </c>
      <c r="R9" s="34">
        <f t="array" ref="R9">SUMPRODUCT(Res_Cdiv_State_Other_RowSums!$B9:$AZ9,transpose(State_EMM_RowSums!S$2:S$52))</f>
        <v>0.01856804787</v>
      </c>
      <c r="S9" s="34">
        <f t="array" ref="S9">SUMPRODUCT(Res_Cdiv_State_Other_RowSums!$B9:$AZ9,transpose(State_EMM_RowSums!T$2:T$52))</f>
        <v>0</v>
      </c>
      <c r="T9" s="34">
        <f t="array" ref="T9">SUMPRODUCT(Res_Cdiv_State_Other_RowSums!$B9:$AZ9,transpose(State_EMM_RowSums!U$2:U$52))</f>
        <v>0.006478012255</v>
      </c>
      <c r="U9" s="34">
        <f t="array" ref="U9">SUMPRODUCT(Res_Cdiv_State_Other_RowSums!$B9:$AZ9,transpose(State_EMM_RowSums!V$2:V$52))</f>
        <v>0.2036973432</v>
      </c>
      <c r="V9" s="34">
        <f t="array" ref="V9">SUMPRODUCT(Res_Cdiv_State_Other_RowSums!$B9:$AZ9,transpose(State_EMM_RowSums!W$2:W$52))</f>
        <v>0</v>
      </c>
      <c r="W9" s="34">
        <f t="array" ref="W9">SUMPRODUCT(Res_Cdiv_State_Other_RowSums!$B9:$AZ9,transpose(State_EMM_RowSums!X$2:X$52))</f>
        <v>0</v>
      </c>
      <c r="X9" s="34">
        <f t="array" ref="X9">SUMPRODUCT(Res_Cdiv_State_Other_RowSums!$B9:$AZ9,transpose(State_EMM_RowSums!Y$2:Y$52))</f>
        <v>0.2340735362</v>
      </c>
      <c r="Y9" s="34">
        <f t="array" ref="Y9">SUMPRODUCT(Res_Cdiv_State_Other_RowSums!$B9:$AZ9,transpose(State_EMM_RowSums!Z$2:Z$52))</f>
        <v>0.2681365247</v>
      </c>
      <c r="Z9" s="34">
        <f t="array" ref="Z9">SUMPRODUCT(Res_Cdiv_State_Other_RowSums!$B9:$AZ9,transpose(State_EMM_RowSums!AA$2:AA$52))</f>
        <v>0.2677979988</v>
      </c>
    </row>
    <row r="10" ht="15.75" customHeight="1">
      <c r="A10" s="32">
        <v>9.0</v>
      </c>
      <c r="B10" s="34">
        <f t="array" ref="B10">SUMPRODUCT(Res_Cdiv_State_Other_RowSums!$B10:$AZ10,transpose(State_EMM_RowSums!C$2:C$52))</f>
        <v>0</v>
      </c>
      <c r="C10" s="34">
        <f t="array" ref="C10">SUMPRODUCT(Res_Cdiv_State_Other_RowSums!$B10:$AZ10,transpose(State_EMM_RowSums!D$2:D$52))</f>
        <v>0</v>
      </c>
      <c r="D10" s="34">
        <f t="array" ref="D10">SUMPRODUCT(Res_Cdiv_State_Other_RowSums!$B10:$AZ10,transpose(State_EMM_RowSums!E$2:E$52))</f>
        <v>0</v>
      </c>
      <c r="E10" s="34">
        <f t="array" ref="E10">SUMPRODUCT(Res_Cdiv_State_Other_RowSums!$B10:$AZ10,transpose(State_EMM_RowSums!F$2:F$52))</f>
        <v>0</v>
      </c>
      <c r="F10" s="34">
        <f t="array" ref="F10">SUMPRODUCT(Res_Cdiv_State_Other_RowSums!$B10:$AZ10,transpose(State_EMM_RowSums!G$2:G$52))</f>
        <v>0</v>
      </c>
      <c r="G10" s="34">
        <f t="array" ref="G10">SUMPRODUCT(Res_Cdiv_State_Other_RowSums!$B10:$AZ10,transpose(State_EMM_RowSums!H$2:H$52))</f>
        <v>0</v>
      </c>
      <c r="H10" s="34">
        <f t="array" ref="H10">SUMPRODUCT(Res_Cdiv_State_Other_RowSums!$B10:$AZ10,transpose(State_EMM_RowSums!I$2:I$52))</f>
        <v>0</v>
      </c>
      <c r="I10" s="34">
        <f t="array" ref="I10">SUMPRODUCT(Res_Cdiv_State_Other_RowSums!$B10:$AZ10,transpose(State_EMM_RowSums!J$2:J$52))</f>
        <v>0</v>
      </c>
      <c r="J10" s="34">
        <f t="array" ref="J10">SUMPRODUCT(Res_Cdiv_State_Other_RowSums!$B10:$AZ10,transpose(State_EMM_RowSums!K$2:K$52))</f>
        <v>0</v>
      </c>
      <c r="K10" s="34">
        <f t="array" ref="K10">SUMPRODUCT(Res_Cdiv_State_Other_RowSums!$B10:$AZ10,transpose(State_EMM_RowSums!L$2:L$52))</f>
        <v>0</v>
      </c>
      <c r="L10" s="34">
        <f t="array" ref="L10">SUMPRODUCT(Res_Cdiv_State_Other_RowSums!$B10:$AZ10,transpose(State_EMM_RowSums!M$2:M$52))</f>
        <v>0</v>
      </c>
      <c r="M10" s="34">
        <f t="array" ref="M10">SUMPRODUCT(Res_Cdiv_State_Other_RowSums!$B10:$AZ10,transpose(State_EMM_RowSums!N$2:N$52))</f>
        <v>0</v>
      </c>
      <c r="N10" s="34">
        <f t="array" ref="N10">SUMPRODUCT(Res_Cdiv_State_Other_RowSums!$B10:$AZ10,transpose(State_EMM_RowSums!O$2:O$52))</f>
        <v>0</v>
      </c>
      <c r="O10" s="34">
        <f t="array" ref="O10">SUMPRODUCT(Res_Cdiv_State_Other_RowSums!$B10:$AZ10,transpose(State_EMM_RowSums!P$2:P$52))</f>
        <v>0</v>
      </c>
      <c r="P10" s="34">
        <f t="array" ref="P10">SUMPRODUCT(Res_Cdiv_State_Other_RowSums!$B10:$AZ10,transpose(State_EMM_RowSums!Q$2:Q$52))</f>
        <v>0</v>
      </c>
      <c r="Q10" s="34">
        <f t="array" ref="Q10">SUMPRODUCT(Res_Cdiv_State_Other_RowSums!$B10:$AZ10,transpose(State_EMM_RowSums!R$2:R$52))</f>
        <v>0</v>
      </c>
      <c r="R10" s="34">
        <f t="array" ref="R10">SUMPRODUCT(Res_Cdiv_State_Other_RowSums!$B10:$AZ10,transpose(State_EMM_RowSums!S$2:S$52))</f>
        <v>0</v>
      </c>
      <c r="S10" s="34">
        <f t="array" ref="S10">SUMPRODUCT(Res_Cdiv_State_Other_RowSums!$B10:$AZ10,transpose(State_EMM_RowSums!T$2:T$52))</f>
        <v>0</v>
      </c>
      <c r="T10" s="34">
        <f t="array" ref="T10">SUMPRODUCT(Res_Cdiv_State_Other_RowSums!$B10:$AZ10,transpose(State_EMM_RowSums!U$2:U$52))</f>
        <v>0</v>
      </c>
      <c r="U10" s="34">
        <f t="array" ref="U10">SUMPRODUCT(Res_Cdiv_State_Other_RowSums!$B10:$AZ10,transpose(State_EMM_RowSums!V$2:V$52))</f>
        <v>0.001928226599</v>
      </c>
      <c r="V10" s="34">
        <f t="array" ref="V10">SUMPRODUCT(Res_Cdiv_State_Other_RowSums!$B10:$AZ10,transpose(State_EMM_RowSums!W$2:W$52))</f>
        <v>0.1687219435</v>
      </c>
      <c r="W10" s="34">
        <f t="array" ref="W10">SUMPRODUCT(Res_Cdiv_State_Other_RowSums!$B10:$AZ10,transpose(State_EMM_RowSums!X$2:X$52))</f>
        <v>0.2478069744</v>
      </c>
      <c r="X10" s="34">
        <f t="array" ref="X10">SUMPRODUCT(Res_Cdiv_State_Other_RowSums!$B10:$AZ10,transpose(State_EMM_RowSums!Y$2:Y$52))</f>
        <v>0.5129154046</v>
      </c>
      <c r="Y10" s="34">
        <f t="array" ref="Y10">SUMPRODUCT(Res_Cdiv_State_Other_RowSums!$B10:$AZ10,transpose(State_EMM_RowSums!Z$2:Z$52))</f>
        <v>0</v>
      </c>
      <c r="Z10" s="34">
        <f t="array" ref="Z10">SUMPRODUCT(Res_Cdiv_State_Other_RowSums!$B10:$AZ10,transpose(State_EMM_RowSums!AA$2:AA$52))</f>
        <v>0</v>
      </c>
    </row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</sheetData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3" width="12.63"/>
    <col customWidth="1" min="4" max="4" width="15.13"/>
    <col customWidth="1" min="5" max="6" width="12.63"/>
  </cols>
  <sheetData>
    <row r="1" ht="15.75" customHeight="1">
      <c r="A1" s="32" t="s">
        <v>94</v>
      </c>
      <c r="B1" s="32" t="s">
        <v>4010</v>
      </c>
      <c r="C1" s="32" t="s">
        <v>3989</v>
      </c>
      <c r="D1" s="32" t="s">
        <v>3996</v>
      </c>
      <c r="E1" s="32" t="s">
        <v>3992</v>
      </c>
      <c r="F1" s="32" t="s">
        <v>4003</v>
      </c>
      <c r="G1" s="32" t="s">
        <v>3974</v>
      </c>
      <c r="H1" s="32" t="s">
        <v>3985</v>
      </c>
      <c r="I1" s="32" t="s">
        <v>4006</v>
      </c>
      <c r="J1" s="32" t="s">
        <v>4005</v>
      </c>
      <c r="K1" s="32" t="s">
        <v>3987</v>
      </c>
      <c r="L1" s="32" t="s">
        <v>3997</v>
      </c>
      <c r="M1" s="32" t="s">
        <v>3994</v>
      </c>
      <c r="N1" s="32" t="s">
        <v>3988</v>
      </c>
      <c r="O1" s="32" t="s">
        <v>4009</v>
      </c>
      <c r="P1" s="32" t="s">
        <v>3969</v>
      </c>
      <c r="Q1" s="32" t="s">
        <v>3970</v>
      </c>
      <c r="R1" s="32" t="s">
        <v>3976</v>
      </c>
      <c r="S1" s="32" t="s">
        <v>4001</v>
      </c>
      <c r="T1" s="32" t="s">
        <v>3999</v>
      </c>
      <c r="U1" s="32" t="s">
        <v>3972</v>
      </c>
      <c r="V1" s="32" t="s">
        <v>3979</v>
      </c>
      <c r="W1" s="32" t="s">
        <v>3981</v>
      </c>
      <c r="X1" s="32" t="s">
        <v>3980</v>
      </c>
      <c r="Y1" s="32" t="s">
        <v>3983</v>
      </c>
      <c r="Z1" s="32" t="s">
        <v>3990</v>
      </c>
    </row>
    <row r="2" ht="15.75" customHeight="1">
      <c r="A2" s="32">
        <v>1.0</v>
      </c>
      <c r="B2" s="34">
        <f t="array" ref="B2">SUMPRODUCT(Com_Cdiv_State_NG_RowSums!$B2:$AZ2,transpose(State_EMM_RowSums!C$2:C$52))</f>
        <v>0</v>
      </c>
      <c r="C2" s="34">
        <f t="array" ref="C2">SUMPRODUCT(Com_Cdiv_State_NG_RowSums!$B2:$AZ2,transpose(State_EMM_RowSums!D$2:D$52))</f>
        <v>0</v>
      </c>
      <c r="D2" s="34">
        <f t="array" ref="D2">SUMPRODUCT(Com_Cdiv_State_NG_RowSums!$B2:$AZ2,transpose(State_EMM_RowSums!E$2:E$52))</f>
        <v>0</v>
      </c>
      <c r="E2" s="34">
        <f t="array" ref="E2">SUMPRODUCT(Com_Cdiv_State_NG_RowSums!$B2:$AZ2,transpose(State_EMM_RowSums!F$2:F$52))</f>
        <v>0</v>
      </c>
      <c r="F2" s="34">
        <f t="array" ref="F2">SUMPRODUCT(Com_Cdiv_State_NG_RowSums!$B2:$AZ2,transpose(State_EMM_RowSums!G$2:G$52))</f>
        <v>0</v>
      </c>
      <c r="G2" s="34">
        <f t="array" ref="G2">SUMPRODUCT(Com_Cdiv_State_NG_RowSums!$B2:$AZ2,transpose(State_EMM_RowSums!H$2:H$52))</f>
        <v>0</v>
      </c>
      <c r="H2" s="34">
        <f t="array" ref="H2">SUMPRODUCT(Com_Cdiv_State_NG_RowSums!$B2:$AZ2,transpose(State_EMM_RowSums!I$2:I$52))</f>
        <v>1</v>
      </c>
      <c r="I2" s="34">
        <f t="array" ref="I2">SUMPRODUCT(Com_Cdiv_State_NG_RowSums!$B2:$AZ2,transpose(State_EMM_RowSums!J$2:J$52))</f>
        <v>0</v>
      </c>
      <c r="J2" s="34">
        <f t="array" ref="J2">SUMPRODUCT(Com_Cdiv_State_NG_RowSums!$B2:$AZ2,transpose(State_EMM_RowSums!K$2:K$52))</f>
        <v>0</v>
      </c>
      <c r="K2" s="34">
        <f t="array" ref="K2">SUMPRODUCT(Com_Cdiv_State_NG_RowSums!$B2:$AZ2,transpose(State_EMM_RowSums!L$2:L$52))</f>
        <v>0</v>
      </c>
      <c r="L2" s="34">
        <f t="array" ref="L2">SUMPRODUCT(Com_Cdiv_State_NG_RowSums!$B2:$AZ2,transpose(State_EMM_RowSums!M$2:M$52))</f>
        <v>0</v>
      </c>
      <c r="M2" s="34">
        <f t="array" ref="M2">SUMPRODUCT(Com_Cdiv_State_NG_RowSums!$B2:$AZ2,transpose(State_EMM_RowSums!N$2:N$52))</f>
        <v>0</v>
      </c>
      <c r="N2" s="34">
        <f t="array" ref="N2">SUMPRODUCT(Com_Cdiv_State_NG_RowSums!$B2:$AZ2,transpose(State_EMM_RowSums!O$2:O$52))</f>
        <v>0</v>
      </c>
      <c r="O2" s="34">
        <f t="array" ref="O2">SUMPRODUCT(Com_Cdiv_State_NG_RowSums!$B2:$AZ2,transpose(State_EMM_RowSums!P$2:P$52))</f>
        <v>0</v>
      </c>
      <c r="P2" s="34">
        <f t="array" ref="P2">SUMPRODUCT(Com_Cdiv_State_NG_RowSums!$B2:$AZ2,transpose(State_EMM_RowSums!Q$2:Q$52))</f>
        <v>0</v>
      </c>
      <c r="Q2" s="34">
        <f t="array" ref="Q2">SUMPRODUCT(Com_Cdiv_State_NG_RowSums!$B2:$AZ2,transpose(State_EMM_RowSums!R$2:R$52))</f>
        <v>0</v>
      </c>
      <c r="R2" s="34">
        <f t="array" ref="R2">SUMPRODUCT(Com_Cdiv_State_NG_RowSums!$B2:$AZ2,transpose(State_EMM_RowSums!S$2:S$52))</f>
        <v>0</v>
      </c>
      <c r="S2" s="34">
        <f t="array" ref="S2">SUMPRODUCT(Com_Cdiv_State_NG_RowSums!$B2:$AZ2,transpose(State_EMM_RowSums!T$2:T$52))</f>
        <v>0</v>
      </c>
      <c r="T2" s="34">
        <f t="array" ref="T2">SUMPRODUCT(Com_Cdiv_State_NG_RowSums!$B2:$AZ2,transpose(State_EMM_RowSums!U$2:U$52))</f>
        <v>0</v>
      </c>
      <c r="U2" s="34">
        <f t="array" ref="U2">SUMPRODUCT(Com_Cdiv_State_NG_RowSums!$B2:$AZ2,transpose(State_EMM_RowSums!V$2:V$52))</f>
        <v>0</v>
      </c>
      <c r="V2" s="34">
        <f t="array" ref="V2">SUMPRODUCT(Com_Cdiv_State_NG_RowSums!$B2:$AZ2,transpose(State_EMM_RowSums!W$2:W$52))</f>
        <v>0</v>
      </c>
      <c r="W2" s="34">
        <f t="array" ref="W2">SUMPRODUCT(Com_Cdiv_State_NG_RowSums!$B2:$AZ2,transpose(State_EMM_RowSums!X$2:X$52))</f>
        <v>0</v>
      </c>
      <c r="X2" s="34">
        <f t="array" ref="X2">SUMPRODUCT(Com_Cdiv_State_NG_RowSums!$B2:$AZ2,transpose(State_EMM_RowSums!Y$2:Y$52))</f>
        <v>0</v>
      </c>
      <c r="Y2" s="34">
        <f t="array" ref="Y2">SUMPRODUCT(Com_Cdiv_State_NG_RowSums!$B2:$AZ2,transpose(State_EMM_RowSums!Z$2:Z$52))</f>
        <v>0</v>
      </c>
      <c r="Z2" s="34">
        <f t="array" ref="Z2">SUMPRODUCT(Com_Cdiv_State_NG_RowSums!$B2:$AZ2,transpose(State_EMM_RowSums!AA$2:AA$52))</f>
        <v>0</v>
      </c>
    </row>
    <row r="3" ht="15.75" customHeight="1">
      <c r="A3" s="32">
        <v>2.0</v>
      </c>
      <c r="B3" s="34">
        <f t="array" ref="B3">SUMPRODUCT(Com_Cdiv_State_NG_RowSums!$B3:$AZ3,transpose(State_EMM_RowSums!C$2:C$52))</f>
        <v>0</v>
      </c>
      <c r="C3" s="34">
        <f t="array" ref="C3">SUMPRODUCT(Com_Cdiv_State_NG_RowSums!$B3:$AZ3,transpose(State_EMM_RowSums!D$2:D$52))</f>
        <v>0</v>
      </c>
      <c r="D3" s="34">
        <f t="array" ref="D3">SUMPRODUCT(Com_Cdiv_State_NG_RowSums!$B3:$AZ3,transpose(State_EMM_RowSums!E$2:E$52))</f>
        <v>0</v>
      </c>
      <c r="E3" s="34">
        <f t="array" ref="E3">SUMPRODUCT(Com_Cdiv_State_NG_RowSums!$B3:$AZ3,transpose(State_EMM_RowSums!F$2:F$52))</f>
        <v>0</v>
      </c>
      <c r="F3" s="34">
        <f t="array" ref="F3">SUMPRODUCT(Com_Cdiv_State_NG_RowSums!$B3:$AZ3,transpose(State_EMM_RowSums!G$2:G$52))</f>
        <v>0</v>
      </c>
      <c r="G3" s="34">
        <f t="array" ref="G3">SUMPRODUCT(Com_Cdiv_State_NG_RowSums!$B3:$AZ3,transpose(State_EMM_RowSums!H$2:H$52))</f>
        <v>0</v>
      </c>
      <c r="H3" s="34">
        <f t="array" ref="H3">SUMPRODUCT(Com_Cdiv_State_NG_RowSums!$B3:$AZ3,transpose(State_EMM_RowSums!I$2:I$52))</f>
        <v>0</v>
      </c>
      <c r="I3" s="34">
        <f t="array" ref="I3">SUMPRODUCT(Com_Cdiv_State_NG_RowSums!$B3:$AZ3,transpose(State_EMM_RowSums!J$2:J$52))</f>
        <v>0.2889351444</v>
      </c>
      <c r="J3" s="34">
        <f t="array" ref="J3">SUMPRODUCT(Com_Cdiv_State_NG_RowSums!$B3:$AZ3,transpose(State_EMM_RowSums!K$2:K$52))</f>
        <v>0.1837572818</v>
      </c>
      <c r="K3" s="34">
        <f t="array" ref="K3">SUMPRODUCT(Com_Cdiv_State_NG_RowSums!$B3:$AZ3,transpose(State_EMM_RowSums!L$2:L$52))</f>
        <v>0.4697659974</v>
      </c>
      <c r="L3" s="34">
        <f t="array" ref="L3">SUMPRODUCT(Com_Cdiv_State_NG_RowSums!$B3:$AZ3,transpose(State_EMM_RowSums!M$2:M$52))</f>
        <v>0.05754157632</v>
      </c>
      <c r="M3" s="34">
        <f t="array" ref="M3">SUMPRODUCT(Com_Cdiv_State_NG_RowSums!$B3:$AZ3,transpose(State_EMM_RowSums!N$2:N$52))</f>
        <v>0</v>
      </c>
      <c r="N3" s="34">
        <f t="array" ref="N3">SUMPRODUCT(Com_Cdiv_State_NG_RowSums!$B3:$AZ3,transpose(State_EMM_RowSums!O$2:O$52))</f>
        <v>0</v>
      </c>
      <c r="O3" s="34">
        <f t="array" ref="O3">SUMPRODUCT(Com_Cdiv_State_NG_RowSums!$B3:$AZ3,transpose(State_EMM_RowSums!P$2:P$52))</f>
        <v>0</v>
      </c>
      <c r="P3" s="34">
        <f t="array" ref="P3">SUMPRODUCT(Com_Cdiv_State_NG_RowSums!$B3:$AZ3,transpose(State_EMM_RowSums!Q$2:Q$52))</f>
        <v>0</v>
      </c>
      <c r="Q3" s="34">
        <f t="array" ref="Q3">SUMPRODUCT(Com_Cdiv_State_NG_RowSums!$B3:$AZ3,transpose(State_EMM_RowSums!R$2:R$52))</f>
        <v>0</v>
      </c>
      <c r="R3" s="34">
        <f t="array" ref="R3">SUMPRODUCT(Com_Cdiv_State_NG_RowSums!$B3:$AZ3,transpose(State_EMM_RowSums!S$2:S$52))</f>
        <v>0</v>
      </c>
      <c r="S3" s="34">
        <f t="array" ref="S3">SUMPRODUCT(Com_Cdiv_State_NG_RowSums!$B3:$AZ3,transpose(State_EMM_RowSums!T$2:T$52))</f>
        <v>0</v>
      </c>
      <c r="T3" s="34">
        <f t="array" ref="T3">SUMPRODUCT(Com_Cdiv_State_NG_RowSums!$B3:$AZ3,transpose(State_EMM_RowSums!U$2:U$52))</f>
        <v>0</v>
      </c>
      <c r="U3" s="34">
        <f t="array" ref="U3">SUMPRODUCT(Com_Cdiv_State_NG_RowSums!$B3:$AZ3,transpose(State_EMM_RowSums!V$2:V$52))</f>
        <v>0</v>
      </c>
      <c r="V3" s="34">
        <f t="array" ref="V3">SUMPRODUCT(Com_Cdiv_State_NG_RowSums!$B3:$AZ3,transpose(State_EMM_RowSums!W$2:W$52))</f>
        <v>0</v>
      </c>
      <c r="W3" s="34">
        <f t="array" ref="W3">SUMPRODUCT(Com_Cdiv_State_NG_RowSums!$B3:$AZ3,transpose(State_EMM_RowSums!X$2:X$52))</f>
        <v>0</v>
      </c>
      <c r="X3" s="34">
        <f t="array" ref="X3">SUMPRODUCT(Com_Cdiv_State_NG_RowSums!$B3:$AZ3,transpose(State_EMM_RowSums!Y$2:Y$52))</f>
        <v>0</v>
      </c>
      <c r="Y3" s="34">
        <f t="array" ref="Y3">SUMPRODUCT(Com_Cdiv_State_NG_RowSums!$B3:$AZ3,transpose(State_EMM_RowSums!Z$2:Z$52))</f>
        <v>0</v>
      </c>
      <c r="Z3" s="34">
        <f t="array" ref="Z3">SUMPRODUCT(Com_Cdiv_State_NG_RowSums!$B3:$AZ3,transpose(State_EMM_RowSums!AA$2:AA$52))</f>
        <v>0</v>
      </c>
    </row>
    <row r="4" ht="15.75" customHeight="1">
      <c r="A4" s="32">
        <v>3.0</v>
      </c>
      <c r="B4" s="34">
        <f t="array" ref="B4">SUMPRODUCT(Com_Cdiv_State_NG_RowSums!$B4:$AZ4,transpose(State_EMM_RowSums!C$2:C$52))</f>
        <v>0</v>
      </c>
      <c r="C4" s="34">
        <f t="array" ref="C4">SUMPRODUCT(Com_Cdiv_State_NG_RowSums!$B4:$AZ4,transpose(State_EMM_RowSums!D$2:D$52))</f>
        <v>0</v>
      </c>
      <c r="D4" s="34">
        <f t="array" ref="D4">SUMPRODUCT(Com_Cdiv_State_NG_RowSums!$B4:$AZ4,transpose(State_EMM_RowSums!E$2:E$52))</f>
        <v>0.1491841261</v>
      </c>
      <c r="E4" s="34">
        <f t="array" ref="E4">SUMPRODUCT(Com_Cdiv_State_NG_RowSums!$B4:$AZ4,transpose(State_EMM_RowSums!F$2:F$52))</f>
        <v>0.1614970361</v>
      </c>
      <c r="F4" s="34">
        <f t="array" ref="F4">SUMPRODUCT(Com_Cdiv_State_NG_RowSums!$B4:$AZ4,transpose(State_EMM_RowSums!G$2:G$52))</f>
        <v>0.1974190783</v>
      </c>
      <c r="G4" s="34">
        <f t="array" ref="G4">SUMPRODUCT(Com_Cdiv_State_NG_RowSums!$B4:$AZ4,transpose(State_EMM_RowSums!H$2:H$52))</f>
        <v>0</v>
      </c>
      <c r="H4" s="34">
        <f t="array" ref="H4">SUMPRODUCT(Com_Cdiv_State_NG_RowSums!$B4:$AZ4,transpose(State_EMM_RowSums!I$2:I$52))</f>
        <v>0</v>
      </c>
      <c r="I4" s="34">
        <f t="array" ref="I4">SUMPRODUCT(Com_Cdiv_State_NG_RowSums!$B4:$AZ4,transpose(State_EMM_RowSums!J$2:J$52))</f>
        <v>0</v>
      </c>
      <c r="J4" s="34">
        <f t="array" ref="J4">SUMPRODUCT(Com_Cdiv_State_NG_RowSums!$B4:$AZ4,transpose(State_EMM_RowSums!K$2:K$52))</f>
        <v>0</v>
      </c>
      <c r="K4" s="34">
        <f t="array" ref="K4">SUMPRODUCT(Com_Cdiv_State_NG_RowSums!$B4:$AZ4,transpose(State_EMM_RowSums!L$2:L$52))</f>
        <v>0</v>
      </c>
      <c r="L4" s="34">
        <f t="array" ref="L4">SUMPRODUCT(Com_Cdiv_State_NG_RowSums!$B4:$AZ4,transpose(State_EMM_RowSums!M$2:M$52))</f>
        <v>0.2825827712</v>
      </c>
      <c r="M4" s="34">
        <f t="array" ref="M4">SUMPRODUCT(Com_Cdiv_State_NG_RowSums!$B4:$AZ4,transpose(State_EMM_RowSums!N$2:N$52))</f>
        <v>0.2093169882</v>
      </c>
      <c r="N4" s="34">
        <f t="array" ref="N4">SUMPRODUCT(Com_Cdiv_State_NG_RowSums!$B4:$AZ4,transpose(State_EMM_RowSums!O$2:O$52))</f>
        <v>0</v>
      </c>
      <c r="O4" s="34">
        <f t="array" ref="O4">SUMPRODUCT(Com_Cdiv_State_NG_RowSums!$B4:$AZ4,transpose(State_EMM_RowSums!P$2:P$52))</f>
        <v>0</v>
      </c>
      <c r="P4" s="34">
        <f t="array" ref="P4">SUMPRODUCT(Com_Cdiv_State_NG_RowSums!$B4:$AZ4,transpose(State_EMM_RowSums!Q$2:Q$52))</f>
        <v>0</v>
      </c>
      <c r="Q4" s="34">
        <f t="array" ref="Q4">SUMPRODUCT(Com_Cdiv_State_NG_RowSums!$B4:$AZ4,transpose(State_EMM_RowSums!R$2:R$52))</f>
        <v>0</v>
      </c>
      <c r="R4" s="34">
        <f t="array" ref="R4">SUMPRODUCT(Com_Cdiv_State_NG_RowSums!$B4:$AZ4,transpose(State_EMM_RowSums!S$2:S$52))</f>
        <v>0</v>
      </c>
      <c r="S4" s="34">
        <f t="array" ref="S4">SUMPRODUCT(Com_Cdiv_State_NG_RowSums!$B4:$AZ4,transpose(State_EMM_RowSums!T$2:T$52))</f>
        <v>0</v>
      </c>
      <c r="T4" s="34">
        <f t="array" ref="T4">SUMPRODUCT(Com_Cdiv_State_NG_RowSums!$B4:$AZ4,transpose(State_EMM_RowSums!U$2:U$52))</f>
        <v>0</v>
      </c>
      <c r="U4" s="34">
        <f t="array" ref="U4">SUMPRODUCT(Com_Cdiv_State_NG_RowSums!$B4:$AZ4,transpose(State_EMM_RowSums!V$2:V$52))</f>
        <v>0</v>
      </c>
      <c r="V4" s="34">
        <f t="array" ref="V4">SUMPRODUCT(Com_Cdiv_State_NG_RowSums!$B4:$AZ4,transpose(State_EMM_RowSums!W$2:W$52))</f>
        <v>0</v>
      </c>
      <c r="W4" s="34">
        <f t="array" ref="W4">SUMPRODUCT(Com_Cdiv_State_NG_RowSums!$B4:$AZ4,transpose(State_EMM_RowSums!X$2:X$52))</f>
        <v>0</v>
      </c>
      <c r="X4" s="34">
        <f t="array" ref="X4">SUMPRODUCT(Com_Cdiv_State_NG_RowSums!$B4:$AZ4,transpose(State_EMM_RowSums!Y$2:Y$52))</f>
        <v>0</v>
      </c>
      <c r="Y4" s="34">
        <f t="array" ref="Y4">SUMPRODUCT(Com_Cdiv_State_NG_RowSums!$B4:$AZ4,transpose(State_EMM_RowSums!Z$2:Z$52))</f>
        <v>0</v>
      </c>
      <c r="Z4" s="34">
        <f t="array" ref="Z4">SUMPRODUCT(Com_Cdiv_State_NG_RowSums!$B4:$AZ4,transpose(State_EMM_RowSums!AA$2:AA$52))</f>
        <v>0</v>
      </c>
    </row>
    <row r="5" ht="15.75" customHeight="1">
      <c r="A5" s="32">
        <v>4.0</v>
      </c>
      <c r="B5" s="34">
        <f t="array" ref="B5">SUMPRODUCT(Com_Cdiv_State_NG_RowSums!$B5:$AZ5,transpose(State_EMM_RowSums!C$2:C$52))</f>
        <v>0</v>
      </c>
      <c r="C5" s="34">
        <f t="array" ref="C5">SUMPRODUCT(Com_Cdiv_State_NG_RowSums!$B5:$AZ5,transpose(State_EMM_RowSums!D$2:D$52))</f>
        <v>0</v>
      </c>
      <c r="D5" s="34">
        <f t="array" ref="D5">SUMPRODUCT(Com_Cdiv_State_NG_RowSums!$B5:$AZ5,transpose(State_EMM_RowSums!E$2:E$52))</f>
        <v>0.4680595872</v>
      </c>
      <c r="E5" s="34">
        <f t="array" ref="E5">SUMPRODUCT(Com_Cdiv_State_NG_RowSums!$B5:$AZ5,transpose(State_EMM_RowSums!F$2:F$52))</f>
        <v>0.105050067</v>
      </c>
      <c r="F5" s="34">
        <f t="array" ref="F5">SUMPRODUCT(Com_Cdiv_State_NG_RowSums!$B5:$AZ5,transpose(State_EMM_RowSums!G$2:G$52))</f>
        <v>0</v>
      </c>
      <c r="G5" s="34">
        <f t="array" ref="G5">SUMPRODUCT(Com_Cdiv_State_NG_RowSums!$B5:$AZ5,transpose(State_EMM_RowSums!H$2:H$52))</f>
        <v>0</v>
      </c>
      <c r="H5" s="34">
        <f t="array" ref="H5">SUMPRODUCT(Com_Cdiv_State_NG_RowSums!$B5:$AZ5,transpose(State_EMM_RowSums!I$2:I$52))</f>
        <v>0</v>
      </c>
      <c r="I5" s="34">
        <f t="array" ref="I5">SUMPRODUCT(Com_Cdiv_State_NG_RowSums!$B5:$AZ5,transpose(State_EMM_RowSums!J$2:J$52))</f>
        <v>0</v>
      </c>
      <c r="J5" s="34">
        <f t="array" ref="J5">SUMPRODUCT(Com_Cdiv_State_NG_RowSums!$B5:$AZ5,transpose(State_EMM_RowSums!K$2:K$52))</f>
        <v>0</v>
      </c>
      <c r="K5" s="34">
        <f t="array" ref="K5">SUMPRODUCT(Com_Cdiv_State_NG_RowSums!$B5:$AZ5,transpose(State_EMM_RowSums!L$2:L$52))</f>
        <v>0</v>
      </c>
      <c r="L5" s="34">
        <f t="array" ref="L5">SUMPRODUCT(Com_Cdiv_State_NG_RowSums!$B5:$AZ5,transpose(State_EMM_RowSums!M$2:M$52))</f>
        <v>0</v>
      </c>
      <c r="M5" s="34">
        <f t="array" ref="M5">SUMPRODUCT(Com_Cdiv_State_NG_RowSums!$B5:$AZ5,transpose(State_EMM_RowSums!N$2:N$52))</f>
        <v>0</v>
      </c>
      <c r="N5" s="34">
        <f t="array" ref="N5">SUMPRODUCT(Com_Cdiv_State_NG_RowSums!$B5:$AZ5,transpose(State_EMM_RowSums!O$2:O$52))</f>
        <v>0</v>
      </c>
      <c r="O5" s="34">
        <f t="array" ref="O5">SUMPRODUCT(Com_Cdiv_State_NG_RowSums!$B5:$AZ5,transpose(State_EMM_RowSums!P$2:P$52))</f>
        <v>0</v>
      </c>
      <c r="P5" s="34">
        <f t="array" ref="P5">SUMPRODUCT(Com_Cdiv_State_NG_RowSums!$B5:$AZ5,transpose(State_EMM_RowSums!Q$2:Q$52))</f>
        <v>0</v>
      </c>
      <c r="Q5" s="34">
        <f t="array" ref="Q5">SUMPRODUCT(Com_Cdiv_State_NG_RowSums!$B5:$AZ5,transpose(State_EMM_RowSums!R$2:R$52))</f>
        <v>0</v>
      </c>
      <c r="R5" s="34">
        <f t="array" ref="R5">SUMPRODUCT(Com_Cdiv_State_NG_RowSums!$B5:$AZ5,transpose(State_EMM_RowSums!S$2:S$52))</f>
        <v>0</v>
      </c>
      <c r="S5" s="34">
        <f t="array" ref="S5">SUMPRODUCT(Com_Cdiv_State_NG_RowSums!$B5:$AZ5,transpose(State_EMM_RowSums!T$2:T$52))</f>
        <v>0.2060790963</v>
      </c>
      <c r="T5" s="34">
        <f t="array" ref="T5">SUMPRODUCT(Com_Cdiv_State_NG_RowSums!$B5:$AZ5,transpose(State_EMM_RowSums!U$2:U$52))</f>
        <v>0.2174136968</v>
      </c>
      <c r="U5" s="34">
        <f t="array" ref="U5">SUMPRODUCT(Com_Cdiv_State_NG_RowSums!$B5:$AZ5,transpose(State_EMM_RowSums!V$2:V$52))</f>
        <v>0</v>
      </c>
      <c r="V5" s="34">
        <f t="array" ref="V5">SUMPRODUCT(Com_Cdiv_State_NG_RowSums!$B5:$AZ5,transpose(State_EMM_RowSums!W$2:W$52))</f>
        <v>0</v>
      </c>
      <c r="W5" s="34">
        <f t="array" ref="W5">SUMPRODUCT(Com_Cdiv_State_NG_RowSums!$B5:$AZ5,transpose(State_EMM_RowSums!X$2:X$52))</f>
        <v>0</v>
      </c>
      <c r="X5" s="34">
        <f t="array" ref="X5">SUMPRODUCT(Com_Cdiv_State_NG_RowSums!$B5:$AZ5,transpose(State_EMM_RowSums!Y$2:Y$52))</f>
        <v>0</v>
      </c>
      <c r="Y5" s="34">
        <f t="array" ref="Y5">SUMPRODUCT(Com_Cdiv_State_NG_RowSums!$B5:$AZ5,transpose(State_EMM_RowSums!Z$2:Z$52))</f>
        <v>0.003397552671</v>
      </c>
      <c r="Z5" s="34">
        <f t="array" ref="Z5">SUMPRODUCT(Com_Cdiv_State_NG_RowSums!$B5:$AZ5,transpose(State_EMM_RowSums!AA$2:AA$52))</f>
        <v>0</v>
      </c>
    </row>
    <row r="6" ht="15.75" customHeight="1">
      <c r="A6" s="32">
        <v>5.0</v>
      </c>
      <c r="B6" s="34">
        <f t="array" ref="B6">SUMPRODUCT(Com_Cdiv_State_NG_RowSums!$B6:$AZ6,transpose(State_EMM_RowSums!C$2:C$52))</f>
        <v>0</v>
      </c>
      <c r="C6" s="34">
        <f t="array" ref="C6">SUMPRODUCT(Com_Cdiv_State_NG_RowSums!$B6:$AZ6,transpose(State_EMM_RowSums!D$2:D$52))</f>
        <v>0.1473223042</v>
      </c>
      <c r="D6" s="34">
        <f t="array" ref="D6">SUMPRODUCT(Com_Cdiv_State_NG_RowSums!$B6:$AZ6,transpose(State_EMM_RowSums!E$2:E$52))</f>
        <v>0</v>
      </c>
      <c r="E6" s="34">
        <f t="array" ref="E6">SUMPRODUCT(Com_Cdiv_State_NG_RowSums!$B6:$AZ6,transpose(State_EMM_RowSums!F$2:F$52))</f>
        <v>0</v>
      </c>
      <c r="F6" s="34">
        <f t="array" ref="F6">SUMPRODUCT(Com_Cdiv_State_NG_RowSums!$B6:$AZ6,transpose(State_EMM_RowSums!G$2:G$52))</f>
        <v>0</v>
      </c>
      <c r="G6" s="34">
        <f t="array" ref="G6">SUMPRODUCT(Com_Cdiv_State_NG_RowSums!$B6:$AZ6,transpose(State_EMM_RowSums!H$2:H$52))</f>
        <v>0</v>
      </c>
      <c r="H6" s="34">
        <f t="array" ref="H6">SUMPRODUCT(Com_Cdiv_State_NG_RowSums!$B6:$AZ6,transpose(State_EMM_RowSums!I$2:I$52))</f>
        <v>0</v>
      </c>
      <c r="I6" s="34">
        <f t="array" ref="I6">SUMPRODUCT(Com_Cdiv_State_NG_RowSums!$B6:$AZ6,transpose(State_EMM_RowSums!J$2:J$52))</f>
        <v>0</v>
      </c>
      <c r="J6" s="34">
        <f t="array" ref="J6">SUMPRODUCT(Com_Cdiv_State_NG_RowSums!$B6:$AZ6,transpose(State_EMM_RowSums!K$2:K$52))</f>
        <v>0</v>
      </c>
      <c r="K6" s="34">
        <f t="array" ref="K6">SUMPRODUCT(Com_Cdiv_State_NG_RowSums!$B6:$AZ6,transpose(State_EMM_RowSums!L$2:L$52))</f>
        <v>0.1642719891</v>
      </c>
      <c r="L6" s="34">
        <f t="array" ref="L6">SUMPRODUCT(Com_Cdiv_State_NG_RowSums!$B6:$AZ6,transpose(State_EMM_RowSums!M$2:M$52))</f>
        <v>0.1381963177</v>
      </c>
      <c r="M6" s="34">
        <f t="array" ref="M6">SUMPRODUCT(Com_Cdiv_State_NG_RowSums!$B6:$AZ6,transpose(State_EMM_RowSums!N$2:N$52))</f>
        <v>0</v>
      </c>
      <c r="N6" s="34">
        <f t="array" ref="N6">SUMPRODUCT(Com_Cdiv_State_NG_RowSums!$B6:$AZ6,transpose(State_EMM_RowSums!O$2:O$52))</f>
        <v>0.205095</v>
      </c>
      <c r="O6" s="34">
        <f t="array" ref="O6">SUMPRODUCT(Com_Cdiv_State_NG_RowSums!$B6:$AZ6,transpose(State_EMM_RowSums!P$2:P$52))</f>
        <v>0.1988087759</v>
      </c>
      <c r="P6" s="34">
        <f t="array" ref="P6">SUMPRODUCT(Com_Cdiv_State_NG_RowSums!$B6:$AZ6,transpose(State_EMM_RowSums!Q$2:Q$52))</f>
        <v>0.1434787098</v>
      </c>
      <c r="Q6" s="34">
        <f t="array" ref="Q6">SUMPRODUCT(Com_Cdiv_State_NG_RowSums!$B6:$AZ6,transpose(State_EMM_RowSums!R$2:R$52))</f>
        <v>0.002826903285</v>
      </c>
      <c r="R6" s="34">
        <f t="array" ref="R6">SUMPRODUCT(Com_Cdiv_State_NG_RowSums!$B6:$AZ6,transpose(State_EMM_RowSums!S$2:S$52))</f>
        <v>0</v>
      </c>
      <c r="S6" s="34">
        <f t="array" ref="S6">SUMPRODUCT(Com_Cdiv_State_NG_RowSums!$B6:$AZ6,transpose(State_EMM_RowSums!T$2:T$52))</f>
        <v>0</v>
      </c>
      <c r="T6" s="34">
        <f t="array" ref="T6">SUMPRODUCT(Com_Cdiv_State_NG_RowSums!$B6:$AZ6,transpose(State_EMM_RowSums!U$2:U$52))</f>
        <v>0</v>
      </c>
      <c r="U6" s="34">
        <f t="array" ref="U6">SUMPRODUCT(Com_Cdiv_State_NG_RowSums!$B6:$AZ6,transpose(State_EMM_RowSums!V$2:V$52))</f>
        <v>0</v>
      </c>
      <c r="V6" s="34">
        <f t="array" ref="V6">SUMPRODUCT(Com_Cdiv_State_NG_RowSums!$B6:$AZ6,transpose(State_EMM_RowSums!W$2:W$52))</f>
        <v>0</v>
      </c>
      <c r="W6" s="34">
        <f t="array" ref="W6">SUMPRODUCT(Com_Cdiv_State_NG_RowSums!$B6:$AZ6,transpose(State_EMM_RowSums!X$2:X$52))</f>
        <v>0</v>
      </c>
      <c r="X6" s="34">
        <f t="array" ref="X6">SUMPRODUCT(Com_Cdiv_State_NG_RowSums!$B6:$AZ6,transpose(State_EMM_RowSums!Y$2:Y$52))</f>
        <v>0</v>
      </c>
      <c r="Y6" s="34">
        <f t="array" ref="Y6">SUMPRODUCT(Com_Cdiv_State_NG_RowSums!$B6:$AZ6,transpose(State_EMM_RowSums!Z$2:Z$52))</f>
        <v>0</v>
      </c>
      <c r="Z6" s="34">
        <f t="array" ref="Z6">SUMPRODUCT(Com_Cdiv_State_NG_RowSums!$B6:$AZ6,transpose(State_EMM_RowSums!AA$2:AA$52))</f>
        <v>0</v>
      </c>
    </row>
    <row r="7" ht="15.75" customHeight="1">
      <c r="A7" s="32">
        <v>6.0</v>
      </c>
      <c r="B7" s="34">
        <f t="array" ref="B7">SUMPRODUCT(Com_Cdiv_State_NG_RowSums!$B7:$AZ7,transpose(State_EMM_RowSums!C$2:C$52))</f>
        <v>0</v>
      </c>
      <c r="C7" s="34">
        <f t="array" ref="C7">SUMPRODUCT(Com_Cdiv_State_NG_RowSums!$B7:$AZ7,transpose(State_EMM_RowSums!D$2:D$52))</f>
        <v>0</v>
      </c>
      <c r="D7" s="34">
        <f t="array" ref="D7">SUMPRODUCT(Com_Cdiv_State_NG_RowSums!$B7:$AZ7,transpose(State_EMM_RowSums!E$2:E$52))</f>
        <v>0</v>
      </c>
      <c r="E7" s="34">
        <f t="array" ref="E7">SUMPRODUCT(Com_Cdiv_State_NG_RowSums!$B7:$AZ7,transpose(State_EMM_RowSums!F$2:F$52))</f>
        <v>0</v>
      </c>
      <c r="F7" s="34">
        <f t="array" ref="F7">SUMPRODUCT(Com_Cdiv_State_NG_RowSums!$B7:$AZ7,transpose(State_EMM_RowSums!G$2:G$52))</f>
        <v>0</v>
      </c>
      <c r="G7" s="34">
        <f t="array" ref="G7">SUMPRODUCT(Com_Cdiv_State_NG_RowSums!$B7:$AZ7,transpose(State_EMM_RowSums!H$2:H$52))</f>
        <v>0.06739243705</v>
      </c>
      <c r="H7" s="34">
        <f t="array" ref="H7">SUMPRODUCT(Com_Cdiv_State_NG_RowSums!$B7:$AZ7,transpose(State_EMM_RowSums!I$2:I$52))</f>
        <v>0</v>
      </c>
      <c r="I7" s="34">
        <f t="array" ref="I7">SUMPRODUCT(Com_Cdiv_State_NG_RowSums!$B7:$AZ7,transpose(State_EMM_RowSums!J$2:J$52))</f>
        <v>0</v>
      </c>
      <c r="J7" s="34">
        <f t="array" ref="J7">SUMPRODUCT(Com_Cdiv_State_NG_RowSums!$B7:$AZ7,transpose(State_EMM_RowSums!K$2:K$52))</f>
        <v>0</v>
      </c>
      <c r="K7" s="34">
        <f t="array" ref="K7">SUMPRODUCT(Com_Cdiv_State_NG_RowSums!$B7:$AZ7,transpose(State_EMM_RowSums!L$2:L$52))</f>
        <v>0</v>
      </c>
      <c r="L7" s="34">
        <f t="array" ref="L7">SUMPRODUCT(Com_Cdiv_State_NG_RowSums!$B7:$AZ7,transpose(State_EMM_RowSums!M$2:M$52))</f>
        <v>0.02562231733</v>
      </c>
      <c r="M7" s="34">
        <f t="array" ref="M7">SUMPRODUCT(Com_Cdiv_State_NG_RowSums!$B7:$AZ7,transpose(State_EMM_RowSums!N$2:N$52))</f>
        <v>0</v>
      </c>
      <c r="N7" s="34">
        <f t="array" ref="N7">SUMPRODUCT(Com_Cdiv_State_NG_RowSums!$B7:$AZ7,transpose(State_EMM_RowSums!O$2:O$52))</f>
        <v>0</v>
      </c>
      <c r="O7" s="34">
        <f t="array" ref="O7">SUMPRODUCT(Com_Cdiv_State_NG_RowSums!$B7:$AZ7,transpose(State_EMM_RowSums!P$2:P$52))</f>
        <v>0</v>
      </c>
      <c r="P7" s="34">
        <f t="array" ref="P7">SUMPRODUCT(Com_Cdiv_State_NG_RowSums!$B7:$AZ7,transpose(State_EMM_RowSums!Q$2:Q$52))</f>
        <v>0.1902536447</v>
      </c>
      <c r="Q7" s="34">
        <f t="array" ref="Q7">SUMPRODUCT(Com_Cdiv_State_NG_RowSums!$B7:$AZ7,transpose(State_EMM_RowSums!R$2:R$52))</f>
        <v>0.716731601</v>
      </c>
      <c r="R7" s="34">
        <f t="array" ref="R7">SUMPRODUCT(Com_Cdiv_State_NG_RowSums!$B7:$AZ7,transpose(State_EMM_RowSums!S$2:S$52))</f>
        <v>0</v>
      </c>
      <c r="S7" s="34">
        <f t="array" ref="S7">SUMPRODUCT(Com_Cdiv_State_NG_RowSums!$B7:$AZ7,transpose(State_EMM_RowSums!T$2:T$52))</f>
        <v>0</v>
      </c>
      <c r="T7" s="34">
        <f t="array" ref="T7">SUMPRODUCT(Com_Cdiv_State_NG_RowSums!$B7:$AZ7,transpose(State_EMM_RowSums!U$2:U$52))</f>
        <v>0</v>
      </c>
      <c r="U7" s="34">
        <f t="array" ref="U7">SUMPRODUCT(Com_Cdiv_State_NG_RowSums!$B7:$AZ7,transpose(State_EMM_RowSums!V$2:V$52))</f>
        <v>0</v>
      </c>
      <c r="V7" s="34">
        <f t="array" ref="V7">SUMPRODUCT(Com_Cdiv_State_NG_RowSums!$B7:$AZ7,transpose(State_EMM_RowSums!W$2:W$52))</f>
        <v>0</v>
      </c>
      <c r="W7" s="34">
        <f t="array" ref="W7">SUMPRODUCT(Com_Cdiv_State_NG_RowSums!$B7:$AZ7,transpose(State_EMM_RowSums!X$2:X$52))</f>
        <v>0</v>
      </c>
      <c r="X7" s="34">
        <f t="array" ref="X7">SUMPRODUCT(Com_Cdiv_State_NG_RowSums!$B7:$AZ7,transpose(State_EMM_RowSums!Y$2:Y$52))</f>
        <v>0</v>
      </c>
      <c r="Y7" s="34">
        <f t="array" ref="Y7">SUMPRODUCT(Com_Cdiv_State_NG_RowSums!$B7:$AZ7,transpose(State_EMM_RowSums!Z$2:Z$52))</f>
        <v>0</v>
      </c>
      <c r="Z7" s="34">
        <f t="array" ref="Z7">SUMPRODUCT(Com_Cdiv_State_NG_RowSums!$B7:$AZ7,transpose(State_EMM_RowSums!AA$2:AA$52))</f>
        <v>0</v>
      </c>
    </row>
    <row r="8" ht="15.75" customHeight="1">
      <c r="A8" s="32">
        <v>7.0</v>
      </c>
      <c r="B8" s="34">
        <f t="array" ref="B8">SUMPRODUCT(Com_Cdiv_State_NG_RowSums!$B8:$AZ8,transpose(State_EMM_RowSums!C$2:C$52))</f>
        <v>0.515549629</v>
      </c>
      <c r="C8" s="34">
        <f t="array" ref="C8">SUMPRODUCT(Com_Cdiv_State_NG_RowSums!$B8:$AZ8,transpose(State_EMM_RowSums!D$2:D$52))</f>
        <v>0</v>
      </c>
      <c r="D8" s="34">
        <f t="array" ref="D8">SUMPRODUCT(Com_Cdiv_State_NG_RowSums!$B8:$AZ8,transpose(State_EMM_RowSums!E$2:E$52))</f>
        <v>0</v>
      </c>
      <c r="E8" s="34">
        <f t="array" ref="E8">SUMPRODUCT(Com_Cdiv_State_NG_RowSums!$B8:$AZ8,transpose(State_EMM_RowSums!F$2:F$52))</f>
        <v>0</v>
      </c>
      <c r="F8" s="34">
        <f t="array" ref="F8">SUMPRODUCT(Com_Cdiv_State_NG_RowSums!$B8:$AZ8,transpose(State_EMM_RowSums!G$2:G$52))</f>
        <v>0</v>
      </c>
      <c r="G8" s="34">
        <f t="array" ref="G8">SUMPRODUCT(Com_Cdiv_State_NG_RowSums!$B8:$AZ8,transpose(State_EMM_RowSums!H$2:H$52))</f>
        <v>0.2233090834</v>
      </c>
      <c r="H8" s="34">
        <f t="array" ref="H8">SUMPRODUCT(Com_Cdiv_State_NG_RowSums!$B8:$AZ8,transpose(State_EMM_RowSums!I$2:I$52))</f>
        <v>0</v>
      </c>
      <c r="I8" s="34">
        <f t="array" ref="I8">SUMPRODUCT(Com_Cdiv_State_NG_RowSums!$B8:$AZ8,transpose(State_EMM_RowSums!J$2:J$52))</f>
        <v>0</v>
      </c>
      <c r="J8" s="34">
        <f t="array" ref="J8">SUMPRODUCT(Com_Cdiv_State_NG_RowSums!$B8:$AZ8,transpose(State_EMM_RowSums!K$2:K$52))</f>
        <v>0</v>
      </c>
      <c r="K8" s="34">
        <f t="array" ref="K8">SUMPRODUCT(Com_Cdiv_State_NG_RowSums!$B8:$AZ8,transpose(State_EMM_RowSums!L$2:L$52))</f>
        <v>0</v>
      </c>
      <c r="L8" s="34">
        <f t="array" ref="L8">SUMPRODUCT(Com_Cdiv_State_NG_RowSums!$B8:$AZ8,transpose(State_EMM_RowSums!M$2:M$52))</f>
        <v>0</v>
      </c>
      <c r="M8" s="34">
        <f t="array" ref="M8">SUMPRODUCT(Com_Cdiv_State_NG_RowSums!$B8:$AZ8,transpose(State_EMM_RowSums!N$2:N$52))</f>
        <v>0</v>
      </c>
      <c r="N8" s="34">
        <f t="array" ref="N8">SUMPRODUCT(Com_Cdiv_State_NG_RowSums!$B8:$AZ8,transpose(State_EMM_RowSums!O$2:O$52))</f>
        <v>0</v>
      </c>
      <c r="O8" s="34">
        <f t="array" ref="O8">SUMPRODUCT(Com_Cdiv_State_NG_RowSums!$B8:$AZ8,transpose(State_EMM_RowSums!P$2:P$52))</f>
        <v>0</v>
      </c>
      <c r="P8" s="34">
        <f t="array" ref="P8">SUMPRODUCT(Com_Cdiv_State_NG_RowSums!$B8:$AZ8,transpose(State_EMM_RowSums!Q$2:Q$52))</f>
        <v>0</v>
      </c>
      <c r="Q8" s="34">
        <f t="array" ref="Q8">SUMPRODUCT(Com_Cdiv_State_NG_RowSums!$B8:$AZ8,transpose(State_EMM_RowSums!R$2:R$52))</f>
        <v>0</v>
      </c>
      <c r="R8" s="34">
        <f t="array" ref="R8">SUMPRODUCT(Com_Cdiv_State_NG_RowSums!$B8:$AZ8,transpose(State_EMM_RowSums!S$2:S$52))</f>
        <v>0.2440600336</v>
      </c>
      <c r="S8" s="34">
        <f t="array" ref="S8">SUMPRODUCT(Com_Cdiv_State_NG_RowSums!$B8:$AZ8,transpose(State_EMM_RowSums!T$2:T$52))</f>
        <v>0</v>
      </c>
      <c r="T8" s="34">
        <f t="array" ref="T8">SUMPRODUCT(Com_Cdiv_State_NG_RowSums!$B8:$AZ8,transpose(State_EMM_RowSums!U$2:U$52))</f>
        <v>0</v>
      </c>
      <c r="U8" s="34">
        <f t="array" ref="U8">SUMPRODUCT(Com_Cdiv_State_NG_RowSums!$B8:$AZ8,transpose(State_EMM_RowSums!V$2:V$52))</f>
        <v>0.01708125395</v>
      </c>
      <c r="V8" s="34">
        <f t="array" ref="V8">SUMPRODUCT(Com_Cdiv_State_NG_RowSums!$B8:$AZ8,transpose(State_EMM_RowSums!W$2:W$52))</f>
        <v>0</v>
      </c>
      <c r="W8" s="34">
        <f t="array" ref="W8">SUMPRODUCT(Com_Cdiv_State_NG_RowSums!$B8:$AZ8,transpose(State_EMM_RowSums!X$2:X$52))</f>
        <v>0</v>
      </c>
      <c r="X8" s="34">
        <f t="array" ref="X8">SUMPRODUCT(Com_Cdiv_State_NG_RowSums!$B8:$AZ8,transpose(State_EMM_RowSums!Y$2:Y$52))</f>
        <v>0</v>
      </c>
      <c r="Y8" s="34">
        <f t="array" ref="Y8">SUMPRODUCT(Com_Cdiv_State_NG_RowSums!$B8:$AZ8,transpose(State_EMM_RowSums!Z$2:Z$52))</f>
        <v>0</v>
      </c>
      <c r="Z8" s="34">
        <f t="array" ref="Z8">SUMPRODUCT(Com_Cdiv_State_NG_RowSums!$B8:$AZ8,transpose(State_EMM_RowSums!AA$2:AA$52))</f>
        <v>0</v>
      </c>
    </row>
    <row r="9" ht="15.75" customHeight="1">
      <c r="A9" s="32">
        <v>8.0</v>
      </c>
      <c r="B9" s="34">
        <f t="array" ref="B9">SUMPRODUCT(Com_Cdiv_State_NG_RowSums!$B9:$AZ9,transpose(State_EMM_RowSums!C$2:C$52))</f>
        <v>0</v>
      </c>
      <c r="C9" s="34">
        <f t="array" ref="C9">SUMPRODUCT(Com_Cdiv_State_NG_RowSums!$B9:$AZ9,transpose(State_EMM_RowSums!D$2:D$52))</f>
        <v>0</v>
      </c>
      <c r="D9" s="34">
        <f t="array" ref="D9">SUMPRODUCT(Com_Cdiv_State_NG_RowSums!$B9:$AZ9,transpose(State_EMM_RowSums!E$2:E$52))</f>
        <v>0.0006116243094</v>
      </c>
      <c r="E9" s="34">
        <f t="array" ref="E9">SUMPRODUCT(Com_Cdiv_State_NG_RowSums!$B9:$AZ9,transpose(State_EMM_RowSums!F$2:F$52))</f>
        <v>0</v>
      </c>
      <c r="F9" s="34">
        <f t="array" ref="F9">SUMPRODUCT(Com_Cdiv_State_NG_RowSums!$B9:$AZ9,transpose(State_EMM_RowSums!G$2:G$52))</f>
        <v>0</v>
      </c>
      <c r="G9" s="34">
        <f t="array" ref="G9">SUMPRODUCT(Com_Cdiv_State_NG_RowSums!$B9:$AZ9,transpose(State_EMM_RowSums!H$2:H$52))</f>
        <v>0</v>
      </c>
      <c r="H9" s="34">
        <f t="array" ref="H9">SUMPRODUCT(Com_Cdiv_State_NG_RowSums!$B9:$AZ9,transpose(State_EMM_RowSums!I$2:I$52))</f>
        <v>0</v>
      </c>
      <c r="I9" s="34">
        <f t="array" ref="I9">SUMPRODUCT(Com_Cdiv_State_NG_RowSums!$B9:$AZ9,transpose(State_EMM_RowSums!J$2:J$52))</f>
        <v>0</v>
      </c>
      <c r="J9" s="34">
        <f t="array" ref="J9">SUMPRODUCT(Com_Cdiv_State_NG_RowSums!$B9:$AZ9,transpose(State_EMM_RowSums!K$2:K$52))</f>
        <v>0</v>
      </c>
      <c r="K9" s="34">
        <f t="array" ref="K9">SUMPRODUCT(Com_Cdiv_State_NG_RowSums!$B9:$AZ9,transpose(State_EMM_RowSums!L$2:L$52))</f>
        <v>0</v>
      </c>
      <c r="L9" s="34">
        <f t="array" ref="L9">SUMPRODUCT(Com_Cdiv_State_NG_RowSums!$B9:$AZ9,transpose(State_EMM_RowSums!M$2:M$52))</f>
        <v>0</v>
      </c>
      <c r="M9" s="34">
        <f t="array" ref="M9">SUMPRODUCT(Com_Cdiv_State_NG_RowSums!$B9:$AZ9,transpose(State_EMM_RowSums!N$2:N$52))</f>
        <v>0</v>
      </c>
      <c r="N9" s="34">
        <f t="array" ref="N9">SUMPRODUCT(Com_Cdiv_State_NG_RowSums!$B9:$AZ9,transpose(State_EMM_RowSums!O$2:O$52))</f>
        <v>0</v>
      </c>
      <c r="O9" s="34">
        <f t="array" ref="O9">SUMPRODUCT(Com_Cdiv_State_NG_RowSums!$B9:$AZ9,transpose(State_EMM_RowSums!P$2:P$52))</f>
        <v>0</v>
      </c>
      <c r="P9" s="34">
        <f t="array" ref="P9">SUMPRODUCT(Com_Cdiv_State_NG_RowSums!$B9:$AZ9,transpose(State_EMM_RowSums!Q$2:Q$52))</f>
        <v>0</v>
      </c>
      <c r="Q9" s="34">
        <f t="array" ref="Q9">SUMPRODUCT(Com_Cdiv_State_NG_RowSums!$B9:$AZ9,transpose(State_EMM_RowSums!R$2:R$52))</f>
        <v>0</v>
      </c>
      <c r="R9" s="34">
        <f t="array" ref="R9">SUMPRODUCT(Com_Cdiv_State_NG_RowSums!$B9:$AZ9,transpose(State_EMM_RowSums!S$2:S$52))</f>
        <v>0.01306542162</v>
      </c>
      <c r="S9" s="34">
        <f t="array" ref="S9">SUMPRODUCT(Com_Cdiv_State_NG_RowSums!$B9:$AZ9,transpose(State_EMM_RowSums!T$2:T$52))</f>
        <v>0</v>
      </c>
      <c r="T9" s="34">
        <f t="array" ref="T9">SUMPRODUCT(Com_Cdiv_State_NG_RowSums!$B9:$AZ9,transpose(State_EMM_RowSums!U$2:U$52))</f>
        <v>0.003173401992</v>
      </c>
      <c r="U9" s="34">
        <f t="array" ref="U9">SUMPRODUCT(Com_Cdiv_State_NG_RowSums!$B9:$AZ9,transpose(State_EMM_RowSums!V$2:V$52))</f>
        <v>0.214676335</v>
      </c>
      <c r="V9" s="34">
        <f t="array" ref="V9">SUMPRODUCT(Com_Cdiv_State_NG_RowSums!$B9:$AZ9,transpose(State_EMM_RowSums!W$2:W$52))</f>
        <v>0</v>
      </c>
      <c r="W9" s="34">
        <f t="array" ref="W9">SUMPRODUCT(Com_Cdiv_State_NG_RowSums!$B9:$AZ9,transpose(State_EMM_RowSums!X$2:X$52))</f>
        <v>0</v>
      </c>
      <c r="X9" s="34">
        <f t="array" ref="X9">SUMPRODUCT(Com_Cdiv_State_NG_RowSums!$B9:$AZ9,transpose(State_EMM_RowSums!Y$2:Y$52))</f>
        <v>0.1141269824</v>
      </c>
      <c r="Y9" s="34">
        <f t="array" ref="Y9">SUMPRODUCT(Com_Cdiv_State_NG_RowSums!$B9:$AZ9,transpose(State_EMM_RowSums!Z$2:Z$52))</f>
        <v>0.2599811369</v>
      </c>
      <c r="Z9" s="34">
        <f t="array" ref="Z9">SUMPRODUCT(Com_Cdiv_State_NG_RowSums!$B9:$AZ9,transpose(State_EMM_RowSums!AA$2:AA$52))</f>
        <v>0.3943650978</v>
      </c>
    </row>
    <row r="10" ht="15.75" customHeight="1">
      <c r="A10" s="32">
        <v>9.0</v>
      </c>
      <c r="B10" s="34">
        <f t="array" ref="B10">SUMPRODUCT(Com_Cdiv_State_NG_RowSums!$B10:$AZ10,transpose(State_EMM_RowSums!C$2:C$52))</f>
        <v>0</v>
      </c>
      <c r="C10" s="34">
        <f t="array" ref="C10">SUMPRODUCT(Com_Cdiv_State_NG_RowSums!$B10:$AZ10,transpose(State_EMM_RowSums!D$2:D$52))</f>
        <v>0</v>
      </c>
      <c r="D10" s="34">
        <f t="array" ref="D10">SUMPRODUCT(Com_Cdiv_State_NG_RowSums!$B10:$AZ10,transpose(State_EMM_RowSums!E$2:E$52))</f>
        <v>0</v>
      </c>
      <c r="E10" s="34">
        <f t="array" ref="E10">SUMPRODUCT(Com_Cdiv_State_NG_RowSums!$B10:$AZ10,transpose(State_EMM_RowSums!F$2:F$52))</f>
        <v>0</v>
      </c>
      <c r="F10" s="34">
        <f t="array" ref="F10">SUMPRODUCT(Com_Cdiv_State_NG_RowSums!$B10:$AZ10,transpose(State_EMM_RowSums!G$2:G$52))</f>
        <v>0</v>
      </c>
      <c r="G10" s="34">
        <f t="array" ref="G10">SUMPRODUCT(Com_Cdiv_State_NG_RowSums!$B10:$AZ10,transpose(State_EMM_RowSums!H$2:H$52))</f>
        <v>0</v>
      </c>
      <c r="H10" s="34">
        <f t="array" ref="H10">SUMPRODUCT(Com_Cdiv_State_NG_RowSums!$B10:$AZ10,transpose(State_EMM_RowSums!I$2:I$52))</f>
        <v>0</v>
      </c>
      <c r="I10" s="34">
        <f t="array" ref="I10">SUMPRODUCT(Com_Cdiv_State_NG_RowSums!$B10:$AZ10,transpose(State_EMM_RowSums!J$2:J$52))</f>
        <v>0</v>
      </c>
      <c r="J10" s="34">
        <f t="array" ref="J10">SUMPRODUCT(Com_Cdiv_State_NG_RowSums!$B10:$AZ10,transpose(State_EMM_RowSums!K$2:K$52))</f>
        <v>0</v>
      </c>
      <c r="K10" s="34">
        <f t="array" ref="K10">SUMPRODUCT(Com_Cdiv_State_NG_RowSums!$B10:$AZ10,transpose(State_EMM_RowSums!L$2:L$52))</f>
        <v>0</v>
      </c>
      <c r="L10" s="34">
        <f t="array" ref="L10">SUMPRODUCT(Com_Cdiv_State_NG_RowSums!$B10:$AZ10,transpose(State_EMM_RowSums!M$2:M$52))</f>
        <v>0</v>
      </c>
      <c r="M10" s="34">
        <f t="array" ref="M10">SUMPRODUCT(Com_Cdiv_State_NG_RowSums!$B10:$AZ10,transpose(State_EMM_RowSums!N$2:N$52))</f>
        <v>0</v>
      </c>
      <c r="N10" s="34">
        <f t="array" ref="N10">SUMPRODUCT(Com_Cdiv_State_NG_RowSums!$B10:$AZ10,transpose(State_EMM_RowSums!O$2:O$52))</f>
        <v>0</v>
      </c>
      <c r="O10" s="34">
        <f t="array" ref="O10">SUMPRODUCT(Com_Cdiv_State_NG_RowSums!$B10:$AZ10,transpose(State_EMM_RowSums!P$2:P$52))</f>
        <v>0</v>
      </c>
      <c r="P10" s="34">
        <f t="array" ref="P10">SUMPRODUCT(Com_Cdiv_State_NG_RowSums!$B10:$AZ10,transpose(State_EMM_RowSums!Q$2:Q$52))</f>
        <v>0</v>
      </c>
      <c r="Q10" s="34">
        <f t="array" ref="Q10">SUMPRODUCT(Com_Cdiv_State_NG_RowSums!$B10:$AZ10,transpose(State_EMM_RowSums!R$2:R$52))</f>
        <v>0</v>
      </c>
      <c r="R10" s="34">
        <f t="array" ref="R10">SUMPRODUCT(Com_Cdiv_State_NG_RowSums!$B10:$AZ10,transpose(State_EMM_RowSums!S$2:S$52))</f>
        <v>0</v>
      </c>
      <c r="S10" s="34">
        <f t="array" ref="S10">SUMPRODUCT(Com_Cdiv_State_NG_RowSums!$B10:$AZ10,transpose(State_EMM_RowSums!T$2:T$52))</f>
        <v>0</v>
      </c>
      <c r="T10" s="34">
        <f t="array" ref="T10">SUMPRODUCT(Com_Cdiv_State_NG_RowSums!$B10:$AZ10,transpose(State_EMM_RowSums!U$2:U$52))</f>
        <v>0</v>
      </c>
      <c r="U10" s="34">
        <f t="array" ref="U10">SUMPRODUCT(Com_Cdiv_State_NG_RowSums!$B10:$AZ10,transpose(State_EMM_RowSums!V$2:V$52))</f>
        <v>0.003112320032</v>
      </c>
      <c r="V10" s="34">
        <f t="array" ref="V10">SUMPRODUCT(Com_Cdiv_State_NG_RowSums!$B10:$AZ10,transpose(State_EMM_RowSums!W$2:W$52))</f>
        <v>0.2723314184</v>
      </c>
      <c r="W10" s="34">
        <f t="array" ref="W10">SUMPRODUCT(Com_Cdiv_State_NG_RowSums!$B10:$AZ10,transpose(State_EMM_RowSums!X$2:X$52))</f>
        <v>0.399981315</v>
      </c>
      <c r="X10" s="34">
        <f t="array" ref="X10">SUMPRODUCT(Com_Cdiv_State_NG_RowSums!$B10:$AZ10,transpose(State_EMM_RowSums!Y$2:Y$52))</f>
        <v>0.2770696387</v>
      </c>
      <c r="Y10" s="34">
        <f t="array" ref="Y10">SUMPRODUCT(Com_Cdiv_State_NG_RowSums!$B10:$AZ10,transpose(State_EMM_RowSums!Z$2:Z$52))</f>
        <v>0</v>
      </c>
      <c r="Z10" s="34">
        <f t="array" ref="Z10">SUMPRODUCT(Com_Cdiv_State_NG_RowSums!$B10:$AZ10,transpose(State_EMM_RowSums!AA$2:AA$52))</f>
        <v>0</v>
      </c>
    </row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</sheetData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32" t="s">
        <v>94</v>
      </c>
      <c r="B1" s="32" t="s">
        <v>4010</v>
      </c>
      <c r="C1" s="32" t="s">
        <v>3989</v>
      </c>
      <c r="D1" s="32" t="s">
        <v>3996</v>
      </c>
      <c r="E1" s="32" t="s">
        <v>3992</v>
      </c>
      <c r="F1" s="32" t="s">
        <v>4003</v>
      </c>
      <c r="G1" s="32" t="s">
        <v>3974</v>
      </c>
      <c r="H1" s="32" t="s">
        <v>3985</v>
      </c>
      <c r="I1" s="32" t="s">
        <v>4006</v>
      </c>
      <c r="J1" s="32" t="s">
        <v>4005</v>
      </c>
      <c r="K1" s="32" t="s">
        <v>3987</v>
      </c>
      <c r="L1" s="32" t="s">
        <v>3997</v>
      </c>
      <c r="M1" s="32" t="s">
        <v>3994</v>
      </c>
      <c r="N1" s="32" t="s">
        <v>3988</v>
      </c>
      <c r="O1" s="32" t="s">
        <v>4009</v>
      </c>
      <c r="P1" s="32" t="s">
        <v>3969</v>
      </c>
      <c r="Q1" s="32" t="s">
        <v>3970</v>
      </c>
      <c r="R1" s="32" t="s">
        <v>3976</v>
      </c>
      <c r="S1" s="32" t="s">
        <v>4001</v>
      </c>
      <c r="T1" s="32" t="s">
        <v>3999</v>
      </c>
      <c r="U1" s="32" t="s">
        <v>3972</v>
      </c>
      <c r="V1" s="32" t="s">
        <v>3979</v>
      </c>
      <c r="W1" s="32" t="s">
        <v>3981</v>
      </c>
      <c r="X1" s="32" t="s">
        <v>3980</v>
      </c>
      <c r="Y1" s="32" t="s">
        <v>3983</v>
      </c>
      <c r="Z1" s="32" t="s">
        <v>3990</v>
      </c>
    </row>
    <row r="2" ht="15.75" customHeight="1">
      <c r="A2" s="32">
        <v>1.0</v>
      </c>
      <c r="B2" s="34">
        <f t="array" ref="B2">SUMPRODUCT(Com_Cdiv_State_Dist_RowSums!$B2:$AZ2,transpose(State_EMM_RowSums!C$2:C$52))</f>
        <v>0</v>
      </c>
      <c r="C2" s="34">
        <f t="array" ref="C2">SUMPRODUCT(Com_Cdiv_State_Dist_RowSums!$B2:$AZ2,transpose(State_EMM_RowSums!D$2:D$52))</f>
        <v>0</v>
      </c>
      <c r="D2" s="34">
        <f t="array" ref="D2">SUMPRODUCT(Com_Cdiv_State_Dist_RowSums!$B2:$AZ2,transpose(State_EMM_RowSums!E$2:E$52))</f>
        <v>0</v>
      </c>
      <c r="E2" s="34">
        <f t="array" ref="E2">SUMPRODUCT(Com_Cdiv_State_Dist_RowSums!$B2:$AZ2,transpose(State_EMM_RowSums!F$2:F$52))</f>
        <v>0</v>
      </c>
      <c r="F2" s="34">
        <f t="array" ref="F2">SUMPRODUCT(Com_Cdiv_State_Dist_RowSums!$B2:$AZ2,transpose(State_EMM_RowSums!G$2:G$52))</f>
        <v>0</v>
      </c>
      <c r="G2" s="34">
        <f t="array" ref="G2">SUMPRODUCT(Com_Cdiv_State_Dist_RowSums!$B2:$AZ2,transpose(State_EMM_RowSums!H$2:H$52))</f>
        <v>0</v>
      </c>
      <c r="H2" s="34">
        <f t="array" ref="H2">SUMPRODUCT(Com_Cdiv_State_Dist_RowSums!$B2:$AZ2,transpose(State_EMM_RowSums!I$2:I$52))</f>
        <v>1</v>
      </c>
      <c r="I2" s="34">
        <f t="array" ref="I2">SUMPRODUCT(Com_Cdiv_State_Dist_RowSums!$B2:$AZ2,transpose(State_EMM_RowSums!J$2:J$52))</f>
        <v>0</v>
      </c>
      <c r="J2" s="34">
        <f t="array" ref="J2">SUMPRODUCT(Com_Cdiv_State_Dist_RowSums!$B2:$AZ2,transpose(State_EMM_RowSums!K$2:K$52))</f>
        <v>0</v>
      </c>
      <c r="K2" s="34">
        <f t="array" ref="K2">SUMPRODUCT(Com_Cdiv_State_Dist_RowSums!$B2:$AZ2,transpose(State_EMM_RowSums!L$2:L$52))</f>
        <v>0</v>
      </c>
      <c r="L2" s="34">
        <f t="array" ref="L2">SUMPRODUCT(Com_Cdiv_State_Dist_RowSums!$B2:$AZ2,transpose(State_EMM_RowSums!M$2:M$52))</f>
        <v>0</v>
      </c>
      <c r="M2" s="34">
        <f t="array" ref="M2">SUMPRODUCT(Com_Cdiv_State_Dist_RowSums!$B2:$AZ2,transpose(State_EMM_RowSums!N$2:N$52))</f>
        <v>0</v>
      </c>
      <c r="N2" s="34">
        <f t="array" ref="N2">SUMPRODUCT(Com_Cdiv_State_Dist_RowSums!$B2:$AZ2,transpose(State_EMM_RowSums!O$2:O$52))</f>
        <v>0</v>
      </c>
      <c r="O2" s="34">
        <f t="array" ref="O2">SUMPRODUCT(Com_Cdiv_State_Dist_RowSums!$B2:$AZ2,transpose(State_EMM_RowSums!P$2:P$52))</f>
        <v>0</v>
      </c>
      <c r="P2" s="34">
        <f t="array" ref="P2">SUMPRODUCT(Com_Cdiv_State_Dist_RowSums!$B2:$AZ2,transpose(State_EMM_RowSums!Q$2:Q$52))</f>
        <v>0</v>
      </c>
      <c r="Q2" s="34">
        <f t="array" ref="Q2">SUMPRODUCT(Com_Cdiv_State_Dist_RowSums!$B2:$AZ2,transpose(State_EMM_RowSums!R$2:R$52))</f>
        <v>0</v>
      </c>
      <c r="R2" s="34">
        <f t="array" ref="R2">SUMPRODUCT(Com_Cdiv_State_Dist_RowSums!$B2:$AZ2,transpose(State_EMM_RowSums!S$2:S$52))</f>
        <v>0</v>
      </c>
      <c r="S2" s="34">
        <f t="array" ref="S2">SUMPRODUCT(Com_Cdiv_State_Dist_RowSums!$B2:$AZ2,transpose(State_EMM_RowSums!T$2:T$52))</f>
        <v>0</v>
      </c>
      <c r="T2" s="34">
        <f t="array" ref="T2">SUMPRODUCT(Com_Cdiv_State_Dist_RowSums!$B2:$AZ2,transpose(State_EMM_RowSums!U$2:U$52))</f>
        <v>0</v>
      </c>
      <c r="U2" s="34">
        <f t="array" ref="U2">SUMPRODUCT(Com_Cdiv_State_Dist_RowSums!$B2:$AZ2,transpose(State_EMM_RowSums!V$2:V$52))</f>
        <v>0</v>
      </c>
      <c r="V2" s="34">
        <f t="array" ref="V2">SUMPRODUCT(Com_Cdiv_State_Dist_RowSums!$B2:$AZ2,transpose(State_EMM_RowSums!W$2:W$52))</f>
        <v>0</v>
      </c>
      <c r="W2" s="34">
        <f t="array" ref="W2">SUMPRODUCT(Com_Cdiv_State_Dist_RowSums!$B2:$AZ2,transpose(State_EMM_RowSums!X$2:X$52))</f>
        <v>0</v>
      </c>
      <c r="X2" s="34">
        <f t="array" ref="X2">SUMPRODUCT(Com_Cdiv_State_Dist_RowSums!$B2:$AZ2,transpose(State_EMM_RowSums!Y$2:Y$52))</f>
        <v>0</v>
      </c>
      <c r="Y2" s="34">
        <f t="array" ref="Y2">SUMPRODUCT(Com_Cdiv_State_Dist_RowSums!$B2:$AZ2,transpose(State_EMM_RowSums!Z$2:Z$52))</f>
        <v>0</v>
      </c>
      <c r="Z2" s="34">
        <f t="array" ref="Z2">SUMPRODUCT(Com_Cdiv_State_Dist_RowSums!$B2:$AZ2,transpose(State_EMM_RowSums!AA$2:AA$52))</f>
        <v>0</v>
      </c>
    </row>
    <row r="3" ht="15.75" customHeight="1">
      <c r="A3" s="32">
        <v>2.0</v>
      </c>
      <c r="B3" s="34">
        <f t="array" ref="B3">SUMPRODUCT(Com_Cdiv_State_Dist_RowSums!$B3:$AZ3,transpose(State_EMM_RowSums!C$2:C$52))</f>
        <v>0</v>
      </c>
      <c r="C3" s="34">
        <f t="array" ref="C3">SUMPRODUCT(Com_Cdiv_State_Dist_RowSums!$B3:$AZ3,transpose(State_EMM_RowSums!D$2:D$52))</f>
        <v>0</v>
      </c>
      <c r="D3" s="34">
        <f t="array" ref="D3">SUMPRODUCT(Com_Cdiv_State_Dist_RowSums!$B3:$AZ3,transpose(State_EMM_RowSums!E$2:E$52))</f>
        <v>0</v>
      </c>
      <c r="E3" s="34">
        <f t="array" ref="E3">SUMPRODUCT(Com_Cdiv_State_Dist_RowSums!$B3:$AZ3,transpose(State_EMM_RowSums!F$2:F$52))</f>
        <v>0</v>
      </c>
      <c r="F3" s="34">
        <f t="array" ref="F3">SUMPRODUCT(Com_Cdiv_State_Dist_RowSums!$B3:$AZ3,transpose(State_EMM_RowSums!G$2:G$52))</f>
        <v>0</v>
      </c>
      <c r="G3" s="34">
        <f t="array" ref="G3">SUMPRODUCT(Com_Cdiv_State_Dist_RowSums!$B3:$AZ3,transpose(State_EMM_RowSums!H$2:H$52))</f>
        <v>0</v>
      </c>
      <c r="H3" s="34">
        <f t="array" ref="H3">SUMPRODUCT(Com_Cdiv_State_Dist_RowSums!$B3:$AZ3,transpose(State_EMM_RowSums!I$2:I$52))</f>
        <v>0</v>
      </c>
      <c r="I3" s="34">
        <f t="array" ref="I3">SUMPRODUCT(Com_Cdiv_State_Dist_RowSums!$B3:$AZ3,transpose(State_EMM_RowSums!J$2:J$52))</f>
        <v>0.373510031</v>
      </c>
      <c r="J3" s="34">
        <f t="array" ref="J3">SUMPRODUCT(Com_Cdiv_State_Dist_RowSums!$B3:$AZ3,transpose(State_EMM_RowSums!K$2:K$52))</f>
        <v>0.2375453086</v>
      </c>
      <c r="K3" s="34">
        <f t="array" ref="K3">SUMPRODUCT(Com_Cdiv_State_Dist_RowSums!$B3:$AZ3,transpose(State_EMM_RowSums!L$2:L$52))</f>
        <v>0.3372287152</v>
      </c>
      <c r="L3" s="34">
        <f t="array" ref="L3">SUMPRODUCT(Com_Cdiv_State_Dist_RowSums!$B3:$AZ3,transpose(State_EMM_RowSums!M$2:M$52))</f>
        <v>0.05171594516</v>
      </c>
      <c r="M3" s="34">
        <f t="array" ref="M3">SUMPRODUCT(Com_Cdiv_State_Dist_RowSums!$B3:$AZ3,transpose(State_EMM_RowSums!N$2:N$52))</f>
        <v>0</v>
      </c>
      <c r="N3" s="34">
        <f t="array" ref="N3">SUMPRODUCT(Com_Cdiv_State_Dist_RowSums!$B3:$AZ3,transpose(State_EMM_RowSums!O$2:O$52))</f>
        <v>0</v>
      </c>
      <c r="O3" s="34">
        <f t="array" ref="O3">SUMPRODUCT(Com_Cdiv_State_Dist_RowSums!$B3:$AZ3,transpose(State_EMM_RowSums!P$2:P$52))</f>
        <v>0</v>
      </c>
      <c r="P3" s="34">
        <f t="array" ref="P3">SUMPRODUCT(Com_Cdiv_State_Dist_RowSums!$B3:$AZ3,transpose(State_EMM_RowSums!Q$2:Q$52))</f>
        <v>0</v>
      </c>
      <c r="Q3" s="34">
        <f t="array" ref="Q3">SUMPRODUCT(Com_Cdiv_State_Dist_RowSums!$B3:$AZ3,transpose(State_EMM_RowSums!R$2:R$52))</f>
        <v>0</v>
      </c>
      <c r="R3" s="34">
        <f t="array" ref="R3">SUMPRODUCT(Com_Cdiv_State_Dist_RowSums!$B3:$AZ3,transpose(State_EMM_RowSums!S$2:S$52))</f>
        <v>0</v>
      </c>
      <c r="S3" s="34">
        <f t="array" ref="S3">SUMPRODUCT(Com_Cdiv_State_Dist_RowSums!$B3:$AZ3,transpose(State_EMM_RowSums!T$2:T$52))</f>
        <v>0</v>
      </c>
      <c r="T3" s="34">
        <f t="array" ref="T3">SUMPRODUCT(Com_Cdiv_State_Dist_RowSums!$B3:$AZ3,transpose(State_EMM_RowSums!U$2:U$52))</f>
        <v>0</v>
      </c>
      <c r="U3" s="34">
        <f t="array" ref="U3">SUMPRODUCT(Com_Cdiv_State_Dist_RowSums!$B3:$AZ3,transpose(State_EMM_RowSums!V$2:V$52))</f>
        <v>0</v>
      </c>
      <c r="V3" s="34">
        <f t="array" ref="V3">SUMPRODUCT(Com_Cdiv_State_Dist_RowSums!$B3:$AZ3,transpose(State_EMM_RowSums!W$2:W$52))</f>
        <v>0</v>
      </c>
      <c r="W3" s="34">
        <f t="array" ref="W3">SUMPRODUCT(Com_Cdiv_State_Dist_RowSums!$B3:$AZ3,transpose(State_EMM_RowSums!X$2:X$52))</f>
        <v>0</v>
      </c>
      <c r="X3" s="34">
        <f t="array" ref="X3">SUMPRODUCT(Com_Cdiv_State_Dist_RowSums!$B3:$AZ3,transpose(State_EMM_RowSums!Y$2:Y$52))</f>
        <v>0</v>
      </c>
      <c r="Y3" s="34">
        <f t="array" ref="Y3">SUMPRODUCT(Com_Cdiv_State_Dist_RowSums!$B3:$AZ3,transpose(State_EMM_RowSums!Z$2:Z$52))</f>
        <v>0</v>
      </c>
      <c r="Z3" s="34">
        <f t="array" ref="Z3">SUMPRODUCT(Com_Cdiv_State_Dist_RowSums!$B3:$AZ3,transpose(State_EMM_RowSums!AA$2:AA$52))</f>
        <v>0</v>
      </c>
    </row>
    <row r="4" ht="15.75" customHeight="1">
      <c r="A4" s="32">
        <v>3.0</v>
      </c>
      <c r="B4" s="34">
        <f t="array" ref="B4">SUMPRODUCT(Com_Cdiv_State_Dist_RowSums!$B4:$AZ4,transpose(State_EMM_RowSums!C$2:C$52))</f>
        <v>0</v>
      </c>
      <c r="C4" s="34">
        <f t="array" ref="C4">SUMPRODUCT(Com_Cdiv_State_Dist_RowSums!$B4:$AZ4,transpose(State_EMM_RowSums!D$2:D$52))</f>
        <v>0</v>
      </c>
      <c r="D4" s="34">
        <f t="array" ref="D4">SUMPRODUCT(Com_Cdiv_State_Dist_RowSums!$B4:$AZ4,transpose(State_EMM_RowSums!E$2:E$52))</f>
        <v>0.12623593</v>
      </c>
      <c r="E4" s="34">
        <f t="array" ref="E4">SUMPRODUCT(Com_Cdiv_State_Dist_RowSums!$B4:$AZ4,transpose(State_EMM_RowSums!F$2:F$52))</f>
        <v>0.1341790374</v>
      </c>
      <c r="F4" s="34">
        <f t="array" ref="F4">SUMPRODUCT(Com_Cdiv_State_Dist_RowSums!$B4:$AZ4,transpose(State_EMM_RowSums!G$2:G$52))</f>
        <v>0.1827440892</v>
      </c>
      <c r="G4" s="34">
        <f t="array" ref="G4">SUMPRODUCT(Com_Cdiv_State_Dist_RowSums!$B4:$AZ4,transpose(State_EMM_RowSums!H$2:H$52))</f>
        <v>0</v>
      </c>
      <c r="H4" s="34">
        <f t="array" ref="H4">SUMPRODUCT(Com_Cdiv_State_Dist_RowSums!$B4:$AZ4,transpose(State_EMM_RowSums!I$2:I$52))</f>
        <v>0</v>
      </c>
      <c r="I4" s="34">
        <f t="array" ref="I4">SUMPRODUCT(Com_Cdiv_State_Dist_RowSums!$B4:$AZ4,transpose(State_EMM_RowSums!J$2:J$52))</f>
        <v>0</v>
      </c>
      <c r="J4" s="34">
        <f t="array" ref="J4">SUMPRODUCT(Com_Cdiv_State_Dist_RowSums!$B4:$AZ4,transpose(State_EMM_RowSums!K$2:K$52))</f>
        <v>0</v>
      </c>
      <c r="K4" s="34">
        <f t="array" ref="K4">SUMPRODUCT(Com_Cdiv_State_Dist_RowSums!$B4:$AZ4,transpose(State_EMM_RowSums!L$2:L$52))</f>
        <v>0</v>
      </c>
      <c r="L4" s="34">
        <f t="array" ref="L4">SUMPRODUCT(Com_Cdiv_State_Dist_RowSums!$B4:$AZ4,transpose(State_EMM_RowSums!M$2:M$52))</f>
        <v>0.4234037208</v>
      </c>
      <c r="M4" s="34">
        <f t="array" ref="M4">SUMPRODUCT(Com_Cdiv_State_Dist_RowSums!$B4:$AZ4,transpose(State_EMM_RowSums!N$2:N$52))</f>
        <v>0.1334372225</v>
      </c>
      <c r="N4" s="34">
        <f t="array" ref="N4">SUMPRODUCT(Com_Cdiv_State_Dist_RowSums!$B4:$AZ4,transpose(State_EMM_RowSums!O$2:O$52))</f>
        <v>0</v>
      </c>
      <c r="O4" s="34">
        <f t="array" ref="O4">SUMPRODUCT(Com_Cdiv_State_Dist_RowSums!$B4:$AZ4,transpose(State_EMM_RowSums!P$2:P$52))</f>
        <v>0</v>
      </c>
      <c r="P4" s="34">
        <f t="array" ref="P4">SUMPRODUCT(Com_Cdiv_State_Dist_RowSums!$B4:$AZ4,transpose(State_EMM_RowSums!Q$2:Q$52))</f>
        <v>0</v>
      </c>
      <c r="Q4" s="34">
        <f t="array" ref="Q4">SUMPRODUCT(Com_Cdiv_State_Dist_RowSums!$B4:$AZ4,transpose(State_EMM_RowSums!R$2:R$52))</f>
        <v>0</v>
      </c>
      <c r="R4" s="34">
        <f t="array" ref="R4">SUMPRODUCT(Com_Cdiv_State_Dist_RowSums!$B4:$AZ4,transpose(State_EMM_RowSums!S$2:S$52))</f>
        <v>0</v>
      </c>
      <c r="S4" s="34">
        <f t="array" ref="S4">SUMPRODUCT(Com_Cdiv_State_Dist_RowSums!$B4:$AZ4,transpose(State_EMM_RowSums!T$2:T$52))</f>
        <v>0</v>
      </c>
      <c r="T4" s="34">
        <f t="array" ref="T4">SUMPRODUCT(Com_Cdiv_State_Dist_RowSums!$B4:$AZ4,transpose(State_EMM_RowSums!U$2:U$52))</f>
        <v>0</v>
      </c>
      <c r="U4" s="34">
        <f t="array" ref="U4">SUMPRODUCT(Com_Cdiv_State_Dist_RowSums!$B4:$AZ4,transpose(State_EMM_RowSums!V$2:V$52))</f>
        <v>0</v>
      </c>
      <c r="V4" s="34">
        <f t="array" ref="V4">SUMPRODUCT(Com_Cdiv_State_Dist_RowSums!$B4:$AZ4,transpose(State_EMM_RowSums!W$2:W$52))</f>
        <v>0</v>
      </c>
      <c r="W4" s="34">
        <f t="array" ref="W4">SUMPRODUCT(Com_Cdiv_State_Dist_RowSums!$B4:$AZ4,transpose(State_EMM_RowSums!X$2:X$52))</f>
        <v>0</v>
      </c>
      <c r="X4" s="34">
        <f t="array" ref="X4">SUMPRODUCT(Com_Cdiv_State_Dist_RowSums!$B4:$AZ4,transpose(State_EMM_RowSums!Y$2:Y$52))</f>
        <v>0</v>
      </c>
      <c r="Y4" s="34">
        <f t="array" ref="Y4">SUMPRODUCT(Com_Cdiv_State_Dist_RowSums!$B4:$AZ4,transpose(State_EMM_RowSums!Z$2:Z$52))</f>
        <v>0</v>
      </c>
      <c r="Z4" s="34">
        <f t="array" ref="Z4">SUMPRODUCT(Com_Cdiv_State_Dist_RowSums!$B4:$AZ4,transpose(State_EMM_RowSums!AA$2:AA$52))</f>
        <v>0</v>
      </c>
    </row>
    <row r="5" ht="15.75" customHeight="1">
      <c r="A5" s="32">
        <v>4.0</v>
      </c>
      <c r="B5" s="34">
        <f t="array" ref="B5">SUMPRODUCT(Com_Cdiv_State_Dist_RowSums!$B5:$AZ5,transpose(State_EMM_RowSums!C$2:C$52))</f>
        <v>0</v>
      </c>
      <c r="C5" s="34">
        <f t="array" ref="C5">SUMPRODUCT(Com_Cdiv_State_Dist_RowSums!$B5:$AZ5,transpose(State_EMM_RowSums!D$2:D$52))</f>
        <v>0</v>
      </c>
      <c r="D5" s="34">
        <f t="array" ref="D5">SUMPRODUCT(Com_Cdiv_State_Dist_RowSums!$B5:$AZ5,transpose(State_EMM_RowSums!E$2:E$52))</f>
        <v>0.4370905857</v>
      </c>
      <c r="E5" s="34">
        <f t="array" ref="E5">SUMPRODUCT(Com_Cdiv_State_Dist_RowSums!$B5:$AZ5,transpose(State_EMM_RowSums!F$2:F$52))</f>
        <v>0.1004226642</v>
      </c>
      <c r="F5" s="34">
        <f t="array" ref="F5">SUMPRODUCT(Com_Cdiv_State_Dist_RowSums!$B5:$AZ5,transpose(State_EMM_RowSums!G$2:G$52))</f>
        <v>0</v>
      </c>
      <c r="G5" s="34">
        <f t="array" ref="G5">SUMPRODUCT(Com_Cdiv_State_Dist_RowSums!$B5:$AZ5,transpose(State_EMM_RowSums!H$2:H$52))</f>
        <v>0</v>
      </c>
      <c r="H5" s="34">
        <f t="array" ref="H5">SUMPRODUCT(Com_Cdiv_State_Dist_RowSums!$B5:$AZ5,transpose(State_EMM_RowSums!I$2:I$52))</f>
        <v>0</v>
      </c>
      <c r="I5" s="34">
        <f t="array" ref="I5">SUMPRODUCT(Com_Cdiv_State_Dist_RowSums!$B5:$AZ5,transpose(State_EMM_RowSums!J$2:J$52))</f>
        <v>0</v>
      </c>
      <c r="J5" s="34">
        <f t="array" ref="J5">SUMPRODUCT(Com_Cdiv_State_Dist_RowSums!$B5:$AZ5,transpose(State_EMM_RowSums!K$2:K$52))</f>
        <v>0</v>
      </c>
      <c r="K5" s="34">
        <f t="array" ref="K5">SUMPRODUCT(Com_Cdiv_State_Dist_RowSums!$B5:$AZ5,transpose(State_EMM_RowSums!L$2:L$52))</f>
        <v>0</v>
      </c>
      <c r="L5" s="34">
        <f t="array" ref="L5">SUMPRODUCT(Com_Cdiv_State_Dist_RowSums!$B5:$AZ5,transpose(State_EMM_RowSums!M$2:M$52))</f>
        <v>0</v>
      </c>
      <c r="M5" s="34">
        <f t="array" ref="M5">SUMPRODUCT(Com_Cdiv_State_Dist_RowSums!$B5:$AZ5,transpose(State_EMM_RowSums!N$2:N$52))</f>
        <v>0</v>
      </c>
      <c r="N5" s="34">
        <f t="array" ref="N5">SUMPRODUCT(Com_Cdiv_State_Dist_RowSums!$B5:$AZ5,transpose(State_EMM_RowSums!O$2:O$52))</f>
        <v>0</v>
      </c>
      <c r="O5" s="34">
        <f t="array" ref="O5">SUMPRODUCT(Com_Cdiv_State_Dist_RowSums!$B5:$AZ5,transpose(State_EMM_RowSums!P$2:P$52))</f>
        <v>0</v>
      </c>
      <c r="P5" s="34">
        <f t="array" ref="P5">SUMPRODUCT(Com_Cdiv_State_Dist_RowSums!$B5:$AZ5,transpose(State_EMM_RowSums!Q$2:Q$52))</f>
        <v>0</v>
      </c>
      <c r="Q5" s="34">
        <f t="array" ref="Q5">SUMPRODUCT(Com_Cdiv_State_Dist_RowSums!$B5:$AZ5,transpose(State_EMM_RowSums!R$2:R$52))</f>
        <v>0</v>
      </c>
      <c r="R5" s="34">
        <f t="array" ref="R5">SUMPRODUCT(Com_Cdiv_State_Dist_RowSums!$B5:$AZ5,transpose(State_EMM_RowSums!S$2:S$52))</f>
        <v>0</v>
      </c>
      <c r="S5" s="34">
        <f t="array" ref="S5">SUMPRODUCT(Com_Cdiv_State_Dist_RowSums!$B5:$AZ5,transpose(State_EMM_RowSums!T$2:T$52))</f>
        <v>0.1591518038</v>
      </c>
      <c r="T5" s="34">
        <f t="array" ref="T5">SUMPRODUCT(Com_Cdiv_State_Dist_RowSums!$B5:$AZ5,transpose(State_EMM_RowSums!U$2:U$52))</f>
        <v>0.3001435684</v>
      </c>
      <c r="U5" s="34">
        <f t="array" ref="U5">SUMPRODUCT(Com_Cdiv_State_Dist_RowSums!$B5:$AZ5,transpose(State_EMM_RowSums!V$2:V$52))</f>
        <v>0</v>
      </c>
      <c r="V5" s="34">
        <f t="array" ref="V5">SUMPRODUCT(Com_Cdiv_State_Dist_RowSums!$B5:$AZ5,transpose(State_EMM_RowSums!W$2:W$52))</f>
        <v>0</v>
      </c>
      <c r="W5" s="34">
        <f t="array" ref="W5">SUMPRODUCT(Com_Cdiv_State_Dist_RowSums!$B5:$AZ5,transpose(State_EMM_RowSums!X$2:X$52))</f>
        <v>0</v>
      </c>
      <c r="X5" s="34">
        <f t="array" ref="X5">SUMPRODUCT(Com_Cdiv_State_Dist_RowSums!$B5:$AZ5,transpose(State_EMM_RowSums!Y$2:Y$52))</f>
        <v>0</v>
      </c>
      <c r="Y5" s="34">
        <f t="array" ref="Y5">SUMPRODUCT(Com_Cdiv_State_Dist_RowSums!$B5:$AZ5,transpose(State_EMM_RowSums!Z$2:Z$52))</f>
        <v>0.003191377802</v>
      </c>
      <c r="Z5" s="34">
        <f t="array" ref="Z5">SUMPRODUCT(Com_Cdiv_State_Dist_RowSums!$B5:$AZ5,transpose(State_EMM_RowSums!AA$2:AA$52))</f>
        <v>0</v>
      </c>
    </row>
    <row r="6" ht="15.75" customHeight="1">
      <c r="A6" s="32">
        <v>5.0</v>
      </c>
      <c r="B6" s="34">
        <f t="array" ref="B6">SUMPRODUCT(Com_Cdiv_State_Dist_RowSums!$B6:$AZ6,transpose(State_EMM_RowSums!C$2:C$52))</f>
        <v>0</v>
      </c>
      <c r="C6" s="34">
        <f t="array" ref="C6">SUMPRODUCT(Com_Cdiv_State_Dist_RowSums!$B6:$AZ6,transpose(State_EMM_RowSums!D$2:D$52))</f>
        <v>0.2074503174</v>
      </c>
      <c r="D6" s="34">
        <f t="array" ref="D6">SUMPRODUCT(Com_Cdiv_State_Dist_RowSums!$B6:$AZ6,transpose(State_EMM_RowSums!E$2:E$52))</f>
        <v>0</v>
      </c>
      <c r="E6" s="34">
        <f t="array" ref="E6">SUMPRODUCT(Com_Cdiv_State_Dist_RowSums!$B6:$AZ6,transpose(State_EMM_RowSums!F$2:F$52))</f>
        <v>0</v>
      </c>
      <c r="F6" s="34">
        <f t="array" ref="F6">SUMPRODUCT(Com_Cdiv_State_Dist_RowSums!$B6:$AZ6,transpose(State_EMM_RowSums!G$2:G$52))</f>
        <v>0</v>
      </c>
      <c r="G6" s="34">
        <f t="array" ref="G6">SUMPRODUCT(Com_Cdiv_State_Dist_RowSums!$B6:$AZ6,transpose(State_EMM_RowSums!H$2:H$52))</f>
        <v>0</v>
      </c>
      <c r="H6" s="34">
        <f t="array" ref="H6">SUMPRODUCT(Com_Cdiv_State_Dist_RowSums!$B6:$AZ6,transpose(State_EMM_RowSums!I$2:I$52))</f>
        <v>0</v>
      </c>
      <c r="I6" s="34">
        <f t="array" ref="I6">SUMPRODUCT(Com_Cdiv_State_Dist_RowSums!$B6:$AZ6,transpose(State_EMM_RowSums!J$2:J$52))</f>
        <v>0</v>
      </c>
      <c r="J6" s="34">
        <f t="array" ref="J6">SUMPRODUCT(Com_Cdiv_State_Dist_RowSums!$B6:$AZ6,transpose(State_EMM_RowSums!K$2:K$52))</f>
        <v>0</v>
      </c>
      <c r="K6" s="34">
        <f t="array" ref="K6">SUMPRODUCT(Com_Cdiv_State_Dist_RowSums!$B6:$AZ6,transpose(State_EMM_RowSums!L$2:L$52))</f>
        <v>0.1401941424</v>
      </c>
      <c r="L6" s="34">
        <f t="array" ref="L6">SUMPRODUCT(Com_Cdiv_State_Dist_RowSums!$B6:$AZ6,transpose(State_EMM_RowSums!M$2:M$52))</f>
        <v>0.1150931028</v>
      </c>
      <c r="M6" s="34">
        <f t="array" ref="M6">SUMPRODUCT(Com_Cdiv_State_Dist_RowSums!$B6:$AZ6,transpose(State_EMM_RowSums!N$2:N$52))</f>
        <v>0</v>
      </c>
      <c r="N6" s="34">
        <f t="array" ref="N6">SUMPRODUCT(Com_Cdiv_State_Dist_RowSums!$B6:$AZ6,transpose(State_EMM_RowSums!O$2:O$52))</f>
        <v>0.1718617471</v>
      </c>
      <c r="O6" s="34">
        <f t="array" ref="O6">SUMPRODUCT(Com_Cdiv_State_Dist_RowSums!$B6:$AZ6,transpose(State_EMM_RowSums!P$2:P$52))</f>
        <v>0.1976247538</v>
      </c>
      <c r="P6" s="34">
        <f t="array" ref="P6">SUMPRODUCT(Com_Cdiv_State_Dist_RowSums!$B6:$AZ6,transpose(State_EMM_RowSums!Q$2:Q$52))</f>
        <v>0.1649558484</v>
      </c>
      <c r="Q6" s="34">
        <f t="array" ref="Q6">SUMPRODUCT(Com_Cdiv_State_Dist_RowSums!$B6:$AZ6,transpose(State_EMM_RowSums!R$2:R$52))</f>
        <v>0.002820088238</v>
      </c>
      <c r="R6" s="34">
        <f t="array" ref="R6">SUMPRODUCT(Com_Cdiv_State_Dist_RowSums!$B6:$AZ6,transpose(State_EMM_RowSums!S$2:S$52))</f>
        <v>0</v>
      </c>
      <c r="S6" s="34">
        <f t="array" ref="S6">SUMPRODUCT(Com_Cdiv_State_Dist_RowSums!$B6:$AZ6,transpose(State_EMM_RowSums!T$2:T$52))</f>
        <v>0</v>
      </c>
      <c r="T6" s="34">
        <f t="array" ref="T6">SUMPRODUCT(Com_Cdiv_State_Dist_RowSums!$B6:$AZ6,transpose(State_EMM_RowSums!U$2:U$52))</f>
        <v>0</v>
      </c>
      <c r="U6" s="34">
        <f t="array" ref="U6">SUMPRODUCT(Com_Cdiv_State_Dist_RowSums!$B6:$AZ6,transpose(State_EMM_RowSums!V$2:V$52))</f>
        <v>0</v>
      </c>
      <c r="V6" s="34">
        <f t="array" ref="V6">SUMPRODUCT(Com_Cdiv_State_Dist_RowSums!$B6:$AZ6,transpose(State_EMM_RowSums!W$2:W$52))</f>
        <v>0</v>
      </c>
      <c r="W6" s="34">
        <f t="array" ref="W6">SUMPRODUCT(Com_Cdiv_State_Dist_RowSums!$B6:$AZ6,transpose(State_EMM_RowSums!X$2:X$52))</f>
        <v>0</v>
      </c>
      <c r="X6" s="34">
        <f t="array" ref="X6">SUMPRODUCT(Com_Cdiv_State_Dist_RowSums!$B6:$AZ6,transpose(State_EMM_RowSums!Y$2:Y$52))</f>
        <v>0</v>
      </c>
      <c r="Y6" s="34">
        <f t="array" ref="Y6">SUMPRODUCT(Com_Cdiv_State_Dist_RowSums!$B6:$AZ6,transpose(State_EMM_RowSums!Z$2:Z$52))</f>
        <v>0</v>
      </c>
      <c r="Z6" s="34">
        <f t="array" ref="Z6">SUMPRODUCT(Com_Cdiv_State_Dist_RowSums!$B6:$AZ6,transpose(State_EMM_RowSums!AA$2:AA$52))</f>
        <v>0</v>
      </c>
    </row>
    <row r="7" ht="15.75" customHeight="1">
      <c r="A7" s="32">
        <v>6.0</v>
      </c>
      <c r="B7" s="34">
        <f t="array" ref="B7">SUMPRODUCT(Com_Cdiv_State_Dist_RowSums!$B7:$AZ7,transpose(State_EMM_RowSums!C$2:C$52))</f>
        <v>0</v>
      </c>
      <c r="C7" s="34">
        <f t="array" ref="C7">SUMPRODUCT(Com_Cdiv_State_Dist_RowSums!$B7:$AZ7,transpose(State_EMM_RowSums!D$2:D$52))</f>
        <v>0</v>
      </c>
      <c r="D7" s="34">
        <f t="array" ref="D7">SUMPRODUCT(Com_Cdiv_State_Dist_RowSums!$B7:$AZ7,transpose(State_EMM_RowSums!E$2:E$52))</f>
        <v>0</v>
      </c>
      <c r="E7" s="34">
        <f t="array" ref="E7">SUMPRODUCT(Com_Cdiv_State_Dist_RowSums!$B7:$AZ7,transpose(State_EMM_RowSums!F$2:F$52))</f>
        <v>0</v>
      </c>
      <c r="F7" s="34">
        <f t="array" ref="F7">SUMPRODUCT(Com_Cdiv_State_Dist_RowSums!$B7:$AZ7,transpose(State_EMM_RowSums!G$2:G$52))</f>
        <v>0</v>
      </c>
      <c r="G7" s="34">
        <f t="array" ref="G7">SUMPRODUCT(Com_Cdiv_State_Dist_RowSums!$B7:$AZ7,transpose(State_EMM_RowSums!H$2:H$52))</f>
        <v>0.09929415946</v>
      </c>
      <c r="H7" s="34">
        <f t="array" ref="H7">SUMPRODUCT(Com_Cdiv_State_Dist_RowSums!$B7:$AZ7,transpose(State_EMM_RowSums!I$2:I$52))</f>
        <v>0</v>
      </c>
      <c r="I7" s="34">
        <f t="array" ref="I7">SUMPRODUCT(Com_Cdiv_State_Dist_RowSums!$B7:$AZ7,transpose(State_EMM_RowSums!J$2:J$52))</f>
        <v>0</v>
      </c>
      <c r="J7" s="34">
        <f t="array" ref="J7">SUMPRODUCT(Com_Cdiv_State_Dist_RowSums!$B7:$AZ7,transpose(State_EMM_RowSums!K$2:K$52))</f>
        <v>0</v>
      </c>
      <c r="K7" s="34">
        <f t="array" ref="K7">SUMPRODUCT(Com_Cdiv_State_Dist_RowSums!$B7:$AZ7,transpose(State_EMM_RowSums!L$2:L$52))</f>
        <v>0</v>
      </c>
      <c r="L7" s="34">
        <f t="array" ref="L7">SUMPRODUCT(Com_Cdiv_State_Dist_RowSums!$B7:$AZ7,transpose(State_EMM_RowSums!M$2:M$52))</f>
        <v>0.01929506607</v>
      </c>
      <c r="M7" s="34">
        <f t="array" ref="M7">SUMPRODUCT(Com_Cdiv_State_Dist_RowSums!$B7:$AZ7,transpose(State_EMM_RowSums!N$2:N$52))</f>
        <v>0</v>
      </c>
      <c r="N7" s="34">
        <f t="array" ref="N7">SUMPRODUCT(Com_Cdiv_State_Dist_RowSums!$B7:$AZ7,transpose(State_EMM_RowSums!O$2:O$52))</f>
        <v>0</v>
      </c>
      <c r="O7" s="34">
        <f t="array" ref="O7">SUMPRODUCT(Com_Cdiv_State_Dist_RowSums!$B7:$AZ7,transpose(State_EMM_RowSums!P$2:P$52))</f>
        <v>0</v>
      </c>
      <c r="P7" s="34">
        <f t="array" ref="P7">SUMPRODUCT(Com_Cdiv_State_Dist_RowSums!$B7:$AZ7,transpose(State_EMM_RowSums!Q$2:Q$52))</f>
        <v>0.3023799198</v>
      </c>
      <c r="Q7" s="34">
        <f t="array" ref="Q7">SUMPRODUCT(Com_Cdiv_State_Dist_RowSums!$B7:$AZ7,transpose(State_EMM_RowSums!R$2:R$52))</f>
        <v>0.5790308547</v>
      </c>
      <c r="R7" s="34">
        <f t="array" ref="R7">SUMPRODUCT(Com_Cdiv_State_Dist_RowSums!$B7:$AZ7,transpose(State_EMM_RowSums!S$2:S$52))</f>
        <v>0</v>
      </c>
      <c r="S7" s="34">
        <f t="array" ref="S7">SUMPRODUCT(Com_Cdiv_State_Dist_RowSums!$B7:$AZ7,transpose(State_EMM_RowSums!T$2:T$52))</f>
        <v>0</v>
      </c>
      <c r="T7" s="34">
        <f t="array" ref="T7">SUMPRODUCT(Com_Cdiv_State_Dist_RowSums!$B7:$AZ7,transpose(State_EMM_RowSums!U$2:U$52))</f>
        <v>0</v>
      </c>
      <c r="U7" s="34">
        <f t="array" ref="U7">SUMPRODUCT(Com_Cdiv_State_Dist_RowSums!$B7:$AZ7,transpose(State_EMM_RowSums!V$2:V$52))</f>
        <v>0</v>
      </c>
      <c r="V7" s="34">
        <f t="array" ref="V7">SUMPRODUCT(Com_Cdiv_State_Dist_RowSums!$B7:$AZ7,transpose(State_EMM_RowSums!W$2:W$52))</f>
        <v>0</v>
      </c>
      <c r="W7" s="34">
        <f t="array" ref="W7">SUMPRODUCT(Com_Cdiv_State_Dist_RowSums!$B7:$AZ7,transpose(State_EMM_RowSums!X$2:X$52))</f>
        <v>0</v>
      </c>
      <c r="X7" s="34">
        <f t="array" ref="X7">SUMPRODUCT(Com_Cdiv_State_Dist_RowSums!$B7:$AZ7,transpose(State_EMM_RowSums!Y$2:Y$52))</f>
        <v>0</v>
      </c>
      <c r="Y7" s="34">
        <f t="array" ref="Y7">SUMPRODUCT(Com_Cdiv_State_Dist_RowSums!$B7:$AZ7,transpose(State_EMM_RowSums!Z$2:Z$52))</f>
        <v>0</v>
      </c>
      <c r="Z7" s="34">
        <f t="array" ref="Z7">SUMPRODUCT(Com_Cdiv_State_Dist_RowSums!$B7:$AZ7,transpose(State_EMM_RowSums!AA$2:AA$52))</f>
        <v>0</v>
      </c>
    </row>
    <row r="8" ht="15.75" customHeight="1">
      <c r="A8" s="32">
        <v>7.0</v>
      </c>
      <c r="B8" s="34">
        <f t="array" ref="B8">SUMPRODUCT(Com_Cdiv_State_Dist_RowSums!$B8:$AZ8,transpose(State_EMM_RowSums!C$2:C$52))</f>
        <v>0.5359457988</v>
      </c>
      <c r="C8" s="34">
        <f t="array" ref="C8">SUMPRODUCT(Com_Cdiv_State_Dist_RowSums!$B8:$AZ8,transpose(State_EMM_RowSums!D$2:D$52))</f>
        <v>0</v>
      </c>
      <c r="D8" s="34">
        <f t="array" ref="D8">SUMPRODUCT(Com_Cdiv_State_Dist_RowSums!$B8:$AZ8,transpose(State_EMM_RowSums!E$2:E$52))</f>
        <v>0</v>
      </c>
      <c r="E8" s="34">
        <f t="array" ref="E8">SUMPRODUCT(Com_Cdiv_State_Dist_RowSums!$B8:$AZ8,transpose(State_EMM_RowSums!F$2:F$52))</f>
        <v>0</v>
      </c>
      <c r="F8" s="34">
        <f t="array" ref="F8">SUMPRODUCT(Com_Cdiv_State_Dist_RowSums!$B8:$AZ8,transpose(State_EMM_RowSums!G$2:G$52))</f>
        <v>0</v>
      </c>
      <c r="G8" s="34">
        <f t="array" ref="G8">SUMPRODUCT(Com_Cdiv_State_Dist_RowSums!$B8:$AZ8,transpose(State_EMM_RowSums!H$2:H$52))</f>
        <v>0.2116625784</v>
      </c>
      <c r="H8" s="34">
        <f t="array" ref="H8">SUMPRODUCT(Com_Cdiv_State_Dist_RowSums!$B8:$AZ8,transpose(State_EMM_RowSums!I$2:I$52))</f>
        <v>0</v>
      </c>
      <c r="I8" s="34">
        <f t="array" ref="I8">SUMPRODUCT(Com_Cdiv_State_Dist_RowSums!$B8:$AZ8,transpose(State_EMM_RowSums!J$2:J$52))</f>
        <v>0</v>
      </c>
      <c r="J8" s="34">
        <f t="array" ref="J8">SUMPRODUCT(Com_Cdiv_State_Dist_RowSums!$B8:$AZ8,transpose(State_EMM_RowSums!K$2:K$52))</f>
        <v>0</v>
      </c>
      <c r="K8" s="34">
        <f t="array" ref="K8">SUMPRODUCT(Com_Cdiv_State_Dist_RowSums!$B8:$AZ8,transpose(State_EMM_RowSums!L$2:L$52))</f>
        <v>0</v>
      </c>
      <c r="L8" s="34">
        <f t="array" ref="L8">SUMPRODUCT(Com_Cdiv_State_Dist_RowSums!$B8:$AZ8,transpose(State_EMM_RowSums!M$2:M$52))</f>
        <v>0</v>
      </c>
      <c r="M8" s="34">
        <f t="array" ref="M8">SUMPRODUCT(Com_Cdiv_State_Dist_RowSums!$B8:$AZ8,transpose(State_EMM_RowSums!N$2:N$52))</f>
        <v>0</v>
      </c>
      <c r="N8" s="34">
        <f t="array" ref="N8">SUMPRODUCT(Com_Cdiv_State_Dist_RowSums!$B8:$AZ8,transpose(State_EMM_RowSums!O$2:O$52))</f>
        <v>0</v>
      </c>
      <c r="O8" s="34">
        <f t="array" ref="O8">SUMPRODUCT(Com_Cdiv_State_Dist_RowSums!$B8:$AZ8,transpose(State_EMM_RowSums!P$2:P$52))</f>
        <v>0</v>
      </c>
      <c r="P8" s="34">
        <f t="array" ref="P8">SUMPRODUCT(Com_Cdiv_State_Dist_RowSums!$B8:$AZ8,transpose(State_EMM_RowSums!Q$2:Q$52))</f>
        <v>0</v>
      </c>
      <c r="Q8" s="34">
        <f t="array" ref="Q8">SUMPRODUCT(Com_Cdiv_State_Dist_RowSums!$B8:$AZ8,transpose(State_EMM_RowSums!R$2:R$52))</f>
        <v>0</v>
      </c>
      <c r="R8" s="34">
        <f t="array" ref="R8">SUMPRODUCT(Com_Cdiv_State_Dist_RowSums!$B8:$AZ8,transpose(State_EMM_RowSums!S$2:S$52))</f>
        <v>0.2346346005</v>
      </c>
      <c r="S8" s="34">
        <f t="array" ref="S8">SUMPRODUCT(Com_Cdiv_State_Dist_RowSums!$B8:$AZ8,transpose(State_EMM_RowSums!T$2:T$52))</f>
        <v>0</v>
      </c>
      <c r="T8" s="34">
        <f t="array" ref="T8">SUMPRODUCT(Com_Cdiv_State_Dist_RowSums!$B8:$AZ8,transpose(State_EMM_RowSums!U$2:U$52))</f>
        <v>0</v>
      </c>
      <c r="U8" s="34">
        <f t="array" ref="U8">SUMPRODUCT(Com_Cdiv_State_Dist_RowSums!$B8:$AZ8,transpose(State_EMM_RowSums!V$2:V$52))</f>
        <v>0.01775702236</v>
      </c>
      <c r="V8" s="34">
        <f t="array" ref="V8">SUMPRODUCT(Com_Cdiv_State_Dist_RowSums!$B8:$AZ8,transpose(State_EMM_RowSums!W$2:W$52))</f>
        <v>0</v>
      </c>
      <c r="W8" s="34">
        <f t="array" ref="W8">SUMPRODUCT(Com_Cdiv_State_Dist_RowSums!$B8:$AZ8,transpose(State_EMM_RowSums!X$2:X$52))</f>
        <v>0</v>
      </c>
      <c r="X8" s="34">
        <f t="array" ref="X8">SUMPRODUCT(Com_Cdiv_State_Dist_RowSums!$B8:$AZ8,transpose(State_EMM_RowSums!Y$2:Y$52))</f>
        <v>0</v>
      </c>
      <c r="Y8" s="34">
        <f t="array" ref="Y8">SUMPRODUCT(Com_Cdiv_State_Dist_RowSums!$B8:$AZ8,transpose(State_EMM_RowSums!Z$2:Z$52))</f>
        <v>0</v>
      </c>
      <c r="Z8" s="34">
        <f t="array" ref="Z8">SUMPRODUCT(Com_Cdiv_State_Dist_RowSums!$B8:$AZ8,transpose(State_EMM_RowSums!AA$2:AA$52))</f>
        <v>0</v>
      </c>
    </row>
    <row r="9" ht="15.75" customHeight="1">
      <c r="A9" s="32">
        <v>8.0</v>
      </c>
      <c r="B9" s="34">
        <f t="array" ref="B9">SUMPRODUCT(Com_Cdiv_State_Dist_RowSums!$B9:$AZ9,transpose(State_EMM_RowSums!C$2:C$52))</f>
        <v>0</v>
      </c>
      <c r="C9" s="34">
        <f t="array" ref="C9">SUMPRODUCT(Com_Cdiv_State_Dist_RowSums!$B9:$AZ9,transpose(State_EMM_RowSums!D$2:D$52))</f>
        <v>0</v>
      </c>
      <c r="D9" s="34">
        <f t="array" ref="D9">SUMPRODUCT(Com_Cdiv_State_Dist_RowSums!$B9:$AZ9,transpose(State_EMM_RowSums!E$2:E$52))</f>
        <v>0.0001638801977</v>
      </c>
      <c r="E9" s="34">
        <f t="array" ref="E9">SUMPRODUCT(Com_Cdiv_State_Dist_RowSums!$B9:$AZ9,transpose(State_EMM_RowSums!F$2:F$52))</f>
        <v>0</v>
      </c>
      <c r="F9" s="34">
        <f t="array" ref="F9">SUMPRODUCT(Com_Cdiv_State_Dist_RowSums!$B9:$AZ9,transpose(State_EMM_RowSums!G$2:G$52))</f>
        <v>0</v>
      </c>
      <c r="G9" s="34">
        <f t="array" ref="G9">SUMPRODUCT(Com_Cdiv_State_Dist_RowSums!$B9:$AZ9,transpose(State_EMM_RowSums!H$2:H$52))</f>
        <v>0</v>
      </c>
      <c r="H9" s="34">
        <f t="array" ref="H9">SUMPRODUCT(Com_Cdiv_State_Dist_RowSums!$B9:$AZ9,transpose(State_EMM_RowSums!I$2:I$52))</f>
        <v>0</v>
      </c>
      <c r="I9" s="34">
        <f t="array" ref="I9">SUMPRODUCT(Com_Cdiv_State_Dist_RowSums!$B9:$AZ9,transpose(State_EMM_RowSums!J$2:J$52))</f>
        <v>0</v>
      </c>
      <c r="J9" s="34">
        <f t="array" ref="J9">SUMPRODUCT(Com_Cdiv_State_Dist_RowSums!$B9:$AZ9,transpose(State_EMM_RowSums!K$2:K$52))</f>
        <v>0</v>
      </c>
      <c r="K9" s="34">
        <f t="array" ref="K9">SUMPRODUCT(Com_Cdiv_State_Dist_RowSums!$B9:$AZ9,transpose(State_EMM_RowSums!L$2:L$52))</f>
        <v>0</v>
      </c>
      <c r="L9" s="34">
        <f t="array" ref="L9">SUMPRODUCT(Com_Cdiv_State_Dist_RowSums!$B9:$AZ9,transpose(State_EMM_RowSums!M$2:M$52))</f>
        <v>0</v>
      </c>
      <c r="M9" s="34">
        <f t="array" ref="M9">SUMPRODUCT(Com_Cdiv_State_Dist_RowSums!$B9:$AZ9,transpose(State_EMM_RowSums!N$2:N$52))</f>
        <v>0</v>
      </c>
      <c r="N9" s="34">
        <f t="array" ref="N9">SUMPRODUCT(Com_Cdiv_State_Dist_RowSums!$B9:$AZ9,transpose(State_EMM_RowSums!O$2:O$52))</f>
        <v>0</v>
      </c>
      <c r="O9" s="34">
        <f t="array" ref="O9">SUMPRODUCT(Com_Cdiv_State_Dist_RowSums!$B9:$AZ9,transpose(State_EMM_RowSums!P$2:P$52))</f>
        <v>0</v>
      </c>
      <c r="P9" s="34">
        <f t="array" ref="P9">SUMPRODUCT(Com_Cdiv_State_Dist_RowSums!$B9:$AZ9,transpose(State_EMM_RowSums!Q$2:Q$52))</f>
        <v>0</v>
      </c>
      <c r="Q9" s="34">
        <f t="array" ref="Q9">SUMPRODUCT(Com_Cdiv_State_Dist_RowSums!$B9:$AZ9,transpose(State_EMM_RowSums!R$2:R$52))</f>
        <v>0</v>
      </c>
      <c r="R9" s="34">
        <f t="array" ref="R9">SUMPRODUCT(Com_Cdiv_State_Dist_RowSums!$B9:$AZ9,transpose(State_EMM_RowSums!S$2:S$52))</f>
        <v>0.008139932095</v>
      </c>
      <c r="S9" s="34">
        <f t="array" ref="S9">SUMPRODUCT(Com_Cdiv_State_Dist_RowSums!$B9:$AZ9,transpose(State_EMM_RowSums!T$2:T$52))</f>
        <v>0</v>
      </c>
      <c r="T9" s="34">
        <f t="array" ref="T9">SUMPRODUCT(Com_Cdiv_State_Dist_RowSums!$B9:$AZ9,transpose(State_EMM_RowSums!U$2:U$52))</f>
        <v>0.0008502895289</v>
      </c>
      <c r="U9" s="34">
        <f t="array" ref="U9">SUMPRODUCT(Com_Cdiv_State_Dist_RowSums!$B9:$AZ9,transpose(State_EMM_RowSums!V$2:V$52))</f>
        <v>0.3245917408</v>
      </c>
      <c r="V9" s="34">
        <f t="array" ref="V9">SUMPRODUCT(Com_Cdiv_State_Dist_RowSums!$B9:$AZ9,transpose(State_EMM_RowSums!W$2:W$52))</f>
        <v>0</v>
      </c>
      <c r="W9" s="34">
        <f t="array" ref="W9">SUMPRODUCT(Com_Cdiv_State_Dist_RowSums!$B9:$AZ9,transpose(State_EMM_RowSums!X$2:X$52))</f>
        <v>0</v>
      </c>
      <c r="X9" s="34">
        <f t="array" ref="X9">SUMPRODUCT(Com_Cdiv_State_Dist_RowSums!$B9:$AZ9,transpose(State_EMM_RowSums!Y$2:Y$52))</f>
        <v>0.04695540604</v>
      </c>
      <c r="Y9" s="34">
        <f t="array" ref="Y9">SUMPRODUCT(Com_Cdiv_State_Dist_RowSums!$B9:$AZ9,transpose(State_EMM_RowSums!Z$2:Z$52))</f>
        <v>0.2611961847</v>
      </c>
      <c r="Z9" s="34">
        <f t="array" ref="Z9">SUMPRODUCT(Com_Cdiv_State_Dist_RowSums!$B9:$AZ9,transpose(State_EMM_RowSums!AA$2:AA$52))</f>
        <v>0.3581025666</v>
      </c>
    </row>
    <row r="10" ht="15.75" customHeight="1">
      <c r="A10" s="32">
        <v>9.0</v>
      </c>
      <c r="B10" s="34">
        <f t="array" ref="B10">SUMPRODUCT(Com_Cdiv_State_Dist_RowSums!$B10:$AZ10,transpose(State_EMM_RowSums!C$2:C$52))</f>
        <v>0</v>
      </c>
      <c r="C10" s="34">
        <f t="array" ref="C10">SUMPRODUCT(Com_Cdiv_State_Dist_RowSums!$B10:$AZ10,transpose(State_EMM_RowSums!D$2:D$52))</f>
        <v>0</v>
      </c>
      <c r="D10" s="34">
        <f t="array" ref="D10">SUMPRODUCT(Com_Cdiv_State_Dist_RowSums!$B10:$AZ10,transpose(State_EMM_RowSums!E$2:E$52))</f>
        <v>0</v>
      </c>
      <c r="E10" s="34">
        <f t="array" ref="E10">SUMPRODUCT(Com_Cdiv_State_Dist_RowSums!$B10:$AZ10,transpose(State_EMM_RowSums!F$2:F$52))</f>
        <v>0</v>
      </c>
      <c r="F10" s="34">
        <f t="array" ref="F10">SUMPRODUCT(Com_Cdiv_State_Dist_RowSums!$B10:$AZ10,transpose(State_EMM_RowSums!G$2:G$52))</f>
        <v>0</v>
      </c>
      <c r="G10" s="34">
        <f t="array" ref="G10">SUMPRODUCT(Com_Cdiv_State_Dist_RowSums!$B10:$AZ10,transpose(State_EMM_RowSums!H$2:H$52))</f>
        <v>0</v>
      </c>
      <c r="H10" s="34">
        <f t="array" ref="H10">SUMPRODUCT(Com_Cdiv_State_Dist_RowSums!$B10:$AZ10,transpose(State_EMM_RowSums!I$2:I$52))</f>
        <v>0</v>
      </c>
      <c r="I10" s="34">
        <f t="array" ref="I10">SUMPRODUCT(Com_Cdiv_State_Dist_RowSums!$B10:$AZ10,transpose(State_EMM_RowSums!J$2:J$52))</f>
        <v>0</v>
      </c>
      <c r="J10" s="34">
        <f t="array" ref="J10">SUMPRODUCT(Com_Cdiv_State_Dist_RowSums!$B10:$AZ10,transpose(State_EMM_RowSums!K$2:K$52))</f>
        <v>0</v>
      </c>
      <c r="K10" s="34">
        <f t="array" ref="K10">SUMPRODUCT(Com_Cdiv_State_Dist_RowSums!$B10:$AZ10,transpose(State_EMM_RowSums!L$2:L$52))</f>
        <v>0</v>
      </c>
      <c r="L10" s="34">
        <f t="array" ref="L10">SUMPRODUCT(Com_Cdiv_State_Dist_RowSums!$B10:$AZ10,transpose(State_EMM_RowSums!M$2:M$52))</f>
        <v>0</v>
      </c>
      <c r="M10" s="34">
        <f t="array" ref="M10">SUMPRODUCT(Com_Cdiv_State_Dist_RowSums!$B10:$AZ10,transpose(State_EMM_RowSums!N$2:N$52))</f>
        <v>0</v>
      </c>
      <c r="N10" s="34">
        <f t="array" ref="N10">SUMPRODUCT(Com_Cdiv_State_Dist_RowSums!$B10:$AZ10,transpose(State_EMM_RowSums!O$2:O$52))</f>
        <v>0</v>
      </c>
      <c r="O10" s="34">
        <f t="array" ref="O10">SUMPRODUCT(Com_Cdiv_State_Dist_RowSums!$B10:$AZ10,transpose(State_EMM_RowSums!P$2:P$52))</f>
        <v>0</v>
      </c>
      <c r="P10" s="34">
        <f t="array" ref="P10">SUMPRODUCT(Com_Cdiv_State_Dist_RowSums!$B10:$AZ10,transpose(State_EMM_RowSums!Q$2:Q$52))</f>
        <v>0</v>
      </c>
      <c r="Q10" s="34">
        <f t="array" ref="Q10">SUMPRODUCT(Com_Cdiv_State_Dist_RowSums!$B10:$AZ10,transpose(State_EMM_RowSums!R$2:R$52))</f>
        <v>0</v>
      </c>
      <c r="R10" s="34">
        <f t="array" ref="R10">SUMPRODUCT(Com_Cdiv_State_Dist_RowSums!$B10:$AZ10,transpose(State_EMM_RowSums!S$2:S$52))</f>
        <v>0</v>
      </c>
      <c r="S10" s="34">
        <f t="array" ref="S10">SUMPRODUCT(Com_Cdiv_State_Dist_RowSums!$B10:$AZ10,transpose(State_EMM_RowSums!T$2:T$52))</f>
        <v>0</v>
      </c>
      <c r="T10" s="34">
        <f t="array" ref="T10">SUMPRODUCT(Com_Cdiv_State_Dist_RowSums!$B10:$AZ10,transpose(State_EMM_RowSums!U$2:U$52))</f>
        <v>0</v>
      </c>
      <c r="U10" s="34">
        <f t="array" ref="U10">SUMPRODUCT(Com_Cdiv_State_Dist_RowSums!$B10:$AZ10,transpose(State_EMM_RowSums!V$2:V$52))</f>
        <v>0.002453223458</v>
      </c>
      <c r="V10" s="34">
        <f t="array" ref="V10">SUMPRODUCT(Com_Cdiv_State_Dist_RowSums!$B10:$AZ10,transpose(State_EMM_RowSums!W$2:W$52))</f>
        <v>0.2146597448</v>
      </c>
      <c r="W10" s="34">
        <f t="array" ref="W10">SUMPRODUCT(Com_Cdiv_State_Dist_RowSums!$B10:$AZ10,transpose(State_EMM_RowSums!X$2:X$52))</f>
        <v>0.3152771998</v>
      </c>
      <c r="X10" s="34">
        <f t="array" ref="X10">SUMPRODUCT(Com_Cdiv_State_Dist_RowSums!$B10:$AZ10,transpose(State_EMM_RowSums!Y$2:Y$52))</f>
        <v>0.2384431652</v>
      </c>
      <c r="Y10" s="34">
        <f t="array" ref="Y10">SUMPRODUCT(Com_Cdiv_State_Dist_RowSums!$B10:$AZ10,transpose(State_EMM_RowSums!Z$2:Z$52))</f>
        <v>0</v>
      </c>
      <c r="Z10" s="34">
        <f t="array" ref="Z10">SUMPRODUCT(Com_Cdiv_State_Dist_RowSums!$B10:$AZ10,transpose(State_EMM_RowSums!AA$2:AA$52))</f>
        <v>0</v>
      </c>
    </row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</sheetData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32" t="s">
        <v>94</v>
      </c>
      <c r="B1" s="32" t="s">
        <v>4010</v>
      </c>
      <c r="C1" s="32" t="s">
        <v>3989</v>
      </c>
      <c r="D1" s="32" t="s">
        <v>3996</v>
      </c>
      <c r="E1" s="32" t="s">
        <v>3992</v>
      </c>
      <c r="F1" s="32" t="s">
        <v>4003</v>
      </c>
      <c r="G1" s="32" t="s">
        <v>3974</v>
      </c>
      <c r="H1" s="32" t="s">
        <v>3985</v>
      </c>
      <c r="I1" s="32" t="s">
        <v>4006</v>
      </c>
      <c r="J1" s="32" t="s">
        <v>4005</v>
      </c>
      <c r="K1" s="32" t="s">
        <v>3987</v>
      </c>
      <c r="L1" s="32" t="s">
        <v>3997</v>
      </c>
      <c r="M1" s="32" t="s">
        <v>3994</v>
      </c>
      <c r="N1" s="32" t="s">
        <v>3988</v>
      </c>
      <c r="O1" s="32" t="s">
        <v>4009</v>
      </c>
      <c r="P1" s="32" t="s">
        <v>3969</v>
      </c>
      <c r="Q1" s="32" t="s">
        <v>3970</v>
      </c>
      <c r="R1" s="32" t="s">
        <v>3976</v>
      </c>
      <c r="S1" s="32" t="s">
        <v>4001</v>
      </c>
      <c r="T1" s="32" t="s">
        <v>3999</v>
      </c>
      <c r="U1" s="32" t="s">
        <v>3972</v>
      </c>
      <c r="V1" s="32" t="s">
        <v>3979</v>
      </c>
      <c r="W1" s="32" t="s">
        <v>3981</v>
      </c>
      <c r="X1" s="32" t="s">
        <v>3980</v>
      </c>
      <c r="Y1" s="32" t="s">
        <v>3983</v>
      </c>
      <c r="Z1" s="32" t="s">
        <v>3990</v>
      </c>
    </row>
    <row r="2" ht="15.75" customHeight="1">
      <c r="A2" s="32">
        <v>1.0</v>
      </c>
      <c r="B2" s="34">
        <f t="array" ref="B2">SUMPRODUCT(Com_Cdiv_State_Other_RowSums!$B2:$AZ2,transpose(State_EMM_RowSums!C$2:C$52))</f>
        <v>0</v>
      </c>
      <c r="C2" s="34">
        <f t="array" ref="C2">SUMPRODUCT(Com_Cdiv_State_Other_RowSums!$B2:$AZ2,transpose(State_EMM_RowSums!D$2:D$52))</f>
        <v>0</v>
      </c>
      <c r="D2" s="34">
        <f t="array" ref="D2">SUMPRODUCT(Com_Cdiv_State_Other_RowSums!$B2:$AZ2,transpose(State_EMM_RowSums!E$2:E$52))</f>
        <v>0</v>
      </c>
      <c r="E2" s="34">
        <f t="array" ref="E2">SUMPRODUCT(Com_Cdiv_State_Other_RowSums!$B2:$AZ2,transpose(State_EMM_RowSums!F$2:F$52))</f>
        <v>0</v>
      </c>
      <c r="F2" s="34">
        <f t="array" ref="F2">SUMPRODUCT(Com_Cdiv_State_Other_RowSums!$B2:$AZ2,transpose(State_EMM_RowSums!G$2:G$52))</f>
        <v>0</v>
      </c>
      <c r="G2" s="34">
        <f t="array" ref="G2">SUMPRODUCT(Com_Cdiv_State_Other_RowSums!$B2:$AZ2,transpose(State_EMM_RowSums!H$2:H$52))</f>
        <v>0</v>
      </c>
      <c r="H2" s="34">
        <f t="array" ref="H2">SUMPRODUCT(Com_Cdiv_State_Other_RowSums!$B2:$AZ2,transpose(State_EMM_RowSums!I$2:I$52))</f>
        <v>1</v>
      </c>
      <c r="I2" s="34">
        <f t="array" ref="I2">SUMPRODUCT(Com_Cdiv_State_Other_RowSums!$B2:$AZ2,transpose(State_EMM_RowSums!J$2:J$52))</f>
        <v>0</v>
      </c>
      <c r="J2" s="34">
        <f t="array" ref="J2">SUMPRODUCT(Com_Cdiv_State_Other_RowSums!$B2:$AZ2,transpose(State_EMM_RowSums!K$2:K$52))</f>
        <v>0</v>
      </c>
      <c r="K2" s="34">
        <f t="array" ref="K2">SUMPRODUCT(Com_Cdiv_State_Other_RowSums!$B2:$AZ2,transpose(State_EMM_RowSums!L$2:L$52))</f>
        <v>0</v>
      </c>
      <c r="L2" s="34">
        <f t="array" ref="L2">SUMPRODUCT(Com_Cdiv_State_Other_RowSums!$B2:$AZ2,transpose(State_EMM_RowSums!M$2:M$52))</f>
        <v>0</v>
      </c>
      <c r="M2" s="34">
        <f t="array" ref="M2">SUMPRODUCT(Com_Cdiv_State_Other_RowSums!$B2:$AZ2,transpose(State_EMM_RowSums!N$2:N$52))</f>
        <v>0</v>
      </c>
      <c r="N2" s="34">
        <f t="array" ref="N2">SUMPRODUCT(Com_Cdiv_State_Other_RowSums!$B2:$AZ2,transpose(State_EMM_RowSums!O$2:O$52))</f>
        <v>0</v>
      </c>
      <c r="O2" s="34">
        <f t="array" ref="O2">SUMPRODUCT(Com_Cdiv_State_Other_RowSums!$B2:$AZ2,transpose(State_EMM_RowSums!P$2:P$52))</f>
        <v>0</v>
      </c>
      <c r="P2" s="34">
        <f t="array" ref="P2">SUMPRODUCT(Com_Cdiv_State_Other_RowSums!$B2:$AZ2,transpose(State_EMM_RowSums!Q$2:Q$52))</f>
        <v>0</v>
      </c>
      <c r="Q2" s="34">
        <f t="array" ref="Q2">SUMPRODUCT(Com_Cdiv_State_Other_RowSums!$B2:$AZ2,transpose(State_EMM_RowSums!R$2:R$52))</f>
        <v>0</v>
      </c>
      <c r="R2" s="34">
        <f t="array" ref="R2">SUMPRODUCT(Com_Cdiv_State_Other_RowSums!$B2:$AZ2,transpose(State_EMM_RowSums!S$2:S$52))</f>
        <v>0</v>
      </c>
      <c r="S2" s="34">
        <f t="array" ref="S2">SUMPRODUCT(Com_Cdiv_State_Other_RowSums!$B2:$AZ2,transpose(State_EMM_RowSums!T$2:T$52))</f>
        <v>0</v>
      </c>
      <c r="T2" s="34">
        <f t="array" ref="T2">SUMPRODUCT(Com_Cdiv_State_Other_RowSums!$B2:$AZ2,transpose(State_EMM_RowSums!U$2:U$52))</f>
        <v>0</v>
      </c>
      <c r="U2" s="34">
        <f t="array" ref="U2">SUMPRODUCT(Com_Cdiv_State_Other_RowSums!$B2:$AZ2,transpose(State_EMM_RowSums!V$2:V$52))</f>
        <v>0</v>
      </c>
      <c r="V2" s="34">
        <f t="array" ref="V2">SUMPRODUCT(Com_Cdiv_State_Other_RowSums!$B2:$AZ2,transpose(State_EMM_RowSums!W$2:W$52))</f>
        <v>0</v>
      </c>
      <c r="W2" s="34">
        <f t="array" ref="W2">SUMPRODUCT(Com_Cdiv_State_Other_RowSums!$B2:$AZ2,transpose(State_EMM_RowSums!X$2:X$52))</f>
        <v>0</v>
      </c>
      <c r="X2" s="34">
        <f t="array" ref="X2">SUMPRODUCT(Com_Cdiv_State_Other_RowSums!$B2:$AZ2,transpose(State_EMM_RowSums!Y$2:Y$52))</f>
        <v>0</v>
      </c>
      <c r="Y2" s="34">
        <f t="array" ref="Y2">SUMPRODUCT(Com_Cdiv_State_Other_RowSums!$B2:$AZ2,transpose(State_EMM_RowSums!Z$2:Z$52))</f>
        <v>0</v>
      </c>
      <c r="Z2" s="34">
        <f t="array" ref="Z2">SUMPRODUCT(Com_Cdiv_State_Other_RowSums!$B2:$AZ2,transpose(State_EMM_RowSums!AA$2:AA$52))</f>
        <v>0</v>
      </c>
    </row>
    <row r="3" ht="15.75" customHeight="1">
      <c r="A3" s="32">
        <v>2.0</v>
      </c>
      <c r="B3" s="34">
        <f t="array" ref="B3">SUMPRODUCT(Com_Cdiv_State_Other_RowSums!$B3:$AZ3,transpose(State_EMM_RowSums!C$2:C$52))</f>
        <v>0</v>
      </c>
      <c r="C3" s="34">
        <f t="array" ref="C3">SUMPRODUCT(Com_Cdiv_State_Other_RowSums!$B3:$AZ3,transpose(State_EMM_RowSums!D$2:D$52))</f>
        <v>0</v>
      </c>
      <c r="D3" s="34">
        <f t="array" ref="D3">SUMPRODUCT(Com_Cdiv_State_Other_RowSums!$B3:$AZ3,transpose(State_EMM_RowSums!E$2:E$52))</f>
        <v>0</v>
      </c>
      <c r="E3" s="34">
        <f t="array" ref="E3">SUMPRODUCT(Com_Cdiv_State_Other_RowSums!$B3:$AZ3,transpose(State_EMM_RowSums!F$2:F$52))</f>
        <v>0</v>
      </c>
      <c r="F3" s="34">
        <f t="array" ref="F3">SUMPRODUCT(Com_Cdiv_State_Other_RowSums!$B3:$AZ3,transpose(State_EMM_RowSums!G$2:G$52))</f>
        <v>0</v>
      </c>
      <c r="G3" s="34">
        <f t="array" ref="G3">SUMPRODUCT(Com_Cdiv_State_Other_RowSums!$B3:$AZ3,transpose(State_EMM_RowSums!H$2:H$52))</f>
        <v>0</v>
      </c>
      <c r="H3" s="34">
        <f t="array" ref="H3">SUMPRODUCT(Com_Cdiv_State_Other_RowSums!$B3:$AZ3,transpose(State_EMM_RowSums!I$2:I$52))</f>
        <v>0</v>
      </c>
      <c r="I3" s="34">
        <f t="array" ref="I3">SUMPRODUCT(Com_Cdiv_State_Other_RowSums!$B3:$AZ3,transpose(State_EMM_RowSums!J$2:J$52))</f>
        <v>0.2692134199</v>
      </c>
      <c r="J3" s="34">
        <f t="array" ref="J3">SUMPRODUCT(Com_Cdiv_State_Other_RowSums!$B3:$AZ3,transpose(State_EMM_RowSums!K$2:K$52))</f>
        <v>0.1712146384</v>
      </c>
      <c r="K3" s="34">
        <f t="array" ref="K3">SUMPRODUCT(Com_Cdiv_State_Other_RowSums!$B3:$AZ3,transpose(State_EMM_RowSums!L$2:L$52))</f>
        <v>0.4854307128</v>
      </c>
      <c r="L3" s="34">
        <f t="array" ref="L3">SUMPRODUCT(Com_Cdiv_State_Other_RowSums!$B3:$AZ3,transpose(State_EMM_RowSums!M$2:M$52))</f>
        <v>0.07414122883</v>
      </c>
      <c r="M3" s="34">
        <f t="array" ref="M3">SUMPRODUCT(Com_Cdiv_State_Other_RowSums!$B3:$AZ3,transpose(State_EMM_RowSums!N$2:N$52))</f>
        <v>0</v>
      </c>
      <c r="N3" s="34">
        <f t="array" ref="N3">SUMPRODUCT(Com_Cdiv_State_Other_RowSums!$B3:$AZ3,transpose(State_EMM_RowSums!O$2:O$52))</f>
        <v>0</v>
      </c>
      <c r="O3" s="34">
        <f t="array" ref="O3">SUMPRODUCT(Com_Cdiv_State_Other_RowSums!$B3:$AZ3,transpose(State_EMM_RowSums!P$2:P$52))</f>
        <v>0</v>
      </c>
      <c r="P3" s="34">
        <f t="array" ref="P3">SUMPRODUCT(Com_Cdiv_State_Other_RowSums!$B3:$AZ3,transpose(State_EMM_RowSums!Q$2:Q$52))</f>
        <v>0</v>
      </c>
      <c r="Q3" s="34">
        <f t="array" ref="Q3">SUMPRODUCT(Com_Cdiv_State_Other_RowSums!$B3:$AZ3,transpose(State_EMM_RowSums!R$2:R$52))</f>
        <v>0</v>
      </c>
      <c r="R3" s="34">
        <f t="array" ref="R3">SUMPRODUCT(Com_Cdiv_State_Other_RowSums!$B3:$AZ3,transpose(State_EMM_RowSums!S$2:S$52))</f>
        <v>0</v>
      </c>
      <c r="S3" s="34">
        <f t="array" ref="S3">SUMPRODUCT(Com_Cdiv_State_Other_RowSums!$B3:$AZ3,transpose(State_EMM_RowSums!T$2:T$52))</f>
        <v>0</v>
      </c>
      <c r="T3" s="34">
        <f t="array" ref="T3">SUMPRODUCT(Com_Cdiv_State_Other_RowSums!$B3:$AZ3,transpose(State_EMM_RowSums!U$2:U$52))</f>
        <v>0</v>
      </c>
      <c r="U3" s="34">
        <f t="array" ref="U3">SUMPRODUCT(Com_Cdiv_State_Other_RowSums!$B3:$AZ3,transpose(State_EMM_RowSums!V$2:V$52))</f>
        <v>0</v>
      </c>
      <c r="V3" s="34">
        <f t="array" ref="V3">SUMPRODUCT(Com_Cdiv_State_Other_RowSums!$B3:$AZ3,transpose(State_EMM_RowSums!W$2:W$52))</f>
        <v>0</v>
      </c>
      <c r="W3" s="34">
        <f t="array" ref="W3">SUMPRODUCT(Com_Cdiv_State_Other_RowSums!$B3:$AZ3,transpose(State_EMM_RowSums!X$2:X$52))</f>
        <v>0</v>
      </c>
      <c r="X3" s="34">
        <f t="array" ref="X3">SUMPRODUCT(Com_Cdiv_State_Other_RowSums!$B3:$AZ3,transpose(State_EMM_RowSums!Y$2:Y$52))</f>
        <v>0</v>
      </c>
      <c r="Y3" s="34">
        <f t="array" ref="Y3">SUMPRODUCT(Com_Cdiv_State_Other_RowSums!$B3:$AZ3,transpose(State_EMM_RowSums!Z$2:Z$52))</f>
        <v>0</v>
      </c>
      <c r="Z3" s="34">
        <f t="array" ref="Z3">SUMPRODUCT(Com_Cdiv_State_Other_RowSums!$B3:$AZ3,transpose(State_EMM_RowSums!AA$2:AA$52))</f>
        <v>0</v>
      </c>
    </row>
    <row r="4" ht="15.75" customHeight="1">
      <c r="A4" s="32">
        <v>3.0</v>
      </c>
      <c r="B4" s="34">
        <f t="array" ref="B4">SUMPRODUCT(Com_Cdiv_State_Other_RowSums!$B4:$AZ4,transpose(State_EMM_RowSums!C$2:C$52))</f>
        <v>0</v>
      </c>
      <c r="C4" s="34">
        <f t="array" ref="C4">SUMPRODUCT(Com_Cdiv_State_Other_RowSums!$B4:$AZ4,transpose(State_EMM_RowSums!D$2:D$52))</f>
        <v>0</v>
      </c>
      <c r="D4" s="34">
        <f t="array" ref="D4">SUMPRODUCT(Com_Cdiv_State_Other_RowSums!$B4:$AZ4,transpose(State_EMM_RowSums!E$2:E$52))</f>
        <v>0.1400730686</v>
      </c>
      <c r="E4" s="34">
        <f t="array" ref="E4">SUMPRODUCT(Com_Cdiv_State_Other_RowSums!$B4:$AZ4,transpose(State_EMM_RowSums!F$2:F$52))</f>
        <v>0.1666049456</v>
      </c>
      <c r="F4" s="34">
        <f t="array" ref="F4">SUMPRODUCT(Com_Cdiv_State_Other_RowSums!$B4:$AZ4,transpose(State_EMM_RowSums!G$2:G$52))</f>
        <v>0.1852507071</v>
      </c>
      <c r="G4" s="34">
        <f t="array" ref="G4">SUMPRODUCT(Com_Cdiv_State_Other_RowSums!$B4:$AZ4,transpose(State_EMM_RowSums!H$2:H$52))</f>
        <v>0</v>
      </c>
      <c r="H4" s="34">
        <f t="array" ref="H4">SUMPRODUCT(Com_Cdiv_State_Other_RowSums!$B4:$AZ4,transpose(State_EMM_RowSums!I$2:I$52))</f>
        <v>0</v>
      </c>
      <c r="I4" s="34">
        <f t="array" ref="I4">SUMPRODUCT(Com_Cdiv_State_Other_RowSums!$B4:$AZ4,transpose(State_EMM_RowSums!J$2:J$52))</f>
        <v>0</v>
      </c>
      <c r="J4" s="34">
        <f t="array" ref="J4">SUMPRODUCT(Com_Cdiv_State_Other_RowSums!$B4:$AZ4,transpose(State_EMM_RowSums!K$2:K$52))</f>
        <v>0</v>
      </c>
      <c r="K4" s="34">
        <f t="array" ref="K4">SUMPRODUCT(Com_Cdiv_State_Other_RowSums!$B4:$AZ4,transpose(State_EMM_RowSums!L$2:L$52))</f>
        <v>0</v>
      </c>
      <c r="L4" s="34">
        <f t="array" ref="L4">SUMPRODUCT(Com_Cdiv_State_Other_RowSums!$B4:$AZ4,transpose(State_EMM_RowSums!M$2:M$52))</f>
        <v>0.3322223157</v>
      </c>
      <c r="M4" s="34">
        <f t="array" ref="M4">SUMPRODUCT(Com_Cdiv_State_Other_RowSums!$B4:$AZ4,transpose(State_EMM_RowSums!N$2:N$52))</f>
        <v>0.1758489629</v>
      </c>
      <c r="N4" s="34">
        <f t="array" ref="N4">SUMPRODUCT(Com_Cdiv_State_Other_RowSums!$B4:$AZ4,transpose(State_EMM_RowSums!O$2:O$52))</f>
        <v>0</v>
      </c>
      <c r="O4" s="34">
        <f t="array" ref="O4">SUMPRODUCT(Com_Cdiv_State_Other_RowSums!$B4:$AZ4,transpose(State_EMM_RowSums!P$2:P$52))</f>
        <v>0</v>
      </c>
      <c r="P4" s="34">
        <f t="array" ref="P4">SUMPRODUCT(Com_Cdiv_State_Other_RowSums!$B4:$AZ4,transpose(State_EMM_RowSums!Q$2:Q$52))</f>
        <v>0</v>
      </c>
      <c r="Q4" s="34">
        <f t="array" ref="Q4">SUMPRODUCT(Com_Cdiv_State_Other_RowSums!$B4:$AZ4,transpose(State_EMM_RowSums!R$2:R$52))</f>
        <v>0</v>
      </c>
      <c r="R4" s="34">
        <f t="array" ref="R4">SUMPRODUCT(Com_Cdiv_State_Other_RowSums!$B4:$AZ4,transpose(State_EMM_RowSums!S$2:S$52))</f>
        <v>0</v>
      </c>
      <c r="S4" s="34">
        <f t="array" ref="S4">SUMPRODUCT(Com_Cdiv_State_Other_RowSums!$B4:$AZ4,transpose(State_EMM_RowSums!T$2:T$52))</f>
        <v>0</v>
      </c>
      <c r="T4" s="34">
        <f t="array" ref="T4">SUMPRODUCT(Com_Cdiv_State_Other_RowSums!$B4:$AZ4,transpose(State_EMM_RowSums!U$2:U$52))</f>
        <v>0</v>
      </c>
      <c r="U4" s="34">
        <f t="array" ref="U4">SUMPRODUCT(Com_Cdiv_State_Other_RowSums!$B4:$AZ4,transpose(State_EMM_RowSums!V$2:V$52))</f>
        <v>0</v>
      </c>
      <c r="V4" s="34">
        <f t="array" ref="V4">SUMPRODUCT(Com_Cdiv_State_Other_RowSums!$B4:$AZ4,transpose(State_EMM_RowSums!W$2:W$52))</f>
        <v>0</v>
      </c>
      <c r="W4" s="34">
        <f t="array" ref="W4">SUMPRODUCT(Com_Cdiv_State_Other_RowSums!$B4:$AZ4,transpose(State_EMM_RowSums!X$2:X$52))</f>
        <v>0</v>
      </c>
      <c r="X4" s="34">
        <f t="array" ref="X4">SUMPRODUCT(Com_Cdiv_State_Other_RowSums!$B4:$AZ4,transpose(State_EMM_RowSums!Y$2:Y$52))</f>
        <v>0</v>
      </c>
      <c r="Y4" s="34">
        <f t="array" ref="Y4">SUMPRODUCT(Com_Cdiv_State_Other_RowSums!$B4:$AZ4,transpose(State_EMM_RowSums!Z$2:Z$52))</f>
        <v>0</v>
      </c>
      <c r="Z4" s="34">
        <f t="array" ref="Z4">SUMPRODUCT(Com_Cdiv_State_Other_RowSums!$B4:$AZ4,transpose(State_EMM_RowSums!AA$2:AA$52))</f>
        <v>0</v>
      </c>
    </row>
    <row r="5" ht="15.75" customHeight="1">
      <c r="A5" s="32">
        <v>4.0</v>
      </c>
      <c r="B5" s="34">
        <f t="array" ref="B5">SUMPRODUCT(Com_Cdiv_State_Other_RowSums!$B5:$AZ5,transpose(State_EMM_RowSums!C$2:C$52))</f>
        <v>0</v>
      </c>
      <c r="C5" s="34">
        <f t="array" ref="C5">SUMPRODUCT(Com_Cdiv_State_Other_RowSums!$B5:$AZ5,transpose(State_EMM_RowSums!D$2:D$52))</f>
        <v>0</v>
      </c>
      <c r="D5" s="34">
        <f t="array" ref="D5">SUMPRODUCT(Com_Cdiv_State_Other_RowSums!$B5:$AZ5,transpose(State_EMM_RowSums!E$2:E$52))</f>
        <v>0.5210969168</v>
      </c>
      <c r="E5" s="34">
        <f t="array" ref="E5">SUMPRODUCT(Com_Cdiv_State_Other_RowSums!$B5:$AZ5,transpose(State_EMM_RowSums!F$2:F$52))</f>
        <v>0.1180173353</v>
      </c>
      <c r="F5" s="34">
        <f t="array" ref="F5">SUMPRODUCT(Com_Cdiv_State_Other_RowSums!$B5:$AZ5,transpose(State_EMM_RowSums!G$2:G$52))</f>
        <v>0</v>
      </c>
      <c r="G5" s="34">
        <f t="array" ref="G5">SUMPRODUCT(Com_Cdiv_State_Other_RowSums!$B5:$AZ5,transpose(State_EMM_RowSums!H$2:H$52))</f>
        <v>0</v>
      </c>
      <c r="H5" s="34">
        <f t="array" ref="H5">SUMPRODUCT(Com_Cdiv_State_Other_RowSums!$B5:$AZ5,transpose(State_EMM_RowSums!I$2:I$52))</f>
        <v>0</v>
      </c>
      <c r="I5" s="34">
        <f t="array" ref="I5">SUMPRODUCT(Com_Cdiv_State_Other_RowSums!$B5:$AZ5,transpose(State_EMM_RowSums!J$2:J$52))</f>
        <v>0</v>
      </c>
      <c r="J5" s="34">
        <f t="array" ref="J5">SUMPRODUCT(Com_Cdiv_State_Other_RowSums!$B5:$AZ5,transpose(State_EMM_RowSums!K$2:K$52))</f>
        <v>0</v>
      </c>
      <c r="K5" s="34">
        <f t="array" ref="K5">SUMPRODUCT(Com_Cdiv_State_Other_RowSums!$B5:$AZ5,transpose(State_EMM_RowSums!L$2:L$52))</f>
        <v>0</v>
      </c>
      <c r="L5" s="34">
        <f t="array" ref="L5">SUMPRODUCT(Com_Cdiv_State_Other_RowSums!$B5:$AZ5,transpose(State_EMM_RowSums!M$2:M$52))</f>
        <v>0</v>
      </c>
      <c r="M5" s="34">
        <f t="array" ref="M5">SUMPRODUCT(Com_Cdiv_State_Other_RowSums!$B5:$AZ5,transpose(State_EMM_RowSums!N$2:N$52))</f>
        <v>0</v>
      </c>
      <c r="N5" s="34">
        <f t="array" ref="N5">SUMPRODUCT(Com_Cdiv_State_Other_RowSums!$B5:$AZ5,transpose(State_EMM_RowSums!O$2:O$52))</f>
        <v>0</v>
      </c>
      <c r="O5" s="34">
        <f t="array" ref="O5">SUMPRODUCT(Com_Cdiv_State_Other_RowSums!$B5:$AZ5,transpose(State_EMM_RowSums!P$2:P$52))</f>
        <v>0</v>
      </c>
      <c r="P5" s="34">
        <f t="array" ref="P5">SUMPRODUCT(Com_Cdiv_State_Other_RowSums!$B5:$AZ5,transpose(State_EMM_RowSums!Q$2:Q$52))</f>
        <v>0</v>
      </c>
      <c r="Q5" s="34">
        <f t="array" ref="Q5">SUMPRODUCT(Com_Cdiv_State_Other_RowSums!$B5:$AZ5,transpose(State_EMM_RowSums!R$2:R$52))</f>
        <v>0</v>
      </c>
      <c r="R5" s="34">
        <f t="array" ref="R5">SUMPRODUCT(Com_Cdiv_State_Other_RowSums!$B5:$AZ5,transpose(State_EMM_RowSums!S$2:S$52))</f>
        <v>0</v>
      </c>
      <c r="S5" s="34">
        <f t="array" ref="S5">SUMPRODUCT(Com_Cdiv_State_Other_RowSums!$B5:$AZ5,transpose(State_EMM_RowSums!T$2:T$52))</f>
        <v>0.1733495712</v>
      </c>
      <c r="T5" s="34">
        <f t="array" ref="T5">SUMPRODUCT(Com_Cdiv_State_Other_RowSums!$B5:$AZ5,transpose(State_EMM_RowSums!U$2:U$52))</f>
        <v>0.1853136117</v>
      </c>
      <c r="U5" s="34">
        <f t="array" ref="U5">SUMPRODUCT(Com_Cdiv_State_Other_RowSums!$B5:$AZ5,transpose(State_EMM_RowSums!V$2:V$52))</f>
        <v>0</v>
      </c>
      <c r="V5" s="34">
        <f t="array" ref="V5">SUMPRODUCT(Com_Cdiv_State_Other_RowSums!$B5:$AZ5,transpose(State_EMM_RowSums!W$2:W$52))</f>
        <v>0</v>
      </c>
      <c r="W5" s="34">
        <f t="array" ref="W5">SUMPRODUCT(Com_Cdiv_State_Other_RowSums!$B5:$AZ5,transpose(State_EMM_RowSums!X$2:X$52))</f>
        <v>0</v>
      </c>
      <c r="X5" s="34">
        <f t="array" ref="X5">SUMPRODUCT(Com_Cdiv_State_Other_RowSums!$B5:$AZ5,transpose(State_EMM_RowSums!Y$2:Y$52))</f>
        <v>0</v>
      </c>
      <c r="Y5" s="34">
        <f t="array" ref="Y5">SUMPRODUCT(Com_Cdiv_State_Other_RowSums!$B5:$AZ5,transpose(State_EMM_RowSums!Z$2:Z$52))</f>
        <v>0.002222564946</v>
      </c>
      <c r="Z5" s="34">
        <f t="array" ref="Z5">SUMPRODUCT(Com_Cdiv_State_Other_RowSums!$B5:$AZ5,transpose(State_EMM_RowSums!AA$2:AA$52))</f>
        <v>0</v>
      </c>
    </row>
    <row r="6" ht="15.75" customHeight="1">
      <c r="A6" s="32">
        <v>5.0</v>
      </c>
      <c r="B6" s="34">
        <f t="array" ref="B6">SUMPRODUCT(Com_Cdiv_State_Other_RowSums!$B6:$AZ6,transpose(State_EMM_RowSums!C$2:C$52))</f>
        <v>0</v>
      </c>
      <c r="C6" s="34">
        <f t="array" ref="C6">SUMPRODUCT(Com_Cdiv_State_Other_RowSums!$B6:$AZ6,transpose(State_EMM_RowSums!D$2:D$52))</f>
        <v>0.2519555837</v>
      </c>
      <c r="D6" s="34">
        <f t="array" ref="D6">SUMPRODUCT(Com_Cdiv_State_Other_RowSums!$B6:$AZ6,transpose(State_EMM_RowSums!E$2:E$52))</f>
        <v>0</v>
      </c>
      <c r="E6" s="34">
        <f t="array" ref="E6">SUMPRODUCT(Com_Cdiv_State_Other_RowSums!$B6:$AZ6,transpose(State_EMM_RowSums!F$2:F$52))</f>
        <v>0</v>
      </c>
      <c r="F6" s="34">
        <f t="array" ref="F6">SUMPRODUCT(Com_Cdiv_State_Other_RowSums!$B6:$AZ6,transpose(State_EMM_RowSums!G$2:G$52))</f>
        <v>0</v>
      </c>
      <c r="G6" s="34">
        <f t="array" ref="G6">SUMPRODUCT(Com_Cdiv_State_Other_RowSums!$B6:$AZ6,transpose(State_EMM_RowSums!H$2:H$52))</f>
        <v>0</v>
      </c>
      <c r="H6" s="34">
        <f t="array" ref="H6">SUMPRODUCT(Com_Cdiv_State_Other_RowSums!$B6:$AZ6,transpose(State_EMM_RowSums!I$2:I$52))</f>
        <v>0</v>
      </c>
      <c r="I6" s="34">
        <f t="array" ref="I6">SUMPRODUCT(Com_Cdiv_State_Other_RowSums!$B6:$AZ6,transpose(State_EMM_RowSums!J$2:J$52))</f>
        <v>0</v>
      </c>
      <c r="J6" s="34">
        <f t="array" ref="J6">SUMPRODUCT(Com_Cdiv_State_Other_RowSums!$B6:$AZ6,transpose(State_EMM_RowSums!K$2:K$52))</f>
        <v>0</v>
      </c>
      <c r="K6" s="34">
        <f t="array" ref="K6">SUMPRODUCT(Com_Cdiv_State_Other_RowSums!$B6:$AZ6,transpose(State_EMM_RowSums!L$2:L$52))</f>
        <v>0.07899535666</v>
      </c>
      <c r="L6" s="34">
        <f t="array" ref="L6">SUMPRODUCT(Com_Cdiv_State_Other_RowSums!$B6:$AZ6,transpose(State_EMM_RowSums!M$2:M$52))</f>
        <v>0.06430037578</v>
      </c>
      <c r="M6" s="34">
        <f t="array" ref="M6">SUMPRODUCT(Com_Cdiv_State_Other_RowSums!$B6:$AZ6,transpose(State_EMM_RowSums!N$2:N$52))</f>
        <v>0</v>
      </c>
      <c r="N6" s="34">
        <f t="array" ref="N6">SUMPRODUCT(Com_Cdiv_State_Other_RowSums!$B6:$AZ6,transpose(State_EMM_RowSums!O$2:O$52))</f>
        <v>0.1368194666</v>
      </c>
      <c r="O6" s="34">
        <f t="array" ref="O6">SUMPRODUCT(Com_Cdiv_State_Other_RowSums!$B6:$AZ6,transpose(State_EMM_RowSums!P$2:P$52))</f>
        <v>0.33000945</v>
      </c>
      <c r="P6" s="34">
        <f t="array" ref="P6">SUMPRODUCT(Com_Cdiv_State_Other_RowSums!$B6:$AZ6,transpose(State_EMM_RowSums!Q$2:Q$52))</f>
        <v>0.1357400511</v>
      </c>
      <c r="Q6" s="34">
        <f t="array" ref="Q6">SUMPRODUCT(Com_Cdiv_State_Other_RowSums!$B6:$AZ6,transpose(State_EMM_RowSums!R$2:R$52))</f>
        <v>0.002179716126</v>
      </c>
      <c r="R6" s="34">
        <f t="array" ref="R6">SUMPRODUCT(Com_Cdiv_State_Other_RowSums!$B6:$AZ6,transpose(State_EMM_RowSums!S$2:S$52))</f>
        <v>0</v>
      </c>
      <c r="S6" s="34">
        <f t="array" ref="S6">SUMPRODUCT(Com_Cdiv_State_Other_RowSums!$B6:$AZ6,transpose(State_EMM_RowSums!T$2:T$52))</f>
        <v>0</v>
      </c>
      <c r="T6" s="34">
        <f t="array" ref="T6">SUMPRODUCT(Com_Cdiv_State_Other_RowSums!$B6:$AZ6,transpose(State_EMM_RowSums!U$2:U$52))</f>
        <v>0</v>
      </c>
      <c r="U6" s="34">
        <f t="array" ref="U6">SUMPRODUCT(Com_Cdiv_State_Other_RowSums!$B6:$AZ6,transpose(State_EMM_RowSums!V$2:V$52))</f>
        <v>0</v>
      </c>
      <c r="V6" s="34">
        <f t="array" ref="V6">SUMPRODUCT(Com_Cdiv_State_Other_RowSums!$B6:$AZ6,transpose(State_EMM_RowSums!W$2:W$52))</f>
        <v>0</v>
      </c>
      <c r="W6" s="34">
        <f t="array" ref="W6">SUMPRODUCT(Com_Cdiv_State_Other_RowSums!$B6:$AZ6,transpose(State_EMM_RowSums!X$2:X$52))</f>
        <v>0</v>
      </c>
      <c r="X6" s="34">
        <f t="array" ref="X6">SUMPRODUCT(Com_Cdiv_State_Other_RowSums!$B6:$AZ6,transpose(State_EMM_RowSums!Y$2:Y$52))</f>
        <v>0</v>
      </c>
      <c r="Y6" s="34">
        <f t="array" ref="Y6">SUMPRODUCT(Com_Cdiv_State_Other_RowSums!$B6:$AZ6,transpose(State_EMM_RowSums!Z$2:Z$52))</f>
        <v>0</v>
      </c>
      <c r="Z6" s="34">
        <f t="array" ref="Z6">SUMPRODUCT(Com_Cdiv_State_Other_RowSums!$B6:$AZ6,transpose(State_EMM_RowSums!AA$2:AA$52))</f>
        <v>0</v>
      </c>
    </row>
    <row r="7" ht="15.75" customHeight="1">
      <c r="A7" s="32">
        <v>6.0</v>
      </c>
      <c r="B7" s="34">
        <f t="array" ref="B7">SUMPRODUCT(Com_Cdiv_State_Other_RowSums!$B7:$AZ7,transpose(State_EMM_RowSums!C$2:C$52))</f>
        <v>0</v>
      </c>
      <c r="C7" s="34">
        <f t="array" ref="C7">SUMPRODUCT(Com_Cdiv_State_Other_RowSums!$B7:$AZ7,transpose(State_EMM_RowSums!D$2:D$52))</f>
        <v>0</v>
      </c>
      <c r="D7" s="34">
        <f t="array" ref="D7">SUMPRODUCT(Com_Cdiv_State_Other_RowSums!$B7:$AZ7,transpose(State_EMM_RowSums!E$2:E$52))</f>
        <v>0</v>
      </c>
      <c r="E7" s="34">
        <f t="array" ref="E7">SUMPRODUCT(Com_Cdiv_State_Other_RowSums!$B7:$AZ7,transpose(State_EMM_RowSums!F$2:F$52))</f>
        <v>0</v>
      </c>
      <c r="F7" s="34">
        <f t="array" ref="F7">SUMPRODUCT(Com_Cdiv_State_Other_RowSums!$B7:$AZ7,transpose(State_EMM_RowSums!G$2:G$52))</f>
        <v>0</v>
      </c>
      <c r="G7" s="34">
        <f t="array" ref="G7">SUMPRODUCT(Com_Cdiv_State_Other_RowSums!$B7:$AZ7,transpose(State_EMM_RowSums!H$2:H$52))</f>
        <v>0.07155020314</v>
      </c>
      <c r="H7" s="34">
        <f t="array" ref="H7">SUMPRODUCT(Com_Cdiv_State_Other_RowSums!$B7:$AZ7,transpose(State_EMM_RowSums!I$2:I$52))</f>
        <v>0</v>
      </c>
      <c r="I7" s="34">
        <f t="array" ref="I7">SUMPRODUCT(Com_Cdiv_State_Other_RowSums!$B7:$AZ7,transpose(State_EMM_RowSums!J$2:J$52))</f>
        <v>0</v>
      </c>
      <c r="J7" s="34">
        <f t="array" ref="J7">SUMPRODUCT(Com_Cdiv_State_Other_RowSums!$B7:$AZ7,transpose(State_EMM_RowSums!K$2:K$52))</f>
        <v>0</v>
      </c>
      <c r="K7" s="34">
        <f t="array" ref="K7">SUMPRODUCT(Com_Cdiv_State_Other_RowSums!$B7:$AZ7,transpose(State_EMM_RowSums!L$2:L$52))</f>
        <v>0</v>
      </c>
      <c r="L7" s="34">
        <f t="array" ref="L7">SUMPRODUCT(Com_Cdiv_State_Other_RowSums!$B7:$AZ7,transpose(State_EMM_RowSums!M$2:M$52))</f>
        <v>0.02014631899</v>
      </c>
      <c r="M7" s="34">
        <f t="array" ref="M7">SUMPRODUCT(Com_Cdiv_State_Other_RowSums!$B7:$AZ7,transpose(State_EMM_RowSums!N$2:N$52))</f>
        <v>0</v>
      </c>
      <c r="N7" s="34">
        <f t="array" ref="N7">SUMPRODUCT(Com_Cdiv_State_Other_RowSums!$B7:$AZ7,transpose(State_EMM_RowSums!O$2:O$52))</f>
        <v>0</v>
      </c>
      <c r="O7" s="34">
        <f t="array" ref="O7">SUMPRODUCT(Com_Cdiv_State_Other_RowSums!$B7:$AZ7,transpose(State_EMM_RowSums!P$2:P$52))</f>
        <v>0</v>
      </c>
      <c r="P7" s="34">
        <f t="array" ref="P7">SUMPRODUCT(Com_Cdiv_State_Other_RowSums!$B7:$AZ7,transpose(State_EMM_RowSums!Q$2:Q$52))</f>
        <v>0.3407700828</v>
      </c>
      <c r="Q7" s="34">
        <f t="array" ref="Q7">SUMPRODUCT(Com_Cdiv_State_Other_RowSums!$B7:$AZ7,transpose(State_EMM_RowSums!R$2:R$52))</f>
        <v>0.5675333951</v>
      </c>
      <c r="R7" s="34">
        <f t="array" ref="R7">SUMPRODUCT(Com_Cdiv_State_Other_RowSums!$B7:$AZ7,transpose(State_EMM_RowSums!S$2:S$52))</f>
        <v>0</v>
      </c>
      <c r="S7" s="34">
        <f t="array" ref="S7">SUMPRODUCT(Com_Cdiv_State_Other_RowSums!$B7:$AZ7,transpose(State_EMM_RowSums!T$2:T$52))</f>
        <v>0</v>
      </c>
      <c r="T7" s="34">
        <f t="array" ref="T7">SUMPRODUCT(Com_Cdiv_State_Other_RowSums!$B7:$AZ7,transpose(State_EMM_RowSums!U$2:U$52))</f>
        <v>0</v>
      </c>
      <c r="U7" s="34">
        <f t="array" ref="U7">SUMPRODUCT(Com_Cdiv_State_Other_RowSums!$B7:$AZ7,transpose(State_EMM_RowSums!V$2:V$52))</f>
        <v>0</v>
      </c>
      <c r="V7" s="34">
        <f t="array" ref="V7">SUMPRODUCT(Com_Cdiv_State_Other_RowSums!$B7:$AZ7,transpose(State_EMM_RowSums!W$2:W$52))</f>
        <v>0</v>
      </c>
      <c r="W7" s="34">
        <f t="array" ref="W7">SUMPRODUCT(Com_Cdiv_State_Other_RowSums!$B7:$AZ7,transpose(State_EMM_RowSums!X$2:X$52))</f>
        <v>0</v>
      </c>
      <c r="X7" s="34">
        <f t="array" ref="X7">SUMPRODUCT(Com_Cdiv_State_Other_RowSums!$B7:$AZ7,transpose(State_EMM_RowSums!Y$2:Y$52))</f>
        <v>0</v>
      </c>
      <c r="Y7" s="34">
        <f t="array" ref="Y7">SUMPRODUCT(Com_Cdiv_State_Other_RowSums!$B7:$AZ7,transpose(State_EMM_RowSums!Z$2:Z$52))</f>
        <v>0</v>
      </c>
      <c r="Z7" s="34">
        <f t="array" ref="Z7">SUMPRODUCT(Com_Cdiv_State_Other_RowSums!$B7:$AZ7,transpose(State_EMM_RowSums!AA$2:AA$52))</f>
        <v>0</v>
      </c>
    </row>
    <row r="8" ht="15.75" customHeight="1">
      <c r="A8" s="32">
        <v>7.0</v>
      </c>
      <c r="B8" s="34">
        <f t="array" ref="B8">SUMPRODUCT(Com_Cdiv_State_Other_RowSums!$B8:$AZ8,transpose(State_EMM_RowSums!C$2:C$52))</f>
        <v>0.5938174454</v>
      </c>
      <c r="C8" s="34">
        <f t="array" ref="C8">SUMPRODUCT(Com_Cdiv_State_Other_RowSums!$B8:$AZ8,transpose(State_EMM_RowSums!D$2:D$52))</f>
        <v>0</v>
      </c>
      <c r="D8" s="34">
        <f t="array" ref="D8">SUMPRODUCT(Com_Cdiv_State_Other_RowSums!$B8:$AZ8,transpose(State_EMM_RowSums!E$2:E$52))</f>
        <v>0</v>
      </c>
      <c r="E8" s="34">
        <f t="array" ref="E8">SUMPRODUCT(Com_Cdiv_State_Other_RowSums!$B8:$AZ8,transpose(State_EMM_RowSums!F$2:F$52))</f>
        <v>0</v>
      </c>
      <c r="F8" s="34">
        <f t="array" ref="F8">SUMPRODUCT(Com_Cdiv_State_Other_RowSums!$B8:$AZ8,transpose(State_EMM_RowSums!G$2:G$52))</f>
        <v>0</v>
      </c>
      <c r="G8" s="34">
        <f t="array" ref="G8">SUMPRODUCT(Com_Cdiv_State_Other_RowSums!$B8:$AZ8,transpose(State_EMM_RowSums!H$2:H$52))</f>
        <v>0.171661724</v>
      </c>
      <c r="H8" s="34">
        <f t="array" ref="H8">SUMPRODUCT(Com_Cdiv_State_Other_RowSums!$B8:$AZ8,transpose(State_EMM_RowSums!I$2:I$52))</f>
        <v>0</v>
      </c>
      <c r="I8" s="34">
        <f t="array" ref="I8">SUMPRODUCT(Com_Cdiv_State_Other_RowSums!$B8:$AZ8,transpose(State_EMM_RowSums!J$2:J$52))</f>
        <v>0</v>
      </c>
      <c r="J8" s="34">
        <f t="array" ref="J8">SUMPRODUCT(Com_Cdiv_State_Other_RowSums!$B8:$AZ8,transpose(State_EMM_RowSums!K$2:K$52))</f>
        <v>0</v>
      </c>
      <c r="K8" s="34">
        <f t="array" ref="K8">SUMPRODUCT(Com_Cdiv_State_Other_RowSums!$B8:$AZ8,transpose(State_EMM_RowSums!L$2:L$52))</f>
        <v>0</v>
      </c>
      <c r="L8" s="34">
        <f t="array" ref="L8">SUMPRODUCT(Com_Cdiv_State_Other_RowSums!$B8:$AZ8,transpose(State_EMM_RowSums!M$2:M$52))</f>
        <v>0</v>
      </c>
      <c r="M8" s="34">
        <f t="array" ref="M8">SUMPRODUCT(Com_Cdiv_State_Other_RowSums!$B8:$AZ8,transpose(State_EMM_RowSums!N$2:N$52))</f>
        <v>0</v>
      </c>
      <c r="N8" s="34">
        <f t="array" ref="N8">SUMPRODUCT(Com_Cdiv_State_Other_RowSums!$B8:$AZ8,transpose(State_EMM_RowSums!O$2:O$52))</f>
        <v>0</v>
      </c>
      <c r="O8" s="34">
        <f t="array" ref="O8">SUMPRODUCT(Com_Cdiv_State_Other_RowSums!$B8:$AZ8,transpose(State_EMM_RowSums!P$2:P$52))</f>
        <v>0</v>
      </c>
      <c r="P8" s="34">
        <f t="array" ref="P8">SUMPRODUCT(Com_Cdiv_State_Other_RowSums!$B8:$AZ8,transpose(State_EMM_RowSums!Q$2:Q$52))</f>
        <v>0</v>
      </c>
      <c r="Q8" s="34">
        <f t="array" ref="Q8">SUMPRODUCT(Com_Cdiv_State_Other_RowSums!$B8:$AZ8,transpose(State_EMM_RowSums!R$2:R$52))</f>
        <v>0</v>
      </c>
      <c r="R8" s="34">
        <f t="array" ref="R8">SUMPRODUCT(Com_Cdiv_State_Other_RowSums!$B8:$AZ8,transpose(State_EMM_RowSums!S$2:S$52))</f>
        <v>0.2148463977</v>
      </c>
      <c r="S8" s="34">
        <f t="array" ref="S8">SUMPRODUCT(Com_Cdiv_State_Other_RowSums!$B8:$AZ8,transpose(State_EMM_RowSums!T$2:T$52))</f>
        <v>0</v>
      </c>
      <c r="T8" s="34">
        <f t="array" ref="T8">SUMPRODUCT(Com_Cdiv_State_Other_RowSums!$B8:$AZ8,transpose(State_EMM_RowSums!U$2:U$52))</f>
        <v>0</v>
      </c>
      <c r="U8" s="34">
        <f t="array" ref="U8">SUMPRODUCT(Com_Cdiv_State_Other_RowSums!$B8:$AZ8,transpose(State_EMM_RowSums!V$2:V$52))</f>
        <v>0.0196744329</v>
      </c>
      <c r="V8" s="34">
        <f t="array" ref="V8">SUMPRODUCT(Com_Cdiv_State_Other_RowSums!$B8:$AZ8,transpose(State_EMM_RowSums!W$2:W$52))</f>
        <v>0</v>
      </c>
      <c r="W8" s="34">
        <f t="array" ref="W8">SUMPRODUCT(Com_Cdiv_State_Other_RowSums!$B8:$AZ8,transpose(State_EMM_RowSums!X$2:X$52))</f>
        <v>0</v>
      </c>
      <c r="X8" s="34">
        <f t="array" ref="X8">SUMPRODUCT(Com_Cdiv_State_Other_RowSums!$B8:$AZ8,transpose(State_EMM_RowSums!Y$2:Y$52))</f>
        <v>0</v>
      </c>
      <c r="Y8" s="34">
        <f t="array" ref="Y8">SUMPRODUCT(Com_Cdiv_State_Other_RowSums!$B8:$AZ8,transpose(State_EMM_RowSums!Z$2:Z$52))</f>
        <v>0</v>
      </c>
      <c r="Z8" s="34">
        <f t="array" ref="Z8">SUMPRODUCT(Com_Cdiv_State_Other_RowSums!$B8:$AZ8,transpose(State_EMM_RowSums!AA$2:AA$52))</f>
        <v>0</v>
      </c>
    </row>
    <row r="9" ht="15.75" customHeight="1">
      <c r="A9" s="32">
        <v>8.0</v>
      </c>
      <c r="B9" s="34">
        <f t="array" ref="B9">SUMPRODUCT(Com_Cdiv_State_Other_RowSums!$B9:$AZ9,transpose(State_EMM_RowSums!C$2:C$52))</f>
        <v>0</v>
      </c>
      <c r="C9" s="34">
        <f t="array" ref="C9">SUMPRODUCT(Com_Cdiv_State_Other_RowSums!$B9:$AZ9,transpose(State_EMM_RowSums!D$2:D$52))</f>
        <v>0</v>
      </c>
      <c r="D9" s="34">
        <f t="array" ref="D9">SUMPRODUCT(Com_Cdiv_State_Other_RowSums!$B9:$AZ9,transpose(State_EMM_RowSums!E$2:E$52))</f>
        <v>0.0003913869345</v>
      </c>
      <c r="E9" s="34">
        <f t="array" ref="E9">SUMPRODUCT(Com_Cdiv_State_Other_RowSums!$B9:$AZ9,transpose(State_EMM_RowSums!F$2:F$52))</f>
        <v>0</v>
      </c>
      <c r="F9" s="34">
        <f t="array" ref="F9">SUMPRODUCT(Com_Cdiv_State_Other_RowSums!$B9:$AZ9,transpose(State_EMM_RowSums!G$2:G$52))</f>
        <v>0</v>
      </c>
      <c r="G9" s="34">
        <f t="array" ref="G9">SUMPRODUCT(Com_Cdiv_State_Other_RowSums!$B9:$AZ9,transpose(State_EMM_RowSums!H$2:H$52))</f>
        <v>0</v>
      </c>
      <c r="H9" s="34">
        <f t="array" ref="H9">SUMPRODUCT(Com_Cdiv_State_Other_RowSums!$B9:$AZ9,transpose(State_EMM_RowSums!I$2:I$52))</f>
        <v>0</v>
      </c>
      <c r="I9" s="34">
        <f t="array" ref="I9">SUMPRODUCT(Com_Cdiv_State_Other_RowSums!$B9:$AZ9,transpose(State_EMM_RowSums!J$2:J$52))</f>
        <v>0</v>
      </c>
      <c r="J9" s="34">
        <f t="array" ref="J9">SUMPRODUCT(Com_Cdiv_State_Other_RowSums!$B9:$AZ9,transpose(State_EMM_RowSums!K$2:K$52))</f>
        <v>0</v>
      </c>
      <c r="K9" s="34">
        <f t="array" ref="K9">SUMPRODUCT(Com_Cdiv_State_Other_RowSums!$B9:$AZ9,transpose(State_EMM_RowSums!L$2:L$52))</f>
        <v>0</v>
      </c>
      <c r="L9" s="34">
        <f t="array" ref="L9">SUMPRODUCT(Com_Cdiv_State_Other_RowSums!$B9:$AZ9,transpose(State_EMM_RowSums!M$2:M$52))</f>
        <v>0</v>
      </c>
      <c r="M9" s="34">
        <f t="array" ref="M9">SUMPRODUCT(Com_Cdiv_State_Other_RowSums!$B9:$AZ9,transpose(State_EMM_RowSums!N$2:N$52))</f>
        <v>0</v>
      </c>
      <c r="N9" s="34">
        <f t="array" ref="N9">SUMPRODUCT(Com_Cdiv_State_Other_RowSums!$B9:$AZ9,transpose(State_EMM_RowSums!O$2:O$52))</f>
        <v>0</v>
      </c>
      <c r="O9" s="34">
        <f t="array" ref="O9">SUMPRODUCT(Com_Cdiv_State_Other_RowSums!$B9:$AZ9,transpose(State_EMM_RowSums!P$2:P$52))</f>
        <v>0</v>
      </c>
      <c r="P9" s="34">
        <f t="array" ref="P9">SUMPRODUCT(Com_Cdiv_State_Other_RowSums!$B9:$AZ9,transpose(State_EMM_RowSums!Q$2:Q$52))</f>
        <v>0</v>
      </c>
      <c r="Q9" s="34">
        <f t="array" ref="Q9">SUMPRODUCT(Com_Cdiv_State_Other_RowSums!$B9:$AZ9,transpose(State_EMM_RowSums!R$2:R$52))</f>
        <v>0</v>
      </c>
      <c r="R9" s="34">
        <f t="array" ref="R9">SUMPRODUCT(Com_Cdiv_State_Other_RowSums!$B9:$AZ9,transpose(State_EMM_RowSums!S$2:S$52))</f>
        <v>0.01004682369</v>
      </c>
      <c r="S9" s="34">
        <f t="array" ref="S9">SUMPRODUCT(Com_Cdiv_State_Other_RowSums!$B9:$AZ9,transpose(State_EMM_RowSums!T$2:T$52))</f>
        <v>0</v>
      </c>
      <c r="T9" s="34">
        <f t="array" ref="T9">SUMPRODUCT(Com_Cdiv_State_Other_RowSums!$B9:$AZ9,transpose(State_EMM_RowSums!U$2:U$52))</f>
        <v>0.002030704239</v>
      </c>
      <c r="U9" s="34">
        <f t="array" ref="U9">SUMPRODUCT(Com_Cdiv_State_Other_RowSums!$B9:$AZ9,transpose(State_EMM_RowSums!V$2:V$52))</f>
        <v>0.3168879998</v>
      </c>
      <c r="V9" s="34">
        <f t="array" ref="V9">SUMPRODUCT(Com_Cdiv_State_Other_RowSums!$B9:$AZ9,transpose(State_EMM_RowSums!W$2:W$52))</f>
        <v>0</v>
      </c>
      <c r="W9" s="34">
        <f t="array" ref="W9">SUMPRODUCT(Com_Cdiv_State_Other_RowSums!$B9:$AZ9,transpose(State_EMM_RowSums!X$2:X$52))</f>
        <v>0</v>
      </c>
      <c r="X9" s="34">
        <f t="array" ref="X9">SUMPRODUCT(Com_Cdiv_State_Other_RowSums!$B9:$AZ9,transpose(State_EMM_RowSums!Y$2:Y$52))</f>
        <v>0.07579622301</v>
      </c>
      <c r="Y9" s="34">
        <f t="array" ref="Y9">SUMPRODUCT(Com_Cdiv_State_Other_RowSums!$B9:$AZ9,transpose(State_EMM_RowSums!Z$2:Z$52))</f>
        <v>0.2704775315</v>
      </c>
      <c r="Z9" s="34">
        <f t="array" ref="Z9">SUMPRODUCT(Com_Cdiv_State_Other_RowSums!$B9:$AZ9,transpose(State_EMM_RowSums!AA$2:AA$52))</f>
        <v>0.3243693308</v>
      </c>
    </row>
    <row r="10" ht="15.75" customHeight="1">
      <c r="A10" s="32">
        <v>9.0</v>
      </c>
      <c r="B10" s="34">
        <f t="array" ref="B10">SUMPRODUCT(Com_Cdiv_State_Other_RowSums!$B10:$AZ10,transpose(State_EMM_RowSums!C$2:C$52))</f>
        <v>0</v>
      </c>
      <c r="C10" s="34">
        <f t="array" ref="C10">SUMPRODUCT(Com_Cdiv_State_Other_RowSums!$B10:$AZ10,transpose(State_EMM_RowSums!D$2:D$52))</f>
        <v>0</v>
      </c>
      <c r="D10" s="34">
        <f t="array" ref="D10">SUMPRODUCT(Com_Cdiv_State_Other_RowSums!$B10:$AZ10,transpose(State_EMM_RowSums!E$2:E$52))</f>
        <v>0</v>
      </c>
      <c r="E10" s="34">
        <f t="array" ref="E10">SUMPRODUCT(Com_Cdiv_State_Other_RowSums!$B10:$AZ10,transpose(State_EMM_RowSums!F$2:F$52))</f>
        <v>0</v>
      </c>
      <c r="F10" s="34">
        <f t="array" ref="F10">SUMPRODUCT(Com_Cdiv_State_Other_RowSums!$B10:$AZ10,transpose(State_EMM_RowSums!G$2:G$52))</f>
        <v>0</v>
      </c>
      <c r="G10" s="34">
        <f t="array" ref="G10">SUMPRODUCT(Com_Cdiv_State_Other_RowSums!$B10:$AZ10,transpose(State_EMM_RowSums!H$2:H$52))</f>
        <v>0</v>
      </c>
      <c r="H10" s="34">
        <f t="array" ref="H10">SUMPRODUCT(Com_Cdiv_State_Other_RowSums!$B10:$AZ10,transpose(State_EMM_RowSums!I$2:I$52))</f>
        <v>0</v>
      </c>
      <c r="I10" s="34">
        <f t="array" ref="I10">SUMPRODUCT(Com_Cdiv_State_Other_RowSums!$B10:$AZ10,transpose(State_EMM_RowSums!J$2:J$52))</f>
        <v>0</v>
      </c>
      <c r="J10" s="34">
        <f t="array" ref="J10">SUMPRODUCT(Com_Cdiv_State_Other_RowSums!$B10:$AZ10,transpose(State_EMM_RowSums!K$2:K$52))</f>
        <v>0</v>
      </c>
      <c r="K10" s="34">
        <f t="array" ref="K10">SUMPRODUCT(Com_Cdiv_State_Other_RowSums!$B10:$AZ10,transpose(State_EMM_RowSums!L$2:L$52))</f>
        <v>0</v>
      </c>
      <c r="L10" s="34">
        <f t="array" ref="L10">SUMPRODUCT(Com_Cdiv_State_Other_RowSums!$B10:$AZ10,transpose(State_EMM_RowSums!M$2:M$52))</f>
        <v>0</v>
      </c>
      <c r="M10" s="34">
        <f t="array" ref="M10">SUMPRODUCT(Com_Cdiv_State_Other_RowSums!$B10:$AZ10,transpose(State_EMM_RowSums!N$2:N$52))</f>
        <v>0</v>
      </c>
      <c r="N10" s="34">
        <f t="array" ref="N10">SUMPRODUCT(Com_Cdiv_State_Other_RowSums!$B10:$AZ10,transpose(State_EMM_RowSums!O$2:O$52))</f>
        <v>0</v>
      </c>
      <c r="O10" s="34">
        <f t="array" ref="O10">SUMPRODUCT(Com_Cdiv_State_Other_RowSums!$B10:$AZ10,transpose(State_EMM_RowSums!P$2:P$52))</f>
        <v>0</v>
      </c>
      <c r="P10" s="34">
        <f t="array" ref="P10">SUMPRODUCT(Com_Cdiv_State_Other_RowSums!$B10:$AZ10,transpose(State_EMM_RowSums!Q$2:Q$52))</f>
        <v>0</v>
      </c>
      <c r="Q10" s="34">
        <f t="array" ref="Q10">SUMPRODUCT(Com_Cdiv_State_Other_RowSums!$B10:$AZ10,transpose(State_EMM_RowSums!R$2:R$52))</f>
        <v>0</v>
      </c>
      <c r="R10" s="34">
        <f t="array" ref="R10">SUMPRODUCT(Com_Cdiv_State_Other_RowSums!$B10:$AZ10,transpose(State_EMM_RowSums!S$2:S$52))</f>
        <v>0</v>
      </c>
      <c r="S10" s="34">
        <f t="array" ref="S10">SUMPRODUCT(Com_Cdiv_State_Other_RowSums!$B10:$AZ10,transpose(State_EMM_RowSums!T$2:T$52))</f>
        <v>0</v>
      </c>
      <c r="T10" s="34">
        <f t="array" ref="T10">SUMPRODUCT(Com_Cdiv_State_Other_RowSums!$B10:$AZ10,transpose(State_EMM_RowSums!U$2:U$52))</f>
        <v>0</v>
      </c>
      <c r="U10" s="34">
        <f t="array" ref="U10">SUMPRODUCT(Com_Cdiv_State_Other_RowSums!$B10:$AZ10,transpose(State_EMM_RowSums!V$2:V$52))</f>
        <v>0.003233560803</v>
      </c>
      <c r="V10" s="34">
        <f t="array" ref="V10">SUMPRODUCT(Com_Cdiv_State_Other_RowSums!$B10:$AZ10,transpose(State_EMM_RowSums!W$2:W$52))</f>
        <v>0.2829401188</v>
      </c>
      <c r="W10" s="34">
        <f t="array" ref="W10">SUMPRODUCT(Com_Cdiv_State_Other_RowSums!$B10:$AZ10,transpose(State_EMM_RowSums!X$2:X$52))</f>
        <v>0.4155626313</v>
      </c>
      <c r="X10" s="34">
        <f t="array" ref="X10">SUMPRODUCT(Com_Cdiv_State_Other_RowSums!$B10:$AZ10,transpose(State_EMM_RowSums!Y$2:Y$52))</f>
        <v>0.2300355831</v>
      </c>
      <c r="Y10" s="34">
        <f t="array" ref="Y10">SUMPRODUCT(Com_Cdiv_State_Other_RowSums!$B10:$AZ10,transpose(State_EMM_RowSums!Z$2:Z$52))</f>
        <v>0</v>
      </c>
      <c r="Z10" s="34">
        <f t="array" ref="Z10">SUMPRODUCT(Com_Cdiv_State_Other_RowSums!$B10:$AZ10,transpose(State_EMM_RowSums!AA$2:AA$52))</f>
        <v>0</v>
      </c>
    </row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</sheetData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8.63"/>
    <col customWidth="1" min="2" max="7" width="12.63"/>
  </cols>
  <sheetData>
    <row r="1" ht="15.75" customHeight="1">
      <c r="A1" s="32" t="s">
        <v>48</v>
      </c>
      <c r="B1" s="45" t="s">
        <v>4226</v>
      </c>
      <c r="C1" s="32" t="s">
        <v>4010</v>
      </c>
      <c r="D1" s="32" t="s">
        <v>3989</v>
      </c>
      <c r="E1" s="32" t="s">
        <v>3996</v>
      </c>
      <c r="F1" s="32" t="s">
        <v>3992</v>
      </c>
      <c r="G1" s="32" t="s">
        <v>4003</v>
      </c>
      <c r="H1" s="32" t="s">
        <v>3974</v>
      </c>
      <c r="I1" s="32" t="s">
        <v>3985</v>
      </c>
      <c r="J1" s="32" t="s">
        <v>4006</v>
      </c>
      <c r="K1" s="32" t="s">
        <v>4005</v>
      </c>
      <c r="L1" s="32" t="s">
        <v>3987</v>
      </c>
      <c r="M1" s="32" t="s">
        <v>3997</v>
      </c>
      <c r="N1" s="32" t="s">
        <v>3994</v>
      </c>
      <c r="O1" s="32" t="s">
        <v>3988</v>
      </c>
      <c r="P1" s="32" t="s">
        <v>4009</v>
      </c>
      <c r="Q1" s="32" t="s">
        <v>3969</v>
      </c>
      <c r="R1" s="32" t="s">
        <v>3970</v>
      </c>
      <c r="S1" s="32" t="s">
        <v>3976</v>
      </c>
      <c r="T1" s="32" t="s">
        <v>4001</v>
      </c>
      <c r="U1" s="32" t="s">
        <v>3999</v>
      </c>
      <c r="V1" s="32" t="s">
        <v>3972</v>
      </c>
      <c r="W1" s="32" t="s">
        <v>3979</v>
      </c>
      <c r="X1" s="32" t="s">
        <v>3981</v>
      </c>
      <c r="Y1" s="32" t="s">
        <v>3980</v>
      </c>
      <c r="Z1" s="32" t="s">
        <v>3983</v>
      </c>
      <c r="AA1" s="32" t="s">
        <v>3990</v>
      </c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  <c r="AQ1" s="32"/>
      <c r="AR1" s="32"/>
      <c r="AS1" s="32"/>
      <c r="AT1" s="32"/>
      <c r="AU1" s="32"/>
      <c r="AV1" s="32"/>
      <c r="AW1" s="32"/>
      <c r="AX1" s="32"/>
      <c r="AY1" s="32"/>
    </row>
    <row r="2" ht="15.75" customHeight="1">
      <c r="A2" s="34" t="s">
        <v>101</v>
      </c>
      <c r="B2" s="34" t="s">
        <v>1994</v>
      </c>
      <c r="C2" s="34">
        <f>IFERROR(__xludf.DUMMYFUNCTION("IF(ISNA(sum(filter(
Master_Mapping_Sheet!$E$2:$E$3143, ISNUMBER(
Master_Mapping_Sheet!$E$2:$E$3143),
Master_Mapping_Sheet!$H$2:$H$3143=C$1,
Master_Mapping_Sheet!$B$2:$B$3143=$A2))/sum(filter(
Master_Mapping_Sheet!$E$2:$E$3143, ISNUMBER(
Master_Mapping_She"&amp;"et!$E$2:$E$3143),
Master_Mapping_Sheet!$B$2:$B$3143=$A2))), 0, sum(filter(
Master_Mapping_Sheet!$E$2:$E$3143, ISNUMBER(
Master_Mapping_Sheet!$E$2:$E$3143),
Master_Mapping_Sheet!$H$2:$H$3143=C$1,
Master_Mapping_Sheet!$B$2:$B$3143=$A2))/sum(filter(
Master_M"&amp;"apping_Sheet!$E$2:$E$3143, ISNUMBER(
Master_Mapping_Sheet!$E$2:$E$3143),
Master_Mapping_Sheet!$B$2:$B$3143=$A2)))"),0.0)</f>
        <v>0</v>
      </c>
      <c r="D2" s="32">
        <f>IFERROR(__xludf.DUMMYFUNCTION("IF(ISNA(sum(filter(
Master_Mapping_Sheet!$E$2:$E$3143, ISNUMBER(
Master_Mapping_Sheet!$E$2:$E$3143),
Master_Mapping_Sheet!$H$2:$H$3143=D$1,
Master_Mapping_Sheet!$B$2:$B$3143=$A2))/sum(filter(
Master_Mapping_Sheet!$E$2:$E$3143, ISNUMBER(
Master_Mapping_She"&amp;"et!$E$2:$E$3143),
Master_Mapping_Sheet!$B$2:$B$3143=$A2))), 0, sum(filter(
Master_Mapping_Sheet!$E$2:$E$3143, ISNUMBER(
Master_Mapping_Sheet!$E$2:$E$3143),
Master_Mapping_Sheet!$H$2:$H$3143=D$1,
Master_Mapping_Sheet!$B$2:$B$3143=$A2))/sum(filter(
Master_M"&amp;"apping_Sheet!$E$2:$E$3143, ISNUMBER(
Master_Mapping_Sheet!$E$2:$E$3143),
Master_Mapping_Sheet!$B$2:$B$3143=$A2)))"),0.0)</f>
        <v>0</v>
      </c>
      <c r="E2" s="34">
        <f>IFERROR(__xludf.DUMMYFUNCTION("IF(ISNA(sum(filter(
Master_Mapping_Sheet!$E$2:$E$3143, ISNUMBER(
Master_Mapping_Sheet!$E$2:$E$3143),
Master_Mapping_Sheet!$H$2:$H$3143=E$1,
Master_Mapping_Sheet!$B$2:$B$3143=$A2))/sum(filter(
Master_Mapping_Sheet!$E$2:$E$3143, ISNUMBER(
Master_Mapping_She"&amp;"et!$E$2:$E$3143),
Master_Mapping_Sheet!$B$2:$B$3143=$A2))), 0, sum(filter(
Master_Mapping_Sheet!$E$2:$E$3143, ISNUMBER(
Master_Mapping_Sheet!$E$2:$E$3143),
Master_Mapping_Sheet!$H$2:$H$3143=E$1,
Master_Mapping_Sheet!$B$2:$B$3143=$A2))/sum(filter(
Master_M"&amp;"apping_Sheet!$E$2:$E$3143, ISNUMBER(
Master_Mapping_Sheet!$E$2:$E$3143),
Master_Mapping_Sheet!$B$2:$B$3143=$A2)))"),0.0)</f>
        <v>0</v>
      </c>
      <c r="F2" s="34">
        <f>IFERROR(__xludf.DUMMYFUNCTION("IF(ISNA(sum(filter(
Master_Mapping_Sheet!$E$2:$E$3143, ISNUMBER(
Master_Mapping_Sheet!$E$2:$E$3143),
Master_Mapping_Sheet!$H$2:$H$3143=F$1,
Master_Mapping_Sheet!$B$2:$B$3143=$A2))/sum(filter(
Master_Mapping_Sheet!$E$2:$E$3143, ISNUMBER(
Master_Mapping_She"&amp;"et!$E$2:$E$3143),
Master_Mapping_Sheet!$B$2:$B$3143=$A2))), 0, sum(filter(
Master_Mapping_Sheet!$E$2:$E$3143, ISNUMBER(
Master_Mapping_Sheet!$E$2:$E$3143),
Master_Mapping_Sheet!$H$2:$H$3143=F$1,
Master_Mapping_Sheet!$B$2:$B$3143=$A2))/sum(filter(
Master_M"&amp;"apping_Sheet!$E$2:$E$3143, ISNUMBER(
Master_Mapping_Sheet!$E$2:$E$3143),
Master_Mapping_Sheet!$B$2:$B$3143=$A2)))"),0.0)</f>
        <v>0</v>
      </c>
      <c r="G2" s="34">
        <f>IFERROR(__xludf.DUMMYFUNCTION("IF(ISNA(sum(filter(
Master_Mapping_Sheet!$E$2:$E$3143, ISNUMBER(
Master_Mapping_Sheet!$E$2:$E$3143),
Master_Mapping_Sheet!$H$2:$H$3143=G$1,
Master_Mapping_Sheet!$B$2:$B$3143=$A2))/sum(filter(
Master_Mapping_Sheet!$E$2:$E$3143, ISNUMBER(
Master_Mapping_She"&amp;"et!$E$2:$E$3143),
Master_Mapping_Sheet!$B$2:$B$3143=$A2))), 0, sum(filter(
Master_Mapping_Sheet!$E$2:$E$3143, ISNUMBER(
Master_Mapping_Sheet!$E$2:$E$3143),
Master_Mapping_Sheet!$H$2:$H$3143=G$1,
Master_Mapping_Sheet!$B$2:$B$3143=$A2))/sum(filter(
Master_M"&amp;"apping_Sheet!$E$2:$E$3143, ISNUMBER(
Master_Mapping_Sheet!$E$2:$E$3143),
Master_Mapping_Sheet!$B$2:$B$3143=$A2)))"),0.0)</f>
        <v>0</v>
      </c>
      <c r="H2" s="34">
        <f>IFERROR(__xludf.DUMMYFUNCTION("IF(ISNA(sum(filter(
Master_Mapping_Sheet!$E$2:$E$3143, ISNUMBER(
Master_Mapping_Sheet!$E$2:$E$3143),
Master_Mapping_Sheet!$H$2:$H$3143=H$1,
Master_Mapping_Sheet!$B$2:$B$3143=$A2))/sum(filter(
Master_Mapping_Sheet!$E$2:$E$3143, ISNUMBER(
Master_Mapping_She"&amp;"et!$E$2:$E$3143),
Master_Mapping_Sheet!$B$2:$B$3143=$A2))), 0, sum(filter(
Master_Mapping_Sheet!$E$2:$E$3143, ISNUMBER(
Master_Mapping_Sheet!$E$2:$E$3143),
Master_Mapping_Sheet!$H$2:$H$3143=H$1,
Master_Mapping_Sheet!$B$2:$B$3143=$A2))/sum(filter(
Master_M"&amp;"apping_Sheet!$E$2:$E$3143, ISNUMBER(
Master_Mapping_Sheet!$E$2:$E$3143),
Master_Mapping_Sheet!$B$2:$B$3143=$A2)))"),0.0)</f>
        <v>0</v>
      </c>
      <c r="I2" s="34">
        <f>IFERROR(__xludf.DUMMYFUNCTION("IF(ISNA(sum(filter(
Master_Mapping_Sheet!$E$2:$E$3143, ISNUMBER(
Master_Mapping_Sheet!$E$2:$E$3143),
Master_Mapping_Sheet!$H$2:$H$3143=I$1,
Master_Mapping_Sheet!$B$2:$B$3143=$A2))/sum(filter(
Master_Mapping_Sheet!$E$2:$E$3143, ISNUMBER(
Master_Mapping_She"&amp;"et!$E$2:$E$3143),
Master_Mapping_Sheet!$B$2:$B$3143=$A2))), 0, sum(filter(
Master_Mapping_Sheet!$E$2:$E$3143, ISNUMBER(
Master_Mapping_Sheet!$E$2:$E$3143),
Master_Mapping_Sheet!$H$2:$H$3143=I$1,
Master_Mapping_Sheet!$B$2:$B$3143=$A2))/sum(filter(
Master_M"&amp;"apping_Sheet!$E$2:$E$3143, ISNUMBER(
Master_Mapping_Sheet!$E$2:$E$3143),
Master_Mapping_Sheet!$B$2:$B$3143=$A2)))"),0.0)</f>
        <v>0</v>
      </c>
      <c r="J2" s="34">
        <f>IFERROR(__xludf.DUMMYFUNCTION("IF(ISNA(sum(filter(
Master_Mapping_Sheet!$E$2:$E$3143, ISNUMBER(
Master_Mapping_Sheet!$E$2:$E$3143),
Master_Mapping_Sheet!$H$2:$H$3143=J$1,
Master_Mapping_Sheet!$B$2:$B$3143=$A2))/sum(filter(
Master_Mapping_Sheet!$E$2:$E$3143, ISNUMBER(
Master_Mapping_She"&amp;"et!$E$2:$E$3143),
Master_Mapping_Sheet!$B$2:$B$3143=$A2))), 0, sum(filter(
Master_Mapping_Sheet!$E$2:$E$3143, ISNUMBER(
Master_Mapping_Sheet!$E$2:$E$3143),
Master_Mapping_Sheet!$H$2:$H$3143=J$1,
Master_Mapping_Sheet!$B$2:$B$3143=$A2))/sum(filter(
Master_M"&amp;"apping_Sheet!$E$2:$E$3143, ISNUMBER(
Master_Mapping_Sheet!$E$2:$E$3143),
Master_Mapping_Sheet!$B$2:$B$3143=$A2)))"),0.0)</f>
        <v>0</v>
      </c>
      <c r="K2" s="34">
        <f>IFERROR(__xludf.DUMMYFUNCTION("IF(ISNA(sum(filter(
Master_Mapping_Sheet!$E$2:$E$3143, ISNUMBER(
Master_Mapping_Sheet!$E$2:$E$3143),
Master_Mapping_Sheet!$H$2:$H$3143=K$1,
Master_Mapping_Sheet!$B$2:$B$3143=$A2))/sum(filter(
Master_Mapping_Sheet!$E$2:$E$3143, ISNUMBER(
Master_Mapping_She"&amp;"et!$E$2:$E$3143),
Master_Mapping_Sheet!$B$2:$B$3143=$A2))), 0, sum(filter(
Master_Mapping_Sheet!$E$2:$E$3143, ISNUMBER(
Master_Mapping_Sheet!$E$2:$E$3143),
Master_Mapping_Sheet!$H$2:$H$3143=K$1,
Master_Mapping_Sheet!$B$2:$B$3143=$A2))/sum(filter(
Master_M"&amp;"apping_Sheet!$E$2:$E$3143, ISNUMBER(
Master_Mapping_Sheet!$E$2:$E$3143),
Master_Mapping_Sheet!$B$2:$B$3143=$A2)))"),0.0)</f>
        <v>0</v>
      </c>
      <c r="L2" s="34">
        <f>IFERROR(__xludf.DUMMYFUNCTION("IF(ISNA(sum(filter(
Master_Mapping_Sheet!$E$2:$E$3143, ISNUMBER(
Master_Mapping_Sheet!$E$2:$E$3143),
Master_Mapping_Sheet!$H$2:$H$3143=L$1,
Master_Mapping_Sheet!$B$2:$B$3143=$A2))/sum(filter(
Master_Mapping_Sheet!$E$2:$E$3143, ISNUMBER(
Master_Mapping_She"&amp;"et!$E$2:$E$3143),
Master_Mapping_Sheet!$B$2:$B$3143=$A2))), 0, sum(filter(
Master_Mapping_Sheet!$E$2:$E$3143, ISNUMBER(
Master_Mapping_Sheet!$E$2:$E$3143),
Master_Mapping_Sheet!$H$2:$H$3143=L$1,
Master_Mapping_Sheet!$B$2:$B$3143=$A2))/sum(filter(
Master_M"&amp;"apping_Sheet!$E$2:$E$3143, ISNUMBER(
Master_Mapping_Sheet!$E$2:$E$3143),
Master_Mapping_Sheet!$B$2:$B$3143=$A2)))"),0.0)</f>
        <v>0</v>
      </c>
      <c r="M2" s="34">
        <f>IFERROR(__xludf.DUMMYFUNCTION("IF(ISNA(sum(filter(
Master_Mapping_Sheet!$E$2:$E$3143, ISNUMBER(
Master_Mapping_Sheet!$E$2:$E$3143),
Master_Mapping_Sheet!$H$2:$H$3143=M$1,
Master_Mapping_Sheet!$B$2:$B$3143=$A2))/sum(filter(
Master_Mapping_Sheet!$E$2:$E$3143, ISNUMBER(
Master_Mapping_She"&amp;"et!$E$2:$E$3143),
Master_Mapping_Sheet!$B$2:$B$3143=$A2))), 0, sum(filter(
Master_Mapping_Sheet!$E$2:$E$3143, ISNUMBER(
Master_Mapping_Sheet!$E$2:$E$3143),
Master_Mapping_Sheet!$H$2:$H$3143=M$1,
Master_Mapping_Sheet!$B$2:$B$3143=$A2))/sum(filter(
Master_M"&amp;"apping_Sheet!$E$2:$E$3143, ISNUMBER(
Master_Mapping_Sheet!$E$2:$E$3143),
Master_Mapping_Sheet!$B$2:$B$3143=$A2)))"),0.0)</f>
        <v>0</v>
      </c>
      <c r="N2" s="34">
        <f>IFERROR(__xludf.DUMMYFUNCTION("IF(ISNA(sum(filter(
Master_Mapping_Sheet!$E$2:$E$3143, ISNUMBER(
Master_Mapping_Sheet!$E$2:$E$3143),
Master_Mapping_Sheet!$H$2:$H$3143=N$1,
Master_Mapping_Sheet!$B$2:$B$3143=$A2))/sum(filter(
Master_Mapping_Sheet!$E$2:$E$3143, ISNUMBER(
Master_Mapping_She"&amp;"et!$E$2:$E$3143),
Master_Mapping_Sheet!$B$2:$B$3143=$A2))), 0, sum(filter(
Master_Mapping_Sheet!$E$2:$E$3143, ISNUMBER(
Master_Mapping_Sheet!$E$2:$E$3143),
Master_Mapping_Sheet!$H$2:$H$3143=N$1,
Master_Mapping_Sheet!$B$2:$B$3143=$A2))/sum(filter(
Master_M"&amp;"apping_Sheet!$E$2:$E$3143, ISNUMBER(
Master_Mapping_Sheet!$E$2:$E$3143),
Master_Mapping_Sheet!$B$2:$B$3143=$A2)))"),0.0)</f>
        <v>0</v>
      </c>
      <c r="O2" s="34">
        <f>IFERROR(__xludf.DUMMYFUNCTION("IF(ISNA(sum(filter(
Master_Mapping_Sheet!$E$2:$E$3143, ISNUMBER(
Master_Mapping_Sheet!$E$2:$E$3143),
Master_Mapping_Sheet!$H$2:$H$3143=O$1,
Master_Mapping_Sheet!$B$2:$B$3143=$A2))/sum(filter(
Master_Mapping_Sheet!$E$2:$E$3143, ISNUMBER(
Master_Mapping_She"&amp;"et!$E$2:$E$3143),
Master_Mapping_Sheet!$B$2:$B$3143=$A2))), 0, sum(filter(
Master_Mapping_Sheet!$E$2:$E$3143, ISNUMBER(
Master_Mapping_Sheet!$E$2:$E$3143),
Master_Mapping_Sheet!$H$2:$H$3143=O$1,
Master_Mapping_Sheet!$B$2:$B$3143=$A2))/sum(filter(
Master_M"&amp;"apping_Sheet!$E$2:$E$3143, ISNUMBER(
Master_Mapping_Sheet!$E$2:$E$3143),
Master_Mapping_Sheet!$B$2:$B$3143=$A2)))"),0.0)</f>
        <v>0</v>
      </c>
      <c r="P2" s="34">
        <f>IFERROR(__xludf.DUMMYFUNCTION("IF(ISNA(sum(filter(
Master_Mapping_Sheet!$E$2:$E$3143, ISNUMBER(
Master_Mapping_Sheet!$E$2:$E$3143),
Master_Mapping_Sheet!$H$2:$H$3143=P$1,
Master_Mapping_Sheet!$B$2:$B$3143=$A2))/sum(filter(
Master_Mapping_Sheet!$E$2:$E$3143, ISNUMBER(
Master_Mapping_She"&amp;"et!$E$2:$E$3143),
Master_Mapping_Sheet!$B$2:$B$3143=$A2))), 0, sum(filter(
Master_Mapping_Sheet!$E$2:$E$3143, ISNUMBER(
Master_Mapping_Sheet!$E$2:$E$3143),
Master_Mapping_Sheet!$H$2:$H$3143=P$1,
Master_Mapping_Sheet!$B$2:$B$3143=$A2))/sum(filter(
Master_M"&amp;"apping_Sheet!$E$2:$E$3143, ISNUMBER(
Master_Mapping_Sheet!$E$2:$E$3143),
Master_Mapping_Sheet!$B$2:$B$3143=$A2)))"),0.0)</f>
        <v>0</v>
      </c>
      <c r="Q2" s="34">
        <f>IFERROR(__xludf.DUMMYFUNCTION("IF(ISNA(sum(filter(
Master_Mapping_Sheet!$E$2:$E$3143, ISNUMBER(
Master_Mapping_Sheet!$E$2:$E$3143),
Master_Mapping_Sheet!$H$2:$H$3143=Q$1,
Master_Mapping_Sheet!$B$2:$B$3143=$A2))/sum(filter(
Master_Mapping_Sheet!$E$2:$E$3143, ISNUMBER(
Master_Mapping_She"&amp;"et!$E$2:$E$3143),
Master_Mapping_Sheet!$B$2:$B$3143=$A2))), 0, sum(filter(
Master_Mapping_Sheet!$E$2:$E$3143, ISNUMBER(
Master_Mapping_Sheet!$E$2:$E$3143),
Master_Mapping_Sheet!$H$2:$H$3143=Q$1,
Master_Mapping_Sheet!$B$2:$B$3143=$A2))/sum(filter(
Master_M"&amp;"apping_Sheet!$E$2:$E$3143, ISNUMBER(
Master_Mapping_Sheet!$E$2:$E$3143),
Master_Mapping_Sheet!$B$2:$B$3143=$A2)))"),0.8286693779818137)</f>
        <v>0.828669378</v>
      </c>
      <c r="R2" s="34">
        <f>IFERROR(__xludf.DUMMYFUNCTION("IF(ISNA(sum(filter(
Master_Mapping_Sheet!$E$2:$E$3143, ISNUMBER(
Master_Mapping_Sheet!$E$2:$E$3143),
Master_Mapping_Sheet!$H$2:$H$3143=R$1,
Master_Mapping_Sheet!$B$2:$B$3143=$A2))/sum(filter(
Master_Mapping_Sheet!$E$2:$E$3143, ISNUMBER(
Master_Mapping_She"&amp;"et!$E$2:$E$3143),
Master_Mapping_Sheet!$B$2:$B$3143=$A2))), 0, sum(filter(
Master_Mapping_Sheet!$E$2:$E$3143, ISNUMBER(
Master_Mapping_Sheet!$E$2:$E$3143),
Master_Mapping_Sheet!$H$2:$H$3143=R$1,
Master_Mapping_Sheet!$B$2:$B$3143=$A2))/sum(filter(
Master_M"&amp;"apping_Sheet!$E$2:$E$3143, ISNUMBER(
Master_Mapping_Sheet!$E$2:$E$3143),
Master_Mapping_Sheet!$B$2:$B$3143=$A2)))"),0.17133062201818627)</f>
        <v>0.171330622</v>
      </c>
      <c r="S2" s="34">
        <f>IFERROR(__xludf.DUMMYFUNCTION("IF(ISNA(sum(filter(
Master_Mapping_Sheet!$E$2:$E$3143, ISNUMBER(
Master_Mapping_Sheet!$E$2:$E$3143),
Master_Mapping_Sheet!$H$2:$H$3143=S$1,
Master_Mapping_Sheet!$B$2:$B$3143=$A2))/sum(filter(
Master_Mapping_Sheet!$E$2:$E$3143, ISNUMBER(
Master_Mapping_She"&amp;"et!$E$2:$E$3143),
Master_Mapping_Sheet!$B$2:$B$3143=$A2))), 0, sum(filter(
Master_Mapping_Sheet!$E$2:$E$3143, ISNUMBER(
Master_Mapping_Sheet!$E$2:$E$3143),
Master_Mapping_Sheet!$H$2:$H$3143=S$1,
Master_Mapping_Sheet!$B$2:$B$3143=$A2))/sum(filter(
Master_M"&amp;"apping_Sheet!$E$2:$E$3143, ISNUMBER(
Master_Mapping_Sheet!$E$2:$E$3143),
Master_Mapping_Sheet!$B$2:$B$3143=$A2)))"),0.0)</f>
        <v>0</v>
      </c>
      <c r="T2" s="34">
        <f>IFERROR(__xludf.DUMMYFUNCTION("IF(ISNA(sum(filter(
Master_Mapping_Sheet!$E$2:$E$3143, ISNUMBER(
Master_Mapping_Sheet!$E$2:$E$3143),
Master_Mapping_Sheet!$H$2:$H$3143=T$1,
Master_Mapping_Sheet!$B$2:$B$3143=$A2))/sum(filter(
Master_Mapping_Sheet!$E$2:$E$3143, ISNUMBER(
Master_Mapping_She"&amp;"et!$E$2:$E$3143),
Master_Mapping_Sheet!$B$2:$B$3143=$A2))), 0, sum(filter(
Master_Mapping_Sheet!$E$2:$E$3143, ISNUMBER(
Master_Mapping_Sheet!$E$2:$E$3143),
Master_Mapping_Sheet!$H$2:$H$3143=T$1,
Master_Mapping_Sheet!$B$2:$B$3143=$A2))/sum(filter(
Master_M"&amp;"apping_Sheet!$E$2:$E$3143, ISNUMBER(
Master_Mapping_Sheet!$E$2:$E$3143),
Master_Mapping_Sheet!$B$2:$B$3143=$A2)))"),0.0)</f>
        <v>0</v>
      </c>
      <c r="U2" s="34">
        <f>IFERROR(__xludf.DUMMYFUNCTION("IF(ISNA(sum(filter(
Master_Mapping_Sheet!$E$2:$E$3143, ISNUMBER(
Master_Mapping_Sheet!$E$2:$E$3143),
Master_Mapping_Sheet!$H$2:$H$3143=U$1,
Master_Mapping_Sheet!$B$2:$B$3143=$A2))/sum(filter(
Master_Mapping_Sheet!$E$2:$E$3143, ISNUMBER(
Master_Mapping_She"&amp;"et!$E$2:$E$3143),
Master_Mapping_Sheet!$B$2:$B$3143=$A2))), 0, sum(filter(
Master_Mapping_Sheet!$E$2:$E$3143, ISNUMBER(
Master_Mapping_Sheet!$E$2:$E$3143),
Master_Mapping_Sheet!$H$2:$H$3143=U$1,
Master_Mapping_Sheet!$B$2:$B$3143=$A2))/sum(filter(
Master_M"&amp;"apping_Sheet!$E$2:$E$3143, ISNUMBER(
Master_Mapping_Sheet!$E$2:$E$3143),
Master_Mapping_Sheet!$B$2:$B$3143=$A2)))"),0.0)</f>
        <v>0</v>
      </c>
      <c r="V2" s="34">
        <f>IFERROR(__xludf.DUMMYFUNCTION("IF(ISNA(sum(filter(
Master_Mapping_Sheet!$E$2:$E$3143, ISNUMBER(
Master_Mapping_Sheet!$E$2:$E$3143),
Master_Mapping_Sheet!$H$2:$H$3143=V$1,
Master_Mapping_Sheet!$B$2:$B$3143=$A2))/sum(filter(
Master_Mapping_Sheet!$E$2:$E$3143, ISNUMBER(
Master_Mapping_She"&amp;"et!$E$2:$E$3143),
Master_Mapping_Sheet!$B$2:$B$3143=$A2))), 0, sum(filter(
Master_Mapping_Sheet!$E$2:$E$3143, ISNUMBER(
Master_Mapping_Sheet!$E$2:$E$3143),
Master_Mapping_Sheet!$H$2:$H$3143=V$1,
Master_Mapping_Sheet!$B$2:$B$3143=$A2))/sum(filter(
Master_M"&amp;"apping_Sheet!$E$2:$E$3143, ISNUMBER(
Master_Mapping_Sheet!$E$2:$E$3143),
Master_Mapping_Sheet!$B$2:$B$3143=$A2)))"),0.0)</f>
        <v>0</v>
      </c>
      <c r="W2" s="34">
        <f>IFERROR(__xludf.DUMMYFUNCTION("IF(ISNA(sum(filter(
Master_Mapping_Sheet!$E$2:$E$3143, ISNUMBER(
Master_Mapping_Sheet!$E$2:$E$3143),
Master_Mapping_Sheet!$H$2:$H$3143=W$1,
Master_Mapping_Sheet!$B$2:$B$3143=$A2))/sum(filter(
Master_Mapping_Sheet!$E$2:$E$3143, ISNUMBER(
Master_Mapping_She"&amp;"et!$E$2:$E$3143),
Master_Mapping_Sheet!$B$2:$B$3143=$A2))), 0, sum(filter(
Master_Mapping_Sheet!$E$2:$E$3143, ISNUMBER(
Master_Mapping_Sheet!$E$2:$E$3143),
Master_Mapping_Sheet!$H$2:$H$3143=W$1,
Master_Mapping_Sheet!$B$2:$B$3143=$A2))/sum(filter(
Master_M"&amp;"apping_Sheet!$E$2:$E$3143, ISNUMBER(
Master_Mapping_Sheet!$E$2:$E$3143),
Master_Mapping_Sheet!$B$2:$B$3143=$A2)))"),0.0)</f>
        <v>0</v>
      </c>
      <c r="X2" s="34">
        <f>IFERROR(__xludf.DUMMYFUNCTION("IF(ISNA(sum(filter(
Master_Mapping_Sheet!$E$2:$E$3143, ISNUMBER(
Master_Mapping_Sheet!$E$2:$E$3143),
Master_Mapping_Sheet!$H$2:$H$3143=X$1,
Master_Mapping_Sheet!$B$2:$B$3143=$A2))/sum(filter(
Master_Mapping_Sheet!$E$2:$E$3143, ISNUMBER(
Master_Mapping_She"&amp;"et!$E$2:$E$3143),
Master_Mapping_Sheet!$B$2:$B$3143=$A2))), 0, sum(filter(
Master_Mapping_Sheet!$E$2:$E$3143, ISNUMBER(
Master_Mapping_Sheet!$E$2:$E$3143),
Master_Mapping_Sheet!$H$2:$H$3143=X$1,
Master_Mapping_Sheet!$B$2:$B$3143=$A2))/sum(filter(
Master_M"&amp;"apping_Sheet!$E$2:$E$3143, ISNUMBER(
Master_Mapping_Sheet!$E$2:$E$3143),
Master_Mapping_Sheet!$B$2:$B$3143=$A2)))"),0.0)</f>
        <v>0</v>
      </c>
      <c r="Y2" s="34">
        <f>IFERROR(__xludf.DUMMYFUNCTION("IF(ISNA(sum(filter(
Master_Mapping_Sheet!$E$2:$E$3143, ISNUMBER(
Master_Mapping_Sheet!$E$2:$E$3143),
Master_Mapping_Sheet!$H$2:$H$3143=Y$1,
Master_Mapping_Sheet!$B$2:$B$3143=$A2))/sum(filter(
Master_Mapping_Sheet!$E$2:$E$3143, ISNUMBER(
Master_Mapping_She"&amp;"et!$E$2:$E$3143),
Master_Mapping_Sheet!$B$2:$B$3143=$A2))), 0, sum(filter(
Master_Mapping_Sheet!$E$2:$E$3143, ISNUMBER(
Master_Mapping_Sheet!$E$2:$E$3143),
Master_Mapping_Sheet!$H$2:$H$3143=Y$1,
Master_Mapping_Sheet!$B$2:$B$3143=$A2))/sum(filter(
Master_M"&amp;"apping_Sheet!$E$2:$E$3143, ISNUMBER(
Master_Mapping_Sheet!$E$2:$E$3143),
Master_Mapping_Sheet!$B$2:$B$3143=$A2)))"),0.0)</f>
        <v>0</v>
      </c>
      <c r="Z2" s="34">
        <f>IFERROR(__xludf.DUMMYFUNCTION("IF(ISNA(sum(filter(
Master_Mapping_Sheet!$E$2:$E$3143, ISNUMBER(
Master_Mapping_Sheet!$E$2:$E$3143),
Master_Mapping_Sheet!$H$2:$H$3143=Z$1,
Master_Mapping_Sheet!$B$2:$B$3143=$A2))/sum(filter(
Master_Mapping_Sheet!$E$2:$E$3143, ISNUMBER(
Master_Mapping_She"&amp;"et!$E$2:$E$3143),
Master_Mapping_Sheet!$B$2:$B$3143=$A2))), 0, sum(filter(
Master_Mapping_Sheet!$E$2:$E$3143, ISNUMBER(
Master_Mapping_Sheet!$E$2:$E$3143),
Master_Mapping_Sheet!$H$2:$H$3143=Z$1,
Master_Mapping_Sheet!$B$2:$B$3143=$A2))/sum(filter(
Master_M"&amp;"apping_Sheet!$E$2:$E$3143, ISNUMBER(
Master_Mapping_Sheet!$E$2:$E$3143),
Master_Mapping_Sheet!$B$2:$B$3143=$A2)))"),0.0)</f>
        <v>0</v>
      </c>
      <c r="AA2" s="34">
        <f>IFERROR(__xludf.DUMMYFUNCTION("IF(ISNA(sum(filter(
Master_Mapping_Sheet!$E$2:$E$3143, ISNUMBER(
Master_Mapping_Sheet!$E$2:$E$3143),
Master_Mapping_Sheet!$H$2:$H$3143=AA$1,
Master_Mapping_Sheet!$B$2:$B$3143=$A2))/sum(filter(
Master_Mapping_Sheet!$E$2:$E$3143, ISNUMBER(
Master_Mapping_Sh"&amp;"eet!$E$2:$E$3143),
Master_Mapping_Sheet!$B$2:$B$3143=$A2))), 0, sum(filter(
Master_Mapping_Sheet!$E$2:$E$3143, ISNUMBER(
Master_Mapping_Sheet!$E$2:$E$3143),
Master_Mapping_Sheet!$H$2:$H$3143=AA$1,
Master_Mapping_Sheet!$B$2:$B$3143=$A2))/sum(filter(
Master"&amp;"_Mapping_Sheet!$E$2:$E$3143, ISNUMBER(
Master_Mapping_Sheet!$E$2:$E$3143),
Master_Mapping_Sheet!$B$2:$B$3143=$A2)))"),0.0)</f>
        <v>0</v>
      </c>
    </row>
    <row r="3" ht="15.75" customHeight="1">
      <c r="A3" s="34" t="s">
        <v>171</v>
      </c>
      <c r="B3" s="34" t="s">
        <v>2062</v>
      </c>
      <c r="C3" s="34">
        <f>IFERROR(__xludf.DUMMYFUNCTION("IF(ISNA(sum(filter(
Master_Mapping_Sheet!$E$2:$E$3143, ISNUMBER(
Master_Mapping_Sheet!$E$2:$E$3143),
Master_Mapping_Sheet!$H$2:$H$3143=C$1,
Master_Mapping_Sheet!$B$2:$B$3143=$A3))/sum(filter(
Master_Mapping_Sheet!$E$2:$E$3143, ISNUMBER(
Master_Mapping_She"&amp;"et!$E$2:$E$3143),
Master_Mapping_Sheet!$B$2:$B$3143=$A3))), 0, sum(filter(
Master_Mapping_Sheet!$E$2:$E$3143, ISNUMBER(
Master_Mapping_Sheet!$E$2:$E$3143),
Master_Mapping_Sheet!$H$2:$H$3143=C$1,
Master_Mapping_Sheet!$B$2:$B$3143=$A3))/sum(filter(
Master_M"&amp;"apping_Sheet!$E$2:$E$3143, ISNUMBER(
Master_Mapping_Sheet!$E$2:$E$3143),
Master_Mapping_Sheet!$B$2:$B$3143=$A3)))"),0.0)</f>
        <v>0</v>
      </c>
      <c r="D3" s="32">
        <f>IFERROR(__xludf.DUMMYFUNCTION("IF(ISNA(sum(filter(
Master_Mapping_Sheet!$E$2:$E$3143, ISNUMBER(
Master_Mapping_Sheet!$E$2:$E$3143),
Master_Mapping_Sheet!$H$2:$H$3143=D$1,
Master_Mapping_Sheet!$B$2:$B$3143=$A3))/sum(filter(
Master_Mapping_Sheet!$E$2:$E$3143, ISNUMBER(
Master_Mapping_She"&amp;"et!$E$2:$E$3143),
Master_Mapping_Sheet!$B$2:$B$3143=$A3))), 0, sum(filter(
Master_Mapping_Sheet!$E$2:$E$3143, ISNUMBER(
Master_Mapping_Sheet!$E$2:$E$3143),
Master_Mapping_Sheet!$H$2:$H$3143=D$1,
Master_Mapping_Sheet!$B$2:$B$3143=$A3))/sum(filter(
Master_M"&amp;"apping_Sheet!$E$2:$E$3143, ISNUMBER(
Master_Mapping_Sheet!$E$2:$E$3143),
Master_Mapping_Sheet!$B$2:$B$3143=$A3)))"),0.0)</f>
        <v>0</v>
      </c>
      <c r="E3" s="34">
        <f>IFERROR(__xludf.DUMMYFUNCTION("IF(ISNA(sum(filter(
Master_Mapping_Sheet!$E$2:$E$3143, ISNUMBER(
Master_Mapping_Sheet!$E$2:$E$3143),
Master_Mapping_Sheet!$H$2:$H$3143=E$1,
Master_Mapping_Sheet!$B$2:$B$3143=$A3))/sum(filter(
Master_Mapping_Sheet!$E$2:$E$3143, ISNUMBER(
Master_Mapping_She"&amp;"et!$E$2:$E$3143),
Master_Mapping_Sheet!$B$2:$B$3143=$A3))), 0, sum(filter(
Master_Mapping_Sheet!$E$2:$E$3143, ISNUMBER(
Master_Mapping_Sheet!$E$2:$E$3143),
Master_Mapping_Sheet!$H$2:$H$3143=E$1,
Master_Mapping_Sheet!$B$2:$B$3143=$A3))/sum(filter(
Master_M"&amp;"apping_Sheet!$E$2:$E$3143, ISNUMBER(
Master_Mapping_Sheet!$E$2:$E$3143),
Master_Mapping_Sheet!$B$2:$B$3143=$A3)))"),0.0)</f>
        <v>0</v>
      </c>
      <c r="F3" s="34">
        <f>IFERROR(__xludf.DUMMYFUNCTION("IF(ISNA(sum(filter(
Master_Mapping_Sheet!$E$2:$E$3143, ISNUMBER(
Master_Mapping_Sheet!$E$2:$E$3143),
Master_Mapping_Sheet!$H$2:$H$3143=F$1,
Master_Mapping_Sheet!$B$2:$B$3143=$A3))/sum(filter(
Master_Mapping_Sheet!$E$2:$E$3143, ISNUMBER(
Master_Mapping_She"&amp;"et!$E$2:$E$3143),
Master_Mapping_Sheet!$B$2:$B$3143=$A3))), 0, sum(filter(
Master_Mapping_Sheet!$E$2:$E$3143, ISNUMBER(
Master_Mapping_Sheet!$E$2:$E$3143),
Master_Mapping_Sheet!$H$2:$H$3143=F$1,
Master_Mapping_Sheet!$B$2:$B$3143=$A3))/sum(filter(
Master_M"&amp;"apping_Sheet!$E$2:$E$3143, ISNUMBER(
Master_Mapping_Sheet!$E$2:$E$3143),
Master_Mapping_Sheet!$B$2:$B$3143=$A3)))"),0.0)</f>
        <v>0</v>
      </c>
      <c r="G3" s="34">
        <f>IFERROR(__xludf.DUMMYFUNCTION("IF(ISNA(sum(filter(
Master_Mapping_Sheet!$E$2:$E$3143, ISNUMBER(
Master_Mapping_Sheet!$E$2:$E$3143),
Master_Mapping_Sheet!$H$2:$H$3143=G$1,
Master_Mapping_Sheet!$B$2:$B$3143=$A3))/sum(filter(
Master_Mapping_Sheet!$E$2:$E$3143, ISNUMBER(
Master_Mapping_She"&amp;"et!$E$2:$E$3143),
Master_Mapping_Sheet!$B$2:$B$3143=$A3))), 0, sum(filter(
Master_Mapping_Sheet!$E$2:$E$3143, ISNUMBER(
Master_Mapping_Sheet!$E$2:$E$3143),
Master_Mapping_Sheet!$H$2:$H$3143=G$1,
Master_Mapping_Sheet!$B$2:$B$3143=$A3))/sum(filter(
Master_M"&amp;"apping_Sheet!$E$2:$E$3143, ISNUMBER(
Master_Mapping_Sheet!$E$2:$E$3143),
Master_Mapping_Sheet!$B$2:$B$3143=$A3)))"),0.0)</f>
        <v>0</v>
      </c>
      <c r="H3" s="34">
        <f>IFERROR(__xludf.DUMMYFUNCTION("IF(ISNA(sum(filter(
Master_Mapping_Sheet!$E$2:$E$3143, ISNUMBER(
Master_Mapping_Sheet!$E$2:$E$3143),
Master_Mapping_Sheet!$H$2:$H$3143=H$1,
Master_Mapping_Sheet!$B$2:$B$3143=$A3))/sum(filter(
Master_Mapping_Sheet!$E$2:$E$3143, ISNUMBER(
Master_Mapping_She"&amp;"et!$E$2:$E$3143),
Master_Mapping_Sheet!$B$2:$B$3143=$A3))), 0, sum(filter(
Master_Mapping_Sheet!$E$2:$E$3143, ISNUMBER(
Master_Mapping_Sheet!$E$2:$E$3143),
Master_Mapping_Sheet!$H$2:$H$3143=H$1,
Master_Mapping_Sheet!$B$2:$B$3143=$A3))/sum(filter(
Master_M"&amp;"apping_Sheet!$E$2:$E$3143, ISNUMBER(
Master_Mapping_Sheet!$E$2:$E$3143),
Master_Mapping_Sheet!$B$2:$B$3143=$A3)))"),0.0)</f>
        <v>0</v>
      </c>
      <c r="I3" s="34">
        <f>IFERROR(__xludf.DUMMYFUNCTION("IF(ISNA(sum(filter(
Master_Mapping_Sheet!$E$2:$E$3143, ISNUMBER(
Master_Mapping_Sheet!$E$2:$E$3143),
Master_Mapping_Sheet!$H$2:$H$3143=I$1,
Master_Mapping_Sheet!$B$2:$B$3143=$A3))/sum(filter(
Master_Mapping_Sheet!$E$2:$E$3143, ISNUMBER(
Master_Mapping_She"&amp;"et!$E$2:$E$3143),
Master_Mapping_Sheet!$B$2:$B$3143=$A3))), 0, sum(filter(
Master_Mapping_Sheet!$E$2:$E$3143, ISNUMBER(
Master_Mapping_Sheet!$E$2:$E$3143),
Master_Mapping_Sheet!$H$2:$H$3143=I$1,
Master_Mapping_Sheet!$B$2:$B$3143=$A3))/sum(filter(
Master_M"&amp;"apping_Sheet!$E$2:$E$3143, ISNUMBER(
Master_Mapping_Sheet!$E$2:$E$3143),
Master_Mapping_Sheet!$B$2:$B$3143=$A3)))"),0.0)</f>
        <v>0</v>
      </c>
      <c r="J3" s="34">
        <f>IFERROR(__xludf.DUMMYFUNCTION("IF(ISNA(sum(filter(
Master_Mapping_Sheet!$E$2:$E$3143, ISNUMBER(
Master_Mapping_Sheet!$E$2:$E$3143),
Master_Mapping_Sheet!$H$2:$H$3143=J$1,
Master_Mapping_Sheet!$B$2:$B$3143=$A3))/sum(filter(
Master_Mapping_Sheet!$E$2:$E$3143, ISNUMBER(
Master_Mapping_She"&amp;"et!$E$2:$E$3143),
Master_Mapping_Sheet!$B$2:$B$3143=$A3))), 0, sum(filter(
Master_Mapping_Sheet!$E$2:$E$3143, ISNUMBER(
Master_Mapping_Sheet!$E$2:$E$3143),
Master_Mapping_Sheet!$H$2:$H$3143=J$1,
Master_Mapping_Sheet!$B$2:$B$3143=$A3))/sum(filter(
Master_M"&amp;"apping_Sheet!$E$2:$E$3143, ISNUMBER(
Master_Mapping_Sheet!$E$2:$E$3143),
Master_Mapping_Sheet!$B$2:$B$3143=$A3)))"),0.0)</f>
        <v>0</v>
      </c>
      <c r="K3" s="34">
        <f>IFERROR(__xludf.DUMMYFUNCTION("IF(ISNA(sum(filter(
Master_Mapping_Sheet!$E$2:$E$3143, ISNUMBER(
Master_Mapping_Sheet!$E$2:$E$3143),
Master_Mapping_Sheet!$H$2:$H$3143=K$1,
Master_Mapping_Sheet!$B$2:$B$3143=$A3))/sum(filter(
Master_Mapping_Sheet!$E$2:$E$3143, ISNUMBER(
Master_Mapping_She"&amp;"et!$E$2:$E$3143),
Master_Mapping_Sheet!$B$2:$B$3143=$A3))), 0, sum(filter(
Master_Mapping_Sheet!$E$2:$E$3143, ISNUMBER(
Master_Mapping_Sheet!$E$2:$E$3143),
Master_Mapping_Sheet!$H$2:$H$3143=K$1,
Master_Mapping_Sheet!$B$2:$B$3143=$A3))/sum(filter(
Master_M"&amp;"apping_Sheet!$E$2:$E$3143, ISNUMBER(
Master_Mapping_Sheet!$E$2:$E$3143),
Master_Mapping_Sheet!$B$2:$B$3143=$A3)))"),0.0)</f>
        <v>0</v>
      </c>
      <c r="L3" s="34">
        <f>IFERROR(__xludf.DUMMYFUNCTION("IF(ISNA(sum(filter(
Master_Mapping_Sheet!$E$2:$E$3143, ISNUMBER(
Master_Mapping_Sheet!$E$2:$E$3143),
Master_Mapping_Sheet!$H$2:$H$3143=L$1,
Master_Mapping_Sheet!$B$2:$B$3143=$A3))/sum(filter(
Master_Mapping_Sheet!$E$2:$E$3143, ISNUMBER(
Master_Mapping_She"&amp;"et!$E$2:$E$3143),
Master_Mapping_Sheet!$B$2:$B$3143=$A3))), 0, sum(filter(
Master_Mapping_Sheet!$E$2:$E$3143, ISNUMBER(
Master_Mapping_Sheet!$E$2:$E$3143),
Master_Mapping_Sheet!$H$2:$H$3143=L$1,
Master_Mapping_Sheet!$B$2:$B$3143=$A3))/sum(filter(
Master_M"&amp;"apping_Sheet!$E$2:$E$3143, ISNUMBER(
Master_Mapping_Sheet!$E$2:$E$3143),
Master_Mapping_Sheet!$B$2:$B$3143=$A3)))"),0.0)</f>
        <v>0</v>
      </c>
      <c r="M3" s="34">
        <f>IFERROR(__xludf.DUMMYFUNCTION("IF(ISNA(sum(filter(
Master_Mapping_Sheet!$E$2:$E$3143, ISNUMBER(
Master_Mapping_Sheet!$E$2:$E$3143),
Master_Mapping_Sheet!$H$2:$H$3143=M$1,
Master_Mapping_Sheet!$B$2:$B$3143=$A3))/sum(filter(
Master_Mapping_Sheet!$E$2:$E$3143, ISNUMBER(
Master_Mapping_She"&amp;"et!$E$2:$E$3143),
Master_Mapping_Sheet!$B$2:$B$3143=$A3))), 0, sum(filter(
Master_Mapping_Sheet!$E$2:$E$3143, ISNUMBER(
Master_Mapping_Sheet!$E$2:$E$3143),
Master_Mapping_Sheet!$H$2:$H$3143=M$1,
Master_Mapping_Sheet!$B$2:$B$3143=$A3))/sum(filter(
Master_M"&amp;"apping_Sheet!$E$2:$E$3143, ISNUMBER(
Master_Mapping_Sheet!$E$2:$E$3143),
Master_Mapping_Sheet!$B$2:$B$3143=$A3)))"),0.0)</f>
        <v>0</v>
      </c>
      <c r="N3" s="34">
        <f>IFERROR(__xludf.DUMMYFUNCTION("IF(ISNA(sum(filter(
Master_Mapping_Sheet!$E$2:$E$3143, ISNUMBER(
Master_Mapping_Sheet!$E$2:$E$3143),
Master_Mapping_Sheet!$H$2:$H$3143=N$1,
Master_Mapping_Sheet!$B$2:$B$3143=$A3))/sum(filter(
Master_Mapping_Sheet!$E$2:$E$3143, ISNUMBER(
Master_Mapping_She"&amp;"et!$E$2:$E$3143),
Master_Mapping_Sheet!$B$2:$B$3143=$A3))), 0, sum(filter(
Master_Mapping_Sheet!$E$2:$E$3143, ISNUMBER(
Master_Mapping_Sheet!$E$2:$E$3143),
Master_Mapping_Sheet!$H$2:$H$3143=N$1,
Master_Mapping_Sheet!$B$2:$B$3143=$A3))/sum(filter(
Master_M"&amp;"apping_Sheet!$E$2:$E$3143, ISNUMBER(
Master_Mapping_Sheet!$E$2:$E$3143),
Master_Mapping_Sheet!$B$2:$B$3143=$A3)))"),0.0)</f>
        <v>0</v>
      </c>
      <c r="O3" s="34">
        <f>IFERROR(__xludf.DUMMYFUNCTION("IF(ISNA(sum(filter(
Master_Mapping_Sheet!$E$2:$E$3143, ISNUMBER(
Master_Mapping_Sheet!$E$2:$E$3143),
Master_Mapping_Sheet!$H$2:$H$3143=O$1,
Master_Mapping_Sheet!$B$2:$B$3143=$A3))/sum(filter(
Master_Mapping_Sheet!$E$2:$E$3143, ISNUMBER(
Master_Mapping_She"&amp;"et!$E$2:$E$3143),
Master_Mapping_Sheet!$B$2:$B$3143=$A3))), 0, sum(filter(
Master_Mapping_Sheet!$E$2:$E$3143, ISNUMBER(
Master_Mapping_Sheet!$E$2:$E$3143),
Master_Mapping_Sheet!$H$2:$H$3143=O$1,
Master_Mapping_Sheet!$B$2:$B$3143=$A3))/sum(filter(
Master_M"&amp;"apping_Sheet!$E$2:$E$3143, ISNUMBER(
Master_Mapping_Sheet!$E$2:$E$3143),
Master_Mapping_Sheet!$B$2:$B$3143=$A3)))"),0.0)</f>
        <v>0</v>
      </c>
      <c r="P3" s="34">
        <f>IFERROR(__xludf.DUMMYFUNCTION("IF(ISNA(sum(filter(
Master_Mapping_Sheet!$E$2:$E$3143, ISNUMBER(
Master_Mapping_Sheet!$E$2:$E$3143),
Master_Mapping_Sheet!$H$2:$H$3143=P$1,
Master_Mapping_Sheet!$B$2:$B$3143=$A3))/sum(filter(
Master_Mapping_Sheet!$E$2:$E$3143, ISNUMBER(
Master_Mapping_She"&amp;"et!$E$2:$E$3143),
Master_Mapping_Sheet!$B$2:$B$3143=$A3))), 0, sum(filter(
Master_Mapping_Sheet!$E$2:$E$3143, ISNUMBER(
Master_Mapping_Sheet!$E$2:$E$3143),
Master_Mapping_Sheet!$H$2:$H$3143=P$1,
Master_Mapping_Sheet!$B$2:$B$3143=$A3))/sum(filter(
Master_M"&amp;"apping_Sheet!$E$2:$E$3143, ISNUMBER(
Master_Mapping_Sheet!$E$2:$E$3143),
Master_Mapping_Sheet!$B$2:$B$3143=$A3)))"),0.0)</f>
        <v>0</v>
      </c>
      <c r="Q3" s="34">
        <f>IFERROR(__xludf.DUMMYFUNCTION("IF(ISNA(sum(filter(
Master_Mapping_Sheet!$E$2:$E$3143, ISNUMBER(
Master_Mapping_Sheet!$E$2:$E$3143),
Master_Mapping_Sheet!$H$2:$H$3143=Q$1,
Master_Mapping_Sheet!$B$2:$B$3143=$A3))/sum(filter(
Master_Mapping_Sheet!$E$2:$E$3143, ISNUMBER(
Master_Mapping_She"&amp;"et!$E$2:$E$3143),
Master_Mapping_Sheet!$B$2:$B$3143=$A3))), 0, sum(filter(
Master_Mapping_Sheet!$E$2:$E$3143, ISNUMBER(
Master_Mapping_Sheet!$E$2:$E$3143),
Master_Mapping_Sheet!$H$2:$H$3143=Q$1,
Master_Mapping_Sheet!$B$2:$B$3143=$A3))/sum(filter(
Master_M"&amp;"apping_Sheet!$E$2:$E$3143, ISNUMBER(
Master_Mapping_Sheet!$E$2:$E$3143),
Master_Mapping_Sheet!$B$2:$B$3143=$A3)))"),0.0)</f>
        <v>0</v>
      </c>
      <c r="R3" s="34">
        <f>IFERROR(__xludf.DUMMYFUNCTION("IF(ISNA(sum(filter(
Master_Mapping_Sheet!$E$2:$E$3143, ISNUMBER(
Master_Mapping_Sheet!$E$2:$E$3143),
Master_Mapping_Sheet!$H$2:$H$3143=R$1,
Master_Mapping_Sheet!$B$2:$B$3143=$A3))/sum(filter(
Master_Mapping_Sheet!$E$2:$E$3143, ISNUMBER(
Master_Mapping_She"&amp;"et!$E$2:$E$3143),
Master_Mapping_Sheet!$B$2:$B$3143=$A3))), 0, sum(filter(
Master_Mapping_Sheet!$E$2:$E$3143, ISNUMBER(
Master_Mapping_Sheet!$E$2:$E$3143),
Master_Mapping_Sheet!$H$2:$H$3143=R$1,
Master_Mapping_Sheet!$B$2:$B$3143=$A3))/sum(filter(
Master_M"&amp;"apping_Sheet!$E$2:$E$3143, ISNUMBER(
Master_Mapping_Sheet!$E$2:$E$3143),
Master_Mapping_Sheet!$B$2:$B$3143=$A3)))"),0.0)</f>
        <v>0</v>
      </c>
      <c r="S3" s="34">
        <f>IFERROR(__xludf.DUMMYFUNCTION("IF(ISNA(sum(filter(
Master_Mapping_Sheet!$E$2:$E$3143, ISNUMBER(
Master_Mapping_Sheet!$E$2:$E$3143),
Master_Mapping_Sheet!$H$2:$H$3143=S$1,
Master_Mapping_Sheet!$B$2:$B$3143=$A3))/sum(filter(
Master_Mapping_Sheet!$E$2:$E$3143, ISNUMBER(
Master_Mapping_She"&amp;"et!$E$2:$E$3143),
Master_Mapping_Sheet!$B$2:$B$3143=$A3))), 0, sum(filter(
Master_Mapping_Sheet!$E$2:$E$3143, ISNUMBER(
Master_Mapping_Sheet!$E$2:$E$3143),
Master_Mapping_Sheet!$H$2:$H$3143=S$1,
Master_Mapping_Sheet!$B$2:$B$3143=$A3))/sum(filter(
Master_M"&amp;"apping_Sheet!$E$2:$E$3143, ISNUMBER(
Master_Mapping_Sheet!$E$2:$E$3143),
Master_Mapping_Sheet!$B$2:$B$3143=$A3)))"),0.0)</f>
        <v>0</v>
      </c>
      <c r="T3" s="34">
        <f>IFERROR(__xludf.DUMMYFUNCTION("IF(ISNA(sum(filter(
Master_Mapping_Sheet!$E$2:$E$3143, ISNUMBER(
Master_Mapping_Sheet!$E$2:$E$3143),
Master_Mapping_Sheet!$H$2:$H$3143=T$1,
Master_Mapping_Sheet!$B$2:$B$3143=$A3))/sum(filter(
Master_Mapping_Sheet!$E$2:$E$3143, ISNUMBER(
Master_Mapping_She"&amp;"et!$E$2:$E$3143),
Master_Mapping_Sheet!$B$2:$B$3143=$A3))), 0, sum(filter(
Master_Mapping_Sheet!$E$2:$E$3143, ISNUMBER(
Master_Mapping_Sheet!$E$2:$E$3143),
Master_Mapping_Sheet!$H$2:$H$3143=T$1,
Master_Mapping_Sheet!$B$2:$B$3143=$A3))/sum(filter(
Master_M"&amp;"apping_Sheet!$E$2:$E$3143, ISNUMBER(
Master_Mapping_Sheet!$E$2:$E$3143),
Master_Mapping_Sheet!$B$2:$B$3143=$A3)))"),0.0)</f>
        <v>0</v>
      </c>
      <c r="U3" s="34">
        <f>IFERROR(__xludf.DUMMYFUNCTION("IF(ISNA(sum(filter(
Master_Mapping_Sheet!$E$2:$E$3143, ISNUMBER(
Master_Mapping_Sheet!$E$2:$E$3143),
Master_Mapping_Sheet!$H$2:$H$3143=U$1,
Master_Mapping_Sheet!$B$2:$B$3143=$A3))/sum(filter(
Master_Mapping_Sheet!$E$2:$E$3143, ISNUMBER(
Master_Mapping_She"&amp;"et!$E$2:$E$3143),
Master_Mapping_Sheet!$B$2:$B$3143=$A3))), 0, sum(filter(
Master_Mapping_Sheet!$E$2:$E$3143, ISNUMBER(
Master_Mapping_Sheet!$E$2:$E$3143),
Master_Mapping_Sheet!$H$2:$H$3143=U$1,
Master_Mapping_Sheet!$B$2:$B$3143=$A3))/sum(filter(
Master_M"&amp;"apping_Sheet!$E$2:$E$3143, ISNUMBER(
Master_Mapping_Sheet!$E$2:$E$3143),
Master_Mapping_Sheet!$B$2:$B$3143=$A3)))"),0.0)</f>
        <v>0</v>
      </c>
      <c r="V3" s="34">
        <f>IFERROR(__xludf.DUMMYFUNCTION("IF(ISNA(sum(filter(
Master_Mapping_Sheet!$E$2:$E$3143, ISNUMBER(
Master_Mapping_Sheet!$E$2:$E$3143),
Master_Mapping_Sheet!$H$2:$H$3143=V$1,
Master_Mapping_Sheet!$B$2:$B$3143=$A3))/sum(filter(
Master_Mapping_Sheet!$E$2:$E$3143, ISNUMBER(
Master_Mapping_She"&amp;"et!$E$2:$E$3143),
Master_Mapping_Sheet!$B$2:$B$3143=$A3))), 0, sum(filter(
Master_Mapping_Sheet!$E$2:$E$3143, ISNUMBER(
Master_Mapping_Sheet!$E$2:$E$3143),
Master_Mapping_Sheet!$H$2:$H$3143=V$1,
Master_Mapping_Sheet!$B$2:$B$3143=$A3))/sum(filter(
Master_M"&amp;"apping_Sheet!$E$2:$E$3143, ISNUMBER(
Master_Mapping_Sheet!$E$2:$E$3143),
Master_Mapping_Sheet!$B$2:$B$3143=$A3)))"),0.0)</f>
        <v>0</v>
      </c>
      <c r="W3" s="34">
        <f>IFERROR(__xludf.DUMMYFUNCTION("IF(ISNA(sum(filter(
Master_Mapping_Sheet!$E$2:$E$3143, ISNUMBER(
Master_Mapping_Sheet!$E$2:$E$3143),
Master_Mapping_Sheet!$H$2:$H$3143=W$1,
Master_Mapping_Sheet!$B$2:$B$3143=$A3))/sum(filter(
Master_Mapping_Sheet!$E$2:$E$3143, ISNUMBER(
Master_Mapping_She"&amp;"et!$E$2:$E$3143),
Master_Mapping_Sheet!$B$2:$B$3143=$A3))), 0, sum(filter(
Master_Mapping_Sheet!$E$2:$E$3143, ISNUMBER(
Master_Mapping_Sheet!$E$2:$E$3143),
Master_Mapping_Sheet!$H$2:$H$3143=W$1,
Master_Mapping_Sheet!$B$2:$B$3143=$A3))/sum(filter(
Master_M"&amp;"apping_Sheet!$E$2:$E$3143, ISNUMBER(
Master_Mapping_Sheet!$E$2:$E$3143),
Master_Mapping_Sheet!$B$2:$B$3143=$A3)))"),0.0)</f>
        <v>0</v>
      </c>
      <c r="X3" s="34">
        <f>IFERROR(__xludf.DUMMYFUNCTION("IF(ISNA(sum(filter(
Master_Mapping_Sheet!$E$2:$E$3143, ISNUMBER(
Master_Mapping_Sheet!$E$2:$E$3143),
Master_Mapping_Sheet!$H$2:$H$3143=X$1,
Master_Mapping_Sheet!$B$2:$B$3143=$A3))/sum(filter(
Master_Mapping_Sheet!$E$2:$E$3143, ISNUMBER(
Master_Mapping_She"&amp;"et!$E$2:$E$3143),
Master_Mapping_Sheet!$B$2:$B$3143=$A3))), 0, sum(filter(
Master_Mapping_Sheet!$E$2:$E$3143, ISNUMBER(
Master_Mapping_Sheet!$E$2:$E$3143),
Master_Mapping_Sheet!$H$2:$H$3143=X$1,
Master_Mapping_Sheet!$B$2:$B$3143=$A3))/sum(filter(
Master_M"&amp;"apping_Sheet!$E$2:$E$3143, ISNUMBER(
Master_Mapping_Sheet!$E$2:$E$3143),
Master_Mapping_Sheet!$B$2:$B$3143=$A3)))"),0.0)</f>
        <v>0</v>
      </c>
      <c r="Y3" s="34">
        <f>IFERROR(__xludf.DUMMYFUNCTION("IF(ISNA(sum(filter(
Master_Mapping_Sheet!$E$2:$E$3143, ISNUMBER(
Master_Mapping_Sheet!$E$2:$E$3143),
Master_Mapping_Sheet!$H$2:$H$3143=Y$1,
Master_Mapping_Sheet!$B$2:$B$3143=$A3))/sum(filter(
Master_Mapping_Sheet!$E$2:$E$3143, ISNUMBER(
Master_Mapping_She"&amp;"et!$E$2:$E$3143),
Master_Mapping_Sheet!$B$2:$B$3143=$A3))), 0, sum(filter(
Master_Mapping_Sheet!$E$2:$E$3143, ISNUMBER(
Master_Mapping_Sheet!$E$2:$E$3143),
Master_Mapping_Sheet!$H$2:$H$3143=Y$1,
Master_Mapping_Sheet!$B$2:$B$3143=$A3))/sum(filter(
Master_M"&amp;"apping_Sheet!$E$2:$E$3143, ISNUMBER(
Master_Mapping_Sheet!$E$2:$E$3143),
Master_Mapping_Sheet!$B$2:$B$3143=$A3)))"),0.0)</f>
        <v>0</v>
      </c>
      <c r="Z3" s="34">
        <f>IFERROR(__xludf.DUMMYFUNCTION("IF(ISNA(sum(filter(
Master_Mapping_Sheet!$E$2:$E$3143, ISNUMBER(
Master_Mapping_Sheet!$E$2:$E$3143),
Master_Mapping_Sheet!$H$2:$H$3143=Z$1,
Master_Mapping_Sheet!$B$2:$B$3143=$A3))/sum(filter(
Master_Mapping_Sheet!$E$2:$E$3143, ISNUMBER(
Master_Mapping_She"&amp;"et!$E$2:$E$3143),
Master_Mapping_Sheet!$B$2:$B$3143=$A3))), 0, sum(filter(
Master_Mapping_Sheet!$E$2:$E$3143, ISNUMBER(
Master_Mapping_Sheet!$E$2:$E$3143),
Master_Mapping_Sheet!$H$2:$H$3143=Z$1,
Master_Mapping_Sheet!$B$2:$B$3143=$A3))/sum(filter(
Master_M"&amp;"apping_Sheet!$E$2:$E$3143, ISNUMBER(
Master_Mapping_Sheet!$E$2:$E$3143),
Master_Mapping_Sheet!$B$2:$B$3143=$A3)))"),0.0)</f>
        <v>0</v>
      </c>
      <c r="AA3" s="34">
        <f>IFERROR(__xludf.DUMMYFUNCTION("IF(ISNA(sum(filter(
Master_Mapping_Sheet!$E$2:$E$3143, ISNUMBER(
Master_Mapping_Sheet!$E$2:$E$3143),
Master_Mapping_Sheet!$H$2:$H$3143=AA$1,
Master_Mapping_Sheet!$B$2:$B$3143=$A3))/sum(filter(
Master_Mapping_Sheet!$E$2:$E$3143, ISNUMBER(
Master_Mapping_Sh"&amp;"eet!$E$2:$E$3143),
Master_Mapping_Sheet!$B$2:$B$3143=$A3))), 0, sum(filter(
Master_Mapping_Sheet!$E$2:$E$3143, ISNUMBER(
Master_Mapping_Sheet!$E$2:$E$3143),
Master_Mapping_Sheet!$H$2:$H$3143=AA$1,
Master_Mapping_Sheet!$B$2:$B$3143=$A3))/sum(filter(
Master"&amp;"_Mapping_Sheet!$E$2:$E$3143, ISNUMBER(
Master_Mapping_Sheet!$E$2:$E$3143),
Master_Mapping_Sheet!$B$2:$B$3143=$A3)))"),0.0)</f>
        <v>0</v>
      </c>
    </row>
    <row r="4" ht="15.75" customHeight="1">
      <c r="A4" s="34" t="s">
        <v>201</v>
      </c>
      <c r="B4" s="34" t="s">
        <v>2063</v>
      </c>
      <c r="C4" s="34">
        <f>IFERROR(__xludf.DUMMYFUNCTION("IF(ISNA(sum(filter(
Master_Mapping_Sheet!$E$2:$E$3143, ISNUMBER(
Master_Mapping_Sheet!$E$2:$E$3143),
Master_Mapping_Sheet!$H$2:$H$3143=C$1,
Master_Mapping_Sheet!$B$2:$B$3143=$A4))/sum(filter(
Master_Mapping_Sheet!$E$2:$E$3143, ISNUMBER(
Master_Mapping_She"&amp;"et!$E$2:$E$3143),
Master_Mapping_Sheet!$B$2:$B$3143=$A4))), 0, sum(filter(
Master_Mapping_Sheet!$E$2:$E$3143, ISNUMBER(
Master_Mapping_Sheet!$E$2:$E$3143),
Master_Mapping_Sheet!$H$2:$H$3143=C$1,
Master_Mapping_Sheet!$B$2:$B$3143=$A4))/sum(filter(
Master_M"&amp;"apping_Sheet!$E$2:$E$3143, ISNUMBER(
Master_Mapping_Sheet!$E$2:$E$3143),
Master_Mapping_Sheet!$B$2:$B$3143=$A4)))"),0.0)</f>
        <v>0</v>
      </c>
      <c r="D4" s="32">
        <f>IFERROR(__xludf.DUMMYFUNCTION("IF(ISNA(sum(filter(
Master_Mapping_Sheet!$E$2:$E$3143, ISNUMBER(
Master_Mapping_Sheet!$E$2:$E$3143),
Master_Mapping_Sheet!$H$2:$H$3143=D$1,
Master_Mapping_Sheet!$B$2:$B$3143=$A4))/sum(filter(
Master_Mapping_Sheet!$E$2:$E$3143, ISNUMBER(
Master_Mapping_She"&amp;"et!$E$2:$E$3143),
Master_Mapping_Sheet!$B$2:$B$3143=$A4))), 0, sum(filter(
Master_Mapping_Sheet!$E$2:$E$3143, ISNUMBER(
Master_Mapping_Sheet!$E$2:$E$3143),
Master_Mapping_Sheet!$H$2:$H$3143=D$1,
Master_Mapping_Sheet!$B$2:$B$3143=$A4))/sum(filter(
Master_M"&amp;"apping_Sheet!$E$2:$E$3143, ISNUMBER(
Master_Mapping_Sheet!$E$2:$E$3143),
Master_Mapping_Sheet!$B$2:$B$3143=$A4)))"),0.0)</f>
        <v>0</v>
      </c>
      <c r="E4" s="34">
        <f>IFERROR(__xludf.DUMMYFUNCTION("IF(ISNA(sum(filter(
Master_Mapping_Sheet!$E$2:$E$3143, ISNUMBER(
Master_Mapping_Sheet!$E$2:$E$3143),
Master_Mapping_Sheet!$H$2:$H$3143=E$1,
Master_Mapping_Sheet!$B$2:$B$3143=$A4))/sum(filter(
Master_Mapping_Sheet!$E$2:$E$3143, ISNUMBER(
Master_Mapping_She"&amp;"et!$E$2:$E$3143),
Master_Mapping_Sheet!$B$2:$B$3143=$A4))), 0, sum(filter(
Master_Mapping_Sheet!$E$2:$E$3143, ISNUMBER(
Master_Mapping_Sheet!$E$2:$E$3143),
Master_Mapping_Sheet!$H$2:$H$3143=E$1,
Master_Mapping_Sheet!$B$2:$B$3143=$A4))/sum(filter(
Master_M"&amp;"apping_Sheet!$E$2:$E$3143, ISNUMBER(
Master_Mapping_Sheet!$E$2:$E$3143),
Master_Mapping_Sheet!$B$2:$B$3143=$A4)))"),0.0)</f>
        <v>0</v>
      </c>
      <c r="F4" s="34">
        <f>IFERROR(__xludf.DUMMYFUNCTION("IF(ISNA(sum(filter(
Master_Mapping_Sheet!$E$2:$E$3143, ISNUMBER(
Master_Mapping_Sheet!$E$2:$E$3143),
Master_Mapping_Sheet!$H$2:$H$3143=F$1,
Master_Mapping_Sheet!$B$2:$B$3143=$A4))/sum(filter(
Master_Mapping_Sheet!$E$2:$E$3143, ISNUMBER(
Master_Mapping_She"&amp;"et!$E$2:$E$3143),
Master_Mapping_Sheet!$B$2:$B$3143=$A4))), 0, sum(filter(
Master_Mapping_Sheet!$E$2:$E$3143, ISNUMBER(
Master_Mapping_Sheet!$E$2:$E$3143),
Master_Mapping_Sheet!$H$2:$H$3143=F$1,
Master_Mapping_Sheet!$B$2:$B$3143=$A4))/sum(filter(
Master_M"&amp;"apping_Sheet!$E$2:$E$3143, ISNUMBER(
Master_Mapping_Sheet!$E$2:$E$3143),
Master_Mapping_Sheet!$B$2:$B$3143=$A4)))"),0.0)</f>
        <v>0</v>
      </c>
      <c r="G4" s="34">
        <f>IFERROR(__xludf.DUMMYFUNCTION("IF(ISNA(sum(filter(
Master_Mapping_Sheet!$E$2:$E$3143, ISNUMBER(
Master_Mapping_Sheet!$E$2:$E$3143),
Master_Mapping_Sheet!$H$2:$H$3143=G$1,
Master_Mapping_Sheet!$B$2:$B$3143=$A4))/sum(filter(
Master_Mapping_Sheet!$E$2:$E$3143, ISNUMBER(
Master_Mapping_She"&amp;"et!$E$2:$E$3143),
Master_Mapping_Sheet!$B$2:$B$3143=$A4))), 0, sum(filter(
Master_Mapping_Sheet!$E$2:$E$3143, ISNUMBER(
Master_Mapping_Sheet!$E$2:$E$3143),
Master_Mapping_Sheet!$H$2:$H$3143=G$1,
Master_Mapping_Sheet!$B$2:$B$3143=$A4))/sum(filter(
Master_M"&amp;"apping_Sheet!$E$2:$E$3143, ISNUMBER(
Master_Mapping_Sheet!$E$2:$E$3143),
Master_Mapping_Sheet!$B$2:$B$3143=$A4)))"),0.0)</f>
        <v>0</v>
      </c>
      <c r="H4" s="34">
        <f>IFERROR(__xludf.DUMMYFUNCTION("IF(ISNA(sum(filter(
Master_Mapping_Sheet!$E$2:$E$3143, ISNUMBER(
Master_Mapping_Sheet!$E$2:$E$3143),
Master_Mapping_Sheet!$H$2:$H$3143=H$1,
Master_Mapping_Sheet!$B$2:$B$3143=$A4))/sum(filter(
Master_Mapping_Sheet!$E$2:$E$3143, ISNUMBER(
Master_Mapping_She"&amp;"et!$E$2:$E$3143),
Master_Mapping_Sheet!$B$2:$B$3143=$A4))), 0, sum(filter(
Master_Mapping_Sheet!$E$2:$E$3143, ISNUMBER(
Master_Mapping_Sheet!$E$2:$E$3143),
Master_Mapping_Sheet!$H$2:$H$3143=H$1,
Master_Mapping_Sheet!$B$2:$B$3143=$A4))/sum(filter(
Master_M"&amp;"apping_Sheet!$E$2:$E$3143, ISNUMBER(
Master_Mapping_Sheet!$E$2:$E$3143),
Master_Mapping_Sheet!$B$2:$B$3143=$A4)))"),0.0)</f>
        <v>0</v>
      </c>
      <c r="I4" s="34">
        <f>IFERROR(__xludf.DUMMYFUNCTION("IF(ISNA(sum(filter(
Master_Mapping_Sheet!$E$2:$E$3143, ISNUMBER(
Master_Mapping_Sheet!$E$2:$E$3143),
Master_Mapping_Sheet!$H$2:$H$3143=I$1,
Master_Mapping_Sheet!$B$2:$B$3143=$A4))/sum(filter(
Master_Mapping_Sheet!$E$2:$E$3143, ISNUMBER(
Master_Mapping_She"&amp;"et!$E$2:$E$3143),
Master_Mapping_Sheet!$B$2:$B$3143=$A4))), 0, sum(filter(
Master_Mapping_Sheet!$E$2:$E$3143, ISNUMBER(
Master_Mapping_Sheet!$E$2:$E$3143),
Master_Mapping_Sheet!$H$2:$H$3143=I$1,
Master_Mapping_Sheet!$B$2:$B$3143=$A4))/sum(filter(
Master_M"&amp;"apping_Sheet!$E$2:$E$3143, ISNUMBER(
Master_Mapping_Sheet!$E$2:$E$3143),
Master_Mapping_Sheet!$B$2:$B$3143=$A4)))"),0.0)</f>
        <v>0</v>
      </c>
      <c r="J4" s="34">
        <f>IFERROR(__xludf.DUMMYFUNCTION("IF(ISNA(sum(filter(
Master_Mapping_Sheet!$E$2:$E$3143, ISNUMBER(
Master_Mapping_Sheet!$E$2:$E$3143),
Master_Mapping_Sheet!$H$2:$H$3143=J$1,
Master_Mapping_Sheet!$B$2:$B$3143=$A4))/sum(filter(
Master_Mapping_Sheet!$E$2:$E$3143, ISNUMBER(
Master_Mapping_She"&amp;"et!$E$2:$E$3143),
Master_Mapping_Sheet!$B$2:$B$3143=$A4))), 0, sum(filter(
Master_Mapping_Sheet!$E$2:$E$3143, ISNUMBER(
Master_Mapping_Sheet!$E$2:$E$3143),
Master_Mapping_Sheet!$H$2:$H$3143=J$1,
Master_Mapping_Sheet!$B$2:$B$3143=$A4))/sum(filter(
Master_M"&amp;"apping_Sheet!$E$2:$E$3143, ISNUMBER(
Master_Mapping_Sheet!$E$2:$E$3143),
Master_Mapping_Sheet!$B$2:$B$3143=$A4)))"),0.0)</f>
        <v>0</v>
      </c>
      <c r="K4" s="34">
        <f>IFERROR(__xludf.DUMMYFUNCTION("IF(ISNA(sum(filter(
Master_Mapping_Sheet!$E$2:$E$3143, ISNUMBER(
Master_Mapping_Sheet!$E$2:$E$3143),
Master_Mapping_Sheet!$H$2:$H$3143=K$1,
Master_Mapping_Sheet!$B$2:$B$3143=$A4))/sum(filter(
Master_Mapping_Sheet!$E$2:$E$3143, ISNUMBER(
Master_Mapping_She"&amp;"et!$E$2:$E$3143),
Master_Mapping_Sheet!$B$2:$B$3143=$A4))), 0, sum(filter(
Master_Mapping_Sheet!$E$2:$E$3143, ISNUMBER(
Master_Mapping_Sheet!$E$2:$E$3143),
Master_Mapping_Sheet!$H$2:$H$3143=K$1,
Master_Mapping_Sheet!$B$2:$B$3143=$A4))/sum(filter(
Master_M"&amp;"apping_Sheet!$E$2:$E$3143, ISNUMBER(
Master_Mapping_Sheet!$E$2:$E$3143),
Master_Mapping_Sheet!$B$2:$B$3143=$A4)))"),0.0)</f>
        <v>0</v>
      </c>
      <c r="L4" s="34">
        <f>IFERROR(__xludf.DUMMYFUNCTION("IF(ISNA(sum(filter(
Master_Mapping_Sheet!$E$2:$E$3143, ISNUMBER(
Master_Mapping_Sheet!$E$2:$E$3143),
Master_Mapping_Sheet!$H$2:$H$3143=L$1,
Master_Mapping_Sheet!$B$2:$B$3143=$A4))/sum(filter(
Master_Mapping_Sheet!$E$2:$E$3143, ISNUMBER(
Master_Mapping_She"&amp;"et!$E$2:$E$3143),
Master_Mapping_Sheet!$B$2:$B$3143=$A4))), 0, sum(filter(
Master_Mapping_Sheet!$E$2:$E$3143, ISNUMBER(
Master_Mapping_Sheet!$E$2:$E$3143),
Master_Mapping_Sheet!$H$2:$H$3143=L$1,
Master_Mapping_Sheet!$B$2:$B$3143=$A4))/sum(filter(
Master_M"&amp;"apping_Sheet!$E$2:$E$3143, ISNUMBER(
Master_Mapping_Sheet!$E$2:$E$3143),
Master_Mapping_Sheet!$B$2:$B$3143=$A4)))"),0.0)</f>
        <v>0</v>
      </c>
      <c r="M4" s="34">
        <f>IFERROR(__xludf.DUMMYFUNCTION("IF(ISNA(sum(filter(
Master_Mapping_Sheet!$E$2:$E$3143, ISNUMBER(
Master_Mapping_Sheet!$E$2:$E$3143),
Master_Mapping_Sheet!$H$2:$H$3143=M$1,
Master_Mapping_Sheet!$B$2:$B$3143=$A4))/sum(filter(
Master_Mapping_Sheet!$E$2:$E$3143, ISNUMBER(
Master_Mapping_She"&amp;"et!$E$2:$E$3143),
Master_Mapping_Sheet!$B$2:$B$3143=$A4))), 0, sum(filter(
Master_Mapping_Sheet!$E$2:$E$3143, ISNUMBER(
Master_Mapping_Sheet!$E$2:$E$3143),
Master_Mapping_Sheet!$H$2:$H$3143=M$1,
Master_Mapping_Sheet!$B$2:$B$3143=$A4))/sum(filter(
Master_M"&amp;"apping_Sheet!$E$2:$E$3143, ISNUMBER(
Master_Mapping_Sheet!$E$2:$E$3143),
Master_Mapping_Sheet!$B$2:$B$3143=$A4)))"),0.0)</f>
        <v>0</v>
      </c>
      <c r="N4" s="34">
        <f>IFERROR(__xludf.DUMMYFUNCTION("IF(ISNA(sum(filter(
Master_Mapping_Sheet!$E$2:$E$3143, ISNUMBER(
Master_Mapping_Sheet!$E$2:$E$3143),
Master_Mapping_Sheet!$H$2:$H$3143=N$1,
Master_Mapping_Sheet!$B$2:$B$3143=$A4))/sum(filter(
Master_Mapping_Sheet!$E$2:$E$3143, ISNUMBER(
Master_Mapping_She"&amp;"et!$E$2:$E$3143),
Master_Mapping_Sheet!$B$2:$B$3143=$A4))), 0, sum(filter(
Master_Mapping_Sheet!$E$2:$E$3143, ISNUMBER(
Master_Mapping_Sheet!$E$2:$E$3143),
Master_Mapping_Sheet!$H$2:$H$3143=N$1,
Master_Mapping_Sheet!$B$2:$B$3143=$A4))/sum(filter(
Master_M"&amp;"apping_Sheet!$E$2:$E$3143, ISNUMBER(
Master_Mapping_Sheet!$E$2:$E$3143),
Master_Mapping_Sheet!$B$2:$B$3143=$A4)))"),0.0)</f>
        <v>0</v>
      </c>
      <c r="O4" s="34">
        <f>IFERROR(__xludf.DUMMYFUNCTION("IF(ISNA(sum(filter(
Master_Mapping_Sheet!$E$2:$E$3143, ISNUMBER(
Master_Mapping_Sheet!$E$2:$E$3143),
Master_Mapping_Sheet!$H$2:$H$3143=O$1,
Master_Mapping_Sheet!$B$2:$B$3143=$A4))/sum(filter(
Master_Mapping_Sheet!$E$2:$E$3143, ISNUMBER(
Master_Mapping_She"&amp;"et!$E$2:$E$3143),
Master_Mapping_Sheet!$B$2:$B$3143=$A4))), 0, sum(filter(
Master_Mapping_Sheet!$E$2:$E$3143, ISNUMBER(
Master_Mapping_Sheet!$E$2:$E$3143),
Master_Mapping_Sheet!$H$2:$H$3143=O$1,
Master_Mapping_Sheet!$B$2:$B$3143=$A4))/sum(filter(
Master_M"&amp;"apping_Sheet!$E$2:$E$3143, ISNUMBER(
Master_Mapping_Sheet!$E$2:$E$3143),
Master_Mapping_Sheet!$B$2:$B$3143=$A4)))"),0.0)</f>
        <v>0</v>
      </c>
      <c r="P4" s="34">
        <f>IFERROR(__xludf.DUMMYFUNCTION("IF(ISNA(sum(filter(
Master_Mapping_Sheet!$E$2:$E$3143, ISNUMBER(
Master_Mapping_Sheet!$E$2:$E$3143),
Master_Mapping_Sheet!$H$2:$H$3143=P$1,
Master_Mapping_Sheet!$B$2:$B$3143=$A4))/sum(filter(
Master_Mapping_Sheet!$E$2:$E$3143, ISNUMBER(
Master_Mapping_She"&amp;"et!$E$2:$E$3143),
Master_Mapping_Sheet!$B$2:$B$3143=$A4))), 0, sum(filter(
Master_Mapping_Sheet!$E$2:$E$3143, ISNUMBER(
Master_Mapping_Sheet!$E$2:$E$3143),
Master_Mapping_Sheet!$H$2:$H$3143=P$1,
Master_Mapping_Sheet!$B$2:$B$3143=$A4))/sum(filter(
Master_M"&amp;"apping_Sheet!$E$2:$E$3143, ISNUMBER(
Master_Mapping_Sheet!$E$2:$E$3143),
Master_Mapping_Sheet!$B$2:$B$3143=$A4)))"),0.0)</f>
        <v>0</v>
      </c>
      <c r="Q4" s="34">
        <f>IFERROR(__xludf.DUMMYFUNCTION("IF(ISNA(sum(filter(
Master_Mapping_Sheet!$E$2:$E$3143, ISNUMBER(
Master_Mapping_Sheet!$E$2:$E$3143),
Master_Mapping_Sheet!$H$2:$H$3143=Q$1,
Master_Mapping_Sheet!$B$2:$B$3143=$A4))/sum(filter(
Master_Mapping_Sheet!$E$2:$E$3143, ISNUMBER(
Master_Mapping_She"&amp;"et!$E$2:$E$3143),
Master_Mapping_Sheet!$B$2:$B$3143=$A4))), 0, sum(filter(
Master_Mapping_Sheet!$E$2:$E$3143, ISNUMBER(
Master_Mapping_Sheet!$E$2:$E$3143),
Master_Mapping_Sheet!$H$2:$H$3143=Q$1,
Master_Mapping_Sheet!$B$2:$B$3143=$A4))/sum(filter(
Master_M"&amp;"apping_Sheet!$E$2:$E$3143, ISNUMBER(
Master_Mapping_Sheet!$E$2:$E$3143),
Master_Mapping_Sheet!$B$2:$B$3143=$A4)))"),0.0)</f>
        <v>0</v>
      </c>
      <c r="R4" s="34">
        <f>IFERROR(__xludf.DUMMYFUNCTION("IF(ISNA(sum(filter(
Master_Mapping_Sheet!$E$2:$E$3143, ISNUMBER(
Master_Mapping_Sheet!$E$2:$E$3143),
Master_Mapping_Sheet!$H$2:$H$3143=R$1,
Master_Mapping_Sheet!$B$2:$B$3143=$A4))/sum(filter(
Master_Mapping_Sheet!$E$2:$E$3143, ISNUMBER(
Master_Mapping_She"&amp;"et!$E$2:$E$3143),
Master_Mapping_Sheet!$B$2:$B$3143=$A4))), 0, sum(filter(
Master_Mapping_Sheet!$E$2:$E$3143, ISNUMBER(
Master_Mapping_Sheet!$E$2:$E$3143),
Master_Mapping_Sheet!$H$2:$H$3143=R$1,
Master_Mapping_Sheet!$B$2:$B$3143=$A4))/sum(filter(
Master_M"&amp;"apping_Sheet!$E$2:$E$3143, ISNUMBER(
Master_Mapping_Sheet!$E$2:$E$3143),
Master_Mapping_Sheet!$B$2:$B$3143=$A4)))"),0.0)</f>
        <v>0</v>
      </c>
      <c r="S4" s="34">
        <f>IFERROR(__xludf.DUMMYFUNCTION("IF(ISNA(sum(filter(
Master_Mapping_Sheet!$E$2:$E$3143, ISNUMBER(
Master_Mapping_Sheet!$E$2:$E$3143),
Master_Mapping_Sheet!$H$2:$H$3143=S$1,
Master_Mapping_Sheet!$B$2:$B$3143=$A4))/sum(filter(
Master_Mapping_Sheet!$E$2:$E$3143, ISNUMBER(
Master_Mapping_She"&amp;"et!$E$2:$E$3143),
Master_Mapping_Sheet!$B$2:$B$3143=$A4))), 0, sum(filter(
Master_Mapping_Sheet!$E$2:$E$3143, ISNUMBER(
Master_Mapping_Sheet!$E$2:$E$3143),
Master_Mapping_Sheet!$H$2:$H$3143=S$1,
Master_Mapping_Sheet!$B$2:$B$3143=$A4))/sum(filter(
Master_M"&amp;"apping_Sheet!$E$2:$E$3143, ISNUMBER(
Master_Mapping_Sheet!$E$2:$E$3143),
Master_Mapping_Sheet!$B$2:$B$3143=$A4)))"),0.0)</f>
        <v>0</v>
      </c>
      <c r="T4" s="34">
        <f>IFERROR(__xludf.DUMMYFUNCTION("IF(ISNA(sum(filter(
Master_Mapping_Sheet!$E$2:$E$3143, ISNUMBER(
Master_Mapping_Sheet!$E$2:$E$3143),
Master_Mapping_Sheet!$H$2:$H$3143=T$1,
Master_Mapping_Sheet!$B$2:$B$3143=$A4))/sum(filter(
Master_Mapping_Sheet!$E$2:$E$3143, ISNUMBER(
Master_Mapping_She"&amp;"et!$E$2:$E$3143),
Master_Mapping_Sheet!$B$2:$B$3143=$A4))), 0, sum(filter(
Master_Mapping_Sheet!$E$2:$E$3143, ISNUMBER(
Master_Mapping_Sheet!$E$2:$E$3143),
Master_Mapping_Sheet!$H$2:$H$3143=T$1,
Master_Mapping_Sheet!$B$2:$B$3143=$A4))/sum(filter(
Master_M"&amp;"apping_Sheet!$E$2:$E$3143, ISNUMBER(
Master_Mapping_Sheet!$E$2:$E$3143),
Master_Mapping_Sheet!$B$2:$B$3143=$A4)))"),0.0)</f>
        <v>0</v>
      </c>
      <c r="U4" s="34">
        <f>IFERROR(__xludf.DUMMYFUNCTION("IF(ISNA(sum(filter(
Master_Mapping_Sheet!$E$2:$E$3143, ISNUMBER(
Master_Mapping_Sheet!$E$2:$E$3143),
Master_Mapping_Sheet!$H$2:$H$3143=U$1,
Master_Mapping_Sheet!$B$2:$B$3143=$A4))/sum(filter(
Master_Mapping_Sheet!$E$2:$E$3143, ISNUMBER(
Master_Mapping_She"&amp;"et!$E$2:$E$3143),
Master_Mapping_Sheet!$B$2:$B$3143=$A4))), 0, sum(filter(
Master_Mapping_Sheet!$E$2:$E$3143, ISNUMBER(
Master_Mapping_Sheet!$E$2:$E$3143),
Master_Mapping_Sheet!$H$2:$H$3143=U$1,
Master_Mapping_Sheet!$B$2:$B$3143=$A4))/sum(filter(
Master_M"&amp;"apping_Sheet!$E$2:$E$3143, ISNUMBER(
Master_Mapping_Sheet!$E$2:$E$3143),
Master_Mapping_Sheet!$B$2:$B$3143=$A4)))"),0.0)</f>
        <v>0</v>
      </c>
      <c r="V4" s="34">
        <f>IFERROR(__xludf.DUMMYFUNCTION("IF(ISNA(sum(filter(
Master_Mapping_Sheet!$E$2:$E$3143, ISNUMBER(
Master_Mapping_Sheet!$E$2:$E$3143),
Master_Mapping_Sheet!$H$2:$H$3143=V$1,
Master_Mapping_Sheet!$B$2:$B$3143=$A4))/sum(filter(
Master_Mapping_Sheet!$E$2:$E$3143, ISNUMBER(
Master_Mapping_She"&amp;"et!$E$2:$E$3143),
Master_Mapping_Sheet!$B$2:$B$3143=$A4))), 0, sum(filter(
Master_Mapping_Sheet!$E$2:$E$3143, ISNUMBER(
Master_Mapping_Sheet!$E$2:$E$3143),
Master_Mapping_Sheet!$H$2:$H$3143=V$1,
Master_Mapping_Sheet!$B$2:$B$3143=$A4))/sum(filter(
Master_M"&amp;"apping_Sheet!$E$2:$E$3143, ISNUMBER(
Master_Mapping_Sheet!$E$2:$E$3143),
Master_Mapping_Sheet!$B$2:$B$3143=$A4)))"),1.0)</f>
        <v>1</v>
      </c>
      <c r="W4" s="34">
        <f>IFERROR(__xludf.DUMMYFUNCTION("IF(ISNA(sum(filter(
Master_Mapping_Sheet!$E$2:$E$3143, ISNUMBER(
Master_Mapping_Sheet!$E$2:$E$3143),
Master_Mapping_Sheet!$H$2:$H$3143=W$1,
Master_Mapping_Sheet!$B$2:$B$3143=$A4))/sum(filter(
Master_Mapping_Sheet!$E$2:$E$3143, ISNUMBER(
Master_Mapping_She"&amp;"et!$E$2:$E$3143),
Master_Mapping_Sheet!$B$2:$B$3143=$A4))), 0, sum(filter(
Master_Mapping_Sheet!$E$2:$E$3143, ISNUMBER(
Master_Mapping_Sheet!$E$2:$E$3143),
Master_Mapping_Sheet!$H$2:$H$3143=W$1,
Master_Mapping_Sheet!$B$2:$B$3143=$A4))/sum(filter(
Master_M"&amp;"apping_Sheet!$E$2:$E$3143, ISNUMBER(
Master_Mapping_Sheet!$E$2:$E$3143),
Master_Mapping_Sheet!$B$2:$B$3143=$A4)))"),0.0)</f>
        <v>0</v>
      </c>
      <c r="X4" s="34">
        <f>IFERROR(__xludf.DUMMYFUNCTION("IF(ISNA(sum(filter(
Master_Mapping_Sheet!$E$2:$E$3143, ISNUMBER(
Master_Mapping_Sheet!$E$2:$E$3143),
Master_Mapping_Sheet!$H$2:$H$3143=X$1,
Master_Mapping_Sheet!$B$2:$B$3143=$A4))/sum(filter(
Master_Mapping_Sheet!$E$2:$E$3143, ISNUMBER(
Master_Mapping_She"&amp;"et!$E$2:$E$3143),
Master_Mapping_Sheet!$B$2:$B$3143=$A4))), 0, sum(filter(
Master_Mapping_Sheet!$E$2:$E$3143, ISNUMBER(
Master_Mapping_Sheet!$E$2:$E$3143),
Master_Mapping_Sheet!$H$2:$H$3143=X$1,
Master_Mapping_Sheet!$B$2:$B$3143=$A4))/sum(filter(
Master_M"&amp;"apping_Sheet!$E$2:$E$3143, ISNUMBER(
Master_Mapping_Sheet!$E$2:$E$3143),
Master_Mapping_Sheet!$B$2:$B$3143=$A4)))"),0.0)</f>
        <v>0</v>
      </c>
      <c r="Y4" s="34">
        <f>IFERROR(__xludf.DUMMYFUNCTION("IF(ISNA(sum(filter(
Master_Mapping_Sheet!$E$2:$E$3143, ISNUMBER(
Master_Mapping_Sheet!$E$2:$E$3143),
Master_Mapping_Sheet!$H$2:$H$3143=Y$1,
Master_Mapping_Sheet!$B$2:$B$3143=$A4))/sum(filter(
Master_Mapping_Sheet!$E$2:$E$3143, ISNUMBER(
Master_Mapping_She"&amp;"et!$E$2:$E$3143),
Master_Mapping_Sheet!$B$2:$B$3143=$A4))), 0, sum(filter(
Master_Mapping_Sheet!$E$2:$E$3143, ISNUMBER(
Master_Mapping_Sheet!$E$2:$E$3143),
Master_Mapping_Sheet!$H$2:$H$3143=Y$1,
Master_Mapping_Sheet!$B$2:$B$3143=$A4))/sum(filter(
Master_M"&amp;"apping_Sheet!$E$2:$E$3143, ISNUMBER(
Master_Mapping_Sheet!$E$2:$E$3143),
Master_Mapping_Sheet!$B$2:$B$3143=$A4)))"),0.0)</f>
        <v>0</v>
      </c>
      <c r="Z4" s="34">
        <f>IFERROR(__xludf.DUMMYFUNCTION("IF(ISNA(sum(filter(
Master_Mapping_Sheet!$E$2:$E$3143, ISNUMBER(
Master_Mapping_Sheet!$E$2:$E$3143),
Master_Mapping_Sheet!$H$2:$H$3143=Z$1,
Master_Mapping_Sheet!$B$2:$B$3143=$A4))/sum(filter(
Master_Mapping_Sheet!$E$2:$E$3143, ISNUMBER(
Master_Mapping_She"&amp;"et!$E$2:$E$3143),
Master_Mapping_Sheet!$B$2:$B$3143=$A4))), 0, sum(filter(
Master_Mapping_Sheet!$E$2:$E$3143, ISNUMBER(
Master_Mapping_Sheet!$E$2:$E$3143),
Master_Mapping_Sheet!$H$2:$H$3143=Z$1,
Master_Mapping_Sheet!$B$2:$B$3143=$A4))/sum(filter(
Master_M"&amp;"apping_Sheet!$E$2:$E$3143, ISNUMBER(
Master_Mapping_Sheet!$E$2:$E$3143),
Master_Mapping_Sheet!$B$2:$B$3143=$A4)))"),0.0)</f>
        <v>0</v>
      </c>
      <c r="AA4" s="34">
        <f>IFERROR(__xludf.DUMMYFUNCTION("IF(ISNA(sum(filter(
Master_Mapping_Sheet!$E$2:$E$3143, ISNUMBER(
Master_Mapping_Sheet!$E$2:$E$3143),
Master_Mapping_Sheet!$H$2:$H$3143=AA$1,
Master_Mapping_Sheet!$B$2:$B$3143=$A4))/sum(filter(
Master_Mapping_Sheet!$E$2:$E$3143, ISNUMBER(
Master_Mapping_Sh"&amp;"eet!$E$2:$E$3143),
Master_Mapping_Sheet!$B$2:$B$3143=$A4))), 0, sum(filter(
Master_Mapping_Sheet!$E$2:$E$3143, ISNUMBER(
Master_Mapping_Sheet!$E$2:$E$3143),
Master_Mapping_Sheet!$H$2:$H$3143=AA$1,
Master_Mapping_Sheet!$B$2:$B$3143=$A4))/sum(filter(
Master"&amp;"_Mapping_Sheet!$E$2:$E$3143, ISNUMBER(
Master_Mapping_Sheet!$E$2:$E$3143),
Master_Mapping_Sheet!$B$2:$B$3143=$A4)))"),0.0)</f>
        <v>0</v>
      </c>
    </row>
    <row r="5" ht="15.75" customHeight="1">
      <c r="A5" s="34" t="s">
        <v>220</v>
      </c>
      <c r="B5" s="34" t="s">
        <v>2079</v>
      </c>
      <c r="C5" s="34">
        <f>IFERROR(__xludf.DUMMYFUNCTION("IF(ISNA(sum(filter(
Master_Mapping_Sheet!$E$2:$E$3143, ISNUMBER(
Master_Mapping_Sheet!$E$2:$E$3143),
Master_Mapping_Sheet!$H$2:$H$3143=C$1,
Master_Mapping_Sheet!$B$2:$B$3143=$A5))/sum(filter(
Master_Mapping_Sheet!$E$2:$E$3143, ISNUMBER(
Master_Mapping_She"&amp;"et!$E$2:$E$3143),
Master_Mapping_Sheet!$B$2:$B$3143=$A5))), 0, sum(filter(
Master_Mapping_Sheet!$E$2:$E$3143, ISNUMBER(
Master_Mapping_Sheet!$E$2:$E$3143),
Master_Mapping_Sheet!$H$2:$H$3143=C$1,
Master_Mapping_Sheet!$B$2:$B$3143=$A5))/sum(filter(
Master_M"&amp;"apping_Sheet!$E$2:$E$3143, ISNUMBER(
Master_Mapping_Sheet!$E$2:$E$3143),
Master_Mapping_Sheet!$B$2:$B$3143=$A5)))"),0.0)</f>
        <v>0</v>
      </c>
      <c r="D5" s="32">
        <f>IFERROR(__xludf.DUMMYFUNCTION("IF(ISNA(sum(filter(
Master_Mapping_Sheet!$E$2:$E$3143, ISNUMBER(
Master_Mapping_Sheet!$E$2:$E$3143),
Master_Mapping_Sheet!$H$2:$H$3143=D$1,
Master_Mapping_Sheet!$B$2:$B$3143=$A5))/sum(filter(
Master_Mapping_Sheet!$E$2:$E$3143, ISNUMBER(
Master_Mapping_She"&amp;"et!$E$2:$E$3143),
Master_Mapping_Sheet!$B$2:$B$3143=$A5))), 0, sum(filter(
Master_Mapping_Sheet!$E$2:$E$3143, ISNUMBER(
Master_Mapping_Sheet!$E$2:$E$3143),
Master_Mapping_Sheet!$H$2:$H$3143=D$1,
Master_Mapping_Sheet!$B$2:$B$3143=$A5))/sum(filter(
Master_M"&amp;"apping_Sheet!$E$2:$E$3143, ISNUMBER(
Master_Mapping_Sheet!$E$2:$E$3143),
Master_Mapping_Sheet!$B$2:$B$3143=$A5)))"),0.0)</f>
        <v>0</v>
      </c>
      <c r="E5" s="34">
        <f>IFERROR(__xludf.DUMMYFUNCTION("IF(ISNA(sum(filter(
Master_Mapping_Sheet!$E$2:$E$3143, ISNUMBER(
Master_Mapping_Sheet!$E$2:$E$3143),
Master_Mapping_Sheet!$H$2:$H$3143=E$1,
Master_Mapping_Sheet!$B$2:$B$3143=$A5))/sum(filter(
Master_Mapping_Sheet!$E$2:$E$3143, ISNUMBER(
Master_Mapping_She"&amp;"et!$E$2:$E$3143),
Master_Mapping_Sheet!$B$2:$B$3143=$A5))), 0, sum(filter(
Master_Mapping_Sheet!$E$2:$E$3143, ISNUMBER(
Master_Mapping_Sheet!$E$2:$E$3143),
Master_Mapping_Sheet!$H$2:$H$3143=E$1,
Master_Mapping_Sheet!$B$2:$B$3143=$A5))/sum(filter(
Master_M"&amp;"apping_Sheet!$E$2:$E$3143, ISNUMBER(
Master_Mapping_Sheet!$E$2:$E$3143),
Master_Mapping_Sheet!$B$2:$B$3143=$A5)))"),0.0)</f>
        <v>0</v>
      </c>
      <c r="F5" s="34">
        <f>IFERROR(__xludf.DUMMYFUNCTION("IF(ISNA(sum(filter(
Master_Mapping_Sheet!$E$2:$E$3143, ISNUMBER(
Master_Mapping_Sheet!$E$2:$E$3143),
Master_Mapping_Sheet!$H$2:$H$3143=F$1,
Master_Mapping_Sheet!$B$2:$B$3143=$A5))/sum(filter(
Master_Mapping_Sheet!$E$2:$E$3143, ISNUMBER(
Master_Mapping_She"&amp;"et!$E$2:$E$3143),
Master_Mapping_Sheet!$B$2:$B$3143=$A5))), 0, sum(filter(
Master_Mapping_Sheet!$E$2:$E$3143, ISNUMBER(
Master_Mapping_Sheet!$E$2:$E$3143),
Master_Mapping_Sheet!$H$2:$H$3143=F$1,
Master_Mapping_Sheet!$B$2:$B$3143=$A5))/sum(filter(
Master_M"&amp;"apping_Sheet!$E$2:$E$3143, ISNUMBER(
Master_Mapping_Sheet!$E$2:$E$3143),
Master_Mapping_Sheet!$B$2:$B$3143=$A5)))"),0.0)</f>
        <v>0</v>
      </c>
      <c r="G5" s="34">
        <f>IFERROR(__xludf.DUMMYFUNCTION("IF(ISNA(sum(filter(
Master_Mapping_Sheet!$E$2:$E$3143, ISNUMBER(
Master_Mapping_Sheet!$E$2:$E$3143),
Master_Mapping_Sheet!$H$2:$H$3143=G$1,
Master_Mapping_Sheet!$B$2:$B$3143=$A5))/sum(filter(
Master_Mapping_Sheet!$E$2:$E$3143, ISNUMBER(
Master_Mapping_She"&amp;"et!$E$2:$E$3143),
Master_Mapping_Sheet!$B$2:$B$3143=$A5))), 0, sum(filter(
Master_Mapping_Sheet!$E$2:$E$3143, ISNUMBER(
Master_Mapping_Sheet!$E$2:$E$3143),
Master_Mapping_Sheet!$H$2:$H$3143=G$1,
Master_Mapping_Sheet!$B$2:$B$3143=$A5))/sum(filter(
Master_M"&amp;"apping_Sheet!$E$2:$E$3143, ISNUMBER(
Master_Mapping_Sheet!$E$2:$E$3143),
Master_Mapping_Sheet!$B$2:$B$3143=$A5)))"),0.0)</f>
        <v>0</v>
      </c>
      <c r="H5" s="34">
        <f>IFERROR(__xludf.DUMMYFUNCTION("IF(ISNA(sum(filter(
Master_Mapping_Sheet!$E$2:$E$3143, ISNUMBER(
Master_Mapping_Sheet!$E$2:$E$3143),
Master_Mapping_Sheet!$H$2:$H$3143=H$1,
Master_Mapping_Sheet!$B$2:$B$3143=$A5))/sum(filter(
Master_Mapping_Sheet!$E$2:$E$3143, ISNUMBER(
Master_Mapping_She"&amp;"et!$E$2:$E$3143),
Master_Mapping_Sheet!$B$2:$B$3143=$A5))), 0, sum(filter(
Master_Mapping_Sheet!$E$2:$E$3143, ISNUMBER(
Master_Mapping_Sheet!$E$2:$E$3143),
Master_Mapping_Sheet!$H$2:$H$3143=H$1,
Master_Mapping_Sheet!$B$2:$B$3143=$A5))/sum(filter(
Master_M"&amp;"apping_Sheet!$E$2:$E$3143, ISNUMBER(
Master_Mapping_Sheet!$E$2:$E$3143),
Master_Mapping_Sheet!$B$2:$B$3143=$A5)))"),0.6550578733735541)</f>
        <v>0.6550578734</v>
      </c>
      <c r="I5" s="34">
        <f>IFERROR(__xludf.DUMMYFUNCTION("IF(ISNA(sum(filter(
Master_Mapping_Sheet!$E$2:$E$3143, ISNUMBER(
Master_Mapping_Sheet!$E$2:$E$3143),
Master_Mapping_Sheet!$H$2:$H$3143=I$1,
Master_Mapping_Sheet!$B$2:$B$3143=$A5))/sum(filter(
Master_Mapping_Sheet!$E$2:$E$3143, ISNUMBER(
Master_Mapping_She"&amp;"et!$E$2:$E$3143),
Master_Mapping_Sheet!$B$2:$B$3143=$A5))), 0, sum(filter(
Master_Mapping_Sheet!$E$2:$E$3143, ISNUMBER(
Master_Mapping_Sheet!$E$2:$E$3143),
Master_Mapping_Sheet!$H$2:$H$3143=I$1,
Master_Mapping_Sheet!$B$2:$B$3143=$A5))/sum(filter(
Master_M"&amp;"apping_Sheet!$E$2:$E$3143, ISNUMBER(
Master_Mapping_Sheet!$E$2:$E$3143),
Master_Mapping_Sheet!$B$2:$B$3143=$A5)))"),0.0)</f>
        <v>0</v>
      </c>
      <c r="J5" s="34">
        <f>IFERROR(__xludf.DUMMYFUNCTION("IF(ISNA(sum(filter(
Master_Mapping_Sheet!$E$2:$E$3143, ISNUMBER(
Master_Mapping_Sheet!$E$2:$E$3143),
Master_Mapping_Sheet!$H$2:$H$3143=J$1,
Master_Mapping_Sheet!$B$2:$B$3143=$A5))/sum(filter(
Master_Mapping_Sheet!$E$2:$E$3143, ISNUMBER(
Master_Mapping_She"&amp;"et!$E$2:$E$3143),
Master_Mapping_Sheet!$B$2:$B$3143=$A5))), 0, sum(filter(
Master_Mapping_Sheet!$E$2:$E$3143, ISNUMBER(
Master_Mapping_Sheet!$E$2:$E$3143),
Master_Mapping_Sheet!$H$2:$H$3143=J$1,
Master_Mapping_Sheet!$B$2:$B$3143=$A5))/sum(filter(
Master_M"&amp;"apping_Sheet!$E$2:$E$3143, ISNUMBER(
Master_Mapping_Sheet!$E$2:$E$3143),
Master_Mapping_Sheet!$B$2:$B$3143=$A5)))"),0.0)</f>
        <v>0</v>
      </c>
      <c r="K5" s="34">
        <f>IFERROR(__xludf.DUMMYFUNCTION("IF(ISNA(sum(filter(
Master_Mapping_Sheet!$E$2:$E$3143, ISNUMBER(
Master_Mapping_Sheet!$E$2:$E$3143),
Master_Mapping_Sheet!$H$2:$H$3143=K$1,
Master_Mapping_Sheet!$B$2:$B$3143=$A5))/sum(filter(
Master_Mapping_Sheet!$E$2:$E$3143, ISNUMBER(
Master_Mapping_She"&amp;"et!$E$2:$E$3143),
Master_Mapping_Sheet!$B$2:$B$3143=$A5))), 0, sum(filter(
Master_Mapping_Sheet!$E$2:$E$3143, ISNUMBER(
Master_Mapping_Sheet!$E$2:$E$3143),
Master_Mapping_Sheet!$H$2:$H$3143=K$1,
Master_Mapping_Sheet!$B$2:$B$3143=$A5))/sum(filter(
Master_M"&amp;"apping_Sheet!$E$2:$E$3143, ISNUMBER(
Master_Mapping_Sheet!$E$2:$E$3143),
Master_Mapping_Sheet!$B$2:$B$3143=$A5)))"),0.0)</f>
        <v>0</v>
      </c>
      <c r="L5" s="34">
        <f>IFERROR(__xludf.DUMMYFUNCTION("IF(ISNA(sum(filter(
Master_Mapping_Sheet!$E$2:$E$3143, ISNUMBER(
Master_Mapping_Sheet!$E$2:$E$3143),
Master_Mapping_Sheet!$H$2:$H$3143=L$1,
Master_Mapping_Sheet!$B$2:$B$3143=$A5))/sum(filter(
Master_Mapping_Sheet!$E$2:$E$3143, ISNUMBER(
Master_Mapping_She"&amp;"et!$E$2:$E$3143),
Master_Mapping_Sheet!$B$2:$B$3143=$A5))), 0, sum(filter(
Master_Mapping_Sheet!$E$2:$E$3143, ISNUMBER(
Master_Mapping_Sheet!$E$2:$E$3143),
Master_Mapping_Sheet!$H$2:$H$3143=L$1,
Master_Mapping_Sheet!$B$2:$B$3143=$A5))/sum(filter(
Master_M"&amp;"apping_Sheet!$E$2:$E$3143, ISNUMBER(
Master_Mapping_Sheet!$E$2:$E$3143),
Master_Mapping_Sheet!$B$2:$B$3143=$A5)))"),0.0)</f>
        <v>0</v>
      </c>
      <c r="M5" s="34">
        <f>IFERROR(__xludf.DUMMYFUNCTION("IF(ISNA(sum(filter(
Master_Mapping_Sheet!$E$2:$E$3143, ISNUMBER(
Master_Mapping_Sheet!$E$2:$E$3143),
Master_Mapping_Sheet!$H$2:$H$3143=M$1,
Master_Mapping_Sheet!$B$2:$B$3143=$A5))/sum(filter(
Master_Mapping_Sheet!$E$2:$E$3143, ISNUMBER(
Master_Mapping_She"&amp;"et!$E$2:$E$3143),
Master_Mapping_Sheet!$B$2:$B$3143=$A5))), 0, sum(filter(
Master_Mapping_Sheet!$E$2:$E$3143, ISNUMBER(
Master_Mapping_Sheet!$E$2:$E$3143),
Master_Mapping_Sheet!$H$2:$H$3143=M$1,
Master_Mapping_Sheet!$B$2:$B$3143=$A5))/sum(filter(
Master_M"&amp;"apping_Sheet!$E$2:$E$3143, ISNUMBER(
Master_Mapping_Sheet!$E$2:$E$3143),
Master_Mapping_Sheet!$B$2:$B$3143=$A5)))"),0.0)</f>
        <v>0</v>
      </c>
      <c r="N5" s="34">
        <f>IFERROR(__xludf.DUMMYFUNCTION("IF(ISNA(sum(filter(
Master_Mapping_Sheet!$E$2:$E$3143, ISNUMBER(
Master_Mapping_Sheet!$E$2:$E$3143),
Master_Mapping_Sheet!$H$2:$H$3143=N$1,
Master_Mapping_Sheet!$B$2:$B$3143=$A5))/sum(filter(
Master_Mapping_Sheet!$E$2:$E$3143, ISNUMBER(
Master_Mapping_She"&amp;"et!$E$2:$E$3143),
Master_Mapping_Sheet!$B$2:$B$3143=$A5))), 0, sum(filter(
Master_Mapping_Sheet!$E$2:$E$3143, ISNUMBER(
Master_Mapping_Sheet!$E$2:$E$3143),
Master_Mapping_Sheet!$H$2:$H$3143=N$1,
Master_Mapping_Sheet!$B$2:$B$3143=$A5))/sum(filter(
Master_M"&amp;"apping_Sheet!$E$2:$E$3143, ISNUMBER(
Master_Mapping_Sheet!$E$2:$E$3143),
Master_Mapping_Sheet!$B$2:$B$3143=$A5)))"),0.0)</f>
        <v>0</v>
      </c>
      <c r="O5" s="34">
        <f>IFERROR(__xludf.DUMMYFUNCTION("IF(ISNA(sum(filter(
Master_Mapping_Sheet!$E$2:$E$3143, ISNUMBER(
Master_Mapping_Sheet!$E$2:$E$3143),
Master_Mapping_Sheet!$H$2:$H$3143=O$1,
Master_Mapping_Sheet!$B$2:$B$3143=$A5))/sum(filter(
Master_Mapping_Sheet!$E$2:$E$3143, ISNUMBER(
Master_Mapping_She"&amp;"et!$E$2:$E$3143),
Master_Mapping_Sheet!$B$2:$B$3143=$A5))), 0, sum(filter(
Master_Mapping_Sheet!$E$2:$E$3143, ISNUMBER(
Master_Mapping_Sheet!$E$2:$E$3143),
Master_Mapping_Sheet!$H$2:$H$3143=O$1,
Master_Mapping_Sheet!$B$2:$B$3143=$A5))/sum(filter(
Master_M"&amp;"apping_Sheet!$E$2:$E$3143, ISNUMBER(
Master_Mapping_Sheet!$E$2:$E$3143),
Master_Mapping_Sheet!$B$2:$B$3143=$A5)))"),0.0)</f>
        <v>0</v>
      </c>
      <c r="P5" s="34">
        <f>IFERROR(__xludf.DUMMYFUNCTION("IF(ISNA(sum(filter(
Master_Mapping_Sheet!$E$2:$E$3143, ISNUMBER(
Master_Mapping_Sheet!$E$2:$E$3143),
Master_Mapping_Sheet!$H$2:$H$3143=P$1,
Master_Mapping_Sheet!$B$2:$B$3143=$A5))/sum(filter(
Master_Mapping_Sheet!$E$2:$E$3143, ISNUMBER(
Master_Mapping_She"&amp;"et!$E$2:$E$3143),
Master_Mapping_Sheet!$B$2:$B$3143=$A5))), 0, sum(filter(
Master_Mapping_Sheet!$E$2:$E$3143, ISNUMBER(
Master_Mapping_Sheet!$E$2:$E$3143),
Master_Mapping_Sheet!$H$2:$H$3143=P$1,
Master_Mapping_Sheet!$B$2:$B$3143=$A5))/sum(filter(
Master_M"&amp;"apping_Sheet!$E$2:$E$3143, ISNUMBER(
Master_Mapping_Sheet!$E$2:$E$3143),
Master_Mapping_Sheet!$B$2:$B$3143=$A5)))"),0.0)</f>
        <v>0</v>
      </c>
      <c r="Q5" s="34">
        <f>IFERROR(__xludf.DUMMYFUNCTION("IF(ISNA(sum(filter(
Master_Mapping_Sheet!$E$2:$E$3143, ISNUMBER(
Master_Mapping_Sheet!$E$2:$E$3143),
Master_Mapping_Sheet!$H$2:$H$3143=Q$1,
Master_Mapping_Sheet!$B$2:$B$3143=$A5))/sum(filter(
Master_Mapping_Sheet!$E$2:$E$3143, ISNUMBER(
Master_Mapping_She"&amp;"et!$E$2:$E$3143),
Master_Mapping_Sheet!$B$2:$B$3143=$A5))), 0, sum(filter(
Master_Mapping_Sheet!$E$2:$E$3143, ISNUMBER(
Master_Mapping_Sheet!$E$2:$E$3143),
Master_Mapping_Sheet!$H$2:$H$3143=Q$1,
Master_Mapping_Sheet!$B$2:$B$3143=$A5))/sum(filter(
Master_M"&amp;"apping_Sheet!$E$2:$E$3143, ISNUMBER(
Master_Mapping_Sheet!$E$2:$E$3143),
Master_Mapping_Sheet!$B$2:$B$3143=$A5)))"),0.0)</f>
        <v>0</v>
      </c>
      <c r="R5" s="34">
        <f>IFERROR(__xludf.DUMMYFUNCTION("IF(ISNA(sum(filter(
Master_Mapping_Sheet!$E$2:$E$3143, ISNUMBER(
Master_Mapping_Sheet!$E$2:$E$3143),
Master_Mapping_Sheet!$H$2:$H$3143=R$1,
Master_Mapping_Sheet!$B$2:$B$3143=$A5))/sum(filter(
Master_Mapping_Sheet!$E$2:$E$3143, ISNUMBER(
Master_Mapping_She"&amp;"et!$E$2:$E$3143),
Master_Mapping_Sheet!$B$2:$B$3143=$A5))), 0, sum(filter(
Master_Mapping_Sheet!$E$2:$E$3143, ISNUMBER(
Master_Mapping_Sheet!$E$2:$E$3143),
Master_Mapping_Sheet!$H$2:$H$3143=R$1,
Master_Mapping_Sheet!$B$2:$B$3143=$A5))/sum(filter(
Master_M"&amp;"apping_Sheet!$E$2:$E$3143, ISNUMBER(
Master_Mapping_Sheet!$E$2:$E$3143),
Master_Mapping_Sheet!$B$2:$B$3143=$A5)))"),0.0)</f>
        <v>0</v>
      </c>
      <c r="S5" s="34">
        <f>IFERROR(__xludf.DUMMYFUNCTION("IF(ISNA(sum(filter(
Master_Mapping_Sheet!$E$2:$E$3143, ISNUMBER(
Master_Mapping_Sheet!$E$2:$E$3143),
Master_Mapping_Sheet!$H$2:$H$3143=S$1,
Master_Mapping_Sheet!$B$2:$B$3143=$A5))/sum(filter(
Master_Mapping_Sheet!$E$2:$E$3143, ISNUMBER(
Master_Mapping_She"&amp;"et!$E$2:$E$3143),
Master_Mapping_Sheet!$B$2:$B$3143=$A5))), 0, sum(filter(
Master_Mapping_Sheet!$E$2:$E$3143, ISNUMBER(
Master_Mapping_Sheet!$E$2:$E$3143),
Master_Mapping_Sheet!$H$2:$H$3143=S$1,
Master_Mapping_Sheet!$B$2:$B$3143=$A5))/sum(filter(
Master_M"&amp;"apping_Sheet!$E$2:$E$3143, ISNUMBER(
Master_Mapping_Sheet!$E$2:$E$3143),
Master_Mapping_Sheet!$B$2:$B$3143=$A5)))"),0.34494212662644586)</f>
        <v>0.3449421266</v>
      </c>
      <c r="T5" s="34">
        <f>IFERROR(__xludf.DUMMYFUNCTION("IF(ISNA(sum(filter(
Master_Mapping_Sheet!$E$2:$E$3143, ISNUMBER(
Master_Mapping_Sheet!$E$2:$E$3143),
Master_Mapping_Sheet!$H$2:$H$3143=T$1,
Master_Mapping_Sheet!$B$2:$B$3143=$A5))/sum(filter(
Master_Mapping_Sheet!$E$2:$E$3143, ISNUMBER(
Master_Mapping_She"&amp;"et!$E$2:$E$3143),
Master_Mapping_Sheet!$B$2:$B$3143=$A5))), 0, sum(filter(
Master_Mapping_Sheet!$E$2:$E$3143, ISNUMBER(
Master_Mapping_Sheet!$E$2:$E$3143),
Master_Mapping_Sheet!$H$2:$H$3143=T$1,
Master_Mapping_Sheet!$B$2:$B$3143=$A5))/sum(filter(
Master_M"&amp;"apping_Sheet!$E$2:$E$3143, ISNUMBER(
Master_Mapping_Sheet!$E$2:$E$3143),
Master_Mapping_Sheet!$B$2:$B$3143=$A5)))"),0.0)</f>
        <v>0</v>
      </c>
      <c r="U5" s="34">
        <f>IFERROR(__xludf.DUMMYFUNCTION("IF(ISNA(sum(filter(
Master_Mapping_Sheet!$E$2:$E$3143, ISNUMBER(
Master_Mapping_Sheet!$E$2:$E$3143),
Master_Mapping_Sheet!$H$2:$H$3143=U$1,
Master_Mapping_Sheet!$B$2:$B$3143=$A5))/sum(filter(
Master_Mapping_Sheet!$E$2:$E$3143, ISNUMBER(
Master_Mapping_She"&amp;"et!$E$2:$E$3143),
Master_Mapping_Sheet!$B$2:$B$3143=$A5))), 0, sum(filter(
Master_Mapping_Sheet!$E$2:$E$3143, ISNUMBER(
Master_Mapping_Sheet!$E$2:$E$3143),
Master_Mapping_Sheet!$H$2:$H$3143=U$1,
Master_Mapping_Sheet!$B$2:$B$3143=$A5))/sum(filter(
Master_M"&amp;"apping_Sheet!$E$2:$E$3143, ISNUMBER(
Master_Mapping_Sheet!$E$2:$E$3143),
Master_Mapping_Sheet!$B$2:$B$3143=$A5)))"),0.0)</f>
        <v>0</v>
      </c>
      <c r="V5" s="34">
        <f>IFERROR(__xludf.DUMMYFUNCTION("IF(ISNA(sum(filter(
Master_Mapping_Sheet!$E$2:$E$3143, ISNUMBER(
Master_Mapping_Sheet!$E$2:$E$3143),
Master_Mapping_Sheet!$H$2:$H$3143=V$1,
Master_Mapping_Sheet!$B$2:$B$3143=$A5))/sum(filter(
Master_Mapping_Sheet!$E$2:$E$3143, ISNUMBER(
Master_Mapping_She"&amp;"et!$E$2:$E$3143),
Master_Mapping_Sheet!$B$2:$B$3143=$A5))), 0, sum(filter(
Master_Mapping_Sheet!$E$2:$E$3143, ISNUMBER(
Master_Mapping_Sheet!$E$2:$E$3143),
Master_Mapping_Sheet!$H$2:$H$3143=V$1,
Master_Mapping_Sheet!$B$2:$B$3143=$A5))/sum(filter(
Master_M"&amp;"apping_Sheet!$E$2:$E$3143, ISNUMBER(
Master_Mapping_Sheet!$E$2:$E$3143),
Master_Mapping_Sheet!$B$2:$B$3143=$A5)))"),0.0)</f>
        <v>0</v>
      </c>
      <c r="W5" s="34">
        <f>IFERROR(__xludf.DUMMYFUNCTION("IF(ISNA(sum(filter(
Master_Mapping_Sheet!$E$2:$E$3143, ISNUMBER(
Master_Mapping_Sheet!$E$2:$E$3143),
Master_Mapping_Sheet!$H$2:$H$3143=W$1,
Master_Mapping_Sheet!$B$2:$B$3143=$A5))/sum(filter(
Master_Mapping_Sheet!$E$2:$E$3143, ISNUMBER(
Master_Mapping_She"&amp;"et!$E$2:$E$3143),
Master_Mapping_Sheet!$B$2:$B$3143=$A5))), 0, sum(filter(
Master_Mapping_Sheet!$E$2:$E$3143, ISNUMBER(
Master_Mapping_Sheet!$E$2:$E$3143),
Master_Mapping_Sheet!$H$2:$H$3143=W$1,
Master_Mapping_Sheet!$B$2:$B$3143=$A5))/sum(filter(
Master_M"&amp;"apping_Sheet!$E$2:$E$3143, ISNUMBER(
Master_Mapping_Sheet!$E$2:$E$3143),
Master_Mapping_Sheet!$B$2:$B$3143=$A5)))"),0.0)</f>
        <v>0</v>
      </c>
      <c r="X5" s="34">
        <f>IFERROR(__xludf.DUMMYFUNCTION("IF(ISNA(sum(filter(
Master_Mapping_Sheet!$E$2:$E$3143, ISNUMBER(
Master_Mapping_Sheet!$E$2:$E$3143),
Master_Mapping_Sheet!$H$2:$H$3143=X$1,
Master_Mapping_Sheet!$B$2:$B$3143=$A5))/sum(filter(
Master_Mapping_Sheet!$E$2:$E$3143, ISNUMBER(
Master_Mapping_She"&amp;"et!$E$2:$E$3143),
Master_Mapping_Sheet!$B$2:$B$3143=$A5))), 0, sum(filter(
Master_Mapping_Sheet!$E$2:$E$3143, ISNUMBER(
Master_Mapping_Sheet!$E$2:$E$3143),
Master_Mapping_Sheet!$H$2:$H$3143=X$1,
Master_Mapping_Sheet!$B$2:$B$3143=$A5))/sum(filter(
Master_M"&amp;"apping_Sheet!$E$2:$E$3143, ISNUMBER(
Master_Mapping_Sheet!$E$2:$E$3143),
Master_Mapping_Sheet!$B$2:$B$3143=$A5)))"),0.0)</f>
        <v>0</v>
      </c>
      <c r="Y5" s="34">
        <f>IFERROR(__xludf.DUMMYFUNCTION("IF(ISNA(sum(filter(
Master_Mapping_Sheet!$E$2:$E$3143, ISNUMBER(
Master_Mapping_Sheet!$E$2:$E$3143),
Master_Mapping_Sheet!$H$2:$H$3143=Y$1,
Master_Mapping_Sheet!$B$2:$B$3143=$A5))/sum(filter(
Master_Mapping_Sheet!$E$2:$E$3143, ISNUMBER(
Master_Mapping_She"&amp;"et!$E$2:$E$3143),
Master_Mapping_Sheet!$B$2:$B$3143=$A5))), 0, sum(filter(
Master_Mapping_Sheet!$E$2:$E$3143, ISNUMBER(
Master_Mapping_Sheet!$E$2:$E$3143),
Master_Mapping_Sheet!$H$2:$H$3143=Y$1,
Master_Mapping_Sheet!$B$2:$B$3143=$A5))/sum(filter(
Master_M"&amp;"apping_Sheet!$E$2:$E$3143, ISNUMBER(
Master_Mapping_Sheet!$E$2:$E$3143),
Master_Mapping_Sheet!$B$2:$B$3143=$A5)))"),0.0)</f>
        <v>0</v>
      </c>
      <c r="Z5" s="34">
        <f>IFERROR(__xludf.DUMMYFUNCTION("IF(ISNA(sum(filter(
Master_Mapping_Sheet!$E$2:$E$3143, ISNUMBER(
Master_Mapping_Sheet!$E$2:$E$3143),
Master_Mapping_Sheet!$H$2:$H$3143=Z$1,
Master_Mapping_Sheet!$B$2:$B$3143=$A5))/sum(filter(
Master_Mapping_Sheet!$E$2:$E$3143, ISNUMBER(
Master_Mapping_She"&amp;"et!$E$2:$E$3143),
Master_Mapping_Sheet!$B$2:$B$3143=$A5))), 0, sum(filter(
Master_Mapping_Sheet!$E$2:$E$3143, ISNUMBER(
Master_Mapping_Sheet!$E$2:$E$3143),
Master_Mapping_Sheet!$H$2:$H$3143=Z$1,
Master_Mapping_Sheet!$B$2:$B$3143=$A5))/sum(filter(
Master_M"&amp;"apping_Sheet!$E$2:$E$3143, ISNUMBER(
Master_Mapping_Sheet!$E$2:$E$3143),
Master_Mapping_Sheet!$B$2:$B$3143=$A5)))"),0.0)</f>
        <v>0</v>
      </c>
      <c r="AA5" s="34">
        <f>IFERROR(__xludf.DUMMYFUNCTION("IF(ISNA(sum(filter(
Master_Mapping_Sheet!$E$2:$E$3143, ISNUMBER(
Master_Mapping_Sheet!$E$2:$E$3143),
Master_Mapping_Sheet!$H$2:$H$3143=AA$1,
Master_Mapping_Sheet!$B$2:$B$3143=$A5))/sum(filter(
Master_Mapping_Sheet!$E$2:$E$3143, ISNUMBER(
Master_Mapping_Sh"&amp;"eet!$E$2:$E$3143),
Master_Mapping_Sheet!$B$2:$B$3143=$A5))), 0, sum(filter(
Master_Mapping_Sheet!$E$2:$E$3143, ISNUMBER(
Master_Mapping_Sheet!$E$2:$E$3143),
Master_Mapping_Sheet!$H$2:$H$3143=AA$1,
Master_Mapping_Sheet!$B$2:$B$3143=$A5))/sum(filter(
Master"&amp;"_Mapping_Sheet!$E$2:$E$3143, ISNUMBER(
Master_Mapping_Sheet!$E$2:$E$3143),
Master_Mapping_Sheet!$B$2:$B$3143=$A5)))"),0.0)</f>
        <v>0</v>
      </c>
    </row>
    <row r="6" ht="15.75" customHeight="1">
      <c r="A6" s="34" t="s">
        <v>279</v>
      </c>
      <c r="B6" s="34" t="s">
        <v>2137</v>
      </c>
      <c r="C6" s="34">
        <f>IFERROR(__xludf.DUMMYFUNCTION("IF(ISNA(sum(filter(
Master_Mapping_Sheet!$E$2:$E$3143, ISNUMBER(
Master_Mapping_Sheet!$E$2:$E$3143),
Master_Mapping_Sheet!$H$2:$H$3143=C$1,
Master_Mapping_Sheet!$B$2:$B$3143=$A6))/sum(filter(
Master_Mapping_Sheet!$E$2:$E$3143, ISNUMBER(
Master_Mapping_She"&amp;"et!$E$2:$E$3143),
Master_Mapping_Sheet!$B$2:$B$3143=$A6))), 0, sum(filter(
Master_Mapping_Sheet!$E$2:$E$3143, ISNUMBER(
Master_Mapping_Sheet!$E$2:$E$3143),
Master_Mapping_Sheet!$H$2:$H$3143=C$1,
Master_Mapping_Sheet!$B$2:$B$3143=$A6))/sum(filter(
Master_M"&amp;"apping_Sheet!$E$2:$E$3143, ISNUMBER(
Master_Mapping_Sheet!$E$2:$E$3143),
Master_Mapping_Sheet!$B$2:$B$3143=$A6)))"),0.0)</f>
        <v>0</v>
      </c>
      <c r="D6" s="32">
        <f>IFERROR(__xludf.DUMMYFUNCTION("IF(ISNA(sum(filter(
Master_Mapping_Sheet!$E$2:$E$3143, ISNUMBER(
Master_Mapping_Sheet!$E$2:$E$3143),
Master_Mapping_Sheet!$H$2:$H$3143=D$1,
Master_Mapping_Sheet!$B$2:$B$3143=$A6))/sum(filter(
Master_Mapping_Sheet!$E$2:$E$3143, ISNUMBER(
Master_Mapping_She"&amp;"et!$E$2:$E$3143),
Master_Mapping_Sheet!$B$2:$B$3143=$A6))), 0, sum(filter(
Master_Mapping_Sheet!$E$2:$E$3143, ISNUMBER(
Master_Mapping_Sheet!$E$2:$E$3143),
Master_Mapping_Sheet!$H$2:$H$3143=D$1,
Master_Mapping_Sheet!$B$2:$B$3143=$A6))/sum(filter(
Master_M"&amp;"apping_Sheet!$E$2:$E$3143, ISNUMBER(
Master_Mapping_Sheet!$E$2:$E$3143),
Master_Mapping_Sheet!$B$2:$B$3143=$A6)))"),0.0)</f>
        <v>0</v>
      </c>
      <c r="E6" s="34">
        <f>IFERROR(__xludf.DUMMYFUNCTION("IF(ISNA(sum(filter(
Master_Mapping_Sheet!$E$2:$E$3143, ISNUMBER(
Master_Mapping_Sheet!$E$2:$E$3143),
Master_Mapping_Sheet!$H$2:$H$3143=E$1,
Master_Mapping_Sheet!$B$2:$B$3143=$A6))/sum(filter(
Master_Mapping_Sheet!$E$2:$E$3143, ISNUMBER(
Master_Mapping_She"&amp;"et!$E$2:$E$3143),
Master_Mapping_Sheet!$B$2:$B$3143=$A6))), 0, sum(filter(
Master_Mapping_Sheet!$E$2:$E$3143, ISNUMBER(
Master_Mapping_Sheet!$E$2:$E$3143),
Master_Mapping_Sheet!$H$2:$H$3143=E$1,
Master_Mapping_Sheet!$B$2:$B$3143=$A6))/sum(filter(
Master_M"&amp;"apping_Sheet!$E$2:$E$3143, ISNUMBER(
Master_Mapping_Sheet!$E$2:$E$3143),
Master_Mapping_Sheet!$B$2:$B$3143=$A6)))"),0.0)</f>
        <v>0</v>
      </c>
      <c r="F6" s="34">
        <f>IFERROR(__xludf.DUMMYFUNCTION("IF(ISNA(sum(filter(
Master_Mapping_Sheet!$E$2:$E$3143, ISNUMBER(
Master_Mapping_Sheet!$E$2:$E$3143),
Master_Mapping_Sheet!$H$2:$H$3143=F$1,
Master_Mapping_Sheet!$B$2:$B$3143=$A6))/sum(filter(
Master_Mapping_Sheet!$E$2:$E$3143, ISNUMBER(
Master_Mapping_She"&amp;"et!$E$2:$E$3143),
Master_Mapping_Sheet!$B$2:$B$3143=$A6))), 0, sum(filter(
Master_Mapping_Sheet!$E$2:$E$3143, ISNUMBER(
Master_Mapping_Sheet!$E$2:$E$3143),
Master_Mapping_Sheet!$H$2:$H$3143=F$1,
Master_Mapping_Sheet!$B$2:$B$3143=$A6))/sum(filter(
Master_M"&amp;"apping_Sheet!$E$2:$E$3143, ISNUMBER(
Master_Mapping_Sheet!$E$2:$E$3143),
Master_Mapping_Sheet!$B$2:$B$3143=$A6)))"),0.0)</f>
        <v>0</v>
      </c>
      <c r="G6" s="34">
        <f>IFERROR(__xludf.DUMMYFUNCTION("IF(ISNA(sum(filter(
Master_Mapping_Sheet!$E$2:$E$3143, ISNUMBER(
Master_Mapping_Sheet!$E$2:$E$3143),
Master_Mapping_Sheet!$H$2:$H$3143=G$1,
Master_Mapping_Sheet!$B$2:$B$3143=$A6))/sum(filter(
Master_Mapping_Sheet!$E$2:$E$3143, ISNUMBER(
Master_Mapping_She"&amp;"et!$E$2:$E$3143),
Master_Mapping_Sheet!$B$2:$B$3143=$A6))), 0, sum(filter(
Master_Mapping_Sheet!$E$2:$E$3143, ISNUMBER(
Master_Mapping_Sheet!$E$2:$E$3143),
Master_Mapping_Sheet!$H$2:$H$3143=G$1,
Master_Mapping_Sheet!$B$2:$B$3143=$A6))/sum(filter(
Master_M"&amp;"apping_Sheet!$E$2:$E$3143, ISNUMBER(
Master_Mapping_Sheet!$E$2:$E$3143),
Master_Mapping_Sheet!$B$2:$B$3143=$A6)))"),0.0)</f>
        <v>0</v>
      </c>
      <c r="H6" s="34">
        <f>IFERROR(__xludf.DUMMYFUNCTION("IF(ISNA(sum(filter(
Master_Mapping_Sheet!$E$2:$E$3143, ISNUMBER(
Master_Mapping_Sheet!$E$2:$E$3143),
Master_Mapping_Sheet!$H$2:$H$3143=H$1,
Master_Mapping_Sheet!$B$2:$B$3143=$A6))/sum(filter(
Master_Mapping_Sheet!$E$2:$E$3143, ISNUMBER(
Master_Mapping_She"&amp;"et!$E$2:$E$3143),
Master_Mapping_Sheet!$B$2:$B$3143=$A6))), 0, sum(filter(
Master_Mapping_Sheet!$E$2:$E$3143, ISNUMBER(
Master_Mapping_Sheet!$E$2:$E$3143),
Master_Mapping_Sheet!$H$2:$H$3143=H$1,
Master_Mapping_Sheet!$B$2:$B$3143=$A6))/sum(filter(
Master_M"&amp;"apping_Sheet!$E$2:$E$3143, ISNUMBER(
Master_Mapping_Sheet!$E$2:$E$3143),
Master_Mapping_Sheet!$B$2:$B$3143=$A6)))"),0.0)</f>
        <v>0</v>
      </c>
      <c r="I6" s="34">
        <f>IFERROR(__xludf.DUMMYFUNCTION("IF(ISNA(sum(filter(
Master_Mapping_Sheet!$E$2:$E$3143, ISNUMBER(
Master_Mapping_Sheet!$E$2:$E$3143),
Master_Mapping_Sheet!$H$2:$H$3143=I$1,
Master_Mapping_Sheet!$B$2:$B$3143=$A6))/sum(filter(
Master_Mapping_Sheet!$E$2:$E$3143, ISNUMBER(
Master_Mapping_She"&amp;"et!$E$2:$E$3143),
Master_Mapping_Sheet!$B$2:$B$3143=$A6))), 0, sum(filter(
Master_Mapping_Sheet!$E$2:$E$3143, ISNUMBER(
Master_Mapping_Sheet!$E$2:$E$3143),
Master_Mapping_Sheet!$H$2:$H$3143=I$1,
Master_Mapping_Sheet!$B$2:$B$3143=$A6))/sum(filter(
Master_M"&amp;"apping_Sheet!$E$2:$E$3143, ISNUMBER(
Master_Mapping_Sheet!$E$2:$E$3143),
Master_Mapping_Sheet!$B$2:$B$3143=$A6)))"),0.0)</f>
        <v>0</v>
      </c>
      <c r="J6" s="34">
        <f>IFERROR(__xludf.DUMMYFUNCTION("IF(ISNA(sum(filter(
Master_Mapping_Sheet!$E$2:$E$3143, ISNUMBER(
Master_Mapping_Sheet!$E$2:$E$3143),
Master_Mapping_Sheet!$H$2:$H$3143=J$1,
Master_Mapping_Sheet!$B$2:$B$3143=$A6))/sum(filter(
Master_Mapping_Sheet!$E$2:$E$3143, ISNUMBER(
Master_Mapping_She"&amp;"et!$E$2:$E$3143),
Master_Mapping_Sheet!$B$2:$B$3143=$A6))), 0, sum(filter(
Master_Mapping_Sheet!$E$2:$E$3143, ISNUMBER(
Master_Mapping_Sheet!$E$2:$E$3143),
Master_Mapping_Sheet!$H$2:$H$3143=J$1,
Master_Mapping_Sheet!$B$2:$B$3143=$A6))/sum(filter(
Master_M"&amp;"apping_Sheet!$E$2:$E$3143, ISNUMBER(
Master_Mapping_Sheet!$E$2:$E$3143),
Master_Mapping_Sheet!$B$2:$B$3143=$A6)))"),0.0)</f>
        <v>0</v>
      </c>
      <c r="K6" s="34">
        <f>IFERROR(__xludf.DUMMYFUNCTION("IF(ISNA(sum(filter(
Master_Mapping_Sheet!$E$2:$E$3143, ISNUMBER(
Master_Mapping_Sheet!$E$2:$E$3143),
Master_Mapping_Sheet!$H$2:$H$3143=K$1,
Master_Mapping_Sheet!$B$2:$B$3143=$A6))/sum(filter(
Master_Mapping_Sheet!$E$2:$E$3143, ISNUMBER(
Master_Mapping_She"&amp;"et!$E$2:$E$3143),
Master_Mapping_Sheet!$B$2:$B$3143=$A6))), 0, sum(filter(
Master_Mapping_Sheet!$E$2:$E$3143, ISNUMBER(
Master_Mapping_Sheet!$E$2:$E$3143),
Master_Mapping_Sheet!$H$2:$H$3143=K$1,
Master_Mapping_Sheet!$B$2:$B$3143=$A6))/sum(filter(
Master_M"&amp;"apping_Sheet!$E$2:$E$3143, ISNUMBER(
Master_Mapping_Sheet!$E$2:$E$3143),
Master_Mapping_Sheet!$B$2:$B$3143=$A6)))"),0.0)</f>
        <v>0</v>
      </c>
      <c r="L6" s="34">
        <f>IFERROR(__xludf.DUMMYFUNCTION("IF(ISNA(sum(filter(
Master_Mapping_Sheet!$E$2:$E$3143, ISNUMBER(
Master_Mapping_Sheet!$E$2:$E$3143),
Master_Mapping_Sheet!$H$2:$H$3143=L$1,
Master_Mapping_Sheet!$B$2:$B$3143=$A6))/sum(filter(
Master_Mapping_Sheet!$E$2:$E$3143, ISNUMBER(
Master_Mapping_She"&amp;"et!$E$2:$E$3143),
Master_Mapping_Sheet!$B$2:$B$3143=$A6))), 0, sum(filter(
Master_Mapping_Sheet!$E$2:$E$3143, ISNUMBER(
Master_Mapping_Sheet!$E$2:$E$3143),
Master_Mapping_Sheet!$H$2:$H$3143=L$1,
Master_Mapping_Sheet!$B$2:$B$3143=$A6))/sum(filter(
Master_M"&amp;"apping_Sheet!$E$2:$E$3143, ISNUMBER(
Master_Mapping_Sheet!$E$2:$E$3143),
Master_Mapping_Sheet!$B$2:$B$3143=$A6)))"),0.0)</f>
        <v>0</v>
      </c>
      <c r="M6" s="34">
        <f>IFERROR(__xludf.DUMMYFUNCTION("IF(ISNA(sum(filter(
Master_Mapping_Sheet!$E$2:$E$3143, ISNUMBER(
Master_Mapping_Sheet!$E$2:$E$3143),
Master_Mapping_Sheet!$H$2:$H$3143=M$1,
Master_Mapping_Sheet!$B$2:$B$3143=$A6))/sum(filter(
Master_Mapping_Sheet!$E$2:$E$3143, ISNUMBER(
Master_Mapping_She"&amp;"et!$E$2:$E$3143),
Master_Mapping_Sheet!$B$2:$B$3143=$A6))), 0, sum(filter(
Master_Mapping_Sheet!$E$2:$E$3143, ISNUMBER(
Master_Mapping_Sheet!$E$2:$E$3143),
Master_Mapping_Sheet!$H$2:$H$3143=M$1,
Master_Mapping_Sheet!$B$2:$B$3143=$A6))/sum(filter(
Master_M"&amp;"apping_Sheet!$E$2:$E$3143, ISNUMBER(
Master_Mapping_Sheet!$E$2:$E$3143),
Master_Mapping_Sheet!$B$2:$B$3143=$A6)))"),0.0)</f>
        <v>0</v>
      </c>
      <c r="N6" s="34">
        <f>IFERROR(__xludf.DUMMYFUNCTION("IF(ISNA(sum(filter(
Master_Mapping_Sheet!$E$2:$E$3143, ISNUMBER(
Master_Mapping_Sheet!$E$2:$E$3143),
Master_Mapping_Sheet!$H$2:$H$3143=N$1,
Master_Mapping_Sheet!$B$2:$B$3143=$A6))/sum(filter(
Master_Mapping_Sheet!$E$2:$E$3143, ISNUMBER(
Master_Mapping_She"&amp;"et!$E$2:$E$3143),
Master_Mapping_Sheet!$B$2:$B$3143=$A6))), 0, sum(filter(
Master_Mapping_Sheet!$E$2:$E$3143, ISNUMBER(
Master_Mapping_Sheet!$E$2:$E$3143),
Master_Mapping_Sheet!$H$2:$H$3143=N$1,
Master_Mapping_Sheet!$B$2:$B$3143=$A6))/sum(filter(
Master_M"&amp;"apping_Sheet!$E$2:$E$3143, ISNUMBER(
Master_Mapping_Sheet!$E$2:$E$3143),
Master_Mapping_Sheet!$B$2:$B$3143=$A6)))"),0.0)</f>
        <v>0</v>
      </c>
      <c r="O6" s="34">
        <f>IFERROR(__xludf.DUMMYFUNCTION("IF(ISNA(sum(filter(
Master_Mapping_Sheet!$E$2:$E$3143, ISNUMBER(
Master_Mapping_Sheet!$E$2:$E$3143),
Master_Mapping_Sheet!$H$2:$H$3143=O$1,
Master_Mapping_Sheet!$B$2:$B$3143=$A6))/sum(filter(
Master_Mapping_Sheet!$E$2:$E$3143, ISNUMBER(
Master_Mapping_She"&amp;"et!$E$2:$E$3143),
Master_Mapping_Sheet!$B$2:$B$3143=$A6))), 0, sum(filter(
Master_Mapping_Sheet!$E$2:$E$3143, ISNUMBER(
Master_Mapping_Sheet!$E$2:$E$3143),
Master_Mapping_Sheet!$H$2:$H$3143=O$1,
Master_Mapping_Sheet!$B$2:$B$3143=$A6))/sum(filter(
Master_M"&amp;"apping_Sheet!$E$2:$E$3143, ISNUMBER(
Master_Mapping_Sheet!$E$2:$E$3143),
Master_Mapping_Sheet!$B$2:$B$3143=$A6)))"),0.0)</f>
        <v>0</v>
      </c>
      <c r="P6" s="34">
        <f>IFERROR(__xludf.DUMMYFUNCTION("IF(ISNA(sum(filter(
Master_Mapping_Sheet!$E$2:$E$3143, ISNUMBER(
Master_Mapping_Sheet!$E$2:$E$3143),
Master_Mapping_Sheet!$H$2:$H$3143=P$1,
Master_Mapping_Sheet!$B$2:$B$3143=$A6))/sum(filter(
Master_Mapping_Sheet!$E$2:$E$3143, ISNUMBER(
Master_Mapping_She"&amp;"et!$E$2:$E$3143),
Master_Mapping_Sheet!$B$2:$B$3143=$A6))), 0, sum(filter(
Master_Mapping_Sheet!$E$2:$E$3143, ISNUMBER(
Master_Mapping_Sheet!$E$2:$E$3143),
Master_Mapping_Sheet!$H$2:$H$3143=P$1,
Master_Mapping_Sheet!$B$2:$B$3143=$A6))/sum(filter(
Master_M"&amp;"apping_Sheet!$E$2:$E$3143, ISNUMBER(
Master_Mapping_Sheet!$E$2:$E$3143),
Master_Mapping_Sheet!$B$2:$B$3143=$A6)))"),0.0)</f>
        <v>0</v>
      </c>
      <c r="Q6" s="34">
        <f>IFERROR(__xludf.DUMMYFUNCTION("IF(ISNA(sum(filter(
Master_Mapping_Sheet!$E$2:$E$3143, ISNUMBER(
Master_Mapping_Sheet!$E$2:$E$3143),
Master_Mapping_Sheet!$H$2:$H$3143=Q$1,
Master_Mapping_Sheet!$B$2:$B$3143=$A6))/sum(filter(
Master_Mapping_Sheet!$E$2:$E$3143, ISNUMBER(
Master_Mapping_She"&amp;"et!$E$2:$E$3143),
Master_Mapping_Sheet!$B$2:$B$3143=$A6))), 0, sum(filter(
Master_Mapping_Sheet!$E$2:$E$3143, ISNUMBER(
Master_Mapping_Sheet!$E$2:$E$3143),
Master_Mapping_Sheet!$H$2:$H$3143=Q$1,
Master_Mapping_Sheet!$B$2:$B$3143=$A6))/sum(filter(
Master_M"&amp;"apping_Sheet!$E$2:$E$3143, ISNUMBER(
Master_Mapping_Sheet!$E$2:$E$3143),
Master_Mapping_Sheet!$B$2:$B$3143=$A6)))"),0.0)</f>
        <v>0</v>
      </c>
      <c r="R6" s="34">
        <f>IFERROR(__xludf.DUMMYFUNCTION("IF(ISNA(sum(filter(
Master_Mapping_Sheet!$E$2:$E$3143, ISNUMBER(
Master_Mapping_Sheet!$E$2:$E$3143),
Master_Mapping_Sheet!$H$2:$H$3143=R$1,
Master_Mapping_Sheet!$B$2:$B$3143=$A6))/sum(filter(
Master_Mapping_Sheet!$E$2:$E$3143, ISNUMBER(
Master_Mapping_She"&amp;"et!$E$2:$E$3143),
Master_Mapping_Sheet!$B$2:$B$3143=$A6))), 0, sum(filter(
Master_Mapping_Sheet!$E$2:$E$3143, ISNUMBER(
Master_Mapping_Sheet!$E$2:$E$3143),
Master_Mapping_Sheet!$H$2:$H$3143=R$1,
Master_Mapping_Sheet!$B$2:$B$3143=$A6))/sum(filter(
Master_M"&amp;"apping_Sheet!$E$2:$E$3143, ISNUMBER(
Master_Mapping_Sheet!$E$2:$E$3143),
Master_Mapping_Sheet!$B$2:$B$3143=$A6)))"),0.0)</f>
        <v>0</v>
      </c>
      <c r="S6" s="34">
        <f>IFERROR(__xludf.DUMMYFUNCTION("IF(ISNA(sum(filter(
Master_Mapping_Sheet!$E$2:$E$3143, ISNUMBER(
Master_Mapping_Sheet!$E$2:$E$3143),
Master_Mapping_Sheet!$H$2:$H$3143=S$1,
Master_Mapping_Sheet!$B$2:$B$3143=$A6))/sum(filter(
Master_Mapping_Sheet!$E$2:$E$3143, ISNUMBER(
Master_Mapping_She"&amp;"et!$E$2:$E$3143),
Master_Mapping_Sheet!$B$2:$B$3143=$A6))), 0, sum(filter(
Master_Mapping_Sheet!$E$2:$E$3143, ISNUMBER(
Master_Mapping_Sheet!$E$2:$E$3143),
Master_Mapping_Sheet!$H$2:$H$3143=S$1,
Master_Mapping_Sheet!$B$2:$B$3143=$A6))/sum(filter(
Master_M"&amp;"apping_Sheet!$E$2:$E$3143, ISNUMBER(
Master_Mapping_Sheet!$E$2:$E$3143),
Master_Mapping_Sheet!$B$2:$B$3143=$A6)))"),0.0)</f>
        <v>0</v>
      </c>
      <c r="T6" s="34">
        <f>IFERROR(__xludf.DUMMYFUNCTION("IF(ISNA(sum(filter(
Master_Mapping_Sheet!$E$2:$E$3143, ISNUMBER(
Master_Mapping_Sheet!$E$2:$E$3143),
Master_Mapping_Sheet!$H$2:$H$3143=T$1,
Master_Mapping_Sheet!$B$2:$B$3143=$A6))/sum(filter(
Master_Mapping_Sheet!$E$2:$E$3143, ISNUMBER(
Master_Mapping_She"&amp;"et!$E$2:$E$3143),
Master_Mapping_Sheet!$B$2:$B$3143=$A6))), 0, sum(filter(
Master_Mapping_Sheet!$E$2:$E$3143, ISNUMBER(
Master_Mapping_Sheet!$E$2:$E$3143),
Master_Mapping_Sheet!$H$2:$H$3143=T$1,
Master_Mapping_Sheet!$B$2:$B$3143=$A6))/sum(filter(
Master_M"&amp;"apping_Sheet!$E$2:$E$3143, ISNUMBER(
Master_Mapping_Sheet!$E$2:$E$3143),
Master_Mapping_Sheet!$B$2:$B$3143=$A6)))"),0.0)</f>
        <v>0</v>
      </c>
      <c r="U6" s="34">
        <f>IFERROR(__xludf.DUMMYFUNCTION("IF(ISNA(sum(filter(
Master_Mapping_Sheet!$E$2:$E$3143, ISNUMBER(
Master_Mapping_Sheet!$E$2:$E$3143),
Master_Mapping_Sheet!$H$2:$H$3143=U$1,
Master_Mapping_Sheet!$B$2:$B$3143=$A6))/sum(filter(
Master_Mapping_Sheet!$E$2:$E$3143, ISNUMBER(
Master_Mapping_She"&amp;"et!$E$2:$E$3143),
Master_Mapping_Sheet!$B$2:$B$3143=$A6))), 0, sum(filter(
Master_Mapping_Sheet!$E$2:$E$3143, ISNUMBER(
Master_Mapping_Sheet!$E$2:$E$3143),
Master_Mapping_Sheet!$H$2:$H$3143=U$1,
Master_Mapping_Sheet!$B$2:$B$3143=$A6))/sum(filter(
Master_M"&amp;"apping_Sheet!$E$2:$E$3143, ISNUMBER(
Master_Mapping_Sheet!$E$2:$E$3143),
Master_Mapping_Sheet!$B$2:$B$3143=$A6)))"),0.0)</f>
        <v>0</v>
      </c>
      <c r="V6" s="34">
        <f>IFERROR(__xludf.DUMMYFUNCTION("IF(ISNA(sum(filter(
Master_Mapping_Sheet!$E$2:$E$3143, ISNUMBER(
Master_Mapping_Sheet!$E$2:$E$3143),
Master_Mapping_Sheet!$H$2:$H$3143=V$1,
Master_Mapping_Sheet!$B$2:$B$3143=$A6))/sum(filter(
Master_Mapping_Sheet!$E$2:$E$3143, ISNUMBER(
Master_Mapping_She"&amp;"et!$E$2:$E$3143),
Master_Mapping_Sheet!$B$2:$B$3143=$A6))), 0, sum(filter(
Master_Mapping_Sheet!$E$2:$E$3143, ISNUMBER(
Master_Mapping_Sheet!$E$2:$E$3143),
Master_Mapping_Sheet!$H$2:$H$3143=V$1,
Master_Mapping_Sheet!$B$2:$B$3143=$A6))/sum(filter(
Master_M"&amp;"apping_Sheet!$E$2:$E$3143, ISNUMBER(
Master_Mapping_Sheet!$E$2:$E$3143),
Master_Mapping_Sheet!$B$2:$B$3143=$A6)))"),0.004595306380235304)</f>
        <v>0.00459530638</v>
      </c>
      <c r="W6" s="34">
        <f>IFERROR(__xludf.DUMMYFUNCTION("IF(ISNA(sum(filter(
Master_Mapping_Sheet!$E$2:$E$3143, ISNUMBER(
Master_Mapping_Sheet!$E$2:$E$3143),
Master_Mapping_Sheet!$H$2:$H$3143=W$1,
Master_Mapping_Sheet!$B$2:$B$3143=$A6))/sum(filter(
Master_Mapping_Sheet!$E$2:$E$3143, ISNUMBER(
Master_Mapping_She"&amp;"et!$E$2:$E$3143),
Master_Mapping_Sheet!$B$2:$B$3143=$A6))), 0, sum(filter(
Master_Mapping_Sheet!$E$2:$E$3143, ISNUMBER(
Master_Mapping_Sheet!$E$2:$E$3143),
Master_Mapping_Sheet!$H$2:$H$3143=W$1,
Master_Mapping_Sheet!$B$2:$B$3143=$A6))/sum(filter(
Master_M"&amp;"apping_Sheet!$E$2:$E$3143, ISNUMBER(
Master_Mapping_Sheet!$E$2:$E$3143),
Master_Mapping_Sheet!$B$2:$B$3143=$A6)))"),0.40209435123290677)</f>
        <v>0.4020943512</v>
      </c>
      <c r="X6" s="34">
        <f>IFERROR(__xludf.DUMMYFUNCTION("IF(ISNA(sum(filter(
Master_Mapping_Sheet!$E$2:$E$3143, ISNUMBER(
Master_Mapping_Sheet!$E$2:$E$3143),
Master_Mapping_Sheet!$H$2:$H$3143=X$1,
Master_Mapping_Sheet!$B$2:$B$3143=$A6))/sum(filter(
Master_Mapping_Sheet!$E$2:$E$3143, ISNUMBER(
Master_Mapping_She"&amp;"et!$E$2:$E$3143),
Master_Mapping_Sheet!$B$2:$B$3143=$A6))), 0, sum(filter(
Master_Mapping_Sheet!$E$2:$E$3143, ISNUMBER(
Master_Mapping_Sheet!$E$2:$E$3143),
Master_Mapping_Sheet!$H$2:$H$3143=X$1,
Master_Mapping_Sheet!$B$2:$B$3143=$A6))/sum(filter(
Master_M"&amp;"apping_Sheet!$E$2:$E$3143, ISNUMBER(
Master_Mapping_Sheet!$E$2:$E$3143),
Master_Mapping_Sheet!$B$2:$B$3143=$A6)))"),0.5905680231071869)</f>
        <v>0.5905680231</v>
      </c>
      <c r="Y6" s="34">
        <f>IFERROR(__xludf.DUMMYFUNCTION("IF(ISNA(sum(filter(
Master_Mapping_Sheet!$E$2:$E$3143, ISNUMBER(
Master_Mapping_Sheet!$E$2:$E$3143),
Master_Mapping_Sheet!$H$2:$H$3143=Y$1,
Master_Mapping_Sheet!$B$2:$B$3143=$A6))/sum(filter(
Master_Mapping_Sheet!$E$2:$E$3143, ISNUMBER(
Master_Mapping_She"&amp;"et!$E$2:$E$3143),
Master_Mapping_Sheet!$B$2:$B$3143=$A6))), 0, sum(filter(
Master_Mapping_Sheet!$E$2:$E$3143, ISNUMBER(
Master_Mapping_Sheet!$E$2:$E$3143),
Master_Mapping_Sheet!$H$2:$H$3143=Y$1,
Master_Mapping_Sheet!$B$2:$B$3143=$A6))/sum(filter(
Master_M"&amp;"apping_Sheet!$E$2:$E$3143, ISNUMBER(
Master_Mapping_Sheet!$E$2:$E$3143),
Master_Mapping_Sheet!$B$2:$B$3143=$A6)))"),0.0027423192796709617)</f>
        <v>0.00274231928</v>
      </c>
      <c r="Z6" s="34">
        <f>IFERROR(__xludf.DUMMYFUNCTION("IF(ISNA(sum(filter(
Master_Mapping_Sheet!$E$2:$E$3143, ISNUMBER(
Master_Mapping_Sheet!$E$2:$E$3143),
Master_Mapping_Sheet!$H$2:$H$3143=Z$1,
Master_Mapping_Sheet!$B$2:$B$3143=$A6))/sum(filter(
Master_Mapping_Sheet!$E$2:$E$3143, ISNUMBER(
Master_Mapping_She"&amp;"et!$E$2:$E$3143),
Master_Mapping_Sheet!$B$2:$B$3143=$A6))), 0, sum(filter(
Master_Mapping_Sheet!$E$2:$E$3143, ISNUMBER(
Master_Mapping_Sheet!$E$2:$E$3143),
Master_Mapping_Sheet!$H$2:$H$3143=Z$1,
Master_Mapping_Sheet!$B$2:$B$3143=$A6))/sum(filter(
Master_M"&amp;"apping_Sheet!$E$2:$E$3143, ISNUMBER(
Master_Mapping_Sheet!$E$2:$E$3143),
Master_Mapping_Sheet!$B$2:$B$3143=$A6)))"),0.0)</f>
        <v>0</v>
      </c>
      <c r="AA6" s="34">
        <f>IFERROR(__xludf.DUMMYFUNCTION("IF(ISNA(sum(filter(
Master_Mapping_Sheet!$E$2:$E$3143, ISNUMBER(
Master_Mapping_Sheet!$E$2:$E$3143),
Master_Mapping_Sheet!$H$2:$H$3143=AA$1,
Master_Mapping_Sheet!$B$2:$B$3143=$A6))/sum(filter(
Master_Mapping_Sheet!$E$2:$E$3143, ISNUMBER(
Master_Mapping_Sh"&amp;"eet!$E$2:$E$3143),
Master_Mapping_Sheet!$B$2:$B$3143=$A6))), 0, sum(filter(
Master_Mapping_Sheet!$E$2:$E$3143, ISNUMBER(
Master_Mapping_Sheet!$E$2:$E$3143),
Master_Mapping_Sheet!$H$2:$H$3143=AA$1,
Master_Mapping_Sheet!$B$2:$B$3143=$A6))/sum(filter(
Master"&amp;"_Mapping_Sheet!$E$2:$E$3143, ISNUMBER(
Master_Mapping_Sheet!$E$2:$E$3143),
Master_Mapping_Sheet!$B$2:$B$3143=$A6)))"),0.0)</f>
        <v>0</v>
      </c>
    </row>
    <row r="7" ht="15.75" customHeight="1">
      <c r="A7" s="34" t="s">
        <v>339</v>
      </c>
      <c r="B7" s="34" t="s">
        <v>2194</v>
      </c>
      <c r="C7" s="34">
        <f>IFERROR(__xludf.DUMMYFUNCTION("IF(ISNA(sum(filter(
Master_Mapping_Sheet!$E$2:$E$3143, ISNUMBER(
Master_Mapping_Sheet!$E$2:$E$3143),
Master_Mapping_Sheet!$H$2:$H$3143=C$1,
Master_Mapping_Sheet!$B$2:$B$3143=$A7))/sum(filter(
Master_Mapping_Sheet!$E$2:$E$3143, ISNUMBER(
Master_Mapping_She"&amp;"et!$E$2:$E$3143),
Master_Mapping_Sheet!$B$2:$B$3143=$A7))), 0, sum(filter(
Master_Mapping_Sheet!$E$2:$E$3143, ISNUMBER(
Master_Mapping_Sheet!$E$2:$E$3143),
Master_Mapping_Sheet!$H$2:$H$3143=C$1,
Master_Mapping_Sheet!$B$2:$B$3143=$A7))/sum(filter(
Master_M"&amp;"apping_Sheet!$E$2:$E$3143, ISNUMBER(
Master_Mapping_Sheet!$E$2:$E$3143),
Master_Mapping_Sheet!$B$2:$B$3143=$A7)))"),0.0)</f>
        <v>0</v>
      </c>
      <c r="D7" s="32">
        <f>IFERROR(__xludf.DUMMYFUNCTION("IF(ISNA(sum(filter(
Master_Mapping_Sheet!$E$2:$E$3143, ISNUMBER(
Master_Mapping_Sheet!$E$2:$E$3143),
Master_Mapping_Sheet!$H$2:$H$3143=D$1,
Master_Mapping_Sheet!$B$2:$B$3143=$A7))/sum(filter(
Master_Mapping_Sheet!$E$2:$E$3143, ISNUMBER(
Master_Mapping_She"&amp;"et!$E$2:$E$3143),
Master_Mapping_Sheet!$B$2:$B$3143=$A7))), 0, sum(filter(
Master_Mapping_Sheet!$E$2:$E$3143, ISNUMBER(
Master_Mapping_Sheet!$E$2:$E$3143),
Master_Mapping_Sheet!$H$2:$H$3143=D$1,
Master_Mapping_Sheet!$B$2:$B$3143=$A7))/sum(filter(
Master_M"&amp;"apping_Sheet!$E$2:$E$3143, ISNUMBER(
Master_Mapping_Sheet!$E$2:$E$3143),
Master_Mapping_Sheet!$B$2:$B$3143=$A7)))"),0.0)</f>
        <v>0</v>
      </c>
      <c r="E7" s="34">
        <f>IFERROR(__xludf.DUMMYFUNCTION("IF(ISNA(sum(filter(
Master_Mapping_Sheet!$E$2:$E$3143, ISNUMBER(
Master_Mapping_Sheet!$E$2:$E$3143),
Master_Mapping_Sheet!$H$2:$H$3143=E$1,
Master_Mapping_Sheet!$B$2:$B$3143=$A7))/sum(filter(
Master_Mapping_Sheet!$E$2:$E$3143, ISNUMBER(
Master_Mapping_She"&amp;"et!$E$2:$E$3143),
Master_Mapping_Sheet!$B$2:$B$3143=$A7))), 0, sum(filter(
Master_Mapping_Sheet!$E$2:$E$3143, ISNUMBER(
Master_Mapping_Sheet!$E$2:$E$3143),
Master_Mapping_Sheet!$H$2:$H$3143=E$1,
Master_Mapping_Sheet!$B$2:$B$3143=$A7))/sum(filter(
Master_M"&amp;"apping_Sheet!$E$2:$E$3143, ISNUMBER(
Master_Mapping_Sheet!$E$2:$E$3143),
Master_Mapping_Sheet!$B$2:$B$3143=$A7)))"),0.0)</f>
        <v>0</v>
      </c>
      <c r="F7" s="34">
        <f>IFERROR(__xludf.DUMMYFUNCTION("IF(ISNA(sum(filter(
Master_Mapping_Sheet!$E$2:$E$3143, ISNUMBER(
Master_Mapping_Sheet!$E$2:$E$3143),
Master_Mapping_Sheet!$H$2:$H$3143=F$1,
Master_Mapping_Sheet!$B$2:$B$3143=$A7))/sum(filter(
Master_Mapping_Sheet!$E$2:$E$3143, ISNUMBER(
Master_Mapping_She"&amp;"et!$E$2:$E$3143),
Master_Mapping_Sheet!$B$2:$B$3143=$A7))), 0, sum(filter(
Master_Mapping_Sheet!$E$2:$E$3143, ISNUMBER(
Master_Mapping_Sheet!$E$2:$E$3143),
Master_Mapping_Sheet!$H$2:$H$3143=F$1,
Master_Mapping_Sheet!$B$2:$B$3143=$A7))/sum(filter(
Master_M"&amp;"apping_Sheet!$E$2:$E$3143, ISNUMBER(
Master_Mapping_Sheet!$E$2:$E$3143),
Master_Mapping_Sheet!$B$2:$B$3143=$A7)))"),0.0)</f>
        <v>0</v>
      </c>
      <c r="G7" s="34">
        <f>IFERROR(__xludf.DUMMYFUNCTION("IF(ISNA(sum(filter(
Master_Mapping_Sheet!$E$2:$E$3143, ISNUMBER(
Master_Mapping_Sheet!$E$2:$E$3143),
Master_Mapping_Sheet!$H$2:$H$3143=G$1,
Master_Mapping_Sheet!$B$2:$B$3143=$A7))/sum(filter(
Master_Mapping_Sheet!$E$2:$E$3143, ISNUMBER(
Master_Mapping_She"&amp;"et!$E$2:$E$3143),
Master_Mapping_Sheet!$B$2:$B$3143=$A7))), 0, sum(filter(
Master_Mapping_Sheet!$E$2:$E$3143, ISNUMBER(
Master_Mapping_Sheet!$E$2:$E$3143),
Master_Mapping_Sheet!$H$2:$H$3143=G$1,
Master_Mapping_Sheet!$B$2:$B$3143=$A7))/sum(filter(
Master_M"&amp;"apping_Sheet!$E$2:$E$3143, ISNUMBER(
Master_Mapping_Sheet!$E$2:$E$3143),
Master_Mapping_Sheet!$B$2:$B$3143=$A7)))"),0.0)</f>
        <v>0</v>
      </c>
      <c r="H7" s="34">
        <f>IFERROR(__xludf.DUMMYFUNCTION("IF(ISNA(sum(filter(
Master_Mapping_Sheet!$E$2:$E$3143, ISNUMBER(
Master_Mapping_Sheet!$E$2:$E$3143),
Master_Mapping_Sheet!$H$2:$H$3143=H$1,
Master_Mapping_Sheet!$B$2:$B$3143=$A7))/sum(filter(
Master_Mapping_Sheet!$E$2:$E$3143, ISNUMBER(
Master_Mapping_She"&amp;"et!$E$2:$E$3143),
Master_Mapping_Sheet!$B$2:$B$3143=$A7))), 0, sum(filter(
Master_Mapping_Sheet!$E$2:$E$3143, ISNUMBER(
Master_Mapping_Sheet!$E$2:$E$3143),
Master_Mapping_Sheet!$H$2:$H$3143=H$1,
Master_Mapping_Sheet!$B$2:$B$3143=$A7))/sum(filter(
Master_M"&amp;"apping_Sheet!$E$2:$E$3143, ISNUMBER(
Master_Mapping_Sheet!$E$2:$E$3143),
Master_Mapping_Sheet!$B$2:$B$3143=$A7)))"),0.0)</f>
        <v>0</v>
      </c>
      <c r="I7" s="34">
        <f>IFERROR(__xludf.DUMMYFUNCTION("IF(ISNA(sum(filter(
Master_Mapping_Sheet!$E$2:$E$3143, ISNUMBER(
Master_Mapping_Sheet!$E$2:$E$3143),
Master_Mapping_Sheet!$H$2:$H$3143=I$1,
Master_Mapping_Sheet!$B$2:$B$3143=$A7))/sum(filter(
Master_Mapping_Sheet!$E$2:$E$3143, ISNUMBER(
Master_Mapping_She"&amp;"et!$E$2:$E$3143),
Master_Mapping_Sheet!$B$2:$B$3143=$A7))), 0, sum(filter(
Master_Mapping_Sheet!$E$2:$E$3143, ISNUMBER(
Master_Mapping_Sheet!$E$2:$E$3143),
Master_Mapping_Sheet!$H$2:$H$3143=I$1,
Master_Mapping_Sheet!$B$2:$B$3143=$A7))/sum(filter(
Master_M"&amp;"apping_Sheet!$E$2:$E$3143, ISNUMBER(
Master_Mapping_Sheet!$E$2:$E$3143),
Master_Mapping_Sheet!$B$2:$B$3143=$A7)))"),0.0)</f>
        <v>0</v>
      </c>
      <c r="J7" s="34">
        <f>IFERROR(__xludf.DUMMYFUNCTION("IF(ISNA(sum(filter(
Master_Mapping_Sheet!$E$2:$E$3143, ISNUMBER(
Master_Mapping_Sheet!$E$2:$E$3143),
Master_Mapping_Sheet!$H$2:$H$3143=J$1,
Master_Mapping_Sheet!$B$2:$B$3143=$A7))/sum(filter(
Master_Mapping_Sheet!$E$2:$E$3143, ISNUMBER(
Master_Mapping_She"&amp;"et!$E$2:$E$3143),
Master_Mapping_Sheet!$B$2:$B$3143=$A7))), 0, sum(filter(
Master_Mapping_Sheet!$E$2:$E$3143, ISNUMBER(
Master_Mapping_Sheet!$E$2:$E$3143),
Master_Mapping_Sheet!$H$2:$H$3143=J$1,
Master_Mapping_Sheet!$B$2:$B$3143=$A7))/sum(filter(
Master_M"&amp;"apping_Sheet!$E$2:$E$3143, ISNUMBER(
Master_Mapping_Sheet!$E$2:$E$3143),
Master_Mapping_Sheet!$B$2:$B$3143=$A7)))"),0.0)</f>
        <v>0</v>
      </c>
      <c r="K7" s="34">
        <f>IFERROR(__xludf.DUMMYFUNCTION("IF(ISNA(sum(filter(
Master_Mapping_Sheet!$E$2:$E$3143, ISNUMBER(
Master_Mapping_Sheet!$E$2:$E$3143),
Master_Mapping_Sheet!$H$2:$H$3143=K$1,
Master_Mapping_Sheet!$B$2:$B$3143=$A7))/sum(filter(
Master_Mapping_Sheet!$E$2:$E$3143, ISNUMBER(
Master_Mapping_She"&amp;"et!$E$2:$E$3143),
Master_Mapping_Sheet!$B$2:$B$3143=$A7))), 0, sum(filter(
Master_Mapping_Sheet!$E$2:$E$3143, ISNUMBER(
Master_Mapping_Sheet!$E$2:$E$3143),
Master_Mapping_Sheet!$H$2:$H$3143=K$1,
Master_Mapping_Sheet!$B$2:$B$3143=$A7))/sum(filter(
Master_M"&amp;"apping_Sheet!$E$2:$E$3143, ISNUMBER(
Master_Mapping_Sheet!$E$2:$E$3143),
Master_Mapping_Sheet!$B$2:$B$3143=$A7)))"),0.0)</f>
        <v>0</v>
      </c>
      <c r="L7" s="34">
        <f>IFERROR(__xludf.DUMMYFUNCTION("IF(ISNA(sum(filter(
Master_Mapping_Sheet!$E$2:$E$3143, ISNUMBER(
Master_Mapping_Sheet!$E$2:$E$3143),
Master_Mapping_Sheet!$H$2:$H$3143=L$1,
Master_Mapping_Sheet!$B$2:$B$3143=$A7))/sum(filter(
Master_Mapping_Sheet!$E$2:$E$3143, ISNUMBER(
Master_Mapping_She"&amp;"et!$E$2:$E$3143),
Master_Mapping_Sheet!$B$2:$B$3143=$A7))), 0, sum(filter(
Master_Mapping_Sheet!$E$2:$E$3143, ISNUMBER(
Master_Mapping_Sheet!$E$2:$E$3143),
Master_Mapping_Sheet!$H$2:$H$3143=L$1,
Master_Mapping_Sheet!$B$2:$B$3143=$A7))/sum(filter(
Master_M"&amp;"apping_Sheet!$E$2:$E$3143, ISNUMBER(
Master_Mapping_Sheet!$E$2:$E$3143),
Master_Mapping_Sheet!$B$2:$B$3143=$A7)))"),0.0)</f>
        <v>0</v>
      </c>
      <c r="M7" s="34">
        <f>IFERROR(__xludf.DUMMYFUNCTION("IF(ISNA(sum(filter(
Master_Mapping_Sheet!$E$2:$E$3143, ISNUMBER(
Master_Mapping_Sheet!$E$2:$E$3143),
Master_Mapping_Sheet!$H$2:$H$3143=M$1,
Master_Mapping_Sheet!$B$2:$B$3143=$A7))/sum(filter(
Master_Mapping_Sheet!$E$2:$E$3143, ISNUMBER(
Master_Mapping_She"&amp;"et!$E$2:$E$3143),
Master_Mapping_Sheet!$B$2:$B$3143=$A7))), 0, sum(filter(
Master_Mapping_Sheet!$E$2:$E$3143, ISNUMBER(
Master_Mapping_Sheet!$E$2:$E$3143),
Master_Mapping_Sheet!$H$2:$H$3143=M$1,
Master_Mapping_Sheet!$B$2:$B$3143=$A7))/sum(filter(
Master_M"&amp;"apping_Sheet!$E$2:$E$3143, ISNUMBER(
Master_Mapping_Sheet!$E$2:$E$3143),
Master_Mapping_Sheet!$B$2:$B$3143=$A7)))"),0.0)</f>
        <v>0</v>
      </c>
      <c r="N7" s="34">
        <f>IFERROR(__xludf.DUMMYFUNCTION("IF(ISNA(sum(filter(
Master_Mapping_Sheet!$E$2:$E$3143, ISNUMBER(
Master_Mapping_Sheet!$E$2:$E$3143),
Master_Mapping_Sheet!$H$2:$H$3143=N$1,
Master_Mapping_Sheet!$B$2:$B$3143=$A7))/sum(filter(
Master_Mapping_Sheet!$E$2:$E$3143, ISNUMBER(
Master_Mapping_She"&amp;"et!$E$2:$E$3143),
Master_Mapping_Sheet!$B$2:$B$3143=$A7))), 0, sum(filter(
Master_Mapping_Sheet!$E$2:$E$3143, ISNUMBER(
Master_Mapping_Sheet!$E$2:$E$3143),
Master_Mapping_Sheet!$H$2:$H$3143=N$1,
Master_Mapping_Sheet!$B$2:$B$3143=$A7))/sum(filter(
Master_M"&amp;"apping_Sheet!$E$2:$E$3143, ISNUMBER(
Master_Mapping_Sheet!$E$2:$E$3143),
Master_Mapping_Sheet!$B$2:$B$3143=$A7)))"),0.0)</f>
        <v>0</v>
      </c>
      <c r="O7" s="34">
        <f>IFERROR(__xludf.DUMMYFUNCTION("IF(ISNA(sum(filter(
Master_Mapping_Sheet!$E$2:$E$3143, ISNUMBER(
Master_Mapping_Sheet!$E$2:$E$3143),
Master_Mapping_Sheet!$H$2:$H$3143=O$1,
Master_Mapping_Sheet!$B$2:$B$3143=$A7))/sum(filter(
Master_Mapping_Sheet!$E$2:$E$3143, ISNUMBER(
Master_Mapping_She"&amp;"et!$E$2:$E$3143),
Master_Mapping_Sheet!$B$2:$B$3143=$A7))), 0, sum(filter(
Master_Mapping_Sheet!$E$2:$E$3143, ISNUMBER(
Master_Mapping_Sheet!$E$2:$E$3143),
Master_Mapping_Sheet!$H$2:$H$3143=O$1,
Master_Mapping_Sheet!$B$2:$B$3143=$A7))/sum(filter(
Master_M"&amp;"apping_Sheet!$E$2:$E$3143, ISNUMBER(
Master_Mapping_Sheet!$E$2:$E$3143),
Master_Mapping_Sheet!$B$2:$B$3143=$A7)))"),0.0)</f>
        <v>0</v>
      </c>
      <c r="P7" s="34">
        <f>IFERROR(__xludf.DUMMYFUNCTION("IF(ISNA(sum(filter(
Master_Mapping_Sheet!$E$2:$E$3143, ISNUMBER(
Master_Mapping_Sheet!$E$2:$E$3143),
Master_Mapping_Sheet!$H$2:$H$3143=P$1,
Master_Mapping_Sheet!$B$2:$B$3143=$A7))/sum(filter(
Master_Mapping_Sheet!$E$2:$E$3143, ISNUMBER(
Master_Mapping_She"&amp;"et!$E$2:$E$3143),
Master_Mapping_Sheet!$B$2:$B$3143=$A7))), 0, sum(filter(
Master_Mapping_Sheet!$E$2:$E$3143, ISNUMBER(
Master_Mapping_Sheet!$E$2:$E$3143),
Master_Mapping_Sheet!$H$2:$H$3143=P$1,
Master_Mapping_Sheet!$B$2:$B$3143=$A7))/sum(filter(
Master_M"&amp;"apping_Sheet!$E$2:$E$3143, ISNUMBER(
Master_Mapping_Sheet!$E$2:$E$3143),
Master_Mapping_Sheet!$B$2:$B$3143=$A7)))"),0.0)</f>
        <v>0</v>
      </c>
      <c r="Q7" s="34">
        <f>IFERROR(__xludf.DUMMYFUNCTION("IF(ISNA(sum(filter(
Master_Mapping_Sheet!$E$2:$E$3143, ISNUMBER(
Master_Mapping_Sheet!$E$2:$E$3143),
Master_Mapping_Sheet!$H$2:$H$3143=Q$1,
Master_Mapping_Sheet!$B$2:$B$3143=$A7))/sum(filter(
Master_Mapping_Sheet!$E$2:$E$3143, ISNUMBER(
Master_Mapping_She"&amp;"et!$E$2:$E$3143),
Master_Mapping_Sheet!$B$2:$B$3143=$A7))), 0, sum(filter(
Master_Mapping_Sheet!$E$2:$E$3143, ISNUMBER(
Master_Mapping_Sheet!$E$2:$E$3143),
Master_Mapping_Sheet!$H$2:$H$3143=Q$1,
Master_Mapping_Sheet!$B$2:$B$3143=$A7))/sum(filter(
Master_M"&amp;"apping_Sheet!$E$2:$E$3143, ISNUMBER(
Master_Mapping_Sheet!$E$2:$E$3143),
Master_Mapping_Sheet!$B$2:$B$3143=$A7)))"),0.0)</f>
        <v>0</v>
      </c>
      <c r="R7" s="34">
        <f>IFERROR(__xludf.DUMMYFUNCTION("IF(ISNA(sum(filter(
Master_Mapping_Sheet!$E$2:$E$3143, ISNUMBER(
Master_Mapping_Sheet!$E$2:$E$3143),
Master_Mapping_Sheet!$H$2:$H$3143=R$1,
Master_Mapping_Sheet!$B$2:$B$3143=$A7))/sum(filter(
Master_Mapping_Sheet!$E$2:$E$3143, ISNUMBER(
Master_Mapping_She"&amp;"et!$E$2:$E$3143),
Master_Mapping_Sheet!$B$2:$B$3143=$A7))), 0, sum(filter(
Master_Mapping_Sheet!$E$2:$E$3143, ISNUMBER(
Master_Mapping_Sheet!$E$2:$E$3143),
Master_Mapping_Sheet!$H$2:$H$3143=R$1,
Master_Mapping_Sheet!$B$2:$B$3143=$A7))/sum(filter(
Master_M"&amp;"apping_Sheet!$E$2:$E$3143, ISNUMBER(
Master_Mapping_Sheet!$E$2:$E$3143),
Master_Mapping_Sheet!$B$2:$B$3143=$A7)))"),0.0)</f>
        <v>0</v>
      </c>
      <c r="S7" s="34">
        <f>IFERROR(__xludf.DUMMYFUNCTION("IF(ISNA(sum(filter(
Master_Mapping_Sheet!$E$2:$E$3143, ISNUMBER(
Master_Mapping_Sheet!$E$2:$E$3143),
Master_Mapping_Sheet!$H$2:$H$3143=S$1,
Master_Mapping_Sheet!$B$2:$B$3143=$A7))/sum(filter(
Master_Mapping_Sheet!$E$2:$E$3143, ISNUMBER(
Master_Mapping_She"&amp;"et!$E$2:$E$3143),
Master_Mapping_Sheet!$B$2:$B$3143=$A7))), 0, sum(filter(
Master_Mapping_Sheet!$E$2:$E$3143, ISNUMBER(
Master_Mapping_Sheet!$E$2:$E$3143),
Master_Mapping_Sheet!$H$2:$H$3143=S$1,
Master_Mapping_Sheet!$B$2:$B$3143=$A7))/sum(filter(
Master_M"&amp;"apping_Sheet!$E$2:$E$3143, ISNUMBER(
Master_Mapping_Sheet!$E$2:$E$3143),
Master_Mapping_Sheet!$B$2:$B$3143=$A7)))"),0.0)</f>
        <v>0</v>
      </c>
      <c r="T7" s="34">
        <f>IFERROR(__xludf.DUMMYFUNCTION("IF(ISNA(sum(filter(
Master_Mapping_Sheet!$E$2:$E$3143, ISNUMBER(
Master_Mapping_Sheet!$E$2:$E$3143),
Master_Mapping_Sheet!$H$2:$H$3143=T$1,
Master_Mapping_Sheet!$B$2:$B$3143=$A7))/sum(filter(
Master_Mapping_Sheet!$E$2:$E$3143, ISNUMBER(
Master_Mapping_She"&amp;"et!$E$2:$E$3143),
Master_Mapping_Sheet!$B$2:$B$3143=$A7))), 0, sum(filter(
Master_Mapping_Sheet!$E$2:$E$3143, ISNUMBER(
Master_Mapping_Sheet!$E$2:$E$3143),
Master_Mapping_Sheet!$H$2:$H$3143=T$1,
Master_Mapping_Sheet!$B$2:$B$3143=$A7))/sum(filter(
Master_M"&amp;"apping_Sheet!$E$2:$E$3143, ISNUMBER(
Master_Mapping_Sheet!$E$2:$E$3143),
Master_Mapping_Sheet!$B$2:$B$3143=$A7)))"),0.0)</f>
        <v>0</v>
      </c>
      <c r="U7" s="34">
        <f>IFERROR(__xludf.DUMMYFUNCTION("IF(ISNA(sum(filter(
Master_Mapping_Sheet!$E$2:$E$3143, ISNUMBER(
Master_Mapping_Sheet!$E$2:$E$3143),
Master_Mapping_Sheet!$H$2:$H$3143=U$1,
Master_Mapping_Sheet!$B$2:$B$3143=$A7))/sum(filter(
Master_Mapping_Sheet!$E$2:$E$3143, ISNUMBER(
Master_Mapping_She"&amp;"et!$E$2:$E$3143),
Master_Mapping_Sheet!$B$2:$B$3143=$A7))), 0, sum(filter(
Master_Mapping_Sheet!$E$2:$E$3143, ISNUMBER(
Master_Mapping_Sheet!$E$2:$E$3143),
Master_Mapping_Sheet!$H$2:$H$3143=U$1,
Master_Mapping_Sheet!$B$2:$B$3143=$A7))/sum(filter(
Master_M"&amp;"apping_Sheet!$E$2:$E$3143, ISNUMBER(
Master_Mapping_Sheet!$E$2:$E$3143),
Master_Mapping_Sheet!$B$2:$B$3143=$A7)))"),0.0)</f>
        <v>0</v>
      </c>
      <c r="V7" s="34">
        <f>IFERROR(__xludf.DUMMYFUNCTION("IF(ISNA(sum(filter(
Master_Mapping_Sheet!$E$2:$E$3143, ISNUMBER(
Master_Mapping_Sheet!$E$2:$E$3143),
Master_Mapping_Sheet!$H$2:$H$3143=V$1,
Master_Mapping_Sheet!$B$2:$B$3143=$A7))/sum(filter(
Master_Mapping_Sheet!$E$2:$E$3143, ISNUMBER(
Master_Mapping_She"&amp;"et!$E$2:$E$3143),
Master_Mapping_Sheet!$B$2:$B$3143=$A7))), 0, sum(filter(
Master_Mapping_Sheet!$E$2:$E$3143, ISNUMBER(
Master_Mapping_Sheet!$E$2:$E$3143),
Master_Mapping_Sheet!$H$2:$H$3143=V$1,
Master_Mapping_Sheet!$B$2:$B$3143=$A7))/sum(filter(
Master_M"&amp;"apping_Sheet!$E$2:$E$3143, ISNUMBER(
Master_Mapping_Sheet!$E$2:$E$3143),
Master_Mapping_Sheet!$B$2:$B$3143=$A7)))"),0.0)</f>
        <v>0</v>
      </c>
      <c r="W7" s="34">
        <f>IFERROR(__xludf.DUMMYFUNCTION("IF(ISNA(sum(filter(
Master_Mapping_Sheet!$E$2:$E$3143, ISNUMBER(
Master_Mapping_Sheet!$E$2:$E$3143),
Master_Mapping_Sheet!$H$2:$H$3143=W$1,
Master_Mapping_Sheet!$B$2:$B$3143=$A7))/sum(filter(
Master_Mapping_Sheet!$E$2:$E$3143, ISNUMBER(
Master_Mapping_She"&amp;"et!$E$2:$E$3143),
Master_Mapping_Sheet!$B$2:$B$3143=$A7))), 0, sum(filter(
Master_Mapping_Sheet!$E$2:$E$3143, ISNUMBER(
Master_Mapping_Sheet!$E$2:$E$3143),
Master_Mapping_Sheet!$H$2:$H$3143=W$1,
Master_Mapping_Sheet!$B$2:$B$3143=$A7))/sum(filter(
Master_M"&amp;"apping_Sheet!$E$2:$E$3143, ISNUMBER(
Master_Mapping_Sheet!$E$2:$E$3143),
Master_Mapping_Sheet!$B$2:$B$3143=$A7)))"),0.0)</f>
        <v>0</v>
      </c>
      <c r="X7" s="34">
        <f>IFERROR(__xludf.DUMMYFUNCTION("IF(ISNA(sum(filter(
Master_Mapping_Sheet!$E$2:$E$3143, ISNUMBER(
Master_Mapping_Sheet!$E$2:$E$3143),
Master_Mapping_Sheet!$H$2:$H$3143=X$1,
Master_Mapping_Sheet!$B$2:$B$3143=$A7))/sum(filter(
Master_Mapping_Sheet!$E$2:$E$3143, ISNUMBER(
Master_Mapping_She"&amp;"et!$E$2:$E$3143),
Master_Mapping_Sheet!$B$2:$B$3143=$A7))), 0, sum(filter(
Master_Mapping_Sheet!$E$2:$E$3143, ISNUMBER(
Master_Mapping_Sheet!$E$2:$E$3143),
Master_Mapping_Sheet!$H$2:$H$3143=X$1,
Master_Mapping_Sheet!$B$2:$B$3143=$A7))/sum(filter(
Master_M"&amp;"apping_Sheet!$E$2:$E$3143, ISNUMBER(
Master_Mapping_Sheet!$E$2:$E$3143),
Master_Mapping_Sheet!$B$2:$B$3143=$A7)))"),0.0)</f>
        <v>0</v>
      </c>
      <c r="Y7" s="34">
        <f>IFERROR(__xludf.DUMMYFUNCTION("IF(ISNA(sum(filter(
Master_Mapping_Sheet!$E$2:$E$3143, ISNUMBER(
Master_Mapping_Sheet!$E$2:$E$3143),
Master_Mapping_Sheet!$H$2:$H$3143=Y$1,
Master_Mapping_Sheet!$B$2:$B$3143=$A7))/sum(filter(
Master_Mapping_Sheet!$E$2:$E$3143, ISNUMBER(
Master_Mapping_She"&amp;"et!$E$2:$E$3143),
Master_Mapping_Sheet!$B$2:$B$3143=$A7))), 0, sum(filter(
Master_Mapping_Sheet!$E$2:$E$3143, ISNUMBER(
Master_Mapping_Sheet!$E$2:$E$3143),
Master_Mapping_Sheet!$H$2:$H$3143=Y$1,
Master_Mapping_Sheet!$B$2:$B$3143=$A7))/sum(filter(
Master_M"&amp;"apping_Sheet!$E$2:$E$3143, ISNUMBER(
Master_Mapping_Sheet!$E$2:$E$3143),
Master_Mapping_Sheet!$B$2:$B$3143=$A7)))"),0.0)</f>
        <v>0</v>
      </c>
      <c r="Z7" s="34">
        <f>IFERROR(__xludf.DUMMYFUNCTION("IF(ISNA(sum(filter(
Master_Mapping_Sheet!$E$2:$E$3143, ISNUMBER(
Master_Mapping_Sheet!$E$2:$E$3143),
Master_Mapping_Sheet!$H$2:$H$3143=Z$1,
Master_Mapping_Sheet!$B$2:$B$3143=$A7))/sum(filter(
Master_Mapping_Sheet!$E$2:$E$3143, ISNUMBER(
Master_Mapping_She"&amp;"et!$E$2:$E$3143),
Master_Mapping_Sheet!$B$2:$B$3143=$A7))), 0, sum(filter(
Master_Mapping_Sheet!$E$2:$E$3143, ISNUMBER(
Master_Mapping_Sheet!$E$2:$E$3143),
Master_Mapping_Sheet!$H$2:$H$3143=Z$1,
Master_Mapping_Sheet!$B$2:$B$3143=$A7))/sum(filter(
Master_M"&amp;"apping_Sheet!$E$2:$E$3143, ISNUMBER(
Master_Mapping_Sheet!$E$2:$E$3143),
Master_Mapping_Sheet!$B$2:$B$3143=$A7)))"),1.0)</f>
        <v>1</v>
      </c>
      <c r="AA7" s="34">
        <f>IFERROR(__xludf.DUMMYFUNCTION("IF(ISNA(sum(filter(
Master_Mapping_Sheet!$E$2:$E$3143, ISNUMBER(
Master_Mapping_Sheet!$E$2:$E$3143),
Master_Mapping_Sheet!$H$2:$H$3143=AA$1,
Master_Mapping_Sheet!$B$2:$B$3143=$A7))/sum(filter(
Master_Mapping_Sheet!$E$2:$E$3143, ISNUMBER(
Master_Mapping_Sh"&amp;"eet!$E$2:$E$3143),
Master_Mapping_Sheet!$B$2:$B$3143=$A7))), 0, sum(filter(
Master_Mapping_Sheet!$E$2:$E$3143, ISNUMBER(
Master_Mapping_Sheet!$E$2:$E$3143),
Master_Mapping_Sheet!$H$2:$H$3143=AA$1,
Master_Mapping_Sheet!$B$2:$B$3143=$A7))/sum(filter(
Master"&amp;"_Mapping_Sheet!$E$2:$E$3143, ISNUMBER(
Master_Mapping_Sheet!$E$2:$E$3143),
Master_Mapping_Sheet!$B$2:$B$3143=$A7)))"),0.0)</f>
        <v>0</v>
      </c>
    </row>
    <row r="8" ht="15.75" customHeight="1">
      <c r="A8" s="34" t="s">
        <v>395</v>
      </c>
      <c r="B8" s="34" t="s">
        <v>2250</v>
      </c>
      <c r="C8" s="34">
        <f>IFERROR(__xludf.DUMMYFUNCTION("IF(ISNA(sum(filter(
Master_Mapping_Sheet!$E$2:$E$3143, ISNUMBER(
Master_Mapping_Sheet!$E$2:$E$3143),
Master_Mapping_Sheet!$H$2:$H$3143=C$1,
Master_Mapping_Sheet!$B$2:$B$3143=$A8))/sum(filter(
Master_Mapping_Sheet!$E$2:$E$3143, ISNUMBER(
Master_Mapping_She"&amp;"et!$E$2:$E$3143),
Master_Mapping_Sheet!$B$2:$B$3143=$A8))), 0, sum(filter(
Master_Mapping_Sheet!$E$2:$E$3143, ISNUMBER(
Master_Mapping_Sheet!$E$2:$E$3143),
Master_Mapping_Sheet!$H$2:$H$3143=C$1,
Master_Mapping_Sheet!$B$2:$B$3143=$A8))/sum(filter(
Master_M"&amp;"apping_Sheet!$E$2:$E$3143, ISNUMBER(
Master_Mapping_Sheet!$E$2:$E$3143),
Master_Mapping_Sheet!$B$2:$B$3143=$A8)))"),0.0)</f>
        <v>0</v>
      </c>
      <c r="D8" s="32">
        <f>IFERROR(__xludf.DUMMYFUNCTION("IF(ISNA(sum(filter(
Master_Mapping_Sheet!$E$2:$E$3143, ISNUMBER(
Master_Mapping_Sheet!$E$2:$E$3143),
Master_Mapping_Sheet!$H$2:$H$3143=D$1,
Master_Mapping_Sheet!$B$2:$B$3143=$A8))/sum(filter(
Master_Mapping_Sheet!$E$2:$E$3143, ISNUMBER(
Master_Mapping_She"&amp;"et!$E$2:$E$3143),
Master_Mapping_Sheet!$B$2:$B$3143=$A8))), 0, sum(filter(
Master_Mapping_Sheet!$E$2:$E$3143, ISNUMBER(
Master_Mapping_Sheet!$E$2:$E$3143),
Master_Mapping_Sheet!$H$2:$H$3143=D$1,
Master_Mapping_Sheet!$B$2:$B$3143=$A8))/sum(filter(
Master_M"&amp;"apping_Sheet!$E$2:$E$3143, ISNUMBER(
Master_Mapping_Sheet!$E$2:$E$3143),
Master_Mapping_Sheet!$B$2:$B$3143=$A8)))"),0.0)</f>
        <v>0</v>
      </c>
      <c r="E8" s="34">
        <f>IFERROR(__xludf.DUMMYFUNCTION("IF(ISNA(sum(filter(
Master_Mapping_Sheet!$E$2:$E$3143, ISNUMBER(
Master_Mapping_Sheet!$E$2:$E$3143),
Master_Mapping_Sheet!$H$2:$H$3143=E$1,
Master_Mapping_Sheet!$B$2:$B$3143=$A8))/sum(filter(
Master_Mapping_Sheet!$E$2:$E$3143, ISNUMBER(
Master_Mapping_She"&amp;"et!$E$2:$E$3143),
Master_Mapping_Sheet!$B$2:$B$3143=$A8))), 0, sum(filter(
Master_Mapping_Sheet!$E$2:$E$3143, ISNUMBER(
Master_Mapping_Sheet!$E$2:$E$3143),
Master_Mapping_Sheet!$H$2:$H$3143=E$1,
Master_Mapping_Sheet!$B$2:$B$3143=$A8))/sum(filter(
Master_M"&amp;"apping_Sheet!$E$2:$E$3143, ISNUMBER(
Master_Mapping_Sheet!$E$2:$E$3143),
Master_Mapping_Sheet!$B$2:$B$3143=$A8)))"),0.0)</f>
        <v>0</v>
      </c>
      <c r="F8" s="34">
        <f>IFERROR(__xludf.DUMMYFUNCTION("IF(ISNA(sum(filter(
Master_Mapping_Sheet!$E$2:$E$3143, ISNUMBER(
Master_Mapping_Sheet!$E$2:$E$3143),
Master_Mapping_Sheet!$H$2:$H$3143=F$1,
Master_Mapping_Sheet!$B$2:$B$3143=$A8))/sum(filter(
Master_Mapping_Sheet!$E$2:$E$3143, ISNUMBER(
Master_Mapping_She"&amp;"et!$E$2:$E$3143),
Master_Mapping_Sheet!$B$2:$B$3143=$A8))), 0, sum(filter(
Master_Mapping_Sheet!$E$2:$E$3143, ISNUMBER(
Master_Mapping_Sheet!$E$2:$E$3143),
Master_Mapping_Sheet!$H$2:$H$3143=F$1,
Master_Mapping_Sheet!$B$2:$B$3143=$A8))/sum(filter(
Master_M"&amp;"apping_Sheet!$E$2:$E$3143, ISNUMBER(
Master_Mapping_Sheet!$E$2:$E$3143),
Master_Mapping_Sheet!$B$2:$B$3143=$A8)))"),0.0)</f>
        <v>0</v>
      </c>
      <c r="G8" s="34">
        <f>IFERROR(__xludf.DUMMYFUNCTION("IF(ISNA(sum(filter(
Master_Mapping_Sheet!$E$2:$E$3143, ISNUMBER(
Master_Mapping_Sheet!$E$2:$E$3143),
Master_Mapping_Sheet!$H$2:$H$3143=G$1,
Master_Mapping_Sheet!$B$2:$B$3143=$A8))/sum(filter(
Master_Mapping_Sheet!$E$2:$E$3143, ISNUMBER(
Master_Mapping_She"&amp;"et!$E$2:$E$3143),
Master_Mapping_Sheet!$B$2:$B$3143=$A8))), 0, sum(filter(
Master_Mapping_Sheet!$E$2:$E$3143, ISNUMBER(
Master_Mapping_Sheet!$E$2:$E$3143),
Master_Mapping_Sheet!$H$2:$H$3143=G$1,
Master_Mapping_Sheet!$B$2:$B$3143=$A8))/sum(filter(
Master_M"&amp;"apping_Sheet!$E$2:$E$3143, ISNUMBER(
Master_Mapping_Sheet!$E$2:$E$3143),
Master_Mapping_Sheet!$B$2:$B$3143=$A8)))"),0.0)</f>
        <v>0</v>
      </c>
      <c r="H8" s="34">
        <f>IFERROR(__xludf.DUMMYFUNCTION("IF(ISNA(sum(filter(
Master_Mapping_Sheet!$E$2:$E$3143, ISNUMBER(
Master_Mapping_Sheet!$E$2:$E$3143),
Master_Mapping_Sheet!$H$2:$H$3143=H$1,
Master_Mapping_Sheet!$B$2:$B$3143=$A8))/sum(filter(
Master_Mapping_Sheet!$E$2:$E$3143, ISNUMBER(
Master_Mapping_She"&amp;"et!$E$2:$E$3143),
Master_Mapping_Sheet!$B$2:$B$3143=$A8))), 0, sum(filter(
Master_Mapping_Sheet!$E$2:$E$3143, ISNUMBER(
Master_Mapping_Sheet!$E$2:$E$3143),
Master_Mapping_Sheet!$H$2:$H$3143=H$1,
Master_Mapping_Sheet!$B$2:$B$3143=$A8))/sum(filter(
Master_M"&amp;"apping_Sheet!$E$2:$E$3143, ISNUMBER(
Master_Mapping_Sheet!$E$2:$E$3143),
Master_Mapping_Sheet!$B$2:$B$3143=$A8)))"),0.0)</f>
        <v>0</v>
      </c>
      <c r="I8" s="34">
        <f>IFERROR(__xludf.DUMMYFUNCTION("IF(ISNA(sum(filter(
Master_Mapping_Sheet!$E$2:$E$3143, ISNUMBER(
Master_Mapping_Sheet!$E$2:$E$3143),
Master_Mapping_Sheet!$H$2:$H$3143=I$1,
Master_Mapping_Sheet!$B$2:$B$3143=$A8))/sum(filter(
Master_Mapping_Sheet!$E$2:$E$3143, ISNUMBER(
Master_Mapping_She"&amp;"et!$E$2:$E$3143),
Master_Mapping_Sheet!$B$2:$B$3143=$A8))), 0, sum(filter(
Master_Mapping_Sheet!$E$2:$E$3143, ISNUMBER(
Master_Mapping_Sheet!$E$2:$E$3143),
Master_Mapping_Sheet!$H$2:$H$3143=I$1,
Master_Mapping_Sheet!$B$2:$B$3143=$A8))/sum(filter(
Master_M"&amp;"apping_Sheet!$E$2:$E$3143, ISNUMBER(
Master_Mapping_Sheet!$E$2:$E$3143),
Master_Mapping_Sheet!$B$2:$B$3143=$A8)))"),1.0)</f>
        <v>1</v>
      </c>
      <c r="J8" s="34">
        <f>IFERROR(__xludf.DUMMYFUNCTION("IF(ISNA(sum(filter(
Master_Mapping_Sheet!$E$2:$E$3143, ISNUMBER(
Master_Mapping_Sheet!$E$2:$E$3143),
Master_Mapping_Sheet!$H$2:$H$3143=J$1,
Master_Mapping_Sheet!$B$2:$B$3143=$A8))/sum(filter(
Master_Mapping_Sheet!$E$2:$E$3143, ISNUMBER(
Master_Mapping_She"&amp;"et!$E$2:$E$3143),
Master_Mapping_Sheet!$B$2:$B$3143=$A8))), 0, sum(filter(
Master_Mapping_Sheet!$E$2:$E$3143, ISNUMBER(
Master_Mapping_Sheet!$E$2:$E$3143),
Master_Mapping_Sheet!$H$2:$H$3143=J$1,
Master_Mapping_Sheet!$B$2:$B$3143=$A8))/sum(filter(
Master_M"&amp;"apping_Sheet!$E$2:$E$3143, ISNUMBER(
Master_Mapping_Sheet!$E$2:$E$3143),
Master_Mapping_Sheet!$B$2:$B$3143=$A8)))"),0.0)</f>
        <v>0</v>
      </c>
      <c r="K8" s="34">
        <f>IFERROR(__xludf.DUMMYFUNCTION("IF(ISNA(sum(filter(
Master_Mapping_Sheet!$E$2:$E$3143, ISNUMBER(
Master_Mapping_Sheet!$E$2:$E$3143),
Master_Mapping_Sheet!$H$2:$H$3143=K$1,
Master_Mapping_Sheet!$B$2:$B$3143=$A8))/sum(filter(
Master_Mapping_Sheet!$E$2:$E$3143, ISNUMBER(
Master_Mapping_She"&amp;"et!$E$2:$E$3143),
Master_Mapping_Sheet!$B$2:$B$3143=$A8))), 0, sum(filter(
Master_Mapping_Sheet!$E$2:$E$3143, ISNUMBER(
Master_Mapping_Sheet!$E$2:$E$3143),
Master_Mapping_Sheet!$H$2:$H$3143=K$1,
Master_Mapping_Sheet!$B$2:$B$3143=$A8))/sum(filter(
Master_M"&amp;"apping_Sheet!$E$2:$E$3143, ISNUMBER(
Master_Mapping_Sheet!$E$2:$E$3143),
Master_Mapping_Sheet!$B$2:$B$3143=$A8)))"),0.0)</f>
        <v>0</v>
      </c>
      <c r="L8" s="34">
        <f>IFERROR(__xludf.DUMMYFUNCTION("IF(ISNA(sum(filter(
Master_Mapping_Sheet!$E$2:$E$3143, ISNUMBER(
Master_Mapping_Sheet!$E$2:$E$3143),
Master_Mapping_Sheet!$H$2:$H$3143=L$1,
Master_Mapping_Sheet!$B$2:$B$3143=$A8))/sum(filter(
Master_Mapping_Sheet!$E$2:$E$3143, ISNUMBER(
Master_Mapping_She"&amp;"et!$E$2:$E$3143),
Master_Mapping_Sheet!$B$2:$B$3143=$A8))), 0, sum(filter(
Master_Mapping_Sheet!$E$2:$E$3143, ISNUMBER(
Master_Mapping_Sheet!$E$2:$E$3143),
Master_Mapping_Sheet!$H$2:$H$3143=L$1,
Master_Mapping_Sheet!$B$2:$B$3143=$A8))/sum(filter(
Master_M"&amp;"apping_Sheet!$E$2:$E$3143, ISNUMBER(
Master_Mapping_Sheet!$E$2:$E$3143),
Master_Mapping_Sheet!$B$2:$B$3143=$A8)))"),0.0)</f>
        <v>0</v>
      </c>
      <c r="M8" s="34">
        <f>IFERROR(__xludf.DUMMYFUNCTION("IF(ISNA(sum(filter(
Master_Mapping_Sheet!$E$2:$E$3143, ISNUMBER(
Master_Mapping_Sheet!$E$2:$E$3143),
Master_Mapping_Sheet!$H$2:$H$3143=M$1,
Master_Mapping_Sheet!$B$2:$B$3143=$A8))/sum(filter(
Master_Mapping_Sheet!$E$2:$E$3143, ISNUMBER(
Master_Mapping_She"&amp;"et!$E$2:$E$3143),
Master_Mapping_Sheet!$B$2:$B$3143=$A8))), 0, sum(filter(
Master_Mapping_Sheet!$E$2:$E$3143, ISNUMBER(
Master_Mapping_Sheet!$E$2:$E$3143),
Master_Mapping_Sheet!$H$2:$H$3143=M$1,
Master_Mapping_Sheet!$B$2:$B$3143=$A8))/sum(filter(
Master_M"&amp;"apping_Sheet!$E$2:$E$3143, ISNUMBER(
Master_Mapping_Sheet!$E$2:$E$3143),
Master_Mapping_Sheet!$B$2:$B$3143=$A8)))"),0.0)</f>
        <v>0</v>
      </c>
      <c r="N8" s="34">
        <f>IFERROR(__xludf.DUMMYFUNCTION("IF(ISNA(sum(filter(
Master_Mapping_Sheet!$E$2:$E$3143, ISNUMBER(
Master_Mapping_Sheet!$E$2:$E$3143),
Master_Mapping_Sheet!$H$2:$H$3143=N$1,
Master_Mapping_Sheet!$B$2:$B$3143=$A8))/sum(filter(
Master_Mapping_Sheet!$E$2:$E$3143, ISNUMBER(
Master_Mapping_She"&amp;"et!$E$2:$E$3143),
Master_Mapping_Sheet!$B$2:$B$3143=$A8))), 0, sum(filter(
Master_Mapping_Sheet!$E$2:$E$3143, ISNUMBER(
Master_Mapping_Sheet!$E$2:$E$3143),
Master_Mapping_Sheet!$H$2:$H$3143=N$1,
Master_Mapping_Sheet!$B$2:$B$3143=$A8))/sum(filter(
Master_M"&amp;"apping_Sheet!$E$2:$E$3143, ISNUMBER(
Master_Mapping_Sheet!$E$2:$E$3143),
Master_Mapping_Sheet!$B$2:$B$3143=$A8)))"),0.0)</f>
        <v>0</v>
      </c>
      <c r="O8" s="34">
        <f>IFERROR(__xludf.DUMMYFUNCTION("IF(ISNA(sum(filter(
Master_Mapping_Sheet!$E$2:$E$3143, ISNUMBER(
Master_Mapping_Sheet!$E$2:$E$3143),
Master_Mapping_Sheet!$H$2:$H$3143=O$1,
Master_Mapping_Sheet!$B$2:$B$3143=$A8))/sum(filter(
Master_Mapping_Sheet!$E$2:$E$3143, ISNUMBER(
Master_Mapping_She"&amp;"et!$E$2:$E$3143),
Master_Mapping_Sheet!$B$2:$B$3143=$A8))), 0, sum(filter(
Master_Mapping_Sheet!$E$2:$E$3143, ISNUMBER(
Master_Mapping_Sheet!$E$2:$E$3143),
Master_Mapping_Sheet!$H$2:$H$3143=O$1,
Master_Mapping_Sheet!$B$2:$B$3143=$A8))/sum(filter(
Master_M"&amp;"apping_Sheet!$E$2:$E$3143, ISNUMBER(
Master_Mapping_Sheet!$E$2:$E$3143),
Master_Mapping_Sheet!$B$2:$B$3143=$A8)))"),0.0)</f>
        <v>0</v>
      </c>
      <c r="P8" s="34">
        <f>IFERROR(__xludf.DUMMYFUNCTION("IF(ISNA(sum(filter(
Master_Mapping_Sheet!$E$2:$E$3143, ISNUMBER(
Master_Mapping_Sheet!$E$2:$E$3143),
Master_Mapping_Sheet!$H$2:$H$3143=P$1,
Master_Mapping_Sheet!$B$2:$B$3143=$A8))/sum(filter(
Master_Mapping_Sheet!$E$2:$E$3143, ISNUMBER(
Master_Mapping_She"&amp;"et!$E$2:$E$3143),
Master_Mapping_Sheet!$B$2:$B$3143=$A8))), 0, sum(filter(
Master_Mapping_Sheet!$E$2:$E$3143, ISNUMBER(
Master_Mapping_Sheet!$E$2:$E$3143),
Master_Mapping_Sheet!$H$2:$H$3143=P$1,
Master_Mapping_Sheet!$B$2:$B$3143=$A8))/sum(filter(
Master_M"&amp;"apping_Sheet!$E$2:$E$3143, ISNUMBER(
Master_Mapping_Sheet!$E$2:$E$3143),
Master_Mapping_Sheet!$B$2:$B$3143=$A8)))"),0.0)</f>
        <v>0</v>
      </c>
      <c r="Q8" s="34">
        <f>IFERROR(__xludf.DUMMYFUNCTION("IF(ISNA(sum(filter(
Master_Mapping_Sheet!$E$2:$E$3143, ISNUMBER(
Master_Mapping_Sheet!$E$2:$E$3143),
Master_Mapping_Sheet!$H$2:$H$3143=Q$1,
Master_Mapping_Sheet!$B$2:$B$3143=$A8))/sum(filter(
Master_Mapping_Sheet!$E$2:$E$3143, ISNUMBER(
Master_Mapping_She"&amp;"et!$E$2:$E$3143),
Master_Mapping_Sheet!$B$2:$B$3143=$A8))), 0, sum(filter(
Master_Mapping_Sheet!$E$2:$E$3143, ISNUMBER(
Master_Mapping_Sheet!$E$2:$E$3143),
Master_Mapping_Sheet!$H$2:$H$3143=Q$1,
Master_Mapping_Sheet!$B$2:$B$3143=$A8))/sum(filter(
Master_M"&amp;"apping_Sheet!$E$2:$E$3143, ISNUMBER(
Master_Mapping_Sheet!$E$2:$E$3143),
Master_Mapping_Sheet!$B$2:$B$3143=$A8)))"),0.0)</f>
        <v>0</v>
      </c>
      <c r="R8" s="34">
        <f>IFERROR(__xludf.DUMMYFUNCTION("IF(ISNA(sum(filter(
Master_Mapping_Sheet!$E$2:$E$3143, ISNUMBER(
Master_Mapping_Sheet!$E$2:$E$3143),
Master_Mapping_Sheet!$H$2:$H$3143=R$1,
Master_Mapping_Sheet!$B$2:$B$3143=$A8))/sum(filter(
Master_Mapping_Sheet!$E$2:$E$3143, ISNUMBER(
Master_Mapping_She"&amp;"et!$E$2:$E$3143),
Master_Mapping_Sheet!$B$2:$B$3143=$A8))), 0, sum(filter(
Master_Mapping_Sheet!$E$2:$E$3143, ISNUMBER(
Master_Mapping_Sheet!$E$2:$E$3143),
Master_Mapping_Sheet!$H$2:$H$3143=R$1,
Master_Mapping_Sheet!$B$2:$B$3143=$A8))/sum(filter(
Master_M"&amp;"apping_Sheet!$E$2:$E$3143, ISNUMBER(
Master_Mapping_Sheet!$E$2:$E$3143),
Master_Mapping_Sheet!$B$2:$B$3143=$A8)))"),0.0)</f>
        <v>0</v>
      </c>
      <c r="S8" s="34">
        <f>IFERROR(__xludf.DUMMYFUNCTION("IF(ISNA(sum(filter(
Master_Mapping_Sheet!$E$2:$E$3143, ISNUMBER(
Master_Mapping_Sheet!$E$2:$E$3143),
Master_Mapping_Sheet!$H$2:$H$3143=S$1,
Master_Mapping_Sheet!$B$2:$B$3143=$A8))/sum(filter(
Master_Mapping_Sheet!$E$2:$E$3143, ISNUMBER(
Master_Mapping_She"&amp;"et!$E$2:$E$3143),
Master_Mapping_Sheet!$B$2:$B$3143=$A8))), 0, sum(filter(
Master_Mapping_Sheet!$E$2:$E$3143, ISNUMBER(
Master_Mapping_Sheet!$E$2:$E$3143),
Master_Mapping_Sheet!$H$2:$H$3143=S$1,
Master_Mapping_Sheet!$B$2:$B$3143=$A8))/sum(filter(
Master_M"&amp;"apping_Sheet!$E$2:$E$3143, ISNUMBER(
Master_Mapping_Sheet!$E$2:$E$3143),
Master_Mapping_Sheet!$B$2:$B$3143=$A8)))"),0.0)</f>
        <v>0</v>
      </c>
      <c r="T8" s="34">
        <f>IFERROR(__xludf.DUMMYFUNCTION("IF(ISNA(sum(filter(
Master_Mapping_Sheet!$E$2:$E$3143, ISNUMBER(
Master_Mapping_Sheet!$E$2:$E$3143),
Master_Mapping_Sheet!$H$2:$H$3143=T$1,
Master_Mapping_Sheet!$B$2:$B$3143=$A8))/sum(filter(
Master_Mapping_Sheet!$E$2:$E$3143, ISNUMBER(
Master_Mapping_She"&amp;"et!$E$2:$E$3143),
Master_Mapping_Sheet!$B$2:$B$3143=$A8))), 0, sum(filter(
Master_Mapping_Sheet!$E$2:$E$3143, ISNUMBER(
Master_Mapping_Sheet!$E$2:$E$3143),
Master_Mapping_Sheet!$H$2:$H$3143=T$1,
Master_Mapping_Sheet!$B$2:$B$3143=$A8))/sum(filter(
Master_M"&amp;"apping_Sheet!$E$2:$E$3143, ISNUMBER(
Master_Mapping_Sheet!$E$2:$E$3143),
Master_Mapping_Sheet!$B$2:$B$3143=$A8)))"),0.0)</f>
        <v>0</v>
      </c>
      <c r="U8" s="34">
        <f>IFERROR(__xludf.DUMMYFUNCTION("IF(ISNA(sum(filter(
Master_Mapping_Sheet!$E$2:$E$3143, ISNUMBER(
Master_Mapping_Sheet!$E$2:$E$3143),
Master_Mapping_Sheet!$H$2:$H$3143=U$1,
Master_Mapping_Sheet!$B$2:$B$3143=$A8))/sum(filter(
Master_Mapping_Sheet!$E$2:$E$3143, ISNUMBER(
Master_Mapping_She"&amp;"et!$E$2:$E$3143),
Master_Mapping_Sheet!$B$2:$B$3143=$A8))), 0, sum(filter(
Master_Mapping_Sheet!$E$2:$E$3143, ISNUMBER(
Master_Mapping_Sheet!$E$2:$E$3143),
Master_Mapping_Sheet!$H$2:$H$3143=U$1,
Master_Mapping_Sheet!$B$2:$B$3143=$A8))/sum(filter(
Master_M"&amp;"apping_Sheet!$E$2:$E$3143, ISNUMBER(
Master_Mapping_Sheet!$E$2:$E$3143),
Master_Mapping_Sheet!$B$2:$B$3143=$A8)))"),0.0)</f>
        <v>0</v>
      </c>
      <c r="V8" s="34">
        <f>IFERROR(__xludf.DUMMYFUNCTION("IF(ISNA(sum(filter(
Master_Mapping_Sheet!$E$2:$E$3143, ISNUMBER(
Master_Mapping_Sheet!$E$2:$E$3143),
Master_Mapping_Sheet!$H$2:$H$3143=V$1,
Master_Mapping_Sheet!$B$2:$B$3143=$A8))/sum(filter(
Master_Mapping_Sheet!$E$2:$E$3143, ISNUMBER(
Master_Mapping_She"&amp;"et!$E$2:$E$3143),
Master_Mapping_Sheet!$B$2:$B$3143=$A8))), 0, sum(filter(
Master_Mapping_Sheet!$E$2:$E$3143, ISNUMBER(
Master_Mapping_Sheet!$E$2:$E$3143),
Master_Mapping_Sheet!$H$2:$H$3143=V$1,
Master_Mapping_Sheet!$B$2:$B$3143=$A8))/sum(filter(
Master_M"&amp;"apping_Sheet!$E$2:$E$3143, ISNUMBER(
Master_Mapping_Sheet!$E$2:$E$3143),
Master_Mapping_Sheet!$B$2:$B$3143=$A8)))"),0.0)</f>
        <v>0</v>
      </c>
      <c r="W8" s="34">
        <f>IFERROR(__xludf.DUMMYFUNCTION("IF(ISNA(sum(filter(
Master_Mapping_Sheet!$E$2:$E$3143, ISNUMBER(
Master_Mapping_Sheet!$E$2:$E$3143),
Master_Mapping_Sheet!$H$2:$H$3143=W$1,
Master_Mapping_Sheet!$B$2:$B$3143=$A8))/sum(filter(
Master_Mapping_Sheet!$E$2:$E$3143, ISNUMBER(
Master_Mapping_She"&amp;"et!$E$2:$E$3143),
Master_Mapping_Sheet!$B$2:$B$3143=$A8))), 0, sum(filter(
Master_Mapping_Sheet!$E$2:$E$3143, ISNUMBER(
Master_Mapping_Sheet!$E$2:$E$3143),
Master_Mapping_Sheet!$H$2:$H$3143=W$1,
Master_Mapping_Sheet!$B$2:$B$3143=$A8))/sum(filter(
Master_M"&amp;"apping_Sheet!$E$2:$E$3143, ISNUMBER(
Master_Mapping_Sheet!$E$2:$E$3143),
Master_Mapping_Sheet!$B$2:$B$3143=$A8)))"),0.0)</f>
        <v>0</v>
      </c>
      <c r="X8" s="34">
        <f>IFERROR(__xludf.DUMMYFUNCTION("IF(ISNA(sum(filter(
Master_Mapping_Sheet!$E$2:$E$3143, ISNUMBER(
Master_Mapping_Sheet!$E$2:$E$3143),
Master_Mapping_Sheet!$H$2:$H$3143=X$1,
Master_Mapping_Sheet!$B$2:$B$3143=$A8))/sum(filter(
Master_Mapping_Sheet!$E$2:$E$3143, ISNUMBER(
Master_Mapping_She"&amp;"et!$E$2:$E$3143),
Master_Mapping_Sheet!$B$2:$B$3143=$A8))), 0, sum(filter(
Master_Mapping_Sheet!$E$2:$E$3143, ISNUMBER(
Master_Mapping_Sheet!$E$2:$E$3143),
Master_Mapping_Sheet!$H$2:$H$3143=X$1,
Master_Mapping_Sheet!$B$2:$B$3143=$A8))/sum(filter(
Master_M"&amp;"apping_Sheet!$E$2:$E$3143, ISNUMBER(
Master_Mapping_Sheet!$E$2:$E$3143),
Master_Mapping_Sheet!$B$2:$B$3143=$A8)))"),0.0)</f>
        <v>0</v>
      </c>
      <c r="Y8" s="34">
        <f>IFERROR(__xludf.DUMMYFUNCTION("IF(ISNA(sum(filter(
Master_Mapping_Sheet!$E$2:$E$3143, ISNUMBER(
Master_Mapping_Sheet!$E$2:$E$3143),
Master_Mapping_Sheet!$H$2:$H$3143=Y$1,
Master_Mapping_Sheet!$B$2:$B$3143=$A8))/sum(filter(
Master_Mapping_Sheet!$E$2:$E$3143, ISNUMBER(
Master_Mapping_She"&amp;"et!$E$2:$E$3143),
Master_Mapping_Sheet!$B$2:$B$3143=$A8))), 0, sum(filter(
Master_Mapping_Sheet!$E$2:$E$3143, ISNUMBER(
Master_Mapping_Sheet!$E$2:$E$3143),
Master_Mapping_Sheet!$H$2:$H$3143=Y$1,
Master_Mapping_Sheet!$B$2:$B$3143=$A8))/sum(filter(
Master_M"&amp;"apping_Sheet!$E$2:$E$3143, ISNUMBER(
Master_Mapping_Sheet!$E$2:$E$3143),
Master_Mapping_Sheet!$B$2:$B$3143=$A8)))"),0.0)</f>
        <v>0</v>
      </c>
      <c r="Z8" s="34">
        <f>IFERROR(__xludf.DUMMYFUNCTION("IF(ISNA(sum(filter(
Master_Mapping_Sheet!$E$2:$E$3143, ISNUMBER(
Master_Mapping_Sheet!$E$2:$E$3143),
Master_Mapping_Sheet!$H$2:$H$3143=Z$1,
Master_Mapping_Sheet!$B$2:$B$3143=$A8))/sum(filter(
Master_Mapping_Sheet!$E$2:$E$3143, ISNUMBER(
Master_Mapping_She"&amp;"et!$E$2:$E$3143),
Master_Mapping_Sheet!$B$2:$B$3143=$A8))), 0, sum(filter(
Master_Mapping_Sheet!$E$2:$E$3143, ISNUMBER(
Master_Mapping_Sheet!$E$2:$E$3143),
Master_Mapping_Sheet!$H$2:$H$3143=Z$1,
Master_Mapping_Sheet!$B$2:$B$3143=$A8))/sum(filter(
Master_M"&amp;"apping_Sheet!$E$2:$E$3143, ISNUMBER(
Master_Mapping_Sheet!$E$2:$E$3143),
Master_Mapping_Sheet!$B$2:$B$3143=$A8)))"),0.0)</f>
        <v>0</v>
      </c>
      <c r="AA8" s="34">
        <f>IFERROR(__xludf.DUMMYFUNCTION("IF(ISNA(sum(filter(
Master_Mapping_Sheet!$E$2:$E$3143, ISNUMBER(
Master_Mapping_Sheet!$E$2:$E$3143),
Master_Mapping_Sheet!$H$2:$H$3143=AA$1,
Master_Mapping_Sheet!$B$2:$B$3143=$A8))/sum(filter(
Master_Mapping_Sheet!$E$2:$E$3143, ISNUMBER(
Master_Mapping_Sh"&amp;"eet!$E$2:$E$3143),
Master_Mapping_Sheet!$B$2:$B$3143=$A8))), 0, sum(filter(
Master_Mapping_Sheet!$E$2:$E$3143, ISNUMBER(
Master_Mapping_Sheet!$E$2:$E$3143),
Master_Mapping_Sheet!$H$2:$H$3143=AA$1,
Master_Mapping_Sheet!$B$2:$B$3143=$A8))/sum(filter(
Master"&amp;"_Mapping_Sheet!$E$2:$E$3143, ISNUMBER(
Master_Mapping_Sheet!$E$2:$E$3143),
Master_Mapping_Sheet!$B$2:$B$3143=$A8)))"),0.0)</f>
        <v>0</v>
      </c>
    </row>
    <row r="9" ht="15.75" customHeight="1">
      <c r="A9" s="34" t="s">
        <v>405</v>
      </c>
      <c r="B9" s="34" t="s">
        <v>2259</v>
      </c>
      <c r="C9" s="34">
        <f>IFERROR(__xludf.DUMMYFUNCTION("IF(ISNA(sum(filter(
Master_Mapping_Sheet!$E$2:$E$3143, ISNUMBER(
Master_Mapping_Sheet!$E$2:$E$3143),
Master_Mapping_Sheet!$H$2:$H$3143=C$1,
Master_Mapping_Sheet!$B$2:$B$3143=$A9))/sum(filter(
Master_Mapping_Sheet!$E$2:$E$3143, ISNUMBER(
Master_Mapping_She"&amp;"et!$E$2:$E$3143),
Master_Mapping_Sheet!$B$2:$B$3143=$A9))), 0, sum(filter(
Master_Mapping_Sheet!$E$2:$E$3143, ISNUMBER(
Master_Mapping_Sheet!$E$2:$E$3143),
Master_Mapping_Sheet!$H$2:$H$3143=C$1,
Master_Mapping_Sheet!$B$2:$B$3143=$A9))/sum(filter(
Master_M"&amp;"apping_Sheet!$E$2:$E$3143, ISNUMBER(
Master_Mapping_Sheet!$E$2:$E$3143),
Master_Mapping_Sheet!$B$2:$B$3143=$A9)))"),0.0)</f>
        <v>0</v>
      </c>
      <c r="D9" s="32">
        <f>IFERROR(__xludf.DUMMYFUNCTION("IF(ISNA(sum(filter(
Master_Mapping_Sheet!$E$2:$E$3143, ISNUMBER(
Master_Mapping_Sheet!$E$2:$E$3143),
Master_Mapping_Sheet!$H$2:$H$3143=D$1,
Master_Mapping_Sheet!$B$2:$B$3143=$A9))/sum(filter(
Master_Mapping_Sheet!$E$2:$E$3143, ISNUMBER(
Master_Mapping_She"&amp;"et!$E$2:$E$3143),
Master_Mapping_Sheet!$B$2:$B$3143=$A9))), 0, sum(filter(
Master_Mapping_Sheet!$E$2:$E$3143, ISNUMBER(
Master_Mapping_Sheet!$E$2:$E$3143),
Master_Mapping_Sheet!$H$2:$H$3143=D$1,
Master_Mapping_Sheet!$B$2:$B$3143=$A9))/sum(filter(
Master_M"&amp;"apping_Sheet!$E$2:$E$3143, ISNUMBER(
Master_Mapping_Sheet!$E$2:$E$3143),
Master_Mapping_Sheet!$B$2:$B$3143=$A9)))"),0.0)</f>
        <v>0</v>
      </c>
      <c r="E9" s="34">
        <f>IFERROR(__xludf.DUMMYFUNCTION("IF(ISNA(sum(filter(
Master_Mapping_Sheet!$E$2:$E$3143, ISNUMBER(
Master_Mapping_Sheet!$E$2:$E$3143),
Master_Mapping_Sheet!$H$2:$H$3143=E$1,
Master_Mapping_Sheet!$B$2:$B$3143=$A9))/sum(filter(
Master_Mapping_Sheet!$E$2:$E$3143, ISNUMBER(
Master_Mapping_She"&amp;"et!$E$2:$E$3143),
Master_Mapping_Sheet!$B$2:$B$3143=$A9))), 0, sum(filter(
Master_Mapping_Sheet!$E$2:$E$3143, ISNUMBER(
Master_Mapping_Sheet!$E$2:$E$3143),
Master_Mapping_Sheet!$H$2:$H$3143=E$1,
Master_Mapping_Sheet!$B$2:$B$3143=$A9))/sum(filter(
Master_M"&amp;"apping_Sheet!$E$2:$E$3143, ISNUMBER(
Master_Mapping_Sheet!$E$2:$E$3143),
Master_Mapping_Sheet!$B$2:$B$3143=$A9)))"),0.0)</f>
        <v>0</v>
      </c>
      <c r="F9" s="34">
        <f>IFERROR(__xludf.DUMMYFUNCTION("IF(ISNA(sum(filter(
Master_Mapping_Sheet!$E$2:$E$3143, ISNUMBER(
Master_Mapping_Sheet!$E$2:$E$3143),
Master_Mapping_Sheet!$H$2:$H$3143=F$1,
Master_Mapping_Sheet!$B$2:$B$3143=$A9))/sum(filter(
Master_Mapping_Sheet!$E$2:$E$3143, ISNUMBER(
Master_Mapping_She"&amp;"et!$E$2:$E$3143),
Master_Mapping_Sheet!$B$2:$B$3143=$A9))), 0, sum(filter(
Master_Mapping_Sheet!$E$2:$E$3143, ISNUMBER(
Master_Mapping_Sheet!$E$2:$E$3143),
Master_Mapping_Sheet!$H$2:$H$3143=F$1,
Master_Mapping_Sheet!$B$2:$B$3143=$A9))/sum(filter(
Master_M"&amp;"apping_Sheet!$E$2:$E$3143, ISNUMBER(
Master_Mapping_Sheet!$E$2:$E$3143),
Master_Mapping_Sheet!$B$2:$B$3143=$A9)))"),0.0)</f>
        <v>0</v>
      </c>
      <c r="G9" s="34">
        <f>IFERROR(__xludf.DUMMYFUNCTION("IF(ISNA(sum(filter(
Master_Mapping_Sheet!$E$2:$E$3143, ISNUMBER(
Master_Mapping_Sheet!$E$2:$E$3143),
Master_Mapping_Sheet!$H$2:$H$3143=G$1,
Master_Mapping_Sheet!$B$2:$B$3143=$A9))/sum(filter(
Master_Mapping_Sheet!$E$2:$E$3143, ISNUMBER(
Master_Mapping_She"&amp;"et!$E$2:$E$3143),
Master_Mapping_Sheet!$B$2:$B$3143=$A9))), 0, sum(filter(
Master_Mapping_Sheet!$E$2:$E$3143, ISNUMBER(
Master_Mapping_Sheet!$E$2:$E$3143),
Master_Mapping_Sheet!$H$2:$H$3143=G$1,
Master_Mapping_Sheet!$B$2:$B$3143=$A9))/sum(filter(
Master_M"&amp;"apping_Sheet!$E$2:$E$3143, ISNUMBER(
Master_Mapping_Sheet!$E$2:$E$3143),
Master_Mapping_Sheet!$B$2:$B$3143=$A9)))"),0.0)</f>
        <v>0</v>
      </c>
      <c r="H9" s="34">
        <f>IFERROR(__xludf.DUMMYFUNCTION("IF(ISNA(sum(filter(
Master_Mapping_Sheet!$E$2:$E$3143, ISNUMBER(
Master_Mapping_Sheet!$E$2:$E$3143),
Master_Mapping_Sheet!$H$2:$H$3143=H$1,
Master_Mapping_Sheet!$B$2:$B$3143=$A9))/sum(filter(
Master_Mapping_Sheet!$E$2:$E$3143, ISNUMBER(
Master_Mapping_She"&amp;"et!$E$2:$E$3143),
Master_Mapping_Sheet!$B$2:$B$3143=$A9))), 0, sum(filter(
Master_Mapping_Sheet!$E$2:$E$3143, ISNUMBER(
Master_Mapping_Sheet!$E$2:$E$3143),
Master_Mapping_Sheet!$H$2:$H$3143=H$1,
Master_Mapping_Sheet!$B$2:$B$3143=$A9))/sum(filter(
Master_M"&amp;"apping_Sheet!$E$2:$E$3143, ISNUMBER(
Master_Mapping_Sheet!$E$2:$E$3143),
Master_Mapping_Sheet!$B$2:$B$3143=$A9)))"),0.0)</f>
        <v>0</v>
      </c>
      <c r="I9" s="34">
        <f>IFERROR(__xludf.DUMMYFUNCTION("IF(ISNA(sum(filter(
Master_Mapping_Sheet!$E$2:$E$3143, ISNUMBER(
Master_Mapping_Sheet!$E$2:$E$3143),
Master_Mapping_Sheet!$H$2:$H$3143=I$1,
Master_Mapping_Sheet!$B$2:$B$3143=$A9))/sum(filter(
Master_Mapping_Sheet!$E$2:$E$3143, ISNUMBER(
Master_Mapping_She"&amp;"et!$E$2:$E$3143),
Master_Mapping_Sheet!$B$2:$B$3143=$A9))), 0, sum(filter(
Master_Mapping_Sheet!$E$2:$E$3143, ISNUMBER(
Master_Mapping_Sheet!$E$2:$E$3143),
Master_Mapping_Sheet!$H$2:$H$3143=I$1,
Master_Mapping_Sheet!$B$2:$B$3143=$A9))/sum(filter(
Master_M"&amp;"apping_Sheet!$E$2:$E$3143, ISNUMBER(
Master_Mapping_Sheet!$E$2:$E$3143),
Master_Mapping_Sheet!$B$2:$B$3143=$A9)))"),0.0)</f>
        <v>0</v>
      </c>
      <c r="J9" s="34">
        <f>IFERROR(__xludf.DUMMYFUNCTION("IF(ISNA(sum(filter(
Master_Mapping_Sheet!$E$2:$E$3143, ISNUMBER(
Master_Mapping_Sheet!$E$2:$E$3143),
Master_Mapping_Sheet!$H$2:$H$3143=J$1,
Master_Mapping_Sheet!$B$2:$B$3143=$A9))/sum(filter(
Master_Mapping_Sheet!$E$2:$E$3143, ISNUMBER(
Master_Mapping_She"&amp;"et!$E$2:$E$3143),
Master_Mapping_Sheet!$B$2:$B$3143=$A9))), 0, sum(filter(
Master_Mapping_Sheet!$E$2:$E$3143, ISNUMBER(
Master_Mapping_Sheet!$E$2:$E$3143),
Master_Mapping_Sheet!$H$2:$H$3143=J$1,
Master_Mapping_Sheet!$B$2:$B$3143=$A9))/sum(filter(
Master_M"&amp;"apping_Sheet!$E$2:$E$3143, ISNUMBER(
Master_Mapping_Sheet!$E$2:$E$3143),
Master_Mapping_Sheet!$B$2:$B$3143=$A9)))"),0.0)</f>
        <v>0</v>
      </c>
      <c r="K9" s="34">
        <f>IFERROR(__xludf.DUMMYFUNCTION("IF(ISNA(sum(filter(
Master_Mapping_Sheet!$E$2:$E$3143, ISNUMBER(
Master_Mapping_Sheet!$E$2:$E$3143),
Master_Mapping_Sheet!$H$2:$H$3143=K$1,
Master_Mapping_Sheet!$B$2:$B$3143=$A9))/sum(filter(
Master_Mapping_Sheet!$E$2:$E$3143, ISNUMBER(
Master_Mapping_She"&amp;"et!$E$2:$E$3143),
Master_Mapping_Sheet!$B$2:$B$3143=$A9))), 0, sum(filter(
Master_Mapping_Sheet!$E$2:$E$3143, ISNUMBER(
Master_Mapping_Sheet!$E$2:$E$3143),
Master_Mapping_Sheet!$H$2:$H$3143=K$1,
Master_Mapping_Sheet!$B$2:$B$3143=$A9))/sum(filter(
Master_M"&amp;"apping_Sheet!$E$2:$E$3143, ISNUMBER(
Master_Mapping_Sheet!$E$2:$E$3143),
Master_Mapping_Sheet!$B$2:$B$3143=$A9)))"),0.0)</f>
        <v>0</v>
      </c>
      <c r="L9" s="34">
        <f>IFERROR(__xludf.DUMMYFUNCTION("IF(ISNA(sum(filter(
Master_Mapping_Sheet!$E$2:$E$3143, ISNUMBER(
Master_Mapping_Sheet!$E$2:$E$3143),
Master_Mapping_Sheet!$H$2:$H$3143=L$1,
Master_Mapping_Sheet!$B$2:$B$3143=$A9))/sum(filter(
Master_Mapping_Sheet!$E$2:$E$3143, ISNUMBER(
Master_Mapping_She"&amp;"et!$E$2:$E$3143),
Master_Mapping_Sheet!$B$2:$B$3143=$A9))), 0, sum(filter(
Master_Mapping_Sheet!$E$2:$E$3143, ISNUMBER(
Master_Mapping_Sheet!$E$2:$E$3143),
Master_Mapping_Sheet!$H$2:$H$3143=L$1,
Master_Mapping_Sheet!$B$2:$B$3143=$A9))/sum(filter(
Master_M"&amp;"apping_Sheet!$E$2:$E$3143, ISNUMBER(
Master_Mapping_Sheet!$E$2:$E$3143),
Master_Mapping_Sheet!$B$2:$B$3143=$A9)))"),1.0)</f>
        <v>1</v>
      </c>
      <c r="M9" s="34">
        <f>IFERROR(__xludf.DUMMYFUNCTION("IF(ISNA(sum(filter(
Master_Mapping_Sheet!$E$2:$E$3143, ISNUMBER(
Master_Mapping_Sheet!$E$2:$E$3143),
Master_Mapping_Sheet!$H$2:$H$3143=M$1,
Master_Mapping_Sheet!$B$2:$B$3143=$A9))/sum(filter(
Master_Mapping_Sheet!$E$2:$E$3143, ISNUMBER(
Master_Mapping_She"&amp;"et!$E$2:$E$3143),
Master_Mapping_Sheet!$B$2:$B$3143=$A9))), 0, sum(filter(
Master_Mapping_Sheet!$E$2:$E$3143, ISNUMBER(
Master_Mapping_Sheet!$E$2:$E$3143),
Master_Mapping_Sheet!$H$2:$H$3143=M$1,
Master_Mapping_Sheet!$B$2:$B$3143=$A9))/sum(filter(
Master_M"&amp;"apping_Sheet!$E$2:$E$3143, ISNUMBER(
Master_Mapping_Sheet!$E$2:$E$3143),
Master_Mapping_Sheet!$B$2:$B$3143=$A9)))"),0.0)</f>
        <v>0</v>
      </c>
      <c r="N9" s="34">
        <f>IFERROR(__xludf.DUMMYFUNCTION("IF(ISNA(sum(filter(
Master_Mapping_Sheet!$E$2:$E$3143, ISNUMBER(
Master_Mapping_Sheet!$E$2:$E$3143),
Master_Mapping_Sheet!$H$2:$H$3143=N$1,
Master_Mapping_Sheet!$B$2:$B$3143=$A9))/sum(filter(
Master_Mapping_Sheet!$E$2:$E$3143, ISNUMBER(
Master_Mapping_She"&amp;"et!$E$2:$E$3143),
Master_Mapping_Sheet!$B$2:$B$3143=$A9))), 0, sum(filter(
Master_Mapping_Sheet!$E$2:$E$3143, ISNUMBER(
Master_Mapping_Sheet!$E$2:$E$3143),
Master_Mapping_Sheet!$H$2:$H$3143=N$1,
Master_Mapping_Sheet!$B$2:$B$3143=$A9))/sum(filter(
Master_M"&amp;"apping_Sheet!$E$2:$E$3143, ISNUMBER(
Master_Mapping_Sheet!$E$2:$E$3143),
Master_Mapping_Sheet!$B$2:$B$3143=$A9)))"),0.0)</f>
        <v>0</v>
      </c>
      <c r="O9" s="34">
        <f>IFERROR(__xludf.DUMMYFUNCTION("IF(ISNA(sum(filter(
Master_Mapping_Sheet!$E$2:$E$3143, ISNUMBER(
Master_Mapping_Sheet!$E$2:$E$3143),
Master_Mapping_Sheet!$H$2:$H$3143=O$1,
Master_Mapping_Sheet!$B$2:$B$3143=$A9))/sum(filter(
Master_Mapping_Sheet!$E$2:$E$3143, ISNUMBER(
Master_Mapping_She"&amp;"et!$E$2:$E$3143),
Master_Mapping_Sheet!$B$2:$B$3143=$A9))), 0, sum(filter(
Master_Mapping_Sheet!$E$2:$E$3143, ISNUMBER(
Master_Mapping_Sheet!$E$2:$E$3143),
Master_Mapping_Sheet!$H$2:$H$3143=O$1,
Master_Mapping_Sheet!$B$2:$B$3143=$A9))/sum(filter(
Master_M"&amp;"apping_Sheet!$E$2:$E$3143, ISNUMBER(
Master_Mapping_Sheet!$E$2:$E$3143),
Master_Mapping_Sheet!$B$2:$B$3143=$A9)))"),0.0)</f>
        <v>0</v>
      </c>
      <c r="P9" s="34">
        <f>IFERROR(__xludf.DUMMYFUNCTION("IF(ISNA(sum(filter(
Master_Mapping_Sheet!$E$2:$E$3143, ISNUMBER(
Master_Mapping_Sheet!$E$2:$E$3143),
Master_Mapping_Sheet!$H$2:$H$3143=P$1,
Master_Mapping_Sheet!$B$2:$B$3143=$A9))/sum(filter(
Master_Mapping_Sheet!$E$2:$E$3143, ISNUMBER(
Master_Mapping_She"&amp;"et!$E$2:$E$3143),
Master_Mapping_Sheet!$B$2:$B$3143=$A9))), 0, sum(filter(
Master_Mapping_Sheet!$E$2:$E$3143, ISNUMBER(
Master_Mapping_Sheet!$E$2:$E$3143),
Master_Mapping_Sheet!$H$2:$H$3143=P$1,
Master_Mapping_Sheet!$B$2:$B$3143=$A9))/sum(filter(
Master_M"&amp;"apping_Sheet!$E$2:$E$3143, ISNUMBER(
Master_Mapping_Sheet!$E$2:$E$3143),
Master_Mapping_Sheet!$B$2:$B$3143=$A9)))"),0.0)</f>
        <v>0</v>
      </c>
      <c r="Q9" s="34">
        <f>IFERROR(__xludf.DUMMYFUNCTION("IF(ISNA(sum(filter(
Master_Mapping_Sheet!$E$2:$E$3143, ISNUMBER(
Master_Mapping_Sheet!$E$2:$E$3143),
Master_Mapping_Sheet!$H$2:$H$3143=Q$1,
Master_Mapping_Sheet!$B$2:$B$3143=$A9))/sum(filter(
Master_Mapping_Sheet!$E$2:$E$3143, ISNUMBER(
Master_Mapping_She"&amp;"et!$E$2:$E$3143),
Master_Mapping_Sheet!$B$2:$B$3143=$A9))), 0, sum(filter(
Master_Mapping_Sheet!$E$2:$E$3143, ISNUMBER(
Master_Mapping_Sheet!$E$2:$E$3143),
Master_Mapping_Sheet!$H$2:$H$3143=Q$1,
Master_Mapping_Sheet!$B$2:$B$3143=$A9))/sum(filter(
Master_M"&amp;"apping_Sheet!$E$2:$E$3143, ISNUMBER(
Master_Mapping_Sheet!$E$2:$E$3143),
Master_Mapping_Sheet!$B$2:$B$3143=$A9)))"),0.0)</f>
        <v>0</v>
      </c>
      <c r="R9" s="34">
        <f>IFERROR(__xludf.DUMMYFUNCTION("IF(ISNA(sum(filter(
Master_Mapping_Sheet!$E$2:$E$3143, ISNUMBER(
Master_Mapping_Sheet!$E$2:$E$3143),
Master_Mapping_Sheet!$H$2:$H$3143=R$1,
Master_Mapping_Sheet!$B$2:$B$3143=$A9))/sum(filter(
Master_Mapping_Sheet!$E$2:$E$3143, ISNUMBER(
Master_Mapping_She"&amp;"et!$E$2:$E$3143),
Master_Mapping_Sheet!$B$2:$B$3143=$A9))), 0, sum(filter(
Master_Mapping_Sheet!$E$2:$E$3143, ISNUMBER(
Master_Mapping_Sheet!$E$2:$E$3143),
Master_Mapping_Sheet!$H$2:$H$3143=R$1,
Master_Mapping_Sheet!$B$2:$B$3143=$A9))/sum(filter(
Master_M"&amp;"apping_Sheet!$E$2:$E$3143, ISNUMBER(
Master_Mapping_Sheet!$E$2:$E$3143),
Master_Mapping_Sheet!$B$2:$B$3143=$A9)))"),0.0)</f>
        <v>0</v>
      </c>
      <c r="S9" s="34">
        <f>IFERROR(__xludf.DUMMYFUNCTION("IF(ISNA(sum(filter(
Master_Mapping_Sheet!$E$2:$E$3143, ISNUMBER(
Master_Mapping_Sheet!$E$2:$E$3143),
Master_Mapping_Sheet!$H$2:$H$3143=S$1,
Master_Mapping_Sheet!$B$2:$B$3143=$A9))/sum(filter(
Master_Mapping_Sheet!$E$2:$E$3143, ISNUMBER(
Master_Mapping_She"&amp;"et!$E$2:$E$3143),
Master_Mapping_Sheet!$B$2:$B$3143=$A9))), 0, sum(filter(
Master_Mapping_Sheet!$E$2:$E$3143, ISNUMBER(
Master_Mapping_Sheet!$E$2:$E$3143),
Master_Mapping_Sheet!$H$2:$H$3143=S$1,
Master_Mapping_Sheet!$B$2:$B$3143=$A9))/sum(filter(
Master_M"&amp;"apping_Sheet!$E$2:$E$3143, ISNUMBER(
Master_Mapping_Sheet!$E$2:$E$3143),
Master_Mapping_Sheet!$B$2:$B$3143=$A9)))"),0.0)</f>
        <v>0</v>
      </c>
      <c r="T9" s="34">
        <f>IFERROR(__xludf.DUMMYFUNCTION("IF(ISNA(sum(filter(
Master_Mapping_Sheet!$E$2:$E$3143, ISNUMBER(
Master_Mapping_Sheet!$E$2:$E$3143),
Master_Mapping_Sheet!$H$2:$H$3143=T$1,
Master_Mapping_Sheet!$B$2:$B$3143=$A9))/sum(filter(
Master_Mapping_Sheet!$E$2:$E$3143, ISNUMBER(
Master_Mapping_She"&amp;"et!$E$2:$E$3143),
Master_Mapping_Sheet!$B$2:$B$3143=$A9))), 0, sum(filter(
Master_Mapping_Sheet!$E$2:$E$3143, ISNUMBER(
Master_Mapping_Sheet!$E$2:$E$3143),
Master_Mapping_Sheet!$H$2:$H$3143=T$1,
Master_Mapping_Sheet!$B$2:$B$3143=$A9))/sum(filter(
Master_M"&amp;"apping_Sheet!$E$2:$E$3143, ISNUMBER(
Master_Mapping_Sheet!$E$2:$E$3143),
Master_Mapping_Sheet!$B$2:$B$3143=$A9)))"),0.0)</f>
        <v>0</v>
      </c>
      <c r="U9" s="34">
        <f>IFERROR(__xludf.DUMMYFUNCTION("IF(ISNA(sum(filter(
Master_Mapping_Sheet!$E$2:$E$3143, ISNUMBER(
Master_Mapping_Sheet!$E$2:$E$3143),
Master_Mapping_Sheet!$H$2:$H$3143=U$1,
Master_Mapping_Sheet!$B$2:$B$3143=$A9))/sum(filter(
Master_Mapping_Sheet!$E$2:$E$3143, ISNUMBER(
Master_Mapping_She"&amp;"et!$E$2:$E$3143),
Master_Mapping_Sheet!$B$2:$B$3143=$A9))), 0, sum(filter(
Master_Mapping_Sheet!$E$2:$E$3143, ISNUMBER(
Master_Mapping_Sheet!$E$2:$E$3143),
Master_Mapping_Sheet!$H$2:$H$3143=U$1,
Master_Mapping_Sheet!$B$2:$B$3143=$A9))/sum(filter(
Master_M"&amp;"apping_Sheet!$E$2:$E$3143, ISNUMBER(
Master_Mapping_Sheet!$E$2:$E$3143),
Master_Mapping_Sheet!$B$2:$B$3143=$A9)))"),0.0)</f>
        <v>0</v>
      </c>
      <c r="V9" s="34">
        <f>IFERROR(__xludf.DUMMYFUNCTION("IF(ISNA(sum(filter(
Master_Mapping_Sheet!$E$2:$E$3143, ISNUMBER(
Master_Mapping_Sheet!$E$2:$E$3143),
Master_Mapping_Sheet!$H$2:$H$3143=V$1,
Master_Mapping_Sheet!$B$2:$B$3143=$A9))/sum(filter(
Master_Mapping_Sheet!$E$2:$E$3143, ISNUMBER(
Master_Mapping_She"&amp;"et!$E$2:$E$3143),
Master_Mapping_Sheet!$B$2:$B$3143=$A9))), 0, sum(filter(
Master_Mapping_Sheet!$E$2:$E$3143, ISNUMBER(
Master_Mapping_Sheet!$E$2:$E$3143),
Master_Mapping_Sheet!$H$2:$H$3143=V$1,
Master_Mapping_Sheet!$B$2:$B$3143=$A9))/sum(filter(
Master_M"&amp;"apping_Sheet!$E$2:$E$3143, ISNUMBER(
Master_Mapping_Sheet!$E$2:$E$3143),
Master_Mapping_Sheet!$B$2:$B$3143=$A9)))"),0.0)</f>
        <v>0</v>
      </c>
      <c r="W9" s="34">
        <f>IFERROR(__xludf.DUMMYFUNCTION("IF(ISNA(sum(filter(
Master_Mapping_Sheet!$E$2:$E$3143, ISNUMBER(
Master_Mapping_Sheet!$E$2:$E$3143),
Master_Mapping_Sheet!$H$2:$H$3143=W$1,
Master_Mapping_Sheet!$B$2:$B$3143=$A9))/sum(filter(
Master_Mapping_Sheet!$E$2:$E$3143, ISNUMBER(
Master_Mapping_She"&amp;"et!$E$2:$E$3143),
Master_Mapping_Sheet!$B$2:$B$3143=$A9))), 0, sum(filter(
Master_Mapping_Sheet!$E$2:$E$3143, ISNUMBER(
Master_Mapping_Sheet!$E$2:$E$3143),
Master_Mapping_Sheet!$H$2:$H$3143=W$1,
Master_Mapping_Sheet!$B$2:$B$3143=$A9))/sum(filter(
Master_M"&amp;"apping_Sheet!$E$2:$E$3143, ISNUMBER(
Master_Mapping_Sheet!$E$2:$E$3143),
Master_Mapping_Sheet!$B$2:$B$3143=$A9)))"),0.0)</f>
        <v>0</v>
      </c>
      <c r="X9" s="34">
        <f>IFERROR(__xludf.DUMMYFUNCTION("IF(ISNA(sum(filter(
Master_Mapping_Sheet!$E$2:$E$3143, ISNUMBER(
Master_Mapping_Sheet!$E$2:$E$3143),
Master_Mapping_Sheet!$H$2:$H$3143=X$1,
Master_Mapping_Sheet!$B$2:$B$3143=$A9))/sum(filter(
Master_Mapping_Sheet!$E$2:$E$3143, ISNUMBER(
Master_Mapping_She"&amp;"et!$E$2:$E$3143),
Master_Mapping_Sheet!$B$2:$B$3143=$A9))), 0, sum(filter(
Master_Mapping_Sheet!$E$2:$E$3143, ISNUMBER(
Master_Mapping_Sheet!$E$2:$E$3143),
Master_Mapping_Sheet!$H$2:$H$3143=X$1,
Master_Mapping_Sheet!$B$2:$B$3143=$A9))/sum(filter(
Master_M"&amp;"apping_Sheet!$E$2:$E$3143, ISNUMBER(
Master_Mapping_Sheet!$E$2:$E$3143),
Master_Mapping_Sheet!$B$2:$B$3143=$A9)))"),0.0)</f>
        <v>0</v>
      </c>
      <c r="Y9" s="34">
        <f>IFERROR(__xludf.DUMMYFUNCTION("IF(ISNA(sum(filter(
Master_Mapping_Sheet!$E$2:$E$3143, ISNUMBER(
Master_Mapping_Sheet!$E$2:$E$3143),
Master_Mapping_Sheet!$H$2:$H$3143=Y$1,
Master_Mapping_Sheet!$B$2:$B$3143=$A9))/sum(filter(
Master_Mapping_Sheet!$E$2:$E$3143, ISNUMBER(
Master_Mapping_She"&amp;"et!$E$2:$E$3143),
Master_Mapping_Sheet!$B$2:$B$3143=$A9))), 0, sum(filter(
Master_Mapping_Sheet!$E$2:$E$3143, ISNUMBER(
Master_Mapping_Sheet!$E$2:$E$3143),
Master_Mapping_Sheet!$H$2:$H$3143=Y$1,
Master_Mapping_Sheet!$B$2:$B$3143=$A9))/sum(filter(
Master_M"&amp;"apping_Sheet!$E$2:$E$3143, ISNUMBER(
Master_Mapping_Sheet!$E$2:$E$3143),
Master_Mapping_Sheet!$B$2:$B$3143=$A9)))"),0.0)</f>
        <v>0</v>
      </c>
      <c r="Z9" s="34">
        <f>IFERROR(__xludf.DUMMYFUNCTION("IF(ISNA(sum(filter(
Master_Mapping_Sheet!$E$2:$E$3143, ISNUMBER(
Master_Mapping_Sheet!$E$2:$E$3143),
Master_Mapping_Sheet!$H$2:$H$3143=Z$1,
Master_Mapping_Sheet!$B$2:$B$3143=$A9))/sum(filter(
Master_Mapping_Sheet!$E$2:$E$3143, ISNUMBER(
Master_Mapping_She"&amp;"et!$E$2:$E$3143),
Master_Mapping_Sheet!$B$2:$B$3143=$A9))), 0, sum(filter(
Master_Mapping_Sheet!$E$2:$E$3143, ISNUMBER(
Master_Mapping_Sheet!$E$2:$E$3143),
Master_Mapping_Sheet!$H$2:$H$3143=Z$1,
Master_Mapping_Sheet!$B$2:$B$3143=$A9))/sum(filter(
Master_M"&amp;"apping_Sheet!$E$2:$E$3143, ISNUMBER(
Master_Mapping_Sheet!$E$2:$E$3143),
Master_Mapping_Sheet!$B$2:$B$3143=$A9)))"),0.0)</f>
        <v>0</v>
      </c>
      <c r="AA9" s="34">
        <f>IFERROR(__xludf.DUMMYFUNCTION("IF(ISNA(sum(filter(
Master_Mapping_Sheet!$E$2:$E$3143, ISNUMBER(
Master_Mapping_Sheet!$E$2:$E$3143),
Master_Mapping_Sheet!$H$2:$H$3143=AA$1,
Master_Mapping_Sheet!$B$2:$B$3143=$A9))/sum(filter(
Master_Mapping_Sheet!$E$2:$E$3143, ISNUMBER(
Master_Mapping_Sh"&amp;"eet!$E$2:$E$3143),
Master_Mapping_Sheet!$B$2:$B$3143=$A9))), 0, sum(filter(
Master_Mapping_Sheet!$E$2:$E$3143, ISNUMBER(
Master_Mapping_Sheet!$E$2:$E$3143),
Master_Mapping_Sheet!$H$2:$H$3143=AA$1,
Master_Mapping_Sheet!$B$2:$B$3143=$A9))/sum(filter(
Master"&amp;"_Mapping_Sheet!$E$2:$E$3143, ISNUMBER(
Master_Mapping_Sheet!$E$2:$E$3143),
Master_Mapping_Sheet!$B$2:$B$3143=$A9)))"),0.0)</f>
        <v>0</v>
      </c>
    </row>
    <row r="10" ht="15.75" customHeight="1">
      <c r="A10" s="32" t="s">
        <v>408</v>
      </c>
      <c r="B10" s="34" t="s">
        <v>2263</v>
      </c>
      <c r="C10" s="34">
        <f>IFERROR(__xludf.DUMMYFUNCTION("IF(ISNA(sum(filter(
Master_Mapping_Sheet!$E$2:$E$3143, ISNUMBER(
Master_Mapping_Sheet!$E$2:$E$3143),
Master_Mapping_Sheet!$H$2:$H$3143=C$1,
Master_Mapping_Sheet!$B$2:$B$3143=$A10))/sum(filter(
Master_Mapping_Sheet!$E$2:$E$3143, ISNUMBER(
Master_Mapping_Sh"&amp;"eet!$E$2:$E$3143),
Master_Mapping_Sheet!$B$2:$B$3143=$A10))), 0, sum(filter(
Master_Mapping_Sheet!$E$2:$E$3143, ISNUMBER(
Master_Mapping_Sheet!$E$2:$E$3143),
Master_Mapping_Sheet!$H$2:$H$3143=C$1,
Master_Mapping_Sheet!$B$2:$B$3143=$A10))/sum(filter(
Maste"&amp;"r_Mapping_Sheet!$E$2:$E$3143, ISNUMBER(
Master_Mapping_Sheet!$E$2:$E$3143),
Master_Mapping_Sheet!$B$2:$B$3143=$A10)))"),0.0)</f>
        <v>0</v>
      </c>
      <c r="D10" s="32">
        <f>IFERROR(__xludf.DUMMYFUNCTION("IF(ISNA(sum(filter(
Master_Mapping_Sheet!$E$2:$E$3143, ISNUMBER(
Master_Mapping_Sheet!$E$2:$E$3143),
Master_Mapping_Sheet!$H$2:$H$3143=D$1,
Master_Mapping_Sheet!$B$2:$B$3143=$A10))/sum(filter(
Master_Mapping_Sheet!$E$2:$E$3143, ISNUMBER(
Master_Mapping_Sh"&amp;"eet!$E$2:$E$3143),
Master_Mapping_Sheet!$B$2:$B$3143=$A10))), 0, sum(filter(
Master_Mapping_Sheet!$E$2:$E$3143, ISNUMBER(
Master_Mapping_Sheet!$E$2:$E$3143),
Master_Mapping_Sheet!$H$2:$H$3143=D$1,
Master_Mapping_Sheet!$B$2:$B$3143=$A10))/sum(filter(
Maste"&amp;"r_Mapping_Sheet!$E$2:$E$3143, ISNUMBER(
Master_Mapping_Sheet!$E$2:$E$3143),
Master_Mapping_Sheet!$B$2:$B$3143=$A10)))"),0.0)</f>
        <v>0</v>
      </c>
      <c r="E10" s="34">
        <f>IFERROR(__xludf.DUMMYFUNCTION("IF(ISNA(sum(filter(
Master_Mapping_Sheet!$E$2:$E$3143, ISNUMBER(
Master_Mapping_Sheet!$E$2:$E$3143),
Master_Mapping_Sheet!$H$2:$H$3143=E$1,
Master_Mapping_Sheet!$B$2:$B$3143=$A10))/sum(filter(
Master_Mapping_Sheet!$E$2:$E$3143, ISNUMBER(
Master_Mapping_Sh"&amp;"eet!$E$2:$E$3143),
Master_Mapping_Sheet!$B$2:$B$3143=$A10))), 0, sum(filter(
Master_Mapping_Sheet!$E$2:$E$3143, ISNUMBER(
Master_Mapping_Sheet!$E$2:$E$3143),
Master_Mapping_Sheet!$H$2:$H$3143=E$1,
Master_Mapping_Sheet!$B$2:$B$3143=$A10))/sum(filter(
Maste"&amp;"r_Mapping_Sheet!$E$2:$E$3143, ISNUMBER(
Master_Mapping_Sheet!$E$2:$E$3143),
Master_Mapping_Sheet!$B$2:$B$3143=$A10)))"),0.0)</f>
        <v>0</v>
      </c>
      <c r="F10" s="34">
        <f>IFERROR(__xludf.DUMMYFUNCTION("IF(ISNA(sum(filter(
Master_Mapping_Sheet!$E$2:$E$3143, ISNUMBER(
Master_Mapping_Sheet!$E$2:$E$3143),
Master_Mapping_Sheet!$H$2:$H$3143=F$1,
Master_Mapping_Sheet!$B$2:$B$3143=$A10))/sum(filter(
Master_Mapping_Sheet!$E$2:$E$3143, ISNUMBER(
Master_Mapping_Sh"&amp;"eet!$E$2:$E$3143),
Master_Mapping_Sheet!$B$2:$B$3143=$A10))), 0, sum(filter(
Master_Mapping_Sheet!$E$2:$E$3143, ISNUMBER(
Master_Mapping_Sheet!$E$2:$E$3143),
Master_Mapping_Sheet!$H$2:$H$3143=F$1,
Master_Mapping_Sheet!$B$2:$B$3143=$A10))/sum(filter(
Maste"&amp;"r_Mapping_Sheet!$E$2:$E$3143, ISNUMBER(
Master_Mapping_Sheet!$E$2:$E$3143),
Master_Mapping_Sheet!$B$2:$B$3143=$A10)))"),0.0)</f>
        <v>0</v>
      </c>
      <c r="G10" s="34">
        <f>IFERROR(__xludf.DUMMYFUNCTION("IF(ISNA(sum(filter(
Master_Mapping_Sheet!$E$2:$E$3143, ISNUMBER(
Master_Mapping_Sheet!$E$2:$E$3143),
Master_Mapping_Sheet!$H$2:$H$3143=G$1,
Master_Mapping_Sheet!$B$2:$B$3143=$A10))/sum(filter(
Master_Mapping_Sheet!$E$2:$E$3143, ISNUMBER(
Master_Mapping_Sh"&amp;"eet!$E$2:$E$3143),
Master_Mapping_Sheet!$B$2:$B$3143=$A10))), 0, sum(filter(
Master_Mapping_Sheet!$E$2:$E$3143, ISNUMBER(
Master_Mapping_Sheet!$E$2:$E$3143),
Master_Mapping_Sheet!$H$2:$H$3143=G$1,
Master_Mapping_Sheet!$B$2:$B$3143=$A10))/sum(filter(
Maste"&amp;"r_Mapping_Sheet!$E$2:$E$3143, ISNUMBER(
Master_Mapping_Sheet!$E$2:$E$3143),
Master_Mapping_Sheet!$B$2:$B$3143=$A10)))"),0.0)</f>
        <v>0</v>
      </c>
      <c r="H10" s="34">
        <f>IFERROR(__xludf.DUMMYFUNCTION("IF(ISNA(sum(filter(
Master_Mapping_Sheet!$E$2:$E$3143, ISNUMBER(
Master_Mapping_Sheet!$E$2:$E$3143),
Master_Mapping_Sheet!$H$2:$H$3143=H$1,
Master_Mapping_Sheet!$B$2:$B$3143=$A10))/sum(filter(
Master_Mapping_Sheet!$E$2:$E$3143, ISNUMBER(
Master_Mapping_Sh"&amp;"eet!$E$2:$E$3143),
Master_Mapping_Sheet!$B$2:$B$3143=$A10))), 0, sum(filter(
Master_Mapping_Sheet!$E$2:$E$3143, ISNUMBER(
Master_Mapping_Sheet!$E$2:$E$3143),
Master_Mapping_Sheet!$H$2:$H$3143=H$1,
Master_Mapping_Sheet!$B$2:$B$3143=$A10))/sum(filter(
Maste"&amp;"r_Mapping_Sheet!$E$2:$E$3143, ISNUMBER(
Master_Mapping_Sheet!$E$2:$E$3143),
Master_Mapping_Sheet!$B$2:$B$3143=$A10)))"),0.0)</f>
        <v>0</v>
      </c>
      <c r="I10" s="34">
        <f>IFERROR(__xludf.DUMMYFUNCTION("IF(ISNA(sum(filter(
Master_Mapping_Sheet!$E$2:$E$3143, ISNUMBER(
Master_Mapping_Sheet!$E$2:$E$3143),
Master_Mapping_Sheet!$H$2:$H$3143=I$1,
Master_Mapping_Sheet!$B$2:$B$3143=$A10))/sum(filter(
Master_Mapping_Sheet!$E$2:$E$3143, ISNUMBER(
Master_Mapping_Sh"&amp;"eet!$E$2:$E$3143),
Master_Mapping_Sheet!$B$2:$B$3143=$A10))), 0, sum(filter(
Master_Mapping_Sheet!$E$2:$E$3143, ISNUMBER(
Master_Mapping_Sheet!$E$2:$E$3143),
Master_Mapping_Sheet!$H$2:$H$3143=I$1,
Master_Mapping_Sheet!$B$2:$B$3143=$A10))/sum(filter(
Maste"&amp;"r_Mapping_Sheet!$E$2:$E$3143, ISNUMBER(
Master_Mapping_Sheet!$E$2:$E$3143),
Master_Mapping_Sheet!$B$2:$B$3143=$A10)))"),0.0)</f>
        <v>0</v>
      </c>
      <c r="J10" s="34">
        <f>IFERROR(__xludf.DUMMYFUNCTION("IF(ISNA(sum(filter(
Master_Mapping_Sheet!$E$2:$E$3143, ISNUMBER(
Master_Mapping_Sheet!$E$2:$E$3143),
Master_Mapping_Sheet!$H$2:$H$3143=J$1,
Master_Mapping_Sheet!$B$2:$B$3143=$A10))/sum(filter(
Master_Mapping_Sheet!$E$2:$E$3143, ISNUMBER(
Master_Mapping_Sh"&amp;"eet!$E$2:$E$3143),
Master_Mapping_Sheet!$B$2:$B$3143=$A10))), 0, sum(filter(
Master_Mapping_Sheet!$E$2:$E$3143, ISNUMBER(
Master_Mapping_Sheet!$E$2:$E$3143),
Master_Mapping_Sheet!$H$2:$H$3143=J$1,
Master_Mapping_Sheet!$B$2:$B$3143=$A10))/sum(filter(
Maste"&amp;"r_Mapping_Sheet!$E$2:$E$3143, ISNUMBER(
Master_Mapping_Sheet!$E$2:$E$3143),
Master_Mapping_Sheet!$B$2:$B$3143=$A10)))"),0.0)</f>
        <v>0</v>
      </c>
      <c r="K10" s="34">
        <f>IFERROR(__xludf.DUMMYFUNCTION("IF(ISNA(sum(filter(
Master_Mapping_Sheet!$E$2:$E$3143, ISNUMBER(
Master_Mapping_Sheet!$E$2:$E$3143),
Master_Mapping_Sheet!$H$2:$H$3143=K$1,
Master_Mapping_Sheet!$B$2:$B$3143=$A10))/sum(filter(
Master_Mapping_Sheet!$E$2:$E$3143, ISNUMBER(
Master_Mapping_Sh"&amp;"eet!$E$2:$E$3143),
Master_Mapping_Sheet!$B$2:$B$3143=$A10))), 0, sum(filter(
Master_Mapping_Sheet!$E$2:$E$3143, ISNUMBER(
Master_Mapping_Sheet!$E$2:$E$3143),
Master_Mapping_Sheet!$H$2:$H$3143=K$1,
Master_Mapping_Sheet!$B$2:$B$3143=$A10))/sum(filter(
Maste"&amp;"r_Mapping_Sheet!$E$2:$E$3143, ISNUMBER(
Master_Mapping_Sheet!$E$2:$E$3143),
Master_Mapping_Sheet!$B$2:$B$3143=$A10)))"),0.0)</f>
        <v>0</v>
      </c>
      <c r="L10" s="34">
        <f>IFERROR(__xludf.DUMMYFUNCTION("IF(ISNA(sum(filter(
Master_Mapping_Sheet!$E$2:$E$3143, ISNUMBER(
Master_Mapping_Sheet!$E$2:$E$3143),
Master_Mapping_Sheet!$H$2:$H$3143=L$1,
Master_Mapping_Sheet!$B$2:$B$3143=$A10))/sum(filter(
Master_Mapping_Sheet!$E$2:$E$3143, ISNUMBER(
Master_Mapping_Sh"&amp;"eet!$E$2:$E$3143),
Master_Mapping_Sheet!$B$2:$B$3143=$A10))), 0, sum(filter(
Master_Mapping_Sheet!$E$2:$E$3143, ISNUMBER(
Master_Mapping_Sheet!$E$2:$E$3143),
Master_Mapping_Sheet!$H$2:$H$3143=L$1,
Master_Mapping_Sheet!$B$2:$B$3143=$A10))/sum(filter(
Maste"&amp;"r_Mapping_Sheet!$E$2:$E$3143, ISNUMBER(
Master_Mapping_Sheet!$E$2:$E$3143),
Master_Mapping_Sheet!$B$2:$B$3143=$A10)))"),0.0)</f>
        <v>0</v>
      </c>
      <c r="M10" s="34">
        <f>IFERROR(__xludf.DUMMYFUNCTION("IF(ISNA(sum(filter(
Master_Mapping_Sheet!$E$2:$E$3143, ISNUMBER(
Master_Mapping_Sheet!$E$2:$E$3143),
Master_Mapping_Sheet!$H$2:$H$3143=M$1,
Master_Mapping_Sheet!$B$2:$B$3143=$A10))/sum(filter(
Master_Mapping_Sheet!$E$2:$E$3143, ISNUMBER(
Master_Mapping_Sh"&amp;"eet!$E$2:$E$3143),
Master_Mapping_Sheet!$B$2:$B$3143=$A10))), 0, sum(filter(
Master_Mapping_Sheet!$E$2:$E$3143, ISNUMBER(
Master_Mapping_Sheet!$E$2:$E$3143),
Master_Mapping_Sheet!$H$2:$H$3143=M$1,
Master_Mapping_Sheet!$B$2:$B$3143=$A10))/sum(filter(
Maste"&amp;"r_Mapping_Sheet!$E$2:$E$3143, ISNUMBER(
Master_Mapping_Sheet!$E$2:$E$3143),
Master_Mapping_Sheet!$B$2:$B$3143=$A10)))"),0.0)</f>
        <v>0</v>
      </c>
      <c r="N10" s="34">
        <f>IFERROR(__xludf.DUMMYFUNCTION("IF(ISNA(sum(filter(
Master_Mapping_Sheet!$E$2:$E$3143, ISNUMBER(
Master_Mapping_Sheet!$E$2:$E$3143),
Master_Mapping_Sheet!$H$2:$H$3143=N$1,
Master_Mapping_Sheet!$B$2:$B$3143=$A10))/sum(filter(
Master_Mapping_Sheet!$E$2:$E$3143, ISNUMBER(
Master_Mapping_Sh"&amp;"eet!$E$2:$E$3143),
Master_Mapping_Sheet!$B$2:$B$3143=$A10))), 0, sum(filter(
Master_Mapping_Sheet!$E$2:$E$3143, ISNUMBER(
Master_Mapping_Sheet!$E$2:$E$3143),
Master_Mapping_Sheet!$H$2:$H$3143=N$1,
Master_Mapping_Sheet!$B$2:$B$3143=$A10))/sum(filter(
Maste"&amp;"r_Mapping_Sheet!$E$2:$E$3143, ISNUMBER(
Master_Mapping_Sheet!$E$2:$E$3143),
Master_Mapping_Sheet!$B$2:$B$3143=$A10)))"),0.0)</f>
        <v>0</v>
      </c>
      <c r="O10" s="34">
        <f>IFERROR(__xludf.DUMMYFUNCTION("IF(ISNA(sum(filter(
Master_Mapping_Sheet!$E$2:$E$3143, ISNUMBER(
Master_Mapping_Sheet!$E$2:$E$3143),
Master_Mapping_Sheet!$H$2:$H$3143=O$1,
Master_Mapping_Sheet!$B$2:$B$3143=$A10))/sum(filter(
Master_Mapping_Sheet!$E$2:$E$3143, ISNUMBER(
Master_Mapping_Sh"&amp;"eet!$E$2:$E$3143),
Master_Mapping_Sheet!$B$2:$B$3143=$A10))), 0, sum(filter(
Master_Mapping_Sheet!$E$2:$E$3143, ISNUMBER(
Master_Mapping_Sheet!$E$2:$E$3143),
Master_Mapping_Sheet!$H$2:$H$3143=O$1,
Master_Mapping_Sheet!$B$2:$B$3143=$A10))/sum(filter(
Maste"&amp;"r_Mapping_Sheet!$E$2:$E$3143, ISNUMBER(
Master_Mapping_Sheet!$E$2:$E$3143),
Master_Mapping_Sheet!$B$2:$B$3143=$A10)))"),1.0)</f>
        <v>1</v>
      </c>
      <c r="P10" s="34">
        <f>IFERROR(__xludf.DUMMYFUNCTION("IF(ISNA(sum(filter(
Master_Mapping_Sheet!$E$2:$E$3143, ISNUMBER(
Master_Mapping_Sheet!$E$2:$E$3143),
Master_Mapping_Sheet!$H$2:$H$3143=P$1,
Master_Mapping_Sheet!$B$2:$B$3143=$A10))/sum(filter(
Master_Mapping_Sheet!$E$2:$E$3143, ISNUMBER(
Master_Mapping_Sh"&amp;"eet!$E$2:$E$3143),
Master_Mapping_Sheet!$B$2:$B$3143=$A10))), 0, sum(filter(
Master_Mapping_Sheet!$E$2:$E$3143, ISNUMBER(
Master_Mapping_Sheet!$E$2:$E$3143),
Master_Mapping_Sheet!$H$2:$H$3143=P$1,
Master_Mapping_Sheet!$B$2:$B$3143=$A10))/sum(filter(
Maste"&amp;"r_Mapping_Sheet!$E$2:$E$3143, ISNUMBER(
Master_Mapping_Sheet!$E$2:$E$3143),
Master_Mapping_Sheet!$B$2:$B$3143=$A10)))"),0.0)</f>
        <v>0</v>
      </c>
      <c r="Q10" s="34">
        <f>IFERROR(__xludf.DUMMYFUNCTION("IF(ISNA(sum(filter(
Master_Mapping_Sheet!$E$2:$E$3143, ISNUMBER(
Master_Mapping_Sheet!$E$2:$E$3143),
Master_Mapping_Sheet!$H$2:$H$3143=Q$1,
Master_Mapping_Sheet!$B$2:$B$3143=$A10))/sum(filter(
Master_Mapping_Sheet!$E$2:$E$3143, ISNUMBER(
Master_Mapping_Sh"&amp;"eet!$E$2:$E$3143),
Master_Mapping_Sheet!$B$2:$B$3143=$A10))), 0, sum(filter(
Master_Mapping_Sheet!$E$2:$E$3143, ISNUMBER(
Master_Mapping_Sheet!$E$2:$E$3143),
Master_Mapping_Sheet!$H$2:$H$3143=Q$1,
Master_Mapping_Sheet!$B$2:$B$3143=$A10))/sum(filter(
Maste"&amp;"r_Mapping_Sheet!$E$2:$E$3143, ISNUMBER(
Master_Mapping_Sheet!$E$2:$E$3143),
Master_Mapping_Sheet!$B$2:$B$3143=$A10)))"),0.0)</f>
        <v>0</v>
      </c>
      <c r="R10" s="34">
        <f>IFERROR(__xludf.DUMMYFUNCTION("IF(ISNA(sum(filter(
Master_Mapping_Sheet!$E$2:$E$3143, ISNUMBER(
Master_Mapping_Sheet!$E$2:$E$3143),
Master_Mapping_Sheet!$H$2:$H$3143=R$1,
Master_Mapping_Sheet!$B$2:$B$3143=$A10))/sum(filter(
Master_Mapping_Sheet!$E$2:$E$3143, ISNUMBER(
Master_Mapping_Sh"&amp;"eet!$E$2:$E$3143),
Master_Mapping_Sheet!$B$2:$B$3143=$A10))), 0, sum(filter(
Master_Mapping_Sheet!$E$2:$E$3143, ISNUMBER(
Master_Mapping_Sheet!$E$2:$E$3143),
Master_Mapping_Sheet!$H$2:$H$3143=R$1,
Master_Mapping_Sheet!$B$2:$B$3143=$A10))/sum(filter(
Maste"&amp;"r_Mapping_Sheet!$E$2:$E$3143, ISNUMBER(
Master_Mapping_Sheet!$E$2:$E$3143),
Master_Mapping_Sheet!$B$2:$B$3143=$A10)))"),0.0)</f>
        <v>0</v>
      </c>
      <c r="S10" s="34">
        <f>IFERROR(__xludf.DUMMYFUNCTION("IF(ISNA(sum(filter(
Master_Mapping_Sheet!$E$2:$E$3143, ISNUMBER(
Master_Mapping_Sheet!$E$2:$E$3143),
Master_Mapping_Sheet!$H$2:$H$3143=S$1,
Master_Mapping_Sheet!$B$2:$B$3143=$A10))/sum(filter(
Master_Mapping_Sheet!$E$2:$E$3143, ISNUMBER(
Master_Mapping_Sh"&amp;"eet!$E$2:$E$3143),
Master_Mapping_Sheet!$B$2:$B$3143=$A10))), 0, sum(filter(
Master_Mapping_Sheet!$E$2:$E$3143, ISNUMBER(
Master_Mapping_Sheet!$E$2:$E$3143),
Master_Mapping_Sheet!$H$2:$H$3143=S$1,
Master_Mapping_Sheet!$B$2:$B$3143=$A10))/sum(filter(
Maste"&amp;"r_Mapping_Sheet!$E$2:$E$3143, ISNUMBER(
Master_Mapping_Sheet!$E$2:$E$3143),
Master_Mapping_Sheet!$B$2:$B$3143=$A10)))"),0.0)</f>
        <v>0</v>
      </c>
      <c r="T10" s="34">
        <f>IFERROR(__xludf.DUMMYFUNCTION("IF(ISNA(sum(filter(
Master_Mapping_Sheet!$E$2:$E$3143, ISNUMBER(
Master_Mapping_Sheet!$E$2:$E$3143),
Master_Mapping_Sheet!$H$2:$H$3143=T$1,
Master_Mapping_Sheet!$B$2:$B$3143=$A10))/sum(filter(
Master_Mapping_Sheet!$E$2:$E$3143, ISNUMBER(
Master_Mapping_Sh"&amp;"eet!$E$2:$E$3143),
Master_Mapping_Sheet!$B$2:$B$3143=$A10))), 0, sum(filter(
Master_Mapping_Sheet!$E$2:$E$3143, ISNUMBER(
Master_Mapping_Sheet!$E$2:$E$3143),
Master_Mapping_Sheet!$H$2:$H$3143=T$1,
Master_Mapping_Sheet!$B$2:$B$3143=$A10))/sum(filter(
Maste"&amp;"r_Mapping_Sheet!$E$2:$E$3143, ISNUMBER(
Master_Mapping_Sheet!$E$2:$E$3143),
Master_Mapping_Sheet!$B$2:$B$3143=$A10)))"),0.0)</f>
        <v>0</v>
      </c>
      <c r="U10" s="34">
        <f>IFERROR(__xludf.DUMMYFUNCTION("IF(ISNA(sum(filter(
Master_Mapping_Sheet!$E$2:$E$3143, ISNUMBER(
Master_Mapping_Sheet!$E$2:$E$3143),
Master_Mapping_Sheet!$H$2:$H$3143=U$1,
Master_Mapping_Sheet!$B$2:$B$3143=$A10))/sum(filter(
Master_Mapping_Sheet!$E$2:$E$3143, ISNUMBER(
Master_Mapping_Sh"&amp;"eet!$E$2:$E$3143),
Master_Mapping_Sheet!$B$2:$B$3143=$A10))), 0, sum(filter(
Master_Mapping_Sheet!$E$2:$E$3143, ISNUMBER(
Master_Mapping_Sheet!$E$2:$E$3143),
Master_Mapping_Sheet!$H$2:$H$3143=U$1,
Master_Mapping_Sheet!$B$2:$B$3143=$A10))/sum(filter(
Maste"&amp;"r_Mapping_Sheet!$E$2:$E$3143, ISNUMBER(
Master_Mapping_Sheet!$E$2:$E$3143),
Master_Mapping_Sheet!$B$2:$B$3143=$A10)))"),0.0)</f>
        <v>0</v>
      </c>
      <c r="V10" s="34">
        <f>IFERROR(__xludf.DUMMYFUNCTION("IF(ISNA(sum(filter(
Master_Mapping_Sheet!$E$2:$E$3143, ISNUMBER(
Master_Mapping_Sheet!$E$2:$E$3143),
Master_Mapping_Sheet!$H$2:$H$3143=V$1,
Master_Mapping_Sheet!$B$2:$B$3143=$A10))/sum(filter(
Master_Mapping_Sheet!$E$2:$E$3143, ISNUMBER(
Master_Mapping_Sh"&amp;"eet!$E$2:$E$3143),
Master_Mapping_Sheet!$B$2:$B$3143=$A10))), 0, sum(filter(
Master_Mapping_Sheet!$E$2:$E$3143, ISNUMBER(
Master_Mapping_Sheet!$E$2:$E$3143),
Master_Mapping_Sheet!$H$2:$H$3143=V$1,
Master_Mapping_Sheet!$B$2:$B$3143=$A10))/sum(filter(
Maste"&amp;"r_Mapping_Sheet!$E$2:$E$3143, ISNUMBER(
Master_Mapping_Sheet!$E$2:$E$3143),
Master_Mapping_Sheet!$B$2:$B$3143=$A10)))"),0.0)</f>
        <v>0</v>
      </c>
      <c r="W10" s="34">
        <f>IFERROR(__xludf.DUMMYFUNCTION("IF(ISNA(sum(filter(
Master_Mapping_Sheet!$E$2:$E$3143, ISNUMBER(
Master_Mapping_Sheet!$E$2:$E$3143),
Master_Mapping_Sheet!$H$2:$H$3143=W$1,
Master_Mapping_Sheet!$B$2:$B$3143=$A10))/sum(filter(
Master_Mapping_Sheet!$E$2:$E$3143, ISNUMBER(
Master_Mapping_Sh"&amp;"eet!$E$2:$E$3143),
Master_Mapping_Sheet!$B$2:$B$3143=$A10))), 0, sum(filter(
Master_Mapping_Sheet!$E$2:$E$3143, ISNUMBER(
Master_Mapping_Sheet!$E$2:$E$3143),
Master_Mapping_Sheet!$H$2:$H$3143=W$1,
Master_Mapping_Sheet!$B$2:$B$3143=$A10))/sum(filter(
Maste"&amp;"r_Mapping_Sheet!$E$2:$E$3143, ISNUMBER(
Master_Mapping_Sheet!$E$2:$E$3143),
Master_Mapping_Sheet!$B$2:$B$3143=$A10)))"),0.0)</f>
        <v>0</v>
      </c>
      <c r="X10" s="34">
        <f>IFERROR(__xludf.DUMMYFUNCTION("IF(ISNA(sum(filter(
Master_Mapping_Sheet!$E$2:$E$3143, ISNUMBER(
Master_Mapping_Sheet!$E$2:$E$3143),
Master_Mapping_Sheet!$H$2:$H$3143=X$1,
Master_Mapping_Sheet!$B$2:$B$3143=$A10))/sum(filter(
Master_Mapping_Sheet!$E$2:$E$3143, ISNUMBER(
Master_Mapping_Sh"&amp;"eet!$E$2:$E$3143),
Master_Mapping_Sheet!$B$2:$B$3143=$A10))), 0, sum(filter(
Master_Mapping_Sheet!$E$2:$E$3143, ISNUMBER(
Master_Mapping_Sheet!$E$2:$E$3143),
Master_Mapping_Sheet!$H$2:$H$3143=X$1,
Master_Mapping_Sheet!$B$2:$B$3143=$A10))/sum(filter(
Maste"&amp;"r_Mapping_Sheet!$E$2:$E$3143, ISNUMBER(
Master_Mapping_Sheet!$E$2:$E$3143),
Master_Mapping_Sheet!$B$2:$B$3143=$A10)))"),0.0)</f>
        <v>0</v>
      </c>
      <c r="Y10" s="34">
        <f>IFERROR(__xludf.DUMMYFUNCTION("IF(ISNA(sum(filter(
Master_Mapping_Sheet!$E$2:$E$3143, ISNUMBER(
Master_Mapping_Sheet!$E$2:$E$3143),
Master_Mapping_Sheet!$H$2:$H$3143=Y$1,
Master_Mapping_Sheet!$B$2:$B$3143=$A10))/sum(filter(
Master_Mapping_Sheet!$E$2:$E$3143, ISNUMBER(
Master_Mapping_Sh"&amp;"eet!$E$2:$E$3143),
Master_Mapping_Sheet!$B$2:$B$3143=$A10))), 0, sum(filter(
Master_Mapping_Sheet!$E$2:$E$3143, ISNUMBER(
Master_Mapping_Sheet!$E$2:$E$3143),
Master_Mapping_Sheet!$H$2:$H$3143=Y$1,
Master_Mapping_Sheet!$B$2:$B$3143=$A10))/sum(filter(
Maste"&amp;"r_Mapping_Sheet!$E$2:$E$3143, ISNUMBER(
Master_Mapping_Sheet!$E$2:$E$3143),
Master_Mapping_Sheet!$B$2:$B$3143=$A10)))"),0.0)</f>
        <v>0</v>
      </c>
      <c r="Z10" s="34">
        <f>IFERROR(__xludf.DUMMYFUNCTION("IF(ISNA(sum(filter(
Master_Mapping_Sheet!$E$2:$E$3143, ISNUMBER(
Master_Mapping_Sheet!$E$2:$E$3143),
Master_Mapping_Sheet!$H$2:$H$3143=Z$1,
Master_Mapping_Sheet!$B$2:$B$3143=$A10))/sum(filter(
Master_Mapping_Sheet!$E$2:$E$3143, ISNUMBER(
Master_Mapping_Sh"&amp;"eet!$E$2:$E$3143),
Master_Mapping_Sheet!$B$2:$B$3143=$A10))), 0, sum(filter(
Master_Mapping_Sheet!$E$2:$E$3143, ISNUMBER(
Master_Mapping_Sheet!$E$2:$E$3143),
Master_Mapping_Sheet!$H$2:$H$3143=Z$1,
Master_Mapping_Sheet!$B$2:$B$3143=$A10))/sum(filter(
Maste"&amp;"r_Mapping_Sheet!$E$2:$E$3143, ISNUMBER(
Master_Mapping_Sheet!$E$2:$E$3143),
Master_Mapping_Sheet!$B$2:$B$3143=$A10)))"),0.0)</f>
        <v>0</v>
      </c>
      <c r="AA10" s="34">
        <f>IFERROR(__xludf.DUMMYFUNCTION("IF(ISNA(sum(filter(
Master_Mapping_Sheet!$E$2:$E$3143, ISNUMBER(
Master_Mapping_Sheet!$E$2:$E$3143),
Master_Mapping_Sheet!$H$2:$H$3143=AA$1,
Master_Mapping_Sheet!$B$2:$B$3143=$A10))/sum(filter(
Master_Mapping_Sheet!$E$2:$E$3143, ISNUMBER(
Master_Mapping_S"&amp;"heet!$E$2:$E$3143),
Master_Mapping_Sheet!$B$2:$B$3143=$A10))), 0, sum(filter(
Master_Mapping_Sheet!$E$2:$E$3143, ISNUMBER(
Master_Mapping_Sheet!$E$2:$E$3143),
Master_Mapping_Sheet!$H$2:$H$3143=AA$1,
Master_Mapping_Sheet!$B$2:$B$3143=$A10))/sum(filter(
Mas"&amp;"ter_Mapping_Sheet!$E$2:$E$3143, ISNUMBER(
Master_Mapping_Sheet!$E$2:$E$3143),
Master_Mapping_Sheet!$B$2:$B$3143=$A10)))"),0.0)</f>
        <v>0</v>
      </c>
    </row>
    <row r="11" ht="15.75" customHeight="1">
      <c r="A11" s="34" t="s">
        <v>410</v>
      </c>
      <c r="B11" s="34" t="s">
        <v>2264</v>
      </c>
      <c r="C11" s="34">
        <f>IFERROR(__xludf.DUMMYFUNCTION("IF(ISNA(sum(filter(
Master_Mapping_Sheet!$E$2:$E$3143, ISNUMBER(
Master_Mapping_Sheet!$E$2:$E$3143),
Master_Mapping_Sheet!$H$2:$H$3143=C$1,
Master_Mapping_Sheet!$B$2:$B$3143=$A11))/sum(filter(
Master_Mapping_Sheet!$E$2:$E$3143, ISNUMBER(
Master_Mapping_Sh"&amp;"eet!$E$2:$E$3143),
Master_Mapping_Sheet!$B$2:$B$3143=$A11))), 0, sum(filter(
Master_Mapping_Sheet!$E$2:$E$3143, ISNUMBER(
Master_Mapping_Sheet!$E$2:$E$3143),
Master_Mapping_Sheet!$H$2:$H$3143=C$1,
Master_Mapping_Sheet!$B$2:$B$3143=$A11))/sum(filter(
Maste"&amp;"r_Mapping_Sheet!$E$2:$E$3143, ISNUMBER(
Master_Mapping_Sheet!$E$2:$E$3143),
Master_Mapping_Sheet!$B$2:$B$3143=$A11)))"),0.0)</f>
        <v>0</v>
      </c>
      <c r="D11" s="32">
        <f>IFERROR(__xludf.DUMMYFUNCTION("IF(ISNA(sum(filter(
Master_Mapping_Sheet!$E$2:$E$3143, ISNUMBER(
Master_Mapping_Sheet!$E$2:$E$3143),
Master_Mapping_Sheet!$H$2:$H$3143=D$1,
Master_Mapping_Sheet!$B$2:$B$3143=$A11))/sum(filter(
Master_Mapping_Sheet!$E$2:$E$3143, ISNUMBER(
Master_Mapping_Sh"&amp;"eet!$E$2:$E$3143),
Master_Mapping_Sheet!$B$2:$B$3143=$A11))), 0, sum(filter(
Master_Mapping_Sheet!$E$2:$E$3143, ISNUMBER(
Master_Mapping_Sheet!$E$2:$E$3143),
Master_Mapping_Sheet!$H$2:$H$3143=D$1,
Master_Mapping_Sheet!$B$2:$B$3143=$A11))/sum(filter(
Maste"&amp;"r_Mapping_Sheet!$E$2:$E$3143, ISNUMBER(
Master_Mapping_Sheet!$E$2:$E$3143),
Master_Mapping_Sheet!$B$2:$B$3143=$A11)))"),0.9491830558647254)</f>
        <v>0.9491830559</v>
      </c>
      <c r="E11" s="34">
        <f>IFERROR(__xludf.DUMMYFUNCTION("IF(ISNA(sum(filter(
Master_Mapping_Sheet!$E$2:$E$3143, ISNUMBER(
Master_Mapping_Sheet!$E$2:$E$3143),
Master_Mapping_Sheet!$H$2:$H$3143=E$1,
Master_Mapping_Sheet!$B$2:$B$3143=$A11))/sum(filter(
Master_Mapping_Sheet!$E$2:$E$3143, ISNUMBER(
Master_Mapping_Sh"&amp;"eet!$E$2:$E$3143),
Master_Mapping_Sheet!$B$2:$B$3143=$A11))), 0, sum(filter(
Master_Mapping_Sheet!$E$2:$E$3143, ISNUMBER(
Master_Mapping_Sheet!$E$2:$E$3143),
Master_Mapping_Sheet!$H$2:$H$3143=E$1,
Master_Mapping_Sheet!$B$2:$B$3143=$A11))/sum(filter(
Maste"&amp;"r_Mapping_Sheet!$E$2:$E$3143, ISNUMBER(
Master_Mapping_Sheet!$E$2:$E$3143),
Master_Mapping_Sheet!$B$2:$B$3143=$A11)))"),0.0)</f>
        <v>0</v>
      </c>
      <c r="F11" s="34">
        <f>IFERROR(__xludf.DUMMYFUNCTION("IF(ISNA(sum(filter(
Master_Mapping_Sheet!$E$2:$E$3143, ISNUMBER(
Master_Mapping_Sheet!$E$2:$E$3143),
Master_Mapping_Sheet!$H$2:$H$3143=F$1,
Master_Mapping_Sheet!$B$2:$B$3143=$A11))/sum(filter(
Master_Mapping_Sheet!$E$2:$E$3143, ISNUMBER(
Master_Mapping_Sh"&amp;"eet!$E$2:$E$3143),
Master_Mapping_Sheet!$B$2:$B$3143=$A11))), 0, sum(filter(
Master_Mapping_Sheet!$E$2:$E$3143, ISNUMBER(
Master_Mapping_Sheet!$E$2:$E$3143),
Master_Mapping_Sheet!$H$2:$H$3143=F$1,
Master_Mapping_Sheet!$B$2:$B$3143=$A11))/sum(filter(
Maste"&amp;"r_Mapping_Sheet!$E$2:$E$3143, ISNUMBER(
Master_Mapping_Sheet!$E$2:$E$3143),
Master_Mapping_Sheet!$B$2:$B$3143=$A11)))"),0.0)</f>
        <v>0</v>
      </c>
      <c r="G11" s="34">
        <f>IFERROR(__xludf.DUMMYFUNCTION("IF(ISNA(sum(filter(
Master_Mapping_Sheet!$E$2:$E$3143, ISNUMBER(
Master_Mapping_Sheet!$E$2:$E$3143),
Master_Mapping_Sheet!$H$2:$H$3143=G$1,
Master_Mapping_Sheet!$B$2:$B$3143=$A11))/sum(filter(
Master_Mapping_Sheet!$E$2:$E$3143, ISNUMBER(
Master_Mapping_Sh"&amp;"eet!$E$2:$E$3143),
Master_Mapping_Sheet!$B$2:$B$3143=$A11))), 0, sum(filter(
Master_Mapping_Sheet!$E$2:$E$3143, ISNUMBER(
Master_Mapping_Sheet!$E$2:$E$3143),
Master_Mapping_Sheet!$H$2:$H$3143=G$1,
Master_Mapping_Sheet!$B$2:$B$3143=$A11))/sum(filter(
Maste"&amp;"r_Mapping_Sheet!$E$2:$E$3143, ISNUMBER(
Master_Mapping_Sheet!$E$2:$E$3143),
Master_Mapping_Sheet!$B$2:$B$3143=$A11)))"),0.0)</f>
        <v>0</v>
      </c>
      <c r="H11" s="34">
        <f>IFERROR(__xludf.DUMMYFUNCTION("IF(ISNA(sum(filter(
Master_Mapping_Sheet!$E$2:$E$3143, ISNUMBER(
Master_Mapping_Sheet!$E$2:$E$3143),
Master_Mapping_Sheet!$H$2:$H$3143=H$1,
Master_Mapping_Sheet!$B$2:$B$3143=$A11))/sum(filter(
Master_Mapping_Sheet!$E$2:$E$3143, ISNUMBER(
Master_Mapping_Sh"&amp;"eet!$E$2:$E$3143),
Master_Mapping_Sheet!$B$2:$B$3143=$A11))), 0, sum(filter(
Master_Mapping_Sheet!$E$2:$E$3143, ISNUMBER(
Master_Mapping_Sheet!$E$2:$E$3143),
Master_Mapping_Sheet!$H$2:$H$3143=H$1,
Master_Mapping_Sheet!$B$2:$B$3143=$A11))/sum(filter(
Maste"&amp;"r_Mapping_Sheet!$E$2:$E$3143, ISNUMBER(
Master_Mapping_Sheet!$E$2:$E$3143),
Master_Mapping_Sheet!$B$2:$B$3143=$A11)))"),0.0)</f>
        <v>0</v>
      </c>
      <c r="I11" s="34">
        <f>IFERROR(__xludf.DUMMYFUNCTION("IF(ISNA(sum(filter(
Master_Mapping_Sheet!$E$2:$E$3143, ISNUMBER(
Master_Mapping_Sheet!$E$2:$E$3143),
Master_Mapping_Sheet!$H$2:$H$3143=I$1,
Master_Mapping_Sheet!$B$2:$B$3143=$A11))/sum(filter(
Master_Mapping_Sheet!$E$2:$E$3143, ISNUMBER(
Master_Mapping_Sh"&amp;"eet!$E$2:$E$3143),
Master_Mapping_Sheet!$B$2:$B$3143=$A11))), 0, sum(filter(
Master_Mapping_Sheet!$E$2:$E$3143, ISNUMBER(
Master_Mapping_Sheet!$E$2:$E$3143),
Master_Mapping_Sheet!$H$2:$H$3143=I$1,
Master_Mapping_Sheet!$B$2:$B$3143=$A11))/sum(filter(
Maste"&amp;"r_Mapping_Sheet!$E$2:$E$3143, ISNUMBER(
Master_Mapping_Sheet!$E$2:$E$3143),
Master_Mapping_Sheet!$B$2:$B$3143=$A11)))"),0.0)</f>
        <v>0</v>
      </c>
      <c r="J11" s="34">
        <f>IFERROR(__xludf.DUMMYFUNCTION("IF(ISNA(sum(filter(
Master_Mapping_Sheet!$E$2:$E$3143, ISNUMBER(
Master_Mapping_Sheet!$E$2:$E$3143),
Master_Mapping_Sheet!$H$2:$H$3143=J$1,
Master_Mapping_Sheet!$B$2:$B$3143=$A11))/sum(filter(
Master_Mapping_Sheet!$E$2:$E$3143, ISNUMBER(
Master_Mapping_Sh"&amp;"eet!$E$2:$E$3143),
Master_Mapping_Sheet!$B$2:$B$3143=$A11))), 0, sum(filter(
Master_Mapping_Sheet!$E$2:$E$3143, ISNUMBER(
Master_Mapping_Sheet!$E$2:$E$3143),
Master_Mapping_Sheet!$H$2:$H$3143=J$1,
Master_Mapping_Sheet!$B$2:$B$3143=$A11))/sum(filter(
Maste"&amp;"r_Mapping_Sheet!$E$2:$E$3143, ISNUMBER(
Master_Mapping_Sheet!$E$2:$E$3143),
Master_Mapping_Sheet!$B$2:$B$3143=$A11)))"),0.0)</f>
        <v>0</v>
      </c>
      <c r="K11" s="34">
        <f>IFERROR(__xludf.DUMMYFUNCTION("IF(ISNA(sum(filter(
Master_Mapping_Sheet!$E$2:$E$3143, ISNUMBER(
Master_Mapping_Sheet!$E$2:$E$3143),
Master_Mapping_Sheet!$H$2:$H$3143=K$1,
Master_Mapping_Sheet!$B$2:$B$3143=$A11))/sum(filter(
Master_Mapping_Sheet!$E$2:$E$3143, ISNUMBER(
Master_Mapping_Sh"&amp;"eet!$E$2:$E$3143),
Master_Mapping_Sheet!$B$2:$B$3143=$A11))), 0, sum(filter(
Master_Mapping_Sheet!$E$2:$E$3143, ISNUMBER(
Master_Mapping_Sheet!$E$2:$E$3143),
Master_Mapping_Sheet!$H$2:$H$3143=K$1,
Master_Mapping_Sheet!$B$2:$B$3143=$A11))/sum(filter(
Maste"&amp;"r_Mapping_Sheet!$E$2:$E$3143, ISNUMBER(
Master_Mapping_Sheet!$E$2:$E$3143),
Master_Mapping_Sheet!$B$2:$B$3143=$A11)))"),0.0)</f>
        <v>0</v>
      </c>
      <c r="L11" s="34">
        <f>IFERROR(__xludf.DUMMYFUNCTION("IF(ISNA(sum(filter(
Master_Mapping_Sheet!$E$2:$E$3143, ISNUMBER(
Master_Mapping_Sheet!$E$2:$E$3143),
Master_Mapping_Sheet!$H$2:$H$3143=L$1,
Master_Mapping_Sheet!$B$2:$B$3143=$A11))/sum(filter(
Master_Mapping_Sheet!$E$2:$E$3143, ISNUMBER(
Master_Mapping_Sh"&amp;"eet!$E$2:$E$3143),
Master_Mapping_Sheet!$B$2:$B$3143=$A11))), 0, sum(filter(
Master_Mapping_Sheet!$E$2:$E$3143, ISNUMBER(
Master_Mapping_Sheet!$E$2:$E$3143),
Master_Mapping_Sheet!$H$2:$H$3143=L$1,
Master_Mapping_Sheet!$B$2:$B$3143=$A11))/sum(filter(
Maste"&amp;"r_Mapping_Sheet!$E$2:$E$3143, ISNUMBER(
Master_Mapping_Sheet!$E$2:$E$3143),
Master_Mapping_Sheet!$B$2:$B$3143=$A11)))"),0.0)</f>
        <v>0</v>
      </c>
      <c r="M11" s="34">
        <f>IFERROR(__xludf.DUMMYFUNCTION("IF(ISNA(sum(filter(
Master_Mapping_Sheet!$E$2:$E$3143, ISNUMBER(
Master_Mapping_Sheet!$E$2:$E$3143),
Master_Mapping_Sheet!$H$2:$H$3143=M$1,
Master_Mapping_Sheet!$B$2:$B$3143=$A11))/sum(filter(
Master_Mapping_Sheet!$E$2:$E$3143, ISNUMBER(
Master_Mapping_Sh"&amp;"eet!$E$2:$E$3143),
Master_Mapping_Sheet!$B$2:$B$3143=$A11))), 0, sum(filter(
Master_Mapping_Sheet!$E$2:$E$3143, ISNUMBER(
Master_Mapping_Sheet!$E$2:$E$3143),
Master_Mapping_Sheet!$H$2:$H$3143=M$1,
Master_Mapping_Sheet!$B$2:$B$3143=$A11))/sum(filter(
Maste"&amp;"r_Mapping_Sheet!$E$2:$E$3143, ISNUMBER(
Master_Mapping_Sheet!$E$2:$E$3143),
Master_Mapping_Sheet!$B$2:$B$3143=$A11)))"),0.0)</f>
        <v>0</v>
      </c>
      <c r="N11" s="34">
        <f>IFERROR(__xludf.DUMMYFUNCTION("IF(ISNA(sum(filter(
Master_Mapping_Sheet!$E$2:$E$3143, ISNUMBER(
Master_Mapping_Sheet!$E$2:$E$3143),
Master_Mapping_Sheet!$H$2:$H$3143=N$1,
Master_Mapping_Sheet!$B$2:$B$3143=$A11))/sum(filter(
Master_Mapping_Sheet!$E$2:$E$3143, ISNUMBER(
Master_Mapping_Sh"&amp;"eet!$E$2:$E$3143),
Master_Mapping_Sheet!$B$2:$B$3143=$A11))), 0, sum(filter(
Master_Mapping_Sheet!$E$2:$E$3143, ISNUMBER(
Master_Mapping_Sheet!$E$2:$E$3143),
Master_Mapping_Sheet!$H$2:$H$3143=N$1,
Master_Mapping_Sheet!$B$2:$B$3143=$A11))/sum(filter(
Maste"&amp;"r_Mapping_Sheet!$E$2:$E$3143, ISNUMBER(
Master_Mapping_Sheet!$E$2:$E$3143),
Master_Mapping_Sheet!$B$2:$B$3143=$A11)))"),0.0)</f>
        <v>0</v>
      </c>
      <c r="O11" s="34">
        <f>IFERROR(__xludf.DUMMYFUNCTION("IF(ISNA(sum(filter(
Master_Mapping_Sheet!$E$2:$E$3143, ISNUMBER(
Master_Mapping_Sheet!$E$2:$E$3143),
Master_Mapping_Sheet!$H$2:$H$3143=O$1,
Master_Mapping_Sheet!$B$2:$B$3143=$A11))/sum(filter(
Master_Mapping_Sheet!$E$2:$E$3143, ISNUMBER(
Master_Mapping_Sh"&amp;"eet!$E$2:$E$3143),
Master_Mapping_Sheet!$B$2:$B$3143=$A11))), 0, sum(filter(
Master_Mapping_Sheet!$E$2:$E$3143, ISNUMBER(
Master_Mapping_Sheet!$E$2:$E$3143),
Master_Mapping_Sheet!$H$2:$H$3143=O$1,
Master_Mapping_Sheet!$B$2:$B$3143=$A11))/sum(filter(
Maste"&amp;"r_Mapping_Sheet!$E$2:$E$3143, ISNUMBER(
Master_Mapping_Sheet!$E$2:$E$3143),
Master_Mapping_Sheet!$B$2:$B$3143=$A11)))"),0.0)</f>
        <v>0</v>
      </c>
      <c r="P11" s="34">
        <f>IFERROR(__xludf.DUMMYFUNCTION("IF(ISNA(sum(filter(
Master_Mapping_Sheet!$E$2:$E$3143, ISNUMBER(
Master_Mapping_Sheet!$E$2:$E$3143),
Master_Mapping_Sheet!$H$2:$H$3143=P$1,
Master_Mapping_Sheet!$B$2:$B$3143=$A11))/sum(filter(
Master_Mapping_Sheet!$E$2:$E$3143, ISNUMBER(
Master_Mapping_Sh"&amp;"eet!$E$2:$E$3143),
Master_Mapping_Sheet!$B$2:$B$3143=$A11))), 0, sum(filter(
Master_Mapping_Sheet!$E$2:$E$3143, ISNUMBER(
Master_Mapping_Sheet!$E$2:$E$3143),
Master_Mapping_Sheet!$H$2:$H$3143=P$1,
Master_Mapping_Sheet!$B$2:$B$3143=$A11))/sum(filter(
Maste"&amp;"r_Mapping_Sheet!$E$2:$E$3143, ISNUMBER(
Master_Mapping_Sheet!$E$2:$E$3143),
Master_Mapping_Sheet!$B$2:$B$3143=$A11)))"),0.0)</f>
        <v>0</v>
      </c>
      <c r="Q11" s="34">
        <f>IFERROR(__xludf.DUMMYFUNCTION("IF(ISNA(sum(filter(
Master_Mapping_Sheet!$E$2:$E$3143, ISNUMBER(
Master_Mapping_Sheet!$E$2:$E$3143),
Master_Mapping_Sheet!$H$2:$H$3143=Q$1,
Master_Mapping_Sheet!$B$2:$B$3143=$A11))/sum(filter(
Master_Mapping_Sheet!$E$2:$E$3143, ISNUMBER(
Master_Mapping_Sh"&amp;"eet!$E$2:$E$3143),
Master_Mapping_Sheet!$B$2:$B$3143=$A11))), 0, sum(filter(
Master_Mapping_Sheet!$E$2:$E$3143, ISNUMBER(
Master_Mapping_Sheet!$E$2:$E$3143),
Master_Mapping_Sheet!$H$2:$H$3143=Q$1,
Master_Mapping_Sheet!$B$2:$B$3143=$A11))/sum(filter(
Maste"&amp;"r_Mapping_Sheet!$E$2:$E$3143, ISNUMBER(
Master_Mapping_Sheet!$E$2:$E$3143),
Master_Mapping_Sheet!$B$2:$B$3143=$A11)))"),0.05081694413527456)</f>
        <v>0.05081694414</v>
      </c>
      <c r="R11" s="34">
        <f>IFERROR(__xludf.DUMMYFUNCTION("IF(ISNA(sum(filter(
Master_Mapping_Sheet!$E$2:$E$3143, ISNUMBER(
Master_Mapping_Sheet!$E$2:$E$3143),
Master_Mapping_Sheet!$H$2:$H$3143=R$1,
Master_Mapping_Sheet!$B$2:$B$3143=$A11))/sum(filter(
Master_Mapping_Sheet!$E$2:$E$3143, ISNUMBER(
Master_Mapping_Sh"&amp;"eet!$E$2:$E$3143),
Master_Mapping_Sheet!$B$2:$B$3143=$A11))), 0, sum(filter(
Master_Mapping_Sheet!$E$2:$E$3143, ISNUMBER(
Master_Mapping_Sheet!$E$2:$E$3143),
Master_Mapping_Sheet!$H$2:$H$3143=R$1,
Master_Mapping_Sheet!$B$2:$B$3143=$A11))/sum(filter(
Maste"&amp;"r_Mapping_Sheet!$E$2:$E$3143, ISNUMBER(
Master_Mapping_Sheet!$E$2:$E$3143),
Master_Mapping_Sheet!$B$2:$B$3143=$A11)))"),0.0)</f>
        <v>0</v>
      </c>
      <c r="S11" s="34">
        <f>IFERROR(__xludf.DUMMYFUNCTION("IF(ISNA(sum(filter(
Master_Mapping_Sheet!$E$2:$E$3143, ISNUMBER(
Master_Mapping_Sheet!$E$2:$E$3143),
Master_Mapping_Sheet!$H$2:$H$3143=S$1,
Master_Mapping_Sheet!$B$2:$B$3143=$A11))/sum(filter(
Master_Mapping_Sheet!$E$2:$E$3143, ISNUMBER(
Master_Mapping_Sh"&amp;"eet!$E$2:$E$3143),
Master_Mapping_Sheet!$B$2:$B$3143=$A11))), 0, sum(filter(
Master_Mapping_Sheet!$E$2:$E$3143, ISNUMBER(
Master_Mapping_Sheet!$E$2:$E$3143),
Master_Mapping_Sheet!$H$2:$H$3143=S$1,
Master_Mapping_Sheet!$B$2:$B$3143=$A11))/sum(filter(
Maste"&amp;"r_Mapping_Sheet!$E$2:$E$3143, ISNUMBER(
Master_Mapping_Sheet!$E$2:$E$3143),
Master_Mapping_Sheet!$B$2:$B$3143=$A11)))"),0.0)</f>
        <v>0</v>
      </c>
      <c r="T11" s="34">
        <f>IFERROR(__xludf.DUMMYFUNCTION("IF(ISNA(sum(filter(
Master_Mapping_Sheet!$E$2:$E$3143, ISNUMBER(
Master_Mapping_Sheet!$E$2:$E$3143),
Master_Mapping_Sheet!$H$2:$H$3143=T$1,
Master_Mapping_Sheet!$B$2:$B$3143=$A11))/sum(filter(
Master_Mapping_Sheet!$E$2:$E$3143, ISNUMBER(
Master_Mapping_Sh"&amp;"eet!$E$2:$E$3143),
Master_Mapping_Sheet!$B$2:$B$3143=$A11))), 0, sum(filter(
Master_Mapping_Sheet!$E$2:$E$3143, ISNUMBER(
Master_Mapping_Sheet!$E$2:$E$3143),
Master_Mapping_Sheet!$H$2:$H$3143=T$1,
Master_Mapping_Sheet!$B$2:$B$3143=$A11))/sum(filter(
Maste"&amp;"r_Mapping_Sheet!$E$2:$E$3143, ISNUMBER(
Master_Mapping_Sheet!$E$2:$E$3143),
Master_Mapping_Sheet!$B$2:$B$3143=$A11)))"),0.0)</f>
        <v>0</v>
      </c>
      <c r="U11" s="34">
        <f>IFERROR(__xludf.DUMMYFUNCTION("IF(ISNA(sum(filter(
Master_Mapping_Sheet!$E$2:$E$3143, ISNUMBER(
Master_Mapping_Sheet!$E$2:$E$3143),
Master_Mapping_Sheet!$H$2:$H$3143=U$1,
Master_Mapping_Sheet!$B$2:$B$3143=$A11))/sum(filter(
Master_Mapping_Sheet!$E$2:$E$3143, ISNUMBER(
Master_Mapping_Sh"&amp;"eet!$E$2:$E$3143),
Master_Mapping_Sheet!$B$2:$B$3143=$A11))), 0, sum(filter(
Master_Mapping_Sheet!$E$2:$E$3143, ISNUMBER(
Master_Mapping_Sheet!$E$2:$E$3143),
Master_Mapping_Sheet!$H$2:$H$3143=U$1,
Master_Mapping_Sheet!$B$2:$B$3143=$A11))/sum(filter(
Maste"&amp;"r_Mapping_Sheet!$E$2:$E$3143, ISNUMBER(
Master_Mapping_Sheet!$E$2:$E$3143),
Master_Mapping_Sheet!$B$2:$B$3143=$A11)))"),0.0)</f>
        <v>0</v>
      </c>
      <c r="V11" s="34">
        <f>IFERROR(__xludf.DUMMYFUNCTION("IF(ISNA(sum(filter(
Master_Mapping_Sheet!$E$2:$E$3143, ISNUMBER(
Master_Mapping_Sheet!$E$2:$E$3143),
Master_Mapping_Sheet!$H$2:$H$3143=V$1,
Master_Mapping_Sheet!$B$2:$B$3143=$A11))/sum(filter(
Master_Mapping_Sheet!$E$2:$E$3143, ISNUMBER(
Master_Mapping_Sh"&amp;"eet!$E$2:$E$3143),
Master_Mapping_Sheet!$B$2:$B$3143=$A11))), 0, sum(filter(
Master_Mapping_Sheet!$E$2:$E$3143, ISNUMBER(
Master_Mapping_Sheet!$E$2:$E$3143),
Master_Mapping_Sheet!$H$2:$H$3143=V$1,
Master_Mapping_Sheet!$B$2:$B$3143=$A11))/sum(filter(
Maste"&amp;"r_Mapping_Sheet!$E$2:$E$3143, ISNUMBER(
Master_Mapping_Sheet!$E$2:$E$3143),
Master_Mapping_Sheet!$B$2:$B$3143=$A11)))"),0.0)</f>
        <v>0</v>
      </c>
      <c r="W11" s="34">
        <f>IFERROR(__xludf.DUMMYFUNCTION("IF(ISNA(sum(filter(
Master_Mapping_Sheet!$E$2:$E$3143, ISNUMBER(
Master_Mapping_Sheet!$E$2:$E$3143),
Master_Mapping_Sheet!$H$2:$H$3143=W$1,
Master_Mapping_Sheet!$B$2:$B$3143=$A11))/sum(filter(
Master_Mapping_Sheet!$E$2:$E$3143, ISNUMBER(
Master_Mapping_Sh"&amp;"eet!$E$2:$E$3143),
Master_Mapping_Sheet!$B$2:$B$3143=$A11))), 0, sum(filter(
Master_Mapping_Sheet!$E$2:$E$3143, ISNUMBER(
Master_Mapping_Sheet!$E$2:$E$3143),
Master_Mapping_Sheet!$H$2:$H$3143=W$1,
Master_Mapping_Sheet!$B$2:$B$3143=$A11))/sum(filter(
Maste"&amp;"r_Mapping_Sheet!$E$2:$E$3143, ISNUMBER(
Master_Mapping_Sheet!$E$2:$E$3143),
Master_Mapping_Sheet!$B$2:$B$3143=$A11)))"),0.0)</f>
        <v>0</v>
      </c>
      <c r="X11" s="34">
        <f>IFERROR(__xludf.DUMMYFUNCTION("IF(ISNA(sum(filter(
Master_Mapping_Sheet!$E$2:$E$3143, ISNUMBER(
Master_Mapping_Sheet!$E$2:$E$3143),
Master_Mapping_Sheet!$H$2:$H$3143=X$1,
Master_Mapping_Sheet!$B$2:$B$3143=$A11))/sum(filter(
Master_Mapping_Sheet!$E$2:$E$3143, ISNUMBER(
Master_Mapping_Sh"&amp;"eet!$E$2:$E$3143),
Master_Mapping_Sheet!$B$2:$B$3143=$A11))), 0, sum(filter(
Master_Mapping_Sheet!$E$2:$E$3143, ISNUMBER(
Master_Mapping_Sheet!$E$2:$E$3143),
Master_Mapping_Sheet!$H$2:$H$3143=X$1,
Master_Mapping_Sheet!$B$2:$B$3143=$A11))/sum(filter(
Maste"&amp;"r_Mapping_Sheet!$E$2:$E$3143, ISNUMBER(
Master_Mapping_Sheet!$E$2:$E$3143),
Master_Mapping_Sheet!$B$2:$B$3143=$A11)))"),0.0)</f>
        <v>0</v>
      </c>
      <c r="Y11" s="34">
        <f>IFERROR(__xludf.DUMMYFUNCTION("IF(ISNA(sum(filter(
Master_Mapping_Sheet!$E$2:$E$3143, ISNUMBER(
Master_Mapping_Sheet!$E$2:$E$3143),
Master_Mapping_Sheet!$H$2:$H$3143=Y$1,
Master_Mapping_Sheet!$B$2:$B$3143=$A11))/sum(filter(
Master_Mapping_Sheet!$E$2:$E$3143, ISNUMBER(
Master_Mapping_Sh"&amp;"eet!$E$2:$E$3143),
Master_Mapping_Sheet!$B$2:$B$3143=$A11))), 0, sum(filter(
Master_Mapping_Sheet!$E$2:$E$3143, ISNUMBER(
Master_Mapping_Sheet!$E$2:$E$3143),
Master_Mapping_Sheet!$H$2:$H$3143=Y$1,
Master_Mapping_Sheet!$B$2:$B$3143=$A11))/sum(filter(
Maste"&amp;"r_Mapping_Sheet!$E$2:$E$3143, ISNUMBER(
Master_Mapping_Sheet!$E$2:$E$3143),
Master_Mapping_Sheet!$B$2:$B$3143=$A11)))"),0.0)</f>
        <v>0</v>
      </c>
      <c r="Z11" s="34">
        <f>IFERROR(__xludf.DUMMYFUNCTION("IF(ISNA(sum(filter(
Master_Mapping_Sheet!$E$2:$E$3143, ISNUMBER(
Master_Mapping_Sheet!$E$2:$E$3143),
Master_Mapping_Sheet!$H$2:$H$3143=Z$1,
Master_Mapping_Sheet!$B$2:$B$3143=$A11))/sum(filter(
Master_Mapping_Sheet!$E$2:$E$3143, ISNUMBER(
Master_Mapping_Sh"&amp;"eet!$E$2:$E$3143),
Master_Mapping_Sheet!$B$2:$B$3143=$A11))), 0, sum(filter(
Master_Mapping_Sheet!$E$2:$E$3143, ISNUMBER(
Master_Mapping_Sheet!$E$2:$E$3143),
Master_Mapping_Sheet!$H$2:$H$3143=Z$1,
Master_Mapping_Sheet!$B$2:$B$3143=$A11))/sum(filter(
Maste"&amp;"r_Mapping_Sheet!$E$2:$E$3143, ISNUMBER(
Master_Mapping_Sheet!$E$2:$E$3143),
Master_Mapping_Sheet!$B$2:$B$3143=$A11)))"),0.0)</f>
        <v>0</v>
      </c>
      <c r="AA11" s="34">
        <f>IFERROR(__xludf.DUMMYFUNCTION("IF(ISNA(sum(filter(
Master_Mapping_Sheet!$E$2:$E$3143, ISNUMBER(
Master_Mapping_Sheet!$E$2:$E$3143),
Master_Mapping_Sheet!$H$2:$H$3143=AA$1,
Master_Mapping_Sheet!$B$2:$B$3143=$A11))/sum(filter(
Master_Mapping_Sheet!$E$2:$E$3143, ISNUMBER(
Master_Mapping_S"&amp;"heet!$E$2:$E$3143),
Master_Mapping_Sheet!$B$2:$B$3143=$A11))), 0, sum(filter(
Master_Mapping_Sheet!$E$2:$E$3143, ISNUMBER(
Master_Mapping_Sheet!$E$2:$E$3143),
Master_Mapping_Sheet!$H$2:$H$3143=AA$1,
Master_Mapping_Sheet!$B$2:$B$3143=$A11))/sum(filter(
Mas"&amp;"ter_Mapping_Sheet!$E$2:$E$3143, ISNUMBER(
Master_Mapping_Sheet!$E$2:$E$3143),
Master_Mapping_Sheet!$B$2:$B$3143=$A11)))"),0.0)</f>
        <v>0</v>
      </c>
    </row>
    <row r="12" ht="15.75" customHeight="1">
      <c r="A12" s="34" t="s">
        <v>461</v>
      </c>
      <c r="B12" s="34" t="s">
        <v>2314</v>
      </c>
      <c r="C12" s="34">
        <f>IFERROR(__xludf.DUMMYFUNCTION("IF(ISNA(sum(filter(
Master_Mapping_Sheet!$E$2:$E$3143, ISNUMBER(
Master_Mapping_Sheet!$E$2:$E$3143),
Master_Mapping_Sheet!$H$2:$H$3143=C$1,
Master_Mapping_Sheet!$B$2:$B$3143=$A12))/sum(filter(
Master_Mapping_Sheet!$E$2:$E$3143, ISNUMBER(
Master_Mapping_Sh"&amp;"eet!$E$2:$E$3143),
Master_Mapping_Sheet!$B$2:$B$3143=$A12))), 0, sum(filter(
Master_Mapping_Sheet!$E$2:$E$3143, ISNUMBER(
Master_Mapping_Sheet!$E$2:$E$3143),
Master_Mapping_Sheet!$H$2:$H$3143=C$1,
Master_Mapping_Sheet!$B$2:$B$3143=$A12))/sum(filter(
Maste"&amp;"r_Mapping_Sheet!$E$2:$E$3143, ISNUMBER(
Master_Mapping_Sheet!$E$2:$E$3143),
Master_Mapping_Sheet!$B$2:$B$3143=$A12)))"),0.0)</f>
        <v>0</v>
      </c>
      <c r="D12" s="32">
        <f>IFERROR(__xludf.DUMMYFUNCTION("IF(ISNA(sum(filter(
Master_Mapping_Sheet!$E$2:$E$3143, ISNUMBER(
Master_Mapping_Sheet!$E$2:$E$3143),
Master_Mapping_Sheet!$H$2:$H$3143=D$1,
Master_Mapping_Sheet!$B$2:$B$3143=$A12))/sum(filter(
Master_Mapping_Sheet!$E$2:$E$3143, ISNUMBER(
Master_Mapping_Sh"&amp;"eet!$E$2:$E$3143),
Master_Mapping_Sheet!$B$2:$B$3143=$A12))), 0, sum(filter(
Master_Mapping_Sheet!$E$2:$E$3143, ISNUMBER(
Master_Mapping_Sheet!$E$2:$E$3143),
Master_Mapping_Sheet!$H$2:$H$3143=D$1,
Master_Mapping_Sheet!$B$2:$B$3143=$A12))/sum(filter(
Maste"&amp;"r_Mapping_Sheet!$E$2:$E$3143, ISNUMBER(
Master_Mapping_Sheet!$E$2:$E$3143),
Master_Mapping_Sheet!$B$2:$B$3143=$A12)))"),0.0)</f>
        <v>0</v>
      </c>
      <c r="E12" s="34">
        <f>IFERROR(__xludf.DUMMYFUNCTION("IF(ISNA(sum(filter(
Master_Mapping_Sheet!$E$2:$E$3143, ISNUMBER(
Master_Mapping_Sheet!$E$2:$E$3143),
Master_Mapping_Sheet!$H$2:$H$3143=E$1,
Master_Mapping_Sheet!$B$2:$B$3143=$A12))/sum(filter(
Master_Mapping_Sheet!$E$2:$E$3143, ISNUMBER(
Master_Mapping_Sh"&amp;"eet!$E$2:$E$3143),
Master_Mapping_Sheet!$B$2:$B$3143=$A12))), 0, sum(filter(
Master_Mapping_Sheet!$E$2:$E$3143, ISNUMBER(
Master_Mapping_Sheet!$E$2:$E$3143),
Master_Mapping_Sheet!$H$2:$H$3143=E$1,
Master_Mapping_Sheet!$B$2:$B$3143=$A12))/sum(filter(
Maste"&amp;"r_Mapping_Sheet!$E$2:$E$3143, ISNUMBER(
Master_Mapping_Sheet!$E$2:$E$3143),
Master_Mapping_Sheet!$B$2:$B$3143=$A12)))"),0.0)</f>
        <v>0</v>
      </c>
      <c r="F12" s="34">
        <f>IFERROR(__xludf.DUMMYFUNCTION("IF(ISNA(sum(filter(
Master_Mapping_Sheet!$E$2:$E$3143, ISNUMBER(
Master_Mapping_Sheet!$E$2:$E$3143),
Master_Mapping_Sheet!$H$2:$H$3143=F$1,
Master_Mapping_Sheet!$B$2:$B$3143=$A12))/sum(filter(
Master_Mapping_Sheet!$E$2:$E$3143, ISNUMBER(
Master_Mapping_Sh"&amp;"eet!$E$2:$E$3143),
Master_Mapping_Sheet!$B$2:$B$3143=$A12))), 0, sum(filter(
Master_Mapping_Sheet!$E$2:$E$3143, ISNUMBER(
Master_Mapping_Sheet!$E$2:$E$3143),
Master_Mapping_Sheet!$H$2:$H$3143=F$1,
Master_Mapping_Sheet!$B$2:$B$3143=$A12))/sum(filter(
Maste"&amp;"r_Mapping_Sheet!$E$2:$E$3143, ISNUMBER(
Master_Mapping_Sheet!$E$2:$E$3143),
Master_Mapping_Sheet!$B$2:$B$3143=$A12)))"),0.0)</f>
        <v>0</v>
      </c>
      <c r="G12" s="34">
        <f>IFERROR(__xludf.DUMMYFUNCTION("IF(ISNA(sum(filter(
Master_Mapping_Sheet!$E$2:$E$3143, ISNUMBER(
Master_Mapping_Sheet!$E$2:$E$3143),
Master_Mapping_Sheet!$H$2:$H$3143=G$1,
Master_Mapping_Sheet!$B$2:$B$3143=$A12))/sum(filter(
Master_Mapping_Sheet!$E$2:$E$3143, ISNUMBER(
Master_Mapping_Sh"&amp;"eet!$E$2:$E$3143),
Master_Mapping_Sheet!$B$2:$B$3143=$A12))), 0, sum(filter(
Master_Mapping_Sheet!$E$2:$E$3143, ISNUMBER(
Master_Mapping_Sheet!$E$2:$E$3143),
Master_Mapping_Sheet!$H$2:$H$3143=G$1,
Master_Mapping_Sheet!$B$2:$B$3143=$A12))/sum(filter(
Maste"&amp;"r_Mapping_Sheet!$E$2:$E$3143, ISNUMBER(
Master_Mapping_Sheet!$E$2:$E$3143),
Master_Mapping_Sheet!$B$2:$B$3143=$A12)))"),0.0)</f>
        <v>0</v>
      </c>
      <c r="H12" s="34">
        <f>IFERROR(__xludf.DUMMYFUNCTION("IF(ISNA(sum(filter(
Master_Mapping_Sheet!$E$2:$E$3143, ISNUMBER(
Master_Mapping_Sheet!$E$2:$E$3143),
Master_Mapping_Sheet!$H$2:$H$3143=H$1,
Master_Mapping_Sheet!$B$2:$B$3143=$A12))/sum(filter(
Master_Mapping_Sheet!$E$2:$E$3143, ISNUMBER(
Master_Mapping_Sh"&amp;"eet!$E$2:$E$3143),
Master_Mapping_Sheet!$B$2:$B$3143=$A12))), 0, sum(filter(
Master_Mapping_Sheet!$E$2:$E$3143, ISNUMBER(
Master_Mapping_Sheet!$E$2:$E$3143),
Master_Mapping_Sheet!$H$2:$H$3143=H$1,
Master_Mapping_Sheet!$B$2:$B$3143=$A12))/sum(filter(
Maste"&amp;"r_Mapping_Sheet!$E$2:$E$3143, ISNUMBER(
Master_Mapping_Sheet!$E$2:$E$3143),
Master_Mapping_Sheet!$B$2:$B$3143=$A12)))"),0.0)</f>
        <v>0</v>
      </c>
      <c r="I12" s="34">
        <f>IFERROR(__xludf.DUMMYFUNCTION("IF(ISNA(sum(filter(
Master_Mapping_Sheet!$E$2:$E$3143, ISNUMBER(
Master_Mapping_Sheet!$E$2:$E$3143),
Master_Mapping_Sheet!$H$2:$H$3143=I$1,
Master_Mapping_Sheet!$B$2:$B$3143=$A12))/sum(filter(
Master_Mapping_Sheet!$E$2:$E$3143, ISNUMBER(
Master_Mapping_Sh"&amp;"eet!$E$2:$E$3143),
Master_Mapping_Sheet!$B$2:$B$3143=$A12))), 0, sum(filter(
Master_Mapping_Sheet!$E$2:$E$3143, ISNUMBER(
Master_Mapping_Sheet!$E$2:$E$3143),
Master_Mapping_Sheet!$H$2:$H$3143=I$1,
Master_Mapping_Sheet!$B$2:$B$3143=$A12))/sum(filter(
Maste"&amp;"r_Mapping_Sheet!$E$2:$E$3143, ISNUMBER(
Master_Mapping_Sheet!$E$2:$E$3143),
Master_Mapping_Sheet!$B$2:$B$3143=$A12)))"),0.0)</f>
        <v>0</v>
      </c>
      <c r="J12" s="34">
        <f>IFERROR(__xludf.DUMMYFUNCTION("IF(ISNA(sum(filter(
Master_Mapping_Sheet!$E$2:$E$3143, ISNUMBER(
Master_Mapping_Sheet!$E$2:$E$3143),
Master_Mapping_Sheet!$H$2:$H$3143=J$1,
Master_Mapping_Sheet!$B$2:$B$3143=$A12))/sum(filter(
Master_Mapping_Sheet!$E$2:$E$3143, ISNUMBER(
Master_Mapping_Sh"&amp;"eet!$E$2:$E$3143),
Master_Mapping_Sheet!$B$2:$B$3143=$A12))), 0, sum(filter(
Master_Mapping_Sheet!$E$2:$E$3143, ISNUMBER(
Master_Mapping_Sheet!$E$2:$E$3143),
Master_Mapping_Sheet!$H$2:$H$3143=J$1,
Master_Mapping_Sheet!$B$2:$B$3143=$A12))/sum(filter(
Maste"&amp;"r_Mapping_Sheet!$E$2:$E$3143, ISNUMBER(
Master_Mapping_Sheet!$E$2:$E$3143),
Master_Mapping_Sheet!$B$2:$B$3143=$A12)))"),0.0)</f>
        <v>0</v>
      </c>
      <c r="K12" s="34">
        <f>IFERROR(__xludf.DUMMYFUNCTION("IF(ISNA(sum(filter(
Master_Mapping_Sheet!$E$2:$E$3143, ISNUMBER(
Master_Mapping_Sheet!$E$2:$E$3143),
Master_Mapping_Sheet!$H$2:$H$3143=K$1,
Master_Mapping_Sheet!$B$2:$B$3143=$A12))/sum(filter(
Master_Mapping_Sheet!$E$2:$E$3143, ISNUMBER(
Master_Mapping_Sh"&amp;"eet!$E$2:$E$3143),
Master_Mapping_Sheet!$B$2:$B$3143=$A12))), 0, sum(filter(
Master_Mapping_Sheet!$E$2:$E$3143, ISNUMBER(
Master_Mapping_Sheet!$E$2:$E$3143),
Master_Mapping_Sheet!$H$2:$H$3143=K$1,
Master_Mapping_Sheet!$B$2:$B$3143=$A12))/sum(filter(
Maste"&amp;"r_Mapping_Sheet!$E$2:$E$3143, ISNUMBER(
Master_Mapping_Sheet!$E$2:$E$3143),
Master_Mapping_Sheet!$B$2:$B$3143=$A12)))"),0.0)</f>
        <v>0</v>
      </c>
      <c r="L12" s="34">
        <f>IFERROR(__xludf.DUMMYFUNCTION("IF(ISNA(sum(filter(
Master_Mapping_Sheet!$E$2:$E$3143, ISNUMBER(
Master_Mapping_Sheet!$E$2:$E$3143),
Master_Mapping_Sheet!$H$2:$H$3143=L$1,
Master_Mapping_Sheet!$B$2:$B$3143=$A12))/sum(filter(
Master_Mapping_Sheet!$E$2:$E$3143, ISNUMBER(
Master_Mapping_Sh"&amp;"eet!$E$2:$E$3143),
Master_Mapping_Sheet!$B$2:$B$3143=$A12))), 0, sum(filter(
Master_Mapping_Sheet!$E$2:$E$3143, ISNUMBER(
Master_Mapping_Sheet!$E$2:$E$3143),
Master_Mapping_Sheet!$H$2:$H$3143=L$1,
Master_Mapping_Sheet!$B$2:$B$3143=$A12))/sum(filter(
Maste"&amp;"r_Mapping_Sheet!$E$2:$E$3143, ISNUMBER(
Master_Mapping_Sheet!$E$2:$E$3143),
Master_Mapping_Sheet!$B$2:$B$3143=$A12)))"),0.0)</f>
        <v>0</v>
      </c>
      <c r="M12" s="34">
        <f>IFERROR(__xludf.DUMMYFUNCTION("IF(ISNA(sum(filter(
Master_Mapping_Sheet!$E$2:$E$3143, ISNUMBER(
Master_Mapping_Sheet!$E$2:$E$3143),
Master_Mapping_Sheet!$H$2:$H$3143=M$1,
Master_Mapping_Sheet!$B$2:$B$3143=$A12))/sum(filter(
Master_Mapping_Sheet!$E$2:$E$3143, ISNUMBER(
Master_Mapping_Sh"&amp;"eet!$E$2:$E$3143),
Master_Mapping_Sheet!$B$2:$B$3143=$A12))), 0, sum(filter(
Master_Mapping_Sheet!$E$2:$E$3143, ISNUMBER(
Master_Mapping_Sheet!$E$2:$E$3143),
Master_Mapping_Sheet!$H$2:$H$3143=M$1,
Master_Mapping_Sheet!$B$2:$B$3143=$A12))/sum(filter(
Maste"&amp;"r_Mapping_Sheet!$E$2:$E$3143, ISNUMBER(
Master_Mapping_Sheet!$E$2:$E$3143),
Master_Mapping_Sheet!$B$2:$B$3143=$A12)))"),0.0)</f>
        <v>0</v>
      </c>
      <c r="N12" s="34">
        <f>IFERROR(__xludf.DUMMYFUNCTION("IF(ISNA(sum(filter(
Master_Mapping_Sheet!$E$2:$E$3143, ISNUMBER(
Master_Mapping_Sheet!$E$2:$E$3143),
Master_Mapping_Sheet!$H$2:$H$3143=N$1,
Master_Mapping_Sheet!$B$2:$B$3143=$A12))/sum(filter(
Master_Mapping_Sheet!$E$2:$E$3143, ISNUMBER(
Master_Mapping_Sh"&amp;"eet!$E$2:$E$3143),
Master_Mapping_Sheet!$B$2:$B$3143=$A12))), 0, sum(filter(
Master_Mapping_Sheet!$E$2:$E$3143, ISNUMBER(
Master_Mapping_Sheet!$E$2:$E$3143),
Master_Mapping_Sheet!$H$2:$H$3143=N$1,
Master_Mapping_Sheet!$B$2:$B$3143=$A12))/sum(filter(
Maste"&amp;"r_Mapping_Sheet!$E$2:$E$3143, ISNUMBER(
Master_Mapping_Sheet!$E$2:$E$3143),
Master_Mapping_Sheet!$B$2:$B$3143=$A12)))"),0.0)</f>
        <v>0</v>
      </c>
      <c r="O12" s="34">
        <f>IFERROR(__xludf.DUMMYFUNCTION("IF(ISNA(sum(filter(
Master_Mapping_Sheet!$E$2:$E$3143, ISNUMBER(
Master_Mapping_Sheet!$E$2:$E$3143),
Master_Mapping_Sheet!$H$2:$H$3143=O$1,
Master_Mapping_Sheet!$B$2:$B$3143=$A12))/sum(filter(
Master_Mapping_Sheet!$E$2:$E$3143, ISNUMBER(
Master_Mapping_Sh"&amp;"eet!$E$2:$E$3143),
Master_Mapping_Sheet!$B$2:$B$3143=$A12))), 0, sum(filter(
Master_Mapping_Sheet!$E$2:$E$3143, ISNUMBER(
Master_Mapping_Sheet!$E$2:$E$3143),
Master_Mapping_Sheet!$H$2:$H$3143=O$1,
Master_Mapping_Sheet!$B$2:$B$3143=$A12))/sum(filter(
Maste"&amp;"r_Mapping_Sheet!$E$2:$E$3143, ISNUMBER(
Master_Mapping_Sheet!$E$2:$E$3143),
Master_Mapping_Sheet!$B$2:$B$3143=$A12)))"),0.0)</f>
        <v>0</v>
      </c>
      <c r="P12" s="34">
        <f>IFERROR(__xludf.DUMMYFUNCTION("IF(ISNA(sum(filter(
Master_Mapping_Sheet!$E$2:$E$3143, ISNUMBER(
Master_Mapping_Sheet!$E$2:$E$3143),
Master_Mapping_Sheet!$H$2:$H$3143=P$1,
Master_Mapping_Sheet!$B$2:$B$3143=$A12))/sum(filter(
Master_Mapping_Sheet!$E$2:$E$3143, ISNUMBER(
Master_Mapping_Sh"&amp;"eet!$E$2:$E$3143),
Master_Mapping_Sheet!$B$2:$B$3143=$A12))), 0, sum(filter(
Master_Mapping_Sheet!$E$2:$E$3143, ISNUMBER(
Master_Mapping_Sheet!$E$2:$E$3143),
Master_Mapping_Sheet!$H$2:$H$3143=P$1,
Master_Mapping_Sheet!$B$2:$B$3143=$A12))/sum(filter(
Maste"&amp;"r_Mapping_Sheet!$E$2:$E$3143, ISNUMBER(
Master_Mapping_Sheet!$E$2:$E$3143),
Master_Mapping_Sheet!$B$2:$B$3143=$A12)))"),0.0)</f>
        <v>0</v>
      </c>
      <c r="Q12" s="34">
        <f>IFERROR(__xludf.DUMMYFUNCTION("IF(ISNA(sum(filter(
Master_Mapping_Sheet!$E$2:$E$3143, ISNUMBER(
Master_Mapping_Sheet!$E$2:$E$3143),
Master_Mapping_Sheet!$H$2:$H$3143=Q$1,
Master_Mapping_Sheet!$B$2:$B$3143=$A12))/sum(filter(
Master_Mapping_Sheet!$E$2:$E$3143, ISNUMBER(
Master_Mapping_Sh"&amp;"eet!$E$2:$E$3143),
Master_Mapping_Sheet!$B$2:$B$3143=$A12))), 0, sum(filter(
Master_Mapping_Sheet!$E$2:$E$3143, ISNUMBER(
Master_Mapping_Sheet!$E$2:$E$3143),
Master_Mapping_Sheet!$H$2:$H$3143=Q$1,
Master_Mapping_Sheet!$B$2:$B$3143=$A12))/sum(filter(
Maste"&amp;"r_Mapping_Sheet!$E$2:$E$3143, ISNUMBER(
Master_Mapping_Sheet!$E$2:$E$3143),
Master_Mapping_Sheet!$B$2:$B$3143=$A12)))"),0.9948932051176388)</f>
        <v>0.9948932051</v>
      </c>
      <c r="R12" s="34">
        <f>IFERROR(__xludf.DUMMYFUNCTION("IF(ISNA(sum(filter(
Master_Mapping_Sheet!$E$2:$E$3143, ISNUMBER(
Master_Mapping_Sheet!$E$2:$E$3143),
Master_Mapping_Sheet!$H$2:$H$3143=R$1,
Master_Mapping_Sheet!$B$2:$B$3143=$A12))/sum(filter(
Master_Mapping_Sheet!$E$2:$E$3143, ISNUMBER(
Master_Mapping_Sh"&amp;"eet!$E$2:$E$3143),
Master_Mapping_Sheet!$B$2:$B$3143=$A12))), 0, sum(filter(
Master_Mapping_Sheet!$E$2:$E$3143, ISNUMBER(
Master_Mapping_Sheet!$E$2:$E$3143),
Master_Mapping_Sheet!$H$2:$H$3143=R$1,
Master_Mapping_Sheet!$B$2:$B$3143=$A12))/sum(filter(
Maste"&amp;"r_Mapping_Sheet!$E$2:$E$3143, ISNUMBER(
Master_Mapping_Sheet!$E$2:$E$3143),
Master_Mapping_Sheet!$B$2:$B$3143=$A12)))"),0.005106794882361203)</f>
        <v>0.005106794882</v>
      </c>
      <c r="S12" s="34">
        <f>IFERROR(__xludf.DUMMYFUNCTION("IF(ISNA(sum(filter(
Master_Mapping_Sheet!$E$2:$E$3143, ISNUMBER(
Master_Mapping_Sheet!$E$2:$E$3143),
Master_Mapping_Sheet!$H$2:$H$3143=S$1,
Master_Mapping_Sheet!$B$2:$B$3143=$A12))/sum(filter(
Master_Mapping_Sheet!$E$2:$E$3143, ISNUMBER(
Master_Mapping_Sh"&amp;"eet!$E$2:$E$3143),
Master_Mapping_Sheet!$B$2:$B$3143=$A12))), 0, sum(filter(
Master_Mapping_Sheet!$E$2:$E$3143, ISNUMBER(
Master_Mapping_Sheet!$E$2:$E$3143),
Master_Mapping_Sheet!$H$2:$H$3143=S$1,
Master_Mapping_Sheet!$B$2:$B$3143=$A12))/sum(filter(
Maste"&amp;"r_Mapping_Sheet!$E$2:$E$3143, ISNUMBER(
Master_Mapping_Sheet!$E$2:$E$3143),
Master_Mapping_Sheet!$B$2:$B$3143=$A12)))"),0.0)</f>
        <v>0</v>
      </c>
      <c r="T12" s="34">
        <f>IFERROR(__xludf.DUMMYFUNCTION("IF(ISNA(sum(filter(
Master_Mapping_Sheet!$E$2:$E$3143, ISNUMBER(
Master_Mapping_Sheet!$E$2:$E$3143),
Master_Mapping_Sheet!$H$2:$H$3143=T$1,
Master_Mapping_Sheet!$B$2:$B$3143=$A12))/sum(filter(
Master_Mapping_Sheet!$E$2:$E$3143, ISNUMBER(
Master_Mapping_Sh"&amp;"eet!$E$2:$E$3143),
Master_Mapping_Sheet!$B$2:$B$3143=$A12))), 0, sum(filter(
Master_Mapping_Sheet!$E$2:$E$3143, ISNUMBER(
Master_Mapping_Sheet!$E$2:$E$3143),
Master_Mapping_Sheet!$H$2:$H$3143=T$1,
Master_Mapping_Sheet!$B$2:$B$3143=$A12))/sum(filter(
Maste"&amp;"r_Mapping_Sheet!$E$2:$E$3143, ISNUMBER(
Master_Mapping_Sheet!$E$2:$E$3143),
Master_Mapping_Sheet!$B$2:$B$3143=$A12)))"),0.0)</f>
        <v>0</v>
      </c>
      <c r="U12" s="34">
        <f>IFERROR(__xludf.DUMMYFUNCTION("IF(ISNA(sum(filter(
Master_Mapping_Sheet!$E$2:$E$3143, ISNUMBER(
Master_Mapping_Sheet!$E$2:$E$3143),
Master_Mapping_Sheet!$H$2:$H$3143=U$1,
Master_Mapping_Sheet!$B$2:$B$3143=$A12))/sum(filter(
Master_Mapping_Sheet!$E$2:$E$3143, ISNUMBER(
Master_Mapping_Sh"&amp;"eet!$E$2:$E$3143),
Master_Mapping_Sheet!$B$2:$B$3143=$A12))), 0, sum(filter(
Master_Mapping_Sheet!$E$2:$E$3143, ISNUMBER(
Master_Mapping_Sheet!$E$2:$E$3143),
Master_Mapping_Sheet!$H$2:$H$3143=U$1,
Master_Mapping_Sheet!$B$2:$B$3143=$A12))/sum(filter(
Maste"&amp;"r_Mapping_Sheet!$E$2:$E$3143, ISNUMBER(
Master_Mapping_Sheet!$E$2:$E$3143),
Master_Mapping_Sheet!$B$2:$B$3143=$A12)))"),0.0)</f>
        <v>0</v>
      </c>
      <c r="V12" s="34">
        <f>IFERROR(__xludf.DUMMYFUNCTION("IF(ISNA(sum(filter(
Master_Mapping_Sheet!$E$2:$E$3143, ISNUMBER(
Master_Mapping_Sheet!$E$2:$E$3143),
Master_Mapping_Sheet!$H$2:$H$3143=V$1,
Master_Mapping_Sheet!$B$2:$B$3143=$A12))/sum(filter(
Master_Mapping_Sheet!$E$2:$E$3143, ISNUMBER(
Master_Mapping_Sh"&amp;"eet!$E$2:$E$3143),
Master_Mapping_Sheet!$B$2:$B$3143=$A12))), 0, sum(filter(
Master_Mapping_Sheet!$E$2:$E$3143, ISNUMBER(
Master_Mapping_Sheet!$E$2:$E$3143),
Master_Mapping_Sheet!$H$2:$H$3143=V$1,
Master_Mapping_Sheet!$B$2:$B$3143=$A12))/sum(filter(
Maste"&amp;"r_Mapping_Sheet!$E$2:$E$3143, ISNUMBER(
Master_Mapping_Sheet!$E$2:$E$3143),
Master_Mapping_Sheet!$B$2:$B$3143=$A12)))"),0.0)</f>
        <v>0</v>
      </c>
      <c r="W12" s="34">
        <f>IFERROR(__xludf.DUMMYFUNCTION("IF(ISNA(sum(filter(
Master_Mapping_Sheet!$E$2:$E$3143, ISNUMBER(
Master_Mapping_Sheet!$E$2:$E$3143),
Master_Mapping_Sheet!$H$2:$H$3143=W$1,
Master_Mapping_Sheet!$B$2:$B$3143=$A12))/sum(filter(
Master_Mapping_Sheet!$E$2:$E$3143, ISNUMBER(
Master_Mapping_Sh"&amp;"eet!$E$2:$E$3143),
Master_Mapping_Sheet!$B$2:$B$3143=$A12))), 0, sum(filter(
Master_Mapping_Sheet!$E$2:$E$3143, ISNUMBER(
Master_Mapping_Sheet!$E$2:$E$3143),
Master_Mapping_Sheet!$H$2:$H$3143=W$1,
Master_Mapping_Sheet!$B$2:$B$3143=$A12))/sum(filter(
Maste"&amp;"r_Mapping_Sheet!$E$2:$E$3143, ISNUMBER(
Master_Mapping_Sheet!$E$2:$E$3143),
Master_Mapping_Sheet!$B$2:$B$3143=$A12)))"),0.0)</f>
        <v>0</v>
      </c>
      <c r="X12" s="34">
        <f>IFERROR(__xludf.DUMMYFUNCTION("IF(ISNA(sum(filter(
Master_Mapping_Sheet!$E$2:$E$3143, ISNUMBER(
Master_Mapping_Sheet!$E$2:$E$3143),
Master_Mapping_Sheet!$H$2:$H$3143=X$1,
Master_Mapping_Sheet!$B$2:$B$3143=$A12))/sum(filter(
Master_Mapping_Sheet!$E$2:$E$3143, ISNUMBER(
Master_Mapping_Sh"&amp;"eet!$E$2:$E$3143),
Master_Mapping_Sheet!$B$2:$B$3143=$A12))), 0, sum(filter(
Master_Mapping_Sheet!$E$2:$E$3143, ISNUMBER(
Master_Mapping_Sheet!$E$2:$E$3143),
Master_Mapping_Sheet!$H$2:$H$3143=X$1,
Master_Mapping_Sheet!$B$2:$B$3143=$A12))/sum(filter(
Maste"&amp;"r_Mapping_Sheet!$E$2:$E$3143, ISNUMBER(
Master_Mapping_Sheet!$E$2:$E$3143),
Master_Mapping_Sheet!$B$2:$B$3143=$A12)))"),0.0)</f>
        <v>0</v>
      </c>
      <c r="Y12" s="34">
        <f>IFERROR(__xludf.DUMMYFUNCTION("IF(ISNA(sum(filter(
Master_Mapping_Sheet!$E$2:$E$3143, ISNUMBER(
Master_Mapping_Sheet!$E$2:$E$3143),
Master_Mapping_Sheet!$H$2:$H$3143=Y$1,
Master_Mapping_Sheet!$B$2:$B$3143=$A12))/sum(filter(
Master_Mapping_Sheet!$E$2:$E$3143, ISNUMBER(
Master_Mapping_Sh"&amp;"eet!$E$2:$E$3143),
Master_Mapping_Sheet!$B$2:$B$3143=$A12))), 0, sum(filter(
Master_Mapping_Sheet!$E$2:$E$3143, ISNUMBER(
Master_Mapping_Sheet!$E$2:$E$3143),
Master_Mapping_Sheet!$H$2:$H$3143=Y$1,
Master_Mapping_Sheet!$B$2:$B$3143=$A12))/sum(filter(
Maste"&amp;"r_Mapping_Sheet!$E$2:$E$3143, ISNUMBER(
Master_Mapping_Sheet!$E$2:$E$3143),
Master_Mapping_Sheet!$B$2:$B$3143=$A12)))"),0.0)</f>
        <v>0</v>
      </c>
      <c r="Z12" s="34">
        <f>IFERROR(__xludf.DUMMYFUNCTION("IF(ISNA(sum(filter(
Master_Mapping_Sheet!$E$2:$E$3143, ISNUMBER(
Master_Mapping_Sheet!$E$2:$E$3143),
Master_Mapping_Sheet!$H$2:$H$3143=Z$1,
Master_Mapping_Sheet!$B$2:$B$3143=$A12))/sum(filter(
Master_Mapping_Sheet!$E$2:$E$3143, ISNUMBER(
Master_Mapping_Sh"&amp;"eet!$E$2:$E$3143),
Master_Mapping_Sheet!$B$2:$B$3143=$A12))), 0, sum(filter(
Master_Mapping_Sheet!$E$2:$E$3143, ISNUMBER(
Master_Mapping_Sheet!$E$2:$E$3143),
Master_Mapping_Sheet!$H$2:$H$3143=Z$1,
Master_Mapping_Sheet!$B$2:$B$3143=$A12))/sum(filter(
Maste"&amp;"r_Mapping_Sheet!$E$2:$E$3143, ISNUMBER(
Master_Mapping_Sheet!$E$2:$E$3143),
Master_Mapping_Sheet!$B$2:$B$3143=$A12)))"),0.0)</f>
        <v>0</v>
      </c>
      <c r="AA12" s="34">
        <f>IFERROR(__xludf.DUMMYFUNCTION("IF(ISNA(sum(filter(
Master_Mapping_Sheet!$E$2:$E$3143, ISNUMBER(
Master_Mapping_Sheet!$E$2:$E$3143),
Master_Mapping_Sheet!$H$2:$H$3143=AA$1,
Master_Mapping_Sheet!$B$2:$B$3143=$A12))/sum(filter(
Master_Mapping_Sheet!$E$2:$E$3143, ISNUMBER(
Master_Mapping_S"&amp;"heet!$E$2:$E$3143),
Master_Mapping_Sheet!$B$2:$B$3143=$A12))), 0, sum(filter(
Master_Mapping_Sheet!$E$2:$E$3143, ISNUMBER(
Master_Mapping_Sheet!$E$2:$E$3143),
Master_Mapping_Sheet!$H$2:$H$3143=AA$1,
Master_Mapping_Sheet!$B$2:$B$3143=$A12))/sum(filter(
Mas"&amp;"ter_Mapping_Sheet!$E$2:$E$3143, ISNUMBER(
Master_Mapping_Sheet!$E$2:$E$3143),
Master_Mapping_Sheet!$B$2:$B$3143=$A12)))"),0.0)</f>
        <v>0</v>
      </c>
    </row>
    <row r="13" ht="15.75" customHeight="1">
      <c r="A13" s="34" t="s">
        <v>570</v>
      </c>
      <c r="B13" s="34" t="s">
        <v>2423</v>
      </c>
      <c r="C13" s="34">
        <f>IFERROR(__xludf.DUMMYFUNCTION("IF(ISNA(sum(filter(
Master_Mapping_Sheet!$E$2:$E$3143, ISNUMBER(
Master_Mapping_Sheet!$E$2:$E$3143),
Master_Mapping_Sheet!$H$2:$H$3143=C$1,
Master_Mapping_Sheet!$B$2:$B$3143=$A13))/sum(filter(
Master_Mapping_Sheet!$E$2:$E$3143, ISNUMBER(
Master_Mapping_Sh"&amp;"eet!$E$2:$E$3143),
Master_Mapping_Sheet!$B$2:$B$3143=$A13))), 0, sum(filter(
Master_Mapping_Sheet!$E$2:$E$3143, ISNUMBER(
Master_Mapping_Sheet!$E$2:$E$3143),
Master_Mapping_Sheet!$H$2:$H$3143=C$1,
Master_Mapping_Sheet!$B$2:$B$3143=$A13))/sum(filter(
Maste"&amp;"r_Mapping_Sheet!$E$2:$E$3143, ISNUMBER(
Master_Mapping_Sheet!$E$2:$E$3143),
Master_Mapping_Sheet!$B$2:$B$3143=$A13)))"),0.0)</f>
        <v>0</v>
      </c>
      <c r="D13" s="32">
        <f>IFERROR(__xludf.DUMMYFUNCTION("IF(ISNA(sum(filter(
Master_Mapping_Sheet!$E$2:$E$3143, ISNUMBER(
Master_Mapping_Sheet!$E$2:$E$3143),
Master_Mapping_Sheet!$H$2:$H$3143=D$1,
Master_Mapping_Sheet!$B$2:$B$3143=$A13))/sum(filter(
Master_Mapping_Sheet!$E$2:$E$3143, ISNUMBER(
Master_Mapping_Sh"&amp;"eet!$E$2:$E$3143),
Master_Mapping_Sheet!$B$2:$B$3143=$A13))), 0, sum(filter(
Master_Mapping_Sheet!$E$2:$E$3143, ISNUMBER(
Master_Mapping_Sheet!$E$2:$E$3143),
Master_Mapping_Sheet!$H$2:$H$3143=D$1,
Master_Mapping_Sheet!$B$2:$B$3143=$A13))/sum(filter(
Maste"&amp;"r_Mapping_Sheet!$E$2:$E$3143, ISNUMBER(
Master_Mapping_Sheet!$E$2:$E$3143),
Master_Mapping_Sheet!$B$2:$B$3143=$A13)))"),0.0)</f>
        <v>0</v>
      </c>
      <c r="E13" s="34">
        <f>IFERROR(__xludf.DUMMYFUNCTION("IF(ISNA(sum(filter(
Master_Mapping_Sheet!$E$2:$E$3143, ISNUMBER(
Master_Mapping_Sheet!$E$2:$E$3143),
Master_Mapping_Sheet!$H$2:$H$3143=E$1,
Master_Mapping_Sheet!$B$2:$B$3143=$A13))/sum(filter(
Master_Mapping_Sheet!$E$2:$E$3143, ISNUMBER(
Master_Mapping_Sh"&amp;"eet!$E$2:$E$3143),
Master_Mapping_Sheet!$B$2:$B$3143=$A13))), 0, sum(filter(
Master_Mapping_Sheet!$E$2:$E$3143, ISNUMBER(
Master_Mapping_Sheet!$E$2:$E$3143),
Master_Mapping_Sheet!$H$2:$H$3143=E$1,
Master_Mapping_Sheet!$B$2:$B$3143=$A13))/sum(filter(
Maste"&amp;"r_Mapping_Sheet!$E$2:$E$3143, ISNUMBER(
Master_Mapping_Sheet!$E$2:$E$3143),
Master_Mapping_Sheet!$B$2:$B$3143=$A13)))"),0.0)</f>
        <v>0</v>
      </c>
      <c r="F13" s="34">
        <f>IFERROR(__xludf.DUMMYFUNCTION("IF(ISNA(sum(filter(
Master_Mapping_Sheet!$E$2:$E$3143, ISNUMBER(
Master_Mapping_Sheet!$E$2:$E$3143),
Master_Mapping_Sheet!$H$2:$H$3143=F$1,
Master_Mapping_Sheet!$B$2:$B$3143=$A13))/sum(filter(
Master_Mapping_Sheet!$E$2:$E$3143, ISNUMBER(
Master_Mapping_Sh"&amp;"eet!$E$2:$E$3143),
Master_Mapping_Sheet!$B$2:$B$3143=$A13))), 0, sum(filter(
Master_Mapping_Sheet!$E$2:$E$3143, ISNUMBER(
Master_Mapping_Sheet!$E$2:$E$3143),
Master_Mapping_Sheet!$H$2:$H$3143=F$1,
Master_Mapping_Sheet!$B$2:$B$3143=$A13))/sum(filter(
Maste"&amp;"r_Mapping_Sheet!$E$2:$E$3143, ISNUMBER(
Master_Mapping_Sheet!$E$2:$E$3143),
Master_Mapping_Sheet!$B$2:$B$3143=$A13)))"),0.0)</f>
        <v>0</v>
      </c>
      <c r="G13" s="34">
        <f>IFERROR(__xludf.DUMMYFUNCTION("IF(ISNA(sum(filter(
Master_Mapping_Sheet!$E$2:$E$3143, ISNUMBER(
Master_Mapping_Sheet!$E$2:$E$3143),
Master_Mapping_Sheet!$H$2:$H$3143=G$1,
Master_Mapping_Sheet!$B$2:$B$3143=$A13))/sum(filter(
Master_Mapping_Sheet!$E$2:$E$3143, ISNUMBER(
Master_Mapping_Sh"&amp;"eet!$E$2:$E$3143),
Master_Mapping_Sheet!$B$2:$B$3143=$A13))), 0, sum(filter(
Master_Mapping_Sheet!$E$2:$E$3143, ISNUMBER(
Master_Mapping_Sheet!$E$2:$E$3143),
Master_Mapping_Sheet!$H$2:$H$3143=G$1,
Master_Mapping_Sheet!$B$2:$B$3143=$A13))/sum(filter(
Maste"&amp;"r_Mapping_Sheet!$E$2:$E$3143, ISNUMBER(
Master_Mapping_Sheet!$E$2:$E$3143),
Master_Mapping_Sheet!$B$2:$B$3143=$A13)))"),0.0)</f>
        <v>0</v>
      </c>
      <c r="H13" s="34">
        <f>IFERROR(__xludf.DUMMYFUNCTION("IF(ISNA(sum(filter(
Master_Mapping_Sheet!$E$2:$E$3143, ISNUMBER(
Master_Mapping_Sheet!$E$2:$E$3143),
Master_Mapping_Sheet!$H$2:$H$3143=H$1,
Master_Mapping_Sheet!$B$2:$B$3143=$A13))/sum(filter(
Master_Mapping_Sheet!$E$2:$E$3143, ISNUMBER(
Master_Mapping_Sh"&amp;"eet!$E$2:$E$3143),
Master_Mapping_Sheet!$B$2:$B$3143=$A13))), 0, sum(filter(
Master_Mapping_Sheet!$E$2:$E$3143, ISNUMBER(
Master_Mapping_Sheet!$E$2:$E$3143),
Master_Mapping_Sheet!$H$2:$H$3143=H$1,
Master_Mapping_Sheet!$B$2:$B$3143=$A13))/sum(filter(
Maste"&amp;"r_Mapping_Sheet!$E$2:$E$3143, ISNUMBER(
Master_Mapping_Sheet!$E$2:$E$3143),
Master_Mapping_Sheet!$B$2:$B$3143=$A13)))"),0.0)</f>
        <v>0</v>
      </c>
      <c r="I13" s="34">
        <f>IFERROR(__xludf.DUMMYFUNCTION("IF(ISNA(sum(filter(
Master_Mapping_Sheet!$E$2:$E$3143, ISNUMBER(
Master_Mapping_Sheet!$E$2:$E$3143),
Master_Mapping_Sheet!$H$2:$H$3143=I$1,
Master_Mapping_Sheet!$B$2:$B$3143=$A13))/sum(filter(
Master_Mapping_Sheet!$E$2:$E$3143, ISNUMBER(
Master_Mapping_Sh"&amp;"eet!$E$2:$E$3143),
Master_Mapping_Sheet!$B$2:$B$3143=$A13))), 0, sum(filter(
Master_Mapping_Sheet!$E$2:$E$3143, ISNUMBER(
Master_Mapping_Sheet!$E$2:$E$3143),
Master_Mapping_Sheet!$H$2:$H$3143=I$1,
Master_Mapping_Sheet!$B$2:$B$3143=$A13))/sum(filter(
Maste"&amp;"r_Mapping_Sheet!$E$2:$E$3143, ISNUMBER(
Master_Mapping_Sheet!$E$2:$E$3143),
Master_Mapping_Sheet!$B$2:$B$3143=$A13)))"),0.0)</f>
        <v>0</v>
      </c>
      <c r="J13" s="34">
        <f>IFERROR(__xludf.DUMMYFUNCTION("IF(ISNA(sum(filter(
Master_Mapping_Sheet!$E$2:$E$3143, ISNUMBER(
Master_Mapping_Sheet!$E$2:$E$3143),
Master_Mapping_Sheet!$H$2:$H$3143=J$1,
Master_Mapping_Sheet!$B$2:$B$3143=$A13))/sum(filter(
Master_Mapping_Sheet!$E$2:$E$3143, ISNUMBER(
Master_Mapping_Sh"&amp;"eet!$E$2:$E$3143),
Master_Mapping_Sheet!$B$2:$B$3143=$A13))), 0, sum(filter(
Master_Mapping_Sheet!$E$2:$E$3143, ISNUMBER(
Master_Mapping_Sheet!$E$2:$E$3143),
Master_Mapping_Sheet!$H$2:$H$3143=J$1,
Master_Mapping_Sheet!$B$2:$B$3143=$A13))/sum(filter(
Maste"&amp;"r_Mapping_Sheet!$E$2:$E$3143, ISNUMBER(
Master_Mapping_Sheet!$E$2:$E$3143),
Master_Mapping_Sheet!$B$2:$B$3143=$A13)))"),0.0)</f>
        <v>0</v>
      </c>
      <c r="K13" s="34">
        <f>IFERROR(__xludf.DUMMYFUNCTION("IF(ISNA(sum(filter(
Master_Mapping_Sheet!$E$2:$E$3143, ISNUMBER(
Master_Mapping_Sheet!$E$2:$E$3143),
Master_Mapping_Sheet!$H$2:$H$3143=K$1,
Master_Mapping_Sheet!$B$2:$B$3143=$A13))/sum(filter(
Master_Mapping_Sheet!$E$2:$E$3143, ISNUMBER(
Master_Mapping_Sh"&amp;"eet!$E$2:$E$3143),
Master_Mapping_Sheet!$B$2:$B$3143=$A13))), 0, sum(filter(
Master_Mapping_Sheet!$E$2:$E$3143, ISNUMBER(
Master_Mapping_Sheet!$E$2:$E$3143),
Master_Mapping_Sheet!$H$2:$H$3143=K$1,
Master_Mapping_Sheet!$B$2:$B$3143=$A13))/sum(filter(
Maste"&amp;"r_Mapping_Sheet!$E$2:$E$3143, ISNUMBER(
Master_Mapping_Sheet!$E$2:$E$3143),
Master_Mapping_Sheet!$B$2:$B$3143=$A13)))"),0.0)</f>
        <v>0</v>
      </c>
      <c r="L13" s="34">
        <f>IFERROR(__xludf.DUMMYFUNCTION("IF(ISNA(sum(filter(
Master_Mapping_Sheet!$E$2:$E$3143, ISNUMBER(
Master_Mapping_Sheet!$E$2:$E$3143),
Master_Mapping_Sheet!$H$2:$H$3143=L$1,
Master_Mapping_Sheet!$B$2:$B$3143=$A13))/sum(filter(
Master_Mapping_Sheet!$E$2:$E$3143, ISNUMBER(
Master_Mapping_Sh"&amp;"eet!$E$2:$E$3143),
Master_Mapping_Sheet!$B$2:$B$3143=$A13))), 0, sum(filter(
Master_Mapping_Sheet!$E$2:$E$3143, ISNUMBER(
Master_Mapping_Sheet!$E$2:$E$3143),
Master_Mapping_Sheet!$H$2:$H$3143=L$1,
Master_Mapping_Sheet!$B$2:$B$3143=$A13))/sum(filter(
Maste"&amp;"r_Mapping_Sheet!$E$2:$E$3143, ISNUMBER(
Master_Mapping_Sheet!$E$2:$E$3143),
Master_Mapping_Sheet!$B$2:$B$3143=$A13)))"),0.0)</f>
        <v>0</v>
      </c>
      <c r="M13" s="34">
        <f>IFERROR(__xludf.DUMMYFUNCTION("IF(ISNA(sum(filter(
Master_Mapping_Sheet!$E$2:$E$3143, ISNUMBER(
Master_Mapping_Sheet!$E$2:$E$3143),
Master_Mapping_Sheet!$H$2:$H$3143=M$1,
Master_Mapping_Sheet!$B$2:$B$3143=$A13))/sum(filter(
Master_Mapping_Sheet!$E$2:$E$3143, ISNUMBER(
Master_Mapping_Sh"&amp;"eet!$E$2:$E$3143),
Master_Mapping_Sheet!$B$2:$B$3143=$A13))), 0, sum(filter(
Master_Mapping_Sheet!$E$2:$E$3143, ISNUMBER(
Master_Mapping_Sheet!$E$2:$E$3143),
Master_Mapping_Sheet!$H$2:$H$3143=M$1,
Master_Mapping_Sheet!$B$2:$B$3143=$A13))/sum(filter(
Maste"&amp;"r_Mapping_Sheet!$E$2:$E$3143, ISNUMBER(
Master_Mapping_Sheet!$E$2:$E$3143),
Master_Mapping_Sheet!$B$2:$B$3143=$A13)))"),0.0)</f>
        <v>0</v>
      </c>
      <c r="N13" s="34">
        <f>IFERROR(__xludf.DUMMYFUNCTION("IF(ISNA(sum(filter(
Master_Mapping_Sheet!$E$2:$E$3143, ISNUMBER(
Master_Mapping_Sheet!$E$2:$E$3143),
Master_Mapping_Sheet!$H$2:$H$3143=N$1,
Master_Mapping_Sheet!$B$2:$B$3143=$A13))/sum(filter(
Master_Mapping_Sheet!$E$2:$E$3143, ISNUMBER(
Master_Mapping_Sh"&amp;"eet!$E$2:$E$3143),
Master_Mapping_Sheet!$B$2:$B$3143=$A13))), 0, sum(filter(
Master_Mapping_Sheet!$E$2:$E$3143, ISNUMBER(
Master_Mapping_Sheet!$E$2:$E$3143),
Master_Mapping_Sheet!$H$2:$H$3143=N$1,
Master_Mapping_Sheet!$B$2:$B$3143=$A13))/sum(filter(
Maste"&amp;"r_Mapping_Sheet!$E$2:$E$3143, ISNUMBER(
Master_Mapping_Sheet!$E$2:$E$3143),
Master_Mapping_Sheet!$B$2:$B$3143=$A13)))"),0.0)</f>
        <v>0</v>
      </c>
      <c r="O13" s="34">
        <f>IFERROR(__xludf.DUMMYFUNCTION("IF(ISNA(sum(filter(
Master_Mapping_Sheet!$E$2:$E$3143, ISNUMBER(
Master_Mapping_Sheet!$E$2:$E$3143),
Master_Mapping_Sheet!$H$2:$H$3143=O$1,
Master_Mapping_Sheet!$B$2:$B$3143=$A13))/sum(filter(
Master_Mapping_Sheet!$E$2:$E$3143, ISNUMBER(
Master_Mapping_Sh"&amp;"eet!$E$2:$E$3143),
Master_Mapping_Sheet!$B$2:$B$3143=$A13))), 0, sum(filter(
Master_Mapping_Sheet!$E$2:$E$3143, ISNUMBER(
Master_Mapping_Sheet!$E$2:$E$3143),
Master_Mapping_Sheet!$H$2:$H$3143=O$1,
Master_Mapping_Sheet!$B$2:$B$3143=$A13))/sum(filter(
Maste"&amp;"r_Mapping_Sheet!$E$2:$E$3143, ISNUMBER(
Master_Mapping_Sheet!$E$2:$E$3143),
Master_Mapping_Sheet!$B$2:$B$3143=$A13)))"),0.0)</f>
        <v>0</v>
      </c>
      <c r="P13" s="34">
        <f>IFERROR(__xludf.DUMMYFUNCTION("IF(ISNA(sum(filter(
Master_Mapping_Sheet!$E$2:$E$3143, ISNUMBER(
Master_Mapping_Sheet!$E$2:$E$3143),
Master_Mapping_Sheet!$H$2:$H$3143=P$1,
Master_Mapping_Sheet!$B$2:$B$3143=$A13))/sum(filter(
Master_Mapping_Sheet!$E$2:$E$3143, ISNUMBER(
Master_Mapping_Sh"&amp;"eet!$E$2:$E$3143),
Master_Mapping_Sheet!$B$2:$B$3143=$A13))), 0, sum(filter(
Master_Mapping_Sheet!$E$2:$E$3143, ISNUMBER(
Master_Mapping_Sheet!$E$2:$E$3143),
Master_Mapping_Sheet!$H$2:$H$3143=P$1,
Master_Mapping_Sheet!$B$2:$B$3143=$A13))/sum(filter(
Maste"&amp;"r_Mapping_Sheet!$E$2:$E$3143, ISNUMBER(
Master_Mapping_Sheet!$E$2:$E$3143),
Master_Mapping_Sheet!$B$2:$B$3143=$A13)))"),0.0)</f>
        <v>0</v>
      </c>
      <c r="Q13" s="34">
        <f>IFERROR(__xludf.DUMMYFUNCTION("IF(ISNA(sum(filter(
Master_Mapping_Sheet!$E$2:$E$3143, ISNUMBER(
Master_Mapping_Sheet!$E$2:$E$3143),
Master_Mapping_Sheet!$H$2:$H$3143=Q$1,
Master_Mapping_Sheet!$B$2:$B$3143=$A13))/sum(filter(
Master_Mapping_Sheet!$E$2:$E$3143, ISNUMBER(
Master_Mapping_Sh"&amp;"eet!$E$2:$E$3143),
Master_Mapping_Sheet!$B$2:$B$3143=$A13))), 0, sum(filter(
Master_Mapping_Sheet!$E$2:$E$3143, ISNUMBER(
Master_Mapping_Sheet!$E$2:$E$3143),
Master_Mapping_Sheet!$H$2:$H$3143=Q$1,
Master_Mapping_Sheet!$B$2:$B$3143=$A13))/sum(filter(
Maste"&amp;"r_Mapping_Sheet!$E$2:$E$3143, ISNUMBER(
Master_Mapping_Sheet!$E$2:$E$3143),
Master_Mapping_Sheet!$B$2:$B$3143=$A13)))"),0.0)</f>
        <v>0</v>
      </c>
      <c r="R13" s="34">
        <f>IFERROR(__xludf.DUMMYFUNCTION("IF(ISNA(sum(filter(
Master_Mapping_Sheet!$E$2:$E$3143, ISNUMBER(
Master_Mapping_Sheet!$E$2:$E$3143),
Master_Mapping_Sheet!$H$2:$H$3143=R$1,
Master_Mapping_Sheet!$B$2:$B$3143=$A13))/sum(filter(
Master_Mapping_Sheet!$E$2:$E$3143, ISNUMBER(
Master_Mapping_Sh"&amp;"eet!$E$2:$E$3143),
Master_Mapping_Sheet!$B$2:$B$3143=$A13))), 0, sum(filter(
Master_Mapping_Sheet!$E$2:$E$3143, ISNUMBER(
Master_Mapping_Sheet!$E$2:$E$3143),
Master_Mapping_Sheet!$H$2:$H$3143=R$1,
Master_Mapping_Sheet!$B$2:$B$3143=$A13))/sum(filter(
Maste"&amp;"r_Mapping_Sheet!$E$2:$E$3143, ISNUMBER(
Master_Mapping_Sheet!$E$2:$E$3143),
Master_Mapping_Sheet!$B$2:$B$3143=$A13)))"),0.0)</f>
        <v>0</v>
      </c>
      <c r="S13" s="34">
        <f>IFERROR(__xludf.DUMMYFUNCTION("IF(ISNA(sum(filter(
Master_Mapping_Sheet!$E$2:$E$3143, ISNUMBER(
Master_Mapping_Sheet!$E$2:$E$3143),
Master_Mapping_Sheet!$H$2:$H$3143=S$1,
Master_Mapping_Sheet!$B$2:$B$3143=$A13))/sum(filter(
Master_Mapping_Sheet!$E$2:$E$3143, ISNUMBER(
Master_Mapping_Sh"&amp;"eet!$E$2:$E$3143),
Master_Mapping_Sheet!$B$2:$B$3143=$A13))), 0, sum(filter(
Master_Mapping_Sheet!$E$2:$E$3143, ISNUMBER(
Master_Mapping_Sheet!$E$2:$E$3143),
Master_Mapping_Sheet!$H$2:$H$3143=S$1,
Master_Mapping_Sheet!$B$2:$B$3143=$A13))/sum(filter(
Maste"&amp;"r_Mapping_Sheet!$E$2:$E$3143, ISNUMBER(
Master_Mapping_Sheet!$E$2:$E$3143),
Master_Mapping_Sheet!$B$2:$B$3143=$A13)))"),0.0)</f>
        <v>0</v>
      </c>
      <c r="T13" s="34">
        <f>IFERROR(__xludf.DUMMYFUNCTION("IF(ISNA(sum(filter(
Master_Mapping_Sheet!$E$2:$E$3143, ISNUMBER(
Master_Mapping_Sheet!$E$2:$E$3143),
Master_Mapping_Sheet!$H$2:$H$3143=T$1,
Master_Mapping_Sheet!$B$2:$B$3143=$A13))/sum(filter(
Master_Mapping_Sheet!$E$2:$E$3143, ISNUMBER(
Master_Mapping_Sh"&amp;"eet!$E$2:$E$3143),
Master_Mapping_Sheet!$B$2:$B$3143=$A13))), 0, sum(filter(
Master_Mapping_Sheet!$E$2:$E$3143, ISNUMBER(
Master_Mapping_Sheet!$E$2:$E$3143),
Master_Mapping_Sheet!$H$2:$H$3143=T$1,
Master_Mapping_Sheet!$B$2:$B$3143=$A13))/sum(filter(
Maste"&amp;"r_Mapping_Sheet!$E$2:$E$3143, ISNUMBER(
Master_Mapping_Sheet!$E$2:$E$3143),
Master_Mapping_Sheet!$B$2:$B$3143=$A13)))"),0.0)</f>
        <v>0</v>
      </c>
      <c r="U13" s="34">
        <f>IFERROR(__xludf.DUMMYFUNCTION("IF(ISNA(sum(filter(
Master_Mapping_Sheet!$E$2:$E$3143, ISNUMBER(
Master_Mapping_Sheet!$E$2:$E$3143),
Master_Mapping_Sheet!$H$2:$H$3143=U$1,
Master_Mapping_Sheet!$B$2:$B$3143=$A13))/sum(filter(
Master_Mapping_Sheet!$E$2:$E$3143, ISNUMBER(
Master_Mapping_Sh"&amp;"eet!$E$2:$E$3143),
Master_Mapping_Sheet!$B$2:$B$3143=$A13))), 0, sum(filter(
Master_Mapping_Sheet!$E$2:$E$3143, ISNUMBER(
Master_Mapping_Sheet!$E$2:$E$3143),
Master_Mapping_Sheet!$H$2:$H$3143=U$1,
Master_Mapping_Sheet!$B$2:$B$3143=$A13))/sum(filter(
Maste"&amp;"r_Mapping_Sheet!$E$2:$E$3143, ISNUMBER(
Master_Mapping_Sheet!$E$2:$E$3143),
Master_Mapping_Sheet!$B$2:$B$3143=$A13)))"),0.0)</f>
        <v>0</v>
      </c>
      <c r="V13" s="34">
        <f>IFERROR(__xludf.DUMMYFUNCTION("IF(ISNA(sum(filter(
Master_Mapping_Sheet!$E$2:$E$3143, ISNUMBER(
Master_Mapping_Sheet!$E$2:$E$3143),
Master_Mapping_Sheet!$H$2:$H$3143=V$1,
Master_Mapping_Sheet!$B$2:$B$3143=$A13))/sum(filter(
Master_Mapping_Sheet!$E$2:$E$3143, ISNUMBER(
Master_Mapping_Sh"&amp;"eet!$E$2:$E$3143),
Master_Mapping_Sheet!$B$2:$B$3143=$A13))), 0, sum(filter(
Master_Mapping_Sheet!$E$2:$E$3143, ISNUMBER(
Master_Mapping_Sheet!$E$2:$E$3143),
Master_Mapping_Sheet!$H$2:$H$3143=V$1,
Master_Mapping_Sheet!$B$2:$B$3143=$A13))/sum(filter(
Maste"&amp;"r_Mapping_Sheet!$E$2:$E$3143, ISNUMBER(
Master_Mapping_Sheet!$E$2:$E$3143),
Master_Mapping_Sheet!$B$2:$B$3143=$A13)))"),0.0)</f>
        <v>0</v>
      </c>
      <c r="W13" s="34">
        <f>IFERROR(__xludf.DUMMYFUNCTION("IF(ISNA(sum(filter(
Master_Mapping_Sheet!$E$2:$E$3143, ISNUMBER(
Master_Mapping_Sheet!$E$2:$E$3143),
Master_Mapping_Sheet!$H$2:$H$3143=W$1,
Master_Mapping_Sheet!$B$2:$B$3143=$A13))/sum(filter(
Master_Mapping_Sheet!$E$2:$E$3143, ISNUMBER(
Master_Mapping_Sh"&amp;"eet!$E$2:$E$3143),
Master_Mapping_Sheet!$B$2:$B$3143=$A13))), 0, sum(filter(
Master_Mapping_Sheet!$E$2:$E$3143, ISNUMBER(
Master_Mapping_Sheet!$E$2:$E$3143),
Master_Mapping_Sheet!$H$2:$H$3143=W$1,
Master_Mapping_Sheet!$B$2:$B$3143=$A13))/sum(filter(
Maste"&amp;"r_Mapping_Sheet!$E$2:$E$3143, ISNUMBER(
Master_Mapping_Sheet!$E$2:$E$3143),
Master_Mapping_Sheet!$B$2:$B$3143=$A13)))"),0.0)</f>
        <v>0</v>
      </c>
      <c r="X13" s="34">
        <f>IFERROR(__xludf.DUMMYFUNCTION("IF(ISNA(sum(filter(
Master_Mapping_Sheet!$E$2:$E$3143, ISNUMBER(
Master_Mapping_Sheet!$E$2:$E$3143),
Master_Mapping_Sheet!$H$2:$H$3143=X$1,
Master_Mapping_Sheet!$B$2:$B$3143=$A13))/sum(filter(
Master_Mapping_Sheet!$E$2:$E$3143, ISNUMBER(
Master_Mapping_Sh"&amp;"eet!$E$2:$E$3143),
Master_Mapping_Sheet!$B$2:$B$3143=$A13))), 0, sum(filter(
Master_Mapping_Sheet!$E$2:$E$3143, ISNUMBER(
Master_Mapping_Sheet!$E$2:$E$3143),
Master_Mapping_Sheet!$H$2:$H$3143=X$1,
Master_Mapping_Sheet!$B$2:$B$3143=$A13))/sum(filter(
Maste"&amp;"r_Mapping_Sheet!$E$2:$E$3143, ISNUMBER(
Master_Mapping_Sheet!$E$2:$E$3143),
Master_Mapping_Sheet!$B$2:$B$3143=$A13)))"),0.0)</f>
        <v>0</v>
      </c>
      <c r="Y13" s="34">
        <f>IFERROR(__xludf.DUMMYFUNCTION("IF(ISNA(sum(filter(
Master_Mapping_Sheet!$E$2:$E$3143, ISNUMBER(
Master_Mapping_Sheet!$E$2:$E$3143),
Master_Mapping_Sheet!$H$2:$H$3143=Y$1,
Master_Mapping_Sheet!$B$2:$B$3143=$A13))/sum(filter(
Master_Mapping_Sheet!$E$2:$E$3143, ISNUMBER(
Master_Mapping_Sh"&amp;"eet!$E$2:$E$3143),
Master_Mapping_Sheet!$B$2:$B$3143=$A13))), 0, sum(filter(
Master_Mapping_Sheet!$E$2:$E$3143, ISNUMBER(
Master_Mapping_Sheet!$E$2:$E$3143),
Master_Mapping_Sheet!$H$2:$H$3143=Y$1,
Master_Mapping_Sheet!$B$2:$B$3143=$A13))/sum(filter(
Maste"&amp;"r_Mapping_Sheet!$E$2:$E$3143, ISNUMBER(
Master_Mapping_Sheet!$E$2:$E$3143),
Master_Mapping_Sheet!$B$2:$B$3143=$A13)))"),0.0)</f>
        <v>0</v>
      </c>
      <c r="Z13" s="34">
        <f>IFERROR(__xludf.DUMMYFUNCTION("IF(ISNA(sum(filter(
Master_Mapping_Sheet!$E$2:$E$3143, ISNUMBER(
Master_Mapping_Sheet!$E$2:$E$3143),
Master_Mapping_Sheet!$H$2:$H$3143=Z$1,
Master_Mapping_Sheet!$B$2:$B$3143=$A13))/sum(filter(
Master_Mapping_Sheet!$E$2:$E$3143, ISNUMBER(
Master_Mapping_Sh"&amp;"eet!$E$2:$E$3143),
Master_Mapping_Sheet!$B$2:$B$3143=$A13))), 0, sum(filter(
Master_Mapping_Sheet!$E$2:$E$3143, ISNUMBER(
Master_Mapping_Sheet!$E$2:$E$3143),
Master_Mapping_Sheet!$H$2:$H$3143=Z$1,
Master_Mapping_Sheet!$B$2:$B$3143=$A13))/sum(filter(
Maste"&amp;"r_Mapping_Sheet!$E$2:$E$3143, ISNUMBER(
Master_Mapping_Sheet!$E$2:$E$3143),
Master_Mapping_Sheet!$B$2:$B$3143=$A13)))"),0.0)</f>
        <v>0</v>
      </c>
      <c r="AA13" s="34">
        <f>IFERROR(__xludf.DUMMYFUNCTION("IF(ISNA(sum(filter(
Master_Mapping_Sheet!$E$2:$E$3143, ISNUMBER(
Master_Mapping_Sheet!$E$2:$E$3143),
Master_Mapping_Sheet!$H$2:$H$3143=AA$1,
Master_Mapping_Sheet!$B$2:$B$3143=$A13))/sum(filter(
Master_Mapping_Sheet!$E$2:$E$3143, ISNUMBER(
Master_Mapping_S"&amp;"heet!$E$2:$E$3143),
Master_Mapping_Sheet!$B$2:$B$3143=$A13))), 0, sum(filter(
Master_Mapping_Sheet!$E$2:$E$3143, ISNUMBER(
Master_Mapping_Sheet!$E$2:$E$3143),
Master_Mapping_Sheet!$H$2:$H$3143=AA$1,
Master_Mapping_Sheet!$B$2:$B$3143=$A13))/sum(filter(
Mas"&amp;"ter_Mapping_Sheet!$E$2:$E$3143, ISNUMBER(
Master_Mapping_Sheet!$E$2:$E$3143),
Master_Mapping_Sheet!$B$2:$B$3143=$A13)))"),0.0)</f>
        <v>0</v>
      </c>
    </row>
    <row r="14" ht="15.75" customHeight="1">
      <c r="A14" s="34" t="s">
        <v>576</v>
      </c>
      <c r="B14" s="34" t="s">
        <v>2424</v>
      </c>
      <c r="C14" s="34">
        <f>IFERROR(__xludf.DUMMYFUNCTION("IF(ISNA(sum(filter(
Master_Mapping_Sheet!$E$2:$E$3143, ISNUMBER(
Master_Mapping_Sheet!$E$2:$E$3143),
Master_Mapping_Sheet!$H$2:$H$3143=C$1,
Master_Mapping_Sheet!$B$2:$B$3143=$A14))/sum(filter(
Master_Mapping_Sheet!$E$2:$E$3143, ISNUMBER(
Master_Mapping_Sh"&amp;"eet!$E$2:$E$3143),
Master_Mapping_Sheet!$B$2:$B$3143=$A14))), 0, sum(filter(
Master_Mapping_Sheet!$E$2:$E$3143, ISNUMBER(
Master_Mapping_Sheet!$E$2:$E$3143),
Master_Mapping_Sheet!$H$2:$H$3143=C$1,
Master_Mapping_Sheet!$B$2:$B$3143=$A14))/sum(filter(
Maste"&amp;"r_Mapping_Sheet!$E$2:$E$3143, ISNUMBER(
Master_Mapping_Sheet!$E$2:$E$3143),
Master_Mapping_Sheet!$B$2:$B$3143=$A14)))"),0.0)</f>
        <v>0</v>
      </c>
      <c r="D14" s="32">
        <f>IFERROR(__xludf.DUMMYFUNCTION("IF(ISNA(sum(filter(
Master_Mapping_Sheet!$E$2:$E$3143, ISNUMBER(
Master_Mapping_Sheet!$E$2:$E$3143),
Master_Mapping_Sheet!$H$2:$H$3143=D$1,
Master_Mapping_Sheet!$B$2:$B$3143=$A14))/sum(filter(
Master_Mapping_Sheet!$E$2:$E$3143, ISNUMBER(
Master_Mapping_Sh"&amp;"eet!$E$2:$E$3143),
Master_Mapping_Sheet!$B$2:$B$3143=$A14))), 0, sum(filter(
Master_Mapping_Sheet!$E$2:$E$3143, ISNUMBER(
Master_Mapping_Sheet!$E$2:$E$3143),
Master_Mapping_Sheet!$H$2:$H$3143=D$1,
Master_Mapping_Sheet!$B$2:$B$3143=$A14))/sum(filter(
Maste"&amp;"r_Mapping_Sheet!$E$2:$E$3143, ISNUMBER(
Master_Mapping_Sheet!$E$2:$E$3143),
Master_Mapping_Sheet!$B$2:$B$3143=$A14)))"),0.0)</f>
        <v>0</v>
      </c>
      <c r="E14" s="34">
        <f>IFERROR(__xludf.DUMMYFUNCTION("IF(ISNA(sum(filter(
Master_Mapping_Sheet!$E$2:$E$3143, ISNUMBER(
Master_Mapping_Sheet!$E$2:$E$3143),
Master_Mapping_Sheet!$H$2:$H$3143=E$1,
Master_Mapping_Sheet!$B$2:$B$3143=$A14))/sum(filter(
Master_Mapping_Sheet!$E$2:$E$3143, ISNUMBER(
Master_Mapping_Sh"&amp;"eet!$E$2:$E$3143),
Master_Mapping_Sheet!$B$2:$B$3143=$A14))), 0, sum(filter(
Master_Mapping_Sheet!$E$2:$E$3143, ISNUMBER(
Master_Mapping_Sheet!$E$2:$E$3143),
Master_Mapping_Sheet!$H$2:$H$3143=E$1,
Master_Mapping_Sheet!$B$2:$B$3143=$A14))/sum(filter(
Maste"&amp;"r_Mapping_Sheet!$E$2:$E$3143, ISNUMBER(
Master_Mapping_Sheet!$E$2:$E$3143),
Master_Mapping_Sheet!$B$2:$B$3143=$A14)))"),0.0)</f>
        <v>0</v>
      </c>
      <c r="F14" s="34">
        <f>IFERROR(__xludf.DUMMYFUNCTION("IF(ISNA(sum(filter(
Master_Mapping_Sheet!$E$2:$E$3143, ISNUMBER(
Master_Mapping_Sheet!$E$2:$E$3143),
Master_Mapping_Sheet!$H$2:$H$3143=F$1,
Master_Mapping_Sheet!$B$2:$B$3143=$A14))/sum(filter(
Master_Mapping_Sheet!$E$2:$E$3143, ISNUMBER(
Master_Mapping_Sh"&amp;"eet!$E$2:$E$3143),
Master_Mapping_Sheet!$B$2:$B$3143=$A14))), 0, sum(filter(
Master_Mapping_Sheet!$E$2:$E$3143, ISNUMBER(
Master_Mapping_Sheet!$E$2:$E$3143),
Master_Mapping_Sheet!$H$2:$H$3143=F$1,
Master_Mapping_Sheet!$B$2:$B$3143=$A14))/sum(filter(
Maste"&amp;"r_Mapping_Sheet!$E$2:$E$3143, ISNUMBER(
Master_Mapping_Sheet!$E$2:$E$3143),
Master_Mapping_Sheet!$B$2:$B$3143=$A14)))"),0.0)</f>
        <v>0</v>
      </c>
      <c r="G14" s="34">
        <f>IFERROR(__xludf.DUMMYFUNCTION("IF(ISNA(sum(filter(
Master_Mapping_Sheet!$E$2:$E$3143, ISNUMBER(
Master_Mapping_Sheet!$E$2:$E$3143),
Master_Mapping_Sheet!$H$2:$H$3143=G$1,
Master_Mapping_Sheet!$B$2:$B$3143=$A14))/sum(filter(
Master_Mapping_Sheet!$E$2:$E$3143, ISNUMBER(
Master_Mapping_Sh"&amp;"eet!$E$2:$E$3143),
Master_Mapping_Sheet!$B$2:$B$3143=$A14))), 0, sum(filter(
Master_Mapping_Sheet!$E$2:$E$3143, ISNUMBER(
Master_Mapping_Sheet!$E$2:$E$3143),
Master_Mapping_Sheet!$H$2:$H$3143=G$1,
Master_Mapping_Sheet!$B$2:$B$3143=$A14))/sum(filter(
Maste"&amp;"r_Mapping_Sheet!$E$2:$E$3143, ISNUMBER(
Master_Mapping_Sheet!$E$2:$E$3143),
Master_Mapping_Sheet!$B$2:$B$3143=$A14)))"),0.0)</f>
        <v>0</v>
      </c>
      <c r="H14" s="34">
        <f>IFERROR(__xludf.DUMMYFUNCTION("IF(ISNA(sum(filter(
Master_Mapping_Sheet!$E$2:$E$3143, ISNUMBER(
Master_Mapping_Sheet!$E$2:$E$3143),
Master_Mapping_Sheet!$H$2:$H$3143=H$1,
Master_Mapping_Sheet!$B$2:$B$3143=$A14))/sum(filter(
Master_Mapping_Sheet!$E$2:$E$3143, ISNUMBER(
Master_Mapping_Sh"&amp;"eet!$E$2:$E$3143),
Master_Mapping_Sheet!$B$2:$B$3143=$A14))), 0, sum(filter(
Master_Mapping_Sheet!$E$2:$E$3143, ISNUMBER(
Master_Mapping_Sheet!$E$2:$E$3143),
Master_Mapping_Sheet!$H$2:$H$3143=H$1,
Master_Mapping_Sheet!$B$2:$B$3143=$A14))/sum(filter(
Maste"&amp;"r_Mapping_Sheet!$E$2:$E$3143, ISNUMBER(
Master_Mapping_Sheet!$E$2:$E$3143),
Master_Mapping_Sheet!$B$2:$B$3143=$A14)))"),0.0)</f>
        <v>0</v>
      </c>
      <c r="I14" s="34">
        <f>IFERROR(__xludf.DUMMYFUNCTION("IF(ISNA(sum(filter(
Master_Mapping_Sheet!$E$2:$E$3143, ISNUMBER(
Master_Mapping_Sheet!$E$2:$E$3143),
Master_Mapping_Sheet!$H$2:$H$3143=I$1,
Master_Mapping_Sheet!$B$2:$B$3143=$A14))/sum(filter(
Master_Mapping_Sheet!$E$2:$E$3143, ISNUMBER(
Master_Mapping_Sh"&amp;"eet!$E$2:$E$3143),
Master_Mapping_Sheet!$B$2:$B$3143=$A14))), 0, sum(filter(
Master_Mapping_Sheet!$E$2:$E$3143, ISNUMBER(
Master_Mapping_Sheet!$E$2:$E$3143),
Master_Mapping_Sheet!$H$2:$H$3143=I$1,
Master_Mapping_Sheet!$B$2:$B$3143=$A14))/sum(filter(
Maste"&amp;"r_Mapping_Sheet!$E$2:$E$3143, ISNUMBER(
Master_Mapping_Sheet!$E$2:$E$3143),
Master_Mapping_Sheet!$B$2:$B$3143=$A14)))"),0.0)</f>
        <v>0</v>
      </c>
      <c r="J14" s="34">
        <f>IFERROR(__xludf.DUMMYFUNCTION("IF(ISNA(sum(filter(
Master_Mapping_Sheet!$E$2:$E$3143, ISNUMBER(
Master_Mapping_Sheet!$E$2:$E$3143),
Master_Mapping_Sheet!$H$2:$H$3143=J$1,
Master_Mapping_Sheet!$B$2:$B$3143=$A14))/sum(filter(
Master_Mapping_Sheet!$E$2:$E$3143, ISNUMBER(
Master_Mapping_Sh"&amp;"eet!$E$2:$E$3143),
Master_Mapping_Sheet!$B$2:$B$3143=$A14))), 0, sum(filter(
Master_Mapping_Sheet!$E$2:$E$3143, ISNUMBER(
Master_Mapping_Sheet!$E$2:$E$3143),
Master_Mapping_Sheet!$H$2:$H$3143=J$1,
Master_Mapping_Sheet!$B$2:$B$3143=$A14))/sum(filter(
Maste"&amp;"r_Mapping_Sheet!$E$2:$E$3143, ISNUMBER(
Master_Mapping_Sheet!$E$2:$E$3143),
Master_Mapping_Sheet!$B$2:$B$3143=$A14)))"),0.0)</f>
        <v>0</v>
      </c>
      <c r="K14" s="34">
        <f>IFERROR(__xludf.DUMMYFUNCTION("IF(ISNA(sum(filter(
Master_Mapping_Sheet!$E$2:$E$3143, ISNUMBER(
Master_Mapping_Sheet!$E$2:$E$3143),
Master_Mapping_Sheet!$H$2:$H$3143=K$1,
Master_Mapping_Sheet!$B$2:$B$3143=$A14))/sum(filter(
Master_Mapping_Sheet!$E$2:$E$3143, ISNUMBER(
Master_Mapping_Sh"&amp;"eet!$E$2:$E$3143),
Master_Mapping_Sheet!$B$2:$B$3143=$A14))), 0, sum(filter(
Master_Mapping_Sheet!$E$2:$E$3143, ISNUMBER(
Master_Mapping_Sheet!$E$2:$E$3143),
Master_Mapping_Sheet!$H$2:$H$3143=K$1,
Master_Mapping_Sheet!$B$2:$B$3143=$A14))/sum(filter(
Maste"&amp;"r_Mapping_Sheet!$E$2:$E$3143, ISNUMBER(
Master_Mapping_Sheet!$E$2:$E$3143),
Master_Mapping_Sheet!$B$2:$B$3143=$A14)))"),0.0)</f>
        <v>0</v>
      </c>
      <c r="L14" s="34">
        <f>IFERROR(__xludf.DUMMYFUNCTION("IF(ISNA(sum(filter(
Master_Mapping_Sheet!$E$2:$E$3143, ISNUMBER(
Master_Mapping_Sheet!$E$2:$E$3143),
Master_Mapping_Sheet!$H$2:$H$3143=L$1,
Master_Mapping_Sheet!$B$2:$B$3143=$A14))/sum(filter(
Master_Mapping_Sheet!$E$2:$E$3143, ISNUMBER(
Master_Mapping_Sh"&amp;"eet!$E$2:$E$3143),
Master_Mapping_Sheet!$B$2:$B$3143=$A14))), 0, sum(filter(
Master_Mapping_Sheet!$E$2:$E$3143, ISNUMBER(
Master_Mapping_Sheet!$E$2:$E$3143),
Master_Mapping_Sheet!$H$2:$H$3143=L$1,
Master_Mapping_Sheet!$B$2:$B$3143=$A14))/sum(filter(
Maste"&amp;"r_Mapping_Sheet!$E$2:$E$3143, ISNUMBER(
Master_Mapping_Sheet!$E$2:$E$3143),
Master_Mapping_Sheet!$B$2:$B$3143=$A14)))"),0.0)</f>
        <v>0</v>
      </c>
      <c r="M14" s="34">
        <f>IFERROR(__xludf.DUMMYFUNCTION("IF(ISNA(sum(filter(
Master_Mapping_Sheet!$E$2:$E$3143, ISNUMBER(
Master_Mapping_Sheet!$E$2:$E$3143),
Master_Mapping_Sheet!$H$2:$H$3143=M$1,
Master_Mapping_Sheet!$B$2:$B$3143=$A14))/sum(filter(
Master_Mapping_Sheet!$E$2:$E$3143, ISNUMBER(
Master_Mapping_Sh"&amp;"eet!$E$2:$E$3143),
Master_Mapping_Sheet!$B$2:$B$3143=$A14))), 0, sum(filter(
Master_Mapping_Sheet!$E$2:$E$3143, ISNUMBER(
Master_Mapping_Sheet!$E$2:$E$3143),
Master_Mapping_Sheet!$H$2:$H$3143=M$1,
Master_Mapping_Sheet!$B$2:$B$3143=$A14))/sum(filter(
Maste"&amp;"r_Mapping_Sheet!$E$2:$E$3143, ISNUMBER(
Master_Mapping_Sheet!$E$2:$E$3143),
Master_Mapping_Sheet!$B$2:$B$3143=$A14)))"),0.0)</f>
        <v>0</v>
      </c>
      <c r="N14" s="34">
        <f>IFERROR(__xludf.DUMMYFUNCTION("IF(ISNA(sum(filter(
Master_Mapping_Sheet!$E$2:$E$3143, ISNUMBER(
Master_Mapping_Sheet!$E$2:$E$3143),
Master_Mapping_Sheet!$H$2:$H$3143=N$1,
Master_Mapping_Sheet!$B$2:$B$3143=$A14))/sum(filter(
Master_Mapping_Sheet!$E$2:$E$3143, ISNUMBER(
Master_Mapping_Sh"&amp;"eet!$E$2:$E$3143),
Master_Mapping_Sheet!$B$2:$B$3143=$A14))), 0, sum(filter(
Master_Mapping_Sheet!$E$2:$E$3143, ISNUMBER(
Master_Mapping_Sheet!$E$2:$E$3143),
Master_Mapping_Sheet!$H$2:$H$3143=N$1,
Master_Mapping_Sheet!$B$2:$B$3143=$A14))/sum(filter(
Maste"&amp;"r_Mapping_Sheet!$E$2:$E$3143, ISNUMBER(
Master_Mapping_Sheet!$E$2:$E$3143),
Master_Mapping_Sheet!$B$2:$B$3143=$A14)))"),0.0)</f>
        <v>0</v>
      </c>
      <c r="O14" s="34">
        <f>IFERROR(__xludf.DUMMYFUNCTION("IF(ISNA(sum(filter(
Master_Mapping_Sheet!$E$2:$E$3143, ISNUMBER(
Master_Mapping_Sheet!$E$2:$E$3143),
Master_Mapping_Sheet!$H$2:$H$3143=O$1,
Master_Mapping_Sheet!$B$2:$B$3143=$A14))/sum(filter(
Master_Mapping_Sheet!$E$2:$E$3143, ISNUMBER(
Master_Mapping_Sh"&amp;"eet!$E$2:$E$3143),
Master_Mapping_Sheet!$B$2:$B$3143=$A14))), 0, sum(filter(
Master_Mapping_Sheet!$E$2:$E$3143, ISNUMBER(
Master_Mapping_Sheet!$E$2:$E$3143),
Master_Mapping_Sheet!$H$2:$H$3143=O$1,
Master_Mapping_Sheet!$B$2:$B$3143=$A14))/sum(filter(
Maste"&amp;"r_Mapping_Sheet!$E$2:$E$3143, ISNUMBER(
Master_Mapping_Sheet!$E$2:$E$3143),
Master_Mapping_Sheet!$B$2:$B$3143=$A14)))"),0.0)</f>
        <v>0</v>
      </c>
      <c r="P14" s="34">
        <f>IFERROR(__xludf.DUMMYFUNCTION("IF(ISNA(sum(filter(
Master_Mapping_Sheet!$E$2:$E$3143, ISNUMBER(
Master_Mapping_Sheet!$E$2:$E$3143),
Master_Mapping_Sheet!$H$2:$H$3143=P$1,
Master_Mapping_Sheet!$B$2:$B$3143=$A14))/sum(filter(
Master_Mapping_Sheet!$E$2:$E$3143, ISNUMBER(
Master_Mapping_Sh"&amp;"eet!$E$2:$E$3143),
Master_Mapping_Sheet!$B$2:$B$3143=$A14))), 0, sum(filter(
Master_Mapping_Sheet!$E$2:$E$3143, ISNUMBER(
Master_Mapping_Sheet!$E$2:$E$3143),
Master_Mapping_Sheet!$H$2:$H$3143=P$1,
Master_Mapping_Sheet!$B$2:$B$3143=$A14))/sum(filter(
Maste"&amp;"r_Mapping_Sheet!$E$2:$E$3143, ISNUMBER(
Master_Mapping_Sheet!$E$2:$E$3143),
Master_Mapping_Sheet!$B$2:$B$3143=$A14)))"),0.0)</f>
        <v>0</v>
      </c>
      <c r="Q14" s="34">
        <f>IFERROR(__xludf.DUMMYFUNCTION("IF(ISNA(sum(filter(
Master_Mapping_Sheet!$E$2:$E$3143, ISNUMBER(
Master_Mapping_Sheet!$E$2:$E$3143),
Master_Mapping_Sheet!$H$2:$H$3143=Q$1,
Master_Mapping_Sheet!$B$2:$B$3143=$A14))/sum(filter(
Master_Mapping_Sheet!$E$2:$E$3143, ISNUMBER(
Master_Mapping_Sh"&amp;"eet!$E$2:$E$3143),
Master_Mapping_Sheet!$B$2:$B$3143=$A14))), 0, sum(filter(
Master_Mapping_Sheet!$E$2:$E$3143, ISNUMBER(
Master_Mapping_Sheet!$E$2:$E$3143),
Master_Mapping_Sheet!$H$2:$H$3143=Q$1,
Master_Mapping_Sheet!$B$2:$B$3143=$A14))/sum(filter(
Maste"&amp;"r_Mapping_Sheet!$E$2:$E$3143, ISNUMBER(
Master_Mapping_Sheet!$E$2:$E$3143),
Master_Mapping_Sheet!$B$2:$B$3143=$A14)))"),0.0)</f>
        <v>0</v>
      </c>
      <c r="R14" s="34">
        <f>IFERROR(__xludf.DUMMYFUNCTION("IF(ISNA(sum(filter(
Master_Mapping_Sheet!$E$2:$E$3143, ISNUMBER(
Master_Mapping_Sheet!$E$2:$E$3143),
Master_Mapping_Sheet!$H$2:$H$3143=R$1,
Master_Mapping_Sheet!$B$2:$B$3143=$A14))/sum(filter(
Master_Mapping_Sheet!$E$2:$E$3143, ISNUMBER(
Master_Mapping_Sh"&amp;"eet!$E$2:$E$3143),
Master_Mapping_Sheet!$B$2:$B$3143=$A14))), 0, sum(filter(
Master_Mapping_Sheet!$E$2:$E$3143, ISNUMBER(
Master_Mapping_Sheet!$E$2:$E$3143),
Master_Mapping_Sheet!$H$2:$H$3143=R$1,
Master_Mapping_Sheet!$B$2:$B$3143=$A14))/sum(filter(
Maste"&amp;"r_Mapping_Sheet!$E$2:$E$3143, ISNUMBER(
Master_Mapping_Sheet!$E$2:$E$3143),
Master_Mapping_Sheet!$B$2:$B$3143=$A14)))"),0.0)</f>
        <v>0</v>
      </c>
      <c r="S14" s="34">
        <f>IFERROR(__xludf.DUMMYFUNCTION("IF(ISNA(sum(filter(
Master_Mapping_Sheet!$E$2:$E$3143, ISNUMBER(
Master_Mapping_Sheet!$E$2:$E$3143),
Master_Mapping_Sheet!$H$2:$H$3143=S$1,
Master_Mapping_Sheet!$B$2:$B$3143=$A14))/sum(filter(
Master_Mapping_Sheet!$E$2:$E$3143, ISNUMBER(
Master_Mapping_Sh"&amp;"eet!$E$2:$E$3143),
Master_Mapping_Sheet!$B$2:$B$3143=$A14))), 0, sum(filter(
Master_Mapping_Sheet!$E$2:$E$3143, ISNUMBER(
Master_Mapping_Sheet!$E$2:$E$3143),
Master_Mapping_Sheet!$H$2:$H$3143=S$1,
Master_Mapping_Sheet!$B$2:$B$3143=$A14))/sum(filter(
Maste"&amp;"r_Mapping_Sheet!$E$2:$E$3143, ISNUMBER(
Master_Mapping_Sheet!$E$2:$E$3143),
Master_Mapping_Sheet!$B$2:$B$3143=$A14)))"),0.0)</f>
        <v>0</v>
      </c>
      <c r="T14" s="34">
        <f>IFERROR(__xludf.DUMMYFUNCTION("IF(ISNA(sum(filter(
Master_Mapping_Sheet!$E$2:$E$3143, ISNUMBER(
Master_Mapping_Sheet!$E$2:$E$3143),
Master_Mapping_Sheet!$H$2:$H$3143=T$1,
Master_Mapping_Sheet!$B$2:$B$3143=$A14))/sum(filter(
Master_Mapping_Sheet!$E$2:$E$3143, ISNUMBER(
Master_Mapping_Sh"&amp;"eet!$E$2:$E$3143),
Master_Mapping_Sheet!$B$2:$B$3143=$A14))), 0, sum(filter(
Master_Mapping_Sheet!$E$2:$E$3143, ISNUMBER(
Master_Mapping_Sheet!$E$2:$E$3143),
Master_Mapping_Sheet!$H$2:$H$3143=T$1,
Master_Mapping_Sheet!$B$2:$B$3143=$A14))/sum(filter(
Maste"&amp;"r_Mapping_Sheet!$E$2:$E$3143, ISNUMBER(
Master_Mapping_Sheet!$E$2:$E$3143),
Master_Mapping_Sheet!$B$2:$B$3143=$A14)))"),0.0)</f>
        <v>0</v>
      </c>
      <c r="U14" s="34">
        <f>IFERROR(__xludf.DUMMYFUNCTION("IF(ISNA(sum(filter(
Master_Mapping_Sheet!$E$2:$E$3143, ISNUMBER(
Master_Mapping_Sheet!$E$2:$E$3143),
Master_Mapping_Sheet!$H$2:$H$3143=U$1,
Master_Mapping_Sheet!$B$2:$B$3143=$A14))/sum(filter(
Master_Mapping_Sheet!$E$2:$E$3143, ISNUMBER(
Master_Mapping_Sh"&amp;"eet!$E$2:$E$3143),
Master_Mapping_Sheet!$B$2:$B$3143=$A14))), 0, sum(filter(
Master_Mapping_Sheet!$E$2:$E$3143, ISNUMBER(
Master_Mapping_Sheet!$E$2:$E$3143),
Master_Mapping_Sheet!$H$2:$H$3143=U$1,
Master_Mapping_Sheet!$B$2:$B$3143=$A14))/sum(filter(
Maste"&amp;"r_Mapping_Sheet!$E$2:$E$3143, ISNUMBER(
Master_Mapping_Sheet!$E$2:$E$3143),
Master_Mapping_Sheet!$B$2:$B$3143=$A14)))"),0.0)</f>
        <v>0</v>
      </c>
      <c r="V14" s="34">
        <f>IFERROR(__xludf.DUMMYFUNCTION("IF(ISNA(sum(filter(
Master_Mapping_Sheet!$E$2:$E$3143, ISNUMBER(
Master_Mapping_Sheet!$E$2:$E$3143),
Master_Mapping_Sheet!$H$2:$H$3143=V$1,
Master_Mapping_Sheet!$B$2:$B$3143=$A14))/sum(filter(
Master_Mapping_Sheet!$E$2:$E$3143, ISNUMBER(
Master_Mapping_Sh"&amp;"eet!$E$2:$E$3143),
Master_Mapping_Sheet!$B$2:$B$3143=$A14))), 0, sum(filter(
Master_Mapping_Sheet!$E$2:$E$3143, ISNUMBER(
Master_Mapping_Sheet!$E$2:$E$3143),
Master_Mapping_Sheet!$H$2:$H$3143=V$1,
Master_Mapping_Sheet!$B$2:$B$3143=$A14))/sum(filter(
Maste"&amp;"r_Mapping_Sheet!$E$2:$E$3143, ISNUMBER(
Master_Mapping_Sheet!$E$2:$E$3143),
Master_Mapping_Sheet!$B$2:$B$3143=$A14)))"),0.0)</f>
        <v>0</v>
      </c>
      <c r="W14" s="34">
        <f>IFERROR(__xludf.DUMMYFUNCTION("IF(ISNA(sum(filter(
Master_Mapping_Sheet!$E$2:$E$3143, ISNUMBER(
Master_Mapping_Sheet!$E$2:$E$3143),
Master_Mapping_Sheet!$H$2:$H$3143=W$1,
Master_Mapping_Sheet!$B$2:$B$3143=$A14))/sum(filter(
Master_Mapping_Sheet!$E$2:$E$3143, ISNUMBER(
Master_Mapping_Sh"&amp;"eet!$E$2:$E$3143),
Master_Mapping_Sheet!$B$2:$B$3143=$A14))), 0, sum(filter(
Master_Mapping_Sheet!$E$2:$E$3143, ISNUMBER(
Master_Mapping_Sheet!$E$2:$E$3143),
Master_Mapping_Sheet!$H$2:$H$3143=W$1,
Master_Mapping_Sheet!$B$2:$B$3143=$A14))/sum(filter(
Maste"&amp;"r_Mapping_Sheet!$E$2:$E$3143, ISNUMBER(
Master_Mapping_Sheet!$E$2:$E$3143),
Master_Mapping_Sheet!$B$2:$B$3143=$A14)))"),0.0)</f>
        <v>0</v>
      </c>
      <c r="X14" s="34">
        <f>IFERROR(__xludf.DUMMYFUNCTION("IF(ISNA(sum(filter(
Master_Mapping_Sheet!$E$2:$E$3143, ISNUMBER(
Master_Mapping_Sheet!$E$2:$E$3143),
Master_Mapping_Sheet!$H$2:$H$3143=X$1,
Master_Mapping_Sheet!$B$2:$B$3143=$A14))/sum(filter(
Master_Mapping_Sheet!$E$2:$E$3143, ISNUMBER(
Master_Mapping_Sh"&amp;"eet!$E$2:$E$3143),
Master_Mapping_Sheet!$B$2:$B$3143=$A14))), 0, sum(filter(
Master_Mapping_Sheet!$E$2:$E$3143, ISNUMBER(
Master_Mapping_Sheet!$E$2:$E$3143),
Master_Mapping_Sheet!$H$2:$H$3143=X$1,
Master_Mapping_Sheet!$B$2:$B$3143=$A14))/sum(filter(
Maste"&amp;"r_Mapping_Sheet!$E$2:$E$3143, ISNUMBER(
Master_Mapping_Sheet!$E$2:$E$3143),
Master_Mapping_Sheet!$B$2:$B$3143=$A14)))"),0.0)</f>
        <v>0</v>
      </c>
      <c r="Y14" s="34">
        <f>IFERROR(__xludf.DUMMYFUNCTION("IF(ISNA(sum(filter(
Master_Mapping_Sheet!$E$2:$E$3143, ISNUMBER(
Master_Mapping_Sheet!$E$2:$E$3143),
Master_Mapping_Sheet!$H$2:$H$3143=Y$1,
Master_Mapping_Sheet!$B$2:$B$3143=$A14))/sum(filter(
Master_Mapping_Sheet!$E$2:$E$3143, ISNUMBER(
Master_Mapping_Sh"&amp;"eet!$E$2:$E$3143),
Master_Mapping_Sheet!$B$2:$B$3143=$A14))), 0, sum(filter(
Master_Mapping_Sheet!$E$2:$E$3143, ISNUMBER(
Master_Mapping_Sheet!$E$2:$E$3143),
Master_Mapping_Sheet!$H$2:$H$3143=Y$1,
Master_Mapping_Sheet!$B$2:$B$3143=$A14))/sum(filter(
Maste"&amp;"r_Mapping_Sheet!$E$2:$E$3143, ISNUMBER(
Master_Mapping_Sheet!$E$2:$E$3143),
Master_Mapping_Sheet!$B$2:$B$3143=$A14)))"),0.18972111123892085)</f>
        <v>0.1897211112</v>
      </c>
      <c r="Z14" s="34">
        <f>IFERROR(__xludf.DUMMYFUNCTION("IF(ISNA(sum(filter(
Master_Mapping_Sheet!$E$2:$E$3143, ISNUMBER(
Master_Mapping_Sheet!$E$2:$E$3143),
Master_Mapping_Sheet!$H$2:$H$3143=Z$1,
Master_Mapping_Sheet!$B$2:$B$3143=$A14))/sum(filter(
Master_Mapping_Sheet!$E$2:$E$3143, ISNUMBER(
Master_Mapping_Sh"&amp;"eet!$E$2:$E$3143),
Master_Mapping_Sheet!$B$2:$B$3143=$A14))), 0, sum(filter(
Master_Mapping_Sheet!$E$2:$E$3143, ISNUMBER(
Master_Mapping_Sheet!$E$2:$E$3143),
Master_Mapping_Sheet!$H$2:$H$3143=Z$1,
Master_Mapping_Sheet!$B$2:$B$3143=$A14))/sum(filter(
Maste"&amp;"r_Mapping_Sheet!$E$2:$E$3143, ISNUMBER(
Master_Mapping_Sheet!$E$2:$E$3143),
Master_Mapping_Sheet!$B$2:$B$3143=$A14)))"),0.0)</f>
        <v>0</v>
      </c>
      <c r="AA14" s="34">
        <f>IFERROR(__xludf.DUMMYFUNCTION("IF(ISNA(sum(filter(
Master_Mapping_Sheet!$E$2:$E$3143, ISNUMBER(
Master_Mapping_Sheet!$E$2:$E$3143),
Master_Mapping_Sheet!$H$2:$H$3143=AA$1,
Master_Mapping_Sheet!$B$2:$B$3143=$A14))/sum(filter(
Master_Mapping_Sheet!$E$2:$E$3143, ISNUMBER(
Master_Mapping_S"&amp;"heet!$E$2:$E$3143),
Master_Mapping_Sheet!$B$2:$B$3143=$A14))), 0, sum(filter(
Master_Mapping_Sheet!$E$2:$E$3143, ISNUMBER(
Master_Mapping_Sheet!$E$2:$E$3143),
Master_Mapping_Sheet!$H$2:$H$3143=AA$1,
Master_Mapping_Sheet!$B$2:$B$3143=$A14))/sum(filter(
Mas"&amp;"ter_Mapping_Sheet!$E$2:$E$3143, ISNUMBER(
Master_Mapping_Sheet!$E$2:$E$3143),
Master_Mapping_Sheet!$B$2:$B$3143=$A14)))"),0.8102788887610791)</f>
        <v>0.8102788888</v>
      </c>
    </row>
    <row r="15" ht="15.75" customHeight="1">
      <c r="A15" s="34" t="s">
        <v>608</v>
      </c>
      <c r="B15" s="34" t="s">
        <v>2458</v>
      </c>
      <c r="C15" s="34">
        <f>IFERROR(__xludf.DUMMYFUNCTION("IF(ISNA(sum(filter(
Master_Mapping_Sheet!$E$2:$E$3143, ISNUMBER(
Master_Mapping_Sheet!$E$2:$E$3143),
Master_Mapping_Sheet!$H$2:$H$3143=C$1,
Master_Mapping_Sheet!$B$2:$B$3143=$A15))/sum(filter(
Master_Mapping_Sheet!$E$2:$E$3143, ISNUMBER(
Master_Mapping_Sh"&amp;"eet!$E$2:$E$3143),
Master_Mapping_Sheet!$B$2:$B$3143=$A15))), 0, sum(filter(
Master_Mapping_Sheet!$E$2:$E$3143, ISNUMBER(
Master_Mapping_Sheet!$E$2:$E$3143),
Master_Mapping_Sheet!$H$2:$H$3143=C$1,
Master_Mapping_Sheet!$B$2:$B$3143=$A15))/sum(filter(
Maste"&amp;"r_Mapping_Sheet!$E$2:$E$3143, ISNUMBER(
Master_Mapping_Sheet!$E$2:$E$3143),
Master_Mapping_Sheet!$B$2:$B$3143=$A15)))"),0.0)</f>
        <v>0</v>
      </c>
      <c r="D15" s="32">
        <f>IFERROR(__xludf.DUMMYFUNCTION("IF(ISNA(sum(filter(
Master_Mapping_Sheet!$E$2:$E$3143, ISNUMBER(
Master_Mapping_Sheet!$E$2:$E$3143),
Master_Mapping_Sheet!$H$2:$H$3143=D$1,
Master_Mapping_Sheet!$B$2:$B$3143=$A15))/sum(filter(
Master_Mapping_Sheet!$E$2:$E$3143, ISNUMBER(
Master_Mapping_Sh"&amp;"eet!$E$2:$E$3143),
Master_Mapping_Sheet!$B$2:$B$3143=$A15))), 0, sum(filter(
Master_Mapping_Sheet!$E$2:$E$3143, ISNUMBER(
Master_Mapping_Sheet!$E$2:$E$3143),
Master_Mapping_Sheet!$H$2:$H$3143=D$1,
Master_Mapping_Sheet!$B$2:$B$3143=$A15))/sum(filter(
Maste"&amp;"r_Mapping_Sheet!$E$2:$E$3143, ISNUMBER(
Master_Mapping_Sheet!$E$2:$E$3143),
Master_Mapping_Sheet!$B$2:$B$3143=$A15)))"),0.0)</f>
        <v>0</v>
      </c>
      <c r="E15" s="34">
        <f>IFERROR(__xludf.DUMMYFUNCTION("IF(ISNA(sum(filter(
Master_Mapping_Sheet!$E$2:$E$3143, ISNUMBER(
Master_Mapping_Sheet!$E$2:$E$3143),
Master_Mapping_Sheet!$H$2:$H$3143=E$1,
Master_Mapping_Sheet!$B$2:$B$3143=$A15))/sum(filter(
Master_Mapping_Sheet!$E$2:$E$3143, ISNUMBER(
Master_Mapping_Sh"&amp;"eet!$E$2:$E$3143),
Master_Mapping_Sheet!$B$2:$B$3143=$A15))), 0, sum(filter(
Master_Mapping_Sheet!$E$2:$E$3143, ISNUMBER(
Master_Mapping_Sheet!$E$2:$E$3143),
Master_Mapping_Sheet!$H$2:$H$3143=E$1,
Master_Mapping_Sheet!$B$2:$B$3143=$A15))/sum(filter(
Maste"&amp;"r_Mapping_Sheet!$E$2:$E$3143, ISNUMBER(
Master_Mapping_Sheet!$E$2:$E$3143),
Master_Mapping_Sheet!$B$2:$B$3143=$A15)))"),0.0017335887765824317)</f>
        <v>0.001733588777</v>
      </c>
      <c r="F15" s="34">
        <f>IFERROR(__xludf.DUMMYFUNCTION("IF(ISNA(sum(filter(
Master_Mapping_Sheet!$E$2:$E$3143, ISNUMBER(
Master_Mapping_Sheet!$E$2:$E$3143),
Master_Mapping_Sheet!$H$2:$H$3143=F$1,
Master_Mapping_Sheet!$B$2:$B$3143=$A15))/sum(filter(
Master_Mapping_Sheet!$E$2:$E$3143, ISNUMBER(
Master_Mapping_Sh"&amp;"eet!$E$2:$E$3143),
Master_Mapping_Sheet!$B$2:$B$3143=$A15))), 0, sum(filter(
Master_Mapping_Sheet!$E$2:$E$3143, ISNUMBER(
Master_Mapping_Sheet!$E$2:$E$3143),
Master_Mapping_Sheet!$H$2:$H$3143=F$1,
Master_Mapping_Sheet!$B$2:$B$3143=$A15))/sum(filter(
Maste"&amp;"r_Mapping_Sheet!$E$2:$E$3143, ISNUMBER(
Master_Mapping_Sheet!$E$2:$E$3143),
Master_Mapping_Sheet!$B$2:$B$3143=$A15)))"),0.29083732672578577)</f>
        <v>0.2908373267</v>
      </c>
      <c r="G15" s="34">
        <f>IFERROR(__xludf.DUMMYFUNCTION("IF(ISNA(sum(filter(
Master_Mapping_Sheet!$E$2:$E$3143, ISNUMBER(
Master_Mapping_Sheet!$E$2:$E$3143),
Master_Mapping_Sheet!$H$2:$H$3143=G$1,
Master_Mapping_Sheet!$B$2:$B$3143=$A15))/sum(filter(
Master_Mapping_Sheet!$E$2:$E$3143, ISNUMBER(
Master_Mapping_Sh"&amp;"eet!$E$2:$E$3143),
Master_Mapping_Sheet!$B$2:$B$3143=$A15))), 0, sum(filter(
Master_Mapping_Sheet!$E$2:$E$3143, ISNUMBER(
Master_Mapping_Sheet!$E$2:$E$3143),
Master_Mapping_Sheet!$H$2:$H$3143=G$1,
Master_Mapping_Sheet!$B$2:$B$3143=$A15))/sum(filter(
Maste"&amp;"r_Mapping_Sheet!$E$2:$E$3143, ISNUMBER(
Master_Mapping_Sheet!$E$2:$E$3143),
Master_Mapping_Sheet!$B$2:$B$3143=$A15)))"),0.0)</f>
        <v>0</v>
      </c>
      <c r="H15" s="34">
        <f>IFERROR(__xludf.DUMMYFUNCTION("IF(ISNA(sum(filter(
Master_Mapping_Sheet!$E$2:$E$3143, ISNUMBER(
Master_Mapping_Sheet!$E$2:$E$3143),
Master_Mapping_Sheet!$H$2:$H$3143=H$1,
Master_Mapping_Sheet!$B$2:$B$3143=$A15))/sum(filter(
Master_Mapping_Sheet!$E$2:$E$3143, ISNUMBER(
Master_Mapping_Sh"&amp;"eet!$E$2:$E$3143),
Master_Mapping_Sheet!$B$2:$B$3143=$A15))), 0, sum(filter(
Master_Mapping_Sheet!$E$2:$E$3143, ISNUMBER(
Master_Mapping_Sheet!$E$2:$E$3143),
Master_Mapping_Sheet!$H$2:$H$3143=H$1,
Master_Mapping_Sheet!$B$2:$B$3143=$A15))/sum(filter(
Maste"&amp;"r_Mapping_Sheet!$E$2:$E$3143, ISNUMBER(
Master_Mapping_Sheet!$E$2:$E$3143),
Master_Mapping_Sheet!$B$2:$B$3143=$A15)))"),0.0)</f>
        <v>0</v>
      </c>
      <c r="I15" s="34">
        <f>IFERROR(__xludf.DUMMYFUNCTION("IF(ISNA(sum(filter(
Master_Mapping_Sheet!$E$2:$E$3143, ISNUMBER(
Master_Mapping_Sheet!$E$2:$E$3143),
Master_Mapping_Sheet!$H$2:$H$3143=I$1,
Master_Mapping_Sheet!$B$2:$B$3143=$A15))/sum(filter(
Master_Mapping_Sheet!$E$2:$E$3143, ISNUMBER(
Master_Mapping_Sh"&amp;"eet!$E$2:$E$3143),
Master_Mapping_Sheet!$B$2:$B$3143=$A15))), 0, sum(filter(
Master_Mapping_Sheet!$E$2:$E$3143, ISNUMBER(
Master_Mapping_Sheet!$E$2:$E$3143),
Master_Mapping_Sheet!$H$2:$H$3143=I$1,
Master_Mapping_Sheet!$B$2:$B$3143=$A15))/sum(filter(
Maste"&amp;"r_Mapping_Sheet!$E$2:$E$3143, ISNUMBER(
Master_Mapping_Sheet!$E$2:$E$3143),
Master_Mapping_Sheet!$B$2:$B$3143=$A15)))"),0.0)</f>
        <v>0</v>
      </c>
      <c r="J15" s="34">
        <f>IFERROR(__xludf.DUMMYFUNCTION("IF(ISNA(sum(filter(
Master_Mapping_Sheet!$E$2:$E$3143, ISNUMBER(
Master_Mapping_Sheet!$E$2:$E$3143),
Master_Mapping_Sheet!$H$2:$H$3143=J$1,
Master_Mapping_Sheet!$B$2:$B$3143=$A15))/sum(filter(
Master_Mapping_Sheet!$E$2:$E$3143, ISNUMBER(
Master_Mapping_Sh"&amp;"eet!$E$2:$E$3143),
Master_Mapping_Sheet!$B$2:$B$3143=$A15))), 0, sum(filter(
Master_Mapping_Sheet!$E$2:$E$3143, ISNUMBER(
Master_Mapping_Sheet!$E$2:$E$3143),
Master_Mapping_Sheet!$H$2:$H$3143=J$1,
Master_Mapping_Sheet!$B$2:$B$3143=$A15))/sum(filter(
Maste"&amp;"r_Mapping_Sheet!$E$2:$E$3143, ISNUMBER(
Master_Mapping_Sheet!$E$2:$E$3143),
Master_Mapping_Sheet!$B$2:$B$3143=$A15)))"),0.0)</f>
        <v>0</v>
      </c>
      <c r="K15" s="34">
        <f>IFERROR(__xludf.DUMMYFUNCTION("IF(ISNA(sum(filter(
Master_Mapping_Sheet!$E$2:$E$3143, ISNUMBER(
Master_Mapping_Sheet!$E$2:$E$3143),
Master_Mapping_Sheet!$H$2:$H$3143=K$1,
Master_Mapping_Sheet!$B$2:$B$3143=$A15))/sum(filter(
Master_Mapping_Sheet!$E$2:$E$3143, ISNUMBER(
Master_Mapping_Sh"&amp;"eet!$E$2:$E$3143),
Master_Mapping_Sheet!$B$2:$B$3143=$A15))), 0, sum(filter(
Master_Mapping_Sheet!$E$2:$E$3143, ISNUMBER(
Master_Mapping_Sheet!$E$2:$E$3143),
Master_Mapping_Sheet!$H$2:$H$3143=K$1,
Master_Mapping_Sheet!$B$2:$B$3143=$A15))/sum(filter(
Maste"&amp;"r_Mapping_Sheet!$E$2:$E$3143, ISNUMBER(
Master_Mapping_Sheet!$E$2:$E$3143),
Master_Mapping_Sheet!$B$2:$B$3143=$A15)))"),0.0)</f>
        <v>0</v>
      </c>
      <c r="L15" s="34">
        <f>IFERROR(__xludf.DUMMYFUNCTION("IF(ISNA(sum(filter(
Master_Mapping_Sheet!$E$2:$E$3143, ISNUMBER(
Master_Mapping_Sheet!$E$2:$E$3143),
Master_Mapping_Sheet!$H$2:$H$3143=L$1,
Master_Mapping_Sheet!$B$2:$B$3143=$A15))/sum(filter(
Master_Mapping_Sheet!$E$2:$E$3143, ISNUMBER(
Master_Mapping_Sh"&amp;"eet!$E$2:$E$3143),
Master_Mapping_Sheet!$B$2:$B$3143=$A15))), 0, sum(filter(
Master_Mapping_Sheet!$E$2:$E$3143, ISNUMBER(
Master_Mapping_Sheet!$E$2:$E$3143),
Master_Mapping_Sheet!$H$2:$H$3143=L$1,
Master_Mapping_Sheet!$B$2:$B$3143=$A15))/sum(filter(
Maste"&amp;"r_Mapping_Sheet!$E$2:$E$3143, ISNUMBER(
Master_Mapping_Sheet!$E$2:$E$3143),
Master_Mapping_Sheet!$B$2:$B$3143=$A15)))"),0.0)</f>
        <v>0</v>
      </c>
      <c r="M15" s="34">
        <f>IFERROR(__xludf.DUMMYFUNCTION("IF(ISNA(sum(filter(
Master_Mapping_Sheet!$E$2:$E$3143, ISNUMBER(
Master_Mapping_Sheet!$E$2:$E$3143),
Master_Mapping_Sheet!$H$2:$H$3143=M$1,
Master_Mapping_Sheet!$B$2:$B$3143=$A15))/sum(filter(
Master_Mapping_Sheet!$E$2:$E$3143, ISNUMBER(
Master_Mapping_Sh"&amp;"eet!$E$2:$E$3143),
Master_Mapping_Sheet!$B$2:$B$3143=$A15))), 0, sum(filter(
Master_Mapping_Sheet!$E$2:$E$3143, ISNUMBER(
Master_Mapping_Sheet!$E$2:$E$3143),
Master_Mapping_Sheet!$H$2:$H$3143=M$1,
Master_Mapping_Sheet!$B$2:$B$3143=$A15))/sum(filter(
Maste"&amp;"r_Mapping_Sheet!$E$2:$E$3143, ISNUMBER(
Master_Mapping_Sheet!$E$2:$E$3143),
Master_Mapping_Sheet!$B$2:$B$3143=$A15)))"),0.0)</f>
        <v>0</v>
      </c>
      <c r="N15" s="34">
        <f>IFERROR(__xludf.DUMMYFUNCTION("IF(ISNA(sum(filter(
Master_Mapping_Sheet!$E$2:$E$3143, ISNUMBER(
Master_Mapping_Sheet!$E$2:$E$3143),
Master_Mapping_Sheet!$H$2:$H$3143=N$1,
Master_Mapping_Sheet!$B$2:$B$3143=$A15))/sum(filter(
Master_Mapping_Sheet!$E$2:$E$3143, ISNUMBER(
Master_Mapping_Sh"&amp;"eet!$E$2:$E$3143),
Master_Mapping_Sheet!$B$2:$B$3143=$A15))), 0, sum(filter(
Master_Mapping_Sheet!$E$2:$E$3143, ISNUMBER(
Master_Mapping_Sheet!$E$2:$E$3143),
Master_Mapping_Sheet!$H$2:$H$3143=N$1,
Master_Mapping_Sheet!$B$2:$B$3143=$A15))/sum(filter(
Maste"&amp;"r_Mapping_Sheet!$E$2:$E$3143, ISNUMBER(
Master_Mapping_Sheet!$E$2:$E$3143),
Master_Mapping_Sheet!$B$2:$B$3143=$A15)))"),0.7074290844976318)</f>
        <v>0.7074290845</v>
      </c>
      <c r="O15" s="34">
        <f>IFERROR(__xludf.DUMMYFUNCTION("IF(ISNA(sum(filter(
Master_Mapping_Sheet!$E$2:$E$3143, ISNUMBER(
Master_Mapping_Sheet!$E$2:$E$3143),
Master_Mapping_Sheet!$H$2:$H$3143=O$1,
Master_Mapping_Sheet!$B$2:$B$3143=$A15))/sum(filter(
Master_Mapping_Sheet!$E$2:$E$3143, ISNUMBER(
Master_Mapping_Sh"&amp;"eet!$E$2:$E$3143),
Master_Mapping_Sheet!$B$2:$B$3143=$A15))), 0, sum(filter(
Master_Mapping_Sheet!$E$2:$E$3143, ISNUMBER(
Master_Mapping_Sheet!$E$2:$E$3143),
Master_Mapping_Sheet!$H$2:$H$3143=O$1,
Master_Mapping_Sheet!$B$2:$B$3143=$A15))/sum(filter(
Maste"&amp;"r_Mapping_Sheet!$E$2:$E$3143, ISNUMBER(
Master_Mapping_Sheet!$E$2:$E$3143),
Master_Mapping_Sheet!$B$2:$B$3143=$A15)))"),0.0)</f>
        <v>0</v>
      </c>
      <c r="P15" s="34">
        <f>IFERROR(__xludf.DUMMYFUNCTION("IF(ISNA(sum(filter(
Master_Mapping_Sheet!$E$2:$E$3143, ISNUMBER(
Master_Mapping_Sheet!$E$2:$E$3143),
Master_Mapping_Sheet!$H$2:$H$3143=P$1,
Master_Mapping_Sheet!$B$2:$B$3143=$A15))/sum(filter(
Master_Mapping_Sheet!$E$2:$E$3143, ISNUMBER(
Master_Mapping_Sh"&amp;"eet!$E$2:$E$3143),
Master_Mapping_Sheet!$B$2:$B$3143=$A15))), 0, sum(filter(
Master_Mapping_Sheet!$E$2:$E$3143, ISNUMBER(
Master_Mapping_Sheet!$E$2:$E$3143),
Master_Mapping_Sheet!$H$2:$H$3143=P$1,
Master_Mapping_Sheet!$B$2:$B$3143=$A15))/sum(filter(
Maste"&amp;"r_Mapping_Sheet!$E$2:$E$3143, ISNUMBER(
Master_Mapping_Sheet!$E$2:$E$3143),
Master_Mapping_Sheet!$B$2:$B$3143=$A15)))"),0.0)</f>
        <v>0</v>
      </c>
      <c r="Q15" s="34">
        <f>IFERROR(__xludf.DUMMYFUNCTION("IF(ISNA(sum(filter(
Master_Mapping_Sheet!$E$2:$E$3143, ISNUMBER(
Master_Mapping_Sheet!$E$2:$E$3143),
Master_Mapping_Sheet!$H$2:$H$3143=Q$1,
Master_Mapping_Sheet!$B$2:$B$3143=$A15))/sum(filter(
Master_Mapping_Sheet!$E$2:$E$3143, ISNUMBER(
Master_Mapping_Sh"&amp;"eet!$E$2:$E$3143),
Master_Mapping_Sheet!$B$2:$B$3143=$A15))), 0, sum(filter(
Master_Mapping_Sheet!$E$2:$E$3143, ISNUMBER(
Master_Mapping_Sheet!$E$2:$E$3143),
Master_Mapping_Sheet!$H$2:$H$3143=Q$1,
Master_Mapping_Sheet!$B$2:$B$3143=$A15))/sum(filter(
Maste"&amp;"r_Mapping_Sheet!$E$2:$E$3143, ISNUMBER(
Master_Mapping_Sheet!$E$2:$E$3143),
Master_Mapping_Sheet!$B$2:$B$3143=$A15)))"),0.0)</f>
        <v>0</v>
      </c>
      <c r="R15" s="34">
        <f>IFERROR(__xludf.DUMMYFUNCTION("IF(ISNA(sum(filter(
Master_Mapping_Sheet!$E$2:$E$3143, ISNUMBER(
Master_Mapping_Sheet!$E$2:$E$3143),
Master_Mapping_Sheet!$H$2:$H$3143=R$1,
Master_Mapping_Sheet!$B$2:$B$3143=$A15))/sum(filter(
Master_Mapping_Sheet!$E$2:$E$3143, ISNUMBER(
Master_Mapping_Sh"&amp;"eet!$E$2:$E$3143),
Master_Mapping_Sheet!$B$2:$B$3143=$A15))), 0, sum(filter(
Master_Mapping_Sheet!$E$2:$E$3143, ISNUMBER(
Master_Mapping_Sheet!$E$2:$E$3143),
Master_Mapping_Sheet!$H$2:$H$3143=R$1,
Master_Mapping_Sheet!$B$2:$B$3143=$A15))/sum(filter(
Maste"&amp;"r_Mapping_Sheet!$E$2:$E$3143, ISNUMBER(
Master_Mapping_Sheet!$E$2:$E$3143),
Master_Mapping_Sheet!$B$2:$B$3143=$A15)))"),0.0)</f>
        <v>0</v>
      </c>
      <c r="S15" s="34">
        <f>IFERROR(__xludf.DUMMYFUNCTION("IF(ISNA(sum(filter(
Master_Mapping_Sheet!$E$2:$E$3143, ISNUMBER(
Master_Mapping_Sheet!$E$2:$E$3143),
Master_Mapping_Sheet!$H$2:$H$3143=S$1,
Master_Mapping_Sheet!$B$2:$B$3143=$A15))/sum(filter(
Master_Mapping_Sheet!$E$2:$E$3143, ISNUMBER(
Master_Mapping_Sh"&amp;"eet!$E$2:$E$3143),
Master_Mapping_Sheet!$B$2:$B$3143=$A15))), 0, sum(filter(
Master_Mapping_Sheet!$E$2:$E$3143, ISNUMBER(
Master_Mapping_Sheet!$E$2:$E$3143),
Master_Mapping_Sheet!$H$2:$H$3143=S$1,
Master_Mapping_Sheet!$B$2:$B$3143=$A15))/sum(filter(
Maste"&amp;"r_Mapping_Sheet!$E$2:$E$3143, ISNUMBER(
Master_Mapping_Sheet!$E$2:$E$3143),
Master_Mapping_Sheet!$B$2:$B$3143=$A15)))"),0.0)</f>
        <v>0</v>
      </c>
      <c r="T15" s="34">
        <f>IFERROR(__xludf.DUMMYFUNCTION("IF(ISNA(sum(filter(
Master_Mapping_Sheet!$E$2:$E$3143, ISNUMBER(
Master_Mapping_Sheet!$E$2:$E$3143),
Master_Mapping_Sheet!$H$2:$H$3143=T$1,
Master_Mapping_Sheet!$B$2:$B$3143=$A15))/sum(filter(
Master_Mapping_Sheet!$E$2:$E$3143, ISNUMBER(
Master_Mapping_Sh"&amp;"eet!$E$2:$E$3143),
Master_Mapping_Sheet!$B$2:$B$3143=$A15))), 0, sum(filter(
Master_Mapping_Sheet!$E$2:$E$3143, ISNUMBER(
Master_Mapping_Sheet!$E$2:$E$3143),
Master_Mapping_Sheet!$H$2:$H$3143=T$1,
Master_Mapping_Sheet!$B$2:$B$3143=$A15))/sum(filter(
Maste"&amp;"r_Mapping_Sheet!$E$2:$E$3143, ISNUMBER(
Master_Mapping_Sheet!$E$2:$E$3143),
Master_Mapping_Sheet!$B$2:$B$3143=$A15)))"),0.0)</f>
        <v>0</v>
      </c>
      <c r="U15" s="34">
        <f>IFERROR(__xludf.DUMMYFUNCTION("IF(ISNA(sum(filter(
Master_Mapping_Sheet!$E$2:$E$3143, ISNUMBER(
Master_Mapping_Sheet!$E$2:$E$3143),
Master_Mapping_Sheet!$H$2:$H$3143=U$1,
Master_Mapping_Sheet!$B$2:$B$3143=$A15))/sum(filter(
Master_Mapping_Sheet!$E$2:$E$3143, ISNUMBER(
Master_Mapping_Sh"&amp;"eet!$E$2:$E$3143),
Master_Mapping_Sheet!$B$2:$B$3143=$A15))), 0, sum(filter(
Master_Mapping_Sheet!$E$2:$E$3143, ISNUMBER(
Master_Mapping_Sheet!$E$2:$E$3143),
Master_Mapping_Sheet!$H$2:$H$3143=U$1,
Master_Mapping_Sheet!$B$2:$B$3143=$A15))/sum(filter(
Maste"&amp;"r_Mapping_Sheet!$E$2:$E$3143, ISNUMBER(
Master_Mapping_Sheet!$E$2:$E$3143),
Master_Mapping_Sheet!$B$2:$B$3143=$A15)))"),0.0)</f>
        <v>0</v>
      </c>
      <c r="V15" s="34">
        <f>IFERROR(__xludf.DUMMYFUNCTION("IF(ISNA(sum(filter(
Master_Mapping_Sheet!$E$2:$E$3143, ISNUMBER(
Master_Mapping_Sheet!$E$2:$E$3143),
Master_Mapping_Sheet!$H$2:$H$3143=V$1,
Master_Mapping_Sheet!$B$2:$B$3143=$A15))/sum(filter(
Master_Mapping_Sheet!$E$2:$E$3143, ISNUMBER(
Master_Mapping_Sh"&amp;"eet!$E$2:$E$3143),
Master_Mapping_Sheet!$B$2:$B$3143=$A15))), 0, sum(filter(
Master_Mapping_Sheet!$E$2:$E$3143, ISNUMBER(
Master_Mapping_Sheet!$E$2:$E$3143),
Master_Mapping_Sheet!$H$2:$H$3143=V$1,
Master_Mapping_Sheet!$B$2:$B$3143=$A15))/sum(filter(
Maste"&amp;"r_Mapping_Sheet!$E$2:$E$3143, ISNUMBER(
Master_Mapping_Sheet!$E$2:$E$3143),
Master_Mapping_Sheet!$B$2:$B$3143=$A15)))"),0.0)</f>
        <v>0</v>
      </c>
      <c r="W15" s="34">
        <f>IFERROR(__xludf.DUMMYFUNCTION("IF(ISNA(sum(filter(
Master_Mapping_Sheet!$E$2:$E$3143, ISNUMBER(
Master_Mapping_Sheet!$E$2:$E$3143),
Master_Mapping_Sheet!$H$2:$H$3143=W$1,
Master_Mapping_Sheet!$B$2:$B$3143=$A15))/sum(filter(
Master_Mapping_Sheet!$E$2:$E$3143, ISNUMBER(
Master_Mapping_Sh"&amp;"eet!$E$2:$E$3143),
Master_Mapping_Sheet!$B$2:$B$3143=$A15))), 0, sum(filter(
Master_Mapping_Sheet!$E$2:$E$3143, ISNUMBER(
Master_Mapping_Sheet!$E$2:$E$3143),
Master_Mapping_Sheet!$H$2:$H$3143=W$1,
Master_Mapping_Sheet!$B$2:$B$3143=$A15))/sum(filter(
Maste"&amp;"r_Mapping_Sheet!$E$2:$E$3143, ISNUMBER(
Master_Mapping_Sheet!$E$2:$E$3143),
Master_Mapping_Sheet!$B$2:$B$3143=$A15)))"),0.0)</f>
        <v>0</v>
      </c>
      <c r="X15" s="34">
        <f>IFERROR(__xludf.DUMMYFUNCTION("IF(ISNA(sum(filter(
Master_Mapping_Sheet!$E$2:$E$3143, ISNUMBER(
Master_Mapping_Sheet!$E$2:$E$3143),
Master_Mapping_Sheet!$H$2:$H$3143=X$1,
Master_Mapping_Sheet!$B$2:$B$3143=$A15))/sum(filter(
Master_Mapping_Sheet!$E$2:$E$3143, ISNUMBER(
Master_Mapping_Sh"&amp;"eet!$E$2:$E$3143),
Master_Mapping_Sheet!$B$2:$B$3143=$A15))), 0, sum(filter(
Master_Mapping_Sheet!$E$2:$E$3143, ISNUMBER(
Master_Mapping_Sheet!$E$2:$E$3143),
Master_Mapping_Sheet!$H$2:$H$3143=X$1,
Master_Mapping_Sheet!$B$2:$B$3143=$A15))/sum(filter(
Maste"&amp;"r_Mapping_Sheet!$E$2:$E$3143, ISNUMBER(
Master_Mapping_Sheet!$E$2:$E$3143),
Master_Mapping_Sheet!$B$2:$B$3143=$A15)))"),0.0)</f>
        <v>0</v>
      </c>
      <c r="Y15" s="34">
        <f>IFERROR(__xludf.DUMMYFUNCTION("IF(ISNA(sum(filter(
Master_Mapping_Sheet!$E$2:$E$3143, ISNUMBER(
Master_Mapping_Sheet!$E$2:$E$3143),
Master_Mapping_Sheet!$H$2:$H$3143=Y$1,
Master_Mapping_Sheet!$B$2:$B$3143=$A15))/sum(filter(
Master_Mapping_Sheet!$E$2:$E$3143, ISNUMBER(
Master_Mapping_Sh"&amp;"eet!$E$2:$E$3143),
Master_Mapping_Sheet!$B$2:$B$3143=$A15))), 0, sum(filter(
Master_Mapping_Sheet!$E$2:$E$3143, ISNUMBER(
Master_Mapping_Sheet!$E$2:$E$3143),
Master_Mapping_Sheet!$H$2:$H$3143=Y$1,
Master_Mapping_Sheet!$B$2:$B$3143=$A15))/sum(filter(
Maste"&amp;"r_Mapping_Sheet!$E$2:$E$3143, ISNUMBER(
Master_Mapping_Sheet!$E$2:$E$3143),
Master_Mapping_Sheet!$B$2:$B$3143=$A15)))"),0.0)</f>
        <v>0</v>
      </c>
      <c r="Z15" s="34">
        <f>IFERROR(__xludf.DUMMYFUNCTION("IF(ISNA(sum(filter(
Master_Mapping_Sheet!$E$2:$E$3143, ISNUMBER(
Master_Mapping_Sheet!$E$2:$E$3143),
Master_Mapping_Sheet!$H$2:$H$3143=Z$1,
Master_Mapping_Sheet!$B$2:$B$3143=$A15))/sum(filter(
Master_Mapping_Sheet!$E$2:$E$3143, ISNUMBER(
Master_Mapping_Sh"&amp;"eet!$E$2:$E$3143),
Master_Mapping_Sheet!$B$2:$B$3143=$A15))), 0, sum(filter(
Master_Mapping_Sheet!$E$2:$E$3143, ISNUMBER(
Master_Mapping_Sheet!$E$2:$E$3143),
Master_Mapping_Sheet!$H$2:$H$3143=Z$1,
Master_Mapping_Sheet!$B$2:$B$3143=$A15))/sum(filter(
Maste"&amp;"r_Mapping_Sheet!$E$2:$E$3143, ISNUMBER(
Master_Mapping_Sheet!$E$2:$E$3143),
Master_Mapping_Sheet!$B$2:$B$3143=$A15)))"),0.0)</f>
        <v>0</v>
      </c>
      <c r="AA15" s="34">
        <f>IFERROR(__xludf.DUMMYFUNCTION("IF(ISNA(sum(filter(
Master_Mapping_Sheet!$E$2:$E$3143, ISNUMBER(
Master_Mapping_Sheet!$E$2:$E$3143),
Master_Mapping_Sheet!$H$2:$H$3143=AA$1,
Master_Mapping_Sheet!$B$2:$B$3143=$A15))/sum(filter(
Master_Mapping_Sheet!$E$2:$E$3143, ISNUMBER(
Master_Mapping_S"&amp;"heet!$E$2:$E$3143),
Master_Mapping_Sheet!$B$2:$B$3143=$A15))), 0, sum(filter(
Master_Mapping_Sheet!$E$2:$E$3143, ISNUMBER(
Master_Mapping_Sheet!$E$2:$E$3143),
Master_Mapping_Sheet!$H$2:$H$3143=AA$1,
Master_Mapping_Sheet!$B$2:$B$3143=$A15))/sum(filter(
Mas"&amp;"ter_Mapping_Sheet!$E$2:$E$3143, ISNUMBER(
Master_Mapping_Sheet!$E$2:$E$3143),
Master_Mapping_Sheet!$B$2:$B$3143=$A15)))"),0.0)</f>
        <v>0</v>
      </c>
    </row>
    <row r="16" ht="15.75" customHeight="1">
      <c r="A16" s="34" t="s">
        <v>663</v>
      </c>
      <c r="B16" s="34" t="s">
        <v>2513</v>
      </c>
      <c r="C16" s="34">
        <f>IFERROR(__xludf.DUMMYFUNCTION("IF(ISNA(sum(filter(
Master_Mapping_Sheet!$E$2:$E$3143, ISNUMBER(
Master_Mapping_Sheet!$E$2:$E$3143),
Master_Mapping_Sheet!$H$2:$H$3143=C$1,
Master_Mapping_Sheet!$B$2:$B$3143=$A16))/sum(filter(
Master_Mapping_Sheet!$E$2:$E$3143, ISNUMBER(
Master_Mapping_Sh"&amp;"eet!$E$2:$E$3143),
Master_Mapping_Sheet!$B$2:$B$3143=$A16))), 0, sum(filter(
Master_Mapping_Sheet!$E$2:$E$3143, ISNUMBER(
Master_Mapping_Sheet!$E$2:$E$3143),
Master_Mapping_Sheet!$H$2:$H$3143=C$1,
Master_Mapping_Sheet!$B$2:$B$3143=$A16))/sum(filter(
Maste"&amp;"r_Mapping_Sheet!$E$2:$E$3143, ISNUMBER(
Master_Mapping_Sheet!$E$2:$E$3143),
Master_Mapping_Sheet!$B$2:$B$3143=$A16)))"),0.0)</f>
        <v>0</v>
      </c>
      <c r="D16" s="32">
        <f>IFERROR(__xludf.DUMMYFUNCTION("IF(ISNA(sum(filter(
Master_Mapping_Sheet!$E$2:$E$3143, ISNUMBER(
Master_Mapping_Sheet!$E$2:$E$3143),
Master_Mapping_Sheet!$H$2:$H$3143=D$1,
Master_Mapping_Sheet!$B$2:$B$3143=$A16))/sum(filter(
Master_Mapping_Sheet!$E$2:$E$3143, ISNUMBER(
Master_Mapping_Sh"&amp;"eet!$E$2:$E$3143),
Master_Mapping_Sheet!$B$2:$B$3143=$A16))), 0, sum(filter(
Master_Mapping_Sheet!$E$2:$E$3143, ISNUMBER(
Master_Mapping_Sheet!$E$2:$E$3143),
Master_Mapping_Sheet!$H$2:$H$3143=D$1,
Master_Mapping_Sheet!$B$2:$B$3143=$A16))/sum(filter(
Maste"&amp;"r_Mapping_Sheet!$E$2:$E$3143, ISNUMBER(
Master_Mapping_Sheet!$E$2:$E$3143),
Master_Mapping_Sheet!$B$2:$B$3143=$A16)))"),0.0)</f>
        <v>0</v>
      </c>
      <c r="E16" s="34">
        <f>IFERROR(__xludf.DUMMYFUNCTION("IF(ISNA(sum(filter(
Master_Mapping_Sheet!$E$2:$E$3143, ISNUMBER(
Master_Mapping_Sheet!$E$2:$E$3143),
Master_Mapping_Sheet!$H$2:$H$3143=E$1,
Master_Mapping_Sheet!$B$2:$B$3143=$A16))/sum(filter(
Master_Mapping_Sheet!$E$2:$E$3143, ISNUMBER(
Master_Mapping_Sh"&amp;"eet!$E$2:$E$3143),
Master_Mapping_Sheet!$B$2:$B$3143=$A16))), 0, sum(filter(
Master_Mapping_Sheet!$E$2:$E$3143, ISNUMBER(
Master_Mapping_Sheet!$E$2:$E$3143),
Master_Mapping_Sheet!$H$2:$H$3143=E$1,
Master_Mapping_Sheet!$B$2:$B$3143=$A16))/sum(filter(
Maste"&amp;"r_Mapping_Sheet!$E$2:$E$3143, ISNUMBER(
Master_Mapping_Sheet!$E$2:$E$3143),
Master_Mapping_Sheet!$B$2:$B$3143=$A16)))"),0.0)</f>
        <v>0</v>
      </c>
      <c r="F16" s="34">
        <f>IFERROR(__xludf.DUMMYFUNCTION("IF(ISNA(sum(filter(
Master_Mapping_Sheet!$E$2:$E$3143, ISNUMBER(
Master_Mapping_Sheet!$E$2:$E$3143),
Master_Mapping_Sheet!$H$2:$H$3143=F$1,
Master_Mapping_Sheet!$B$2:$B$3143=$A16))/sum(filter(
Master_Mapping_Sheet!$E$2:$E$3143, ISNUMBER(
Master_Mapping_Sh"&amp;"eet!$E$2:$E$3143),
Master_Mapping_Sheet!$B$2:$B$3143=$A16))), 0, sum(filter(
Master_Mapping_Sheet!$E$2:$E$3143, ISNUMBER(
Master_Mapping_Sheet!$E$2:$E$3143),
Master_Mapping_Sheet!$H$2:$H$3143=F$1,
Master_Mapping_Sheet!$B$2:$B$3143=$A16))/sum(filter(
Maste"&amp;"r_Mapping_Sheet!$E$2:$E$3143, ISNUMBER(
Master_Mapping_Sheet!$E$2:$E$3143),
Master_Mapping_Sheet!$B$2:$B$3143=$A16)))"),0.6461718758083232)</f>
        <v>0.6461718758</v>
      </c>
      <c r="G16" s="34">
        <f>IFERROR(__xludf.DUMMYFUNCTION("IF(ISNA(sum(filter(
Master_Mapping_Sheet!$E$2:$E$3143, ISNUMBER(
Master_Mapping_Sheet!$E$2:$E$3143),
Master_Mapping_Sheet!$H$2:$H$3143=G$1,
Master_Mapping_Sheet!$B$2:$B$3143=$A16))/sum(filter(
Master_Mapping_Sheet!$E$2:$E$3143, ISNUMBER(
Master_Mapping_Sh"&amp;"eet!$E$2:$E$3143),
Master_Mapping_Sheet!$B$2:$B$3143=$A16))), 0, sum(filter(
Master_Mapping_Sheet!$E$2:$E$3143, ISNUMBER(
Master_Mapping_Sheet!$E$2:$E$3143),
Master_Mapping_Sheet!$H$2:$H$3143=G$1,
Master_Mapping_Sheet!$B$2:$B$3143=$A16))/sum(filter(
Maste"&amp;"r_Mapping_Sheet!$E$2:$E$3143, ISNUMBER(
Master_Mapping_Sheet!$E$2:$E$3143),
Master_Mapping_Sheet!$B$2:$B$3143=$A16)))"),0.0)</f>
        <v>0</v>
      </c>
      <c r="H16" s="34">
        <f>IFERROR(__xludf.DUMMYFUNCTION("IF(ISNA(sum(filter(
Master_Mapping_Sheet!$E$2:$E$3143, ISNUMBER(
Master_Mapping_Sheet!$E$2:$E$3143),
Master_Mapping_Sheet!$H$2:$H$3143=H$1,
Master_Mapping_Sheet!$B$2:$B$3143=$A16))/sum(filter(
Master_Mapping_Sheet!$E$2:$E$3143, ISNUMBER(
Master_Mapping_Sh"&amp;"eet!$E$2:$E$3143),
Master_Mapping_Sheet!$B$2:$B$3143=$A16))), 0, sum(filter(
Master_Mapping_Sheet!$E$2:$E$3143, ISNUMBER(
Master_Mapping_Sheet!$E$2:$E$3143),
Master_Mapping_Sheet!$H$2:$H$3143=H$1,
Master_Mapping_Sheet!$B$2:$B$3143=$A16))/sum(filter(
Maste"&amp;"r_Mapping_Sheet!$E$2:$E$3143, ISNUMBER(
Master_Mapping_Sheet!$E$2:$E$3143),
Master_Mapping_Sheet!$B$2:$B$3143=$A16)))"),0.0)</f>
        <v>0</v>
      </c>
      <c r="I16" s="34">
        <f>IFERROR(__xludf.DUMMYFUNCTION("IF(ISNA(sum(filter(
Master_Mapping_Sheet!$E$2:$E$3143, ISNUMBER(
Master_Mapping_Sheet!$E$2:$E$3143),
Master_Mapping_Sheet!$H$2:$H$3143=I$1,
Master_Mapping_Sheet!$B$2:$B$3143=$A16))/sum(filter(
Master_Mapping_Sheet!$E$2:$E$3143, ISNUMBER(
Master_Mapping_Sh"&amp;"eet!$E$2:$E$3143),
Master_Mapping_Sheet!$B$2:$B$3143=$A16))), 0, sum(filter(
Master_Mapping_Sheet!$E$2:$E$3143, ISNUMBER(
Master_Mapping_Sheet!$E$2:$E$3143),
Master_Mapping_Sheet!$H$2:$H$3143=I$1,
Master_Mapping_Sheet!$B$2:$B$3143=$A16))/sum(filter(
Maste"&amp;"r_Mapping_Sheet!$E$2:$E$3143, ISNUMBER(
Master_Mapping_Sheet!$E$2:$E$3143),
Master_Mapping_Sheet!$B$2:$B$3143=$A16)))"),0.0)</f>
        <v>0</v>
      </c>
      <c r="J16" s="34">
        <f>IFERROR(__xludf.DUMMYFUNCTION("IF(ISNA(sum(filter(
Master_Mapping_Sheet!$E$2:$E$3143, ISNUMBER(
Master_Mapping_Sheet!$E$2:$E$3143),
Master_Mapping_Sheet!$H$2:$H$3143=J$1,
Master_Mapping_Sheet!$B$2:$B$3143=$A16))/sum(filter(
Master_Mapping_Sheet!$E$2:$E$3143, ISNUMBER(
Master_Mapping_Sh"&amp;"eet!$E$2:$E$3143),
Master_Mapping_Sheet!$B$2:$B$3143=$A16))), 0, sum(filter(
Master_Mapping_Sheet!$E$2:$E$3143, ISNUMBER(
Master_Mapping_Sheet!$E$2:$E$3143),
Master_Mapping_Sheet!$H$2:$H$3143=J$1,
Master_Mapping_Sheet!$B$2:$B$3143=$A16))/sum(filter(
Maste"&amp;"r_Mapping_Sheet!$E$2:$E$3143, ISNUMBER(
Master_Mapping_Sheet!$E$2:$E$3143),
Master_Mapping_Sheet!$B$2:$B$3143=$A16)))"),0.0)</f>
        <v>0</v>
      </c>
      <c r="K16" s="34">
        <f>IFERROR(__xludf.DUMMYFUNCTION("IF(ISNA(sum(filter(
Master_Mapping_Sheet!$E$2:$E$3143, ISNUMBER(
Master_Mapping_Sheet!$E$2:$E$3143),
Master_Mapping_Sheet!$H$2:$H$3143=K$1,
Master_Mapping_Sheet!$B$2:$B$3143=$A16))/sum(filter(
Master_Mapping_Sheet!$E$2:$E$3143, ISNUMBER(
Master_Mapping_Sh"&amp;"eet!$E$2:$E$3143),
Master_Mapping_Sheet!$B$2:$B$3143=$A16))), 0, sum(filter(
Master_Mapping_Sheet!$E$2:$E$3143, ISNUMBER(
Master_Mapping_Sheet!$E$2:$E$3143),
Master_Mapping_Sheet!$H$2:$H$3143=K$1,
Master_Mapping_Sheet!$B$2:$B$3143=$A16))/sum(filter(
Maste"&amp;"r_Mapping_Sheet!$E$2:$E$3143, ISNUMBER(
Master_Mapping_Sheet!$E$2:$E$3143),
Master_Mapping_Sheet!$B$2:$B$3143=$A16)))"),0.0)</f>
        <v>0</v>
      </c>
      <c r="L16" s="34">
        <f>IFERROR(__xludf.DUMMYFUNCTION("IF(ISNA(sum(filter(
Master_Mapping_Sheet!$E$2:$E$3143, ISNUMBER(
Master_Mapping_Sheet!$E$2:$E$3143),
Master_Mapping_Sheet!$H$2:$H$3143=L$1,
Master_Mapping_Sheet!$B$2:$B$3143=$A16))/sum(filter(
Master_Mapping_Sheet!$E$2:$E$3143, ISNUMBER(
Master_Mapping_Sh"&amp;"eet!$E$2:$E$3143),
Master_Mapping_Sheet!$B$2:$B$3143=$A16))), 0, sum(filter(
Master_Mapping_Sheet!$E$2:$E$3143, ISNUMBER(
Master_Mapping_Sheet!$E$2:$E$3143),
Master_Mapping_Sheet!$H$2:$H$3143=L$1,
Master_Mapping_Sheet!$B$2:$B$3143=$A16))/sum(filter(
Maste"&amp;"r_Mapping_Sheet!$E$2:$E$3143, ISNUMBER(
Master_Mapping_Sheet!$E$2:$E$3143),
Master_Mapping_Sheet!$B$2:$B$3143=$A16)))"),0.0)</f>
        <v>0</v>
      </c>
      <c r="M16" s="34">
        <f>IFERROR(__xludf.DUMMYFUNCTION("IF(ISNA(sum(filter(
Master_Mapping_Sheet!$E$2:$E$3143, ISNUMBER(
Master_Mapping_Sheet!$E$2:$E$3143),
Master_Mapping_Sheet!$H$2:$H$3143=M$1,
Master_Mapping_Sheet!$B$2:$B$3143=$A16))/sum(filter(
Master_Mapping_Sheet!$E$2:$E$3143, ISNUMBER(
Master_Mapping_Sh"&amp;"eet!$E$2:$E$3143),
Master_Mapping_Sheet!$B$2:$B$3143=$A16))), 0, sum(filter(
Master_Mapping_Sheet!$E$2:$E$3143, ISNUMBER(
Master_Mapping_Sheet!$E$2:$E$3143),
Master_Mapping_Sheet!$H$2:$H$3143=M$1,
Master_Mapping_Sheet!$B$2:$B$3143=$A16))/sum(filter(
Maste"&amp;"r_Mapping_Sheet!$E$2:$E$3143, ISNUMBER(
Master_Mapping_Sheet!$E$2:$E$3143),
Master_Mapping_Sheet!$B$2:$B$3143=$A16)))"),0.35382812419167675)</f>
        <v>0.3538281242</v>
      </c>
      <c r="N16" s="34">
        <f>IFERROR(__xludf.DUMMYFUNCTION("IF(ISNA(sum(filter(
Master_Mapping_Sheet!$E$2:$E$3143, ISNUMBER(
Master_Mapping_Sheet!$E$2:$E$3143),
Master_Mapping_Sheet!$H$2:$H$3143=N$1,
Master_Mapping_Sheet!$B$2:$B$3143=$A16))/sum(filter(
Master_Mapping_Sheet!$E$2:$E$3143, ISNUMBER(
Master_Mapping_Sh"&amp;"eet!$E$2:$E$3143),
Master_Mapping_Sheet!$B$2:$B$3143=$A16))), 0, sum(filter(
Master_Mapping_Sheet!$E$2:$E$3143, ISNUMBER(
Master_Mapping_Sheet!$E$2:$E$3143),
Master_Mapping_Sheet!$H$2:$H$3143=N$1,
Master_Mapping_Sheet!$B$2:$B$3143=$A16))/sum(filter(
Maste"&amp;"r_Mapping_Sheet!$E$2:$E$3143, ISNUMBER(
Master_Mapping_Sheet!$E$2:$E$3143),
Master_Mapping_Sheet!$B$2:$B$3143=$A16)))"),0.0)</f>
        <v>0</v>
      </c>
      <c r="O16" s="34">
        <f>IFERROR(__xludf.DUMMYFUNCTION("IF(ISNA(sum(filter(
Master_Mapping_Sheet!$E$2:$E$3143, ISNUMBER(
Master_Mapping_Sheet!$E$2:$E$3143),
Master_Mapping_Sheet!$H$2:$H$3143=O$1,
Master_Mapping_Sheet!$B$2:$B$3143=$A16))/sum(filter(
Master_Mapping_Sheet!$E$2:$E$3143, ISNUMBER(
Master_Mapping_Sh"&amp;"eet!$E$2:$E$3143),
Master_Mapping_Sheet!$B$2:$B$3143=$A16))), 0, sum(filter(
Master_Mapping_Sheet!$E$2:$E$3143, ISNUMBER(
Master_Mapping_Sheet!$E$2:$E$3143),
Master_Mapping_Sheet!$H$2:$H$3143=O$1,
Master_Mapping_Sheet!$B$2:$B$3143=$A16))/sum(filter(
Maste"&amp;"r_Mapping_Sheet!$E$2:$E$3143, ISNUMBER(
Master_Mapping_Sheet!$E$2:$E$3143),
Master_Mapping_Sheet!$B$2:$B$3143=$A16)))"),0.0)</f>
        <v>0</v>
      </c>
      <c r="P16" s="34">
        <f>IFERROR(__xludf.DUMMYFUNCTION("IF(ISNA(sum(filter(
Master_Mapping_Sheet!$E$2:$E$3143, ISNUMBER(
Master_Mapping_Sheet!$E$2:$E$3143),
Master_Mapping_Sheet!$H$2:$H$3143=P$1,
Master_Mapping_Sheet!$B$2:$B$3143=$A16))/sum(filter(
Master_Mapping_Sheet!$E$2:$E$3143, ISNUMBER(
Master_Mapping_Sh"&amp;"eet!$E$2:$E$3143),
Master_Mapping_Sheet!$B$2:$B$3143=$A16))), 0, sum(filter(
Master_Mapping_Sheet!$E$2:$E$3143, ISNUMBER(
Master_Mapping_Sheet!$E$2:$E$3143),
Master_Mapping_Sheet!$H$2:$H$3143=P$1,
Master_Mapping_Sheet!$B$2:$B$3143=$A16))/sum(filter(
Maste"&amp;"r_Mapping_Sheet!$E$2:$E$3143, ISNUMBER(
Master_Mapping_Sheet!$E$2:$E$3143),
Master_Mapping_Sheet!$B$2:$B$3143=$A16)))"),0.0)</f>
        <v>0</v>
      </c>
      <c r="Q16" s="34">
        <f>IFERROR(__xludf.DUMMYFUNCTION("IF(ISNA(sum(filter(
Master_Mapping_Sheet!$E$2:$E$3143, ISNUMBER(
Master_Mapping_Sheet!$E$2:$E$3143),
Master_Mapping_Sheet!$H$2:$H$3143=Q$1,
Master_Mapping_Sheet!$B$2:$B$3143=$A16))/sum(filter(
Master_Mapping_Sheet!$E$2:$E$3143, ISNUMBER(
Master_Mapping_Sh"&amp;"eet!$E$2:$E$3143),
Master_Mapping_Sheet!$B$2:$B$3143=$A16))), 0, sum(filter(
Master_Mapping_Sheet!$E$2:$E$3143, ISNUMBER(
Master_Mapping_Sheet!$E$2:$E$3143),
Master_Mapping_Sheet!$H$2:$H$3143=Q$1,
Master_Mapping_Sheet!$B$2:$B$3143=$A16))/sum(filter(
Maste"&amp;"r_Mapping_Sheet!$E$2:$E$3143, ISNUMBER(
Master_Mapping_Sheet!$E$2:$E$3143),
Master_Mapping_Sheet!$B$2:$B$3143=$A16)))"),0.0)</f>
        <v>0</v>
      </c>
      <c r="R16" s="34">
        <f>IFERROR(__xludf.DUMMYFUNCTION("IF(ISNA(sum(filter(
Master_Mapping_Sheet!$E$2:$E$3143, ISNUMBER(
Master_Mapping_Sheet!$E$2:$E$3143),
Master_Mapping_Sheet!$H$2:$H$3143=R$1,
Master_Mapping_Sheet!$B$2:$B$3143=$A16))/sum(filter(
Master_Mapping_Sheet!$E$2:$E$3143, ISNUMBER(
Master_Mapping_Sh"&amp;"eet!$E$2:$E$3143),
Master_Mapping_Sheet!$B$2:$B$3143=$A16))), 0, sum(filter(
Master_Mapping_Sheet!$E$2:$E$3143, ISNUMBER(
Master_Mapping_Sheet!$E$2:$E$3143),
Master_Mapping_Sheet!$H$2:$H$3143=R$1,
Master_Mapping_Sheet!$B$2:$B$3143=$A16))/sum(filter(
Maste"&amp;"r_Mapping_Sheet!$E$2:$E$3143, ISNUMBER(
Master_Mapping_Sheet!$E$2:$E$3143),
Master_Mapping_Sheet!$B$2:$B$3143=$A16)))"),0.0)</f>
        <v>0</v>
      </c>
      <c r="S16" s="34">
        <f>IFERROR(__xludf.DUMMYFUNCTION("IF(ISNA(sum(filter(
Master_Mapping_Sheet!$E$2:$E$3143, ISNUMBER(
Master_Mapping_Sheet!$E$2:$E$3143),
Master_Mapping_Sheet!$H$2:$H$3143=S$1,
Master_Mapping_Sheet!$B$2:$B$3143=$A16))/sum(filter(
Master_Mapping_Sheet!$E$2:$E$3143, ISNUMBER(
Master_Mapping_Sh"&amp;"eet!$E$2:$E$3143),
Master_Mapping_Sheet!$B$2:$B$3143=$A16))), 0, sum(filter(
Master_Mapping_Sheet!$E$2:$E$3143, ISNUMBER(
Master_Mapping_Sheet!$E$2:$E$3143),
Master_Mapping_Sheet!$H$2:$H$3143=S$1,
Master_Mapping_Sheet!$B$2:$B$3143=$A16))/sum(filter(
Maste"&amp;"r_Mapping_Sheet!$E$2:$E$3143, ISNUMBER(
Master_Mapping_Sheet!$E$2:$E$3143),
Master_Mapping_Sheet!$B$2:$B$3143=$A16)))"),0.0)</f>
        <v>0</v>
      </c>
      <c r="T16" s="34">
        <f>IFERROR(__xludf.DUMMYFUNCTION("IF(ISNA(sum(filter(
Master_Mapping_Sheet!$E$2:$E$3143, ISNUMBER(
Master_Mapping_Sheet!$E$2:$E$3143),
Master_Mapping_Sheet!$H$2:$H$3143=T$1,
Master_Mapping_Sheet!$B$2:$B$3143=$A16))/sum(filter(
Master_Mapping_Sheet!$E$2:$E$3143, ISNUMBER(
Master_Mapping_Sh"&amp;"eet!$E$2:$E$3143),
Master_Mapping_Sheet!$B$2:$B$3143=$A16))), 0, sum(filter(
Master_Mapping_Sheet!$E$2:$E$3143, ISNUMBER(
Master_Mapping_Sheet!$E$2:$E$3143),
Master_Mapping_Sheet!$H$2:$H$3143=T$1,
Master_Mapping_Sheet!$B$2:$B$3143=$A16))/sum(filter(
Maste"&amp;"r_Mapping_Sheet!$E$2:$E$3143, ISNUMBER(
Master_Mapping_Sheet!$E$2:$E$3143),
Master_Mapping_Sheet!$B$2:$B$3143=$A16)))"),0.0)</f>
        <v>0</v>
      </c>
      <c r="U16" s="34">
        <f>IFERROR(__xludf.DUMMYFUNCTION("IF(ISNA(sum(filter(
Master_Mapping_Sheet!$E$2:$E$3143, ISNUMBER(
Master_Mapping_Sheet!$E$2:$E$3143),
Master_Mapping_Sheet!$H$2:$H$3143=U$1,
Master_Mapping_Sheet!$B$2:$B$3143=$A16))/sum(filter(
Master_Mapping_Sheet!$E$2:$E$3143, ISNUMBER(
Master_Mapping_Sh"&amp;"eet!$E$2:$E$3143),
Master_Mapping_Sheet!$B$2:$B$3143=$A16))), 0, sum(filter(
Master_Mapping_Sheet!$E$2:$E$3143, ISNUMBER(
Master_Mapping_Sheet!$E$2:$E$3143),
Master_Mapping_Sheet!$H$2:$H$3143=U$1,
Master_Mapping_Sheet!$B$2:$B$3143=$A16))/sum(filter(
Maste"&amp;"r_Mapping_Sheet!$E$2:$E$3143, ISNUMBER(
Master_Mapping_Sheet!$E$2:$E$3143),
Master_Mapping_Sheet!$B$2:$B$3143=$A16)))"),0.0)</f>
        <v>0</v>
      </c>
      <c r="V16" s="34">
        <f>IFERROR(__xludf.DUMMYFUNCTION("IF(ISNA(sum(filter(
Master_Mapping_Sheet!$E$2:$E$3143, ISNUMBER(
Master_Mapping_Sheet!$E$2:$E$3143),
Master_Mapping_Sheet!$H$2:$H$3143=V$1,
Master_Mapping_Sheet!$B$2:$B$3143=$A16))/sum(filter(
Master_Mapping_Sheet!$E$2:$E$3143, ISNUMBER(
Master_Mapping_Sh"&amp;"eet!$E$2:$E$3143),
Master_Mapping_Sheet!$B$2:$B$3143=$A16))), 0, sum(filter(
Master_Mapping_Sheet!$E$2:$E$3143, ISNUMBER(
Master_Mapping_Sheet!$E$2:$E$3143),
Master_Mapping_Sheet!$H$2:$H$3143=V$1,
Master_Mapping_Sheet!$B$2:$B$3143=$A16))/sum(filter(
Maste"&amp;"r_Mapping_Sheet!$E$2:$E$3143, ISNUMBER(
Master_Mapping_Sheet!$E$2:$E$3143),
Master_Mapping_Sheet!$B$2:$B$3143=$A16)))"),0.0)</f>
        <v>0</v>
      </c>
      <c r="W16" s="34">
        <f>IFERROR(__xludf.DUMMYFUNCTION("IF(ISNA(sum(filter(
Master_Mapping_Sheet!$E$2:$E$3143, ISNUMBER(
Master_Mapping_Sheet!$E$2:$E$3143),
Master_Mapping_Sheet!$H$2:$H$3143=W$1,
Master_Mapping_Sheet!$B$2:$B$3143=$A16))/sum(filter(
Master_Mapping_Sheet!$E$2:$E$3143, ISNUMBER(
Master_Mapping_Sh"&amp;"eet!$E$2:$E$3143),
Master_Mapping_Sheet!$B$2:$B$3143=$A16))), 0, sum(filter(
Master_Mapping_Sheet!$E$2:$E$3143, ISNUMBER(
Master_Mapping_Sheet!$E$2:$E$3143),
Master_Mapping_Sheet!$H$2:$H$3143=W$1,
Master_Mapping_Sheet!$B$2:$B$3143=$A16))/sum(filter(
Maste"&amp;"r_Mapping_Sheet!$E$2:$E$3143, ISNUMBER(
Master_Mapping_Sheet!$E$2:$E$3143),
Master_Mapping_Sheet!$B$2:$B$3143=$A16)))"),0.0)</f>
        <v>0</v>
      </c>
      <c r="X16" s="34">
        <f>IFERROR(__xludf.DUMMYFUNCTION("IF(ISNA(sum(filter(
Master_Mapping_Sheet!$E$2:$E$3143, ISNUMBER(
Master_Mapping_Sheet!$E$2:$E$3143),
Master_Mapping_Sheet!$H$2:$H$3143=X$1,
Master_Mapping_Sheet!$B$2:$B$3143=$A16))/sum(filter(
Master_Mapping_Sheet!$E$2:$E$3143, ISNUMBER(
Master_Mapping_Sh"&amp;"eet!$E$2:$E$3143),
Master_Mapping_Sheet!$B$2:$B$3143=$A16))), 0, sum(filter(
Master_Mapping_Sheet!$E$2:$E$3143, ISNUMBER(
Master_Mapping_Sheet!$E$2:$E$3143),
Master_Mapping_Sheet!$H$2:$H$3143=X$1,
Master_Mapping_Sheet!$B$2:$B$3143=$A16))/sum(filter(
Maste"&amp;"r_Mapping_Sheet!$E$2:$E$3143, ISNUMBER(
Master_Mapping_Sheet!$E$2:$E$3143),
Master_Mapping_Sheet!$B$2:$B$3143=$A16)))"),0.0)</f>
        <v>0</v>
      </c>
      <c r="Y16" s="34">
        <f>IFERROR(__xludf.DUMMYFUNCTION("IF(ISNA(sum(filter(
Master_Mapping_Sheet!$E$2:$E$3143, ISNUMBER(
Master_Mapping_Sheet!$E$2:$E$3143),
Master_Mapping_Sheet!$H$2:$H$3143=Y$1,
Master_Mapping_Sheet!$B$2:$B$3143=$A16))/sum(filter(
Master_Mapping_Sheet!$E$2:$E$3143, ISNUMBER(
Master_Mapping_Sh"&amp;"eet!$E$2:$E$3143),
Master_Mapping_Sheet!$B$2:$B$3143=$A16))), 0, sum(filter(
Master_Mapping_Sheet!$E$2:$E$3143, ISNUMBER(
Master_Mapping_Sheet!$E$2:$E$3143),
Master_Mapping_Sheet!$H$2:$H$3143=Y$1,
Master_Mapping_Sheet!$B$2:$B$3143=$A16))/sum(filter(
Maste"&amp;"r_Mapping_Sheet!$E$2:$E$3143, ISNUMBER(
Master_Mapping_Sheet!$E$2:$E$3143),
Master_Mapping_Sheet!$B$2:$B$3143=$A16)))"),0.0)</f>
        <v>0</v>
      </c>
      <c r="Z16" s="34">
        <f>IFERROR(__xludf.DUMMYFUNCTION("IF(ISNA(sum(filter(
Master_Mapping_Sheet!$E$2:$E$3143, ISNUMBER(
Master_Mapping_Sheet!$E$2:$E$3143),
Master_Mapping_Sheet!$H$2:$H$3143=Z$1,
Master_Mapping_Sheet!$B$2:$B$3143=$A16))/sum(filter(
Master_Mapping_Sheet!$E$2:$E$3143, ISNUMBER(
Master_Mapping_Sh"&amp;"eet!$E$2:$E$3143),
Master_Mapping_Sheet!$B$2:$B$3143=$A16))), 0, sum(filter(
Master_Mapping_Sheet!$E$2:$E$3143, ISNUMBER(
Master_Mapping_Sheet!$E$2:$E$3143),
Master_Mapping_Sheet!$H$2:$H$3143=Z$1,
Master_Mapping_Sheet!$B$2:$B$3143=$A16))/sum(filter(
Maste"&amp;"r_Mapping_Sheet!$E$2:$E$3143, ISNUMBER(
Master_Mapping_Sheet!$E$2:$E$3143),
Master_Mapping_Sheet!$B$2:$B$3143=$A16)))"),0.0)</f>
        <v>0</v>
      </c>
      <c r="AA16" s="34">
        <f>IFERROR(__xludf.DUMMYFUNCTION("IF(ISNA(sum(filter(
Master_Mapping_Sheet!$E$2:$E$3143, ISNUMBER(
Master_Mapping_Sheet!$E$2:$E$3143),
Master_Mapping_Sheet!$H$2:$H$3143=AA$1,
Master_Mapping_Sheet!$B$2:$B$3143=$A16))/sum(filter(
Master_Mapping_Sheet!$E$2:$E$3143, ISNUMBER(
Master_Mapping_S"&amp;"heet!$E$2:$E$3143),
Master_Mapping_Sheet!$B$2:$B$3143=$A16))), 0, sum(filter(
Master_Mapping_Sheet!$E$2:$E$3143, ISNUMBER(
Master_Mapping_Sheet!$E$2:$E$3143),
Master_Mapping_Sheet!$H$2:$H$3143=AA$1,
Master_Mapping_Sheet!$B$2:$B$3143=$A16))/sum(filter(
Mas"&amp;"ter_Mapping_Sheet!$E$2:$E$3143, ISNUMBER(
Master_Mapping_Sheet!$E$2:$E$3143),
Master_Mapping_Sheet!$B$2:$B$3143=$A16)))"),0.0)</f>
        <v>0</v>
      </c>
    </row>
    <row r="17" ht="15.75" customHeight="1">
      <c r="A17" s="34" t="s">
        <v>705</v>
      </c>
      <c r="B17" s="34" t="s">
        <v>2555</v>
      </c>
      <c r="C17" s="34">
        <f>IFERROR(__xludf.DUMMYFUNCTION("IF(ISNA(sum(filter(
Master_Mapping_Sheet!$E$2:$E$3143, ISNUMBER(
Master_Mapping_Sheet!$E$2:$E$3143),
Master_Mapping_Sheet!$H$2:$H$3143=C$1,
Master_Mapping_Sheet!$B$2:$B$3143=$A17))/sum(filter(
Master_Mapping_Sheet!$E$2:$E$3143, ISNUMBER(
Master_Mapping_Sh"&amp;"eet!$E$2:$E$3143),
Master_Mapping_Sheet!$B$2:$B$3143=$A17))), 0, sum(filter(
Master_Mapping_Sheet!$E$2:$E$3143, ISNUMBER(
Master_Mapping_Sheet!$E$2:$E$3143),
Master_Mapping_Sheet!$H$2:$H$3143=C$1,
Master_Mapping_Sheet!$B$2:$B$3143=$A17))/sum(filter(
Maste"&amp;"r_Mapping_Sheet!$E$2:$E$3143, ISNUMBER(
Master_Mapping_Sheet!$E$2:$E$3143),
Master_Mapping_Sheet!$B$2:$B$3143=$A17)))"),0.0)</f>
        <v>0</v>
      </c>
      <c r="D17" s="32">
        <f>IFERROR(__xludf.DUMMYFUNCTION("IF(ISNA(sum(filter(
Master_Mapping_Sheet!$E$2:$E$3143, ISNUMBER(
Master_Mapping_Sheet!$E$2:$E$3143),
Master_Mapping_Sheet!$H$2:$H$3143=D$1,
Master_Mapping_Sheet!$B$2:$B$3143=$A17))/sum(filter(
Master_Mapping_Sheet!$E$2:$E$3143, ISNUMBER(
Master_Mapping_Sh"&amp;"eet!$E$2:$E$3143),
Master_Mapping_Sheet!$B$2:$B$3143=$A17))), 0, sum(filter(
Master_Mapping_Sheet!$E$2:$E$3143, ISNUMBER(
Master_Mapping_Sheet!$E$2:$E$3143),
Master_Mapping_Sheet!$H$2:$H$3143=D$1,
Master_Mapping_Sheet!$B$2:$B$3143=$A17))/sum(filter(
Maste"&amp;"r_Mapping_Sheet!$E$2:$E$3143, ISNUMBER(
Master_Mapping_Sheet!$E$2:$E$3143),
Master_Mapping_Sheet!$B$2:$B$3143=$A17)))"),0.0)</f>
        <v>0</v>
      </c>
      <c r="E17" s="34">
        <f>IFERROR(__xludf.DUMMYFUNCTION("IF(ISNA(sum(filter(
Master_Mapping_Sheet!$E$2:$E$3143, ISNUMBER(
Master_Mapping_Sheet!$E$2:$E$3143),
Master_Mapping_Sheet!$H$2:$H$3143=E$1,
Master_Mapping_Sheet!$B$2:$B$3143=$A17))/sum(filter(
Master_Mapping_Sheet!$E$2:$E$3143, ISNUMBER(
Master_Mapping_Sh"&amp;"eet!$E$2:$E$3143),
Master_Mapping_Sheet!$B$2:$B$3143=$A17))), 0, sum(filter(
Master_Mapping_Sheet!$E$2:$E$3143, ISNUMBER(
Master_Mapping_Sheet!$E$2:$E$3143),
Master_Mapping_Sheet!$H$2:$H$3143=E$1,
Master_Mapping_Sheet!$B$2:$B$3143=$A17))/sum(filter(
Maste"&amp;"r_Mapping_Sheet!$E$2:$E$3143, ISNUMBER(
Master_Mapping_Sheet!$E$2:$E$3143),
Master_Mapping_Sheet!$B$2:$B$3143=$A17)))"),0.8294882076854285)</f>
        <v>0.8294882077</v>
      </c>
      <c r="F17" s="34">
        <f>IFERROR(__xludf.DUMMYFUNCTION("IF(ISNA(sum(filter(
Master_Mapping_Sheet!$E$2:$E$3143, ISNUMBER(
Master_Mapping_Sheet!$E$2:$E$3143),
Master_Mapping_Sheet!$H$2:$H$3143=F$1,
Master_Mapping_Sheet!$B$2:$B$3143=$A17))/sum(filter(
Master_Mapping_Sheet!$E$2:$E$3143, ISNUMBER(
Master_Mapping_Sh"&amp;"eet!$E$2:$E$3143),
Master_Mapping_Sheet!$B$2:$B$3143=$A17))), 0, sum(filter(
Master_Mapping_Sheet!$E$2:$E$3143, ISNUMBER(
Master_Mapping_Sheet!$E$2:$E$3143),
Master_Mapping_Sheet!$H$2:$H$3143=F$1,
Master_Mapping_Sheet!$B$2:$B$3143=$A17))/sum(filter(
Maste"&amp;"r_Mapping_Sheet!$E$2:$E$3143, ISNUMBER(
Master_Mapping_Sheet!$E$2:$E$3143),
Master_Mapping_Sheet!$B$2:$B$3143=$A17)))"),0.0)</f>
        <v>0</v>
      </c>
      <c r="G17" s="34">
        <f>IFERROR(__xludf.DUMMYFUNCTION("IF(ISNA(sum(filter(
Master_Mapping_Sheet!$E$2:$E$3143, ISNUMBER(
Master_Mapping_Sheet!$E$2:$E$3143),
Master_Mapping_Sheet!$H$2:$H$3143=G$1,
Master_Mapping_Sheet!$B$2:$B$3143=$A17))/sum(filter(
Master_Mapping_Sheet!$E$2:$E$3143, ISNUMBER(
Master_Mapping_Sh"&amp;"eet!$E$2:$E$3143),
Master_Mapping_Sheet!$B$2:$B$3143=$A17))), 0, sum(filter(
Master_Mapping_Sheet!$E$2:$E$3143, ISNUMBER(
Master_Mapping_Sheet!$E$2:$E$3143),
Master_Mapping_Sheet!$H$2:$H$3143=G$1,
Master_Mapping_Sheet!$B$2:$B$3143=$A17))/sum(filter(
Maste"&amp;"r_Mapping_Sheet!$E$2:$E$3143, ISNUMBER(
Master_Mapping_Sheet!$E$2:$E$3143),
Master_Mapping_Sheet!$B$2:$B$3143=$A17)))"),0.0)</f>
        <v>0</v>
      </c>
      <c r="H17" s="34">
        <f>IFERROR(__xludf.DUMMYFUNCTION("IF(ISNA(sum(filter(
Master_Mapping_Sheet!$E$2:$E$3143, ISNUMBER(
Master_Mapping_Sheet!$E$2:$E$3143),
Master_Mapping_Sheet!$H$2:$H$3143=H$1,
Master_Mapping_Sheet!$B$2:$B$3143=$A17))/sum(filter(
Master_Mapping_Sheet!$E$2:$E$3143, ISNUMBER(
Master_Mapping_Sh"&amp;"eet!$E$2:$E$3143),
Master_Mapping_Sheet!$B$2:$B$3143=$A17))), 0, sum(filter(
Master_Mapping_Sheet!$E$2:$E$3143, ISNUMBER(
Master_Mapping_Sheet!$E$2:$E$3143),
Master_Mapping_Sheet!$H$2:$H$3143=H$1,
Master_Mapping_Sheet!$B$2:$B$3143=$A17))/sum(filter(
Maste"&amp;"r_Mapping_Sheet!$E$2:$E$3143, ISNUMBER(
Master_Mapping_Sheet!$E$2:$E$3143),
Master_Mapping_Sheet!$B$2:$B$3143=$A17)))"),0.0)</f>
        <v>0</v>
      </c>
      <c r="I17" s="34">
        <f>IFERROR(__xludf.DUMMYFUNCTION("IF(ISNA(sum(filter(
Master_Mapping_Sheet!$E$2:$E$3143, ISNUMBER(
Master_Mapping_Sheet!$E$2:$E$3143),
Master_Mapping_Sheet!$H$2:$H$3143=I$1,
Master_Mapping_Sheet!$B$2:$B$3143=$A17))/sum(filter(
Master_Mapping_Sheet!$E$2:$E$3143, ISNUMBER(
Master_Mapping_Sh"&amp;"eet!$E$2:$E$3143),
Master_Mapping_Sheet!$B$2:$B$3143=$A17))), 0, sum(filter(
Master_Mapping_Sheet!$E$2:$E$3143, ISNUMBER(
Master_Mapping_Sheet!$E$2:$E$3143),
Master_Mapping_Sheet!$H$2:$H$3143=I$1,
Master_Mapping_Sheet!$B$2:$B$3143=$A17))/sum(filter(
Maste"&amp;"r_Mapping_Sheet!$E$2:$E$3143, ISNUMBER(
Master_Mapping_Sheet!$E$2:$E$3143),
Master_Mapping_Sheet!$B$2:$B$3143=$A17)))"),0.0)</f>
        <v>0</v>
      </c>
      <c r="J17" s="34">
        <f>IFERROR(__xludf.DUMMYFUNCTION("IF(ISNA(sum(filter(
Master_Mapping_Sheet!$E$2:$E$3143, ISNUMBER(
Master_Mapping_Sheet!$E$2:$E$3143),
Master_Mapping_Sheet!$H$2:$H$3143=J$1,
Master_Mapping_Sheet!$B$2:$B$3143=$A17))/sum(filter(
Master_Mapping_Sheet!$E$2:$E$3143, ISNUMBER(
Master_Mapping_Sh"&amp;"eet!$E$2:$E$3143),
Master_Mapping_Sheet!$B$2:$B$3143=$A17))), 0, sum(filter(
Master_Mapping_Sheet!$E$2:$E$3143, ISNUMBER(
Master_Mapping_Sheet!$E$2:$E$3143),
Master_Mapping_Sheet!$H$2:$H$3143=J$1,
Master_Mapping_Sheet!$B$2:$B$3143=$A17))/sum(filter(
Maste"&amp;"r_Mapping_Sheet!$E$2:$E$3143, ISNUMBER(
Master_Mapping_Sheet!$E$2:$E$3143),
Master_Mapping_Sheet!$B$2:$B$3143=$A17)))"),0.0)</f>
        <v>0</v>
      </c>
      <c r="K17" s="34">
        <f>IFERROR(__xludf.DUMMYFUNCTION("IF(ISNA(sum(filter(
Master_Mapping_Sheet!$E$2:$E$3143, ISNUMBER(
Master_Mapping_Sheet!$E$2:$E$3143),
Master_Mapping_Sheet!$H$2:$H$3143=K$1,
Master_Mapping_Sheet!$B$2:$B$3143=$A17))/sum(filter(
Master_Mapping_Sheet!$E$2:$E$3143, ISNUMBER(
Master_Mapping_Sh"&amp;"eet!$E$2:$E$3143),
Master_Mapping_Sheet!$B$2:$B$3143=$A17))), 0, sum(filter(
Master_Mapping_Sheet!$E$2:$E$3143, ISNUMBER(
Master_Mapping_Sheet!$E$2:$E$3143),
Master_Mapping_Sheet!$H$2:$H$3143=K$1,
Master_Mapping_Sheet!$B$2:$B$3143=$A17))/sum(filter(
Maste"&amp;"r_Mapping_Sheet!$E$2:$E$3143, ISNUMBER(
Master_Mapping_Sheet!$E$2:$E$3143),
Master_Mapping_Sheet!$B$2:$B$3143=$A17)))"),0.0)</f>
        <v>0</v>
      </c>
      <c r="L17" s="34">
        <f>IFERROR(__xludf.DUMMYFUNCTION("IF(ISNA(sum(filter(
Master_Mapping_Sheet!$E$2:$E$3143, ISNUMBER(
Master_Mapping_Sheet!$E$2:$E$3143),
Master_Mapping_Sheet!$H$2:$H$3143=L$1,
Master_Mapping_Sheet!$B$2:$B$3143=$A17))/sum(filter(
Master_Mapping_Sheet!$E$2:$E$3143, ISNUMBER(
Master_Mapping_Sh"&amp;"eet!$E$2:$E$3143),
Master_Mapping_Sheet!$B$2:$B$3143=$A17))), 0, sum(filter(
Master_Mapping_Sheet!$E$2:$E$3143, ISNUMBER(
Master_Mapping_Sheet!$E$2:$E$3143),
Master_Mapping_Sheet!$H$2:$H$3143=L$1,
Master_Mapping_Sheet!$B$2:$B$3143=$A17))/sum(filter(
Maste"&amp;"r_Mapping_Sheet!$E$2:$E$3143, ISNUMBER(
Master_Mapping_Sheet!$E$2:$E$3143),
Master_Mapping_Sheet!$B$2:$B$3143=$A17)))"),0.0)</f>
        <v>0</v>
      </c>
      <c r="M17" s="34">
        <f>IFERROR(__xludf.DUMMYFUNCTION("IF(ISNA(sum(filter(
Master_Mapping_Sheet!$E$2:$E$3143, ISNUMBER(
Master_Mapping_Sheet!$E$2:$E$3143),
Master_Mapping_Sheet!$H$2:$H$3143=M$1,
Master_Mapping_Sheet!$B$2:$B$3143=$A17))/sum(filter(
Master_Mapping_Sheet!$E$2:$E$3143, ISNUMBER(
Master_Mapping_Sh"&amp;"eet!$E$2:$E$3143),
Master_Mapping_Sheet!$B$2:$B$3143=$A17))), 0, sum(filter(
Master_Mapping_Sheet!$E$2:$E$3143, ISNUMBER(
Master_Mapping_Sheet!$E$2:$E$3143),
Master_Mapping_Sheet!$H$2:$H$3143=M$1,
Master_Mapping_Sheet!$B$2:$B$3143=$A17))/sum(filter(
Maste"&amp;"r_Mapping_Sheet!$E$2:$E$3143, ISNUMBER(
Master_Mapping_Sheet!$E$2:$E$3143),
Master_Mapping_Sheet!$B$2:$B$3143=$A17)))"),0.0)</f>
        <v>0</v>
      </c>
      <c r="N17" s="34">
        <f>IFERROR(__xludf.DUMMYFUNCTION("IF(ISNA(sum(filter(
Master_Mapping_Sheet!$E$2:$E$3143, ISNUMBER(
Master_Mapping_Sheet!$E$2:$E$3143),
Master_Mapping_Sheet!$H$2:$H$3143=N$1,
Master_Mapping_Sheet!$B$2:$B$3143=$A17))/sum(filter(
Master_Mapping_Sheet!$E$2:$E$3143, ISNUMBER(
Master_Mapping_Sh"&amp;"eet!$E$2:$E$3143),
Master_Mapping_Sheet!$B$2:$B$3143=$A17))), 0, sum(filter(
Master_Mapping_Sheet!$E$2:$E$3143, ISNUMBER(
Master_Mapping_Sheet!$E$2:$E$3143),
Master_Mapping_Sheet!$H$2:$H$3143=N$1,
Master_Mapping_Sheet!$B$2:$B$3143=$A17))/sum(filter(
Maste"&amp;"r_Mapping_Sheet!$E$2:$E$3143, ISNUMBER(
Master_Mapping_Sheet!$E$2:$E$3143),
Master_Mapping_Sheet!$B$2:$B$3143=$A17)))"),0.0)</f>
        <v>0</v>
      </c>
      <c r="O17" s="34">
        <f>IFERROR(__xludf.DUMMYFUNCTION("IF(ISNA(sum(filter(
Master_Mapping_Sheet!$E$2:$E$3143, ISNUMBER(
Master_Mapping_Sheet!$E$2:$E$3143),
Master_Mapping_Sheet!$H$2:$H$3143=O$1,
Master_Mapping_Sheet!$B$2:$B$3143=$A17))/sum(filter(
Master_Mapping_Sheet!$E$2:$E$3143, ISNUMBER(
Master_Mapping_Sh"&amp;"eet!$E$2:$E$3143),
Master_Mapping_Sheet!$B$2:$B$3143=$A17))), 0, sum(filter(
Master_Mapping_Sheet!$E$2:$E$3143, ISNUMBER(
Master_Mapping_Sheet!$E$2:$E$3143),
Master_Mapping_Sheet!$H$2:$H$3143=O$1,
Master_Mapping_Sheet!$B$2:$B$3143=$A17))/sum(filter(
Maste"&amp;"r_Mapping_Sheet!$E$2:$E$3143, ISNUMBER(
Master_Mapping_Sheet!$E$2:$E$3143),
Master_Mapping_Sheet!$B$2:$B$3143=$A17)))"),0.0)</f>
        <v>0</v>
      </c>
      <c r="P17" s="34">
        <f>IFERROR(__xludf.DUMMYFUNCTION("IF(ISNA(sum(filter(
Master_Mapping_Sheet!$E$2:$E$3143, ISNUMBER(
Master_Mapping_Sheet!$E$2:$E$3143),
Master_Mapping_Sheet!$H$2:$H$3143=P$1,
Master_Mapping_Sheet!$B$2:$B$3143=$A17))/sum(filter(
Master_Mapping_Sheet!$E$2:$E$3143, ISNUMBER(
Master_Mapping_Sh"&amp;"eet!$E$2:$E$3143),
Master_Mapping_Sheet!$B$2:$B$3143=$A17))), 0, sum(filter(
Master_Mapping_Sheet!$E$2:$E$3143, ISNUMBER(
Master_Mapping_Sheet!$E$2:$E$3143),
Master_Mapping_Sheet!$H$2:$H$3143=P$1,
Master_Mapping_Sheet!$B$2:$B$3143=$A17))/sum(filter(
Maste"&amp;"r_Mapping_Sheet!$E$2:$E$3143, ISNUMBER(
Master_Mapping_Sheet!$E$2:$E$3143),
Master_Mapping_Sheet!$B$2:$B$3143=$A17)))"),0.0)</f>
        <v>0</v>
      </c>
      <c r="Q17" s="34">
        <f>IFERROR(__xludf.DUMMYFUNCTION("IF(ISNA(sum(filter(
Master_Mapping_Sheet!$E$2:$E$3143, ISNUMBER(
Master_Mapping_Sheet!$E$2:$E$3143),
Master_Mapping_Sheet!$H$2:$H$3143=Q$1,
Master_Mapping_Sheet!$B$2:$B$3143=$A17))/sum(filter(
Master_Mapping_Sheet!$E$2:$E$3143, ISNUMBER(
Master_Mapping_Sh"&amp;"eet!$E$2:$E$3143),
Master_Mapping_Sheet!$B$2:$B$3143=$A17))), 0, sum(filter(
Master_Mapping_Sheet!$E$2:$E$3143, ISNUMBER(
Master_Mapping_Sheet!$E$2:$E$3143),
Master_Mapping_Sheet!$H$2:$H$3143=Q$1,
Master_Mapping_Sheet!$B$2:$B$3143=$A17))/sum(filter(
Maste"&amp;"r_Mapping_Sheet!$E$2:$E$3143, ISNUMBER(
Master_Mapping_Sheet!$E$2:$E$3143),
Master_Mapping_Sheet!$B$2:$B$3143=$A17)))"),0.0)</f>
        <v>0</v>
      </c>
      <c r="R17" s="34">
        <f>IFERROR(__xludf.DUMMYFUNCTION("IF(ISNA(sum(filter(
Master_Mapping_Sheet!$E$2:$E$3143, ISNUMBER(
Master_Mapping_Sheet!$E$2:$E$3143),
Master_Mapping_Sheet!$H$2:$H$3143=R$1,
Master_Mapping_Sheet!$B$2:$B$3143=$A17))/sum(filter(
Master_Mapping_Sheet!$E$2:$E$3143, ISNUMBER(
Master_Mapping_Sh"&amp;"eet!$E$2:$E$3143),
Master_Mapping_Sheet!$B$2:$B$3143=$A17))), 0, sum(filter(
Master_Mapping_Sheet!$E$2:$E$3143, ISNUMBER(
Master_Mapping_Sheet!$E$2:$E$3143),
Master_Mapping_Sheet!$H$2:$H$3143=R$1,
Master_Mapping_Sheet!$B$2:$B$3143=$A17))/sum(filter(
Maste"&amp;"r_Mapping_Sheet!$E$2:$E$3143, ISNUMBER(
Master_Mapping_Sheet!$E$2:$E$3143),
Master_Mapping_Sheet!$B$2:$B$3143=$A17)))"),0.0)</f>
        <v>0</v>
      </c>
      <c r="S17" s="34">
        <f>IFERROR(__xludf.DUMMYFUNCTION("IF(ISNA(sum(filter(
Master_Mapping_Sheet!$E$2:$E$3143, ISNUMBER(
Master_Mapping_Sheet!$E$2:$E$3143),
Master_Mapping_Sheet!$H$2:$H$3143=S$1,
Master_Mapping_Sheet!$B$2:$B$3143=$A17))/sum(filter(
Master_Mapping_Sheet!$E$2:$E$3143, ISNUMBER(
Master_Mapping_Sh"&amp;"eet!$E$2:$E$3143),
Master_Mapping_Sheet!$B$2:$B$3143=$A17))), 0, sum(filter(
Master_Mapping_Sheet!$E$2:$E$3143, ISNUMBER(
Master_Mapping_Sheet!$E$2:$E$3143),
Master_Mapping_Sheet!$H$2:$H$3143=S$1,
Master_Mapping_Sheet!$B$2:$B$3143=$A17))/sum(filter(
Maste"&amp;"r_Mapping_Sheet!$E$2:$E$3143, ISNUMBER(
Master_Mapping_Sheet!$E$2:$E$3143),
Master_Mapping_Sheet!$B$2:$B$3143=$A17)))"),0.0)</f>
        <v>0</v>
      </c>
      <c r="T17" s="34">
        <f>IFERROR(__xludf.DUMMYFUNCTION("IF(ISNA(sum(filter(
Master_Mapping_Sheet!$E$2:$E$3143, ISNUMBER(
Master_Mapping_Sheet!$E$2:$E$3143),
Master_Mapping_Sheet!$H$2:$H$3143=T$1,
Master_Mapping_Sheet!$B$2:$B$3143=$A17))/sum(filter(
Master_Mapping_Sheet!$E$2:$E$3143, ISNUMBER(
Master_Mapping_Sh"&amp;"eet!$E$2:$E$3143),
Master_Mapping_Sheet!$B$2:$B$3143=$A17))), 0, sum(filter(
Master_Mapping_Sheet!$E$2:$E$3143, ISNUMBER(
Master_Mapping_Sheet!$E$2:$E$3143),
Master_Mapping_Sheet!$H$2:$H$3143=T$1,
Master_Mapping_Sheet!$B$2:$B$3143=$A17))/sum(filter(
Maste"&amp;"r_Mapping_Sheet!$E$2:$E$3143, ISNUMBER(
Master_Mapping_Sheet!$E$2:$E$3143),
Master_Mapping_Sheet!$B$2:$B$3143=$A17)))"),0.0)</f>
        <v>0</v>
      </c>
      <c r="U17" s="34">
        <f>IFERROR(__xludf.DUMMYFUNCTION("IF(ISNA(sum(filter(
Master_Mapping_Sheet!$E$2:$E$3143, ISNUMBER(
Master_Mapping_Sheet!$E$2:$E$3143),
Master_Mapping_Sheet!$H$2:$H$3143=U$1,
Master_Mapping_Sheet!$B$2:$B$3143=$A17))/sum(filter(
Master_Mapping_Sheet!$E$2:$E$3143, ISNUMBER(
Master_Mapping_Sh"&amp;"eet!$E$2:$E$3143),
Master_Mapping_Sheet!$B$2:$B$3143=$A17))), 0, sum(filter(
Master_Mapping_Sheet!$E$2:$E$3143, ISNUMBER(
Master_Mapping_Sheet!$E$2:$E$3143),
Master_Mapping_Sheet!$H$2:$H$3143=U$1,
Master_Mapping_Sheet!$B$2:$B$3143=$A17))/sum(filter(
Maste"&amp;"r_Mapping_Sheet!$E$2:$E$3143, ISNUMBER(
Master_Mapping_Sheet!$E$2:$E$3143),
Master_Mapping_Sheet!$B$2:$B$3143=$A17)))"),0.17051179231457148)</f>
        <v>0.1705117923</v>
      </c>
      <c r="V17" s="34">
        <f>IFERROR(__xludf.DUMMYFUNCTION("IF(ISNA(sum(filter(
Master_Mapping_Sheet!$E$2:$E$3143, ISNUMBER(
Master_Mapping_Sheet!$E$2:$E$3143),
Master_Mapping_Sheet!$H$2:$H$3143=V$1,
Master_Mapping_Sheet!$B$2:$B$3143=$A17))/sum(filter(
Master_Mapping_Sheet!$E$2:$E$3143, ISNUMBER(
Master_Mapping_Sh"&amp;"eet!$E$2:$E$3143),
Master_Mapping_Sheet!$B$2:$B$3143=$A17))), 0, sum(filter(
Master_Mapping_Sheet!$E$2:$E$3143, ISNUMBER(
Master_Mapping_Sheet!$E$2:$E$3143),
Master_Mapping_Sheet!$H$2:$H$3143=V$1,
Master_Mapping_Sheet!$B$2:$B$3143=$A17))/sum(filter(
Maste"&amp;"r_Mapping_Sheet!$E$2:$E$3143, ISNUMBER(
Master_Mapping_Sheet!$E$2:$E$3143),
Master_Mapping_Sheet!$B$2:$B$3143=$A17)))"),0.0)</f>
        <v>0</v>
      </c>
      <c r="W17" s="34">
        <f>IFERROR(__xludf.DUMMYFUNCTION("IF(ISNA(sum(filter(
Master_Mapping_Sheet!$E$2:$E$3143, ISNUMBER(
Master_Mapping_Sheet!$E$2:$E$3143),
Master_Mapping_Sheet!$H$2:$H$3143=W$1,
Master_Mapping_Sheet!$B$2:$B$3143=$A17))/sum(filter(
Master_Mapping_Sheet!$E$2:$E$3143, ISNUMBER(
Master_Mapping_Sh"&amp;"eet!$E$2:$E$3143),
Master_Mapping_Sheet!$B$2:$B$3143=$A17))), 0, sum(filter(
Master_Mapping_Sheet!$E$2:$E$3143, ISNUMBER(
Master_Mapping_Sheet!$E$2:$E$3143),
Master_Mapping_Sheet!$H$2:$H$3143=W$1,
Master_Mapping_Sheet!$B$2:$B$3143=$A17))/sum(filter(
Maste"&amp;"r_Mapping_Sheet!$E$2:$E$3143, ISNUMBER(
Master_Mapping_Sheet!$E$2:$E$3143),
Master_Mapping_Sheet!$B$2:$B$3143=$A17)))"),0.0)</f>
        <v>0</v>
      </c>
      <c r="X17" s="34">
        <f>IFERROR(__xludf.DUMMYFUNCTION("IF(ISNA(sum(filter(
Master_Mapping_Sheet!$E$2:$E$3143, ISNUMBER(
Master_Mapping_Sheet!$E$2:$E$3143),
Master_Mapping_Sheet!$H$2:$H$3143=X$1,
Master_Mapping_Sheet!$B$2:$B$3143=$A17))/sum(filter(
Master_Mapping_Sheet!$E$2:$E$3143, ISNUMBER(
Master_Mapping_Sh"&amp;"eet!$E$2:$E$3143),
Master_Mapping_Sheet!$B$2:$B$3143=$A17))), 0, sum(filter(
Master_Mapping_Sheet!$E$2:$E$3143, ISNUMBER(
Master_Mapping_Sheet!$E$2:$E$3143),
Master_Mapping_Sheet!$H$2:$H$3143=X$1,
Master_Mapping_Sheet!$B$2:$B$3143=$A17))/sum(filter(
Maste"&amp;"r_Mapping_Sheet!$E$2:$E$3143, ISNUMBER(
Master_Mapping_Sheet!$E$2:$E$3143),
Master_Mapping_Sheet!$B$2:$B$3143=$A17)))"),0.0)</f>
        <v>0</v>
      </c>
      <c r="Y17" s="34">
        <f>IFERROR(__xludf.DUMMYFUNCTION("IF(ISNA(sum(filter(
Master_Mapping_Sheet!$E$2:$E$3143, ISNUMBER(
Master_Mapping_Sheet!$E$2:$E$3143),
Master_Mapping_Sheet!$H$2:$H$3143=Y$1,
Master_Mapping_Sheet!$B$2:$B$3143=$A17))/sum(filter(
Master_Mapping_Sheet!$E$2:$E$3143, ISNUMBER(
Master_Mapping_Sh"&amp;"eet!$E$2:$E$3143),
Master_Mapping_Sheet!$B$2:$B$3143=$A17))), 0, sum(filter(
Master_Mapping_Sheet!$E$2:$E$3143, ISNUMBER(
Master_Mapping_Sheet!$E$2:$E$3143),
Master_Mapping_Sheet!$H$2:$H$3143=Y$1,
Master_Mapping_Sheet!$B$2:$B$3143=$A17))/sum(filter(
Maste"&amp;"r_Mapping_Sheet!$E$2:$E$3143, ISNUMBER(
Master_Mapping_Sheet!$E$2:$E$3143),
Master_Mapping_Sheet!$B$2:$B$3143=$A17)))"),0.0)</f>
        <v>0</v>
      </c>
      <c r="Z17" s="34">
        <f>IFERROR(__xludf.DUMMYFUNCTION("IF(ISNA(sum(filter(
Master_Mapping_Sheet!$E$2:$E$3143, ISNUMBER(
Master_Mapping_Sheet!$E$2:$E$3143),
Master_Mapping_Sheet!$H$2:$H$3143=Z$1,
Master_Mapping_Sheet!$B$2:$B$3143=$A17))/sum(filter(
Master_Mapping_Sheet!$E$2:$E$3143, ISNUMBER(
Master_Mapping_Sh"&amp;"eet!$E$2:$E$3143),
Master_Mapping_Sheet!$B$2:$B$3143=$A17))), 0, sum(filter(
Master_Mapping_Sheet!$E$2:$E$3143, ISNUMBER(
Master_Mapping_Sheet!$E$2:$E$3143),
Master_Mapping_Sheet!$H$2:$H$3143=Z$1,
Master_Mapping_Sheet!$B$2:$B$3143=$A17))/sum(filter(
Maste"&amp;"r_Mapping_Sheet!$E$2:$E$3143, ISNUMBER(
Master_Mapping_Sheet!$E$2:$E$3143),
Master_Mapping_Sheet!$B$2:$B$3143=$A17)))"),0.0)</f>
        <v>0</v>
      </c>
      <c r="AA17" s="34">
        <f>IFERROR(__xludf.DUMMYFUNCTION("IF(ISNA(sum(filter(
Master_Mapping_Sheet!$E$2:$E$3143, ISNUMBER(
Master_Mapping_Sheet!$E$2:$E$3143),
Master_Mapping_Sheet!$H$2:$H$3143=AA$1,
Master_Mapping_Sheet!$B$2:$B$3143=$A17))/sum(filter(
Master_Mapping_Sheet!$E$2:$E$3143, ISNUMBER(
Master_Mapping_S"&amp;"heet!$E$2:$E$3143),
Master_Mapping_Sheet!$B$2:$B$3143=$A17))), 0, sum(filter(
Master_Mapping_Sheet!$E$2:$E$3143, ISNUMBER(
Master_Mapping_Sheet!$E$2:$E$3143),
Master_Mapping_Sheet!$H$2:$H$3143=AA$1,
Master_Mapping_Sheet!$B$2:$B$3143=$A17))/sum(filter(
Mas"&amp;"ter_Mapping_Sheet!$E$2:$E$3143, ISNUMBER(
Master_Mapping_Sheet!$E$2:$E$3143),
Master_Mapping_Sheet!$B$2:$B$3143=$A17)))"),0.0)</f>
        <v>0</v>
      </c>
    </row>
    <row r="18" ht="15.75" customHeight="1">
      <c r="A18" s="34" t="s">
        <v>750</v>
      </c>
      <c r="B18" s="34" t="s">
        <v>2601</v>
      </c>
      <c r="C18" s="34">
        <f>IFERROR(__xludf.DUMMYFUNCTION("IF(ISNA(sum(filter(
Master_Mapping_Sheet!$E$2:$E$3143, ISNUMBER(
Master_Mapping_Sheet!$E$2:$E$3143),
Master_Mapping_Sheet!$H$2:$H$3143=C$1,
Master_Mapping_Sheet!$B$2:$B$3143=$A18))/sum(filter(
Master_Mapping_Sheet!$E$2:$E$3143, ISNUMBER(
Master_Mapping_Sh"&amp;"eet!$E$2:$E$3143),
Master_Mapping_Sheet!$B$2:$B$3143=$A18))), 0, sum(filter(
Master_Mapping_Sheet!$E$2:$E$3143, ISNUMBER(
Master_Mapping_Sheet!$E$2:$E$3143),
Master_Mapping_Sheet!$H$2:$H$3143=C$1,
Master_Mapping_Sheet!$B$2:$B$3143=$A18))/sum(filter(
Maste"&amp;"r_Mapping_Sheet!$E$2:$E$3143, ISNUMBER(
Master_Mapping_Sheet!$E$2:$E$3143),
Master_Mapping_Sheet!$B$2:$B$3143=$A18)))"),0.0)</f>
        <v>0</v>
      </c>
      <c r="D18" s="32">
        <f>IFERROR(__xludf.DUMMYFUNCTION("IF(ISNA(sum(filter(
Master_Mapping_Sheet!$E$2:$E$3143, ISNUMBER(
Master_Mapping_Sheet!$E$2:$E$3143),
Master_Mapping_Sheet!$H$2:$H$3143=D$1,
Master_Mapping_Sheet!$B$2:$B$3143=$A18))/sum(filter(
Master_Mapping_Sheet!$E$2:$E$3143, ISNUMBER(
Master_Mapping_Sh"&amp;"eet!$E$2:$E$3143),
Master_Mapping_Sheet!$B$2:$B$3143=$A18))), 0, sum(filter(
Master_Mapping_Sheet!$E$2:$E$3143, ISNUMBER(
Master_Mapping_Sheet!$E$2:$E$3143),
Master_Mapping_Sheet!$H$2:$H$3143=D$1,
Master_Mapping_Sheet!$B$2:$B$3143=$A18))/sum(filter(
Maste"&amp;"r_Mapping_Sheet!$E$2:$E$3143, ISNUMBER(
Master_Mapping_Sheet!$E$2:$E$3143),
Master_Mapping_Sheet!$B$2:$B$3143=$A18)))"),0.0)</f>
        <v>0</v>
      </c>
      <c r="E18" s="34">
        <f>IFERROR(__xludf.DUMMYFUNCTION("IF(ISNA(sum(filter(
Master_Mapping_Sheet!$E$2:$E$3143, ISNUMBER(
Master_Mapping_Sheet!$E$2:$E$3143),
Master_Mapping_Sheet!$H$2:$H$3143=E$1,
Master_Mapping_Sheet!$B$2:$B$3143=$A18))/sum(filter(
Master_Mapping_Sheet!$E$2:$E$3143, ISNUMBER(
Master_Mapping_Sh"&amp;"eet!$E$2:$E$3143),
Master_Mapping_Sheet!$B$2:$B$3143=$A18))), 0, sum(filter(
Master_Mapping_Sheet!$E$2:$E$3143, ISNUMBER(
Master_Mapping_Sheet!$E$2:$E$3143),
Master_Mapping_Sheet!$H$2:$H$3143=E$1,
Master_Mapping_Sheet!$B$2:$B$3143=$A18))/sum(filter(
Maste"&amp;"r_Mapping_Sheet!$E$2:$E$3143, ISNUMBER(
Master_Mapping_Sheet!$E$2:$E$3143),
Master_Mapping_Sheet!$B$2:$B$3143=$A18)))"),0.0)</f>
        <v>0</v>
      </c>
      <c r="F18" s="34">
        <f>IFERROR(__xludf.DUMMYFUNCTION("IF(ISNA(sum(filter(
Master_Mapping_Sheet!$E$2:$E$3143, ISNUMBER(
Master_Mapping_Sheet!$E$2:$E$3143),
Master_Mapping_Sheet!$H$2:$H$3143=F$1,
Master_Mapping_Sheet!$B$2:$B$3143=$A18))/sum(filter(
Master_Mapping_Sheet!$E$2:$E$3143, ISNUMBER(
Master_Mapping_Sh"&amp;"eet!$E$2:$E$3143),
Master_Mapping_Sheet!$B$2:$B$3143=$A18))), 0, sum(filter(
Master_Mapping_Sheet!$E$2:$E$3143, ISNUMBER(
Master_Mapping_Sheet!$E$2:$E$3143),
Master_Mapping_Sheet!$H$2:$H$3143=F$1,
Master_Mapping_Sheet!$B$2:$B$3143=$A18))/sum(filter(
Maste"&amp;"r_Mapping_Sheet!$E$2:$E$3143, ISNUMBER(
Master_Mapping_Sheet!$E$2:$E$3143),
Master_Mapping_Sheet!$B$2:$B$3143=$A18)))"),0.0)</f>
        <v>0</v>
      </c>
      <c r="G18" s="34">
        <f>IFERROR(__xludf.DUMMYFUNCTION("IF(ISNA(sum(filter(
Master_Mapping_Sheet!$E$2:$E$3143, ISNUMBER(
Master_Mapping_Sheet!$E$2:$E$3143),
Master_Mapping_Sheet!$H$2:$H$3143=G$1,
Master_Mapping_Sheet!$B$2:$B$3143=$A18))/sum(filter(
Master_Mapping_Sheet!$E$2:$E$3143, ISNUMBER(
Master_Mapping_Sh"&amp;"eet!$E$2:$E$3143),
Master_Mapping_Sheet!$B$2:$B$3143=$A18))), 0, sum(filter(
Master_Mapping_Sheet!$E$2:$E$3143, ISNUMBER(
Master_Mapping_Sheet!$E$2:$E$3143),
Master_Mapping_Sheet!$H$2:$H$3143=G$1,
Master_Mapping_Sheet!$B$2:$B$3143=$A18))/sum(filter(
Maste"&amp;"r_Mapping_Sheet!$E$2:$E$3143, ISNUMBER(
Master_Mapping_Sheet!$E$2:$E$3143),
Master_Mapping_Sheet!$B$2:$B$3143=$A18)))"),0.0)</f>
        <v>0</v>
      </c>
      <c r="H18" s="34">
        <f>IFERROR(__xludf.DUMMYFUNCTION("IF(ISNA(sum(filter(
Master_Mapping_Sheet!$E$2:$E$3143, ISNUMBER(
Master_Mapping_Sheet!$E$2:$E$3143),
Master_Mapping_Sheet!$H$2:$H$3143=H$1,
Master_Mapping_Sheet!$B$2:$B$3143=$A18))/sum(filter(
Master_Mapping_Sheet!$E$2:$E$3143, ISNUMBER(
Master_Mapping_Sh"&amp;"eet!$E$2:$E$3143),
Master_Mapping_Sheet!$B$2:$B$3143=$A18))), 0, sum(filter(
Master_Mapping_Sheet!$E$2:$E$3143, ISNUMBER(
Master_Mapping_Sheet!$E$2:$E$3143),
Master_Mapping_Sheet!$H$2:$H$3143=H$1,
Master_Mapping_Sheet!$B$2:$B$3143=$A18))/sum(filter(
Maste"&amp;"r_Mapping_Sheet!$E$2:$E$3143, ISNUMBER(
Master_Mapping_Sheet!$E$2:$E$3143),
Master_Mapping_Sheet!$B$2:$B$3143=$A18)))"),0.0)</f>
        <v>0</v>
      </c>
      <c r="I18" s="34">
        <f>IFERROR(__xludf.DUMMYFUNCTION("IF(ISNA(sum(filter(
Master_Mapping_Sheet!$E$2:$E$3143, ISNUMBER(
Master_Mapping_Sheet!$E$2:$E$3143),
Master_Mapping_Sheet!$H$2:$H$3143=I$1,
Master_Mapping_Sheet!$B$2:$B$3143=$A18))/sum(filter(
Master_Mapping_Sheet!$E$2:$E$3143, ISNUMBER(
Master_Mapping_Sh"&amp;"eet!$E$2:$E$3143),
Master_Mapping_Sheet!$B$2:$B$3143=$A18))), 0, sum(filter(
Master_Mapping_Sheet!$E$2:$E$3143, ISNUMBER(
Master_Mapping_Sheet!$E$2:$E$3143),
Master_Mapping_Sheet!$H$2:$H$3143=I$1,
Master_Mapping_Sheet!$B$2:$B$3143=$A18))/sum(filter(
Maste"&amp;"r_Mapping_Sheet!$E$2:$E$3143, ISNUMBER(
Master_Mapping_Sheet!$E$2:$E$3143),
Master_Mapping_Sheet!$B$2:$B$3143=$A18)))"),0.0)</f>
        <v>0</v>
      </c>
      <c r="J18" s="34">
        <f>IFERROR(__xludf.DUMMYFUNCTION("IF(ISNA(sum(filter(
Master_Mapping_Sheet!$E$2:$E$3143, ISNUMBER(
Master_Mapping_Sheet!$E$2:$E$3143),
Master_Mapping_Sheet!$H$2:$H$3143=J$1,
Master_Mapping_Sheet!$B$2:$B$3143=$A18))/sum(filter(
Master_Mapping_Sheet!$E$2:$E$3143, ISNUMBER(
Master_Mapping_Sh"&amp;"eet!$E$2:$E$3143),
Master_Mapping_Sheet!$B$2:$B$3143=$A18))), 0, sum(filter(
Master_Mapping_Sheet!$E$2:$E$3143, ISNUMBER(
Master_Mapping_Sheet!$E$2:$E$3143),
Master_Mapping_Sheet!$H$2:$H$3143=J$1,
Master_Mapping_Sheet!$B$2:$B$3143=$A18))/sum(filter(
Maste"&amp;"r_Mapping_Sheet!$E$2:$E$3143, ISNUMBER(
Master_Mapping_Sheet!$E$2:$E$3143),
Master_Mapping_Sheet!$B$2:$B$3143=$A18)))"),0.0)</f>
        <v>0</v>
      </c>
      <c r="K18" s="34">
        <f>IFERROR(__xludf.DUMMYFUNCTION("IF(ISNA(sum(filter(
Master_Mapping_Sheet!$E$2:$E$3143, ISNUMBER(
Master_Mapping_Sheet!$E$2:$E$3143),
Master_Mapping_Sheet!$H$2:$H$3143=K$1,
Master_Mapping_Sheet!$B$2:$B$3143=$A18))/sum(filter(
Master_Mapping_Sheet!$E$2:$E$3143, ISNUMBER(
Master_Mapping_Sh"&amp;"eet!$E$2:$E$3143),
Master_Mapping_Sheet!$B$2:$B$3143=$A18))), 0, sum(filter(
Master_Mapping_Sheet!$E$2:$E$3143, ISNUMBER(
Master_Mapping_Sheet!$E$2:$E$3143),
Master_Mapping_Sheet!$H$2:$H$3143=K$1,
Master_Mapping_Sheet!$B$2:$B$3143=$A18))/sum(filter(
Maste"&amp;"r_Mapping_Sheet!$E$2:$E$3143, ISNUMBER(
Master_Mapping_Sheet!$E$2:$E$3143),
Master_Mapping_Sheet!$B$2:$B$3143=$A18)))"),0.0)</f>
        <v>0</v>
      </c>
      <c r="L18" s="34">
        <f>IFERROR(__xludf.DUMMYFUNCTION("IF(ISNA(sum(filter(
Master_Mapping_Sheet!$E$2:$E$3143, ISNUMBER(
Master_Mapping_Sheet!$E$2:$E$3143),
Master_Mapping_Sheet!$H$2:$H$3143=L$1,
Master_Mapping_Sheet!$B$2:$B$3143=$A18))/sum(filter(
Master_Mapping_Sheet!$E$2:$E$3143, ISNUMBER(
Master_Mapping_Sh"&amp;"eet!$E$2:$E$3143),
Master_Mapping_Sheet!$B$2:$B$3143=$A18))), 0, sum(filter(
Master_Mapping_Sheet!$E$2:$E$3143, ISNUMBER(
Master_Mapping_Sheet!$E$2:$E$3143),
Master_Mapping_Sheet!$H$2:$H$3143=L$1,
Master_Mapping_Sheet!$B$2:$B$3143=$A18))/sum(filter(
Maste"&amp;"r_Mapping_Sheet!$E$2:$E$3143, ISNUMBER(
Master_Mapping_Sheet!$E$2:$E$3143),
Master_Mapping_Sheet!$B$2:$B$3143=$A18)))"),0.0)</f>
        <v>0</v>
      </c>
      <c r="M18" s="34">
        <f>IFERROR(__xludf.DUMMYFUNCTION("IF(ISNA(sum(filter(
Master_Mapping_Sheet!$E$2:$E$3143, ISNUMBER(
Master_Mapping_Sheet!$E$2:$E$3143),
Master_Mapping_Sheet!$H$2:$H$3143=M$1,
Master_Mapping_Sheet!$B$2:$B$3143=$A18))/sum(filter(
Master_Mapping_Sheet!$E$2:$E$3143, ISNUMBER(
Master_Mapping_Sh"&amp;"eet!$E$2:$E$3143),
Master_Mapping_Sheet!$B$2:$B$3143=$A18))), 0, sum(filter(
Master_Mapping_Sheet!$E$2:$E$3143, ISNUMBER(
Master_Mapping_Sheet!$E$2:$E$3143),
Master_Mapping_Sheet!$H$2:$H$3143=M$1,
Master_Mapping_Sheet!$B$2:$B$3143=$A18))/sum(filter(
Maste"&amp;"r_Mapping_Sheet!$E$2:$E$3143, ISNUMBER(
Master_Mapping_Sheet!$E$2:$E$3143),
Master_Mapping_Sheet!$B$2:$B$3143=$A18)))"),0.0)</f>
        <v>0</v>
      </c>
      <c r="N18" s="34">
        <f>IFERROR(__xludf.DUMMYFUNCTION("IF(ISNA(sum(filter(
Master_Mapping_Sheet!$E$2:$E$3143, ISNUMBER(
Master_Mapping_Sheet!$E$2:$E$3143),
Master_Mapping_Sheet!$H$2:$H$3143=N$1,
Master_Mapping_Sheet!$B$2:$B$3143=$A18))/sum(filter(
Master_Mapping_Sheet!$E$2:$E$3143, ISNUMBER(
Master_Mapping_Sh"&amp;"eet!$E$2:$E$3143),
Master_Mapping_Sheet!$B$2:$B$3143=$A18))), 0, sum(filter(
Master_Mapping_Sheet!$E$2:$E$3143, ISNUMBER(
Master_Mapping_Sheet!$E$2:$E$3143),
Master_Mapping_Sheet!$H$2:$H$3143=N$1,
Master_Mapping_Sheet!$B$2:$B$3143=$A18))/sum(filter(
Maste"&amp;"r_Mapping_Sheet!$E$2:$E$3143, ISNUMBER(
Master_Mapping_Sheet!$E$2:$E$3143),
Master_Mapping_Sheet!$B$2:$B$3143=$A18)))"),0.0)</f>
        <v>0</v>
      </c>
      <c r="O18" s="34">
        <f>IFERROR(__xludf.DUMMYFUNCTION("IF(ISNA(sum(filter(
Master_Mapping_Sheet!$E$2:$E$3143, ISNUMBER(
Master_Mapping_Sheet!$E$2:$E$3143),
Master_Mapping_Sheet!$H$2:$H$3143=O$1,
Master_Mapping_Sheet!$B$2:$B$3143=$A18))/sum(filter(
Master_Mapping_Sheet!$E$2:$E$3143, ISNUMBER(
Master_Mapping_Sh"&amp;"eet!$E$2:$E$3143),
Master_Mapping_Sheet!$B$2:$B$3143=$A18))), 0, sum(filter(
Master_Mapping_Sheet!$E$2:$E$3143, ISNUMBER(
Master_Mapping_Sheet!$E$2:$E$3143),
Master_Mapping_Sheet!$H$2:$H$3143=O$1,
Master_Mapping_Sheet!$B$2:$B$3143=$A18))/sum(filter(
Maste"&amp;"r_Mapping_Sheet!$E$2:$E$3143, ISNUMBER(
Master_Mapping_Sheet!$E$2:$E$3143),
Master_Mapping_Sheet!$B$2:$B$3143=$A18)))"),0.0)</f>
        <v>0</v>
      </c>
      <c r="P18" s="34">
        <f>IFERROR(__xludf.DUMMYFUNCTION("IF(ISNA(sum(filter(
Master_Mapping_Sheet!$E$2:$E$3143, ISNUMBER(
Master_Mapping_Sheet!$E$2:$E$3143),
Master_Mapping_Sheet!$H$2:$H$3143=P$1,
Master_Mapping_Sheet!$B$2:$B$3143=$A18))/sum(filter(
Master_Mapping_Sheet!$E$2:$E$3143, ISNUMBER(
Master_Mapping_Sh"&amp;"eet!$E$2:$E$3143),
Master_Mapping_Sheet!$B$2:$B$3143=$A18))), 0, sum(filter(
Master_Mapping_Sheet!$E$2:$E$3143, ISNUMBER(
Master_Mapping_Sheet!$E$2:$E$3143),
Master_Mapping_Sheet!$H$2:$H$3143=P$1,
Master_Mapping_Sheet!$B$2:$B$3143=$A18))/sum(filter(
Maste"&amp;"r_Mapping_Sheet!$E$2:$E$3143, ISNUMBER(
Master_Mapping_Sheet!$E$2:$E$3143),
Master_Mapping_Sheet!$B$2:$B$3143=$A18)))"),0.0)</f>
        <v>0</v>
      </c>
      <c r="Q18" s="34">
        <f>IFERROR(__xludf.DUMMYFUNCTION("IF(ISNA(sum(filter(
Master_Mapping_Sheet!$E$2:$E$3143, ISNUMBER(
Master_Mapping_Sheet!$E$2:$E$3143),
Master_Mapping_Sheet!$H$2:$H$3143=Q$1,
Master_Mapping_Sheet!$B$2:$B$3143=$A18))/sum(filter(
Master_Mapping_Sheet!$E$2:$E$3143, ISNUMBER(
Master_Mapping_Sh"&amp;"eet!$E$2:$E$3143),
Master_Mapping_Sheet!$B$2:$B$3143=$A18))), 0, sum(filter(
Master_Mapping_Sheet!$E$2:$E$3143, ISNUMBER(
Master_Mapping_Sheet!$E$2:$E$3143),
Master_Mapping_Sheet!$H$2:$H$3143=Q$1,
Master_Mapping_Sheet!$B$2:$B$3143=$A18))/sum(filter(
Maste"&amp;"r_Mapping_Sheet!$E$2:$E$3143, ISNUMBER(
Master_Mapping_Sheet!$E$2:$E$3143),
Master_Mapping_Sheet!$B$2:$B$3143=$A18)))"),0.0)</f>
        <v>0</v>
      </c>
      <c r="R18" s="34">
        <f>IFERROR(__xludf.DUMMYFUNCTION("IF(ISNA(sum(filter(
Master_Mapping_Sheet!$E$2:$E$3143, ISNUMBER(
Master_Mapping_Sheet!$E$2:$E$3143),
Master_Mapping_Sheet!$H$2:$H$3143=R$1,
Master_Mapping_Sheet!$B$2:$B$3143=$A18))/sum(filter(
Master_Mapping_Sheet!$E$2:$E$3143, ISNUMBER(
Master_Mapping_Sh"&amp;"eet!$E$2:$E$3143),
Master_Mapping_Sheet!$B$2:$B$3143=$A18))), 0, sum(filter(
Master_Mapping_Sheet!$E$2:$E$3143, ISNUMBER(
Master_Mapping_Sheet!$E$2:$E$3143),
Master_Mapping_Sheet!$H$2:$H$3143=R$1,
Master_Mapping_Sheet!$B$2:$B$3143=$A18))/sum(filter(
Maste"&amp;"r_Mapping_Sheet!$E$2:$E$3143, ISNUMBER(
Master_Mapping_Sheet!$E$2:$E$3143),
Master_Mapping_Sheet!$B$2:$B$3143=$A18)))"),0.0)</f>
        <v>0</v>
      </c>
      <c r="S18" s="34">
        <f>IFERROR(__xludf.DUMMYFUNCTION("IF(ISNA(sum(filter(
Master_Mapping_Sheet!$E$2:$E$3143, ISNUMBER(
Master_Mapping_Sheet!$E$2:$E$3143),
Master_Mapping_Sheet!$H$2:$H$3143=S$1,
Master_Mapping_Sheet!$B$2:$B$3143=$A18))/sum(filter(
Master_Mapping_Sheet!$E$2:$E$3143, ISNUMBER(
Master_Mapping_Sh"&amp;"eet!$E$2:$E$3143),
Master_Mapping_Sheet!$B$2:$B$3143=$A18))), 0, sum(filter(
Master_Mapping_Sheet!$E$2:$E$3143, ISNUMBER(
Master_Mapping_Sheet!$E$2:$E$3143),
Master_Mapping_Sheet!$H$2:$H$3143=S$1,
Master_Mapping_Sheet!$B$2:$B$3143=$A18))/sum(filter(
Maste"&amp;"r_Mapping_Sheet!$E$2:$E$3143, ISNUMBER(
Master_Mapping_Sheet!$E$2:$E$3143),
Master_Mapping_Sheet!$B$2:$B$3143=$A18)))"),0.0)</f>
        <v>0</v>
      </c>
      <c r="T18" s="34">
        <f>IFERROR(__xludf.DUMMYFUNCTION("IF(ISNA(sum(filter(
Master_Mapping_Sheet!$E$2:$E$3143, ISNUMBER(
Master_Mapping_Sheet!$E$2:$E$3143),
Master_Mapping_Sheet!$H$2:$H$3143=T$1,
Master_Mapping_Sheet!$B$2:$B$3143=$A18))/sum(filter(
Master_Mapping_Sheet!$E$2:$E$3143, ISNUMBER(
Master_Mapping_Sh"&amp;"eet!$E$2:$E$3143),
Master_Mapping_Sheet!$B$2:$B$3143=$A18))), 0, sum(filter(
Master_Mapping_Sheet!$E$2:$E$3143, ISNUMBER(
Master_Mapping_Sheet!$E$2:$E$3143),
Master_Mapping_Sheet!$H$2:$H$3143=T$1,
Master_Mapping_Sheet!$B$2:$B$3143=$A18))/sum(filter(
Maste"&amp;"r_Mapping_Sheet!$E$2:$E$3143, ISNUMBER(
Master_Mapping_Sheet!$E$2:$E$3143),
Master_Mapping_Sheet!$B$2:$B$3143=$A18)))"),1.0)</f>
        <v>1</v>
      </c>
      <c r="U18" s="34">
        <f>IFERROR(__xludf.DUMMYFUNCTION("IF(ISNA(sum(filter(
Master_Mapping_Sheet!$E$2:$E$3143, ISNUMBER(
Master_Mapping_Sheet!$E$2:$E$3143),
Master_Mapping_Sheet!$H$2:$H$3143=U$1,
Master_Mapping_Sheet!$B$2:$B$3143=$A18))/sum(filter(
Master_Mapping_Sheet!$E$2:$E$3143, ISNUMBER(
Master_Mapping_Sh"&amp;"eet!$E$2:$E$3143),
Master_Mapping_Sheet!$B$2:$B$3143=$A18))), 0, sum(filter(
Master_Mapping_Sheet!$E$2:$E$3143, ISNUMBER(
Master_Mapping_Sheet!$E$2:$E$3143),
Master_Mapping_Sheet!$H$2:$H$3143=U$1,
Master_Mapping_Sheet!$B$2:$B$3143=$A18))/sum(filter(
Maste"&amp;"r_Mapping_Sheet!$E$2:$E$3143, ISNUMBER(
Master_Mapping_Sheet!$E$2:$E$3143),
Master_Mapping_Sheet!$B$2:$B$3143=$A18)))"),0.0)</f>
        <v>0</v>
      </c>
      <c r="V18" s="34">
        <f>IFERROR(__xludf.DUMMYFUNCTION("IF(ISNA(sum(filter(
Master_Mapping_Sheet!$E$2:$E$3143, ISNUMBER(
Master_Mapping_Sheet!$E$2:$E$3143),
Master_Mapping_Sheet!$H$2:$H$3143=V$1,
Master_Mapping_Sheet!$B$2:$B$3143=$A18))/sum(filter(
Master_Mapping_Sheet!$E$2:$E$3143, ISNUMBER(
Master_Mapping_Sh"&amp;"eet!$E$2:$E$3143),
Master_Mapping_Sheet!$B$2:$B$3143=$A18))), 0, sum(filter(
Master_Mapping_Sheet!$E$2:$E$3143, ISNUMBER(
Master_Mapping_Sheet!$E$2:$E$3143),
Master_Mapping_Sheet!$H$2:$H$3143=V$1,
Master_Mapping_Sheet!$B$2:$B$3143=$A18))/sum(filter(
Maste"&amp;"r_Mapping_Sheet!$E$2:$E$3143, ISNUMBER(
Master_Mapping_Sheet!$E$2:$E$3143),
Master_Mapping_Sheet!$B$2:$B$3143=$A18)))"),0.0)</f>
        <v>0</v>
      </c>
      <c r="W18" s="34">
        <f>IFERROR(__xludf.DUMMYFUNCTION("IF(ISNA(sum(filter(
Master_Mapping_Sheet!$E$2:$E$3143, ISNUMBER(
Master_Mapping_Sheet!$E$2:$E$3143),
Master_Mapping_Sheet!$H$2:$H$3143=W$1,
Master_Mapping_Sheet!$B$2:$B$3143=$A18))/sum(filter(
Master_Mapping_Sheet!$E$2:$E$3143, ISNUMBER(
Master_Mapping_Sh"&amp;"eet!$E$2:$E$3143),
Master_Mapping_Sheet!$B$2:$B$3143=$A18))), 0, sum(filter(
Master_Mapping_Sheet!$E$2:$E$3143, ISNUMBER(
Master_Mapping_Sheet!$E$2:$E$3143),
Master_Mapping_Sheet!$H$2:$H$3143=W$1,
Master_Mapping_Sheet!$B$2:$B$3143=$A18))/sum(filter(
Maste"&amp;"r_Mapping_Sheet!$E$2:$E$3143, ISNUMBER(
Master_Mapping_Sheet!$E$2:$E$3143),
Master_Mapping_Sheet!$B$2:$B$3143=$A18)))"),0.0)</f>
        <v>0</v>
      </c>
      <c r="X18" s="34">
        <f>IFERROR(__xludf.DUMMYFUNCTION("IF(ISNA(sum(filter(
Master_Mapping_Sheet!$E$2:$E$3143, ISNUMBER(
Master_Mapping_Sheet!$E$2:$E$3143),
Master_Mapping_Sheet!$H$2:$H$3143=X$1,
Master_Mapping_Sheet!$B$2:$B$3143=$A18))/sum(filter(
Master_Mapping_Sheet!$E$2:$E$3143, ISNUMBER(
Master_Mapping_Sh"&amp;"eet!$E$2:$E$3143),
Master_Mapping_Sheet!$B$2:$B$3143=$A18))), 0, sum(filter(
Master_Mapping_Sheet!$E$2:$E$3143, ISNUMBER(
Master_Mapping_Sheet!$E$2:$E$3143),
Master_Mapping_Sheet!$H$2:$H$3143=X$1,
Master_Mapping_Sheet!$B$2:$B$3143=$A18))/sum(filter(
Maste"&amp;"r_Mapping_Sheet!$E$2:$E$3143, ISNUMBER(
Master_Mapping_Sheet!$E$2:$E$3143),
Master_Mapping_Sheet!$B$2:$B$3143=$A18)))"),0.0)</f>
        <v>0</v>
      </c>
      <c r="Y18" s="34">
        <f>IFERROR(__xludf.DUMMYFUNCTION("IF(ISNA(sum(filter(
Master_Mapping_Sheet!$E$2:$E$3143, ISNUMBER(
Master_Mapping_Sheet!$E$2:$E$3143),
Master_Mapping_Sheet!$H$2:$H$3143=Y$1,
Master_Mapping_Sheet!$B$2:$B$3143=$A18))/sum(filter(
Master_Mapping_Sheet!$E$2:$E$3143, ISNUMBER(
Master_Mapping_Sh"&amp;"eet!$E$2:$E$3143),
Master_Mapping_Sheet!$B$2:$B$3143=$A18))), 0, sum(filter(
Master_Mapping_Sheet!$E$2:$E$3143, ISNUMBER(
Master_Mapping_Sheet!$E$2:$E$3143),
Master_Mapping_Sheet!$H$2:$H$3143=Y$1,
Master_Mapping_Sheet!$B$2:$B$3143=$A18))/sum(filter(
Maste"&amp;"r_Mapping_Sheet!$E$2:$E$3143, ISNUMBER(
Master_Mapping_Sheet!$E$2:$E$3143),
Master_Mapping_Sheet!$B$2:$B$3143=$A18)))"),0.0)</f>
        <v>0</v>
      </c>
      <c r="Z18" s="34">
        <f>IFERROR(__xludf.DUMMYFUNCTION("IF(ISNA(sum(filter(
Master_Mapping_Sheet!$E$2:$E$3143, ISNUMBER(
Master_Mapping_Sheet!$E$2:$E$3143),
Master_Mapping_Sheet!$H$2:$H$3143=Z$1,
Master_Mapping_Sheet!$B$2:$B$3143=$A18))/sum(filter(
Master_Mapping_Sheet!$E$2:$E$3143, ISNUMBER(
Master_Mapping_Sh"&amp;"eet!$E$2:$E$3143),
Master_Mapping_Sheet!$B$2:$B$3143=$A18))), 0, sum(filter(
Master_Mapping_Sheet!$E$2:$E$3143, ISNUMBER(
Master_Mapping_Sheet!$E$2:$E$3143),
Master_Mapping_Sheet!$H$2:$H$3143=Z$1,
Master_Mapping_Sheet!$B$2:$B$3143=$A18))/sum(filter(
Maste"&amp;"r_Mapping_Sheet!$E$2:$E$3143, ISNUMBER(
Master_Mapping_Sheet!$E$2:$E$3143),
Master_Mapping_Sheet!$B$2:$B$3143=$A18)))"),0.0)</f>
        <v>0</v>
      </c>
      <c r="AA18" s="34">
        <f>IFERROR(__xludf.DUMMYFUNCTION("IF(ISNA(sum(filter(
Master_Mapping_Sheet!$E$2:$E$3143, ISNUMBER(
Master_Mapping_Sheet!$E$2:$E$3143),
Master_Mapping_Sheet!$H$2:$H$3143=AA$1,
Master_Mapping_Sheet!$B$2:$B$3143=$A18))/sum(filter(
Master_Mapping_Sheet!$E$2:$E$3143, ISNUMBER(
Master_Mapping_S"&amp;"heet!$E$2:$E$3143),
Master_Mapping_Sheet!$B$2:$B$3143=$A18))), 0, sum(filter(
Master_Mapping_Sheet!$E$2:$E$3143, ISNUMBER(
Master_Mapping_Sheet!$E$2:$E$3143),
Master_Mapping_Sheet!$H$2:$H$3143=AA$1,
Master_Mapping_Sheet!$B$2:$B$3143=$A18))/sum(filter(
Mas"&amp;"ter_Mapping_Sheet!$E$2:$E$3143, ISNUMBER(
Master_Mapping_Sheet!$E$2:$E$3143),
Master_Mapping_Sheet!$B$2:$B$3143=$A18)))"),0.0)</f>
        <v>0</v>
      </c>
    </row>
    <row r="19" ht="15.75" customHeight="1">
      <c r="A19" s="34" t="s">
        <v>818</v>
      </c>
      <c r="B19" s="34" t="s">
        <v>2669</v>
      </c>
      <c r="C19" s="34">
        <f>IFERROR(__xludf.DUMMYFUNCTION("IF(ISNA(sum(filter(
Master_Mapping_Sheet!$E$2:$E$3143, ISNUMBER(
Master_Mapping_Sheet!$E$2:$E$3143),
Master_Mapping_Sheet!$H$2:$H$3143=C$1,
Master_Mapping_Sheet!$B$2:$B$3143=$A19))/sum(filter(
Master_Mapping_Sheet!$E$2:$E$3143, ISNUMBER(
Master_Mapping_Sh"&amp;"eet!$E$2:$E$3143),
Master_Mapping_Sheet!$B$2:$B$3143=$A19))), 0, sum(filter(
Master_Mapping_Sheet!$E$2:$E$3143, ISNUMBER(
Master_Mapping_Sheet!$E$2:$E$3143),
Master_Mapping_Sheet!$H$2:$H$3143=C$1,
Master_Mapping_Sheet!$B$2:$B$3143=$A19))/sum(filter(
Maste"&amp;"r_Mapping_Sheet!$E$2:$E$3143, ISNUMBER(
Master_Mapping_Sheet!$E$2:$E$3143),
Master_Mapping_Sheet!$B$2:$B$3143=$A19)))"),0.0)</f>
        <v>0</v>
      </c>
      <c r="D19" s="32">
        <f>IFERROR(__xludf.DUMMYFUNCTION("IF(ISNA(sum(filter(
Master_Mapping_Sheet!$E$2:$E$3143, ISNUMBER(
Master_Mapping_Sheet!$E$2:$E$3143),
Master_Mapping_Sheet!$H$2:$H$3143=D$1,
Master_Mapping_Sheet!$B$2:$B$3143=$A19))/sum(filter(
Master_Mapping_Sheet!$E$2:$E$3143, ISNUMBER(
Master_Mapping_Sh"&amp;"eet!$E$2:$E$3143),
Master_Mapping_Sheet!$B$2:$B$3143=$A19))), 0, sum(filter(
Master_Mapping_Sheet!$E$2:$E$3143, ISNUMBER(
Master_Mapping_Sheet!$E$2:$E$3143),
Master_Mapping_Sheet!$H$2:$H$3143=D$1,
Master_Mapping_Sheet!$B$2:$B$3143=$A19))/sum(filter(
Maste"&amp;"r_Mapping_Sheet!$E$2:$E$3143, ISNUMBER(
Master_Mapping_Sheet!$E$2:$E$3143),
Master_Mapping_Sheet!$B$2:$B$3143=$A19)))"),0.0)</f>
        <v>0</v>
      </c>
      <c r="E19" s="34">
        <f>IFERROR(__xludf.DUMMYFUNCTION("IF(ISNA(sum(filter(
Master_Mapping_Sheet!$E$2:$E$3143, ISNUMBER(
Master_Mapping_Sheet!$E$2:$E$3143),
Master_Mapping_Sheet!$H$2:$H$3143=E$1,
Master_Mapping_Sheet!$B$2:$B$3143=$A19))/sum(filter(
Master_Mapping_Sheet!$E$2:$E$3143, ISNUMBER(
Master_Mapping_Sh"&amp;"eet!$E$2:$E$3143),
Master_Mapping_Sheet!$B$2:$B$3143=$A19))), 0, sum(filter(
Master_Mapping_Sheet!$E$2:$E$3143, ISNUMBER(
Master_Mapping_Sheet!$E$2:$E$3143),
Master_Mapping_Sheet!$H$2:$H$3143=E$1,
Master_Mapping_Sheet!$B$2:$B$3143=$A19))/sum(filter(
Maste"&amp;"r_Mapping_Sheet!$E$2:$E$3143, ISNUMBER(
Master_Mapping_Sheet!$E$2:$E$3143),
Master_Mapping_Sheet!$B$2:$B$3143=$A19)))"),0.0)</f>
        <v>0</v>
      </c>
      <c r="F19" s="34">
        <f>IFERROR(__xludf.DUMMYFUNCTION("IF(ISNA(sum(filter(
Master_Mapping_Sheet!$E$2:$E$3143, ISNUMBER(
Master_Mapping_Sheet!$E$2:$E$3143),
Master_Mapping_Sheet!$H$2:$H$3143=F$1,
Master_Mapping_Sheet!$B$2:$B$3143=$A19))/sum(filter(
Master_Mapping_Sheet!$E$2:$E$3143, ISNUMBER(
Master_Mapping_Sh"&amp;"eet!$E$2:$E$3143),
Master_Mapping_Sheet!$B$2:$B$3143=$A19))), 0, sum(filter(
Master_Mapping_Sheet!$E$2:$E$3143, ISNUMBER(
Master_Mapping_Sheet!$E$2:$E$3143),
Master_Mapping_Sheet!$H$2:$H$3143=F$1,
Master_Mapping_Sheet!$B$2:$B$3143=$A19))/sum(filter(
Maste"&amp;"r_Mapping_Sheet!$E$2:$E$3143, ISNUMBER(
Master_Mapping_Sheet!$E$2:$E$3143),
Master_Mapping_Sheet!$B$2:$B$3143=$A19)))"),0.0)</f>
        <v>0</v>
      </c>
      <c r="G19" s="34">
        <f>IFERROR(__xludf.DUMMYFUNCTION("IF(ISNA(sum(filter(
Master_Mapping_Sheet!$E$2:$E$3143, ISNUMBER(
Master_Mapping_Sheet!$E$2:$E$3143),
Master_Mapping_Sheet!$H$2:$H$3143=G$1,
Master_Mapping_Sheet!$B$2:$B$3143=$A19))/sum(filter(
Master_Mapping_Sheet!$E$2:$E$3143, ISNUMBER(
Master_Mapping_Sh"&amp;"eet!$E$2:$E$3143),
Master_Mapping_Sheet!$B$2:$B$3143=$A19))), 0, sum(filter(
Master_Mapping_Sheet!$E$2:$E$3143, ISNUMBER(
Master_Mapping_Sheet!$E$2:$E$3143),
Master_Mapping_Sheet!$H$2:$H$3143=G$1,
Master_Mapping_Sheet!$B$2:$B$3143=$A19))/sum(filter(
Maste"&amp;"r_Mapping_Sheet!$E$2:$E$3143, ISNUMBER(
Master_Mapping_Sheet!$E$2:$E$3143),
Master_Mapping_Sheet!$B$2:$B$3143=$A19)))"),0.0)</f>
        <v>0</v>
      </c>
      <c r="H19" s="34">
        <f>IFERROR(__xludf.DUMMYFUNCTION("IF(ISNA(sum(filter(
Master_Mapping_Sheet!$E$2:$E$3143, ISNUMBER(
Master_Mapping_Sheet!$E$2:$E$3143),
Master_Mapping_Sheet!$H$2:$H$3143=H$1,
Master_Mapping_Sheet!$B$2:$B$3143=$A19))/sum(filter(
Master_Mapping_Sheet!$E$2:$E$3143, ISNUMBER(
Master_Mapping_Sh"&amp;"eet!$E$2:$E$3143),
Master_Mapping_Sheet!$B$2:$B$3143=$A19))), 0, sum(filter(
Master_Mapping_Sheet!$E$2:$E$3143, ISNUMBER(
Master_Mapping_Sheet!$E$2:$E$3143),
Master_Mapping_Sheet!$H$2:$H$3143=H$1,
Master_Mapping_Sheet!$B$2:$B$3143=$A19))/sum(filter(
Maste"&amp;"r_Mapping_Sheet!$E$2:$E$3143, ISNUMBER(
Master_Mapping_Sheet!$E$2:$E$3143),
Master_Mapping_Sheet!$B$2:$B$3143=$A19)))"),0.0)</f>
        <v>0</v>
      </c>
      <c r="I19" s="34">
        <f>IFERROR(__xludf.DUMMYFUNCTION("IF(ISNA(sum(filter(
Master_Mapping_Sheet!$E$2:$E$3143, ISNUMBER(
Master_Mapping_Sheet!$E$2:$E$3143),
Master_Mapping_Sheet!$H$2:$H$3143=I$1,
Master_Mapping_Sheet!$B$2:$B$3143=$A19))/sum(filter(
Master_Mapping_Sheet!$E$2:$E$3143, ISNUMBER(
Master_Mapping_Sh"&amp;"eet!$E$2:$E$3143),
Master_Mapping_Sheet!$B$2:$B$3143=$A19))), 0, sum(filter(
Master_Mapping_Sheet!$E$2:$E$3143, ISNUMBER(
Master_Mapping_Sheet!$E$2:$E$3143),
Master_Mapping_Sheet!$H$2:$H$3143=I$1,
Master_Mapping_Sheet!$B$2:$B$3143=$A19))/sum(filter(
Maste"&amp;"r_Mapping_Sheet!$E$2:$E$3143, ISNUMBER(
Master_Mapping_Sheet!$E$2:$E$3143),
Master_Mapping_Sheet!$B$2:$B$3143=$A19)))"),0.0)</f>
        <v>0</v>
      </c>
      <c r="J19" s="34">
        <f>IFERROR(__xludf.DUMMYFUNCTION("IF(ISNA(sum(filter(
Master_Mapping_Sheet!$E$2:$E$3143, ISNUMBER(
Master_Mapping_Sheet!$E$2:$E$3143),
Master_Mapping_Sheet!$H$2:$H$3143=J$1,
Master_Mapping_Sheet!$B$2:$B$3143=$A19))/sum(filter(
Master_Mapping_Sheet!$E$2:$E$3143, ISNUMBER(
Master_Mapping_Sh"&amp;"eet!$E$2:$E$3143),
Master_Mapping_Sheet!$B$2:$B$3143=$A19))), 0, sum(filter(
Master_Mapping_Sheet!$E$2:$E$3143, ISNUMBER(
Master_Mapping_Sheet!$E$2:$E$3143),
Master_Mapping_Sheet!$H$2:$H$3143=J$1,
Master_Mapping_Sheet!$B$2:$B$3143=$A19))/sum(filter(
Maste"&amp;"r_Mapping_Sheet!$E$2:$E$3143, ISNUMBER(
Master_Mapping_Sheet!$E$2:$E$3143),
Master_Mapping_Sheet!$B$2:$B$3143=$A19)))"),0.0)</f>
        <v>0</v>
      </c>
      <c r="K19" s="34">
        <f>IFERROR(__xludf.DUMMYFUNCTION("IF(ISNA(sum(filter(
Master_Mapping_Sheet!$E$2:$E$3143, ISNUMBER(
Master_Mapping_Sheet!$E$2:$E$3143),
Master_Mapping_Sheet!$H$2:$H$3143=K$1,
Master_Mapping_Sheet!$B$2:$B$3143=$A19))/sum(filter(
Master_Mapping_Sheet!$E$2:$E$3143, ISNUMBER(
Master_Mapping_Sh"&amp;"eet!$E$2:$E$3143),
Master_Mapping_Sheet!$B$2:$B$3143=$A19))), 0, sum(filter(
Master_Mapping_Sheet!$E$2:$E$3143, ISNUMBER(
Master_Mapping_Sheet!$E$2:$E$3143),
Master_Mapping_Sheet!$H$2:$H$3143=K$1,
Master_Mapping_Sheet!$B$2:$B$3143=$A19))/sum(filter(
Maste"&amp;"r_Mapping_Sheet!$E$2:$E$3143, ISNUMBER(
Master_Mapping_Sheet!$E$2:$E$3143),
Master_Mapping_Sheet!$B$2:$B$3143=$A19)))"),0.0)</f>
        <v>0</v>
      </c>
      <c r="L19" s="34">
        <f>IFERROR(__xludf.DUMMYFUNCTION("IF(ISNA(sum(filter(
Master_Mapping_Sheet!$E$2:$E$3143, ISNUMBER(
Master_Mapping_Sheet!$E$2:$E$3143),
Master_Mapping_Sheet!$H$2:$H$3143=L$1,
Master_Mapping_Sheet!$B$2:$B$3143=$A19))/sum(filter(
Master_Mapping_Sheet!$E$2:$E$3143, ISNUMBER(
Master_Mapping_Sh"&amp;"eet!$E$2:$E$3143),
Master_Mapping_Sheet!$B$2:$B$3143=$A19))), 0, sum(filter(
Master_Mapping_Sheet!$E$2:$E$3143, ISNUMBER(
Master_Mapping_Sheet!$E$2:$E$3143),
Master_Mapping_Sheet!$H$2:$H$3143=L$1,
Master_Mapping_Sheet!$B$2:$B$3143=$A19))/sum(filter(
Maste"&amp;"r_Mapping_Sheet!$E$2:$E$3143, ISNUMBER(
Master_Mapping_Sheet!$E$2:$E$3143),
Master_Mapping_Sheet!$B$2:$B$3143=$A19)))"),0.0)</f>
        <v>0</v>
      </c>
      <c r="M19" s="34">
        <f>IFERROR(__xludf.DUMMYFUNCTION("IF(ISNA(sum(filter(
Master_Mapping_Sheet!$E$2:$E$3143, ISNUMBER(
Master_Mapping_Sheet!$E$2:$E$3143),
Master_Mapping_Sheet!$H$2:$H$3143=M$1,
Master_Mapping_Sheet!$B$2:$B$3143=$A19))/sum(filter(
Master_Mapping_Sheet!$E$2:$E$3143, ISNUMBER(
Master_Mapping_Sh"&amp;"eet!$E$2:$E$3143),
Master_Mapping_Sheet!$B$2:$B$3143=$A19))), 0, sum(filter(
Master_Mapping_Sheet!$E$2:$E$3143, ISNUMBER(
Master_Mapping_Sheet!$E$2:$E$3143),
Master_Mapping_Sheet!$H$2:$H$3143=M$1,
Master_Mapping_Sheet!$B$2:$B$3143=$A19))/sum(filter(
Maste"&amp;"r_Mapping_Sheet!$E$2:$E$3143, ISNUMBER(
Master_Mapping_Sheet!$E$2:$E$3143),
Master_Mapping_Sheet!$B$2:$B$3143=$A19)))"),0.09534032646701814)</f>
        <v>0.09534032647</v>
      </c>
      <c r="N19" s="34">
        <f>IFERROR(__xludf.DUMMYFUNCTION("IF(ISNA(sum(filter(
Master_Mapping_Sheet!$E$2:$E$3143, ISNUMBER(
Master_Mapping_Sheet!$E$2:$E$3143),
Master_Mapping_Sheet!$H$2:$H$3143=N$1,
Master_Mapping_Sheet!$B$2:$B$3143=$A19))/sum(filter(
Master_Mapping_Sheet!$E$2:$E$3143, ISNUMBER(
Master_Mapping_Sh"&amp;"eet!$E$2:$E$3143),
Master_Mapping_Sheet!$B$2:$B$3143=$A19))), 0, sum(filter(
Master_Mapping_Sheet!$E$2:$E$3143, ISNUMBER(
Master_Mapping_Sheet!$E$2:$E$3143),
Master_Mapping_Sheet!$H$2:$H$3143=N$1,
Master_Mapping_Sheet!$B$2:$B$3143=$A19))/sum(filter(
Maste"&amp;"r_Mapping_Sheet!$E$2:$E$3143, ISNUMBER(
Master_Mapping_Sheet!$E$2:$E$3143),
Master_Mapping_Sheet!$B$2:$B$3143=$A19)))"),0.0)</f>
        <v>0</v>
      </c>
      <c r="O19" s="34">
        <f>IFERROR(__xludf.DUMMYFUNCTION("IF(ISNA(sum(filter(
Master_Mapping_Sheet!$E$2:$E$3143, ISNUMBER(
Master_Mapping_Sheet!$E$2:$E$3143),
Master_Mapping_Sheet!$H$2:$H$3143=O$1,
Master_Mapping_Sheet!$B$2:$B$3143=$A19))/sum(filter(
Master_Mapping_Sheet!$E$2:$E$3143, ISNUMBER(
Master_Mapping_Sh"&amp;"eet!$E$2:$E$3143),
Master_Mapping_Sheet!$B$2:$B$3143=$A19))), 0, sum(filter(
Master_Mapping_Sheet!$E$2:$E$3143, ISNUMBER(
Master_Mapping_Sheet!$E$2:$E$3143),
Master_Mapping_Sheet!$H$2:$H$3143=O$1,
Master_Mapping_Sheet!$B$2:$B$3143=$A19))/sum(filter(
Maste"&amp;"r_Mapping_Sheet!$E$2:$E$3143, ISNUMBER(
Master_Mapping_Sheet!$E$2:$E$3143),
Master_Mapping_Sheet!$B$2:$B$3143=$A19)))"),0.0)</f>
        <v>0</v>
      </c>
      <c r="P19" s="34">
        <f>IFERROR(__xludf.DUMMYFUNCTION("IF(ISNA(sum(filter(
Master_Mapping_Sheet!$E$2:$E$3143, ISNUMBER(
Master_Mapping_Sheet!$E$2:$E$3143),
Master_Mapping_Sheet!$H$2:$H$3143=P$1,
Master_Mapping_Sheet!$B$2:$B$3143=$A19))/sum(filter(
Master_Mapping_Sheet!$E$2:$E$3143, ISNUMBER(
Master_Mapping_Sh"&amp;"eet!$E$2:$E$3143),
Master_Mapping_Sheet!$B$2:$B$3143=$A19))), 0, sum(filter(
Master_Mapping_Sheet!$E$2:$E$3143, ISNUMBER(
Master_Mapping_Sheet!$E$2:$E$3143),
Master_Mapping_Sheet!$H$2:$H$3143=P$1,
Master_Mapping_Sheet!$B$2:$B$3143=$A19))/sum(filter(
Maste"&amp;"r_Mapping_Sheet!$E$2:$E$3143, ISNUMBER(
Master_Mapping_Sheet!$E$2:$E$3143),
Master_Mapping_Sheet!$B$2:$B$3143=$A19)))"),0.0)</f>
        <v>0</v>
      </c>
      <c r="Q19" s="34">
        <f>IFERROR(__xludf.DUMMYFUNCTION("IF(ISNA(sum(filter(
Master_Mapping_Sheet!$E$2:$E$3143, ISNUMBER(
Master_Mapping_Sheet!$E$2:$E$3143),
Master_Mapping_Sheet!$H$2:$H$3143=Q$1,
Master_Mapping_Sheet!$B$2:$B$3143=$A19))/sum(filter(
Master_Mapping_Sheet!$E$2:$E$3143, ISNUMBER(
Master_Mapping_Sh"&amp;"eet!$E$2:$E$3143),
Master_Mapping_Sheet!$B$2:$B$3143=$A19))), 0, sum(filter(
Master_Mapping_Sheet!$E$2:$E$3143, ISNUMBER(
Master_Mapping_Sheet!$E$2:$E$3143),
Master_Mapping_Sheet!$H$2:$H$3143=Q$1,
Master_Mapping_Sheet!$B$2:$B$3143=$A19))/sum(filter(
Maste"&amp;"r_Mapping_Sheet!$E$2:$E$3143, ISNUMBER(
Master_Mapping_Sheet!$E$2:$E$3143),
Master_Mapping_Sheet!$B$2:$B$3143=$A19)))"),0.0)</f>
        <v>0</v>
      </c>
      <c r="R19" s="34">
        <f>IFERROR(__xludf.DUMMYFUNCTION("IF(ISNA(sum(filter(
Master_Mapping_Sheet!$E$2:$E$3143, ISNUMBER(
Master_Mapping_Sheet!$E$2:$E$3143),
Master_Mapping_Sheet!$H$2:$H$3143=R$1,
Master_Mapping_Sheet!$B$2:$B$3143=$A19))/sum(filter(
Master_Mapping_Sheet!$E$2:$E$3143, ISNUMBER(
Master_Mapping_Sh"&amp;"eet!$E$2:$E$3143),
Master_Mapping_Sheet!$B$2:$B$3143=$A19))), 0, sum(filter(
Master_Mapping_Sheet!$E$2:$E$3143, ISNUMBER(
Master_Mapping_Sheet!$E$2:$E$3143),
Master_Mapping_Sheet!$H$2:$H$3143=R$1,
Master_Mapping_Sheet!$B$2:$B$3143=$A19))/sum(filter(
Maste"&amp;"r_Mapping_Sheet!$E$2:$E$3143, ISNUMBER(
Master_Mapping_Sheet!$E$2:$E$3143),
Master_Mapping_Sheet!$B$2:$B$3143=$A19)))"),0.9046596735329818)</f>
        <v>0.9046596735</v>
      </c>
      <c r="S19" s="34">
        <f>IFERROR(__xludf.DUMMYFUNCTION("IF(ISNA(sum(filter(
Master_Mapping_Sheet!$E$2:$E$3143, ISNUMBER(
Master_Mapping_Sheet!$E$2:$E$3143),
Master_Mapping_Sheet!$H$2:$H$3143=S$1,
Master_Mapping_Sheet!$B$2:$B$3143=$A19))/sum(filter(
Master_Mapping_Sheet!$E$2:$E$3143, ISNUMBER(
Master_Mapping_Sh"&amp;"eet!$E$2:$E$3143),
Master_Mapping_Sheet!$B$2:$B$3143=$A19))), 0, sum(filter(
Master_Mapping_Sheet!$E$2:$E$3143, ISNUMBER(
Master_Mapping_Sheet!$E$2:$E$3143),
Master_Mapping_Sheet!$H$2:$H$3143=S$1,
Master_Mapping_Sheet!$B$2:$B$3143=$A19))/sum(filter(
Maste"&amp;"r_Mapping_Sheet!$E$2:$E$3143, ISNUMBER(
Master_Mapping_Sheet!$E$2:$E$3143),
Master_Mapping_Sheet!$B$2:$B$3143=$A19)))"),0.0)</f>
        <v>0</v>
      </c>
      <c r="T19" s="34">
        <f>IFERROR(__xludf.DUMMYFUNCTION("IF(ISNA(sum(filter(
Master_Mapping_Sheet!$E$2:$E$3143, ISNUMBER(
Master_Mapping_Sheet!$E$2:$E$3143),
Master_Mapping_Sheet!$H$2:$H$3143=T$1,
Master_Mapping_Sheet!$B$2:$B$3143=$A19))/sum(filter(
Master_Mapping_Sheet!$E$2:$E$3143, ISNUMBER(
Master_Mapping_Sh"&amp;"eet!$E$2:$E$3143),
Master_Mapping_Sheet!$B$2:$B$3143=$A19))), 0, sum(filter(
Master_Mapping_Sheet!$E$2:$E$3143, ISNUMBER(
Master_Mapping_Sheet!$E$2:$E$3143),
Master_Mapping_Sheet!$H$2:$H$3143=T$1,
Master_Mapping_Sheet!$B$2:$B$3143=$A19))/sum(filter(
Maste"&amp;"r_Mapping_Sheet!$E$2:$E$3143, ISNUMBER(
Master_Mapping_Sheet!$E$2:$E$3143),
Master_Mapping_Sheet!$B$2:$B$3143=$A19)))"),0.0)</f>
        <v>0</v>
      </c>
      <c r="U19" s="34">
        <f>IFERROR(__xludf.DUMMYFUNCTION("IF(ISNA(sum(filter(
Master_Mapping_Sheet!$E$2:$E$3143, ISNUMBER(
Master_Mapping_Sheet!$E$2:$E$3143),
Master_Mapping_Sheet!$H$2:$H$3143=U$1,
Master_Mapping_Sheet!$B$2:$B$3143=$A19))/sum(filter(
Master_Mapping_Sheet!$E$2:$E$3143, ISNUMBER(
Master_Mapping_Sh"&amp;"eet!$E$2:$E$3143),
Master_Mapping_Sheet!$B$2:$B$3143=$A19))), 0, sum(filter(
Master_Mapping_Sheet!$E$2:$E$3143, ISNUMBER(
Master_Mapping_Sheet!$E$2:$E$3143),
Master_Mapping_Sheet!$H$2:$H$3143=U$1,
Master_Mapping_Sheet!$B$2:$B$3143=$A19))/sum(filter(
Maste"&amp;"r_Mapping_Sheet!$E$2:$E$3143, ISNUMBER(
Master_Mapping_Sheet!$E$2:$E$3143),
Master_Mapping_Sheet!$B$2:$B$3143=$A19)))"),0.0)</f>
        <v>0</v>
      </c>
      <c r="V19" s="34">
        <f>IFERROR(__xludf.DUMMYFUNCTION("IF(ISNA(sum(filter(
Master_Mapping_Sheet!$E$2:$E$3143, ISNUMBER(
Master_Mapping_Sheet!$E$2:$E$3143),
Master_Mapping_Sheet!$H$2:$H$3143=V$1,
Master_Mapping_Sheet!$B$2:$B$3143=$A19))/sum(filter(
Master_Mapping_Sheet!$E$2:$E$3143, ISNUMBER(
Master_Mapping_Sh"&amp;"eet!$E$2:$E$3143),
Master_Mapping_Sheet!$B$2:$B$3143=$A19))), 0, sum(filter(
Master_Mapping_Sheet!$E$2:$E$3143, ISNUMBER(
Master_Mapping_Sheet!$E$2:$E$3143),
Master_Mapping_Sheet!$H$2:$H$3143=V$1,
Master_Mapping_Sheet!$B$2:$B$3143=$A19))/sum(filter(
Maste"&amp;"r_Mapping_Sheet!$E$2:$E$3143, ISNUMBER(
Master_Mapping_Sheet!$E$2:$E$3143),
Master_Mapping_Sheet!$B$2:$B$3143=$A19)))"),0.0)</f>
        <v>0</v>
      </c>
      <c r="W19" s="34">
        <f>IFERROR(__xludf.DUMMYFUNCTION("IF(ISNA(sum(filter(
Master_Mapping_Sheet!$E$2:$E$3143, ISNUMBER(
Master_Mapping_Sheet!$E$2:$E$3143),
Master_Mapping_Sheet!$H$2:$H$3143=W$1,
Master_Mapping_Sheet!$B$2:$B$3143=$A19))/sum(filter(
Master_Mapping_Sheet!$E$2:$E$3143, ISNUMBER(
Master_Mapping_Sh"&amp;"eet!$E$2:$E$3143),
Master_Mapping_Sheet!$B$2:$B$3143=$A19))), 0, sum(filter(
Master_Mapping_Sheet!$E$2:$E$3143, ISNUMBER(
Master_Mapping_Sheet!$E$2:$E$3143),
Master_Mapping_Sheet!$H$2:$H$3143=W$1,
Master_Mapping_Sheet!$B$2:$B$3143=$A19))/sum(filter(
Maste"&amp;"r_Mapping_Sheet!$E$2:$E$3143, ISNUMBER(
Master_Mapping_Sheet!$E$2:$E$3143),
Master_Mapping_Sheet!$B$2:$B$3143=$A19)))"),0.0)</f>
        <v>0</v>
      </c>
      <c r="X19" s="34">
        <f>IFERROR(__xludf.DUMMYFUNCTION("IF(ISNA(sum(filter(
Master_Mapping_Sheet!$E$2:$E$3143, ISNUMBER(
Master_Mapping_Sheet!$E$2:$E$3143),
Master_Mapping_Sheet!$H$2:$H$3143=X$1,
Master_Mapping_Sheet!$B$2:$B$3143=$A19))/sum(filter(
Master_Mapping_Sheet!$E$2:$E$3143, ISNUMBER(
Master_Mapping_Sh"&amp;"eet!$E$2:$E$3143),
Master_Mapping_Sheet!$B$2:$B$3143=$A19))), 0, sum(filter(
Master_Mapping_Sheet!$E$2:$E$3143, ISNUMBER(
Master_Mapping_Sheet!$E$2:$E$3143),
Master_Mapping_Sheet!$H$2:$H$3143=X$1,
Master_Mapping_Sheet!$B$2:$B$3143=$A19))/sum(filter(
Maste"&amp;"r_Mapping_Sheet!$E$2:$E$3143, ISNUMBER(
Master_Mapping_Sheet!$E$2:$E$3143),
Master_Mapping_Sheet!$B$2:$B$3143=$A19)))"),0.0)</f>
        <v>0</v>
      </c>
      <c r="Y19" s="34">
        <f>IFERROR(__xludf.DUMMYFUNCTION("IF(ISNA(sum(filter(
Master_Mapping_Sheet!$E$2:$E$3143, ISNUMBER(
Master_Mapping_Sheet!$E$2:$E$3143),
Master_Mapping_Sheet!$H$2:$H$3143=Y$1,
Master_Mapping_Sheet!$B$2:$B$3143=$A19))/sum(filter(
Master_Mapping_Sheet!$E$2:$E$3143, ISNUMBER(
Master_Mapping_Sh"&amp;"eet!$E$2:$E$3143),
Master_Mapping_Sheet!$B$2:$B$3143=$A19))), 0, sum(filter(
Master_Mapping_Sheet!$E$2:$E$3143, ISNUMBER(
Master_Mapping_Sheet!$E$2:$E$3143),
Master_Mapping_Sheet!$H$2:$H$3143=Y$1,
Master_Mapping_Sheet!$B$2:$B$3143=$A19))/sum(filter(
Maste"&amp;"r_Mapping_Sheet!$E$2:$E$3143, ISNUMBER(
Master_Mapping_Sheet!$E$2:$E$3143),
Master_Mapping_Sheet!$B$2:$B$3143=$A19)))"),0.0)</f>
        <v>0</v>
      </c>
      <c r="Z19" s="34">
        <f>IFERROR(__xludf.DUMMYFUNCTION("IF(ISNA(sum(filter(
Master_Mapping_Sheet!$E$2:$E$3143, ISNUMBER(
Master_Mapping_Sheet!$E$2:$E$3143),
Master_Mapping_Sheet!$H$2:$H$3143=Z$1,
Master_Mapping_Sheet!$B$2:$B$3143=$A19))/sum(filter(
Master_Mapping_Sheet!$E$2:$E$3143, ISNUMBER(
Master_Mapping_Sh"&amp;"eet!$E$2:$E$3143),
Master_Mapping_Sheet!$B$2:$B$3143=$A19))), 0, sum(filter(
Master_Mapping_Sheet!$E$2:$E$3143, ISNUMBER(
Master_Mapping_Sheet!$E$2:$E$3143),
Master_Mapping_Sheet!$H$2:$H$3143=Z$1,
Master_Mapping_Sheet!$B$2:$B$3143=$A19))/sum(filter(
Maste"&amp;"r_Mapping_Sheet!$E$2:$E$3143, ISNUMBER(
Master_Mapping_Sheet!$E$2:$E$3143),
Master_Mapping_Sheet!$B$2:$B$3143=$A19)))"),0.0)</f>
        <v>0</v>
      </c>
      <c r="AA19" s="34">
        <f>IFERROR(__xludf.DUMMYFUNCTION("IF(ISNA(sum(filter(
Master_Mapping_Sheet!$E$2:$E$3143, ISNUMBER(
Master_Mapping_Sheet!$E$2:$E$3143),
Master_Mapping_Sheet!$H$2:$H$3143=AA$1,
Master_Mapping_Sheet!$B$2:$B$3143=$A19))/sum(filter(
Master_Mapping_Sheet!$E$2:$E$3143, ISNUMBER(
Master_Mapping_S"&amp;"heet!$E$2:$E$3143),
Master_Mapping_Sheet!$B$2:$B$3143=$A19))), 0, sum(filter(
Master_Mapping_Sheet!$E$2:$E$3143, ISNUMBER(
Master_Mapping_Sheet!$E$2:$E$3143),
Master_Mapping_Sheet!$H$2:$H$3143=AA$1,
Master_Mapping_Sheet!$B$2:$B$3143=$A19))/sum(filter(
Mas"&amp;"ter_Mapping_Sheet!$E$2:$E$3143, ISNUMBER(
Master_Mapping_Sheet!$E$2:$E$3143),
Master_Mapping_Sheet!$B$2:$B$3143=$A19)))"),0.0)</f>
        <v>0</v>
      </c>
    </row>
    <row r="20" ht="15.75" customHeight="1">
      <c r="A20" s="34" t="s">
        <v>875</v>
      </c>
      <c r="B20" s="34" t="s">
        <v>2725</v>
      </c>
      <c r="C20" s="34">
        <f>IFERROR(__xludf.DUMMYFUNCTION("IF(ISNA(sum(filter(
Master_Mapping_Sheet!$E$2:$E$3143, ISNUMBER(
Master_Mapping_Sheet!$E$2:$E$3143),
Master_Mapping_Sheet!$H$2:$H$3143=C$1,
Master_Mapping_Sheet!$B$2:$B$3143=$A20))/sum(filter(
Master_Mapping_Sheet!$E$2:$E$3143, ISNUMBER(
Master_Mapping_Sh"&amp;"eet!$E$2:$E$3143),
Master_Mapping_Sheet!$B$2:$B$3143=$A20))), 0, sum(filter(
Master_Mapping_Sheet!$E$2:$E$3143, ISNUMBER(
Master_Mapping_Sheet!$E$2:$E$3143),
Master_Mapping_Sheet!$H$2:$H$3143=C$1,
Master_Mapping_Sheet!$B$2:$B$3143=$A20))/sum(filter(
Maste"&amp;"r_Mapping_Sheet!$E$2:$E$3143, ISNUMBER(
Master_Mapping_Sheet!$E$2:$E$3143),
Master_Mapping_Sheet!$B$2:$B$3143=$A20)))"),0.0)</f>
        <v>0</v>
      </c>
      <c r="D20" s="32">
        <f>IFERROR(__xludf.DUMMYFUNCTION("IF(ISNA(sum(filter(
Master_Mapping_Sheet!$E$2:$E$3143, ISNUMBER(
Master_Mapping_Sheet!$E$2:$E$3143),
Master_Mapping_Sheet!$H$2:$H$3143=D$1,
Master_Mapping_Sheet!$B$2:$B$3143=$A20))/sum(filter(
Master_Mapping_Sheet!$E$2:$E$3143, ISNUMBER(
Master_Mapping_Sh"&amp;"eet!$E$2:$E$3143),
Master_Mapping_Sheet!$B$2:$B$3143=$A20))), 0, sum(filter(
Master_Mapping_Sheet!$E$2:$E$3143, ISNUMBER(
Master_Mapping_Sheet!$E$2:$E$3143),
Master_Mapping_Sheet!$H$2:$H$3143=D$1,
Master_Mapping_Sheet!$B$2:$B$3143=$A20))/sum(filter(
Maste"&amp;"r_Mapping_Sheet!$E$2:$E$3143, ISNUMBER(
Master_Mapping_Sheet!$E$2:$E$3143),
Master_Mapping_Sheet!$B$2:$B$3143=$A20)))"),0.0)</f>
        <v>0</v>
      </c>
      <c r="E20" s="34">
        <f>IFERROR(__xludf.DUMMYFUNCTION("IF(ISNA(sum(filter(
Master_Mapping_Sheet!$E$2:$E$3143, ISNUMBER(
Master_Mapping_Sheet!$E$2:$E$3143),
Master_Mapping_Sheet!$H$2:$H$3143=E$1,
Master_Mapping_Sheet!$B$2:$B$3143=$A20))/sum(filter(
Master_Mapping_Sheet!$E$2:$E$3143, ISNUMBER(
Master_Mapping_Sh"&amp;"eet!$E$2:$E$3143),
Master_Mapping_Sheet!$B$2:$B$3143=$A20))), 0, sum(filter(
Master_Mapping_Sheet!$E$2:$E$3143, ISNUMBER(
Master_Mapping_Sheet!$E$2:$E$3143),
Master_Mapping_Sheet!$H$2:$H$3143=E$1,
Master_Mapping_Sheet!$B$2:$B$3143=$A20))/sum(filter(
Maste"&amp;"r_Mapping_Sheet!$E$2:$E$3143, ISNUMBER(
Master_Mapping_Sheet!$E$2:$E$3143),
Master_Mapping_Sheet!$B$2:$B$3143=$A20)))"),0.0)</f>
        <v>0</v>
      </c>
      <c r="F20" s="34">
        <f>IFERROR(__xludf.DUMMYFUNCTION("IF(ISNA(sum(filter(
Master_Mapping_Sheet!$E$2:$E$3143, ISNUMBER(
Master_Mapping_Sheet!$E$2:$E$3143),
Master_Mapping_Sheet!$H$2:$H$3143=F$1,
Master_Mapping_Sheet!$B$2:$B$3143=$A20))/sum(filter(
Master_Mapping_Sheet!$E$2:$E$3143, ISNUMBER(
Master_Mapping_Sh"&amp;"eet!$E$2:$E$3143),
Master_Mapping_Sheet!$B$2:$B$3143=$A20))), 0, sum(filter(
Master_Mapping_Sheet!$E$2:$E$3143, ISNUMBER(
Master_Mapping_Sheet!$E$2:$E$3143),
Master_Mapping_Sheet!$H$2:$H$3143=F$1,
Master_Mapping_Sheet!$B$2:$B$3143=$A20))/sum(filter(
Maste"&amp;"r_Mapping_Sheet!$E$2:$E$3143, ISNUMBER(
Master_Mapping_Sheet!$E$2:$E$3143),
Master_Mapping_Sheet!$B$2:$B$3143=$A20)))"),0.0)</f>
        <v>0</v>
      </c>
      <c r="G20" s="34">
        <f>IFERROR(__xludf.DUMMYFUNCTION("IF(ISNA(sum(filter(
Master_Mapping_Sheet!$E$2:$E$3143, ISNUMBER(
Master_Mapping_Sheet!$E$2:$E$3143),
Master_Mapping_Sheet!$H$2:$H$3143=G$1,
Master_Mapping_Sheet!$B$2:$B$3143=$A20))/sum(filter(
Master_Mapping_Sheet!$E$2:$E$3143, ISNUMBER(
Master_Mapping_Sh"&amp;"eet!$E$2:$E$3143),
Master_Mapping_Sheet!$B$2:$B$3143=$A20))), 0, sum(filter(
Master_Mapping_Sheet!$E$2:$E$3143, ISNUMBER(
Master_Mapping_Sheet!$E$2:$E$3143),
Master_Mapping_Sheet!$H$2:$H$3143=G$1,
Master_Mapping_Sheet!$B$2:$B$3143=$A20))/sum(filter(
Maste"&amp;"r_Mapping_Sheet!$E$2:$E$3143, ISNUMBER(
Master_Mapping_Sheet!$E$2:$E$3143),
Master_Mapping_Sheet!$B$2:$B$3143=$A20)))"),0.0)</f>
        <v>0</v>
      </c>
      <c r="H20" s="34">
        <f>IFERROR(__xludf.DUMMYFUNCTION("IF(ISNA(sum(filter(
Master_Mapping_Sheet!$E$2:$E$3143, ISNUMBER(
Master_Mapping_Sheet!$E$2:$E$3143),
Master_Mapping_Sheet!$H$2:$H$3143=H$1,
Master_Mapping_Sheet!$B$2:$B$3143=$A20))/sum(filter(
Master_Mapping_Sheet!$E$2:$E$3143, ISNUMBER(
Master_Mapping_Sh"&amp;"eet!$E$2:$E$3143),
Master_Mapping_Sheet!$B$2:$B$3143=$A20))), 0, sum(filter(
Master_Mapping_Sheet!$E$2:$E$3143, ISNUMBER(
Master_Mapping_Sheet!$E$2:$E$3143),
Master_Mapping_Sheet!$H$2:$H$3143=H$1,
Master_Mapping_Sheet!$B$2:$B$3143=$A20))/sum(filter(
Maste"&amp;"r_Mapping_Sheet!$E$2:$E$3143, ISNUMBER(
Master_Mapping_Sheet!$E$2:$E$3143),
Master_Mapping_Sheet!$B$2:$B$3143=$A20)))"),0.8113722462688705)</f>
        <v>0.8113722463</v>
      </c>
      <c r="I20" s="34">
        <f>IFERROR(__xludf.DUMMYFUNCTION("IF(ISNA(sum(filter(
Master_Mapping_Sheet!$E$2:$E$3143, ISNUMBER(
Master_Mapping_Sheet!$E$2:$E$3143),
Master_Mapping_Sheet!$H$2:$H$3143=I$1,
Master_Mapping_Sheet!$B$2:$B$3143=$A20))/sum(filter(
Master_Mapping_Sheet!$E$2:$E$3143, ISNUMBER(
Master_Mapping_Sh"&amp;"eet!$E$2:$E$3143),
Master_Mapping_Sheet!$B$2:$B$3143=$A20))), 0, sum(filter(
Master_Mapping_Sheet!$E$2:$E$3143, ISNUMBER(
Master_Mapping_Sheet!$E$2:$E$3143),
Master_Mapping_Sheet!$H$2:$H$3143=I$1,
Master_Mapping_Sheet!$B$2:$B$3143=$A20))/sum(filter(
Maste"&amp;"r_Mapping_Sheet!$E$2:$E$3143, ISNUMBER(
Master_Mapping_Sheet!$E$2:$E$3143),
Master_Mapping_Sheet!$B$2:$B$3143=$A20)))"),0.0)</f>
        <v>0</v>
      </c>
      <c r="J20" s="34">
        <f>IFERROR(__xludf.DUMMYFUNCTION("IF(ISNA(sum(filter(
Master_Mapping_Sheet!$E$2:$E$3143, ISNUMBER(
Master_Mapping_Sheet!$E$2:$E$3143),
Master_Mapping_Sheet!$H$2:$H$3143=J$1,
Master_Mapping_Sheet!$B$2:$B$3143=$A20))/sum(filter(
Master_Mapping_Sheet!$E$2:$E$3143, ISNUMBER(
Master_Mapping_Sh"&amp;"eet!$E$2:$E$3143),
Master_Mapping_Sheet!$B$2:$B$3143=$A20))), 0, sum(filter(
Master_Mapping_Sheet!$E$2:$E$3143, ISNUMBER(
Master_Mapping_Sheet!$E$2:$E$3143),
Master_Mapping_Sheet!$H$2:$H$3143=J$1,
Master_Mapping_Sheet!$B$2:$B$3143=$A20))/sum(filter(
Maste"&amp;"r_Mapping_Sheet!$E$2:$E$3143, ISNUMBER(
Master_Mapping_Sheet!$E$2:$E$3143),
Master_Mapping_Sheet!$B$2:$B$3143=$A20)))"),0.0)</f>
        <v>0</v>
      </c>
      <c r="K20" s="34">
        <f>IFERROR(__xludf.DUMMYFUNCTION("IF(ISNA(sum(filter(
Master_Mapping_Sheet!$E$2:$E$3143, ISNUMBER(
Master_Mapping_Sheet!$E$2:$E$3143),
Master_Mapping_Sheet!$H$2:$H$3143=K$1,
Master_Mapping_Sheet!$B$2:$B$3143=$A20))/sum(filter(
Master_Mapping_Sheet!$E$2:$E$3143, ISNUMBER(
Master_Mapping_Sh"&amp;"eet!$E$2:$E$3143),
Master_Mapping_Sheet!$B$2:$B$3143=$A20))), 0, sum(filter(
Master_Mapping_Sheet!$E$2:$E$3143, ISNUMBER(
Master_Mapping_Sheet!$E$2:$E$3143),
Master_Mapping_Sheet!$H$2:$H$3143=K$1,
Master_Mapping_Sheet!$B$2:$B$3143=$A20))/sum(filter(
Maste"&amp;"r_Mapping_Sheet!$E$2:$E$3143, ISNUMBER(
Master_Mapping_Sheet!$E$2:$E$3143),
Master_Mapping_Sheet!$B$2:$B$3143=$A20)))"),0.0)</f>
        <v>0</v>
      </c>
      <c r="L20" s="34">
        <f>IFERROR(__xludf.DUMMYFUNCTION("IF(ISNA(sum(filter(
Master_Mapping_Sheet!$E$2:$E$3143, ISNUMBER(
Master_Mapping_Sheet!$E$2:$E$3143),
Master_Mapping_Sheet!$H$2:$H$3143=L$1,
Master_Mapping_Sheet!$B$2:$B$3143=$A20))/sum(filter(
Master_Mapping_Sheet!$E$2:$E$3143, ISNUMBER(
Master_Mapping_Sh"&amp;"eet!$E$2:$E$3143),
Master_Mapping_Sheet!$B$2:$B$3143=$A20))), 0, sum(filter(
Master_Mapping_Sheet!$E$2:$E$3143, ISNUMBER(
Master_Mapping_Sheet!$E$2:$E$3143),
Master_Mapping_Sheet!$H$2:$H$3143=L$1,
Master_Mapping_Sheet!$B$2:$B$3143=$A20))/sum(filter(
Maste"&amp;"r_Mapping_Sheet!$E$2:$E$3143, ISNUMBER(
Master_Mapping_Sheet!$E$2:$E$3143),
Master_Mapping_Sheet!$B$2:$B$3143=$A20)))"),0.0)</f>
        <v>0</v>
      </c>
      <c r="M20" s="34">
        <f>IFERROR(__xludf.DUMMYFUNCTION("IF(ISNA(sum(filter(
Master_Mapping_Sheet!$E$2:$E$3143, ISNUMBER(
Master_Mapping_Sheet!$E$2:$E$3143),
Master_Mapping_Sheet!$H$2:$H$3143=M$1,
Master_Mapping_Sheet!$B$2:$B$3143=$A20))/sum(filter(
Master_Mapping_Sheet!$E$2:$E$3143, ISNUMBER(
Master_Mapping_Sh"&amp;"eet!$E$2:$E$3143),
Master_Mapping_Sheet!$B$2:$B$3143=$A20))), 0, sum(filter(
Master_Mapping_Sheet!$E$2:$E$3143, ISNUMBER(
Master_Mapping_Sheet!$E$2:$E$3143),
Master_Mapping_Sheet!$H$2:$H$3143=M$1,
Master_Mapping_Sheet!$B$2:$B$3143=$A20))/sum(filter(
Maste"&amp;"r_Mapping_Sheet!$E$2:$E$3143, ISNUMBER(
Master_Mapping_Sheet!$E$2:$E$3143),
Master_Mapping_Sheet!$B$2:$B$3143=$A20)))"),0.0)</f>
        <v>0</v>
      </c>
      <c r="N20" s="34">
        <f>IFERROR(__xludf.DUMMYFUNCTION("IF(ISNA(sum(filter(
Master_Mapping_Sheet!$E$2:$E$3143, ISNUMBER(
Master_Mapping_Sheet!$E$2:$E$3143),
Master_Mapping_Sheet!$H$2:$H$3143=N$1,
Master_Mapping_Sheet!$B$2:$B$3143=$A20))/sum(filter(
Master_Mapping_Sheet!$E$2:$E$3143, ISNUMBER(
Master_Mapping_Sh"&amp;"eet!$E$2:$E$3143),
Master_Mapping_Sheet!$B$2:$B$3143=$A20))), 0, sum(filter(
Master_Mapping_Sheet!$E$2:$E$3143, ISNUMBER(
Master_Mapping_Sheet!$E$2:$E$3143),
Master_Mapping_Sheet!$H$2:$H$3143=N$1,
Master_Mapping_Sheet!$B$2:$B$3143=$A20))/sum(filter(
Maste"&amp;"r_Mapping_Sheet!$E$2:$E$3143, ISNUMBER(
Master_Mapping_Sheet!$E$2:$E$3143),
Master_Mapping_Sheet!$B$2:$B$3143=$A20)))"),0.0)</f>
        <v>0</v>
      </c>
      <c r="O20" s="34">
        <f>IFERROR(__xludf.DUMMYFUNCTION("IF(ISNA(sum(filter(
Master_Mapping_Sheet!$E$2:$E$3143, ISNUMBER(
Master_Mapping_Sheet!$E$2:$E$3143),
Master_Mapping_Sheet!$H$2:$H$3143=O$1,
Master_Mapping_Sheet!$B$2:$B$3143=$A20))/sum(filter(
Master_Mapping_Sheet!$E$2:$E$3143, ISNUMBER(
Master_Mapping_Sh"&amp;"eet!$E$2:$E$3143),
Master_Mapping_Sheet!$B$2:$B$3143=$A20))), 0, sum(filter(
Master_Mapping_Sheet!$E$2:$E$3143, ISNUMBER(
Master_Mapping_Sheet!$E$2:$E$3143),
Master_Mapping_Sheet!$H$2:$H$3143=O$1,
Master_Mapping_Sheet!$B$2:$B$3143=$A20))/sum(filter(
Maste"&amp;"r_Mapping_Sheet!$E$2:$E$3143, ISNUMBER(
Master_Mapping_Sheet!$E$2:$E$3143),
Master_Mapping_Sheet!$B$2:$B$3143=$A20)))"),0.0)</f>
        <v>0</v>
      </c>
      <c r="P20" s="34">
        <f>IFERROR(__xludf.DUMMYFUNCTION("IF(ISNA(sum(filter(
Master_Mapping_Sheet!$E$2:$E$3143, ISNUMBER(
Master_Mapping_Sheet!$E$2:$E$3143),
Master_Mapping_Sheet!$H$2:$H$3143=P$1,
Master_Mapping_Sheet!$B$2:$B$3143=$A20))/sum(filter(
Master_Mapping_Sheet!$E$2:$E$3143, ISNUMBER(
Master_Mapping_Sh"&amp;"eet!$E$2:$E$3143),
Master_Mapping_Sheet!$B$2:$B$3143=$A20))), 0, sum(filter(
Master_Mapping_Sheet!$E$2:$E$3143, ISNUMBER(
Master_Mapping_Sheet!$E$2:$E$3143),
Master_Mapping_Sheet!$H$2:$H$3143=P$1,
Master_Mapping_Sheet!$B$2:$B$3143=$A20))/sum(filter(
Maste"&amp;"r_Mapping_Sheet!$E$2:$E$3143, ISNUMBER(
Master_Mapping_Sheet!$E$2:$E$3143),
Master_Mapping_Sheet!$B$2:$B$3143=$A20)))"),0.0)</f>
        <v>0</v>
      </c>
      <c r="Q20" s="34">
        <f>IFERROR(__xludf.DUMMYFUNCTION("IF(ISNA(sum(filter(
Master_Mapping_Sheet!$E$2:$E$3143, ISNUMBER(
Master_Mapping_Sheet!$E$2:$E$3143),
Master_Mapping_Sheet!$H$2:$H$3143=Q$1,
Master_Mapping_Sheet!$B$2:$B$3143=$A20))/sum(filter(
Master_Mapping_Sheet!$E$2:$E$3143, ISNUMBER(
Master_Mapping_Sh"&amp;"eet!$E$2:$E$3143),
Master_Mapping_Sheet!$B$2:$B$3143=$A20))), 0, sum(filter(
Master_Mapping_Sheet!$E$2:$E$3143, ISNUMBER(
Master_Mapping_Sheet!$E$2:$E$3143),
Master_Mapping_Sheet!$H$2:$H$3143=Q$1,
Master_Mapping_Sheet!$B$2:$B$3143=$A20))/sum(filter(
Maste"&amp;"r_Mapping_Sheet!$E$2:$E$3143, ISNUMBER(
Master_Mapping_Sheet!$E$2:$E$3143),
Master_Mapping_Sheet!$B$2:$B$3143=$A20)))"),0.0)</f>
        <v>0</v>
      </c>
      <c r="R20" s="34">
        <f>IFERROR(__xludf.DUMMYFUNCTION("IF(ISNA(sum(filter(
Master_Mapping_Sheet!$E$2:$E$3143, ISNUMBER(
Master_Mapping_Sheet!$E$2:$E$3143),
Master_Mapping_Sheet!$H$2:$H$3143=R$1,
Master_Mapping_Sheet!$B$2:$B$3143=$A20))/sum(filter(
Master_Mapping_Sheet!$E$2:$E$3143, ISNUMBER(
Master_Mapping_Sh"&amp;"eet!$E$2:$E$3143),
Master_Mapping_Sheet!$B$2:$B$3143=$A20))), 0, sum(filter(
Master_Mapping_Sheet!$E$2:$E$3143, ISNUMBER(
Master_Mapping_Sheet!$E$2:$E$3143),
Master_Mapping_Sheet!$H$2:$H$3143=R$1,
Master_Mapping_Sheet!$B$2:$B$3143=$A20))/sum(filter(
Maste"&amp;"r_Mapping_Sheet!$E$2:$E$3143, ISNUMBER(
Master_Mapping_Sheet!$E$2:$E$3143),
Master_Mapping_Sheet!$B$2:$B$3143=$A20)))"),0.0)</f>
        <v>0</v>
      </c>
      <c r="S20" s="34">
        <f>IFERROR(__xludf.DUMMYFUNCTION("IF(ISNA(sum(filter(
Master_Mapping_Sheet!$E$2:$E$3143, ISNUMBER(
Master_Mapping_Sheet!$E$2:$E$3143),
Master_Mapping_Sheet!$H$2:$H$3143=S$1,
Master_Mapping_Sheet!$B$2:$B$3143=$A20))/sum(filter(
Master_Mapping_Sheet!$E$2:$E$3143, ISNUMBER(
Master_Mapping_Sh"&amp;"eet!$E$2:$E$3143),
Master_Mapping_Sheet!$B$2:$B$3143=$A20))), 0, sum(filter(
Master_Mapping_Sheet!$E$2:$E$3143, ISNUMBER(
Master_Mapping_Sheet!$E$2:$E$3143),
Master_Mapping_Sheet!$H$2:$H$3143=S$1,
Master_Mapping_Sheet!$B$2:$B$3143=$A20))/sum(filter(
Maste"&amp;"r_Mapping_Sheet!$E$2:$E$3143, ISNUMBER(
Master_Mapping_Sheet!$E$2:$E$3143),
Master_Mapping_Sheet!$B$2:$B$3143=$A20)))"),0.18862775373112953)</f>
        <v>0.1886277537</v>
      </c>
      <c r="T20" s="34">
        <f>IFERROR(__xludf.DUMMYFUNCTION("IF(ISNA(sum(filter(
Master_Mapping_Sheet!$E$2:$E$3143, ISNUMBER(
Master_Mapping_Sheet!$E$2:$E$3143),
Master_Mapping_Sheet!$H$2:$H$3143=T$1,
Master_Mapping_Sheet!$B$2:$B$3143=$A20))/sum(filter(
Master_Mapping_Sheet!$E$2:$E$3143, ISNUMBER(
Master_Mapping_Sh"&amp;"eet!$E$2:$E$3143),
Master_Mapping_Sheet!$B$2:$B$3143=$A20))), 0, sum(filter(
Master_Mapping_Sheet!$E$2:$E$3143, ISNUMBER(
Master_Mapping_Sheet!$E$2:$E$3143),
Master_Mapping_Sheet!$H$2:$H$3143=T$1,
Master_Mapping_Sheet!$B$2:$B$3143=$A20))/sum(filter(
Maste"&amp;"r_Mapping_Sheet!$E$2:$E$3143, ISNUMBER(
Master_Mapping_Sheet!$E$2:$E$3143),
Master_Mapping_Sheet!$B$2:$B$3143=$A20)))"),0.0)</f>
        <v>0</v>
      </c>
      <c r="U20" s="34">
        <f>IFERROR(__xludf.DUMMYFUNCTION("IF(ISNA(sum(filter(
Master_Mapping_Sheet!$E$2:$E$3143, ISNUMBER(
Master_Mapping_Sheet!$E$2:$E$3143),
Master_Mapping_Sheet!$H$2:$H$3143=U$1,
Master_Mapping_Sheet!$B$2:$B$3143=$A20))/sum(filter(
Master_Mapping_Sheet!$E$2:$E$3143, ISNUMBER(
Master_Mapping_Sh"&amp;"eet!$E$2:$E$3143),
Master_Mapping_Sheet!$B$2:$B$3143=$A20))), 0, sum(filter(
Master_Mapping_Sheet!$E$2:$E$3143, ISNUMBER(
Master_Mapping_Sheet!$E$2:$E$3143),
Master_Mapping_Sheet!$H$2:$H$3143=U$1,
Master_Mapping_Sheet!$B$2:$B$3143=$A20))/sum(filter(
Maste"&amp;"r_Mapping_Sheet!$E$2:$E$3143, ISNUMBER(
Master_Mapping_Sheet!$E$2:$E$3143),
Master_Mapping_Sheet!$B$2:$B$3143=$A20)))"),0.0)</f>
        <v>0</v>
      </c>
      <c r="V20" s="34">
        <f>IFERROR(__xludf.DUMMYFUNCTION("IF(ISNA(sum(filter(
Master_Mapping_Sheet!$E$2:$E$3143, ISNUMBER(
Master_Mapping_Sheet!$E$2:$E$3143),
Master_Mapping_Sheet!$H$2:$H$3143=V$1,
Master_Mapping_Sheet!$B$2:$B$3143=$A20))/sum(filter(
Master_Mapping_Sheet!$E$2:$E$3143, ISNUMBER(
Master_Mapping_Sh"&amp;"eet!$E$2:$E$3143),
Master_Mapping_Sheet!$B$2:$B$3143=$A20))), 0, sum(filter(
Master_Mapping_Sheet!$E$2:$E$3143, ISNUMBER(
Master_Mapping_Sheet!$E$2:$E$3143),
Master_Mapping_Sheet!$H$2:$H$3143=V$1,
Master_Mapping_Sheet!$B$2:$B$3143=$A20))/sum(filter(
Maste"&amp;"r_Mapping_Sheet!$E$2:$E$3143, ISNUMBER(
Master_Mapping_Sheet!$E$2:$E$3143),
Master_Mapping_Sheet!$B$2:$B$3143=$A20)))"),0.0)</f>
        <v>0</v>
      </c>
      <c r="W20" s="34">
        <f>IFERROR(__xludf.DUMMYFUNCTION("IF(ISNA(sum(filter(
Master_Mapping_Sheet!$E$2:$E$3143, ISNUMBER(
Master_Mapping_Sheet!$E$2:$E$3143),
Master_Mapping_Sheet!$H$2:$H$3143=W$1,
Master_Mapping_Sheet!$B$2:$B$3143=$A20))/sum(filter(
Master_Mapping_Sheet!$E$2:$E$3143, ISNUMBER(
Master_Mapping_Sh"&amp;"eet!$E$2:$E$3143),
Master_Mapping_Sheet!$B$2:$B$3143=$A20))), 0, sum(filter(
Master_Mapping_Sheet!$E$2:$E$3143, ISNUMBER(
Master_Mapping_Sheet!$E$2:$E$3143),
Master_Mapping_Sheet!$H$2:$H$3143=W$1,
Master_Mapping_Sheet!$B$2:$B$3143=$A20))/sum(filter(
Maste"&amp;"r_Mapping_Sheet!$E$2:$E$3143, ISNUMBER(
Master_Mapping_Sheet!$E$2:$E$3143),
Master_Mapping_Sheet!$B$2:$B$3143=$A20)))"),0.0)</f>
        <v>0</v>
      </c>
      <c r="X20" s="34">
        <f>IFERROR(__xludf.DUMMYFUNCTION("IF(ISNA(sum(filter(
Master_Mapping_Sheet!$E$2:$E$3143, ISNUMBER(
Master_Mapping_Sheet!$E$2:$E$3143),
Master_Mapping_Sheet!$H$2:$H$3143=X$1,
Master_Mapping_Sheet!$B$2:$B$3143=$A20))/sum(filter(
Master_Mapping_Sheet!$E$2:$E$3143, ISNUMBER(
Master_Mapping_Sh"&amp;"eet!$E$2:$E$3143),
Master_Mapping_Sheet!$B$2:$B$3143=$A20))), 0, sum(filter(
Master_Mapping_Sheet!$E$2:$E$3143, ISNUMBER(
Master_Mapping_Sheet!$E$2:$E$3143),
Master_Mapping_Sheet!$H$2:$H$3143=X$1,
Master_Mapping_Sheet!$B$2:$B$3143=$A20))/sum(filter(
Maste"&amp;"r_Mapping_Sheet!$E$2:$E$3143, ISNUMBER(
Master_Mapping_Sheet!$E$2:$E$3143),
Master_Mapping_Sheet!$B$2:$B$3143=$A20)))"),0.0)</f>
        <v>0</v>
      </c>
      <c r="Y20" s="34">
        <f>IFERROR(__xludf.DUMMYFUNCTION("IF(ISNA(sum(filter(
Master_Mapping_Sheet!$E$2:$E$3143, ISNUMBER(
Master_Mapping_Sheet!$E$2:$E$3143),
Master_Mapping_Sheet!$H$2:$H$3143=Y$1,
Master_Mapping_Sheet!$B$2:$B$3143=$A20))/sum(filter(
Master_Mapping_Sheet!$E$2:$E$3143, ISNUMBER(
Master_Mapping_Sh"&amp;"eet!$E$2:$E$3143),
Master_Mapping_Sheet!$B$2:$B$3143=$A20))), 0, sum(filter(
Master_Mapping_Sheet!$E$2:$E$3143, ISNUMBER(
Master_Mapping_Sheet!$E$2:$E$3143),
Master_Mapping_Sheet!$H$2:$H$3143=Y$1,
Master_Mapping_Sheet!$B$2:$B$3143=$A20))/sum(filter(
Maste"&amp;"r_Mapping_Sheet!$E$2:$E$3143, ISNUMBER(
Master_Mapping_Sheet!$E$2:$E$3143),
Master_Mapping_Sheet!$B$2:$B$3143=$A20)))"),0.0)</f>
        <v>0</v>
      </c>
      <c r="Z20" s="34">
        <f>IFERROR(__xludf.DUMMYFUNCTION("IF(ISNA(sum(filter(
Master_Mapping_Sheet!$E$2:$E$3143, ISNUMBER(
Master_Mapping_Sheet!$E$2:$E$3143),
Master_Mapping_Sheet!$H$2:$H$3143=Z$1,
Master_Mapping_Sheet!$B$2:$B$3143=$A20))/sum(filter(
Master_Mapping_Sheet!$E$2:$E$3143, ISNUMBER(
Master_Mapping_Sh"&amp;"eet!$E$2:$E$3143),
Master_Mapping_Sheet!$B$2:$B$3143=$A20))), 0, sum(filter(
Master_Mapping_Sheet!$E$2:$E$3143, ISNUMBER(
Master_Mapping_Sheet!$E$2:$E$3143),
Master_Mapping_Sheet!$H$2:$H$3143=Z$1,
Master_Mapping_Sheet!$B$2:$B$3143=$A20))/sum(filter(
Maste"&amp;"r_Mapping_Sheet!$E$2:$E$3143, ISNUMBER(
Master_Mapping_Sheet!$E$2:$E$3143),
Master_Mapping_Sheet!$B$2:$B$3143=$A20)))"),0.0)</f>
        <v>0</v>
      </c>
      <c r="AA20" s="34">
        <f>IFERROR(__xludf.DUMMYFUNCTION("IF(ISNA(sum(filter(
Master_Mapping_Sheet!$E$2:$E$3143, ISNUMBER(
Master_Mapping_Sheet!$E$2:$E$3143),
Master_Mapping_Sheet!$H$2:$H$3143=AA$1,
Master_Mapping_Sheet!$B$2:$B$3143=$A20))/sum(filter(
Master_Mapping_Sheet!$E$2:$E$3143, ISNUMBER(
Master_Mapping_S"&amp;"heet!$E$2:$E$3143),
Master_Mapping_Sheet!$B$2:$B$3143=$A20))), 0, sum(filter(
Master_Mapping_Sheet!$E$2:$E$3143, ISNUMBER(
Master_Mapping_Sheet!$E$2:$E$3143),
Master_Mapping_Sheet!$H$2:$H$3143=AA$1,
Master_Mapping_Sheet!$B$2:$B$3143=$A20))/sum(filter(
Mas"&amp;"ter_Mapping_Sheet!$E$2:$E$3143, ISNUMBER(
Master_Mapping_Sheet!$E$2:$E$3143),
Master_Mapping_Sheet!$B$2:$B$3143=$A20)))"),0.0)</f>
        <v>0</v>
      </c>
    </row>
    <row r="21" ht="15.75" customHeight="1">
      <c r="A21" s="34" t="s">
        <v>923</v>
      </c>
      <c r="B21" s="34" t="s">
        <v>2790</v>
      </c>
      <c r="C21" s="34">
        <f>IFERROR(__xludf.DUMMYFUNCTION("IF(ISNA(sum(filter(
Master_Mapping_Sheet!$E$2:$E$3143, ISNUMBER(
Master_Mapping_Sheet!$E$2:$E$3143),
Master_Mapping_Sheet!$H$2:$H$3143=C$1,
Master_Mapping_Sheet!$B$2:$B$3143=$A21))/sum(filter(
Master_Mapping_Sheet!$E$2:$E$3143, ISNUMBER(
Master_Mapping_Sh"&amp;"eet!$E$2:$E$3143),
Master_Mapping_Sheet!$B$2:$B$3143=$A21))), 0, sum(filter(
Master_Mapping_Sheet!$E$2:$E$3143, ISNUMBER(
Master_Mapping_Sheet!$E$2:$E$3143),
Master_Mapping_Sheet!$H$2:$H$3143=C$1,
Master_Mapping_Sheet!$B$2:$B$3143=$A21))/sum(filter(
Maste"&amp;"r_Mapping_Sheet!$E$2:$E$3143, ISNUMBER(
Master_Mapping_Sheet!$E$2:$E$3143),
Master_Mapping_Sheet!$B$2:$B$3143=$A21)))"),0.0)</f>
        <v>0</v>
      </c>
      <c r="D21" s="32">
        <f>IFERROR(__xludf.DUMMYFUNCTION("IF(ISNA(sum(filter(
Master_Mapping_Sheet!$E$2:$E$3143, ISNUMBER(
Master_Mapping_Sheet!$E$2:$E$3143),
Master_Mapping_Sheet!$H$2:$H$3143=D$1,
Master_Mapping_Sheet!$B$2:$B$3143=$A21))/sum(filter(
Master_Mapping_Sheet!$E$2:$E$3143, ISNUMBER(
Master_Mapping_Sh"&amp;"eet!$E$2:$E$3143),
Master_Mapping_Sheet!$B$2:$B$3143=$A21))), 0, sum(filter(
Master_Mapping_Sheet!$E$2:$E$3143, ISNUMBER(
Master_Mapping_Sheet!$E$2:$E$3143),
Master_Mapping_Sheet!$H$2:$H$3143=D$1,
Master_Mapping_Sheet!$B$2:$B$3143=$A21))/sum(filter(
Maste"&amp;"r_Mapping_Sheet!$E$2:$E$3143, ISNUMBER(
Master_Mapping_Sheet!$E$2:$E$3143),
Master_Mapping_Sheet!$B$2:$B$3143=$A21)))"),0.0)</f>
        <v>0</v>
      </c>
      <c r="E21" s="34">
        <f>IFERROR(__xludf.DUMMYFUNCTION("IF(ISNA(sum(filter(
Master_Mapping_Sheet!$E$2:$E$3143, ISNUMBER(
Master_Mapping_Sheet!$E$2:$E$3143),
Master_Mapping_Sheet!$H$2:$H$3143=E$1,
Master_Mapping_Sheet!$B$2:$B$3143=$A21))/sum(filter(
Master_Mapping_Sheet!$E$2:$E$3143, ISNUMBER(
Master_Mapping_Sh"&amp;"eet!$E$2:$E$3143),
Master_Mapping_Sheet!$B$2:$B$3143=$A21))), 0, sum(filter(
Master_Mapping_Sheet!$E$2:$E$3143, ISNUMBER(
Master_Mapping_Sheet!$E$2:$E$3143),
Master_Mapping_Sheet!$H$2:$H$3143=E$1,
Master_Mapping_Sheet!$B$2:$B$3143=$A21))/sum(filter(
Maste"&amp;"r_Mapping_Sheet!$E$2:$E$3143, ISNUMBER(
Master_Mapping_Sheet!$E$2:$E$3143),
Master_Mapping_Sheet!$B$2:$B$3143=$A21)))"),0.0)</f>
        <v>0</v>
      </c>
      <c r="F21" s="34">
        <f>IFERROR(__xludf.DUMMYFUNCTION("IF(ISNA(sum(filter(
Master_Mapping_Sheet!$E$2:$E$3143, ISNUMBER(
Master_Mapping_Sheet!$E$2:$E$3143),
Master_Mapping_Sheet!$H$2:$H$3143=F$1,
Master_Mapping_Sheet!$B$2:$B$3143=$A21))/sum(filter(
Master_Mapping_Sheet!$E$2:$E$3143, ISNUMBER(
Master_Mapping_Sh"&amp;"eet!$E$2:$E$3143),
Master_Mapping_Sheet!$B$2:$B$3143=$A21))), 0, sum(filter(
Master_Mapping_Sheet!$E$2:$E$3143, ISNUMBER(
Master_Mapping_Sheet!$E$2:$E$3143),
Master_Mapping_Sheet!$H$2:$H$3143=F$1,
Master_Mapping_Sheet!$B$2:$B$3143=$A21))/sum(filter(
Maste"&amp;"r_Mapping_Sheet!$E$2:$E$3143, ISNUMBER(
Master_Mapping_Sheet!$E$2:$E$3143),
Master_Mapping_Sheet!$B$2:$B$3143=$A21)))"),0.0)</f>
        <v>0</v>
      </c>
      <c r="G21" s="34">
        <f>IFERROR(__xludf.DUMMYFUNCTION("IF(ISNA(sum(filter(
Master_Mapping_Sheet!$E$2:$E$3143, ISNUMBER(
Master_Mapping_Sheet!$E$2:$E$3143),
Master_Mapping_Sheet!$H$2:$H$3143=G$1,
Master_Mapping_Sheet!$B$2:$B$3143=$A21))/sum(filter(
Master_Mapping_Sheet!$E$2:$E$3143, ISNUMBER(
Master_Mapping_Sh"&amp;"eet!$E$2:$E$3143),
Master_Mapping_Sheet!$B$2:$B$3143=$A21))), 0, sum(filter(
Master_Mapping_Sheet!$E$2:$E$3143, ISNUMBER(
Master_Mapping_Sheet!$E$2:$E$3143),
Master_Mapping_Sheet!$H$2:$H$3143=G$1,
Master_Mapping_Sheet!$B$2:$B$3143=$A21))/sum(filter(
Maste"&amp;"r_Mapping_Sheet!$E$2:$E$3143, ISNUMBER(
Master_Mapping_Sheet!$E$2:$E$3143),
Master_Mapping_Sheet!$B$2:$B$3143=$A21)))"),0.0)</f>
        <v>0</v>
      </c>
      <c r="H21" s="34">
        <f>IFERROR(__xludf.DUMMYFUNCTION("IF(ISNA(sum(filter(
Master_Mapping_Sheet!$E$2:$E$3143, ISNUMBER(
Master_Mapping_Sheet!$E$2:$E$3143),
Master_Mapping_Sheet!$H$2:$H$3143=H$1,
Master_Mapping_Sheet!$B$2:$B$3143=$A21))/sum(filter(
Master_Mapping_Sheet!$E$2:$E$3143, ISNUMBER(
Master_Mapping_Sh"&amp;"eet!$E$2:$E$3143),
Master_Mapping_Sheet!$B$2:$B$3143=$A21))), 0, sum(filter(
Master_Mapping_Sheet!$E$2:$E$3143, ISNUMBER(
Master_Mapping_Sheet!$E$2:$E$3143),
Master_Mapping_Sheet!$H$2:$H$3143=H$1,
Master_Mapping_Sheet!$B$2:$B$3143=$A21))/sum(filter(
Maste"&amp;"r_Mapping_Sheet!$E$2:$E$3143, ISNUMBER(
Master_Mapping_Sheet!$E$2:$E$3143),
Master_Mapping_Sheet!$B$2:$B$3143=$A21)))"),0.0)</f>
        <v>0</v>
      </c>
      <c r="I21" s="34">
        <f>IFERROR(__xludf.DUMMYFUNCTION("IF(ISNA(sum(filter(
Master_Mapping_Sheet!$E$2:$E$3143, ISNUMBER(
Master_Mapping_Sheet!$E$2:$E$3143),
Master_Mapping_Sheet!$H$2:$H$3143=I$1,
Master_Mapping_Sheet!$B$2:$B$3143=$A21))/sum(filter(
Master_Mapping_Sheet!$E$2:$E$3143, ISNUMBER(
Master_Mapping_Sh"&amp;"eet!$E$2:$E$3143),
Master_Mapping_Sheet!$B$2:$B$3143=$A21))), 0, sum(filter(
Master_Mapping_Sheet!$E$2:$E$3143, ISNUMBER(
Master_Mapping_Sheet!$E$2:$E$3143),
Master_Mapping_Sheet!$H$2:$H$3143=I$1,
Master_Mapping_Sheet!$B$2:$B$3143=$A21))/sum(filter(
Maste"&amp;"r_Mapping_Sheet!$E$2:$E$3143, ISNUMBER(
Master_Mapping_Sheet!$E$2:$E$3143),
Master_Mapping_Sheet!$B$2:$B$3143=$A21)))"),1.0)</f>
        <v>1</v>
      </c>
      <c r="J21" s="34">
        <f>IFERROR(__xludf.DUMMYFUNCTION("IF(ISNA(sum(filter(
Master_Mapping_Sheet!$E$2:$E$3143, ISNUMBER(
Master_Mapping_Sheet!$E$2:$E$3143),
Master_Mapping_Sheet!$H$2:$H$3143=J$1,
Master_Mapping_Sheet!$B$2:$B$3143=$A21))/sum(filter(
Master_Mapping_Sheet!$E$2:$E$3143, ISNUMBER(
Master_Mapping_Sh"&amp;"eet!$E$2:$E$3143),
Master_Mapping_Sheet!$B$2:$B$3143=$A21))), 0, sum(filter(
Master_Mapping_Sheet!$E$2:$E$3143, ISNUMBER(
Master_Mapping_Sheet!$E$2:$E$3143),
Master_Mapping_Sheet!$H$2:$H$3143=J$1,
Master_Mapping_Sheet!$B$2:$B$3143=$A21))/sum(filter(
Maste"&amp;"r_Mapping_Sheet!$E$2:$E$3143, ISNUMBER(
Master_Mapping_Sheet!$E$2:$E$3143),
Master_Mapping_Sheet!$B$2:$B$3143=$A21)))"),0.0)</f>
        <v>0</v>
      </c>
      <c r="K21" s="34">
        <f>IFERROR(__xludf.DUMMYFUNCTION("IF(ISNA(sum(filter(
Master_Mapping_Sheet!$E$2:$E$3143, ISNUMBER(
Master_Mapping_Sheet!$E$2:$E$3143),
Master_Mapping_Sheet!$H$2:$H$3143=K$1,
Master_Mapping_Sheet!$B$2:$B$3143=$A21))/sum(filter(
Master_Mapping_Sheet!$E$2:$E$3143, ISNUMBER(
Master_Mapping_Sh"&amp;"eet!$E$2:$E$3143),
Master_Mapping_Sheet!$B$2:$B$3143=$A21))), 0, sum(filter(
Master_Mapping_Sheet!$E$2:$E$3143, ISNUMBER(
Master_Mapping_Sheet!$E$2:$E$3143),
Master_Mapping_Sheet!$H$2:$H$3143=K$1,
Master_Mapping_Sheet!$B$2:$B$3143=$A21))/sum(filter(
Maste"&amp;"r_Mapping_Sheet!$E$2:$E$3143, ISNUMBER(
Master_Mapping_Sheet!$E$2:$E$3143),
Master_Mapping_Sheet!$B$2:$B$3143=$A21)))"),0.0)</f>
        <v>0</v>
      </c>
      <c r="L21" s="34">
        <f>IFERROR(__xludf.DUMMYFUNCTION("IF(ISNA(sum(filter(
Master_Mapping_Sheet!$E$2:$E$3143, ISNUMBER(
Master_Mapping_Sheet!$E$2:$E$3143),
Master_Mapping_Sheet!$H$2:$H$3143=L$1,
Master_Mapping_Sheet!$B$2:$B$3143=$A21))/sum(filter(
Master_Mapping_Sheet!$E$2:$E$3143, ISNUMBER(
Master_Mapping_Sh"&amp;"eet!$E$2:$E$3143),
Master_Mapping_Sheet!$B$2:$B$3143=$A21))), 0, sum(filter(
Master_Mapping_Sheet!$E$2:$E$3143, ISNUMBER(
Master_Mapping_Sheet!$E$2:$E$3143),
Master_Mapping_Sheet!$H$2:$H$3143=L$1,
Master_Mapping_Sheet!$B$2:$B$3143=$A21))/sum(filter(
Maste"&amp;"r_Mapping_Sheet!$E$2:$E$3143, ISNUMBER(
Master_Mapping_Sheet!$E$2:$E$3143),
Master_Mapping_Sheet!$B$2:$B$3143=$A21)))"),0.0)</f>
        <v>0</v>
      </c>
      <c r="M21" s="34">
        <f>IFERROR(__xludf.DUMMYFUNCTION("IF(ISNA(sum(filter(
Master_Mapping_Sheet!$E$2:$E$3143, ISNUMBER(
Master_Mapping_Sheet!$E$2:$E$3143),
Master_Mapping_Sheet!$H$2:$H$3143=M$1,
Master_Mapping_Sheet!$B$2:$B$3143=$A21))/sum(filter(
Master_Mapping_Sheet!$E$2:$E$3143, ISNUMBER(
Master_Mapping_Sh"&amp;"eet!$E$2:$E$3143),
Master_Mapping_Sheet!$B$2:$B$3143=$A21))), 0, sum(filter(
Master_Mapping_Sheet!$E$2:$E$3143, ISNUMBER(
Master_Mapping_Sheet!$E$2:$E$3143),
Master_Mapping_Sheet!$H$2:$H$3143=M$1,
Master_Mapping_Sheet!$B$2:$B$3143=$A21))/sum(filter(
Maste"&amp;"r_Mapping_Sheet!$E$2:$E$3143, ISNUMBER(
Master_Mapping_Sheet!$E$2:$E$3143),
Master_Mapping_Sheet!$B$2:$B$3143=$A21)))"),0.0)</f>
        <v>0</v>
      </c>
      <c r="N21" s="34">
        <f>IFERROR(__xludf.DUMMYFUNCTION("IF(ISNA(sum(filter(
Master_Mapping_Sheet!$E$2:$E$3143, ISNUMBER(
Master_Mapping_Sheet!$E$2:$E$3143),
Master_Mapping_Sheet!$H$2:$H$3143=N$1,
Master_Mapping_Sheet!$B$2:$B$3143=$A21))/sum(filter(
Master_Mapping_Sheet!$E$2:$E$3143, ISNUMBER(
Master_Mapping_Sh"&amp;"eet!$E$2:$E$3143),
Master_Mapping_Sheet!$B$2:$B$3143=$A21))), 0, sum(filter(
Master_Mapping_Sheet!$E$2:$E$3143, ISNUMBER(
Master_Mapping_Sheet!$E$2:$E$3143),
Master_Mapping_Sheet!$H$2:$H$3143=N$1,
Master_Mapping_Sheet!$B$2:$B$3143=$A21))/sum(filter(
Maste"&amp;"r_Mapping_Sheet!$E$2:$E$3143, ISNUMBER(
Master_Mapping_Sheet!$E$2:$E$3143),
Master_Mapping_Sheet!$B$2:$B$3143=$A21)))"),0.0)</f>
        <v>0</v>
      </c>
      <c r="O21" s="34">
        <f>IFERROR(__xludf.DUMMYFUNCTION("IF(ISNA(sum(filter(
Master_Mapping_Sheet!$E$2:$E$3143, ISNUMBER(
Master_Mapping_Sheet!$E$2:$E$3143),
Master_Mapping_Sheet!$H$2:$H$3143=O$1,
Master_Mapping_Sheet!$B$2:$B$3143=$A21))/sum(filter(
Master_Mapping_Sheet!$E$2:$E$3143, ISNUMBER(
Master_Mapping_Sh"&amp;"eet!$E$2:$E$3143),
Master_Mapping_Sheet!$B$2:$B$3143=$A21))), 0, sum(filter(
Master_Mapping_Sheet!$E$2:$E$3143, ISNUMBER(
Master_Mapping_Sheet!$E$2:$E$3143),
Master_Mapping_Sheet!$H$2:$H$3143=O$1,
Master_Mapping_Sheet!$B$2:$B$3143=$A21))/sum(filter(
Maste"&amp;"r_Mapping_Sheet!$E$2:$E$3143, ISNUMBER(
Master_Mapping_Sheet!$E$2:$E$3143),
Master_Mapping_Sheet!$B$2:$B$3143=$A21)))"),0.0)</f>
        <v>0</v>
      </c>
      <c r="P21" s="34">
        <f>IFERROR(__xludf.DUMMYFUNCTION("IF(ISNA(sum(filter(
Master_Mapping_Sheet!$E$2:$E$3143, ISNUMBER(
Master_Mapping_Sheet!$E$2:$E$3143),
Master_Mapping_Sheet!$H$2:$H$3143=P$1,
Master_Mapping_Sheet!$B$2:$B$3143=$A21))/sum(filter(
Master_Mapping_Sheet!$E$2:$E$3143, ISNUMBER(
Master_Mapping_Sh"&amp;"eet!$E$2:$E$3143),
Master_Mapping_Sheet!$B$2:$B$3143=$A21))), 0, sum(filter(
Master_Mapping_Sheet!$E$2:$E$3143, ISNUMBER(
Master_Mapping_Sheet!$E$2:$E$3143),
Master_Mapping_Sheet!$H$2:$H$3143=P$1,
Master_Mapping_Sheet!$B$2:$B$3143=$A21))/sum(filter(
Maste"&amp;"r_Mapping_Sheet!$E$2:$E$3143, ISNUMBER(
Master_Mapping_Sheet!$E$2:$E$3143),
Master_Mapping_Sheet!$B$2:$B$3143=$A21)))"),0.0)</f>
        <v>0</v>
      </c>
      <c r="Q21" s="34">
        <f>IFERROR(__xludf.DUMMYFUNCTION("IF(ISNA(sum(filter(
Master_Mapping_Sheet!$E$2:$E$3143, ISNUMBER(
Master_Mapping_Sheet!$E$2:$E$3143),
Master_Mapping_Sheet!$H$2:$H$3143=Q$1,
Master_Mapping_Sheet!$B$2:$B$3143=$A21))/sum(filter(
Master_Mapping_Sheet!$E$2:$E$3143, ISNUMBER(
Master_Mapping_Sh"&amp;"eet!$E$2:$E$3143),
Master_Mapping_Sheet!$B$2:$B$3143=$A21))), 0, sum(filter(
Master_Mapping_Sheet!$E$2:$E$3143, ISNUMBER(
Master_Mapping_Sheet!$E$2:$E$3143),
Master_Mapping_Sheet!$H$2:$H$3143=Q$1,
Master_Mapping_Sheet!$B$2:$B$3143=$A21))/sum(filter(
Maste"&amp;"r_Mapping_Sheet!$E$2:$E$3143, ISNUMBER(
Master_Mapping_Sheet!$E$2:$E$3143),
Master_Mapping_Sheet!$B$2:$B$3143=$A21)))"),0.0)</f>
        <v>0</v>
      </c>
      <c r="R21" s="34">
        <f>IFERROR(__xludf.DUMMYFUNCTION("IF(ISNA(sum(filter(
Master_Mapping_Sheet!$E$2:$E$3143, ISNUMBER(
Master_Mapping_Sheet!$E$2:$E$3143),
Master_Mapping_Sheet!$H$2:$H$3143=R$1,
Master_Mapping_Sheet!$B$2:$B$3143=$A21))/sum(filter(
Master_Mapping_Sheet!$E$2:$E$3143, ISNUMBER(
Master_Mapping_Sh"&amp;"eet!$E$2:$E$3143),
Master_Mapping_Sheet!$B$2:$B$3143=$A21))), 0, sum(filter(
Master_Mapping_Sheet!$E$2:$E$3143, ISNUMBER(
Master_Mapping_Sheet!$E$2:$E$3143),
Master_Mapping_Sheet!$H$2:$H$3143=R$1,
Master_Mapping_Sheet!$B$2:$B$3143=$A21))/sum(filter(
Maste"&amp;"r_Mapping_Sheet!$E$2:$E$3143, ISNUMBER(
Master_Mapping_Sheet!$E$2:$E$3143),
Master_Mapping_Sheet!$B$2:$B$3143=$A21)))"),0.0)</f>
        <v>0</v>
      </c>
      <c r="S21" s="34">
        <f>IFERROR(__xludf.DUMMYFUNCTION("IF(ISNA(sum(filter(
Master_Mapping_Sheet!$E$2:$E$3143, ISNUMBER(
Master_Mapping_Sheet!$E$2:$E$3143),
Master_Mapping_Sheet!$H$2:$H$3143=S$1,
Master_Mapping_Sheet!$B$2:$B$3143=$A21))/sum(filter(
Master_Mapping_Sheet!$E$2:$E$3143, ISNUMBER(
Master_Mapping_Sh"&amp;"eet!$E$2:$E$3143),
Master_Mapping_Sheet!$B$2:$B$3143=$A21))), 0, sum(filter(
Master_Mapping_Sheet!$E$2:$E$3143, ISNUMBER(
Master_Mapping_Sheet!$E$2:$E$3143),
Master_Mapping_Sheet!$H$2:$H$3143=S$1,
Master_Mapping_Sheet!$B$2:$B$3143=$A21))/sum(filter(
Maste"&amp;"r_Mapping_Sheet!$E$2:$E$3143, ISNUMBER(
Master_Mapping_Sheet!$E$2:$E$3143),
Master_Mapping_Sheet!$B$2:$B$3143=$A21)))"),0.0)</f>
        <v>0</v>
      </c>
      <c r="T21" s="34">
        <f>IFERROR(__xludf.DUMMYFUNCTION("IF(ISNA(sum(filter(
Master_Mapping_Sheet!$E$2:$E$3143, ISNUMBER(
Master_Mapping_Sheet!$E$2:$E$3143),
Master_Mapping_Sheet!$H$2:$H$3143=T$1,
Master_Mapping_Sheet!$B$2:$B$3143=$A21))/sum(filter(
Master_Mapping_Sheet!$E$2:$E$3143, ISNUMBER(
Master_Mapping_Sh"&amp;"eet!$E$2:$E$3143),
Master_Mapping_Sheet!$B$2:$B$3143=$A21))), 0, sum(filter(
Master_Mapping_Sheet!$E$2:$E$3143, ISNUMBER(
Master_Mapping_Sheet!$E$2:$E$3143),
Master_Mapping_Sheet!$H$2:$H$3143=T$1,
Master_Mapping_Sheet!$B$2:$B$3143=$A21))/sum(filter(
Maste"&amp;"r_Mapping_Sheet!$E$2:$E$3143, ISNUMBER(
Master_Mapping_Sheet!$E$2:$E$3143),
Master_Mapping_Sheet!$B$2:$B$3143=$A21)))"),0.0)</f>
        <v>0</v>
      </c>
      <c r="U21" s="34">
        <f>IFERROR(__xludf.DUMMYFUNCTION("IF(ISNA(sum(filter(
Master_Mapping_Sheet!$E$2:$E$3143, ISNUMBER(
Master_Mapping_Sheet!$E$2:$E$3143),
Master_Mapping_Sheet!$H$2:$H$3143=U$1,
Master_Mapping_Sheet!$B$2:$B$3143=$A21))/sum(filter(
Master_Mapping_Sheet!$E$2:$E$3143, ISNUMBER(
Master_Mapping_Sh"&amp;"eet!$E$2:$E$3143),
Master_Mapping_Sheet!$B$2:$B$3143=$A21))), 0, sum(filter(
Master_Mapping_Sheet!$E$2:$E$3143, ISNUMBER(
Master_Mapping_Sheet!$E$2:$E$3143),
Master_Mapping_Sheet!$H$2:$H$3143=U$1,
Master_Mapping_Sheet!$B$2:$B$3143=$A21))/sum(filter(
Maste"&amp;"r_Mapping_Sheet!$E$2:$E$3143, ISNUMBER(
Master_Mapping_Sheet!$E$2:$E$3143),
Master_Mapping_Sheet!$B$2:$B$3143=$A21)))"),0.0)</f>
        <v>0</v>
      </c>
      <c r="V21" s="34">
        <f>IFERROR(__xludf.DUMMYFUNCTION("IF(ISNA(sum(filter(
Master_Mapping_Sheet!$E$2:$E$3143, ISNUMBER(
Master_Mapping_Sheet!$E$2:$E$3143),
Master_Mapping_Sheet!$H$2:$H$3143=V$1,
Master_Mapping_Sheet!$B$2:$B$3143=$A21))/sum(filter(
Master_Mapping_Sheet!$E$2:$E$3143, ISNUMBER(
Master_Mapping_Sh"&amp;"eet!$E$2:$E$3143),
Master_Mapping_Sheet!$B$2:$B$3143=$A21))), 0, sum(filter(
Master_Mapping_Sheet!$E$2:$E$3143, ISNUMBER(
Master_Mapping_Sheet!$E$2:$E$3143),
Master_Mapping_Sheet!$H$2:$H$3143=V$1,
Master_Mapping_Sheet!$B$2:$B$3143=$A21))/sum(filter(
Maste"&amp;"r_Mapping_Sheet!$E$2:$E$3143, ISNUMBER(
Master_Mapping_Sheet!$E$2:$E$3143),
Master_Mapping_Sheet!$B$2:$B$3143=$A21)))"),0.0)</f>
        <v>0</v>
      </c>
      <c r="W21" s="34">
        <f>IFERROR(__xludf.DUMMYFUNCTION("IF(ISNA(sum(filter(
Master_Mapping_Sheet!$E$2:$E$3143, ISNUMBER(
Master_Mapping_Sheet!$E$2:$E$3143),
Master_Mapping_Sheet!$H$2:$H$3143=W$1,
Master_Mapping_Sheet!$B$2:$B$3143=$A21))/sum(filter(
Master_Mapping_Sheet!$E$2:$E$3143, ISNUMBER(
Master_Mapping_Sh"&amp;"eet!$E$2:$E$3143),
Master_Mapping_Sheet!$B$2:$B$3143=$A21))), 0, sum(filter(
Master_Mapping_Sheet!$E$2:$E$3143, ISNUMBER(
Master_Mapping_Sheet!$E$2:$E$3143),
Master_Mapping_Sheet!$H$2:$H$3143=W$1,
Master_Mapping_Sheet!$B$2:$B$3143=$A21))/sum(filter(
Maste"&amp;"r_Mapping_Sheet!$E$2:$E$3143, ISNUMBER(
Master_Mapping_Sheet!$E$2:$E$3143),
Master_Mapping_Sheet!$B$2:$B$3143=$A21)))"),0.0)</f>
        <v>0</v>
      </c>
      <c r="X21" s="34">
        <f>IFERROR(__xludf.DUMMYFUNCTION("IF(ISNA(sum(filter(
Master_Mapping_Sheet!$E$2:$E$3143, ISNUMBER(
Master_Mapping_Sheet!$E$2:$E$3143),
Master_Mapping_Sheet!$H$2:$H$3143=X$1,
Master_Mapping_Sheet!$B$2:$B$3143=$A21))/sum(filter(
Master_Mapping_Sheet!$E$2:$E$3143, ISNUMBER(
Master_Mapping_Sh"&amp;"eet!$E$2:$E$3143),
Master_Mapping_Sheet!$B$2:$B$3143=$A21))), 0, sum(filter(
Master_Mapping_Sheet!$E$2:$E$3143, ISNUMBER(
Master_Mapping_Sheet!$E$2:$E$3143),
Master_Mapping_Sheet!$H$2:$H$3143=X$1,
Master_Mapping_Sheet!$B$2:$B$3143=$A21))/sum(filter(
Maste"&amp;"r_Mapping_Sheet!$E$2:$E$3143, ISNUMBER(
Master_Mapping_Sheet!$E$2:$E$3143),
Master_Mapping_Sheet!$B$2:$B$3143=$A21)))"),0.0)</f>
        <v>0</v>
      </c>
      <c r="Y21" s="34">
        <f>IFERROR(__xludf.DUMMYFUNCTION("IF(ISNA(sum(filter(
Master_Mapping_Sheet!$E$2:$E$3143, ISNUMBER(
Master_Mapping_Sheet!$E$2:$E$3143),
Master_Mapping_Sheet!$H$2:$H$3143=Y$1,
Master_Mapping_Sheet!$B$2:$B$3143=$A21))/sum(filter(
Master_Mapping_Sheet!$E$2:$E$3143, ISNUMBER(
Master_Mapping_Sh"&amp;"eet!$E$2:$E$3143),
Master_Mapping_Sheet!$B$2:$B$3143=$A21))), 0, sum(filter(
Master_Mapping_Sheet!$E$2:$E$3143, ISNUMBER(
Master_Mapping_Sheet!$E$2:$E$3143),
Master_Mapping_Sheet!$H$2:$H$3143=Y$1,
Master_Mapping_Sheet!$B$2:$B$3143=$A21))/sum(filter(
Maste"&amp;"r_Mapping_Sheet!$E$2:$E$3143, ISNUMBER(
Master_Mapping_Sheet!$E$2:$E$3143),
Master_Mapping_Sheet!$B$2:$B$3143=$A21)))"),0.0)</f>
        <v>0</v>
      </c>
      <c r="Z21" s="34">
        <f>IFERROR(__xludf.DUMMYFUNCTION("IF(ISNA(sum(filter(
Master_Mapping_Sheet!$E$2:$E$3143, ISNUMBER(
Master_Mapping_Sheet!$E$2:$E$3143),
Master_Mapping_Sheet!$H$2:$H$3143=Z$1,
Master_Mapping_Sheet!$B$2:$B$3143=$A21))/sum(filter(
Master_Mapping_Sheet!$E$2:$E$3143, ISNUMBER(
Master_Mapping_Sh"&amp;"eet!$E$2:$E$3143),
Master_Mapping_Sheet!$B$2:$B$3143=$A21))), 0, sum(filter(
Master_Mapping_Sheet!$E$2:$E$3143, ISNUMBER(
Master_Mapping_Sheet!$E$2:$E$3143),
Master_Mapping_Sheet!$H$2:$H$3143=Z$1,
Master_Mapping_Sheet!$B$2:$B$3143=$A21))/sum(filter(
Maste"&amp;"r_Mapping_Sheet!$E$2:$E$3143, ISNUMBER(
Master_Mapping_Sheet!$E$2:$E$3143),
Master_Mapping_Sheet!$B$2:$B$3143=$A21)))"),0.0)</f>
        <v>0</v>
      </c>
      <c r="AA21" s="34">
        <f>IFERROR(__xludf.DUMMYFUNCTION("IF(ISNA(sum(filter(
Master_Mapping_Sheet!$E$2:$E$3143, ISNUMBER(
Master_Mapping_Sheet!$E$2:$E$3143),
Master_Mapping_Sheet!$H$2:$H$3143=AA$1,
Master_Mapping_Sheet!$B$2:$B$3143=$A21))/sum(filter(
Master_Mapping_Sheet!$E$2:$E$3143, ISNUMBER(
Master_Mapping_S"&amp;"heet!$E$2:$E$3143),
Master_Mapping_Sheet!$B$2:$B$3143=$A21))), 0, sum(filter(
Master_Mapping_Sheet!$E$2:$E$3143, ISNUMBER(
Master_Mapping_Sheet!$E$2:$E$3143),
Master_Mapping_Sheet!$H$2:$H$3143=AA$1,
Master_Mapping_Sheet!$B$2:$B$3143=$A21))/sum(filter(
Mas"&amp;"ter_Mapping_Sheet!$E$2:$E$3143, ISNUMBER(
Master_Mapping_Sheet!$E$2:$E$3143),
Master_Mapping_Sheet!$B$2:$B$3143=$A21)))"),0.0)</f>
        <v>0</v>
      </c>
    </row>
    <row r="22" ht="15.75" customHeight="1">
      <c r="A22" s="34" t="s">
        <v>934</v>
      </c>
      <c r="B22" s="34" t="s">
        <v>2801</v>
      </c>
      <c r="C22" s="34">
        <f>IFERROR(__xludf.DUMMYFUNCTION("IF(ISNA(sum(filter(
Master_Mapping_Sheet!$E$2:$E$3143, ISNUMBER(
Master_Mapping_Sheet!$E$2:$E$3143),
Master_Mapping_Sheet!$H$2:$H$3143=C$1,
Master_Mapping_Sheet!$B$2:$B$3143=$A22))/sum(filter(
Master_Mapping_Sheet!$E$2:$E$3143, ISNUMBER(
Master_Mapping_Sh"&amp;"eet!$E$2:$E$3143),
Master_Mapping_Sheet!$B$2:$B$3143=$A22))), 0, sum(filter(
Master_Mapping_Sheet!$E$2:$E$3143, ISNUMBER(
Master_Mapping_Sheet!$E$2:$E$3143),
Master_Mapping_Sheet!$H$2:$H$3143=C$1,
Master_Mapping_Sheet!$B$2:$B$3143=$A22))/sum(filter(
Maste"&amp;"r_Mapping_Sheet!$E$2:$E$3143, ISNUMBER(
Master_Mapping_Sheet!$E$2:$E$3143),
Master_Mapping_Sheet!$B$2:$B$3143=$A22)))"),0.0)</f>
        <v>0</v>
      </c>
      <c r="D22" s="32">
        <f>IFERROR(__xludf.DUMMYFUNCTION("IF(ISNA(sum(filter(
Master_Mapping_Sheet!$E$2:$E$3143, ISNUMBER(
Master_Mapping_Sheet!$E$2:$E$3143),
Master_Mapping_Sheet!$H$2:$H$3143=D$1,
Master_Mapping_Sheet!$B$2:$B$3143=$A22))/sum(filter(
Master_Mapping_Sheet!$E$2:$E$3143, ISNUMBER(
Master_Mapping_Sh"&amp;"eet!$E$2:$E$3143),
Master_Mapping_Sheet!$B$2:$B$3143=$A22))), 0, sum(filter(
Master_Mapping_Sheet!$E$2:$E$3143, ISNUMBER(
Master_Mapping_Sheet!$E$2:$E$3143),
Master_Mapping_Sheet!$H$2:$H$3143=D$1,
Master_Mapping_Sheet!$B$2:$B$3143=$A22))/sum(filter(
Maste"&amp;"r_Mapping_Sheet!$E$2:$E$3143, ISNUMBER(
Master_Mapping_Sheet!$E$2:$E$3143),
Master_Mapping_Sheet!$B$2:$B$3143=$A22)))"),0.0)</f>
        <v>0</v>
      </c>
      <c r="E22" s="34">
        <f>IFERROR(__xludf.DUMMYFUNCTION("IF(ISNA(sum(filter(
Master_Mapping_Sheet!$E$2:$E$3143, ISNUMBER(
Master_Mapping_Sheet!$E$2:$E$3143),
Master_Mapping_Sheet!$H$2:$H$3143=E$1,
Master_Mapping_Sheet!$B$2:$B$3143=$A22))/sum(filter(
Master_Mapping_Sheet!$E$2:$E$3143, ISNUMBER(
Master_Mapping_Sh"&amp;"eet!$E$2:$E$3143),
Master_Mapping_Sheet!$B$2:$B$3143=$A22))), 0, sum(filter(
Master_Mapping_Sheet!$E$2:$E$3143, ISNUMBER(
Master_Mapping_Sheet!$E$2:$E$3143),
Master_Mapping_Sheet!$H$2:$H$3143=E$1,
Master_Mapping_Sheet!$B$2:$B$3143=$A22))/sum(filter(
Maste"&amp;"r_Mapping_Sheet!$E$2:$E$3143, ISNUMBER(
Master_Mapping_Sheet!$E$2:$E$3143),
Master_Mapping_Sheet!$B$2:$B$3143=$A22)))"),0.0)</f>
        <v>0</v>
      </c>
      <c r="F22" s="34">
        <f>IFERROR(__xludf.DUMMYFUNCTION("IF(ISNA(sum(filter(
Master_Mapping_Sheet!$E$2:$E$3143, ISNUMBER(
Master_Mapping_Sheet!$E$2:$E$3143),
Master_Mapping_Sheet!$H$2:$H$3143=F$1,
Master_Mapping_Sheet!$B$2:$B$3143=$A22))/sum(filter(
Master_Mapping_Sheet!$E$2:$E$3143, ISNUMBER(
Master_Mapping_Sh"&amp;"eet!$E$2:$E$3143),
Master_Mapping_Sheet!$B$2:$B$3143=$A22))), 0, sum(filter(
Master_Mapping_Sheet!$E$2:$E$3143, ISNUMBER(
Master_Mapping_Sheet!$E$2:$E$3143),
Master_Mapping_Sheet!$H$2:$H$3143=F$1,
Master_Mapping_Sheet!$B$2:$B$3143=$A22))/sum(filter(
Maste"&amp;"r_Mapping_Sheet!$E$2:$E$3143, ISNUMBER(
Master_Mapping_Sheet!$E$2:$E$3143),
Master_Mapping_Sheet!$B$2:$B$3143=$A22)))"),0.0)</f>
        <v>0</v>
      </c>
      <c r="G22" s="34">
        <f>IFERROR(__xludf.DUMMYFUNCTION("IF(ISNA(sum(filter(
Master_Mapping_Sheet!$E$2:$E$3143, ISNUMBER(
Master_Mapping_Sheet!$E$2:$E$3143),
Master_Mapping_Sheet!$H$2:$H$3143=G$1,
Master_Mapping_Sheet!$B$2:$B$3143=$A22))/sum(filter(
Master_Mapping_Sheet!$E$2:$E$3143, ISNUMBER(
Master_Mapping_Sh"&amp;"eet!$E$2:$E$3143),
Master_Mapping_Sheet!$B$2:$B$3143=$A22))), 0, sum(filter(
Master_Mapping_Sheet!$E$2:$E$3143, ISNUMBER(
Master_Mapping_Sheet!$E$2:$E$3143),
Master_Mapping_Sheet!$H$2:$H$3143=G$1,
Master_Mapping_Sheet!$B$2:$B$3143=$A22))/sum(filter(
Maste"&amp;"r_Mapping_Sheet!$E$2:$E$3143, ISNUMBER(
Master_Mapping_Sheet!$E$2:$E$3143),
Master_Mapping_Sheet!$B$2:$B$3143=$A22)))"),0.0)</f>
        <v>0</v>
      </c>
      <c r="H22" s="34">
        <f>IFERROR(__xludf.DUMMYFUNCTION("IF(ISNA(sum(filter(
Master_Mapping_Sheet!$E$2:$E$3143, ISNUMBER(
Master_Mapping_Sheet!$E$2:$E$3143),
Master_Mapping_Sheet!$H$2:$H$3143=H$1,
Master_Mapping_Sheet!$B$2:$B$3143=$A22))/sum(filter(
Master_Mapping_Sheet!$E$2:$E$3143, ISNUMBER(
Master_Mapping_Sh"&amp;"eet!$E$2:$E$3143),
Master_Mapping_Sheet!$B$2:$B$3143=$A22))), 0, sum(filter(
Master_Mapping_Sheet!$E$2:$E$3143, ISNUMBER(
Master_Mapping_Sheet!$E$2:$E$3143),
Master_Mapping_Sheet!$H$2:$H$3143=H$1,
Master_Mapping_Sheet!$B$2:$B$3143=$A22))/sum(filter(
Maste"&amp;"r_Mapping_Sheet!$E$2:$E$3143, ISNUMBER(
Master_Mapping_Sheet!$E$2:$E$3143),
Master_Mapping_Sheet!$B$2:$B$3143=$A22)))"),0.0)</f>
        <v>0</v>
      </c>
      <c r="I22" s="34">
        <f>IFERROR(__xludf.DUMMYFUNCTION("IF(ISNA(sum(filter(
Master_Mapping_Sheet!$E$2:$E$3143, ISNUMBER(
Master_Mapping_Sheet!$E$2:$E$3143),
Master_Mapping_Sheet!$H$2:$H$3143=I$1,
Master_Mapping_Sheet!$B$2:$B$3143=$A22))/sum(filter(
Master_Mapping_Sheet!$E$2:$E$3143, ISNUMBER(
Master_Mapping_Sh"&amp;"eet!$E$2:$E$3143),
Master_Mapping_Sheet!$B$2:$B$3143=$A22))), 0, sum(filter(
Master_Mapping_Sheet!$E$2:$E$3143, ISNUMBER(
Master_Mapping_Sheet!$E$2:$E$3143),
Master_Mapping_Sheet!$H$2:$H$3143=I$1,
Master_Mapping_Sheet!$B$2:$B$3143=$A22))/sum(filter(
Maste"&amp;"r_Mapping_Sheet!$E$2:$E$3143, ISNUMBER(
Master_Mapping_Sheet!$E$2:$E$3143),
Master_Mapping_Sheet!$B$2:$B$3143=$A22)))"),0.0)</f>
        <v>0</v>
      </c>
      <c r="J22" s="34">
        <f>IFERROR(__xludf.DUMMYFUNCTION("IF(ISNA(sum(filter(
Master_Mapping_Sheet!$E$2:$E$3143, ISNUMBER(
Master_Mapping_Sheet!$E$2:$E$3143),
Master_Mapping_Sheet!$H$2:$H$3143=J$1,
Master_Mapping_Sheet!$B$2:$B$3143=$A22))/sum(filter(
Master_Mapping_Sheet!$E$2:$E$3143, ISNUMBER(
Master_Mapping_Sh"&amp;"eet!$E$2:$E$3143),
Master_Mapping_Sheet!$B$2:$B$3143=$A22))), 0, sum(filter(
Master_Mapping_Sheet!$E$2:$E$3143, ISNUMBER(
Master_Mapping_Sheet!$E$2:$E$3143),
Master_Mapping_Sheet!$H$2:$H$3143=J$1,
Master_Mapping_Sheet!$B$2:$B$3143=$A22))/sum(filter(
Maste"&amp;"r_Mapping_Sheet!$E$2:$E$3143, ISNUMBER(
Master_Mapping_Sheet!$E$2:$E$3143),
Master_Mapping_Sheet!$B$2:$B$3143=$A22)))"),0.0)</f>
        <v>0</v>
      </c>
      <c r="K22" s="34">
        <f>IFERROR(__xludf.DUMMYFUNCTION("IF(ISNA(sum(filter(
Master_Mapping_Sheet!$E$2:$E$3143, ISNUMBER(
Master_Mapping_Sheet!$E$2:$E$3143),
Master_Mapping_Sheet!$H$2:$H$3143=K$1,
Master_Mapping_Sheet!$B$2:$B$3143=$A22))/sum(filter(
Master_Mapping_Sheet!$E$2:$E$3143, ISNUMBER(
Master_Mapping_Sh"&amp;"eet!$E$2:$E$3143),
Master_Mapping_Sheet!$B$2:$B$3143=$A22))), 0, sum(filter(
Master_Mapping_Sheet!$E$2:$E$3143, ISNUMBER(
Master_Mapping_Sheet!$E$2:$E$3143),
Master_Mapping_Sheet!$H$2:$H$3143=K$1,
Master_Mapping_Sheet!$B$2:$B$3143=$A22))/sum(filter(
Maste"&amp;"r_Mapping_Sheet!$E$2:$E$3143, ISNUMBER(
Master_Mapping_Sheet!$E$2:$E$3143),
Master_Mapping_Sheet!$B$2:$B$3143=$A22)))"),0.0)</f>
        <v>0</v>
      </c>
      <c r="L22" s="34">
        <f>IFERROR(__xludf.DUMMYFUNCTION("IF(ISNA(sum(filter(
Master_Mapping_Sheet!$E$2:$E$3143, ISNUMBER(
Master_Mapping_Sheet!$E$2:$E$3143),
Master_Mapping_Sheet!$H$2:$H$3143=L$1,
Master_Mapping_Sheet!$B$2:$B$3143=$A22))/sum(filter(
Master_Mapping_Sheet!$E$2:$E$3143, ISNUMBER(
Master_Mapping_Sh"&amp;"eet!$E$2:$E$3143),
Master_Mapping_Sheet!$B$2:$B$3143=$A22))), 0, sum(filter(
Master_Mapping_Sheet!$E$2:$E$3143, ISNUMBER(
Master_Mapping_Sheet!$E$2:$E$3143),
Master_Mapping_Sheet!$H$2:$H$3143=L$1,
Master_Mapping_Sheet!$B$2:$B$3143=$A22))/sum(filter(
Maste"&amp;"r_Mapping_Sheet!$E$2:$E$3143, ISNUMBER(
Master_Mapping_Sheet!$E$2:$E$3143),
Master_Mapping_Sheet!$B$2:$B$3143=$A22)))"),0.7405649898151418)</f>
        <v>0.7405649898</v>
      </c>
      <c r="M22" s="34">
        <f>IFERROR(__xludf.DUMMYFUNCTION("IF(ISNA(sum(filter(
Master_Mapping_Sheet!$E$2:$E$3143, ISNUMBER(
Master_Mapping_Sheet!$E$2:$E$3143),
Master_Mapping_Sheet!$H$2:$H$3143=M$1,
Master_Mapping_Sheet!$B$2:$B$3143=$A22))/sum(filter(
Master_Mapping_Sheet!$E$2:$E$3143, ISNUMBER(
Master_Mapping_Sh"&amp;"eet!$E$2:$E$3143),
Master_Mapping_Sheet!$B$2:$B$3143=$A22))), 0, sum(filter(
Master_Mapping_Sheet!$E$2:$E$3143, ISNUMBER(
Master_Mapping_Sheet!$E$2:$E$3143),
Master_Mapping_Sheet!$H$2:$H$3143=M$1,
Master_Mapping_Sheet!$B$2:$B$3143=$A22))/sum(filter(
Maste"&amp;"r_Mapping_Sheet!$E$2:$E$3143, ISNUMBER(
Master_Mapping_Sheet!$E$2:$E$3143),
Master_Mapping_Sheet!$B$2:$B$3143=$A22)))"),0.25943501018485815)</f>
        <v>0.2594350102</v>
      </c>
      <c r="N22" s="34">
        <f>IFERROR(__xludf.DUMMYFUNCTION("IF(ISNA(sum(filter(
Master_Mapping_Sheet!$E$2:$E$3143, ISNUMBER(
Master_Mapping_Sheet!$E$2:$E$3143),
Master_Mapping_Sheet!$H$2:$H$3143=N$1,
Master_Mapping_Sheet!$B$2:$B$3143=$A22))/sum(filter(
Master_Mapping_Sheet!$E$2:$E$3143, ISNUMBER(
Master_Mapping_Sh"&amp;"eet!$E$2:$E$3143),
Master_Mapping_Sheet!$B$2:$B$3143=$A22))), 0, sum(filter(
Master_Mapping_Sheet!$E$2:$E$3143, ISNUMBER(
Master_Mapping_Sheet!$E$2:$E$3143),
Master_Mapping_Sheet!$H$2:$H$3143=N$1,
Master_Mapping_Sheet!$B$2:$B$3143=$A22))/sum(filter(
Maste"&amp;"r_Mapping_Sheet!$E$2:$E$3143, ISNUMBER(
Master_Mapping_Sheet!$E$2:$E$3143),
Master_Mapping_Sheet!$B$2:$B$3143=$A22)))"),0.0)</f>
        <v>0</v>
      </c>
      <c r="O22" s="34">
        <f>IFERROR(__xludf.DUMMYFUNCTION("IF(ISNA(sum(filter(
Master_Mapping_Sheet!$E$2:$E$3143, ISNUMBER(
Master_Mapping_Sheet!$E$2:$E$3143),
Master_Mapping_Sheet!$H$2:$H$3143=O$1,
Master_Mapping_Sheet!$B$2:$B$3143=$A22))/sum(filter(
Master_Mapping_Sheet!$E$2:$E$3143, ISNUMBER(
Master_Mapping_Sh"&amp;"eet!$E$2:$E$3143),
Master_Mapping_Sheet!$B$2:$B$3143=$A22))), 0, sum(filter(
Master_Mapping_Sheet!$E$2:$E$3143, ISNUMBER(
Master_Mapping_Sheet!$E$2:$E$3143),
Master_Mapping_Sheet!$H$2:$H$3143=O$1,
Master_Mapping_Sheet!$B$2:$B$3143=$A22))/sum(filter(
Maste"&amp;"r_Mapping_Sheet!$E$2:$E$3143, ISNUMBER(
Master_Mapping_Sheet!$E$2:$E$3143),
Master_Mapping_Sheet!$B$2:$B$3143=$A22)))"),0.0)</f>
        <v>0</v>
      </c>
      <c r="P22" s="34">
        <f>IFERROR(__xludf.DUMMYFUNCTION("IF(ISNA(sum(filter(
Master_Mapping_Sheet!$E$2:$E$3143, ISNUMBER(
Master_Mapping_Sheet!$E$2:$E$3143),
Master_Mapping_Sheet!$H$2:$H$3143=P$1,
Master_Mapping_Sheet!$B$2:$B$3143=$A22))/sum(filter(
Master_Mapping_Sheet!$E$2:$E$3143, ISNUMBER(
Master_Mapping_Sh"&amp;"eet!$E$2:$E$3143),
Master_Mapping_Sheet!$B$2:$B$3143=$A22))), 0, sum(filter(
Master_Mapping_Sheet!$E$2:$E$3143, ISNUMBER(
Master_Mapping_Sheet!$E$2:$E$3143),
Master_Mapping_Sheet!$H$2:$H$3143=P$1,
Master_Mapping_Sheet!$B$2:$B$3143=$A22))/sum(filter(
Maste"&amp;"r_Mapping_Sheet!$E$2:$E$3143, ISNUMBER(
Master_Mapping_Sheet!$E$2:$E$3143),
Master_Mapping_Sheet!$B$2:$B$3143=$A22)))"),0.0)</f>
        <v>0</v>
      </c>
      <c r="Q22" s="34">
        <f>IFERROR(__xludf.DUMMYFUNCTION("IF(ISNA(sum(filter(
Master_Mapping_Sheet!$E$2:$E$3143, ISNUMBER(
Master_Mapping_Sheet!$E$2:$E$3143),
Master_Mapping_Sheet!$H$2:$H$3143=Q$1,
Master_Mapping_Sheet!$B$2:$B$3143=$A22))/sum(filter(
Master_Mapping_Sheet!$E$2:$E$3143, ISNUMBER(
Master_Mapping_Sh"&amp;"eet!$E$2:$E$3143),
Master_Mapping_Sheet!$B$2:$B$3143=$A22))), 0, sum(filter(
Master_Mapping_Sheet!$E$2:$E$3143, ISNUMBER(
Master_Mapping_Sheet!$E$2:$E$3143),
Master_Mapping_Sheet!$H$2:$H$3143=Q$1,
Master_Mapping_Sheet!$B$2:$B$3143=$A22))/sum(filter(
Maste"&amp;"r_Mapping_Sheet!$E$2:$E$3143, ISNUMBER(
Master_Mapping_Sheet!$E$2:$E$3143),
Master_Mapping_Sheet!$B$2:$B$3143=$A22)))"),0.0)</f>
        <v>0</v>
      </c>
      <c r="R22" s="34">
        <f>IFERROR(__xludf.DUMMYFUNCTION("IF(ISNA(sum(filter(
Master_Mapping_Sheet!$E$2:$E$3143, ISNUMBER(
Master_Mapping_Sheet!$E$2:$E$3143),
Master_Mapping_Sheet!$H$2:$H$3143=R$1,
Master_Mapping_Sheet!$B$2:$B$3143=$A22))/sum(filter(
Master_Mapping_Sheet!$E$2:$E$3143, ISNUMBER(
Master_Mapping_Sh"&amp;"eet!$E$2:$E$3143),
Master_Mapping_Sheet!$B$2:$B$3143=$A22))), 0, sum(filter(
Master_Mapping_Sheet!$E$2:$E$3143, ISNUMBER(
Master_Mapping_Sheet!$E$2:$E$3143),
Master_Mapping_Sheet!$H$2:$H$3143=R$1,
Master_Mapping_Sheet!$B$2:$B$3143=$A22))/sum(filter(
Maste"&amp;"r_Mapping_Sheet!$E$2:$E$3143, ISNUMBER(
Master_Mapping_Sheet!$E$2:$E$3143),
Master_Mapping_Sheet!$B$2:$B$3143=$A22)))"),0.0)</f>
        <v>0</v>
      </c>
      <c r="S22" s="34">
        <f>IFERROR(__xludf.DUMMYFUNCTION("IF(ISNA(sum(filter(
Master_Mapping_Sheet!$E$2:$E$3143, ISNUMBER(
Master_Mapping_Sheet!$E$2:$E$3143),
Master_Mapping_Sheet!$H$2:$H$3143=S$1,
Master_Mapping_Sheet!$B$2:$B$3143=$A22))/sum(filter(
Master_Mapping_Sheet!$E$2:$E$3143, ISNUMBER(
Master_Mapping_Sh"&amp;"eet!$E$2:$E$3143),
Master_Mapping_Sheet!$B$2:$B$3143=$A22))), 0, sum(filter(
Master_Mapping_Sheet!$E$2:$E$3143, ISNUMBER(
Master_Mapping_Sheet!$E$2:$E$3143),
Master_Mapping_Sheet!$H$2:$H$3143=S$1,
Master_Mapping_Sheet!$B$2:$B$3143=$A22))/sum(filter(
Maste"&amp;"r_Mapping_Sheet!$E$2:$E$3143, ISNUMBER(
Master_Mapping_Sheet!$E$2:$E$3143),
Master_Mapping_Sheet!$B$2:$B$3143=$A22)))"),0.0)</f>
        <v>0</v>
      </c>
      <c r="T22" s="34">
        <f>IFERROR(__xludf.DUMMYFUNCTION("IF(ISNA(sum(filter(
Master_Mapping_Sheet!$E$2:$E$3143, ISNUMBER(
Master_Mapping_Sheet!$E$2:$E$3143),
Master_Mapping_Sheet!$H$2:$H$3143=T$1,
Master_Mapping_Sheet!$B$2:$B$3143=$A22))/sum(filter(
Master_Mapping_Sheet!$E$2:$E$3143, ISNUMBER(
Master_Mapping_Sh"&amp;"eet!$E$2:$E$3143),
Master_Mapping_Sheet!$B$2:$B$3143=$A22))), 0, sum(filter(
Master_Mapping_Sheet!$E$2:$E$3143, ISNUMBER(
Master_Mapping_Sheet!$E$2:$E$3143),
Master_Mapping_Sheet!$H$2:$H$3143=T$1,
Master_Mapping_Sheet!$B$2:$B$3143=$A22))/sum(filter(
Maste"&amp;"r_Mapping_Sheet!$E$2:$E$3143, ISNUMBER(
Master_Mapping_Sheet!$E$2:$E$3143),
Master_Mapping_Sheet!$B$2:$B$3143=$A22)))"),0.0)</f>
        <v>0</v>
      </c>
      <c r="U22" s="34">
        <f>IFERROR(__xludf.DUMMYFUNCTION("IF(ISNA(sum(filter(
Master_Mapping_Sheet!$E$2:$E$3143, ISNUMBER(
Master_Mapping_Sheet!$E$2:$E$3143),
Master_Mapping_Sheet!$H$2:$H$3143=U$1,
Master_Mapping_Sheet!$B$2:$B$3143=$A22))/sum(filter(
Master_Mapping_Sheet!$E$2:$E$3143, ISNUMBER(
Master_Mapping_Sh"&amp;"eet!$E$2:$E$3143),
Master_Mapping_Sheet!$B$2:$B$3143=$A22))), 0, sum(filter(
Master_Mapping_Sheet!$E$2:$E$3143, ISNUMBER(
Master_Mapping_Sheet!$E$2:$E$3143),
Master_Mapping_Sheet!$H$2:$H$3143=U$1,
Master_Mapping_Sheet!$B$2:$B$3143=$A22))/sum(filter(
Maste"&amp;"r_Mapping_Sheet!$E$2:$E$3143, ISNUMBER(
Master_Mapping_Sheet!$E$2:$E$3143),
Master_Mapping_Sheet!$B$2:$B$3143=$A22)))"),0.0)</f>
        <v>0</v>
      </c>
      <c r="V22" s="34">
        <f>IFERROR(__xludf.DUMMYFUNCTION("IF(ISNA(sum(filter(
Master_Mapping_Sheet!$E$2:$E$3143, ISNUMBER(
Master_Mapping_Sheet!$E$2:$E$3143),
Master_Mapping_Sheet!$H$2:$H$3143=V$1,
Master_Mapping_Sheet!$B$2:$B$3143=$A22))/sum(filter(
Master_Mapping_Sheet!$E$2:$E$3143, ISNUMBER(
Master_Mapping_Sh"&amp;"eet!$E$2:$E$3143),
Master_Mapping_Sheet!$B$2:$B$3143=$A22))), 0, sum(filter(
Master_Mapping_Sheet!$E$2:$E$3143, ISNUMBER(
Master_Mapping_Sheet!$E$2:$E$3143),
Master_Mapping_Sheet!$H$2:$H$3143=V$1,
Master_Mapping_Sheet!$B$2:$B$3143=$A22))/sum(filter(
Maste"&amp;"r_Mapping_Sheet!$E$2:$E$3143, ISNUMBER(
Master_Mapping_Sheet!$E$2:$E$3143),
Master_Mapping_Sheet!$B$2:$B$3143=$A22)))"),0.0)</f>
        <v>0</v>
      </c>
      <c r="W22" s="34">
        <f>IFERROR(__xludf.DUMMYFUNCTION("IF(ISNA(sum(filter(
Master_Mapping_Sheet!$E$2:$E$3143, ISNUMBER(
Master_Mapping_Sheet!$E$2:$E$3143),
Master_Mapping_Sheet!$H$2:$H$3143=W$1,
Master_Mapping_Sheet!$B$2:$B$3143=$A22))/sum(filter(
Master_Mapping_Sheet!$E$2:$E$3143, ISNUMBER(
Master_Mapping_Sh"&amp;"eet!$E$2:$E$3143),
Master_Mapping_Sheet!$B$2:$B$3143=$A22))), 0, sum(filter(
Master_Mapping_Sheet!$E$2:$E$3143, ISNUMBER(
Master_Mapping_Sheet!$E$2:$E$3143),
Master_Mapping_Sheet!$H$2:$H$3143=W$1,
Master_Mapping_Sheet!$B$2:$B$3143=$A22))/sum(filter(
Maste"&amp;"r_Mapping_Sheet!$E$2:$E$3143, ISNUMBER(
Master_Mapping_Sheet!$E$2:$E$3143),
Master_Mapping_Sheet!$B$2:$B$3143=$A22)))"),0.0)</f>
        <v>0</v>
      </c>
      <c r="X22" s="34">
        <f>IFERROR(__xludf.DUMMYFUNCTION("IF(ISNA(sum(filter(
Master_Mapping_Sheet!$E$2:$E$3143, ISNUMBER(
Master_Mapping_Sheet!$E$2:$E$3143),
Master_Mapping_Sheet!$H$2:$H$3143=X$1,
Master_Mapping_Sheet!$B$2:$B$3143=$A22))/sum(filter(
Master_Mapping_Sheet!$E$2:$E$3143, ISNUMBER(
Master_Mapping_Sh"&amp;"eet!$E$2:$E$3143),
Master_Mapping_Sheet!$B$2:$B$3143=$A22))), 0, sum(filter(
Master_Mapping_Sheet!$E$2:$E$3143, ISNUMBER(
Master_Mapping_Sheet!$E$2:$E$3143),
Master_Mapping_Sheet!$H$2:$H$3143=X$1,
Master_Mapping_Sheet!$B$2:$B$3143=$A22))/sum(filter(
Maste"&amp;"r_Mapping_Sheet!$E$2:$E$3143, ISNUMBER(
Master_Mapping_Sheet!$E$2:$E$3143),
Master_Mapping_Sheet!$B$2:$B$3143=$A22)))"),0.0)</f>
        <v>0</v>
      </c>
      <c r="Y22" s="34">
        <f>IFERROR(__xludf.DUMMYFUNCTION("IF(ISNA(sum(filter(
Master_Mapping_Sheet!$E$2:$E$3143, ISNUMBER(
Master_Mapping_Sheet!$E$2:$E$3143),
Master_Mapping_Sheet!$H$2:$H$3143=Y$1,
Master_Mapping_Sheet!$B$2:$B$3143=$A22))/sum(filter(
Master_Mapping_Sheet!$E$2:$E$3143, ISNUMBER(
Master_Mapping_Sh"&amp;"eet!$E$2:$E$3143),
Master_Mapping_Sheet!$B$2:$B$3143=$A22))), 0, sum(filter(
Master_Mapping_Sheet!$E$2:$E$3143, ISNUMBER(
Master_Mapping_Sheet!$E$2:$E$3143),
Master_Mapping_Sheet!$H$2:$H$3143=Y$1,
Master_Mapping_Sheet!$B$2:$B$3143=$A22))/sum(filter(
Maste"&amp;"r_Mapping_Sheet!$E$2:$E$3143, ISNUMBER(
Master_Mapping_Sheet!$E$2:$E$3143),
Master_Mapping_Sheet!$B$2:$B$3143=$A22)))"),0.0)</f>
        <v>0</v>
      </c>
      <c r="Z22" s="34">
        <f>IFERROR(__xludf.DUMMYFUNCTION("IF(ISNA(sum(filter(
Master_Mapping_Sheet!$E$2:$E$3143, ISNUMBER(
Master_Mapping_Sheet!$E$2:$E$3143),
Master_Mapping_Sheet!$H$2:$H$3143=Z$1,
Master_Mapping_Sheet!$B$2:$B$3143=$A22))/sum(filter(
Master_Mapping_Sheet!$E$2:$E$3143, ISNUMBER(
Master_Mapping_Sh"&amp;"eet!$E$2:$E$3143),
Master_Mapping_Sheet!$B$2:$B$3143=$A22))), 0, sum(filter(
Master_Mapping_Sheet!$E$2:$E$3143, ISNUMBER(
Master_Mapping_Sheet!$E$2:$E$3143),
Master_Mapping_Sheet!$H$2:$H$3143=Z$1,
Master_Mapping_Sheet!$B$2:$B$3143=$A22))/sum(filter(
Maste"&amp;"r_Mapping_Sheet!$E$2:$E$3143, ISNUMBER(
Master_Mapping_Sheet!$E$2:$E$3143),
Master_Mapping_Sheet!$B$2:$B$3143=$A22)))"),0.0)</f>
        <v>0</v>
      </c>
      <c r="AA22" s="34">
        <f>IFERROR(__xludf.DUMMYFUNCTION("IF(ISNA(sum(filter(
Master_Mapping_Sheet!$E$2:$E$3143, ISNUMBER(
Master_Mapping_Sheet!$E$2:$E$3143),
Master_Mapping_Sheet!$H$2:$H$3143=AA$1,
Master_Mapping_Sheet!$B$2:$B$3143=$A22))/sum(filter(
Master_Mapping_Sheet!$E$2:$E$3143, ISNUMBER(
Master_Mapping_S"&amp;"heet!$E$2:$E$3143),
Master_Mapping_Sheet!$B$2:$B$3143=$A22))), 0, sum(filter(
Master_Mapping_Sheet!$E$2:$E$3143, ISNUMBER(
Master_Mapping_Sheet!$E$2:$E$3143),
Master_Mapping_Sheet!$H$2:$H$3143=AA$1,
Master_Mapping_Sheet!$B$2:$B$3143=$A22))/sum(filter(
Mas"&amp;"ter_Mapping_Sheet!$E$2:$E$3143, ISNUMBER(
Master_Mapping_Sheet!$E$2:$E$3143),
Master_Mapping_Sheet!$B$2:$B$3143=$A22)))"),0.0)</f>
        <v>0</v>
      </c>
    </row>
    <row r="23" ht="15.75" customHeight="1">
      <c r="A23" s="34" t="s">
        <v>952</v>
      </c>
      <c r="B23" s="34" t="s">
        <v>2819</v>
      </c>
      <c r="C23" s="34">
        <f>IFERROR(__xludf.DUMMYFUNCTION("IF(ISNA(sum(filter(
Master_Mapping_Sheet!$E$2:$E$3143, ISNUMBER(
Master_Mapping_Sheet!$E$2:$E$3143),
Master_Mapping_Sheet!$H$2:$H$3143=C$1,
Master_Mapping_Sheet!$B$2:$B$3143=$A23))/sum(filter(
Master_Mapping_Sheet!$E$2:$E$3143, ISNUMBER(
Master_Mapping_Sh"&amp;"eet!$E$2:$E$3143),
Master_Mapping_Sheet!$B$2:$B$3143=$A23))), 0, sum(filter(
Master_Mapping_Sheet!$E$2:$E$3143, ISNUMBER(
Master_Mapping_Sheet!$E$2:$E$3143),
Master_Mapping_Sheet!$H$2:$H$3143=C$1,
Master_Mapping_Sheet!$B$2:$B$3143=$A23))/sum(filter(
Maste"&amp;"r_Mapping_Sheet!$E$2:$E$3143, ISNUMBER(
Master_Mapping_Sheet!$E$2:$E$3143),
Master_Mapping_Sheet!$B$2:$B$3143=$A23)))"),0.0)</f>
        <v>0</v>
      </c>
      <c r="D23" s="32">
        <f>IFERROR(__xludf.DUMMYFUNCTION("IF(ISNA(sum(filter(
Master_Mapping_Sheet!$E$2:$E$3143, ISNUMBER(
Master_Mapping_Sheet!$E$2:$E$3143),
Master_Mapping_Sheet!$H$2:$H$3143=D$1,
Master_Mapping_Sheet!$B$2:$B$3143=$A23))/sum(filter(
Master_Mapping_Sheet!$E$2:$E$3143, ISNUMBER(
Master_Mapping_Sh"&amp;"eet!$E$2:$E$3143),
Master_Mapping_Sheet!$B$2:$B$3143=$A23))), 0, sum(filter(
Master_Mapping_Sheet!$E$2:$E$3143, ISNUMBER(
Master_Mapping_Sheet!$E$2:$E$3143),
Master_Mapping_Sheet!$H$2:$H$3143=D$1,
Master_Mapping_Sheet!$B$2:$B$3143=$A23))/sum(filter(
Maste"&amp;"r_Mapping_Sheet!$E$2:$E$3143, ISNUMBER(
Master_Mapping_Sheet!$E$2:$E$3143),
Master_Mapping_Sheet!$B$2:$B$3143=$A23)))"),0.0)</f>
        <v>0</v>
      </c>
      <c r="E23" s="34">
        <f>IFERROR(__xludf.DUMMYFUNCTION("IF(ISNA(sum(filter(
Master_Mapping_Sheet!$E$2:$E$3143, ISNUMBER(
Master_Mapping_Sheet!$E$2:$E$3143),
Master_Mapping_Sheet!$H$2:$H$3143=E$1,
Master_Mapping_Sheet!$B$2:$B$3143=$A23))/sum(filter(
Master_Mapping_Sheet!$E$2:$E$3143, ISNUMBER(
Master_Mapping_Sh"&amp;"eet!$E$2:$E$3143),
Master_Mapping_Sheet!$B$2:$B$3143=$A23))), 0, sum(filter(
Master_Mapping_Sheet!$E$2:$E$3143, ISNUMBER(
Master_Mapping_Sheet!$E$2:$E$3143),
Master_Mapping_Sheet!$H$2:$H$3143=E$1,
Master_Mapping_Sheet!$B$2:$B$3143=$A23))/sum(filter(
Maste"&amp;"r_Mapping_Sheet!$E$2:$E$3143, ISNUMBER(
Master_Mapping_Sheet!$E$2:$E$3143),
Master_Mapping_Sheet!$B$2:$B$3143=$A23)))"),0.0)</f>
        <v>0</v>
      </c>
      <c r="F23" s="34">
        <f>IFERROR(__xludf.DUMMYFUNCTION("IF(ISNA(sum(filter(
Master_Mapping_Sheet!$E$2:$E$3143, ISNUMBER(
Master_Mapping_Sheet!$E$2:$E$3143),
Master_Mapping_Sheet!$H$2:$H$3143=F$1,
Master_Mapping_Sheet!$B$2:$B$3143=$A23))/sum(filter(
Master_Mapping_Sheet!$E$2:$E$3143, ISNUMBER(
Master_Mapping_Sh"&amp;"eet!$E$2:$E$3143),
Master_Mapping_Sheet!$B$2:$B$3143=$A23))), 0, sum(filter(
Master_Mapping_Sheet!$E$2:$E$3143, ISNUMBER(
Master_Mapping_Sheet!$E$2:$E$3143),
Master_Mapping_Sheet!$H$2:$H$3143=F$1,
Master_Mapping_Sheet!$B$2:$B$3143=$A23))/sum(filter(
Maste"&amp;"r_Mapping_Sheet!$E$2:$E$3143, ISNUMBER(
Master_Mapping_Sheet!$E$2:$E$3143),
Master_Mapping_Sheet!$B$2:$B$3143=$A23)))"),0.0)</f>
        <v>0</v>
      </c>
      <c r="G23" s="34">
        <f>IFERROR(__xludf.DUMMYFUNCTION("IF(ISNA(sum(filter(
Master_Mapping_Sheet!$E$2:$E$3143, ISNUMBER(
Master_Mapping_Sheet!$E$2:$E$3143),
Master_Mapping_Sheet!$H$2:$H$3143=G$1,
Master_Mapping_Sheet!$B$2:$B$3143=$A23))/sum(filter(
Master_Mapping_Sheet!$E$2:$E$3143, ISNUMBER(
Master_Mapping_Sh"&amp;"eet!$E$2:$E$3143),
Master_Mapping_Sheet!$B$2:$B$3143=$A23))), 0, sum(filter(
Master_Mapping_Sheet!$E$2:$E$3143, ISNUMBER(
Master_Mapping_Sheet!$E$2:$E$3143),
Master_Mapping_Sheet!$H$2:$H$3143=G$1,
Master_Mapping_Sheet!$B$2:$B$3143=$A23))/sum(filter(
Maste"&amp;"r_Mapping_Sheet!$E$2:$E$3143, ISNUMBER(
Master_Mapping_Sheet!$E$2:$E$3143),
Master_Mapping_Sheet!$B$2:$B$3143=$A23)))"),0.0)</f>
        <v>0</v>
      </c>
      <c r="H23" s="34">
        <f>IFERROR(__xludf.DUMMYFUNCTION("IF(ISNA(sum(filter(
Master_Mapping_Sheet!$E$2:$E$3143, ISNUMBER(
Master_Mapping_Sheet!$E$2:$E$3143),
Master_Mapping_Sheet!$H$2:$H$3143=H$1,
Master_Mapping_Sheet!$B$2:$B$3143=$A23))/sum(filter(
Master_Mapping_Sheet!$E$2:$E$3143, ISNUMBER(
Master_Mapping_Sh"&amp;"eet!$E$2:$E$3143),
Master_Mapping_Sheet!$B$2:$B$3143=$A23))), 0, sum(filter(
Master_Mapping_Sheet!$E$2:$E$3143, ISNUMBER(
Master_Mapping_Sheet!$E$2:$E$3143),
Master_Mapping_Sheet!$H$2:$H$3143=H$1,
Master_Mapping_Sheet!$B$2:$B$3143=$A23))/sum(filter(
Maste"&amp;"r_Mapping_Sheet!$E$2:$E$3143, ISNUMBER(
Master_Mapping_Sheet!$E$2:$E$3143),
Master_Mapping_Sheet!$B$2:$B$3143=$A23)))"),0.0)</f>
        <v>0</v>
      </c>
      <c r="I23" s="34">
        <f>IFERROR(__xludf.DUMMYFUNCTION("IF(ISNA(sum(filter(
Master_Mapping_Sheet!$E$2:$E$3143, ISNUMBER(
Master_Mapping_Sheet!$E$2:$E$3143),
Master_Mapping_Sheet!$H$2:$H$3143=I$1,
Master_Mapping_Sheet!$B$2:$B$3143=$A23))/sum(filter(
Master_Mapping_Sheet!$E$2:$E$3143, ISNUMBER(
Master_Mapping_Sh"&amp;"eet!$E$2:$E$3143),
Master_Mapping_Sheet!$B$2:$B$3143=$A23))), 0, sum(filter(
Master_Mapping_Sheet!$E$2:$E$3143, ISNUMBER(
Master_Mapping_Sheet!$E$2:$E$3143),
Master_Mapping_Sheet!$H$2:$H$3143=I$1,
Master_Mapping_Sheet!$B$2:$B$3143=$A23))/sum(filter(
Maste"&amp;"r_Mapping_Sheet!$E$2:$E$3143, ISNUMBER(
Master_Mapping_Sheet!$E$2:$E$3143),
Master_Mapping_Sheet!$B$2:$B$3143=$A23)))"),1.0)</f>
        <v>1</v>
      </c>
      <c r="J23" s="34">
        <f>IFERROR(__xludf.DUMMYFUNCTION("IF(ISNA(sum(filter(
Master_Mapping_Sheet!$E$2:$E$3143, ISNUMBER(
Master_Mapping_Sheet!$E$2:$E$3143),
Master_Mapping_Sheet!$H$2:$H$3143=J$1,
Master_Mapping_Sheet!$B$2:$B$3143=$A23))/sum(filter(
Master_Mapping_Sheet!$E$2:$E$3143, ISNUMBER(
Master_Mapping_Sh"&amp;"eet!$E$2:$E$3143),
Master_Mapping_Sheet!$B$2:$B$3143=$A23))), 0, sum(filter(
Master_Mapping_Sheet!$E$2:$E$3143, ISNUMBER(
Master_Mapping_Sheet!$E$2:$E$3143),
Master_Mapping_Sheet!$H$2:$H$3143=J$1,
Master_Mapping_Sheet!$B$2:$B$3143=$A23))/sum(filter(
Maste"&amp;"r_Mapping_Sheet!$E$2:$E$3143, ISNUMBER(
Master_Mapping_Sheet!$E$2:$E$3143),
Master_Mapping_Sheet!$B$2:$B$3143=$A23)))"),0.0)</f>
        <v>0</v>
      </c>
      <c r="K23" s="34">
        <f>IFERROR(__xludf.DUMMYFUNCTION("IF(ISNA(sum(filter(
Master_Mapping_Sheet!$E$2:$E$3143, ISNUMBER(
Master_Mapping_Sheet!$E$2:$E$3143),
Master_Mapping_Sheet!$H$2:$H$3143=K$1,
Master_Mapping_Sheet!$B$2:$B$3143=$A23))/sum(filter(
Master_Mapping_Sheet!$E$2:$E$3143, ISNUMBER(
Master_Mapping_Sh"&amp;"eet!$E$2:$E$3143),
Master_Mapping_Sheet!$B$2:$B$3143=$A23))), 0, sum(filter(
Master_Mapping_Sheet!$E$2:$E$3143, ISNUMBER(
Master_Mapping_Sheet!$E$2:$E$3143),
Master_Mapping_Sheet!$H$2:$H$3143=K$1,
Master_Mapping_Sheet!$B$2:$B$3143=$A23))/sum(filter(
Maste"&amp;"r_Mapping_Sheet!$E$2:$E$3143, ISNUMBER(
Master_Mapping_Sheet!$E$2:$E$3143),
Master_Mapping_Sheet!$B$2:$B$3143=$A23)))"),0.0)</f>
        <v>0</v>
      </c>
      <c r="L23" s="34">
        <f>IFERROR(__xludf.DUMMYFUNCTION("IF(ISNA(sum(filter(
Master_Mapping_Sheet!$E$2:$E$3143, ISNUMBER(
Master_Mapping_Sheet!$E$2:$E$3143),
Master_Mapping_Sheet!$H$2:$H$3143=L$1,
Master_Mapping_Sheet!$B$2:$B$3143=$A23))/sum(filter(
Master_Mapping_Sheet!$E$2:$E$3143, ISNUMBER(
Master_Mapping_Sh"&amp;"eet!$E$2:$E$3143),
Master_Mapping_Sheet!$B$2:$B$3143=$A23))), 0, sum(filter(
Master_Mapping_Sheet!$E$2:$E$3143, ISNUMBER(
Master_Mapping_Sheet!$E$2:$E$3143),
Master_Mapping_Sheet!$H$2:$H$3143=L$1,
Master_Mapping_Sheet!$B$2:$B$3143=$A23))/sum(filter(
Maste"&amp;"r_Mapping_Sheet!$E$2:$E$3143, ISNUMBER(
Master_Mapping_Sheet!$E$2:$E$3143),
Master_Mapping_Sheet!$B$2:$B$3143=$A23)))"),0.0)</f>
        <v>0</v>
      </c>
      <c r="M23" s="34">
        <f>IFERROR(__xludf.DUMMYFUNCTION("IF(ISNA(sum(filter(
Master_Mapping_Sheet!$E$2:$E$3143, ISNUMBER(
Master_Mapping_Sheet!$E$2:$E$3143),
Master_Mapping_Sheet!$H$2:$H$3143=M$1,
Master_Mapping_Sheet!$B$2:$B$3143=$A23))/sum(filter(
Master_Mapping_Sheet!$E$2:$E$3143, ISNUMBER(
Master_Mapping_Sh"&amp;"eet!$E$2:$E$3143),
Master_Mapping_Sheet!$B$2:$B$3143=$A23))), 0, sum(filter(
Master_Mapping_Sheet!$E$2:$E$3143, ISNUMBER(
Master_Mapping_Sheet!$E$2:$E$3143),
Master_Mapping_Sheet!$H$2:$H$3143=M$1,
Master_Mapping_Sheet!$B$2:$B$3143=$A23))/sum(filter(
Maste"&amp;"r_Mapping_Sheet!$E$2:$E$3143, ISNUMBER(
Master_Mapping_Sheet!$E$2:$E$3143),
Master_Mapping_Sheet!$B$2:$B$3143=$A23)))"),0.0)</f>
        <v>0</v>
      </c>
      <c r="N23" s="34">
        <f>IFERROR(__xludf.DUMMYFUNCTION("IF(ISNA(sum(filter(
Master_Mapping_Sheet!$E$2:$E$3143, ISNUMBER(
Master_Mapping_Sheet!$E$2:$E$3143),
Master_Mapping_Sheet!$H$2:$H$3143=N$1,
Master_Mapping_Sheet!$B$2:$B$3143=$A23))/sum(filter(
Master_Mapping_Sheet!$E$2:$E$3143, ISNUMBER(
Master_Mapping_Sh"&amp;"eet!$E$2:$E$3143),
Master_Mapping_Sheet!$B$2:$B$3143=$A23))), 0, sum(filter(
Master_Mapping_Sheet!$E$2:$E$3143, ISNUMBER(
Master_Mapping_Sheet!$E$2:$E$3143),
Master_Mapping_Sheet!$H$2:$H$3143=N$1,
Master_Mapping_Sheet!$B$2:$B$3143=$A23))/sum(filter(
Maste"&amp;"r_Mapping_Sheet!$E$2:$E$3143, ISNUMBER(
Master_Mapping_Sheet!$E$2:$E$3143),
Master_Mapping_Sheet!$B$2:$B$3143=$A23)))"),0.0)</f>
        <v>0</v>
      </c>
      <c r="O23" s="34">
        <f>IFERROR(__xludf.DUMMYFUNCTION("IF(ISNA(sum(filter(
Master_Mapping_Sheet!$E$2:$E$3143, ISNUMBER(
Master_Mapping_Sheet!$E$2:$E$3143),
Master_Mapping_Sheet!$H$2:$H$3143=O$1,
Master_Mapping_Sheet!$B$2:$B$3143=$A23))/sum(filter(
Master_Mapping_Sheet!$E$2:$E$3143, ISNUMBER(
Master_Mapping_Sh"&amp;"eet!$E$2:$E$3143),
Master_Mapping_Sheet!$B$2:$B$3143=$A23))), 0, sum(filter(
Master_Mapping_Sheet!$E$2:$E$3143, ISNUMBER(
Master_Mapping_Sheet!$E$2:$E$3143),
Master_Mapping_Sheet!$H$2:$H$3143=O$1,
Master_Mapping_Sheet!$B$2:$B$3143=$A23))/sum(filter(
Maste"&amp;"r_Mapping_Sheet!$E$2:$E$3143, ISNUMBER(
Master_Mapping_Sheet!$E$2:$E$3143),
Master_Mapping_Sheet!$B$2:$B$3143=$A23)))"),0.0)</f>
        <v>0</v>
      </c>
      <c r="P23" s="34">
        <f>IFERROR(__xludf.DUMMYFUNCTION("IF(ISNA(sum(filter(
Master_Mapping_Sheet!$E$2:$E$3143, ISNUMBER(
Master_Mapping_Sheet!$E$2:$E$3143),
Master_Mapping_Sheet!$H$2:$H$3143=P$1,
Master_Mapping_Sheet!$B$2:$B$3143=$A23))/sum(filter(
Master_Mapping_Sheet!$E$2:$E$3143, ISNUMBER(
Master_Mapping_Sh"&amp;"eet!$E$2:$E$3143),
Master_Mapping_Sheet!$B$2:$B$3143=$A23))), 0, sum(filter(
Master_Mapping_Sheet!$E$2:$E$3143, ISNUMBER(
Master_Mapping_Sheet!$E$2:$E$3143),
Master_Mapping_Sheet!$H$2:$H$3143=P$1,
Master_Mapping_Sheet!$B$2:$B$3143=$A23))/sum(filter(
Maste"&amp;"r_Mapping_Sheet!$E$2:$E$3143, ISNUMBER(
Master_Mapping_Sheet!$E$2:$E$3143),
Master_Mapping_Sheet!$B$2:$B$3143=$A23)))"),0.0)</f>
        <v>0</v>
      </c>
      <c r="Q23" s="34">
        <f>IFERROR(__xludf.DUMMYFUNCTION("IF(ISNA(sum(filter(
Master_Mapping_Sheet!$E$2:$E$3143, ISNUMBER(
Master_Mapping_Sheet!$E$2:$E$3143),
Master_Mapping_Sheet!$H$2:$H$3143=Q$1,
Master_Mapping_Sheet!$B$2:$B$3143=$A23))/sum(filter(
Master_Mapping_Sheet!$E$2:$E$3143, ISNUMBER(
Master_Mapping_Sh"&amp;"eet!$E$2:$E$3143),
Master_Mapping_Sheet!$B$2:$B$3143=$A23))), 0, sum(filter(
Master_Mapping_Sheet!$E$2:$E$3143, ISNUMBER(
Master_Mapping_Sheet!$E$2:$E$3143),
Master_Mapping_Sheet!$H$2:$H$3143=Q$1,
Master_Mapping_Sheet!$B$2:$B$3143=$A23))/sum(filter(
Maste"&amp;"r_Mapping_Sheet!$E$2:$E$3143, ISNUMBER(
Master_Mapping_Sheet!$E$2:$E$3143),
Master_Mapping_Sheet!$B$2:$B$3143=$A23)))"),0.0)</f>
        <v>0</v>
      </c>
      <c r="R23" s="34">
        <f>IFERROR(__xludf.DUMMYFUNCTION("IF(ISNA(sum(filter(
Master_Mapping_Sheet!$E$2:$E$3143, ISNUMBER(
Master_Mapping_Sheet!$E$2:$E$3143),
Master_Mapping_Sheet!$H$2:$H$3143=R$1,
Master_Mapping_Sheet!$B$2:$B$3143=$A23))/sum(filter(
Master_Mapping_Sheet!$E$2:$E$3143, ISNUMBER(
Master_Mapping_Sh"&amp;"eet!$E$2:$E$3143),
Master_Mapping_Sheet!$B$2:$B$3143=$A23))), 0, sum(filter(
Master_Mapping_Sheet!$E$2:$E$3143, ISNUMBER(
Master_Mapping_Sheet!$E$2:$E$3143),
Master_Mapping_Sheet!$H$2:$H$3143=R$1,
Master_Mapping_Sheet!$B$2:$B$3143=$A23))/sum(filter(
Maste"&amp;"r_Mapping_Sheet!$E$2:$E$3143, ISNUMBER(
Master_Mapping_Sheet!$E$2:$E$3143),
Master_Mapping_Sheet!$B$2:$B$3143=$A23)))"),0.0)</f>
        <v>0</v>
      </c>
      <c r="S23" s="34">
        <f>IFERROR(__xludf.DUMMYFUNCTION("IF(ISNA(sum(filter(
Master_Mapping_Sheet!$E$2:$E$3143, ISNUMBER(
Master_Mapping_Sheet!$E$2:$E$3143),
Master_Mapping_Sheet!$H$2:$H$3143=S$1,
Master_Mapping_Sheet!$B$2:$B$3143=$A23))/sum(filter(
Master_Mapping_Sheet!$E$2:$E$3143, ISNUMBER(
Master_Mapping_Sh"&amp;"eet!$E$2:$E$3143),
Master_Mapping_Sheet!$B$2:$B$3143=$A23))), 0, sum(filter(
Master_Mapping_Sheet!$E$2:$E$3143, ISNUMBER(
Master_Mapping_Sheet!$E$2:$E$3143),
Master_Mapping_Sheet!$H$2:$H$3143=S$1,
Master_Mapping_Sheet!$B$2:$B$3143=$A23))/sum(filter(
Maste"&amp;"r_Mapping_Sheet!$E$2:$E$3143, ISNUMBER(
Master_Mapping_Sheet!$E$2:$E$3143),
Master_Mapping_Sheet!$B$2:$B$3143=$A23)))"),0.0)</f>
        <v>0</v>
      </c>
      <c r="T23" s="34">
        <f>IFERROR(__xludf.DUMMYFUNCTION("IF(ISNA(sum(filter(
Master_Mapping_Sheet!$E$2:$E$3143, ISNUMBER(
Master_Mapping_Sheet!$E$2:$E$3143),
Master_Mapping_Sheet!$H$2:$H$3143=T$1,
Master_Mapping_Sheet!$B$2:$B$3143=$A23))/sum(filter(
Master_Mapping_Sheet!$E$2:$E$3143, ISNUMBER(
Master_Mapping_Sh"&amp;"eet!$E$2:$E$3143),
Master_Mapping_Sheet!$B$2:$B$3143=$A23))), 0, sum(filter(
Master_Mapping_Sheet!$E$2:$E$3143, ISNUMBER(
Master_Mapping_Sheet!$E$2:$E$3143),
Master_Mapping_Sheet!$H$2:$H$3143=T$1,
Master_Mapping_Sheet!$B$2:$B$3143=$A23))/sum(filter(
Maste"&amp;"r_Mapping_Sheet!$E$2:$E$3143, ISNUMBER(
Master_Mapping_Sheet!$E$2:$E$3143),
Master_Mapping_Sheet!$B$2:$B$3143=$A23)))"),0.0)</f>
        <v>0</v>
      </c>
      <c r="U23" s="34">
        <f>IFERROR(__xludf.DUMMYFUNCTION("IF(ISNA(sum(filter(
Master_Mapping_Sheet!$E$2:$E$3143, ISNUMBER(
Master_Mapping_Sheet!$E$2:$E$3143),
Master_Mapping_Sheet!$H$2:$H$3143=U$1,
Master_Mapping_Sheet!$B$2:$B$3143=$A23))/sum(filter(
Master_Mapping_Sheet!$E$2:$E$3143, ISNUMBER(
Master_Mapping_Sh"&amp;"eet!$E$2:$E$3143),
Master_Mapping_Sheet!$B$2:$B$3143=$A23))), 0, sum(filter(
Master_Mapping_Sheet!$E$2:$E$3143, ISNUMBER(
Master_Mapping_Sheet!$E$2:$E$3143),
Master_Mapping_Sheet!$H$2:$H$3143=U$1,
Master_Mapping_Sheet!$B$2:$B$3143=$A23))/sum(filter(
Maste"&amp;"r_Mapping_Sheet!$E$2:$E$3143, ISNUMBER(
Master_Mapping_Sheet!$E$2:$E$3143),
Master_Mapping_Sheet!$B$2:$B$3143=$A23)))"),0.0)</f>
        <v>0</v>
      </c>
      <c r="V23" s="34">
        <f>IFERROR(__xludf.DUMMYFUNCTION("IF(ISNA(sum(filter(
Master_Mapping_Sheet!$E$2:$E$3143, ISNUMBER(
Master_Mapping_Sheet!$E$2:$E$3143),
Master_Mapping_Sheet!$H$2:$H$3143=V$1,
Master_Mapping_Sheet!$B$2:$B$3143=$A23))/sum(filter(
Master_Mapping_Sheet!$E$2:$E$3143, ISNUMBER(
Master_Mapping_Sh"&amp;"eet!$E$2:$E$3143),
Master_Mapping_Sheet!$B$2:$B$3143=$A23))), 0, sum(filter(
Master_Mapping_Sheet!$E$2:$E$3143, ISNUMBER(
Master_Mapping_Sheet!$E$2:$E$3143),
Master_Mapping_Sheet!$H$2:$H$3143=V$1,
Master_Mapping_Sheet!$B$2:$B$3143=$A23))/sum(filter(
Maste"&amp;"r_Mapping_Sheet!$E$2:$E$3143, ISNUMBER(
Master_Mapping_Sheet!$E$2:$E$3143),
Master_Mapping_Sheet!$B$2:$B$3143=$A23)))"),0.0)</f>
        <v>0</v>
      </c>
      <c r="W23" s="34">
        <f>IFERROR(__xludf.DUMMYFUNCTION("IF(ISNA(sum(filter(
Master_Mapping_Sheet!$E$2:$E$3143, ISNUMBER(
Master_Mapping_Sheet!$E$2:$E$3143),
Master_Mapping_Sheet!$H$2:$H$3143=W$1,
Master_Mapping_Sheet!$B$2:$B$3143=$A23))/sum(filter(
Master_Mapping_Sheet!$E$2:$E$3143, ISNUMBER(
Master_Mapping_Sh"&amp;"eet!$E$2:$E$3143),
Master_Mapping_Sheet!$B$2:$B$3143=$A23))), 0, sum(filter(
Master_Mapping_Sheet!$E$2:$E$3143, ISNUMBER(
Master_Mapping_Sheet!$E$2:$E$3143),
Master_Mapping_Sheet!$H$2:$H$3143=W$1,
Master_Mapping_Sheet!$B$2:$B$3143=$A23))/sum(filter(
Maste"&amp;"r_Mapping_Sheet!$E$2:$E$3143, ISNUMBER(
Master_Mapping_Sheet!$E$2:$E$3143),
Master_Mapping_Sheet!$B$2:$B$3143=$A23)))"),0.0)</f>
        <v>0</v>
      </c>
      <c r="X23" s="34">
        <f>IFERROR(__xludf.DUMMYFUNCTION("IF(ISNA(sum(filter(
Master_Mapping_Sheet!$E$2:$E$3143, ISNUMBER(
Master_Mapping_Sheet!$E$2:$E$3143),
Master_Mapping_Sheet!$H$2:$H$3143=X$1,
Master_Mapping_Sheet!$B$2:$B$3143=$A23))/sum(filter(
Master_Mapping_Sheet!$E$2:$E$3143, ISNUMBER(
Master_Mapping_Sh"&amp;"eet!$E$2:$E$3143),
Master_Mapping_Sheet!$B$2:$B$3143=$A23))), 0, sum(filter(
Master_Mapping_Sheet!$E$2:$E$3143, ISNUMBER(
Master_Mapping_Sheet!$E$2:$E$3143),
Master_Mapping_Sheet!$H$2:$H$3143=X$1,
Master_Mapping_Sheet!$B$2:$B$3143=$A23))/sum(filter(
Maste"&amp;"r_Mapping_Sheet!$E$2:$E$3143, ISNUMBER(
Master_Mapping_Sheet!$E$2:$E$3143),
Master_Mapping_Sheet!$B$2:$B$3143=$A23)))"),0.0)</f>
        <v>0</v>
      </c>
      <c r="Y23" s="34">
        <f>IFERROR(__xludf.DUMMYFUNCTION("IF(ISNA(sum(filter(
Master_Mapping_Sheet!$E$2:$E$3143, ISNUMBER(
Master_Mapping_Sheet!$E$2:$E$3143),
Master_Mapping_Sheet!$H$2:$H$3143=Y$1,
Master_Mapping_Sheet!$B$2:$B$3143=$A23))/sum(filter(
Master_Mapping_Sheet!$E$2:$E$3143, ISNUMBER(
Master_Mapping_Sh"&amp;"eet!$E$2:$E$3143),
Master_Mapping_Sheet!$B$2:$B$3143=$A23))), 0, sum(filter(
Master_Mapping_Sheet!$E$2:$E$3143, ISNUMBER(
Master_Mapping_Sheet!$E$2:$E$3143),
Master_Mapping_Sheet!$H$2:$H$3143=Y$1,
Master_Mapping_Sheet!$B$2:$B$3143=$A23))/sum(filter(
Maste"&amp;"r_Mapping_Sheet!$E$2:$E$3143, ISNUMBER(
Master_Mapping_Sheet!$E$2:$E$3143),
Master_Mapping_Sheet!$B$2:$B$3143=$A23)))"),0.0)</f>
        <v>0</v>
      </c>
      <c r="Z23" s="34">
        <f>IFERROR(__xludf.DUMMYFUNCTION("IF(ISNA(sum(filter(
Master_Mapping_Sheet!$E$2:$E$3143, ISNUMBER(
Master_Mapping_Sheet!$E$2:$E$3143),
Master_Mapping_Sheet!$H$2:$H$3143=Z$1,
Master_Mapping_Sheet!$B$2:$B$3143=$A23))/sum(filter(
Master_Mapping_Sheet!$E$2:$E$3143, ISNUMBER(
Master_Mapping_Sh"&amp;"eet!$E$2:$E$3143),
Master_Mapping_Sheet!$B$2:$B$3143=$A23))), 0, sum(filter(
Master_Mapping_Sheet!$E$2:$E$3143, ISNUMBER(
Master_Mapping_Sheet!$E$2:$E$3143),
Master_Mapping_Sheet!$H$2:$H$3143=Z$1,
Master_Mapping_Sheet!$B$2:$B$3143=$A23))/sum(filter(
Maste"&amp;"r_Mapping_Sheet!$E$2:$E$3143, ISNUMBER(
Master_Mapping_Sheet!$E$2:$E$3143),
Master_Mapping_Sheet!$B$2:$B$3143=$A23)))"),0.0)</f>
        <v>0</v>
      </c>
      <c r="AA23" s="34">
        <f>IFERROR(__xludf.DUMMYFUNCTION("IF(ISNA(sum(filter(
Master_Mapping_Sheet!$E$2:$E$3143, ISNUMBER(
Master_Mapping_Sheet!$E$2:$E$3143),
Master_Mapping_Sheet!$H$2:$H$3143=AA$1,
Master_Mapping_Sheet!$B$2:$B$3143=$A23))/sum(filter(
Master_Mapping_Sheet!$E$2:$E$3143, ISNUMBER(
Master_Mapping_S"&amp;"heet!$E$2:$E$3143),
Master_Mapping_Sheet!$B$2:$B$3143=$A23))), 0, sum(filter(
Master_Mapping_Sheet!$E$2:$E$3143, ISNUMBER(
Master_Mapping_Sheet!$E$2:$E$3143),
Master_Mapping_Sheet!$H$2:$H$3143=AA$1,
Master_Mapping_Sheet!$B$2:$B$3143=$A23))/sum(filter(
Mas"&amp;"ter_Mapping_Sheet!$E$2:$E$3143, ISNUMBER(
Master_Mapping_Sheet!$E$2:$E$3143),
Master_Mapping_Sheet!$B$2:$B$3143=$A23)))"),0.0)</f>
        <v>0</v>
      </c>
    </row>
    <row r="24" ht="15.75" customHeight="1">
      <c r="A24" s="34" t="s">
        <v>963</v>
      </c>
      <c r="B24" s="34" t="s">
        <v>2830</v>
      </c>
      <c r="C24" s="34">
        <f>IFERROR(__xludf.DUMMYFUNCTION("IF(ISNA(sum(filter(
Master_Mapping_Sheet!$E$2:$E$3143, ISNUMBER(
Master_Mapping_Sheet!$E$2:$E$3143),
Master_Mapping_Sheet!$H$2:$H$3143=C$1,
Master_Mapping_Sheet!$B$2:$B$3143=$A24))/sum(filter(
Master_Mapping_Sheet!$E$2:$E$3143, ISNUMBER(
Master_Mapping_Sh"&amp;"eet!$E$2:$E$3143),
Master_Mapping_Sheet!$B$2:$B$3143=$A24))), 0, sum(filter(
Master_Mapping_Sheet!$E$2:$E$3143, ISNUMBER(
Master_Mapping_Sheet!$E$2:$E$3143),
Master_Mapping_Sheet!$H$2:$H$3143=C$1,
Master_Mapping_Sheet!$B$2:$B$3143=$A24))/sum(filter(
Maste"&amp;"r_Mapping_Sheet!$E$2:$E$3143, ISNUMBER(
Master_Mapping_Sheet!$E$2:$E$3143),
Master_Mapping_Sheet!$B$2:$B$3143=$A24)))"),0.0)</f>
        <v>0</v>
      </c>
      <c r="D24" s="32">
        <f>IFERROR(__xludf.DUMMYFUNCTION("IF(ISNA(sum(filter(
Master_Mapping_Sheet!$E$2:$E$3143, ISNUMBER(
Master_Mapping_Sheet!$E$2:$E$3143),
Master_Mapping_Sheet!$H$2:$H$3143=D$1,
Master_Mapping_Sheet!$B$2:$B$3143=$A24))/sum(filter(
Master_Mapping_Sheet!$E$2:$E$3143, ISNUMBER(
Master_Mapping_Sh"&amp;"eet!$E$2:$E$3143),
Master_Mapping_Sheet!$B$2:$B$3143=$A24))), 0, sum(filter(
Master_Mapping_Sheet!$E$2:$E$3143, ISNUMBER(
Master_Mapping_Sheet!$E$2:$E$3143),
Master_Mapping_Sheet!$H$2:$H$3143=D$1,
Master_Mapping_Sheet!$B$2:$B$3143=$A24))/sum(filter(
Maste"&amp;"r_Mapping_Sheet!$E$2:$E$3143, ISNUMBER(
Master_Mapping_Sheet!$E$2:$E$3143),
Master_Mapping_Sheet!$B$2:$B$3143=$A24)))"),0.0)</f>
        <v>0</v>
      </c>
      <c r="E24" s="34">
        <f>IFERROR(__xludf.DUMMYFUNCTION("IF(ISNA(sum(filter(
Master_Mapping_Sheet!$E$2:$E$3143, ISNUMBER(
Master_Mapping_Sheet!$E$2:$E$3143),
Master_Mapping_Sheet!$H$2:$H$3143=E$1,
Master_Mapping_Sheet!$B$2:$B$3143=$A24))/sum(filter(
Master_Mapping_Sheet!$E$2:$E$3143, ISNUMBER(
Master_Mapping_Sh"&amp;"eet!$E$2:$E$3143),
Master_Mapping_Sheet!$B$2:$B$3143=$A24))), 0, sum(filter(
Master_Mapping_Sheet!$E$2:$E$3143, ISNUMBER(
Master_Mapping_Sheet!$E$2:$E$3143),
Master_Mapping_Sheet!$H$2:$H$3143=E$1,
Master_Mapping_Sheet!$B$2:$B$3143=$A24))/sum(filter(
Maste"&amp;"r_Mapping_Sheet!$E$2:$E$3143, ISNUMBER(
Master_Mapping_Sheet!$E$2:$E$3143),
Master_Mapping_Sheet!$B$2:$B$3143=$A24)))"),0.03019977262721374)</f>
        <v>0.03019977263</v>
      </c>
      <c r="F24" s="34">
        <f>IFERROR(__xludf.DUMMYFUNCTION("IF(ISNA(sum(filter(
Master_Mapping_Sheet!$E$2:$E$3143, ISNUMBER(
Master_Mapping_Sheet!$E$2:$E$3143),
Master_Mapping_Sheet!$H$2:$H$3143=F$1,
Master_Mapping_Sheet!$B$2:$B$3143=$A24))/sum(filter(
Master_Mapping_Sheet!$E$2:$E$3143, ISNUMBER(
Master_Mapping_Sh"&amp;"eet!$E$2:$E$3143),
Master_Mapping_Sheet!$B$2:$B$3143=$A24))), 0, sum(filter(
Master_Mapping_Sheet!$E$2:$E$3143, ISNUMBER(
Master_Mapping_Sheet!$E$2:$E$3143),
Master_Mapping_Sheet!$H$2:$H$3143=F$1,
Master_Mapping_Sheet!$B$2:$B$3143=$A24))/sum(filter(
Maste"&amp;"r_Mapping_Sheet!$E$2:$E$3143, ISNUMBER(
Master_Mapping_Sheet!$E$2:$E$3143),
Master_Mapping_Sheet!$B$2:$B$3143=$A24)))"),0.0)</f>
        <v>0</v>
      </c>
      <c r="G24" s="34">
        <f>IFERROR(__xludf.DUMMYFUNCTION("IF(ISNA(sum(filter(
Master_Mapping_Sheet!$E$2:$E$3143, ISNUMBER(
Master_Mapping_Sheet!$E$2:$E$3143),
Master_Mapping_Sheet!$H$2:$H$3143=G$1,
Master_Mapping_Sheet!$B$2:$B$3143=$A24))/sum(filter(
Master_Mapping_Sheet!$E$2:$E$3143, ISNUMBER(
Master_Mapping_Sh"&amp;"eet!$E$2:$E$3143),
Master_Mapping_Sheet!$B$2:$B$3143=$A24))), 0, sum(filter(
Master_Mapping_Sheet!$E$2:$E$3143, ISNUMBER(
Master_Mapping_Sheet!$E$2:$E$3143),
Master_Mapping_Sheet!$H$2:$H$3143=G$1,
Master_Mapping_Sheet!$B$2:$B$3143=$A24))/sum(filter(
Maste"&amp;"r_Mapping_Sheet!$E$2:$E$3143, ISNUMBER(
Master_Mapping_Sheet!$E$2:$E$3143),
Master_Mapping_Sheet!$B$2:$B$3143=$A24)))"),0.8975959676648839)</f>
        <v>0.8975959677</v>
      </c>
      <c r="H24" s="34">
        <f>IFERROR(__xludf.DUMMYFUNCTION("IF(ISNA(sum(filter(
Master_Mapping_Sheet!$E$2:$E$3143, ISNUMBER(
Master_Mapping_Sheet!$E$2:$E$3143),
Master_Mapping_Sheet!$H$2:$H$3143=H$1,
Master_Mapping_Sheet!$B$2:$B$3143=$A24))/sum(filter(
Master_Mapping_Sheet!$E$2:$E$3143, ISNUMBER(
Master_Mapping_Sh"&amp;"eet!$E$2:$E$3143),
Master_Mapping_Sheet!$B$2:$B$3143=$A24))), 0, sum(filter(
Master_Mapping_Sheet!$E$2:$E$3143, ISNUMBER(
Master_Mapping_Sheet!$E$2:$E$3143),
Master_Mapping_Sheet!$H$2:$H$3143=H$1,
Master_Mapping_Sheet!$B$2:$B$3143=$A24))/sum(filter(
Maste"&amp;"r_Mapping_Sheet!$E$2:$E$3143, ISNUMBER(
Master_Mapping_Sheet!$E$2:$E$3143),
Master_Mapping_Sheet!$B$2:$B$3143=$A24)))"),0.0)</f>
        <v>0</v>
      </c>
      <c r="I24" s="34">
        <f>IFERROR(__xludf.DUMMYFUNCTION("IF(ISNA(sum(filter(
Master_Mapping_Sheet!$E$2:$E$3143, ISNUMBER(
Master_Mapping_Sheet!$E$2:$E$3143),
Master_Mapping_Sheet!$H$2:$H$3143=I$1,
Master_Mapping_Sheet!$B$2:$B$3143=$A24))/sum(filter(
Master_Mapping_Sheet!$E$2:$E$3143, ISNUMBER(
Master_Mapping_Sh"&amp;"eet!$E$2:$E$3143),
Master_Mapping_Sheet!$B$2:$B$3143=$A24))), 0, sum(filter(
Master_Mapping_Sheet!$E$2:$E$3143, ISNUMBER(
Master_Mapping_Sheet!$E$2:$E$3143),
Master_Mapping_Sheet!$H$2:$H$3143=I$1,
Master_Mapping_Sheet!$B$2:$B$3143=$A24))/sum(filter(
Maste"&amp;"r_Mapping_Sheet!$E$2:$E$3143, ISNUMBER(
Master_Mapping_Sheet!$E$2:$E$3143),
Master_Mapping_Sheet!$B$2:$B$3143=$A24)))"),0.0)</f>
        <v>0</v>
      </c>
      <c r="J24" s="34">
        <f>IFERROR(__xludf.DUMMYFUNCTION("IF(ISNA(sum(filter(
Master_Mapping_Sheet!$E$2:$E$3143, ISNUMBER(
Master_Mapping_Sheet!$E$2:$E$3143),
Master_Mapping_Sheet!$H$2:$H$3143=J$1,
Master_Mapping_Sheet!$B$2:$B$3143=$A24))/sum(filter(
Master_Mapping_Sheet!$E$2:$E$3143, ISNUMBER(
Master_Mapping_Sh"&amp;"eet!$E$2:$E$3143),
Master_Mapping_Sheet!$B$2:$B$3143=$A24))), 0, sum(filter(
Master_Mapping_Sheet!$E$2:$E$3143, ISNUMBER(
Master_Mapping_Sheet!$E$2:$E$3143),
Master_Mapping_Sheet!$H$2:$H$3143=J$1,
Master_Mapping_Sheet!$B$2:$B$3143=$A24))/sum(filter(
Maste"&amp;"r_Mapping_Sheet!$E$2:$E$3143, ISNUMBER(
Master_Mapping_Sheet!$E$2:$E$3143),
Master_Mapping_Sheet!$B$2:$B$3143=$A24)))"),0.0)</f>
        <v>0</v>
      </c>
      <c r="K24" s="34">
        <f>IFERROR(__xludf.DUMMYFUNCTION("IF(ISNA(sum(filter(
Master_Mapping_Sheet!$E$2:$E$3143, ISNUMBER(
Master_Mapping_Sheet!$E$2:$E$3143),
Master_Mapping_Sheet!$H$2:$H$3143=K$1,
Master_Mapping_Sheet!$B$2:$B$3143=$A24))/sum(filter(
Master_Mapping_Sheet!$E$2:$E$3143, ISNUMBER(
Master_Mapping_Sh"&amp;"eet!$E$2:$E$3143),
Master_Mapping_Sheet!$B$2:$B$3143=$A24))), 0, sum(filter(
Master_Mapping_Sheet!$E$2:$E$3143, ISNUMBER(
Master_Mapping_Sheet!$E$2:$E$3143),
Master_Mapping_Sheet!$H$2:$H$3143=K$1,
Master_Mapping_Sheet!$B$2:$B$3143=$A24))/sum(filter(
Maste"&amp;"r_Mapping_Sheet!$E$2:$E$3143, ISNUMBER(
Master_Mapping_Sheet!$E$2:$E$3143),
Master_Mapping_Sheet!$B$2:$B$3143=$A24)))"),0.0)</f>
        <v>0</v>
      </c>
      <c r="L24" s="34">
        <f>IFERROR(__xludf.DUMMYFUNCTION("IF(ISNA(sum(filter(
Master_Mapping_Sheet!$E$2:$E$3143, ISNUMBER(
Master_Mapping_Sheet!$E$2:$E$3143),
Master_Mapping_Sheet!$H$2:$H$3143=L$1,
Master_Mapping_Sheet!$B$2:$B$3143=$A24))/sum(filter(
Master_Mapping_Sheet!$E$2:$E$3143, ISNUMBER(
Master_Mapping_Sh"&amp;"eet!$E$2:$E$3143),
Master_Mapping_Sheet!$B$2:$B$3143=$A24))), 0, sum(filter(
Master_Mapping_Sheet!$E$2:$E$3143, ISNUMBER(
Master_Mapping_Sheet!$E$2:$E$3143),
Master_Mapping_Sheet!$H$2:$H$3143=L$1,
Master_Mapping_Sheet!$B$2:$B$3143=$A24))/sum(filter(
Maste"&amp;"r_Mapping_Sheet!$E$2:$E$3143, ISNUMBER(
Master_Mapping_Sheet!$E$2:$E$3143),
Master_Mapping_Sheet!$B$2:$B$3143=$A24)))"),0.0)</f>
        <v>0</v>
      </c>
      <c r="M24" s="34">
        <f>IFERROR(__xludf.DUMMYFUNCTION("IF(ISNA(sum(filter(
Master_Mapping_Sheet!$E$2:$E$3143, ISNUMBER(
Master_Mapping_Sheet!$E$2:$E$3143),
Master_Mapping_Sheet!$H$2:$H$3143=M$1,
Master_Mapping_Sheet!$B$2:$B$3143=$A24))/sum(filter(
Master_Mapping_Sheet!$E$2:$E$3143, ISNUMBER(
Master_Mapping_Sh"&amp;"eet!$E$2:$E$3143),
Master_Mapping_Sheet!$B$2:$B$3143=$A24))), 0, sum(filter(
Master_Mapping_Sheet!$E$2:$E$3143, ISNUMBER(
Master_Mapping_Sheet!$E$2:$E$3143),
Master_Mapping_Sheet!$H$2:$H$3143=M$1,
Master_Mapping_Sheet!$B$2:$B$3143=$A24))/sum(filter(
Maste"&amp;"r_Mapping_Sheet!$E$2:$E$3143, ISNUMBER(
Master_Mapping_Sheet!$E$2:$E$3143),
Master_Mapping_Sheet!$B$2:$B$3143=$A24)))"),0.07220425970790238)</f>
        <v>0.07220425971</v>
      </c>
      <c r="N24" s="34">
        <f>IFERROR(__xludf.DUMMYFUNCTION("IF(ISNA(sum(filter(
Master_Mapping_Sheet!$E$2:$E$3143, ISNUMBER(
Master_Mapping_Sheet!$E$2:$E$3143),
Master_Mapping_Sheet!$H$2:$H$3143=N$1,
Master_Mapping_Sheet!$B$2:$B$3143=$A24))/sum(filter(
Master_Mapping_Sheet!$E$2:$E$3143, ISNUMBER(
Master_Mapping_Sh"&amp;"eet!$E$2:$E$3143),
Master_Mapping_Sheet!$B$2:$B$3143=$A24))), 0, sum(filter(
Master_Mapping_Sheet!$E$2:$E$3143, ISNUMBER(
Master_Mapping_Sheet!$E$2:$E$3143),
Master_Mapping_Sheet!$H$2:$H$3143=N$1,
Master_Mapping_Sheet!$B$2:$B$3143=$A24))/sum(filter(
Maste"&amp;"r_Mapping_Sheet!$E$2:$E$3143, ISNUMBER(
Master_Mapping_Sheet!$E$2:$E$3143),
Master_Mapping_Sheet!$B$2:$B$3143=$A24)))"),0.0)</f>
        <v>0</v>
      </c>
      <c r="O24" s="34">
        <f>IFERROR(__xludf.DUMMYFUNCTION("IF(ISNA(sum(filter(
Master_Mapping_Sheet!$E$2:$E$3143, ISNUMBER(
Master_Mapping_Sheet!$E$2:$E$3143),
Master_Mapping_Sheet!$H$2:$H$3143=O$1,
Master_Mapping_Sheet!$B$2:$B$3143=$A24))/sum(filter(
Master_Mapping_Sheet!$E$2:$E$3143, ISNUMBER(
Master_Mapping_Sh"&amp;"eet!$E$2:$E$3143),
Master_Mapping_Sheet!$B$2:$B$3143=$A24))), 0, sum(filter(
Master_Mapping_Sheet!$E$2:$E$3143, ISNUMBER(
Master_Mapping_Sheet!$E$2:$E$3143),
Master_Mapping_Sheet!$H$2:$H$3143=O$1,
Master_Mapping_Sheet!$B$2:$B$3143=$A24))/sum(filter(
Maste"&amp;"r_Mapping_Sheet!$E$2:$E$3143, ISNUMBER(
Master_Mapping_Sheet!$E$2:$E$3143),
Master_Mapping_Sheet!$B$2:$B$3143=$A24)))"),0.0)</f>
        <v>0</v>
      </c>
      <c r="P24" s="34">
        <f>IFERROR(__xludf.DUMMYFUNCTION("IF(ISNA(sum(filter(
Master_Mapping_Sheet!$E$2:$E$3143, ISNUMBER(
Master_Mapping_Sheet!$E$2:$E$3143),
Master_Mapping_Sheet!$H$2:$H$3143=P$1,
Master_Mapping_Sheet!$B$2:$B$3143=$A24))/sum(filter(
Master_Mapping_Sheet!$E$2:$E$3143, ISNUMBER(
Master_Mapping_Sh"&amp;"eet!$E$2:$E$3143),
Master_Mapping_Sheet!$B$2:$B$3143=$A24))), 0, sum(filter(
Master_Mapping_Sheet!$E$2:$E$3143, ISNUMBER(
Master_Mapping_Sheet!$E$2:$E$3143),
Master_Mapping_Sheet!$H$2:$H$3143=P$1,
Master_Mapping_Sheet!$B$2:$B$3143=$A24))/sum(filter(
Maste"&amp;"r_Mapping_Sheet!$E$2:$E$3143, ISNUMBER(
Master_Mapping_Sheet!$E$2:$E$3143),
Master_Mapping_Sheet!$B$2:$B$3143=$A24)))"),0.0)</f>
        <v>0</v>
      </c>
      <c r="Q24" s="34">
        <f>IFERROR(__xludf.DUMMYFUNCTION("IF(ISNA(sum(filter(
Master_Mapping_Sheet!$E$2:$E$3143, ISNUMBER(
Master_Mapping_Sheet!$E$2:$E$3143),
Master_Mapping_Sheet!$H$2:$H$3143=Q$1,
Master_Mapping_Sheet!$B$2:$B$3143=$A24))/sum(filter(
Master_Mapping_Sheet!$E$2:$E$3143, ISNUMBER(
Master_Mapping_Sh"&amp;"eet!$E$2:$E$3143),
Master_Mapping_Sheet!$B$2:$B$3143=$A24))), 0, sum(filter(
Master_Mapping_Sheet!$E$2:$E$3143, ISNUMBER(
Master_Mapping_Sheet!$E$2:$E$3143),
Master_Mapping_Sheet!$H$2:$H$3143=Q$1,
Master_Mapping_Sheet!$B$2:$B$3143=$A24))/sum(filter(
Maste"&amp;"r_Mapping_Sheet!$E$2:$E$3143, ISNUMBER(
Master_Mapping_Sheet!$E$2:$E$3143),
Master_Mapping_Sheet!$B$2:$B$3143=$A24)))"),0.0)</f>
        <v>0</v>
      </c>
      <c r="R24" s="34">
        <f>IFERROR(__xludf.DUMMYFUNCTION("IF(ISNA(sum(filter(
Master_Mapping_Sheet!$E$2:$E$3143, ISNUMBER(
Master_Mapping_Sheet!$E$2:$E$3143),
Master_Mapping_Sheet!$H$2:$H$3143=R$1,
Master_Mapping_Sheet!$B$2:$B$3143=$A24))/sum(filter(
Master_Mapping_Sheet!$E$2:$E$3143, ISNUMBER(
Master_Mapping_Sh"&amp;"eet!$E$2:$E$3143),
Master_Mapping_Sheet!$B$2:$B$3143=$A24))), 0, sum(filter(
Master_Mapping_Sheet!$E$2:$E$3143, ISNUMBER(
Master_Mapping_Sheet!$E$2:$E$3143),
Master_Mapping_Sheet!$H$2:$H$3143=R$1,
Master_Mapping_Sheet!$B$2:$B$3143=$A24))/sum(filter(
Maste"&amp;"r_Mapping_Sheet!$E$2:$E$3143, ISNUMBER(
Master_Mapping_Sheet!$E$2:$E$3143),
Master_Mapping_Sheet!$B$2:$B$3143=$A24)))"),0.0)</f>
        <v>0</v>
      </c>
      <c r="S24" s="34">
        <f>IFERROR(__xludf.DUMMYFUNCTION("IF(ISNA(sum(filter(
Master_Mapping_Sheet!$E$2:$E$3143, ISNUMBER(
Master_Mapping_Sheet!$E$2:$E$3143),
Master_Mapping_Sheet!$H$2:$H$3143=S$1,
Master_Mapping_Sheet!$B$2:$B$3143=$A24))/sum(filter(
Master_Mapping_Sheet!$E$2:$E$3143, ISNUMBER(
Master_Mapping_Sh"&amp;"eet!$E$2:$E$3143),
Master_Mapping_Sheet!$B$2:$B$3143=$A24))), 0, sum(filter(
Master_Mapping_Sheet!$E$2:$E$3143, ISNUMBER(
Master_Mapping_Sheet!$E$2:$E$3143),
Master_Mapping_Sheet!$H$2:$H$3143=S$1,
Master_Mapping_Sheet!$B$2:$B$3143=$A24))/sum(filter(
Maste"&amp;"r_Mapping_Sheet!$E$2:$E$3143, ISNUMBER(
Master_Mapping_Sheet!$E$2:$E$3143),
Master_Mapping_Sheet!$B$2:$B$3143=$A24)))"),0.0)</f>
        <v>0</v>
      </c>
      <c r="T24" s="34">
        <f>IFERROR(__xludf.DUMMYFUNCTION("IF(ISNA(sum(filter(
Master_Mapping_Sheet!$E$2:$E$3143, ISNUMBER(
Master_Mapping_Sheet!$E$2:$E$3143),
Master_Mapping_Sheet!$H$2:$H$3143=T$1,
Master_Mapping_Sheet!$B$2:$B$3143=$A24))/sum(filter(
Master_Mapping_Sheet!$E$2:$E$3143, ISNUMBER(
Master_Mapping_Sh"&amp;"eet!$E$2:$E$3143),
Master_Mapping_Sheet!$B$2:$B$3143=$A24))), 0, sum(filter(
Master_Mapping_Sheet!$E$2:$E$3143, ISNUMBER(
Master_Mapping_Sheet!$E$2:$E$3143),
Master_Mapping_Sheet!$H$2:$H$3143=T$1,
Master_Mapping_Sheet!$B$2:$B$3143=$A24))/sum(filter(
Maste"&amp;"r_Mapping_Sheet!$E$2:$E$3143, ISNUMBER(
Master_Mapping_Sheet!$E$2:$E$3143),
Master_Mapping_Sheet!$B$2:$B$3143=$A24)))"),0.0)</f>
        <v>0</v>
      </c>
      <c r="U24" s="34">
        <f>IFERROR(__xludf.DUMMYFUNCTION("IF(ISNA(sum(filter(
Master_Mapping_Sheet!$E$2:$E$3143, ISNUMBER(
Master_Mapping_Sheet!$E$2:$E$3143),
Master_Mapping_Sheet!$H$2:$H$3143=U$1,
Master_Mapping_Sheet!$B$2:$B$3143=$A24))/sum(filter(
Master_Mapping_Sheet!$E$2:$E$3143, ISNUMBER(
Master_Mapping_Sh"&amp;"eet!$E$2:$E$3143),
Master_Mapping_Sheet!$B$2:$B$3143=$A24))), 0, sum(filter(
Master_Mapping_Sheet!$E$2:$E$3143, ISNUMBER(
Master_Mapping_Sheet!$E$2:$E$3143),
Master_Mapping_Sheet!$H$2:$H$3143=U$1,
Master_Mapping_Sheet!$B$2:$B$3143=$A24))/sum(filter(
Maste"&amp;"r_Mapping_Sheet!$E$2:$E$3143, ISNUMBER(
Master_Mapping_Sheet!$E$2:$E$3143),
Master_Mapping_Sheet!$B$2:$B$3143=$A24)))"),0.0)</f>
        <v>0</v>
      </c>
      <c r="V24" s="34">
        <f>IFERROR(__xludf.DUMMYFUNCTION("IF(ISNA(sum(filter(
Master_Mapping_Sheet!$E$2:$E$3143, ISNUMBER(
Master_Mapping_Sheet!$E$2:$E$3143),
Master_Mapping_Sheet!$H$2:$H$3143=V$1,
Master_Mapping_Sheet!$B$2:$B$3143=$A24))/sum(filter(
Master_Mapping_Sheet!$E$2:$E$3143, ISNUMBER(
Master_Mapping_Sh"&amp;"eet!$E$2:$E$3143),
Master_Mapping_Sheet!$B$2:$B$3143=$A24))), 0, sum(filter(
Master_Mapping_Sheet!$E$2:$E$3143, ISNUMBER(
Master_Mapping_Sheet!$E$2:$E$3143),
Master_Mapping_Sheet!$H$2:$H$3143=V$1,
Master_Mapping_Sheet!$B$2:$B$3143=$A24))/sum(filter(
Maste"&amp;"r_Mapping_Sheet!$E$2:$E$3143, ISNUMBER(
Master_Mapping_Sheet!$E$2:$E$3143),
Master_Mapping_Sheet!$B$2:$B$3143=$A24)))"),0.0)</f>
        <v>0</v>
      </c>
      <c r="W24" s="34">
        <f>IFERROR(__xludf.DUMMYFUNCTION("IF(ISNA(sum(filter(
Master_Mapping_Sheet!$E$2:$E$3143, ISNUMBER(
Master_Mapping_Sheet!$E$2:$E$3143),
Master_Mapping_Sheet!$H$2:$H$3143=W$1,
Master_Mapping_Sheet!$B$2:$B$3143=$A24))/sum(filter(
Master_Mapping_Sheet!$E$2:$E$3143, ISNUMBER(
Master_Mapping_Sh"&amp;"eet!$E$2:$E$3143),
Master_Mapping_Sheet!$B$2:$B$3143=$A24))), 0, sum(filter(
Master_Mapping_Sheet!$E$2:$E$3143, ISNUMBER(
Master_Mapping_Sheet!$E$2:$E$3143),
Master_Mapping_Sheet!$H$2:$H$3143=W$1,
Master_Mapping_Sheet!$B$2:$B$3143=$A24))/sum(filter(
Maste"&amp;"r_Mapping_Sheet!$E$2:$E$3143, ISNUMBER(
Master_Mapping_Sheet!$E$2:$E$3143),
Master_Mapping_Sheet!$B$2:$B$3143=$A24)))"),0.0)</f>
        <v>0</v>
      </c>
      <c r="X24" s="34">
        <f>IFERROR(__xludf.DUMMYFUNCTION("IF(ISNA(sum(filter(
Master_Mapping_Sheet!$E$2:$E$3143, ISNUMBER(
Master_Mapping_Sheet!$E$2:$E$3143),
Master_Mapping_Sheet!$H$2:$H$3143=X$1,
Master_Mapping_Sheet!$B$2:$B$3143=$A24))/sum(filter(
Master_Mapping_Sheet!$E$2:$E$3143, ISNUMBER(
Master_Mapping_Sh"&amp;"eet!$E$2:$E$3143),
Master_Mapping_Sheet!$B$2:$B$3143=$A24))), 0, sum(filter(
Master_Mapping_Sheet!$E$2:$E$3143, ISNUMBER(
Master_Mapping_Sheet!$E$2:$E$3143),
Master_Mapping_Sheet!$H$2:$H$3143=X$1,
Master_Mapping_Sheet!$B$2:$B$3143=$A24))/sum(filter(
Maste"&amp;"r_Mapping_Sheet!$E$2:$E$3143, ISNUMBER(
Master_Mapping_Sheet!$E$2:$E$3143),
Master_Mapping_Sheet!$B$2:$B$3143=$A24)))"),0.0)</f>
        <v>0</v>
      </c>
      <c r="Y24" s="34">
        <f>IFERROR(__xludf.DUMMYFUNCTION("IF(ISNA(sum(filter(
Master_Mapping_Sheet!$E$2:$E$3143, ISNUMBER(
Master_Mapping_Sheet!$E$2:$E$3143),
Master_Mapping_Sheet!$H$2:$H$3143=Y$1,
Master_Mapping_Sheet!$B$2:$B$3143=$A24))/sum(filter(
Master_Mapping_Sheet!$E$2:$E$3143, ISNUMBER(
Master_Mapping_Sh"&amp;"eet!$E$2:$E$3143),
Master_Mapping_Sheet!$B$2:$B$3143=$A24))), 0, sum(filter(
Master_Mapping_Sheet!$E$2:$E$3143, ISNUMBER(
Master_Mapping_Sheet!$E$2:$E$3143),
Master_Mapping_Sheet!$H$2:$H$3143=Y$1,
Master_Mapping_Sheet!$B$2:$B$3143=$A24))/sum(filter(
Maste"&amp;"r_Mapping_Sheet!$E$2:$E$3143, ISNUMBER(
Master_Mapping_Sheet!$E$2:$E$3143),
Master_Mapping_Sheet!$B$2:$B$3143=$A24)))"),0.0)</f>
        <v>0</v>
      </c>
      <c r="Z24" s="34">
        <f>IFERROR(__xludf.DUMMYFUNCTION("IF(ISNA(sum(filter(
Master_Mapping_Sheet!$E$2:$E$3143, ISNUMBER(
Master_Mapping_Sheet!$E$2:$E$3143),
Master_Mapping_Sheet!$H$2:$H$3143=Z$1,
Master_Mapping_Sheet!$B$2:$B$3143=$A24))/sum(filter(
Master_Mapping_Sheet!$E$2:$E$3143, ISNUMBER(
Master_Mapping_Sh"&amp;"eet!$E$2:$E$3143),
Master_Mapping_Sheet!$B$2:$B$3143=$A24))), 0, sum(filter(
Master_Mapping_Sheet!$E$2:$E$3143, ISNUMBER(
Master_Mapping_Sheet!$E$2:$E$3143),
Master_Mapping_Sheet!$H$2:$H$3143=Z$1,
Master_Mapping_Sheet!$B$2:$B$3143=$A24))/sum(filter(
Maste"&amp;"r_Mapping_Sheet!$E$2:$E$3143, ISNUMBER(
Master_Mapping_Sheet!$E$2:$E$3143),
Master_Mapping_Sheet!$B$2:$B$3143=$A24)))"),0.0)</f>
        <v>0</v>
      </c>
      <c r="AA24" s="34">
        <f>IFERROR(__xludf.DUMMYFUNCTION("IF(ISNA(sum(filter(
Master_Mapping_Sheet!$E$2:$E$3143, ISNUMBER(
Master_Mapping_Sheet!$E$2:$E$3143),
Master_Mapping_Sheet!$H$2:$H$3143=AA$1,
Master_Mapping_Sheet!$B$2:$B$3143=$A24))/sum(filter(
Master_Mapping_Sheet!$E$2:$E$3143, ISNUMBER(
Master_Mapping_S"&amp;"heet!$E$2:$E$3143),
Master_Mapping_Sheet!$B$2:$B$3143=$A24))), 0, sum(filter(
Master_Mapping_Sheet!$E$2:$E$3143, ISNUMBER(
Master_Mapping_Sheet!$E$2:$E$3143),
Master_Mapping_Sheet!$H$2:$H$3143=AA$1,
Master_Mapping_Sheet!$B$2:$B$3143=$A24))/sum(filter(
Mas"&amp;"ter_Mapping_Sheet!$E$2:$E$3143, ISNUMBER(
Master_Mapping_Sheet!$E$2:$E$3143),
Master_Mapping_Sheet!$B$2:$B$3143=$A24)))"),0.0)</f>
        <v>0</v>
      </c>
    </row>
    <row r="25" ht="15.75" customHeight="1">
      <c r="A25" s="34" t="s">
        <v>1026</v>
      </c>
      <c r="B25" s="34" t="s">
        <v>2893</v>
      </c>
      <c r="C25" s="34">
        <f>IFERROR(__xludf.DUMMYFUNCTION("IF(ISNA(sum(filter(
Master_Mapping_Sheet!$E$2:$E$3143, ISNUMBER(
Master_Mapping_Sheet!$E$2:$E$3143),
Master_Mapping_Sheet!$H$2:$H$3143=C$1,
Master_Mapping_Sheet!$B$2:$B$3143=$A25))/sum(filter(
Master_Mapping_Sheet!$E$2:$E$3143, ISNUMBER(
Master_Mapping_Sh"&amp;"eet!$E$2:$E$3143),
Master_Mapping_Sheet!$B$2:$B$3143=$A25))), 0, sum(filter(
Master_Mapping_Sheet!$E$2:$E$3143, ISNUMBER(
Master_Mapping_Sheet!$E$2:$E$3143),
Master_Mapping_Sheet!$H$2:$H$3143=C$1,
Master_Mapping_Sheet!$B$2:$B$3143=$A25))/sum(filter(
Maste"&amp;"r_Mapping_Sheet!$E$2:$E$3143, ISNUMBER(
Master_Mapping_Sheet!$E$2:$E$3143),
Master_Mapping_Sheet!$B$2:$B$3143=$A25)))"),0.0)</f>
        <v>0</v>
      </c>
      <c r="D25" s="32">
        <f>IFERROR(__xludf.DUMMYFUNCTION("IF(ISNA(sum(filter(
Master_Mapping_Sheet!$E$2:$E$3143, ISNUMBER(
Master_Mapping_Sheet!$E$2:$E$3143),
Master_Mapping_Sheet!$H$2:$H$3143=D$1,
Master_Mapping_Sheet!$B$2:$B$3143=$A25))/sum(filter(
Master_Mapping_Sheet!$E$2:$E$3143, ISNUMBER(
Master_Mapping_Sh"&amp;"eet!$E$2:$E$3143),
Master_Mapping_Sheet!$B$2:$B$3143=$A25))), 0, sum(filter(
Master_Mapping_Sheet!$E$2:$E$3143, ISNUMBER(
Master_Mapping_Sheet!$E$2:$E$3143),
Master_Mapping_Sheet!$H$2:$H$3143=D$1,
Master_Mapping_Sheet!$B$2:$B$3143=$A25))/sum(filter(
Maste"&amp;"r_Mapping_Sheet!$E$2:$E$3143, ISNUMBER(
Master_Mapping_Sheet!$E$2:$E$3143),
Master_Mapping_Sheet!$B$2:$B$3143=$A25)))"),0.0)</f>
        <v>0</v>
      </c>
      <c r="E25" s="34">
        <f>IFERROR(__xludf.DUMMYFUNCTION("IF(ISNA(sum(filter(
Master_Mapping_Sheet!$E$2:$E$3143, ISNUMBER(
Master_Mapping_Sheet!$E$2:$E$3143),
Master_Mapping_Sheet!$H$2:$H$3143=E$1,
Master_Mapping_Sheet!$B$2:$B$3143=$A25))/sum(filter(
Master_Mapping_Sheet!$E$2:$E$3143, ISNUMBER(
Master_Mapping_Sh"&amp;"eet!$E$2:$E$3143),
Master_Mapping_Sheet!$B$2:$B$3143=$A25))), 0, sum(filter(
Master_Mapping_Sheet!$E$2:$E$3143, ISNUMBER(
Master_Mapping_Sheet!$E$2:$E$3143),
Master_Mapping_Sheet!$H$2:$H$3143=E$1,
Master_Mapping_Sheet!$B$2:$B$3143=$A25))/sum(filter(
Maste"&amp;"r_Mapping_Sheet!$E$2:$E$3143, ISNUMBER(
Master_Mapping_Sheet!$E$2:$E$3143),
Master_Mapping_Sheet!$B$2:$B$3143=$A25)))"),0.9543030874455268)</f>
        <v>0.9543030874</v>
      </c>
      <c r="F25" s="34">
        <f>IFERROR(__xludf.DUMMYFUNCTION("IF(ISNA(sum(filter(
Master_Mapping_Sheet!$E$2:$E$3143, ISNUMBER(
Master_Mapping_Sheet!$E$2:$E$3143),
Master_Mapping_Sheet!$H$2:$H$3143=F$1,
Master_Mapping_Sheet!$B$2:$B$3143=$A25))/sum(filter(
Master_Mapping_Sheet!$E$2:$E$3143, ISNUMBER(
Master_Mapping_Sh"&amp;"eet!$E$2:$E$3143),
Master_Mapping_Sheet!$B$2:$B$3143=$A25))), 0, sum(filter(
Master_Mapping_Sheet!$E$2:$E$3143, ISNUMBER(
Master_Mapping_Sheet!$E$2:$E$3143),
Master_Mapping_Sheet!$H$2:$H$3143=F$1,
Master_Mapping_Sheet!$B$2:$B$3143=$A25))/sum(filter(
Maste"&amp;"r_Mapping_Sheet!$E$2:$E$3143, ISNUMBER(
Master_Mapping_Sheet!$E$2:$E$3143),
Master_Mapping_Sheet!$B$2:$B$3143=$A25)))"),0.0)</f>
        <v>0</v>
      </c>
      <c r="G25" s="34">
        <f>IFERROR(__xludf.DUMMYFUNCTION("IF(ISNA(sum(filter(
Master_Mapping_Sheet!$E$2:$E$3143, ISNUMBER(
Master_Mapping_Sheet!$E$2:$E$3143),
Master_Mapping_Sheet!$H$2:$H$3143=G$1,
Master_Mapping_Sheet!$B$2:$B$3143=$A25))/sum(filter(
Master_Mapping_Sheet!$E$2:$E$3143, ISNUMBER(
Master_Mapping_Sh"&amp;"eet!$E$2:$E$3143),
Master_Mapping_Sheet!$B$2:$B$3143=$A25))), 0, sum(filter(
Master_Mapping_Sheet!$E$2:$E$3143, ISNUMBER(
Master_Mapping_Sheet!$E$2:$E$3143),
Master_Mapping_Sheet!$H$2:$H$3143=G$1,
Master_Mapping_Sheet!$B$2:$B$3143=$A25))/sum(filter(
Maste"&amp;"r_Mapping_Sheet!$E$2:$E$3143, ISNUMBER(
Master_Mapping_Sheet!$E$2:$E$3143),
Master_Mapping_Sheet!$B$2:$B$3143=$A25)))"),0.0)</f>
        <v>0</v>
      </c>
      <c r="H25" s="34">
        <f>IFERROR(__xludf.DUMMYFUNCTION("IF(ISNA(sum(filter(
Master_Mapping_Sheet!$E$2:$E$3143, ISNUMBER(
Master_Mapping_Sheet!$E$2:$E$3143),
Master_Mapping_Sheet!$H$2:$H$3143=H$1,
Master_Mapping_Sheet!$B$2:$B$3143=$A25))/sum(filter(
Master_Mapping_Sheet!$E$2:$E$3143, ISNUMBER(
Master_Mapping_Sh"&amp;"eet!$E$2:$E$3143),
Master_Mapping_Sheet!$B$2:$B$3143=$A25))), 0, sum(filter(
Master_Mapping_Sheet!$E$2:$E$3143, ISNUMBER(
Master_Mapping_Sheet!$E$2:$E$3143),
Master_Mapping_Sheet!$H$2:$H$3143=H$1,
Master_Mapping_Sheet!$B$2:$B$3143=$A25))/sum(filter(
Maste"&amp;"r_Mapping_Sheet!$E$2:$E$3143, ISNUMBER(
Master_Mapping_Sheet!$E$2:$E$3143),
Master_Mapping_Sheet!$B$2:$B$3143=$A25)))"),0.0)</f>
        <v>0</v>
      </c>
      <c r="I25" s="34">
        <f>IFERROR(__xludf.DUMMYFUNCTION("IF(ISNA(sum(filter(
Master_Mapping_Sheet!$E$2:$E$3143, ISNUMBER(
Master_Mapping_Sheet!$E$2:$E$3143),
Master_Mapping_Sheet!$H$2:$H$3143=I$1,
Master_Mapping_Sheet!$B$2:$B$3143=$A25))/sum(filter(
Master_Mapping_Sheet!$E$2:$E$3143, ISNUMBER(
Master_Mapping_Sh"&amp;"eet!$E$2:$E$3143),
Master_Mapping_Sheet!$B$2:$B$3143=$A25))), 0, sum(filter(
Master_Mapping_Sheet!$E$2:$E$3143, ISNUMBER(
Master_Mapping_Sheet!$E$2:$E$3143),
Master_Mapping_Sheet!$H$2:$H$3143=I$1,
Master_Mapping_Sheet!$B$2:$B$3143=$A25))/sum(filter(
Maste"&amp;"r_Mapping_Sheet!$E$2:$E$3143, ISNUMBER(
Master_Mapping_Sheet!$E$2:$E$3143),
Master_Mapping_Sheet!$B$2:$B$3143=$A25)))"),0.0)</f>
        <v>0</v>
      </c>
      <c r="J25" s="34">
        <f>IFERROR(__xludf.DUMMYFUNCTION("IF(ISNA(sum(filter(
Master_Mapping_Sheet!$E$2:$E$3143, ISNUMBER(
Master_Mapping_Sheet!$E$2:$E$3143),
Master_Mapping_Sheet!$H$2:$H$3143=J$1,
Master_Mapping_Sheet!$B$2:$B$3143=$A25))/sum(filter(
Master_Mapping_Sheet!$E$2:$E$3143, ISNUMBER(
Master_Mapping_Sh"&amp;"eet!$E$2:$E$3143),
Master_Mapping_Sheet!$B$2:$B$3143=$A25))), 0, sum(filter(
Master_Mapping_Sheet!$E$2:$E$3143, ISNUMBER(
Master_Mapping_Sheet!$E$2:$E$3143),
Master_Mapping_Sheet!$H$2:$H$3143=J$1,
Master_Mapping_Sheet!$B$2:$B$3143=$A25))/sum(filter(
Maste"&amp;"r_Mapping_Sheet!$E$2:$E$3143, ISNUMBER(
Master_Mapping_Sheet!$E$2:$E$3143),
Master_Mapping_Sheet!$B$2:$B$3143=$A25)))"),0.0)</f>
        <v>0</v>
      </c>
      <c r="K25" s="34">
        <f>IFERROR(__xludf.DUMMYFUNCTION("IF(ISNA(sum(filter(
Master_Mapping_Sheet!$E$2:$E$3143, ISNUMBER(
Master_Mapping_Sheet!$E$2:$E$3143),
Master_Mapping_Sheet!$H$2:$H$3143=K$1,
Master_Mapping_Sheet!$B$2:$B$3143=$A25))/sum(filter(
Master_Mapping_Sheet!$E$2:$E$3143, ISNUMBER(
Master_Mapping_Sh"&amp;"eet!$E$2:$E$3143),
Master_Mapping_Sheet!$B$2:$B$3143=$A25))), 0, sum(filter(
Master_Mapping_Sheet!$E$2:$E$3143, ISNUMBER(
Master_Mapping_Sheet!$E$2:$E$3143),
Master_Mapping_Sheet!$H$2:$H$3143=K$1,
Master_Mapping_Sheet!$B$2:$B$3143=$A25))/sum(filter(
Maste"&amp;"r_Mapping_Sheet!$E$2:$E$3143, ISNUMBER(
Master_Mapping_Sheet!$E$2:$E$3143),
Master_Mapping_Sheet!$B$2:$B$3143=$A25)))"),0.0)</f>
        <v>0</v>
      </c>
      <c r="L25" s="34">
        <f>IFERROR(__xludf.DUMMYFUNCTION("IF(ISNA(sum(filter(
Master_Mapping_Sheet!$E$2:$E$3143, ISNUMBER(
Master_Mapping_Sheet!$E$2:$E$3143),
Master_Mapping_Sheet!$H$2:$H$3143=L$1,
Master_Mapping_Sheet!$B$2:$B$3143=$A25))/sum(filter(
Master_Mapping_Sheet!$E$2:$E$3143, ISNUMBER(
Master_Mapping_Sh"&amp;"eet!$E$2:$E$3143),
Master_Mapping_Sheet!$B$2:$B$3143=$A25))), 0, sum(filter(
Master_Mapping_Sheet!$E$2:$E$3143, ISNUMBER(
Master_Mapping_Sheet!$E$2:$E$3143),
Master_Mapping_Sheet!$H$2:$H$3143=L$1,
Master_Mapping_Sheet!$B$2:$B$3143=$A25))/sum(filter(
Maste"&amp;"r_Mapping_Sheet!$E$2:$E$3143, ISNUMBER(
Master_Mapping_Sheet!$E$2:$E$3143),
Master_Mapping_Sheet!$B$2:$B$3143=$A25)))"),0.0)</f>
        <v>0</v>
      </c>
      <c r="M25" s="34">
        <f>IFERROR(__xludf.DUMMYFUNCTION("IF(ISNA(sum(filter(
Master_Mapping_Sheet!$E$2:$E$3143, ISNUMBER(
Master_Mapping_Sheet!$E$2:$E$3143),
Master_Mapping_Sheet!$H$2:$H$3143=M$1,
Master_Mapping_Sheet!$B$2:$B$3143=$A25))/sum(filter(
Master_Mapping_Sheet!$E$2:$E$3143, ISNUMBER(
Master_Mapping_Sh"&amp;"eet!$E$2:$E$3143),
Master_Mapping_Sheet!$B$2:$B$3143=$A25))), 0, sum(filter(
Master_Mapping_Sheet!$E$2:$E$3143, ISNUMBER(
Master_Mapping_Sheet!$E$2:$E$3143),
Master_Mapping_Sheet!$H$2:$H$3143=M$1,
Master_Mapping_Sheet!$B$2:$B$3143=$A25))/sum(filter(
Maste"&amp;"r_Mapping_Sheet!$E$2:$E$3143, ISNUMBER(
Master_Mapping_Sheet!$E$2:$E$3143),
Master_Mapping_Sheet!$B$2:$B$3143=$A25)))"),0.0)</f>
        <v>0</v>
      </c>
      <c r="N25" s="34">
        <f>IFERROR(__xludf.DUMMYFUNCTION("IF(ISNA(sum(filter(
Master_Mapping_Sheet!$E$2:$E$3143, ISNUMBER(
Master_Mapping_Sheet!$E$2:$E$3143),
Master_Mapping_Sheet!$H$2:$H$3143=N$1,
Master_Mapping_Sheet!$B$2:$B$3143=$A25))/sum(filter(
Master_Mapping_Sheet!$E$2:$E$3143, ISNUMBER(
Master_Mapping_Sh"&amp;"eet!$E$2:$E$3143),
Master_Mapping_Sheet!$B$2:$B$3143=$A25))), 0, sum(filter(
Master_Mapping_Sheet!$E$2:$E$3143, ISNUMBER(
Master_Mapping_Sheet!$E$2:$E$3143),
Master_Mapping_Sheet!$H$2:$H$3143=N$1,
Master_Mapping_Sheet!$B$2:$B$3143=$A25))/sum(filter(
Maste"&amp;"r_Mapping_Sheet!$E$2:$E$3143, ISNUMBER(
Master_Mapping_Sheet!$E$2:$E$3143),
Master_Mapping_Sheet!$B$2:$B$3143=$A25)))"),0.0)</f>
        <v>0</v>
      </c>
      <c r="O25" s="34">
        <f>IFERROR(__xludf.DUMMYFUNCTION("IF(ISNA(sum(filter(
Master_Mapping_Sheet!$E$2:$E$3143, ISNUMBER(
Master_Mapping_Sheet!$E$2:$E$3143),
Master_Mapping_Sheet!$H$2:$H$3143=O$1,
Master_Mapping_Sheet!$B$2:$B$3143=$A25))/sum(filter(
Master_Mapping_Sheet!$E$2:$E$3143, ISNUMBER(
Master_Mapping_Sh"&amp;"eet!$E$2:$E$3143),
Master_Mapping_Sheet!$B$2:$B$3143=$A25))), 0, sum(filter(
Master_Mapping_Sheet!$E$2:$E$3143, ISNUMBER(
Master_Mapping_Sheet!$E$2:$E$3143),
Master_Mapping_Sheet!$H$2:$H$3143=O$1,
Master_Mapping_Sheet!$B$2:$B$3143=$A25))/sum(filter(
Maste"&amp;"r_Mapping_Sheet!$E$2:$E$3143, ISNUMBER(
Master_Mapping_Sheet!$E$2:$E$3143),
Master_Mapping_Sheet!$B$2:$B$3143=$A25)))"),0.0)</f>
        <v>0</v>
      </c>
      <c r="P25" s="34">
        <f>IFERROR(__xludf.DUMMYFUNCTION("IF(ISNA(sum(filter(
Master_Mapping_Sheet!$E$2:$E$3143, ISNUMBER(
Master_Mapping_Sheet!$E$2:$E$3143),
Master_Mapping_Sheet!$H$2:$H$3143=P$1,
Master_Mapping_Sheet!$B$2:$B$3143=$A25))/sum(filter(
Master_Mapping_Sheet!$E$2:$E$3143, ISNUMBER(
Master_Mapping_Sh"&amp;"eet!$E$2:$E$3143),
Master_Mapping_Sheet!$B$2:$B$3143=$A25))), 0, sum(filter(
Master_Mapping_Sheet!$E$2:$E$3143, ISNUMBER(
Master_Mapping_Sheet!$E$2:$E$3143),
Master_Mapping_Sheet!$H$2:$H$3143=P$1,
Master_Mapping_Sheet!$B$2:$B$3143=$A25))/sum(filter(
Maste"&amp;"r_Mapping_Sheet!$E$2:$E$3143, ISNUMBER(
Master_Mapping_Sheet!$E$2:$E$3143),
Master_Mapping_Sheet!$B$2:$B$3143=$A25)))"),0.0)</f>
        <v>0</v>
      </c>
      <c r="Q25" s="34">
        <f>IFERROR(__xludf.DUMMYFUNCTION("IF(ISNA(sum(filter(
Master_Mapping_Sheet!$E$2:$E$3143, ISNUMBER(
Master_Mapping_Sheet!$E$2:$E$3143),
Master_Mapping_Sheet!$H$2:$H$3143=Q$1,
Master_Mapping_Sheet!$B$2:$B$3143=$A25))/sum(filter(
Master_Mapping_Sheet!$E$2:$E$3143, ISNUMBER(
Master_Mapping_Sh"&amp;"eet!$E$2:$E$3143),
Master_Mapping_Sheet!$B$2:$B$3143=$A25))), 0, sum(filter(
Master_Mapping_Sheet!$E$2:$E$3143, ISNUMBER(
Master_Mapping_Sheet!$E$2:$E$3143),
Master_Mapping_Sheet!$H$2:$H$3143=Q$1,
Master_Mapping_Sheet!$B$2:$B$3143=$A25))/sum(filter(
Maste"&amp;"r_Mapping_Sheet!$E$2:$E$3143, ISNUMBER(
Master_Mapping_Sheet!$E$2:$E$3143),
Master_Mapping_Sheet!$B$2:$B$3143=$A25)))"),0.0)</f>
        <v>0</v>
      </c>
      <c r="R25" s="34">
        <f>IFERROR(__xludf.DUMMYFUNCTION("IF(ISNA(sum(filter(
Master_Mapping_Sheet!$E$2:$E$3143, ISNUMBER(
Master_Mapping_Sheet!$E$2:$E$3143),
Master_Mapping_Sheet!$H$2:$H$3143=R$1,
Master_Mapping_Sheet!$B$2:$B$3143=$A25))/sum(filter(
Master_Mapping_Sheet!$E$2:$E$3143, ISNUMBER(
Master_Mapping_Sh"&amp;"eet!$E$2:$E$3143),
Master_Mapping_Sheet!$B$2:$B$3143=$A25))), 0, sum(filter(
Master_Mapping_Sheet!$E$2:$E$3143, ISNUMBER(
Master_Mapping_Sheet!$E$2:$E$3143),
Master_Mapping_Sheet!$H$2:$H$3143=R$1,
Master_Mapping_Sheet!$B$2:$B$3143=$A25))/sum(filter(
Maste"&amp;"r_Mapping_Sheet!$E$2:$E$3143, ISNUMBER(
Master_Mapping_Sheet!$E$2:$E$3143),
Master_Mapping_Sheet!$B$2:$B$3143=$A25)))"),0.0)</f>
        <v>0</v>
      </c>
      <c r="S25" s="34">
        <f>IFERROR(__xludf.DUMMYFUNCTION("IF(ISNA(sum(filter(
Master_Mapping_Sheet!$E$2:$E$3143, ISNUMBER(
Master_Mapping_Sheet!$E$2:$E$3143),
Master_Mapping_Sheet!$H$2:$H$3143=S$1,
Master_Mapping_Sheet!$B$2:$B$3143=$A25))/sum(filter(
Master_Mapping_Sheet!$E$2:$E$3143, ISNUMBER(
Master_Mapping_Sh"&amp;"eet!$E$2:$E$3143),
Master_Mapping_Sheet!$B$2:$B$3143=$A25))), 0, sum(filter(
Master_Mapping_Sheet!$E$2:$E$3143, ISNUMBER(
Master_Mapping_Sheet!$E$2:$E$3143),
Master_Mapping_Sheet!$H$2:$H$3143=S$1,
Master_Mapping_Sheet!$B$2:$B$3143=$A25))/sum(filter(
Maste"&amp;"r_Mapping_Sheet!$E$2:$E$3143, ISNUMBER(
Master_Mapping_Sheet!$E$2:$E$3143),
Master_Mapping_Sheet!$B$2:$B$3143=$A25)))"),0.0)</f>
        <v>0</v>
      </c>
      <c r="T25" s="34">
        <f>IFERROR(__xludf.DUMMYFUNCTION("IF(ISNA(sum(filter(
Master_Mapping_Sheet!$E$2:$E$3143, ISNUMBER(
Master_Mapping_Sheet!$E$2:$E$3143),
Master_Mapping_Sheet!$H$2:$H$3143=T$1,
Master_Mapping_Sheet!$B$2:$B$3143=$A25))/sum(filter(
Master_Mapping_Sheet!$E$2:$E$3143, ISNUMBER(
Master_Mapping_Sh"&amp;"eet!$E$2:$E$3143),
Master_Mapping_Sheet!$B$2:$B$3143=$A25))), 0, sum(filter(
Master_Mapping_Sheet!$E$2:$E$3143, ISNUMBER(
Master_Mapping_Sheet!$E$2:$E$3143),
Master_Mapping_Sheet!$H$2:$H$3143=T$1,
Master_Mapping_Sheet!$B$2:$B$3143=$A25))/sum(filter(
Maste"&amp;"r_Mapping_Sheet!$E$2:$E$3143, ISNUMBER(
Master_Mapping_Sheet!$E$2:$E$3143),
Master_Mapping_Sheet!$B$2:$B$3143=$A25)))"),0.0)</f>
        <v>0</v>
      </c>
      <c r="U25" s="34">
        <f>IFERROR(__xludf.DUMMYFUNCTION("IF(ISNA(sum(filter(
Master_Mapping_Sheet!$E$2:$E$3143, ISNUMBER(
Master_Mapping_Sheet!$E$2:$E$3143),
Master_Mapping_Sheet!$H$2:$H$3143=U$1,
Master_Mapping_Sheet!$B$2:$B$3143=$A25))/sum(filter(
Master_Mapping_Sheet!$E$2:$E$3143, ISNUMBER(
Master_Mapping_Sh"&amp;"eet!$E$2:$E$3143),
Master_Mapping_Sheet!$B$2:$B$3143=$A25))), 0, sum(filter(
Master_Mapping_Sheet!$E$2:$E$3143, ISNUMBER(
Master_Mapping_Sheet!$E$2:$E$3143),
Master_Mapping_Sheet!$H$2:$H$3143=U$1,
Master_Mapping_Sheet!$B$2:$B$3143=$A25))/sum(filter(
Maste"&amp;"r_Mapping_Sheet!$E$2:$E$3143, ISNUMBER(
Master_Mapping_Sheet!$E$2:$E$3143),
Master_Mapping_Sheet!$B$2:$B$3143=$A25)))"),0.04569691255447318)</f>
        <v>0.04569691255</v>
      </c>
      <c r="V25" s="34">
        <f>IFERROR(__xludf.DUMMYFUNCTION("IF(ISNA(sum(filter(
Master_Mapping_Sheet!$E$2:$E$3143, ISNUMBER(
Master_Mapping_Sheet!$E$2:$E$3143),
Master_Mapping_Sheet!$H$2:$H$3143=V$1,
Master_Mapping_Sheet!$B$2:$B$3143=$A25))/sum(filter(
Master_Mapping_Sheet!$E$2:$E$3143, ISNUMBER(
Master_Mapping_Sh"&amp;"eet!$E$2:$E$3143),
Master_Mapping_Sheet!$B$2:$B$3143=$A25))), 0, sum(filter(
Master_Mapping_Sheet!$E$2:$E$3143, ISNUMBER(
Master_Mapping_Sheet!$E$2:$E$3143),
Master_Mapping_Sheet!$H$2:$H$3143=V$1,
Master_Mapping_Sheet!$B$2:$B$3143=$A25))/sum(filter(
Maste"&amp;"r_Mapping_Sheet!$E$2:$E$3143, ISNUMBER(
Master_Mapping_Sheet!$E$2:$E$3143),
Master_Mapping_Sheet!$B$2:$B$3143=$A25)))"),0.0)</f>
        <v>0</v>
      </c>
      <c r="W25" s="34">
        <f>IFERROR(__xludf.DUMMYFUNCTION("IF(ISNA(sum(filter(
Master_Mapping_Sheet!$E$2:$E$3143, ISNUMBER(
Master_Mapping_Sheet!$E$2:$E$3143),
Master_Mapping_Sheet!$H$2:$H$3143=W$1,
Master_Mapping_Sheet!$B$2:$B$3143=$A25))/sum(filter(
Master_Mapping_Sheet!$E$2:$E$3143, ISNUMBER(
Master_Mapping_Sh"&amp;"eet!$E$2:$E$3143),
Master_Mapping_Sheet!$B$2:$B$3143=$A25))), 0, sum(filter(
Master_Mapping_Sheet!$E$2:$E$3143, ISNUMBER(
Master_Mapping_Sheet!$E$2:$E$3143),
Master_Mapping_Sheet!$H$2:$H$3143=W$1,
Master_Mapping_Sheet!$B$2:$B$3143=$A25))/sum(filter(
Maste"&amp;"r_Mapping_Sheet!$E$2:$E$3143, ISNUMBER(
Master_Mapping_Sheet!$E$2:$E$3143),
Master_Mapping_Sheet!$B$2:$B$3143=$A25)))"),0.0)</f>
        <v>0</v>
      </c>
      <c r="X25" s="34">
        <f>IFERROR(__xludf.DUMMYFUNCTION("IF(ISNA(sum(filter(
Master_Mapping_Sheet!$E$2:$E$3143, ISNUMBER(
Master_Mapping_Sheet!$E$2:$E$3143),
Master_Mapping_Sheet!$H$2:$H$3143=X$1,
Master_Mapping_Sheet!$B$2:$B$3143=$A25))/sum(filter(
Master_Mapping_Sheet!$E$2:$E$3143, ISNUMBER(
Master_Mapping_Sh"&amp;"eet!$E$2:$E$3143),
Master_Mapping_Sheet!$B$2:$B$3143=$A25))), 0, sum(filter(
Master_Mapping_Sheet!$E$2:$E$3143, ISNUMBER(
Master_Mapping_Sheet!$E$2:$E$3143),
Master_Mapping_Sheet!$H$2:$H$3143=X$1,
Master_Mapping_Sheet!$B$2:$B$3143=$A25))/sum(filter(
Maste"&amp;"r_Mapping_Sheet!$E$2:$E$3143, ISNUMBER(
Master_Mapping_Sheet!$E$2:$E$3143),
Master_Mapping_Sheet!$B$2:$B$3143=$A25)))"),0.0)</f>
        <v>0</v>
      </c>
      <c r="Y25" s="34">
        <f>IFERROR(__xludf.DUMMYFUNCTION("IF(ISNA(sum(filter(
Master_Mapping_Sheet!$E$2:$E$3143, ISNUMBER(
Master_Mapping_Sheet!$E$2:$E$3143),
Master_Mapping_Sheet!$H$2:$H$3143=Y$1,
Master_Mapping_Sheet!$B$2:$B$3143=$A25))/sum(filter(
Master_Mapping_Sheet!$E$2:$E$3143, ISNUMBER(
Master_Mapping_Sh"&amp;"eet!$E$2:$E$3143),
Master_Mapping_Sheet!$B$2:$B$3143=$A25))), 0, sum(filter(
Master_Mapping_Sheet!$E$2:$E$3143, ISNUMBER(
Master_Mapping_Sheet!$E$2:$E$3143),
Master_Mapping_Sheet!$H$2:$H$3143=Y$1,
Master_Mapping_Sheet!$B$2:$B$3143=$A25))/sum(filter(
Maste"&amp;"r_Mapping_Sheet!$E$2:$E$3143, ISNUMBER(
Master_Mapping_Sheet!$E$2:$E$3143),
Master_Mapping_Sheet!$B$2:$B$3143=$A25)))"),0.0)</f>
        <v>0</v>
      </c>
      <c r="Z25" s="34">
        <f>IFERROR(__xludf.DUMMYFUNCTION("IF(ISNA(sum(filter(
Master_Mapping_Sheet!$E$2:$E$3143, ISNUMBER(
Master_Mapping_Sheet!$E$2:$E$3143),
Master_Mapping_Sheet!$H$2:$H$3143=Z$1,
Master_Mapping_Sheet!$B$2:$B$3143=$A25))/sum(filter(
Master_Mapping_Sheet!$E$2:$E$3143, ISNUMBER(
Master_Mapping_Sh"&amp;"eet!$E$2:$E$3143),
Master_Mapping_Sheet!$B$2:$B$3143=$A25))), 0, sum(filter(
Master_Mapping_Sheet!$E$2:$E$3143, ISNUMBER(
Master_Mapping_Sheet!$E$2:$E$3143),
Master_Mapping_Sheet!$H$2:$H$3143=Z$1,
Master_Mapping_Sheet!$B$2:$B$3143=$A25))/sum(filter(
Maste"&amp;"r_Mapping_Sheet!$E$2:$E$3143, ISNUMBER(
Master_Mapping_Sheet!$E$2:$E$3143),
Master_Mapping_Sheet!$B$2:$B$3143=$A25)))"),0.0)</f>
        <v>0</v>
      </c>
      <c r="AA25" s="34">
        <f>IFERROR(__xludf.DUMMYFUNCTION("IF(ISNA(sum(filter(
Master_Mapping_Sheet!$E$2:$E$3143, ISNUMBER(
Master_Mapping_Sheet!$E$2:$E$3143),
Master_Mapping_Sheet!$H$2:$H$3143=AA$1,
Master_Mapping_Sheet!$B$2:$B$3143=$A25))/sum(filter(
Master_Mapping_Sheet!$E$2:$E$3143, ISNUMBER(
Master_Mapping_S"&amp;"heet!$E$2:$E$3143),
Master_Mapping_Sheet!$B$2:$B$3143=$A25))), 0, sum(filter(
Master_Mapping_Sheet!$E$2:$E$3143, ISNUMBER(
Master_Mapping_Sheet!$E$2:$E$3143),
Master_Mapping_Sheet!$H$2:$H$3143=AA$1,
Master_Mapping_Sheet!$B$2:$B$3143=$A25))/sum(filter(
Mas"&amp;"ter_Mapping_Sheet!$E$2:$E$3143, ISNUMBER(
Master_Mapping_Sheet!$E$2:$E$3143),
Master_Mapping_Sheet!$B$2:$B$3143=$A25)))"),0.0)</f>
        <v>0</v>
      </c>
    </row>
    <row r="26" ht="15.75" customHeight="1">
      <c r="A26" s="34" t="s">
        <v>255</v>
      </c>
      <c r="B26" s="34" t="s">
        <v>2955</v>
      </c>
      <c r="C26" s="34">
        <f>IFERROR(__xludf.DUMMYFUNCTION("IF(ISNA(sum(filter(
Master_Mapping_Sheet!$E$2:$E$3143, ISNUMBER(
Master_Mapping_Sheet!$E$2:$E$3143),
Master_Mapping_Sheet!$H$2:$H$3143=C$1,
Master_Mapping_Sheet!$B$2:$B$3143=$A26))/sum(filter(
Master_Mapping_Sheet!$E$2:$E$3143, ISNUMBER(
Master_Mapping_Sh"&amp;"eet!$E$2:$E$3143),
Master_Mapping_Sheet!$B$2:$B$3143=$A26))), 0, sum(filter(
Master_Mapping_Sheet!$E$2:$E$3143, ISNUMBER(
Master_Mapping_Sheet!$E$2:$E$3143),
Master_Mapping_Sheet!$H$2:$H$3143=C$1,
Master_Mapping_Sheet!$B$2:$B$3143=$A26))/sum(filter(
Maste"&amp;"r_Mapping_Sheet!$E$2:$E$3143, ISNUMBER(
Master_Mapping_Sheet!$E$2:$E$3143),
Master_Mapping_Sheet!$B$2:$B$3143=$A26)))"),0.0)</f>
        <v>0</v>
      </c>
      <c r="D26" s="32">
        <f>IFERROR(__xludf.DUMMYFUNCTION("IF(ISNA(sum(filter(
Master_Mapping_Sheet!$E$2:$E$3143, ISNUMBER(
Master_Mapping_Sheet!$E$2:$E$3143),
Master_Mapping_Sheet!$H$2:$H$3143=D$1,
Master_Mapping_Sheet!$B$2:$B$3143=$A26))/sum(filter(
Master_Mapping_Sheet!$E$2:$E$3143, ISNUMBER(
Master_Mapping_Sh"&amp;"eet!$E$2:$E$3143),
Master_Mapping_Sheet!$B$2:$B$3143=$A26))), 0, sum(filter(
Master_Mapping_Sheet!$E$2:$E$3143, ISNUMBER(
Master_Mapping_Sheet!$E$2:$E$3143),
Master_Mapping_Sheet!$H$2:$H$3143=D$1,
Master_Mapping_Sheet!$B$2:$B$3143=$A26))/sum(filter(
Maste"&amp;"r_Mapping_Sheet!$E$2:$E$3143, ISNUMBER(
Master_Mapping_Sheet!$E$2:$E$3143),
Master_Mapping_Sheet!$B$2:$B$3143=$A26)))"),0.0)</f>
        <v>0</v>
      </c>
      <c r="E26" s="34">
        <f>IFERROR(__xludf.DUMMYFUNCTION("IF(ISNA(sum(filter(
Master_Mapping_Sheet!$E$2:$E$3143, ISNUMBER(
Master_Mapping_Sheet!$E$2:$E$3143),
Master_Mapping_Sheet!$H$2:$H$3143=E$1,
Master_Mapping_Sheet!$B$2:$B$3143=$A26))/sum(filter(
Master_Mapping_Sheet!$E$2:$E$3143, ISNUMBER(
Master_Mapping_Sh"&amp;"eet!$E$2:$E$3143),
Master_Mapping_Sheet!$B$2:$B$3143=$A26))), 0, sum(filter(
Master_Mapping_Sheet!$E$2:$E$3143, ISNUMBER(
Master_Mapping_Sheet!$E$2:$E$3143),
Master_Mapping_Sheet!$H$2:$H$3143=E$1,
Master_Mapping_Sheet!$B$2:$B$3143=$A26))/sum(filter(
Maste"&amp;"r_Mapping_Sheet!$E$2:$E$3143, ISNUMBER(
Master_Mapping_Sheet!$E$2:$E$3143),
Master_Mapping_Sheet!$B$2:$B$3143=$A26)))"),0.0)</f>
        <v>0</v>
      </c>
      <c r="F26" s="34">
        <f>IFERROR(__xludf.DUMMYFUNCTION("IF(ISNA(sum(filter(
Master_Mapping_Sheet!$E$2:$E$3143, ISNUMBER(
Master_Mapping_Sheet!$E$2:$E$3143),
Master_Mapping_Sheet!$H$2:$H$3143=F$1,
Master_Mapping_Sheet!$B$2:$B$3143=$A26))/sum(filter(
Master_Mapping_Sheet!$E$2:$E$3143, ISNUMBER(
Master_Mapping_Sh"&amp;"eet!$E$2:$E$3143),
Master_Mapping_Sheet!$B$2:$B$3143=$A26))), 0, sum(filter(
Master_Mapping_Sheet!$E$2:$E$3143, ISNUMBER(
Master_Mapping_Sheet!$E$2:$E$3143),
Master_Mapping_Sheet!$H$2:$H$3143=F$1,
Master_Mapping_Sheet!$B$2:$B$3143=$A26))/sum(filter(
Maste"&amp;"r_Mapping_Sheet!$E$2:$E$3143, ISNUMBER(
Master_Mapping_Sheet!$E$2:$E$3143),
Master_Mapping_Sheet!$B$2:$B$3143=$A26)))"),0.0)</f>
        <v>0</v>
      </c>
      <c r="G26" s="34">
        <f>IFERROR(__xludf.DUMMYFUNCTION("IF(ISNA(sum(filter(
Master_Mapping_Sheet!$E$2:$E$3143, ISNUMBER(
Master_Mapping_Sheet!$E$2:$E$3143),
Master_Mapping_Sheet!$H$2:$H$3143=G$1,
Master_Mapping_Sheet!$B$2:$B$3143=$A26))/sum(filter(
Master_Mapping_Sheet!$E$2:$E$3143, ISNUMBER(
Master_Mapping_Sh"&amp;"eet!$E$2:$E$3143),
Master_Mapping_Sheet!$B$2:$B$3143=$A26))), 0, sum(filter(
Master_Mapping_Sheet!$E$2:$E$3143, ISNUMBER(
Master_Mapping_Sheet!$E$2:$E$3143),
Master_Mapping_Sheet!$H$2:$H$3143=G$1,
Master_Mapping_Sheet!$B$2:$B$3143=$A26))/sum(filter(
Maste"&amp;"r_Mapping_Sheet!$E$2:$E$3143, ISNUMBER(
Master_Mapping_Sheet!$E$2:$E$3143),
Master_Mapping_Sheet!$B$2:$B$3143=$A26)))"),0.0)</f>
        <v>0</v>
      </c>
      <c r="H26" s="34">
        <f>IFERROR(__xludf.DUMMYFUNCTION("IF(ISNA(sum(filter(
Master_Mapping_Sheet!$E$2:$E$3143, ISNUMBER(
Master_Mapping_Sheet!$E$2:$E$3143),
Master_Mapping_Sheet!$H$2:$H$3143=H$1,
Master_Mapping_Sheet!$B$2:$B$3143=$A26))/sum(filter(
Master_Mapping_Sheet!$E$2:$E$3143, ISNUMBER(
Master_Mapping_Sh"&amp;"eet!$E$2:$E$3143),
Master_Mapping_Sheet!$B$2:$B$3143=$A26))), 0, sum(filter(
Master_Mapping_Sheet!$E$2:$E$3143, ISNUMBER(
Master_Mapping_Sheet!$E$2:$E$3143),
Master_Mapping_Sheet!$H$2:$H$3143=H$1,
Master_Mapping_Sheet!$B$2:$B$3143=$A26))/sum(filter(
Maste"&amp;"r_Mapping_Sheet!$E$2:$E$3143, ISNUMBER(
Master_Mapping_Sheet!$E$2:$E$3143),
Master_Mapping_Sheet!$B$2:$B$3143=$A26)))"),0.4906299643839997)</f>
        <v>0.4906299644</v>
      </c>
      <c r="I26" s="34">
        <f>IFERROR(__xludf.DUMMYFUNCTION("IF(ISNA(sum(filter(
Master_Mapping_Sheet!$E$2:$E$3143, ISNUMBER(
Master_Mapping_Sheet!$E$2:$E$3143),
Master_Mapping_Sheet!$H$2:$H$3143=I$1,
Master_Mapping_Sheet!$B$2:$B$3143=$A26))/sum(filter(
Master_Mapping_Sheet!$E$2:$E$3143, ISNUMBER(
Master_Mapping_Sh"&amp;"eet!$E$2:$E$3143),
Master_Mapping_Sheet!$B$2:$B$3143=$A26))), 0, sum(filter(
Master_Mapping_Sheet!$E$2:$E$3143, ISNUMBER(
Master_Mapping_Sheet!$E$2:$E$3143),
Master_Mapping_Sheet!$H$2:$H$3143=I$1,
Master_Mapping_Sheet!$B$2:$B$3143=$A26))/sum(filter(
Maste"&amp;"r_Mapping_Sheet!$E$2:$E$3143, ISNUMBER(
Master_Mapping_Sheet!$E$2:$E$3143),
Master_Mapping_Sheet!$B$2:$B$3143=$A26)))"),0.0)</f>
        <v>0</v>
      </c>
      <c r="J26" s="34">
        <f>IFERROR(__xludf.DUMMYFUNCTION("IF(ISNA(sum(filter(
Master_Mapping_Sheet!$E$2:$E$3143, ISNUMBER(
Master_Mapping_Sheet!$E$2:$E$3143),
Master_Mapping_Sheet!$H$2:$H$3143=J$1,
Master_Mapping_Sheet!$B$2:$B$3143=$A26))/sum(filter(
Master_Mapping_Sheet!$E$2:$E$3143, ISNUMBER(
Master_Mapping_Sh"&amp;"eet!$E$2:$E$3143),
Master_Mapping_Sheet!$B$2:$B$3143=$A26))), 0, sum(filter(
Master_Mapping_Sheet!$E$2:$E$3143, ISNUMBER(
Master_Mapping_Sheet!$E$2:$E$3143),
Master_Mapping_Sheet!$H$2:$H$3143=J$1,
Master_Mapping_Sheet!$B$2:$B$3143=$A26))/sum(filter(
Maste"&amp;"r_Mapping_Sheet!$E$2:$E$3143, ISNUMBER(
Master_Mapping_Sheet!$E$2:$E$3143),
Master_Mapping_Sheet!$B$2:$B$3143=$A26)))"),0.0)</f>
        <v>0</v>
      </c>
      <c r="K26" s="34">
        <f>IFERROR(__xludf.DUMMYFUNCTION("IF(ISNA(sum(filter(
Master_Mapping_Sheet!$E$2:$E$3143, ISNUMBER(
Master_Mapping_Sheet!$E$2:$E$3143),
Master_Mapping_Sheet!$H$2:$H$3143=K$1,
Master_Mapping_Sheet!$B$2:$B$3143=$A26))/sum(filter(
Master_Mapping_Sheet!$E$2:$E$3143, ISNUMBER(
Master_Mapping_Sh"&amp;"eet!$E$2:$E$3143),
Master_Mapping_Sheet!$B$2:$B$3143=$A26))), 0, sum(filter(
Master_Mapping_Sheet!$E$2:$E$3143, ISNUMBER(
Master_Mapping_Sheet!$E$2:$E$3143),
Master_Mapping_Sheet!$H$2:$H$3143=K$1,
Master_Mapping_Sheet!$B$2:$B$3143=$A26))/sum(filter(
Maste"&amp;"r_Mapping_Sheet!$E$2:$E$3143, ISNUMBER(
Master_Mapping_Sheet!$E$2:$E$3143),
Master_Mapping_Sheet!$B$2:$B$3143=$A26)))"),0.0)</f>
        <v>0</v>
      </c>
      <c r="L26" s="34">
        <f>IFERROR(__xludf.DUMMYFUNCTION("IF(ISNA(sum(filter(
Master_Mapping_Sheet!$E$2:$E$3143, ISNUMBER(
Master_Mapping_Sheet!$E$2:$E$3143),
Master_Mapping_Sheet!$H$2:$H$3143=L$1,
Master_Mapping_Sheet!$B$2:$B$3143=$A26))/sum(filter(
Master_Mapping_Sheet!$E$2:$E$3143, ISNUMBER(
Master_Mapping_Sh"&amp;"eet!$E$2:$E$3143),
Master_Mapping_Sheet!$B$2:$B$3143=$A26))), 0, sum(filter(
Master_Mapping_Sheet!$E$2:$E$3143, ISNUMBER(
Master_Mapping_Sheet!$E$2:$E$3143),
Master_Mapping_Sheet!$H$2:$H$3143=L$1,
Master_Mapping_Sheet!$B$2:$B$3143=$A26))/sum(filter(
Maste"&amp;"r_Mapping_Sheet!$E$2:$E$3143, ISNUMBER(
Master_Mapping_Sheet!$E$2:$E$3143),
Master_Mapping_Sheet!$B$2:$B$3143=$A26)))"),0.0)</f>
        <v>0</v>
      </c>
      <c r="M26" s="34">
        <f>IFERROR(__xludf.DUMMYFUNCTION("IF(ISNA(sum(filter(
Master_Mapping_Sheet!$E$2:$E$3143, ISNUMBER(
Master_Mapping_Sheet!$E$2:$E$3143),
Master_Mapping_Sheet!$H$2:$H$3143=M$1,
Master_Mapping_Sheet!$B$2:$B$3143=$A26))/sum(filter(
Master_Mapping_Sheet!$E$2:$E$3143, ISNUMBER(
Master_Mapping_Sh"&amp;"eet!$E$2:$E$3143),
Master_Mapping_Sheet!$B$2:$B$3143=$A26))), 0, sum(filter(
Master_Mapping_Sheet!$E$2:$E$3143, ISNUMBER(
Master_Mapping_Sheet!$E$2:$E$3143),
Master_Mapping_Sheet!$H$2:$H$3143=M$1,
Master_Mapping_Sheet!$B$2:$B$3143=$A26))/sum(filter(
Maste"&amp;"r_Mapping_Sheet!$E$2:$E$3143, ISNUMBER(
Master_Mapping_Sheet!$E$2:$E$3143),
Master_Mapping_Sheet!$B$2:$B$3143=$A26)))"),0.0)</f>
        <v>0</v>
      </c>
      <c r="N26" s="34">
        <f>IFERROR(__xludf.DUMMYFUNCTION("IF(ISNA(sum(filter(
Master_Mapping_Sheet!$E$2:$E$3143, ISNUMBER(
Master_Mapping_Sheet!$E$2:$E$3143),
Master_Mapping_Sheet!$H$2:$H$3143=N$1,
Master_Mapping_Sheet!$B$2:$B$3143=$A26))/sum(filter(
Master_Mapping_Sheet!$E$2:$E$3143, ISNUMBER(
Master_Mapping_Sh"&amp;"eet!$E$2:$E$3143),
Master_Mapping_Sheet!$B$2:$B$3143=$A26))), 0, sum(filter(
Master_Mapping_Sheet!$E$2:$E$3143, ISNUMBER(
Master_Mapping_Sheet!$E$2:$E$3143),
Master_Mapping_Sheet!$H$2:$H$3143=N$1,
Master_Mapping_Sheet!$B$2:$B$3143=$A26))/sum(filter(
Maste"&amp;"r_Mapping_Sheet!$E$2:$E$3143, ISNUMBER(
Master_Mapping_Sheet!$E$2:$E$3143),
Master_Mapping_Sheet!$B$2:$B$3143=$A26)))"),0.0)</f>
        <v>0</v>
      </c>
      <c r="O26" s="34">
        <f>IFERROR(__xludf.DUMMYFUNCTION("IF(ISNA(sum(filter(
Master_Mapping_Sheet!$E$2:$E$3143, ISNUMBER(
Master_Mapping_Sheet!$E$2:$E$3143),
Master_Mapping_Sheet!$H$2:$H$3143=O$1,
Master_Mapping_Sheet!$B$2:$B$3143=$A26))/sum(filter(
Master_Mapping_Sheet!$E$2:$E$3143, ISNUMBER(
Master_Mapping_Sh"&amp;"eet!$E$2:$E$3143),
Master_Mapping_Sheet!$B$2:$B$3143=$A26))), 0, sum(filter(
Master_Mapping_Sheet!$E$2:$E$3143, ISNUMBER(
Master_Mapping_Sheet!$E$2:$E$3143),
Master_Mapping_Sheet!$H$2:$H$3143=O$1,
Master_Mapping_Sheet!$B$2:$B$3143=$A26))/sum(filter(
Maste"&amp;"r_Mapping_Sheet!$E$2:$E$3143, ISNUMBER(
Master_Mapping_Sheet!$E$2:$E$3143),
Master_Mapping_Sheet!$B$2:$B$3143=$A26)))"),0.0)</f>
        <v>0</v>
      </c>
      <c r="P26" s="34">
        <f>IFERROR(__xludf.DUMMYFUNCTION("IF(ISNA(sum(filter(
Master_Mapping_Sheet!$E$2:$E$3143, ISNUMBER(
Master_Mapping_Sheet!$E$2:$E$3143),
Master_Mapping_Sheet!$H$2:$H$3143=P$1,
Master_Mapping_Sheet!$B$2:$B$3143=$A26))/sum(filter(
Master_Mapping_Sheet!$E$2:$E$3143, ISNUMBER(
Master_Mapping_Sh"&amp;"eet!$E$2:$E$3143),
Master_Mapping_Sheet!$B$2:$B$3143=$A26))), 0, sum(filter(
Master_Mapping_Sheet!$E$2:$E$3143, ISNUMBER(
Master_Mapping_Sheet!$E$2:$E$3143),
Master_Mapping_Sheet!$H$2:$H$3143=P$1,
Master_Mapping_Sheet!$B$2:$B$3143=$A26))/sum(filter(
Maste"&amp;"r_Mapping_Sheet!$E$2:$E$3143, ISNUMBER(
Master_Mapping_Sheet!$E$2:$E$3143),
Master_Mapping_Sheet!$B$2:$B$3143=$A26)))"),0.0)</f>
        <v>0</v>
      </c>
      <c r="Q26" s="34">
        <f>IFERROR(__xludf.DUMMYFUNCTION("IF(ISNA(sum(filter(
Master_Mapping_Sheet!$E$2:$E$3143, ISNUMBER(
Master_Mapping_Sheet!$E$2:$E$3143),
Master_Mapping_Sheet!$H$2:$H$3143=Q$1,
Master_Mapping_Sheet!$B$2:$B$3143=$A26))/sum(filter(
Master_Mapping_Sheet!$E$2:$E$3143, ISNUMBER(
Master_Mapping_Sh"&amp;"eet!$E$2:$E$3143),
Master_Mapping_Sheet!$B$2:$B$3143=$A26))), 0, sum(filter(
Master_Mapping_Sheet!$E$2:$E$3143, ISNUMBER(
Master_Mapping_Sheet!$E$2:$E$3143),
Master_Mapping_Sheet!$H$2:$H$3143=Q$1,
Master_Mapping_Sheet!$B$2:$B$3143=$A26))/sum(filter(
Maste"&amp;"r_Mapping_Sheet!$E$2:$E$3143, ISNUMBER(
Master_Mapping_Sheet!$E$2:$E$3143),
Master_Mapping_Sheet!$B$2:$B$3143=$A26)))"),0.32422636400436783)</f>
        <v>0.324226364</v>
      </c>
      <c r="R26" s="34">
        <f>IFERROR(__xludf.DUMMYFUNCTION("IF(ISNA(sum(filter(
Master_Mapping_Sheet!$E$2:$E$3143, ISNUMBER(
Master_Mapping_Sheet!$E$2:$E$3143),
Master_Mapping_Sheet!$H$2:$H$3143=R$1,
Master_Mapping_Sheet!$B$2:$B$3143=$A26))/sum(filter(
Master_Mapping_Sheet!$E$2:$E$3143, ISNUMBER(
Master_Mapping_Sh"&amp;"eet!$E$2:$E$3143),
Master_Mapping_Sheet!$B$2:$B$3143=$A26))), 0, sum(filter(
Master_Mapping_Sheet!$E$2:$E$3143, ISNUMBER(
Master_Mapping_Sheet!$E$2:$E$3143),
Master_Mapping_Sheet!$H$2:$H$3143=R$1,
Master_Mapping_Sheet!$B$2:$B$3143=$A26))/sum(filter(
Maste"&amp;"r_Mapping_Sheet!$E$2:$E$3143, ISNUMBER(
Master_Mapping_Sheet!$E$2:$E$3143),
Master_Mapping_Sheet!$B$2:$B$3143=$A26)))"),0.18514367161163253)</f>
        <v>0.1851436716</v>
      </c>
      <c r="S26" s="34">
        <f>IFERROR(__xludf.DUMMYFUNCTION("IF(ISNA(sum(filter(
Master_Mapping_Sheet!$E$2:$E$3143, ISNUMBER(
Master_Mapping_Sheet!$E$2:$E$3143),
Master_Mapping_Sheet!$H$2:$H$3143=S$1,
Master_Mapping_Sheet!$B$2:$B$3143=$A26))/sum(filter(
Master_Mapping_Sheet!$E$2:$E$3143, ISNUMBER(
Master_Mapping_Sh"&amp;"eet!$E$2:$E$3143),
Master_Mapping_Sheet!$B$2:$B$3143=$A26))), 0, sum(filter(
Master_Mapping_Sheet!$E$2:$E$3143, ISNUMBER(
Master_Mapping_Sheet!$E$2:$E$3143),
Master_Mapping_Sheet!$H$2:$H$3143=S$1,
Master_Mapping_Sheet!$B$2:$B$3143=$A26))/sum(filter(
Maste"&amp;"r_Mapping_Sheet!$E$2:$E$3143, ISNUMBER(
Master_Mapping_Sheet!$E$2:$E$3143),
Master_Mapping_Sheet!$B$2:$B$3143=$A26)))"),0.0)</f>
        <v>0</v>
      </c>
      <c r="T26" s="34">
        <f>IFERROR(__xludf.DUMMYFUNCTION("IF(ISNA(sum(filter(
Master_Mapping_Sheet!$E$2:$E$3143, ISNUMBER(
Master_Mapping_Sheet!$E$2:$E$3143),
Master_Mapping_Sheet!$H$2:$H$3143=T$1,
Master_Mapping_Sheet!$B$2:$B$3143=$A26))/sum(filter(
Master_Mapping_Sheet!$E$2:$E$3143, ISNUMBER(
Master_Mapping_Sh"&amp;"eet!$E$2:$E$3143),
Master_Mapping_Sheet!$B$2:$B$3143=$A26))), 0, sum(filter(
Master_Mapping_Sheet!$E$2:$E$3143, ISNUMBER(
Master_Mapping_Sheet!$E$2:$E$3143),
Master_Mapping_Sheet!$H$2:$H$3143=T$1,
Master_Mapping_Sheet!$B$2:$B$3143=$A26))/sum(filter(
Maste"&amp;"r_Mapping_Sheet!$E$2:$E$3143, ISNUMBER(
Master_Mapping_Sheet!$E$2:$E$3143),
Master_Mapping_Sheet!$B$2:$B$3143=$A26)))"),0.0)</f>
        <v>0</v>
      </c>
      <c r="U26" s="34">
        <f>IFERROR(__xludf.DUMMYFUNCTION("IF(ISNA(sum(filter(
Master_Mapping_Sheet!$E$2:$E$3143, ISNUMBER(
Master_Mapping_Sheet!$E$2:$E$3143),
Master_Mapping_Sheet!$H$2:$H$3143=U$1,
Master_Mapping_Sheet!$B$2:$B$3143=$A26))/sum(filter(
Master_Mapping_Sheet!$E$2:$E$3143, ISNUMBER(
Master_Mapping_Sh"&amp;"eet!$E$2:$E$3143),
Master_Mapping_Sheet!$B$2:$B$3143=$A26))), 0, sum(filter(
Master_Mapping_Sheet!$E$2:$E$3143, ISNUMBER(
Master_Mapping_Sheet!$E$2:$E$3143),
Master_Mapping_Sheet!$H$2:$H$3143=U$1,
Master_Mapping_Sheet!$B$2:$B$3143=$A26))/sum(filter(
Maste"&amp;"r_Mapping_Sheet!$E$2:$E$3143, ISNUMBER(
Master_Mapping_Sheet!$E$2:$E$3143),
Master_Mapping_Sheet!$B$2:$B$3143=$A26)))"),0.0)</f>
        <v>0</v>
      </c>
      <c r="V26" s="34">
        <f>IFERROR(__xludf.DUMMYFUNCTION("IF(ISNA(sum(filter(
Master_Mapping_Sheet!$E$2:$E$3143, ISNUMBER(
Master_Mapping_Sheet!$E$2:$E$3143),
Master_Mapping_Sheet!$H$2:$H$3143=V$1,
Master_Mapping_Sheet!$B$2:$B$3143=$A26))/sum(filter(
Master_Mapping_Sheet!$E$2:$E$3143, ISNUMBER(
Master_Mapping_Sh"&amp;"eet!$E$2:$E$3143),
Master_Mapping_Sheet!$B$2:$B$3143=$A26))), 0, sum(filter(
Master_Mapping_Sheet!$E$2:$E$3143, ISNUMBER(
Master_Mapping_Sheet!$E$2:$E$3143),
Master_Mapping_Sheet!$H$2:$H$3143=V$1,
Master_Mapping_Sheet!$B$2:$B$3143=$A26))/sum(filter(
Maste"&amp;"r_Mapping_Sheet!$E$2:$E$3143, ISNUMBER(
Master_Mapping_Sheet!$E$2:$E$3143),
Master_Mapping_Sheet!$B$2:$B$3143=$A26)))"),0.0)</f>
        <v>0</v>
      </c>
      <c r="W26" s="34">
        <f>IFERROR(__xludf.DUMMYFUNCTION("IF(ISNA(sum(filter(
Master_Mapping_Sheet!$E$2:$E$3143, ISNUMBER(
Master_Mapping_Sheet!$E$2:$E$3143),
Master_Mapping_Sheet!$H$2:$H$3143=W$1,
Master_Mapping_Sheet!$B$2:$B$3143=$A26))/sum(filter(
Master_Mapping_Sheet!$E$2:$E$3143, ISNUMBER(
Master_Mapping_Sh"&amp;"eet!$E$2:$E$3143),
Master_Mapping_Sheet!$B$2:$B$3143=$A26))), 0, sum(filter(
Master_Mapping_Sheet!$E$2:$E$3143, ISNUMBER(
Master_Mapping_Sheet!$E$2:$E$3143),
Master_Mapping_Sheet!$H$2:$H$3143=W$1,
Master_Mapping_Sheet!$B$2:$B$3143=$A26))/sum(filter(
Maste"&amp;"r_Mapping_Sheet!$E$2:$E$3143, ISNUMBER(
Master_Mapping_Sheet!$E$2:$E$3143),
Master_Mapping_Sheet!$B$2:$B$3143=$A26)))"),0.0)</f>
        <v>0</v>
      </c>
      <c r="X26" s="34">
        <f>IFERROR(__xludf.DUMMYFUNCTION("IF(ISNA(sum(filter(
Master_Mapping_Sheet!$E$2:$E$3143, ISNUMBER(
Master_Mapping_Sheet!$E$2:$E$3143),
Master_Mapping_Sheet!$H$2:$H$3143=X$1,
Master_Mapping_Sheet!$B$2:$B$3143=$A26))/sum(filter(
Master_Mapping_Sheet!$E$2:$E$3143, ISNUMBER(
Master_Mapping_Sh"&amp;"eet!$E$2:$E$3143),
Master_Mapping_Sheet!$B$2:$B$3143=$A26))), 0, sum(filter(
Master_Mapping_Sheet!$E$2:$E$3143, ISNUMBER(
Master_Mapping_Sheet!$E$2:$E$3143),
Master_Mapping_Sheet!$H$2:$H$3143=X$1,
Master_Mapping_Sheet!$B$2:$B$3143=$A26))/sum(filter(
Maste"&amp;"r_Mapping_Sheet!$E$2:$E$3143, ISNUMBER(
Master_Mapping_Sheet!$E$2:$E$3143),
Master_Mapping_Sheet!$B$2:$B$3143=$A26)))"),0.0)</f>
        <v>0</v>
      </c>
      <c r="Y26" s="34">
        <f>IFERROR(__xludf.DUMMYFUNCTION("IF(ISNA(sum(filter(
Master_Mapping_Sheet!$E$2:$E$3143, ISNUMBER(
Master_Mapping_Sheet!$E$2:$E$3143),
Master_Mapping_Sheet!$H$2:$H$3143=Y$1,
Master_Mapping_Sheet!$B$2:$B$3143=$A26))/sum(filter(
Master_Mapping_Sheet!$E$2:$E$3143, ISNUMBER(
Master_Mapping_Sh"&amp;"eet!$E$2:$E$3143),
Master_Mapping_Sheet!$B$2:$B$3143=$A26))), 0, sum(filter(
Master_Mapping_Sheet!$E$2:$E$3143, ISNUMBER(
Master_Mapping_Sheet!$E$2:$E$3143),
Master_Mapping_Sheet!$H$2:$H$3143=Y$1,
Master_Mapping_Sheet!$B$2:$B$3143=$A26))/sum(filter(
Maste"&amp;"r_Mapping_Sheet!$E$2:$E$3143, ISNUMBER(
Master_Mapping_Sheet!$E$2:$E$3143),
Master_Mapping_Sheet!$B$2:$B$3143=$A26)))"),0.0)</f>
        <v>0</v>
      </c>
      <c r="Z26" s="34">
        <f>IFERROR(__xludf.DUMMYFUNCTION("IF(ISNA(sum(filter(
Master_Mapping_Sheet!$E$2:$E$3143, ISNUMBER(
Master_Mapping_Sheet!$E$2:$E$3143),
Master_Mapping_Sheet!$H$2:$H$3143=Z$1,
Master_Mapping_Sheet!$B$2:$B$3143=$A26))/sum(filter(
Master_Mapping_Sheet!$E$2:$E$3143, ISNUMBER(
Master_Mapping_Sh"&amp;"eet!$E$2:$E$3143),
Master_Mapping_Sheet!$B$2:$B$3143=$A26))), 0, sum(filter(
Master_Mapping_Sheet!$E$2:$E$3143, ISNUMBER(
Master_Mapping_Sheet!$E$2:$E$3143),
Master_Mapping_Sheet!$H$2:$H$3143=Z$1,
Master_Mapping_Sheet!$B$2:$B$3143=$A26))/sum(filter(
Maste"&amp;"r_Mapping_Sheet!$E$2:$E$3143, ISNUMBER(
Master_Mapping_Sheet!$E$2:$E$3143),
Master_Mapping_Sheet!$B$2:$B$3143=$A26)))"),0.0)</f>
        <v>0</v>
      </c>
      <c r="AA26" s="34">
        <f>IFERROR(__xludf.DUMMYFUNCTION("IF(ISNA(sum(filter(
Master_Mapping_Sheet!$E$2:$E$3143, ISNUMBER(
Master_Mapping_Sheet!$E$2:$E$3143),
Master_Mapping_Sheet!$H$2:$H$3143=AA$1,
Master_Mapping_Sheet!$B$2:$B$3143=$A26))/sum(filter(
Master_Mapping_Sheet!$E$2:$E$3143, ISNUMBER(
Master_Mapping_S"&amp;"heet!$E$2:$E$3143),
Master_Mapping_Sheet!$B$2:$B$3143=$A26))), 0, sum(filter(
Master_Mapping_Sheet!$E$2:$E$3143, ISNUMBER(
Master_Mapping_Sheet!$E$2:$E$3143),
Master_Mapping_Sheet!$H$2:$H$3143=AA$1,
Master_Mapping_Sheet!$B$2:$B$3143=$A26))/sum(filter(
Mas"&amp;"ter_Mapping_Sheet!$E$2:$E$3143, ISNUMBER(
Master_Mapping_Sheet!$E$2:$E$3143),
Master_Mapping_Sheet!$B$2:$B$3143=$A26)))"),0.0)</f>
        <v>0</v>
      </c>
    </row>
    <row r="27" ht="15.75" customHeight="1">
      <c r="A27" s="34" t="s">
        <v>1121</v>
      </c>
      <c r="B27" s="34" t="s">
        <v>2992</v>
      </c>
      <c r="C27" s="34">
        <f>IFERROR(__xludf.DUMMYFUNCTION("IF(ISNA(sum(filter(
Master_Mapping_Sheet!$E$2:$E$3143, ISNUMBER(
Master_Mapping_Sheet!$E$2:$E$3143),
Master_Mapping_Sheet!$H$2:$H$3143=C$1,
Master_Mapping_Sheet!$B$2:$B$3143=$A27))/sum(filter(
Master_Mapping_Sheet!$E$2:$E$3143, ISNUMBER(
Master_Mapping_Sh"&amp;"eet!$E$2:$E$3143),
Master_Mapping_Sheet!$B$2:$B$3143=$A27))), 0, sum(filter(
Master_Mapping_Sheet!$E$2:$E$3143, ISNUMBER(
Master_Mapping_Sheet!$E$2:$E$3143),
Master_Mapping_Sheet!$H$2:$H$3143=C$1,
Master_Mapping_Sheet!$B$2:$B$3143=$A27))/sum(filter(
Maste"&amp;"r_Mapping_Sheet!$E$2:$E$3143, ISNUMBER(
Master_Mapping_Sheet!$E$2:$E$3143),
Master_Mapping_Sheet!$B$2:$B$3143=$A27)))"),0.0)</f>
        <v>0</v>
      </c>
      <c r="D27" s="32">
        <f>IFERROR(__xludf.DUMMYFUNCTION("IF(ISNA(sum(filter(
Master_Mapping_Sheet!$E$2:$E$3143, ISNUMBER(
Master_Mapping_Sheet!$E$2:$E$3143),
Master_Mapping_Sheet!$H$2:$H$3143=D$1,
Master_Mapping_Sheet!$B$2:$B$3143=$A27))/sum(filter(
Master_Mapping_Sheet!$E$2:$E$3143, ISNUMBER(
Master_Mapping_Sh"&amp;"eet!$E$2:$E$3143),
Master_Mapping_Sheet!$B$2:$B$3143=$A27))), 0, sum(filter(
Master_Mapping_Sheet!$E$2:$E$3143, ISNUMBER(
Master_Mapping_Sheet!$E$2:$E$3143),
Master_Mapping_Sheet!$H$2:$H$3143=D$1,
Master_Mapping_Sheet!$B$2:$B$3143=$A27))/sum(filter(
Maste"&amp;"r_Mapping_Sheet!$E$2:$E$3143, ISNUMBER(
Master_Mapping_Sheet!$E$2:$E$3143),
Master_Mapping_Sheet!$B$2:$B$3143=$A27)))"),0.0)</f>
        <v>0</v>
      </c>
      <c r="E27" s="34">
        <f>IFERROR(__xludf.DUMMYFUNCTION("IF(ISNA(sum(filter(
Master_Mapping_Sheet!$E$2:$E$3143, ISNUMBER(
Master_Mapping_Sheet!$E$2:$E$3143),
Master_Mapping_Sheet!$H$2:$H$3143=E$1,
Master_Mapping_Sheet!$B$2:$B$3143=$A27))/sum(filter(
Master_Mapping_Sheet!$E$2:$E$3143, ISNUMBER(
Master_Mapping_Sh"&amp;"eet!$E$2:$E$3143),
Master_Mapping_Sheet!$B$2:$B$3143=$A27))), 0, sum(filter(
Master_Mapping_Sheet!$E$2:$E$3143, ISNUMBER(
Master_Mapping_Sheet!$E$2:$E$3143),
Master_Mapping_Sheet!$H$2:$H$3143=E$1,
Master_Mapping_Sheet!$B$2:$B$3143=$A27))/sum(filter(
Maste"&amp;"r_Mapping_Sheet!$E$2:$E$3143, ISNUMBER(
Master_Mapping_Sheet!$E$2:$E$3143),
Master_Mapping_Sheet!$B$2:$B$3143=$A27)))"),0.0)</f>
        <v>0</v>
      </c>
      <c r="F27" s="34">
        <f>IFERROR(__xludf.DUMMYFUNCTION("IF(ISNA(sum(filter(
Master_Mapping_Sheet!$E$2:$E$3143, ISNUMBER(
Master_Mapping_Sheet!$E$2:$E$3143),
Master_Mapping_Sheet!$H$2:$H$3143=F$1,
Master_Mapping_Sheet!$B$2:$B$3143=$A27))/sum(filter(
Master_Mapping_Sheet!$E$2:$E$3143, ISNUMBER(
Master_Mapping_Sh"&amp;"eet!$E$2:$E$3143),
Master_Mapping_Sheet!$B$2:$B$3143=$A27))), 0, sum(filter(
Master_Mapping_Sheet!$E$2:$E$3143, ISNUMBER(
Master_Mapping_Sheet!$E$2:$E$3143),
Master_Mapping_Sheet!$H$2:$H$3143=F$1,
Master_Mapping_Sheet!$B$2:$B$3143=$A27))/sum(filter(
Maste"&amp;"r_Mapping_Sheet!$E$2:$E$3143, ISNUMBER(
Master_Mapping_Sheet!$E$2:$E$3143),
Master_Mapping_Sheet!$B$2:$B$3143=$A27)))"),0.5755933194709753)</f>
        <v>0.5755933195</v>
      </c>
      <c r="G27" s="34">
        <f>IFERROR(__xludf.DUMMYFUNCTION("IF(ISNA(sum(filter(
Master_Mapping_Sheet!$E$2:$E$3143, ISNUMBER(
Master_Mapping_Sheet!$E$2:$E$3143),
Master_Mapping_Sheet!$H$2:$H$3143=G$1,
Master_Mapping_Sheet!$B$2:$B$3143=$A27))/sum(filter(
Master_Mapping_Sheet!$E$2:$E$3143, ISNUMBER(
Master_Mapping_Sh"&amp;"eet!$E$2:$E$3143),
Master_Mapping_Sheet!$B$2:$B$3143=$A27))), 0, sum(filter(
Master_Mapping_Sheet!$E$2:$E$3143, ISNUMBER(
Master_Mapping_Sheet!$E$2:$E$3143),
Master_Mapping_Sheet!$H$2:$H$3143=G$1,
Master_Mapping_Sheet!$B$2:$B$3143=$A27))/sum(filter(
Maste"&amp;"r_Mapping_Sheet!$E$2:$E$3143, ISNUMBER(
Master_Mapping_Sheet!$E$2:$E$3143),
Master_Mapping_Sheet!$B$2:$B$3143=$A27)))"),0.0)</f>
        <v>0</v>
      </c>
      <c r="H27" s="34">
        <f>IFERROR(__xludf.DUMMYFUNCTION("IF(ISNA(sum(filter(
Master_Mapping_Sheet!$E$2:$E$3143, ISNUMBER(
Master_Mapping_Sheet!$E$2:$E$3143),
Master_Mapping_Sheet!$H$2:$H$3143=H$1,
Master_Mapping_Sheet!$B$2:$B$3143=$A27))/sum(filter(
Master_Mapping_Sheet!$E$2:$E$3143, ISNUMBER(
Master_Mapping_Sh"&amp;"eet!$E$2:$E$3143),
Master_Mapping_Sheet!$B$2:$B$3143=$A27))), 0, sum(filter(
Master_Mapping_Sheet!$E$2:$E$3143, ISNUMBER(
Master_Mapping_Sheet!$E$2:$E$3143),
Master_Mapping_Sheet!$H$2:$H$3143=H$1,
Master_Mapping_Sheet!$B$2:$B$3143=$A27))/sum(filter(
Maste"&amp;"r_Mapping_Sheet!$E$2:$E$3143, ISNUMBER(
Master_Mapping_Sheet!$E$2:$E$3143),
Master_Mapping_Sheet!$B$2:$B$3143=$A27)))"),0.0)</f>
        <v>0</v>
      </c>
      <c r="I27" s="34">
        <f>IFERROR(__xludf.DUMMYFUNCTION("IF(ISNA(sum(filter(
Master_Mapping_Sheet!$E$2:$E$3143, ISNUMBER(
Master_Mapping_Sheet!$E$2:$E$3143),
Master_Mapping_Sheet!$H$2:$H$3143=I$1,
Master_Mapping_Sheet!$B$2:$B$3143=$A27))/sum(filter(
Master_Mapping_Sheet!$E$2:$E$3143, ISNUMBER(
Master_Mapping_Sh"&amp;"eet!$E$2:$E$3143),
Master_Mapping_Sheet!$B$2:$B$3143=$A27))), 0, sum(filter(
Master_Mapping_Sheet!$E$2:$E$3143, ISNUMBER(
Master_Mapping_Sheet!$E$2:$E$3143),
Master_Mapping_Sheet!$H$2:$H$3143=I$1,
Master_Mapping_Sheet!$B$2:$B$3143=$A27))/sum(filter(
Maste"&amp;"r_Mapping_Sheet!$E$2:$E$3143, ISNUMBER(
Master_Mapping_Sheet!$E$2:$E$3143),
Master_Mapping_Sheet!$B$2:$B$3143=$A27)))"),0.0)</f>
        <v>0</v>
      </c>
      <c r="J27" s="34">
        <f>IFERROR(__xludf.DUMMYFUNCTION("IF(ISNA(sum(filter(
Master_Mapping_Sheet!$E$2:$E$3143, ISNUMBER(
Master_Mapping_Sheet!$E$2:$E$3143),
Master_Mapping_Sheet!$H$2:$H$3143=J$1,
Master_Mapping_Sheet!$B$2:$B$3143=$A27))/sum(filter(
Master_Mapping_Sheet!$E$2:$E$3143, ISNUMBER(
Master_Mapping_Sh"&amp;"eet!$E$2:$E$3143),
Master_Mapping_Sheet!$B$2:$B$3143=$A27))), 0, sum(filter(
Master_Mapping_Sheet!$E$2:$E$3143, ISNUMBER(
Master_Mapping_Sheet!$E$2:$E$3143),
Master_Mapping_Sheet!$H$2:$H$3143=J$1,
Master_Mapping_Sheet!$B$2:$B$3143=$A27))/sum(filter(
Maste"&amp;"r_Mapping_Sheet!$E$2:$E$3143, ISNUMBER(
Master_Mapping_Sheet!$E$2:$E$3143),
Master_Mapping_Sheet!$B$2:$B$3143=$A27)))"),0.0)</f>
        <v>0</v>
      </c>
      <c r="K27" s="34">
        <f>IFERROR(__xludf.DUMMYFUNCTION("IF(ISNA(sum(filter(
Master_Mapping_Sheet!$E$2:$E$3143, ISNUMBER(
Master_Mapping_Sheet!$E$2:$E$3143),
Master_Mapping_Sheet!$H$2:$H$3143=K$1,
Master_Mapping_Sheet!$B$2:$B$3143=$A27))/sum(filter(
Master_Mapping_Sheet!$E$2:$E$3143, ISNUMBER(
Master_Mapping_Sh"&amp;"eet!$E$2:$E$3143),
Master_Mapping_Sheet!$B$2:$B$3143=$A27))), 0, sum(filter(
Master_Mapping_Sheet!$E$2:$E$3143, ISNUMBER(
Master_Mapping_Sheet!$E$2:$E$3143),
Master_Mapping_Sheet!$H$2:$H$3143=K$1,
Master_Mapping_Sheet!$B$2:$B$3143=$A27))/sum(filter(
Maste"&amp;"r_Mapping_Sheet!$E$2:$E$3143, ISNUMBER(
Master_Mapping_Sheet!$E$2:$E$3143),
Master_Mapping_Sheet!$B$2:$B$3143=$A27)))"),0.0)</f>
        <v>0</v>
      </c>
      <c r="L27" s="34">
        <f>IFERROR(__xludf.DUMMYFUNCTION("IF(ISNA(sum(filter(
Master_Mapping_Sheet!$E$2:$E$3143, ISNUMBER(
Master_Mapping_Sheet!$E$2:$E$3143),
Master_Mapping_Sheet!$H$2:$H$3143=L$1,
Master_Mapping_Sheet!$B$2:$B$3143=$A27))/sum(filter(
Master_Mapping_Sheet!$E$2:$E$3143, ISNUMBER(
Master_Mapping_Sh"&amp;"eet!$E$2:$E$3143),
Master_Mapping_Sheet!$B$2:$B$3143=$A27))), 0, sum(filter(
Master_Mapping_Sheet!$E$2:$E$3143, ISNUMBER(
Master_Mapping_Sheet!$E$2:$E$3143),
Master_Mapping_Sheet!$H$2:$H$3143=L$1,
Master_Mapping_Sheet!$B$2:$B$3143=$A27))/sum(filter(
Maste"&amp;"r_Mapping_Sheet!$E$2:$E$3143, ISNUMBER(
Master_Mapping_Sheet!$E$2:$E$3143),
Master_Mapping_Sheet!$B$2:$B$3143=$A27)))"),0.0)</f>
        <v>0</v>
      </c>
      <c r="M27" s="34">
        <f>IFERROR(__xludf.DUMMYFUNCTION("IF(ISNA(sum(filter(
Master_Mapping_Sheet!$E$2:$E$3143, ISNUMBER(
Master_Mapping_Sheet!$E$2:$E$3143),
Master_Mapping_Sheet!$H$2:$H$3143=M$1,
Master_Mapping_Sheet!$B$2:$B$3143=$A27))/sum(filter(
Master_Mapping_Sheet!$E$2:$E$3143, ISNUMBER(
Master_Mapping_Sh"&amp;"eet!$E$2:$E$3143),
Master_Mapping_Sheet!$B$2:$B$3143=$A27))), 0, sum(filter(
Master_Mapping_Sheet!$E$2:$E$3143, ISNUMBER(
Master_Mapping_Sheet!$E$2:$E$3143),
Master_Mapping_Sheet!$H$2:$H$3143=M$1,
Master_Mapping_Sheet!$B$2:$B$3143=$A27))/sum(filter(
Maste"&amp;"r_Mapping_Sheet!$E$2:$E$3143, ISNUMBER(
Master_Mapping_Sheet!$E$2:$E$3143),
Master_Mapping_Sheet!$B$2:$B$3143=$A27)))"),0.0)</f>
        <v>0</v>
      </c>
      <c r="N27" s="34">
        <f>IFERROR(__xludf.DUMMYFUNCTION("IF(ISNA(sum(filter(
Master_Mapping_Sheet!$E$2:$E$3143, ISNUMBER(
Master_Mapping_Sheet!$E$2:$E$3143),
Master_Mapping_Sheet!$H$2:$H$3143=N$1,
Master_Mapping_Sheet!$B$2:$B$3143=$A27))/sum(filter(
Master_Mapping_Sheet!$E$2:$E$3143, ISNUMBER(
Master_Mapping_Sh"&amp;"eet!$E$2:$E$3143),
Master_Mapping_Sheet!$B$2:$B$3143=$A27))), 0, sum(filter(
Master_Mapping_Sheet!$E$2:$E$3143, ISNUMBER(
Master_Mapping_Sheet!$E$2:$E$3143),
Master_Mapping_Sheet!$H$2:$H$3143=N$1,
Master_Mapping_Sheet!$B$2:$B$3143=$A27))/sum(filter(
Maste"&amp;"r_Mapping_Sheet!$E$2:$E$3143, ISNUMBER(
Master_Mapping_Sheet!$E$2:$E$3143),
Master_Mapping_Sheet!$B$2:$B$3143=$A27)))"),0.0)</f>
        <v>0</v>
      </c>
      <c r="O27" s="34">
        <f>IFERROR(__xludf.DUMMYFUNCTION("IF(ISNA(sum(filter(
Master_Mapping_Sheet!$E$2:$E$3143, ISNUMBER(
Master_Mapping_Sheet!$E$2:$E$3143),
Master_Mapping_Sheet!$H$2:$H$3143=O$1,
Master_Mapping_Sheet!$B$2:$B$3143=$A27))/sum(filter(
Master_Mapping_Sheet!$E$2:$E$3143, ISNUMBER(
Master_Mapping_Sh"&amp;"eet!$E$2:$E$3143),
Master_Mapping_Sheet!$B$2:$B$3143=$A27))), 0, sum(filter(
Master_Mapping_Sheet!$E$2:$E$3143, ISNUMBER(
Master_Mapping_Sheet!$E$2:$E$3143),
Master_Mapping_Sheet!$H$2:$H$3143=O$1,
Master_Mapping_Sheet!$B$2:$B$3143=$A27))/sum(filter(
Maste"&amp;"r_Mapping_Sheet!$E$2:$E$3143, ISNUMBER(
Master_Mapping_Sheet!$E$2:$E$3143),
Master_Mapping_Sheet!$B$2:$B$3143=$A27)))"),0.0)</f>
        <v>0</v>
      </c>
      <c r="P27" s="34">
        <f>IFERROR(__xludf.DUMMYFUNCTION("IF(ISNA(sum(filter(
Master_Mapping_Sheet!$E$2:$E$3143, ISNUMBER(
Master_Mapping_Sheet!$E$2:$E$3143),
Master_Mapping_Sheet!$H$2:$H$3143=P$1,
Master_Mapping_Sheet!$B$2:$B$3143=$A27))/sum(filter(
Master_Mapping_Sheet!$E$2:$E$3143, ISNUMBER(
Master_Mapping_Sh"&amp;"eet!$E$2:$E$3143),
Master_Mapping_Sheet!$B$2:$B$3143=$A27))), 0, sum(filter(
Master_Mapping_Sheet!$E$2:$E$3143, ISNUMBER(
Master_Mapping_Sheet!$E$2:$E$3143),
Master_Mapping_Sheet!$H$2:$H$3143=P$1,
Master_Mapping_Sheet!$B$2:$B$3143=$A27))/sum(filter(
Maste"&amp;"r_Mapping_Sheet!$E$2:$E$3143, ISNUMBER(
Master_Mapping_Sheet!$E$2:$E$3143),
Master_Mapping_Sheet!$B$2:$B$3143=$A27)))"),0.0)</f>
        <v>0</v>
      </c>
      <c r="Q27" s="34">
        <f>IFERROR(__xludf.DUMMYFUNCTION("IF(ISNA(sum(filter(
Master_Mapping_Sheet!$E$2:$E$3143, ISNUMBER(
Master_Mapping_Sheet!$E$2:$E$3143),
Master_Mapping_Sheet!$H$2:$H$3143=Q$1,
Master_Mapping_Sheet!$B$2:$B$3143=$A27))/sum(filter(
Master_Mapping_Sheet!$E$2:$E$3143, ISNUMBER(
Master_Mapping_Sh"&amp;"eet!$E$2:$E$3143),
Master_Mapping_Sheet!$B$2:$B$3143=$A27))), 0, sum(filter(
Master_Mapping_Sheet!$E$2:$E$3143, ISNUMBER(
Master_Mapping_Sheet!$E$2:$E$3143),
Master_Mapping_Sheet!$H$2:$H$3143=Q$1,
Master_Mapping_Sheet!$B$2:$B$3143=$A27))/sum(filter(
Maste"&amp;"r_Mapping_Sheet!$E$2:$E$3143, ISNUMBER(
Master_Mapping_Sheet!$E$2:$E$3143),
Master_Mapping_Sheet!$B$2:$B$3143=$A27)))"),0.0)</f>
        <v>0</v>
      </c>
      <c r="R27" s="34">
        <f>IFERROR(__xludf.DUMMYFUNCTION("IF(ISNA(sum(filter(
Master_Mapping_Sheet!$E$2:$E$3143, ISNUMBER(
Master_Mapping_Sheet!$E$2:$E$3143),
Master_Mapping_Sheet!$H$2:$H$3143=R$1,
Master_Mapping_Sheet!$B$2:$B$3143=$A27))/sum(filter(
Master_Mapping_Sheet!$E$2:$E$3143, ISNUMBER(
Master_Mapping_Sh"&amp;"eet!$E$2:$E$3143),
Master_Mapping_Sheet!$B$2:$B$3143=$A27))), 0, sum(filter(
Master_Mapping_Sheet!$E$2:$E$3143, ISNUMBER(
Master_Mapping_Sheet!$E$2:$E$3143),
Master_Mapping_Sheet!$H$2:$H$3143=R$1,
Master_Mapping_Sheet!$B$2:$B$3143=$A27))/sum(filter(
Maste"&amp;"r_Mapping_Sheet!$E$2:$E$3143, ISNUMBER(
Master_Mapping_Sheet!$E$2:$E$3143),
Master_Mapping_Sheet!$B$2:$B$3143=$A27)))"),0.0)</f>
        <v>0</v>
      </c>
      <c r="S27" s="34">
        <f>IFERROR(__xludf.DUMMYFUNCTION("IF(ISNA(sum(filter(
Master_Mapping_Sheet!$E$2:$E$3143, ISNUMBER(
Master_Mapping_Sheet!$E$2:$E$3143),
Master_Mapping_Sheet!$H$2:$H$3143=S$1,
Master_Mapping_Sheet!$B$2:$B$3143=$A27))/sum(filter(
Master_Mapping_Sheet!$E$2:$E$3143, ISNUMBER(
Master_Mapping_Sh"&amp;"eet!$E$2:$E$3143),
Master_Mapping_Sheet!$B$2:$B$3143=$A27))), 0, sum(filter(
Master_Mapping_Sheet!$E$2:$E$3143, ISNUMBER(
Master_Mapping_Sheet!$E$2:$E$3143),
Master_Mapping_Sheet!$H$2:$H$3143=S$1,
Master_Mapping_Sheet!$B$2:$B$3143=$A27))/sum(filter(
Maste"&amp;"r_Mapping_Sheet!$E$2:$E$3143, ISNUMBER(
Master_Mapping_Sheet!$E$2:$E$3143),
Master_Mapping_Sheet!$B$2:$B$3143=$A27)))"),0.0)</f>
        <v>0</v>
      </c>
      <c r="T27" s="34">
        <f>IFERROR(__xludf.DUMMYFUNCTION("IF(ISNA(sum(filter(
Master_Mapping_Sheet!$E$2:$E$3143, ISNUMBER(
Master_Mapping_Sheet!$E$2:$E$3143),
Master_Mapping_Sheet!$H$2:$H$3143=T$1,
Master_Mapping_Sheet!$B$2:$B$3143=$A27))/sum(filter(
Master_Mapping_Sheet!$E$2:$E$3143, ISNUMBER(
Master_Mapping_Sh"&amp;"eet!$E$2:$E$3143),
Master_Mapping_Sheet!$B$2:$B$3143=$A27))), 0, sum(filter(
Master_Mapping_Sheet!$E$2:$E$3143, ISNUMBER(
Master_Mapping_Sheet!$E$2:$E$3143),
Master_Mapping_Sheet!$H$2:$H$3143=T$1,
Master_Mapping_Sheet!$B$2:$B$3143=$A27))/sum(filter(
Maste"&amp;"r_Mapping_Sheet!$E$2:$E$3143, ISNUMBER(
Master_Mapping_Sheet!$E$2:$E$3143),
Master_Mapping_Sheet!$B$2:$B$3143=$A27)))"),0.42440668052902475)</f>
        <v>0.4244066805</v>
      </c>
      <c r="U27" s="34">
        <f>IFERROR(__xludf.DUMMYFUNCTION("IF(ISNA(sum(filter(
Master_Mapping_Sheet!$E$2:$E$3143, ISNUMBER(
Master_Mapping_Sheet!$E$2:$E$3143),
Master_Mapping_Sheet!$H$2:$H$3143=U$1,
Master_Mapping_Sheet!$B$2:$B$3143=$A27))/sum(filter(
Master_Mapping_Sheet!$E$2:$E$3143, ISNUMBER(
Master_Mapping_Sh"&amp;"eet!$E$2:$E$3143),
Master_Mapping_Sheet!$B$2:$B$3143=$A27))), 0, sum(filter(
Master_Mapping_Sheet!$E$2:$E$3143, ISNUMBER(
Master_Mapping_Sheet!$E$2:$E$3143),
Master_Mapping_Sheet!$H$2:$H$3143=U$1,
Master_Mapping_Sheet!$B$2:$B$3143=$A27))/sum(filter(
Maste"&amp;"r_Mapping_Sheet!$E$2:$E$3143, ISNUMBER(
Master_Mapping_Sheet!$E$2:$E$3143),
Master_Mapping_Sheet!$B$2:$B$3143=$A27)))"),0.0)</f>
        <v>0</v>
      </c>
      <c r="V27" s="34">
        <f>IFERROR(__xludf.DUMMYFUNCTION("IF(ISNA(sum(filter(
Master_Mapping_Sheet!$E$2:$E$3143, ISNUMBER(
Master_Mapping_Sheet!$E$2:$E$3143),
Master_Mapping_Sheet!$H$2:$H$3143=V$1,
Master_Mapping_Sheet!$B$2:$B$3143=$A27))/sum(filter(
Master_Mapping_Sheet!$E$2:$E$3143, ISNUMBER(
Master_Mapping_Sh"&amp;"eet!$E$2:$E$3143),
Master_Mapping_Sheet!$B$2:$B$3143=$A27))), 0, sum(filter(
Master_Mapping_Sheet!$E$2:$E$3143, ISNUMBER(
Master_Mapping_Sheet!$E$2:$E$3143),
Master_Mapping_Sheet!$H$2:$H$3143=V$1,
Master_Mapping_Sheet!$B$2:$B$3143=$A27))/sum(filter(
Maste"&amp;"r_Mapping_Sheet!$E$2:$E$3143, ISNUMBER(
Master_Mapping_Sheet!$E$2:$E$3143),
Master_Mapping_Sheet!$B$2:$B$3143=$A27)))"),0.0)</f>
        <v>0</v>
      </c>
      <c r="W27" s="34">
        <f>IFERROR(__xludf.DUMMYFUNCTION("IF(ISNA(sum(filter(
Master_Mapping_Sheet!$E$2:$E$3143, ISNUMBER(
Master_Mapping_Sheet!$E$2:$E$3143),
Master_Mapping_Sheet!$H$2:$H$3143=W$1,
Master_Mapping_Sheet!$B$2:$B$3143=$A27))/sum(filter(
Master_Mapping_Sheet!$E$2:$E$3143, ISNUMBER(
Master_Mapping_Sh"&amp;"eet!$E$2:$E$3143),
Master_Mapping_Sheet!$B$2:$B$3143=$A27))), 0, sum(filter(
Master_Mapping_Sheet!$E$2:$E$3143, ISNUMBER(
Master_Mapping_Sheet!$E$2:$E$3143),
Master_Mapping_Sheet!$H$2:$H$3143=W$1,
Master_Mapping_Sheet!$B$2:$B$3143=$A27))/sum(filter(
Maste"&amp;"r_Mapping_Sheet!$E$2:$E$3143, ISNUMBER(
Master_Mapping_Sheet!$E$2:$E$3143),
Master_Mapping_Sheet!$B$2:$B$3143=$A27)))"),0.0)</f>
        <v>0</v>
      </c>
      <c r="X27" s="34">
        <f>IFERROR(__xludf.DUMMYFUNCTION("IF(ISNA(sum(filter(
Master_Mapping_Sheet!$E$2:$E$3143, ISNUMBER(
Master_Mapping_Sheet!$E$2:$E$3143),
Master_Mapping_Sheet!$H$2:$H$3143=X$1,
Master_Mapping_Sheet!$B$2:$B$3143=$A27))/sum(filter(
Master_Mapping_Sheet!$E$2:$E$3143, ISNUMBER(
Master_Mapping_Sh"&amp;"eet!$E$2:$E$3143),
Master_Mapping_Sheet!$B$2:$B$3143=$A27))), 0, sum(filter(
Master_Mapping_Sheet!$E$2:$E$3143, ISNUMBER(
Master_Mapping_Sheet!$E$2:$E$3143),
Master_Mapping_Sheet!$H$2:$H$3143=X$1,
Master_Mapping_Sheet!$B$2:$B$3143=$A27))/sum(filter(
Maste"&amp;"r_Mapping_Sheet!$E$2:$E$3143, ISNUMBER(
Master_Mapping_Sheet!$E$2:$E$3143),
Master_Mapping_Sheet!$B$2:$B$3143=$A27)))"),0.0)</f>
        <v>0</v>
      </c>
      <c r="Y27" s="34">
        <f>IFERROR(__xludf.DUMMYFUNCTION("IF(ISNA(sum(filter(
Master_Mapping_Sheet!$E$2:$E$3143, ISNUMBER(
Master_Mapping_Sheet!$E$2:$E$3143),
Master_Mapping_Sheet!$H$2:$H$3143=Y$1,
Master_Mapping_Sheet!$B$2:$B$3143=$A27))/sum(filter(
Master_Mapping_Sheet!$E$2:$E$3143, ISNUMBER(
Master_Mapping_Sh"&amp;"eet!$E$2:$E$3143),
Master_Mapping_Sheet!$B$2:$B$3143=$A27))), 0, sum(filter(
Master_Mapping_Sheet!$E$2:$E$3143, ISNUMBER(
Master_Mapping_Sheet!$E$2:$E$3143),
Master_Mapping_Sheet!$H$2:$H$3143=Y$1,
Master_Mapping_Sheet!$B$2:$B$3143=$A27))/sum(filter(
Maste"&amp;"r_Mapping_Sheet!$E$2:$E$3143, ISNUMBER(
Master_Mapping_Sheet!$E$2:$E$3143),
Master_Mapping_Sheet!$B$2:$B$3143=$A27)))"),0.0)</f>
        <v>0</v>
      </c>
      <c r="Z27" s="34">
        <f>IFERROR(__xludf.DUMMYFUNCTION("IF(ISNA(sum(filter(
Master_Mapping_Sheet!$E$2:$E$3143, ISNUMBER(
Master_Mapping_Sheet!$E$2:$E$3143),
Master_Mapping_Sheet!$H$2:$H$3143=Z$1,
Master_Mapping_Sheet!$B$2:$B$3143=$A27))/sum(filter(
Master_Mapping_Sheet!$E$2:$E$3143, ISNUMBER(
Master_Mapping_Sh"&amp;"eet!$E$2:$E$3143),
Master_Mapping_Sheet!$B$2:$B$3143=$A27))), 0, sum(filter(
Master_Mapping_Sheet!$E$2:$E$3143, ISNUMBER(
Master_Mapping_Sheet!$E$2:$E$3143),
Master_Mapping_Sheet!$H$2:$H$3143=Z$1,
Master_Mapping_Sheet!$B$2:$B$3143=$A27))/sum(filter(
Maste"&amp;"r_Mapping_Sheet!$E$2:$E$3143, ISNUMBER(
Master_Mapping_Sheet!$E$2:$E$3143),
Master_Mapping_Sheet!$B$2:$B$3143=$A27)))"),0.0)</f>
        <v>0</v>
      </c>
      <c r="AA27" s="34">
        <f>IFERROR(__xludf.DUMMYFUNCTION("IF(ISNA(sum(filter(
Master_Mapping_Sheet!$E$2:$E$3143, ISNUMBER(
Master_Mapping_Sheet!$E$2:$E$3143),
Master_Mapping_Sheet!$H$2:$H$3143=AA$1,
Master_Mapping_Sheet!$B$2:$B$3143=$A27))/sum(filter(
Master_Mapping_Sheet!$E$2:$E$3143, ISNUMBER(
Master_Mapping_S"&amp;"heet!$E$2:$E$3143),
Master_Mapping_Sheet!$B$2:$B$3143=$A27))), 0, sum(filter(
Master_Mapping_Sheet!$E$2:$E$3143, ISNUMBER(
Master_Mapping_Sheet!$E$2:$E$3143),
Master_Mapping_Sheet!$H$2:$H$3143=AA$1,
Master_Mapping_Sheet!$B$2:$B$3143=$A27))/sum(filter(
Mas"&amp;"ter_Mapping_Sheet!$E$2:$E$3143, ISNUMBER(
Master_Mapping_Sheet!$E$2:$E$3143),
Master_Mapping_Sheet!$B$2:$B$3143=$A27)))"),0.0)</f>
        <v>0</v>
      </c>
    </row>
    <row r="28" ht="15.75" customHeight="1">
      <c r="A28" s="34" t="s">
        <v>1162</v>
      </c>
      <c r="B28" s="34" t="s">
        <v>3034</v>
      </c>
      <c r="C28" s="34">
        <f>IFERROR(__xludf.DUMMYFUNCTION("IF(ISNA(sum(filter(
Master_Mapping_Sheet!$E$2:$E$3143, ISNUMBER(
Master_Mapping_Sheet!$E$2:$E$3143),
Master_Mapping_Sheet!$H$2:$H$3143=C$1,
Master_Mapping_Sheet!$B$2:$B$3143=$A28))/sum(filter(
Master_Mapping_Sheet!$E$2:$E$3143, ISNUMBER(
Master_Mapping_Sh"&amp;"eet!$E$2:$E$3143),
Master_Mapping_Sheet!$B$2:$B$3143=$A28))), 0, sum(filter(
Master_Mapping_Sheet!$E$2:$E$3143, ISNUMBER(
Master_Mapping_Sheet!$E$2:$E$3143),
Master_Mapping_Sheet!$H$2:$H$3143=C$1,
Master_Mapping_Sheet!$B$2:$B$3143=$A28))/sum(filter(
Maste"&amp;"r_Mapping_Sheet!$E$2:$E$3143, ISNUMBER(
Master_Mapping_Sheet!$E$2:$E$3143),
Master_Mapping_Sheet!$B$2:$B$3143=$A28)))"),0.0)</f>
        <v>0</v>
      </c>
      <c r="D28" s="32">
        <f>IFERROR(__xludf.DUMMYFUNCTION("IF(ISNA(sum(filter(
Master_Mapping_Sheet!$E$2:$E$3143, ISNUMBER(
Master_Mapping_Sheet!$E$2:$E$3143),
Master_Mapping_Sheet!$H$2:$H$3143=D$1,
Master_Mapping_Sheet!$B$2:$B$3143=$A28))/sum(filter(
Master_Mapping_Sheet!$E$2:$E$3143, ISNUMBER(
Master_Mapping_Sh"&amp;"eet!$E$2:$E$3143),
Master_Mapping_Sheet!$B$2:$B$3143=$A28))), 0, sum(filter(
Master_Mapping_Sheet!$E$2:$E$3143, ISNUMBER(
Master_Mapping_Sheet!$E$2:$E$3143),
Master_Mapping_Sheet!$H$2:$H$3143=D$1,
Master_Mapping_Sheet!$B$2:$B$3143=$A28))/sum(filter(
Maste"&amp;"r_Mapping_Sheet!$E$2:$E$3143, ISNUMBER(
Master_Mapping_Sheet!$E$2:$E$3143),
Master_Mapping_Sheet!$B$2:$B$3143=$A28)))"),0.0)</f>
        <v>0</v>
      </c>
      <c r="E28" s="34">
        <f>IFERROR(__xludf.DUMMYFUNCTION("IF(ISNA(sum(filter(
Master_Mapping_Sheet!$E$2:$E$3143, ISNUMBER(
Master_Mapping_Sheet!$E$2:$E$3143),
Master_Mapping_Sheet!$H$2:$H$3143=E$1,
Master_Mapping_Sheet!$B$2:$B$3143=$A28))/sum(filter(
Master_Mapping_Sheet!$E$2:$E$3143, ISNUMBER(
Master_Mapping_Sh"&amp;"eet!$E$2:$E$3143),
Master_Mapping_Sheet!$B$2:$B$3143=$A28))), 0, sum(filter(
Master_Mapping_Sheet!$E$2:$E$3143, ISNUMBER(
Master_Mapping_Sheet!$E$2:$E$3143),
Master_Mapping_Sheet!$H$2:$H$3143=E$1,
Master_Mapping_Sheet!$B$2:$B$3143=$A28))/sum(filter(
Maste"&amp;"r_Mapping_Sheet!$E$2:$E$3143, ISNUMBER(
Master_Mapping_Sheet!$E$2:$E$3143),
Master_Mapping_Sheet!$B$2:$B$3143=$A28)))"),0.006008940583256533)</f>
        <v>0.006008940583</v>
      </c>
      <c r="F28" s="34">
        <f>IFERROR(__xludf.DUMMYFUNCTION("IF(ISNA(sum(filter(
Master_Mapping_Sheet!$E$2:$E$3143, ISNUMBER(
Master_Mapping_Sheet!$E$2:$E$3143),
Master_Mapping_Sheet!$H$2:$H$3143=F$1,
Master_Mapping_Sheet!$B$2:$B$3143=$A28))/sum(filter(
Master_Mapping_Sheet!$E$2:$E$3143, ISNUMBER(
Master_Mapping_Sh"&amp;"eet!$E$2:$E$3143),
Master_Mapping_Sheet!$B$2:$B$3143=$A28))), 0, sum(filter(
Master_Mapping_Sheet!$E$2:$E$3143, ISNUMBER(
Master_Mapping_Sheet!$E$2:$E$3143),
Master_Mapping_Sheet!$H$2:$H$3143=F$1,
Master_Mapping_Sheet!$B$2:$B$3143=$A28))/sum(filter(
Maste"&amp;"r_Mapping_Sheet!$E$2:$E$3143, ISNUMBER(
Master_Mapping_Sheet!$E$2:$E$3143),
Master_Mapping_Sheet!$B$2:$B$3143=$A28)))"),0.0)</f>
        <v>0</v>
      </c>
      <c r="G28" s="34">
        <f>IFERROR(__xludf.DUMMYFUNCTION("IF(ISNA(sum(filter(
Master_Mapping_Sheet!$E$2:$E$3143, ISNUMBER(
Master_Mapping_Sheet!$E$2:$E$3143),
Master_Mapping_Sheet!$H$2:$H$3143=G$1,
Master_Mapping_Sheet!$B$2:$B$3143=$A28))/sum(filter(
Master_Mapping_Sheet!$E$2:$E$3143, ISNUMBER(
Master_Mapping_Sh"&amp;"eet!$E$2:$E$3143),
Master_Mapping_Sheet!$B$2:$B$3143=$A28))), 0, sum(filter(
Master_Mapping_Sheet!$E$2:$E$3143, ISNUMBER(
Master_Mapping_Sheet!$E$2:$E$3143),
Master_Mapping_Sheet!$H$2:$H$3143=G$1,
Master_Mapping_Sheet!$B$2:$B$3143=$A28))/sum(filter(
Maste"&amp;"r_Mapping_Sheet!$E$2:$E$3143, ISNUMBER(
Master_Mapping_Sheet!$E$2:$E$3143),
Master_Mapping_Sheet!$B$2:$B$3143=$A28)))"),0.0)</f>
        <v>0</v>
      </c>
      <c r="H28" s="34">
        <f>IFERROR(__xludf.DUMMYFUNCTION("IF(ISNA(sum(filter(
Master_Mapping_Sheet!$E$2:$E$3143, ISNUMBER(
Master_Mapping_Sheet!$E$2:$E$3143),
Master_Mapping_Sheet!$H$2:$H$3143=H$1,
Master_Mapping_Sheet!$B$2:$B$3143=$A28))/sum(filter(
Master_Mapping_Sheet!$E$2:$E$3143, ISNUMBER(
Master_Mapping_Sh"&amp;"eet!$E$2:$E$3143),
Master_Mapping_Sheet!$B$2:$B$3143=$A28))), 0, sum(filter(
Master_Mapping_Sheet!$E$2:$E$3143, ISNUMBER(
Master_Mapping_Sheet!$E$2:$E$3143),
Master_Mapping_Sheet!$H$2:$H$3143=H$1,
Master_Mapping_Sheet!$B$2:$B$3143=$A28))/sum(filter(
Maste"&amp;"r_Mapping_Sheet!$E$2:$E$3143, ISNUMBER(
Master_Mapping_Sheet!$E$2:$E$3143),
Master_Mapping_Sheet!$B$2:$B$3143=$A28)))"),0.0)</f>
        <v>0</v>
      </c>
      <c r="I28" s="34">
        <f>IFERROR(__xludf.DUMMYFUNCTION("IF(ISNA(sum(filter(
Master_Mapping_Sheet!$E$2:$E$3143, ISNUMBER(
Master_Mapping_Sheet!$E$2:$E$3143),
Master_Mapping_Sheet!$H$2:$H$3143=I$1,
Master_Mapping_Sheet!$B$2:$B$3143=$A28))/sum(filter(
Master_Mapping_Sheet!$E$2:$E$3143, ISNUMBER(
Master_Mapping_Sh"&amp;"eet!$E$2:$E$3143),
Master_Mapping_Sheet!$B$2:$B$3143=$A28))), 0, sum(filter(
Master_Mapping_Sheet!$E$2:$E$3143, ISNUMBER(
Master_Mapping_Sheet!$E$2:$E$3143),
Master_Mapping_Sheet!$H$2:$H$3143=I$1,
Master_Mapping_Sheet!$B$2:$B$3143=$A28))/sum(filter(
Maste"&amp;"r_Mapping_Sheet!$E$2:$E$3143, ISNUMBER(
Master_Mapping_Sheet!$E$2:$E$3143),
Master_Mapping_Sheet!$B$2:$B$3143=$A28)))"),0.0)</f>
        <v>0</v>
      </c>
      <c r="J28" s="34">
        <f>IFERROR(__xludf.DUMMYFUNCTION("IF(ISNA(sum(filter(
Master_Mapping_Sheet!$E$2:$E$3143, ISNUMBER(
Master_Mapping_Sheet!$E$2:$E$3143),
Master_Mapping_Sheet!$H$2:$H$3143=J$1,
Master_Mapping_Sheet!$B$2:$B$3143=$A28))/sum(filter(
Master_Mapping_Sheet!$E$2:$E$3143, ISNUMBER(
Master_Mapping_Sh"&amp;"eet!$E$2:$E$3143),
Master_Mapping_Sheet!$B$2:$B$3143=$A28))), 0, sum(filter(
Master_Mapping_Sheet!$E$2:$E$3143, ISNUMBER(
Master_Mapping_Sheet!$E$2:$E$3143),
Master_Mapping_Sheet!$H$2:$H$3143=J$1,
Master_Mapping_Sheet!$B$2:$B$3143=$A28))/sum(filter(
Maste"&amp;"r_Mapping_Sheet!$E$2:$E$3143, ISNUMBER(
Master_Mapping_Sheet!$E$2:$E$3143),
Master_Mapping_Sheet!$B$2:$B$3143=$A28)))"),0.0)</f>
        <v>0</v>
      </c>
      <c r="K28" s="34">
        <f>IFERROR(__xludf.DUMMYFUNCTION("IF(ISNA(sum(filter(
Master_Mapping_Sheet!$E$2:$E$3143, ISNUMBER(
Master_Mapping_Sheet!$E$2:$E$3143),
Master_Mapping_Sheet!$H$2:$H$3143=K$1,
Master_Mapping_Sheet!$B$2:$B$3143=$A28))/sum(filter(
Master_Mapping_Sheet!$E$2:$E$3143, ISNUMBER(
Master_Mapping_Sh"&amp;"eet!$E$2:$E$3143),
Master_Mapping_Sheet!$B$2:$B$3143=$A28))), 0, sum(filter(
Master_Mapping_Sheet!$E$2:$E$3143, ISNUMBER(
Master_Mapping_Sheet!$E$2:$E$3143),
Master_Mapping_Sheet!$H$2:$H$3143=K$1,
Master_Mapping_Sheet!$B$2:$B$3143=$A28))/sum(filter(
Maste"&amp;"r_Mapping_Sheet!$E$2:$E$3143, ISNUMBER(
Master_Mapping_Sheet!$E$2:$E$3143),
Master_Mapping_Sheet!$B$2:$B$3143=$A28)))"),0.0)</f>
        <v>0</v>
      </c>
      <c r="L28" s="34">
        <f>IFERROR(__xludf.DUMMYFUNCTION("IF(ISNA(sum(filter(
Master_Mapping_Sheet!$E$2:$E$3143, ISNUMBER(
Master_Mapping_Sheet!$E$2:$E$3143),
Master_Mapping_Sheet!$H$2:$H$3143=L$1,
Master_Mapping_Sheet!$B$2:$B$3143=$A28))/sum(filter(
Master_Mapping_Sheet!$E$2:$E$3143, ISNUMBER(
Master_Mapping_Sh"&amp;"eet!$E$2:$E$3143),
Master_Mapping_Sheet!$B$2:$B$3143=$A28))), 0, sum(filter(
Master_Mapping_Sheet!$E$2:$E$3143, ISNUMBER(
Master_Mapping_Sheet!$E$2:$E$3143),
Master_Mapping_Sheet!$H$2:$H$3143=L$1,
Master_Mapping_Sheet!$B$2:$B$3143=$A28))/sum(filter(
Maste"&amp;"r_Mapping_Sheet!$E$2:$E$3143, ISNUMBER(
Master_Mapping_Sheet!$E$2:$E$3143),
Master_Mapping_Sheet!$B$2:$B$3143=$A28)))"),0.0)</f>
        <v>0</v>
      </c>
      <c r="M28" s="34">
        <f>IFERROR(__xludf.DUMMYFUNCTION("IF(ISNA(sum(filter(
Master_Mapping_Sheet!$E$2:$E$3143, ISNUMBER(
Master_Mapping_Sheet!$E$2:$E$3143),
Master_Mapping_Sheet!$H$2:$H$3143=M$1,
Master_Mapping_Sheet!$B$2:$B$3143=$A28))/sum(filter(
Master_Mapping_Sheet!$E$2:$E$3143, ISNUMBER(
Master_Mapping_Sh"&amp;"eet!$E$2:$E$3143),
Master_Mapping_Sheet!$B$2:$B$3143=$A28))), 0, sum(filter(
Master_Mapping_Sheet!$E$2:$E$3143, ISNUMBER(
Master_Mapping_Sheet!$E$2:$E$3143),
Master_Mapping_Sheet!$H$2:$H$3143=M$1,
Master_Mapping_Sheet!$B$2:$B$3143=$A28))/sum(filter(
Maste"&amp;"r_Mapping_Sheet!$E$2:$E$3143, ISNUMBER(
Master_Mapping_Sheet!$E$2:$E$3143),
Master_Mapping_Sheet!$B$2:$B$3143=$A28)))"),0.0)</f>
        <v>0</v>
      </c>
      <c r="N28" s="34">
        <f>IFERROR(__xludf.DUMMYFUNCTION("IF(ISNA(sum(filter(
Master_Mapping_Sheet!$E$2:$E$3143, ISNUMBER(
Master_Mapping_Sheet!$E$2:$E$3143),
Master_Mapping_Sheet!$H$2:$H$3143=N$1,
Master_Mapping_Sheet!$B$2:$B$3143=$A28))/sum(filter(
Master_Mapping_Sheet!$E$2:$E$3143, ISNUMBER(
Master_Mapping_Sh"&amp;"eet!$E$2:$E$3143),
Master_Mapping_Sheet!$B$2:$B$3143=$A28))), 0, sum(filter(
Master_Mapping_Sheet!$E$2:$E$3143, ISNUMBER(
Master_Mapping_Sheet!$E$2:$E$3143),
Master_Mapping_Sheet!$H$2:$H$3143=N$1,
Master_Mapping_Sheet!$B$2:$B$3143=$A28))/sum(filter(
Maste"&amp;"r_Mapping_Sheet!$E$2:$E$3143, ISNUMBER(
Master_Mapping_Sheet!$E$2:$E$3143),
Master_Mapping_Sheet!$B$2:$B$3143=$A28)))"),0.0)</f>
        <v>0</v>
      </c>
      <c r="O28" s="34">
        <f>IFERROR(__xludf.DUMMYFUNCTION("IF(ISNA(sum(filter(
Master_Mapping_Sheet!$E$2:$E$3143, ISNUMBER(
Master_Mapping_Sheet!$E$2:$E$3143),
Master_Mapping_Sheet!$H$2:$H$3143=O$1,
Master_Mapping_Sheet!$B$2:$B$3143=$A28))/sum(filter(
Master_Mapping_Sheet!$E$2:$E$3143, ISNUMBER(
Master_Mapping_Sh"&amp;"eet!$E$2:$E$3143),
Master_Mapping_Sheet!$B$2:$B$3143=$A28))), 0, sum(filter(
Master_Mapping_Sheet!$E$2:$E$3143, ISNUMBER(
Master_Mapping_Sheet!$E$2:$E$3143),
Master_Mapping_Sheet!$H$2:$H$3143=O$1,
Master_Mapping_Sheet!$B$2:$B$3143=$A28))/sum(filter(
Maste"&amp;"r_Mapping_Sheet!$E$2:$E$3143, ISNUMBER(
Master_Mapping_Sheet!$E$2:$E$3143),
Master_Mapping_Sheet!$B$2:$B$3143=$A28)))"),0.0)</f>
        <v>0</v>
      </c>
      <c r="P28" s="34">
        <f>IFERROR(__xludf.DUMMYFUNCTION("IF(ISNA(sum(filter(
Master_Mapping_Sheet!$E$2:$E$3143, ISNUMBER(
Master_Mapping_Sheet!$E$2:$E$3143),
Master_Mapping_Sheet!$H$2:$H$3143=P$1,
Master_Mapping_Sheet!$B$2:$B$3143=$A28))/sum(filter(
Master_Mapping_Sheet!$E$2:$E$3143, ISNUMBER(
Master_Mapping_Sh"&amp;"eet!$E$2:$E$3143),
Master_Mapping_Sheet!$B$2:$B$3143=$A28))), 0, sum(filter(
Master_Mapping_Sheet!$E$2:$E$3143, ISNUMBER(
Master_Mapping_Sheet!$E$2:$E$3143),
Master_Mapping_Sheet!$H$2:$H$3143=P$1,
Master_Mapping_Sheet!$B$2:$B$3143=$A28))/sum(filter(
Maste"&amp;"r_Mapping_Sheet!$E$2:$E$3143, ISNUMBER(
Master_Mapping_Sheet!$E$2:$E$3143),
Master_Mapping_Sheet!$B$2:$B$3143=$A28)))"),0.0)</f>
        <v>0</v>
      </c>
      <c r="Q28" s="34">
        <f>IFERROR(__xludf.DUMMYFUNCTION("IF(ISNA(sum(filter(
Master_Mapping_Sheet!$E$2:$E$3143, ISNUMBER(
Master_Mapping_Sheet!$E$2:$E$3143),
Master_Mapping_Sheet!$H$2:$H$3143=Q$1,
Master_Mapping_Sheet!$B$2:$B$3143=$A28))/sum(filter(
Master_Mapping_Sheet!$E$2:$E$3143, ISNUMBER(
Master_Mapping_Sh"&amp;"eet!$E$2:$E$3143),
Master_Mapping_Sheet!$B$2:$B$3143=$A28))), 0, sum(filter(
Master_Mapping_Sheet!$E$2:$E$3143, ISNUMBER(
Master_Mapping_Sheet!$E$2:$E$3143),
Master_Mapping_Sheet!$H$2:$H$3143=Q$1,
Master_Mapping_Sheet!$B$2:$B$3143=$A28))/sum(filter(
Maste"&amp;"r_Mapping_Sheet!$E$2:$E$3143, ISNUMBER(
Master_Mapping_Sheet!$E$2:$E$3143),
Master_Mapping_Sheet!$B$2:$B$3143=$A28)))"),0.0)</f>
        <v>0</v>
      </c>
      <c r="R28" s="34">
        <f>IFERROR(__xludf.DUMMYFUNCTION("IF(ISNA(sum(filter(
Master_Mapping_Sheet!$E$2:$E$3143, ISNUMBER(
Master_Mapping_Sheet!$E$2:$E$3143),
Master_Mapping_Sheet!$H$2:$H$3143=R$1,
Master_Mapping_Sheet!$B$2:$B$3143=$A28))/sum(filter(
Master_Mapping_Sheet!$E$2:$E$3143, ISNUMBER(
Master_Mapping_Sh"&amp;"eet!$E$2:$E$3143),
Master_Mapping_Sheet!$B$2:$B$3143=$A28))), 0, sum(filter(
Master_Mapping_Sheet!$E$2:$E$3143, ISNUMBER(
Master_Mapping_Sheet!$E$2:$E$3143),
Master_Mapping_Sheet!$H$2:$H$3143=R$1,
Master_Mapping_Sheet!$B$2:$B$3143=$A28))/sum(filter(
Maste"&amp;"r_Mapping_Sheet!$E$2:$E$3143, ISNUMBER(
Master_Mapping_Sheet!$E$2:$E$3143),
Master_Mapping_Sheet!$B$2:$B$3143=$A28)))"),0.0)</f>
        <v>0</v>
      </c>
      <c r="S28" s="34">
        <f>IFERROR(__xludf.DUMMYFUNCTION("IF(ISNA(sum(filter(
Master_Mapping_Sheet!$E$2:$E$3143, ISNUMBER(
Master_Mapping_Sheet!$E$2:$E$3143),
Master_Mapping_Sheet!$H$2:$H$3143=S$1,
Master_Mapping_Sheet!$B$2:$B$3143=$A28))/sum(filter(
Master_Mapping_Sheet!$E$2:$E$3143, ISNUMBER(
Master_Mapping_Sh"&amp;"eet!$E$2:$E$3143),
Master_Mapping_Sheet!$B$2:$B$3143=$A28))), 0, sum(filter(
Master_Mapping_Sheet!$E$2:$E$3143, ISNUMBER(
Master_Mapping_Sheet!$E$2:$E$3143),
Master_Mapping_Sheet!$H$2:$H$3143=S$1,
Master_Mapping_Sheet!$B$2:$B$3143=$A28))/sum(filter(
Maste"&amp;"r_Mapping_Sheet!$E$2:$E$3143, ISNUMBER(
Master_Mapping_Sheet!$E$2:$E$3143),
Master_Mapping_Sheet!$B$2:$B$3143=$A28)))"),0.0)</f>
        <v>0</v>
      </c>
      <c r="T28" s="34">
        <f>IFERROR(__xludf.DUMMYFUNCTION("IF(ISNA(sum(filter(
Master_Mapping_Sheet!$E$2:$E$3143, ISNUMBER(
Master_Mapping_Sheet!$E$2:$E$3143),
Master_Mapping_Sheet!$H$2:$H$3143=T$1,
Master_Mapping_Sheet!$B$2:$B$3143=$A28))/sum(filter(
Master_Mapping_Sheet!$E$2:$E$3143, ISNUMBER(
Master_Mapping_Sh"&amp;"eet!$E$2:$E$3143),
Master_Mapping_Sheet!$B$2:$B$3143=$A28))), 0, sum(filter(
Master_Mapping_Sheet!$E$2:$E$3143, ISNUMBER(
Master_Mapping_Sheet!$E$2:$E$3143),
Master_Mapping_Sheet!$H$2:$H$3143=T$1,
Master_Mapping_Sheet!$B$2:$B$3143=$A28))/sum(filter(
Maste"&amp;"r_Mapping_Sheet!$E$2:$E$3143, ISNUMBER(
Master_Mapping_Sheet!$E$2:$E$3143),
Master_Mapping_Sheet!$B$2:$B$3143=$A28)))"),0.0)</f>
        <v>0</v>
      </c>
      <c r="U28" s="34">
        <f>IFERROR(__xludf.DUMMYFUNCTION("IF(ISNA(sum(filter(
Master_Mapping_Sheet!$E$2:$E$3143, ISNUMBER(
Master_Mapping_Sheet!$E$2:$E$3143),
Master_Mapping_Sheet!$H$2:$H$3143=U$1,
Master_Mapping_Sheet!$B$2:$B$3143=$A28))/sum(filter(
Master_Mapping_Sheet!$E$2:$E$3143, ISNUMBER(
Master_Mapping_Sh"&amp;"eet!$E$2:$E$3143),
Master_Mapping_Sheet!$B$2:$B$3143=$A28))), 0, sum(filter(
Master_Mapping_Sheet!$E$2:$E$3143, ISNUMBER(
Master_Mapping_Sheet!$E$2:$E$3143),
Master_Mapping_Sheet!$H$2:$H$3143=U$1,
Master_Mapping_Sheet!$B$2:$B$3143=$A28))/sum(filter(
Maste"&amp;"r_Mapping_Sheet!$E$2:$E$3143, ISNUMBER(
Master_Mapping_Sheet!$E$2:$E$3143),
Master_Mapping_Sheet!$B$2:$B$3143=$A28)))"),0.03117728272652479)</f>
        <v>0.03117728273</v>
      </c>
      <c r="V28" s="34">
        <f>IFERROR(__xludf.DUMMYFUNCTION("IF(ISNA(sum(filter(
Master_Mapping_Sheet!$E$2:$E$3143, ISNUMBER(
Master_Mapping_Sheet!$E$2:$E$3143),
Master_Mapping_Sheet!$H$2:$H$3143=V$1,
Master_Mapping_Sheet!$B$2:$B$3143=$A28))/sum(filter(
Master_Mapping_Sheet!$E$2:$E$3143, ISNUMBER(
Master_Mapping_Sh"&amp;"eet!$E$2:$E$3143),
Master_Mapping_Sheet!$B$2:$B$3143=$A28))), 0, sum(filter(
Master_Mapping_Sheet!$E$2:$E$3143, ISNUMBER(
Master_Mapping_Sheet!$E$2:$E$3143),
Master_Mapping_Sheet!$H$2:$H$3143=V$1,
Master_Mapping_Sheet!$B$2:$B$3143=$A28))/sum(filter(
Maste"&amp;"r_Mapping_Sheet!$E$2:$E$3143, ISNUMBER(
Master_Mapping_Sheet!$E$2:$E$3143),
Master_Mapping_Sheet!$B$2:$B$3143=$A28)))"),0.0)</f>
        <v>0</v>
      </c>
      <c r="W28" s="34">
        <f>IFERROR(__xludf.DUMMYFUNCTION("IF(ISNA(sum(filter(
Master_Mapping_Sheet!$E$2:$E$3143, ISNUMBER(
Master_Mapping_Sheet!$E$2:$E$3143),
Master_Mapping_Sheet!$H$2:$H$3143=W$1,
Master_Mapping_Sheet!$B$2:$B$3143=$A28))/sum(filter(
Master_Mapping_Sheet!$E$2:$E$3143, ISNUMBER(
Master_Mapping_Sh"&amp;"eet!$E$2:$E$3143),
Master_Mapping_Sheet!$B$2:$B$3143=$A28))), 0, sum(filter(
Master_Mapping_Sheet!$E$2:$E$3143, ISNUMBER(
Master_Mapping_Sheet!$E$2:$E$3143),
Master_Mapping_Sheet!$H$2:$H$3143=W$1,
Master_Mapping_Sheet!$B$2:$B$3143=$A28))/sum(filter(
Maste"&amp;"r_Mapping_Sheet!$E$2:$E$3143, ISNUMBER(
Master_Mapping_Sheet!$E$2:$E$3143),
Master_Mapping_Sheet!$B$2:$B$3143=$A28)))"),0.0)</f>
        <v>0</v>
      </c>
      <c r="X28" s="34">
        <f>IFERROR(__xludf.DUMMYFUNCTION("IF(ISNA(sum(filter(
Master_Mapping_Sheet!$E$2:$E$3143, ISNUMBER(
Master_Mapping_Sheet!$E$2:$E$3143),
Master_Mapping_Sheet!$H$2:$H$3143=X$1,
Master_Mapping_Sheet!$B$2:$B$3143=$A28))/sum(filter(
Master_Mapping_Sheet!$E$2:$E$3143, ISNUMBER(
Master_Mapping_Sh"&amp;"eet!$E$2:$E$3143),
Master_Mapping_Sheet!$B$2:$B$3143=$A28))), 0, sum(filter(
Master_Mapping_Sheet!$E$2:$E$3143, ISNUMBER(
Master_Mapping_Sheet!$E$2:$E$3143),
Master_Mapping_Sheet!$H$2:$H$3143=X$1,
Master_Mapping_Sheet!$B$2:$B$3143=$A28))/sum(filter(
Maste"&amp;"r_Mapping_Sheet!$E$2:$E$3143, ISNUMBER(
Master_Mapping_Sheet!$E$2:$E$3143),
Master_Mapping_Sheet!$B$2:$B$3143=$A28)))"),0.0)</f>
        <v>0</v>
      </c>
      <c r="Y28" s="34">
        <f>IFERROR(__xludf.DUMMYFUNCTION("IF(ISNA(sum(filter(
Master_Mapping_Sheet!$E$2:$E$3143, ISNUMBER(
Master_Mapping_Sheet!$E$2:$E$3143),
Master_Mapping_Sheet!$H$2:$H$3143=Y$1,
Master_Mapping_Sheet!$B$2:$B$3143=$A28))/sum(filter(
Master_Mapping_Sheet!$E$2:$E$3143, ISNUMBER(
Master_Mapping_Sh"&amp;"eet!$E$2:$E$3143),
Master_Mapping_Sheet!$B$2:$B$3143=$A28))), 0, sum(filter(
Master_Mapping_Sheet!$E$2:$E$3143, ISNUMBER(
Master_Mapping_Sheet!$E$2:$E$3143),
Master_Mapping_Sheet!$H$2:$H$3143=Y$1,
Master_Mapping_Sheet!$B$2:$B$3143=$A28))/sum(filter(
Maste"&amp;"r_Mapping_Sheet!$E$2:$E$3143, ISNUMBER(
Master_Mapping_Sheet!$E$2:$E$3143),
Master_Mapping_Sheet!$B$2:$B$3143=$A28)))"),0.9628137766902187)</f>
        <v>0.9628137767</v>
      </c>
      <c r="Z28" s="34">
        <f>IFERROR(__xludf.DUMMYFUNCTION("IF(ISNA(sum(filter(
Master_Mapping_Sheet!$E$2:$E$3143, ISNUMBER(
Master_Mapping_Sheet!$E$2:$E$3143),
Master_Mapping_Sheet!$H$2:$H$3143=Z$1,
Master_Mapping_Sheet!$B$2:$B$3143=$A28))/sum(filter(
Master_Mapping_Sheet!$E$2:$E$3143, ISNUMBER(
Master_Mapping_Sh"&amp;"eet!$E$2:$E$3143),
Master_Mapping_Sheet!$B$2:$B$3143=$A28))), 0, sum(filter(
Master_Mapping_Sheet!$E$2:$E$3143, ISNUMBER(
Master_Mapping_Sheet!$E$2:$E$3143),
Master_Mapping_Sheet!$H$2:$H$3143=Z$1,
Master_Mapping_Sheet!$B$2:$B$3143=$A28))/sum(filter(
Maste"&amp;"r_Mapping_Sheet!$E$2:$E$3143, ISNUMBER(
Master_Mapping_Sheet!$E$2:$E$3143),
Master_Mapping_Sheet!$B$2:$B$3143=$A28)))"),0.0)</f>
        <v>0</v>
      </c>
      <c r="AA28" s="34">
        <f>IFERROR(__xludf.DUMMYFUNCTION("IF(ISNA(sum(filter(
Master_Mapping_Sheet!$E$2:$E$3143, ISNUMBER(
Master_Mapping_Sheet!$E$2:$E$3143),
Master_Mapping_Sheet!$H$2:$H$3143=AA$1,
Master_Mapping_Sheet!$B$2:$B$3143=$A28))/sum(filter(
Master_Mapping_Sheet!$E$2:$E$3143, ISNUMBER(
Master_Mapping_S"&amp;"heet!$E$2:$E$3143),
Master_Mapping_Sheet!$B$2:$B$3143=$A28))), 0, sum(filter(
Master_Mapping_Sheet!$E$2:$E$3143, ISNUMBER(
Master_Mapping_Sheet!$E$2:$E$3143),
Master_Mapping_Sheet!$H$2:$H$3143=AA$1,
Master_Mapping_Sheet!$B$2:$B$3143=$A28))/sum(filter(
Mas"&amp;"ter_Mapping_Sheet!$E$2:$E$3143, ISNUMBER(
Master_Mapping_Sheet!$E$2:$E$3143),
Master_Mapping_Sheet!$B$2:$B$3143=$A28)))"),0.0)</f>
        <v>0</v>
      </c>
    </row>
    <row r="29" ht="15.75" customHeight="1">
      <c r="A29" s="34" t="s">
        <v>1198</v>
      </c>
      <c r="B29" s="34" t="s">
        <v>3071</v>
      </c>
      <c r="C29" s="34">
        <f>IFERROR(__xludf.DUMMYFUNCTION("IF(ISNA(sum(filter(
Master_Mapping_Sheet!$E$2:$E$3143, ISNUMBER(
Master_Mapping_Sheet!$E$2:$E$3143),
Master_Mapping_Sheet!$H$2:$H$3143=C$1,
Master_Mapping_Sheet!$B$2:$B$3143=$A29))/sum(filter(
Master_Mapping_Sheet!$E$2:$E$3143, ISNUMBER(
Master_Mapping_Sh"&amp;"eet!$E$2:$E$3143),
Master_Mapping_Sheet!$B$2:$B$3143=$A29))), 0, sum(filter(
Master_Mapping_Sheet!$E$2:$E$3143, ISNUMBER(
Master_Mapping_Sheet!$E$2:$E$3143),
Master_Mapping_Sheet!$H$2:$H$3143=C$1,
Master_Mapping_Sheet!$B$2:$B$3143=$A29))/sum(filter(
Maste"&amp;"r_Mapping_Sheet!$E$2:$E$3143, ISNUMBER(
Master_Mapping_Sheet!$E$2:$E$3143),
Master_Mapping_Sheet!$B$2:$B$3143=$A29)))"),0.0)</f>
        <v>0</v>
      </c>
      <c r="D29" s="32">
        <f>IFERROR(__xludf.DUMMYFUNCTION("IF(ISNA(sum(filter(
Master_Mapping_Sheet!$E$2:$E$3143, ISNUMBER(
Master_Mapping_Sheet!$E$2:$E$3143),
Master_Mapping_Sheet!$H$2:$H$3143=D$1,
Master_Mapping_Sheet!$B$2:$B$3143=$A29))/sum(filter(
Master_Mapping_Sheet!$E$2:$E$3143, ISNUMBER(
Master_Mapping_Sh"&amp;"eet!$E$2:$E$3143),
Master_Mapping_Sheet!$B$2:$B$3143=$A29))), 0, sum(filter(
Master_Mapping_Sheet!$E$2:$E$3143, ISNUMBER(
Master_Mapping_Sheet!$E$2:$E$3143),
Master_Mapping_Sheet!$H$2:$H$3143=D$1,
Master_Mapping_Sheet!$B$2:$B$3143=$A29))/sum(filter(
Maste"&amp;"r_Mapping_Sheet!$E$2:$E$3143, ISNUMBER(
Master_Mapping_Sheet!$E$2:$E$3143),
Master_Mapping_Sheet!$B$2:$B$3143=$A29)))"),0.0)</f>
        <v>0</v>
      </c>
      <c r="E29" s="34">
        <f>IFERROR(__xludf.DUMMYFUNCTION("IF(ISNA(sum(filter(
Master_Mapping_Sheet!$E$2:$E$3143, ISNUMBER(
Master_Mapping_Sheet!$E$2:$E$3143),
Master_Mapping_Sheet!$H$2:$H$3143=E$1,
Master_Mapping_Sheet!$B$2:$B$3143=$A29))/sum(filter(
Master_Mapping_Sheet!$E$2:$E$3143, ISNUMBER(
Master_Mapping_Sh"&amp;"eet!$E$2:$E$3143),
Master_Mapping_Sheet!$B$2:$B$3143=$A29))), 0, sum(filter(
Master_Mapping_Sheet!$E$2:$E$3143, ISNUMBER(
Master_Mapping_Sheet!$E$2:$E$3143),
Master_Mapping_Sheet!$H$2:$H$3143=E$1,
Master_Mapping_Sheet!$B$2:$B$3143=$A29))/sum(filter(
Maste"&amp;"r_Mapping_Sheet!$E$2:$E$3143, ISNUMBER(
Master_Mapping_Sheet!$E$2:$E$3143),
Master_Mapping_Sheet!$B$2:$B$3143=$A29)))"),0.0)</f>
        <v>0</v>
      </c>
      <c r="F29" s="34">
        <f>IFERROR(__xludf.DUMMYFUNCTION("IF(ISNA(sum(filter(
Master_Mapping_Sheet!$E$2:$E$3143, ISNUMBER(
Master_Mapping_Sheet!$E$2:$E$3143),
Master_Mapping_Sheet!$H$2:$H$3143=F$1,
Master_Mapping_Sheet!$B$2:$B$3143=$A29))/sum(filter(
Master_Mapping_Sheet!$E$2:$E$3143, ISNUMBER(
Master_Mapping_Sh"&amp;"eet!$E$2:$E$3143),
Master_Mapping_Sheet!$B$2:$B$3143=$A29))), 0, sum(filter(
Master_Mapping_Sheet!$E$2:$E$3143, ISNUMBER(
Master_Mapping_Sheet!$E$2:$E$3143),
Master_Mapping_Sheet!$H$2:$H$3143=F$1,
Master_Mapping_Sheet!$B$2:$B$3143=$A29))/sum(filter(
Maste"&amp;"r_Mapping_Sheet!$E$2:$E$3143, ISNUMBER(
Master_Mapping_Sheet!$E$2:$E$3143),
Master_Mapping_Sheet!$B$2:$B$3143=$A29)))"),0.0)</f>
        <v>0</v>
      </c>
      <c r="G29" s="34">
        <f>IFERROR(__xludf.DUMMYFUNCTION("IF(ISNA(sum(filter(
Master_Mapping_Sheet!$E$2:$E$3143, ISNUMBER(
Master_Mapping_Sheet!$E$2:$E$3143),
Master_Mapping_Sheet!$H$2:$H$3143=G$1,
Master_Mapping_Sheet!$B$2:$B$3143=$A29))/sum(filter(
Master_Mapping_Sheet!$E$2:$E$3143, ISNUMBER(
Master_Mapping_Sh"&amp;"eet!$E$2:$E$3143),
Master_Mapping_Sheet!$B$2:$B$3143=$A29))), 0, sum(filter(
Master_Mapping_Sheet!$E$2:$E$3143, ISNUMBER(
Master_Mapping_Sheet!$E$2:$E$3143),
Master_Mapping_Sheet!$H$2:$H$3143=G$1,
Master_Mapping_Sheet!$B$2:$B$3143=$A29))/sum(filter(
Maste"&amp;"r_Mapping_Sheet!$E$2:$E$3143, ISNUMBER(
Master_Mapping_Sheet!$E$2:$E$3143),
Master_Mapping_Sheet!$B$2:$B$3143=$A29)))"),0.0)</f>
        <v>0</v>
      </c>
      <c r="H29" s="34">
        <f>IFERROR(__xludf.DUMMYFUNCTION("IF(ISNA(sum(filter(
Master_Mapping_Sheet!$E$2:$E$3143, ISNUMBER(
Master_Mapping_Sheet!$E$2:$E$3143),
Master_Mapping_Sheet!$H$2:$H$3143=H$1,
Master_Mapping_Sheet!$B$2:$B$3143=$A29))/sum(filter(
Master_Mapping_Sheet!$E$2:$E$3143, ISNUMBER(
Master_Mapping_Sh"&amp;"eet!$E$2:$E$3143),
Master_Mapping_Sheet!$B$2:$B$3143=$A29))), 0, sum(filter(
Master_Mapping_Sheet!$E$2:$E$3143, ISNUMBER(
Master_Mapping_Sheet!$E$2:$E$3143),
Master_Mapping_Sheet!$H$2:$H$3143=H$1,
Master_Mapping_Sheet!$B$2:$B$3143=$A29))/sum(filter(
Maste"&amp;"r_Mapping_Sheet!$E$2:$E$3143, ISNUMBER(
Master_Mapping_Sheet!$E$2:$E$3143),
Master_Mapping_Sheet!$B$2:$B$3143=$A29)))"),0.0)</f>
        <v>0</v>
      </c>
      <c r="I29" s="34">
        <f>IFERROR(__xludf.DUMMYFUNCTION("IF(ISNA(sum(filter(
Master_Mapping_Sheet!$E$2:$E$3143, ISNUMBER(
Master_Mapping_Sheet!$E$2:$E$3143),
Master_Mapping_Sheet!$H$2:$H$3143=I$1,
Master_Mapping_Sheet!$B$2:$B$3143=$A29))/sum(filter(
Master_Mapping_Sheet!$E$2:$E$3143, ISNUMBER(
Master_Mapping_Sh"&amp;"eet!$E$2:$E$3143),
Master_Mapping_Sheet!$B$2:$B$3143=$A29))), 0, sum(filter(
Master_Mapping_Sheet!$E$2:$E$3143, ISNUMBER(
Master_Mapping_Sheet!$E$2:$E$3143),
Master_Mapping_Sheet!$H$2:$H$3143=I$1,
Master_Mapping_Sheet!$B$2:$B$3143=$A29))/sum(filter(
Maste"&amp;"r_Mapping_Sheet!$E$2:$E$3143, ISNUMBER(
Master_Mapping_Sheet!$E$2:$E$3143),
Master_Mapping_Sheet!$B$2:$B$3143=$A29)))"),0.0)</f>
        <v>0</v>
      </c>
      <c r="J29" s="34">
        <f>IFERROR(__xludf.DUMMYFUNCTION("IF(ISNA(sum(filter(
Master_Mapping_Sheet!$E$2:$E$3143, ISNUMBER(
Master_Mapping_Sheet!$E$2:$E$3143),
Master_Mapping_Sheet!$H$2:$H$3143=J$1,
Master_Mapping_Sheet!$B$2:$B$3143=$A29))/sum(filter(
Master_Mapping_Sheet!$E$2:$E$3143, ISNUMBER(
Master_Mapping_Sh"&amp;"eet!$E$2:$E$3143),
Master_Mapping_Sheet!$B$2:$B$3143=$A29))), 0, sum(filter(
Master_Mapping_Sheet!$E$2:$E$3143, ISNUMBER(
Master_Mapping_Sheet!$E$2:$E$3143),
Master_Mapping_Sheet!$H$2:$H$3143=J$1,
Master_Mapping_Sheet!$B$2:$B$3143=$A29))/sum(filter(
Maste"&amp;"r_Mapping_Sheet!$E$2:$E$3143, ISNUMBER(
Master_Mapping_Sheet!$E$2:$E$3143),
Master_Mapping_Sheet!$B$2:$B$3143=$A29)))"),0.0)</f>
        <v>0</v>
      </c>
      <c r="K29" s="34">
        <f>IFERROR(__xludf.DUMMYFUNCTION("IF(ISNA(sum(filter(
Master_Mapping_Sheet!$E$2:$E$3143, ISNUMBER(
Master_Mapping_Sheet!$E$2:$E$3143),
Master_Mapping_Sheet!$H$2:$H$3143=K$1,
Master_Mapping_Sheet!$B$2:$B$3143=$A29))/sum(filter(
Master_Mapping_Sheet!$E$2:$E$3143, ISNUMBER(
Master_Mapping_Sh"&amp;"eet!$E$2:$E$3143),
Master_Mapping_Sheet!$B$2:$B$3143=$A29))), 0, sum(filter(
Master_Mapping_Sheet!$E$2:$E$3143, ISNUMBER(
Master_Mapping_Sheet!$E$2:$E$3143),
Master_Mapping_Sheet!$H$2:$H$3143=K$1,
Master_Mapping_Sheet!$B$2:$B$3143=$A29))/sum(filter(
Maste"&amp;"r_Mapping_Sheet!$E$2:$E$3143, ISNUMBER(
Master_Mapping_Sheet!$E$2:$E$3143),
Master_Mapping_Sheet!$B$2:$B$3143=$A29)))"),0.0)</f>
        <v>0</v>
      </c>
      <c r="L29" s="34">
        <f>IFERROR(__xludf.DUMMYFUNCTION("IF(ISNA(sum(filter(
Master_Mapping_Sheet!$E$2:$E$3143, ISNUMBER(
Master_Mapping_Sheet!$E$2:$E$3143),
Master_Mapping_Sheet!$H$2:$H$3143=L$1,
Master_Mapping_Sheet!$B$2:$B$3143=$A29))/sum(filter(
Master_Mapping_Sheet!$E$2:$E$3143, ISNUMBER(
Master_Mapping_Sh"&amp;"eet!$E$2:$E$3143),
Master_Mapping_Sheet!$B$2:$B$3143=$A29))), 0, sum(filter(
Master_Mapping_Sheet!$E$2:$E$3143, ISNUMBER(
Master_Mapping_Sheet!$E$2:$E$3143),
Master_Mapping_Sheet!$H$2:$H$3143=L$1,
Master_Mapping_Sheet!$B$2:$B$3143=$A29))/sum(filter(
Maste"&amp;"r_Mapping_Sheet!$E$2:$E$3143, ISNUMBER(
Master_Mapping_Sheet!$E$2:$E$3143),
Master_Mapping_Sheet!$B$2:$B$3143=$A29)))"),0.0)</f>
        <v>0</v>
      </c>
      <c r="M29" s="34">
        <f>IFERROR(__xludf.DUMMYFUNCTION("IF(ISNA(sum(filter(
Master_Mapping_Sheet!$E$2:$E$3143, ISNUMBER(
Master_Mapping_Sheet!$E$2:$E$3143),
Master_Mapping_Sheet!$H$2:$H$3143=M$1,
Master_Mapping_Sheet!$B$2:$B$3143=$A29))/sum(filter(
Master_Mapping_Sheet!$E$2:$E$3143, ISNUMBER(
Master_Mapping_Sh"&amp;"eet!$E$2:$E$3143),
Master_Mapping_Sheet!$B$2:$B$3143=$A29))), 0, sum(filter(
Master_Mapping_Sheet!$E$2:$E$3143, ISNUMBER(
Master_Mapping_Sheet!$E$2:$E$3143),
Master_Mapping_Sheet!$H$2:$H$3143=M$1,
Master_Mapping_Sheet!$B$2:$B$3143=$A29))/sum(filter(
Maste"&amp;"r_Mapping_Sheet!$E$2:$E$3143, ISNUMBER(
Master_Mapping_Sheet!$E$2:$E$3143),
Master_Mapping_Sheet!$B$2:$B$3143=$A29)))"),0.0)</f>
        <v>0</v>
      </c>
      <c r="N29" s="34">
        <f>IFERROR(__xludf.DUMMYFUNCTION("IF(ISNA(sum(filter(
Master_Mapping_Sheet!$E$2:$E$3143, ISNUMBER(
Master_Mapping_Sheet!$E$2:$E$3143),
Master_Mapping_Sheet!$H$2:$H$3143=N$1,
Master_Mapping_Sheet!$B$2:$B$3143=$A29))/sum(filter(
Master_Mapping_Sheet!$E$2:$E$3143, ISNUMBER(
Master_Mapping_Sh"&amp;"eet!$E$2:$E$3143),
Master_Mapping_Sheet!$B$2:$B$3143=$A29))), 0, sum(filter(
Master_Mapping_Sheet!$E$2:$E$3143, ISNUMBER(
Master_Mapping_Sheet!$E$2:$E$3143),
Master_Mapping_Sheet!$H$2:$H$3143=N$1,
Master_Mapping_Sheet!$B$2:$B$3143=$A29))/sum(filter(
Maste"&amp;"r_Mapping_Sheet!$E$2:$E$3143, ISNUMBER(
Master_Mapping_Sheet!$E$2:$E$3143),
Master_Mapping_Sheet!$B$2:$B$3143=$A29)))"),0.0)</f>
        <v>0</v>
      </c>
      <c r="O29" s="34">
        <f>IFERROR(__xludf.DUMMYFUNCTION("IF(ISNA(sum(filter(
Master_Mapping_Sheet!$E$2:$E$3143, ISNUMBER(
Master_Mapping_Sheet!$E$2:$E$3143),
Master_Mapping_Sheet!$H$2:$H$3143=O$1,
Master_Mapping_Sheet!$B$2:$B$3143=$A29))/sum(filter(
Master_Mapping_Sheet!$E$2:$E$3143, ISNUMBER(
Master_Mapping_Sh"&amp;"eet!$E$2:$E$3143),
Master_Mapping_Sheet!$B$2:$B$3143=$A29))), 0, sum(filter(
Master_Mapping_Sheet!$E$2:$E$3143, ISNUMBER(
Master_Mapping_Sheet!$E$2:$E$3143),
Master_Mapping_Sheet!$H$2:$H$3143=O$1,
Master_Mapping_Sheet!$B$2:$B$3143=$A29))/sum(filter(
Maste"&amp;"r_Mapping_Sheet!$E$2:$E$3143, ISNUMBER(
Master_Mapping_Sheet!$E$2:$E$3143),
Master_Mapping_Sheet!$B$2:$B$3143=$A29)))"),0.0)</f>
        <v>0</v>
      </c>
      <c r="P29" s="34">
        <f>IFERROR(__xludf.DUMMYFUNCTION("IF(ISNA(sum(filter(
Master_Mapping_Sheet!$E$2:$E$3143, ISNUMBER(
Master_Mapping_Sheet!$E$2:$E$3143),
Master_Mapping_Sheet!$H$2:$H$3143=P$1,
Master_Mapping_Sheet!$B$2:$B$3143=$A29))/sum(filter(
Master_Mapping_Sheet!$E$2:$E$3143, ISNUMBER(
Master_Mapping_Sh"&amp;"eet!$E$2:$E$3143),
Master_Mapping_Sheet!$B$2:$B$3143=$A29))), 0, sum(filter(
Master_Mapping_Sheet!$E$2:$E$3143, ISNUMBER(
Master_Mapping_Sheet!$E$2:$E$3143),
Master_Mapping_Sheet!$H$2:$H$3143=P$1,
Master_Mapping_Sheet!$B$2:$B$3143=$A29))/sum(filter(
Maste"&amp;"r_Mapping_Sheet!$E$2:$E$3143, ISNUMBER(
Master_Mapping_Sheet!$E$2:$E$3143),
Master_Mapping_Sheet!$B$2:$B$3143=$A29)))"),0.0)</f>
        <v>0</v>
      </c>
      <c r="Q29" s="34">
        <f>IFERROR(__xludf.DUMMYFUNCTION("IF(ISNA(sum(filter(
Master_Mapping_Sheet!$E$2:$E$3143, ISNUMBER(
Master_Mapping_Sheet!$E$2:$E$3143),
Master_Mapping_Sheet!$H$2:$H$3143=Q$1,
Master_Mapping_Sheet!$B$2:$B$3143=$A29))/sum(filter(
Master_Mapping_Sheet!$E$2:$E$3143, ISNUMBER(
Master_Mapping_Sh"&amp;"eet!$E$2:$E$3143),
Master_Mapping_Sheet!$B$2:$B$3143=$A29))), 0, sum(filter(
Master_Mapping_Sheet!$E$2:$E$3143, ISNUMBER(
Master_Mapping_Sheet!$E$2:$E$3143),
Master_Mapping_Sheet!$H$2:$H$3143=Q$1,
Master_Mapping_Sheet!$B$2:$B$3143=$A29))/sum(filter(
Maste"&amp;"r_Mapping_Sheet!$E$2:$E$3143, ISNUMBER(
Master_Mapping_Sheet!$E$2:$E$3143),
Master_Mapping_Sheet!$B$2:$B$3143=$A29)))"),0.0)</f>
        <v>0</v>
      </c>
      <c r="R29" s="34">
        <f>IFERROR(__xludf.DUMMYFUNCTION("IF(ISNA(sum(filter(
Master_Mapping_Sheet!$E$2:$E$3143, ISNUMBER(
Master_Mapping_Sheet!$E$2:$E$3143),
Master_Mapping_Sheet!$H$2:$H$3143=R$1,
Master_Mapping_Sheet!$B$2:$B$3143=$A29))/sum(filter(
Master_Mapping_Sheet!$E$2:$E$3143, ISNUMBER(
Master_Mapping_Sh"&amp;"eet!$E$2:$E$3143),
Master_Mapping_Sheet!$B$2:$B$3143=$A29))), 0, sum(filter(
Master_Mapping_Sheet!$E$2:$E$3143, ISNUMBER(
Master_Mapping_Sheet!$E$2:$E$3143),
Master_Mapping_Sheet!$H$2:$H$3143=R$1,
Master_Mapping_Sheet!$B$2:$B$3143=$A29))/sum(filter(
Maste"&amp;"r_Mapping_Sheet!$E$2:$E$3143, ISNUMBER(
Master_Mapping_Sheet!$E$2:$E$3143),
Master_Mapping_Sheet!$B$2:$B$3143=$A29)))"),0.0)</f>
        <v>0</v>
      </c>
      <c r="S29" s="34">
        <f>IFERROR(__xludf.DUMMYFUNCTION("IF(ISNA(sum(filter(
Master_Mapping_Sheet!$E$2:$E$3143, ISNUMBER(
Master_Mapping_Sheet!$E$2:$E$3143),
Master_Mapping_Sheet!$H$2:$H$3143=S$1,
Master_Mapping_Sheet!$B$2:$B$3143=$A29))/sum(filter(
Master_Mapping_Sheet!$E$2:$E$3143, ISNUMBER(
Master_Mapping_Sh"&amp;"eet!$E$2:$E$3143),
Master_Mapping_Sheet!$B$2:$B$3143=$A29))), 0, sum(filter(
Master_Mapping_Sheet!$E$2:$E$3143, ISNUMBER(
Master_Mapping_Sheet!$E$2:$E$3143),
Master_Mapping_Sheet!$H$2:$H$3143=S$1,
Master_Mapping_Sheet!$B$2:$B$3143=$A29))/sum(filter(
Maste"&amp;"r_Mapping_Sheet!$E$2:$E$3143, ISNUMBER(
Master_Mapping_Sheet!$E$2:$E$3143),
Master_Mapping_Sheet!$B$2:$B$3143=$A29)))"),0.0)</f>
        <v>0</v>
      </c>
      <c r="T29" s="34">
        <f>IFERROR(__xludf.DUMMYFUNCTION("IF(ISNA(sum(filter(
Master_Mapping_Sheet!$E$2:$E$3143, ISNUMBER(
Master_Mapping_Sheet!$E$2:$E$3143),
Master_Mapping_Sheet!$H$2:$H$3143=T$1,
Master_Mapping_Sheet!$B$2:$B$3143=$A29))/sum(filter(
Master_Mapping_Sheet!$E$2:$E$3143, ISNUMBER(
Master_Mapping_Sh"&amp;"eet!$E$2:$E$3143),
Master_Mapping_Sheet!$B$2:$B$3143=$A29))), 0, sum(filter(
Master_Mapping_Sheet!$E$2:$E$3143, ISNUMBER(
Master_Mapping_Sheet!$E$2:$E$3143),
Master_Mapping_Sheet!$H$2:$H$3143=T$1,
Master_Mapping_Sheet!$B$2:$B$3143=$A29))/sum(filter(
Maste"&amp;"r_Mapping_Sheet!$E$2:$E$3143, ISNUMBER(
Master_Mapping_Sheet!$E$2:$E$3143),
Master_Mapping_Sheet!$B$2:$B$3143=$A29)))"),0.0)</f>
        <v>0</v>
      </c>
      <c r="U29" s="34">
        <f>IFERROR(__xludf.DUMMYFUNCTION("IF(ISNA(sum(filter(
Master_Mapping_Sheet!$E$2:$E$3143, ISNUMBER(
Master_Mapping_Sheet!$E$2:$E$3143),
Master_Mapping_Sheet!$H$2:$H$3143=U$1,
Master_Mapping_Sheet!$B$2:$B$3143=$A29))/sum(filter(
Master_Mapping_Sheet!$E$2:$E$3143, ISNUMBER(
Master_Mapping_Sh"&amp;"eet!$E$2:$E$3143),
Master_Mapping_Sheet!$B$2:$B$3143=$A29))), 0, sum(filter(
Master_Mapping_Sheet!$E$2:$E$3143, ISNUMBER(
Master_Mapping_Sheet!$E$2:$E$3143),
Master_Mapping_Sheet!$H$2:$H$3143=U$1,
Master_Mapping_Sheet!$B$2:$B$3143=$A29))/sum(filter(
Maste"&amp;"r_Mapping_Sheet!$E$2:$E$3143, ISNUMBER(
Master_Mapping_Sheet!$E$2:$E$3143),
Master_Mapping_Sheet!$B$2:$B$3143=$A29)))"),0.9884799626360773)</f>
        <v>0.9884799626</v>
      </c>
      <c r="V29" s="34">
        <f>IFERROR(__xludf.DUMMYFUNCTION("IF(ISNA(sum(filter(
Master_Mapping_Sheet!$E$2:$E$3143, ISNUMBER(
Master_Mapping_Sheet!$E$2:$E$3143),
Master_Mapping_Sheet!$H$2:$H$3143=V$1,
Master_Mapping_Sheet!$B$2:$B$3143=$A29))/sum(filter(
Master_Mapping_Sheet!$E$2:$E$3143, ISNUMBER(
Master_Mapping_Sh"&amp;"eet!$E$2:$E$3143),
Master_Mapping_Sheet!$B$2:$B$3143=$A29))), 0, sum(filter(
Master_Mapping_Sheet!$E$2:$E$3143, ISNUMBER(
Master_Mapping_Sheet!$E$2:$E$3143),
Master_Mapping_Sheet!$H$2:$H$3143=V$1,
Master_Mapping_Sheet!$B$2:$B$3143=$A29))/sum(filter(
Maste"&amp;"r_Mapping_Sheet!$E$2:$E$3143, ISNUMBER(
Master_Mapping_Sheet!$E$2:$E$3143),
Master_Mapping_Sheet!$B$2:$B$3143=$A29)))"),0.0)</f>
        <v>0</v>
      </c>
      <c r="W29" s="34">
        <f>IFERROR(__xludf.DUMMYFUNCTION("IF(ISNA(sum(filter(
Master_Mapping_Sheet!$E$2:$E$3143, ISNUMBER(
Master_Mapping_Sheet!$E$2:$E$3143),
Master_Mapping_Sheet!$H$2:$H$3143=W$1,
Master_Mapping_Sheet!$B$2:$B$3143=$A29))/sum(filter(
Master_Mapping_Sheet!$E$2:$E$3143, ISNUMBER(
Master_Mapping_Sh"&amp;"eet!$E$2:$E$3143),
Master_Mapping_Sheet!$B$2:$B$3143=$A29))), 0, sum(filter(
Master_Mapping_Sheet!$E$2:$E$3143, ISNUMBER(
Master_Mapping_Sheet!$E$2:$E$3143),
Master_Mapping_Sheet!$H$2:$H$3143=W$1,
Master_Mapping_Sheet!$B$2:$B$3143=$A29))/sum(filter(
Maste"&amp;"r_Mapping_Sheet!$E$2:$E$3143, ISNUMBER(
Master_Mapping_Sheet!$E$2:$E$3143),
Master_Mapping_Sheet!$B$2:$B$3143=$A29)))"),0.0)</f>
        <v>0</v>
      </c>
      <c r="X29" s="34">
        <f>IFERROR(__xludf.DUMMYFUNCTION("IF(ISNA(sum(filter(
Master_Mapping_Sheet!$E$2:$E$3143, ISNUMBER(
Master_Mapping_Sheet!$E$2:$E$3143),
Master_Mapping_Sheet!$H$2:$H$3143=X$1,
Master_Mapping_Sheet!$B$2:$B$3143=$A29))/sum(filter(
Master_Mapping_Sheet!$E$2:$E$3143, ISNUMBER(
Master_Mapping_Sh"&amp;"eet!$E$2:$E$3143),
Master_Mapping_Sheet!$B$2:$B$3143=$A29))), 0, sum(filter(
Master_Mapping_Sheet!$E$2:$E$3143, ISNUMBER(
Master_Mapping_Sheet!$E$2:$E$3143),
Master_Mapping_Sheet!$H$2:$H$3143=X$1,
Master_Mapping_Sheet!$B$2:$B$3143=$A29))/sum(filter(
Maste"&amp;"r_Mapping_Sheet!$E$2:$E$3143, ISNUMBER(
Master_Mapping_Sheet!$E$2:$E$3143),
Master_Mapping_Sheet!$B$2:$B$3143=$A29)))"),0.0)</f>
        <v>0</v>
      </c>
      <c r="Y29" s="34">
        <f>IFERROR(__xludf.DUMMYFUNCTION("IF(ISNA(sum(filter(
Master_Mapping_Sheet!$E$2:$E$3143, ISNUMBER(
Master_Mapping_Sheet!$E$2:$E$3143),
Master_Mapping_Sheet!$H$2:$H$3143=Y$1,
Master_Mapping_Sheet!$B$2:$B$3143=$A29))/sum(filter(
Master_Mapping_Sheet!$E$2:$E$3143, ISNUMBER(
Master_Mapping_Sh"&amp;"eet!$E$2:$E$3143),
Master_Mapping_Sheet!$B$2:$B$3143=$A29))), 0, sum(filter(
Master_Mapping_Sheet!$E$2:$E$3143, ISNUMBER(
Master_Mapping_Sheet!$E$2:$E$3143),
Master_Mapping_Sheet!$H$2:$H$3143=Y$1,
Master_Mapping_Sheet!$B$2:$B$3143=$A29))/sum(filter(
Maste"&amp;"r_Mapping_Sheet!$E$2:$E$3143, ISNUMBER(
Master_Mapping_Sheet!$E$2:$E$3143),
Master_Mapping_Sheet!$B$2:$B$3143=$A29)))"),0.0)</f>
        <v>0</v>
      </c>
      <c r="Z29" s="34">
        <f>IFERROR(__xludf.DUMMYFUNCTION("IF(ISNA(sum(filter(
Master_Mapping_Sheet!$E$2:$E$3143, ISNUMBER(
Master_Mapping_Sheet!$E$2:$E$3143),
Master_Mapping_Sheet!$H$2:$H$3143=Z$1,
Master_Mapping_Sheet!$B$2:$B$3143=$A29))/sum(filter(
Master_Mapping_Sheet!$E$2:$E$3143, ISNUMBER(
Master_Mapping_Sh"&amp;"eet!$E$2:$E$3143),
Master_Mapping_Sheet!$B$2:$B$3143=$A29))), 0, sum(filter(
Master_Mapping_Sheet!$E$2:$E$3143, ISNUMBER(
Master_Mapping_Sheet!$E$2:$E$3143),
Master_Mapping_Sheet!$H$2:$H$3143=Z$1,
Master_Mapping_Sheet!$B$2:$B$3143=$A29))/sum(filter(
Maste"&amp;"r_Mapping_Sheet!$E$2:$E$3143, ISNUMBER(
Master_Mapping_Sheet!$E$2:$E$3143),
Master_Mapping_Sheet!$B$2:$B$3143=$A29)))"),0.011520037363922686)</f>
        <v>0.01152003736</v>
      </c>
      <c r="AA29" s="34">
        <f>IFERROR(__xludf.DUMMYFUNCTION("IF(ISNA(sum(filter(
Master_Mapping_Sheet!$E$2:$E$3143, ISNUMBER(
Master_Mapping_Sheet!$E$2:$E$3143),
Master_Mapping_Sheet!$H$2:$H$3143=AA$1,
Master_Mapping_Sheet!$B$2:$B$3143=$A29))/sum(filter(
Master_Mapping_Sheet!$E$2:$E$3143, ISNUMBER(
Master_Mapping_S"&amp;"heet!$E$2:$E$3143),
Master_Mapping_Sheet!$B$2:$B$3143=$A29))), 0, sum(filter(
Master_Mapping_Sheet!$E$2:$E$3143, ISNUMBER(
Master_Mapping_Sheet!$E$2:$E$3143),
Master_Mapping_Sheet!$H$2:$H$3143=AA$1,
Master_Mapping_Sheet!$B$2:$B$3143=$A29))/sum(filter(
Mas"&amp;"ter_Mapping_Sheet!$E$2:$E$3143, ISNUMBER(
Master_Mapping_Sheet!$E$2:$E$3143),
Master_Mapping_Sheet!$B$2:$B$3143=$A29)))"),0.0)</f>
        <v>0</v>
      </c>
    </row>
    <row r="30" ht="15.75" customHeight="1">
      <c r="A30" s="34" t="s">
        <v>256</v>
      </c>
      <c r="B30" s="34" t="s">
        <v>3112</v>
      </c>
      <c r="C30" s="34">
        <f>IFERROR(__xludf.DUMMYFUNCTION("IF(ISNA(sum(filter(
Master_Mapping_Sheet!$E$2:$E$3143, ISNUMBER(
Master_Mapping_Sheet!$E$2:$E$3143),
Master_Mapping_Sheet!$H$2:$H$3143=C$1,
Master_Mapping_Sheet!$B$2:$B$3143=$A30))/sum(filter(
Master_Mapping_Sheet!$E$2:$E$3143, ISNUMBER(
Master_Mapping_Sh"&amp;"eet!$E$2:$E$3143),
Master_Mapping_Sheet!$B$2:$B$3143=$A30))), 0, sum(filter(
Master_Mapping_Sheet!$E$2:$E$3143, ISNUMBER(
Master_Mapping_Sheet!$E$2:$E$3143),
Master_Mapping_Sheet!$H$2:$H$3143=C$1,
Master_Mapping_Sheet!$B$2:$B$3143=$A30))/sum(filter(
Maste"&amp;"r_Mapping_Sheet!$E$2:$E$3143, ISNUMBER(
Master_Mapping_Sheet!$E$2:$E$3143),
Master_Mapping_Sheet!$B$2:$B$3143=$A30)))"),0.0)</f>
        <v>0</v>
      </c>
      <c r="D30" s="32">
        <f>IFERROR(__xludf.DUMMYFUNCTION("IF(ISNA(sum(filter(
Master_Mapping_Sheet!$E$2:$E$3143, ISNUMBER(
Master_Mapping_Sheet!$E$2:$E$3143),
Master_Mapping_Sheet!$H$2:$H$3143=D$1,
Master_Mapping_Sheet!$B$2:$B$3143=$A30))/sum(filter(
Master_Mapping_Sheet!$E$2:$E$3143, ISNUMBER(
Master_Mapping_Sh"&amp;"eet!$E$2:$E$3143),
Master_Mapping_Sheet!$B$2:$B$3143=$A30))), 0, sum(filter(
Master_Mapping_Sheet!$E$2:$E$3143, ISNUMBER(
Master_Mapping_Sheet!$E$2:$E$3143),
Master_Mapping_Sheet!$H$2:$H$3143=D$1,
Master_Mapping_Sheet!$B$2:$B$3143=$A30))/sum(filter(
Maste"&amp;"r_Mapping_Sheet!$E$2:$E$3143, ISNUMBER(
Master_Mapping_Sheet!$E$2:$E$3143),
Master_Mapping_Sheet!$B$2:$B$3143=$A30)))"),0.0)</f>
        <v>0</v>
      </c>
      <c r="E30" s="34">
        <f>IFERROR(__xludf.DUMMYFUNCTION("IF(ISNA(sum(filter(
Master_Mapping_Sheet!$E$2:$E$3143, ISNUMBER(
Master_Mapping_Sheet!$E$2:$E$3143),
Master_Mapping_Sheet!$H$2:$H$3143=E$1,
Master_Mapping_Sheet!$B$2:$B$3143=$A30))/sum(filter(
Master_Mapping_Sheet!$E$2:$E$3143, ISNUMBER(
Master_Mapping_Sh"&amp;"eet!$E$2:$E$3143),
Master_Mapping_Sheet!$B$2:$B$3143=$A30))), 0, sum(filter(
Master_Mapping_Sheet!$E$2:$E$3143, ISNUMBER(
Master_Mapping_Sheet!$E$2:$E$3143),
Master_Mapping_Sheet!$H$2:$H$3143=E$1,
Master_Mapping_Sheet!$B$2:$B$3143=$A30))/sum(filter(
Maste"&amp;"r_Mapping_Sheet!$E$2:$E$3143, ISNUMBER(
Master_Mapping_Sheet!$E$2:$E$3143),
Master_Mapping_Sheet!$B$2:$B$3143=$A30)))"),0.0)</f>
        <v>0</v>
      </c>
      <c r="F30" s="34">
        <f>IFERROR(__xludf.DUMMYFUNCTION("IF(ISNA(sum(filter(
Master_Mapping_Sheet!$E$2:$E$3143, ISNUMBER(
Master_Mapping_Sheet!$E$2:$E$3143),
Master_Mapping_Sheet!$H$2:$H$3143=F$1,
Master_Mapping_Sheet!$B$2:$B$3143=$A30))/sum(filter(
Master_Mapping_Sheet!$E$2:$E$3143, ISNUMBER(
Master_Mapping_Sh"&amp;"eet!$E$2:$E$3143),
Master_Mapping_Sheet!$B$2:$B$3143=$A30))), 0, sum(filter(
Master_Mapping_Sheet!$E$2:$E$3143, ISNUMBER(
Master_Mapping_Sheet!$E$2:$E$3143),
Master_Mapping_Sheet!$H$2:$H$3143=F$1,
Master_Mapping_Sheet!$B$2:$B$3143=$A30))/sum(filter(
Maste"&amp;"r_Mapping_Sheet!$E$2:$E$3143, ISNUMBER(
Master_Mapping_Sheet!$E$2:$E$3143),
Master_Mapping_Sheet!$B$2:$B$3143=$A30)))"),0.0)</f>
        <v>0</v>
      </c>
      <c r="G30" s="34">
        <f>IFERROR(__xludf.DUMMYFUNCTION("IF(ISNA(sum(filter(
Master_Mapping_Sheet!$E$2:$E$3143, ISNUMBER(
Master_Mapping_Sheet!$E$2:$E$3143),
Master_Mapping_Sheet!$H$2:$H$3143=G$1,
Master_Mapping_Sheet!$B$2:$B$3143=$A30))/sum(filter(
Master_Mapping_Sheet!$E$2:$E$3143, ISNUMBER(
Master_Mapping_Sh"&amp;"eet!$E$2:$E$3143),
Master_Mapping_Sheet!$B$2:$B$3143=$A30))), 0, sum(filter(
Master_Mapping_Sheet!$E$2:$E$3143, ISNUMBER(
Master_Mapping_Sheet!$E$2:$E$3143),
Master_Mapping_Sheet!$H$2:$H$3143=G$1,
Master_Mapping_Sheet!$B$2:$B$3143=$A30))/sum(filter(
Maste"&amp;"r_Mapping_Sheet!$E$2:$E$3143, ISNUMBER(
Master_Mapping_Sheet!$E$2:$E$3143),
Master_Mapping_Sheet!$B$2:$B$3143=$A30)))"),0.0)</f>
        <v>0</v>
      </c>
      <c r="H30" s="34">
        <f>IFERROR(__xludf.DUMMYFUNCTION("IF(ISNA(sum(filter(
Master_Mapping_Sheet!$E$2:$E$3143, ISNUMBER(
Master_Mapping_Sheet!$E$2:$E$3143),
Master_Mapping_Sheet!$H$2:$H$3143=H$1,
Master_Mapping_Sheet!$B$2:$B$3143=$A30))/sum(filter(
Master_Mapping_Sheet!$E$2:$E$3143, ISNUMBER(
Master_Mapping_Sh"&amp;"eet!$E$2:$E$3143),
Master_Mapping_Sheet!$B$2:$B$3143=$A30))), 0, sum(filter(
Master_Mapping_Sheet!$E$2:$E$3143, ISNUMBER(
Master_Mapping_Sheet!$E$2:$E$3143),
Master_Mapping_Sheet!$H$2:$H$3143=H$1,
Master_Mapping_Sheet!$B$2:$B$3143=$A30))/sum(filter(
Maste"&amp;"r_Mapping_Sheet!$E$2:$E$3143, ISNUMBER(
Master_Mapping_Sheet!$E$2:$E$3143),
Master_Mapping_Sheet!$B$2:$B$3143=$A30)))"),0.0)</f>
        <v>0</v>
      </c>
      <c r="I30" s="34">
        <f>IFERROR(__xludf.DUMMYFUNCTION("IF(ISNA(sum(filter(
Master_Mapping_Sheet!$E$2:$E$3143, ISNUMBER(
Master_Mapping_Sheet!$E$2:$E$3143),
Master_Mapping_Sheet!$H$2:$H$3143=I$1,
Master_Mapping_Sheet!$B$2:$B$3143=$A30))/sum(filter(
Master_Mapping_Sheet!$E$2:$E$3143, ISNUMBER(
Master_Mapping_Sh"&amp;"eet!$E$2:$E$3143),
Master_Mapping_Sheet!$B$2:$B$3143=$A30))), 0, sum(filter(
Master_Mapping_Sheet!$E$2:$E$3143, ISNUMBER(
Master_Mapping_Sheet!$E$2:$E$3143),
Master_Mapping_Sheet!$H$2:$H$3143=I$1,
Master_Mapping_Sheet!$B$2:$B$3143=$A30))/sum(filter(
Maste"&amp;"r_Mapping_Sheet!$E$2:$E$3143, ISNUMBER(
Master_Mapping_Sheet!$E$2:$E$3143),
Master_Mapping_Sheet!$B$2:$B$3143=$A30)))"),0.0)</f>
        <v>0</v>
      </c>
      <c r="J30" s="34">
        <f>IFERROR(__xludf.DUMMYFUNCTION("IF(ISNA(sum(filter(
Master_Mapping_Sheet!$E$2:$E$3143, ISNUMBER(
Master_Mapping_Sheet!$E$2:$E$3143),
Master_Mapping_Sheet!$H$2:$H$3143=J$1,
Master_Mapping_Sheet!$B$2:$B$3143=$A30))/sum(filter(
Master_Mapping_Sheet!$E$2:$E$3143, ISNUMBER(
Master_Mapping_Sh"&amp;"eet!$E$2:$E$3143),
Master_Mapping_Sheet!$B$2:$B$3143=$A30))), 0, sum(filter(
Master_Mapping_Sheet!$E$2:$E$3143, ISNUMBER(
Master_Mapping_Sheet!$E$2:$E$3143),
Master_Mapping_Sheet!$H$2:$H$3143=J$1,
Master_Mapping_Sheet!$B$2:$B$3143=$A30))/sum(filter(
Maste"&amp;"r_Mapping_Sheet!$E$2:$E$3143, ISNUMBER(
Master_Mapping_Sheet!$E$2:$E$3143),
Master_Mapping_Sheet!$B$2:$B$3143=$A30)))"),0.0)</f>
        <v>0</v>
      </c>
      <c r="K30" s="34">
        <f>IFERROR(__xludf.DUMMYFUNCTION("IF(ISNA(sum(filter(
Master_Mapping_Sheet!$E$2:$E$3143, ISNUMBER(
Master_Mapping_Sheet!$E$2:$E$3143),
Master_Mapping_Sheet!$H$2:$H$3143=K$1,
Master_Mapping_Sheet!$B$2:$B$3143=$A30))/sum(filter(
Master_Mapping_Sheet!$E$2:$E$3143, ISNUMBER(
Master_Mapping_Sh"&amp;"eet!$E$2:$E$3143),
Master_Mapping_Sheet!$B$2:$B$3143=$A30))), 0, sum(filter(
Master_Mapping_Sheet!$E$2:$E$3143, ISNUMBER(
Master_Mapping_Sheet!$E$2:$E$3143),
Master_Mapping_Sheet!$H$2:$H$3143=K$1,
Master_Mapping_Sheet!$B$2:$B$3143=$A30))/sum(filter(
Maste"&amp;"r_Mapping_Sheet!$E$2:$E$3143, ISNUMBER(
Master_Mapping_Sheet!$E$2:$E$3143),
Master_Mapping_Sheet!$B$2:$B$3143=$A30)))"),0.0)</f>
        <v>0</v>
      </c>
      <c r="L30" s="34">
        <f>IFERROR(__xludf.DUMMYFUNCTION("IF(ISNA(sum(filter(
Master_Mapping_Sheet!$E$2:$E$3143, ISNUMBER(
Master_Mapping_Sheet!$E$2:$E$3143),
Master_Mapping_Sheet!$H$2:$H$3143=L$1,
Master_Mapping_Sheet!$B$2:$B$3143=$A30))/sum(filter(
Master_Mapping_Sheet!$E$2:$E$3143, ISNUMBER(
Master_Mapping_Sh"&amp;"eet!$E$2:$E$3143),
Master_Mapping_Sheet!$B$2:$B$3143=$A30))), 0, sum(filter(
Master_Mapping_Sheet!$E$2:$E$3143, ISNUMBER(
Master_Mapping_Sheet!$E$2:$E$3143),
Master_Mapping_Sheet!$H$2:$H$3143=L$1,
Master_Mapping_Sheet!$B$2:$B$3143=$A30))/sum(filter(
Maste"&amp;"r_Mapping_Sheet!$E$2:$E$3143, ISNUMBER(
Master_Mapping_Sheet!$E$2:$E$3143),
Master_Mapping_Sheet!$B$2:$B$3143=$A30)))"),0.0)</f>
        <v>0</v>
      </c>
      <c r="M30" s="34">
        <f>IFERROR(__xludf.DUMMYFUNCTION("IF(ISNA(sum(filter(
Master_Mapping_Sheet!$E$2:$E$3143, ISNUMBER(
Master_Mapping_Sheet!$E$2:$E$3143),
Master_Mapping_Sheet!$H$2:$H$3143=M$1,
Master_Mapping_Sheet!$B$2:$B$3143=$A30))/sum(filter(
Master_Mapping_Sheet!$E$2:$E$3143, ISNUMBER(
Master_Mapping_Sh"&amp;"eet!$E$2:$E$3143),
Master_Mapping_Sheet!$B$2:$B$3143=$A30))), 0, sum(filter(
Master_Mapping_Sheet!$E$2:$E$3143, ISNUMBER(
Master_Mapping_Sheet!$E$2:$E$3143),
Master_Mapping_Sheet!$H$2:$H$3143=M$1,
Master_Mapping_Sheet!$B$2:$B$3143=$A30))/sum(filter(
Maste"&amp;"r_Mapping_Sheet!$E$2:$E$3143, ISNUMBER(
Master_Mapping_Sheet!$E$2:$E$3143),
Master_Mapping_Sheet!$B$2:$B$3143=$A30)))"),0.0)</f>
        <v>0</v>
      </c>
      <c r="N30" s="34">
        <f>IFERROR(__xludf.DUMMYFUNCTION("IF(ISNA(sum(filter(
Master_Mapping_Sheet!$E$2:$E$3143, ISNUMBER(
Master_Mapping_Sheet!$E$2:$E$3143),
Master_Mapping_Sheet!$H$2:$H$3143=N$1,
Master_Mapping_Sheet!$B$2:$B$3143=$A30))/sum(filter(
Master_Mapping_Sheet!$E$2:$E$3143, ISNUMBER(
Master_Mapping_Sh"&amp;"eet!$E$2:$E$3143),
Master_Mapping_Sheet!$B$2:$B$3143=$A30))), 0, sum(filter(
Master_Mapping_Sheet!$E$2:$E$3143, ISNUMBER(
Master_Mapping_Sheet!$E$2:$E$3143),
Master_Mapping_Sheet!$H$2:$H$3143=N$1,
Master_Mapping_Sheet!$B$2:$B$3143=$A30))/sum(filter(
Maste"&amp;"r_Mapping_Sheet!$E$2:$E$3143, ISNUMBER(
Master_Mapping_Sheet!$E$2:$E$3143),
Master_Mapping_Sheet!$B$2:$B$3143=$A30)))"),0.0)</f>
        <v>0</v>
      </c>
      <c r="O30" s="34">
        <f>IFERROR(__xludf.DUMMYFUNCTION("IF(ISNA(sum(filter(
Master_Mapping_Sheet!$E$2:$E$3143, ISNUMBER(
Master_Mapping_Sheet!$E$2:$E$3143),
Master_Mapping_Sheet!$H$2:$H$3143=O$1,
Master_Mapping_Sheet!$B$2:$B$3143=$A30))/sum(filter(
Master_Mapping_Sheet!$E$2:$E$3143, ISNUMBER(
Master_Mapping_Sh"&amp;"eet!$E$2:$E$3143),
Master_Mapping_Sheet!$B$2:$B$3143=$A30))), 0, sum(filter(
Master_Mapping_Sheet!$E$2:$E$3143, ISNUMBER(
Master_Mapping_Sheet!$E$2:$E$3143),
Master_Mapping_Sheet!$H$2:$H$3143=O$1,
Master_Mapping_Sheet!$B$2:$B$3143=$A30))/sum(filter(
Maste"&amp;"r_Mapping_Sheet!$E$2:$E$3143, ISNUMBER(
Master_Mapping_Sheet!$E$2:$E$3143),
Master_Mapping_Sheet!$B$2:$B$3143=$A30)))"),0.0)</f>
        <v>0</v>
      </c>
      <c r="P30" s="34">
        <f>IFERROR(__xludf.DUMMYFUNCTION("IF(ISNA(sum(filter(
Master_Mapping_Sheet!$E$2:$E$3143, ISNUMBER(
Master_Mapping_Sheet!$E$2:$E$3143),
Master_Mapping_Sheet!$H$2:$H$3143=P$1,
Master_Mapping_Sheet!$B$2:$B$3143=$A30))/sum(filter(
Master_Mapping_Sheet!$E$2:$E$3143, ISNUMBER(
Master_Mapping_Sh"&amp;"eet!$E$2:$E$3143),
Master_Mapping_Sheet!$B$2:$B$3143=$A30))), 0, sum(filter(
Master_Mapping_Sheet!$E$2:$E$3143, ISNUMBER(
Master_Mapping_Sheet!$E$2:$E$3143),
Master_Mapping_Sheet!$H$2:$H$3143=P$1,
Master_Mapping_Sheet!$B$2:$B$3143=$A30))/sum(filter(
Maste"&amp;"r_Mapping_Sheet!$E$2:$E$3143, ISNUMBER(
Master_Mapping_Sheet!$E$2:$E$3143),
Master_Mapping_Sheet!$B$2:$B$3143=$A30)))"),0.0)</f>
        <v>0</v>
      </c>
      <c r="Q30" s="34">
        <f>IFERROR(__xludf.DUMMYFUNCTION("IF(ISNA(sum(filter(
Master_Mapping_Sheet!$E$2:$E$3143, ISNUMBER(
Master_Mapping_Sheet!$E$2:$E$3143),
Master_Mapping_Sheet!$H$2:$H$3143=Q$1,
Master_Mapping_Sheet!$B$2:$B$3143=$A30))/sum(filter(
Master_Mapping_Sheet!$E$2:$E$3143, ISNUMBER(
Master_Mapping_Sh"&amp;"eet!$E$2:$E$3143),
Master_Mapping_Sheet!$B$2:$B$3143=$A30))), 0, sum(filter(
Master_Mapping_Sheet!$E$2:$E$3143, ISNUMBER(
Master_Mapping_Sheet!$E$2:$E$3143),
Master_Mapping_Sheet!$H$2:$H$3143=Q$1,
Master_Mapping_Sheet!$B$2:$B$3143=$A30))/sum(filter(
Maste"&amp;"r_Mapping_Sheet!$E$2:$E$3143, ISNUMBER(
Master_Mapping_Sheet!$E$2:$E$3143),
Master_Mapping_Sheet!$B$2:$B$3143=$A30)))"),0.0)</f>
        <v>0</v>
      </c>
      <c r="R30" s="34">
        <f>IFERROR(__xludf.DUMMYFUNCTION("IF(ISNA(sum(filter(
Master_Mapping_Sheet!$E$2:$E$3143, ISNUMBER(
Master_Mapping_Sheet!$E$2:$E$3143),
Master_Mapping_Sheet!$H$2:$H$3143=R$1,
Master_Mapping_Sheet!$B$2:$B$3143=$A30))/sum(filter(
Master_Mapping_Sheet!$E$2:$E$3143, ISNUMBER(
Master_Mapping_Sh"&amp;"eet!$E$2:$E$3143),
Master_Mapping_Sheet!$B$2:$B$3143=$A30))), 0, sum(filter(
Master_Mapping_Sheet!$E$2:$E$3143, ISNUMBER(
Master_Mapping_Sheet!$E$2:$E$3143),
Master_Mapping_Sheet!$H$2:$H$3143=R$1,
Master_Mapping_Sheet!$B$2:$B$3143=$A30))/sum(filter(
Maste"&amp;"r_Mapping_Sheet!$E$2:$E$3143, ISNUMBER(
Master_Mapping_Sheet!$E$2:$E$3143),
Master_Mapping_Sheet!$B$2:$B$3143=$A30)))"),0.0)</f>
        <v>0</v>
      </c>
      <c r="S30" s="34">
        <f>IFERROR(__xludf.DUMMYFUNCTION("IF(ISNA(sum(filter(
Master_Mapping_Sheet!$E$2:$E$3143, ISNUMBER(
Master_Mapping_Sheet!$E$2:$E$3143),
Master_Mapping_Sheet!$H$2:$H$3143=S$1,
Master_Mapping_Sheet!$B$2:$B$3143=$A30))/sum(filter(
Master_Mapping_Sheet!$E$2:$E$3143, ISNUMBER(
Master_Mapping_Sh"&amp;"eet!$E$2:$E$3143),
Master_Mapping_Sheet!$B$2:$B$3143=$A30))), 0, sum(filter(
Master_Mapping_Sheet!$E$2:$E$3143, ISNUMBER(
Master_Mapping_Sheet!$E$2:$E$3143),
Master_Mapping_Sheet!$H$2:$H$3143=S$1,
Master_Mapping_Sheet!$B$2:$B$3143=$A30))/sum(filter(
Maste"&amp;"r_Mapping_Sheet!$E$2:$E$3143, ISNUMBER(
Master_Mapping_Sheet!$E$2:$E$3143),
Master_Mapping_Sheet!$B$2:$B$3143=$A30)))"),0.0)</f>
        <v>0</v>
      </c>
      <c r="T30" s="34">
        <f>IFERROR(__xludf.DUMMYFUNCTION("IF(ISNA(sum(filter(
Master_Mapping_Sheet!$E$2:$E$3143, ISNUMBER(
Master_Mapping_Sheet!$E$2:$E$3143),
Master_Mapping_Sheet!$H$2:$H$3143=T$1,
Master_Mapping_Sheet!$B$2:$B$3143=$A30))/sum(filter(
Master_Mapping_Sheet!$E$2:$E$3143, ISNUMBER(
Master_Mapping_Sh"&amp;"eet!$E$2:$E$3143),
Master_Mapping_Sheet!$B$2:$B$3143=$A30))), 0, sum(filter(
Master_Mapping_Sheet!$E$2:$E$3143, ISNUMBER(
Master_Mapping_Sheet!$E$2:$E$3143),
Master_Mapping_Sheet!$H$2:$H$3143=T$1,
Master_Mapping_Sheet!$B$2:$B$3143=$A30))/sum(filter(
Maste"&amp;"r_Mapping_Sheet!$E$2:$E$3143, ISNUMBER(
Master_Mapping_Sheet!$E$2:$E$3143),
Master_Mapping_Sheet!$B$2:$B$3143=$A30)))"),0.0)</f>
        <v>0</v>
      </c>
      <c r="U30" s="34">
        <f>IFERROR(__xludf.DUMMYFUNCTION("IF(ISNA(sum(filter(
Master_Mapping_Sheet!$E$2:$E$3143, ISNUMBER(
Master_Mapping_Sheet!$E$2:$E$3143),
Master_Mapping_Sheet!$H$2:$H$3143=U$1,
Master_Mapping_Sheet!$B$2:$B$3143=$A30))/sum(filter(
Master_Mapping_Sheet!$E$2:$E$3143, ISNUMBER(
Master_Mapping_Sh"&amp;"eet!$E$2:$E$3143),
Master_Mapping_Sheet!$B$2:$B$3143=$A30))), 0, sum(filter(
Master_Mapping_Sheet!$E$2:$E$3143, ISNUMBER(
Master_Mapping_Sheet!$E$2:$E$3143),
Master_Mapping_Sheet!$H$2:$H$3143=U$1,
Master_Mapping_Sheet!$B$2:$B$3143=$A30))/sum(filter(
Maste"&amp;"r_Mapping_Sheet!$E$2:$E$3143, ISNUMBER(
Master_Mapping_Sheet!$E$2:$E$3143),
Master_Mapping_Sheet!$B$2:$B$3143=$A30)))"),0.0)</f>
        <v>0</v>
      </c>
      <c r="V30" s="34">
        <f>IFERROR(__xludf.DUMMYFUNCTION("IF(ISNA(sum(filter(
Master_Mapping_Sheet!$E$2:$E$3143, ISNUMBER(
Master_Mapping_Sheet!$E$2:$E$3143),
Master_Mapping_Sheet!$H$2:$H$3143=V$1,
Master_Mapping_Sheet!$B$2:$B$3143=$A30))/sum(filter(
Master_Mapping_Sheet!$E$2:$E$3143, ISNUMBER(
Master_Mapping_Sh"&amp;"eet!$E$2:$E$3143),
Master_Mapping_Sheet!$B$2:$B$3143=$A30))), 0, sum(filter(
Master_Mapping_Sheet!$E$2:$E$3143, ISNUMBER(
Master_Mapping_Sheet!$E$2:$E$3143),
Master_Mapping_Sheet!$H$2:$H$3143=V$1,
Master_Mapping_Sheet!$B$2:$B$3143=$A30))/sum(filter(
Maste"&amp;"r_Mapping_Sheet!$E$2:$E$3143, ISNUMBER(
Master_Mapping_Sheet!$E$2:$E$3143),
Master_Mapping_Sheet!$B$2:$B$3143=$A30)))"),0.0)</f>
        <v>0</v>
      </c>
      <c r="W30" s="34">
        <f>IFERROR(__xludf.DUMMYFUNCTION("IF(ISNA(sum(filter(
Master_Mapping_Sheet!$E$2:$E$3143, ISNUMBER(
Master_Mapping_Sheet!$E$2:$E$3143),
Master_Mapping_Sheet!$H$2:$H$3143=W$1,
Master_Mapping_Sheet!$B$2:$B$3143=$A30))/sum(filter(
Master_Mapping_Sheet!$E$2:$E$3143, ISNUMBER(
Master_Mapping_Sh"&amp;"eet!$E$2:$E$3143),
Master_Mapping_Sheet!$B$2:$B$3143=$A30))), 0, sum(filter(
Master_Mapping_Sheet!$E$2:$E$3143, ISNUMBER(
Master_Mapping_Sheet!$E$2:$E$3143),
Master_Mapping_Sheet!$H$2:$H$3143=W$1,
Master_Mapping_Sheet!$B$2:$B$3143=$A30))/sum(filter(
Maste"&amp;"r_Mapping_Sheet!$E$2:$E$3143, ISNUMBER(
Master_Mapping_Sheet!$E$2:$E$3143),
Master_Mapping_Sheet!$B$2:$B$3143=$A30)))"),0.0)</f>
        <v>0</v>
      </c>
      <c r="X30" s="34">
        <f>IFERROR(__xludf.DUMMYFUNCTION("IF(ISNA(sum(filter(
Master_Mapping_Sheet!$E$2:$E$3143, ISNUMBER(
Master_Mapping_Sheet!$E$2:$E$3143),
Master_Mapping_Sheet!$H$2:$H$3143=X$1,
Master_Mapping_Sheet!$B$2:$B$3143=$A30))/sum(filter(
Master_Mapping_Sheet!$E$2:$E$3143, ISNUMBER(
Master_Mapping_Sh"&amp;"eet!$E$2:$E$3143),
Master_Mapping_Sheet!$B$2:$B$3143=$A30))), 0, sum(filter(
Master_Mapping_Sheet!$E$2:$E$3143, ISNUMBER(
Master_Mapping_Sheet!$E$2:$E$3143),
Master_Mapping_Sheet!$H$2:$H$3143=X$1,
Master_Mapping_Sheet!$B$2:$B$3143=$A30))/sum(filter(
Maste"&amp;"r_Mapping_Sheet!$E$2:$E$3143, ISNUMBER(
Master_Mapping_Sheet!$E$2:$E$3143),
Master_Mapping_Sheet!$B$2:$B$3143=$A30)))"),0.0)</f>
        <v>0</v>
      </c>
      <c r="Y30" s="34">
        <f>IFERROR(__xludf.DUMMYFUNCTION("IF(ISNA(sum(filter(
Master_Mapping_Sheet!$E$2:$E$3143, ISNUMBER(
Master_Mapping_Sheet!$E$2:$E$3143),
Master_Mapping_Sheet!$H$2:$H$3143=Y$1,
Master_Mapping_Sheet!$B$2:$B$3143=$A30))/sum(filter(
Master_Mapping_Sheet!$E$2:$E$3143, ISNUMBER(
Master_Mapping_Sh"&amp;"eet!$E$2:$E$3143),
Master_Mapping_Sheet!$B$2:$B$3143=$A30))), 0, sum(filter(
Master_Mapping_Sheet!$E$2:$E$3143, ISNUMBER(
Master_Mapping_Sheet!$E$2:$E$3143),
Master_Mapping_Sheet!$H$2:$H$3143=Y$1,
Master_Mapping_Sheet!$B$2:$B$3143=$A30))/sum(filter(
Maste"&amp;"r_Mapping_Sheet!$E$2:$E$3143, ISNUMBER(
Master_Mapping_Sheet!$E$2:$E$3143),
Master_Mapping_Sheet!$B$2:$B$3143=$A30)))"),0.0)</f>
        <v>0</v>
      </c>
      <c r="Z30" s="34">
        <f>IFERROR(__xludf.DUMMYFUNCTION("IF(ISNA(sum(filter(
Master_Mapping_Sheet!$E$2:$E$3143, ISNUMBER(
Master_Mapping_Sheet!$E$2:$E$3143),
Master_Mapping_Sheet!$H$2:$H$3143=Z$1,
Master_Mapping_Sheet!$B$2:$B$3143=$A30))/sum(filter(
Master_Mapping_Sheet!$E$2:$E$3143, ISNUMBER(
Master_Mapping_Sh"&amp;"eet!$E$2:$E$3143),
Master_Mapping_Sheet!$B$2:$B$3143=$A30))), 0, sum(filter(
Master_Mapping_Sheet!$E$2:$E$3143, ISNUMBER(
Master_Mapping_Sheet!$E$2:$E$3143),
Master_Mapping_Sheet!$H$2:$H$3143=Z$1,
Master_Mapping_Sheet!$B$2:$B$3143=$A30))/sum(filter(
Maste"&amp;"r_Mapping_Sheet!$E$2:$E$3143, ISNUMBER(
Master_Mapping_Sheet!$E$2:$E$3143),
Master_Mapping_Sheet!$B$2:$B$3143=$A30)))"),0.0)</f>
        <v>0</v>
      </c>
      <c r="AA30" s="34">
        <f>IFERROR(__xludf.DUMMYFUNCTION("IF(ISNA(sum(filter(
Master_Mapping_Sheet!$E$2:$E$3143, ISNUMBER(
Master_Mapping_Sheet!$E$2:$E$3143),
Master_Mapping_Sheet!$H$2:$H$3143=AA$1,
Master_Mapping_Sheet!$B$2:$B$3143=$A30))/sum(filter(
Master_Mapping_Sheet!$E$2:$E$3143, ISNUMBER(
Master_Mapping_S"&amp;"heet!$E$2:$E$3143),
Master_Mapping_Sheet!$B$2:$B$3143=$A30))), 0, sum(filter(
Master_Mapping_Sheet!$E$2:$E$3143, ISNUMBER(
Master_Mapping_Sheet!$E$2:$E$3143),
Master_Mapping_Sheet!$H$2:$H$3143=AA$1,
Master_Mapping_Sheet!$B$2:$B$3143=$A30))/sum(filter(
Mas"&amp;"ter_Mapping_Sheet!$E$2:$E$3143, ISNUMBER(
Master_Mapping_Sheet!$E$2:$E$3143),
Master_Mapping_Sheet!$B$2:$B$3143=$A30)))"),1.0)</f>
        <v>1</v>
      </c>
    </row>
    <row r="31" ht="15.75" customHeight="1">
      <c r="A31" s="34" t="s">
        <v>1251</v>
      </c>
      <c r="B31" s="34" t="s">
        <v>3123</v>
      </c>
      <c r="C31" s="34">
        <f>IFERROR(__xludf.DUMMYFUNCTION("IF(ISNA(sum(filter(
Master_Mapping_Sheet!$E$2:$E$3143, ISNUMBER(
Master_Mapping_Sheet!$E$2:$E$3143),
Master_Mapping_Sheet!$H$2:$H$3143=C$1,
Master_Mapping_Sheet!$B$2:$B$3143=$A31))/sum(filter(
Master_Mapping_Sheet!$E$2:$E$3143, ISNUMBER(
Master_Mapping_Sh"&amp;"eet!$E$2:$E$3143),
Master_Mapping_Sheet!$B$2:$B$3143=$A31))), 0, sum(filter(
Master_Mapping_Sheet!$E$2:$E$3143, ISNUMBER(
Master_Mapping_Sheet!$E$2:$E$3143),
Master_Mapping_Sheet!$H$2:$H$3143=C$1,
Master_Mapping_Sheet!$B$2:$B$3143=$A31))/sum(filter(
Maste"&amp;"r_Mapping_Sheet!$E$2:$E$3143, ISNUMBER(
Master_Mapping_Sheet!$E$2:$E$3143),
Master_Mapping_Sheet!$B$2:$B$3143=$A31)))"),0.0)</f>
        <v>0</v>
      </c>
      <c r="D31" s="32">
        <f>IFERROR(__xludf.DUMMYFUNCTION("IF(ISNA(sum(filter(
Master_Mapping_Sheet!$E$2:$E$3143, ISNUMBER(
Master_Mapping_Sheet!$E$2:$E$3143),
Master_Mapping_Sheet!$H$2:$H$3143=D$1,
Master_Mapping_Sheet!$B$2:$B$3143=$A31))/sum(filter(
Master_Mapping_Sheet!$E$2:$E$3143, ISNUMBER(
Master_Mapping_Sh"&amp;"eet!$E$2:$E$3143),
Master_Mapping_Sheet!$B$2:$B$3143=$A31))), 0, sum(filter(
Master_Mapping_Sheet!$E$2:$E$3143, ISNUMBER(
Master_Mapping_Sheet!$E$2:$E$3143),
Master_Mapping_Sheet!$H$2:$H$3143=D$1,
Master_Mapping_Sheet!$B$2:$B$3143=$A31))/sum(filter(
Maste"&amp;"r_Mapping_Sheet!$E$2:$E$3143, ISNUMBER(
Master_Mapping_Sheet!$E$2:$E$3143),
Master_Mapping_Sheet!$B$2:$B$3143=$A31)))"),0.0)</f>
        <v>0</v>
      </c>
      <c r="E31" s="34">
        <f>IFERROR(__xludf.DUMMYFUNCTION("IF(ISNA(sum(filter(
Master_Mapping_Sheet!$E$2:$E$3143, ISNUMBER(
Master_Mapping_Sheet!$E$2:$E$3143),
Master_Mapping_Sheet!$H$2:$H$3143=E$1,
Master_Mapping_Sheet!$B$2:$B$3143=$A31))/sum(filter(
Master_Mapping_Sheet!$E$2:$E$3143, ISNUMBER(
Master_Mapping_Sh"&amp;"eet!$E$2:$E$3143),
Master_Mapping_Sheet!$B$2:$B$3143=$A31))), 0, sum(filter(
Master_Mapping_Sheet!$E$2:$E$3143, ISNUMBER(
Master_Mapping_Sheet!$E$2:$E$3143),
Master_Mapping_Sheet!$H$2:$H$3143=E$1,
Master_Mapping_Sheet!$B$2:$B$3143=$A31))/sum(filter(
Maste"&amp;"r_Mapping_Sheet!$E$2:$E$3143, ISNUMBER(
Master_Mapping_Sheet!$E$2:$E$3143),
Master_Mapping_Sheet!$B$2:$B$3143=$A31)))"),0.0)</f>
        <v>0</v>
      </c>
      <c r="F31" s="34">
        <f>IFERROR(__xludf.DUMMYFUNCTION("IF(ISNA(sum(filter(
Master_Mapping_Sheet!$E$2:$E$3143, ISNUMBER(
Master_Mapping_Sheet!$E$2:$E$3143),
Master_Mapping_Sheet!$H$2:$H$3143=F$1,
Master_Mapping_Sheet!$B$2:$B$3143=$A31))/sum(filter(
Master_Mapping_Sheet!$E$2:$E$3143, ISNUMBER(
Master_Mapping_Sh"&amp;"eet!$E$2:$E$3143),
Master_Mapping_Sheet!$B$2:$B$3143=$A31))), 0, sum(filter(
Master_Mapping_Sheet!$E$2:$E$3143, ISNUMBER(
Master_Mapping_Sheet!$E$2:$E$3143),
Master_Mapping_Sheet!$H$2:$H$3143=F$1,
Master_Mapping_Sheet!$B$2:$B$3143=$A31))/sum(filter(
Maste"&amp;"r_Mapping_Sheet!$E$2:$E$3143, ISNUMBER(
Master_Mapping_Sheet!$E$2:$E$3143),
Master_Mapping_Sheet!$B$2:$B$3143=$A31)))"),0.0)</f>
        <v>0</v>
      </c>
      <c r="G31" s="34">
        <f>IFERROR(__xludf.DUMMYFUNCTION("IF(ISNA(sum(filter(
Master_Mapping_Sheet!$E$2:$E$3143, ISNUMBER(
Master_Mapping_Sheet!$E$2:$E$3143),
Master_Mapping_Sheet!$H$2:$H$3143=G$1,
Master_Mapping_Sheet!$B$2:$B$3143=$A31))/sum(filter(
Master_Mapping_Sheet!$E$2:$E$3143, ISNUMBER(
Master_Mapping_Sh"&amp;"eet!$E$2:$E$3143),
Master_Mapping_Sheet!$B$2:$B$3143=$A31))), 0, sum(filter(
Master_Mapping_Sheet!$E$2:$E$3143, ISNUMBER(
Master_Mapping_Sheet!$E$2:$E$3143),
Master_Mapping_Sheet!$H$2:$H$3143=G$1,
Master_Mapping_Sheet!$B$2:$B$3143=$A31))/sum(filter(
Maste"&amp;"r_Mapping_Sheet!$E$2:$E$3143, ISNUMBER(
Master_Mapping_Sheet!$E$2:$E$3143),
Master_Mapping_Sheet!$B$2:$B$3143=$A31)))"),0.0)</f>
        <v>0</v>
      </c>
      <c r="H31" s="34">
        <f>IFERROR(__xludf.DUMMYFUNCTION("IF(ISNA(sum(filter(
Master_Mapping_Sheet!$E$2:$E$3143, ISNUMBER(
Master_Mapping_Sheet!$E$2:$E$3143),
Master_Mapping_Sheet!$H$2:$H$3143=H$1,
Master_Mapping_Sheet!$B$2:$B$3143=$A31))/sum(filter(
Master_Mapping_Sheet!$E$2:$E$3143, ISNUMBER(
Master_Mapping_Sh"&amp;"eet!$E$2:$E$3143),
Master_Mapping_Sheet!$B$2:$B$3143=$A31))), 0, sum(filter(
Master_Mapping_Sheet!$E$2:$E$3143, ISNUMBER(
Master_Mapping_Sheet!$E$2:$E$3143),
Master_Mapping_Sheet!$H$2:$H$3143=H$1,
Master_Mapping_Sheet!$B$2:$B$3143=$A31))/sum(filter(
Maste"&amp;"r_Mapping_Sheet!$E$2:$E$3143, ISNUMBER(
Master_Mapping_Sheet!$E$2:$E$3143),
Master_Mapping_Sheet!$B$2:$B$3143=$A31)))"),0.0)</f>
        <v>0</v>
      </c>
      <c r="I31" s="34">
        <f>IFERROR(__xludf.DUMMYFUNCTION("IF(ISNA(sum(filter(
Master_Mapping_Sheet!$E$2:$E$3143, ISNUMBER(
Master_Mapping_Sheet!$E$2:$E$3143),
Master_Mapping_Sheet!$H$2:$H$3143=I$1,
Master_Mapping_Sheet!$B$2:$B$3143=$A31))/sum(filter(
Master_Mapping_Sheet!$E$2:$E$3143, ISNUMBER(
Master_Mapping_Sh"&amp;"eet!$E$2:$E$3143),
Master_Mapping_Sheet!$B$2:$B$3143=$A31))), 0, sum(filter(
Master_Mapping_Sheet!$E$2:$E$3143, ISNUMBER(
Master_Mapping_Sheet!$E$2:$E$3143),
Master_Mapping_Sheet!$H$2:$H$3143=I$1,
Master_Mapping_Sheet!$B$2:$B$3143=$A31))/sum(filter(
Maste"&amp;"r_Mapping_Sheet!$E$2:$E$3143, ISNUMBER(
Master_Mapping_Sheet!$E$2:$E$3143),
Master_Mapping_Sheet!$B$2:$B$3143=$A31)))"),1.0)</f>
        <v>1</v>
      </c>
      <c r="J31" s="34">
        <f>IFERROR(__xludf.DUMMYFUNCTION("IF(ISNA(sum(filter(
Master_Mapping_Sheet!$E$2:$E$3143, ISNUMBER(
Master_Mapping_Sheet!$E$2:$E$3143),
Master_Mapping_Sheet!$H$2:$H$3143=J$1,
Master_Mapping_Sheet!$B$2:$B$3143=$A31))/sum(filter(
Master_Mapping_Sheet!$E$2:$E$3143, ISNUMBER(
Master_Mapping_Sh"&amp;"eet!$E$2:$E$3143),
Master_Mapping_Sheet!$B$2:$B$3143=$A31))), 0, sum(filter(
Master_Mapping_Sheet!$E$2:$E$3143, ISNUMBER(
Master_Mapping_Sheet!$E$2:$E$3143),
Master_Mapping_Sheet!$H$2:$H$3143=J$1,
Master_Mapping_Sheet!$B$2:$B$3143=$A31))/sum(filter(
Maste"&amp;"r_Mapping_Sheet!$E$2:$E$3143, ISNUMBER(
Master_Mapping_Sheet!$E$2:$E$3143),
Master_Mapping_Sheet!$B$2:$B$3143=$A31)))"),0.0)</f>
        <v>0</v>
      </c>
      <c r="K31" s="34">
        <f>IFERROR(__xludf.DUMMYFUNCTION("IF(ISNA(sum(filter(
Master_Mapping_Sheet!$E$2:$E$3143, ISNUMBER(
Master_Mapping_Sheet!$E$2:$E$3143),
Master_Mapping_Sheet!$H$2:$H$3143=K$1,
Master_Mapping_Sheet!$B$2:$B$3143=$A31))/sum(filter(
Master_Mapping_Sheet!$E$2:$E$3143, ISNUMBER(
Master_Mapping_Sh"&amp;"eet!$E$2:$E$3143),
Master_Mapping_Sheet!$B$2:$B$3143=$A31))), 0, sum(filter(
Master_Mapping_Sheet!$E$2:$E$3143, ISNUMBER(
Master_Mapping_Sheet!$E$2:$E$3143),
Master_Mapping_Sheet!$H$2:$H$3143=K$1,
Master_Mapping_Sheet!$B$2:$B$3143=$A31))/sum(filter(
Maste"&amp;"r_Mapping_Sheet!$E$2:$E$3143, ISNUMBER(
Master_Mapping_Sheet!$E$2:$E$3143),
Master_Mapping_Sheet!$B$2:$B$3143=$A31)))"),0.0)</f>
        <v>0</v>
      </c>
      <c r="L31" s="34">
        <f>IFERROR(__xludf.DUMMYFUNCTION("IF(ISNA(sum(filter(
Master_Mapping_Sheet!$E$2:$E$3143, ISNUMBER(
Master_Mapping_Sheet!$E$2:$E$3143),
Master_Mapping_Sheet!$H$2:$H$3143=L$1,
Master_Mapping_Sheet!$B$2:$B$3143=$A31))/sum(filter(
Master_Mapping_Sheet!$E$2:$E$3143, ISNUMBER(
Master_Mapping_Sh"&amp;"eet!$E$2:$E$3143),
Master_Mapping_Sheet!$B$2:$B$3143=$A31))), 0, sum(filter(
Master_Mapping_Sheet!$E$2:$E$3143, ISNUMBER(
Master_Mapping_Sheet!$E$2:$E$3143),
Master_Mapping_Sheet!$H$2:$H$3143=L$1,
Master_Mapping_Sheet!$B$2:$B$3143=$A31))/sum(filter(
Maste"&amp;"r_Mapping_Sheet!$E$2:$E$3143, ISNUMBER(
Master_Mapping_Sheet!$E$2:$E$3143),
Master_Mapping_Sheet!$B$2:$B$3143=$A31)))"),0.0)</f>
        <v>0</v>
      </c>
      <c r="M31" s="34">
        <f>IFERROR(__xludf.DUMMYFUNCTION("IF(ISNA(sum(filter(
Master_Mapping_Sheet!$E$2:$E$3143, ISNUMBER(
Master_Mapping_Sheet!$E$2:$E$3143),
Master_Mapping_Sheet!$H$2:$H$3143=M$1,
Master_Mapping_Sheet!$B$2:$B$3143=$A31))/sum(filter(
Master_Mapping_Sheet!$E$2:$E$3143, ISNUMBER(
Master_Mapping_Sh"&amp;"eet!$E$2:$E$3143),
Master_Mapping_Sheet!$B$2:$B$3143=$A31))), 0, sum(filter(
Master_Mapping_Sheet!$E$2:$E$3143, ISNUMBER(
Master_Mapping_Sheet!$E$2:$E$3143),
Master_Mapping_Sheet!$H$2:$H$3143=M$1,
Master_Mapping_Sheet!$B$2:$B$3143=$A31))/sum(filter(
Maste"&amp;"r_Mapping_Sheet!$E$2:$E$3143, ISNUMBER(
Master_Mapping_Sheet!$E$2:$E$3143),
Master_Mapping_Sheet!$B$2:$B$3143=$A31)))"),0.0)</f>
        <v>0</v>
      </c>
      <c r="N31" s="34">
        <f>IFERROR(__xludf.DUMMYFUNCTION("IF(ISNA(sum(filter(
Master_Mapping_Sheet!$E$2:$E$3143, ISNUMBER(
Master_Mapping_Sheet!$E$2:$E$3143),
Master_Mapping_Sheet!$H$2:$H$3143=N$1,
Master_Mapping_Sheet!$B$2:$B$3143=$A31))/sum(filter(
Master_Mapping_Sheet!$E$2:$E$3143, ISNUMBER(
Master_Mapping_Sh"&amp;"eet!$E$2:$E$3143),
Master_Mapping_Sheet!$B$2:$B$3143=$A31))), 0, sum(filter(
Master_Mapping_Sheet!$E$2:$E$3143, ISNUMBER(
Master_Mapping_Sheet!$E$2:$E$3143),
Master_Mapping_Sheet!$H$2:$H$3143=N$1,
Master_Mapping_Sheet!$B$2:$B$3143=$A31))/sum(filter(
Maste"&amp;"r_Mapping_Sheet!$E$2:$E$3143, ISNUMBER(
Master_Mapping_Sheet!$E$2:$E$3143),
Master_Mapping_Sheet!$B$2:$B$3143=$A31)))"),0.0)</f>
        <v>0</v>
      </c>
      <c r="O31" s="34">
        <f>IFERROR(__xludf.DUMMYFUNCTION("IF(ISNA(sum(filter(
Master_Mapping_Sheet!$E$2:$E$3143, ISNUMBER(
Master_Mapping_Sheet!$E$2:$E$3143),
Master_Mapping_Sheet!$H$2:$H$3143=O$1,
Master_Mapping_Sheet!$B$2:$B$3143=$A31))/sum(filter(
Master_Mapping_Sheet!$E$2:$E$3143, ISNUMBER(
Master_Mapping_Sh"&amp;"eet!$E$2:$E$3143),
Master_Mapping_Sheet!$B$2:$B$3143=$A31))), 0, sum(filter(
Master_Mapping_Sheet!$E$2:$E$3143, ISNUMBER(
Master_Mapping_Sheet!$E$2:$E$3143),
Master_Mapping_Sheet!$H$2:$H$3143=O$1,
Master_Mapping_Sheet!$B$2:$B$3143=$A31))/sum(filter(
Maste"&amp;"r_Mapping_Sheet!$E$2:$E$3143, ISNUMBER(
Master_Mapping_Sheet!$E$2:$E$3143),
Master_Mapping_Sheet!$B$2:$B$3143=$A31)))"),0.0)</f>
        <v>0</v>
      </c>
      <c r="P31" s="34">
        <f>IFERROR(__xludf.DUMMYFUNCTION("IF(ISNA(sum(filter(
Master_Mapping_Sheet!$E$2:$E$3143, ISNUMBER(
Master_Mapping_Sheet!$E$2:$E$3143),
Master_Mapping_Sheet!$H$2:$H$3143=P$1,
Master_Mapping_Sheet!$B$2:$B$3143=$A31))/sum(filter(
Master_Mapping_Sheet!$E$2:$E$3143, ISNUMBER(
Master_Mapping_Sh"&amp;"eet!$E$2:$E$3143),
Master_Mapping_Sheet!$B$2:$B$3143=$A31))), 0, sum(filter(
Master_Mapping_Sheet!$E$2:$E$3143, ISNUMBER(
Master_Mapping_Sheet!$E$2:$E$3143),
Master_Mapping_Sheet!$H$2:$H$3143=P$1,
Master_Mapping_Sheet!$B$2:$B$3143=$A31))/sum(filter(
Maste"&amp;"r_Mapping_Sheet!$E$2:$E$3143, ISNUMBER(
Master_Mapping_Sheet!$E$2:$E$3143),
Master_Mapping_Sheet!$B$2:$B$3143=$A31)))"),0.0)</f>
        <v>0</v>
      </c>
      <c r="Q31" s="34">
        <f>IFERROR(__xludf.DUMMYFUNCTION("IF(ISNA(sum(filter(
Master_Mapping_Sheet!$E$2:$E$3143, ISNUMBER(
Master_Mapping_Sheet!$E$2:$E$3143),
Master_Mapping_Sheet!$H$2:$H$3143=Q$1,
Master_Mapping_Sheet!$B$2:$B$3143=$A31))/sum(filter(
Master_Mapping_Sheet!$E$2:$E$3143, ISNUMBER(
Master_Mapping_Sh"&amp;"eet!$E$2:$E$3143),
Master_Mapping_Sheet!$B$2:$B$3143=$A31))), 0, sum(filter(
Master_Mapping_Sheet!$E$2:$E$3143, ISNUMBER(
Master_Mapping_Sheet!$E$2:$E$3143),
Master_Mapping_Sheet!$H$2:$H$3143=Q$1,
Master_Mapping_Sheet!$B$2:$B$3143=$A31))/sum(filter(
Maste"&amp;"r_Mapping_Sheet!$E$2:$E$3143, ISNUMBER(
Master_Mapping_Sheet!$E$2:$E$3143),
Master_Mapping_Sheet!$B$2:$B$3143=$A31)))"),0.0)</f>
        <v>0</v>
      </c>
      <c r="R31" s="34">
        <f>IFERROR(__xludf.DUMMYFUNCTION("IF(ISNA(sum(filter(
Master_Mapping_Sheet!$E$2:$E$3143, ISNUMBER(
Master_Mapping_Sheet!$E$2:$E$3143),
Master_Mapping_Sheet!$H$2:$H$3143=R$1,
Master_Mapping_Sheet!$B$2:$B$3143=$A31))/sum(filter(
Master_Mapping_Sheet!$E$2:$E$3143, ISNUMBER(
Master_Mapping_Sh"&amp;"eet!$E$2:$E$3143),
Master_Mapping_Sheet!$B$2:$B$3143=$A31))), 0, sum(filter(
Master_Mapping_Sheet!$E$2:$E$3143, ISNUMBER(
Master_Mapping_Sheet!$E$2:$E$3143),
Master_Mapping_Sheet!$H$2:$H$3143=R$1,
Master_Mapping_Sheet!$B$2:$B$3143=$A31))/sum(filter(
Maste"&amp;"r_Mapping_Sheet!$E$2:$E$3143, ISNUMBER(
Master_Mapping_Sheet!$E$2:$E$3143),
Master_Mapping_Sheet!$B$2:$B$3143=$A31)))"),0.0)</f>
        <v>0</v>
      </c>
      <c r="S31" s="34">
        <f>IFERROR(__xludf.DUMMYFUNCTION("IF(ISNA(sum(filter(
Master_Mapping_Sheet!$E$2:$E$3143, ISNUMBER(
Master_Mapping_Sheet!$E$2:$E$3143),
Master_Mapping_Sheet!$H$2:$H$3143=S$1,
Master_Mapping_Sheet!$B$2:$B$3143=$A31))/sum(filter(
Master_Mapping_Sheet!$E$2:$E$3143, ISNUMBER(
Master_Mapping_Sh"&amp;"eet!$E$2:$E$3143),
Master_Mapping_Sheet!$B$2:$B$3143=$A31))), 0, sum(filter(
Master_Mapping_Sheet!$E$2:$E$3143, ISNUMBER(
Master_Mapping_Sheet!$E$2:$E$3143),
Master_Mapping_Sheet!$H$2:$H$3143=S$1,
Master_Mapping_Sheet!$B$2:$B$3143=$A31))/sum(filter(
Maste"&amp;"r_Mapping_Sheet!$E$2:$E$3143, ISNUMBER(
Master_Mapping_Sheet!$E$2:$E$3143),
Master_Mapping_Sheet!$B$2:$B$3143=$A31)))"),0.0)</f>
        <v>0</v>
      </c>
      <c r="T31" s="34">
        <f>IFERROR(__xludf.DUMMYFUNCTION("IF(ISNA(sum(filter(
Master_Mapping_Sheet!$E$2:$E$3143, ISNUMBER(
Master_Mapping_Sheet!$E$2:$E$3143),
Master_Mapping_Sheet!$H$2:$H$3143=T$1,
Master_Mapping_Sheet!$B$2:$B$3143=$A31))/sum(filter(
Master_Mapping_Sheet!$E$2:$E$3143, ISNUMBER(
Master_Mapping_Sh"&amp;"eet!$E$2:$E$3143),
Master_Mapping_Sheet!$B$2:$B$3143=$A31))), 0, sum(filter(
Master_Mapping_Sheet!$E$2:$E$3143, ISNUMBER(
Master_Mapping_Sheet!$E$2:$E$3143),
Master_Mapping_Sheet!$H$2:$H$3143=T$1,
Master_Mapping_Sheet!$B$2:$B$3143=$A31))/sum(filter(
Maste"&amp;"r_Mapping_Sheet!$E$2:$E$3143, ISNUMBER(
Master_Mapping_Sheet!$E$2:$E$3143),
Master_Mapping_Sheet!$B$2:$B$3143=$A31)))"),0.0)</f>
        <v>0</v>
      </c>
      <c r="U31" s="34">
        <f>IFERROR(__xludf.DUMMYFUNCTION("IF(ISNA(sum(filter(
Master_Mapping_Sheet!$E$2:$E$3143, ISNUMBER(
Master_Mapping_Sheet!$E$2:$E$3143),
Master_Mapping_Sheet!$H$2:$H$3143=U$1,
Master_Mapping_Sheet!$B$2:$B$3143=$A31))/sum(filter(
Master_Mapping_Sheet!$E$2:$E$3143, ISNUMBER(
Master_Mapping_Sh"&amp;"eet!$E$2:$E$3143),
Master_Mapping_Sheet!$B$2:$B$3143=$A31))), 0, sum(filter(
Master_Mapping_Sheet!$E$2:$E$3143, ISNUMBER(
Master_Mapping_Sheet!$E$2:$E$3143),
Master_Mapping_Sheet!$H$2:$H$3143=U$1,
Master_Mapping_Sheet!$B$2:$B$3143=$A31))/sum(filter(
Maste"&amp;"r_Mapping_Sheet!$E$2:$E$3143, ISNUMBER(
Master_Mapping_Sheet!$E$2:$E$3143),
Master_Mapping_Sheet!$B$2:$B$3143=$A31)))"),0.0)</f>
        <v>0</v>
      </c>
      <c r="V31" s="34">
        <f>IFERROR(__xludf.DUMMYFUNCTION("IF(ISNA(sum(filter(
Master_Mapping_Sheet!$E$2:$E$3143, ISNUMBER(
Master_Mapping_Sheet!$E$2:$E$3143),
Master_Mapping_Sheet!$H$2:$H$3143=V$1,
Master_Mapping_Sheet!$B$2:$B$3143=$A31))/sum(filter(
Master_Mapping_Sheet!$E$2:$E$3143, ISNUMBER(
Master_Mapping_Sh"&amp;"eet!$E$2:$E$3143),
Master_Mapping_Sheet!$B$2:$B$3143=$A31))), 0, sum(filter(
Master_Mapping_Sheet!$E$2:$E$3143, ISNUMBER(
Master_Mapping_Sheet!$E$2:$E$3143),
Master_Mapping_Sheet!$H$2:$H$3143=V$1,
Master_Mapping_Sheet!$B$2:$B$3143=$A31))/sum(filter(
Maste"&amp;"r_Mapping_Sheet!$E$2:$E$3143, ISNUMBER(
Master_Mapping_Sheet!$E$2:$E$3143),
Master_Mapping_Sheet!$B$2:$B$3143=$A31)))"),0.0)</f>
        <v>0</v>
      </c>
      <c r="W31" s="34">
        <f>IFERROR(__xludf.DUMMYFUNCTION("IF(ISNA(sum(filter(
Master_Mapping_Sheet!$E$2:$E$3143, ISNUMBER(
Master_Mapping_Sheet!$E$2:$E$3143),
Master_Mapping_Sheet!$H$2:$H$3143=W$1,
Master_Mapping_Sheet!$B$2:$B$3143=$A31))/sum(filter(
Master_Mapping_Sheet!$E$2:$E$3143, ISNUMBER(
Master_Mapping_Sh"&amp;"eet!$E$2:$E$3143),
Master_Mapping_Sheet!$B$2:$B$3143=$A31))), 0, sum(filter(
Master_Mapping_Sheet!$E$2:$E$3143, ISNUMBER(
Master_Mapping_Sheet!$E$2:$E$3143),
Master_Mapping_Sheet!$H$2:$H$3143=W$1,
Master_Mapping_Sheet!$B$2:$B$3143=$A31))/sum(filter(
Maste"&amp;"r_Mapping_Sheet!$E$2:$E$3143, ISNUMBER(
Master_Mapping_Sheet!$E$2:$E$3143),
Master_Mapping_Sheet!$B$2:$B$3143=$A31)))"),0.0)</f>
        <v>0</v>
      </c>
      <c r="X31" s="34">
        <f>IFERROR(__xludf.DUMMYFUNCTION("IF(ISNA(sum(filter(
Master_Mapping_Sheet!$E$2:$E$3143, ISNUMBER(
Master_Mapping_Sheet!$E$2:$E$3143),
Master_Mapping_Sheet!$H$2:$H$3143=X$1,
Master_Mapping_Sheet!$B$2:$B$3143=$A31))/sum(filter(
Master_Mapping_Sheet!$E$2:$E$3143, ISNUMBER(
Master_Mapping_Sh"&amp;"eet!$E$2:$E$3143),
Master_Mapping_Sheet!$B$2:$B$3143=$A31))), 0, sum(filter(
Master_Mapping_Sheet!$E$2:$E$3143, ISNUMBER(
Master_Mapping_Sheet!$E$2:$E$3143),
Master_Mapping_Sheet!$H$2:$H$3143=X$1,
Master_Mapping_Sheet!$B$2:$B$3143=$A31))/sum(filter(
Maste"&amp;"r_Mapping_Sheet!$E$2:$E$3143, ISNUMBER(
Master_Mapping_Sheet!$E$2:$E$3143),
Master_Mapping_Sheet!$B$2:$B$3143=$A31)))"),0.0)</f>
        <v>0</v>
      </c>
      <c r="Y31" s="34">
        <f>IFERROR(__xludf.DUMMYFUNCTION("IF(ISNA(sum(filter(
Master_Mapping_Sheet!$E$2:$E$3143, ISNUMBER(
Master_Mapping_Sheet!$E$2:$E$3143),
Master_Mapping_Sheet!$H$2:$H$3143=Y$1,
Master_Mapping_Sheet!$B$2:$B$3143=$A31))/sum(filter(
Master_Mapping_Sheet!$E$2:$E$3143, ISNUMBER(
Master_Mapping_Sh"&amp;"eet!$E$2:$E$3143),
Master_Mapping_Sheet!$B$2:$B$3143=$A31))), 0, sum(filter(
Master_Mapping_Sheet!$E$2:$E$3143, ISNUMBER(
Master_Mapping_Sheet!$E$2:$E$3143),
Master_Mapping_Sheet!$H$2:$H$3143=Y$1,
Master_Mapping_Sheet!$B$2:$B$3143=$A31))/sum(filter(
Maste"&amp;"r_Mapping_Sheet!$E$2:$E$3143, ISNUMBER(
Master_Mapping_Sheet!$E$2:$E$3143),
Master_Mapping_Sheet!$B$2:$B$3143=$A31)))"),0.0)</f>
        <v>0</v>
      </c>
      <c r="Z31" s="34">
        <f>IFERROR(__xludf.DUMMYFUNCTION("IF(ISNA(sum(filter(
Master_Mapping_Sheet!$E$2:$E$3143, ISNUMBER(
Master_Mapping_Sheet!$E$2:$E$3143),
Master_Mapping_Sheet!$H$2:$H$3143=Z$1,
Master_Mapping_Sheet!$B$2:$B$3143=$A31))/sum(filter(
Master_Mapping_Sheet!$E$2:$E$3143, ISNUMBER(
Master_Mapping_Sh"&amp;"eet!$E$2:$E$3143),
Master_Mapping_Sheet!$B$2:$B$3143=$A31))), 0, sum(filter(
Master_Mapping_Sheet!$E$2:$E$3143, ISNUMBER(
Master_Mapping_Sheet!$E$2:$E$3143),
Master_Mapping_Sheet!$H$2:$H$3143=Z$1,
Master_Mapping_Sheet!$B$2:$B$3143=$A31))/sum(filter(
Maste"&amp;"r_Mapping_Sheet!$E$2:$E$3143, ISNUMBER(
Master_Mapping_Sheet!$E$2:$E$3143),
Master_Mapping_Sheet!$B$2:$B$3143=$A31)))"),0.0)</f>
        <v>0</v>
      </c>
      <c r="AA31" s="34">
        <f>IFERROR(__xludf.DUMMYFUNCTION("IF(ISNA(sum(filter(
Master_Mapping_Sheet!$E$2:$E$3143, ISNUMBER(
Master_Mapping_Sheet!$E$2:$E$3143),
Master_Mapping_Sheet!$H$2:$H$3143=AA$1,
Master_Mapping_Sheet!$B$2:$B$3143=$A31))/sum(filter(
Master_Mapping_Sheet!$E$2:$E$3143, ISNUMBER(
Master_Mapping_S"&amp;"heet!$E$2:$E$3143),
Master_Mapping_Sheet!$B$2:$B$3143=$A31))), 0, sum(filter(
Master_Mapping_Sheet!$E$2:$E$3143, ISNUMBER(
Master_Mapping_Sheet!$E$2:$E$3143),
Master_Mapping_Sheet!$H$2:$H$3143=AA$1,
Master_Mapping_Sheet!$B$2:$B$3143=$A31))/sum(filter(
Mas"&amp;"ter_Mapping_Sheet!$E$2:$E$3143, ISNUMBER(
Master_Mapping_Sheet!$E$2:$E$3143),
Master_Mapping_Sheet!$B$2:$B$3143=$A31)))"),0.0)</f>
        <v>0</v>
      </c>
    </row>
    <row r="32" ht="15.75" customHeight="1">
      <c r="A32" s="34" t="s">
        <v>1259</v>
      </c>
      <c r="B32" s="34" t="s">
        <v>3131</v>
      </c>
      <c r="C32" s="34">
        <f>IFERROR(__xludf.DUMMYFUNCTION("IF(ISNA(sum(filter(
Master_Mapping_Sheet!$E$2:$E$3143, ISNUMBER(
Master_Mapping_Sheet!$E$2:$E$3143),
Master_Mapping_Sheet!$H$2:$H$3143=C$1,
Master_Mapping_Sheet!$B$2:$B$3143=$A32))/sum(filter(
Master_Mapping_Sheet!$E$2:$E$3143, ISNUMBER(
Master_Mapping_Sh"&amp;"eet!$E$2:$E$3143),
Master_Mapping_Sheet!$B$2:$B$3143=$A32))), 0, sum(filter(
Master_Mapping_Sheet!$E$2:$E$3143, ISNUMBER(
Master_Mapping_Sheet!$E$2:$E$3143),
Master_Mapping_Sheet!$H$2:$H$3143=C$1,
Master_Mapping_Sheet!$B$2:$B$3143=$A32))/sum(filter(
Maste"&amp;"r_Mapping_Sheet!$E$2:$E$3143, ISNUMBER(
Master_Mapping_Sheet!$E$2:$E$3143),
Master_Mapping_Sheet!$B$2:$B$3143=$A32)))"),0.0)</f>
        <v>0</v>
      </c>
      <c r="D32" s="32">
        <f>IFERROR(__xludf.DUMMYFUNCTION("IF(ISNA(sum(filter(
Master_Mapping_Sheet!$E$2:$E$3143, ISNUMBER(
Master_Mapping_Sheet!$E$2:$E$3143),
Master_Mapping_Sheet!$H$2:$H$3143=D$1,
Master_Mapping_Sheet!$B$2:$B$3143=$A32))/sum(filter(
Master_Mapping_Sheet!$E$2:$E$3143, ISNUMBER(
Master_Mapping_Sh"&amp;"eet!$E$2:$E$3143),
Master_Mapping_Sheet!$B$2:$B$3143=$A32))), 0, sum(filter(
Master_Mapping_Sheet!$E$2:$E$3143, ISNUMBER(
Master_Mapping_Sheet!$E$2:$E$3143),
Master_Mapping_Sheet!$H$2:$H$3143=D$1,
Master_Mapping_Sheet!$B$2:$B$3143=$A32))/sum(filter(
Maste"&amp;"r_Mapping_Sheet!$E$2:$E$3143, ISNUMBER(
Master_Mapping_Sheet!$E$2:$E$3143),
Master_Mapping_Sheet!$B$2:$B$3143=$A32)))"),0.0)</f>
        <v>0</v>
      </c>
      <c r="E32" s="34">
        <f>IFERROR(__xludf.DUMMYFUNCTION("IF(ISNA(sum(filter(
Master_Mapping_Sheet!$E$2:$E$3143, ISNUMBER(
Master_Mapping_Sheet!$E$2:$E$3143),
Master_Mapping_Sheet!$H$2:$H$3143=E$1,
Master_Mapping_Sheet!$B$2:$B$3143=$A32))/sum(filter(
Master_Mapping_Sheet!$E$2:$E$3143, ISNUMBER(
Master_Mapping_Sh"&amp;"eet!$E$2:$E$3143),
Master_Mapping_Sheet!$B$2:$B$3143=$A32))), 0, sum(filter(
Master_Mapping_Sheet!$E$2:$E$3143, ISNUMBER(
Master_Mapping_Sheet!$E$2:$E$3143),
Master_Mapping_Sheet!$H$2:$H$3143=E$1,
Master_Mapping_Sheet!$B$2:$B$3143=$A32))/sum(filter(
Maste"&amp;"r_Mapping_Sheet!$E$2:$E$3143, ISNUMBER(
Master_Mapping_Sheet!$E$2:$E$3143),
Master_Mapping_Sheet!$B$2:$B$3143=$A32)))"),0.0)</f>
        <v>0</v>
      </c>
      <c r="F32" s="34">
        <f>IFERROR(__xludf.DUMMYFUNCTION("IF(ISNA(sum(filter(
Master_Mapping_Sheet!$E$2:$E$3143, ISNUMBER(
Master_Mapping_Sheet!$E$2:$E$3143),
Master_Mapping_Sheet!$H$2:$H$3143=F$1,
Master_Mapping_Sheet!$B$2:$B$3143=$A32))/sum(filter(
Master_Mapping_Sheet!$E$2:$E$3143, ISNUMBER(
Master_Mapping_Sh"&amp;"eet!$E$2:$E$3143),
Master_Mapping_Sheet!$B$2:$B$3143=$A32))), 0, sum(filter(
Master_Mapping_Sheet!$E$2:$E$3143, ISNUMBER(
Master_Mapping_Sheet!$E$2:$E$3143),
Master_Mapping_Sheet!$H$2:$H$3143=F$1,
Master_Mapping_Sheet!$B$2:$B$3143=$A32))/sum(filter(
Maste"&amp;"r_Mapping_Sheet!$E$2:$E$3143, ISNUMBER(
Master_Mapping_Sheet!$E$2:$E$3143),
Master_Mapping_Sheet!$B$2:$B$3143=$A32)))"),0.0)</f>
        <v>0</v>
      </c>
      <c r="G32" s="34">
        <f>IFERROR(__xludf.DUMMYFUNCTION("IF(ISNA(sum(filter(
Master_Mapping_Sheet!$E$2:$E$3143, ISNUMBER(
Master_Mapping_Sheet!$E$2:$E$3143),
Master_Mapping_Sheet!$H$2:$H$3143=G$1,
Master_Mapping_Sheet!$B$2:$B$3143=$A32))/sum(filter(
Master_Mapping_Sheet!$E$2:$E$3143, ISNUMBER(
Master_Mapping_Sh"&amp;"eet!$E$2:$E$3143),
Master_Mapping_Sheet!$B$2:$B$3143=$A32))), 0, sum(filter(
Master_Mapping_Sheet!$E$2:$E$3143, ISNUMBER(
Master_Mapping_Sheet!$E$2:$E$3143),
Master_Mapping_Sheet!$H$2:$H$3143=G$1,
Master_Mapping_Sheet!$B$2:$B$3143=$A32))/sum(filter(
Maste"&amp;"r_Mapping_Sheet!$E$2:$E$3143, ISNUMBER(
Master_Mapping_Sheet!$E$2:$E$3143),
Master_Mapping_Sheet!$B$2:$B$3143=$A32)))"),0.0)</f>
        <v>0</v>
      </c>
      <c r="H32" s="34">
        <f>IFERROR(__xludf.DUMMYFUNCTION("IF(ISNA(sum(filter(
Master_Mapping_Sheet!$E$2:$E$3143, ISNUMBER(
Master_Mapping_Sheet!$E$2:$E$3143),
Master_Mapping_Sheet!$H$2:$H$3143=H$1,
Master_Mapping_Sheet!$B$2:$B$3143=$A32))/sum(filter(
Master_Mapping_Sheet!$E$2:$E$3143, ISNUMBER(
Master_Mapping_Sh"&amp;"eet!$E$2:$E$3143),
Master_Mapping_Sheet!$B$2:$B$3143=$A32))), 0, sum(filter(
Master_Mapping_Sheet!$E$2:$E$3143, ISNUMBER(
Master_Mapping_Sheet!$E$2:$E$3143),
Master_Mapping_Sheet!$H$2:$H$3143=H$1,
Master_Mapping_Sheet!$B$2:$B$3143=$A32))/sum(filter(
Maste"&amp;"r_Mapping_Sheet!$E$2:$E$3143, ISNUMBER(
Master_Mapping_Sheet!$E$2:$E$3143),
Master_Mapping_Sheet!$B$2:$B$3143=$A32)))"),0.0)</f>
        <v>0</v>
      </c>
      <c r="I32" s="34">
        <f>IFERROR(__xludf.DUMMYFUNCTION("IF(ISNA(sum(filter(
Master_Mapping_Sheet!$E$2:$E$3143, ISNUMBER(
Master_Mapping_Sheet!$E$2:$E$3143),
Master_Mapping_Sheet!$H$2:$H$3143=I$1,
Master_Mapping_Sheet!$B$2:$B$3143=$A32))/sum(filter(
Master_Mapping_Sheet!$E$2:$E$3143, ISNUMBER(
Master_Mapping_Sh"&amp;"eet!$E$2:$E$3143),
Master_Mapping_Sheet!$B$2:$B$3143=$A32))), 0, sum(filter(
Master_Mapping_Sheet!$E$2:$E$3143, ISNUMBER(
Master_Mapping_Sheet!$E$2:$E$3143),
Master_Mapping_Sheet!$H$2:$H$3143=I$1,
Master_Mapping_Sheet!$B$2:$B$3143=$A32))/sum(filter(
Maste"&amp;"r_Mapping_Sheet!$E$2:$E$3143, ISNUMBER(
Master_Mapping_Sheet!$E$2:$E$3143),
Master_Mapping_Sheet!$B$2:$B$3143=$A32)))"),0.0)</f>
        <v>0</v>
      </c>
      <c r="J32" s="34">
        <f>IFERROR(__xludf.DUMMYFUNCTION("IF(ISNA(sum(filter(
Master_Mapping_Sheet!$E$2:$E$3143, ISNUMBER(
Master_Mapping_Sheet!$E$2:$E$3143),
Master_Mapping_Sheet!$H$2:$H$3143=J$1,
Master_Mapping_Sheet!$B$2:$B$3143=$A32))/sum(filter(
Master_Mapping_Sheet!$E$2:$E$3143, ISNUMBER(
Master_Mapping_Sh"&amp;"eet!$E$2:$E$3143),
Master_Mapping_Sheet!$B$2:$B$3143=$A32))), 0, sum(filter(
Master_Mapping_Sheet!$E$2:$E$3143, ISNUMBER(
Master_Mapping_Sheet!$E$2:$E$3143),
Master_Mapping_Sheet!$H$2:$H$3143=J$1,
Master_Mapping_Sheet!$B$2:$B$3143=$A32))/sum(filter(
Maste"&amp;"r_Mapping_Sheet!$E$2:$E$3143, ISNUMBER(
Master_Mapping_Sheet!$E$2:$E$3143),
Master_Mapping_Sheet!$B$2:$B$3143=$A32)))"),0.0)</f>
        <v>0</v>
      </c>
      <c r="K32" s="34">
        <f>IFERROR(__xludf.DUMMYFUNCTION("IF(ISNA(sum(filter(
Master_Mapping_Sheet!$E$2:$E$3143, ISNUMBER(
Master_Mapping_Sheet!$E$2:$E$3143),
Master_Mapping_Sheet!$H$2:$H$3143=K$1,
Master_Mapping_Sheet!$B$2:$B$3143=$A32))/sum(filter(
Master_Mapping_Sheet!$E$2:$E$3143, ISNUMBER(
Master_Mapping_Sh"&amp;"eet!$E$2:$E$3143),
Master_Mapping_Sheet!$B$2:$B$3143=$A32))), 0, sum(filter(
Master_Mapping_Sheet!$E$2:$E$3143, ISNUMBER(
Master_Mapping_Sheet!$E$2:$E$3143),
Master_Mapping_Sheet!$H$2:$H$3143=K$1,
Master_Mapping_Sheet!$B$2:$B$3143=$A32))/sum(filter(
Maste"&amp;"r_Mapping_Sheet!$E$2:$E$3143, ISNUMBER(
Master_Mapping_Sheet!$E$2:$E$3143),
Master_Mapping_Sheet!$B$2:$B$3143=$A32)))"),0.0)</f>
        <v>0</v>
      </c>
      <c r="L32" s="34">
        <f>IFERROR(__xludf.DUMMYFUNCTION("IF(ISNA(sum(filter(
Master_Mapping_Sheet!$E$2:$E$3143, ISNUMBER(
Master_Mapping_Sheet!$E$2:$E$3143),
Master_Mapping_Sheet!$H$2:$H$3143=L$1,
Master_Mapping_Sheet!$B$2:$B$3143=$A32))/sum(filter(
Master_Mapping_Sheet!$E$2:$E$3143, ISNUMBER(
Master_Mapping_Sh"&amp;"eet!$E$2:$E$3143),
Master_Mapping_Sheet!$B$2:$B$3143=$A32))), 0, sum(filter(
Master_Mapping_Sheet!$E$2:$E$3143, ISNUMBER(
Master_Mapping_Sheet!$E$2:$E$3143),
Master_Mapping_Sheet!$H$2:$H$3143=L$1,
Master_Mapping_Sheet!$B$2:$B$3143=$A32))/sum(filter(
Maste"&amp;"r_Mapping_Sheet!$E$2:$E$3143, ISNUMBER(
Master_Mapping_Sheet!$E$2:$E$3143),
Master_Mapping_Sheet!$B$2:$B$3143=$A32)))"),1.0)</f>
        <v>1</v>
      </c>
      <c r="M32" s="34">
        <f>IFERROR(__xludf.DUMMYFUNCTION("IF(ISNA(sum(filter(
Master_Mapping_Sheet!$E$2:$E$3143, ISNUMBER(
Master_Mapping_Sheet!$E$2:$E$3143),
Master_Mapping_Sheet!$H$2:$H$3143=M$1,
Master_Mapping_Sheet!$B$2:$B$3143=$A32))/sum(filter(
Master_Mapping_Sheet!$E$2:$E$3143, ISNUMBER(
Master_Mapping_Sh"&amp;"eet!$E$2:$E$3143),
Master_Mapping_Sheet!$B$2:$B$3143=$A32))), 0, sum(filter(
Master_Mapping_Sheet!$E$2:$E$3143, ISNUMBER(
Master_Mapping_Sheet!$E$2:$E$3143),
Master_Mapping_Sheet!$H$2:$H$3143=M$1,
Master_Mapping_Sheet!$B$2:$B$3143=$A32))/sum(filter(
Maste"&amp;"r_Mapping_Sheet!$E$2:$E$3143, ISNUMBER(
Master_Mapping_Sheet!$E$2:$E$3143),
Master_Mapping_Sheet!$B$2:$B$3143=$A32)))"),0.0)</f>
        <v>0</v>
      </c>
      <c r="N32" s="34">
        <f>IFERROR(__xludf.DUMMYFUNCTION("IF(ISNA(sum(filter(
Master_Mapping_Sheet!$E$2:$E$3143, ISNUMBER(
Master_Mapping_Sheet!$E$2:$E$3143),
Master_Mapping_Sheet!$H$2:$H$3143=N$1,
Master_Mapping_Sheet!$B$2:$B$3143=$A32))/sum(filter(
Master_Mapping_Sheet!$E$2:$E$3143, ISNUMBER(
Master_Mapping_Sh"&amp;"eet!$E$2:$E$3143),
Master_Mapping_Sheet!$B$2:$B$3143=$A32))), 0, sum(filter(
Master_Mapping_Sheet!$E$2:$E$3143, ISNUMBER(
Master_Mapping_Sheet!$E$2:$E$3143),
Master_Mapping_Sheet!$H$2:$H$3143=N$1,
Master_Mapping_Sheet!$B$2:$B$3143=$A32))/sum(filter(
Maste"&amp;"r_Mapping_Sheet!$E$2:$E$3143, ISNUMBER(
Master_Mapping_Sheet!$E$2:$E$3143),
Master_Mapping_Sheet!$B$2:$B$3143=$A32)))"),0.0)</f>
        <v>0</v>
      </c>
      <c r="O32" s="34">
        <f>IFERROR(__xludf.DUMMYFUNCTION("IF(ISNA(sum(filter(
Master_Mapping_Sheet!$E$2:$E$3143, ISNUMBER(
Master_Mapping_Sheet!$E$2:$E$3143),
Master_Mapping_Sheet!$H$2:$H$3143=O$1,
Master_Mapping_Sheet!$B$2:$B$3143=$A32))/sum(filter(
Master_Mapping_Sheet!$E$2:$E$3143, ISNUMBER(
Master_Mapping_Sh"&amp;"eet!$E$2:$E$3143),
Master_Mapping_Sheet!$B$2:$B$3143=$A32))), 0, sum(filter(
Master_Mapping_Sheet!$E$2:$E$3143, ISNUMBER(
Master_Mapping_Sheet!$E$2:$E$3143),
Master_Mapping_Sheet!$H$2:$H$3143=O$1,
Master_Mapping_Sheet!$B$2:$B$3143=$A32))/sum(filter(
Maste"&amp;"r_Mapping_Sheet!$E$2:$E$3143, ISNUMBER(
Master_Mapping_Sheet!$E$2:$E$3143),
Master_Mapping_Sheet!$B$2:$B$3143=$A32)))"),0.0)</f>
        <v>0</v>
      </c>
      <c r="P32" s="34">
        <f>IFERROR(__xludf.DUMMYFUNCTION("IF(ISNA(sum(filter(
Master_Mapping_Sheet!$E$2:$E$3143, ISNUMBER(
Master_Mapping_Sheet!$E$2:$E$3143),
Master_Mapping_Sheet!$H$2:$H$3143=P$1,
Master_Mapping_Sheet!$B$2:$B$3143=$A32))/sum(filter(
Master_Mapping_Sheet!$E$2:$E$3143, ISNUMBER(
Master_Mapping_Sh"&amp;"eet!$E$2:$E$3143),
Master_Mapping_Sheet!$B$2:$B$3143=$A32))), 0, sum(filter(
Master_Mapping_Sheet!$E$2:$E$3143, ISNUMBER(
Master_Mapping_Sheet!$E$2:$E$3143),
Master_Mapping_Sheet!$H$2:$H$3143=P$1,
Master_Mapping_Sheet!$B$2:$B$3143=$A32))/sum(filter(
Maste"&amp;"r_Mapping_Sheet!$E$2:$E$3143, ISNUMBER(
Master_Mapping_Sheet!$E$2:$E$3143),
Master_Mapping_Sheet!$B$2:$B$3143=$A32)))"),0.0)</f>
        <v>0</v>
      </c>
      <c r="Q32" s="34">
        <f>IFERROR(__xludf.DUMMYFUNCTION("IF(ISNA(sum(filter(
Master_Mapping_Sheet!$E$2:$E$3143, ISNUMBER(
Master_Mapping_Sheet!$E$2:$E$3143),
Master_Mapping_Sheet!$H$2:$H$3143=Q$1,
Master_Mapping_Sheet!$B$2:$B$3143=$A32))/sum(filter(
Master_Mapping_Sheet!$E$2:$E$3143, ISNUMBER(
Master_Mapping_Sh"&amp;"eet!$E$2:$E$3143),
Master_Mapping_Sheet!$B$2:$B$3143=$A32))), 0, sum(filter(
Master_Mapping_Sheet!$E$2:$E$3143, ISNUMBER(
Master_Mapping_Sheet!$E$2:$E$3143),
Master_Mapping_Sheet!$H$2:$H$3143=Q$1,
Master_Mapping_Sheet!$B$2:$B$3143=$A32))/sum(filter(
Maste"&amp;"r_Mapping_Sheet!$E$2:$E$3143, ISNUMBER(
Master_Mapping_Sheet!$E$2:$E$3143),
Master_Mapping_Sheet!$B$2:$B$3143=$A32)))"),0.0)</f>
        <v>0</v>
      </c>
      <c r="R32" s="34">
        <f>IFERROR(__xludf.DUMMYFUNCTION("IF(ISNA(sum(filter(
Master_Mapping_Sheet!$E$2:$E$3143, ISNUMBER(
Master_Mapping_Sheet!$E$2:$E$3143),
Master_Mapping_Sheet!$H$2:$H$3143=R$1,
Master_Mapping_Sheet!$B$2:$B$3143=$A32))/sum(filter(
Master_Mapping_Sheet!$E$2:$E$3143, ISNUMBER(
Master_Mapping_Sh"&amp;"eet!$E$2:$E$3143),
Master_Mapping_Sheet!$B$2:$B$3143=$A32))), 0, sum(filter(
Master_Mapping_Sheet!$E$2:$E$3143, ISNUMBER(
Master_Mapping_Sheet!$E$2:$E$3143),
Master_Mapping_Sheet!$H$2:$H$3143=R$1,
Master_Mapping_Sheet!$B$2:$B$3143=$A32))/sum(filter(
Maste"&amp;"r_Mapping_Sheet!$E$2:$E$3143, ISNUMBER(
Master_Mapping_Sheet!$E$2:$E$3143),
Master_Mapping_Sheet!$B$2:$B$3143=$A32)))"),0.0)</f>
        <v>0</v>
      </c>
      <c r="S32" s="34">
        <f>IFERROR(__xludf.DUMMYFUNCTION("IF(ISNA(sum(filter(
Master_Mapping_Sheet!$E$2:$E$3143, ISNUMBER(
Master_Mapping_Sheet!$E$2:$E$3143),
Master_Mapping_Sheet!$H$2:$H$3143=S$1,
Master_Mapping_Sheet!$B$2:$B$3143=$A32))/sum(filter(
Master_Mapping_Sheet!$E$2:$E$3143, ISNUMBER(
Master_Mapping_Sh"&amp;"eet!$E$2:$E$3143),
Master_Mapping_Sheet!$B$2:$B$3143=$A32))), 0, sum(filter(
Master_Mapping_Sheet!$E$2:$E$3143, ISNUMBER(
Master_Mapping_Sheet!$E$2:$E$3143),
Master_Mapping_Sheet!$H$2:$H$3143=S$1,
Master_Mapping_Sheet!$B$2:$B$3143=$A32))/sum(filter(
Maste"&amp;"r_Mapping_Sheet!$E$2:$E$3143, ISNUMBER(
Master_Mapping_Sheet!$E$2:$E$3143),
Master_Mapping_Sheet!$B$2:$B$3143=$A32)))"),0.0)</f>
        <v>0</v>
      </c>
      <c r="T32" s="34">
        <f>IFERROR(__xludf.DUMMYFUNCTION("IF(ISNA(sum(filter(
Master_Mapping_Sheet!$E$2:$E$3143, ISNUMBER(
Master_Mapping_Sheet!$E$2:$E$3143),
Master_Mapping_Sheet!$H$2:$H$3143=T$1,
Master_Mapping_Sheet!$B$2:$B$3143=$A32))/sum(filter(
Master_Mapping_Sheet!$E$2:$E$3143, ISNUMBER(
Master_Mapping_Sh"&amp;"eet!$E$2:$E$3143),
Master_Mapping_Sheet!$B$2:$B$3143=$A32))), 0, sum(filter(
Master_Mapping_Sheet!$E$2:$E$3143, ISNUMBER(
Master_Mapping_Sheet!$E$2:$E$3143),
Master_Mapping_Sheet!$H$2:$H$3143=T$1,
Master_Mapping_Sheet!$B$2:$B$3143=$A32))/sum(filter(
Maste"&amp;"r_Mapping_Sheet!$E$2:$E$3143, ISNUMBER(
Master_Mapping_Sheet!$E$2:$E$3143),
Master_Mapping_Sheet!$B$2:$B$3143=$A32)))"),0.0)</f>
        <v>0</v>
      </c>
      <c r="U32" s="34">
        <f>IFERROR(__xludf.DUMMYFUNCTION("IF(ISNA(sum(filter(
Master_Mapping_Sheet!$E$2:$E$3143, ISNUMBER(
Master_Mapping_Sheet!$E$2:$E$3143),
Master_Mapping_Sheet!$H$2:$H$3143=U$1,
Master_Mapping_Sheet!$B$2:$B$3143=$A32))/sum(filter(
Master_Mapping_Sheet!$E$2:$E$3143, ISNUMBER(
Master_Mapping_Sh"&amp;"eet!$E$2:$E$3143),
Master_Mapping_Sheet!$B$2:$B$3143=$A32))), 0, sum(filter(
Master_Mapping_Sheet!$E$2:$E$3143, ISNUMBER(
Master_Mapping_Sheet!$E$2:$E$3143),
Master_Mapping_Sheet!$H$2:$H$3143=U$1,
Master_Mapping_Sheet!$B$2:$B$3143=$A32))/sum(filter(
Maste"&amp;"r_Mapping_Sheet!$E$2:$E$3143, ISNUMBER(
Master_Mapping_Sheet!$E$2:$E$3143),
Master_Mapping_Sheet!$B$2:$B$3143=$A32)))"),0.0)</f>
        <v>0</v>
      </c>
      <c r="V32" s="34">
        <f>IFERROR(__xludf.DUMMYFUNCTION("IF(ISNA(sum(filter(
Master_Mapping_Sheet!$E$2:$E$3143, ISNUMBER(
Master_Mapping_Sheet!$E$2:$E$3143),
Master_Mapping_Sheet!$H$2:$H$3143=V$1,
Master_Mapping_Sheet!$B$2:$B$3143=$A32))/sum(filter(
Master_Mapping_Sheet!$E$2:$E$3143, ISNUMBER(
Master_Mapping_Sh"&amp;"eet!$E$2:$E$3143),
Master_Mapping_Sheet!$B$2:$B$3143=$A32))), 0, sum(filter(
Master_Mapping_Sheet!$E$2:$E$3143, ISNUMBER(
Master_Mapping_Sheet!$E$2:$E$3143),
Master_Mapping_Sheet!$H$2:$H$3143=V$1,
Master_Mapping_Sheet!$B$2:$B$3143=$A32))/sum(filter(
Maste"&amp;"r_Mapping_Sheet!$E$2:$E$3143, ISNUMBER(
Master_Mapping_Sheet!$E$2:$E$3143),
Master_Mapping_Sheet!$B$2:$B$3143=$A32)))"),0.0)</f>
        <v>0</v>
      </c>
      <c r="W32" s="34">
        <f>IFERROR(__xludf.DUMMYFUNCTION("IF(ISNA(sum(filter(
Master_Mapping_Sheet!$E$2:$E$3143, ISNUMBER(
Master_Mapping_Sheet!$E$2:$E$3143),
Master_Mapping_Sheet!$H$2:$H$3143=W$1,
Master_Mapping_Sheet!$B$2:$B$3143=$A32))/sum(filter(
Master_Mapping_Sheet!$E$2:$E$3143, ISNUMBER(
Master_Mapping_Sh"&amp;"eet!$E$2:$E$3143),
Master_Mapping_Sheet!$B$2:$B$3143=$A32))), 0, sum(filter(
Master_Mapping_Sheet!$E$2:$E$3143, ISNUMBER(
Master_Mapping_Sheet!$E$2:$E$3143),
Master_Mapping_Sheet!$H$2:$H$3143=W$1,
Master_Mapping_Sheet!$B$2:$B$3143=$A32))/sum(filter(
Maste"&amp;"r_Mapping_Sheet!$E$2:$E$3143, ISNUMBER(
Master_Mapping_Sheet!$E$2:$E$3143),
Master_Mapping_Sheet!$B$2:$B$3143=$A32)))"),0.0)</f>
        <v>0</v>
      </c>
      <c r="X32" s="34">
        <f>IFERROR(__xludf.DUMMYFUNCTION("IF(ISNA(sum(filter(
Master_Mapping_Sheet!$E$2:$E$3143, ISNUMBER(
Master_Mapping_Sheet!$E$2:$E$3143),
Master_Mapping_Sheet!$H$2:$H$3143=X$1,
Master_Mapping_Sheet!$B$2:$B$3143=$A32))/sum(filter(
Master_Mapping_Sheet!$E$2:$E$3143, ISNUMBER(
Master_Mapping_Sh"&amp;"eet!$E$2:$E$3143),
Master_Mapping_Sheet!$B$2:$B$3143=$A32))), 0, sum(filter(
Master_Mapping_Sheet!$E$2:$E$3143, ISNUMBER(
Master_Mapping_Sheet!$E$2:$E$3143),
Master_Mapping_Sheet!$H$2:$H$3143=X$1,
Master_Mapping_Sheet!$B$2:$B$3143=$A32))/sum(filter(
Maste"&amp;"r_Mapping_Sheet!$E$2:$E$3143, ISNUMBER(
Master_Mapping_Sheet!$E$2:$E$3143),
Master_Mapping_Sheet!$B$2:$B$3143=$A32)))"),0.0)</f>
        <v>0</v>
      </c>
      <c r="Y32" s="34">
        <f>IFERROR(__xludf.DUMMYFUNCTION("IF(ISNA(sum(filter(
Master_Mapping_Sheet!$E$2:$E$3143, ISNUMBER(
Master_Mapping_Sheet!$E$2:$E$3143),
Master_Mapping_Sheet!$H$2:$H$3143=Y$1,
Master_Mapping_Sheet!$B$2:$B$3143=$A32))/sum(filter(
Master_Mapping_Sheet!$E$2:$E$3143, ISNUMBER(
Master_Mapping_Sh"&amp;"eet!$E$2:$E$3143),
Master_Mapping_Sheet!$B$2:$B$3143=$A32))), 0, sum(filter(
Master_Mapping_Sheet!$E$2:$E$3143, ISNUMBER(
Master_Mapping_Sheet!$E$2:$E$3143),
Master_Mapping_Sheet!$H$2:$H$3143=Y$1,
Master_Mapping_Sheet!$B$2:$B$3143=$A32))/sum(filter(
Maste"&amp;"r_Mapping_Sheet!$E$2:$E$3143, ISNUMBER(
Master_Mapping_Sheet!$E$2:$E$3143),
Master_Mapping_Sheet!$B$2:$B$3143=$A32)))"),0.0)</f>
        <v>0</v>
      </c>
      <c r="Z32" s="34">
        <f>IFERROR(__xludf.DUMMYFUNCTION("IF(ISNA(sum(filter(
Master_Mapping_Sheet!$E$2:$E$3143, ISNUMBER(
Master_Mapping_Sheet!$E$2:$E$3143),
Master_Mapping_Sheet!$H$2:$H$3143=Z$1,
Master_Mapping_Sheet!$B$2:$B$3143=$A32))/sum(filter(
Master_Mapping_Sheet!$E$2:$E$3143, ISNUMBER(
Master_Mapping_Sh"&amp;"eet!$E$2:$E$3143),
Master_Mapping_Sheet!$B$2:$B$3143=$A32))), 0, sum(filter(
Master_Mapping_Sheet!$E$2:$E$3143, ISNUMBER(
Master_Mapping_Sheet!$E$2:$E$3143),
Master_Mapping_Sheet!$H$2:$H$3143=Z$1,
Master_Mapping_Sheet!$B$2:$B$3143=$A32))/sum(filter(
Maste"&amp;"r_Mapping_Sheet!$E$2:$E$3143, ISNUMBER(
Master_Mapping_Sheet!$E$2:$E$3143),
Master_Mapping_Sheet!$B$2:$B$3143=$A32)))"),0.0)</f>
        <v>0</v>
      </c>
      <c r="AA32" s="34">
        <f>IFERROR(__xludf.DUMMYFUNCTION("IF(ISNA(sum(filter(
Master_Mapping_Sheet!$E$2:$E$3143, ISNUMBER(
Master_Mapping_Sheet!$E$2:$E$3143),
Master_Mapping_Sheet!$H$2:$H$3143=AA$1,
Master_Mapping_Sheet!$B$2:$B$3143=$A32))/sum(filter(
Master_Mapping_Sheet!$E$2:$E$3143, ISNUMBER(
Master_Mapping_S"&amp;"heet!$E$2:$E$3143),
Master_Mapping_Sheet!$B$2:$B$3143=$A32))), 0, sum(filter(
Master_Mapping_Sheet!$E$2:$E$3143, ISNUMBER(
Master_Mapping_Sheet!$E$2:$E$3143),
Master_Mapping_Sheet!$H$2:$H$3143=AA$1,
Master_Mapping_Sheet!$B$2:$B$3143=$A32))/sum(filter(
Mas"&amp;"ter_Mapping_Sheet!$E$2:$E$3143, ISNUMBER(
Master_Mapping_Sheet!$E$2:$E$3143),
Master_Mapping_Sheet!$B$2:$B$3143=$A32)))"),0.0)</f>
        <v>0</v>
      </c>
    </row>
    <row r="33" ht="15.75" customHeight="1">
      <c r="A33" s="34" t="s">
        <v>1271</v>
      </c>
      <c r="B33" s="34" t="s">
        <v>3143</v>
      </c>
      <c r="C33" s="34">
        <f>IFERROR(__xludf.DUMMYFUNCTION("IF(ISNA(sum(filter(
Master_Mapping_Sheet!$E$2:$E$3143, ISNUMBER(
Master_Mapping_Sheet!$E$2:$E$3143),
Master_Mapping_Sheet!$H$2:$H$3143=C$1,
Master_Mapping_Sheet!$B$2:$B$3143=$A33))/sum(filter(
Master_Mapping_Sheet!$E$2:$E$3143, ISNUMBER(
Master_Mapping_Sh"&amp;"eet!$E$2:$E$3143),
Master_Mapping_Sheet!$B$2:$B$3143=$A33))), 0, sum(filter(
Master_Mapping_Sheet!$E$2:$E$3143, ISNUMBER(
Master_Mapping_Sheet!$E$2:$E$3143),
Master_Mapping_Sheet!$H$2:$H$3143=C$1,
Master_Mapping_Sheet!$B$2:$B$3143=$A33))/sum(filter(
Maste"&amp;"r_Mapping_Sheet!$E$2:$E$3143, ISNUMBER(
Master_Mapping_Sheet!$E$2:$E$3143),
Master_Mapping_Sheet!$B$2:$B$3143=$A33)))"),0.0)</f>
        <v>0</v>
      </c>
      <c r="D33" s="32">
        <f>IFERROR(__xludf.DUMMYFUNCTION("IF(ISNA(sum(filter(
Master_Mapping_Sheet!$E$2:$E$3143, ISNUMBER(
Master_Mapping_Sheet!$E$2:$E$3143),
Master_Mapping_Sheet!$H$2:$H$3143=D$1,
Master_Mapping_Sheet!$B$2:$B$3143=$A33))/sum(filter(
Master_Mapping_Sheet!$E$2:$E$3143, ISNUMBER(
Master_Mapping_Sh"&amp;"eet!$E$2:$E$3143),
Master_Mapping_Sheet!$B$2:$B$3143=$A33))), 0, sum(filter(
Master_Mapping_Sheet!$E$2:$E$3143, ISNUMBER(
Master_Mapping_Sheet!$E$2:$E$3143),
Master_Mapping_Sheet!$H$2:$H$3143=D$1,
Master_Mapping_Sheet!$B$2:$B$3143=$A33))/sum(filter(
Maste"&amp;"r_Mapping_Sheet!$E$2:$E$3143, ISNUMBER(
Master_Mapping_Sheet!$E$2:$E$3143),
Master_Mapping_Sheet!$B$2:$B$3143=$A33)))"),0.0)</f>
        <v>0</v>
      </c>
      <c r="E33" s="34">
        <f>IFERROR(__xludf.DUMMYFUNCTION("IF(ISNA(sum(filter(
Master_Mapping_Sheet!$E$2:$E$3143, ISNUMBER(
Master_Mapping_Sheet!$E$2:$E$3143),
Master_Mapping_Sheet!$H$2:$H$3143=E$1,
Master_Mapping_Sheet!$B$2:$B$3143=$A33))/sum(filter(
Master_Mapping_Sheet!$E$2:$E$3143, ISNUMBER(
Master_Mapping_Sh"&amp;"eet!$E$2:$E$3143),
Master_Mapping_Sheet!$B$2:$B$3143=$A33))), 0, sum(filter(
Master_Mapping_Sheet!$E$2:$E$3143, ISNUMBER(
Master_Mapping_Sheet!$E$2:$E$3143),
Master_Mapping_Sheet!$H$2:$H$3143=E$1,
Master_Mapping_Sheet!$B$2:$B$3143=$A33))/sum(filter(
Maste"&amp;"r_Mapping_Sheet!$E$2:$E$3143, ISNUMBER(
Master_Mapping_Sheet!$E$2:$E$3143),
Master_Mapping_Sheet!$B$2:$B$3143=$A33)))"),0.0)</f>
        <v>0</v>
      </c>
      <c r="F33" s="34">
        <f>IFERROR(__xludf.DUMMYFUNCTION("IF(ISNA(sum(filter(
Master_Mapping_Sheet!$E$2:$E$3143, ISNUMBER(
Master_Mapping_Sheet!$E$2:$E$3143),
Master_Mapping_Sheet!$H$2:$H$3143=F$1,
Master_Mapping_Sheet!$B$2:$B$3143=$A33))/sum(filter(
Master_Mapping_Sheet!$E$2:$E$3143, ISNUMBER(
Master_Mapping_Sh"&amp;"eet!$E$2:$E$3143),
Master_Mapping_Sheet!$B$2:$B$3143=$A33))), 0, sum(filter(
Master_Mapping_Sheet!$E$2:$E$3143, ISNUMBER(
Master_Mapping_Sheet!$E$2:$E$3143),
Master_Mapping_Sheet!$H$2:$H$3143=F$1,
Master_Mapping_Sheet!$B$2:$B$3143=$A33))/sum(filter(
Maste"&amp;"r_Mapping_Sheet!$E$2:$E$3143, ISNUMBER(
Master_Mapping_Sheet!$E$2:$E$3143),
Master_Mapping_Sheet!$B$2:$B$3143=$A33)))"),0.0)</f>
        <v>0</v>
      </c>
      <c r="G33" s="34">
        <f>IFERROR(__xludf.DUMMYFUNCTION("IF(ISNA(sum(filter(
Master_Mapping_Sheet!$E$2:$E$3143, ISNUMBER(
Master_Mapping_Sheet!$E$2:$E$3143),
Master_Mapping_Sheet!$H$2:$H$3143=G$1,
Master_Mapping_Sheet!$B$2:$B$3143=$A33))/sum(filter(
Master_Mapping_Sheet!$E$2:$E$3143, ISNUMBER(
Master_Mapping_Sh"&amp;"eet!$E$2:$E$3143),
Master_Mapping_Sheet!$B$2:$B$3143=$A33))), 0, sum(filter(
Master_Mapping_Sheet!$E$2:$E$3143, ISNUMBER(
Master_Mapping_Sheet!$E$2:$E$3143),
Master_Mapping_Sheet!$H$2:$H$3143=G$1,
Master_Mapping_Sheet!$B$2:$B$3143=$A33))/sum(filter(
Maste"&amp;"r_Mapping_Sheet!$E$2:$E$3143, ISNUMBER(
Master_Mapping_Sheet!$E$2:$E$3143),
Master_Mapping_Sheet!$B$2:$B$3143=$A33)))"),0.0)</f>
        <v>0</v>
      </c>
      <c r="H33" s="34">
        <f>IFERROR(__xludf.DUMMYFUNCTION("IF(ISNA(sum(filter(
Master_Mapping_Sheet!$E$2:$E$3143, ISNUMBER(
Master_Mapping_Sheet!$E$2:$E$3143),
Master_Mapping_Sheet!$H$2:$H$3143=H$1,
Master_Mapping_Sheet!$B$2:$B$3143=$A33))/sum(filter(
Master_Mapping_Sheet!$E$2:$E$3143, ISNUMBER(
Master_Mapping_Sh"&amp;"eet!$E$2:$E$3143),
Master_Mapping_Sheet!$B$2:$B$3143=$A33))), 0, sum(filter(
Master_Mapping_Sheet!$E$2:$E$3143, ISNUMBER(
Master_Mapping_Sheet!$E$2:$E$3143),
Master_Mapping_Sheet!$H$2:$H$3143=H$1,
Master_Mapping_Sheet!$B$2:$B$3143=$A33))/sum(filter(
Maste"&amp;"r_Mapping_Sheet!$E$2:$E$3143, ISNUMBER(
Master_Mapping_Sheet!$E$2:$E$3143),
Master_Mapping_Sheet!$B$2:$B$3143=$A33)))"),0.0)</f>
        <v>0</v>
      </c>
      <c r="I33" s="34">
        <f>IFERROR(__xludf.DUMMYFUNCTION("IF(ISNA(sum(filter(
Master_Mapping_Sheet!$E$2:$E$3143, ISNUMBER(
Master_Mapping_Sheet!$E$2:$E$3143),
Master_Mapping_Sheet!$H$2:$H$3143=I$1,
Master_Mapping_Sheet!$B$2:$B$3143=$A33))/sum(filter(
Master_Mapping_Sheet!$E$2:$E$3143, ISNUMBER(
Master_Mapping_Sh"&amp;"eet!$E$2:$E$3143),
Master_Mapping_Sheet!$B$2:$B$3143=$A33))), 0, sum(filter(
Master_Mapping_Sheet!$E$2:$E$3143, ISNUMBER(
Master_Mapping_Sheet!$E$2:$E$3143),
Master_Mapping_Sheet!$H$2:$H$3143=I$1,
Master_Mapping_Sheet!$B$2:$B$3143=$A33))/sum(filter(
Maste"&amp;"r_Mapping_Sheet!$E$2:$E$3143, ISNUMBER(
Master_Mapping_Sheet!$E$2:$E$3143),
Master_Mapping_Sheet!$B$2:$B$3143=$A33)))"),0.0)</f>
        <v>0</v>
      </c>
      <c r="J33" s="34">
        <f>IFERROR(__xludf.DUMMYFUNCTION("IF(ISNA(sum(filter(
Master_Mapping_Sheet!$E$2:$E$3143, ISNUMBER(
Master_Mapping_Sheet!$E$2:$E$3143),
Master_Mapping_Sheet!$H$2:$H$3143=J$1,
Master_Mapping_Sheet!$B$2:$B$3143=$A33))/sum(filter(
Master_Mapping_Sheet!$E$2:$E$3143, ISNUMBER(
Master_Mapping_Sh"&amp;"eet!$E$2:$E$3143),
Master_Mapping_Sheet!$B$2:$B$3143=$A33))), 0, sum(filter(
Master_Mapping_Sheet!$E$2:$E$3143, ISNUMBER(
Master_Mapping_Sheet!$E$2:$E$3143),
Master_Mapping_Sheet!$H$2:$H$3143=J$1,
Master_Mapping_Sheet!$B$2:$B$3143=$A33))/sum(filter(
Maste"&amp;"r_Mapping_Sheet!$E$2:$E$3143, ISNUMBER(
Master_Mapping_Sheet!$E$2:$E$3143),
Master_Mapping_Sheet!$B$2:$B$3143=$A33)))"),0.0)</f>
        <v>0</v>
      </c>
      <c r="K33" s="34">
        <f>IFERROR(__xludf.DUMMYFUNCTION("IF(ISNA(sum(filter(
Master_Mapping_Sheet!$E$2:$E$3143, ISNUMBER(
Master_Mapping_Sheet!$E$2:$E$3143),
Master_Mapping_Sheet!$H$2:$H$3143=K$1,
Master_Mapping_Sheet!$B$2:$B$3143=$A33))/sum(filter(
Master_Mapping_Sheet!$E$2:$E$3143, ISNUMBER(
Master_Mapping_Sh"&amp;"eet!$E$2:$E$3143),
Master_Mapping_Sheet!$B$2:$B$3143=$A33))), 0, sum(filter(
Master_Mapping_Sheet!$E$2:$E$3143, ISNUMBER(
Master_Mapping_Sheet!$E$2:$E$3143),
Master_Mapping_Sheet!$H$2:$H$3143=K$1,
Master_Mapping_Sheet!$B$2:$B$3143=$A33))/sum(filter(
Maste"&amp;"r_Mapping_Sheet!$E$2:$E$3143, ISNUMBER(
Master_Mapping_Sheet!$E$2:$E$3143),
Master_Mapping_Sheet!$B$2:$B$3143=$A33)))"),0.0)</f>
        <v>0</v>
      </c>
      <c r="L33" s="34">
        <f>IFERROR(__xludf.DUMMYFUNCTION("IF(ISNA(sum(filter(
Master_Mapping_Sheet!$E$2:$E$3143, ISNUMBER(
Master_Mapping_Sheet!$E$2:$E$3143),
Master_Mapping_Sheet!$H$2:$H$3143=L$1,
Master_Mapping_Sheet!$B$2:$B$3143=$A33))/sum(filter(
Master_Mapping_Sheet!$E$2:$E$3143, ISNUMBER(
Master_Mapping_Sh"&amp;"eet!$E$2:$E$3143),
Master_Mapping_Sheet!$B$2:$B$3143=$A33))), 0, sum(filter(
Master_Mapping_Sheet!$E$2:$E$3143, ISNUMBER(
Master_Mapping_Sheet!$E$2:$E$3143),
Master_Mapping_Sheet!$H$2:$H$3143=L$1,
Master_Mapping_Sheet!$B$2:$B$3143=$A33))/sum(filter(
Maste"&amp;"r_Mapping_Sheet!$E$2:$E$3143, ISNUMBER(
Master_Mapping_Sheet!$E$2:$E$3143),
Master_Mapping_Sheet!$B$2:$B$3143=$A33)))"),0.0)</f>
        <v>0</v>
      </c>
      <c r="M33" s="34">
        <f>IFERROR(__xludf.DUMMYFUNCTION("IF(ISNA(sum(filter(
Master_Mapping_Sheet!$E$2:$E$3143, ISNUMBER(
Master_Mapping_Sheet!$E$2:$E$3143),
Master_Mapping_Sheet!$H$2:$H$3143=M$1,
Master_Mapping_Sheet!$B$2:$B$3143=$A33))/sum(filter(
Master_Mapping_Sheet!$E$2:$E$3143, ISNUMBER(
Master_Mapping_Sh"&amp;"eet!$E$2:$E$3143),
Master_Mapping_Sheet!$B$2:$B$3143=$A33))), 0, sum(filter(
Master_Mapping_Sheet!$E$2:$E$3143, ISNUMBER(
Master_Mapping_Sheet!$E$2:$E$3143),
Master_Mapping_Sheet!$H$2:$H$3143=M$1,
Master_Mapping_Sheet!$B$2:$B$3143=$A33))/sum(filter(
Maste"&amp;"r_Mapping_Sheet!$E$2:$E$3143, ISNUMBER(
Master_Mapping_Sheet!$E$2:$E$3143),
Master_Mapping_Sheet!$B$2:$B$3143=$A33)))"),0.0)</f>
        <v>0</v>
      </c>
      <c r="N33" s="34">
        <f>IFERROR(__xludf.DUMMYFUNCTION("IF(ISNA(sum(filter(
Master_Mapping_Sheet!$E$2:$E$3143, ISNUMBER(
Master_Mapping_Sheet!$E$2:$E$3143),
Master_Mapping_Sheet!$H$2:$H$3143=N$1,
Master_Mapping_Sheet!$B$2:$B$3143=$A33))/sum(filter(
Master_Mapping_Sheet!$E$2:$E$3143, ISNUMBER(
Master_Mapping_Sh"&amp;"eet!$E$2:$E$3143),
Master_Mapping_Sheet!$B$2:$B$3143=$A33))), 0, sum(filter(
Master_Mapping_Sheet!$E$2:$E$3143, ISNUMBER(
Master_Mapping_Sheet!$E$2:$E$3143),
Master_Mapping_Sheet!$H$2:$H$3143=N$1,
Master_Mapping_Sheet!$B$2:$B$3143=$A33))/sum(filter(
Maste"&amp;"r_Mapping_Sheet!$E$2:$E$3143, ISNUMBER(
Master_Mapping_Sheet!$E$2:$E$3143),
Master_Mapping_Sheet!$B$2:$B$3143=$A33)))"),0.0)</f>
        <v>0</v>
      </c>
      <c r="O33" s="34">
        <f>IFERROR(__xludf.DUMMYFUNCTION("IF(ISNA(sum(filter(
Master_Mapping_Sheet!$E$2:$E$3143, ISNUMBER(
Master_Mapping_Sheet!$E$2:$E$3143),
Master_Mapping_Sheet!$H$2:$H$3143=O$1,
Master_Mapping_Sheet!$B$2:$B$3143=$A33))/sum(filter(
Master_Mapping_Sheet!$E$2:$E$3143, ISNUMBER(
Master_Mapping_Sh"&amp;"eet!$E$2:$E$3143),
Master_Mapping_Sheet!$B$2:$B$3143=$A33))), 0, sum(filter(
Master_Mapping_Sheet!$E$2:$E$3143, ISNUMBER(
Master_Mapping_Sheet!$E$2:$E$3143),
Master_Mapping_Sheet!$H$2:$H$3143=O$1,
Master_Mapping_Sheet!$B$2:$B$3143=$A33))/sum(filter(
Maste"&amp;"r_Mapping_Sheet!$E$2:$E$3143, ISNUMBER(
Master_Mapping_Sheet!$E$2:$E$3143),
Master_Mapping_Sheet!$B$2:$B$3143=$A33)))"),0.0)</f>
        <v>0</v>
      </c>
      <c r="P33" s="34">
        <f>IFERROR(__xludf.DUMMYFUNCTION("IF(ISNA(sum(filter(
Master_Mapping_Sheet!$E$2:$E$3143, ISNUMBER(
Master_Mapping_Sheet!$E$2:$E$3143),
Master_Mapping_Sheet!$H$2:$H$3143=P$1,
Master_Mapping_Sheet!$B$2:$B$3143=$A33))/sum(filter(
Master_Mapping_Sheet!$E$2:$E$3143, ISNUMBER(
Master_Mapping_Sh"&amp;"eet!$E$2:$E$3143),
Master_Mapping_Sheet!$B$2:$B$3143=$A33))), 0, sum(filter(
Master_Mapping_Sheet!$E$2:$E$3143, ISNUMBER(
Master_Mapping_Sheet!$E$2:$E$3143),
Master_Mapping_Sheet!$H$2:$H$3143=P$1,
Master_Mapping_Sheet!$B$2:$B$3143=$A33))/sum(filter(
Maste"&amp;"r_Mapping_Sheet!$E$2:$E$3143, ISNUMBER(
Master_Mapping_Sheet!$E$2:$E$3143),
Master_Mapping_Sheet!$B$2:$B$3143=$A33)))"),0.0)</f>
        <v>0</v>
      </c>
      <c r="Q33" s="34">
        <f>IFERROR(__xludf.DUMMYFUNCTION("IF(ISNA(sum(filter(
Master_Mapping_Sheet!$E$2:$E$3143, ISNUMBER(
Master_Mapping_Sheet!$E$2:$E$3143),
Master_Mapping_Sheet!$H$2:$H$3143=Q$1,
Master_Mapping_Sheet!$B$2:$B$3143=$A33))/sum(filter(
Master_Mapping_Sheet!$E$2:$E$3143, ISNUMBER(
Master_Mapping_Sh"&amp;"eet!$E$2:$E$3143),
Master_Mapping_Sheet!$B$2:$B$3143=$A33))), 0, sum(filter(
Master_Mapping_Sheet!$E$2:$E$3143, ISNUMBER(
Master_Mapping_Sheet!$E$2:$E$3143),
Master_Mapping_Sheet!$H$2:$H$3143=Q$1,
Master_Mapping_Sheet!$B$2:$B$3143=$A33))/sum(filter(
Maste"&amp;"r_Mapping_Sheet!$E$2:$E$3143, ISNUMBER(
Master_Mapping_Sheet!$E$2:$E$3143),
Master_Mapping_Sheet!$B$2:$B$3143=$A33)))"),0.0)</f>
        <v>0</v>
      </c>
      <c r="R33" s="34">
        <f>IFERROR(__xludf.DUMMYFUNCTION("IF(ISNA(sum(filter(
Master_Mapping_Sheet!$E$2:$E$3143, ISNUMBER(
Master_Mapping_Sheet!$E$2:$E$3143),
Master_Mapping_Sheet!$H$2:$H$3143=R$1,
Master_Mapping_Sheet!$B$2:$B$3143=$A33))/sum(filter(
Master_Mapping_Sheet!$E$2:$E$3143, ISNUMBER(
Master_Mapping_Sh"&amp;"eet!$E$2:$E$3143),
Master_Mapping_Sheet!$B$2:$B$3143=$A33))), 0, sum(filter(
Master_Mapping_Sheet!$E$2:$E$3143, ISNUMBER(
Master_Mapping_Sheet!$E$2:$E$3143),
Master_Mapping_Sheet!$H$2:$H$3143=R$1,
Master_Mapping_Sheet!$B$2:$B$3143=$A33))/sum(filter(
Maste"&amp;"r_Mapping_Sheet!$E$2:$E$3143, ISNUMBER(
Master_Mapping_Sheet!$E$2:$E$3143),
Master_Mapping_Sheet!$B$2:$B$3143=$A33)))"),0.0)</f>
        <v>0</v>
      </c>
      <c r="S33" s="34">
        <f>IFERROR(__xludf.DUMMYFUNCTION("IF(ISNA(sum(filter(
Master_Mapping_Sheet!$E$2:$E$3143, ISNUMBER(
Master_Mapping_Sheet!$E$2:$E$3143),
Master_Mapping_Sheet!$H$2:$H$3143=S$1,
Master_Mapping_Sheet!$B$2:$B$3143=$A33))/sum(filter(
Master_Mapping_Sheet!$E$2:$E$3143, ISNUMBER(
Master_Mapping_Sh"&amp;"eet!$E$2:$E$3143),
Master_Mapping_Sheet!$B$2:$B$3143=$A33))), 0, sum(filter(
Master_Mapping_Sheet!$E$2:$E$3143, ISNUMBER(
Master_Mapping_Sheet!$E$2:$E$3143),
Master_Mapping_Sheet!$H$2:$H$3143=S$1,
Master_Mapping_Sheet!$B$2:$B$3143=$A33))/sum(filter(
Maste"&amp;"r_Mapping_Sheet!$E$2:$E$3143, ISNUMBER(
Master_Mapping_Sheet!$E$2:$E$3143),
Master_Mapping_Sheet!$B$2:$B$3143=$A33)))"),0.12791321863570773)</f>
        <v>0.1279132186</v>
      </c>
      <c r="T33" s="34">
        <f>IFERROR(__xludf.DUMMYFUNCTION("IF(ISNA(sum(filter(
Master_Mapping_Sheet!$E$2:$E$3143, ISNUMBER(
Master_Mapping_Sheet!$E$2:$E$3143),
Master_Mapping_Sheet!$H$2:$H$3143=T$1,
Master_Mapping_Sheet!$B$2:$B$3143=$A33))/sum(filter(
Master_Mapping_Sheet!$E$2:$E$3143, ISNUMBER(
Master_Mapping_Sh"&amp;"eet!$E$2:$E$3143),
Master_Mapping_Sheet!$B$2:$B$3143=$A33))), 0, sum(filter(
Master_Mapping_Sheet!$E$2:$E$3143, ISNUMBER(
Master_Mapping_Sheet!$E$2:$E$3143),
Master_Mapping_Sheet!$H$2:$H$3143=T$1,
Master_Mapping_Sheet!$B$2:$B$3143=$A33))/sum(filter(
Maste"&amp;"r_Mapping_Sheet!$E$2:$E$3143, ISNUMBER(
Master_Mapping_Sheet!$E$2:$E$3143),
Master_Mapping_Sheet!$B$2:$B$3143=$A33)))"),0.0)</f>
        <v>0</v>
      </c>
      <c r="U33" s="34">
        <f>IFERROR(__xludf.DUMMYFUNCTION("IF(ISNA(sum(filter(
Master_Mapping_Sheet!$E$2:$E$3143, ISNUMBER(
Master_Mapping_Sheet!$E$2:$E$3143),
Master_Mapping_Sheet!$H$2:$H$3143=U$1,
Master_Mapping_Sheet!$B$2:$B$3143=$A33))/sum(filter(
Master_Mapping_Sheet!$E$2:$E$3143, ISNUMBER(
Master_Mapping_Sh"&amp;"eet!$E$2:$E$3143),
Master_Mapping_Sheet!$B$2:$B$3143=$A33))), 0, sum(filter(
Master_Mapping_Sheet!$E$2:$E$3143, ISNUMBER(
Master_Mapping_Sheet!$E$2:$E$3143),
Master_Mapping_Sheet!$H$2:$H$3143=U$1,
Master_Mapping_Sheet!$B$2:$B$3143=$A33))/sum(filter(
Maste"&amp;"r_Mapping_Sheet!$E$2:$E$3143, ISNUMBER(
Master_Mapping_Sheet!$E$2:$E$3143),
Master_Mapping_Sheet!$B$2:$B$3143=$A33)))"),0.0)</f>
        <v>0</v>
      </c>
      <c r="V33" s="34">
        <f>IFERROR(__xludf.DUMMYFUNCTION("IF(ISNA(sum(filter(
Master_Mapping_Sheet!$E$2:$E$3143, ISNUMBER(
Master_Mapping_Sheet!$E$2:$E$3143),
Master_Mapping_Sheet!$H$2:$H$3143=V$1,
Master_Mapping_Sheet!$B$2:$B$3143=$A33))/sum(filter(
Master_Mapping_Sheet!$E$2:$E$3143, ISNUMBER(
Master_Mapping_Sh"&amp;"eet!$E$2:$E$3143),
Master_Mapping_Sheet!$B$2:$B$3143=$A33))), 0, sum(filter(
Master_Mapping_Sheet!$E$2:$E$3143, ISNUMBER(
Master_Mapping_Sheet!$E$2:$E$3143),
Master_Mapping_Sheet!$H$2:$H$3143=V$1,
Master_Mapping_Sheet!$B$2:$B$3143=$A33))/sum(filter(
Maste"&amp;"r_Mapping_Sheet!$E$2:$E$3143, ISNUMBER(
Master_Mapping_Sheet!$E$2:$E$3143),
Master_Mapping_Sheet!$B$2:$B$3143=$A33)))"),0.8150130700808893)</f>
        <v>0.8150130701</v>
      </c>
      <c r="W33" s="34">
        <f>IFERROR(__xludf.DUMMYFUNCTION("IF(ISNA(sum(filter(
Master_Mapping_Sheet!$E$2:$E$3143, ISNUMBER(
Master_Mapping_Sheet!$E$2:$E$3143),
Master_Mapping_Sheet!$H$2:$H$3143=W$1,
Master_Mapping_Sheet!$B$2:$B$3143=$A33))/sum(filter(
Master_Mapping_Sheet!$E$2:$E$3143, ISNUMBER(
Master_Mapping_Sh"&amp;"eet!$E$2:$E$3143),
Master_Mapping_Sheet!$B$2:$B$3143=$A33))), 0, sum(filter(
Master_Mapping_Sheet!$E$2:$E$3143, ISNUMBER(
Master_Mapping_Sheet!$E$2:$E$3143),
Master_Mapping_Sheet!$H$2:$H$3143=W$1,
Master_Mapping_Sheet!$B$2:$B$3143=$A33))/sum(filter(
Maste"&amp;"r_Mapping_Sheet!$E$2:$E$3143, ISNUMBER(
Master_Mapping_Sheet!$E$2:$E$3143),
Master_Mapping_Sheet!$B$2:$B$3143=$A33)))"),0.0)</f>
        <v>0</v>
      </c>
      <c r="X33" s="34">
        <f>IFERROR(__xludf.DUMMYFUNCTION("IF(ISNA(sum(filter(
Master_Mapping_Sheet!$E$2:$E$3143, ISNUMBER(
Master_Mapping_Sheet!$E$2:$E$3143),
Master_Mapping_Sheet!$H$2:$H$3143=X$1,
Master_Mapping_Sheet!$B$2:$B$3143=$A33))/sum(filter(
Master_Mapping_Sheet!$E$2:$E$3143, ISNUMBER(
Master_Mapping_Sh"&amp;"eet!$E$2:$E$3143),
Master_Mapping_Sheet!$B$2:$B$3143=$A33))), 0, sum(filter(
Master_Mapping_Sheet!$E$2:$E$3143, ISNUMBER(
Master_Mapping_Sheet!$E$2:$E$3143),
Master_Mapping_Sheet!$H$2:$H$3143=X$1,
Master_Mapping_Sheet!$B$2:$B$3143=$A33))/sum(filter(
Maste"&amp;"r_Mapping_Sheet!$E$2:$E$3143, ISNUMBER(
Master_Mapping_Sheet!$E$2:$E$3143),
Master_Mapping_Sheet!$B$2:$B$3143=$A33)))"),0.0)</f>
        <v>0</v>
      </c>
      <c r="Y33" s="34">
        <f>IFERROR(__xludf.DUMMYFUNCTION("IF(ISNA(sum(filter(
Master_Mapping_Sheet!$E$2:$E$3143, ISNUMBER(
Master_Mapping_Sheet!$E$2:$E$3143),
Master_Mapping_Sheet!$H$2:$H$3143=Y$1,
Master_Mapping_Sheet!$B$2:$B$3143=$A33))/sum(filter(
Master_Mapping_Sheet!$E$2:$E$3143, ISNUMBER(
Master_Mapping_Sh"&amp;"eet!$E$2:$E$3143),
Master_Mapping_Sheet!$B$2:$B$3143=$A33))), 0, sum(filter(
Master_Mapping_Sheet!$E$2:$E$3143, ISNUMBER(
Master_Mapping_Sheet!$E$2:$E$3143),
Master_Mapping_Sheet!$H$2:$H$3143=Y$1,
Master_Mapping_Sheet!$B$2:$B$3143=$A33))/sum(filter(
Maste"&amp;"r_Mapping_Sheet!$E$2:$E$3143, ISNUMBER(
Master_Mapping_Sheet!$E$2:$E$3143),
Master_Mapping_Sheet!$B$2:$B$3143=$A33)))"),0.0)</f>
        <v>0</v>
      </c>
      <c r="Z33" s="34">
        <f>IFERROR(__xludf.DUMMYFUNCTION("IF(ISNA(sum(filter(
Master_Mapping_Sheet!$E$2:$E$3143, ISNUMBER(
Master_Mapping_Sheet!$E$2:$E$3143),
Master_Mapping_Sheet!$H$2:$H$3143=Z$1,
Master_Mapping_Sheet!$B$2:$B$3143=$A33))/sum(filter(
Master_Mapping_Sheet!$E$2:$E$3143, ISNUMBER(
Master_Mapping_Sh"&amp;"eet!$E$2:$E$3143),
Master_Mapping_Sheet!$B$2:$B$3143=$A33))), 0, sum(filter(
Master_Mapping_Sheet!$E$2:$E$3143, ISNUMBER(
Master_Mapping_Sheet!$E$2:$E$3143),
Master_Mapping_Sheet!$H$2:$H$3143=Z$1,
Master_Mapping_Sheet!$B$2:$B$3143=$A33))/sum(filter(
Maste"&amp;"r_Mapping_Sheet!$E$2:$E$3143, ISNUMBER(
Master_Mapping_Sheet!$E$2:$E$3143),
Master_Mapping_Sheet!$B$2:$B$3143=$A33)))"),0.05707371128340296)</f>
        <v>0.05707371128</v>
      </c>
      <c r="AA33" s="34">
        <f>IFERROR(__xludf.DUMMYFUNCTION("IF(ISNA(sum(filter(
Master_Mapping_Sheet!$E$2:$E$3143, ISNUMBER(
Master_Mapping_Sheet!$E$2:$E$3143),
Master_Mapping_Sheet!$H$2:$H$3143=AA$1,
Master_Mapping_Sheet!$B$2:$B$3143=$A33))/sum(filter(
Master_Mapping_Sheet!$E$2:$E$3143, ISNUMBER(
Master_Mapping_S"&amp;"heet!$E$2:$E$3143),
Master_Mapping_Sheet!$B$2:$B$3143=$A33))), 0, sum(filter(
Master_Mapping_Sheet!$E$2:$E$3143, ISNUMBER(
Master_Mapping_Sheet!$E$2:$E$3143),
Master_Mapping_Sheet!$H$2:$H$3143=AA$1,
Master_Mapping_Sheet!$B$2:$B$3143=$A33))/sum(filter(
Mas"&amp;"ter_Mapping_Sheet!$E$2:$E$3143, ISNUMBER(
Master_Mapping_Sheet!$E$2:$E$3143),
Master_Mapping_Sheet!$B$2:$B$3143=$A33)))"),0.0)</f>
        <v>0</v>
      </c>
    </row>
    <row r="34" ht="15.75" customHeight="1">
      <c r="A34" s="34" t="s">
        <v>1296</v>
      </c>
      <c r="B34" s="34" t="s">
        <v>3168</v>
      </c>
      <c r="C34" s="34">
        <f>IFERROR(__xludf.DUMMYFUNCTION("IF(ISNA(sum(filter(
Master_Mapping_Sheet!$E$2:$E$3143, ISNUMBER(
Master_Mapping_Sheet!$E$2:$E$3143),
Master_Mapping_Sheet!$H$2:$H$3143=C$1,
Master_Mapping_Sheet!$B$2:$B$3143=$A34))/sum(filter(
Master_Mapping_Sheet!$E$2:$E$3143, ISNUMBER(
Master_Mapping_Sh"&amp;"eet!$E$2:$E$3143),
Master_Mapping_Sheet!$B$2:$B$3143=$A34))), 0, sum(filter(
Master_Mapping_Sheet!$E$2:$E$3143, ISNUMBER(
Master_Mapping_Sheet!$E$2:$E$3143),
Master_Mapping_Sheet!$H$2:$H$3143=C$1,
Master_Mapping_Sheet!$B$2:$B$3143=$A34))/sum(filter(
Maste"&amp;"r_Mapping_Sheet!$E$2:$E$3143, ISNUMBER(
Master_Mapping_Sheet!$E$2:$E$3143),
Master_Mapping_Sheet!$B$2:$B$3143=$A34)))"),0.0)</f>
        <v>0</v>
      </c>
      <c r="D34" s="32">
        <f>IFERROR(__xludf.DUMMYFUNCTION("IF(ISNA(sum(filter(
Master_Mapping_Sheet!$E$2:$E$3143, ISNUMBER(
Master_Mapping_Sheet!$E$2:$E$3143),
Master_Mapping_Sheet!$H$2:$H$3143=D$1,
Master_Mapping_Sheet!$B$2:$B$3143=$A34))/sum(filter(
Master_Mapping_Sheet!$E$2:$E$3143, ISNUMBER(
Master_Mapping_Sh"&amp;"eet!$E$2:$E$3143),
Master_Mapping_Sheet!$B$2:$B$3143=$A34))), 0, sum(filter(
Master_Mapping_Sheet!$E$2:$E$3143, ISNUMBER(
Master_Mapping_Sheet!$E$2:$E$3143),
Master_Mapping_Sheet!$H$2:$H$3143=D$1,
Master_Mapping_Sheet!$B$2:$B$3143=$A34))/sum(filter(
Maste"&amp;"r_Mapping_Sheet!$E$2:$E$3143, ISNUMBER(
Master_Mapping_Sheet!$E$2:$E$3143),
Master_Mapping_Sheet!$B$2:$B$3143=$A34)))"),0.0)</f>
        <v>0</v>
      </c>
      <c r="E34" s="34">
        <f>IFERROR(__xludf.DUMMYFUNCTION("IF(ISNA(sum(filter(
Master_Mapping_Sheet!$E$2:$E$3143, ISNUMBER(
Master_Mapping_Sheet!$E$2:$E$3143),
Master_Mapping_Sheet!$H$2:$H$3143=E$1,
Master_Mapping_Sheet!$B$2:$B$3143=$A34))/sum(filter(
Master_Mapping_Sheet!$E$2:$E$3143, ISNUMBER(
Master_Mapping_Sh"&amp;"eet!$E$2:$E$3143),
Master_Mapping_Sheet!$B$2:$B$3143=$A34))), 0, sum(filter(
Master_Mapping_Sheet!$E$2:$E$3143, ISNUMBER(
Master_Mapping_Sheet!$E$2:$E$3143),
Master_Mapping_Sheet!$H$2:$H$3143=E$1,
Master_Mapping_Sheet!$B$2:$B$3143=$A34))/sum(filter(
Maste"&amp;"r_Mapping_Sheet!$E$2:$E$3143, ISNUMBER(
Master_Mapping_Sheet!$E$2:$E$3143),
Master_Mapping_Sheet!$B$2:$B$3143=$A34)))"),0.0)</f>
        <v>0</v>
      </c>
      <c r="F34" s="34">
        <f>IFERROR(__xludf.DUMMYFUNCTION("IF(ISNA(sum(filter(
Master_Mapping_Sheet!$E$2:$E$3143, ISNUMBER(
Master_Mapping_Sheet!$E$2:$E$3143),
Master_Mapping_Sheet!$H$2:$H$3143=F$1,
Master_Mapping_Sheet!$B$2:$B$3143=$A34))/sum(filter(
Master_Mapping_Sheet!$E$2:$E$3143, ISNUMBER(
Master_Mapping_Sh"&amp;"eet!$E$2:$E$3143),
Master_Mapping_Sheet!$B$2:$B$3143=$A34))), 0, sum(filter(
Master_Mapping_Sheet!$E$2:$E$3143, ISNUMBER(
Master_Mapping_Sheet!$E$2:$E$3143),
Master_Mapping_Sheet!$H$2:$H$3143=F$1,
Master_Mapping_Sheet!$B$2:$B$3143=$A34))/sum(filter(
Maste"&amp;"r_Mapping_Sheet!$E$2:$E$3143, ISNUMBER(
Master_Mapping_Sheet!$E$2:$E$3143),
Master_Mapping_Sheet!$B$2:$B$3143=$A34)))"),0.0)</f>
        <v>0</v>
      </c>
      <c r="G34" s="34">
        <f>IFERROR(__xludf.DUMMYFUNCTION("IF(ISNA(sum(filter(
Master_Mapping_Sheet!$E$2:$E$3143, ISNUMBER(
Master_Mapping_Sheet!$E$2:$E$3143),
Master_Mapping_Sheet!$H$2:$H$3143=G$1,
Master_Mapping_Sheet!$B$2:$B$3143=$A34))/sum(filter(
Master_Mapping_Sheet!$E$2:$E$3143, ISNUMBER(
Master_Mapping_Sh"&amp;"eet!$E$2:$E$3143),
Master_Mapping_Sheet!$B$2:$B$3143=$A34))), 0, sum(filter(
Master_Mapping_Sheet!$E$2:$E$3143, ISNUMBER(
Master_Mapping_Sheet!$E$2:$E$3143),
Master_Mapping_Sheet!$H$2:$H$3143=G$1,
Master_Mapping_Sheet!$B$2:$B$3143=$A34))/sum(filter(
Maste"&amp;"r_Mapping_Sheet!$E$2:$E$3143, ISNUMBER(
Master_Mapping_Sheet!$E$2:$E$3143),
Master_Mapping_Sheet!$B$2:$B$3143=$A34)))"),0.0)</f>
        <v>0</v>
      </c>
      <c r="H34" s="34">
        <f>IFERROR(__xludf.DUMMYFUNCTION("IF(ISNA(sum(filter(
Master_Mapping_Sheet!$E$2:$E$3143, ISNUMBER(
Master_Mapping_Sheet!$E$2:$E$3143),
Master_Mapping_Sheet!$H$2:$H$3143=H$1,
Master_Mapping_Sheet!$B$2:$B$3143=$A34))/sum(filter(
Master_Mapping_Sheet!$E$2:$E$3143, ISNUMBER(
Master_Mapping_Sh"&amp;"eet!$E$2:$E$3143),
Master_Mapping_Sheet!$B$2:$B$3143=$A34))), 0, sum(filter(
Master_Mapping_Sheet!$E$2:$E$3143, ISNUMBER(
Master_Mapping_Sheet!$E$2:$E$3143),
Master_Mapping_Sheet!$H$2:$H$3143=H$1,
Master_Mapping_Sheet!$B$2:$B$3143=$A34))/sum(filter(
Maste"&amp;"r_Mapping_Sheet!$E$2:$E$3143, ISNUMBER(
Master_Mapping_Sheet!$E$2:$E$3143),
Master_Mapping_Sheet!$B$2:$B$3143=$A34)))"),0.0)</f>
        <v>0</v>
      </c>
      <c r="I34" s="34">
        <f>IFERROR(__xludf.DUMMYFUNCTION("IF(ISNA(sum(filter(
Master_Mapping_Sheet!$E$2:$E$3143, ISNUMBER(
Master_Mapping_Sheet!$E$2:$E$3143),
Master_Mapping_Sheet!$H$2:$H$3143=I$1,
Master_Mapping_Sheet!$B$2:$B$3143=$A34))/sum(filter(
Master_Mapping_Sheet!$E$2:$E$3143, ISNUMBER(
Master_Mapping_Sh"&amp;"eet!$E$2:$E$3143),
Master_Mapping_Sheet!$B$2:$B$3143=$A34))), 0, sum(filter(
Master_Mapping_Sheet!$E$2:$E$3143, ISNUMBER(
Master_Mapping_Sheet!$E$2:$E$3143),
Master_Mapping_Sheet!$H$2:$H$3143=I$1,
Master_Mapping_Sheet!$B$2:$B$3143=$A34))/sum(filter(
Maste"&amp;"r_Mapping_Sheet!$E$2:$E$3143, ISNUMBER(
Master_Mapping_Sheet!$E$2:$E$3143),
Master_Mapping_Sheet!$B$2:$B$3143=$A34)))"),0.0)</f>
        <v>0</v>
      </c>
      <c r="J34" s="34">
        <f>IFERROR(__xludf.DUMMYFUNCTION("IF(ISNA(sum(filter(
Master_Mapping_Sheet!$E$2:$E$3143, ISNUMBER(
Master_Mapping_Sheet!$E$2:$E$3143),
Master_Mapping_Sheet!$H$2:$H$3143=J$1,
Master_Mapping_Sheet!$B$2:$B$3143=$A34))/sum(filter(
Master_Mapping_Sheet!$E$2:$E$3143, ISNUMBER(
Master_Mapping_Sh"&amp;"eet!$E$2:$E$3143),
Master_Mapping_Sheet!$B$2:$B$3143=$A34))), 0, sum(filter(
Master_Mapping_Sheet!$E$2:$E$3143, ISNUMBER(
Master_Mapping_Sheet!$E$2:$E$3143),
Master_Mapping_Sheet!$H$2:$H$3143=J$1,
Master_Mapping_Sheet!$B$2:$B$3143=$A34))/sum(filter(
Maste"&amp;"r_Mapping_Sheet!$E$2:$E$3143, ISNUMBER(
Master_Mapping_Sheet!$E$2:$E$3143),
Master_Mapping_Sheet!$B$2:$B$3143=$A34)))"),0.5959287353427605)</f>
        <v>0.5959287353</v>
      </c>
      <c r="K34" s="34">
        <f>IFERROR(__xludf.DUMMYFUNCTION("IF(ISNA(sum(filter(
Master_Mapping_Sheet!$E$2:$E$3143, ISNUMBER(
Master_Mapping_Sheet!$E$2:$E$3143),
Master_Mapping_Sheet!$H$2:$H$3143=K$1,
Master_Mapping_Sheet!$B$2:$B$3143=$A34))/sum(filter(
Master_Mapping_Sheet!$E$2:$E$3143, ISNUMBER(
Master_Mapping_Sh"&amp;"eet!$E$2:$E$3143),
Master_Mapping_Sheet!$B$2:$B$3143=$A34))), 0, sum(filter(
Master_Mapping_Sheet!$E$2:$E$3143, ISNUMBER(
Master_Mapping_Sheet!$E$2:$E$3143),
Master_Mapping_Sheet!$H$2:$H$3143=K$1,
Master_Mapping_Sheet!$B$2:$B$3143=$A34))/sum(filter(
Maste"&amp;"r_Mapping_Sheet!$E$2:$E$3143, ISNUMBER(
Master_Mapping_Sheet!$E$2:$E$3143),
Master_Mapping_Sheet!$B$2:$B$3143=$A34)))"),0.3789993938036349)</f>
        <v>0.3789993938</v>
      </c>
      <c r="L34" s="34">
        <f>IFERROR(__xludf.DUMMYFUNCTION("IF(ISNA(sum(filter(
Master_Mapping_Sheet!$E$2:$E$3143, ISNUMBER(
Master_Mapping_Sheet!$E$2:$E$3143),
Master_Mapping_Sheet!$H$2:$H$3143=L$1,
Master_Mapping_Sheet!$B$2:$B$3143=$A34))/sum(filter(
Master_Mapping_Sheet!$E$2:$E$3143, ISNUMBER(
Master_Mapping_Sh"&amp;"eet!$E$2:$E$3143),
Master_Mapping_Sheet!$B$2:$B$3143=$A34))), 0, sum(filter(
Master_Mapping_Sheet!$E$2:$E$3143, ISNUMBER(
Master_Mapping_Sheet!$E$2:$E$3143),
Master_Mapping_Sheet!$H$2:$H$3143=L$1,
Master_Mapping_Sheet!$B$2:$B$3143=$A34))/sum(filter(
Maste"&amp;"r_Mapping_Sheet!$E$2:$E$3143, ISNUMBER(
Master_Mapping_Sheet!$E$2:$E$3143),
Master_Mapping_Sheet!$B$2:$B$3143=$A34)))"),0.0250718708536046)</f>
        <v>0.02507187085</v>
      </c>
      <c r="M34" s="34">
        <f>IFERROR(__xludf.DUMMYFUNCTION("IF(ISNA(sum(filter(
Master_Mapping_Sheet!$E$2:$E$3143, ISNUMBER(
Master_Mapping_Sheet!$E$2:$E$3143),
Master_Mapping_Sheet!$H$2:$H$3143=M$1,
Master_Mapping_Sheet!$B$2:$B$3143=$A34))/sum(filter(
Master_Mapping_Sheet!$E$2:$E$3143, ISNUMBER(
Master_Mapping_Sh"&amp;"eet!$E$2:$E$3143),
Master_Mapping_Sheet!$B$2:$B$3143=$A34))), 0, sum(filter(
Master_Mapping_Sheet!$E$2:$E$3143, ISNUMBER(
Master_Mapping_Sheet!$E$2:$E$3143),
Master_Mapping_Sheet!$H$2:$H$3143=M$1,
Master_Mapping_Sheet!$B$2:$B$3143=$A34))/sum(filter(
Maste"&amp;"r_Mapping_Sheet!$E$2:$E$3143, ISNUMBER(
Master_Mapping_Sheet!$E$2:$E$3143),
Master_Mapping_Sheet!$B$2:$B$3143=$A34)))"),0.0)</f>
        <v>0</v>
      </c>
      <c r="N34" s="34">
        <f>IFERROR(__xludf.DUMMYFUNCTION("IF(ISNA(sum(filter(
Master_Mapping_Sheet!$E$2:$E$3143, ISNUMBER(
Master_Mapping_Sheet!$E$2:$E$3143),
Master_Mapping_Sheet!$H$2:$H$3143=N$1,
Master_Mapping_Sheet!$B$2:$B$3143=$A34))/sum(filter(
Master_Mapping_Sheet!$E$2:$E$3143, ISNUMBER(
Master_Mapping_Sh"&amp;"eet!$E$2:$E$3143),
Master_Mapping_Sheet!$B$2:$B$3143=$A34))), 0, sum(filter(
Master_Mapping_Sheet!$E$2:$E$3143, ISNUMBER(
Master_Mapping_Sheet!$E$2:$E$3143),
Master_Mapping_Sheet!$H$2:$H$3143=N$1,
Master_Mapping_Sheet!$B$2:$B$3143=$A34))/sum(filter(
Maste"&amp;"r_Mapping_Sheet!$E$2:$E$3143, ISNUMBER(
Master_Mapping_Sheet!$E$2:$E$3143),
Master_Mapping_Sheet!$B$2:$B$3143=$A34)))"),0.0)</f>
        <v>0</v>
      </c>
      <c r="O34" s="34">
        <f>IFERROR(__xludf.DUMMYFUNCTION("IF(ISNA(sum(filter(
Master_Mapping_Sheet!$E$2:$E$3143, ISNUMBER(
Master_Mapping_Sheet!$E$2:$E$3143),
Master_Mapping_Sheet!$H$2:$H$3143=O$1,
Master_Mapping_Sheet!$B$2:$B$3143=$A34))/sum(filter(
Master_Mapping_Sheet!$E$2:$E$3143, ISNUMBER(
Master_Mapping_Sh"&amp;"eet!$E$2:$E$3143),
Master_Mapping_Sheet!$B$2:$B$3143=$A34))), 0, sum(filter(
Master_Mapping_Sheet!$E$2:$E$3143, ISNUMBER(
Master_Mapping_Sheet!$E$2:$E$3143),
Master_Mapping_Sheet!$H$2:$H$3143=O$1,
Master_Mapping_Sheet!$B$2:$B$3143=$A34))/sum(filter(
Maste"&amp;"r_Mapping_Sheet!$E$2:$E$3143, ISNUMBER(
Master_Mapping_Sheet!$E$2:$E$3143),
Master_Mapping_Sheet!$B$2:$B$3143=$A34)))"),0.0)</f>
        <v>0</v>
      </c>
      <c r="P34" s="34">
        <f>IFERROR(__xludf.DUMMYFUNCTION("IF(ISNA(sum(filter(
Master_Mapping_Sheet!$E$2:$E$3143, ISNUMBER(
Master_Mapping_Sheet!$E$2:$E$3143),
Master_Mapping_Sheet!$H$2:$H$3143=P$1,
Master_Mapping_Sheet!$B$2:$B$3143=$A34))/sum(filter(
Master_Mapping_Sheet!$E$2:$E$3143, ISNUMBER(
Master_Mapping_Sh"&amp;"eet!$E$2:$E$3143),
Master_Mapping_Sheet!$B$2:$B$3143=$A34))), 0, sum(filter(
Master_Mapping_Sheet!$E$2:$E$3143, ISNUMBER(
Master_Mapping_Sheet!$E$2:$E$3143),
Master_Mapping_Sheet!$H$2:$H$3143=P$1,
Master_Mapping_Sheet!$B$2:$B$3143=$A34))/sum(filter(
Maste"&amp;"r_Mapping_Sheet!$E$2:$E$3143, ISNUMBER(
Master_Mapping_Sheet!$E$2:$E$3143),
Master_Mapping_Sheet!$B$2:$B$3143=$A34)))"),0.0)</f>
        <v>0</v>
      </c>
      <c r="Q34" s="34">
        <f>IFERROR(__xludf.DUMMYFUNCTION("IF(ISNA(sum(filter(
Master_Mapping_Sheet!$E$2:$E$3143, ISNUMBER(
Master_Mapping_Sheet!$E$2:$E$3143),
Master_Mapping_Sheet!$H$2:$H$3143=Q$1,
Master_Mapping_Sheet!$B$2:$B$3143=$A34))/sum(filter(
Master_Mapping_Sheet!$E$2:$E$3143, ISNUMBER(
Master_Mapping_Sh"&amp;"eet!$E$2:$E$3143),
Master_Mapping_Sheet!$B$2:$B$3143=$A34))), 0, sum(filter(
Master_Mapping_Sheet!$E$2:$E$3143, ISNUMBER(
Master_Mapping_Sheet!$E$2:$E$3143),
Master_Mapping_Sheet!$H$2:$H$3143=Q$1,
Master_Mapping_Sheet!$B$2:$B$3143=$A34))/sum(filter(
Maste"&amp;"r_Mapping_Sheet!$E$2:$E$3143, ISNUMBER(
Master_Mapping_Sheet!$E$2:$E$3143),
Master_Mapping_Sheet!$B$2:$B$3143=$A34)))"),0.0)</f>
        <v>0</v>
      </c>
      <c r="R34" s="34">
        <f>IFERROR(__xludf.DUMMYFUNCTION("IF(ISNA(sum(filter(
Master_Mapping_Sheet!$E$2:$E$3143, ISNUMBER(
Master_Mapping_Sheet!$E$2:$E$3143),
Master_Mapping_Sheet!$H$2:$H$3143=R$1,
Master_Mapping_Sheet!$B$2:$B$3143=$A34))/sum(filter(
Master_Mapping_Sheet!$E$2:$E$3143, ISNUMBER(
Master_Mapping_Sh"&amp;"eet!$E$2:$E$3143),
Master_Mapping_Sheet!$B$2:$B$3143=$A34))), 0, sum(filter(
Master_Mapping_Sheet!$E$2:$E$3143, ISNUMBER(
Master_Mapping_Sheet!$E$2:$E$3143),
Master_Mapping_Sheet!$H$2:$H$3143=R$1,
Master_Mapping_Sheet!$B$2:$B$3143=$A34))/sum(filter(
Maste"&amp;"r_Mapping_Sheet!$E$2:$E$3143, ISNUMBER(
Master_Mapping_Sheet!$E$2:$E$3143),
Master_Mapping_Sheet!$B$2:$B$3143=$A34)))"),0.0)</f>
        <v>0</v>
      </c>
      <c r="S34" s="34">
        <f>IFERROR(__xludf.DUMMYFUNCTION("IF(ISNA(sum(filter(
Master_Mapping_Sheet!$E$2:$E$3143, ISNUMBER(
Master_Mapping_Sheet!$E$2:$E$3143),
Master_Mapping_Sheet!$H$2:$H$3143=S$1,
Master_Mapping_Sheet!$B$2:$B$3143=$A34))/sum(filter(
Master_Mapping_Sheet!$E$2:$E$3143, ISNUMBER(
Master_Mapping_Sh"&amp;"eet!$E$2:$E$3143),
Master_Mapping_Sheet!$B$2:$B$3143=$A34))), 0, sum(filter(
Master_Mapping_Sheet!$E$2:$E$3143, ISNUMBER(
Master_Mapping_Sheet!$E$2:$E$3143),
Master_Mapping_Sheet!$H$2:$H$3143=S$1,
Master_Mapping_Sheet!$B$2:$B$3143=$A34))/sum(filter(
Maste"&amp;"r_Mapping_Sheet!$E$2:$E$3143, ISNUMBER(
Master_Mapping_Sheet!$E$2:$E$3143),
Master_Mapping_Sheet!$B$2:$B$3143=$A34)))"),0.0)</f>
        <v>0</v>
      </c>
      <c r="T34" s="34">
        <f>IFERROR(__xludf.DUMMYFUNCTION("IF(ISNA(sum(filter(
Master_Mapping_Sheet!$E$2:$E$3143, ISNUMBER(
Master_Mapping_Sheet!$E$2:$E$3143),
Master_Mapping_Sheet!$H$2:$H$3143=T$1,
Master_Mapping_Sheet!$B$2:$B$3143=$A34))/sum(filter(
Master_Mapping_Sheet!$E$2:$E$3143, ISNUMBER(
Master_Mapping_Sh"&amp;"eet!$E$2:$E$3143),
Master_Mapping_Sheet!$B$2:$B$3143=$A34))), 0, sum(filter(
Master_Mapping_Sheet!$E$2:$E$3143, ISNUMBER(
Master_Mapping_Sheet!$E$2:$E$3143),
Master_Mapping_Sheet!$H$2:$H$3143=T$1,
Master_Mapping_Sheet!$B$2:$B$3143=$A34))/sum(filter(
Maste"&amp;"r_Mapping_Sheet!$E$2:$E$3143, ISNUMBER(
Master_Mapping_Sheet!$E$2:$E$3143),
Master_Mapping_Sheet!$B$2:$B$3143=$A34)))"),0.0)</f>
        <v>0</v>
      </c>
      <c r="U34" s="34">
        <f>IFERROR(__xludf.DUMMYFUNCTION("IF(ISNA(sum(filter(
Master_Mapping_Sheet!$E$2:$E$3143, ISNUMBER(
Master_Mapping_Sheet!$E$2:$E$3143),
Master_Mapping_Sheet!$H$2:$H$3143=U$1,
Master_Mapping_Sheet!$B$2:$B$3143=$A34))/sum(filter(
Master_Mapping_Sheet!$E$2:$E$3143, ISNUMBER(
Master_Mapping_Sh"&amp;"eet!$E$2:$E$3143),
Master_Mapping_Sheet!$B$2:$B$3143=$A34))), 0, sum(filter(
Master_Mapping_Sheet!$E$2:$E$3143, ISNUMBER(
Master_Mapping_Sheet!$E$2:$E$3143),
Master_Mapping_Sheet!$H$2:$H$3143=U$1,
Master_Mapping_Sheet!$B$2:$B$3143=$A34))/sum(filter(
Maste"&amp;"r_Mapping_Sheet!$E$2:$E$3143, ISNUMBER(
Master_Mapping_Sheet!$E$2:$E$3143),
Master_Mapping_Sheet!$B$2:$B$3143=$A34)))"),0.0)</f>
        <v>0</v>
      </c>
      <c r="V34" s="34">
        <f>IFERROR(__xludf.DUMMYFUNCTION("IF(ISNA(sum(filter(
Master_Mapping_Sheet!$E$2:$E$3143, ISNUMBER(
Master_Mapping_Sheet!$E$2:$E$3143),
Master_Mapping_Sheet!$H$2:$H$3143=V$1,
Master_Mapping_Sheet!$B$2:$B$3143=$A34))/sum(filter(
Master_Mapping_Sheet!$E$2:$E$3143, ISNUMBER(
Master_Mapping_Sh"&amp;"eet!$E$2:$E$3143),
Master_Mapping_Sheet!$B$2:$B$3143=$A34))), 0, sum(filter(
Master_Mapping_Sheet!$E$2:$E$3143, ISNUMBER(
Master_Mapping_Sheet!$E$2:$E$3143),
Master_Mapping_Sheet!$H$2:$H$3143=V$1,
Master_Mapping_Sheet!$B$2:$B$3143=$A34))/sum(filter(
Maste"&amp;"r_Mapping_Sheet!$E$2:$E$3143, ISNUMBER(
Master_Mapping_Sheet!$E$2:$E$3143),
Master_Mapping_Sheet!$B$2:$B$3143=$A34)))"),0.0)</f>
        <v>0</v>
      </c>
      <c r="W34" s="34">
        <f>IFERROR(__xludf.DUMMYFUNCTION("IF(ISNA(sum(filter(
Master_Mapping_Sheet!$E$2:$E$3143, ISNUMBER(
Master_Mapping_Sheet!$E$2:$E$3143),
Master_Mapping_Sheet!$H$2:$H$3143=W$1,
Master_Mapping_Sheet!$B$2:$B$3143=$A34))/sum(filter(
Master_Mapping_Sheet!$E$2:$E$3143, ISNUMBER(
Master_Mapping_Sh"&amp;"eet!$E$2:$E$3143),
Master_Mapping_Sheet!$B$2:$B$3143=$A34))), 0, sum(filter(
Master_Mapping_Sheet!$E$2:$E$3143, ISNUMBER(
Master_Mapping_Sheet!$E$2:$E$3143),
Master_Mapping_Sheet!$H$2:$H$3143=W$1,
Master_Mapping_Sheet!$B$2:$B$3143=$A34))/sum(filter(
Maste"&amp;"r_Mapping_Sheet!$E$2:$E$3143, ISNUMBER(
Master_Mapping_Sheet!$E$2:$E$3143),
Master_Mapping_Sheet!$B$2:$B$3143=$A34)))"),0.0)</f>
        <v>0</v>
      </c>
      <c r="X34" s="34">
        <f>IFERROR(__xludf.DUMMYFUNCTION("IF(ISNA(sum(filter(
Master_Mapping_Sheet!$E$2:$E$3143, ISNUMBER(
Master_Mapping_Sheet!$E$2:$E$3143),
Master_Mapping_Sheet!$H$2:$H$3143=X$1,
Master_Mapping_Sheet!$B$2:$B$3143=$A34))/sum(filter(
Master_Mapping_Sheet!$E$2:$E$3143, ISNUMBER(
Master_Mapping_Sh"&amp;"eet!$E$2:$E$3143),
Master_Mapping_Sheet!$B$2:$B$3143=$A34))), 0, sum(filter(
Master_Mapping_Sheet!$E$2:$E$3143, ISNUMBER(
Master_Mapping_Sheet!$E$2:$E$3143),
Master_Mapping_Sheet!$H$2:$H$3143=X$1,
Master_Mapping_Sheet!$B$2:$B$3143=$A34))/sum(filter(
Maste"&amp;"r_Mapping_Sheet!$E$2:$E$3143, ISNUMBER(
Master_Mapping_Sheet!$E$2:$E$3143),
Master_Mapping_Sheet!$B$2:$B$3143=$A34)))"),0.0)</f>
        <v>0</v>
      </c>
      <c r="Y34" s="34">
        <f>IFERROR(__xludf.DUMMYFUNCTION("IF(ISNA(sum(filter(
Master_Mapping_Sheet!$E$2:$E$3143, ISNUMBER(
Master_Mapping_Sheet!$E$2:$E$3143),
Master_Mapping_Sheet!$H$2:$H$3143=Y$1,
Master_Mapping_Sheet!$B$2:$B$3143=$A34))/sum(filter(
Master_Mapping_Sheet!$E$2:$E$3143, ISNUMBER(
Master_Mapping_Sh"&amp;"eet!$E$2:$E$3143),
Master_Mapping_Sheet!$B$2:$B$3143=$A34))), 0, sum(filter(
Master_Mapping_Sheet!$E$2:$E$3143, ISNUMBER(
Master_Mapping_Sheet!$E$2:$E$3143),
Master_Mapping_Sheet!$H$2:$H$3143=Y$1,
Master_Mapping_Sheet!$B$2:$B$3143=$A34))/sum(filter(
Maste"&amp;"r_Mapping_Sheet!$E$2:$E$3143, ISNUMBER(
Master_Mapping_Sheet!$E$2:$E$3143),
Master_Mapping_Sheet!$B$2:$B$3143=$A34)))"),0.0)</f>
        <v>0</v>
      </c>
      <c r="Z34" s="34">
        <f>IFERROR(__xludf.DUMMYFUNCTION("IF(ISNA(sum(filter(
Master_Mapping_Sheet!$E$2:$E$3143, ISNUMBER(
Master_Mapping_Sheet!$E$2:$E$3143),
Master_Mapping_Sheet!$H$2:$H$3143=Z$1,
Master_Mapping_Sheet!$B$2:$B$3143=$A34))/sum(filter(
Master_Mapping_Sheet!$E$2:$E$3143, ISNUMBER(
Master_Mapping_Sh"&amp;"eet!$E$2:$E$3143),
Master_Mapping_Sheet!$B$2:$B$3143=$A34))), 0, sum(filter(
Master_Mapping_Sheet!$E$2:$E$3143, ISNUMBER(
Master_Mapping_Sheet!$E$2:$E$3143),
Master_Mapping_Sheet!$H$2:$H$3143=Z$1,
Master_Mapping_Sheet!$B$2:$B$3143=$A34))/sum(filter(
Maste"&amp;"r_Mapping_Sheet!$E$2:$E$3143, ISNUMBER(
Master_Mapping_Sheet!$E$2:$E$3143),
Master_Mapping_Sheet!$B$2:$B$3143=$A34)))"),0.0)</f>
        <v>0</v>
      </c>
      <c r="AA34" s="34">
        <f>IFERROR(__xludf.DUMMYFUNCTION("IF(ISNA(sum(filter(
Master_Mapping_Sheet!$E$2:$E$3143, ISNUMBER(
Master_Mapping_Sheet!$E$2:$E$3143),
Master_Mapping_Sheet!$H$2:$H$3143=AA$1,
Master_Mapping_Sheet!$B$2:$B$3143=$A34))/sum(filter(
Master_Mapping_Sheet!$E$2:$E$3143, ISNUMBER(
Master_Mapping_S"&amp;"heet!$E$2:$E$3143),
Master_Mapping_Sheet!$B$2:$B$3143=$A34))), 0, sum(filter(
Master_Mapping_Sheet!$E$2:$E$3143, ISNUMBER(
Master_Mapping_Sheet!$E$2:$E$3143),
Master_Mapping_Sheet!$H$2:$H$3143=AA$1,
Master_Mapping_Sheet!$B$2:$B$3143=$A34))/sum(filter(
Mas"&amp;"ter_Mapping_Sheet!$E$2:$E$3143, ISNUMBER(
Master_Mapping_Sheet!$E$2:$E$3143),
Master_Mapping_Sheet!$B$2:$B$3143=$A34)))"),0.0)</f>
        <v>0</v>
      </c>
    </row>
    <row r="35" ht="15.75" customHeight="1">
      <c r="A35" s="34" t="s">
        <v>1326</v>
      </c>
      <c r="B35" s="34" t="s">
        <v>3200</v>
      </c>
      <c r="C35" s="34">
        <f>IFERROR(__xludf.DUMMYFUNCTION("IF(ISNA(sum(filter(
Master_Mapping_Sheet!$E$2:$E$3143, ISNUMBER(
Master_Mapping_Sheet!$E$2:$E$3143),
Master_Mapping_Sheet!$H$2:$H$3143=C$1,
Master_Mapping_Sheet!$B$2:$B$3143=$A35))/sum(filter(
Master_Mapping_Sheet!$E$2:$E$3143, ISNUMBER(
Master_Mapping_Sh"&amp;"eet!$E$2:$E$3143),
Master_Mapping_Sheet!$B$2:$B$3143=$A35))), 0, sum(filter(
Master_Mapping_Sheet!$E$2:$E$3143, ISNUMBER(
Master_Mapping_Sheet!$E$2:$E$3143),
Master_Mapping_Sheet!$H$2:$H$3143=C$1,
Master_Mapping_Sheet!$B$2:$B$3143=$A35))/sum(filter(
Maste"&amp;"r_Mapping_Sheet!$E$2:$E$3143, ISNUMBER(
Master_Mapping_Sheet!$E$2:$E$3143),
Master_Mapping_Sheet!$B$2:$B$3143=$A35)))"),0.0)</f>
        <v>0</v>
      </c>
      <c r="D35" s="32">
        <f>IFERROR(__xludf.DUMMYFUNCTION("IF(ISNA(sum(filter(
Master_Mapping_Sheet!$E$2:$E$3143, ISNUMBER(
Master_Mapping_Sheet!$E$2:$E$3143),
Master_Mapping_Sheet!$H$2:$H$3143=D$1,
Master_Mapping_Sheet!$B$2:$B$3143=$A35))/sum(filter(
Master_Mapping_Sheet!$E$2:$E$3143, ISNUMBER(
Master_Mapping_Sh"&amp;"eet!$E$2:$E$3143),
Master_Mapping_Sheet!$B$2:$B$3143=$A35))), 0, sum(filter(
Master_Mapping_Sheet!$E$2:$E$3143, ISNUMBER(
Master_Mapping_Sheet!$E$2:$E$3143),
Master_Mapping_Sheet!$H$2:$H$3143=D$1,
Master_Mapping_Sheet!$B$2:$B$3143=$A35))/sum(filter(
Maste"&amp;"r_Mapping_Sheet!$E$2:$E$3143, ISNUMBER(
Master_Mapping_Sheet!$E$2:$E$3143),
Master_Mapping_Sheet!$B$2:$B$3143=$A35)))"),0.0)</f>
        <v>0</v>
      </c>
      <c r="E35" s="34">
        <f>IFERROR(__xludf.DUMMYFUNCTION("IF(ISNA(sum(filter(
Master_Mapping_Sheet!$E$2:$E$3143, ISNUMBER(
Master_Mapping_Sheet!$E$2:$E$3143),
Master_Mapping_Sheet!$H$2:$H$3143=E$1,
Master_Mapping_Sheet!$B$2:$B$3143=$A35))/sum(filter(
Master_Mapping_Sheet!$E$2:$E$3143, ISNUMBER(
Master_Mapping_Sh"&amp;"eet!$E$2:$E$3143),
Master_Mapping_Sheet!$B$2:$B$3143=$A35))), 0, sum(filter(
Master_Mapping_Sheet!$E$2:$E$3143, ISNUMBER(
Master_Mapping_Sheet!$E$2:$E$3143),
Master_Mapping_Sheet!$H$2:$H$3143=E$1,
Master_Mapping_Sheet!$B$2:$B$3143=$A35))/sum(filter(
Maste"&amp;"r_Mapping_Sheet!$E$2:$E$3143, ISNUMBER(
Master_Mapping_Sheet!$E$2:$E$3143),
Master_Mapping_Sheet!$B$2:$B$3143=$A35)))"),0.0)</f>
        <v>0</v>
      </c>
      <c r="F35" s="34">
        <f>IFERROR(__xludf.DUMMYFUNCTION("IF(ISNA(sum(filter(
Master_Mapping_Sheet!$E$2:$E$3143, ISNUMBER(
Master_Mapping_Sheet!$E$2:$E$3143),
Master_Mapping_Sheet!$H$2:$H$3143=F$1,
Master_Mapping_Sheet!$B$2:$B$3143=$A35))/sum(filter(
Master_Mapping_Sheet!$E$2:$E$3143, ISNUMBER(
Master_Mapping_Sh"&amp;"eet!$E$2:$E$3143),
Master_Mapping_Sheet!$B$2:$B$3143=$A35))), 0, sum(filter(
Master_Mapping_Sheet!$E$2:$E$3143, ISNUMBER(
Master_Mapping_Sheet!$E$2:$E$3143),
Master_Mapping_Sheet!$H$2:$H$3143=F$1,
Master_Mapping_Sheet!$B$2:$B$3143=$A35))/sum(filter(
Maste"&amp;"r_Mapping_Sheet!$E$2:$E$3143, ISNUMBER(
Master_Mapping_Sheet!$E$2:$E$3143),
Master_Mapping_Sheet!$B$2:$B$3143=$A35)))"),0.0)</f>
        <v>0</v>
      </c>
      <c r="G35" s="34">
        <f>IFERROR(__xludf.DUMMYFUNCTION("IF(ISNA(sum(filter(
Master_Mapping_Sheet!$E$2:$E$3143, ISNUMBER(
Master_Mapping_Sheet!$E$2:$E$3143),
Master_Mapping_Sheet!$H$2:$H$3143=G$1,
Master_Mapping_Sheet!$B$2:$B$3143=$A35))/sum(filter(
Master_Mapping_Sheet!$E$2:$E$3143, ISNUMBER(
Master_Mapping_Sh"&amp;"eet!$E$2:$E$3143),
Master_Mapping_Sheet!$B$2:$B$3143=$A35))), 0, sum(filter(
Master_Mapping_Sheet!$E$2:$E$3143, ISNUMBER(
Master_Mapping_Sheet!$E$2:$E$3143),
Master_Mapping_Sheet!$H$2:$H$3143=G$1,
Master_Mapping_Sheet!$B$2:$B$3143=$A35))/sum(filter(
Maste"&amp;"r_Mapping_Sheet!$E$2:$E$3143, ISNUMBER(
Master_Mapping_Sheet!$E$2:$E$3143),
Master_Mapping_Sheet!$B$2:$B$3143=$A35)))"),0.0)</f>
        <v>0</v>
      </c>
      <c r="H35" s="34">
        <f>IFERROR(__xludf.DUMMYFUNCTION("IF(ISNA(sum(filter(
Master_Mapping_Sheet!$E$2:$E$3143, ISNUMBER(
Master_Mapping_Sheet!$E$2:$E$3143),
Master_Mapping_Sheet!$H$2:$H$3143=H$1,
Master_Mapping_Sheet!$B$2:$B$3143=$A35))/sum(filter(
Master_Mapping_Sheet!$E$2:$E$3143, ISNUMBER(
Master_Mapping_Sh"&amp;"eet!$E$2:$E$3143),
Master_Mapping_Sheet!$B$2:$B$3143=$A35))), 0, sum(filter(
Master_Mapping_Sheet!$E$2:$E$3143, ISNUMBER(
Master_Mapping_Sheet!$E$2:$E$3143),
Master_Mapping_Sheet!$H$2:$H$3143=H$1,
Master_Mapping_Sheet!$B$2:$B$3143=$A35))/sum(filter(
Maste"&amp;"r_Mapping_Sheet!$E$2:$E$3143, ISNUMBER(
Master_Mapping_Sheet!$E$2:$E$3143),
Master_Mapping_Sheet!$B$2:$B$3143=$A35)))"),0.0)</f>
        <v>0</v>
      </c>
      <c r="I35" s="34">
        <f>IFERROR(__xludf.DUMMYFUNCTION("IF(ISNA(sum(filter(
Master_Mapping_Sheet!$E$2:$E$3143, ISNUMBER(
Master_Mapping_Sheet!$E$2:$E$3143),
Master_Mapping_Sheet!$H$2:$H$3143=I$1,
Master_Mapping_Sheet!$B$2:$B$3143=$A35))/sum(filter(
Master_Mapping_Sheet!$E$2:$E$3143, ISNUMBER(
Master_Mapping_Sh"&amp;"eet!$E$2:$E$3143),
Master_Mapping_Sheet!$B$2:$B$3143=$A35))), 0, sum(filter(
Master_Mapping_Sheet!$E$2:$E$3143, ISNUMBER(
Master_Mapping_Sheet!$E$2:$E$3143),
Master_Mapping_Sheet!$H$2:$H$3143=I$1,
Master_Mapping_Sheet!$B$2:$B$3143=$A35))/sum(filter(
Maste"&amp;"r_Mapping_Sheet!$E$2:$E$3143, ISNUMBER(
Master_Mapping_Sheet!$E$2:$E$3143),
Master_Mapping_Sheet!$B$2:$B$3143=$A35)))"),0.0)</f>
        <v>0</v>
      </c>
      <c r="J35" s="34">
        <f>IFERROR(__xludf.DUMMYFUNCTION("IF(ISNA(sum(filter(
Master_Mapping_Sheet!$E$2:$E$3143, ISNUMBER(
Master_Mapping_Sheet!$E$2:$E$3143),
Master_Mapping_Sheet!$H$2:$H$3143=J$1,
Master_Mapping_Sheet!$B$2:$B$3143=$A35))/sum(filter(
Master_Mapping_Sheet!$E$2:$E$3143, ISNUMBER(
Master_Mapping_Sh"&amp;"eet!$E$2:$E$3143),
Master_Mapping_Sheet!$B$2:$B$3143=$A35))), 0, sum(filter(
Master_Mapping_Sheet!$E$2:$E$3143, ISNUMBER(
Master_Mapping_Sheet!$E$2:$E$3143),
Master_Mapping_Sheet!$H$2:$H$3143=J$1,
Master_Mapping_Sheet!$B$2:$B$3143=$A35))/sum(filter(
Maste"&amp;"r_Mapping_Sheet!$E$2:$E$3143, ISNUMBER(
Master_Mapping_Sheet!$E$2:$E$3143),
Master_Mapping_Sheet!$B$2:$B$3143=$A35)))"),0.0)</f>
        <v>0</v>
      </c>
      <c r="K35" s="34">
        <f>IFERROR(__xludf.DUMMYFUNCTION("IF(ISNA(sum(filter(
Master_Mapping_Sheet!$E$2:$E$3143, ISNUMBER(
Master_Mapping_Sheet!$E$2:$E$3143),
Master_Mapping_Sheet!$H$2:$H$3143=K$1,
Master_Mapping_Sheet!$B$2:$B$3143=$A35))/sum(filter(
Master_Mapping_Sheet!$E$2:$E$3143, ISNUMBER(
Master_Mapping_Sh"&amp;"eet!$E$2:$E$3143),
Master_Mapping_Sheet!$B$2:$B$3143=$A35))), 0, sum(filter(
Master_Mapping_Sheet!$E$2:$E$3143, ISNUMBER(
Master_Mapping_Sheet!$E$2:$E$3143),
Master_Mapping_Sheet!$H$2:$H$3143=K$1,
Master_Mapping_Sheet!$B$2:$B$3143=$A35))/sum(filter(
Maste"&amp;"r_Mapping_Sheet!$E$2:$E$3143, ISNUMBER(
Master_Mapping_Sheet!$E$2:$E$3143),
Master_Mapping_Sheet!$B$2:$B$3143=$A35)))"),0.0)</f>
        <v>0</v>
      </c>
      <c r="L35" s="34">
        <f>IFERROR(__xludf.DUMMYFUNCTION("IF(ISNA(sum(filter(
Master_Mapping_Sheet!$E$2:$E$3143, ISNUMBER(
Master_Mapping_Sheet!$E$2:$E$3143),
Master_Mapping_Sheet!$H$2:$H$3143=L$1,
Master_Mapping_Sheet!$B$2:$B$3143=$A35))/sum(filter(
Master_Mapping_Sheet!$E$2:$E$3143, ISNUMBER(
Master_Mapping_Sh"&amp;"eet!$E$2:$E$3143),
Master_Mapping_Sheet!$B$2:$B$3143=$A35))), 0, sum(filter(
Master_Mapping_Sheet!$E$2:$E$3143, ISNUMBER(
Master_Mapping_Sheet!$E$2:$E$3143),
Master_Mapping_Sheet!$H$2:$H$3143=L$1,
Master_Mapping_Sheet!$B$2:$B$3143=$A35))/sum(filter(
Maste"&amp;"r_Mapping_Sheet!$E$2:$E$3143, ISNUMBER(
Master_Mapping_Sheet!$E$2:$E$3143),
Master_Mapping_Sheet!$B$2:$B$3143=$A35)))"),0.0)</f>
        <v>0</v>
      </c>
      <c r="M35" s="34">
        <f>IFERROR(__xludf.DUMMYFUNCTION("IF(ISNA(sum(filter(
Master_Mapping_Sheet!$E$2:$E$3143, ISNUMBER(
Master_Mapping_Sheet!$E$2:$E$3143),
Master_Mapping_Sheet!$H$2:$H$3143=M$1,
Master_Mapping_Sheet!$B$2:$B$3143=$A35))/sum(filter(
Master_Mapping_Sheet!$E$2:$E$3143, ISNUMBER(
Master_Mapping_Sh"&amp;"eet!$E$2:$E$3143),
Master_Mapping_Sheet!$B$2:$B$3143=$A35))), 0, sum(filter(
Master_Mapping_Sheet!$E$2:$E$3143, ISNUMBER(
Master_Mapping_Sheet!$E$2:$E$3143),
Master_Mapping_Sheet!$H$2:$H$3143=M$1,
Master_Mapping_Sheet!$B$2:$B$3143=$A35))/sum(filter(
Maste"&amp;"r_Mapping_Sheet!$E$2:$E$3143, ISNUMBER(
Master_Mapping_Sheet!$E$2:$E$3143),
Master_Mapping_Sheet!$B$2:$B$3143=$A35)))"),0.0)</f>
        <v>0</v>
      </c>
      <c r="N35" s="34">
        <f>IFERROR(__xludf.DUMMYFUNCTION("IF(ISNA(sum(filter(
Master_Mapping_Sheet!$E$2:$E$3143, ISNUMBER(
Master_Mapping_Sheet!$E$2:$E$3143),
Master_Mapping_Sheet!$H$2:$H$3143=N$1,
Master_Mapping_Sheet!$B$2:$B$3143=$A35))/sum(filter(
Master_Mapping_Sheet!$E$2:$E$3143, ISNUMBER(
Master_Mapping_Sh"&amp;"eet!$E$2:$E$3143),
Master_Mapping_Sheet!$B$2:$B$3143=$A35))), 0, sum(filter(
Master_Mapping_Sheet!$E$2:$E$3143, ISNUMBER(
Master_Mapping_Sheet!$E$2:$E$3143),
Master_Mapping_Sheet!$H$2:$H$3143=N$1,
Master_Mapping_Sheet!$B$2:$B$3143=$A35))/sum(filter(
Maste"&amp;"r_Mapping_Sheet!$E$2:$E$3143, ISNUMBER(
Master_Mapping_Sheet!$E$2:$E$3143),
Master_Mapping_Sheet!$B$2:$B$3143=$A35)))"),0.0)</f>
        <v>0</v>
      </c>
      <c r="O35" s="34">
        <f>IFERROR(__xludf.DUMMYFUNCTION("IF(ISNA(sum(filter(
Master_Mapping_Sheet!$E$2:$E$3143, ISNUMBER(
Master_Mapping_Sheet!$E$2:$E$3143),
Master_Mapping_Sheet!$H$2:$H$3143=O$1,
Master_Mapping_Sheet!$B$2:$B$3143=$A35))/sum(filter(
Master_Mapping_Sheet!$E$2:$E$3143, ISNUMBER(
Master_Mapping_Sh"&amp;"eet!$E$2:$E$3143),
Master_Mapping_Sheet!$B$2:$B$3143=$A35))), 0, sum(filter(
Master_Mapping_Sheet!$E$2:$E$3143, ISNUMBER(
Master_Mapping_Sheet!$E$2:$E$3143),
Master_Mapping_Sheet!$H$2:$H$3143=O$1,
Master_Mapping_Sheet!$B$2:$B$3143=$A35))/sum(filter(
Maste"&amp;"r_Mapping_Sheet!$E$2:$E$3143, ISNUMBER(
Master_Mapping_Sheet!$E$2:$E$3143),
Master_Mapping_Sheet!$B$2:$B$3143=$A35)))"),0.07256330146921815)</f>
        <v>0.07256330147</v>
      </c>
      <c r="P35" s="34">
        <f>IFERROR(__xludf.DUMMYFUNCTION("IF(ISNA(sum(filter(
Master_Mapping_Sheet!$E$2:$E$3143, ISNUMBER(
Master_Mapping_Sheet!$E$2:$E$3143),
Master_Mapping_Sheet!$H$2:$H$3143=P$1,
Master_Mapping_Sheet!$B$2:$B$3143=$A35))/sum(filter(
Master_Mapping_Sheet!$E$2:$E$3143, ISNUMBER(
Master_Mapping_Sh"&amp;"eet!$E$2:$E$3143),
Master_Mapping_Sheet!$B$2:$B$3143=$A35))), 0, sum(filter(
Master_Mapping_Sheet!$E$2:$E$3143, ISNUMBER(
Master_Mapping_Sheet!$E$2:$E$3143),
Master_Mapping_Sheet!$H$2:$H$3143=P$1,
Master_Mapping_Sheet!$B$2:$B$3143=$A35))/sum(filter(
Maste"&amp;"r_Mapping_Sheet!$E$2:$E$3143, ISNUMBER(
Master_Mapping_Sheet!$E$2:$E$3143),
Master_Mapping_Sheet!$B$2:$B$3143=$A35)))"),0.9274366985307818)</f>
        <v>0.9274366985</v>
      </c>
      <c r="Q35" s="34">
        <f>IFERROR(__xludf.DUMMYFUNCTION("IF(ISNA(sum(filter(
Master_Mapping_Sheet!$E$2:$E$3143, ISNUMBER(
Master_Mapping_Sheet!$E$2:$E$3143),
Master_Mapping_Sheet!$H$2:$H$3143=Q$1,
Master_Mapping_Sheet!$B$2:$B$3143=$A35))/sum(filter(
Master_Mapping_Sheet!$E$2:$E$3143, ISNUMBER(
Master_Mapping_Sh"&amp;"eet!$E$2:$E$3143),
Master_Mapping_Sheet!$B$2:$B$3143=$A35))), 0, sum(filter(
Master_Mapping_Sheet!$E$2:$E$3143, ISNUMBER(
Master_Mapping_Sheet!$E$2:$E$3143),
Master_Mapping_Sheet!$H$2:$H$3143=Q$1,
Master_Mapping_Sheet!$B$2:$B$3143=$A35))/sum(filter(
Maste"&amp;"r_Mapping_Sheet!$E$2:$E$3143, ISNUMBER(
Master_Mapping_Sheet!$E$2:$E$3143),
Master_Mapping_Sheet!$B$2:$B$3143=$A35)))"),0.0)</f>
        <v>0</v>
      </c>
      <c r="R35" s="34">
        <f>IFERROR(__xludf.DUMMYFUNCTION("IF(ISNA(sum(filter(
Master_Mapping_Sheet!$E$2:$E$3143, ISNUMBER(
Master_Mapping_Sheet!$E$2:$E$3143),
Master_Mapping_Sheet!$H$2:$H$3143=R$1,
Master_Mapping_Sheet!$B$2:$B$3143=$A35))/sum(filter(
Master_Mapping_Sheet!$E$2:$E$3143, ISNUMBER(
Master_Mapping_Sh"&amp;"eet!$E$2:$E$3143),
Master_Mapping_Sheet!$B$2:$B$3143=$A35))), 0, sum(filter(
Master_Mapping_Sheet!$E$2:$E$3143, ISNUMBER(
Master_Mapping_Sheet!$E$2:$E$3143),
Master_Mapping_Sheet!$H$2:$H$3143=R$1,
Master_Mapping_Sheet!$B$2:$B$3143=$A35))/sum(filter(
Maste"&amp;"r_Mapping_Sheet!$E$2:$E$3143, ISNUMBER(
Master_Mapping_Sheet!$E$2:$E$3143),
Master_Mapping_Sheet!$B$2:$B$3143=$A35)))"),0.0)</f>
        <v>0</v>
      </c>
      <c r="S35" s="34">
        <f>IFERROR(__xludf.DUMMYFUNCTION("IF(ISNA(sum(filter(
Master_Mapping_Sheet!$E$2:$E$3143, ISNUMBER(
Master_Mapping_Sheet!$E$2:$E$3143),
Master_Mapping_Sheet!$H$2:$H$3143=S$1,
Master_Mapping_Sheet!$B$2:$B$3143=$A35))/sum(filter(
Master_Mapping_Sheet!$E$2:$E$3143, ISNUMBER(
Master_Mapping_Sh"&amp;"eet!$E$2:$E$3143),
Master_Mapping_Sheet!$B$2:$B$3143=$A35))), 0, sum(filter(
Master_Mapping_Sheet!$E$2:$E$3143, ISNUMBER(
Master_Mapping_Sheet!$E$2:$E$3143),
Master_Mapping_Sheet!$H$2:$H$3143=S$1,
Master_Mapping_Sheet!$B$2:$B$3143=$A35))/sum(filter(
Maste"&amp;"r_Mapping_Sheet!$E$2:$E$3143, ISNUMBER(
Master_Mapping_Sheet!$E$2:$E$3143),
Master_Mapping_Sheet!$B$2:$B$3143=$A35)))"),0.0)</f>
        <v>0</v>
      </c>
      <c r="T35" s="34">
        <f>IFERROR(__xludf.DUMMYFUNCTION("IF(ISNA(sum(filter(
Master_Mapping_Sheet!$E$2:$E$3143, ISNUMBER(
Master_Mapping_Sheet!$E$2:$E$3143),
Master_Mapping_Sheet!$H$2:$H$3143=T$1,
Master_Mapping_Sheet!$B$2:$B$3143=$A35))/sum(filter(
Master_Mapping_Sheet!$E$2:$E$3143, ISNUMBER(
Master_Mapping_Sh"&amp;"eet!$E$2:$E$3143),
Master_Mapping_Sheet!$B$2:$B$3143=$A35))), 0, sum(filter(
Master_Mapping_Sheet!$E$2:$E$3143, ISNUMBER(
Master_Mapping_Sheet!$E$2:$E$3143),
Master_Mapping_Sheet!$H$2:$H$3143=T$1,
Master_Mapping_Sheet!$B$2:$B$3143=$A35))/sum(filter(
Maste"&amp;"r_Mapping_Sheet!$E$2:$E$3143, ISNUMBER(
Master_Mapping_Sheet!$E$2:$E$3143),
Master_Mapping_Sheet!$B$2:$B$3143=$A35)))"),0.0)</f>
        <v>0</v>
      </c>
      <c r="U35" s="34">
        <f>IFERROR(__xludf.DUMMYFUNCTION("IF(ISNA(sum(filter(
Master_Mapping_Sheet!$E$2:$E$3143, ISNUMBER(
Master_Mapping_Sheet!$E$2:$E$3143),
Master_Mapping_Sheet!$H$2:$H$3143=U$1,
Master_Mapping_Sheet!$B$2:$B$3143=$A35))/sum(filter(
Master_Mapping_Sheet!$E$2:$E$3143, ISNUMBER(
Master_Mapping_Sh"&amp;"eet!$E$2:$E$3143),
Master_Mapping_Sheet!$B$2:$B$3143=$A35))), 0, sum(filter(
Master_Mapping_Sheet!$E$2:$E$3143, ISNUMBER(
Master_Mapping_Sheet!$E$2:$E$3143),
Master_Mapping_Sheet!$H$2:$H$3143=U$1,
Master_Mapping_Sheet!$B$2:$B$3143=$A35))/sum(filter(
Maste"&amp;"r_Mapping_Sheet!$E$2:$E$3143, ISNUMBER(
Master_Mapping_Sheet!$E$2:$E$3143),
Master_Mapping_Sheet!$B$2:$B$3143=$A35)))"),0.0)</f>
        <v>0</v>
      </c>
      <c r="V35" s="34">
        <f>IFERROR(__xludf.DUMMYFUNCTION("IF(ISNA(sum(filter(
Master_Mapping_Sheet!$E$2:$E$3143, ISNUMBER(
Master_Mapping_Sheet!$E$2:$E$3143),
Master_Mapping_Sheet!$H$2:$H$3143=V$1,
Master_Mapping_Sheet!$B$2:$B$3143=$A35))/sum(filter(
Master_Mapping_Sheet!$E$2:$E$3143, ISNUMBER(
Master_Mapping_Sh"&amp;"eet!$E$2:$E$3143),
Master_Mapping_Sheet!$B$2:$B$3143=$A35))), 0, sum(filter(
Master_Mapping_Sheet!$E$2:$E$3143, ISNUMBER(
Master_Mapping_Sheet!$E$2:$E$3143),
Master_Mapping_Sheet!$H$2:$H$3143=V$1,
Master_Mapping_Sheet!$B$2:$B$3143=$A35))/sum(filter(
Maste"&amp;"r_Mapping_Sheet!$E$2:$E$3143, ISNUMBER(
Master_Mapping_Sheet!$E$2:$E$3143),
Master_Mapping_Sheet!$B$2:$B$3143=$A35)))"),0.0)</f>
        <v>0</v>
      </c>
      <c r="W35" s="34">
        <f>IFERROR(__xludf.DUMMYFUNCTION("IF(ISNA(sum(filter(
Master_Mapping_Sheet!$E$2:$E$3143, ISNUMBER(
Master_Mapping_Sheet!$E$2:$E$3143),
Master_Mapping_Sheet!$H$2:$H$3143=W$1,
Master_Mapping_Sheet!$B$2:$B$3143=$A35))/sum(filter(
Master_Mapping_Sheet!$E$2:$E$3143, ISNUMBER(
Master_Mapping_Sh"&amp;"eet!$E$2:$E$3143),
Master_Mapping_Sheet!$B$2:$B$3143=$A35))), 0, sum(filter(
Master_Mapping_Sheet!$E$2:$E$3143, ISNUMBER(
Master_Mapping_Sheet!$E$2:$E$3143),
Master_Mapping_Sheet!$H$2:$H$3143=W$1,
Master_Mapping_Sheet!$B$2:$B$3143=$A35))/sum(filter(
Maste"&amp;"r_Mapping_Sheet!$E$2:$E$3143, ISNUMBER(
Master_Mapping_Sheet!$E$2:$E$3143),
Master_Mapping_Sheet!$B$2:$B$3143=$A35)))"),0.0)</f>
        <v>0</v>
      </c>
      <c r="X35" s="34">
        <f>IFERROR(__xludf.DUMMYFUNCTION("IF(ISNA(sum(filter(
Master_Mapping_Sheet!$E$2:$E$3143, ISNUMBER(
Master_Mapping_Sheet!$E$2:$E$3143),
Master_Mapping_Sheet!$H$2:$H$3143=X$1,
Master_Mapping_Sheet!$B$2:$B$3143=$A35))/sum(filter(
Master_Mapping_Sheet!$E$2:$E$3143, ISNUMBER(
Master_Mapping_Sh"&amp;"eet!$E$2:$E$3143),
Master_Mapping_Sheet!$B$2:$B$3143=$A35))), 0, sum(filter(
Master_Mapping_Sheet!$E$2:$E$3143, ISNUMBER(
Master_Mapping_Sheet!$E$2:$E$3143),
Master_Mapping_Sheet!$H$2:$H$3143=X$1,
Master_Mapping_Sheet!$B$2:$B$3143=$A35))/sum(filter(
Maste"&amp;"r_Mapping_Sheet!$E$2:$E$3143, ISNUMBER(
Master_Mapping_Sheet!$E$2:$E$3143),
Master_Mapping_Sheet!$B$2:$B$3143=$A35)))"),0.0)</f>
        <v>0</v>
      </c>
      <c r="Y35" s="34">
        <f>IFERROR(__xludf.DUMMYFUNCTION("IF(ISNA(sum(filter(
Master_Mapping_Sheet!$E$2:$E$3143, ISNUMBER(
Master_Mapping_Sheet!$E$2:$E$3143),
Master_Mapping_Sheet!$H$2:$H$3143=Y$1,
Master_Mapping_Sheet!$B$2:$B$3143=$A35))/sum(filter(
Master_Mapping_Sheet!$E$2:$E$3143, ISNUMBER(
Master_Mapping_Sh"&amp;"eet!$E$2:$E$3143),
Master_Mapping_Sheet!$B$2:$B$3143=$A35))), 0, sum(filter(
Master_Mapping_Sheet!$E$2:$E$3143, ISNUMBER(
Master_Mapping_Sheet!$E$2:$E$3143),
Master_Mapping_Sheet!$H$2:$H$3143=Y$1,
Master_Mapping_Sheet!$B$2:$B$3143=$A35))/sum(filter(
Maste"&amp;"r_Mapping_Sheet!$E$2:$E$3143, ISNUMBER(
Master_Mapping_Sheet!$E$2:$E$3143),
Master_Mapping_Sheet!$B$2:$B$3143=$A35)))"),0.0)</f>
        <v>0</v>
      </c>
      <c r="Z35" s="34">
        <f>IFERROR(__xludf.DUMMYFUNCTION("IF(ISNA(sum(filter(
Master_Mapping_Sheet!$E$2:$E$3143, ISNUMBER(
Master_Mapping_Sheet!$E$2:$E$3143),
Master_Mapping_Sheet!$H$2:$H$3143=Z$1,
Master_Mapping_Sheet!$B$2:$B$3143=$A35))/sum(filter(
Master_Mapping_Sheet!$E$2:$E$3143, ISNUMBER(
Master_Mapping_Sh"&amp;"eet!$E$2:$E$3143),
Master_Mapping_Sheet!$B$2:$B$3143=$A35))), 0, sum(filter(
Master_Mapping_Sheet!$E$2:$E$3143, ISNUMBER(
Master_Mapping_Sheet!$E$2:$E$3143),
Master_Mapping_Sheet!$H$2:$H$3143=Z$1,
Master_Mapping_Sheet!$B$2:$B$3143=$A35))/sum(filter(
Maste"&amp;"r_Mapping_Sheet!$E$2:$E$3143, ISNUMBER(
Master_Mapping_Sheet!$E$2:$E$3143),
Master_Mapping_Sheet!$B$2:$B$3143=$A35)))"),0.0)</f>
        <v>0</v>
      </c>
      <c r="AA35" s="34">
        <f>IFERROR(__xludf.DUMMYFUNCTION("IF(ISNA(sum(filter(
Master_Mapping_Sheet!$E$2:$E$3143, ISNUMBER(
Master_Mapping_Sheet!$E$2:$E$3143),
Master_Mapping_Sheet!$H$2:$H$3143=AA$1,
Master_Mapping_Sheet!$B$2:$B$3143=$A35))/sum(filter(
Master_Mapping_Sheet!$E$2:$E$3143, ISNUMBER(
Master_Mapping_S"&amp;"heet!$E$2:$E$3143),
Master_Mapping_Sheet!$B$2:$B$3143=$A35))), 0, sum(filter(
Master_Mapping_Sheet!$E$2:$E$3143, ISNUMBER(
Master_Mapping_Sheet!$E$2:$E$3143),
Master_Mapping_Sheet!$H$2:$H$3143=AA$1,
Master_Mapping_Sheet!$B$2:$B$3143=$A35))/sum(filter(
Mas"&amp;"ter_Mapping_Sheet!$E$2:$E$3143, ISNUMBER(
Master_Mapping_Sheet!$E$2:$E$3143),
Master_Mapping_Sheet!$B$2:$B$3143=$A35)))"),0.0)</f>
        <v>0</v>
      </c>
    </row>
    <row r="36" ht="15.75" customHeight="1">
      <c r="A36" s="34" t="s">
        <v>1390</v>
      </c>
      <c r="B36" s="34" t="s">
        <v>3265</v>
      </c>
      <c r="C36" s="34">
        <f>IFERROR(__xludf.DUMMYFUNCTION("IF(ISNA(sum(filter(
Master_Mapping_Sheet!$E$2:$E$3143, ISNUMBER(
Master_Mapping_Sheet!$E$2:$E$3143),
Master_Mapping_Sheet!$H$2:$H$3143=C$1,
Master_Mapping_Sheet!$B$2:$B$3143=$A36))/sum(filter(
Master_Mapping_Sheet!$E$2:$E$3143, ISNUMBER(
Master_Mapping_Sh"&amp;"eet!$E$2:$E$3143),
Master_Mapping_Sheet!$B$2:$B$3143=$A36))), 0, sum(filter(
Master_Mapping_Sheet!$E$2:$E$3143, ISNUMBER(
Master_Mapping_Sheet!$E$2:$E$3143),
Master_Mapping_Sheet!$H$2:$H$3143=C$1,
Master_Mapping_Sheet!$B$2:$B$3143=$A36))/sum(filter(
Maste"&amp;"r_Mapping_Sheet!$E$2:$E$3143, ISNUMBER(
Master_Mapping_Sheet!$E$2:$E$3143),
Master_Mapping_Sheet!$B$2:$B$3143=$A36)))"),0.0)</f>
        <v>0</v>
      </c>
      <c r="D36" s="32">
        <f>IFERROR(__xludf.DUMMYFUNCTION("IF(ISNA(sum(filter(
Master_Mapping_Sheet!$E$2:$E$3143, ISNUMBER(
Master_Mapping_Sheet!$E$2:$E$3143),
Master_Mapping_Sheet!$H$2:$H$3143=D$1,
Master_Mapping_Sheet!$B$2:$B$3143=$A36))/sum(filter(
Master_Mapping_Sheet!$E$2:$E$3143, ISNUMBER(
Master_Mapping_Sh"&amp;"eet!$E$2:$E$3143),
Master_Mapping_Sheet!$B$2:$B$3143=$A36))), 0, sum(filter(
Master_Mapping_Sheet!$E$2:$E$3143, ISNUMBER(
Master_Mapping_Sheet!$E$2:$E$3143),
Master_Mapping_Sheet!$H$2:$H$3143=D$1,
Master_Mapping_Sheet!$B$2:$B$3143=$A36))/sum(filter(
Maste"&amp;"r_Mapping_Sheet!$E$2:$E$3143, ISNUMBER(
Master_Mapping_Sheet!$E$2:$E$3143),
Master_Mapping_Sheet!$B$2:$B$3143=$A36)))"),0.0)</f>
        <v>0</v>
      </c>
      <c r="E36" s="34">
        <f>IFERROR(__xludf.DUMMYFUNCTION("IF(ISNA(sum(filter(
Master_Mapping_Sheet!$E$2:$E$3143, ISNUMBER(
Master_Mapping_Sheet!$E$2:$E$3143),
Master_Mapping_Sheet!$H$2:$H$3143=E$1,
Master_Mapping_Sheet!$B$2:$B$3143=$A36))/sum(filter(
Master_Mapping_Sheet!$E$2:$E$3143, ISNUMBER(
Master_Mapping_Sh"&amp;"eet!$E$2:$E$3143),
Master_Mapping_Sheet!$B$2:$B$3143=$A36))), 0, sum(filter(
Master_Mapping_Sheet!$E$2:$E$3143, ISNUMBER(
Master_Mapping_Sheet!$E$2:$E$3143),
Master_Mapping_Sheet!$H$2:$H$3143=E$1,
Master_Mapping_Sheet!$B$2:$B$3143=$A36))/sum(filter(
Maste"&amp;"r_Mapping_Sheet!$E$2:$E$3143, ISNUMBER(
Master_Mapping_Sheet!$E$2:$E$3143),
Master_Mapping_Sheet!$B$2:$B$3143=$A36)))"),0.09108385230238568)</f>
        <v>0.0910838523</v>
      </c>
      <c r="F36" s="34">
        <f>IFERROR(__xludf.DUMMYFUNCTION("IF(ISNA(sum(filter(
Master_Mapping_Sheet!$E$2:$E$3143, ISNUMBER(
Master_Mapping_Sheet!$E$2:$E$3143),
Master_Mapping_Sheet!$H$2:$H$3143=F$1,
Master_Mapping_Sheet!$B$2:$B$3143=$A36))/sum(filter(
Master_Mapping_Sheet!$E$2:$E$3143, ISNUMBER(
Master_Mapping_Sh"&amp;"eet!$E$2:$E$3143),
Master_Mapping_Sheet!$B$2:$B$3143=$A36))), 0, sum(filter(
Master_Mapping_Sheet!$E$2:$E$3143, ISNUMBER(
Master_Mapping_Sheet!$E$2:$E$3143),
Master_Mapping_Sheet!$H$2:$H$3143=F$1,
Master_Mapping_Sheet!$B$2:$B$3143=$A36))/sum(filter(
Maste"&amp;"r_Mapping_Sheet!$E$2:$E$3143, ISNUMBER(
Master_Mapping_Sheet!$E$2:$E$3143),
Master_Mapping_Sheet!$B$2:$B$3143=$A36)))"),0.0)</f>
        <v>0</v>
      </c>
      <c r="G36" s="34">
        <f>IFERROR(__xludf.DUMMYFUNCTION("IF(ISNA(sum(filter(
Master_Mapping_Sheet!$E$2:$E$3143, ISNUMBER(
Master_Mapping_Sheet!$E$2:$E$3143),
Master_Mapping_Sheet!$H$2:$H$3143=G$1,
Master_Mapping_Sheet!$B$2:$B$3143=$A36))/sum(filter(
Master_Mapping_Sheet!$E$2:$E$3143, ISNUMBER(
Master_Mapping_Sh"&amp;"eet!$E$2:$E$3143),
Master_Mapping_Sheet!$B$2:$B$3143=$A36))), 0, sum(filter(
Master_Mapping_Sheet!$E$2:$E$3143, ISNUMBER(
Master_Mapping_Sheet!$E$2:$E$3143),
Master_Mapping_Sheet!$H$2:$H$3143=G$1,
Master_Mapping_Sheet!$B$2:$B$3143=$A36))/sum(filter(
Maste"&amp;"r_Mapping_Sheet!$E$2:$E$3143, ISNUMBER(
Master_Mapping_Sheet!$E$2:$E$3143),
Master_Mapping_Sheet!$B$2:$B$3143=$A36)))"),0.0)</f>
        <v>0</v>
      </c>
      <c r="H36" s="34">
        <f>IFERROR(__xludf.DUMMYFUNCTION("IF(ISNA(sum(filter(
Master_Mapping_Sheet!$E$2:$E$3143, ISNUMBER(
Master_Mapping_Sheet!$E$2:$E$3143),
Master_Mapping_Sheet!$H$2:$H$3143=H$1,
Master_Mapping_Sheet!$B$2:$B$3143=$A36))/sum(filter(
Master_Mapping_Sheet!$E$2:$E$3143, ISNUMBER(
Master_Mapping_Sh"&amp;"eet!$E$2:$E$3143),
Master_Mapping_Sheet!$B$2:$B$3143=$A36))), 0, sum(filter(
Master_Mapping_Sheet!$E$2:$E$3143, ISNUMBER(
Master_Mapping_Sheet!$E$2:$E$3143),
Master_Mapping_Sheet!$H$2:$H$3143=H$1,
Master_Mapping_Sheet!$B$2:$B$3143=$A36))/sum(filter(
Maste"&amp;"r_Mapping_Sheet!$E$2:$E$3143, ISNUMBER(
Master_Mapping_Sheet!$E$2:$E$3143),
Master_Mapping_Sheet!$B$2:$B$3143=$A36)))"),0.0)</f>
        <v>0</v>
      </c>
      <c r="I36" s="34">
        <f>IFERROR(__xludf.DUMMYFUNCTION("IF(ISNA(sum(filter(
Master_Mapping_Sheet!$E$2:$E$3143, ISNUMBER(
Master_Mapping_Sheet!$E$2:$E$3143),
Master_Mapping_Sheet!$H$2:$H$3143=I$1,
Master_Mapping_Sheet!$B$2:$B$3143=$A36))/sum(filter(
Master_Mapping_Sheet!$E$2:$E$3143, ISNUMBER(
Master_Mapping_Sh"&amp;"eet!$E$2:$E$3143),
Master_Mapping_Sheet!$B$2:$B$3143=$A36))), 0, sum(filter(
Master_Mapping_Sheet!$E$2:$E$3143, ISNUMBER(
Master_Mapping_Sheet!$E$2:$E$3143),
Master_Mapping_Sheet!$H$2:$H$3143=I$1,
Master_Mapping_Sheet!$B$2:$B$3143=$A36))/sum(filter(
Maste"&amp;"r_Mapping_Sheet!$E$2:$E$3143, ISNUMBER(
Master_Mapping_Sheet!$E$2:$E$3143),
Master_Mapping_Sheet!$B$2:$B$3143=$A36)))"),0.0)</f>
        <v>0</v>
      </c>
      <c r="J36" s="34">
        <f>IFERROR(__xludf.DUMMYFUNCTION("IF(ISNA(sum(filter(
Master_Mapping_Sheet!$E$2:$E$3143, ISNUMBER(
Master_Mapping_Sheet!$E$2:$E$3143),
Master_Mapping_Sheet!$H$2:$H$3143=J$1,
Master_Mapping_Sheet!$B$2:$B$3143=$A36))/sum(filter(
Master_Mapping_Sheet!$E$2:$E$3143, ISNUMBER(
Master_Mapping_Sh"&amp;"eet!$E$2:$E$3143),
Master_Mapping_Sheet!$B$2:$B$3143=$A36))), 0, sum(filter(
Master_Mapping_Sheet!$E$2:$E$3143, ISNUMBER(
Master_Mapping_Sheet!$E$2:$E$3143),
Master_Mapping_Sheet!$H$2:$H$3143=J$1,
Master_Mapping_Sheet!$B$2:$B$3143=$A36))/sum(filter(
Maste"&amp;"r_Mapping_Sheet!$E$2:$E$3143, ISNUMBER(
Master_Mapping_Sheet!$E$2:$E$3143),
Master_Mapping_Sheet!$B$2:$B$3143=$A36)))"),0.0)</f>
        <v>0</v>
      </c>
      <c r="K36" s="34">
        <f>IFERROR(__xludf.DUMMYFUNCTION("IF(ISNA(sum(filter(
Master_Mapping_Sheet!$E$2:$E$3143, ISNUMBER(
Master_Mapping_Sheet!$E$2:$E$3143),
Master_Mapping_Sheet!$H$2:$H$3143=K$1,
Master_Mapping_Sheet!$B$2:$B$3143=$A36))/sum(filter(
Master_Mapping_Sheet!$E$2:$E$3143, ISNUMBER(
Master_Mapping_Sh"&amp;"eet!$E$2:$E$3143),
Master_Mapping_Sheet!$B$2:$B$3143=$A36))), 0, sum(filter(
Master_Mapping_Sheet!$E$2:$E$3143, ISNUMBER(
Master_Mapping_Sheet!$E$2:$E$3143),
Master_Mapping_Sheet!$H$2:$H$3143=K$1,
Master_Mapping_Sheet!$B$2:$B$3143=$A36))/sum(filter(
Maste"&amp;"r_Mapping_Sheet!$E$2:$E$3143, ISNUMBER(
Master_Mapping_Sheet!$E$2:$E$3143),
Master_Mapping_Sheet!$B$2:$B$3143=$A36)))"),0.0)</f>
        <v>0</v>
      </c>
      <c r="L36" s="34">
        <f>IFERROR(__xludf.DUMMYFUNCTION("IF(ISNA(sum(filter(
Master_Mapping_Sheet!$E$2:$E$3143, ISNUMBER(
Master_Mapping_Sheet!$E$2:$E$3143),
Master_Mapping_Sheet!$H$2:$H$3143=L$1,
Master_Mapping_Sheet!$B$2:$B$3143=$A36))/sum(filter(
Master_Mapping_Sheet!$E$2:$E$3143, ISNUMBER(
Master_Mapping_Sh"&amp;"eet!$E$2:$E$3143),
Master_Mapping_Sheet!$B$2:$B$3143=$A36))), 0, sum(filter(
Master_Mapping_Sheet!$E$2:$E$3143, ISNUMBER(
Master_Mapping_Sheet!$E$2:$E$3143),
Master_Mapping_Sheet!$H$2:$H$3143=L$1,
Master_Mapping_Sheet!$B$2:$B$3143=$A36))/sum(filter(
Maste"&amp;"r_Mapping_Sheet!$E$2:$E$3143, ISNUMBER(
Master_Mapping_Sheet!$E$2:$E$3143),
Master_Mapping_Sheet!$B$2:$B$3143=$A36)))"),0.0)</f>
        <v>0</v>
      </c>
      <c r="M36" s="34">
        <f>IFERROR(__xludf.DUMMYFUNCTION("IF(ISNA(sum(filter(
Master_Mapping_Sheet!$E$2:$E$3143, ISNUMBER(
Master_Mapping_Sheet!$E$2:$E$3143),
Master_Mapping_Sheet!$H$2:$H$3143=M$1,
Master_Mapping_Sheet!$B$2:$B$3143=$A36))/sum(filter(
Master_Mapping_Sheet!$E$2:$E$3143, ISNUMBER(
Master_Mapping_Sh"&amp;"eet!$E$2:$E$3143),
Master_Mapping_Sheet!$B$2:$B$3143=$A36))), 0, sum(filter(
Master_Mapping_Sheet!$E$2:$E$3143, ISNUMBER(
Master_Mapping_Sheet!$E$2:$E$3143),
Master_Mapping_Sheet!$H$2:$H$3143=M$1,
Master_Mapping_Sheet!$B$2:$B$3143=$A36))/sum(filter(
Maste"&amp;"r_Mapping_Sheet!$E$2:$E$3143, ISNUMBER(
Master_Mapping_Sheet!$E$2:$E$3143),
Master_Mapping_Sheet!$B$2:$B$3143=$A36)))"),0.0)</f>
        <v>0</v>
      </c>
      <c r="N36" s="34">
        <f>IFERROR(__xludf.DUMMYFUNCTION("IF(ISNA(sum(filter(
Master_Mapping_Sheet!$E$2:$E$3143, ISNUMBER(
Master_Mapping_Sheet!$E$2:$E$3143),
Master_Mapping_Sheet!$H$2:$H$3143=N$1,
Master_Mapping_Sheet!$B$2:$B$3143=$A36))/sum(filter(
Master_Mapping_Sheet!$E$2:$E$3143, ISNUMBER(
Master_Mapping_Sh"&amp;"eet!$E$2:$E$3143),
Master_Mapping_Sheet!$B$2:$B$3143=$A36))), 0, sum(filter(
Master_Mapping_Sheet!$E$2:$E$3143, ISNUMBER(
Master_Mapping_Sheet!$E$2:$E$3143),
Master_Mapping_Sheet!$H$2:$H$3143=N$1,
Master_Mapping_Sheet!$B$2:$B$3143=$A36))/sum(filter(
Maste"&amp;"r_Mapping_Sheet!$E$2:$E$3143, ISNUMBER(
Master_Mapping_Sheet!$E$2:$E$3143),
Master_Mapping_Sheet!$B$2:$B$3143=$A36)))"),0.0)</f>
        <v>0</v>
      </c>
      <c r="O36" s="34">
        <f>IFERROR(__xludf.DUMMYFUNCTION("IF(ISNA(sum(filter(
Master_Mapping_Sheet!$E$2:$E$3143, ISNUMBER(
Master_Mapping_Sheet!$E$2:$E$3143),
Master_Mapping_Sheet!$H$2:$H$3143=O$1,
Master_Mapping_Sheet!$B$2:$B$3143=$A36))/sum(filter(
Master_Mapping_Sheet!$E$2:$E$3143, ISNUMBER(
Master_Mapping_Sh"&amp;"eet!$E$2:$E$3143),
Master_Mapping_Sheet!$B$2:$B$3143=$A36))), 0, sum(filter(
Master_Mapping_Sheet!$E$2:$E$3143, ISNUMBER(
Master_Mapping_Sheet!$E$2:$E$3143),
Master_Mapping_Sheet!$H$2:$H$3143=O$1,
Master_Mapping_Sheet!$B$2:$B$3143=$A36))/sum(filter(
Maste"&amp;"r_Mapping_Sheet!$E$2:$E$3143, ISNUMBER(
Master_Mapping_Sheet!$E$2:$E$3143),
Master_Mapping_Sheet!$B$2:$B$3143=$A36)))"),0.0)</f>
        <v>0</v>
      </c>
      <c r="P36" s="34">
        <f>IFERROR(__xludf.DUMMYFUNCTION("IF(ISNA(sum(filter(
Master_Mapping_Sheet!$E$2:$E$3143, ISNUMBER(
Master_Mapping_Sheet!$E$2:$E$3143),
Master_Mapping_Sheet!$H$2:$H$3143=P$1,
Master_Mapping_Sheet!$B$2:$B$3143=$A36))/sum(filter(
Master_Mapping_Sheet!$E$2:$E$3143, ISNUMBER(
Master_Mapping_Sh"&amp;"eet!$E$2:$E$3143),
Master_Mapping_Sheet!$B$2:$B$3143=$A36))), 0, sum(filter(
Master_Mapping_Sheet!$E$2:$E$3143, ISNUMBER(
Master_Mapping_Sheet!$E$2:$E$3143),
Master_Mapping_Sheet!$H$2:$H$3143=P$1,
Master_Mapping_Sheet!$B$2:$B$3143=$A36))/sum(filter(
Maste"&amp;"r_Mapping_Sheet!$E$2:$E$3143, ISNUMBER(
Master_Mapping_Sheet!$E$2:$E$3143),
Master_Mapping_Sheet!$B$2:$B$3143=$A36)))"),0.0)</f>
        <v>0</v>
      </c>
      <c r="Q36" s="34">
        <f>IFERROR(__xludf.DUMMYFUNCTION("IF(ISNA(sum(filter(
Master_Mapping_Sheet!$E$2:$E$3143, ISNUMBER(
Master_Mapping_Sheet!$E$2:$E$3143),
Master_Mapping_Sheet!$H$2:$H$3143=Q$1,
Master_Mapping_Sheet!$B$2:$B$3143=$A36))/sum(filter(
Master_Mapping_Sheet!$E$2:$E$3143, ISNUMBER(
Master_Mapping_Sh"&amp;"eet!$E$2:$E$3143),
Master_Mapping_Sheet!$B$2:$B$3143=$A36))), 0, sum(filter(
Master_Mapping_Sheet!$E$2:$E$3143, ISNUMBER(
Master_Mapping_Sheet!$E$2:$E$3143),
Master_Mapping_Sheet!$H$2:$H$3143=Q$1,
Master_Mapping_Sheet!$B$2:$B$3143=$A36))/sum(filter(
Maste"&amp;"r_Mapping_Sheet!$E$2:$E$3143, ISNUMBER(
Master_Mapping_Sheet!$E$2:$E$3143),
Master_Mapping_Sheet!$B$2:$B$3143=$A36)))"),0.0)</f>
        <v>0</v>
      </c>
      <c r="R36" s="34">
        <f>IFERROR(__xludf.DUMMYFUNCTION("IF(ISNA(sum(filter(
Master_Mapping_Sheet!$E$2:$E$3143, ISNUMBER(
Master_Mapping_Sheet!$E$2:$E$3143),
Master_Mapping_Sheet!$H$2:$H$3143=R$1,
Master_Mapping_Sheet!$B$2:$B$3143=$A36))/sum(filter(
Master_Mapping_Sheet!$E$2:$E$3143, ISNUMBER(
Master_Mapping_Sh"&amp;"eet!$E$2:$E$3143),
Master_Mapping_Sheet!$B$2:$B$3143=$A36))), 0, sum(filter(
Master_Mapping_Sheet!$E$2:$E$3143, ISNUMBER(
Master_Mapping_Sheet!$E$2:$E$3143),
Master_Mapping_Sheet!$H$2:$H$3143=R$1,
Master_Mapping_Sheet!$B$2:$B$3143=$A36))/sum(filter(
Maste"&amp;"r_Mapping_Sheet!$E$2:$E$3143, ISNUMBER(
Master_Mapping_Sheet!$E$2:$E$3143),
Master_Mapping_Sheet!$B$2:$B$3143=$A36)))"),0.0)</f>
        <v>0</v>
      </c>
      <c r="S36" s="34">
        <f>IFERROR(__xludf.DUMMYFUNCTION("IF(ISNA(sum(filter(
Master_Mapping_Sheet!$E$2:$E$3143, ISNUMBER(
Master_Mapping_Sheet!$E$2:$E$3143),
Master_Mapping_Sheet!$H$2:$H$3143=S$1,
Master_Mapping_Sheet!$B$2:$B$3143=$A36))/sum(filter(
Master_Mapping_Sheet!$E$2:$E$3143, ISNUMBER(
Master_Mapping_Sh"&amp;"eet!$E$2:$E$3143),
Master_Mapping_Sheet!$B$2:$B$3143=$A36))), 0, sum(filter(
Master_Mapping_Sheet!$E$2:$E$3143, ISNUMBER(
Master_Mapping_Sheet!$E$2:$E$3143),
Master_Mapping_Sheet!$H$2:$H$3143=S$1,
Master_Mapping_Sheet!$B$2:$B$3143=$A36))/sum(filter(
Maste"&amp;"r_Mapping_Sheet!$E$2:$E$3143, ISNUMBER(
Master_Mapping_Sheet!$E$2:$E$3143),
Master_Mapping_Sheet!$B$2:$B$3143=$A36)))"),0.0)</f>
        <v>0</v>
      </c>
      <c r="T36" s="34">
        <f>IFERROR(__xludf.DUMMYFUNCTION("IF(ISNA(sum(filter(
Master_Mapping_Sheet!$E$2:$E$3143, ISNUMBER(
Master_Mapping_Sheet!$E$2:$E$3143),
Master_Mapping_Sheet!$H$2:$H$3143=T$1,
Master_Mapping_Sheet!$B$2:$B$3143=$A36))/sum(filter(
Master_Mapping_Sheet!$E$2:$E$3143, ISNUMBER(
Master_Mapping_Sh"&amp;"eet!$E$2:$E$3143),
Master_Mapping_Sheet!$B$2:$B$3143=$A36))), 0, sum(filter(
Master_Mapping_Sheet!$E$2:$E$3143, ISNUMBER(
Master_Mapping_Sheet!$E$2:$E$3143),
Master_Mapping_Sheet!$H$2:$H$3143=T$1,
Master_Mapping_Sheet!$B$2:$B$3143=$A36))/sum(filter(
Maste"&amp;"r_Mapping_Sheet!$E$2:$E$3143, ISNUMBER(
Master_Mapping_Sheet!$E$2:$E$3143),
Master_Mapping_Sheet!$B$2:$B$3143=$A36)))"),0.0)</f>
        <v>0</v>
      </c>
      <c r="U36" s="34">
        <f>IFERROR(__xludf.DUMMYFUNCTION("IF(ISNA(sum(filter(
Master_Mapping_Sheet!$E$2:$E$3143, ISNUMBER(
Master_Mapping_Sheet!$E$2:$E$3143),
Master_Mapping_Sheet!$H$2:$H$3143=U$1,
Master_Mapping_Sheet!$B$2:$B$3143=$A36))/sum(filter(
Master_Mapping_Sheet!$E$2:$E$3143, ISNUMBER(
Master_Mapping_Sh"&amp;"eet!$E$2:$E$3143),
Master_Mapping_Sheet!$B$2:$B$3143=$A36))), 0, sum(filter(
Master_Mapping_Sheet!$E$2:$E$3143, ISNUMBER(
Master_Mapping_Sheet!$E$2:$E$3143),
Master_Mapping_Sheet!$H$2:$H$3143=U$1,
Master_Mapping_Sheet!$B$2:$B$3143=$A36))/sum(filter(
Maste"&amp;"r_Mapping_Sheet!$E$2:$E$3143, ISNUMBER(
Master_Mapping_Sheet!$E$2:$E$3143),
Master_Mapping_Sheet!$B$2:$B$3143=$A36)))"),0.9089161476976143)</f>
        <v>0.9089161477</v>
      </c>
      <c r="V36" s="34">
        <f>IFERROR(__xludf.DUMMYFUNCTION("IF(ISNA(sum(filter(
Master_Mapping_Sheet!$E$2:$E$3143, ISNUMBER(
Master_Mapping_Sheet!$E$2:$E$3143),
Master_Mapping_Sheet!$H$2:$H$3143=V$1,
Master_Mapping_Sheet!$B$2:$B$3143=$A36))/sum(filter(
Master_Mapping_Sheet!$E$2:$E$3143, ISNUMBER(
Master_Mapping_Sh"&amp;"eet!$E$2:$E$3143),
Master_Mapping_Sheet!$B$2:$B$3143=$A36))), 0, sum(filter(
Master_Mapping_Sheet!$E$2:$E$3143, ISNUMBER(
Master_Mapping_Sheet!$E$2:$E$3143),
Master_Mapping_Sheet!$H$2:$H$3143=V$1,
Master_Mapping_Sheet!$B$2:$B$3143=$A36))/sum(filter(
Maste"&amp;"r_Mapping_Sheet!$E$2:$E$3143, ISNUMBER(
Master_Mapping_Sheet!$E$2:$E$3143),
Master_Mapping_Sheet!$B$2:$B$3143=$A36)))"),0.0)</f>
        <v>0</v>
      </c>
      <c r="W36" s="34">
        <f>IFERROR(__xludf.DUMMYFUNCTION("IF(ISNA(sum(filter(
Master_Mapping_Sheet!$E$2:$E$3143, ISNUMBER(
Master_Mapping_Sheet!$E$2:$E$3143),
Master_Mapping_Sheet!$H$2:$H$3143=W$1,
Master_Mapping_Sheet!$B$2:$B$3143=$A36))/sum(filter(
Master_Mapping_Sheet!$E$2:$E$3143, ISNUMBER(
Master_Mapping_Sh"&amp;"eet!$E$2:$E$3143),
Master_Mapping_Sheet!$B$2:$B$3143=$A36))), 0, sum(filter(
Master_Mapping_Sheet!$E$2:$E$3143, ISNUMBER(
Master_Mapping_Sheet!$E$2:$E$3143),
Master_Mapping_Sheet!$H$2:$H$3143=W$1,
Master_Mapping_Sheet!$B$2:$B$3143=$A36))/sum(filter(
Maste"&amp;"r_Mapping_Sheet!$E$2:$E$3143, ISNUMBER(
Master_Mapping_Sheet!$E$2:$E$3143),
Master_Mapping_Sheet!$B$2:$B$3143=$A36)))"),0.0)</f>
        <v>0</v>
      </c>
      <c r="X36" s="34">
        <f>IFERROR(__xludf.DUMMYFUNCTION("IF(ISNA(sum(filter(
Master_Mapping_Sheet!$E$2:$E$3143, ISNUMBER(
Master_Mapping_Sheet!$E$2:$E$3143),
Master_Mapping_Sheet!$H$2:$H$3143=X$1,
Master_Mapping_Sheet!$B$2:$B$3143=$A36))/sum(filter(
Master_Mapping_Sheet!$E$2:$E$3143, ISNUMBER(
Master_Mapping_Sh"&amp;"eet!$E$2:$E$3143),
Master_Mapping_Sheet!$B$2:$B$3143=$A36))), 0, sum(filter(
Master_Mapping_Sheet!$E$2:$E$3143, ISNUMBER(
Master_Mapping_Sheet!$E$2:$E$3143),
Master_Mapping_Sheet!$H$2:$H$3143=X$1,
Master_Mapping_Sheet!$B$2:$B$3143=$A36))/sum(filter(
Maste"&amp;"r_Mapping_Sheet!$E$2:$E$3143, ISNUMBER(
Master_Mapping_Sheet!$E$2:$E$3143),
Master_Mapping_Sheet!$B$2:$B$3143=$A36)))"),0.0)</f>
        <v>0</v>
      </c>
      <c r="Y36" s="34">
        <f>IFERROR(__xludf.DUMMYFUNCTION("IF(ISNA(sum(filter(
Master_Mapping_Sheet!$E$2:$E$3143, ISNUMBER(
Master_Mapping_Sheet!$E$2:$E$3143),
Master_Mapping_Sheet!$H$2:$H$3143=Y$1,
Master_Mapping_Sheet!$B$2:$B$3143=$A36))/sum(filter(
Master_Mapping_Sheet!$E$2:$E$3143, ISNUMBER(
Master_Mapping_Sh"&amp;"eet!$E$2:$E$3143),
Master_Mapping_Sheet!$B$2:$B$3143=$A36))), 0, sum(filter(
Master_Mapping_Sheet!$E$2:$E$3143, ISNUMBER(
Master_Mapping_Sheet!$E$2:$E$3143),
Master_Mapping_Sheet!$H$2:$H$3143=Y$1,
Master_Mapping_Sheet!$B$2:$B$3143=$A36))/sum(filter(
Maste"&amp;"r_Mapping_Sheet!$E$2:$E$3143, ISNUMBER(
Master_Mapping_Sheet!$E$2:$E$3143),
Master_Mapping_Sheet!$B$2:$B$3143=$A36)))"),0.0)</f>
        <v>0</v>
      </c>
      <c r="Z36" s="34">
        <f>IFERROR(__xludf.DUMMYFUNCTION("IF(ISNA(sum(filter(
Master_Mapping_Sheet!$E$2:$E$3143, ISNUMBER(
Master_Mapping_Sheet!$E$2:$E$3143),
Master_Mapping_Sheet!$H$2:$H$3143=Z$1,
Master_Mapping_Sheet!$B$2:$B$3143=$A36))/sum(filter(
Master_Mapping_Sheet!$E$2:$E$3143, ISNUMBER(
Master_Mapping_Sh"&amp;"eet!$E$2:$E$3143),
Master_Mapping_Sheet!$B$2:$B$3143=$A36))), 0, sum(filter(
Master_Mapping_Sheet!$E$2:$E$3143, ISNUMBER(
Master_Mapping_Sheet!$E$2:$E$3143),
Master_Mapping_Sheet!$H$2:$H$3143=Z$1,
Master_Mapping_Sheet!$B$2:$B$3143=$A36))/sum(filter(
Maste"&amp;"r_Mapping_Sheet!$E$2:$E$3143, ISNUMBER(
Master_Mapping_Sheet!$E$2:$E$3143),
Master_Mapping_Sheet!$B$2:$B$3143=$A36)))"),0.0)</f>
        <v>0</v>
      </c>
      <c r="AA36" s="34">
        <f>IFERROR(__xludf.DUMMYFUNCTION("IF(ISNA(sum(filter(
Master_Mapping_Sheet!$E$2:$E$3143, ISNUMBER(
Master_Mapping_Sheet!$E$2:$E$3143),
Master_Mapping_Sheet!$H$2:$H$3143=AA$1,
Master_Mapping_Sheet!$B$2:$B$3143=$A36))/sum(filter(
Master_Mapping_Sheet!$E$2:$E$3143, ISNUMBER(
Master_Mapping_S"&amp;"heet!$E$2:$E$3143),
Master_Mapping_Sheet!$B$2:$B$3143=$A36))), 0, sum(filter(
Master_Mapping_Sheet!$E$2:$E$3143, ISNUMBER(
Master_Mapping_Sheet!$E$2:$E$3143),
Master_Mapping_Sheet!$H$2:$H$3143=AA$1,
Master_Mapping_Sheet!$B$2:$B$3143=$A36))/sum(filter(
Mas"&amp;"ter_Mapping_Sheet!$E$2:$E$3143, ISNUMBER(
Master_Mapping_Sheet!$E$2:$E$3143),
Master_Mapping_Sheet!$B$2:$B$3143=$A36)))"),0.0)</f>
        <v>0</v>
      </c>
    </row>
    <row r="37" ht="15.75" customHeight="1">
      <c r="A37" s="34" t="s">
        <v>683</v>
      </c>
      <c r="B37" s="34" t="s">
        <v>3297</v>
      </c>
      <c r="C37" s="34">
        <f>IFERROR(__xludf.DUMMYFUNCTION("IF(ISNA(sum(filter(
Master_Mapping_Sheet!$E$2:$E$3143, ISNUMBER(
Master_Mapping_Sheet!$E$2:$E$3143),
Master_Mapping_Sheet!$H$2:$H$3143=C$1,
Master_Mapping_Sheet!$B$2:$B$3143=$A37))/sum(filter(
Master_Mapping_Sheet!$E$2:$E$3143, ISNUMBER(
Master_Mapping_Sh"&amp;"eet!$E$2:$E$3143),
Master_Mapping_Sheet!$B$2:$B$3143=$A37))), 0, sum(filter(
Master_Mapping_Sheet!$E$2:$E$3143, ISNUMBER(
Master_Mapping_Sheet!$E$2:$E$3143),
Master_Mapping_Sheet!$H$2:$H$3143=C$1,
Master_Mapping_Sheet!$B$2:$B$3143=$A37))/sum(filter(
Maste"&amp;"r_Mapping_Sheet!$E$2:$E$3143, ISNUMBER(
Master_Mapping_Sheet!$E$2:$E$3143),
Master_Mapping_Sheet!$B$2:$B$3143=$A37)))"),0.0)</f>
        <v>0</v>
      </c>
      <c r="D37" s="32">
        <f>IFERROR(__xludf.DUMMYFUNCTION("IF(ISNA(sum(filter(
Master_Mapping_Sheet!$E$2:$E$3143, ISNUMBER(
Master_Mapping_Sheet!$E$2:$E$3143),
Master_Mapping_Sheet!$H$2:$H$3143=D$1,
Master_Mapping_Sheet!$B$2:$B$3143=$A37))/sum(filter(
Master_Mapping_Sheet!$E$2:$E$3143, ISNUMBER(
Master_Mapping_Sh"&amp;"eet!$E$2:$E$3143),
Master_Mapping_Sheet!$B$2:$B$3143=$A37))), 0, sum(filter(
Master_Mapping_Sheet!$E$2:$E$3143, ISNUMBER(
Master_Mapping_Sheet!$E$2:$E$3143),
Master_Mapping_Sheet!$H$2:$H$3143=D$1,
Master_Mapping_Sheet!$B$2:$B$3143=$A37))/sum(filter(
Maste"&amp;"r_Mapping_Sheet!$E$2:$E$3143, ISNUMBER(
Master_Mapping_Sheet!$E$2:$E$3143),
Master_Mapping_Sheet!$B$2:$B$3143=$A37)))"),0.0)</f>
        <v>0</v>
      </c>
      <c r="E37" s="34">
        <f>IFERROR(__xludf.DUMMYFUNCTION("IF(ISNA(sum(filter(
Master_Mapping_Sheet!$E$2:$E$3143, ISNUMBER(
Master_Mapping_Sheet!$E$2:$E$3143),
Master_Mapping_Sheet!$H$2:$H$3143=E$1,
Master_Mapping_Sheet!$B$2:$B$3143=$A37))/sum(filter(
Master_Mapping_Sheet!$E$2:$E$3143, ISNUMBER(
Master_Mapping_Sh"&amp;"eet!$E$2:$E$3143),
Master_Mapping_Sheet!$B$2:$B$3143=$A37))), 0, sum(filter(
Master_Mapping_Sheet!$E$2:$E$3143, ISNUMBER(
Master_Mapping_Sheet!$E$2:$E$3143),
Master_Mapping_Sheet!$H$2:$H$3143=E$1,
Master_Mapping_Sheet!$B$2:$B$3143=$A37))/sum(filter(
Maste"&amp;"r_Mapping_Sheet!$E$2:$E$3143, ISNUMBER(
Master_Mapping_Sheet!$E$2:$E$3143),
Master_Mapping_Sheet!$B$2:$B$3143=$A37)))"),0.0)</f>
        <v>0</v>
      </c>
      <c r="F37" s="34">
        <f>IFERROR(__xludf.DUMMYFUNCTION("IF(ISNA(sum(filter(
Master_Mapping_Sheet!$E$2:$E$3143, ISNUMBER(
Master_Mapping_Sheet!$E$2:$E$3143),
Master_Mapping_Sheet!$H$2:$H$3143=F$1,
Master_Mapping_Sheet!$B$2:$B$3143=$A37))/sum(filter(
Master_Mapping_Sheet!$E$2:$E$3143, ISNUMBER(
Master_Mapping_Sh"&amp;"eet!$E$2:$E$3143),
Master_Mapping_Sheet!$B$2:$B$3143=$A37))), 0, sum(filter(
Master_Mapping_Sheet!$E$2:$E$3143, ISNUMBER(
Master_Mapping_Sheet!$E$2:$E$3143),
Master_Mapping_Sheet!$H$2:$H$3143=F$1,
Master_Mapping_Sheet!$B$2:$B$3143=$A37))/sum(filter(
Maste"&amp;"r_Mapping_Sheet!$E$2:$E$3143, ISNUMBER(
Master_Mapping_Sheet!$E$2:$E$3143),
Master_Mapping_Sheet!$B$2:$B$3143=$A37)))"),0.0)</f>
        <v>0</v>
      </c>
      <c r="G37" s="34">
        <f>IFERROR(__xludf.DUMMYFUNCTION("IF(ISNA(sum(filter(
Master_Mapping_Sheet!$E$2:$E$3143, ISNUMBER(
Master_Mapping_Sheet!$E$2:$E$3143),
Master_Mapping_Sheet!$H$2:$H$3143=G$1,
Master_Mapping_Sheet!$B$2:$B$3143=$A37))/sum(filter(
Master_Mapping_Sheet!$E$2:$E$3143, ISNUMBER(
Master_Mapping_Sh"&amp;"eet!$E$2:$E$3143),
Master_Mapping_Sheet!$B$2:$B$3143=$A37))), 0, sum(filter(
Master_Mapping_Sheet!$E$2:$E$3143, ISNUMBER(
Master_Mapping_Sheet!$E$2:$E$3143),
Master_Mapping_Sheet!$H$2:$H$3143=G$1,
Master_Mapping_Sheet!$B$2:$B$3143=$A37))/sum(filter(
Maste"&amp;"r_Mapping_Sheet!$E$2:$E$3143, ISNUMBER(
Master_Mapping_Sheet!$E$2:$E$3143),
Master_Mapping_Sheet!$B$2:$B$3143=$A37)))"),0.0)</f>
        <v>0</v>
      </c>
      <c r="H37" s="34">
        <f>IFERROR(__xludf.DUMMYFUNCTION("IF(ISNA(sum(filter(
Master_Mapping_Sheet!$E$2:$E$3143, ISNUMBER(
Master_Mapping_Sheet!$E$2:$E$3143),
Master_Mapping_Sheet!$H$2:$H$3143=H$1,
Master_Mapping_Sheet!$B$2:$B$3143=$A37))/sum(filter(
Master_Mapping_Sheet!$E$2:$E$3143, ISNUMBER(
Master_Mapping_Sh"&amp;"eet!$E$2:$E$3143),
Master_Mapping_Sheet!$B$2:$B$3143=$A37))), 0, sum(filter(
Master_Mapping_Sheet!$E$2:$E$3143, ISNUMBER(
Master_Mapping_Sheet!$E$2:$E$3143),
Master_Mapping_Sheet!$H$2:$H$3143=H$1,
Master_Mapping_Sheet!$B$2:$B$3143=$A37))/sum(filter(
Maste"&amp;"r_Mapping_Sheet!$E$2:$E$3143, ISNUMBER(
Master_Mapping_Sheet!$E$2:$E$3143),
Master_Mapping_Sheet!$B$2:$B$3143=$A37)))"),0.0)</f>
        <v>0</v>
      </c>
      <c r="I37" s="34">
        <f>IFERROR(__xludf.DUMMYFUNCTION("IF(ISNA(sum(filter(
Master_Mapping_Sheet!$E$2:$E$3143, ISNUMBER(
Master_Mapping_Sheet!$E$2:$E$3143),
Master_Mapping_Sheet!$H$2:$H$3143=I$1,
Master_Mapping_Sheet!$B$2:$B$3143=$A37))/sum(filter(
Master_Mapping_Sheet!$E$2:$E$3143, ISNUMBER(
Master_Mapping_Sh"&amp;"eet!$E$2:$E$3143),
Master_Mapping_Sheet!$B$2:$B$3143=$A37))), 0, sum(filter(
Master_Mapping_Sheet!$E$2:$E$3143, ISNUMBER(
Master_Mapping_Sheet!$E$2:$E$3143),
Master_Mapping_Sheet!$H$2:$H$3143=I$1,
Master_Mapping_Sheet!$B$2:$B$3143=$A37))/sum(filter(
Maste"&amp;"r_Mapping_Sheet!$E$2:$E$3143, ISNUMBER(
Master_Mapping_Sheet!$E$2:$E$3143),
Master_Mapping_Sheet!$B$2:$B$3143=$A37)))"),0.0)</f>
        <v>0</v>
      </c>
      <c r="J37" s="34">
        <f>IFERROR(__xludf.DUMMYFUNCTION("IF(ISNA(sum(filter(
Master_Mapping_Sheet!$E$2:$E$3143, ISNUMBER(
Master_Mapping_Sheet!$E$2:$E$3143),
Master_Mapping_Sheet!$H$2:$H$3143=J$1,
Master_Mapping_Sheet!$B$2:$B$3143=$A37))/sum(filter(
Master_Mapping_Sheet!$E$2:$E$3143, ISNUMBER(
Master_Mapping_Sh"&amp;"eet!$E$2:$E$3143),
Master_Mapping_Sheet!$B$2:$B$3143=$A37))), 0, sum(filter(
Master_Mapping_Sheet!$E$2:$E$3143, ISNUMBER(
Master_Mapping_Sheet!$E$2:$E$3143),
Master_Mapping_Sheet!$H$2:$H$3143=J$1,
Master_Mapping_Sheet!$B$2:$B$3143=$A37))/sum(filter(
Maste"&amp;"r_Mapping_Sheet!$E$2:$E$3143, ISNUMBER(
Master_Mapping_Sheet!$E$2:$E$3143),
Master_Mapping_Sheet!$B$2:$B$3143=$A37)))"),0.0)</f>
        <v>0</v>
      </c>
      <c r="K37" s="34">
        <f>IFERROR(__xludf.DUMMYFUNCTION("IF(ISNA(sum(filter(
Master_Mapping_Sheet!$E$2:$E$3143, ISNUMBER(
Master_Mapping_Sheet!$E$2:$E$3143),
Master_Mapping_Sheet!$H$2:$H$3143=K$1,
Master_Mapping_Sheet!$B$2:$B$3143=$A37))/sum(filter(
Master_Mapping_Sheet!$E$2:$E$3143, ISNUMBER(
Master_Mapping_Sh"&amp;"eet!$E$2:$E$3143),
Master_Mapping_Sheet!$B$2:$B$3143=$A37))), 0, sum(filter(
Master_Mapping_Sheet!$E$2:$E$3143, ISNUMBER(
Master_Mapping_Sheet!$E$2:$E$3143),
Master_Mapping_Sheet!$H$2:$H$3143=K$1,
Master_Mapping_Sheet!$B$2:$B$3143=$A37))/sum(filter(
Maste"&amp;"r_Mapping_Sheet!$E$2:$E$3143, ISNUMBER(
Master_Mapping_Sheet!$E$2:$E$3143),
Master_Mapping_Sheet!$B$2:$B$3143=$A37)))"),0.0)</f>
        <v>0</v>
      </c>
      <c r="L37" s="34">
        <f>IFERROR(__xludf.DUMMYFUNCTION("IF(ISNA(sum(filter(
Master_Mapping_Sheet!$E$2:$E$3143, ISNUMBER(
Master_Mapping_Sheet!$E$2:$E$3143),
Master_Mapping_Sheet!$H$2:$H$3143=L$1,
Master_Mapping_Sheet!$B$2:$B$3143=$A37))/sum(filter(
Master_Mapping_Sheet!$E$2:$E$3143, ISNUMBER(
Master_Mapping_Sh"&amp;"eet!$E$2:$E$3143),
Master_Mapping_Sheet!$B$2:$B$3143=$A37))), 0, sum(filter(
Master_Mapping_Sheet!$E$2:$E$3143, ISNUMBER(
Master_Mapping_Sheet!$E$2:$E$3143),
Master_Mapping_Sheet!$H$2:$H$3143=L$1,
Master_Mapping_Sheet!$B$2:$B$3143=$A37))/sum(filter(
Maste"&amp;"r_Mapping_Sheet!$E$2:$E$3143, ISNUMBER(
Master_Mapping_Sheet!$E$2:$E$3143),
Master_Mapping_Sheet!$B$2:$B$3143=$A37)))"),0.0)</f>
        <v>0</v>
      </c>
      <c r="M37" s="34">
        <f>IFERROR(__xludf.DUMMYFUNCTION("IF(ISNA(sum(filter(
Master_Mapping_Sheet!$E$2:$E$3143, ISNUMBER(
Master_Mapping_Sheet!$E$2:$E$3143),
Master_Mapping_Sheet!$H$2:$H$3143=M$1,
Master_Mapping_Sheet!$B$2:$B$3143=$A37))/sum(filter(
Master_Mapping_Sheet!$E$2:$E$3143, ISNUMBER(
Master_Mapping_Sh"&amp;"eet!$E$2:$E$3143),
Master_Mapping_Sheet!$B$2:$B$3143=$A37))), 0, sum(filter(
Master_Mapping_Sheet!$E$2:$E$3143, ISNUMBER(
Master_Mapping_Sheet!$E$2:$E$3143),
Master_Mapping_Sheet!$H$2:$H$3143=M$1,
Master_Mapping_Sheet!$B$2:$B$3143=$A37))/sum(filter(
Maste"&amp;"r_Mapping_Sheet!$E$2:$E$3143, ISNUMBER(
Master_Mapping_Sheet!$E$2:$E$3143),
Master_Mapping_Sheet!$B$2:$B$3143=$A37)))"),1.0)</f>
        <v>1</v>
      </c>
      <c r="N37" s="34">
        <f>IFERROR(__xludf.DUMMYFUNCTION("IF(ISNA(sum(filter(
Master_Mapping_Sheet!$E$2:$E$3143, ISNUMBER(
Master_Mapping_Sheet!$E$2:$E$3143),
Master_Mapping_Sheet!$H$2:$H$3143=N$1,
Master_Mapping_Sheet!$B$2:$B$3143=$A37))/sum(filter(
Master_Mapping_Sheet!$E$2:$E$3143, ISNUMBER(
Master_Mapping_Sh"&amp;"eet!$E$2:$E$3143),
Master_Mapping_Sheet!$B$2:$B$3143=$A37))), 0, sum(filter(
Master_Mapping_Sheet!$E$2:$E$3143, ISNUMBER(
Master_Mapping_Sheet!$E$2:$E$3143),
Master_Mapping_Sheet!$H$2:$H$3143=N$1,
Master_Mapping_Sheet!$B$2:$B$3143=$A37))/sum(filter(
Maste"&amp;"r_Mapping_Sheet!$E$2:$E$3143, ISNUMBER(
Master_Mapping_Sheet!$E$2:$E$3143),
Master_Mapping_Sheet!$B$2:$B$3143=$A37)))"),0.0)</f>
        <v>0</v>
      </c>
      <c r="O37" s="34">
        <f>IFERROR(__xludf.DUMMYFUNCTION("IF(ISNA(sum(filter(
Master_Mapping_Sheet!$E$2:$E$3143, ISNUMBER(
Master_Mapping_Sheet!$E$2:$E$3143),
Master_Mapping_Sheet!$H$2:$H$3143=O$1,
Master_Mapping_Sheet!$B$2:$B$3143=$A37))/sum(filter(
Master_Mapping_Sheet!$E$2:$E$3143, ISNUMBER(
Master_Mapping_Sh"&amp;"eet!$E$2:$E$3143),
Master_Mapping_Sheet!$B$2:$B$3143=$A37))), 0, sum(filter(
Master_Mapping_Sheet!$E$2:$E$3143, ISNUMBER(
Master_Mapping_Sheet!$E$2:$E$3143),
Master_Mapping_Sheet!$H$2:$H$3143=O$1,
Master_Mapping_Sheet!$B$2:$B$3143=$A37))/sum(filter(
Maste"&amp;"r_Mapping_Sheet!$E$2:$E$3143, ISNUMBER(
Master_Mapping_Sheet!$E$2:$E$3143),
Master_Mapping_Sheet!$B$2:$B$3143=$A37)))"),0.0)</f>
        <v>0</v>
      </c>
      <c r="P37" s="34">
        <f>IFERROR(__xludf.DUMMYFUNCTION("IF(ISNA(sum(filter(
Master_Mapping_Sheet!$E$2:$E$3143, ISNUMBER(
Master_Mapping_Sheet!$E$2:$E$3143),
Master_Mapping_Sheet!$H$2:$H$3143=P$1,
Master_Mapping_Sheet!$B$2:$B$3143=$A37))/sum(filter(
Master_Mapping_Sheet!$E$2:$E$3143, ISNUMBER(
Master_Mapping_Sh"&amp;"eet!$E$2:$E$3143),
Master_Mapping_Sheet!$B$2:$B$3143=$A37))), 0, sum(filter(
Master_Mapping_Sheet!$E$2:$E$3143, ISNUMBER(
Master_Mapping_Sheet!$E$2:$E$3143),
Master_Mapping_Sheet!$H$2:$H$3143=P$1,
Master_Mapping_Sheet!$B$2:$B$3143=$A37))/sum(filter(
Maste"&amp;"r_Mapping_Sheet!$E$2:$E$3143, ISNUMBER(
Master_Mapping_Sheet!$E$2:$E$3143),
Master_Mapping_Sheet!$B$2:$B$3143=$A37)))"),0.0)</f>
        <v>0</v>
      </c>
      <c r="Q37" s="34">
        <f>IFERROR(__xludf.DUMMYFUNCTION("IF(ISNA(sum(filter(
Master_Mapping_Sheet!$E$2:$E$3143, ISNUMBER(
Master_Mapping_Sheet!$E$2:$E$3143),
Master_Mapping_Sheet!$H$2:$H$3143=Q$1,
Master_Mapping_Sheet!$B$2:$B$3143=$A37))/sum(filter(
Master_Mapping_Sheet!$E$2:$E$3143, ISNUMBER(
Master_Mapping_Sh"&amp;"eet!$E$2:$E$3143),
Master_Mapping_Sheet!$B$2:$B$3143=$A37))), 0, sum(filter(
Master_Mapping_Sheet!$E$2:$E$3143, ISNUMBER(
Master_Mapping_Sheet!$E$2:$E$3143),
Master_Mapping_Sheet!$H$2:$H$3143=Q$1,
Master_Mapping_Sheet!$B$2:$B$3143=$A37))/sum(filter(
Maste"&amp;"r_Mapping_Sheet!$E$2:$E$3143, ISNUMBER(
Master_Mapping_Sheet!$E$2:$E$3143),
Master_Mapping_Sheet!$B$2:$B$3143=$A37)))"),0.0)</f>
        <v>0</v>
      </c>
      <c r="R37" s="34">
        <f>IFERROR(__xludf.DUMMYFUNCTION("IF(ISNA(sum(filter(
Master_Mapping_Sheet!$E$2:$E$3143, ISNUMBER(
Master_Mapping_Sheet!$E$2:$E$3143),
Master_Mapping_Sheet!$H$2:$H$3143=R$1,
Master_Mapping_Sheet!$B$2:$B$3143=$A37))/sum(filter(
Master_Mapping_Sheet!$E$2:$E$3143, ISNUMBER(
Master_Mapping_Sh"&amp;"eet!$E$2:$E$3143),
Master_Mapping_Sheet!$B$2:$B$3143=$A37))), 0, sum(filter(
Master_Mapping_Sheet!$E$2:$E$3143, ISNUMBER(
Master_Mapping_Sheet!$E$2:$E$3143),
Master_Mapping_Sheet!$H$2:$H$3143=R$1,
Master_Mapping_Sheet!$B$2:$B$3143=$A37))/sum(filter(
Maste"&amp;"r_Mapping_Sheet!$E$2:$E$3143, ISNUMBER(
Master_Mapping_Sheet!$E$2:$E$3143),
Master_Mapping_Sheet!$B$2:$B$3143=$A37)))"),0.0)</f>
        <v>0</v>
      </c>
      <c r="S37" s="34">
        <f>IFERROR(__xludf.DUMMYFUNCTION("IF(ISNA(sum(filter(
Master_Mapping_Sheet!$E$2:$E$3143, ISNUMBER(
Master_Mapping_Sheet!$E$2:$E$3143),
Master_Mapping_Sheet!$H$2:$H$3143=S$1,
Master_Mapping_Sheet!$B$2:$B$3143=$A37))/sum(filter(
Master_Mapping_Sheet!$E$2:$E$3143, ISNUMBER(
Master_Mapping_Sh"&amp;"eet!$E$2:$E$3143),
Master_Mapping_Sheet!$B$2:$B$3143=$A37))), 0, sum(filter(
Master_Mapping_Sheet!$E$2:$E$3143, ISNUMBER(
Master_Mapping_Sheet!$E$2:$E$3143),
Master_Mapping_Sheet!$H$2:$H$3143=S$1,
Master_Mapping_Sheet!$B$2:$B$3143=$A37))/sum(filter(
Maste"&amp;"r_Mapping_Sheet!$E$2:$E$3143, ISNUMBER(
Master_Mapping_Sheet!$E$2:$E$3143),
Master_Mapping_Sheet!$B$2:$B$3143=$A37)))"),0.0)</f>
        <v>0</v>
      </c>
      <c r="T37" s="34">
        <f>IFERROR(__xludf.DUMMYFUNCTION("IF(ISNA(sum(filter(
Master_Mapping_Sheet!$E$2:$E$3143, ISNUMBER(
Master_Mapping_Sheet!$E$2:$E$3143),
Master_Mapping_Sheet!$H$2:$H$3143=T$1,
Master_Mapping_Sheet!$B$2:$B$3143=$A37))/sum(filter(
Master_Mapping_Sheet!$E$2:$E$3143, ISNUMBER(
Master_Mapping_Sh"&amp;"eet!$E$2:$E$3143),
Master_Mapping_Sheet!$B$2:$B$3143=$A37))), 0, sum(filter(
Master_Mapping_Sheet!$E$2:$E$3143, ISNUMBER(
Master_Mapping_Sheet!$E$2:$E$3143),
Master_Mapping_Sheet!$H$2:$H$3143=T$1,
Master_Mapping_Sheet!$B$2:$B$3143=$A37))/sum(filter(
Maste"&amp;"r_Mapping_Sheet!$E$2:$E$3143, ISNUMBER(
Master_Mapping_Sheet!$E$2:$E$3143),
Master_Mapping_Sheet!$B$2:$B$3143=$A37)))"),0.0)</f>
        <v>0</v>
      </c>
      <c r="U37" s="34">
        <f>IFERROR(__xludf.DUMMYFUNCTION("IF(ISNA(sum(filter(
Master_Mapping_Sheet!$E$2:$E$3143, ISNUMBER(
Master_Mapping_Sheet!$E$2:$E$3143),
Master_Mapping_Sheet!$H$2:$H$3143=U$1,
Master_Mapping_Sheet!$B$2:$B$3143=$A37))/sum(filter(
Master_Mapping_Sheet!$E$2:$E$3143, ISNUMBER(
Master_Mapping_Sh"&amp;"eet!$E$2:$E$3143),
Master_Mapping_Sheet!$B$2:$B$3143=$A37))), 0, sum(filter(
Master_Mapping_Sheet!$E$2:$E$3143, ISNUMBER(
Master_Mapping_Sheet!$E$2:$E$3143),
Master_Mapping_Sheet!$H$2:$H$3143=U$1,
Master_Mapping_Sheet!$B$2:$B$3143=$A37))/sum(filter(
Maste"&amp;"r_Mapping_Sheet!$E$2:$E$3143, ISNUMBER(
Master_Mapping_Sheet!$E$2:$E$3143),
Master_Mapping_Sheet!$B$2:$B$3143=$A37)))"),0.0)</f>
        <v>0</v>
      </c>
      <c r="V37" s="34">
        <f>IFERROR(__xludf.DUMMYFUNCTION("IF(ISNA(sum(filter(
Master_Mapping_Sheet!$E$2:$E$3143, ISNUMBER(
Master_Mapping_Sheet!$E$2:$E$3143),
Master_Mapping_Sheet!$H$2:$H$3143=V$1,
Master_Mapping_Sheet!$B$2:$B$3143=$A37))/sum(filter(
Master_Mapping_Sheet!$E$2:$E$3143, ISNUMBER(
Master_Mapping_Sh"&amp;"eet!$E$2:$E$3143),
Master_Mapping_Sheet!$B$2:$B$3143=$A37))), 0, sum(filter(
Master_Mapping_Sheet!$E$2:$E$3143, ISNUMBER(
Master_Mapping_Sheet!$E$2:$E$3143),
Master_Mapping_Sheet!$H$2:$H$3143=V$1,
Master_Mapping_Sheet!$B$2:$B$3143=$A37))/sum(filter(
Maste"&amp;"r_Mapping_Sheet!$E$2:$E$3143, ISNUMBER(
Master_Mapping_Sheet!$E$2:$E$3143),
Master_Mapping_Sheet!$B$2:$B$3143=$A37)))"),0.0)</f>
        <v>0</v>
      </c>
      <c r="W37" s="34">
        <f>IFERROR(__xludf.DUMMYFUNCTION("IF(ISNA(sum(filter(
Master_Mapping_Sheet!$E$2:$E$3143, ISNUMBER(
Master_Mapping_Sheet!$E$2:$E$3143),
Master_Mapping_Sheet!$H$2:$H$3143=W$1,
Master_Mapping_Sheet!$B$2:$B$3143=$A37))/sum(filter(
Master_Mapping_Sheet!$E$2:$E$3143, ISNUMBER(
Master_Mapping_Sh"&amp;"eet!$E$2:$E$3143),
Master_Mapping_Sheet!$B$2:$B$3143=$A37))), 0, sum(filter(
Master_Mapping_Sheet!$E$2:$E$3143, ISNUMBER(
Master_Mapping_Sheet!$E$2:$E$3143),
Master_Mapping_Sheet!$H$2:$H$3143=W$1,
Master_Mapping_Sheet!$B$2:$B$3143=$A37))/sum(filter(
Maste"&amp;"r_Mapping_Sheet!$E$2:$E$3143, ISNUMBER(
Master_Mapping_Sheet!$E$2:$E$3143),
Master_Mapping_Sheet!$B$2:$B$3143=$A37)))"),0.0)</f>
        <v>0</v>
      </c>
      <c r="X37" s="34">
        <f>IFERROR(__xludf.DUMMYFUNCTION("IF(ISNA(sum(filter(
Master_Mapping_Sheet!$E$2:$E$3143, ISNUMBER(
Master_Mapping_Sheet!$E$2:$E$3143),
Master_Mapping_Sheet!$H$2:$H$3143=X$1,
Master_Mapping_Sheet!$B$2:$B$3143=$A37))/sum(filter(
Master_Mapping_Sheet!$E$2:$E$3143, ISNUMBER(
Master_Mapping_Sh"&amp;"eet!$E$2:$E$3143),
Master_Mapping_Sheet!$B$2:$B$3143=$A37))), 0, sum(filter(
Master_Mapping_Sheet!$E$2:$E$3143, ISNUMBER(
Master_Mapping_Sheet!$E$2:$E$3143),
Master_Mapping_Sheet!$H$2:$H$3143=X$1,
Master_Mapping_Sheet!$B$2:$B$3143=$A37))/sum(filter(
Maste"&amp;"r_Mapping_Sheet!$E$2:$E$3143, ISNUMBER(
Master_Mapping_Sheet!$E$2:$E$3143),
Master_Mapping_Sheet!$B$2:$B$3143=$A37)))"),0.0)</f>
        <v>0</v>
      </c>
      <c r="Y37" s="34">
        <f>IFERROR(__xludf.DUMMYFUNCTION("IF(ISNA(sum(filter(
Master_Mapping_Sheet!$E$2:$E$3143, ISNUMBER(
Master_Mapping_Sheet!$E$2:$E$3143),
Master_Mapping_Sheet!$H$2:$H$3143=Y$1,
Master_Mapping_Sheet!$B$2:$B$3143=$A37))/sum(filter(
Master_Mapping_Sheet!$E$2:$E$3143, ISNUMBER(
Master_Mapping_Sh"&amp;"eet!$E$2:$E$3143),
Master_Mapping_Sheet!$B$2:$B$3143=$A37))), 0, sum(filter(
Master_Mapping_Sheet!$E$2:$E$3143, ISNUMBER(
Master_Mapping_Sheet!$E$2:$E$3143),
Master_Mapping_Sheet!$H$2:$H$3143=Y$1,
Master_Mapping_Sheet!$B$2:$B$3143=$A37))/sum(filter(
Maste"&amp;"r_Mapping_Sheet!$E$2:$E$3143, ISNUMBER(
Master_Mapping_Sheet!$E$2:$E$3143),
Master_Mapping_Sheet!$B$2:$B$3143=$A37)))"),0.0)</f>
        <v>0</v>
      </c>
      <c r="Z37" s="34">
        <f>IFERROR(__xludf.DUMMYFUNCTION("IF(ISNA(sum(filter(
Master_Mapping_Sheet!$E$2:$E$3143, ISNUMBER(
Master_Mapping_Sheet!$E$2:$E$3143),
Master_Mapping_Sheet!$H$2:$H$3143=Z$1,
Master_Mapping_Sheet!$B$2:$B$3143=$A37))/sum(filter(
Master_Mapping_Sheet!$E$2:$E$3143, ISNUMBER(
Master_Mapping_Sh"&amp;"eet!$E$2:$E$3143),
Master_Mapping_Sheet!$B$2:$B$3143=$A37))), 0, sum(filter(
Master_Mapping_Sheet!$E$2:$E$3143, ISNUMBER(
Master_Mapping_Sheet!$E$2:$E$3143),
Master_Mapping_Sheet!$H$2:$H$3143=Z$1,
Master_Mapping_Sheet!$B$2:$B$3143=$A37))/sum(filter(
Maste"&amp;"r_Mapping_Sheet!$E$2:$E$3143, ISNUMBER(
Master_Mapping_Sheet!$E$2:$E$3143),
Master_Mapping_Sheet!$B$2:$B$3143=$A37)))"),0.0)</f>
        <v>0</v>
      </c>
      <c r="AA37" s="34">
        <f>IFERROR(__xludf.DUMMYFUNCTION("IF(ISNA(sum(filter(
Master_Mapping_Sheet!$E$2:$E$3143, ISNUMBER(
Master_Mapping_Sheet!$E$2:$E$3143),
Master_Mapping_Sheet!$H$2:$H$3143=AA$1,
Master_Mapping_Sheet!$B$2:$B$3143=$A37))/sum(filter(
Master_Mapping_Sheet!$E$2:$E$3143, ISNUMBER(
Master_Mapping_S"&amp;"heet!$E$2:$E$3143),
Master_Mapping_Sheet!$B$2:$B$3143=$A37))), 0, sum(filter(
Master_Mapping_Sheet!$E$2:$E$3143, ISNUMBER(
Master_Mapping_Sheet!$E$2:$E$3143),
Master_Mapping_Sheet!$H$2:$H$3143=AA$1,
Master_Mapping_Sheet!$B$2:$B$3143=$A37))/sum(filter(
Mas"&amp;"ter_Mapping_Sheet!$E$2:$E$3143, ISNUMBER(
Master_Mapping_Sheet!$E$2:$E$3143),
Master_Mapping_Sheet!$B$2:$B$3143=$A37)))"),0.0)</f>
        <v>0</v>
      </c>
    </row>
    <row r="38" ht="15.75" customHeight="1">
      <c r="A38" s="34" t="s">
        <v>1457</v>
      </c>
      <c r="B38" s="34" t="s">
        <v>3333</v>
      </c>
      <c r="C38" s="34">
        <f>IFERROR(__xludf.DUMMYFUNCTION("IF(ISNA(sum(filter(
Master_Mapping_Sheet!$E$2:$E$3143, ISNUMBER(
Master_Mapping_Sheet!$E$2:$E$3143),
Master_Mapping_Sheet!$H$2:$H$3143=C$1,
Master_Mapping_Sheet!$B$2:$B$3143=$A38))/sum(filter(
Master_Mapping_Sheet!$E$2:$E$3143, ISNUMBER(
Master_Mapping_Sh"&amp;"eet!$E$2:$E$3143),
Master_Mapping_Sheet!$B$2:$B$3143=$A38))), 0, sum(filter(
Master_Mapping_Sheet!$E$2:$E$3143, ISNUMBER(
Master_Mapping_Sheet!$E$2:$E$3143),
Master_Mapping_Sheet!$H$2:$H$3143=C$1,
Master_Mapping_Sheet!$B$2:$B$3143=$A38))/sum(filter(
Maste"&amp;"r_Mapping_Sheet!$E$2:$E$3143, ISNUMBER(
Master_Mapping_Sheet!$E$2:$E$3143),
Master_Mapping_Sheet!$B$2:$B$3143=$A38)))"),0.0)</f>
        <v>0</v>
      </c>
      <c r="D38" s="32">
        <f>IFERROR(__xludf.DUMMYFUNCTION("IF(ISNA(sum(filter(
Master_Mapping_Sheet!$E$2:$E$3143, ISNUMBER(
Master_Mapping_Sheet!$E$2:$E$3143),
Master_Mapping_Sheet!$H$2:$H$3143=D$1,
Master_Mapping_Sheet!$B$2:$B$3143=$A38))/sum(filter(
Master_Mapping_Sheet!$E$2:$E$3143, ISNUMBER(
Master_Mapping_Sh"&amp;"eet!$E$2:$E$3143),
Master_Mapping_Sheet!$B$2:$B$3143=$A38))), 0, sum(filter(
Master_Mapping_Sheet!$E$2:$E$3143, ISNUMBER(
Master_Mapping_Sheet!$E$2:$E$3143),
Master_Mapping_Sheet!$H$2:$H$3143=D$1,
Master_Mapping_Sheet!$B$2:$B$3143=$A38))/sum(filter(
Maste"&amp;"r_Mapping_Sheet!$E$2:$E$3143, ISNUMBER(
Master_Mapping_Sheet!$E$2:$E$3143),
Master_Mapping_Sheet!$B$2:$B$3143=$A38)))"),0.0)</f>
        <v>0</v>
      </c>
      <c r="E38" s="34">
        <f>IFERROR(__xludf.DUMMYFUNCTION("IF(ISNA(sum(filter(
Master_Mapping_Sheet!$E$2:$E$3143, ISNUMBER(
Master_Mapping_Sheet!$E$2:$E$3143),
Master_Mapping_Sheet!$H$2:$H$3143=E$1,
Master_Mapping_Sheet!$B$2:$B$3143=$A38))/sum(filter(
Master_Mapping_Sheet!$E$2:$E$3143, ISNUMBER(
Master_Mapping_Sh"&amp;"eet!$E$2:$E$3143),
Master_Mapping_Sheet!$B$2:$B$3143=$A38))), 0, sum(filter(
Master_Mapping_Sheet!$E$2:$E$3143, ISNUMBER(
Master_Mapping_Sheet!$E$2:$E$3143),
Master_Mapping_Sheet!$H$2:$H$3143=E$1,
Master_Mapping_Sheet!$B$2:$B$3143=$A38))/sum(filter(
Maste"&amp;"r_Mapping_Sheet!$E$2:$E$3143, ISNUMBER(
Master_Mapping_Sheet!$E$2:$E$3143),
Master_Mapping_Sheet!$B$2:$B$3143=$A38)))"),0.0)</f>
        <v>0</v>
      </c>
      <c r="F38" s="34">
        <f>IFERROR(__xludf.DUMMYFUNCTION("IF(ISNA(sum(filter(
Master_Mapping_Sheet!$E$2:$E$3143, ISNUMBER(
Master_Mapping_Sheet!$E$2:$E$3143),
Master_Mapping_Sheet!$H$2:$H$3143=F$1,
Master_Mapping_Sheet!$B$2:$B$3143=$A38))/sum(filter(
Master_Mapping_Sheet!$E$2:$E$3143, ISNUMBER(
Master_Mapping_Sh"&amp;"eet!$E$2:$E$3143),
Master_Mapping_Sheet!$B$2:$B$3143=$A38))), 0, sum(filter(
Master_Mapping_Sheet!$E$2:$E$3143, ISNUMBER(
Master_Mapping_Sheet!$E$2:$E$3143),
Master_Mapping_Sheet!$H$2:$H$3143=F$1,
Master_Mapping_Sheet!$B$2:$B$3143=$A38))/sum(filter(
Maste"&amp;"r_Mapping_Sheet!$E$2:$E$3143, ISNUMBER(
Master_Mapping_Sheet!$E$2:$E$3143),
Master_Mapping_Sheet!$B$2:$B$3143=$A38)))"),0.0)</f>
        <v>0</v>
      </c>
      <c r="G38" s="34">
        <f>IFERROR(__xludf.DUMMYFUNCTION("IF(ISNA(sum(filter(
Master_Mapping_Sheet!$E$2:$E$3143, ISNUMBER(
Master_Mapping_Sheet!$E$2:$E$3143),
Master_Mapping_Sheet!$H$2:$H$3143=G$1,
Master_Mapping_Sheet!$B$2:$B$3143=$A38))/sum(filter(
Master_Mapping_Sheet!$E$2:$E$3143, ISNUMBER(
Master_Mapping_Sh"&amp;"eet!$E$2:$E$3143),
Master_Mapping_Sheet!$B$2:$B$3143=$A38))), 0, sum(filter(
Master_Mapping_Sheet!$E$2:$E$3143, ISNUMBER(
Master_Mapping_Sheet!$E$2:$E$3143),
Master_Mapping_Sheet!$H$2:$H$3143=G$1,
Master_Mapping_Sheet!$B$2:$B$3143=$A38))/sum(filter(
Maste"&amp;"r_Mapping_Sheet!$E$2:$E$3143, ISNUMBER(
Master_Mapping_Sheet!$E$2:$E$3143),
Master_Mapping_Sheet!$B$2:$B$3143=$A38)))"),0.0)</f>
        <v>0</v>
      </c>
      <c r="H38" s="34">
        <f>IFERROR(__xludf.DUMMYFUNCTION("IF(ISNA(sum(filter(
Master_Mapping_Sheet!$E$2:$E$3143, ISNUMBER(
Master_Mapping_Sheet!$E$2:$E$3143),
Master_Mapping_Sheet!$H$2:$H$3143=H$1,
Master_Mapping_Sheet!$B$2:$B$3143=$A38))/sum(filter(
Master_Mapping_Sheet!$E$2:$E$3143, ISNUMBER(
Master_Mapping_Sh"&amp;"eet!$E$2:$E$3143),
Master_Mapping_Sheet!$B$2:$B$3143=$A38))), 0, sum(filter(
Master_Mapping_Sheet!$E$2:$E$3143, ISNUMBER(
Master_Mapping_Sheet!$E$2:$E$3143),
Master_Mapping_Sheet!$H$2:$H$3143=H$1,
Master_Mapping_Sheet!$B$2:$B$3143=$A38))/sum(filter(
Maste"&amp;"r_Mapping_Sheet!$E$2:$E$3143, ISNUMBER(
Master_Mapping_Sheet!$E$2:$E$3143),
Master_Mapping_Sheet!$B$2:$B$3143=$A38)))"),0.0)</f>
        <v>0</v>
      </c>
      <c r="I38" s="34">
        <f>IFERROR(__xludf.DUMMYFUNCTION("IF(ISNA(sum(filter(
Master_Mapping_Sheet!$E$2:$E$3143, ISNUMBER(
Master_Mapping_Sheet!$E$2:$E$3143),
Master_Mapping_Sheet!$H$2:$H$3143=I$1,
Master_Mapping_Sheet!$B$2:$B$3143=$A38))/sum(filter(
Master_Mapping_Sheet!$E$2:$E$3143, ISNUMBER(
Master_Mapping_Sh"&amp;"eet!$E$2:$E$3143),
Master_Mapping_Sheet!$B$2:$B$3143=$A38))), 0, sum(filter(
Master_Mapping_Sheet!$E$2:$E$3143, ISNUMBER(
Master_Mapping_Sheet!$E$2:$E$3143),
Master_Mapping_Sheet!$H$2:$H$3143=I$1,
Master_Mapping_Sheet!$B$2:$B$3143=$A38))/sum(filter(
Maste"&amp;"r_Mapping_Sheet!$E$2:$E$3143, ISNUMBER(
Master_Mapping_Sheet!$E$2:$E$3143),
Master_Mapping_Sheet!$B$2:$B$3143=$A38)))"),0.0)</f>
        <v>0</v>
      </c>
      <c r="J38" s="34">
        <f>IFERROR(__xludf.DUMMYFUNCTION("IF(ISNA(sum(filter(
Master_Mapping_Sheet!$E$2:$E$3143, ISNUMBER(
Master_Mapping_Sheet!$E$2:$E$3143),
Master_Mapping_Sheet!$H$2:$H$3143=J$1,
Master_Mapping_Sheet!$B$2:$B$3143=$A38))/sum(filter(
Master_Mapping_Sheet!$E$2:$E$3143, ISNUMBER(
Master_Mapping_Sh"&amp;"eet!$E$2:$E$3143),
Master_Mapping_Sheet!$B$2:$B$3143=$A38))), 0, sum(filter(
Master_Mapping_Sheet!$E$2:$E$3143, ISNUMBER(
Master_Mapping_Sheet!$E$2:$E$3143),
Master_Mapping_Sheet!$H$2:$H$3143=J$1,
Master_Mapping_Sheet!$B$2:$B$3143=$A38))/sum(filter(
Maste"&amp;"r_Mapping_Sheet!$E$2:$E$3143, ISNUMBER(
Master_Mapping_Sheet!$E$2:$E$3143),
Master_Mapping_Sheet!$B$2:$B$3143=$A38)))"),0.0)</f>
        <v>0</v>
      </c>
      <c r="K38" s="34">
        <f>IFERROR(__xludf.DUMMYFUNCTION("IF(ISNA(sum(filter(
Master_Mapping_Sheet!$E$2:$E$3143, ISNUMBER(
Master_Mapping_Sheet!$E$2:$E$3143),
Master_Mapping_Sheet!$H$2:$H$3143=K$1,
Master_Mapping_Sheet!$B$2:$B$3143=$A38))/sum(filter(
Master_Mapping_Sheet!$E$2:$E$3143, ISNUMBER(
Master_Mapping_Sh"&amp;"eet!$E$2:$E$3143),
Master_Mapping_Sheet!$B$2:$B$3143=$A38))), 0, sum(filter(
Master_Mapping_Sheet!$E$2:$E$3143, ISNUMBER(
Master_Mapping_Sheet!$E$2:$E$3143),
Master_Mapping_Sheet!$H$2:$H$3143=K$1,
Master_Mapping_Sheet!$B$2:$B$3143=$A38))/sum(filter(
Maste"&amp;"r_Mapping_Sheet!$E$2:$E$3143, ISNUMBER(
Master_Mapping_Sheet!$E$2:$E$3143),
Master_Mapping_Sheet!$B$2:$B$3143=$A38)))"),0.0)</f>
        <v>0</v>
      </c>
      <c r="L38" s="34">
        <f>IFERROR(__xludf.DUMMYFUNCTION("IF(ISNA(sum(filter(
Master_Mapping_Sheet!$E$2:$E$3143, ISNUMBER(
Master_Mapping_Sheet!$E$2:$E$3143),
Master_Mapping_Sheet!$H$2:$H$3143=L$1,
Master_Mapping_Sheet!$B$2:$B$3143=$A38))/sum(filter(
Master_Mapping_Sheet!$E$2:$E$3143, ISNUMBER(
Master_Mapping_Sh"&amp;"eet!$E$2:$E$3143),
Master_Mapping_Sheet!$B$2:$B$3143=$A38))), 0, sum(filter(
Master_Mapping_Sheet!$E$2:$E$3143, ISNUMBER(
Master_Mapping_Sheet!$E$2:$E$3143),
Master_Mapping_Sheet!$H$2:$H$3143=L$1,
Master_Mapping_Sheet!$B$2:$B$3143=$A38))/sum(filter(
Maste"&amp;"r_Mapping_Sheet!$E$2:$E$3143, ISNUMBER(
Master_Mapping_Sheet!$E$2:$E$3143),
Master_Mapping_Sheet!$B$2:$B$3143=$A38)))"),0.0)</f>
        <v>0</v>
      </c>
      <c r="M38" s="34">
        <f>IFERROR(__xludf.DUMMYFUNCTION("IF(ISNA(sum(filter(
Master_Mapping_Sheet!$E$2:$E$3143, ISNUMBER(
Master_Mapping_Sheet!$E$2:$E$3143),
Master_Mapping_Sheet!$H$2:$H$3143=M$1,
Master_Mapping_Sheet!$B$2:$B$3143=$A38))/sum(filter(
Master_Mapping_Sheet!$E$2:$E$3143, ISNUMBER(
Master_Mapping_Sh"&amp;"eet!$E$2:$E$3143),
Master_Mapping_Sheet!$B$2:$B$3143=$A38))), 0, sum(filter(
Master_Mapping_Sheet!$E$2:$E$3143, ISNUMBER(
Master_Mapping_Sheet!$E$2:$E$3143),
Master_Mapping_Sheet!$H$2:$H$3143=M$1,
Master_Mapping_Sheet!$B$2:$B$3143=$A38))/sum(filter(
Maste"&amp;"r_Mapping_Sheet!$E$2:$E$3143, ISNUMBER(
Master_Mapping_Sheet!$E$2:$E$3143),
Master_Mapping_Sheet!$B$2:$B$3143=$A38)))"),0.0)</f>
        <v>0</v>
      </c>
      <c r="N38" s="34">
        <f>IFERROR(__xludf.DUMMYFUNCTION("IF(ISNA(sum(filter(
Master_Mapping_Sheet!$E$2:$E$3143, ISNUMBER(
Master_Mapping_Sheet!$E$2:$E$3143),
Master_Mapping_Sheet!$H$2:$H$3143=N$1,
Master_Mapping_Sheet!$B$2:$B$3143=$A38))/sum(filter(
Master_Mapping_Sheet!$E$2:$E$3143, ISNUMBER(
Master_Mapping_Sh"&amp;"eet!$E$2:$E$3143),
Master_Mapping_Sheet!$B$2:$B$3143=$A38))), 0, sum(filter(
Master_Mapping_Sheet!$E$2:$E$3143, ISNUMBER(
Master_Mapping_Sheet!$E$2:$E$3143),
Master_Mapping_Sheet!$H$2:$H$3143=N$1,
Master_Mapping_Sheet!$B$2:$B$3143=$A38))/sum(filter(
Maste"&amp;"r_Mapping_Sheet!$E$2:$E$3143, ISNUMBER(
Master_Mapping_Sheet!$E$2:$E$3143),
Master_Mapping_Sheet!$B$2:$B$3143=$A38)))"),0.0)</f>
        <v>0</v>
      </c>
      <c r="O38" s="34">
        <f>IFERROR(__xludf.DUMMYFUNCTION("IF(ISNA(sum(filter(
Master_Mapping_Sheet!$E$2:$E$3143, ISNUMBER(
Master_Mapping_Sheet!$E$2:$E$3143),
Master_Mapping_Sheet!$H$2:$H$3143=O$1,
Master_Mapping_Sheet!$B$2:$B$3143=$A38))/sum(filter(
Master_Mapping_Sheet!$E$2:$E$3143, ISNUMBER(
Master_Mapping_Sh"&amp;"eet!$E$2:$E$3143),
Master_Mapping_Sheet!$B$2:$B$3143=$A38))), 0, sum(filter(
Master_Mapping_Sheet!$E$2:$E$3143, ISNUMBER(
Master_Mapping_Sheet!$E$2:$E$3143),
Master_Mapping_Sheet!$H$2:$H$3143=O$1,
Master_Mapping_Sheet!$B$2:$B$3143=$A38))/sum(filter(
Maste"&amp;"r_Mapping_Sheet!$E$2:$E$3143, ISNUMBER(
Master_Mapping_Sheet!$E$2:$E$3143),
Master_Mapping_Sheet!$B$2:$B$3143=$A38)))"),0.0)</f>
        <v>0</v>
      </c>
      <c r="P38" s="34">
        <f>IFERROR(__xludf.DUMMYFUNCTION("IF(ISNA(sum(filter(
Master_Mapping_Sheet!$E$2:$E$3143, ISNUMBER(
Master_Mapping_Sheet!$E$2:$E$3143),
Master_Mapping_Sheet!$H$2:$H$3143=P$1,
Master_Mapping_Sheet!$B$2:$B$3143=$A38))/sum(filter(
Master_Mapping_Sheet!$E$2:$E$3143, ISNUMBER(
Master_Mapping_Sh"&amp;"eet!$E$2:$E$3143),
Master_Mapping_Sheet!$B$2:$B$3143=$A38))), 0, sum(filter(
Master_Mapping_Sheet!$E$2:$E$3143, ISNUMBER(
Master_Mapping_Sheet!$E$2:$E$3143),
Master_Mapping_Sheet!$H$2:$H$3143=P$1,
Master_Mapping_Sheet!$B$2:$B$3143=$A38))/sum(filter(
Maste"&amp;"r_Mapping_Sheet!$E$2:$E$3143, ISNUMBER(
Master_Mapping_Sheet!$E$2:$E$3143),
Master_Mapping_Sheet!$B$2:$B$3143=$A38)))"),0.0)</f>
        <v>0</v>
      </c>
      <c r="Q38" s="34">
        <f>IFERROR(__xludf.DUMMYFUNCTION("IF(ISNA(sum(filter(
Master_Mapping_Sheet!$E$2:$E$3143, ISNUMBER(
Master_Mapping_Sheet!$E$2:$E$3143),
Master_Mapping_Sheet!$H$2:$H$3143=Q$1,
Master_Mapping_Sheet!$B$2:$B$3143=$A38))/sum(filter(
Master_Mapping_Sheet!$E$2:$E$3143, ISNUMBER(
Master_Mapping_Sh"&amp;"eet!$E$2:$E$3143),
Master_Mapping_Sheet!$B$2:$B$3143=$A38))), 0, sum(filter(
Master_Mapping_Sheet!$E$2:$E$3143, ISNUMBER(
Master_Mapping_Sheet!$E$2:$E$3143),
Master_Mapping_Sheet!$H$2:$H$3143=Q$1,
Master_Mapping_Sheet!$B$2:$B$3143=$A38))/sum(filter(
Maste"&amp;"r_Mapping_Sheet!$E$2:$E$3143, ISNUMBER(
Master_Mapping_Sheet!$E$2:$E$3143),
Master_Mapping_Sheet!$B$2:$B$3143=$A38)))"),0.0)</f>
        <v>0</v>
      </c>
      <c r="R38" s="34">
        <f>IFERROR(__xludf.DUMMYFUNCTION("IF(ISNA(sum(filter(
Master_Mapping_Sheet!$E$2:$E$3143, ISNUMBER(
Master_Mapping_Sheet!$E$2:$E$3143),
Master_Mapping_Sheet!$H$2:$H$3143=R$1,
Master_Mapping_Sheet!$B$2:$B$3143=$A38))/sum(filter(
Master_Mapping_Sheet!$E$2:$E$3143, ISNUMBER(
Master_Mapping_Sh"&amp;"eet!$E$2:$E$3143),
Master_Mapping_Sheet!$B$2:$B$3143=$A38))), 0, sum(filter(
Master_Mapping_Sheet!$E$2:$E$3143, ISNUMBER(
Master_Mapping_Sheet!$E$2:$E$3143),
Master_Mapping_Sheet!$H$2:$H$3143=R$1,
Master_Mapping_Sheet!$B$2:$B$3143=$A38))/sum(filter(
Maste"&amp;"r_Mapping_Sheet!$E$2:$E$3143, ISNUMBER(
Master_Mapping_Sheet!$E$2:$E$3143),
Master_Mapping_Sheet!$B$2:$B$3143=$A38)))"),0.0)</f>
        <v>0</v>
      </c>
      <c r="S38" s="34">
        <f>IFERROR(__xludf.DUMMYFUNCTION("IF(ISNA(sum(filter(
Master_Mapping_Sheet!$E$2:$E$3143, ISNUMBER(
Master_Mapping_Sheet!$E$2:$E$3143),
Master_Mapping_Sheet!$H$2:$H$3143=S$1,
Master_Mapping_Sheet!$B$2:$B$3143=$A38))/sum(filter(
Master_Mapping_Sheet!$E$2:$E$3143, ISNUMBER(
Master_Mapping_Sh"&amp;"eet!$E$2:$E$3143),
Master_Mapping_Sheet!$B$2:$B$3143=$A38))), 0, sum(filter(
Master_Mapping_Sheet!$E$2:$E$3143, ISNUMBER(
Master_Mapping_Sheet!$E$2:$E$3143),
Master_Mapping_Sheet!$H$2:$H$3143=S$1,
Master_Mapping_Sheet!$B$2:$B$3143=$A38))/sum(filter(
Maste"&amp;"r_Mapping_Sheet!$E$2:$E$3143, ISNUMBER(
Master_Mapping_Sheet!$E$2:$E$3143),
Master_Mapping_Sheet!$B$2:$B$3143=$A38)))"),1.0)</f>
        <v>1</v>
      </c>
      <c r="T38" s="34">
        <f>IFERROR(__xludf.DUMMYFUNCTION("IF(ISNA(sum(filter(
Master_Mapping_Sheet!$E$2:$E$3143, ISNUMBER(
Master_Mapping_Sheet!$E$2:$E$3143),
Master_Mapping_Sheet!$H$2:$H$3143=T$1,
Master_Mapping_Sheet!$B$2:$B$3143=$A38))/sum(filter(
Master_Mapping_Sheet!$E$2:$E$3143, ISNUMBER(
Master_Mapping_Sh"&amp;"eet!$E$2:$E$3143),
Master_Mapping_Sheet!$B$2:$B$3143=$A38))), 0, sum(filter(
Master_Mapping_Sheet!$E$2:$E$3143, ISNUMBER(
Master_Mapping_Sheet!$E$2:$E$3143),
Master_Mapping_Sheet!$H$2:$H$3143=T$1,
Master_Mapping_Sheet!$B$2:$B$3143=$A38))/sum(filter(
Maste"&amp;"r_Mapping_Sheet!$E$2:$E$3143, ISNUMBER(
Master_Mapping_Sheet!$E$2:$E$3143),
Master_Mapping_Sheet!$B$2:$B$3143=$A38)))"),0.0)</f>
        <v>0</v>
      </c>
      <c r="U38" s="34">
        <f>IFERROR(__xludf.DUMMYFUNCTION("IF(ISNA(sum(filter(
Master_Mapping_Sheet!$E$2:$E$3143, ISNUMBER(
Master_Mapping_Sheet!$E$2:$E$3143),
Master_Mapping_Sheet!$H$2:$H$3143=U$1,
Master_Mapping_Sheet!$B$2:$B$3143=$A38))/sum(filter(
Master_Mapping_Sheet!$E$2:$E$3143, ISNUMBER(
Master_Mapping_Sh"&amp;"eet!$E$2:$E$3143),
Master_Mapping_Sheet!$B$2:$B$3143=$A38))), 0, sum(filter(
Master_Mapping_Sheet!$E$2:$E$3143, ISNUMBER(
Master_Mapping_Sheet!$E$2:$E$3143),
Master_Mapping_Sheet!$H$2:$H$3143=U$1,
Master_Mapping_Sheet!$B$2:$B$3143=$A38))/sum(filter(
Maste"&amp;"r_Mapping_Sheet!$E$2:$E$3143, ISNUMBER(
Master_Mapping_Sheet!$E$2:$E$3143),
Master_Mapping_Sheet!$B$2:$B$3143=$A38)))"),0.0)</f>
        <v>0</v>
      </c>
      <c r="V38" s="34">
        <f>IFERROR(__xludf.DUMMYFUNCTION("IF(ISNA(sum(filter(
Master_Mapping_Sheet!$E$2:$E$3143, ISNUMBER(
Master_Mapping_Sheet!$E$2:$E$3143),
Master_Mapping_Sheet!$H$2:$H$3143=V$1,
Master_Mapping_Sheet!$B$2:$B$3143=$A38))/sum(filter(
Master_Mapping_Sheet!$E$2:$E$3143, ISNUMBER(
Master_Mapping_Sh"&amp;"eet!$E$2:$E$3143),
Master_Mapping_Sheet!$B$2:$B$3143=$A38))), 0, sum(filter(
Master_Mapping_Sheet!$E$2:$E$3143, ISNUMBER(
Master_Mapping_Sheet!$E$2:$E$3143),
Master_Mapping_Sheet!$H$2:$H$3143=V$1,
Master_Mapping_Sheet!$B$2:$B$3143=$A38))/sum(filter(
Maste"&amp;"r_Mapping_Sheet!$E$2:$E$3143, ISNUMBER(
Master_Mapping_Sheet!$E$2:$E$3143),
Master_Mapping_Sheet!$B$2:$B$3143=$A38)))"),0.0)</f>
        <v>0</v>
      </c>
      <c r="W38" s="34">
        <f>IFERROR(__xludf.DUMMYFUNCTION("IF(ISNA(sum(filter(
Master_Mapping_Sheet!$E$2:$E$3143, ISNUMBER(
Master_Mapping_Sheet!$E$2:$E$3143),
Master_Mapping_Sheet!$H$2:$H$3143=W$1,
Master_Mapping_Sheet!$B$2:$B$3143=$A38))/sum(filter(
Master_Mapping_Sheet!$E$2:$E$3143, ISNUMBER(
Master_Mapping_Sh"&amp;"eet!$E$2:$E$3143),
Master_Mapping_Sheet!$B$2:$B$3143=$A38))), 0, sum(filter(
Master_Mapping_Sheet!$E$2:$E$3143, ISNUMBER(
Master_Mapping_Sheet!$E$2:$E$3143),
Master_Mapping_Sheet!$H$2:$H$3143=W$1,
Master_Mapping_Sheet!$B$2:$B$3143=$A38))/sum(filter(
Maste"&amp;"r_Mapping_Sheet!$E$2:$E$3143, ISNUMBER(
Master_Mapping_Sheet!$E$2:$E$3143),
Master_Mapping_Sheet!$B$2:$B$3143=$A38)))"),0.0)</f>
        <v>0</v>
      </c>
      <c r="X38" s="34">
        <f>IFERROR(__xludf.DUMMYFUNCTION("IF(ISNA(sum(filter(
Master_Mapping_Sheet!$E$2:$E$3143, ISNUMBER(
Master_Mapping_Sheet!$E$2:$E$3143),
Master_Mapping_Sheet!$H$2:$H$3143=X$1,
Master_Mapping_Sheet!$B$2:$B$3143=$A38))/sum(filter(
Master_Mapping_Sheet!$E$2:$E$3143, ISNUMBER(
Master_Mapping_Sh"&amp;"eet!$E$2:$E$3143),
Master_Mapping_Sheet!$B$2:$B$3143=$A38))), 0, sum(filter(
Master_Mapping_Sheet!$E$2:$E$3143, ISNUMBER(
Master_Mapping_Sheet!$E$2:$E$3143),
Master_Mapping_Sheet!$H$2:$H$3143=X$1,
Master_Mapping_Sheet!$B$2:$B$3143=$A38))/sum(filter(
Maste"&amp;"r_Mapping_Sheet!$E$2:$E$3143, ISNUMBER(
Master_Mapping_Sheet!$E$2:$E$3143),
Master_Mapping_Sheet!$B$2:$B$3143=$A38)))"),0.0)</f>
        <v>0</v>
      </c>
      <c r="Y38" s="34">
        <f>IFERROR(__xludf.DUMMYFUNCTION("IF(ISNA(sum(filter(
Master_Mapping_Sheet!$E$2:$E$3143, ISNUMBER(
Master_Mapping_Sheet!$E$2:$E$3143),
Master_Mapping_Sheet!$H$2:$H$3143=Y$1,
Master_Mapping_Sheet!$B$2:$B$3143=$A38))/sum(filter(
Master_Mapping_Sheet!$E$2:$E$3143, ISNUMBER(
Master_Mapping_Sh"&amp;"eet!$E$2:$E$3143),
Master_Mapping_Sheet!$B$2:$B$3143=$A38))), 0, sum(filter(
Master_Mapping_Sheet!$E$2:$E$3143, ISNUMBER(
Master_Mapping_Sheet!$E$2:$E$3143),
Master_Mapping_Sheet!$H$2:$H$3143=Y$1,
Master_Mapping_Sheet!$B$2:$B$3143=$A38))/sum(filter(
Maste"&amp;"r_Mapping_Sheet!$E$2:$E$3143, ISNUMBER(
Master_Mapping_Sheet!$E$2:$E$3143),
Master_Mapping_Sheet!$B$2:$B$3143=$A38)))"),0.0)</f>
        <v>0</v>
      </c>
      <c r="Z38" s="34">
        <f>IFERROR(__xludf.DUMMYFUNCTION("IF(ISNA(sum(filter(
Master_Mapping_Sheet!$E$2:$E$3143, ISNUMBER(
Master_Mapping_Sheet!$E$2:$E$3143),
Master_Mapping_Sheet!$H$2:$H$3143=Z$1,
Master_Mapping_Sheet!$B$2:$B$3143=$A38))/sum(filter(
Master_Mapping_Sheet!$E$2:$E$3143, ISNUMBER(
Master_Mapping_Sh"&amp;"eet!$E$2:$E$3143),
Master_Mapping_Sheet!$B$2:$B$3143=$A38))), 0, sum(filter(
Master_Mapping_Sheet!$E$2:$E$3143, ISNUMBER(
Master_Mapping_Sheet!$E$2:$E$3143),
Master_Mapping_Sheet!$H$2:$H$3143=Z$1,
Master_Mapping_Sheet!$B$2:$B$3143=$A38))/sum(filter(
Maste"&amp;"r_Mapping_Sheet!$E$2:$E$3143, ISNUMBER(
Master_Mapping_Sheet!$E$2:$E$3143),
Master_Mapping_Sheet!$B$2:$B$3143=$A38)))"),0.0)</f>
        <v>0</v>
      </c>
      <c r="AA38" s="34">
        <f>IFERROR(__xludf.DUMMYFUNCTION("IF(ISNA(sum(filter(
Master_Mapping_Sheet!$E$2:$E$3143, ISNUMBER(
Master_Mapping_Sheet!$E$2:$E$3143),
Master_Mapping_Sheet!$H$2:$H$3143=AA$1,
Master_Mapping_Sheet!$B$2:$B$3143=$A38))/sum(filter(
Master_Mapping_Sheet!$E$2:$E$3143, ISNUMBER(
Master_Mapping_S"&amp;"heet!$E$2:$E$3143),
Master_Mapping_Sheet!$B$2:$B$3143=$A38))), 0, sum(filter(
Master_Mapping_Sheet!$E$2:$E$3143, ISNUMBER(
Master_Mapping_Sheet!$E$2:$E$3143),
Master_Mapping_Sheet!$H$2:$H$3143=AA$1,
Master_Mapping_Sheet!$B$2:$B$3143=$A38))/sum(filter(
Mas"&amp;"ter_Mapping_Sheet!$E$2:$E$3143, ISNUMBER(
Master_Mapping_Sheet!$E$2:$E$3143),
Master_Mapping_Sheet!$B$2:$B$3143=$A38)))"),0.0)</f>
        <v>0</v>
      </c>
    </row>
    <row r="39" ht="15.75" customHeight="1">
      <c r="A39" s="34" t="s">
        <v>1144</v>
      </c>
      <c r="B39" s="34" t="s">
        <v>3376</v>
      </c>
      <c r="C39" s="34">
        <f>IFERROR(__xludf.DUMMYFUNCTION("IF(ISNA(sum(filter(
Master_Mapping_Sheet!$E$2:$E$3143, ISNUMBER(
Master_Mapping_Sheet!$E$2:$E$3143),
Master_Mapping_Sheet!$H$2:$H$3143=C$1,
Master_Mapping_Sheet!$B$2:$B$3143=$A39))/sum(filter(
Master_Mapping_Sheet!$E$2:$E$3143, ISNUMBER(
Master_Mapping_Sh"&amp;"eet!$E$2:$E$3143),
Master_Mapping_Sheet!$B$2:$B$3143=$A39))), 0, sum(filter(
Master_Mapping_Sheet!$E$2:$E$3143, ISNUMBER(
Master_Mapping_Sheet!$E$2:$E$3143),
Master_Mapping_Sheet!$H$2:$H$3143=C$1,
Master_Mapping_Sheet!$B$2:$B$3143=$A39))/sum(filter(
Maste"&amp;"r_Mapping_Sheet!$E$2:$E$3143, ISNUMBER(
Master_Mapping_Sheet!$E$2:$E$3143),
Master_Mapping_Sheet!$B$2:$B$3143=$A39)))"),0.0)</f>
        <v>0</v>
      </c>
      <c r="D39" s="32">
        <f>IFERROR(__xludf.DUMMYFUNCTION("IF(ISNA(sum(filter(
Master_Mapping_Sheet!$E$2:$E$3143, ISNUMBER(
Master_Mapping_Sheet!$E$2:$E$3143),
Master_Mapping_Sheet!$H$2:$H$3143=D$1,
Master_Mapping_Sheet!$B$2:$B$3143=$A39))/sum(filter(
Master_Mapping_Sheet!$E$2:$E$3143, ISNUMBER(
Master_Mapping_Sh"&amp;"eet!$E$2:$E$3143),
Master_Mapping_Sheet!$B$2:$B$3143=$A39))), 0, sum(filter(
Master_Mapping_Sheet!$E$2:$E$3143, ISNUMBER(
Master_Mapping_Sheet!$E$2:$E$3143),
Master_Mapping_Sheet!$H$2:$H$3143=D$1,
Master_Mapping_Sheet!$B$2:$B$3143=$A39))/sum(filter(
Maste"&amp;"r_Mapping_Sheet!$E$2:$E$3143, ISNUMBER(
Master_Mapping_Sheet!$E$2:$E$3143),
Master_Mapping_Sheet!$B$2:$B$3143=$A39)))"),0.0)</f>
        <v>0</v>
      </c>
      <c r="E39" s="34">
        <f>IFERROR(__xludf.DUMMYFUNCTION("IF(ISNA(sum(filter(
Master_Mapping_Sheet!$E$2:$E$3143, ISNUMBER(
Master_Mapping_Sheet!$E$2:$E$3143),
Master_Mapping_Sheet!$H$2:$H$3143=E$1,
Master_Mapping_Sheet!$B$2:$B$3143=$A39))/sum(filter(
Master_Mapping_Sheet!$E$2:$E$3143, ISNUMBER(
Master_Mapping_Sh"&amp;"eet!$E$2:$E$3143),
Master_Mapping_Sheet!$B$2:$B$3143=$A39))), 0, sum(filter(
Master_Mapping_Sheet!$E$2:$E$3143, ISNUMBER(
Master_Mapping_Sheet!$E$2:$E$3143),
Master_Mapping_Sheet!$H$2:$H$3143=E$1,
Master_Mapping_Sheet!$B$2:$B$3143=$A39))/sum(filter(
Maste"&amp;"r_Mapping_Sheet!$E$2:$E$3143, ISNUMBER(
Master_Mapping_Sheet!$E$2:$E$3143),
Master_Mapping_Sheet!$B$2:$B$3143=$A39)))"),0.0)</f>
        <v>0</v>
      </c>
      <c r="F39" s="34">
        <f>IFERROR(__xludf.DUMMYFUNCTION("IF(ISNA(sum(filter(
Master_Mapping_Sheet!$E$2:$E$3143, ISNUMBER(
Master_Mapping_Sheet!$E$2:$E$3143),
Master_Mapping_Sheet!$H$2:$H$3143=F$1,
Master_Mapping_Sheet!$B$2:$B$3143=$A39))/sum(filter(
Master_Mapping_Sheet!$E$2:$E$3143, ISNUMBER(
Master_Mapping_Sh"&amp;"eet!$E$2:$E$3143),
Master_Mapping_Sheet!$B$2:$B$3143=$A39))), 0, sum(filter(
Master_Mapping_Sheet!$E$2:$E$3143, ISNUMBER(
Master_Mapping_Sheet!$E$2:$E$3143),
Master_Mapping_Sheet!$H$2:$H$3143=F$1,
Master_Mapping_Sheet!$B$2:$B$3143=$A39))/sum(filter(
Maste"&amp;"r_Mapping_Sheet!$E$2:$E$3143, ISNUMBER(
Master_Mapping_Sheet!$E$2:$E$3143),
Master_Mapping_Sheet!$B$2:$B$3143=$A39)))"),0.0)</f>
        <v>0</v>
      </c>
      <c r="G39" s="34">
        <f>IFERROR(__xludf.DUMMYFUNCTION("IF(ISNA(sum(filter(
Master_Mapping_Sheet!$E$2:$E$3143, ISNUMBER(
Master_Mapping_Sheet!$E$2:$E$3143),
Master_Mapping_Sheet!$H$2:$H$3143=G$1,
Master_Mapping_Sheet!$B$2:$B$3143=$A39))/sum(filter(
Master_Mapping_Sheet!$E$2:$E$3143, ISNUMBER(
Master_Mapping_Sh"&amp;"eet!$E$2:$E$3143),
Master_Mapping_Sheet!$B$2:$B$3143=$A39))), 0, sum(filter(
Master_Mapping_Sheet!$E$2:$E$3143, ISNUMBER(
Master_Mapping_Sheet!$E$2:$E$3143),
Master_Mapping_Sheet!$H$2:$H$3143=G$1,
Master_Mapping_Sheet!$B$2:$B$3143=$A39))/sum(filter(
Maste"&amp;"r_Mapping_Sheet!$E$2:$E$3143, ISNUMBER(
Master_Mapping_Sheet!$E$2:$E$3143),
Master_Mapping_Sheet!$B$2:$B$3143=$A39)))"),0.0)</f>
        <v>0</v>
      </c>
      <c r="H39" s="34">
        <f>IFERROR(__xludf.DUMMYFUNCTION("IF(ISNA(sum(filter(
Master_Mapping_Sheet!$E$2:$E$3143, ISNUMBER(
Master_Mapping_Sheet!$E$2:$E$3143),
Master_Mapping_Sheet!$H$2:$H$3143=H$1,
Master_Mapping_Sheet!$B$2:$B$3143=$A39))/sum(filter(
Master_Mapping_Sheet!$E$2:$E$3143, ISNUMBER(
Master_Mapping_Sh"&amp;"eet!$E$2:$E$3143),
Master_Mapping_Sheet!$B$2:$B$3143=$A39))), 0, sum(filter(
Master_Mapping_Sheet!$E$2:$E$3143, ISNUMBER(
Master_Mapping_Sheet!$E$2:$E$3143),
Master_Mapping_Sheet!$H$2:$H$3143=H$1,
Master_Mapping_Sheet!$B$2:$B$3143=$A39))/sum(filter(
Maste"&amp;"r_Mapping_Sheet!$E$2:$E$3143, ISNUMBER(
Master_Mapping_Sheet!$E$2:$E$3143),
Master_Mapping_Sheet!$B$2:$B$3143=$A39)))"),0.0)</f>
        <v>0</v>
      </c>
      <c r="I39" s="34">
        <f>IFERROR(__xludf.DUMMYFUNCTION("IF(ISNA(sum(filter(
Master_Mapping_Sheet!$E$2:$E$3143, ISNUMBER(
Master_Mapping_Sheet!$E$2:$E$3143),
Master_Mapping_Sheet!$H$2:$H$3143=I$1,
Master_Mapping_Sheet!$B$2:$B$3143=$A39))/sum(filter(
Master_Mapping_Sheet!$E$2:$E$3143, ISNUMBER(
Master_Mapping_Sh"&amp;"eet!$E$2:$E$3143),
Master_Mapping_Sheet!$B$2:$B$3143=$A39))), 0, sum(filter(
Master_Mapping_Sheet!$E$2:$E$3143, ISNUMBER(
Master_Mapping_Sheet!$E$2:$E$3143),
Master_Mapping_Sheet!$H$2:$H$3143=I$1,
Master_Mapping_Sheet!$B$2:$B$3143=$A39))/sum(filter(
Maste"&amp;"r_Mapping_Sheet!$E$2:$E$3143, ISNUMBER(
Master_Mapping_Sheet!$E$2:$E$3143),
Master_Mapping_Sheet!$B$2:$B$3143=$A39)))"),0.0)</f>
        <v>0</v>
      </c>
      <c r="J39" s="34">
        <f>IFERROR(__xludf.DUMMYFUNCTION("IF(ISNA(sum(filter(
Master_Mapping_Sheet!$E$2:$E$3143, ISNUMBER(
Master_Mapping_Sheet!$E$2:$E$3143),
Master_Mapping_Sheet!$H$2:$H$3143=J$1,
Master_Mapping_Sheet!$B$2:$B$3143=$A39))/sum(filter(
Master_Mapping_Sheet!$E$2:$E$3143, ISNUMBER(
Master_Mapping_Sh"&amp;"eet!$E$2:$E$3143),
Master_Mapping_Sheet!$B$2:$B$3143=$A39))), 0, sum(filter(
Master_Mapping_Sheet!$E$2:$E$3143, ISNUMBER(
Master_Mapping_Sheet!$E$2:$E$3143),
Master_Mapping_Sheet!$H$2:$H$3143=J$1,
Master_Mapping_Sheet!$B$2:$B$3143=$A39))/sum(filter(
Maste"&amp;"r_Mapping_Sheet!$E$2:$E$3143, ISNUMBER(
Master_Mapping_Sheet!$E$2:$E$3143),
Master_Mapping_Sheet!$B$2:$B$3143=$A39)))"),0.0)</f>
        <v>0</v>
      </c>
      <c r="K39" s="34">
        <f>IFERROR(__xludf.DUMMYFUNCTION("IF(ISNA(sum(filter(
Master_Mapping_Sheet!$E$2:$E$3143, ISNUMBER(
Master_Mapping_Sheet!$E$2:$E$3143),
Master_Mapping_Sheet!$H$2:$H$3143=K$1,
Master_Mapping_Sheet!$B$2:$B$3143=$A39))/sum(filter(
Master_Mapping_Sheet!$E$2:$E$3143, ISNUMBER(
Master_Mapping_Sh"&amp;"eet!$E$2:$E$3143),
Master_Mapping_Sheet!$B$2:$B$3143=$A39))), 0, sum(filter(
Master_Mapping_Sheet!$E$2:$E$3143, ISNUMBER(
Master_Mapping_Sheet!$E$2:$E$3143),
Master_Mapping_Sheet!$H$2:$H$3143=K$1,
Master_Mapping_Sheet!$B$2:$B$3143=$A39))/sum(filter(
Maste"&amp;"r_Mapping_Sheet!$E$2:$E$3143, ISNUMBER(
Master_Mapping_Sheet!$E$2:$E$3143),
Master_Mapping_Sheet!$B$2:$B$3143=$A39)))"),0.0)</f>
        <v>0</v>
      </c>
      <c r="L39" s="34">
        <f>IFERROR(__xludf.DUMMYFUNCTION("IF(ISNA(sum(filter(
Master_Mapping_Sheet!$E$2:$E$3143, ISNUMBER(
Master_Mapping_Sheet!$E$2:$E$3143),
Master_Mapping_Sheet!$H$2:$H$3143=L$1,
Master_Mapping_Sheet!$B$2:$B$3143=$A39))/sum(filter(
Master_Mapping_Sheet!$E$2:$E$3143, ISNUMBER(
Master_Mapping_Sh"&amp;"eet!$E$2:$E$3143),
Master_Mapping_Sheet!$B$2:$B$3143=$A39))), 0, sum(filter(
Master_Mapping_Sheet!$E$2:$E$3143, ISNUMBER(
Master_Mapping_Sheet!$E$2:$E$3143),
Master_Mapping_Sheet!$H$2:$H$3143=L$1,
Master_Mapping_Sheet!$B$2:$B$3143=$A39))/sum(filter(
Maste"&amp;"r_Mapping_Sheet!$E$2:$E$3143, ISNUMBER(
Master_Mapping_Sheet!$E$2:$E$3143),
Master_Mapping_Sheet!$B$2:$B$3143=$A39)))"),0.0)</f>
        <v>0</v>
      </c>
      <c r="M39" s="34">
        <f>IFERROR(__xludf.DUMMYFUNCTION("IF(ISNA(sum(filter(
Master_Mapping_Sheet!$E$2:$E$3143, ISNUMBER(
Master_Mapping_Sheet!$E$2:$E$3143),
Master_Mapping_Sheet!$H$2:$H$3143=M$1,
Master_Mapping_Sheet!$B$2:$B$3143=$A39))/sum(filter(
Master_Mapping_Sheet!$E$2:$E$3143, ISNUMBER(
Master_Mapping_Sh"&amp;"eet!$E$2:$E$3143),
Master_Mapping_Sheet!$B$2:$B$3143=$A39))), 0, sum(filter(
Master_Mapping_Sheet!$E$2:$E$3143, ISNUMBER(
Master_Mapping_Sheet!$E$2:$E$3143),
Master_Mapping_Sheet!$H$2:$H$3143=M$1,
Master_Mapping_Sheet!$B$2:$B$3143=$A39))/sum(filter(
Maste"&amp;"r_Mapping_Sheet!$E$2:$E$3143, ISNUMBER(
Master_Mapping_Sheet!$E$2:$E$3143),
Master_Mapping_Sheet!$B$2:$B$3143=$A39)))"),0.0)</f>
        <v>0</v>
      </c>
      <c r="N39" s="34">
        <f>IFERROR(__xludf.DUMMYFUNCTION("IF(ISNA(sum(filter(
Master_Mapping_Sheet!$E$2:$E$3143, ISNUMBER(
Master_Mapping_Sheet!$E$2:$E$3143),
Master_Mapping_Sheet!$H$2:$H$3143=N$1,
Master_Mapping_Sheet!$B$2:$B$3143=$A39))/sum(filter(
Master_Mapping_Sheet!$E$2:$E$3143, ISNUMBER(
Master_Mapping_Sh"&amp;"eet!$E$2:$E$3143),
Master_Mapping_Sheet!$B$2:$B$3143=$A39))), 0, sum(filter(
Master_Mapping_Sheet!$E$2:$E$3143, ISNUMBER(
Master_Mapping_Sheet!$E$2:$E$3143),
Master_Mapping_Sheet!$H$2:$H$3143=N$1,
Master_Mapping_Sheet!$B$2:$B$3143=$A39))/sum(filter(
Maste"&amp;"r_Mapping_Sheet!$E$2:$E$3143, ISNUMBER(
Master_Mapping_Sheet!$E$2:$E$3143),
Master_Mapping_Sheet!$B$2:$B$3143=$A39)))"),0.0)</f>
        <v>0</v>
      </c>
      <c r="O39" s="34">
        <f>IFERROR(__xludf.DUMMYFUNCTION("IF(ISNA(sum(filter(
Master_Mapping_Sheet!$E$2:$E$3143, ISNUMBER(
Master_Mapping_Sheet!$E$2:$E$3143),
Master_Mapping_Sheet!$H$2:$H$3143=O$1,
Master_Mapping_Sheet!$B$2:$B$3143=$A39))/sum(filter(
Master_Mapping_Sheet!$E$2:$E$3143, ISNUMBER(
Master_Mapping_Sh"&amp;"eet!$E$2:$E$3143),
Master_Mapping_Sheet!$B$2:$B$3143=$A39))), 0, sum(filter(
Master_Mapping_Sheet!$E$2:$E$3143, ISNUMBER(
Master_Mapping_Sheet!$E$2:$E$3143),
Master_Mapping_Sheet!$H$2:$H$3143=O$1,
Master_Mapping_Sheet!$B$2:$B$3143=$A39))/sum(filter(
Maste"&amp;"r_Mapping_Sheet!$E$2:$E$3143, ISNUMBER(
Master_Mapping_Sheet!$E$2:$E$3143),
Master_Mapping_Sheet!$B$2:$B$3143=$A39)))"),0.0)</f>
        <v>0</v>
      </c>
      <c r="P39" s="34">
        <f>IFERROR(__xludf.DUMMYFUNCTION("IF(ISNA(sum(filter(
Master_Mapping_Sheet!$E$2:$E$3143, ISNUMBER(
Master_Mapping_Sheet!$E$2:$E$3143),
Master_Mapping_Sheet!$H$2:$H$3143=P$1,
Master_Mapping_Sheet!$B$2:$B$3143=$A39))/sum(filter(
Master_Mapping_Sheet!$E$2:$E$3143, ISNUMBER(
Master_Mapping_Sh"&amp;"eet!$E$2:$E$3143),
Master_Mapping_Sheet!$B$2:$B$3143=$A39))), 0, sum(filter(
Master_Mapping_Sheet!$E$2:$E$3143, ISNUMBER(
Master_Mapping_Sheet!$E$2:$E$3143),
Master_Mapping_Sheet!$H$2:$H$3143=P$1,
Master_Mapping_Sheet!$B$2:$B$3143=$A39))/sum(filter(
Maste"&amp;"r_Mapping_Sheet!$E$2:$E$3143, ISNUMBER(
Master_Mapping_Sheet!$E$2:$E$3143),
Master_Mapping_Sheet!$B$2:$B$3143=$A39)))"),0.0)</f>
        <v>0</v>
      </c>
      <c r="Q39" s="34">
        <f>IFERROR(__xludf.DUMMYFUNCTION("IF(ISNA(sum(filter(
Master_Mapping_Sheet!$E$2:$E$3143, ISNUMBER(
Master_Mapping_Sheet!$E$2:$E$3143),
Master_Mapping_Sheet!$H$2:$H$3143=Q$1,
Master_Mapping_Sheet!$B$2:$B$3143=$A39))/sum(filter(
Master_Mapping_Sheet!$E$2:$E$3143, ISNUMBER(
Master_Mapping_Sh"&amp;"eet!$E$2:$E$3143),
Master_Mapping_Sheet!$B$2:$B$3143=$A39))), 0, sum(filter(
Master_Mapping_Sheet!$E$2:$E$3143, ISNUMBER(
Master_Mapping_Sheet!$E$2:$E$3143),
Master_Mapping_Sheet!$H$2:$H$3143=Q$1,
Master_Mapping_Sheet!$B$2:$B$3143=$A39))/sum(filter(
Maste"&amp;"r_Mapping_Sheet!$E$2:$E$3143, ISNUMBER(
Master_Mapping_Sheet!$E$2:$E$3143),
Master_Mapping_Sheet!$B$2:$B$3143=$A39)))"),0.0)</f>
        <v>0</v>
      </c>
      <c r="R39" s="34">
        <f>IFERROR(__xludf.DUMMYFUNCTION("IF(ISNA(sum(filter(
Master_Mapping_Sheet!$E$2:$E$3143, ISNUMBER(
Master_Mapping_Sheet!$E$2:$E$3143),
Master_Mapping_Sheet!$H$2:$H$3143=R$1,
Master_Mapping_Sheet!$B$2:$B$3143=$A39))/sum(filter(
Master_Mapping_Sheet!$E$2:$E$3143, ISNUMBER(
Master_Mapping_Sh"&amp;"eet!$E$2:$E$3143),
Master_Mapping_Sheet!$B$2:$B$3143=$A39))), 0, sum(filter(
Master_Mapping_Sheet!$E$2:$E$3143, ISNUMBER(
Master_Mapping_Sheet!$E$2:$E$3143),
Master_Mapping_Sheet!$H$2:$H$3143=R$1,
Master_Mapping_Sheet!$B$2:$B$3143=$A39))/sum(filter(
Maste"&amp;"r_Mapping_Sheet!$E$2:$E$3143, ISNUMBER(
Master_Mapping_Sheet!$E$2:$E$3143),
Master_Mapping_Sheet!$B$2:$B$3143=$A39)))"),0.0)</f>
        <v>0</v>
      </c>
      <c r="S39" s="34">
        <f>IFERROR(__xludf.DUMMYFUNCTION("IF(ISNA(sum(filter(
Master_Mapping_Sheet!$E$2:$E$3143, ISNUMBER(
Master_Mapping_Sheet!$E$2:$E$3143),
Master_Mapping_Sheet!$H$2:$H$3143=S$1,
Master_Mapping_Sheet!$B$2:$B$3143=$A39))/sum(filter(
Master_Mapping_Sheet!$E$2:$E$3143, ISNUMBER(
Master_Mapping_Sh"&amp;"eet!$E$2:$E$3143),
Master_Mapping_Sheet!$B$2:$B$3143=$A39))), 0, sum(filter(
Master_Mapping_Sheet!$E$2:$E$3143, ISNUMBER(
Master_Mapping_Sheet!$E$2:$E$3143),
Master_Mapping_Sheet!$H$2:$H$3143=S$1,
Master_Mapping_Sheet!$B$2:$B$3143=$A39))/sum(filter(
Maste"&amp;"r_Mapping_Sheet!$E$2:$E$3143, ISNUMBER(
Master_Mapping_Sheet!$E$2:$E$3143),
Master_Mapping_Sheet!$B$2:$B$3143=$A39)))"),0.0)</f>
        <v>0</v>
      </c>
      <c r="T39" s="34">
        <f>IFERROR(__xludf.DUMMYFUNCTION("IF(ISNA(sum(filter(
Master_Mapping_Sheet!$E$2:$E$3143, ISNUMBER(
Master_Mapping_Sheet!$E$2:$E$3143),
Master_Mapping_Sheet!$H$2:$H$3143=T$1,
Master_Mapping_Sheet!$B$2:$B$3143=$A39))/sum(filter(
Master_Mapping_Sheet!$E$2:$E$3143, ISNUMBER(
Master_Mapping_Sh"&amp;"eet!$E$2:$E$3143),
Master_Mapping_Sheet!$B$2:$B$3143=$A39))), 0, sum(filter(
Master_Mapping_Sheet!$E$2:$E$3143, ISNUMBER(
Master_Mapping_Sheet!$E$2:$E$3143),
Master_Mapping_Sheet!$H$2:$H$3143=T$1,
Master_Mapping_Sheet!$B$2:$B$3143=$A39))/sum(filter(
Maste"&amp;"r_Mapping_Sheet!$E$2:$E$3143, ISNUMBER(
Master_Mapping_Sheet!$E$2:$E$3143),
Master_Mapping_Sheet!$B$2:$B$3143=$A39)))"),0.0)</f>
        <v>0</v>
      </c>
      <c r="U39" s="34">
        <f>IFERROR(__xludf.DUMMYFUNCTION("IF(ISNA(sum(filter(
Master_Mapping_Sheet!$E$2:$E$3143, ISNUMBER(
Master_Mapping_Sheet!$E$2:$E$3143),
Master_Mapping_Sheet!$H$2:$H$3143=U$1,
Master_Mapping_Sheet!$B$2:$B$3143=$A39))/sum(filter(
Master_Mapping_Sheet!$E$2:$E$3143, ISNUMBER(
Master_Mapping_Sh"&amp;"eet!$E$2:$E$3143),
Master_Mapping_Sheet!$B$2:$B$3143=$A39))), 0, sum(filter(
Master_Mapping_Sheet!$E$2:$E$3143, ISNUMBER(
Master_Mapping_Sheet!$E$2:$E$3143),
Master_Mapping_Sheet!$H$2:$H$3143=U$1,
Master_Mapping_Sheet!$B$2:$B$3143=$A39))/sum(filter(
Maste"&amp;"r_Mapping_Sheet!$E$2:$E$3143, ISNUMBER(
Master_Mapping_Sheet!$E$2:$E$3143),
Master_Mapping_Sheet!$B$2:$B$3143=$A39)))"),0.0)</f>
        <v>0</v>
      </c>
      <c r="V39" s="34">
        <f>IFERROR(__xludf.DUMMYFUNCTION("IF(ISNA(sum(filter(
Master_Mapping_Sheet!$E$2:$E$3143, ISNUMBER(
Master_Mapping_Sheet!$E$2:$E$3143),
Master_Mapping_Sheet!$H$2:$H$3143=V$1,
Master_Mapping_Sheet!$B$2:$B$3143=$A39))/sum(filter(
Master_Mapping_Sheet!$E$2:$E$3143, ISNUMBER(
Master_Mapping_Sh"&amp;"eet!$E$2:$E$3143),
Master_Mapping_Sheet!$B$2:$B$3143=$A39))), 0, sum(filter(
Master_Mapping_Sheet!$E$2:$E$3143, ISNUMBER(
Master_Mapping_Sheet!$E$2:$E$3143),
Master_Mapping_Sheet!$H$2:$H$3143=V$1,
Master_Mapping_Sheet!$B$2:$B$3143=$A39))/sum(filter(
Maste"&amp;"r_Mapping_Sheet!$E$2:$E$3143, ISNUMBER(
Master_Mapping_Sheet!$E$2:$E$3143),
Master_Mapping_Sheet!$B$2:$B$3143=$A39)))"),0.0)</f>
        <v>0</v>
      </c>
      <c r="W39" s="34">
        <f>IFERROR(__xludf.DUMMYFUNCTION("IF(ISNA(sum(filter(
Master_Mapping_Sheet!$E$2:$E$3143, ISNUMBER(
Master_Mapping_Sheet!$E$2:$E$3143),
Master_Mapping_Sheet!$H$2:$H$3143=W$1,
Master_Mapping_Sheet!$B$2:$B$3143=$A39))/sum(filter(
Master_Mapping_Sheet!$E$2:$E$3143, ISNUMBER(
Master_Mapping_Sh"&amp;"eet!$E$2:$E$3143),
Master_Mapping_Sheet!$B$2:$B$3143=$A39))), 0, sum(filter(
Master_Mapping_Sheet!$E$2:$E$3143, ISNUMBER(
Master_Mapping_Sheet!$E$2:$E$3143),
Master_Mapping_Sheet!$H$2:$H$3143=W$1,
Master_Mapping_Sheet!$B$2:$B$3143=$A39))/sum(filter(
Maste"&amp;"r_Mapping_Sheet!$E$2:$E$3143, ISNUMBER(
Master_Mapping_Sheet!$E$2:$E$3143),
Master_Mapping_Sheet!$B$2:$B$3143=$A39)))"),0.0)</f>
        <v>0</v>
      </c>
      <c r="X39" s="34">
        <f>IFERROR(__xludf.DUMMYFUNCTION("IF(ISNA(sum(filter(
Master_Mapping_Sheet!$E$2:$E$3143, ISNUMBER(
Master_Mapping_Sheet!$E$2:$E$3143),
Master_Mapping_Sheet!$H$2:$H$3143=X$1,
Master_Mapping_Sheet!$B$2:$B$3143=$A39))/sum(filter(
Master_Mapping_Sheet!$E$2:$E$3143, ISNUMBER(
Master_Mapping_Sh"&amp;"eet!$E$2:$E$3143),
Master_Mapping_Sheet!$B$2:$B$3143=$A39))), 0, sum(filter(
Master_Mapping_Sheet!$E$2:$E$3143, ISNUMBER(
Master_Mapping_Sheet!$E$2:$E$3143),
Master_Mapping_Sheet!$H$2:$H$3143=X$1,
Master_Mapping_Sheet!$B$2:$B$3143=$A39))/sum(filter(
Maste"&amp;"r_Mapping_Sheet!$E$2:$E$3143, ISNUMBER(
Master_Mapping_Sheet!$E$2:$E$3143),
Master_Mapping_Sheet!$B$2:$B$3143=$A39)))"),0.0)</f>
        <v>0</v>
      </c>
      <c r="Y39" s="34">
        <f>IFERROR(__xludf.DUMMYFUNCTION("IF(ISNA(sum(filter(
Master_Mapping_Sheet!$E$2:$E$3143, ISNUMBER(
Master_Mapping_Sheet!$E$2:$E$3143),
Master_Mapping_Sheet!$H$2:$H$3143=Y$1,
Master_Mapping_Sheet!$B$2:$B$3143=$A39))/sum(filter(
Master_Mapping_Sheet!$E$2:$E$3143, ISNUMBER(
Master_Mapping_Sh"&amp;"eet!$E$2:$E$3143),
Master_Mapping_Sheet!$B$2:$B$3143=$A39))), 0, sum(filter(
Master_Mapping_Sheet!$E$2:$E$3143, ISNUMBER(
Master_Mapping_Sheet!$E$2:$E$3143),
Master_Mapping_Sheet!$H$2:$H$3143=Y$1,
Master_Mapping_Sheet!$B$2:$B$3143=$A39))/sum(filter(
Maste"&amp;"r_Mapping_Sheet!$E$2:$E$3143, ISNUMBER(
Master_Mapping_Sheet!$E$2:$E$3143),
Master_Mapping_Sheet!$B$2:$B$3143=$A39)))"),1.0)</f>
        <v>1</v>
      </c>
      <c r="Z39" s="34">
        <f>IFERROR(__xludf.DUMMYFUNCTION("IF(ISNA(sum(filter(
Master_Mapping_Sheet!$E$2:$E$3143, ISNUMBER(
Master_Mapping_Sheet!$E$2:$E$3143),
Master_Mapping_Sheet!$H$2:$H$3143=Z$1,
Master_Mapping_Sheet!$B$2:$B$3143=$A39))/sum(filter(
Master_Mapping_Sheet!$E$2:$E$3143, ISNUMBER(
Master_Mapping_Sh"&amp;"eet!$E$2:$E$3143),
Master_Mapping_Sheet!$B$2:$B$3143=$A39))), 0, sum(filter(
Master_Mapping_Sheet!$E$2:$E$3143, ISNUMBER(
Master_Mapping_Sheet!$E$2:$E$3143),
Master_Mapping_Sheet!$H$2:$H$3143=Z$1,
Master_Mapping_Sheet!$B$2:$B$3143=$A39))/sum(filter(
Maste"&amp;"r_Mapping_Sheet!$E$2:$E$3143, ISNUMBER(
Master_Mapping_Sheet!$E$2:$E$3143),
Master_Mapping_Sheet!$B$2:$B$3143=$A39)))"),0.0)</f>
        <v>0</v>
      </c>
      <c r="AA39" s="34">
        <f>IFERROR(__xludf.DUMMYFUNCTION("IF(ISNA(sum(filter(
Master_Mapping_Sheet!$E$2:$E$3143, ISNUMBER(
Master_Mapping_Sheet!$E$2:$E$3143),
Master_Mapping_Sheet!$H$2:$H$3143=AA$1,
Master_Mapping_Sheet!$B$2:$B$3143=$A39))/sum(filter(
Master_Mapping_Sheet!$E$2:$E$3143, ISNUMBER(
Master_Mapping_S"&amp;"heet!$E$2:$E$3143),
Master_Mapping_Sheet!$B$2:$B$3143=$A39))), 0, sum(filter(
Master_Mapping_Sheet!$E$2:$E$3143, ISNUMBER(
Master_Mapping_Sheet!$E$2:$E$3143),
Master_Mapping_Sheet!$H$2:$H$3143=AA$1,
Master_Mapping_Sheet!$B$2:$B$3143=$A39))/sum(filter(
Mas"&amp;"ter_Mapping_Sheet!$E$2:$E$3143, ISNUMBER(
Master_Mapping_Sheet!$E$2:$E$3143),
Master_Mapping_Sheet!$B$2:$B$3143=$A39)))"),0.0)</f>
        <v>0</v>
      </c>
    </row>
    <row r="40" ht="15.75" customHeight="1">
      <c r="A40" s="34" t="s">
        <v>1514</v>
      </c>
      <c r="B40" s="34" t="s">
        <v>3393</v>
      </c>
      <c r="C40" s="34">
        <f>IFERROR(__xludf.DUMMYFUNCTION("IF(ISNA(sum(filter(
Master_Mapping_Sheet!$E$2:$E$3143, ISNUMBER(
Master_Mapping_Sheet!$E$2:$E$3143),
Master_Mapping_Sheet!$H$2:$H$3143=C$1,
Master_Mapping_Sheet!$B$2:$B$3143=$A40))/sum(filter(
Master_Mapping_Sheet!$E$2:$E$3143, ISNUMBER(
Master_Mapping_Sh"&amp;"eet!$E$2:$E$3143),
Master_Mapping_Sheet!$B$2:$B$3143=$A40))), 0, sum(filter(
Master_Mapping_Sheet!$E$2:$E$3143, ISNUMBER(
Master_Mapping_Sheet!$E$2:$E$3143),
Master_Mapping_Sheet!$H$2:$H$3143=C$1,
Master_Mapping_Sheet!$B$2:$B$3143=$A40))/sum(filter(
Maste"&amp;"r_Mapping_Sheet!$E$2:$E$3143, ISNUMBER(
Master_Mapping_Sheet!$E$2:$E$3143),
Master_Mapping_Sheet!$B$2:$B$3143=$A40)))"),0.0)</f>
        <v>0</v>
      </c>
      <c r="D40" s="32">
        <f>IFERROR(__xludf.DUMMYFUNCTION("IF(ISNA(sum(filter(
Master_Mapping_Sheet!$E$2:$E$3143, ISNUMBER(
Master_Mapping_Sheet!$E$2:$E$3143),
Master_Mapping_Sheet!$H$2:$H$3143=D$1,
Master_Mapping_Sheet!$B$2:$B$3143=$A40))/sum(filter(
Master_Mapping_Sheet!$E$2:$E$3143, ISNUMBER(
Master_Mapping_Sh"&amp;"eet!$E$2:$E$3143),
Master_Mapping_Sheet!$B$2:$B$3143=$A40))), 0, sum(filter(
Master_Mapping_Sheet!$E$2:$E$3143, ISNUMBER(
Master_Mapping_Sheet!$E$2:$E$3143),
Master_Mapping_Sheet!$H$2:$H$3143=D$1,
Master_Mapping_Sheet!$B$2:$B$3143=$A40))/sum(filter(
Maste"&amp;"r_Mapping_Sheet!$E$2:$E$3143, ISNUMBER(
Master_Mapping_Sheet!$E$2:$E$3143),
Master_Mapping_Sheet!$B$2:$B$3143=$A40)))"),0.0)</f>
        <v>0</v>
      </c>
      <c r="E40" s="34">
        <f>IFERROR(__xludf.DUMMYFUNCTION("IF(ISNA(sum(filter(
Master_Mapping_Sheet!$E$2:$E$3143, ISNUMBER(
Master_Mapping_Sheet!$E$2:$E$3143),
Master_Mapping_Sheet!$H$2:$H$3143=E$1,
Master_Mapping_Sheet!$B$2:$B$3143=$A40))/sum(filter(
Master_Mapping_Sheet!$E$2:$E$3143, ISNUMBER(
Master_Mapping_Sh"&amp;"eet!$E$2:$E$3143),
Master_Mapping_Sheet!$B$2:$B$3143=$A40))), 0, sum(filter(
Master_Mapping_Sheet!$E$2:$E$3143, ISNUMBER(
Master_Mapping_Sheet!$E$2:$E$3143),
Master_Mapping_Sheet!$H$2:$H$3143=E$1,
Master_Mapping_Sheet!$B$2:$B$3143=$A40))/sum(filter(
Maste"&amp;"r_Mapping_Sheet!$E$2:$E$3143, ISNUMBER(
Master_Mapping_Sheet!$E$2:$E$3143),
Master_Mapping_Sheet!$B$2:$B$3143=$A40)))"),0.0)</f>
        <v>0</v>
      </c>
      <c r="F40" s="34">
        <f>IFERROR(__xludf.DUMMYFUNCTION("IF(ISNA(sum(filter(
Master_Mapping_Sheet!$E$2:$E$3143, ISNUMBER(
Master_Mapping_Sheet!$E$2:$E$3143),
Master_Mapping_Sheet!$H$2:$H$3143=F$1,
Master_Mapping_Sheet!$B$2:$B$3143=$A40))/sum(filter(
Master_Mapping_Sheet!$E$2:$E$3143, ISNUMBER(
Master_Mapping_Sh"&amp;"eet!$E$2:$E$3143),
Master_Mapping_Sheet!$B$2:$B$3143=$A40))), 0, sum(filter(
Master_Mapping_Sheet!$E$2:$E$3143, ISNUMBER(
Master_Mapping_Sheet!$E$2:$E$3143),
Master_Mapping_Sheet!$H$2:$H$3143=F$1,
Master_Mapping_Sheet!$B$2:$B$3143=$A40))/sum(filter(
Maste"&amp;"r_Mapping_Sheet!$E$2:$E$3143, ISNUMBER(
Master_Mapping_Sheet!$E$2:$E$3143),
Master_Mapping_Sheet!$B$2:$B$3143=$A40)))"),0.0)</f>
        <v>0</v>
      </c>
      <c r="G40" s="34">
        <f>IFERROR(__xludf.DUMMYFUNCTION("IF(ISNA(sum(filter(
Master_Mapping_Sheet!$E$2:$E$3143, ISNUMBER(
Master_Mapping_Sheet!$E$2:$E$3143),
Master_Mapping_Sheet!$H$2:$H$3143=G$1,
Master_Mapping_Sheet!$B$2:$B$3143=$A40))/sum(filter(
Master_Mapping_Sheet!$E$2:$E$3143, ISNUMBER(
Master_Mapping_Sh"&amp;"eet!$E$2:$E$3143),
Master_Mapping_Sheet!$B$2:$B$3143=$A40))), 0, sum(filter(
Master_Mapping_Sheet!$E$2:$E$3143, ISNUMBER(
Master_Mapping_Sheet!$E$2:$E$3143),
Master_Mapping_Sheet!$H$2:$H$3143=G$1,
Master_Mapping_Sheet!$B$2:$B$3143=$A40))/sum(filter(
Maste"&amp;"r_Mapping_Sheet!$E$2:$E$3143, ISNUMBER(
Master_Mapping_Sheet!$E$2:$E$3143),
Master_Mapping_Sheet!$B$2:$B$3143=$A40)))"),0.0)</f>
        <v>0</v>
      </c>
      <c r="H40" s="34">
        <f>IFERROR(__xludf.DUMMYFUNCTION("IF(ISNA(sum(filter(
Master_Mapping_Sheet!$E$2:$E$3143, ISNUMBER(
Master_Mapping_Sheet!$E$2:$E$3143),
Master_Mapping_Sheet!$H$2:$H$3143=H$1,
Master_Mapping_Sheet!$B$2:$B$3143=$A40))/sum(filter(
Master_Mapping_Sheet!$E$2:$E$3143, ISNUMBER(
Master_Mapping_Sh"&amp;"eet!$E$2:$E$3143),
Master_Mapping_Sheet!$B$2:$B$3143=$A40))), 0, sum(filter(
Master_Mapping_Sheet!$E$2:$E$3143, ISNUMBER(
Master_Mapping_Sheet!$E$2:$E$3143),
Master_Mapping_Sheet!$H$2:$H$3143=H$1,
Master_Mapping_Sheet!$B$2:$B$3143=$A40))/sum(filter(
Maste"&amp;"r_Mapping_Sheet!$E$2:$E$3143, ISNUMBER(
Master_Mapping_Sheet!$E$2:$E$3143),
Master_Mapping_Sheet!$B$2:$B$3143=$A40)))"),0.0)</f>
        <v>0</v>
      </c>
      <c r="I40" s="34">
        <f>IFERROR(__xludf.DUMMYFUNCTION("IF(ISNA(sum(filter(
Master_Mapping_Sheet!$E$2:$E$3143, ISNUMBER(
Master_Mapping_Sheet!$E$2:$E$3143),
Master_Mapping_Sheet!$H$2:$H$3143=I$1,
Master_Mapping_Sheet!$B$2:$B$3143=$A40))/sum(filter(
Master_Mapping_Sheet!$E$2:$E$3143, ISNUMBER(
Master_Mapping_Sh"&amp;"eet!$E$2:$E$3143),
Master_Mapping_Sheet!$B$2:$B$3143=$A40))), 0, sum(filter(
Master_Mapping_Sheet!$E$2:$E$3143, ISNUMBER(
Master_Mapping_Sheet!$E$2:$E$3143),
Master_Mapping_Sheet!$H$2:$H$3143=I$1,
Master_Mapping_Sheet!$B$2:$B$3143=$A40))/sum(filter(
Maste"&amp;"r_Mapping_Sheet!$E$2:$E$3143, ISNUMBER(
Master_Mapping_Sheet!$E$2:$E$3143),
Master_Mapping_Sheet!$B$2:$B$3143=$A40)))"),0.0)</f>
        <v>0</v>
      </c>
      <c r="J40" s="34">
        <f>IFERROR(__xludf.DUMMYFUNCTION("IF(ISNA(sum(filter(
Master_Mapping_Sheet!$E$2:$E$3143, ISNUMBER(
Master_Mapping_Sheet!$E$2:$E$3143),
Master_Mapping_Sheet!$H$2:$H$3143=J$1,
Master_Mapping_Sheet!$B$2:$B$3143=$A40))/sum(filter(
Master_Mapping_Sheet!$E$2:$E$3143, ISNUMBER(
Master_Mapping_Sh"&amp;"eet!$E$2:$E$3143),
Master_Mapping_Sheet!$B$2:$B$3143=$A40))), 0, sum(filter(
Master_Mapping_Sheet!$E$2:$E$3143, ISNUMBER(
Master_Mapping_Sheet!$E$2:$E$3143),
Master_Mapping_Sheet!$H$2:$H$3143=J$1,
Master_Mapping_Sheet!$B$2:$B$3143=$A40))/sum(filter(
Maste"&amp;"r_Mapping_Sheet!$E$2:$E$3143, ISNUMBER(
Master_Mapping_Sheet!$E$2:$E$3143),
Master_Mapping_Sheet!$B$2:$B$3143=$A40)))"),0.0)</f>
        <v>0</v>
      </c>
      <c r="K40" s="34">
        <f>IFERROR(__xludf.DUMMYFUNCTION("IF(ISNA(sum(filter(
Master_Mapping_Sheet!$E$2:$E$3143, ISNUMBER(
Master_Mapping_Sheet!$E$2:$E$3143),
Master_Mapping_Sheet!$H$2:$H$3143=K$1,
Master_Mapping_Sheet!$B$2:$B$3143=$A40))/sum(filter(
Master_Mapping_Sheet!$E$2:$E$3143, ISNUMBER(
Master_Mapping_Sh"&amp;"eet!$E$2:$E$3143),
Master_Mapping_Sheet!$B$2:$B$3143=$A40))), 0, sum(filter(
Master_Mapping_Sheet!$E$2:$E$3143, ISNUMBER(
Master_Mapping_Sheet!$E$2:$E$3143),
Master_Mapping_Sheet!$H$2:$H$3143=K$1,
Master_Mapping_Sheet!$B$2:$B$3143=$A40))/sum(filter(
Maste"&amp;"r_Mapping_Sheet!$E$2:$E$3143, ISNUMBER(
Master_Mapping_Sheet!$E$2:$E$3143),
Master_Mapping_Sheet!$B$2:$B$3143=$A40)))"),0.0)</f>
        <v>0</v>
      </c>
      <c r="L40" s="34">
        <f>IFERROR(__xludf.DUMMYFUNCTION("IF(ISNA(sum(filter(
Master_Mapping_Sheet!$E$2:$E$3143, ISNUMBER(
Master_Mapping_Sheet!$E$2:$E$3143),
Master_Mapping_Sheet!$H$2:$H$3143=L$1,
Master_Mapping_Sheet!$B$2:$B$3143=$A40))/sum(filter(
Master_Mapping_Sheet!$E$2:$E$3143, ISNUMBER(
Master_Mapping_Sh"&amp;"eet!$E$2:$E$3143),
Master_Mapping_Sheet!$B$2:$B$3143=$A40))), 0, sum(filter(
Master_Mapping_Sheet!$E$2:$E$3143, ISNUMBER(
Master_Mapping_Sheet!$E$2:$E$3143),
Master_Mapping_Sheet!$H$2:$H$3143=L$1,
Master_Mapping_Sheet!$B$2:$B$3143=$A40))/sum(filter(
Maste"&amp;"r_Mapping_Sheet!$E$2:$E$3143, ISNUMBER(
Master_Mapping_Sheet!$E$2:$E$3143),
Master_Mapping_Sheet!$B$2:$B$3143=$A40)))"),0.7851160995065224)</f>
        <v>0.7851160995</v>
      </c>
      <c r="M40" s="34">
        <f>IFERROR(__xludf.DUMMYFUNCTION("IF(ISNA(sum(filter(
Master_Mapping_Sheet!$E$2:$E$3143, ISNUMBER(
Master_Mapping_Sheet!$E$2:$E$3143),
Master_Mapping_Sheet!$H$2:$H$3143=M$1,
Master_Mapping_Sheet!$B$2:$B$3143=$A40))/sum(filter(
Master_Mapping_Sheet!$E$2:$E$3143, ISNUMBER(
Master_Mapping_Sh"&amp;"eet!$E$2:$E$3143),
Master_Mapping_Sheet!$B$2:$B$3143=$A40))), 0, sum(filter(
Master_Mapping_Sheet!$E$2:$E$3143, ISNUMBER(
Master_Mapping_Sheet!$E$2:$E$3143),
Master_Mapping_Sheet!$H$2:$H$3143=M$1,
Master_Mapping_Sheet!$B$2:$B$3143=$A40))/sum(filter(
Maste"&amp;"r_Mapping_Sheet!$E$2:$E$3143, ISNUMBER(
Master_Mapping_Sheet!$E$2:$E$3143),
Master_Mapping_Sheet!$B$2:$B$3143=$A40)))"),0.21488390049347758)</f>
        <v>0.2148839005</v>
      </c>
      <c r="N40" s="34">
        <f>IFERROR(__xludf.DUMMYFUNCTION("IF(ISNA(sum(filter(
Master_Mapping_Sheet!$E$2:$E$3143, ISNUMBER(
Master_Mapping_Sheet!$E$2:$E$3143),
Master_Mapping_Sheet!$H$2:$H$3143=N$1,
Master_Mapping_Sheet!$B$2:$B$3143=$A40))/sum(filter(
Master_Mapping_Sheet!$E$2:$E$3143, ISNUMBER(
Master_Mapping_Sh"&amp;"eet!$E$2:$E$3143),
Master_Mapping_Sheet!$B$2:$B$3143=$A40))), 0, sum(filter(
Master_Mapping_Sheet!$E$2:$E$3143, ISNUMBER(
Master_Mapping_Sheet!$E$2:$E$3143),
Master_Mapping_Sheet!$H$2:$H$3143=N$1,
Master_Mapping_Sheet!$B$2:$B$3143=$A40))/sum(filter(
Maste"&amp;"r_Mapping_Sheet!$E$2:$E$3143, ISNUMBER(
Master_Mapping_Sheet!$E$2:$E$3143),
Master_Mapping_Sheet!$B$2:$B$3143=$A40)))"),0.0)</f>
        <v>0</v>
      </c>
      <c r="O40" s="34">
        <f>IFERROR(__xludf.DUMMYFUNCTION("IF(ISNA(sum(filter(
Master_Mapping_Sheet!$E$2:$E$3143, ISNUMBER(
Master_Mapping_Sheet!$E$2:$E$3143),
Master_Mapping_Sheet!$H$2:$H$3143=O$1,
Master_Mapping_Sheet!$B$2:$B$3143=$A40))/sum(filter(
Master_Mapping_Sheet!$E$2:$E$3143, ISNUMBER(
Master_Mapping_Sh"&amp;"eet!$E$2:$E$3143),
Master_Mapping_Sheet!$B$2:$B$3143=$A40))), 0, sum(filter(
Master_Mapping_Sheet!$E$2:$E$3143, ISNUMBER(
Master_Mapping_Sheet!$E$2:$E$3143),
Master_Mapping_Sheet!$H$2:$H$3143=O$1,
Master_Mapping_Sheet!$B$2:$B$3143=$A40))/sum(filter(
Maste"&amp;"r_Mapping_Sheet!$E$2:$E$3143, ISNUMBER(
Master_Mapping_Sheet!$E$2:$E$3143),
Master_Mapping_Sheet!$B$2:$B$3143=$A40)))"),0.0)</f>
        <v>0</v>
      </c>
      <c r="P40" s="34">
        <f>IFERROR(__xludf.DUMMYFUNCTION("IF(ISNA(sum(filter(
Master_Mapping_Sheet!$E$2:$E$3143, ISNUMBER(
Master_Mapping_Sheet!$E$2:$E$3143),
Master_Mapping_Sheet!$H$2:$H$3143=P$1,
Master_Mapping_Sheet!$B$2:$B$3143=$A40))/sum(filter(
Master_Mapping_Sheet!$E$2:$E$3143, ISNUMBER(
Master_Mapping_Sh"&amp;"eet!$E$2:$E$3143),
Master_Mapping_Sheet!$B$2:$B$3143=$A40))), 0, sum(filter(
Master_Mapping_Sheet!$E$2:$E$3143, ISNUMBER(
Master_Mapping_Sheet!$E$2:$E$3143),
Master_Mapping_Sheet!$H$2:$H$3143=P$1,
Master_Mapping_Sheet!$B$2:$B$3143=$A40))/sum(filter(
Maste"&amp;"r_Mapping_Sheet!$E$2:$E$3143, ISNUMBER(
Master_Mapping_Sheet!$E$2:$E$3143),
Master_Mapping_Sheet!$B$2:$B$3143=$A40)))"),0.0)</f>
        <v>0</v>
      </c>
      <c r="Q40" s="34">
        <f>IFERROR(__xludf.DUMMYFUNCTION("IF(ISNA(sum(filter(
Master_Mapping_Sheet!$E$2:$E$3143, ISNUMBER(
Master_Mapping_Sheet!$E$2:$E$3143),
Master_Mapping_Sheet!$H$2:$H$3143=Q$1,
Master_Mapping_Sheet!$B$2:$B$3143=$A40))/sum(filter(
Master_Mapping_Sheet!$E$2:$E$3143, ISNUMBER(
Master_Mapping_Sh"&amp;"eet!$E$2:$E$3143),
Master_Mapping_Sheet!$B$2:$B$3143=$A40))), 0, sum(filter(
Master_Mapping_Sheet!$E$2:$E$3143, ISNUMBER(
Master_Mapping_Sheet!$E$2:$E$3143),
Master_Mapping_Sheet!$H$2:$H$3143=Q$1,
Master_Mapping_Sheet!$B$2:$B$3143=$A40))/sum(filter(
Maste"&amp;"r_Mapping_Sheet!$E$2:$E$3143, ISNUMBER(
Master_Mapping_Sheet!$E$2:$E$3143),
Master_Mapping_Sheet!$B$2:$B$3143=$A40)))"),0.0)</f>
        <v>0</v>
      </c>
      <c r="R40" s="34">
        <f>IFERROR(__xludf.DUMMYFUNCTION("IF(ISNA(sum(filter(
Master_Mapping_Sheet!$E$2:$E$3143, ISNUMBER(
Master_Mapping_Sheet!$E$2:$E$3143),
Master_Mapping_Sheet!$H$2:$H$3143=R$1,
Master_Mapping_Sheet!$B$2:$B$3143=$A40))/sum(filter(
Master_Mapping_Sheet!$E$2:$E$3143, ISNUMBER(
Master_Mapping_Sh"&amp;"eet!$E$2:$E$3143),
Master_Mapping_Sheet!$B$2:$B$3143=$A40))), 0, sum(filter(
Master_Mapping_Sheet!$E$2:$E$3143, ISNUMBER(
Master_Mapping_Sheet!$E$2:$E$3143),
Master_Mapping_Sheet!$H$2:$H$3143=R$1,
Master_Mapping_Sheet!$B$2:$B$3143=$A40))/sum(filter(
Maste"&amp;"r_Mapping_Sheet!$E$2:$E$3143, ISNUMBER(
Master_Mapping_Sheet!$E$2:$E$3143),
Master_Mapping_Sheet!$B$2:$B$3143=$A40)))"),0.0)</f>
        <v>0</v>
      </c>
      <c r="S40" s="34">
        <f>IFERROR(__xludf.DUMMYFUNCTION("IF(ISNA(sum(filter(
Master_Mapping_Sheet!$E$2:$E$3143, ISNUMBER(
Master_Mapping_Sheet!$E$2:$E$3143),
Master_Mapping_Sheet!$H$2:$H$3143=S$1,
Master_Mapping_Sheet!$B$2:$B$3143=$A40))/sum(filter(
Master_Mapping_Sheet!$E$2:$E$3143, ISNUMBER(
Master_Mapping_Sh"&amp;"eet!$E$2:$E$3143),
Master_Mapping_Sheet!$B$2:$B$3143=$A40))), 0, sum(filter(
Master_Mapping_Sheet!$E$2:$E$3143, ISNUMBER(
Master_Mapping_Sheet!$E$2:$E$3143),
Master_Mapping_Sheet!$H$2:$H$3143=S$1,
Master_Mapping_Sheet!$B$2:$B$3143=$A40))/sum(filter(
Maste"&amp;"r_Mapping_Sheet!$E$2:$E$3143, ISNUMBER(
Master_Mapping_Sheet!$E$2:$E$3143),
Master_Mapping_Sheet!$B$2:$B$3143=$A40)))"),0.0)</f>
        <v>0</v>
      </c>
      <c r="T40" s="34">
        <f>IFERROR(__xludf.DUMMYFUNCTION("IF(ISNA(sum(filter(
Master_Mapping_Sheet!$E$2:$E$3143, ISNUMBER(
Master_Mapping_Sheet!$E$2:$E$3143),
Master_Mapping_Sheet!$H$2:$H$3143=T$1,
Master_Mapping_Sheet!$B$2:$B$3143=$A40))/sum(filter(
Master_Mapping_Sheet!$E$2:$E$3143, ISNUMBER(
Master_Mapping_Sh"&amp;"eet!$E$2:$E$3143),
Master_Mapping_Sheet!$B$2:$B$3143=$A40))), 0, sum(filter(
Master_Mapping_Sheet!$E$2:$E$3143, ISNUMBER(
Master_Mapping_Sheet!$E$2:$E$3143),
Master_Mapping_Sheet!$H$2:$H$3143=T$1,
Master_Mapping_Sheet!$B$2:$B$3143=$A40))/sum(filter(
Maste"&amp;"r_Mapping_Sheet!$E$2:$E$3143, ISNUMBER(
Master_Mapping_Sheet!$E$2:$E$3143),
Master_Mapping_Sheet!$B$2:$B$3143=$A40)))"),0.0)</f>
        <v>0</v>
      </c>
      <c r="U40" s="34">
        <f>IFERROR(__xludf.DUMMYFUNCTION("IF(ISNA(sum(filter(
Master_Mapping_Sheet!$E$2:$E$3143, ISNUMBER(
Master_Mapping_Sheet!$E$2:$E$3143),
Master_Mapping_Sheet!$H$2:$H$3143=U$1,
Master_Mapping_Sheet!$B$2:$B$3143=$A40))/sum(filter(
Master_Mapping_Sheet!$E$2:$E$3143, ISNUMBER(
Master_Mapping_Sh"&amp;"eet!$E$2:$E$3143),
Master_Mapping_Sheet!$B$2:$B$3143=$A40))), 0, sum(filter(
Master_Mapping_Sheet!$E$2:$E$3143, ISNUMBER(
Master_Mapping_Sheet!$E$2:$E$3143),
Master_Mapping_Sheet!$H$2:$H$3143=U$1,
Master_Mapping_Sheet!$B$2:$B$3143=$A40))/sum(filter(
Maste"&amp;"r_Mapping_Sheet!$E$2:$E$3143, ISNUMBER(
Master_Mapping_Sheet!$E$2:$E$3143),
Master_Mapping_Sheet!$B$2:$B$3143=$A40)))"),0.0)</f>
        <v>0</v>
      </c>
      <c r="V40" s="34">
        <f>IFERROR(__xludf.DUMMYFUNCTION("IF(ISNA(sum(filter(
Master_Mapping_Sheet!$E$2:$E$3143, ISNUMBER(
Master_Mapping_Sheet!$E$2:$E$3143),
Master_Mapping_Sheet!$H$2:$H$3143=V$1,
Master_Mapping_Sheet!$B$2:$B$3143=$A40))/sum(filter(
Master_Mapping_Sheet!$E$2:$E$3143, ISNUMBER(
Master_Mapping_Sh"&amp;"eet!$E$2:$E$3143),
Master_Mapping_Sheet!$B$2:$B$3143=$A40))), 0, sum(filter(
Master_Mapping_Sheet!$E$2:$E$3143, ISNUMBER(
Master_Mapping_Sheet!$E$2:$E$3143),
Master_Mapping_Sheet!$H$2:$H$3143=V$1,
Master_Mapping_Sheet!$B$2:$B$3143=$A40))/sum(filter(
Maste"&amp;"r_Mapping_Sheet!$E$2:$E$3143, ISNUMBER(
Master_Mapping_Sheet!$E$2:$E$3143),
Master_Mapping_Sheet!$B$2:$B$3143=$A40)))"),0.0)</f>
        <v>0</v>
      </c>
      <c r="W40" s="34">
        <f>IFERROR(__xludf.DUMMYFUNCTION("IF(ISNA(sum(filter(
Master_Mapping_Sheet!$E$2:$E$3143, ISNUMBER(
Master_Mapping_Sheet!$E$2:$E$3143),
Master_Mapping_Sheet!$H$2:$H$3143=W$1,
Master_Mapping_Sheet!$B$2:$B$3143=$A40))/sum(filter(
Master_Mapping_Sheet!$E$2:$E$3143, ISNUMBER(
Master_Mapping_Sh"&amp;"eet!$E$2:$E$3143),
Master_Mapping_Sheet!$B$2:$B$3143=$A40))), 0, sum(filter(
Master_Mapping_Sheet!$E$2:$E$3143, ISNUMBER(
Master_Mapping_Sheet!$E$2:$E$3143),
Master_Mapping_Sheet!$H$2:$H$3143=W$1,
Master_Mapping_Sheet!$B$2:$B$3143=$A40))/sum(filter(
Maste"&amp;"r_Mapping_Sheet!$E$2:$E$3143, ISNUMBER(
Master_Mapping_Sheet!$E$2:$E$3143),
Master_Mapping_Sheet!$B$2:$B$3143=$A40)))"),0.0)</f>
        <v>0</v>
      </c>
      <c r="X40" s="34">
        <f>IFERROR(__xludf.DUMMYFUNCTION("IF(ISNA(sum(filter(
Master_Mapping_Sheet!$E$2:$E$3143, ISNUMBER(
Master_Mapping_Sheet!$E$2:$E$3143),
Master_Mapping_Sheet!$H$2:$H$3143=X$1,
Master_Mapping_Sheet!$B$2:$B$3143=$A40))/sum(filter(
Master_Mapping_Sheet!$E$2:$E$3143, ISNUMBER(
Master_Mapping_Sh"&amp;"eet!$E$2:$E$3143),
Master_Mapping_Sheet!$B$2:$B$3143=$A40))), 0, sum(filter(
Master_Mapping_Sheet!$E$2:$E$3143, ISNUMBER(
Master_Mapping_Sheet!$E$2:$E$3143),
Master_Mapping_Sheet!$H$2:$H$3143=X$1,
Master_Mapping_Sheet!$B$2:$B$3143=$A40))/sum(filter(
Maste"&amp;"r_Mapping_Sheet!$E$2:$E$3143, ISNUMBER(
Master_Mapping_Sheet!$E$2:$E$3143),
Master_Mapping_Sheet!$B$2:$B$3143=$A40)))"),0.0)</f>
        <v>0</v>
      </c>
      <c r="Y40" s="34">
        <f>IFERROR(__xludf.DUMMYFUNCTION("IF(ISNA(sum(filter(
Master_Mapping_Sheet!$E$2:$E$3143, ISNUMBER(
Master_Mapping_Sheet!$E$2:$E$3143),
Master_Mapping_Sheet!$H$2:$H$3143=Y$1,
Master_Mapping_Sheet!$B$2:$B$3143=$A40))/sum(filter(
Master_Mapping_Sheet!$E$2:$E$3143, ISNUMBER(
Master_Mapping_Sh"&amp;"eet!$E$2:$E$3143),
Master_Mapping_Sheet!$B$2:$B$3143=$A40))), 0, sum(filter(
Master_Mapping_Sheet!$E$2:$E$3143, ISNUMBER(
Master_Mapping_Sheet!$E$2:$E$3143),
Master_Mapping_Sheet!$H$2:$H$3143=Y$1,
Master_Mapping_Sheet!$B$2:$B$3143=$A40))/sum(filter(
Maste"&amp;"r_Mapping_Sheet!$E$2:$E$3143, ISNUMBER(
Master_Mapping_Sheet!$E$2:$E$3143),
Master_Mapping_Sheet!$B$2:$B$3143=$A40)))"),0.0)</f>
        <v>0</v>
      </c>
      <c r="Z40" s="34">
        <f>IFERROR(__xludf.DUMMYFUNCTION("IF(ISNA(sum(filter(
Master_Mapping_Sheet!$E$2:$E$3143, ISNUMBER(
Master_Mapping_Sheet!$E$2:$E$3143),
Master_Mapping_Sheet!$H$2:$H$3143=Z$1,
Master_Mapping_Sheet!$B$2:$B$3143=$A40))/sum(filter(
Master_Mapping_Sheet!$E$2:$E$3143, ISNUMBER(
Master_Mapping_Sh"&amp;"eet!$E$2:$E$3143),
Master_Mapping_Sheet!$B$2:$B$3143=$A40))), 0, sum(filter(
Master_Mapping_Sheet!$E$2:$E$3143, ISNUMBER(
Master_Mapping_Sheet!$E$2:$E$3143),
Master_Mapping_Sheet!$H$2:$H$3143=Z$1,
Master_Mapping_Sheet!$B$2:$B$3143=$A40))/sum(filter(
Maste"&amp;"r_Mapping_Sheet!$E$2:$E$3143, ISNUMBER(
Master_Mapping_Sheet!$E$2:$E$3143),
Master_Mapping_Sheet!$B$2:$B$3143=$A40)))"),0.0)</f>
        <v>0</v>
      </c>
      <c r="AA40" s="34">
        <f>IFERROR(__xludf.DUMMYFUNCTION("IF(ISNA(sum(filter(
Master_Mapping_Sheet!$E$2:$E$3143, ISNUMBER(
Master_Mapping_Sheet!$E$2:$E$3143),
Master_Mapping_Sheet!$H$2:$H$3143=AA$1,
Master_Mapping_Sheet!$B$2:$B$3143=$A40))/sum(filter(
Master_Mapping_Sheet!$E$2:$E$3143, ISNUMBER(
Master_Mapping_S"&amp;"heet!$E$2:$E$3143),
Master_Mapping_Sheet!$B$2:$B$3143=$A40))), 0, sum(filter(
Master_Mapping_Sheet!$E$2:$E$3143, ISNUMBER(
Master_Mapping_Sheet!$E$2:$E$3143),
Master_Mapping_Sheet!$H$2:$H$3143=AA$1,
Master_Mapping_Sheet!$B$2:$B$3143=$A40))/sum(filter(
Mas"&amp;"ter_Mapping_Sheet!$E$2:$E$3143, ISNUMBER(
Master_Mapping_Sheet!$E$2:$E$3143),
Master_Mapping_Sheet!$B$2:$B$3143=$A40)))"),0.0)</f>
        <v>0</v>
      </c>
    </row>
    <row r="41" ht="15.75" customHeight="1">
      <c r="A41" s="34" t="s">
        <v>1546</v>
      </c>
      <c r="B41" s="34" t="s">
        <v>3427</v>
      </c>
      <c r="C41" s="34">
        <f>IFERROR(__xludf.DUMMYFUNCTION("IF(ISNA(sum(filter(
Master_Mapping_Sheet!$E$2:$E$3143, ISNUMBER(
Master_Mapping_Sheet!$E$2:$E$3143),
Master_Mapping_Sheet!$H$2:$H$3143=C$1,
Master_Mapping_Sheet!$B$2:$B$3143=$A41))/sum(filter(
Master_Mapping_Sheet!$E$2:$E$3143, ISNUMBER(
Master_Mapping_Sh"&amp;"eet!$E$2:$E$3143),
Master_Mapping_Sheet!$B$2:$B$3143=$A41))), 0, sum(filter(
Master_Mapping_Sheet!$E$2:$E$3143, ISNUMBER(
Master_Mapping_Sheet!$E$2:$E$3143),
Master_Mapping_Sheet!$H$2:$H$3143=C$1,
Master_Mapping_Sheet!$B$2:$B$3143=$A41))/sum(filter(
Maste"&amp;"r_Mapping_Sheet!$E$2:$E$3143, ISNUMBER(
Master_Mapping_Sheet!$E$2:$E$3143),
Master_Mapping_Sheet!$B$2:$B$3143=$A41)))"),0.0)</f>
        <v>0</v>
      </c>
      <c r="D41" s="32">
        <f>IFERROR(__xludf.DUMMYFUNCTION("IF(ISNA(sum(filter(
Master_Mapping_Sheet!$E$2:$E$3143, ISNUMBER(
Master_Mapping_Sheet!$E$2:$E$3143),
Master_Mapping_Sheet!$H$2:$H$3143=D$1,
Master_Mapping_Sheet!$B$2:$B$3143=$A41))/sum(filter(
Master_Mapping_Sheet!$E$2:$E$3143, ISNUMBER(
Master_Mapping_Sh"&amp;"eet!$E$2:$E$3143),
Master_Mapping_Sheet!$B$2:$B$3143=$A41))), 0, sum(filter(
Master_Mapping_Sheet!$E$2:$E$3143, ISNUMBER(
Master_Mapping_Sheet!$E$2:$E$3143),
Master_Mapping_Sheet!$H$2:$H$3143=D$1,
Master_Mapping_Sheet!$B$2:$B$3143=$A41))/sum(filter(
Maste"&amp;"r_Mapping_Sheet!$E$2:$E$3143, ISNUMBER(
Master_Mapping_Sheet!$E$2:$E$3143),
Master_Mapping_Sheet!$B$2:$B$3143=$A41)))"),0.0)</f>
        <v>0</v>
      </c>
      <c r="E41" s="34">
        <f>IFERROR(__xludf.DUMMYFUNCTION("IF(ISNA(sum(filter(
Master_Mapping_Sheet!$E$2:$E$3143, ISNUMBER(
Master_Mapping_Sheet!$E$2:$E$3143),
Master_Mapping_Sheet!$H$2:$H$3143=E$1,
Master_Mapping_Sheet!$B$2:$B$3143=$A41))/sum(filter(
Master_Mapping_Sheet!$E$2:$E$3143, ISNUMBER(
Master_Mapping_Sh"&amp;"eet!$E$2:$E$3143),
Master_Mapping_Sheet!$B$2:$B$3143=$A41))), 0, sum(filter(
Master_Mapping_Sheet!$E$2:$E$3143, ISNUMBER(
Master_Mapping_Sheet!$E$2:$E$3143),
Master_Mapping_Sheet!$H$2:$H$3143=E$1,
Master_Mapping_Sheet!$B$2:$B$3143=$A41))/sum(filter(
Maste"&amp;"r_Mapping_Sheet!$E$2:$E$3143, ISNUMBER(
Master_Mapping_Sheet!$E$2:$E$3143),
Master_Mapping_Sheet!$B$2:$B$3143=$A41)))"),0.0)</f>
        <v>0</v>
      </c>
      <c r="F41" s="34">
        <f>IFERROR(__xludf.DUMMYFUNCTION("IF(ISNA(sum(filter(
Master_Mapping_Sheet!$E$2:$E$3143, ISNUMBER(
Master_Mapping_Sheet!$E$2:$E$3143),
Master_Mapping_Sheet!$H$2:$H$3143=F$1,
Master_Mapping_Sheet!$B$2:$B$3143=$A41))/sum(filter(
Master_Mapping_Sheet!$E$2:$E$3143, ISNUMBER(
Master_Mapping_Sh"&amp;"eet!$E$2:$E$3143),
Master_Mapping_Sheet!$B$2:$B$3143=$A41))), 0, sum(filter(
Master_Mapping_Sheet!$E$2:$E$3143, ISNUMBER(
Master_Mapping_Sheet!$E$2:$E$3143),
Master_Mapping_Sheet!$H$2:$H$3143=F$1,
Master_Mapping_Sheet!$B$2:$B$3143=$A41))/sum(filter(
Maste"&amp;"r_Mapping_Sheet!$E$2:$E$3143, ISNUMBER(
Master_Mapping_Sheet!$E$2:$E$3143),
Master_Mapping_Sheet!$B$2:$B$3143=$A41)))"),0.0)</f>
        <v>0</v>
      </c>
      <c r="G41" s="34">
        <f>IFERROR(__xludf.DUMMYFUNCTION("IF(ISNA(sum(filter(
Master_Mapping_Sheet!$E$2:$E$3143, ISNUMBER(
Master_Mapping_Sheet!$E$2:$E$3143),
Master_Mapping_Sheet!$H$2:$H$3143=G$1,
Master_Mapping_Sheet!$B$2:$B$3143=$A41))/sum(filter(
Master_Mapping_Sheet!$E$2:$E$3143, ISNUMBER(
Master_Mapping_Sh"&amp;"eet!$E$2:$E$3143),
Master_Mapping_Sheet!$B$2:$B$3143=$A41))), 0, sum(filter(
Master_Mapping_Sheet!$E$2:$E$3143, ISNUMBER(
Master_Mapping_Sheet!$E$2:$E$3143),
Master_Mapping_Sheet!$H$2:$H$3143=G$1,
Master_Mapping_Sheet!$B$2:$B$3143=$A41))/sum(filter(
Maste"&amp;"r_Mapping_Sheet!$E$2:$E$3143, ISNUMBER(
Master_Mapping_Sheet!$E$2:$E$3143),
Master_Mapping_Sheet!$B$2:$B$3143=$A41)))"),0.0)</f>
        <v>0</v>
      </c>
      <c r="H41" s="34">
        <f>IFERROR(__xludf.DUMMYFUNCTION("IF(ISNA(sum(filter(
Master_Mapping_Sheet!$E$2:$E$3143, ISNUMBER(
Master_Mapping_Sheet!$E$2:$E$3143),
Master_Mapping_Sheet!$H$2:$H$3143=H$1,
Master_Mapping_Sheet!$B$2:$B$3143=$A41))/sum(filter(
Master_Mapping_Sheet!$E$2:$E$3143, ISNUMBER(
Master_Mapping_Sh"&amp;"eet!$E$2:$E$3143),
Master_Mapping_Sheet!$B$2:$B$3143=$A41))), 0, sum(filter(
Master_Mapping_Sheet!$E$2:$E$3143, ISNUMBER(
Master_Mapping_Sheet!$E$2:$E$3143),
Master_Mapping_Sheet!$H$2:$H$3143=H$1,
Master_Mapping_Sheet!$B$2:$B$3143=$A41))/sum(filter(
Maste"&amp;"r_Mapping_Sheet!$E$2:$E$3143, ISNUMBER(
Master_Mapping_Sheet!$E$2:$E$3143),
Master_Mapping_Sheet!$B$2:$B$3143=$A41)))"),0.0)</f>
        <v>0</v>
      </c>
      <c r="I41" s="34">
        <f>IFERROR(__xludf.DUMMYFUNCTION("IF(ISNA(sum(filter(
Master_Mapping_Sheet!$E$2:$E$3143, ISNUMBER(
Master_Mapping_Sheet!$E$2:$E$3143),
Master_Mapping_Sheet!$H$2:$H$3143=I$1,
Master_Mapping_Sheet!$B$2:$B$3143=$A41))/sum(filter(
Master_Mapping_Sheet!$E$2:$E$3143, ISNUMBER(
Master_Mapping_Sh"&amp;"eet!$E$2:$E$3143),
Master_Mapping_Sheet!$B$2:$B$3143=$A41))), 0, sum(filter(
Master_Mapping_Sheet!$E$2:$E$3143, ISNUMBER(
Master_Mapping_Sheet!$E$2:$E$3143),
Master_Mapping_Sheet!$H$2:$H$3143=I$1,
Master_Mapping_Sheet!$B$2:$B$3143=$A41))/sum(filter(
Maste"&amp;"r_Mapping_Sheet!$E$2:$E$3143, ISNUMBER(
Master_Mapping_Sheet!$E$2:$E$3143),
Master_Mapping_Sheet!$B$2:$B$3143=$A41)))"),1.0)</f>
        <v>1</v>
      </c>
      <c r="J41" s="34">
        <f>IFERROR(__xludf.DUMMYFUNCTION("IF(ISNA(sum(filter(
Master_Mapping_Sheet!$E$2:$E$3143, ISNUMBER(
Master_Mapping_Sheet!$E$2:$E$3143),
Master_Mapping_Sheet!$H$2:$H$3143=J$1,
Master_Mapping_Sheet!$B$2:$B$3143=$A41))/sum(filter(
Master_Mapping_Sheet!$E$2:$E$3143, ISNUMBER(
Master_Mapping_Sh"&amp;"eet!$E$2:$E$3143),
Master_Mapping_Sheet!$B$2:$B$3143=$A41))), 0, sum(filter(
Master_Mapping_Sheet!$E$2:$E$3143, ISNUMBER(
Master_Mapping_Sheet!$E$2:$E$3143),
Master_Mapping_Sheet!$H$2:$H$3143=J$1,
Master_Mapping_Sheet!$B$2:$B$3143=$A41))/sum(filter(
Maste"&amp;"r_Mapping_Sheet!$E$2:$E$3143, ISNUMBER(
Master_Mapping_Sheet!$E$2:$E$3143),
Master_Mapping_Sheet!$B$2:$B$3143=$A41)))"),0.0)</f>
        <v>0</v>
      </c>
      <c r="K41" s="34">
        <f>IFERROR(__xludf.DUMMYFUNCTION("IF(ISNA(sum(filter(
Master_Mapping_Sheet!$E$2:$E$3143, ISNUMBER(
Master_Mapping_Sheet!$E$2:$E$3143),
Master_Mapping_Sheet!$H$2:$H$3143=K$1,
Master_Mapping_Sheet!$B$2:$B$3143=$A41))/sum(filter(
Master_Mapping_Sheet!$E$2:$E$3143, ISNUMBER(
Master_Mapping_Sh"&amp;"eet!$E$2:$E$3143),
Master_Mapping_Sheet!$B$2:$B$3143=$A41))), 0, sum(filter(
Master_Mapping_Sheet!$E$2:$E$3143, ISNUMBER(
Master_Mapping_Sheet!$E$2:$E$3143),
Master_Mapping_Sheet!$H$2:$H$3143=K$1,
Master_Mapping_Sheet!$B$2:$B$3143=$A41))/sum(filter(
Maste"&amp;"r_Mapping_Sheet!$E$2:$E$3143, ISNUMBER(
Master_Mapping_Sheet!$E$2:$E$3143),
Master_Mapping_Sheet!$B$2:$B$3143=$A41)))"),0.0)</f>
        <v>0</v>
      </c>
      <c r="L41" s="34">
        <f>IFERROR(__xludf.DUMMYFUNCTION("IF(ISNA(sum(filter(
Master_Mapping_Sheet!$E$2:$E$3143, ISNUMBER(
Master_Mapping_Sheet!$E$2:$E$3143),
Master_Mapping_Sheet!$H$2:$H$3143=L$1,
Master_Mapping_Sheet!$B$2:$B$3143=$A41))/sum(filter(
Master_Mapping_Sheet!$E$2:$E$3143, ISNUMBER(
Master_Mapping_Sh"&amp;"eet!$E$2:$E$3143),
Master_Mapping_Sheet!$B$2:$B$3143=$A41))), 0, sum(filter(
Master_Mapping_Sheet!$E$2:$E$3143, ISNUMBER(
Master_Mapping_Sheet!$E$2:$E$3143),
Master_Mapping_Sheet!$H$2:$H$3143=L$1,
Master_Mapping_Sheet!$B$2:$B$3143=$A41))/sum(filter(
Maste"&amp;"r_Mapping_Sheet!$E$2:$E$3143, ISNUMBER(
Master_Mapping_Sheet!$E$2:$E$3143),
Master_Mapping_Sheet!$B$2:$B$3143=$A41)))"),0.0)</f>
        <v>0</v>
      </c>
      <c r="M41" s="34">
        <f>IFERROR(__xludf.DUMMYFUNCTION("IF(ISNA(sum(filter(
Master_Mapping_Sheet!$E$2:$E$3143, ISNUMBER(
Master_Mapping_Sheet!$E$2:$E$3143),
Master_Mapping_Sheet!$H$2:$H$3143=M$1,
Master_Mapping_Sheet!$B$2:$B$3143=$A41))/sum(filter(
Master_Mapping_Sheet!$E$2:$E$3143, ISNUMBER(
Master_Mapping_Sh"&amp;"eet!$E$2:$E$3143),
Master_Mapping_Sheet!$B$2:$B$3143=$A41))), 0, sum(filter(
Master_Mapping_Sheet!$E$2:$E$3143, ISNUMBER(
Master_Mapping_Sheet!$E$2:$E$3143),
Master_Mapping_Sheet!$H$2:$H$3143=M$1,
Master_Mapping_Sheet!$B$2:$B$3143=$A41))/sum(filter(
Maste"&amp;"r_Mapping_Sheet!$E$2:$E$3143, ISNUMBER(
Master_Mapping_Sheet!$E$2:$E$3143),
Master_Mapping_Sheet!$B$2:$B$3143=$A41)))"),0.0)</f>
        <v>0</v>
      </c>
      <c r="N41" s="34">
        <f>IFERROR(__xludf.DUMMYFUNCTION("IF(ISNA(sum(filter(
Master_Mapping_Sheet!$E$2:$E$3143, ISNUMBER(
Master_Mapping_Sheet!$E$2:$E$3143),
Master_Mapping_Sheet!$H$2:$H$3143=N$1,
Master_Mapping_Sheet!$B$2:$B$3143=$A41))/sum(filter(
Master_Mapping_Sheet!$E$2:$E$3143, ISNUMBER(
Master_Mapping_Sh"&amp;"eet!$E$2:$E$3143),
Master_Mapping_Sheet!$B$2:$B$3143=$A41))), 0, sum(filter(
Master_Mapping_Sheet!$E$2:$E$3143, ISNUMBER(
Master_Mapping_Sheet!$E$2:$E$3143),
Master_Mapping_Sheet!$H$2:$H$3143=N$1,
Master_Mapping_Sheet!$B$2:$B$3143=$A41))/sum(filter(
Maste"&amp;"r_Mapping_Sheet!$E$2:$E$3143, ISNUMBER(
Master_Mapping_Sheet!$E$2:$E$3143),
Master_Mapping_Sheet!$B$2:$B$3143=$A41)))"),0.0)</f>
        <v>0</v>
      </c>
      <c r="O41" s="34">
        <f>IFERROR(__xludf.DUMMYFUNCTION("IF(ISNA(sum(filter(
Master_Mapping_Sheet!$E$2:$E$3143, ISNUMBER(
Master_Mapping_Sheet!$E$2:$E$3143),
Master_Mapping_Sheet!$H$2:$H$3143=O$1,
Master_Mapping_Sheet!$B$2:$B$3143=$A41))/sum(filter(
Master_Mapping_Sheet!$E$2:$E$3143, ISNUMBER(
Master_Mapping_Sh"&amp;"eet!$E$2:$E$3143),
Master_Mapping_Sheet!$B$2:$B$3143=$A41))), 0, sum(filter(
Master_Mapping_Sheet!$E$2:$E$3143, ISNUMBER(
Master_Mapping_Sheet!$E$2:$E$3143),
Master_Mapping_Sheet!$H$2:$H$3143=O$1,
Master_Mapping_Sheet!$B$2:$B$3143=$A41))/sum(filter(
Maste"&amp;"r_Mapping_Sheet!$E$2:$E$3143, ISNUMBER(
Master_Mapping_Sheet!$E$2:$E$3143),
Master_Mapping_Sheet!$B$2:$B$3143=$A41)))"),0.0)</f>
        <v>0</v>
      </c>
      <c r="P41" s="34">
        <f>IFERROR(__xludf.DUMMYFUNCTION("IF(ISNA(sum(filter(
Master_Mapping_Sheet!$E$2:$E$3143, ISNUMBER(
Master_Mapping_Sheet!$E$2:$E$3143),
Master_Mapping_Sheet!$H$2:$H$3143=P$1,
Master_Mapping_Sheet!$B$2:$B$3143=$A41))/sum(filter(
Master_Mapping_Sheet!$E$2:$E$3143, ISNUMBER(
Master_Mapping_Sh"&amp;"eet!$E$2:$E$3143),
Master_Mapping_Sheet!$B$2:$B$3143=$A41))), 0, sum(filter(
Master_Mapping_Sheet!$E$2:$E$3143, ISNUMBER(
Master_Mapping_Sheet!$E$2:$E$3143),
Master_Mapping_Sheet!$H$2:$H$3143=P$1,
Master_Mapping_Sheet!$B$2:$B$3143=$A41))/sum(filter(
Maste"&amp;"r_Mapping_Sheet!$E$2:$E$3143, ISNUMBER(
Master_Mapping_Sheet!$E$2:$E$3143),
Master_Mapping_Sheet!$B$2:$B$3143=$A41)))"),0.0)</f>
        <v>0</v>
      </c>
      <c r="Q41" s="34">
        <f>IFERROR(__xludf.DUMMYFUNCTION("IF(ISNA(sum(filter(
Master_Mapping_Sheet!$E$2:$E$3143, ISNUMBER(
Master_Mapping_Sheet!$E$2:$E$3143),
Master_Mapping_Sheet!$H$2:$H$3143=Q$1,
Master_Mapping_Sheet!$B$2:$B$3143=$A41))/sum(filter(
Master_Mapping_Sheet!$E$2:$E$3143, ISNUMBER(
Master_Mapping_Sh"&amp;"eet!$E$2:$E$3143),
Master_Mapping_Sheet!$B$2:$B$3143=$A41))), 0, sum(filter(
Master_Mapping_Sheet!$E$2:$E$3143, ISNUMBER(
Master_Mapping_Sheet!$E$2:$E$3143),
Master_Mapping_Sheet!$H$2:$H$3143=Q$1,
Master_Mapping_Sheet!$B$2:$B$3143=$A41))/sum(filter(
Maste"&amp;"r_Mapping_Sheet!$E$2:$E$3143, ISNUMBER(
Master_Mapping_Sheet!$E$2:$E$3143),
Master_Mapping_Sheet!$B$2:$B$3143=$A41)))"),0.0)</f>
        <v>0</v>
      </c>
      <c r="R41" s="34">
        <f>IFERROR(__xludf.DUMMYFUNCTION("IF(ISNA(sum(filter(
Master_Mapping_Sheet!$E$2:$E$3143, ISNUMBER(
Master_Mapping_Sheet!$E$2:$E$3143),
Master_Mapping_Sheet!$H$2:$H$3143=R$1,
Master_Mapping_Sheet!$B$2:$B$3143=$A41))/sum(filter(
Master_Mapping_Sheet!$E$2:$E$3143, ISNUMBER(
Master_Mapping_Sh"&amp;"eet!$E$2:$E$3143),
Master_Mapping_Sheet!$B$2:$B$3143=$A41))), 0, sum(filter(
Master_Mapping_Sheet!$E$2:$E$3143, ISNUMBER(
Master_Mapping_Sheet!$E$2:$E$3143),
Master_Mapping_Sheet!$H$2:$H$3143=R$1,
Master_Mapping_Sheet!$B$2:$B$3143=$A41))/sum(filter(
Maste"&amp;"r_Mapping_Sheet!$E$2:$E$3143, ISNUMBER(
Master_Mapping_Sheet!$E$2:$E$3143),
Master_Mapping_Sheet!$B$2:$B$3143=$A41)))"),0.0)</f>
        <v>0</v>
      </c>
      <c r="S41" s="34">
        <f>IFERROR(__xludf.DUMMYFUNCTION("IF(ISNA(sum(filter(
Master_Mapping_Sheet!$E$2:$E$3143, ISNUMBER(
Master_Mapping_Sheet!$E$2:$E$3143),
Master_Mapping_Sheet!$H$2:$H$3143=S$1,
Master_Mapping_Sheet!$B$2:$B$3143=$A41))/sum(filter(
Master_Mapping_Sheet!$E$2:$E$3143, ISNUMBER(
Master_Mapping_Sh"&amp;"eet!$E$2:$E$3143),
Master_Mapping_Sheet!$B$2:$B$3143=$A41))), 0, sum(filter(
Master_Mapping_Sheet!$E$2:$E$3143, ISNUMBER(
Master_Mapping_Sheet!$E$2:$E$3143),
Master_Mapping_Sheet!$H$2:$H$3143=S$1,
Master_Mapping_Sheet!$B$2:$B$3143=$A41))/sum(filter(
Maste"&amp;"r_Mapping_Sheet!$E$2:$E$3143, ISNUMBER(
Master_Mapping_Sheet!$E$2:$E$3143),
Master_Mapping_Sheet!$B$2:$B$3143=$A41)))"),0.0)</f>
        <v>0</v>
      </c>
      <c r="T41" s="34">
        <f>IFERROR(__xludf.DUMMYFUNCTION("IF(ISNA(sum(filter(
Master_Mapping_Sheet!$E$2:$E$3143, ISNUMBER(
Master_Mapping_Sheet!$E$2:$E$3143),
Master_Mapping_Sheet!$H$2:$H$3143=T$1,
Master_Mapping_Sheet!$B$2:$B$3143=$A41))/sum(filter(
Master_Mapping_Sheet!$E$2:$E$3143, ISNUMBER(
Master_Mapping_Sh"&amp;"eet!$E$2:$E$3143),
Master_Mapping_Sheet!$B$2:$B$3143=$A41))), 0, sum(filter(
Master_Mapping_Sheet!$E$2:$E$3143, ISNUMBER(
Master_Mapping_Sheet!$E$2:$E$3143),
Master_Mapping_Sheet!$H$2:$H$3143=T$1,
Master_Mapping_Sheet!$B$2:$B$3143=$A41))/sum(filter(
Maste"&amp;"r_Mapping_Sheet!$E$2:$E$3143, ISNUMBER(
Master_Mapping_Sheet!$E$2:$E$3143),
Master_Mapping_Sheet!$B$2:$B$3143=$A41)))"),0.0)</f>
        <v>0</v>
      </c>
      <c r="U41" s="34">
        <f>IFERROR(__xludf.DUMMYFUNCTION("IF(ISNA(sum(filter(
Master_Mapping_Sheet!$E$2:$E$3143, ISNUMBER(
Master_Mapping_Sheet!$E$2:$E$3143),
Master_Mapping_Sheet!$H$2:$H$3143=U$1,
Master_Mapping_Sheet!$B$2:$B$3143=$A41))/sum(filter(
Master_Mapping_Sheet!$E$2:$E$3143, ISNUMBER(
Master_Mapping_Sh"&amp;"eet!$E$2:$E$3143),
Master_Mapping_Sheet!$B$2:$B$3143=$A41))), 0, sum(filter(
Master_Mapping_Sheet!$E$2:$E$3143, ISNUMBER(
Master_Mapping_Sheet!$E$2:$E$3143),
Master_Mapping_Sheet!$H$2:$H$3143=U$1,
Master_Mapping_Sheet!$B$2:$B$3143=$A41))/sum(filter(
Maste"&amp;"r_Mapping_Sheet!$E$2:$E$3143, ISNUMBER(
Master_Mapping_Sheet!$E$2:$E$3143),
Master_Mapping_Sheet!$B$2:$B$3143=$A41)))"),0.0)</f>
        <v>0</v>
      </c>
      <c r="V41" s="34">
        <f>IFERROR(__xludf.DUMMYFUNCTION("IF(ISNA(sum(filter(
Master_Mapping_Sheet!$E$2:$E$3143, ISNUMBER(
Master_Mapping_Sheet!$E$2:$E$3143),
Master_Mapping_Sheet!$H$2:$H$3143=V$1,
Master_Mapping_Sheet!$B$2:$B$3143=$A41))/sum(filter(
Master_Mapping_Sheet!$E$2:$E$3143, ISNUMBER(
Master_Mapping_Sh"&amp;"eet!$E$2:$E$3143),
Master_Mapping_Sheet!$B$2:$B$3143=$A41))), 0, sum(filter(
Master_Mapping_Sheet!$E$2:$E$3143, ISNUMBER(
Master_Mapping_Sheet!$E$2:$E$3143),
Master_Mapping_Sheet!$H$2:$H$3143=V$1,
Master_Mapping_Sheet!$B$2:$B$3143=$A41))/sum(filter(
Maste"&amp;"r_Mapping_Sheet!$E$2:$E$3143, ISNUMBER(
Master_Mapping_Sheet!$E$2:$E$3143),
Master_Mapping_Sheet!$B$2:$B$3143=$A41)))"),0.0)</f>
        <v>0</v>
      </c>
      <c r="W41" s="34">
        <f>IFERROR(__xludf.DUMMYFUNCTION("IF(ISNA(sum(filter(
Master_Mapping_Sheet!$E$2:$E$3143, ISNUMBER(
Master_Mapping_Sheet!$E$2:$E$3143),
Master_Mapping_Sheet!$H$2:$H$3143=W$1,
Master_Mapping_Sheet!$B$2:$B$3143=$A41))/sum(filter(
Master_Mapping_Sheet!$E$2:$E$3143, ISNUMBER(
Master_Mapping_Sh"&amp;"eet!$E$2:$E$3143),
Master_Mapping_Sheet!$B$2:$B$3143=$A41))), 0, sum(filter(
Master_Mapping_Sheet!$E$2:$E$3143, ISNUMBER(
Master_Mapping_Sheet!$E$2:$E$3143),
Master_Mapping_Sheet!$H$2:$H$3143=W$1,
Master_Mapping_Sheet!$B$2:$B$3143=$A41))/sum(filter(
Maste"&amp;"r_Mapping_Sheet!$E$2:$E$3143, ISNUMBER(
Master_Mapping_Sheet!$E$2:$E$3143),
Master_Mapping_Sheet!$B$2:$B$3143=$A41)))"),0.0)</f>
        <v>0</v>
      </c>
      <c r="X41" s="34">
        <f>IFERROR(__xludf.DUMMYFUNCTION("IF(ISNA(sum(filter(
Master_Mapping_Sheet!$E$2:$E$3143, ISNUMBER(
Master_Mapping_Sheet!$E$2:$E$3143),
Master_Mapping_Sheet!$H$2:$H$3143=X$1,
Master_Mapping_Sheet!$B$2:$B$3143=$A41))/sum(filter(
Master_Mapping_Sheet!$E$2:$E$3143, ISNUMBER(
Master_Mapping_Sh"&amp;"eet!$E$2:$E$3143),
Master_Mapping_Sheet!$B$2:$B$3143=$A41))), 0, sum(filter(
Master_Mapping_Sheet!$E$2:$E$3143, ISNUMBER(
Master_Mapping_Sheet!$E$2:$E$3143),
Master_Mapping_Sheet!$H$2:$H$3143=X$1,
Master_Mapping_Sheet!$B$2:$B$3143=$A41))/sum(filter(
Maste"&amp;"r_Mapping_Sheet!$E$2:$E$3143, ISNUMBER(
Master_Mapping_Sheet!$E$2:$E$3143),
Master_Mapping_Sheet!$B$2:$B$3143=$A41)))"),0.0)</f>
        <v>0</v>
      </c>
      <c r="Y41" s="34">
        <f>IFERROR(__xludf.DUMMYFUNCTION("IF(ISNA(sum(filter(
Master_Mapping_Sheet!$E$2:$E$3143, ISNUMBER(
Master_Mapping_Sheet!$E$2:$E$3143),
Master_Mapping_Sheet!$H$2:$H$3143=Y$1,
Master_Mapping_Sheet!$B$2:$B$3143=$A41))/sum(filter(
Master_Mapping_Sheet!$E$2:$E$3143, ISNUMBER(
Master_Mapping_Sh"&amp;"eet!$E$2:$E$3143),
Master_Mapping_Sheet!$B$2:$B$3143=$A41))), 0, sum(filter(
Master_Mapping_Sheet!$E$2:$E$3143, ISNUMBER(
Master_Mapping_Sheet!$E$2:$E$3143),
Master_Mapping_Sheet!$H$2:$H$3143=Y$1,
Master_Mapping_Sheet!$B$2:$B$3143=$A41))/sum(filter(
Maste"&amp;"r_Mapping_Sheet!$E$2:$E$3143, ISNUMBER(
Master_Mapping_Sheet!$E$2:$E$3143),
Master_Mapping_Sheet!$B$2:$B$3143=$A41)))"),0.0)</f>
        <v>0</v>
      </c>
      <c r="Z41" s="34">
        <f>IFERROR(__xludf.DUMMYFUNCTION("IF(ISNA(sum(filter(
Master_Mapping_Sheet!$E$2:$E$3143, ISNUMBER(
Master_Mapping_Sheet!$E$2:$E$3143),
Master_Mapping_Sheet!$H$2:$H$3143=Z$1,
Master_Mapping_Sheet!$B$2:$B$3143=$A41))/sum(filter(
Master_Mapping_Sheet!$E$2:$E$3143, ISNUMBER(
Master_Mapping_Sh"&amp;"eet!$E$2:$E$3143),
Master_Mapping_Sheet!$B$2:$B$3143=$A41))), 0, sum(filter(
Master_Mapping_Sheet!$E$2:$E$3143, ISNUMBER(
Master_Mapping_Sheet!$E$2:$E$3143),
Master_Mapping_Sheet!$H$2:$H$3143=Z$1,
Master_Mapping_Sheet!$B$2:$B$3143=$A41))/sum(filter(
Maste"&amp;"r_Mapping_Sheet!$E$2:$E$3143, ISNUMBER(
Master_Mapping_Sheet!$E$2:$E$3143),
Master_Mapping_Sheet!$B$2:$B$3143=$A41)))"),0.0)</f>
        <v>0</v>
      </c>
      <c r="AA41" s="34">
        <f>IFERROR(__xludf.DUMMYFUNCTION("IF(ISNA(sum(filter(
Master_Mapping_Sheet!$E$2:$E$3143, ISNUMBER(
Master_Mapping_Sheet!$E$2:$E$3143),
Master_Mapping_Sheet!$H$2:$H$3143=AA$1,
Master_Mapping_Sheet!$B$2:$B$3143=$A41))/sum(filter(
Master_Mapping_Sheet!$E$2:$E$3143, ISNUMBER(
Master_Mapping_S"&amp;"heet!$E$2:$E$3143),
Master_Mapping_Sheet!$B$2:$B$3143=$A41))), 0, sum(filter(
Master_Mapping_Sheet!$E$2:$E$3143, ISNUMBER(
Master_Mapping_Sheet!$E$2:$E$3143),
Master_Mapping_Sheet!$H$2:$H$3143=AA$1,
Master_Mapping_Sheet!$B$2:$B$3143=$A41))/sum(filter(
Mas"&amp;"ter_Mapping_Sheet!$E$2:$E$3143, ISNUMBER(
Master_Mapping_Sheet!$E$2:$E$3143),
Master_Mapping_Sheet!$B$2:$B$3143=$A41)))"),0.0)</f>
        <v>0</v>
      </c>
    </row>
    <row r="42" ht="15.75" customHeight="1">
      <c r="A42" s="34" t="s">
        <v>1550</v>
      </c>
      <c r="B42" s="34" t="s">
        <v>3430</v>
      </c>
      <c r="C42" s="34">
        <f>IFERROR(__xludf.DUMMYFUNCTION("IF(ISNA(sum(filter(
Master_Mapping_Sheet!$E$2:$E$3143, ISNUMBER(
Master_Mapping_Sheet!$E$2:$E$3143),
Master_Mapping_Sheet!$H$2:$H$3143=C$1,
Master_Mapping_Sheet!$B$2:$B$3143=$A42))/sum(filter(
Master_Mapping_Sheet!$E$2:$E$3143, ISNUMBER(
Master_Mapping_Sh"&amp;"eet!$E$2:$E$3143),
Master_Mapping_Sheet!$B$2:$B$3143=$A42))), 0, sum(filter(
Master_Mapping_Sheet!$E$2:$E$3143, ISNUMBER(
Master_Mapping_Sheet!$E$2:$E$3143),
Master_Mapping_Sheet!$H$2:$H$3143=C$1,
Master_Mapping_Sheet!$B$2:$B$3143=$A42))/sum(filter(
Maste"&amp;"r_Mapping_Sheet!$E$2:$E$3143, ISNUMBER(
Master_Mapping_Sheet!$E$2:$E$3143),
Master_Mapping_Sheet!$B$2:$B$3143=$A42)))"),0.0)</f>
        <v>0</v>
      </c>
      <c r="D42" s="32">
        <f>IFERROR(__xludf.DUMMYFUNCTION("IF(ISNA(sum(filter(
Master_Mapping_Sheet!$E$2:$E$3143, ISNUMBER(
Master_Mapping_Sheet!$E$2:$E$3143),
Master_Mapping_Sheet!$H$2:$H$3143=D$1,
Master_Mapping_Sheet!$B$2:$B$3143=$A42))/sum(filter(
Master_Mapping_Sheet!$E$2:$E$3143, ISNUMBER(
Master_Mapping_Sh"&amp;"eet!$E$2:$E$3143),
Master_Mapping_Sheet!$B$2:$B$3143=$A42))), 0, sum(filter(
Master_Mapping_Sheet!$E$2:$E$3143, ISNUMBER(
Master_Mapping_Sheet!$E$2:$E$3143),
Master_Mapping_Sheet!$H$2:$H$3143=D$1,
Master_Mapping_Sheet!$B$2:$B$3143=$A42))/sum(filter(
Maste"&amp;"r_Mapping_Sheet!$E$2:$E$3143, ISNUMBER(
Master_Mapping_Sheet!$E$2:$E$3143),
Master_Mapping_Sheet!$B$2:$B$3143=$A42)))"),0.0)</f>
        <v>0</v>
      </c>
      <c r="E42" s="34">
        <f>IFERROR(__xludf.DUMMYFUNCTION("IF(ISNA(sum(filter(
Master_Mapping_Sheet!$E$2:$E$3143, ISNUMBER(
Master_Mapping_Sheet!$E$2:$E$3143),
Master_Mapping_Sheet!$H$2:$H$3143=E$1,
Master_Mapping_Sheet!$B$2:$B$3143=$A42))/sum(filter(
Master_Mapping_Sheet!$E$2:$E$3143, ISNUMBER(
Master_Mapping_Sh"&amp;"eet!$E$2:$E$3143),
Master_Mapping_Sheet!$B$2:$B$3143=$A42))), 0, sum(filter(
Master_Mapping_Sheet!$E$2:$E$3143, ISNUMBER(
Master_Mapping_Sheet!$E$2:$E$3143),
Master_Mapping_Sheet!$H$2:$H$3143=E$1,
Master_Mapping_Sheet!$B$2:$B$3143=$A42))/sum(filter(
Maste"&amp;"r_Mapping_Sheet!$E$2:$E$3143, ISNUMBER(
Master_Mapping_Sheet!$E$2:$E$3143),
Master_Mapping_Sheet!$B$2:$B$3143=$A42)))"),0.0)</f>
        <v>0</v>
      </c>
      <c r="F42" s="34">
        <f>IFERROR(__xludf.DUMMYFUNCTION("IF(ISNA(sum(filter(
Master_Mapping_Sheet!$E$2:$E$3143, ISNUMBER(
Master_Mapping_Sheet!$E$2:$E$3143),
Master_Mapping_Sheet!$H$2:$H$3143=F$1,
Master_Mapping_Sheet!$B$2:$B$3143=$A42))/sum(filter(
Master_Mapping_Sheet!$E$2:$E$3143, ISNUMBER(
Master_Mapping_Sh"&amp;"eet!$E$2:$E$3143),
Master_Mapping_Sheet!$B$2:$B$3143=$A42))), 0, sum(filter(
Master_Mapping_Sheet!$E$2:$E$3143, ISNUMBER(
Master_Mapping_Sheet!$E$2:$E$3143),
Master_Mapping_Sheet!$H$2:$H$3143=F$1,
Master_Mapping_Sheet!$B$2:$B$3143=$A42))/sum(filter(
Maste"&amp;"r_Mapping_Sheet!$E$2:$E$3143, ISNUMBER(
Master_Mapping_Sheet!$E$2:$E$3143),
Master_Mapping_Sheet!$B$2:$B$3143=$A42)))"),0.0)</f>
        <v>0</v>
      </c>
      <c r="G42" s="34">
        <f>IFERROR(__xludf.DUMMYFUNCTION("IF(ISNA(sum(filter(
Master_Mapping_Sheet!$E$2:$E$3143, ISNUMBER(
Master_Mapping_Sheet!$E$2:$E$3143),
Master_Mapping_Sheet!$H$2:$H$3143=G$1,
Master_Mapping_Sheet!$B$2:$B$3143=$A42))/sum(filter(
Master_Mapping_Sheet!$E$2:$E$3143, ISNUMBER(
Master_Mapping_Sh"&amp;"eet!$E$2:$E$3143),
Master_Mapping_Sheet!$B$2:$B$3143=$A42))), 0, sum(filter(
Master_Mapping_Sheet!$E$2:$E$3143, ISNUMBER(
Master_Mapping_Sheet!$E$2:$E$3143),
Master_Mapping_Sheet!$H$2:$H$3143=G$1,
Master_Mapping_Sheet!$B$2:$B$3143=$A42))/sum(filter(
Maste"&amp;"r_Mapping_Sheet!$E$2:$E$3143, ISNUMBER(
Master_Mapping_Sheet!$E$2:$E$3143),
Master_Mapping_Sheet!$B$2:$B$3143=$A42)))"),0.0)</f>
        <v>0</v>
      </c>
      <c r="H42" s="34">
        <f>IFERROR(__xludf.DUMMYFUNCTION("IF(ISNA(sum(filter(
Master_Mapping_Sheet!$E$2:$E$3143, ISNUMBER(
Master_Mapping_Sheet!$E$2:$E$3143),
Master_Mapping_Sheet!$H$2:$H$3143=H$1,
Master_Mapping_Sheet!$B$2:$B$3143=$A42))/sum(filter(
Master_Mapping_Sheet!$E$2:$E$3143, ISNUMBER(
Master_Mapping_Sh"&amp;"eet!$E$2:$E$3143),
Master_Mapping_Sheet!$B$2:$B$3143=$A42))), 0, sum(filter(
Master_Mapping_Sheet!$E$2:$E$3143, ISNUMBER(
Master_Mapping_Sheet!$E$2:$E$3143),
Master_Mapping_Sheet!$H$2:$H$3143=H$1,
Master_Mapping_Sheet!$B$2:$B$3143=$A42))/sum(filter(
Maste"&amp;"r_Mapping_Sheet!$E$2:$E$3143, ISNUMBER(
Master_Mapping_Sheet!$E$2:$E$3143),
Master_Mapping_Sheet!$B$2:$B$3143=$A42)))"),0.0)</f>
        <v>0</v>
      </c>
      <c r="I42" s="34">
        <f>IFERROR(__xludf.DUMMYFUNCTION("IF(ISNA(sum(filter(
Master_Mapping_Sheet!$E$2:$E$3143, ISNUMBER(
Master_Mapping_Sheet!$E$2:$E$3143),
Master_Mapping_Sheet!$H$2:$H$3143=I$1,
Master_Mapping_Sheet!$B$2:$B$3143=$A42))/sum(filter(
Master_Mapping_Sheet!$E$2:$E$3143, ISNUMBER(
Master_Mapping_Sh"&amp;"eet!$E$2:$E$3143),
Master_Mapping_Sheet!$B$2:$B$3143=$A42))), 0, sum(filter(
Master_Mapping_Sheet!$E$2:$E$3143, ISNUMBER(
Master_Mapping_Sheet!$E$2:$E$3143),
Master_Mapping_Sheet!$H$2:$H$3143=I$1,
Master_Mapping_Sheet!$B$2:$B$3143=$A42))/sum(filter(
Maste"&amp;"r_Mapping_Sheet!$E$2:$E$3143, ISNUMBER(
Master_Mapping_Sheet!$E$2:$E$3143),
Master_Mapping_Sheet!$B$2:$B$3143=$A42)))"),0.0)</f>
        <v>0</v>
      </c>
      <c r="J42" s="34">
        <f>IFERROR(__xludf.DUMMYFUNCTION("IF(ISNA(sum(filter(
Master_Mapping_Sheet!$E$2:$E$3143, ISNUMBER(
Master_Mapping_Sheet!$E$2:$E$3143),
Master_Mapping_Sheet!$H$2:$H$3143=J$1,
Master_Mapping_Sheet!$B$2:$B$3143=$A42))/sum(filter(
Master_Mapping_Sheet!$E$2:$E$3143, ISNUMBER(
Master_Mapping_Sh"&amp;"eet!$E$2:$E$3143),
Master_Mapping_Sheet!$B$2:$B$3143=$A42))), 0, sum(filter(
Master_Mapping_Sheet!$E$2:$E$3143, ISNUMBER(
Master_Mapping_Sheet!$E$2:$E$3143),
Master_Mapping_Sheet!$H$2:$H$3143=J$1,
Master_Mapping_Sheet!$B$2:$B$3143=$A42))/sum(filter(
Maste"&amp;"r_Mapping_Sheet!$E$2:$E$3143, ISNUMBER(
Master_Mapping_Sheet!$E$2:$E$3143),
Master_Mapping_Sheet!$B$2:$B$3143=$A42)))"),0.0)</f>
        <v>0</v>
      </c>
      <c r="K42" s="34">
        <f>IFERROR(__xludf.DUMMYFUNCTION("IF(ISNA(sum(filter(
Master_Mapping_Sheet!$E$2:$E$3143, ISNUMBER(
Master_Mapping_Sheet!$E$2:$E$3143),
Master_Mapping_Sheet!$H$2:$H$3143=K$1,
Master_Mapping_Sheet!$B$2:$B$3143=$A42))/sum(filter(
Master_Mapping_Sheet!$E$2:$E$3143, ISNUMBER(
Master_Mapping_Sh"&amp;"eet!$E$2:$E$3143),
Master_Mapping_Sheet!$B$2:$B$3143=$A42))), 0, sum(filter(
Master_Mapping_Sheet!$E$2:$E$3143, ISNUMBER(
Master_Mapping_Sheet!$E$2:$E$3143),
Master_Mapping_Sheet!$H$2:$H$3143=K$1,
Master_Mapping_Sheet!$B$2:$B$3143=$A42))/sum(filter(
Maste"&amp;"r_Mapping_Sheet!$E$2:$E$3143, ISNUMBER(
Master_Mapping_Sheet!$E$2:$E$3143),
Master_Mapping_Sheet!$B$2:$B$3143=$A42)))"),0.0)</f>
        <v>0</v>
      </c>
      <c r="L42" s="34">
        <f>IFERROR(__xludf.DUMMYFUNCTION("IF(ISNA(sum(filter(
Master_Mapping_Sheet!$E$2:$E$3143, ISNUMBER(
Master_Mapping_Sheet!$E$2:$E$3143),
Master_Mapping_Sheet!$H$2:$H$3143=L$1,
Master_Mapping_Sheet!$B$2:$B$3143=$A42))/sum(filter(
Master_Mapping_Sheet!$E$2:$E$3143, ISNUMBER(
Master_Mapping_Sh"&amp;"eet!$E$2:$E$3143),
Master_Mapping_Sheet!$B$2:$B$3143=$A42))), 0, sum(filter(
Master_Mapping_Sheet!$E$2:$E$3143, ISNUMBER(
Master_Mapping_Sheet!$E$2:$E$3143),
Master_Mapping_Sheet!$H$2:$H$3143=L$1,
Master_Mapping_Sheet!$B$2:$B$3143=$A42))/sum(filter(
Maste"&amp;"r_Mapping_Sheet!$E$2:$E$3143, ISNUMBER(
Master_Mapping_Sheet!$E$2:$E$3143),
Master_Mapping_Sheet!$B$2:$B$3143=$A42)))"),0.0)</f>
        <v>0</v>
      </c>
      <c r="M42" s="34">
        <f>IFERROR(__xludf.DUMMYFUNCTION("IF(ISNA(sum(filter(
Master_Mapping_Sheet!$E$2:$E$3143, ISNUMBER(
Master_Mapping_Sheet!$E$2:$E$3143),
Master_Mapping_Sheet!$H$2:$H$3143=M$1,
Master_Mapping_Sheet!$B$2:$B$3143=$A42))/sum(filter(
Master_Mapping_Sheet!$E$2:$E$3143, ISNUMBER(
Master_Mapping_Sh"&amp;"eet!$E$2:$E$3143),
Master_Mapping_Sheet!$B$2:$B$3143=$A42))), 0, sum(filter(
Master_Mapping_Sheet!$E$2:$E$3143, ISNUMBER(
Master_Mapping_Sheet!$E$2:$E$3143),
Master_Mapping_Sheet!$H$2:$H$3143=M$1,
Master_Mapping_Sheet!$B$2:$B$3143=$A42))/sum(filter(
Maste"&amp;"r_Mapping_Sheet!$E$2:$E$3143, ISNUMBER(
Master_Mapping_Sheet!$E$2:$E$3143),
Master_Mapping_Sheet!$B$2:$B$3143=$A42)))"),0.0)</f>
        <v>0</v>
      </c>
      <c r="N42" s="34">
        <f>IFERROR(__xludf.DUMMYFUNCTION("IF(ISNA(sum(filter(
Master_Mapping_Sheet!$E$2:$E$3143, ISNUMBER(
Master_Mapping_Sheet!$E$2:$E$3143),
Master_Mapping_Sheet!$H$2:$H$3143=N$1,
Master_Mapping_Sheet!$B$2:$B$3143=$A42))/sum(filter(
Master_Mapping_Sheet!$E$2:$E$3143, ISNUMBER(
Master_Mapping_Sh"&amp;"eet!$E$2:$E$3143),
Master_Mapping_Sheet!$B$2:$B$3143=$A42))), 0, sum(filter(
Master_Mapping_Sheet!$E$2:$E$3143, ISNUMBER(
Master_Mapping_Sheet!$E$2:$E$3143),
Master_Mapping_Sheet!$H$2:$H$3143=N$1,
Master_Mapping_Sheet!$B$2:$B$3143=$A42))/sum(filter(
Maste"&amp;"r_Mapping_Sheet!$E$2:$E$3143, ISNUMBER(
Master_Mapping_Sheet!$E$2:$E$3143),
Master_Mapping_Sheet!$B$2:$B$3143=$A42)))"),0.0)</f>
        <v>0</v>
      </c>
      <c r="O42" s="34">
        <f>IFERROR(__xludf.DUMMYFUNCTION("IF(ISNA(sum(filter(
Master_Mapping_Sheet!$E$2:$E$3143, ISNUMBER(
Master_Mapping_Sheet!$E$2:$E$3143),
Master_Mapping_Sheet!$H$2:$H$3143=O$1,
Master_Mapping_Sheet!$B$2:$B$3143=$A42))/sum(filter(
Master_Mapping_Sheet!$E$2:$E$3143, ISNUMBER(
Master_Mapping_Sh"&amp;"eet!$E$2:$E$3143),
Master_Mapping_Sheet!$B$2:$B$3143=$A42))), 0, sum(filter(
Master_Mapping_Sheet!$E$2:$E$3143, ISNUMBER(
Master_Mapping_Sheet!$E$2:$E$3143),
Master_Mapping_Sheet!$H$2:$H$3143=O$1,
Master_Mapping_Sheet!$B$2:$B$3143=$A42))/sum(filter(
Maste"&amp;"r_Mapping_Sheet!$E$2:$E$3143, ISNUMBER(
Master_Mapping_Sheet!$E$2:$E$3143),
Master_Mapping_Sheet!$B$2:$B$3143=$A42)))"),0.0)</f>
        <v>0</v>
      </c>
      <c r="P42" s="34">
        <f>IFERROR(__xludf.DUMMYFUNCTION("IF(ISNA(sum(filter(
Master_Mapping_Sheet!$E$2:$E$3143, ISNUMBER(
Master_Mapping_Sheet!$E$2:$E$3143),
Master_Mapping_Sheet!$H$2:$H$3143=P$1,
Master_Mapping_Sheet!$B$2:$B$3143=$A42))/sum(filter(
Master_Mapping_Sheet!$E$2:$E$3143, ISNUMBER(
Master_Mapping_Sh"&amp;"eet!$E$2:$E$3143),
Master_Mapping_Sheet!$B$2:$B$3143=$A42))), 0, sum(filter(
Master_Mapping_Sheet!$E$2:$E$3143, ISNUMBER(
Master_Mapping_Sheet!$E$2:$E$3143),
Master_Mapping_Sheet!$H$2:$H$3143=P$1,
Master_Mapping_Sheet!$B$2:$B$3143=$A42))/sum(filter(
Maste"&amp;"r_Mapping_Sheet!$E$2:$E$3143, ISNUMBER(
Master_Mapping_Sheet!$E$2:$E$3143),
Master_Mapping_Sheet!$B$2:$B$3143=$A42)))"),1.0)</f>
        <v>1</v>
      </c>
      <c r="Q42" s="34">
        <f>IFERROR(__xludf.DUMMYFUNCTION("IF(ISNA(sum(filter(
Master_Mapping_Sheet!$E$2:$E$3143, ISNUMBER(
Master_Mapping_Sheet!$E$2:$E$3143),
Master_Mapping_Sheet!$H$2:$H$3143=Q$1,
Master_Mapping_Sheet!$B$2:$B$3143=$A42))/sum(filter(
Master_Mapping_Sheet!$E$2:$E$3143, ISNUMBER(
Master_Mapping_Sh"&amp;"eet!$E$2:$E$3143),
Master_Mapping_Sheet!$B$2:$B$3143=$A42))), 0, sum(filter(
Master_Mapping_Sheet!$E$2:$E$3143, ISNUMBER(
Master_Mapping_Sheet!$E$2:$E$3143),
Master_Mapping_Sheet!$H$2:$H$3143=Q$1,
Master_Mapping_Sheet!$B$2:$B$3143=$A42))/sum(filter(
Maste"&amp;"r_Mapping_Sheet!$E$2:$E$3143, ISNUMBER(
Master_Mapping_Sheet!$E$2:$E$3143),
Master_Mapping_Sheet!$B$2:$B$3143=$A42)))"),0.0)</f>
        <v>0</v>
      </c>
      <c r="R42" s="34">
        <f>IFERROR(__xludf.DUMMYFUNCTION("IF(ISNA(sum(filter(
Master_Mapping_Sheet!$E$2:$E$3143, ISNUMBER(
Master_Mapping_Sheet!$E$2:$E$3143),
Master_Mapping_Sheet!$H$2:$H$3143=R$1,
Master_Mapping_Sheet!$B$2:$B$3143=$A42))/sum(filter(
Master_Mapping_Sheet!$E$2:$E$3143, ISNUMBER(
Master_Mapping_Sh"&amp;"eet!$E$2:$E$3143),
Master_Mapping_Sheet!$B$2:$B$3143=$A42))), 0, sum(filter(
Master_Mapping_Sheet!$E$2:$E$3143, ISNUMBER(
Master_Mapping_Sheet!$E$2:$E$3143),
Master_Mapping_Sheet!$H$2:$H$3143=R$1,
Master_Mapping_Sheet!$B$2:$B$3143=$A42))/sum(filter(
Maste"&amp;"r_Mapping_Sheet!$E$2:$E$3143, ISNUMBER(
Master_Mapping_Sheet!$E$2:$E$3143),
Master_Mapping_Sheet!$B$2:$B$3143=$A42)))"),0.0)</f>
        <v>0</v>
      </c>
      <c r="S42" s="34">
        <f>IFERROR(__xludf.DUMMYFUNCTION("IF(ISNA(sum(filter(
Master_Mapping_Sheet!$E$2:$E$3143, ISNUMBER(
Master_Mapping_Sheet!$E$2:$E$3143),
Master_Mapping_Sheet!$H$2:$H$3143=S$1,
Master_Mapping_Sheet!$B$2:$B$3143=$A42))/sum(filter(
Master_Mapping_Sheet!$E$2:$E$3143, ISNUMBER(
Master_Mapping_Sh"&amp;"eet!$E$2:$E$3143),
Master_Mapping_Sheet!$B$2:$B$3143=$A42))), 0, sum(filter(
Master_Mapping_Sheet!$E$2:$E$3143, ISNUMBER(
Master_Mapping_Sheet!$E$2:$E$3143),
Master_Mapping_Sheet!$H$2:$H$3143=S$1,
Master_Mapping_Sheet!$B$2:$B$3143=$A42))/sum(filter(
Maste"&amp;"r_Mapping_Sheet!$E$2:$E$3143, ISNUMBER(
Master_Mapping_Sheet!$E$2:$E$3143),
Master_Mapping_Sheet!$B$2:$B$3143=$A42)))"),0.0)</f>
        <v>0</v>
      </c>
      <c r="T42" s="34">
        <f>IFERROR(__xludf.DUMMYFUNCTION("IF(ISNA(sum(filter(
Master_Mapping_Sheet!$E$2:$E$3143, ISNUMBER(
Master_Mapping_Sheet!$E$2:$E$3143),
Master_Mapping_Sheet!$H$2:$H$3143=T$1,
Master_Mapping_Sheet!$B$2:$B$3143=$A42))/sum(filter(
Master_Mapping_Sheet!$E$2:$E$3143, ISNUMBER(
Master_Mapping_Sh"&amp;"eet!$E$2:$E$3143),
Master_Mapping_Sheet!$B$2:$B$3143=$A42))), 0, sum(filter(
Master_Mapping_Sheet!$E$2:$E$3143, ISNUMBER(
Master_Mapping_Sheet!$E$2:$E$3143),
Master_Mapping_Sheet!$H$2:$H$3143=T$1,
Master_Mapping_Sheet!$B$2:$B$3143=$A42))/sum(filter(
Maste"&amp;"r_Mapping_Sheet!$E$2:$E$3143, ISNUMBER(
Master_Mapping_Sheet!$E$2:$E$3143),
Master_Mapping_Sheet!$B$2:$B$3143=$A42)))"),0.0)</f>
        <v>0</v>
      </c>
      <c r="U42" s="34">
        <f>IFERROR(__xludf.DUMMYFUNCTION("IF(ISNA(sum(filter(
Master_Mapping_Sheet!$E$2:$E$3143, ISNUMBER(
Master_Mapping_Sheet!$E$2:$E$3143),
Master_Mapping_Sheet!$H$2:$H$3143=U$1,
Master_Mapping_Sheet!$B$2:$B$3143=$A42))/sum(filter(
Master_Mapping_Sheet!$E$2:$E$3143, ISNUMBER(
Master_Mapping_Sh"&amp;"eet!$E$2:$E$3143),
Master_Mapping_Sheet!$B$2:$B$3143=$A42))), 0, sum(filter(
Master_Mapping_Sheet!$E$2:$E$3143, ISNUMBER(
Master_Mapping_Sheet!$E$2:$E$3143),
Master_Mapping_Sheet!$H$2:$H$3143=U$1,
Master_Mapping_Sheet!$B$2:$B$3143=$A42))/sum(filter(
Maste"&amp;"r_Mapping_Sheet!$E$2:$E$3143, ISNUMBER(
Master_Mapping_Sheet!$E$2:$E$3143),
Master_Mapping_Sheet!$B$2:$B$3143=$A42)))"),0.0)</f>
        <v>0</v>
      </c>
      <c r="V42" s="34">
        <f>IFERROR(__xludf.DUMMYFUNCTION("IF(ISNA(sum(filter(
Master_Mapping_Sheet!$E$2:$E$3143, ISNUMBER(
Master_Mapping_Sheet!$E$2:$E$3143),
Master_Mapping_Sheet!$H$2:$H$3143=V$1,
Master_Mapping_Sheet!$B$2:$B$3143=$A42))/sum(filter(
Master_Mapping_Sheet!$E$2:$E$3143, ISNUMBER(
Master_Mapping_Sh"&amp;"eet!$E$2:$E$3143),
Master_Mapping_Sheet!$B$2:$B$3143=$A42))), 0, sum(filter(
Master_Mapping_Sheet!$E$2:$E$3143, ISNUMBER(
Master_Mapping_Sheet!$E$2:$E$3143),
Master_Mapping_Sheet!$H$2:$H$3143=V$1,
Master_Mapping_Sheet!$B$2:$B$3143=$A42))/sum(filter(
Maste"&amp;"r_Mapping_Sheet!$E$2:$E$3143, ISNUMBER(
Master_Mapping_Sheet!$E$2:$E$3143),
Master_Mapping_Sheet!$B$2:$B$3143=$A42)))"),0.0)</f>
        <v>0</v>
      </c>
      <c r="W42" s="34">
        <f>IFERROR(__xludf.DUMMYFUNCTION("IF(ISNA(sum(filter(
Master_Mapping_Sheet!$E$2:$E$3143, ISNUMBER(
Master_Mapping_Sheet!$E$2:$E$3143),
Master_Mapping_Sheet!$H$2:$H$3143=W$1,
Master_Mapping_Sheet!$B$2:$B$3143=$A42))/sum(filter(
Master_Mapping_Sheet!$E$2:$E$3143, ISNUMBER(
Master_Mapping_Sh"&amp;"eet!$E$2:$E$3143),
Master_Mapping_Sheet!$B$2:$B$3143=$A42))), 0, sum(filter(
Master_Mapping_Sheet!$E$2:$E$3143, ISNUMBER(
Master_Mapping_Sheet!$E$2:$E$3143),
Master_Mapping_Sheet!$H$2:$H$3143=W$1,
Master_Mapping_Sheet!$B$2:$B$3143=$A42))/sum(filter(
Maste"&amp;"r_Mapping_Sheet!$E$2:$E$3143, ISNUMBER(
Master_Mapping_Sheet!$E$2:$E$3143),
Master_Mapping_Sheet!$B$2:$B$3143=$A42)))"),0.0)</f>
        <v>0</v>
      </c>
      <c r="X42" s="34">
        <f>IFERROR(__xludf.DUMMYFUNCTION("IF(ISNA(sum(filter(
Master_Mapping_Sheet!$E$2:$E$3143, ISNUMBER(
Master_Mapping_Sheet!$E$2:$E$3143),
Master_Mapping_Sheet!$H$2:$H$3143=X$1,
Master_Mapping_Sheet!$B$2:$B$3143=$A42))/sum(filter(
Master_Mapping_Sheet!$E$2:$E$3143, ISNUMBER(
Master_Mapping_Sh"&amp;"eet!$E$2:$E$3143),
Master_Mapping_Sheet!$B$2:$B$3143=$A42))), 0, sum(filter(
Master_Mapping_Sheet!$E$2:$E$3143, ISNUMBER(
Master_Mapping_Sheet!$E$2:$E$3143),
Master_Mapping_Sheet!$H$2:$H$3143=X$1,
Master_Mapping_Sheet!$B$2:$B$3143=$A42))/sum(filter(
Maste"&amp;"r_Mapping_Sheet!$E$2:$E$3143, ISNUMBER(
Master_Mapping_Sheet!$E$2:$E$3143),
Master_Mapping_Sheet!$B$2:$B$3143=$A42)))"),0.0)</f>
        <v>0</v>
      </c>
      <c r="Y42" s="34">
        <f>IFERROR(__xludf.DUMMYFUNCTION("IF(ISNA(sum(filter(
Master_Mapping_Sheet!$E$2:$E$3143, ISNUMBER(
Master_Mapping_Sheet!$E$2:$E$3143),
Master_Mapping_Sheet!$H$2:$H$3143=Y$1,
Master_Mapping_Sheet!$B$2:$B$3143=$A42))/sum(filter(
Master_Mapping_Sheet!$E$2:$E$3143, ISNUMBER(
Master_Mapping_Sh"&amp;"eet!$E$2:$E$3143),
Master_Mapping_Sheet!$B$2:$B$3143=$A42))), 0, sum(filter(
Master_Mapping_Sheet!$E$2:$E$3143, ISNUMBER(
Master_Mapping_Sheet!$E$2:$E$3143),
Master_Mapping_Sheet!$H$2:$H$3143=Y$1,
Master_Mapping_Sheet!$B$2:$B$3143=$A42))/sum(filter(
Maste"&amp;"r_Mapping_Sheet!$E$2:$E$3143, ISNUMBER(
Master_Mapping_Sheet!$E$2:$E$3143),
Master_Mapping_Sheet!$B$2:$B$3143=$A42)))"),0.0)</f>
        <v>0</v>
      </c>
      <c r="Z42" s="34">
        <f>IFERROR(__xludf.DUMMYFUNCTION("IF(ISNA(sum(filter(
Master_Mapping_Sheet!$E$2:$E$3143, ISNUMBER(
Master_Mapping_Sheet!$E$2:$E$3143),
Master_Mapping_Sheet!$H$2:$H$3143=Z$1,
Master_Mapping_Sheet!$B$2:$B$3143=$A42))/sum(filter(
Master_Mapping_Sheet!$E$2:$E$3143, ISNUMBER(
Master_Mapping_Sh"&amp;"eet!$E$2:$E$3143),
Master_Mapping_Sheet!$B$2:$B$3143=$A42))), 0, sum(filter(
Master_Mapping_Sheet!$E$2:$E$3143, ISNUMBER(
Master_Mapping_Sheet!$E$2:$E$3143),
Master_Mapping_Sheet!$H$2:$H$3143=Z$1,
Master_Mapping_Sheet!$B$2:$B$3143=$A42))/sum(filter(
Maste"&amp;"r_Mapping_Sheet!$E$2:$E$3143, ISNUMBER(
Master_Mapping_Sheet!$E$2:$E$3143),
Master_Mapping_Sheet!$B$2:$B$3143=$A42)))"),0.0)</f>
        <v>0</v>
      </c>
      <c r="AA42" s="34">
        <f>IFERROR(__xludf.DUMMYFUNCTION("IF(ISNA(sum(filter(
Master_Mapping_Sheet!$E$2:$E$3143, ISNUMBER(
Master_Mapping_Sheet!$E$2:$E$3143),
Master_Mapping_Sheet!$H$2:$H$3143=AA$1,
Master_Mapping_Sheet!$B$2:$B$3143=$A42))/sum(filter(
Master_Mapping_Sheet!$E$2:$E$3143, ISNUMBER(
Master_Mapping_S"&amp;"heet!$E$2:$E$3143),
Master_Mapping_Sheet!$B$2:$B$3143=$A42))), 0, sum(filter(
Master_Mapping_Sheet!$E$2:$E$3143, ISNUMBER(
Master_Mapping_Sheet!$E$2:$E$3143),
Master_Mapping_Sheet!$H$2:$H$3143=AA$1,
Master_Mapping_Sheet!$B$2:$B$3143=$A42))/sum(filter(
Mas"&amp;"ter_Mapping_Sheet!$E$2:$E$3143, ISNUMBER(
Master_Mapping_Sheet!$E$2:$E$3143),
Master_Mapping_Sheet!$B$2:$B$3143=$A42)))"),0.0)</f>
        <v>0</v>
      </c>
    </row>
    <row r="43" ht="15.75" customHeight="1">
      <c r="A43" s="34" t="s">
        <v>1578</v>
      </c>
      <c r="B43" s="34" t="s">
        <v>3458</v>
      </c>
      <c r="C43" s="34">
        <f>IFERROR(__xludf.DUMMYFUNCTION("IF(ISNA(sum(filter(
Master_Mapping_Sheet!$E$2:$E$3143, ISNUMBER(
Master_Mapping_Sheet!$E$2:$E$3143),
Master_Mapping_Sheet!$H$2:$H$3143=C$1,
Master_Mapping_Sheet!$B$2:$B$3143=$A43))/sum(filter(
Master_Mapping_Sheet!$E$2:$E$3143, ISNUMBER(
Master_Mapping_Sh"&amp;"eet!$E$2:$E$3143),
Master_Mapping_Sheet!$B$2:$B$3143=$A43))), 0, sum(filter(
Master_Mapping_Sheet!$E$2:$E$3143, ISNUMBER(
Master_Mapping_Sheet!$E$2:$E$3143),
Master_Mapping_Sheet!$H$2:$H$3143=C$1,
Master_Mapping_Sheet!$B$2:$B$3143=$A43))/sum(filter(
Maste"&amp;"r_Mapping_Sheet!$E$2:$E$3143, ISNUMBER(
Master_Mapping_Sheet!$E$2:$E$3143),
Master_Mapping_Sheet!$B$2:$B$3143=$A43)))"),0.0)</f>
        <v>0</v>
      </c>
      <c r="D43" s="32">
        <f>IFERROR(__xludf.DUMMYFUNCTION("IF(ISNA(sum(filter(
Master_Mapping_Sheet!$E$2:$E$3143, ISNUMBER(
Master_Mapping_Sheet!$E$2:$E$3143),
Master_Mapping_Sheet!$H$2:$H$3143=D$1,
Master_Mapping_Sheet!$B$2:$B$3143=$A43))/sum(filter(
Master_Mapping_Sheet!$E$2:$E$3143, ISNUMBER(
Master_Mapping_Sh"&amp;"eet!$E$2:$E$3143),
Master_Mapping_Sheet!$B$2:$B$3143=$A43))), 0, sum(filter(
Master_Mapping_Sheet!$E$2:$E$3143, ISNUMBER(
Master_Mapping_Sheet!$E$2:$E$3143),
Master_Mapping_Sheet!$H$2:$H$3143=D$1,
Master_Mapping_Sheet!$B$2:$B$3143=$A43))/sum(filter(
Maste"&amp;"r_Mapping_Sheet!$E$2:$E$3143, ISNUMBER(
Master_Mapping_Sheet!$E$2:$E$3143),
Master_Mapping_Sheet!$B$2:$B$3143=$A43)))"),0.0)</f>
        <v>0</v>
      </c>
      <c r="E43" s="34">
        <f>IFERROR(__xludf.DUMMYFUNCTION("IF(ISNA(sum(filter(
Master_Mapping_Sheet!$E$2:$E$3143, ISNUMBER(
Master_Mapping_Sheet!$E$2:$E$3143),
Master_Mapping_Sheet!$H$2:$H$3143=E$1,
Master_Mapping_Sheet!$B$2:$B$3143=$A43))/sum(filter(
Master_Mapping_Sheet!$E$2:$E$3143, ISNUMBER(
Master_Mapping_Sh"&amp;"eet!$E$2:$E$3143),
Master_Mapping_Sheet!$B$2:$B$3143=$A43))), 0, sum(filter(
Master_Mapping_Sheet!$E$2:$E$3143, ISNUMBER(
Master_Mapping_Sheet!$E$2:$E$3143),
Master_Mapping_Sheet!$H$2:$H$3143=E$1,
Master_Mapping_Sheet!$B$2:$B$3143=$A43))/sum(filter(
Maste"&amp;"r_Mapping_Sheet!$E$2:$E$3143, ISNUMBER(
Master_Mapping_Sheet!$E$2:$E$3143),
Master_Mapping_Sheet!$B$2:$B$3143=$A43)))"),0.0)</f>
        <v>0</v>
      </c>
      <c r="F43" s="34">
        <f>IFERROR(__xludf.DUMMYFUNCTION("IF(ISNA(sum(filter(
Master_Mapping_Sheet!$E$2:$E$3143, ISNUMBER(
Master_Mapping_Sheet!$E$2:$E$3143),
Master_Mapping_Sheet!$H$2:$H$3143=F$1,
Master_Mapping_Sheet!$B$2:$B$3143=$A43))/sum(filter(
Master_Mapping_Sheet!$E$2:$E$3143, ISNUMBER(
Master_Mapping_Sh"&amp;"eet!$E$2:$E$3143),
Master_Mapping_Sheet!$B$2:$B$3143=$A43))), 0, sum(filter(
Master_Mapping_Sheet!$E$2:$E$3143, ISNUMBER(
Master_Mapping_Sheet!$E$2:$E$3143),
Master_Mapping_Sheet!$H$2:$H$3143=F$1,
Master_Mapping_Sheet!$B$2:$B$3143=$A43))/sum(filter(
Maste"&amp;"r_Mapping_Sheet!$E$2:$E$3143, ISNUMBER(
Master_Mapping_Sheet!$E$2:$E$3143),
Master_Mapping_Sheet!$B$2:$B$3143=$A43)))"),0.0)</f>
        <v>0</v>
      </c>
      <c r="G43" s="34">
        <f>IFERROR(__xludf.DUMMYFUNCTION("IF(ISNA(sum(filter(
Master_Mapping_Sheet!$E$2:$E$3143, ISNUMBER(
Master_Mapping_Sheet!$E$2:$E$3143),
Master_Mapping_Sheet!$H$2:$H$3143=G$1,
Master_Mapping_Sheet!$B$2:$B$3143=$A43))/sum(filter(
Master_Mapping_Sheet!$E$2:$E$3143, ISNUMBER(
Master_Mapping_Sh"&amp;"eet!$E$2:$E$3143),
Master_Mapping_Sheet!$B$2:$B$3143=$A43))), 0, sum(filter(
Master_Mapping_Sheet!$E$2:$E$3143, ISNUMBER(
Master_Mapping_Sheet!$E$2:$E$3143),
Master_Mapping_Sheet!$H$2:$H$3143=G$1,
Master_Mapping_Sheet!$B$2:$B$3143=$A43))/sum(filter(
Maste"&amp;"r_Mapping_Sheet!$E$2:$E$3143, ISNUMBER(
Master_Mapping_Sheet!$E$2:$E$3143),
Master_Mapping_Sheet!$B$2:$B$3143=$A43)))"),0.0)</f>
        <v>0</v>
      </c>
      <c r="H43" s="34">
        <f>IFERROR(__xludf.DUMMYFUNCTION("IF(ISNA(sum(filter(
Master_Mapping_Sheet!$E$2:$E$3143, ISNUMBER(
Master_Mapping_Sheet!$E$2:$E$3143),
Master_Mapping_Sheet!$H$2:$H$3143=H$1,
Master_Mapping_Sheet!$B$2:$B$3143=$A43))/sum(filter(
Master_Mapping_Sheet!$E$2:$E$3143, ISNUMBER(
Master_Mapping_Sh"&amp;"eet!$E$2:$E$3143),
Master_Mapping_Sheet!$B$2:$B$3143=$A43))), 0, sum(filter(
Master_Mapping_Sheet!$E$2:$E$3143, ISNUMBER(
Master_Mapping_Sheet!$E$2:$E$3143),
Master_Mapping_Sheet!$H$2:$H$3143=H$1,
Master_Mapping_Sheet!$B$2:$B$3143=$A43))/sum(filter(
Maste"&amp;"r_Mapping_Sheet!$E$2:$E$3143, ISNUMBER(
Master_Mapping_Sheet!$E$2:$E$3143),
Master_Mapping_Sheet!$B$2:$B$3143=$A43)))"),0.0)</f>
        <v>0</v>
      </c>
      <c r="I43" s="34">
        <f>IFERROR(__xludf.DUMMYFUNCTION("IF(ISNA(sum(filter(
Master_Mapping_Sheet!$E$2:$E$3143, ISNUMBER(
Master_Mapping_Sheet!$E$2:$E$3143),
Master_Mapping_Sheet!$H$2:$H$3143=I$1,
Master_Mapping_Sheet!$B$2:$B$3143=$A43))/sum(filter(
Master_Mapping_Sheet!$E$2:$E$3143, ISNUMBER(
Master_Mapping_Sh"&amp;"eet!$E$2:$E$3143),
Master_Mapping_Sheet!$B$2:$B$3143=$A43))), 0, sum(filter(
Master_Mapping_Sheet!$E$2:$E$3143, ISNUMBER(
Master_Mapping_Sheet!$E$2:$E$3143),
Master_Mapping_Sheet!$H$2:$H$3143=I$1,
Master_Mapping_Sheet!$B$2:$B$3143=$A43))/sum(filter(
Maste"&amp;"r_Mapping_Sheet!$E$2:$E$3143, ISNUMBER(
Master_Mapping_Sheet!$E$2:$E$3143),
Master_Mapping_Sheet!$B$2:$B$3143=$A43)))"),0.0)</f>
        <v>0</v>
      </c>
      <c r="J43" s="34">
        <f>IFERROR(__xludf.DUMMYFUNCTION("IF(ISNA(sum(filter(
Master_Mapping_Sheet!$E$2:$E$3143, ISNUMBER(
Master_Mapping_Sheet!$E$2:$E$3143),
Master_Mapping_Sheet!$H$2:$H$3143=J$1,
Master_Mapping_Sheet!$B$2:$B$3143=$A43))/sum(filter(
Master_Mapping_Sheet!$E$2:$E$3143, ISNUMBER(
Master_Mapping_Sh"&amp;"eet!$E$2:$E$3143),
Master_Mapping_Sheet!$B$2:$B$3143=$A43))), 0, sum(filter(
Master_Mapping_Sheet!$E$2:$E$3143, ISNUMBER(
Master_Mapping_Sheet!$E$2:$E$3143),
Master_Mapping_Sheet!$H$2:$H$3143=J$1,
Master_Mapping_Sheet!$B$2:$B$3143=$A43))/sum(filter(
Maste"&amp;"r_Mapping_Sheet!$E$2:$E$3143, ISNUMBER(
Master_Mapping_Sheet!$E$2:$E$3143),
Master_Mapping_Sheet!$B$2:$B$3143=$A43)))"),0.0)</f>
        <v>0</v>
      </c>
      <c r="K43" s="34">
        <f>IFERROR(__xludf.DUMMYFUNCTION("IF(ISNA(sum(filter(
Master_Mapping_Sheet!$E$2:$E$3143, ISNUMBER(
Master_Mapping_Sheet!$E$2:$E$3143),
Master_Mapping_Sheet!$H$2:$H$3143=K$1,
Master_Mapping_Sheet!$B$2:$B$3143=$A43))/sum(filter(
Master_Mapping_Sheet!$E$2:$E$3143, ISNUMBER(
Master_Mapping_Sh"&amp;"eet!$E$2:$E$3143),
Master_Mapping_Sheet!$B$2:$B$3143=$A43))), 0, sum(filter(
Master_Mapping_Sheet!$E$2:$E$3143, ISNUMBER(
Master_Mapping_Sheet!$E$2:$E$3143),
Master_Mapping_Sheet!$H$2:$H$3143=K$1,
Master_Mapping_Sheet!$B$2:$B$3143=$A43))/sum(filter(
Maste"&amp;"r_Mapping_Sheet!$E$2:$E$3143, ISNUMBER(
Master_Mapping_Sheet!$E$2:$E$3143),
Master_Mapping_Sheet!$B$2:$B$3143=$A43)))"),0.0)</f>
        <v>0</v>
      </c>
      <c r="L43" s="34">
        <f>IFERROR(__xludf.DUMMYFUNCTION("IF(ISNA(sum(filter(
Master_Mapping_Sheet!$E$2:$E$3143, ISNUMBER(
Master_Mapping_Sheet!$E$2:$E$3143),
Master_Mapping_Sheet!$H$2:$H$3143=L$1,
Master_Mapping_Sheet!$B$2:$B$3143=$A43))/sum(filter(
Master_Mapping_Sheet!$E$2:$E$3143, ISNUMBER(
Master_Mapping_Sh"&amp;"eet!$E$2:$E$3143),
Master_Mapping_Sheet!$B$2:$B$3143=$A43))), 0, sum(filter(
Master_Mapping_Sheet!$E$2:$E$3143, ISNUMBER(
Master_Mapping_Sheet!$E$2:$E$3143),
Master_Mapping_Sheet!$H$2:$H$3143=L$1,
Master_Mapping_Sheet!$B$2:$B$3143=$A43))/sum(filter(
Maste"&amp;"r_Mapping_Sheet!$E$2:$E$3143, ISNUMBER(
Master_Mapping_Sheet!$E$2:$E$3143),
Master_Mapping_Sheet!$B$2:$B$3143=$A43)))"),0.0)</f>
        <v>0</v>
      </c>
      <c r="M43" s="34">
        <f>IFERROR(__xludf.DUMMYFUNCTION("IF(ISNA(sum(filter(
Master_Mapping_Sheet!$E$2:$E$3143, ISNUMBER(
Master_Mapping_Sheet!$E$2:$E$3143),
Master_Mapping_Sheet!$H$2:$H$3143=M$1,
Master_Mapping_Sheet!$B$2:$B$3143=$A43))/sum(filter(
Master_Mapping_Sheet!$E$2:$E$3143, ISNUMBER(
Master_Mapping_Sh"&amp;"eet!$E$2:$E$3143),
Master_Mapping_Sheet!$B$2:$B$3143=$A43))), 0, sum(filter(
Master_Mapping_Sheet!$E$2:$E$3143, ISNUMBER(
Master_Mapping_Sheet!$E$2:$E$3143),
Master_Mapping_Sheet!$H$2:$H$3143=M$1,
Master_Mapping_Sheet!$B$2:$B$3143=$A43))/sum(filter(
Maste"&amp;"r_Mapping_Sheet!$E$2:$E$3143, ISNUMBER(
Master_Mapping_Sheet!$E$2:$E$3143),
Master_Mapping_Sheet!$B$2:$B$3143=$A43)))"),0.0)</f>
        <v>0</v>
      </c>
      <c r="N43" s="34">
        <f>IFERROR(__xludf.DUMMYFUNCTION("IF(ISNA(sum(filter(
Master_Mapping_Sheet!$E$2:$E$3143, ISNUMBER(
Master_Mapping_Sheet!$E$2:$E$3143),
Master_Mapping_Sheet!$H$2:$H$3143=N$1,
Master_Mapping_Sheet!$B$2:$B$3143=$A43))/sum(filter(
Master_Mapping_Sheet!$E$2:$E$3143, ISNUMBER(
Master_Mapping_Sh"&amp;"eet!$E$2:$E$3143),
Master_Mapping_Sheet!$B$2:$B$3143=$A43))), 0, sum(filter(
Master_Mapping_Sheet!$E$2:$E$3143, ISNUMBER(
Master_Mapping_Sheet!$E$2:$E$3143),
Master_Mapping_Sheet!$H$2:$H$3143=N$1,
Master_Mapping_Sheet!$B$2:$B$3143=$A43))/sum(filter(
Maste"&amp;"r_Mapping_Sheet!$E$2:$E$3143, ISNUMBER(
Master_Mapping_Sheet!$E$2:$E$3143),
Master_Mapping_Sheet!$B$2:$B$3143=$A43)))"),0.0)</f>
        <v>0</v>
      </c>
      <c r="O43" s="34">
        <f>IFERROR(__xludf.DUMMYFUNCTION("IF(ISNA(sum(filter(
Master_Mapping_Sheet!$E$2:$E$3143, ISNUMBER(
Master_Mapping_Sheet!$E$2:$E$3143),
Master_Mapping_Sheet!$H$2:$H$3143=O$1,
Master_Mapping_Sheet!$B$2:$B$3143=$A43))/sum(filter(
Master_Mapping_Sheet!$E$2:$E$3143, ISNUMBER(
Master_Mapping_Sh"&amp;"eet!$E$2:$E$3143),
Master_Mapping_Sheet!$B$2:$B$3143=$A43))), 0, sum(filter(
Master_Mapping_Sheet!$E$2:$E$3143, ISNUMBER(
Master_Mapping_Sheet!$E$2:$E$3143),
Master_Mapping_Sheet!$H$2:$H$3143=O$1,
Master_Mapping_Sheet!$B$2:$B$3143=$A43))/sum(filter(
Maste"&amp;"r_Mapping_Sheet!$E$2:$E$3143, ISNUMBER(
Master_Mapping_Sheet!$E$2:$E$3143),
Master_Mapping_Sheet!$B$2:$B$3143=$A43)))"),0.0)</f>
        <v>0</v>
      </c>
      <c r="P43" s="34">
        <f>IFERROR(__xludf.DUMMYFUNCTION("IF(ISNA(sum(filter(
Master_Mapping_Sheet!$E$2:$E$3143, ISNUMBER(
Master_Mapping_Sheet!$E$2:$E$3143),
Master_Mapping_Sheet!$H$2:$H$3143=P$1,
Master_Mapping_Sheet!$B$2:$B$3143=$A43))/sum(filter(
Master_Mapping_Sheet!$E$2:$E$3143, ISNUMBER(
Master_Mapping_Sh"&amp;"eet!$E$2:$E$3143),
Master_Mapping_Sheet!$B$2:$B$3143=$A43))), 0, sum(filter(
Master_Mapping_Sheet!$E$2:$E$3143, ISNUMBER(
Master_Mapping_Sheet!$E$2:$E$3143),
Master_Mapping_Sheet!$H$2:$H$3143=P$1,
Master_Mapping_Sheet!$B$2:$B$3143=$A43))/sum(filter(
Maste"&amp;"r_Mapping_Sheet!$E$2:$E$3143, ISNUMBER(
Master_Mapping_Sheet!$E$2:$E$3143),
Master_Mapping_Sheet!$B$2:$B$3143=$A43)))"),0.0)</f>
        <v>0</v>
      </c>
      <c r="Q43" s="34">
        <f>IFERROR(__xludf.DUMMYFUNCTION("IF(ISNA(sum(filter(
Master_Mapping_Sheet!$E$2:$E$3143, ISNUMBER(
Master_Mapping_Sheet!$E$2:$E$3143),
Master_Mapping_Sheet!$H$2:$H$3143=Q$1,
Master_Mapping_Sheet!$B$2:$B$3143=$A43))/sum(filter(
Master_Mapping_Sheet!$E$2:$E$3143, ISNUMBER(
Master_Mapping_Sh"&amp;"eet!$E$2:$E$3143),
Master_Mapping_Sheet!$B$2:$B$3143=$A43))), 0, sum(filter(
Master_Mapping_Sheet!$E$2:$E$3143, ISNUMBER(
Master_Mapping_Sheet!$E$2:$E$3143),
Master_Mapping_Sheet!$H$2:$H$3143=Q$1,
Master_Mapping_Sheet!$B$2:$B$3143=$A43))/sum(filter(
Maste"&amp;"r_Mapping_Sheet!$E$2:$E$3143, ISNUMBER(
Master_Mapping_Sheet!$E$2:$E$3143),
Master_Mapping_Sheet!$B$2:$B$3143=$A43)))"),0.0)</f>
        <v>0</v>
      </c>
      <c r="R43" s="34">
        <f>IFERROR(__xludf.DUMMYFUNCTION("IF(ISNA(sum(filter(
Master_Mapping_Sheet!$E$2:$E$3143, ISNUMBER(
Master_Mapping_Sheet!$E$2:$E$3143),
Master_Mapping_Sheet!$H$2:$H$3143=R$1,
Master_Mapping_Sheet!$B$2:$B$3143=$A43))/sum(filter(
Master_Mapping_Sheet!$E$2:$E$3143, ISNUMBER(
Master_Mapping_Sh"&amp;"eet!$E$2:$E$3143),
Master_Mapping_Sheet!$B$2:$B$3143=$A43))), 0, sum(filter(
Master_Mapping_Sheet!$E$2:$E$3143, ISNUMBER(
Master_Mapping_Sheet!$E$2:$E$3143),
Master_Mapping_Sheet!$H$2:$H$3143=R$1,
Master_Mapping_Sheet!$B$2:$B$3143=$A43))/sum(filter(
Maste"&amp;"r_Mapping_Sheet!$E$2:$E$3143, ISNUMBER(
Master_Mapping_Sheet!$E$2:$E$3143),
Master_Mapping_Sheet!$B$2:$B$3143=$A43)))"),0.0)</f>
        <v>0</v>
      </c>
      <c r="S43" s="34">
        <f>IFERROR(__xludf.DUMMYFUNCTION("IF(ISNA(sum(filter(
Master_Mapping_Sheet!$E$2:$E$3143, ISNUMBER(
Master_Mapping_Sheet!$E$2:$E$3143),
Master_Mapping_Sheet!$H$2:$H$3143=S$1,
Master_Mapping_Sheet!$B$2:$B$3143=$A43))/sum(filter(
Master_Mapping_Sheet!$E$2:$E$3143, ISNUMBER(
Master_Mapping_Sh"&amp;"eet!$E$2:$E$3143),
Master_Mapping_Sheet!$B$2:$B$3143=$A43))), 0, sum(filter(
Master_Mapping_Sheet!$E$2:$E$3143, ISNUMBER(
Master_Mapping_Sheet!$E$2:$E$3143),
Master_Mapping_Sheet!$H$2:$H$3143=S$1,
Master_Mapping_Sheet!$B$2:$B$3143=$A43))/sum(filter(
Maste"&amp;"r_Mapping_Sheet!$E$2:$E$3143, ISNUMBER(
Master_Mapping_Sheet!$E$2:$E$3143),
Master_Mapping_Sheet!$B$2:$B$3143=$A43)))"),0.0)</f>
        <v>0</v>
      </c>
      <c r="T43" s="34">
        <f>IFERROR(__xludf.DUMMYFUNCTION("IF(ISNA(sum(filter(
Master_Mapping_Sheet!$E$2:$E$3143, ISNUMBER(
Master_Mapping_Sheet!$E$2:$E$3143),
Master_Mapping_Sheet!$H$2:$H$3143=T$1,
Master_Mapping_Sheet!$B$2:$B$3143=$A43))/sum(filter(
Master_Mapping_Sheet!$E$2:$E$3143, ISNUMBER(
Master_Mapping_Sh"&amp;"eet!$E$2:$E$3143),
Master_Mapping_Sheet!$B$2:$B$3143=$A43))), 0, sum(filter(
Master_Mapping_Sheet!$E$2:$E$3143, ISNUMBER(
Master_Mapping_Sheet!$E$2:$E$3143),
Master_Mapping_Sheet!$H$2:$H$3143=T$1,
Master_Mapping_Sheet!$B$2:$B$3143=$A43))/sum(filter(
Maste"&amp;"r_Mapping_Sheet!$E$2:$E$3143, ISNUMBER(
Master_Mapping_Sheet!$E$2:$E$3143),
Master_Mapping_Sheet!$B$2:$B$3143=$A43)))"),0.0)</f>
        <v>0</v>
      </c>
      <c r="U43" s="34">
        <f>IFERROR(__xludf.DUMMYFUNCTION("IF(ISNA(sum(filter(
Master_Mapping_Sheet!$E$2:$E$3143, ISNUMBER(
Master_Mapping_Sheet!$E$2:$E$3143),
Master_Mapping_Sheet!$H$2:$H$3143=U$1,
Master_Mapping_Sheet!$B$2:$B$3143=$A43))/sum(filter(
Master_Mapping_Sheet!$E$2:$E$3143, ISNUMBER(
Master_Mapping_Sh"&amp;"eet!$E$2:$E$3143),
Master_Mapping_Sheet!$B$2:$B$3143=$A43))), 0, sum(filter(
Master_Mapping_Sheet!$E$2:$E$3143, ISNUMBER(
Master_Mapping_Sheet!$E$2:$E$3143),
Master_Mapping_Sheet!$H$2:$H$3143=U$1,
Master_Mapping_Sheet!$B$2:$B$3143=$A43))/sum(filter(
Maste"&amp;"r_Mapping_Sheet!$E$2:$E$3143, ISNUMBER(
Master_Mapping_Sheet!$E$2:$E$3143),
Master_Mapping_Sheet!$B$2:$B$3143=$A43)))"),0.9397096543307104)</f>
        <v>0.9397096543</v>
      </c>
      <c r="V43" s="34">
        <f>IFERROR(__xludf.DUMMYFUNCTION("IF(ISNA(sum(filter(
Master_Mapping_Sheet!$E$2:$E$3143, ISNUMBER(
Master_Mapping_Sheet!$E$2:$E$3143),
Master_Mapping_Sheet!$H$2:$H$3143=V$1,
Master_Mapping_Sheet!$B$2:$B$3143=$A43))/sum(filter(
Master_Mapping_Sheet!$E$2:$E$3143, ISNUMBER(
Master_Mapping_Sh"&amp;"eet!$E$2:$E$3143),
Master_Mapping_Sheet!$B$2:$B$3143=$A43))), 0, sum(filter(
Master_Mapping_Sheet!$E$2:$E$3143, ISNUMBER(
Master_Mapping_Sheet!$E$2:$E$3143),
Master_Mapping_Sheet!$H$2:$H$3143=V$1,
Master_Mapping_Sheet!$B$2:$B$3143=$A43))/sum(filter(
Maste"&amp;"r_Mapping_Sheet!$E$2:$E$3143, ISNUMBER(
Master_Mapping_Sheet!$E$2:$E$3143),
Master_Mapping_Sheet!$B$2:$B$3143=$A43)))"),0.0)</f>
        <v>0</v>
      </c>
      <c r="W43" s="34">
        <f>IFERROR(__xludf.DUMMYFUNCTION("IF(ISNA(sum(filter(
Master_Mapping_Sheet!$E$2:$E$3143, ISNUMBER(
Master_Mapping_Sheet!$E$2:$E$3143),
Master_Mapping_Sheet!$H$2:$H$3143=W$1,
Master_Mapping_Sheet!$B$2:$B$3143=$A43))/sum(filter(
Master_Mapping_Sheet!$E$2:$E$3143, ISNUMBER(
Master_Mapping_Sh"&amp;"eet!$E$2:$E$3143),
Master_Mapping_Sheet!$B$2:$B$3143=$A43))), 0, sum(filter(
Master_Mapping_Sheet!$E$2:$E$3143, ISNUMBER(
Master_Mapping_Sheet!$E$2:$E$3143),
Master_Mapping_Sheet!$H$2:$H$3143=W$1,
Master_Mapping_Sheet!$B$2:$B$3143=$A43))/sum(filter(
Maste"&amp;"r_Mapping_Sheet!$E$2:$E$3143, ISNUMBER(
Master_Mapping_Sheet!$E$2:$E$3143),
Master_Mapping_Sheet!$B$2:$B$3143=$A43)))"),0.0)</f>
        <v>0</v>
      </c>
      <c r="X43" s="34">
        <f>IFERROR(__xludf.DUMMYFUNCTION("IF(ISNA(sum(filter(
Master_Mapping_Sheet!$E$2:$E$3143, ISNUMBER(
Master_Mapping_Sheet!$E$2:$E$3143),
Master_Mapping_Sheet!$H$2:$H$3143=X$1,
Master_Mapping_Sheet!$B$2:$B$3143=$A43))/sum(filter(
Master_Mapping_Sheet!$E$2:$E$3143, ISNUMBER(
Master_Mapping_Sh"&amp;"eet!$E$2:$E$3143),
Master_Mapping_Sheet!$B$2:$B$3143=$A43))), 0, sum(filter(
Master_Mapping_Sheet!$E$2:$E$3143, ISNUMBER(
Master_Mapping_Sheet!$E$2:$E$3143),
Master_Mapping_Sheet!$H$2:$H$3143=X$1,
Master_Mapping_Sheet!$B$2:$B$3143=$A43))/sum(filter(
Maste"&amp;"r_Mapping_Sheet!$E$2:$E$3143, ISNUMBER(
Master_Mapping_Sheet!$E$2:$E$3143),
Master_Mapping_Sheet!$B$2:$B$3143=$A43)))"),0.0)</f>
        <v>0</v>
      </c>
      <c r="Y43" s="34">
        <f>IFERROR(__xludf.DUMMYFUNCTION("IF(ISNA(sum(filter(
Master_Mapping_Sheet!$E$2:$E$3143, ISNUMBER(
Master_Mapping_Sheet!$E$2:$E$3143),
Master_Mapping_Sheet!$H$2:$H$3143=Y$1,
Master_Mapping_Sheet!$B$2:$B$3143=$A43))/sum(filter(
Master_Mapping_Sheet!$E$2:$E$3143, ISNUMBER(
Master_Mapping_Sh"&amp;"eet!$E$2:$E$3143),
Master_Mapping_Sheet!$B$2:$B$3143=$A43))), 0, sum(filter(
Master_Mapping_Sheet!$E$2:$E$3143, ISNUMBER(
Master_Mapping_Sheet!$E$2:$E$3143),
Master_Mapping_Sheet!$H$2:$H$3143=Y$1,
Master_Mapping_Sheet!$B$2:$B$3143=$A43))/sum(filter(
Maste"&amp;"r_Mapping_Sheet!$E$2:$E$3143, ISNUMBER(
Master_Mapping_Sheet!$E$2:$E$3143),
Master_Mapping_Sheet!$B$2:$B$3143=$A43)))"),0.0)</f>
        <v>0</v>
      </c>
      <c r="Z43" s="34">
        <f>IFERROR(__xludf.DUMMYFUNCTION("IF(ISNA(sum(filter(
Master_Mapping_Sheet!$E$2:$E$3143, ISNUMBER(
Master_Mapping_Sheet!$E$2:$E$3143),
Master_Mapping_Sheet!$H$2:$H$3143=Z$1,
Master_Mapping_Sheet!$B$2:$B$3143=$A43))/sum(filter(
Master_Mapping_Sheet!$E$2:$E$3143, ISNUMBER(
Master_Mapping_Sh"&amp;"eet!$E$2:$E$3143),
Master_Mapping_Sheet!$B$2:$B$3143=$A43))), 0, sum(filter(
Master_Mapping_Sheet!$E$2:$E$3143, ISNUMBER(
Master_Mapping_Sheet!$E$2:$E$3143),
Master_Mapping_Sheet!$H$2:$H$3143=Z$1,
Master_Mapping_Sheet!$B$2:$B$3143=$A43))/sum(filter(
Maste"&amp;"r_Mapping_Sheet!$E$2:$E$3143, ISNUMBER(
Master_Mapping_Sheet!$E$2:$E$3143),
Master_Mapping_Sheet!$B$2:$B$3143=$A43)))"),0.060290345669289626)</f>
        <v>0.06029034567</v>
      </c>
      <c r="AA43" s="34">
        <f>IFERROR(__xludf.DUMMYFUNCTION("IF(ISNA(sum(filter(
Master_Mapping_Sheet!$E$2:$E$3143, ISNUMBER(
Master_Mapping_Sheet!$E$2:$E$3143),
Master_Mapping_Sheet!$H$2:$H$3143=AA$1,
Master_Mapping_Sheet!$B$2:$B$3143=$A43))/sum(filter(
Master_Mapping_Sheet!$E$2:$E$3143, ISNUMBER(
Master_Mapping_S"&amp;"heet!$E$2:$E$3143),
Master_Mapping_Sheet!$B$2:$B$3143=$A43))), 0, sum(filter(
Master_Mapping_Sheet!$E$2:$E$3143, ISNUMBER(
Master_Mapping_Sheet!$E$2:$E$3143),
Master_Mapping_Sheet!$H$2:$H$3143=AA$1,
Master_Mapping_Sheet!$B$2:$B$3143=$A43))/sum(filter(
Mas"&amp;"ter_Mapping_Sheet!$E$2:$E$3143, ISNUMBER(
Master_Mapping_Sheet!$E$2:$E$3143),
Master_Mapping_Sheet!$B$2:$B$3143=$A43)))"),0.0)</f>
        <v>0</v>
      </c>
    </row>
    <row r="44" ht="15.75" customHeight="1">
      <c r="A44" s="34" t="s">
        <v>1616</v>
      </c>
      <c r="B44" s="34" t="s">
        <v>3497</v>
      </c>
      <c r="C44" s="34">
        <f>IFERROR(__xludf.DUMMYFUNCTION("IF(ISNA(sum(filter(
Master_Mapping_Sheet!$E$2:$E$3143, ISNUMBER(
Master_Mapping_Sheet!$E$2:$E$3143),
Master_Mapping_Sheet!$H$2:$H$3143=C$1,
Master_Mapping_Sheet!$B$2:$B$3143=$A44))/sum(filter(
Master_Mapping_Sheet!$E$2:$E$3143, ISNUMBER(
Master_Mapping_Sh"&amp;"eet!$E$2:$E$3143),
Master_Mapping_Sheet!$B$2:$B$3143=$A44))), 0, sum(filter(
Master_Mapping_Sheet!$E$2:$E$3143, ISNUMBER(
Master_Mapping_Sheet!$E$2:$E$3143),
Master_Mapping_Sheet!$H$2:$H$3143=C$1,
Master_Mapping_Sheet!$B$2:$B$3143=$A44))/sum(filter(
Maste"&amp;"r_Mapping_Sheet!$E$2:$E$3143, ISNUMBER(
Master_Mapping_Sheet!$E$2:$E$3143),
Master_Mapping_Sheet!$B$2:$B$3143=$A44)))"),0.0)</f>
        <v>0</v>
      </c>
      <c r="D44" s="32">
        <f>IFERROR(__xludf.DUMMYFUNCTION("IF(ISNA(sum(filter(
Master_Mapping_Sheet!$E$2:$E$3143, ISNUMBER(
Master_Mapping_Sheet!$E$2:$E$3143),
Master_Mapping_Sheet!$H$2:$H$3143=D$1,
Master_Mapping_Sheet!$B$2:$B$3143=$A44))/sum(filter(
Master_Mapping_Sheet!$E$2:$E$3143, ISNUMBER(
Master_Mapping_Sh"&amp;"eet!$E$2:$E$3143),
Master_Mapping_Sheet!$B$2:$B$3143=$A44))), 0, sum(filter(
Master_Mapping_Sheet!$E$2:$E$3143, ISNUMBER(
Master_Mapping_Sheet!$E$2:$E$3143),
Master_Mapping_Sheet!$H$2:$H$3143=D$1,
Master_Mapping_Sheet!$B$2:$B$3143=$A44))/sum(filter(
Maste"&amp;"r_Mapping_Sheet!$E$2:$E$3143, ISNUMBER(
Master_Mapping_Sheet!$E$2:$E$3143),
Master_Mapping_Sheet!$B$2:$B$3143=$A44)))"),0.0)</f>
        <v>0</v>
      </c>
      <c r="E44" s="34">
        <f>IFERROR(__xludf.DUMMYFUNCTION("IF(ISNA(sum(filter(
Master_Mapping_Sheet!$E$2:$E$3143, ISNUMBER(
Master_Mapping_Sheet!$E$2:$E$3143),
Master_Mapping_Sheet!$H$2:$H$3143=E$1,
Master_Mapping_Sheet!$B$2:$B$3143=$A44))/sum(filter(
Master_Mapping_Sheet!$E$2:$E$3143, ISNUMBER(
Master_Mapping_Sh"&amp;"eet!$E$2:$E$3143),
Master_Mapping_Sheet!$B$2:$B$3143=$A44))), 0, sum(filter(
Master_Mapping_Sheet!$E$2:$E$3143, ISNUMBER(
Master_Mapping_Sheet!$E$2:$E$3143),
Master_Mapping_Sheet!$H$2:$H$3143=E$1,
Master_Mapping_Sheet!$B$2:$B$3143=$A44))/sum(filter(
Maste"&amp;"r_Mapping_Sheet!$E$2:$E$3143, ISNUMBER(
Master_Mapping_Sheet!$E$2:$E$3143),
Master_Mapping_Sheet!$B$2:$B$3143=$A44)))"),0.0)</f>
        <v>0</v>
      </c>
      <c r="F44" s="34">
        <f>IFERROR(__xludf.DUMMYFUNCTION("IF(ISNA(sum(filter(
Master_Mapping_Sheet!$E$2:$E$3143, ISNUMBER(
Master_Mapping_Sheet!$E$2:$E$3143),
Master_Mapping_Sheet!$H$2:$H$3143=F$1,
Master_Mapping_Sheet!$B$2:$B$3143=$A44))/sum(filter(
Master_Mapping_Sheet!$E$2:$E$3143, ISNUMBER(
Master_Mapping_Sh"&amp;"eet!$E$2:$E$3143),
Master_Mapping_Sheet!$B$2:$B$3143=$A44))), 0, sum(filter(
Master_Mapping_Sheet!$E$2:$E$3143, ISNUMBER(
Master_Mapping_Sheet!$E$2:$E$3143),
Master_Mapping_Sheet!$H$2:$H$3143=F$1,
Master_Mapping_Sheet!$B$2:$B$3143=$A44))/sum(filter(
Maste"&amp;"r_Mapping_Sheet!$E$2:$E$3143, ISNUMBER(
Master_Mapping_Sheet!$E$2:$E$3143),
Master_Mapping_Sheet!$B$2:$B$3143=$A44)))"),0.0)</f>
        <v>0</v>
      </c>
      <c r="G44" s="34">
        <f>IFERROR(__xludf.DUMMYFUNCTION("IF(ISNA(sum(filter(
Master_Mapping_Sheet!$E$2:$E$3143, ISNUMBER(
Master_Mapping_Sheet!$E$2:$E$3143),
Master_Mapping_Sheet!$H$2:$H$3143=G$1,
Master_Mapping_Sheet!$B$2:$B$3143=$A44))/sum(filter(
Master_Mapping_Sheet!$E$2:$E$3143, ISNUMBER(
Master_Mapping_Sh"&amp;"eet!$E$2:$E$3143),
Master_Mapping_Sheet!$B$2:$B$3143=$A44))), 0, sum(filter(
Master_Mapping_Sheet!$E$2:$E$3143, ISNUMBER(
Master_Mapping_Sheet!$E$2:$E$3143),
Master_Mapping_Sheet!$H$2:$H$3143=G$1,
Master_Mapping_Sheet!$B$2:$B$3143=$A44))/sum(filter(
Maste"&amp;"r_Mapping_Sheet!$E$2:$E$3143, ISNUMBER(
Master_Mapping_Sheet!$E$2:$E$3143),
Master_Mapping_Sheet!$B$2:$B$3143=$A44)))"),0.0)</f>
        <v>0</v>
      </c>
      <c r="H44" s="34">
        <f>IFERROR(__xludf.DUMMYFUNCTION("IF(ISNA(sum(filter(
Master_Mapping_Sheet!$E$2:$E$3143, ISNUMBER(
Master_Mapping_Sheet!$E$2:$E$3143),
Master_Mapping_Sheet!$H$2:$H$3143=H$1,
Master_Mapping_Sheet!$B$2:$B$3143=$A44))/sum(filter(
Master_Mapping_Sheet!$E$2:$E$3143, ISNUMBER(
Master_Mapping_Sh"&amp;"eet!$E$2:$E$3143),
Master_Mapping_Sheet!$B$2:$B$3143=$A44))), 0, sum(filter(
Master_Mapping_Sheet!$E$2:$E$3143, ISNUMBER(
Master_Mapping_Sheet!$E$2:$E$3143),
Master_Mapping_Sheet!$H$2:$H$3143=H$1,
Master_Mapping_Sheet!$B$2:$B$3143=$A44))/sum(filter(
Maste"&amp;"r_Mapping_Sheet!$E$2:$E$3143, ISNUMBER(
Master_Mapping_Sheet!$E$2:$E$3143),
Master_Mapping_Sheet!$B$2:$B$3143=$A44)))"),0.0)</f>
        <v>0</v>
      </c>
      <c r="I44" s="34">
        <f>IFERROR(__xludf.DUMMYFUNCTION("IF(ISNA(sum(filter(
Master_Mapping_Sheet!$E$2:$E$3143, ISNUMBER(
Master_Mapping_Sheet!$E$2:$E$3143),
Master_Mapping_Sheet!$H$2:$H$3143=I$1,
Master_Mapping_Sheet!$B$2:$B$3143=$A44))/sum(filter(
Master_Mapping_Sheet!$E$2:$E$3143, ISNUMBER(
Master_Mapping_Sh"&amp;"eet!$E$2:$E$3143),
Master_Mapping_Sheet!$B$2:$B$3143=$A44))), 0, sum(filter(
Master_Mapping_Sheet!$E$2:$E$3143, ISNUMBER(
Master_Mapping_Sheet!$E$2:$E$3143),
Master_Mapping_Sheet!$H$2:$H$3143=I$1,
Master_Mapping_Sheet!$B$2:$B$3143=$A44))/sum(filter(
Maste"&amp;"r_Mapping_Sheet!$E$2:$E$3143, ISNUMBER(
Master_Mapping_Sheet!$E$2:$E$3143),
Master_Mapping_Sheet!$B$2:$B$3143=$A44)))"),0.0)</f>
        <v>0</v>
      </c>
      <c r="J44" s="34">
        <f>IFERROR(__xludf.DUMMYFUNCTION("IF(ISNA(sum(filter(
Master_Mapping_Sheet!$E$2:$E$3143, ISNUMBER(
Master_Mapping_Sheet!$E$2:$E$3143),
Master_Mapping_Sheet!$H$2:$H$3143=J$1,
Master_Mapping_Sheet!$B$2:$B$3143=$A44))/sum(filter(
Master_Mapping_Sheet!$E$2:$E$3143, ISNUMBER(
Master_Mapping_Sh"&amp;"eet!$E$2:$E$3143),
Master_Mapping_Sheet!$B$2:$B$3143=$A44))), 0, sum(filter(
Master_Mapping_Sheet!$E$2:$E$3143, ISNUMBER(
Master_Mapping_Sheet!$E$2:$E$3143),
Master_Mapping_Sheet!$H$2:$H$3143=J$1,
Master_Mapping_Sheet!$B$2:$B$3143=$A44))/sum(filter(
Maste"&amp;"r_Mapping_Sheet!$E$2:$E$3143, ISNUMBER(
Master_Mapping_Sheet!$E$2:$E$3143),
Master_Mapping_Sheet!$B$2:$B$3143=$A44)))"),0.0)</f>
        <v>0</v>
      </c>
      <c r="K44" s="34">
        <f>IFERROR(__xludf.DUMMYFUNCTION("IF(ISNA(sum(filter(
Master_Mapping_Sheet!$E$2:$E$3143, ISNUMBER(
Master_Mapping_Sheet!$E$2:$E$3143),
Master_Mapping_Sheet!$H$2:$H$3143=K$1,
Master_Mapping_Sheet!$B$2:$B$3143=$A44))/sum(filter(
Master_Mapping_Sheet!$E$2:$E$3143, ISNUMBER(
Master_Mapping_Sh"&amp;"eet!$E$2:$E$3143),
Master_Mapping_Sheet!$B$2:$B$3143=$A44))), 0, sum(filter(
Master_Mapping_Sheet!$E$2:$E$3143, ISNUMBER(
Master_Mapping_Sheet!$E$2:$E$3143),
Master_Mapping_Sheet!$H$2:$H$3143=K$1,
Master_Mapping_Sheet!$B$2:$B$3143=$A44))/sum(filter(
Maste"&amp;"r_Mapping_Sheet!$E$2:$E$3143, ISNUMBER(
Master_Mapping_Sheet!$E$2:$E$3143),
Master_Mapping_Sheet!$B$2:$B$3143=$A44)))"),0.0)</f>
        <v>0</v>
      </c>
      <c r="L44" s="34">
        <f>IFERROR(__xludf.DUMMYFUNCTION("IF(ISNA(sum(filter(
Master_Mapping_Sheet!$E$2:$E$3143, ISNUMBER(
Master_Mapping_Sheet!$E$2:$E$3143),
Master_Mapping_Sheet!$H$2:$H$3143=L$1,
Master_Mapping_Sheet!$B$2:$B$3143=$A44))/sum(filter(
Master_Mapping_Sheet!$E$2:$E$3143, ISNUMBER(
Master_Mapping_Sh"&amp;"eet!$E$2:$E$3143),
Master_Mapping_Sheet!$B$2:$B$3143=$A44))), 0, sum(filter(
Master_Mapping_Sheet!$E$2:$E$3143, ISNUMBER(
Master_Mapping_Sheet!$E$2:$E$3143),
Master_Mapping_Sheet!$H$2:$H$3143=L$1,
Master_Mapping_Sheet!$B$2:$B$3143=$A44))/sum(filter(
Maste"&amp;"r_Mapping_Sheet!$E$2:$E$3143, ISNUMBER(
Master_Mapping_Sheet!$E$2:$E$3143),
Master_Mapping_Sheet!$B$2:$B$3143=$A44)))"),0.0)</f>
        <v>0</v>
      </c>
      <c r="M44" s="34">
        <f>IFERROR(__xludf.DUMMYFUNCTION("IF(ISNA(sum(filter(
Master_Mapping_Sheet!$E$2:$E$3143, ISNUMBER(
Master_Mapping_Sheet!$E$2:$E$3143),
Master_Mapping_Sheet!$H$2:$H$3143=M$1,
Master_Mapping_Sheet!$B$2:$B$3143=$A44))/sum(filter(
Master_Mapping_Sheet!$E$2:$E$3143, ISNUMBER(
Master_Mapping_Sh"&amp;"eet!$E$2:$E$3143),
Master_Mapping_Sheet!$B$2:$B$3143=$A44))), 0, sum(filter(
Master_Mapping_Sheet!$E$2:$E$3143, ISNUMBER(
Master_Mapping_Sheet!$E$2:$E$3143),
Master_Mapping_Sheet!$H$2:$H$3143=M$1,
Master_Mapping_Sheet!$B$2:$B$3143=$A44))/sum(filter(
Maste"&amp;"r_Mapping_Sheet!$E$2:$E$3143, ISNUMBER(
Master_Mapping_Sheet!$E$2:$E$3143),
Master_Mapping_Sheet!$B$2:$B$3143=$A44)))"),0.0)</f>
        <v>0</v>
      </c>
      <c r="N44" s="34">
        <f>IFERROR(__xludf.DUMMYFUNCTION("IF(ISNA(sum(filter(
Master_Mapping_Sheet!$E$2:$E$3143, ISNUMBER(
Master_Mapping_Sheet!$E$2:$E$3143),
Master_Mapping_Sheet!$H$2:$H$3143=N$1,
Master_Mapping_Sheet!$B$2:$B$3143=$A44))/sum(filter(
Master_Mapping_Sheet!$E$2:$E$3143, ISNUMBER(
Master_Mapping_Sh"&amp;"eet!$E$2:$E$3143),
Master_Mapping_Sheet!$B$2:$B$3143=$A44))), 0, sum(filter(
Master_Mapping_Sheet!$E$2:$E$3143, ISNUMBER(
Master_Mapping_Sheet!$E$2:$E$3143),
Master_Mapping_Sheet!$H$2:$H$3143=N$1,
Master_Mapping_Sheet!$B$2:$B$3143=$A44))/sum(filter(
Maste"&amp;"r_Mapping_Sheet!$E$2:$E$3143, ISNUMBER(
Master_Mapping_Sheet!$E$2:$E$3143),
Master_Mapping_Sheet!$B$2:$B$3143=$A44)))"),0.0)</f>
        <v>0</v>
      </c>
      <c r="O44" s="34">
        <f>IFERROR(__xludf.DUMMYFUNCTION("IF(ISNA(sum(filter(
Master_Mapping_Sheet!$E$2:$E$3143, ISNUMBER(
Master_Mapping_Sheet!$E$2:$E$3143),
Master_Mapping_Sheet!$H$2:$H$3143=O$1,
Master_Mapping_Sheet!$B$2:$B$3143=$A44))/sum(filter(
Master_Mapping_Sheet!$E$2:$E$3143, ISNUMBER(
Master_Mapping_Sh"&amp;"eet!$E$2:$E$3143),
Master_Mapping_Sheet!$B$2:$B$3143=$A44))), 0, sum(filter(
Master_Mapping_Sheet!$E$2:$E$3143, ISNUMBER(
Master_Mapping_Sheet!$E$2:$E$3143),
Master_Mapping_Sheet!$H$2:$H$3143=O$1,
Master_Mapping_Sheet!$B$2:$B$3143=$A44))/sum(filter(
Maste"&amp;"r_Mapping_Sheet!$E$2:$E$3143, ISNUMBER(
Master_Mapping_Sheet!$E$2:$E$3143),
Master_Mapping_Sheet!$B$2:$B$3143=$A44)))"),0.0)</f>
        <v>0</v>
      </c>
      <c r="P44" s="34">
        <f>IFERROR(__xludf.DUMMYFUNCTION("IF(ISNA(sum(filter(
Master_Mapping_Sheet!$E$2:$E$3143, ISNUMBER(
Master_Mapping_Sheet!$E$2:$E$3143),
Master_Mapping_Sheet!$H$2:$H$3143=P$1,
Master_Mapping_Sheet!$B$2:$B$3143=$A44))/sum(filter(
Master_Mapping_Sheet!$E$2:$E$3143, ISNUMBER(
Master_Mapping_Sh"&amp;"eet!$E$2:$E$3143),
Master_Mapping_Sheet!$B$2:$B$3143=$A44))), 0, sum(filter(
Master_Mapping_Sheet!$E$2:$E$3143, ISNUMBER(
Master_Mapping_Sheet!$E$2:$E$3143),
Master_Mapping_Sheet!$H$2:$H$3143=P$1,
Master_Mapping_Sheet!$B$2:$B$3143=$A44))/sum(filter(
Maste"&amp;"r_Mapping_Sheet!$E$2:$E$3143, ISNUMBER(
Master_Mapping_Sheet!$E$2:$E$3143),
Master_Mapping_Sheet!$B$2:$B$3143=$A44)))"),0.0)</f>
        <v>0</v>
      </c>
      <c r="Q44" s="34">
        <f>IFERROR(__xludf.DUMMYFUNCTION("IF(ISNA(sum(filter(
Master_Mapping_Sheet!$E$2:$E$3143, ISNUMBER(
Master_Mapping_Sheet!$E$2:$E$3143),
Master_Mapping_Sheet!$H$2:$H$3143=Q$1,
Master_Mapping_Sheet!$B$2:$B$3143=$A44))/sum(filter(
Master_Mapping_Sheet!$E$2:$E$3143, ISNUMBER(
Master_Mapping_Sh"&amp;"eet!$E$2:$E$3143),
Master_Mapping_Sheet!$B$2:$B$3143=$A44))), 0, sum(filter(
Master_Mapping_Sheet!$E$2:$E$3143, ISNUMBER(
Master_Mapping_Sheet!$E$2:$E$3143),
Master_Mapping_Sheet!$H$2:$H$3143=Q$1,
Master_Mapping_Sheet!$B$2:$B$3143=$A44))/sum(filter(
Maste"&amp;"r_Mapping_Sheet!$E$2:$E$3143, ISNUMBER(
Master_Mapping_Sheet!$E$2:$E$3143),
Master_Mapping_Sheet!$B$2:$B$3143=$A44)))"),0.0)</f>
        <v>0</v>
      </c>
      <c r="R44" s="34">
        <f>IFERROR(__xludf.DUMMYFUNCTION("IF(ISNA(sum(filter(
Master_Mapping_Sheet!$E$2:$E$3143, ISNUMBER(
Master_Mapping_Sheet!$E$2:$E$3143),
Master_Mapping_Sheet!$H$2:$H$3143=R$1,
Master_Mapping_Sheet!$B$2:$B$3143=$A44))/sum(filter(
Master_Mapping_Sheet!$E$2:$E$3143, ISNUMBER(
Master_Mapping_Sh"&amp;"eet!$E$2:$E$3143),
Master_Mapping_Sheet!$B$2:$B$3143=$A44))), 0, sum(filter(
Master_Mapping_Sheet!$E$2:$E$3143, ISNUMBER(
Master_Mapping_Sheet!$E$2:$E$3143),
Master_Mapping_Sheet!$H$2:$H$3143=R$1,
Master_Mapping_Sheet!$B$2:$B$3143=$A44))/sum(filter(
Maste"&amp;"r_Mapping_Sheet!$E$2:$E$3143, ISNUMBER(
Master_Mapping_Sheet!$E$2:$E$3143),
Master_Mapping_Sheet!$B$2:$B$3143=$A44)))"),1.0)</f>
        <v>1</v>
      </c>
      <c r="S44" s="34">
        <f>IFERROR(__xludf.DUMMYFUNCTION("IF(ISNA(sum(filter(
Master_Mapping_Sheet!$E$2:$E$3143, ISNUMBER(
Master_Mapping_Sheet!$E$2:$E$3143),
Master_Mapping_Sheet!$H$2:$H$3143=S$1,
Master_Mapping_Sheet!$B$2:$B$3143=$A44))/sum(filter(
Master_Mapping_Sheet!$E$2:$E$3143, ISNUMBER(
Master_Mapping_Sh"&amp;"eet!$E$2:$E$3143),
Master_Mapping_Sheet!$B$2:$B$3143=$A44))), 0, sum(filter(
Master_Mapping_Sheet!$E$2:$E$3143, ISNUMBER(
Master_Mapping_Sheet!$E$2:$E$3143),
Master_Mapping_Sheet!$H$2:$H$3143=S$1,
Master_Mapping_Sheet!$B$2:$B$3143=$A44))/sum(filter(
Maste"&amp;"r_Mapping_Sheet!$E$2:$E$3143, ISNUMBER(
Master_Mapping_Sheet!$E$2:$E$3143),
Master_Mapping_Sheet!$B$2:$B$3143=$A44)))"),0.0)</f>
        <v>0</v>
      </c>
      <c r="T44" s="34">
        <f>IFERROR(__xludf.DUMMYFUNCTION("IF(ISNA(sum(filter(
Master_Mapping_Sheet!$E$2:$E$3143, ISNUMBER(
Master_Mapping_Sheet!$E$2:$E$3143),
Master_Mapping_Sheet!$H$2:$H$3143=T$1,
Master_Mapping_Sheet!$B$2:$B$3143=$A44))/sum(filter(
Master_Mapping_Sheet!$E$2:$E$3143, ISNUMBER(
Master_Mapping_Sh"&amp;"eet!$E$2:$E$3143),
Master_Mapping_Sheet!$B$2:$B$3143=$A44))), 0, sum(filter(
Master_Mapping_Sheet!$E$2:$E$3143, ISNUMBER(
Master_Mapping_Sheet!$E$2:$E$3143),
Master_Mapping_Sheet!$H$2:$H$3143=T$1,
Master_Mapping_Sheet!$B$2:$B$3143=$A44))/sum(filter(
Maste"&amp;"r_Mapping_Sheet!$E$2:$E$3143, ISNUMBER(
Master_Mapping_Sheet!$E$2:$E$3143),
Master_Mapping_Sheet!$B$2:$B$3143=$A44)))"),0.0)</f>
        <v>0</v>
      </c>
      <c r="U44" s="34">
        <f>IFERROR(__xludf.DUMMYFUNCTION("IF(ISNA(sum(filter(
Master_Mapping_Sheet!$E$2:$E$3143, ISNUMBER(
Master_Mapping_Sheet!$E$2:$E$3143),
Master_Mapping_Sheet!$H$2:$H$3143=U$1,
Master_Mapping_Sheet!$B$2:$B$3143=$A44))/sum(filter(
Master_Mapping_Sheet!$E$2:$E$3143, ISNUMBER(
Master_Mapping_Sh"&amp;"eet!$E$2:$E$3143),
Master_Mapping_Sheet!$B$2:$B$3143=$A44))), 0, sum(filter(
Master_Mapping_Sheet!$E$2:$E$3143, ISNUMBER(
Master_Mapping_Sheet!$E$2:$E$3143),
Master_Mapping_Sheet!$H$2:$H$3143=U$1,
Master_Mapping_Sheet!$B$2:$B$3143=$A44))/sum(filter(
Maste"&amp;"r_Mapping_Sheet!$E$2:$E$3143, ISNUMBER(
Master_Mapping_Sheet!$E$2:$E$3143),
Master_Mapping_Sheet!$B$2:$B$3143=$A44)))"),0.0)</f>
        <v>0</v>
      </c>
      <c r="V44" s="34">
        <f>IFERROR(__xludf.DUMMYFUNCTION("IF(ISNA(sum(filter(
Master_Mapping_Sheet!$E$2:$E$3143, ISNUMBER(
Master_Mapping_Sheet!$E$2:$E$3143),
Master_Mapping_Sheet!$H$2:$H$3143=V$1,
Master_Mapping_Sheet!$B$2:$B$3143=$A44))/sum(filter(
Master_Mapping_Sheet!$E$2:$E$3143, ISNUMBER(
Master_Mapping_Sh"&amp;"eet!$E$2:$E$3143),
Master_Mapping_Sheet!$B$2:$B$3143=$A44))), 0, sum(filter(
Master_Mapping_Sheet!$E$2:$E$3143, ISNUMBER(
Master_Mapping_Sheet!$E$2:$E$3143),
Master_Mapping_Sheet!$H$2:$H$3143=V$1,
Master_Mapping_Sheet!$B$2:$B$3143=$A44))/sum(filter(
Maste"&amp;"r_Mapping_Sheet!$E$2:$E$3143, ISNUMBER(
Master_Mapping_Sheet!$E$2:$E$3143),
Master_Mapping_Sheet!$B$2:$B$3143=$A44)))"),0.0)</f>
        <v>0</v>
      </c>
      <c r="W44" s="34">
        <f>IFERROR(__xludf.DUMMYFUNCTION("IF(ISNA(sum(filter(
Master_Mapping_Sheet!$E$2:$E$3143, ISNUMBER(
Master_Mapping_Sheet!$E$2:$E$3143),
Master_Mapping_Sheet!$H$2:$H$3143=W$1,
Master_Mapping_Sheet!$B$2:$B$3143=$A44))/sum(filter(
Master_Mapping_Sheet!$E$2:$E$3143, ISNUMBER(
Master_Mapping_Sh"&amp;"eet!$E$2:$E$3143),
Master_Mapping_Sheet!$B$2:$B$3143=$A44))), 0, sum(filter(
Master_Mapping_Sheet!$E$2:$E$3143, ISNUMBER(
Master_Mapping_Sheet!$E$2:$E$3143),
Master_Mapping_Sheet!$H$2:$H$3143=W$1,
Master_Mapping_Sheet!$B$2:$B$3143=$A44))/sum(filter(
Maste"&amp;"r_Mapping_Sheet!$E$2:$E$3143, ISNUMBER(
Master_Mapping_Sheet!$E$2:$E$3143),
Master_Mapping_Sheet!$B$2:$B$3143=$A44)))"),0.0)</f>
        <v>0</v>
      </c>
      <c r="X44" s="34">
        <f>IFERROR(__xludf.DUMMYFUNCTION("IF(ISNA(sum(filter(
Master_Mapping_Sheet!$E$2:$E$3143, ISNUMBER(
Master_Mapping_Sheet!$E$2:$E$3143),
Master_Mapping_Sheet!$H$2:$H$3143=X$1,
Master_Mapping_Sheet!$B$2:$B$3143=$A44))/sum(filter(
Master_Mapping_Sheet!$E$2:$E$3143, ISNUMBER(
Master_Mapping_Sh"&amp;"eet!$E$2:$E$3143),
Master_Mapping_Sheet!$B$2:$B$3143=$A44))), 0, sum(filter(
Master_Mapping_Sheet!$E$2:$E$3143, ISNUMBER(
Master_Mapping_Sheet!$E$2:$E$3143),
Master_Mapping_Sheet!$H$2:$H$3143=X$1,
Master_Mapping_Sheet!$B$2:$B$3143=$A44))/sum(filter(
Maste"&amp;"r_Mapping_Sheet!$E$2:$E$3143, ISNUMBER(
Master_Mapping_Sheet!$E$2:$E$3143),
Master_Mapping_Sheet!$B$2:$B$3143=$A44)))"),0.0)</f>
        <v>0</v>
      </c>
      <c r="Y44" s="34">
        <f>IFERROR(__xludf.DUMMYFUNCTION("IF(ISNA(sum(filter(
Master_Mapping_Sheet!$E$2:$E$3143, ISNUMBER(
Master_Mapping_Sheet!$E$2:$E$3143),
Master_Mapping_Sheet!$H$2:$H$3143=Y$1,
Master_Mapping_Sheet!$B$2:$B$3143=$A44))/sum(filter(
Master_Mapping_Sheet!$E$2:$E$3143, ISNUMBER(
Master_Mapping_Sh"&amp;"eet!$E$2:$E$3143),
Master_Mapping_Sheet!$B$2:$B$3143=$A44))), 0, sum(filter(
Master_Mapping_Sheet!$E$2:$E$3143, ISNUMBER(
Master_Mapping_Sheet!$E$2:$E$3143),
Master_Mapping_Sheet!$H$2:$H$3143=Y$1,
Master_Mapping_Sheet!$B$2:$B$3143=$A44))/sum(filter(
Maste"&amp;"r_Mapping_Sheet!$E$2:$E$3143, ISNUMBER(
Master_Mapping_Sheet!$E$2:$E$3143),
Master_Mapping_Sheet!$B$2:$B$3143=$A44)))"),0.0)</f>
        <v>0</v>
      </c>
      <c r="Z44" s="34">
        <f>IFERROR(__xludf.DUMMYFUNCTION("IF(ISNA(sum(filter(
Master_Mapping_Sheet!$E$2:$E$3143, ISNUMBER(
Master_Mapping_Sheet!$E$2:$E$3143),
Master_Mapping_Sheet!$H$2:$H$3143=Z$1,
Master_Mapping_Sheet!$B$2:$B$3143=$A44))/sum(filter(
Master_Mapping_Sheet!$E$2:$E$3143, ISNUMBER(
Master_Mapping_Sh"&amp;"eet!$E$2:$E$3143),
Master_Mapping_Sheet!$B$2:$B$3143=$A44))), 0, sum(filter(
Master_Mapping_Sheet!$E$2:$E$3143, ISNUMBER(
Master_Mapping_Sheet!$E$2:$E$3143),
Master_Mapping_Sheet!$H$2:$H$3143=Z$1,
Master_Mapping_Sheet!$B$2:$B$3143=$A44))/sum(filter(
Maste"&amp;"r_Mapping_Sheet!$E$2:$E$3143, ISNUMBER(
Master_Mapping_Sheet!$E$2:$E$3143),
Master_Mapping_Sheet!$B$2:$B$3143=$A44)))"),0.0)</f>
        <v>0</v>
      </c>
      <c r="AA44" s="34">
        <f>IFERROR(__xludf.DUMMYFUNCTION("IF(ISNA(sum(filter(
Master_Mapping_Sheet!$E$2:$E$3143, ISNUMBER(
Master_Mapping_Sheet!$E$2:$E$3143),
Master_Mapping_Sheet!$H$2:$H$3143=AA$1,
Master_Mapping_Sheet!$B$2:$B$3143=$A44))/sum(filter(
Master_Mapping_Sheet!$E$2:$E$3143, ISNUMBER(
Master_Mapping_S"&amp;"heet!$E$2:$E$3143),
Master_Mapping_Sheet!$B$2:$B$3143=$A44))), 0, sum(filter(
Master_Mapping_Sheet!$E$2:$E$3143, ISNUMBER(
Master_Mapping_Sheet!$E$2:$E$3143),
Master_Mapping_Sheet!$H$2:$H$3143=AA$1,
Master_Mapping_Sheet!$B$2:$B$3143=$A44))/sum(filter(
Mas"&amp;"ter_Mapping_Sheet!$E$2:$E$3143, ISNUMBER(
Master_Mapping_Sheet!$E$2:$E$3143),
Master_Mapping_Sheet!$B$2:$B$3143=$A44)))"),0.0)</f>
        <v>0</v>
      </c>
    </row>
    <row r="45" ht="15.75" customHeight="1">
      <c r="A45" s="34" t="s">
        <v>1159</v>
      </c>
      <c r="B45" s="34" t="s">
        <v>3524</v>
      </c>
      <c r="C45" s="34">
        <f>IFERROR(__xludf.DUMMYFUNCTION("IF(ISNA(sum(filter(
Master_Mapping_Sheet!$E$2:$E$3143, ISNUMBER(
Master_Mapping_Sheet!$E$2:$E$3143),
Master_Mapping_Sheet!$H$2:$H$3143=C$1,
Master_Mapping_Sheet!$B$2:$B$3143=$A45))/sum(filter(
Master_Mapping_Sheet!$E$2:$E$3143, ISNUMBER(
Master_Mapping_Sh"&amp;"eet!$E$2:$E$3143),
Master_Mapping_Sheet!$B$2:$B$3143=$A45))), 0, sum(filter(
Master_Mapping_Sheet!$E$2:$E$3143, ISNUMBER(
Master_Mapping_Sheet!$E$2:$E$3143),
Master_Mapping_Sheet!$H$2:$H$3143=C$1,
Master_Mapping_Sheet!$B$2:$B$3143=$A45))/sum(filter(
Maste"&amp;"r_Mapping_Sheet!$E$2:$E$3143, ISNUMBER(
Master_Mapping_Sheet!$E$2:$E$3143),
Master_Mapping_Sheet!$B$2:$B$3143=$A45)))"),0.8641373273010682)</f>
        <v>0.8641373273</v>
      </c>
      <c r="D45" s="32">
        <f>IFERROR(__xludf.DUMMYFUNCTION("IF(ISNA(sum(filter(
Master_Mapping_Sheet!$E$2:$E$3143, ISNUMBER(
Master_Mapping_Sheet!$E$2:$E$3143),
Master_Mapping_Sheet!$H$2:$H$3143=D$1,
Master_Mapping_Sheet!$B$2:$B$3143=$A45))/sum(filter(
Master_Mapping_Sheet!$E$2:$E$3143, ISNUMBER(
Master_Mapping_Sh"&amp;"eet!$E$2:$E$3143),
Master_Mapping_Sheet!$B$2:$B$3143=$A45))), 0, sum(filter(
Master_Mapping_Sheet!$E$2:$E$3143, ISNUMBER(
Master_Mapping_Sheet!$E$2:$E$3143),
Master_Mapping_Sheet!$H$2:$H$3143=D$1,
Master_Mapping_Sheet!$B$2:$B$3143=$A45))/sum(filter(
Maste"&amp;"r_Mapping_Sheet!$E$2:$E$3143, ISNUMBER(
Master_Mapping_Sheet!$E$2:$E$3143),
Master_Mapping_Sheet!$B$2:$B$3143=$A45)))"),0.0)</f>
        <v>0</v>
      </c>
      <c r="E45" s="34">
        <f>IFERROR(__xludf.DUMMYFUNCTION("IF(ISNA(sum(filter(
Master_Mapping_Sheet!$E$2:$E$3143, ISNUMBER(
Master_Mapping_Sheet!$E$2:$E$3143),
Master_Mapping_Sheet!$H$2:$H$3143=E$1,
Master_Mapping_Sheet!$B$2:$B$3143=$A45))/sum(filter(
Master_Mapping_Sheet!$E$2:$E$3143, ISNUMBER(
Master_Mapping_Sh"&amp;"eet!$E$2:$E$3143),
Master_Mapping_Sheet!$B$2:$B$3143=$A45))), 0, sum(filter(
Master_Mapping_Sheet!$E$2:$E$3143, ISNUMBER(
Master_Mapping_Sheet!$E$2:$E$3143),
Master_Mapping_Sheet!$H$2:$H$3143=E$1,
Master_Mapping_Sheet!$B$2:$B$3143=$A45))/sum(filter(
Maste"&amp;"r_Mapping_Sheet!$E$2:$E$3143, ISNUMBER(
Master_Mapping_Sheet!$E$2:$E$3143),
Master_Mapping_Sheet!$B$2:$B$3143=$A45)))"),0.0)</f>
        <v>0</v>
      </c>
      <c r="F45" s="34">
        <f>IFERROR(__xludf.DUMMYFUNCTION("IF(ISNA(sum(filter(
Master_Mapping_Sheet!$E$2:$E$3143, ISNUMBER(
Master_Mapping_Sheet!$E$2:$E$3143),
Master_Mapping_Sheet!$H$2:$H$3143=F$1,
Master_Mapping_Sheet!$B$2:$B$3143=$A45))/sum(filter(
Master_Mapping_Sheet!$E$2:$E$3143, ISNUMBER(
Master_Mapping_Sh"&amp;"eet!$E$2:$E$3143),
Master_Mapping_Sheet!$B$2:$B$3143=$A45))), 0, sum(filter(
Master_Mapping_Sheet!$E$2:$E$3143, ISNUMBER(
Master_Mapping_Sheet!$E$2:$E$3143),
Master_Mapping_Sheet!$H$2:$H$3143=F$1,
Master_Mapping_Sheet!$B$2:$B$3143=$A45))/sum(filter(
Maste"&amp;"r_Mapping_Sheet!$E$2:$E$3143, ISNUMBER(
Master_Mapping_Sheet!$E$2:$E$3143),
Master_Mapping_Sheet!$B$2:$B$3143=$A45)))"),0.0)</f>
        <v>0</v>
      </c>
      <c r="G45" s="34">
        <f>IFERROR(__xludf.DUMMYFUNCTION("IF(ISNA(sum(filter(
Master_Mapping_Sheet!$E$2:$E$3143, ISNUMBER(
Master_Mapping_Sheet!$E$2:$E$3143),
Master_Mapping_Sheet!$H$2:$H$3143=G$1,
Master_Mapping_Sheet!$B$2:$B$3143=$A45))/sum(filter(
Master_Mapping_Sheet!$E$2:$E$3143, ISNUMBER(
Master_Mapping_Sh"&amp;"eet!$E$2:$E$3143),
Master_Mapping_Sheet!$B$2:$B$3143=$A45))), 0, sum(filter(
Master_Mapping_Sheet!$E$2:$E$3143, ISNUMBER(
Master_Mapping_Sheet!$E$2:$E$3143),
Master_Mapping_Sheet!$H$2:$H$3143=G$1,
Master_Mapping_Sheet!$B$2:$B$3143=$A45))/sum(filter(
Maste"&amp;"r_Mapping_Sheet!$E$2:$E$3143, ISNUMBER(
Master_Mapping_Sheet!$E$2:$E$3143),
Master_Mapping_Sheet!$B$2:$B$3143=$A45)))"),0.0)</f>
        <v>0</v>
      </c>
      <c r="H45" s="34">
        <f>IFERROR(__xludf.DUMMYFUNCTION("IF(ISNA(sum(filter(
Master_Mapping_Sheet!$E$2:$E$3143, ISNUMBER(
Master_Mapping_Sheet!$E$2:$E$3143),
Master_Mapping_Sheet!$H$2:$H$3143=H$1,
Master_Mapping_Sheet!$B$2:$B$3143=$A45))/sum(filter(
Master_Mapping_Sheet!$E$2:$E$3143, ISNUMBER(
Master_Mapping_Sh"&amp;"eet!$E$2:$E$3143),
Master_Mapping_Sheet!$B$2:$B$3143=$A45))), 0, sum(filter(
Master_Mapping_Sheet!$E$2:$E$3143, ISNUMBER(
Master_Mapping_Sheet!$E$2:$E$3143),
Master_Mapping_Sheet!$H$2:$H$3143=H$1,
Master_Mapping_Sheet!$B$2:$B$3143=$A45))/sum(filter(
Maste"&amp;"r_Mapping_Sheet!$E$2:$E$3143, ISNUMBER(
Master_Mapping_Sheet!$E$2:$E$3143),
Master_Mapping_Sheet!$B$2:$B$3143=$A45)))"),0.05941520886542739)</f>
        <v>0.05941520887</v>
      </c>
      <c r="I45" s="34">
        <f>IFERROR(__xludf.DUMMYFUNCTION("IF(ISNA(sum(filter(
Master_Mapping_Sheet!$E$2:$E$3143, ISNUMBER(
Master_Mapping_Sheet!$E$2:$E$3143),
Master_Mapping_Sheet!$H$2:$H$3143=I$1,
Master_Mapping_Sheet!$B$2:$B$3143=$A45))/sum(filter(
Master_Mapping_Sheet!$E$2:$E$3143, ISNUMBER(
Master_Mapping_Sh"&amp;"eet!$E$2:$E$3143),
Master_Mapping_Sheet!$B$2:$B$3143=$A45))), 0, sum(filter(
Master_Mapping_Sheet!$E$2:$E$3143, ISNUMBER(
Master_Mapping_Sheet!$E$2:$E$3143),
Master_Mapping_Sheet!$H$2:$H$3143=I$1,
Master_Mapping_Sheet!$B$2:$B$3143=$A45))/sum(filter(
Maste"&amp;"r_Mapping_Sheet!$E$2:$E$3143, ISNUMBER(
Master_Mapping_Sheet!$E$2:$E$3143),
Master_Mapping_Sheet!$B$2:$B$3143=$A45)))"),0.0)</f>
        <v>0</v>
      </c>
      <c r="J45" s="34">
        <f>IFERROR(__xludf.DUMMYFUNCTION("IF(ISNA(sum(filter(
Master_Mapping_Sheet!$E$2:$E$3143, ISNUMBER(
Master_Mapping_Sheet!$E$2:$E$3143),
Master_Mapping_Sheet!$H$2:$H$3143=J$1,
Master_Mapping_Sheet!$B$2:$B$3143=$A45))/sum(filter(
Master_Mapping_Sheet!$E$2:$E$3143, ISNUMBER(
Master_Mapping_Sh"&amp;"eet!$E$2:$E$3143),
Master_Mapping_Sheet!$B$2:$B$3143=$A45))), 0, sum(filter(
Master_Mapping_Sheet!$E$2:$E$3143, ISNUMBER(
Master_Mapping_Sheet!$E$2:$E$3143),
Master_Mapping_Sheet!$H$2:$H$3143=J$1,
Master_Mapping_Sheet!$B$2:$B$3143=$A45))/sum(filter(
Maste"&amp;"r_Mapping_Sheet!$E$2:$E$3143, ISNUMBER(
Master_Mapping_Sheet!$E$2:$E$3143),
Master_Mapping_Sheet!$B$2:$B$3143=$A45)))"),0.0)</f>
        <v>0</v>
      </c>
      <c r="K45" s="34">
        <f>IFERROR(__xludf.DUMMYFUNCTION("IF(ISNA(sum(filter(
Master_Mapping_Sheet!$E$2:$E$3143, ISNUMBER(
Master_Mapping_Sheet!$E$2:$E$3143),
Master_Mapping_Sheet!$H$2:$H$3143=K$1,
Master_Mapping_Sheet!$B$2:$B$3143=$A45))/sum(filter(
Master_Mapping_Sheet!$E$2:$E$3143, ISNUMBER(
Master_Mapping_Sh"&amp;"eet!$E$2:$E$3143),
Master_Mapping_Sheet!$B$2:$B$3143=$A45))), 0, sum(filter(
Master_Mapping_Sheet!$E$2:$E$3143, ISNUMBER(
Master_Mapping_Sheet!$E$2:$E$3143),
Master_Mapping_Sheet!$H$2:$H$3143=K$1,
Master_Mapping_Sheet!$B$2:$B$3143=$A45))/sum(filter(
Maste"&amp;"r_Mapping_Sheet!$E$2:$E$3143, ISNUMBER(
Master_Mapping_Sheet!$E$2:$E$3143),
Master_Mapping_Sheet!$B$2:$B$3143=$A45)))"),0.0)</f>
        <v>0</v>
      </c>
      <c r="L45" s="34">
        <f>IFERROR(__xludf.DUMMYFUNCTION("IF(ISNA(sum(filter(
Master_Mapping_Sheet!$E$2:$E$3143, ISNUMBER(
Master_Mapping_Sheet!$E$2:$E$3143),
Master_Mapping_Sheet!$H$2:$H$3143=L$1,
Master_Mapping_Sheet!$B$2:$B$3143=$A45))/sum(filter(
Master_Mapping_Sheet!$E$2:$E$3143, ISNUMBER(
Master_Mapping_Sh"&amp;"eet!$E$2:$E$3143),
Master_Mapping_Sheet!$B$2:$B$3143=$A45))), 0, sum(filter(
Master_Mapping_Sheet!$E$2:$E$3143, ISNUMBER(
Master_Mapping_Sheet!$E$2:$E$3143),
Master_Mapping_Sheet!$H$2:$H$3143=L$1,
Master_Mapping_Sheet!$B$2:$B$3143=$A45))/sum(filter(
Maste"&amp;"r_Mapping_Sheet!$E$2:$E$3143, ISNUMBER(
Master_Mapping_Sheet!$E$2:$E$3143),
Master_Mapping_Sheet!$B$2:$B$3143=$A45)))"),0.0)</f>
        <v>0</v>
      </c>
      <c r="M45" s="34">
        <f>IFERROR(__xludf.DUMMYFUNCTION("IF(ISNA(sum(filter(
Master_Mapping_Sheet!$E$2:$E$3143, ISNUMBER(
Master_Mapping_Sheet!$E$2:$E$3143),
Master_Mapping_Sheet!$H$2:$H$3143=M$1,
Master_Mapping_Sheet!$B$2:$B$3143=$A45))/sum(filter(
Master_Mapping_Sheet!$E$2:$E$3143, ISNUMBER(
Master_Mapping_Sh"&amp;"eet!$E$2:$E$3143),
Master_Mapping_Sheet!$B$2:$B$3143=$A45))), 0, sum(filter(
Master_Mapping_Sheet!$E$2:$E$3143, ISNUMBER(
Master_Mapping_Sheet!$E$2:$E$3143),
Master_Mapping_Sheet!$H$2:$H$3143=M$1,
Master_Mapping_Sheet!$B$2:$B$3143=$A45))/sum(filter(
Maste"&amp;"r_Mapping_Sheet!$E$2:$E$3143, ISNUMBER(
Master_Mapping_Sheet!$E$2:$E$3143),
Master_Mapping_Sheet!$B$2:$B$3143=$A45)))"),0.0)</f>
        <v>0</v>
      </c>
      <c r="N45" s="34">
        <f>IFERROR(__xludf.DUMMYFUNCTION("IF(ISNA(sum(filter(
Master_Mapping_Sheet!$E$2:$E$3143, ISNUMBER(
Master_Mapping_Sheet!$E$2:$E$3143),
Master_Mapping_Sheet!$H$2:$H$3143=N$1,
Master_Mapping_Sheet!$B$2:$B$3143=$A45))/sum(filter(
Master_Mapping_Sheet!$E$2:$E$3143, ISNUMBER(
Master_Mapping_Sh"&amp;"eet!$E$2:$E$3143),
Master_Mapping_Sheet!$B$2:$B$3143=$A45))), 0, sum(filter(
Master_Mapping_Sheet!$E$2:$E$3143, ISNUMBER(
Master_Mapping_Sheet!$E$2:$E$3143),
Master_Mapping_Sheet!$H$2:$H$3143=N$1,
Master_Mapping_Sheet!$B$2:$B$3143=$A45))/sum(filter(
Maste"&amp;"r_Mapping_Sheet!$E$2:$E$3143, ISNUMBER(
Master_Mapping_Sheet!$E$2:$E$3143),
Master_Mapping_Sheet!$B$2:$B$3143=$A45)))"),0.0)</f>
        <v>0</v>
      </c>
      <c r="O45" s="34">
        <f>IFERROR(__xludf.DUMMYFUNCTION("IF(ISNA(sum(filter(
Master_Mapping_Sheet!$E$2:$E$3143, ISNUMBER(
Master_Mapping_Sheet!$E$2:$E$3143),
Master_Mapping_Sheet!$H$2:$H$3143=O$1,
Master_Mapping_Sheet!$B$2:$B$3143=$A45))/sum(filter(
Master_Mapping_Sheet!$E$2:$E$3143, ISNUMBER(
Master_Mapping_Sh"&amp;"eet!$E$2:$E$3143),
Master_Mapping_Sheet!$B$2:$B$3143=$A45))), 0, sum(filter(
Master_Mapping_Sheet!$E$2:$E$3143, ISNUMBER(
Master_Mapping_Sheet!$E$2:$E$3143),
Master_Mapping_Sheet!$H$2:$H$3143=O$1,
Master_Mapping_Sheet!$B$2:$B$3143=$A45))/sum(filter(
Maste"&amp;"r_Mapping_Sheet!$E$2:$E$3143, ISNUMBER(
Master_Mapping_Sheet!$E$2:$E$3143),
Master_Mapping_Sheet!$B$2:$B$3143=$A45)))"),0.0)</f>
        <v>0</v>
      </c>
      <c r="P45" s="34">
        <f>IFERROR(__xludf.DUMMYFUNCTION("IF(ISNA(sum(filter(
Master_Mapping_Sheet!$E$2:$E$3143, ISNUMBER(
Master_Mapping_Sheet!$E$2:$E$3143),
Master_Mapping_Sheet!$H$2:$H$3143=P$1,
Master_Mapping_Sheet!$B$2:$B$3143=$A45))/sum(filter(
Master_Mapping_Sheet!$E$2:$E$3143, ISNUMBER(
Master_Mapping_Sh"&amp;"eet!$E$2:$E$3143),
Master_Mapping_Sheet!$B$2:$B$3143=$A45))), 0, sum(filter(
Master_Mapping_Sheet!$E$2:$E$3143, ISNUMBER(
Master_Mapping_Sheet!$E$2:$E$3143),
Master_Mapping_Sheet!$H$2:$H$3143=P$1,
Master_Mapping_Sheet!$B$2:$B$3143=$A45))/sum(filter(
Maste"&amp;"r_Mapping_Sheet!$E$2:$E$3143, ISNUMBER(
Master_Mapping_Sheet!$E$2:$E$3143),
Master_Mapping_Sheet!$B$2:$B$3143=$A45)))"),0.0)</f>
        <v>0</v>
      </c>
      <c r="Q45" s="34">
        <f>IFERROR(__xludf.DUMMYFUNCTION("IF(ISNA(sum(filter(
Master_Mapping_Sheet!$E$2:$E$3143, ISNUMBER(
Master_Mapping_Sheet!$E$2:$E$3143),
Master_Mapping_Sheet!$H$2:$H$3143=Q$1,
Master_Mapping_Sheet!$B$2:$B$3143=$A45))/sum(filter(
Master_Mapping_Sheet!$E$2:$E$3143, ISNUMBER(
Master_Mapping_Sh"&amp;"eet!$E$2:$E$3143),
Master_Mapping_Sheet!$B$2:$B$3143=$A45))), 0, sum(filter(
Master_Mapping_Sheet!$E$2:$E$3143, ISNUMBER(
Master_Mapping_Sheet!$E$2:$E$3143),
Master_Mapping_Sheet!$H$2:$H$3143=Q$1,
Master_Mapping_Sheet!$B$2:$B$3143=$A45))/sum(filter(
Maste"&amp;"r_Mapping_Sheet!$E$2:$E$3143, ISNUMBER(
Master_Mapping_Sheet!$E$2:$E$3143),
Master_Mapping_Sheet!$B$2:$B$3143=$A45)))"),0.0)</f>
        <v>0</v>
      </c>
      <c r="R45" s="34">
        <f>IFERROR(__xludf.DUMMYFUNCTION("IF(ISNA(sum(filter(
Master_Mapping_Sheet!$E$2:$E$3143, ISNUMBER(
Master_Mapping_Sheet!$E$2:$E$3143),
Master_Mapping_Sheet!$H$2:$H$3143=R$1,
Master_Mapping_Sheet!$B$2:$B$3143=$A45))/sum(filter(
Master_Mapping_Sheet!$E$2:$E$3143, ISNUMBER(
Master_Mapping_Sh"&amp;"eet!$E$2:$E$3143),
Master_Mapping_Sheet!$B$2:$B$3143=$A45))), 0, sum(filter(
Master_Mapping_Sheet!$E$2:$E$3143, ISNUMBER(
Master_Mapping_Sheet!$E$2:$E$3143),
Master_Mapping_Sheet!$H$2:$H$3143=R$1,
Master_Mapping_Sheet!$B$2:$B$3143=$A45))/sum(filter(
Maste"&amp;"r_Mapping_Sheet!$E$2:$E$3143, ISNUMBER(
Master_Mapping_Sheet!$E$2:$E$3143),
Master_Mapping_Sheet!$B$2:$B$3143=$A45)))"),0.0)</f>
        <v>0</v>
      </c>
      <c r="S45" s="34">
        <f>IFERROR(__xludf.DUMMYFUNCTION("IF(ISNA(sum(filter(
Master_Mapping_Sheet!$E$2:$E$3143, ISNUMBER(
Master_Mapping_Sheet!$E$2:$E$3143),
Master_Mapping_Sheet!$H$2:$H$3143=S$1,
Master_Mapping_Sheet!$B$2:$B$3143=$A45))/sum(filter(
Master_Mapping_Sheet!$E$2:$E$3143, ISNUMBER(
Master_Mapping_Sh"&amp;"eet!$E$2:$E$3143),
Master_Mapping_Sheet!$B$2:$B$3143=$A45))), 0, sum(filter(
Master_Mapping_Sheet!$E$2:$E$3143, ISNUMBER(
Master_Mapping_Sheet!$E$2:$E$3143),
Master_Mapping_Sheet!$H$2:$H$3143=S$1,
Master_Mapping_Sheet!$B$2:$B$3143=$A45))/sum(filter(
Maste"&amp;"r_Mapping_Sheet!$E$2:$E$3143, ISNUMBER(
Master_Mapping_Sheet!$E$2:$E$3143),
Master_Mapping_Sheet!$B$2:$B$3143=$A45)))"),0.0478167592418932)</f>
        <v>0.04781675924</v>
      </c>
      <c r="T45" s="34">
        <f>IFERROR(__xludf.DUMMYFUNCTION("IF(ISNA(sum(filter(
Master_Mapping_Sheet!$E$2:$E$3143, ISNUMBER(
Master_Mapping_Sheet!$E$2:$E$3143),
Master_Mapping_Sheet!$H$2:$H$3143=T$1,
Master_Mapping_Sheet!$B$2:$B$3143=$A45))/sum(filter(
Master_Mapping_Sheet!$E$2:$E$3143, ISNUMBER(
Master_Mapping_Sh"&amp;"eet!$E$2:$E$3143),
Master_Mapping_Sheet!$B$2:$B$3143=$A45))), 0, sum(filter(
Master_Mapping_Sheet!$E$2:$E$3143, ISNUMBER(
Master_Mapping_Sheet!$E$2:$E$3143),
Master_Mapping_Sheet!$H$2:$H$3143=T$1,
Master_Mapping_Sheet!$B$2:$B$3143=$A45))/sum(filter(
Maste"&amp;"r_Mapping_Sheet!$E$2:$E$3143, ISNUMBER(
Master_Mapping_Sheet!$E$2:$E$3143),
Master_Mapping_Sheet!$B$2:$B$3143=$A45)))"),0.0)</f>
        <v>0</v>
      </c>
      <c r="U45" s="34">
        <f>IFERROR(__xludf.DUMMYFUNCTION("IF(ISNA(sum(filter(
Master_Mapping_Sheet!$E$2:$E$3143, ISNUMBER(
Master_Mapping_Sheet!$E$2:$E$3143),
Master_Mapping_Sheet!$H$2:$H$3143=U$1,
Master_Mapping_Sheet!$B$2:$B$3143=$A45))/sum(filter(
Master_Mapping_Sheet!$E$2:$E$3143, ISNUMBER(
Master_Mapping_Sh"&amp;"eet!$E$2:$E$3143),
Master_Mapping_Sheet!$B$2:$B$3143=$A45))), 0, sum(filter(
Master_Mapping_Sheet!$E$2:$E$3143, ISNUMBER(
Master_Mapping_Sheet!$E$2:$E$3143),
Master_Mapping_Sheet!$H$2:$H$3143=U$1,
Master_Mapping_Sheet!$B$2:$B$3143=$A45))/sum(filter(
Maste"&amp;"r_Mapping_Sheet!$E$2:$E$3143, ISNUMBER(
Master_Mapping_Sheet!$E$2:$E$3143),
Master_Mapping_Sheet!$B$2:$B$3143=$A45)))"),0.0)</f>
        <v>0</v>
      </c>
      <c r="V45" s="34">
        <f>IFERROR(__xludf.DUMMYFUNCTION("IF(ISNA(sum(filter(
Master_Mapping_Sheet!$E$2:$E$3143, ISNUMBER(
Master_Mapping_Sheet!$E$2:$E$3143),
Master_Mapping_Sheet!$H$2:$H$3143=V$1,
Master_Mapping_Sheet!$B$2:$B$3143=$A45))/sum(filter(
Master_Mapping_Sheet!$E$2:$E$3143, ISNUMBER(
Master_Mapping_Sh"&amp;"eet!$E$2:$E$3143),
Master_Mapping_Sheet!$B$2:$B$3143=$A45))), 0, sum(filter(
Master_Mapping_Sheet!$E$2:$E$3143, ISNUMBER(
Master_Mapping_Sheet!$E$2:$E$3143),
Master_Mapping_Sheet!$H$2:$H$3143=V$1,
Master_Mapping_Sheet!$B$2:$B$3143=$A45))/sum(filter(
Maste"&amp;"r_Mapping_Sheet!$E$2:$E$3143, ISNUMBER(
Master_Mapping_Sheet!$E$2:$E$3143),
Master_Mapping_Sheet!$B$2:$B$3143=$A45)))"),0.02863070459161125)</f>
        <v>0.02863070459</v>
      </c>
      <c r="W45" s="34">
        <f>IFERROR(__xludf.DUMMYFUNCTION("IF(ISNA(sum(filter(
Master_Mapping_Sheet!$E$2:$E$3143, ISNUMBER(
Master_Mapping_Sheet!$E$2:$E$3143),
Master_Mapping_Sheet!$H$2:$H$3143=W$1,
Master_Mapping_Sheet!$B$2:$B$3143=$A45))/sum(filter(
Master_Mapping_Sheet!$E$2:$E$3143, ISNUMBER(
Master_Mapping_Sh"&amp;"eet!$E$2:$E$3143),
Master_Mapping_Sheet!$B$2:$B$3143=$A45))), 0, sum(filter(
Master_Mapping_Sheet!$E$2:$E$3143, ISNUMBER(
Master_Mapping_Sheet!$E$2:$E$3143),
Master_Mapping_Sheet!$H$2:$H$3143=W$1,
Master_Mapping_Sheet!$B$2:$B$3143=$A45))/sum(filter(
Maste"&amp;"r_Mapping_Sheet!$E$2:$E$3143, ISNUMBER(
Master_Mapping_Sheet!$E$2:$E$3143),
Master_Mapping_Sheet!$B$2:$B$3143=$A45)))"),0.0)</f>
        <v>0</v>
      </c>
      <c r="X45" s="34">
        <f>IFERROR(__xludf.DUMMYFUNCTION("IF(ISNA(sum(filter(
Master_Mapping_Sheet!$E$2:$E$3143, ISNUMBER(
Master_Mapping_Sheet!$E$2:$E$3143),
Master_Mapping_Sheet!$H$2:$H$3143=X$1,
Master_Mapping_Sheet!$B$2:$B$3143=$A45))/sum(filter(
Master_Mapping_Sheet!$E$2:$E$3143, ISNUMBER(
Master_Mapping_Sh"&amp;"eet!$E$2:$E$3143),
Master_Mapping_Sheet!$B$2:$B$3143=$A45))), 0, sum(filter(
Master_Mapping_Sheet!$E$2:$E$3143, ISNUMBER(
Master_Mapping_Sheet!$E$2:$E$3143),
Master_Mapping_Sheet!$H$2:$H$3143=X$1,
Master_Mapping_Sheet!$B$2:$B$3143=$A45))/sum(filter(
Maste"&amp;"r_Mapping_Sheet!$E$2:$E$3143, ISNUMBER(
Master_Mapping_Sheet!$E$2:$E$3143),
Master_Mapping_Sheet!$B$2:$B$3143=$A45)))"),0.0)</f>
        <v>0</v>
      </c>
      <c r="Y45" s="34">
        <f>IFERROR(__xludf.DUMMYFUNCTION("IF(ISNA(sum(filter(
Master_Mapping_Sheet!$E$2:$E$3143, ISNUMBER(
Master_Mapping_Sheet!$E$2:$E$3143),
Master_Mapping_Sheet!$H$2:$H$3143=Y$1,
Master_Mapping_Sheet!$B$2:$B$3143=$A45))/sum(filter(
Master_Mapping_Sheet!$E$2:$E$3143, ISNUMBER(
Master_Mapping_Sh"&amp;"eet!$E$2:$E$3143),
Master_Mapping_Sheet!$B$2:$B$3143=$A45))), 0, sum(filter(
Master_Mapping_Sheet!$E$2:$E$3143, ISNUMBER(
Master_Mapping_Sheet!$E$2:$E$3143),
Master_Mapping_Sheet!$H$2:$H$3143=Y$1,
Master_Mapping_Sheet!$B$2:$B$3143=$A45))/sum(filter(
Maste"&amp;"r_Mapping_Sheet!$E$2:$E$3143, ISNUMBER(
Master_Mapping_Sheet!$E$2:$E$3143),
Master_Mapping_Sheet!$B$2:$B$3143=$A45)))"),0.0)</f>
        <v>0</v>
      </c>
      <c r="Z45" s="34">
        <f>IFERROR(__xludf.DUMMYFUNCTION("IF(ISNA(sum(filter(
Master_Mapping_Sheet!$E$2:$E$3143, ISNUMBER(
Master_Mapping_Sheet!$E$2:$E$3143),
Master_Mapping_Sheet!$H$2:$H$3143=Z$1,
Master_Mapping_Sheet!$B$2:$B$3143=$A45))/sum(filter(
Master_Mapping_Sheet!$E$2:$E$3143, ISNUMBER(
Master_Mapping_Sh"&amp;"eet!$E$2:$E$3143),
Master_Mapping_Sheet!$B$2:$B$3143=$A45))), 0, sum(filter(
Master_Mapping_Sheet!$E$2:$E$3143, ISNUMBER(
Master_Mapping_Sheet!$E$2:$E$3143),
Master_Mapping_Sheet!$H$2:$H$3143=Z$1,
Master_Mapping_Sheet!$B$2:$B$3143=$A45))/sum(filter(
Maste"&amp;"r_Mapping_Sheet!$E$2:$E$3143, ISNUMBER(
Master_Mapping_Sheet!$E$2:$E$3143),
Master_Mapping_Sheet!$B$2:$B$3143=$A45)))"),0.0)</f>
        <v>0</v>
      </c>
      <c r="AA45" s="34">
        <f>IFERROR(__xludf.DUMMYFUNCTION("IF(ISNA(sum(filter(
Master_Mapping_Sheet!$E$2:$E$3143, ISNUMBER(
Master_Mapping_Sheet!$E$2:$E$3143),
Master_Mapping_Sheet!$H$2:$H$3143=AA$1,
Master_Mapping_Sheet!$B$2:$B$3143=$A45))/sum(filter(
Master_Mapping_Sheet!$E$2:$E$3143, ISNUMBER(
Master_Mapping_S"&amp;"heet!$E$2:$E$3143),
Master_Mapping_Sheet!$B$2:$B$3143=$A45))), 0, sum(filter(
Master_Mapping_Sheet!$E$2:$E$3143, ISNUMBER(
Master_Mapping_Sheet!$E$2:$E$3143),
Master_Mapping_Sheet!$H$2:$H$3143=AA$1,
Master_Mapping_Sheet!$B$2:$B$3143=$A45))/sum(filter(
Mas"&amp;"ter_Mapping_Sheet!$E$2:$E$3143, ISNUMBER(
Master_Mapping_Sheet!$E$2:$E$3143),
Master_Mapping_Sheet!$B$2:$B$3143=$A45)))"),0.0)</f>
        <v>0</v>
      </c>
    </row>
    <row r="46" ht="15.75" customHeight="1">
      <c r="A46" s="34" t="s">
        <v>1802</v>
      </c>
      <c r="B46" s="34" t="s">
        <v>3687</v>
      </c>
      <c r="C46" s="34">
        <f>IFERROR(__xludf.DUMMYFUNCTION("IF(ISNA(sum(filter(
Master_Mapping_Sheet!$E$2:$E$3143, ISNUMBER(
Master_Mapping_Sheet!$E$2:$E$3143),
Master_Mapping_Sheet!$H$2:$H$3143=C$1,
Master_Mapping_Sheet!$B$2:$B$3143=$A46))/sum(filter(
Master_Mapping_Sheet!$E$2:$E$3143, ISNUMBER(
Master_Mapping_Sh"&amp;"eet!$E$2:$E$3143),
Master_Mapping_Sheet!$B$2:$B$3143=$A46))), 0, sum(filter(
Master_Mapping_Sheet!$E$2:$E$3143, ISNUMBER(
Master_Mapping_Sheet!$E$2:$E$3143),
Master_Mapping_Sheet!$H$2:$H$3143=C$1,
Master_Mapping_Sheet!$B$2:$B$3143=$A46))/sum(filter(
Maste"&amp;"r_Mapping_Sheet!$E$2:$E$3143, ISNUMBER(
Master_Mapping_Sheet!$E$2:$E$3143),
Master_Mapping_Sheet!$B$2:$B$3143=$A46)))"),0.0)</f>
        <v>0</v>
      </c>
      <c r="D46" s="32">
        <f>IFERROR(__xludf.DUMMYFUNCTION("IF(ISNA(sum(filter(
Master_Mapping_Sheet!$E$2:$E$3143, ISNUMBER(
Master_Mapping_Sheet!$E$2:$E$3143),
Master_Mapping_Sheet!$H$2:$H$3143=D$1,
Master_Mapping_Sheet!$B$2:$B$3143=$A46))/sum(filter(
Master_Mapping_Sheet!$E$2:$E$3143, ISNUMBER(
Master_Mapping_Sh"&amp;"eet!$E$2:$E$3143),
Master_Mapping_Sheet!$B$2:$B$3143=$A46))), 0, sum(filter(
Master_Mapping_Sheet!$E$2:$E$3143, ISNUMBER(
Master_Mapping_Sheet!$E$2:$E$3143),
Master_Mapping_Sheet!$H$2:$H$3143=D$1,
Master_Mapping_Sheet!$B$2:$B$3143=$A46))/sum(filter(
Maste"&amp;"r_Mapping_Sheet!$E$2:$E$3143, ISNUMBER(
Master_Mapping_Sheet!$E$2:$E$3143),
Master_Mapping_Sheet!$B$2:$B$3143=$A46)))"),0.0)</f>
        <v>0</v>
      </c>
      <c r="E46" s="34">
        <f>IFERROR(__xludf.DUMMYFUNCTION("IF(ISNA(sum(filter(
Master_Mapping_Sheet!$E$2:$E$3143, ISNUMBER(
Master_Mapping_Sheet!$E$2:$E$3143),
Master_Mapping_Sheet!$H$2:$H$3143=E$1,
Master_Mapping_Sheet!$B$2:$B$3143=$A46))/sum(filter(
Master_Mapping_Sheet!$E$2:$E$3143, ISNUMBER(
Master_Mapping_Sh"&amp;"eet!$E$2:$E$3143),
Master_Mapping_Sheet!$B$2:$B$3143=$A46))), 0, sum(filter(
Master_Mapping_Sheet!$E$2:$E$3143, ISNUMBER(
Master_Mapping_Sheet!$E$2:$E$3143),
Master_Mapping_Sheet!$H$2:$H$3143=E$1,
Master_Mapping_Sheet!$B$2:$B$3143=$A46))/sum(filter(
Maste"&amp;"r_Mapping_Sheet!$E$2:$E$3143, ISNUMBER(
Master_Mapping_Sheet!$E$2:$E$3143),
Master_Mapping_Sheet!$B$2:$B$3143=$A46)))"),0.0)</f>
        <v>0</v>
      </c>
      <c r="F46" s="34">
        <f>IFERROR(__xludf.DUMMYFUNCTION("IF(ISNA(sum(filter(
Master_Mapping_Sheet!$E$2:$E$3143, ISNUMBER(
Master_Mapping_Sheet!$E$2:$E$3143),
Master_Mapping_Sheet!$H$2:$H$3143=F$1,
Master_Mapping_Sheet!$B$2:$B$3143=$A46))/sum(filter(
Master_Mapping_Sheet!$E$2:$E$3143, ISNUMBER(
Master_Mapping_Sh"&amp;"eet!$E$2:$E$3143),
Master_Mapping_Sheet!$B$2:$B$3143=$A46))), 0, sum(filter(
Master_Mapping_Sheet!$E$2:$E$3143, ISNUMBER(
Master_Mapping_Sheet!$E$2:$E$3143),
Master_Mapping_Sheet!$H$2:$H$3143=F$1,
Master_Mapping_Sheet!$B$2:$B$3143=$A46))/sum(filter(
Maste"&amp;"r_Mapping_Sheet!$E$2:$E$3143, ISNUMBER(
Master_Mapping_Sheet!$E$2:$E$3143),
Master_Mapping_Sheet!$B$2:$B$3143=$A46)))"),0.0)</f>
        <v>0</v>
      </c>
      <c r="G46" s="34">
        <f>IFERROR(__xludf.DUMMYFUNCTION("IF(ISNA(sum(filter(
Master_Mapping_Sheet!$E$2:$E$3143, ISNUMBER(
Master_Mapping_Sheet!$E$2:$E$3143),
Master_Mapping_Sheet!$H$2:$H$3143=G$1,
Master_Mapping_Sheet!$B$2:$B$3143=$A46))/sum(filter(
Master_Mapping_Sheet!$E$2:$E$3143, ISNUMBER(
Master_Mapping_Sh"&amp;"eet!$E$2:$E$3143),
Master_Mapping_Sheet!$B$2:$B$3143=$A46))), 0, sum(filter(
Master_Mapping_Sheet!$E$2:$E$3143, ISNUMBER(
Master_Mapping_Sheet!$E$2:$E$3143),
Master_Mapping_Sheet!$H$2:$H$3143=G$1,
Master_Mapping_Sheet!$B$2:$B$3143=$A46))/sum(filter(
Maste"&amp;"r_Mapping_Sheet!$E$2:$E$3143, ISNUMBER(
Master_Mapping_Sheet!$E$2:$E$3143),
Master_Mapping_Sheet!$B$2:$B$3143=$A46)))"),0.0)</f>
        <v>0</v>
      </c>
      <c r="H46" s="34">
        <f>IFERROR(__xludf.DUMMYFUNCTION("IF(ISNA(sum(filter(
Master_Mapping_Sheet!$E$2:$E$3143, ISNUMBER(
Master_Mapping_Sheet!$E$2:$E$3143),
Master_Mapping_Sheet!$H$2:$H$3143=H$1,
Master_Mapping_Sheet!$B$2:$B$3143=$A46))/sum(filter(
Master_Mapping_Sheet!$E$2:$E$3143, ISNUMBER(
Master_Mapping_Sh"&amp;"eet!$E$2:$E$3143),
Master_Mapping_Sheet!$B$2:$B$3143=$A46))), 0, sum(filter(
Master_Mapping_Sheet!$E$2:$E$3143, ISNUMBER(
Master_Mapping_Sheet!$E$2:$E$3143),
Master_Mapping_Sheet!$H$2:$H$3143=H$1,
Master_Mapping_Sheet!$B$2:$B$3143=$A46))/sum(filter(
Maste"&amp;"r_Mapping_Sheet!$E$2:$E$3143, ISNUMBER(
Master_Mapping_Sheet!$E$2:$E$3143),
Master_Mapping_Sheet!$B$2:$B$3143=$A46)))"),0.0)</f>
        <v>0</v>
      </c>
      <c r="I46" s="34">
        <f>IFERROR(__xludf.DUMMYFUNCTION("IF(ISNA(sum(filter(
Master_Mapping_Sheet!$E$2:$E$3143, ISNUMBER(
Master_Mapping_Sheet!$E$2:$E$3143),
Master_Mapping_Sheet!$H$2:$H$3143=I$1,
Master_Mapping_Sheet!$B$2:$B$3143=$A46))/sum(filter(
Master_Mapping_Sheet!$E$2:$E$3143, ISNUMBER(
Master_Mapping_Sh"&amp;"eet!$E$2:$E$3143),
Master_Mapping_Sheet!$B$2:$B$3143=$A46))), 0, sum(filter(
Master_Mapping_Sheet!$E$2:$E$3143, ISNUMBER(
Master_Mapping_Sheet!$E$2:$E$3143),
Master_Mapping_Sheet!$H$2:$H$3143=I$1,
Master_Mapping_Sheet!$B$2:$B$3143=$A46))/sum(filter(
Maste"&amp;"r_Mapping_Sheet!$E$2:$E$3143, ISNUMBER(
Master_Mapping_Sheet!$E$2:$E$3143),
Master_Mapping_Sheet!$B$2:$B$3143=$A46)))"),0.0)</f>
        <v>0</v>
      </c>
      <c r="J46" s="34">
        <f>IFERROR(__xludf.DUMMYFUNCTION("IF(ISNA(sum(filter(
Master_Mapping_Sheet!$E$2:$E$3143, ISNUMBER(
Master_Mapping_Sheet!$E$2:$E$3143),
Master_Mapping_Sheet!$H$2:$H$3143=J$1,
Master_Mapping_Sheet!$B$2:$B$3143=$A46))/sum(filter(
Master_Mapping_Sheet!$E$2:$E$3143, ISNUMBER(
Master_Mapping_Sh"&amp;"eet!$E$2:$E$3143),
Master_Mapping_Sheet!$B$2:$B$3143=$A46))), 0, sum(filter(
Master_Mapping_Sheet!$E$2:$E$3143, ISNUMBER(
Master_Mapping_Sheet!$E$2:$E$3143),
Master_Mapping_Sheet!$H$2:$H$3143=J$1,
Master_Mapping_Sheet!$B$2:$B$3143=$A46))/sum(filter(
Maste"&amp;"r_Mapping_Sheet!$E$2:$E$3143, ISNUMBER(
Master_Mapping_Sheet!$E$2:$E$3143),
Master_Mapping_Sheet!$B$2:$B$3143=$A46)))"),0.0)</f>
        <v>0</v>
      </c>
      <c r="K46" s="34">
        <f>IFERROR(__xludf.DUMMYFUNCTION("IF(ISNA(sum(filter(
Master_Mapping_Sheet!$E$2:$E$3143, ISNUMBER(
Master_Mapping_Sheet!$E$2:$E$3143),
Master_Mapping_Sheet!$H$2:$H$3143=K$1,
Master_Mapping_Sheet!$B$2:$B$3143=$A46))/sum(filter(
Master_Mapping_Sheet!$E$2:$E$3143, ISNUMBER(
Master_Mapping_Sh"&amp;"eet!$E$2:$E$3143),
Master_Mapping_Sheet!$B$2:$B$3143=$A46))), 0, sum(filter(
Master_Mapping_Sheet!$E$2:$E$3143, ISNUMBER(
Master_Mapping_Sheet!$E$2:$E$3143),
Master_Mapping_Sheet!$H$2:$H$3143=K$1,
Master_Mapping_Sheet!$B$2:$B$3143=$A46))/sum(filter(
Maste"&amp;"r_Mapping_Sheet!$E$2:$E$3143, ISNUMBER(
Master_Mapping_Sheet!$E$2:$E$3143),
Master_Mapping_Sheet!$B$2:$B$3143=$A46)))"),0.0)</f>
        <v>0</v>
      </c>
      <c r="L46" s="34">
        <f>IFERROR(__xludf.DUMMYFUNCTION("IF(ISNA(sum(filter(
Master_Mapping_Sheet!$E$2:$E$3143, ISNUMBER(
Master_Mapping_Sheet!$E$2:$E$3143),
Master_Mapping_Sheet!$H$2:$H$3143=L$1,
Master_Mapping_Sheet!$B$2:$B$3143=$A46))/sum(filter(
Master_Mapping_Sheet!$E$2:$E$3143, ISNUMBER(
Master_Mapping_Sh"&amp;"eet!$E$2:$E$3143),
Master_Mapping_Sheet!$B$2:$B$3143=$A46))), 0, sum(filter(
Master_Mapping_Sheet!$E$2:$E$3143, ISNUMBER(
Master_Mapping_Sheet!$E$2:$E$3143),
Master_Mapping_Sheet!$H$2:$H$3143=L$1,
Master_Mapping_Sheet!$B$2:$B$3143=$A46))/sum(filter(
Maste"&amp;"r_Mapping_Sheet!$E$2:$E$3143, ISNUMBER(
Master_Mapping_Sheet!$E$2:$E$3143),
Master_Mapping_Sheet!$B$2:$B$3143=$A46)))"),0.0)</f>
        <v>0</v>
      </c>
      <c r="M46" s="34">
        <f>IFERROR(__xludf.DUMMYFUNCTION("IF(ISNA(sum(filter(
Master_Mapping_Sheet!$E$2:$E$3143, ISNUMBER(
Master_Mapping_Sheet!$E$2:$E$3143),
Master_Mapping_Sheet!$H$2:$H$3143=M$1,
Master_Mapping_Sheet!$B$2:$B$3143=$A46))/sum(filter(
Master_Mapping_Sheet!$E$2:$E$3143, ISNUMBER(
Master_Mapping_Sh"&amp;"eet!$E$2:$E$3143),
Master_Mapping_Sheet!$B$2:$B$3143=$A46))), 0, sum(filter(
Master_Mapping_Sheet!$E$2:$E$3143, ISNUMBER(
Master_Mapping_Sheet!$E$2:$E$3143),
Master_Mapping_Sheet!$H$2:$H$3143=M$1,
Master_Mapping_Sheet!$B$2:$B$3143=$A46))/sum(filter(
Maste"&amp;"r_Mapping_Sheet!$E$2:$E$3143, ISNUMBER(
Master_Mapping_Sheet!$E$2:$E$3143),
Master_Mapping_Sheet!$B$2:$B$3143=$A46)))"),0.0)</f>
        <v>0</v>
      </c>
      <c r="N46" s="34">
        <f>IFERROR(__xludf.DUMMYFUNCTION("IF(ISNA(sum(filter(
Master_Mapping_Sheet!$E$2:$E$3143, ISNUMBER(
Master_Mapping_Sheet!$E$2:$E$3143),
Master_Mapping_Sheet!$H$2:$H$3143=N$1,
Master_Mapping_Sheet!$B$2:$B$3143=$A46))/sum(filter(
Master_Mapping_Sheet!$E$2:$E$3143, ISNUMBER(
Master_Mapping_Sh"&amp;"eet!$E$2:$E$3143),
Master_Mapping_Sheet!$B$2:$B$3143=$A46))), 0, sum(filter(
Master_Mapping_Sheet!$E$2:$E$3143, ISNUMBER(
Master_Mapping_Sheet!$E$2:$E$3143),
Master_Mapping_Sheet!$H$2:$H$3143=N$1,
Master_Mapping_Sheet!$B$2:$B$3143=$A46))/sum(filter(
Maste"&amp;"r_Mapping_Sheet!$E$2:$E$3143, ISNUMBER(
Master_Mapping_Sheet!$E$2:$E$3143),
Master_Mapping_Sheet!$B$2:$B$3143=$A46)))"),0.0)</f>
        <v>0</v>
      </c>
      <c r="O46" s="34">
        <f>IFERROR(__xludf.DUMMYFUNCTION("IF(ISNA(sum(filter(
Master_Mapping_Sheet!$E$2:$E$3143, ISNUMBER(
Master_Mapping_Sheet!$E$2:$E$3143),
Master_Mapping_Sheet!$H$2:$H$3143=O$1,
Master_Mapping_Sheet!$B$2:$B$3143=$A46))/sum(filter(
Master_Mapping_Sheet!$E$2:$E$3143, ISNUMBER(
Master_Mapping_Sh"&amp;"eet!$E$2:$E$3143),
Master_Mapping_Sheet!$B$2:$B$3143=$A46))), 0, sum(filter(
Master_Mapping_Sheet!$E$2:$E$3143, ISNUMBER(
Master_Mapping_Sheet!$E$2:$E$3143),
Master_Mapping_Sheet!$H$2:$H$3143=O$1,
Master_Mapping_Sheet!$B$2:$B$3143=$A46))/sum(filter(
Maste"&amp;"r_Mapping_Sheet!$E$2:$E$3143, ISNUMBER(
Master_Mapping_Sheet!$E$2:$E$3143),
Master_Mapping_Sheet!$B$2:$B$3143=$A46)))"),0.0)</f>
        <v>0</v>
      </c>
      <c r="P46" s="34">
        <f>IFERROR(__xludf.DUMMYFUNCTION("IF(ISNA(sum(filter(
Master_Mapping_Sheet!$E$2:$E$3143, ISNUMBER(
Master_Mapping_Sheet!$E$2:$E$3143),
Master_Mapping_Sheet!$H$2:$H$3143=P$1,
Master_Mapping_Sheet!$B$2:$B$3143=$A46))/sum(filter(
Master_Mapping_Sheet!$E$2:$E$3143, ISNUMBER(
Master_Mapping_Sh"&amp;"eet!$E$2:$E$3143),
Master_Mapping_Sheet!$B$2:$B$3143=$A46))), 0, sum(filter(
Master_Mapping_Sheet!$E$2:$E$3143, ISNUMBER(
Master_Mapping_Sheet!$E$2:$E$3143),
Master_Mapping_Sheet!$H$2:$H$3143=P$1,
Master_Mapping_Sheet!$B$2:$B$3143=$A46))/sum(filter(
Maste"&amp;"r_Mapping_Sheet!$E$2:$E$3143, ISNUMBER(
Master_Mapping_Sheet!$E$2:$E$3143),
Master_Mapping_Sheet!$B$2:$B$3143=$A46)))"),0.0)</f>
        <v>0</v>
      </c>
      <c r="Q46" s="34">
        <f>IFERROR(__xludf.DUMMYFUNCTION("IF(ISNA(sum(filter(
Master_Mapping_Sheet!$E$2:$E$3143, ISNUMBER(
Master_Mapping_Sheet!$E$2:$E$3143),
Master_Mapping_Sheet!$H$2:$H$3143=Q$1,
Master_Mapping_Sheet!$B$2:$B$3143=$A46))/sum(filter(
Master_Mapping_Sheet!$E$2:$E$3143, ISNUMBER(
Master_Mapping_Sh"&amp;"eet!$E$2:$E$3143),
Master_Mapping_Sheet!$B$2:$B$3143=$A46))), 0, sum(filter(
Master_Mapping_Sheet!$E$2:$E$3143, ISNUMBER(
Master_Mapping_Sheet!$E$2:$E$3143),
Master_Mapping_Sheet!$H$2:$H$3143=Q$1,
Master_Mapping_Sheet!$B$2:$B$3143=$A46))/sum(filter(
Maste"&amp;"r_Mapping_Sheet!$E$2:$E$3143, ISNUMBER(
Master_Mapping_Sheet!$E$2:$E$3143),
Master_Mapping_Sheet!$B$2:$B$3143=$A46)))"),0.0)</f>
        <v>0</v>
      </c>
      <c r="R46" s="34">
        <f>IFERROR(__xludf.DUMMYFUNCTION("IF(ISNA(sum(filter(
Master_Mapping_Sheet!$E$2:$E$3143, ISNUMBER(
Master_Mapping_Sheet!$E$2:$E$3143),
Master_Mapping_Sheet!$H$2:$H$3143=R$1,
Master_Mapping_Sheet!$B$2:$B$3143=$A46))/sum(filter(
Master_Mapping_Sheet!$E$2:$E$3143, ISNUMBER(
Master_Mapping_Sh"&amp;"eet!$E$2:$E$3143),
Master_Mapping_Sheet!$B$2:$B$3143=$A46))), 0, sum(filter(
Master_Mapping_Sheet!$E$2:$E$3143, ISNUMBER(
Master_Mapping_Sheet!$E$2:$E$3143),
Master_Mapping_Sheet!$H$2:$H$3143=R$1,
Master_Mapping_Sheet!$B$2:$B$3143=$A46))/sum(filter(
Maste"&amp;"r_Mapping_Sheet!$E$2:$E$3143, ISNUMBER(
Master_Mapping_Sheet!$E$2:$E$3143),
Master_Mapping_Sheet!$B$2:$B$3143=$A46)))"),0.0)</f>
        <v>0</v>
      </c>
      <c r="S46" s="34">
        <f>IFERROR(__xludf.DUMMYFUNCTION("IF(ISNA(sum(filter(
Master_Mapping_Sheet!$E$2:$E$3143, ISNUMBER(
Master_Mapping_Sheet!$E$2:$E$3143),
Master_Mapping_Sheet!$H$2:$H$3143=S$1,
Master_Mapping_Sheet!$B$2:$B$3143=$A46))/sum(filter(
Master_Mapping_Sheet!$E$2:$E$3143, ISNUMBER(
Master_Mapping_Sh"&amp;"eet!$E$2:$E$3143),
Master_Mapping_Sheet!$B$2:$B$3143=$A46))), 0, sum(filter(
Master_Mapping_Sheet!$E$2:$E$3143, ISNUMBER(
Master_Mapping_Sheet!$E$2:$E$3143),
Master_Mapping_Sheet!$H$2:$H$3143=S$1,
Master_Mapping_Sheet!$B$2:$B$3143=$A46))/sum(filter(
Maste"&amp;"r_Mapping_Sheet!$E$2:$E$3143, ISNUMBER(
Master_Mapping_Sheet!$E$2:$E$3143),
Master_Mapping_Sheet!$B$2:$B$3143=$A46)))"),0.0)</f>
        <v>0</v>
      </c>
      <c r="T46" s="34">
        <f>IFERROR(__xludf.DUMMYFUNCTION("IF(ISNA(sum(filter(
Master_Mapping_Sheet!$E$2:$E$3143, ISNUMBER(
Master_Mapping_Sheet!$E$2:$E$3143),
Master_Mapping_Sheet!$H$2:$H$3143=T$1,
Master_Mapping_Sheet!$B$2:$B$3143=$A46))/sum(filter(
Master_Mapping_Sheet!$E$2:$E$3143, ISNUMBER(
Master_Mapping_Sh"&amp;"eet!$E$2:$E$3143),
Master_Mapping_Sheet!$B$2:$B$3143=$A46))), 0, sum(filter(
Master_Mapping_Sheet!$E$2:$E$3143, ISNUMBER(
Master_Mapping_Sheet!$E$2:$E$3143),
Master_Mapping_Sheet!$H$2:$H$3143=T$1,
Master_Mapping_Sheet!$B$2:$B$3143=$A46))/sum(filter(
Maste"&amp;"r_Mapping_Sheet!$E$2:$E$3143, ISNUMBER(
Master_Mapping_Sheet!$E$2:$E$3143),
Master_Mapping_Sheet!$B$2:$B$3143=$A46)))"),0.0)</f>
        <v>0</v>
      </c>
      <c r="U46" s="34">
        <f>IFERROR(__xludf.DUMMYFUNCTION("IF(ISNA(sum(filter(
Master_Mapping_Sheet!$E$2:$E$3143, ISNUMBER(
Master_Mapping_Sheet!$E$2:$E$3143),
Master_Mapping_Sheet!$H$2:$H$3143=U$1,
Master_Mapping_Sheet!$B$2:$B$3143=$A46))/sum(filter(
Master_Mapping_Sheet!$E$2:$E$3143, ISNUMBER(
Master_Mapping_Sh"&amp;"eet!$E$2:$E$3143),
Master_Mapping_Sheet!$B$2:$B$3143=$A46))), 0, sum(filter(
Master_Mapping_Sheet!$E$2:$E$3143, ISNUMBER(
Master_Mapping_Sheet!$E$2:$E$3143),
Master_Mapping_Sheet!$H$2:$H$3143=U$1,
Master_Mapping_Sheet!$B$2:$B$3143=$A46))/sum(filter(
Maste"&amp;"r_Mapping_Sheet!$E$2:$E$3143, ISNUMBER(
Master_Mapping_Sheet!$E$2:$E$3143),
Master_Mapping_Sheet!$B$2:$B$3143=$A46)))"),0.0)</f>
        <v>0</v>
      </c>
      <c r="V46" s="34">
        <f>IFERROR(__xludf.DUMMYFUNCTION("IF(ISNA(sum(filter(
Master_Mapping_Sheet!$E$2:$E$3143, ISNUMBER(
Master_Mapping_Sheet!$E$2:$E$3143),
Master_Mapping_Sheet!$H$2:$H$3143=V$1,
Master_Mapping_Sheet!$B$2:$B$3143=$A46))/sum(filter(
Master_Mapping_Sheet!$E$2:$E$3143, ISNUMBER(
Master_Mapping_Sh"&amp;"eet!$E$2:$E$3143),
Master_Mapping_Sheet!$B$2:$B$3143=$A46))), 0, sum(filter(
Master_Mapping_Sheet!$E$2:$E$3143, ISNUMBER(
Master_Mapping_Sheet!$E$2:$E$3143),
Master_Mapping_Sheet!$H$2:$H$3143=V$1,
Master_Mapping_Sheet!$B$2:$B$3143=$A46))/sum(filter(
Maste"&amp;"r_Mapping_Sheet!$E$2:$E$3143, ISNUMBER(
Master_Mapping_Sheet!$E$2:$E$3143),
Master_Mapping_Sheet!$B$2:$B$3143=$A46)))"),0.0)</f>
        <v>0</v>
      </c>
      <c r="W46" s="34">
        <f>IFERROR(__xludf.DUMMYFUNCTION("IF(ISNA(sum(filter(
Master_Mapping_Sheet!$E$2:$E$3143, ISNUMBER(
Master_Mapping_Sheet!$E$2:$E$3143),
Master_Mapping_Sheet!$H$2:$H$3143=W$1,
Master_Mapping_Sheet!$B$2:$B$3143=$A46))/sum(filter(
Master_Mapping_Sheet!$E$2:$E$3143, ISNUMBER(
Master_Mapping_Sh"&amp;"eet!$E$2:$E$3143),
Master_Mapping_Sheet!$B$2:$B$3143=$A46))), 0, sum(filter(
Master_Mapping_Sheet!$E$2:$E$3143, ISNUMBER(
Master_Mapping_Sheet!$E$2:$E$3143),
Master_Mapping_Sheet!$H$2:$H$3143=W$1,
Master_Mapping_Sheet!$B$2:$B$3143=$A46))/sum(filter(
Maste"&amp;"r_Mapping_Sheet!$E$2:$E$3143, ISNUMBER(
Master_Mapping_Sheet!$E$2:$E$3143),
Master_Mapping_Sheet!$B$2:$B$3143=$A46)))"),0.0)</f>
        <v>0</v>
      </c>
      <c r="X46" s="34">
        <f>IFERROR(__xludf.DUMMYFUNCTION("IF(ISNA(sum(filter(
Master_Mapping_Sheet!$E$2:$E$3143, ISNUMBER(
Master_Mapping_Sheet!$E$2:$E$3143),
Master_Mapping_Sheet!$H$2:$H$3143=X$1,
Master_Mapping_Sheet!$B$2:$B$3143=$A46))/sum(filter(
Master_Mapping_Sheet!$E$2:$E$3143, ISNUMBER(
Master_Mapping_Sh"&amp;"eet!$E$2:$E$3143),
Master_Mapping_Sheet!$B$2:$B$3143=$A46))), 0, sum(filter(
Master_Mapping_Sheet!$E$2:$E$3143, ISNUMBER(
Master_Mapping_Sheet!$E$2:$E$3143),
Master_Mapping_Sheet!$H$2:$H$3143=X$1,
Master_Mapping_Sheet!$B$2:$B$3143=$A46))/sum(filter(
Maste"&amp;"r_Mapping_Sheet!$E$2:$E$3143, ISNUMBER(
Master_Mapping_Sheet!$E$2:$E$3143),
Master_Mapping_Sheet!$B$2:$B$3143=$A46)))"),0.0)</f>
        <v>0</v>
      </c>
      <c r="Y46" s="34">
        <f>IFERROR(__xludf.DUMMYFUNCTION("IF(ISNA(sum(filter(
Master_Mapping_Sheet!$E$2:$E$3143, ISNUMBER(
Master_Mapping_Sheet!$E$2:$E$3143),
Master_Mapping_Sheet!$H$2:$H$3143=Y$1,
Master_Mapping_Sheet!$B$2:$B$3143=$A46))/sum(filter(
Master_Mapping_Sheet!$E$2:$E$3143, ISNUMBER(
Master_Mapping_Sh"&amp;"eet!$E$2:$E$3143),
Master_Mapping_Sheet!$B$2:$B$3143=$A46))), 0, sum(filter(
Master_Mapping_Sheet!$E$2:$E$3143, ISNUMBER(
Master_Mapping_Sheet!$E$2:$E$3143),
Master_Mapping_Sheet!$H$2:$H$3143=Y$1,
Master_Mapping_Sheet!$B$2:$B$3143=$A46))/sum(filter(
Maste"&amp;"r_Mapping_Sheet!$E$2:$E$3143, ISNUMBER(
Master_Mapping_Sheet!$E$2:$E$3143),
Master_Mapping_Sheet!$B$2:$B$3143=$A46)))"),0.0)</f>
        <v>0</v>
      </c>
      <c r="Z46" s="34">
        <f>IFERROR(__xludf.DUMMYFUNCTION("IF(ISNA(sum(filter(
Master_Mapping_Sheet!$E$2:$E$3143, ISNUMBER(
Master_Mapping_Sheet!$E$2:$E$3143),
Master_Mapping_Sheet!$H$2:$H$3143=Z$1,
Master_Mapping_Sheet!$B$2:$B$3143=$A46))/sum(filter(
Master_Mapping_Sheet!$E$2:$E$3143, ISNUMBER(
Master_Mapping_Sh"&amp;"eet!$E$2:$E$3143),
Master_Mapping_Sheet!$B$2:$B$3143=$A46))), 0, sum(filter(
Master_Mapping_Sheet!$E$2:$E$3143, ISNUMBER(
Master_Mapping_Sheet!$E$2:$E$3143),
Master_Mapping_Sheet!$H$2:$H$3143=Z$1,
Master_Mapping_Sheet!$B$2:$B$3143=$A46))/sum(filter(
Maste"&amp;"r_Mapping_Sheet!$E$2:$E$3143, ISNUMBER(
Master_Mapping_Sheet!$E$2:$E$3143),
Master_Mapping_Sheet!$B$2:$B$3143=$A46)))"),0.0)</f>
        <v>0</v>
      </c>
      <c r="AA46" s="34">
        <f>IFERROR(__xludf.DUMMYFUNCTION("IF(ISNA(sum(filter(
Master_Mapping_Sheet!$E$2:$E$3143, ISNUMBER(
Master_Mapping_Sheet!$E$2:$E$3143),
Master_Mapping_Sheet!$H$2:$H$3143=AA$1,
Master_Mapping_Sheet!$B$2:$B$3143=$A46))/sum(filter(
Master_Mapping_Sheet!$E$2:$E$3143, ISNUMBER(
Master_Mapping_S"&amp;"heet!$E$2:$E$3143),
Master_Mapping_Sheet!$B$2:$B$3143=$A46))), 0, sum(filter(
Master_Mapping_Sheet!$E$2:$E$3143, ISNUMBER(
Master_Mapping_Sheet!$E$2:$E$3143),
Master_Mapping_Sheet!$H$2:$H$3143=AA$1,
Master_Mapping_Sheet!$B$2:$B$3143=$A46))/sum(filter(
Mas"&amp;"ter_Mapping_Sheet!$E$2:$E$3143, ISNUMBER(
Master_Mapping_Sheet!$E$2:$E$3143),
Master_Mapping_Sheet!$B$2:$B$3143=$A46)))"),1.0)</f>
        <v>1</v>
      </c>
    </row>
    <row r="47" ht="15.75" customHeight="1">
      <c r="A47" s="34" t="s">
        <v>1819</v>
      </c>
      <c r="B47" s="34" t="s">
        <v>3704</v>
      </c>
      <c r="C47" s="34">
        <f>IFERROR(__xludf.DUMMYFUNCTION("IF(ISNA(sum(filter(
Master_Mapping_Sheet!$E$2:$E$3143, ISNUMBER(
Master_Mapping_Sheet!$E$2:$E$3143),
Master_Mapping_Sheet!$H$2:$H$3143=C$1,
Master_Mapping_Sheet!$B$2:$B$3143=$A47))/sum(filter(
Master_Mapping_Sheet!$E$2:$E$3143, ISNUMBER(
Master_Mapping_Sh"&amp;"eet!$E$2:$E$3143),
Master_Mapping_Sheet!$B$2:$B$3143=$A47))), 0, sum(filter(
Master_Mapping_Sheet!$E$2:$E$3143, ISNUMBER(
Master_Mapping_Sheet!$E$2:$E$3143),
Master_Mapping_Sheet!$H$2:$H$3143=C$1,
Master_Mapping_Sheet!$B$2:$B$3143=$A47))/sum(filter(
Maste"&amp;"r_Mapping_Sheet!$E$2:$E$3143, ISNUMBER(
Master_Mapping_Sheet!$E$2:$E$3143),
Master_Mapping_Sheet!$B$2:$B$3143=$A47)))"),0.0)</f>
        <v>0</v>
      </c>
      <c r="D47" s="32">
        <f>IFERROR(__xludf.DUMMYFUNCTION("IF(ISNA(sum(filter(
Master_Mapping_Sheet!$E$2:$E$3143, ISNUMBER(
Master_Mapping_Sheet!$E$2:$E$3143),
Master_Mapping_Sheet!$H$2:$H$3143=D$1,
Master_Mapping_Sheet!$B$2:$B$3143=$A47))/sum(filter(
Master_Mapping_Sheet!$E$2:$E$3143, ISNUMBER(
Master_Mapping_Sh"&amp;"eet!$E$2:$E$3143),
Master_Mapping_Sheet!$B$2:$B$3143=$A47))), 0, sum(filter(
Master_Mapping_Sheet!$E$2:$E$3143, ISNUMBER(
Master_Mapping_Sheet!$E$2:$E$3143),
Master_Mapping_Sheet!$H$2:$H$3143=D$1,
Master_Mapping_Sheet!$B$2:$B$3143=$A47))/sum(filter(
Maste"&amp;"r_Mapping_Sheet!$E$2:$E$3143, ISNUMBER(
Master_Mapping_Sheet!$E$2:$E$3143),
Master_Mapping_Sheet!$B$2:$B$3143=$A47)))"),0.0)</f>
        <v>0</v>
      </c>
      <c r="E47" s="34">
        <f>IFERROR(__xludf.DUMMYFUNCTION("IF(ISNA(sum(filter(
Master_Mapping_Sheet!$E$2:$E$3143, ISNUMBER(
Master_Mapping_Sheet!$E$2:$E$3143),
Master_Mapping_Sheet!$H$2:$H$3143=E$1,
Master_Mapping_Sheet!$B$2:$B$3143=$A47))/sum(filter(
Master_Mapping_Sheet!$E$2:$E$3143, ISNUMBER(
Master_Mapping_Sh"&amp;"eet!$E$2:$E$3143),
Master_Mapping_Sheet!$B$2:$B$3143=$A47))), 0, sum(filter(
Master_Mapping_Sheet!$E$2:$E$3143, ISNUMBER(
Master_Mapping_Sheet!$E$2:$E$3143),
Master_Mapping_Sheet!$H$2:$H$3143=E$1,
Master_Mapping_Sheet!$B$2:$B$3143=$A47))/sum(filter(
Maste"&amp;"r_Mapping_Sheet!$E$2:$E$3143, ISNUMBER(
Master_Mapping_Sheet!$E$2:$E$3143),
Master_Mapping_Sheet!$B$2:$B$3143=$A47)))"),0.0)</f>
        <v>0</v>
      </c>
      <c r="F47" s="34">
        <f>IFERROR(__xludf.DUMMYFUNCTION("IF(ISNA(sum(filter(
Master_Mapping_Sheet!$E$2:$E$3143, ISNUMBER(
Master_Mapping_Sheet!$E$2:$E$3143),
Master_Mapping_Sheet!$H$2:$H$3143=F$1,
Master_Mapping_Sheet!$B$2:$B$3143=$A47))/sum(filter(
Master_Mapping_Sheet!$E$2:$E$3143, ISNUMBER(
Master_Mapping_Sh"&amp;"eet!$E$2:$E$3143),
Master_Mapping_Sheet!$B$2:$B$3143=$A47))), 0, sum(filter(
Master_Mapping_Sheet!$E$2:$E$3143, ISNUMBER(
Master_Mapping_Sheet!$E$2:$E$3143),
Master_Mapping_Sheet!$H$2:$H$3143=F$1,
Master_Mapping_Sheet!$B$2:$B$3143=$A47))/sum(filter(
Maste"&amp;"r_Mapping_Sheet!$E$2:$E$3143, ISNUMBER(
Master_Mapping_Sheet!$E$2:$E$3143),
Master_Mapping_Sheet!$B$2:$B$3143=$A47)))"),0.0)</f>
        <v>0</v>
      </c>
      <c r="G47" s="34">
        <f>IFERROR(__xludf.DUMMYFUNCTION("IF(ISNA(sum(filter(
Master_Mapping_Sheet!$E$2:$E$3143, ISNUMBER(
Master_Mapping_Sheet!$E$2:$E$3143),
Master_Mapping_Sheet!$H$2:$H$3143=G$1,
Master_Mapping_Sheet!$B$2:$B$3143=$A47))/sum(filter(
Master_Mapping_Sheet!$E$2:$E$3143, ISNUMBER(
Master_Mapping_Sh"&amp;"eet!$E$2:$E$3143),
Master_Mapping_Sheet!$B$2:$B$3143=$A47))), 0, sum(filter(
Master_Mapping_Sheet!$E$2:$E$3143, ISNUMBER(
Master_Mapping_Sheet!$E$2:$E$3143),
Master_Mapping_Sheet!$H$2:$H$3143=G$1,
Master_Mapping_Sheet!$B$2:$B$3143=$A47))/sum(filter(
Maste"&amp;"r_Mapping_Sheet!$E$2:$E$3143, ISNUMBER(
Master_Mapping_Sheet!$E$2:$E$3143),
Master_Mapping_Sheet!$B$2:$B$3143=$A47)))"),0.0)</f>
        <v>0</v>
      </c>
      <c r="H47" s="34">
        <f>IFERROR(__xludf.DUMMYFUNCTION("IF(ISNA(sum(filter(
Master_Mapping_Sheet!$E$2:$E$3143, ISNUMBER(
Master_Mapping_Sheet!$E$2:$E$3143),
Master_Mapping_Sheet!$H$2:$H$3143=H$1,
Master_Mapping_Sheet!$B$2:$B$3143=$A47))/sum(filter(
Master_Mapping_Sheet!$E$2:$E$3143, ISNUMBER(
Master_Mapping_Sh"&amp;"eet!$E$2:$E$3143),
Master_Mapping_Sheet!$B$2:$B$3143=$A47))), 0, sum(filter(
Master_Mapping_Sheet!$E$2:$E$3143, ISNUMBER(
Master_Mapping_Sheet!$E$2:$E$3143),
Master_Mapping_Sheet!$H$2:$H$3143=H$1,
Master_Mapping_Sheet!$B$2:$B$3143=$A47))/sum(filter(
Maste"&amp;"r_Mapping_Sheet!$E$2:$E$3143, ISNUMBER(
Master_Mapping_Sheet!$E$2:$E$3143),
Master_Mapping_Sheet!$B$2:$B$3143=$A47)))"),0.0)</f>
        <v>0</v>
      </c>
      <c r="I47" s="34">
        <f>IFERROR(__xludf.DUMMYFUNCTION("IF(ISNA(sum(filter(
Master_Mapping_Sheet!$E$2:$E$3143, ISNUMBER(
Master_Mapping_Sheet!$E$2:$E$3143),
Master_Mapping_Sheet!$H$2:$H$3143=I$1,
Master_Mapping_Sheet!$B$2:$B$3143=$A47))/sum(filter(
Master_Mapping_Sheet!$E$2:$E$3143, ISNUMBER(
Master_Mapping_Sh"&amp;"eet!$E$2:$E$3143),
Master_Mapping_Sheet!$B$2:$B$3143=$A47))), 0, sum(filter(
Master_Mapping_Sheet!$E$2:$E$3143, ISNUMBER(
Master_Mapping_Sheet!$E$2:$E$3143),
Master_Mapping_Sheet!$H$2:$H$3143=I$1,
Master_Mapping_Sheet!$B$2:$B$3143=$A47))/sum(filter(
Maste"&amp;"r_Mapping_Sheet!$E$2:$E$3143, ISNUMBER(
Master_Mapping_Sheet!$E$2:$E$3143),
Master_Mapping_Sheet!$B$2:$B$3143=$A47)))"),1.0)</f>
        <v>1</v>
      </c>
      <c r="J47" s="34">
        <f>IFERROR(__xludf.DUMMYFUNCTION("IF(ISNA(sum(filter(
Master_Mapping_Sheet!$E$2:$E$3143, ISNUMBER(
Master_Mapping_Sheet!$E$2:$E$3143),
Master_Mapping_Sheet!$H$2:$H$3143=J$1,
Master_Mapping_Sheet!$B$2:$B$3143=$A47))/sum(filter(
Master_Mapping_Sheet!$E$2:$E$3143, ISNUMBER(
Master_Mapping_Sh"&amp;"eet!$E$2:$E$3143),
Master_Mapping_Sheet!$B$2:$B$3143=$A47))), 0, sum(filter(
Master_Mapping_Sheet!$E$2:$E$3143, ISNUMBER(
Master_Mapping_Sheet!$E$2:$E$3143),
Master_Mapping_Sheet!$H$2:$H$3143=J$1,
Master_Mapping_Sheet!$B$2:$B$3143=$A47))/sum(filter(
Maste"&amp;"r_Mapping_Sheet!$E$2:$E$3143, ISNUMBER(
Master_Mapping_Sheet!$E$2:$E$3143),
Master_Mapping_Sheet!$B$2:$B$3143=$A47)))"),0.0)</f>
        <v>0</v>
      </c>
      <c r="K47" s="34">
        <f>IFERROR(__xludf.DUMMYFUNCTION("IF(ISNA(sum(filter(
Master_Mapping_Sheet!$E$2:$E$3143, ISNUMBER(
Master_Mapping_Sheet!$E$2:$E$3143),
Master_Mapping_Sheet!$H$2:$H$3143=K$1,
Master_Mapping_Sheet!$B$2:$B$3143=$A47))/sum(filter(
Master_Mapping_Sheet!$E$2:$E$3143, ISNUMBER(
Master_Mapping_Sh"&amp;"eet!$E$2:$E$3143),
Master_Mapping_Sheet!$B$2:$B$3143=$A47))), 0, sum(filter(
Master_Mapping_Sheet!$E$2:$E$3143, ISNUMBER(
Master_Mapping_Sheet!$E$2:$E$3143),
Master_Mapping_Sheet!$H$2:$H$3143=K$1,
Master_Mapping_Sheet!$B$2:$B$3143=$A47))/sum(filter(
Maste"&amp;"r_Mapping_Sheet!$E$2:$E$3143, ISNUMBER(
Master_Mapping_Sheet!$E$2:$E$3143),
Master_Mapping_Sheet!$B$2:$B$3143=$A47)))"),0.0)</f>
        <v>0</v>
      </c>
      <c r="L47" s="34">
        <f>IFERROR(__xludf.DUMMYFUNCTION("IF(ISNA(sum(filter(
Master_Mapping_Sheet!$E$2:$E$3143, ISNUMBER(
Master_Mapping_Sheet!$E$2:$E$3143),
Master_Mapping_Sheet!$H$2:$H$3143=L$1,
Master_Mapping_Sheet!$B$2:$B$3143=$A47))/sum(filter(
Master_Mapping_Sheet!$E$2:$E$3143, ISNUMBER(
Master_Mapping_Sh"&amp;"eet!$E$2:$E$3143),
Master_Mapping_Sheet!$B$2:$B$3143=$A47))), 0, sum(filter(
Master_Mapping_Sheet!$E$2:$E$3143, ISNUMBER(
Master_Mapping_Sheet!$E$2:$E$3143),
Master_Mapping_Sheet!$H$2:$H$3143=L$1,
Master_Mapping_Sheet!$B$2:$B$3143=$A47))/sum(filter(
Maste"&amp;"r_Mapping_Sheet!$E$2:$E$3143, ISNUMBER(
Master_Mapping_Sheet!$E$2:$E$3143),
Master_Mapping_Sheet!$B$2:$B$3143=$A47)))"),0.0)</f>
        <v>0</v>
      </c>
      <c r="M47" s="34">
        <f>IFERROR(__xludf.DUMMYFUNCTION("IF(ISNA(sum(filter(
Master_Mapping_Sheet!$E$2:$E$3143, ISNUMBER(
Master_Mapping_Sheet!$E$2:$E$3143),
Master_Mapping_Sheet!$H$2:$H$3143=M$1,
Master_Mapping_Sheet!$B$2:$B$3143=$A47))/sum(filter(
Master_Mapping_Sheet!$E$2:$E$3143, ISNUMBER(
Master_Mapping_Sh"&amp;"eet!$E$2:$E$3143),
Master_Mapping_Sheet!$B$2:$B$3143=$A47))), 0, sum(filter(
Master_Mapping_Sheet!$E$2:$E$3143, ISNUMBER(
Master_Mapping_Sheet!$E$2:$E$3143),
Master_Mapping_Sheet!$H$2:$H$3143=M$1,
Master_Mapping_Sheet!$B$2:$B$3143=$A47))/sum(filter(
Maste"&amp;"r_Mapping_Sheet!$E$2:$E$3143, ISNUMBER(
Master_Mapping_Sheet!$E$2:$E$3143),
Master_Mapping_Sheet!$B$2:$B$3143=$A47)))"),0.0)</f>
        <v>0</v>
      </c>
      <c r="N47" s="34">
        <f>IFERROR(__xludf.DUMMYFUNCTION("IF(ISNA(sum(filter(
Master_Mapping_Sheet!$E$2:$E$3143, ISNUMBER(
Master_Mapping_Sheet!$E$2:$E$3143),
Master_Mapping_Sheet!$H$2:$H$3143=N$1,
Master_Mapping_Sheet!$B$2:$B$3143=$A47))/sum(filter(
Master_Mapping_Sheet!$E$2:$E$3143, ISNUMBER(
Master_Mapping_Sh"&amp;"eet!$E$2:$E$3143),
Master_Mapping_Sheet!$B$2:$B$3143=$A47))), 0, sum(filter(
Master_Mapping_Sheet!$E$2:$E$3143, ISNUMBER(
Master_Mapping_Sheet!$E$2:$E$3143),
Master_Mapping_Sheet!$H$2:$H$3143=N$1,
Master_Mapping_Sheet!$B$2:$B$3143=$A47))/sum(filter(
Maste"&amp;"r_Mapping_Sheet!$E$2:$E$3143, ISNUMBER(
Master_Mapping_Sheet!$E$2:$E$3143),
Master_Mapping_Sheet!$B$2:$B$3143=$A47)))"),0.0)</f>
        <v>0</v>
      </c>
      <c r="O47" s="34">
        <f>IFERROR(__xludf.DUMMYFUNCTION("IF(ISNA(sum(filter(
Master_Mapping_Sheet!$E$2:$E$3143, ISNUMBER(
Master_Mapping_Sheet!$E$2:$E$3143),
Master_Mapping_Sheet!$H$2:$H$3143=O$1,
Master_Mapping_Sheet!$B$2:$B$3143=$A47))/sum(filter(
Master_Mapping_Sheet!$E$2:$E$3143, ISNUMBER(
Master_Mapping_Sh"&amp;"eet!$E$2:$E$3143),
Master_Mapping_Sheet!$B$2:$B$3143=$A47))), 0, sum(filter(
Master_Mapping_Sheet!$E$2:$E$3143, ISNUMBER(
Master_Mapping_Sheet!$E$2:$E$3143),
Master_Mapping_Sheet!$H$2:$H$3143=O$1,
Master_Mapping_Sheet!$B$2:$B$3143=$A47))/sum(filter(
Maste"&amp;"r_Mapping_Sheet!$E$2:$E$3143, ISNUMBER(
Master_Mapping_Sheet!$E$2:$E$3143),
Master_Mapping_Sheet!$B$2:$B$3143=$A47)))"),0.0)</f>
        <v>0</v>
      </c>
      <c r="P47" s="34">
        <f>IFERROR(__xludf.DUMMYFUNCTION("IF(ISNA(sum(filter(
Master_Mapping_Sheet!$E$2:$E$3143, ISNUMBER(
Master_Mapping_Sheet!$E$2:$E$3143),
Master_Mapping_Sheet!$H$2:$H$3143=P$1,
Master_Mapping_Sheet!$B$2:$B$3143=$A47))/sum(filter(
Master_Mapping_Sheet!$E$2:$E$3143, ISNUMBER(
Master_Mapping_Sh"&amp;"eet!$E$2:$E$3143),
Master_Mapping_Sheet!$B$2:$B$3143=$A47))), 0, sum(filter(
Master_Mapping_Sheet!$E$2:$E$3143, ISNUMBER(
Master_Mapping_Sheet!$E$2:$E$3143),
Master_Mapping_Sheet!$H$2:$H$3143=P$1,
Master_Mapping_Sheet!$B$2:$B$3143=$A47))/sum(filter(
Maste"&amp;"r_Mapping_Sheet!$E$2:$E$3143, ISNUMBER(
Master_Mapping_Sheet!$E$2:$E$3143),
Master_Mapping_Sheet!$B$2:$B$3143=$A47)))"),0.0)</f>
        <v>0</v>
      </c>
      <c r="Q47" s="34">
        <f>IFERROR(__xludf.DUMMYFUNCTION("IF(ISNA(sum(filter(
Master_Mapping_Sheet!$E$2:$E$3143, ISNUMBER(
Master_Mapping_Sheet!$E$2:$E$3143),
Master_Mapping_Sheet!$H$2:$H$3143=Q$1,
Master_Mapping_Sheet!$B$2:$B$3143=$A47))/sum(filter(
Master_Mapping_Sheet!$E$2:$E$3143, ISNUMBER(
Master_Mapping_Sh"&amp;"eet!$E$2:$E$3143),
Master_Mapping_Sheet!$B$2:$B$3143=$A47))), 0, sum(filter(
Master_Mapping_Sheet!$E$2:$E$3143, ISNUMBER(
Master_Mapping_Sheet!$E$2:$E$3143),
Master_Mapping_Sheet!$H$2:$H$3143=Q$1,
Master_Mapping_Sheet!$B$2:$B$3143=$A47))/sum(filter(
Maste"&amp;"r_Mapping_Sheet!$E$2:$E$3143, ISNUMBER(
Master_Mapping_Sheet!$E$2:$E$3143),
Master_Mapping_Sheet!$B$2:$B$3143=$A47)))"),0.0)</f>
        <v>0</v>
      </c>
      <c r="R47" s="34">
        <f>IFERROR(__xludf.DUMMYFUNCTION("IF(ISNA(sum(filter(
Master_Mapping_Sheet!$E$2:$E$3143, ISNUMBER(
Master_Mapping_Sheet!$E$2:$E$3143),
Master_Mapping_Sheet!$H$2:$H$3143=R$1,
Master_Mapping_Sheet!$B$2:$B$3143=$A47))/sum(filter(
Master_Mapping_Sheet!$E$2:$E$3143, ISNUMBER(
Master_Mapping_Sh"&amp;"eet!$E$2:$E$3143),
Master_Mapping_Sheet!$B$2:$B$3143=$A47))), 0, sum(filter(
Master_Mapping_Sheet!$E$2:$E$3143, ISNUMBER(
Master_Mapping_Sheet!$E$2:$E$3143),
Master_Mapping_Sheet!$H$2:$H$3143=R$1,
Master_Mapping_Sheet!$B$2:$B$3143=$A47))/sum(filter(
Maste"&amp;"r_Mapping_Sheet!$E$2:$E$3143, ISNUMBER(
Master_Mapping_Sheet!$E$2:$E$3143),
Master_Mapping_Sheet!$B$2:$B$3143=$A47)))"),0.0)</f>
        <v>0</v>
      </c>
      <c r="S47" s="34">
        <f>IFERROR(__xludf.DUMMYFUNCTION("IF(ISNA(sum(filter(
Master_Mapping_Sheet!$E$2:$E$3143, ISNUMBER(
Master_Mapping_Sheet!$E$2:$E$3143),
Master_Mapping_Sheet!$H$2:$H$3143=S$1,
Master_Mapping_Sheet!$B$2:$B$3143=$A47))/sum(filter(
Master_Mapping_Sheet!$E$2:$E$3143, ISNUMBER(
Master_Mapping_Sh"&amp;"eet!$E$2:$E$3143),
Master_Mapping_Sheet!$B$2:$B$3143=$A47))), 0, sum(filter(
Master_Mapping_Sheet!$E$2:$E$3143, ISNUMBER(
Master_Mapping_Sheet!$E$2:$E$3143),
Master_Mapping_Sheet!$H$2:$H$3143=S$1,
Master_Mapping_Sheet!$B$2:$B$3143=$A47))/sum(filter(
Maste"&amp;"r_Mapping_Sheet!$E$2:$E$3143, ISNUMBER(
Master_Mapping_Sheet!$E$2:$E$3143),
Master_Mapping_Sheet!$B$2:$B$3143=$A47)))"),0.0)</f>
        <v>0</v>
      </c>
      <c r="T47" s="34">
        <f>IFERROR(__xludf.DUMMYFUNCTION("IF(ISNA(sum(filter(
Master_Mapping_Sheet!$E$2:$E$3143, ISNUMBER(
Master_Mapping_Sheet!$E$2:$E$3143),
Master_Mapping_Sheet!$H$2:$H$3143=T$1,
Master_Mapping_Sheet!$B$2:$B$3143=$A47))/sum(filter(
Master_Mapping_Sheet!$E$2:$E$3143, ISNUMBER(
Master_Mapping_Sh"&amp;"eet!$E$2:$E$3143),
Master_Mapping_Sheet!$B$2:$B$3143=$A47))), 0, sum(filter(
Master_Mapping_Sheet!$E$2:$E$3143, ISNUMBER(
Master_Mapping_Sheet!$E$2:$E$3143),
Master_Mapping_Sheet!$H$2:$H$3143=T$1,
Master_Mapping_Sheet!$B$2:$B$3143=$A47))/sum(filter(
Maste"&amp;"r_Mapping_Sheet!$E$2:$E$3143, ISNUMBER(
Master_Mapping_Sheet!$E$2:$E$3143),
Master_Mapping_Sheet!$B$2:$B$3143=$A47)))"),0.0)</f>
        <v>0</v>
      </c>
      <c r="U47" s="34">
        <f>IFERROR(__xludf.DUMMYFUNCTION("IF(ISNA(sum(filter(
Master_Mapping_Sheet!$E$2:$E$3143, ISNUMBER(
Master_Mapping_Sheet!$E$2:$E$3143),
Master_Mapping_Sheet!$H$2:$H$3143=U$1,
Master_Mapping_Sheet!$B$2:$B$3143=$A47))/sum(filter(
Master_Mapping_Sheet!$E$2:$E$3143, ISNUMBER(
Master_Mapping_Sh"&amp;"eet!$E$2:$E$3143),
Master_Mapping_Sheet!$B$2:$B$3143=$A47))), 0, sum(filter(
Master_Mapping_Sheet!$E$2:$E$3143, ISNUMBER(
Master_Mapping_Sheet!$E$2:$E$3143),
Master_Mapping_Sheet!$H$2:$H$3143=U$1,
Master_Mapping_Sheet!$B$2:$B$3143=$A47))/sum(filter(
Maste"&amp;"r_Mapping_Sheet!$E$2:$E$3143, ISNUMBER(
Master_Mapping_Sheet!$E$2:$E$3143),
Master_Mapping_Sheet!$B$2:$B$3143=$A47)))"),0.0)</f>
        <v>0</v>
      </c>
      <c r="V47" s="34">
        <f>IFERROR(__xludf.DUMMYFUNCTION("IF(ISNA(sum(filter(
Master_Mapping_Sheet!$E$2:$E$3143, ISNUMBER(
Master_Mapping_Sheet!$E$2:$E$3143),
Master_Mapping_Sheet!$H$2:$H$3143=V$1,
Master_Mapping_Sheet!$B$2:$B$3143=$A47))/sum(filter(
Master_Mapping_Sheet!$E$2:$E$3143, ISNUMBER(
Master_Mapping_Sh"&amp;"eet!$E$2:$E$3143),
Master_Mapping_Sheet!$B$2:$B$3143=$A47))), 0, sum(filter(
Master_Mapping_Sheet!$E$2:$E$3143, ISNUMBER(
Master_Mapping_Sheet!$E$2:$E$3143),
Master_Mapping_Sheet!$H$2:$H$3143=V$1,
Master_Mapping_Sheet!$B$2:$B$3143=$A47))/sum(filter(
Maste"&amp;"r_Mapping_Sheet!$E$2:$E$3143, ISNUMBER(
Master_Mapping_Sheet!$E$2:$E$3143),
Master_Mapping_Sheet!$B$2:$B$3143=$A47)))"),0.0)</f>
        <v>0</v>
      </c>
      <c r="W47" s="34">
        <f>IFERROR(__xludf.DUMMYFUNCTION("IF(ISNA(sum(filter(
Master_Mapping_Sheet!$E$2:$E$3143, ISNUMBER(
Master_Mapping_Sheet!$E$2:$E$3143),
Master_Mapping_Sheet!$H$2:$H$3143=W$1,
Master_Mapping_Sheet!$B$2:$B$3143=$A47))/sum(filter(
Master_Mapping_Sheet!$E$2:$E$3143, ISNUMBER(
Master_Mapping_Sh"&amp;"eet!$E$2:$E$3143),
Master_Mapping_Sheet!$B$2:$B$3143=$A47))), 0, sum(filter(
Master_Mapping_Sheet!$E$2:$E$3143, ISNUMBER(
Master_Mapping_Sheet!$E$2:$E$3143),
Master_Mapping_Sheet!$H$2:$H$3143=W$1,
Master_Mapping_Sheet!$B$2:$B$3143=$A47))/sum(filter(
Maste"&amp;"r_Mapping_Sheet!$E$2:$E$3143, ISNUMBER(
Master_Mapping_Sheet!$E$2:$E$3143),
Master_Mapping_Sheet!$B$2:$B$3143=$A47)))"),0.0)</f>
        <v>0</v>
      </c>
      <c r="X47" s="34">
        <f>IFERROR(__xludf.DUMMYFUNCTION("IF(ISNA(sum(filter(
Master_Mapping_Sheet!$E$2:$E$3143, ISNUMBER(
Master_Mapping_Sheet!$E$2:$E$3143),
Master_Mapping_Sheet!$H$2:$H$3143=X$1,
Master_Mapping_Sheet!$B$2:$B$3143=$A47))/sum(filter(
Master_Mapping_Sheet!$E$2:$E$3143, ISNUMBER(
Master_Mapping_Sh"&amp;"eet!$E$2:$E$3143),
Master_Mapping_Sheet!$B$2:$B$3143=$A47))), 0, sum(filter(
Master_Mapping_Sheet!$E$2:$E$3143, ISNUMBER(
Master_Mapping_Sheet!$E$2:$E$3143),
Master_Mapping_Sheet!$H$2:$H$3143=X$1,
Master_Mapping_Sheet!$B$2:$B$3143=$A47))/sum(filter(
Maste"&amp;"r_Mapping_Sheet!$E$2:$E$3143, ISNUMBER(
Master_Mapping_Sheet!$E$2:$E$3143),
Master_Mapping_Sheet!$B$2:$B$3143=$A47)))"),0.0)</f>
        <v>0</v>
      </c>
      <c r="Y47" s="34">
        <f>IFERROR(__xludf.DUMMYFUNCTION("IF(ISNA(sum(filter(
Master_Mapping_Sheet!$E$2:$E$3143, ISNUMBER(
Master_Mapping_Sheet!$E$2:$E$3143),
Master_Mapping_Sheet!$H$2:$H$3143=Y$1,
Master_Mapping_Sheet!$B$2:$B$3143=$A47))/sum(filter(
Master_Mapping_Sheet!$E$2:$E$3143, ISNUMBER(
Master_Mapping_Sh"&amp;"eet!$E$2:$E$3143),
Master_Mapping_Sheet!$B$2:$B$3143=$A47))), 0, sum(filter(
Master_Mapping_Sheet!$E$2:$E$3143, ISNUMBER(
Master_Mapping_Sheet!$E$2:$E$3143),
Master_Mapping_Sheet!$H$2:$H$3143=Y$1,
Master_Mapping_Sheet!$B$2:$B$3143=$A47))/sum(filter(
Maste"&amp;"r_Mapping_Sheet!$E$2:$E$3143, ISNUMBER(
Master_Mapping_Sheet!$E$2:$E$3143),
Master_Mapping_Sheet!$B$2:$B$3143=$A47)))"),0.0)</f>
        <v>0</v>
      </c>
      <c r="Z47" s="34">
        <f>IFERROR(__xludf.DUMMYFUNCTION("IF(ISNA(sum(filter(
Master_Mapping_Sheet!$E$2:$E$3143, ISNUMBER(
Master_Mapping_Sheet!$E$2:$E$3143),
Master_Mapping_Sheet!$H$2:$H$3143=Z$1,
Master_Mapping_Sheet!$B$2:$B$3143=$A47))/sum(filter(
Master_Mapping_Sheet!$E$2:$E$3143, ISNUMBER(
Master_Mapping_Sh"&amp;"eet!$E$2:$E$3143),
Master_Mapping_Sheet!$B$2:$B$3143=$A47))), 0, sum(filter(
Master_Mapping_Sheet!$E$2:$E$3143, ISNUMBER(
Master_Mapping_Sheet!$E$2:$E$3143),
Master_Mapping_Sheet!$H$2:$H$3143=Z$1,
Master_Mapping_Sheet!$B$2:$B$3143=$A47))/sum(filter(
Maste"&amp;"r_Mapping_Sheet!$E$2:$E$3143, ISNUMBER(
Master_Mapping_Sheet!$E$2:$E$3143),
Master_Mapping_Sheet!$B$2:$B$3143=$A47)))"),0.0)</f>
        <v>0</v>
      </c>
      <c r="AA47" s="34">
        <f>IFERROR(__xludf.DUMMYFUNCTION("IF(ISNA(sum(filter(
Master_Mapping_Sheet!$E$2:$E$3143, ISNUMBER(
Master_Mapping_Sheet!$E$2:$E$3143),
Master_Mapping_Sheet!$H$2:$H$3143=AA$1,
Master_Mapping_Sheet!$B$2:$B$3143=$A47))/sum(filter(
Master_Mapping_Sheet!$E$2:$E$3143, ISNUMBER(
Master_Mapping_S"&amp;"heet!$E$2:$E$3143),
Master_Mapping_Sheet!$B$2:$B$3143=$A47))), 0, sum(filter(
Master_Mapping_Sheet!$E$2:$E$3143, ISNUMBER(
Master_Mapping_Sheet!$E$2:$E$3143),
Master_Mapping_Sheet!$H$2:$H$3143=AA$1,
Master_Mapping_Sheet!$B$2:$B$3143=$A47))/sum(filter(
Mas"&amp;"ter_Mapping_Sheet!$E$2:$E$3143, ISNUMBER(
Master_Mapping_Sheet!$E$2:$E$3143),
Master_Mapping_Sheet!$B$2:$B$3143=$A47)))"),0.0)</f>
        <v>0</v>
      </c>
    </row>
    <row r="48" ht="15.75" customHeight="1">
      <c r="A48" s="34" t="s">
        <v>1828</v>
      </c>
      <c r="B48" s="34" t="s">
        <v>3713</v>
      </c>
      <c r="C48" s="34">
        <f>IFERROR(__xludf.DUMMYFUNCTION("IF(ISNA(sum(filter(
Master_Mapping_Sheet!$E$2:$E$3143, ISNUMBER(
Master_Mapping_Sheet!$E$2:$E$3143),
Master_Mapping_Sheet!$H$2:$H$3143=C$1,
Master_Mapping_Sheet!$B$2:$B$3143=$A48))/sum(filter(
Master_Mapping_Sheet!$E$2:$E$3143, ISNUMBER(
Master_Mapping_Sh"&amp;"eet!$E$2:$E$3143),
Master_Mapping_Sheet!$B$2:$B$3143=$A48))), 0, sum(filter(
Master_Mapping_Sheet!$E$2:$E$3143, ISNUMBER(
Master_Mapping_Sheet!$E$2:$E$3143),
Master_Mapping_Sheet!$H$2:$H$3143=C$1,
Master_Mapping_Sheet!$B$2:$B$3143=$A48))/sum(filter(
Maste"&amp;"r_Mapping_Sheet!$E$2:$E$3143, ISNUMBER(
Master_Mapping_Sheet!$E$2:$E$3143),
Master_Mapping_Sheet!$B$2:$B$3143=$A48)))"),0.0)</f>
        <v>0</v>
      </c>
      <c r="D48" s="32">
        <f>IFERROR(__xludf.DUMMYFUNCTION("IF(ISNA(sum(filter(
Master_Mapping_Sheet!$E$2:$E$3143, ISNUMBER(
Master_Mapping_Sheet!$E$2:$E$3143),
Master_Mapping_Sheet!$H$2:$H$3143=D$1,
Master_Mapping_Sheet!$B$2:$B$3143=$A48))/sum(filter(
Master_Mapping_Sheet!$E$2:$E$3143, ISNUMBER(
Master_Mapping_Sh"&amp;"eet!$E$2:$E$3143),
Master_Mapping_Sheet!$B$2:$B$3143=$A48))), 0, sum(filter(
Master_Mapping_Sheet!$E$2:$E$3143, ISNUMBER(
Master_Mapping_Sheet!$E$2:$E$3143),
Master_Mapping_Sheet!$H$2:$H$3143=D$1,
Master_Mapping_Sheet!$B$2:$B$3143=$A48))/sum(filter(
Maste"&amp;"r_Mapping_Sheet!$E$2:$E$3143, ISNUMBER(
Master_Mapping_Sheet!$E$2:$E$3143),
Master_Mapping_Sheet!$B$2:$B$3143=$A48)))"),0.0)</f>
        <v>0</v>
      </c>
      <c r="E48" s="34">
        <f>IFERROR(__xludf.DUMMYFUNCTION("IF(ISNA(sum(filter(
Master_Mapping_Sheet!$E$2:$E$3143, ISNUMBER(
Master_Mapping_Sheet!$E$2:$E$3143),
Master_Mapping_Sheet!$H$2:$H$3143=E$1,
Master_Mapping_Sheet!$B$2:$B$3143=$A48))/sum(filter(
Master_Mapping_Sheet!$E$2:$E$3143, ISNUMBER(
Master_Mapping_Sh"&amp;"eet!$E$2:$E$3143),
Master_Mapping_Sheet!$B$2:$B$3143=$A48))), 0, sum(filter(
Master_Mapping_Sheet!$E$2:$E$3143, ISNUMBER(
Master_Mapping_Sheet!$E$2:$E$3143),
Master_Mapping_Sheet!$H$2:$H$3143=E$1,
Master_Mapping_Sheet!$B$2:$B$3143=$A48))/sum(filter(
Maste"&amp;"r_Mapping_Sheet!$E$2:$E$3143, ISNUMBER(
Master_Mapping_Sheet!$E$2:$E$3143),
Master_Mapping_Sheet!$B$2:$B$3143=$A48)))"),0.0)</f>
        <v>0</v>
      </c>
      <c r="F48" s="34">
        <f>IFERROR(__xludf.DUMMYFUNCTION("IF(ISNA(sum(filter(
Master_Mapping_Sheet!$E$2:$E$3143, ISNUMBER(
Master_Mapping_Sheet!$E$2:$E$3143),
Master_Mapping_Sheet!$H$2:$H$3143=F$1,
Master_Mapping_Sheet!$B$2:$B$3143=$A48))/sum(filter(
Master_Mapping_Sheet!$E$2:$E$3143, ISNUMBER(
Master_Mapping_Sh"&amp;"eet!$E$2:$E$3143),
Master_Mapping_Sheet!$B$2:$B$3143=$A48))), 0, sum(filter(
Master_Mapping_Sheet!$E$2:$E$3143, ISNUMBER(
Master_Mapping_Sheet!$E$2:$E$3143),
Master_Mapping_Sheet!$H$2:$H$3143=F$1,
Master_Mapping_Sheet!$B$2:$B$3143=$A48))/sum(filter(
Maste"&amp;"r_Mapping_Sheet!$E$2:$E$3143, ISNUMBER(
Master_Mapping_Sheet!$E$2:$E$3143),
Master_Mapping_Sheet!$B$2:$B$3143=$A48)))"),0.0)</f>
        <v>0</v>
      </c>
      <c r="G48" s="34">
        <f>IFERROR(__xludf.DUMMYFUNCTION("IF(ISNA(sum(filter(
Master_Mapping_Sheet!$E$2:$E$3143, ISNUMBER(
Master_Mapping_Sheet!$E$2:$E$3143),
Master_Mapping_Sheet!$H$2:$H$3143=G$1,
Master_Mapping_Sheet!$B$2:$B$3143=$A48))/sum(filter(
Master_Mapping_Sheet!$E$2:$E$3143, ISNUMBER(
Master_Mapping_Sh"&amp;"eet!$E$2:$E$3143),
Master_Mapping_Sheet!$B$2:$B$3143=$A48))), 0, sum(filter(
Master_Mapping_Sheet!$E$2:$E$3143, ISNUMBER(
Master_Mapping_Sheet!$E$2:$E$3143),
Master_Mapping_Sheet!$H$2:$H$3143=G$1,
Master_Mapping_Sheet!$B$2:$B$3143=$A48))/sum(filter(
Maste"&amp;"r_Mapping_Sheet!$E$2:$E$3143, ISNUMBER(
Master_Mapping_Sheet!$E$2:$E$3143),
Master_Mapping_Sheet!$B$2:$B$3143=$A48)))"),0.0)</f>
        <v>0</v>
      </c>
      <c r="H48" s="34">
        <f>IFERROR(__xludf.DUMMYFUNCTION("IF(ISNA(sum(filter(
Master_Mapping_Sheet!$E$2:$E$3143, ISNUMBER(
Master_Mapping_Sheet!$E$2:$E$3143),
Master_Mapping_Sheet!$H$2:$H$3143=H$1,
Master_Mapping_Sheet!$B$2:$B$3143=$A48))/sum(filter(
Master_Mapping_Sheet!$E$2:$E$3143, ISNUMBER(
Master_Mapping_Sh"&amp;"eet!$E$2:$E$3143),
Master_Mapping_Sheet!$B$2:$B$3143=$A48))), 0, sum(filter(
Master_Mapping_Sheet!$E$2:$E$3143, ISNUMBER(
Master_Mapping_Sheet!$E$2:$E$3143),
Master_Mapping_Sheet!$H$2:$H$3143=H$1,
Master_Mapping_Sheet!$B$2:$B$3143=$A48))/sum(filter(
Maste"&amp;"r_Mapping_Sheet!$E$2:$E$3143, ISNUMBER(
Master_Mapping_Sheet!$E$2:$E$3143),
Master_Mapping_Sheet!$B$2:$B$3143=$A48)))"),0.0)</f>
        <v>0</v>
      </c>
      <c r="I48" s="34">
        <f>IFERROR(__xludf.DUMMYFUNCTION("IF(ISNA(sum(filter(
Master_Mapping_Sheet!$E$2:$E$3143, ISNUMBER(
Master_Mapping_Sheet!$E$2:$E$3143),
Master_Mapping_Sheet!$H$2:$H$3143=I$1,
Master_Mapping_Sheet!$B$2:$B$3143=$A48))/sum(filter(
Master_Mapping_Sheet!$E$2:$E$3143, ISNUMBER(
Master_Mapping_Sh"&amp;"eet!$E$2:$E$3143),
Master_Mapping_Sheet!$B$2:$B$3143=$A48))), 0, sum(filter(
Master_Mapping_Sheet!$E$2:$E$3143, ISNUMBER(
Master_Mapping_Sheet!$E$2:$E$3143),
Master_Mapping_Sheet!$H$2:$H$3143=I$1,
Master_Mapping_Sheet!$B$2:$B$3143=$A48))/sum(filter(
Maste"&amp;"r_Mapping_Sheet!$E$2:$E$3143, ISNUMBER(
Master_Mapping_Sheet!$E$2:$E$3143),
Master_Mapping_Sheet!$B$2:$B$3143=$A48)))"),0.0)</f>
        <v>0</v>
      </c>
      <c r="J48" s="34">
        <f>IFERROR(__xludf.DUMMYFUNCTION("IF(ISNA(sum(filter(
Master_Mapping_Sheet!$E$2:$E$3143, ISNUMBER(
Master_Mapping_Sheet!$E$2:$E$3143),
Master_Mapping_Sheet!$H$2:$H$3143=J$1,
Master_Mapping_Sheet!$B$2:$B$3143=$A48))/sum(filter(
Master_Mapping_Sheet!$E$2:$E$3143, ISNUMBER(
Master_Mapping_Sh"&amp;"eet!$E$2:$E$3143),
Master_Mapping_Sheet!$B$2:$B$3143=$A48))), 0, sum(filter(
Master_Mapping_Sheet!$E$2:$E$3143, ISNUMBER(
Master_Mapping_Sheet!$E$2:$E$3143),
Master_Mapping_Sheet!$H$2:$H$3143=J$1,
Master_Mapping_Sheet!$B$2:$B$3143=$A48))/sum(filter(
Maste"&amp;"r_Mapping_Sheet!$E$2:$E$3143, ISNUMBER(
Master_Mapping_Sheet!$E$2:$E$3143),
Master_Mapping_Sheet!$B$2:$B$3143=$A48)))"),0.0)</f>
        <v>0</v>
      </c>
      <c r="K48" s="34">
        <f>IFERROR(__xludf.DUMMYFUNCTION("IF(ISNA(sum(filter(
Master_Mapping_Sheet!$E$2:$E$3143, ISNUMBER(
Master_Mapping_Sheet!$E$2:$E$3143),
Master_Mapping_Sheet!$H$2:$H$3143=K$1,
Master_Mapping_Sheet!$B$2:$B$3143=$A48))/sum(filter(
Master_Mapping_Sheet!$E$2:$E$3143, ISNUMBER(
Master_Mapping_Sh"&amp;"eet!$E$2:$E$3143),
Master_Mapping_Sheet!$B$2:$B$3143=$A48))), 0, sum(filter(
Master_Mapping_Sheet!$E$2:$E$3143, ISNUMBER(
Master_Mapping_Sheet!$E$2:$E$3143),
Master_Mapping_Sheet!$H$2:$H$3143=K$1,
Master_Mapping_Sheet!$B$2:$B$3143=$A48))/sum(filter(
Maste"&amp;"r_Mapping_Sheet!$E$2:$E$3143, ISNUMBER(
Master_Mapping_Sheet!$E$2:$E$3143),
Master_Mapping_Sheet!$B$2:$B$3143=$A48)))"),0.0)</f>
        <v>0</v>
      </c>
      <c r="L48" s="34">
        <f>IFERROR(__xludf.DUMMYFUNCTION("IF(ISNA(sum(filter(
Master_Mapping_Sheet!$E$2:$E$3143, ISNUMBER(
Master_Mapping_Sheet!$E$2:$E$3143),
Master_Mapping_Sheet!$H$2:$H$3143=L$1,
Master_Mapping_Sheet!$B$2:$B$3143=$A48))/sum(filter(
Master_Mapping_Sheet!$E$2:$E$3143, ISNUMBER(
Master_Mapping_Sh"&amp;"eet!$E$2:$E$3143),
Master_Mapping_Sheet!$B$2:$B$3143=$A48))), 0, sum(filter(
Master_Mapping_Sheet!$E$2:$E$3143, ISNUMBER(
Master_Mapping_Sheet!$E$2:$E$3143),
Master_Mapping_Sheet!$H$2:$H$3143=L$1,
Master_Mapping_Sheet!$B$2:$B$3143=$A48))/sum(filter(
Maste"&amp;"r_Mapping_Sheet!$E$2:$E$3143, ISNUMBER(
Master_Mapping_Sheet!$E$2:$E$3143),
Master_Mapping_Sheet!$B$2:$B$3143=$A48)))"),0.005192928896802069)</f>
        <v>0.005192928897</v>
      </c>
      <c r="M48" s="34">
        <f>IFERROR(__xludf.DUMMYFUNCTION("IF(ISNA(sum(filter(
Master_Mapping_Sheet!$E$2:$E$3143, ISNUMBER(
Master_Mapping_Sheet!$E$2:$E$3143),
Master_Mapping_Sheet!$H$2:$H$3143=M$1,
Master_Mapping_Sheet!$B$2:$B$3143=$A48))/sum(filter(
Master_Mapping_Sheet!$E$2:$E$3143, ISNUMBER(
Master_Mapping_Sh"&amp;"eet!$E$2:$E$3143),
Master_Mapping_Sheet!$B$2:$B$3143=$A48))), 0, sum(filter(
Master_Mapping_Sheet!$E$2:$E$3143, ISNUMBER(
Master_Mapping_Sheet!$E$2:$E$3143),
Master_Mapping_Sheet!$H$2:$H$3143=M$1,
Master_Mapping_Sheet!$B$2:$B$3143=$A48))/sum(filter(
Maste"&amp;"r_Mapping_Sheet!$E$2:$E$3143, ISNUMBER(
Master_Mapping_Sheet!$E$2:$E$3143),
Master_Mapping_Sheet!$B$2:$B$3143=$A48)))"),0.1535922883055379)</f>
        <v>0.1535922883</v>
      </c>
      <c r="N48" s="34">
        <f>IFERROR(__xludf.DUMMYFUNCTION("IF(ISNA(sum(filter(
Master_Mapping_Sheet!$E$2:$E$3143, ISNUMBER(
Master_Mapping_Sheet!$E$2:$E$3143),
Master_Mapping_Sheet!$H$2:$H$3143=N$1,
Master_Mapping_Sheet!$B$2:$B$3143=$A48))/sum(filter(
Master_Mapping_Sheet!$E$2:$E$3143, ISNUMBER(
Master_Mapping_Sh"&amp;"eet!$E$2:$E$3143),
Master_Mapping_Sheet!$B$2:$B$3143=$A48))), 0, sum(filter(
Master_Mapping_Sheet!$E$2:$E$3143, ISNUMBER(
Master_Mapping_Sheet!$E$2:$E$3143),
Master_Mapping_Sheet!$H$2:$H$3143=N$1,
Master_Mapping_Sheet!$B$2:$B$3143=$A48))/sum(filter(
Maste"&amp;"r_Mapping_Sheet!$E$2:$E$3143, ISNUMBER(
Master_Mapping_Sheet!$E$2:$E$3143),
Master_Mapping_Sheet!$B$2:$B$3143=$A48)))"),0.0)</f>
        <v>0</v>
      </c>
      <c r="O48" s="34">
        <f>IFERROR(__xludf.DUMMYFUNCTION("IF(ISNA(sum(filter(
Master_Mapping_Sheet!$E$2:$E$3143, ISNUMBER(
Master_Mapping_Sheet!$E$2:$E$3143),
Master_Mapping_Sheet!$H$2:$H$3143=O$1,
Master_Mapping_Sheet!$B$2:$B$3143=$A48))/sum(filter(
Master_Mapping_Sheet!$E$2:$E$3143, ISNUMBER(
Master_Mapping_Sh"&amp;"eet!$E$2:$E$3143),
Master_Mapping_Sheet!$B$2:$B$3143=$A48))), 0, sum(filter(
Master_Mapping_Sheet!$E$2:$E$3143, ISNUMBER(
Master_Mapping_Sheet!$E$2:$E$3143),
Master_Mapping_Sheet!$H$2:$H$3143=O$1,
Master_Mapping_Sheet!$B$2:$B$3143=$A48))/sum(filter(
Maste"&amp;"r_Mapping_Sheet!$E$2:$E$3143, ISNUMBER(
Master_Mapping_Sheet!$E$2:$E$3143),
Master_Mapping_Sheet!$B$2:$B$3143=$A48)))"),0.8298960106235898)</f>
        <v>0.8298960106</v>
      </c>
      <c r="P48" s="34">
        <f>IFERROR(__xludf.DUMMYFUNCTION("IF(ISNA(sum(filter(
Master_Mapping_Sheet!$E$2:$E$3143, ISNUMBER(
Master_Mapping_Sheet!$E$2:$E$3143),
Master_Mapping_Sheet!$H$2:$H$3143=P$1,
Master_Mapping_Sheet!$B$2:$B$3143=$A48))/sum(filter(
Master_Mapping_Sheet!$E$2:$E$3143, ISNUMBER(
Master_Mapping_Sh"&amp;"eet!$E$2:$E$3143),
Master_Mapping_Sheet!$B$2:$B$3143=$A48))), 0, sum(filter(
Master_Mapping_Sheet!$E$2:$E$3143, ISNUMBER(
Master_Mapping_Sheet!$E$2:$E$3143),
Master_Mapping_Sheet!$H$2:$H$3143=P$1,
Master_Mapping_Sheet!$B$2:$B$3143=$A48))/sum(filter(
Maste"&amp;"r_Mapping_Sheet!$E$2:$E$3143, ISNUMBER(
Master_Mapping_Sheet!$E$2:$E$3143),
Master_Mapping_Sheet!$B$2:$B$3143=$A48)))"),0.0)</f>
        <v>0</v>
      </c>
      <c r="Q48" s="34">
        <f>IFERROR(__xludf.DUMMYFUNCTION("IF(ISNA(sum(filter(
Master_Mapping_Sheet!$E$2:$E$3143, ISNUMBER(
Master_Mapping_Sheet!$E$2:$E$3143),
Master_Mapping_Sheet!$H$2:$H$3143=Q$1,
Master_Mapping_Sheet!$B$2:$B$3143=$A48))/sum(filter(
Master_Mapping_Sheet!$E$2:$E$3143, ISNUMBER(
Master_Mapping_Sh"&amp;"eet!$E$2:$E$3143),
Master_Mapping_Sheet!$B$2:$B$3143=$A48))), 0, sum(filter(
Master_Mapping_Sheet!$E$2:$E$3143, ISNUMBER(
Master_Mapping_Sheet!$E$2:$E$3143),
Master_Mapping_Sheet!$H$2:$H$3143=Q$1,
Master_Mapping_Sheet!$B$2:$B$3143=$A48))/sum(filter(
Maste"&amp;"r_Mapping_Sheet!$E$2:$E$3143, ISNUMBER(
Master_Mapping_Sheet!$E$2:$E$3143),
Master_Mapping_Sheet!$B$2:$B$3143=$A48)))"),0.0)</f>
        <v>0</v>
      </c>
      <c r="R48" s="34">
        <f>IFERROR(__xludf.DUMMYFUNCTION("IF(ISNA(sum(filter(
Master_Mapping_Sheet!$E$2:$E$3143, ISNUMBER(
Master_Mapping_Sheet!$E$2:$E$3143),
Master_Mapping_Sheet!$H$2:$H$3143=R$1,
Master_Mapping_Sheet!$B$2:$B$3143=$A48))/sum(filter(
Master_Mapping_Sheet!$E$2:$E$3143, ISNUMBER(
Master_Mapping_Sh"&amp;"eet!$E$2:$E$3143),
Master_Mapping_Sheet!$B$2:$B$3143=$A48))), 0, sum(filter(
Master_Mapping_Sheet!$E$2:$E$3143, ISNUMBER(
Master_Mapping_Sheet!$E$2:$E$3143),
Master_Mapping_Sheet!$H$2:$H$3143=R$1,
Master_Mapping_Sheet!$B$2:$B$3143=$A48))/sum(filter(
Maste"&amp;"r_Mapping_Sheet!$E$2:$E$3143, ISNUMBER(
Master_Mapping_Sheet!$E$2:$E$3143),
Master_Mapping_Sheet!$B$2:$B$3143=$A48)))"),0.01131877217407028)</f>
        <v>0.01131877217</v>
      </c>
      <c r="S48" s="34">
        <f>IFERROR(__xludf.DUMMYFUNCTION("IF(ISNA(sum(filter(
Master_Mapping_Sheet!$E$2:$E$3143, ISNUMBER(
Master_Mapping_Sheet!$E$2:$E$3143),
Master_Mapping_Sheet!$H$2:$H$3143=S$1,
Master_Mapping_Sheet!$B$2:$B$3143=$A48))/sum(filter(
Master_Mapping_Sheet!$E$2:$E$3143, ISNUMBER(
Master_Mapping_Sh"&amp;"eet!$E$2:$E$3143),
Master_Mapping_Sheet!$B$2:$B$3143=$A48))), 0, sum(filter(
Master_Mapping_Sheet!$E$2:$E$3143, ISNUMBER(
Master_Mapping_Sheet!$E$2:$E$3143),
Master_Mapping_Sheet!$H$2:$H$3143=S$1,
Master_Mapping_Sheet!$B$2:$B$3143=$A48))/sum(filter(
Maste"&amp;"r_Mapping_Sheet!$E$2:$E$3143, ISNUMBER(
Master_Mapping_Sheet!$E$2:$E$3143),
Master_Mapping_Sheet!$B$2:$B$3143=$A48)))"),0.0)</f>
        <v>0</v>
      </c>
      <c r="T48" s="34">
        <f>IFERROR(__xludf.DUMMYFUNCTION("IF(ISNA(sum(filter(
Master_Mapping_Sheet!$E$2:$E$3143, ISNUMBER(
Master_Mapping_Sheet!$E$2:$E$3143),
Master_Mapping_Sheet!$H$2:$H$3143=T$1,
Master_Mapping_Sheet!$B$2:$B$3143=$A48))/sum(filter(
Master_Mapping_Sheet!$E$2:$E$3143, ISNUMBER(
Master_Mapping_Sh"&amp;"eet!$E$2:$E$3143),
Master_Mapping_Sheet!$B$2:$B$3143=$A48))), 0, sum(filter(
Master_Mapping_Sheet!$E$2:$E$3143, ISNUMBER(
Master_Mapping_Sheet!$E$2:$E$3143),
Master_Mapping_Sheet!$H$2:$H$3143=T$1,
Master_Mapping_Sheet!$B$2:$B$3143=$A48))/sum(filter(
Maste"&amp;"r_Mapping_Sheet!$E$2:$E$3143, ISNUMBER(
Master_Mapping_Sheet!$E$2:$E$3143),
Master_Mapping_Sheet!$B$2:$B$3143=$A48)))"),0.0)</f>
        <v>0</v>
      </c>
      <c r="U48" s="34">
        <f>IFERROR(__xludf.DUMMYFUNCTION("IF(ISNA(sum(filter(
Master_Mapping_Sheet!$E$2:$E$3143, ISNUMBER(
Master_Mapping_Sheet!$E$2:$E$3143),
Master_Mapping_Sheet!$H$2:$H$3143=U$1,
Master_Mapping_Sheet!$B$2:$B$3143=$A48))/sum(filter(
Master_Mapping_Sheet!$E$2:$E$3143, ISNUMBER(
Master_Mapping_Sh"&amp;"eet!$E$2:$E$3143),
Master_Mapping_Sheet!$B$2:$B$3143=$A48))), 0, sum(filter(
Master_Mapping_Sheet!$E$2:$E$3143, ISNUMBER(
Master_Mapping_Sheet!$E$2:$E$3143),
Master_Mapping_Sheet!$H$2:$H$3143=U$1,
Master_Mapping_Sheet!$B$2:$B$3143=$A48))/sum(filter(
Maste"&amp;"r_Mapping_Sheet!$E$2:$E$3143, ISNUMBER(
Master_Mapping_Sheet!$E$2:$E$3143),
Master_Mapping_Sheet!$B$2:$B$3143=$A48)))"),0.0)</f>
        <v>0</v>
      </c>
      <c r="V48" s="34">
        <f>IFERROR(__xludf.DUMMYFUNCTION("IF(ISNA(sum(filter(
Master_Mapping_Sheet!$E$2:$E$3143, ISNUMBER(
Master_Mapping_Sheet!$E$2:$E$3143),
Master_Mapping_Sheet!$H$2:$H$3143=V$1,
Master_Mapping_Sheet!$B$2:$B$3143=$A48))/sum(filter(
Master_Mapping_Sheet!$E$2:$E$3143, ISNUMBER(
Master_Mapping_Sh"&amp;"eet!$E$2:$E$3143),
Master_Mapping_Sheet!$B$2:$B$3143=$A48))), 0, sum(filter(
Master_Mapping_Sheet!$E$2:$E$3143, ISNUMBER(
Master_Mapping_Sheet!$E$2:$E$3143),
Master_Mapping_Sheet!$H$2:$H$3143=V$1,
Master_Mapping_Sheet!$B$2:$B$3143=$A48))/sum(filter(
Maste"&amp;"r_Mapping_Sheet!$E$2:$E$3143, ISNUMBER(
Master_Mapping_Sheet!$E$2:$E$3143),
Master_Mapping_Sheet!$B$2:$B$3143=$A48)))"),0.0)</f>
        <v>0</v>
      </c>
      <c r="W48" s="34">
        <f>IFERROR(__xludf.DUMMYFUNCTION("IF(ISNA(sum(filter(
Master_Mapping_Sheet!$E$2:$E$3143, ISNUMBER(
Master_Mapping_Sheet!$E$2:$E$3143),
Master_Mapping_Sheet!$H$2:$H$3143=W$1,
Master_Mapping_Sheet!$B$2:$B$3143=$A48))/sum(filter(
Master_Mapping_Sheet!$E$2:$E$3143, ISNUMBER(
Master_Mapping_Sh"&amp;"eet!$E$2:$E$3143),
Master_Mapping_Sheet!$B$2:$B$3143=$A48))), 0, sum(filter(
Master_Mapping_Sheet!$E$2:$E$3143, ISNUMBER(
Master_Mapping_Sheet!$E$2:$E$3143),
Master_Mapping_Sheet!$H$2:$H$3143=W$1,
Master_Mapping_Sheet!$B$2:$B$3143=$A48))/sum(filter(
Maste"&amp;"r_Mapping_Sheet!$E$2:$E$3143, ISNUMBER(
Master_Mapping_Sheet!$E$2:$E$3143),
Master_Mapping_Sheet!$B$2:$B$3143=$A48)))"),0.0)</f>
        <v>0</v>
      </c>
      <c r="X48" s="34">
        <f>IFERROR(__xludf.DUMMYFUNCTION("IF(ISNA(sum(filter(
Master_Mapping_Sheet!$E$2:$E$3143, ISNUMBER(
Master_Mapping_Sheet!$E$2:$E$3143),
Master_Mapping_Sheet!$H$2:$H$3143=X$1,
Master_Mapping_Sheet!$B$2:$B$3143=$A48))/sum(filter(
Master_Mapping_Sheet!$E$2:$E$3143, ISNUMBER(
Master_Mapping_Sh"&amp;"eet!$E$2:$E$3143),
Master_Mapping_Sheet!$B$2:$B$3143=$A48))), 0, sum(filter(
Master_Mapping_Sheet!$E$2:$E$3143, ISNUMBER(
Master_Mapping_Sheet!$E$2:$E$3143),
Master_Mapping_Sheet!$H$2:$H$3143=X$1,
Master_Mapping_Sheet!$B$2:$B$3143=$A48))/sum(filter(
Maste"&amp;"r_Mapping_Sheet!$E$2:$E$3143, ISNUMBER(
Master_Mapping_Sheet!$E$2:$E$3143),
Master_Mapping_Sheet!$B$2:$B$3143=$A48)))"),0.0)</f>
        <v>0</v>
      </c>
      <c r="Y48" s="34">
        <f>IFERROR(__xludf.DUMMYFUNCTION("IF(ISNA(sum(filter(
Master_Mapping_Sheet!$E$2:$E$3143, ISNUMBER(
Master_Mapping_Sheet!$E$2:$E$3143),
Master_Mapping_Sheet!$H$2:$H$3143=Y$1,
Master_Mapping_Sheet!$B$2:$B$3143=$A48))/sum(filter(
Master_Mapping_Sheet!$E$2:$E$3143, ISNUMBER(
Master_Mapping_Sh"&amp;"eet!$E$2:$E$3143),
Master_Mapping_Sheet!$B$2:$B$3143=$A48))), 0, sum(filter(
Master_Mapping_Sheet!$E$2:$E$3143, ISNUMBER(
Master_Mapping_Sheet!$E$2:$E$3143),
Master_Mapping_Sheet!$H$2:$H$3143=Y$1,
Master_Mapping_Sheet!$B$2:$B$3143=$A48))/sum(filter(
Maste"&amp;"r_Mapping_Sheet!$E$2:$E$3143, ISNUMBER(
Master_Mapping_Sheet!$E$2:$E$3143),
Master_Mapping_Sheet!$B$2:$B$3143=$A48)))"),0.0)</f>
        <v>0</v>
      </c>
      <c r="Z48" s="34">
        <f>IFERROR(__xludf.DUMMYFUNCTION("IF(ISNA(sum(filter(
Master_Mapping_Sheet!$E$2:$E$3143, ISNUMBER(
Master_Mapping_Sheet!$E$2:$E$3143),
Master_Mapping_Sheet!$H$2:$H$3143=Z$1,
Master_Mapping_Sheet!$B$2:$B$3143=$A48))/sum(filter(
Master_Mapping_Sheet!$E$2:$E$3143, ISNUMBER(
Master_Mapping_Sh"&amp;"eet!$E$2:$E$3143),
Master_Mapping_Sheet!$B$2:$B$3143=$A48))), 0, sum(filter(
Master_Mapping_Sheet!$E$2:$E$3143, ISNUMBER(
Master_Mapping_Sheet!$E$2:$E$3143),
Master_Mapping_Sheet!$H$2:$H$3143=Z$1,
Master_Mapping_Sheet!$B$2:$B$3143=$A48))/sum(filter(
Maste"&amp;"r_Mapping_Sheet!$E$2:$E$3143, ISNUMBER(
Master_Mapping_Sheet!$E$2:$E$3143),
Master_Mapping_Sheet!$B$2:$B$3143=$A48)))"),0.0)</f>
        <v>0</v>
      </c>
      <c r="AA48" s="34">
        <f>IFERROR(__xludf.DUMMYFUNCTION("IF(ISNA(sum(filter(
Master_Mapping_Sheet!$E$2:$E$3143, ISNUMBER(
Master_Mapping_Sheet!$E$2:$E$3143),
Master_Mapping_Sheet!$H$2:$H$3143=AA$1,
Master_Mapping_Sheet!$B$2:$B$3143=$A48))/sum(filter(
Master_Mapping_Sheet!$E$2:$E$3143, ISNUMBER(
Master_Mapping_S"&amp;"heet!$E$2:$E$3143),
Master_Mapping_Sheet!$B$2:$B$3143=$A48))), 0, sum(filter(
Master_Mapping_Sheet!$E$2:$E$3143, ISNUMBER(
Master_Mapping_Sheet!$E$2:$E$3143),
Master_Mapping_Sheet!$H$2:$H$3143=AA$1,
Master_Mapping_Sheet!$B$2:$B$3143=$A48))/sum(filter(
Mas"&amp;"ter_Mapping_Sheet!$E$2:$E$3143, ISNUMBER(
Master_Mapping_Sheet!$E$2:$E$3143),
Master_Mapping_Sheet!$B$2:$B$3143=$A48)))"),0.0)</f>
        <v>0</v>
      </c>
    </row>
    <row r="49" ht="15.75" customHeight="1">
      <c r="A49" s="34" t="s">
        <v>167</v>
      </c>
      <c r="B49" s="34" t="s">
        <v>3797</v>
      </c>
      <c r="C49" s="34">
        <f>IFERROR(__xludf.DUMMYFUNCTION("IF(ISNA(sum(filter(
Master_Mapping_Sheet!$E$2:$E$3143, ISNUMBER(
Master_Mapping_Sheet!$E$2:$E$3143),
Master_Mapping_Sheet!$H$2:$H$3143=C$1,
Master_Mapping_Sheet!$B$2:$B$3143=$A49))/sum(filter(
Master_Mapping_Sheet!$E$2:$E$3143, ISNUMBER(
Master_Mapping_Sh"&amp;"eet!$E$2:$E$3143),
Master_Mapping_Sheet!$B$2:$B$3143=$A49))), 0, sum(filter(
Master_Mapping_Sheet!$E$2:$E$3143, ISNUMBER(
Master_Mapping_Sheet!$E$2:$E$3143),
Master_Mapping_Sheet!$H$2:$H$3143=C$1,
Master_Mapping_Sheet!$B$2:$B$3143=$A49))/sum(filter(
Maste"&amp;"r_Mapping_Sheet!$E$2:$E$3143, ISNUMBER(
Master_Mapping_Sheet!$E$2:$E$3143),
Master_Mapping_Sheet!$B$2:$B$3143=$A49)))"),0.0)</f>
        <v>0</v>
      </c>
      <c r="D49" s="32">
        <f>IFERROR(__xludf.DUMMYFUNCTION("IF(ISNA(sum(filter(
Master_Mapping_Sheet!$E$2:$E$3143, ISNUMBER(
Master_Mapping_Sheet!$E$2:$E$3143),
Master_Mapping_Sheet!$H$2:$H$3143=D$1,
Master_Mapping_Sheet!$B$2:$B$3143=$A49))/sum(filter(
Master_Mapping_Sheet!$E$2:$E$3143, ISNUMBER(
Master_Mapping_Sh"&amp;"eet!$E$2:$E$3143),
Master_Mapping_Sheet!$B$2:$B$3143=$A49))), 0, sum(filter(
Master_Mapping_Sheet!$E$2:$E$3143, ISNUMBER(
Master_Mapping_Sheet!$E$2:$E$3143),
Master_Mapping_Sheet!$H$2:$H$3143=D$1,
Master_Mapping_Sheet!$B$2:$B$3143=$A49))/sum(filter(
Maste"&amp;"r_Mapping_Sheet!$E$2:$E$3143, ISNUMBER(
Master_Mapping_Sheet!$E$2:$E$3143),
Master_Mapping_Sheet!$B$2:$B$3143=$A49)))"),0.0)</f>
        <v>0</v>
      </c>
      <c r="E49" s="34">
        <f>IFERROR(__xludf.DUMMYFUNCTION("IF(ISNA(sum(filter(
Master_Mapping_Sheet!$E$2:$E$3143, ISNUMBER(
Master_Mapping_Sheet!$E$2:$E$3143),
Master_Mapping_Sheet!$H$2:$H$3143=E$1,
Master_Mapping_Sheet!$B$2:$B$3143=$A49))/sum(filter(
Master_Mapping_Sheet!$E$2:$E$3143, ISNUMBER(
Master_Mapping_Sh"&amp;"eet!$E$2:$E$3143),
Master_Mapping_Sheet!$B$2:$B$3143=$A49))), 0, sum(filter(
Master_Mapping_Sheet!$E$2:$E$3143, ISNUMBER(
Master_Mapping_Sheet!$E$2:$E$3143),
Master_Mapping_Sheet!$H$2:$H$3143=E$1,
Master_Mapping_Sheet!$B$2:$B$3143=$A49))/sum(filter(
Maste"&amp;"r_Mapping_Sheet!$E$2:$E$3143, ISNUMBER(
Master_Mapping_Sheet!$E$2:$E$3143),
Master_Mapping_Sheet!$B$2:$B$3143=$A49)))"),0.0)</f>
        <v>0</v>
      </c>
      <c r="F49" s="34">
        <f>IFERROR(__xludf.DUMMYFUNCTION("IF(ISNA(sum(filter(
Master_Mapping_Sheet!$E$2:$E$3143, ISNUMBER(
Master_Mapping_Sheet!$E$2:$E$3143),
Master_Mapping_Sheet!$H$2:$H$3143=F$1,
Master_Mapping_Sheet!$B$2:$B$3143=$A49))/sum(filter(
Master_Mapping_Sheet!$E$2:$E$3143, ISNUMBER(
Master_Mapping_Sh"&amp;"eet!$E$2:$E$3143),
Master_Mapping_Sheet!$B$2:$B$3143=$A49))), 0, sum(filter(
Master_Mapping_Sheet!$E$2:$E$3143, ISNUMBER(
Master_Mapping_Sheet!$E$2:$E$3143),
Master_Mapping_Sheet!$H$2:$H$3143=F$1,
Master_Mapping_Sheet!$B$2:$B$3143=$A49))/sum(filter(
Maste"&amp;"r_Mapping_Sheet!$E$2:$E$3143, ISNUMBER(
Master_Mapping_Sheet!$E$2:$E$3143),
Master_Mapping_Sheet!$B$2:$B$3143=$A49)))"),0.0)</f>
        <v>0</v>
      </c>
      <c r="G49" s="34">
        <f>IFERROR(__xludf.DUMMYFUNCTION("IF(ISNA(sum(filter(
Master_Mapping_Sheet!$E$2:$E$3143, ISNUMBER(
Master_Mapping_Sheet!$E$2:$E$3143),
Master_Mapping_Sheet!$H$2:$H$3143=G$1,
Master_Mapping_Sheet!$B$2:$B$3143=$A49))/sum(filter(
Master_Mapping_Sheet!$E$2:$E$3143, ISNUMBER(
Master_Mapping_Sh"&amp;"eet!$E$2:$E$3143),
Master_Mapping_Sheet!$B$2:$B$3143=$A49))), 0, sum(filter(
Master_Mapping_Sheet!$E$2:$E$3143, ISNUMBER(
Master_Mapping_Sheet!$E$2:$E$3143),
Master_Mapping_Sheet!$H$2:$H$3143=G$1,
Master_Mapping_Sheet!$B$2:$B$3143=$A49))/sum(filter(
Maste"&amp;"r_Mapping_Sheet!$E$2:$E$3143, ISNUMBER(
Master_Mapping_Sheet!$E$2:$E$3143),
Master_Mapping_Sheet!$B$2:$B$3143=$A49)))"),0.0)</f>
        <v>0</v>
      </c>
      <c r="H49" s="34">
        <f>IFERROR(__xludf.DUMMYFUNCTION("IF(ISNA(sum(filter(
Master_Mapping_Sheet!$E$2:$E$3143, ISNUMBER(
Master_Mapping_Sheet!$E$2:$E$3143),
Master_Mapping_Sheet!$H$2:$H$3143=H$1,
Master_Mapping_Sheet!$B$2:$B$3143=$A49))/sum(filter(
Master_Mapping_Sheet!$E$2:$E$3143, ISNUMBER(
Master_Mapping_Sh"&amp;"eet!$E$2:$E$3143),
Master_Mapping_Sheet!$B$2:$B$3143=$A49))), 0, sum(filter(
Master_Mapping_Sheet!$E$2:$E$3143, ISNUMBER(
Master_Mapping_Sheet!$E$2:$E$3143),
Master_Mapping_Sheet!$H$2:$H$3143=H$1,
Master_Mapping_Sheet!$B$2:$B$3143=$A49))/sum(filter(
Maste"&amp;"r_Mapping_Sheet!$E$2:$E$3143, ISNUMBER(
Master_Mapping_Sheet!$E$2:$E$3143),
Master_Mapping_Sheet!$B$2:$B$3143=$A49)))"),0.0)</f>
        <v>0</v>
      </c>
      <c r="I49" s="34">
        <f>IFERROR(__xludf.DUMMYFUNCTION("IF(ISNA(sum(filter(
Master_Mapping_Sheet!$E$2:$E$3143, ISNUMBER(
Master_Mapping_Sheet!$E$2:$E$3143),
Master_Mapping_Sheet!$H$2:$H$3143=I$1,
Master_Mapping_Sheet!$B$2:$B$3143=$A49))/sum(filter(
Master_Mapping_Sheet!$E$2:$E$3143, ISNUMBER(
Master_Mapping_Sh"&amp;"eet!$E$2:$E$3143),
Master_Mapping_Sheet!$B$2:$B$3143=$A49))), 0, sum(filter(
Master_Mapping_Sheet!$E$2:$E$3143, ISNUMBER(
Master_Mapping_Sheet!$E$2:$E$3143),
Master_Mapping_Sheet!$H$2:$H$3143=I$1,
Master_Mapping_Sheet!$B$2:$B$3143=$A49))/sum(filter(
Maste"&amp;"r_Mapping_Sheet!$E$2:$E$3143, ISNUMBER(
Master_Mapping_Sheet!$E$2:$E$3143),
Master_Mapping_Sheet!$B$2:$B$3143=$A49)))"),0.0)</f>
        <v>0</v>
      </c>
      <c r="J49" s="34">
        <f>IFERROR(__xludf.DUMMYFUNCTION("IF(ISNA(sum(filter(
Master_Mapping_Sheet!$E$2:$E$3143, ISNUMBER(
Master_Mapping_Sheet!$E$2:$E$3143),
Master_Mapping_Sheet!$H$2:$H$3143=J$1,
Master_Mapping_Sheet!$B$2:$B$3143=$A49))/sum(filter(
Master_Mapping_Sheet!$E$2:$E$3143, ISNUMBER(
Master_Mapping_Sh"&amp;"eet!$E$2:$E$3143),
Master_Mapping_Sheet!$B$2:$B$3143=$A49))), 0, sum(filter(
Master_Mapping_Sheet!$E$2:$E$3143, ISNUMBER(
Master_Mapping_Sheet!$E$2:$E$3143),
Master_Mapping_Sheet!$H$2:$H$3143=J$1,
Master_Mapping_Sheet!$B$2:$B$3143=$A49))/sum(filter(
Maste"&amp;"r_Mapping_Sheet!$E$2:$E$3143, ISNUMBER(
Master_Mapping_Sheet!$E$2:$E$3143),
Master_Mapping_Sheet!$B$2:$B$3143=$A49)))"),0.0)</f>
        <v>0</v>
      </c>
      <c r="K49" s="34">
        <f>IFERROR(__xludf.DUMMYFUNCTION("IF(ISNA(sum(filter(
Master_Mapping_Sheet!$E$2:$E$3143, ISNUMBER(
Master_Mapping_Sheet!$E$2:$E$3143),
Master_Mapping_Sheet!$H$2:$H$3143=K$1,
Master_Mapping_Sheet!$B$2:$B$3143=$A49))/sum(filter(
Master_Mapping_Sheet!$E$2:$E$3143, ISNUMBER(
Master_Mapping_Sh"&amp;"eet!$E$2:$E$3143),
Master_Mapping_Sheet!$B$2:$B$3143=$A49))), 0, sum(filter(
Master_Mapping_Sheet!$E$2:$E$3143, ISNUMBER(
Master_Mapping_Sheet!$E$2:$E$3143),
Master_Mapping_Sheet!$H$2:$H$3143=K$1,
Master_Mapping_Sheet!$B$2:$B$3143=$A49))/sum(filter(
Maste"&amp;"r_Mapping_Sheet!$E$2:$E$3143, ISNUMBER(
Master_Mapping_Sheet!$E$2:$E$3143),
Master_Mapping_Sheet!$B$2:$B$3143=$A49)))"),0.0)</f>
        <v>0</v>
      </c>
      <c r="L49" s="34">
        <f>IFERROR(__xludf.DUMMYFUNCTION("IF(ISNA(sum(filter(
Master_Mapping_Sheet!$E$2:$E$3143, ISNUMBER(
Master_Mapping_Sheet!$E$2:$E$3143),
Master_Mapping_Sheet!$H$2:$H$3143=L$1,
Master_Mapping_Sheet!$B$2:$B$3143=$A49))/sum(filter(
Master_Mapping_Sheet!$E$2:$E$3143, ISNUMBER(
Master_Mapping_Sh"&amp;"eet!$E$2:$E$3143),
Master_Mapping_Sheet!$B$2:$B$3143=$A49))), 0, sum(filter(
Master_Mapping_Sheet!$E$2:$E$3143, ISNUMBER(
Master_Mapping_Sheet!$E$2:$E$3143),
Master_Mapping_Sheet!$H$2:$H$3143=L$1,
Master_Mapping_Sheet!$B$2:$B$3143=$A49))/sum(filter(
Maste"&amp;"r_Mapping_Sheet!$E$2:$E$3143, ISNUMBER(
Master_Mapping_Sheet!$E$2:$E$3143),
Master_Mapping_Sheet!$B$2:$B$3143=$A49)))"),0.0)</f>
        <v>0</v>
      </c>
      <c r="M49" s="34">
        <f>IFERROR(__xludf.DUMMYFUNCTION("IF(ISNA(sum(filter(
Master_Mapping_Sheet!$E$2:$E$3143, ISNUMBER(
Master_Mapping_Sheet!$E$2:$E$3143),
Master_Mapping_Sheet!$H$2:$H$3143=M$1,
Master_Mapping_Sheet!$B$2:$B$3143=$A49))/sum(filter(
Master_Mapping_Sheet!$E$2:$E$3143, ISNUMBER(
Master_Mapping_Sh"&amp;"eet!$E$2:$E$3143),
Master_Mapping_Sheet!$B$2:$B$3143=$A49))), 0, sum(filter(
Master_Mapping_Sheet!$E$2:$E$3143, ISNUMBER(
Master_Mapping_Sheet!$E$2:$E$3143),
Master_Mapping_Sheet!$H$2:$H$3143=M$1,
Master_Mapping_Sheet!$B$2:$B$3143=$A49))/sum(filter(
Maste"&amp;"r_Mapping_Sheet!$E$2:$E$3143, ISNUMBER(
Master_Mapping_Sheet!$E$2:$E$3143),
Master_Mapping_Sheet!$B$2:$B$3143=$A49)))"),0.0)</f>
        <v>0</v>
      </c>
      <c r="N49" s="34">
        <f>IFERROR(__xludf.DUMMYFUNCTION("IF(ISNA(sum(filter(
Master_Mapping_Sheet!$E$2:$E$3143, ISNUMBER(
Master_Mapping_Sheet!$E$2:$E$3143),
Master_Mapping_Sheet!$H$2:$H$3143=N$1,
Master_Mapping_Sheet!$B$2:$B$3143=$A49))/sum(filter(
Master_Mapping_Sheet!$E$2:$E$3143, ISNUMBER(
Master_Mapping_Sh"&amp;"eet!$E$2:$E$3143),
Master_Mapping_Sheet!$B$2:$B$3143=$A49))), 0, sum(filter(
Master_Mapping_Sheet!$E$2:$E$3143, ISNUMBER(
Master_Mapping_Sheet!$E$2:$E$3143),
Master_Mapping_Sheet!$H$2:$H$3143=N$1,
Master_Mapping_Sheet!$B$2:$B$3143=$A49))/sum(filter(
Maste"&amp;"r_Mapping_Sheet!$E$2:$E$3143, ISNUMBER(
Master_Mapping_Sheet!$E$2:$E$3143),
Master_Mapping_Sheet!$B$2:$B$3143=$A49)))"),0.0)</f>
        <v>0</v>
      </c>
      <c r="O49" s="34">
        <f>IFERROR(__xludf.DUMMYFUNCTION("IF(ISNA(sum(filter(
Master_Mapping_Sheet!$E$2:$E$3143, ISNUMBER(
Master_Mapping_Sheet!$E$2:$E$3143),
Master_Mapping_Sheet!$H$2:$H$3143=O$1,
Master_Mapping_Sheet!$B$2:$B$3143=$A49))/sum(filter(
Master_Mapping_Sheet!$E$2:$E$3143, ISNUMBER(
Master_Mapping_Sh"&amp;"eet!$E$2:$E$3143),
Master_Mapping_Sheet!$B$2:$B$3143=$A49))), 0, sum(filter(
Master_Mapping_Sheet!$E$2:$E$3143, ISNUMBER(
Master_Mapping_Sheet!$E$2:$E$3143),
Master_Mapping_Sheet!$H$2:$H$3143=O$1,
Master_Mapping_Sheet!$B$2:$B$3143=$A49))/sum(filter(
Maste"&amp;"r_Mapping_Sheet!$E$2:$E$3143, ISNUMBER(
Master_Mapping_Sheet!$E$2:$E$3143),
Master_Mapping_Sheet!$B$2:$B$3143=$A49)))"),0.0)</f>
        <v>0</v>
      </c>
      <c r="P49" s="34">
        <f>IFERROR(__xludf.DUMMYFUNCTION("IF(ISNA(sum(filter(
Master_Mapping_Sheet!$E$2:$E$3143, ISNUMBER(
Master_Mapping_Sheet!$E$2:$E$3143),
Master_Mapping_Sheet!$H$2:$H$3143=P$1,
Master_Mapping_Sheet!$B$2:$B$3143=$A49))/sum(filter(
Master_Mapping_Sheet!$E$2:$E$3143, ISNUMBER(
Master_Mapping_Sh"&amp;"eet!$E$2:$E$3143),
Master_Mapping_Sheet!$B$2:$B$3143=$A49))), 0, sum(filter(
Master_Mapping_Sheet!$E$2:$E$3143, ISNUMBER(
Master_Mapping_Sheet!$E$2:$E$3143),
Master_Mapping_Sheet!$H$2:$H$3143=P$1,
Master_Mapping_Sheet!$B$2:$B$3143=$A49))/sum(filter(
Maste"&amp;"r_Mapping_Sheet!$E$2:$E$3143, ISNUMBER(
Master_Mapping_Sheet!$E$2:$E$3143),
Master_Mapping_Sheet!$B$2:$B$3143=$A49)))"),0.0)</f>
        <v>0</v>
      </c>
      <c r="Q49" s="34">
        <f>IFERROR(__xludf.DUMMYFUNCTION("IF(ISNA(sum(filter(
Master_Mapping_Sheet!$E$2:$E$3143, ISNUMBER(
Master_Mapping_Sheet!$E$2:$E$3143),
Master_Mapping_Sheet!$H$2:$H$3143=Q$1,
Master_Mapping_Sheet!$B$2:$B$3143=$A49))/sum(filter(
Master_Mapping_Sheet!$E$2:$E$3143, ISNUMBER(
Master_Mapping_Sh"&amp;"eet!$E$2:$E$3143),
Master_Mapping_Sheet!$B$2:$B$3143=$A49))), 0, sum(filter(
Master_Mapping_Sheet!$E$2:$E$3143, ISNUMBER(
Master_Mapping_Sheet!$E$2:$E$3143),
Master_Mapping_Sheet!$H$2:$H$3143=Q$1,
Master_Mapping_Sheet!$B$2:$B$3143=$A49))/sum(filter(
Maste"&amp;"r_Mapping_Sheet!$E$2:$E$3143, ISNUMBER(
Master_Mapping_Sheet!$E$2:$E$3143),
Master_Mapping_Sheet!$B$2:$B$3143=$A49)))"),0.0)</f>
        <v>0</v>
      </c>
      <c r="R49" s="34">
        <f>IFERROR(__xludf.DUMMYFUNCTION("IF(ISNA(sum(filter(
Master_Mapping_Sheet!$E$2:$E$3143, ISNUMBER(
Master_Mapping_Sheet!$E$2:$E$3143),
Master_Mapping_Sheet!$H$2:$H$3143=R$1,
Master_Mapping_Sheet!$B$2:$B$3143=$A49))/sum(filter(
Master_Mapping_Sheet!$E$2:$E$3143, ISNUMBER(
Master_Mapping_Sh"&amp;"eet!$E$2:$E$3143),
Master_Mapping_Sheet!$B$2:$B$3143=$A49))), 0, sum(filter(
Master_Mapping_Sheet!$E$2:$E$3143, ISNUMBER(
Master_Mapping_Sheet!$E$2:$E$3143),
Master_Mapping_Sheet!$H$2:$H$3143=R$1,
Master_Mapping_Sheet!$B$2:$B$3143=$A49))/sum(filter(
Maste"&amp;"r_Mapping_Sheet!$E$2:$E$3143, ISNUMBER(
Master_Mapping_Sheet!$E$2:$E$3143),
Master_Mapping_Sheet!$B$2:$B$3143=$A49)))"),0.0)</f>
        <v>0</v>
      </c>
      <c r="S49" s="34">
        <f>IFERROR(__xludf.DUMMYFUNCTION("IF(ISNA(sum(filter(
Master_Mapping_Sheet!$E$2:$E$3143, ISNUMBER(
Master_Mapping_Sheet!$E$2:$E$3143),
Master_Mapping_Sheet!$H$2:$H$3143=S$1,
Master_Mapping_Sheet!$B$2:$B$3143=$A49))/sum(filter(
Master_Mapping_Sheet!$E$2:$E$3143, ISNUMBER(
Master_Mapping_Sh"&amp;"eet!$E$2:$E$3143),
Master_Mapping_Sheet!$B$2:$B$3143=$A49))), 0, sum(filter(
Master_Mapping_Sheet!$E$2:$E$3143, ISNUMBER(
Master_Mapping_Sheet!$E$2:$E$3143),
Master_Mapping_Sheet!$H$2:$H$3143=S$1,
Master_Mapping_Sheet!$B$2:$B$3143=$A49))/sum(filter(
Maste"&amp;"r_Mapping_Sheet!$E$2:$E$3143, ISNUMBER(
Master_Mapping_Sheet!$E$2:$E$3143),
Master_Mapping_Sheet!$B$2:$B$3143=$A49)))"),0.0)</f>
        <v>0</v>
      </c>
      <c r="T49" s="34">
        <f>IFERROR(__xludf.DUMMYFUNCTION("IF(ISNA(sum(filter(
Master_Mapping_Sheet!$E$2:$E$3143, ISNUMBER(
Master_Mapping_Sheet!$E$2:$E$3143),
Master_Mapping_Sheet!$H$2:$H$3143=T$1,
Master_Mapping_Sheet!$B$2:$B$3143=$A49))/sum(filter(
Master_Mapping_Sheet!$E$2:$E$3143, ISNUMBER(
Master_Mapping_Sh"&amp;"eet!$E$2:$E$3143),
Master_Mapping_Sheet!$B$2:$B$3143=$A49))), 0, sum(filter(
Master_Mapping_Sheet!$E$2:$E$3143, ISNUMBER(
Master_Mapping_Sheet!$E$2:$E$3143),
Master_Mapping_Sheet!$H$2:$H$3143=T$1,
Master_Mapping_Sheet!$B$2:$B$3143=$A49))/sum(filter(
Maste"&amp;"r_Mapping_Sheet!$E$2:$E$3143, ISNUMBER(
Master_Mapping_Sheet!$E$2:$E$3143),
Master_Mapping_Sheet!$B$2:$B$3143=$A49)))"),0.0)</f>
        <v>0</v>
      </c>
      <c r="U49" s="34">
        <f>IFERROR(__xludf.DUMMYFUNCTION("IF(ISNA(sum(filter(
Master_Mapping_Sheet!$E$2:$E$3143, ISNUMBER(
Master_Mapping_Sheet!$E$2:$E$3143),
Master_Mapping_Sheet!$H$2:$H$3143=U$1,
Master_Mapping_Sheet!$B$2:$B$3143=$A49))/sum(filter(
Master_Mapping_Sheet!$E$2:$E$3143, ISNUMBER(
Master_Mapping_Sh"&amp;"eet!$E$2:$E$3143),
Master_Mapping_Sheet!$B$2:$B$3143=$A49))), 0, sum(filter(
Master_Mapping_Sheet!$E$2:$E$3143, ISNUMBER(
Master_Mapping_Sheet!$E$2:$E$3143),
Master_Mapping_Sheet!$H$2:$H$3143=U$1,
Master_Mapping_Sheet!$B$2:$B$3143=$A49))/sum(filter(
Maste"&amp;"r_Mapping_Sheet!$E$2:$E$3143, ISNUMBER(
Master_Mapping_Sheet!$E$2:$E$3143),
Master_Mapping_Sheet!$B$2:$B$3143=$A49)))"),0.0)</f>
        <v>0</v>
      </c>
      <c r="V49" s="34">
        <f>IFERROR(__xludf.DUMMYFUNCTION("IF(ISNA(sum(filter(
Master_Mapping_Sheet!$E$2:$E$3143, ISNUMBER(
Master_Mapping_Sheet!$E$2:$E$3143),
Master_Mapping_Sheet!$H$2:$H$3143=V$1,
Master_Mapping_Sheet!$B$2:$B$3143=$A49))/sum(filter(
Master_Mapping_Sheet!$E$2:$E$3143, ISNUMBER(
Master_Mapping_Sh"&amp;"eet!$E$2:$E$3143),
Master_Mapping_Sheet!$B$2:$B$3143=$A49))), 0, sum(filter(
Master_Mapping_Sheet!$E$2:$E$3143, ISNUMBER(
Master_Mapping_Sheet!$E$2:$E$3143),
Master_Mapping_Sheet!$H$2:$H$3143=V$1,
Master_Mapping_Sheet!$B$2:$B$3143=$A49))/sum(filter(
Maste"&amp;"r_Mapping_Sheet!$E$2:$E$3143, ISNUMBER(
Master_Mapping_Sheet!$E$2:$E$3143),
Master_Mapping_Sheet!$B$2:$B$3143=$A49)))"),0.0)</f>
        <v>0</v>
      </c>
      <c r="W49" s="34">
        <f>IFERROR(__xludf.DUMMYFUNCTION("IF(ISNA(sum(filter(
Master_Mapping_Sheet!$E$2:$E$3143, ISNUMBER(
Master_Mapping_Sheet!$E$2:$E$3143),
Master_Mapping_Sheet!$H$2:$H$3143=W$1,
Master_Mapping_Sheet!$B$2:$B$3143=$A49))/sum(filter(
Master_Mapping_Sheet!$E$2:$E$3143, ISNUMBER(
Master_Mapping_Sh"&amp;"eet!$E$2:$E$3143),
Master_Mapping_Sheet!$B$2:$B$3143=$A49))), 0, sum(filter(
Master_Mapping_Sheet!$E$2:$E$3143, ISNUMBER(
Master_Mapping_Sheet!$E$2:$E$3143),
Master_Mapping_Sheet!$H$2:$H$3143=W$1,
Master_Mapping_Sheet!$B$2:$B$3143=$A49))/sum(filter(
Maste"&amp;"r_Mapping_Sheet!$E$2:$E$3143, ISNUMBER(
Master_Mapping_Sheet!$E$2:$E$3143),
Master_Mapping_Sheet!$B$2:$B$3143=$A49)))"),0.0)</f>
        <v>0</v>
      </c>
      <c r="X49" s="34">
        <f>IFERROR(__xludf.DUMMYFUNCTION("IF(ISNA(sum(filter(
Master_Mapping_Sheet!$E$2:$E$3143, ISNUMBER(
Master_Mapping_Sheet!$E$2:$E$3143),
Master_Mapping_Sheet!$H$2:$H$3143=X$1,
Master_Mapping_Sheet!$B$2:$B$3143=$A49))/sum(filter(
Master_Mapping_Sheet!$E$2:$E$3143, ISNUMBER(
Master_Mapping_Sh"&amp;"eet!$E$2:$E$3143),
Master_Mapping_Sheet!$B$2:$B$3143=$A49))), 0, sum(filter(
Master_Mapping_Sheet!$E$2:$E$3143, ISNUMBER(
Master_Mapping_Sheet!$E$2:$E$3143),
Master_Mapping_Sheet!$H$2:$H$3143=X$1,
Master_Mapping_Sheet!$B$2:$B$3143=$A49))/sum(filter(
Maste"&amp;"r_Mapping_Sheet!$E$2:$E$3143, ISNUMBER(
Master_Mapping_Sheet!$E$2:$E$3143),
Master_Mapping_Sheet!$B$2:$B$3143=$A49)))"),0.0)</f>
        <v>0</v>
      </c>
      <c r="Y49" s="34">
        <f>IFERROR(__xludf.DUMMYFUNCTION("IF(ISNA(sum(filter(
Master_Mapping_Sheet!$E$2:$E$3143, ISNUMBER(
Master_Mapping_Sheet!$E$2:$E$3143),
Master_Mapping_Sheet!$H$2:$H$3143=Y$1,
Master_Mapping_Sheet!$B$2:$B$3143=$A49))/sum(filter(
Master_Mapping_Sheet!$E$2:$E$3143, ISNUMBER(
Master_Mapping_Sh"&amp;"eet!$E$2:$E$3143),
Master_Mapping_Sheet!$B$2:$B$3143=$A49))), 0, sum(filter(
Master_Mapping_Sheet!$E$2:$E$3143, ISNUMBER(
Master_Mapping_Sheet!$E$2:$E$3143),
Master_Mapping_Sheet!$H$2:$H$3143=Y$1,
Master_Mapping_Sheet!$B$2:$B$3143=$A49))/sum(filter(
Maste"&amp;"r_Mapping_Sheet!$E$2:$E$3143, ISNUMBER(
Master_Mapping_Sheet!$E$2:$E$3143),
Master_Mapping_Sheet!$B$2:$B$3143=$A49)))"),1.0)</f>
        <v>1</v>
      </c>
      <c r="Z49" s="34">
        <f>IFERROR(__xludf.DUMMYFUNCTION("IF(ISNA(sum(filter(
Master_Mapping_Sheet!$E$2:$E$3143, ISNUMBER(
Master_Mapping_Sheet!$E$2:$E$3143),
Master_Mapping_Sheet!$H$2:$H$3143=Z$1,
Master_Mapping_Sheet!$B$2:$B$3143=$A49))/sum(filter(
Master_Mapping_Sheet!$E$2:$E$3143, ISNUMBER(
Master_Mapping_Sh"&amp;"eet!$E$2:$E$3143),
Master_Mapping_Sheet!$B$2:$B$3143=$A49))), 0, sum(filter(
Master_Mapping_Sheet!$E$2:$E$3143, ISNUMBER(
Master_Mapping_Sheet!$E$2:$E$3143),
Master_Mapping_Sheet!$H$2:$H$3143=Z$1,
Master_Mapping_Sheet!$B$2:$B$3143=$A49))/sum(filter(
Maste"&amp;"r_Mapping_Sheet!$E$2:$E$3143, ISNUMBER(
Master_Mapping_Sheet!$E$2:$E$3143),
Master_Mapping_Sheet!$B$2:$B$3143=$A49)))"),0.0)</f>
        <v>0</v>
      </c>
      <c r="AA49" s="34">
        <f>IFERROR(__xludf.DUMMYFUNCTION("IF(ISNA(sum(filter(
Master_Mapping_Sheet!$E$2:$E$3143, ISNUMBER(
Master_Mapping_Sheet!$E$2:$E$3143),
Master_Mapping_Sheet!$H$2:$H$3143=AA$1,
Master_Mapping_Sheet!$B$2:$B$3143=$A49))/sum(filter(
Master_Mapping_Sheet!$E$2:$E$3143, ISNUMBER(
Master_Mapping_S"&amp;"heet!$E$2:$E$3143),
Master_Mapping_Sheet!$B$2:$B$3143=$A49))), 0, sum(filter(
Master_Mapping_Sheet!$E$2:$E$3143, ISNUMBER(
Master_Mapping_Sheet!$E$2:$E$3143),
Master_Mapping_Sheet!$H$2:$H$3143=AA$1,
Master_Mapping_Sheet!$B$2:$B$3143=$A49))/sum(filter(
Mas"&amp;"ter_Mapping_Sheet!$E$2:$E$3143, ISNUMBER(
Master_Mapping_Sheet!$E$2:$E$3143),
Master_Mapping_Sheet!$B$2:$B$3143=$A49)))"),0.0)</f>
        <v>0</v>
      </c>
    </row>
    <row r="50" ht="15.75" customHeight="1">
      <c r="A50" s="34" t="s">
        <v>1924</v>
      </c>
      <c r="B50" s="34" t="s">
        <v>3820</v>
      </c>
      <c r="C50" s="34">
        <f>IFERROR(__xludf.DUMMYFUNCTION("IF(ISNA(sum(filter(
Master_Mapping_Sheet!$E$2:$E$3143, ISNUMBER(
Master_Mapping_Sheet!$E$2:$E$3143),
Master_Mapping_Sheet!$H$2:$H$3143=C$1,
Master_Mapping_Sheet!$B$2:$B$3143=$A50))/sum(filter(
Master_Mapping_Sheet!$E$2:$E$3143, ISNUMBER(
Master_Mapping_Sh"&amp;"eet!$E$2:$E$3143),
Master_Mapping_Sheet!$B$2:$B$3143=$A50))), 0, sum(filter(
Master_Mapping_Sheet!$E$2:$E$3143, ISNUMBER(
Master_Mapping_Sheet!$E$2:$E$3143),
Master_Mapping_Sheet!$H$2:$H$3143=C$1,
Master_Mapping_Sheet!$B$2:$B$3143=$A50))/sum(filter(
Maste"&amp;"r_Mapping_Sheet!$E$2:$E$3143, ISNUMBER(
Master_Mapping_Sheet!$E$2:$E$3143),
Master_Mapping_Sheet!$B$2:$B$3143=$A50)))"),0.0)</f>
        <v>0</v>
      </c>
      <c r="D50" s="32">
        <f>IFERROR(__xludf.DUMMYFUNCTION("IF(ISNA(sum(filter(
Master_Mapping_Sheet!$E$2:$E$3143, ISNUMBER(
Master_Mapping_Sheet!$E$2:$E$3143),
Master_Mapping_Sheet!$H$2:$H$3143=D$1,
Master_Mapping_Sheet!$B$2:$B$3143=$A50))/sum(filter(
Master_Mapping_Sheet!$E$2:$E$3143, ISNUMBER(
Master_Mapping_Sh"&amp;"eet!$E$2:$E$3143),
Master_Mapping_Sheet!$B$2:$B$3143=$A50))), 0, sum(filter(
Master_Mapping_Sheet!$E$2:$E$3143, ISNUMBER(
Master_Mapping_Sheet!$E$2:$E$3143),
Master_Mapping_Sheet!$H$2:$H$3143=D$1,
Master_Mapping_Sheet!$B$2:$B$3143=$A50))/sum(filter(
Maste"&amp;"r_Mapping_Sheet!$E$2:$E$3143, ISNUMBER(
Master_Mapping_Sheet!$E$2:$E$3143),
Master_Mapping_Sheet!$B$2:$B$3143=$A50)))"),0.0)</f>
        <v>0</v>
      </c>
      <c r="E50" s="34">
        <f>IFERROR(__xludf.DUMMYFUNCTION("IF(ISNA(sum(filter(
Master_Mapping_Sheet!$E$2:$E$3143, ISNUMBER(
Master_Mapping_Sheet!$E$2:$E$3143),
Master_Mapping_Sheet!$H$2:$H$3143=E$1,
Master_Mapping_Sheet!$B$2:$B$3143=$A50))/sum(filter(
Master_Mapping_Sheet!$E$2:$E$3143, ISNUMBER(
Master_Mapping_Sh"&amp;"eet!$E$2:$E$3143),
Master_Mapping_Sheet!$B$2:$B$3143=$A50))), 0, sum(filter(
Master_Mapping_Sheet!$E$2:$E$3143, ISNUMBER(
Master_Mapping_Sheet!$E$2:$E$3143),
Master_Mapping_Sheet!$H$2:$H$3143=E$1,
Master_Mapping_Sheet!$B$2:$B$3143=$A50))/sum(filter(
Maste"&amp;"r_Mapping_Sheet!$E$2:$E$3143, ISNUMBER(
Master_Mapping_Sheet!$E$2:$E$3143),
Master_Mapping_Sheet!$B$2:$B$3143=$A50)))"),0.0)</f>
        <v>0</v>
      </c>
      <c r="F50" s="34">
        <f>IFERROR(__xludf.DUMMYFUNCTION("IF(ISNA(sum(filter(
Master_Mapping_Sheet!$E$2:$E$3143, ISNUMBER(
Master_Mapping_Sheet!$E$2:$E$3143),
Master_Mapping_Sheet!$H$2:$H$3143=F$1,
Master_Mapping_Sheet!$B$2:$B$3143=$A50))/sum(filter(
Master_Mapping_Sheet!$E$2:$E$3143, ISNUMBER(
Master_Mapping_Sh"&amp;"eet!$E$2:$E$3143),
Master_Mapping_Sheet!$B$2:$B$3143=$A50))), 0, sum(filter(
Master_Mapping_Sheet!$E$2:$E$3143, ISNUMBER(
Master_Mapping_Sheet!$E$2:$E$3143),
Master_Mapping_Sheet!$H$2:$H$3143=F$1,
Master_Mapping_Sheet!$B$2:$B$3143=$A50))/sum(filter(
Maste"&amp;"r_Mapping_Sheet!$E$2:$E$3143, ISNUMBER(
Master_Mapping_Sheet!$E$2:$E$3143),
Master_Mapping_Sheet!$B$2:$B$3143=$A50)))"),0.0)</f>
        <v>0</v>
      </c>
      <c r="G50" s="34">
        <f>IFERROR(__xludf.DUMMYFUNCTION("IF(ISNA(sum(filter(
Master_Mapping_Sheet!$E$2:$E$3143, ISNUMBER(
Master_Mapping_Sheet!$E$2:$E$3143),
Master_Mapping_Sheet!$H$2:$H$3143=G$1,
Master_Mapping_Sheet!$B$2:$B$3143=$A50))/sum(filter(
Master_Mapping_Sheet!$E$2:$E$3143, ISNUMBER(
Master_Mapping_Sh"&amp;"eet!$E$2:$E$3143),
Master_Mapping_Sheet!$B$2:$B$3143=$A50))), 0, sum(filter(
Master_Mapping_Sheet!$E$2:$E$3143, ISNUMBER(
Master_Mapping_Sheet!$E$2:$E$3143),
Master_Mapping_Sheet!$H$2:$H$3143=G$1,
Master_Mapping_Sheet!$B$2:$B$3143=$A50))/sum(filter(
Maste"&amp;"r_Mapping_Sheet!$E$2:$E$3143, ISNUMBER(
Master_Mapping_Sheet!$E$2:$E$3143),
Master_Mapping_Sheet!$B$2:$B$3143=$A50)))"),0.0)</f>
        <v>0</v>
      </c>
      <c r="H50" s="34">
        <f>IFERROR(__xludf.DUMMYFUNCTION("IF(ISNA(sum(filter(
Master_Mapping_Sheet!$E$2:$E$3143, ISNUMBER(
Master_Mapping_Sheet!$E$2:$E$3143),
Master_Mapping_Sheet!$H$2:$H$3143=H$1,
Master_Mapping_Sheet!$B$2:$B$3143=$A50))/sum(filter(
Master_Mapping_Sheet!$E$2:$E$3143, ISNUMBER(
Master_Mapping_Sh"&amp;"eet!$E$2:$E$3143),
Master_Mapping_Sheet!$B$2:$B$3143=$A50))), 0, sum(filter(
Master_Mapping_Sheet!$E$2:$E$3143, ISNUMBER(
Master_Mapping_Sheet!$E$2:$E$3143),
Master_Mapping_Sheet!$H$2:$H$3143=H$1,
Master_Mapping_Sheet!$B$2:$B$3143=$A50))/sum(filter(
Maste"&amp;"r_Mapping_Sheet!$E$2:$E$3143, ISNUMBER(
Master_Mapping_Sheet!$E$2:$E$3143),
Master_Mapping_Sheet!$B$2:$B$3143=$A50)))"),0.0)</f>
        <v>0</v>
      </c>
      <c r="I50" s="34">
        <f>IFERROR(__xludf.DUMMYFUNCTION("IF(ISNA(sum(filter(
Master_Mapping_Sheet!$E$2:$E$3143, ISNUMBER(
Master_Mapping_Sheet!$E$2:$E$3143),
Master_Mapping_Sheet!$H$2:$H$3143=I$1,
Master_Mapping_Sheet!$B$2:$B$3143=$A50))/sum(filter(
Master_Mapping_Sheet!$E$2:$E$3143, ISNUMBER(
Master_Mapping_Sh"&amp;"eet!$E$2:$E$3143),
Master_Mapping_Sheet!$B$2:$B$3143=$A50))), 0, sum(filter(
Master_Mapping_Sheet!$E$2:$E$3143, ISNUMBER(
Master_Mapping_Sheet!$E$2:$E$3143),
Master_Mapping_Sheet!$H$2:$H$3143=I$1,
Master_Mapping_Sheet!$B$2:$B$3143=$A50))/sum(filter(
Maste"&amp;"r_Mapping_Sheet!$E$2:$E$3143, ISNUMBER(
Master_Mapping_Sheet!$E$2:$E$3143),
Master_Mapping_Sheet!$B$2:$B$3143=$A50)))"),0.0)</f>
        <v>0</v>
      </c>
      <c r="J50" s="34">
        <f>IFERROR(__xludf.DUMMYFUNCTION("IF(ISNA(sum(filter(
Master_Mapping_Sheet!$E$2:$E$3143, ISNUMBER(
Master_Mapping_Sheet!$E$2:$E$3143),
Master_Mapping_Sheet!$H$2:$H$3143=J$1,
Master_Mapping_Sheet!$B$2:$B$3143=$A50))/sum(filter(
Master_Mapping_Sheet!$E$2:$E$3143, ISNUMBER(
Master_Mapping_Sh"&amp;"eet!$E$2:$E$3143),
Master_Mapping_Sheet!$B$2:$B$3143=$A50))), 0, sum(filter(
Master_Mapping_Sheet!$E$2:$E$3143, ISNUMBER(
Master_Mapping_Sheet!$E$2:$E$3143),
Master_Mapping_Sheet!$H$2:$H$3143=J$1,
Master_Mapping_Sheet!$B$2:$B$3143=$A50))/sum(filter(
Maste"&amp;"r_Mapping_Sheet!$E$2:$E$3143, ISNUMBER(
Master_Mapping_Sheet!$E$2:$E$3143),
Master_Mapping_Sheet!$B$2:$B$3143=$A50)))"),0.0)</f>
        <v>0</v>
      </c>
      <c r="K50" s="34">
        <f>IFERROR(__xludf.DUMMYFUNCTION("IF(ISNA(sum(filter(
Master_Mapping_Sheet!$E$2:$E$3143, ISNUMBER(
Master_Mapping_Sheet!$E$2:$E$3143),
Master_Mapping_Sheet!$H$2:$H$3143=K$1,
Master_Mapping_Sheet!$B$2:$B$3143=$A50))/sum(filter(
Master_Mapping_Sheet!$E$2:$E$3143, ISNUMBER(
Master_Mapping_Sh"&amp;"eet!$E$2:$E$3143),
Master_Mapping_Sheet!$B$2:$B$3143=$A50))), 0, sum(filter(
Master_Mapping_Sheet!$E$2:$E$3143, ISNUMBER(
Master_Mapping_Sheet!$E$2:$E$3143),
Master_Mapping_Sheet!$H$2:$H$3143=K$1,
Master_Mapping_Sheet!$B$2:$B$3143=$A50))/sum(filter(
Maste"&amp;"r_Mapping_Sheet!$E$2:$E$3143, ISNUMBER(
Master_Mapping_Sheet!$E$2:$E$3143),
Master_Mapping_Sheet!$B$2:$B$3143=$A50)))"),0.0)</f>
        <v>0</v>
      </c>
      <c r="L50" s="34">
        <f>IFERROR(__xludf.DUMMYFUNCTION("IF(ISNA(sum(filter(
Master_Mapping_Sheet!$E$2:$E$3143, ISNUMBER(
Master_Mapping_Sheet!$E$2:$E$3143),
Master_Mapping_Sheet!$H$2:$H$3143=L$1,
Master_Mapping_Sheet!$B$2:$B$3143=$A50))/sum(filter(
Master_Mapping_Sheet!$E$2:$E$3143, ISNUMBER(
Master_Mapping_Sh"&amp;"eet!$E$2:$E$3143),
Master_Mapping_Sheet!$B$2:$B$3143=$A50))), 0, sum(filter(
Master_Mapping_Sheet!$E$2:$E$3143, ISNUMBER(
Master_Mapping_Sheet!$E$2:$E$3143),
Master_Mapping_Sheet!$H$2:$H$3143=L$1,
Master_Mapping_Sheet!$B$2:$B$3143=$A50))/sum(filter(
Maste"&amp;"r_Mapping_Sheet!$E$2:$E$3143, ISNUMBER(
Master_Mapping_Sheet!$E$2:$E$3143),
Master_Mapping_Sheet!$B$2:$B$3143=$A50)))"),0.0)</f>
        <v>0</v>
      </c>
      <c r="M50" s="34">
        <f>IFERROR(__xludf.DUMMYFUNCTION("IF(ISNA(sum(filter(
Master_Mapping_Sheet!$E$2:$E$3143, ISNUMBER(
Master_Mapping_Sheet!$E$2:$E$3143),
Master_Mapping_Sheet!$H$2:$H$3143=M$1,
Master_Mapping_Sheet!$B$2:$B$3143=$A50))/sum(filter(
Master_Mapping_Sheet!$E$2:$E$3143, ISNUMBER(
Master_Mapping_Sh"&amp;"eet!$E$2:$E$3143),
Master_Mapping_Sheet!$B$2:$B$3143=$A50))), 0, sum(filter(
Master_Mapping_Sheet!$E$2:$E$3143, ISNUMBER(
Master_Mapping_Sheet!$E$2:$E$3143),
Master_Mapping_Sheet!$H$2:$H$3143=M$1,
Master_Mapping_Sheet!$B$2:$B$3143=$A50))/sum(filter(
Maste"&amp;"r_Mapping_Sheet!$E$2:$E$3143, ISNUMBER(
Master_Mapping_Sheet!$E$2:$E$3143),
Master_Mapping_Sheet!$B$2:$B$3143=$A50)))"),1.0)</f>
        <v>1</v>
      </c>
      <c r="N50" s="34">
        <f>IFERROR(__xludf.DUMMYFUNCTION("IF(ISNA(sum(filter(
Master_Mapping_Sheet!$E$2:$E$3143, ISNUMBER(
Master_Mapping_Sheet!$E$2:$E$3143),
Master_Mapping_Sheet!$H$2:$H$3143=N$1,
Master_Mapping_Sheet!$B$2:$B$3143=$A50))/sum(filter(
Master_Mapping_Sheet!$E$2:$E$3143, ISNUMBER(
Master_Mapping_Sh"&amp;"eet!$E$2:$E$3143),
Master_Mapping_Sheet!$B$2:$B$3143=$A50))), 0, sum(filter(
Master_Mapping_Sheet!$E$2:$E$3143, ISNUMBER(
Master_Mapping_Sheet!$E$2:$E$3143),
Master_Mapping_Sheet!$H$2:$H$3143=N$1,
Master_Mapping_Sheet!$B$2:$B$3143=$A50))/sum(filter(
Maste"&amp;"r_Mapping_Sheet!$E$2:$E$3143, ISNUMBER(
Master_Mapping_Sheet!$E$2:$E$3143),
Master_Mapping_Sheet!$B$2:$B$3143=$A50)))"),0.0)</f>
        <v>0</v>
      </c>
      <c r="O50" s="34">
        <f>IFERROR(__xludf.DUMMYFUNCTION("IF(ISNA(sum(filter(
Master_Mapping_Sheet!$E$2:$E$3143, ISNUMBER(
Master_Mapping_Sheet!$E$2:$E$3143),
Master_Mapping_Sheet!$H$2:$H$3143=O$1,
Master_Mapping_Sheet!$B$2:$B$3143=$A50))/sum(filter(
Master_Mapping_Sheet!$E$2:$E$3143, ISNUMBER(
Master_Mapping_Sh"&amp;"eet!$E$2:$E$3143),
Master_Mapping_Sheet!$B$2:$B$3143=$A50))), 0, sum(filter(
Master_Mapping_Sheet!$E$2:$E$3143, ISNUMBER(
Master_Mapping_Sheet!$E$2:$E$3143),
Master_Mapping_Sheet!$H$2:$H$3143=O$1,
Master_Mapping_Sheet!$B$2:$B$3143=$A50))/sum(filter(
Maste"&amp;"r_Mapping_Sheet!$E$2:$E$3143, ISNUMBER(
Master_Mapping_Sheet!$E$2:$E$3143),
Master_Mapping_Sheet!$B$2:$B$3143=$A50)))"),0.0)</f>
        <v>0</v>
      </c>
      <c r="P50" s="34">
        <f>IFERROR(__xludf.DUMMYFUNCTION("IF(ISNA(sum(filter(
Master_Mapping_Sheet!$E$2:$E$3143, ISNUMBER(
Master_Mapping_Sheet!$E$2:$E$3143),
Master_Mapping_Sheet!$H$2:$H$3143=P$1,
Master_Mapping_Sheet!$B$2:$B$3143=$A50))/sum(filter(
Master_Mapping_Sheet!$E$2:$E$3143, ISNUMBER(
Master_Mapping_Sh"&amp;"eet!$E$2:$E$3143),
Master_Mapping_Sheet!$B$2:$B$3143=$A50))), 0, sum(filter(
Master_Mapping_Sheet!$E$2:$E$3143, ISNUMBER(
Master_Mapping_Sheet!$E$2:$E$3143),
Master_Mapping_Sheet!$H$2:$H$3143=P$1,
Master_Mapping_Sheet!$B$2:$B$3143=$A50))/sum(filter(
Maste"&amp;"r_Mapping_Sheet!$E$2:$E$3143, ISNUMBER(
Master_Mapping_Sheet!$E$2:$E$3143),
Master_Mapping_Sheet!$B$2:$B$3143=$A50)))"),0.0)</f>
        <v>0</v>
      </c>
      <c r="Q50" s="34">
        <f>IFERROR(__xludf.DUMMYFUNCTION("IF(ISNA(sum(filter(
Master_Mapping_Sheet!$E$2:$E$3143, ISNUMBER(
Master_Mapping_Sheet!$E$2:$E$3143),
Master_Mapping_Sheet!$H$2:$H$3143=Q$1,
Master_Mapping_Sheet!$B$2:$B$3143=$A50))/sum(filter(
Master_Mapping_Sheet!$E$2:$E$3143, ISNUMBER(
Master_Mapping_Sh"&amp;"eet!$E$2:$E$3143),
Master_Mapping_Sheet!$B$2:$B$3143=$A50))), 0, sum(filter(
Master_Mapping_Sheet!$E$2:$E$3143, ISNUMBER(
Master_Mapping_Sheet!$E$2:$E$3143),
Master_Mapping_Sheet!$H$2:$H$3143=Q$1,
Master_Mapping_Sheet!$B$2:$B$3143=$A50))/sum(filter(
Maste"&amp;"r_Mapping_Sheet!$E$2:$E$3143, ISNUMBER(
Master_Mapping_Sheet!$E$2:$E$3143),
Master_Mapping_Sheet!$B$2:$B$3143=$A50)))"),0.0)</f>
        <v>0</v>
      </c>
      <c r="R50" s="34">
        <f>IFERROR(__xludf.DUMMYFUNCTION("IF(ISNA(sum(filter(
Master_Mapping_Sheet!$E$2:$E$3143, ISNUMBER(
Master_Mapping_Sheet!$E$2:$E$3143),
Master_Mapping_Sheet!$H$2:$H$3143=R$1,
Master_Mapping_Sheet!$B$2:$B$3143=$A50))/sum(filter(
Master_Mapping_Sheet!$E$2:$E$3143, ISNUMBER(
Master_Mapping_Sh"&amp;"eet!$E$2:$E$3143),
Master_Mapping_Sheet!$B$2:$B$3143=$A50))), 0, sum(filter(
Master_Mapping_Sheet!$E$2:$E$3143, ISNUMBER(
Master_Mapping_Sheet!$E$2:$E$3143),
Master_Mapping_Sheet!$H$2:$H$3143=R$1,
Master_Mapping_Sheet!$B$2:$B$3143=$A50))/sum(filter(
Maste"&amp;"r_Mapping_Sheet!$E$2:$E$3143, ISNUMBER(
Master_Mapping_Sheet!$E$2:$E$3143),
Master_Mapping_Sheet!$B$2:$B$3143=$A50)))"),0.0)</f>
        <v>0</v>
      </c>
      <c r="S50" s="34">
        <f>IFERROR(__xludf.DUMMYFUNCTION("IF(ISNA(sum(filter(
Master_Mapping_Sheet!$E$2:$E$3143, ISNUMBER(
Master_Mapping_Sheet!$E$2:$E$3143),
Master_Mapping_Sheet!$H$2:$H$3143=S$1,
Master_Mapping_Sheet!$B$2:$B$3143=$A50))/sum(filter(
Master_Mapping_Sheet!$E$2:$E$3143, ISNUMBER(
Master_Mapping_Sh"&amp;"eet!$E$2:$E$3143),
Master_Mapping_Sheet!$B$2:$B$3143=$A50))), 0, sum(filter(
Master_Mapping_Sheet!$E$2:$E$3143, ISNUMBER(
Master_Mapping_Sheet!$E$2:$E$3143),
Master_Mapping_Sheet!$H$2:$H$3143=S$1,
Master_Mapping_Sheet!$B$2:$B$3143=$A50))/sum(filter(
Maste"&amp;"r_Mapping_Sheet!$E$2:$E$3143, ISNUMBER(
Master_Mapping_Sheet!$E$2:$E$3143),
Master_Mapping_Sheet!$B$2:$B$3143=$A50)))"),0.0)</f>
        <v>0</v>
      </c>
      <c r="T50" s="34">
        <f>IFERROR(__xludf.DUMMYFUNCTION("IF(ISNA(sum(filter(
Master_Mapping_Sheet!$E$2:$E$3143, ISNUMBER(
Master_Mapping_Sheet!$E$2:$E$3143),
Master_Mapping_Sheet!$H$2:$H$3143=T$1,
Master_Mapping_Sheet!$B$2:$B$3143=$A50))/sum(filter(
Master_Mapping_Sheet!$E$2:$E$3143, ISNUMBER(
Master_Mapping_Sh"&amp;"eet!$E$2:$E$3143),
Master_Mapping_Sheet!$B$2:$B$3143=$A50))), 0, sum(filter(
Master_Mapping_Sheet!$E$2:$E$3143, ISNUMBER(
Master_Mapping_Sheet!$E$2:$E$3143),
Master_Mapping_Sheet!$H$2:$H$3143=T$1,
Master_Mapping_Sheet!$B$2:$B$3143=$A50))/sum(filter(
Maste"&amp;"r_Mapping_Sheet!$E$2:$E$3143, ISNUMBER(
Master_Mapping_Sheet!$E$2:$E$3143),
Master_Mapping_Sheet!$B$2:$B$3143=$A50)))"),0.0)</f>
        <v>0</v>
      </c>
      <c r="U50" s="34">
        <f>IFERROR(__xludf.DUMMYFUNCTION("IF(ISNA(sum(filter(
Master_Mapping_Sheet!$E$2:$E$3143, ISNUMBER(
Master_Mapping_Sheet!$E$2:$E$3143),
Master_Mapping_Sheet!$H$2:$H$3143=U$1,
Master_Mapping_Sheet!$B$2:$B$3143=$A50))/sum(filter(
Master_Mapping_Sheet!$E$2:$E$3143, ISNUMBER(
Master_Mapping_Sh"&amp;"eet!$E$2:$E$3143),
Master_Mapping_Sheet!$B$2:$B$3143=$A50))), 0, sum(filter(
Master_Mapping_Sheet!$E$2:$E$3143, ISNUMBER(
Master_Mapping_Sheet!$E$2:$E$3143),
Master_Mapping_Sheet!$H$2:$H$3143=U$1,
Master_Mapping_Sheet!$B$2:$B$3143=$A50))/sum(filter(
Maste"&amp;"r_Mapping_Sheet!$E$2:$E$3143, ISNUMBER(
Master_Mapping_Sheet!$E$2:$E$3143),
Master_Mapping_Sheet!$B$2:$B$3143=$A50)))"),0.0)</f>
        <v>0</v>
      </c>
      <c r="V50" s="34">
        <f>IFERROR(__xludf.DUMMYFUNCTION("IF(ISNA(sum(filter(
Master_Mapping_Sheet!$E$2:$E$3143, ISNUMBER(
Master_Mapping_Sheet!$E$2:$E$3143),
Master_Mapping_Sheet!$H$2:$H$3143=V$1,
Master_Mapping_Sheet!$B$2:$B$3143=$A50))/sum(filter(
Master_Mapping_Sheet!$E$2:$E$3143, ISNUMBER(
Master_Mapping_Sh"&amp;"eet!$E$2:$E$3143),
Master_Mapping_Sheet!$B$2:$B$3143=$A50))), 0, sum(filter(
Master_Mapping_Sheet!$E$2:$E$3143, ISNUMBER(
Master_Mapping_Sheet!$E$2:$E$3143),
Master_Mapping_Sheet!$H$2:$H$3143=V$1,
Master_Mapping_Sheet!$B$2:$B$3143=$A50))/sum(filter(
Maste"&amp;"r_Mapping_Sheet!$E$2:$E$3143, ISNUMBER(
Master_Mapping_Sheet!$E$2:$E$3143),
Master_Mapping_Sheet!$B$2:$B$3143=$A50)))"),0.0)</f>
        <v>0</v>
      </c>
      <c r="W50" s="34">
        <f>IFERROR(__xludf.DUMMYFUNCTION("IF(ISNA(sum(filter(
Master_Mapping_Sheet!$E$2:$E$3143, ISNUMBER(
Master_Mapping_Sheet!$E$2:$E$3143),
Master_Mapping_Sheet!$H$2:$H$3143=W$1,
Master_Mapping_Sheet!$B$2:$B$3143=$A50))/sum(filter(
Master_Mapping_Sheet!$E$2:$E$3143, ISNUMBER(
Master_Mapping_Sh"&amp;"eet!$E$2:$E$3143),
Master_Mapping_Sheet!$B$2:$B$3143=$A50))), 0, sum(filter(
Master_Mapping_Sheet!$E$2:$E$3143, ISNUMBER(
Master_Mapping_Sheet!$E$2:$E$3143),
Master_Mapping_Sheet!$H$2:$H$3143=W$1,
Master_Mapping_Sheet!$B$2:$B$3143=$A50))/sum(filter(
Maste"&amp;"r_Mapping_Sheet!$E$2:$E$3143, ISNUMBER(
Master_Mapping_Sheet!$E$2:$E$3143),
Master_Mapping_Sheet!$B$2:$B$3143=$A50)))"),0.0)</f>
        <v>0</v>
      </c>
      <c r="X50" s="34">
        <f>IFERROR(__xludf.DUMMYFUNCTION("IF(ISNA(sum(filter(
Master_Mapping_Sheet!$E$2:$E$3143, ISNUMBER(
Master_Mapping_Sheet!$E$2:$E$3143),
Master_Mapping_Sheet!$H$2:$H$3143=X$1,
Master_Mapping_Sheet!$B$2:$B$3143=$A50))/sum(filter(
Master_Mapping_Sheet!$E$2:$E$3143, ISNUMBER(
Master_Mapping_Sh"&amp;"eet!$E$2:$E$3143),
Master_Mapping_Sheet!$B$2:$B$3143=$A50))), 0, sum(filter(
Master_Mapping_Sheet!$E$2:$E$3143, ISNUMBER(
Master_Mapping_Sheet!$E$2:$E$3143),
Master_Mapping_Sheet!$H$2:$H$3143=X$1,
Master_Mapping_Sheet!$B$2:$B$3143=$A50))/sum(filter(
Maste"&amp;"r_Mapping_Sheet!$E$2:$E$3143, ISNUMBER(
Master_Mapping_Sheet!$E$2:$E$3143),
Master_Mapping_Sheet!$B$2:$B$3143=$A50)))"),0.0)</f>
        <v>0</v>
      </c>
      <c r="Y50" s="34">
        <f>IFERROR(__xludf.DUMMYFUNCTION("IF(ISNA(sum(filter(
Master_Mapping_Sheet!$E$2:$E$3143, ISNUMBER(
Master_Mapping_Sheet!$E$2:$E$3143),
Master_Mapping_Sheet!$H$2:$H$3143=Y$1,
Master_Mapping_Sheet!$B$2:$B$3143=$A50))/sum(filter(
Master_Mapping_Sheet!$E$2:$E$3143, ISNUMBER(
Master_Mapping_Sh"&amp;"eet!$E$2:$E$3143),
Master_Mapping_Sheet!$B$2:$B$3143=$A50))), 0, sum(filter(
Master_Mapping_Sheet!$E$2:$E$3143, ISNUMBER(
Master_Mapping_Sheet!$E$2:$E$3143),
Master_Mapping_Sheet!$H$2:$H$3143=Y$1,
Master_Mapping_Sheet!$B$2:$B$3143=$A50))/sum(filter(
Maste"&amp;"r_Mapping_Sheet!$E$2:$E$3143, ISNUMBER(
Master_Mapping_Sheet!$E$2:$E$3143),
Master_Mapping_Sheet!$B$2:$B$3143=$A50)))"),0.0)</f>
        <v>0</v>
      </c>
      <c r="Z50" s="34">
        <f>IFERROR(__xludf.DUMMYFUNCTION("IF(ISNA(sum(filter(
Master_Mapping_Sheet!$E$2:$E$3143, ISNUMBER(
Master_Mapping_Sheet!$E$2:$E$3143),
Master_Mapping_Sheet!$H$2:$H$3143=Z$1,
Master_Mapping_Sheet!$B$2:$B$3143=$A50))/sum(filter(
Master_Mapping_Sheet!$E$2:$E$3143, ISNUMBER(
Master_Mapping_Sh"&amp;"eet!$E$2:$E$3143),
Master_Mapping_Sheet!$B$2:$B$3143=$A50))), 0, sum(filter(
Master_Mapping_Sheet!$E$2:$E$3143, ISNUMBER(
Master_Mapping_Sheet!$E$2:$E$3143),
Master_Mapping_Sheet!$H$2:$H$3143=Z$1,
Master_Mapping_Sheet!$B$2:$B$3143=$A50))/sum(filter(
Maste"&amp;"r_Mapping_Sheet!$E$2:$E$3143, ISNUMBER(
Master_Mapping_Sheet!$E$2:$E$3143),
Master_Mapping_Sheet!$B$2:$B$3143=$A50)))"),0.0)</f>
        <v>0</v>
      </c>
      <c r="AA50" s="34">
        <f>IFERROR(__xludf.DUMMYFUNCTION("IF(ISNA(sum(filter(
Master_Mapping_Sheet!$E$2:$E$3143, ISNUMBER(
Master_Mapping_Sheet!$E$2:$E$3143),
Master_Mapping_Sheet!$H$2:$H$3143=AA$1,
Master_Mapping_Sheet!$B$2:$B$3143=$A50))/sum(filter(
Master_Mapping_Sheet!$E$2:$E$3143, ISNUMBER(
Master_Mapping_S"&amp;"heet!$E$2:$E$3143),
Master_Mapping_Sheet!$B$2:$B$3143=$A50))), 0, sum(filter(
Master_Mapping_Sheet!$E$2:$E$3143, ISNUMBER(
Master_Mapping_Sheet!$E$2:$E$3143),
Master_Mapping_Sheet!$H$2:$H$3143=AA$1,
Master_Mapping_Sheet!$B$2:$B$3143=$A50))/sum(filter(
Mas"&amp;"ter_Mapping_Sheet!$E$2:$E$3143, ISNUMBER(
Master_Mapping_Sheet!$E$2:$E$3143),
Master_Mapping_Sheet!$B$2:$B$3143=$A50)))"),0.0)</f>
        <v>0</v>
      </c>
    </row>
    <row r="51" ht="15.75" customHeight="1">
      <c r="A51" s="34" t="s">
        <v>1942</v>
      </c>
      <c r="B51" s="34" t="s">
        <v>3838</v>
      </c>
      <c r="C51" s="34">
        <f>IFERROR(__xludf.DUMMYFUNCTION("IF(ISNA(sum(filter(
Master_Mapping_Sheet!$E$2:$E$3143, ISNUMBER(
Master_Mapping_Sheet!$E$2:$E$3143),
Master_Mapping_Sheet!$H$2:$H$3143=C$1,
Master_Mapping_Sheet!$B$2:$B$3143=$A51))/sum(filter(
Master_Mapping_Sheet!$E$2:$E$3143, ISNUMBER(
Master_Mapping_Sh"&amp;"eet!$E$2:$E$3143),
Master_Mapping_Sheet!$B$2:$B$3143=$A51))), 0, sum(filter(
Master_Mapping_Sheet!$E$2:$E$3143, ISNUMBER(
Master_Mapping_Sheet!$E$2:$E$3143),
Master_Mapping_Sheet!$H$2:$H$3143=C$1,
Master_Mapping_Sheet!$B$2:$B$3143=$A51))/sum(filter(
Maste"&amp;"r_Mapping_Sheet!$E$2:$E$3143, ISNUMBER(
Master_Mapping_Sheet!$E$2:$E$3143),
Master_Mapping_Sheet!$B$2:$B$3143=$A51)))"),0.0)</f>
        <v>0</v>
      </c>
      <c r="D51" s="32">
        <f>IFERROR(__xludf.DUMMYFUNCTION("IF(ISNA(sum(filter(
Master_Mapping_Sheet!$E$2:$E$3143, ISNUMBER(
Master_Mapping_Sheet!$E$2:$E$3143),
Master_Mapping_Sheet!$H$2:$H$3143=D$1,
Master_Mapping_Sheet!$B$2:$B$3143=$A51))/sum(filter(
Master_Mapping_Sheet!$E$2:$E$3143, ISNUMBER(
Master_Mapping_Sh"&amp;"eet!$E$2:$E$3143),
Master_Mapping_Sheet!$B$2:$B$3143=$A51))), 0, sum(filter(
Master_Mapping_Sheet!$E$2:$E$3143, ISNUMBER(
Master_Mapping_Sheet!$E$2:$E$3143),
Master_Mapping_Sheet!$H$2:$H$3143=D$1,
Master_Mapping_Sheet!$B$2:$B$3143=$A51))/sum(filter(
Maste"&amp;"r_Mapping_Sheet!$E$2:$E$3143, ISNUMBER(
Master_Mapping_Sheet!$E$2:$E$3143),
Master_Mapping_Sheet!$B$2:$B$3143=$A51)))"),0.0)</f>
        <v>0</v>
      </c>
      <c r="E51" s="34">
        <f>IFERROR(__xludf.DUMMYFUNCTION("IF(ISNA(sum(filter(
Master_Mapping_Sheet!$E$2:$E$3143, ISNUMBER(
Master_Mapping_Sheet!$E$2:$E$3143),
Master_Mapping_Sheet!$H$2:$H$3143=E$1,
Master_Mapping_Sheet!$B$2:$B$3143=$A51))/sum(filter(
Master_Mapping_Sheet!$E$2:$E$3143, ISNUMBER(
Master_Mapping_Sh"&amp;"eet!$E$2:$E$3143),
Master_Mapping_Sheet!$B$2:$B$3143=$A51))), 0, sum(filter(
Master_Mapping_Sheet!$E$2:$E$3143, ISNUMBER(
Master_Mapping_Sheet!$E$2:$E$3143),
Master_Mapping_Sheet!$H$2:$H$3143=E$1,
Master_Mapping_Sheet!$B$2:$B$3143=$A51))/sum(filter(
Maste"&amp;"r_Mapping_Sheet!$E$2:$E$3143, ISNUMBER(
Master_Mapping_Sheet!$E$2:$E$3143),
Master_Mapping_Sheet!$B$2:$B$3143=$A51)))"),1.0)</f>
        <v>1</v>
      </c>
      <c r="F51" s="34">
        <f>IFERROR(__xludf.DUMMYFUNCTION("IF(ISNA(sum(filter(
Master_Mapping_Sheet!$E$2:$E$3143, ISNUMBER(
Master_Mapping_Sheet!$E$2:$E$3143),
Master_Mapping_Sheet!$H$2:$H$3143=F$1,
Master_Mapping_Sheet!$B$2:$B$3143=$A51))/sum(filter(
Master_Mapping_Sheet!$E$2:$E$3143, ISNUMBER(
Master_Mapping_Sh"&amp;"eet!$E$2:$E$3143),
Master_Mapping_Sheet!$B$2:$B$3143=$A51))), 0, sum(filter(
Master_Mapping_Sheet!$E$2:$E$3143, ISNUMBER(
Master_Mapping_Sheet!$E$2:$E$3143),
Master_Mapping_Sheet!$H$2:$H$3143=F$1,
Master_Mapping_Sheet!$B$2:$B$3143=$A51))/sum(filter(
Maste"&amp;"r_Mapping_Sheet!$E$2:$E$3143, ISNUMBER(
Master_Mapping_Sheet!$E$2:$E$3143),
Master_Mapping_Sheet!$B$2:$B$3143=$A51)))"),0.0)</f>
        <v>0</v>
      </c>
      <c r="G51" s="34">
        <f>IFERROR(__xludf.DUMMYFUNCTION("IF(ISNA(sum(filter(
Master_Mapping_Sheet!$E$2:$E$3143, ISNUMBER(
Master_Mapping_Sheet!$E$2:$E$3143),
Master_Mapping_Sheet!$H$2:$H$3143=G$1,
Master_Mapping_Sheet!$B$2:$B$3143=$A51))/sum(filter(
Master_Mapping_Sheet!$E$2:$E$3143, ISNUMBER(
Master_Mapping_Sh"&amp;"eet!$E$2:$E$3143),
Master_Mapping_Sheet!$B$2:$B$3143=$A51))), 0, sum(filter(
Master_Mapping_Sheet!$E$2:$E$3143, ISNUMBER(
Master_Mapping_Sheet!$E$2:$E$3143),
Master_Mapping_Sheet!$H$2:$H$3143=G$1,
Master_Mapping_Sheet!$B$2:$B$3143=$A51))/sum(filter(
Maste"&amp;"r_Mapping_Sheet!$E$2:$E$3143, ISNUMBER(
Master_Mapping_Sheet!$E$2:$E$3143),
Master_Mapping_Sheet!$B$2:$B$3143=$A51)))"),0.0)</f>
        <v>0</v>
      </c>
      <c r="H51" s="34">
        <f>IFERROR(__xludf.DUMMYFUNCTION("IF(ISNA(sum(filter(
Master_Mapping_Sheet!$E$2:$E$3143, ISNUMBER(
Master_Mapping_Sheet!$E$2:$E$3143),
Master_Mapping_Sheet!$H$2:$H$3143=H$1,
Master_Mapping_Sheet!$B$2:$B$3143=$A51))/sum(filter(
Master_Mapping_Sheet!$E$2:$E$3143, ISNUMBER(
Master_Mapping_Sh"&amp;"eet!$E$2:$E$3143),
Master_Mapping_Sheet!$B$2:$B$3143=$A51))), 0, sum(filter(
Master_Mapping_Sheet!$E$2:$E$3143, ISNUMBER(
Master_Mapping_Sheet!$E$2:$E$3143),
Master_Mapping_Sheet!$H$2:$H$3143=H$1,
Master_Mapping_Sheet!$B$2:$B$3143=$A51))/sum(filter(
Maste"&amp;"r_Mapping_Sheet!$E$2:$E$3143, ISNUMBER(
Master_Mapping_Sheet!$E$2:$E$3143),
Master_Mapping_Sheet!$B$2:$B$3143=$A51)))"),0.0)</f>
        <v>0</v>
      </c>
      <c r="I51" s="34">
        <f>IFERROR(__xludf.DUMMYFUNCTION("IF(ISNA(sum(filter(
Master_Mapping_Sheet!$E$2:$E$3143, ISNUMBER(
Master_Mapping_Sheet!$E$2:$E$3143),
Master_Mapping_Sheet!$H$2:$H$3143=I$1,
Master_Mapping_Sheet!$B$2:$B$3143=$A51))/sum(filter(
Master_Mapping_Sheet!$E$2:$E$3143, ISNUMBER(
Master_Mapping_Sh"&amp;"eet!$E$2:$E$3143),
Master_Mapping_Sheet!$B$2:$B$3143=$A51))), 0, sum(filter(
Master_Mapping_Sheet!$E$2:$E$3143, ISNUMBER(
Master_Mapping_Sheet!$E$2:$E$3143),
Master_Mapping_Sheet!$H$2:$H$3143=I$1,
Master_Mapping_Sheet!$B$2:$B$3143=$A51))/sum(filter(
Maste"&amp;"r_Mapping_Sheet!$E$2:$E$3143, ISNUMBER(
Master_Mapping_Sheet!$E$2:$E$3143),
Master_Mapping_Sheet!$B$2:$B$3143=$A51)))"),0.0)</f>
        <v>0</v>
      </c>
      <c r="J51" s="34">
        <f>IFERROR(__xludf.DUMMYFUNCTION("IF(ISNA(sum(filter(
Master_Mapping_Sheet!$E$2:$E$3143, ISNUMBER(
Master_Mapping_Sheet!$E$2:$E$3143),
Master_Mapping_Sheet!$H$2:$H$3143=J$1,
Master_Mapping_Sheet!$B$2:$B$3143=$A51))/sum(filter(
Master_Mapping_Sheet!$E$2:$E$3143, ISNUMBER(
Master_Mapping_Sh"&amp;"eet!$E$2:$E$3143),
Master_Mapping_Sheet!$B$2:$B$3143=$A51))), 0, sum(filter(
Master_Mapping_Sheet!$E$2:$E$3143, ISNUMBER(
Master_Mapping_Sheet!$E$2:$E$3143),
Master_Mapping_Sheet!$H$2:$H$3143=J$1,
Master_Mapping_Sheet!$B$2:$B$3143=$A51))/sum(filter(
Maste"&amp;"r_Mapping_Sheet!$E$2:$E$3143, ISNUMBER(
Master_Mapping_Sheet!$E$2:$E$3143),
Master_Mapping_Sheet!$B$2:$B$3143=$A51)))"),0.0)</f>
        <v>0</v>
      </c>
      <c r="K51" s="34">
        <f>IFERROR(__xludf.DUMMYFUNCTION("IF(ISNA(sum(filter(
Master_Mapping_Sheet!$E$2:$E$3143, ISNUMBER(
Master_Mapping_Sheet!$E$2:$E$3143),
Master_Mapping_Sheet!$H$2:$H$3143=K$1,
Master_Mapping_Sheet!$B$2:$B$3143=$A51))/sum(filter(
Master_Mapping_Sheet!$E$2:$E$3143, ISNUMBER(
Master_Mapping_Sh"&amp;"eet!$E$2:$E$3143),
Master_Mapping_Sheet!$B$2:$B$3143=$A51))), 0, sum(filter(
Master_Mapping_Sheet!$E$2:$E$3143, ISNUMBER(
Master_Mapping_Sheet!$E$2:$E$3143),
Master_Mapping_Sheet!$H$2:$H$3143=K$1,
Master_Mapping_Sheet!$B$2:$B$3143=$A51))/sum(filter(
Maste"&amp;"r_Mapping_Sheet!$E$2:$E$3143, ISNUMBER(
Master_Mapping_Sheet!$E$2:$E$3143),
Master_Mapping_Sheet!$B$2:$B$3143=$A51)))"),0.0)</f>
        <v>0</v>
      </c>
      <c r="L51" s="34">
        <f>IFERROR(__xludf.DUMMYFUNCTION("IF(ISNA(sum(filter(
Master_Mapping_Sheet!$E$2:$E$3143, ISNUMBER(
Master_Mapping_Sheet!$E$2:$E$3143),
Master_Mapping_Sheet!$H$2:$H$3143=L$1,
Master_Mapping_Sheet!$B$2:$B$3143=$A51))/sum(filter(
Master_Mapping_Sheet!$E$2:$E$3143, ISNUMBER(
Master_Mapping_Sh"&amp;"eet!$E$2:$E$3143),
Master_Mapping_Sheet!$B$2:$B$3143=$A51))), 0, sum(filter(
Master_Mapping_Sheet!$E$2:$E$3143, ISNUMBER(
Master_Mapping_Sheet!$E$2:$E$3143),
Master_Mapping_Sheet!$H$2:$H$3143=L$1,
Master_Mapping_Sheet!$B$2:$B$3143=$A51))/sum(filter(
Maste"&amp;"r_Mapping_Sheet!$E$2:$E$3143, ISNUMBER(
Master_Mapping_Sheet!$E$2:$E$3143),
Master_Mapping_Sheet!$B$2:$B$3143=$A51)))"),0.0)</f>
        <v>0</v>
      </c>
      <c r="M51" s="34">
        <f>IFERROR(__xludf.DUMMYFUNCTION("IF(ISNA(sum(filter(
Master_Mapping_Sheet!$E$2:$E$3143, ISNUMBER(
Master_Mapping_Sheet!$E$2:$E$3143),
Master_Mapping_Sheet!$H$2:$H$3143=M$1,
Master_Mapping_Sheet!$B$2:$B$3143=$A51))/sum(filter(
Master_Mapping_Sheet!$E$2:$E$3143, ISNUMBER(
Master_Mapping_Sh"&amp;"eet!$E$2:$E$3143),
Master_Mapping_Sheet!$B$2:$B$3143=$A51))), 0, sum(filter(
Master_Mapping_Sheet!$E$2:$E$3143, ISNUMBER(
Master_Mapping_Sheet!$E$2:$E$3143),
Master_Mapping_Sheet!$H$2:$H$3143=M$1,
Master_Mapping_Sheet!$B$2:$B$3143=$A51))/sum(filter(
Maste"&amp;"r_Mapping_Sheet!$E$2:$E$3143, ISNUMBER(
Master_Mapping_Sheet!$E$2:$E$3143),
Master_Mapping_Sheet!$B$2:$B$3143=$A51)))"),0.0)</f>
        <v>0</v>
      </c>
      <c r="N51" s="34">
        <f>IFERROR(__xludf.DUMMYFUNCTION("IF(ISNA(sum(filter(
Master_Mapping_Sheet!$E$2:$E$3143, ISNUMBER(
Master_Mapping_Sheet!$E$2:$E$3143),
Master_Mapping_Sheet!$H$2:$H$3143=N$1,
Master_Mapping_Sheet!$B$2:$B$3143=$A51))/sum(filter(
Master_Mapping_Sheet!$E$2:$E$3143, ISNUMBER(
Master_Mapping_Sh"&amp;"eet!$E$2:$E$3143),
Master_Mapping_Sheet!$B$2:$B$3143=$A51))), 0, sum(filter(
Master_Mapping_Sheet!$E$2:$E$3143, ISNUMBER(
Master_Mapping_Sheet!$E$2:$E$3143),
Master_Mapping_Sheet!$H$2:$H$3143=N$1,
Master_Mapping_Sheet!$B$2:$B$3143=$A51))/sum(filter(
Maste"&amp;"r_Mapping_Sheet!$E$2:$E$3143, ISNUMBER(
Master_Mapping_Sheet!$E$2:$E$3143),
Master_Mapping_Sheet!$B$2:$B$3143=$A51)))"),0.0)</f>
        <v>0</v>
      </c>
      <c r="O51" s="34">
        <f>IFERROR(__xludf.DUMMYFUNCTION("IF(ISNA(sum(filter(
Master_Mapping_Sheet!$E$2:$E$3143, ISNUMBER(
Master_Mapping_Sheet!$E$2:$E$3143),
Master_Mapping_Sheet!$H$2:$H$3143=O$1,
Master_Mapping_Sheet!$B$2:$B$3143=$A51))/sum(filter(
Master_Mapping_Sheet!$E$2:$E$3143, ISNUMBER(
Master_Mapping_Sh"&amp;"eet!$E$2:$E$3143),
Master_Mapping_Sheet!$B$2:$B$3143=$A51))), 0, sum(filter(
Master_Mapping_Sheet!$E$2:$E$3143, ISNUMBER(
Master_Mapping_Sheet!$E$2:$E$3143),
Master_Mapping_Sheet!$H$2:$H$3143=O$1,
Master_Mapping_Sheet!$B$2:$B$3143=$A51))/sum(filter(
Maste"&amp;"r_Mapping_Sheet!$E$2:$E$3143, ISNUMBER(
Master_Mapping_Sheet!$E$2:$E$3143),
Master_Mapping_Sheet!$B$2:$B$3143=$A51)))"),0.0)</f>
        <v>0</v>
      </c>
      <c r="P51" s="34">
        <f>IFERROR(__xludf.DUMMYFUNCTION("IF(ISNA(sum(filter(
Master_Mapping_Sheet!$E$2:$E$3143, ISNUMBER(
Master_Mapping_Sheet!$E$2:$E$3143),
Master_Mapping_Sheet!$H$2:$H$3143=P$1,
Master_Mapping_Sheet!$B$2:$B$3143=$A51))/sum(filter(
Master_Mapping_Sheet!$E$2:$E$3143, ISNUMBER(
Master_Mapping_Sh"&amp;"eet!$E$2:$E$3143),
Master_Mapping_Sheet!$B$2:$B$3143=$A51))), 0, sum(filter(
Master_Mapping_Sheet!$E$2:$E$3143, ISNUMBER(
Master_Mapping_Sheet!$E$2:$E$3143),
Master_Mapping_Sheet!$H$2:$H$3143=P$1,
Master_Mapping_Sheet!$B$2:$B$3143=$A51))/sum(filter(
Maste"&amp;"r_Mapping_Sheet!$E$2:$E$3143, ISNUMBER(
Master_Mapping_Sheet!$E$2:$E$3143),
Master_Mapping_Sheet!$B$2:$B$3143=$A51)))"),0.0)</f>
        <v>0</v>
      </c>
      <c r="Q51" s="34">
        <f>IFERROR(__xludf.DUMMYFUNCTION("IF(ISNA(sum(filter(
Master_Mapping_Sheet!$E$2:$E$3143, ISNUMBER(
Master_Mapping_Sheet!$E$2:$E$3143),
Master_Mapping_Sheet!$H$2:$H$3143=Q$1,
Master_Mapping_Sheet!$B$2:$B$3143=$A51))/sum(filter(
Master_Mapping_Sheet!$E$2:$E$3143, ISNUMBER(
Master_Mapping_Sh"&amp;"eet!$E$2:$E$3143),
Master_Mapping_Sheet!$B$2:$B$3143=$A51))), 0, sum(filter(
Master_Mapping_Sheet!$E$2:$E$3143, ISNUMBER(
Master_Mapping_Sheet!$E$2:$E$3143),
Master_Mapping_Sheet!$H$2:$H$3143=Q$1,
Master_Mapping_Sheet!$B$2:$B$3143=$A51))/sum(filter(
Maste"&amp;"r_Mapping_Sheet!$E$2:$E$3143, ISNUMBER(
Master_Mapping_Sheet!$E$2:$E$3143),
Master_Mapping_Sheet!$B$2:$B$3143=$A51)))"),0.0)</f>
        <v>0</v>
      </c>
      <c r="R51" s="34">
        <f>IFERROR(__xludf.DUMMYFUNCTION("IF(ISNA(sum(filter(
Master_Mapping_Sheet!$E$2:$E$3143, ISNUMBER(
Master_Mapping_Sheet!$E$2:$E$3143),
Master_Mapping_Sheet!$H$2:$H$3143=R$1,
Master_Mapping_Sheet!$B$2:$B$3143=$A51))/sum(filter(
Master_Mapping_Sheet!$E$2:$E$3143, ISNUMBER(
Master_Mapping_Sh"&amp;"eet!$E$2:$E$3143),
Master_Mapping_Sheet!$B$2:$B$3143=$A51))), 0, sum(filter(
Master_Mapping_Sheet!$E$2:$E$3143, ISNUMBER(
Master_Mapping_Sheet!$E$2:$E$3143),
Master_Mapping_Sheet!$H$2:$H$3143=R$1,
Master_Mapping_Sheet!$B$2:$B$3143=$A51))/sum(filter(
Maste"&amp;"r_Mapping_Sheet!$E$2:$E$3143, ISNUMBER(
Master_Mapping_Sheet!$E$2:$E$3143),
Master_Mapping_Sheet!$B$2:$B$3143=$A51)))"),0.0)</f>
        <v>0</v>
      </c>
      <c r="S51" s="34">
        <f>IFERROR(__xludf.DUMMYFUNCTION("IF(ISNA(sum(filter(
Master_Mapping_Sheet!$E$2:$E$3143, ISNUMBER(
Master_Mapping_Sheet!$E$2:$E$3143),
Master_Mapping_Sheet!$H$2:$H$3143=S$1,
Master_Mapping_Sheet!$B$2:$B$3143=$A51))/sum(filter(
Master_Mapping_Sheet!$E$2:$E$3143, ISNUMBER(
Master_Mapping_Sh"&amp;"eet!$E$2:$E$3143),
Master_Mapping_Sheet!$B$2:$B$3143=$A51))), 0, sum(filter(
Master_Mapping_Sheet!$E$2:$E$3143, ISNUMBER(
Master_Mapping_Sheet!$E$2:$E$3143),
Master_Mapping_Sheet!$H$2:$H$3143=S$1,
Master_Mapping_Sheet!$B$2:$B$3143=$A51))/sum(filter(
Maste"&amp;"r_Mapping_Sheet!$E$2:$E$3143, ISNUMBER(
Master_Mapping_Sheet!$E$2:$E$3143),
Master_Mapping_Sheet!$B$2:$B$3143=$A51)))"),0.0)</f>
        <v>0</v>
      </c>
      <c r="T51" s="34">
        <f>IFERROR(__xludf.DUMMYFUNCTION("IF(ISNA(sum(filter(
Master_Mapping_Sheet!$E$2:$E$3143, ISNUMBER(
Master_Mapping_Sheet!$E$2:$E$3143),
Master_Mapping_Sheet!$H$2:$H$3143=T$1,
Master_Mapping_Sheet!$B$2:$B$3143=$A51))/sum(filter(
Master_Mapping_Sheet!$E$2:$E$3143, ISNUMBER(
Master_Mapping_Sh"&amp;"eet!$E$2:$E$3143),
Master_Mapping_Sheet!$B$2:$B$3143=$A51))), 0, sum(filter(
Master_Mapping_Sheet!$E$2:$E$3143, ISNUMBER(
Master_Mapping_Sheet!$E$2:$E$3143),
Master_Mapping_Sheet!$H$2:$H$3143=T$1,
Master_Mapping_Sheet!$B$2:$B$3143=$A51))/sum(filter(
Maste"&amp;"r_Mapping_Sheet!$E$2:$E$3143, ISNUMBER(
Master_Mapping_Sheet!$E$2:$E$3143),
Master_Mapping_Sheet!$B$2:$B$3143=$A51)))"),0.0)</f>
        <v>0</v>
      </c>
      <c r="U51" s="34">
        <f>IFERROR(__xludf.DUMMYFUNCTION("IF(ISNA(sum(filter(
Master_Mapping_Sheet!$E$2:$E$3143, ISNUMBER(
Master_Mapping_Sheet!$E$2:$E$3143),
Master_Mapping_Sheet!$H$2:$H$3143=U$1,
Master_Mapping_Sheet!$B$2:$B$3143=$A51))/sum(filter(
Master_Mapping_Sheet!$E$2:$E$3143, ISNUMBER(
Master_Mapping_Sh"&amp;"eet!$E$2:$E$3143),
Master_Mapping_Sheet!$B$2:$B$3143=$A51))), 0, sum(filter(
Master_Mapping_Sheet!$E$2:$E$3143, ISNUMBER(
Master_Mapping_Sheet!$E$2:$E$3143),
Master_Mapping_Sheet!$H$2:$H$3143=U$1,
Master_Mapping_Sheet!$B$2:$B$3143=$A51))/sum(filter(
Maste"&amp;"r_Mapping_Sheet!$E$2:$E$3143, ISNUMBER(
Master_Mapping_Sheet!$E$2:$E$3143),
Master_Mapping_Sheet!$B$2:$B$3143=$A51)))"),0.0)</f>
        <v>0</v>
      </c>
      <c r="V51" s="34">
        <f>IFERROR(__xludf.DUMMYFUNCTION("IF(ISNA(sum(filter(
Master_Mapping_Sheet!$E$2:$E$3143, ISNUMBER(
Master_Mapping_Sheet!$E$2:$E$3143),
Master_Mapping_Sheet!$H$2:$H$3143=V$1,
Master_Mapping_Sheet!$B$2:$B$3143=$A51))/sum(filter(
Master_Mapping_Sheet!$E$2:$E$3143, ISNUMBER(
Master_Mapping_Sh"&amp;"eet!$E$2:$E$3143),
Master_Mapping_Sheet!$B$2:$B$3143=$A51))), 0, sum(filter(
Master_Mapping_Sheet!$E$2:$E$3143, ISNUMBER(
Master_Mapping_Sheet!$E$2:$E$3143),
Master_Mapping_Sheet!$H$2:$H$3143=V$1,
Master_Mapping_Sheet!$B$2:$B$3143=$A51))/sum(filter(
Maste"&amp;"r_Mapping_Sheet!$E$2:$E$3143, ISNUMBER(
Master_Mapping_Sheet!$E$2:$E$3143),
Master_Mapping_Sheet!$B$2:$B$3143=$A51)))"),0.0)</f>
        <v>0</v>
      </c>
      <c r="W51" s="34">
        <f>IFERROR(__xludf.DUMMYFUNCTION("IF(ISNA(sum(filter(
Master_Mapping_Sheet!$E$2:$E$3143, ISNUMBER(
Master_Mapping_Sheet!$E$2:$E$3143),
Master_Mapping_Sheet!$H$2:$H$3143=W$1,
Master_Mapping_Sheet!$B$2:$B$3143=$A51))/sum(filter(
Master_Mapping_Sheet!$E$2:$E$3143, ISNUMBER(
Master_Mapping_Sh"&amp;"eet!$E$2:$E$3143),
Master_Mapping_Sheet!$B$2:$B$3143=$A51))), 0, sum(filter(
Master_Mapping_Sheet!$E$2:$E$3143, ISNUMBER(
Master_Mapping_Sheet!$E$2:$E$3143),
Master_Mapping_Sheet!$H$2:$H$3143=W$1,
Master_Mapping_Sheet!$B$2:$B$3143=$A51))/sum(filter(
Maste"&amp;"r_Mapping_Sheet!$E$2:$E$3143, ISNUMBER(
Master_Mapping_Sheet!$E$2:$E$3143),
Master_Mapping_Sheet!$B$2:$B$3143=$A51)))"),0.0)</f>
        <v>0</v>
      </c>
      <c r="X51" s="34">
        <f>IFERROR(__xludf.DUMMYFUNCTION("IF(ISNA(sum(filter(
Master_Mapping_Sheet!$E$2:$E$3143, ISNUMBER(
Master_Mapping_Sheet!$E$2:$E$3143),
Master_Mapping_Sheet!$H$2:$H$3143=X$1,
Master_Mapping_Sheet!$B$2:$B$3143=$A51))/sum(filter(
Master_Mapping_Sheet!$E$2:$E$3143, ISNUMBER(
Master_Mapping_Sh"&amp;"eet!$E$2:$E$3143),
Master_Mapping_Sheet!$B$2:$B$3143=$A51))), 0, sum(filter(
Master_Mapping_Sheet!$E$2:$E$3143, ISNUMBER(
Master_Mapping_Sheet!$E$2:$E$3143),
Master_Mapping_Sheet!$H$2:$H$3143=X$1,
Master_Mapping_Sheet!$B$2:$B$3143=$A51))/sum(filter(
Maste"&amp;"r_Mapping_Sheet!$E$2:$E$3143, ISNUMBER(
Master_Mapping_Sheet!$E$2:$E$3143),
Master_Mapping_Sheet!$B$2:$B$3143=$A51)))"),0.0)</f>
        <v>0</v>
      </c>
      <c r="Y51" s="34">
        <f>IFERROR(__xludf.DUMMYFUNCTION("IF(ISNA(sum(filter(
Master_Mapping_Sheet!$E$2:$E$3143, ISNUMBER(
Master_Mapping_Sheet!$E$2:$E$3143),
Master_Mapping_Sheet!$H$2:$H$3143=Y$1,
Master_Mapping_Sheet!$B$2:$B$3143=$A51))/sum(filter(
Master_Mapping_Sheet!$E$2:$E$3143, ISNUMBER(
Master_Mapping_Sh"&amp;"eet!$E$2:$E$3143),
Master_Mapping_Sheet!$B$2:$B$3143=$A51))), 0, sum(filter(
Master_Mapping_Sheet!$E$2:$E$3143, ISNUMBER(
Master_Mapping_Sheet!$E$2:$E$3143),
Master_Mapping_Sheet!$H$2:$H$3143=Y$1,
Master_Mapping_Sheet!$B$2:$B$3143=$A51))/sum(filter(
Maste"&amp;"r_Mapping_Sheet!$E$2:$E$3143, ISNUMBER(
Master_Mapping_Sheet!$E$2:$E$3143),
Master_Mapping_Sheet!$B$2:$B$3143=$A51)))"),0.0)</f>
        <v>0</v>
      </c>
      <c r="Z51" s="34">
        <f>IFERROR(__xludf.DUMMYFUNCTION("IF(ISNA(sum(filter(
Master_Mapping_Sheet!$E$2:$E$3143, ISNUMBER(
Master_Mapping_Sheet!$E$2:$E$3143),
Master_Mapping_Sheet!$H$2:$H$3143=Z$1,
Master_Mapping_Sheet!$B$2:$B$3143=$A51))/sum(filter(
Master_Mapping_Sheet!$E$2:$E$3143, ISNUMBER(
Master_Mapping_Sh"&amp;"eet!$E$2:$E$3143),
Master_Mapping_Sheet!$B$2:$B$3143=$A51))), 0, sum(filter(
Master_Mapping_Sheet!$E$2:$E$3143, ISNUMBER(
Master_Mapping_Sheet!$E$2:$E$3143),
Master_Mapping_Sheet!$H$2:$H$3143=Z$1,
Master_Mapping_Sheet!$B$2:$B$3143=$A51))/sum(filter(
Maste"&amp;"r_Mapping_Sheet!$E$2:$E$3143, ISNUMBER(
Master_Mapping_Sheet!$E$2:$E$3143),
Master_Mapping_Sheet!$B$2:$B$3143=$A51)))"),0.0)</f>
        <v>0</v>
      </c>
      <c r="AA51" s="34">
        <f>IFERROR(__xludf.DUMMYFUNCTION("IF(ISNA(sum(filter(
Master_Mapping_Sheet!$E$2:$E$3143, ISNUMBER(
Master_Mapping_Sheet!$E$2:$E$3143),
Master_Mapping_Sheet!$H$2:$H$3143=AA$1,
Master_Mapping_Sheet!$B$2:$B$3143=$A51))/sum(filter(
Master_Mapping_Sheet!$E$2:$E$3143, ISNUMBER(
Master_Mapping_S"&amp;"heet!$E$2:$E$3143),
Master_Mapping_Sheet!$B$2:$B$3143=$A51))), 0, sum(filter(
Master_Mapping_Sheet!$E$2:$E$3143, ISNUMBER(
Master_Mapping_Sheet!$E$2:$E$3143),
Master_Mapping_Sheet!$H$2:$H$3143=AA$1,
Master_Mapping_Sheet!$B$2:$B$3143=$A51))/sum(filter(
Mas"&amp;"ter_Mapping_Sheet!$E$2:$E$3143, ISNUMBER(
Master_Mapping_Sheet!$E$2:$E$3143),
Master_Mapping_Sheet!$B$2:$B$3143=$A51)))"),0.0)</f>
        <v>0</v>
      </c>
    </row>
    <row r="52" ht="15.75" customHeight="1">
      <c r="A52" s="34" t="s">
        <v>1323</v>
      </c>
      <c r="B52" s="34" t="s">
        <v>3874</v>
      </c>
      <c r="C52" s="34">
        <f>IFERROR(__xludf.DUMMYFUNCTION("IF(ISNA(sum(filter(
Master_Mapping_Sheet!$E$2:$E$3143, ISNUMBER(
Master_Mapping_Sheet!$E$2:$E$3143),
Master_Mapping_Sheet!$H$2:$H$3143=C$1,
Master_Mapping_Sheet!$B$2:$B$3143=$A52))/sum(filter(
Master_Mapping_Sheet!$E$2:$E$3143, ISNUMBER(
Master_Mapping_Sh"&amp;"eet!$E$2:$E$3143),
Master_Mapping_Sheet!$B$2:$B$3143=$A52))), 0, sum(filter(
Master_Mapping_Sheet!$E$2:$E$3143, ISNUMBER(
Master_Mapping_Sheet!$E$2:$E$3143),
Master_Mapping_Sheet!$H$2:$H$3143=C$1,
Master_Mapping_Sheet!$B$2:$B$3143=$A52))/sum(filter(
Maste"&amp;"r_Mapping_Sheet!$E$2:$E$3143, ISNUMBER(
Master_Mapping_Sheet!$E$2:$E$3143),
Master_Mapping_Sheet!$B$2:$B$3143=$A52)))"),0.0)</f>
        <v>0</v>
      </c>
      <c r="D52" s="32">
        <f>IFERROR(__xludf.DUMMYFUNCTION("IF(ISNA(sum(filter(
Master_Mapping_Sheet!$E$2:$E$3143, ISNUMBER(
Master_Mapping_Sheet!$E$2:$E$3143),
Master_Mapping_Sheet!$H$2:$H$3143=D$1,
Master_Mapping_Sheet!$B$2:$B$3143=$A52))/sum(filter(
Master_Mapping_Sheet!$E$2:$E$3143, ISNUMBER(
Master_Mapping_Sh"&amp;"eet!$E$2:$E$3143),
Master_Mapping_Sheet!$B$2:$B$3143=$A52))), 0, sum(filter(
Master_Mapping_Sheet!$E$2:$E$3143, ISNUMBER(
Master_Mapping_Sheet!$E$2:$E$3143),
Master_Mapping_Sheet!$H$2:$H$3143=D$1,
Master_Mapping_Sheet!$B$2:$B$3143=$A52))/sum(filter(
Maste"&amp;"r_Mapping_Sheet!$E$2:$E$3143, ISNUMBER(
Master_Mapping_Sheet!$E$2:$E$3143),
Master_Mapping_Sheet!$B$2:$B$3143=$A52)))"),0.0)</f>
        <v>0</v>
      </c>
      <c r="E52" s="34">
        <f>IFERROR(__xludf.DUMMYFUNCTION("IF(ISNA(sum(filter(
Master_Mapping_Sheet!$E$2:$E$3143, ISNUMBER(
Master_Mapping_Sheet!$E$2:$E$3143),
Master_Mapping_Sheet!$H$2:$H$3143=E$1,
Master_Mapping_Sheet!$B$2:$B$3143=$A52))/sum(filter(
Master_Mapping_Sheet!$E$2:$E$3143, ISNUMBER(
Master_Mapping_Sh"&amp;"eet!$E$2:$E$3143),
Master_Mapping_Sheet!$B$2:$B$3143=$A52))), 0, sum(filter(
Master_Mapping_Sheet!$E$2:$E$3143, ISNUMBER(
Master_Mapping_Sheet!$E$2:$E$3143),
Master_Mapping_Sheet!$H$2:$H$3143=E$1,
Master_Mapping_Sheet!$B$2:$B$3143=$A52))/sum(filter(
Maste"&amp;"r_Mapping_Sheet!$E$2:$E$3143, ISNUMBER(
Master_Mapping_Sheet!$E$2:$E$3143),
Master_Mapping_Sheet!$B$2:$B$3143=$A52)))"),0.0)</f>
        <v>0</v>
      </c>
      <c r="F52" s="34">
        <f>IFERROR(__xludf.DUMMYFUNCTION("IF(ISNA(sum(filter(
Master_Mapping_Sheet!$E$2:$E$3143, ISNUMBER(
Master_Mapping_Sheet!$E$2:$E$3143),
Master_Mapping_Sheet!$H$2:$H$3143=F$1,
Master_Mapping_Sheet!$B$2:$B$3143=$A52))/sum(filter(
Master_Mapping_Sheet!$E$2:$E$3143, ISNUMBER(
Master_Mapping_Sh"&amp;"eet!$E$2:$E$3143),
Master_Mapping_Sheet!$B$2:$B$3143=$A52))), 0, sum(filter(
Master_Mapping_Sheet!$E$2:$E$3143, ISNUMBER(
Master_Mapping_Sheet!$E$2:$E$3143),
Master_Mapping_Sheet!$H$2:$H$3143=F$1,
Master_Mapping_Sheet!$B$2:$B$3143=$A52))/sum(filter(
Maste"&amp;"r_Mapping_Sheet!$E$2:$E$3143, ISNUMBER(
Master_Mapping_Sheet!$E$2:$E$3143),
Master_Mapping_Sheet!$B$2:$B$3143=$A52)))"),0.0)</f>
        <v>0</v>
      </c>
      <c r="G52" s="34">
        <f>IFERROR(__xludf.DUMMYFUNCTION("IF(ISNA(sum(filter(
Master_Mapping_Sheet!$E$2:$E$3143, ISNUMBER(
Master_Mapping_Sheet!$E$2:$E$3143),
Master_Mapping_Sheet!$H$2:$H$3143=G$1,
Master_Mapping_Sheet!$B$2:$B$3143=$A52))/sum(filter(
Master_Mapping_Sheet!$E$2:$E$3143, ISNUMBER(
Master_Mapping_Sh"&amp;"eet!$E$2:$E$3143),
Master_Mapping_Sheet!$B$2:$B$3143=$A52))), 0, sum(filter(
Master_Mapping_Sheet!$E$2:$E$3143, ISNUMBER(
Master_Mapping_Sheet!$E$2:$E$3143),
Master_Mapping_Sheet!$H$2:$H$3143=G$1,
Master_Mapping_Sheet!$B$2:$B$3143=$A52))/sum(filter(
Maste"&amp;"r_Mapping_Sheet!$E$2:$E$3143, ISNUMBER(
Master_Mapping_Sheet!$E$2:$E$3143),
Master_Mapping_Sheet!$B$2:$B$3143=$A52)))"),0.0)</f>
        <v>0</v>
      </c>
      <c r="H52" s="34">
        <f>IFERROR(__xludf.DUMMYFUNCTION("IF(ISNA(sum(filter(
Master_Mapping_Sheet!$E$2:$E$3143, ISNUMBER(
Master_Mapping_Sheet!$E$2:$E$3143),
Master_Mapping_Sheet!$H$2:$H$3143=H$1,
Master_Mapping_Sheet!$B$2:$B$3143=$A52))/sum(filter(
Master_Mapping_Sheet!$E$2:$E$3143, ISNUMBER(
Master_Mapping_Sh"&amp;"eet!$E$2:$E$3143),
Master_Mapping_Sheet!$B$2:$B$3143=$A52))), 0, sum(filter(
Master_Mapping_Sheet!$E$2:$E$3143, ISNUMBER(
Master_Mapping_Sheet!$E$2:$E$3143),
Master_Mapping_Sheet!$H$2:$H$3143=H$1,
Master_Mapping_Sheet!$B$2:$B$3143=$A52))/sum(filter(
Maste"&amp;"r_Mapping_Sheet!$E$2:$E$3143, ISNUMBER(
Master_Mapping_Sheet!$E$2:$E$3143),
Master_Mapping_Sheet!$B$2:$B$3143=$A52)))"),0.0)</f>
        <v>0</v>
      </c>
      <c r="I52" s="34">
        <f>IFERROR(__xludf.DUMMYFUNCTION("IF(ISNA(sum(filter(
Master_Mapping_Sheet!$E$2:$E$3143, ISNUMBER(
Master_Mapping_Sheet!$E$2:$E$3143),
Master_Mapping_Sheet!$H$2:$H$3143=I$1,
Master_Mapping_Sheet!$B$2:$B$3143=$A52))/sum(filter(
Master_Mapping_Sheet!$E$2:$E$3143, ISNUMBER(
Master_Mapping_Sh"&amp;"eet!$E$2:$E$3143),
Master_Mapping_Sheet!$B$2:$B$3143=$A52))), 0, sum(filter(
Master_Mapping_Sheet!$E$2:$E$3143, ISNUMBER(
Master_Mapping_Sheet!$E$2:$E$3143),
Master_Mapping_Sheet!$H$2:$H$3143=I$1,
Master_Mapping_Sheet!$B$2:$B$3143=$A52))/sum(filter(
Maste"&amp;"r_Mapping_Sheet!$E$2:$E$3143, ISNUMBER(
Master_Mapping_Sheet!$E$2:$E$3143),
Master_Mapping_Sheet!$B$2:$B$3143=$A52)))"),0.0)</f>
        <v>0</v>
      </c>
      <c r="J52" s="34">
        <f>IFERROR(__xludf.DUMMYFUNCTION("IF(ISNA(sum(filter(
Master_Mapping_Sheet!$E$2:$E$3143, ISNUMBER(
Master_Mapping_Sheet!$E$2:$E$3143),
Master_Mapping_Sheet!$H$2:$H$3143=J$1,
Master_Mapping_Sheet!$B$2:$B$3143=$A52))/sum(filter(
Master_Mapping_Sheet!$E$2:$E$3143, ISNUMBER(
Master_Mapping_Sh"&amp;"eet!$E$2:$E$3143),
Master_Mapping_Sheet!$B$2:$B$3143=$A52))), 0, sum(filter(
Master_Mapping_Sheet!$E$2:$E$3143, ISNUMBER(
Master_Mapping_Sheet!$E$2:$E$3143),
Master_Mapping_Sheet!$H$2:$H$3143=J$1,
Master_Mapping_Sheet!$B$2:$B$3143=$A52))/sum(filter(
Maste"&amp;"r_Mapping_Sheet!$E$2:$E$3143, ISNUMBER(
Master_Mapping_Sheet!$E$2:$E$3143),
Master_Mapping_Sheet!$B$2:$B$3143=$A52)))"),0.0)</f>
        <v>0</v>
      </c>
      <c r="K52" s="34">
        <f>IFERROR(__xludf.DUMMYFUNCTION("IF(ISNA(sum(filter(
Master_Mapping_Sheet!$E$2:$E$3143, ISNUMBER(
Master_Mapping_Sheet!$E$2:$E$3143),
Master_Mapping_Sheet!$H$2:$H$3143=K$1,
Master_Mapping_Sheet!$B$2:$B$3143=$A52))/sum(filter(
Master_Mapping_Sheet!$E$2:$E$3143, ISNUMBER(
Master_Mapping_Sh"&amp;"eet!$E$2:$E$3143),
Master_Mapping_Sheet!$B$2:$B$3143=$A52))), 0, sum(filter(
Master_Mapping_Sheet!$E$2:$E$3143, ISNUMBER(
Master_Mapping_Sheet!$E$2:$E$3143),
Master_Mapping_Sheet!$H$2:$H$3143=K$1,
Master_Mapping_Sheet!$B$2:$B$3143=$A52))/sum(filter(
Maste"&amp;"r_Mapping_Sheet!$E$2:$E$3143, ISNUMBER(
Master_Mapping_Sheet!$E$2:$E$3143),
Master_Mapping_Sheet!$B$2:$B$3143=$A52)))"),0.0)</f>
        <v>0</v>
      </c>
      <c r="L52" s="34">
        <f>IFERROR(__xludf.DUMMYFUNCTION("IF(ISNA(sum(filter(
Master_Mapping_Sheet!$E$2:$E$3143, ISNUMBER(
Master_Mapping_Sheet!$E$2:$E$3143),
Master_Mapping_Sheet!$H$2:$H$3143=L$1,
Master_Mapping_Sheet!$B$2:$B$3143=$A52))/sum(filter(
Master_Mapping_Sheet!$E$2:$E$3143, ISNUMBER(
Master_Mapping_Sh"&amp;"eet!$E$2:$E$3143),
Master_Mapping_Sheet!$B$2:$B$3143=$A52))), 0, sum(filter(
Master_Mapping_Sheet!$E$2:$E$3143, ISNUMBER(
Master_Mapping_Sheet!$E$2:$E$3143),
Master_Mapping_Sheet!$H$2:$H$3143=L$1,
Master_Mapping_Sheet!$B$2:$B$3143=$A52))/sum(filter(
Maste"&amp;"r_Mapping_Sheet!$E$2:$E$3143, ISNUMBER(
Master_Mapping_Sheet!$E$2:$E$3143),
Master_Mapping_Sheet!$B$2:$B$3143=$A52)))"),0.0)</f>
        <v>0</v>
      </c>
      <c r="M52" s="34">
        <f>IFERROR(__xludf.DUMMYFUNCTION("IF(ISNA(sum(filter(
Master_Mapping_Sheet!$E$2:$E$3143, ISNUMBER(
Master_Mapping_Sheet!$E$2:$E$3143),
Master_Mapping_Sheet!$H$2:$H$3143=M$1,
Master_Mapping_Sheet!$B$2:$B$3143=$A52))/sum(filter(
Master_Mapping_Sheet!$E$2:$E$3143, ISNUMBER(
Master_Mapping_Sh"&amp;"eet!$E$2:$E$3143),
Master_Mapping_Sheet!$B$2:$B$3143=$A52))), 0, sum(filter(
Master_Mapping_Sheet!$E$2:$E$3143, ISNUMBER(
Master_Mapping_Sheet!$E$2:$E$3143),
Master_Mapping_Sheet!$H$2:$H$3143=M$1,
Master_Mapping_Sheet!$B$2:$B$3143=$A52))/sum(filter(
Maste"&amp;"r_Mapping_Sheet!$E$2:$E$3143, ISNUMBER(
Master_Mapping_Sheet!$E$2:$E$3143),
Master_Mapping_Sheet!$B$2:$B$3143=$A52)))"),0.0)</f>
        <v>0</v>
      </c>
      <c r="N52" s="34">
        <f>IFERROR(__xludf.DUMMYFUNCTION("IF(ISNA(sum(filter(
Master_Mapping_Sheet!$E$2:$E$3143, ISNUMBER(
Master_Mapping_Sheet!$E$2:$E$3143),
Master_Mapping_Sheet!$H$2:$H$3143=N$1,
Master_Mapping_Sheet!$B$2:$B$3143=$A52))/sum(filter(
Master_Mapping_Sheet!$E$2:$E$3143, ISNUMBER(
Master_Mapping_Sh"&amp;"eet!$E$2:$E$3143),
Master_Mapping_Sheet!$B$2:$B$3143=$A52))), 0, sum(filter(
Master_Mapping_Sheet!$E$2:$E$3143, ISNUMBER(
Master_Mapping_Sheet!$E$2:$E$3143),
Master_Mapping_Sheet!$H$2:$H$3143=N$1,
Master_Mapping_Sheet!$B$2:$B$3143=$A52))/sum(filter(
Maste"&amp;"r_Mapping_Sheet!$E$2:$E$3143, ISNUMBER(
Master_Mapping_Sheet!$E$2:$E$3143),
Master_Mapping_Sheet!$B$2:$B$3143=$A52)))"),0.0)</f>
        <v>0</v>
      </c>
      <c r="O52" s="34">
        <f>IFERROR(__xludf.DUMMYFUNCTION("IF(ISNA(sum(filter(
Master_Mapping_Sheet!$E$2:$E$3143, ISNUMBER(
Master_Mapping_Sheet!$E$2:$E$3143),
Master_Mapping_Sheet!$H$2:$H$3143=O$1,
Master_Mapping_Sheet!$B$2:$B$3143=$A52))/sum(filter(
Master_Mapping_Sheet!$E$2:$E$3143, ISNUMBER(
Master_Mapping_Sh"&amp;"eet!$E$2:$E$3143),
Master_Mapping_Sheet!$B$2:$B$3143=$A52))), 0, sum(filter(
Master_Mapping_Sheet!$E$2:$E$3143, ISNUMBER(
Master_Mapping_Sheet!$E$2:$E$3143),
Master_Mapping_Sheet!$H$2:$H$3143=O$1,
Master_Mapping_Sheet!$B$2:$B$3143=$A52))/sum(filter(
Maste"&amp;"r_Mapping_Sheet!$E$2:$E$3143, ISNUMBER(
Master_Mapping_Sheet!$E$2:$E$3143),
Master_Mapping_Sheet!$B$2:$B$3143=$A52)))"),0.0)</f>
        <v>0</v>
      </c>
      <c r="P52" s="34">
        <f>IFERROR(__xludf.DUMMYFUNCTION("IF(ISNA(sum(filter(
Master_Mapping_Sheet!$E$2:$E$3143, ISNUMBER(
Master_Mapping_Sheet!$E$2:$E$3143),
Master_Mapping_Sheet!$H$2:$H$3143=P$1,
Master_Mapping_Sheet!$B$2:$B$3143=$A52))/sum(filter(
Master_Mapping_Sheet!$E$2:$E$3143, ISNUMBER(
Master_Mapping_Sh"&amp;"eet!$E$2:$E$3143),
Master_Mapping_Sheet!$B$2:$B$3143=$A52))), 0, sum(filter(
Master_Mapping_Sheet!$E$2:$E$3143, ISNUMBER(
Master_Mapping_Sheet!$E$2:$E$3143),
Master_Mapping_Sheet!$H$2:$H$3143=P$1,
Master_Mapping_Sheet!$B$2:$B$3143=$A52))/sum(filter(
Maste"&amp;"r_Mapping_Sheet!$E$2:$E$3143, ISNUMBER(
Master_Mapping_Sheet!$E$2:$E$3143),
Master_Mapping_Sheet!$B$2:$B$3143=$A52)))"),0.0)</f>
        <v>0</v>
      </c>
      <c r="Q52" s="34">
        <f>IFERROR(__xludf.DUMMYFUNCTION("IF(ISNA(sum(filter(
Master_Mapping_Sheet!$E$2:$E$3143, ISNUMBER(
Master_Mapping_Sheet!$E$2:$E$3143),
Master_Mapping_Sheet!$H$2:$H$3143=Q$1,
Master_Mapping_Sheet!$B$2:$B$3143=$A52))/sum(filter(
Master_Mapping_Sheet!$E$2:$E$3143, ISNUMBER(
Master_Mapping_Sh"&amp;"eet!$E$2:$E$3143),
Master_Mapping_Sheet!$B$2:$B$3143=$A52))), 0, sum(filter(
Master_Mapping_Sheet!$E$2:$E$3143, ISNUMBER(
Master_Mapping_Sheet!$E$2:$E$3143),
Master_Mapping_Sheet!$H$2:$H$3143=Q$1,
Master_Mapping_Sheet!$B$2:$B$3143=$A52))/sum(filter(
Maste"&amp;"r_Mapping_Sheet!$E$2:$E$3143, ISNUMBER(
Master_Mapping_Sheet!$E$2:$E$3143),
Master_Mapping_Sheet!$B$2:$B$3143=$A52)))"),0.0)</f>
        <v>0</v>
      </c>
      <c r="R52" s="34">
        <f>IFERROR(__xludf.DUMMYFUNCTION("IF(ISNA(sum(filter(
Master_Mapping_Sheet!$E$2:$E$3143, ISNUMBER(
Master_Mapping_Sheet!$E$2:$E$3143),
Master_Mapping_Sheet!$H$2:$H$3143=R$1,
Master_Mapping_Sheet!$B$2:$B$3143=$A52))/sum(filter(
Master_Mapping_Sheet!$E$2:$E$3143, ISNUMBER(
Master_Mapping_Sh"&amp;"eet!$E$2:$E$3143),
Master_Mapping_Sheet!$B$2:$B$3143=$A52))), 0, sum(filter(
Master_Mapping_Sheet!$E$2:$E$3143, ISNUMBER(
Master_Mapping_Sheet!$E$2:$E$3143),
Master_Mapping_Sheet!$H$2:$H$3143=R$1,
Master_Mapping_Sheet!$B$2:$B$3143=$A52))/sum(filter(
Maste"&amp;"r_Mapping_Sheet!$E$2:$E$3143, ISNUMBER(
Master_Mapping_Sheet!$E$2:$E$3143),
Master_Mapping_Sheet!$B$2:$B$3143=$A52)))"),0.0)</f>
        <v>0</v>
      </c>
      <c r="S52" s="34">
        <f>IFERROR(__xludf.DUMMYFUNCTION("IF(ISNA(sum(filter(
Master_Mapping_Sheet!$E$2:$E$3143, ISNUMBER(
Master_Mapping_Sheet!$E$2:$E$3143),
Master_Mapping_Sheet!$H$2:$H$3143=S$1,
Master_Mapping_Sheet!$B$2:$B$3143=$A52))/sum(filter(
Master_Mapping_Sheet!$E$2:$E$3143, ISNUMBER(
Master_Mapping_Sh"&amp;"eet!$E$2:$E$3143),
Master_Mapping_Sheet!$B$2:$B$3143=$A52))), 0, sum(filter(
Master_Mapping_Sheet!$E$2:$E$3143, ISNUMBER(
Master_Mapping_Sheet!$E$2:$E$3143),
Master_Mapping_Sheet!$H$2:$H$3143=S$1,
Master_Mapping_Sheet!$B$2:$B$3143=$A52))/sum(filter(
Maste"&amp;"r_Mapping_Sheet!$E$2:$E$3143, ISNUMBER(
Master_Mapping_Sheet!$E$2:$E$3143),
Master_Mapping_Sheet!$B$2:$B$3143=$A52)))"),0.0)</f>
        <v>0</v>
      </c>
      <c r="T52" s="34">
        <f>IFERROR(__xludf.DUMMYFUNCTION("IF(ISNA(sum(filter(
Master_Mapping_Sheet!$E$2:$E$3143, ISNUMBER(
Master_Mapping_Sheet!$E$2:$E$3143),
Master_Mapping_Sheet!$H$2:$H$3143=T$1,
Master_Mapping_Sheet!$B$2:$B$3143=$A52))/sum(filter(
Master_Mapping_Sheet!$E$2:$E$3143, ISNUMBER(
Master_Mapping_Sh"&amp;"eet!$E$2:$E$3143),
Master_Mapping_Sheet!$B$2:$B$3143=$A52))), 0, sum(filter(
Master_Mapping_Sheet!$E$2:$E$3143, ISNUMBER(
Master_Mapping_Sheet!$E$2:$E$3143),
Master_Mapping_Sheet!$H$2:$H$3143=T$1,
Master_Mapping_Sheet!$B$2:$B$3143=$A52))/sum(filter(
Maste"&amp;"r_Mapping_Sheet!$E$2:$E$3143, ISNUMBER(
Master_Mapping_Sheet!$E$2:$E$3143),
Master_Mapping_Sheet!$B$2:$B$3143=$A52)))"),0.0)</f>
        <v>0</v>
      </c>
      <c r="U52" s="34">
        <f>IFERROR(__xludf.DUMMYFUNCTION("IF(ISNA(sum(filter(
Master_Mapping_Sheet!$E$2:$E$3143, ISNUMBER(
Master_Mapping_Sheet!$E$2:$E$3143),
Master_Mapping_Sheet!$H$2:$H$3143=U$1,
Master_Mapping_Sheet!$B$2:$B$3143=$A52))/sum(filter(
Master_Mapping_Sheet!$E$2:$E$3143, ISNUMBER(
Master_Mapping_Sh"&amp;"eet!$E$2:$E$3143),
Master_Mapping_Sheet!$B$2:$B$3143=$A52))), 0, sum(filter(
Master_Mapping_Sheet!$E$2:$E$3143, ISNUMBER(
Master_Mapping_Sheet!$E$2:$E$3143),
Master_Mapping_Sheet!$H$2:$H$3143=U$1,
Master_Mapping_Sheet!$B$2:$B$3143=$A52))/sum(filter(
Maste"&amp;"r_Mapping_Sheet!$E$2:$E$3143, ISNUMBER(
Master_Mapping_Sheet!$E$2:$E$3143),
Master_Mapping_Sheet!$B$2:$B$3143=$A52)))"),0.0)</f>
        <v>0</v>
      </c>
      <c r="V52" s="34">
        <f>IFERROR(__xludf.DUMMYFUNCTION("IF(ISNA(sum(filter(
Master_Mapping_Sheet!$E$2:$E$3143, ISNUMBER(
Master_Mapping_Sheet!$E$2:$E$3143),
Master_Mapping_Sheet!$H$2:$H$3143=V$1,
Master_Mapping_Sheet!$B$2:$B$3143=$A52))/sum(filter(
Master_Mapping_Sheet!$E$2:$E$3143, ISNUMBER(
Master_Mapping_Sh"&amp;"eet!$E$2:$E$3143),
Master_Mapping_Sheet!$B$2:$B$3143=$A52))), 0, sum(filter(
Master_Mapping_Sheet!$E$2:$E$3143, ISNUMBER(
Master_Mapping_Sheet!$E$2:$E$3143),
Master_Mapping_Sheet!$H$2:$H$3143=V$1,
Master_Mapping_Sheet!$B$2:$B$3143=$A52))/sum(filter(
Maste"&amp;"r_Mapping_Sheet!$E$2:$E$3143, ISNUMBER(
Master_Mapping_Sheet!$E$2:$E$3143),
Master_Mapping_Sheet!$B$2:$B$3143=$A52)))"),0.0)</f>
        <v>0</v>
      </c>
      <c r="W52" s="34">
        <f>IFERROR(__xludf.DUMMYFUNCTION("IF(ISNA(sum(filter(
Master_Mapping_Sheet!$E$2:$E$3143, ISNUMBER(
Master_Mapping_Sheet!$E$2:$E$3143),
Master_Mapping_Sheet!$H$2:$H$3143=W$1,
Master_Mapping_Sheet!$B$2:$B$3143=$A52))/sum(filter(
Master_Mapping_Sheet!$E$2:$E$3143, ISNUMBER(
Master_Mapping_Sh"&amp;"eet!$E$2:$E$3143),
Master_Mapping_Sheet!$B$2:$B$3143=$A52))), 0, sum(filter(
Master_Mapping_Sheet!$E$2:$E$3143, ISNUMBER(
Master_Mapping_Sheet!$E$2:$E$3143),
Master_Mapping_Sheet!$H$2:$H$3143=W$1,
Master_Mapping_Sheet!$B$2:$B$3143=$A52))/sum(filter(
Maste"&amp;"r_Mapping_Sheet!$E$2:$E$3143, ISNUMBER(
Master_Mapping_Sheet!$E$2:$E$3143),
Master_Mapping_Sheet!$B$2:$B$3143=$A52)))"),0.0)</f>
        <v>0</v>
      </c>
      <c r="X52" s="34">
        <f>IFERROR(__xludf.DUMMYFUNCTION("IF(ISNA(sum(filter(
Master_Mapping_Sheet!$E$2:$E$3143, ISNUMBER(
Master_Mapping_Sheet!$E$2:$E$3143),
Master_Mapping_Sheet!$H$2:$H$3143=X$1,
Master_Mapping_Sheet!$B$2:$B$3143=$A52))/sum(filter(
Master_Mapping_Sheet!$E$2:$E$3143, ISNUMBER(
Master_Mapping_Sh"&amp;"eet!$E$2:$E$3143),
Master_Mapping_Sheet!$B$2:$B$3143=$A52))), 0, sum(filter(
Master_Mapping_Sheet!$E$2:$E$3143, ISNUMBER(
Master_Mapping_Sheet!$E$2:$E$3143),
Master_Mapping_Sheet!$H$2:$H$3143=X$1,
Master_Mapping_Sheet!$B$2:$B$3143=$A52))/sum(filter(
Maste"&amp;"r_Mapping_Sheet!$E$2:$E$3143, ISNUMBER(
Master_Mapping_Sheet!$E$2:$E$3143),
Master_Mapping_Sheet!$B$2:$B$3143=$A52)))"),0.0)</f>
        <v>0</v>
      </c>
      <c r="Y52" s="34">
        <f>IFERROR(__xludf.DUMMYFUNCTION("IF(ISNA(sum(filter(
Master_Mapping_Sheet!$E$2:$E$3143, ISNUMBER(
Master_Mapping_Sheet!$E$2:$E$3143),
Master_Mapping_Sheet!$H$2:$H$3143=Y$1,
Master_Mapping_Sheet!$B$2:$B$3143=$A52))/sum(filter(
Master_Mapping_Sheet!$E$2:$E$3143, ISNUMBER(
Master_Mapping_Sh"&amp;"eet!$E$2:$E$3143),
Master_Mapping_Sheet!$B$2:$B$3143=$A52))), 0, sum(filter(
Master_Mapping_Sheet!$E$2:$E$3143, ISNUMBER(
Master_Mapping_Sheet!$E$2:$E$3143),
Master_Mapping_Sheet!$H$2:$H$3143=Y$1,
Master_Mapping_Sheet!$B$2:$B$3143=$A52))/sum(filter(
Maste"&amp;"r_Mapping_Sheet!$E$2:$E$3143, ISNUMBER(
Master_Mapping_Sheet!$E$2:$E$3143),
Master_Mapping_Sheet!$B$2:$B$3143=$A52)))"),0.0)</f>
        <v>0</v>
      </c>
      <c r="Z52" s="34">
        <f>IFERROR(__xludf.DUMMYFUNCTION("IF(ISNA(sum(filter(
Master_Mapping_Sheet!$E$2:$E$3143, ISNUMBER(
Master_Mapping_Sheet!$E$2:$E$3143),
Master_Mapping_Sheet!$H$2:$H$3143=Z$1,
Master_Mapping_Sheet!$B$2:$B$3143=$A52))/sum(filter(
Master_Mapping_Sheet!$E$2:$E$3143, ISNUMBER(
Master_Mapping_Sh"&amp;"eet!$E$2:$E$3143),
Master_Mapping_Sheet!$B$2:$B$3143=$A52))), 0, sum(filter(
Master_Mapping_Sheet!$E$2:$E$3143, ISNUMBER(
Master_Mapping_Sheet!$E$2:$E$3143),
Master_Mapping_Sheet!$H$2:$H$3143=Z$1,
Master_Mapping_Sheet!$B$2:$B$3143=$A52))/sum(filter(
Maste"&amp;"r_Mapping_Sheet!$E$2:$E$3143, ISNUMBER(
Master_Mapping_Sheet!$E$2:$E$3143),
Master_Mapping_Sheet!$B$2:$B$3143=$A52)))"),0.47900804202329567)</f>
        <v>0.479008042</v>
      </c>
      <c r="AA52" s="34">
        <f>IFERROR(__xludf.DUMMYFUNCTION("IF(ISNA(sum(filter(
Master_Mapping_Sheet!$E$2:$E$3143, ISNUMBER(
Master_Mapping_Sheet!$E$2:$E$3143),
Master_Mapping_Sheet!$H$2:$H$3143=AA$1,
Master_Mapping_Sheet!$B$2:$B$3143=$A52))/sum(filter(
Master_Mapping_Sheet!$E$2:$E$3143, ISNUMBER(
Master_Mapping_S"&amp;"heet!$E$2:$E$3143),
Master_Mapping_Sheet!$B$2:$B$3143=$A52))), 0, sum(filter(
Master_Mapping_Sheet!$E$2:$E$3143, ISNUMBER(
Master_Mapping_Sheet!$E$2:$E$3143),
Master_Mapping_Sheet!$H$2:$H$3143=AA$1,
Master_Mapping_Sheet!$B$2:$B$3143=$A52))/sum(filter(
Mas"&amp;"ter_Mapping_Sheet!$E$2:$E$3143, ISNUMBER(
Master_Mapping_Sheet!$E$2:$E$3143),
Master_Mapping_Sheet!$B$2:$B$3143=$A52)))"),0.5209919579767043)</f>
        <v>0.520991958</v>
      </c>
    </row>
    <row r="53" ht="15.75" customHeight="1">
      <c r="D53" s="32"/>
    </row>
    <row r="54" ht="15.75" customHeight="1">
      <c r="D54" s="32"/>
    </row>
    <row r="55" ht="15.75" customHeight="1">
      <c r="D55" s="32"/>
    </row>
    <row r="56" ht="15.75" customHeight="1">
      <c r="D56" s="32"/>
    </row>
    <row r="57" ht="15.75" customHeight="1">
      <c r="D57" s="32"/>
    </row>
    <row r="58" ht="15.75" customHeight="1">
      <c r="D58" s="32"/>
    </row>
    <row r="59" ht="15.75" customHeight="1">
      <c r="D59" s="32"/>
    </row>
    <row r="60" ht="15.75" customHeight="1">
      <c r="D60" s="32"/>
    </row>
    <row r="61" ht="15.75" customHeight="1">
      <c r="D61" s="32"/>
    </row>
    <row r="62" ht="15.75" customHeight="1">
      <c r="D62" s="32"/>
    </row>
    <row r="63" ht="15.75" customHeight="1">
      <c r="D63" s="32"/>
    </row>
    <row r="64" ht="15.75" customHeight="1">
      <c r="D64" s="32"/>
    </row>
    <row r="65" ht="15.75" customHeight="1">
      <c r="D65" s="32"/>
    </row>
    <row r="66" ht="15.75" customHeight="1">
      <c r="D66" s="32"/>
    </row>
    <row r="67" ht="15.75" customHeight="1">
      <c r="D67" s="32"/>
    </row>
    <row r="68" ht="15.75" customHeight="1">
      <c r="D68" s="32"/>
    </row>
    <row r="69" ht="15.75" customHeight="1">
      <c r="D69" s="32"/>
    </row>
    <row r="70" ht="15.75" customHeight="1">
      <c r="D70" s="32"/>
    </row>
    <row r="71" ht="15.75" customHeight="1">
      <c r="D71" s="32"/>
    </row>
    <row r="72" ht="15.75" customHeight="1">
      <c r="D72" s="32"/>
    </row>
    <row r="73" ht="15.75" customHeight="1">
      <c r="D73" s="32"/>
    </row>
    <row r="74" ht="15.75" customHeight="1">
      <c r="D74" s="32"/>
    </row>
    <row r="75" ht="15.75" customHeight="1">
      <c r="D75" s="32"/>
    </row>
    <row r="76" ht="15.75" customHeight="1">
      <c r="D76" s="32"/>
    </row>
    <row r="77" ht="15.75" customHeight="1">
      <c r="D77" s="32"/>
    </row>
    <row r="78" ht="15.75" customHeight="1">
      <c r="D78" s="32"/>
    </row>
    <row r="79" ht="15.75" customHeight="1">
      <c r="D79" s="32"/>
    </row>
    <row r="80" ht="15.75" customHeight="1">
      <c r="D80" s="32"/>
    </row>
    <row r="81" ht="15.75" customHeight="1">
      <c r="D81" s="32"/>
    </row>
    <row r="82" ht="15.75" customHeight="1">
      <c r="D82" s="32"/>
    </row>
    <row r="83" ht="15.75" customHeight="1">
      <c r="D83" s="32"/>
    </row>
    <row r="84" ht="15.75" customHeight="1">
      <c r="D84" s="32"/>
    </row>
    <row r="85" ht="15.75" customHeight="1">
      <c r="D85" s="32"/>
    </row>
    <row r="86" ht="15.75" customHeight="1">
      <c r="D86" s="32"/>
    </row>
    <row r="87" ht="15.75" customHeight="1">
      <c r="D87" s="32"/>
    </row>
    <row r="88" ht="15.75" customHeight="1">
      <c r="D88" s="32"/>
    </row>
    <row r="89" ht="15.75" customHeight="1">
      <c r="D89" s="32"/>
    </row>
    <row r="90" ht="15.75" customHeight="1">
      <c r="D90" s="32"/>
    </row>
    <row r="91" ht="15.75" customHeight="1">
      <c r="D91" s="32"/>
    </row>
    <row r="92" ht="15.75" customHeight="1">
      <c r="D92" s="32"/>
    </row>
    <row r="93" ht="15.75" customHeight="1">
      <c r="D93" s="32"/>
    </row>
    <row r="94" ht="15.75" customHeight="1">
      <c r="D94" s="32"/>
    </row>
    <row r="95" ht="15.75" customHeight="1">
      <c r="D95" s="32"/>
    </row>
    <row r="96" ht="15.75" customHeight="1">
      <c r="D96" s="32"/>
    </row>
    <row r="97" ht="15.75" customHeight="1">
      <c r="D97" s="32"/>
    </row>
    <row r="98" ht="15.75" customHeight="1">
      <c r="D98" s="32"/>
    </row>
    <row r="99" ht="15.75" customHeight="1">
      <c r="D99" s="32"/>
    </row>
    <row r="100" ht="15.75" customHeight="1">
      <c r="D100" s="32"/>
    </row>
    <row r="101" ht="15.75" customHeight="1">
      <c r="D101" s="32"/>
    </row>
    <row r="102" ht="15.75" customHeight="1">
      <c r="D102" s="32"/>
    </row>
    <row r="103" ht="15.75" customHeight="1">
      <c r="D103" s="32"/>
    </row>
    <row r="104" ht="15.75" customHeight="1">
      <c r="D104" s="32"/>
    </row>
    <row r="105" ht="15.75" customHeight="1">
      <c r="D105" s="32"/>
    </row>
    <row r="106" ht="15.75" customHeight="1">
      <c r="D106" s="32"/>
    </row>
    <row r="107" ht="15.75" customHeight="1">
      <c r="D107" s="32"/>
    </row>
    <row r="108" ht="15.75" customHeight="1">
      <c r="D108" s="32"/>
    </row>
    <row r="109" ht="15.75" customHeight="1">
      <c r="D109" s="32"/>
    </row>
    <row r="110" ht="15.75" customHeight="1">
      <c r="D110" s="32"/>
    </row>
    <row r="111" ht="15.75" customHeight="1">
      <c r="D111" s="32"/>
    </row>
    <row r="112" ht="15.75" customHeight="1">
      <c r="D112" s="32"/>
    </row>
    <row r="113" ht="15.75" customHeight="1">
      <c r="D113" s="32"/>
    </row>
    <row r="114" ht="15.75" customHeight="1">
      <c r="D114" s="32"/>
    </row>
    <row r="115" ht="15.75" customHeight="1">
      <c r="D115" s="32"/>
    </row>
    <row r="116" ht="15.75" customHeight="1">
      <c r="D116" s="32"/>
    </row>
    <row r="117" ht="15.75" customHeight="1">
      <c r="D117" s="32"/>
    </row>
    <row r="118" ht="15.75" customHeight="1">
      <c r="D118" s="32"/>
    </row>
    <row r="119" ht="15.75" customHeight="1">
      <c r="D119" s="32"/>
    </row>
    <row r="120" ht="15.75" customHeight="1">
      <c r="D120" s="32"/>
    </row>
    <row r="121" ht="15.75" customHeight="1">
      <c r="D121" s="32"/>
    </row>
    <row r="122" ht="15.75" customHeight="1">
      <c r="D122" s="32"/>
    </row>
    <row r="123" ht="15.75" customHeight="1">
      <c r="D123" s="32"/>
    </row>
    <row r="124" ht="15.75" customHeight="1">
      <c r="D124" s="32"/>
    </row>
    <row r="125" ht="15.75" customHeight="1">
      <c r="D125" s="32"/>
    </row>
    <row r="126" ht="15.75" customHeight="1">
      <c r="D126" s="32"/>
    </row>
    <row r="127" ht="15.75" customHeight="1">
      <c r="D127" s="32"/>
    </row>
    <row r="128" ht="15.75" customHeight="1">
      <c r="D128" s="32"/>
    </row>
    <row r="129" ht="15.75" customHeight="1">
      <c r="D129" s="32"/>
    </row>
    <row r="130" ht="15.75" customHeight="1">
      <c r="D130" s="32"/>
    </row>
    <row r="131" ht="15.75" customHeight="1">
      <c r="D131" s="32"/>
    </row>
    <row r="132" ht="15.75" customHeight="1">
      <c r="D132" s="32"/>
    </row>
    <row r="133" ht="15.75" customHeight="1">
      <c r="D133" s="32"/>
    </row>
    <row r="134" ht="15.75" customHeight="1">
      <c r="D134" s="32"/>
    </row>
    <row r="135" ht="15.75" customHeight="1">
      <c r="D135" s="32"/>
    </row>
    <row r="136" ht="15.75" customHeight="1">
      <c r="D136" s="32"/>
    </row>
    <row r="137" ht="15.75" customHeight="1">
      <c r="D137" s="32"/>
    </row>
    <row r="138" ht="15.75" customHeight="1">
      <c r="D138" s="32"/>
    </row>
    <row r="139" ht="15.75" customHeight="1">
      <c r="D139" s="32"/>
    </row>
    <row r="140" ht="15.75" customHeight="1">
      <c r="D140" s="32"/>
    </row>
    <row r="141" ht="15.75" customHeight="1">
      <c r="D141" s="32"/>
    </row>
    <row r="142" ht="15.75" customHeight="1">
      <c r="D142" s="32"/>
    </row>
    <row r="143" ht="15.75" customHeight="1">
      <c r="D143" s="32"/>
    </row>
    <row r="144" ht="15.75" customHeight="1">
      <c r="D144" s="32"/>
    </row>
    <row r="145" ht="15.75" customHeight="1">
      <c r="D145" s="32"/>
    </row>
    <row r="146" ht="15.75" customHeight="1">
      <c r="D146" s="32"/>
    </row>
    <row r="147" ht="15.75" customHeight="1">
      <c r="D147" s="32"/>
    </row>
    <row r="148" ht="15.75" customHeight="1">
      <c r="D148" s="32"/>
    </row>
    <row r="149" ht="15.75" customHeight="1">
      <c r="D149" s="32"/>
    </row>
    <row r="150" ht="15.75" customHeight="1">
      <c r="D150" s="32"/>
    </row>
    <row r="151" ht="15.75" customHeight="1">
      <c r="D151" s="32"/>
    </row>
    <row r="152" ht="15.75" customHeight="1">
      <c r="D152" s="32"/>
    </row>
    <row r="153" ht="15.75" customHeight="1">
      <c r="D153" s="32"/>
    </row>
    <row r="154" ht="15.75" customHeight="1">
      <c r="D154" s="32"/>
    </row>
    <row r="155" ht="15.75" customHeight="1">
      <c r="D155" s="32"/>
    </row>
    <row r="156" ht="15.75" customHeight="1">
      <c r="D156" s="32"/>
    </row>
    <row r="157" ht="15.75" customHeight="1">
      <c r="D157" s="32"/>
    </row>
    <row r="158" ht="15.75" customHeight="1">
      <c r="D158" s="32"/>
    </row>
    <row r="159" ht="15.75" customHeight="1">
      <c r="D159" s="32"/>
    </row>
    <row r="160" ht="15.75" customHeight="1">
      <c r="D160" s="32"/>
    </row>
    <row r="161" ht="15.75" customHeight="1">
      <c r="D161" s="32"/>
    </row>
    <row r="162" ht="15.75" customHeight="1">
      <c r="D162" s="32"/>
    </row>
    <row r="163" ht="15.75" customHeight="1">
      <c r="D163" s="32"/>
    </row>
    <row r="164" ht="15.75" customHeight="1">
      <c r="D164" s="32"/>
    </row>
    <row r="165" ht="15.75" customHeight="1">
      <c r="D165" s="32"/>
    </row>
    <row r="166" ht="15.75" customHeight="1">
      <c r="D166" s="32"/>
    </row>
    <row r="167" ht="15.75" customHeight="1">
      <c r="D167" s="32"/>
    </row>
    <row r="168" ht="15.75" customHeight="1">
      <c r="D168" s="32"/>
    </row>
    <row r="169" ht="15.75" customHeight="1">
      <c r="D169" s="32"/>
    </row>
    <row r="170" ht="15.75" customHeight="1">
      <c r="D170" s="32"/>
    </row>
    <row r="171" ht="15.75" customHeight="1">
      <c r="D171" s="32"/>
    </row>
    <row r="172" ht="15.75" customHeight="1">
      <c r="D172" s="32"/>
    </row>
    <row r="173" ht="15.75" customHeight="1">
      <c r="D173" s="32"/>
    </row>
    <row r="174" ht="15.75" customHeight="1">
      <c r="D174" s="32"/>
    </row>
    <row r="175" ht="15.75" customHeight="1">
      <c r="D175" s="32"/>
    </row>
    <row r="176" ht="15.75" customHeight="1">
      <c r="D176" s="32"/>
    </row>
    <row r="177" ht="15.75" customHeight="1">
      <c r="D177" s="32"/>
    </row>
    <row r="178" ht="15.75" customHeight="1">
      <c r="D178" s="32"/>
    </row>
    <row r="179" ht="15.75" customHeight="1">
      <c r="D179" s="32"/>
    </row>
    <row r="180" ht="15.75" customHeight="1">
      <c r="D180" s="32"/>
    </row>
    <row r="181" ht="15.75" customHeight="1">
      <c r="D181" s="32"/>
    </row>
    <row r="182" ht="15.75" customHeight="1">
      <c r="D182" s="32"/>
    </row>
    <row r="183" ht="15.75" customHeight="1">
      <c r="D183" s="32"/>
    </row>
    <row r="184" ht="15.75" customHeight="1">
      <c r="D184" s="32"/>
    </row>
    <row r="185" ht="15.75" customHeight="1">
      <c r="D185" s="32"/>
    </row>
    <row r="186" ht="15.75" customHeight="1">
      <c r="D186" s="32"/>
    </row>
    <row r="187" ht="15.75" customHeight="1">
      <c r="D187" s="32"/>
    </row>
    <row r="188" ht="15.75" customHeight="1">
      <c r="D188" s="32"/>
    </row>
    <row r="189" ht="15.75" customHeight="1">
      <c r="D189" s="32"/>
    </row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</sheetData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8.63"/>
    <col customWidth="1" min="2" max="6" width="12.63"/>
  </cols>
  <sheetData>
    <row r="1" ht="15.75" customHeight="1">
      <c r="A1" s="45" t="s">
        <v>35</v>
      </c>
      <c r="B1" s="45" t="s">
        <v>1994</v>
      </c>
      <c r="C1" s="45" t="s">
        <v>2062</v>
      </c>
      <c r="D1" s="45" t="s">
        <v>2063</v>
      </c>
      <c r="E1" s="45" t="s">
        <v>2079</v>
      </c>
      <c r="F1" s="45" t="s">
        <v>2137</v>
      </c>
      <c r="G1" s="45" t="s">
        <v>2194</v>
      </c>
      <c r="H1" s="45" t="s">
        <v>2250</v>
      </c>
      <c r="I1" s="45" t="s">
        <v>2259</v>
      </c>
      <c r="J1" s="45" t="s">
        <v>2263</v>
      </c>
      <c r="K1" s="45" t="s">
        <v>2264</v>
      </c>
      <c r="L1" s="45" t="s">
        <v>2314</v>
      </c>
      <c r="M1" s="45" t="s">
        <v>2423</v>
      </c>
      <c r="N1" s="45" t="s">
        <v>2424</v>
      </c>
      <c r="O1" s="45" t="s">
        <v>2458</v>
      </c>
      <c r="P1" s="45" t="s">
        <v>2513</v>
      </c>
      <c r="Q1" s="45" t="s">
        <v>2555</v>
      </c>
      <c r="R1" s="45" t="s">
        <v>2601</v>
      </c>
      <c r="S1" s="45" t="s">
        <v>2669</v>
      </c>
      <c r="T1" s="45" t="s">
        <v>2725</v>
      </c>
      <c r="U1" s="45" t="s">
        <v>2790</v>
      </c>
      <c r="V1" s="45" t="s">
        <v>2801</v>
      </c>
      <c r="W1" s="45" t="s">
        <v>2819</v>
      </c>
      <c r="X1" s="45" t="s">
        <v>2830</v>
      </c>
      <c r="Y1" s="45" t="s">
        <v>2893</v>
      </c>
      <c r="Z1" s="45" t="s">
        <v>2955</v>
      </c>
      <c r="AA1" s="45" t="s">
        <v>2992</v>
      </c>
      <c r="AB1" s="45" t="s">
        <v>3034</v>
      </c>
      <c r="AC1" s="45" t="s">
        <v>3071</v>
      </c>
      <c r="AD1" s="45" t="s">
        <v>3112</v>
      </c>
      <c r="AE1" s="45" t="s">
        <v>3123</v>
      </c>
      <c r="AF1" s="45" t="s">
        <v>3131</v>
      </c>
      <c r="AG1" s="45" t="s">
        <v>3143</v>
      </c>
      <c r="AH1" s="45" t="s">
        <v>3168</v>
      </c>
      <c r="AI1" s="45" t="s">
        <v>3200</v>
      </c>
      <c r="AJ1" s="45" t="s">
        <v>3265</v>
      </c>
      <c r="AK1" s="45" t="s">
        <v>3297</v>
      </c>
      <c r="AL1" s="45" t="s">
        <v>3333</v>
      </c>
      <c r="AM1" s="45" t="s">
        <v>3376</v>
      </c>
      <c r="AN1" s="45" t="s">
        <v>3393</v>
      </c>
      <c r="AO1" s="45" t="s">
        <v>3427</v>
      </c>
      <c r="AP1" s="45" t="s">
        <v>3430</v>
      </c>
      <c r="AQ1" s="45" t="s">
        <v>3458</v>
      </c>
      <c r="AR1" s="45" t="s">
        <v>3497</v>
      </c>
      <c r="AS1" s="45" t="s">
        <v>3524</v>
      </c>
      <c r="AT1" s="45" t="s">
        <v>3687</v>
      </c>
      <c r="AU1" s="45" t="s">
        <v>3704</v>
      </c>
      <c r="AV1" s="45" t="s">
        <v>3713</v>
      </c>
      <c r="AW1" s="45" t="s">
        <v>3797</v>
      </c>
      <c r="AX1" s="45" t="s">
        <v>3820</v>
      </c>
      <c r="AY1" s="45" t="s">
        <v>3838</v>
      </c>
      <c r="AZ1" s="45" t="s">
        <v>3874</v>
      </c>
    </row>
    <row r="2" ht="15.75" customHeight="1">
      <c r="A2" s="34" t="s">
        <v>4010</v>
      </c>
      <c r="B2" s="34">
        <f>IFERROR(__xludf.DUMMYFUNCTION("IF(ISNA(sum(filter(
Master_Mapping_Sheet!$E$2:$E$3143, ISNUMBER(
Master_Mapping_Sheet!$E$2:$E$3143),
Master_Mapping_Sheet!$C$2:$C$3143=B$1,
Master_Mapping_Sheet!$H$2:$H$3143=$A2))/sum(filter(
Master_Mapping_Sheet!$E$2:$E$3143, ISNUMBER(
Master_Mapping_She"&amp;"et!$E$2:$E$3143),
Master_Mapping_Sheet!$H$2:$H$3143=$A2))), 0, sum(filter(
Master_Mapping_Sheet!$E$2:$E$3143, ISNUMBER(
Master_Mapping_Sheet!$E$2:$E$3143),
Master_Mapping_Sheet!$C$2:$C$3143=B$1,
Master_Mapping_Sheet!$H$2:$H$3143=$A2))/sum(filter(
Master_M"&amp;"apping_Sheet!$E$2:$E$3143, ISNUMBER(
Master_Mapping_Sheet!$E$2:$E$3143),
Master_Mapping_Sheet!$H$2:$H$3143=$A2)))"),0.0)</f>
        <v>0</v>
      </c>
      <c r="C2" s="34">
        <f>IFERROR(__xludf.DUMMYFUNCTION("IF(ISNA(sum(filter(
Master_Mapping_Sheet!$E$2:$E$3143, ISNUMBER(
Master_Mapping_Sheet!$E$2:$E$3143),
Master_Mapping_Sheet!$C$2:$C$3143=C$1,
Master_Mapping_Sheet!$H$2:$H$3143=$A2))/sum(filter(
Master_Mapping_Sheet!$E$2:$E$3143, ISNUMBER(
Master_Mapping_She"&amp;"et!$E$2:$E$3143),
Master_Mapping_Sheet!$H$2:$H$3143=$A2))), 0, sum(filter(
Master_Mapping_Sheet!$E$2:$E$3143, ISNUMBER(
Master_Mapping_Sheet!$E$2:$E$3143),
Master_Mapping_Sheet!$C$2:$C$3143=C$1,
Master_Mapping_Sheet!$H$2:$H$3143=$A2))/sum(filter(
Master_M"&amp;"apping_Sheet!$E$2:$E$3143, ISNUMBER(
Master_Mapping_Sheet!$E$2:$E$3143),
Master_Mapping_Sheet!$H$2:$H$3143=$A2)))"),0.0)</f>
        <v>0</v>
      </c>
      <c r="D2" s="34">
        <f>IFERROR(__xludf.DUMMYFUNCTION("IF(ISNA(sum(filter(
Master_Mapping_Sheet!$E$2:$E$3143, ISNUMBER(
Master_Mapping_Sheet!$E$2:$E$3143),
Master_Mapping_Sheet!$C$2:$C$3143=D$1,
Master_Mapping_Sheet!$H$2:$H$3143=$A2))/sum(filter(
Master_Mapping_Sheet!$E$2:$E$3143, ISNUMBER(
Master_Mapping_She"&amp;"et!$E$2:$E$3143),
Master_Mapping_Sheet!$H$2:$H$3143=$A2))), 0, sum(filter(
Master_Mapping_Sheet!$E$2:$E$3143, ISNUMBER(
Master_Mapping_Sheet!$E$2:$E$3143),
Master_Mapping_Sheet!$C$2:$C$3143=D$1,
Master_Mapping_Sheet!$H$2:$H$3143=$A2))/sum(filter(
Master_M"&amp;"apping_Sheet!$E$2:$E$3143, ISNUMBER(
Master_Mapping_Sheet!$E$2:$E$3143),
Master_Mapping_Sheet!$H$2:$H$3143=$A2)))"),0.0)</f>
        <v>0</v>
      </c>
      <c r="E2" s="34">
        <f>IFERROR(__xludf.DUMMYFUNCTION("IF(ISNA(sum(filter(
Master_Mapping_Sheet!$E$2:$E$3143, ISNUMBER(
Master_Mapping_Sheet!$E$2:$E$3143),
Master_Mapping_Sheet!$C$2:$C$3143=E$1,
Master_Mapping_Sheet!$H$2:$H$3143=$A2))/sum(filter(
Master_Mapping_Sheet!$E$2:$E$3143, ISNUMBER(
Master_Mapping_She"&amp;"et!$E$2:$E$3143),
Master_Mapping_Sheet!$H$2:$H$3143=$A2))), 0, sum(filter(
Master_Mapping_Sheet!$E$2:$E$3143, ISNUMBER(
Master_Mapping_Sheet!$E$2:$E$3143),
Master_Mapping_Sheet!$C$2:$C$3143=E$1,
Master_Mapping_Sheet!$H$2:$H$3143=$A2))/sum(filter(
Master_M"&amp;"apping_Sheet!$E$2:$E$3143, ISNUMBER(
Master_Mapping_Sheet!$E$2:$E$3143),
Master_Mapping_Sheet!$H$2:$H$3143=$A2)))"),0.0)</f>
        <v>0</v>
      </c>
      <c r="F2" s="34">
        <f>IFERROR(__xludf.DUMMYFUNCTION("IF(ISNA(sum(filter(
Master_Mapping_Sheet!$E$2:$E$3143, ISNUMBER(
Master_Mapping_Sheet!$E$2:$E$3143),
Master_Mapping_Sheet!$C$2:$C$3143=F$1,
Master_Mapping_Sheet!$H$2:$H$3143=$A2))/sum(filter(
Master_Mapping_Sheet!$E$2:$E$3143, ISNUMBER(
Master_Mapping_She"&amp;"et!$E$2:$E$3143),
Master_Mapping_Sheet!$H$2:$H$3143=$A2))), 0, sum(filter(
Master_Mapping_Sheet!$E$2:$E$3143, ISNUMBER(
Master_Mapping_Sheet!$E$2:$E$3143),
Master_Mapping_Sheet!$C$2:$C$3143=F$1,
Master_Mapping_Sheet!$H$2:$H$3143=$A2))/sum(filter(
Master_M"&amp;"apping_Sheet!$E$2:$E$3143, ISNUMBER(
Master_Mapping_Sheet!$E$2:$E$3143),
Master_Mapping_Sheet!$H$2:$H$3143=$A2)))"),0.0)</f>
        <v>0</v>
      </c>
      <c r="G2" s="34">
        <f>IFERROR(__xludf.DUMMYFUNCTION("IF(ISNA(sum(filter(
Master_Mapping_Sheet!$E$2:$E$3143, ISNUMBER(
Master_Mapping_Sheet!$E$2:$E$3143),
Master_Mapping_Sheet!$C$2:$C$3143=G$1,
Master_Mapping_Sheet!$H$2:$H$3143=$A2))/sum(filter(
Master_Mapping_Sheet!$E$2:$E$3143, ISNUMBER(
Master_Mapping_She"&amp;"et!$E$2:$E$3143),
Master_Mapping_Sheet!$H$2:$H$3143=$A2))), 0, sum(filter(
Master_Mapping_Sheet!$E$2:$E$3143, ISNUMBER(
Master_Mapping_Sheet!$E$2:$E$3143),
Master_Mapping_Sheet!$C$2:$C$3143=G$1,
Master_Mapping_Sheet!$H$2:$H$3143=$A2))/sum(filter(
Master_M"&amp;"apping_Sheet!$E$2:$E$3143, ISNUMBER(
Master_Mapping_Sheet!$E$2:$E$3143),
Master_Mapping_Sheet!$H$2:$H$3143=$A2)))"),0.0)</f>
        <v>0</v>
      </c>
      <c r="H2" s="34">
        <f>IFERROR(__xludf.DUMMYFUNCTION("IF(ISNA(sum(filter(
Master_Mapping_Sheet!$E$2:$E$3143, ISNUMBER(
Master_Mapping_Sheet!$E$2:$E$3143),
Master_Mapping_Sheet!$C$2:$C$3143=H$1,
Master_Mapping_Sheet!$H$2:$H$3143=$A2))/sum(filter(
Master_Mapping_Sheet!$E$2:$E$3143, ISNUMBER(
Master_Mapping_She"&amp;"et!$E$2:$E$3143),
Master_Mapping_Sheet!$H$2:$H$3143=$A2))), 0, sum(filter(
Master_Mapping_Sheet!$E$2:$E$3143, ISNUMBER(
Master_Mapping_Sheet!$E$2:$E$3143),
Master_Mapping_Sheet!$C$2:$C$3143=H$1,
Master_Mapping_Sheet!$H$2:$H$3143=$A2))/sum(filter(
Master_M"&amp;"apping_Sheet!$E$2:$E$3143, ISNUMBER(
Master_Mapping_Sheet!$E$2:$E$3143),
Master_Mapping_Sheet!$H$2:$H$3143=$A2)))"),0.0)</f>
        <v>0</v>
      </c>
      <c r="I2" s="34">
        <f>IFERROR(__xludf.DUMMYFUNCTION("IF(ISNA(sum(filter(
Master_Mapping_Sheet!$E$2:$E$3143, ISNUMBER(
Master_Mapping_Sheet!$E$2:$E$3143),
Master_Mapping_Sheet!$C$2:$C$3143=I$1,
Master_Mapping_Sheet!$H$2:$H$3143=$A2))/sum(filter(
Master_Mapping_Sheet!$E$2:$E$3143, ISNUMBER(
Master_Mapping_She"&amp;"et!$E$2:$E$3143),
Master_Mapping_Sheet!$H$2:$H$3143=$A2))), 0, sum(filter(
Master_Mapping_Sheet!$E$2:$E$3143, ISNUMBER(
Master_Mapping_Sheet!$E$2:$E$3143),
Master_Mapping_Sheet!$C$2:$C$3143=I$1,
Master_Mapping_Sheet!$H$2:$H$3143=$A2))/sum(filter(
Master_M"&amp;"apping_Sheet!$E$2:$E$3143, ISNUMBER(
Master_Mapping_Sheet!$E$2:$E$3143),
Master_Mapping_Sheet!$H$2:$H$3143=$A2)))"),0.0)</f>
        <v>0</v>
      </c>
      <c r="J2" s="34">
        <f>IFERROR(__xludf.DUMMYFUNCTION("IF(ISNA(sum(filter(
Master_Mapping_Sheet!$E$2:$E$3143, ISNUMBER(
Master_Mapping_Sheet!$E$2:$E$3143),
Master_Mapping_Sheet!$C$2:$C$3143=J$1,
Master_Mapping_Sheet!$H$2:$H$3143=$A2))/sum(filter(
Master_Mapping_Sheet!$E$2:$E$3143, ISNUMBER(
Master_Mapping_She"&amp;"et!$E$2:$E$3143),
Master_Mapping_Sheet!$H$2:$H$3143=$A2))), 0, sum(filter(
Master_Mapping_Sheet!$E$2:$E$3143, ISNUMBER(
Master_Mapping_Sheet!$E$2:$E$3143),
Master_Mapping_Sheet!$C$2:$C$3143=J$1,
Master_Mapping_Sheet!$H$2:$H$3143=$A2))/sum(filter(
Master_M"&amp;"apping_Sheet!$E$2:$E$3143, ISNUMBER(
Master_Mapping_Sheet!$E$2:$E$3143),
Master_Mapping_Sheet!$H$2:$H$3143=$A2)))"),0.0)</f>
        <v>0</v>
      </c>
      <c r="K2" s="34">
        <f>IFERROR(__xludf.DUMMYFUNCTION("IF(ISNA(sum(filter(
Master_Mapping_Sheet!$E$2:$E$3143, ISNUMBER(
Master_Mapping_Sheet!$E$2:$E$3143),
Master_Mapping_Sheet!$C$2:$C$3143=K$1,
Master_Mapping_Sheet!$H$2:$H$3143=$A2))/sum(filter(
Master_Mapping_Sheet!$E$2:$E$3143, ISNUMBER(
Master_Mapping_She"&amp;"et!$E$2:$E$3143),
Master_Mapping_Sheet!$H$2:$H$3143=$A2))), 0, sum(filter(
Master_Mapping_Sheet!$E$2:$E$3143, ISNUMBER(
Master_Mapping_Sheet!$E$2:$E$3143),
Master_Mapping_Sheet!$C$2:$C$3143=K$1,
Master_Mapping_Sheet!$H$2:$H$3143=$A2))/sum(filter(
Master_M"&amp;"apping_Sheet!$E$2:$E$3143, ISNUMBER(
Master_Mapping_Sheet!$E$2:$E$3143),
Master_Mapping_Sheet!$H$2:$H$3143=$A2)))"),0.0)</f>
        <v>0</v>
      </c>
      <c r="L2" s="34">
        <f>IFERROR(__xludf.DUMMYFUNCTION("IF(ISNA(sum(filter(
Master_Mapping_Sheet!$E$2:$E$3143, ISNUMBER(
Master_Mapping_Sheet!$E$2:$E$3143),
Master_Mapping_Sheet!$C$2:$C$3143=L$1,
Master_Mapping_Sheet!$H$2:$H$3143=$A2))/sum(filter(
Master_Mapping_Sheet!$E$2:$E$3143, ISNUMBER(
Master_Mapping_She"&amp;"et!$E$2:$E$3143),
Master_Mapping_Sheet!$H$2:$H$3143=$A2))), 0, sum(filter(
Master_Mapping_Sheet!$E$2:$E$3143, ISNUMBER(
Master_Mapping_Sheet!$E$2:$E$3143),
Master_Mapping_Sheet!$C$2:$C$3143=L$1,
Master_Mapping_Sheet!$H$2:$H$3143=$A2))/sum(filter(
Master_M"&amp;"apping_Sheet!$E$2:$E$3143, ISNUMBER(
Master_Mapping_Sheet!$E$2:$E$3143),
Master_Mapping_Sheet!$H$2:$H$3143=$A2)))"),0.0)</f>
        <v>0</v>
      </c>
      <c r="M2" s="34">
        <f>IFERROR(__xludf.DUMMYFUNCTION("IF(ISNA(sum(filter(
Master_Mapping_Sheet!$E$2:$E$3143, ISNUMBER(
Master_Mapping_Sheet!$E$2:$E$3143),
Master_Mapping_Sheet!$C$2:$C$3143=M$1,
Master_Mapping_Sheet!$H$2:$H$3143=$A2))/sum(filter(
Master_Mapping_Sheet!$E$2:$E$3143, ISNUMBER(
Master_Mapping_She"&amp;"et!$E$2:$E$3143),
Master_Mapping_Sheet!$H$2:$H$3143=$A2))), 0, sum(filter(
Master_Mapping_Sheet!$E$2:$E$3143, ISNUMBER(
Master_Mapping_Sheet!$E$2:$E$3143),
Master_Mapping_Sheet!$C$2:$C$3143=M$1,
Master_Mapping_Sheet!$H$2:$H$3143=$A2))/sum(filter(
Master_M"&amp;"apping_Sheet!$E$2:$E$3143, ISNUMBER(
Master_Mapping_Sheet!$E$2:$E$3143),
Master_Mapping_Sheet!$H$2:$H$3143=$A2)))"),0.0)</f>
        <v>0</v>
      </c>
      <c r="N2" s="34">
        <f>IFERROR(__xludf.DUMMYFUNCTION("IF(ISNA(sum(filter(
Master_Mapping_Sheet!$E$2:$E$3143, ISNUMBER(
Master_Mapping_Sheet!$E$2:$E$3143),
Master_Mapping_Sheet!$C$2:$C$3143=N$1,
Master_Mapping_Sheet!$H$2:$H$3143=$A2))/sum(filter(
Master_Mapping_Sheet!$E$2:$E$3143, ISNUMBER(
Master_Mapping_She"&amp;"et!$E$2:$E$3143),
Master_Mapping_Sheet!$H$2:$H$3143=$A2))), 0, sum(filter(
Master_Mapping_Sheet!$E$2:$E$3143, ISNUMBER(
Master_Mapping_Sheet!$E$2:$E$3143),
Master_Mapping_Sheet!$C$2:$C$3143=N$1,
Master_Mapping_Sheet!$H$2:$H$3143=$A2))/sum(filter(
Master_M"&amp;"apping_Sheet!$E$2:$E$3143, ISNUMBER(
Master_Mapping_Sheet!$E$2:$E$3143),
Master_Mapping_Sheet!$H$2:$H$3143=$A2)))"),0.0)</f>
        <v>0</v>
      </c>
      <c r="O2" s="34">
        <f>IFERROR(__xludf.DUMMYFUNCTION("IF(ISNA(sum(filter(
Master_Mapping_Sheet!$E$2:$E$3143, ISNUMBER(
Master_Mapping_Sheet!$E$2:$E$3143),
Master_Mapping_Sheet!$C$2:$C$3143=O$1,
Master_Mapping_Sheet!$H$2:$H$3143=$A2))/sum(filter(
Master_Mapping_Sheet!$E$2:$E$3143, ISNUMBER(
Master_Mapping_She"&amp;"et!$E$2:$E$3143),
Master_Mapping_Sheet!$H$2:$H$3143=$A2))), 0, sum(filter(
Master_Mapping_Sheet!$E$2:$E$3143, ISNUMBER(
Master_Mapping_Sheet!$E$2:$E$3143),
Master_Mapping_Sheet!$C$2:$C$3143=O$1,
Master_Mapping_Sheet!$H$2:$H$3143=$A2))/sum(filter(
Master_M"&amp;"apping_Sheet!$E$2:$E$3143, ISNUMBER(
Master_Mapping_Sheet!$E$2:$E$3143),
Master_Mapping_Sheet!$H$2:$H$3143=$A2)))"),0.0)</f>
        <v>0</v>
      </c>
      <c r="P2" s="34">
        <f>IFERROR(__xludf.DUMMYFUNCTION("IF(ISNA(sum(filter(
Master_Mapping_Sheet!$E$2:$E$3143, ISNUMBER(
Master_Mapping_Sheet!$E$2:$E$3143),
Master_Mapping_Sheet!$C$2:$C$3143=P$1,
Master_Mapping_Sheet!$H$2:$H$3143=$A2))/sum(filter(
Master_Mapping_Sheet!$E$2:$E$3143, ISNUMBER(
Master_Mapping_She"&amp;"et!$E$2:$E$3143),
Master_Mapping_Sheet!$H$2:$H$3143=$A2))), 0, sum(filter(
Master_Mapping_Sheet!$E$2:$E$3143, ISNUMBER(
Master_Mapping_Sheet!$E$2:$E$3143),
Master_Mapping_Sheet!$C$2:$C$3143=P$1,
Master_Mapping_Sheet!$H$2:$H$3143=$A2))/sum(filter(
Master_M"&amp;"apping_Sheet!$E$2:$E$3143, ISNUMBER(
Master_Mapping_Sheet!$E$2:$E$3143),
Master_Mapping_Sheet!$H$2:$H$3143=$A2)))"),0.0)</f>
        <v>0</v>
      </c>
      <c r="Q2" s="34">
        <f>IFERROR(__xludf.DUMMYFUNCTION("IF(ISNA(sum(filter(
Master_Mapping_Sheet!$E$2:$E$3143, ISNUMBER(
Master_Mapping_Sheet!$E$2:$E$3143),
Master_Mapping_Sheet!$C$2:$C$3143=Q$1,
Master_Mapping_Sheet!$H$2:$H$3143=$A2))/sum(filter(
Master_Mapping_Sheet!$E$2:$E$3143, ISNUMBER(
Master_Mapping_She"&amp;"et!$E$2:$E$3143),
Master_Mapping_Sheet!$H$2:$H$3143=$A2))), 0, sum(filter(
Master_Mapping_Sheet!$E$2:$E$3143, ISNUMBER(
Master_Mapping_Sheet!$E$2:$E$3143),
Master_Mapping_Sheet!$C$2:$C$3143=Q$1,
Master_Mapping_Sheet!$H$2:$H$3143=$A2))/sum(filter(
Master_M"&amp;"apping_Sheet!$E$2:$E$3143, ISNUMBER(
Master_Mapping_Sheet!$E$2:$E$3143),
Master_Mapping_Sheet!$H$2:$H$3143=$A2)))"),0.0)</f>
        <v>0</v>
      </c>
      <c r="R2" s="34">
        <f>IFERROR(__xludf.DUMMYFUNCTION("IF(ISNA(sum(filter(
Master_Mapping_Sheet!$E$2:$E$3143, ISNUMBER(
Master_Mapping_Sheet!$E$2:$E$3143),
Master_Mapping_Sheet!$C$2:$C$3143=R$1,
Master_Mapping_Sheet!$H$2:$H$3143=$A2))/sum(filter(
Master_Mapping_Sheet!$E$2:$E$3143, ISNUMBER(
Master_Mapping_She"&amp;"et!$E$2:$E$3143),
Master_Mapping_Sheet!$H$2:$H$3143=$A2))), 0, sum(filter(
Master_Mapping_Sheet!$E$2:$E$3143, ISNUMBER(
Master_Mapping_Sheet!$E$2:$E$3143),
Master_Mapping_Sheet!$C$2:$C$3143=R$1,
Master_Mapping_Sheet!$H$2:$H$3143=$A2))/sum(filter(
Master_M"&amp;"apping_Sheet!$E$2:$E$3143, ISNUMBER(
Master_Mapping_Sheet!$E$2:$E$3143),
Master_Mapping_Sheet!$H$2:$H$3143=$A2)))"),0.0)</f>
        <v>0</v>
      </c>
      <c r="S2" s="34">
        <f>IFERROR(__xludf.DUMMYFUNCTION("IF(ISNA(sum(filter(
Master_Mapping_Sheet!$E$2:$E$3143, ISNUMBER(
Master_Mapping_Sheet!$E$2:$E$3143),
Master_Mapping_Sheet!$C$2:$C$3143=S$1,
Master_Mapping_Sheet!$H$2:$H$3143=$A2))/sum(filter(
Master_Mapping_Sheet!$E$2:$E$3143, ISNUMBER(
Master_Mapping_She"&amp;"et!$E$2:$E$3143),
Master_Mapping_Sheet!$H$2:$H$3143=$A2))), 0, sum(filter(
Master_Mapping_Sheet!$E$2:$E$3143, ISNUMBER(
Master_Mapping_Sheet!$E$2:$E$3143),
Master_Mapping_Sheet!$C$2:$C$3143=S$1,
Master_Mapping_Sheet!$H$2:$H$3143=$A2))/sum(filter(
Master_M"&amp;"apping_Sheet!$E$2:$E$3143, ISNUMBER(
Master_Mapping_Sheet!$E$2:$E$3143),
Master_Mapping_Sheet!$H$2:$H$3143=$A2)))"),0.0)</f>
        <v>0</v>
      </c>
      <c r="T2" s="34">
        <f>IFERROR(__xludf.DUMMYFUNCTION("IF(ISNA(sum(filter(
Master_Mapping_Sheet!$E$2:$E$3143, ISNUMBER(
Master_Mapping_Sheet!$E$2:$E$3143),
Master_Mapping_Sheet!$C$2:$C$3143=T$1,
Master_Mapping_Sheet!$H$2:$H$3143=$A2))/sum(filter(
Master_Mapping_Sheet!$E$2:$E$3143, ISNUMBER(
Master_Mapping_She"&amp;"et!$E$2:$E$3143),
Master_Mapping_Sheet!$H$2:$H$3143=$A2))), 0, sum(filter(
Master_Mapping_Sheet!$E$2:$E$3143, ISNUMBER(
Master_Mapping_Sheet!$E$2:$E$3143),
Master_Mapping_Sheet!$C$2:$C$3143=T$1,
Master_Mapping_Sheet!$H$2:$H$3143=$A2))/sum(filter(
Master_M"&amp;"apping_Sheet!$E$2:$E$3143, ISNUMBER(
Master_Mapping_Sheet!$E$2:$E$3143),
Master_Mapping_Sheet!$H$2:$H$3143=$A2)))"),0.0)</f>
        <v>0</v>
      </c>
      <c r="U2" s="34">
        <f>IFERROR(__xludf.DUMMYFUNCTION("IF(ISNA(sum(filter(
Master_Mapping_Sheet!$E$2:$E$3143, ISNUMBER(
Master_Mapping_Sheet!$E$2:$E$3143),
Master_Mapping_Sheet!$C$2:$C$3143=U$1,
Master_Mapping_Sheet!$H$2:$H$3143=$A2))/sum(filter(
Master_Mapping_Sheet!$E$2:$E$3143, ISNUMBER(
Master_Mapping_She"&amp;"et!$E$2:$E$3143),
Master_Mapping_Sheet!$H$2:$H$3143=$A2))), 0, sum(filter(
Master_Mapping_Sheet!$E$2:$E$3143, ISNUMBER(
Master_Mapping_Sheet!$E$2:$E$3143),
Master_Mapping_Sheet!$C$2:$C$3143=U$1,
Master_Mapping_Sheet!$H$2:$H$3143=$A2))/sum(filter(
Master_M"&amp;"apping_Sheet!$E$2:$E$3143, ISNUMBER(
Master_Mapping_Sheet!$E$2:$E$3143),
Master_Mapping_Sheet!$H$2:$H$3143=$A2)))"),0.0)</f>
        <v>0</v>
      </c>
      <c r="V2" s="34">
        <f>IFERROR(__xludf.DUMMYFUNCTION("IF(ISNA(sum(filter(
Master_Mapping_Sheet!$E$2:$E$3143, ISNUMBER(
Master_Mapping_Sheet!$E$2:$E$3143),
Master_Mapping_Sheet!$C$2:$C$3143=V$1,
Master_Mapping_Sheet!$H$2:$H$3143=$A2))/sum(filter(
Master_Mapping_Sheet!$E$2:$E$3143, ISNUMBER(
Master_Mapping_She"&amp;"et!$E$2:$E$3143),
Master_Mapping_Sheet!$H$2:$H$3143=$A2))), 0, sum(filter(
Master_Mapping_Sheet!$E$2:$E$3143, ISNUMBER(
Master_Mapping_Sheet!$E$2:$E$3143),
Master_Mapping_Sheet!$C$2:$C$3143=V$1,
Master_Mapping_Sheet!$H$2:$H$3143=$A2))/sum(filter(
Master_M"&amp;"apping_Sheet!$E$2:$E$3143, ISNUMBER(
Master_Mapping_Sheet!$E$2:$E$3143),
Master_Mapping_Sheet!$H$2:$H$3143=$A2)))"),0.0)</f>
        <v>0</v>
      </c>
      <c r="W2" s="34">
        <f>IFERROR(__xludf.DUMMYFUNCTION("IF(ISNA(sum(filter(
Master_Mapping_Sheet!$E$2:$E$3143, ISNUMBER(
Master_Mapping_Sheet!$E$2:$E$3143),
Master_Mapping_Sheet!$C$2:$C$3143=W$1,
Master_Mapping_Sheet!$H$2:$H$3143=$A2))/sum(filter(
Master_Mapping_Sheet!$E$2:$E$3143, ISNUMBER(
Master_Mapping_She"&amp;"et!$E$2:$E$3143),
Master_Mapping_Sheet!$H$2:$H$3143=$A2))), 0, sum(filter(
Master_Mapping_Sheet!$E$2:$E$3143, ISNUMBER(
Master_Mapping_Sheet!$E$2:$E$3143),
Master_Mapping_Sheet!$C$2:$C$3143=W$1,
Master_Mapping_Sheet!$H$2:$H$3143=$A2))/sum(filter(
Master_M"&amp;"apping_Sheet!$E$2:$E$3143, ISNUMBER(
Master_Mapping_Sheet!$E$2:$E$3143),
Master_Mapping_Sheet!$H$2:$H$3143=$A2)))"),0.0)</f>
        <v>0</v>
      </c>
      <c r="X2" s="34">
        <f>IFERROR(__xludf.DUMMYFUNCTION("IF(ISNA(sum(filter(
Master_Mapping_Sheet!$E$2:$E$3143, ISNUMBER(
Master_Mapping_Sheet!$E$2:$E$3143),
Master_Mapping_Sheet!$C$2:$C$3143=X$1,
Master_Mapping_Sheet!$H$2:$H$3143=$A2))/sum(filter(
Master_Mapping_Sheet!$E$2:$E$3143, ISNUMBER(
Master_Mapping_She"&amp;"et!$E$2:$E$3143),
Master_Mapping_Sheet!$H$2:$H$3143=$A2))), 0, sum(filter(
Master_Mapping_Sheet!$E$2:$E$3143, ISNUMBER(
Master_Mapping_Sheet!$E$2:$E$3143),
Master_Mapping_Sheet!$C$2:$C$3143=X$1,
Master_Mapping_Sheet!$H$2:$H$3143=$A2))/sum(filter(
Master_M"&amp;"apping_Sheet!$E$2:$E$3143, ISNUMBER(
Master_Mapping_Sheet!$E$2:$E$3143),
Master_Mapping_Sheet!$H$2:$H$3143=$A2)))"),0.0)</f>
        <v>0</v>
      </c>
      <c r="Y2" s="34">
        <f>IFERROR(__xludf.DUMMYFUNCTION("IF(ISNA(sum(filter(
Master_Mapping_Sheet!$E$2:$E$3143, ISNUMBER(
Master_Mapping_Sheet!$E$2:$E$3143),
Master_Mapping_Sheet!$C$2:$C$3143=Y$1,
Master_Mapping_Sheet!$H$2:$H$3143=$A2))/sum(filter(
Master_Mapping_Sheet!$E$2:$E$3143, ISNUMBER(
Master_Mapping_She"&amp;"et!$E$2:$E$3143),
Master_Mapping_Sheet!$H$2:$H$3143=$A2))), 0, sum(filter(
Master_Mapping_Sheet!$E$2:$E$3143, ISNUMBER(
Master_Mapping_Sheet!$E$2:$E$3143),
Master_Mapping_Sheet!$C$2:$C$3143=Y$1,
Master_Mapping_Sheet!$H$2:$H$3143=$A2))/sum(filter(
Master_M"&amp;"apping_Sheet!$E$2:$E$3143, ISNUMBER(
Master_Mapping_Sheet!$E$2:$E$3143),
Master_Mapping_Sheet!$H$2:$H$3143=$A2)))"),0.0)</f>
        <v>0</v>
      </c>
      <c r="Z2" s="34">
        <f>IFERROR(__xludf.DUMMYFUNCTION("IF(ISNA(sum(filter(
Master_Mapping_Sheet!$E$2:$E$3143, ISNUMBER(
Master_Mapping_Sheet!$E$2:$E$3143),
Master_Mapping_Sheet!$C$2:$C$3143=Z$1,
Master_Mapping_Sheet!$H$2:$H$3143=$A2))/sum(filter(
Master_Mapping_Sheet!$E$2:$E$3143, ISNUMBER(
Master_Mapping_She"&amp;"et!$E$2:$E$3143),
Master_Mapping_Sheet!$H$2:$H$3143=$A2))), 0, sum(filter(
Master_Mapping_Sheet!$E$2:$E$3143, ISNUMBER(
Master_Mapping_Sheet!$E$2:$E$3143),
Master_Mapping_Sheet!$C$2:$C$3143=Z$1,
Master_Mapping_Sheet!$H$2:$H$3143=$A2))/sum(filter(
Master_M"&amp;"apping_Sheet!$E$2:$E$3143, ISNUMBER(
Master_Mapping_Sheet!$E$2:$E$3143),
Master_Mapping_Sheet!$H$2:$H$3143=$A2)))"),0.0)</f>
        <v>0</v>
      </c>
      <c r="AA2" s="34">
        <f>IFERROR(__xludf.DUMMYFUNCTION("IF(ISNA(sum(filter(
Master_Mapping_Sheet!$E$2:$E$3143, ISNUMBER(
Master_Mapping_Sheet!$E$2:$E$3143),
Master_Mapping_Sheet!$C$2:$C$3143=AA$1,
Master_Mapping_Sheet!$H$2:$H$3143=$A2))/sum(filter(
Master_Mapping_Sheet!$E$2:$E$3143, ISNUMBER(
Master_Mapping_Sh"&amp;"eet!$E$2:$E$3143),
Master_Mapping_Sheet!$H$2:$H$3143=$A2))), 0, sum(filter(
Master_Mapping_Sheet!$E$2:$E$3143, ISNUMBER(
Master_Mapping_Sheet!$E$2:$E$3143),
Master_Mapping_Sheet!$C$2:$C$3143=AA$1,
Master_Mapping_Sheet!$H$2:$H$3143=$A2))/sum(filter(
Master"&amp;"_Mapping_Sheet!$E$2:$E$3143, ISNUMBER(
Master_Mapping_Sheet!$E$2:$E$3143),
Master_Mapping_Sheet!$H$2:$H$3143=$A2)))"),0.0)</f>
        <v>0</v>
      </c>
      <c r="AB2" s="34">
        <f>IFERROR(__xludf.DUMMYFUNCTION("IF(ISNA(sum(filter(
Master_Mapping_Sheet!$E$2:$E$3143, ISNUMBER(
Master_Mapping_Sheet!$E$2:$E$3143),
Master_Mapping_Sheet!$C$2:$C$3143=AB$1,
Master_Mapping_Sheet!$H$2:$H$3143=$A2))/sum(filter(
Master_Mapping_Sheet!$E$2:$E$3143, ISNUMBER(
Master_Mapping_Sh"&amp;"eet!$E$2:$E$3143),
Master_Mapping_Sheet!$H$2:$H$3143=$A2))), 0, sum(filter(
Master_Mapping_Sheet!$E$2:$E$3143, ISNUMBER(
Master_Mapping_Sheet!$E$2:$E$3143),
Master_Mapping_Sheet!$C$2:$C$3143=AB$1,
Master_Mapping_Sheet!$H$2:$H$3143=$A2))/sum(filter(
Master"&amp;"_Mapping_Sheet!$E$2:$E$3143, ISNUMBER(
Master_Mapping_Sheet!$E$2:$E$3143),
Master_Mapping_Sheet!$H$2:$H$3143=$A2)))"),0.0)</f>
        <v>0</v>
      </c>
      <c r="AC2" s="34">
        <f>IFERROR(__xludf.DUMMYFUNCTION("IF(ISNA(sum(filter(
Master_Mapping_Sheet!$E$2:$E$3143, ISNUMBER(
Master_Mapping_Sheet!$E$2:$E$3143),
Master_Mapping_Sheet!$C$2:$C$3143=AC$1,
Master_Mapping_Sheet!$H$2:$H$3143=$A2))/sum(filter(
Master_Mapping_Sheet!$E$2:$E$3143, ISNUMBER(
Master_Mapping_Sh"&amp;"eet!$E$2:$E$3143),
Master_Mapping_Sheet!$H$2:$H$3143=$A2))), 0, sum(filter(
Master_Mapping_Sheet!$E$2:$E$3143, ISNUMBER(
Master_Mapping_Sheet!$E$2:$E$3143),
Master_Mapping_Sheet!$C$2:$C$3143=AC$1,
Master_Mapping_Sheet!$H$2:$H$3143=$A2))/sum(filter(
Master"&amp;"_Mapping_Sheet!$E$2:$E$3143, ISNUMBER(
Master_Mapping_Sheet!$E$2:$E$3143),
Master_Mapping_Sheet!$H$2:$H$3143=$A2)))"),0.0)</f>
        <v>0</v>
      </c>
      <c r="AD2" s="34">
        <f>IFERROR(__xludf.DUMMYFUNCTION("IF(ISNA(sum(filter(
Master_Mapping_Sheet!$E$2:$E$3143, ISNUMBER(
Master_Mapping_Sheet!$E$2:$E$3143),
Master_Mapping_Sheet!$C$2:$C$3143=AD$1,
Master_Mapping_Sheet!$H$2:$H$3143=$A2))/sum(filter(
Master_Mapping_Sheet!$E$2:$E$3143, ISNUMBER(
Master_Mapping_Sh"&amp;"eet!$E$2:$E$3143),
Master_Mapping_Sheet!$H$2:$H$3143=$A2))), 0, sum(filter(
Master_Mapping_Sheet!$E$2:$E$3143, ISNUMBER(
Master_Mapping_Sheet!$E$2:$E$3143),
Master_Mapping_Sheet!$C$2:$C$3143=AD$1,
Master_Mapping_Sheet!$H$2:$H$3143=$A2))/sum(filter(
Master"&amp;"_Mapping_Sheet!$E$2:$E$3143, ISNUMBER(
Master_Mapping_Sheet!$E$2:$E$3143),
Master_Mapping_Sheet!$H$2:$H$3143=$A2)))"),0.0)</f>
        <v>0</v>
      </c>
      <c r="AE2" s="34">
        <f>IFERROR(__xludf.DUMMYFUNCTION("IF(ISNA(sum(filter(
Master_Mapping_Sheet!$E$2:$E$3143, ISNUMBER(
Master_Mapping_Sheet!$E$2:$E$3143),
Master_Mapping_Sheet!$C$2:$C$3143=AE$1,
Master_Mapping_Sheet!$H$2:$H$3143=$A2))/sum(filter(
Master_Mapping_Sheet!$E$2:$E$3143, ISNUMBER(
Master_Mapping_Sh"&amp;"eet!$E$2:$E$3143),
Master_Mapping_Sheet!$H$2:$H$3143=$A2))), 0, sum(filter(
Master_Mapping_Sheet!$E$2:$E$3143, ISNUMBER(
Master_Mapping_Sheet!$E$2:$E$3143),
Master_Mapping_Sheet!$C$2:$C$3143=AE$1,
Master_Mapping_Sheet!$H$2:$H$3143=$A2))/sum(filter(
Master"&amp;"_Mapping_Sheet!$E$2:$E$3143, ISNUMBER(
Master_Mapping_Sheet!$E$2:$E$3143),
Master_Mapping_Sheet!$H$2:$H$3143=$A2)))"),0.0)</f>
        <v>0</v>
      </c>
      <c r="AF2" s="34">
        <f>IFERROR(__xludf.DUMMYFUNCTION("IF(ISNA(sum(filter(
Master_Mapping_Sheet!$E$2:$E$3143, ISNUMBER(
Master_Mapping_Sheet!$E$2:$E$3143),
Master_Mapping_Sheet!$C$2:$C$3143=AF$1,
Master_Mapping_Sheet!$H$2:$H$3143=$A2))/sum(filter(
Master_Mapping_Sheet!$E$2:$E$3143, ISNUMBER(
Master_Mapping_Sh"&amp;"eet!$E$2:$E$3143),
Master_Mapping_Sheet!$H$2:$H$3143=$A2))), 0, sum(filter(
Master_Mapping_Sheet!$E$2:$E$3143, ISNUMBER(
Master_Mapping_Sheet!$E$2:$E$3143),
Master_Mapping_Sheet!$C$2:$C$3143=AF$1,
Master_Mapping_Sheet!$H$2:$H$3143=$A2))/sum(filter(
Master"&amp;"_Mapping_Sheet!$E$2:$E$3143, ISNUMBER(
Master_Mapping_Sheet!$E$2:$E$3143),
Master_Mapping_Sheet!$H$2:$H$3143=$A2)))"),0.0)</f>
        <v>0</v>
      </c>
      <c r="AG2" s="34">
        <f>IFERROR(__xludf.DUMMYFUNCTION("IF(ISNA(sum(filter(
Master_Mapping_Sheet!$E$2:$E$3143, ISNUMBER(
Master_Mapping_Sheet!$E$2:$E$3143),
Master_Mapping_Sheet!$C$2:$C$3143=AG$1,
Master_Mapping_Sheet!$H$2:$H$3143=$A2))/sum(filter(
Master_Mapping_Sheet!$E$2:$E$3143, ISNUMBER(
Master_Mapping_Sh"&amp;"eet!$E$2:$E$3143),
Master_Mapping_Sheet!$H$2:$H$3143=$A2))), 0, sum(filter(
Master_Mapping_Sheet!$E$2:$E$3143, ISNUMBER(
Master_Mapping_Sheet!$E$2:$E$3143),
Master_Mapping_Sheet!$C$2:$C$3143=AG$1,
Master_Mapping_Sheet!$H$2:$H$3143=$A2))/sum(filter(
Master"&amp;"_Mapping_Sheet!$E$2:$E$3143, ISNUMBER(
Master_Mapping_Sheet!$E$2:$E$3143),
Master_Mapping_Sheet!$H$2:$H$3143=$A2)))"),0.0)</f>
        <v>0</v>
      </c>
      <c r="AH2" s="34">
        <f>IFERROR(__xludf.DUMMYFUNCTION("IF(ISNA(sum(filter(
Master_Mapping_Sheet!$E$2:$E$3143, ISNUMBER(
Master_Mapping_Sheet!$E$2:$E$3143),
Master_Mapping_Sheet!$C$2:$C$3143=AH$1,
Master_Mapping_Sheet!$H$2:$H$3143=$A2))/sum(filter(
Master_Mapping_Sheet!$E$2:$E$3143, ISNUMBER(
Master_Mapping_Sh"&amp;"eet!$E$2:$E$3143),
Master_Mapping_Sheet!$H$2:$H$3143=$A2))), 0, sum(filter(
Master_Mapping_Sheet!$E$2:$E$3143, ISNUMBER(
Master_Mapping_Sheet!$E$2:$E$3143),
Master_Mapping_Sheet!$C$2:$C$3143=AH$1,
Master_Mapping_Sheet!$H$2:$H$3143=$A2))/sum(filter(
Master"&amp;"_Mapping_Sheet!$E$2:$E$3143, ISNUMBER(
Master_Mapping_Sheet!$E$2:$E$3143),
Master_Mapping_Sheet!$H$2:$H$3143=$A2)))"),0.0)</f>
        <v>0</v>
      </c>
      <c r="AI2" s="34">
        <f>IFERROR(__xludf.DUMMYFUNCTION("IF(ISNA(sum(filter(
Master_Mapping_Sheet!$E$2:$E$3143, ISNUMBER(
Master_Mapping_Sheet!$E$2:$E$3143),
Master_Mapping_Sheet!$C$2:$C$3143=AI$1,
Master_Mapping_Sheet!$H$2:$H$3143=$A2))/sum(filter(
Master_Mapping_Sheet!$E$2:$E$3143, ISNUMBER(
Master_Mapping_Sh"&amp;"eet!$E$2:$E$3143),
Master_Mapping_Sheet!$H$2:$H$3143=$A2))), 0, sum(filter(
Master_Mapping_Sheet!$E$2:$E$3143, ISNUMBER(
Master_Mapping_Sheet!$E$2:$E$3143),
Master_Mapping_Sheet!$C$2:$C$3143=AI$1,
Master_Mapping_Sheet!$H$2:$H$3143=$A2))/sum(filter(
Master"&amp;"_Mapping_Sheet!$E$2:$E$3143, ISNUMBER(
Master_Mapping_Sheet!$E$2:$E$3143),
Master_Mapping_Sheet!$H$2:$H$3143=$A2)))"),0.0)</f>
        <v>0</v>
      </c>
      <c r="AJ2" s="34">
        <f>IFERROR(__xludf.DUMMYFUNCTION("IF(ISNA(sum(filter(
Master_Mapping_Sheet!$E$2:$E$3143, ISNUMBER(
Master_Mapping_Sheet!$E$2:$E$3143),
Master_Mapping_Sheet!$C$2:$C$3143=AJ$1,
Master_Mapping_Sheet!$H$2:$H$3143=$A2))/sum(filter(
Master_Mapping_Sheet!$E$2:$E$3143, ISNUMBER(
Master_Mapping_Sh"&amp;"eet!$E$2:$E$3143),
Master_Mapping_Sheet!$H$2:$H$3143=$A2))), 0, sum(filter(
Master_Mapping_Sheet!$E$2:$E$3143, ISNUMBER(
Master_Mapping_Sheet!$E$2:$E$3143),
Master_Mapping_Sheet!$C$2:$C$3143=AJ$1,
Master_Mapping_Sheet!$H$2:$H$3143=$A2))/sum(filter(
Master"&amp;"_Mapping_Sheet!$E$2:$E$3143, ISNUMBER(
Master_Mapping_Sheet!$E$2:$E$3143),
Master_Mapping_Sheet!$H$2:$H$3143=$A2)))"),0.0)</f>
        <v>0</v>
      </c>
      <c r="AK2" s="34">
        <f>IFERROR(__xludf.DUMMYFUNCTION("IF(ISNA(sum(filter(
Master_Mapping_Sheet!$E$2:$E$3143, ISNUMBER(
Master_Mapping_Sheet!$E$2:$E$3143),
Master_Mapping_Sheet!$C$2:$C$3143=AK$1,
Master_Mapping_Sheet!$H$2:$H$3143=$A2))/sum(filter(
Master_Mapping_Sheet!$E$2:$E$3143, ISNUMBER(
Master_Mapping_Sh"&amp;"eet!$E$2:$E$3143),
Master_Mapping_Sheet!$H$2:$H$3143=$A2))), 0, sum(filter(
Master_Mapping_Sheet!$E$2:$E$3143, ISNUMBER(
Master_Mapping_Sheet!$E$2:$E$3143),
Master_Mapping_Sheet!$C$2:$C$3143=AK$1,
Master_Mapping_Sheet!$H$2:$H$3143=$A2))/sum(filter(
Master"&amp;"_Mapping_Sheet!$E$2:$E$3143, ISNUMBER(
Master_Mapping_Sheet!$E$2:$E$3143),
Master_Mapping_Sheet!$H$2:$H$3143=$A2)))"),0.0)</f>
        <v>0</v>
      </c>
      <c r="AL2" s="34">
        <f>IFERROR(__xludf.DUMMYFUNCTION("IF(ISNA(sum(filter(
Master_Mapping_Sheet!$E$2:$E$3143, ISNUMBER(
Master_Mapping_Sheet!$E$2:$E$3143),
Master_Mapping_Sheet!$C$2:$C$3143=AL$1,
Master_Mapping_Sheet!$H$2:$H$3143=$A2))/sum(filter(
Master_Mapping_Sheet!$E$2:$E$3143, ISNUMBER(
Master_Mapping_Sh"&amp;"eet!$E$2:$E$3143),
Master_Mapping_Sheet!$H$2:$H$3143=$A2))), 0, sum(filter(
Master_Mapping_Sheet!$E$2:$E$3143, ISNUMBER(
Master_Mapping_Sheet!$E$2:$E$3143),
Master_Mapping_Sheet!$C$2:$C$3143=AL$1,
Master_Mapping_Sheet!$H$2:$H$3143=$A2))/sum(filter(
Master"&amp;"_Mapping_Sheet!$E$2:$E$3143, ISNUMBER(
Master_Mapping_Sheet!$E$2:$E$3143),
Master_Mapping_Sheet!$H$2:$H$3143=$A2)))"),0.0)</f>
        <v>0</v>
      </c>
      <c r="AM2" s="34">
        <f>IFERROR(__xludf.DUMMYFUNCTION("IF(ISNA(sum(filter(
Master_Mapping_Sheet!$E$2:$E$3143, ISNUMBER(
Master_Mapping_Sheet!$E$2:$E$3143),
Master_Mapping_Sheet!$C$2:$C$3143=AM$1,
Master_Mapping_Sheet!$H$2:$H$3143=$A2))/sum(filter(
Master_Mapping_Sheet!$E$2:$E$3143, ISNUMBER(
Master_Mapping_Sh"&amp;"eet!$E$2:$E$3143),
Master_Mapping_Sheet!$H$2:$H$3143=$A2))), 0, sum(filter(
Master_Mapping_Sheet!$E$2:$E$3143, ISNUMBER(
Master_Mapping_Sheet!$E$2:$E$3143),
Master_Mapping_Sheet!$C$2:$C$3143=AM$1,
Master_Mapping_Sheet!$H$2:$H$3143=$A2))/sum(filter(
Master"&amp;"_Mapping_Sheet!$E$2:$E$3143, ISNUMBER(
Master_Mapping_Sheet!$E$2:$E$3143),
Master_Mapping_Sheet!$H$2:$H$3143=$A2)))"),0.0)</f>
        <v>0</v>
      </c>
      <c r="AN2" s="34">
        <f>IFERROR(__xludf.DUMMYFUNCTION("IF(ISNA(sum(filter(
Master_Mapping_Sheet!$E$2:$E$3143, ISNUMBER(
Master_Mapping_Sheet!$E$2:$E$3143),
Master_Mapping_Sheet!$C$2:$C$3143=AN$1,
Master_Mapping_Sheet!$H$2:$H$3143=$A2))/sum(filter(
Master_Mapping_Sheet!$E$2:$E$3143, ISNUMBER(
Master_Mapping_Sh"&amp;"eet!$E$2:$E$3143),
Master_Mapping_Sheet!$H$2:$H$3143=$A2))), 0, sum(filter(
Master_Mapping_Sheet!$E$2:$E$3143, ISNUMBER(
Master_Mapping_Sheet!$E$2:$E$3143),
Master_Mapping_Sheet!$C$2:$C$3143=AN$1,
Master_Mapping_Sheet!$H$2:$H$3143=$A2))/sum(filter(
Master"&amp;"_Mapping_Sheet!$E$2:$E$3143, ISNUMBER(
Master_Mapping_Sheet!$E$2:$E$3143),
Master_Mapping_Sheet!$H$2:$H$3143=$A2)))"),0.0)</f>
        <v>0</v>
      </c>
      <c r="AO2" s="34">
        <f>IFERROR(__xludf.DUMMYFUNCTION("IF(ISNA(sum(filter(
Master_Mapping_Sheet!$E$2:$E$3143, ISNUMBER(
Master_Mapping_Sheet!$E$2:$E$3143),
Master_Mapping_Sheet!$C$2:$C$3143=AO$1,
Master_Mapping_Sheet!$H$2:$H$3143=$A2))/sum(filter(
Master_Mapping_Sheet!$E$2:$E$3143, ISNUMBER(
Master_Mapping_Sh"&amp;"eet!$E$2:$E$3143),
Master_Mapping_Sheet!$H$2:$H$3143=$A2))), 0, sum(filter(
Master_Mapping_Sheet!$E$2:$E$3143, ISNUMBER(
Master_Mapping_Sheet!$E$2:$E$3143),
Master_Mapping_Sheet!$C$2:$C$3143=AO$1,
Master_Mapping_Sheet!$H$2:$H$3143=$A2))/sum(filter(
Master"&amp;"_Mapping_Sheet!$E$2:$E$3143, ISNUMBER(
Master_Mapping_Sheet!$E$2:$E$3143),
Master_Mapping_Sheet!$H$2:$H$3143=$A2)))"),0.0)</f>
        <v>0</v>
      </c>
      <c r="AP2" s="34">
        <f>IFERROR(__xludf.DUMMYFUNCTION("IF(ISNA(sum(filter(
Master_Mapping_Sheet!$E$2:$E$3143, ISNUMBER(
Master_Mapping_Sheet!$E$2:$E$3143),
Master_Mapping_Sheet!$C$2:$C$3143=AP$1,
Master_Mapping_Sheet!$H$2:$H$3143=$A2))/sum(filter(
Master_Mapping_Sheet!$E$2:$E$3143, ISNUMBER(
Master_Mapping_Sh"&amp;"eet!$E$2:$E$3143),
Master_Mapping_Sheet!$H$2:$H$3143=$A2))), 0, sum(filter(
Master_Mapping_Sheet!$E$2:$E$3143, ISNUMBER(
Master_Mapping_Sheet!$E$2:$E$3143),
Master_Mapping_Sheet!$C$2:$C$3143=AP$1,
Master_Mapping_Sheet!$H$2:$H$3143=$A2))/sum(filter(
Master"&amp;"_Mapping_Sheet!$E$2:$E$3143, ISNUMBER(
Master_Mapping_Sheet!$E$2:$E$3143),
Master_Mapping_Sheet!$H$2:$H$3143=$A2)))"),0.0)</f>
        <v>0</v>
      </c>
      <c r="AQ2" s="34">
        <f>IFERROR(__xludf.DUMMYFUNCTION("IF(ISNA(sum(filter(
Master_Mapping_Sheet!$E$2:$E$3143, ISNUMBER(
Master_Mapping_Sheet!$E$2:$E$3143),
Master_Mapping_Sheet!$C$2:$C$3143=AQ$1,
Master_Mapping_Sheet!$H$2:$H$3143=$A2))/sum(filter(
Master_Mapping_Sheet!$E$2:$E$3143, ISNUMBER(
Master_Mapping_Sh"&amp;"eet!$E$2:$E$3143),
Master_Mapping_Sheet!$H$2:$H$3143=$A2))), 0, sum(filter(
Master_Mapping_Sheet!$E$2:$E$3143, ISNUMBER(
Master_Mapping_Sheet!$E$2:$E$3143),
Master_Mapping_Sheet!$C$2:$C$3143=AQ$1,
Master_Mapping_Sheet!$H$2:$H$3143=$A2))/sum(filter(
Master"&amp;"_Mapping_Sheet!$E$2:$E$3143, ISNUMBER(
Master_Mapping_Sheet!$E$2:$E$3143),
Master_Mapping_Sheet!$H$2:$H$3143=$A2)))"),0.0)</f>
        <v>0</v>
      </c>
      <c r="AR2" s="34">
        <f>IFERROR(__xludf.DUMMYFUNCTION("IF(ISNA(sum(filter(
Master_Mapping_Sheet!$E$2:$E$3143, ISNUMBER(
Master_Mapping_Sheet!$E$2:$E$3143),
Master_Mapping_Sheet!$C$2:$C$3143=AR$1,
Master_Mapping_Sheet!$H$2:$H$3143=$A2))/sum(filter(
Master_Mapping_Sheet!$E$2:$E$3143, ISNUMBER(
Master_Mapping_Sh"&amp;"eet!$E$2:$E$3143),
Master_Mapping_Sheet!$H$2:$H$3143=$A2))), 0, sum(filter(
Master_Mapping_Sheet!$E$2:$E$3143, ISNUMBER(
Master_Mapping_Sheet!$E$2:$E$3143),
Master_Mapping_Sheet!$C$2:$C$3143=AR$1,
Master_Mapping_Sheet!$H$2:$H$3143=$A2))/sum(filter(
Master"&amp;"_Mapping_Sheet!$E$2:$E$3143, ISNUMBER(
Master_Mapping_Sheet!$E$2:$E$3143),
Master_Mapping_Sheet!$H$2:$H$3143=$A2)))"),0.0)</f>
        <v>0</v>
      </c>
      <c r="AS2" s="34">
        <f>IFERROR(__xludf.DUMMYFUNCTION("IF(ISNA(sum(filter(
Master_Mapping_Sheet!$E$2:$E$3143, ISNUMBER(
Master_Mapping_Sheet!$E$2:$E$3143),
Master_Mapping_Sheet!$C$2:$C$3143=AS$1,
Master_Mapping_Sheet!$H$2:$H$3143=$A2))/sum(filter(
Master_Mapping_Sheet!$E$2:$E$3143, ISNUMBER(
Master_Mapping_Sh"&amp;"eet!$E$2:$E$3143),
Master_Mapping_Sheet!$H$2:$H$3143=$A2))), 0, sum(filter(
Master_Mapping_Sheet!$E$2:$E$3143, ISNUMBER(
Master_Mapping_Sheet!$E$2:$E$3143),
Master_Mapping_Sheet!$C$2:$C$3143=AS$1,
Master_Mapping_Sheet!$H$2:$H$3143=$A2))/sum(filter(
Master"&amp;"_Mapping_Sheet!$E$2:$E$3143, ISNUMBER(
Master_Mapping_Sheet!$E$2:$E$3143),
Master_Mapping_Sheet!$H$2:$H$3143=$A2)))"),1.0)</f>
        <v>1</v>
      </c>
      <c r="AT2" s="34">
        <f>IFERROR(__xludf.DUMMYFUNCTION("IF(ISNA(sum(filter(
Master_Mapping_Sheet!$E$2:$E$3143, ISNUMBER(
Master_Mapping_Sheet!$E$2:$E$3143),
Master_Mapping_Sheet!$C$2:$C$3143=AT$1,
Master_Mapping_Sheet!$H$2:$H$3143=$A2))/sum(filter(
Master_Mapping_Sheet!$E$2:$E$3143, ISNUMBER(
Master_Mapping_Sh"&amp;"eet!$E$2:$E$3143),
Master_Mapping_Sheet!$H$2:$H$3143=$A2))), 0, sum(filter(
Master_Mapping_Sheet!$E$2:$E$3143, ISNUMBER(
Master_Mapping_Sheet!$E$2:$E$3143),
Master_Mapping_Sheet!$C$2:$C$3143=AT$1,
Master_Mapping_Sheet!$H$2:$H$3143=$A2))/sum(filter(
Master"&amp;"_Mapping_Sheet!$E$2:$E$3143, ISNUMBER(
Master_Mapping_Sheet!$E$2:$E$3143),
Master_Mapping_Sheet!$H$2:$H$3143=$A2)))"),0.0)</f>
        <v>0</v>
      </c>
      <c r="AU2" s="34">
        <f>IFERROR(__xludf.DUMMYFUNCTION("IF(ISNA(sum(filter(
Master_Mapping_Sheet!$E$2:$E$3143, ISNUMBER(
Master_Mapping_Sheet!$E$2:$E$3143),
Master_Mapping_Sheet!$C$2:$C$3143=AU$1,
Master_Mapping_Sheet!$H$2:$H$3143=$A2))/sum(filter(
Master_Mapping_Sheet!$E$2:$E$3143, ISNUMBER(
Master_Mapping_Sh"&amp;"eet!$E$2:$E$3143),
Master_Mapping_Sheet!$H$2:$H$3143=$A2))), 0, sum(filter(
Master_Mapping_Sheet!$E$2:$E$3143, ISNUMBER(
Master_Mapping_Sheet!$E$2:$E$3143),
Master_Mapping_Sheet!$C$2:$C$3143=AU$1,
Master_Mapping_Sheet!$H$2:$H$3143=$A2))/sum(filter(
Master"&amp;"_Mapping_Sheet!$E$2:$E$3143, ISNUMBER(
Master_Mapping_Sheet!$E$2:$E$3143),
Master_Mapping_Sheet!$H$2:$H$3143=$A2)))"),0.0)</f>
        <v>0</v>
      </c>
      <c r="AV2" s="34">
        <f>IFERROR(__xludf.DUMMYFUNCTION("IF(ISNA(sum(filter(
Master_Mapping_Sheet!$E$2:$E$3143, ISNUMBER(
Master_Mapping_Sheet!$E$2:$E$3143),
Master_Mapping_Sheet!$C$2:$C$3143=AV$1,
Master_Mapping_Sheet!$H$2:$H$3143=$A2))/sum(filter(
Master_Mapping_Sheet!$E$2:$E$3143, ISNUMBER(
Master_Mapping_Sh"&amp;"eet!$E$2:$E$3143),
Master_Mapping_Sheet!$H$2:$H$3143=$A2))), 0, sum(filter(
Master_Mapping_Sheet!$E$2:$E$3143, ISNUMBER(
Master_Mapping_Sheet!$E$2:$E$3143),
Master_Mapping_Sheet!$C$2:$C$3143=AV$1,
Master_Mapping_Sheet!$H$2:$H$3143=$A2))/sum(filter(
Master"&amp;"_Mapping_Sheet!$E$2:$E$3143, ISNUMBER(
Master_Mapping_Sheet!$E$2:$E$3143),
Master_Mapping_Sheet!$H$2:$H$3143=$A2)))"),0.0)</f>
        <v>0</v>
      </c>
      <c r="AW2" s="34">
        <f>IFERROR(__xludf.DUMMYFUNCTION("IF(ISNA(sum(filter(
Master_Mapping_Sheet!$E$2:$E$3143, ISNUMBER(
Master_Mapping_Sheet!$E$2:$E$3143),
Master_Mapping_Sheet!$C$2:$C$3143=AW$1,
Master_Mapping_Sheet!$H$2:$H$3143=$A2))/sum(filter(
Master_Mapping_Sheet!$E$2:$E$3143, ISNUMBER(
Master_Mapping_Sh"&amp;"eet!$E$2:$E$3143),
Master_Mapping_Sheet!$H$2:$H$3143=$A2))), 0, sum(filter(
Master_Mapping_Sheet!$E$2:$E$3143, ISNUMBER(
Master_Mapping_Sheet!$E$2:$E$3143),
Master_Mapping_Sheet!$C$2:$C$3143=AW$1,
Master_Mapping_Sheet!$H$2:$H$3143=$A2))/sum(filter(
Master"&amp;"_Mapping_Sheet!$E$2:$E$3143, ISNUMBER(
Master_Mapping_Sheet!$E$2:$E$3143),
Master_Mapping_Sheet!$H$2:$H$3143=$A2)))"),0.0)</f>
        <v>0</v>
      </c>
      <c r="AX2" s="34">
        <f>IFERROR(__xludf.DUMMYFUNCTION("IF(ISNA(sum(filter(
Master_Mapping_Sheet!$E$2:$E$3143, ISNUMBER(
Master_Mapping_Sheet!$E$2:$E$3143),
Master_Mapping_Sheet!$C$2:$C$3143=AX$1,
Master_Mapping_Sheet!$H$2:$H$3143=$A2))/sum(filter(
Master_Mapping_Sheet!$E$2:$E$3143, ISNUMBER(
Master_Mapping_Sh"&amp;"eet!$E$2:$E$3143),
Master_Mapping_Sheet!$H$2:$H$3143=$A2))), 0, sum(filter(
Master_Mapping_Sheet!$E$2:$E$3143, ISNUMBER(
Master_Mapping_Sheet!$E$2:$E$3143),
Master_Mapping_Sheet!$C$2:$C$3143=AX$1,
Master_Mapping_Sheet!$H$2:$H$3143=$A2))/sum(filter(
Master"&amp;"_Mapping_Sheet!$E$2:$E$3143, ISNUMBER(
Master_Mapping_Sheet!$E$2:$E$3143),
Master_Mapping_Sheet!$H$2:$H$3143=$A2)))"),0.0)</f>
        <v>0</v>
      </c>
      <c r="AY2" s="34">
        <f>IFERROR(__xludf.DUMMYFUNCTION("IF(ISNA(sum(filter(
Master_Mapping_Sheet!$E$2:$E$3143, ISNUMBER(
Master_Mapping_Sheet!$E$2:$E$3143),
Master_Mapping_Sheet!$C$2:$C$3143=AY$1,
Master_Mapping_Sheet!$H$2:$H$3143=$A2))/sum(filter(
Master_Mapping_Sheet!$E$2:$E$3143, ISNUMBER(
Master_Mapping_Sh"&amp;"eet!$E$2:$E$3143),
Master_Mapping_Sheet!$H$2:$H$3143=$A2))), 0, sum(filter(
Master_Mapping_Sheet!$E$2:$E$3143, ISNUMBER(
Master_Mapping_Sheet!$E$2:$E$3143),
Master_Mapping_Sheet!$C$2:$C$3143=AY$1,
Master_Mapping_Sheet!$H$2:$H$3143=$A2))/sum(filter(
Master"&amp;"_Mapping_Sheet!$E$2:$E$3143, ISNUMBER(
Master_Mapping_Sheet!$E$2:$E$3143),
Master_Mapping_Sheet!$H$2:$H$3143=$A2)))"),0.0)</f>
        <v>0</v>
      </c>
      <c r="AZ2" s="34">
        <f>IFERROR(__xludf.DUMMYFUNCTION("IF(ISNA(sum(filter(
Master_Mapping_Sheet!$E$2:$E$3143, ISNUMBER(
Master_Mapping_Sheet!$E$2:$E$3143),
Master_Mapping_Sheet!$C$2:$C$3143=AZ$1,
Master_Mapping_Sheet!$H$2:$H$3143=$A2))/sum(filter(
Master_Mapping_Sheet!$E$2:$E$3143, ISNUMBER(
Master_Mapping_Sh"&amp;"eet!$E$2:$E$3143),
Master_Mapping_Sheet!$H$2:$H$3143=$A2))), 0, sum(filter(
Master_Mapping_Sheet!$E$2:$E$3143, ISNUMBER(
Master_Mapping_Sheet!$E$2:$E$3143),
Master_Mapping_Sheet!$C$2:$C$3143=AZ$1,
Master_Mapping_Sheet!$H$2:$H$3143=$A2))/sum(filter(
Master"&amp;"_Mapping_Sheet!$E$2:$E$3143, ISNUMBER(
Master_Mapping_Sheet!$E$2:$E$3143),
Master_Mapping_Sheet!$H$2:$H$3143=$A2)))"),0.0)</f>
        <v>0</v>
      </c>
    </row>
    <row r="3" ht="15.75" customHeight="1">
      <c r="A3" s="34" t="s">
        <v>3989</v>
      </c>
      <c r="B3" s="34">
        <f>IFERROR(__xludf.DUMMYFUNCTION("IF(ISNA(sum(filter(
Master_Mapping_Sheet!$E$2:$E$3143, ISNUMBER(
Master_Mapping_Sheet!$E$2:$E$3143),
Master_Mapping_Sheet!$C$2:$C$3143=B$1,
Master_Mapping_Sheet!$H$2:$H$3143=$A3))/sum(filter(
Master_Mapping_Sheet!$E$2:$E$3143, ISNUMBER(
Master_Mapping_She"&amp;"et!$E$2:$E$3143),
Master_Mapping_Sheet!$H$2:$H$3143=$A3))), 0, sum(filter(
Master_Mapping_Sheet!$E$2:$E$3143, ISNUMBER(
Master_Mapping_Sheet!$E$2:$E$3143),
Master_Mapping_Sheet!$C$2:$C$3143=B$1,
Master_Mapping_Sheet!$H$2:$H$3143=$A3))/sum(filter(
Master_M"&amp;"apping_Sheet!$E$2:$E$3143, ISNUMBER(
Master_Mapping_Sheet!$E$2:$E$3143),
Master_Mapping_Sheet!$H$2:$H$3143=$A3)))"),0.0)</f>
        <v>0</v>
      </c>
      <c r="C3" s="34">
        <f>IFERROR(__xludf.DUMMYFUNCTION("IF(ISNA(sum(filter(
Master_Mapping_Sheet!$E$2:$E$3143, ISNUMBER(
Master_Mapping_Sheet!$E$2:$E$3143),
Master_Mapping_Sheet!$C$2:$C$3143=C$1,
Master_Mapping_Sheet!$H$2:$H$3143=$A3))/sum(filter(
Master_Mapping_Sheet!$E$2:$E$3143, ISNUMBER(
Master_Mapping_She"&amp;"et!$E$2:$E$3143),
Master_Mapping_Sheet!$H$2:$H$3143=$A3))), 0, sum(filter(
Master_Mapping_Sheet!$E$2:$E$3143, ISNUMBER(
Master_Mapping_Sheet!$E$2:$E$3143),
Master_Mapping_Sheet!$C$2:$C$3143=C$1,
Master_Mapping_Sheet!$H$2:$H$3143=$A3))/sum(filter(
Master_M"&amp;"apping_Sheet!$E$2:$E$3143, ISNUMBER(
Master_Mapping_Sheet!$E$2:$E$3143),
Master_Mapping_Sheet!$H$2:$H$3143=$A3)))"),0.0)</f>
        <v>0</v>
      </c>
      <c r="D3" s="34">
        <f>IFERROR(__xludf.DUMMYFUNCTION("IF(ISNA(sum(filter(
Master_Mapping_Sheet!$E$2:$E$3143, ISNUMBER(
Master_Mapping_Sheet!$E$2:$E$3143),
Master_Mapping_Sheet!$C$2:$C$3143=D$1,
Master_Mapping_Sheet!$H$2:$H$3143=$A3))/sum(filter(
Master_Mapping_Sheet!$E$2:$E$3143, ISNUMBER(
Master_Mapping_She"&amp;"et!$E$2:$E$3143),
Master_Mapping_Sheet!$H$2:$H$3143=$A3))), 0, sum(filter(
Master_Mapping_Sheet!$E$2:$E$3143, ISNUMBER(
Master_Mapping_Sheet!$E$2:$E$3143),
Master_Mapping_Sheet!$C$2:$C$3143=D$1,
Master_Mapping_Sheet!$H$2:$H$3143=$A3))/sum(filter(
Master_M"&amp;"apping_Sheet!$E$2:$E$3143, ISNUMBER(
Master_Mapping_Sheet!$E$2:$E$3143),
Master_Mapping_Sheet!$H$2:$H$3143=$A3)))"),0.0)</f>
        <v>0</v>
      </c>
      <c r="E3" s="34">
        <f>IFERROR(__xludf.DUMMYFUNCTION("IF(ISNA(sum(filter(
Master_Mapping_Sheet!$E$2:$E$3143, ISNUMBER(
Master_Mapping_Sheet!$E$2:$E$3143),
Master_Mapping_Sheet!$C$2:$C$3143=E$1,
Master_Mapping_Sheet!$H$2:$H$3143=$A3))/sum(filter(
Master_Mapping_Sheet!$E$2:$E$3143, ISNUMBER(
Master_Mapping_She"&amp;"et!$E$2:$E$3143),
Master_Mapping_Sheet!$H$2:$H$3143=$A3))), 0, sum(filter(
Master_Mapping_Sheet!$E$2:$E$3143, ISNUMBER(
Master_Mapping_Sheet!$E$2:$E$3143),
Master_Mapping_Sheet!$C$2:$C$3143=E$1,
Master_Mapping_Sheet!$H$2:$H$3143=$A3))/sum(filter(
Master_M"&amp;"apping_Sheet!$E$2:$E$3143, ISNUMBER(
Master_Mapping_Sheet!$E$2:$E$3143),
Master_Mapping_Sheet!$H$2:$H$3143=$A3)))"),0.0)</f>
        <v>0</v>
      </c>
      <c r="F3" s="34">
        <f>IFERROR(__xludf.DUMMYFUNCTION("IF(ISNA(sum(filter(
Master_Mapping_Sheet!$E$2:$E$3143, ISNUMBER(
Master_Mapping_Sheet!$E$2:$E$3143),
Master_Mapping_Sheet!$C$2:$C$3143=F$1,
Master_Mapping_Sheet!$H$2:$H$3143=$A3))/sum(filter(
Master_Mapping_Sheet!$E$2:$E$3143, ISNUMBER(
Master_Mapping_She"&amp;"et!$E$2:$E$3143),
Master_Mapping_Sheet!$H$2:$H$3143=$A3))), 0, sum(filter(
Master_Mapping_Sheet!$E$2:$E$3143, ISNUMBER(
Master_Mapping_Sheet!$E$2:$E$3143),
Master_Mapping_Sheet!$C$2:$C$3143=F$1,
Master_Mapping_Sheet!$H$2:$H$3143=$A3))/sum(filter(
Master_M"&amp;"apping_Sheet!$E$2:$E$3143, ISNUMBER(
Master_Mapping_Sheet!$E$2:$E$3143),
Master_Mapping_Sheet!$H$2:$H$3143=$A3)))"),0.0)</f>
        <v>0</v>
      </c>
      <c r="G3" s="34">
        <f>IFERROR(__xludf.DUMMYFUNCTION("IF(ISNA(sum(filter(
Master_Mapping_Sheet!$E$2:$E$3143, ISNUMBER(
Master_Mapping_Sheet!$E$2:$E$3143),
Master_Mapping_Sheet!$C$2:$C$3143=G$1,
Master_Mapping_Sheet!$H$2:$H$3143=$A3))/sum(filter(
Master_Mapping_Sheet!$E$2:$E$3143, ISNUMBER(
Master_Mapping_She"&amp;"et!$E$2:$E$3143),
Master_Mapping_Sheet!$H$2:$H$3143=$A3))), 0, sum(filter(
Master_Mapping_Sheet!$E$2:$E$3143, ISNUMBER(
Master_Mapping_Sheet!$E$2:$E$3143),
Master_Mapping_Sheet!$C$2:$C$3143=G$1,
Master_Mapping_Sheet!$H$2:$H$3143=$A3))/sum(filter(
Master_M"&amp;"apping_Sheet!$E$2:$E$3143, ISNUMBER(
Master_Mapping_Sheet!$E$2:$E$3143),
Master_Mapping_Sheet!$H$2:$H$3143=$A3)))"),0.0)</f>
        <v>0</v>
      </c>
      <c r="H3" s="34">
        <f>IFERROR(__xludf.DUMMYFUNCTION("IF(ISNA(sum(filter(
Master_Mapping_Sheet!$E$2:$E$3143, ISNUMBER(
Master_Mapping_Sheet!$E$2:$E$3143),
Master_Mapping_Sheet!$C$2:$C$3143=H$1,
Master_Mapping_Sheet!$H$2:$H$3143=$A3))/sum(filter(
Master_Mapping_Sheet!$E$2:$E$3143, ISNUMBER(
Master_Mapping_She"&amp;"et!$E$2:$E$3143),
Master_Mapping_Sheet!$H$2:$H$3143=$A3))), 0, sum(filter(
Master_Mapping_Sheet!$E$2:$E$3143, ISNUMBER(
Master_Mapping_Sheet!$E$2:$E$3143),
Master_Mapping_Sheet!$C$2:$C$3143=H$1,
Master_Mapping_Sheet!$H$2:$H$3143=$A3))/sum(filter(
Master_M"&amp;"apping_Sheet!$E$2:$E$3143, ISNUMBER(
Master_Mapping_Sheet!$E$2:$E$3143),
Master_Mapping_Sheet!$H$2:$H$3143=$A3)))"),0.0)</f>
        <v>0</v>
      </c>
      <c r="I3" s="34">
        <f>IFERROR(__xludf.DUMMYFUNCTION("IF(ISNA(sum(filter(
Master_Mapping_Sheet!$E$2:$E$3143, ISNUMBER(
Master_Mapping_Sheet!$E$2:$E$3143),
Master_Mapping_Sheet!$C$2:$C$3143=I$1,
Master_Mapping_Sheet!$H$2:$H$3143=$A3))/sum(filter(
Master_Mapping_Sheet!$E$2:$E$3143, ISNUMBER(
Master_Mapping_She"&amp;"et!$E$2:$E$3143),
Master_Mapping_Sheet!$H$2:$H$3143=$A3))), 0, sum(filter(
Master_Mapping_Sheet!$E$2:$E$3143, ISNUMBER(
Master_Mapping_Sheet!$E$2:$E$3143),
Master_Mapping_Sheet!$C$2:$C$3143=I$1,
Master_Mapping_Sheet!$H$2:$H$3143=$A3))/sum(filter(
Master_M"&amp;"apping_Sheet!$E$2:$E$3143, ISNUMBER(
Master_Mapping_Sheet!$E$2:$E$3143),
Master_Mapping_Sheet!$H$2:$H$3143=$A3)))"),0.0)</f>
        <v>0</v>
      </c>
      <c r="J3" s="34">
        <f>IFERROR(__xludf.DUMMYFUNCTION("IF(ISNA(sum(filter(
Master_Mapping_Sheet!$E$2:$E$3143, ISNUMBER(
Master_Mapping_Sheet!$E$2:$E$3143),
Master_Mapping_Sheet!$C$2:$C$3143=J$1,
Master_Mapping_Sheet!$H$2:$H$3143=$A3))/sum(filter(
Master_Mapping_Sheet!$E$2:$E$3143, ISNUMBER(
Master_Mapping_She"&amp;"et!$E$2:$E$3143),
Master_Mapping_Sheet!$H$2:$H$3143=$A3))), 0, sum(filter(
Master_Mapping_Sheet!$E$2:$E$3143, ISNUMBER(
Master_Mapping_Sheet!$E$2:$E$3143),
Master_Mapping_Sheet!$C$2:$C$3143=J$1,
Master_Mapping_Sheet!$H$2:$H$3143=$A3))/sum(filter(
Master_M"&amp;"apping_Sheet!$E$2:$E$3143, ISNUMBER(
Master_Mapping_Sheet!$E$2:$E$3143),
Master_Mapping_Sheet!$H$2:$H$3143=$A3)))"),0.0)</f>
        <v>0</v>
      </c>
      <c r="K3" s="34">
        <f>IFERROR(__xludf.DUMMYFUNCTION("IF(ISNA(sum(filter(
Master_Mapping_Sheet!$E$2:$E$3143, ISNUMBER(
Master_Mapping_Sheet!$E$2:$E$3143),
Master_Mapping_Sheet!$C$2:$C$3143=K$1,
Master_Mapping_Sheet!$H$2:$H$3143=$A3))/sum(filter(
Master_Mapping_Sheet!$E$2:$E$3143, ISNUMBER(
Master_Mapping_She"&amp;"et!$E$2:$E$3143),
Master_Mapping_Sheet!$H$2:$H$3143=$A3))), 0, sum(filter(
Master_Mapping_Sheet!$E$2:$E$3143, ISNUMBER(
Master_Mapping_Sheet!$E$2:$E$3143),
Master_Mapping_Sheet!$C$2:$C$3143=K$1,
Master_Mapping_Sheet!$H$2:$H$3143=$A3))/sum(filter(
Master_M"&amp;"apping_Sheet!$E$2:$E$3143, ISNUMBER(
Master_Mapping_Sheet!$E$2:$E$3143),
Master_Mapping_Sheet!$H$2:$H$3143=$A3)))"),1.0)</f>
        <v>1</v>
      </c>
      <c r="L3" s="34">
        <f>IFERROR(__xludf.DUMMYFUNCTION("IF(ISNA(sum(filter(
Master_Mapping_Sheet!$E$2:$E$3143, ISNUMBER(
Master_Mapping_Sheet!$E$2:$E$3143),
Master_Mapping_Sheet!$C$2:$C$3143=L$1,
Master_Mapping_Sheet!$H$2:$H$3143=$A3))/sum(filter(
Master_Mapping_Sheet!$E$2:$E$3143, ISNUMBER(
Master_Mapping_She"&amp;"et!$E$2:$E$3143),
Master_Mapping_Sheet!$H$2:$H$3143=$A3))), 0, sum(filter(
Master_Mapping_Sheet!$E$2:$E$3143, ISNUMBER(
Master_Mapping_Sheet!$E$2:$E$3143),
Master_Mapping_Sheet!$C$2:$C$3143=L$1,
Master_Mapping_Sheet!$H$2:$H$3143=$A3))/sum(filter(
Master_M"&amp;"apping_Sheet!$E$2:$E$3143, ISNUMBER(
Master_Mapping_Sheet!$E$2:$E$3143),
Master_Mapping_Sheet!$H$2:$H$3143=$A3)))"),0.0)</f>
        <v>0</v>
      </c>
      <c r="M3" s="34">
        <f>IFERROR(__xludf.DUMMYFUNCTION("IF(ISNA(sum(filter(
Master_Mapping_Sheet!$E$2:$E$3143, ISNUMBER(
Master_Mapping_Sheet!$E$2:$E$3143),
Master_Mapping_Sheet!$C$2:$C$3143=M$1,
Master_Mapping_Sheet!$H$2:$H$3143=$A3))/sum(filter(
Master_Mapping_Sheet!$E$2:$E$3143, ISNUMBER(
Master_Mapping_She"&amp;"et!$E$2:$E$3143),
Master_Mapping_Sheet!$H$2:$H$3143=$A3))), 0, sum(filter(
Master_Mapping_Sheet!$E$2:$E$3143, ISNUMBER(
Master_Mapping_Sheet!$E$2:$E$3143),
Master_Mapping_Sheet!$C$2:$C$3143=M$1,
Master_Mapping_Sheet!$H$2:$H$3143=$A3))/sum(filter(
Master_M"&amp;"apping_Sheet!$E$2:$E$3143, ISNUMBER(
Master_Mapping_Sheet!$E$2:$E$3143),
Master_Mapping_Sheet!$H$2:$H$3143=$A3)))"),0.0)</f>
        <v>0</v>
      </c>
      <c r="N3" s="34">
        <f>IFERROR(__xludf.DUMMYFUNCTION("IF(ISNA(sum(filter(
Master_Mapping_Sheet!$E$2:$E$3143, ISNUMBER(
Master_Mapping_Sheet!$E$2:$E$3143),
Master_Mapping_Sheet!$C$2:$C$3143=N$1,
Master_Mapping_Sheet!$H$2:$H$3143=$A3))/sum(filter(
Master_Mapping_Sheet!$E$2:$E$3143, ISNUMBER(
Master_Mapping_She"&amp;"et!$E$2:$E$3143),
Master_Mapping_Sheet!$H$2:$H$3143=$A3))), 0, sum(filter(
Master_Mapping_Sheet!$E$2:$E$3143, ISNUMBER(
Master_Mapping_Sheet!$E$2:$E$3143),
Master_Mapping_Sheet!$C$2:$C$3143=N$1,
Master_Mapping_Sheet!$H$2:$H$3143=$A3))/sum(filter(
Master_M"&amp;"apping_Sheet!$E$2:$E$3143, ISNUMBER(
Master_Mapping_Sheet!$E$2:$E$3143),
Master_Mapping_Sheet!$H$2:$H$3143=$A3)))"),0.0)</f>
        <v>0</v>
      </c>
      <c r="O3" s="34">
        <f>IFERROR(__xludf.DUMMYFUNCTION("IF(ISNA(sum(filter(
Master_Mapping_Sheet!$E$2:$E$3143, ISNUMBER(
Master_Mapping_Sheet!$E$2:$E$3143),
Master_Mapping_Sheet!$C$2:$C$3143=O$1,
Master_Mapping_Sheet!$H$2:$H$3143=$A3))/sum(filter(
Master_Mapping_Sheet!$E$2:$E$3143, ISNUMBER(
Master_Mapping_She"&amp;"et!$E$2:$E$3143),
Master_Mapping_Sheet!$H$2:$H$3143=$A3))), 0, sum(filter(
Master_Mapping_Sheet!$E$2:$E$3143, ISNUMBER(
Master_Mapping_Sheet!$E$2:$E$3143),
Master_Mapping_Sheet!$C$2:$C$3143=O$1,
Master_Mapping_Sheet!$H$2:$H$3143=$A3))/sum(filter(
Master_M"&amp;"apping_Sheet!$E$2:$E$3143, ISNUMBER(
Master_Mapping_Sheet!$E$2:$E$3143),
Master_Mapping_Sheet!$H$2:$H$3143=$A3)))"),0.0)</f>
        <v>0</v>
      </c>
      <c r="P3" s="34">
        <f>IFERROR(__xludf.DUMMYFUNCTION("IF(ISNA(sum(filter(
Master_Mapping_Sheet!$E$2:$E$3143, ISNUMBER(
Master_Mapping_Sheet!$E$2:$E$3143),
Master_Mapping_Sheet!$C$2:$C$3143=P$1,
Master_Mapping_Sheet!$H$2:$H$3143=$A3))/sum(filter(
Master_Mapping_Sheet!$E$2:$E$3143, ISNUMBER(
Master_Mapping_She"&amp;"et!$E$2:$E$3143),
Master_Mapping_Sheet!$H$2:$H$3143=$A3))), 0, sum(filter(
Master_Mapping_Sheet!$E$2:$E$3143, ISNUMBER(
Master_Mapping_Sheet!$E$2:$E$3143),
Master_Mapping_Sheet!$C$2:$C$3143=P$1,
Master_Mapping_Sheet!$H$2:$H$3143=$A3))/sum(filter(
Master_M"&amp;"apping_Sheet!$E$2:$E$3143, ISNUMBER(
Master_Mapping_Sheet!$E$2:$E$3143),
Master_Mapping_Sheet!$H$2:$H$3143=$A3)))"),0.0)</f>
        <v>0</v>
      </c>
      <c r="Q3" s="34">
        <f>IFERROR(__xludf.DUMMYFUNCTION("IF(ISNA(sum(filter(
Master_Mapping_Sheet!$E$2:$E$3143, ISNUMBER(
Master_Mapping_Sheet!$E$2:$E$3143),
Master_Mapping_Sheet!$C$2:$C$3143=Q$1,
Master_Mapping_Sheet!$H$2:$H$3143=$A3))/sum(filter(
Master_Mapping_Sheet!$E$2:$E$3143, ISNUMBER(
Master_Mapping_She"&amp;"et!$E$2:$E$3143),
Master_Mapping_Sheet!$H$2:$H$3143=$A3))), 0, sum(filter(
Master_Mapping_Sheet!$E$2:$E$3143, ISNUMBER(
Master_Mapping_Sheet!$E$2:$E$3143),
Master_Mapping_Sheet!$C$2:$C$3143=Q$1,
Master_Mapping_Sheet!$H$2:$H$3143=$A3))/sum(filter(
Master_M"&amp;"apping_Sheet!$E$2:$E$3143, ISNUMBER(
Master_Mapping_Sheet!$E$2:$E$3143),
Master_Mapping_Sheet!$H$2:$H$3143=$A3)))"),0.0)</f>
        <v>0</v>
      </c>
      <c r="R3" s="34">
        <f>IFERROR(__xludf.DUMMYFUNCTION("IF(ISNA(sum(filter(
Master_Mapping_Sheet!$E$2:$E$3143, ISNUMBER(
Master_Mapping_Sheet!$E$2:$E$3143),
Master_Mapping_Sheet!$C$2:$C$3143=R$1,
Master_Mapping_Sheet!$H$2:$H$3143=$A3))/sum(filter(
Master_Mapping_Sheet!$E$2:$E$3143, ISNUMBER(
Master_Mapping_She"&amp;"et!$E$2:$E$3143),
Master_Mapping_Sheet!$H$2:$H$3143=$A3))), 0, sum(filter(
Master_Mapping_Sheet!$E$2:$E$3143, ISNUMBER(
Master_Mapping_Sheet!$E$2:$E$3143),
Master_Mapping_Sheet!$C$2:$C$3143=R$1,
Master_Mapping_Sheet!$H$2:$H$3143=$A3))/sum(filter(
Master_M"&amp;"apping_Sheet!$E$2:$E$3143, ISNUMBER(
Master_Mapping_Sheet!$E$2:$E$3143),
Master_Mapping_Sheet!$H$2:$H$3143=$A3)))"),0.0)</f>
        <v>0</v>
      </c>
      <c r="S3" s="34">
        <f>IFERROR(__xludf.DUMMYFUNCTION("IF(ISNA(sum(filter(
Master_Mapping_Sheet!$E$2:$E$3143, ISNUMBER(
Master_Mapping_Sheet!$E$2:$E$3143),
Master_Mapping_Sheet!$C$2:$C$3143=S$1,
Master_Mapping_Sheet!$H$2:$H$3143=$A3))/sum(filter(
Master_Mapping_Sheet!$E$2:$E$3143, ISNUMBER(
Master_Mapping_She"&amp;"et!$E$2:$E$3143),
Master_Mapping_Sheet!$H$2:$H$3143=$A3))), 0, sum(filter(
Master_Mapping_Sheet!$E$2:$E$3143, ISNUMBER(
Master_Mapping_Sheet!$E$2:$E$3143),
Master_Mapping_Sheet!$C$2:$C$3143=S$1,
Master_Mapping_Sheet!$H$2:$H$3143=$A3))/sum(filter(
Master_M"&amp;"apping_Sheet!$E$2:$E$3143, ISNUMBER(
Master_Mapping_Sheet!$E$2:$E$3143),
Master_Mapping_Sheet!$H$2:$H$3143=$A3)))"),0.0)</f>
        <v>0</v>
      </c>
      <c r="T3" s="34">
        <f>IFERROR(__xludf.DUMMYFUNCTION("IF(ISNA(sum(filter(
Master_Mapping_Sheet!$E$2:$E$3143, ISNUMBER(
Master_Mapping_Sheet!$E$2:$E$3143),
Master_Mapping_Sheet!$C$2:$C$3143=T$1,
Master_Mapping_Sheet!$H$2:$H$3143=$A3))/sum(filter(
Master_Mapping_Sheet!$E$2:$E$3143, ISNUMBER(
Master_Mapping_She"&amp;"et!$E$2:$E$3143),
Master_Mapping_Sheet!$H$2:$H$3143=$A3))), 0, sum(filter(
Master_Mapping_Sheet!$E$2:$E$3143, ISNUMBER(
Master_Mapping_Sheet!$E$2:$E$3143),
Master_Mapping_Sheet!$C$2:$C$3143=T$1,
Master_Mapping_Sheet!$H$2:$H$3143=$A3))/sum(filter(
Master_M"&amp;"apping_Sheet!$E$2:$E$3143, ISNUMBER(
Master_Mapping_Sheet!$E$2:$E$3143),
Master_Mapping_Sheet!$H$2:$H$3143=$A3)))"),0.0)</f>
        <v>0</v>
      </c>
      <c r="U3" s="34">
        <f>IFERROR(__xludf.DUMMYFUNCTION("IF(ISNA(sum(filter(
Master_Mapping_Sheet!$E$2:$E$3143, ISNUMBER(
Master_Mapping_Sheet!$E$2:$E$3143),
Master_Mapping_Sheet!$C$2:$C$3143=U$1,
Master_Mapping_Sheet!$H$2:$H$3143=$A3))/sum(filter(
Master_Mapping_Sheet!$E$2:$E$3143, ISNUMBER(
Master_Mapping_She"&amp;"et!$E$2:$E$3143),
Master_Mapping_Sheet!$H$2:$H$3143=$A3))), 0, sum(filter(
Master_Mapping_Sheet!$E$2:$E$3143, ISNUMBER(
Master_Mapping_Sheet!$E$2:$E$3143),
Master_Mapping_Sheet!$C$2:$C$3143=U$1,
Master_Mapping_Sheet!$H$2:$H$3143=$A3))/sum(filter(
Master_M"&amp;"apping_Sheet!$E$2:$E$3143, ISNUMBER(
Master_Mapping_Sheet!$E$2:$E$3143),
Master_Mapping_Sheet!$H$2:$H$3143=$A3)))"),0.0)</f>
        <v>0</v>
      </c>
      <c r="V3" s="34">
        <f>IFERROR(__xludf.DUMMYFUNCTION("IF(ISNA(sum(filter(
Master_Mapping_Sheet!$E$2:$E$3143, ISNUMBER(
Master_Mapping_Sheet!$E$2:$E$3143),
Master_Mapping_Sheet!$C$2:$C$3143=V$1,
Master_Mapping_Sheet!$H$2:$H$3143=$A3))/sum(filter(
Master_Mapping_Sheet!$E$2:$E$3143, ISNUMBER(
Master_Mapping_She"&amp;"et!$E$2:$E$3143),
Master_Mapping_Sheet!$H$2:$H$3143=$A3))), 0, sum(filter(
Master_Mapping_Sheet!$E$2:$E$3143, ISNUMBER(
Master_Mapping_Sheet!$E$2:$E$3143),
Master_Mapping_Sheet!$C$2:$C$3143=V$1,
Master_Mapping_Sheet!$H$2:$H$3143=$A3))/sum(filter(
Master_M"&amp;"apping_Sheet!$E$2:$E$3143, ISNUMBER(
Master_Mapping_Sheet!$E$2:$E$3143),
Master_Mapping_Sheet!$H$2:$H$3143=$A3)))"),0.0)</f>
        <v>0</v>
      </c>
      <c r="W3" s="34">
        <f>IFERROR(__xludf.DUMMYFUNCTION("IF(ISNA(sum(filter(
Master_Mapping_Sheet!$E$2:$E$3143, ISNUMBER(
Master_Mapping_Sheet!$E$2:$E$3143),
Master_Mapping_Sheet!$C$2:$C$3143=W$1,
Master_Mapping_Sheet!$H$2:$H$3143=$A3))/sum(filter(
Master_Mapping_Sheet!$E$2:$E$3143, ISNUMBER(
Master_Mapping_She"&amp;"et!$E$2:$E$3143),
Master_Mapping_Sheet!$H$2:$H$3143=$A3))), 0, sum(filter(
Master_Mapping_Sheet!$E$2:$E$3143, ISNUMBER(
Master_Mapping_Sheet!$E$2:$E$3143),
Master_Mapping_Sheet!$C$2:$C$3143=W$1,
Master_Mapping_Sheet!$H$2:$H$3143=$A3))/sum(filter(
Master_M"&amp;"apping_Sheet!$E$2:$E$3143, ISNUMBER(
Master_Mapping_Sheet!$E$2:$E$3143),
Master_Mapping_Sheet!$H$2:$H$3143=$A3)))"),0.0)</f>
        <v>0</v>
      </c>
      <c r="X3" s="34">
        <f>IFERROR(__xludf.DUMMYFUNCTION("IF(ISNA(sum(filter(
Master_Mapping_Sheet!$E$2:$E$3143, ISNUMBER(
Master_Mapping_Sheet!$E$2:$E$3143),
Master_Mapping_Sheet!$C$2:$C$3143=X$1,
Master_Mapping_Sheet!$H$2:$H$3143=$A3))/sum(filter(
Master_Mapping_Sheet!$E$2:$E$3143, ISNUMBER(
Master_Mapping_She"&amp;"et!$E$2:$E$3143),
Master_Mapping_Sheet!$H$2:$H$3143=$A3))), 0, sum(filter(
Master_Mapping_Sheet!$E$2:$E$3143, ISNUMBER(
Master_Mapping_Sheet!$E$2:$E$3143),
Master_Mapping_Sheet!$C$2:$C$3143=X$1,
Master_Mapping_Sheet!$H$2:$H$3143=$A3))/sum(filter(
Master_M"&amp;"apping_Sheet!$E$2:$E$3143, ISNUMBER(
Master_Mapping_Sheet!$E$2:$E$3143),
Master_Mapping_Sheet!$H$2:$H$3143=$A3)))"),0.0)</f>
        <v>0</v>
      </c>
      <c r="Y3" s="34">
        <f>IFERROR(__xludf.DUMMYFUNCTION("IF(ISNA(sum(filter(
Master_Mapping_Sheet!$E$2:$E$3143, ISNUMBER(
Master_Mapping_Sheet!$E$2:$E$3143),
Master_Mapping_Sheet!$C$2:$C$3143=Y$1,
Master_Mapping_Sheet!$H$2:$H$3143=$A3))/sum(filter(
Master_Mapping_Sheet!$E$2:$E$3143, ISNUMBER(
Master_Mapping_She"&amp;"et!$E$2:$E$3143),
Master_Mapping_Sheet!$H$2:$H$3143=$A3))), 0, sum(filter(
Master_Mapping_Sheet!$E$2:$E$3143, ISNUMBER(
Master_Mapping_Sheet!$E$2:$E$3143),
Master_Mapping_Sheet!$C$2:$C$3143=Y$1,
Master_Mapping_Sheet!$H$2:$H$3143=$A3))/sum(filter(
Master_M"&amp;"apping_Sheet!$E$2:$E$3143, ISNUMBER(
Master_Mapping_Sheet!$E$2:$E$3143),
Master_Mapping_Sheet!$H$2:$H$3143=$A3)))"),0.0)</f>
        <v>0</v>
      </c>
      <c r="Z3" s="34">
        <f>IFERROR(__xludf.DUMMYFUNCTION("IF(ISNA(sum(filter(
Master_Mapping_Sheet!$E$2:$E$3143, ISNUMBER(
Master_Mapping_Sheet!$E$2:$E$3143),
Master_Mapping_Sheet!$C$2:$C$3143=Z$1,
Master_Mapping_Sheet!$H$2:$H$3143=$A3))/sum(filter(
Master_Mapping_Sheet!$E$2:$E$3143, ISNUMBER(
Master_Mapping_She"&amp;"et!$E$2:$E$3143),
Master_Mapping_Sheet!$H$2:$H$3143=$A3))), 0, sum(filter(
Master_Mapping_Sheet!$E$2:$E$3143, ISNUMBER(
Master_Mapping_Sheet!$E$2:$E$3143),
Master_Mapping_Sheet!$C$2:$C$3143=Z$1,
Master_Mapping_Sheet!$H$2:$H$3143=$A3))/sum(filter(
Master_M"&amp;"apping_Sheet!$E$2:$E$3143, ISNUMBER(
Master_Mapping_Sheet!$E$2:$E$3143),
Master_Mapping_Sheet!$H$2:$H$3143=$A3)))"),0.0)</f>
        <v>0</v>
      </c>
      <c r="AA3" s="34">
        <f>IFERROR(__xludf.DUMMYFUNCTION("IF(ISNA(sum(filter(
Master_Mapping_Sheet!$E$2:$E$3143, ISNUMBER(
Master_Mapping_Sheet!$E$2:$E$3143),
Master_Mapping_Sheet!$C$2:$C$3143=AA$1,
Master_Mapping_Sheet!$H$2:$H$3143=$A3))/sum(filter(
Master_Mapping_Sheet!$E$2:$E$3143, ISNUMBER(
Master_Mapping_Sh"&amp;"eet!$E$2:$E$3143),
Master_Mapping_Sheet!$H$2:$H$3143=$A3))), 0, sum(filter(
Master_Mapping_Sheet!$E$2:$E$3143, ISNUMBER(
Master_Mapping_Sheet!$E$2:$E$3143),
Master_Mapping_Sheet!$C$2:$C$3143=AA$1,
Master_Mapping_Sheet!$H$2:$H$3143=$A3))/sum(filter(
Master"&amp;"_Mapping_Sheet!$E$2:$E$3143, ISNUMBER(
Master_Mapping_Sheet!$E$2:$E$3143),
Master_Mapping_Sheet!$H$2:$H$3143=$A3)))"),0.0)</f>
        <v>0</v>
      </c>
      <c r="AB3" s="34">
        <f>IFERROR(__xludf.DUMMYFUNCTION("IF(ISNA(sum(filter(
Master_Mapping_Sheet!$E$2:$E$3143, ISNUMBER(
Master_Mapping_Sheet!$E$2:$E$3143),
Master_Mapping_Sheet!$C$2:$C$3143=AB$1,
Master_Mapping_Sheet!$H$2:$H$3143=$A3))/sum(filter(
Master_Mapping_Sheet!$E$2:$E$3143, ISNUMBER(
Master_Mapping_Sh"&amp;"eet!$E$2:$E$3143),
Master_Mapping_Sheet!$H$2:$H$3143=$A3))), 0, sum(filter(
Master_Mapping_Sheet!$E$2:$E$3143, ISNUMBER(
Master_Mapping_Sheet!$E$2:$E$3143),
Master_Mapping_Sheet!$C$2:$C$3143=AB$1,
Master_Mapping_Sheet!$H$2:$H$3143=$A3))/sum(filter(
Master"&amp;"_Mapping_Sheet!$E$2:$E$3143, ISNUMBER(
Master_Mapping_Sheet!$E$2:$E$3143),
Master_Mapping_Sheet!$H$2:$H$3143=$A3)))"),0.0)</f>
        <v>0</v>
      </c>
      <c r="AC3" s="34">
        <f>IFERROR(__xludf.DUMMYFUNCTION("IF(ISNA(sum(filter(
Master_Mapping_Sheet!$E$2:$E$3143, ISNUMBER(
Master_Mapping_Sheet!$E$2:$E$3143),
Master_Mapping_Sheet!$C$2:$C$3143=AC$1,
Master_Mapping_Sheet!$H$2:$H$3143=$A3))/sum(filter(
Master_Mapping_Sheet!$E$2:$E$3143, ISNUMBER(
Master_Mapping_Sh"&amp;"eet!$E$2:$E$3143),
Master_Mapping_Sheet!$H$2:$H$3143=$A3))), 0, sum(filter(
Master_Mapping_Sheet!$E$2:$E$3143, ISNUMBER(
Master_Mapping_Sheet!$E$2:$E$3143),
Master_Mapping_Sheet!$C$2:$C$3143=AC$1,
Master_Mapping_Sheet!$H$2:$H$3143=$A3))/sum(filter(
Master"&amp;"_Mapping_Sheet!$E$2:$E$3143, ISNUMBER(
Master_Mapping_Sheet!$E$2:$E$3143),
Master_Mapping_Sheet!$H$2:$H$3143=$A3)))"),0.0)</f>
        <v>0</v>
      </c>
      <c r="AD3" s="34">
        <f>IFERROR(__xludf.DUMMYFUNCTION("IF(ISNA(sum(filter(
Master_Mapping_Sheet!$E$2:$E$3143, ISNUMBER(
Master_Mapping_Sheet!$E$2:$E$3143),
Master_Mapping_Sheet!$C$2:$C$3143=AD$1,
Master_Mapping_Sheet!$H$2:$H$3143=$A3))/sum(filter(
Master_Mapping_Sheet!$E$2:$E$3143, ISNUMBER(
Master_Mapping_Sh"&amp;"eet!$E$2:$E$3143),
Master_Mapping_Sheet!$H$2:$H$3143=$A3))), 0, sum(filter(
Master_Mapping_Sheet!$E$2:$E$3143, ISNUMBER(
Master_Mapping_Sheet!$E$2:$E$3143),
Master_Mapping_Sheet!$C$2:$C$3143=AD$1,
Master_Mapping_Sheet!$H$2:$H$3143=$A3))/sum(filter(
Master"&amp;"_Mapping_Sheet!$E$2:$E$3143, ISNUMBER(
Master_Mapping_Sheet!$E$2:$E$3143),
Master_Mapping_Sheet!$H$2:$H$3143=$A3)))"),0.0)</f>
        <v>0</v>
      </c>
      <c r="AE3" s="34">
        <f>IFERROR(__xludf.DUMMYFUNCTION("IF(ISNA(sum(filter(
Master_Mapping_Sheet!$E$2:$E$3143, ISNUMBER(
Master_Mapping_Sheet!$E$2:$E$3143),
Master_Mapping_Sheet!$C$2:$C$3143=AE$1,
Master_Mapping_Sheet!$H$2:$H$3143=$A3))/sum(filter(
Master_Mapping_Sheet!$E$2:$E$3143, ISNUMBER(
Master_Mapping_Sh"&amp;"eet!$E$2:$E$3143),
Master_Mapping_Sheet!$H$2:$H$3143=$A3))), 0, sum(filter(
Master_Mapping_Sheet!$E$2:$E$3143, ISNUMBER(
Master_Mapping_Sheet!$E$2:$E$3143),
Master_Mapping_Sheet!$C$2:$C$3143=AE$1,
Master_Mapping_Sheet!$H$2:$H$3143=$A3))/sum(filter(
Master"&amp;"_Mapping_Sheet!$E$2:$E$3143, ISNUMBER(
Master_Mapping_Sheet!$E$2:$E$3143),
Master_Mapping_Sheet!$H$2:$H$3143=$A3)))"),0.0)</f>
        <v>0</v>
      </c>
      <c r="AF3" s="34">
        <f>IFERROR(__xludf.DUMMYFUNCTION("IF(ISNA(sum(filter(
Master_Mapping_Sheet!$E$2:$E$3143, ISNUMBER(
Master_Mapping_Sheet!$E$2:$E$3143),
Master_Mapping_Sheet!$C$2:$C$3143=AF$1,
Master_Mapping_Sheet!$H$2:$H$3143=$A3))/sum(filter(
Master_Mapping_Sheet!$E$2:$E$3143, ISNUMBER(
Master_Mapping_Sh"&amp;"eet!$E$2:$E$3143),
Master_Mapping_Sheet!$H$2:$H$3143=$A3))), 0, sum(filter(
Master_Mapping_Sheet!$E$2:$E$3143, ISNUMBER(
Master_Mapping_Sheet!$E$2:$E$3143),
Master_Mapping_Sheet!$C$2:$C$3143=AF$1,
Master_Mapping_Sheet!$H$2:$H$3143=$A3))/sum(filter(
Master"&amp;"_Mapping_Sheet!$E$2:$E$3143, ISNUMBER(
Master_Mapping_Sheet!$E$2:$E$3143),
Master_Mapping_Sheet!$H$2:$H$3143=$A3)))"),0.0)</f>
        <v>0</v>
      </c>
      <c r="AG3" s="34">
        <f>IFERROR(__xludf.DUMMYFUNCTION("IF(ISNA(sum(filter(
Master_Mapping_Sheet!$E$2:$E$3143, ISNUMBER(
Master_Mapping_Sheet!$E$2:$E$3143),
Master_Mapping_Sheet!$C$2:$C$3143=AG$1,
Master_Mapping_Sheet!$H$2:$H$3143=$A3))/sum(filter(
Master_Mapping_Sheet!$E$2:$E$3143, ISNUMBER(
Master_Mapping_Sh"&amp;"eet!$E$2:$E$3143),
Master_Mapping_Sheet!$H$2:$H$3143=$A3))), 0, sum(filter(
Master_Mapping_Sheet!$E$2:$E$3143, ISNUMBER(
Master_Mapping_Sheet!$E$2:$E$3143),
Master_Mapping_Sheet!$C$2:$C$3143=AG$1,
Master_Mapping_Sheet!$H$2:$H$3143=$A3))/sum(filter(
Master"&amp;"_Mapping_Sheet!$E$2:$E$3143, ISNUMBER(
Master_Mapping_Sheet!$E$2:$E$3143),
Master_Mapping_Sheet!$H$2:$H$3143=$A3)))"),0.0)</f>
        <v>0</v>
      </c>
      <c r="AH3" s="34">
        <f>IFERROR(__xludf.DUMMYFUNCTION("IF(ISNA(sum(filter(
Master_Mapping_Sheet!$E$2:$E$3143, ISNUMBER(
Master_Mapping_Sheet!$E$2:$E$3143),
Master_Mapping_Sheet!$C$2:$C$3143=AH$1,
Master_Mapping_Sheet!$H$2:$H$3143=$A3))/sum(filter(
Master_Mapping_Sheet!$E$2:$E$3143, ISNUMBER(
Master_Mapping_Sh"&amp;"eet!$E$2:$E$3143),
Master_Mapping_Sheet!$H$2:$H$3143=$A3))), 0, sum(filter(
Master_Mapping_Sheet!$E$2:$E$3143, ISNUMBER(
Master_Mapping_Sheet!$E$2:$E$3143),
Master_Mapping_Sheet!$C$2:$C$3143=AH$1,
Master_Mapping_Sheet!$H$2:$H$3143=$A3))/sum(filter(
Master"&amp;"_Mapping_Sheet!$E$2:$E$3143, ISNUMBER(
Master_Mapping_Sheet!$E$2:$E$3143),
Master_Mapping_Sheet!$H$2:$H$3143=$A3)))"),0.0)</f>
        <v>0</v>
      </c>
      <c r="AI3" s="34">
        <f>IFERROR(__xludf.DUMMYFUNCTION("IF(ISNA(sum(filter(
Master_Mapping_Sheet!$E$2:$E$3143, ISNUMBER(
Master_Mapping_Sheet!$E$2:$E$3143),
Master_Mapping_Sheet!$C$2:$C$3143=AI$1,
Master_Mapping_Sheet!$H$2:$H$3143=$A3))/sum(filter(
Master_Mapping_Sheet!$E$2:$E$3143, ISNUMBER(
Master_Mapping_Sh"&amp;"eet!$E$2:$E$3143),
Master_Mapping_Sheet!$H$2:$H$3143=$A3))), 0, sum(filter(
Master_Mapping_Sheet!$E$2:$E$3143, ISNUMBER(
Master_Mapping_Sheet!$E$2:$E$3143),
Master_Mapping_Sheet!$C$2:$C$3143=AI$1,
Master_Mapping_Sheet!$H$2:$H$3143=$A3))/sum(filter(
Master"&amp;"_Mapping_Sheet!$E$2:$E$3143, ISNUMBER(
Master_Mapping_Sheet!$E$2:$E$3143),
Master_Mapping_Sheet!$H$2:$H$3143=$A3)))"),0.0)</f>
        <v>0</v>
      </c>
      <c r="AJ3" s="34">
        <f>IFERROR(__xludf.DUMMYFUNCTION("IF(ISNA(sum(filter(
Master_Mapping_Sheet!$E$2:$E$3143, ISNUMBER(
Master_Mapping_Sheet!$E$2:$E$3143),
Master_Mapping_Sheet!$C$2:$C$3143=AJ$1,
Master_Mapping_Sheet!$H$2:$H$3143=$A3))/sum(filter(
Master_Mapping_Sheet!$E$2:$E$3143, ISNUMBER(
Master_Mapping_Sh"&amp;"eet!$E$2:$E$3143),
Master_Mapping_Sheet!$H$2:$H$3143=$A3))), 0, sum(filter(
Master_Mapping_Sheet!$E$2:$E$3143, ISNUMBER(
Master_Mapping_Sheet!$E$2:$E$3143),
Master_Mapping_Sheet!$C$2:$C$3143=AJ$1,
Master_Mapping_Sheet!$H$2:$H$3143=$A3))/sum(filter(
Master"&amp;"_Mapping_Sheet!$E$2:$E$3143, ISNUMBER(
Master_Mapping_Sheet!$E$2:$E$3143),
Master_Mapping_Sheet!$H$2:$H$3143=$A3)))"),0.0)</f>
        <v>0</v>
      </c>
      <c r="AK3" s="34">
        <f>IFERROR(__xludf.DUMMYFUNCTION("IF(ISNA(sum(filter(
Master_Mapping_Sheet!$E$2:$E$3143, ISNUMBER(
Master_Mapping_Sheet!$E$2:$E$3143),
Master_Mapping_Sheet!$C$2:$C$3143=AK$1,
Master_Mapping_Sheet!$H$2:$H$3143=$A3))/sum(filter(
Master_Mapping_Sheet!$E$2:$E$3143, ISNUMBER(
Master_Mapping_Sh"&amp;"eet!$E$2:$E$3143),
Master_Mapping_Sheet!$H$2:$H$3143=$A3))), 0, sum(filter(
Master_Mapping_Sheet!$E$2:$E$3143, ISNUMBER(
Master_Mapping_Sheet!$E$2:$E$3143),
Master_Mapping_Sheet!$C$2:$C$3143=AK$1,
Master_Mapping_Sheet!$H$2:$H$3143=$A3))/sum(filter(
Master"&amp;"_Mapping_Sheet!$E$2:$E$3143, ISNUMBER(
Master_Mapping_Sheet!$E$2:$E$3143),
Master_Mapping_Sheet!$H$2:$H$3143=$A3)))"),0.0)</f>
        <v>0</v>
      </c>
      <c r="AL3" s="34">
        <f>IFERROR(__xludf.DUMMYFUNCTION("IF(ISNA(sum(filter(
Master_Mapping_Sheet!$E$2:$E$3143, ISNUMBER(
Master_Mapping_Sheet!$E$2:$E$3143),
Master_Mapping_Sheet!$C$2:$C$3143=AL$1,
Master_Mapping_Sheet!$H$2:$H$3143=$A3))/sum(filter(
Master_Mapping_Sheet!$E$2:$E$3143, ISNUMBER(
Master_Mapping_Sh"&amp;"eet!$E$2:$E$3143),
Master_Mapping_Sheet!$H$2:$H$3143=$A3))), 0, sum(filter(
Master_Mapping_Sheet!$E$2:$E$3143, ISNUMBER(
Master_Mapping_Sheet!$E$2:$E$3143),
Master_Mapping_Sheet!$C$2:$C$3143=AL$1,
Master_Mapping_Sheet!$H$2:$H$3143=$A3))/sum(filter(
Master"&amp;"_Mapping_Sheet!$E$2:$E$3143, ISNUMBER(
Master_Mapping_Sheet!$E$2:$E$3143),
Master_Mapping_Sheet!$H$2:$H$3143=$A3)))"),0.0)</f>
        <v>0</v>
      </c>
      <c r="AM3" s="34">
        <f>IFERROR(__xludf.DUMMYFUNCTION("IF(ISNA(sum(filter(
Master_Mapping_Sheet!$E$2:$E$3143, ISNUMBER(
Master_Mapping_Sheet!$E$2:$E$3143),
Master_Mapping_Sheet!$C$2:$C$3143=AM$1,
Master_Mapping_Sheet!$H$2:$H$3143=$A3))/sum(filter(
Master_Mapping_Sheet!$E$2:$E$3143, ISNUMBER(
Master_Mapping_Sh"&amp;"eet!$E$2:$E$3143),
Master_Mapping_Sheet!$H$2:$H$3143=$A3))), 0, sum(filter(
Master_Mapping_Sheet!$E$2:$E$3143, ISNUMBER(
Master_Mapping_Sheet!$E$2:$E$3143),
Master_Mapping_Sheet!$C$2:$C$3143=AM$1,
Master_Mapping_Sheet!$H$2:$H$3143=$A3))/sum(filter(
Master"&amp;"_Mapping_Sheet!$E$2:$E$3143, ISNUMBER(
Master_Mapping_Sheet!$E$2:$E$3143),
Master_Mapping_Sheet!$H$2:$H$3143=$A3)))"),0.0)</f>
        <v>0</v>
      </c>
      <c r="AN3" s="34">
        <f>IFERROR(__xludf.DUMMYFUNCTION("IF(ISNA(sum(filter(
Master_Mapping_Sheet!$E$2:$E$3143, ISNUMBER(
Master_Mapping_Sheet!$E$2:$E$3143),
Master_Mapping_Sheet!$C$2:$C$3143=AN$1,
Master_Mapping_Sheet!$H$2:$H$3143=$A3))/sum(filter(
Master_Mapping_Sheet!$E$2:$E$3143, ISNUMBER(
Master_Mapping_Sh"&amp;"eet!$E$2:$E$3143),
Master_Mapping_Sheet!$H$2:$H$3143=$A3))), 0, sum(filter(
Master_Mapping_Sheet!$E$2:$E$3143, ISNUMBER(
Master_Mapping_Sheet!$E$2:$E$3143),
Master_Mapping_Sheet!$C$2:$C$3143=AN$1,
Master_Mapping_Sheet!$H$2:$H$3143=$A3))/sum(filter(
Master"&amp;"_Mapping_Sheet!$E$2:$E$3143, ISNUMBER(
Master_Mapping_Sheet!$E$2:$E$3143),
Master_Mapping_Sheet!$H$2:$H$3143=$A3)))"),0.0)</f>
        <v>0</v>
      </c>
      <c r="AO3" s="34">
        <f>IFERROR(__xludf.DUMMYFUNCTION("IF(ISNA(sum(filter(
Master_Mapping_Sheet!$E$2:$E$3143, ISNUMBER(
Master_Mapping_Sheet!$E$2:$E$3143),
Master_Mapping_Sheet!$C$2:$C$3143=AO$1,
Master_Mapping_Sheet!$H$2:$H$3143=$A3))/sum(filter(
Master_Mapping_Sheet!$E$2:$E$3143, ISNUMBER(
Master_Mapping_Sh"&amp;"eet!$E$2:$E$3143),
Master_Mapping_Sheet!$H$2:$H$3143=$A3))), 0, sum(filter(
Master_Mapping_Sheet!$E$2:$E$3143, ISNUMBER(
Master_Mapping_Sheet!$E$2:$E$3143),
Master_Mapping_Sheet!$C$2:$C$3143=AO$1,
Master_Mapping_Sheet!$H$2:$H$3143=$A3))/sum(filter(
Master"&amp;"_Mapping_Sheet!$E$2:$E$3143, ISNUMBER(
Master_Mapping_Sheet!$E$2:$E$3143),
Master_Mapping_Sheet!$H$2:$H$3143=$A3)))"),0.0)</f>
        <v>0</v>
      </c>
      <c r="AP3" s="34">
        <f>IFERROR(__xludf.DUMMYFUNCTION("IF(ISNA(sum(filter(
Master_Mapping_Sheet!$E$2:$E$3143, ISNUMBER(
Master_Mapping_Sheet!$E$2:$E$3143),
Master_Mapping_Sheet!$C$2:$C$3143=AP$1,
Master_Mapping_Sheet!$H$2:$H$3143=$A3))/sum(filter(
Master_Mapping_Sheet!$E$2:$E$3143, ISNUMBER(
Master_Mapping_Sh"&amp;"eet!$E$2:$E$3143),
Master_Mapping_Sheet!$H$2:$H$3143=$A3))), 0, sum(filter(
Master_Mapping_Sheet!$E$2:$E$3143, ISNUMBER(
Master_Mapping_Sheet!$E$2:$E$3143),
Master_Mapping_Sheet!$C$2:$C$3143=AP$1,
Master_Mapping_Sheet!$H$2:$H$3143=$A3))/sum(filter(
Master"&amp;"_Mapping_Sheet!$E$2:$E$3143, ISNUMBER(
Master_Mapping_Sheet!$E$2:$E$3143),
Master_Mapping_Sheet!$H$2:$H$3143=$A3)))"),0.0)</f>
        <v>0</v>
      </c>
      <c r="AQ3" s="34">
        <f>IFERROR(__xludf.DUMMYFUNCTION("IF(ISNA(sum(filter(
Master_Mapping_Sheet!$E$2:$E$3143, ISNUMBER(
Master_Mapping_Sheet!$E$2:$E$3143),
Master_Mapping_Sheet!$C$2:$C$3143=AQ$1,
Master_Mapping_Sheet!$H$2:$H$3143=$A3))/sum(filter(
Master_Mapping_Sheet!$E$2:$E$3143, ISNUMBER(
Master_Mapping_Sh"&amp;"eet!$E$2:$E$3143),
Master_Mapping_Sheet!$H$2:$H$3143=$A3))), 0, sum(filter(
Master_Mapping_Sheet!$E$2:$E$3143, ISNUMBER(
Master_Mapping_Sheet!$E$2:$E$3143),
Master_Mapping_Sheet!$C$2:$C$3143=AQ$1,
Master_Mapping_Sheet!$H$2:$H$3143=$A3))/sum(filter(
Master"&amp;"_Mapping_Sheet!$E$2:$E$3143, ISNUMBER(
Master_Mapping_Sheet!$E$2:$E$3143),
Master_Mapping_Sheet!$H$2:$H$3143=$A3)))"),0.0)</f>
        <v>0</v>
      </c>
      <c r="AR3" s="34">
        <f>IFERROR(__xludf.DUMMYFUNCTION("IF(ISNA(sum(filter(
Master_Mapping_Sheet!$E$2:$E$3143, ISNUMBER(
Master_Mapping_Sheet!$E$2:$E$3143),
Master_Mapping_Sheet!$C$2:$C$3143=AR$1,
Master_Mapping_Sheet!$H$2:$H$3143=$A3))/sum(filter(
Master_Mapping_Sheet!$E$2:$E$3143, ISNUMBER(
Master_Mapping_Sh"&amp;"eet!$E$2:$E$3143),
Master_Mapping_Sheet!$H$2:$H$3143=$A3))), 0, sum(filter(
Master_Mapping_Sheet!$E$2:$E$3143, ISNUMBER(
Master_Mapping_Sheet!$E$2:$E$3143),
Master_Mapping_Sheet!$C$2:$C$3143=AR$1,
Master_Mapping_Sheet!$H$2:$H$3143=$A3))/sum(filter(
Master"&amp;"_Mapping_Sheet!$E$2:$E$3143, ISNUMBER(
Master_Mapping_Sheet!$E$2:$E$3143),
Master_Mapping_Sheet!$H$2:$H$3143=$A3)))"),0.0)</f>
        <v>0</v>
      </c>
      <c r="AS3" s="34">
        <f>IFERROR(__xludf.DUMMYFUNCTION("IF(ISNA(sum(filter(
Master_Mapping_Sheet!$E$2:$E$3143, ISNUMBER(
Master_Mapping_Sheet!$E$2:$E$3143),
Master_Mapping_Sheet!$C$2:$C$3143=AS$1,
Master_Mapping_Sheet!$H$2:$H$3143=$A3))/sum(filter(
Master_Mapping_Sheet!$E$2:$E$3143, ISNUMBER(
Master_Mapping_Sh"&amp;"eet!$E$2:$E$3143),
Master_Mapping_Sheet!$H$2:$H$3143=$A3))), 0, sum(filter(
Master_Mapping_Sheet!$E$2:$E$3143, ISNUMBER(
Master_Mapping_Sheet!$E$2:$E$3143),
Master_Mapping_Sheet!$C$2:$C$3143=AS$1,
Master_Mapping_Sheet!$H$2:$H$3143=$A3))/sum(filter(
Master"&amp;"_Mapping_Sheet!$E$2:$E$3143, ISNUMBER(
Master_Mapping_Sheet!$E$2:$E$3143),
Master_Mapping_Sheet!$H$2:$H$3143=$A3)))"),0.0)</f>
        <v>0</v>
      </c>
      <c r="AT3" s="34">
        <f>IFERROR(__xludf.DUMMYFUNCTION("IF(ISNA(sum(filter(
Master_Mapping_Sheet!$E$2:$E$3143, ISNUMBER(
Master_Mapping_Sheet!$E$2:$E$3143),
Master_Mapping_Sheet!$C$2:$C$3143=AT$1,
Master_Mapping_Sheet!$H$2:$H$3143=$A3))/sum(filter(
Master_Mapping_Sheet!$E$2:$E$3143, ISNUMBER(
Master_Mapping_Sh"&amp;"eet!$E$2:$E$3143),
Master_Mapping_Sheet!$H$2:$H$3143=$A3))), 0, sum(filter(
Master_Mapping_Sheet!$E$2:$E$3143, ISNUMBER(
Master_Mapping_Sheet!$E$2:$E$3143),
Master_Mapping_Sheet!$C$2:$C$3143=AT$1,
Master_Mapping_Sheet!$H$2:$H$3143=$A3))/sum(filter(
Master"&amp;"_Mapping_Sheet!$E$2:$E$3143, ISNUMBER(
Master_Mapping_Sheet!$E$2:$E$3143),
Master_Mapping_Sheet!$H$2:$H$3143=$A3)))"),0.0)</f>
        <v>0</v>
      </c>
      <c r="AU3" s="34">
        <f>IFERROR(__xludf.DUMMYFUNCTION("IF(ISNA(sum(filter(
Master_Mapping_Sheet!$E$2:$E$3143, ISNUMBER(
Master_Mapping_Sheet!$E$2:$E$3143),
Master_Mapping_Sheet!$C$2:$C$3143=AU$1,
Master_Mapping_Sheet!$H$2:$H$3143=$A3))/sum(filter(
Master_Mapping_Sheet!$E$2:$E$3143, ISNUMBER(
Master_Mapping_Sh"&amp;"eet!$E$2:$E$3143),
Master_Mapping_Sheet!$H$2:$H$3143=$A3))), 0, sum(filter(
Master_Mapping_Sheet!$E$2:$E$3143, ISNUMBER(
Master_Mapping_Sheet!$E$2:$E$3143),
Master_Mapping_Sheet!$C$2:$C$3143=AU$1,
Master_Mapping_Sheet!$H$2:$H$3143=$A3))/sum(filter(
Master"&amp;"_Mapping_Sheet!$E$2:$E$3143, ISNUMBER(
Master_Mapping_Sheet!$E$2:$E$3143),
Master_Mapping_Sheet!$H$2:$H$3143=$A3)))"),0.0)</f>
        <v>0</v>
      </c>
      <c r="AV3" s="34">
        <f>IFERROR(__xludf.DUMMYFUNCTION("IF(ISNA(sum(filter(
Master_Mapping_Sheet!$E$2:$E$3143, ISNUMBER(
Master_Mapping_Sheet!$E$2:$E$3143),
Master_Mapping_Sheet!$C$2:$C$3143=AV$1,
Master_Mapping_Sheet!$H$2:$H$3143=$A3))/sum(filter(
Master_Mapping_Sheet!$E$2:$E$3143, ISNUMBER(
Master_Mapping_Sh"&amp;"eet!$E$2:$E$3143),
Master_Mapping_Sheet!$H$2:$H$3143=$A3))), 0, sum(filter(
Master_Mapping_Sheet!$E$2:$E$3143, ISNUMBER(
Master_Mapping_Sheet!$E$2:$E$3143),
Master_Mapping_Sheet!$C$2:$C$3143=AV$1,
Master_Mapping_Sheet!$H$2:$H$3143=$A3))/sum(filter(
Master"&amp;"_Mapping_Sheet!$E$2:$E$3143, ISNUMBER(
Master_Mapping_Sheet!$E$2:$E$3143),
Master_Mapping_Sheet!$H$2:$H$3143=$A3)))"),0.0)</f>
        <v>0</v>
      </c>
      <c r="AW3" s="34">
        <f>IFERROR(__xludf.DUMMYFUNCTION("IF(ISNA(sum(filter(
Master_Mapping_Sheet!$E$2:$E$3143, ISNUMBER(
Master_Mapping_Sheet!$E$2:$E$3143),
Master_Mapping_Sheet!$C$2:$C$3143=AW$1,
Master_Mapping_Sheet!$H$2:$H$3143=$A3))/sum(filter(
Master_Mapping_Sheet!$E$2:$E$3143, ISNUMBER(
Master_Mapping_Sh"&amp;"eet!$E$2:$E$3143),
Master_Mapping_Sheet!$H$2:$H$3143=$A3))), 0, sum(filter(
Master_Mapping_Sheet!$E$2:$E$3143, ISNUMBER(
Master_Mapping_Sheet!$E$2:$E$3143),
Master_Mapping_Sheet!$C$2:$C$3143=AW$1,
Master_Mapping_Sheet!$H$2:$H$3143=$A3))/sum(filter(
Master"&amp;"_Mapping_Sheet!$E$2:$E$3143, ISNUMBER(
Master_Mapping_Sheet!$E$2:$E$3143),
Master_Mapping_Sheet!$H$2:$H$3143=$A3)))"),0.0)</f>
        <v>0</v>
      </c>
      <c r="AX3" s="34">
        <f>IFERROR(__xludf.DUMMYFUNCTION("IF(ISNA(sum(filter(
Master_Mapping_Sheet!$E$2:$E$3143, ISNUMBER(
Master_Mapping_Sheet!$E$2:$E$3143),
Master_Mapping_Sheet!$C$2:$C$3143=AX$1,
Master_Mapping_Sheet!$H$2:$H$3143=$A3))/sum(filter(
Master_Mapping_Sheet!$E$2:$E$3143, ISNUMBER(
Master_Mapping_Sh"&amp;"eet!$E$2:$E$3143),
Master_Mapping_Sheet!$H$2:$H$3143=$A3))), 0, sum(filter(
Master_Mapping_Sheet!$E$2:$E$3143, ISNUMBER(
Master_Mapping_Sheet!$E$2:$E$3143),
Master_Mapping_Sheet!$C$2:$C$3143=AX$1,
Master_Mapping_Sheet!$H$2:$H$3143=$A3))/sum(filter(
Master"&amp;"_Mapping_Sheet!$E$2:$E$3143, ISNUMBER(
Master_Mapping_Sheet!$E$2:$E$3143),
Master_Mapping_Sheet!$H$2:$H$3143=$A3)))"),0.0)</f>
        <v>0</v>
      </c>
      <c r="AY3" s="34">
        <f>IFERROR(__xludf.DUMMYFUNCTION("IF(ISNA(sum(filter(
Master_Mapping_Sheet!$E$2:$E$3143, ISNUMBER(
Master_Mapping_Sheet!$E$2:$E$3143),
Master_Mapping_Sheet!$C$2:$C$3143=AY$1,
Master_Mapping_Sheet!$H$2:$H$3143=$A3))/sum(filter(
Master_Mapping_Sheet!$E$2:$E$3143, ISNUMBER(
Master_Mapping_Sh"&amp;"eet!$E$2:$E$3143),
Master_Mapping_Sheet!$H$2:$H$3143=$A3))), 0, sum(filter(
Master_Mapping_Sheet!$E$2:$E$3143, ISNUMBER(
Master_Mapping_Sheet!$E$2:$E$3143),
Master_Mapping_Sheet!$C$2:$C$3143=AY$1,
Master_Mapping_Sheet!$H$2:$H$3143=$A3))/sum(filter(
Master"&amp;"_Mapping_Sheet!$E$2:$E$3143, ISNUMBER(
Master_Mapping_Sheet!$E$2:$E$3143),
Master_Mapping_Sheet!$H$2:$H$3143=$A3)))"),0.0)</f>
        <v>0</v>
      </c>
      <c r="AZ3" s="34">
        <f>IFERROR(__xludf.DUMMYFUNCTION("IF(ISNA(sum(filter(
Master_Mapping_Sheet!$E$2:$E$3143, ISNUMBER(
Master_Mapping_Sheet!$E$2:$E$3143),
Master_Mapping_Sheet!$C$2:$C$3143=AZ$1,
Master_Mapping_Sheet!$H$2:$H$3143=$A3))/sum(filter(
Master_Mapping_Sheet!$E$2:$E$3143, ISNUMBER(
Master_Mapping_Sh"&amp;"eet!$E$2:$E$3143),
Master_Mapping_Sheet!$H$2:$H$3143=$A3))), 0, sum(filter(
Master_Mapping_Sheet!$E$2:$E$3143, ISNUMBER(
Master_Mapping_Sheet!$E$2:$E$3143),
Master_Mapping_Sheet!$C$2:$C$3143=AZ$1,
Master_Mapping_Sheet!$H$2:$H$3143=$A3))/sum(filter(
Master"&amp;"_Mapping_Sheet!$E$2:$E$3143, ISNUMBER(
Master_Mapping_Sheet!$E$2:$E$3143),
Master_Mapping_Sheet!$H$2:$H$3143=$A3)))"),0.0)</f>
        <v>0</v>
      </c>
    </row>
    <row r="4" ht="15.75" customHeight="1">
      <c r="A4" s="34" t="s">
        <v>3996</v>
      </c>
      <c r="B4" s="34">
        <f>IFERROR(__xludf.DUMMYFUNCTION("IF(ISNA(sum(filter(
Master_Mapping_Sheet!$E$2:$E$3143, ISNUMBER(
Master_Mapping_Sheet!$E$2:$E$3143),
Master_Mapping_Sheet!$C$2:$C$3143=B$1,
Master_Mapping_Sheet!$H$2:$H$3143=$A4))/sum(filter(
Master_Mapping_Sheet!$E$2:$E$3143, ISNUMBER(
Master_Mapping_She"&amp;"et!$E$2:$E$3143),
Master_Mapping_Sheet!$H$2:$H$3143=$A4))), 0, sum(filter(
Master_Mapping_Sheet!$E$2:$E$3143, ISNUMBER(
Master_Mapping_Sheet!$E$2:$E$3143),
Master_Mapping_Sheet!$C$2:$C$3143=B$1,
Master_Mapping_Sheet!$H$2:$H$3143=$A4))/sum(filter(
Master_M"&amp;"apping_Sheet!$E$2:$E$3143, ISNUMBER(
Master_Mapping_Sheet!$E$2:$E$3143),
Master_Mapping_Sheet!$H$2:$H$3143=$A4)))"),0.0)</f>
        <v>0</v>
      </c>
      <c r="C4" s="34">
        <f>IFERROR(__xludf.DUMMYFUNCTION("IF(ISNA(sum(filter(
Master_Mapping_Sheet!$E$2:$E$3143, ISNUMBER(
Master_Mapping_Sheet!$E$2:$E$3143),
Master_Mapping_Sheet!$C$2:$C$3143=C$1,
Master_Mapping_Sheet!$H$2:$H$3143=$A4))/sum(filter(
Master_Mapping_Sheet!$E$2:$E$3143, ISNUMBER(
Master_Mapping_She"&amp;"et!$E$2:$E$3143),
Master_Mapping_Sheet!$H$2:$H$3143=$A4))), 0, sum(filter(
Master_Mapping_Sheet!$E$2:$E$3143, ISNUMBER(
Master_Mapping_Sheet!$E$2:$E$3143),
Master_Mapping_Sheet!$C$2:$C$3143=C$1,
Master_Mapping_Sheet!$H$2:$H$3143=$A4))/sum(filter(
Master_M"&amp;"apping_Sheet!$E$2:$E$3143, ISNUMBER(
Master_Mapping_Sheet!$E$2:$E$3143),
Master_Mapping_Sheet!$H$2:$H$3143=$A4)))"),0.0)</f>
        <v>0</v>
      </c>
      <c r="D4" s="34">
        <f>IFERROR(__xludf.DUMMYFUNCTION("IF(ISNA(sum(filter(
Master_Mapping_Sheet!$E$2:$E$3143, ISNUMBER(
Master_Mapping_Sheet!$E$2:$E$3143),
Master_Mapping_Sheet!$C$2:$C$3143=D$1,
Master_Mapping_Sheet!$H$2:$H$3143=$A4))/sum(filter(
Master_Mapping_Sheet!$E$2:$E$3143, ISNUMBER(
Master_Mapping_She"&amp;"et!$E$2:$E$3143),
Master_Mapping_Sheet!$H$2:$H$3143=$A4))), 0, sum(filter(
Master_Mapping_Sheet!$E$2:$E$3143, ISNUMBER(
Master_Mapping_Sheet!$E$2:$E$3143),
Master_Mapping_Sheet!$C$2:$C$3143=D$1,
Master_Mapping_Sheet!$H$2:$H$3143=$A4))/sum(filter(
Master_M"&amp;"apping_Sheet!$E$2:$E$3143, ISNUMBER(
Master_Mapping_Sheet!$E$2:$E$3143),
Master_Mapping_Sheet!$H$2:$H$3143=$A4)))"),0.0)</f>
        <v>0</v>
      </c>
      <c r="E4" s="34">
        <f>IFERROR(__xludf.DUMMYFUNCTION("IF(ISNA(sum(filter(
Master_Mapping_Sheet!$E$2:$E$3143, ISNUMBER(
Master_Mapping_Sheet!$E$2:$E$3143),
Master_Mapping_Sheet!$C$2:$C$3143=E$1,
Master_Mapping_Sheet!$H$2:$H$3143=$A4))/sum(filter(
Master_Mapping_Sheet!$E$2:$E$3143, ISNUMBER(
Master_Mapping_She"&amp;"et!$E$2:$E$3143),
Master_Mapping_Sheet!$H$2:$H$3143=$A4))), 0, sum(filter(
Master_Mapping_Sheet!$E$2:$E$3143, ISNUMBER(
Master_Mapping_Sheet!$E$2:$E$3143),
Master_Mapping_Sheet!$C$2:$C$3143=E$1,
Master_Mapping_Sheet!$H$2:$H$3143=$A4))/sum(filter(
Master_M"&amp;"apping_Sheet!$E$2:$E$3143, ISNUMBER(
Master_Mapping_Sheet!$E$2:$E$3143),
Master_Mapping_Sheet!$H$2:$H$3143=$A4)))"),0.0)</f>
        <v>0</v>
      </c>
      <c r="F4" s="34">
        <f>IFERROR(__xludf.DUMMYFUNCTION("IF(ISNA(sum(filter(
Master_Mapping_Sheet!$E$2:$E$3143, ISNUMBER(
Master_Mapping_Sheet!$E$2:$E$3143),
Master_Mapping_Sheet!$C$2:$C$3143=F$1,
Master_Mapping_Sheet!$H$2:$H$3143=$A4))/sum(filter(
Master_Mapping_Sheet!$E$2:$E$3143, ISNUMBER(
Master_Mapping_She"&amp;"et!$E$2:$E$3143),
Master_Mapping_Sheet!$H$2:$H$3143=$A4))), 0, sum(filter(
Master_Mapping_Sheet!$E$2:$E$3143, ISNUMBER(
Master_Mapping_Sheet!$E$2:$E$3143),
Master_Mapping_Sheet!$C$2:$C$3143=F$1,
Master_Mapping_Sheet!$H$2:$H$3143=$A4))/sum(filter(
Master_M"&amp;"apping_Sheet!$E$2:$E$3143, ISNUMBER(
Master_Mapping_Sheet!$E$2:$E$3143),
Master_Mapping_Sheet!$H$2:$H$3143=$A4)))"),0.0)</f>
        <v>0</v>
      </c>
      <c r="G4" s="34">
        <f>IFERROR(__xludf.DUMMYFUNCTION("IF(ISNA(sum(filter(
Master_Mapping_Sheet!$E$2:$E$3143, ISNUMBER(
Master_Mapping_Sheet!$E$2:$E$3143),
Master_Mapping_Sheet!$C$2:$C$3143=G$1,
Master_Mapping_Sheet!$H$2:$H$3143=$A4))/sum(filter(
Master_Mapping_Sheet!$E$2:$E$3143, ISNUMBER(
Master_Mapping_She"&amp;"et!$E$2:$E$3143),
Master_Mapping_Sheet!$H$2:$H$3143=$A4))), 0, sum(filter(
Master_Mapping_Sheet!$E$2:$E$3143, ISNUMBER(
Master_Mapping_Sheet!$E$2:$E$3143),
Master_Mapping_Sheet!$C$2:$C$3143=G$1,
Master_Mapping_Sheet!$H$2:$H$3143=$A4))/sum(filter(
Master_M"&amp;"apping_Sheet!$E$2:$E$3143, ISNUMBER(
Master_Mapping_Sheet!$E$2:$E$3143),
Master_Mapping_Sheet!$H$2:$H$3143=$A4)))"),0.0)</f>
        <v>0</v>
      </c>
      <c r="H4" s="34">
        <f>IFERROR(__xludf.DUMMYFUNCTION("IF(ISNA(sum(filter(
Master_Mapping_Sheet!$E$2:$E$3143, ISNUMBER(
Master_Mapping_Sheet!$E$2:$E$3143),
Master_Mapping_Sheet!$C$2:$C$3143=H$1,
Master_Mapping_Sheet!$H$2:$H$3143=$A4))/sum(filter(
Master_Mapping_Sheet!$E$2:$E$3143, ISNUMBER(
Master_Mapping_She"&amp;"et!$E$2:$E$3143),
Master_Mapping_Sheet!$H$2:$H$3143=$A4))), 0, sum(filter(
Master_Mapping_Sheet!$E$2:$E$3143, ISNUMBER(
Master_Mapping_Sheet!$E$2:$E$3143),
Master_Mapping_Sheet!$C$2:$C$3143=H$1,
Master_Mapping_Sheet!$H$2:$H$3143=$A4))/sum(filter(
Master_M"&amp;"apping_Sheet!$E$2:$E$3143, ISNUMBER(
Master_Mapping_Sheet!$E$2:$E$3143),
Master_Mapping_Sheet!$H$2:$H$3143=$A4)))"),0.0)</f>
        <v>0</v>
      </c>
      <c r="I4" s="34">
        <f>IFERROR(__xludf.DUMMYFUNCTION("IF(ISNA(sum(filter(
Master_Mapping_Sheet!$E$2:$E$3143, ISNUMBER(
Master_Mapping_Sheet!$E$2:$E$3143),
Master_Mapping_Sheet!$C$2:$C$3143=I$1,
Master_Mapping_Sheet!$H$2:$H$3143=$A4))/sum(filter(
Master_Mapping_Sheet!$E$2:$E$3143, ISNUMBER(
Master_Mapping_She"&amp;"et!$E$2:$E$3143),
Master_Mapping_Sheet!$H$2:$H$3143=$A4))), 0, sum(filter(
Master_Mapping_Sheet!$E$2:$E$3143, ISNUMBER(
Master_Mapping_Sheet!$E$2:$E$3143),
Master_Mapping_Sheet!$C$2:$C$3143=I$1,
Master_Mapping_Sheet!$H$2:$H$3143=$A4))/sum(filter(
Master_M"&amp;"apping_Sheet!$E$2:$E$3143, ISNUMBER(
Master_Mapping_Sheet!$E$2:$E$3143),
Master_Mapping_Sheet!$H$2:$H$3143=$A4)))"),0.0)</f>
        <v>0</v>
      </c>
      <c r="J4" s="34">
        <f>IFERROR(__xludf.DUMMYFUNCTION("IF(ISNA(sum(filter(
Master_Mapping_Sheet!$E$2:$E$3143, ISNUMBER(
Master_Mapping_Sheet!$E$2:$E$3143),
Master_Mapping_Sheet!$C$2:$C$3143=J$1,
Master_Mapping_Sheet!$H$2:$H$3143=$A4))/sum(filter(
Master_Mapping_Sheet!$E$2:$E$3143, ISNUMBER(
Master_Mapping_She"&amp;"et!$E$2:$E$3143),
Master_Mapping_Sheet!$H$2:$H$3143=$A4))), 0, sum(filter(
Master_Mapping_Sheet!$E$2:$E$3143, ISNUMBER(
Master_Mapping_Sheet!$E$2:$E$3143),
Master_Mapping_Sheet!$C$2:$C$3143=J$1,
Master_Mapping_Sheet!$H$2:$H$3143=$A4))/sum(filter(
Master_M"&amp;"apping_Sheet!$E$2:$E$3143, ISNUMBER(
Master_Mapping_Sheet!$E$2:$E$3143),
Master_Mapping_Sheet!$H$2:$H$3143=$A4)))"),0.0)</f>
        <v>0</v>
      </c>
      <c r="K4" s="34">
        <f>IFERROR(__xludf.DUMMYFUNCTION("IF(ISNA(sum(filter(
Master_Mapping_Sheet!$E$2:$E$3143, ISNUMBER(
Master_Mapping_Sheet!$E$2:$E$3143),
Master_Mapping_Sheet!$C$2:$C$3143=K$1,
Master_Mapping_Sheet!$H$2:$H$3143=$A4))/sum(filter(
Master_Mapping_Sheet!$E$2:$E$3143, ISNUMBER(
Master_Mapping_She"&amp;"et!$E$2:$E$3143),
Master_Mapping_Sheet!$H$2:$H$3143=$A4))), 0, sum(filter(
Master_Mapping_Sheet!$E$2:$E$3143, ISNUMBER(
Master_Mapping_Sheet!$E$2:$E$3143),
Master_Mapping_Sheet!$C$2:$C$3143=K$1,
Master_Mapping_Sheet!$H$2:$H$3143=$A4))/sum(filter(
Master_M"&amp;"apping_Sheet!$E$2:$E$3143, ISNUMBER(
Master_Mapping_Sheet!$E$2:$E$3143),
Master_Mapping_Sheet!$H$2:$H$3143=$A4)))"),0.0)</f>
        <v>0</v>
      </c>
      <c r="L4" s="34">
        <f>IFERROR(__xludf.DUMMYFUNCTION("IF(ISNA(sum(filter(
Master_Mapping_Sheet!$E$2:$E$3143, ISNUMBER(
Master_Mapping_Sheet!$E$2:$E$3143),
Master_Mapping_Sheet!$C$2:$C$3143=L$1,
Master_Mapping_Sheet!$H$2:$H$3143=$A4))/sum(filter(
Master_Mapping_Sheet!$E$2:$E$3143, ISNUMBER(
Master_Mapping_She"&amp;"et!$E$2:$E$3143),
Master_Mapping_Sheet!$H$2:$H$3143=$A4))), 0, sum(filter(
Master_Mapping_Sheet!$E$2:$E$3143, ISNUMBER(
Master_Mapping_Sheet!$E$2:$E$3143),
Master_Mapping_Sheet!$C$2:$C$3143=L$1,
Master_Mapping_Sheet!$H$2:$H$3143=$A4))/sum(filter(
Master_M"&amp;"apping_Sheet!$E$2:$E$3143, ISNUMBER(
Master_Mapping_Sheet!$E$2:$E$3143),
Master_Mapping_Sheet!$H$2:$H$3143=$A4)))"),0.0)</f>
        <v>0</v>
      </c>
      <c r="M4" s="34">
        <f>IFERROR(__xludf.DUMMYFUNCTION("IF(ISNA(sum(filter(
Master_Mapping_Sheet!$E$2:$E$3143, ISNUMBER(
Master_Mapping_Sheet!$E$2:$E$3143),
Master_Mapping_Sheet!$C$2:$C$3143=M$1,
Master_Mapping_Sheet!$H$2:$H$3143=$A4))/sum(filter(
Master_Mapping_Sheet!$E$2:$E$3143, ISNUMBER(
Master_Mapping_She"&amp;"et!$E$2:$E$3143),
Master_Mapping_Sheet!$H$2:$H$3143=$A4))), 0, sum(filter(
Master_Mapping_Sheet!$E$2:$E$3143, ISNUMBER(
Master_Mapping_Sheet!$E$2:$E$3143),
Master_Mapping_Sheet!$C$2:$C$3143=M$1,
Master_Mapping_Sheet!$H$2:$H$3143=$A4))/sum(filter(
Master_M"&amp;"apping_Sheet!$E$2:$E$3143, ISNUMBER(
Master_Mapping_Sheet!$E$2:$E$3143),
Master_Mapping_Sheet!$H$2:$H$3143=$A4)))"),0.0)</f>
        <v>0</v>
      </c>
      <c r="N4" s="34">
        <f>IFERROR(__xludf.DUMMYFUNCTION("IF(ISNA(sum(filter(
Master_Mapping_Sheet!$E$2:$E$3143, ISNUMBER(
Master_Mapping_Sheet!$E$2:$E$3143),
Master_Mapping_Sheet!$C$2:$C$3143=N$1,
Master_Mapping_Sheet!$H$2:$H$3143=$A4))/sum(filter(
Master_Mapping_Sheet!$E$2:$E$3143, ISNUMBER(
Master_Mapping_She"&amp;"et!$E$2:$E$3143),
Master_Mapping_Sheet!$H$2:$H$3143=$A4))), 0, sum(filter(
Master_Mapping_Sheet!$E$2:$E$3143, ISNUMBER(
Master_Mapping_Sheet!$E$2:$E$3143),
Master_Mapping_Sheet!$C$2:$C$3143=N$1,
Master_Mapping_Sheet!$H$2:$H$3143=$A4))/sum(filter(
Master_M"&amp;"apping_Sheet!$E$2:$E$3143, ISNUMBER(
Master_Mapping_Sheet!$E$2:$E$3143),
Master_Mapping_Sheet!$H$2:$H$3143=$A4)))"),0.0)</f>
        <v>0</v>
      </c>
      <c r="O4" s="34">
        <f>IFERROR(__xludf.DUMMYFUNCTION("IF(ISNA(sum(filter(
Master_Mapping_Sheet!$E$2:$E$3143, ISNUMBER(
Master_Mapping_Sheet!$E$2:$E$3143),
Master_Mapping_Sheet!$C$2:$C$3143=O$1,
Master_Mapping_Sheet!$H$2:$H$3143=$A4))/sum(filter(
Master_Mapping_Sheet!$E$2:$E$3143, ISNUMBER(
Master_Mapping_She"&amp;"et!$E$2:$E$3143),
Master_Mapping_Sheet!$H$2:$H$3143=$A4))), 0, sum(filter(
Master_Mapping_Sheet!$E$2:$E$3143, ISNUMBER(
Master_Mapping_Sheet!$E$2:$E$3143),
Master_Mapping_Sheet!$C$2:$C$3143=O$1,
Master_Mapping_Sheet!$H$2:$H$3143=$A4))/sum(filter(
Master_M"&amp;"apping_Sheet!$E$2:$E$3143, ISNUMBER(
Master_Mapping_Sheet!$E$2:$E$3143),
Master_Mapping_Sheet!$H$2:$H$3143=$A4)))"),0.0015056132467391183)</f>
        <v>0.001505613247</v>
      </c>
      <c r="P4" s="34">
        <f>IFERROR(__xludf.DUMMYFUNCTION("IF(ISNA(sum(filter(
Master_Mapping_Sheet!$E$2:$E$3143, ISNUMBER(
Master_Mapping_Sheet!$E$2:$E$3143),
Master_Mapping_Sheet!$C$2:$C$3143=P$1,
Master_Mapping_Sheet!$H$2:$H$3143=$A4))/sum(filter(
Master_Mapping_Sheet!$E$2:$E$3143, ISNUMBER(
Master_Mapping_She"&amp;"et!$E$2:$E$3143),
Master_Mapping_Sheet!$H$2:$H$3143=$A4))), 0, sum(filter(
Master_Mapping_Sheet!$E$2:$E$3143, ISNUMBER(
Master_Mapping_Sheet!$E$2:$E$3143),
Master_Mapping_Sheet!$C$2:$C$3143=P$1,
Master_Mapping_Sheet!$H$2:$H$3143=$A4))/sum(filter(
Master_M"&amp;"apping_Sheet!$E$2:$E$3143, ISNUMBER(
Master_Mapping_Sheet!$E$2:$E$3143),
Master_Mapping_Sheet!$H$2:$H$3143=$A4)))"),0.0)</f>
        <v>0</v>
      </c>
      <c r="Q4" s="34">
        <f>IFERROR(__xludf.DUMMYFUNCTION("IF(ISNA(sum(filter(
Master_Mapping_Sheet!$E$2:$E$3143, ISNUMBER(
Master_Mapping_Sheet!$E$2:$E$3143),
Master_Mapping_Sheet!$C$2:$C$3143=Q$1,
Master_Mapping_Sheet!$H$2:$H$3143=$A4))/sum(filter(
Master_Mapping_Sheet!$E$2:$E$3143, ISNUMBER(
Master_Mapping_She"&amp;"et!$E$2:$E$3143),
Master_Mapping_Sheet!$H$2:$H$3143=$A4))), 0, sum(filter(
Master_Mapping_Sheet!$E$2:$E$3143, ISNUMBER(
Master_Mapping_Sheet!$E$2:$E$3143),
Master_Mapping_Sheet!$C$2:$C$3143=Q$1,
Master_Mapping_Sheet!$H$2:$H$3143=$A4))/sum(filter(
Master_M"&amp;"apping_Sheet!$E$2:$E$3143, ISNUMBER(
Master_Mapping_Sheet!$E$2:$E$3143),
Master_Mapping_Sheet!$H$2:$H$3143=$A4)))"),0.1840958908716903)</f>
        <v>0.1840958909</v>
      </c>
      <c r="R4" s="34">
        <f>IFERROR(__xludf.DUMMYFUNCTION("IF(ISNA(sum(filter(
Master_Mapping_Sheet!$E$2:$E$3143, ISNUMBER(
Master_Mapping_Sheet!$E$2:$E$3143),
Master_Mapping_Sheet!$C$2:$C$3143=R$1,
Master_Mapping_Sheet!$H$2:$H$3143=$A4))/sum(filter(
Master_Mapping_Sheet!$E$2:$E$3143, ISNUMBER(
Master_Mapping_She"&amp;"et!$E$2:$E$3143),
Master_Mapping_Sheet!$H$2:$H$3143=$A4))), 0, sum(filter(
Master_Mapping_Sheet!$E$2:$E$3143, ISNUMBER(
Master_Mapping_Sheet!$E$2:$E$3143),
Master_Mapping_Sheet!$C$2:$C$3143=R$1,
Master_Mapping_Sheet!$H$2:$H$3143=$A4))/sum(filter(
Master_M"&amp;"apping_Sheet!$E$2:$E$3143, ISNUMBER(
Master_Mapping_Sheet!$E$2:$E$3143),
Master_Mapping_Sheet!$H$2:$H$3143=$A4)))"),0.0)</f>
        <v>0</v>
      </c>
      <c r="S4" s="34">
        <f>IFERROR(__xludf.DUMMYFUNCTION("IF(ISNA(sum(filter(
Master_Mapping_Sheet!$E$2:$E$3143, ISNUMBER(
Master_Mapping_Sheet!$E$2:$E$3143),
Master_Mapping_Sheet!$C$2:$C$3143=S$1,
Master_Mapping_Sheet!$H$2:$H$3143=$A4))/sum(filter(
Master_Mapping_Sheet!$E$2:$E$3143, ISNUMBER(
Master_Mapping_She"&amp;"et!$E$2:$E$3143),
Master_Mapping_Sheet!$H$2:$H$3143=$A4))), 0, sum(filter(
Master_Mapping_Sheet!$E$2:$E$3143, ISNUMBER(
Master_Mapping_Sheet!$E$2:$E$3143),
Master_Mapping_Sheet!$C$2:$C$3143=S$1,
Master_Mapping_Sheet!$H$2:$H$3143=$A4))/sum(filter(
Master_M"&amp;"apping_Sheet!$E$2:$E$3143, ISNUMBER(
Master_Mapping_Sheet!$E$2:$E$3143),
Master_Mapping_Sheet!$H$2:$H$3143=$A4)))"),0.0)</f>
        <v>0</v>
      </c>
      <c r="T4" s="34">
        <f>IFERROR(__xludf.DUMMYFUNCTION("IF(ISNA(sum(filter(
Master_Mapping_Sheet!$E$2:$E$3143, ISNUMBER(
Master_Mapping_Sheet!$E$2:$E$3143),
Master_Mapping_Sheet!$C$2:$C$3143=T$1,
Master_Mapping_Sheet!$H$2:$H$3143=$A4))/sum(filter(
Master_Mapping_Sheet!$E$2:$E$3143, ISNUMBER(
Master_Mapping_She"&amp;"et!$E$2:$E$3143),
Master_Mapping_Sheet!$H$2:$H$3143=$A4))), 0, sum(filter(
Master_Mapping_Sheet!$E$2:$E$3143, ISNUMBER(
Master_Mapping_Sheet!$E$2:$E$3143),
Master_Mapping_Sheet!$C$2:$C$3143=T$1,
Master_Mapping_Sheet!$H$2:$H$3143=$A4))/sum(filter(
Master_M"&amp;"apping_Sheet!$E$2:$E$3143, ISNUMBER(
Master_Mapping_Sheet!$E$2:$E$3143),
Master_Mapping_Sheet!$H$2:$H$3143=$A4)))"),0.0)</f>
        <v>0</v>
      </c>
      <c r="U4" s="34">
        <f>IFERROR(__xludf.DUMMYFUNCTION("IF(ISNA(sum(filter(
Master_Mapping_Sheet!$E$2:$E$3143, ISNUMBER(
Master_Mapping_Sheet!$E$2:$E$3143),
Master_Mapping_Sheet!$C$2:$C$3143=U$1,
Master_Mapping_Sheet!$H$2:$H$3143=$A4))/sum(filter(
Master_Mapping_Sheet!$E$2:$E$3143, ISNUMBER(
Master_Mapping_She"&amp;"et!$E$2:$E$3143),
Master_Mapping_Sheet!$H$2:$H$3143=$A4))), 0, sum(filter(
Master_Mapping_Sheet!$E$2:$E$3143, ISNUMBER(
Master_Mapping_Sheet!$E$2:$E$3143),
Master_Mapping_Sheet!$C$2:$C$3143=U$1,
Master_Mapping_Sheet!$H$2:$H$3143=$A4))/sum(filter(
Master_M"&amp;"apping_Sheet!$E$2:$E$3143, ISNUMBER(
Master_Mapping_Sheet!$E$2:$E$3143),
Master_Mapping_Sheet!$H$2:$H$3143=$A4)))"),0.0)</f>
        <v>0</v>
      </c>
      <c r="V4" s="34">
        <f>IFERROR(__xludf.DUMMYFUNCTION("IF(ISNA(sum(filter(
Master_Mapping_Sheet!$E$2:$E$3143, ISNUMBER(
Master_Mapping_Sheet!$E$2:$E$3143),
Master_Mapping_Sheet!$C$2:$C$3143=V$1,
Master_Mapping_Sheet!$H$2:$H$3143=$A4))/sum(filter(
Master_Mapping_Sheet!$E$2:$E$3143, ISNUMBER(
Master_Mapping_She"&amp;"et!$E$2:$E$3143),
Master_Mapping_Sheet!$H$2:$H$3143=$A4))), 0, sum(filter(
Master_Mapping_Sheet!$E$2:$E$3143, ISNUMBER(
Master_Mapping_Sheet!$E$2:$E$3143),
Master_Mapping_Sheet!$C$2:$C$3143=V$1,
Master_Mapping_Sheet!$H$2:$H$3143=$A4))/sum(filter(
Master_M"&amp;"apping_Sheet!$E$2:$E$3143, ISNUMBER(
Master_Mapping_Sheet!$E$2:$E$3143),
Master_Mapping_Sheet!$H$2:$H$3143=$A4)))"),0.0)</f>
        <v>0</v>
      </c>
      <c r="W4" s="34">
        <f>IFERROR(__xludf.DUMMYFUNCTION("IF(ISNA(sum(filter(
Master_Mapping_Sheet!$E$2:$E$3143, ISNUMBER(
Master_Mapping_Sheet!$E$2:$E$3143),
Master_Mapping_Sheet!$C$2:$C$3143=W$1,
Master_Mapping_Sheet!$H$2:$H$3143=$A4))/sum(filter(
Master_Mapping_Sheet!$E$2:$E$3143, ISNUMBER(
Master_Mapping_She"&amp;"et!$E$2:$E$3143),
Master_Mapping_Sheet!$H$2:$H$3143=$A4))), 0, sum(filter(
Master_Mapping_Sheet!$E$2:$E$3143, ISNUMBER(
Master_Mapping_Sheet!$E$2:$E$3143),
Master_Mapping_Sheet!$C$2:$C$3143=W$1,
Master_Mapping_Sheet!$H$2:$H$3143=$A4))/sum(filter(
Master_M"&amp;"apping_Sheet!$E$2:$E$3143, ISNUMBER(
Master_Mapping_Sheet!$E$2:$E$3143),
Master_Mapping_Sheet!$H$2:$H$3143=$A4)))"),0.0)</f>
        <v>0</v>
      </c>
      <c r="X4" s="34">
        <f>IFERROR(__xludf.DUMMYFUNCTION("IF(ISNA(sum(filter(
Master_Mapping_Sheet!$E$2:$E$3143, ISNUMBER(
Master_Mapping_Sheet!$E$2:$E$3143),
Master_Mapping_Sheet!$C$2:$C$3143=X$1,
Master_Mapping_Sheet!$H$2:$H$3143=$A4))/sum(filter(
Master_Mapping_Sheet!$E$2:$E$3143, ISNUMBER(
Master_Mapping_She"&amp;"et!$E$2:$E$3143),
Master_Mapping_Sheet!$H$2:$H$3143=$A4))), 0, sum(filter(
Master_Mapping_Sheet!$E$2:$E$3143, ISNUMBER(
Master_Mapping_Sheet!$E$2:$E$3143),
Master_Mapping_Sheet!$C$2:$C$3143=X$1,
Master_Mapping_Sheet!$H$2:$H$3143=$A4))/sum(filter(
Master_M"&amp;"apping_Sheet!$E$2:$E$3143, ISNUMBER(
Master_Mapping_Sheet!$E$2:$E$3143),
Master_Mapping_Sheet!$H$2:$H$3143=$A4)))"),0.02097747767012786)</f>
        <v>0.02097747767</v>
      </c>
      <c r="Y4" s="34">
        <f>IFERROR(__xludf.DUMMYFUNCTION("IF(ISNA(sum(filter(
Master_Mapping_Sheet!$E$2:$E$3143, ISNUMBER(
Master_Mapping_Sheet!$E$2:$E$3143),
Master_Mapping_Sheet!$C$2:$C$3143=Y$1,
Master_Mapping_Sheet!$H$2:$H$3143=$A4))/sum(filter(
Master_Mapping_Sheet!$E$2:$E$3143, ISNUMBER(
Master_Mapping_She"&amp;"et!$E$2:$E$3143),
Master_Mapping_Sheet!$H$2:$H$3143=$A4))), 0, sum(filter(
Master_Mapping_Sheet!$E$2:$E$3143, ISNUMBER(
Master_Mapping_Sheet!$E$2:$E$3143),
Master_Mapping_Sheet!$C$2:$C$3143=Y$1,
Master_Mapping_Sheet!$H$2:$H$3143=$A4))/sum(filter(
Master_M"&amp;"apping_Sheet!$E$2:$E$3143, ISNUMBER(
Master_Mapping_Sheet!$E$2:$E$3143),
Master_Mapping_Sheet!$H$2:$H$3143=$A4)))"),0.3789438091240052)</f>
        <v>0.3789438091</v>
      </c>
      <c r="Z4" s="34">
        <f>IFERROR(__xludf.DUMMYFUNCTION("IF(ISNA(sum(filter(
Master_Mapping_Sheet!$E$2:$E$3143, ISNUMBER(
Master_Mapping_Sheet!$E$2:$E$3143),
Master_Mapping_Sheet!$C$2:$C$3143=Z$1,
Master_Mapping_Sheet!$H$2:$H$3143=$A4))/sum(filter(
Master_Mapping_Sheet!$E$2:$E$3143, ISNUMBER(
Master_Mapping_She"&amp;"et!$E$2:$E$3143),
Master_Mapping_Sheet!$H$2:$H$3143=$A4))), 0, sum(filter(
Master_Mapping_Sheet!$E$2:$E$3143, ISNUMBER(
Master_Mapping_Sheet!$E$2:$E$3143),
Master_Mapping_Sheet!$C$2:$C$3143=Z$1,
Master_Mapping_Sheet!$H$2:$H$3143=$A4))/sum(filter(
Master_M"&amp;"apping_Sheet!$E$2:$E$3143, ISNUMBER(
Master_Mapping_Sheet!$E$2:$E$3143),
Master_Mapping_Sheet!$H$2:$H$3143=$A4)))"),0.0)</f>
        <v>0</v>
      </c>
      <c r="AA4" s="34">
        <f>IFERROR(__xludf.DUMMYFUNCTION("IF(ISNA(sum(filter(
Master_Mapping_Sheet!$E$2:$E$3143, ISNUMBER(
Master_Mapping_Sheet!$E$2:$E$3143),
Master_Mapping_Sheet!$C$2:$C$3143=AA$1,
Master_Mapping_Sheet!$H$2:$H$3143=$A4))/sum(filter(
Master_Mapping_Sheet!$E$2:$E$3143, ISNUMBER(
Master_Mapping_Sh"&amp;"eet!$E$2:$E$3143),
Master_Mapping_Sheet!$H$2:$H$3143=$A4))), 0, sum(filter(
Master_Mapping_Sheet!$E$2:$E$3143, ISNUMBER(
Master_Mapping_Sheet!$E$2:$E$3143),
Master_Mapping_Sheet!$C$2:$C$3143=AA$1,
Master_Mapping_Sheet!$H$2:$H$3143=$A4))/sum(filter(
Master"&amp;"_Mapping_Sheet!$E$2:$E$3143, ISNUMBER(
Master_Mapping_Sheet!$E$2:$E$3143),
Master_Mapping_Sheet!$H$2:$H$3143=$A4)))"),0.0)</f>
        <v>0</v>
      </c>
      <c r="AB4" s="34">
        <f>IFERROR(__xludf.DUMMYFUNCTION("IF(ISNA(sum(filter(
Master_Mapping_Sheet!$E$2:$E$3143, ISNUMBER(
Master_Mapping_Sheet!$E$2:$E$3143),
Master_Mapping_Sheet!$C$2:$C$3143=AB$1,
Master_Mapping_Sheet!$H$2:$H$3143=$A4))/sum(filter(
Master_Mapping_Sheet!$E$2:$E$3143, ISNUMBER(
Master_Mapping_Sh"&amp;"eet!$E$2:$E$3143),
Master_Mapping_Sheet!$H$2:$H$3143=$A4))), 0, sum(filter(
Master_Mapping_Sheet!$E$2:$E$3143, ISNUMBER(
Master_Mapping_Sheet!$E$2:$E$3143),
Master_Mapping_Sheet!$C$2:$C$3143=AB$1,
Master_Mapping_Sheet!$H$2:$H$3143=$A4))/sum(filter(
Master"&amp;"_Mapping_Sheet!$E$2:$E$3143, ISNUMBER(
Master_Mapping_Sheet!$E$2:$E$3143),
Master_Mapping_Sheet!$H$2:$H$3143=$A4)))"),4.710750767858604E-4)</f>
        <v>0.0004710750768</v>
      </c>
      <c r="AC4" s="34">
        <f>IFERROR(__xludf.DUMMYFUNCTION("IF(ISNA(sum(filter(
Master_Mapping_Sheet!$E$2:$E$3143, ISNUMBER(
Master_Mapping_Sheet!$E$2:$E$3143),
Master_Mapping_Sheet!$C$2:$C$3143=AC$1,
Master_Mapping_Sheet!$H$2:$H$3143=$A4))/sum(filter(
Master_Mapping_Sheet!$E$2:$E$3143, ISNUMBER(
Master_Mapping_Sh"&amp;"eet!$E$2:$E$3143),
Master_Mapping_Sheet!$H$2:$H$3143=$A4))), 0, sum(filter(
Master_Mapping_Sheet!$E$2:$E$3143, ISNUMBER(
Master_Mapping_Sheet!$E$2:$E$3143),
Master_Mapping_Sheet!$C$2:$C$3143=AC$1,
Master_Mapping_Sheet!$H$2:$H$3143=$A4))/sum(filter(
Master"&amp;"_Mapping_Sheet!$E$2:$E$3143, ISNUMBER(
Master_Mapping_Sheet!$E$2:$E$3143),
Master_Mapping_Sheet!$H$2:$H$3143=$A4)))"),0.0)</f>
        <v>0</v>
      </c>
      <c r="AD4" s="34">
        <f>IFERROR(__xludf.DUMMYFUNCTION("IF(ISNA(sum(filter(
Master_Mapping_Sheet!$E$2:$E$3143, ISNUMBER(
Master_Mapping_Sheet!$E$2:$E$3143),
Master_Mapping_Sheet!$C$2:$C$3143=AD$1,
Master_Mapping_Sheet!$H$2:$H$3143=$A4))/sum(filter(
Master_Mapping_Sheet!$E$2:$E$3143, ISNUMBER(
Master_Mapping_Sh"&amp;"eet!$E$2:$E$3143),
Master_Mapping_Sheet!$H$2:$H$3143=$A4))), 0, sum(filter(
Master_Mapping_Sheet!$E$2:$E$3143, ISNUMBER(
Master_Mapping_Sheet!$E$2:$E$3143),
Master_Mapping_Sheet!$C$2:$C$3143=AD$1,
Master_Mapping_Sheet!$H$2:$H$3143=$A4))/sum(filter(
Master"&amp;"_Mapping_Sheet!$E$2:$E$3143, ISNUMBER(
Master_Mapping_Sheet!$E$2:$E$3143),
Master_Mapping_Sheet!$H$2:$H$3143=$A4)))"),0.0)</f>
        <v>0</v>
      </c>
      <c r="AE4" s="34">
        <f>IFERROR(__xludf.DUMMYFUNCTION("IF(ISNA(sum(filter(
Master_Mapping_Sheet!$E$2:$E$3143, ISNUMBER(
Master_Mapping_Sheet!$E$2:$E$3143),
Master_Mapping_Sheet!$C$2:$C$3143=AE$1,
Master_Mapping_Sheet!$H$2:$H$3143=$A4))/sum(filter(
Master_Mapping_Sheet!$E$2:$E$3143, ISNUMBER(
Master_Mapping_Sh"&amp;"eet!$E$2:$E$3143),
Master_Mapping_Sheet!$H$2:$H$3143=$A4))), 0, sum(filter(
Master_Mapping_Sheet!$E$2:$E$3143, ISNUMBER(
Master_Mapping_Sheet!$E$2:$E$3143),
Master_Mapping_Sheet!$C$2:$C$3143=AE$1,
Master_Mapping_Sheet!$H$2:$H$3143=$A4))/sum(filter(
Master"&amp;"_Mapping_Sheet!$E$2:$E$3143, ISNUMBER(
Master_Mapping_Sheet!$E$2:$E$3143),
Master_Mapping_Sheet!$H$2:$H$3143=$A4)))"),0.0)</f>
        <v>0</v>
      </c>
      <c r="AF4" s="34">
        <f>IFERROR(__xludf.DUMMYFUNCTION("IF(ISNA(sum(filter(
Master_Mapping_Sheet!$E$2:$E$3143, ISNUMBER(
Master_Mapping_Sheet!$E$2:$E$3143),
Master_Mapping_Sheet!$C$2:$C$3143=AF$1,
Master_Mapping_Sheet!$H$2:$H$3143=$A4))/sum(filter(
Master_Mapping_Sheet!$E$2:$E$3143, ISNUMBER(
Master_Mapping_Sh"&amp;"eet!$E$2:$E$3143),
Master_Mapping_Sheet!$H$2:$H$3143=$A4))), 0, sum(filter(
Master_Mapping_Sheet!$E$2:$E$3143, ISNUMBER(
Master_Mapping_Sheet!$E$2:$E$3143),
Master_Mapping_Sheet!$C$2:$C$3143=AF$1,
Master_Mapping_Sheet!$H$2:$H$3143=$A4))/sum(filter(
Master"&amp;"_Mapping_Sheet!$E$2:$E$3143, ISNUMBER(
Master_Mapping_Sheet!$E$2:$E$3143),
Master_Mapping_Sheet!$H$2:$H$3143=$A4)))"),0.0)</f>
        <v>0</v>
      </c>
      <c r="AG4" s="34">
        <f>IFERROR(__xludf.DUMMYFUNCTION("IF(ISNA(sum(filter(
Master_Mapping_Sheet!$E$2:$E$3143, ISNUMBER(
Master_Mapping_Sheet!$E$2:$E$3143),
Master_Mapping_Sheet!$C$2:$C$3143=AG$1,
Master_Mapping_Sheet!$H$2:$H$3143=$A4))/sum(filter(
Master_Mapping_Sheet!$E$2:$E$3143, ISNUMBER(
Master_Mapping_Sh"&amp;"eet!$E$2:$E$3143),
Master_Mapping_Sheet!$H$2:$H$3143=$A4))), 0, sum(filter(
Master_Mapping_Sheet!$E$2:$E$3143, ISNUMBER(
Master_Mapping_Sheet!$E$2:$E$3143),
Master_Mapping_Sheet!$C$2:$C$3143=AG$1,
Master_Mapping_Sheet!$H$2:$H$3143=$A4))/sum(filter(
Master"&amp;"_Mapping_Sheet!$E$2:$E$3143, ISNUMBER(
Master_Mapping_Sheet!$E$2:$E$3143),
Master_Mapping_Sheet!$H$2:$H$3143=$A4)))"),0.0)</f>
        <v>0</v>
      </c>
      <c r="AH4" s="34">
        <f>IFERROR(__xludf.DUMMYFUNCTION("IF(ISNA(sum(filter(
Master_Mapping_Sheet!$E$2:$E$3143, ISNUMBER(
Master_Mapping_Sheet!$E$2:$E$3143),
Master_Mapping_Sheet!$C$2:$C$3143=AH$1,
Master_Mapping_Sheet!$H$2:$H$3143=$A4))/sum(filter(
Master_Mapping_Sheet!$E$2:$E$3143, ISNUMBER(
Master_Mapping_Sh"&amp;"eet!$E$2:$E$3143),
Master_Mapping_Sheet!$H$2:$H$3143=$A4))), 0, sum(filter(
Master_Mapping_Sheet!$E$2:$E$3143, ISNUMBER(
Master_Mapping_Sheet!$E$2:$E$3143),
Master_Mapping_Sheet!$C$2:$C$3143=AH$1,
Master_Mapping_Sheet!$H$2:$H$3143=$A4))/sum(filter(
Master"&amp;"_Mapping_Sheet!$E$2:$E$3143, ISNUMBER(
Master_Mapping_Sheet!$E$2:$E$3143),
Master_Mapping_Sheet!$H$2:$H$3143=$A4)))"),0.0)</f>
        <v>0</v>
      </c>
      <c r="AI4" s="34">
        <f>IFERROR(__xludf.DUMMYFUNCTION("IF(ISNA(sum(filter(
Master_Mapping_Sheet!$E$2:$E$3143, ISNUMBER(
Master_Mapping_Sheet!$E$2:$E$3143),
Master_Mapping_Sheet!$C$2:$C$3143=AI$1,
Master_Mapping_Sheet!$H$2:$H$3143=$A4))/sum(filter(
Master_Mapping_Sheet!$E$2:$E$3143, ISNUMBER(
Master_Mapping_Sh"&amp;"eet!$E$2:$E$3143),
Master_Mapping_Sheet!$H$2:$H$3143=$A4))), 0, sum(filter(
Master_Mapping_Sheet!$E$2:$E$3143, ISNUMBER(
Master_Mapping_Sheet!$E$2:$E$3143),
Master_Mapping_Sheet!$C$2:$C$3143=AI$1,
Master_Mapping_Sheet!$H$2:$H$3143=$A4))/sum(filter(
Master"&amp;"_Mapping_Sheet!$E$2:$E$3143, ISNUMBER(
Master_Mapping_Sheet!$E$2:$E$3143),
Master_Mapping_Sheet!$H$2:$H$3143=$A4)))"),0.0)</f>
        <v>0</v>
      </c>
      <c r="AJ4" s="34">
        <f>IFERROR(__xludf.DUMMYFUNCTION("IF(ISNA(sum(filter(
Master_Mapping_Sheet!$E$2:$E$3143, ISNUMBER(
Master_Mapping_Sheet!$E$2:$E$3143),
Master_Mapping_Sheet!$C$2:$C$3143=AJ$1,
Master_Mapping_Sheet!$H$2:$H$3143=$A4))/sum(filter(
Master_Mapping_Sheet!$E$2:$E$3143, ISNUMBER(
Master_Mapping_Sh"&amp;"eet!$E$2:$E$3143),
Master_Mapping_Sheet!$H$2:$H$3143=$A4))), 0, sum(filter(
Master_Mapping_Sheet!$E$2:$E$3143, ISNUMBER(
Master_Mapping_Sheet!$E$2:$E$3143),
Master_Mapping_Sheet!$C$2:$C$3143=AJ$1,
Master_Mapping_Sheet!$H$2:$H$3143=$A4))/sum(filter(
Master"&amp;"_Mapping_Sheet!$E$2:$E$3143, ISNUMBER(
Master_Mapping_Sheet!$E$2:$E$3143),
Master_Mapping_Sheet!$H$2:$H$3143=$A4)))"),0.004941409388532509)</f>
        <v>0.004941409389</v>
      </c>
      <c r="AK4" s="34">
        <f>IFERROR(__xludf.DUMMYFUNCTION("IF(ISNA(sum(filter(
Master_Mapping_Sheet!$E$2:$E$3143, ISNUMBER(
Master_Mapping_Sheet!$E$2:$E$3143),
Master_Mapping_Sheet!$C$2:$C$3143=AK$1,
Master_Mapping_Sheet!$H$2:$H$3143=$A4))/sum(filter(
Master_Mapping_Sheet!$E$2:$E$3143, ISNUMBER(
Master_Mapping_Sh"&amp;"eet!$E$2:$E$3143),
Master_Mapping_Sheet!$H$2:$H$3143=$A4))), 0, sum(filter(
Master_Mapping_Sheet!$E$2:$E$3143, ISNUMBER(
Master_Mapping_Sheet!$E$2:$E$3143),
Master_Mapping_Sheet!$C$2:$C$3143=AK$1,
Master_Mapping_Sheet!$H$2:$H$3143=$A4))/sum(filter(
Master"&amp;"_Mapping_Sheet!$E$2:$E$3143, ISNUMBER(
Master_Mapping_Sheet!$E$2:$E$3143),
Master_Mapping_Sheet!$H$2:$H$3143=$A4)))"),0.0)</f>
        <v>0</v>
      </c>
      <c r="AL4" s="34">
        <f>IFERROR(__xludf.DUMMYFUNCTION("IF(ISNA(sum(filter(
Master_Mapping_Sheet!$E$2:$E$3143, ISNUMBER(
Master_Mapping_Sheet!$E$2:$E$3143),
Master_Mapping_Sheet!$C$2:$C$3143=AL$1,
Master_Mapping_Sheet!$H$2:$H$3143=$A4))/sum(filter(
Master_Mapping_Sheet!$E$2:$E$3143, ISNUMBER(
Master_Mapping_Sh"&amp;"eet!$E$2:$E$3143),
Master_Mapping_Sheet!$H$2:$H$3143=$A4))), 0, sum(filter(
Master_Mapping_Sheet!$E$2:$E$3143, ISNUMBER(
Master_Mapping_Sheet!$E$2:$E$3143),
Master_Mapping_Sheet!$C$2:$C$3143=AL$1,
Master_Mapping_Sheet!$H$2:$H$3143=$A4))/sum(filter(
Master"&amp;"_Mapping_Sheet!$E$2:$E$3143, ISNUMBER(
Master_Mapping_Sheet!$E$2:$E$3143),
Master_Mapping_Sheet!$H$2:$H$3143=$A4)))"),0.0)</f>
        <v>0</v>
      </c>
      <c r="AM4" s="34">
        <f>IFERROR(__xludf.DUMMYFUNCTION("IF(ISNA(sum(filter(
Master_Mapping_Sheet!$E$2:$E$3143, ISNUMBER(
Master_Mapping_Sheet!$E$2:$E$3143),
Master_Mapping_Sheet!$C$2:$C$3143=AM$1,
Master_Mapping_Sheet!$H$2:$H$3143=$A4))/sum(filter(
Master_Mapping_Sheet!$E$2:$E$3143, ISNUMBER(
Master_Mapping_Sh"&amp;"eet!$E$2:$E$3143),
Master_Mapping_Sheet!$H$2:$H$3143=$A4))), 0, sum(filter(
Master_Mapping_Sheet!$E$2:$E$3143, ISNUMBER(
Master_Mapping_Sheet!$E$2:$E$3143),
Master_Mapping_Sheet!$C$2:$C$3143=AM$1,
Master_Mapping_Sheet!$H$2:$H$3143=$A4))/sum(filter(
Master"&amp;"_Mapping_Sheet!$E$2:$E$3143, ISNUMBER(
Master_Mapping_Sheet!$E$2:$E$3143),
Master_Mapping_Sheet!$H$2:$H$3143=$A4)))"),0.0)</f>
        <v>0</v>
      </c>
      <c r="AN4" s="34">
        <f>IFERROR(__xludf.DUMMYFUNCTION("IF(ISNA(sum(filter(
Master_Mapping_Sheet!$E$2:$E$3143, ISNUMBER(
Master_Mapping_Sheet!$E$2:$E$3143),
Master_Mapping_Sheet!$C$2:$C$3143=AN$1,
Master_Mapping_Sheet!$H$2:$H$3143=$A4))/sum(filter(
Master_Mapping_Sheet!$E$2:$E$3143, ISNUMBER(
Master_Mapping_Sh"&amp;"eet!$E$2:$E$3143),
Master_Mapping_Sheet!$H$2:$H$3143=$A4))), 0, sum(filter(
Master_Mapping_Sheet!$E$2:$E$3143, ISNUMBER(
Master_Mapping_Sheet!$E$2:$E$3143),
Master_Mapping_Sheet!$C$2:$C$3143=AN$1,
Master_Mapping_Sheet!$H$2:$H$3143=$A4))/sum(filter(
Master"&amp;"_Mapping_Sheet!$E$2:$E$3143, ISNUMBER(
Master_Mapping_Sheet!$E$2:$E$3143),
Master_Mapping_Sheet!$H$2:$H$3143=$A4)))"),0.0)</f>
        <v>0</v>
      </c>
      <c r="AO4" s="34">
        <f>IFERROR(__xludf.DUMMYFUNCTION("IF(ISNA(sum(filter(
Master_Mapping_Sheet!$E$2:$E$3143, ISNUMBER(
Master_Mapping_Sheet!$E$2:$E$3143),
Master_Mapping_Sheet!$C$2:$C$3143=AO$1,
Master_Mapping_Sheet!$H$2:$H$3143=$A4))/sum(filter(
Master_Mapping_Sheet!$E$2:$E$3143, ISNUMBER(
Master_Mapping_Sh"&amp;"eet!$E$2:$E$3143),
Master_Mapping_Sheet!$H$2:$H$3143=$A4))), 0, sum(filter(
Master_Mapping_Sheet!$E$2:$E$3143, ISNUMBER(
Master_Mapping_Sheet!$E$2:$E$3143),
Master_Mapping_Sheet!$C$2:$C$3143=AO$1,
Master_Mapping_Sheet!$H$2:$H$3143=$A4))/sum(filter(
Master"&amp;"_Mapping_Sheet!$E$2:$E$3143, ISNUMBER(
Master_Mapping_Sheet!$E$2:$E$3143),
Master_Mapping_Sheet!$H$2:$H$3143=$A4)))"),0.0)</f>
        <v>0</v>
      </c>
      <c r="AP4" s="34">
        <f>IFERROR(__xludf.DUMMYFUNCTION("IF(ISNA(sum(filter(
Master_Mapping_Sheet!$E$2:$E$3143, ISNUMBER(
Master_Mapping_Sheet!$E$2:$E$3143),
Master_Mapping_Sheet!$C$2:$C$3143=AP$1,
Master_Mapping_Sheet!$H$2:$H$3143=$A4))/sum(filter(
Master_Mapping_Sheet!$E$2:$E$3143, ISNUMBER(
Master_Mapping_Sh"&amp;"eet!$E$2:$E$3143),
Master_Mapping_Sheet!$H$2:$H$3143=$A4))), 0, sum(filter(
Master_Mapping_Sheet!$E$2:$E$3143, ISNUMBER(
Master_Mapping_Sheet!$E$2:$E$3143),
Master_Mapping_Sheet!$C$2:$C$3143=AP$1,
Master_Mapping_Sheet!$H$2:$H$3143=$A4))/sum(filter(
Master"&amp;"_Mapping_Sheet!$E$2:$E$3143, ISNUMBER(
Master_Mapping_Sheet!$E$2:$E$3143),
Master_Mapping_Sheet!$H$2:$H$3143=$A4)))"),0.0)</f>
        <v>0</v>
      </c>
      <c r="AQ4" s="34">
        <f>IFERROR(__xludf.DUMMYFUNCTION("IF(ISNA(sum(filter(
Master_Mapping_Sheet!$E$2:$E$3143, ISNUMBER(
Master_Mapping_Sheet!$E$2:$E$3143),
Master_Mapping_Sheet!$C$2:$C$3143=AQ$1,
Master_Mapping_Sheet!$H$2:$H$3143=$A4))/sum(filter(
Master_Mapping_Sheet!$E$2:$E$3143, ISNUMBER(
Master_Mapping_Sh"&amp;"eet!$E$2:$E$3143),
Master_Mapping_Sheet!$H$2:$H$3143=$A4))), 0, sum(filter(
Master_Mapping_Sheet!$E$2:$E$3143, ISNUMBER(
Master_Mapping_Sheet!$E$2:$E$3143),
Master_Mapping_Sheet!$C$2:$C$3143=AQ$1,
Master_Mapping_Sheet!$H$2:$H$3143=$A4))/sum(filter(
Master"&amp;"_Mapping_Sheet!$E$2:$E$3143, ISNUMBER(
Master_Mapping_Sheet!$E$2:$E$3143),
Master_Mapping_Sheet!$H$2:$H$3143=$A4)))"),0.0)</f>
        <v>0</v>
      </c>
      <c r="AR4" s="34">
        <f>IFERROR(__xludf.DUMMYFUNCTION("IF(ISNA(sum(filter(
Master_Mapping_Sheet!$E$2:$E$3143, ISNUMBER(
Master_Mapping_Sheet!$E$2:$E$3143),
Master_Mapping_Sheet!$C$2:$C$3143=AR$1,
Master_Mapping_Sheet!$H$2:$H$3143=$A4))/sum(filter(
Master_Mapping_Sheet!$E$2:$E$3143, ISNUMBER(
Master_Mapping_Sh"&amp;"eet!$E$2:$E$3143),
Master_Mapping_Sheet!$H$2:$H$3143=$A4))), 0, sum(filter(
Master_Mapping_Sheet!$E$2:$E$3143, ISNUMBER(
Master_Mapping_Sheet!$E$2:$E$3143),
Master_Mapping_Sheet!$C$2:$C$3143=AR$1,
Master_Mapping_Sheet!$H$2:$H$3143=$A4))/sum(filter(
Master"&amp;"_Mapping_Sheet!$E$2:$E$3143, ISNUMBER(
Master_Mapping_Sheet!$E$2:$E$3143),
Master_Mapping_Sheet!$H$2:$H$3143=$A4)))"),0.0)</f>
        <v>0</v>
      </c>
      <c r="AS4" s="34">
        <f>IFERROR(__xludf.DUMMYFUNCTION("IF(ISNA(sum(filter(
Master_Mapping_Sheet!$E$2:$E$3143, ISNUMBER(
Master_Mapping_Sheet!$E$2:$E$3143),
Master_Mapping_Sheet!$C$2:$C$3143=AS$1,
Master_Mapping_Sheet!$H$2:$H$3143=$A4))/sum(filter(
Master_Mapping_Sheet!$E$2:$E$3143, ISNUMBER(
Master_Mapping_Sh"&amp;"eet!$E$2:$E$3143),
Master_Mapping_Sheet!$H$2:$H$3143=$A4))), 0, sum(filter(
Master_Mapping_Sheet!$E$2:$E$3143, ISNUMBER(
Master_Mapping_Sheet!$E$2:$E$3143),
Master_Mapping_Sheet!$C$2:$C$3143=AS$1,
Master_Mapping_Sheet!$H$2:$H$3143=$A4))/sum(filter(
Master"&amp;"_Mapping_Sheet!$E$2:$E$3143, ISNUMBER(
Master_Mapping_Sheet!$E$2:$E$3143),
Master_Mapping_Sheet!$H$2:$H$3143=$A4)))"),0.0)</f>
        <v>0</v>
      </c>
      <c r="AT4" s="34">
        <f>IFERROR(__xludf.DUMMYFUNCTION("IF(ISNA(sum(filter(
Master_Mapping_Sheet!$E$2:$E$3143, ISNUMBER(
Master_Mapping_Sheet!$E$2:$E$3143),
Master_Mapping_Sheet!$C$2:$C$3143=AT$1,
Master_Mapping_Sheet!$H$2:$H$3143=$A4))/sum(filter(
Master_Mapping_Sheet!$E$2:$E$3143, ISNUMBER(
Master_Mapping_Sh"&amp;"eet!$E$2:$E$3143),
Master_Mapping_Sheet!$H$2:$H$3143=$A4))), 0, sum(filter(
Master_Mapping_Sheet!$E$2:$E$3143, ISNUMBER(
Master_Mapping_Sheet!$E$2:$E$3143),
Master_Mapping_Sheet!$C$2:$C$3143=AT$1,
Master_Mapping_Sheet!$H$2:$H$3143=$A4))/sum(filter(
Master"&amp;"_Mapping_Sheet!$E$2:$E$3143, ISNUMBER(
Master_Mapping_Sheet!$E$2:$E$3143),
Master_Mapping_Sheet!$H$2:$H$3143=$A4)))"),0.0)</f>
        <v>0</v>
      </c>
      <c r="AU4" s="34">
        <f>IFERROR(__xludf.DUMMYFUNCTION("IF(ISNA(sum(filter(
Master_Mapping_Sheet!$E$2:$E$3143, ISNUMBER(
Master_Mapping_Sheet!$E$2:$E$3143),
Master_Mapping_Sheet!$C$2:$C$3143=AU$1,
Master_Mapping_Sheet!$H$2:$H$3143=$A4))/sum(filter(
Master_Mapping_Sheet!$E$2:$E$3143, ISNUMBER(
Master_Mapping_Sh"&amp;"eet!$E$2:$E$3143),
Master_Mapping_Sheet!$H$2:$H$3143=$A4))), 0, sum(filter(
Master_Mapping_Sheet!$E$2:$E$3143, ISNUMBER(
Master_Mapping_Sheet!$E$2:$E$3143),
Master_Mapping_Sheet!$C$2:$C$3143=AU$1,
Master_Mapping_Sheet!$H$2:$H$3143=$A4))/sum(filter(
Master"&amp;"_Mapping_Sheet!$E$2:$E$3143, ISNUMBER(
Master_Mapping_Sheet!$E$2:$E$3143),
Master_Mapping_Sheet!$H$2:$H$3143=$A4)))"),0.0)</f>
        <v>0</v>
      </c>
      <c r="AV4" s="34">
        <f>IFERROR(__xludf.DUMMYFUNCTION("IF(ISNA(sum(filter(
Master_Mapping_Sheet!$E$2:$E$3143, ISNUMBER(
Master_Mapping_Sheet!$E$2:$E$3143),
Master_Mapping_Sheet!$C$2:$C$3143=AV$1,
Master_Mapping_Sheet!$H$2:$H$3143=$A4))/sum(filter(
Master_Mapping_Sheet!$E$2:$E$3143, ISNUMBER(
Master_Mapping_Sh"&amp;"eet!$E$2:$E$3143),
Master_Mapping_Sheet!$H$2:$H$3143=$A4))), 0, sum(filter(
Master_Mapping_Sheet!$E$2:$E$3143, ISNUMBER(
Master_Mapping_Sheet!$E$2:$E$3143),
Master_Mapping_Sheet!$C$2:$C$3143=AV$1,
Master_Mapping_Sheet!$H$2:$H$3143=$A4))/sum(filter(
Master"&amp;"_Mapping_Sheet!$E$2:$E$3143, ISNUMBER(
Master_Mapping_Sheet!$E$2:$E$3143),
Master_Mapping_Sheet!$H$2:$H$3143=$A4)))"),0.0)</f>
        <v>0</v>
      </c>
      <c r="AW4" s="34">
        <f>IFERROR(__xludf.DUMMYFUNCTION("IF(ISNA(sum(filter(
Master_Mapping_Sheet!$E$2:$E$3143, ISNUMBER(
Master_Mapping_Sheet!$E$2:$E$3143),
Master_Mapping_Sheet!$C$2:$C$3143=AW$1,
Master_Mapping_Sheet!$H$2:$H$3143=$A4))/sum(filter(
Master_Mapping_Sheet!$E$2:$E$3143, ISNUMBER(
Master_Mapping_Sh"&amp;"eet!$E$2:$E$3143),
Master_Mapping_Sheet!$H$2:$H$3143=$A4))), 0, sum(filter(
Master_Mapping_Sheet!$E$2:$E$3143, ISNUMBER(
Master_Mapping_Sheet!$E$2:$E$3143),
Master_Mapping_Sheet!$C$2:$C$3143=AW$1,
Master_Mapping_Sheet!$H$2:$H$3143=$A4))/sum(filter(
Master"&amp;"_Mapping_Sheet!$E$2:$E$3143, ISNUMBER(
Master_Mapping_Sheet!$E$2:$E$3143),
Master_Mapping_Sheet!$H$2:$H$3143=$A4)))"),0.0)</f>
        <v>0</v>
      </c>
      <c r="AX4" s="34">
        <f>IFERROR(__xludf.DUMMYFUNCTION("IF(ISNA(sum(filter(
Master_Mapping_Sheet!$E$2:$E$3143, ISNUMBER(
Master_Mapping_Sheet!$E$2:$E$3143),
Master_Mapping_Sheet!$C$2:$C$3143=AX$1,
Master_Mapping_Sheet!$H$2:$H$3143=$A4))/sum(filter(
Master_Mapping_Sheet!$E$2:$E$3143, ISNUMBER(
Master_Mapping_Sh"&amp;"eet!$E$2:$E$3143),
Master_Mapping_Sheet!$H$2:$H$3143=$A4))), 0, sum(filter(
Master_Mapping_Sheet!$E$2:$E$3143, ISNUMBER(
Master_Mapping_Sheet!$E$2:$E$3143),
Master_Mapping_Sheet!$C$2:$C$3143=AX$1,
Master_Mapping_Sheet!$H$2:$H$3143=$A4))/sum(filter(
Master"&amp;"_Mapping_Sheet!$E$2:$E$3143, ISNUMBER(
Master_Mapping_Sheet!$E$2:$E$3143),
Master_Mapping_Sheet!$H$2:$H$3143=$A4)))"),0.0)</f>
        <v>0</v>
      </c>
      <c r="AY4" s="34">
        <f>IFERROR(__xludf.DUMMYFUNCTION("IF(ISNA(sum(filter(
Master_Mapping_Sheet!$E$2:$E$3143, ISNUMBER(
Master_Mapping_Sheet!$E$2:$E$3143),
Master_Mapping_Sheet!$C$2:$C$3143=AY$1,
Master_Mapping_Sheet!$H$2:$H$3143=$A4))/sum(filter(
Master_Mapping_Sheet!$E$2:$E$3143, ISNUMBER(
Master_Mapping_Sh"&amp;"eet!$E$2:$E$3143),
Master_Mapping_Sheet!$H$2:$H$3143=$A4))), 0, sum(filter(
Master_Mapping_Sheet!$E$2:$E$3143, ISNUMBER(
Master_Mapping_Sheet!$E$2:$E$3143),
Master_Mapping_Sheet!$C$2:$C$3143=AY$1,
Master_Mapping_Sheet!$H$2:$H$3143=$A4))/sum(filter(
Master"&amp;"_Mapping_Sheet!$E$2:$E$3143, ISNUMBER(
Master_Mapping_Sheet!$E$2:$E$3143),
Master_Mapping_Sheet!$H$2:$H$3143=$A4)))"),0.4090647246221192)</f>
        <v>0.4090647246</v>
      </c>
      <c r="AZ4" s="34">
        <f>IFERROR(__xludf.DUMMYFUNCTION("IF(ISNA(sum(filter(
Master_Mapping_Sheet!$E$2:$E$3143, ISNUMBER(
Master_Mapping_Sheet!$E$2:$E$3143),
Master_Mapping_Sheet!$C$2:$C$3143=AZ$1,
Master_Mapping_Sheet!$H$2:$H$3143=$A4))/sum(filter(
Master_Mapping_Sheet!$E$2:$E$3143, ISNUMBER(
Master_Mapping_Sh"&amp;"eet!$E$2:$E$3143),
Master_Mapping_Sheet!$H$2:$H$3143=$A4))), 0, sum(filter(
Master_Mapping_Sheet!$E$2:$E$3143, ISNUMBER(
Master_Mapping_Sheet!$E$2:$E$3143),
Master_Mapping_Sheet!$C$2:$C$3143=AZ$1,
Master_Mapping_Sheet!$H$2:$H$3143=$A4))/sum(filter(
Master"&amp;"_Mapping_Sheet!$E$2:$E$3143, ISNUMBER(
Master_Mapping_Sheet!$E$2:$E$3143),
Master_Mapping_Sheet!$H$2:$H$3143=$A4)))"),0.0)</f>
        <v>0</v>
      </c>
    </row>
    <row r="5" ht="15.75" customHeight="1">
      <c r="A5" s="34" t="s">
        <v>3992</v>
      </c>
      <c r="B5" s="34">
        <f>IFERROR(__xludf.DUMMYFUNCTION("IF(ISNA(sum(filter(
Master_Mapping_Sheet!$E$2:$E$3143, ISNUMBER(
Master_Mapping_Sheet!$E$2:$E$3143),
Master_Mapping_Sheet!$C$2:$C$3143=B$1,
Master_Mapping_Sheet!$H$2:$H$3143=$A5))/sum(filter(
Master_Mapping_Sheet!$E$2:$E$3143, ISNUMBER(
Master_Mapping_She"&amp;"et!$E$2:$E$3143),
Master_Mapping_Sheet!$H$2:$H$3143=$A5))), 0, sum(filter(
Master_Mapping_Sheet!$E$2:$E$3143, ISNUMBER(
Master_Mapping_Sheet!$E$2:$E$3143),
Master_Mapping_Sheet!$C$2:$C$3143=B$1,
Master_Mapping_Sheet!$H$2:$H$3143=$A5))/sum(filter(
Master_M"&amp;"apping_Sheet!$E$2:$E$3143, ISNUMBER(
Master_Mapping_Sheet!$E$2:$E$3143),
Master_Mapping_Sheet!$H$2:$H$3143=$A5)))"),0.0)</f>
        <v>0</v>
      </c>
      <c r="C5" s="34">
        <f>IFERROR(__xludf.DUMMYFUNCTION("IF(ISNA(sum(filter(
Master_Mapping_Sheet!$E$2:$E$3143, ISNUMBER(
Master_Mapping_Sheet!$E$2:$E$3143),
Master_Mapping_Sheet!$C$2:$C$3143=C$1,
Master_Mapping_Sheet!$H$2:$H$3143=$A5))/sum(filter(
Master_Mapping_Sheet!$E$2:$E$3143, ISNUMBER(
Master_Mapping_She"&amp;"et!$E$2:$E$3143),
Master_Mapping_Sheet!$H$2:$H$3143=$A5))), 0, sum(filter(
Master_Mapping_Sheet!$E$2:$E$3143, ISNUMBER(
Master_Mapping_Sheet!$E$2:$E$3143),
Master_Mapping_Sheet!$C$2:$C$3143=C$1,
Master_Mapping_Sheet!$H$2:$H$3143=$A5))/sum(filter(
Master_M"&amp;"apping_Sheet!$E$2:$E$3143, ISNUMBER(
Master_Mapping_Sheet!$E$2:$E$3143),
Master_Mapping_Sheet!$H$2:$H$3143=$A5)))"),0.0)</f>
        <v>0</v>
      </c>
      <c r="D5" s="34">
        <f>IFERROR(__xludf.DUMMYFUNCTION("IF(ISNA(sum(filter(
Master_Mapping_Sheet!$E$2:$E$3143, ISNUMBER(
Master_Mapping_Sheet!$E$2:$E$3143),
Master_Mapping_Sheet!$C$2:$C$3143=D$1,
Master_Mapping_Sheet!$H$2:$H$3143=$A5))/sum(filter(
Master_Mapping_Sheet!$E$2:$E$3143, ISNUMBER(
Master_Mapping_She"&amp;"et!$E$2:$E$3143),
Master_Mapping_Sheet!$H$2:$H$3143=$A5))), 0, sum(filter(
Master_Mapping_Sheet!$E$2:$E$3143, ISNUMBER(
Master_Mapping_Sheet!$E$2:$E$3143),
Master_Mapping_Sheet!$C$2:$C$3143=D$1,
Master_Mapping_Sheet!$H$2:$H$3143=$A5))/sum(filter(
Master_M"&amp;"apping_Sheet!$E$2:$E$3143, ISNUMBER(
Master_Mapping_Sheet!$E$2:$E$3143),
Master_Mapping_Sheet!$H$2:$H$3143=$A5)))"),0.0)</f>
        <v>0</v>
      </c>
      <c r="E5" s="34">
        <f>IFERROR(__xludf.DUMMYFUNCTION("IF(ISNA(sum(filter(
Master_Mapping_Sheet!$E$2:$E$3143, ISNUMBER(
Master_Mapping_Sheet!$E$2:$E$3143),
Master_Mapping_Sheet!$C$2:$C$3143=E$1,
Master_Mapping_Sheet!$H$2:$H$3143=$A5))/sum(filter(
Master_Mapping_Sheet!$E$2:$E$3143, ISNUMBER(
Master_Mapping_She"&amp;"et!$E$2:$E$3143),
Master_Mapping_Sheet!$H$2:$H$3143=$A5))), 0, sum(filter(
Master_Mapping_Sheet!$E$2:$E$3143, ISNUMBER(
Master_Mapping_Sheet!$E$2:$E$3143),
Master_Mapping_Sheet!$C$2:$C$3143=E$1,
Master_Mapping_Sheet!$H$2:$H$3143=$A5))/sum(filter(
Master_M"&amp;"apping_Sheet!$E$2:$E$3143, ISNUMBER(
Master_Mapping_Sheet!$E$2:$E$3143),
Master_Mapping_Sheet!$H$2:$H$3143=$A5)))"),0.0)</f>
        <v>0</v>
      </c>
      <c r="F5" s="34">
        <f>IFERROR(__xludf.DUMMYFUNCTION("IF(ISNA(sum(filter(
Master_Mapping_Sheet!$E$2:$E$3143, ISNUMBER(
Master_Mapping_Sheet!$E$2:$E$3143),
Master_Mapping_Sheet!$C$2:$C$3143=F$1,
Master_Mapping_Sheet!$H$2:$H$3143=$A5))/sum(filter(
Master_Mapping_Sheet!$E$2:$E$3143, ISNUMBER(
Master_Mapping_She"&amp;"et!$E$2:$E$3143),
Master_Mapping_Sheet!$H$2:$H$3143=$A5))), 0, sum(filter(
Master_Mapping_Sheet!$E$2:$E$3143, ISNUMBER(
Master_Mapping_Sheet!$E$2:$E$3143),
Master_Mapping_Sheet!$C$2:$C$3143=F$1,
Master_Mapping_Sheet!$H$2:$H$3143=$A5))/sum(filter(
Master_M"&amp;"apping_Sheet!$E$2:$E$3143, ISNUMBER(
Master_Mapping_Sheet!$E$2:$E$3143),
Master_Mapping_Sheet!$H$2:$H$3143=$A5)))"),0.0)</f>
        <v>0</v>
      </c>
      <c r="G5" s="34">
        <f>IFERROR(__xludf.DUMMYFUNCTION("IF(ISNA(sum(filter(
Master_Mapping_Sheet!$E$2:$E$3143, ISNUMBER(
Master_Mapping_Sheet!$E$2:$E$3143),
Master_Mapping_Sheet!$C$2:$C$3143=G$1,
Master_Mapping_Sheet!$H$2:$H$3143=$A5))/sum(filter(
Master_Mapping_Sheet!$E$2:$E$3143, ISNUMBER(
Master_Mapping_She"&amp;"et!$E$2:$E$3143),
Master_Mapping_Sheet!$H$2:$H$3143=$A5))), 0, sum(filter(
Master_Mapping_Sheet!$E$2:$E$3143, ISNUMBER(
Master_Mapping_Sheet!$E$2:$E$3143),
Master_Mapping_Sheet!$C$2:$C$3143=G$1,
Master_Mapping_Sheet!$H$2:$H$3143=$A5))/sum(filter(
Master_M"&amp;"apping_Sheet!$E$2:$E$3143, ISNUMBER(
Master_Mapping_Sheet!$E$2:$E$3143),
Master_Mapping_Sheet!$H$2:$H$3143=$A5)))"),0.0)</f>
        <v>0</v>
      </c>
      <c r="H5" s="34">
        <f>IFERROR(__xludf.DUMMYFUNCTION("IF(ISNA(sum(filter(
Master_Mapping_Sheet!$E$2:$E$3143, ISNUMBER(
Master_Mapping_Sheet!$E$2:$E$3143),
Master_Mapping_Sheet!$C$2:$C$3143=H$1,
Master_Mapping_Sheet!$H$2:$H$3143=$A5))/sum(filter(
Master_Mapping_Sheet!$E$2:$E$3143, ISNUMBER(
Master_Mapping_She"&amp;"et!$E$2:$E$3143),
Master_Mapping_Sheet!$H$2:$H$3143=$A5))), 0, sum(filter(
Master_Mapping_Sheet!$E$2:$E$3143, ISNUMBER(
Master_Mapping_Sheet!$E$2:$E$3143),
Master_Mapping_Sheet!$C$2:$C$3143=H$1,
Master_Mapping_Sheet!$H$2:$H$3143=$A5))/sum(filter(
Master_M"&amp;"apping_Sheet!$E$2:$E$3143, ISNUMBER(
Master_Mapping_Sheet!$E$2:$E$3143),
Master_Mapping_Sheet!$H$2:$H$3143=$A5)))"),0.0)</f>
        <v>0</v>
      </c>
      <c r="I5" s="34">
        <f>IFERROR(__xludf.DUMMYFUNCTION("IF(ISNA(sum(filter(
Master_Mapping_Sheet!$E$2:$E$3143, ISNUMBER(
Master_Mapping_Sheet!$E$2:$E$3143),
Master_Mapping_Sheet!$C$2:$C$3143=I$1,
Master_Mapping_Sheet!$H$2:$H$3143=$A5))/sum(filter(
Master_Mapping_Sheet!$E$2:$E$3143, ISNUMBER(
Master_Mapping_She"&amp;"et!$E$2:$E$3143),
Master_Mapping_Sheet!$H$2:$H$3143=$A5))), 0, sum(filter(
Master_Mapping_Sheet!$E$2:$E$3143, ISNUMBER(
Master_Mapping_Sheet!$E$2:$E$3143),
Master_Mapping_Sheet!$C$2:$C$3143=I$1,
Master_Mapping_Sheet!$H$2:$H$3143=$A5))/sum(filter(
Master_M"&amp;"apping_Sheet!$E$2:$E$3143, ISNUMBER(
Master_Mapping_Sheet!$E$2:$E$3143),
Master_Mapping_Sheet!$H$2:$H$3143=$A5)))"),0.0)</f>
        <v>0</v>
      </c>
      <c r="J5" s="34">
        <f>IFERROR(__xludf.DUMMYFUNCTION("IF(ISNA(sum(filter(
Master_Mapping_Sheet!$E$2:$E$3143, ISNUMBER(
Master_Mapping_Sheet!$E$2:$E$3143),
Master_Mapping_Sheet!$C$2:$C$3143=J$1,
Master_Mapping_Sheet!$H$2:$H$3143=$A5))/sum(filter(
Master_Mapping_Sheet!$E$2:$E$3143, ISNUMBER(
Master_Mapping_She"&amp;"et!$E$2:$E$3143),
Master_Mapping_Sheet!$H$2:$H$3143=$A5))), 0, sum(filter(
Master_Mapping_Sheet!$E$2:$E$3143, ISNUMBER(
Master_Mapping_Sheet!$E$2:$E$3143),
Master_Mapping_Sheet!$C$2:$C$3143=J$1,
Master_Mapping_Sheet!$H$2:$H$3143=$A5))/sum(filter(
Master_M"&amp;"apping_Sheet!$E$2:$E$3143, ISNUMBER(
Master_Mapping_Sheet!$E$2:$E$3143),
Master_Mapping_Sheet!$H$2:$H$3143=$A5)))"),0.0)</f>
        <v>0</v>
      </c>
      <c r="K5" s="34">
        <f>IFERROR(__xludf.DUMMYFUNCTION("IF(ISNA(sum(filter(
Master_Mapping_Sheet!$E$2:$E$3143, ISNUMBER(
Master_Mapping_Sheet!$E$2:$E$3143),
Master_Mapping_Sheet!$C$2:$C$3143=K$1,
Master_Mapping_Sheet!$H$2:$H$3143=$A5))/sum(filter(
Master_Mapping_Sheet!$E$2:$E$3143, ISNUMBER(
Master_Mapping_She"&amp;"et!$E$2:$E$3143),
Master_Mapping_Sheet!$H$2:$H$3143=$A5))), 0, sum(filter(
Master_Mapping_Sheet!$E$2:$E$3143, ISNUMBER(
Master_Mapping_Sheet!$E$2:$E$3143),
Master_Mapping_Sheet!$C$2:$C$3143=K$1,
Master_Mapping_Sheet!$H$2:$H$3143=$A5))/sum(filter(
Master_M"&amp;"apping_Sheet!$E$2:$E$3143, ISNUMBER(
Master_Mapping_Sheet!$E$2:$E$3143),
Master_Mapping_Sheet!$H$2:$H$3143=$A5)))"),0.0)</f>
        <v>0</v>
      </c>
      <c r="L5" s="34">
        <f>IFERROR(__xludf.DUMMYFUNCTION("IF(ISNA(sum(filter(
Master_Mapping_Sheet!$E$2:$E$3143, ISNUMBER(
Master_Mapping_Sheet!$E$2:$E$3143),
Master_Mapping_Sheet!$C$2:$C$3143=L$1,
Master_Mapping_Sheet!$H$2:$H$3143=$A5))/sum(filter(
Master_Mapping_Sheet!$E$2:$E$3143, ISNUMBER(
Master_Mapping_She"&amp;"et!$E$2:$E$3143),
Master_Mapping_Sheet!$H$2:$H$3143=$A5))), 0, sum(filter(
Master_Mapping_Sheet!$E$2:$E$3143, ISNUMBER(
Master_Mapping_Sheet!$E$2:$E$3143),
Master_Mapping_Sheet!$C$2:$C$3143=L$1,
Master_Mapping_Sheet!$H$2:$H$3143=$A5))/sum(filter(
Master_M"&amp;"apping_Sheet!$E$2:$E$3143, ISNUMBER(
Master_Mapping_Sheet!$E$2:$E$3143),
Master_Mapping_Sheet!$H$2:$H$3143=$A5)))"),0.0)</f>
        <v>0</v>
      </c>
      <c r="M5" s="34">
        <f>IFERROR(__xludf.DUMMYFUNCTION("IF(ISNA(sum(filter(
Master_Mapping_Sheet!$E$2:$E$3143, ISNUMBER(
Master_Mapping_Sheet!$E$2:$E$3143),
Master_Mapping_Sheet!$C$2:$C$3143=M$1,
Master_Mapping_Sheet!$H$2:$H$3143=$A5))/sum(filter(
Master_Mapping_Sheet!$E$2:$E$3143, ISNUMBER(
Master_Mapping_She"&amp;"et!$E$2:$E$3143),
Master_Mapping_Sheet!$H$2:$H$3143=$A5))), 0, sum(filter(
Master_Mapping_Sheet!$E$2:$E$3143, ISNUMBER(
Master_Mapping_Sheet!$E$2:$E$3143),
Master_Mapping_Sheet!$C$2:$C$3143=M$1,
Master_Mapping_Sheet!$H$2:$H$3143=$A5))/sum(filter(
Master_M"&amp;"apping_Sheet!$E$2:$E$3143, ISNUMBER(
Master_Mapping_Sheet!$E$2:$E$3143),
Master_Mapping_Sheet!$H$2:$H$3143=$A5)))"),0.0)</f>
        <v>0</v>
      </c>
      <c r="N5" s="34">
        <f>IFERROR(__xludf.DUMMYFUNCTION("IF(ISNA(sum(filter(
Master_Mapping_Sheet!$E$2:$E$3143, ISNUMBER(
Master_Mapping_Sheet!$E$2:$E$3143),
Master_Mapping_Sheet!$C$2:$C$3143=N$1,
Master_Mapping_Sheet!$H$2:$H$3143=$A5))/sum(filter(
Master_Mapping_Sheet!$E$2:$E$3143, ISNUMBER(
Master_Mapping_She"&amp;"et!$E$2:$E$3143),
Master_Mapping_Sheet!$H$2:$H$3143=$A5))), 0, sum(filter(
Master_Mapping_Sheet!$E$2:$E$3143, ISNUMBER(
Master_Mapping_Sheet!$E$2:$E$3143),
Master_Mapping_Sheet!$C$2:$C$3143=N$1,
Master_Mapping_Sheet!$H$2:$H$3143=$A5))/sum(filter(
Master_M"&amp;"apping_Sheet!$E$2:$E$3143, ISNUMBER(
Master_Mapping_Sheet!$E$2:$E$3143),
Master_Mapping_Sheet!$H$2:$H$3143=$A5)))"),0.0)</f>
        <v>0</v>
      </c>
      <c r="O5" s="34">
        <f>IFERROR(__xludf.DUMMYFUNCTION("IF(ISNA(sum(filter(
Master_Mapping_Sheet!$E$2:$E$3143, ISNUMBER(
Master_Mapping_Sheet!$E$2:$E$3143),
Master_Mapping_Sheet!$C$2:$C$3143=O$1,
Master_Mapping_Sheet!$H$2:$H$3143=$A5))/sum(filter(
Master_Mapping_Sheet!$E$2:$E$3143, ISNUMBER(
Master_Mapping_She"&amp;"et!$E$2:$E$3143),
Master_Mapping_Sheet!$H$2:$H$3143=$A5))), 0, sum(filter(
Master_Mapping_Sheet!$E$2:$E$3143, ISNUMBER(
Master_Mapping_Sheet!$E$2:$E$3143),
Master_Mapping_Sheet!$C$2:$C$3143=O$1,
Master_Mapping_Sheet!$H$2:$H$3143=$A5))/sum(filter(
Master_M"&amp;"apping_Sheet!$E$2:$E$3143, ISNUMBER(
Master_Mapping_Sheet!$E$2:$E$3143),
Master_Mapping_Sheet!$H$2:$H$3143=$A5)))"),0.3132830535638508)</f>
        <v>0.3132830536</v>
      </c>
      <c r="P5" s="34">
        <f>IFERROR(__xludf.DUMMYFUNCTION("IF(ISNA(sum(filter(
Master_Mapping_Sheet!$E$2:$E$3143, ISNUMBER(
Master_Mapping_Sheet!$E$2:$E$3143),
Master_Mapping_Sheet!$C$2:$C$3143=P$1,
Master_Mapping_Sheet!$H$2:$H$3143=$A5))/sum(filter(
Master_Mapping_Sheet!$E$2:$E$3143, ISNUMBER(
Master_Mapping_She"&amp;"et!$E$2:$E$3143),
Master_Mapping_Sheet!$H$2:$H$3143=$A5))), 0, sum(filter(
Master_Mapping_Sheet!$E$2:$E$3143, ISNUMBER(
Master_Mapping_Sheet!$E$2:$E$3143),
Master_Mapping_Sheet!$C$2:$C$3143=P$1,
Master_Mapping_Sheet!$H$2:$H$3143=$A5))/sum(filter(
Master_M"&amp;"apping_Sheet!$E$2:$E$3143, ISNUMBER(
Master_Mapping_Sheet!$E$2:$E$3143),
Master_Mapping_Sheet!$H$2:$H$3143=$A5)))"),0.3805968201999838)</f>
        <v>0.3805968202</v>
      </c>
      <c r="Q5" s="34">
        <f>IFERROR(__xludf.DUMMYFUNCTION("IF(ISNA(sum(filter(
Master_Mapping_Sheet!$E$2:$E$3143, ISNUMBER(
Master_Mapping_Sheet!$E$2:$E$3143),
Master_Mapping_Sheet!$C$2:$C$3143=Q$1,
Master_Mapping_Sheet!$H$2:$H$3143=$A5))/sum(filter(
Master_Mapping_Sheet!$E$2:$E$3143, ISNUMBER(
Master_Mapping_She"&amp;"et!$E$2:$E$3143),
Master_Mapping_Sheet!$H$2:$H$3143=$A5))), 0, sum(filter(
Master_Mapping_Sheet!$E$2:$E$3143, ISNUMBER(
Master_Mapping_Sheet!$E$2:$E$3143),
Master_Mapping_Sheet!$C$2:$C$3143=Q$1,
Master_Mapping_Sheet!$H$2:$H$3143=$A5))/sum(filter(
Master_M"&amp;"apping_Sheet!$E$2:$E$3143, ISNUMBER(
Master_Mapping_Sheet!$E$2:$E$3143),
Master_Mapping_Sheet!$H$2:$H$3143=$A5)))"),0.0)</f>
        <v>0</v>
      </c>
      <c r="R5" s="34">
        <f>IFERROR(__xludf.DUMMYFUNCTION("IF(ISNA(sum(filter(
Master_Mapping_Sheet!$E$2:$E$3143, ISNUMBER(
Master_Mapping_Sheet!$E$2:$E$3143),
Master_Mapping_Sheet!$C$2:$C$3143=R$1,
Master_Mapping_Sheet!$H$2:$H$3143=$A5))/sum(filter(
Master_Mapping_Sheet!$E$2:$E$3143, ISNUMBER(
Master_Mapping_She"&amp;"et!$E$2:$E$3143),
Master_Mapping_Sheet!$H$2:$H$3143=$A5))), 0, sum(filter(
Master_Mapping_Sheet!$E$2:$E$3143, ISNUMBER(
Master_Mapping_Sheet!$E$2:$E$3143),
Master_Mapping_Sheet!$C$2:$C$3143=R$1,
Master_Mapping_Sheet!$H$2:$H$3143=$A5))/sum(filter(
Master_M"&amp;"apping_Sheet!$E$2:$E$3143, ISNUMBER(
Master_Mapping_Sheet!$E$2:$E$3143),
Master_Mapping_Sheet!$H$2:$H$3143=$A5)))"),0.0)</f>
        <v>0</v>
      </c>
      <c r="S5" s="34">
        <f>IFERROR(__xludf.DUMMYFUNCTION("IF(ISNA(sum(filter(
Master_Mapping_Sheet!$E$2:$E$3143, ISNUMBER(
Master_Mapping_Sheet!$E$2:$E$3143),
Master_Mapping_Sheet!$C$2:$C$3143=S$1,
Master_Mapping_Sheet!$H$2:$H$3143=$A5))/sum(filter(
Master_Mapping_Sheet!$E$2:$E$3143, ISNUMBER(
Master_Mapping_She"&amp;"et!$E$2:$E$3143),
Master_Mapping_Sheet!$H$2:$H$3143=$A5))), 0, sum(filter(
Master_Mapping_Sheet!$E$2:$E$3143, ISNUMBER(
Master_Mapping_Sheet!$E$2:$E$3143),
Master_Mapping_Sheet!$C$2:$C$3143=S$1,
Master_Mapping_Sheet!$H$2:$H$3143=$A5))/sum(filter(
Master_M"&amp;"apping_Sheet!$E$2:$E$3143, ISNUMBER(
Master_Mapping_Sheet!$E$2:$E$3143),
Master_Mapping_Sheet!$H$2:$H$3143=$A5)))"),0.0)</f>
        <v>0</v>
      </c>
      <c r="T5" s="34">
        <f>IFERROR(__xludf.DUMMYFUNCTION("IF(ISNA(sum(filter(
Master_Mapping_Sheet!$E$2:$E$3143, ISNUMBER(
Master_Mapping_Sheet!$E$2:$E$3143),
Master_Mapping_Sheet!$C$2:$C$3143=T$1,
Master_Mapping_Sheet!$H$2:$H$3143=$A5))/sum(filter(
Master_Mapping_Sheet!$E$2:$E$3143, ISNUMBER(
Master_Mapping_She"&amp;"et!$E$2:$E$3143),
Master_Mapping_Sheet!$H$2:$H$3143=$A5))), 0, sum(filter(
Master_Mapping_Sheet!$E$2:$E$3143, ISNUMBER(
Master_Mapping_Sheet!$E$2:$E$3143),
Master_Mapping_Sheet!$C$2:$C$3143=T$1,
Master_Mapping_Sheet!$H$2:$H$3143=$A5))/sum(filter(
Master_M"&amp;"apping_Sheet!$E$2:$E$3143, ISNUMBER(
Master_Mapping_Sheet!$E$2:$E$3143),
Master_Mapping_Sheet!$H$2:$H$3143=$A5)))"),0.0)</f>
        <v>0</v>
      </c>
      <c r="U5" s="34">
        <f>IFERROR(__xludf.DUMMYFUNCTION("IF(ISNA(sum(filter(
Master_Mapping_Sheet!$E$2:$E$3143, ISNUMBER(
Master_Mapping_Sheet!$E$2:$E$3143),
Master_Mapping_Sheet!$C$2:$C$3143=U$1,
Master_Mapping_Sheet!$H$2:$H$3143=$A5))/sum(filter(
Master_Mapping_Sheet!$E$2:$E$3143, ISNUMBER(
Master_Mapping_She"&amp;"et!$E$2:$E$3143),
Master_Mapping_Sheet!$H$2:$H$3143=$A5))), 0, sum(filter(
Master_Mapping_Sheet!$E$2:$E$3143, ISNUMBER(
Master_Mapping_Sheet!$E$2:$E$3143),
Master_Mapping_Sheet!$C$2:$C$3143=U$1,
Master_Mapping_Sheet!$H$2:$H$3143=$A5))/sum(filter(
Master_M"&amp;"apping_Sheet!$E$2:$E$3143, ISNUMBER(
Master_Mapping_Sheet!$E$2:$E$3143),
Master_Mapping_Sheet!$H$2:$H$3143=$A5)))"),0.0)</f>
        <v>0</v>
      </c>
      <c r="V5" s="34">
        <f>IFERROR(__xludf.DUMMYFUNCTION("IF(ISNA(sum(filter(
Master_Mapping_Sheet!$E$2:$E$3143, ISNUMBER(
Master_Mapping_Sheet!$E$2:$E$3143),
Master_Mapping_Sheet!$C$2:$C$3143=V$1,
Master_Mapping_Sheet!$H$2:$H$3143=$A5))/sum(filter(
Master_Mapping_Sheet!$E$2:$E$3143, ISNUMBER(
Master_Mapping_She"&amp;"et!$E$2:$E$3143),
Master_Mapping_Sheet!$H$2:$H$3143=$A5))), 0, sum(filter(
Master_Mapping_Sheet!$E$2:$E$3143, ISNUMBER(
Master_Mapping_Sheet!$E$2:$E$3143),
Master_Mapping_Sheet!$C$2:$C$3143=V$1,
Master_Mapping_Sheet!$H$2:$H$3143=$A5))/sum(filter(
Master_M"&amp;"apping_Sheet!$E$2:$E$3143, ISNUMBER(
Master_Mapping_Sheet!$E$2:$E$3143),
Master_Mapping_Sheet!$H$2:$H$3143=$A5)))"),0.0)</f>
        <v>0</v>
      </c>
      <c r="W5" s="34">
        <f>IFERROR(__xludf.DUMMYFUNCTION("IF(ISNA(sum(filter(
Master_Mapping_Sheet!$E$2:$E$3143, ISNUMBER(
Master_Mapping_Sheet!$E$2:$E$3143),
Master_Mapping_Sheet!$C$2:$C$3143=W$1,
Master_Mapping_Sheet!$H$2:$H$3143=$A5))/sum(filter(
Master_Mapping_Sheet!$E$2:$E$3143, ISNUMBER(
Master_Mapping_She"&amp;"et!$E$2:$E$3143),
Master_Mapping_Sheet!$H$2:$H$3143=$A5))), 0, sum(filter(
Master_Mapping_Sheet!$E$2:$E$3143, ISNUMBER(
Master_Mapping_Sheet!$E$2:$E$3143),
Master_Mapping_Sheet!$C$2:$C$3143=W$1,
Master_Mapping_Sheet!$H$2:$H$3143=$A5))/sum(filter(
Master_M"&amp;"apping_Sheet!$E$2:$E$3143, ISNUMBER(
Master_Mapping_Sheet!$E$2:$E$3143),
Master_Mapping_Sheet!$H$2:$H$3143=$A5)))"),0.0)</f>
        <v>0</v>
      </c>
      <c r="X5" s="34">
        <f>IFERROR(__xludf.DUMMYFUNCTION("IF(ISNA(sum(filter(
Master_Mapping_Sheet!$E$2:$E$3143, ISNUMBER(
Master_Mapping_Sheet!$E$2:$E$3143),
Master_Mapping_Sheet!$C$2:$C$3143=X$1,
Master_Mapping_Sheet!$H$2:$H$3143=$A5))/sum(filter(
Master_Mapping_Sheet!$E$2:$E$3143, ISNUMBER(
Master_Mapping_She"&amp;"et!$E$2:$E$3143),
Master_Mapping_Sheet!$H$2:$H$3143=$A5))), 0, sum(filter(
Master_Mapping_Sheet!$E$2:$E$3143, ISNUMBER(
Master_Mapping_Sheet!$E$2:$E$3143),
Master_Mapping_Sheet!$C$2:$C$3143=X$1,
Master_Mapping_Sheet!$H$2:$H$3143=$A5))/sum(filter(
Master_M"&amp;"apping_Sheet!$E$2:$E$3143, ISNUMBER(
Master_Mapping_Sheet!$E$2:$E$3143),
Master_Mapping_Sheet!$H$2:$H$3143=$A5)))"),0.0)</f>
        <v>0</v>
      </c>
      <c r="Y5" s="34">
        <f>IFERROR(__xludf.DUMMYFUNCTION("IF(ISNA(sum(filter(
Master_Mapping_Sheet!$E$2:$E$3143, ISNUMBER(
Master_Mapping_Sheet!$E$2:$E$3143),
Master_Mapping_Sheet!$C$2:$C$3143=Y$1,
Master_Mapping_Sheet!$H$2:$H$3143=$A5))/sum(filter(
Master_Mapping_Sheet!$E$2:$E$3143, ISNUMBER(
Master_Mapping_She"&amp;"et!$E$2:$E$3143),
Master_Mapping_Sheet!$H$2:$H$3143=$A5))), 0, sum(filter(
Master_Mapping_Sheet!$E$2:$E$3143, ISNUMBER(
Master_Mapping_Sheet!$E$2:$E$3143),
Master_Mapping_Sheet!$C$2:$C$3143=Y$1,
Master_Mapping_Sheet!$H$2:$H$3143=$A5))/sum(filter(
Master_M"&amp;"apping_Sheet!$E$2:$E$3143, ISNUMBER(
Master_Mapping_Sheet!$E$2:$E$3143),
Master_Mapping_Sheet!$H$2:$H$3143=$A5)))"),0.0)</f>
        <v>0</v>
      </c>
      <c r="Z5" s="34">
        <f>IFERROR(__xludf.DUMMYFUNCTION("IF(ISNA(sum(filter(
Master_Mapping_Sheet!$E$2:$E$3143, ISNUMBER(
Master_Mapping_Sheet!$E$2:$E$3143),
Master_Mapping_Sheet!$C$2:$C$3143=Z$1,
Master_Mapping_Sheet!$H$2:$H$3143=$A5))/sum(filter(
Master_Mapping_Sheet!$E$2:$E$3143, ISNUMBER(
Master_Mapping_She"&amp;"et!$E$2:$E$3143),
Master_Mapping_Sheet!$H$2:$H$3143=$A5))), 0, sum(filter(
Master_Mapping_Sheet!$E$2:$E$3143, ISNUMBER(
Master_Mapping_Sheet!$E$2:$E$3143),
Master_Mapping_Sheet!$C$2:$C$3143=Z$1,
Master_Mapping_Sheet!$H$2:$H$3143=$A5))/sum(filter(
Master_M"&amp;"apping_Sheet!$E$2:$E$3143, ISNUMBER(
Master_Mapping_Sheet!$E$2:$E$3143),
Master_Mapping_Sheet!$H$2:$H$3143=$A5)))"),0.0)</f>
        <v>0</v>
      </c>
      <c r="AA5" s="34">
        <f>IFERROR(__xludf.DUMMYFUNCTION("IF(ISNA(sum(filter(
Master_Mapping_Sheet!$E$2:$E$3143, ISNUMBER(
Master_Mapping_Sheet!$E$2:$E$3143),
Master_Mapping_Sheet!$C$2:$C$3143=AA$1,
Master_Mapping_Sheet!$H$2:$H$3143=$A5))/sum(filter(
Master_Mapping_Sheet!$E$2:$E$3143, ISNUMBER(
Master_Mapping_Sh"&amp;"eet!$E$2:$E$3143),
Master_Mapping_Sheet!$H$2:$H$3143=$A5))), 0, sum(filter(
Master_Mapping_Sheet!$E$2:$E$3143, ISNUMBER(
Master_Mapping_Sheet!$E$2:$E$3143),
Master_Mapping_Sheet!$C$2:$C$3143=AA$1,
Master_Mapping_Sheet!$H$2:$H$3143=$A5))/sum(filter(
Master"&amp;"_Mapping_Sheet!$E$2:$E$3143, ISNUMBER(
Master_Mapping_Sheet!$E$2:$E$3143),
Master_Mapping_Sheet!$H$2:$H$3143=$A5)))"),0.30612012623616547)</f>
        <v>0.3061201262</v>
      </c>
      <c r="AB5" s="34">
        <f>IFERROR(__xludf.DUMMYFUNCTION("IF(ISNA(sum(filter(
Master_Mapping_Sheet!$E$2:$E$3143, ISNUMBER(
Master_Mapping_Sheet!$E$2:$E$3143),
Master_Mapping_Sheet!$C$2:$C$3143=AB$1,
Master_Mapping_Sheet!$H$2:$H$3143=$A5))/sum(filter(
Master_Mapping_Sheet!$E$2:$E$3143, ISNUMBER(
Master_Mapping_Sh"&amp;"eet!$E$2:$E$3143),
Master_Mapping_Sheet!$H$2:$H$3143=$A5))), 0, sum(filter(
Master_Mapping_Sheet!$E$2:$E$3143, ISNUMBER(
Master_Mapping_Sheet!$E$2:$E$3143),
Master_Mapping_Sheet!$C$2:$C$3143=AB$1,
Master_Mapping_Sheet!$H$2:$H$3143=$A5))/sum(filter(
Master"&amp;"_Mapping_Sheet!$E$2:$E$3143, ISNUMBER(
Master_Mapping_Sheet!$E$2:$E$3143),
Master_Mapping_Sheet!$H$2:$H$3143=$A5)))"),0.0)</f>
        <v>0</v>
      </c>
      <c r="AC5" s="34">
        <f>IFERROR(__xludf.DUMMYFUNCTION("IF(ISNA(sum(filter(
Master_Mapping_Sheet!$E$2:$E$3143, ISNUMBER(
Master_Mapping_Sheet!$E$2:$E$3143),
Master_Mapping_Sheet!$C$2:$C$3143=AC$1,
Master_Mapping_Sheet!$H$2:$H$3143=$A5))/sum(filter(
Master_Mapping_Sheet!$E$2:$E$3143, ISNUMBER(
Master_Mapping_Sh"&amp;"eet!$E$2:$E$3143),
Master_Mapping_Sheet!$H$2:$H$3143=$A5))), 0, sum(filter(
Master_Mapping_Sheet!$E$2:$E$3143, ISNUMBER(
Master_Mapping_Sheet!$E$2:$E$3143),
Master_Mapping_Sheet!$C$2:$C$3143=AC$1,
Master_Mapping_Sheet!$H$2:$H$3143=$A5))/sum(filter(
Master"&amp;"_Mapping_Sheet!$E$2:$E$3143, ISNUMBER(
Master_Mapping_Sheet!$E$2:$E$3143),
Master_Mapping_Sheet!$H$2:$H$3143=$A5)))"),0.0)</f>
        <v>0</v>
      </c>
      <c r="AD5" s="34">
        <f>IFERROR(__xludf.DUMMYFUNCTION("IF(ISNA(sum(filter(
Master_Mapping_Sheet!$E$2:$E$3143, ISNUMBER(
Master_Mapping_Sheet!$E$2:$E$3143),
Master_Mapping_Sheet!$C$2:$C$3143=AD$1,
Master_Mapping_Sheet!$H$2:$H$3143=$A5))/sum(filter(
Master_Mapping_Sheet!$E$2:$E$3143, ISNUMBER(
Master_Mapping_Sh"&amp;"eet!$E$2:$E$3143),
Master_Mapping_Sheet!$H$2:$H$3143=$A5))), 0, sum(filter(
Master_Mapping_Sheet!$E$2:$E$3143, ISNUMBER(
Master_Mapping_Sheet!$E$2:$E$3143),
Master_Mapping_Sheet!$C$2:$C$3143=AD$1,
Master_Mapping_Sheet!$H$2:$H$3143=$A5))/sum(filter(
Master"&amp;"_Mapping_Sheet!$E$2:$E$3143, ISNUMBER(
Master_Mapping_Sheet!$E$2:$E$3143),
Master_Mapping_Sheet!$H$2:$H$3143=$A5)))"),0.0)</f>
        <v>0</v>
      </c>
      <c r="AE5" s="34">
        <f>IFERROR(__xludf.DUMMYFUNCTION("IF(ISNA(sum(filter(
Master_Mapping_Sheet!$E$2:$E$3143, ISNUMBER(
Master_Mapping_Sheet!$E$2:$E$3143),
Master_Mapping_Sheet!$C$2:$C$3143=AE$1,
Master_Mapping_Sheet!$H$2:$H$3143=$A5))/sum(filter(
Master_Mapping_Sheet!$E$2:$E$3143, ISNUMBER(
Master_Mapping_Sh"&amp;"eet!$E$2:$E$3143),
Master_Mapping_Sheet!$H$2:$H$3143=$A5))), 0, sum(filter(
Master_Mapping_Sheet!$E$2:$E$3143, ISNUMBER(
Master_Mapping_Sheet!$E$2:$E$3143),
Master_Mapping_Sheet!$C$2:$C$3143=AE$1,
Master_Mapping_Sheet!$H$2:$H$3143=$A5))/sum(filter(
Master"&amp;"_Mapping_Sheet!$E$2:$E$3143, ISNUMBER(
Master_Mapping_Sheet!$E$2:$E$3143),
Master_Mapping_Sheet!$H$2:$H$3143=$A5)))"),0.0)</f>
        <v>0</v>
      </c>
      <c r="AF5" s="34">
        <f>IFERROR(__xludf.DUMMYFUNCTION("IF(ISNA(sum(filter(
Master_Mapping_Sheet!$E$2:$E$3143, ISNUMBER(
Master_Mapping_Sheet!$E$2:$E$3143),
Master_Mapping_Sheet!$C$2:$C$3143=AF$1,
Master_Mapping_Sheet!$H$2:$H$3143=$A5))/sum(filter(
Master_Mapping_Sheet!$E$2:$E$3143, ISNUMBER(
Master_Mapping_Sh"&amp;"eet!$E$2:$E$3143),
Master_Mapping_Sheet!$H$2:$H$3143=$A5))), 0, sum(filter(
Master_Mapping_Sheet!$E$2:$E$3143, ISNUMBER(
Master_Mapping_Sheet!$E$2:$E$3143),
Master_Mapping_Sheet!$C$2:$C$3143=AF$1,
Master_Mapping_Sheet!$H$2:$H$3143=$A5))/sum(filter(
Master"&amp;"_Mapping_Sheet!$E$2:$E$3143, ISNUMBER(
Master_Mapping_Sheet!$E$2:$E$3143),
Master_Mapping_Sheet!$H$2:$H$3143=$A5)))"),0.0)</f>
        <v>0</v>
      </c>
      <c r="AG5" s="34">
        <f>IFERROR(__xludf.DUMMYFUNCTION("IF(ISNA(sum(filter(
Master_Mapping_Sheet!$E$2:$E$3143, ISNUMBER(
Master_Mapping_Sheet!$E$2:$E$3143),
Master_Mapping_Sheet!$C$2:$C$3143=AG$1,
Master_Mapping_Sheet!$H$2:$H$3143=$A5))/sum(filter(
Master_Mapping_Sheet!$E$2:$E$3143, ISNUMBER(
Master_Mapping_Sh"&amp;"eet!$E$2:$E$3143),
Master_Mapping_Sheet!$H$2:$H$3143=$A5))), 0, sum(filter(
Master_Mapping_Sheet!$E$2:$E$3143, ISNUMBER(
Master_Mapping_Sheet!$E$2:$E$3143),
Master_Mapping_Sheet!$C$2:$C$3143=AG$1,
Master_Mapping_Sheet!$H$2:$H$3143=$A5))/sum(filter(
Master"&amp;"_Mapping_Sheet!$E$2:$E$3143, ISNUMBER(
Master_Mapping_Sheet!$E$2:$E$3143),
Master_Mapping_Sheet!$H$2:$H$3143=$A5)))"),0.0)</f>
        <v>0</v>
      </c>
      <c r="AH5" s="34">
        <f>IFERROR(__xludf.DUMMYFUNCTION("IF(ISNA(sum(filter(
Master_Mapping_Sheet!$E$2:$E$3143, ISNUMBER(
Master_Mapping_Sheet!$E$2:$E$3143),
Master_Mapping_Sheet!$C$2:$C$3143=AH$1,
Master_Mapping_Sheet!$H$2:$H$3143=$A5))/sum(filter(
Master_Mapping_Sheet!$E$2:$E$3143, ISNUMBER(
Master_Mapping_Sh"&amp;"eet!$E$2:$E$3143),
Master_Mapping_Sheet!$H$2:$H$3143=$A5))), 0, sum(filter(
Master_Mapping_Sheet!$E$2:$E$3143, ISNUMBER(
Master_Mapping_Sheet!$E$2:$E$3143),
Master_Mapping_Sheet!$C$2:$C$3143=AH$1,
Master_Mapping_Sheet!$H$2:$H$3143=$A5))/sum(filter(
Master"&amp;"_Mapping_Sheet!$E$2:$E$3143, ISNUMBER(
Master_Mapping_Sheet!$E$2:$E$3143),
Master_Mapping_Sheet!$H$2:$H$3143=$A5)))"),0.0)</f>
        <v>0</v>
      </c>
      <c r="AI5" s="34">
        <f>IFERROR(__xludf.DUMMYFUNCTION("IF(ISNA(sum(filter(
Master_Mapping_Sheet!$E$2:$E$3143, ISNUMBER(
Master_Mapping_Sheet!$E$2:$E$3143),
Master_Mapping_Sheet!$C$2:$C$3143=AI$1,
Master_Mapping_Sheet!$H$2:$H$3143=$A5))/sum(filter(
Master_Mapping_Sheet!$E$2:$E$3143, ISNUMBER(
Master_Mapping_Sh"&amp;"eet!$E$2:$E$3143),
Master_Mapping_Sheet!$H$2:$H$3143=$A5))), 0, sum(filter(
Master_Mapping_Sheet!$E$2:$E$3143, ISNUMBER(
Master_Mapping_Sheet!$E$2:$E$3143),
Master_Mapping_Sheet!$C$2:$C$3143=AI$1,
Master_Mapping_Sheet!$H$2:$H$3143=$A5))/sum(filter(
Master"&amp;"_Mapping_Sheet!$E$2:$E$3143, ISNUMBER(
Master_Mapping_Sheet!$E$2:$E$3143),
Master_Mapping_Sheet!$H$2:$H$3143=$A5)))"),0.0)</f>
        <v>0</v>
      </c>
      <c r="AJ5" s="34">
        <f>IFERROR(__xludf.DUMMYFUNCTION("IF(ISNA(sum(filter(
Master_Mapping_Sheet!$E$2:$E$3143, ISNUMBER(
Master_Mapping_Sheet!$E$2:$E$3143),
Master_Mapping_Sheet!$C$2:$C$3143=AJ$1,
Master_Mapping_Sheet!$H$2:$H$3143=$A5))/sum(filter(
Master_Mapping_Sheet!$E$2:$E$3143, ISNUMBER(
Master_Mapping_Sh"&amp;"eet!$E$2:$E$3143),
Master_Mapping_Sheet!$H$2:$H$3143=$A5))), 0, sum(filter(
Master_Mapping_Sheet!$E$2:$E$3143, ISNUMBER(
Master_Mapping_Sheet!$E$2:$E$3143),
Master_Mapping_Sheet!$C$2:$C$3143=AJ$1,
Master_Mapping_Sheet!$H$2:$H$3143=$A5))/sum(filter(
Master"&amp;"_Mapping_Sheet!$E$2:$E$3143, ISNUMBER(
Master_Mapping_Sheet!$E$2:$E$3143),
Master_Mapping_Sheet!$H$2:$H$3143=$A5)))"),0.0)</f>
        <v>0</v>
      </c>
      <c r="AK5" s="34">
        <f>IFERROR(__xludf.DUMMYFUNCTION("IF(ISNA(sum(filter(
Master_Mapping_Sheet!$E$2:$E$3143, ISNUMBER(
Master_Mapping_Sheet!$E$2:$E$3143),
Master_Mapping_Sheet!$C$2:$C$3143=AK$1,
Master_Mapping_Sheet!$H$2:$H$3143=$A5))/sum(filter(
Master_Mapping_Sheet!$E$2:$E$3143, ISNUMBER(
Master_Mapping_Sh"&amp;"eet!$E$2:$E$3143),
Master_Mapping_Sheet!$H$2:$H$3143=$A5))), 0, sum(filter(
Master_Mapping_Sheet!$E$2:$E$3143, ISNUMBER(
Master_Mapping_Sheet!$E$2:$E$3143),
Master_Mapping_Sheet!$C$2:$C$3143=AK$1,
Master_Mapping_Sheet!$H$2:$H$3143=$A5))/sum(filter(
Master"&amp;"_Mapping_Sheet!$E$2:$E$3143, ISNUMBER(
Master_Mapping_Sheet!$E$2:$E$3143),
Master_Mapping_Sheet!$H$2:$H$3143=$A5)))"),0.0)</f>
        <v>0</v>
      </c>
      <c r="AL5" s="34">
        <f>IFERROR(__xludf.DUMMYFUNCTION("IF(ISNA(sum(filter(
Master_Mapping_Sheet!$E$2:$E$3143, ISNUMBER(
Master_Mapping_Sheet!$E$2:$E$3143),
Master_Mapping_Sheet!$C$2:$C$3143=AL$1,
Master_Mapping_Sheet!$H$2:$H$3143=$A5))/sum(filter(
Master_Mapping_Sheet!$E$2:$E$3143, ISNUMBER(
Master_Mapping_Sh"&amp;"eet!$E$2:$E$3143),
Master_Mapping_Sheet!$H$2:$H$3143=$A5))), 0, sum(filter(
Master_Mapping_Sheet!$E$2:$E$3143, ISNUMBER(
Master_Mapping_Sheet!$E$2:$E$3143),
Master_Mapping_Sheet!$C$2:$C$3143=AL$1,
Master_Mapping_Sheet!$H$2:$H$3143=$A5))/sum(filter(
Master"&amp;"_Mapping_Sheet!$E$2:$E$3143, ISNUMBER(
Master_Mapping_Sheet!$E$2:$E$3143),
Master_Mapping_Sheet!$H$2:$H$3143=$A5)))"),0.0)</f>
        <v>0</v>
      </c>
      <c r="AM5" s="34">
        <f>IFERROR(__xludf.DUMMYFUNCTION("IF(ISNA(sum(filter(
Master_Mapping_Sheet!$E$2:$E$3143, ISNUMBER(
Master_Mapping_Sheet!$E$2:$E$3143),
Master_Mapping_Sheet!$C$2:$C$3143=AM$1,
Master_Mapping_Sheet!$H$2:$H$3143=$A5))/sum(filter(
Master_Mapping_Sheet!$E$2:$E$3143, ISNUMBER(
Master_Mapping_Sh"&amp;"eet!$E$2:$E$3143),
Master_Mapping_Sheet!$H$2:$H$3143=$A5))), 0, sum(filter(
Master_Mapping_Sheet!$E$2:$E$3143, ISNUMBER(
Master_Mapping_Sheet!$E$2:$E$3143),
Master_Mapping_Sheet!$C$2:$C$3143=AM$1,
Master_Mapping_Sheet!$H$2:$H$3143=$A5))/sum(filter(
Master"&amp;"_Mapping_Sheet!$E$2:$E$3143, ISNUMBER(
Master_Mapping_Sheet!$E$2:$E$3143),
Master_Mapping_Sheet!$H$2:$H$3143=$A5)))"),0.0)</f>
        <v>0</v>
      </c>
      <c r="AN5" s="34">
        <f>IFERROR(__xludf.DUMMYFUNCTION("IF(ISNA(sum(filter(
Master_Mapping_Sheet!$E$2:$E$3143, ISNUMBER(
Master_Mapping_Sheet!$E$2:$E$3143),
Master_Mapping_Sheet!$C$2:$C$3143=AN$1,
Master_Mapping_Sheet!$H$2:$H$3143=$A5))/sum(filter(
Master_Mapping_Sheet!$E$2:$E$3143, ISNUMBER(
Master_Mapping_Sh"&amp;"eet!$E$2:$E$3143),
Master_Mapping_Sheet!$H$2:$H$3143=$A5))), 0, sum(filter(
Master_Mapping_Sheet!$E$2:$E$3143, ISNUMBER(
Master_Mapping_Sheet!$E$2:$E$3143),
Master_Mapping_Sheet!$C$2:$C$3143=AN$1,
Master_Mapping_Sheet!$H$2:$H$3143=$A5))/sum(filter(
Master"&amp;"_Mapping_Sheet!$E$2:$E$3143, ISNUMBER(
Master_Mapping_Sheet!$E$2:$E$3143),
Master_Mapping_Sheet!$H$2:$H$3143=$A5)))"),0.0)</f>
        <v>0</v>
      </c>
      <c r="AO5" s="34">
        <f>IFERROR(__xludf.DUMMYFUNCTION("IF(ISNA(sum(filter(
Master_Mapping_Sheet!$E$2:$E$3143, ISNUMBER(
Master_Mapping_Sheet!$E$2:$E$3143),
Master_Mapping_Sheet!$C$2:$C$3143=AO$1,
Master_Mapping_Sheet!$H$2:$H$3143=$A5))/sum(filter(
Master_Mapping_Sheet!$E$2:$E$3143, ISNUMBER(
Master_Mapping_Sh"&amp;"eet!$E$2:$E$3143),
Master_Mapping_Sheet!$H$2:$H$3143=$A5))), 0, sum(filter(
Master_Mapping_Sheet!$E$2:$E$3143, ISNUMBER(
Master_Mapping_Sheet!$E$2:$E$3143),
Master_Mapping_Sheet!$C$2:$C$3143=AO$1,
Master_Mapping_Sheet!$H$2:$H$3143=$A5))/sum(filter(
Master"&amp;"_Mapping_Sheet!$E$2:$E$3143, ISNUMBER(
Master_Mapping_Sheet!$E$2:$E$3143),
Master_Mapping_Sheet!$H$2:$H$3143=$A5)))"),0.0)</f>
        <v>0</v>
      </c>
      <c r="AP5" s="34">
        <f>IFERROR(__xludf.DUMMYFUNCTION("IF(ISNA(sum(filter(
Master_Mapping_Sheet!$E$2:$E$3143, ISNUMBER(
Master_Mapping_Sheet!$E$2:$E$3143),
Master_Mapping_Sheet!$C$2:$C$3143=AP$1,
Master_Mapping_Sheet!$H$2:$H$3143=$A5))/sum(filter(
Master_Mapping_Sheet!$E$2:$E$3143, ISNUMBER(
Master_Mapping_Sh"&amp;"eet!$E$2:$E$3143),
Master_Mapping_Sheet!$H$2:$H$3143=$A5))), 0, sum(filter(
Master_Mapping_Sheet!$E$2:$E$3143, ISNUMBER(
Master_Mapping_Sheet!$E$2:$E$3143),
Master_Mapping_Sheet!$C$2:$C$3143=AP$1,
Master_Mapping_Sheet!$H$2:$H$3143=$A5))/sum(filter(
Master"&amp;"_Mapping_Sheet!$E$2:$E$3143, ISNUMBER(
Master_Mapping_Sheet!$E$2:$E$3143),
Master_Mapping_Sheet!$H$2:$H$3143=$A5)))"),0.0)</f>
        <v>0</v>
      </c>
      <c r="AQ5" s="34">
        <f>IFERROR(__xludf.DUMMYFUNCTION("IF(ISNA(sum(filter(
Master_Mapping_Sheet!$E$2:$E$3143, ISNUMBER(
Master_Mapping_Sheet!$E$2:$E$3143),
Master_Mapping_Sheet!$C$2:$C$3143=AQ$1,
Master_Mapping_Sheet!$H$2:$H$3143=$A5))/sum(filter(
Master_Mapping_Sheet!$E$2:$E$3143, ISNUMBER(
Master_Mapping_Sh"&amp;"eet!$E$2:$E$3143),
Master_Mapping_Sheet!$H$2:$H$3143=$A5))), 0, sum(filter(
Master_Mapping_Sheet!$E$2:$E$3143, ISNUMBER(
Master_Mapping_Sheet!$E$2:$E$3143),
Master_Mapping_Sheet!$C$2:$C$3143=AQ$1,
Master_Mapping_Sheet!$H$2:$H$3143=$A5))/sum(filter(
Master"&amp;"_Mapping_Sheet!$E$2:$E$3143, ISNUMBER(
Master_Mapping_Sheet!$E$2:$E$3143),
Master_Mapping_Sheet!$H$2:$H$3143=$A5)))"),0.0)</f>
        <v>0</v>
      </c>
      <c r="AR5" s="34">
        <f>IFERROR(__xludf.DUMMYFUNCTION("IF(ISNA(sum(filter(
Master_Mapping_Sheet!$E$2:$E$3143, ISNUMBER(
Master_Mapping_Sheet!$E$2:$E$3143),
Master_Mapping_Sheet!$C$2:$C$3143=AR$1,
Master_Mapping_Sheet!$H$2:$H$3143=$A5))/sum(filter(
Master_Mapping_Sheet!$E$2:$E$3143, ISNUMBER(
Master_Mapping_Sh"&amp;"eet!$E$2:$E$3143),
Master_Mapping_Sheet!$H$2:$H$3143=$A5))), 0, sum(filter(
Master_Mapping_Sheet!$E$2:$E$3143, ISNUMBER(
Master_Mapping_Sheet!$E$2:$E$3143),
Master_Mapping_Sheet!$C$2:$C$3143=AR$1,
Master_Mapping_Sheet!$H$2:$H$3143=$A5))/sum(filter(
Master"&amp;"_Mapping_Sheet!$E$2:$E$3143, ISNUMBER(
Master_Mapping_Sheet!$E$2:$E$3143),
Master_Mapping_Sheet!$H$2:$H$3143=$A5)))"),0.0)</f>
        <v>0</v>
      </c>
      <c r="AS5" s="34">
        <f>IFERROR(__xludf.DUMMYFUNCTION("IF(ISNA(sum(filter(
Master_Mapping_Sheet!$E$2:$E$3143, ISNUMBER(
Master_Mapping_Sheet!$E$2:$E$3143),
Master_Mapping_Sheet!$C$2:$C$3143=AS$1,
Master_Mapping_Sheet!$H$2:$H$3143=$A5))/sum(filter(
Master_Mapping_Sheet!$E$2:$E$3143, ISNUMBER(
Master_Mapping_Sh"&amp;"eet!$E$2:$E$3143),
Master_Mapping_Sheet!$H$2:$H$3143=$A5))), 0, sum(filter(
Master_Mapping_Sheet!$E$2:$E$3143, ISNUMBER(
Master_Mapping_Sheet!$E$2:$E$3143),
Master_Mapping_Sheet!$C$2:$C$3143=AS$1,
Master_Mapping_Sheet!$H$2:$H$3143=$A5))/sum(filter(
Master"&amp;"_Mapping_Sheet!$E$2:$E$3143, ISNUMBER(
Master_Mapping_Sheet!$E$2:$E$3143),
Master_Mapping_Sheet!$H$2:$H$3143=$A5)))"),0.0)</f>
        <v>0</v>
      </c>
      <c r="AT5" s="34">
        <f>IFERROR(__xludf.DUMMYFUNCTION("IF(ISNA(sum(filter(
Master_Mapping_Sheet!$E$2:$E$3143, ISNUMBER(
Master_Mapping_Sheet!$E$2:$E$3143),
Master_Mapping_Sheet!$C$2:$C$3143=AT$1,
Master_Mapping_Sheet!$H$2:$H$3143=$A5))/sum(filter(
Master_Mapping_Sheet!$E$2:$E$3143, ISNUMBER(
Master_Mapping_Sh"&amp;"eet!$E$2:$E$3143),
Master_Mapping_Sheet!$H$2:$H$3143=$A5))), 0, sum(filter(
Master_Mapping_Sheet!$E$2:$E$3143, ISNUMBER(
Master_Mapping_Sheet!$E$2:$E$3143),
Master_Mapping_Sheet!$C$2:$C$3143=AT$1,
Master_Mapping_Sheet!$H$2:$H$3143=$A5))/sum(filter(
Master"&amp;"_Mapping_Sheet!$E$2:$E$3143, ISNUMBER(
Master_Mapping_Sheet!$E$2:$E$3143),
Master_Mapping_Sheet!$H$2:$H$3143=$A5)))"),0.0)</f>
        <v>0</v>
      </c>
      <c r="AU5" s="34">
        <f>IFERROR(__xludf.DUMMYFUNCTION("IF(ISNA(sum(filter(
Master_Mapping_Sheet!$E$2:$E$3143, ISNUMBER(
Master_Mapping_Sheet!$E$2:$E$3143),
Master_Mapping_Sheet!$C$2:$C$3143=AU$1,
Master_Mapping_Sheet!$H$2:$H$3143=$A5))/sum(filter(
Master_Mapping_Sheet!$E$2:$E$3143, ISNUMBER(
Master_Mapping_Sh"&amp;"eet!$E$2:$E$3143),
Master_Mapping_Sheet!$H$2:$H$3143=$A5))), 0, sum(filter(
Master_Mapping_Sheet!$E$2:$E$3143, ISNUMBER(
Master_Mapping_Sheet!$E$2:$E$3143),
Master_Mapping_Sheet!$C$2:$C$3143=AU$1,
Master_Mapping_Sheet!$H$2:$H$3143=$A5))/sum(filter(
Master"&amp;"_Mapping_Sheet!$E$2:$E$3143, ISNUMBER(
Master_Mapping_Sheet!$E$2:$E$3143),
Master_Mapping_Sheet!$H$2:$H$3143=$A5)))"),0.0)</f>
        <v>0</v>
      </c>
      <c r="AV5" s="34">
        <f>IFERROR(__xludf.DUMMYFUNCTION("IF(ISNA(sum(filter(
Master_Mapping_Sheet!$E$2:$E$3143, ISNUMBER(
Master_Mapping_Sheet!$E$2:$E$3143),
Master_Mapping_Sheet!$C$2:$C$3143=AV$1,
Master_Mapping_Sheet!$H$2:$H$3143=$A5))/sum(filter(
Master_Mapping_Sheet!$E$2:$E$3143, ISNUMBER(
Master_Mapping_Sh"&amp;"eet!$E$2:$E$3143),
Master_Mapping_Sheet!$H$2:$H$3143=$A5))), 0, sum(filter(
Master_Mapping_Sheet!$E$2:$E$3143, ISNUMBER(
Master_Mapping_Sheet!$E$2:$E$3143),
Master_Mapping_Sheet!$C$2:$C$3143=AV$1,
Master_Mapping_Sheet!$H$2:$H$3143=$A5))/sum(filter(
Master"&amp;"_Mapping_Sheet!$E$2:$E$3143, ISNUMBER(
Master_Mapping_Sheet!$E$2:$E$3143),
Master_Mapping_Sheet!$H$2:$H$3143=$A5)))"),0.0)</f>
        <v>0</v>
      </c>
      <c r="AW5" s="34">
        <f>IFERROR(__xludf.DUMMYFUNCTION("IF(ISNA(sum(filter(
Master_Mapping_Sheet!$E$2:$E$3143, ISNUMBER(
Master_Mapping_Sheet!$E$2:$E$3143),
Master_Mapping_Sheet!$C$2:$C$3143=AW$1,
Master_Mapping_Sheet!$H$2:$H$3143=$A5))/sum(filter(
Master_Mapping_Sheet!$E$2:$E$3143, ISNUMBER(
Master_Mapping_Sh"&amp;"eet!$E$2:$E$3143),
Master_Mapping_Sheet!$H$2:$H$3143=$A5))), 0, sum(filter(
Master_Mapping_Sheet!$E$2:$E$3143, ISNUMBER(
Master_Mapping_Sheet!$E$2:$E$3143),
Master_Mapping_Sheet!$C$2:$C$3143=AW$1,
Master_Mapping_Sheet!$H$2:$H$3143=$A5))/sum(filter(
Master"&amp;"_Mapping_Sheet!$E$2:$E$3143, ISNUMBER(
Master_Mapping_Sheet!$E$2:$E$3143),
Master_Mapping_Sheet!$H$2:$H$3143=$A5)))"),0.0)</f>
        <v>0</v>
      </c>
      <c r="AX5" s="34">
        <f>IFERROR(__xludf.DUMMYFUNCTION("IF(ISNA(sum(filter(
Master_Mapping_Sheet!$E$2:$E$3143, ISNUMBER(
Master_Mapping_Sheet!$E$2:$E$3143),
Master_Mapping_Sheet!$C$2:$C$3143=AX$1,
Master_Mapping_Sheet!$H$2:$H$3143=$A5))/sum(filter(
Master_Mapping_Sheet!$E$2:$E$3143, ISNUMBER(
Master_Mapping_Sh"&amp;"eet!$E$2:$E$3143),
Master_Mapping_Sheet!$H$2:$H$3143=$A5))), 0, sum(filter(
Master_Mapping_Sheet!$E$2:$E$3143, ISNUMBER(
Master_Mapping_Sheet!$E$2:$E$3143),
Master_Mapping_Sheet!$C$2:$C$3143=AX$1,
Master_Mapping_Sheet!$H$2:$H$3143=$A5))/sum(filter(
Master"&amp;"_Mapping_Sheet!$E$2:$E$3143, ISNUMBER(
Master_Mapping_Sheet!$E$2:$E$3143),
Master_Mapping_Sheet!$H$2:$H$3143=$A5)))"),0.0)</f>
        <v>0</v>
      </c>
      <c r="AY5" s="34">
        <f>IFERROR(__xludf.DUMMYFUNCTION("IF(ISNA(sum(filter(
Master_Mapping_Sheet!$E$2:$E$3143, ISNUMBER(
Master_Mapping_Sheet!$E$2:$E$3143),
Master_Mapping_Sheet!$C$2:$C$3143=AY$1,
Master_Mapping_Sheet!$H$2:$H$3143=$A5))/sum(filter(
Master_Mapping_Sheet!$E$2:$E$3143, ISNUMBER(
Master_Mapping_Sh"&amp;"eet!$E$2:$E$3143),
Master_Mapping_Sheet!$H$2:$H$3143=$A5))), 0, sum(filter(
Master_Mapping_Sheet!$E$2:$E$3143, ISNUMBER(
Master_Mapping_Sheet!$E$2:$E$3143),
Master_Mapping_Sheet!$C$2:$C$3143=AY$1,
Master_Mapping_Sheet!$H$2:$H$3143=$A5))/sum(filter(
Master"&amp;"_Mapping_Sheet!$E$2:$E$3143, ISNUMBER(
Master_Mapping_Sheet!$E$2:$E$3143),
Master_Mapping_Sheet!$H$2:$H$3143=$A5)))"),0.0)</f>
        <v>0</v>
      </c>
      <c r="AZ5" s="34">
        <f>IFERROR(__xludf.DUMMYFUNCTION("IF(ISNA(sum(filter(
Master_Mapping_Sheet!$E$2:$E$3143, ISNUMBER(
Master_Mapping_Sheet!$E$2:$E$3143),
Master_Mapping_Sheet!$C$2:$C$3143=AZ$1,
Master_Mapping_Sheet!$H$2:$H$3143=$A5))/sum(filter(
Master_Mapping_Sheet!$E$2:$E$3143, ISNUMBER(
Master_Mapping_Sh"&amp;"eet!$E$2:$E$3143),
Master_Mapping_Sheet!$H$2:$H$3143=$A5))), 0, sum(filter(
Master_Mapping_Sheet!$E$2:$E$3143, ISNUMBER(
Master_Mapping_Sheet!$E$2:$E$3143),
Master_Mapping_Sheet!$C$2:$C$3143=AZ$1,
Master_Mapping_Sheet!$H$2:$H$3143=$A5))/sum(filter(
Master"&amp;"_Mapping_Sheet!$E$2:$E$3143, ISNUMBER(
Master_Mapping_Sheet!$E$2:$E$3143),
Master_Mapping_Sheet!$H$2:$H$3143=$A5)))"),0.0)</f>
        <v>0</v>
      </c>
    </row>
    <row r="6" ht="15.75" customHeight="1">
      <c r="A6" s="34" t="s">
        <v>4003</v>
      </c>
      <c r="B6" s="34">
        <f>IFERROR(__xludf.DUMMYFUNCTION("IF(ISNA(sum(filter(
Master_Mapping_Sheet!$E$2:$E$3143, ISNUMBER(
Master_Mapping_Sheet!$E$2:$E$3143),
Master_Mapping_Sheet!$C$2:$C$3143=B$1,
Master_Mapping_Sheet!$H$2:$H$3143=$A6))/sum(filter(
Master_Mapping_Sheet!$E$2:$E$3143, ISNUMBER(
Master_Mapping_She"&amp;"et!$E$2:$E$3143),
Master_Mapping_Sheet!$H$2:$H$3143=$A6))), 0, sum(filter(
Master_Mapping_Sheet!$E$2:$E$3143, ISNUMBER(
Master_Mapping_Sheet!$E$2:$E$3143),
Master_Mapping_Sheet!$C$2:$C$3143=B$1,
Master_Mapping_Sheet!$H$2:$H$3143=$A6))/sum(filter(
Master_M"&amp;"apping_Sheet!$E$2:$E$3143, ISNUMBER(
Master_Mapping_Sheet!$E$2:$E$3143),
Master_Mapping_Sheet!$H$2:$H$3143=$A6)))"),0.0)</f>
        <v>0</v>
      </c>
      <c r="C6" s="34">
        <f>IFERROR(__xludf.DUMMYFUNCTION("IF(ISNA(sum(filter(
Master_Mapping_Sheet!$E$2:$E$3143, ISNUMBER(
Master_Mapping_Sheet!$E$2:$E$3143),
Master_Mapping_Sheet!$C$2:$C$3143=C$1,
Master_Mapping_Sheet!$H$2:$H$3143=$A6))/sum(filter(
Master_Mapping_Sheet!$E$2:$E$3143, ISNUMBER(
Master_Mapping_She"&amp;"et!$E$2:$E$3143),
Master_Mapping_Sheet!$H$2:$H$3143=$A6))), 0, sum(filter(
Master_Mapping_Sheet!$E$2:$E$3143, ISNUMBER(
Master_Mapping_Sheet!$E$2:$E$3143),
Master_Mapping_Sheet!$C$2:$C$3143=C$1,
Master_Mapping_Sheet!$H$2:$H$3143=$A6))/sum(filter(
Master_M"&amp;"apping_Sheet!$E$2:$E$3143, ISNUMBER(
Master_Mapping_Sheet!$E$2:$E$3143),
Master_Mapping_Sheet!$H$2:$H$3143=$A6)))"),0.0)</f>
        <v>0</v>
      </c>
      <c r="D6" s="34">
        <f>IFERROR(__xludf.DUMMYFUNCTION("IF(ISNA(sum(filter(
Master_Mapping_Sheet!$E$2:$E$3143, ISNUMBER(
Master_Mapping_Sheet!$E$2:$E$3143),
Master_Mapping_Sheet!$C$2:$C$3143=D$1,
Master_Mapping_Sheet!$H$2:$H$3143=$A6))/sum(filter(
Master_Mapping_Sheet!$E$2:$E$3143, ISNUMBER(
Master_Mapping_She"&amp;"et!$E$2:$E$3143),
Master_Mapping_Sheet!$H$2:$H$3143=$A6))), 0, sum(filter(
Master_Mapping_Sheet!$E$2:$E$3143, ISNUMBER(
Master_Mapping_Sheet!$E$2:$E$3143),
Master_Mapping_Sheet!$C$2:$C$3143=D$1,
Master_Mapping_Sheet!$H$2:$H$3143=$A6))/sum(filter(
Master_M"&amp;"apping_Sheet!$E$2:$E$3143, ISNUMBER(
Master_Mapping_Sheet!$E$2:$E$3143),
Master_Mapping_Sheet!$H$2:$H$3143=$A6)))"),0.0)</f>
        <v>0</v>
      </c>
      <c r="E6" s="34">
        <f>IFERROR(__xludf.DUMMYFUNCTION("IF(ISNA(sum(filter(
Master_Mapping_Sheet!$E$2:$E$3143, ISNUMBER(
Master_Mapping_Sheet!$E$2:$E$3143),
Master_Mapping_Sheet!$C$2:$C$3143=E$1,
Master_Mapping_Sheet!$H$2:$H$3143=$A6))/sum(filter(
Master_Mapping_Sheet!$E$2:$E$3143, ISNUMBER(
Master_Mapping_She"&amp;"et!$E$2:$E$3143),
Master_Mapping_Sheet!$H$2:$H$3143=$A6))), 0, sum(filter(
Master_Mapping_Sheet!$E$2:$E$3143, ISNUMBER(
Master_Mapping_Sheet!$E$2:$E$3143),
Master_Mapping_Sheet!$C$2:$C$3143=E$1,
Master_Mapping_Sheet!$H$2:$H$3143=$A6))/sum(filter(
Master_M"&amp;"apping_Sheet!$E$2:$E$3143, ISNUMBER(
Master_Mapping_Sheet!$E$2:$E$3143),
Master_Mapping_Sheet!$H$2:$H$3143=$A6)))"),0.0)</f>
        <v>0</v>
      </c>
      <c r="F6" s="34">
        <f>IFERROR(__xludf.DUMMYFUNCTION("IF(ISNA(sum(filter(
Master_Mapping_Sheet!$E$2:$E$3143, ISNUMBER(
Master_Mapping_Sheet!$E$2:$E$3143),
Master_Mapping_Sheet!$C$2:$C$3143=F$1,
Master_Mapping_Sheet!$H$2:$H$3143=$A6))/sum(filter(
Master_Mapping_Sheet!$E$2:$E$3143, ISNUMBER(
Master_Mapping_She"&amp;"et!$E$2:$E$3143),
Master_Mapping_Sheet!$H$2:$H$3143=$A6))), 0, sum(filter(
Master_Mapping_Sheet!$E$2:$E$3143, ISNUMBER(
Master_Mapping_Sheet!$E$2:$E$3143),
Master_Mapping_Sheet!$C$2:$C$3143=F$1,
Master_Mapping_Sheet!$H$2:$H$3143=$A6))/sum(filter(
Master_M"&amp;"apping_Sheet!$E$2:$E$3143, ISNUMBER(
Master_Mapping_Sheet!$E$2:$E$3143),
Master_Mapping_Sheet!$H$2:$H$3143=$A6)))"),0.0)</f>
        <v>0</v>
      </c>
      <c r="G6" s="34">
        <f>IFERROR(__xludf.DUMMYFUNCTION("IF(ISNA(sum(filter(
Master_Mapping_Sheet!$E$2:$E$3143, ISNUMBER(
Master_Mapping_Sheet!$E$2:$E$3143),
Master_Mapping_Sheet!$C$2:$C$3143=G$1,
Master_Mapping_Sheet!$H$2:$H$3143=$A6))/sum(filter(
Master_Mapping_Sheet!$E$2:$E$3143, ISNUMBER(
Master_Mapping_She"&amp;"et!$E$2:$E$3143),
Master_Mapping_Sheet!$H$2:$H$3143=$A6))), 0, sum(filter(
Master_Mapping_Sheet!$E$2:$E$3143, ISNUMBER(
Master_Mapping_Sheet!$E$2:$E$3143),
Master_Mapping_Sheet!$C$2:$C$3143=G$1,
Master_Mapping_Sheet!$H$2:$H$3143=$A6))/sum(filter(
Master_M"&amp;"apping_Sheet!$E$2:$E$3143, ISNUMBER(
Master_Mapping_Sheet!$E$2:$E$3143),
Master_Mapping_Sheet!$H$2:$H$3143=$A6)))"),0.0)</f>
        <v>0</v>
      </c>
      <c r="H6" s="34">
        <f>IFERROR(__xludf.DUMMYFUNCTION("IF(ISNA(sum(filter(
Master_Mapping_Sheet!$E$2:$E$3143, ISNUMBER(
Master_Mapping_Sheet!$E$2:$E$3143),
Master_Mapping_Sheet!$C$2:$C$3143=H$1,
Master_Mapping_Sheet!$H$2:$H$3143=$A6))/sum(filter(
Master_Mapping_Sheet!$E$2:$E$3143, ISNUMBER(
Master_Mapping_She"&amp;"et!$E$2:$E$3143),
Master_Mapping_Sheet!$H$2:$H$3143=$A6))), 0, sum(filter(
Master_Mapping_Sheet!$E$2:$E$3143, ISNUMBER(
Master_Mapping_Sheet!$E$2:$E$3143),
Master_Mapping_Sheet!$C$2:$C$3143=H$1,
Master_Mapping_Sheet!$H$2:$H$3143=$A6))/sum(filter(
Master_M"&amp;"apping_Sheet!$E$2:$E$3143, ISNUMBER(
Master_Mapping_Sheet!$E$2:$E$3143),
Master_Mapping_Sheet!$H$2:$H$3143=$A6)))"),0.0)</f>
        <v>0</v>
      </c>
      <c r="I6" s="34">
        <f>IFERROR(__xludf.DUMMYFUNCTION("IF(ISNA(sum(filter(
Master_Mapping_Sheet!$E$2:$E$3143, ISNUMBER(
Master_Mapping_Sheet!$E$2:$E$3143),
Master_Mapping_Sheet!$C$2:$C$3143=I$1,
Master_Mapping_Sheet!$H$2:$H$3143=$A6))/sum(filter(
Master_Mapping_Sheet!$E$2:$E$3143, ISNUMBER(
Master_Mapping_She"&amp;"et!$E$2:$E$3143),
Master_Mapping_Sheet!$H$2:$H$3143=$A6))), 0, sum(filter(
Master_Mapping_Sheet!$E$2:$E$3143, ISNUMBER(
Master_Mapping_Sheet!$E$2:$E$3143),
Master_Mapping_Sheet!$C$2:$C$3143=I$1,
Master_Mapping_Sheet!$H$2:$H$3143=$A6))/sum(filter(
Master_M"&amp;"apping_Sheet!$E$2:$E$3143, ISNUMBER(
Master_Mapping_Sheet!$E$2:$E$3143),
Master_Mapping_Sheet!$H$2:$H$3143=$A6)))"),0.0)</f>
        <v>0</v>
      </c>
      <c r="J6" s="34">
        <f>IFERROR(__xludf.DUMMYFUNCTION("IF(ISNA(sum(filter(
Master_Mapping_Sheet!$E$2:$E$3143, ISNUMBER(
Master_Mapping_Sheet!$E$2:$E$3143),
Master_Mapping_Sheet!$C$2:$C$3143=J$1,
Master_Mapping_Sheet!$H$2:$H$3143=$A6))/sum(filter(
Master_Mapping_Sheet!$E$2:$E$3143, ISNUMBER(
Master_Mapping_She"&amp;"et!$E$2:$E$3143),
Master_Mapping_Sheet!$H$2:$H$3143=$A6))), 0, sum(filter(
Master_Mapping_Sheet!$E$2:$E$3143, ISNUMBER(
Master_Mapping_Sheet!$E$2:$E$3143),
Master_Mapping_Sheet!$C$2:$C$3143=J$1,
Master_Mapping_Sheet!$H$2:$H$3143=$A6))/sum(filter(
Master_M"&amp;"apping_Sheet!$E$2:$E$3143, ISNUMBER(
Master_Mapping_Sheet!$E$2:$E$3143),
Master_Mapping_Sheet!$H$2:$H$3143=$A6)))"),0.0)</f>
        <v>0</v>
      </c>
      <c r="K6" s="34">
        <f>IFERROR(__xludf.DUMMYFUNCTION("IF(ISNA(sum(filter(
Master_Mapping_Sheet!$E$2:$E$3143, ISNUMBER(
Master_Mapping_Sheet!$E$2:$E$3143),
Master_Mapping_Sheet!$C$2:$C$3143=K$1,
Master_Mapping_Sheet!$H$2:$H$3143=$A6))/sum(filter(
Master_Mapping_Sheet!$E$2:$E$3143, ISNUMBER(
Master_Mapping_She"&amp;"et!$E$2:$E$3143),
Master_Mapping_Sheet!$H$2:$H$3143=$A6))), 0, sum(filter(
Master_Mapping_Sheet!$E$2:$E$3143, ISNUMBER(
Master_Mapping_Sheet!$E$2:$E$3143),
Master_Mapping_Sheet!$C$2:$C$3143=K$1,
Master_Mapping_Sheet!$H$2:$H$3143=$A6))/sum(filter(
Master_M"&amp;"apping_Sheet!$E$2:$E$3143, ISNUMBER(
Master_Mapping_Sheet!$E$2:$E$3143),
Master_Mapping_Sheet!$H$2:$H$3143=$A6)))"),0.0)</f>
        <v>0</v>
      </c>
      <c r="L6" s="34">
        <f>IFERROR(__xludf.DUMMYFUNCTION("IF(ISNA(sum(filter(
Master_Mapping_Sheet!$E$2:$E$3143, ISNUMBER(
Master_Mapping_Sheet!$E$2:$E$3143),
Master_Mapping_Sheet!$C$2:$C$3143=L$1,
Master_Mapping_Sheet!$H$2:$H$3143=$A6))/sum(filter(
Master_Mapping_Sheet!$E$2:$E$3143, ISNUMBER(
Master_Mapping_She"&amp;"et!$E$2:$E$3143),
Master_Mapping_Sheet!$H$2:$H$3143=$A6))), 0, sum(filter(
Master_Mapping_Sheet!$E$2:$E$3143, ISNUMBER(
Master_Mapping_Sheet!$E$2:$E$3143),
Master_Mapping_Sheet!$C$2:$C$3143=L$1,
Master_Mapping_Sheet!$H$2:$H$3143=$A6))/sum(filter(
Master_M"&amp;"apping_Sheet!$E$2:$E$3143, ISNUMBER(
Master_Mapping_Sheet!$E$2:$E$3143),
Master_Mapping_Sheet!$H$2:$H$3143=$A6)))"),0.0)</f>
        <v>0</v>
      </c>
      <c r="M6" s="34">
        <f>IFERROR(__xludf.DUMMYFUNCTION("IF(ISNA(sum(filter(
Master_Mapping_Sheet!$E$2:$E$3143, ISNUMBER(
Master_Mapping_Sheet!$E$2:$E$3143),
Master_Mapping_Sheet!$C$2:$C$3143=M$1,
Master_Mapping_Sheet!$H$2:$H$3143=$A6))/sum(filter(
Master_Mapping_Sheet!$E$2:$E$3143, ISNUMBER(
Master_Mapping_She"&amp;"et!$E$2:$E$3143),
Master_Mapping_Sheet!$H$2:$H$3143=$A6))), 0, sum(filter(
Master_Mapping_Sheet!$E$2:$E$3143, ISNUMBER(
Master_Mapping_Sheet!$E$2:$E$3143),
Master_Mapping_Sheet!$C$2:$C$3143=M$1,
Master_Mapping_Sheet!$H$2:$H$3143=$A6))/sum(filter(
Master_M"&amp;"apping_Sheet!$E$2:$E$3143, ISNUMBER(
Master_Mapping_Sheet!$E$2:$E$3143),
Master_Mapping_Sheet!$H$2:$H$3143=$A6)))"),0.0)</f>
        <v>0</v>
      </c>
      <c r="N6" s="34">
        <f>IFERROR(__xludf.DUMMYFUNCTION("IF(ISNA(sum(filter(
Master_Mapping_Sheet!$E$2:$E$3143, ISNUMBER(
Master_Mapping_Sheet!$E$2:$E$3143),
Master_Mapping_Sheet!$C$2:$C$3143=N$1,
Master_Mapping_Sheet!$H$2:$H$3143=$A6))/sum(filter(
Master_Mapping_Sheet!$E$2:$E$3143, ISNUMBER(
Master_Mapping_She"&amp;"et!$E$2:$E$3143),
Master_Mapping_Sheet!$H$2:$H$3143=$A6))), 0, sum(filter(
Master_Mapping_Sheet!$E$2:$E$3143, ISNUMBER(
Master_Mapping_Sheet!$E$2:$E$3143),
Master_Mapping_Sheet!$C$2:$C$3143=N$1,
Master_Mapping_Sheet!$H$2:$H$3143=$A6))/sum(filter(
Master_M"&amp;"apping_Sheet!$E$2:$E$3143, ISNUMBER(
Master_Mapping_Sheet!$E$2:$E$3143),
Master_Mapping_Sheet!$H$2:$H$3143=$A6)))"),0.0)</f>
        <v>0</v>
      </c>
      <c r="O6" s="34">
        <f>IFERROR(__xludf.DUMMYFUNCTION("IF(ISNA(sum(filter(
Master_Mapping_Sheet!$E$2:$E$3143, ISNUMBER(
Master_Mapping_Sheet!$E$2:$E$3143),
Master_Mapping_Sheet!$C$2:$C$3143=O$1,
Master_Mapping_Sheet!$H$2:$H$3143=$A6))/sum(filter(
Master_Mapping_Sheet!$E$2:$E$3143, ISNUMBER(
Master_Mapping_She"&amp;"et!$E$2:$E$3143),
Master_Mapping_Sheet!$H$2:$H$3143=$A6))), 0, sum(filter(
Master_Mapping_Sheet!$E$2:$E$3143, ISNUMBER(
Master_Mapping_Sheet!$E$2:$E$3143),
Master_Mapping_Sheet!$C$2:$C$3143=O$1,
Master_Mapping_Sheet!$H$2:$H$3143=$A6))/sum(filter(
Master_M"&amp;"apping_Sheet!$E$2:$E$3143, ISNUMBER(
Master_Mapping_Sheet!$E$2:$E$3143),
Master_Mapping_Sheet!$H$2:$H$3143=$A6)))"),0.0)</f>
        <v>0</v>
      </c>
      <c r="P6" s="34">
        <f>IFERROR(__xludf.DUMMYFUNCTION("IF(ISNA(sum(filter(
Master_Mapping_Sheet!$E$2:$E$3143, ISNUMBER(
Master_Mapping_Sheet!$E$2:$E$3143),
Master_Mapping_Sheet!$C$2:$C$3143=P$1,
Master_Mapping_Sheet!$H$2:$H$3143=$A6))/sum(filter(
Master_Mapping_Sheet!$E$2:$E$3143, ISNUMBER(
Master_Mapping_She"&amp;"et!$E$2:$E$3143),
Master_Mapping_Sheet!$H$2:$H$3143=$A6))), 0, sum(filter(
Master_Mapping_Sheet!$E$2:$E$3143, ISNUMBER(
Master_Mapping_Sheet!$E$2:$E$3143),
Master_Mapping_Sheet!$C$2:$C$3143=P$1,
Master_Mapping_Sheet!$H$2:$H$3143=$A6))/sum(filter(
Master_M"&amp;"apping_Sheet!$E$2:$E$3143, ISNUMBER(
Master_Mapping_Sheet!$E$2:$E$3143),
Master_Mapping_Sheet!$H$2:$H$3143=$A6)))"),0.0)</f>
        <v>0</v>
      </c>
      <c r="Q6" s="34">
        <f>IFERROR(__xludf.DUMMYFUNCTION("IF(ISNA(sum(filter(
Master_Mapping_Sheet!$E$2:$E$3143, ISNUMBER(
Master_Mapping_Sheet!$E$2:$E$3143),
Master_Mapping_Sheet!$C$2:$C$3143=Q$1,
Master_Mapping_Sheet!$H$2:$H$3143=$A6))/sum(filter(
Master_Mapping_Sheet!$E$2:$E$3143, ISNUMBER(
Master_Mapping_She"&amp;"et!$E$2:$E$3143),
Master_Mapping_Sheet!$H$2:$H$3143=$A6))), 0, sum(filter(
Master_Mapping_Sheet!$E$2:$E$3143, ISNUMBER(
Master_Mapping_Sheet!$E$2:$E$3143),
Master_Mapping_Sheet!$C$2:$C$3143=Q$1,
Master_Mapping_Sheet!$H$2:$H$3143=$A6))/sum(filter(
Master_M"&amp;"apping_Sheet!$E$2:$E$3143, ISNUMBER(
Master_Mapping_Sheet!$E$2:$E$3143),
Master_Mapping_Sheet!$H$2:$H$3143=$A6)))"),0.0)</f>
        <v>0</v>
      </c>
      <c r="R6" s="34">
        <f>IFERROR(__xludf.DUMMYFUNCTION("IF(ISNA(sum(filter(
Master_Mapping_Sheet!$E$2:$E$3143, ISNUMBER(
Master_Mapping_Sheet!$E$2:$E$3143),
Master_Mapping_Sheet!$C$2:$C$3143=R$1,
Master_Mapping_Sheet!$H$2:$H$3143=$A6))/sum(filter(
Master_Mapping_Sheet!$E$2:$E$3143, ISNUMBER(
Master_Mapping_She"&amp;"et!$E$2:$E$3143),
Master_Mapping_Sheet!$H$2:$H$3143=$A6))), 0, sum(filter(
Master_Mapping_Sheet!$E$2:$E$3143, ISNUMBER(
Master_Mapping_Sheet!$E$2:$E$3143),
Master_Mapping_Sheet!$C$2:$C$3143=R$1,
Master_Mapping_Sheet!$H$2:$H$3143=$A6))/sum(filter(
Master_M"&amp;"apping_Sheet!$E$2:$E$3143, ISNUMBER(
Master_Mapping_Sheet!$E$2:$E$3143),
Master_Mapping_Sheet!$H$2:$H$3143=$A6)))"),0.0)</f>
        <v>0</v>
      </c>
      <c r="S6" s="34">
        <f>IFERROR(__xludf.DUMMYFUNCTION("IF(ISNA(sum(filter(
Master_Mapping_Sheet!$E$2:$E$3143, ISNUMBER(
Master_Mapping_Sheet!$E$2:$E$3143),
Master_Mapping_Sheet!$C$2:$C$3143=S$1,
Master_Mapping_Sheet!$H$2:$H$3143=$A6))/sum(filter(
Master_Mapping_Sheet!$E$2:$E$3143, ISNUMBER(
Master_Mapping_She"&amp;"et!$E$2:$E$3143),
Master_Mapping_Sheet!$H$2:$H$3143=$A6))), 0, sum(filter(
Master_Mapping_Sheet!$E$2:$E$3143, ISNUMBER(
Master_Mapping_Sheet!$E$2:$E$3143),
Master_Mapping_Sheet!$C$2:$C$3143=S$1,
Master_Mapping_Sheet!$H$2:$H$3143=$A6))/sum(filter(
Master_M"&amp;"apping_Sheet!$E$2:$E$3143, ISNUMBER(
Master_Mapping_Sheet!$E$2:$E$3143),
Master_Mapping_Sheet!$H$2:$H$3143=$A6)))"),0.0)</f>
        <v>0</v>
      </c>
      <c r="T6" s="34">
        <f>IFERROR(__xludf.DUMMYFUNCTION("IF(ISNA(sum(filter(
Master_Mapping_Sheet!$E$2:$E$3143, ISNUMBER(
Master_Mapping_Sheet!$E$2:$E$3143),
Master_Mapping_Sheet!$C$2:$C$3143=T$1,
Master_Mapping_Sheet!$H$2:$H$3143=$A6))/sum(filter(
Master_Mapping_Sheet!$E$2:$E$3143, ISNUMBER(
Master_Mapping_She"&amp;"et!$E$2:$E$3143),
Master_Mapping_Sheet!$H$2:$H$3143=$A6))), 0, sum(filter(
Master_Mapping_Sheet!$E$2:$E$3143, ISNUMBER(
Master_Mapping_Sheet!$E$2:$E$3143),
Master_Mapping_Sheet!$C$2:$C$3143=T$1,
Master_Mapping_Sheet!$H$2:$H$3143=$A6))/sum(filter(
Master_M"&amp;"apping_Sheet!$E$2:$E$3143, ISNUMBER(
Master_Mapping_Sheet!$E$2:$E$3143),
Master_Mapping_Sheet!$H$2:$H$3143=$A6)))"),0.0)</f>
        <v>0</v>
      </c>
      <c r="U6" s="34">
        <f>IFERROR(__xludf.DUMMYFUNCTION("IF(ISNA(sum(filter(
Master_Mapping_Sheet!$E$2:$E$3143, ISNUMBER(
Master_Mapping_Sheet!$E$2:$E$3143),
Master_Mapping_Sheet!$C$2:$C$3143=U$1,
Master_Mapping_Sheet!$H$2:$H$3143=$A6))/sum(filter(
Master_Mapping_Sheet!$E$2:$E$3143, ISNUMBER(
Master_Mapping_She"&amp;"et!$E$2:$E$3143),
Master_Mapping_Sheet!$H$2:$H$3143=$A6))), 0, sum(filter(
Master_Mapping_Sheet!$E$2:$E$3143, ISNUMBER(
Master_Mapping_Sheet!$E$2:$E$3143),
Master_Mapping_Sheet!$C$2:$C$3143=U$1,
Master_Mapping_Sheet!$H$2:$H$3143=$A6))/sum(filter(
Master_M"&amp;"apping_Sheet!$E$2:$E$3143, ISNUMBER(
Master_Mapping_Sheet!$E$2:$E$3143),
Master_Mapping_Sheet!$H$2:$H$3143=$A6)))"),0.0)</f>
        <v>0</v>
      </c>
      <c r="V6" s="34">
        <f>IFERROR(__xludf.DUMMYFUNCTION("IF(ISNA(sum(filter(
Master_Mapping_Sheet!$E$2:$E$3143, ISNUMBER(
Master_Mapping_Sheet!$E$2:$E$3143),
Master_Mapping_Sheet!$C$2:$C$3143=V$1,
Master_Mapping_Sheet!$H$2:$H$3143=$A6))/sum(filter(
Master_Mapping_Sheet!$E$2:$E$3143, ISNUMBER(
Master_Mapping_She"&amp;"et!$E$2:$E$3143),
Master_Mapping_Sheet!$H$2:$H$3143=$A6))), 0, sum(filter(
Master_Mapping_Sheet!$E$2:$E$3143, ISNUMBER(
Master_Mapping_Sheet!$E$2:$E$3143),
Master_Mapping_Sheet!$C$2:$C$3143=V$1,
Master_Mapping_Sheet!$H$2:$H$3143=$A6))/sum(filter(
Master_M"&amp;"apping_Sheet!$E$2:$E$3143, ISNUMBER(
Master_Mapping_Sheet!$E$2:$E$3143),
Master_Mapping_Sheet!$H$2:$H$3143=$A6)))"),0.0)</f>
        <v>0</v>
      </c>
      <c r="W6" s="34">
        <f>IFERROR(__xludf.DUMMYFUNCTION("IF(ISNA(sum(filter(
Master_Mapping_Sheet!$E$2:$E$3143, ISNUMBER(
Master_Mapping_Sheet!$E$2:$E$3143),
Master_Mapping_Sheet!$C$2:$C$3143=W$1,
Master_Mapping_Sheet!$H$2:$H$3143=$A6))/sum(filter(
Master_Mapping_Sheet!$E$2:$E$3143, ISNUMBER(
Master_Mapping_She"&amp;"et!$E$2:$E$3143),
Master_Mapping_Sheet!$H$2:$H$3143=$A6))), 0, sum(filter(
Master_Mapping_Sheet!$E$2:$E$3143, ISNUMBER(
Master_Mapping_Sheet!$E$2:$E$3143),
Master_Mapping_Sheet!$C$2:$C$3143=W$1,
Master_Mapping_Sheet!$H$2:$H$3143=$A6))/sum(filter(
Master_M"&amp;"apping_Sheet!$E$2:$E$3143, ISNUMBER(
Master_Mapping_Sheet!$E$2:$E$3143),
Master_Mapping_Sheet!$H$2:$H$3143=$A6)))"),0.0)</f>
        <v>0</v>
      </c>
      <c r="X6" s="34">
        <f>IFERROR(__xludf.DUMMYFUNCTION("IF(ISNA(sum(filter(
Master_Mapping_Sheet!$E$2:$E$3143, ISNUMBER(
Master_Mapping_Sheet!$E$2:$E$3143),
Master_Mapping_Sheet!$C$2:$C$3143=X$1,
Master_Mapping_Sheet!$H$2:$H$3143=$A6))/sum(filter(
Master_Mapping_Sheet!$E$2:$E$3143, ISNUMBER(
Master_Mapping_She"&amp;"et!$E$2:$E$3143),
Master_Mapping_Sheet!$H$2:$H$3143=$A6))), 0, sum(filter(
Master_Mapping_Sheet!$E$2:$E$3143, ISNUMBER(
Master_Mapping_Sheet!$E$2:$E$3143),
Master_Mapping_Sheet!$C$2:$C$3143=X$1,
Master_Mapping_Sheet!$H$2:$H$3143=$A6))/sum(filter(
Master_M"&amp;"apping_Sheet!$E$2:$E$3143, ISNUMBER(
Master_Mapping_Sheet!$E$2:$E$3143),
Master_Mapping_Sheet!$H$2:$H$3143=$A6)))"),1.0)</f>
        <v>1</v>
      </c>
      <c r="Y6" s="34">
        <f>IFERROR(__xludf.DUMMYFUNCTION("IF(ISNA(sum(filter(
Master_Mapping_Sheet!$E$2:$E$3143, ISNUMBER(
Master_Mapping_Sheet!$E$2:$E$3143),
Master_Mapping_Sheet!$C$2:$C$3143=Y$1,
Master_Mapping_Sheet!$H$2:$H$3143=$A6))/sum(filter(
Master_Mapping_Sheet!$E$2:$E$3143, ISNUMBER(
Master_Mapping_She"&amp;"et!$E$2:$E$3143),
Master_Mapping_Sheet!$H$2:$H$3143=$A6))), 0, sum(filter(
Master_Mapping_Sheet!$E$2:$E$3143, ISNUMBER(
Master_Mapping_Sheet!$E$2:$E$3143),
Master_Mapping_Sheet!$C$2:$C$3143=Y$1,
Master_Mapping_Sheet!$H$2:$H$3143=$A6))/sum(filter(
Master_M"&amp;"apping_Sheet!$E$2:$E$3143, ISNUMBER(
Master_Mapping_Sheet!$E$2:$E$3143),
Master_Mapping_Sheet!$H$2:$H$3143=$A6)))"),0.0)</f>
        <v>0</v>
      </c>
      <c r="Z6" s="34">
        <f>IFERROR(__xludf.DUMMYFUNCTION("IF(ISNA(sum(filter(
Master_Mapping_Sheet!$E$2:$E$3143, ISNUMBER(
Master_Mapping_Sheet!$E$2:$E$3143),
Master_Mapping_Sheet!$C$2:$C$3143=Z$1,
Master_Mapping_Sheet!$H$2:$H$3143=$A6))/sum(filter(
Master_Mapping_Sheet!$E$2:$E$3143, ISNUMBER(
Master_Mapping_She"&amp;"et!$E$2:$E$3143),
Master_Mapping_Sheet!$H$2:$H$3143=$A6))), 0, sum(filter(
Master_Mapping_Sheet!$E$2:$E$3143, ISNUMBER(
Master_Mapping_Sheet!$E$2:$E$3143),
Master_Mapping_Sheet!$C$2:$C$3143=Z$1,
Master_Mapping_Sheet!$H$2:$H$3143=$A6))/sum(filter(
Master_M"&amp;"apping_Sheet!$E$2:$E$3143, ISNUMBER(
Master_Mapping_Sheet!$E$2:$E$3143),
Master_Mapping_Sheet!$H$2:$H$3143=$A6)))"),0.0)</f>
        <v>0</v>
      </c>
      <c r="AA6" s="34">
        <f>IFERROR(__xludf.DUMMYFUNCTION("IF(ISNA(sum(filter(
Master_Mapping_Sheet!$E$2:$E$3143, ISNUMBER(
Master_Mapping_Sheet!$E$2:$E$3143),
Master_Mapping_Sheet!$C$2:$C$3143=AA$1,
Master_Mapping_Sheet!$H$2:$H$3143=$A6))/sum(filter(
Master_Mapping_Sheet!$E$2:$E$3143, ISNUMBER(
Master_Mapping_Sh"&amp;"eet!$E$2:$E$3143),
Master_Mapping_Sheet!$H$2:$H$3143=$A6))), 0, sum(filter(
Master_Mapping_Sheet!$E$2:$E$3143, ISNUMBER(
Master_Mapping_Sheet!$E$2:$E$3143),
Master_Mapping_Sheet!$C$2:$C$3143=AA$1,
Master_Mapping_Sheet!$H$2:$H$3143=$A6))/sum(filter(
Master"&amp;"_Mapping_Sheet!$E$2:$E$3143, ISNUMBER(
Master_Mapping_Sheet!$E$2:$E$3143),
Master_Mapping_Sheet!$H$2:$H$3143=$A6)))"),0.0)</f>
        <v>0</v>
      </c>
      <c r="AB6" s="34">
        <f>IFERROR(__xludf.DUMMYFUNCTION("IF(ISNA(sum(filter(
Master_Mapping_Sheet!$E$2:$E$3143, ISNUMBER(
Master_Mapping_Sheet!$E$2:$E$3143),
Master_Mapping_Sheet!$C$2:$C$3143=AB$1,
Master_Mapping_Sheet!$H$2:$H$3143=$A6))/sum(filter(
Master_Mapping_Sheet!$E$2:$E$3143, ISNUMBER(
Master_Mapping_Sh"&amp;"eet!$E$2:$E$3143),
Master_Mapping_Sheet!$H$2:$H$3143=$A6))), 0, sum(filter(
Master_Mapping_Sheet!$E$2:$E$3143, ISNUMBER(
Master_Mapping_Sheet!$E$2:$E$3143),
Master_Mapping_Sheet!$C$2:$C$3143=AB$1,
Master_Mapping_Sheet!$H$2:$H$3143=$A6))/sum(filter(
Master"&amp;"_Mapping_Sheet!$E$2:$E$3143, ISNUMBER(
Master_Mapping_Sheet!$E$2:$E$3143),
Master_Mapping_Sheet!$H$2:$H$3143=$A6)))"),0.0)</f>
        <v>0</v>
      </c>
      <c r="AC6" s="34">
        <f>IFERROR(__xludf.DUMMYFUNCTION("IF(ISNA(sum(filter(
Master_Mapping_Sheet!$E$2:$E$3143, ISNUMBER(
Master_Mapping_Sheet!$E$2:$E$3143),
Master_Mapping_Sheet!$C$2:$C$3143=AC$1,
Master_Mapping_Sheet!$H$2:$H$3143=$A6))/sum(filter(
Master_Mapping_Sheet!$E$2:$E$3143, ISNUMBER(
Master_Mapping_Sh"&amp;"eet!$E$2:$E$3143),
Master_Mapping_Sheet!$H$2:$H$3143=$A6))), 0, sum(filter(
Master_Mapping_Sheet!$E$2:$E$3143, ISNUMBER(
Master_Mapping_Sheet!$E$2:$E$3143),
Master_Mapping_Sheet!$C$2:$C$3143=AC$1,
Master_Mapping_Sheet!$H$2:$H$3143=$A6))/sum(filter(
Master"&amp;"_Mapping_Sheet!$E$2:$E$3143, ISNUMBER(
Master_Mapping_Sheet!$E$2:$E$3143),
Master_Mapping_Sheet!$H$2:$H$3143=$A6)))"),0.0)</f>
        <v>0</v>
      </c>
      <c r="AD6" s="34">
        <f>IFERROR(__xludf.DUMMYFUNCTION("IF(ISNA(sum(filter(
Master_Mapping_Sheet!$E$2:$E$3143, ISNUMBER(
Master_Mapping_Sheet!$E$2:$E$3143),
Master_Mapping_Sheet!$C$2:$C$3143=AD$1,
Master_Mapping_Sheet!$H$2:$H$3143=$A6))/sum(filter(
Master_Mapping_Sheet!$E$2:$E$3143, ISNUMBER(
Master_Mapping_Sh"&amp;"eet!$E$2:$E$3143),
Master_Mapping_Sheet!$H$2:$H$3143=$A6))), 0, sum(filter(
Master_Mapping_Sheet!$E$2:$E$3143, ISNUMBER(
Master_Mapping_Sheet!$E$2:$E$3143),
Master_Mapping_Sheet!$C$2:$C$3143=AD$1,
Master_Mapping_Sheet!$H$2:$H$3143=$A6))/sum(filter(
Master"&amp;"_Mapping_Sheet!$E$2:$E$3143, ISNUMBER(
Master_Mapping_Sheet!$E$2:$E$3143),
Master_Mapping_Sheet!$H$2:$H$3143=$A6)))"),0.0)</f>
        <v>0</v>
      </c>
      <c r="AE6" s="34">
        <f>IFERROR(__xludf.DUMMYFUNCTION("IF(ISNA(sum(filter(
Master_Mapping_Sheet!$E$2:$E$3143, ISNUMBER(
Master_Mapping_Sheet!$E$2:$E$3143),
Master_Mapping_Sheet!$C$2:$C$3143=AE$1,
Master_Mapping_Sheet!$H$2:$H$3143=$A6))/sum(filter(
Master_Mapping_Sheet!$E$2:$E$3143, ISNUMBER(
Master_Mapping_Sh"&amp;"eet!$E$2:$E$3143),
Master_Mapping_Sheet!$H$2:$H$3143=$A6))), 0, sum(filter(
Master_Mapping_Sheet!$E$2:$E$3143, ISNUMBER(
Master_Mapping_Sheet!$E$2:$E$3143),
Master_Mapping_Sheet!$C$2:$C$3143=AE$1,
Master_Mapping_Sheet!$H$2:$H$3143=$A6))/sum(filter(
Master"&amp;"_Mapping_Sheet!$E$2:$E$3143, ISNUMBER(
Master_Mapping_Sheet!$E$2:$E$3143),
Master_Mapping_Sheet!$H$2:$H$3143=$A6)))"),0.0)</f>
        <v>0</v>
      </c>
      <c r="AF6" s="34">
        <f>IFERROR(__xludf.DUMMYFUNCTION("IF(ISNA(sum(filter(
Master_Mapping_Sheet!$E$2:$E$3143, ISNUMBER(
Master_Mapping_Sheet!$E$2:$E$3143),
Master_Mapping_Sheet!$C$2:$C$3143=AF$1,
Master_Mapping_Sheet!$H$2:$H$3143=$A6))/sum(filter(
Master_Mapping_Sheet!$E$2:$E$3143, ISNUMBER(
Master_Mapping_Sh"&amp;"eet!$E$2:$E$3143),
Master_Mapping_Sheet!$H$2:$H$3143=$A6))), 0, sum(filter(
Master_Mapping_Sheet!$E$2:$E$3143, ISNUMBER(
Master_Mapping_Sheet!$E$2:$E$3143),
Master_Mapping_Sheet!$C$2:$C$3143=AF$1,
Master_Mapping_Sheet!$H$2:$H$3143=$A6))/sum(filter(
Master"&amp;"_Mapping_Sheet!$E$2:$E$3143, ISNUMBER(
Master_Mapping_Sheet!$E$2:$E$3143),
Master_Mapping_Sheet!$H$2:$H$3143=$A6)))"),0.0)</f>
        <v>0</v>
      </c>
      <c r="AG6" s="34">
        <f>IFERROR(__xludf.DUMMYFUNCTION("IF(ISNA(sum(filter(
Master_Mapping_Sheet!$E$2:$E$3143, ISNUMBER(
Master_Mapping_Sheet!$E$2:$E$3143),
Master_Mapping_Sheet!$C$2:$C$3143=AG$1,
Master_Mapping_Sheet!$H$2:$H$3143=$A6))/sum(filter(
Master_Mapping_Sheet!$E$2:$E$3143, ISNUMBER(
Master_Mapping_Sh"&amp;"eet!$E$2:$E$3143),
Master_Mapping_Sheet!$H$2:$H$3143=$A6))), 0, sum(filter(
Master_Mapping_Sheet!$E$2:$E$3143, ISNUMBER(
Master_Mapping_Sheet!$E$2:$E$3143),
Master_Mapping_Sheet!$C$2:$C$3143=AG$1,
Master_Mapping_Sheet!$H$2:$H$3143=$A6))/sum(filter(
Master"&amp;"_Mapping_Sheet!$E$2:$E$3143, ISNUMBER(
Master_Mapping_Sheet!$E$2:$E$3143),
Master_Mapping_Sheet!$H$2:$H$3143=$A6)))"),0.0)</f>
        <v>0</v>
      </c>
      <c r="AH6" s="34">
        <f>IFERROR(__xludf.DUMMYFUNCTION("IF(ISNA(sum(filter(
Master_Mapping_Sheet!$E$2:$E$3143, ISNUMBER(
Master_Mapping_Sheet!$E$2:$E$3143),
Master_Mapping_Sheet!$C$2:$C$3143=AH$1,
Master_Mapping_Sheet!$H$2:$H$3143=$A6))/sum(filter(
Master_Mapping_Sheet!$E$2:$E$3143, ISNUMBER(
Master_Mapping_Sh"&amp;"eet!$E$2:$E$3143),
Master_Mapping_Sheet!$H$2:$H$3143=$A6))), 0, sum(filter(
Master_Mapping_Sheet!$E$2:$E$3143, ISNUMBER(
Master_Mapping_Sheet!$E$2:$E$3143),
Master_Mapping_Sheet!$C$2:$C$3143=AH$1,
Master_Mapping_Sheet!$H$2:$H$3143=$A6))/sum(filter(
Master"&amp;"_Mapping_Sheet!$E$2:$E$3143, ISNUMBER(
Master_Mapping_Sheet!$E$2:$E$3143),
Master_Mapping_Sheet!$H$2:$H$3143=$A6)))"),0.0)</f>
        <v>0</v>
      </c>
      <c r="AI6" s="34">
        <f>IFERROR(__xludf.DUMMYFUNCTION("IF(ISNA(sum(filter(
Master_Mapping_Sheet!$E$2:$E$3143, ISNUMBER(
Master_Mapping_Sheet!$E$2:$E$3143),
Master_Mapping_Sheet!$C$2:$C$3143=AI$1,
Master_Mapping_Sheet!$H$2:$H$3143=$A6))/sum(filter(
Master_Mapping_Sheet!$E$2:$E$3143, ISNUMBER(
Master_Mapping_Sh"&amp;"eet!$E$2:$E$3143),
Master_Mapping_Sheet!$H$2:$H$3143=$A6))), 0, sum(filter(
Master_Mapping_Sheet!$E$2:$E$3143, ISNUMBER(
Master_Mapping_Sheet!$E$2:$E$3143),
Master_Mapping_Sheet!$C$2:$C$3143=AI$1,
Master_Mapping_Sheet!$H$2:$H$3143=$A6))/sum(filter(
Master"&amp;"_Mapping_Sheet!$E$2:$E$3143, ISNUMBER(
Master_Mapping_Sheet!$E$2:$E$3143),
Master_Mapping_Sheet!$H$2:$H$3143=$A6)))"),0.0)</f>
        <v>0</v>
      </c>
      <c r="AJ6" s="34">
        <f>IFERROR(__xludf.DUMMYFUNCTION("IF(ISNA(sum(filter(
Master_Mapping_Sheet!$E$2:$E$3143, ISNUMBER(
Master_Mapping_Sheet!$E$2:$E$3143),
Master_Mapping_Sheet!$C$2:$C$3143=AJ$1,
Master_Mapping_Sheet!$H$2:$H$3143=$A6))/sum(filter(
Master_Mapping_Sheet!$E$2:$E$3143, ISNUMBER(
Master_Mapping_Sh"&amp;"eet!$E$2:$E$3143),
Master_Mapping_Sheet!$H$2:$H$3143=$A6))), 0, sum(filter(
Master_Mapping_Sheet!$E$2:$E$3143, ISNUMBER(
Master_Mapping_Sheet!$E$2:$E$3143),
Master_Mapping_Sheet!$C$2:$C$3143=AJ$1,
Master_Mapping_Sheet!$H$2:$H$3143=$A6))/sum(filter(
Master"&amp;"_Mapping_Sheet!$E$2:$E$3143, ISNUMBER(
Master_Mapping_Sheet!$E$2:$E$3143),
Master_Mapping_Sheet!$H$2:$H$3143=$A6)))"),0.0)</f>
        <v>0</v>
      </c>
      <c r="AK6" s="34">
        <f>IFERROR(__xludf.DUMMYFUNCTION("IF(ISNA(sum(filter(
Master_Mapping_Sheet!$E$2:$E$3143, ISNUMBER(
Master_Mapping_Sheet!$E$2:$E$3143),
Master_Mapping_Sheet!$C$2:$C$3143=AK$1,
Master_Mapping_Sheet!$H$2:$H$3143=$A6))/sum(filter(
Master_Mapping_Sheet!$E$2:$E$3143, ISNUMBER(
Master_Mapping_Sh"&amp;"eet!$E$2:$E$3143),
Master_Mapping_Sheet!$H$2:$H$3143=$A6))), 0, sum(filter(
Master_Mapping_Sheet!$E$2:$E$3143, ISNUMBER(
Master_Mapping_Sheet!$E$2:$E$3143),
Master_Mapping_Sheet!$C$2:$C$3143=AK$1,
Master_Mapping_Sheet!$H$2:$H$3143=$A6))/sum(filter(
Master"&amp;"_Mapping_Sheet!$E$2:$E$3143, ISNUMBER(
Master_Mapping_Sheet!$E$2:$E$3143),
Master_Mapping_Sheet!$H$2:$H$3143=$A6)))"),0.0)</f>
        <v>0</v>
      </c>
      <c r="AL6" s="34">
        <f>IFERROR(__xludf.DUMMYFUNCTION("IF(ISNA(sum(filter(
Master_Mapping_Sheet!$E$2:$E$3143, ISNUMBER(
Master_Mapping_Sheet!$E$2:$E$3143),
Master_Mapping_Sheet!$C$2:$C$3143=AL$1,
Master_Mapping_Sheet!$H$2:$H$3143=$A6))/sum(filter(
Master_Mapping_Sheet!$E$2:$E$3143, ISNUMBER(
Master_Mapping_Sh"&amp;"eet!$E$2:$E$3143),
Master_Mapping_Sheet!$H$2:$H$3143=$A6))), 0, sum(filter(
Master_Mapping_Sheet!$E$2:$E$3143, ISNUMBER(
Master_Mapping_Sheet!$E$2:$E$3143),
Master_Mapping_Sheet!$C$2:$C$3143=AL$1,
Master_Mapping_Sheet!$H$2:$H$3143=$A6))/sum(filter(
Master"&amp;"_Mapping_Sheet!$E$2:$E$3143, ISNUMBER(
Master_Mapping_Sheet!$E$2:$E$3143),
Master_Mapping_Sheet!$H$2:$H$3143=$A6)))"),0.0)</f>
        <v>0</v>
      </c>
      <c r="AM6" s="34">
        <f>IFERROR(__xludf.DUMMYFUNCTION("IF(ISNA(sum(filter(
Master_Mapping_Sheet!$E$2:$E$3143, ISNUMBER(
Master_Mapping_Sheet!$E$2:$E$3143),
Master_Mapping_Sheet!$C$2:$C$3143=AM$1,
Master_Mapping_Sheet!$H$2:$H$3143=$A6))/sum(filter(
Master_Mapping_Sheet!$E$2:$E$3143, ISNUMBER(
Master_Mapping_Sh"&amp;"eet!$E$2:$E$3143),
Master_Mapping_Sheet!$H$2:$H$3143=$A6))), 0, sum(filter(
Master_Mapping_Sheet!$E$2:$E$3143, ISNUMBER(
Master_Mapping_Sheet!$E$2:$E$3143),
Master_Mapping_Sheet!$C$2:$C$3143=AM$1,
Master_Mapping_Sheet!$H$2:$H$3143=$A6))/sum(filter(
Master"&amp;"_Mapping_Sheet!$E$2:$E$3143, ISNUMBER(
Master_Mapping_Sheet!$E$2:$E$3143),
Master_Mapping_Sheet!$H$2:$H$3143=$A6)))"),0.0)</f>
        <v>0</v>
      </c>
      <c r="AN6" s="34">
        <f>IFERROR(__xludf.DUMMYFUNCTION("IF(ISNA(sum(filter(
Master_Mapping_Sheet!$E$2:$E$3143, ISNUMBER(
Master_Mapping_Sheet!$E$2:$E$3143),
Master_Mapping_Sheet!$C$2:$C$3143=AN$1,
Master_Mapping_Sheet!$H$2:$H$3143=$A6))/sum(filter(
Master_Mapping_Sheet!$E$2:$E$3143, ISNUMBER(
Master_Mapping_Sh"&amp;"eet!$E$2:$E$3143),
Master_Mapping_Sheet!$H$2:$H$3143=$A6))), 0, sum(filter(
Master_Mapping_Sheet!$E$2:$E$3143, ISNUMBER(
Master_Mapping_Sheet!$E$2:$E$3143),
Master_Mapping_Sheet!$C$2:$C$3143=AN$1,
Master_Mapping_Sheet!$H$2:$H$3143=$A6))/sum(filter(
Master"&amp;"_Mapping_Sheet!$E$2:$E$3143, ISNUMBER(
Master_Mapping_Sheet!$E$2:$E$3143),
Master_Mapping_Sheet!$H$2:$H$3143=$A6)))"),0.0)</f>
        <v>0</v>
      </c>
      <c r="AO6" s="34">
        <f>IFERROR(__xludf.DUMMYFUNCTION("IF(ISNA(sum(filter(
Master_Mapping_Sheet!$E$2:$E$3143, ISNUMBER(
Master_Mapping_Sheet!$E$2:$E$3143),
Master_Mapping_Sheet!$C$2:$C$3143=AO$1,
Master_Mapping_Sheet!$H$2:$H$3143=$A6))/sum(filter(
Master_Mapping_Sheet!$E$2:$E$3143, ISNUMBER(
Master_Mapping_Sh"&amp;"eet!$E$2:$E$3143),
Master_Mapping_Sheet!$H$2:$H$3143=$A6))), 0, sum(filter(
Master_Mapping_Sheet!$E$2:$E$3143, ISNUMBER(
Master_Mapping_Sheet!$E$2:$E$3143),
Master_Mapping_Sheet!$C$2:$C$3143=AO$1,
Master_Mapping_Sheet!$H$2:$H$3143=$A6))/sum(filter(
Master"&amp;"_Mapping_Sheet!$E$2:$E$3143, ISNUMBER(
Master_Mapping_Sheet!$E$2:$E$3143),
Master_Mapping_Sheet!$H$2:$H$3143=$A6)))"),0.0)</f>
        <v>0</v>
      </c>
      <c r="AP6" s="34">
        <f>IFERROR(__xludf.DUMMYFUNCTION("IF(ISNA(sum(filter(
Master_Mapping_Sheet!$E$2:$E$3143, ISNUMBER(
Master_Mapping_Sheet!$E$2:$E$3143),
Master_Mapping_Sheet!$C$2:$C$3143=AP$1,
Master_Mapping_Sheet!$H$2:$H$3143=$A6))/sum(filter(
Master_Mapping_Sheet!$E$2:$E$3143, ISNUMBER(
Master_Mapping_Sh"&amp;"eet!$E$2:$E$3143),
Master_Mapping_Sheet!$H$2:$H$3143=$A6))), 0, sum(filter(
Master_Mapping_Sheet!$E$2:$E$3143, ISNUMBER(
Master_Mapping_Sheet!$E$2:$E$3143),
Master_Mapping_Sheet!$C$2:$C$3143=AP$1,
Master_Mapping_Sheet!$H$2:$H$3143=$A6))/sum(filter(
Master"&amp;"_Mapping_Sheet!$E$2:$E$3143, ISNUMBER(
Master_Mapping_Sheet!$E$2:$E$3143),
Master_Mapping_Sheet!$H$2:$H$3143=$A6)))"),0.0)</f>
        <v>0</v>
      </c>
      <c r="AQ6" s="34">
        <f>IFERROR(__xludf.DUMMYFUNCTION("IF(ISNA(sum(filter(
Master_Mapping_Sheet!$E$2:$E$3143, ISNUMBER(
Master_Mapping_Sheet!$E$2:$E$3143),
Master_Mapping_Sheet!$C$2:$C$3143=AQ$1,
Master_Mapping_Sheet!$H$2:$H$3143=$A6))/sum(filter(
Master_Mapping_Sheet!$E$2:$E$3143, ISNUMBER(
Master_Mapping_Sh"&amp;"eet!$E$2:$E$3143),
Master_Mapping_Sheet!$H$2:$H$3143=$A6))), 0, sum(filter(
Master_Mapping_Sheet!$E$2:$E$3143, ISNUMBER(
Master_Mapping_Sheet!$E$2:$E$3143),
Master_Mapping_Sheet!$C$2:$C$3143=AQ$1,
Master_Mapping_Sheet!$H$2:$H$3143=$A6))/sum(filter(
Master"&amp;"_Mapping_Sheet!$E$2:$E$3143, ISNUMBER(
Master_Mapping_Sheet!$E$2:$E$3143),
Master_Mapping_Sheet!$H$2:$H$3143=$A6)))"),0.0)</f>
        <v>0</v>
      </c>
      <c r="AR6" s="34">
        <f>IFERROR(__xludf.DUMMYFUNCTION("IF(ISNA(sum(filter(
Master_Mapping_Sheet!$E$2:$E$3143, ISNUMBER(
Master_Mapping_Sheet!$E$2:$E$3143),
Master_Mapping_Sheet!$C$2:$C$3143=AR$1,
Master_Mapping_Sheet!$H$2:$H$3143=$A6))/sum(filter(
Master_Mapping_Sheet!$E$2:$E$3143, ISNUMBER(
Master_Mapping_Sh"&amp;"eet!$E$2:$E$3143),
Master_Mapping_Sheet!$H$2:$H$3143=$A6))), 0, sum(filter(
Master_Mapping_Sheet!$E$2:$E$3143, ISNUMBER(
Master_Mapping_Sheet!$E$2:$E$3143),
Master_Mapping_Sheet!$C$2:$C$3143=AR$1,
Master_Mapping_Sheet!$H$2:$H$3143=$A6))/sum(filter(
Master"&amp;"_Mapping_Sheet!$E$2:$E$3143, ISNUMBER(
Master_Mapping_Sheet!$E$2:$E$3143),
Master_Mapping_Sheet!$H$2:$H$3143=$A6)))"),0.0)</f>
        <v>0</v>
      </c>
      <c r="AS6" s="34">
        <f>IFERROR(__xludf.DUMMYFUNCTION("IF(ISNA(sum(filter(
Master_Mapping_Sheet!$E$2:$E$3143, ISNUMBER(
Master_Mapping_Sheet!$E$2:$E$3143),
Master_Mapping_Sheet!$C$2:$C$3143=AS$1,
Master_Mapping_Sheet!$H$2:$H$3143=$A6))/sum(filter(
Master_Mapping_Sheet!$E$2:$E$3143, ISNUMBER(
Master_Mapping_Sh"&amp;"eet!$E$2:$E$3143),
Master_Mapping_Sheet!$H$2:$H$3143=$A6))), 0, sum(filter(
Master_Mapping_Sheet!$E$2:$E$3143, ISNUMBER(
Master_Mapping_Sheet!$E$2:$E$3143),
Master_Mapping_Sheet!$C$2:$C$3143=AS$1,
Master_Mapping_Sheet!$H$2:$H$3143=$A6))/sum(filter(
Master"&amp;"_Mapping_Sheet!$E$2:$E$3143, ISNUMBER(
Master_Mapping_Sheet!$E$2:$E$3143),
Master_Mapping_Sheet!$H$2:$H$3143=$A6)))"),0.0)</f>
        <v>0</v>
      </c>
      <c r="AT6" s="34">
        <f>IFERROR(__xludf.DUMMYFUNCTION("IF(ISNA(sum(filter(
Master_Mapping_Sheet!$E$2:$E$3143, ISNUMBER(
Master_Mapping_Sheet!$E$2:$E$3143),
Master_Mapping_Sheet!$C$2:$C$3143=AT$1,
Master_Mapping_Sheet!$H$2:$H$3143=$A6))/sum(filter(
Master_Mapping_Sheet!$E$2:$E$3143, ISNUMBER(
Master_Mapping_Sh"&amp;"eet!$E$2:$E$3143),
Master_Mapping_Sheet!$H$2:$H$3143=$A6))), 0, sum(filter(
Master_Mapping_Sheet!$E$2:$E$3143, ISNUMBER(
Master_Mapping_Sheet!$E$2:$E$3143),
Master_Mapping_Sheet!$C$2:$C$3143=AT$1,
Master_Mapping_Sheet!$H$2:$H$3143=$A6))/sum(filter(
Master"&amp;"_Mapping_Sheet!$E$2:$E$3143, ISNUMBER(
Master_Mapping_Sheet!$E$2:$E$3143),
Master_Mapping_Sheet!$H$2:$H$3143=$A6)))"),0.0)</f>
        <v>0</v>
      </c>
      <c r="AU6" s="34">
        <f>IFERROR(__xludf.DUMMYFUNCTION("IF(ISNA(sum(filter(
Master_Mapping_Sheet!$E$2:$E$3143, ISNUMBER(
Master_Mapping_Sheet!$E$2:$E$3143),
Master_Mapping_Sheet!$C$2:$C$3143=AU$1,
Master_Mapping_Sheet!$H$2:$H$3143=$A6))/sum(filter(
Master_Mapping_Sheet!$E$2:$E$3143, ISNUMBER(
Master_Mapping_Sh"&amp;"eet!$E$2:$E$3143),
Master_Mapping_Sheet!$H$2:$H$3143=$A6))), 0, sum(filter(
Master_Mapping_Sheet!$E$2:$E$3143, ISNUMBER(
Master_Mapping_Sheet!$E$2:$E$3143),
Master_Mapping_Sheet!$C$2:$C$3143=AU$1,
Master_Mapping_Sheet!$H$2:$H$3143=$A6))/sum(filter(
Master"&amp;"_Mapping_Sheet!$E$2:$E$3143, ISNUMBER(
Master_Mapping_Sheet!$E$2:$E$3143),
Master_Mapping_Sheet!$H$2:$H$3143=$A6)))"),0.0)</f>
        <v>0</v>
      </c>
      <c r="AV6" s="34">
        <f>IFERROR(__xludf.DUMMYFUNCTION("IF(ISNA(sum(filter(
Master_Mapping_Sheet!$E$2:$E$3143, ISNUMBER(
Master_Mapping_Sheet!$E$2:$E$3143),
Master_Mapping_Sheet!$C$2:$C$3143=AV$1,
Master_Mapping_Sheet!$H$2:$H$3143=$A6))/sum(filter(
Master_Mapping_Sheet!$E$2:$E$3143, ISNUMBER(
Master_Mapping_Sh"&amp;"eet!$E$2:$E$3143),
Master_Mapping_Sheet!$H$2:$H$3143=$A6))), 0, sum(filter(
Master_Mapping_Sheet!$E$2:$E$3143, ISNUMBER(
Master_Mapping_Sheet!$E$2:$E$3143),
Master_Mapping_Sheet!$C$2:$C$3143=AV$1,
Master_Mapping_Sheet!$H$2:$H$3143=$A6))/sum(filter(
Master"&amp;"_Mapping_Sheet!$E$2:$E$3143, ISNUMBER(
Master_Mapping_Sheet!$E$2:$E$3143),
Master_Mapping_Sheet!$H$2:$H$3143=$A6)))"),0.0)</f>
        <v>0</v>
      </c>
      <c r="AW6" s="34">
        <f>IFERROR(__xludf.DUMMYFUNCTION("IF(ISNA(sum(filter(
Master_Mapping_Sheet!$E$2:$E$3143, ISNUMBER(
Master_Mapping_Sheet!$E$2:$E$3143),
Master_Mapping_Sheet!$C$2:$C$3143=AW$1,
Master_Mapping_Sheet!$H$2:$H$3143=$A6))/sum(filter(
Master_Mapping_Sheet!$E$2:$E$3143, ISNUMBER(
Master_Mapping_Sh"&amp;"eet!$E$2:$E$3143),
Master_Mapping_Sheet!$H$2:$H$3143=$A6))), 0, sum(filter(
Master_Mapping_Sheet!$E$2:$E$3143, ISNUMBER(
Master_Mapping_Sheet!$E$2:$E$3143),
Master_Mapping_Sheet!$C$2:$C$3143=AW$1,
Master_Mapping_Sheet!$H$2:$H$3143=$A6))/sum(filter(
Master"&amp;"_Mapping_Sheet!$E$2:$E$3143, ISNUMBER(
Master_Mapping_Sheet!$E$2:$E$3143),
Master_Mapping_Sheet!$H$2:$H$3143=$A6)))"),0.0)</f>
        <v>0</v>
      </c>
      <c r="AX6" s="34">
        <f>IFERROR(__xludf.DUMMYFUNCTION("IF(ISNA(sum(filter(
Master_Mapping_Sheet!$E$2:$E$3143, ISNUMBER(
Master_Mapping_Sheet!$E$2:$E$3143),
Master_Mapping_Sheet!$C$2:$C$3143=AX$1,
Master_Mapping_Sheet!$H$2:$H$3143=$A6))/sum(filter(
Master_Mapping_Sheet!$E$2:$E$3143, ISNUMBER(
Master_Mapping_Sh"&amp;"eet!$E$2:$E$3143),
Master_Mapping_Sheet!$H$2:$H$3143=$A6))), 0, sum(filter(
Master_Mapping_Sheet!$E$2:$E$3143, ISNUMBER(
Master_Mapping_Sheet!$E$2:$E$3143),
Master_Mapping_Sheet!$C$2:$C$3143=AX$1,
Master_Mapping_Sheet!$H$2:$H$3143=$A6))/sum(filter(
Master"&amp;"_Mapping_Sheet!$E$2:$E$3143, ISNUMBER(
Master_Mapping_Sheet!$E$2:$E$3143),
Master_Mapping_Sheet!$H$2:$H$3143=$A6)))"),0.0)</f>
        <v>0</v>
      </c>
      <c r="AY6" s="34">
        <f>IFERROR(__xludf.DUMMYFUNCTION("IF(ISNA(sum(filter(
Master_Mapping_Sheet!$E$2:$E$3143, ISNUMBER(
Master_Mapping_Sheet!$E$2:$E$3143),
Master_Mapping_Sheet!$C$2:$C$3143=AY$1,
Master_Mapping_Sheet!$H$2:$H$3143=$A6))/sum(filter(
Master_Mapping_Sheet!$E$2:$E$3143, ISNUMBER(
Master_Mapping_Sh"&amp;"eet!$E$2:$E$3143),
Master_Mapping_Sheet!$H$2:$H$3143=$A6))), 0, sum(filter(
Master_Mapping_Sheet!$E$2:$E$3143, ISNUMBER(
Master_Mapping_Sheet!$E$2:$E$3143),
Master_Mapping_Sheet!$C$2:$C$3143=AY$1,
Master_Mapping_Sheet!$H$2:$H$3143=$A6))/sum(filter(
Master"&amp;"_Mapping_Sheet!$E$2:$E$3143, ISNUMBER(
Master_Mapping_Sheet!$E$2:$E$3143),
Master_Mapping_Sheet!$H$2:$H$3143=$A6)))"),0.0)</f>
        <v>0</v>
      </c>
      <c r="AZ6" s="34">
        <f>IFERROR(__xludf.DUMMYFUNCTION("IF(ISNA(sum(filter(
Master_Mapping_Sheet!$E$2:$E$3143, ISNUMBER(
Master_Mapping_Sheet!$E$2:$E$3143),
Master_Mapping_Sheet!$C$2:$C$3143=AZ$1,
Master_Mapping_Sheet!$H$2:$H$3143=$A6))/sum(filter(
Master_Mapping_Sheet!$E$2:$E$3143, ISNUMBER(
Master_Mapping_Sh"&amp;"eet!$E$2:$E$3143),
Master_Mapping_Sheet!$H$2:$H$3143=$A6))), 0, sum(filter(
Master_Mapping_Sheet!$E$2:$E$3143, ISNUMBER(
Master_Mapping_Sheet!$E$2:$E$3143),
Master_Mapping_Sheet!$C$2:$C$3143=AZ$1,
Master_Mapping_Sheet!$H$2:$H$3143=$A6))/sum(filter(
Master"&amp;"_Mapping_Sheet!$E$2:$E$3143, ISNUMBER(
Master_Mapping_Sheet!$E$2:$E$3143),
Master_Mapping_Sheet!$H$2:$H$3143=$A6)))"),0.0)</f>
        <v>0</v>
      </c>
    </row>
    <row r="7" ht="15.75" customHeight="1">
      <c r="A7" s="34" t="s">
        <v>3974</v>
      </c>
      <c r="B7" s="34">
        <f>IFERROR(__xludf.DUMMYFUNCTION("IF(ISNA(sum(filter(
Master_Mapping_Sheet!$E$2:$E$3143, ISNUMBER(
Master_Mapping_Sheet!$E$2:$E$3143),
Master_Mapping_Sheet!$C$2:$C$3143=B$1,
Master_Mapping_Sheet!$H$2:$H$3143=$A7))/sum(filter(
Master_Mapping_Sheet!$E$2:$E$3143, ISNUMBER(
Master_Mapping_She"&amp;"et!$E$2:$E$3143),
Master_Mapping_Sheet!$H$2:$H$3143=$A7))), 0, sum(filter(
Master_Mapping_Sheet!$E$2:$E$3143, ISNUMBER(
Master_Mapping_Sheet!$E$2:$E$3143),
Master_Mapping_Sheet!$C$2:$C$3143=B$1,
Master_Mapping_Sheet!$H$2:$H$3143=$A7))/sum(filter(
Master_M"&amp;"apping_Sheet!$E$2:$E$3143, ISNUMBER(
Master_Mapping_Sheet!$E$2:$E$3143),
Master_Mapping_Sheet!$H$2:$H$3143=$A7)))"),0.0)</f>
        <v>0</v>
      </c>
      <c r="C7" s="34">
        <f>IFERROR(__xludf.DUMMYFUNCTION("IF(ISNA(sum(filter(
Master_Mapping_Sheet!$E$2:$E$3143, ISNUMBER(
Master_Mapping_Sheet!$E$2:$E$3143),
Master_Mapping_Sheet!$C$2:$C$3143=C$1,
Master_Mapping_Sheet!$H$2:$H$3143=$A7))/sum(filter(
Master_Mapping_Sheet!$E$2:$E$3143, ISNUMBER(
Master_Mapping_She"&amp;"et!$E$2:$E$3143),
Master_Mapping_Sheet!$H$2:$H$3143=$A7))), 0, sum(filter(
Master_Mapping_Sheet!$E$2:$E$3143, ISNUMBER(
Master_Mapping_Sheet!$E$2:$E$3143),
Master_Mapping_Sheet!$C$2:$C$3143=C$1,
Master_Mapping_Sheet!$H$2:$H$3143=$A7))/sum(filter(
Master_M"&amp;"apping_Sheet!$E$2:$E$3143, ISNUMBER(
Master_Mapping_Sheet!$E$2:$E$3143),
Master_Mapping_Sheet!$H$2:$H$3143=$A7)))"),0.0)</f>
        <v>0</v>
      </c>
      <c r="D7" s="34">
        <f>IFERROR(__xludf.DUMMYFUNCTION("IF(ISNA(sum(filter(
Master_Mapping_Sheet!$E$2:$E$3143, ISNUMBER(
Master_Mapping_Sheet!$E$2:$E$3143),
Master_Mapping_Sheet!$C$2:$C$3143=D$1,
Master_Mapping_Sheet!$H$2:$H$3143=$A7))/sum(filter(
Master_Mapping_Sheet!$E$2:$E$3143, ISNUMBER(
Master_Mapping_She"&amp;"et!$E$2:$E$3143),
Master_Mapping_Sheet!$H$2:$H$3143=$A7))), 0, sum(filter(
Master_Mapping_Sheet!$E$2:$E$3143, ISNUMBER(
Master_Mapping_Sheet!$E$2:$E$3143),
Master_Mapping_Sheet!$C$2:$C$3143=D$1,
Master_Mapping_Sheet!$H$2:$H$3143=$A7))/sum(filter(
Master_M"&amp;"apping_Sheet!$E$2:$E$3143, ISNUMBER(
Master_Mapping_Sheet!$E$2:$E$3143),
Master_Mapping_Sheet!$H$2:$H$3143=$A7)))"),0.0)</f>
        <v>0</v>
      </c>
      <c r="E7" s="34">
        <f>IFERROR(__xludf.DUMMYFUNCTION("IF(ISNA(sum(filter(
Master_Mapping_Sheet!$E$2:$E$3143, ISNUMBER(
Master_Mapping_Sheet!$E$2:$E$3143),
Master_Mapping_Sheet!$C$2:$C$3143=E$1,
Master_Mapping_Sheet!$H$2:$H$3143=$A7))/sum(filter(
Master_Mapping_Sheet!$E$2:$E$3143, ISNUMBER(
Master_Mapping_She"&amp;"et!$E$2:$E$3143),
Master_Mapping_Sheet!$H$2:$H$3143=$A7))), 0, sum(filter(
Master_Mapping_Sheet!$E$2:$E$3143, ISNUMBER(
Master_Mapping_Sheet!$E$2:$E$3143),
Master_Mapping_Sheet!$C$2:$C$3143=E$1,
Master_Mapping_Sheet!$H$2:$H$3143=$A7))/sum(filter(
Master_M"&amp;"apping_Sheet!$E$2:$E$3143, ISNUMBER(
Master_Mapping_Sheet!$E$2:$E$3143),
Master_Mapping_Sheet!$H$2:$H$3143=$A7)))"),0.22389903751609294)</f>
        <v>0.2238990375</v>
      </c>
      <c r="F7" s="34">
        <f>IFERROR(__xludf.DUMMYFUNCTION("IF(ISNA(sum(filter(
Master_Mapping_Sheet!$E$2:$E$3143, ISNUMBER(
Master_Mapping_Sheet!$E$2:$E$3143),
Master_Mapping_Sheet!$C$2:$C$3143=F$1,
Master_Mapping_Sheet!$H$2:$H$3143=$A7))/sum(filter(
Master_Mapping_Sheet!$E$2:$E$3143, ISNUMBER(
Master_Mapping_She"&amp;"et!$E$2:$E$3143),
Master_Mapping_Sheet!$H$2:$H$3143=$A7))), 0, sum(filter(
Master_Mapping_Sheet!$E$2:$E$3143, ISNUMBER(
Master_Mapping_Sheet!$E$2:$E$3143),
Master_Mapping_Sheet!$C$2:$C$3143=F$1,
Master_Mapping_Sheet!$H$2:$H$3143=$A7))/sum(filter(
Master_M"&amp;"apping_Sheet!$E$2:$E$3143, ISNUMBER(
Master_Mapping_Sheet!$E$2:$E$3143),
Master_Mapping_Sheet!$H$2:$H$3143=$A7)))"),0.0)</f>
        <v>0</v>
      </c>
      <c r="G7" s="34">
        <f>IFERROR(__xludf.DUMMYFUNCTION("IF(ISNA(sum(filter(
Master_Mapping_Sheet!$E$2:$E$3143, ISNUMBER(
Master_Mapping_Sheet!$E$2:$E$3143),
Master_Mapping_Sheet!$C$2:$C$3143=G$1,
Master_Mapping_Sheet!$H$2:$H$3143=$A7))/sum(filter(
Master_Mapping_Sheet!$E$2:$E$3143, ISNUMBER(
Master_Mapping_She"&amp;"et!$E$2:$E$3143),
Master_Mapping_Sheet!$H$2:$H$3143=$A7))), 0, sum(filter(
Master_Mapping_Sheet!$E$2:$E$3143, ISNUMBER(
Master_Mapping_Sheet!$E$2:$E$3143),
Master_Mapping_Sheet!$C$2:$C$3143=G$1,
Master_Mapping_Sheet!$H$2:$H$3143=$A7))/sum(filter(
Master_M"&amp;"apping_Sheet!$E$2:$E$3143, ISNUMBER(
Master_Mapping_Sheet!$E$2:$E$3143),
Master_Mapping_Sheet!$H$2:$H$3143=$A7)))"),0.0)</f>
        <v>0</v>
      </c>
      <c r="H7" s="34">
        <f>IFERROR(__xludf.DUMMYFUNCTION("IF(ISNA(sum(filter(
Master_Mapping_Sheet!$E$2:$E$3143, ISNUMBER(
Master_Mapping_Sheet!$E$2:$E$3143),
Master_Mapping_Sheet!$C$2:$C$3143=H$1,
Master_Mapping_Sheet!$H$2:$H$3143=$A7))/sum(filter(
Master_Mapping_Sheet!$E$2:$E$3143, ISNUMBER(
Master_Mapping_She"&amp;"et!$E$2:$E$3143),
Master_Mapping_Sheet!$H$2:$H$3143=$A7))), 0, sum(filter(
Master_Mapping_Sheet!$E$2:$E$3143, ISNUMBER(
Master_Mapping_Sheet!$E$2:$E$3143),
Master_Mapping_Sheet!$C$2:$C$3143=H$1,
Master_Mapping_Sheet!$H$2:$H$3143=$A7))/sum(filter(
Master_M"&amp;"apping_Sheet!$E$2:$E$3143, ISNUMBER(
Master_Mapping_Sheet!$E$2:$E$3143),
Master_Mapping_Sheet!$H$2:$H$3143=$A7)))"),0.0)</f>
        <v>0</v>
      </c>
      <c r="I7" s="34">
        <f>IFERROR(__xludf.DUMMYFUNCTION("IF(ISNA(sum(filter(
Master_Mapping_Sheet!$E$2:$E$3143, ISNUMBER(
Master_Mapping_Sheet!$E$2:$E$3143),
Master_Mapping_Sheet!$C$2:$C$3143=I$1,
Master_Mapping_Sheet!$H$2:$H$3143=$A7))/sum(filter(
Master_Mapping_Sheet!$E$2:$E$3143, ISNUMBER(
Master_Mapping_She"&amp;"et!$E$2:$E$3143),
Master_Mapping_Sheet!$H$2:$H$3143=$A7))), 0, sum(filter(
Master_Mapping_Sheet!$E$2:$E$3143, ISNUMBER(
Master_Mapping_Sheet!$E$2:$E$3143),
Master_Mapping_Sheet!$C$2:$C$3143=I$1,
Master_Mapping_Sheet!$H$2:$H$3143=$A7))/sum(filter(
Master_M"&amp;"apping_Sheet!$E$2:$E$3143, ISNUMBER(
Master_Mapping_Sheet!$E$2:$E$3143),
Master_Mapping_Sheet!$H$2:$H$3143=$A7)))"),0.0)</f>
        <v>0</v>
      </c>
      <c r="J7" s="34">
        <f>IFERROR(__xludf.DUMMYFUNCTION("IF(ISNA(sum(filter(
Master_Mapping_Sheet!$E$2:$E$3143, ISNUMBER(
Master_Mapping_Sheet!$E$2:$E$3143),
Master_Mapping_Sheet!$C$2:$C$3143=J$1,
Master_Mapping_Sheet!$H$2:$H$3143=$A7))/sum(filter(
Master_Mapping_Sheet!$E$2:$E$3143, ISNUMBER(
Master_Mapping_She"&amp;"et!$E$2:$E$3143),
Master_Mapping_Sheet!$H$2:$H$3143=$A7))), 0, sum(filter(
Master_Mapping_Sheet!$E$2:$E$3143, ISNUMBER(
Master_Mapping_Sheet!$E$2:$E$3143),
Master_Mapping_Sheet!$C$2:$C$3143=J$1,
Master_Mapping_Sheet!$H$2:$H$3143=$A7))/sum(filter(
Master_M"&amp;"apping_Sheet!$E$2:$E$3143, ISNUMBER(
Master_Mapping_Sheet!$E$2:$E$3143),
Master_Mapping_Sheet!$H$2:$H$3143=$A7)))"),0.0)</f>
        <v>0</v>
      </c>
      <c r="K7" s="34">
        <f>IFERROR(__xludf.DUMMYFUNCTION("IF(ISNA(sum(filter(
Master_Mapping_Sheet!$E$2:$E$3143, ISNUMBER(
Master_Mapping_Sheet!$E$2:$E$3143),
Master_Mapping_Sheet!$C$2:$C$3143=K$1,
Master_Mapping_Sheet!$H$2:$H$3143=$A7))/sum(filter(
Master_Mapping_Sheet!$E$2:$E$3143, ISNUMBER(
Master_Mapping_She"&amp;"et!$E$2:$E$3143),
Master_Mapping_Sheet!$H$2:$H$3143=$A7))), 0, sum(filter(
Master_Mapping_Sheet!$E$2:$E$3143, ISNUMBER(
Master_Mapping_Sheet!$E$2:$E$3143),
Master_Mapping_Sheet!$C$2:$C$3143=K$1,
Master_Mapping_Sheet!$H$2:$H$3143=$A7))/sum(filter(
Master_M"&amp;"apping_Sheet!$E$2:$E$3143, ISNUMBER(
Master_Mapping_Sheet!$E$2:$E$3143),
Master_Mapping_Sheet!$H$2:$H$3143=$A7)))"),0.0)</f>
        <v>0</v>
      </c>
      <c r="L7" s="34">
        <f>IFERROR(__xludf.DUMMYFUNCTION("IF(ISNA(sum(filter(
Master_Mapping_Sheet!$E$2:$E$3143, ISNUMBER(
Master_Mapping_Sheet!$E$2:$E$3143),
Master_Mapping_Sheet!$C$2:$C$3143=L$1,
Master_Mapping_Sheet!$H$2:$H$3143=$A7))/sum(filter(
Master_Mapping_Sheet!$E$2:$E$3143, ISNUMBER(
Master_Mapping_She"&amp;"et!$E$2:$E$3143),
Master_Mapping_Sheet!$H$2:$H$3143=$A7))), 0, sum(filter(
Master_Mapping_Sheet!$E$2:$E$3143, ISNUMBER(
Master_Mapping_Sheet!$E$2:$E$3143),
Master_Mapping_Sheet!$C$2:$C$3143=L$1,
Master_Mapping_Sheet!$H$2:$H$3143=$A7))/sum(filter(
Master_M"&amp;"apping_Sheet!$E$2:$E$3143, ISNUMBER(
Master_Mapping_Sheet!$E$2:$E$3143),
Master_Mapping_Sheet!$H$2:$H$3143=$A7)))"),0.0)</f>
        <v>0</v>
      </c>
      <c r="M7" s="34">
        <f>IFERROR(__xludf.DUMMYFUNCTION("IF(ISNA(sum(filter(
Master_Mapping_Sheet!$E$2:$E$3143, ISNUMBER(
Master_Mapping_Sheet!$E$2:$E$3143),
Master_Mapping_Sheet!$C$2:$C$3143=M$1,
Master_Mapping_Sheet!$H$2:$H$3143=$A7))/sum(filter(
Master_Mapping_Sheet!$E$2:$E$3143, ISNUMBER(
Master_Mapping_She"&amp;"et!$E$2:$E$3143),
Master_Mapping_Sheet!$H$2:$H$3143=$A7))), 0, sum(filter(
Master_Mapping_Sheet!$E$2:$E$3143, ISNUMBER(
Master_Mapping_Sheet!$E$2:$E$3143),
Master_Mapping_Sheet!$C$2:$C$3143=M$1,
Master_Mapping_Sheet!$H$2:$H$3143=$A7))/sum(filter(
Master_M"&amp;"apping_Sheet!$E$2:$E$3143, ISNUMBER(
Master_Mapping_Sheet!$E$2:$E$3143),
Master_Mapping_Sheet!$H$2:$H$3143=$A7)))"),0.0)</f>
        <v>0</v>
      </c>
      <c r="N7" s="34">
        <f>IFERROR(__xludf.DUMMYFUNCTION("IF(ISNA(sum(filter(
Master_Mapping_Sheet!$E$2:$E$3143, ISNUMBER(
Master_Mapping_Sheet!$E$2:$E$3143),
Master_Mapping_Sheet!$C$2:$C$3143=N$1,
Master_Mapping_Sheet!$H$2:$H$3143=$A7))/sum(filter(
Master_Mapping_Sheet!$E$2:$E$3143, ISNUMBER(
Master_Mapping_She"&amp;"et!$E$2:$E$3143),
Master_Mapping_Sheet!$H$2:$H$3143=$A7))), 0, sum(filter(
Master_Mapping_Sheet!$E$2:$E$3143, ISNUMBER(
Master_Mapping_Sheet!$E$2:$E$3143),
Master_Mapping_Sheet!$C$2:$C$3143=N$1,
Master_Mapping_Sheet!$H$2:$H$3143=$A7))/sum(filter(
Master_M"&amp;"apping_Sheet!$E$2:$E$3143, ISNUMBER(
Master_Mapping_Sheet!$E$2:$E$3143),
Master_Mapping_Sheet!$H$2:$H$3143=$A7)))"),0.0)</f>
        <v>0</v>
      </c>
      <c r="O7" s="34">
        <f>IFERROR(__xludf.DUMMYFUNCTION("IF(ISNA(sum(filter(
Master_Mapping_Sheet!$E$2:$E$3143, ISNUMBER(
Master_Mapping_Sheet!$E$2:$E$3143),
Master_Mapping_Sheet!$C$2:$C$3143=O$1,
Master_Mapping_Sheet!$H$2:$H$3143=$A7))/sum(filter(
Master_Mapping_Sheet!$E$2:$E$3143, ISNUMBER(
Master_Mapping_She"&amp;"et!$E$2:$E$3143),
Master_Mapping_Sheet!$H$2:$H$3143=$A7))), 0, sum(filter(
Master_Mapping_Sheet!$E$2:$E$3143, ISNUMBER(
Master_Mapping_Sheet!$E$2:$E$3143),
Master_Mapping_Sheet!$C$2:$C$3143=O$1,
Master_Mapping_Sheet!$H$2:$H$3143=$A7))/sum(filter(
Master_M"&amp;"apping_Sheet!$E$2:$E$3143, ISNUMBER(
Master_Mapping_Sheet!$E$2:$E$3143),
Master_Mapping_Sheet!$H$2:$H$3143=$A7)))"),0.0)</f>
        <v>0</v>
      </c>
      <c r="P7" s="34">
        <f>IFERROR(__xludf.DUMMYFUNCTION("IF(ISNA(sum(filter(
Master_Mapping_Sheet!$E$2:$E$3143, ISNUMBER(
Master_Mapping_Sheet!$E$2:$E$3143),
Master_Mapping_Sheet!$C$2:$C$3143=P$1,
Master_Mapping_Sheet!$H$2:$H$3143=$A7))/sum(filter(
Master_Mapping_Sheet!$E$2:$E$3143, ISNUMBER(
Master_Mapping_She"&amp;"et!$E$2:$E$3143),
Master_Mapping_Sheet!$H$2:$H$3143=$A7))), 0, sum(filter(
Master_Mapping_Sheet!$E$2:$E$3143, ISNUMBER(
Master_Mapping_Sheet!$E$2:$E$3143),
Master_Mapping_Sheet!$C$2:$C$3143=P$1,
Master_Mapping_Sheet!$H$2:$H$3143=$A7))/sum(filter(
Master_M"&amp;"apping_Sheet!$E$2:$E$3143, ISNUMBER(
Master_Mapping_Sheet!$E$2:$E$3143),
Master_Mapping_Sheet!$H$2:$H$3143=$A7)))"),0.0)</f>
        <v>0</v>
      </c>
      <c r="Q7" s="34">
        <f>IFERROR(__xludf.DUMMYFUNCTION("IF(ISNA(sum(filter(
Master_Mapping_Sheet!$E$2:$E$3143, ISNUMBER(
Master_Mapping_Sheet!$E$2:$E$3143),
Master_Mapping_Sheet!$C$2:$C$3143=Q$1,
Master_Mapping_Sheet!$H$2:$H$3143=$A7))/sum(filter(
Master_Mapping_Sheet!$E$2:$E$3143, ISNUMBER(
Master_Mapping_She"&amp;"et!$E$2:$E$3143),
Master_Mapping_Sheet!$H$2:$H$3143=$A7))), 0, sum(filter(
Master_Mapping_Sheet!$E$2:$E$3143, ISNUMBER(
Master_Mapping_Sheet!$E$2:$E$3143),
Master_Mapping_Sheet!$C$2:$C$3143=Q$1,
Master_Mapping_Sheet!$H$2:$H$3143=$A7))/sum(filter(
Master_M"&amp;"apping_Sheet!$E$2:$E$3143, ISNUMBER(
Master_Mapping_Sheet!$E$2:$E$3143),
Master_Mapping_Sheet!$H$2:$H$3143=$A7)))"),0.0)</f>
        <v>0</v>
      </c>
      <c r="R7" s="34">
        <f>IFERROR(__xludf.DUMMYFUNCTION("IF(ISNA(sum(filter(
Master_Mapping_Sheet!$E$2:$E$3143, ISNUMBER(
Master_Mapping_Sheet!$E$2:$E$3143),
Master_Mapping_Sheet!$C$2:$C$3143=R$1,
Master_Mapping_Sheet!$H$2:$H$3143=$A7))/sum(filter(
Master_Mapping_Sheet!$E$2:$E$3143, ISNUMBER(
Master_Mapping_She"&amp;"et!$E$2:$E$3143),
Master_Mapping_Sheet!$H$2:$H$3143=$A7))), 0, sum(filter(
Master_Mapping_Sheet!$E$2:$E$3143, ISNUMBER(
Master_Mapping_Sheet!$E$2:$E$3143),
Master_Mapping_Sheet!$C$2:$C$3143=R$1,
Master_Mapping_Sheet!$H$2:$H$3143=$A7))/sum(filter(
Master_M"&amp;"apping_Sheet!$E$2:$E$3143, ISNUMBER(
Master_Mapping_Sheet!$E$2:$E$3143),
Master_Mapping_Sheet!$H$2:$H$3143=$A7)))"),0.0)</f>
        <v>0</v>
      </c>
      <c r="S7" s="34">
        <f>IFERROR(__xludf.DUMMYFUNCTION("IF(ISNA(sum(filter(
Master_Mapping_Sheet!$E$2:$E$3143, ISNUMBER(
Master_Mapping_Sheet!$E$2:$E$3143),
Master_Mapping_Sheet!$C$2:$C$3143=S$1,
Master_Mapping_Sheet!$H$2:$H$3143=$A7))/sum(filter(
Master_Mapping_Sheet!$E$2:$E$3143, ISNUMBER(
Master_Mapping_She"&amp;"et!$E$2:$E$3143),
Master_Mapping_Sheet!$H$2:$H$3143=$A7))), 0, sum(filter(
Master_Mapping_Sheet!$E$2:$E$3143, ISNUMBER(
Master_Mapping_Sheet!$E$2:$E$3143),
Master_Mapping_Sheet!$C$2:$C$3143=S$1,
Master_Mapping_Sheet!$H$2:$H$3143=$A7))/sum(filter(
Master_M"&amp;"apping_Sheet!$E$2:$E$3143, ISNUMBER(
Master_Mapping_Sheet!$E$2:$E$3143),
Master_Mapping_Sheet!$H$2:$H$3143=$A7)))"),0.0)</f>
        <v>0</v>
      </c>
      <c r="T7" s="34">
        <f>IFERROR(__xludf.DUMMYFUNCTION("IF(ISNA(sum(filter(
Master_Mapping_Sheet!$E$2:$E$3143, ISNUMBER(
Master_Mapping_Sheet!$E$2:$E$3143),
Master_Mapping_Sheet!$C$2:$C$3143=T$1,
Master_Mapping_Sheet!$H$2:$H$3143=$A7))/sum(filter(
Master_Mapping_Sheet!$E$2:$E$3143, ISNUMBER(
Master_Mapping_She"&amp;"et!$E$2:$E$3143),
Master_Mapping_Sheet!$H$2:$H$3143=$A7))), 0, sum(filter(
Master_Mapping_Sheet!$E$2:$E$3143, ISNUMBER(
Master_Mapping_Sheet!$E$2:$E$3143),
Master_Mapping_Sheet!$C$2:$C$3143=T$1,
Master_Mapping_Sheet!$H$2:$H$3143=$A7))/sum(filter(
Master_M"&amp;"apping_Sheet!$E$2:$E$3143, ISNUMBER(
Master_Mapping_Sheet!$E$2:$E$3143),
Master_Mapping_Sheet!$H$2:$H$3143=$A7)))"),0.4134734376836655)</f>
        <v>0.4134734377</v>
      </c>
      <c r="U7" s="34">
        <f>IFERROR(__xludf.DUMMYFUNCTION("IF(ISNA(sum(filter(
Master_Mapping_Sheet!$E$2:$E$3143, ISNUMBER(
Master_Mapping_Sheet!$E$2:$E$3143),
Master_Mapping_Sheet!$C$2:$C$3143=U$1,
Master_Mapping_Sheet!$H$2:$H$3143=$A7))/sum(filter(
Master_Mapping_Sheet!$E$2:$E$3143, ISNUMBER(
Master_Mapping_She"&amp;"et!$E$2:$E$3143),
Master_Mapping_Sheet!$H$2:$H$3143=$A7))), 0, sum(filter(
Master_Mapping_Sheet!$E$2:$E$3143, ISNUMBER(
Master_Mapping_Sheet!$E$2:$E$3143),
Master_Mapping_Sheet!$C$2:$C$3143=U$1,
Master_Mapping_Sheet!$H$2:$H$3143=$A7))/sum(filter(
Master_M"&amp;"apping_Sheet!$E$2:$E$3143, ISNUMBER(
Master_Mapping_Sheet!$E$2:$E$3143),
Master_Mapping_Sheet!$H$2:$H$3143=$A7)))"),0.0)</f>
        <v>0</v>
      </c>
      <c r="V7" s="34">
        <f>IFERROR(__xludf.DUMMYFUNCTION("IF(ISNA(sum(filter(
Master_Mapping_Sheet!$E$2:$E$3143, ISNUMBER(
Master_Mapping_Sheet!$E$2:$E$3143),
Master_Mapping_Sheet!$C$2:$C$3143=V$1,
Master_Mapping_Sheet!$H$2:$H$3143=$A7))/sum(filter(
Master_Mapping_Sheet!$E$2:$E$3143, ISNUMBER(
Master_Mapping_She"&amp;"et!$E$2:$E$3143),
Master_Mapping_Sheet!$H$2:$H$3143=$A7))), 0, sum(filter(
Master_Mapping_Sheet!$E$2:$E$3143, ISNUMBER(
Master_Mapping_Sheet!$E$2:$E$3143),
Master_Mapping_Sheet!$C$2:$C$3143=V$1,
Master_Mapping_Sheet!$H$2:$H$3143=$A7))/sum(filter(
Master_M"&amp;"apping_Sheet!$E$2:$E$3143, ISNUMBER(
Master_Mapping_Sheet!$E$2:$E$3143),
Master_Mapping_Sheet!$H$2:$H$3143=$A7)))"),0.0)</f>
        <v>0</v>
      </c>
      <c r="W7" s="34">
        <f>IFERROR(__xludf.DUMMYFUNCTION("IF(ISNA(sum(filter(
Master_Mapping_Sheet!$E$2:$E$3143, ISNUMBER(
Master_Mapping_Sheet!$E$2:$E$3143),
Master_Mapping_Sheet!$C$2:$C$3143=W$1,
Master_Mapping_Sheet!$H$2:$H$3143=$A7))/sum(filter(
Master_Mapping_Sheet!$E$2:$E$3143, ISNUMBER(
Master_Mapping_She"&amp;"et!$E$2:$E$3143),
Master_Mapping_Sheet!$H$2:$H$3143=$A7))), 0, sum(filter(
Master_Mapping_Sheet!$E$2:$E$3143, ISNUMBER(
Master_Mapping_Sheet!$E$2:$E$3143),
Master_Mapping_Sheet!$C$2:$C$3143=W$1,
Master_Mapping_Sheet!$H$2:$H$3143=$A7))/sum(filter(
Master_M"&amp;"apping_Sheet!$E$2:$E$3143, ISNUMBER(
Master_Mapping_Sheet!$E$2:$E$3143),
Master_Mapping_Sheet!$H$2:$H$3143=$A7)))"),0.0)</f>
        <v>0</v>
      </c>
      <c r="X7" s="34">
        <f>IFERROR(__xludf.DUMMYFUNCTION("IF(ISNA(sum(filter(
Master_Mapping_Sheet!$E$2:$E$3143, ISNUMBER(
Master_Mapping_Sheet!$E$2:$E$3143),
Master_Mapping_Sheet!$C$2:$C$3143=X$1,
Master_Mapping_Sheet!$H$2:$H$3143=$A7))/sum(filter(
Master_Mapping_Sheet!$E$2:$E$3143, ISNUMBER(
Master_Mapping_She"&amp;"et!$E$2:$E$3143),
Master_Mapping_Sheet!$H$2:$H$3143=$A7))), 0, sum(filter(
Master_Mapping_Sheet!$E$2:$E$3143, ISNUMBER(
Master_Mapping_Sheet!$E$2:$E$3143),
Master_Mapping_Sheet!$C$2:$C$3143=X$1,
Master_Mapping_Sheet!$H$2:$H$3143=$A7))/sum(filter(
Master_M"&amp;"apping_Sheet!$E$2:$E$3143, ISNUMBER(
Master_Mapping_Sheet!$E$2:$E$3143),
Master_Mapping_Sheet!$H$2:$H$3143=$A7)))"),0.0)</f>
        <v>0</v>
      </c>
      <c r="Y7" s="34">
        <f>IFERROR(__xludf.DUMMYFUNCTION("IF(ISNA(sum(filter(
Master_Mapping_Sheet!$E$2:$E$3143, ISNUMBER(
Master_Mapping_Sheet!$E$2:$E$3143),
Master_Mapping_Sheet!$C$2:$C$3143=Y$1,
Master_Mapping_Sheet!$H$2:$H$3143=$A7))/sum(filter(
Master_Mapping_Sheet!$E$2:$E$3143, ISNUMBER(
Master_Mapping_She"&amp;"et!$E$2:$E$3143),
Master_Mapping_Sheet!$H$2:$H$3143=$A7))), 0, sum(filter(
Master_Mapping_Sheet!$E$2:$E$3143, ISNUMBER(
Master_Mapping_Sheet!$E$2:$E$3143),
Master_Mapping_Sheet!$C$2:$C$3143=Y$1,
Master_Mapping_Sheet!$H$2:$H$3143=$A7))/sum(filter(
Master_M"&amp;"apping_Sheet!$E$2:$E$3143, ISNUMBER(
Master_Mapping_Sheet!$E$2:$E$3143),
Master_Mapping_Sheet!$H$2:$H$3143=$A7)))"),0.0)</f>
        <v>0</v>
      </c>
      <c r="Z7" s="34">
        <f>IFERROR(__xludf.DUMMYFUNCTION("IF(ISNA(sum(filter(
Master_Mapping_Sheet!$E$2:$E$3143, ISNUMBER(
Master_Mapping_Sheet!$E$2:$E$3143),
Master_Mapping_Sheet!$C$2:$C$3143=Z$1,
Master_Mapping_Sheet!$H$2:$H$3143=$A7))/sum(filter(
Master_Mapping_Sheet!$E$2:$E$3143, ISNUMBER(
Master_Mapping_She"&amp;"et!$E$2:$E$3143),
Master_Mapping_Sheet!$H$2:$H$3143=$A7))), 0, sum(filter(
Master_Mapping_Sheet!$E$2:$E$3143, ISNUMBER(
Master_Mapping_Sheet!$E$2:$E$3143),
Master_Mapping_Sheet!$C$2:$C$3143=Z$1,
Master_Mapping_Sheet!$H$2:$H$3143=$A7))/sum(filter(
Master_M"&amp;"apping_Sheet!$E$2:$E$3143, ISNUMBER(
Master_Mapping_Sheet!$E$2:$E$3143),
Master_Mapping_Sheet!$H$2:$H$3143=$A7)))"),0.16069810026835013)</f>
        <v>0.1606981003</v>
      </c>
      <c r="AA7" s="34">
        <f>IFERROR(__xludf.DUMMYFUNCTION("IF(ISNA(sum(filter(
Master_Mapping_Sheet!$E$2:$E$3143, ISNUMBER(
Master_Mapping_Sheet!$E$2:$E$3143),
Master_Mapping_Sheet!$C$2:$C$3143=AA$1,
Master_Mapping_Sheet!$H$2:$H$3143=$A7))/sum(filter(
Master_Mapping_Sheet!$E$2:$E$3143, ISNUMBER(
Master_Mapping_Sh"&amp;"eet!$E$2:$E$3143),
Master_Mapping_Sheet!$H$2:$H$3143=$A7))), 0, sum(filter(
Master_Mapping_Sheet!$E$2:$E$3143, ISNUMBER(
Master_Mapping_Sheet!$E$2:$E$3143),
Master_Mapping_Sheet!$C$2:$C$3143=AA$1,
Master_Mapping_Sheet!$H$2:$H$3143=$A7))/sum(filter(
Master"&amp;"_Mapping_Sheet!$E$2:$E$3143, ISNUMBER(
Master_Mapping_Sheet!$E$2:$E$3143),
Master_Mapping_Sheet!$H$2:$H$3143=$A7)))"),0.0)</f>
        <v>0</v>
      </c>
      <c r="AB7" s="34">
        <f>IFERROR(__xludf.DUMMYFUNCTION("IF(ISNA(sum(filter(
Master_Mapping_Sheet!$E$2:$E$3143, ISNUMBER(
Master_Mapping_Sheet!$E$2:$E$3143),
Master_Mapping_Sheet!$C$2:$C$3143=AB$1,
Master_Mapping_Sheet!$H$2:$H$3143=$A7))/sum(filter(
Master_Mapping_Sheet!$E$2:$E$3143, ISNUMBER(
Master_Mapping_Sh"&amp;"eet!$E$2:$E$3143),
Master_Mapping_Sheet!$H$2:$H$3143=$A7))), 0, sum(filter(
Master_Mapping_Sheet!$E$2:$E$3143, ISNUMBER(
Master_Mapping_Sheet!$E$2:$E$3143),
Master_Mapping_Sheet!$C$2:$C$3143=AB$1,
Master_Mapping_Sheet!$H$2:$H$3143=$A7))/sum(filter(
Master"&amp;"_Mapping_Sheet!$E$2:$E$3143, ISNUMBER(
Master_Mapping_Sheet!$E$2:$E$3143),
Master_Mapping_Sheet!$H$2:$H$3143=$A7)))"),0.0)</f>
        <v>0</v>
      </c>
      <c r="AC7" s="34">
        <f>IFERROR(__xludf.DUMMYFUNCTION("IF(ISNA(sum(filter(
Master_Mapping_Sheet!$E$2:$E$3143, ISNUMBER(
Master_Mapping_Sheet!$E$2:$E$3143),
Master_Mapping_Sheet!$C$2:$C$3143=AC$1,
Master_Mapping_Sheet!$H$2:$H$3143=$A7))/sum(filter(
Master_Mapping_Sheet!$E$2:$E$3143, ISNUMBER(
Master_Mapping_Sh"&amp;"eet!$E$2:$E$3143),
Master_Mapping_Sheet!$H$2:$H$3143=$A7))), 0, sum(filter(
Master_Mapping_Sheet!$E$2:$E$3143, ISNUMBER(
Master_Mapping_Sheet!$E$2:$E$3143),
Master_Mapping_Sheet!$C$2:$C$3143=AC$1,
Master_Mapping_Sheet!$H$2:$H$3143=$A7))/sum(filter(
Master"&amp;"_Mapping_Sheet!$E$2:$E$3143, ISNUMBER(
Master_Mapping_Sheet!$E$2:$E$3143),
Master_Mapping_Sheet!$H$2:$H$3143=$A7)))"),0.0)</f>
        <v>0</v>
      </c>
      <c r="AD7" s="34">
        <f>IFERROR(__xludf.DUMMYFUNCTION("IF(ISNA(sum(filter(
Master_Mapping_Sheet!$E$2:$E$3143, ISNUMBER(
Master_Mapping_Sheet!$E$2:$E$3143),
Master_Mapping_Sheet!$C$2:$C$3143=AD$1,
Master_Mapping_Sheet!$H$2:$H$3143=$A7))/sum(filter(
Master_Mapping_Sheet!$E$2:$E$3143, ISNUMBER(
Master_Mapping_Sh"&amp;"eet!$E$2:$E$3143),
Master_Mapping_Sheet!$H$2:$H$3143=$A7))), 0, sum(filter(
Master_Mapping_Sheet!$E$2:$E$3143, ISNUMBER(
Master_Mapping_Sheet!$E$2:$E$3143),
Master_Mapping_Sheet!$C$2:$C$3143=AD$1,
Master_Mapping_Sheet!$H$2:$H$3143=$A7))/sum(filter(
Master"&amp;"_Mapping_Sheet!$E$2:$E$3143, ISNUMBER(
Master_Mapping_Sheet!$E$2:$E$3143),
Master_Mapping_Sheet!$H$2:$H$3143=$A7)))"),0.0)</f>
        <v>0</v>
      </c>
      <c r="AE7" s="34">
        <f>IFERROR(__xludf.DUMMYFUNCTION("IF(ISNA(sum(filter(
Master_Mapping_Sheet!$E$2:$E$3143, ISNUMBER(
Master_Mapping_Sheet!$E$2:$E$3143),
Master_Mapping_Sheet!$C$2:$C$3143=AE$1,
Master_Mapping_Sheet!$H$2:$H$3143=$A7))/sum(filter(
Master_Mapping_Sheet!$E$2:$E$3143, ISNUMBER(
Master_Mapping_Sh"&amp;"eet!$E$2:$E$3143),
Master_Mapping_Sheet!$H$2:$H$3143=$A7))), 0, sum(filter(
Master_Mapping_Sheet!$E$2:$E$3143, ISNUMBER(
Master_Mapping_Sheet!$E$2:$E$3143),
Master_Mapping_Sheet!$C$2:$C$3143=AE$1,
Master_Mapping_Sheet!$H$2:$H$3143=$A7))/sum(filter(
Master"&amp;"_Mapping_Sheet!$E$2:$E$3143, ISNUMBER(
Master_Mapping_Sheet!$E$2:$E$3143),
Master_Mapping_Sheet!$H$2:$H$3143=$A7)))"),0.0)</f>
        <v>0</v>
      </c>
      <c r="AF7" s="34">
        <f>IFERROR(__xludf.DUMMYFUNCTION("IF(ISNA(sum(filter(
Master_Mapping_Sheet!$E$2:$E$3143, ISNUMBER(
Master_Mapping_Sheet!$E$2:$E$3143),
Master_Mapping_Sheet!$C$2:$C$3143=AF$1,
Master_Mapping_Sheet!$H$2:$H$3143=$A7))/sum(filter(
Master_Mapping_Sheet!$E$2:$E$3143, ISNUMBER(
Master_Mapping_Sh"&amp;"eet!$E$2:$E$3143),
Master_Mapping_Sheet!$H$2:$H$3143=$A7))), 0, sum(filter(
Master_Mapping_Sheet!$E$2:$E$3143, ISNUMBER(
Master_Mapping_Sheet!$E$2:$E$3143),
Master_Mapping_Sheet!$C$2:$C$3143=AF$1,
Master_Mapping_Sheet!$H$2:$H$3143=$A7))/sum(filter(
Master"&amp;"_Mapping_Sheet!$E$2:$E$3143, ISNUMBER(
Master_Mapping_Sheet!$E$2:$E$3143),
Master_Mapping_Sheet!$H$2:$H$3143=$A7)))"),0.0)</f>
        <v>0</v>
      </c>
      <c r="AG7" s="34">
        <f>IFERROR(__xludf.DUMMYFUNCTION("IF(ISNA(sum(filter(
Master_Mapping_Sheet!$E$2:$E$3143, ISNUMBER(
Master_Mapping_Sheet!$E$2:$E$3143),
Master_Mapping_Sheet!$C$2:$C$3143=AG$1,
Master_Mapping_Sheet!$H$2:$H$3143=$A7))/sum(filter(
Master_Mapping_Sheet!$E$2:$E$3143, ISNUMBER(
Master_Mapping_Sh"&amp;"eet!$E$2:$E$3143),
Master_Mapping_Sheet!$H$2:$H$3143=$A7))), 0, sum(filter(
Master_Mapping_Sheet!$E$2:$E$3143, ISNUMBER(
Master_Mapping_Sheet!$E$2:$E$3143),
Master_Mapping_Sheet!$C$2:$C$3143=AG$1,
Master_Mapping_Sheet!$H$2:$H$3143=$A7))/sum(filter(
Master"&amp;"_Mapping_Sheet!$E$2:$E$3143, ISNUMBER(
Master_Mapping_Sheet!$E$2:$E$3143),
Master_Mapping_Sheet!$H$2:$H$3143=$A7)))"),0.0)</f>
        <v>0</v>
      </c>
      <c r="AH7" s="34">
        <f>IFERROR(__xludf.DUMMYFUNCTION("IF(ISNA(sum(filter(
Master_Mapping_Sheet!$E$2:$E$3143, ISNUMBER(
Master_Mapping_Sheet!$E$2:$E$3143),
Master_Mapping_Sheet!$C$2:$C$3143=AH$1,
Master_Mapping_Sheet!$H$2:$H$3143=$A7))/sum(filter(
Master_Mapping_Sheet!$E$2:$E$3143, ISNUMBER(
Master_Mapping_Sh"&amp;"eet!$E$2:$E$3143),
Master_Mapping_Sheet!$H$2:$H$3143=$A7))), 0, sum(filter(
Master_Mapping_Sheet!$E$2:$E$3143, ISNUMBER(
Master_Mapping_Sheet!$E$2:$E$3143),
Master_Mapping_Sheet!$C$2:$C$3143=AH$1,
Master_Mapping_Sheet!$H$2:$H$3143=$A7))/sum(filter(
Master"&amp;"_Mapping_Sheet!$E$2:$E$3143, ISNUMBER(
Master_Mapping_Sheet!$E$2:$E$3143),
Master_Mapping_Sheet!$H$2:$H$3143=$A7)))"),0.0)</f>
        <v>0</v>
      </c>
      <c r="AI7" s="34">
        <f>IFERROR(__xludf.DUMMYFUNCTION("IF(ISNA(sum(filter(
Master_Mapping_Sheet!$E$2:$E$3143, ISNUMBER(
Master_Mapping_Sheet!$E$2:$E$3143),
Master_Mapping_Sheet!$C$2:$C$3143=AI$1,
Master_Mapping_Sheet!$H$2:$H$3143=$A7))/sum(filter(
Master_Mapping_Sheet!$E$2:$E$3143, ISNUMBER(
Master_Mapping_Sh"&amp;"eet!$E$2:$E$3143),
Master_Mapping_Sheet!$H$2:$H$3143=$A7))), 0, sum(filter(
Master_Mapping_Sheet!$E$2:$E$3143, ISNUMBER(
Master_Mapping_Sheet!$E$2:$E$3143),
Master_Mapping_Sheet!$C$2:$C$3143=AI$1,
Master_Mapping_Sheet!$H$2:$H$3143=$A7))/sum(filter(
Master"&amp;"_Mapping_Sheet!$E$2:$E$3143, ISNUMBER(
Master_Mapping_Sheet!$E$2:$E$3143),
Master_Mapping_Sheet!$H$2:$H$3143=$A7)))"),0.0)</f>
        <v>0</v>
      </c>
      <c r="AJ7" s="34">
        <f>IFERROR(__xludf.DUMMYFUNCTION("IF(ISNA(sum(filter(
Master_Mapping_Sheet!$E$2:$E$3143, ISNUMBER(
Master_Mapping_Sheet!$E$2:$E$3143),
Master_Mapping_Sheet!$C$2:$C$3143=AJ$1,
Master_Mapping_Sheet!$H$2:$H$3143=$A7))/sum(filter(
Master_Mapping_Sheet!$E$2:$E$3143, ISNUMBER(
Master_Mapping_Sh"&amp;"eet!$E$2:$E$3143),
Master_Mapping_Sheet!$H$2:$H$3143=$A7))), 0, sum(filter(
Master_Mapping_Sheet!$E$2:$E$3143, ISNUMBER(
Master_Mapping_Sheet!$E$2:$E$3143),
Master_Mapping_Sheet!$C$2:$C$3143=AJ$1,
Master_Mapping_Sheet!$H$2:$H$3143=$A7))/sum(filter(
Master"&amp;"_Mapping_Sheet!$E$2:$E$3143, ISNUMBER(
Master_Mapping_Sheet!$E$2:$E$3143),
Master_Mapping_Sheet!$H$2:$H$3143=$A7)))"),0.0)</f>
        <v>0</v>
      </c>
      <c r="AK7" s="34">
        <f>IFERROR(__xludf.DUMMYFUNCTION("IF(ISNA(sum(filter(
Master_Mapping_Sheet!$E$2:$E$3143, ISNUMBER(
Master_Mapping_Sheet!$E$2:$E$3143),
Master_Mapping_Sheet!$C$2:$C$3143=AK$1,
Master_Mapping_Sheet!$H$2:$H$3143=$A7))/sum(filter(
Master_Mapping_Sheet!$E$2:$E$3143, ISNUMBER(
Master_Mapping_Sh"&amp;"eet!$E$2:$E$3143),
Master_Mapping_Sheet!$H$2:$H$3143=$A7))), 0, sum(filter(
Master_Mapping_Sheet!$E$2:$E$3143, ISNUMBER(
Master_Mapping_Sheet!$E$2:$E$3143),
Master_Mapping_Sheet!$C$2:$C$3143=AK$1,
Master_Mapping_Sheet!$H$2:$H$3143=$A7))/sum(filter(
Master"&amp;"_Mapping_Sheet!$E$2:$E$3143, ISNUMBER(
Master_Mapping_Sheet!$E$2:$E$3143),
Master_Mapping_Sheet!$H$2:$H$3143=$A7)))"),0.0)</f>
        <v>0</v>
      </c>
      <c r="AL7" s="34">
        <f>IFERROR(__xludf.DUMMYFUNCTION("IF(ISNA(sum(filter(
Master_Mapping_Sheet!$E$2:$E$3143, ISNUMBER(
Master_Mapping_Sheet!$E$2:$E$3143),
Master_Mapping_Sheet!$C$2:$C$3143=AL$1,
Master_Mapping_Sheet!$H$2:$H$3143=$A7))/sum(filter(
Master_Mapping_Sheet!$E$2:$E$3143, ISNUMBER(
Master_Mapping_Sh"&amp;"eet!$E$2:$E$3143),
Master_Mapping_Sheet!$H$2:$H$3143=$A7))), 0, sum(filter(
Master_Mapping_Sheet!$E$2:$E$3143, ISNUMBER(
Master_Mapping_Sheet!$E$2:$E$3143),
Master_Mapping_Sheet!$C$2:$C$3143=AL$1,
Master_Mapping_Sheet!$H$2:$H$3143=$A7))/sum(filter(
Master"&amp;"_Mapping_Sheet!$E$2:$E$3143, ISNUMBER(
Master_Mapping_Sheet!$E$2:$E$3143),
Master_Mapping_Sheet!$H$2:$H$3143=$A7)))"),0.0)</f>
        <v>0</v>
      </c>
      <c r="AM7" s="34">
        <f>IFERROR(__xludf.DUMMYFUNCTION("IF(ISNA(sum(filter(
Master_Mapping_Sheet!$E$2:$E$3143, ISNUMBER(
Master_Mapping_Sheet!$E$2:$E$3143),
Master_Mapping_Sheet!$C$2:$C$3143=AM$1,
Master_Mapping_Sheet!$H$2:$H$3143=$A7))/sum(filter(
Master_Mapping_Sheet!$E$2:$E$3143, ISNUMBER(
Master_Mapping_Sh"&amp;"eet!$E$2:$E$3143),
Master_Mapping_Sheet!$H$2:$H$3143=$A7))), 0, sum(filter(
Master_Mapping_Sheet!$E$2:$E$3143, ISNUMBER(
Master_Mapping_Sheet!$E$2:$E$3143),
Master_Mapping_Sheet!$C$2:$C$3143=AM$1,
Master_Mapping_Sheet!$H$2:$H$3143=$A7))/sum(filter(
Master"&amp;"_Mapping_Sheet!$E$2:$E$3143, ISNUMBER(
Master_Mapping_Sheet!$E$2:$E$3143),
Master_Mapping_Sheet!$H$2:$H$3143=$A7)))"),0.0)</f>
        <v>0</v>
      </c>
      <c r="AN7" s="34">
        <f>IFERROR(__xludf.DUMMYFUNCTION("IF(ISNA(sum(filter(
Master_Mapping_Sheet!$E$2:$E$3143, ISNUMBER(
Master_Mapping_Sheet!$E$2:$E$3143),
Master_Mapping_Sheet!$C$2:$C$3143=AN$1,
Master_Mapping_Sheet!$H$2:$H$3143=$A7))/sum(filter(
Master_Mapping_Sheet!$E$2:$E$3143, ISNUMBER(
Master_Mapping_Sh"&amp;"eet!$E$2:$E$3143),
Master_Mapping_Sheet!$H$2:$H$3143=$A7))), 0, sum(filter(
Master_Mapping_Sheet!$E$2:$E$3143, ISNUMBER(
Master_Mapping_Sheet!$E$2:$E$3143),
Master_Mapping_Sheet!$C$2:$C$3143=AN$1,
Master_Mapping_Sheet!$H$2:$H$3143=$A7))/sum(filter(
Master"&amp;"_Mapping_Sheet!$E$2:$E$3143, ISNUMBER(
Master_Mapping_Sheet!$E$2:$E$3143),
Master_Mapping_Sheet!$H$2:$H$3143=$A7)))"),0.0)</f>
        <v>0</v>
      </c>
      <c r="AO7" s="34">
        <f>IFERROR(__xludf.DUMMYFUNCTION("IF(ISNA(sum(filter(
Master_Mapping_Sheet!$E$2:$E$3143, ISNUMBER(
Master_Mapping_Sheet!$E$2:$E$3143),
Master_Mapping_Sheet!$C$2:$C$3143=AO$1,
Master_Mapping_Sheet!$H$2:$H$3143=$A7))/sum(filter(
Master_Mapping_Sheet!$E$2:$E$3143, ISNUMBER(
Master_Mapping_Sh"&amp;"eet!$E$2:$E$3143),
Master_Mapping_Sheet!$H$2:$H$3143=$A7))), 0, sum(filter(
Master_Mapping_Sheet!$E$2:$E$3143, ISNUMBER(
Master_Mapping_Sheet!$E$2:$E$3143),
Master_Mapping_Sheet!$C$2:$C$3143=AO$1,
Master_Mapping_Sheet!$H$2:$H$3143=$A7))/sum(filter(
Master"&amp;"_Mapping_Sheet!$E$2:$E$3143, ISNUMBER(
Master_Mapping_Sheet!$E$2:$E$3143),
Master_Mapping_Sheet!$H$2:$H$3143=$A7)))"),0.0)</f>
        <v>0</v>
      </c>
      <c r="AP7" s="34">
        <f>IFERROR(__xludf.DUMMYFUNCTION("IF(ISNA(sum(filter(
Master_Mapping_Sheet!$E$2:$E$3143, ISNUMBER(
Master_Mapping_Sheet!$E$2:$E$3143),
Master_Mapping_Sheet!$C$2:$C$3143=AP$1,
Master_Mapping_Sheet!$H$2:$H$3143=$A7))/sum(filter(
Master_Mapping_Sheet!$E$2:$E$3143, ISNUMBER(
Master_Mapping_Sh"&amp;"eet!$E$2:$E$3143),
Master_Mapping_Sheet!$H$2:$H$3143=$A7))), 0, sum(filter(
Master_Mapping_Sheet!$E$2:$E$3143, ISNUMBER(
Master_Mapping_Sheet!$E$2:$E$3143),
Master_Mapping_Sheet!$C$2:$C$3143=AP$1,
Master_Mapping_Sheet!$H$2:$H$3143=$A7))/sum(filter(
Master"&amp;"_Mapping_Sheet!$E$2:$E$3143, ISNUMBER(
Master_Mapping_Sheet!$E$2:$E$3143),
Master_Mapping_Sheet!$H$2:$H$3143=$A7)))"),0.0)</f>
        <v>0</v>
      </c>
      <c r="AQ7" s="34">
        <f>IFERROR(__xludf.DUMMYFUNCTION("IF(ISNA(sum(filter(
Master_Mapping_Sheet!$E$2:$E$3143, ISNUMBER(
Master_Mapping_Sheet!$E$2:$E$3143),
Master_Mapping_Sheet!$C$2:$C$3143=AQ$1,
Master_Mapping_Sheet!$H$2:$H$3143=$A7))/sum(filter(
Master_Mapping_Sheet!$E$2:$E$3143, ISNUMBER(
Master_Mapping_Sh"&amp;"eet!$E$2:$E$3143),
Master_Mapping_Sheet!$H$2:$H$3143=$A7))), 0, sum(filter(
Master_Mapping_Sheet!$E$2:$E$3143, ISNUMBER(
Master_Mapping_Sheet!$E$2:$E$3143),
Master_Mapping_Sheet!$C$2:$C$3143=AQ$1,
Master_Mapping_Sheet!$H$2:$H$3143=$A7))/sum(filter(
Master"&amp;"_Mapping_Sheet!$E$2:$E$3143, ISNUMBER(
Master_Mapping_Sheet!$E$2:$E$3143),
Master_Mapping_Sheet!$H$2:$H$3143=$A7)))"),0.0)</f>
        <v>0</v>
      </c>
      <c r="AR7" s="34">
        <f>IFERROR(__xludf.DUMMYFUNCTION("IF(ISNA(sum(filter(
Master_Mapping_Sheet!$E$2:$E$3143, ISNUMBER(
Master_Mapping_Sheet!$E$2:$E$3143),
Master_Mapping_Sheet!$C$2:$C$3143=AR$1,
Master_Mapping_Sheet!$H$2:$H$3143=$A7))/sum(filter(
Master_Mapping_Sheet!$E$2:$E$3143, ISNUMBER(
Master_Mapping_Sh"&amp;"eet!$E$2:$E$3143),
Master_Mapping_Sheet!$H$2:$H$3143=$A7))), 0, sum(filter(
Master_Mapping_Sheet!$E$2:$E$3143, ISNUMBER(
Master_Mapping_Sheet!$E$2:$E$3143),
Master_Mapping_Sheet!$C$2:$C$3143=AR$1,
Master_Mapping_Sheet!$H$2:$H$3143=$A7))/sum(filter(
Master"&amp;"_Mapping_Sheet!$E$2:$E$3143, ISNUMBER(
Master_Mapping_Sheet!$E$2:$E$3143),
Master_Mapping_Sheet!$H$2:$H$3143=$A7)))"),0.0)</f>
        <v>0</v>
      </c>
      <c r="AS7" s="34">
        <f>IFERROR(__xludf.DUMMYFUNCTION("IF(ISNA(sum(filter(
Master_Mapping_Sheet!$E$2:$E$3143, ISNUMBER(
Master_Mapping_Sheet!$E$2:$E$3143),
Master_Mapping_Sheet!$C$2:$C$3143=AS$1,
Master_Mapping_Sheet!$H$2:$H$3143=$A7))/sum(filter(
Master_Mapping_Sheet!$E$2:$E$3143, ISNUMBER(
Master_Mapping_Sh"&amp;"eet!$E$2:$E$3143),
Master_Mapping_Sheet!$H$2:$H$3143=$A7))), 0, sum(filter(
Master_Mapping_Sheet!$E$2:$E$3143, ISNUMBER(
Master_Mapping_Sheet!$E$2:$E$3143),
Master_Mapping_Sheet!$C$2:$C$3143=AS$1,
Master_Mapping_Sheet!$H$2:$H$3143=$A7))/sum(filter(
Master"&amp;"_Mapping_Sheet!$E$2:$E$3143, ISNUMBER(
Master_Mapping_Sheet!$E$2:$E$3143),
Master_Mapping_Sheet!$H$2:$H$3143=$A7)))"),0.20192942453189144)</f>
        <v>0.2019294245</v>
      </c>
      <c r="AT7" s="34">
        <f>IFERROR(__xludf.DUMMYFUNCTION("IF(ISNA(sum(filter(
Master_Mapping_Sheet!$E$2:$E$3143, ISNUMBER(
Master_Mapping_Sheet!$E$2:$E$3143),
Master_Mapping_Sheet!$C$2:$C$3143=AT$1,
Master_Mapping_Sheet!$H$2:$H$3143=$A7))/sum(filter(
Master_Mapping_Sheet!$E$2:$E$3143, ISNUMBER(
Master_Mapping_Sh"&amp;"eet!$E$2:$E$3143),
Master_Mapping_Sheet!$H$2:$H$3143=$A7))), 0, sum(filter(
Master_Mapping_Sheet!$E$2:$E$3143, ISNUMBER(
Master_Mapping_Sheet!$E$2:$E$3143),
Master_Mapping_Sheet!$C$2:$C$3143=AT$1,
Master_Mapping_Sheet!$H$2:$H$3143=$A7))/sum(filter(
Master"&amp;"_Mapping_Sheet!$E$2:$E$3143, ISNUMBER(
Master_Mapping_Sheet!$E$2:$E$3143),
Master_Mapping_Sheet!$H$2:$H$3143=$A7)))"),0.0)</f>
        <v>0</v>
      </c>
      <c r="AU7" s="34">
        <f>IFERROR(__xludf.DUMMYFUNCTION("IF(ISNA(sum(filter(
Master_Mapping_Sheet!$E$2:$E$3143, ISNUMBER(
Master_Mapping_Sheet!$E$2:$E$3143),
Master_Mapping_Sheet!$C$2:$C$3143=AU$1,
Master_Mapping_Sheet!$H$2:$H$3143=$A7))/sum(filter(
Master_Mapping_Sheet!$E$2:$E$3143, ISNUMBER(
Master_Mapping_Sh"&amp;"eet!$E$2:$E$3143),
Master_Mapping_Sheet!$H$2:$H$3143=$A7))), 0, sum(filter(
Master_Mapping_Sheet!$E$2:$E$3143, ISNUMBER(
Master_Mapping_Sheet!$E$2:$E$3143),
Master_Mapping_Sheet!$C$2:$C$3143=AU$1,
Master_Mapping_Sheet!$H$2:$H$3143=$A7))/sum(filter(
Master"&amp;"_Mapping_Sheet!$E$2:$E$3143, ISNUMBER(
Master_Mapping_Sheet!$E$2:$E$3143),
Master_Mapping_Sheet!$H$2:$H$3143=$A7)))"),0.0)</f>
        <v>0</v>
      </c>
      <c r="AV7" s="34">
        <f>IFERROR(__xludf.DUMMYFUNCTION("IF(ISNA(sum(filter(
Master_Mapping_Sheet!$E$2:$E$3143, ISNUMBER(
Master_Mapping_Sheet!$E$2:$E$3143),
Master_Mapping_Sheet!$C$2:$C$3143=AV$1,
Master_Mapping_Sheet!$H$2:$H$3143=$A7))/sum(filter(
Master_Mapping_Sheet!$E$2:$E$3143, ISNUMBER(
Master_Mapping_Sh"&amp;"eet!$E$2:$E$3143),
Master_Mapping_Sheet!$H$2:$H$3143=$A7))), 0, sum(filter(
Master_Mapping_Sheet!$E$2:$E$3143, ISNUMBER(
Master_Mapping_Sheet!$E$2:$E$3143),
Master_Mapping_Sheet!$C$2:$C$3143=AV$1,
Master_Mapping_Sheet!$H$2:$H$3143=$A7))/sum(filter(
Master"&amp;"_Mapping_Sheet!$E$2:$E$3143, ISNUMBER(
Master_Mapping_Sheet!$E$2:$E$3143),
Master_Mapping_Sheet!$H$2:$H$3143=$A7)))"),0.0)</f>
        <v>0</v>
      </c>
      <c r="AW7" s="34">
        <f>IFERROR(__xludf.DUMMYFUNCTION("IF(ISNA(sum(filter(
Master_Mapping_Sheet!$E$2:$E$3143, ISNUMBER(
Master_Mapping_Sheet!$E$2:$E$3143),
Master_Mapping_Sheet!$C$2:$C$3143=AW$1,
Master_Mapping_Sheet!$H$2:$H$3143=$A7))/sum(filter(
Master_Mapping_Sheet!$E$2:$E$3143, ISNUMBER(
Master_Mapping_Sh"&amp;"eet!$E$2:$E$3143),
Master_Mapping_Sheet!$H$2:$H$3143=$A7))), 0, sum(filter(
Master_Mapping_Sheet!$E$2:$E$3143, ISNUMBER(
Master_Mapping_Sheet!$E$2:$E$3143),
Master_Mapping_Sheet!$C$2:$C$3143=AW$1,
Master_Mapping_Sheet!$H$2:$H$3143=$A7))/sum(filter(
Master"&amp;"_Mapping_Sheet!$E$2:$E$3143, ISNUMBER(
Master_Mapping_Sheet!$E$2:$E$3143),
Master_Mapping_Sheet!$H$2:$H$3143=$A7)))"),0.0)</f>
        <v>0</v>
      </c>
      <c r="AX7" s="34">
        <f>IFERROR(__xludf.DUMMYFUNCTION("IF(ISNA(sum(filter(
Master_Mapping_Sheet!$E$2:$E$3143, ISNUMBER(
Master_Mapping_Sheet!$E$2:$E$3143),
Master_Mapping_Sheet!$C$2:$C$3143=AX$1,
Master_Mapping_Sheet!$H$2:$H$3143=$A7))/sum(filter(
Master_Mapping_Sheet!$E$2:$E$3143, ISNUMBER(
Master_Mapping_Sh"&amp;"eet!$E$2:$E$3143),
Master_Mapping_Sheet!$H$2:$H$3143=$A7))), 0, sum(filter(
Master_Mapping_Sheet!$E$2:$E$3143, ISNUMBER(
Master_Mapping_Sheet!$E$2:$E$3143),
Master_Mapping_Sheet!$C$2:$C$3143=AX$1,
Master_Mapping_Sheet!$H$2:$H$3143=$A7))/sum(filter(
Master"&amp;"_Mapping_Sheet!$E$2:$E$3143, ISNUMBER(
Master_Mapping_Sheet!$E$2:$E$3143),
Master_Mapping_Sheet!$H$2:$H$3143=$A7)))"),0.0)</f>
        <v>0</v>
      </c>
      <c r="AY7" s="34">
        <f>IFERROR(__xludf.DUMMYFUNCTION("IF(ISNA(sum(filter(
Master_Mapping_Sheet!$E$2:$E$3143, ISNUMBER(
Master_Mapping_Sheet!$E$2:$E$3143),
Master_Mapping_Sheet!$C$2:$C$3143=AY$1,
Master_Mapping_Sheet!$H$2:$H$3143=$A7))/sum(filter(
Master_Mapping_Sheet!$E$2:$E$3143, ISNUMBER(
Master_Mapping_Sh"&amp;"eet!$E$2:$E$3143),
Master_Mapping_Sheet!$H$2:$H$3143=$A7))), 0, sum(filter(
Master_Mapping_Sheet!$E$2:$E$3143, ISNUMBER(
Master_Mapping_Sheet!$E$2:$E$3143),
Master_Mapping_Sheet!$C$2:$C$3143=AY$1,
Master_Mapping_Sheet!$H$2:$H$3143=$A7))/sum(filter(
Master"&amp;"_Mapping_Sheet!$E$2:$E$3143, ISNUMBER(
Master_Mapping_Sheet!$E$2:$E$3143),
Master_Mapping_Sheet!$H$2:$H$3143=$A7)))"),0.0)</f>
        <v>0</v>
      </c>
      <c r="AZ7" s="34">
        <f>IFERROR(__xludf.DUMMYFUNCTION("IF(ISNA(sum(filter(
Master_Mapping_Sheet!$E$2:$E$3143, ISNUMBER(
Master_Mapping_Sheet!$E$2:$E$3143),
Master_Mapping_Sheet!$C$2:$C$3143=AZ$1,
Master_Mapping_Sheet!$H$2:$H$3143=$A7))/sum(filter(
Master_Mapping_Sheet!$E$2:$E$3143, ISNUMBER(
Master_Mapping_Sh"&amp;"eet!$E$2:$E$3143),
Master_Mapping_Sheet!$H$2:$H$3143=$A7))), 0, sum(filter(
Master_Mapping_Sheet!$E$2:$E$3143, ISNUMBER(
Master_Mapping_Sheet!$E$2:$E$3143),
Master_Mapping_Sheet!$C$2:$C$3143=AZ$1,
Master_Mapping_Sheet!$H$2:$H$3143=$A7))/sum(filter(
Master"&amp;"_Mapping_Sheet!$E$2:$E$3143, ISNUMBER(
Master_Mapping_Sheet!$E$2:$E$3143),
Master_Mapping_Sheet!$H$2:$H$3143=$A7)))"),0.0)</f>
        <v>0</v>
      </c>
    </row>
    <row r="8" ht="15.75" customHeight="1">
      <c r="A8" s="34" t="s">
        <v>3985</v>
      </c>
      <c r="B8" s="34">
        <f>IFERROR(__xludf.DUMMYFUNCTION("IF(ISNA(sum(filter(
Master_Mapping_Sheet!$E$2:$E$3143, ISNUMBER(
Master_Mapping_Sheet!$E$2:$E$3143),
Master_Mapping_Sheet!$C$2:$C$3143=B$1,
Master_Mapping_Sheet!$H$2:$H$3143=$A8))/sum(filter(
Master_Mapping_Sheet!$E$2:$E$3143, ISNUMBER(
Master_Mapping_She"&amp;"et!$E$2:$E$3143),
Master_Mapping_Sheet!$H$2:$H$3143=$A8))), 0, sum(filter(
Master_Mapping_Sheet!$E$2:$E$3143, ISNUMBER(
Master_Mapping_Sheet!$E$2:$E$3143),
Master_Mapping_Sheet!$C$2:$C$3143=B$1,
Master_Mapping_Sheet!$H$2:$H$3143=$A8))/sum(filter(
Master_M"&amp;"apping_Sheet!$E$2:$E$3143, ISNUMBER(
Master_Mapping_Sheet!$E$2:$E$3143),
Master_Mapping_Sheet!$H$2:$H$3143=$A8)))"),0.0)</f>
        <v>0</v>
      </c>
      <c r="C8" s="34">
        <f>IFERROR(__xludf.DUMMYFUNCTION("IF(ISNA(sum(filter(
Master_Mapping_Sheet!$E$2:$E$3143, ISNUMBER(
Master_Mapping_Sheet!$E$2:$E$3143),
Master_Mapping_Sheet!$C$2:$C$3143=C$1,
Master_Mapping_Sheet!$H$2:$H$3143=$A8))/sum(filter(
Master_Mapping_Sheet!$E$2:$E$3143, ISNUMBER(
Master_Mapping_She"&amp;"et!$E$2:$E$3143),
Master_Mapping_Sheet!$H$2:$H$3143=$A8))), 0, sum(filter(
Master_Mapping_Sheet!$E$2:$E$3143, ISNUMBER(
Master_Mapping_Sheet!$E$2:$E$3143),
Master_Mapping_Sheet!$C$2:$C$3143=C$1,
Master_Mapping_Sheet!$H$2:$H$3143=$A8))/sum(filter(
Master_M"&amp;"apping_Sheet!$E$2:$E$3143, ISNUMBER(
Master_Mapping_Sheet!$E$2:$E$3143),
Master_Mapping_Sheet!$H$2:$H$3143=$A8)))"),0.0)</f>
        <v>0</v>
      </c>
      <c r="D8" s="34">
        <f>IFERROR(__xludf.DUMMYFUNCTION("IF(ISNA(sum(filter(
Master_Mapping_Sheet!$E$2:$E$3143, ISNUMBER(
Master_Mapping_Sheet!$E$2:$E$3143),
Master_Mapping_Sheet!$C$2:$C$3143=D$1,
Master_Mapping_Sheet!$H$2:$H$3143=$A8))/sum(filter(
Master_Mapping_Sheet!$E$2:$E$3143, ISNUMBER(
Master_Mapping_She"&amp;"et!$E$2:$E$3143),
Master_Mapping_Sheet!$H$2:$H$3143=$A8))), 0, sum(filter(
Master_Mapping_Sheet!$E$2:$E$3143, ISNUMBER(
Master_Mapping_Sheet!$E$2:$E$3143),
Master_Mapping_Sheet!$C$2:$C$3143=D$1,
Master_Mapping_Sheet!$H$2:$H$3143=$A8))/sum(filter(
Master_M"&amp;"apping_Sheet!$E$2:$E$3143, ISNUMBER(
Master_Mapping_Sheet!$E$2:$E$3143),
Master_Mapping_Sheet!$H$2:$H$3143=$A8)))"),0.0)</f>
        <v>0</v>
      </c>
      <c r="E8" s="34">
        <f>IFERROR(__xludf.DUMMYFUNCTION("IF(ISNA(sum(filter(
Master_Mapping_Sheet!$E$2:$E$3143, ISNUMBER(
Master_Mapping_Sheet!$E$2:$E$3143),
Master_Mapping_Sheet!$C$2:$C$3143=E$1,
Master_Mapping_Sheet!$H$2:$H$3143=$A8))/sum(filter(
Master_Mapping_Sheet!$E$2:$E$3143, ISNUMBER(
Master_Mapping_She"&amp;"et!$E$2:$E$3143),
Master_Mapping_Sheet!$H$2:$H$3143=$A8))), 0, sum(filter(
Master_Mapping_Sheet!$E$2:$E$3143, ISNUMBER(
Master_Mapping_Sheet!$E$2:$E$3143),
Master_Mapping_Sheet!$C$2:$C$3143=E$1,
Master_Mapping_Sheet!$H$2:$H$3143=$A8))/sum(filter(
Master_M"&amp;"apping_Sheet!$E$2:$E$3143, ISNUMBER(
Master_Mapping_Sheet!$E$2:$E$3143),
Master_Mapping_Sheet!$H$2:$H$3143=$A8)))"),0.0)</f>
        <v>0</v>
      </c>
      <c r="F8" s="34">
        <f>IFERROR(__xludf.DUMMYFUNCTION("IF(ISNA(sum(filter(
Master_Mapping_Sheet!$E$2:$E$3143, ISNUMBER(
Master_Mapping_Sheet!$E$2:$E$3143),
Master_Mapping_Sheet!$C$2:$C$3143=F$1,
Master_Mapping_Sheet!$H$2:$H$3143=$A8))/sum(filter(
Master_Mapping_Sheet!$E$2:$E$3143, ISNUMBER(
Master_Mapping_She"&amp;"et!$E$2:$E$3143),
Master_Mapping_Sheet!$H$2:$H$3143=$A8))), 0, sum(filter(
Master_Mapping_Sheet!$E$2:$E$3143, ISNUMBER(
Master_Mapping_Sheet!$E$2:$E$3143),
Master_Mapping_Sheet!$C$2:$C$3143=F$1,
Master_Mapping_Sheet!$H$2:$H$3143=$A8))/sum(filter(
Master_M"&amp;"apping_Sheet!$E$2:$E$3143, ISNUMBER(
Master_Mapping_Sheet!$E$2:$E$3143),
Master_Mapping_Sheet!$H$2:$H$3143=$A8)))"),0.0)</f>
        <v>0</v>
      </c>
      <c r="G8" s="34">
        <f>IFERROR(__xludf.DUMMYFUNCTION("IF(ISNA(sum(filter(
Master_Mapping_Sheet!$E$2:$E$3143, ISNUMBER(
Master_Mapping_Sheet!$E$2:$E$3143),
Master_Mapping_Sheet!$C$2:$C$3143=G$1,
Master_Mapping_Sheet!$H$2:$H$3143=$A8))/sum(filter(
Master_Mapping_Sheet!$E$2:$E$3143, ISNUMBER(
Master_Mapping_She"&amp;"et!$E$2:$E$3143),
Master_Mapping_Sheet!$H$2:$H$3143=$A8))), 0, sum(filter(
Master_Mapping_Sheet!$E$2:$E$3143, ISNUMBER(
Master_Mapping_Sheet!$E$2:$E$3143),
Master_Mapping_Sheet!$C$2:$C$3143=G$1,
Master_Mapping_Sheet!$H$2:$H$3143=$A8))/sum(filter(
Master_M"&amp;"apping_Sheet!$E$2:$E$3143, ISNUMBER(
Master_Mapping_Sheet!$E$2:$E$3143),
Master_Mapping_Sheet!$H$2:$H$3143=$A8)))"),0.0)</f>
        <v>0</v>
      </c>
      <c r="H8" s="34">
        <f>IFERROR(__xludf.DUMMYFUNCTION("IF(ISNA(sum(filter(
Master_Mapping_Sheet!$E$2:$E$3143, ISNUMBER(
Master_Mapping_Sheet!$E$2:$E$3143),
Master_Mapping_Sheet!$C$2:$C$3143=H$1,
Master_Mapping_Sheet!$H$2:$H$3143=$A8))/sum(filter(
Master_Mapping_Sheet!$E$2:$E$3143, ISNUMBER(
Master_Mapping_She"&amp;"et!$E$2:$E$3143),
Master_Mapping_Sheet!$H$2:$H$3143=$A8))), 0, sum(filter(
Master_Mapping_Sheet!$E$2:$E$3143, ISNUMBER(
Master_Mapping_Sheet!$E$2:$E$3143),
Master_Mapping_Sheet!$C$2:$C$3143=H$1,
Master_Mapping_Sheet!$H$2:$H$3143=$A8))/sum(filter(
Master_M"&amp;"apping_Sheet!$E$2:$E$3143, ISNUMBER(
Master_Mapping_Sheet!$E$2:$E$3143),
Master_Mapping_Sheet!$H$2:$H$3143=$A8)))"),0.23803896677865763)</f>
        <v>0.2380389668</v>
      </c>
      <c r="I8" s="34">
        <f>IFERROR(__xludf.DUMMYFUNCTION("IF(ISNA(sum(filter(
Master_Mapping_Sheet!$E$2:$E$3143, ISNUMBER(
Master_Mapping_Sheet!$E$2:$E$3143),
Master_Mapping_Sheet!$C$2:$C$3143=I$1,
Master_Mapping_Sheet!$H$2:$H$3143=$A8))/sum(filter(
Master_Mapping_Sheet!$E$2:$E$3143, ISNUMBER(
Master_Mapping_She"&amp;"et!$E$2:$E$3143),
Master_Mapping_Sheet!$H$2:$H$3143=$A8))), 0, sum(filter(
Master_Mapping_Sheet!$E$2:$E$3143, ISNUMBER(
Master_Mapping_Sheet!$E$2:$E$3143),
Master_Mapping_Sheet!$C$2:$C$3143=I$1,
Master_Mapping_Sheet!$H$2:$H$3143=$A8))/sum(filter(
Master_M"&amp;"apping_Sheet!$E$2:$E$3143, ISNUMBER(
Master_Mapping_Sheet!$E$2:$E$3143),
Master_Mapping_Sheet!$H$2:$H$3143=$A8)))"),0.0)</f>
        <v>0</v>
      </c>
      <c r="J8" s="34">
        <f>IFERROR(__xludf.DUMMYFUNCTION("IF(ISNA(sum(filter(
Master_Mapping_Sheet!$E$2:$E$3143, ISNUMBER(
Master_Mapping_Sheet!$E$2:$E$3143),
Master_Mapping_Sheet!$C$2:$C$3143=J$1,
Master_Mapping_Sheet!$H$2:$H$3143=$A8))/sum(filter(
Master_Mapping_Sheet!$E$2:$E$3143, ISNUMBER(
Master_Mapping_She"&amp;"et!$E$2:$E$3143),
Master_Mapping_Sheet!$H$2:$H$3143=$A8))), 0, sum(filter(
Master_Mapping_Sheet!$E$2:$E$3143, ISNUMBER(
Master_Mapping_Sheet!$E$2:$E$3143),
Master_Mapping_Sheet!$C$2:$C$3143=J$1,
Master_Mapping_Sheet!$H$2:$H$3143=$A8))/sum(filter(
Master_M"&amp;"apping_Sheet!$E$2:$E$3143, ISNUMBER(
Master_Mapping_Sheet!$E$2:$E$3143),
Master_Mapping_Sheet!$H$2:$H$3143=$A8)))"),0.0)</f>
        <v>0</v>
      </c>
      <c r="K8" s="34">
        <f>IFERROR(__xludf.DUMMYFUNCTION("IF(ISNA(sum(filter(
Master_Mapping_Sheet!$E$2:$E$3143, ISNUMBER(
Master_Mapping_Sheet!$E$2:$E$3143),
Master_Mapping_Sheet!$C$2:$C$3143=K$1,
Master_Mapping_Sheet!$H$2:$H$3143=$A8))/sum(filter(
Master_Mapping_Sheet!$E$2:$E$3143, ISNUMBER(
Master_Mapping_She"&amp;"et!$E$2:$E$3143),
Master_Mapping_Sheet!$H$2:$H$3143=$A8))), 0, sum(filter(
Master_Mapping_Sheet!$E$2:$E$3143, ISNUMBER(
Master_Mapping_Sheet!$E$2:$E$3143),
Master_Mapping_Sheet!$C$2:$C$3143=K$1,
Master_Mapping_Sheet!$H$2:$H$3143=$A8))/sum(filter(
Master_M"&amp;"apping_Sheet!$E$2:$E$3143, ISNUMBER(
Master_Mapping_Sheet!$E$2:$E$3143),
Master_Mapping_Sheet!$H$2:$H$3143=$A8)))"),0.0)</f>
        <v>0</v>
      </c>
      <c r="L8" s="34">
        <f>IFERROR(__xludf.DUMMYFUNCTION("IF(ISNA(sum(filter(
Master_Mapping_Sheet!$E$2:$E$3143, ISNUMBER(
Master_Mapping_Sheet!$E$2:$E$3143),
Master_Mapping_Sheet!$C$2:$C$3143=L$1,
Master_Mapping_Sheet!$H$2:$H$3143=$A8))/sum(filter(
Master_Mapping_Sheet!$E$2:$E$3143, ISNUMBER(
Master_Mapping_She"&amp;"et!$E$2:$E$3143),
Master_Mapping_Sheet!$H$2:$H$3143=$A8))), 0, sum(filter(
Master_Mapping_Sheet!$E$2:$E$3143, ISNUMBER(
Master_Mapping_Sheet!$E$2:$E$3143),
Master_Mapping_Sheet!$C$2:$C$3143=L$1,
Master_Mapping_Sheet!$H$2:$H$3143=$A8))/sum(filter(
Master_M"&amp;"apping_Sheet!$E$2:$E$3143, ISNUMBER(
Master_Mapping_Sheet!$E$2:$E$3143),
Master_Mapping_Sheet!$H$2:$H$3143=$A8)))"),0.0)</f>
        <v>0</v>
      </c>
      <c r="M8" s="34">
        <f>IFERROR(__xludf.DUMMYFUNCTION("IF(ISNA(sum(filter(
Master_Mapping_Sheet!$E$2:$E$3143, ISNUMBER(
Master_Mapping_Sheet!$E$2:$E$3143),
Master_Mapping_Sheet!$C$2:$C$3143=M$1,
Master_Mapping_Sheet!$H$2:$H$3143=$A8))/sum(filter(
Master_Mapping_Sheet!$E$2:$E$3143, ISNUMBER(
Master_Mapping_She"&amp;"et!$E$2:$E$3143),
Master_Mapping_Sheet!$H$2:$H$3143=$A8))), 0, sum(filter(
Master_Mapping_Sheet!$E$2:$E$3143, ISNUMBER(
Master_Mapping_Sheet!$E$2:$E$3143),
Master_Mapping_Sheet!$C$2:$C$3143=M$1,
Master_Mapping_Sheet!$H$2:$H$3143=$A8))/sum(filter(
Master_M"&amp;"apping_Sheet!$E$2:$E$3143, ISNUMBER(
Master_Mapping_Sheet!$E$2:$E$3143),
Master_Mapping_Sheet!$H$2:$H$3143=$A8)))"),0.0)</f>
        <v>0</v>
      </c>
      <c r="N8" s="34">
        <f>IFERROR(__xludf.DUMMYFUNCTION("IF(ISNA(sum(filter(
Master_Mapping_Sheet!$E$2:$E$3143, ISNUMBER(
Master_Mapping_Sheet!$E$2:$E$3143),
Master_Mapping_Sheet!$C$2:$C$3143=N$1,
Master_Mapping_Sheet!$H$2:$H$3143=$A8))/sum(filter(
Master_Mapping_Sheet!$E$2:$E$3143, ISNUMBER(
Master_Mapping_She"&amp;"et!$E$2:$E$3143),
Master_Mapping_Sheet!$H$2:$H$3143=$A8))), 0, sum(filter(
Master_Mapping_Sheet!$E$2:$E$3143, ISNUMBER(
Master_Mapping_Sheet!$E$2:$E$3143),
Master_Mapping_Sheet!$C$2:$C$3143=N$1,
Master_Mapping_Sheet!$H$2:$H$3143=$A8))/sum(filter(
Master_M"&amp;"apping_Sheet!$E$2:$E$3143, ISNUMBER(
Master_Mapping_Sheet!$E$2:$E$3143),
Master_Mapping_Sheet!$H$2:$H$3143=$A8)))"),0.0)</f>
        <v>0</v>
      </c>
      <c r="O8" s="34">
        <f>IFERROR(__xludf.DUMMYFUNCTION("IF(ISNA(sum(filter(
Master_Mapping_Sheet!$E$2:$E$3143, ISNUMBER(
Master_Mapping_Sheet!$E$2:$E$3143),
Master_Mapping_Sheet!$C$2:$C$3143=O$1,
Master_Mapping_Sheet!$H$2:$H$3143=$A8))/sum(filter(
Master_Mapping_Sheet!$E$2:$E$3143, ISNUMBER(
Master_Mapping_She"&amp;"et!$E$2:$E$3143),
Master_Mapping_Sheet!$H$2:$H$3143=$A8))), 0, sum(filter(
Master_Mapping_Sheet!$E$2:$E$3143, ISNUMBER(
Master_Mapping_Sheet!$E$2:$E$3143),
Master_Mapping_Sheet!$C$2:$C$3143=O$1,
Master_Mapping_Sheet!$H$2:$H$3143=$A8))/sum(filter(
Master_M"&amp;"apping_Sheet!$E$2:$E$3143, ISNUMBER(
Master_Mapping_Sheet!$E$2:$E$3143),
Master_Mapping_Sheet!$H$2:$H$3143=$A8)))"),0.0)</f>
        <v>0</v>
      </c>
      <c r="P8" s="34">
        <f>IFERROR(__xludf.DUMMYFUNCTION("IF(ISNA(sum(filter(
Master_Mapping_Sheet!$E$2:$E$3143, ISNUMBER(
Master_Mapping_Sheet!$E$2:$E$3143),
Master_Mapping_Sheet!$C$2:$C$3143=P$1,
Master_Mapping_Sheet!$H$2:$H$3143=$A8))/sum(filter(
Master_Mapping_Sheet!$E$2:$E$3143, ISNUMBER(
Master_Mapping_She"&amp;"et!$E$2:$E$3143),
Master_Mapping_Sheet!$H$2:$H$3143=$A8))), 0, sum(filter(
Master_Mapping_Sheet!$E$2:$E$3143, ISNUMBER(
Master_Mapping_Sheet!$E$2:$E$3143),
Master_Mapping_Sheet!$C$2:$C$3143=P$1,
Master_Mapping_Sheet!$H$2:$H$3143=$A8))/sum(filter(
Master_M"&amp;"apping_Sheet!$E$2:$E$3143, ISNUMBER(
Master_Mapping_Sheet!$E$2:$E$3143),
Master_Mapping_Sheet!$H$2:$H$3143=$A8)))"),0.0)</f>
        <v>0</v>
      </c>
      <c r="Q8" s="34">
        <f>IFERROR(__xludf.DUMMYFUNCTION("IF(ISNA(sum(filter(
Master_Mapping_Sheet!$E$2:$E$3143, ISNUMBER(
Master_Mapping_Sheet!$E$2:$E$3143),
Master_Mapping_Sheet!$C$2:$C$3143=Q$1,
Master_Mapping_Sheet!$H$2:$H$3143=$A8))/sum(filter(
Master_Mapping_Sheet!$E$2:$E$3143, ISNUMBER(
Master_Mapping_She"&amp;"et!$E$2:$E$3143),
Master_Mapping_Sheet!$H$2:$H$3143=$A8))), 0, sum(filter(
Master_Mapping_Sheet!$E$2:$E$3143, ISNUMBER(
Master_Mapping_Sheet!$E$2:$E$3143),
Master_Mapping_Sheet!$C$2:$C$3143=Q$1,
Master_Mapping_Sheet!$H$2:$H$3143=$A8))/sum(filter(
Master_M"&amp;"apping_Sheet!$E$2:$E$3143, ISNUMBER(
Master_Mapping_Sheet!$E$2:$E$3143),
Master_Mapping_Sheet!$H$2:$H$3143=$A8)))"),0.0)</f>
        <v>0</v>
      </c>
      <c r="R8" s="34">
        <f>IFERROR(__xludf.DUMMYFUNCTION("IF(ISNA(sum(filter(
Master_Mapping_Sheet!$E$2:$E$3143, ISNUMBER(
Master_Mapping_Sheet!$E$2:$E$3143),
Master_Mapping_Sheet!$C$2:$C$3143=R$1,
Master_Mapping_Sheet!$H$2:$H$3143=$A8))/sum(filter(
Master_Mapping_Sheet!$E$2:$E$3143, ISNUMBER(
Master_Mapping_She"&amp;"et!$E$2:$E$3143),
Master_Mapping_Sheet!$H$2:$H$3143=$A8))), 0, sum(filter(
Master_Mapping_Sheet!$E$2:$E$3143, ISNUMBER(
Master_Mapping_Sheet!$E$2:$E$3143),
Master_Mapping_Sheet!$C$2:$C$3143=R$1,
Master_Mapping_Sheet!$H$2:$H$3143=$A8))/sum(filter(
Master_M"&amp;"apping_Sheet!$E$2:$E$3143, ISNUMBER(
Master_Mapping_Sheet!$E$2:$E$3143),
Master_Mapping_Sheet!$H$2:$H$3143=$A8)))"),0.0)</f>
        <v>0</v>
      </c>
      <c r="S8" s="34">
        <f>IFERROR(__xludf.DUMMYFUNCTION("IF(ISNA(sum(filter(
Master_Mapping_Sheet!$E$2:$E$3143, ISNUMBER(
Master_Mapping_Sheet!$E$2:$E$3143),
Master_Mapping_Sheet!$C$2:$C$3143=S$1,
Master_Mapping_Sheet!$H$2:$H$3143=$A8))/sum(filter(
Master_Mapping_Sheet!$E$2:$E$3143, ISNUMBER(
Master_Mapping_She"&amp;"et!$E$2:$E$3143),
Master_Mapping_Sheet!$H$2:$H$3143=$A8))), 0, sum(filter(
Master_Mapping_Sheet!$E$2:$E$3143, ISNUMBER(
Master_Mapping_Sheet!$E$2:$E$3143),
Master_Mapping_Sheet!$C$2:$C$3143=S$1,
Master_Mapping_Sheet!$H$2:$H$3143=$A8))/sum(filter(
Master_M"&amp;"apping_Sheet!$E$2:$E$3143, ISNUMBER(
Master_Mapping_Sheet!$E$2:$E$3143),
Master_Mapping_Sheet!$H$2:$H$3143=$A8)))"),0.0)</f>
        <v>0</v>
      </c>
      <c r="T8" s="34">
        <f>IFERROR(__xludf.DUMMYFUNCTION("IF(ISNA(sum(filter(
Master_Mapping_Sheet!$E$2:$E$3143, ISNUMBER(
Master_Mapping_Sheet!$E$2:$E$3143),
Master_Mapping_Sheet!$C$2:$C$3143=T$1,
Master_Mapping_Sheet!$H$2:$H$3143=$A8))/sum(filter(
Master_Mapping_Sheet!$E$2:$E$3143, ISNUMBER(
Master_Mapping_She"&amp;"et!$E$2:$E$3143),
Master_Mapping_Sheet!$H$2:$H$3143=$A8))), 0, sum(filter(
Master_Mapping_Sheet!$E$2:$E$3143, ISNUMBER(
Master_Mapping_Sheet!$E$2:$E$3143),
Master_Mapping_Sheet!$C$2:$C$3143=T$1,
Master_Mapping_Sheet!$H$2:$H$3143=$A8))/sum(filter(
Master_M"&amp;"apping_Sheet!$E$2:$E$3143, ISNUMBER(
Master_Mapping_Sheet!$E$2:$E$3143),
Master_Mapping_Sheet!$H$2:$H$3143=$A8)))"),0.0)</f>
        <v>0</v>
      </c>
      <c r="U8" s="34">
        <f>IFERROR(__xludf.DUMMYFUNCTION("IF(ISNA(sum(filter(
Master_Mapping_Sheet!$E$2:$E$3143, ISNUMBER(
Master_Mapping_Sheet!$E$2:$E$3143),
Master_Mapping_Sheet!$C$2:$C$3143=U$1,
Master_Mapping_Sheet!$H$2:$H$3143=$A8))/sum(filter(
Master_Mapping_Sheet!$E$2:$E$3143, ISNUMBER(
Master_Mapping_She"&amp;"et!$E$2:$E$3143),
Master_Mapping_Sheet!$H$2:$H$3143=$A8))), 0, sum(filter(
Master_Mapping_Sheet!$E$2:$E$3143, ISNUMBER(
Master_Mapping_Sheet!$E$2:$E$3143),
Master_Mapping_Sheet!$C$2:$C$3143=U$1,
Master_Mapping_Sheet!$H$2:$H$3143=$A8))/sum(filter(
Master_M"&amp;"apping_Sheet!$E$2:$E$3143, ISNUMBER(
Master_Mapping_Sheet!$E$2:$E$3143),
Master_Mapping_Sheet!$H$2:$H$3143=$A8)))"),0.09213571336389072)</f>
        <v>0.09213571336</v>
      </c>
      <c r="V8" s="34">
        <f>IFERROR(__xludf.DUMMYFUNCTION("IF(ISNA(sum(filter(
Master_Mapping_Sheet!$E$2:$E$3143, ISNUMBER(
Master_Mapping_Sheet!$E$2:$E$3143),
Master_Mapping_Sheet!$C$2:$C$3143=V$1,
Master_Mapping_Sheet!$H$2:$H$3143=$A8))/sum(filter(
Master_Mapping_Sheet!$E$2:$E$3143, ISNUMBER(
Master_Mapping_She"&amp;"et!$E$2:$E$3143),
Master_Mapping_Sheet!$H$2:$H$3143=$A8))), 0, sum(filter(
Master_Mapping_Sheet!$E$2:$E$3143, ISNUMBER(
Master_Mapping_Sheet!$E$2:$E$3143),
Master_Mapping_Sheet!$C$2:$C$3143=V$1,
Master_Mapping_Sheet!$H$2:$H$3143=$A8))/sum(filter(
Master_M"&amp;"apping_Sheet!$E$2:$E$3143, ISNUMBER(
Master_Mapping_Sheet!$E$2:$E$3143),
Master_Mapping_Sheet!$H$2:$H$3143=$A8)))"),0.0)</f>
        <v>0</v>
      </c>
      <c r="W8" s="34">
        <f>IFERROR(__xludf.DUMMYFUNCTION("IF(ISNA(sum(filter(
Master_Mapping_Sheet!$E$2:$E$3143, ISNUMBER(
Master_Mapping_Sheet!$E$2:$E$3143),
Master_Mapping_Sheet!$C$2:$C$3143=W$1,
Master_Mapping_Sheet!$H$2:$H$3143=$A8))/sum(filter(
Master_Mapping_Sheet!$E$2:$E$3143, ISNUMBER(
Master_Mapping_She"&amp;"et!$E$2:$E$3143),
Master_Mapping_Sheet!$H$2:$H$3143=$A8))), 0, sum(filter(
Master_Mapping_Sheet!$E$2:$E$3143, ISNUMBER(
Master_Mapping_Sheet!$E$2:$E$3143),
Master_Mapping_Sheet!$C$2:$C$3143=W$1,
Master_Mapping_Sheet!$H$2:$H$3143=$A8))/sum(filter(
Master_M"&amp;"apping_Sheet!$E$2:$E$3143, ISNUMBER(
Master_Mapping_Sheet!$E$2:$E$3143),
Master_Mapping_Sheet!$H$2:$H$3143=$A8)))"),0.46218293572088937)</f>
        <v>0.4621829357</v>
      </c>
      <c r="X8" s="34">
        <f>IFERROR(__xludf.DUMMYFUNCTION("IF(ISNA(sum(filter(
Master_Mapping_Sheet!$E$2:$E$3143, ISNUMBER(
Master_Mapping_Sheet!$E$2:$E$3143),
Master_Mapping_Sheet!$C$2:$C$3143=X$1,
Master_Mapping_Sheet!$H$2:$H$3143=$A8))/sum(filter(
Master_Mapping_Sheet!$E$2:$E$3143, ISNUMBER(
Master_Mapping_She"&amp;"et!$E$2:$E$3143),
Master_Mapping_Sheet!$H$2:$H$3143=$A8))), 0, sum(filter(
Master_Mapping_Sheet!$E$2:$E$3143, ISNUMBER(
Master_Mapping_Sheet!$E$2:$E$3143),
Master_Mapping_Sheet!$C$2:$C$3143=X$1,
Master_Mapping_Sheet!$H$2:$H$3143=$A8))/sum(filter(
Master_M"&amp;"apping_Sheet!$E$2:$E$3143, ISNUMBER(
Master_Mapping_Sheet!$E$2:$E$3143),
Master_Mapping_Sheet!$H$2:$H$3143=$A8)))"),0.0)</f>
        <v>0</v>
      </c>
      <c r="Y8" s="34">
        <f>IFERROR(__xludf.DUMMYFUNCTION("IF(ISNA(sum(filter(
Master_Mapping_Sheet!$E$2:$E$3143, ISNUMBER(
Master_Mapping_Sheet!$E$2:$E$3143),
Master_Mapping_Sheet!$C$2:$C$3143=Y$1,
Master_Mapping_Sheet!$H$2:$H$3143=$A8))/sum(filter(
Master_Mapping_Sheet!$E$2:$E$3143, ISNUMBER(
Master_Mapping_She"&amp;"et!$E$2:$E$3143),
Master_Mapping_Sheet!$H$2:$H$3143=$A8))), 0, sum(filter(
Master_Mapping_Sheet!$E$2:$E$3143, ISNUMBER(
Master_Mapping_Sheet!$E$2:$E$3143),
Master_Mapping_Sheet!$C$2:$C$3143=Y$1,
Master_Mapping_Sheet!$H$2:$H$3143=$A8))/sum(filter(
Master_M"&amp;"apping_Sheet!$E$2:$E$3143, ISNUMBER(
Master_Mapping_Sheet!$E$2:$E$3143),
Master_Mapping_Sheet!$H$2:$H$3143=$A8)))"),0.0)</f>
        <v>0</v>
      </c>
      <c r="Z8" s="34">
        <f>IFERROR(__xludf.DUMMYFUNCTION("IF(ISNA(sum(filter(
Master_Mapping_Sheet!$E$2:$E$3143, ISNUMBER(
Master_Mapping_Sheet!$E$2:$E$3143),
Master_Mapping_Sheet!$C$2:$C$3143=Z$1,
Master_Mapping_Sheet!$H$2:$H$3143=$A8))/sum(filter(
Master_Mapping_Sheet!$E$2:$E$3143, ISNUMBER(
Master_Mapping_She"&amp;"et!$E$2:$E$3143),
Master_Mapping_Sheet!$H$2:$H$3143=$A8))), 0, sum(filter(
Master_Mapping_Sheet!$E$2:$E$3143, ISNUMBER(
Master_Mapping_Sheet!$E$2:$E$3143),
Master_Mapping_Sheet!$C$2:$C$3143=Z$1,
Master_Mapping_Sheet!$H$2:$H$3143=$A8))/sum(filter(
Master_M"&amp;"apping_Sheet!$E$2:$E$3143, ISNUMBER(
Master_Mapping_Sheet!$E$2:$E$3143),
Master_Mapping_Sheet!$H$2:$H$3143=$A8)))"),0.0)</f>
        <v>0</v>
      </c>
      <c r="AA8" s="34">
        <f>IFERROR(__xludf.DUMMYFUNCTION("IF(ISNA(sum(filter(
Master_Mapping_Sheet!$E$2:$E$3143, ISNUMBER(
Master_Mapping_Sheet!$E$2:$E$3143),
Master_Mapping_Sheet!$C$2:$C$3143=AA$1,
Master_Mapping_Sheet!$H$2:$H$3143=$A8))/sum(filter(
Master_Mapping_Sheet!$E$2:$E$3143, ISNUMBER(
Master_Mapping_Sh"&amp;"eet!$E$2:$E$3143),
Master_Mapping_Sheet!$H$2:$H$3143=$A8))), 0, sum(filter(
Master_Mapping_Sheet!$E$2:$E$3143, ISNUMBER(
Master_Mapping_Sheet!$E$2:$E$3143),
Master_Mapping_Sheet!$C$2:$C$3143=AA$1,
Master_Mapping_Sheet!$H$2:$H$3143=$A8))/sum(filter(
Master"&amp;"_Mapping_Sheet!$E$2:$E$3143, ISNUMBER(
Master_Mapping_Sheet!$E$2:$E$3143),
Master_Mapping_Sheet!$H$2:$H$3143=$A8)))"),0.0)</f>
        <v>0</v>
      </c>
      <c r="AB8" s="34">
        <f>IFERROR(__xludf.DUMMYFUNCTION("IF(ISNA(sum(filter(
Master_Mapping_Sheet!$E$2:$E$3143, ISNUMBER(
Master_Mapping_Sheet!$E$2:$E$3143),
Master_Mapping_Sheet!$C$2:$C$3143=AB$1,
Master_Mapping_Sheet!$H$2:$H$3143=$A8))/sum(filter(
Master_Mapping_Sheet!$E$2:$E$3143, ISNUMBER(
Master_Mapping_Sh"&amp;"eet!$E$2:$E$3143),
Master_Mapping_Sheet!$H$2:$H$3143=$A8))), 0, sum(filter(
Master_Mapping_Sheet!$E$2:$E$3143, ISNUMBER(
Master_Mapping_Sheet!$E$2:$E$3143),
Master_Mapping_Sheet!$C$2:$C$3143=AB$1,
Master_Mapping_Sheet!$H$2:$H$3143=$A8))/sum(filter(
Master"&amp;"_Mapping_Sheet!$E$2:$E$3143, ISNUMBER(
Master_Mapping_Sheet!$E$2:$E$3143),
Master_Mapping_Sheet!$H$2:$H$3143=$A8)))"),0.0)</f>
        <v>0</v>
      </c>
      <c r="AC8" s="34">
        <f>IFERROR(__xludf.DUMMYFUNCTION("IF(ISNA(sum(filter(
Master_Mapping_Sheet!$E$2:$E$3143, ISNUMBER(
Master_Mapping_Sheet!$E$2:$E$3143),
Master_Mapping_Sheet!$C$2:$C$3143=AC$1,
Master_Mapping_Sheet!$H$2:$H$3143=$A8))/sum(filter(
Master_Mapping_Sheet!$E$2:$E$3143, ISNUMBER(
Master_Mapping_Sh"&amp;"eet!$E$2:$E$3143),
Master_Mapping_Sheet!$H$2:$H$3143=$A8))), 0, sum(filter(
Master_Mapping_Sheet!$E$2:$E$3143, ISNUMBER(
Master_Mapping_Sheet!$E$2:$E$3143),
Master_Mapping_Sheet!$C$2:$C$3143=AC$1,
Master_Mapping_Sheet!$H$2:$H$3143=$A8))/sum(filter(
Master"&amp;"_Mapping_Sheet!$E$2:$E$3143, ISNUMBER(
Master_Mapping_Sheet!$E$2:$E$3143),
Master_Mapping_Sheet!$H$2:$H$3143=$A8)))"),0.0)</f>
        <v>0</v>
      </c>
      <c r="AD8" s="34">
        <f>IFERROR(__xludf.DUMMYFUNCTION("IF(ISNA(sum(filter(
Master_Mapping_Sheet!$E$2:$E$3143, ISNUMBER(
Master_Mapping_Sheet!$E$2:$E$3143),
Master_Mapping_Sheet!$C$2:$C$3143=AD$1,
Master_Mapping_Sheet!$H$2:$H$3143=$A8))/sum(filter(
Master_Mapping_Sheet!$E$2:$E$3143, ISNUMBER(
Master_Mapping_Sh"&amp;"eet!$E$2:$E$3143),
Master_Mapping_Sheet!$H$2:$H$3143=$A8))), 0, sum(filter(
Master_Mapping_Sheet!$E$2:$E$3143, ISNUMBER(
Master_Mapping_Sheet!$E$2:$E$3143),
Master_Mapping_Sheet!$C$2:$C$3143=AD$1,
Master_Mapping_Sheet!$H$2:$H$3143=$A8))/sum(filter(
Master"&amp;"_Mapping_Sheet!$E$2:$E$3143, ISNUMBER(
Master_Mapping_Sheet!$E$2:$E$3143),
Master_Mapping_Sheet!$H$2:$H$3143=$A8)))"),0.0)</f>
        <v>0</v>
      </c>
      <c r="AE8" s="34">
        <f>IFERROR(__xludf.DUMMYFUNCTION("IF(ISNA(sum(filter(
Master_Mapping_Sheet!$E$2:$E$3143, ISNUMBER(
Master_Mapping_Sheet!$E$2:$E$3143),
Master_Mapping_Sheet!$C$2:$C$3143=AE$1,
Master_Mapping_Sheet!$H$2:$H$3143=$A8))/sum(filter(
Master_Mapping_Sheet!$E$2:$E$3143, ISNUMBER(
Master_Mapping_Sh"&amp;"eet!$E$2:$E$3143),
Master_Mapping_Sheet!$H$2:$H$3143=$A8))), 0, sum(filter(
Master_Mapping_Sheet!$E$2:$E$3143, ISNUMBER(
Master_Mapping_Sheet!$E$2:$E$3143),
Master_Mapping_Sheet!$C$2:$C$3143=AE$1,
Master_Mapping_Sheet!$H$2:$H$3143=$A8))/sum(filter(
Master"&amp;"_Mapping_Sheet!$E$2:$E$3143, ISNUMBER(
Master_Mapping_Sheet!$E$2:$E$3143),
Master_Mapping_Sheet!$H$2:$H$3143=$A8)))"),0.09255370730324265)</f>
        <v>0.0925537073</v>
      </c>
      <c r="AF8" s="34">
        <f>IFERROR(__xludf.DUMMYFUNCTION("IF(ISNA(sum(filter(
Master_Mapping_Sheet!$E$2:$E$3143, ISNUMBER(
Master_Mapping_Sheet!$E$2:$E$3143),
Master_Mapping_Sheet!$C$2:$C$3143=AF$1,
Master_Mapping_Sheet!$H$2:$H$3143=$A8))/sum(filter(
Master_Mapping_Sheet!$E$2:$E$3143, ISNUMBER(
Master_Mapping_Sh"&amp;"eet!$E$2:$E$3143),
Master_Mapping_Sheet!$H$2:$H$3143=$A8))), 0, sum(filter(
Master_Mapping_Sheet!$E$2:$E$3143, ISNUMBER(
Master_Mapping_Sheet!$E$2:$E$3143),
Master_Mapping_Sheet!$C$2:$C$3143=AF$1,
Master_Mapping_Sheet!$H$2:$H$3143=$A8))/sum(filter(
Master"&amp;"_Mapping_Sheet!$E$2:$E$3143, ISNUMBER(
Master_Mapping_Sheet!$E$2:$E$3143),
Master_Mapping_Sheet!$H$2:$H$3143=$A8)))"),0.0)</f>
        <v>0</v>
      </c>
      <c r="AG8" s="34">
        <f>IFERROR(__xludf.DUMMYFUNCTION("IF(ISNA(sum(filter(
Master_Mapping_Sheet!$E$2:$E$3143, ISNUMBER(
Master_Mapping_Sheet!$E$2:$E$3143),
Master_Mapping_Sheet!$C$2:$C$3143=AG$1,
Master_Mapping_Sheet!$H$2:$H$3143=$A8))/sum(filter(
Master_Mapping_Sheet!$E$2:$E$3143, ISNUMBER(
Master_Mapping_Sh"&amp;"eet!$E$2:$E$3143),
Master_Mapping_Sheet!$H$2:$H$3143=$A8))), 0, sum(filter(
Master_Mapping_Sheet!$E$2:$E$3143, ISNUMBER(
Master_Mapping_Sheet!$E$2:$E$3143),
Master_Mapping_Sheet!$C$2:$C$3143=AG$1,
Master_Mapping_Sheet!$H$2:$H$3143=$A8))/sum(filter(
Master"&amp;"_Mapping_Sheet!$E$2:$E$3143, ISNUMBER(
Master_Mapping_Sheet!$E$2:$E$3143),
Master_Mapping_Sheet!$H$2:$H$3143=$A8)))"),0.0)</f>
        <v>0</v>
      </c>
      <c r="AH8" s="34">
        <f>IFERROR(__xludf.DUMMYFUNCTION("IF(ISNA(sum(filter(
Master_Mapping_Sheet!$E$2:$E$3143, ISNUMBER(
Master_Mapping_Sheet!$E$2:$E$3143),
Master_Mapping_Sheet!$C$2:$C$3143=AH$1,
Master_Mapping_Sheet!$H$2:$H$3143=$A8))/sum(filter(
Master_Mapping_Sheet!$E$2:$E$3143, ISNUMBER(
Master_Mapping_Sh"&amp;"eet!$E$2:$E$3143),
Master_Mapping_Sheet!$H$2:$H$3143=$A8))), 0, sum(filter(
Master_Mapping_Sheet!$E$2:$E$3143, ISNUMBER(
Master_Mapping_Sheet!$E$2:$E$3143),
Master_Mapping_Sheet!$C$2:$C$3143=AH$1,
Master_Mapping_Sheet!$H$2:$H$3143=$A8))/sum(filter(
Master"&amp;"_Mapping_Sheet!$E$2:$E$3143, ISNUMBER(
Master_Mapping_Sheet!$E$2:$E$3143),
Master_Mapping_Sheet!$H$2:$H$3143=$A8)))"),0.0)</f>
        <v>0</v>
      </c>
      <c r="AI8" s="34">
        <f>IFERROR(__xludf.DUMMYFUNCTION("IF(ISNA(sum(filter(
Master_Mapping_Sheet!$E$2:$E$3143, ISNUMBER(
Master_Mapping_Sheet!$E$2:$E$3143),
Master_Mapping_Sheet!$C$2:$C$3143=AI$1,
Master_Mapping_Sheet!$H$2:$H$3143=$A8))/sum(filter(
Master_Mapping_Sheet!$E$2:$E$3143, ISNUMBER(
Master_Mapping_Sh"&amp;"eet!$E$2:$E$3143),
Master_Mapping_Sheet!$H$2:$H$3143=$A8))), 0, sum(filter(
Master_Mapping_Sheet!$E$2:$E$3143, ISNUMBER(
Master_Mapping_Sheet!$E$2:$E$3143),
Master_Mapping_Sheet!$C$2:$C$3143=AI$1,
Master_Mapping_Sheet!$H$2:$H$3143=$A8))/sum(filter(
Master"&amp;"_Mapping_Sheet!$E$2:$E$3143, ISNUMBER(
Master_Mapping_Sheet!$E$2:$E$3143),
Master_Mapping_Sheet!$H$2:$H$3143=$A8)))"),0.0)</f>
        <v>0</v>
      </c>
      <c r="AJ8" s="34">
        <f>IFERROR(__xludf.DUMMYFUNCTION("IF(ISNA(sum(filter(
Master_Mapping_Sheet!$E$2:$E$3143, ISNUMBER(
Master_Mapping_Sheet!$E$2:$E$3143),
Master_Mapping_Sheet!$C$2:$C$3143=AJ$1,
Master_Mapping_Sheet!$H$2:$H$3143=$A8))/sum(filter(
Master_Mapping_Sheet!$E$2:$E$3143, ISNUMBER(
Master_Mapping_Sh"&amp;"eet!$E$2:$E$3143),
Master_Mapping_Sheet!$H$2:$H$3143=$A8))), 0, sum(filter(
Master_Mapping_Sheet!$E$2:$E$3143, ISNUMBER(
Master_Mapping_Sheet!$E$2:$E$3143),
Master_Mapping_Sheet!$C$2:$C$3143=AJ$1,
Master_Mapping_Sheet!$H$2:$H$3143=$A8))/sum(filter(
Master"&amp;"_Mapping_Sheet!$E$2:$E$3143, ISNUMBER(
Master_Mapping_Sheet!$E$2:$E$3143),
Master_Mapping_Sheet!$H$2:$H$3143=$A8)))"),0.0)</f>
        <v>0</v>
      </c>
      <c r="AK8" s="34">
        <f>IFERROR(__xludf.DUMMYFUNCTION("IF(ISNA(sum(filter(
Master_Mapping_Sheet!$E$2:$E$3143, ISNUMBER(
Master_Mapping_Sheet!$E$2:$E$3143),
Master_Mapping_Sheet!$C$2:$C$3143=AK$1,
Master_Mapping_Sheet!$H$2:$H$3143=$A8))/sum(filter(
Master_Mapping_Sheet!$E$2:$E$3143, ISNUMBER(
Master_Mapping_Sh"&amp;"eet!$E$2:$E$3143),
Master_Mapping_Sheet!$H$2:$H$3143=$A8))), 0, sum(filter(
Master_Mapping_Sheet!$E$2:$E$3143, ISNUMBER(
Master_Mapping_Sheet!$E$2:$E$3143),
Master_Mapping_Sheet!$C$2:$C$3143=AK$1,
Master_Mapping_Sheet!$H$2:$H$3143=$A8))/sum(filter(
Master"&amp;"_Mapping_Sheet!$E$2:$E$3143, ISNUMBER(
Master_Mapping_Sheet!$E$2:$E$3143),
Master_Mapping_Sheet!$H$2:$H$3143=$A8)))"),0.0)</f>
        <v>0</v>
      </c>
      <c r="AL8" s="34">
        <f>IFERROR(__xludf.DUMMYFUNCTION("IF(ISNA(sum(filter(
Master_Mapping_Sheet!$E$2:$E$3143, ISNUMBER(
Master_Mapping_Sheet!$E$2:$E$3143),
Master_Mapping_Sheet!$C$2:$C$3143=AL$1,
Master_Mapping_Sheet!$H$2:$H$3143=$A8))/sum(filter(
Master_Mapping_Sheet!$E$2:$E$3143, ISNUMBER(
Master_Mapping_Sh"&amp;"eet!$E$2:$E$3143),
Master_Mapping_Sheet!$H$2:$H$3143=$A8))), 0, sum(filter(
Master_Mapping_Sheet!$E$2:$E$3143, ISNUMBER(
Master_Mapping_Sheet!$E$2:$E$3143),
Master_Mapping_Sheet!$C$2:$C$3143=AL$1,
Master_Mapping_Sheet!$H$2:$H$3143=$A8))/sum(filter(
Master"&amp;"_Mapping_Sheet!$E$2:$E$3143, ISNUMBER(
Master_Mapping_Sheet!$E$2:$E$3143),
Master_Mapping_Sheet!$H$2:$H$3143=$A8)))"),0.0)</f>
        <v>0</v>
      </c>
      <c r="AM8" s="34">
        <f>IFERROR(__xludf.DUMMYFUNCTION("IF(ISNA(sum(filter(
Master_Mapping_Sheet!$E$2:$E$3143, ISNUMBER(
Master_Mapping_Sheet!$E$2:$E$3143),
Master_Mapping_Sheet!$C$2:$C$3143=AM$1,
Master_Mapping_Sheet!$H$2:$H$3143=$A8))/sum(filter(
Master_Mapping_Sheet!$E$2:$E$3143, ISNUMBER(
Master_Mapping_Sh"&amp;"eet!$E$2:$E$3143),
Master_Mapping_Sheet!$H$2:$H$3143=$A8))), 0, sum(filter(
Master_Mapping_Sheet!$E$2:$E$3143, ISNUMBER(
Master_Mapping_Sheet!$E$2:$E$3143),
Master_Mapping_Sheet!$C$2:$C$3143=AM$1,
Master_Mapping_Sheet!$H$2:$H$3143=$A8))/sum(filter(
Master"&amp;"_Mapping_Sheet!$E$2:$E$3143, ISNUMBER(
Master_Mapping_Sheet!$E$2:$E$3143),
Master_Mapping_Sheet!$H$2:$H$3143=$A8)))"),0.0)</f>
        <v>0</v>
      </c>
      <c r="AN8" s="34">
        <f>IFERROR(__xludf.DUMMYFUNCTION("IF(ISNA(sum(filter(
Master_Mapping_Sheet!$E$2:$E$3143, ISNUMBER(
Master_Mapping_Sheet!$E$2:$E$3143),
Master_Mapping_Sheet!$C$2:$C$3143=AN$1,
Master_Mapping_Sheet!$H$2:$H$3143=$A8))/sum(filter(
Master_Mapping_Sheet!$E$2:$E$3143, ISNUMBER(
Master_Mapping_Sh"&amp;"eet!$E$2:$E$3143),
Master_Mapping_Sheet!$H$2:$H$3143=$A8))), 0, sum(filter(
Master_Mapping_Sheet!$E$2:$E$3143, ISNUMBER(
Master_Mapping_Sheet!$E$2:$E$3143),
Master_Mapping_Sheet!$C$2:$C$3143=AN$1,
Master_Mapping_Sheet!$H$2:$H$3143=$A8))/sum(filter(
Master"&amp;"_Mapping_Sheet!$E$2:$E$3143, ISNUMBER(
Master_Mapping_Sheet!$E$2:$E$3143),
Master_Mapping_Sheet!$H$2:$H$3143=$A8)))"),0.0)</f>
        <v>0</v>
      </c>
      <c r="AO8" s="34">
        <f>IFERROR(__xludf.DUMMYFUNCTION("IF(ISNA(sum(filter(
Master_Mapping_Sheet!$E$2:$E$3143, ISNUMBER(
Master_Mapping_Sheet!$E$2:$E$3143),
Master_Mapping_Sheet!$C$2:$C$3143=AO$1,
Master_Mapping_Sheet!$H$2:$H$3143=$A8))/sum(filter(
Master_Mapping_Sheet!$E$2:$E$3143, ISNUMBER(
Master_Mapping_Sh"&amp;"eet!$E$2:$E$3143),
Master_Mapping_Sheet!$H$2:$H$3143=$A8))), 0, sum(filter(
Master_Mapping_Sheet!$E$2:$E$3143, ISNUMBER(
Master_Mapping_Sheet!$E$2:$E$3143),
Master_Mapping_Sheet!$C$2:$C$3143=AO$1,
Master_Mapping_Sheet!$H$2:$H$3143=$A8))/sum(filter(
Master"&amp;"_Mapping_Sheet!$E$2:$E$3143, ISNUMBER(
Master_Mapping_Sheet!$E$2:$E$3143),
Master_Mapping_Sheet!$H$2:$H$3143=$A8)))"),0.07234767431459589)</f>
        <v>0.07234767431</v>
      </c>
      <c r="AP8" s="34">
        <f>IFERROR(__xludf.DUMMYFUNCTION("IF(ISNA(sum(filter(
Master_Mapping_Sheet!$E$2:$E$3143, ISNUMBER(
Master_Mapping_Sheet!$E$2:$E$3143),
Master_Mapping_Sheet!$C$2:$C$3143=AP$1,
Master_Mapping_Sheet!$H$2:$H$3143=$A8))/sum(filter(
Master_Mapping_Sheet!$E$2:$E$3143, ISNUMBER(
Master_Mapping_Sh"&amp;"eet!$E$2:$E$3143),
Master_Mapping_Sheet!$H$2:$H$3143=$A8))), 0, sum(filter(
Master_Mapping_Sheet!$E$2:$E$3143, ISNUMBER(
Master_Mapping_Sheet!$E$2:$E$3143),
Master_Mapping_Sheet!$C$2:$C$3143=AP$1,
Master_Mapping_Sheet!$H$2:$H$3143=$A8))/sum(filter(
Master"&amp;"_Mapping_Sheet!$E$2:$E$3143, ISNUMBER(
Master_Mapping_Sheet!$E$2:$E$3143),
Master_Mapping_Sheet!$H$2:$H$3143=$A8)))"),0.0)</f>
        <v>0</v>
      </c>
      <c r="AQ8" s="34">
        <f>IFERROR(__xludf.DUMMYFUNCTION("IF(ISNA(sum(filter(
Master_Mapping_Sheet!$E$2:$E$3143, ISNUMBER(
Master_Mapping_Sheet!$E$2:$E$3143),
Master_Mapping_Sheet!$C$2:$C$3143=AQ$1,
Master_Mapping_Sheet!$H$2:$H$3143=$A8))/sum(filter(
Master_Mapping_Sheet!$E$2:$E$3143, ISNUMBER(
Master_Mapping_Sh"&amp;"eet!$E$2:$E$3143),
Master_Mapping_Sheet!$H$2:$H$3143=$A8))), 0, sum(filter(
Master_Mapping_Sheet!$E$2:$E$3143, ISNUMBER(
Master_Mapping_Sheet!$E$2:$E$3143),
Master_Mapping_Sheet!$C$2:$C$3143=AQ$1,
Master_Mapping_Sheet!$H$2:$H$3143=$A8))/sum(filter(
Master"&amp;"_Mapping_Sheet!$E$2:$E$3143, ISNUMBER(
Master_Mapping_Sheet!$E$2:$E$3143),
Master_Mapping_Sheet!$H$2:$H$3143=$A8)))"),0.0)</f>
        <v>0</v>
      </c>
      <c r="AR8" s="34">
        <f>IFERROR(__xludf.DUMMYFUNCTION("IF(ISNA(sum(filter(
Master_Mapping_Sheet!$E$2:$E$3143, ISNUMBER(
Master_Mapping_Sheet!$E$2:$E$3143),
Master_Mapping_Sheet!$C$2:$C$3143=AR$1,
Master_Mapping_Sheet!$H$2:$H$3143=$A8))/sum(filter(
Master_Mapping_Sheet!$E$2:$E$3143, ISNUMBER(
Master_Mapping_Sh"&amp;"eet!$E$2:$E$3143),
Master_Mapping_Sheet!$H$2:$H$3143=$A8))), 0, sum(filter(
Master_Mapping_Sheet!$E$2:$E$3143, ISNUMBER(
Master_Mapping_Sheet!$E$2:$E$3143),
Master_Mapping_Sheet!$C$2:$C$3143=AR$1,
Master_Mapping_Sheet!$H$2:$H$3143=$A8))/sum(filter(
Master"&amp;"_Mapping_Sheet!$E$2:$E$3143, ISNUMBER(
Master_Mapping_Sheet!$E$2:$E$3143),
Master_Mapping_Sheet!$H$2:$H$3143=$A8)))"),0.0)</f>
        <v>0</v>
      </c>
      <c r="AS8" s="34">
        <f>IFERROR(__xludf.DUMMYFUNCTION("IF(ISNA(sum(filter(
Master_Mapping_Sheet!$E$2:$E$3143, ISNUMBER(
Master_Mapping_Sheet!$E$2:$E$3143),
Master_Mapping_Sheet!$C$2:$C$3143=AS$1,
Master_Mapping_Sheet!$H$2:$H$3143=$A8))/sum(filter(
Master_Mapping_Sheet!$E$2:$E$3143, ISNUMBER(
Master_Mapping_Sh"&amp;"eet!$E$2:$E$3143),
Master_Mapping_Sheet!$H$2:$H$3143=$A8))), 0, sum(filter(
Master_Mapping_Sheet!$E$2:$E$3143, ISNUMBER(
Master_Mapping_Sheet!$E$2:$E$3143),
Master_Mapping_Sheet!$C$2:$C$3143=AS$1,
Master_Mapping_Sheet!$H$2:$H$3143=$A8))/sum(filter(
Master"&amp;"_Mapping_Sheet!$E$2:$E$3143, ISNUMBER(
Master_Mapping_Sheet!$E$2:$E$3143),
Master_Mapping_Sheet!$H$2:$H$3143=$A8)))"),0.0)</f>
        <v>0</v>
      </c>
      <c r="AT8" s="34">
        <f>IFERROR(__xludf.DUMMYFUNCTION("IF(ISNA(sum(filter(
Master_Mapping_Sheet!$E$2:$E$3143, ISNUMBER(
Master_Mapping_Sheet!$E$2:$E$3143),
Master_Mapping_Sheet!$C$2:$C$3143=AT$1,
Master_Mapping_Sheet!$H$2:$H$3143=$A8))/sum(filter(
Master_Mapping_Sheet!$E$2:$E$3143, ISNUMBER(
Master_Mapping_Sh"&amp;"eet!$E$2:$E$3143),
Master_Mapping_Sheet!$H$2:$H$3143=$A8))), 0, sum(filter(
Master_Mapping_Sheet!$E$2:$E$3143, ISNUMBER(
Master_Mapping_Sheet!$E$2:$E$3143),
Master_Mapping_Sheet!$C$2:$C$3143=AT$1,
Master_Mapping_Sheet!$H$2:$H$3143=$A8))/sum(filter(
Master"&amp;"_Mapping_Sheet!$E$2:$E$3143, ISNUMBER(
Master_Mapping_Sheet!$E$2:$E$3143),
Master_Mapping_Sheet!$H$2:$H$3143=$A8)))"),0.0)</f>
        <v>0</v>
      </c>
      <c r="AU8" s="34">
        <f>IFERROR(__xludf.DUMMYFUNCTION("IF(ISNA(sum(filter(
Master_Mapping_Sheet!$E$2:$E$3143, ISNUMBER(
Master_Mapping_Sheet!$E$2:$E$3143),
Master_Mapping_Sheet!$C$2:$C$3143=AU$1,
Master_Mapping_Sheet!$H$2:$H$3143=$A8))/sum(filter(
Master_Mapping_Sheet!$E$2:$E$3143, ISNUMBER(
Master_Mapping_Sh"&amp;"eet!$E$2:$E$3143),
Master_Mapping_Sheet!$H$2:$H$3143=$A8))), 0, sum(filter(
Master_Mapping_Sheet!$E$2:$E$3143, ISNUMBER(
Master_Mapping_Sheet!$E$2:$E$3143),
Master_Mapping_Sheet!$C$2:$C$3143=AU$1,
Master_Mapping_Sheet!$H$2:$H$3143=$A8))/sum(filter(
Master"&amp;"_Mapping_Sheet!$E$2:$E$3143, ISNUMBER(
Master_Mapping_Sheet!$E$2:$E$3143),
Master_Mapping_Sheet!$H$2:$H$3143=$A8)))"),0.042741002518723745)</f>
        <v>0.04274100252</v>
      </c>
      <c r="AV8" s="34">
        <f>IFERROR(__xludf.DUMMYFUNCTION("IF(ISNA(sum(filter(
Master_Mapping_Sheet!$E$2:$E$3143, ISNUMBER(
Master_Mapping_Sheet!$E$2:$E$3143),
Master_Mapping_Sheet!$C$2:$C$3143=AV$1,
Master_Mapping_Sheet!$H$2:$H$3143=$A8))/sum(filter(
Master_Mapping_Sheet!$E$2:$E$3143, ISNUMBER(
Master_Mapping_Sh"&amp;"eet!$E$2:$E$3143),
Master_Mapping_Sheet!$H$2:$H$3143=$A8))), 0, sum(filter(
Master_Mapping_Sheet!$E$2:$E$3143, ISNUMBER(
Master_Mapping_Sheet!$E$2:$E$3143),
Master_Mapping_Sheet!$C$2:$C$3143=AV$1,
Master_Mapping_Sheet!$H$2:$H$3143=$A8))/sum(filter(
Master"&amp;"_Mapping_Sheet!$E$2:$E$3143, ISNUMBER(
Master_Mapping_Sheet!$E$2:$E$3143),
Master_Mapping_Sheet!$H$2:$H$3143=$A8)))"),0.0)</f>
        <v>0</v>
      </c>
      <c r="AW8" s="34">
        <f>IFERROR(__xludf.DUMMYFUNCTION("IF(ISNA(sum(filter(
Master_Mapping_Sheet!$E$2:$E$3143, ISNUMBER(
Master_Mapping_Sheet!$E$2:$E$3143),
Master_Mapping_Sheet!$C$2:$C$3143=AW$1,
Master_Mapping_Sheet!$H$2:$H$3143=$A8))/sum(filter(
Master_Mapping_Sheet!$E$2:$E$3143, ISNUMBER(
Master_Mapping_Sh"&amp;"eet!$E$2:$E$3143),
Master_Mapping_Sheet!$H$2:$H$3143=$A8))), 0, sum(filter(
Master_Mapping_Sheet!$E$2:$E$3143, ISNUMBER(
Master_Mapping_Sheet!$E$2:$E$3143),
Master_Mapping_Sheet!$C$2:$C$3143=AW$1,
Master_Mapping_Sheet!$H$2:$H$3143=$A8))/sum(filter(
Master"&amp;"_Mapping_Sheet!$E$2:$E$3143, ISNUMBER(
Master_Mapping_Sheet!$E$2:$E$3143),
Master_Mapping_Sheet!$H$2:$H$3143=$A8)))"),0.0)</f>
        <v>0</v>
      </c>
      <c r="AX8" s="34">
        <f>IFERROR(__xludf.DUMMYFUNCTION("IF(ISNA(sum(filter(
Master_Mapping_Sheet!$E$2:$E$3143, ISNUMBER(
Master_Mapping_Sheet!$E$2:$E$3143),
Master_Mapping_Sheet!$C$2:$C$3143=AX$1,
Master_Mapping_Sheet!$H$2:$H$3143=$A8))/sum(filter(
Master_Mapping_Sheet!$E$2:$E$3143, ISNUMBER(
Master_Mapping_Sh"&amp;"eet!$E$2:$E$3143),
Master_Mapping_Sheet!$H$2:$H$3143=$A8))), 0, sum(filter(
Master_Mapping_Sheet!$E$2:$E$3143, ISNUMBER(
Master_Mapping_Sheet!$E$2:$E$3143),
Master_Mapping_Sheet!$C$2:$C$3143=AX$1,
Master_Mapping_Sheet!$H$2:$H$3143=$A8))/sum(filter(
Master"&amp;"_Mapping_Sheet!$E$2:$E$3143, ISNUMBER(
Master_Mapping_Sheet!$E$2:$E$3143),
Master_Mapping_Sheet!$H$2:$H$3143=$A8)))"),0.0)</f>
        <v>0</v>
      </c>
      <c r="AY8" s="34">
        <f>IFERROR(__xludf.DUMMYFUNCTION("IF(ISNA(sum(filter(
Master_Mapping_Sheet!$E$2:$E$3143, ISNUMBER(
Master_Mapping_Sheet!$E$2:$E$3143),
Master_Mapping_Sheet!$C$2:$C$3143=AY$1,
Master_Mapping_Sheet!$H$2:$H$3143=$A8))/sum(filter(
Master_Mapping_Sheet!$E$2:$E$3143, ISNUMBER(
Master_Mapping_Sh"&amp;"eet!$E$2:$E$3143),
Master_Mapping_Sheet!$H$2:$H$3143=$A8))), 0, sum(filter(
Master_Mapping_Sheet!$E$2:$E$3143, ISNUMBER(
Master_Mapping_Sheet!$E$2:$E$3143),
Master_Mapping_Sheet!$C$2:$C$3143=AY$1,
Master_Mapping_Sheet!$H$2:$H$3143=$A8))/sum(filter(
Master"&amp;"_Mapping_Sheet!$E$2:$E$3143, ISNUMBER(
Master_Mapping_Sheet!$E$2:$E$3143),
Master_Mapping_Sheet!$H$2:$H$3143=$A8)))"),0.0)</f>
        <v>0</v>
      </c>
      <c r="AZ8" s="34">
        <f>IFERROR(__xludf.DUMMYFUNCTION("IF(ISNA(sum(filter(
Master_Mapping_Sheet!$E$2:$E$3143, ISNUMBER(
Master_Mapping_Sheet!$E$2:$E$3143),
Master_Mapping_Sheet!$C$2:$C$3143=AZ$1,
Master_Mapping_Sheet!$H$2:$H$3143=$A8))/sum(filter(
Master_Mapping_Sheet!$E$2:$E$3143, ISNUMBER(
Master_Mapping_Sh"&amp;"eet!$E$2:$E$3143),
Master_Mapping_Sheet!$H$2:$H$3143=$A8))), 0, sum(filter(
Master_Mapping_Sheet!$E$2:$E$3143, ISNUMBER(
Master_Mapping_Sheet!$E$2:$E$3143),
Master_Mapping_Sheet!$C$2:$C$3143=AZ$1,
Master_Mapping_Sheet!$H$2:$H$3143=$A8))/sum(filter(
Master"&amp;"_Mapping_Sheet!$E$2:$E$3143, ISNUMBER(
Master_Mapping_Sheet!$E$2:$E$3143),
Master_Mapping_Sheet!$H$2:$H$3143=$A8)))"),0.0)</f>
        <v>0</v>
      </c>
    </row>
    <row r="9" ht="15.75" customHeight="1">
      <c r="A9" s="34" t="s">
        <v>4006</v>
      </c>
      <c r="B9" s="34">
        <f>IFERROR(__xludf.DUMMYFUNCTION("IF(ISNA(sum(filter(
Master_Mapping_Sheet!$E$2:$E$3143, ISNUMBER(
Master_Mapping_Sheet!$E$2:$E$3143),
Master_Mapping_Sheet!$C$2:$C$3143=B$1,
Master_Mapping_Sheet!$H$2:$H$3143=$A9))/sum(filter(
Master_Mapping_Sheet!$E$2:$E$3143, ISNUMBER(
Master_Mapping_She"&amp;"et!$E$2:$E$3143),
Master_Mapping_Sheet!$H$2:$H$3143=$A9))), 0, sum(filter(
Master_Mapping_Sheet!$E$2:$E$3143, ISNUMBER(
Master_Mapping_Sheet!$E$2:$E$3143),
Master_Mapping_Sheet!$C$2:$C$3143=B$1,
Master_Mapping_Sheet!$H$2:$H$3143=$A9))/sum(filter(
Master_M"&amp;"apping_Sheet!$E$2:$E$3143, ISNUMBER(
Master_Mapping_Sheet!$E$2:$E$3143),
Master_Mapping_Sheet!$H$2:$H$3143=$A9)))"),0.0)</f>
        <v>0</v>
      </c>
      <c r="C9" s="34">
        <f>IFERROR(__xludf.DUMMYFUNCTION("IF(ISNA(sum(filter(
Master_Mapping_Sheet!$E$2:$E$3143, ISNUMBER(
Master_Mapping_Sheet!$E$2:$E$3143),
Master_Mapping_Sheet!$C$2:$C$3143=C$1,
Master_Mapping_Sheet!$H$2:$H$3143=$A9))/sum(filter(
Master_Mapping_Sheet!$E$2:$E$3143, ISNUMBER(
Master_Mapping_She"&amp;"et!$E$2:$E$3143),
Master_Mapping_Sheet!$H$2:$H$3143=$A9))), 0, sum(filter(
Master_Mapping_Sheet!$E$2:$E$3143, ISNUMBER(
Master_Mapping_Sheet!$E$2:$E$3143),
Master_Mapping_Sheet!$C$2:$C$3143=C$1,
Master_Mapping_Sheet!$H$2:$H$3143=$A9))/sum(filter(
Master_M"&amp;"apping_Sheet!$E$2:$E$3143, ISNUMBER(
Master_Mapping_Sheet!$E$2:$E$3143),
Master_Mapping_Sheet!$H$2:$H$3143=$A9)))"),0.0)</f>
        <v>0</v>
      </c>
      <c r="D9" s="34">
        <f>IFERROR(__xludf.DUMMYFUNCTION("IF(ISNA(sum(filter(
Master_Mapping_Sheet!$E$2:$E$3143, ISNUMBER(
Master_Mapping_Sheet!$E$2:$E$3143),
Master_Mapping_Sheet!$C$2:$C$3143=D$1,
Master_Mapping_Sheet!$H$2:$H$3143=$A9))/sum(filter(
Master_Mapping_Sheet!$E$2:$E$3143, ISNUMBER(
Master_Mapping_She"&amp;"et!$E$2:$E$3143),
Master_Mapping_Sheet!$H$2:$H$3143=$A9))), 0, sum(filter(
Master_Mapping_Sheet!$E$2:$E$3143, ISNUMBER(
Master_Mapping_Sheet!$E$2:$E$3143),
Master_Mapping_Sheet!$C$2:$C$3143=D$1,
Master_Mapping_Sheet!$H$2:$H$3143=$A9))/sum(filter(
Master_M"&amp;"apping_Sheet!$E$2:$E$3143, ISNUMBER(
Master_Mapping_Sheet!$E$2:$E$3143),
Master_Mapping_Sheet!$H$2:$H$3143=$A9)))"),0.0)</f>
        <v>0</v>
      </c>
      <c r="E9" s="34">
        <f>IFERROR(__xludf.DUMMYFUNCTION("IF(ISNA(sum(filter(
Master_Mapping_Sheet!$E$2:$E$3143, ISNUMBER(
Master_Mapping_Sheet!$E$2:$E$3143),
Master_Mapping_Sheet!$C$2:$C$3143=E$1,
Master_Mapping_Sheet!$H$2:$H$3143=$A9))/sum(filter(
Master_Mapping_Sheet!$E$2:$E$3143, ISNUMBER(
Master_Mapping_She"&amp;"et!$E$2:$E$3143),
Master_Mapping_Sheet!$H$2:$H$3143=$A9))), 0, sum(filter(
Master_Mapping_Sheet!$E$2:$E$3143, ISNUMBER(
Master_Mapping_Sheet!$E$2:$E$3143),
Master_Mapping_Sheet!$C$2:$C$3143=E$1,
Master_Mapping_Sheet!$H$2:$H$3143=$A9))/sum(filter(
Master_M"&amp;"apping_Sheet!$E$2:$E$3143, ISNUMBER(
Master_Mapping_Sheet!$E$2:$E$3143),
Master_Mapping_Sheet!$H$2:$H$3143=$A9)))"),0.0)</f>
        <v>0</v>
      </c>
      <c r="F9" s="34">
        <f>IFERROR(__xludf.DUMMYFUNCTION("IF(ISNA(sum(filter(
Master_Mapping_Sheet!$E$2:$E$3143, ISNUMBER(
Master_Mapping_Sheet!$E$2:$E$3143),
Master_Mapping_Sheet!$C$2:$C$3143=F$1,
Master_Mapping_Sheet!$H$2:$H$3143=$A9))/sum(filter(
Master_Mapping_Sheet!$E$2:$E$3143, ISNUMBER(
Master_Mapping_She"&amp;"et!$E$2:$E$3143),
Master_Mapping_Sheet!$H$2:$H$3143=$A9))), 0, sum(filter(
Master_Mapping_Sheet!$E$2:$E$3143, ISNUMBER(
Master_Mapping_Sheet!$E$2:$E$3143),
Master_Mapping_Sheet!$C$2:$C$3143=F$1,
Master_Mapping_Sheet!$H$2:$H$3143=$A9))/sum(filter(
Master_M"&amp;"apping_Sheet!$E$2:$E$3143, ISNUMBER(
Master_Mapping_Sheet!$E$2:$E$3143),
Master_Mapping_Sheet!$H$2:$H$3143=$A9)))"),0.0)</f>
        <v>0</v>
      </c>
      <c r="G9" s="34">
        <f>IFERROR(__xludf.DUMMYFUNCTION("IF(ISNA(sum(filter(
Master_Mapping_Sheet!$E$2:$E$3143, ISNUMBER(
Master_Mapping_Sheet!$E$2:$E$3143),
Master_Mapping_Sheet!$C$2:$C$3143=G$1,
Master_Mapping_Sheet!$H$2:$H$3143=$A9))/sum(filter(
Master_Mapping_Sheet!$E$2:$E$3143, ISNUMBER(
Master_Mapping_She"&amp;"et!$E$2:$E$3143),
Master_Mapping_Sheet!$H$2:$H$3143=$A9))), 0, sum(filter(
Master_Mapping_Sheet!$E$2:$E$3143, ISNUMBER(
Master_Mapping_Sheet!$E$2:$E$3143),
Master_Mapping_Sheet!$C$2:$C$3143=G$1,
Master_Mapping_Sheet!$H$2:$H$3143=$A9))/sum(filter(
Master_M"&amp;"apping_Sheet!$E$2:$E$3143, ISNUMBER(
Master_Mapping_Sheet!$E$2:$E$3143),
Master_Mapping_Sheet!$H$2:$H$3143=$A9)))"),0.0)</f>
        <v>0</v>
      </c>
      <c r="H9" s="34">
        <f>IFERROR(__xludf.DUMMYFUNCTION("IF(ISNA(sum(filter(
Master_Mapping_Sheet!$E$2:$E$3143, ISNUMBER(
Master_Mapping_Sheet!$E$2:$E$3143),
Master_Mapping_Sheet!$C$2:$C$3143=H$1,
Master_Mapping_Sheet!$H$2:$H$3143=$A9))/sum(filter(
Master_Mapping_Sheet!$E$2:$E$3143, ISNUMBER(
Master_Mapping_She"&amp;"et!$E$2:$E$3143),
Master_Mapping_Sheet!$H$2:$H$3143=$A9))), 0, sum(filter(
Master_Mapping_Sheet!$E$2:$E$3143, ISNUMBER(
Master_Mapping_Sheet!$E$2:$E$3143),
Master_Mapping_Sheet!$C$2:$C$3143=H$1,
Master_Mapping_Sheet!$H$2:$H$3143=$A9))/sum(filter(
Master_M"&amp;"apping_Sheet!$E$2:$E$3143, ISNUMBER(
Master_Mapping_Sheet!$E$2:$E$3143),
Master_Mapping_Sheet!$H$2:$H$3143=$A9)))"),0.0)</f>
        <v>0</v>
      </c>
      <c r="I9" s="34">
        <f>IFERROR(__xludf.DUMMYFUNCTION("IF(ISNA(sum(filter(
Master_Mapping_Sheet!$E$2:$E$3143, ISNUMBER(
Master_Mapping_Sheet!$E$2:$E$3143),
Master_Mapping_Sheet!$C$2:$C$3143=I$1,
Master_Mapping_Sheet!$H$2:$H$3143=$A9))/sum(filter(
Master_Mapping_Sheet!$E$2:$E$3143, ISNUMBER(
Master_Mapping_She"&amp;"et!$E$2:$E$3143),
Master_Mapping_Sheet!$H$2:$H$3143=$A9))), 0, sum(filter(
Master_Mapping_Sheet!$E$2:$E$3143, ISNUMBER(
Master_Mapping_Sheet!$E$2:$E$3143),
Master_Mapping_Sheet!$C$2:$C$3143=I$1,
Master_Mapping_Sheet!$H$2:$H$3143=$A9))/sum(filter(
Master_M"&amp;"apping_Sheet!$E$2:$E$3143, ISNUMBER(
Master_Mapping_Sheet!$E$2:$E$3143),
Master_Mapping_Sheet!$H$2:$H$3143=$A9)))"),0.0)</f>
        <v>0</v>
      </c>
      <c r="J9" s="34">
        <f>IFERROR(__xludf.DUMMYFUNCTION("IF(ISNA(sum(filter(
Master_Mapping_Sheet!$E$2:$E$3143, ISNUMBER(
Master_Mapping_Sheet!$E$2:$E$3143),
Master_Mapping_Sheet!$C$2:$C$3143=J$1,
Master_Mapping_Sheet!$H$2:$H$3143=$A9))/sum(filter(
Master_Mapping_Sheet!$E$2:$E$3143, ISNUMBER(
Master_Mapping_She"&amp;"et!$E$2:$E$3143),
Master_Mapping_Sheet!$H$2:$H$3143=$A9))), 0, sum(filter(
Master_Mapping_Sheet!$E$2:$E$3143, ISNUMBER(
Master_Mapping_Sheet!$E$2:$E$3143),
Master_Mapping_Sheet!$C$2:$C$3143=J$1,
Master_Mapping_Sheet!$H$2:$H$3143=$A9))/sum(filter(
Master_M"&amp;"apping_Sheet!$E$2:$E$3143, ISNUMBER(
Master_Mapping_Sheet!$E$2:$E$3143),
Master_Mapping_Sheet!$H$2:$H$3143=$A9)))"),0.0)</f>
        <v>0</v>
      </c>
      <c r="K9" s="34">
        <f>IFERROR(__xludf.DUMMYFUNCTION("IF(ISNA(sum(filter(
Master_Mapping_Sheet!$E$2:$E$3143, ISNUMBER(
Master_Mapping_Sheet!$E$2:$E$3143),
Master_Mapping_Sheet!$C$2:$C$3143=K$1,
Master_Mapping_Sheet!$H$2:$H$3143=$A9))/sum(filter(
Master_Mapping_Sheet!$E$2:$E$3143, ISNUMBER(
Master_Mapping_She"&amp;"et!$E$2:$E$3143),
Master_Mapping_Sheet!$H$2:$H$3143=$A9))), 0, sum(filter(
Master_Mapping_Sheet!$E$2:$E$3143, ISNUMBER(
Master_Mapping_Sheet!$E$2:$E$3143),
Master_Mapping_Sheet!$C$2:$C$3143=K$1,
Master_Mapping_Sheet!$H$2:$H$3143=$A9))/sum(filter(
Master_M"&amp;"apping_Sheet!$E$2:$E$3143, ISNUMBER(
Master_Mapping_Sheet!$E$2:$E$3143),
Master_Mapping_Sheet!$H$2:$H$3143=$A9)))"),0.0)</f>
        <v>0</v>
      </c>
      <c r="L9" s="34">
        <f>IFERROR(__xludf.DUMMYFUNCTION("IF(ISNA(sum(filter(
Master_Mapping_Sheet!$E$2:$E$3143, ISNUMBER(
Master_Mapping_Sheet!$E$2:$E$3143),
Master_Mapping_Sheet!$C$2:$C$3143=L$1,
Master_Mapping_Sheet!$H$2:$H$3143=$A9))/sum(filter(
Master_Mapping_Sheet!$E$2:$E$3143, ISNUMBER(
Master_Mapping_She"&amp;"et!$E$2:$E$3143),
Master_Mapping_Sheet!$H$2:$H$3143=$A9))), 0, sum(filter(
Master_Mapping_Sheet!$E$2:$E$3143, ISNUMBER(
Master_Mapping_Sheet!$E$2:$E$3143),
Master_Mapping_Sheet!$C$2:$C$3143=L$1,
Master_Mapping_Sheet!$H$2:$H$3143=$A9))/sum(filter(
Master_M"&amp;"apping_Sheet!$E$2:$E$3143, ISNUMBER(
Master_Mapping_Sheet!$E$2:$E$3143),
Master_Mapping_Sheet!$H$2:$H$3143=$A9)))"),0.0)</f>
        <v>0</v>
      </c>
      <c r="M9" s="34">
        <f>IFERROR(__xludf.DUMMYFUNCTION("IF(ISNA(sum(filter(
Master_Mapping_Sheet!$E$2:$E$3143, ISNUMBER(
Master_Mapping_Sheet!$E$2:$E$3143),
Master_Mapping_Sheet!$C$2:$C$3143=M$1,
Master_Mapping_Sheet!$H$2:$H$3143=$A9))/sum(filter(
Master_Mapping_Sheet!$E$2:$E$3143, ISNUMBER(
Master_Mapping_She"&amp;"et!$E$2:$E$3143),
Master_Mapping_Sheet!$H$2:$H$3143=$A9))), 0, sum(filter(
Master_Mapping_Sheet!$E$2:$E$3143, ISNUMBER(
Master_Mapping_Sheet!$E$2:$E$3143),
Master_Mapping_Sheet!$C$2:$C$3143=M$1,
Master_Mapping_Sheet!$H$2:$H$3143=$A9))/sum(filter(
Master_M"&amp;"apping_Sheet!$E$2:$E$3143, ISNUMBER(
Master_Mapping_Sheet!$E$2:$E$3143),
Master_Mapping_Sheet!$H$2:$H$3143=$A9)))"),0.0)</f>
        <v>0</v>
      </c>
      <c r="N9" s="34">
        <f>IFERROR(__xludf.DUMMYFUNCTION("IF(ISNA(sum(filter(
Master_Mapping_Sheet!$E$2:$E$3143, ISNUMBER(
Master_Mapping_Sheet!$E$2:$E$3143),
Master_Mapping_Sheet!$C$2:$C$3143=N$1,
Master_Mapping_Sheet!$H$2:$H$3143=$A9))/sum(filter(
Master_Mapping_Sheet!$E$2:$E$3143, ISNUMBER(
Master_Mapping_She"&amp;"et!$E$2:$E$3143),
Master_Mapping_Sheet!$H$2:$H$3143=$A9))), 0, sum(filter(
Master_Mapping_Sheet!$E$2:$E$3143, ISNUMBER(
Master_Mapping_Sheet!$E$2:$E$3143),
Master_Mapping_Sheet!$C$2:$C$3143=N$1,
Master_Mapping_Sheet!$H$2:$H$3143=$A9))/sum(filter(
Master_M"&amp;"apping_Sheet!$E$2:$E$3143, ISNUMBER(
Master_Mapping_Sheet!$E$2:$E$3143),
Master_Mapping_Sheet!$H$2:$H$3143=$A9)))"),0.0)</f>
        <v>0</v>
      </c>
      <c r="O9" s="34">
        <f>IFERROR(__xludf.DUMMYFUNCTION("IF(ISNA(sum(filter(
Master_Mapping_Sheet!$E$2:$E$3143, ISNUMBER(
Master_Mapping_Sheet!$E$2:$E$3143),
Master_Mapping_Sheet!$C$2:$C$3143=O$1,
Master_Mapping_Sheet!$H$2:$H$3143=$A9))/sum(filter(
Master_Mapping_Sheet!$E$2:$E$3143, ISNUMBER(
Master_Mapping_She"&amp;"et!$E$2:$E$3143),
Master_Mapping_Sheet!$H$2:$H$3143=$A9))), 0, sum(filter(
Master_Mapping_Sheet!$E$2:$E$3143, ISNUMBER(
Master_Mapping_Sheet!$E$2:$E$3143),
Master_Mapping_Sheet!$C$2:$C$3143=O$1,
Master_Mapping_Sheet!$H$2:$H$3143=$A9))/sum(filter(
Master_M"&amp;"apping_Sheet!$E$2:$E$3143, ISNUMBER(
Master_Mapping_Sheet!$E$2:$E$3143),
Master_Mapping_Sheet!$H$2:$H$3143=$A9)))"),0.0)</f>
        <v>0</v>
      </c>
      <c r="P9" s="34">
        <f>IFERROR(__xludf.DUMMYFUNCTION("IF(ISNA(sum(filter(
Master_Mapping_Sheet!$E$2:$E$3143, ISNUMBER(
Master_Mapping_Sheet!$E$2:$E$3143),
Master_Mapping_Sheet!$C$2:$C$3143=P$1,
Master_Mapping_Sheet!$H$2:$H$3143=$A9))/sum(filter(
Master_Mapping_Sheet!$E$2:$E$3143, ISNUMBER(
Master_Mapping_She"&amp;"et!$E$2:$E$3143),
Master_Mapping_Sheet!$H$2:$H$3143=$A9))), 0, sum(filter(
Master_Mapping_Sheet!$E$2:$E$3143, ISNUMBER(
Master_Mapping_Sheet!$E$2:$E$3143),
Master_Mapping_Sheet!$C$2:$C$3143=P$1,
Master_Mapping_Sheet!$H$2:$H$3143=$A9))/sum(filter(
Master_M"&amp;"apping_Sheet!$E$2:$E$3143, ISNUMBER(
Master_Mapping_Sheet!$E$2:$E$3143),
Master_Mapping_Sheet!$H$2:$H$3143=$A9)))"),0.0)</f>
        <v>0</v>
      </c>
      <c r="Q9" s="34">
        <f>IFERROR(__xludf.DUMMYFUNCTION("IF(ISNA(sum(filter(
Master_Mapping_Sheet!$E$2:$E$3143, ISNUMBER(
Master_Mapping_Sheet!$E$2:$E$3143),
Master_Mapping_Sheet!$C$2:$C$3143=Q$1,
Master_Mapping_Sheet!$H$2:$H$3143=$A9))/sum(filter(
Master_Mapping_Sheet!$E$2:$E$3143, ISNUMBER(
Master_Mapping_She"&amp;"et!$E$2:$E$3143),
Master_Mapping_Sheet!$H$2:$H$3143=$A9))), 0, sum(filter(
Master_Mapping_Sheet!$E$2:$E$3143, ISNUMBER(
Master_Mapping_Sheet!$E$2:$E$3143),
Master_Mapping_Sheet!$C$2:$C$3143=Q$1,
Master_Mapping_Sheet!$H$2:$H$3143=$A9))/sum(filter(
Master_M"&amp;"apping_Sheet!$E$2:$E$3143, ISNUMBER(
Master_Mapping_Sheet!$E$2:$E$3143),
Master_Mapping_Sheet!$H$2:$H$3143=$A9)))"),0.0)</f>
        <v>0</v>
      </c>
      <c r="R9" s="34">
        <f>IFERROR(__xludf.DUMMYFUNCTION("IF(ISNA(sum(filter(
Master_Mapping_Sheet!$E$2:$E$3143, ISNUMBER(
Master_Mapping_Sheet!$E$2:$E$3143),
Master_Mapping_Sheet!$C$2:$C$3143=R$1,
Master_Mapping_Sheet!$H$2:$H$3143=$A9))/sum(filter(
Master_Mapping_Sheet!$E$2:$E$3143, ISNUMBER(
Master_Mapping_She"&amp;"et!$E$2:$E$3143),
Master_Mapping_Sheet!$H$2:$H$3143=$A9))), 0, sum(filter(
Master_Mapping_Sheet!$E$2:$E$3143, ISNUMBER(
Master_Mapping_Sheet!$E$2:$E$3143),
Master_Mapping_Sheet!$C$2:$C$3143=R$1,
Master_Mapping_Sheet!$H$2:$H$3143=$A9))/sum(filter(
Master_M"&amp;"apping_Sheet!$E$2:$E$3143, ISNUMBER(
Master_Mapping_Sheet!$E$2:$E$3143),
Master_Mapping_Sheet!$H$2:$H$3143=$A9)))"),0.0)</f>
        <v>0</v>
      </c>
      <c r="S9" s="34">
        <f>IFERROR(__xludf.DUMMYFUNCTION("IF(ISNA(sum(filter(
Master_Mapping_Sheet!$E$2:$E$3143, ISNUMBER(
Master_Mapping_Sheet!$E$2:$E$3143),
Master_Mapping_Sheet!$C$2:$C$3143=S$1,
Master_Mapping_Sheet!$H$2:$H$3143=$A9))/sum(filter(
Master_Mapping_Sheet!$E$2:$E$3143, ISNUMBER(
Master_Mapping_She"&amp;"et!$E$2:$E$3143),
Master_Mapping_Sheet!$H$2:$H$3143=$A9))), 0, sum(filter(
Master_Mapping_Sheet!$E$2:$E$3143, ISNUMBER(
Master_Mapping_Sheet!$E$2:$E$3143),
Master_Mapping_Sheet!$C$2:$C$3143=S$1,
Master_Mapping_Sheet!$H$2:$H$3143=$A9))/sum(filter(
Master_M"&amp;"apping_Sheet!$E$2:$E$3143, ISNUMBER(
Master_Mapping_Sheet!$E$2:$E$3143),
Master_Mapping_Sheet!$H$2:$H$3143=$A9)))"),0.0)</f>
        <v>0</v>
      </c>
      <c r="T9" s="34">
        <f>IFERROR(__xludf.DUMMYFUNCTION("IF(ISNA(sum(filter(
Master_Mapping_Sheet!$E$2:$E$3143, ISNUMBER(
Master_Mapping_Sheet!$E$2:$E$3143),
Master_Mapping_Sheet!$C$2:$C$3143=T$1,
Master_Mapping_Sheet!$H$2:$H$3143=$A9))/sum(filter(
Master_Mapping_Sheet!$E$2:$E$3143, ISNUMBER(
Master_Mapping_She"&amp;"et!$E$2:$E$3143),
Master_Mapping_Sheet!$H$2:$H$3143=$A9))), 0, sum(filter(
Master_Mapping_Sheet!$E$2:$E$3143, ISNUMBER(
Master_Mapping_Sheet!$E$2:$E$3143),
Master_Mapping_Sheet!$C$2:$C$3143=T$1,
Master_Mapping_Sheet!$H$2:$H$3143=$A9))/sum(filter(
Master_M"&amp;"apping_Sheet!$E$2:$E$3143, ISNUMBER(
Master_Mapping_Sheet!$E$2:$E$3143),
Master_Mapping_Sheet!$H$2:$H$3143=$A9)))"),0.0)</f>
        <v>0</v>
      </c>
      <c r="U9" s="34">
        <f>IFERROR(__xludf.DUMMYFUNCTION("IF(ISNA(sum(filter(
Master_Mapping_Sheet!$E$2:$E$3143, ISNUMBER(
Master_Mapping_Sheet!$E$2:$E$3143),
Master_Mapping_Sheet!$C$2:$C$3143=U$1,
Master_Mapping_Sheet!$H$2:$H$3143=$A9))/sum(filter(
Master_Mapping_Sheet!$E$2:$E$3143, ISNUMBER(
Master_Mapping_She"&amp;"et!$E$2:$E$3143),
Master_Mapping_Sheet!$H$2:$H$3143=$A9))), 0, sum(filter(
Master_Mapping_Sheet!$E$2:$E$3143, ISNUMBER(
Master_Mapping_Sheet!$E$2:$E$3143),
Master_Mapping_Sheet!$C$2:$C$3143=U$1,
Master_Mapping_Sheet!$H$2:$H$3143=$A9))/sum(filter(
Master_M"&amp;"apping_Sheet!$E$2:$E$3143, ISNUMBER(
Master_Mapping_Sheet!$E$2:$E$3143),
Master_Mapping_Sheet!$H$2:$H$3143=$A9)))"),0.0)</f>
        <v>0</v>
      </c>
      <c r="V9" s="34">
        <f>IFERROR(__xludf.DUMMYFUNCTION("IF(ISNA(sum(filter(
Master_Mapping_Sheet!$E$2:$E$3143, ISNUMBER(
Master_Mapping_Sheet!$E$2:$E$3143),
Master_Mapping_Sheet!$C$2:$C$3143=V$1,
Master_Mapping_Sheet!$H$2:$H$3143=$A9))/sum(filter(
Master_Mapping_Sheet!$E$2:$E$3143, ISNUMBER(
Master_Mapping_She"&amp;"et!$E$2:$E$3143),
Master_Mapping_Sheet!$H$2:$H$3143=$A9))), 0, sum(filter(
Master_Mapping_Sheet!$E$2:$E$3143, ISNUMBER(
Master_Mapping_Sheet!$E$2:$E$3143),
Master_Mapping_Sheet!$C$2:$C$3143=V$1,
Master_Mapping_Sheet!$H$2:$H$3143=$A9))/sum(filter(
Master_M"&amp;"apping_Sheet!$E$2:$E$3143, ISNUMBER(
Master_Mapping_Sheet!$E$2:$E$3143),
Master_Mapping_Sheet!$H$2:$H$3143=$A9)))"),0.0)</f>
        <v>0</v>
      </c>
      <c r="W9" s="34">
        <f>IFERROR(__xludf.DUMMYFUNCTION("IF(ISNA(sum(filter(
Master_Mapping_Sheet!$E$2:$E$3143, ISNUMBER(
Master_Mapping_Sheet!$E$2:$E$3143),
Master_Mapping_Sheet!$C$2:$C$3143=W$1,
Master_Mapping_Sheet!$H$2:$H$3143=$A9))/sum(filter(
Master_Mapping_Sheet!$E$2:$E$3143, ISNUMBER(
Master_Mapping_She"&amp;"et!$E$2:$E$3143),
Master_Mapping_Sheet!$H$2:$H$3143=$A9))), 0, sum(filter(
Master_Mapping_Sheet!$E$2:$E$3143, ISNUMBER(
Master_Mapping_Sheet!$E$2:$E$3143),
Master_Mapping_Sheet!$C$2:$C$3143=W$1,
Master_Mapping_Sheet!$H$2:$H$3143=$A9))/sum(filter(
Master_M"&amp;"apping_Sheet!$E$2:$E$3143, ISNUMBER(
Master_Mapping_Sheet!$E$2:$E$3143),
Master_Mapping_Sheet!$H$2:$H$3143=$A9)))"),0.0)</f>
        <v>0</v>
      </c>
      <c r="X9" s="34">
        <f>IFERROR(__xludf.DUMMYFUNCTION("IF(ISNA(sum(filter(
Master_Mapping_Sheet!$E$2:$E$3143, ISNUMBER(
Master_Mapping_Sheet!$E$2:$E$3143),
Master_Mapping_Sheet!$C$2:$C$3143=X$1,
Master_Mapping_Sheet!$H$2:$H$3143=$A9))/sum(filter(
Master_Mapping_Sheet!$E$2:$E$3143, ISNUMBER(
Master_Mapping_She"&amp;"et!$E$2:$E$3143),
Master_Mapping_Sheet!$H$2:$H$3143=$A9))), 0, sum(filter(
Master_Mapping_Sheet!$E$2:$E$3143, ISNUMBER(
Master_Mapping_Sheet!$E$2:$E$3143),
Master_Mapping_Sheet!$C$2:$C$3143=X$1,
Master_Mapping_Sheet!$H$2:$H$3143=$A9))/sum(filter(
Master_M"&amp;"apping_Sheet!$E$2:$E$3143, ISNUMBER(
Master_Mapping_Sheet!$E$2:$E$3143),
Master_Mapping_Sheet!$H$2:$H$3143=$A9)))"),0.0)</f>
        <v>0</v>
      </c>
      <c r="Y9" s="34">
        <f>IFERROR(__xludf.DUMMYFUNCTION("IF(ISNA(sum(filter(
Master_Mapping_Sheet!$E$2:$E$3143, ISNUMBER(
Master_Mapping_Sheet!$E$2:$E$3143),
Master_Mapping_Sheet!$C$2:$C$3143=Y$1,
Master_Mapping_Sheet!$H$2:$H$3143=$A9))/sum(filter(
Master_Mapping_Sheet!$E$2:$E$3143, ISNUMBER(
Master_Mapping_She"&amp;"et!$E$2:$E$3143),
Master_Mapping_Sheet!$H$2:$H$3143=$A9))), 0, sum(filter(
Master_Mapping_Sheet!$E$2:$E$3143, ISNUMBER(
Master_Mapping_Sheet!$E$2:$E$3143),
Master_Mapping_Sheet!$C$2:$C$3143=Y$1,
Master_Mapping_Sheet!$H$2:$H$3143=$A9))/sum(filter(
Master_M"&amp;"apping_Sheet!$E$2:$E$3143, ISNUMBER(
Master_Mapping_Sheet!$E$2:$E$3143),
Master_Mapping_Sheet!$H$2:$H$3143=$A9)))"),0.0)</f>
        <v>0</v>
      </c>
      <c r="Z9" s="34">
        <f>IFERROR(__xludf.DUMMYFUNCTION("IF(ISNA(sum(filter(
Master_Mapping_Sheet!$E$2:$E$3143, ISNUMBER(
Master_Mapping_Sheet!$E$2:$E$3143),
Master_Mapping_Sheet!$C$2:$C$3143=Z$1,
Master_Mapping_Sheet!$H$2:$H$3143=$A9))/sum(filter(
Master_Mapping_Sheet!$E$2:$E$3143, ISNUMBER(
Master_Mapping_She"&amp;"et!$E$2:$E$3143),
Master_Mapping_Sheet!$H$2:$H$3143=$A9))), 0, sum(filter(
Master_Mapping_Sheet!$E$2:$E$3143, ISNUMBER(
Master_Mapping_Sheet!$E$2:$E$3143),
Master_Mapping_Sheet!$C$2:$C$3143=Z$1,
Master_Mapping_Sheet!$H$2:$H$3143=$A9))/sum(filter(
Master_M"&amp;"apping_Sheet!$E$2:$E$3143, ISNUMBER(
Master_Mapping_Sheet!$E$2:$E$3143),
Master_Mapping_Sheet!$H$2:$H$3143=$A9)))"),0.0)</f>
        <v>0</v>
      </c>
      <c r="AA9" s="34">
        <f>IFERROR(__xludf.DUMMYFUNCTION("IF(ISNA(sum(filter(
Master_Mapping_Sheet!$E$2:$E$3143, ISNUMBER(
Master_Mapping_Sheet!$E$2:$E$3143),
Master_Mapping_Sheet!$C$2:$C$3143=AA$1,
Master_Mapping_Sheet!$H$2:$H$3143=$A9))/sum(filter(
Master_Mapping_Sheet!$E$2:$E$3143, ISNUMBER(
Master_Mapping_Sh"&amp;"eet!$E$2:$E$3143),
Master_Mapping_Sheet!$H$2:$H$3143=$A9))), 0, sum(filter(
Master_Mapping_Sheet!$E$2:$E$3143, ISNUMBER(
Master_Mapping_Sheet!$E$2:$E$3143),
Master_Mapping_Sheet!$C$2:$C$3143=AA$1,
Master_Mapping_Sheet!$H$2:$H$3143=$A9))/sum(filter(
Master"&amp;"_Mapping_Sheet!$E$2:$E$3143, ISNUMBER(
Master_Mapping_Sheet!$E$2:$E$3143),
Master_Mapping_Sheet!$H$2:$H$3143=$A9)))"),0.0)</f>
        <v>0</v>
      </c>
      <c r="AB9" s="34">
        <f>IFERROR(__xludf.DUMMYFUNCTION("IF(ISNA(sum(filter(
Master_Mapping_Sheet!$E$2:$E$3143, ISNUMBER(
Master_Mapping_Sheet!$E$2:$E$3143),
Master_Mapping_Sheet!$C$2:$C$3143=AB$1,
Master_Mapping_Sheet!$H$2:$H$3143=$A9))/sum(filter(
Master_Mapping_Sheet!$E$2:$E$3143, ISNUMBER(
Master_Mapping_Sh"&amp;"eet!$E$2:$E$3143),
Master_Mapping_Sheet!$H$2:$H$3143=$A9))), 0, sum(filter(
Master_Mapping_Sheet!$E$2:$E$3143, ISNUMBER(
Master_Mapping_Sheet!$E$2:$E$3143),
Master_Mapping_Sheet!$C$2:$C$3143=AB$1,
Master_Mapping_Sheet!$H$2:$H$3143=$A9))/sum(filter(
Master"&amp;"_Mapping_Sheet!$E$2:$E$3143, ISNUMBER(
Master_Mapping_Sheet!$E$2:$E$3143),
Master_Mapping_Sheet!$H$2:$H$3143=$A9)))"),0.0)</f>
        <v>0</v>
      </c>
      <c r="AC9" s="34">
        <f>IFERROR(__xludf.DUMMYFUNCTION("IF(ISNA(sum(filter(
Master_Mapping_Sheet!$E$2:$E$3143, ISNUMBER(
Master_Mapping_Sheet!$E$2:$E$3143),
Master_Mapping_Sheet!$C$2:$C$3143=AC$1,
Master_Mapping_Sheet!$H$2:$H$3143=$A9))/sum(filter(
Master_Mapping_Sheet!$E$2:$E$3143, ISNUMBER(
Master_Mapping_Sh"&amp;"eet!$E$2:$E$3143),
Master_Mapping_Sheet!$H$2:$H$3143=$A9))), 0, sum(filter(
Master_Mapping_Sheet!$E$2:$E$3143, ISNUMBER(
Master_Mapping_Sheet!$E$2:$E$3143),
Master_Mapping_Sheet!$C$2:$C$3143=AC$1,
Master_Mapping_Sheet!$H$2:$H$3143=$A9))/sum(filter(
Master"&amp;"_Mapping_Sheet!$E$2:$E$3143, ISNUMBER(
Master_Mapping_Sheet!$E$2:$E$3143),
Master_Mapping_Sheet!$H$2:$H$3143=$A9)))"),0.0)</f>
        <v>0</v>
      </c>
      <c r="AD9" s="34">
        <f>IFERROR(__xludf.DUMMYFUNCTION("IF(ISNA(sum(filter(
Master_Mapping_Sheet!$E$2:$E$3143, ISNUMBER(
Master_Mapping_Sheet!$E$2:$E$3143),
Master_Mapping_Sheet!$C$2:$C$3143=AD$1,
Master_Mapping_Sheet!$H$2:$H$3143=$A9))/sum(filter(
Master_Mapping_Sheet!$E$2:$E$3143, ISNUMBER(
Master_Mapping_Sh"&amp;"eet!$E$2:$E$3143),
Master_Mapping_Sheet!$H$2:$H$3143=$A9))), 0, sum(filter(
Master_Mapping_Sheet!$E$2:$E$3143, ISNUMBER(
Master_Mapping_Sheet!$E$2:$E$3143),
Master_Mapping_Sheet!$C$2:$C$3143=AD$1,
Master_Mapping_Sheet!$H$2:$H$3143=$A9))/sum(filter(
Master"&amp;"_Mapping_Sheet!$E$2:$E$3143, ISNUMBER(
Master_Mapping_Sheet!$E$2:$E$3143),
Master_Mapping_Sheet!$H$2:$H$3143=$A9)))"),0.0)</f>
        <v>0</v>
      </c>
      <c r="AE9" s="34">
        <f>IFERROR(__xludf.DUMMYFUNCTION("IF(ISNA(sum(filter(
Master_Mapping_Sheet!$E$2:$E$3143, ISNUMBER(
Master_Mapping_Sheet!$E$2:$E$3143),
Master_Mapping_Sheet!$C$2:$C$3143=AE$1,
Master_Mapping_Sheet!$H$2:$H$3143=$A9))/sum(filter(
Master_Mapping_Sheet!$E$2:$E$3143, ISNUMBER(
Master_Mapping_Sh"&amp;"eet!$E$2:$E$3143),
Master_Mapping_Sheet!$H$2:$H$3143=$A9))), 0, sum(filter(
Master_Mapping_Sheet!$E$2:$E$3143, ISNUMBER(
Master_Mapping_Sheet!$E$2:$E$3143),
Master_Mapping_Sheet!$C$2:$C$3143=AE$1,
Master_Mapping_Sheet!$H$2:$H$3143=$A9))/sum(filter(
Master"&amp;"_Mapping_Sheet!$E$2:$E$3143, ISNUMBER(
Master_Mapping_Sheet!$E$2:$E$3143),
Master_Mapping_Sheet!$H$2:$H$3143=$A9)))"),0.0)</f>
        <v>0</v>
      </c>
      <c r="AF9" s="34">
        <f>IFERROR(__xludf.DUMMYFUNCTION("IF(ISNA(sum(filter(
Master_Mapping_Sheet!$E$2:$E$3143, ISNUMBER(
Master_Mapping_Sheet!$E$2:$E$3143),
Master_Mapping_Sheet!$C$2:$C$3143=AF$1,
Master_Mapping_Sheet!$H$2:$H$3143=$A9))/sum(filter(
Master_Mapping_Sheet!$E$2:$E$3143, ISNUMBER(
Master_Mapping_Sh"&amp;"eet!$E$2:$E$3143),
Master_Mapping_Sheet!$H$2:$H$3143=$A9))), 0, sum(filter(
Master_Mapping_Sheet!$E$2:$E$3143, ISNUMBER(
Master_Mapping_Sheet!$E$2:$E$3143),
Master_Mapping_Sheet!$C$2:$C$3143=AF$1,
Master_Mapping_Sheet!$H$2:$H$3143=$A9))/sum(filter(
Master"&amp;"_Mapping_Sheet!$E$2:$E$3143, ISNUMBER(
Master_Mapping_Sheet!$E$2:$E$3143),
Master_Mapping_Sheet!$H$2:$H$3143=$A9)))"),0.0)</f>
        <v>0</v>
      </c>
      <c r="AG9" s="34">
        <f>IFERROR(__xludf.DUMMYFUNCTION("IF(ISNA(sum(filter(
Master_Mapping_Sheet!$E$2:$E$3143, ISNUMBER(
Master_Mapping_Sheet!$E$2:$E$3143),
Master_Mapping_Sheet!$C$2:$C$3143=AG$1,
Master_Mapping_Sheet!$H$2:$H$3143=$A9))/sum(filter(
Master_Mapping_Sheet!$E$2:$E$3143, ISNUMBER(
Master_Mapping_Sh"&amp;"eet!$E$2:$E$3143),
Master_Mapping_Sheet!$H$2:$H$3143=$A9))), 0, sum(filter(
Master_Mapping_Sheet!$E$2:$E$3143, ISNUMBER(
Master_Mapping_Sheet!$E$2:$E$3143),
Master_Mapping_Sheet!$C$2:$C$3143=AG$1,
Master_Mapping_Sheet!$H$2:$H$3143=$A9))/sum(filter(
Master"&amp;"_Mapping_Sheet!$E$2:$E$3143, ISNUMBER(
Master_Mapping_Sheet!$E$2:$E$3143),
Master_Mapping_Sheet!$H$2:$H$3143=$A9)))"),0.0)</f>
        <v>0</v>
      </c>
      <c r="AH9" s="34">
        <f>IFERROR(__xludf.DUMMYFUNCTION("IF(ISNA(sum(filter(
Master_Mapping_Sheet!$E$2:$E$3143, ISNUMBER(
Master_Mapping_Sheet!$E$2:$E$3143),
Master_Mapping_Sheet!$C$2:$C$3143=AH$1,
Master_Mapping_Sheet!$H$2:$H$3143=$A9))/sum(filter(
Master_Mapping_Sheet!$E$2:$E$3143, ISNUMBER(
Master_Mapping_Sh"&amp;"eet!$E$2:$E$3143),
Master_Mapping_Sheet!$H$2:$H$3143=$A9))), 0, sum(filter(
Master_Mapping_Sheet!$E$2:$E$3143, ISNUMBER(
Master_Mapping_Sheet!$E$2:$E$3143),
Master_Mapping_Sheet!$C$2:$C$3143=AH$1,
Master_Mapping_Sheet!$H$2:$H$3143=$A9))/sum(filter(
Master"&amp;"_Mapping_Sheet!$E$2:$E$3143, ISNUMBER(
Master_Mapping_Sheet!$E$2:$E$3143),
Master_Mapping_Sheet!$H$2:$H$3143=$A9)))"),1.0)</f>
        <v>1</v>
      </c>
      <c r="AI9" s="34">
        <f>IFERROR(__xludf.DUMMYFUNCTION("IF(ISNA(sum(filter(
Master_Mapping_Sheet!$E$2:$E$3143, ISNUMBER(
Master_Mapping_Sheet!$E$2:$E$3143),
Master_Mapping_Sheet!$C$2:$C$3143=AI$1,
Master_Mapping_Sheet!$H$2:$H$3143=$A9))/sum(filter(
Master_Mapping_Sheet!$E$2:$E$3143, ISNUMBER(
Master_Mapping_Sh"&amp;"eet!$E$2:$E$3143),
Master_Mapping_Sheet!$H$2:$H$3143=$A9))), 0, sum(filter(
Master_Mapping_Sheet!$E$2:$E$3143, ISNUMBER(
Master_Mapping_Sheet!$E$2:$E$3143),
Master_Mapping_Sheet!$C$2:$C$3143=AI$1,
Master_Mapping_Sheet!$H$2:$H$3143=$A9))/sum(filter(
Master"&amp;"_Mapping_Sheet!$E$2:$E$3143, ISNUMBER(
Master_Mapping_Sheet!$E$2:$E$3143),
Master_Mapping_Sheet!$H$2:$H$3143=$A9)))"),0.0)</f>
        <v>0</v>
      </c>
      <c r="AJ9" s="34">
        <f>IFERROR(__xludf.DUMMYFUNCTION("IF(ISNA(sum(filter(
Master_Mapping_Sheet!$E$2:$E$3143, ISNUMBER(
Master_Mapping_Sheet!$E$2:$E$3143),
Master_Mapping_Sheet!$C$2:$C$3143=AJ$1,
Master_Mapping_Sheet!$H$2:$H$3143=$A9))/sum(filter(
Master_Mapping_Sheet!$E$2:$E$3143, ISNUMBER(
Master_Mapping_Sh"&amp;"eet!$E$2:$E$3143),
Master_Mapping_Sheet!$H$2:$H$3143=$A9))), 0, sum(filter(
Master_Mapping_Sheet!$E$2:$E$3143, ISNUMBER(
Master_Mapping_Sheet!$E$2:$E$3143),
Master_Mapping_Sheet!$C$2:$C$3143=AJ$1,
Master_Mapping_Sheet!$H$2:$H$3143=$A9))/sum(filter(
Master"&amp;"_Mapping_Sheet!$E$2:$E$3143, ISNUMBER(
Master_Mapping_Sheet!$E$2:$E$3143),
Master_Mapping_Sheet!$H$2:$H$3143=$A9)))"),0.0)</f>
        <v>0</v>
      </c>
      <c r="AK9" s="34">
        <f>IFERROR(__xludf.DUMMYFUNCTION("IF(ISNA(sum(filter(
Master_Mapping_Sheet!$E$2:$E$3143, ISNUMBER(
Master_Mapping_Sheet!$E$2:$E$3143),
Master_Mapping_Sheet!$C$2:$C$3143=AK$1,
Master_Mapping_Sheet!$H$2:$H$3143=$A9))/sum(filter(
Master_Mapping_Sheet!$E$2:$E$3143, ISNUMBER(
Master_Mapping_Sh"&amp;"eet!$E$2:$E$3143),
Master_Mapping_Sheet!$H$2:$H$3143=$A9))), 0, sum(filter(
Master_Mapping_Sheet!$E$2:$E$3143, ISNUMBER(
Master_Mapping_Sheet!$E$2:$E$3143),
Master_Mapping_Sheet!$C$2:$C$3143=AK$1,
Master_Mapping_Sheet!$H$2:$H$3143=$A9))/sum(filter(
Master"&amp;"_Mapping_Sheet!$E$2:$E$3143, ISNUMBER(
Master_Mapping_Sheet!$E$2:$E$3143),
Master_Mapping_Sheet!$H$2:$H$3143=$A9)))"),0.0)</f>
        <v>0</v>
      </c>
      <c r="AL9" s="34">
        <f>IFERROR(__xludf.DUMMYFUNCTION("IF(ISNA(sum(filter(
Master_Mapping_Sheet!$E$2:$E$3143, ISNUMBER(
Master_Mapping_Sheet!$E$2:$E$3143),
Master_Mapping_Sheet!$C$2:$C$3143=AL$1,
Master_Mapping_Sheet!$H$2:$H$3143=$A9))/sum(filter(
Master_Mapping_Sheet!$E$2:$E$3143, ISNUMBER(
Master_Mapping_Sh"&amp;"eet!$E$2:$E$3143),
Master_Mapping_Sheet!$H$2:$H$3143=$A9))), 0, sum(filter(
Master_Mapping_Sheet!$E$2:$E$3143, ISNUMBER(
Master_Mapping_Sheet!$E$2:$E$3143),
Master_Mapping_Sheet!$C$2:$C$3143=AL$1,
Master_Mapping_Sheet!$H$2:$H$3143=$A9))/sum(filter(
Master"&amp;"_Mapping_Sheet!$E$2:$E$3143, ISNUMBER(
Master_Mapping_Sheet!$E$2:$E$3143),
Master_Mapping_Sheet!$H$2:$H$3143=$A9)))"),0.0)</f>
        <v>0</v>
      </c>
      <c r="AM9" s="34">
        <f>IFERROR(__xludf.DUMMYFUNCTION("IF(ISNA(sum(filter(
Master_Mapping_Sheet!$E$2:$E$3143, ISNUMBER(
Master_Mapping_Sheet!$E$2:$E$3143),
Master_Mapping_Sheet!$C$2:$C$3143=AM$1,
Master_Mapping_Sheet!$H$2:$H$3143=$A9))/sum(filter(
Master_Mapping_Sheet!$E$2:$E$3143, ISNUMBER(
Master_Mapping_Sh"&amp;"eet!$E$2:$E$3143),
Master_Mapping_Sheet!$H$2:$H$3143=$A9))), 0, sum(filter(
Master_Mapping_Sheet!$E$2:$E$3143, ISNUMBER(
Master_Mapping_Sheet!$E$2:$E$3143),
Master_Mapping_Sheet!$C$2:$C$3143=AM$1,
Master_Mapping_Sheet!$H$2:$H$3143=$A9))/sum(filter(
Master"&amp;"_Mapping_Sheet!$E$2:$E$3143, ISNUMBER(
Master_Mapping_Sheet!$E$2:$E$3143),
Master_Mapping_Sheet!$H$2:$H$3143=$A9)))"),0.0)</f>
        <v>0</v>
      </c>
      <c r="AN9" s="34">
        <f>IFERROR(__xludf.DUMMYFUNCTION("IF(ISNA(sum(filter(
Master_Mapping_Sheet!$E$2:$E$3143, ISNUMBER(
Master_Mapping_Sheet!$E$2:$E$3143),
Master_Mapping_Sheet!$C$2:$C$3143=AN$1,
Master_Mapping_Sheet!$H$2:$H$3143=$A9))/sum(filter(
Master_Mapping_Sheet!$E$2:$E$3143, ISNUMBER(
Master_Mapping_Sh"&amp;"eet!$E$2:$E$3143),
Master_Mapping_Sheet!$H$2:$H$3143=$A9))), 0, sum(filter(
Master_Mapping_Sheet!$E$2:$E$3143, ISNUMBER(
Master_Mapping_Sheet!$E$2:$E$3143),
Master_Mapping_Sheet!$C$2:$C$3143=AN$1,
Master_Mapping_Sheet!$H$2:$H$3143=$A9))/sum(filter(
Master"&amp;"_Mapping_Sheet!$E$2:$E$3143, ISNUMBER(
Master_Mapping_Sheet!$E$2:$E$3143),
Master_Mapping_Sheet!$H$2:$H$3143=$A9)))"),0.0)</f>
        <v>0</v>
      </c>
      <c r="AO9" s="34">
        <f>IFERROR(__xludf.DUMMYFUNCTION("IF(ISNA(sum(filter(
Master_Mapping_Sheet!$E$2:$E$3143, ISNUMBER(
Master_Mapping_Sheet!$E$2:$E$3143),
Master_Mapping_Sheet!$C$2:$C$3143=AO$1,
Master_Mapping_Sheet!$H$2:$H$3143=$A9))/sum(filter(
Master_Mapping_Sheet!$E$2:$E$3143, ISNUMBER(
Master_Mapping_Sh"&amp;"eet!$E$2:$E$3143),
Master_Mapping_Sheet!$H$2:$H$3143=$A9))), 0, sum(filter(
Master_Mapping_Sheet!$E$2:$E$3143, ISNUMBER(
Master_Mapping_Sheet!$E$2:$E$3143),
Master_Mapping_Sheet!$C$2:$C$3143=AO$1,
Master_Mapping_Sheet!$H$2:$H$3143=$A9))/sum(filter(
Master"&amp;"_Mapping_Sheet!$E$2:$E$3143, ISNUMBER(
Master_Mapping_Sheet!$E$2:$E$3143),
Master_Mapping_Sheet!$H$2:$H$3143=$A9)))"),0.0)</f>
        <v>0</v>
      </c>
      <c r="AP9" s="34">
        <f>IFERROR(__xludf.DUMMYFUNCTION("IF(ISNA(sum(filter(
Master_Mapping_Sheet!$E$2:$E$3143, ISNUMBER(
Master_Mapping_Sheet!$E$2:$E$3143),
Master_Mapping_Sheet!$C$2:$C$3143=AP$1,
Master_Mapping_Sheet!$H$2:$H$3143=$A9))/sum(filter(
Master_Mapping_Sheet!$E$2:$E$3143, ISNUMBER(
Master_Mapping_Sh"&amp;"eet!$E$2:$E$3143),
Master_Mapping_Sheet!$H$2:$H$3143=$A9))), 0, sum(filter(
Master_Mapping_Sheet!$E$2:$E$3143, ISNUMBER(
Master_Mapping_Sheet!$E$2:$E$3143),
Master_Mapping_Sheet!$C$2:$C$3143=AP$1,
Master_Mapping_Sheet!$H$2:$H$3143=$A9))/sum(filter(
Master"&amp;"_Mapping_Sheet!$E$2:$E$3143, ISNUMBER(
Master_Mapping_Sheet!$E$2:$E$3143),
Master_Mapping_Sheet!$H$2:$H$3143=$A9)))"),0.0)</f>
        <v>0</v>
      </c>
      <c r="AQ9" s="34">
        <f>IFERROR(__xludf.DUMMYFUNCTION("IF(ISNA(sum(filter(
Master_Mapping_Sheet!$E$2:$E$3143, ISNUMBER(
Master_Mapping_Sheet!$E$2:$E$3143),
Master_Mapping_Sheet!$C$2:$C$3143=AQ$1,
Master_Mapping_Sheet!$H$2:$H$3143=$A9))/sum(filter(
Master_Mapping_Sheet!$E$2:$E$3143, ISNUMBER(
Master_Mapping_Sh"&amp;"eet!$E$2:$E$3143),
Master_Mapping_Sheet!$H$2:$H$3143=$A9))), 0, sum(filter(
Master_Mapping_Sheet!$E$2:$E$3143, ISNUMBER(
Master_Mapping_Sheet!$E$2:$E$3143),
Master_Mapping_Sheet!$C$2:$C$3143=AQ$1,
Master_Mapping_Sheet!$H$2:$H$3143=$A9))/sum(filter(
Master"&amp;"_Mapping_Sheet!$E$2:$E$3143, ISNUMBER(
Master_Mapping_Sheet!$E$2:$E$3143),
Master_Mapping_Sheet!$H$2:$H$3143=$A9)))"),0.0)</f>
        <v>0</v>
      </c>
      <c r="AR9" s="34">
        <f>IFERROR(__xludf.DUMMYFUNCTION("IF(ISNA(sum(filter(
Master_Mapping_Sheet!$E$2:$E$3143, ISNUMBER(
Master_Mapping_Sheet!$E$2:$E$3143),
Master_Mapping_Sheet!$C$2:$C$3143=AR$1,
Master_Mapping_Sheet!$H$2:$H$3143=$A9))/sum(filter(
Master_Mapping_Sheet!$E$2:$E$3143, ISNUMBER(
Master_Mapping_Sh"&amp;"eet!$E$2:$E$3143),
Master_Mapping_Sheet!$H$2:$H$3143=$A9))), 0, sum(filter(
Master_Mapping_Sheet!$E$2:$E$3143, ISNUMBER(
Master_Mapping_Sheet!$E$2:$E$3143),
Master_Mapping_Sheet!$C$2:$C$3143=AR$1,
Master_Mapping_Sheet!$H$2:$H$3143=$A9))/sum(filter(
Master"&amp;"_Mapping_Sheet!$E$2:$E$3143, ISNUMBER(
Master_Mapping_Sheet!$E$2:$E$3143),
Master_Mapping_Sheet!$H$2:$H$3143=$A9)))"),0.0)</f>
        <v>0</v>
      </c>
      <c r="AS9" s="34">
        <f>IFERROR(__xludf.DUMMYFUNCTION("IF(ISNA(sum(filter(
Master_Mapping_Sheet!$E$2:$E$3143, ISNUMBER(
Master_Mapping_Sheet!$E$2:$E$3143),
Master_Mapping_Sheet!$C$2:$C$3143=AS$1,
Master_Mapping_Sheet!$H$2:$H$3143=$A9))/sum(filter(
Master_Mapping_Sheet!$E$2:$E$3143, ISNUMBER(
Master_Mapping_Sh"&amp;"eet!$E$2:$E$3143),
Master_Mapping_Sheet!$H$2:$H$3143=$A9))), 0, sum(filter(
Master_Mapping_Sheet!$E$2:$E$3143, ISNUMBER(
Master_Mapping_Sheet!$E$2:$E$3143),
Master_Mapping_Sheet!$C$2:$C$3143=AS$1,
Master_Mapping_Sheet!$H$2:$H$3143=$A9))/sum(filter(
Master"&amp;"_Mapping_Sheet!$E$2:$E$3143, ISNUMBER(
Master_Mapping_Sheet!$E$2:$E$3143),
Master_Mapping_Sheet!$H$2:$H$3143=$A9)))"),0.0)</f>
        <v>0</v>
      </c>
      <c r="AT9" s="34">
        <f>IFERROR(__xludf.DUMMYFUNCTION("IF(ISNA(sum(filter(
Master_Mapping_Sheet!$E$2:$E$3143, ISNUMBER(
Master_Mapping_Sheet!$E$2:$E$3143),
Master_Mapping_Sheet!$C$2:$C$3143=AT$1,
Master_Mapping_Sheet!$H$2:$H$3143=$A9))/sum(filter(
Master_Mapping_Sheet!$E$2:$E$3143, ISNUMBER(
Master_Mapping_Sh"&amp;"eet!$E$2:$E$3143),
Master_Mapping_Sheet!$H$2:$H$3143=$A9))), 0, sum(filter(
Master_Mapping_Sheet!$E$2:$E$3143, ISNUMBER(
Master_Mapping_Sheet!$E$2:$E$3143),
Master_Mapping_Sheet!$C$2:$C$3143=AT$1,
Master_Mapping_Sheet!$H$2:$H$3143=$A9))/sum(filter(
Master"&amp;"_Mapping_Sheet!$E$2:$E$3143, ISNUMBER(
Master_Mapping_Sheet!$E$2:$E$3143),
Master_Mapping_Sheet!$H$2:$H$3143=$A9)))"),0.0)</f>
        <v>0</v>
      </c>
      <c r="AU9" s="34">
        <f>IFERROR(__xludf.DUMMYFUNCTION("IF(ISNA(sum(filter(
Master_Mapping_Sheet!$E$2:$E$3143, ISNUMBER(
Master_Mapping_Sheet!$E$2:$E$3143),
Master_Mapping_Sheet!$C$2:$C$3143=AU$1,
Master_Mapping_Sheet!$H$2:$H$3143=$A9))/sum(filter(
Master_Mapping_Sheet!$E$2:$E$3143, ISNUMBER(
Master_Mapping_Sh"&amp;"eet!$E$2:$E$3143),
Master_Mapping_Sheet!$H$2:$H$3143=$A9))), 0, sum(filter(
Master_Mapping_Sheet!$E$2:$E$3143, ISNUMBER(
Master_Mapping_Sheet!$E$2:$E$3143),
Master_Mapping_Sheet!$C$2:$C$3143=AU$1,
Master_Mapping_Sheet!$H$2:$H$3143=$A9))/sum(filter(
Master"&amp;"_Mapping_Sheet!$E$2:$E$3143, ISNUMBER(
Master_Mapping_Sheet!$E$2:$E$3143),
Master_Mapping_Sheet!$H$2:$H$3143=$A9)))"),0.0)</f>
        <v>0</v>
      </c>
      <c r="AV9" s="34">
        <f>IFERROR(__xludf.DUMMYFUNCTION("IF(ISNA(sum(filter(
Master_Mapping_Sheet!$E$2:$E$3143, ISNUMBER(
Master_Mapping_Sheet!$E$2:$E$3143),
Master_Mapping_Sheet!$C$2:$C$3143=AV$1,
Master_Mapping_Sheet!$H$2:$H$3143=$A9))/sum(filter(
Master_Mapping_Sheet!$E$2:$E$3143, ISNUMBER(
Master_Mapping_Sh"&amp;"eet!$E$2:$E$3143),
Master_Mapping_Sheet!$H$2:$H$3143=$A9))), 0, sum(filter(
Master_Mapping_Sheet!$E$2:$E$3143, ISNUMBER(
Master_Mapping_Sheet!$E$2:$E$3143),
Master_Mapping_Sheet!$C$2:$C$3143=AV$1,
Master_Mapping_Sheet!$H$2:$H$3143=$A9))/sum(filter(
Master"&amp;"_Mapping_Sheet!$E$2:$E$3143, ISNUMBER(
Master_Mapping_Sheet!$E$2:$E$3143),
Master_Mapping_Sheet!$H$2:$H$3143=$A9)))"),0.0)</f>
        <v>0</v>
      </c>
      <c r="AW9" s="34">
        <f>IFERROR(__xludf.DUMMYFUNCTION("IF(ISNA(sum(filter(
Master_Mapping_Sheet!$E$2:$E$3143, ISNUMBER(
Master_Mapping_Sheet!$E$2:$E$3143),
Master_Mapping_Sheet!$C$2:$C$3143=AW$1,
Master_Mapping_Sheet!$H$2:$H$3143=$A9))/sum(filter(
Master_Mapping_Sheet!$E$2:$E$3143, ISNUMBER(
Master_Mapping_Sh"&amp;"eet!$E$2:$E$3143),
Master_Mapping_Sheet!$H$2:$H$3143=$A9))), 0, sum(filter(
Master_Mapping_Sheet!$E$2:$E$3143, ISNUMBER(
Master_Mapping_Sheet!$E$2:$E$3143),
Master_Mapping_Sheet!$C$2:$C$3143=AW$1,
Master_Mapping_Sheet!$H$2:$H$3143=$A9))/sum(filter(
Master"&amp;"_Mapping_Sheet!$E$2:$E$3143, ISNUMBER(
Master_Mapping_Sheet!$E$2:$E$3143),
Master_Mapping_Sheet!$H$2:$H$3143=$A9)))"),0.0)</f>
        <v>0</v>
      </c>
      <c r="AX9" s="34">
        <f>IFERROR(__xludf.DUMMYFUNCTION("IF(ISNA(sum(filter(
Master_Mapping_Sheet!$E$2:$E$3143, ISNUMBER(
Master_Mapping_Sheet!$E$2:$E$3143),
Master_Mapping_Sheet!$C$2:$C$3143=AX$1,
Master_Mapping_Sheet!$H$2:$H$3143=$A9))/sum(filter(
Master_Mapping_Sheet!$E$2:$E$3143, ISNUMBER(
Master_Mapping_Sh"&amp;"eet!$E$2:$E$3143),
Master_Mapping_Sheet!$H$2:$H$3143=$A9))), 0, sum(filter(
Master_Mapping_Sheet!$E$2:$E$3143, ISNUMBER(
Master_Mapping_Sheet!$E$2:$E$3143),
Master_Mapping_Sheet!$C$2:$C$3143=AX$1,
Master_Mapping_Sheet!$H$2:$H$3143=$A9))/sum(filter(
Master"&amp;"_Mapping_Sheet!$E$2:$E$3143, ISNUMBER(
Master_Mapping_Sheet!$E$2:$E$3143),
Master_Mapping_Sheet!$H$2:$H$3143=$A9)))"),0.0)</f>
        <v>0</v>
      </c>
      <c r="AY9" s="34">
        <f>IFERROR(__xludf.DUMMYFUNCTION("IF(ISNA(sum(filter(
Master_Mapping_Sheet!$E$2:$E$3143, ISNUMBER(
Master_Mapping_Sheet!$E$2:$E$3143),
Master_Mapping_Sheet!$C$2:$C$3143=AY$1,
Master_Mapping_Sheet!$H$2:$H$3143=$A9))/sum(filter(
Master_Mapping_Sheet!$E$2:$E$3143, ISNUMBER(
Master_Mapping_Sh"&amp;"eet!$E$2:$E$3143),
Master_Mapping_Sheet!$H$2:$H$3143=$A9))), 0, sum(filter(
Master_Mapping_Sheet!$E$2:$E$3143, ISNUMBER(
Master_Mapping_Sheet!$E$2:$E$3143),
Master_Mapping_Sheet!$C$2:$C$3143=AY$1,
Master_Mapping_Sheet!$H$2:$H$3143=$A9))/sum(filter(
Master"&amp;"_Mapping_Sheet!$E$2:$E$3143, ISNUMBER(
Master_Mapping_Sheet!$E$2:$E$3143),
Master_Mapping_Sheet!$H$2:$H$3143=$A9)))"),0.0)</f>
        <v>0</v>
      </c>
      <c r="AZ9" s="34">
        <f>IFERROR(__xludf.DUMMYFUNCTION("IF(ISNA(sum(filter(
Master_Mapping_Sheet!$E$2:$E$3143, ISNUMBER(
Master_Mapping_Sheet!$E$2:$E$3143),
Master_Mapping_Sheet!$C$2:$C$3143=AZ$1,
Master_Mapping_Sheet!$H$2:$H$3143=$A9))/sum(filter(
Master_Mapping_Sheet!$E$2:$E$3143, ISNUMBER(
Master_Mapping_Sh"&amp;"eet!$E$2:$E$3143),
Master_Mapping_Sheet!$H$2:$H$3143=$A9))), 0, sum(filter(
Master_Mapping_Sheet!$E$2:$E$3143, ISNUMBER(
Master_Mapping_Sheet!$E$2:$E$3143),
Master_Mapping_Sheet!$C$2:$C$3143=AZ$1,
Master_Mapping_Sheet!$H$2:$H$3143=$A9))/sum(filter(
Master"&amp;"_Mapping_Sheet!$E$2:$E$3143, ISNUMBER(
Master_Mapping_Sheet!$E$2:$E$3143),
Master_Mapping_Sheet!$H$2:$H$3143=$A9)))"),0.0)</f>
        <v>0</v>
      </c>
    </row>
    <row r="10" ht="15.75" customHeight="1">
      <c r="A10" s="34" t="s">
        <v>4005</v>
      </c>
      <c r="B10" s="34">
        <f>IFERROR(__xludf.DUMMYFUNCTION("IF(ISNA(sum(filter(
Master_Mapping_Sheet!$E$2:$E$3143, ISNUMBER(
Master_Mapping_Sheet!$E$2:$E$3143),
Master_Mapping_Sheet!$C$2:$C$3143=B$1,
Master_Mapping_Sheet!$H$2:$H$3143=$A10))/sum(filter(
Master_Mapping_Sheet!$E$2:$E$3143, ISNUMBER(
Master_Mapping_Sh"&amp;"eet!$E$2:$E$3143),
Master_Mapping_Sheet!$H$2:$H$3143=$A10))), 0, sum(filter(
Master_Mapping_Sheet!$E$2:$E$3143, ISNUMBER(
Master_Mapping_Sheet!$E$2:$E$3143),
Master_Mapping_Sheet!$C$2:$C$3143=B$1,
Master_Mapping_Sheet!$H$2:$H$3143=$A10))/sum(filter(
Maste"&amp;"r_Mapping_Sheet!$E$2:$E$3143, ISNUMBER(
Master_Mapping_Sheet!$E$2:$E$3143),
Master_Mapping_Sheet!$H$2:$H$3143=$A10)))"),0.0)</f>
        <v>0</v>
      </c>
      <c r="C10" s="34">
        <f>IFERROR(__xludf.DUMMYFUNCTION("IF(ISNA(sum(filter(
Master_Mapping_Sheet!$E$2:$E$3143, ISNUMBER(
Master_Mapping_Sheet!$E$2:$E$3143),
Master_Mapping_Sheet!$C$2:$C$3143=C$1,
Master_Mapping_Sheet!$H$2:$H$3143=$A10))/sum(filter(
Master_Mapping_Sheet!$E$2:$E$3143, ISNUMBER(
Master_Mapping_Sh"&amp;"eet!$E$2:$E$3143),
Master_Mapping_Sheet!$H$2:$H$3143=$A10))), 0, sum(filter(
Master_Mapping_Sheet!$E$2:$E$3143, ISNUMBER(
Master_Mapping_Sheet!$E$2:$E$3143),
Master_Mapping_Sheet!$C$2:$C$3143=C$1,
Master_Mapping_Sheet!$H$2:$H$3143=$A10))/sum(filter(
Maste"&amp;"r_Mapping_Sheet!$E$2:$E$3143, ISNUMBER(
Master_Mapping_Sheet!$E$2:$E$3143),
Master_Mapping_Sheet!$H$2:$H$3143=$A10)))"),0.0)</f>
        <v>0</v>
      </c>
      <c r="D10" s="34">
        <f>IFERROR(__xludf.DUMMYFUNCTION("IF(ISNA(sum(filter(
Master_Mapping_Sheet!$E$2:$E$3143, ISNUMBER(
Master_Mapping_Sheet!$E$2:$E$3143),
Master_Mapping_Sheet!$C$2:$C$3143=D$1,
Master_Mapping_Sheet!$H$2:$H$3143=$A10))/sum(filter(
Master_Mapping_Sheet!$E$2:$E$3143, ISNUMBER(
Master_Mapping_Sh"&amp;"eet!$E$2:$E$3143),
Master_Mapping_Sheet!$H$2:$H$3143=$A10))), 0, sum(filter(
Master_Mapping_Sheet!$E$2:$E$3143, ISNUMBER(
Master_Mapping_Sheet!$E$2:$E$3143),
Master_Mapping_Sheet!$C$2:$C$3143=D$1,
Master_Mapping_Sheet!$H$2:$H$3143=$A10))/sum(filter(
Maste"&amp;"r_Mapping_Sheet!$E$2:$E$3143, ISNUMBER(
Master_Mapping_Sheet!$E$2:$E$3143),
Master_Mapping_Sheet!$H$2:$H$3143=$A10)))"),0.0)</f>
        <v>0</v>
      </c>
      <c r="E10" s="34">
        <f>IFERROR(__xludf.DUMMYFUNCTION("IF(ISNA(sum(filter(
Master_Mapping_Sheet!$E$2:$E$3143, ISNUMBER(
Master_Mapping_Sheet!$E$2:$E$3143),
Master_Mapping_Sheet!$C$2:$C$3143=E$1,
Master_Mapping_Sheet!$H$2:$H$3143=$A10))/sum(filter(
Master_Mapping_Sheet!$E$2:$E$3143, ISNUMBER(
Master_Mapping_Sh"&amp;"eet!$E$2:$E$3143),
Master_Mapping_Sheet!$H$2:$H$3143=$A10))), 0, sum(filter(
Master_Mapping_Sheet!$E$2:$E$3143, ISNUMBER(
Master_Mapping_Sheet!$E$2:$E$3143),
Master_Mapping_Sheet!$C$2:$C$3143=E$1,
Master_Mapping_Sheet!$H$2:$H$3143=$A10))/sum(filter(
Maste"&amp;"r_Mapping_Sheet!$E$2:$E$3143, ISNUMBER(
Master_Mapping_Sheet!$E$2:$E$3143),
Master_Mapping_Sheet!$H$2:$H$3143=$A10)))"),0.0)</f>
        <v>0</v>
      </c>
      <c r="F10" s="34">
        <f>IFERROR(__xludf.DUMMYFUNCTION("IF(ISNA(sum(filter(
Master_Mapping_Sheet!$E$2:$E$3143, ISNUMBER(
Master_Mapping_Sheet!$E$2:$E$3143),
Master_Mapping_Sheet!$C$2:$C$3143=F$1,
Master_Mapping_Sheet!$H$2:$H$3143=$A10))/sum(filter(
Master_Mapping_Sheet!$E$2:$E$3143, ISNUMBER(
Master_Mapping_Sh"&amp;"eet!$E$2:$E$3143),
Master_Mapping_Sheet!$H$2:$H$3143=$A10))), 0, sum(filter(
Master_Mapping_Sheet!$E$2:$E$3143, ISNUMBER(
Master_Mapping_Sheet!$E$2:$E$3143),
Master_Mapping_Sheet!$C$2:$C$3143=F$1,
Master_Mapping_Sheet!$H$2:$H$3143=$A10))/sum(filter(
Maste"&amp;"r_Mapping_Sheet!$E$2:$E$3143, ISNUMBER(
Master_Mapping_Sheet!$E$2:$E$3143),
Master_Mapping_Sheet!$H$2:$H$3143=$A10)))"),0.0)</f>
        <v>0</v>
      </c>
      <c r="G10" s="34">
        <f>IFERROR(__xludf.DUMMYFUNCTION("IF(ISNA(sum(filter(
Master_Mapping_Sheet!$E$2:$E$3143, ISNUMBER(
Master_Mapping_Sheet!$E$2:$E$3143),
Master_Mapping_Sheet!$C$2:$C$3143=G$1,
Master_Mapping_Sheet!$H$2:$H$3143=$A10))/sum(filter(
Master_Mapping_Sheet!$E$2:$E$3143, ISNUMBER(
Master_Mapping_Sh"&amp;"eet!$E$2:$E$3143),
Master_Mapping_Sheet!$H$2:$H$3143=$A10))), 0, sum(filter(
Master_Mapping_Sheet!$E$2:$E$3143, ISNUMBER(
Master_Mapping_Sheet!$E$2:$E$3143),
Master_Mapping_Sheet!$C$2:$C$3143=G$1,
Master_Mapping_Sheet!$H$2:$H$3143=$A10))/sum(filter(
Maste"&amp;"r_Mapping_Sheet!$E$2:$E$3143, ISNUMBER(
Master_Mapping_Sheet!$E$2:$E$3143),
Master_Mapping_Sheet!$H$2:$H$3143=$A10)))"),0.0)</f>
        <v>0</v>
      </c>
      <c r="H10" s="34">
        <f>IFERROR(__xludf.DUMMYFUNCTION("IF(ISNA(sum(filter(
Master_Mapping_Sheet!$E$2:$E$3143, ISNUMBER(
Master_Mapping_Sheet!$E$2:$E$3143),
Master_Mapping_Sheet!$C$2:$C$3143=H$1,
Master_Mapping_Sheet!$H$2:$H$3143=$A10))/sum(filter(
Master_Mapping_Sheet!$E$2:$E$3143, ISNUMBER(
Master_Mapping_Sh"&amp;"eet!$E$2:$E$3143),
Master_Mapping_Sheet!$H$2:$H$3143=$A10))), 0, sum(filter(
Master_Mapping_Sheet!$E$2:$E$3143, ISNUMBER(
Master_Mapping_Sheet!$E$2:$E$3143),
Master_Mapping_Sheet!$C$2:$C$3143=H$1,
Master_Mapping_Sheet!$H$2:$H$3143=$A10))/sum(filter(
Maste"&amp;"r_Mapping_Sheet!$E$2:$E$3143, ISNUMBER(
Master_Mapping_Sheet!$E$2:$E$3143),
Master_Mapping_Sheet!$H$2:$H$3143=$A10)))"),0.0)</f>
        <v>0</v>
      </c>
      <c r="I10" s="34">
        <f>IFERROR(__xludf.DUMMYFUNCTION("IF(ISNA(sum(filter(
Master_Mapping_Sheet!$E$2:$E$3143, ISNUMBER(
Master_Mapping_Sheet!$E$2:$E$3143),
Master_Mapping_Sheet!$C$2:$C$3143=I$1,
Master_Mapping_Sheet!$H$2:$H$3143=$A10))/sum(filter(
Master_Mapping_Sheet!$E$2:$E$3143, ISNUMBER(
Master_Mapping_Sh"&amp;"eet!$E$2:$E$3143),
Master_Mapping_Sheet!$H$2:$H$3143=$A10))), 0, sum(filter(
Master_Mapping_Sheet!$E$2:$E$3143, ISNUMBER(
Master_Mapping_Sheet!$E$2:$E$3143),
Master_Mapping_Sheet!$C$2:$C$3143=I$1,
Master_Mapping_Sheet!$H$2:$H$3143=$A10))/sum(filter(
Maste"&amp;"r_Mapping_Sheet!$E$2:$E$3143, ISNUMBER(
Master_Mapping_Sheet!$E$2:$E$3143),
Master_Mapping_Sheet!$H$2:$H$3143=$A10)))"),0.0)</f>
        <v>0</v>
      </c>
      <c r="J10" s="34">
        <f>IFERROR(__xludf.DUMMYFUNCTION("IF(ISNA(sum(filter(
Master_Mapping_Sheet!$E$2:$E$3143, ISNUMBER(
Master_Mapping_Sheet!$E$2:$E$3143),
Master_Mapping_Sheet!$C$2:$C$3143=J$1,
Master_Mapping_Sheet!$H$2:$H$3143=$A10))/sum(filter(
Master_Mapping_Sheet!$E$2:$E$3143, ISNUMBER(
Master_Mapping_Sh"&amp;"eet!$E$2:$E$3143),
Master_Mapping_Sheet!$H$2:$H$3143=$A10))), 0, sum(filter(
Master_Mapping_Sheet!$E$2:$E$3143, ISNUMBER(
Master_Mapping_Sheet!$E$2:$E$3143),
Master_Mapping_Sheet!$C$2:$C$3143=J$1,
Master_Mapping_Sheet!$H$2:$H$3143=$A10))/sum(filter(
Maste"&amp;"r_Mapping_Sheet!$E$2:$E$3143, ISNUMBER(
Master_Mapping_Sheet!$E$2:$E$3143),
Master_Mapping_Sheet!$H$2:$H$3143=$A10)))"),0.0)</f>
        <v>0</v>
      </c>
      <c r="K10" s="34">
        <f>IFERROR(__xludf.DUMMYFUNCTION("IF(ISNA(sum(filter(
Master_Mapping_Sheet!$E$2:$E$3143, ISNUMBER(
Master_Mapping_Sheet!$E$2:$E$3143),
Master_Mapping_Sheet!$C$2:$C$3143=K$1,
Master_Mapping_Sheet!$H$2:$H$3143=$A10))/sum(filter(
Master_Mapping_Sheet!$E$2:$E$3143, ISNUMBER(
Master_Mapping_Sh"&amp;"eet!$E$2:$E$3143),
Master_Mapping_Sheet!$H$2:$H$3143=$A10))), 0, sum(filter(
Master_Mapping_Sheet!$E$2:$E$3143, ISNUMBER(
Master_Mapping_Sheet!$E$2:$E$3143),
Master_Mapping_Sheet!$C$2:$C$3143=K$1,
Master_Mapping_Sheet!$H$2:$H$3143=$A10))/sum(filter(
Maste"&amp;"r_Mapping_Sheet!$E$2:$E$3143, ISNUMBER(
Master_Mapping_Sheet!$E$2:$E$3143),
Master_Mapping_Sheet!$H$2:$H$3143=$A10)))"),0.0)</f>
        <v>0</v>
      </c>
      <c r="L10" s="34">
        <f>IFERROR(__xludf.DUMMYFUNCTION("IF(ISNA(sum(filter(
Master_Mapping_Sheet!$E$2:$E$3143, ISNUMBER(
Master_Mapping_Sheet!$E$2:$E$3143),
Master_Mapping_Sheet!$C$2:$C$3143=L$1,
Master_Mapping_Sheet!$H$2:$H$3143=$A10))/sum(filter(
Master_Mapping_Sheet!$E$2:$E$3143, ISNUMBER(
Master_Mapping_Sh"&amp;"eet!$E$2:$E$3143),
Master_Mapping_Sheet!$H$2:$H$3143=$A10))), 0, sum(filter(
Master_Mapping_Sheet!$E$2:$E$3143, ISNUMBER(
Master_Mapping_Sheet!$E$2:$E$3143),
Master_Mapping_Sheet!$C$2:$C$3143=L$1,
Master_Mapping_Sheet!$H$2:$H$3143=$A10))/sum(filter(
Maste"&amp;"r_Mapping_Sheet!$E$2:$E$3143, ISNUMBER(
Master_Mapping_Sheet!$E$2:$E$3143),
Master_Mapping_Sheet!$H$2:$H$3143=$A10)))"),0.0)</f>
        <v>0</v>
      </c>
      <c r="M10" s="34">
        <f>IFERROR(__xludf.DUMMYFUNCTION("IF(ISNA(sum(filter(
Master_Mapping_Sheet!$E$2:$E$3143, ISNUMBER(
Master_Mapping_Sheet!$E$2:$E$3143),
Master_Mapping_Sheet!$C$2:$C$3143=M$1,
Master_Mapping_Sheet!$H$2:$H$3143=$A10))/sum(filter(
Master_Mapping_Sheet!$E$2:$E$3143, ISNUMBER(
Master_Mapping_Sh"&amp;"eet!$E$2:$E$3143),
Master_Mapping_Sheet!$H$2:$H$3143=$A10))), 0, sum(filter(
Master_Mapping_Sheet!$E$2:$E$3143, ISNUMBER(
Master_Mapping_Sheet!$E$2:$E$3143),
Master_Mapping_Sheet!$C$2:$C$3143=M$1,
Master_Mapping_Sheet!$H$2:$H$3143=$A10))/sum(filter(
Maste"&amp;"r_Mapping_Sheet!$E$2:$E$3143, ISNUMBER(
Master_Mapping_Sheet!$E$2:$E$3143),
Master_Mapping_Sheet!$H$2:$H$3143=$A10)))"),0.0)</f>
        <v>0</v>
      </c>
      <c r="N10" s="34">
        <f>IFERROR(__xludf.DUMMYFUNCTION("IF(ISNA(sum(filter(
Master_Mapping_Sheet!$E$2:$E$3143, ISNUMBER(
Master_Mapping_Sheet!$E$2:$E$3143),
Master_Mapping_Sheet!$C$2:$C$3143=N$1,
Master_Mapping_Sheet!$H$2:$H$3143=$A10))/sum(filter(
Master_Mapping_Sheet!$E$2:$E$3143, ISNUMBER(
Master_Mapping_Sh"&amp;"eet!$E$2:$E$3143),
Master_Mapping_Sheet!$H$2:$H$3143=$A10))), 0, sum(filter(
Master_Mapping_Sheet!$E$2:$E$3143, ISNUMBER(
Master_Mapping_Sheet!$E$2:$E$3143),
Master_Mapping_Sheet!$C$2:$C$3143=N$1,
Master_Mapping_Sheet!$H$2:$H$3143=$A10))/sum(filter(
Maste"&amp;"r_Mapping_Sheet!$E$2:$E$3143, ISNUMBER(
Master_Mapping_Sheet!$E$2:$E$3143),
Master_Mapping_Sheet!$H$2:$H$3143=$A10)))"),0.0)</f>
        <v>0</v>
      </c>
      <c r="O10" s="34">
        <f>IFERROR(__xludf.DUMMYFUNCTION("IF(ISNA(sum(filter(
Master_Mapping_Sheet!$E$2:$E$3143, ISNUMBER(
Master_Mapping_Sheet!$E$2:$E$3143),
Master_Mapping_Sheet!$C$2:$C$3143=O$1,
Master_Mapping_Sheet!$H$2:$H$3143=$A10))/sum(filter(
Master_Mapping_Sheet!$E$2:$E$3143, ISNUMBER(
Master_Mapping_Sh"&amp;"eet!$E$2:$E$3143),
Master_Mapping_Sheet!$H$2:$H$3143=$A10))), 0, sum(filter(
Master_Mapping_Sheet!$E$2:$E$3143, ISNUMBER(
Master_Mapping_Sheet!$E$2:$E$3143),
Master_Mapping_Sheet!$C$2:$C$3143=O$1,
Master_Mapping_Sheet!$H$2:$H$3143=$A10))/sum(filter(
Maste"&amp;"r_Mapping_Sheet!$E$2:$E$3143, ISNUMBER(
Master_Mapping_Sheet!$E$2:$E$3143),
Master_Mapping_Sheet!$H$2:$H$3143=$A10)))"),0.0)</f>
        <v>0</v>
      </c>
      <c r="P10" s="34">
        <f>IFERROR(__xludf.DUMMYFUNCTION("IF(ISNA(sum(filter(
Master_Mapping_Sheet!$E$2:$E$3143, ISNUMBER(
Master_Mapping_Sheet!$E$2:$E$3143),
Master_Mapping_Sheet!$C$2:$C$3143=P$1,
Master_Mapping_Sheet!$H$2:$H$3143=$A10))/sum(filter(
Master_Mapping_Sheet!$E$2:$E$3143, ISNUMBER(
Master_Mapping_Sh"&amp;"eet!$E$2:$E$3143),
Master_Mapping_Sheet!$H$2:$H$3143=$A10))), 0, sum(filter(
Master_Mapping_Sheet!$E$2:$E$3143, ISNUMBER(
Master_Mapping_Sheet!$E$2:$E$3143),
Master_Mapping_Sheet!$C$2:$C$3143=P$1,
Master_Mapping_Sheet!$H$2:$H$3143=$A10))/sum(filter(
Maste"&amp;"r_Mapping_Sheet!$E$2:$E$3143, ISNUMBER(
Master_Mapping_Sheet!$E$2:$E$3143),
Master_Mapping_Sheet!$H$2:$H$3143=$A10)))"),0.0)</f>
        <v>0</v>
      </c>
      <c r="Q10" s="34">
        <f>IFERROR(__xludf.DUMMYFUNCTION("IF(ISNA(sum(filter(
Master_Mapping_Sheet!$E$2:$E$3143, ISNUMBER(
Master_Mapping_Sheet!$E$2:$E$3143),
Master_Mapping_Sheet!$C$2:$C$3143=Q$1,
Master_Mapping_Sheet!$H$2:$H$3143=$A10))/sum(filter(
Master_Mapping_Sheet!$E$2:$E$3143, ISNUMBER(
Master_Mapping_Sh"&amp;"eet!$E$2:$E$3143),
Master_Mapping_Sheet!$H$2:$H$3143=$A10))), 0, sum(filter(
Master_Mapping_Sheet!$E$2:$E$3143, ISNUMBER(
Master_Mapping_Sheet!$E$2:$E$3143),
Master_Mapping_Sheet!$C$2:$C$3143=Q$1,
Master_Mapping_Sheet!$H$2:$H$3143=$A10))/sum(filter(
Maste"&amp;"r_Mapping_Sheet!$E$2:$E$3143, ISNUMBER(
Master_Mapping_Sheet!$E$2:$E$3143),
Master_Mapping_Sheet!$H$2:$H$3143=$A10)))"),0.0)</f>
        <v>0</v>
      </c>
      <c r="R10" s="34">
        <f>IFERROR(__xludf.DUMMYFUNCTION("IF(ISNA(sum(filter(
Master_Mapping_Sheet!$E$2:$E$3143, ISNUMBER(
Master_Mapping_Sheet!$E$2:$E$3143),
Master_Mapping_Sheet!$C$2:$C$3143=R$1,
Master_Mapping_Sheet!$H$2:$H$3143=$A10))/sum(filter(
Master_Mapping_Sheet!$E$2:$E$3143, ISNUMBER(
Master_Mapping_Sh"&amp;"eet!$E$2:$E$3143),
Master_Mapping_Sheet!$H$2:$H$3143=$A10))), 0, sum(filter(
Master_Mapping_Sheet!$E$2:$E$3143, ISNUMBER(
Master_Mapping_Sheet!$E$2:$E$3143),
Master_Mapping_Sheet!$C$2:$C$3143=R$1,
Master_Mapping_Sheet!$H$2:$H$3143=$A10))/sum(filter(
Maste"&amp;"r_Mapping_Sheet!$E$2:$E$3143, ISNUMBER(
Master_Mapping_Sheet!$E$2:$E$3143),
Master_Mapping_Sheet!$H$2:$H$3143=$A10)))"),0.0)</f>
        <v>0</v>
      </c>
      <c r="S10" s="34">
        <f>IFERROR(__xludf.DUMMYFUNCTION("IF(ISNA(sum(filter(
Master_Mapping_Sheet!$E$2:$E$3143, ISNUMBER(
Master_Mapping_Sheet!$E$2:$E$3143),
Master_Mapping_Sheet!$C$2:$C$3143=S$1,
Master_Mapping_Sheet!$H$2:$H$3143=$A10))/sum(filter(
Master_Mapping_Sheet!$E$2:$E$3143, ISNUMBER(
Master_Mapping_Sh"&amp;"eet!$E$2:$E$3143),
Master_Mapping_Sheet!$H$2:$H$3143=$A10))), 0, sum(filter(
Master_Mapping_Sheet!$E$2:$E$3143, ISNUMBER(
Master_Mapping_Sheet!$E$2:$E$3143),
Master_Mapping_Sheet!$C$2:$C$3143=S$1,
Master_Mapping_Sheet!$H$2:$H$3143=$A10))/sum(filter(
Maste"&amp;"r_Mapping_Sheet!$E$2:$E$3143, ISNUMBER(
Master_Mapping_Sheet!$E$2:$E$3143),
Master_Mapping_Sheet!$H$2:$H$3143=$A10)))"),0.0)</f>
        <v>0</v>
      </c>
      <c r="T10" s="34">
        <f>IFERROR(__xludf.DUMMYFUNCTION("IF(ISNA(sum(filter(
Master_Mapping_Sheet!$E$2:$E$3143, ISNUMBER(
Master_Mapping_Sheet!$E$2:$E$3143),
Master_Mapping_Sheet!$C$2:$C$3143=T$1,
Master_Mapping_Sheet!$H$2:$H$3143=$A10))/sum(filter(
Master_Mapping_Sheet!$E$2:$E$3143, ISNUMBER(
Master_Mapping_Sh"&amp;"eet!$E$2:$E$3143),
Master_Mapping_Sheet!$H$2:$H$3143=$A10))), 0, sum(filter(
Master_Mapping_Sheet!$E$2:$E$3143, ISNUMBER(
Master_Mapping_Sheet!$E$2:$E$3143),
Master_Mapping_Sheet!$C$2:$C$3143=T$1,
Master_Mapping_Sheet!$H$2:$H$3143=$A10))/sum(filter(
Maste"&amp;"r_Mapping_Sheet!$E$2:$E$3143, ISNUMBER(
Master_Mapping_Sheet!$E$2:$E$3143),
Master_Mapping_Sheet!$H$2:$H$3143=$A10)))"),0.0)</f>
        <v>0</v>
      </c>
      <c r="U10" s="34">
        <f>IFERROR(__xludf.DUMMYFUNCTION("IF(ISNA(sum(filter(
Master_Mapping_Sheet!$E$2:$E$3143, ISNUMBER(
Master_Mapping_Sheet!$E$2:$E$3143),
Master_Mapping_Sheet!$C$2:$C$3143=U$1,
Master_Mapping_Sheet!$H$2:$H$3143=$A10))/sum(filter(
Master_Mapping_Sheet!$E$2:$E$3143, ISNUMBER(
Master_Mapping_Sh"&amp;"eet!$E$2:$E$3143),
Master_Mapping_Sheet!$H$2:$H$3143=$A10))), 0, sum(filter(
Master_Mapping_Sheet!$E$2:$E$3143, ISNUMBER(
Master_Mapping_Sheet!$E$2:$E$3143),
Master_Mapping_Sheet!$C$2:$C$3143=U$1,
Master_Mapping_Sheet!$H$2:$H$3143=$A10))/sum(filter(
Maste"&amp;"r_Mapping_Sheet!$E$2:$E$3143, ISNUMBER(
Master_Mapping_Sheet!$E$2:$E$3143),
Master_Mapping_Sheet!$H$2:$H$3143=$A10)))"),0.0)</f>
        <v>0</v>
      </c>
      <c r="V10" s="34">
        <f>IFERROR(__xludf.DUMMYFUNCTION("IF(ISNA(sum(filter(
Master_Mapping_Sheet!$E$2:$E$3143, ISNUMBER(
Master_Mapping_Sheet!$E$2:$E$3143),
Master_Mapping_Sheet!$C$2:$C$3143=V$1,
Master_Mapping_Sheet!$H$2:$H$3143=$A10))/sum(filter(
Master_Mapping_Sheet!$E$2:$E$3143, ISNUMBER(
Master_Mapping_Sh"&amp;"eet!$E$2:$E$3143),
Master_Mapping_Sheet!$H$2:$H$3143=$A10))), 0, sum(filter(
Master_Mapping_Sheet!$E$2:$E$3143, ISNUMBER(
Master_Mapping_Sheet!$E$2:$E$3143),
Master_Mapping_Sheet!$C$2:$C$3143=V$1,
Master_Mapping_Sheet!$H$2:$H$3143=$A10))/sum(filter(
Maste"&amp;"r_Mapping_Sheet!$E$2:$E$3143, ISNUMBER(
Master_Mapping_Sheet!$E$2:$E$3143),
Master_Mapping_Sheet!$H$2:$H$3143=$A10)))"),0.0)</f>
        <v>0</v>
      </c>
      <c r="W10" s="34">
        <f>IFERROR(__xludf.DUMMYFUNCTION("IF(ISNA(sum(filter(
Master_Mapping_Sheet!$E$2:$E$3143, ISNUMBER(
Master_Mapping_Sheet!$E$2:$E$3143),
Master_Mapping_Sheet!$C$2:$C$3143=W$1,
Master_Mapping_Sheet!$H$2:$H$3143=$A10))/sum(filter(
Master_Mapping_Sheet!$E$2:$E$3143, ISNUMBER(
Master_Mapping_Sh"&amp;"eet!$E$2:$E$3143),
Master_Mapping_Sheet!$H$2:$H$3143=$A10))), 0, sum(filter(
Master_Mapping_Sheet!$E$2:$E$3143, ISNUMBER(
Master_Mapping_Sheet!$E$2:$E$3143),
Master_Mapping_Sheet!$C$2:$C$3143=W$1,
Master_Mapping_Sheet!$H$2:$H$3143=$A10))/sum(filter(
Maste"&amp;"r_Mapping_Sheet!$E$2:$E$3143, ISNUMBER(
Master_Mapping_Sheet!$E$2:$E$3143),
Master_Mapping_Sheet!$H$2:$H$3143=$A10)))"),0.0)</f>
        <v>0</v>
      </c>
      <c r="X10" s="34">
        <f>IFERROR(__xludf.DUMMYFUNCTION("IF(ISNA(sum(filter(
Master_Mapping_Sheet!$E$2:$E$3143, ISNUMBER(
Master_Mapping_Sheet!$E$2:$E$3143),
Master_Mapping_Sheet!$C$2:$C$3143=X$1,
Master_Mapping_Sheet!$H$2:$H$3143=$A10))/sum(filter(
Master_Mapping_Sheet!$E$2:$E$3143, ISNUMBER(
Master_Mapping_Sh"&amp;"eet!$E$2:$E$3143),
Master_Mapping_Sheet!$H$2:$H$3143=$A10))), 0, sum(filter(
Master_Mapping_Sheet!$E$2:$E$3143, ISNUMBER(
Master_Mapping_Sheet!$E$2:$E$3143),
Master_Mapping_Sheet!$C$2:$C$3143=X$1,
Master_Mapping_Sheet!$H$2:$H$3143=$A10))/sum(filter(
Maste"&amp;"r_Mapping_Sheet!$E$2:$E$3143, ISNUMBER(
Master_Mapping_Sheet!$E$2:$E$3143),
Master_Mapping_Sheet!$H$2:$H$3143=$A10)))"),0.0)</f>
        <v>0</v>
      </c>
      <c r="Y10" s="34">
        <f>IFERROR(__xludf.DUMMYFUNCTION("IF(ISNA(sum(filter(
Master_Mapping_Sheet!$E$2:$E$3143, ISNUMBER(
Master_Mapping_Sheet!$E$2:$E$3143),
Master_Mapping_Sheet!$C$2:$C$3143=Y$1,
Master_Mapping_Sheet!$H$2:$H$3143=$A10))/sum(filter(
Master_Mapping_Sheet!$E$2:$E$3143, ISNUMBER(
Master_Mapping_Sh"&amp;"eet!$E$2:$E$3143),
Master_Mapping_Sheet!$H$2:$H$3143=$A10))), 0, sum(filter(
Master_Mapping_Sheet!$E$2:$E$3143, ISNUMBER(
Master_Mapping_Sheet!$E$2:$E$3143),
Master_Mapping_Sheet!$C$2:$C$3143=Y$1,
Master_Mapping_Sheet!$H$2:$H$3143=$A10))/sum(filter(
Maste"&amp;"r_Mapping_Sheet!$E$2:$E$3143, ISNUMBER(
Master_Mapping_Sheet!$E$2:$E$3143),
Master_Mapping_Sheet!$H$2:$H$3143=$A10)))"),0.0)</f>
        <v>0</v>
      </c>
      <c r="Z10" s="34">
        <f>IFERROR(__xludf.DUMMYFUNCTION("IF(ISNA(sum(filter(
Master_Mapping_Sheet!$E$2:$E$3143, ISNUMBER(
Master_Mapping_Sheet!$E$2:$E$3143),
Master_Mapping_Sheet!$C$2:$C$3143=Z$1,
Master_Mapping_Sheet!$H$2:$H$3143=$A10))/sum(filter(
Master_Mapping_Sheet!$E$2:$E$3143, ISNUMBER(
Master_Mapping_Sh"&amp;"eet!$E$2:$E$3143),
Master_Mapping_Sheet!$H$2:$H$3143=$A10))), 0, sum(filter(
Master_Mapping_Sheet!$E$2:$E$3143, ISNUMBER(
Master_Mapping_Sheet!$E$2:$E$3143),
Master_Mapping_Sheet!$C$2:$C$3143=Z$1,
Master_Mapping_Sheet!$H$2:$H$3143=$A10))/sum(filter(
Maste"&amp;"r_Mapping_Sheet!$E$2:$E$3143, ISNUMBER(
Master_Mapping_Sheet!$E$2:$E$3143),
Master_Mapping_Sheet!$H$2:$H$3143=$A10)))"),0.0)</f>
        <v>0</v>
      </c>
      <c r="AA10" s="34">
        <f>IFERROR(__xludf.DUMMYFUNCTION("IF(ISNA(sum(filter(
Master_Mapping_Sheet!$E$2:$E$3143, ISNUMBER(
Master_Mapping_Sheet!$E$2:$E$3143),
Master_Mapping_Sheet!$C$2:$C$3143=AA$1,
Master_Mapping_Sheet!$H$2:$H$3143=$A10))/sum(filter(
Master_Mapping_Sheet!$E$2:$E$3143, ISNUMBER(
Master_Mapping_S"&amp;"heet!$E$2:$E$3143),
Master_Mapping_Sheet!$H$2:$H$3143=$A10))), 0, sum(filter(
Master_Mapping_Sheet!$E$2:$E$3143, ISNUMBER(
Master_Mapping_Sheet!$E$2:$E$3143),
Master_Mapping_Sheet!$C$2:$C$3143=AA$1,
Master_Mapping_Sheet!$H$2:$H$3143=$A10))/sum(filter(
Mas"&amp;"ter_Mapping_Sheet!$E$2:$E$3143, ISNUMBER(
Master_Mapping_Sheet!$E$2:$E$3143),
Master_Mapping_Sheet!$H$2:$H$3143=$A10)))"),0.0)</f>
        <v>0</v>
      </c>
      <c r="AB10" s="34">
        <f>IFERROR(__xludf.DUMMYFUNCTION("IF(ISNA(sum(filter(
Master_Mapping_Sheet!$E$2:$E$3143, ISNUMBER(
Master_Mapping_Sheet!$E$2:$E$3143),
Master_Mapping_Sheet!$C$2:$C$3143=AB$1,
Master_Mapping_Sheet!$H$2:$H$3143=$A10))/sum(filter(
Master_Mapping_Sheet!$E$2:$E$3143, ISNUMBER(
Master_Mapping_S"&amp;"heet!$E$2:$E$3143),
Master_Mapping_Sheet!$H$2:$H$3143=$A10))), 0, sum(filter(
Master_Mapping_Sheet!$E$2:$E$3143, ISNUMBER(
Master_Mapping_Sheet!$E$2:$E$3143),
Master_Mapping_Sheet!$C$2:$C$3143=AB$1,
Master_Mapping_Sheet!$H$2:$H$3143=$A10))/sum(filter(
Mas"&amp;"ter_Mapping_Sheet!$E$2:$E$3143, ISNUMBER(
Master_Mapping_Sheet!$E$2:$E$3143),
Master_Mapping_Sheet!$H$2:$H$3143=$A10)))"),0.0)</f>
        <v>0</v>
      </c>
      <c r="AC10" s="34">
        <f>IFERROR(__xludf.DUMMYFUNCTION("IF(ISNA(sum(filter(
Master_Mapping_Sheet!$E$2:$E$3143, ISNUMBER(
Master_Mapping_Sheet!$E$2:$E$3143),
Master_Mapping_Sheet!$C$2:$C$3143=AC$1,
Master_Mapping_Sheet!$H$2:$H$3143=$A10))/sum(filter(
Master_Mapping_Sheet!$E$2:$E$3143, ISNUMBER(
Master_Mapping_S"&amp;"heet!$E$2:$E$3143),
Master_Mapping_Sheet!$H$2:$H$3143=$A10))), 0, sum(filter(
Master_Mapping_Sheet!$E$2:$E$3143, ISNUMBER(
Master_Mapping_Sheet!$E$2:$E$3143),
Master_Mapping_Sheet!$C$2:$C$3143=AC$1,
Master_Mapping_Sheet!$H$2:$H$3143=$A10))/sum(filter(
Mas"&amp;"ter_Mapping_Sheet!$E$2:$E$3143, ISNUMBER(
Master_Mapping_Sheet!$E$2:$E$3143),
Master_Mapping_Sheet!$H$2:$H$3143=$A10)))"),0.0)</f>
        <v>0</v>
      </c>
      <c r="AD10" s="34">
        <f>IFERROR(__xludf.DUMMYFUNCTION("IF(ISNA(sum(filter(
Master_Mapping_Sheet!$E$2:$E$3143, ISNUMBER(
Master_Mapping_Sheet!$E$2:$E$3143),
Master_Mapping_Sheet!$C$2:$C$3143=AD$1,
Master_Mapping_Sheet!$H$2:$H$3143=$A10))/sum(filter(
Master_Mapping_Sheet!$E$2:$E$3143, ISNUMBER(
Master_Mapping_S"&amp;"heet!$E$2:$E$3143),
Master_Mapping_Sheet!$H$2:$H$3143=$A10))), 0, sum(filter(
Master_Mapping_Sheet!$E$2:$E$3143, ISNUMBER(
Master_Mapping_Sheet!$E$2:$E$3143),
Master_Mapping_Sheet!$C$2:$C$3143=AD$1,
Master_Mapping_Sheet!$H$2:$H$3143=$A10))/sum(filter(
Mas"&amp;"ter_Mapping_Sheet!$E$2:$E$3143, ISNUMBER(
Master_Mapping_Sheet!$E$2:$E$3143),
Master_Mapping_Sheet!$H$2:$H$3143=$A10)))"),0.0)</f>
        <v>0</v>
      </c>
      <c r="AE10" s="34">
        <f>IFERROR(__xludf.DUMMYFUNCTION("IF(ISNA(sum(filter(
Master_Mapping_Sheet!$E$2:$E$3143, ISNUMBER(
Master_Mapping_Sheet!$E$2:$E$3143),
Master_Mapping_Sheet!$C$2:$C$3143=AE$1,
Master_Mapping_Sheet!$H$2:$H$3143=$A10))/sum(filter(
Master_Mapping_Sheet!$E$2:$E$3143, ISNUMBER(
Master_Mapping_S"&amp;"heet!$E$2:$E$3143),
Master_Mapping_Sheet!$H$2:$H$3143=$A10))), 0, sum(filter(
Master_Mapping_Sheet!$E$2:$E$3143, ISNUMBER(
Master_Mapping_Sheet!$E$2:$E$3143),
Master_Mapping_Sheet!$C$2:$C$3143=AE$1,
Master_Mapping_Sheet!$H$2:$H$3143=$A10))/sum(filter(
Mas"&amp;"ter_Mapping_Sheet!$E$2:$E$3143, ISNUMBER(
Master_Mapping_Sheet!$E$2:$E$3143),
Master_Mapping_Sheet!$H$2:$H$3143=$A10)))"),0.0)</f>
        <v>0</v>
      </c>
      <c r="AF10" s="34">
        <f>IFERROR(__xludf.DUMMYFUNCTION("IF(ISNA(sum(filter(
Master_Mapping_Sheet!$E$2:$E$3143, ISNUMBER(
Master_Mapping_Sheet!$E$2:$E$3143),
Master_Mapping_Sheet!$C$2:$C$3143=AF$1,
Master_Mapping_Sheet!$H$2:$H$3143=$A10))/sum(filter(
Master_Mapping_Sheet!$E$2:$E$3143, ISNUMBER(
Master_Mapping_S"&amp;"heet!$E$2:$E$3143),
Master_Mapping_Sheet!$H$2:$H$3143=$A10))), 0, sum(filter(
Master_Mapping_Sheet!$E$2:$E$3143, ISNUMBER(
Master_Mapping_Sheet!$E$2:$E$3143),
Master_Mapping_Sheet!$C$2:$C$3143=AF$1,
Master_Mapping_Sheet!$H$2:$H$3143=$A10))/sum(filter(
Mas"&amp;"ter_Mapping_Sheet!$E$2:$E$3143, ISNUMBER(
Master_Mapping_Sheet!$E$2:$E$3143),
Master_Mapping_Sheet!$H$2:$H$3143=$A10)))"),0.0)</f>
        <v>0</v>
      </c>
      <c r="AG10" s="34">
        <f>IFERROR(__xludf.DUMMYFUNCTION("IF(ISNA(sum(filter(
Master_Mapping_Sheet!$E$2:$E$3143, ISNUMBER(
Master_Mapping_Sheet!$E$2:$E$3143),
Master_Mapping_Sheet!$C$2:$C$3143=AG$1,
Master_Mapping_Sheet!$H$2:$H$3143=$A10))/sum(filter(
Master_Mapping_Sheet!$E$2:$E$3143, ISNUMBER(
Master_Mapping_S"&amp;"heet!$E$2:$E$3143),
Master_Mapping_Sheet!$H$2:$H$3143=$A10))), 0, sum(filter(
Master_Mapping_Sheet!$E$2:$E$3143, ISNUMBER(
Master_Mapping_Sheet!$E$2:$E$3143),
Master_Mapping_Sheet!$C$2:$C$3143=AG$1,
Master_Mapping_Sheet!$H$2:$H$3143=$A10))/sum(filter(
Mas"&amp;"ter_Mapping_Sheet!$E$2:$E$3143, ISNUMBER(
Master_Mapping_Sheet!$E$2:$E$3143),
Master_Mapping_Sheet!$H$2:$H$3143=$A10)))"),0.0)</f>
        <v>0</v>
      </c>
      <c r="AH10" s="34">
        <f>IFERROR(__xludf.DUMMYFUNCTION("IF(ISNA(sum(filter(
Master_Mapping_Sheet!$E$2:$E$3143, ISNUMBER(
Master_Mapping_Sheet!$E$2:$E$3143),
Master_Mapping_Sheet!$C$2:$C$3143=AH$1,
Master_Mapping_Sheet!$H$2:$H$3143=$A10))/sum(filter(
Master_Mapping_Sheet!$E$2:$E$3143, ISNUMBER(
Master_Mapping_S"&amp;"heet!$E$2:$E$3143),
Master_Mapping_Sheet!$H$2:$H$3143=$A10))), 0, sum(filter(
Master_Mapping_Sheet!$E$2:$E$3143, ISNUMBER(
Master_Mapping_Sheet!$E$2:$E$3143),
Master_Mapping_Sheet!$C$2:$C$3143=AH$1,
Master_Mapping_Sheet!$H$2:$H$3143=$A10))/sum(filter(
Mas"&amp;"ter_Mapping_Sheet!$E$2:$E$3143, ISNUMBER(
Master_Mapping_Sheet!$E$2:$E$3143),
Master_Mapping_Sheet!$H$2:$H$3143=$A10)))"),1.0)</f>
        <v>1</v>
      </c>
      <c r="AI10" s="34">
        <f>IFERROR(__xludf.DUMMYFUNCTION("IF(ISNA(sum(filter(
Master_Mapping_Sheet!$E$2:$E$3143, ISNUMBER(
Master_Mapping_Sheet!$E$2:$E$3143),
Master_Mapping_Sheet!$C$2:$C$3143=AI$1,
Master_Mapping_Sheet!$H$2:$H$3143=$A10))/sum(filter(
Master_Mapping_Sheet!$E$2:$E$3143, ISNUMBER(
Master_Mapping_S"&amp;"heet!$E$2:$E$3143),
Master_Mapping_Sheet!$H$2:$H$3143=$A10))), 0, sum(filter(
Master_Mapping_Sheet!$E$2:$E$3143, ISNUMBER(
Master_Mapping_Sheet!$E$2:$E$3143),
Master_Mapping_Sheet!$C$2:$C$3143=AI$1,
Master_Mapping_Sheet!$H$2:$H$3143=$A10))/sum(filter(
Mas"&amp;"ter_Mapping_Sheet!$E$2:$E$3143, ISNUMBER(
Master_Mapping_Sheet!$E$2:$E$3143),
Master_Mapping_Sheet!$H$2:$H$3143=$A10)))"),0.0)</f>
        <v>0</v>
      </c>
      <c r="AJ10" s="34">
        <f>IFERROR(__xludf.DUMMYFUNCTION("IF(ISNA(sum(filter(
Master_Mapping_Sheet!$E$2:$E$3143, ISNUMBER(
Master_Mapping_Sheet!$E$2:$E$3143),
Master_Mapping_Sheet!$C$2:$C$3143=AJ$1,
Master_Mapping_Sheet!$H$2:$H$3143=$A10))/sum(filter(
Master_Mapping_Sheet!$E$2:$E$3143, ISNUMBER(
Master_Mapping_S"&amp;"heet!$E$2:$E$3143),
Master_Mapping_Sheet!$H$2:$H$3143=$A10))), 0, sum(filter(
Master_Mapping_Sheet!$E$2:$E$3143, ISNUMBER(
Master_Mapping_Sheet!$E$2:$E$3143),
Master_Mapping_Sheet!$C$2:$C$3143=AJ$1,
Master_Mapping_Sheet!$H$2:$H$3143=$A10))/sum(filter(
Mas"&amp;"ter_Mapping_Sheet!$E$2:$E$3143, ISNUMBER(
Master_Mapping_Sheet!$E$2:$E$3143),
Master_Mapping_Sheet!$H$2:$H$3143=$A10)))"),0.0)</f>
        <v>0</v>
      </c>
      <c r="AK10" s="34">
        <f>IFERROR(__xludf.DUMMYFUNCTION("IF(ISNA(sum(filter(
Master_Mapping_Sheet!$E$2:$E$3143, ISNUMBER(
Master_Mapping_Sheet!$E$2:$E$3143),
Master_Mapping_Sheet!$C$2:$C$3143=AK$1,
Master_Mapping_Sheet!$H$2:$H$3143=$A10))/sum(filter(
Master_Mapping_Sheet!$E$2:$E$3143, ISNUMBER(
Master_Mapping_S"&amp;"heet!$E$2:$E$3143),
Master_Mapping_Sheet!$H$2:$H$3143=$A10))), 0, sum(filter(
Master_Mapping_Sheet!$E$2:$E$3143, ISNUMBER(
Master_Mapping_Sheet!$E$2:$E$3143),
Master_Mapping_Sheet!$C$2:$C$3143=AK$1,
Master_Mapping_Sheet!$H$2:$H$3143=$A10))/sum(filter(
Mas"&amp;"ter_Mapping_Sheet!$E$2:$E$3143, ISNUMBER(
Master_Mapping_Sheet!$E$2:$E$3143),
Master_Mapping_Sheet!$H$2:$H$3143=$A10)))"),0.0)</f>
        <v>0</v>
      </c>
      <c r="AL10" s="34">
        <f>IFERROR(__xludf.DUMMYFUNCTION("IF(ISNA(sum(filter(
Master_Mapping_Sheet!$E$2:$E$3143, ISNUMBER(
Master_Mapping_Sheet!$E$2:$E$3143),
Master_Mapping_Sheet!$C$2:$C$3143=AL$1,
Master_Mapping_Sheet!$H$2:$H$3143=$A10))/sum(filter(
Master_Mapping_Sheet!$E$2:$E$3143, ISNUMBER(
Master_Mapping_S"&amp;"heet!$E$2:$E$3143),
Master_Mapping_Sheet!$H$2:$H$3143=$A10))), 0, sum(filter(
Master_Mapping_Sheet!$E$2:$E$3143, ISNUMBER(
Master_Mapping_Sheet!$E$2:$E$3143),
Master_Mapping_Sheet!$C$2:$C$3143=AL$1,
Master_Mapping_Sheet!$H$2:$H$3143=$A10))/sum(filter(
Mas"&amp;"ter_Mapping_Sheet!$E$2:$E$3143, ISNUMBER(
Master_Mapping_Sheet!$E$2:$E$3143),
Master_Mapping_Sheet!$H$2:$H$3143=$A10)))"),0.0)</f>
        <v>0</v>
      </c>
      <c r="AM10" s="34">
        <f>IFERROR(__xludf.DUMMYFUNCTION("IF(ISNA(sum(filter(
Master_Mapping_Sheet!$E$2:$E$3143, ISNUMBER(
Master_Mapping_Sheet!$E$2:$E$3143),
Master_Mapping_Sheet!$C$2:$C$3143=AM$1,
Master_Mapping_Sheet!$H$2:$H$3143=$A10))/sum(filter(
Master_Mapping_Sheet!$E$2:$E$3143, ISNUMBER(
Master_Mapping_S"&amp;"heet!$E$2:$E$3143),
Master_Mapping_Sheet!$H$2:$H$3143=$A10))), 0, sum(filter(
Master_Mapping_Sheet!$E$2:$E$3143, ISNUMBER(
Master_Mapping_Sheet!$E$2:$E$3143),
Master_Mapping_Sheet!$C$2:$C$3143=AM$1,
Master_Mapping_Sheet!$H$2:$H$3143=$A10))/sum(filter(
Mas"&amp;"ter_Mapping_Sheet!$E$2:$E$3143, ISNUMBER(
Master_Mapping_Sheet!$E$2:$E$3143),
Master_Mapping_Sheet!$H$2:$H$3143=$A10)))"),0.0)</f>
        <v>0</v>
      </c>
      <c r="AN10" s="34">
        <f>IFERROR(__xludf.DUMMYFUNCTION("IF(ISNA(sum(filter(
Master_Mapping_Sheet!$E$2:$E$3143, ISNUMBER(
Master_Mapping_Sheet!$E$2:$E$3143),
Master_Mapping_Sheet!$C$2:$C$3143=AN$1,
Master_Mapping_Sheet!$H$2:$H$3143=$A10))/sum(filter(
Master_Mapping_Sheet!$E$2:$E$3143, ISNUMBER(
Master_Mapping_S"&amp;"heet!$E$2:$E$3143),
Master_Mapping_Sheet!$H$2:$H$3143=$A10))), 0, sum(filter(
Master_Mapping_Sheet!$E$2:$E$3143, ISNUMBER(
Master_Mapping_Sheet!$E$2:$E$3143),
Master_Mapping_Sheet!$C$2:$C$3143=AN$1,
Master_Mapping_Sheet!$H$2:$H$3143=$A10))/sum(filter(
Mas"&amp;"ter_Mapping_Sheet!$E$2:$E$3143, ISNUMBER(
Master_Mapping_Sheet!$E$2:$E$3143),
Master_Mapping_Sheet!$H$2:$H$3143=$A10)))"),0.0)</f>
        <v>0</v>
      </c>
      <c r="AO10" s="34">
        <f>IFERROR(__xludf.DUMMYFUNCTION("IF(ISNA(sum(filter(
Master_Mapping_Sheet!$E$2:$E$3143, ISNUMBER(
Master_Mapping_Sheet!$E$2:$E$3143),
Master_Mapping_Sheet!$C$2:$C$3143=AO$1,
Master_Mapping_Sheet!$H$2:$H$3143=$A10))/sum(filter(
Master_Mapping_Sheet!$E$2:$E$3143, ISNUMBER(
Master_Mapping_S"&amp;"heet!$E$2:$E$3143),
Master_Mapping_Sheet!$H$2:$H$3143=$A10))), 0, sum(filter(
Master_Mapping_Sheet!$E$2:$E$3143, ISNUMBER(
Master_Mapping_Sheet!$E$2:$E$3143),
Master_Mapping_Sheet!$C$2:$C$3143=AO$1,
Master_Mapping_Sheet!$H$2:$H$3143=$A10))/sum(filter(
Mas"&amp;"ter_Mapping_Sheet!$E$2:$E$3143, ISNUMBER(
Master_Mapping_Sheet!$E$2:$E$3143),
Master_Mapping_Sheet!$H$2:$H$3143=$A10)))"),0.0)</f>
        <v>0</v>
      </c>
      <c r="AP10" s="34">
        <f>IFERROR(__xludf.DUMMYFUNCTION("IF(ISNA(sum(filter(
Master_Mapping_Sheet!$E$2:$E$3143, ISNUMBER(
Master_Mapping_Sheet!$E$2:$E$3143),
Master_Mapping_Sheet!$C$2:$C$3143=AP$1,
Master_Mapping_Sheet!$H$2:$H$3143=$A10))/sum(filter(
Master_Mapping_Sheet!$E$2:$E$3143, ISNUMBER(
Master_Mapping_S"&amp;"heet!$E$2:$E$3143),
Master_Mapping_Sheet!$H$2:$H$3143=$A10))), 0, sum(filter(
Master_Mapping_Sheet!$E$2:$E$3143, ISNUMBER(
Master_Mapping_Sheet!$E$2:$E$3143),
Master_Mapping_Sheet!$C$2:$C$3143=AP$1,
Master_Mapping_Sheet!$H$2:$H$3143=$A10))/sum(filter(
Mas"&amp;"ter_Mapping_Sheet!$E$2:$E$3143, ISNUMBER(
Master_Mapping_Sheet!$E$2:$E$3143),
Master_Mapping_Sheet!$H$2:$H$3143=$A10)))"),0.0)</f>
        <v>0</v>
      </c>
      <c r="AQ10" s="34">
        <f>IFERROR(__xludf.DUMMYFUNCTION("IF(ISNA(sum(filter(
Master_Mapping_Sheet!$E$2:$E$3143, ISNUMBER(
Master_Mapping_Sheet!$E$2:$E$3143),
Master_Mapping_Sheet!$C$2:$C$3143=AQ$1,
Master_Mapping_Sheet!$H$2:$H$3143=$A10))/sum(filter(
Master_Mapping_Sheet!$E$2:$E$3143, ISNUMBER(
Master_Mapping_S"&amp;"heet!$E$2:$E$3143),
Master_Mapping_Sheet!$H$2:$H$3143=$A10))), 0, sum(filter(
Master_Mapping_Sheet!$E$2:$E$3143, ISNUMBER(
Master_Mapping_Sheet!$E$2:$E$3143),
Master_Mapping_Sheet!$C$2:$C$3143=AQ$1,
Master_Mapping_Sheet!$H$2:$H$3143=$A10))/sum(filter(
Mas"&amp;"ter_Mapping_Sheet!$E$2:$E$3143, ISNUMBER(
Master_Mapping_Sheet!$E$2:$E$3143),
Master_Mapping_Sheet!$H$2:$H$3143=$A10)))"),0.0)</f>
        <v>0</v>
      </c>
      <c r="AR10" s="34">
        <f>IFERROR(__xludf.DUMMYFUNCTION("IF(ISNA(sum(filter(
Master_Mapping_Sheet!$E$2:$E$3143, ISNUMBER(
Master_Mapping_Sheet!$E$2:$E$3143),
Master_Mapping_Sheet!$C$2:$C$3143=AR$1,
Master_Mapping_Sheet!$H$2:$H$3143=$A10))/sum(filter(
Master_Mapping_Sheet!$E$2:$E$3143, ISNUMBER(
Master_Mapping_S"&amp;"heet!$E$2:$E$3143),
Master_Mapping_Sheet!$H$2:$H$3143=$A10))), 0, sum(filter(
Master_Mapping_Sheet!$E$2:$E$3143, ISNUMBER(
Master_Mapping_Sheet!$E$2:$E$3143),
Master_Mapping_Sheet!$C$2:$C$3143=AR$1,
Master_Mapping_Sheet!$H$2:$H$3143=$A10))/sum(filter(
Mas"&amp;"ter_Mapping_Sheet!$E$2:$E$3143, ISNUMBER(
Master_Mapping_Sheet!$E$2:$E$3143),
Master_Mapping_Sheet!$H$2:$H$3143=$A10)))"),0.0)</f>
        <v>0</v>
      </c>
      <c r="AS10" s="34">
        <f>IFERROR(__xludf.DUMMYFUNCTION("IF(ISNA(sum(filter(
Master_Mapping_Sheet!$E$2:$E$3143, ISNUMBER(
Master_Mapping_Sheet!$E$2:$E$3143),
Master_Mapping_Sheet!$C$2:$C$3143=AS$1,
Master_Mapping_Sheet!$H$2:$H$3143=$A10))/sum(filter(
Master_Mapping_Sheet!$E$2:$E$3143, ISNUMBER(
Master_Mapping_S"&amp;"heet!$E$2:$E$3143),
Master_Mapping_Sheet!$H$2:$H$3143=$A10))), 0, sum(filter(
Master_Mapping_Sheet!$E$2:$E$3143, ISNUMBER(
Master_Mapping_Sheet!$E$2:$E$3143),
Master_Mapping_Sheet!$C$2:$C$3143=AS$1,
Master_Mapping_Sheet!$H$2:$H$3143=$A10))/sum(filter(
Mas"&amp;"ter_Mapping_Sheet!$E$2:$E$3143, ISNUMBER(
Master_Mapping_Sheet!$E$2:$E$3143),
Master_Mapping_Sheet!$H$2:$H$3143=$A10)))"),0.0)</f>
        <v>0</v>
      </c>
      <c r="AT10" s="34">
        <f>IFERROR(__xludf.DUMMYFUNCTION("IF(ISNA(sum(filter(
Master_Mapping_Sheet!$E$2:$E$3143, ISNUMBER(
Master_Mapping_Sheet!$E$2:$E$3143),
Master_Mapping_Sheet!$C$2:$C$3143=AT$1,
Master_Mapping_Sheet!$H$2:$H$3143=$A10))/sum(filter(
Master_Mapping_Sheet!$E$2:$E$3143, ISNUMBER(
Master_Mapping_S"&amp;"heet!$E$2:$E$3143),
Master_Mapping_Sheet!$H$2:$H$3143=$A10))), 0, sum(filter(
Master_Mapping_Sheet!$E$2:$E$3143, ISNUMBER(
Master_Mapping_Sheet!$E$2:$E$3143),
Master_Mapping_Sheet!$C$2:$C$3143=AT$1,
Master_Mapping_Sheet!$H$2:$H$3143=$A10))/sum(filter(
Mas"&amp;"ter_Mapping_Sheet!$E$2:$E$3143, ISNUMBER(
Master_Mapping_Sheet!$E$2:$E$3143),
Master_Mapping_Sheet!$H$2:$H$3143=$A10)))"),0.0)</f>
        <v>0</v>
      </c>
      <c r="AU10" s="34">
        <f>IFERROR(__xludf.DUMMYFUNCTION("IF(ISNA(sum(filter(
Master_Mapping_Sheet!$E$2:$E$3143, ISNUMBER(
Master_Mapping_Sheet!$E$2:$E$3143),
Master_Mapping_Sheet!$C$2:$C$3143=AU$1,
Master_Mapping_Sheet!$H$2:$H$3143=$A10))/sum(filter(
Master_Mapping_Sheet!$E$2:$E$3143, ISNUMBER(
Master_Mapping_S"&amp;"heet!$E$2:$E$3143),
Master_Mapping_Sheet!$H$2:$H$3143=$A10))), 0, sum(filter(
Master_Mapping_Sheet!$E$2:$E$3143, ISNUMBER(
Master_Mapping_Sheet!$E$2:$E$3143),
Master_Mapping_Sheet!$C$2:$C$3143=AU$1,
Master_Mapping_Sheet!$H$2:$H$3143=$A10))/sum(filter(
Mas"&amp;"ter_Mapping_Sheet!$E$2:$E$3143, ISNUMBER(
Master_Mapping_Sheet!$E$2:$E$3143),
Master_Mapping_Sheet!$H$2:$H$3143=$A10)))"),0.0)</f>
        <v>0</v>
      </c>
      <c r="AV10" s="34">
        <f>IFERROR(__xludf.DUMMYFUNCTION("IF(ISNA(sum(filter(
Master_Mapping_Sheet!$E$2:$E$3143, ISNUMBER(
Master_Mapping_Sheet!$E$2:$E$3143),
Master_Mapping_Sheet!$C$2:$C$3143=AV$1,
Master_Mapping_Sheet!$H$2:$H$3143=$A10))/sum(filter(
Master_Mapping_Sheet!$E$2:$E$3143, ISNUMBER(
Master_Mapping_S"&amp;"heet!$E$2:$E$3143),
Master_Mapping_Sheet!$H$2:$H$3143=$A10))), 0, sum(filter(
Master_Mapping_Sheet!$E$2:$E$3143, ISNUMBER(
Master_Mapping_Sheet!$E$2:$E$3143),
Master_Mapping_Sheet!$C$2:$C$3143=AV$1,
Master_Mapping_Sheet!$H$2:$H$3143=$A10))/sum(filter(
Mas"&amp;"ter_Mapping_Sheet!$E$2:$E$3143, ISNUMBER(
Master_Mapping_Sheet!$E$2:$E$3143),
Master_Mapping_Sheet!$H$2:$H$3143=$A10)))"),0.0)</f>
        <v>0</v>
      </c>
      <c r="AW10" s="34">
        <f>IFERROR(__xludf.DUMMYFUNCTION("IF(ISNA(sum(filter(
Master_Mapping_Sheet!$E$2:$E$3143, ISNUMBER(
Master_Mapping_Sheet!$E$2:$E$3143),
Master_Mapping_Sheet!$C$2:$C$3143=AW$1,
Master_Mapping_Sheet!$H$2:$H$3143=$A10))/sum(filter(
Master_Mapping_Sheet!$E$2:$E$3143, ISNUMBER(
Master_Mapping_S"&amp;"heet!$E$2:$E$3143),
Master_Mapping_Sheet!$H$2:$H$3143=$A10))), 0, sum(filter(
Master_Mapping_Sheet!$E$2:$E$3143, ISNUMBER(
Master_Mapping_Sheet!$E$2:$E$3143),
Master_Mapping_Sheet!$C$2:$C$3143=AW$1,
Master_Mapping_Sheet!$H$2:$H$3143=$A10))/sum(filter(
Mas"&amp;"ter_Mapping_Sheet!$E$2:$E$3143, ISNUMBER(
Master_Mapping_Sheet!$E$2:$E$3143),
Master_Mapping_Sheet!$H$2:$H$3143=$A10)))"),0.0)</f>
        <v>0</v>
      </c>
      <c r="AX10" s="34">
        <f>IFERROR(__xludf.DUMMYFUNCTION("IF(ISNA(sum(filter(
Master_Mapping_Sheet!$E$2:$E$3143, ISNUMBER(
Master_Mapping_Sheet!$E$2:$E$3143),
Master_Mapping_Sheet!$C$2:$C$3143=AX$1,
Master_Mapping_Sheet!$H$2:$H$3143=$A10))/sum(filter(
Master_Mapping_Sheet!$E$2:$E$3143, ISNUMBER(
Master_Mapping_S"&amp;"heet!$E$2:$E$3143),
Master_Mapping_Sheet!$H$2:$H$3143=$A10))), 0, sum(filter(
Master_Mapping_Sheet!$E$2:$E$3143, ISNUMBER(
Master_Mapping_Sheet!$E$2:$E$3143),
Master_Mapping_Sheet!$C$2:$C$3143=AX$1,
Master_Mapping_Sheet!$H$2:$H$3143=$A10))/sum(filter(
Mas"&amp;"ter_Mapping_Sheet!$E$2:$E$3143, ISNUMBER(
Master_Mapping_Sheet!$E$2:$E$3143),
Master_Mapping_Sheet!$H$2:$H$3143=$A10)))"),0.0)</f>
        <v>0</v>
      </c>
      <c r="AY10" s="34">
        <f>IFERROR(__xludf.DUMMYFUNCTION("IF(ISNA(sum(filter(
Master_Mapping_Sheet!$E$2:$E$3143, ISNUMBER(
Master_Mapping_Sheet!$E$2:$E$3143),
Master_Mapping_Sheet!$C$2:$C$3143=AY$1,
Master_Mapping_Sheet!$H$2:$H$3143=$A10))/sum(filter(
Master_Mapping_Sheet!$E$2:$E$3143, ISNUMBER(
Master_Mapping_S"&amp;"heet!$E$2:$E$3143),
Master_Mapping_Sheet!$H$2:$H$3143=$A10))), 0, sum(filter(
Master_Mapping_Sheet!$E$2:$E$3143, ISNUMBER(
Master_Mapping_Sheet!$E$2:$E$3143),
Master_Mapping_Sheet!$C$2:$C$3143=AY$1,
Master_Mapping_Sheet!$H$2:$H$3143=$A10))/sum(filter(
Mas"&amp;"ter_Mapping_Sheet!$E$2:$E$3143, ISNUMBER(
Master_Mapping_Sheet!$E$2:$E$3143),
Master_Mapping_Sheet!$H$2:$H$3143=$A10)))"),0.0)</f>
        <v>0</v>
      </c>
      <c r="AZ10" s="34">
        <f>IFERROR(__xludf.DUMMYFUNCTION("IF(ISNA(sum(filter(
Master_Mapping_Sheet!$E$2:$E$3143, ISNUMBER(
Master_Mapping_Sheet!$E$2:$E$3143),
Master_Mapping_Sheet!$C$2:$C$3143=AZ$1,
Master_Mapping_Sheet!$H$2:$H$3143=$A10))/sum(filter(
Master_Mapping_Sheet!$E$2:$E$3143, ISNUMBER(
Master_Mapping_S"&amp;"heet!$E$2:$E$3143),
Master_Mapping_Sheet!$H$2:$H$3143=$A10))), 0, sum(filter(
Master_Mapping_Sheet!$E$2:$E$3143, ISNUMBER(
Master_Mapping_Sheet!$E$2:$E$3143),
Master_Mapping_Sheet!$C$2:$C$3143=AZ$1,
Master_Mapping_Sheet!$H$2:$H$3143=$A10))/sum(filter(
Mas"&amp;"ter_Mapping_Sheet!$E$2:$E$3143, ISNUMBER(
Master_Mapping_Sheet!$E$2:$E$3143),
Master_Mapping_Sheet!$H$2:$H$3143=$A10)))"),0.0)</f>
        <v>0</v>
      </c>
    </row>
    <row r="11" ht="15.75" customHeight="1">
      <c r="A11" s="34" t="s">
        <v>3987</v>
      </c>
      <c r="B11" s="34">
        <f>IFERROR(__xludf.DUMMYFUNCTION("IF(ISNA(sum(filter(
Master_Mapping_Sheet!$E$2:$E$3143, ISNUMBER(
Master_Mapping_Sheet!$E$2:$E$3143),
Master_Mapping_Sheet!$C$2:$C$3143=B$1,
Master_Mapping_Sheet!$H$2:$H$3143=$A11))/sum(filter(
Master_Mapping_Sheet!$E$2:$E$3143, ISNUMBER(
Master_Mapping_Sh"&amp;"eet!$E$2:$E$3143),
Master_Mapping_Sheet!$H$2:$H$3143=$A11))), 0, sum(filter(
Master_Mapping_Sheet!$E$2:$E$3143, ISNUMBER(
Master_Mapping_Sheet!$E$2:$E$3143),
Master_Mapping_Sheet!$C$2:$C$3143=B$1,
Master_Mapping_Sheet!$H$2:$H$3143=$A11))/sum(filter(
Maste"&amp;"r_Mapping_Sheet!$E$2:$E$3143, ISNUMBER(
Master_Mapping_Sheet!$E$2:$E$3143),
Master_Mapping_Sheet!$H$2:$H$3143=$A11)))"),0.0)</f>
        <v>0</v>
      </c>
      <c r="C11" s="34">
        <f>IFERROR(__xludf.DUMMYFUNCTION("IF(ISNA(sum(filter(
Master_Mapping_Sheet!$E$2:$E$3143, ISNUMBER(
Master_Mapping_Sheet!$E$2:$E$3143),
Master_Mapping_Sheet!$C$2:$C$3143=C$1,
Master_Mapping_Sheet!$H$2:$H$3143=$A11))/sum(filter(
Master_Mapping_Sheet!$E$2:$E$3143, ISNUMBER(
Master_Mapping_Sh"&amp;"eet!$E$2:$E$3143),
Master_Mapping_Sheet!$H$2:$H$3143=$A11))), 0, sum(filter(
Master_Mapping_Sheet!$E$2:$E$3143, ISNUMBER(
Master_Mapping_Sheet!$E$2:$E$3143),
Master_Mapping_Sheet!$C$2:$C$3143=C$1,
Master_Mapping_Sheet!$H$2:$H$3143=$A11))/sum(filter(
Maste"&amp;"r_Mapping_Sheet!$E$2:$E$3143, ISNUMBER(
Master_Mapping_Sheet!$E$2:$E$3143),
Master_Mapping_Sheet!$H$2:$H$3143=$A11)))"),0.0)</f>
        <v>0</v>
      </c>
      <c r="D11" s="34">
        <f>IFERROR(__xludf.DUMMYFUNCTION("IF(ISNA(sum(filter(
Master_Mapping_Sheet!$E$2:$E$3143, ISNUMBER(
Master_Mapping_Sheet!$E$2:$E$3143),
Master_Mapping_Sheet!$C$2:$C$3143=D$1,
Master_Mapping_Sheet!$H$2:$H$3143=$A11))/sum(filter(
Master_Mapping_Sheet!$E$2:$E$3143, ISNUMBER(
Master_Mapping_Sh"&amp;"eet!$E$2:$E$3143),
Master_Mapping_Sheet!$H$2:$H$3143=$A11))), 0, sum(filter(
Master_Mapping_Sheet!$E$2:$E$3143, ISNUMBER(
Master_Mapping_Sheet!$E$2:$E$3143),
Master_Mapping_Sheet!$C$2:$C$3143=D$1,
Master_Mapping_Sheet!$H$2:$H$3143=$A11))/sum(filter(
Maste"&amp;"r_Mapping_Sheet!$E$2:$E$3143, ISNUMBER(
Master_Mapping_Sheet!$E$2:$E$3143),
Master_Mapping_Sheet!$H$2:$H$3143=$A11)))"),0.0)</f>
        <v>0</v>
      </c>
      <c r="E11" s="34">
        <f>IFERROR(__xludf.DUMMYFUNCTION("IF(ISNA(sum(filter(
Master_Mapping_Sheet!$E$2:$E$3143, ISNUMBER(
Master_Mapping_Sheet!$E$2:$E$3143),
Master_Mapping_Sheet!$C$2:$C$3143=E$1,
Master_Mapping_Sheet!$H$2:$H$3143=$A11))/sum(filter(
Master_Mapping_Sheet!$E$2:$E$3143, ISNUMBER(
Master_Mapping_Sh"&amp;"eet!$E$2:$E$3143),
Master_Mapping_Sheet!$H$2:$H$3143=$A11))), 0, sum(filter(
Master_Mapping_Sheet!$E$2:$E$3143, ISNUMBER(
Master_Mapping_Sheet!$E$2:$E$3143),
Master_Mapping_Sheet!$C$2:$C$3143=E$1,
Master_Mapping_Sheet!$H$2:$H$3143=$A11))/sum(filter(
Maste"&amp;"r_Mapping_Sheet!$E$2:$E$3143, ISNUMBER(
Master_Mapping_Sheet!$E$2:$E$3143),
Master_Mapping_Sheet!$H$2:$H$3143=$A11)))"),0.0)</f>
        <v>0</v>
      </c>
      <c r="F11" s="34">
        <f>IFERROR(__xludf.DUMMYFUNCTION("IF(ISNA(sum(filter(
Master_Mapping_Sheet!$E$2:$E$3143, ISNUMBER(
Master_Mapping_Sheet!$E$2:$E$3143),
Master_Mapping_Sheet!$C$2:$C$3143=F$1,
Master_Mapping_Sheet!$H$2:$H$3143=$A11))/sum(filter(
Master_Mapping_Sheet!$E$2:$E$3143, ISNUMBER(
Master_Mapping_Sh"&amp;"eet!$E$2:$E$3143),
Master_Mapping_Sheet!$H$2:$H$3143=$A11))), 0, sum(filter(
Master_Mapping_Sheet!$E$2:$E$3143, ISNUMBER(
Master_Mapping_Sheet!$E$2:$E$3143),
Master_Mapping_Sheet!$C$2:$C$3143=F$1,
Master_Mapping_Sheet!$H$2:$H$3143=$A11))/sum(filter(
Maste"&amp;"r_Mapping_Sheet!$E$2:$E$3143, ISNUMBER(
Master_Mapping_Sheet!$E$2:$E$3143),
Master_Mapping_Sheet!$H$2:$H$3143=$A11)))"),0.0)</f>
        <v>0</v>
      </c>
      <c r="G11" s="34">
        <f>IFERROR(__xludf.DUMMYFUNCTION("IF(ISNA(sum(filter(
Master_Mapping_Sheet!$E$2:$E$3143, ISNUMBER(
Master_Mapping_Sheet!$E$2:$E$3143),
Master_Mapping_Sheet!$C$2:$C$3143=G$1,
Master_Mapping_Sheet!$H$2:$H$3143=$A11))/sum(filter(
Master_Mapping_Sheet!$E$2:$E$3143, ISNUMBER(
Master_Mapping_Sh"&amp;"eet!$E$2:$E$3143),
Master_Mapping_Sheet!$H$2:$H$3143=$A11))), 0, sum(filter(
Master_Mapping_Sheet!$E$2:$E$3143, ISNUMBER(
Master_Mapping_Sheet!$E$2:$E$3143),
Master_Mapping_Sheet!$C$2:$C$3143=G$1,
Master_Mapping_Sheet!$H$2:$H$3143=$A11))/sum(filter(
Maste"&amp;"r_Mapping_Sheet!$E$2:$E$3143, ISNUMBER(
Master_Mapping_Sheet!$E$2:$E$3143),
Master_Mapping_Sheet!$H$2:$H$3143=$A11)))"),0.0)</f>
        <v>0</v>
      </c>
      <c r="H11" s="34">
        <f>IFERROR(__xludf.DUMMYFUNCTION("IF(ISNA(sum(filter(
Master_Mapping_Sheet!$E$2:$E$3143, ISNUMBER(
Master_Mapping_Sheet!$E$2:$E$3143),
Master_Mapping_Sheet!$C$2:$C$3143=H$1,
Master_Mapping_Sheet!$H$2:$H$3143=$A11))/sum(filter(
Master_Mapping_Sheet!$E$2:$E$3143, ISNUMBER(
Master_Mapping_Sh"&amp;"eet!$E$2:$E$3143),
Master_Mapping_Sheet!$H$2:$H$3143=$A11))), 0, sum(filter(
Master_Mapping_Sheet!$E$2:$E$3143, ISNUMBER(
Master_Mapping_Sheet!$E$2:$E$3143),
Master_Mapping_Sheet!$C$2:$C$3143=H$1,
Master_Mapping_Sheet!$H$2:$H$3143=$A11))/sum(filter(
Maste"&amp;"r_Mapping_Sheet!$E$2:$E$3143, ISNUMBER(
Master_Mapping_Sheet!$E$2:$E$3143),
Master_Mapping_Sheet!$H$2:$H$3143=$A11)))"),0.0)</f>
        <v>0</v>
      </c>
      <c r="I11" s="34">
        <f>IFERROR(__xludf.DUMMYFUNCTION("IF(ISNA(sum(filter(
Master_Mapping_Sheet!$E$2:$E$3143, ISNUMBER(
Master_Mapping_Sheet!$E$2:$E$3143),
Master_Mapping_Sheet!$C$2:$C$3143=I$1,
Master_Mapping_Sheet!$H$2:$H$3143=$A11))/sum(filter(
Master_Mapping_Sheet!$E$2:$E$3143, ISNUMBER(
Master_Mapping_Sh"&amp;"eet!$E$2:$E$3143),
Master_Mapping_Sheet!$H$2:$H$3143=$A11))), 0, sum(filter(
Master_Mapping_Sheet!$E$2:$E$3143, ISNUMBER(
Master_Mapping_Sheet!$E$2:$E$3143),
Master_Mapping_Sheet!$C$2:$C$3143=I$1,
Master_Mapping_Sheet!$H$2:$H$3143=$A11))/sum(filter(
Maste"&amp;"r_Mapping_Sheet!$E$2:$E$3143, ISNUMBER(
Master_Mapping_Sheet!$E$2:$E$3143),
Master_Mapping_Sheet!$H$2:$H$3143=$A11)))"),0.0402893442495257)</f>
        <v>0.04028934425</v>
      </c>
      <c r="J11" s="34">
        <f>IFERROR(__xludf.DUMMYFUNCTION("IF(ISNA(sum(filter(
Master_Mapping_Sheet!$E$2:$E$3143, ISNUMBER(
Master_Mapping_Sheet!$E$2:$E$3143),
Master_Mapping_Sheet!$C$2:$C$3143=J$1,
Master_Mapping_Sheet!$H$2:$H$3143=$A11))/sum(filter(
Master_Mapping_Sheet!$E$2:$E$3143, ISNUMBER(
Master_Mapping_Sh"&amp;"eet!$E$2:$E$3143),
Master_Mapping_Sheet!$H$2:$H$3143=$A11))), 0, sum(filter(
Master_Mapping_Sheet!$E$2:$E$3143, ISNUMBER(
Master_Mapping_Sheet!$E$2:$E$3143),
Master_Mapping_Sheet!$C$2:$C$3143=J$1,
Master_Mapping_Sheet!$H$2:$H$3143=$A11))/sum(filter(
Maste"&amp;"r_Mapping_Sheet!$E$2:$E$3143, ISNUMBER(
Master_Mapping_Sheet!$E$2:$E$3143),
Master_Mapping_Sheet!$H$2:$H$3143=$A11)))"),0.0)</f>
        <v>0</v>
      </c>
      <c r="K11" s="34">
        <f>IFERROR(__xludf.DUMMYFUNCTION("IF(ISNA(sum(filter(
Master_Mapping_Sheet!$E$2:$E$3143, ISNUMBER(
Master_Mapping_Sheet!$E$2:$E$3143),
Master_Mapping_Sheet!$C$2:$C$3143=K$1,
Master_Mapping_Sheet!$H$2:$H$3143=$A11))/sum(filter(
Master_Mapping_Sheet!$E$2:$E$3143, ISNUMBER(
Master_Mapping_Sh"&amp;"eet!$E$2:$E$3143),
Master_Mapping_Sheet!$H$2:$H$3143=$A11))), 0, sum(filter(
Master_Mapping_Sheet!$E$2:$E$3143, ISNUMBER(
Master_Mapping_Sheet!$E$2:$E$3143),
Master_Mapping_Sheet!$C$2:$C$3143=K$1,
Master_Mapping_Sheet!$H$2:$H$3143=$A11))/sum(filter(
Maste"&amp;"r_Mapping_Sheet!$E$2:$E$3143, ISNUMBER(
Master_Mapping_Sheet!$E$2:$E$3143),
Master_Mapping_Sheet!$H$2:$H$3143=$A11)))"),0.0)</f>
        <v>0</v>
      </c>
      <c r="L11" s="34">
        <f>IFERROR(__xludf.DUMMYFUNCTION("IF(ISNA(sum(filter(
Master_Mapping_Sheet!$E$2:$E$3143, ISNUMBER(
Master_Mapping_Sheet!$E$2:$E$3143),
Master_Mapping_Sheet!$C$2:$C$3143=L$1,
Master_Mapping_Sheet!$H$2:$H$3143=$A11))/sum(filter(
Master_Mapping_Sheet!$E$2:$E$3143, ISNUMBER(
Master_Mapping_Sh"&amp;"eet!$E$2:$E$3143),
Master_Mapping_Sheet!$H$2:$H$3143=$A11))), 0, sum(filter(
Master_Mapping_Sheet!$E$2:$E$3143, ISNUMBER(
Master_Mapping_Sheet!$E$2:$E$3143),
Master_Mapping_Sheet!$C$2:$C$3143=L$1,
Master_Mapping_Sheet!$H$2:$H$3143=$A11))/sum(filter(
Maste"&amp;"r_Mapping_Sheet!$E$2:$E$3143, ISNUMBER(
Master_Mapping_Sheet!$E$2:$E$3143),
Master_Mapping_Sheet!$H$2:$H$3143=$A11)))"),0.0)</f>
        <v>0</v>
      </c>
      <c r="M11" s="34">
        <f>IFERROR(__xludf.DUMMYFUNCTION("IF(ISNA(sum(filter(
Master_Mapping_Sheet!$E$2:$E$3143, ISNUMBER(
Master_Mapping_Sheet!$E$2:$E$3143),
Master_Mapping_Sheet!$C$2:$C$3143=M$1,
Master_Mapping_Sheet!$H$2:$H$3143=$A11))/sum(filter(
Master_Mapping_Sheet!$E$2:$E$3143, ISNUMBER(
Master_Mapping_Sh"&amp;"eet!$E$2:$E$3143),
Master_Mapping_Sheet!$H$2:$H$3143=$A11))), 0, sum(filter(
Master_Mapping_Sheet!$E$2:$E$3143, ISNUMBER(
Master_Mapping_Sheet!$E$2:$E$3143),
Master_Mapping_Sheet!$C$2:$C$3143=M$1,
Master_Mapping_Sheet!$H$2:$H$3143=$A11))/sum(filter(
Maste"&amp;"r_Mapping_Sheet!$E$2:$E$3143, ISNUMBER(
Master_Mapping_Sheet!$E$2:$E$3143),
Master_Mapping_Sheet!$H$2:$H$3143=$A11)))"),0.0)</f>
        <v>0</v>
      </c>
      <c r="N11" s="34">
        <f>IFERROR(__xludf.DUMMYFUNCTION("IF(ISNA(sum(filter(
Master_Mapping_Sheet!$E$2:$E$3143, ISNUMBER(
Master_Mapping_Sheet!$E$2:$E$3143),
Master_Mapping_Sheet!$C$2:$C$3143=N$1,
Master_Mapping_Sheet!$H$2:$H$3143=$A11))/sum(filter(
Master_Mapping_Sheet!$E$2:$E$3143, ISNUMBER(
Master_Mapping_Sh"&amp;"eet!$E$2:$E$3143),
Master_Mapping_Sheet!$H$2:$H$3143=$A11))), 0, sum(filter(
Master_Mapping_Sheet!$E$2:$E$3143, ISNUMBER(
Master_Mapping_Sheet!$E$2:$E$3143),
Master_Mapping_Sheet!$C$2:$C$3143=N$1,
Master_Mapping_Sheet!$H$2:$H$3143=$A11))/sum(filter(
Maste"&amp;"r_Mapping_Sheet!$E$2:$E$3143, ISNUMBER(
Master_Mapping_Sheet!$E$2:$E$3143),
Master_Mapping_Sheet!$H$2:$H$3143=$A11)))"),0.0)</f>
        <v>0</v>
      </c>
      <c r="O11" s="34">
        <f>IFERROR(__xludf.DUMMYFUNCTION("IF(ISNA(sum(filter(
Master_Mapping_Sheet!$E$2:$E$3143, ISNUMBER(
Master_Mapping_Sheet!$E$2:$E$3143),
Master_Mapping_Sheet!$C$2:$C$3143=O$1,
Master_Mapping_Sheet!$H$2:$H$3143=$A11))/sum(filter(
Master_Mapping_Sheet!$E$2:$E$3143, ISNUMBER(
Master_Mapping_Sh"&amp;"eet!$E$2:$E$3143),
Master_Mapping_Sheet!$H$2:$H$3143=$A11))), 0, sum(filter(
Master_Mapping_Sheet!$E$2:$E$3143, ISNUMBER(
Master_Mapping_Sheet!$E$2:$E$3143),
Master_Mapping_Sheet!$C$2:$C$3143=O$1,
Master_Mapping_Sheet!$H$2:$H$3143=$A11))/sum(filter(
Maste"&amp;"r_Mapping_Sheet!$E$2:$E$3143, ISNUMBER(
Master_Mapping_Sheet!$E$2:$E$3143),
Master_Mapping_Sheet!$H$2:$H$3143=$A11)))"),0.0)</f>
        <v>0</v>
      </c>
      <c r="P11" s="34">
        <f>IFERROR(__xludf.DUMMYFUNCTION("IF(ISNA(sum(filter(
Master_Mapping_Sheet!$E$2:$E$3143, ISNUMBER(
Master_Mapping_Sheet!$E$2:$E$3143),
Master_Mapping_Sheet!$C$2:$C$3143=P$1,
Master_Mapping_Sheet!$H$2:$H$3143=$A11))/sum(filter(
Master_Mapping_Sheet!$E$2:$E$3143, ISNUMBER(
Master_Mapping_Sh"&amp;"eet!$E$2:$E$3143),
Master_Mapping_Sheet!$H$2:$H$3143=$A11))), 0, sum(filter(
Master_Mapping_Sheet!$E$2:$E$3143, ISNUMBER(
Master_Mapping_Sheet!$E$2:$E$3143),
Master_Mapping_Sheet!$C$2:$C$3143=P$1,
Master_Mapping_Sheet!$H$2:$H$3143=$A11))/sum(filter(
Maste"&amp;"r_Mapping_Sheet!$E$2:$E$3143, ISNUMBER(
Master_Mapping_Sheet!$E$2:$E$3143),
Master_Mapping_Sheet!$H$2:$H$3143=$A11)))"),0.0)</f>
        <v>0</v>
      </c>
      <c r="Q11" s="34">
        <f>IFERROR(__xludf.DUMMYFUNCTION("IF(ISNA(sum(filter(
Master_Mapping_Sheet!$E$2:$E$3143, ISNUMBER(
Master_Mapping_Sheet!$E$2:$E$3143),
Master_Mapping_Sheet!$C$2:$C$3143=Q$1,
Master_Mapping_Sheet!$H$2:$H$3143=$A11))/sum(filter(
Master_Mapping_Sheet!$E$2:$E$3143, ISNUMBER(
Master_Mapping_Sh"&amp;"eet!$E$2:$E$3143),
Master_Mapping_Sheet!$H$2:$H$3143=$A11))), 0, sum(filter(
Master_Mapping_Sheet!$E$2:$E$3143, ISNUMBER(
Master_Mapping_Sheet!$E$2:$E$3143),
Master_Mapping_Sheet!$C$2:$C$3143=Q$1,
Master_Mapping_Sheet!$H$2:$H$3143=$A11))/sum(filter(
Maste"&amp;"r_Mapping_Sheet!$E$2:$E$3143, ISNUMBER(
Master_Mapping_Sheet!$E$2:$E$3143),
Master_Mapping_Sheet!$H$2:$H$3143=$A11)))"),0.0)</f>
        <v>0</v>
      </c>
      <c r="R11" s="34">
        <f>IFERROR(__xludf.DUMMYFUNCTION("IF(ISNA(sum(filter(
Master_Mapping_Sheet!$E$2:$E$3143, ISNUMBER(
Master_Mapping_Sheet!$E$2:$E$3143),
Master_Mapping_Sheet!$C$2:$C$3143=R$1,
Master_Mapping_Sheet!$H$2:$H$3143=$A11))/sum(filter(
Master_Mapping_Sheet!$E$2:$E$3143, ISNUMBER(
Master_Mapping_Sh"&amp;"eet!$E$2:$E$3143),
Master_Mapping_Sheet!$H$2:$H$3143=$A11))), 0, sum(filter(
Master_Mapping_Sheet!$E$2:$E$3143, ISNUMBER(
Master_Mapping_Sheet!$E$2:$E$3143),
Master_Mapping_Sheet!$C$2:$C$3143=R$1,
Master_Mapping_Sheet!$H$2:$H$3143=$A11))/sum(filter(
Maste"&amp;"r_Mapping_Sheet!$E$2:$E$3143, ISNUMBER(
Master_Mapping_Sheet!$E$2:$E$3143),
Master_Mapping_Sheet!$H$2:$H$3143=$A11)))"),0.0)</f>
        <v>0</v>
      </c>
      <c r="S11" s="34">
        <f>IFERROR(__xludf.DUMMYFUNCTION("IF(ISNA(sum(filter(
Master_Mapping_Sheet!$E$2:$E$3143, ISNUMBER(
Master_Mapping_Sheet!$E$2:$E$3143),
Master_Mapping_Sheet!$C$2:$C$3143=S$1,
Master_Mapping_Sheet!$H$2:$H$3143=$A11))/sum(filter(
Master_Mapping_Sheet!$E$2:$E$3143, ISNUMBER(
Master_Mapping_Sh"&amp;"eet!$E$2:$E$3143),
Master_Mapping_Sheet!$H$2:$H$3143=$A11))), 0, sum(filter(
Master_Mapping_Sheet!$E$2:$E$3143, ISNUMBER(
Master_Mapping_Sheet!$E$2:$E$3143),
Master_Mapping_Sheet!$C$2:$C$3143=S$1,
Master_Mapping_Sheet!$H$2:$H$3143=$A11))/sum(filter(
Maste"&amp;"r_Mapping_Sheet!$E$2:$E$3143, ISNUMBER(
Master_Mapping_Sheet!$E$2:$E$3143),
Master_Mapping_Sheet!$H$2:$H$3143=$A11)))"),0.0)</f>
        <v>0</v>
      </c>
      <c r="T11" s="34">
        <f>IFERROR(__xludf.DUMMYFUNCTION("IF(ISNA(sum(filter(
Master_Mapping_Sheet!$E$2:$E$3143, ISNUMBER(
Master_Mapping_Sheet!$E$2:$E$3143),
Master_Mapping_Sheet!$C$2:$C$3143=T$1,
Master_Mapping_Sheet!$H$2:$H$3143=$A11))/sum(filter(
Master_Mapping_Sheet!$E$2:$E$3143, ISNUMBER(
Master_Mapping_Sh"&amp;"eet!$E$2:$E$3143),
Master_Mapping_Sheet!$H$2:$H$3143=$A11))), 0, sum(filter(
Master_Mapping_Sheet!$E$2:$E$3143, ISNUMBER(
Master_Mapping_Sheet!$E$2:$E$3143),
Master_Mapping_Sheet!$C$2:$C$3143=T$1,
Master_Mapping_Sheet!$H$2:$H$3143=$A11))/sum(filter(
Maste"&amp;"r_Mapping_Sheet!$E$2:$E$3143, ISNUMBER(
Master_Mapping_Sheet!$E$2:$E$3143),
Master_Mapping_Sheet!$H$2:$H$3143=$A11)))"),0.0)</f>
        <v>0</v>
      </c>
      <c r="U11" s="34">
        <f>IFERROR(__xludf.DUMMYFUNCTION("IF(ISNA(sum(filter(
Master_Mapping_Sheet!$E$2:$E$3143, ISNUMBER(
Master_Mapping_Sheet!$E$2:$E$3143),
Master_Mapping_Sheet!$C$2:$C$3143=U$1,
Master_Mapping_Sheet!$H$2:$H$3143=$A11))/sum(filter(
Master_Mapping_Sheet!$E$2:$E$3143, ISNUMBER(
Master_Mapping_Sh"&amp;"eet!$E$2:$E$3143),
Master_Mapping_Sheet!$H$2:$H$3143=$A11))), 0, sum(filter(
Master_Mapping_Sheet!$E$2:$E$3143, ISNUMBER(
Master_Mapping_Sheet!$E$2:$E$3143),
Master_Mapping_Sheet!$C$2:$C$3143=U$1,
Master_Mapping_Sheet!$H$2:$H$3143=$A11))/sum(filter(
Maste"&amp;"r_Mapping_Sheet!$E$2:$E$3143, ISNUMBER(
Master_Mapping_Sheet!$E$2:$E$3143),
Master_Mapping_Sheet!$H$2:$H$3143=$A11)))"),0.0)</f>
        <v>0</v>
      </c>
      <c r="V11" s="34">
        <f>IFERROR(__xludf.DUMMYFUNCTION("IF(ISNA(sum(filter(
Master_Mapping_Sheet!$E$2:$E$3143, ISNUMBER(
Master_Mapping_Sheet!$E$2:$E$3143),
Master_Mapping_Sheet!$C$2:$C$3143=V$1,
Master_Mapping_Sheet!$H$2:$H$3143=$A11))/sum(filter(
Master_Mapping_Sheet!$E$2:$E$3143, ISNUMBER(
Master_Mapping_Sh"&amp;"eet!$E$2:$E$3143),
Master_Mapping_Sheet!$H$2:$H$3143=$A11))), 0, sum(filter(
Master_Mapping_Sheet!$E$2:$E$3143, ISNUMBER(
Master_Mapping_Sheet!$E$2:$E$3143),
Master_Mapping_Sheet!$C$2:$C$3143=V$1,
Master_Mapping_Sheet!$H$2:$H$3143=$A11))/sum(filter(
Maste"&amp;"r_Mapping_Sheet!$E$2:$E$3143, ISNUMBER(
Master_Mapping_Sheet!$E$2:$E$3143),
Master_Mapping_Sheet!$H$2:$H$3143=$A11)))"),0.17870068865811756)</f>
        <v>0.1787006887</v>
      </c>
      <c r="W11" s="34">
        <f>IFERROR(__xludf.DUMMYFUNCTION("IF(ISNA(sum(filter(
Master_Mapping_Sheet!$E$2:$E$3143, ISNUMBER(
Master_Mapping_Sheet!$E$2:$E$3143),
Master_Mapping_Sheet!$C$2:$C$3143=W$1,
Master_Mapping_Sheet!$H$2:$H$3143=$A11))/sum(filter(
Master_Mapping_Sheet!$E$2:$E$3143, ISNUMBER(
Master_Mapping_Sh"&amp;"eet!$E$2:$E$3143),
Master_Mapping_Sheet!$H$2:$H$3143=$A11))), 0, sum(filter(
Master_Mapping_Sheet!$E$2:$E$3143, ISNUMBER(
Master_Mapping_Sheet!$E$2:$E$3143),
Master_Mapping_Sheet!$C$2:$C$3143=W$1,
Master_Mapping_Sheet!$H$2:$H$3143=$A11))/sum(filter(
Maste"&amp;"r_Mapping_Sheet!$E$2:$E$3143, ISNUMBER(
Master_Mapping_Sheet!$E$2:$E$3143),
Master_Mapping_Sheet!$H$2:$H$3143=$A11)))"),0.0)</f>
        <v>0</v>
      </c>
      <c r="X11" s="34">
        <f>IFERROR(__xludf.DUMMYFUNCTION("IF(ISNA(sum(filter(
Master_Mapping_Sheet!$E$2:$E$3143, ISNUMBER(
Master_Mapping_Sheet!$E$2:$E$3143),
Master_Mapping_Sheet!$C$2:$C$3143=X$1,
Master_Mapping_Sheet!$H$2:$H$3143=$A11))/sum(filter(
Master_Mapping_Sheet!$E$2:$E$3143, ISNUMBER(
Master_Mapping_Sh"&amp;"eet!$E$2:$E$3143),
Master_Mapping_Sheet!$H$2:$H$3143=$A11))), 0, sum(filter(
Master_Mapping_Sheet!$E$2:$E$3143, ISNUMBER(
Master_Mapping_Sheet!$E$2:$E$3143),
Master_Mapping_Sheet!$C$2:$C$3143=X$1,
Master_Mapping_Sheet!$H$2:$H$3143=$A11))/sum(filter(
Maste"&amp;"r_Mapping_Sheet!$E$2:$E$3143, ISNUMBER(
Master_Mapping_Sheet!$E$2:$E$3143),
Master_Mapping_Sheet!$H$2:$H$3143=$A11)))"),0.0)</f>
        <v>0</v>
      </c>
      <c r="Y11" s="34">
        <f>IFERROR(__xludf.DUMMYFUNCTION("IF(ISNA(sum(filter(
Master_Mapping_Sheet!$E$2:$E$3143, ISNUMBER(
Master_Mapping_Sheet!$E$2:$E$3143),
Master_Mapping_Sheet!$C$2:$C$3143=Y$1,
Master_Mapping_Sheet!$H$2:$H$3143=$A11))/sum(filter(
Master_Mapping_Sheet!$E$2:$E$3143, ISNUMBER(
Master_Mapping_Sh"&amp;"eet!$E$2:$E$3143),
Master_Mapping_Sheet!$H$2:$H$3143=$A11))), 0, sum(filter(
Master_Mapping_Sheet!$E$2:$E$3143, ISNUMBER(
Master_Mapping_Sheet!$E$2:$E$3143),
Master_Mapping_Sheet!$C$2:$C$3143=Y$1,
Master_Mapping_Sheet!$H$2:$H$3143=$A11))/sum(filter(
Maste"&amp;"r_Mapping_Sheet!$E$2:$E$3143, ISNUMBER(
Master_Mapping_Sheet!$E$2:$E$3143),
Master_Mapping_Sheet!$H$2:$H$3143=$A11)))"),0.0)</f>
        <v>0</v>
      </c>
      <c r="Z11" s="34">
        <f>IFERROR(__xludf.DUMMYFUNCTION("IF(ISNA(sum(filter(
Master_Mapping_Sheet!$E$2:$E$3143, ISNUMBER(
Master_Mapping_Sheet!$E$2:$E$3143),
Master_Mapping_Sheet!$C$2:$C$3143=Z$1,
Master_Mapping_Sheet!$H$2:$H$3143=$A11))/sum(filter(
Master_Mapping_Sheet!$E$2:$E$3143, ISNUMBER(
Master_Mapping_Sh"&amp;"eet!$E$2:$E$3143),
Master_Mapping_Sheet!$H$2:$H$3143=$A11))), 0, sum(filter(
Master_Mapping_Sheet!$E$2:$E$3143, ISNUMBER(
Master_Mapping_Sheet!$E$2:$E$3143),
Master_Mapping_Sheet!$C$2:$C$3143=Z$1,
Master_Mapping_Sheet!$H$2:$H$3143=$A11))/sum(filter(
Maste"&amp;"r_Mapping_Sheet!$E$2:$E$3143, ISNUMBER(
Master_Mapping_Sheet!$E$2:$E$3143),
Master_Mapping_Sheet!$H$2:$H$3143=$A11)))"),0.0)</f>
        <v>0</v>
      </c>
      <c r="AA11" s="34">
        <f>IFERROR(__xludf.DUMMYFUNCTION("IF(ISNA(sum(filter(
Master_Mapping_Sheet!$E$2:$E$3143, ISNUMBER(
Master_Mapping_Sheet!$E$2:$E$3143),
Master_Mapping_Sheet!$C$2:$C$3143=AA$1,
Master_Mapping_Sheet!$H$2:$H$3143=$A11))/sum(filter(
Master_Mapping_Sheet!$E$2:$E$3143, ISNUMBER(
Master_Mapping_S"&amp;"heet!$E$2:$E$3143),
Master_Mapping_Sheet!$H$2:$H$3143=$A11))), 0, sum(filter(
Master_Mapping_Sheet!$E$2:$E$3143, ISNUMBER(
Master_Mapping_Sheet!$E$2:$E$3143),
Master_Mapping_Sheet!$C$2:$C$3143=AA$1,
Master_Mapping_Sheet!$H$2:$H$3143=$A11))/sum(filter(
Mas"&amp;"ter_Mapping_Sheet!$E$2:$E$3143, ISNUMBER(
Master_Mapping_Sheet!$E$2:$E$3143),
Master_Mapping_Sheet!$H$2:$H$3143=$A11)))"),0.0)</f>
        <v>0</v>
      </c>
      <c r="AB11" s="34">
        <f>IFERROR(__xludf.DUMMYFUNCTION("IF(ISNA(sum(filter(
Master_Mapping_Sheet!$E$2:$E$3143, ISNUMBER(
Master_Mapping_Sheet!$E$2:$E$3143),
Master_Mapping_Sheet!$C$2:$C$3143=AB$1,
Master_Mapping_Sheet!$H$2:$H$3143=$A11))/sum(filter(
Master_Mapping_Sheet!$E$2:$E$3143, ISNUMBER(
Master_Mapping_S"&amp;"heet!$E$2:$E$3143),
Master_Mapping_Sheet!$H$2:$H$3143=$A11))), 0, sum(filter(
Master_Mapping_Sheet!$E$2:$E$3143, ISNUMBER(
Master_Mapping_Sheet!$E$2:$E$3143),
Master_Mapping_Sheet!$C$2:$C$3143=AB$1,
Master_Mapping_Sheet!$H$2:$H$3143=$A11))/sum(filter(
Mas"&amp;"ter_Mapping_Sheet!$E$2:$E$3143, ISNUMBER(
Master_Mapping_Sheet!$E$2:$E$3143),
Master_Mapping_Sheet!$H$2:$H$3143=$A11)))"),0.0)</f>
        <v>0</v>
      </c>
      <c r="AC11" s="34">
        <f>IFERROR(__xludf.DUMMYFUNCTION("IF(ISNA(sum(filter(
Master_Mapping_Sheet!$E$2:$E$3143, ISNUMBER(
Master_Mapping_Sheet!$E$2:$E$3143),
Master_Mapping_Sheet!$C$2:$C$3143=AC$1,
Master_Mapping_Sheet!$H$2:$H$3143=$A11))/sum(filter(
Master_Mapping_Sheet!$E$2:$E$3143, ISNUMBER(
Master_Mapping_S"&amp;"heet!$E$2:$E$3143),
Master_Mapping_Sheet!$H$2:$H$3143=$A11))), 0, sum(filter(
Master_Mapping_Sheet!$E$2:$E$3143, ISNUMBER(
Master_Mapping_Sheet!$E$2:$E$3143),
Master_Mapping_Sheet!$C$2:$C$3143=AC$1,
Master_Mapping_Sheet!$H$2:$H$3143=$A11))/sum(filter(
Mas"&amp;"ter_Mapping_Sheet!$E$2:$E$3143, ISNUMBER(
Master_Mapping_Sheet!$E$2:$E$3143),
Master_Mapping_Sheet!$H$2:$H$3143=$A11)))"),0.0)</f>
        <v>0</v>
      </c>
      <c r="AD11" s="34">
        <f>IFERROR(__xludf.DUMMYFUNCTION("IF(ISNA(sum(filter(
Master_Mapping_Sheet!$E$2:$E$3143, ISNUMBER(
Master_Mapping_Sheet!$E$2:$E$3143),
Master_Mapping_Sheet!$C$2:$C$3143=AD$1,
Master_Mapping_Sheet!$H$2:$H$3143=$A11))/sum(filter(
Master_Mapping_Sheet!$E$2:$E$3143, ISNUMBER(
Master_Mapping_S"&amp;"heet!$E$2:$E$3143),
Master_Mapping_Sheet!$H$2:$H$3143=$A11))), 0, sum(filter(
Master_Mapping_Sheet!$E$2:$E$3143, ISNUMBER(
Master_Mapping_Sheet!$E$2:$E$3143),
Master_Mapping_Sheet!$C$2:$C$3143=AD$1,
Master_Mapping_Sheet!$H$2:$H$3143=$A11))/sum(filter(
Mas"&amp;"ter_Mapping_Sheet!$E$2:$E$3143, ISNUMBER(
Master_Mapping_Sheet!$E$2:$E$3143),
Master_Mapping_Sheet!$H$2:$H$3143=$A11)))"),0.0)</f>
        <v>0</v>
      </c>
      <c r="AE11" s="34">
        <f>IFERROR(__xludf.DUMMYFUNCTION("IF(ISNA(sum(filter(
Master_Mapping_Sheet!$E$2:$E$3143, ISNUMBER(
Master_Mapping_Sheet!$E$2:$E$3143),
Master_Mapping_Sheet!$C$2:$C$3143=AE$1,
Master_Mapping_Sheet!$H$2:$H$3143=$A11))/sum(filter(
Master_Mapping_Sheet!$E$2:$E$3143, ISNUMBER(
Master_Mapping_S"&amp;"heet!$E$2:$E$3143),
Master_Mapping_Sheet!$H$2:$H$3143=$A11))), 0, sum(filter(
Master_Mapping_Sheet!$E$2:$E$3143, ISNUMBER(
Master_Mapping_Sheet!$E$2:$E$3143),
Master_Mapping_Sheet!$C$2:$C$3143=AE$1,
Master_Mapping_Sheet!$H$2:$H$3143=$A11))/sum(filter(
Mas"&amp;"ter_Mapping_Sheet!$E$2:$E$3143, ISNUMBER(
Master_Mapping_Sheet!$E$2:$E$3143),
Master_Mapping_Sheet!$H$2:$H$3143=$A11)))"),0.0)</f>
        <v>0</v>
      </c>
      <c r="AF11" s="34">
        <f>IFERROR(__xludf.DUMMYFUNCTION("IF(ISNA(sum(filter(
Master_Mapping_Sheet!$E$2:$E$3143, ISNUMBER(
Master_Mapping_Sheet!$E$2:$E$3143),
Master_Mapping_Sheet!$C$2:$C$3143=AF$1,
Master_Mapping_Sheet!$H$2:$H$3143=$A11))/sum(filter(
Master_Mapping_Sheet!$E$2:$E$3143, ISNUMBER(
Master_Mapping_S"&amp;"heet!$E$2:$E$3143),
Master_Mapping_Sheet!$H$2:$H$3143=$A11))), 0, sum(filter(
Master_Mapping_Sheet!$E$2:$E$3143, ISNUMBER(
Master_Mapping_Sheet!$E$2:$E$3143),
Master_Mapping_Sheet!$C$2:$C$3143=AF$1,
Master_Mapping_Sheet!$H$2:$H$3143=$A11))/sum(filter(
Mas"&amp;"ter_Mapping_Sheet!$E$2:$E$3143, ISNUMBER(
Master_Mapping_Sheet!$E$2:$E$3143),
Master_Mapping_Sheet!$H$2:$H$3143=$A11)))"),0.36275367666767544)</f>
        <v>0.3627536767</v>
      </c>
      <c r="AG11" s="34">
        <f>IFERROR(__xludf.DUMMYFUNCTION("IF(ISNA(sum(filter(
Master_Mapping_Sheet!$E$2:$E$3143, ISNUMBER(
Master_Mapping_Sheet!$E$2:$E$3143),
Master_Mapping_Sheet!$C$2:$C$3143=AG$1,
Master_Mapping_Sheet!$H$2:$H$3143=$A11))/sum(filter(
Master_Mapping_Sheet!$E$2:$E$3143, ISNUMBER(
Master_Mapping_S"&amp;"heet!$E$2:$E$3143),
Master_Mapping_Sheet!$H$2:$H$3143=$A11))), 0, sum(filter(
Master_Mapping_Sheet!$E$2:$E$3143, ISNUMBER(
Master_Mapping_Sheet!$E$2:$E$3143),
Master_Mapping_Sheet!$C$2:$C$3143=AG$1,
Master_Mapping_Sheet!$H$2:$H$3143=$A11))/sum(filter(
Mas"&amp;"ter_Mapping_Sheet!$E$2:$E$3143, ISNUMBER(
Master_Mapping_Sheet!$E$2:$E$3143),
Master_Mapping_Sheet!$H$2:$H$3143=$A11)))"),0.0)</f>
        <v>0</v>
      </c>
      <c r="AH11" s="34">
        <f>IFERROR(__xludf.DUMMYFUNCTION("IF(ISNA(sum(filter(
Master_Mapping_Sheet!$E$2:$E$3143, ISNUMBER(
Master_Mapping_Sheet!$E$2:$E$3143),
Master_Mapping_Sheet!$C$2:$C$3143=AH$1,
Master_Mapping_Sheet!$H$2:$H$3143=$A11))/sum(filter(
Master_Mapping_Sheet!$E$2:$E$3143, ISNUMBER(
Master_Mapping_S"&amp;"heet!$E$2:$E$3143),
Master_Mapping_Sheet!$H$2:$H$3143=$A11))), 0, sum(filter(
Master_Mapping_Sheet!$E$2:$E$3143, ISNUMBER(
Master_Mapping_Sheet!$E$2:$E$3143),
Master_Mapping_Sheet!$C$2:$C$3143=AH$1,
Master_Mapping_Sheet!$H$2:$H$3143=$A11))/sum(filter(
Mas"&amp;"ter_Mapping_Sheet!$E$2:$E$3143, ISNUMBER(
Master_Mapping_Sheet!$E$2:$E$3143),
Master_Mapping_Sheet!$H$2:$H$3143=$A11)))"),0.019158493116288575)</f>
        <v>0.01915849312</v>
      </c>
      <c r="AI11" s="34">
        <f>IFERROR(__xludf.DUMMYFUNCTION("IF(ISNA(sum(filter(
Master_Mapping_Sheet!$E$2:$E$3143, ISNUMBER(
Master_Mapping_Sheet!$E$2:$E$3143),
Master_Mapping_Sheet!$C$2:$C$3143=AI$1,
Master_Mapping_Sheet!$H$2:$H$3143=$A11))/sum(filter(
Master_Mapping_Sheet!$E$2:$E$3143, ISNUMBER(
Master_Mapping_S"&amp;"heet!$E$2:$E$3143),
Master_Mapping_Sheet!$H$2:$H$3143=$A11))), 0, sum(filter(
Master_Mapping_Sheet!$E$2:$E$3143, ISNUMBER(
Master_Mapping_Sheet!$E$2:$E$3143),
Master_Mapping_Sheet!$C$2:$C$3143=AI$1,
Master_Mapping_Sheet!$H$2:$H$3143=$A11))/sum(filter(
Mas"&amp;"ter_Mapping_Sheet!$E$2:$E$3143, ISNUMBER(
Master_Mapping_Sheet!$E$2:$E$3143),
Master_Mapping_Sheet!$H$2:$H$3143=$A11)))"),0.0)</f>
        <v>0</v>
      </c>
      <c r="AJ11" s="34">
        <f>IFERROR(__xludf.DUMMYFUNCTION("IF(ISNA(sum(filter(
Master_Mapping_Sheet!$E$2:$E$3143, ISNUMBER(
Master_Mapping_Sheet!$E$2:$E$3143),
Master_Mapping_Sheet!$C$2:$C$3143=AJ$1,
Master_Mapping_Sheet!$H$2:$H$3143=$A11))/sum(filter(
Master_Mapping_Sheet!$E$2:$E$3143, ISNUMBER(
Master_Mapping_S"&amp;"heet!$E$2:$E$3143),
Master_Mapping_Sheet!$H$2:$H$3143=$A11))), 0, sum(filter(
Master_Mapping_Sheet!$E$2:$E$3143, ISNUMBER(
Master_Mapping_Sheet!$E$2:$E$3143),
Master_Mapping_Sheet!$C$2:$C$3143=AJ$1,
Master_Mapping_Sheet!$H$2:$H$3143=$A11))/sum(filter(
Mas"&amp;"ter_Mapping_Sheet!$E$2:$E$3143, ISNUMBER(
Master_Mapping_Sheet!$E$2:$E$3143),
Master_Mapping_Sheet!$H$2:$H$3143=$A11)))"),0.0)</f>
        <v>0</v>
      </c>
      <c r="AK11" s="34">
        <f>IFERROR(__xludf.DUMMYFUNCTION("IF(ISNA(sum(filter(
Master_Mapping_Sheet!$E$2:$E$3143, ISNUMBER(
Master_Mapping_Sheet!$E$2:$E$3143),
Master_Mapping_Sheet!$C$2:$C$3143=AK$1,
Master_Mapping_Sheet!$H$2:$H$3143=$A11))/sum(filter(
Master_Mapping_Sheet!$E$2:$E$3143, ISNUMBER(
Master_Mapping_S"&amp;"heet!$E$2:$E$3143),
Master_Mapping_Sheet!$H$2:$H$3143=$A11))), 0, sum(filter(
Master_Mapping_Sheet!$E$2:$E$3143, ISNUMBER(
Master_Mapping_Sheet!$E$2:$E$3143),
Master_Mapping_Sheet!$C$2:$C$3143=AK$1,
Master_Mapping_Sheet!$H$2:$H$3143=$A11))/sum(filter(
Mas"&amp;"ter_Mapping_Sheet!$E$2:$E$3143, ISNUMBER(
Master_Mapping_Sheet!$E$2:$E$3143),
Master_Mapping_Sheet!$H$2:$H$3143=$A11)))"),0.0)</f>
        <v>0</v>
      </c>
      <c r="AL11" s="34">
        <f>IFERROR(__xludf.DUMMYFUNCTION("IF(ISNA(sum(filter(
Master_Mapping_Sheet!$E$2:$E$3143, ISNUMBER(
Master_Mapping_Sheet!$E$2:$E$3143),
Master_Mapping_Sheet!$C$2:$C$3143=AL$1,
Master_Mapping_Sheet!$H$2:$H$3143=$A11))/sum(filter(
Master_Mapping_Sheet!$E$2:$E$3143, ISNUMBER(
Master_Mapping_S"&amp;"heet!$E$2:$E$3143),
Master_Mapping_Sheet!$H$2:$H$3143=$A11))), 0, sum(filter(
Master_Mapping_Sheet!$E$2:$E$3143, ISNUMBER(
Master_Mapping_Sheet!$E$2:$E$3143),
Master_Mapping_Sheet!$C$2:$C$3143=AL$1,
Master_Mapping_Sheet!$H$2:$H$3143=$A11))/sum(filter(
Mas"&amp;"ter_Mapping_Sheet!$E$2:$E$3143, ISNUMBER(
Master_Mapping_Sheet!$E$2:$E$3143),
Master_Mapping_Sheet!$H$2:$H$3143=$A11)))"),0.0)</f>
        <v>0</v>
      </c>
      <c r="AM11" s="34">
        <f>IFERROR(__xludf.DUMMYFUNCTION("IF(ISNA(sum(filter(
Master_Mapping_Sheet!$E$2:$E$3143, ISNUMBER(
Master_Mapping_Sheet!$E$2:$E$3143),
Master_Mapping_Sheet!$C$2:$C$3143=AM$1,
Master_Mapping_Sheet!$H$2:$H$3143=$A11))/sum(filter(
Master_Mapping_Sheet!$E$2:$E$3143, ISNUMBER(
Master_Mapping_S"&amp;"heet!$E$2:$E$3143),
Master_Mapping_Sheet!$H$2:$H$3143=$A11))), 0, sum(filter(
Master_Mapping_Sheet!$E$2:$E$3143, ISNUMBER(
Master_Mapping_Sheet!$E$2:$E$3143),
Master_Mapping_Sheet!$C$2:$C$3143=AM$1,
Master_Mapping_Sheet!$H$2:$H$3143=$A11))/sum(filter(
Mas"&amp;"ter_Mapping_Sheet!$E$2:$E$3143, ISNUMBER(
Master_Mapping_Sheet!$E$2:$E$3143),
Master_Mapping_Sheet!$H$2:$H$3143=$A11)))"),0.0)</f>
        <v>0</v>
      </c>
      <c r="AN11" s="34">
        <f>IFERROR(__xludf.DUMMYFUNCTION("IF(ISNA(sum(filter(
Master_Mapping_Sheet!$E$2:$E$3143, ISNUMBER(
Master_Mapping_Sheet!$E$2:$E$3143),
Master_Mapping_Sheet!$C$2:$C$3143=AN$1,
Master_Mapping_Sheet!$H$2:$H$3143=$A11))/sum(filter(
Master_Mapping_Sheet!$E$2:$E$3143, ISNUMBER(
Master_Mapping_S"&amp;"heet!$E$2:$E$3143),
Master_Mapping_Sheet!$H$2:$H$3143=$A11))), 0, sum(filter(
Master_Mapping_Sheet!$E$2:$E$3143, ISNUMBER(
Master_Mapping_Sheet!$E$2:$E$3143),
Master_Mapping_Sheet!$C$2:$C$3143=AN$1,
Master_Mapping_Sheet!$H$2:$H$3143=$A11))/sum(filter(
Mas"&amp;"ter_Mapping_Sheet!$E$2:$E$3143, ISNUMBER(
Master_Mapping_Sheet!$E$2:$E$3143),
Master_Mapping_Sheet!$H$2:$H$3143=$A11)))"),0.39733065573251397)</f>
        <v>0.3973306557</v>
      </c>
      <c r="AO11" s="34">
        <f>IFERROR(__xludf.DUMMYFUNCTION("IF(ISNA(sum(filter(
Master_Mapping_Sheet!$E$2:$E$3143, ISNUMBER(
Master_Mapping_Sheet!$E$2:$E$3143),
Master_Mapping_Sheet!$C$2:$C$3143=AO$1,
Master_Mapping_Sheet!$H$2:$H$3143=$A11))/sum(filter(
Master_Mapping_Sheet!$E$2:$E$3143, ISNUMBER(
Master_Mapping_S"&amp;"heet!$E$2:$E$3143),
Master_Mapping_Sheet!$H$2:$H$3143=$A11))), 0, sum(filter(
Master_Mapping_Sheet!$E$2:$E$3143, ISNUMBER(
Master_Mapping_Sheet!$E$2:$E$3143),
Master_Mapping_Sheet!$C$2:$C$3143=AO$1,
Master_Mapping_Sheet!$H$2:$H$3143=$A11))/sum(filter(
Mas"&amp;"ter_Mapping_Sheet!$E$2:$E$3143, ISNUMBER(
Master_Mapping_Sheet!$E$2:$E$3143),
Master_Mapping_Sheet!$H$2:$H$3143=$A11)))"),0.0)</f>
        <v>0</v>
      </c>
      <c r="AP11" s="34">
        <f>IFERROR(__xludf.DUMMYFUNCTION("IF(ISNA(sum(filter(
Master_Mapping_Sheet!$E$2:$E$3143, ISNUMBER(
Master_Mapping_Sheet!$E$2:$E$3143),
Master_Mapping_Sheet!$C$2:$C$3143=AP$1,
Master_Mapping_Sheet!$H$2:$H$3143=$A11))/sum(filter(
Master_Mapping_Sheet!$E$2:$E$3143, ISNUMBER(
Master_Mapping_S"&amp;"heet!$E$2:$E$3143),
Master_Mapping_Sheet!$H$2:$H$3143=$A11))), 0, sum(filter(
Master_Mapping_Sheet!$E$2:$E$3143, ISNUMBER(
Master_Mapping_Sheet!$E$2:$E$3143),
Master_Mapping_Sheet!$C$2:$C$3143=AP$1,
Master_Mapping_Sheet!$H$2:$H$3143=$A11))/sum(filter(
Mas"&amp;"ter_Mapping_Sheet!$E$2:$E$3143, ISNUMBER(
Master_Mapping_Sheet!$E$2:$E$3143),
Master_Mapping_Sheet!$H$2:$H$3143=$A11)))"),0.0)</f>
        <v>0</v>
      </c>
      <c r="AQ11" s="34">
        <f>IFERROR(__xludf.DUMMYFUNCTION("IF(ISNA(sum(filter(
Master_Mapping_Sheet!$E$2:$E$3143, ISNUMBER(
Master_Mapping_Sheet!$E$2:$E$3143),
Master_Mapping_Sheet!$C$2:$C$3143=AQ$1,
Master_Mapping_Sheet!$H$2:$H$3143=$A11))/sum(filter(
Master_Mapping_Sheet!$E$2:$E$3143, ISNUMBER(
Master_Mapping_S"&amp;"heet!$E$2:$E$3143),
Master_Mapping_Sheet!$H$2:$H$3143=$A11))), 0, sum(filter(
Master_Mapping_Sheet!$E$2:$E$3143, ISNUMBER(
Master_Mapping_Sheet!$E$2:$E$3143),
Master_Mapping_Sheet!$C$2:$C$3143=AQ$1,
Master_Mapping_Sheet!$H$2:$H$3143=$A11))/sum(filter(
Mas"&amp;"ter_Mapping_Sheet!$E$2:$E$3143, ISNUMBER(
Master_Mapping_Sheet!$E$2:$E$3143),
Master_Mapping_Sheet!$H$2:$H$3143=$A11)))"),0.0)</f>
        <v>0</v>
      </c>
      <c r="AR11" s="34">
        <f>IFERROR(__xludf.DUMMYFUNCTION("IF(ISNA(sum(filter(
Master_Mapping_Sheet!$E$2:$E$3143, ISNUMBER(
Master_Mapping_Sheet!$E$2:$E$3143),
Master_Mapping_Sheet!$C$2:$C$3143=AR$1,
Master_Mapping_Sheet!$H$2:$H$3143=$A11))/sum(filter(
Master_Mapping_Sheet!$E$2:$E$3143, ISNUMBER(
Master_Mapping_S"&amp;"heet!$E$2:$E$3143),
Master_Mapping_Sheet!$H$2:$H$3143=$A11))), 0, sum(filter(
Master_Mapping_Sheet!$E$2:$E$3143, ISNUMBER(
Master_Mapping_Sheet!$E$2:$E$3143),
Master_Mapping_Sheet!$C$2:$C$3143=AR$1,
Master_Mapping_Sheet!$H$2:$H$3143=$A11))/sum(filter(
Mas"&amp;"ter_Mapping_Sheet!$E$2:$E$3143, ISNUMBER(
Master_Mapping_Sheet!$E$2:$E$3143),
Master_Mapping_Sheet!$H$2:$H$3143=$A11)))"),0.0)</f>
        <v>0</v>
      </c>
      <c r="AS11" s="34">
        <f>IFERROR(__xludf.DUMMYFUNCTION("IF(ISNA(sum(filter(
Master_Mapping_Sheet!$E$2:$E$3143, ISNUMBER(
Master_Mapping_Sheet!$E$2:$E$3143),
Master_Mapping_Sheet!$C$2:$C$3143=AS$1,
Master_Mapping_Sheet!$H$2:$H$3143=$A11))/sum(filter(
Master_Mapping_Sheet!$E$2:$E$3143, ISNUMBER(
Master_Mapping_S"&amp;"heet!$E$2:$E$3143),
Master_Mapping_Sheet!$H$2:$H$3143=$A11))), 0, sum(filter(
Master_Mapping_Sheet!$E$2:$E$3143, ISNUMBER(
Master_Mapping_Sheet!$E$2:$E$3143),
Master_Mapping_Sheet!$C$2:$C$3143=AS$1,
Master_Mapping_Sheet!$H$2:$H$3143=$A11))/sum(filter(
Mas"&amp;"ter_Mapping_Sheet!$E$2:$E$3143, ISNUMBER(
Master_Mapping_Sheet!$E$2:$E$3143),
Master_Mapping_Sheet!$H$2:$H$3143=$A11)))"),0.0)</f>
        <v>0</v>
      </c>
      <c r="AT11" s="34">
        <f>IFERROR(__xludf.DUMMYFUNCTION("IF(ISNA(sum(filter(
Master_Mapping_Sheet!$E$2:$E$3143, ISNUMBER(
Master_Mapping_Sheet!$E$2:$E$3143),
Master_Mapping_Sheet!$C$2:$C$3143=AT$1,
Master_Mapping_Sheet!$H$2:$H$3143=$A11))/sum(filter(
Master_Mapping_Sheet!$E$2:$E$3143, ISNUMBER(
Master_Mapping_S"&amp;"heet!$E$2:$E$3143),
Master_Mapping_Sheet!$H$2:$H$3143=$A11))), 0, sum(filter(
Master_Mapping_Sheet!$E$2:$E$3143, ISNUMBER(
Master_Mapping_Sheet!$E$2:$E$3143),
Master_Mapping_Sheet!$C$2:$C$3143=AT$1,
Master_Mapping_Sheet!$H$2:$H$3143=$A11))/sum(filter(
Mas"&amp;"ter_Mapping_Sheet!$E$2:$E$3143, ISNUMBER(
Master_Mapping_Sheet!$E$2:$E$3143),
Master_Mapping_Sheet!$H$2:$H$3143=$A11)))"),0.0)</f>
        <v>0</v>
      </c>
      <c r="AU11" s="34">
        <f>IFERROR(__xludf.DUMMYFUNCTION("IF(ISNA(sum(filter(
Master_Mapping_Sheet!$E$2:$E$3143, ISNUMBER(
Master_Mapping_Sheet!$E$2:$E$3143),
Master_Mapping_Sheet!$C$2:$C$3143=AU$1,
Master_Mapping_Sheet!$H$2:$H$3143=$A11))/sum(filter(
Master_Mapping_Sheet!$E$2:$E$3143, ISNUMBER(
Master_Mapping_S"&amp;"heet!$E$2:$E$3143),
Master_Mapping_Sheet!$H$2:$H$3143=$A11))), 0, sum(filter(
Master_Mapping_Sheet!$E$2:$E$3143, ISNUMBER(
Master_Mapping_Sheet!$E$2:$E$3143),
Master_Mapping_Sheet!$C$2:$C$3143=AU$1,
Master_Mapping_Sheet!$H$2:$H$3143=$A11))/sum(filter(
Mas"&amp;"ter_Mapping_Sheet!$E$2:$E$3143, ISNUMBER(
Master_Mapping_Sheet!$E$2:$E$3143),
Master_Mapping_Sheet!$H$2:$H$3143=$A11)))"),0.0)</f>
        <v>0</v>
      </c>
      <c r="AV11" s="34">
        <f>IFERROR(__xludf.DUMMYFUNCTION("IF(ISNA(sum(filter(
Master_Mapping_Sheet!$E$2:$E$3143, ISNUMBER(
Master_Mapping_Sheet!$E$2:$E$3143),
Master_Mapping_Sheet!$C$2:$C$3143=AV$1,
Master_Mapping_Sheet!$H$2:$H$3143=$A11))/sum(filter(
Master_Mapping_Sheet!$E$2:$E$3143, ISNUMBER(
Master_Mapping_S"&amp;"heet!$E$2:$E$3143),
Master_Mapping_Sheet!$H$2:$H$3143=$A11))), 0, sum(filter(
Master_Mapping_Sheet!$E$2:$E$3143, ISNUMBER(
Master_Mapping_Sheet!$E$2:$E$3143),
Master_Mapping_Sheet!$C$2:$C$3143=AV$1,
Master_Mapping_Sheet!$H$2:$H$3143=$A11))/sum(filter(
Mas"&amp;"ter_Mapping_Sheet!$E$2:$E$3143, ISNUMBER(
Master_Mapping_Sheet!$E$2:$E$3143),
Master_Mapping_Sheet!$H$2:$H$3143=$A11)))"),0.0017671415758787595)</f>
        <v>0.001767141576</v>
      </c>
      <c r="AW11" s="34">
        <f>IFERROR(__xludf.DUMMYFUNCTION("IF(ISNA(sum(filter(
Master_Mapping_Sheet!$E$2:$E$3143, ISNUMBER(
Master_Mapping_Sheet!$E$2:$E$3143),
Master_Mapping_Sheet!$C$2:$C$3143=AW$1,
Master_Mapping_Sheet!$H$2:$H$3143=$A11))/sum(filter(
Master_Mapping_Sheet!$E$2:$E$3143, ISNUMBER(
Master_Mapping_S"&amp;"heet!$E$2:$E$3143),
Master_Mapping_Sheet!$H$2:$H$3143=$A11))), 0, sum(filter(
Master_Mapping_Sheet!$E$2:$E$3143, ISNUMBER(
Master_Mapping_Sheet!$E$2:$E$3143),
Master_Mapping_Sheet!$C$2:$C$3143=AW$1,
Master_Mapping_Sheet!$H$2:$H$3143=$A11))/sum(filter(
Mas"&amp;"ter_Mapping_Sheet!$E$2:$E$3143, ISNUMBER(
Master_Mapping_Sheet!$E$2:$E$3143),
Master_Mapping_Sheet!$H$2:$H$3143=$A11)))"),0.0)</f>
        <v>0</v>
      </c>
      <c r="AX11" s="34">
        <f>IFERROR(__xludf.DUMMYFUNCTION("IF(ISNA(sum(filter(
Master_Mapping_Sheet!$E$2:$E$3143, ISNUMBER(
Master_Mapping_Sheet!$E$2:$E$3143),
Master_Mapping_Sheet!$C$2:$C$3143=AX$1,
Master_Mapping_Sheet!$H$2:$H$3143=$A11))/sum(filter(
Master_Mapping_Sheet!$E$2:$E$3143, ISNUMBER(
Master_Mapping_S"&amp;"heet!$E$2:$E$3143),
Master_Mapping_Sheet!$H$2:$H$3143=$A11))), 0, sum(filter(
Master_Mapping_Sheet!$E$2:$E$3143, ISNUMBER(
Master_Mapping_Sheet!$E$2:$E$3143),
Master_Mapping_Sheet!$C$2:$C$3143=AX$1,
Master_Mapping_Sheet!$H$2:$H$3143=$A11))/sum(filter(
Mas"&amp;"ter_Mapping_Sheet!$E$2:$E$3143, ISNUMBER(
Master_Mapping_Sheet!$E$2:$E$3143),
Master_Mapping_Sheet!$H$2:$H$3143=$A11)))"),0.0)</f>
        <v>0</v>
      </c>
      <c r="AY11" s="34">
        <f>IFERROR(__xludf.DUMMYFUNCTION("IF(ISNA(sum(filter(
Master_Mapping_Sheet!$E$2:$E$3143, ISNUMBER(
Master_Mapping_Sheet!$E$2:$E$3143),
Master_Mapping_Sheet!$C$2:$C$3143=AY$1,
Master_Mapping_Sheet!$H$2:$H$3143=$A11))/sum(filter(
Master_Mapping_Sheet!$E$2:$E$3143, ISNUMBER(
Master_Mapping_S"&amp;"heet!$E$2:$E$3143),
Master_Mapping_Sheet!$H$2:$H$3143=$A11))), 0, sum(filter(
Master_Mapping_Sheet!$E$2:$E$3143, ISNUMBER(
Master_Mapping_Sheet!$E$2:$E$3143),
Master_Mapping_Sheet!$C$2:$C$3143=AY$1,
Master_Mapping_Sheet!$H$2:$H$3143=$A11))/sum(filter(
Mas"&amp;"ter_Mapping_Sheet!$E$2:$E$3143, ISNUMBER(
Master_Mapping_Sheet!$E$2:$E$3143),
Master_Mapping_Sheet!$H$2:$H$3143=$A11)))"),0.0)</f>
        <v>0</v>
      </c>
      <c r="AZ11" s="34">
        <f>IFERROR(__xludf.DUMMYFUNCTION("IF(ISNA(sum(filter(
Master_Mapping_Sheet!$E$2:$E$3143, ISNUMBER(
Master_Mapping_Sheet!$E$2:$E$3143),
Master_Mapping_Sheet!$C$2:$C$3143=AZ$1,
Master_Mapping_Sheet!$H$2:$H$3143=$A11))/sum(filter(
Master_Mapping_Sheet!$E$2:$E$3143, ISNUMBER(
Master_Mapping_S"&amp;"heet!$E$2:$E$3143),
Master_Mapping_Sheet!$H$2:$H$3143=$A11))), 0, sum(filter(
Master_Mapping_Sheet!$E$2:$E$3143, ISNUMBER(
Master_Mapping_Sheet!$E$2:$E$3143),
Master_Mapping_Sheet!$C$2:$C$3143=AZ$1,
Master_Mapping_Sheet!$H$2:$H$3143=$A11))/sum(filter(
Mas"&amp;"ter_Mapping_Sheet!$E$2:$E$3143, ISNUMBER(
Master_Mapping_Sheet!$E$2:$E$3143),
Master_Mapping_Sheet!$H$2:$H$3143=$A11)))"),0.0)</f>
        <v>0</v>
      </c>
    </row>
    <row r="12" ht="15.75" customHeight="1">
      <c r="A12" s="34" t="s">
        <v>3997</v>
      </c>
      <c r="B12" s="34">
        <f>IFERROR(__xludf.DUMMYFUNCTION("IF(ISNA(sum(filter(
Master_Mapping_Sheet!$E$2:$E$3143, ISNUMBER(
Master_Mapping_Sheet!$E$2:$E$3143),
Master_Mapping_Sheet!$C$2:$C$3143=B$1,
Master_Mapping_Sheet!$H$2:$H$3143=$A12))/sum(filter(
Master_Mapping_Sheet!$E$2:$E$3143, ISNUMBER(
Master_Mapping_Sh"&amp;"eet!$E$2:$E$3143),
Master_Mapping_Sheet!$H$2:$H$3143=$A12))), 0, sum(filter(
Master_Mapping_Sheet!$E$2:$E$3143, ISNUMBER(
Master_Mapping_Sheet!$E$2:$E$3143),
Master_Mapping_Sheet!$C$2:$C$3143=B$1,
Master_Mapping_Sheet!$H$2:$H$3143=$A12))/sum(filter(
Maste"&amp;"r_Mapping_Sheet!$E$2:$E$3143, ISNUMBER(
Master_Mapping_Sheet!$E$2:$E$3143),
Master_Mapping_Sheet!$H$2:$H$3143=$A12)))"),0.0)</f>
        <v>0</v>
      </c>
      <c r="C12" s="34">
        <f>IFERROR(__xludf.DUMMYFUNCTION("IF(ISNA(sum(filter(
Master_Mapping_Sheet!$E$2:$E$3143, ISNUMBER(
Master_Mapping_Sheet!$E$2:$E$3143),
Master_Mapping_Sheet!$C$2:$C$3143=C$1,
Master_Mapping_Sheet!$H$2:$H$3143=$A12))/sum(filter(
Master_Mapping_Sheet!$E$2:$E$3143, ISNUMBER(
Master_Mapping_Sh"&amp;"eet!$E$2:$E$3143),
Master_Mapping_Sheet!$H$2:$H$3143=$A12))), 0, sum(filter(
Master_Mapping_Sheet!$E$2:$E$3143, ISNUMBER(
Master_Mapping_Sheet!$E$2:$E$3143),
Master_Mapping_Sheet!$C$2:$C$3143=C$1,
Master_Mapping_Sheet!$H$2:$H$3143=$A12))/sum(filter(
Maste"&amp;"r_Mapping_Sheet!$E$2:$E$3143, ISNUMBER(
Master_Mapping_Sheet!$E$2:$E$3143),
Master_Mapping_Sheet!$H$2:$H$3143=$A12)))"),0.0)</f>
        <v>0</v>
      </c>
      <c r="D12" s="34">
        <f>IFERROR(__xludf.DUMMYFUNCTION("IF(ISNA(sum(filter(
Master_Mapping_Sheet!$E$2:$E$3143, ISNUMBER(
Master_Mapping_Sheet!$E$2:$E$3143),
Master_Mapping_Sheet!$C$2:$C$3143=D$1,
Master_Mapping_Sheet!$H$2:$H$3143=$A12))/sum(filter(
Master_Mapping_Sheet!$E$2:$E$3143, ISNUMBER(
Master_Mapping_Sh"&amp;"eet!$E$2:$E$3143),
Master_Mapping_Sheet!$H$2:$H$3143=$A12))), 0, sum(filter(
Master_Mapping_Sheet!$E$2:$E$3143, ISNUMBER(
Master_Mapping_Sheet!$E$2:$E$3143),
Master_Mapping_Sheet!$C$2:$C$3143=D$1,
Master_Mapping_Sheet!$H$2:$H$3143=$A12))/sum(filter(
Maste"&amp;"r_Mapping_Sheet!$E$2:$E$3143, ISNUMBER(
Master_Mapping_Sheet!$E$2:$E$3143),
Master_Mapping_Sheet!$H$2:$H$3143=$A12)))"),0.0)</f>
        <v>0</v>
      </c>
      <c r="E12" s="34">
        <f>IFERROR(__xludf.DUMMYFUNCTION("IF(ISNA(sum(filter(
Master_Mapping_Sheet!$E$2:$E$3143, ISNUMBER(
Master_Mapping_Sheet!$E$2:$E$3143),
Master_Mapping_Sheet!$C$2:$C$3143=E$1,
Master_Mapping_Sheet!$H$2:$H$3143=$A12))/sum(filter(
Master_Mapping_Sheet!$E$2:$E$3143, ISNUMBER(
Master_Mapping_Sh"&amp;"eet!$E$2:$E$3143),
Master_Mapping_Sheet!$H$2:$H$3143=$A12))), 0, sum(filter(
Master_Mapping_Sheet!$E$2:$E$3143, ISNUMBER(
Master_Mapping_Sheet!$E$2:$E$3143),
Master_Mapping_Sheet!$C$2:$C$3143=E$1,
Master_Mapping_Sheet!$H$2:$H$3143=$A12))/sum(filter(
Maste"&amp;"r_Mapping_Sheet!$E$2:$E$3143, ISNUMBER(
Master_Mapping_Sheet!$E$2:$E$3143),
Master_Mapping_Sheet!$H$2:$H$3143=$A12)))"),0.0)</f>
        <v>0</v>
      </c>
      <c r="F12" s="34">
        <f>IFERROR(__xludf.DUMMYFUNCTION("IF(ISNA(sum(filter(
Master_Mapping_Sheet!$E$2:$E$3143, ISNUMBER(
Master_Mapping_Sheet!$E$2:$E$3143),
Master_Mapping_Sheet!$C$2:$C$3143=F$1,
Master_Mapping_Sheet!$H$2:$H$3143=$A12))/sum(filter(
Master_Mapping_Sheet!$E$2:$E$3143, ISNUMBER(
Master_Mapping_Sh"&amp;"eet!$E$2:$E$3143),
Master_Mapping_Sheet!$H$2:$H$3143=$A12))), 0, sum(filter(
Master_Mapping_Sheet!$E$2:$E$3143, ISNUMBER(
Master_Mapping_Sheet!$E$2:$E$3143),
Master_Mapping_Sheet!$C$2:$C$3143=F$1,
Master_Mapping_Sheet!$H$2:$H$3143=$A12))/sum(filter(
Maste"&amp;"r_Mapping_Sheet!$E$2:$E$3143, ISNUMBER(
Master_Mapping_Sheet!$E$2:$E$3143),
Master_Mapping_Sheet!$H$2:$H$3143=$A12)))"),0.0)</f>
        <v>0</v>
      </c>
      <c r="G12" s="34">
        <f>IFERROR(__xludf.DUMMYFUNCTION("IF(ISNA(sum(filter(
Master_Mapping_Sheet!$E$2:$E$3143, ISNUMBER(
Master_Mapping_Sheet!$E$2:$E$3143),
Master_Mapping_Sheet!$C$2:$C$3143=G$1,
Master_Mapping_Sheet!$H$2:$H$3143=$A12))/sum(filter(
Master_Mapping_Sheet!$E$2:$E$3143, ISNUMBER(
Master_Mapping_Sh"&amp;"eet!$E$2:$E$3143),
Master_Mapping_Sheet!$H$2:$H$3143=$A12))), 0, sum(filter(
Master_Mapping_Sheet!$E$2:$E$3143, ISNUMBER(
Master_Mapping_Sheet!$E$2:$E$3143),
Master_Mapping_Sheet!$C$2:$C$3143=G$1,
Master_Mapping_Sheet!$H$2:$H$3143=$A12))/sum(filter(
Maste"&amp;"r_Mapping_Sheet!$E$2:$E$3143, ISNUMBER(
Master_Mapping_Sheet!$E$2:$E$3143),
Master_Mapping_Sheet!$H$2:$H$3143=$A12)))"),0.0)</f>
        <v>0</v>
      </c>
      <c r="H12" s="34">
        <f>IFERROR(__xludf.DUMMYFUNCTION("IF(ISNA(sum(filter(
Master_Mapping_Sheet!$E$2:$E$3143, ISNUMBER(
Master_Mapping_Sheet!$E$2:$E$3143),
Master_Mapping_Sheet!$C$2:$C$3143=H$1,
Master_Mapping_Sheet!$H$2:$H$3143=$A12))/sum(filter(
Master_Mapping_Sheet!$E$2:$E$3143, ISNUMBER(
Master_Mapping_Sh"&amp;"eet!$E$2:$E$3143),
Master_Mapping_Sheet!$H$2:$H$3143=$A12))), 0, sum(filter(
Master_Mapping_Sheet!$E$2:$E$3143, ISNUMBER(
Master_Mapping_Sheet!$E$2:$E$3143),
Master_Mapping_Sheet!$C$2:$C$3143=H$1,
Master_Mapping_Sheet!$H$2:$H$3143=$A12))/sum(filter(
Maste"&amp;"r_Mapping_Sheet!$E$2:$E$3143, ISNUMBER(
Master_Mapping_Sheet!$E$2:$E$3143),
Master_Mapping_Sheet!$H$2:$H$3143=$A12)))"),0.0)</f>
        <v>0</v>
      </c>
      <c r="I12" s="34">
        <f>IFERROR(__xludf.DUMMYFUNCTION("IF(ISNA(sum(filter(
Master_Mapping_Sheet!$E$2:$E$3143, ISNUMBER(
Master_Mapping_Sheet!$E$2:$E$3143),
Master_Mapping_Sheet!$C$2:$C$3143=I$1,
Master_Mapping_Sheet!$H$2:$H$3143=$A12))/sum(filter(
Master_Mapping_Sheet!$E$2:$E$3143, ISNUMBER(
Master_Mapping_Sh"&amp;"eet!$E$2:$E$3143),
Master_Mapping_Sheet!$H$2:$H$3143=$A12))), 0, sum(filter(
Master_Mapping_Sheet!$E$2:$E$3143, ISNUMBER(
Master_Mapping_Sheet!$E$2:$E$3143),
Master_Mapping_Sheet!$C$2:$C$3143=I$1,
Master_Mapping_Sheet!$H$2:$H$3143=$A12))/sum(filter(
Maste"&amp;"r_Mapping_Sheet!$E$2:$E$3143, ISNUMBER(
Master_Mapping_Sheet!$E$2:$E$3143),
Master_Mapping_Sheet!$H$2:$H$3143=$A12)))"),0.0)</f>
        <v>0</v>
      </c>
      <c r="J12" s="34">
        <f>IFERROR(__xludf.DUMMYFUNCTION("IF(ISNA(sum(filter(
Master_Mapping_Sheet!$E$2:$E$3143, ISNUMBER(
Master_Mapping_Sheet!$E$2:$E$3143),
Master_Mapping_Sheet!$C$2:$C$3143=J$1,
Master_Mapping_Sheet!$H$2:$H$3143=$A12))/sum(filter(
Master_Mapping_Sheet!$E$2:$E$3143, ISNUMBER(
Master_Mapping_Sh"&amp;"eet!$E$2:$E$3143),
Master_Mapping_Sheet!$H$2:$H$3143=$A12))), 0, sum(filter(
Master_Mapping_Sheet!$E$2:$E$3143, ISNUMBER(
Master_Mapping_Sheet!$E$2:$E$3143),
Master_Mapping_Sheet!$C$2:$C$3143=J$1,
Master_Mapping_Sheet!$H$2:$H$3143=$A12))/sum(filter(
Maste"&amp;"r_Mapping_Sheet!$E$2:$E$3143, ISNUMBER(
Master_Mapping_Sheet!$E$2:$E$3143),
Master_Mapping_Sheet!$H$2:$H$3143=$A12)))"),0.0)</f>
        <v>0</v>
      </c>
      <c r="K12" s="34">
        <f>IFERROR(__xludf.DUMMYFUNCTION("IF(ISNA(sum(filter(
Master_Mapping_Sheet!$E$2:$E$3143, ISNUMBER(
Master_Mapping_Sheet!$E$2:$E$3143),
Master_Mapping_Sheet!$C$2:$C$3143=K$1,
Master_Mapping_Sheet!$H$2:$H$3143=$A12))/sum(filter(
Master_Mapping_Sheet!$E$2:$E$3143, ISNUMBER(
Master_Mapping_Sh"&amp;"eet!$E$2:$E$3143),
Master_Mapping_Sheet!$H$2:$H$3143=$A12))), 0, sum(filter(
Master_Mapping_Sheet!$E$2:$E$3143, ISNUMBER(
Master_Mapping_Sheet!$E$2:$E$3143),
Master_Mapping_Sheet!$C$2:$C$3143=K$1,
Master_Mapping_Sheet!$H$2:$H$3143=$A12))/sum(filter(
Maste"&amp;"r_Mapping_Sheet!$E$2:$E$3143, ISNUMBER(
Master_Mapping_Sheet!$E$2:$E$3143),
Master_Mapping_Sheet!$H$2:$H$3143=$A12)))"),0.0)</f>
        <v>0</v>
      </c>
      <c r="L12" s="34">
        <f>IFERROR(__xludf.DUMMYFUNCTION("IF(ISNA(sum(filter(
Master_Mapping_Sheet!$E$2:$E$3143, ISNUMBER(
Master_Mapping_Sheet!$E$2:$E$3143),
Master_Mapping_Sheet!$C$2:$C$3143=L$1,
Master_Mapping_Sheet!$H$2:$H$3143=$A12))/sum(filter(
Master_Mapping_Sheet!$E$2:$E$3143, ISNUMBER(
Master_Mapping_Sh"&amp;"eet!$E$2:$E$3143),
Master_Mapping_Sheet!$H$2:$H$3143=$A12))), 0, sum(filter(
Master_Mapping_Sheet!$E$2:$E$3143, ISNUMBER(
Master_Mapping_Sheet!$E$2:$E$3143),
Master_Mapping_Sheet!$C$2:$C$3143=L$1,
Master_Mapping_Sheet!$H$2:$H$3143=$A12))/sum(filter(
Maste"&amp;"r_Mapping_Sheet!$E$2:$E$3143, ISNUMBER(
Master_Mapping_Sheet!$E$2:$E$3143),
Master_Mapping_Sheet!$H$2:$H$3143=$A12)))"),0.0)</f>
        <v>0</v>
      </c>
      <c r="M12" s="34">
        <f>IFERROR(__xludf.DUMMYFUNCTION("IF(ISNA(sum(filter(
Master_Mapping_Sheet!$E$2:$E$3143, ISNUMBER(
Master_Mapping_Sheet!$E$2:$E$3143),
Master_Mapping_Sheet!$C$2:$C$3143=M$1,
Master_Mapping_Sheet!$H$2:$H$3143=$A12))/sum(filter(
Master_Mapping_Sheet!$E$2:$E$3143, ISNUMBER(
Master_Mapping_Sh"&amp;"eet!$E$2:$E$3143),
Master_Mapping_Sheet!$H$2:$H$3143=$A12))), 0, sum(filter(
Master_Mapping_Sheet!$E$2:$E$3143, ISNUMBER(
Master_Mapping_Sheet!$E$2:$E$3143),
Master_Mapping_Sheet!$C$2:$C$3143=M$1,
Master_Mapping_Sheet!$H$2:$H$3143=$A12))/sum(filter(
Maste"&amp;"r_Mapping_Sheet!$E$2:$E$3143, ISNUMBER(
Master_Mapping_Sheet!$E$2:$E$3143),
Master_Mapping_Sheet!$H$2:$H$3143=$A12)))"),0.0)</f>
        <v>0</v>
      </c>
      <c r="N12" s="34">
        <f>IFERROR(__xludf.DUMMYFUNCTION("IF(ISNA(sum(filter(
Master_Mapping_Sheet!$E$2:$E$3143, ISNUMBER(
Master_Mapping_Sheet!$E$2:$E$3143),
Master_Mapping_Sheet!$C$2:$C$3143=N$1,
Master_Mapping_Sheet!$H$2:$H$3143=$A12))/sum(filter(
Master_Mapping_Sheet!$E$2:$E$3143, ISNUMBER(
Master_Mapping_Sh"&amp;"eet!$E$2:$E$3143),
Master_Mapping_Sheet!$H$2:$H$3143=$A12))), 0, sum(filter(
Master_Mapping_Sheet!$E$2:$E$3143, ISNUMBER(
Master_Mapping_Sheet!$E$2:$E$3143),
Master_Mapping_Sheet!$C$2:$C$3143=N$1,
Master_Mapping_Sheet!$H$2:$H$3143=$A12))/sum(filter(
Maste"&amp;"r_Mapping_Sheet!$E$2:$E$3143, ISNUMBER(
Master_Mapping_Sheet!$E$2:$E$3143),
Master_Mapping_Sheet!$H$2:$H$3143=$A12)))"),0.0)</f>
        <v>0</v>
      </c>
      <c r="O12" s="34">
        <f>IFERROR(__xludf.DUMMYFUNCTION("IF(ISNA(sum(filter(
Master_Mapping_Sheet!$E$2:$E$3143, ISNUMBER(
Master_Mapping_Sheet!$E$2:$E$3143),
Master_Mapping_Sheet!$C$2:$C$3143=O$1,
Master_Mapping_Sheet!$H$2:$H$3143=$A12))/sum(filter(
Master_Mapping_Sheet!$E$2:$E$3143, ISNUMBER(
Master_Mapping_Sh"&amp;"eet!$E$2:$E$3143),
Master_Mapping_Sheet!$H$2:$H$3143=$A12))), 0, sum(filter(
Master_Mapping_Sheet!$E$2:$E$3143, ISNUMBER(
Master_Mapping_Sheet!$E$2:$E$3143),
Master_Mapping_Sheet!$C$2:$C$3143=O$1,
Master_Mapping_Sheet!$H$2:$H$3143=$A12))/sum(filter(
Maste"&amp;"r_Mapping_Sheet!$E$2:$E$3143, ISNUMBER(
Master_Mapping_Sheet!$E$2:$E$3143),
Master_Mapping_Sheet!$H$2:$H$3143=$A12)))"),0.0)</f>
        <v>0</v>
      </c>
      <c r="P12" s="34">
        <f>IFERROR(__xludf.DUMMYFUNCTION("IF(ISNA(sum(filter(
Master_Mapping_Sheet!$E$2:$E$3143, ISNUMBER(
Master_Mapping_Sheet!$E$2:$E$3143),
Master_Mapping_Sheet!$C$2:$C$3143=P$1,
Master_Mapping_Sheet!$H$2:$H$3143=$A12))/sum(filter(
Master_Mapping_Sheet!$E$2:$E$3143, ISNUMBER(
Master_Mapping_Sh"&amp;"eet!$E$2:$E$3143),
Master_Mapping_Sheet!$H$2:$H$3143=$A12))), 0, sum(filter(
Master_Mapping_Sheet!$E$2:$E$3143, ISNUMBER(
Master_Mapping_Sheet!$E$2:$E$3143),
Master_Mapping_Sheet!$C$2:$C$3143=P$1,
Master_Mapping_Sheet!$H$2:$H$3143=$A12))/sum(filter(
Maste"&amp;"r_Mapping_Sheet!$E$2:$E$3143, ISNUMBER(
Master_Mapping_Sheet!$E$2:$E$3143),
Master_Mapping_Sheet!$H$2:$H$3143=$A12)))"),0.10617813904197546)</f>
        <v>0.106178139</v>
      </c>
      <c r="Q12" s="34">
        <f>IFERROR(__xludf.DUMMYFUNCTION("IF(ISNA(sum(filter(
Master_Mapping_Sheet!$E$2:$E$3143, ISNUMBER(
Master_Mapping_Sheet!$E$2:$E$3143),
Master_Mapping_Sheet!$C$2:$C$3143=Q$1,
Master_Mapping_Sheet!$H$2:$H$3143=$A12))/sum(filter(
Master_Mapping_Sheet!$E$2:$E$3143, ISNUMBER(
Master_Mapping_Sh"&amp;"eet!$E$2:$E$3143),
Master_Mapping_Sheet!$H$2:$H$3143=$A12))), 0, sum(filter(
Master_Mapping_Sheet!$E$2:$E$3143, ISNUMBER(
Master_Mapping_Sheet!$E$2:$E$3143),
Master_Mapping_Sheet!$C$2:$C$3143=Q$1,
Master_Mapping_Sheet!$H$2:$H$3143=$A12))/sum(filter(
Maste"&amp;"r_Mapping_Sheet!$E$2:$E$3143, ISNUMBER(
Master_Mapping_Sheet!$E$2:$E$3143),
Master_Mapping_Sheet!$H$2:$H$3143=$A12)))"),0.0)</f>
        <v>0</v>
      </c>
      <c r="R12" s="34">
        <f>IFERROR(__xludf.DUMMYFUNCTION("IF(ISNA(sum(filter(
Master_Mapping_Sheet!$E$2:$E$3143, ISNUMBER(
Master_Mapping_Sheet!$E$2:$E$3143),
Master_Mapping_Sheet!$C$2:$C$3143=R$1,
Master_Mapping_Sheet!$H$2:$H$3143=$A12))/sum(filter(
Master_Mapping_Sheet!$E$2:$E$3143, ISNUMBER(
Master_Mapping_Sh"&amp;"eet!$E$2:$E$3143),
Master_Mapping_Sheet!$H$2:$H$3143=$A12))), 0, sum(filter(
Master_Mapping_Sheet!$E$2:$E$3143, ISNUMBER(
Master_Mapping_Sheet!$E$2:$E$3143),
Master_Mapping_Sheet!$C$2:$C$3143=R$1,
Master_Mapping_Sheet!$H$2:$H$3143=$A12))/sum(filter(
Maste"&amp;"r_Mapping_Sheet!$E$2:$E$3143, ISNUMBER(
Master_Mapping_Sheet!$E$2:$E$3143),
Master_Mapping_Sheet!$H$2:$H$3143=$A12)))"),0.0)</f>
        <v>0</v>
      </c>
      <c r="S12" s="34">
        <f>IFERROR(__xludf.DUMMYFUNCTION("IF(ISNA(sum(filter(
Master_Mapping_Sheet!$E$2:$E$3143, ISNUMBER(
Master_Mapping_Sheet!$E$2:$E$3143),
Master_Mapping_Sheet!$C$2:$C$3143=S$1,
Master_Mapping_Sheet!$H$2:$H$3143=$A12))/sum(filter(
Master_Mapping_Sheet!$E$2:$E$3143, ISNUMBER(
Master_Mapping_Sh"&amp;"eet!$E$2:$E$3143),
Master_Mapping_Sheet!$H$2:$H$3143=$A12))), 0, sum(filter(
Master_Mapping_Sheet!$E$2:$E$3143, ISNUMBER(
Master_Mapping_Sheet!$E$2:$E$3143),
Master_Mapping_Sheet!$C$2:$C$3143=S$1,
Master_Mapping_Sheet!$H$2:$H$3143=$A12))/sum(filter(
Maste"&amp;"r_Mapping_Sheet!$E$2:$E$3143, ISNUMBER(
Master_Mapping_Sheet!$E$2:$E$3143),
Master_Mapping_Sheet!$H$2:$H$3143=$A12)))"),0.018870587107574655)</f>
        <v>0.01887058711</v>
      </c>
      <c r="T12" s="34">
        <f>IFERROR(__xludf.DUMMYFUNCTION("IF(ISNA(sum(filter(
Master_Mapping_Sheet!$E$2:$E$3143, ISNUMBER(
Master_Mapping_Sheet!$E$2:$E$3143),
Master_Mapping_Sheet!$C$2:$C$3143=T$1,
Master_Mapping_Sheet!$H$2:$H$3143=$A12))/sum(filter(
Master_Mapping_Sheet!$E$2:$E$3143, ISNUMBER(
Master_Mapping_Sh"&amp;"eet!$E$2:$E$3143),
Master_Mapping_Sheet!$H$2:$H$3143=$A12))), 0, sum(filter(
Master_Mapping_Sheet!$E$2:$E$3143, ISNUMBER(
Master_Mapping_Sheet!$E$2:$E$3143),
Master_Mapping_Sheet!$C$2:$C$3143=T$1,
Master_Mapping_Sheet!$H$2:$H$3143=$A12))/sum(filter(
Maste"&amp;"r_Mapping_Sheet!$E$2:$E$3143, ISNUMBER(
Master_Mapping_Sheet!$E$2:$E$3143),
Master_Mapping_Sheet!$H$2:$H$3143=$A12)))"),0.0)</f>
        <v>0</v>
      </c>
      <c r="U12" s="34">
        <f>IFERROR(__xludf.DUMMYFUNCTION("IF(ISNA(sum(filter(
Master_Mapping_Sheet!$E$2:$E$3143, ISNUMBER(
Master_Mapping_Sheet!$E$2:$E$3143),
Master_Mapping_Sheet!$C$2:$C$3143=U$1,
Master_Mapping_Sheet!$H$2:$H$3143=$A12))/sum(filter(
Master_Mapping_Sheet!$E$2:$E$3143, ISNUMBER(
Master_Mapping_Sh"&amp;"eet!$E$2:$E$3143),
Master_Mapping_Sheet!$H$2:$H$3143=$A12))), 0, sum(filter(
Master_Mapping_Sheet!$E$2:$E$3143, ISNUMBER(
Master_Mapping_Sheet!$E$2:$E$3143),
Master_Mapping_Sheet!$C$2:$C$3143=U$1,
Master_Mapping_Sheet!$H$2:$H$3143=$A12))/sum(filter(
Maste"&amp;"r_Mapping_Sheet!$E$2:$E$3143, ISNUMBER(
Master_Mapping_Sheet!$E$2:$E$3143),
Master_Mapping_Sheet!$H$2:$H$3143=$A12)))"),0.0)</f>
        <v>0</v>
      </c>
      <c r="V12" s="34">
        <f>IFERROR(__xludf.DUMMYFUNCTION("IF(ISNA(sum(filter(
Master_Mapping_Sheet!$E$2:$E$3143, ISNUMBER(
Master_Mapping_Sheet!$E$2:$E$3143),
Master_Mapping_Sheet!$C$2:$C$3143=V$1,
Master_Mapping_Sheet!$H$2:$H$3143=$A12))/sum(filter(
Master_Mapping_Sheet!$E$2:$E$3143, ISNUMBER(
Master_Mapping_Sh"&amp;"eet!$E$2:$E$3143),
Master_Mapping_Sheet!$H$2:$H$3143=$A12))), 0, sum(filter(
Master_Mapping_Sheet!$E$2:$E$3143, ISNUMBER(
Master_Mapping_Sheet!$E$2:$E$3143),
Master_Mapping_Sheet!$C$2:$C$3143=V$1,
Master_Mapping_Sheet!$H$2:$H$3143=$A12))/sum(filter(
Maste"&amp;"r_Mapping_Sheet!$E$2:$E$3143, ISNUMBER(
Master_Mapping_Sheet!$E$2:$E$3143),
Master_Mapping_Sheet!$H$2:$H$3143=$A12)))"),0.07011554077520517)</f>
        <v>0.07011554078</v>
      </c>
      <c r="W12" s="34">
        <f>IFERROR(__xludf.DUMMYFUNCTION("IF(ISNA(sum(filter(
Master_Mapping_Sheet!$E$2:$E$3143, ISNUMBER(
Master_Mapping_Sheet!$E$2:$E$3143),
Master_Mapping_Sheet!$C$2:$C$3143=W$1,
Master_Mapping_Sheet!$H$2:$H$3143=$A12))/sum(filter(
Master_Mapping_Sheet!$E$2:$E$3143, ISNUMBER(
Master_Mapping_Sh"&amp;"eet!$E$2:$E$3143),
Master_Mapping_Sheet!$H$2:$H$3143=$A12))), 0, sum(filter(
Master_Mapping_Sheet!$E$2:$E$3143, ISNUMBER(
Master_Mapping_Sheet!$E$2:$E$3143),
Master_Mapping_Sheet!$C$2:$C$3143=W$1,
Master_Mapping_Sheet!$H$2:$H$3143=$A12))/sum(filter(
Maste"&amp;"r_Mapping_Sheet!$E$2:$E$3143, ISNUMBER(
Master_Mapping_Sheet!$E$2:$E$3143),
Master_Mapping_Sheet!$H$2:$H$3143=$A12)))"),0.0)</f>
        <v>0</v>
      </c>
      <c r="X12" s="34">
        <f>IFERROR(__xludf.DUMMYFUNCTION("IF(ISNA(sum(filter(
Master_Mapping_Sheet!$E$2:$E$3143, ISNUMBER(
Master_Mapping_Sheet!$E$2:$E$3143),
Master_Mapping_Sheet!$C$2:$C$3143=X$1,
Master_Mapping_Sheet!$H$2:$H$3143=$A12))/sum(filter(
Master_Mapping_Sheet!$E$2:$E$3143, ISNUMBER(
Master_Mapping_Sh"&amp;"eet!$E$2:$E$3143),
Master_Mapping_Sheet!$H$2:$H$3143=$A12))), 0, sum(filter(
Master_Mapping_Sheet!$E$2:$E$3143, ISNUMBER(
Master_Mapping_Sheet!$E$2:$E$3143),
Master_Mapping_Sheet!$C$2:$C$3143=X$1,
Master_Mapping_Sheet!$H$2:$H$3143=$A12))/sum(filter(
Maste"&amp;"r_Mapping_Sheet!$E$2:$E$3143, ISNUMBER(
Master_Mapping_Sheet!$E$2:$E$3143),
Master_Mapping_Sheet!$H$2:$H$3143=$A12)))"),0.03169257217133168)</f>
        <v>0.03169257217</v>
      </c>
      <c r="Y12" s="34">
        <f>IFERROR(__xludf.DUMMYFUNCTION("IF(ISNA(sum(filter(
Master_Mapping_Sheet!$E$2:$E$3143, ISNUMBER(
Master_Mapping_Sheet!$E$2:$E$3143),
Master_Mapping_Sheet!$C$2:$C$3143=Y$1,
Master_Mapping_Sheet!$H$2:$H$3143=$A12))/sum(filter(
Master_Mapping_Sheet!$E$2:$E$3143, ISNUMBER(
Master_Mapping_Sh"&amp;"eet!$E$2:$E$3143),
Master_Mapping_Sheet!$H$2:$H$3143=$A12))), 0, sum(filter(
Master_Mapping_Sheet!$E$2:$E$3143, ISNUMBER(
Master_Mapping_Sheet!$E$2:$E$3143),
Master_Mapping_Sheet!$C$2:$C$3143=Y$1,
Master_Mapping_Sheet!$H$2:$H$3143=$A12))/sum(filter(
Maste"&amp;"r_Mapping_Sheet!$E$2:$E$3143, ISNUMBER(
Master_Mapping_Sheet!$E$2:$E$3143),
Master_Mapping_Sheet!$H$2:$H$3143=$A12)))"),0.0)</f>
        <v>0</v>
      </c>
      <c r="Z12" s="34">
        <f>IFERROR(__xludf.DUMMYFUNCTION("IF(ISNA(sum(filter(
Master_Mapping_Sheet!$E$2:$E$3143, ISNUMBER(
Master_Mapping_Sheet!$E$2:$E$3143),
Master_Mapping_Sheet!$C$2:$C$3143=Z$1,
Master_Mapping_Sheet!$H$2:$H$3143=$A12))/sum(filter(
Master_Mapping_Sheet!$E$2:$E$3143, ISNUMBER(
Master_Mapping_Sh"&amp;"eet!$E$2:$E$3143),
Master_Mapping_Sheet!$H$2:$H$3143=$A12))), 0, sum(filter(
Master_Mapping_Sheet!$E$2:$E$3143, ISNUMBER(
Master_Mapping_Sheet!$E$2:$E$3143),
Master_Mapping_Sheet!$C$2:$C$3143=Z$1,
Master_Mapping_Sheet!$H$2:$H$3143=$A12))/sum(filter(
Maste"&amp;"r_Mapping_Sheet!$E$2:$E$3143, ISNUMBER(
Master_Mapping_Sheet!$E$2:$E$3143),
Master_Mapping_Sheet!$H$2:$H$3143=$A12)))"),0.0)</f>
        <v>0</v>
      </c>
      <c r="AA12" s="34">
        <f>IFERROR(__xludf.DUMMYFUNCTION("IF(ISNA(sum(filter(
Master_Mapping_Sheet!$E$2:$E$3143, ISNUMBER(
Master_Mapping_Sheet!$E$2:$E$3143),
Master_Mapping_Sheet!$C$2:$C$3143=AA$1,
Master_Mapping_Sheet!$H$2:$H$3143=$A12))/sum(filter(
Master_Mapping_Sheet!$E$2:$E$3143, ISNUMBER(
Master_Mapping_S"&amp;"heet!$E$2:$E$3143),
Master_Mapping_Sheet!$H$2:$H$3143=$A12))), 0, sum(filter(
Master_Mapping_Sheet!$E$2:$E$3143, ISNUMBER(
Master_Mapping_Sheet!$E$2:$E$3143),
Master_Mapping_Sheet!$C$2:$C$3143=AA$1,
Master_Mapping_Sheet!$H$2:$H$3143=$A12))/sum(filter(
Mas"&amp;"ter_Mapping_Sheet!$E$2:$E$3143, ISNUMBER(
Master_Mapping_Sheet!$E$2:$E$3143),
Master_Mapping_Sheet!$H$2:$H$3143=$A12)))"),0.0)</f>
        <v>0</v>
      </c>
      <c r="AB12" s="34">
        <f>IFERROR(__xludf.DUMMYFUNCTION("IF(ISNA(sum(filter(
Master_Mapping_Sheet!$E$2:$E$3143, ISNUMBER(
Master_Mapping_Sheet!$E$2:$E$3143),
Master_Mapping_Sheet!$C$2:$C$3143=AB$1,
Master_Mapping_Sheet!$H$2:$H$3143=$A12))/sum(filter(
Master_Mapping_Sheet!$E$2:$E$3143, ISNUMBER(
Master_Mapping_S"&amp;"heet!$E$2:$E$3143),
Master_Mapping_Sheet!$H$2:$H$3143=$A12))), 0, sum(filter(
Master_Mapping_Sheet!$E$2:$E$3143, ISNUMBER(
Master_Mapping_Sheet!$E$2:$E$3143),
Master_Mapping_Sheet!$C$2:$C$3143=AB$1,
Master_Mapping_Sheet!$H$2:$H$3143=$A12))/sum(filter(
Mas"&amp;"ter_Mapping_Sheet!$E$2:$E$3143, ISNUMBER(
Master_Mapping_Sheet!$E$2:$E$3143),
Master_Mapping_Sheet!$H$2:$H$3143=$A12)))"),0.0)</f>
        <v>0</v>
      </c>
      <c r="AC12" s="34">
        <f>IFERROR(__xludf.DUMMYFUNCTION("IF(ISNA(sum(filter(
Master_Mapping_Sheet!$E$2:$E$3143, ISNUMBER(
Master_Mapping_Sheet!$E$2:$E$3143),
Master_Mapping_Sheet!$C$2:$C$3143=AC$1,
Master_Mapping_Sheet!$H$2:$H$3143=$A12))/sum(filter(
Master_Mapping_Sheet!$E$2:$E$3143, ISNUMBER(
Master_Mapping_S"&amp;"heet!$E$2:$E$3143),
Master_Mapping_Sheet!$H$2:$H$3143=$A12))), 0, sum(filter(
Master_Mapping_Sheet!$E$2:$E$3143, ISNUMBER(
Master_Mapping_Sheet!$E$2:$E$3143),
Master_Mapping_Sheet!$C$2:$C$3143=AC$1,
Master_Mapping_Sheet!$H$2:$H$3143=$A12))/sum(filter(
Mas"&amp;"ter_Mapping_Sheet!$E$2:$E$3143, ISNUMBER(
Master_Mapping_Sheet!$E$2:$E$3143),
Master_Mapping_Sheet!$H$2:$H$3143=$A12)))"),0.0)</f>
        <v>0</v>
      </c>
      <c r="AD12" s="34">
        <f>IFERROR(__xludf.DUMMYFUNCTION("IF(ISNA(sum(filter(
Master_Mapping_Sheet!$E$2:$E$3143, ISNUMBER(
Master_Mapping_Sheet!$E$2:$E$3143),
Master_Mapping_Sheet!$C$2:$C$3143=AD$1,
Master_Mapping_Sheet!$H$2:$H$3143=$A12))/sum(filter(
Master_Mapping_Sheet!$E$2:$E$3143, ISNUMBER(
Master_Mapping_S"&amp;"heet!$E$2:$E$3143),
Master_Mapping_Sheet!$H$2:$H$3143=$A12))), 0, sum(filter(
Master_Mapping_Sheet!$E$2:$E$3143, ISNUMBER(
Master_Mapping_Sheet!$E$2:$E$3143),
Master_Mapping_Sheet!$C$2:$C$3143=AD$1,
Master_Mapping_Sheet!$H$2:$H$3143=$A12))/sum(filter(
Mas"&amp;"ter_Mapping_Sheet!$E$2:$E$3143, ISNUMBER(
Master_Mapping_Sheet!$E$2:$E$3143),
Master_Mapping_Sheet!$H$2:$H$3143=$A12)))"),0.0)</f>
        <v>0</v>
      </c>
      <c r="AE12" s="34">
        <f>IFERROR(__xludf.DUMMYFUNCTION("IF(ISNA(sum(filter(
Master_Mapping_Sheet!$E$2:$E$3143, ISNUMBER(
Master_Mapping_Sheet!$E$2:$E$3143),
Master_Mapping_Sheet!$C$2:$C$3143=AE$1,
Master_Mapping_Sheet!$H$2:$H$3143=$A12))/sum(filter(
Master_Mapping_Sheet!$E$2:$E$3143, ISNUMBER(
Master_Mapping_S"&amp;"heet!$E$2:$E$3143),
Master_Mapping_Sheet!$H$2:$H$3143=$A12))), 0, sum(filter(
Master_Mapping_Sheet!$E$2:$E$3143, ISNUMBER(
Master_Mapping_Sheet!$E$2:$E$3143),
Master_Mapping_Sheet!$C$2:$C$3143=AE$1,
Master_Mapping_Sheet!$H$2:$H$3143=$A12))/sum(filter(
Mas"&amp;"ter_Mapping_Sheet!$E$2:$E$3143, ISNUMBER(
Master_Mapping_Sheet!$E$2:$E$3143),
Master_Mapping_Sheet!$H$2:$H$3143=$A12)))"),0.0)</f>
        <v>0</v>
      </c>
      <c r="AF12" s="34">
        <f>IFERROR(__xludf.DUMMYFUNCTION("IF(ISNA(sum(filter(
Master_Mapping_Sheet!$E$2:$E$3143, ISNUMBER(
Master_Mapping_Sheet!$E$2:$E$3143),
Master_Mapping_Sheet!$C$2:$C$3143=AF$1,
Master_Mapping_Sheet!$H$2:$H$3143=$A12))/sum(filter(
Master_Mapping_Sheet!$E$2:$E$3143, ISNUMBER(
Master_Mapping_S"&amp;"heet!$E$2:$E$3143),
Master_Mapping_Sheet!$H$2:$H$3143=$A12))), 0, sum(filter(
Master_Mapping_Sheet!$E$2:$E$3143, ISNUMBER(
Master_Mapping_Sheet!$E$2:$E$3143),
Master_Mapping_Sheet!$C$2:$C$3143=AF$1,
Master_Mapping_Sheet!$H$2:$H$3143=$A12))/sum(filter(
Mas"&amp;"ter_Mapping_Sheet!$E$2:$E$3143, ISNUMBER(
Master_Mapping_Sheet!$E$2:$E$3143),
Master_Mapping_Sheet!$H$2:$H$3143=$A12)))"),0.0)</f>
        <v>0</v>
      </c>
      <c r="AG12" s="34">
        <f>IFERROR(__xludf.DUMMYFUNCTION("IF(ISNA(sum(filter(
Master_Mapping_Sheet!$E$2:$E$3143, ISNUMBER(
Master_Mapping_Sheet!$E$2:$E$3143),
Master_Mapping_Sheet!$C$2:$C$3143=AG$1,
Master_Mapping_Sheet!$H$2:$H$3143=$A12))/sum(filter(
Master_Mapping_Sheet!$E$2:$E$3143, ISNUMBER(
Master_Mapping_S"&amp;"heet!$E$2:$E$3143),
Master_Mapping_Sheet!$H$2:$H$3143=$A12))), 0, sum(filter(
Master_Mapping_Sheet!$E$2:$E$3143, ISNUMBER(
Master_Mapping_Sheet!$E$2:$E$3143),
Master_Mapping_Sheet!$C$2:$C$3143=AG$1,
Master_Mapping_Sheet!$H$2:$H$3143=$A12))/sum(filter(
Mas"&amp;"ter_Mapping_Sheet!$E$2:$E$3143, ISNUMBER(
Master_Mapping_Sheet!$E$2:$E$3143),
Master_Mapping_Sheet!$H$2:$H$3143=$A12)))"),0.0)</f>
        <v>0</v>
      </c>
      <c r="AH12" s="34">
        <f>IFERROR(__xludf.DUMMYFUNCTION("IF(ISNA(sum(filter(
Master_Mapping_Sheet!$E$2:$E$3143, ISNUMBER(
Master_Mapping_Sheet!$E$2:$E$3143),
Master_Mapping_Sheet!$C$2:$C$3143=AH$1,
Master_Mapping_Sheet!$H$2:$H$3143=$A12))/sum(filter(
Master_Mapping_Sheet!$E$2:$E$3143, ISNUMBER(
Master_Mapping_S"&amp;"heet!$E$2:$E$3143),
Master_Mapping_Sheet!$H$2:$H$3143=$A12))), 0, sum(filter(
Master_Mapping_Sheet!$E$2:$E$3143, ISNUMBER(
Master_Mapping_Sheet!$E$2:$E$3143),
Master_Mapping_Sheet!$C$2:$C$3143=AH$1,
Master_Mapping_Sheet!$H$2:$H$3143=$A12))/sum(filter(
Mas"&amp;"ter_Mapping_Sheet!$E$2:$E$3143, ISNUMBER(
Master_Mapping_Sheet!$E$2:$E$3143),
Master_Mapping_Sheet!$H$2:$H$3143=$A12)))"),0.0)</f>
        <v>0</v>
      </c>
      <c r="AI12" s="34">
        <f>IFERROR(__xludf.DUMMYFUNCTION("IF(ISNA(sum(filter(
Master_Mapping_Sheet!$E$2:$E$3143, ISNUMBER(
Master_Mapping_Sheet!$E$2:$E$3143),
Master_Mapping_Sheet!$C$2:$C$3143=AI$1,
Master_Mapping_Sheet!$H$2:$H$3143=$A12))/sum(filter(
Master_Mapping_Sheet!$E$2:$E$3143, ISNUMBER(
Master_Mapping_S"&amp;"heet!$E$2:$E$3143),
Master_Mapping_Sheet!$H$2:$H$3143=$A12))), 0, sum(filter(
Master_Mapping_Sheet!$E$2:$E$3143, ISNUMBER(
Master_Mapping_Sheet!$E$2:$E$3143),
Master_Mapping_Sheet!$C$2:$C$3143=AI$1,
Master_Mapping_Sheet!$H$2:$H$3143=$A12))/sum(filter(
Mas"&amp;"ter_Mapping_Sheet!$E$2:$E$3143, ISNUMBER(
Master_Mapping_Sheet!$E$2:$E$3143),
Master_Mapping_Sheet!$H$2:$H$3143=$A12)))"),0.0)</f>
        <v>0</v>
      </c>
      <c r="AJ12" s="34">
        <f>IFERROR(__xludf.DUMMYFUNCTION("IF(ISNA(sum(filter(
Master_Mapping_Sheet!$E$2:$E$3143, ISNUMBER(
Master_Mapping_Sheet!$E$2:$E$3143),
Master_Mapping_Sheet!$C$2:$C$3143=AJ$1,
Master_Mapping_Sheet!$H$2:$H$3143=$A12))/sum(filter(
Master_Mapping_Sheet!$E$2:$E$3143, ISNUMBER(
Master_Mapping_S"&amp;"heet!$E$2:$E$3143),
Master_Mapping_Sheet!$H$2:$H$3143=$A12))), 0, sum(filter(
Master_Mapping_Sheet!$E$2:$E$3143, ISNUMBER(
Master_Mapping_Sheet!$E$2:$E$3143),
Master_Mapping_Sheet!$C$2:$C$3143=AJ$1,
Master_Mapping_Sheet!$H$2:$H$3143=$A12))/sum(filter(
Mas"&amp;"ter_Mapping_Sheet!$E$2:$E$3143, ISNUMBER(
Master_Mapping_Sheet!$E$2:$E$3143),
Master_Mapping_Sheet!$H$2:$H$3143=$A12)))"),0.0)</f>
        <v>0</v>
      </c>
      <c r="AK12" s="34">
        <f>IFERROR(__xludf.DUMMYFUNCTION("IF(ISNA(sum(filter(
Master_Mapping_Sheet!$E$2:$E$3143, ISNUMBER(
Master_Mapping_Sheet!$E$2:$E$3143),
Master_Mapping_Sheet!$C$2:$C$3143=AK$1,
Master_Mapping_Sheet!$H$2:$H$3143=$A12))/sum(filter(
Master_Mapping_Sheet!$E$2:$E$3143, ISNUMBER(
Master_Mapping_S"&amp;"heet!$E$2:$E$3143),
Master_Mapping_Sheet!$H$2:$H$3143=$A12))), 0, sum(filter(
Master_Mapping_Sheet!$E$2:$E$3143, ISNUMBER(
Master_Mapping_Sheet!$E$2:$E$3143),
Master_Mapping_Sheet!$C$2:$C$3143=AK$1,
Master_Mapping_Sheet!$H$2:$H$3143=$A12))/sum(filter(
Mas"&amp;"ter_Mapping_Sheet!$E$2:$E$3143, ISNUMBER(
Master_Mapping_Sheet!$E$2:$E$3143),
Master_Mapping_Sheet!$H$2:$H$3143=$A12)))"),0.5153989063477502)</f>
        <v>0.5153989063</v>
      </c>
      <c r="AL12" s="34">
        <f>IFERROR(__xludf.DUMMYFUNCTION("IF(ISNA(sum(filter(
Master_Mapping_Sheet!$E$2:$E$3143, ISNUMBER(
Master_Mapping_Sheet!$E$2:$E$3143),
Master_Mapping_Sheet!$C$2:$C$3143=AL$1,
Master_Mapping_Sheet!$H$2:$H$3143=$A12))/sum(filter(
Master_Mapping_Sheet!$E$2:$E$3143, ISNUMBER(
Master_Mapping_S"&amp;"heet!$E$2:$E$3143),
Master_Mapping_Sheet!$H$2:$H$3143=$A12))), 0, sum(filter(
Master_Mapping_Sheet!$E$2:$E$3143, ISNUMBER(
Master_Mapping_Sheet!$E$2:$E$3143),
Master_Mapping_Sheet!$C$2:$C$3143=AL$1,
Master_Mapping_Sheet!$H$2:$H$3143=$A12))/sum(filter(
Mas"&amp;"ter_Mapping_Sheet!$E$2:$E$3143, ISNUMBER(
Master_Mapping_Sheet!$E$2:$E$3143),
Master_Mapping_Sheet!$H$2:$H$3143=$A12)))"),0.0)</f>
        <v>0</v>
      </c>
      <c r="AM12" s="34">
        <f>IFERROR(__xludf.DUMMYFUNCTION("IF(ISNA(sum(filter(
Master_Mapping_Sheet!$E$2:$E$3143, ISNUMBER(
Master_Mapping_Sheet!$E$2:$E$3143),
Master_Mapping_Sheet!$C$2:$C$3143=AM$1,
Master_Mapping_Sheet!$H$2:$H$3143=$A12))/sum(filter(
Master_Mapping_Sheet!$E$2:$E$3143, ISNUMBER(
Master_Mapping_S"&amp;"heet!$E$2:$E$3143),
Master_Mapping_Sheet!$H$2:$H$3143=$A12))), 0, sum(filter(
Master_Mapping_Sheet!$E$2:$E$3143, ISNUMBER(
Master_Mapping_Sheet!$E$2:$E$3143),
Master_Mapping_Sheet!$C$2:$C$3143=AM$1,
Master_Mapping_Sheet!$H$2:$H$3143=$A12))/sum(filter(
Mas"&amp;"ter_Mapping_Sheet!$E$2:$E$3143, ISNUMBER(
Master_Mapping_Sheet!$E$2:$E$3143),
Master_Mapping_Sheet!$H$2:$H$3143=$A12)))"),0.0)</f>
        <v>0</v>
      </c>
      <c r="AN12" s="34">
        <f>IFERROR(__xludf.DUMMYFUNCTION("IF(ISNA(sum(filter(
Master_Mapping_Sheet!$E$2:$E$3143, ISNUMBER(
Master_Mapping_Sheet!$E$2:$E$3143),
Master_Mapping_Sheet!$C$2:$C$3143=AN$1,
Master_Mapping_Sheet!$H$2:$H$3143=$A12))/sum(filter(
Master_Mapping_Sheet!$E$2:$E$3143, ISNUMBER(
Master_Mapping_S"&amp;"heet!$E$2:$E$3143),
Master_Mapping_Sheet!$H$2:$H$3143=$A12))), 0, sum(filter(
Master_Mapping_Sheet!$E$2:$E$3143, ISNUMBER(
Master_Mapping_Sheet!$E$2:$E$3143),
Master_Mapping_Sheet!$C$2:$C$3143=AN$1,
Master_Mapping_Sheet!$H$2:$H$3143=$A12))/sum(filter(
Mas"&amp;"ter_Mapping_Sheet!$E$2:$E$3143, ISNUMBER(
Master_Mapping_Sheet!$E$2:$E$3143),
Master_Mapping_Sheet!$H$2:$H$3143=$A12)))"),0.12179928123627151)</f>
        <v>0.1217992812</v>
      </c>
      <c r="AO12" s="34">
        <f>IFERROR(__xludf.DUMMYFUNCTION("IF(ISNA(sum(filter(
Master_Mapping_Sheet!$E$2:$E$3143, ISNUMBER(
Master_Mapping_Sheet!$E$2:$E$3143),
Master_Mapping_Sheet!$C$2:$C$3143=AO$1,
Master_Mapping_Sheet!$H$2:$H$3143=$A12))/sum(filter(
Master_Mapping_Sheet!$E$2:$E$3143, ISNUMBER(
Master_Mapping_S"&amp;"heet!$E$2:$E$3143),
Master_Mapping_Sheet!$H$2:$H$3143=$A12))), 0, sum(filter(
Master_Mapping_Sheet!$E$2:$E$3143, ISNUMBER(
Master_Mapping_Sheet!$E$2:$E$3143),
Master_Mapping_Sheet!$C$2:$C$3143=AO$1,
Master_Mapping_Sheet!$H$2:$H$3143=$A12))/sum(filter(
Mas"&amp;"ter_Mapping_Sheet!$E$2:$E$3143, ISNUMBER(
Master_Mapping_Sheet!$E$2:$E$3143),
Master_Mapping_Sheet!$H$2:$H$3143=$A12)))"),0.0)</f>
        <v>0</v>
      </c>
      <c r="AP12" s="34">
        <f>IFERROR(__xludf.DUMMYFUNCTION("IF(ISNA(sum(filter(
Master_Mapping_Sheet!$E$2:$E$3143, ISNUMBER(
Master_Mapping_Sheet!$E$2:$E$3143),
Master_Mapping_Sheet!$C$2:$C$3143=AP$1,
Master_Mapping_Sheet!$H$2:$H$3143=$A12))/sum(filter(
Master_Mapping_Sheet!$E$2:$E$3143, ISNUMBER(
Master_Mapping_S"&amp;"heet!$E$2:$E$3143),
Master_Mapping_Sheet!$H$2:$H$3143=$A12))), 0, sum(filter(
Master_Mapping_Sheet!$E$2:$E$3143, ISNUMBER(
Master_Mapping_Sheet!$E$2:$E$3143),
Master_Mapping_Sheet!$C$2:$C$3143=AP$1,
Master_Mapping_Sheet!$H$2:$H$3143=$A12))/sum(filter(
Mas"&amp;"ter_Mapping_Sheet!$E$2:$E$3143, ISNUMBER(
Master_Mapping_Sheet!$E$2:$E$3143),
Master_Mapping_Sheet!$H$2:$H$3143=$A12)))"),0.0)</f>
        <v>0</v>
      </c>
      <c r="AQ12" s="34">
        <f>IFERROR(__xludf.DUMMYFUNCTION("IF(ISNA(sum(filter(
Master_Mapping_Sheet!$E$2:$E$3143, ISNUMBER(
Master_Mapping_Sheet!$E$2:$E$3143),
Master_Mapping_Sheet!$C$2:$C$3143=AQ$1,
Master_Mapping_Sheet!$H$2:$H$3143=$A12))/sum(filter(
Master_Mapping_Sheet!$E$2:$E$3143, ISNUMBER(
Master_Mapping_S"&amp;"heet!$E$2:$E$3143),
Master_Mapping_Sheet!$H$2:$H$3143=$A12))), 0, sum(filter(
Master_Mapping_Sheet!$E$2:$E$3143, ISNUMBER(
Master_Mapping_Sheet!$E$2:$E$3143),
Master_Mapping_Sheet!$C$2:$C$3143=AQ$1,
Master_Mapping_Sheet!$H$2:$H$3143=$A12))/sum(filter(
Mas"&amp;"ter_Mapping_Sheet!$E$2:$E$3143, ISNUMBER(
Master_Mapping_Sheet!$E$2:$E$3143),
Master_Mapping_Sheet!$H$2:$H$3143=$A12)))"),0.0)</f>
        <v>0</v>
      </c>
      <c r="AR12" s="34">
        <f>IFERROR(__xludf.DUMMYFUNCTION("IF(ISNA(sum(filter(
Master_Mapping_Sheet!$E$2:$E$3143, ISNUMBER(
Master_Mapping_Sheet!$E$2:$E$3143),
Master_Mapping_Sheet!$C$2:$C$3143=AR$1,
Master_Mapping_Sheet!$H$2:$H$3143=$A12))/sum(filter(
Master_Mapping_Sheet!$E$2:$E$3143, ISNUMBER(
Master_Mapping_S"&amp;"heet!$E$2:$E$3143),
Master_Mapping_Sheet!$H$2:$H$3143=$A12))), 0, sum(filter(
Master_Mapping_Sheet!$E$2:$E$3143, ISNUMBER(
Master_Mapping_Sheet!$E$2:$E$3143),
Master_Mapping_Sheet!$C$2:$C$3143=AR$1,
Master_Mapping_Sheet!$H$2:$H$3143=$A12))/sum(filter(
Mas"&amp;"ter_Mapping_Sheet!$E$2:$E$3143, ISNUMBER(
Master_Mapping_Sheet!$E$2:$E$3143),
Master_Mapping_Sheet!$H$2:$H$3143=$A12)))"),0.0)</f>
        <v>0</v>
      </c>
      <c r="AS12" s="34">
        <f>IFERROR(__xludf.DUMMYFUNCTION("IF(ISNA(sum(filter(
Master_Mapping_Sheet!$E$2:$E$3143, ISNUMBER(
Master_Mapping_Sheet!$E$2:$E$3143),
Master_Mapping_Sheet!$C$2:$C$3143=AS$1,
Master_Mapping_Sheet!$H$2:$H$3143=$A12))/sum(filter(
Master_Mapping_Sheet!$E$2:$E$3143, ISNUMBER(
Master_Mapping_S"&amp;"heet!$E$2:$E$3143),
Master_Mapping_Sheet!$H$2:$H$3143=$A12))), 0, sum(filter(
Master_Mapping_Sheet!$E$2:$E$3143, ISNUMBER(
Master_Mapping_Sheet!$E$2:$E$3143),
Master_Mapping_Sheet!$C$2:$C$3143=AS$1,
Master_Mapping_Sheet!$H$2:$H$3143=$A12))/sum(filter(
Mas"&amp;"ter_Mapping_Sheet!$E$2:$E$3143, ISNUMBER(
Master_Mapping_Sheet!$E$2:$E$3143),
Master_Mapping_Sheet!$H$2:$H$3143=$A12)))"),0.0)</f>
        <v>0</v>
      </c>
      <c r="AT12" s="34">
        <f>IFERROR(__xludf.DUMMYFUNCTION("IF(ISNA(sum(filter(
Master_Mapping_Sheet!$E$2:$E$3143, ISNUMBER(
Master_Mapping_Sheet!$E$2:$E$3143),
Master_Mapping_Sheet!$C$2:$C$3143=AT$1,
Master_Mapping_Sheet!$H$2:$H$3143=$A12))/sum(filter(
Master_Mapping_Sheet!$E$2:$E$3143, ISNUMBER(
Master_Mapping_S"&amp;"heet!$E$2:$E$3143),
Master_Mapping_Sheet!$H$2:$H$3143=$A12))), 0, sum(filter(
Master_Mapping_Sheet!$E$2:$E$3143, ISNUMBER(
Master_Mapping_Sheet!$E$2:$E$3143),
Master_Mapping_Sheet!$C$2:$C$3143=AT$1,
Master_Mapping_Sheet!$H$2:$H$3143=$A12))/sum(filter(
Mas"&amp;"ter_Mapping_Sheet!$E$2:$E$3143, ISNUMBER(
Master_Mapping_Sheet!$E$2:$E$3143),
Master_Mapping_Sheet!$H$2:$H$3143=$A12)))"),0.0)</f>
        <v>0</v>
      </c>
      <c r="AU12" s="34">
        <f>IFERROR(__xludf.DUMMYFUNCTION("IF(ISNA(sum(filter(
Master_Mapping_Sheet!$E$2:$E$3143, ISNUMBER(
Master_Mapping_Sheet!$E$2:$E$3143),
Master_Mapping_Sheet!$C$2:$C$3143=AU$1,
Master_Mapping_Sheet!$H$2:$H$3143=$A12))/sum(filter(
Master_Mapping_Sheet!$E$2:$E$3143, ISNUMBER(
Master_Mapping_S"&amp;"heet!$E$2:$E$3143),
Master_Mapping_Sheet!$H$2:$H$3143=$A12))), 0, sum(filter(
Master_Mapping_Sheet!$E$2:$E$3143, ISNUMBER(
Master_Mapping_Sheet!$E$2:$E$3143),
Master_Mapping_Sheet!$C$2:$C$3143=AU$1,
Master_Mapping_Sheet!$H$2:$H$3143=$A12))/sum(filter(
Mas"&amp;"ter_Mapping_Sheet!$E$2:$E$3143, ISNUMBER(
Master_Mapping_Sheet!$E$2:$E$3143),
Master_Mapping_Sheet!$H$2:$H$3143=$A12)))"),0.0)</f>
        <v>0</v>
      </c>
      <c r="AV12" s="34">
        <f>IFERROR(__xludf.DUMMYFUNCTION("IF(ISNA(sum(filter(
Master_Mapping_Sheet!$E$2:$E$3143, ISNUMBER(
Master_Mapping_Sheet!$E$2:$E$3143),
Master_Mapping_Sheet!$C$2:$C$3143=AV$1,
Master_Mapping_Sheet!$H$2:$H$3143=$A12))/sum(filter(
Master_Mapping_Sheet!$E$2:$E$3143, ISNUMBER(
Master_Mapping_S"&amp;"heet!$E$2:$E$3143),
Master_Mapping_Sheet!$H$2:$H$3143=$A12))), 0, sum(filter(
Master_Mapping_Sheet!$E$2:$E$3143, ISNUMBER(
Master_Mapping_Sheet!$E$2:$E$3143),
Master_Mapping_Sheet!$C$2:$C$3143=AV$1,
Master_Mapping_Sheet!$H$2:$H$3143=$A12))/sum(filter(
Mas"&amp;"ter_Mapping_Sheet!$E$2:$E$3143, ISNUMBER(
Master_Mapping_Sheet!$E$2:$E$3143),
Master_Mapping_Sheet!$H$2:$H$3143=$A12)))"),0.05853977317600213)</f>
        <v>0.05853977318</v>
      </c>
      <c r="AW12" s="34">
        <f>IFERROR(__xludf.DUMMYFUNCTION("IF(ISNA(sum(filter(
Master_Mapping_Sheet!$E$2:$E$3143, ISNUMBER(
Master_Mapping_Sheet!$E$2:$E$3143),
Master_Mapping_Sheet!$C$2:$C$3143=AW$1,
Master_Mapping_Sheet!$H$2:$H$3143=$A12))/sum(filter(
Master_Mapping_Sheet!$E$2:$E$3143, ISNUMBER(
Master_Mapping_S"&amp;"heet!$E$2:$E$3143),
Master_Mapping_Sheet!$H$2:$H$3143=$A12))), 0, sum(filter(
Master_Mapping_Sheet!$E$2:$E$3143, ISNUMBER(
Master_Mapping_Sheet!$E$2:$E$3143),
Master_Mapping_Sheet!$C$2:$C$3143=AW$1,
Master_Mapping_Sheet!$H$2:$H$3143=$A12))/sum(filter(
Mas"&amp;"ter_Mapping_Sheet!$E$2:$E$3143, ISNUMBER(
Master_Mapping_Sheet!$E$2:$E$3143),
Master_Mapping_Sheet!$H$2:$H$3143=$A12)))"),0.0)</f>
        <v>0</v>
      </c>
      <c r="AX12" s="34">
        <f>IFERROR(__xludf.DUMMYFUNCTION("IF(ISNA(sum(filter(
Master_Mapping_Sheet!$E$2:$E$3143, ISNUMBER(
Master_Mapping_Sheet!$E$2:$E$3143),
Master_Mapping_Sheet!$C$2:$C$3143=AX$1,
Master_Mapping_Sheet!$H$2:$H$3143=$A12))/sum(filter(
Master_Mapping_Sheet!$E$2:$E$3143, ISNUMBER(
Master_Mapping_S"&amp;"heet!$E$2:$E$3143),
Master_Mapping_Sheet!$H$2:$H$3143=$A12))), 0, sum(filter(
Master_Mapping_Sheet!$E$2:$E$3143, ISNUMBER(
Master_Mapping_Sheet!$E$2:$E$3143),
Master_Mapping_Sheet!$C$2:$C$3143=AX$1,
Master_Mapping_Sheet!$H$2:$H$3143=$A12))/sum(filter(
Mas"&amp;"ter_Mapping_Sheet!$E$2:$E$3143, ISNUMBER(
Master_Mapping_Sheet!$E$2:$E$3143),
Master_Mapping_Sheet!$H$2:$H$3143=$A12)))"),0.07740520014388919)</f>
        <v>0.07740520014</v>
      </c>
      <c r="AY12" s="34">
        <f>IFERROR(__xludf.DUMMYFUNCTION("IF(ISNA(sum(filter(
Master_Mapping_Sheet!$E$2:$E$3143, ISNUMBER(
Master_Mapping_Sheet!$E$2:$E$3143),
Master_Mapping_Sheet!$C$2:$C$3143=AY$1,
Master_Mapping_Sheet!$H$2:$H$3143=$A12))/sum(filter(
Master_Mapping_Sheet!$E$2:$E$3143, ISNUMBER(
Master_Mapping_S"&amp;"heet!$E$2:$E$3143),
Master_Mapping_Sheet!$H$2:$H$3143=$A12))), 0, sum(filter(
Master_Mapping_Sheet!$E$2:$E$3143, ISNUMBER(
Master_Mapping_Sheet!$E$2:$E$3143),
Master_Mapping_Sheet!$C$2:$C$3143=AY$1,
Master_Mapping_Sheet!$H$2:$H$3143=$A12))/sum(filter(
Mas"&amp;"ter_Mapping_Sheet!$E$2:$E$3143, ISNUMBER(
Master_Mapping_Sheet!$E$2:$E$3143),
Master_Mapping_Sheet!$H$2:$H$3143=$A12)))"),0.0)</f>
        <v>0</v>
      </c>
      <c r="AZ12" s="34">
        <f>IFERROR(__xludf.DUMMYFUNCTION("IF(ISNA(sum(filter(
Master_Mapping_Sheet!$E$2:$E$3143, ISNUMBER(
Master_Mapping_Sheet!$E$2:$E$3143),
Master_Mapping_Sheet!$C$2:$C$3143=AZ$1,
Master_Mapping_Sheet!$H$2:$H$3143=$A12))/sum(filter(
Master_Mapping_Sheet!$E$2:$E$3143, ISNUMBER(
Master_Mapping_S"&amp;"heet!$E$2:$E$3143),
Master_Mapping_Sheet!$H$2:$H$3143=$A12))), 0, sum(filter(
Master_Mapping_Sheet!$E$2:$E$3143, ISNUMBER(
Master_Mapping_Sheet!$E$2:$E$3143),
Master_Mapping_Sheet!$C$2:$C$3143=AZ$1,
Master_Mapping_Sheet!$H$2:$H$3143=$A12))/sum(filter(
Mas"&amp;"ter_Mapping_Sheet!$E$2:$E$3143, ISNUMBER(
Master_Mapping_Sheet!$E$2:$E$3143),
Master_Mapping_Sheet!$H$2:$H$3143=$A12)))"),0.0)</f>
        <v>0</v>
      </c>
    </row>
    <row r="13" ht="15.75" customHeight="1">
      <c r="A13" s="34" t="s">
        <v>3994</v>
      </c>
      <c r="B13" s="34">
        <f>IFERROR(__xludf.DUMMYFUNCTION("IF(ISNA(sum(filter(
Master_Mapping_Sheet!$E$2:$E$3143, ISNUMBER(
Master_Mapping_Sheet!$E$2:$E$3143),
Master_Mapping_Sheet!$C$2:$C$3143=B$1,
Master_Mapping_Sheet!$H$2:$H$3143=$A13))/sum(filter(
Master_Mapping_Sheet!$E$2:$E$3143, ISNUMBER(
Master_Mapping_Sh"&amp;"eet!$E$2:$E$3143),
Master_Mapping_Sheet!$H$2:$H$3143=$A13))), 0, sum(filter(
Master_Mapping_Sheet!$E$2:$E$3143, ISNUMBER(
Master_Mapping_Sheet!$E$2:$E$3143),
Master_Mapping_Sheet!$C$2:$C$3143=B$1,
Master_Mapping_Sheet!$H$2:$H$3143=$A13))/sum(filter(
Maste"&amp;"r_Mapping_Sheet!$E$2:$E$3143, ISNUMBER(
Master_Mapping_Sheet!$E$2:$E$3143),
Master_Mapping_Sheet!$H$2:$H$3143=$A13)))"),0.0)</f>
        <v>0</v>
      </c>
      <c r="C13" s="34">
        <f>IFERROR(__xludf.DUMMYFUNCTION("IF(ISNA(sum(filter(
Master_Mapping_Sheet!$E$2:$E$3143, ISNUMBER(
Master_Mapping_Sheet!$E$2:$E$3143),
Master_Mapping_Sheet!$C$2:$C$3143=C$1,
Master_Mapping_Sheet!$H$2:$H$3143=$A13))/sum(filter(
Master_Mapping_Sheet!$E$2:$E$3143, ISNUMBER(
Master_Mapping_Sh"&amp;"eet!$E$2:$E$3143),
Master_Mapping_Sheet!$H$2:$H$3143=$A13))), 0, sum(filter(
Master_Mapping_Sheet!$E$2:$E$3143, ISNUMBER(
Master_Mapping_Sheet!$E$2:$E$3143),
Master_Mapping_Sheet!$C$2:$C$3143=C$1,
Master_Mapping_Sheet!$H$2:$H$3143=$A13))/sum(filter(
Maste"&amp;"r_Mapping_Sheet!$E$2:$E$3143, ISNUMBER(
Master_Mapping_Sheet!$E$2:$E$3143),
Master_Mapping_Sheet!$H$2:$H$3143=$A13)))"),0.0)</f>
        <v>0</v>
      </c>
      <c r="D13" s="34">
        <f>IFERROR(__xludf.DUMMYFUNCTION("IF(ISNA(sum(filter(
Master_Mapping_Sheet!$E$2:$E$3143, ISNUMBER(
Master_Mapping_Sheet!$E$2:$E$3143),
Master_Mapping_Sheet!$C$2:$C$3143=D$1,
Master_Mapping_Sheet!$H$2:$H$3143=$A13))/sum(filter(
Master_Mapping_Sheet!$E$2:$E$3143, ISNUMBER(
Master_Mapping_Sh"&amp;"eet!$E$2:$E$3143),
Master_Mapping_Sheet!$H$2:$H$3143=$A13))), 0, sum(filter(
Master_Mapping_Sheet!$E$2:$E$3143, ISNUMBER(
Master_Mapping_Sheet!$E$2:$E$3143),
Master_Mapping_Sheet!$C$2:$C$3143=D$1,
Master_Mapping_Sheet!$H$2:$H$3143=$A13))/sum(filter(
Maste"&amp;"r_Mapping_Sheet!$E$2:$E$3143, ISNUMBER(
Master_Mapping_Sheet!$E$2:$E$3143),
Master_Mapping_Sheet!$H$2:$H$3143=$A13)))"),0.0)</f>
        <v>0</v>
      </c>
      <c r="E13" s="34">
        <f>IFERROR(__xludf.DUMMYFUNCTION("IF(ISNA(sum(filter(
Master_Mapping_Sheet!$E$2:$E$3143, ISNUMBER(
Master_Mapping_Sheet!$E$2:$E$3143),
Master_Mapping_Sheet!$C$2:$C$3143=E$1,
Master_Mapping_Sheet!$H$2:$H$3143=$A13))/sum(filter(
Master_Mapping_Sheet!$E$2:$E$3143, ISNUMBER(
Master_Mapping_Sh"&amp;"eet!$E$2:$E$3143),
Master_Mapping_Sheet!$H$2:$H$3143=$A13))), 0, sum(filter(
Master_Mapping_Sheet!$E$2:$E$3143, ISNUMBER(
Master_Mapping_Sheet!$E$2:$E$3143),
Master_Mapping_Sheet!$C$2:$C$3143=E$1,
Master_Mapping_Sheet!$H$2:$H$3143=$A13))/sum(filter(
Maste"&amp;"r_Mapping_Sheet!$E$2:$E$3143, ISNUMBER(
Master_Mapping_Sheet!$E$2:$E$3143),
Master_Mapping_Sheet!$H$2:$H$3143=$A13)))"),0.0)</f>
        <v>0</v>
      </c>
      <c r="F13" s="34">
        <f>IFERROR(__xludf.DUMMYFUNCTION("IF(ISNA(sum(filter(
Master_Mapping_Sheet!$E$2:$E$3143, ISNUMBER(
Master_Mapping_Sheet!$E$2:$E$3143),
Master_Mapping_Sheet!$C$2:$C$3143=F$1,
Master_Mapping_Sheet!$H$2:$H$3143=$A13))/sum(filter(
Master_Mapping_Sheet!$E$2:$E$3143, ISNUMBER(
Master_Mapping_Sh"&amp;"eet!$E$2:$E$3143),
Master_Mapping_Sheet!$H$2:$H$3143=$A13))), 0, sum(filter(
Master_Mapping_Sheet!$E$2:$E$3143, ISNUMBER(
Master_Mapping_Sheet!$E$2:$E$3143),
Master_Mapping_Sheet!$C$2:$C$3143=F$1,
Master_Mapping_Sheet!$H$2:$H$3143=$A13))/sum(filter(
Maste"&amp;"r_Mapping_Sheet!$E$2:$E$3143, ISNUMBER(
Master_Mapping_Sheet!$E$2:$E$3143),
Master_Mapping_Sheet!$H$2:$H$3143=$A13)))"),0.0)</f>
        <v>0</v>
      </c>
      <c r="G13" s="34">
        <f>IFERROR(__xludf.DUMMYFUNCTION("IF(ISNA(sum(filter(
Master_Mapping_Sheet!$E$2:$E$3143, ISNUMBER(
Master_Mapping_Sheet!$E$2:$E$3143),
Master_Mapping_Sheet!$C$2:$C$3143=G$1,
Master_Mapping_Sheet!$H$2:$H$3143=$A13))/sum(filter(
Master_Mapping_Sheet!$E$2:$E$3143, ISNUMBER(
Master_Mapping_Sh"&amp;"eet!$E$2:$E$3143),
Master_Mapping_Sheet!$H$2:$H$3143=$A13))), 0, sum(filter(
Master_Mapping_Sheet!$E$2:$E$3143, ISNUMBER(
Master_Mapping_Sheet!$E$2:$E$3143),
Master_Mapping_Sheet!$C$2:$C$3143=G$1,
Master_Mapping_Sheet!$H$2:$H$3143=$A13))/sum(filter(
Maste"&amp;"r_Mapping_Sheet!$E$2:$E$3143, ISNUMBER(
Master_Mapping_Sheet!$E$2:$E$3143),
Master_Mapping_Sheet!$H$2:$H$3143=$A13)))"),0.0)</f>
        <v>0</v>
      </c>
      <c r="H13" s="34">
        <f>IFERROR(__xludf.DUMMYFUNCTION("IF(ISNA(sum(filter(
Master_Mapping_Sheet!$E$2:$E$3143, ISNUMBER(
Master_Mapping_Sheet!$E$2:$E$3143),
Master_Mapping_Sheet!$C$2:$C$3143=H$1,
Master_Mapping_Sheet!$H$2:$H$3143=$A13))/sum(filter(
Master_Mapping_Sheet!$E$2:$E$3143, ISNUMBER(
Master_Mapping_Sh"&amp;"eet!$E$2:$E$3143),
Master_Mapping_Sheet!$H$2:$H$3143=$A13))), 0, sum(filter(
Master_Mapping_Sheet!$E$2:$E$3143, ISNUMBER(
Master_Mapping_Sheet!$E$2:$E$3143),
Master_Mapping_Sheet!$C$2:$C$3143=H$1,
Master_Mapping_Sheet!$H$2:$H$3143=$A13))/sum(filter(
Maste"&amp;"r_Mapping_Sheet!$E$2:$E$3143, ISNUMBER(
Master_Mapping_Sheet!$E$2:$E$3143),
Master_Mapping_Sheet!$H$2:$H$3143=$A13)))"),0.0)</f>
        <v>0</v>
      </c>
      <c r="I13" s="34">
        <f>IFERROR(__xludf.DUMMYFUNCTION("IF(ISNA(sum(filter(
Master_Mapping_Sheet!$E$2:$E$3143, ISNUMBER(
Master_Mapping_Sheet!$E$2:$E$3143),
Master_Mapping_Sheet!$C$2:$C$3143=I$1,
Master_Mapping_Sheet!$H$2:$H$3143=$A13))/sum(filter(
Master_Mapping_Sheet!$E$2:$E$3143, ISNUMBER(
Master_Mapping_Sh"&amp;"eet!$E$2:$E$3143),
Master_Mapping_Sheet!$H$2:$H$3143=$A13))), 0, sum(filter(
Master_Mapping_Sheet!$E$2:$E$3143, ISNUMBER(
Master_Mapping_Sheet!$E$2:$E$3143),
Master_Mapping_Sheet!$C$2:$C$3143=I$1,
Master_Mapping_Sheet!$H$2:$H$3143=$A13))/sum(filter(
Maste"&amp;"r_Mapping_Sheet!$E$2:$E$3143, ISNUMBER(
Master_Mapping_Sheet!$E$2:$E$3143),
Master_Mapping_Sheet!$H$2:$H$3143=$A13)))"),0.0)</f>
        <v>0</v>
      </c>
      <c r="J13" s="34">
        <f>IFERROR(__xludf.DUMMYFUNCTION("IF(ISNA(sum(filter(
Master_Mapping_Sheet!$E$2:$E$3143, ISNUMBER(
Master_Mapping_Sheet!$E$2:$E$3143),
Master_Mapping_Sheet!$C$2:$C$3143=J$1,
Master_Mapping_Sheet!$H$2:$H$3143=$A13))/sum(filter(
Master_Mapping_Sheet!$E$2:$E$3143, ISNUMBER(
Master_Mapping_Sh"&amp;"eet!$E$2:$E$3143),
Master_Mapping_Sheet!$H$2:$H$3143=$A13))), 0, sum(filter(
Master_Mapping_Sheet!$E$2:$E$3143, ISNUMBER(
Master_Mapping_Sheet!$E$2:$E$3143),
Master_Mapping_Sheet!$C$2:$C$3143=J$1,
Master_Mapping_Sheet!$H$2:$H$3143=$A13))/sum(filter(
Maste"&amp;"r_Mapping_Sheet!$E$2:$E$3143, ISNUMBER(
Master_Mapping_Sheet!$E$2:$E$3143),
Master_Mapping_Sheet!$H$2:$H$3143=$A13)))"),0.0)</f>
        <v>0</v>
      </c>
      <c r="K13" s="34">
        <f>IFERROR(__xludf.DUMMYFUNCTION("IF(ISNA(sum(filter(
Master_Mapping_Sheet!$E$2:$E$3143, ISNUMBER(
Master_Mapping_Sheet!$E$2:$E$3143),
Master_Mapping_Sheet!$C$2:$C$3143=K$1,
Master_Mapping_Sheet!$H$2:$H$3143=$A13))/sum(filter(
Master_Mapping_Sheet!$E$2:$E$3143, ISNUMBER(
Master_Mapping_Sh"&amp;"eet!$E$2:$E$3143),
Master_Mapping_Sheet!$H$2:$H$3143=$A13))), 0, sum(filter(
Master_Mapping_Sheet!$E$2:$E$3143, ISNUMBER(
Master_Mapping_Sheet!$E$2:$E$3143),
Master_Mapping_Sheet!$C$2:$C$3143=K$1,
Master_Mapping_Sheet!$H$2:$H$3143=$A13))/sum(filter(
Maste"&amp;"r_Mapping_Sheet!$E$2:$E$3143, ISNUMBER(
Master_Mapping_Sheet!$E$2:$E$3143),
Master_Mapping_Sheet!$H$2:$H$3143=$A13)))"),0.0)</f>
        <v>0</v>
      </c>
      <c r="L13" s="34">
        <f>IFERROR(__xludf.DUMMYFUNCTION("IF(ISNA(sum(filter(
Master_Mapping_Sheet!$E$2:$E$3143, ISNUMBER(
Master_Mapping_Sheet!$E$2:$E$3143),
Master_Mapping_Sheet!$C$2:$C$3143=L$1,
Master_Mapping_Sheet!$H$2:$H$3143=$A13))/sum(filter(
Master_Mapping_Sheet!$E$2:$E$3143, ISNUMBER(
Master_Mapping_Sh"&amp;"eet!$E$2:$E$3143),
Master_Mapping_Sheet!$H$2:$H$3143=$A13))), 0, sum(filter(
Master_Mapping_Sheet!$E$2:$E$3143, ISNUMBER(
Master_Mapping_Sheet!$E$2:$E$3143),
Master_Mapping_Sheet!$C$2:$C$3143=L$1,
Master_Mapping_Sheet!$H$2:$H$3143=$A13))/sum(filter(
Maste"&amp;"r_Mapping_Sheet!$E$2:$E$3143, ISNUMBER(
Master_Mapping_Sheet!$E$2:$E$3143),
Master_Mapping_Sheet!$H$2:$H$3143=$A13)))"),0.0)</f>
        <v>0</v>
      </c>
      <c r="M13" s="34">
        <f>IFERROR(__xludf.DUMMYFUNCTION("IF(ISNA(sum(filter(
Master_Mapping_Sheet!$E$2:$E$3143, ISNUMBER(
Master_Mapping_Sheet!$E$2:$E$3143),
Master_Mapping_Sheet!$C$2:$C$3143=M$1,
Master_Mapping_Sheet!$H$2:$H$3143=$A13))/sum(filter(
Master_Mapping_Sheet!$E$2:$E$3143, ISNUMBER(
Master_Mapping_Sh"&amp;"eet!$E$2:$E$3143),
Master_Mapping_Sheet!$H$2:$H$3143=$A13))), 0, sum(filter(
Master_Mapping_Sheet!$E$2:$E$3143, ISNUMBER(
Master_Mapping_Sheet!$E$2:$E$3143),
Master_Mapping_Sheet!$C$2:$C$3143=M$1,
Master_Mapping_Sheet!$H$2:$H$3143=$A13))/sum(filter(
Maste"&amp;"r_Mapping_Sheet!$E$2:$E$3143, ISNUMBER(
Master_Mapping_Sheet!$E$2:$E$3143),
Master_Mapping_Sheet!$H$2:$H$3143=$A13)))"),0.0)</f>
        <v>0</v>
      </c>
      <c r="N13" s="34">
        <f>IFERROR(__xludf.DUMMYFUNCTION("IF(ISNA(sum(filter(
Master_Mapping_Sheet!$E$2:$E$3143, ISNUMBER(
Master_Mapping_Sheet!$E$2:$E$3143),
Master_Mapping_Sheet!$C$2:$C$3143=N$1,
Master_Mapping_Sheet!$H$2:$H$3143=$A13))/sum(filter(
Master_Mapping_Sheet!$E$2:$E$3143, ISNUMBER(
Master_Mapping_Sh"&amp;"eet!$E$2:$E$3143),
Master_Mapping_Sheet!$H$2:$H$3143=$A13))), 0, sum(filter(
Master_Mapping_Sheet!$E$2:$E$3143, ISNUMBER(
Master_Mapping_Sheet!$E$2:$E$3143),
Master_Mapping_Sheet!$C$2:$C$3143=N$1,
Master_Mapping_Sheet!$H$2:$H$3143=$A13))/sum(filter(
Maste"&amp;"r_Mapping_Sheet!$E$2:$E$3143, ISNUMBER(
Master_Mapping_Sheet!$E$2:$E$3143),
Master_Mapping_Sheet!$H$2:$H$3143=$A13)))"),0.0)</f>
        <v>0</v>
      </c>
      <c r="O13" s="34">
        <f>IFERROR(__xludf.DUMMYFUNCTION("IF(ISNA(sum(filter(
Master_Mapping_Sheet!$E$2:$E$3143, ISNUMBER(
Master_Mapping_Sheet!$E$2:$E$3143),
Master_Mapping_Sheet!$C$2:$C$3143=O$1,
Master_Mapping_Sheet!$H$2:$H$3143=$A13))/sum(filter(
Master_Mapping_Sheet!$E$2:$E$3143, ISNUMBER(
Master_Mapping_Sh"&amp;"eet!$E$2:$E$3143),
Master_Mapping_Sheet!$H$2:$H$3143=$A13))), 0, sum(filter(
Master_Mapping_Sheet!$E$2:$E$3143, ISNUMBER(
Master_Mapping_Sheet!$E$2:$E$3143),
Master_Mapping_Sheet!$C$2:$C$3143=O$1,
Master_Mapping_Sheet!$H$2:$H$3143=$A13))/sum(filter(
Maste"&amp;"r_Mapping_Sheet!$E$2:$E$3143, ISNUMBER(
Master_Mapping_Sheet!$E$2:$E$3143),
Master_Mapping_Sheet!$H$2:$H$3143=$A13)))"),1.0)</f>
        <v>1</v>
      </c>
      <c r="P13" s="34">
        <f>IFERROR(__xludf.DUMMYFUNCTION("IF(ISNA(sum(filter(
Master_Mapping_Sheet!$E$2:$E$3143, ISNUMBER(
Master_Mapping_Sheet!$E$2:$E$3143),
Master_Mapping_Sheet!$C$2:$C$3143=P$1,
Master_Mapping_Sheet!$H$2:$H$3143=$A13))/sum(filter(
Master_Mapping_Sheet!$E$2:$E$3143, ISNUMBER(
Master_Mapping_Sh"&amp;"eet!$E$2:$E$3143),
Master_Mapping_Sheet!$H$2:$H$3143=$A13))), 0, sum(filter(
Master_Mapping_Sheet!$E$2:$E$3143, ISNUMBER(
Master_Mapping_Sheet!$E$2:$E$3143),
Master_Mapping_Sheet!$C$2:$C$3143=P$1,
Master_Mapping_Sheet!$H$2:$H$3143=$A13))/sum(filter(
Maste"&amp;"r_Mapping_Sheet!$E$2:$E$3143, ISNUMBER(
Master_Mapping_Sheet!$E$2:$E$3143),
Master_Mapping_Sheet!$H$2:$H$3143=$A13)))"),0.0)</f>
        <v>0</v>
      </c>
      <c r="Q13" s="34">
        <f>IFERROR(__xludf.DUMMYFUNCTION("IF(ISNA(sum(filter(
Master_Mapping_Sheet!$E$2:$E$3143, ISNUMBER(
Master_Mapping_Sheet!$E$2:$E$3143),
Master_Mapping_Sheet!$C$2:$C$3143=Q$1,
Master_Mapping_Sheet!$H$2:$H$3143=$A13))/sum(filter(
Master_Mapping_Sheet!$E$2:$E$3143, ISNUMBER(
Master_Mapping_Sh"&amp;"eet!$E$2:$E$3143),
Master_Mapping_Sheet!$H$2:$H$3143=$A13))), 0, sum(filter(
Master_Mapping_Sheet!$E$2:$E$3143, ISNUMBER(
Master_Mapping_Sheet!$E$2:$E$3143),
Master_Mapping_Sheet!$C$2:$C$3143=Q$1,
Master_Mapping_Sheet!$H$2:$H$3143=$A13))/sum(filter(
Maste"&amp;"r_Mapping_Sheet!$E$2:$E$3143, ISNUMBER(
Master_Mapping_Sheet!$E$2:$E$3143),
Master_Mapping_Sheet!$H$2:$H$3143=$A13)))"),0.0)</f>
        <v>0</v>
      </c>
      <c r="R13" s="34">
        <f>IFERROR(__xludf.DUMMYFUNCTION("IF(ISNA(sum(filter(
Master_Mapping_Sheet!$E$2:$E$3143, ISNUMBER(
Master_Mapping_Sheet!$E$2:$E$3143),
Master_Mapping_Sheet!$C$2:$C$3143=R$1,
Master_Mapping_Sheet!$H$2:$H$3143=$A13))/sum(filter(
Master_Mapping_Sheet!$E$2:$E$3143, ISNUMBER(
Master_Mapping_Sh"&amp;"eet!$E$2:$E$3143),
Master_Mapping_Sheet!$H$2:$H$3143=$A13))), 0, sum(filter(
Master_Mapping_Sheet!$E$2:$E$3143, ISNUMBER(
Master_Mapping_Sheet!$E$2:$E$3143),
Master_Mapping_Sheet!$C$2:$C$3143=R$1,
Master_Mapping_Sheet!$H$2:$H$3143=$A13))/sum(filter(
Maste"&amp;"r_Mapping_Sheet!$E$2:$E$3143, ISNUMBER(
Master_Mapping_Sheet!$E$2:$E$3143),
Master_Mapping_Sheet!$H$2:$H$3143=$A13)))"),0.0)</f>
        <v>0</v>
      </c>
      <c r="S13" s="34">
        <f>IFERROR(__xludf.DUMMYFUNCTION("IF(ISNA(sum(filter(
Master_Mapping_Sheet!$E$2:$E$3143, ISNUMBER(
Master_Mapping_Sheet!$E$2:$E$3143),
Master_Mapping_Sheet!$C$2:$C$3143=S$1,
Master_Mapping_Sheet!$H$2:$H$3143=$A13))/sum(filter(
Master_Mapping_Sheet!$E$2:$E$3143, ISNUMBER(
Master_Mapping_Sh"&amp;"eet!$E$2:$E$3143),
Master_Mapping_Sheet!$H$2:$H$3143=$A13))), 0, sum(filter(
Master_Mapping_Sheet!$E$2:$E$3143, ISNUMBER(
Master_Mapping_Sheet!$E$2:$E$3143),
Master_Mapping_Sheet!$C$2:$C$3143=S$1,
Master_Mapping_Sheet!$H$2:$H$3143=$A13))/sum(filter(
Maste"&amp;"r_Mapping_Sheet!$E$2:$E$3143, ISNUMBER(
Master_Mapping_Sheet!$E$2:$E$3143),
Master_Mapping_Sheet!$H$2:$H$3143=$A13)))"),0.0)</f>
        <v>0</v>
      </c>
      <c r="T13" s="34">
        <f>IFERROR(__xludf.DUMMYFUNCTION("IF(ISNA(sum(filter(
Master_Mapping_Sheet!$E$2:$E$3143, ISNUMBER(
Master_Mapping_Sheet!$E$2:$E$3143),
Master_Mapping_Sheet!$C$2:$C$3143=T$1,
Master_Mapping_Sheet!$H$2:$H$3143=$A13))/sum(filter(
Master_Mapping_Sheet!$E$2:$E$3143, ISNUMBER(
Master_Mapping_Sh"&amp;"eet!$E$2:$E$3143),
Master_Mapping_Sheet!$H$2:$H$3143=$A13))), 0, sum(filter(
Master_Mapping_Sheet!$E$2:$E$3143, ISNUMBER(
Master_Mapping_Sheet!$E$2:$E$3143),
Master_Mapping_Sheet!$C$2:$C$3143=T$1,
Master_Mapping_Sheet!$H$2:$H$3143=$A13))/sum(filter(
Maste"&amp;"r_Mapping_Sheet!$E$2:$E$3143, ISNUMBER(
Master_Mapping_Sheet!$E$2:$E$3143),
Master_Mapping_Sheet!$H$2:$H$3143=$A13)))"),0.0)</f>
        <v>0</v>
      </c>
      <c r="U13" s="34">
        <f>IFERROR(__xludf.DUMMYFUNCTION("IF(ISNA(sum(filter(
Master_Mapping_Sheet!$E$2:$E$3143, ISNUMBER(
Master_Mapping_Sheet!$E$2:$E$3143),
Master_Mapping_Sheet!$C$2:$C$3143=U$1,
Master_Mapping_Sheet!$H$2:$H$3143=$A13))/sum(filter(
Master_Mapping_Sheet!$E$2:$E$3143, ISNUMBER(
Master_Mapping_Sh"&amp;"eet!$E$2:$E$3143),
Master_Mapping_Sheet!$H$2:$H$3143=$A13))), 0, sum(filter(
Master_Mapping_Sheet!$E$2:$E$3143, ISNUMBER(
Master_Mapping_Sheet!$E$2:$E$3143),
Master_Mapping_Sheet!$C$2:$C$3143=U$1,
Master_Mapping_Sheet!$H$2:$H$3143=$A13))/sum(filter(
Maste"&amp;"r_Mapping_Sheet!$E$2:$E$3143, ISNUMBER(
Master_Mapping_Sheet!$E$2:$E$3143),
Master_Mapping_Sheet!$H$2:$H$3143=$A13)))"),0.0)</f>
        <v>0</v>
      </c>
      <c r="V13" s="34">
        <f>IFERROR(__xludf.DUMMYFUNCTION("IF(ISNA(sum(filter(
Master_Mapping_Sheet!$E$2:$E$3143, ISNUMBER(
Master_Mapping_Sheet!$E$2:$E$3143),
Master_Mapping_Sheet!$C$2:$C$3143=V$1,
Master_Mapping_Sheet!$H$2:$H$3143=$A13))/sum(filter(
Master_Mapping_Sheet!$E$2:$E$3143, ISNUMBER(
Master_Mapping_Sh"&amp;"eet!$E$2:$E$3143),
Master_Mapping_Sheet!$H$2:$H$3143=$A13))), 0, sum(filter(
Master_Mapping_Sheet!$E$2:$E$3143, ISNUMBER(
Master_Mapping_Sheet!$E$2:$E$3143),
Master_Mapping_Sheet!$C$2:$C$3143=V$1,
Master_Mapping_Sheet!$H$2:$H$3143=$A13))/sum(filter(
Maste"&amp;"r_Mapping_Sheet!$E$2:$E$3143, ISNUMBER(
Master_Mapping_Sheet!$E$2:$E$3143),
Master_Mapping_Sheet!$H$2:$H$3143=$A13)))"),0.0)</f>
        <v>0</v>
      </c>
      <c r="W13" s="34">
        <f>IFERROR(__xludf.DUMMYFUNCTION("IF(ISNA(sum(filter(
Master_Mapping_Sheet!$E$2:$E$3143, ISNUMBER(
Master_Mapping_Sheet!$E$2:$E$3143),
Master_Mapping_Sheet!$C$2:$C$3143=W$1,
Master_Mapping_Sheet!$H$2:$H$3143=$A13))/sum(filter(
Master_Mapping_Sheet!$E$2:$E$3143, ISNUMBER(
Master_Mapping_Sh"&amp;"eet!$E$2:$E$3143),
Master_Mapping_Sheet!$H$2:$H$3143=$A13))), 0, sum(filter(
Master_Mapping_Sheet!$E$2:$E$3143, ISNUMBER(
Master_Mapping_Sheet!$E$2:$E$3143),
Master_Mapping_Sheet!$C$2:$C$3143=W$1,
Master_Mapping_Sheet!$H$2:$H$3143=$A13))/sum(filter(
Maste"&amp;"r_Mapping_Sheet!$E$2:$E$3143, ISNUMBER(
Master_Mapping_Sheet!$E$2:$E$3143),
Master_Mapping_Sheet!$H$2:$H$3143=$A13)))"),0.0)</f>
        <v>0</v>
      </c>
      <c r="X13" s="34">
        <f>IFERROR(__xludf.DUMMYFUNCTION("IF(ISNA(sum(filter(
Master_Mapping_Sheet!$E$2:$E$3143, ISNUMBER(
Master_Mapping_Sheet!$E$2:$E$3143),
Master_Mapping_Sheet!$C$2:$C$3143=X$1,
Master_Mapping_Sheet!$H$2:$H$3143=$A13))/sum(filter(
Master_Mapping_Sheet!$E$2:$E$3143, ISNUMBER(
Master_Mapping_Sh"&amp;"eet!$E$2:$E$3143),
Master_Mapping_Sheet!$H$2:$H$3143=$A13))), 0, sum(filter(
Master_Mapping_Sheet!$E$2:$E$3143, ISNUMBER(
Master_Mapping_Sheet!$E$2:$E$3143),
Master_Mapping_Sheet!$C$2:$C$3143=X$1,
Master_Mapping_Sheet!$H$2:$H$3143=$A13))/sum(filter(
Maste"&amp;"r_Mapping_Sheet!$E$2:$E$3143, ISNUMBER(
Master_Mapping_Sheet!$E$2:$E$3143),
Master_Mapping_Sheet!$H$2:$H$3143=$A13)))"),0.0)</f>
        <v>0</v>
      </c>
      <c r="Y13" s="34">
        <f>IFERROR(__xludf.DUMMYFUNCTION("IF(ISNA(sum(filter(
Master_Mapping_Sheet!$E$2:$E$3143, ISNUMBER(
Master_Mapping_Sheet!$E$2:$E$3143),
Master_Mapping_Sheet!$C$2:$C$3143=Y$1,
Master_Mapping_Sheet!$H$2:$H$3143=$A13))/sum(filter(
Master_Mapping_Sheet!$E$2:$E$3143, ISNUMBER(
Master_Mapping_Sh"&amp;"eet!$E$2:$E$3143),
Master_Mapping_Sheet!$H$2:$H$3143=$A13))), 0, sum(filter(
Master_Mapping_Sheet!$E$2:$E$3143, ISNUMBER(
Master_Mapping_Sheet!$E$2:$E$3143),
Master_Mapping_Sheet!$C$2:$C$3143=Y$1,
Master_Mapping_Sheet!$H$2:$H$3143=$A13))/sum(filter(
Maste"&amp;"r_Mapping_Sheet!$E$2:$E$3143, ISNUMBER(
Master_Mapping_Sheet!$E$2:$E$3143),
Master_Mapping_Sheet!$H$2:$H$3143=$A13)))"),0.0)</f>
        <v>0</v>
      </c>
      <c r="Z13" s="34">
        <f>IFERROR(__xludf.DUMMYFUNCTION("IF(ISNA(sum(filter(
Master_Mapping_Sheet!$E$2:$E$3143, ISNUMBER(
Master_Mapping_Sheet!$E$2:$E$3143),
Master_Mapping_Sheet!$C$2:$C$3143=Z$1,
Master_Mapping_Sheet!$H$2:$H$3143=$A13))/sum(filter(
Master_Mapping_Sheet!$E$2:$E$3143, ISNUMBER(
Master_Mapping_Sh"&amp;"eet!$E$2:$E$3143),
Master_Mapping_Sheet!$H$2:$H$3143=$A13))), 0, sum(filter(
Master_Mapping_Sheet!$E$2:$E$3143, ISNUMBER(
Master_Mapping_Sheet!$E$2:$E$3143),
Master_Mapping_Sheet!$C$2:$C$3143=Z$1,
Master_Mapping_Sheet!$H$2:$H$3143=$A13))/sum(filter(
Maste"&amp;"r_Mapping_Sheet!$E$2:$E$3143, ISNUMBER(
Master_Mapping_Sheet!$E$2:$E$3143),
Master_Mapping_Sheet!$H$2:$H$3143=$A13)))"),0.0)</f>
        <v>0</v>
      </c>
      <c r="AA13" s="34">
        <f>IFERROR(__xludf.DUMMYFUNCTION("IF(ISNA(sum(filter(
Master_Mapping_Sheet!$E$2:$E$3143, ISNUMBER(
Master_Mapping_Sheet!$E$2:$E$3143),
Master_Mapping_Sheet!$C$2:$C$3143=AA$1,
Master_Mapping_Sheet!$H$2:$H$3143=$A13))/sum(filter(
Master_Mapping_Sheet!$E$2:$E$3143, ISNUMBER(
Master_Mapping_S"&amp;"heet!$E$2:$E$3143),
Master_Mapping_Sheet!$H$2:$H$3143=$A13))), 0, sum(filter(
Master_Mapping_Sheet!$E$2:$E$3143, ISNUMBER(
Master_Mapping_Sheet!$E$2:$E$3143),
Master_Mapping_Sheet!$C$2:$C$3143=AA$1,
Master_Mapping_Sheet!$H$2:$H$3143=$A13))/sum(filter(
Mas"&amp;"ter_Mapping_Sheet!$E$2:$E$3143, ISNUMBER(
Master_Mapping_Sheet!$E$2:$E$3143),
Master_Mapping_Sheet!$H$2:$H$3143=$A13)))"),0.0)</f>
        <v>0</v>
      </c>
      <c r="AB13" s="34">
        <f>IFERROR(__xludf.DUMMYFUNCTION("IF(ISNA(sum(filter(
Master_Mapping_Sheet!$E$2:$E$3143, ISNUMBER(
Master_Mapping_Sheet!$E$2:$E$3143),
Master_Mapping_Sheet!$C$2:$C$3143=AB$1,
Master_Mapping_Sheet!$H$2:$H$3143=$A13))/sum(filter(
Master_Mapping_Sheet!$E$2:$E$3143, ISNUMBER(
Master_Mapping_S"&amp;"heet!$E$2:$E$3143),
Master_Mapping_Sheet!$H$2:$H$3143=$A13))), 0, sum(filter(
Master_Mapping_Sheet!$E$2:$E$3143, ISNUMBER(
Master_Mapping_Sheet!$E$2:$E$3143),
Master_Mapping_Sheet!$C$2:$C$3143=AB$1,
Master_Mapping_Sheet!$H$2:$H$3143=$A13))/sum(filter(
Mas"&amp;"ter_Mapping_Sheet!$E$2:$E$3143, ISNUMBER(
Master_Mapping_Sheet!$E$2:$E$3143),
Master_Mapping_Sheet!$H$2:$H$3143=$A13)))"),0.0)</f>
        <v>0</v>
      </c>
      <c r="AC13" s="34">
        <f>IFERROR(__xludf.DUMMYFUNCTION("IF(ISNA(sum(filter(
Master_Mapping_Sheet!$E$2:$E$3143, ISNUMBER(
Master_Mapping_Sheet!$E$2:$E$3143),
Master_Mapping_Sheet!$C$2:$C$3143=AC$1,
Master_Mapping_Sheet!$H$2:$H$3143=$A13))/sum(filter(
Master_Mapping_Sheet!$E$2:$E$3143, ISNUMBER(
Master_Mapping_S"&amp;"heet!$E$2:$E$3143),
Master_Mapping_Sheet!$H$2:$H$3143=$A13))), 0, sum(filter(
Master_Mapping_Sheet!$E$2:$E$3143, ISNUMBER(
Master_Mapping_Sheet!$E$2:$E$3143),
Master_Mapping_Sheet!$C$2:$C$3143=AC$1,
Master_Mapping_Sheet!$H$2:$H$3143=$A13))/sum(filter(
Mas"&amp;"ter_Mapping_Sheet!$E$2:$E$3143, ISNUMBER(
Master_Mapping_Sheet!$E$2:$E$3143),
Master_Mapping_Sheet!$H$2:$H$3143=$A13)))"),0.0)</f>
        <v>0</v>
      </c>
      <c r="AD13" s="34">
        <f>IFERROR(__xludf.DUMMYFUNCTION("IF(ISNA(sum(filter(
Master_Mapping_Sheet!$E$2:$E$3143, ISNUMBER(
Master_Mapping_Sheet!$E$2:$E$3143),
Master_Mapping_Sheet!$C$2:$C$3143=AD$1,
Master_Mapping_Sheet!$H$2:$H$3143=$A13))/sum(filter(
Master_Mapping_Sheet!$E$2:$E$3143, ISNUMBER(
Master_Mapping_S"&amp;"heet!$E$2:$E$3143),
Master_Mapping_Sheet!$H$2:$H$3143=$A13))), 0, sum(filter(
Master_Mapping_Sheet!$E$2:$E$3143, ISNUMBER(
Master_Mapping_Sheet!$E$2:$E$3143),
Master_Mapping_Sheet!$C$2:$C$3143=AD$1,
Master_Mapping_Sheet!$H$2:$H$3143=$A13))/sum(filter(
Mas"&amp;"ter_Mapping_Sheet!$E$2:$E$3143, ISNUMBER(
Master_Mapping_Sheet!$E$2:$E$3143),
Master_Mapping_Sheet!$H$2:$H$3143=$A13)))"),0.0)</f>
        <v>0</v>
      </c>
      <c r="AE13" s="34">
        <f>IFERROR(__xludf.DUMMYFUNCTION("IF(ISNA(sum(filter(
Master_Mapping_Sheet!$E$2:$E$3143, ISNUMBER(
Master_Mapping_Sheet!$E$2:$E$3143),
Master_Mapping_Sheet!$C$2:$C$3143=AE$1,
Master_Mapping_Sheet!$H$2:$H$3143=$A13))/sum(filter(
Master_Mapping_Sheet!$E$2:$E$3143, ISNUMBER(
Master_Mapping_S"&amp;"heet!$E$2:$E$3143),
Master_Mapping_Sheet!$H$2:$H$3143=$A13))), 0, sum(filter(
Master_Mapping_Sheet!$E$2:$E$3143, ISNUMBER(
Master_Mapping_Sheet!$E$2:$E$3143),
Master_Mapping_Sheet!$C$2:$C$3143=AE$1,
Master_Mapping_Sheet!$H$2:$H$3143=$A13))/sum(filter(
Mas"&amp;"ter_Mapping_Sheet!$E$2:$E$3143, ISNUMBER(
Master_Mapping_Sheet!$E$2:$E$3143),
Master_Mapping_Sheet!$H$2:$H$3143=$A13)))"),0.0)</f>
        <v>0</v>
      </c>
      <c r="AF13" s="34">
        <f>IFERROR(__xludf.DUMMYFUNCTION("IF(ISNA(sum(filter(
Master_Mapping_Sheet!$E$2:$E$3143, ISNUMBER(
Master_Mapping_Sheet!$E$2:$E$3143),
Master_Mapping_Sheet!$C$2:$C$3143=AF$1,
Master_Mapping_Sheet!$H$2:$H$3143=$A13))/sum(filter(
Master_Mapping_Sheet!$E$2:$E$3143, ISNUMBER(
Master_Mapping_S"&amp;"heet!$E$2:$E$3143),
Master_Mapping_Sheet!$H$2:$H$3143=$A13))), 0, sum(filter(
Master_Mapping_Sheet!$E$2:$E$3143, ISNUMBER(
Master_Mapping_Sheet!$E$2:$E$3143),
Master_Mapping_Sheet!$C$2:$C$3143=AF$1,
Master_Mapping_Sheet!$H$2:$H$3143=$A13))/sum(filter(
Mas"&amp;"ter_Mapping_Sheet!$E$2:$E$3143, ISNUMBER(
Master_Mapping_Sheet!$E$2:$E$3143),
Master_Mapping_Sheet!$H$2:$H$3143=$A13)))"),0.0)</f>
        <v>0</v>
      </c>
      <c r="AG13" s="34">
        <f>IFERROR(__xludf.DUMMYFUNCTION("IF(ISNA(sum(filter(
Master_Mapping_Sheet!$E$2:$E$3143, ISNUMBER(
Master_Mapping_Sheet!$E$2:$E$3143),
Master_Mapping_Sheet!$C$2:$C$3143=AG$1,
Master_Mapping_Sheet!$H$2:$H$3143=$A13))/sum(filter(
Master_Mapping_Sheet!$E$2:$E$3143, ISNUMBER(
Master_Mapping_S"&amp;"heet!$E$2:$E$3143),
Master_Mapping_Sheet!$H$2:$H$3143=$A13))), 0, sum(filter(
Master_Mapping_Sheet!$E$2:$E$3143, ISNUMBER(
Master_Mapping_Sheet!$E$2:$E$3143),
Master_Mapping_Sheet!$C$2:$C$3143=AG$1,
Master_Mapping_Sheet!$H$2:$H$3143=$A13))/sum(filter(
Mas"&amp;"ter_Mapping_Sheet!$E$2:$E$3143, ISNUMBER(
Master_Mapping_Sheet!$E$2:$E$3143),
Master_Mapping_Sheet!$H$2:$H$3143=$A13)))"),0.0)</f>
        <v>0</v>
      </c>
      <c r="AH13" s="34">
        <f>IFERROR(__xludf.DUMMYFUNCTION("IF(ISNA(sum(filter(
Master_Mapping_Sheet!$E$2:$E$3143, ISNUMBER(
Master_Mapping_Sheet!$E$2:$E$3143),
Master_Mapping_Sheet!$C$2:$C$3143=AH$1,
Master_Mapping_Sheet!$H$2:$H$3143=$A13))/sum(filter(
Master_Mapping_Sheet!$E$2:$E$3143, ISNUMBER(
Master_Mapping_S"&amp;"heet!$E$2:$E$3143),
Master_Mapping_Sheet!$H$2:$H$3143=$A13))), 0, sum(filter(
Master_Mapping_Sheet!$E$2:$E$3143, ISNUMBER(
Master_Mapping_Sheet!$E$2:$E$3143),
Master_Mapping_Sheet!$C$2:$C$3143=AH$1,
Master_Mapping_Sheet!$H$2:$H$3143=$A13))/sum(filter(
Mas"&amp;"ter_Mapping_Sheet!$E$2:$E$3143, ISNUMBER(
Master_Mapping_Sheet!$E$2:$E$3143),
Master_Mapping_Sheet!$H$2:$H$3143=$A13)))"),0.0)</f>
        <v>0</v>
      </c>
      <c r="AI13" s="34">
        <f>IFERROR(__xludf.DUMMYFUNCTION("IF(ISNA(sum(filter(
Master_Mapping_Sheet!$E$2:$E$3143, ISNUMBER(
Master_Mapping_Sheet!$E$2:$E$3143),
Master_Mapping_Sheet!$C$2:$C$3143=AI$1,
Master_Mapping_Sheet!$H$2:$H$3143=$A13))/sum(filter(
Master_Mapping_Sheet!$E$2:$E$3143, ISNUMBER(
Master_Mapping_S"&amp;"heet!$E$2:$E$3143),
Master_Mapping_Sheet!$H$2:$H$3143=$A13))), 0, sum(filter(
Master_Mapping_Sheet!$E$2:$E$3143, ISNUMBER(
Master_Mapping_Sheet!$E$2:$E$3143),
Master_Mapping_Sheet!$C$2:$C$3143=AI$1,
Master_Mapping_Sheet!$H$2:$H$3143=$A13))/sum(filter(
Mas"&amp;"ter_Mapping_Sheet!$E$2:$E$3143, ISNUMBER(
Master_Mapping_Sheet!$E$2:$E$3143),
Master_Mapping_Sheet!$H$2:$H$3143=$A13)))"),0.0)</f>
        <v>0</v>
      </c>
      <c r="AJ13" s="34">
        <f>IFERROR(__xludf.DUMMYFUNCTION("IF(ISNA(sum(filter(
Master_Mapping_Sheet!$E$2:$E$3143, ISNUMBER(
Master_Mapping_Sheet!$E$2:$E$3143),
Master_Mapping_Sheet!$C$2:$C$3143=AJ$1,
Master_Mapping_Sheet!$H$2:$H$3143=$A13))/sum(filter(
Master_Mapping_Sheet!$E$2:$E$3143, ISNUMBER(
Master_Mapping_S"&amp;"heet!$E$2:$E$3143),
Master_Mapping_Sheet!$H$2:$H$3143=$A13))), 0, sum(filter(
Master_Mapping_Sheet!$E$2:$E$3143, ISNUMBER(
Master_Mapping_Sheet!$E$2:$E$3143),
Master_Mapping_Sheet!$C$2:$C$3143=AJ$1,
Master_Mapping_Sheet!$H$2:$H$3143=$A13))/sum(filter(
Mas"&amp;"ter_Mapping_Sheet!$E$2:$E$3143, ISNUMBER(
Master_Mapping_Sheet!$E$2:$E$3143),
Master_Mapping_Sheet!$H$2:$H$3143=$A13)))"),0.0)</f>
        <v>0</v>
      </c>
      <c r="AK13" s="34">
        <f>IFERROR(__xludf.DUMMYFUNCTION("IF(ISNA(sum(filter(
Master_Mapping_Sheet!$E$2:$E$3143, ISNUMBER(
Master_Mapping_Sheet!$E$2:$E$3143),
Master_Mapping_Sheet!$C$2:$C$3143=AK$1,
Master_Mapping_Sheet!$H$2:$H$3143=$A13))/sum(filter(
Master_Mapping_Sheet!$E$2:$E$3143, ISNUMBER(
Master_Mapping_S"&amp;"heet!$E$2:$E$3143),
Master_Mapping_Sheet!$H$2:$H$3143=$A13))), 0, sum(filter(
Master_Mapping_Sheet!$E$2:$E$3143, ISNUMBER(
Master_Mapping_Sheet!$E$2:$E$3143),
Master_Mapping_Sheet!$C$2:$C$3143=AK$1,
Master_Mapping_Sheet!$H$2:$H$3143=$A13))/sum(filter(
Mas"&amp;"ter_Mapping_Sheet!$E$2:$E$3143, ISNUMBER(
Master_Mapping_Sheet!$E$2:$E$3143),
Master_Mapping_Sheet!$H$2:$H$3143=$A13)))"),0.0)</f>
        <v>0</v>
      </c>
      <c r="AL13" s="34">
        <f>IFERROR(__xludf.DUMMYFUNCTION("IF(ISNA(sum(filter(
Master_Mapping_Sheet!$E$2:$E$3143, ISNUMBER(
Master_Mapping_Sheet!$E$2:$E$3143),
Master_Mapping_Sheet!$C$2:$C$3143=AL$1,
Master_Mapping_Sheet!$H$2:$H$3143=$A13))/sum(filter(
Master_Mapping_Sheet!$E$2:$E$3143, ISNUMBER(
Master_Mapping_S"&amp;"heet!$E$2:$E$3143),
Master_Mapping_Sheet!$H$2:$H$3143=$A13))), 0, sum(filter(
Master_Mapping_Sheet!$E$2:$E$3143, ISNUMBER(
Master_Mapping_Sheet!$E$2:$E$3143),
Master_Mapping_Sheet!$C$2:$C$3143=AL$1,
Master_Mapping_Sheet!$H$2:$H$3143=$A13))/sum(filter(
Mas"&amp;"ter_Mapping_Sheet!$E$2:$E$3143, ISNUMBER(
Master_Mapping_Sheet!$E$2:$E$3143),
Master_Mapping_Sheet!$H$2:$H$3143=$A13)))"),0.0)</f>
        <v>0</v>
      </c>
      <c r="AM13" s="34">
        <f>IFERROR(__xludf.DUMMYFUNCTION("IF(ISNA(sum(filter(
Master_Mapping_Sheet!$E$2:$E$3143, ISNUMBER(
Master_Mapping_Sheet!$E$2:$E$3143),
Master_Mapping_Sheet!$C$2:$C$3143=AM$1,
Master_Mapping_Sheet!$H$2:$H$3143=$A13))/sum(filter(
Master_Mapping_Sheet!$E$2:$E$3143, ISNUMBER(
Master_Mapping_S"&amp;"heet!$E$2:$E$3143),
Master_Mapping_Sheet!$H$2:$H$3143=$A13))), 0, sum(filter(
Master_Mapping_Sheet!$E$2:$E$3143, ISNUMBER(
Master_Mapping_Sheet!$E$2:$E$3143),
Master_Mapping_Sheet!$C$2:$C$3143=AM$1,
Master_Mapping_Sheet!$H$2:$H$3143=$A13))/sum(filter(
Mas"&amp;"ter_Mapping_Sheet!$E$2:$E$3143, ISNUMBER(
Master_Mapping_Sheet!$E$2:$E$3143),
Master_Mapping_Sheet!$H$2:$H$3143=$A13)))"),0.0)</f>
        <v>0</v>
      </c>
      <c r="AN13" s="34">
        <f>IFERROR(__xludf.DUMMYFUNCTION("IF(ISNA(sum(filter(
Master_Mapping_Sheet!$E$2:$E$3143, ISNUMBER(
Master_Mapping_Sheet!$E$2:$E$3143),
Master_Mapping_Sheet!$C$2:$C$3143=AN$1,
Master_Mapping_Sheet!$H$2:$H$3143=$A13))/sum(filter(
Master_Mapping_Sheet!$E$2:$E$3143, ISNUMBER(
Master_Mapping_S"&amp;"heet!$E$2:$E$3143),
Master_Mapping_Sheet!$H$2:$H$3143=$A13))), 0, sum(filter(
Master_Mapping_Sheet!$E$2:$E$3143, ISNUMBER(
Master_Mapping_Sheet!$E$2:$E$3143),
Master_Mapping_Sheet!$C$2:$C$3143=AN$1,
Master_Mapping_Sheet!$H$2:$H$3143=$A13))/sum(filter(
Mas"&amp;"ter_Mapping_Sheet!$E$2:$E$3143, ISNUMBER(
Master_Mapping_Sheet!$E$2:$E$3143),
Master_Mapping_Sheet!$H$2:$H$3143=$A13)))"),0.0)</f>
        <v>0</v>
      </c>
      <c r="AO13" s="34">
        <f>IFERROR(__xludf.DUMMYFUNCTION("IF(ISNA(sum(filter(
Master_Mapping_Sheet!$E$2:$E$3143, ISNUMBER(
Master_Mapping_Sheet!$E$2:$E$3143),
Master_Mapping_Sheet!$C$2:$C$3143=AO$1,
Master_Mapping_Sheet!$H$2:$H$3143=$A13))/sum(filter(
Master_Mapping_Sheet!$E$2:$E$3143, ISNUMBER(
Master_Mapping_S"&amp;"heet!$E$2:$E$3143),
Master_Mapping_Sheet!$H$2:$H$3143=$A13))), 0, sum(filter(
Master_Mapping_Sheet!$E$2:$E$3143, ISNUMBER(
Master_Mapping_Sheet!$E$2:$E$3143),
Master_Mapping_Sheet!$C$2:$C$3143=AO$1,
Master_Mapping_Sheet!$H$2:$H$3143=$A13))/sum(filter(
Mas"&amp;"ter_Mapping_Sheet!$E$2:$E$3143, ISNUMBER(
Master_Mapping_Sheet!$E$2:$E$3143),
Master_Mapping_Sheet!$H$2:$H$3143=$A13)))"),0.0)</f>
        <v>0</v>
      </c>
      <c r="AP13" s="34">
        <f>IFERROR(__xludf.DUMMYFUNCTION("IF(ISNA(sum(filter(
Master_Mapping_Sheet!$E$2:$E$3143, ISNUMBER(
Master_Mapping_Sheet!$E$2:$E$3143),
Master_Mapping_Sheet!$C$2:$C$3143=AP$1,
Master_Mapping_Sheet!$H$2:$H$3143=$A13))/sum(filter(
Master_Mapping_Sheet!$E$2:$E$3143, ISNUMBER(
Master_Mapping_S"&amp;"heet!$E$2:$E$3143),
Master_Mapping_Sheet!$H$2:$H$3143=$A13))), 0, sum(filter(
Master_Mapping_Sheet!$E$2:$E$3143, ISNUMBER(
Master_Mapping_Sheet!$E$2:$E$3143),
Master_Mapping_Sheet!$C$2:$C$3143=AP$1,
Master_Mapping_Sheet!$H$2:$H$3143=$A13))/sum(filter(
Mas"&amp;"ter_Mapping_Sheet!$E$2:$E$3143, ISNUMBER(
Master_Mapping_Sheet!$E$2:$E$3143),
Master_Mapping_Sheet!$H$2:$H$3143=$A13)))"),0.0)</f>
        <v>0</v>
      </c>
      <c r="AQ13" s="34">
        <f>IFERROR(__xludf.DUMMYFUNCTION("IF(ISNA(sum(filter(
Master_Mapping_Sheet!$E$2:$E$3143, ISNUMBER(
Master_Mapping_Sheet!$E$2:$E$3143),
Master_Mapping_Sheet!$C$2:$C$3143=AQ$1,
Master_Mapping_Sheet!$H$2:$H$3143=$A13))/sum(filter(
Master_Mapping_Sheet!$E$2:$E$3143, ISNUMBER(
Master_Mapping_S"&amp;"heet!$E$2:$E$3143),
Master_Mapping_Sheet!$H$2:$H$3143=$A13))), 0, sum(filter(
Master_Mapping_Sheet!$E$2:$E$3143, ISNUMBER(
Master_Mapping_Sheet!$E$2:$E$3143),
Master_Mapping_Sheet!$C$2:$C$3143=AQ$1,
Master_Mapping_Sheet!$H$2:$H$3143=$A13))/sum(filter(
Mas"&amp;"ter_Mapping_Sheet!$E$2:$E$3143, ISNUMBER(
Master_Mapping_Sheet!$E$2:$E$3143),
Master_Mapping_Sheet!$H$2:$H$3143=$A13)))"),0.0)</f>
        <v>0</v>
      </c>
      <c r="AR13" s="34">
        <f>IFERROR(__xludf.DUMMYFUNCTION("IF(ISNA(sum(filter(
Master_Mapping_Sheet!$E$2:$E$3143, ISNUMBER(
Master_Mapping_Sheet!$E$2:$E$3143),
Master_Mapping_Sheet!$C$2:$C$3143=AR$1,
Master_Mapping_Sheet!$H$2:$H$3143=$A13))/sum(filter(
Master_Mapping_Sheet!$E$2:$E$3143, ISNUMBER(
Master_Mapping_S"&amp;"heet!$E$2:$E$3143),
Master_Mapping_Sheet!$H$2:$H$3143=$A13))), 0, sum(filter(
Master_Mapping_Sheet!$E$2:$E$3143, ISNUMBER(
Master_Mapping_Sheet!$E$2:$E$3143),
Master_Mapping_Sheet!$C$2:$C$3143=AR$1,
Master_Mapping_Sheet!$H$2:$H$3143=$A13))/sum(filter(
Mas"&amp;"ter_Mapping_Sheet!$E$2:$E$3143, ISNUMBER(
Master_Mapping_Sheet!$E$2:$E$3143),
Master_Mapping_Sheet!$H$2:$H$3143=$A13)))"),0.0)</f>
        <v>0</v>
      </c>
      <c r="AS13" s="34">
        <f>IFERROR(__xludf.DUMMYFUNCTION("IF(ISNA(sum(filter(
Master_Mapping_Sheet!$E$2:$E$3143, ISNUMBER(
Master_Mapping_Sheet!$E$2:$E$3143),
Master_Mapping_Sheet!$C$2:$C$3143=AS$1,
Master_Mapping_Sheet!$H$2:$H$3143=$A13))/sum(filter(
Master_Mapping_Sheet!$E$2:$E$3143, ISNUMBER(
Master_Mapping_S"&amp;"heet!$E$2:$E$3143),
Master_Mapping_Sheet!$H$2:$H$3143=$A13))), 0, sum(filter(
Master_Mapping_Sheet!$E$2:$E$3143, ISNUMBER(
Master_Mapping_Sheet!$E$2:$E$3143),
Master_Mapping_Sheet!$C$2:$C$3143=AS$1,
Master_Mapping_Sheet!$H$2:$H$3143=$A13))/sum(filter(
Mas"&amp;"ter_Mapping_Sheet!$E$2:$E$3143, ISNUMBER(
Master_Mapping_Sheet!$E$2:$E$3143),
Master_Mapping_Sheet!$H$2:$H$3143=$A13)))"),0.0)</f>
        <v>0</v>
      </c>
      <c r="AT13" s="34">
        <f>IFERROR(__xludf.DUMMYFUNCTION("IF(ISNA(sum(filter(
Master_Mapping_Sheet!$E$2:$E$3143, ISNUMBER(
Master_Mapping_Sheet!$E$2:$E$3143),
Master_Mapping_Sheet!$C$2:$C$3143=AT$1,
Master_Mapping_Sheet!$H$2:$H$3143=$A13))/sum(filter(
Master_Mapping_Sheet!$E$2:$E$3143, ISNUMBER(
Master_Mapping_S"&amp;"heet!$E$2:$E$3143),
Master_Mapping_Sheet!$H$2:$H$3143=$A13))), 0, sum(filter(
Master_Mapping_Sheet!$E$2:$E$3143, ISNUMBER(
Master_Mapping_Sheet!$E$2:$E$3143),
Master_Mapping_Sheet!$C$2:$C$3143=AT$1,
Master_Mapping_Sheet!$H$2:$H$3143=$A13))/sum(filter(
Mas"&amp;"ter_Mapping_Sheet!$E$2:$E$3143, ISNUMBER(
Master_Mapping_Sheet!$E$2:$E$3143),
Master_Mapping_Sheet!$H$2:$H$3143=$A13)))"),0.0)</f>
        <v>0</v>
      </c>
      <c r="AU13" s="34">
        <f>IFERROR(__xludf.DUMMYFUNCTION("IF(ISNA(sum(filter(
Master_Mapping_Sheet!$E$2:$E$3143, ISNUMBER(
Master_Mapping_Sheet!$E$2:$E$3143),
Master_Mapping_Sheet!$C$2:$C$3143=AU$1,
Master_Mapping_Sheet!$H$2:$H$3143=$A13))/sum(filter(
Master_Mapping_Sheet!$E$2:$E$3143, ISNUMBER(
Master_Mapping_S"&amp;"heet!$E$2:$E$3143),
Master_Mapping_Sheet!$H$2:$H$3143=$A13))), 0, sum(filter(
Master_Mapping_Sheet!$E$2:$E$3143, ISNUMBER(
Master_Mapping_Sheet!$E$2:$E$3143),
Master_Mapping_Sheet!$C$2:$C$3143=AU$1,
Master_Mapping_Sheet!$H$2:$H$3143=$A13))/sum(filter(
Mas"&amp;"ter_Mapping_Sheet!$E$2:$E$3143, ISNUMBER(
Master_Mapping_Sheet!$E$2:$E$3143),
Master_Mapping_Sheet!$H$2:$H$3143=$A13)))"),0.0)</f>
        <v>0</v>
      </c>
      <c r="AV13" s="34">
        <f>IFERROR(__xludf.DUMMYFUNCTION("IF(ISNA(sum(filter(
Master_Mapping_Sheet!$E$2:$E$3143, ISNUMBER(
Master_Mapping_Sheet!$E$2:$E$3143),
Master_Mapping_Sheet!$C$2:$C$3143=AV$1,
Master_Mapping_Sheet!$H$2:$H$3143=$A13))/sum(filter(
Master_Mapping_Sheet!$E$2:$E$3143, ISNUMBER(
Master_Mapping_S"&amp;"heet!$E$2:$E$3143),
Master_Mapping_Sheet!$H$2:$H$3143=$A13))), 0, sum(filter(
Master_Mapping_Sheet!$E$2:$E$3143, ISNUMBER(
Master_Mapping_Sheet!$E$2:$E$3143),
Master_Mapping_Sheet!$C$2:$C$3143=AV$1,
Master_Mapping_Sheet!$H$2:$H$3143=$A13))/sum(filter(
Mas"&amp;"ter_Mapping_Sheet!$E$2:$E$3143, ISNUMBER(
Master_Mapping_Sheet!$E$2:$E$3143),
Master_Mapping_Sheet!$H$2:$H$3143=$A13)))"),0.0)</f>
        <v>0</v>
      </c>
      <c r="AW13" s="34">
        <f>IFERROR(__xludf.DUMMYFUNCTION("IF(ISNA(sum(filter(
Master_Mapping_Sheet!$E$2:$E$3143, ISNUMBER(
Master_Mapping_Sheet!$E$2:$E$3143),
Master_Mapping_Sheet!$C$2:$C$3143=AW$1,
Master_Mapping_Sheet!$H$2:$H$3143=$A13))/sum(filter(
Master_Mapping_Sheet!$E$2:$E$3143, ISNUMBER(
Master_Mapping_S"&amp;"heet!$E$2:$E$3143),
Master_Mapping_Sheet!$H$2:$H$3143=$A13))), 0, sum(filter(
Master_Mapping_Sheet!$E$2:$E$3143, ISNUMBER(
Master_Mapping_Sheet!$E$2:$E$3143),
Master_Mapping_Sheet!$C$2:$C$3143=AW$1,
Master_Mapping_Sheet!$H$2:$H$3143=$A13))/sum(filter(
Mas"&amp;"ter_Mapping_Sheet!$E$2:$E$3143, ISNUMBER(
Master_Mapping_Sheet!$E$2:$E$3143),
Master_Mapping_Sheet!$H$2:$H$3143=$A13)))"),0.0)</f>
        <v>0</v>
      </c>
      <c r="AX13" s="34">
        <f>IFERROR(__xludf.DUMMYFUNCTION("IF(ISNA(sum(filter(
Master_Mapping_Sheet!$E$2:$E$3143, ISNUMBER(
Master_Mapping_Sheet!$E$2:$E$3143),
Master_Mapping_Sheet!$C$2:$C$3143=AX$1,
Master_Mapping_Sheet!$H$2:$H$3143=$A13))/sum(filter(
Master_Mapping_Sheet!$E$2:$E$3143, ISNUMBER(
Master_Mapping_S"&amp;"heet!$E$2:$E$3143),
Master_Mapping_Sheet!$H$2:$H$3143=$A13))), 0, sum(filter(
Master_Mapping_Sheet!$E$2:$E$3143, ISNUMBER(
Master_Mapping_Sheet!$E$2:$E$3143),
Master_Mapping_Sheet!$C$2:$C$3143=AX$1,
Master_Mapping_Sheet!$H$2:$H$3143=$A13))/sum(filter(
Mas"&amp;"ter_Mapping_Sheet!$E$2:$E$3143, ISNUMBER(
Master_Mapping_Sheet!$E$2:$E$3143),
Master_Mapping_Sheet!$H$2:$H$3143=$A13)))"),0.0)</f>
        <v>0</v>
      </c>
      <c r="AY13" s="34">
        <f>IFERROR(__xludf.DUMMYFUNCTION("IF(ISNA(sum(filter(
Master_Mapping_Sheet!$E$2:$E$3143, ISNUMBER(
Master_Mapping_Sheet!$E$2:$E$3143),
Master_Mapping_Sheet!$C$2:$C$3143=AY$1,
Master_Mapping_Sheet!$H$2:$H$3143=$A13))/sum(filter(
Master_Mapping_Sheet!$E$2:$E$3143, ISNUMBER(
Master_Mapping_S"&amp;"heet!$E$2:$E$3143),
Master_Mapping_Sheet!$H$2:$H$3143=$A13))), 0, sum(filter(
Master_Mapping_Sheet!$E$2:$E$3143, ISNUMBER(
Master_Mapping_Sheet!$E$2:$E$3143),
Master_Mapping_Sheet!$C$2:$C$3143=AY$1,
Master_Mapping_Sheet!$H$2:$H$3143=$A13))/sum(filter(
Mas"&amp;"ter_Mapping_Sheet!$E$2:$E$3143, ISNUMBER(
Master_Mapping_Sheet!$E$2:$E$3143),
Master_Mapping_Sheet!$H$2:$H$3143=$A13)))"),0.0)</f>
        <v>0</v>
      </c>
      <c r="AZ13" s="34">
        <f>IFERROR(__xludf.DUMMYFUNCTION("IF(ISNA(sum(filter(
Master_Mapping_Sheet!$E$2:$E$3143, ISNUMBER(
Master_Mapping_Sheet!$E$2:$E$3143),
Master_Mapping_Sheet!$C$2:$C$3143=AZ$1,
Master_Mapping_Sheet!$H$2:$H$3143=$A13))/sum(filter(
Master_Mapping_Sheet!$E$2:$E$3143, ISNUMBER(
Master_Mapping_S"&amp;"heet!$E$2:$E$3143),
Master_Mapping_Sheet!$H$2:$H$3143=$A13))), 0, sum(filter(
Master_Mapping_Sheet!$E$2:$E$3143, ISNUMBER(
Master_Mapping_Sheet!$E$2:$E$3143),
Master_Mapping_Sheet!$C$2:$C$3143=AZ$1,
Master_Mapping_Sheet!$H$2:$H$3143=$A13))/sum(filter(
Mas"&amp;"ter_Mapping_Sheet!$E$2:$E$3143, ISNUMBER(
Master_Mapping_Sheet!$E$2:$E$3143),
Master_Mapping_Sheet!$H$2:$H$3143=$A13)))"),0.0)</f>
        <v>0</v>
      </c>
    </row>
    <row r="14" ht="15.75" customHeight="1">
      <c r="A14" s="34" t="s">
        <v>3988</v>
      </c>
      <c r="B14" s="34">
        <f>IFERROR(__xludf.DUMMYFUNCTION("IF(ISNA(sum(filter(
Master_Mapping_Sheet!$E$2:$E$3143, ISNUMBER(
Master_Mapping_Sheet!$E$2:$E$3143),
Master_Mapping_Sheet!$C$2:$C$3143=B$1,
Master_Mapping_Sheet!$H$2:$H$3143=$A14))/sum(filter(
Master_Mapping_Sheet!$E$2:$E$3143, ISNUMBER(
Master_Mapping_Sh"&amp;"eet!$E$2:$E$3143),
Master_Mapping_Sheet!$H$2:$H$3143=$A14))), 0, sum(filter(
Master_Mapping_Sheet!$E$2:$E$3143, ISNUMBER(
Master_Mapping_Sheet!$E$2:$E$3143),
Master_Mapping_Sheet!$C$2:$C$3143=B$1,
Master_Mapping_Sheet!$H$2:$H$3143=$A14))/sum(filter(
Maste"&amp;"r_Mapping_Sheet!$E$2:$E$3143, ISNUMBER(
Master_Mapping_Sheet!$E$2:$E$3143),
Master_Mapping_Sheet!$H$2:$H$3143=$A14)))"),0.0)</f>
        <v>0</v>
      </c>
      <c r="C14" s="34">
        <f>IFERROR(__xludf.DUMMYFUNCTION("IF(ISNA(sum(filter(
Master_Mapping_Sheet!$E$2:$E$3143, ISNUMBER(
Master_Mapping_Sheet!$E$2:$E$3143),
Master_Mapping_Sheet!$C$2:$C$3143=C$1,
Master_Mapping_Sheet!$H$2:$H$3143=$A14))/sum(filter(
Master_Mapping_Sheet!$E$2:$E$3143, ISNUMBER(
Master_Mapping_Sh"&amp;"eet!$E$2:$E$3143),
Master_Mapping_Sheet!$H$2:$H$3143=$A14))), 0, sum(filter(
Master_Mapping_Sheet!$E$2:$E$3143, ISNUMBER(
Master_Mapping_Sheet!$E$2:$E$3143),
Master_Mapping_Sheet!$C$2:$C$3143=C$1,
Master_Mapping_Sheet!$H$2:$H$3143=$A14))/sum(filter(
Maste"&amp;"r_Mapping_Sheet!$E$2:$E$3143, ISNUMBER(
Master_Mapping_Sheet!$E$2:$E$3143),
Master_Mapping_Sheet!$H$2:$H$3143=$A14)))"),0.0)</f>
        <v>0</v>
      </c>
      <c r="D14" s="34">
        <f>IFERROR(__xludf.DUMMYFUNCTION("IF(ISNA(sum(filter(
Master_Mapping_Sheet!$E$2:$E$3143, ISNUMBER(
Master_Mapping_Sheet!$E$2:$E$3143),
Master_Mapping_Sheet!$C$2:$C$3143=D$1,
Master_Mapping_Sheet!$H$2:$H$3143=$A14))/sum(filter(
Master_Mapping_Sheet!$E$2:$E$3143, ISNUMBER(
Master_Mapping_Sh"&amp;"eet!$E$2:$E$3143),
Master_Mapping_Sheet!$H$2:$H$3143=$A14))), 0, sum(filter(
Master_Mapping_Sheet!$E$2:$E$3143, ISNUMBER(
Master_Mapping_Sheet!$E$2:$E$3143),
Master_Mapping_Sheet!$C$2:$C$3143=D$1,
Master_Mapping_Sheet!$H$2:$H$3143=$A14))/sum(filter(
Maste"&amp;"r_Mapping_Sheet!$E$2:$E$3143, ISNUMBER(
Master_Mapping_Sheet!$E$2:$E$3143),
Master_Mapping_Sheet!$H$2:$H$3143=$A14)))"),0.0)</f>
        <v>0</v>
      </c>
      <c r="E14" s="34">
        <f>IFERROR(__xludf.DUMMYFUNCTION("IF(ISNA(sum(filter(
Master_Mapping_Sheet!$E$2:$E$3143, ISNUMBER(
Master_Mapping_Sheet!$E$2:$E$3143),
Master_Mapping_Sheet!$C$2:$C$3143=E$1,
Master_Mapping_Sheet!$H$2:$H$3143=$A14))/sum(filter(
Master_Mapping_Sheet!$E$2:$E$3143, ISNUMBER(
Master_Mapping_Sh"&amp;"eet!$E$2:$E$3143),
Master_Mapping_Sheet!$H$2:$H$3143=$A14))), 0, sum(filter(
Master_Mapping_Sheet!$E$2:$E$3143, ISNUMBER(
Master_Mapping_Sheet!$E$2:$E$3143),
Master_Mapping_Sheet!$C$2:$C$3143=E$1,
Master_Mapping_Sheet!$H$2:$H$3143=$A14))/sum(filter(
Maste"&amp;"r_Mapping_Sheet!$E$2:$E$3143, ISNUMBER(
Master_Mapping_Sheet!$E$2:$E$3143),
Master_Mapping_Sheet!$H$2:$H$3143=$A14)))"),0.0)</f>
        <v>0</v>
      </c>
      <c r="F14" s="34">
        <f>IFERROR(__xludf.DUMMYFUNCTION("IF(ISNA(sum(filter(
Master_Mapping_Sheet!$E$2:$E$3143, ISNUMBER(
Master_Mapping_Sheet!$E$2:$E$3143),
Master_Mapping_Sheet!$C$2:$C$3143=F$1,
Master_Mapping_Sheet!$H$2:$H$3143=$A14))/sum(filter(
Master_Mapping_Sheet!$E$2:$E$3143, ISNUMBER(
Master_Mapping_Sh"&amp;"eet!$E$2:$E$3143),
Master_Mapping_Sheet!$H$2:$H$3143=$A14))), 0, sum(filter(
Master_Mapping_Sheet!$E$2:$E$3143, ISNUMBER(
Master_Mapping_Sheet!$E$2:$E$3143),
Master_Mapping_Sheet!$C$2:$C$3143=F$1,
Master_Mapping_Sheet!$H$2:$H$3143=$A14))/sum(filter(
Maste"&amp;"r_Mapping_Sheet!$E$2:$E$3143, ISNUMBER(
Master_Mapping_Sheet!$E$2:$E$3143),
Master_Mapping_Sheet!$H$2:$H$3143=$A14)))"),0.0)</f>
        <v>0</v>
      </c>
      <c r="G14" s="34">
        <f>IFERROR(__xludf.DUMMYFUNCTION("IF(ISNA(sum(filter(
Master_Mapping_Sheet!$E$2:$E$3143, ISNUMBER(
Master_Mapping_Sheet!$E$2:$E$3143),
Master_Mapping_Sheet!$C$2:$C$3143=G$1,
Master_Mapping_Sheet!$H$2:$H$3143=$A14))/sum(filter(
Master_Mapping_Sheet!$E$2:$E$3143, ISNUMBER(
Master_Mapping_Sh"&amp;"eet!$E$2:$E$3143),
Master_Mapping_Sheet!$H$2:$H$3143=$A14))), 0, sum(filter(
Master_Mapping_Sheet!$E$2:$E$3143, ISNUMBER(
Master_Mapping_Sheet!$E$2:$E$3143),
Master_Mapping_Sheet!$C$2:$C$3143=G$1,
Master_Mapping_Sheet!$H$2:$H$3143=$A14))/sum(filter(
Maste"&amp;"r_Mapping_Sheet!$E$2:$E$3143, ISNUMBER(
Master_Mapping_Sheet!$E$2:$E$3143),
Master_Mapping_Sheet!$H$2:$H$3143=$A14)))"),0.0)</f>
        <v>0</v>
      </c>
      <c r="H14" s="34">
        <f>IFERROR(__xludf.DUMMYFUNCTION("IF(ISNA(sum(filter(
Master_Mapping_Sheet!$E$2:$E$3143, ISNUMBER(
Master_Mapping_Sheet!$E$2:$E$3143),
Master_Mapping_Sheet!$C$2:$C$3143=H$1,
Master_Mapping_Sheet!$H$2:$H$3143=$A14))/sum(filter(
Master_Mapping_Sheet!$E$2:$E$3143, ISNUMBER(
Master_Mapping_Sh"&amp;"eet!$E$2:$E$3143),
Master_Mapping_Sheet!$H$2:$H$3143=$A14))), 0, sum(filter(
Master_Mapping_Sheet!$E$2:$E$3143, ISNUMBER(
Master_Mapping_Sheet!$E$2:$E$3143),
Master_Mapping_Sheet!$C$2:$C$3143=H$1,
Master_Mapping_Sheet!$H$2:$H$3143=$A14))/sum(filter(
Maste"&amp;"r_Mapping_Sheet!$E$2:$E$3143, ISNUMBER(
Master_Mapping_Sheet!$E$2:$E$3143),
Master_Mapping_Sheet!$H$2:$H$3143=$A14)))"),0.0)</f>
        <v>0</v>
      </c>
      <c r="I14" s="34">
        <f>IFERROR(__xludf.DUMMYFUNCTION("IF(ISNA(sum(filter(
Master_Mapping_Sheet!$E$2:$E$3143, ISNUMBER(
Master_Mapping_Sheet!$E$2:$E$3143),
Master_Mapping_Sheet!$C$2:$C$3143=I$1,
Master_Mapping_Sheet!$H$2:$H$3143=$A14))/sum(filter(
Master_Mapping_Sheet!$E$2:$E$3143, ISNUMBER(
Master_Mapping_Sh"&amp;"eet!$E$2:$E$3143),
Master_Mapping_Sheet!$H$2:$H$3143=$A14))), 0, sum(filter(
Master_Mapping_Sheet!$E$2:$E$3143, ISNUMBER(
Master_Mapping_Sheet!$E$2:$E$3143),
Master_Mapping_Sheet!$C$2:$C$3143=I$1,
Master_Mapping_Sheet!$H$2:$H$3143=$A14))/sum(filter(
Maste"&amp;"r_Mapping_Sheet!$E$2:$E$3143, ISNUMBER(
Master_Mapping_Sheet!$E$2:$E$3143),
Master_Mapping_Sheet!$H$2:$H$3143=$A14)))"),0.0)</f>
        <v>0</v>
      </c>
      <c r="J14" s="34">
        <f>IFERROR(__xludf.DUMMYFUNCTION("IF(ISNA(sum(filter(
Master_Mapping_Sheet!$E$2:$E$3143, ISNUMBER(
Master_Mapping_Sheet!$E$2:$E$3143),
Master_Mapping_Sheet!$C$2:$C$3143=J$1,
Master_Mapping_Sheet!$H$2:$H$3143=$A14))/sum(filter(
Master_Mapping_Sheet!$E$2:$E$3143, ISNUMBER(
Master_Mapping_Sh"&amp;"eet!$E$2:$E$3143),
Master_Mapping_Sheet!$H$2:$H$3143=$A14))), 0, sum(filter(
Master_Mapping_Sheet!$E$2:$E$3143, ISNUMBER(
Master_Mapping_Sheet!$E$2:$E$3143),
Master_Mapping_Sheet!$C$2:$C$3143=J$1,
Master_Mapping_Sheet!$H$2:$H$3143=$A14))/sum(filter(
Maste"&amp;"r_Mapping_Sheet!$E$2:$E$3143, ISNUMBER(
Master_Mapping_Sheet!$E$2:$E$3143),
Master_Mapping_Sheet!$H$2:$H$3143=$A14)))"),0.07805752674586479)</f>
        <v>0.07805752675</v>
      </c>
      <c r="K14" s="34">
        <f>IFERROR(__xludf.DUMMYFUNCTION("IF(ISNA(sum(filter(
Master_Mapping_Sheet!$E$2:$E$3143, ISNUMBER(
Master_Mapping_Sheet!$E$2:$E$3143),
Master_Mapping_Sheet!$C$2:$C$3143=K$1,
Master_Mapping_Sheet!$H$2:$H$3143=$A14))/sum(filter(
Master_Mapping_Sheet!$E$2:$E$3143, ISNUMBER(
Master_Mapping_Sh"&amp;"eet!$E$2:$E$3143),
Master_Mapping_Sheet!$H$2:$H$3143=$A14))), 0, sum(filter(
Master_Mapping_Sheet!$E$2:$E$3143, ISNUMBER(
Master_Mapping_Sheet!$E$2:$E$3143),
Master_Mapping_Sheet!$C$2:$C$3143=K$1,
Master_Mapping_Sheet!$H$2:$H$3143=$A14))/sum(filter(
Maste"&amp;"r_Mapping_Sheet!$E$2:$E$3143, ISNUMBER(
Master_Mapping_Sheet!$E$2:$E$3143),
Master_Mapping_Sheet!$H$2:$H$3143=$A14)))"),0.0)</f>
        <v>0</v>
      </c>
      <c r="L14" s="34">
        <f>IFERROR(__xludf.DUMMYFUNCTION("IF(ISNA(sum(filter(
Master_Mapping_Sheet!$E$2:$E$3143, ISNUMBER(
Master_Mapping_Sheet!$E$2:$E$3143),
Master_Mapping_Sheet!$C$2:$C$3143=L$1,
Master_Mapping_Sheet!$H$2:$H$3143=$A14))/sum(filter(
Master_Mapping_Sheet!$E$2:$E$3143, ISNUMBER(
Master_Mapping_Sh"&amp;"eet!$E$2:$E$3143),
Master_Mapping_Sheet!$H$2:$H$3143=$A14))), 0, sum(filter(
Master_Mapping_Sheet!$E$2:$E$3143, ISNUMBER(
Master_Mapping_Sheet!$E$2:$E$3143),
Master_Mapping_Sheet!$C$2:$C$3143=L$1,
Master_Mapping_Sheet!$H$2:$H$3143=$A14))/sum(filter(
Maste"&amp;"r_Mapping_Sheet!$E$2:$E$3143, ISNUMBER(
Master_Mapping_Sheet!$E$2:$E$3143),
Master_Mapping_Sheet!$H$2:$H$3143=$A14)))"),0.0)</f>
        <v>0</v>
      </c>
      <c r="M14" s="34">
        <f>IFERROR(__xludf.DUMMYFUNCTION("IF(ISNA(sum(filter(
Master_Mapping_Sheet!$E$2:$E$3143, ISNUMBER(
Master_Mapping_Sheet!$E$2:$E$3143),
Master_Mapping_Sheet!$C$2:$C$3143=M$1,
Master_Mapping_Sheet!$H$2:$H$3143=$A14))/sum(filter(
Master_Mapping_Sheet!$E$2:$E$3143, ISNUMBER(
Master_Mapping_Sh"&amp;"eet!$E$2:$E$3143),
Master_Mapping_Sheet!$H$2:$H$3143=$A14))), 0, sum(filter(
Master_Mapping_Sheet!$E$2:$E$3143, ISNUMBER(
Master_Mapping_Sheet!$E$2:$E$3143),
Master_Mapping_Sheet!$C$2:$C$3143=M$1,
Master_Mapping_Sheet!$H$2:$H$3143=$A14))/sum(filter(
Maste"&amp;"r_Mapping_Sheet!$E$2:$E$3143, ISNUMBER(
Master_Mapping_Sheet!$E$2:$E$3143),
Master_Mapping_Sheet!$H$2:$H$3143=$A14)))"),0.0)</f>
        <v>0</v>
      </c>
      <c r="N14" s="34">
        <f>IFERROR(__xludf.DUMMYFUNCTION("IF(ISNA(sum(filter(
Master_Mapping_Sheet!$E$2:$E$3143, ISNUMBER(
Master_Mapping_Sheet!$E$2:$E$3143),
Master_Mapping_Sheet!$C$2:$C$3143=N$1,
Master_Mapping_Sheet!$H$2:$H$3143=$A14))/sum(filter(
Master_Mapping_Sheet!$E$2:$E$3143, ISNUMBER(
Master_Mapping_Sh"&amp;"eet!$E$2:$E$3143),
Master_Mapping_Sheet!$H$2:$H$3143=$A14))), 0, sum(filter(
Master_Mapping_Sheet!$E$2:$E$3143, ISNUMBER(
Master_Mapping_Sheet!$E$2:$E$3143),
Master_Mapping_Sheet!$C$2:$C$3143=N$1,
Master_Mapping_Sheet!$H$2:$H$3143=$A14))/sum(filter(
Maste"&amp;"r_Mapping_Sheet!$E$2:$E$3143, ISNUMBER(
Master_Mapping_Sheet!$E$2:$E$3143),
Master_Mapping_Sheet!$H$2:$H$3143=$A14)))"),0.0)</f>
        <v>0</v>
      </c>
      <c r="O14" s="34">
        <f>IFERROR(__xludf.DUMMYFUNCTION("IF(ISNA(sum(filter(
Master_Mapping_Sheet!$E$2:$E$3143, ISNUMBER(
Master_Mapping_Sheet!$E$2:$E$3143),
Master_Mapping_Sheet!$C$2:$C$3143=O$1,
Master_Mapping_Sheet!$H$2:$H$3143=$A14))/sum(filter(
Master_Mapping_Sheet!$E$2:$E$3143, ISNUMBER(
Master_Mapping_Sh"&amp;"eet!$E$2:$E$3143),
Master_Mapping_Sheet!$H$2:$H$3143=$A14))), 0, sum(filter(
Master_Mapping_Sheet!$E$2:$E$3143, ISNUMBER(
Master_Mapping_Sheet!$E$2:$E$3143),
Master_Mapping_Sheet!$C$2:$C$3143=O$1,
Master_Mapping_Sheet!$H$2:$H$3143=$A14))/sum(filter(
Maste"&amp;"r_Mapping_Sheet!$E$2:$E$3143, ISNUMBER(
Master_Mapping_Sheet!$E$2:$E$3143),
Master_Mapping_Sheet!$H$2:$H$3143=$A14)))"),0.0)</f>
        <v>0</v>
      </c>
      <c r="P14" s="34">
        <f>IFERROR(__xludf.DUMMYFUNCTION("IF(ISNA(sum(filter(
Master_Mapping_Sheet!$E$2:$E$3143, ISNUMBER(
Master_Mapping_Sheet!$E$2:$E$3143),
Master_Mapping_Sheet!$C$2:$C$3143=P$1,
Master_Mapping_Sheet!$H$2:$H$3143=$A14))/sum(filter(
Master_Mapping_Sheet!$E$2:$E$3143, ISNUMBER(
Master_Mapping_Sh"&amp;"eet!$E$2:$E$3143),
Master_Mapping_Sheet!$H$2:$H$3143=$A14))), 0, sum(filter(
Master_Mapping_Sheet!$E$2:$E$3143, ISNUMBER(
Master_Mapping_Sheet!$E$2:$E$3143),
Master_Mapping_Sheet!$C$2:$C$3143=P$1,
Master_Mapping_Sheet!$H$2:$H$3143=$A14))/sum(filter(
Maste"&amp;"r_Mapping_Sheet!$E$2:$E$3143, ISNUMBER(
Master_Mapping_Sheet!$E$2:$E$3143),
Master_Mapping_Sheet!$H$2:$H$3143=$A14)))"),0.0)</f>
        <v>0</v>
      </c>
      <c r="Q14" s="34">
        <f>IFERROR(__xludf.DUMMYFUNCTION("IF(ISNA(sum(filter(
Master_Mapping_Sheet!$E$2:$E$3143, ISNUMBER(
Master_Mapping_Sheet!$E$2:$E$3143),
Master_Mapping_Sheet!$C$2:$C$3143=Q$1,
Master_Mapping_Sheet!$H$2:$H$3143=$A14))/sum(filter(
Master_Mapping_Sheet!$E$2:$E$3143, ISNUMBER(
Master_Mapping_Sh"&amp;"eet!$E$2:$E$3143),
Master_Mapping_Sheet!$H$2:$H$3143=$A14))), 0, sum(filter(
Master_Mapping_Sheet!$E$2:$E$3143, ISNUMBER(
Master_Mapping_Sheet!$E$2:$E$3143),
Master_Mapping_Sheet!$C$2:$C$3143=Q$1,
Master_Mapping_Sheet!$H$2:$H$3143=$A14))/sum(filter(
Maste"&amp;"r_Mapping_Sheet!$E$2:$E$3143, ISNUMBER(
Master_Mapping_Sheet!$E$2:$E$3143),
Master_Mapping_Sheet!$H$2:$H$3143=$A14)))"),0.0)</f>
        <v>0</v>
      </c>
      <c r="R14" s="34">
        <f>IFERROR(__xludf.DUMMYFUNCTION("IF(ISNA(sum(filter(
Master_Mapping_Sheet!$E$2:$E$3143, ISNUMBER(
Master_Mapping_Sheet!$E$2:$E$3143),
Master_Mapping_Sheet!$C$2:$C$3143=R$1,
Master_Mapping_Sheet!$H$2:$H$3143=$A14))/sum(filter(
Master_Mapping_Sheet!$E$2:$E$3143, ISNUMBER(
Master_Mapping_Sh"&amp;"eet!$E$2:$E$3143),
Master_Mapping_Sheet!$H$2:$H$3143=$A14))), 0, sum(filter(
Master_Mapping_Sheet!$E$2:$E$3143, ISNUMBER(
Master_Mapping_Sheet!$E$2:$E$3143),
Master_Mapping_Sheet!$C$2:$C$3143=R$1,
Master_Mapping_Sheet!$H$2:$H$3143=$A14))/sum(filter(
Maste"&amp;"r_Mapping_Sheet!$E$2:$E$3143, ISNUMBER(
Master_Mapping_Sheet!$E$2:$E$3143),
Master_Mapping_Sheet!$H$2:$H$3143=$A14)))"),0.0)</f>
        <v>0</v>
      </c>
      <c r="S14" s="34">
        <f>IFERROR(__xludf.DUMMYFUNCTION("IF(ISNA(sum(filter(
Master_Mapping_Sheet!$E$2:$E$3143, ISNUMBER(
Master_Mapping_Sheet!$E$2:$E$3143),
Master_Mapping_Sheet!$C$2:$C$3143=S$1,
Master_Mapping_Sheet!$H$2:$H$3143=$A14))/sum(filter(
Master_Mapping_Sheet!$E$2:$E$3143, ISNUMBER(
Master_Mapping_Sh"&amp;"eet!$E$2:$E$3143),
Master_Mapping_Sheet!$H$2:$H$3143=$A14))), 0, sum(filter(
Master_Mapping_Sheet!$E$2:$E$3143, ISNUMBER(
Master_Mapping_Sheet!$E$2:$E$3143),
Master_Mapping_Sheet!$C$2:$C$3143=S$1,
Master_Mapping_Sheet!$H$2:$H$3143=$A14))/sum(filter(
Maste"&amp;"r_Mapping_Sheet!$E$2:$E$3143, ISNUMBER(
Master_Mapping_Sheet!$E$2:$E$3143),
Master_Mapping_Sheet!$H$2:$H$3143=$A14)))"),0.0)</f>
        <v>0</v>
      </c>
      <c r="T14" s="34">
        <f>IFERROR(__xludf.DUMMYFUNCTION("IF(ISNA(sum(filter(
Master_Mapping_Sheet!$E$2:$E$3143, ISNUMBER(
Master_Mapping_Sheet!$E$2:$E$3143),
Master_Mapping_Sheet!$C$2:$C$3143=T$1,
Master_Mapping_Sheet!$H$2:$H$3143=$A14))/sum(filter(
Master_Mapping_Sheet!$E$2:$E$3143, ISNUMBER(
Master_Mapping_Sh"&amp;"eet!$E$2:$E$3143),
Master_Mapping_Sheet!$H$2:$H$3143=$A14))), 0, sum(filter(
Master_Mapping_Sheet!$E$2:$E$3143, ISNUMBER(
Master_Mapping_Sheet!$E$2:$E$3143),
Master_Mapping_Sheet!$C$2:$C$3143=T$1,
Master_Mapping_Sheet!$H$2:$H$3143=$A14))/sum(filter(
Maste"&amp;"r_Mapping_Sheet!$E$2:$E$3143, ISNUMBER(
Master_Mapping_Sheet!$E$2:$E$3143),
Master_Mapping_Sheet!$H$2:$H$3143=$A14)))"),0.0)</f>
        <v>0</v>
      </c>
      <c r="U14" s="34">
        <f>IFERROR(__xludf.DUMMYFUNCTION("IF(ISNA(sum(filter(
Master_Mapping_Sheet!$E$2:$E$3143, ISNUMBER(
Master_Mapping_Sheet!$E$2:$E$3143),
Master_Mapping_Sheet!$C$2:$C$3143=U$1,
Master_Mapping_Sheet!$H$2:$H$3143=$A14))/sum(filter(
Master_Mapping_Sheet!$E$2:$E$3143, ISNUMBER(
Master_Mapping_Sh"&amp;"eet!$E$2:$E$3143),
Master_Mapping_Sheet!$H$2:$H$3143=$A14))), 0, sum(filter(
Master_Mapping_Sheet!$E$2:$E$3143, ISNUMBER(
Master_Mapping_Sheet!$E$2:$E$3143),
Master_Mapping_Sheet!$C$2:$C$3143=U$1,
Master_Mapping_Sheet!$H$2:$H$3143=$A14))/sum(filter(
Maste"&amp;"r_Mapping_Sheet!$E$2:$E$3143, ISNUMBER(
Master_Mapping_Sheet!$E$2:$E$3143),
Master_Mapping_Sheet!$H$2:$H$3143=$A14)))"),0.0)</f>
        <v>0</v>
      </c>
      <c r="V14" s="34">
        <f>IFERROR(__xludf.DUMMYFUNCTION("IF(ISNA(sum(filter(
Master_Mapping_Sheet!$E$2:$E$3143, ISNUMBER(
Master_Mapping_Sheet!$E$2:$E$3143),
Master_Mapping_Sheet!$C$2:$C$3143=V$1,
Master_Mapping_Sheet!$H$2:$H$3143=$A14))/sum(filter(
Master_Mapping_Sheet!$E$2:$E$3143, ISNUMBER(
Master_Mapping_Sh"&amp;"eet!$E$2:$E$3143),
Master_Mapping_Sheet!$H$2:$H$3143=$A14))), 0, sum(filter(
Master_Mapping_Sheet!$E$2:$E$3143, ISNUMBER(
Master_Mapping_Sheet!$E$2:$E$3143),
Master_Mapping_Sheet!$C$2:$C$3143=V$1,
Master_Mapping_Sheet!$H$2:$H$3143=$A14))/sum(filter(
Maste"&amp;"r_Mapping_Sheet!$E$2:$E$3143, ISNUMBER(
Master_Mapping_Sheet!$E$2:$E$3143),
Master_Mapping_Sheet!$H$2:$H$3143=$A14)))"),0.0)</f>
        <v>0</v>
      </c>
      <c r="W14" s="34">
        <f>IFERROR(__xludf.DUMMYFUNCTION("IF(ISNA(sum(filter(
Master_Mapping_Sheet!$E$2:$E$3143, ISNUMBER(
Master_Mapping_Sheet!$E$2:$E$3143),
Master_Mapping_Sheet!$C$2:$C$3143=W$1,
Master_Mapping_Sheet!$H$2:$H$3143=$A14))/sum(filter(
Master_Mapping_Sheet!$E$2:$E$3143, ISNUMBER(
Master_Mapping_Sh"&amp;"eet!$E$2:$E$3143),
Master_Mapping_Sheet!$H$2:$H$3143=$A14))), 0, sum(filter(
Master_Mapping_Sheet!$E$2:$E$3143, ISNUMBER(
Master_Mapping_Sheet!$E$2:$E$3143),
Master_Mapping_Sheet!$C$2:$C$3143=W$1,
Master_Mapping_Sheet!$H$2:$H$3143=$A14))/sum(filter(
Maste"&amp;"r_Mapping_Sheet!$E$2:$E$3143, ISNUMBER(
Master_Mapping_Sheet!$E$2:$E$3143),
Master_Mapping_Sheet!$H$2:$H$3143=$A14)))"),0.0)</f>
        <v>0</v>
      </c>
      <c r="X14" s="34">
        <f>IFERROR(__xludf.DUMMYFUNCTION("IF(ISNA(sum(filter(
Master_Mapping_Sheet!$E$2:$E$3143, ISNUMBER(
Master_Mapping_Sheet!$E$2:$E$3143),
Master_Mapping_Sheet!$C$2:$C$3143=X$1,
Master_Mapping_Sheet!$H$2:$H$3143=$A14))/sum(filter(
Master_Mapping_Sheet!$E$2:$E$3143, ISNUMBER(
Master_Mapping_Sh"&amp;"eet!$E$2:$E$3143),
Master_Mapping_Sheet!$H$2:$H$3143=$A14))), 0, sum(filter(
Master_Mapping_Sheet!$E$2:$E$3143, ISNUMBER(
Master_Mapping_Sheet!$E$2:$E$3143),
Master_Mapping_Sheet!$C$2:$C$3143=X$1,
Master_Mapping_Sheet!$H$2:$H$3143=$A14))/sum(filter(
Maste"&amp;"r_Mapping_Sheet!$E$2:$E$3143, ISNUMBER(
Master_Mapping_Sheet!$E$2:$E$3143),
Master_Mapping_Sheet!$H$2:$H$3143=$A14)))"),0.0)</f>
        <v>0</v>
      </c>
      <c r="Y14" s="34">
        <f>IFERROR(__xludf.DUMMYFUNCTION("IF(ISNA(sum(filter(
Master_Mapping_Sheet!$E$2:$E$3143, ISNUMBER(
Master_Mapping_Sheet!$E$2:$E$3143),
Master_Mapping_Sheet!$C$2:$C$3143=Y$1,
Master_Mapping_Sheet!$H$2:$H$3143=$A14))/sum(filter(
Master_Mapping_Sheet!$E$2:$E$3143, ISNUMBER(
Master_Mapping_Sh"&amp;"eet!$E$2:$E$3143),
Master_Mapping_Sheet!$H$2:$H$3143=$A14))), 0, sum(filter(
Master_Mapping_Sheet!$E$2:$E$3143, ISNUMBER(
Master_Mapping_Sheet!$E$2:$E$3143),
Master_Mapping_Sheet!$C$2:$C$3143=Y$1,
Master_Mapping_Sheet!$H$2:$H$3143=$A14))/sum(filter(
Maste"&amp;"r_Mapping_Sheet!$E$2:$E$3143, ISNUMBER(
Master_Mapping_Sheet!$E$2:$E$3143),
Master_Mapping_Sheet!$H$2:$H$3143=$A14)))"),0.0)</f>
        <v>0</v>
      </c>
      <c r="Z14" s="34">
        <f>IFERROR(__xludf.DUMMYFUNCTION("IF(ISNA(sum(filter(
Master_Mapping_Sheet!$E$2:$E$3143, ISNUMBER(
Master_Mapping_Sheet!$E$2:$E$3143),
Master_Mapping_Sheet!$C$2:$C$3143=Z$1,
Master_Mapping_Sheet!$H$2:$H$3143=$A14))/sum(filter(
Master_Mapping_Sheet!$E$2:$E$3143, ISNUMBER(
Master_Mapping_Sh"&amp;"eet!$E$2:$E$3143),
Master_Mapping_Sheet!$H$2:$H$3143=$A14))), 0, sum(filter(
Master_Mapping_Sheet!$E$2:$E$3143, ISNUMBER(
Master_Mapping_Sheet!$E$2:$E$3143),
Master_Mapping_Sheet!$C$2:$C$3143=Z$1,
Master_Mapping_Sheet!$H$2:$H$3143=$A14))/sum(filter(
Maste"&amp;"r_Mapping_Sheet!$E$2:$E$3143, ISNUMBER(
Master_Mapping_Sheet!$E$2:$E$3143),
Master_Mapping_Sheet!$H$2:$H$3143=$A14)))"),0.0)</f>
        <v>0</v>
      </c>
      <c r="AA14" s="34">
        <f>IFERROR(__xludf.DUMMYFUNCTION("IF(ISNA(sum(filter(
Master_Mapping_Sheet!$E$2:$E$3143, ISNUMBER(
Master_Mapping_Sheet!$E$2:$E$3143),
Master_Mapping_Sheet!$C$2:$C$3143=AA$1,
Master_Mapping_Sheet!$H$2:$H$3143=$A14))/sum(filter(
Master_Mapping_Sheet!$E$2:$E$3143, ISNUMBER(
Master_Mapping_S"&amp;"heet!$E$2:$E$3143),
Master_Mapping_Sheet!$H$2:$H$3143=$A14))), 0, sum(filter(
Master_Mapping_Sheet!$E$2:$E$3143, ISNUMBER(
Master_Mapping_Sheet!$E$2:$E$3143),
Master_Mapping_Sheet!$C$2:$C$3143=AA$1,
Master_Mapping_Sheet!$H$2:$H$3143=$A14))/sum(filter(
Mas"&amp;"ter_Mapping_Sheet!$E$2:$E$3143, ISNUMBER(
Master_Mapping_Sheet!$E$2:$E$3143),
Master_Mapping_Sheet!$H$2:$H$3143=$A14)))"),0.0)</f>
        <v>0</v>
      </c>
      <c r="AB14" s="34">
        <f>IFERROR(__xludf.DUMMYFUNCTION("IF(ISNA(sum(filter(
Master_Mapping_Sheet!$E$2:$E$3143, ISNUMBER(
Master_Mapping_Sheet!$E$2:$E$3143),
Master_Mapping_Sheet!$C$2:$C$3143=AB$1,
Master_Mapping_Sheet!$H$2:$H$3143=$A14))/sum(filter(
Master_Mapping_Sheet!$E$2:$E$3143, ISNUMBER(
Master_Mapping_S"&amp;"heet!$E$2:$E$3143),
Master_Mapping_Sheet!$H$2:$H$3143=$A14))), 0, sum(filter(
Master_Mapping_Sheet!$E$2:$E$3143, ISNUMBER(
Master_Mapping_Sheet!$E$2:$E$3143),
Master_Mapping_Sheet!$C$2:$C$3143=AB$1,
Master_Mapping_Sheet!$H$2:$H$3143=$A14))/sum(filter(
Mas"&amp;"ter_Mapping_Sheet!$E$2:$E$3143, ISNUMBER(
Master_Mapping_Sheet!$E$2:$E$3143),
Master_Mapping_Sheet!$H$2:$H$3143=$A14)))"),0.0)</f>
        <v>0</v>
      </c>
      <c r="AC14" s="34">
        <f>IFERROR(__xludf.DUMMYFUNCTION("IF(ISNA(sum(filter(
Master_Mapping_Sheet!$E$2:$E$3143, ISNUMBER(
Master_Mapping_Sheet!$E$2:$E$3143),
Master_Mapping_Sheet!$C$2:$C$3143=AC$1,
Master_Mapping_Sheet!$H$2:$H$3143=$A14))/sum(filter(
Master_Mapping_Sheet!$E$2:$E$3143, ISNUMBER(
Master_Mapping_S"&amp;"heet!$E$2:$E$3143),
Master_Mapping_Sheet!$H$2:$H$3143=$A14))), 0, sum(filter(
Master_Mapping_Sheet!$E$2:$E$3143, ISNUMBER(
Master_Mapping_Sheet!$E$2:$E$3143),
Master_Mapping_Sheet!$C$2:$C$3143=AC$1,
Master_Mapping_Sheet!$H$2:$H$3143=$A14))/sum(filter(
Mas"&amp;"ter_Mapping_Sheet!$E$2:$E$3143, ISNUMBER(
Master_Mapping_Sheet!$E$2:$E$3143),
Master_Mapping_Sheet!$H$2:$H$3143=$A14)))"),0.0)</f>
        <v>0</v>
      </c>
      <c r="AD14" s="34">
        <f>IFERROR(__xludf.DUMMYFUNCTION("IF(ISNA(sum(filter(
Master_Mapping_Sheet!$E$2:$E$3143, ISNUMBER(
Master_Mapping_Sheet!$E$2:$E$3143),
Master_Mapping_Sheet!$C$2:$C$3143=AD$1,
Master_Mapping_Sheet!$H$2:$H$3143=$A14))/sum(filter(
Master_Mapping_Sheet!$E$2:$E$3143, ISNUMBER(
Master_Mapping_S"&amp;"heet!$E$2:$E$3143),
Master_Mapping_Sheet!$H$2:$H$3143=$A14))), 0, sum(filter(
Master_Mapping_Sheet!$E$2:$E$3143, ISNUMBER(
Master_Mapping_Sheet!$E$2:$E$3143),
Master_Mapping_Sheet!$C$2:$C$3143=AD$1,
Master_Mapping_Sheet!$H$2:$H$3143=$A14))/sum(filter(
Mas"&amp;"ter_Mapping_Sheet!$E$2:$E$3143, ISNUMBER(
Master_Mapping_Sheet!$E$2:$E$3143),
Master_Mapping_Sheet!$H$2:$H$3143=$A14)))"),0.0)</f>
        <v>0</v>
      </c>
      <c r="AE14" s="34">
        <f>IFERROR(__xludf.DUMMYFUNCTION("IF(ISNA(sum(filter(
Master_Mapping_Sheet!$E$2:$E$3143, ISNUMBER(
Master_Mapping_Sheet!$E$2:$E$3143),
Master_Mapping_Sheet!$C$2:$C$3143=AE$1,
Master_Mapping_Sheet!$H$2:$H$3143=$A14))/sum(filter(
Master_Mapping_Sheet!$E$2:$E$3143, ISNUMBER(
Master_Mapping_S"&amp;"heet!$E$2:$E$3143),
Master_Mapping_Sheet!$H$2:$H$3143=$A14))), 0, sum(filter(
Master_Mapping_Sheet!$E$2:$E$3143, ISNUMBER(
Master_Mapping_Sheet!$E$2:$E$3143),
Master_Mapping_Sheet!$C$2:$C$3143=AE$1,
Master_Mapping_Sheet!$H$2:$H$3143=$A14))/sum(filter(
Mas"&amp;"ter_Mapping_Sheet!$E$2:$E$3143, ISNUMBER(
Master_Mapping_Sheet!$E$2:$E$3143),
Master_Mapping_Sheet!$H$2:$H$3143=$A14)))"),0.0)</f>
        <v>0</v>
      </c>
      <c r="AF14" s="34">
        <f>IFERROR(__xludf.DUMMYFUNCTION("IF(ISNA(sum(filter(
Master_Mapping_Sheet!$E$2:$E$3143, ISNUMBER(
Master_Mapping_Sheet!$E$2:$E$3143),
Master_Mapping_Sheet!$C$2:$C$3143=AF$1,
Master_Mapping_Sheet!$H$2:$H$3143=$A14))/sum(filter(
Master_Mapping_Sheet!$E$2:$E$3143, ISNUMBER(
Master_Mapping_S"&amp;"heet!$E$2:$E$3143),
Master_Mapping_Sheet!$H$2:$H$3143=$A14))), 0, sum(filter(
Master_Mapping_Sheet!$E$2:$E$3143, ISNUMBER(
Master_Mapping_Sheet!$E$2:$E$3143),
Master_Mapping_Sheet!$C$2:$C$3143=AF$1,
Master_Mapping_Sheet!$H$2:$H$3143=$A14))/sum(filter(
Mas"&amp;"ter_Mapping_Sheet!$E$2:$E$3143, ISNUMBER(
Master_Mapping_Sheet!$E$2:$E$3143),
Master_Mapping_Sheet!$H$2:$H$3143=$A14)))"),0.0)</f>
        <v>0</v>
      </c>
      <c r="AG14" s="34">
        <f>IFERROR(__xludf.DUMMYFUNCTION("IF(ISNA(sum(filter(
Master_Mapping_Sheet!$E$2:$E$3143, ISNUMBER(
Master_Mapping_Sheet!$E$2:$E$3143),
Master_Mapping_Sheet!$C$2:$C$3143=AG$1,
Master_Mapping_Sheet!$H$2:$H$3143=$A14))/sum(filter(
Master_Mapping_Sheet!$E$2:$E$3143, ISNUMBER(
Master_Mapping_S"&amp;"heet!$E$2:$E$3143),
Master_Mapping_Sheet!$H$2:$H$3143=$A14))), 0, sum(filter(
Master_Mapping_Sheet!$E$2:$E$3143, ISNUMBER(
Master_Mapping_Sheet!$E$2:$E$3143),
Master_Mapping_Sheet!$C$2:$C$3143=AG$1,
Master_Mapping_Sheet!$H$2:$H$3143=$A14))/sum(filter(
Mas"&amp;"ter_Mapping_Sheet!$E$2:$E$3143, ISNUMBER(
Master_Mapping_Sheet!$E$2:$E$3143),
Master_Mapping_Sheet!$H$2:$H$3143=$A14)))"),0.0)</f>
        <v>0</v>
      </c>
      <c r="AH14" s="34">
        <f>IFERROR(__xludf.DUMMYFUNCTION("IF(ISNA(sum(filter(
Master_Mapping_Sheet!$E$2:$E$3143, ISNUMBER(
Master_Mapping_Sheet!$E$2:$E$3143),
Master_Mapping_Sheet!$C$2:$C$3143=AH$1,
Master_Mapping_Sheet!$H$2:$H$3143=$A14))/sum(filter(
Master_Mapping_Sheet!$E$2:$E$3143, ISNUMBER(
Master_Mapping_S"&amp;"heet!$E$2:$E$3143),
Master_Mapping_Sheet!$H$2:$H$3143=$A14))), 0, sum(filter(
Master_Mapping_Sheet!$E$2:$E$3143, ISNUMBER(
Master_Mapping_Sheet!$E$2:$E$3143),
Master_Mapping_Sheet!$C$2:$C$3143=AH$1,
Master_Mapping_Sheet!$H$2:$H$3143=$A14))/sum(filter(
Mas"&amp;"ter_Mapping_Sheet!$E$2:$E$3143, ISNUMBER(
Master_Mapping_Sheet!$E$2:$E$3143),
Master_Mapping_Sheet!$H$2:$H$3143=$A14)))"),0.0)</f>
        <v>0</v>
      </c>
      <c r="AI14" s="34">
        <f>IFERROR(__xludf.DUMMYFUNCTION("IF(ISNA(sum(filter(
Master_Mapping_Sheet!$E$2:$E$3143, ISNUMBER(
Master_Mapping_Sheet!$E$2:$E$3143),
Master_Mapping_Sheet!$C$2:$C$3143=AI$1,
Master_Mapping_Sheet!$H$2:$H$3143=$A14))/sum(filter(
Master_Mapping_Sheet!$E$2:$E$3143, ISNUMBER(
Master_Mapping_S"&amp;"heet!$E$2:$E$3143),
Master_Mapping_Sheet!$H$2:$H$3143=$A14))), 0, sum(filter(
Master_Mapping_Sheet!$E$2:$E$3143, ISNUMBER(
Master_Mapping_Sheet!$E$2:$E$3143),
Master_Mapping_Sheet!$C$2:$C$3143=AI$1,
Master_Mapping_Sheet!$H$2:$H$3143=$A14))/sum(filter(
Mas"&amp;"ter_Mapping_Sheet!$E$2:$E$3143, ISNUMBER(
Master_Mapping_Sheet!$E$2:$E$3143),
Master_Mapping_Sheet!$H$2:$H$3143=$A14)))"),0.09039169939508096)</f>
        <v>0.0903916994</v>
      </c>
      <c r="AJ14" s="34">
        <f>IFERROR(__xludf.DUMMYFUNCTION("IF(ISNA(sum(filter(
Master_Mapping_Sheet!$E$2:$E$3143, ISNUMBER(
Master_Mapping_Sheet!$E$2:$E$3143),
Master_Mapping_Sheet!$C$2:$C$3143=AJ$1,
Master_Mapping_Sheet!$H$2:$H$3143=$A14))/sum(filter(
Master_Mapping_Sheet!$E$2:$E$3143, ISNUMBER(
Master_Mapping_S"&amp;"heet!$E$2:$E$3143),
Master_Mapping_Sheet!$H$2:$H$3143=$A14))), 0, sum(filter(
Master_Mapping_Sheet!$E$2:$E$3143, ISNUMBER(
Master_Mapping_Sheet!$E$2:$E$3143),
Master_Mapping_Sheet!$C$2:$C$3143=AJ$1,
Master_Mapping_Sheet!$H$2:$H$3143=$A14))/sum(filter(
Mas"&amp;"ter_Mapping_Sheet!$E$2:$E$3143, ISNUMBER(
Master_Mapping_Sheet!$E$2:$E$3143),
Master_Mapping_Sheet!$H$2:$H$3143=$A14)))"),0.0)</f>
        <v>0</v>
      </c>
      <c r="AK14" s="34">
        <f>IFERROR(__xludf.DUMMYFUNCTION("IF(ISNA(sum(filter(
Master_Mapping_Sheet!$E$2:$E$3143, ISNUMBER(
Master_Mapping_Sheet!$E$2:$E$3143),
Master_Mapping_Sheet!$C$2:$C$3143=AK$1,
Master_Mapping_Sheet!$H$2:$H$3143=$A14))/sum(filter(
Master_Mapping_Sheet!$E$2:$E$3143, ISNUMBER(
Master_Mapping_S"&amp;"heet!$E$2:$E$3143),
Master_Mapping_Sheet!$H$2:$H$3143=$A14))), 0, sum(filter(
Master_Mapping_Sheet!$E$2:$E$3143, ISNUMBER(
Master_Mapping_Sheet!$E$2:$E$3143),
Master_Mapping_Sheet!$C$2:$C$3143=AK$1,
Master_Mapping_Sheet!$H$2:$H$3143=$A14))/sum(filter(
Mas"&amp;"ter_Mapping_Sheet!$E$2:$E$3143, ISNUMBER(
Master_Mapping_Sheet!$E$2:$E$3143),
Master_Mapping_Sheet!$H$2:$H$3143=$A14)))"),0.0)</f>
        <v>0</v>
      </c>
      <c r="AL14" s="34">
        <f>IFERROR(__xludf.DUMMYFUNCTION("IF(ISNA(sum(filter(
Master_Mapping_Sheet!$E$2:$E$3143, ISNUMBER(
Master_Mapping_Sheet!$E$2:$E$3143),
Master_Mapping_Sheet!$C$2:$C$3143=AL$1,
Master_Mapping_Sheet!$H$2:$H$3143=$A14))/sum(filter(
Master_Mapping_Sheet!$E$2:$E$3143, ISNUMBER(
Master_Mapping_S"&amp;"heet!$E$2:$E$3143),
Master_Mapping_Sheet!$H$2:$H$3143=$A14))), 0, sum(filter(
Master_Mapping_Sheet!$E$2:$E$3143, ISNUMBER(
Master_Mapping_Sheet!$E$2:$E$3143),
Master_Mapping_Sheet!$C$2:$C$3143=AL$1,
Master_Mapping_Sheet!$H$2:$H$3143=$A14))/sum(filter(
Mas"&amp;"ter_Mapping_Sheet!$E$2:$E$3143, ISNUMBER(
Master_Mapping_Sheet!$E$2:$E$3143),
Master_Mapping_Sheet!$H$2:$H$3143=$A14)))"),0.0)</f>
        <v>0</v>
      </c>
      <c r="AM14" s="34">
        <f>IFERROR(__xludf.DUMMYFUNCTION("IF(ISNA(sum(filter(
Master_Mapping_Sheet!$E$2:$E$3143, ISNUMBER(
Master_Mapping_Sheet!$E$2:$E$3143),
Master_Mapping_Sheet!$C$2:$C$3143=AM$1,
Master_Mapping_Sheet!$H$2:$H$3143=$A14))/sum(filter(
Master_Mapping_Sheet!$E$2:$E$3143, ISNUMBER(
Master_Mapping_S"&amp;"heet!$E$2:$E$3143),
Master_Mapping_Sheet!$H$2:$H$3143=$A14))), 0, sum(filter(
Master_Mapping_Sheet!$E$2:$E$3143, ISNUMBER(
Master_Mapping_Sheet!$E$2:$E$3143),
Master_Mapping_Sheet!$C$2:$C$3143=AM$1,
Master_Mapping_Sheet!$H$2:$H$3143=$A14))/sum(filter(
Mas"&amp;"ter_Mapping_Sheet!$E$2:$E$3143, ISNUMBER(
Master_Mapping_Sheet!$E$2:$E$3143),
Master_Mapping_Sheet!$H$2:$H$3143=$A14)))"),0.0)</f>
        <v>0</v>
      </c>
      <c r="AN14" s="34">
        <f>IFERROR(__xludf.DUMMYFUNCTION("IF(ISNA(sum(filter(
Master_Mapping_Sheet!$E$2:$E$3143, ISNUMBER(
Master_Mapping_Sheet!$E$2:$E$3143),
Master_Mapping_Sheet!$C$2:$C$3143=AN$1,
Master_Mapping_Sheet!$H$2:$H$3143=$A14))/sum(filter(
Master_Mapping_Sheet!$E$2:$E$3143, ISNUMBER(
Master_Mapping_S"&amp;"heet!$E$2:$E$3143),
Master_Mapping_Sheet!$H$2:$H$3143=$A14))), 0, sum(filter(
Master_Mapping_Sheet!$E$2:$E$3143, ISNUMBER(
Master_Mapping_Sheet!$E$2:$E$3143),
Master_Mapping_Sheet!$C$2:$C$3143=AN$1,
Master_Mapping_Sheet!$H$2:$H$3143=$A14))/sum(filter(
Mas"&amp;"ter_Mapping_Sheet!$E$2:$E$3143, ISNUMBER(
Master_Mapping_Sheet!$E$2:$E$3143),
Master_Mapping_Sheet!$H$2:$H$3143=$A14)))"),0.0)</f>
        <v>0</v>
      </c>
      <c r="AO14" s="34">
        <f>IFERROR(__xludf.DUMMYFUNCTION("IF(ISNA(sum(filter(
Master_Mapping_Sheet!$E$2:$E$3143, ISNUMBER(
Master_Mapping_Sheet!$E$2:$E$3143),
Master_Mapping_Sheet!$C$2:$C$3143=AO$1,
Master_Mapping_Sheet!$H$2:$H$3143=$A14))/sum(filter(
Master_Mapping_Sheet!$E$2:$E$3143, ISNUMBER(
Master_Mapping_S"&amp;"heet!$E$2:$E$3143),
Master_Mapping_Sheet!$H$2:$H$3143=$A14))), 0, sum(filter(
Master_Mapping_Sheet!$E$2:$E$3143, ISNUMBER(
Master_Mapping_Sheet!$E$2:$E$3143),
Master_Mapping_Sheet!$C$2:$C$3143=AO$1,
Master_Mapping_Sheet!$H$2:$H$3143=$A14))/sum(filter(
Mas"&amp;"ter_Mapping_Sheet!$E$2:$E$3143, ISNUMBER(
Master_Mapping_Sheet!$E$2:$E$3143),
Master_Mapping_Sheet!$H$2:$H$3143=$A14)))"),0.0)</f>
        <v>0</v>
      </c>
      <c r="AP14" s="34">
        <f>IFERROR(__xludf.DUMMYFUNCTION("IF(ISNA(sum(filter(
Master_Mapping_Sheet!$E$2:$E$3143, ISNUMBER(
Master_Mapping_Sheet!$E$2:$E$3143),
Master_Mapping_Sheet!$C$2:$C$3143=AP$1,
Master_Mapping_Sheet!$H$2:$H$3143=$A14))/sum(filter(
Master_Mapping_Sheet!$E$2:$E$3143, ISNUMBER(
Master_Mapping_S"&amp;"heet!$E$2:$E$3143),
Master_Mapping_Sheet!$H$2:$H$3143=$A14))), 0, sum(filter(
Master_Mapping_Sheet!$E$2:$E$3143, ISNUMBER(
Master_Mapping_Sheet!$E$2:$E$3143),
Master_Mapping_Sheet!$C$2:$C$3143=AP$1,
Master_Mapping_Sheet!$H$2:$H$3143=$A14))/sum(filter(
Mas"&amp;"ter_Mapping_Sheet!$E$2:$E$3143, ISNUMBER(
Master_Mapping_Sheet!$E$2:$E$3143),
Master_Mapping_Sheet!$H$2:$H$3143=$A14)))"),0.0)</f>
        <v>0</v>
      </c>
      <c r="AQ14" s="34">
        <f>IFERROR(__xludf.DUMMYFUNCTION("IF(ISNA(sum(filter(
Master_Mapping_Sheet!$E$2:$E$3143, ISNUMBER(
Master_Mapping_Sheet!$E$2:$E$3143),
Master_Mapping_Sheet!$C$2:$C$3143=AQ$1,
Master_Mapping_Sheet!$H$2:$H$3143=$A14))/sum(filter(
Master_Mapping_Sheet!$E$2:$E$3143, ISNUMBER(
Master_Mapping_S"&amp;"heet!$E$2:$E$3143),
Master_Mapping_Sheet!$H$2:$H$3143=$A14))), 0, sum(filter(
Master_Mapping_Sheet!$E$2:$E$3143, ISNUMBER(
Master_Mapping_Sheet!$E$2:$E$3143),
Master_Mapping_Sheet!$C$2:$C$3143=AQ$1,
Master_Mapping_Sheet!$H$2:$H$3143=$A14))/sum(filter(
Mas"&amp;"ter_Mapping_Sheet!$E$2:$E$3143, ISNUMBER(
Master_Mapping_Sheet!$E$2:$E$3143),
Master_Mapping_Sheet!$H$2:$H$3143=$A14)))"),0.0)</f>
        <v>0</v>
      </c>
      <c r="AR14" s="34">
        <f>IFERROR(__xludf.DUMMYFUNCTION("IF(ISNA(sum(filter(
Master_Mapping_Sheet!$E$2:$E$3143, ISNUMBER(
Master_Mapping_Sheet!$E$2:$E$3143),
Master_Mapping_Sheet!$C$2:$C$3143=AR$1,
Master_Mapping_Sheet!$H$2:$H$3143=$A14))/sum(filter(
Master_Mapping_Sheet!$E$2:$E$3143, ISNUMBER(
Master_Mapping_S"&amp;"heet!$E$2:$E$3143),
Master_Mapping_Sheet!$H$2:$H$3143=$A14))), 0, sum(filter(
Master_Mapping_Sheet!$E$2:$E$3143, ISNUMBER(
Master_Mapping_Sheet!$E$2:$E$3143),
Master_Mapping_Sheet!$C$2:$C$3143=AR$1,
Master_Mapping_Sheet!$H$2:$H$3143=$A14))/sum(filter(
Mas"&amp;"ter_Mapping_Sheet!$E$2:$E$3143, ISNUMBER(
Master_Mapping_Sheet!$E$2:$E$3143),
Master_Mapping_Sheet!$H$2:$H$3143=$A14)))"),0.0)</f>
        <v>0</v>
      </c>
      <c r="AS14" s="34">
        <f>IFERROR(__xludf.DUMMYFUNCTION("IF(ISNA(sum(filter(
Master_Mapping_Sheet!$E$2:$E$3143, ISNUMBER(
Master_Mapping_Sheet!$E$2:$E$3143),
Master_Mapping_Sheet!$C$2:$C$3143=AS$1,
Master_Mapping_Sheet!$H$2:$H$3143=$A14))/sum(filter(
Master_Mapping_Sheet!$E$2:$E$3143, ISNUMBER(
Master_Mapping_S"&amp;"heet!$E$2:$E$3143),
Master_Mapping_Sheet!$H$2:$H$3143=$A14))), 0, sum(filter(
Master_Mapping_Sheet!$E$2:$E$3143, ISNUMBER(
Master_Mapping_Sheet!$E$2:$E$3143),
Master_Mapping_Sheet!$C$2:$C$3143=AS$1,
Master_Mapping_Sheet!$H$2:$H$3143=$A14))/sum(filter(
Mas"&amp;"ter_Mapping_Sheet!$E$2:$E$3143, ISNUMBER(
Master_Mapping_Sheet!$E$2:$E$3143),
Master_Mapping_Sheet!$H$2:$H$3143=$A14)))"),0.0)</f>
        <v>0</v>
      </c>
      <c r="AT14" s="34">
        <f>IFERROR(__xludf.DUMMYFUNCTION("IF(ISNA(sum(filter(
Master_Mapping_Sheet!$E$2:$E$3143, ISNUMBER(
Master_Mapping_Sheet!$E$2:$E$3143),
Master_Mapping_Sheet!$C$2:$C$3143=AT$1,
Master_Mapping_Sheet!$H$2:$H$3143=$A14))/sum(filter(
Master_Mapping_Sheet!$E$2:$E$3143, ISNUMBER(
Master_Mapping_S"&amp;"heet!$E$2:$E$3143),
Master_Mapping_Sheet!$H$2:$H$3143=$A14))), 0, sum(filter(
Master_Mapping_Sheet!$E$2:$E$3143, ISNUMBER(
Master_Mapping_Sheet!$E$2:$E$3143),
Master_Mapping_Sheet!$C$2:$C$3143=AT$1,
Master_Mapping_Sheet!$H$2:$H$3143=$A14))/sum(filter(
Mas"&amp;"ter_Mapping_Sheet!$E$2:$E$3143, ISNUMBER(
Master_Mapping_Sheet!$E$2:$E$3143),
Master_Mapping_Sheet!$H$2:$H$3143=$A14)))"),0.0)</f>
        <v>0</v>
      </c>
      <c r="AU14" s="34">
        <f>IFERROR(__xludf.DUMMYFUNCTION("IF(ISNA(sum(filter(
Master_Mapping_Sheet!$E$2:$E$3143, ISNUMBER(
Master_Mapping_Sheet!$E$2:$E$3143),
Master_Mapping_Sheet!$C$2:$C$3143=AU$1,
Master_Mapping_Sheet!$H$2:$H$3143=$A14))/sum(filter(
Master_Mapping_Sheet!$E$2:$E$3143, ISNUMBER(
Master_Mapping_S"&amp;"heet!$E$2:$E$3143),
Master_Mapping_Sheet!$H$2:$H$3143=$A14))), 0, sum(filter(
Master_Mapping_Sheet!$E$2:$E$3143, ISNUMBER(
Master_Mapping_Sheet!$E$2:$E$3143),
Master_Mapping_Sheet!$C$2:$C$3143=AU$1,
Master_Mapping_Sheet!$H$2:$H$3143=$A14))/sum(filter(
Mas"&amp;"ter_Mapping_Sheet!$E$2:$E$3143, ISNUMBER(
Master_Mapping_Sheet!$E$2:$E$3143),
Master_Mapping_Sheet!$H$2:$H$3143=$A14)))"),0.0)</f>
        <v>0</v>
      </c>
      <c r="AV14" s="34">
        <f>IFERROR(__xludf.DUMMYFUNCTION("IF(ISNA(sum(filter(
Master_Mapping_Sheet!$E$2:$E$3143, ISNUMBER(
Master_Mapping_Sheet!$E$2:$E$3143),
Master_Mapping_Sheet!$C$2:$C$3143=AV$1,
Master_Mapping_Sheet!$H$2:$H$3143=$A14))/sum(filter(
Master_Mapping_Sheet!$E$2:$E$3143, ISNUMBER(
Master_Mapping_S"&amp;"heet!$E$2:$E$3143),
Master_Mapping_Sheet!$H$2:$H$3143=$A14))), 0, sum(filter(
Master_Mapping_Sheet!$E$2:$E$3143, ISNUMBER(
Master_Mapping_Sheet!$E$2:$E$3143),
Master_Mapping_Sheet!$C$2:$C$3143=AV$1,
Master_Mapping_Sheet!$H$2:$H$3143=$A14))/sum(filter(
Mas"&amp;"ter_Mapping_Sheet!$E$2:$E$3143, ISNUMBER(
Master_Mapping_Sheet!$E$2:$E$3143),
Master_Mapping_Sheet!$H$2:$H$3143=$A14)))"),0.8315507738590543)</f>
        <v>0.8315507739</v>
      </c>
      <c r="AW14" s="34">
        <f>IFERROR(__xludf.DUMMYFUNCTION("IF(ISNA(sum(filter(
Master_Mapping_Sheet!$E$2:$E$3143, ISNUMBER(
Master_Mapping_Sheet!$E$2:$E$3143),
Master_Mapping_Sheet!$C$2:$C$3143=AW$1,
Master_Mapping_Sheet!$H$2:$H$3143=$A14))/sum(filter(
Master_Mapping_Sheet!$E$2:$E$3143, ISNUMBER(
Master_Mapping_S"&amp;"heet!$E$2:$E$3143),
Master_Mapping_Sheet!$H$2:$H$3143=$A14))), 0, sum(filter(
Master_Mapping_Sheet!$E$2:$E$3143, ISNUMBER(
Master_Mapping_Sheet!$E$2:$E$3143),
Master_Mapping_Sheet!$C$2:$C$3143=AW$1,
Master_Mapping_Sheet!$H$2:$H$3143=$A14))/sum(filter(
Mas"&amp;"ter_Mapping_Sheet!$E$2:$E$3143, ISNUMBER(
Master_Mapping_Sheet!$E$2:$E$3143),
Master_Mapping_Sheet!$H$2:$H$3143=$A14)))"),0.0)</f>
        <v>0</v>
      </c>
      <c r="AX14" s="34">
        <f>IFERROR(__xludf.DUMMYFUNCTION("IF(ISNA(sum(filter(
Master_Mapping_Sheet!$E$2:$E$3143, ISNUMBER(
Master_Mapping_Sheet!$E$2:$E$3143),
Master_Mapping_Sheet!$C$2:$C$3143=AX$1,
Master_Mapping_Sheet!$H$2:$H$3143=$A14))/sum(filter(
Master_Mapping_Sheet!$E$2:$E$3143, ISNUMBER(
Master_Mapping_S"&amp;"heet!$E$2:$E$3143),
Master_Mapping_Sheet!$H$2:$H$3143=$A14))), 0, sum(filter(
Master_Mapping_Sheet!$E$2:$E$3143, ISNUMBER(
Master_Mapping_Sheet!$E$2:$E$3143),
Master_Mapping_Sheet!$C$2:$C$3143=AX$1,
Master_Mapping_Sheet!$H$2:$H$3143=$A14))/sum(filter(
Mas"&amp;"ter_Mapping_Sheet!$E$2:$E$3143, ISNUMBER(
Master_Mapping_Sheet!$E$2:$E$3143),
Master_Mapping_Sheet!$H$2:$H$3143=$A14)))"),0.0)</f>
        <v>0</v>
      </c>
      <c r="AY14" s="34">
        <f>IFERROR(__xludf.DUMMYFUNCTION("IF(ISNA(sum(filter(
Master_Mapping_Sheet!$E$2:$E$3143, ISNUMBER(
Master_Mapping_Sheet!$E$2:$E$3143),
Master_Mapping_Sheet!$C$2:$C$3143=AY$1,
Master_Mapping_Sheet!$H$2:$H$3143=$A14))/sum(filter(
Master_Mapping_Sheet!$E$2:$E$3143, ISNUMBER(
Master_Mapping_S"&amp;"heet!$E$2:$E$3143),
Master_Mapping_Sheet!$H$2:$H$3143=$A14))), 0, sum(filter(
Master_Mapping_Sheet!$E$2:$E$3143, ISNUMBER(
Master_Mapping_Sheet!$E$2:$E$3143),
Master_Mapping_Sheet!$C$2:$C$3143=AY$1,
Master_Mapping_Sheet!$H$2:$H$3143=$A14))/sum(filter(
Mas"&amp;"ter_Mapping_Sheet!$E$2:$E$3143, ISNUMBER(
Master_Mapping_Sheet!$E$2:$E$3143),
Master_Mapping_Sheet!$H$2:$H$3143=$A14)))"),0.0)</f>
        <v>0</v>
      </c>
      <c r="AZ14" s="34">
        <f>IFERROR(__xludf.DUMMYFUNCTION("IF(ISNA(sum(filter(
Master_Mapping_Sheet!$E$2:$E$3143, ISNUMBER(
Master_Mapping_Sheet!$E$2:$E$3143),
Master_Mapping_Sheet!$C$2:$C$3143=AZ$1,
Master_Mapping_Sheet!$H$2:$H$3143=$A14))/sum(filter(
Master_Mapping_Sheet!$E$2:$E$3143, ISNUMBER(
Master_Mapping_S"&amp;"heet!$E$2:$E$3143),
Master_Mapping_Sheet!$H$2:$H$3143=$A14))), 0, sum(filter(
Master_Mapping_Sheet!$E$2:$E$3143, ISNUMBER(
Master_Mapping_Sheet!$E$2:$E$3143),
Master_Mapping_Sheet!$C$2:$C$3143=AZ$1,
Master_Mapping_Sheet!$H$2:$H$3143=$A14))/sum(filter(
Mas"&amp;"ter_Mapping_Sheet!$E$2:$E$3143, ISNUMBER(
Master_Mapping_Sheet!$E$2:$E$3143),
Master_Mapping_Sheet!$H$2:$H$3143=$A14)))"),0.0)</f>
        <v>0</v>
      </c>
    </row>
    <row r="15" ht="15.75" customHeight="1">
      <c r="A15" s="34" t="s">
        <v>4009</v>
      </c>
      <c r="B15" s="34">
        <f>IFERROR(__xludf.DUMMYFUNCTION("IF(ISNA(sum(filter(
Master_Mapping_Sheet!$E$2:$E$3143, ISNUMBER(
Master_Mapping_Sheet!$E$2:$E$3143),
Master_Mapping_Sheet!$C$2:$C$3143=B$1,
Master_Mapping_Sheet!$H$2:$H$3143=$A15))/sum(filter(
Master_Mapping_Sheet!$E$2:$E$3143, ISNUMBER(
Master_Mapping_Sh"&amp;"eet!$E$2:$E$3143),
Master_Mapping_Sheet!$H$2:$H$3143=$A15))), 0, sum(filter(
Master_Mapping_Sheet!$E$2:$E$3143, ISNUMBER(
Master_Mapping_Sheet!$E$2:$E$3143),
Master_Mapping_Sheet!$C$2:$C$3143=B$1,
Master_Mapping_Sheet!$H$2:$H$3143=$A15))/sum(filter(
Maste"&amp;"r_Mapping_Sheet!$E$2:$E$3143, ISNUMBER(
Master_Mapping_Sheet!$E$2:$E$3143),
Master_Mapping_Sheet!$H$2:$H$3143=$A15)))"),0.0)</f>
        <v>0</v>
      </c>
      <c r="C15" s="34">
        <f>IFERROR(__xludf.DUMMYFUNCTION("IF(ISNA(sum(filter(
Master_Mapping_Sheet!$E$2:$E$3143, ISNUMBER(
Master_Mapping_Sheet!$E$2:$E$3143),
Master_Mapping_Sheet!$C$2:$C$3143=C$1,
Master_Mapping_Sheet!$H$2:$H$3143=$A15))/sum(filter(
Master_Mapping_Sheet!$E$2:$E$3143, ISNUMBER(
Master_Mapping_Sh"&amp;"eet!$E$2:$E$3143),
Master_Mapping_Sheet!$H$2:$H$3143=$A15))), 0, sum(filter(
Master_Mapping_Sheet!$E$2:$E$3143, ISNUMBER(
Master_Mapping_Sheet!$E$2:$E$3143),
Master_Mapping_Sheet!$C$2:$C$3143=C$1,
Master_Mapping_Sheet!$H$2:$H$3143=$A15))/sum(filter(
Maste"&amp;"r_Mapping_Sheet!$E$2:$E$3143, ISNUMBER(
Master_Mapping_Sheet!$E$2:$E$3143),
Master_Mapping_Sheet!$H$2:$H$3143=$A15)))"),0.0)</f>
        <v>0</v>
      </c>
      <c r="D15" s="34">
        <f>IFERROR(__xludf.DUMMYFUNCTION("IF(ISNA(sum(filter(
Master_Mapping_Sheet!$E$2:$E$3143, ISNUMBER(
Master_Mapping_Sheet!$E$2:$E$3143),
Master_Mapping_Sheet!$C$2:$C$3143=D$1,
Master_Mapping_Sheet!$H$2:$H$3143=$A15))/sum(filter(
Master_Mapping_Sheet!$E$2:$E$3143, ISNUMBER(
Master_Mapping_Sh"&amp;"eet!$E$2:$E$3143),
Master_Mapping_Sheet!$H$2:$H$3143=$A15))), 0, sum(filter(
Master_Mapping_Sheet!$E$2:$E$3143, ISNUMBER(
Master_Mapping_Sheet!$E$2:$E$3143),
Master_Mapping_Sheet!$C$2:$C$3143=D$1,
Master_Mapping_Sheet!$H$2:$H$3143=$A15))/sum(filter(
Maste"&amp;"r_Mapping_Sheet!$E$2:$E$3143, ISNUMBER(
Master_Mapping_Sheet!$E$2:$E$3143),
Master_Mapping_Sheet!$H$2:$H$3143=$A15)))"),0.0)</f>
        <v>0</v>
      </c>
      <c r="E15" s="34">
        <f>IFERROR(__xludf.DUMMYFUNCTION("IF(ISNA(sum(filter(
Master_Mapping_Sheet!$E$2:$E$3143, ISNUMBER(
Master_Mapping_Sheet!$E$2:$E$3143),
Master_Mapping_Sheet!$C$2:$C$3143=E$1,
Master_Mapping_Sheet!$H$2:$H$3143=$A15))/sum(filter(
Master_Mapping_Sheet!$E$2:$E$3143, ISNUMBER(
Master_Mapping_Sh"&amp;"eet!$E$2:$E$3143),
Master_Mapping_Sheet!$H$2:$H$3143=$A15))), 0, sum(filter(
Master_Mapping_Sheet!$E$2:$E$3143, ISNUMBER(
Master_Mapping_Sheet!$E$2:$E$3143),
Master_Mapping_Sheet!$C$2:$C$3143=E$1,
Master_Mapping_Sheet!$H$2:$H$3143=$A15))/sum(filter(
Maste"&amp;"r_Mapping_Sheet!$E$2:$E$3143, ISNUMBER(
Master_Mapping_Sheet!$E$2:$E$3143),
Master_Mapping_Sheet!$H$2:$H$3143=$A15)))"),0.0)</f>
        <v>0</v>
      </c>
      <c r="F15" s="34">
        <f>IFERROR(__xludf.DUMMYFUNCTION("IF(ISNA(sum(filter(
Master_Mapping_Sheet!$E$2:$E$3143, ISNUMBER(
Master_Mapping_Sheet!$E$2:$E$3143),
Master_Mapping_Sheet!$C$2:$C$3143=F$1,
Master_Mapping_Sheet!$H$2:$H$3143=$A15))/sum(filter(
Master_Mapping_Sheet!$E$2:$E$3143, ISNUMBER(
Master_Mapping_Sh"&amp;"eet!$E$2:$E$3143),
Master_Mapping_Sheet!$H$2:$H$3143=$A15))), 0, sum(filter(
Master_Mapping_Sheet!$E$2:$E$3143, ISNUMBER(
Master_Mapping_Sheet!$E$2:$E$3143),
Master_Mapping_Sheet!$C$2:$C$3143=F$1,
Master_Mapping_Sheet!$H$2:$H$3143=$A15))/sum(filter(
Maste"&amp;"r_Mapping_Sheet!$E$2:$E$3143, ISNUMBER(
Master_Mapping_Sheet!$E$2:$E$3143),
Master_Mapping_Sheet!$H$2:$H$3143=$A15)))"),0.0)</f>
        <v>0</v>
      </c>
      <c r="G15" s="34">
        <f>IFERROR(__xludf.DUMMYFUNCTION("IF(ISNA(sum(filter(
Master_Mapping_Sheet!$E$2:$E$3143, ISNUMBER(
Master_Mapping_Sheet!$E$2:$E$3143),
Master_Mapping_Sheet!$C$2:$C$3143=G$1,
Master_Mapping_Sheet!$H$2:$H$3143=$A15))/sum(filter(
Master_Mapping_Sheet!$E$2:$E$3143, ISNUMBER(
Master_Mapping_Sh"&amp;"eet!$E$2:$E$3143),
Master_Mapping_Sheet!$H$2:$H$3143=$A15))), 0, sum(filter(
Master_Mapping_Sheet!$E$2:$E$3143, ISNUMBER(
Master_Mapping_Sheet!$E$2:$E$3143),
Master_Mapping_Sheet!$C$2:$C$3143=G$1,
Master_Mapping_Sheet!$H$2:$H$3143=$A15))/sum(filter(
Maste"&amp;"r_Mapping_Sheet!$E$2:$E$3143, ISNUMBER(
Master_Mapping_Sheet!$E$2:$E$3143),
Master_Mapping_Sheet!$H$2:$H$3143=$A15)))"),0.0)</f>
        <v>0</v>
      </c>
      <c r="H15" s="34">
        <f>IFERROR(__xludf.DUMMYFUNCTION("IF(ISNA(sum(filter(
Master_Mapping_Sheet!$E$2:$E$3143, ISNUMBER(
Master_Mapping_Sheet!$E$2:$E$3143),
Master_Mapping_Sheet!$C$2:$C$3143=H$1,
Master_Mapping_Sheet!$H$2:$H$3143=$A15))/sum(filter(
Master_Mapping_Sheet!$E$2:$E$3143, ISNUMBER(
Master_Mapping_Sh"&amp;"eet!$E$2:$E$3143),
Master_Mapping_Sheet!$H$2:$H$3143=$A15))), 0, sum(filter(
Master_Mapping_Sheet!$E$2:$E$3143, ISNUMBER(
Master_Mapping_Sheet!$E$2:$E$3143),
Master_Mapping_Sheet!$C$2:$C$3143=H$1,
Master_Mapping_Sheet!$H$2:$H$3143=$A15))/sum(filter(
Maste"&amp;"r_Mapping_Sheet!$E$2:$E$3143, ISNUMBER(
Master_Mapping_Sheet!$E$2:$E$3143),
Master_Mapping_Sheet!$H$2:$H$3143=$A15)))"),0.0)</f>
        <v>0</v>
      </c>
      <c r="I15" s="34">
        <f>IFERROR(__xludf.DUMMYFUNCTION("IF(ISNA(sum(filter(
Master_Mapping_Sheet!$E$2:$E$3143, ISNUMBER(
Master_Mapping_Sheet!$E$2:$E$3143),
Master_Mapping_Sheet!$C$2:$C$3143=I$1,
Master_Mapping_Sheet!$H$2:$H$3143=$A15))/sum(filter(
Master_Mapping_Sheet!$E$2:$E$3143, ISNUMBER(
Master_Mapping_Sh"&amp;"eet!$E$2:$E$3143),
Master_Mapping_Sheet!$H$2:$H$3143=$A15))), 0, sum(filter(
Master_Mapping_Sheet!$E$2:$E$3143, ISNUMBER(
Master_Mapping_Sheet!$E$2:$E$3143),
Master_Mapping_Sheet!$C$2:$C$3143=I$1,
Master_Mapping_Sheet!$H$2:$H$3143=$A15))/sum(filter(
Maste"&amp;"r_Mapping_Sheet!$E$2:$E$3143, ISNUMBER(
Master_Mapping_Sheet!$E$2:$E$3143),
Master_Mapping_Sheet!$H$2:$H$3143=$A15)))"),0.0)</f>
        <v>0</v>
      </c>
      <c r="J15" s="34">
        <f>IFERROR(__xludf.DUMMYFUNCTION("IF(ISNA(sum(filter(
Master_Mapping_Sheet!$E$2:$E$3143, ISNUMBER(
Master_Mapping_Sheet!$E$2:$E$3143),
Master_Mapping_Sheet!$C$2:$C$3143=J$1,
Master_Mapping_Sheet!$H$2:$H$3143=$A15))/sum(filter(
Master_Mapping_Sheet!$E$2:$E$3143, ISNUMBER(
Master_Mapping_Sh"&amp;"eet!$E$2:$E$3143),
Master_Mapping_Sheet!$H$2:$H$3143=$A15))), 0, sum(filter(
Master_Mapping_Sheet!$E$2:$E$3143, ISNUMBER(
Master_Mapping_Sheet!$E$2:$E$3143),
Master_Mapping_Sheet!$C$2:$C$3143=J$1,
Master_Mapping_Sheet!$H$2:$H$3143=$A15))/sum(filter(
Maste"&amp;"r_Mapping_Sheet!$E$2:$E$3143, ISNUMBER(
Master_Mapping_Sheet!$E$2:$E$3143),
Master_Mapping_Sheet!$H$2:$H$3143=$A15)))"),0.0)</f>
        <v>0</v>
      </c>
      <c r="K15" s="34">
        <f>IFERROR(__xludf.DUMMYFUNCTION("IF(ISNA(sum(filter(
Master_Mapping_Sheet!$E$2:$E$3143, ISNUMBER(
Master_Mapping_Sheet!$E$2:$E$3143),
Master_Mapping_Sheet!$C$2:$C$3143=K$1,
Master_Mapping_Sheet!$H$2:$H$3143=$A15))/sum(filter(
Master_Mapping_Sheet!$E$2:$E$3143, ISNUMBER(
Master_Mapping_Sh"&amp;"eet!$E$2:$E$3143),
Master_Mapping_Sheet!$H$2:$H$3143=$A15))), 0, sum(filter(
Master_Mapping_Sheet!$E$2:$E$3143, ISNUMBER(
Master_Mapping_Sheet!$E$2:$E$3143),
Master_Mapping_Sheet!$C$2:$C$3143=K$1,
Master_Mapping_Sheet!$H$2:$H$3143=$A15))/sum(filter(
Maste"&amp;"r_Mapping_Sheet!$E$2:$E$3143, ISNUMBER(
Master_Mapping_Sheet!$E$2:$E$3143),
Master_Mapping_Sheet!$H$2:$H$3143=$A15)))"),0.0)</f>
        <v>0</v>
      </c>
      <c r="L15" s="34">
        <f>IFERROR(__xludf.DUMMYFUNCTION("IF(ISNA(sum(filter(
Master_Mapping_Sheet!$E$2:$E$3143, ISNUMBER(
Master_Mapping_Sheet!$E$2:$E$3143),
Master_Mapping_Sheet!$C$2:$C$3143=L$1,
Master_Mapping_Sheet!$H$2:$H$3143=$A15))/sum(filter(
Master_Mapping_Sheet!$E$2:$E$3143, ISNUMBER(
Master_Mapping_Sh"&amp;"eet!$E$2:$E$3143),
Master_Mapping_Sheet!$H$2:$H$3143=$A15))), 0, sum(filter(
Master_Mapping_Sheet!$E$2:$E$3143, ISNUMBER(
Master_Mapping_Sheet!$E$2:$E$3143),
Master_Mapping_Sheet!$C$2:$C$3143=L$1,
Master_Mapping_Sheet!$H$2:$H$3143=$A15))/sum(filter(
Maste"&amp;"r_Mapping_Sheet!$E$2:$E$3143, ISNUMBER(
Master_Mapping_Sheet!$E$2:$E$3143),
Master_Mapping_Sheet!$H$2:$H$3143=$A15)))"),0.0)</f>
        <v>0</v>
      </c>
      <c r="M15" s="34">
        <f>IFERROR(__xludf.DUMMYFUNCTION("IF(ISNA(sum(filter(
Master_Mapping_Sheet!$E$2:$E$3143, ISNUMBER(
Master_Mapping_Sheet!$E$2:$E$3143),
Master_Mapping_Sheet!$C$2:$C$3143=M$1,
Master_Mapping_Sheet!$H$2:$H$3143=$A15))/sum(filter(
Master_Mapping_Sheet!$E$2:$E$3143, ISNUMBER(
Master_Mapping_Sh"&amp;"eet!$E$2:$E$3143),
Master_Mapping_Sheet!$H$2:$H$3143=$A15))), 0, sum(filter(
Master_Mapping_Sheet!$E$2:$E$3143, ISNUMBER(
Master_Mapping_Sheet!$E$2:$E$3143),
Master_Mapping_Sheet!$C$2:$C$3143=M$1,
Master_Mapping_Sheet!$H$2:$H$3143=$A15))/sum(filter(
Maste"&amp;"r_Mapping_Sheet!$E$2:$E$3143, ISNUMBER(
Master_Mapping_Sheet!$E$2:$E$3143),
Master_Mapping_Sheet!$H$2:$H$3143=$A15)))"),0.0)</f>
        <v>0</v>
      </c>
      <c r="N15" s="34">
        <f>IFERROR(__xludf.DUMMYFUNCTION("IF(ISNA(sum(filter(
Master_Mapping_Sheet!$E$2:$E$3143, ISNUMBER(
Master_Mapping_Sheet!$E$2:$E$3143),
Master_Mapping_Sheet!$C$2:$C$3143=N$1,
Master_Mapping_Sheet!$H$2:$H$3143=$A15))/sum(filter(
Master_Mapping_Sheet!$E$2:$E$3143, ISNUMBER(
Master_Mapping_Sh"&amp;"eet!$E$2:$E$3143),
Master_Mapping_Sheet!$H$2:$H$3143=$A15))), 0, sum(filter(
Master_Mapping_Sheet!$E$2:$E$3143, ISNUMBER(
Master_Mapping_Sheet!$E$2:$E$3143),
Master_Mapping_Sheet!$C$2:$C$3143=N$1,
Master_Mapping_Sheet!$H$2:$H$3143=$A15))/sum(filter(
Maste"&amp;"r_Mapping_Sheet!$E$2:$E$3143, ISNUMBER(
Master_Mapping_Sheet!$E$2:$E$3143),
Master_Mapping_Sheet!$H$2:$H$3143=$A15)))"),0.0)</f>
        <v>0</v>
      </c>
      <c r="O15" s="34">
        <f>IFERROR(__xludf.DUMMYFUNCTION("IF(ISNA(sum(filter(
Master_Mapping_Sheet!$E$2:$E$3143, ISNUMBER(
Master_Mapping_Sheet!$E$2:$E$3143),
Master_Mapping_Sheet!$C$2:$C$3143=O$1,
Master_Mapping_Sheet!$H$2:$H$3143=$A15))/sum(filter(
Master_Mapping_Sheet!$E$2:$E$3143, ISNUMBER(
Master_Mapping_Sh"&amp;"eet!$E$2:$E$3143),
Master_Mapping_Sheet!$H$2:$H$3143=$A15))), 0, sum(filter(
Master_Mapping_Sheet!$E$2:$E$3143, ISNUMBER(
Master_Mapping_Sheet!$E$2:$E$3143),
Master_Mapping_Sheet!$C$2:$C$3143=O$1,
Master_Mapping_Sheet!$H$2:$H$3143=$A15))/sum(filter(
Maste"&amp;"r_Mapping_Sheet!$E$2:$E$3143, ISNUMBER(
Master_Mapping_Sheet!$E$2:$E$3143),
Master_Mapping_Sheet!$H$2:$H$3143=$A15)))"),0.0)</f>
        <v>0</v>
      </c>
      <c r="P15" s="34">
        <f>IFERROR(__xludf.DUMMYFUNCTION("IF(ISNA(sum(filter(
Master_Mapping_Sheet!$E$2:$E$3143, ISNUMBER(
Master_Mapping_Sheet!$E$2:$E$3143),
Master_Mapping_Sheet!$C$2:$C$3143=P$1,
Master_Mapping_Sheet!$H$2:$H$3143=$A15))/sum(filter(
Master_Mapping_Sheet!$E$2:$E$3143, ISNUMBER(
Master_Mapping_Sh"&amp;"eet!$E$2:$E$3143),
Master_Mapping_Sheet!$H$2:$H$3143=$A15))), 0, sum(filter(
Master_Mapping_Sheet!$E$2:$E$3143, ISNUMBER(
Master_Mapping_Sheet!$E$2:$E$3143),
Master_Mapping_Sheet!$C$2:$C$3143=P$1,
Master_Mapping_Sheet!$H$2:$H$3143=$A15))/sum(filter(
Maste"&amp;"r_Mapping_Sheet!$E$2:$E$3143, ISNUMBER(
Master_Mapping_Sheet!$E$2:$E$3143),
Master_Mapping_Sheet!$H$2:$H$3143=$A15)))"),0.0)</f>
        <v>0</v>
      </c>
      <c r="Q15" s="34">
        <f>IFERROR(__xludf.DUMMYFUNCTION("IF(ISNA(sum(filter(
Master_Mapping_Sheet!$E$2:$E$3143, ISNUMBER(
Master_Mapping_Sheet!$E$2:$E$3143),
Master_Mapping_Sheet!$C$2:$C$3143=Q$1,
Master_Mapping_Sheet!$H$2:$H$3143=$A15))/sum(filter(
Master_Mapping_Sheet!$E$2:$E$3143, ISNUMBER(
Master_Mapping_Sh"&amp;"eet!$E$2:$E$3143),
Master_Mapping_Sheet!$H$2:$H$3143=$A15))), 0, sum(filter(
Master_Mapping_Sheet!$E$2:$E$3143, ISNUMBER(
Master_Mapping_Sheet!$E$2:$E$3143),
Master_Mapping_Sheet!$C$2:$C$3143=Q$1,
Master_Mapping_Sheet!$H$2:$H$3143=$A15))/sum(filter(
Maste"&amp;"r_Mapping_Sheet!$E$2:$E$3143, ISNUMBER(
Master_Mapping_Sheet!$E$2:$E$3143),
Master_Mapping_Sheet!$H$2:$H$3143=$A15)))"),0.0)</f>
        <v>0</v>
      </c>
      <c r="R15" s="34">
        <f>IFERROR(__xludf.DUMMYFUNCTION("IF(ISNA(sum(filter(
Master_Mapping_Sheet!$E$2:$E$3143, ISNUMBER(
Master_Mapping_Sheet!$E$2:$E$3143),
Master_Mapping_Sheet!$C$2:$C$3143=R$1,
Master_Mapping_Sheet!$H$2:$H$3143=$A15))/sum(filter(
Master_Mapping_Sheet!$E$2:$E$3143, ISNUMBER(
Master_Mapping_Sh"&amp;"eet!$E$2:$E$3143),
Master_Mapping_Sheet!$H$2:$H$3143=$A15))), 0, sum(filter(
Master_Mapping_Sheet!$E$2:$E$3143, ISNUMBER(
Master_Mapping_Sheet!$E$2:$E$3143),
Master_Mapping_Sheet!$C$2:$C$3143=R$1,
Master_Mapping_Sheet!$H$2:$H$3143=$A15))/sum(filter(
Maste"&amp;"r_Mapping_Sheet!$E$2:$E$3143, ISNUMBER(
Master_Mapping_Sheet!$E$2:$E$3143),
Master_Mapping_Sheet!$H$2:$H$3143=$A15)))"),0.0)</f>
        <v>0</v>
      </c>
      <c r="S15" s="34">
        <f>IFERROR(__xludf.DUMMYFUNCTION("IF(ISNA(sum(filter(
Master_Mapping_Sheet!$E$2:$E$3143, ISNUMBER(
Master_Mapping_Sheet!$E$2:$E$3143),
Master_Mapping_Sheet!$C$2:$C$3143=S$1,
Master_Mapping_Sheet!$H$2:$H$3143=$A15))/sum(filter(
Master_Mapping_Sheet!$E$2:$E$3143, ISNUMBER(
Master_Mapping_Sh"&amp;"eet!$E$2:$E$3143),
Master_Mapping_Sheet!$H$2:$H$3143=$A15))), 0, sum(filter(
Master_Mapping_Sheet!$E$2:$E$3143, ISNUMBER(
Master_Mapping_Sheet!$E$2:$E$3143),
Master_Mapping_Sheet!$C$2:$C$3143=S$1,
Master_Mapping_Sheet!$H$2:$H$3143=$A15))/sum(filter(
Maste"&amp;"r_Mapping_Sheet!$E$2:$E$3143, ISNUMBER(
Master_Mapping_Sheet!$E$2:$E$3143),
Master_Mapping_Sheet!$H$2:$H$3143=$A15)))"),0.0)</f>
        <v>0</v>
      </c>
      <c r="T15" s="34">
        <f>IFERROR(__xludf.DUMMYFUNCTION("IF(ISNA(sum(filter(
Master_Mapping_Sheet!$E$2:$E$3143, ISNUMBER(
Master_Mapping_Sheet!$E$2:$E$3143),
Master_Mapping_Sheet!$C$2:$C$3143=T$1,
Master_Mapping_Sheet!$H$2:$H$3143=$A15))/sum(filter(
Master_Mapping_Sheet!$E$2:$E$3143, ISNUMBER(
Master_Mapping_Sh"&amp;"eet!$E$2:$E$3143),
Master_Mapping_Sheet!$H$2:$H$3143=$A15))), 0, sum(filter(
Master_Mapping_Sheet!$E$2:$E$3143, ISNUMBER(
Master_Mapping_Sheet!$E$2:$E$3143),
Master_Mapping_Sheet!$C$2:$C$3143=T$1,
Master_Mapping_Sheet!$H$2:$H$3143=$A15))/sum(filter(
Maste"&amp;"r_Mapping_Sheet!$E$2:$E$3143, ISNUMBER(
Master_Mapping_Sheet!$E$2:$E$3143),
Master_Mapping_Sheet!$H$2:$H$3143=$A15)))"),0.0)</f>
        <v>0</v>
      </c>
      <c r="U15" s="34">
        <f>IFERROR(__xludf.DUMMYFUNCTION("IF(ISNA(sum(filter(
Master_Mapping_Sheet!$E$2:$E$3143, ISNUMBER(
Master_Mapping_Sheet!$E$2:$E$3143),
Master_Mapping_Sheet!$C$2:$C$3143=U$1,
Master_Mapping_Sheet!$H$2:$H$3143=$A15))/sum(filter(
Master_Mapping_Sheet!$E$2:$E$3143, ISNUMBER(
Master_Mapping_Sh"&amp;"eet!$E$2:$E$3143),
Master_Mapping_Sheet!$H$2:$H$3143=$A15))), 0, sum(filter(
Master_Mapping_Sheet!$E$2:$E$3143, ISNUMBER(
Master_Mapping_Sheet!$E$2:$E$3143),
Master_Mapping_Sheet!$C$2:$C$3143=U$1,
Master_Mapping_Sheet!$H$2:$H$3143=$A15))/sum(filter(
Maste"&amp;"r_Mapping_Sheet!$E$2:$E$3143, ISNUMBER(
Master_Mapping_Sheet!$E$2:$E$3143),
Master_Mapping_Sheet!$H$2:$H$3143=$A15)))"),0.0)</f>
        <v>0</v>
      </c>
      <c r="V15" s="34">
        <f>IFERROR(__xludf.DUMMYFUNCTION("IF(ISNA(sum(filter(
Master_Mapping_Sheet!$E$2:$E$3143, ISNUMBER(
Master_Mapping_Sheet!$E$2:$E$3143),
Master_Mapping_Sheet!$C$2:$C$3143=V$1,
Master_Mapping_Sheet!$H$2:$H$3143=$A15))/sum(filter(
Master_Mapping_Sheet!$E$2:$E$3143, ISNUMBER(
Master_Mapping_Sh"&amp;"eet!$E$2:$E$3143),
Master_Mapping_Sheet!$H$2:$H$3143=$A15))), 0, sum(filter(
Master_Mapping_Sheet!$E$2:$E$3143, ISNUMBER(
Master_Mapping_Sheet!$E$2:$E$3143),
Master_Mapping_Sheet!$C$2:$C$3143=V$1,
Master_Mapping_Sheet!$H$2:$H$3143=$A15))/sum(filter(
Maste"&amp;"r_Mapping_Sheet!$E$2:$E$3143, ISNUMBER(
Master_Mapping_Sheet!$E$2:$E$3143),
Master_Mapping_Sheet!$H$2:$H$3143=$A15)))"),0.0)</f>
        <v>0</v>
      </c>
      <c r="W15" s="34">
        <f>IFERROR(__xludf.DUMMYFUNCTION("IF(ISNA(sum(filter(
Master_Mapping_Sheet!$E$2:$E$3143, ISNUMBER(
Master_Mapping_Sheet!$E$2:$E$3143),
Master_Mapping_Sheet!$C$2:$C$3143=W$1,
Master_Mapping_Sheet!$H$2:$H$3143=$A15))/sum(filter(
Master_Mapping_Sheet!$E$2:$E$3143, ISNUMBER(
Master_Mapping_Sh"&amp;"eet!$E$2:$E$3143),
Master_Mapping_Sheet!$H$2:$H$3143=$A15))), 0, sum(filter(
Master_Mapping_Sheet!$E$2:$E$3143, ISNUMBER(
Master_Mapping_Sheet!$E$2:$E$3143),
Master_Mapping_Sheet!$C$2:$C$3143=W$1,
Master_Mapping_Sheet!$H$2:$H$3143=$A15))/sum(filter(
Maste"&amp;"r_Mapping_Sheet!$E$2:$E$3143, ISNUMBER(
Master_Mapping_Sheet!$E$2:$E$3143),
Master_Mapping_Sheet!$H$2:$H$3143=$A15)))"),0.0)</f>
        <v>0</v>
      </c>
      <c r="X15" s="34">
        <f>IFERROR(__xludf.DUMMYFUNCTION("IF(ISNA(sum(filter(
Master_Mapping_Sheet!$E$2:$E$3143, ISNUMBER(
Master_Mapping_Sheet!$E$2:$E$3143),
Master_Mapping_Sheet!$C$2:$C$3143=X$1,
Master_Mapping_Sheet!$H$2:$H$3143=$A15))/sum(filter(
Master_Mapping_Sheet!$E$2:$E$3143, ISNUMBER(
Master_Mapping_Sh"&amp;"eet!$E$2:$E$3143),
Master_Mapping_Sheet!$H$2:$H$3143=$A15))), 0, sum(filter(
Master_Mapping_Sheet!$E$2:$E$3143, ISNUMBER(
Master_Mapping_Sheet!$E$2:$E$3143),
Master_Mapping_Sheet!$C$2:$C$3143=X$1,
Master_Mapping_Sheet!$H$2:$H$3143=$A15))/sum(filter(
Maste"&amp;"r_Mapping_Sheet!$E$2:$E$3143, ISNUMBER(
Master_Mapping_Sheet!$E$2:$E$3143),
Master_Mapping_Sheet!$H$2:$H$3143=$A15)))"),0.0)</f>
        <v>0</v>
      </c>
      <c r="Y15" s="34">
        <f>IFERROR(__xludf.DUMMYFUNCTION("IF(ISNA(sum(filter(
Master_Mapping_Sheet!$E$2:$E$3143, ISNUMBER(
Master_Mapping_Sheet!$E$2:$E$3143),
Master_Mapping_Sheet!$C$2:$C$3143=Y$1,
Master_Mapping_Sheet!$H$2:$H$3143=$A15))/sum(filter(
Master_Mapping_Sheet!$E$2:$E$3143, ISNUMBER(
Master_Mapping_Sh"&amp;"eet!$E$2:$E$3143),
Master_Mapping_Sheet!$H$2:$H$3143=$A15))), 0, sum(filter(
Master_Mapping_Sheet!$E$2:$E$3143, ISNUMBER(
Master_Mapping_Sheet!$E$2:$E$3143),
Master_Mapping_Sheet!$C$2:$C$3143=Y$1,
Master_Mapping_Sheet!$H$2:$H$3143=$A15))/sum(filter(
Maste"&amp;"r_Mapping_Sheet!$E$2:$E$3143, ISNUMBER(
Master_Mapping_Sheet!$E$2:$E$3143),
Master_Mapping_Sheet!$H$2:$H$3143=$A15)))"),0.0)</f>
        <v>0</v>
      </c>
      <c r="Z15" s="34">
        <f>IFERROR(__xludf.DUMMYFUNCTION("IF(ISNA(sum(filter(
Master_Mapping_Sheet!$E$2:$E$3143, ISNUMBER(
Master_Mapping_Sheet!$E$2:$E$3143),
Master_Mapping_Sheet!$C$2:$C$3143=Z$1,
Master_Mapping_Sheet!$H$2:$H$3143=$A15))/sum(filter(
Master_Mapping_Sheet!$E$2:$E$3143, ISNUMBER(
Master_Mapping_Sh"&amp;"eet!$E$2:$E$3143),
Master_Mapping_Sheet!$H$2:$H$3143=$A15))), 0, sum(filter(
Master_Mapping_Sheet!$E$2:$E$3143, ISNUMBER(
Master_Mapping_Sheet!$E$2:$E$3143),
Master_Mapping_Sheet!$C$2:$C$3143=Z$1,
Master_Mapping_Sheet!$H$2:$H$3143=$A15))/sum(filter(
Maste"&amp;"r_Mapping_Sheet!$E$2:$E$3143, ISNUMBER(
Master_Mapping_Sheet!$E$2:$E$3143),
Master_Mapping_Sheet!$H$2:$H$3143=$A15)))"),0.0)</f>
        <v>0</v>
      </c>
      <c r="AA15" s="34">
        <f>IFERROR(__xludf.DUMMYFUNCTION("IF(ISNA(sum(filter(
Master_Mapping_Sheet!$E$2:$E$3143, ISNUMBER(
Master_Mapping_Sheet!$E$2:$E$3143),
Master_Mapping_Sheet!$C$2:$C$3143=AA$1,
Master_Mapping_Sheet!$H$2:$H$3143=$A15))/sum(filter(
Master_Mapping_Sheet!$E$2:$E$3143, ISNUMBER(
Master_Mapping_S"&amp;"heet!$E$2:$E$3143),
Master_Mapping_Sheet!$H$2:$H$3143=$A15))), 0, sum(filter(
Master_Mapping_Sheet!$E$2:$E$3143, ISNUMBER(
Master_Mapping_Sheet!$E$2:$E$3143),
Master_Mapping_Sheet!$C$2:$C$3143=AA$1,
Master_Mapping_Sheet!$H$2:$H$3143=$A15))/sum(filter(
Mas"&amp;"ter_Mapping_Sheet!$E$2:$E$3143, ISNUMBER(
Master_Mapping_Sheet!$E$2:$E$3143),
Master_Mapping_Sheet!$H$2:$H$3143=$A15)))"),0.0)</f>
        <v>0</v>
      </c>
      <c r="AB15" s="34">
        <f>IFERROR(__xludf.DUMMYFUNCTION("IF(ISNA(sum(filter(
Master_Mapping_Sheet!$E$2:$E$3143, ISNUMBER(
Master_Mapping_Sheet!$E$2:$E$3143),
Master_Mapping_Sheet!$C$2:$C$3143=AB$1,
Master_Mapping_Sheet!$H$2:$H$3143=$A15))/sum(filter(
Master_Mapping_Sheet!$E$2:$E$3143, ISNUMBER(
Master_Mapping_S"&amp;"heet!$E$2:$E$3143),
Master_Mapping_Sheet!$H$2:$H$3143=$A15))), 0, sum(filter(
Master_Mapping_Sheet!$E$2:$E$3143, ISNUMBER(
Master_Mapping_Sheet!$E$2:$E$3143),
Master_Mapping_Sheet!$C$2:$C$3143=AB$1,
Master_Mapping_Sheet!$H$2:$H$3143=$A15))/sum(filter(
Mas"&amp;"ter_Mapping_Sheet!$E$2:$E$3143, ISNUMBER(
Master_Mapping_Sheet!$E$2:$E$3143),
Master_Mapping_Sheet!$H$2:$H$3143=$A15)))"),0.0)</f>
        <v>0</v>
      </c>
      <c r="AC15" s="34">
        <f>IFERROR(__xludf.DUMMYFUNCTION("IF(ISNA(sum(filter(
Master_Mapping_Sheet!$E$2:$E$3143, ISNUMBER(
Master_Mapping_Sheet!$E$2:$E$3143),
Master_Mapping_Sheet!$C$2:$C$3143=AC$1,
Master_Mapping_Sheet!$H$2:$H$3143=$A15))/sum(filter(
Master_Mapping_Sheet!$E$2:$E$3143, ISNUMBER(
Master_Mapping_S"&amp;"heet!$E$2:$E$3143),
Master_Mapping_Sheet!$H$2:$H$3143=$A15))), 0, sum(filter(
Master_Mapping_Sheet!$E$2:$E$3143, ISNUMBER(
Master_Mapping_Sheet!$E$2:$E$3143),
Master_Mapping_Sheet!$C$2:$C$3143=AC$1,
Master_Mapping_Sheet!$H$2:$H$3143=$A15))/sum(filter(
Mas"&amp;"ter_Mapping_Sheet!$E$2:$E$3143, ISNUMBER(
Master_Mapping_Sheet!$E$2:$E$3143),
Master_Mapping_Sheet!$H$2:$H$3143=$A15)))"),0.0)</f>
        <v>0</v>
      </c>
      <c r="AD15" s="34">
        <f>IFERROR(__xludf.DUMMYFUNCTION("IF(ISNA(sum(filter(
Master_Mapping_Sheet!$E$2:$E$3143, ISNUMBER(
Master_Mapping_Sheet!$E$2:$E$3143),
Master_Mapping_Sheet!$C$2:$C$3143=AD$1,
Master_Mapping_Sheet!$H$2:$H$3143=$A15))/sum(filter(
Master_Mapping_Sheet!$E$2:$E$3143, ISNUMBER(
Master_Mapping_S"&amp;"heet!$E$2:$E$3143),
Master_Mapping_Sheet!$H$2:$H$3143=$A15))), 0, sum(filter(
Master_Mapping_Sheet!$E$2:$E$3143, ISNUMBER(
Master_Mapping_Sheet!$E$2:$E$3143),
Master_Mapping_Sheet!$C$2:$C$3143=AD$1,
Master_Mapping_Sheet!$H$2:$H$3143=$A15))/sum(filter(
Mas"&amp;"ter_Mapping_Sheet!$E$2:$E$3143, ISNUMBER(
Master_Mapping_Sheet!$E$2:$E$3143),
Master_Mapping_Sheet!$H$2:$H$3143=$A15)))"),0.0)</f>
        <v>0</v>
      </c>
      <c r="AE15" s="34">
        <f>IFERROR(__xludf.DUMMYFUNCTION("IF(ISNA(sum(filter(
Master_Mapping_Sheet!$E$2:$E$3143, ISNUMBER(
Master_Mapping_Sheet!$E$2:$E$3143),
Master_Mapping_Sheet!$C$2:$C$3143=AE$1,
Master_Mapping_Sheet!$H$2:$H$3143=$A15))/sum(filter(
Master_Mapping_Sheet!$E$2:$E$3143, ISNUMBER(
Master_Mapping_S"&amp;"heet!$E$2:$E$3143),
Master_Mapping_Sheet!$H$2:$H$3143=$A15))), 0, sum(filter(
Master_Mapping_Sheet!$E$2:$E$3143, ISNUMBER(
Master_Mapping_Sheet!$E$2:$E$3143),
Master_Mapping_Sheet!$C$2:$C$3143=AE$1,
Master_Mapping_Sheet!$H$2:$H$3143=$A15))/sum(filter(
Mas"&amp;"ter_Mapping_Sheet!$E$2:$E$3143, ISNUMBER(
Master_Mapping_Sheet!$E$2:$E$3143),
Master_Mapping_Sheet!$H$2:$H$3143=$A15)))"),0.0)</f>
        <v>0</v>
      </c>
      <c r="AF15" s="34">
        <f>IFERROR(__xludf.DUMMYFUNCTION("IF(ISNA(sum(filter(
Master_Mapping_Sheet!$E$2:$E$3143, ISNUMBER(
Master_Mapping_Sheet!$E$2:$E$3143),
Master_Mapping_Sheet!$C$2:$C$3143=AF$1,
Master_Mapping_Sheet!$H$2:$H$3143=$A15))/sum(filter(
Master_Mapping_Sheet!$E$2:$E$3143, ISNUMBER(
Master_Mapping_S"&amp;"heet!$E$2:$E$3143),
Master_Mapping_Sheet!$H$2:$H$3143=$A15))), 0, sum(filter(
Master_Mapping_Sheet!$E$2:$E$3143, ISNUMBER(
Master_Mapping_Sheet!$E$2:$E$3143),
Master_Mapping_Sheet!$C$2:$C$3143=AF$1,
Master_Mapping_Sheet!$H$2:$H$3143=$A15))/sum(filter(
Mas"&amp;"ter_Mapping_Sheet!$E$2:$E$3143, ISNUMBER(
Master_Mapping_Sheet!$E$2:$E$3143),
Master_Mapping_Sheet!$H$2:$H$3143=$A15)))"),0.0)</f>
        <v>0</v>
      </c>
      <c r="AG15" s="34">
        <f>IFERROR(__xludf.DUMMYFUNCTION("IF(ISNA(sum(filter(
Master_Mapping_Sheet!$E$2:$E$3143, ISNUMBER(
Master_Mapping_Sheet!$E$2:$E$3143),
Master_Mapping_Sheet!$C$2:$C$3143=AG$1,
Master_Mapping_Sheet!$H$2:$H$3143=$A15))/sum(filter(
Master_Mapping_Sheet!$E$2:$E$3143, ISNUMBER(
Master_Mapping_S"&amp;"heet!$E$2:$E$3143),
Master_Mapping_Sheet!$H$2:$H$3143=$A15))), 0, sum(filter(
Master_Mapping_Sheet!$E$2:$E$3143, ISNUMBER(
Master_Mapping_Sheet!$E$2:$E$3143),
Master_Mapping_Sheet!$C$2:$C$3143=AG$1,
Master_Mapping_Sheet!$H$2:$H$3143=$A15))/sum(filter(
Mas"&amp;"ter_Mapping_Sheet!$E$2:$E$3143, ISNUMBER(
Master_Mapping_Sheet!$E$2:$E$3143),
Master_Mapping_Sheet!$H$2:$H$3143=$A15)))"),0.0)</f>
        <v>0</v>
      </c>
      <c r="AH15" s="34">
        <f>IFERROR(__xludf.DUMMYFUNCTION("IF(ISNA(sum(filter(
Master_Mapping_Sheet!$E$2:$E$3143, ISNUMBER(
Master_Mapping_Sheet!$E$2:$E$3143),
Master_Mapping_Sheet!$C$2:$C$3143=AH$1,
Master_Mapping_Sheet!$H$2:$H$3143=$A15))/sum(filter(
Master_Mapping_Sheet!$E$2:$E$3143, ISNUMBER(
Master_Mapping_S"&amp;"heet!$E$2:$E$3143),
Master_Mapping_Sheet!$H$2:$H$3143=$A15))), 0, sum(filter(
Master_Mapping_Sheet!$E$2:$E$3143, ISNUMBER(
Master_Mapping_Sheet!$E$2:$E$3143),
Master_Mapping_Sheet!$C$2:$C$3143=AH$1,
Master_Mapping_Sheet!$H$2:$H$3143=$A15))/sum(filter(
Mas"&amp;"ter_Mapping_Sheet!$E$2:$E$3143, ISNUMBER(
Master_Mapping_Sheet!$E$2:$E$3143),
Master_Mapping_Sheet!$H$2:$H$3143=$A15)))"),0.0)</f>
        <v>0</v>
      </c>
      <c r="AI15" s="34">
        <f>IFERROR(__xludf.DUMMYFUNCTION("IF(ISNA(sum(filter(
Master_Mapping_Sheet!$E$2:$E$3143, ISNUMBER(
Master_Mapping_Sheet!$E$2:$E$3143),
Master_Mapping_Sheet!$C$2:$C$3143=AI$1,
Master_Mapping_Sheet!$H$2:$H$3143=$A15))/sum(filter(
Master_Mapping_Sheet!$E$2:$E$3143, ISNUMBER(
Master_Mapping_S"&amp;"heet!$E$2:$E$3143),
Master_Mapping_Sheet!$H$2:$H$3143=$A15))), 0, sum(filter(
Master_Mapping_Sheet!$E$2:$E$3143, ISNUMBER(
Master_Mapping_Sheet!$E$2:$E$3143),
Master_Mapping_Sheet!$C$2:$C$3143=AI$1,
Master_Mapping_Sheet!$H$2:$H$3143=$A15))/sum(filter(
Mas"&amp;"ter_Mapping_Sheet!$E$2:$E$3143, ISNUMBER(
Master_Mapping_Sheet!$E$2:$E$3143),
Master_Mapping_Sheet!$H$2:$H$3143=$A15)))"),0.6515834005877148)</f>
        <v>0.6515834006</v>
      </c>
      <c r="AJ15" s="34">
        <f>IFERROR(__xludf.DUMMYFUNCTION("IF(ISNA(sum(filter(
Master_Mapping_Sheet!$E$2:$E$3143, ISNUMBER(
Master_Mapping_Sheet!$E$2:$E$3143),
Master_Mapping_Sheet!$C$2:$C$3143=AJ$1,
Master_Mapping_Sheet!$H$2:$H$3143=$A15))/sum(filter(
Master_Mapping_Sheet!$E$2:$E$3143, ISNUMBER(
Master_Mapping_S"&amp;"heet!$E$2:$E$3143),
Master_Mapping_Sheet!$H$2:$H$3143=$A15))), 0, sum(filter(
Master_Mapping_Sheet!$E$2:$E$3143, ISNUMBER(
Master_Mapping_Sheet!$E$2:$E$3143),
Master_Mapping_Sheet!$C$2:$C$3143=AJ$1,
Master_Mapping_Sheet!$H$2:$H$3143=$A15))/sum(filter(
Mas"&amp;"ter_Mapping_Sheet!$E$2:$E$3143, ISNUMBER(
Master_Mapping_Sheet!$E$2:$E$3143),
Master_Mapping_Sheet!$H$2:$H$3143=$A15)))"),0.0)</f>
        <v>0</v>
      </c>
      <c r="AK15" s="34">
        <f>IFERROR(__xludf.DUMMYFUNCTION("IF(ISNA(sum(filter(
Master_Mapping_Sheet!$E$2:$E$3143, ISNUMBER(
Master_Mapping_Sheet!$E$2:$E$3143),
Master_Mapping_Sheet!$C$2:$C$3143=AK$1,
Master_Mapping_Sheet!$H$2:$H$3143=$A15))/sum(filter(
Master_Mapping_Sheet!$E$2:$E$3143, ISNUMBER(
Master_Mapping_S"&amp;"heet!$E$2:$E$3143),
Master_Mapping_Sheet!$H$2:$H$3143=$A15))), 0, sum(filter(
Master_Mapping_Sheet!$E$2:$E$3143, ISNUMBER(
Master_Mapping_Sheet!$E$2:$E$3143),
Master_Mapping_Sheet!$C$2:$C$3143=AK$1,
Master_Mapping_Sheet!$H$2:$H$3143=$A15))/sum(filter(
Mas"&amp;"ter_Mapping_Sheet!$E$2:$E$3143, ISNUMBER(
Master_Mapping_Sheet!$E$2:$E$3143),
Master_Mapping_Sheet!$H$2:$H$3143=$A15)))"),0.0)</f>
        <v>0</v>
      </c>
      <c r="AL15" s="34">
        <f>IFERROR(__xludf.DUMMYFUNCTION("IF(ISNA(sum(filter(
Master_Mapping_Sheet!$E$2:$E$3143, ISNUMBER(
Master_Mapping_Sheet!$E$2:$E$3143),
Master_Mapping_Sheet!$C$2:$C$3143=AL$1,
Master_Mapping_Sheet!$H$2:$H$3143=$A15))/sum(filter(
Master_Mapping_Sheet!$E$2:$E$3143, ISNUMBER(
Master_Mapping_S"&amp;"heet!$E$2:$E$3143),
Master_Mapping_Sheet!$H$2:$H$3143=$A15))), 0, sum(filter(
Master_Mapping_Sheet!$E$2:$E$3143, ISNUMBER(
Master_Mapping_Sheet!$E$2:$E$3143),
Master_Mapping_Sheet!$C$2:$C$3143=AL$1,
Master_Mapping_Sheet!$H$2:$H$3143=$A15))/sum(filter(
Mas"&amp;"ter_Mapping_Sheet!$E$2:$E$3143, ISNUMBER(
Master_Mapping_Sheet!$E$2:$E$3143),
Master_Mapping_Sheet!$H$2:$H$3143=$A15)))"),0.0)</f>
        <v>0</v>
      </c>
      <c r="AM15" s="34">
        <f>IFERROR(__xludf.DUMMYFUNCTION("IF(ISNA(sum(filter(
Master_Mapping_Sheet!$E$2:$E$3143, ISNUMBER(
Master_Mapping_Sheet!$E$2:$E$3143),
Master_Mapping_Sheet!$C$2:$C$3143=AM$1,
Master_Mapping_Sheet!$H$2:$H$3143=$A15))/sum(filter(
Master_Mapping_Sheet!$E$2:$E$3143, ISNUMBER(
Master_Mapping_S"&amp;"heet!$E$2:$E$3143),
Master_Mapping_Sheet!$H$2:$H$3143=$A15))), 0, sum(filter(
Master_Mapping_Sheet!$E$2:$E$3143, ISNUMBER(
Master_Mapping_Sheet!$E$2:$E$3143),
Master_Mapping_Sheet!$C$2:$C$3143=AM$1,
Master_Mapping_Sheet!$H$2:$H$3143=$A15))/sum(filter(
Mas"&amp;"ter_Mapping_Sheet!$E$2:$E$3143, ISNUMBER(
Master_Mapping_Sheet!$E$2:$E$3143),
Master_Mapping_Sheet!$H$2:$H$3143=$A15)))"),0.0)</f>
        <v>0</v>
      </c>
      <c r="AN15" s="34">
        <f>IFERROR(__xludf.DUMMYFUNCTION("IF(ISNA(sum(filter(
Master_Mapping_Sheet!$E$2:$E$3143, ISNUMBER(
Master_Mapping_Sheet!$E$2:$E$3143),
Master_Mapping_Sheet!$C$2:$C$3143=AN$1,
Master_Mapping_Sheet!$H$2:$H$3143=$A15))/sum(filter(
Master_Mapping_Sheet!$E$2:$E$3143, ISNUMBER(
Master_Mapping_S"&amp;"heet!$E$2:$E$3143),
Master_Mapping_Sheet!$H$2:$H$3143=$A15))), 0, sum(filter(
Master_Mapping_Sheet!$E$2:$E$3143, ISNUMBER(
Master_Mapping_Sheet!$E$2:$E$3143),
Master_Mapping_Sheet!$C$2:$C$3143=AN$1,
Master_Mapping_Sheet!$H$2:$H$3143=$A15))/sum(filter(
Mas"&amp;"ter_Mapping_Sheet!$E$2:$E$3143, ISNUMBER(
Master_Mapping_Sheet!$E$2:$E$3143),
Master_Mapping_Sheet!$H$2:$H$3143=$A15)))"),0.0)</f>
        <v>0</v>
      </c>
      <c r="AO15" s="34">
        <f>IFERROR(__xludf.DUMMYFUNCTION("IF(ISNA(sum(filter(
Master_Mapping_Sheet!$E$2:$E$3143, ISNUMBER(
Master_Mapping_Sheet!$E$2:$E$3143),
Master_Mapping_Sheet!$C$2:$C$3143=AO$1,
Master_Mapping_Sheet!$H$2:$H$3143=$A15))/sum(filter(
Master_Mapping_Sheet!$E$2:$E$3143, ISNUMBER(
Master_Mapping_S"&amp;"heet!$E$2:$E$3143),
Master_Mapping_Sheet!$H$2:$H$3143=$A15))), 0, sum(filter(
Master_Mapping_Sheet!$E$2:$E$3143, ISNUMBER(
Master_Mapping_Sheet!$E$2:$E$3143),
Master_Mapping_Sheet!$C$2:$C$3143=AO$1,
Master_Mapping_Sheet!$H$2:$H$3143=$A15))/sum(filter(
Mas"&amp;"ter_Mapping_Sheet!$E$2:$E$3143, ISNUMBER(
Master_Mapping_Sheet!$E$2:$E$3143),
Master_Mapping_Sheet!$H$2:$H$3143=$A15)))"),0.0)</f>
        <v>0</v>
      </c>
      <c r="AP15" s="34">
        <f>IFERROR(__xludf.DUMMYFUNCTION("IF(ISNA(sum(filter(
Master_Mapping_Sheet!$E$2:$E$3143, ISNUMBER(
Master_Mapping_Sheet!$E$2:$E$3143),
Master_Mapping_Sheet!$C$2:$C$3143=AP$1,
Master_Mapping_Sheet!$H$2:$H$3143=$A15))/sum(filter(
Master_Mapping_Sheet!$E$2:$E$3143, ISNUMBER(
Master_Mapping_S"&amp;"heet!$E$2:$E$3143),
Master_Mapping_Sheet!$H$2:$H$3143=$A15))), 0, sum(filter(
Master_Mapping_Sheet!$E$2:$E$3143, ISNUMBER(
Master_Mapping_Sheet!$E$2:$E$3143),
Master_Mapping_Sheet!$C$2:$C$3143=AP$1,
Master_Mapping_Sheet!$H$2:$H$3143=$A15))/sum(filter(
Mas"&amp;"ter_Mapping_Sheet!$E$2:$E$3143, ISNUMBER(
Master_Mapping_Sheet!$E$2:$E$3143),
Master_Mapping_Sheet!$H$2:$H$3143=$A15)))"),0.3484165994122852)</f>
        <v>0.3484165994</v>
      </c>
      <c r="AQ15" s="34">
        <f>IFERROR(__xludf.DUMMYFUNCTION("IF(ISNA(sum(filter(
Master_Mapping_Sheet!$E$2:$E$3143, ISNUMBER(
Master_Mapping_Sheet!$E$2:$E$3143),
Master_Mapping_Sheet!$C$2:$C$3143=AQ$1,
Master_Mapping_Sheet!$H$2:$H$3143=$A15))/sum(filter(
Master_Mapping_Sheet!$E$2:$E$3143, ISNUMBER(
Master_Mapping_S"&amp;"heet!$E$2:$E$3143),
Master_Mapping_Sheet!$H$2:$H$3143=$A15))), 0, sum(filter(
Master_Mapping_Sheet!$E$2:$E$3143, ISNUMBER(
Master_Mapping_Sheet!$E$2:$E$3143),
Master_Mapping_Sheet!$C$2:$C$3143=AQ$1,
Master_Mapping_Sheet!$H$2:$H$3143=$A15))/sum(filter(
Mas"&amp;"ter_Mapping_Sheet!$E$2:$E$3143, ISNUMBER(
Master_Mapping_Sheet!$E$2:$E$3143),
Master_Mapping_Sheet!$H$2:$H$3143=$A15)))"),0.0)</f>
        <v>0</v>
      </c>
      <c r="AR15" s="34">
        <f>IFERROR(__xludf.DUMMYFUNCTION("IF(ISNA(sum(filter(
Master_Mapping_Sheet!$E$2:$E$3143, ISNUMBER(
Master_Mapping_Sheet!$E$2:$E$3143),
Master_Mapping_Sheet!$C$2:$C$3143=AR$1,
Master_Mapping_Sheet!$H$2:$H$3143=$A15))/sum(filter(
Master_Mapping_Sheet!$E$2:$E$3143, ISNUMBER(
Master_Mapping_S"&amp;"heet!$E$2:$E$3143),
Master_Mapping_Sheet!$H$2:$H$3143=$A15))), 0, sum(filter(
Master_Mapping_Sheet!$E$2:$E$3143, ISNUMBER(
Master_Mapping_Sheet!$E$2:$E$3143),
Master_Mapping_Sheet!$C$2:$C$3143=AR$1,
Master_Mapping_Sheet!$H$2:$H$3143=$A15))/sum(filter(
Mas"&amp;"ter_Mapping_Sheet!$E$2:$E$3143, ISNUMBER(
Master_Mapping_Sheet!$E$2:$E$3143),
Master_Mapping_Sheet!$H$2:$H$3143=$A15)))"),0.0)</f>
        <v>0</v>
      </c>
      <c r="AS15" s="34">
        <f>IFERROR(__xludf.DUMMYFUNCTION("IF(ISNA(sum(filter(
Master_Mapping_Sheet!$E$2:$E$3143, ISNUMBER(
Master_Mapping_Sheet!$E$2:$E$3143),
Master_Mapping_Sheet!$C$2:$C$3143=AS$1,
Master_Mapping_Sheet!$H$2:$H$3143=$A15))/sum(filter(
Master_Mapping_Sheet!$E$2:$E$3143, ISNUMBER(
Master_Mapping_S"&amp;"heet!$E$2:$E$3143),
Master_Mapping_Sheet!$H$2:$H$3143=$A15))), 0, sum(filter(
Master_Mapping_Sheet!$E$2:$E$3143, ISNUMBER(
Master_Mapping_Sheet!$E$2:$E$3143),
Master_Mapping_Sheet!$C$2:$C$3143=AS$1,
Master_Mapping_Sheet!$H$2:$H$3143=$A15))/sum(filter(
Mas"&amp;"ter_Mapping_Sheet!$E$2:$E$3143, ISNUMBER(
Master_Mapping_Sheet!$E$2:$E$3143),
Master_Mapping_Sheet!$H$2:$H$3143=$A15)))"),0.0)</f>
        <v>0</v>
      </c>
      <c r="AT15" s="34">
        <f>IFERROR(__xludf.DUMMYFUNCTION("IF(ISNA(sum(filter(
Master_Mapping_Sheet!$E$2:$E$3143, ISNUMBER(
Master_Mapping_Sheet!$E$2:$E$3143),
Master_Mapping_Sheet!$C$2:$C$3143=AT$1,
Master_Mapping_Sheet!$H$2:$H$3143=$A15))/sum(filter(
Master_Mapping_Sheet!$E$2:$E$3143, ISNUMBER(
Master_Mapping_S"&amp;"heet!$E$2:$E$3143),
Master_Mapping_Sheet!$H$2:$H$3143=$A15))), 0, sum(filter(
Master_Mapping_Sheet!$E$2:$E$3143, ISNUMBER(
Master_Mapping_Sheet!$E$2:$E$3143),
Master_Mapping_Sheet!$C$2:$C$3143=AT$1,
Master_Mapping_Sheet!$H$2:$H$3143=$A15))/sum(filter(
Mas"&amp;"ter_Mapping_Sheet!$E$2:$E$3143, ISNUMBER(
Master_Mapping_Sheet!$E$2:$E$3143),
Master_Mapping_Sheet!$H$2:$H$3143=$A15)))"),0.0)</f>
        <v>0</v>
      </c>
      <c r="AU15" s="34">
        <f>IFERROR(__xludf.DUMMYFUNCTION("IF(ISNA(sum(filter(
Master_Mapping_Sheet!$E$2:$E$3143, ISNUMBER(
Master_Mapping_Sheet!$E$2:$E$3143),
Master_Mapping_Sheet!$C$2:$C$3143=AU$1,
Master_Mapping_Sheet!$H$2:$H$3143=$A15))/sum(filter(
Master_Mapping_Sheet!$E$2:$E$3143, ISNUMBER(
Master_Mapping_S"&amp;"heet!$E$2:$E$3143),
Master_Mapping_Sheet!$H$2:$H$3143=$A15))), 0, sum(filter(
Master_Mapping_Sheet!$E$2:$E$3143, ISNUMBER(
Master_Mapping_Sheet!$E$2:$E$3143),
Master_Mapping_Sheet!$C$2:$C$3143=AU$1,
Master_Mapping_Sheet!$H$2:$H$3143=$A15))/sum(filter(
Mas"&amp;"ter_Mapping_Sheet!$E$2:$E$3143, ISNUMBER(
Master_Mapping_Sheet!$E$2:$E$3143),
Master_Mapping_Sheet!$H$2:$H$3143=$A15)))"),0.0)</f>
        <v>0</v>
      </c>
      <c r="AV15" s="34">
        <f>IFERROR(__xludf.DUMMYFUNCTION("IF(ISNA(sum(filter(
Master_Mapping_Sheet!$E$2:$E$3143, ISNUMBER(
Master_Mapping_Sheet!$E$2:$E$3143),
Master_Mapping_Sheet!$C$2:$C$3143=AV$1,
Master_Mapping_Sheet!$H$2:$H$3143=$A15))/sum(filter(
Master_Mapping_Sheet!$E$2:$E$3143, ISNUMBER(
Master_Mapping_S"&amp;"heet!$E$2:$E$3143),
Master_Mapping_Sheet!$H$2:$H$3143=$A15))), 0, sum(filter(
Master_Mapping_Sheet!$E$2:$E$3143, ISNUMBER(
Master_Mapping_Sheet!$E$2:$E$3143),
Master_Mapping_Sheet!$C$2:$C$3143=AV$1,
Master_Mapping_Sheet!$H$2:$H$3143=$A15))/sum(filter(
Mas"&amp;"ter_Mapping_Sheet!$E$2:$E$3143, ISNUMBER(
Master_Mapping_Sheet!$E$2:$E$3143),
Master_Mapping_Sheet!$H$2:$H$3143=$A15)))"),0.0)</f>
        <v>0</v>
      </c>
      <c r="AW15" s="34">
        <f>IFERROR(__xludf.DUMMYFUNCTION("IF(ISNA(sum(filter(
Master_Mapping_Sheet!$E$2:$E$3143, ISNUMBER(
Master_Mapping_Sheet!$E$2:$E$3143),
Master_Mapping_Sheet!$C$2:$C$3143=AW$1,
Master_Mapping_Sheet!$H$2:$H$3143=$A15))/sum(filter(
Master_Mapping_Sheet!$E$2:$E$3143, ISNUMBER(
Master_Mapping_S"&amp;"heet!$E$2:$E$3143),
Master_Mapping_Sheet!$H$2:$H$3143=$A15))), 0, sum(filter(
Master_Mapping_Sheet!$E$2:$E$3143, ISNUMBER(
Master_Mapping_Sheet!$E$2:$E$3143),
Master_Mapping_Sheet!$C$2:$C$3143=AW$1,
Master_Mapping_Sheet!$H$2:$H$3143=$A15))/sum(filter(
Mas"&amp;"ter_Mapping_Sheet!$E$2:$E$3143, ISNUMBER(
Master_Mapping_Sheet!$E$2:$E$3143),
Master_Mapping_Sheet!$H$2:$H$3143=$A15)))"),0.0)</f>
        <v>0</v>
      </c>
      <c r="AX15" s="34">
        <f>IFERROR(__xludf.DUMMYFUNCTION("IF(ISNA(sum(filter(
Master_Mapping_Sheet!$E$2:$E$3143, ISNUMBER(
Master_Mapping_Sheet!$E$2:$E$3143),
Master_Mapping_Sheet!$C$2:$C$3143=AX$1,
Master_Mapping_Sheet!$H$2:$H$3143=$A15))/sum(filter(
Master_Mapping_Sheet!$E$2:$E$3143, ISNUMBER(
Master_Mapping_S"&amp;"heet!$E$2:$E$3143),
Master_Mapping_Sheet!$H$2:$H$3143=$A15))), 0, sum(filter(
Master_Mapping_Sheet!$E$2:$E$3143, ISNUMBER(
Master_Mapping_Sheet!$E$2:$E$3143),
Master_Mapping_Sheet!$C$2:$C$3143=AX$1,
Master_Mapping_Sheet!$H$2:$H$3143=$A15))/sum(filter(
Mas"&amp;"ter_Mapping_Sheet!$E$2:$E$3143, ISNUMBER(
Master_Mapping_Sheet!$E$2:$E$3143),
Master_Mapping_Sheet!$H$2:$H$3143=$A15)))"),0.0)</f>
        <v>0</v>
      </c>
      <c r="AY15" s="34">
        <f>IFERROR(__xludf.DUMMYFUNCTION("IF(ISNA(sum(filter(
Master_Mapping_Sheet!$E$2:$E$3143, ISNUMBER(
Master_Mapping_Sheet!$E$2:$E$3143),
Master_Mapping_Sheet!$C$2:$C$3143=AY$1,
Master_Mapping_Sheet!$H$2:$H$3143=$A15))/sum(filter(
Master_Mapping_Sheet!$E$2:$E$3143, ISNUMBER(
Master_Mapping_S"&amp;"heet!$E$2:$E$3143),
Master_Mapping_Sheet!$H$2:$H$3143=$A15))), 0, sum(filter(
Master_Mapping_Sheet!$E$2:$E$3143, ISNUMBER(
Master_Mapping_Sheet!$E$2:$E$3143),
Master_Mapping_Sheet!$C$2:$C$3143=AY$1,
Master_Mapping_Sheet!$H$2:$H$3143=$A15))/sum(filter(
Mas"&amp;"ter_Mapping_Sheet!$E$2:$E$3143, ISNUMBER(
Master_Mapping_Sheet!$E$2:$E$3143),
Master_Mapping_Sheet!$H$2:$H$3143=$A15)))"),0.0)</f>
        <v>0</v>
      </c>
      <c r="AZ15" s="34">
        <f>IFERROR(__xludf.DUMMYFUNCTION("IF(ISNA(sum(filter(
Master_Mapping_Sheet!$E$2:$E$3143, ISNUMBER(
Master_Mapping_Sheet!$E$2:$E$3143),
Master_Mapping_Sheet!$C$2:$C$3143=AZ$1,
Master_Mapping_Sheet!$H$2:$H$3143=$A15))/sum(filter(
Master_Mapping_Sheet!$E$2:$E$3143, ISNUMBER(
Master_Mapping_S"&amp;"heet!$E$2:$E$3143),
Master_Mapping_Sheet!$H$2:$H$3143=$A15))), 0, sum(filter(
Master_Mapping_Sheet!$E$2:$E$3143, ISNUMBER(
Master_Mapping_Sheet!$E$2:$E$3143),
Master_Mapping_Sheet!$C$2:$C$3143=AZ$1,
Master_Mapping_Sheet!$H$2:$H$3143=$A15))/sum(filter(
Mas"&amp;"ter_Mapping_Sheet!$E$2:$E$3143, ISNUMBER(
Master_Mapping_Sheet!$E$2:$E$3143),
Master_Mapping_Sheet!$H$2:$H$3143=$A15)))"),0.0)</f>
        <v>0</v>
      </c>
    </row>
    <row r="16" ht="15.75" customHeight="1">
      <c r="A16" s="34" t="s">
        <v>3969</v>
      </c>
      <c r="B16" s="34">
        <f>IFERROR(__xludf.DUMMYFUNCTION("IF(ISNA(sum(filter(
Master_Mapping_Sheet!$E$2:$E$3143, ISNUMBER(
Master_Mapping_Sheet!$E$2:$E$3143),
Master_Mapping_Sheet!$C$2:$C$3143=B$1,
Master_Mapping_Sheet!$H$2:$H$3143=$A16))/sum(filter(
Master_Mapping_Sheet!$E$2:$E$3143, ISNUMBER(
Master_Mapping_Sh"&amp;"eet!$E$2:$E$3143),
Master_Mapping_Sheet!$H$2:$H$3143=$A16))), 0, sum(filter(
Master_Mapping_Sheet!$E$2:$E$3143, ISNUMBER(
Master_Mapping_Sheet!$E$2:$E$3143),
Master_Mapping_Sheet!$C$2:$C$3143=B$1,
Master_Mapping_Sheet!$H$2:$H$3143=$A16))/sum(filter(
Maste"&amp;"r_Mapping_Sheet!$E$2:$E$3143, ISNUMBER(
Master_Mapping_Sheet!$E$2:$E$3143),
Master_Mapping_Sheet!$H$2:$H$3143=$A16)))"),0.24457855890482855)</f>
        <v>0.2445785589</v>
      </c>
      <c r="C16" s="34">
        <f>IFERROR(__xludf.DUMMYFUNCTION("IF(ISNA(sum(filter(
Master_Mapping_Sheet!$E$2:$E$3143, ISNUMBER(
Master_Mapping_Sheet!$E$2:$E$3143),
Master_Mapping_Sheet!$C$2:$C$3143=C$1,
Master_Mapping_Sheet!$H$2:$H$3143=$A16))/sum(filter(
Master_Mapping_Sheet!$E$2:$E$3143, ISNUMBER(
Master_Mapping_Sh"&amp;"eet!$E$2:$E$3143),
Master_Mapping_Sheet!$H$2:$H$3143=$A16))), 0, sum(filter(
Master_Mapping_Sheet!$E$2:$E$3143, ISNUMBER(
Master_Mapping_Sheet!$E$2:$E$3143),
Master_Mapping_Sheet!$C$2:$C$3143=C$1,
Master_Mapping_Sheet!$H$2:$H$3143=$A16))/sum(filter(
Maste"&amp;"r_Mapping_Sheet!$E$2:$E$3143, ISNUMBER(
Master_Mapping_Sheet!$E$2:$E$3143),
Master_Mapping_Sheet!$H$2:$H$3143=$A16)))"),0.0)</f>
        <v>0</v>
      </c>
      <c r="D16" s="34">
        <f>IFERROR(__xludf.DUMMYFUNCTION("IF(ISNA(sum(filter(
Master_Mapping_Sheet!$E$2:$E$3143, ISNUMBER(
Master_Mapping_Sheet!$E$2:$E$3143),
Master_Mapping_Sheet!$C$2:$C$3143=D$1,
Master_Mapping_Sheet!$H$2:$H$3143=$A16))/sum(filter(
Master_Mapping_Sheet!$E$2:$E$3143, ISNUMBER(
Master_Mapping_Sh"&amp;"eet!$E$2:$E$3143),
Master_Mapping_Sheet!$H$2:$H$3143=$A16))), 0, sum(filter(
Master_Mapping_Sheet!$E$2:$E$3143, ISNUMBER(
Master_Mapping_Sheet!$E$2:$E$3143),
Master_Mapping_Sheet!$C$2:$C$3143=D$1,
Master_Mapping_Sheet!$H$2:$H$3143=$A16))/sum(filter(
Maste"&amp;"r_Mapping_Sheet!$E$2:$E$3143, ISNUMBER(
Master_Mapping_Sheet!$E$2:$E$3143),
Master_Mapping_Sheet!$H$2:$H$3143=$A16)))"),0.0)</f>
        <v>0</v>
      </c>
      <c r="E16" s="34">
        <f>IFERROR(__xludf.DUMMYFUNCTION("IF(ISNA(sum(filter(
Master_Mapping_Sheet!$E$2:$E$3143, ISNUMBER(
Master_Mapping_Sheet!$E$2:$E$3143),
Master_Mapping_Sheet!$C$2:$C$3143=E$1,
Master_Mapping_Sheet!$H$2:$H$3143=$A16))/sum(filter(
Master_Mapping_Sheet!$E$2:$E$3143, ISNUMBER(
Master_Mapping_Sh"&amp;"eet!$E$2:$E$3143),
Master_Mapping_Sheet!$H$2:$H$3143=$A16))), 0, sum(filter(
Master_Mapping_Sheet!$E$2:$E$3143, ISNUMBER(
Master_Mapping_Sheet!$E$2:$E$3143),
Master_Mapping_Sheet!$C$2:$C$3143=E$1,
Master_Mapping_Sheet!$H$2:$H$3143=$A16))/sum(filter(
Maste"&amp;"r_Mapping_Sheet!$E$2:$E$3143, ISNUMBER(
Master_Mapping_Sheet!$E$2:$E$3143),
Master_Mapping_Sheet!$H$2:$H$3143=$A16)))"),0.0)</f>
        <v>0</v>
      </c>
      <c r="F16" s="34">
        <f>IFERROR(__xludf.DUMMYFUNCTION("IF(ISNA(sum(filter(
Master_Mapping_Sheet!$E$2:$E$3143, ISNUMBER(
Master_Mapping_Sheet!$E$2:$E$3143),
Master_Mapping_Sheet!$C$2:$C$3143=F$1,
Master_Mapping_Sheet!$H$2:$H$3143=$A16))/sum(filter(
Master_Mapping_Sheet!$E$2:$E$3143, ISNUMBER(
Master_Mapping_Sh"&amp;"eet!$E$2:$E$3143),
Master_Mapping_Sheet!$H$2:$H$3143=$A16))), 0, sum(filter(
Master_Mapping_Sheet!$E$2:$E$3143, ISNUMBER(
Master_Mapping_Sheet!$E$2:$E$3143),
Master_Mapping_Sheet!$C$2:$C$3143=F$1,
Master_Mapping_Sheet!$H$2:$H$3143=$A16))/sum(filter(
Maste"&amp;"r_Mapping_Sheet!$E$2:$E$3143, ISNUMBER(
Master_Mapping_Sheet!$E$2:$E$3143),
Master_Mapping_Sheet!$H$2:$H$3143=$A16)))"),0.0)</f>
        <v>0</v>
      </c>
      <c r="G16" s="34">
        <f>IFERROR(__xludf.DUMMYFUNCTION("IF(ISNA(sum(filter(
Master_Mapping_Sheet!$E$2:$E$3143, ISNUMBER(
Master_Mapping_Sheet!$E$2:$E$3143),
Master_Mapping_Sheet!$C$2:$C$3143=G$1,
Master_Mapping_Sheet!$H$2:$H$3143=$A16))/sum(filter(
Master_Mapping_Sheet!$E$2:$E$3143, ISNUMBER(
Master_Mapping_Sh"&amp;"eet!$E$2:$E$3143),
Master_Mapping_Sheet!$H$2:$H$3143=$A16))), 0, sum(filter(
Master_Mapping_Sheet!$E$2:$E$3143, ISNUMBER(
Master_Mapping_Sheet!$E$2:$E$3143),
Master_Mapping_Sheet!$C$2:$C$3143=G$1,
Master_Mapping_Sheet!$H$2:$H$3143=$A16))/sum(filter(
Maste"&amp;"r_Mapping_Sheet!$E$2:$E$3143, ISNUMBER(
Master_Mapping_Sheet!$E$2:$E$3143),
Master_Mapping_Sheet!$H$2:$H$3143=$A16)))"),0.0)</f>
        <v>0</v>
      </c>
      <c r="H16" s="34">
        <f>IFERROR(__xludf.DUMMYFUNCTION("IF(ISNA(sum(filter(
Master_Mapping_Sheet!$E$2:$E$3143, ISNUMBER(
Master_Mapping_Sheet!$E$2:$E$3143),
Master_Mapping_Sheet!$C$2:$C$3143=H$1,
Master_Mapping_Sheet!$H$2:$H$3143=$A16))/sum(filter(
Master_Mapping_Sheet!$E$2:$E$3143, ISNUMBER(
Master_Mapping_Sh"&amp;"eet!$E$2:$E$3143),
Master_Mapping_Sheet!$H$2:$H$3143=$A16))), 0, sum(filter(
Master_Mapping_Sheet!$E$2:$E$3143, ISNUMBER(
Master_Mapping_Sheet!$E$2:$E$3143),
Master_Mapping_Sheet!$C$2:$C$3143=H$1,
Master_Mapping_Sheet!$H$2:$H$3143=$A16))/sum(filter(
Maste"&amp;"r_Mapping_Sheet!$E$2:$E$3143, ISNUMBER(
Master_Mapping_Sheet!$E$2:$E$3143),
Master_Mapping_Sheet!$H$2:$H$3143=$A16)))"),0.0)</f>
        <v>0</v>
      </c>
      <c r="I16" s="34">
        <f>IFERROR(__xludf.DUMMYFUNCTION("IF(ISNA(sum(filter(
Master_Mapping_Sheet!$E$2:$E$3143, ISNUMBER(
Master_Mapping_Sheet!$E$2:$E$3143),
Master_Mapping_Sheet!$C$2:$C$3143=I$1,
Master_Mapping_Sheet!$H$2:$H$3143=$A16))/sum(filter(
Master_Mapping_Sheet!$E$2:$E$3143, ISNUMBER(
Master_Mapping_Sh"&amp;"eet!$E$2:$E$3143),
Master_Mapping_Sheet!$H$2:$H$3143=$A16))), 0, sum(filter(
Master_Mapping_Sheet!$E$2:$E$3143, ISNUMBER(
Master_Mapping_Sheet!$E$2:$E$3143),
Master_Mapping_Sheet!$C$2:$C$3143=I$1,
Master_Mapping_Sheet!$H$2:$H$3143=$A16))/sum(filter(
Maste"&amp;"r_Mapping_Sheet!$E$2:$E$3143, ISNUMBER(
Master_Mapping_Sheet!$E$2:$E$3143),
Master_Mapping_Sheet!$H$2:$H$3143=$A16)))"),0.0)</f>
        <v>0</v>
      </c>
      <c r="J16" s="34">
        <f>IFERROR(__xludf.DUMMYFUNCTION("IF(ISNA(sum(filter(
Master_Mapping_Sheet!$E$2:$E$3143, ISNUMBER(
Master_Mapping_Sheet!$E$2:$E$3143),
Master_Mapping_Sheet!$C$2:$C$3143=J$1,
Master_Mapping_Sheet!$H$2:$H$3143=$A16))/sum(filter(
Master_Mapping_Sheet!$E$2:$E$3143, ISNUMBER(
Master_Mapping_Sh"&amp;"eet!$E$2:$E$3143),
Master_Mapping_Sheet!$H$2:$H$3143=$A16))), 0, sum(filter(
Master_Mapping_Sheet!$E$2:$E$3143, ISNUMBER(
Master_Mapping_Sheet!$E$2:$E$3143),
Master_Mapping_Sheet!$C$2:$C$3143=J$1,
Master_Mapping_Sheet!$H$2:$H$3143=$A16))/sum(filter(
Maste"&amp;"r_Mapping_Sheet!$E$2:$E$3143, ISNUMBER(
Master_Mapping_Sheet!$E$2:$E$3143),
Master_Mapping_Sheet!$H$2:$H$3143=$A16)))"),0.0)</f>
        <v>0</v>
      </c>
      <c r="K16" s="34">
        <f>IFERROR(__xludf.DUMMYFUNCTION("IF(ISNA(sum(filter(
Master_Mapping_Sheet!$E$2:$E$3143, ISNUMBER(
Master_Mapping_Sheet!$E$2:$E$3143),
Master_Mapping_Sheet!$C$2:$C$3143=K$1,
Master_Mapping_Sheet!$H$2:$H$3143=$A16))/sum(filter(
Master_Mapping_Sheet!$E$2:$E$3143, ISNUMBER(
Master_Mapping_Sh"&amp;"eet!$E$2:$E$3143),
Master_Mapping_Sheet!$H$2:$H$3143=$A16))), 0, sum(filter(
Master_Mapping_Sheet!$E$2:$E$3143, ISNUMBER(
Master_Mapping_Sheet!$E$2:$E$3143),
Master_Mapping_Sheet!$C$2:$C$3143=K$1,
Master_Mapping_Sheet!$H$2:$H$3143=$A16))/sum(filter(
Maste"&amp;"r_Mapping_Sheet!$E$2:$E$3143, ISNUMBER(
Master_Mapping_Sheet!$E$2:$E$3143),
Master_Mapping_Sheet!$H$2:$H$3143=$A16)))"),0.06638492461434758)</f>
        <v>0.06638492461</v>
      </c>
      <c r="L16" s="34">
        <f>IFERROR(__xludf.DUMMYFUNCTION("IF(ISNA(sum(filter(
Master_Mapping_Sheet!$E$2:$E$3143, ISNUMBER(
Master_Mapping_Sheet!$E$2:$E$3143),
Master_Mapping_Sheet!$C$2:$C$3143=L$1,
Master_Mapping_Sheet!$H$2:$H$3143=$A16))/sum(filter(
Master_Mapping_Sheet!$E$2:$E$3143, ISNUMBER(
Master_Mapping_Sh"&amp;"eet!$E$2:$E$3143),
Master_Mapping_Sheet!$H$2:$H$3143=$A16))), 0, sum(filter(
Master_Mapping_Sheet!$E$2:$E$3143, ISNUMBER(
Master_Mapping_Sheet!$E$2:$E$3143),
Master_Mapping_Sheet!$C$2:$C$3143=L$1,
Master_Mapping_Sheet!$H$2:$H$3143=$A16))/sum(filter(
Maste"&amp;"r_Mapping_Sheet!$E$2:$E$3143, ISNUMBER(
Master_Mapping_Sheet!$E$2:$E$3143),
Master_Mapping_Sheet!$H$2:$H$3143=$A16)))"),0.6339689005259741)</f>
        <v>0.6339689005</v>
      </c>
      <c r="M16" s="34">
        <f>IFERROR(__xludf.DUMMYFUNCTION("IF(ISNA(sum(filter(
Master_Mapping_Sheet!$E$2:$E$3143, ISNUMBER(
Master_Mapping_Sheet!$E$2:$E$3143),
Master_Mapping_Sheet!$C$2:$C$3143=M$1,
Master_Mapping_Sheet!$H$2:$H$3143=$A16))/sum(filter(
Master_Mapping_Sheet!$E$2:$E$3143, ISNUMBER(
Master_Mapping_Sh"&amp;"eet!$E$2:$E$3143),
Master_Mapping_Sheet!$H$2:$H$3143=$A16))), 0, sum(filter(
Master_Mapping_Sheet!$E$2:$E$3143, ISNUMBER(
Master_Mapping_Sheet!$E$2:$E$3143),
Master_Mapping_Sheet!$C$2:$C$3143=M$1,
Master_Mapping_Sheet!$H$2:$H$3143=$A16))/sum(filter(
Maste"&amp;"r_Mapping_Sheet!$E$2:$E$3143, ISNUMBER(
Master_Mapping_Sheet!$E$2:$E$3143),
Master_Mapping_Sheet!$H$2:$H$3143=$A16)))"),0.0)</f>
        <v>0</v>
      </c>
      <c r="N16" s="34">
        <f>IFERROR(__xludf.DUMMYFUNCTION("IF(ISNA(sum(filter(
Master_Mapping_Sheet!$E$2:$E$3143, ISNUMBER(
Master_Mapping_Sheet!$E$2:$E$3143),
Master_Mapping_Sheet!$C$2:$C$3143=N$1,
Master_Mapping_Sheet!$H$2:$H$3143=$A16))/sum(filter(
Master_Mapping_Sheet!$E$2:$E$3143, ISNUMBER(
Master_Mapping_Sh"&amp;"eet!$E$2:$E$3143),
Master_Mapping_Sheet!$H$2:$H$3143=$A16))), 0, sum(filter(
Master_Mapping_Sheet!$E$2:$E$3143, ISNUMBER(
Master_Mapping_Sheet!$E$2:$E$3143),
Master_Mapping_Sheet!$C$2:$C$3143=N$1,
Master_Mapping_Sheet!$H$2:$H$3143=$A16))/sum(filter(
Maste"&amp;"r_Mapping_Sheet!$E$2:$E$3143, ISNUMBER(
Master_Mapping_Sheet!$E$2:$E$3143),
Master_Mapping_Sheet!$H$2:$H$3143=$A16)))"),0.0)</f>
        <v>0</v>
      </c>
      <c r="O16" s="34">
        <f>IFERROR(__xludf.DUMMYFUNCTION("IF(ISNA(sum(filter(
Master_Mapping_Sheet!$E$2:$E$3143, ISNUMBER(
Master_Mapping_Sheet!$E$2:$E$3143),
Master_Mapping_Sheet!$C$2:$C$3143=O$1,
Master_Mapping_Sheet!$H$2:$H$3143=$A16))/sum(filter(
Master_Mapping_Sheet!$E$2:$E$3143, ISNUMBER(
Master_Mapping_Sh"&amp;"eet!$E$2:$E$3143),
Master_Mapping_Sheet!$H$2:$H$3143=$A16))), 0, sum(filter(
Master_Mapping_Sheet!$E$2:$E$3143, ISNUMBER(
Master_Mapping_Sheet!$E$2:$E$3143),
Master_Mapping_Sheet!$C$2:$C$3143=O$1,
Master_Mapping_Sheet!$H$2:$H$3143=$A16))/sum(filter(
Maste"&amp;"r_Mapping_Sheet!$E$2:$E$3143, ISNUMBER(
Master_Mapping_Sheet!$E$2:$E$3143),
Master_Mapping_Sheet!$H$2:$H$3143=$A16)))"),0.0)</f>
        <v>0</v>
      </c>
      <c r="P16" s="34">
        <f>IFERROR(__xludf.DUMMYFUNCTION("IF(ISNA(sum(filter(
Master_Mapping_Sheet!$E$2:$E$3143, ISNUMBER(
Master_Mapping_Sheet!$E$2:$E$3143),
Master_Mapping_Sheet!$C$2:$C$3143=P$1,
Master_Mapping_Sheet!$H$2:$H$3143=$A16))/sum(filter(
Master_Mapping_Sheet!$E$2:$E$3143, ISNUMBER(
Master_Mapping_Sh"&amp;"eet!$E$2:$E$3143),
Master_Mapping_Sheet!$H$2:$H$3143=$A16))), 0, sum(filter(
Master_Mapping_Sheet!$E$2:$E$3143, ISNUMBER(
Master_Mapping_Sheet!$E$2:$E$3143),
Master_Mapping_Sheet!$C$2:$C$3143=P$1,
Master_Mapping_Sheet!$H$2:$H$3143=$A16))/sum(filter(
Maste"&amp;"r_Mapping_Sheet!$E$2:$E$3143, ISNUMBER(
Master_Mapping_Sheet!$E$2:$E$3143),
Master_Mapping_Sheet!$H$2:$H$3143=$A16)))"),0.0)</f>
        <v>0</v>
      </c>
      <c r="Q16" s="34">
        <f>IFERROR(__xludf.DUMMYFUNCTION("IF(ISNA(sum(filter(
Master_Mapping_Sheet!$E$2:$E$3143, ISNUMBER(
Master_Mapping_Sheet!$E$2:$E$3143),
Master_Mapping_Sheet!$C$2:$C$3143=Q$1,
Master_Mapping_Sheet!$H$2:$H$3143=$A16))/sum(filter(
Master_Mapping_Sheet!$E$2:$E$3143, ISNUMBER(
Master_Mapping_Sh"&amp;"eet!$E$2:$E$3143),
Master_Mapping_Sheet!$H$2:$H$3143=$A16))), 0, sum(filter(
Master_Mapping_Sheet!$E$2:$E$3143, ISNUMBER(
Master_Mapping_Sheet!$E$2:$E$3143),
Master_Mapping_Sheet!$C$2:$C$3143=Q$1,
Master_Mapping_Sheet!$H$2:$H$3143=$A16))/sum(filter(
Maste"&amp;"r_Mapping_Sheet!$E$2:$E$3143, ISNUMBER(
Master_Mapping_Sheet!$E$2:$E$3143),
Master_Mapping_Sheet!$H$2:$H$3143=$A16)))"),0.0)</f>
        <v>0</v>
      </c>
      <c r="R16" s="34">
        <f>IFERROR(__xludf.DUMMYFUNCTION("IF(ISNA(sum(filter(
Master_Mapping_Sheet!$E$2:$E$3143, ISNUMBER(
Master_Mapping_Sheet!$E$2:$E$3143),
Master_Mapping_Sheet!$C$2:$C$3143=R$1,
Master_Mapping_Sheet!$H$2:$H$3143=$A16))/sum(filter(
Master_Mapping_Sheet!$E$2:$E$3143, ISNUMBER(
Master_Mapping_Sh"&amp;"eet!$E$2:$E$3143),
Master_Mapping_Sheet!$H$2:$H$3143=$A16))), 0, sum(filter(
Master_Mapping_Sheet!$E$2:$E$3143, ISNUMBER(
Master_Mapping_Sheet!$E$2:$E$3143),
Master_Mapping_Sheet!$C$2:$C$3143=R$1,
Master_Mapping_Sheet!$H$2:$H$3143=$A16))/sum(filter(
Maste"&amp;"r_Mapping_Sheet!$E$2:$E$3143, ISNUMBER(
Master_Mapping_Sheet!$E$2:$E$3143),
Master_Mapping_Sheet!$H$2:$H$3143=$A16)))"),0.0)</f>
        <v>0</v>
      </c>
      <c r="S16" s="34">
        <f>IFERROR(__xludf.DUMMYFUNCTION("IF(ISNA(sum(filter(
Master_Mapping_Sheet!$E$2:$E$3143, ISNUMBER(
Master_Mapping_Sheet!$E$2:$E$3143),
Master_Mapping_Sheet!$C$2:$C$3143=S$1,
Master_Mapping_Sheet!$H$2:$H$3143=$A16))/sum(filter(
Master_Mapping_Sheet!$E$2:$E$3143, ISNUMBER(
Master_Mapping_Sh"&amp;"eet!$E$2:$E$3143),
Master_Mapping_Sheet!$H$2:$H$3143=$A16))), 0, sum(filter(
Master_Mapping_Sheet!$E$2:$E$3143, ISNUMBER(
Master_Mapping_Sheet!$E$2:$E$3143),
Master_Mapping_Sheet!$C$2:$C$3143=S$1,
Master_Mapping_Sheet!$H$2:$H$3143=$A16))/sum(filter(
Maste"&amp;"r_Mapping_Sheet!$E$2:$E$3143, ISNUMBER(
Master_Mapping_Sheet!$E$2:$E$3143),
Master_Mapping_Sheet!$H$2:$H$3143=$A16)))"),0.0)</f>
        <v>0</v>
      </c>
      <c r="T16" s="34">
        <f>IFERROR(__xludf.DUMMYFUNCTION("IF(ISNA(sum(filter(
Master_Mapping_Sheet!$E$2:$E$3143, ISNUMBER(
Master_Mapping_Sheet!$E$2:$E$3143),
Master_Mapping_Sheet!$C$2:$C$3143=T$1,
Master_Mapping_Sheet!$H$2:$H$3143=$A16))/sum(filter(
Master_Mapping_Sheet!$E$2:$E$3143, ISNUMBER(
Master_Mapping_Sh"&amp;"eet!$E$2:$E$3143),
Master_Mapping_Sheet!$H$2:$H$3143=$A16))), 0, sum(filter(
Master_Mapping_Sheet!$E$2:$E$3143, ISNUMBER(
Master_Mapping_Sheet!$E$2:$E$3143),
Master_Mapping_Sheet!$C$2:$C$3143=T$1,
Master_Mapping_Sheet!$H$2:$H$3143=$A16))/sum(filter(
Maste"&amp;"r_Mapping_Sheet!$E$2:$E$3143, ISNUMBER(
Master_Mapping_Sheet!$E$2:$E$3143),
Master_Mapping_Sheet!$H$2:$H$3143=$A16)))"),0.0)</f>
        <v>0</v>
      </c>
      <c r="U16" s="34">
        <f>IFERROR(__xludf.DUMMYFUNCTION("IF(ISNA(sum(filter(
Master_Mapping_Sheet!$E$2:$E$3143, ISNUMBER(
Master_Mapping_Sheet!$E$2:$E$3143),
Master_Mapping_Sheet!$C$2:$C$3143=U$1,
Master_Mapping_Sheet!$H$2:$H$3143=$A16))/sum(filter(
Master_Mapping_Sheet!$E$2:$E$3143, ISNUMBER(
Master_Mapping_Sh"&amp;"eet!$E$2:$E$3143),
Master_Mapping_Sheet!$H$2:$H$3143=$A16))), 0, sum(filter(
Master_Mapping_Sheet!$E$2:$E$3143, ISNUMBER(
Master_Mapping_Sheet!$E$2:$E$3143),
Master_Mapping_Sheet!$C$2:$C$3143=U$1,
Master_Mapping_Sheet!$H$2:$H$3143=$A16))/sum(filter(
Maste"&amp;"r_Mapping_Sheet!$E$2:$E$3143, ISNUMBER(
Master_Mapping_Sheet!$E$2:$E$3143),
Master_Mapping_Sheet!$H$2:$H$3143=$A16)))"),0.0)</f>
        <v>0</v>
      </c>
      <c r="V16" s="34">
        <f>IFERROR(__xludf.DUMMYFUNCTION("IF(ISNA(sum(filter(
Master_Mapping_Sheet!$E$2:$E$3143, ISNUMBER(
Master_Mapping_Sheet!$E$2:$E$3143),
Master_Mapping_Sheet!$C$2:$C$3143=V$1,
Master_Mapping_Sheet!$H$2:$H$3143=$A16))/sum(filter(
Master_Mapping_Sheet!$E$2:$E$3143, ISNUMBER(
Master_Mapping_Sh"&amp;"eet!$E$2:$E$3143),
Master_Mapping_Sheet!$H$2:$H$3143=$A16))), 0, sum(filter(
Master_Mapping_Sheet!$E$2:$E$3143, ISNUMBER(
Master_Mapping_Sheet!$E$2:$E$3143),
Master_Mapping_Sheet!$C$2:$C$3143=V$1,
Master_Mapping_Sheet!$H$2:$H$3143=$A16))/sum(filter(
Maste"&amp;"r_Mapping_Sheet!$E$2:$E$3143, ISNUMBER(
Master_Mapping_Sheet!$E$2:$E$3143),
Master_Mapping_Sheet!$H$2:$H$3143=$A16)))"),0.0)</f>
        <v>0</v>
      </c>
      <c r="W16" s="34">
        <f>IFERROR(__xludf.DUMMYFUNCTION("IF(ISNA(sum(filter(
Master_Mapping_Sheet!$E$2:$E$3143, ISNUMBER(
Master_Mapping_Sheet!$E$2:$E$3143),
Master_Mapping_Sheet!$C$2:$C$3143=W$1,
Master_Mapping_Sheet!$H$2:$H$3143=$A16))/sum(filter(
Master_Mapping_Sheet!$E$2:$E$3143, ISNUMBER(
Master_Mapping_Sh"&amp;"eet!$E$2:$E$3143),
Master_Mapping_Sheet!$H$2:$H$3143=$A16))), 0, sum(filter(
Master_Mapping_Sheet!$E$2:$E$3143, ISNUMBER(
Master_Mapping_Sheet!$E$2:$E$3143),
Master_Mapping_Sheet!$C$2:$C$3143=W$1,
Master_Mapping_Sheet!$H$2:$H$3143=$A16))/sum(filter(
Maste"&amp;"r_Mapping_Sheet!$E$2:$E$3143, ISNUMBER(
Master_Mapping_Sheet!$E$2:$E$3143),
Master_Mapping_Sheet!$H$2:$H$3143=$A16)))"),0.0)</f>
        <v>0</v>
      </c>
      <c r="X16" s="34">
        <f>IFERROR(__xludf.DUMMYFUNCTION("IF(ISNA(sum(filter(
Master_Mapping_Sheet!$E$2:$E$3143, ISNUMBER(
Master_Mapping_Sheet!$E$2:$E$3143),
Master_Mapping_Sheet!$C$2:$C$3143=X$1,
Master_Mapping_Sheet!$H$2:$H$3143=$A16))/sum(filter(
Master_Mapping_Sheet!$E$2:$E$3143, ISNUMBER(
Master_Mapping_Sh"&amp;"eet!$E$2:$E$3143),
Master_Mapping_Sheet!$H$2:$H$3143=$A16))), 0, sum(filter(
Master_Mapping_Sheet!$E$2:$E$3143, ISNUMBER(
Master_Mapping_Sheet!$E$2:$E$3143),
Master_Mapping_Sheet!$C$2:$C$3143=X$1,
Master_Mapping_Sheet!$H$2:$H$3143=$A16))/sum(filter(
Maste"&amp;"r_Mapping_Sheet!$E$2:$E$3143, ISNUMBER(
Master_Mapping_Sheet!$E$2:$E$3143),
Master_Mapping_Sheet!$H$2:$H$3143=$A16)))"),0.0)</f>
        <v>0</v>
      </c>
      <c r="Y16" s="34">
        <f>IFERROR(__xludf.DUMMYFUNCTION("IF(ISNA(sum(filter(
Master_Mapping_Sheet!$E$2:$E$3143, ISNUMBER(
Master_Mapping_Sheet!$E$2:$E$3143),
Master_Mapping_Sheet!$C$2:$C$3143=Y$1,
Master_Mapping_Sheet!$H$2:$H$3143=$A16))/sum(filter(
Master_Mapping_Sheet!$E$2:$E$3143, ISNUMBER(
Master_Mapping_Sh"&amp;"eet!$E$2:$E$3143),
Master_Mapping_Sheet!$H$2:$H$3143=$A16))), 0, sum(filter(
Master_Mapping_Sheet!$E$2:$E$3143, ISNUMBER(
Master_Mapping_Sheet!$E$2:$E$3143),
Master_Mapping_Sheet!$C$2:$C$3143=Y$1,
Master_Mapping_Sheet!$H$2:$H$3143=$A16))/sum(filter(
Maste"&amp;"r_Mapping_Sheet!$E$2:$E$3143, ISNUMBER(
Master_Mapping_Sheet!$E$2:$E$3143),
Master_Mapping_Sheet!$H$2:$H$3143=$A16)))"),0.0)</f>
        <v>0</v>
      </c>
      <c r="Z16" s="34">
        <f>IFERROR(__xludf.DUMMYFUNCTION("IF(ISNA(sum(filter(
Master_Mapping_Sheet!$E$2:$E$3143, ISNUMBER(
Master_Mapping_Sheet!$E$2:$E$3143),
Master_Mapping_Sheet!$C$2:$C$3143=Z$1,
Master_Mapping_Sheet!$H$2:$H$3143=$A16))/sum(filter(
Master_Mapping_Sheet!$E$2:$E$3143, ISNUMBER(
Master_Mapping_Sh"&amp;"eet!$E$2:$E$3143),
Master_Mapping_Sheet!$H$2:$H$3143=$A16))), 0, sum(filter(
Master_Mapping_Sheet!$E$2:$E$3143, ISNUMBER(
Master_Mapping_Sheet!$E$2:$E$3143),
Master_Mapping_Sheet!$C$2:$C$3143=Z$1,
Master_Mapping_Sheet!$H$2:$H$3143=$A16))/sum(filter(
Maste"&amp;"r_Mapping_Sheet!$E$2:$E$3143, ISNUMBER(
Master_Mapping_Sheet!$E$2:$E$3143),
Master_Mapping_Sheet!$H$2:$H$3143=$A16)))"),0.05506761595484978)</f>
        <v>0.05506761595</v>
      </c>
      <c r="AA16" s="34">
        <f>IFERROR(__xludf.DUMMYFUNCTION("IF(ISNA(sum(filter(
Master_Mapping_Sheet!$E$2:$E$3143, ISNUMBER(
Master_Mapping_Sheet!$E$2:$E$3143),
Master_Mapping_Sheet!$C$2:$C$3143=AA$1,
Master_Mapping_Sheet!$H$2:$H$3143=$A16))/sum(filter(
Master_Mapping_Sheet!$E$2:$E$3143, ISNUMBER(
Master_Mapping_S"&amp;"heet!$E$2:$E$3143),
Master_Mapping_Sheet!$H$2:$H$3143=$A16))), 0, sum(filter(
Master_Mapping_Sheet!$E$2:$E$3143, ISNUMBER(
Master_Mapping_Sheet!$E$2:$E$3143),
Master_Mapping_Sheet!$C$2:$C$3143=AA$1,
Master_Mapping_Sheet!$H$2:$H$3143=$A16))/sum(filter(
Mas"&amp;"ter_Mapping_Sheet!$E$2:$E$3143, ISNUMBER(
Master_Mapping_Sheet!$E$2:$E$3143),
Master_Mapping_Sheet!$H$2:$H$3143=$A16)))"),0.0)</f>
        <v>0</v>
      </c>
      <c r="AB16" s="34">
        <f>IFERROR(__xludf.DUMMYFUNCTION("IF(ISNA(sum(filter(
Master_Mapping_Sheet!$E$2:$E$3143, ISNUMBER(
Master_Mapping_Sheet!$E$2:$E$3143),
Master_Mapping_Sheet!$C$2:$C$3143=AB$1,
Master_Mapping_Sheet!$H$2:$H$3143=$A16))/sum(filter(
Master_Mapping_Sheet!$E$2:$E$3143, ISNUMBER(
Master_Mapping_S"&amp;"heet!$E$2:$E$3143),
Master_Mapping_Sheet!$H$2:$H$3143=$A16))), 0, sum(filter(
Master_Mapping_Sheet!$E$2:$E$3143, ISNUMBER(
Master_Mapping_Sheet!$E$2:$E$3143),
Master_Mapping_Sheet!$C$2:$C$3143=AB$1,
Master_Mapping_Sheet!$H$2:$H$3143=$A16))/sum(filter(
Mas"&amp;"ter_Mapping_Sheet!$E$2:$E$3143, ISNUMBER(
Master_Mapping_Sheet!$E$2:$E$3143),
Master_Mapping_Sheet!$H$2:$H$3143=$A16)))"),0.0)</f>
        <v>0</v>
      </c>
      <c r="AC16" s="34">
        <f>IFERROR(__xludf.DUMMYFUNCTION("IF(ISNA(sum(filter(
Master_Mapping_Sheet!$E$2:$E$3143, ISNUMBER(
Master_Mapping_Sheet!$E$2:$E$3143),
Master_Mapping_Sheet!$C$2:$C$3143=AC$1,
Master_Mapping_Sheet!$H$2:$H$3143=$A16))/sum(filter(
Master_Mapping_Sheet!$E$2:$E$3143, ISNUMBER(
Master_Mapping_S"&amp;"heet!$E$2:$E$3143),
Master_Mapping_Sheet!$H$2:$H$3143=$A16))), 0, sum(filter(
Master_Mapping_Sheet!$E$2:$E$3143, ISNUMBER(
Master_Mapping_Sheet!$E$2:$E$3143),
Master_Mapping_Sheet!$C$2:$C$3143=AC$1,
Master_Mapping_Sheet!$H$2:$H$3143=$A16))/sum(filter(
Mas"&amp;"ter_Mapping_Sheet!$E$2:$E$3143, ISNUMBER(
Master_Mapping_Sheet!$E$2:$E$3143),
Master_Mapping_Sheet!$H$2:$H$3143=$A16)))"),0.0)</f>
        <v>0</v>
      </c>
      <c r="AD16" s="34">
        <f>IFERROR(__xludf.DUMMYFUNCTION("IF(ISNA(sum(filter(
Master_Mapping_Sheet!$E$2:$E$3143, ISNUMBER(
Master_Mapping_Sheet!$E$2:$E$3143),
Master_Mapping_Sheet!$C$2:$C$3143=AD$1,
Master_Mapping_Sheet!$H$2:$H$3143=$A16))/sum(filter(
Master_Mapping_Sheet!$E$2:$E$3143, ISNUMBER(
Master_Mapping_S"&amp;"heet!$E$2:$E$3143),
Master_Mapping_Sheet!$H$2:$H$3143=$A16))), 0, sum(filter(
Master_Mapping_Sheet!$E$2:$E$3143, ISNUMBER(
Master_Mapping_Sheet!$E$2:$E$3143),
Master_Mapping_Sheet!$C$2:$C$3143=AD$1,
Master_Mapping_Sheet!$H$2:$H$3143=$A16))/sum(filter(
Mas"&amp;"ter_Mapping_Sheet!$E$2:$E$3143, ISNUMBER(
Master_Mapping_Sheet!$E$2:$E$3143),
Master_Mapping_Sheet!$H$2:$H$3143=$A16)))"),0.0)</f>
        <v>0</v>
      </c>
      <c r="AE16" s="34">
        <f>IFERROR(__xludf.DUMMYFUNCTION("IF(ISNA(sum(filter(
Master_Mapping_Sheet!$E$2:$E$3143, ISNUMBER(
Master_Mapping_Sheet!$E$2:$E$3143),
Master_Mapping_Sheet!$C$2:$C$3143=AE$1,
Master_Mapping_Sheet!$H$2:$H$3143=$A16))/sum(filter(
Master_Mapping_Sheet!$E$2:$E$3143, ISNUMBER(
Master_Mapping_S"&amp;"heet!$E$2:$E$3143),
Master_Mapping_Sheet!$H$2:$H$3143=$A16))), 0, sum(filter(
Master_Mapping_Sheet!$E$2:$E$3143, ISNUMBER(
Master_Mapping_Sheet!$E$2:$E$3143),
Master_Mapping_Sheet!$C$2:$C$3143=AE$1,
Master_Mapping_Sheet!$H$2:$H$3143=$A16))/sum(filter(
Mas"&amp;"ter_Mapping_Sheet!$E$2:$E$3143, ISNUMBER(
Master_Mapping_Sheet!$E$2:$E$3143),
Master_Mapping_Sheet!$H$2:$H$3143=$A16)))"),0.0)</f>
        <v>0</v>
      </c>
      <c r="AF16" s="34">
        <f>IFERROR(__xludf.DUMMYFUNCTION("IF(ISNA(sum(filter(
Master_Mapping_Sheet!$E$2:$E$3143, ISNUMBER(
Master_Mapping_Sheet!$E$2:$E$3143),
Master_Mapping_Sheet!$C$2:$C$3143=AF$1,
Master_Mapping_Sheet!$H$2:$H$3143=$A16))/sum(filter(
Master_Mapping_Sheet!$E$2:$E$3143, ISNUMBER(
Master_Mapping_S"&amp;"heet!$E$2:$E$3143),
Master_Mapping_Sheet!$H$2:$H$3143=$A16))), 0, sum(filter(
Master_Mapping_Sheet!$E$2:$E$3143, ISNUMBER(
Master_Mapping_Sheet!$E$2:$E$3143),
Master_Mapping_Sheet!$C$2:$C$3143=AF$1,
Master_Mapping_Sheet!$H$2:$H$3143=$A16))/sum(filter(
Mas"&amp;"ter_Mapping_Sheet!$E$2:$E$3143, ISNUMBER(
Master_Mapping_Sheet!$E$2:$E$3143),
Master_Mapping_Sheet!$H$2:$H$3143=$A16)))"),0.0)</f>
        <v>0</v>
      </c>
      <c r="AG16" s="34">
        <f>IFERROR(__xludf.DUMMYFUNCTION("IF(ISNA(sum(filter(
Master_Mapping_Sheet!$E$2:$E$3143, ISNUMBER(
Master_Mapping_Sheet!$E$2:$E$3143),
Master_Mapping_Sheet!$C$2:$C$3143=AG$1,
Master_Mapping_Sheet!$H$2:$H$3143=$A16))/sum(filter(
Master_Mapping_Sheet!$E$2:$E$3143, ISNUMBER(
Master_Mapping_S"&amp;"heet!$E$2:$E$3143),
Master_Mapping_Sheet!$H$2:$H$3143=$A16))), 0, sum(filter(
Master_Mapping_Sheet!$E$2:$E$3143, ISNUMBER(
Master_Mapping_Sheet!$E$2:$E$3143),
Master_Mapping_Sheet!$C$2:$C$3143=AG$1,
Master_Mapping_Sheet!$H$2:$H$3143=$A16))/sum(filter(
Mas"&amp;"ter_Mapping_Sheet!$E$2:$E$3143, ISNUMBER(
Master_Mapping_Sheet!$E$2:$E$3143),
Master_Mapping_Sheet!$H$2:$H$3143=$A16)))"),0.0)</f>
        <v>0</v>
      </c>
      <c r="AH16" s="34">
        <f>IFERROR(__xludf.DUMMYFUNCTION("IF(ISNA(sum(filter(
Master_Mapping_Sheet!$E$2:$E$3143, ISNUMBER(
Master_Mapping_Sheet!$E$2:$E$3143),
Master_Mapping_Sheet!$C$2:$C$3143=AH$1,
Master_Mapping_Sheet!$H$2:$H$3143=$A16))/sum(filter(
Master_Mapping_Sheet!$E$2:$E$3143, ISNUMBER(
Master_Mapping_S"&amp;"heet!$E$2:$E$3143),
Master_Mapping_Sheet!$H$2:$H$3143=$A16))), 0, sum(filter(
Master_Mapping_Sheet!$E$2:$E$3143, ISNUMBER(
Master_Mapping_Sheet!$E$2:$E$3143),
Master_Mapping_Sheet!$C$2:$C$3143=AH$1,
Master_Mapping_Sheet!$H$2:$H$3143=$A16))/sum(filter(
Mas"&amp;"ter_Mapping_Sheet!$E$2:$E$3143, ISNUMBER(
Master_Mapping_Sheet!$E$2:$E$3143),
Master_Mapping_Sheet!$H$2:$H$3143=$A16)))"),0.0)</f>
        <v>0</v>
      </c>
      <c r="AI16" s="34">
        <f>IFERROR(__xludf.DUMMYFUNCTION("IF(ISNA(sum(filter(
Master_Mapping_Sheet!$E$2:$E$3143, ISNUMBER(
Master_Mapping_Sheet!$E$2:$E$3143),
Master_Mapping_Sheet!$C$2:$C$3143=AI$1,
Master_Mapping_Sheet!$H$2:$H$3143=$A16))/sum(filter(
Master_Mapping_Sheet!$E$2:$E$3143, ISNUMBER(
Master_Mapping_S"&amp;"heet!$E$2:$E$3143),
Master_Mapping_Sheet!$H$2:$H$3143=$A16))), 0, sum(filter(
Master_Mapping_Sheet!$E$2:$E$3143, ISNUMBER(
Master_Mapping_Sheet!$E$2:$E$3143),
Master_Mapping_Sheet!$C$2:$C$3143=AI$1,
Master_Mapping_Sheet!$H$2:$H$3143=$A16))/sum(filter(
Mas"&amp;"ter_Mapping_Sheet!$E$2:$E$3143, ISNUMBER(
Master_Mapping_Sheet!$E$2:$E$3143),
Master_Mapping_Sheet!$H$2:$H$3143=$A16)))"),0.0)</f>
        <v>0</v>
      </c>
      <c r="AJ16" s="34">
        <f>IFERROR(__xludf.DUMMYFUNCTION("IF(ISNA(sum(filter(
Master_Mapping_Sheet!$E$2:$E$3143, ISNUMBER(
Master_Mapping_Sheet!$E$2:$E$3143),
Master_Mapping_Sheet!$C$2:$C$3143=AJ$1,
Master_Mapping_Sheet!$H$2:$H$3143=$A16))/sum(filter(
Master_Mapping_Sheet!$E$2:$E$3143, ISNUMBER(
Master_Mapping_S"&amp;"heet!$E$2:$E$3143),
Master_Mapping_Sheet!$H$2:$H$3143=$A16))), 0, sum(filter(
Master_Mapping_Sheet!$E$2:$E$3143, ISNUMBER(
Master_Mapping_Sheet!$E$2:$E$3143),
Master_Mapping_Sheet!$C$2:$C$3143=AJ$1,
Master_Mapping_Sheet!$H$2:$H$3143=$A16))/sum(filter(
Mas"&amp;"ter_Mapping_Sheet!$E$2:$E$3143, ISNUMBER(
Master_Mapping_Sheet!$E$2:$E$3143),
Master_Mapping_Sheet!$H$2:$H$3143=$A16)))"),0.0)</f>
        <v>0</v>
      </c>
      <c r="AK16" s="34">
        <f>IFERROR(__xludf.DUMMYFUNCTION("IF(ISNA(sum(filter(
Master_Mapping_Sheet!$E$2:$E$3143, ISNUMBER(
Master_Mapping_Sheet!$E$2:$E$3143),
Master_Mapping_Sheet!$C$2:$C$3143=AK$1,
Master_Mapping_Sheet!$H$2:$H$3143=$A16))/sum(filter(
Master_Mapping_Sheet!$E$2:$E$3143, ISNUMBER(
Master_Mapping_S"&amp;"heet!$E$2:$E$3143),
Master_Mapping_Sheet!$H$2:$H$3143=$A16))), 0, sum(filter(
Master_Mapping_Sheet!$E$2:$E$3143, ISNUMBER(
Master_Mapping_Sheet!$E$2:$E$3143),
Master_Mapping_Sheet!$C$2:$C$3143=AK$1,
Master_Mapping_Sheet!$H$2:$H$3143=$A16))/sum(filter(
Mas"&amp;"ter_Mapping_Sheet!$E$2:$E$3143, ISNUMBER(
Master_Mapping_Sheet!$E$2:$E$3143),
Master_Mapping_Sheet!$H$2:$H$3143=$A16)))"),0.0)</f>
        <v>0</v>
      </c>
      <c r="AL16" s="34">
        <f>IFERROR(__xludf.DUMMYFUNCTION("IF(ISNA(sum(filter(
Master_Mapping_Sheet!$E$2:$E$3143, ISNUMBER(
Master_Mapping_Sheet!$E$2:$E$3143),
Master_Mapping_Sheet!$C$2:$C$3143=AL$1,
Master_Mapping_Sheet!$H$2:$H$3143=$A16))/sum(filter(
Master_Mapping_Sheet!$E$2:$E$3143, ISNUMBER(
Master_Mapping_S"&amp;"heet!$E$2:$E$3143),
Master_Mapping_Sheet!$H$2:$H$3143=$A16))), 0, sum(filter(
Master_Mapping_Sheet!$E$2:$E$3143, ISNUMBER(
Master_Mapping_Sheet!$E$2:$E$3143),
Master_Mapping_Sheet!$C$2:$C$3143=AL$1,
Master_Mapping_Sheet!$H$2:$H$3143=$A16))/sum(filter(
Mas"&amp;"ter_Mapping_Sheet!$E$2:$E$3143, ISNUMBER(
Master_Mapping_Sheet!$E$2:$E$3143),
Master_Mapping_Sheet!$H$2:$H$3143=$A16)))"),0.0)</f>
        <v>0</v>
      </c>
      <c r="AM16" s="34">
        <f>IFERROR(__xludf.DUMMYFUNCTION("IF(ISNA(sum(filter(
Master_Mapping_Sheet!$E$2:$E$3143, ISNUMBER(
Master_Mapping_Sheet!$E$2:$E$3143),
Master_Mapping_Sheet!$C$2:$C$3143=AM$1,
Master_Mapping_Sheet!$H$2:$H$3143=$A16))/sum(filter(
Master_Mapping_Sheet!$E$2:$E$3143, ISNUMBER(
Master_Mapping_S"&amp;"heet!$E$2:$E$3143),
Master_Mapping_Sheet!$H$2:$H$3143=$A16))), 0, sum(filter(
Master_Mapping_Sheet!$E$2:$E$3143, ISNUMBER(
Master_Mapping_Sheet!$E$2:$E$3143),
Master_Mapping_Sheet!$C$2:$C$3143=AM$1,
Master_Mapping_Sheet!$H$2:$H$3143=$A16))/sum(filter(
Mas"&amp;"ter_Mapping_Sheet!$E$2:$E$3143, ISNUMBER(
Master_Mapping_Sheet!$E$2:$E$3143),
Master_Mapping_Sheet!$H$2:$H$3143=$A16)))"),0.0)</f>
        <v>0</v>
      </c>
      <c r="AN16" s="34">
        <f>IFERROR(__xludf.DUMMYFUNCTION("IF(ISNA(sum(filter(
Master_Mapping_Sheet!$E$2:$E$3143, ISNUMBER(
Master_Mapping_Sheet!$E$2:$E$3143),
Master_Mapping_Sheet!$C$2:$C$3143=AN$1,
Master_Mapping_Sheet!$H$2:$H$3143=$A16))/sum(filter(
Master_Mapping_Sheet!$E$2:$E$3143, ISNUMBER(
Master_Mapping_S"&amp;"heet!$E$2:$E$3143),
Master_Mapping_Sheet!$H$2:$H$3143=$A16))), 0, sum(filter(
Master_Mapping_Sheet!$E$2:$E$3143, ISNUMBER(
Master_Mapping_Sheet!$E$2:$E$3143),
Master_Mapping_Sheet!$C$2:$C$3143=AN$1,
Master_Mapping_Sheet!$H$2:$H$3143=$A16))/sum(filter(
Mas"&amp;"ter_Mapping_Sheet!$E$2:$E$3143, ISNUMBER(
Master_Mapping_Sheet!$E$2:$E$3143),
Master_Mapping_Sheet!$H$2:$H$3143=$A16)))"),0.0)</f>
        <v>0</v>
      </c>
      <c r="AO16" s="34">
        <f>IFERROR(__xludf.DUMMYFUNCTION("IF(ISNA(sum(filter(
Master_Mapping_Sheet!$E$2:$E$3143, ISNUMBER(
Master_Mapping_Sheet!$E$2:$E$3143),
Master_Mapping_Sheet!$C$2:$C$3143=AO$1,
Master_Mapping_Sheet!$H$2:$H$3143=$A16))/sum(filter(
Master_Mapping_Sheet!$E$2:$E$3143, ISNUMBER(
Master_Mapping_S"&amp;"heet!$E$2:$E$3143),
Master_Mapping_Sheet!$H$2:$H$3143=$A16))), 0, sum(filter(
Master_Mapping_Sheet!$E$2:$E$3143, ISNUMBER(
Master_Mapping_Sheet!$E$2:$E$3143),
Master_Mapping_Sheet!$C$2:$C$3143=AO$1,
Master_Mapping_Sheet!$H$2:$H$3143=$A16))/sum(filter(
Mas"&amp;"ter_Mapping_Sheet!$E$2:$E$3143, ISNUMBER(
Master_Mapping_Sheet!$E$2:$E$3143),
Master_Mapping_Sheet!$H$2:$H$3143=$A16)))"),0.0)</f>
        <v>0</v>
      </c>
      <c r="AP16" s="34">
        <f>IFERROR(__xludf.DUMMYFUNCTION("IF(ISNA(sum(filter(
Master_Mapping_Sheet!$E$2:$E$3143, ISNUMBER(
Master_Mapping_Sheet!$E$2:$E$3143),
Master_Mapping_Sheet!$C$2:$C$3143=AP$1,
Master_Mapping_Sheet!$H$2:$H$3143=$A16))/sum(filter(
Master_Mapping_Sheet!$E$2:$E$3143, ISNUMBER(
Master_Mapping_S"&amp;"heet!$E$2:$E$3143),
Master_Mapping_Sheet!$H$2:$H$3143=$A16))), 0, sum(filter(
Master_Mapping_Sheet!$E$2:$E$3143, ISNUMBER(
Master_Mapping_Sheet!$E$2:$E$3143),
Master_Mapping_Sheet!$C$2:$C$3143=AP$1,
Master_Mapping_Sheet!$H$2:$H$3143=$A16))/sum(filter(
Mas"&amp;"ter_Mapping_Sheet!$E$2:$E$3143, ISNUMBER(
Master_Mapping_Sheet!$E$2:$E$3143),
Master_Mapping_Sheet!$H$2:$H$3143=$A16)))"),0.0)</f>
        <v>0</v>
      </c>
      <c r="AQ16" s="34">
        <f>IFERROR(__xludf.DUMMYFUNCTION("IF(ISNA(sum(filter(
Master_Mapping_Sheet!$E$2:$E$3143, ISNUMBER(
Master_Mapping_Sheet!$E$2:$E$3143),
Master_Mapping_Sheet!$C$2:$C$3143=AQ$1,
Master_Mapping_Sheet!$H$2:$H$3143=$A16))/sum(filter(
Master_Mapping_Sheet!$E$2:$E$3143, ISNUMBER(
Master_Mapping_S"&amp;"heet!$E$2:$E$3143),
Master_Mapping_Sheet!$H$2:$H$3143=$A16))), 0, sum(filter(
Master_Mapping_Sheet!$E$2:$E$3143, ISNUMBER(
Master_Mapping_Sheet!$E$2:$E$3143),
Master_Mapping_Sheet!$C$2:$C$3143=AQ$1,
Master_Mapping_Sheet!$H$2:$H$3143=$A16))/sum(filter(
Mas"&amp;"ter_Mapping_Sheet!$E$2:$E$3143, ISNUMBER(
Master_Mapping_Sheet!$E$2:$E$3143),
Master_Mapping_Sheet!$H$2:$H$3143=$A16)))"),0.0)</f>
        <v>0</v>
      </c>
      <c r="AR16" s="34">
        <f>IFERROR(__xludf.DUMMYFUNCTION("IF(ISNA(sum(filter(
Master_Mapping_Sheet!$E$2:$E$3143, ISNUMBER(
Master_Mapping_Sheet!$E$2:$E$3143),
Master_Mapping_Sheet!$C$2:$C$3143=AR$1,
Master_Mapping_Sheet!$H$2:$H$3143=$A16))/sum(filter(
Master_Mapping_Sheet!$E$2:$E$3143, ISNUMBER(
Master_Mapping_S"&amp;"heet!$E$2:$E$3143),
Master_Mapping_Sheet!$H$2:$H$3143=$A16))), 0, sum(filter(
Master_Mapping_Sheet!$E$2:$E$3143, ISNUMBER(
Master_Mapping_Sheet!$E$2:$E$3143),
Master_Mapping_Sheet!$C$2:$C$3143=AR$1,
Master_Mapping_Sheet!$H$2:$H$3143=$A16))/sum(filter(
Mas"&amp;"ter_Mapping_Sheet!$E$2:$E$3143, ISNUMBER(
Master_Mapping_Sheet!$E$2:$E$3143),
Master_Mapping_Sheet!$H$2:$H$3143=$A16)))"),0.0)</f>
        <v>0</v>
      </c>
      <c r="AS16" s="34">
        <f>IFERROR(__xludf.DUMMYFUNCTION("IF(ISNA(sum(filter(
Master_Mapping_Sheet!$E$2:$E$3143, ISNUMBER(
Master_Mapping_Sheet!$E$2:$E$3143),
Master_Mapping_Sheet!$C$2:$C$3143=AS$1,
Master_Mapping_Sheet!$H$2:$H$3143=$A16))/sum(filter(
Master_Mapping_Sheet!$E$2:$E$3143, ISNUMBER(
Master_Mapping_S"&amp;"heet!$E$2:$E$3143),
Master_Mapping_Sheet!$H$2:$H$3143=$A16))), 0, sum(filter(
Master_Mapping_Sheet!$E$2:$E$3143, ISNUMBER(
Master_Mapping_Sheet!$E$2:$E$3143),
Master_Mapping_Sheet!$C$2:$C$3143=AS$1,
Master_Mapping_Sheet!$H$2:$H$3143=$A16))/sum(filter(
Mas"&amp;"ter_Mapping_Sheet!$E$2:$E$3143, ISNUMBER(
Master_Mapping_Sheet!$E$2:$E$3143),
Master_Mapping_Sheet!$H$2:$H$3143=$A16)))"),0.0)</f>
        <v>0</v>
      </c>
      <c r="AT16" s="34">
        <f>IFERROR(__xludf.DUMMYFUNCTION("IF(ISNA(sum(filter(
Master_Mapping_Sheet!$E$2:$E$3143, ISNUMBER(
Master_Mapping_Sheet!$E$2:$E$3143),
Master_Mapping_Sheet!$C$2:$C$3143=AT$1,
Master_Mapping_Sheet!$H$2:$H$3143=$A16))/sum(filter(
Master_Mapping_Sheet!$E$2:$E$3143, ISNUMBER(
Master_Mapping_S"&amp;"heet!$E$2:$E$3143),
Master_Mapping_Sheet!$H$2:$H$3143=$A16))), 0, sum(filter(
Master_Mapping_Sheet!$E$2:$E$3143, ISNUMBER(
Master_Mapping_Sheet!$E$2:$E$3143),
Master_Mapping_Sheet!$C$2:$C$3143=AT$1,
Master_Mapping_Sheet!$H$2:$H$3143=$A16))/sum(filter(
Mas"&amp;"ter_Mapping_Sheet!$E$2:$E$3143, ISNUMBER(
Master_Mapping_Sheet!$E$2:$E$3143),
Master_Mapping_Sheet!$H$2:$H$3143=$A16)))"),0.0)</f>
        <v>0</v>
      </c>
      <c r="AU16" s="34">
        <f>IFERROR(__xludf.DUMMYFUNCTION("IF(ISNA(sum(filter(
Master_Mapping_Sheet!$E$2:$E$3143, ISNUMBER(
Master_Mapping_Sheet!$E$2:$E$3143),
Master_Mapping_Sheet!$C$2:$C$3143=AU$1,
Master_Mapping_Sheet!$H$2:$H$3143=$A16))/sum(filter(
Master_Mapping_Sheet!$E$2:$E$3143, ISNUMBER(
Master_Mapping_S"&amp;"heet!$E$2:$E$3143),
Master_Mapping_Sheet!$H$2:$H$3143=$A16))), 0, sum(filter(
Master_Mapping_Sheet!$E$2:$E$3143, ISNUMBER(
Master_Mapping_Sheet!$E$2:$E$3143),
Master_Mapping_Sheet!$C$2:$C$3143=AU$1,
Master_Mapping_Sheet!$H$2:$H$3143=$A16))/sum(filter(
Mas"&amp;"ter_Mapping_Sheet!$E$2:$E$3143, ISNUMBER(
Master_Mapping_Sheet!$E$2:$E$3143),
Master_Mapping_Sheet!$H$2:$H$3143=$A16)))"),0.0)</f>
        <v>0</v>
      </c>
      <c r="AV16" s="34">
        <f>IFERROR(__xludf.DUMMYFUNCTION("IF(ISNA(sum(filter(
Master_Mapping_Sheet!$E$2:$E$3143, ISNUMBER(
Master_Mapping_Sheet!$E$2:$E$3143),
Master_Mapping_Sheet!$C$2:$C$3143=AV$1,
Master_Mapping_Sheet!$H$2:$H$3143=$A16))/sum(filter(
Master_Mapping_Sheet!$E$2:$E$3143, ISNUMBER(
Master_Mapping_S"&amp;"heet!$E$2:$E$3143),
Master_Mapping_Sheet!$H$2:$H$3143=$A16))), 0, sum(filter(
Master_Mapping_Sheet!$E$2:$E$3143, ISNUMBER(
Master_Mapping_Sheet!$E$2:$E$3143),
Master_Mapping_Sheet!$C$2:$C$3143=AV$1,
Master_Mapping_Sheet!$H$2:$H$3143=$A16))/sum(filter(
Mas"&amp;"ter_Mapping_Sheet!$E$2:$E$3143, ISNUMBER(
Master_Mapping_Sheet!$E$2:$E$3143),
Master_Mapping_Sheet!$H$2:$H$3143=$A16)))"),0.0)</f>
        <v>0</v>
      </c>
      <c r="AW16" s="34">
        <f>IFERROR(__xludf.DUMMYFUNCTION("IF(ISNA(sum(filter(
Master_Mapping_Sheet!$E$2:$E$3143, ISNUMBER(
Master_Mapping_Sheet!$E$2:$E$3143),
Master_Mapping_Sheet!$C$2:$C$3143=AW$1,
Master_Mapping_Sheet!$H$2:$H$3143=$A16))/sum(filter(
Master_Mapping_Sheet!$E$2:$E$3143, ISNUMBER(
Master_Mapping_S"&amp;"heet!$E$2:$E$3143),
Master_Mapping_Sheet!$H$2:$H$3143=$A16))), 0, sum(filter(
Master_Mapping_Sheet!$E$2:$E$3143, ISNUMBER(
Master_Mapping_Sheet!$E$2:$E$3143),
Master_Mapping_Sheet!$C$2:$C$3143=AW$1,
Master_Mapping_Sheet!$H$2:$H$3143=$A16))/sum(filter(
Mas"&amp;"ter_Mapping_Sheet!$E$2:$E$3143, ISNUMBER(
Master_Mapping_Sheet!$E$2:$E$3143),
Master_Mapping_Sheet!$H$2:$H$3143=$A16)))"),0.0)</f>
        <v>0</v>
      </c>
      <c r="AX16" s="34">
        <f>IFERROR(__xludf.DUMMYFUNCTION("IF(ISNA(sum(filter(
Master_Mapping_Sheet!$E$2:$E$3143, ISNUMBER(
Master_Mapping_Sheet!$E$2:$E$3143),
Master_Mapping_Sheet!$C$2:$C$3143=AX$1,
Master_Mapping_Sheet!$H$2:$H$3143=$A16))/sum(filter(
Master_Mapping_Sheet!$E$2:$E$3143, ISNUMBER(
Master_Mapping_S"&amp;"heet!$E$2:$E$3143),
Master_Mapping_Sheet!$H$2:$H$3143=$A16))), 0, sum(filter(
Master_Mapping_Sheet!$E$2:$E$3143, ISNUMBER(
Master_Mapping_Sheet!$E$2:$E$3143),
Master_Mapping_Sheet!$C$2:$C$3143=AX$1,
Master_Mapping_Sheet!$H$2:$H$3143=$A16))/sum(filter(
Mas"&amp;"ter_Mapping_Sheet!$E$2:$E$3143, ISNUMBER(
Master_Mapping_Sheet!$E$2:$E$3143),
Master_Mapping_Sheet!$H$2:$H$3143=$A16)))"),0.0)</f>
        <v>0</v>
      </c>
      <c r="AY16" s="34">
        <f>IFERROR(__xludf.DUMMYFUNCTION("IF(ISNA(sum(filter(
Master_Mapping_Sheet!$E$2:$E$3143, ISNUMBER(
Master_Mapping_Sheet!$E$2:$E$3143),
Master_Mapping_Sheet!$C$2:$C$3143=AY$1,
Master_Mapping_Sheet!$H$2:$H$3143=$A16))/sum(filter(
Master_Mapping_Sheet!$E$2:$E$3143, ISNUMBER(
Master_Mapping_S"&amp;"heet!$E$2:$E$3143),
Master_Mapping_Sheet!$H$2:$H$3143=$A16))), 0, sum(filter(
Master_Mapping_Sheet!$E$2:$E$3143, ISNUMBER(
Master_Mapping_Sheet!$E$2:$E$3143),
Master_Mapping_Sheet!$C$2:$C$3143=AY$1,
Master_Mapping_Sheet!$H$2:$H$3143=$A16))/sum(filter(
Mas"&amp;"ter_Mapping_Sheet!$E$2:$E$3143, ISNUMBER(
Master_Mapping_Sheet!$E$2:$E$3143),
Master_Mapping_Sheet!$H$2:$H$3143=$A16)))"),0.0)</f>
        <v>0</v>
      </c>
      <c r="AZ16" s="34">
        <f>IFERROR(__xludf.DUMMYFUNCTION("IF(ISNA(sum(filter(
Master_Mapping_Sheet!$E$2:$E$3143, ISNUMBER(
Master_Mapping_Sheet!$E$2:$E$3143),
Master_Mapping_Sheet!$C$2:$C$3143=AZ$1,
Master_Mapping_Sheet!$H$2:$H$3143=$A16))/sum(filter(
Master_Mapping_Sheet!$E$2:$E$3143, ISNUMBER(
Master_Mapping_S"&amp;"heet!$E$2:$E$3143),
Master_Mapping_Sheet!$H$2:$H$3143=$A16))), 0, sum(filter(
Master_Mapping_Sheet!$E$2:$E$3143, ISNUMBER(
Master_Mapping_Sheet!$E$2:$E$3143),
Master_Mapping_Sheet!$C$2:$C$3143=AZ$1,
Master_Mapping_Sheet!$H$2:$H$3143=$A16))/sum(filter(
Mas"&amp;"ter_Mapping_Sheet!$E$2:$E$3143, ISNUMBER(
Master_Mapping_Sheet!$E$2:$E$3143),
Master_Mapping_Sheet!$H$2:$H$3143=$A16)))"),0.0)</f>
        <v>0</v>
      </c>
    </row>
    <row r="17" ht="15.75" customHeight="1">
      <c r="A17" s="34" t="s">
        <v>3970</v>
      </c>
      <c r="B17" s="34">
        <f>IFERROR(__xludf.DUMMYFUNCTION("IF(ISNA(sum(filter(
Master_Mapping_Sheet!$E$2:$E$3143, ISNUMBER(
Master_Mapping_Sheet!$E$2:$E$3143),
Master_Mapping_Sheet!$C$2:$C$3143=B$1,
Master_Mapping_Sheet!$H$2:$H$3143=$A17))/sum(filter(
Master_Mapping_Sheet!$E$2:$E$3143, ISNUMBER(
Master_Mapping_Sh"&amp;"eet!$E$2:$E$3143),
Master_Mapping_Sheet!$H$2:$H$3143=$A17))), 0, sum(filter(
Master_Mapping_Sheet!$E$2:$E$3143, ISNUMBER(
Master_Mapping_Sheet!$E$2:$E$3143),
Master_Mapping_Sheet!$C$2:$C$3143=B$1,
Master_Mapping_Sheet!$H$2:$H$3143=$A17))/sum(filter(
Maste"&amp;"r_Mapping_Sheet!$E$2:$E$3143, ISNUMBER(
Master_Mapping_Sheet!$E$2:$E$3143),
Master_Mapping_Sheet!$H$2:$H$3143=$A17)))"),0.06840143033598672)</f>
        <v>0.06840143034</v>
      </c>
      <c r="C17" s="34">
        <f>IFERROR(__xludf.DUMMYFUNCTION("IF(ISNA(sum(filter(
Master_Mapping_Sheet!$E$2:$E$3143, ISNUMBER(
Master_Mapping_Sheet!$E$2:$E$3143),
Master_Mapping_Sheet!$C$2:$C$3143=C$1,
Master_Mapping_Sheet!$H$2:$H$3143=$A17))/sum(filter(
Master_Mapping_Sheet!$E$2:$E$3143, ISNUMBER(
Master_Mapping_Sh"&amp;"eet!$E$2:$E$3143),
Master_Mapping_Sheet!$H$2:$H$3143=$A17))), 0, sum(filter(
Master_Mapping_Sheet!$E$2:$E$3143, ISNUMBER(
Master_Mapping_Sheet!$E$2:$E$3143),
Master_Mapping_Sheet!$C$2:$C$3143=C$1,
Master_Mapping_Sheet!$H$2:$H$3143=$A17))/sum(filter(
Maste"&amp;"r_Mapping_Sheet!$E$2:$E$3143, ISNUMBER(
Master_Mapping_Sheet!$E$2:$E$3143),
Master_Mapping_Sheet!$H$2:$H$3143=$A17)))"),0.0)</f>
        <v>0</v>
      </c>
      <c r="D17" s="34">
        <f>IFERROR(__xludf.DUMMYFUNCTION("IF(ISNA(sum(filter(
Master_Mapping_Sheet!$E$2:$E$3143, ISNUMBER(
Master_Mapping_Sheet!$E$2:$E$3143),
Master_Mapping_Sheet!$C$2:$C$3143=D$1,
Master_Mapping_Sheet!$H$2:$H$3143=$A17))/sum(filter(
Master_Mapping_Sheet!$E$2:$E$3143, ISNUMBER(
Master_Mapping_Sh"&amp;"eet!$E$2:$E$3143),
Master_Mapping_Sheet!$H$2:$H$3143=$A17))), 0, sum(filter(
Master_Mapping_Sheet!$E$2:$E$3143, ISNUMBER(
Master_Mapping_Sheet!$E$2:$E$3143),
Master_Mapping_Sheet!$C$2:$C$3143=D$1,
Master_Mapping_Sheet!$H$2:$H$3143=$A17))/sum(filter(
Maste"&amp;"r_Mapping_Sheet!$E$2:$E$3143, ISNUMBER(
Master_Mapping_Sheet!$E$2:$E$3143),
Master_Mapping_Sheet!$H$2:$H$3143=$A17)))"),0.0)</f>
        <v>0</v>
      </c>
      <c r="E17" s="34">
        <f>IFERROR(__xludf.DUMMYFUNCTION("IF(ISNA(sum(filter(
Master_Mapping_Sheet!$E$2:$E$3143, ISNUMBER(
Master_Mapping_Sheet!$E$2:$E$3143),
Master_Mapping_Sheet!$C$2:$C$3143=E$1,
Master_Mapping_Sheet!$H$2:$H$3143=$A17))/sum(filter(
Master_Mapping_Sheet!$E$2:$E$3143, ISNUMBER(
Master_Mapping_Sh"&amp;"eet!$E$2:$E$3143),
Master_Mapping_Sheet!$H$2:$H$3143=$A17))), 0, sum(filter(
Master_Mapping_Sheet!$E$2:$E$3143, ISNUMBER(
Master_Mapping_Sheet!$E$2:$E$3143),
Master_Mapping_Sheet!$C$2:$C$3143=E$1,
Master_Mapping_Sheet!$H$2:$H$3143=$A17))/sum(filter(
Maste"&amp;"r_Mapping_Sheet!$E$2:$E$3143, ISNUMBER(
Master_Mapping_Sheet!$E$2:$E$3143),
Master_Mapping_Sheet!$H$2:$H$3143=$A17)))"),0.0)</f>
        <v>0</v>
      </c>
      <c r="F17" s="34">
        <f>IFERROR(__xludf.DUMMYFUNCTION("IF(ISNA(sum(filter(
Master_Mapping_Sheet!$E$2:$E$3143, ISNUMBER(
Master_Mapping_Sheet!$E$2:$E$3143),
Master_Mapping_Sheet!$C$2:$C$3143=F$1,
Master_Mapping_Sheet!$H$2:$H$3143=$A17))/sum(filter(
Master_Mapping_Sheet!$E$2:$E$3143, ISNUMBER(
Master_Mapping_Sh"&amp;"eet!$E$2:$E$3143),
Master_Mapping_Sheet!$H$2:$H$3143=$A17))), 0, sum(filter(
Master_Mapping_Sheet!$E$2:$E$3143, ISNUMBER(
Master_Mapping_Sheet!$E$2:$E$3143),
Master_Mapping_Sheet!$C$2:$C$3143=F$1,
Master_Mapping_Sheet!$H$2:$H$3143=$A17))/sum(filter(
Maste"&amp;"r_Mapping_Sheet!$E$2:$E$3143, ISNUMBER(
Master_Mapping_Sheet!$E$2:$E$3143),
Master_Mapping_Sheet!$H$2:$H$3143=$A17)))"),0.0)</f>
        <v>0</v>
      </c>
      <c r="G17" s="34">
        <f>IFERROR(__xludf.DUMMYFUNCTION("IF(ISNA(sum(filter(
Master_Mapping_Sheet!$E$2:$E$3143, ISNUMBER(
Master_Mapping_Sheet!$E$2:$E$3143),
Master_Mapping_Sheet!$C$2:$C$3143=G$1,
Master_Mapping_Sheet!$H$2:$H$3143=$A17))/sum(filter(
Master_Mapping_Sheet!$E$2:$E$3143, ISNUMBER(
Master_Mapping_Sh"&amp;"eet!$E$2:$E$3143),
Master_Mapping_Sheet!$H$2:$H$3143=$A17))), 0, sum(filter(
Master_Mapping_Sheet!$E$2:$E$3143, ISNUMBER(
Master_Mapping_Sheet!$E$2:$E$3143),
Master_Mapping_Sheet!$C$2:$C$3143=G$1,
Master_Mapping_Sheet!$H$2:$H$3143=$A17))/sum(filter(
Maste"&amp;"r_Mapping_Sheet!$E$2:$E$3143, ISNUMBER(
Master_Mapping_Sheet!$E$2:$E$3143),
Master_Mapping_Sheet!$H$2:$H$3143=$A17)))"),0.0)</f>
        <v>0</v>
      </c>
      <c r="H17" s="34">
        <f>IFERROR(__xludf.DUMMYFUNCTION("IF(ISNA(sum(filter(
Master_Mapping_Sheet!$E$2:$E$3143, ISNUMBER(
Master_Mapping_Sheet!$E$2:$E$3143),
Master_Mapping_Sheet!$C$2:$C$3143=H$1,
Master_Mapping_Sheet!$H$2:$H$3143=$A17))/sum(filter(
Master_Mapping_Sheet!$E$2:$E$3143, ISNUMBER(
Master_Mapping_Sh"&amp;"eet!$E$2:$E$3143),
Master_Mapping_Sheet!$H$2:$H$3143=$A17))), 0, sum(filter(
Master_Mapping_Sheet!$E$2:$E$3143, ISNUMBER(
Master_Mapping_Sheet!$E$2:$E$3143),
Master_Mapping_Sheet!$C$2:$C$3143=H$1,
Master_Mapping_Sheet!$H$2:$H$3143=$A17))/sum(filter(
Maste"&amp;"r_Mapping_Sheet!$E$2:$E$3143, ISNUMBER(
Master_Mapping_Sheet!$E$2:$E$3143),
Master_Mapping_Sheet!$H$2:$H$3143=$A17)))"),0.0)</f>
        <v>0</v>
      </c>
      <c r="I17" s="34">
        <f>IFERROR(__xludf.DUMMYFUNCTION("IF(ISNA(sum(filter(
Master_Mapping_Sheet!$E$2:$E$3143, ISNUMBER(
Master_Mapping_Sheet!$E$2:$E$3143),
Master_Mapping_Sheet!$C$2:$C$3143=I$1,
Master_Mapping_Sheet!$H$2:$H$3143=$A17))/sum(filter(
Master_Mapping_Sheet!$E$2:$E$3143, ISNUMBER(
Master_Mapping_Sh"&amp;"eet!$E$2:$E$3143),
Master_Mapping_Sheet!$H$2:$H$3143=$A17))), 0, sum(filter(
Master_Mapping_Sheet!$E$2:$E$3143, ISNUMBER(
Master_Mapping_Sheet!$E$2:$E$3143),
Master_Mapping_Sheet!$C$2:$C$3143=I$1,
Master_Mapping_Sheet!$H$2:$H$3143=$A17))/sum(filter(
Maste"&amp;"r_Mapping_Sheet!$E$2:$E$3143, ISNUMBER(
Master_Mapping_Sheet!$E$2:$E$3143),
Master_Mapping_Sheet!$H$2:$H$3143=$A17)))"),0.0)</f>
        <v>0</v>
      </c>
      <c r="J17" s="34">
        <f>IFERROR(__xludf.DUMMYFUNCTION("IF(ISNA(sum(filter(
Master_Mapping_Sheet!$E$2:$E$3143, ISNUMBER(
Master_Mapping_Sheet!$E$2:$E$3143),
Master_Mapping_Sheet!$C$2:$C$3143=J$1,
Master_Mapping_Sheet!$H$2:$H$3143=$A17))/sum(filter(
Master_Mapping_Sheet!$E$2:$E$3143, ISNUMBER(
Master_Mapping_Sh"&amp;"eet!$E$2:$E$3143),
Master_Mapping_Sheet!$H$2:$H$3143=$A17))), 0, sum(filter(
Master_Mapping_Sheet!$E$2:$E$3143, ISNUMBER(
Master_Mapping_Sheet!$E$2:$E$3143),
Master_Mapping_Sheet!$C$2:$C$3143=J$1,
Master_Mapping_Sheet!$H$2:$H$3143=$A17))/sum(filter(
Maste"&amp;"r_Mapping_Sheet!$E$2:$E$3143, ISNUMBER(
Master_Mapping_Sheet!$E$2:$E$3143),
Master_Mapping_Sheet!$H$2:$H$3143=$A17)))"),0.0)</f>
        <v>0</v>
      </c>
      <c r="K17" s="34">
        <f>IFERROR(__xludf.DUMMYFUNCTION("IF(ISNA(sum(filter(
Master_Mapping_Sheet!$E$2:$E$3143, ISNUMBER(
Master_Mapping_Sheet!$E$2:$E$3143),
Master_Mapping_Sheet!$C$2:$C$3143=K$1,
Master_Mapping_Sheet!$H$2:$H$3143=$A17))/sum(filter(
Master_Mapping_Sheet!$E$2:$E$3143, ISNUMBER(
Master_Mapping_Sh"&amp;"eet!$E$2:$E$3143),
Master_Mapping_Sheet!$H$2:$H$3143=$A17))), 0, sum(filter(
Master_Mapping_Sheet!$E$2:$E$3143, ISNUMBER(
Master_Mapping_Sheet!$E$2:$E$3143),
Master_Mapping_Sheet!$C$2:$C$3143=K$1,
Master_Mapping_Sheet!$H$2:$H$3143=$A17))/sum(filter(
Maste"&amp;"r_Mapping_Sheet!$E$2:$E$3143, ISNUMBER(
Master_Mapping_Sheet!$E$2:$E$3143),
Master_Mapping_Sheet!$H$2:$H$3143=$A17)))"),0.0)</f>
        <v>0</v>
      </c>
      <c r="L17" s="34">
        <f>IFERROR(__xludf.DUMMYFUNCTION("IF(ISNA(sum(filter(
Master_Mapping_Sheet!$E$2:$E$3143, ISNUMBER(
Master_Mapping_Sheet!$E$2:$E$3143),
Master_Mapping_Sheet!$C$2:$C$3143=L$1,
Master_Mapping_Sheet!$H$2:$H$3143=$A17))/sum(filter(
Master_Mapping_Sheet!$E$2:$E$3143, ISNUMBER(
Master_Mapping_Sh"&amp;"eet!$E$2:$E$3143),
Master_Mapping_Sheet!$H$2:$H$3143=$A17))), 0, sum(filter(
Master_Mapping_Sheet!$E$2:$E$3143, ISNUMBER(
Master_Mapping_Sheet!$E$2:$E$3143),
Master_Mapping_Sheet!$C$2:$C$3143=L$1,
Master_Mapping_Sheet!$H$2:$H$3143=$A17))/sum(filter(
Maste"&amp;"r_Mapping_Sheet!$E$2:$E$3143, ISNUMBER(
Master_Mapping_Sheet!$E$2:$E$3143),
Master_Mapping_Sheet!$H$2:$H$3143=$A17)))"),0.0044018273476145505)</f>
        <v>0.004401827348</v>
      </c>
      <c r="M17" s="34">
        <f>IFERROR(__xludf.DUMMYFUNCTION("IF(ISNA(sum(filter(
Master_Mapping_Sheet!$E$2:$E$3143, ISNUMBER(
Master_Mapping_Sheet!$E$2:$E$3143),
Master_Mapping_Sheet!$C$2:$C$3143=M$1,
Master_Mapping_Sheet!$H$2:$H$3143=$A17))/sum(filter(
Master_Mapping_Sheet!$E$2:$E$3143, ISNUMBER(
Master_Mapping_Sh"&amp;"eet!$E$2:$E$3143),
Master_Mapping_Sheet!$H$2:$H$3143=$A17))), 0, sum(filter(
Master_Mapping_Sheet!$E$2:$E$3143, ISNUMBER(
Master_Mapping_Sheet!$E$2:$E$3143),
Master_Mapping_Sheet!$C$2:$C$3143=M$1,
Master_Mapping_Sheet!$H$2:$H$3143=$A17))/sum(filter(
Maste"&amp;"r_Mapping_Sheet!$E$2:$E$3143, ISNUMBER(
Master_Mapping_Sheet!$E$2:$E$3143),
Master_Mapping_Sheet!$H$2:$H$3143=$A17)))"),0.0)</f>
        <v>0</v>
      </c>
      <c r="N17" s="34">
        <f>IFERROR(__xludf.DUMMYFUNCTION("IF(ISNA(sum(filter(
Master_Mapping_Sheet!$E$2:$E$3143, ISNUMBER(
Master_Mapping_Sheet!$E$2:$E$3143),
Master_Mapping_Sheet!$C$2:$C$3143=N$1,
Master_Mapping_Sheet!$H$2:$H$3143=$A17))/sum(filter(
Master_Mapping_Sheet!$E$2:$E$3143, ISNUMBER(
Master_Mapping_Sh"&amp;"eet!$E$2:$E$3143),
Master_Mapping_Sheet!$H$2:$H$3143=$A17))), 0, sum(filter(
Master_Mapping_Sheet!$E$2:$E$3143, ISNUMBER(
Master_Mapping_Sheet!$E$2:$E$3143),
Master_Mapping_Sheet!$C$2:$C$3143=N$1,
Master_Mapping_Sheet!$H$2:$H$3143=$A17))/sum(filter(
Maste"&amp;"r_Mapping_Sheet!$E$2:$E$3143, ISNUMBER(
Master_Mapping_Sheet!$E$2:$E$3143),
Master_Mapping_Sheet!$H$2:$H$3143=$A17)))"),0.0)</f>
        <v>0</v>
      </c>
      <c r="O17" s="34">
        <f>IFERROR(__xludf.DUMMYFUNCTION("IF(ISNA(sum(filter(
Master_Mapping_Sheet!$E$2:$E$3143, ISNUMBER(
Master_Mapping_Sheet!$E$2:$E$3143),
Master_Mapping_Sheet!$C$2:$C$3143=O$1,
Master_Mapping_Sheet!$H$2:$H$3143=$A17))/sum(filter(
Master_Mapping_Sheet!$E$2:$E$3143, ISNUMBER(
Master_Mapping_Sh"&amp;"eet!$E$2:$E$3143),
Master_Mapping_Sheet!$H$2:$H$3143=$A17))), 0, sum(filter(
Master_Mapping_Sheet!$E$2:$E$3143, ISNUMBER(
Master_Mapping_Sheet!$E$2:$E$3143),
Master_Mapping_Sheet!$C$2:$C$3143=O$1,
Master_Mapping_Sheet!$H$2:$H$3143=$A17))/sum(filter(
Maste"&amp;"r_Mapping_Sheet!$E$2:$E$3143, ISNUMBER(
Master_Mapping_Sheet!$E$2:$E$3143),
Master_Mapping_Sheet!$H$2:$H$3143=$A17)))"),0.0)</f>
        <v>0</v>
      </c>
      <c r="P17" s="34">
        <f>IFERROR(__xludf.DUMMYFUNCTION("IF(ISNA(sum(filter(
Master_Mapping_Sheet!$E$2:$E$3143, ISNUMBER(
Master_Mapping_Sheet!$E$2:$E$3143),
Master_Mapping_Sheet!$C$2:$C$3143=P$1,
Master_Mapping_Sheet!$H$2:$H$3143=$A17))/sum(filter(
Master_Mapping_Sheet!$E$2:$E$3143, ISNUMBER(
Master_Mapping_Sh"&amp;"eet!$E$2:$E$3143),
Master_Mapping_Sheet!$H$2:$H$3143=$A17))), 0, sum(filter(
Master_Mapping_Sheet!$E$2:$E$3143, ISNUMBER(
Master_Mapping_Sheet!$E$2:$E$3143),
Master_Mapping_Sheet!$C$2:$C$3143=P$1,
Master_Mapping_Sheet!$H$2:$H$3143=$A17))/sum(filter(
Maste"&amp;"r_Mapping_Sheet!$E$2:$E$3143, ISNUMBER(
Master_Mapping_Sheet!$E$2:$E$3143),
Master_Mapping_Sheet!$H$2:$H$3143=$A17)))"),0.0)</f>
        <v>0</v>
      </c>
      <c r="Q17" s="34">
        <f>IFERROR(__xludf.DUMMYFUNCTION("IF(ISNA(sum(filter(
Master_Mapping_Sheet!$E$2:$E$3143, ISNUMBER(
Master_Mapping_Sheet!$E$2:$E$3143),
Master_Mapping_Sheet!$C$2:$C$3143=Q$1,
Master_Mapping_Sheet!$H$2:$H$3143=$A17))/sum(filter(
Master_Mapping_Sheet!$E$2:$E$3143, ISNUMBER(
Master_Mapping_Sh"&amp;"eet!$E$2:$E$3143),
Master_Mapping_Sheet!$H$2:$H$3143=$A17))), 0, sum(filter(
Master_Mapping_Sheet!$E$2:$E$3143, ISNUMBER(
Master_Mapping_Sheet!$E$2:$E$3143),
Master_Mapping_Sheet!$C$2:$C$3143=Q$1,
Master_Mapping_Sheet!$H$2:$H$3143=$A17))/sum(filter(
Maste"&amp;"r_Mapping_Sheet!$E$2:$E$3143, ISNUMBER(
Master_Mapping_Sheet!$E$2:$E$3143),
Master_Mapping_Sheet!$H$2:$H$3143=$A17)))"),0.0)</f>
        <v>0</v>
      </c>
      <c r="R17" s="34">
        <f>IFERROR(__xludf.DUMMYFUNCTION("IF(ISNA(sum(filter(
Master_Mapping_Sheet!$E$2:$E$3143, ISNUMBER(
Master_Mapping_Sheet!$E$2:$E$3143),
Master_Mapping_Sheet!$C$2:$C$3143=R$1,
Master_Mapping_Sheet!$H$2:$H$3143=$A17))/sum(filter(
Master_Mapping_Sheet!$E$2:$E$3143, ISNUMBER(
Master_Mapping_Sh"&amp;"eet!$E$2:$E$3143),
Master_Mapping_Sheet!$H$2:$H$3143=$A17))), 0, sum(filter(
Master_Mapping_Sheet!$E$2:$E$3143, ISNUMBER(
Master_Mapping_Sheet!$E$2:$E$3143),
Master_Mapping_Sheet!$C$2:$C$3143=R$1,
Master_Mapping_Sheet!$H$2:$H$3143=$A17))/sum(filter(
Maste"&amp;"r_Mapping_Sheet!$E$2:$E$3143, ISNUMBER(
Master_Mapping_Sheet!$E$2:$E$3143),
Master_Mapping_Sheet!$H$2:$H$3143=$A17)))"),0.0)</f>
        <v>0</v>
      </c>
      <c r="S17" s="34">
        <f>IFERROR(__xludf.DUMMYFUNCTION("IF(ISNA(sum(filter(
Master_Mapping_Sheet!$E$2:$E$3143, ISNUMBER(
Master_Mapping_Sheet!$E$2:$E$3143),
Master_Mapping_Sheet!$C$2:$C$3143=S$1,
Master_Mapping_Sheet!$H$2:$H$3143=$A17))/sum(filter(
Master_Mapping_Sheet!$E$2:$E$3143, ISNUMBER(
Master_Mapping_Sh"&amp;"eet!$E$2:$E$3143),
Master_Mapping_Sheet!$H$2:$H$3143=$A17))), 0, sum(filter(
Master_Mapping_Sheet!$E$2:$E$3143, ISNUMBER(
Master_Mapping_Sheet!$E$2:$E$3143),
Master_Mapping_Sheet!$C$2:$C$3143=S$1,
Master_Mapping_Sheet!$H$2:$H$3143=$A17))/sum(filter(
Maste"&amp;"r_Mapping_Sheet!$E$2:$E$3143, ISNUMBER(
Master_Mapping_Sheet!$E$2:$E$3143),
Master_Mapping_Sheet!$H$2:$H$3143=$A17)))"),0.32000301666315634)</f>
        <v>0.3200030167</v>
      </c>
      <c r="T17" s="34">
        <f>IFERROR(__xludf.DUMMYFUNCTION("IF(ISNA(sum(filter(
Master_Mapping_Sheet!$E$2:$E$3143, ISNUMBER(
Master_Mapping_Sheet!$E$2:$E$3143),
Master_Mapping_Sheet!$C$2:$C$3143=T$1,
Master_Mapping_Sheet!$H$2:$H$3143=$A17))/sum(filter(
Master_Mapping_Sheet!$E$2:$E$3143, ISNUMBER(
Master_Mapping_Sh"&amp;"eet!$E$2:$E$3143),
Master_Mapping_Sheet!$H$2:$H$3143=$A17))), 0, sum(filter(
Master_Mapping_Sheet!$E$2:$E$3143, ISNUMBER(
Master_Mapping_Sheet!$E$2:$E$3143),
Master_Mapping_Sheet!$C$2:$C$3143=T$1,
Master_Mapping_Sheet!$H$2:$H$3143=$A17))/sum(filter(
Maste"&amp;"r_Mapping_Sheet!$E$2:$E$3143, ISNUMBER(
Master_Mapping_Sheet!$E$2:$E$3143),
Master_Mapping_Sheet!$H$2:$H$3143=$A17)))"),0.0)</f>
        <v>0</v>
      </c>
      <c r="U17" s="34">
        <f>IFERROR(__xludf.DUMMYFUNCTION("IF(ISNA(sum(filter(
Master_Mapping_Sheet!$E$2:$E$3143, ISNUMBER(
Master_Mapping_Sheet!$E$2:$E$3143),
Master_Mapping_Sheet!$C$2:$C$3143=U$1,
Master_Mapping_Sheet!$H$2:$H$3143=$A17))/sum(filter(
Master_Mapping_Sheet!$E$2:$E$3143, ISNUMBER(
Master_Mapping_Sh"&amp;"eet!$E$2:$E$3143),
Master_Mapping_Sheet!$H$2:$H$3143=$A17))), 0, sum(filter(
Master_Mapping_Sheet!$E$2:$E$3143, ISNUMBER(
Master_Mapping_Sheet!$E$2:$E$3143),
Master_Mapping_Sheet!$C$2:$C$3143=U$1,
Master_Mapping_Sheet!$H$2:$H$3143=$A17))/sum(filter(
Maste"&amp;"r_Mapping_Sheet!$E$2:$E$3143, ISNUMBER(
Master_Mapping_Sheet!$E$2:$E$3143),
Master_Mapping_Sheet!$H$2:$H$3143=$A17)))"),0.0)</f>
        <v>0</v>
      </c>
      <c r="V17" s="34">
        <f>IFERROR(__xludf.DUMMYFUNCTION("IF(ISNA(sum(filter(
Master_Mapping_Sheet!$E$2:$E$3143, ISNUMBER(
Master_Mapping_Sheet!$E$2:$E$3143),
Master_Mapping_Sheet!$C$2:$C$3143=V$1,
Master_Mapping_Sheet!$H$2:$H$3143=$A17))/sum(filter(
Master_Mapping_Sheet!$E$2:$E$3143, ISNUMBER(
Master_Mapping_Sh"&amp;"eet!$E$2:$E$3143),
Master_Mapping_Sheet!$H$2:$H$3143=$A17))), 0, sum(filter(
Master_Mapping_Sheet!$E$2:$E$3143, ISNUMBER(
Master_Mapping_Sheet!$E$2:$E$3143),
Master_Mapping_Sheet!$C$2:$C$3143=V$1,
Master_Mapping_Sheet!$H$2:$H$3143=$A17))/sum(filter(
Maste"&amp;"r_Mapping_Sheet!$E$2:$E$3143, ISNUMBER(
Master_Mapping_Sheet!$E$2:$E$3143),
Master_Mapping_Sheet!$H$2:$H$3143=$A17)))"),0.0)</f>
        <v>0</v>
      </c>
      <c r="W17" s="34">
        <f>IFERROR(__xludf.DUMMYFUNCTION("IF(ISNA(sum(filter(
Master_Mapping_Sheet!$E$2:$E$3143, ISNUMBER(
Master_Mapping_Sheet!$E$2:$E$3143),
Master_Mapping_Sheet!$C$2:$C$3143=W$1,
Master_Mapping_Sheet!$H$2:$H$3143=$A17))/sum(filter(
Master_Mapping_Sheet!$E$2:$E$3143, ISNUMBER(
Master_Mapping_Sh"&amp;"eet!$E$2:$E$3143),
Master_Mapping_Sheet!$H$2:$H$3143=$A17))), 0, sum(filter(
Master_Mapping_Sheet!$E$2:$E$3143, ISNUMBER(
Master_Mapping_Sheet!$E$2:$E$3143),
Master_Mapping_Sheet!$C$2:$C$3143=W$1,
Master_Mapping_Sheet!$H$2:$H$3143=$A17))/sum(filter(
Maste"&amp;"r_Mapping_Sheet!$E$2:$E$3143, ISNUMBER(
Master_Mapping_Sheet!$E$2:$E$3143),
Master_Mapping_Sheet!$H$2:$H$3143=$A17)))"),0.0)</f>
        <v>0</v>
      </c>
      <c r="X17" s="34">
        <f>IFERROR(__xludf.DUMMYFUNCTION("IF(ISNA(sum(filter(
Master_Mapping_Sheet!$E$2:$E$3143, ISNUMBER(
Master_Mapping_Sheet!$E$2:$E$3143),
Master_Mapping_Sheet!$C$2:$C$3143=X$1,
Master_Mapping_Sheet!$H$2:$H$3143=$A17))/sum(filter(
Master_Mapping_Sheet!$E$2:$E$3143, ISNUMBER(
Master_Mapping_Sh"&amp;"eet!$E$2:$E$3143),
Master_Mapping_Sheet!$H$2:$H$3143=$A17))), 0, sum(filter(
Master_Mapping_Sheet!$E$2:$E$3143, ISNUMBER(
Master_Mapping_Sheet!$E$2:$E$3143),
Master_Mapping_Sheet!$C$2:$C$3143=X$1,
Master_Mapping_Sheet!$H$2:$H$3143=$A17))/sum(filter(
Maste"&amp;"r_Mapping_Sheet!$E$2:$E$3143, ISNUMBER(
Master_Mapping_Sheet!$E$2:$E$3143),
Master_Mapping_Sheet!$H$2:$H$3143=$A17)))"),0.0)</f>
        <v>0</v>
      </c>
      <c r="Y17" s="34">
        <f>IFERROR(__xludf.DUMMYFUNCTION("IF(ISNA(sum(filter(
Master_Mapping_Sheet!$E$2:$E$3143, ISNUMBER(
Master_Mapping_Sheet!$E$2:$E$3143),
Master_Mapping_Sheet!$C$2:$C$3143=Y$1,
Master_Mapping_Sheet!$H$2:$H$3143=$A17))/sum(filter(
Master_Mapping_Sheet!$E$2:$E$3143, ISNUMBER(
Master_Mapping_Sh"&amp;"eet!$E$2:$E$3143),
Master_Mapping_Sheet!$H$2:$H$3143=$A17))), 0, sum(filter(
Master_Mapping_Sheet!$E$2:$E$3143, ISNUMBER(
Master_Mapping_Sheet!$E$2:$E$3143),
Master_Mapping_Sheet!$C$2:$C$3143=Y$1,
Master_Mapping_Sheet!$H$2:$H$3143=$A17))/sum(filter(
Maste"&amp;"r_Mapping_Sheet!$E$2:$E$3143, ISNUMBER(
Master_Mapping_Sheet!$E$2:$E$3143),
Master_Mapping_Sheet!$H$2:$H$3143=$A17)))"),0.0)</f>
        <v>0</v>
      </c>
      <c r="Z17" s="34">
        <f>IFERROR(__xludf.DUMMYFUNCTION("IF(ISNA(sum(filter(
Master_Mapping_Sheet!$E$2:$E$3143, ISNUMBER(
Master_Mapping_Sheet!$E$2:$E$3143),
Master_Mapping_Sheet!$C$2:$C$3143=Z$1,
Master_Mapping_Sheet!$H$2:$H$3143=$A17))/sum(filter(
Master_Mapping_Sheet!$E$2:$E$3143, ISNUMBER(
Master_Mapping_Sh"&amp;"eet!$E$2:$E$3143),
Master_Mapping_Sheet!$H$2:$H$3143=$A17))), 0, sum(filter(
Master_Mapping_Sheet!$E$2:$E$3143, ISNUMBER(
Master_Mapping_Sheet!$E$2:$E$3143),
Master_Mapping_Sheet!$C$2:$C$3143=Z$1,
Master_Mapping_Sheet!$H$2:$H$3143=$A17))/sum(filter(
Maste"&amp;"r_Mapping_Sheet!$E$2:$E$3143, ISNUMBER(
Master_Mapping_Sheet!$E$2:$E$3143),
Master_Mapping_Sheet!$H$2:$H$3143=$A17)))"),0.042535341263927155)</f>
        <v>0.04253534126</v>
      </c>
      <c r="AA17" s="34">
        <f>IFERROR(__xludf.DUMMYFUNCTION("IF(ISNA(sum(filter(
Master_Mapping_Sheet!$E$2:$E$3143, ISNUMBER(
Master_Mapping_Sheet!$E$2:$E$3143),
Master_Mapping_Sheet!$C$2:$C$3143=AA$1,
Master_Mapping_Sheet!$H$2:$H$3143=$A17))/sum(filter(
Master_Mapping_Sheet!$E$2:$E$3143, ISNUMBER(
Master_Mapping_S"&amp;"heet!$E$2:$E$3143),
Master_Mapping_Sheet!$H$2:$H$3143=$A17))), 0, sum(filter(
Master_Mapping_Sheet!$E$2:$E$3143, ISNUMBER(
Master_Mapping_Sheet!$E$2:$E$3143),
Master_Mapping_Sheet!$C$2:$C$3143=AA$1,
Master_Mapping_Sheet!$H$2:$H$3143=$A17))/sum(filter(
Mas"&amp;"ter_Mapping_Sheet!$E$2:$E$3143, ISNUMBER(
Master_Mapping_Sheet!$E$2:$E$3143),
Master_Mapping_Sheet!$H$2:$H$3143=$A17)))"),0.0)</f>
        <v>0</v>
      </c>
      <c r="AB17" s="34">
        <f>IFERROR(__xludf.DUMMYFUNCTION("IF(ISNA(sum(filter(
Master_Mapping_Sheet!$E$2:$E$3143, ISNUMBER(
Master_Mapping_Sheet!$E$2:$E$3143),
Master_Mapping_Sheet!$C$2:$C$3143=AB$1,
Master_Mapping_Sheet!$H$2:$H$3143=$A17))/sum(filter(
Master_Mapping_Sheet!$E$2:$E$3143, ISNUMBER(
Master_Mapping_S"&amp;"heet!$E$2:$E$3143),
Master_Mapping_Sheet!$H$2:$H$3143=$A17))), 0, sum(filter(
Master_Mapping_Sheet!$E$2:$E$3143, ISNUMBER(
Master_Mapping_Sheet!$E$2:$E$3143),
Master_Mapping_Sheet!$C$2:$C$3143=AB$1,
Master_Mapping_Sheet!$H$2:$H$3143=$A17))/sum(filter(
Mas"&amp;"ter_Mapping_Sheet!$E$2:$E$3143, ISNUMBER(
Master_Mapping_Sheet!$E$2:$E$3143),
Master_Mapping_Sheet!$H$2:$H$3143=$A17)))"),0.0)</f>
        <v>0</v>
      </c>
      <c r="AC17" s="34">
        <f>IFERROR(__xludf.DUMMYFUNCTION("IF(ISNA(sum(filter(
Master_Mapping_Sheet!$E$2:$E$3143, ISNUMBER(
Master_Mapping_Sheet!$E$2:$E$3143),
Master_Mapping_Sheet!$C$2:$C$3143=AC$1,
Master_Mapping_Sheet!$H$2:$H$3143=$A17))/sum(filter(
Master_Mapping_Sheet!$E$2:$E$3143, ISNUMBER(
Master_Mapping_S"&amp;"heet!$E$2:$E$3143),
Master_Mapping_Sheet!$H$2:$H$3143=$A17))), 0, sum(filter(
Master_Mapping_Sheet!$E$2:$E$3143, ISNUMBER(
Master_Mapping_Sheet!$E$2:$E$3143),
Master_Mapping_Sheet!$C$2:$C$3143=AC$1,
Master_Mapping_Sheet!$H$2:$H$3143=$A17))/sum(filter(
Mas"&amp;"ter_Mapping_Sheet!$E$2:$E$3143, ISNUMBER(
Master_Mapping_Sheet!$E$2:$E$3143),
Master_Mapping_Sheet!$H$2:$H$3143=$A17)))"),0.0)</f>
        <v>0</v>
      </c>
      <c r="AD17" s="34">
        <f>IFERROR(__xludf.DUMMYFUNCTION("IF(ISNA(sum(filter(
Master_Mapping_Sheet!$E$2:$E$3143, ISNUMBER(
Master_Mapping_Sheet!$E$2:$E$3143),
Master_Mapping_Sheet!$C$2:$C$3143=AD$1,
Master_Mapping_Sheet!$H$2:$H$3143=$A17))/sum(filter(
Master_Mapping_Sheet!$E$2:$E$3143, ISNUMBER(
Master_Mapping_S"&amp;"heet!$E$2:$E$3143),
Master_Mapping_Sheet!$H$2:$H$3143=$A17))), 0, sum(filter(
Master_Mapping_Sheet!$E$2:$E$3143, ISNUMBER(
Master_Mapping_Sheet!$E$2:$E$3143),
Master_Mapping_Sheet!$C$2:$C$3143=AD$1,
Master_Mapping_Sheet!$H$2:$H$3143=$A17))/sum(filter(
Mas"&amp;"ter_Mapping_Sheet!$E$2:$E$3143, ISNUMBER(
Master_Mapping_Sheet!$E$2:$E$3143),
Master_Mapping_Sheet!$H$2:$H$3143=$A17)))"),0.0)</f>
        <v>0</v>
      </c>
      <c r="AE17" s="34">
        <f>IFERROR(__xludf.DUMMYFUNCTION("IF(ISNA(sum(filter(
Master_Mapping_Sheet!$E$2:$E$3143, ISNUMBER(
Master_Mapping_Sheet!$E$2:$E$3143),
Master_Mapping_Sheet!$C$2:$C$3143=AE$1,
Master_Mapping_Sheet!$H$2:$H$3143=$A17))/sum(filter(
Master_Mapping_Sheet!$E$2:$E$3143, ISNUMBER(
Master_Mapping_S"&amp;"heet!$E$2:$E$3143),
Master_Mapping_Sheet!$H$2:$H$3143=$A17))), 0, sum(filter(
Master_Mapping_Sheet!$E$2:$E$3143, ISNUMBER(
Master_Mapping_Sheet!$E$2:$E$3143),
Master_Mapping_Sheet!$C$2:$C$3143=AE$1,
Master_Mapping_Sheet!$H$2:$H$3143=$A17))/sum(filter(
Mas"&amp;"ter_Mapping_Sheet!$E$2:$E$3143, ISNUMBER(
Master_Mapping_Sheet!$E$2:$E$3143),
Master_Mapping_Sheet!$H$2:$H$3143=$A17)))"),0.0)</f>
        <v>0</v>
      </c>
      <c r="AF17" s="34">
        <f>IFERROR(__xludf.DUMMYFUNCTION("IF(ISNA(sum(filter(
Master_Mapping_Sheet!$E$2:$E$3143, ISNUMBER(
Master_Mapping_Sheet!$E$2:$E$3143),
Master_Mapping_Sheet!$C$2:$C$3143=AF$1,
Master_Mapping_Sheet!$H$2:$H$3143=$A17))/sum(filter(
Master_Mapping_Sheet!$E$2:$E$3143, ISNUMBER(
Master_Mapping_S"&amp;"heet!$E$2:$E$3143),
Master_Mapping_Sheet!$H$2:$H$3143=$A17))), 0, sum(filter(
Master_Mapping_Sheet!$E$2:$E$3143, ISNUMBER(
Master_Mapping_Sheet!$E$2:$E$3143),
Master_Mapping_Sheet!$C$2:$C$3143=AF$1,
Master_Mapping_Sheet!$H$2:$H$3143=$A17))/sum(filter(
Mas"&amp;"ter_Mapping_Sheet!$E$2:$E$3143, ISNUMBER(
Master_Mapping_Sheet!$E$2:$E$3143),
Master_Mapping_Sheet!$H$2:$H$3143=$A17)))"),0.0)</f>
        <v>0</v>
      </c>
      <c r="AG17" s="34">
        <f>IFERROR(__xludf.DUMMYFUNCTION("IF(ISNA(sum(filter(
Master_Mapping_Sheet!$E$2:$E$3143, ISNUMBER(
Master_Mapping_Sheet!$E$2:$E$3143),
Master_Mapping_Sheet!$C$2:$C$3143=AG$1,
Master_Mapping_Sheet!$H$2:$H$3143=$A17))/sum(filter(
Master_Mapping_Sheet!$E$2:$E$3143, ISNUMBER(
Master_Mapping_S"&amp;"heet!$E$2:$E$3143),
Master_Mapping_Sheet!$H$2:$H$3143=$A17))), 0, sum(filter(
Master_Mapping_Sheet!$E$2:$E$3143, ISNUMBER(
Master_Mapping_Sheet!$E$2:$E$3143),
Master_Mapping_Sheet!$C$2:$C$3143=AG$1,
Master_Mapping_Sheet!$H$2:$H$3143=$A17))/sum(filter(
Mas"&amp;"ter_Mapping_Sheet!$E$2:$E$3143, ISNUMBER(
Master_Mapping_Sheet!$E$2:$E$3143),
Master_Mapping_Sheet!$H$2:$H$3143=$A17)))"),0.0)</f>
        <v>0</v>
      </c>
      <c r="AH17" s="34">
        <f>IFERROR(__xludf.DUMMYFUNCTION("IF(ISNA(sum(filter(
Master_Mapping_Sheet!$E$2:$E$3143, ISNUMBER(
Master_Mapping_Sheet!$E$2:$E$3143),
Master_Mapping_Sheet!$C$2:$C$3143=AH$1,
Master_Mapping_Sheet!$H$2:$H$3143=$A17))/sum(filter(
Master_Mapping_Sheet!$E$2:$E$3143, ISNUMBER(
Master_Mapping_S"&amp;"heet!$E$2:$E$3143),
Master_Mapping_Sheet!$H$2:$H$3143=$A17))), 0, sum(filter(
Master_Mapping_Sheet!$E$2:$E$3143, ISNUMBER(
Master_Mapping_Sheet!$E$2:$E$3143),
Master_Mapping_Sheet!$C$2:$C$3143=AH$1,
Master_Mapping_Sheet!$H$2:$H$3143=$A17))/sum(filter(
Mas"&amp;"ter_Mapping_Sheet!$E$2:$E$3143, ISNUMBER(
Master_Mapping_Sheet!$E$2:$E$3143),
Master_Mapping_Sheet!$H$2:$H$3143=$A17)))"),0.0)</f>
        <v>0</v>
      </c>
      <c r="AI17" s="34">
        <f>IFERROR(__xludf.DUMMYFUNCTION("IF(ISNA(sum(filter(
Master_Mapping_Sheet!$E$2:$E$3143, ISNUMBER(
Master_Mapping_Sheet!$E$2:$E$3143),
Master_Mapping_Sheet!$C$2:$C$3143=AI$1,
Master_Mapping_Sheet!$H$2:$H$3143=$A17))/sum(filter(
Master_Mapping_Sheet!$E$2:$E$3143, ISNUMBER(
Master_Mapping_S"&amp;"heet!$E$2:$E$3143),
Master_Mapping_Sheet!$H$2:$H$3143=$A17))), 0, sum(filter(
Master_Mapping_Sheet!$E$2:$E$3143, ISNUMBER(
Master_Mapping_Sheet!$E$2:$E$3143),
Master_Mapping_Sheet!$C$2:$C$3143=AI$1,
Master_Mapping_Sheet!$H$2:$H$3143=$A17))/sum(filter(
Mas"&amp;"ter_Mapping_Sheet!$E$2:$E$3143, ISNUMBER(
Master_Mapping_Sheet!$E$2:$E$3143),
Master_Mapping_Sheet!$H$2:$H$3143=$A17)))"),0.0)</f>
        <v>0</v>
      </c>
      <c r="AJ17" s="34">
        <f>IFERROR(__xludf.DUMMYFUNCTION("IF(ISNA(sum(filter(
Master_Mapping_Sheet!$E$2:$E$3143, ISNUMBER(
Master_Mapping_Sheet!$E$2:$E$3143),
Master_Mapping_Sheet!$C$2:$C$3143=AJ$1,
Master_Mapping_Sheet!$H$2:$H$3143=$A17))/sum(filter(
Master_Mapping_Sheet!$E$2:$E$3143, ISNUMBER(
Master_Mapping_S"&amp;"heet!$E$2:$E$3143),
Master_Mapping_Sheet!$H$2:$H$3143=$A17))), 0, sum(filter(
Master_Mapping_Sheet!$E$2:$E$3143, ISNUMBER(
Master_Mapping_Sheet!$E$2:$E$3143),
Master_Mapping_Sheet!$C$2:$C$3143=AJ$1,
Master_Mapping_Sheet!$H$2:$H$3143=$A17))/sum(filter(
Mas"&amp;"ter_Mapping_Sheet!$E$2:$E$3143, ISNUMBER(
Master_Mapping_Sheet!$E$2:$E$3143),
Master_Mapping_Sheet!$H$2:$H$3143=$A17)))"),0.0)</f>
        <v>0</v>
      </c>
      <c r="AK17" s="34">
        <f>IFERROR(__xludf.DUMMYFUNCTION("IF(ISNA(sum(filter(
Master_Mapping_Sheet!$E$2:$E$3143, ISNUMBER(
Master_Mapping_Sheet!$E$2:$E$3143),
Master_Mapping_Sheet!$C$2:$C$3143=AK$1,
Master_Mapping_Sheet!$H$2:$H$3143=$A17))/sum(filter(
Master_Mapping_Sheet!$E$2:$E$3143, ISNUMBER(
Master_Mapping_S"&amp;"heet!$E$2:$E$3143),
Master_Mapping_Sheet!$H$2:$H$3143=$A17))), 0, sum(filter(
Master_Mapping_Sheet!$E$2:$E$3143, ISNUMBER(
Master_Mapping_Sheet!$E$2:$E$3143),
Master_Mapping_Sheet!$C$2:$C$3143=AK$1,
Master_Mapping_Sheet!$H$2:$H$3143=$A17))/sum(filter(
Mas"&amp;"ter_Mapping_Sheet!$E$2:$E$3143, ISNUMBER(
Master_Mapping_Sheet!$E$2:$E$3143),
Master_Mapping_Sheet!$H$2:$H$3143=$A17)))"),0.0)</f>
        <v>0</v>
      </c>
      <c r="AL17" s="34">
        <f>IFERROR(__xludf.DUMMYFUNCTION("IF(ISNA(sum(filter(
Master_Mapping_Sheet!$E$2:$E$3143, ISNUMBER(
Master_Mapping_Sheet!$E$2:$E$3143),
Master_Mapping_Sheet!$C$2:$C$3143=AL$1,
Master_Mapping_Sheet!$H$2:$H$3143=$A17))/sum(filter(
Master_Mapping_Sheet!$E$2:$E$3143, ISNUMBER(
Master_Mapping_S"&amp;"heet!$E$2:$E$3143),
Master_Mapping_Sheet!$H$2:$H$3143=$A17))), 0, sum(filter(
Master_Mapping_Sheet!$E$2:$E$3143, ISNUMBER(
Master_Mapping_Sheet!$E$2:$E$3143),
Master_Mapping_Sheet!$C$2:$C$3143=AL$1,
Master_Mapping_Sheet!$H$2:$H$3143=$A17))/sum(filter(
Mas"&amp;"ter_Mapping_Sheet!$E$2:$E$3143, ISNUMBER(
Master_Mapping_Sheet!$E$2:$E$3143),
Master_Mapping_Sheet!$H$2:$H$3143=$A17)))"),0.0)</f>
        <v>0</v>
      </c>
      <c r="AM17" s="34">
        <f>IFERROR(__xludf.DUMMYFUNCTION("IF(ISNA(sum(filter(
Master_Mapping_Sheet!$E$2:$E$3143, ISNUMBER(
Master_Mapping_Sheet!$E$2:$E$3143),
Master_Mapping_Sheet!$C$2:$C$3143=AM$1,
Master_Mapping_Sheet!$H$2:$H$3143=$A17))/sum(filter(
Master_Mapping_Sheet!$E$2:$E$3143, ISNUMBER(
Master_Mapping_S"&amp;"heet!$E$2:$E$3143),
Master_Mapping_Sheet!$H$2:$H$3143=$A17))), 0, sum(filter(
Master_Mapping_Sheet!$E$2:$E$3143, ISNUMBER(
Master_Mapping_Sheet!$E$2:$E$3143),
Master_Mapping_Sheet!$C$2:$C$3143=AM$1,
Master_Mapping_Sheet!$H$2:$H$3143=$A17))/sum(filter(
Mas"&amp;"ter_Mapping_Sheet!$E$2:$E$3143, ISNUMBER(
Master_Mapping_Sheet!$E$2:$E$3143),
Master_Mapping_Sheet!$H$2:$H$3143=$A17)))"),0.0)</f>
        <v>0</v>
      </c>
      <c r="AN17" s="34">
        <f>IFERROR(__xludf.DUMMYFUNCTION("IF(ISNA(sum(filter(
Master_Mapping_Sheet!$E$2:$E$3143, ISNUMBER(
Master_Mapping_Sheet!$E$2:$E$3143),
Master_Mapping_Sheet!$C$2:$C$3143=AN$1,
Master_Mapping_Sheet!$H$2:$H$3143=$A17))/sum(filter(
Master_Mapping_Sheet!$E$2:$E$3143, ISNUMBER(
Master_Mapping_S"&amp;"heet!$E$2:$E$3143),
Master_Mapping_Sheet!$H$2:$H$3143=$A17))), 0, sum(filter(
Master_Mapping_Sheet!$E$2:$E$3143, ISNUMBER(
Master_Mapping_Sheet!$E$2:$E$3143),
Master_Mapping_Sheet!$C$2:$C$3143=AN$1,
Master_Mapping_Sheet!$H$2:$H$3143=$A17))/sum(filter(
Mas"&amp;"ter_Mapping_Sheet!$E$2:$E$3143, ISNUMBER(
Master_Mapping_Sheet!$E$2:$E$3143),
Master_Mapping_Sheet!$H$2:$H$3143=$A17)))"),0.0)</f>
        <v>0</v>
      </c>
      <c r="AO17" s="34">
        <f>IFERROR(__xludf.DUMMYFUNCTION("IF(ISNA(sum(filter(
Master_Mapping_Sheet!$E$2:$E$3143, ISNUMBER(
Master_Mapping_Sheet!$E$2:$E$3143),
Master_Mapping_Sheet!$C$2:$C$3143=AO$1,
Master_Mapping_Sheet!$H$2:$H$3143=$A17))/sum(filter(
Master_Mapping_Sheet!$E$2:$E$3143, ISNUMBER(
Master_Mapping_S"&amp;"heet!$E$2:$E$3143),
Master_Mapping_Sheet!$H$2:$H$3143=$A17))), 0, sum(filter(
Master_Mapping_Sheet!$E$2:$E$3143, ISNUMBER(
Master_Mapping_Sheet!$E$2:$E$3143),
Master_Mapping_Sheet!$C$2:$C$3143=AO$1,
Master_Mapping_Sheet!$H$2:$H$3143=$A17))/sum(filter(
Mas"&amp;"ter_Mapping_Sheet!$E$2:$E$3143, ISNUMBER(
Master_Mapping_Sheet!$E$2:$E$3143),
Master_Mapping_Sheet!$H$2:$H$3143=$A17)))"),0.0)</f>
        <v>0</v>
      </c>
      <c r="AP17" s="34">
        <f>IFERROR(__xludf.DUMMYFUNCTION("IF(ISNA(sum(filter(
Master_Mapping_Sheet!$E$2:$E$3143, ISNUMBER(
Master_Mapping_Sheet!$E$2:$E$3143),
Master_Mapping_Sheet!$C$2:$C$3143=AP$1,
Master_Mapping_Sheet!$H$2:$H$3143=$A17))/sum(filter(
Master_Mapping_Sheet!$E$2:$E$3143, ISNUMBER(
Master_Mapping_S"&amp;"heet!$E$2:$E$3143),
Master_Mapping_Sheet!$H$2:$H$3143=$A17))), 0, sum(filter(
Master_Mapping_Sheet!$E$2:$E$3143, ISNUMBER(
Master_Mapping_Sheet!$E$2:$E$3143),
Master_Mapping_Sheet!$C$2:$C$3143=AP$1,
Master_Mapping_Sheet!$H$2:$H$3143=$A17))/sum(filter(
Mas"&amp;"ter_Mapping_Sheet!$E$2:$E$3143, ISNUMBER(
Master_Mapping_Sheet!$E$2:$E$3143),
Master_Mapping_Sheet!$H$2:$H$3143=$A17)))"),0.0)</f>
        <v>0</v>
      </c>
      <c r="AQ17" s="34">
        <f>IFERROR(__xludf.DUMMYFUNCTION("IF(ISNA(sum(filter(
Master_Mapping_Sheet!$E$2:$E$3143, ISNUMBER(
Master_Mapping_Sheet!$E$2:$E$3143),
Master_Mapping_Sheet!$C$2:$C$3143=AQ$1,
Master_Mapping_Sheet!$H$2:$H$3143=$A17))/sum(filter(
Master_Mapping_Sheet!$E$2:$E$3143, ISNUMBER(
Master_Mapping_S"&amp;"heet!$E$2:$E$3143),
Master_Mapping_Sheet!$H$2:$H$3143=$A17))), 0, sum(filter(
Master_Mapping_Sheet!$E$2:$E$3143, ISNUMBER(
Master_Mapping_Sheet!$E$2:$E$3143),
Master_Mapping_Sheet!$C$2:$C$3143=AQ$1,
Master_Mapping_Sheet!$H$2:$H$3143=$A17))/sum(filter(
Mas"&amp;"ter_Mapping_Sheet!$E$2:$E$3143, ISNUMBER(
Master_Mapping_Sheet!$E$2:$E$3143),
Master_Mapping_Sheet!$H$2:$H$3143=$A17)))"),0.0)</f>
        <v>0</v>
      </c>
      <c r="AR17" s="34">
        <f>IFERROR(__xludf.DUMMYFUNCTION("IF(ISNA(sum(filter(
Master_Mapping_Sheet!$E$2:$E$3143, ISNUMBER(
Master_Mapping_Sheet!$E$2:$E$3143),
Master_Mapping_Sheet!$C$2:$C$3143=AR$1,
Master_Mapping_Sheet!$H$2:$H$3143=$A17))/sum(filter(
Master_Mapping_Sheet!$E$2:$E$3143, ISNUMBER(
Master_Mapping_S"&amp;"heet!$E$2:$E$3143),
Master_Mapping_Sheet!$H$2:$H$3143=$A17))), 0, sum(filter(
Master_Mapping_Sheet!$E$2:$E$3143, ISNUMBER(
Master_Mapping_Sheet!$E$2:$E$3143),
Master_Mapping_Sheet!$C$2:$C$3143=AR$1,
Master_Mapping_Sheet!$H$2:$H$3143=$A17))/sum(filter(
Mas"&amp;"ter_Mapping_Sheet!$E$2:$E$3143, ISNUMBER(
Master_Mapping_Sheet!$E$2:$E$3143),
Master_Mapping_Sheet!$H$2:$H$3143=$A17)))"),0.5569486217717894)</f>
        <v>0.5569486218</v>
      </c>
      <c r="AS17" s="34">
        <f>IFERROR(__xludf.DUMMYFUNCTION("IF(ISNA(sum(filter(
Master_Mapping_Sheet!$E$2:$E$3143, ISNUMBER(
Master_Mapping_Sheet!$E$2:$E$3143),
Master_Mapping_Sheet!$C$2:$C$3143=AS$1,
Master_Mapping_Sheet!$H$2:$H$3143=$A17))/sum(filter(
Master_Mapping_Sheet!$E$2:$E$3143, ISNUMBER(
Master_Mapping_S"&amp;"heet!$E$2:$E$3143),
Master_Mapping_Sheet!$H$2:$H$3143=$A17))), 0, sum(filter(
Master_Mapping_Sheet!$E$2:$E$3143, ISNUMBER(
Master_Mapping_Sheet!$E$2:$E$3143),
Master_Mapping_Sheet!$C$2:$C$3143=AS$1,
Master_Mapping_Sheet!$H$2:$H$3143=$A17))/sum(filter(
Mas"&amp;"ter_Mapping_Sheet!$E$2:$E$3143, ISNUMBER(
Master_Mapping_Sheet!$E$2:$E$3143),
Master_Mapping_Sheet!$H$2:$H$3143=$A17)))"),0.0)</f>
        <v>0</v>
      </c>
      <c r="AT17" s="34">
        <f>IFERROR(__xludf.DUMMYFUNCTION("IF(ISNA(sum(filter(
Master_Mapping_Sheet!$E$2:$E$3143, ISNUMBER(
Master_Mapping_Sheet!$E$2:$E$3143),
Master_Mapping_Sheet!$C$2:$C$3143=AT$1,
Master_Mapping_Sheet!$H$2:$H$3143=$A17))/sum(filter(
Master_Mapping_Sheet!$E$2:$E$3143, ISNUMBER(
Master_Mapping_S"&amp;"heet!$E$2:$E$3143),
Master_Mapping_Sheet!$H$2:$H$3143=$A17))), 0, sum(filter(
Master_Mapping_Sheet!$E$2:$E$3143, ISNUMBER(
Master_Mapping_Sheet!$E$2:$E$3143),
Master_Mapping_Sheet!$C$2:$C$3143=AT$1,
Master_Mapping_Sheet!$H$2:$H$3143=$A17))/sum(filter(
Mas"&amp;"ter_Mapping_Sheet!$E$2:$E$3143, ISNUMBER(
Master_Mapping_Sheet!$E$2:$E$3143),
Master_Mapping_Sheet!$H$2:$H$3143=$A17)))"),0.0)</f>
        <v>0</v>
      </c>
      <c r="AU17" s="34">
        <f>IFERROR(__xludf.DUMMYFUNCTION("IF(ISNA(sum(filter(
Master_Mapping_Sheet!$E$2:$E$3143, ISNUMBER(
Master_Mapping_Sheet!$E$2:$E$3143),
Master_Mapping_Sheet!$C$2:$C$3143=AU$1,
Master_Mapping_Sheet!$H$2:$H$3143=$A17))/sum(filter(
Master_Mapping_Sheet!$E$2:$E$3143, ISNUMBER(
Master_Mapping_S"&amp;"heet!$E$2:$E$3143),
Master_Mapping_Sheet!$H$2:$H$3143=$A17))), 0, sum(filter(
Master_Mapping_Sheet!$E$2:$E$3143, ISNUMBER(
Master_Mapping_Sheet!$E$2:$E$3143),
Master_Mapping_Sheet!$C$2:$C$3143=AU$1,
Master_Mapping_Sheet!$H$2:$H$3143=$A17))/sum(filter(
Mas"&amp;"ter_Mapping_Sheet!$E$2:$E$3143, ISNUMBER(
Master_Mapping_Sheet!$E$2:$E$3143),
Master_Mapping_Sheet!$H$2:$H$3143=$A17)))"),0.0)</f>
        <v>0</v>
      </c>
      <c r="AV17" s="34">
        <f>IFERROR(__xludf.DUMMYFUNCTION("IF(ISNA(sum(filter(
Master_Mapping_Sheet!$E$2:$E$3143, ISNUMBER(
Master_Mapping_Sheet!$E$2:$E$3143),
Master_Mapping_Sheet!$C$2:$C$3143=AV$1,
Master_Mapping_Sheet!$H$2:$H$3143=$A17))/sum(filter(
Master_Mapping_Sheet!$E$2:$E$3143, ISNUMBER(
Master_Mapping_S"&amp;"heet!$E$2:$E$3143),
Master_Mapping_Sheet!$H$2:$H$3143=$A17))), 0, sum(filter(
Master_Mapping_Sheet!$E$2:$E$3143, ISNUMBER(
Master_Mapping_Sheet!$E$2:$E$3143),
Master_Mapping_Sheet!$C$2:$C$3143=AV$1,
Master_Mapping_Sheet!$H$2:$H$3143=$A17))/sum(filter(
Mas"&amp;"ter_Mapping_Sheet!$E$2:$E$3143, ISNUMBER(
Master_Mapping_Sheet!$E$2:$E$3143),
Master_Mapping_Sheet!$H$2:$H$3143=$A17)))"),0.007709762617525797)</f>
        <v>0.007709762618</v>
      </c>
      <c r="AW17" s="34">
        <f>IFERROR(__xludf.DUMMYFUNCTION("IF(ISNA(sum(filter(
Master_Mapping_Sheet!$E$2:$E$3143, ISNUMBER(
Master_Mapping_Sheet!$E$2:$E$3143),
Master_Mapping_Sheet!$C$2:$C$3143=AW$1,
Master_Mapping_Sheet!$H$2:$H$3143=$A17))/sum(filter(
Master_Mapping_Sheet!$E$2:$E$3143, ISNUMBER(
Master_Mapping_S"&amp;"heet!$E$2:$E$3143),
Master_Mapping_Sheet!$H$2:$H$3143=$A17))), 0, sum(filter(
Master_Mapping_Sheet!$E$2:$E$3143, ISNUMBER(
Master_Mapping_Sheet!$E$2:$E$3143),
Master_Mapping_Sheet!$C$2:$C$3143=AW$1,
Master_Mapping_Sheet!$H$2:$H$3143=$A17))/sum(filter(
Mas"&amp;"ter_Mapping_Sheet!$E$2:$E$3143, ISNUMBER(
Master_Mapping_Sheet!$E$2:$E$3143),
Master_Mapping_Sheet!$H$2:$H$3143=$A17)))"),0.0)</f>
        <v>0</v>
      </c>
      <c r="AX17" s="34">
        <f>IFERROR(__xludf.DUMMYFUNCTION("IF(ISNA(sum(filter(
Master_Mapping_Sheet!$E$2:$E$3143, ISNUMBER(
Master_Mapping_Sheet!$E$2:$E$3143),
Master_Mapping_Sheet!$C$2:$C$3143=AX$1,
Master_Mapping_Sheet!$H$2:$H$3143=$A17))/sum(filter(
Master_Mapping_Sheet!$E$2:$E$3143, ISNUMBER(
Master_Mapping_S"&amp;"heet!$E$2:$E$3143),
Master_Mapping_Sheet!$H$2:$H$3143=$A17))), 0, sum(filter(
Master_Mapping_Sheet!$E$2:$E$3143, ISNUMBER(
Master_Mapping_Sheet!$E$2:$E$3143),
Master_Mapping_Sheet!$C$2:$C$3143=AX$1,
Master_Mapping_Sheet!$H$2:$H$3143=$A17))/sum(filter(
Mas"&amp;"ter_Mapping_Sheet!$E$2:$E$3143, ISNUMBER(
Master_Mapping_Sheet!$E$2:$E$3143),
Master_Mapping_Sheet!$H$2:$H$3143=$A17)))"),0.0)</f>
        <v>0</v>
      </c>
      <c r="AY17" s="34">
        <f>IFERROR(__xludf.DUMMYFUNCTION("IF(ISNA(sum(filter(
Master_Mapping_Sheet!$E$2:$E$3143, ISNUMBER(
Master_Mapping_Sheet!$E$2:$E$3143),
Master_Mapping_Sheet!$C$2:$C$3143=AY$1,
Master_Mapping_Sheet!$H$2:$H$3143=$A17))/sum(filter(
Master_Mapping_Sheet!$E$2:$E$3143, ISNUMBER(
Master_Mapping_S"&amp;"heet!$E$2:$E$3143),
Master_Mapping_Sheet!$H$2:$H$3143=$A17))), 0, sum(filter(
Master_Mapping_Sheet!$E$2:$E$3143, ISNUMBER(
Master_Mapping_Sheet!$E$2:$E$3143),
Master_Mapping_Sheet!$C$2:$C$3143=AY$1,
Master_Mapping_Sheet!$H$2:$H$3143=$A17))/sum(filter(
Mas"&amp;"ter_Mapping_Sheet!$E$2:$E$3143, ISNUMBER(
Master_Mapping_Sheet!$E$2:$E$3143),
Master_Mapping_Sheet!$H$2:$H$3143=$A17)))"),0.0)</f>
        <v>0</v>
      </c>
      <c r="AZ17" s="34">
        <f>IFERROR(__xludf.DUMMYFUNCTION("IF(ISNA(sum(filter(
Master_Mapping_Sheet!$E$2:$E$3143, ISNUMBER(
Master_Mapping_Sheet!$E$2:$E$3143),
Master_Mapping_Sheet!$C$2:$C$3143=AZ$1,
Master_Mapping_Sheet!$H$2:$H$3143=$A17))/sum(filter(
Master_Mapping_Sheet!$E$2:$E$3143, ISNUMBER(
Master_Mapping_S"&amp;"heet!$E$2:$E$3143),
Master_Mapping_Sheet!$H$2:$H$3143=$A17))), 0, sum(filter(
Master_Mapping_Sheet!$E$2:$E$3143, ISNUMBER(
Master_Mapping_Sheet!$E$2:$E$3143),
Master_Mapping_Sheet!$C$2:$C$3143=AZ$1,
Master_Mapping_Sheet!$H$2:$H$3143=$A17))/sum(filter(
Mas"&amp;"ter_Mapping_Sheet!$E$2:$E$3143, ISNUMBER(
Master_Mapping_Sheet!$E$2:$E$3143),
Master_Mapping_Sheet!$H$2:$H$3143=$A17)))"),0.0)</f>
        <v>0</v>
      </c>
    </row>
    <row r="18" ht="15.75" customHeight="1">
      <c r="A18" s="34" t="s">
        <v>3976</v>
      </c>
      <c r="B18" s="34">
        <f>IFERROR(__xludf.DUMMYFUNCTION("IF(ISNA(sum(filter(
Master_Mapping_Sheet!$E$2:$E$3143, ISNUMBER(
Master_Mapping_Sheet!$E$2:$E$3143),
Master_Mapping_Sheet!$C$2:$C$3143=B$1,
Master_Mapping_Sheet!$H$2:$H$3143=$A18))/sum(filter(
Master_Mapping_Sheet!$E$2:$E$3143, ISNUMBER(
Master_Mapping_Sh"&amp;"eet!$E$2:$E$3143),
Master_Mapping_Sheet!$H$2:$H$3143=$A18))), 0, sum(filter(
Master_Mapping_Sheet!$E$2:$E$3143, ISNUMBER(
Master_Mapping_Sheet!$E$2:$E$3143),
Master_Mapping_Sheet!$C$2:$C$3143=B$1,
Master_Mapping_Sheet!$H$2:$H$3143=$A18))/sum(filter(
Maste"&amp;"r_Mapping_Sheet!$E$2:$E$3143, ISNUMBER(
Master_Mapping_Sheet!$E$2:$E$3143),
Master_Mapping_Sheet!$H$2:$H$3143=$A18)))"),0.0)</f>
        <v>0</v>
      </c>
      <c r="C18" s="34">
        <f>IFERROR(__xludf.DUMMYFUNCTION("IF(ISNA(sum(filter(
Master_Mapping_Sheet!$E$2:$E$3143, ISNUMBER(
Master_Mapping_Sheet!$E$2:$E$3143),
Master_Mapping_Sheet!$C$2:$C$3143=C$1,
Master_Mapping_Sheet!$H$2:$H$3143=$A18))/sum(filter(
Master_Mapping_Sheet!$E$2:$E$3143, ISNUMBER(
Master_Mapping_Sh"&amp;"eet!$E$2:$E$3143),
Master_Mapping_Sheet!$H$2:$H$3143=$A18))), 0, sum(filter(
Master_Mapping_Sheet!$E$2:$E$3143, ISNUMBER(
Master_Mapping_Sheet!$E$2:$E$3143),
Master_Mapping_Sheet!$C$2:$C$3143=C$1,
Master_Mapping_Sheet!$H$2:$H$3143=$A18))/sum(filter(
Maste"&amp;"r_Mapping_Sheet!$E$2:$E$3143, ISNUMBER(
Master_Mapping_Sheet!$E$2:$E$3143),
Master_Mapping_Sheet!$H$2:$H$3143=$A18)))"),0.0)</f>
        <v>0</v>
      </c>
      <c r="D18" s="34">
        <f>IFERROR(__xludf.DUMMYFUNCTION("IF(ISNA(sum(filter(
Master_Mapping_Sheet!$E$2:$E$3143, ISNUMBER(
Master_Mapping_Sheet!$E$2:$E$3143),
Master_Mapping_Sheet!$C$2:$C$3143=D$1,
Master_Mapping_Sheet!$H$2:$H$3143=$A18))/sum(filter(
Master_Mapping_Sheet!$E$2:$E$3143, ISNUMBER(
Master_Mapping_Sh"&amp;"eet!$E$2:$E$3143),
Master_Mapping_Sheet!$H$2:$H$3143=$A18))), 0, sum(filter(
Master_Mapping_Sheet!$E$2:$E$3143, ISNUMBER(
Master_Mapping_Sheet!$E$2:$E$3143),
Master_Mapping_Sheet!$C$2:$C$3143=D$1,
Master_Mapping_Sheet!$H$2:$H$3143=$A18))/sum(filter(
Maste"&amp;"r_Mapping_Sheet!$E$2:$E$3143, ISNUMBER(
Master_Mapping_Sheet!$E$2:$E$3143),
Master_Mapping_Sheet!$H$2:$H$3143=$A18)))"),0.0)</f>
        <v>0</v>
      </c>
      <c r="E18" s="34">
        <f>IFERROR(__xludf.DUMMYFUNCTION("IF(ISNA(sum(filter(
Master_Mapping_Sheet!$E$2:$E$3143, ISNUMBER(
Master_Mapping_Sheet!$E$2:$E$3143),
Master_Mapping_Sheet!$C$2:$C$3143=E$1,
Master_Mapping_Sheet!$H$2:$H$3143=$A18))/sum(filter(
Master_Mapping_Sheet!$E$2:$E$3143, ISNUMBER(
Master_Mapping_Sh"&amp;"eet!$E$2:$E$3143),
Master_Mapping_Sheet!$H$2:$H$3143=$A18))), 0, sum(filter(
Master_Mapping_Sheet!$E$2:$E$3143, ISNUMBER(
Master_Mapping_Sheet!$E$2:$E$3143),
Master_Mapping_Sheet!$C$2:$C$3143=E$1,
Master_Mapping_Sheet!$H$2:$H$3143=$A18))/sum(filter(
Maste"&amp;"r_Mapping_Sheet!$E$2:$E$3143, ISNUMBER(
Master_Mapping_Sheet!$E$2:$E$3143),
Master_Mapping_Sheet!$H$2:$H$3143=$A18)))"),0.13735993068333383)</f>
        <v>0.1373599307</v>
      </c>
      <c r="F18" s="34">
        <f>IFERROR(__xludf.DUMMYFUNCTION("IF(ISNA(sum(filter(
Master_Mapping_Sheet!$E$2:$E$3143, ISNUMBER(
Master_Mapping_Sheet!$E$2:$E$3143),
Master_Mapping_Sheet!$C$2:$C$3143=F$1,
Master_Mapping_Sheet!$H$2:$H$3143=$A18))/sum(filter(
Master_Mapping_Sheet!$E$2:$E$3143, ISNUMBER(
Master_Mapping_Sh"&amp;"eet!$E$2:$E$3143),
Master_Mapping_Sheet!$H$2:$H$3143=$A18))), 0, sum(filter(
Master_Mapping_Sheet!$E$2:$E$3143, ISNUMBER(
Master_Mapping_Sheet!$E$2:$E$3143),
Master_Mapping_Sheet!$C$2:$C$3143=F$1,
Master_Mapping_Sheet!$H$2:$H$3143=$A18))/sum(filter(
Maste"&amp;"r_Mapping_Sheet!$E$2:$E$3143, ISNUMBER(
Master_Mapping_Sheet!$E$2:$E$3143),
Master_Mapping_Sheet!$H$2:$H$3143=$A18)))"),0.0)</f>
        <v>0</v>
      </c>
      <c r="G18" s="34">
        <f>IFERROR(__xludf.DUMMYFUNCTION("IF(ISNA(sum(filter(
Master_Mapping_Sheet!$E$2:$E$3143, ISNUMBER(
Master_Mapping_Sheet!$E$2:$E$3143),
Master_Mapping_Sheet!$C$2:$C$3143=G$1,
Master_Mapping_Sheet!$H$2:$H$3143=$A18))/sum(filter(
Master_Mapping_Sheet!$E$2:$E$3143, ISNUMBER(
Master_Mapping_Sh"&amp;"eet!$E$2:$E$3143),
Master_Mapping_Sheet!$H$2:$H$3143=$A18))), 0, sum(filter(
Master_Mapping_Sheet!$E$2:$E$3143, ISNUMBER(
Master_Mapping_Sheet!$E$2:$E$3143),
Master_Mapping_Sheet!$C$2:$C$3143=G$1,
Master_Mapping_Sheet!$H$2:$H$3143=$A18))/sum(filter(
Maste"&amp;"r_Mapping_Sheet!$E$2:$E$3143, ISNUMBER(
Master_Mapping_Sheet!$E$2:$E$3143),
Master_Mapping_Sheet!$H$2:$H$3143=$A18)))"),0.0)</f>
        <v>0</v>
      </c>
      <c r="H18" s="34">
        <f>IFERROR(__xludf.DUMMYFUNCTION("IF(ISNA(sum(filter(
Master_Mapping_Sheet!$E$2:$E$3143, ISNUMBER(
Master_Mapping_Sheet!$E$2:$E$3143),
Master_Mapping_Sheet!$C$2:$C$3143=H$1,
Master_Mapping_Sheet!$H$2:$H$3143=$A18))/sum(filter(
Master_Mapping_Sheet!$E$2:$E$3143, ISNUMBER(
Master_Mapping_Sh"&amp;"eet!$E$2:$E$3143),
Master_Mapping_Sheet!$H$2:$H$3143=$A18))), 0, sum(filter(
Master_Mapping_Sheet!$E$2:$E$3143, ISNUMBER(
Master_Mapping_Sheet!$E$2:$E$3143),
Master_Mapping_Sheet!$C$2:$C$3143=H$1,
Master_Mapping_Sheet!$H$2:$H$3143=$A18))/sum(filter(
Maste"&amp;"r_Mapping_Sheet!$E$2:$E$3143, ISNUMBER(
Master_Mapping_Sheet!$E$2:$E$3143),
Master_Mapping_Sheet!$H$2:$H$3143=$A18)))"),0.0)</f>
        <v>0</v>
      </c>
      <c r="I18" s="34">
        <f>IFERROR(__xludf.DUMMYFUNCTION("IF(ISNA(sum(filter(
Master_Mapping_Sheet!$E$2:$E$3143, ISNUMBER(
Master_Mapping_Sheet!$E$2:$E$3143),
Master_Mapping_Sheet!$C$2:$C$3143=I$1,
Master_Mapping_Sheet!$H$2:$H$3143=$A18))/sum(filter(
Master_Mapping_Sheet!$E$2:$E$3143, ISNUMBER(
Master_Mapping_Sh"&amp;"eet!$E$2:$E$3143),
Master_Mapping_Sheet!$H$2:$H$3143=$A18))), 0, sum(filter(
Master_Mapping_Sheet!$E$2:$E$3143, ISNUMBER(
Master_Mapping_Sheet!$E$2:$E$3143),
Master_Mapping_Sheet!$C$2:$C$3143=I$1,
Master_Mapping_Sheet!$H$2:$H$3143=$A18))/sum(filter(
Maste"&amp;"r_Mapping_Sheet!$E$2:$E$3143, ISNUMBER(
Master_Mapping_Sheet!$E$2:$E$3143),
Master_Mapping_Sheet!$H$2:$H$3143=$A18)))"),0.0)</f>
        <v>0</v>
      </c>
      <c r="J18" s="34">
        <f>IFERROR(__xludf.DUMMYFUNCTION("IF(ISNA(sum(filter(
Master_Mapping_Sheet!$E$2:$E$3143, ISNUMBER(
Master_Mapping_Sheet!$E$2:$E$3143),
Master_Mapping_Sheet!$C$2:$C$3143=J$1,
Master_Mapping_Sheet!$H$2:$H$3143=$A18))/sum(filter(
Master_Mapping_Sheet!$E$2:$E$3143, ISNUMBER(
Master_Mapping_Sh"&amp;"eet!$E$2:$E$3143),
Master_Mapping_Sheet!$H$2:$H$3143=$A18))), 0, sum(filter(
Master_Mapping_Sheet!$E$2:$E$3143, ISNUMBER(
Master_Mapping_Sheet!$E$2:$E$3143),
Master_Mapping_Sheet!$C$2:$C$3143=J$1,
Master_Mapping_Sheet!$H$2:$H$3143=$A18))/sum(filter(
Maste"&amp;"r_Mapping_Sheet!$E$2:$E$3143, ISNUMBER(
Master_Mapping_Sheet!$E$2:$E$3143),
Master_Mapping_Sheet!$H$2:$H$3143=$A18)))"),0.0)</f>
        <v>0</v>
      </c>
      <c r="K18" s="34">
        <f>IFERROR(__xludf.DUMMYFUNCTION("IF(ISNA(sum(filter(
Master_Mapping_Sheet!$E$2:$E$3143, ISNUMBER(
Master_Mapping_Sheet!$E$2:$E$3143),
Master_Mapping_Sheet!$C$2:$C$3143=K$1,
Master_Mapping_Sheet!$H$2:$H$3143=$A18))/sum(filter(
Master_Mapping_Sheet!$E$2:$E$3143, ISNUMBER(
Master_Mapping_Sh"&amp;"eet!$E$2:$E$3143),
Master_Mapping_Sheet!$H$2:$H$3143=$A18))), 0, sum(filter(
Master_Mapping_Sheet!$E$2:$E$3143, ISNUMBER(
Master_Mapping_Sheet!$E$2:$E$3143),
Master_Mapping_Sheet!$C$2:$C$3143=K$1,
Master_Mapping_Sheet!$H$2:$H$3143=$A18))/sum(filter(
Maste"&amp;"r_Mapping_Sheet!$E$2:$E$3143, ISNUMBER(
Master_Mapping_Sheet!$E$2:$E$3143),
Master_Mapping_Sheet!$H$2:$H$3143=$A18)))"),0.0)</f>
        <v>0</v>
      </c>
      <c r="L18" s="34">
        <f>IFERROR(__xludf.DUMMYFUNCTION("IF(ISNA(sum(filter(
Master_Mapping_Sheet!$E$2:$E$3143, ISNUMBER(
Master_Mapping_Sheet!$E$2:$E$3143),
Master_Mapping_Sheet!$C$2:$C$3143=L$1,
Master_Mapping_Sheet!$H$2:$H$3143=$A18))/sum(filter(
Master_Mapping_Sheet!$E$2:$E$3143, ISNUMBER(
Master_Mapping_Sh"&amp;"eet!$E$2:$E$3143),
Master_Mapping_Sheet!$H$2:$H$3143=$A18))), 0, sum(filter(
Master_Mapping_Sheet!$E$2:$E$3143, ISNUMBER(
Master_Mapping_Sheet!$E$2:$E$3143),
Master_Mapping_Sheet!$C$2:$C$3143=L$1,
Master_Mapping_Sheet!$H$2:$H$3143=$A18))/sum(filter(
Maste"&amp;"r_Mapping_Sheet!$E$2:$E$3143, ISNUMBER(
Master_Mapping_Sheet!$E$2:$E$3143),
Master_Mapping_Sheet!$H$2:$H$3143=$A18)))"),0.0)</f>
        <v>0</v>
      </c>
      <c r="M18" s="34">
        <f>IFERROR(__xludf.DUMMYFUNCTION("IF(ISNA(sum(filter(
Master_Mapping_Sheet!$E$2:$E$3143, ISNUMBER(
Master_Mapping_Sheet!$E$2:$E$3143),
Master_Mapping_Sheet!$C$2:$C$3143=M$1,
Master_Mapping_Sheet!$H$2:$H$3143=$A18))/sum(filter(
Master_Mapping_Sheet!$E$2:$E$3143, ISNUMBER(
Master_Mapping_Sh"&amp;"eet!$E$2:$E$3143),
Master_Mapping_Sheet!$H$2:$H$3143=$A18))), 0, sum(filter(
Master_Mapping_Sheet!$E$2:$E$3143, ISNUMBER(
Master_Mapping_Sheet!$E$2:$E$3143),
Master_Mapping_Sheet!$C$2:$C$3143=M$1,
Master_Mapping_Sheet!$H$2:$H$3143=$A18))/sum(filter(
Maste"&amp;"r_Mapping_Sheet!$E$2:$E$3143, ISNUMBER(
Master_Mapping_Sheet!$E$2:$E$3143),
Master_Mapping_Sheet!$H$2:$H$3143=$A18)))"),0.0)</f>
        <v>0</v>
      </c>
      <c r="N18" s="34">
        <f>IFERROR(__xludf.DUMMYFUNCTION("IF(ISNA(sum(filter(
Master_Mapping_Sheet!$E$2:$E$3143, ISNUMBER(
Master_Mapping_Sheet!$E$2:$E$3143),
Master_Mapping_Sheet!$C$2:$C$3143=N$1,
Master_Mapping_Sheet!$H$2:$H$3143=$A18))/sum(filter(
Master_Mapping_Sheet!$E$2:$E$3143, ISNUMBER(
Master_Mapping_Sh"&amp;"eet!$E$2:$E$3143),
Master_Mapping_Sheet!$H$2:$H$3143=$A18))), 0, sum(filter(
Master_Mapping_Sheet!$E$2:$E$3143, ISNUMBER(
Master_Mapping_Sheet!$E$2:$E$3143),
Master_Mapping_Sheet!$C$2:$C$3143=N$1,
Master_Mapping_Sheet!$H$2:$H$3143=$A18))/sum(filter(
Maste"&amp;"r_Mapping_Sheet!$E$2:$E$3143, ISNUMBER(
Master_Mapping_Sheet!$E$2:$E$3143),
Master_Mapping_Sheet!$H$2:$H$3143=$A18)))"),0.0)</f>
        <v>0</v>
      </c>
      <c r="O18" s="34">
        <f>IFERROR(__xludf.DUMMYFUNCTION("IF(ISNA(sum(filter(
Master_Mapping_Sheet!$E$2:$E$3143, ISNUMBER(
Master_Mapping_Sheet!$E$2:$E$3143),
Master_Mapping_Sheet!$C$2:$C$3143=O$1,
Master_Mapping_Sheet!$H$2:$H$3143=$A18))/sum(filter(
Master_Mapping_Sheet!$E$2:$E$3143, ISNUMBER(
Master_Mapping_Sh"&amp;"eet!$E$2:$E$3143),
Master_Mapping_Sheet!$H$2:$H$3143=$A18))), 0, sum(filter(
Master_Mapping_Sheet!$E$2:$E$3143, ISNUMBER(
Master_Mapping_Sheet!$E$2:$E$3143),
Master_Mapping_Sheet!$C$2:$C$3143=O$1,
Master_Mapping_Sheet!$H$2:$H$3143=$A18))/sum(filter(
Maste"&amp;"r_Mapping_Sheet!$E$2:$E$3143, ISNUMBER(
Master_Mapping_Sheet!$E$2:$E$3143),
Master_Mapping_Sheet!$H$2:$H$3143=$A18)))"),0.0)</f>
        <v>0</v>
      </c>
      <c r="P18" s="34">
        <f>IFERROR(__xludf.DUMMYFUNCTION("IF(ISNA(sum(filter(
Master_Mapping_Sheet!$E$2:$E$3143, ISNUMBER(
Master_Mapping_Sheet!$E$2:$E$3143),
Master_Mapping_Sheet!$C$2:$C$3143=P$1,
Master_Mapping_Sheet!$H$2:$H$3143=$A18))/sum(filter(
Master_Mapping_Sheet!$E$2:$E$3143, ISNUMBER(
Master_Mapping_Sh"&amp;"eet!$E$2:$E$3143),
Master_Mapping_Sheet!$H$2:$H$3143=$A18))), 0, sum(filter(
Master_Mapping_Sheet!$E$2:$E$3143, ISNUMBER(
Master_Mapping_Sheet!$E$2:$E$3143),
Master_Mapping_Sheet!$C$2:$C$3143=P$1,
Master_Mapping_Sheet!$H$2:$H$3143=$A18))/sum(filter(
Maste"&amp;"r_Mapping_Sheet!$E$2:$E$3143, ISNUMBER(
Master_Mapping_Sheet!$E$2:$E$3143),
Master_Mapping_Sheet!$H$2:$H$3143=$A18)))"),0.0)</f>
        <v>0</v>
      </c>
      <c r="Q18" s="34">
        <f>IFERROR(__xludf.DUMMYFUNCTION("IF(ISNA(sum(filter(
Master_Mapping_Sheet!$E$2:$E$3143, ISNUMBER(
Master_Mapping_Sheet!$E$2:$E$3143),
Master_Mapping_Sheet!$C$2:$C$3143=Q$1,
Master_Mapping_Sheet!$H$2:$H$3143=$A18))/sum(filter(
Master_Mapping_Sheet!$E$2:$E$3143, ISNUMBER(
Master_Mapping_Sh"&amp;"eet!$E$2:$E$3143),
Master_Mapping_Sheet!$H$2:$H$3143=$A18))), 0, sum(filter(
Master_Mapping_Sheet!$E$2:$E$3143, ISNUMBER(
Master_Mapping_Sheet!$E$2:$E$3143),
Master_Mapping_Sheet!$C$2:$C$3143=Q$1,
Master_Mapping_Sheet!$H$2:$H$3143=$A18))/sum(filter(
Maste"&amp;"r_Mapping_Sheet!$E$2:$E$3143, ISNUMBER(
Master_Mapping_Sheet!$E$2:$E$3143),
Master_Mapping_Sheet!$H$2:$H$3143=$A18)))"),0.0)</f>
        <v>0</v>
      </c>
      <c r="R18" s="34">
        <f>IFERROR(__xludf.DUMMYFUNCTION("IF(ISNA(sum(filter(
Master_Mapping_Sheet!$E$2:$E$3143, ISNUMBER(
Master_Mapping_Sheet!$E$2:$E$3143),
Master_Mapping_Sheet!$C$2:$C$3143=R$1,
Master_Mapping_Sheet!$H$2:$H$3143=$A18))/sum(filter(
Master_Mapping_Sheet!$E$2:$E$3143, ISNUMBER(
Master_Mapping_Sh"&amp;"eet!$E$2:$E$3143),
Master_Mapping_Sheet!$H$2:$H$3143=$A18))), 0, sum(filter(
Master_Mapping_Sheet!$E$2:$E$3143, ISNUMBER(
Master_Mapping_Sheet!$E$2:$E$3143),
Master_Mapping_Sheet!$C$2:$C$3143=R$1,
Master_Mapping_Sheet!$H$2:$H$3143=$A18))/sum(filter(
Maste"&amp;"r_Mapping_Sheet!$E$2:$E$3143, ISNUMBER(
Master_Mapping_Sheet!$E$2:$E$3143),
Master_Mapping_Sheet!$H$2:$H$3143=$A18)))"),0.0)</f>
        <v>0</v>
      </c>
      <c r="S18" s="34">
        <f>IFERROR(__xludf.DUMMYFUNCTION("IF(ISNA(sum(filter(
Master_Mapping_Sheet!$E$2:$E$3143, ISNUMBER(
Master_Mapping_Sheet!$E$2:$E$3143),
Master_Mapping_Sheet!$C$2:$C$3143=S$1,
Master_Mapping_Sheet!$H$2:$H$3143=$A18))/sum(filter(
Master_Mapping_Sheet!$E$2:$E$3143, ISNUMBER(
Master_Mapping_Sh"&amp;"eet!$E$2:$E$3143),
Master_Mapping_Sheet!$H$2:$H$3143=$A18))), 0, sum(filter(
Master_Mapping_Sheet!$E$2:$E$3143, ISNUMBER(
Master_Mapping_Sheet!$E$2:$E$3143),
Master_Mapping_Sheet!$C$2:$C$3143=S$1,
Master_Mapping_Sheet!$H$2:$H$3143=$A18))/sum(filter(
Maste"&amp;"r_Mapping_Sheet!$E$2:$E$3143, ISNUMBER(
Master_Mapping_Sheet!$E$2:$E$3143),
Master_Mapping_Sheet!$H$2:$H$3143=$A18)))"),0.0)</f>
        <v>0</v>
      </c>
      <c r="T18" s="34">
        <f>IFERROR(__xludf.DUMMYFUNCTION("IF(ISNA(sum(filter(
Master_Mapping_Sheet!$E$2:$E$3143, ISNUMBER(
Master_Mapping_Sheet!$E$2:$E$3143),
Master_Mapping_Sheet!$C$2:$C$3143=T$1,
Master_Mapping_Sheet!$H$2:$H$3143=$A18))/sum(filter(
Master_Mapping_Sheet!$E$2:$E$3143, ISNUMBER(
Master_Mapping_Sh"&amp;"eet!$E$2:$E$3143),
Master_Mapping_Sheet!$H$2:$H$3143=$A18))), 0, sum(filter(
Master_Mapping_Sheet!$E$2:$E$3143, ISNUMBER(
Master_Mapping_Sheet!$E$2:$E$3143),
Master_Mapping_Sheet!$C$2:$C$3143=T$1,
Master_Mapping_Sheet!$H$2:$H$3143=$A18))/sum(filter(
Maste"&amp;"r_Mapping_Sheet!$E$2:$E$3143, ISNUMBER(
Master_Mapping_Sheet!$E$2:$E$3143),
Master_Mapping_Sheet!$H$2:$H$3143=$A18)))"),0.11198873279658349)</f>
        <v>0.1119887328</v>
      </c>
      <c r="U18" s="34">
        <f>IFERROR(__xludf.DUMMYFUNCTION("IF(ISNA(sum(filter(
Master_Mapping_Sheet!$E$2:$E$3143, ISNUMBER(
Master_Mapping_Sheet!$E$2:$E$3143),
Master_Mapping_Sheet!$C$2:$C$3143=U$1,
Master_Mapping_Sheet!$H$2:$H$3143=$A18))/sum(filter(
Master_Mapping_Sheet!$E$2:$E$3143, ISNUMBER(
Master_Mapping_Sh"&amp;"eet!$E$2:$E$3143),
Master_Mapping_Sheet!$H$2:$H$3143=$A18))), 0, sum(filter(
Master_Mapping_Sheet!$E$2:$E$3143, ISNUMBER(
Master_Mapping_Sheet!$E$2:$E$3143),
Master_Mapping_Sheet!$C$2:$C$3143=U$1,
Master_Mapping_Sheet!$H$2:$H$3143=$A18))/sum(filter(
Maste"&amp;"r_Mapping_Sheet!$E$2:$E$3143, ISNUMBER(
Master_Mapping_Sheet!$E$2:$E$3143),
Master_Mapping_Sheet!$H$2:$H$3143=$A18)))"),0.0)</f>
        <v>0</v>
      </c>
      <c r="V18" s="34">
        <f>IFERROR(__xludf.DUMMYFUNCTION("IF(ISNA(sum(filter(
Master_Mapping_Sheet!$E$2:$E$3143, ISNUMBER(
Master_Mapping_Sheet!$E$2:$E$3143),
Master_Mapping_Sheet!$C$2:$C$3143=V$1,
Master_Mapping_Sheet!$H$2:$H$3143=$A18))/sum(filter(
Master_Mapping_Sheet!$E$2:$E$3143, ISNUMBER(
Master_Mapping_Sh"&amp;"eet!$E$2:$E$3143),
Master_Mapping_Sheet!$H$2:$H$3143=$A18))), 0, sum(filter(
Master_Mapping_Sheet!$E$2:$E$3143, ISNUMBER(
Master_Mapping_Sheet!$E$2:$E$3143),
Master_Mapping_Sheet!$C$2:$C$3143=V$1,
Master_Mapping_Sheet!$H$2:$H$3143=$A18))/sum(filter(
Maste"&amp;"r_Mapping_Sheet!$E$2:$E$3143, ISNUMBER(
Master_Mapping_Sheet!$E$2:$E$3143),
Master_Mapping_Sheet!$H$2:$H$3143=$A18)))"),0.0)</f>
        <v>0</v>
      </c>
      <c r="W18" s="34">
        <f>IFERROR(__xludf.DUMMYFUNCTION("IF(ISNA(sum(filter(
Master_Mapping_Sheet!$E$2:$E$3143, ISNUMBER(
Master_Mapping_Sheet!$E$2:$E$3143),
Master_Mapping_Sheet!$C$2:$C$3143=W$1,
Master_Mapping_Sheet!$H$2:$H$3143=$A18))/sum(filter(
Master_Mapping_Sheet!$E$2:$E$3143, ISNUMBER(
Master_Mapping_Sh"&amp;"eet!$E$2:$E$3143),
Master_Mapping_Sheet!$H$2:$H$3143=$A18))), 0, sum(filter(
Master_Mapping_Sheet!$E$2:$E$3143, ISNUMBER(
Master_Mapping_Sheet!$E$2:$E$3143),
Master_Mapping_Sheet!$C$2:$C$3143=W$1,
Master_Mapping_Sheet!$H$2:$H$3143=$A18))/sum(filter(
Maste"&amp;"r_Mapping_Sheet!$E$2:$E$3143, ISNUMBER(
Master_Mapping_Sheet!$E$2:$E$3143),
Master_Mapping_Sheet!$H$2:$H$3143=$A18)))"),0.0)</f>
        <v>0</v>
      </c>
      <c r="X18" s="34">
        <f>IFERROR(__xludf.DUMMYFUNCTION("IF(ISNA(sum(filter(
Master_Mapping_Sheet!$E$2:$E$3143, ISNUMBER(
Master_Mapping_Sheet!$E$2:$E$3143),
Master_Mapping_Sheet!$C$2:$C$3143=X$1,
Master_Mapping_Sheet!$H$2:$H$3143=$A18))/sum(filter(
Master_Mapping_Sheet!$E$2:$E$3143, ISNUMBER(
Master_Mapping_Sh"&amp;"eet!$E$2:$E$3143),
Master_Mapping_Sheet!$H$2:$H$3143=$A18))), 0, sum(filter(
Master_Mapping_Sheet!$E$2:$E$3143, ISNUMBER(
Master_Mapping_Sheet!$E$2:$E$3143),
Master_Mapping_Sheet!$C$2:$C$3143=X$1,
Master_Mapping_Sheet!$H$2:$H$3143=$A18))/sum(filter(
Maste"&amp;"r_Mapping_Sheet!$E$2:$E$3143, ISNUMBER(
Master_Mapping_Sheet!$E$2:$E$3143),
Master_Mapping_Sheet!$H$2:$H$3143=$A18)))"),0.0)</f>
        <v>0</v>
      </c>
      <c r="Y18" s="34">
        <f>IFERROR(__xludf.DUMMYFUNCTION("IF(ISNA(sum(filter(
Master_Mapping_Sheet!$E$2:$E$3143, ISNUMBER(
Master_Mapping_Sheet!$E$2:$E$3143),
Master_Mapping_Sheet!$C$2:$C$3143=Y$1,
Master_Mapping_Sheet!$H$2:$H$3143=$A18))/sum(filter(
Master_Mapping_Sheet!$E$2:$E$3143, ISNUMBER(
Master_Mapping_Sh"&amp;"eet!$E$2:$E$3143),
Master_Mapping_Sheet!$H$2:$H$3143=$A18))), 0, sum(filter(
Master_Mapping_Sheet!$E$2:$E$3143, ISNUMBER(
Master_Mapping_Sheet!$E$2:$E$3143),
Master_Mapping_Sheet!$C$2:$C$3143=Y$1,
Master_Mapping_Sheet!$H$2:$H$3143=$A18))/sum(filter(
Maste"&amp;"r_Mapping_Sheet!$E$2:$E$3143, ISNUMBER(
Master_Mapping_Sheet!$E$2:$E$3143),
Master_Mapping_Sheet!$H$2:$H$3143=$A18)))"),0.0)</f>
        <v>0</v>
      </c>
      <c r="Z18" s="34">
        <f>IFERROR(__xludf.DUMMYFUNCTION("IF(ISNA(sum(filter(
Master_Mapping_Sheet!$E$2:$E$3143, ISNUMBER(
Master_Mapping_Sheet!$E$2:$E$3143),
Master_Mapping_Sheet!$C$2:$C$3143=Z$1,
Master_Mapping_Sheet!$H$2:$H$3143=$A18))/sum(filter(
Master_Mapping_Sheet!$E$2:$E$3143, ISNUMBER(
Master_Mapping_Sh"&amp;"eet!$E$2:$E$3143),
Master_Mapping_Sheet!$H$2:$H$3143=$A18))), 0, sum(filter(
Master_Mapping_Sheet!$E$2:$E$3143, ISNUMBER(
Master_Mapping_Sheet!$E$2:$E$3143),
Master_Mapping_Sheet!$C$2:$C$3143=Z$1,
Master_Mapping_Sheet!$H$2:$H$3143=$A18))/sum(filter(
Maste"&amp;"r_Mapping_Sheet!$E$2:$E$3143, ISNUMBER(
Master_Mapping_Sheet!$E$2:$E$3143),
Master_Mapping_Sheet!$H$2:$H$3143=$A18)))"),0.0)</f>
        <v>0</v>
      </c>
      <c r="AA18" s="34">
        <f>IFERROR(__xludf.DUMMYFUNCTION("IF(ISNA(sum(filter(
Master_Mapping_Sheet!$E$2:$E$3143, ISNUMBER(
Master_Mapping_Sheet!$E$2:$E$3143),
Master_Mapping_Sheet!$C$2:$C$3143=AA$1,
Master_Mapping_Sheet!$H$2:$H$3143=$A18))/sum(filter(
Master_Mapping_Sheet!$E$2:$E$3143, ISNUMBER(
Master_Mapping_S"&amp;"heet!$E$2:$E$3143),
Master_Mapping_Sheet!$H$2:$H$3143=$A18))), 0, sum(filter(
Master_Mapping_Sheet!$E$2:$E$3143, ISNUMBER(
Master_Mapping_Sheet!$E$2:$E$3143),
Master_Mapping_Sheet!$C$2:$C$3143=AA$1,
Master_Mapping_Sheet!$H$2:$H$3143=$A18))/sum(filter(
Mas"&amp;"ter_Mapping_Sheet!$E$2:$E$3143, ISNUMBER(
Master_Mapping_Sheet!$E$2:$E$3143),
Master_Mapping_Sheet!$H$2:$H$3143=$A18)))"),0.0)</f>
        <v>0</v>
      </c>
      <c r="AB18" s="34">
        <f>IFERROR(__xludf.DUMMYFUNCTION("IF(ISNA(sum(filter(
Master_Mapping_Sheet!$E$2:$E$3143, ISNUMBER(
Master_Mapping_Sheet!$E$2:$E$3143),
Master_Mapping_Sheet!$C$2:$C$3143=AB$1,
Master_Mapping_Sheet!$H$2:$H$3143=$A18))/sum(filter(
Master_Mapping_Sheet!$E$2:$E$3143, ISNUMBER(
Master_Mapping_S"&amp;"heet!$E$2:$E$3143),
Master_Mapping_Sheet!$H$2:$H$3143=$A18))), 0, sum(filter(
Master_Mapping_Sheet!$E$2:$E$3143, ISNUMBER(
Master_Mapping_Sheet!$E$2:$E$3143),
Master_Mapping_Sheet!$C$2:$C$3143=AB$1,
Master_Mapping_Sheet!$H$2:$H$3143=$A18))/sum(filter(
Mas"&amp;"ter_Mapping_Sheet!$E$2:$E$3143, ISNUMBER(
Master_Mapping_Sheet!$E$2:$E$3143),
Master_Mapping_Sheet!$H$2:$H$3143=$A18)))"),0.0)</f>
        <v>0</v>
      </c>
      <c r="AC18" s="34">
        <f>IFERROR(__xludf.DUMMYFUNCTION("IF(ISNA(sum(filter(
Master_Mapping_Sheet!$E$2:$E$3143, ISNUMBER(
Master_Mapping_Sheet!$E$2:$E$3143),
Master_Mapping_Sheet!$C$2:$C$3143=AC$1,
Master_Mapping_Sheet!$H$2:$H$3143=$A18))/sum(filter(
Master_Mapping_Sheet!$E$2:$E$3143, ISNUMBER(
Master_Mapping_S"&amp;"heet!$E$2:$E$3143),
Master_Mapping_Sheet!$H$2:$H$3143=$A18))), 0, sum(filter(
Master_Mapping_Sheet!$E$2:$E$3143, ISNUMBER(
Master_Mapping_Sheet!$E$2:$E$3143),
Master_Mapping_Sheet!$C$2:$C$3143=AC$1,
Master_Mapping_Sheet!$H$2:$H$3143=$A18))/sum(filter(
Mas"&amp;"ter_Mapping_Sheet!$E$2:$E$3143, ISNUMBER(
Master_Mapping_Sheet!$E$2:$E$3143),
Master_Mapping_Sheet!$H$2:$H$3143=$A18)))"),0.0)</f>
        <v>0</v>
      </c>
      <c r="AD18" s="34">
        <f>IFERROR(__xludf.DUMMYFUNCTION("IF(ISNA(sum(filter(
Master_Mapping_Sheet!$E$2:$E$3143, ISNUMBER(
Master_Mapping_Sheet!$E$2:$E$3143),
Master_Mapping_Sheet!$C$2:$C$3143=AD$1,
Master_Mapping_Sheet!$H$2:$H$3143=$A18))/sum(filter(
Master_Mapping_Sheet!$E$2:$E$3143, ISNUMBER(
Master_Mapping_S"&amp;"heet!$E$2:$E$3143),
Master_Mapping_Sheet!$H$2:$H$3143=$A18))), 0, sum(filter(
Master_Mapping_Sheet!$E$2:$E$3143, ISNUMBER(
Master_Mapping_Sheet!$E$2:$E$3143),
Master_Mapping_Sheet!$C$2:$C$3143=AD$1,
Master_Mapping_Sheet!$H$2:$H$3143=$A18))/sum(filter(
Mas"&amp;"ter_Mapping_Sheet!$E$2:$E$3143, ISNUMBER(
Master_Mapping_Sheet!$E$2:$E$3143),
Master_Mapping_Sheet!$H$2:$H$3143=$A18)))"),0.0)</f>
        <v>0</v>
      </c>
      <c r="AE18" s="34">
        <f>IFERROR(__xludf.DUMMYFUNCTION("IF(ISNA(sum(filter(
Master_Mapping_Sheet!$E$2:$E$3143, ISNUMBER(
Master_Mapping_Sheet!$E$2:$E$3143),
Master_Mapping_Sheet!$C$2:$C$3143=AE$1,
Master_Mapping_Sheet!$H$2:$H$3143=$A18))/sum(filter(
Master_Mapping_Sheet!$E$2:$E$3143, ISNUMBER(
Master_Mapping_S"&amp;"heet!$E$2:$E$3143),
Master_Mapping_Sheet!$H$2:$H$3143=$A18))), 0, sum(filter(
Master_Mapping_Sheet!$E$2:$E$3143, ISNUMBER(
Master_Mapping_Sheet!$E$2:$E$3143),
Master_Mapping_Sheet!$C$2:$C$3143=AE$1,
Master_Mapping_Sheet!$H$2:$H$3143=$A18))/sum(filter(
Mas"&amp;"ter_Mapping_Sheet!$E$2:$E$3143, ISNUMBER(
Master_Mapping_Sheet!$E$2:$E$3143),
Master_Mapping_Sheet!$H$2:$H$3143=$A18)))"),0.0)</f>
        <v>0</v>
      </c>
      <c r="AF18" s="34">
        <f>IFERROR(__xludf.DUMMYFUNCTION("IF(ISNA(sum(filter(
Master_Mapping_Sheet!$E$2:$E$3143, ISNUMBER(
Master_Mapping_Sheet!$E$2:$E$3143),
Master_Mapping_Sheet!$C$2:$C$3143=AF$1,
Master_Mapping_Sheet!$H$2:$H$3143=$A18))/sum(filter(
Master_Mapping_Sheet!$E$2:$E$3143, ISNUMBER(
Master_Mapping_S"&amp;"heet!$E$2:$E$3143),
Master_Mapping_Sheet!$H$2:$H$3143=$A18))), 0, sum(filter(
Master_Mapping_Sheet!$E$2:$E$3143, ISNUMBER(
Master_Mapping_Sheet!$E$2:$E$3143),
Master_Mapping_Sheet!$C$2:$C$3143=AF$1,
Master_Mapping_Sheet!$H$2:$H$3143=$A18))/sum(filter(
Mas"&amp;"ter_Mapping_Sheet!$E$2:$E$3143, ISNUMBER(
Master_Mapping_Sheet!$E$2:$E$3143),
Master_Mapping_Sheet!$H$2:$H$3143=$A18)))"),0.0)</f>
        <v>0</v>
      </c>
      <c r="AG18" s="34">
        <f>IFERROR(__xludf.DUMMYFUNCTION("IF(ISNA(sum(filter(
Master_Mapping_Sheet!$E$2:$E$3143, ISNUMBER(
Master_Mapping_Sheet!$E$2:$E$3143),
Master_Mapping_Sheet!$C$2:$C$3143=AG$1,
Master_Mapping_Sheet!$H$2:$H$3143=$A18))/sum(filter(
Master_Mapping_Sheet!$E$2:$E$3143, ISNUMBER(
Master_Mapping_S"&amp;"heet!$E$2:$E$3143),
Master_Mapping_Sheet!$H$2:$H$3143=$A18))), 0, sum(filter(
Master_Mapping_Sheet!$E$2:$E$3143, ISNUMBER(
Master_Mapping_Sheet!$E$2:$E$3143),
Master_Mapping_Sheet!$C$2:$C$3143=AG$1,
Master_Mapping_Sheet!$H$2:$H$3143=$A18))/sum(filter(
Mas"&amp;"ter_Mapping_Sheet!$E$2:$E$3143, ISNUMBER(
Master_Mapping_Sheet!$E$2:$E$3143),
Master_Mapping_Sheet!$H$2:$H$3143=$A18)))"),0.03510694432275086)</f>
        <v>0.03510694432</v>
      </c>
      <c r="AH18" s="34">
        <f>IFERROR(__xludf.DUMMYFUNCTION("IF(ISNA(sum(filter(
Master_Mapping_Sheet!$E$2:$E$3143, ISNUMBER(
Master_Mapping_Sheet!$E$2:$E$3143),
Master_Mapping_Sheet!$C$2:$C$3143=AH$1,
Master_Mapping_Sheet!$H$2:$H$3143=$A18))/sum(filter(
Master_Mapping_Sheet!$E$2:$E$3143, ISNUMBER(
Master_Mapping_S"&amp;"heet!$E$2:$E$3143),
Master_Mapping_Sheet!$H$2:$H$3143=$A18))), 0, sum(filter(
Master_Mapping_Sheet!$E$2:$E$3143, ISNUMBER(
Master_Mapping_Sheet!$E$2:$E$3143),
Master_Mapping_Sheet!$C$2:$C$3143=AH$1,
Master_Mapping_Sheet!$H$2:$H$3143=$A18))/sum(filter(
Mas"&amp;"ter_Mapping_Sheet!$E$2:$E$3143, ISNUMBER(
Master_Mapping_Sheet!$E$2:$E$3143),
Master_Mapping_Sheet!$H$2:$H$3143=$A18)))"),0.0)</f>
        <v>0</v>
      </c>
      <c r="AI18" s="34">
        <f>IFERROR(__xludf.DUMMYFUNCTION("IF(ISNA(sum(filter(
Master_Mapping_Sheet!$E$2:$E$3143, ISNUMBER(
Master_Mapping_Sheet!$E$2:$E$3143),
Master_Mapping_Sheet!$C$2:$C$3143=AI$1,
Master_Mapping_Sheet!$H$2:$H$3143=$A18))/sum(filter(
Master_Mapping_Sheet!$E$2:$E$3143, ISNUMBER(
Master_Mapping_S"&amp;"heet!$E$2:$E$3143),
Master_Mapping_Sheet!$H$2:$H$3143=$A18))), 0, sum(filter(
Master_Mapping_Sheet!$E$2:$E$3143, ISNUMBER(
Master_Mapping_Sheet!$E$2:$E$3143),
Master_Mapping_Sheet!$C$2:$C$3143=AI$1,
Master_Mapping_Sheet!$H$2:$H$3143=$A18))/sum(filter(
Mas"&amp;"ter_Mapping_Sheet!$E$2:$E$3143, ISNUMBER(
Master_Mapping_Sheet!$E$2:$E$3143),
Master_Mapping_Sheet!$H$2:$H$3143=$A18)))"),0.0)</f>
        <v>0</v>
      </c>
      <c r="AJ18" s="34">
        <f>IFERROR(__xludf.DUMMYFUNCTION("IF(ISNA(sum(filter(
Master_Mapping_Sheet!$E$2:$E$3143, ISNUMBER(
Master_Mapping_Sheet!$E$2:$E$3143),
Master_Mapping_Sheet!$C$2:$C$3143=AJ$1,
Master_Mapping_Sheet!$H$2:$H$3143=$A18))/sum(filter(
Master_Mapping_Sheet!$E$2:$E$3143, ISNUMBER(
Master_Mapping_S"&amp;"heet!$E$2:$E$3143),
Master_Mapping_Sheet!$H$2:$H$3143=$A18))), 0, sum(filter(
Master_Mapping_Sheet!$E$2:$E$3143, ISNUMBER(
Master_Mapping_Sheet!$E$2:$E$3143),
Master_Mapping_Sheet!$C$2:$C$3143=AJ$1,
Master_Mapping_Sheet!$H$2:$H$3143=$A18))/sum(filter(
Mas"&amp;"ter_Mapping_Sheet!$E$2:$E$3143, ISNUMBER(
Master_Mapping_Sheet!$E$2:$E$3143),
Master_Mapping_Sheet!$H$2:$H$3143=$A18)))"),0.0)</f>
        <v>0</v>
      </c>
      <c r="AK18" s="34">
        <f>IFERROR(__xludf.DUMMYFUNCTION("IF(ISNA(sum(filter(
Master_Mapping_Sheet!$E$2:$E$3143, ISNUMBER(
Master_Mapping_Sheet!$E$2:$E$3143),
Master_Mapping_Sheet!$C$2:$C$3143=AK$1,
Master_Mapping_Sheet!$H$2:$H$3143=$A18))/sum(filter(
Master_Mapping_Sheet!$E$2:$E$3143, ISNUMBER(
Master_Mapping_S"&amp;"heet!$E$2:$E$3143),
Master_Mapping_Sheet!$H$2:$H$3143=$A18))), 0, sum(filter(
Master_Mapping_Sheet!$E$2:$E$3143, ISNUMBER(
Master_Mapping_Sheet!$E$2:$E$3143),
Master_Mapping_Sheet!$C$2:$C$3143=AK$1,
Master_Mapping_Sheet!$H$2:$H$3143=$A18))/sum(filter(
Mas"&amp;"ter_Mapping_Sheet!$E$2:$E$3143, ISNUMBER(
Master_Mapping_Sheet!$E$2:$E$3143),
Master_Mapping_Sheet!$H$2:$H$3143=$A18)))"),0.0)</f>
        <v>0</v>
      </c>
      <c r="AL18" s="34">
        <f>IFERROR(__xludf.DUMMYFUNCTION("IF(ISNA(sum(filter(
Master_Mapping_Sheet!$E$2:$E$3143, ISNUMBER(
Master_Mapping_Sheet!$E$2:$E$3143),
Master_Mapping_Sheet!$C$2:$C$3143=AL$1,
Master_Mapping_Sheet!$H$2:$H$3143=$A18))/sum(filter(
Master_Mapping_Sheet!$E$2:$E$3143, ISNUMBER(
Master_Mapping_S"&amp;"heet!$E$2:$E$3143),
Master_Mapping_Sheet!$H$2:$H$3143=$A18))), 0, sum(filter(
Master_Mapping_Sheet!$E$2:$E$3143, ISNUMBER(
Master_Mapping_Sheet!$E$2:$E$3143),
Master_Mapping_Sheet!$C$2:$C$3143=AL$1,
Master_Mapping_Sheet!$H$2:$H$3143=$A18))/sum(filter(
Mas"&amp;"ter_Mapping_Sheet!$E$2:$E$3143, ISNUMBER(
Master_Mapping_Sheet!$E$2:$E$3143),
Master_Mapping_Sheet!$H$2:$H$3143=$A18)))"),0.5262126684644866)</f>
        <v>0.5262126685</v>
      </c>
      <c r="AM18" s="34">
        <f>IFERROR(__xludf.DUMMYFUNCTION("IF(ISNA(sum(filter(
Master_Mapping_Sheet!$E$2:$E$3143, ISNUMBER(
Master_Mapping_Sheet!$E$2:$E$3143),
Master_Mapping_Sheet!$C$2:$C$3143=AM$1,
Master_Mapping_Sheet!$H$2:$H$3143=$A18))/sum(filter(
Master_Mapping_Sheet!$E$2:$E$3143, ISNUMBER(
Master_Mapping_S"&amp;"heet!$E$2:$E$3143),
Master_Mapping_Sheet!$H$2:$H$3143=$A18))), 0, sum(filter(
Master_Mapping_Sheet!$E$2:$E$3143, ISNUMBER(
Master_Mapping_Sheet!$E$2:$E$3143),
Master_Mapping_Sheet!$C$2:$C$3143=AM$1,
Master_Mapping_Sheet!$H$2:$H$3143=$A18))/sum(filter(
Mas"&amp;"ter_Mapping_Sheet!$E$2:$E$3143, ISNUMBER(
Master_Mapping_Sheet!$E$2:$E$3143),
Master_Mapping_Sheet!$H$2:$H$3143=$A18)))"),0.0)</f>
        <v>0</v>
      </c>
      <c r="AN18" s="34">
        <f>IFERROR(__xludf.DUMMYFUNCTION("IF(ISNA(sum(filter(
Master_Mapping_Sheet!$E$2:$E$3143, ISNUMBER(
Master_Mapping_Sheet!$E$2:$E$3143),
Master_Mapping_Sheet!$C$2:$C$3143=AN$1,
Master_Mapping_Sheet!$H$2:$H$3143=$A18))/sum(filter(
Master_Mapping_Sheet!$E$2:$E$3143, ISNUMBER(
Master_Mapping_S"&amp;"heet!$E$2:$E$3143),
Master_Mapping_Sheet!$H$2:$H$3143=$A18))), 0, sum(filter(
Master_Mapping_Sheet!$E$2:$E$3143, ISNUMBER(
Master_Mapping_Sheet!$E$2:$E$3143),
Master_Mapping_Sheet!$C$2:$C$3143=AN$1,
Master_Mapping_Sheet!$H$2:$H$3143=$A18))/sum(filter(
Mas"&amp;"ter_Mapping_Sheet!$E$2:$E$3143, ISNUMBER(
Master_Mapping_Sheet!$E$2:$E$3143),
Master_Mapping_Sheet!$H$2:$H$3143=$A18)))"),0.0)</f>
        <v>0</v>
      </c>
      <c r="AO18" s="34">
        <f>IFERROR(__xludf.DUMMYFUNCTION("IF(ISNA(sum(filter(
Master_Mapping_Sheet!$E$2:$E$3143, ISNUMBER(
Master_Mapping_Sheet!$E$2:$E$3143),
Master_Mapping_Sheet!$C$2:$C$3143=AO$1,
Master_Mapping_Sheet!$H$2:$H$3143=$A18))/sum(filter(
Master_Mapping_Sheet!$E$2:$E$3143, ISNUMBER(
Master_Mapping_S"&amp;"heet!$E$2:$E$3143),
Master_Mapping_Sheet!$H$2:$H$3143=$A18))), 0, sum(filter(
Master_Mapping_Sheet!$E$2:$E$3143, ISNUMBER(
Master_Mapping_Sheet!$E$2:$E$3143),
Master_Mapping_Sheet!$C$2:$C$3143=AO$1,
Master_Mapping_Sheet!$H$2:$H$3143=$A18))/sum(filter(
Mas"&amp;"ter_Mapping_Sheet!$E$2:$E$3143, ISNUMBER(
Master_Mapping_Sheet!$E$2:$E$3143),
Master_Mapping_Sheet!$H$2:$H$3143=$A18)))"),0.0)</f>
        <v>0</v>
      </c>
      <c r="AP18" s="34">
        <f>IFERROR(__xludf.DUMMYFUNCTION("IF(ISNA(sum(filter(
Master_Mapping_Sheet!$E$2:$E$3143, ISNUMBER(
Master_Mapping_Sheet!$E$2:$E$3143),
Master_Mapping_Sheet!$C$2:$C$3143=AP$1,
Master_Mapping_Sheet!$H$2:$H$3143=$A18))/sum(filter(
Master_Mapping_Sheet!$E$2:$E$3143, ISNUMBER(
Master_Mapping_S"&amp;"heet!$E$2:$E$3143),
Master_Mapping_Sheet!$H$2:$H$3143=$A18))), 0, sum(filter(
Master_Mapping_Sheet!$E$2:$E$3143, ISNUMBER(
Master_Mapping_Sheet!$E$2:$E$3143),
Master_Mapping_Sheet!$C$2:$C$3143=AP$1,
Master_Mapping_Sheet!$H$2:$H$3143=$A18))/sum(filter(
Mas"&amp;"ter_Mapping_Sheet!$E$2:$E$3143, ISNUMBER(
Master_Mapping_Sheet!$E$2:$E$3143),
Master_Mapping_Sheet!$H$2:$H$3143=$A18)))"),0.0)</f>
        <v>0</v>
      </c>
      <c r="AQ18" s="34">
        <f>IFERROR(__xludf.DUMMYFUNCTION("IF(ISNA(sum(filter(
Master_Mapping_Sheet!$E$2:$E$3143, ISNUMBER(
Master_Mapping_Sheet!$E$2:$E$3143),
Master_Mapping_Sheet!$C$2:$C$3143=AQ$1,
Master_Mapping_Sheet!$H$2:$H$3143=$A18))/sum(filter(
Master_Mapping_Sheet!$E$2:$E$3143, ISNUMBER(
Master_Mapping_S"&amp;"heet!$E$2:$E$3143),
Master_Mapping_Sheet!$H$2:$H$3143=$A18))), 0, sum(filter(
Master_Mapping_Sheet!$E$2:$E$3143, ISNUMBER(
Master_Mapping_Sheet!$E$2:$E$3143),
Master_Mapping_Sheet!$C$2:$C$3143=AQ$1,
Master_Mapping_Sheet!$H$2:$H$3143=$A18))/sum(filter(
Mas"&amp;"ter_Mapping_Sheet!$E$2:$E$3143, ISNUMBER(
Master_Mapping_Sheet!$E$2:$E$3143),
Master_Mapping_Sheet!$H$2:$H$3143=$A18)))"),0.0)</f>
        <v>0</v>
      </c>
      <c r="AR18" s="34">
        <f>IFERROR(__xludf.DUMMYFUNCTION("IF(ISNA(sum(filter(
Master_Mapping_Sheet!$E$2:$E$3143, ISNUMBER(
Master_Mapping_Sheet!$E$2:$E$3143),
Master_Mapping_Sheet!$C$2:$C$3143=AR$1,
Master_Mapping_Sheet!$H$2:$H$3143=$A18))/sum(filter(
Master_Mapping_Sheet!$E$2:$E$3143, ISNUMBER(
Master_Mapping_S"&amp;"heet!$E$2:$E$3143),
Master_Mapping_Sheet!$H$2:$H$3143=$A18))), 0, sum(filter(
Master_Mapping_Sheet!$E$2:$E$3143, ISNUMBER(
Master_Mapping_Sheet!$E$2:$E$3143),
Master_Mapping_Sheet!$C$2:$C$3143=AR$1,
Master_Mapping_Sheet!$H$2:$H$3143=$A18))/sum(filter(
Mas"&amp;"ter_Mapping_Sheet!$E$2:$E$3143, ISNUMBER(
Master_Mapping_Sheet!$E$2:$E$3143),
Master_Mapping_Sheet!$H$2:$H$3143=$A18)))"),0.0)</f>
        <v>0</v>
      </c>
      <c r="AS18" s="34">
        <f>IFERROR(__xludf.DUMMYFUNCTION("IF(ISNA(sum(filter(
Master_Mapping_Sheet!$E$2:$E$3143, ISNUMBER(
Master_Mapping_Sheet!$E$2:$E$3143),
Master_Mapping_Sheet!$C$2:$C$3143=AS$1,
Master_Mapping_Sheet!$H$2:$H$3143=$A18))/sum(filter(
Master_Mapping_Sheet!$E$2:$E$3143, ISNUMBER(
Master_Mapping_S"&amp;"heet!$E$2:$E$3143),
Master_Mapping_Sheet!$H$2:$H$3143=$A18))), 0, sum(filter(
Master_Mapping_Sheet!$E$2:$E$3143, ISNUMBER(
Master_Mapping_Sheet!$E$2:$E$3143),
Master_Mapping_Sheet!$C$2:$C$3143=AS$1,
Master_Mapping_Sheet!$H$2:$H$3143=$A18))/sum(filter(
Mas"&amp;"ter_Mapping_Sheet!$E$2:$E$3143, ISNUMBER(
Master_Mapping_Sheet!$E$2:$E$3143),
Master_Mapping_Sheet!$H$2:$H$3143=$A18)))"),0.18933172373284526)</f>
        <v>0.1893317237</v>
      </c>
      <c r="AT18" s="34">
        <f>IFERROR(__xludf.DUMMYFUNCTION("IF(ISNA(sum(filter(
Master_Mapping_Sheet!$E$2:$E$3143, ISNUMBER(
Master_Mapping_Sheet!$E$2:$E$3143),
Master_Mapping_Sheet!$C$2:$C$3143=AT$1,
Master_Mapping_Sheet!$H$2:$H$3143=$A18))/sum(filter(
Master_Mapping_Sheet!$E$2:$E$3143, ISNUMBER(
Master_Mapping_S"&amp;"heet!$E$2:$E$3143),
Master_Mapping_Sheet!$H$2:$H$3143=$A18))), 0, sum(filter(
Master_Mapping_Sheet!$E$2:$E$3143, ISNUMBER(
Master_Mapping_Sheet!$E$2:$E$3143),
Master_Mapping_Sheet!$C$2:$C$3143=AT$1,
Master_Mapping_Sheet!$H$2:$H$3143=$A18))/sum(filter(
Mas"&amp;"ter_Mapping_Sheet!$E$2:$E$3143, ISNUMBER(
Master_Mapping_Sheet!$E$2:$E$3143),
Master_Mapping_Sheet!$H$2:$H$3143=$A18)))"),0.0)</f>
        <v>0</v>
      </c>
      <c r="AU18" s="34">
        <f>IFERROR(__xludf.DUMMYFUNCTION("IF(ISNA(sum(filter(
Master_Mapping_Sheet!$E$2:$E$3143, ISNUMBER(
Master_Mapping_Sheet!$E$2:$E$3143),
Master_Mapping_Sheet!$C$2:$C$3143=AU$1,
Master_Mapping_Sheet!$H$2:$H$3143=$A18))/sum(filter(
Master_Mapping_Sheet!$E$2:$E$3143, ISNUMBER(
Master_Mapping_S"&amp;"heet!$E$2:$E$3143),
Master_Mapping_Sheet!$H$2:$H$3143=$A18))), 0, sum(filter(
Master_Mapping_Sheet!$E$2:$E$3143, ISNUMBER(
Master_Mapping_Sheet!$E$2:$E$3143),
Master_Mapping_Sheet!$C$2:$C$3143=AU$1,
Master_Mapping_Sheet!$H$2:$H$3143=$A18))/sum(filter(
Mas"&amp;"ter_Mapping_Sheet!$E$2:$E$3143, ISNUMBER(
Master_Mapping_Sheet!$E$2:$E$3143),
Master_Mapping_Sheet!$H$2:$H$3143=$A18)))"),0.0)</f>
        <v>0</v>
      </c>
      <c r="AV18" s="34">
        <f>IFERROR(__xludf.DUMMYFUNCTION("IF(ISNA(sum(filter(
Master_Mapping_Sheet!$E$2:$E$3143, ISNUMBER(
Master_Mapping_Sheet!$E$2:$E$3143),
Master_Mapping_Sheet!$C$2:$C$3143=AV$1,
Master_Mapping_Sheet!$H$2:$H$3143=$A18))/sum(filter(
Master_Mapping_Sheet!$E$2:$E$3143, ISNUMBER(
Master_Mapping_S"&amp;"heet!$E$2:$E$3143),
Master_Mapping_Sheet!$H$2:$H$3143=$A18))), 0, sum(filter(
Master_Mapping_Sheet!$E$2:$E$3143, ISNUMBER(
Master_Mapping_Sheet!$E$2:$E$3143),
Master_Mapping_Sheet!$C$2:$C$3143=AV$1,
Master_Mapping_Sheet!$H$2:$H$3143=$A18))/sum(filter(
Mas"&amp;"ter_Mapping_Sheet!$E$2:$E$3143, ISNUMBER(
Master_Mapping_Sheet!$E$2:$E$3143),
Master_Mapping_Sheet!$H$2:$H$3143=$A18)))"),0.0)</f>
        <v>0</v>
      </c>
      <c r="AW18" s="34">
        <f>IFERROR(__xludf.DUMMYFUNCTION("IF(ISNA(sum(filter(
Master_Mapping_Sheet!$E$2:$E$3143, ISNUMBER(
Master_Mapping_Sheet!$E$2:$E$3143),
Master_Mapping_Sheet!$C$2:$C$3143=AW$1,
Master_Mapping_Sheet!$H$2:$H$3143=$A18))/sum(filter(
Master_Mapping_Sheet!$E$2:$E$3143, ISNUMBER(
Master_Mapping_S"&amp;"heet!$E$2:$E$3143),
Master_Mapping_Sheet!$H$2:$H$3143=$A18))), 0, sum(filter(
Master_Mapping_Sheet!$E$2:$E$3143, ISNUMBER(
Master_Mapping_Sheet!$E$2:$E$3143),
Master_Mapping_Sheet!$C$2:$C$3143=AW$1,
Master_Mapping_Sheet!$H$2:$H$3143=$A18))/sum(filter(
Mas"&amp;"ter_Mapping_Sheet!$E$2:$E$3143, ISNUMBER(
Master_Mapping_Sheet!$E$2:$E$3143),
Master_Mapping_Sheet!$H$2:$H$3143=$A18)))"),0.0)</f>
        <v>0</v>
      </c>
      <c r="AX18" s="34">
        <f>IFERROR(__xludf.DUMMYFUNCTION("IF(ISNA(sum(filter(
Master_Mapping_Sheet!$E$2:$E$3143, ISNUMBER(
Master_Mapping_Sheet!$E$2:$E$3143),
Master_Mapping_Sheet!$C$2:$C$3143=AX$1,
Master_Mapping_Sheet!$H$2:$H$3143=$A18))/sum(filter(
Master_Mapping_Sheet!$E$2:$E$3143, ISNUMBER(
Master_Mapping_S"&amp;"heet!$E$2:$E$3143),
Master_Mapping_Sheet!$H$2:$H$3143=$A18))), 0, sum(filter(
Master_Mapping_Sheet!$E$2:$E$3143, ISNUMBER(
Master_Mapping_Sheet!$E$2:$E$3143),
Master_Mapping_Sheet!$C$2:$C$3143=AX$1,
Master_Mapping_Sheet!$H$2:$H$3143=$A18))/sum(filter(
Mas"&amp;"ter_Mapping_Sheet!$E$2:$E$3143, ISNUMBER(
Master_Mapping_Sheet!$E$2:$E$3143),
Master_Mapping_Sheet!$H$2:$H$3143=$A18)))"),0.0)</f>
        <v>0</v>
      </c>
      <c r="AY18" s="34">
        <f>IFERROR(__xludf.DUMMYFUNCTION("IF(ISNA(sum(filter(
Master_Mapping_Sheet!$E$2:$E$3143, ISNUMBER(
Master_Mapping_Sheet!$E$2:$E$3143),
Master_Mapping_Sheet!$C$2:$C$3143=AY$1,
Master_Mapping_Sheet!$H$2:$H$3143=$A18))/sum(filter(
Master_Mapping_Sheet!$E$2:$E$3143, ISNUMBER(
Master_Mapping_S"&amp;"heet!$E$2:$E$3143),
Master_Mapping_Sheet!$H$2:$H$3143=$A18))), 0, sum(filter(
Master_Mapping_Sheet!$E$2:$E$3143, ISNUMBER(
Master_Mapping_Sheet!$E$2:$E$3143),
Master_Mapping_Sheet!$C$2:$C$3143=AY$1,
Master_Mapping_Sheet!$H$2:$H$3143=$A18))/sum(filter(
Mas"&amp;"ter_Mapping_Sheet!$E$2:$E$3143, ISNUMBER(
Master_Mapping_Sheet!$E$2:$E$3143),
Master_Mapping_Sheet!$H$2:$H$3143=$A18)))"),0.0)</f>
        <v>0</v>
      </c>
      <c r="AZ18" s="34">
        <f>IFERROR(__xludf.DUMMYFUNCTION("IF(ISNA(sum(filter(
Master_Mapping_Sheet!$E$2:$E$3143, ISNUMBER(
Master_Mapping_Sheet!$E$2:$E$3143),
Master_Mapping_Sheet!$C$2:$C$3143=AZ$1,
Master_Mapping_Sheet!$H$2:$H$3143=$A18))/sum(filter(
Master_Mapping_Sheet!$E$2:$E$3143, ISNUMBER(
Master_Mapping_S"&amp;"heet!$E$2:$E$3143),
Master_Mapping_Sheet!$H$2:$H$3143=$A18))), 0, sum(filter(
Master_Mapping_Sheet!$E$2:$E$3143, ISNUMBER(
Master_Mapping_Sheet!$E$2:$E$3143),
Master_Mapping_Sheet!$C$2:$C$3143=AZ$1,
Master_Mapping_Sheet!$H$2:$H$3143=$A18))/sum(filter(
Mas"&amp;"ter_Mapping_Sheet!$E$2:$E$3143, ISNUMBER(
Master_Mapping_Sheet!$E$2:$E$3143),
Master_Mapping_Sheet!$H$2:$H$3143=$A18)))"),0.0)</f>
        <v>0</v>
      </c>
    </row>
    <row r="19" ht="15.75" customHeight="1">
      <c r="A19" s="34" t="s">
        <v>4001</v>
      </c>
      <c r="B19" s="34">
        <f>IFERROR(__xludf.DUMMYFUNCTION("IF(ISNA(sum(filter(
Master_Mapping_Sheet!$E$2:$E$3143, ISNUMBER(
Master_Mapping_Sheet!$E$2:$E$3143),
Master_Mapping_Sheet!$C$2:$C$3143=B$1,
Master_Mapping_Sheet!$H$2:$H$3143=$A19))/sum(filter(
Master_Mapping_Sheet!$E$2:$E$3143, ISNUMBER(
Master_Mapping_Sh"&amp;"eet!$E$2:$E$3143),
Master_Mapping_Sheet!$H$2:$H$3143=$A19))), 0, sum(filter(
Master_Mapping_Sheet!$E$2:$E$3143, ISNUMBER(
Master_Mapping_Sheet!$E$2:$E$3143),
Master_Mapping_Sheet!$C$2:$C$3143=B$1,
Master_Mapping_Sheet!$H$2:$H$3143=$A19))/sum(filter(
Maste"&amp;"r_Mapping_Sheet!$E$2:$E$3143, ISNUMBER(
Master_Mapping_Sheet!$E$2:$E$3143),
Master_Mapping_Sheet!$H$2:$H$3143=$A19)))"),0.0)</f>
        <v>0</v>
      </c>
      <c r="C19" s="34">
        <f>IFERROR(__xludf.DUMMYFUNCTION("IF(ISNA(sum(filter(
Master_Mapping_Sheet!$E$2:$E$3143, ISNUMBER(
Master_Mapping_Sheet!$E$2:$E$3143),
Master_Mapping_Sheet!$C$2:$C$3143=C$1,
Master_Mapping_Sheet!$H$2:$H$3143=$A19))/sum(filter(
Master_Mapping_Sheet!$E$2:$E$3143, ISNUMBER(
Master_Mapping_Sh"&amp;"eet!$E$2:$E$3143),
Master_Mapping_Sheet!$H$2:$H$3143=$A19))), 0, sum(filter(
Master_Mapping_Sheet!$E$2:$E$3143, ISNUMBER(
Master_Mapping_Sheet!$E$2:$E$3143),
Master_Mapping_Sheet!$C$2:$C$3143=C$1,
Master_Mapping_Sheet!$H$2:$H$3143=$A19))/sum(filter(
Maste"&amp;"r_Mapping_Sheet!$E$2:$E$3143, ISNUMBER(
Master_Mapping_Sheet!$E$2:$E$3143),
Master_Mapping_Sheet!$H$2:$H$3143=$A19)))"),0.0)</f>
        <v>0</v>
      </c>
      <c r="D19" s="34">
        <f>IFERROR(__xludf.DUMMYFUNCTION("IF(ISNA(sum(filter(
Master_Mapping_Sheet!$E$2:$E$3143, ISNUMBER(
Master_Mapping_Sheet!$E$2:$E$3143),
Master_Mapping_Sheet!$C$2:$C$3143=D$1,
Master_Mapping_Sheet!$H$2:$H$3143=$A19))/sum(filter(
Master_Mapping_Sheet!$E$2:$E$3143, ISNUMBER(
Master_Mapping_Sh"&amp;"eet!$E$2:$E$3143),
Master_Mapping_Sheet!$H$2:$H$3143=$A19))), 0, sum(filter(
Master_Mapping_Sheet!$E$2:$E$3143, ISNUMBER(
Master_Mapping_Sheet!$E$2:$E$3143),
Master_Mapping_Sheet!$C$2:$C$3143=D$1,
Master_Mapping_Sheet!$H$2:$H$3143=$A19))/sum(filter(
Maste"&amp;"r_Mapping_Sheet!$E$2:$E$3143, ISNUMBER(
Master_Mapping_Sheet!$E$2:$E$3143),
Master_Mapping_Sheet!$H$2:$H$3143=$A19)))"),0.0)</f>
        <v>0</v>
      </c>
      <c r="E19" s="34">
        <f>IFERROR(__xludf.DUMMYFUNCTION("IF(ISNA(sum(filter(
Master_Mapping_Sheet!$E$2:$E$3143, ISNUMBER(
Master_Mapping_Sheet!$E$2:$E$3143),
Master_Mapping_Sheet!$C$2:$C$3143=E$1,
Master_Mapping_Sheet!$H$2:$H$3143=$A19))/sum(filter(
Master_Mapping_Sheet!$E$2:$E$3143, ISNUMBER(
Master_Mapping_Sh"&amp;"eet!$E$2:$E$3143),
Master_Mapping_Sheet!$H$2:$H$3143=$A19))), 0, sum(filter(
Master_Mapping_Sheet!$E$2:$E$3143, ISNUMBER(
Master_Mapping_Sheet!$E$2:$E$3143),
Master_Mapping_Sheet!$C$2:$C$3143=E$1,
Master_Mapping_Sheet!$H$2:$H$3143=$A19))/sum(filter(
Maste"&amp;"r_Mapping_Sheet!$E$2:$E$3143, ISNUMBER(
Master_Mapping_Sheet!$E$2:$E$3143),
Master_Mapping_Sheet!$H$2:$H$3143=$A19)))"),0.0)</f>
        <v>0</v>
      </c>
      <c r="F19" s="34">
        <f>IFERROR(__xludf.DUMMYFUNCTION("IF(ISNA(sum(filter(
Master_Mapping_Sheet!$E$2:$E$3143, ISNUMBER(
Master_Mapping_Sheet!$E$2:$E$3143),
Master_Mapping_Sheet!$C$2:$C$3143=F$1,
Master_Mapping_Sheet!$H$2:$H$3143=$A19))/sum(filter(
Master_Mapping_Sheet!$E$2:$E$3143, ISNUMBER(
Master_Mapping_Sh"&amp;"eet!$E$2:$E$3143),
Master_Mapping_Sheet!$H$2:$H$3143=$A19))), 0, sum(filter(
Master_Mapping_Sheet!$E$2:$E$3143, ISNUMBER(
Master_Mapping_Sheet!$E$2:$E$3143),
Master_Mapping_Sheet!$C$2:$C$3143=F$1,
Master_Mapping_Sheet!$H$2:$H$3143=$A19))/sum(filter(
Maste"&amp;"r_Mapping_Sheet!$E$2:$E$3143, ISNUMBER(
Master_Mapping_Sheet!$E$2:$E$3143),
Master_Mapping_Sheet!$H$2:$H$3143=$A19)))"),0.0)</f>
        <v>0</v>
      </c>
      <c r="G19" s="34">
        <f>IFERROR(__xludf.DUMMYFUNCTION("IF(ISNA(sum(filter(
Master_Mapping_Sheet!$E$2:$E$3143, ISNUMBER(
Master_Mapping_Sheet!$E$2:$E$3143),
Master_Mapping_Sheet!$C$2:$C$3143=G$1,
Master_Mapping_Sheet!$H$2:$H$3143=$A19))/sum(filter(
Master_Mapping_Sheet!$E$2:$E$3143, ISNUMBER(
Master_Mapping_Sh"&amp;"eet!$E$2:$E$3143),
Master_Mapping_Sheet!$H$2:$H$3143=$A19))), 0, sum(filter(
Master_Mapping_Sheet!$E$2:$E$3143, ISNUMBER(
Master_Mapping_Sheet!$E$2:$E$3143),
Master_Mapping_Sheet!$C$2:$C$3143=G$1,
Master_Mapping_Sheet!$H$2:$H$3143=$A19))/sum(filter(
Maste"&amp;"r_Mapping_Sheet!$E$2:$E$3143, ISNUMBER(
Master_Mapping_Sheet!$E$2:$E$3143),
Master_Mapping_Sheet!$H$2:$H$3143=$A19)))"),0.0)</f>
        <v>0</v>
      </c>
      <c r="H19" s="34">
        <f>IFERROR(__xludf.DUMMYFUNCTION("IF(ISNA(sum(filter(
Master_Mapping_Sheet!$E$2:$E$3143, ISNUMBER(
Master_Mapping_Sheet!$E$2:$E$3143),
Master_Mapping_Sheet!$C$2:$C$3143=H$1,
Master_Mapping_Sheet!$H$2:$H$3143=$A19))/sum(filter(
Master_Mapping_Sheet!$E$2:$E$3143, ISNUMBER(
Master_Mapping_Sh"&amp;"eet!$E$2:$E$3143),
Master_Mapping_Sheet!$H$2:$H$3143=$A19))), 0, sum(filter(
Master_Mapping_Sheet!$E$2:$E$3143, ISNUMBER(
Master_Mapping_Sheet!$E$2:$E$3143),
Master_Mapping_Sheet!$C$2:$C$3143=H$1,
Master_Mapping_Sheet!$H$2:$H$3143=$A19))/sum(filter(
Maste"&amp;"r_Mapping_Sheet!$E$2:$E$3143, ISNUMBER(
Master_Mapping_Sheet!$E$2:$E$3143),
Master_Mapping_Sheet!$H$2:$H$3143=$A19)))"),0.0)</f>
        <v>0</v>
      </c>
      <c r="I19" s="34">
        <f>IFERROR(__xludf.DUMMYFUNCTION("IF(ISNA(sum(filter(
Master_Mapping_Sheet!$E$2:$E$3143, ISNUMBER(
Master_Mapping_Sheet!$E$2:$E$3143),
Master_Mapping_Sheet!$C$2:$C$3143=I$1,
Master_Mapping_Sheet!$H$2:$H$3143=$A19))/sum(filter(
Master_Mapping_Sheet!$E$2:$E$3143, ISNUMBER(
Master_Mapping_Sh"&amp;"eet!$E$2:$E$3143),
Master_Mapping_Sheet!$H$2:$H$3143=$A19))), 0, sum(filter(
Master_Mapping_Sheet!$E$2:$E$3143, ISNUMBER(
Master_Mapping_Sheet!$E$2:$E$3143),
Master_Mapping_Sheet!$C$2:$C$3143=I$1,
Master_Mapping_Sheet!$H$2:$H$3143=$A19))/sum(filter(
Maste"&amp;"r_Mapping_Sheet!$E$2:$E$3143, ISNUMBER(
Master_Mapping_Sheet!$E$2:$E$3143),
Master_Mapping_Sheet!$H$2:$H$3143=$A19)))"),0.0)</f>
        <v>0</v>
      </c>
      <c r="J19" s="34">
        <f>IFERROR(__xludf.DUMMYFUNCTION("IF(ISNA(sum(filter(
Master_Mapping_Sheet!$E$2:$E$3143, ISNUMBER(
Master_Mapping_Sheet!$E$2:$E$3143),
Master_Mapping_Sheet!$C$2:$C$3143=J$1,
Master_Mapping_Sheet!$H$2:$H$3143=$A19))/sum(filter(
Master_Mapping_Sheet!$E$2:$E$3143, ISNUMBER(
Master_Mapping_Sh"&amp;"eet!$E$2:$E$3143),
Master_Mapping_Sheet!$H$2:$H$3143=$A19))), 0, sum(filter(
Master_Mapping_Sheet!$E$2:$E$3143, ISNUMBER(
Master_Mapping_Sheet!$E$2:$E$3143),
Master_Mapping_Sheet!$C$2:$C$3143=J$1,
Master_Mapping_Sheet!$H$2:$H$3143=$A19))/sum(filter(
Maste"&amp;"r_Mapping_Sheet!$E$2:$E$3143, ISNUMBER(
Master_Mapping_Sheet!$E$2:$E$3143),
Master_Mapping_Sheet!$H$2:$H$3143=$A19)))"),0.0)</f>
        <v>0</v>
      </c>
      <c r="K19" s="34">
        <f>IFERROR(__xludf.DUMMYFUNCTION("IF(ISNA(sum(filter(
Master_Mapping_Sheet!$E$2:$E$3143, ISNUMBER(
Master_Mapping_Sheet!$E$2:$E$3143),
Master_Mapping_Sheet!$C$2:$C$3143=K$1,
Master_Mapping_Sheet!$H$2:$H$3143=$A19))/sum(filter(
Master_Mapping_Sheet!$E$2:$E$3143, ISNUMBER(
Master_Mapping_Sh"&amp;"eet!$E$2:$E$3143),
Master_Mapping_Sheet!$H$2:$H$3143=$A19))), 0, sum(filter(
Master_Mapping_Sheet!$E$2:$E$3143, ISNUMBER(
Master_Mapping_Sheet!$E$2:$E$3143),
Master_Mapping_Sheet!$C$2:$C$3143=K$1,
Master_Mapping_Sheet!$H$2:$H$3143=$A19))/sum(filter(
Maste"&amp;"r_Mapping_Sheet!$E$2:$E$3143, ISNUMBER(
Master_Mapping_Sheet!$E$2:$E$3143),
Master_Mapping_Sheet!$H$2:$H$3143=$A19)))"),0.0)</f>
        <v>0</v>
      </c>
      <c r="L19" s="34">
        <f>IFERROR(__xludf.DUMMYFUNCTION("IF(ISNA(sum(filter(
Master_Mapping_Sheet!$E$2:$E$3143, ISNUMBER(
Master_Mapping_Sheet!$E$2:$E$3143),
Master_Mapping_Sheet!$C$2:$C$3143=L$1,
Master_Mapping_Sheet!$H$2:$H$3143=$A19))/sum(filter(
Master_Mapping_Sheet!$E$2:$E$3143, ISNUMBER(
Master_Mapping_Sh"&amp;"eet!$E$2:$E$3143),
Master_Mapping_Sheet!$H$2:$H$3143=$A19))), 0, sum(filter(
Master_Mapping_Sheet!$E$2:$E$3143, ISNUMBER(
Master_Mapping_Sheet!$E$2:$E$3143),
Master_Mapping_Sheet!$C$2:$C$3143=L$1,
Master_Mapping_Sheet!$H$2:$H$3143=$A19))/sum(filter(
Maste"&amp;"r_Mapping_Sheet!$E$2:$E$3143, ISNUMBER(
Master_Mapping_Sheet!$E$2:$E$3143),
Master_Mapping_Sheet!$H$2:$H$3143=$A19)))"),0.0)</f>
        <v>0</v>
      </c>
      <c r="M19" s="34">
        <f>IFERROR(__xludf.DUMMYFUNCTION("IF(ISNA(sum(filter(
Master_Mapping_Sheet!$E$2:$E$3143, ISNUMBER(
Master_Mapping_Sheet!$E$2:$E$3143),
Master_Mapping_Sheet!$C$2:$C$3143=M$1,
Master_Mapping_Sheet!$H$2:$H$3143=$A19))/sum(filter(
Master_Mapping_Sheet!$E$2:$E$3143, ISNUMBER(
Master_Mapping_Sh"&amp;"eet!$E$2:$E$3143),
Master_Mapping_Sheet!$H$2:$H$3143=$A19))), 0, sum(filter(
Master_Mapping_Sheet!$E$2:$E$3143, ISNUMBER(
Master_Mapping_Sheet!$E$2:$E$3143),
Master_Mapping_Sheet!$C$2:$C$3143=M$1,
Master_Mapping_Sheet!$H$2:$H$3143=$A19))/sum(filter(
Maste"&amp;"r_Mapping_Sheet!$E$2:$E$3143, ISNUMBER(
Master_Mapping_Sheet!$E$2:$E$3143),
Master_Mapping_Sheet!$H$2:$H$3143=$A19)))"),0.0)</f>
        <v>0</v>
      </c>
      <c r="N19" s="34">
        <f>IFERROR(__xludf.DUMMYFUNCTION("IF(ISNA(sum(filter(
Master_Mapping_Sheet!$E$2:$E$3143, ISNUMBER(
Master_Mapping_Sheet!$E$2:$E$3143),
Master_Mapping_Sheet!$C$2:$C$3143=N$1,
Master_Mapping_Sheet!$H$2:$H$3143=$A19))/sum(filter(
Master_Mapping_Sheet!$E$2:$E$3143, ISNUMBER(
Master_Mapping_Sh"&amp;"eet!$E$2:$E$3143),
Master_Mapping_Sheet!$H$2:$H$3143=$A19))), 0, sum(filter(
Master_Mapping_Sheet!$E$2:$E$3143, ISNUMBER(
Master_Mapping_Sheet!$E$2:$E$3143),
Master_Mapping_Sheet!$C$2:$C$3143=N$1,
Master_Mapping_Sheet!$H$2:$H$3143=$A19))/sum(filter(
Maste"&amp;"r_Mapping_Sheet!$E$2:$E$3143, ISNUMBER(
Master_Mapping_Sheet!$E$2:$E$3143),
Master_Mapping_Sheet!$H$2:$H$3143=$A19)))"),0.0)</f>
        <v>0</v>
      </c>
      <c r="O19" s="34">
        <f>IFERROR(__xludf.DUMMYFUNCTION("IF(ISNA(sum(filter(
Master_Mapping_Sheet!$E$2:$E$3143, ISNUMBER(
Master_Mapping_Sheet!$E$2:$E$3143),
Master_Mapping_Sheet!$C$2:$C$3143=O$1,
Master_Mapping_Sheet!$H$2:$H$3143=$A19))/sum(filter(
Master_Mapping_Sheet!$E$2:$E$3143, ISNUMBER(
Master_Mapping_Sh"&amp;"eet!$E$2:$E$3143),
Master_Mapping_Sheet!$H$2:$H$3143=$A19))), 0, sum(filter(
Master_Mapping_Sheet!$E$2:$E$3143, ISNUMBER(
Master_Mapping_Sheet!$E$2:$E$3143),
Master_Mapping_Sheet!$C$2:$C$3143=O$1,
Master_Mapping_Sheet!$H$2:$H$3143=$A19))/sum(filter(
Maste"&amp;"r_Mapping_Sheet!$E$2:$E$3143, ISNUMBER(
Master_Mapping_Sheet!$E$2:$E$3143),
Master_Mapping_Sheet!$H$2:$H$3143=$A19)))"),0.0)</f>
        <v>0</v>
      </c>
      <c r="P19" s="34">
        <f>IFERROR(__xludf.DUMMYFUNCTION("IF(ISNA(sum(filter(
Master_Mapping_Sheet!$E$2:$E$3143, ISNUMBER(
Master_Mapping_Sheet!$E$2:$E$3143),
Master_Mapping_Sheet!$C$2:$C$3143=P$1,
Master_Mapping_Sheet!$H$2:$H$3143=$A19))/sum(filter(
Master_Mapping_Sheet!$E$2:$E$3143, ISNUMBER(
Master_Mapping_Sh"&amp;"eet!$E$2:$E$3143),
Master_Mapping_Sheet!$H$2:$H$3143=$A19))), 0, sum(filter(
Master_Mapping_Sheet!$E$2:$E$3143, ISNUMBER(
Master_Mapping_Sheet!$E$2:$E$3143),
Master_Mapping_Sheet!$C$2:$C$3143=P$1,
Master_Mapping_Sheet!$H$2:$H$3143=$A19))/sum(filter(
Maste"&amp;"r_Mapping_Sheet!$E$2:$E$3143, ISNUMBER(
Master_Mapping_Sheet!$E$2:$E$3143),
Master_Mapping_Sheet!$H$2:$H$3143=$A19)))"),0.0)</f>
        <v>0</v>
      </c>
      <c r="Q19" s="34">
        <f>IFERROR(__xludf.DUMMYFUNCTION("IF(ISNA(sum(filter(
Master_Mapping_Sheet!$E$2:$E$3143, ISNUMBER(
Master_Mapping_Sheet!$E$2:$E$3143),
Master_Mapping_Sheet!$C$2:$C$3143=Q$1,
Master_Mapping_Sheet!$H$2:$H$3143=$A19))/sum(filter(
Master_Mapping_Sheet!$E$2:$E$3143, ISNUMBER(
Master_Mapping_Sh"&amp;"eet!$E$2:$E$3143),
Master_Mapping_Sheet!$H$2:$H$3143=$A19))), 0, sum(filter(
Master_Mapping_Sheet!$E$2:$E$3143, ISNUMBER(
Master_Mapping_Sheet!$E$2:$E$3143),
Master_Mapping_Sheet!$C$2:$C$3143=Q$1,
Master_Mapping_Sheet!$H$2:$H$3143=$A19))/sum(filter(
Maste"&amp;"r_Mapping_Sheet!$E$2:$E$3143, ISNUMBER(
Master_Mapping_Sheet!$E$2:$E$3143),
Master_Mapping_Sheet!$H$2:$H$3143=$A19)))"),0.0)</f>
        <v>0</v>
      </c>
      <c r="R19" s="34">
        <f>IFERROR(__xludf.DUMMYFUNCTION("IF(ISNA(sum(filter(
Master_Mapping_Sheet!$E$2:$E$3143, ISNUMBER(
Master_Mapping_Sheet!$E$2:$E$3143),
Master_Mapping_Sheet!$C$2:$C$3143=R$1,
Master_Mapping_Sheet!$H$2:$H$3143=$A19))/sum(filter(
Master_Mapping_Sheet!$E$2:$E$3143, ISNUMBER(
Master_Mapping_Sh"&amp;"eet!$E$2:$E$3143),
Master_Mapping_Sheet!$H$2:$H$3143=$A19))), 0, sum(filter(
Master_Mapping_Sheet!$E$2:$E$3143, ISNUMBER(
Master_Mapping_Sheet!$E$2:$E$3143),
Master_Mapping_Sheet!$C$2:$C$3143=R$1,
Master_Mapping_Sheet!$H$2:$H$3143=$A19))/sum(filter(
Maste"&amp;"r_Mapping_Sheet!$E$2:$E$3143, ISNUMBER(
Master_Mapping_Sheet!$E$2:$E$3143),
Master_Mapping_Sheet!$H$2:$H$3143=$A19)))"),0.5279033060717715)</f>
        <v>0.5279033061</v>
      </c>
      <c r="S19" s="34">
        <f>IFERROR(__xludf.DUMMYFUNCTION("IF(ISNA(sum(filter(
Master_Mapping_Sheet!$E$2:$E$3143, ISNUMBER(
Master_Mapping_Sheet!$E$2:$E$3143),
Master_Mapping_Sheet!$C$2:$C$3143=S$1,
Master_Mapping_Sheet!$H$2:$H$3143=$A19))/sum(filter(
Master_Mapping_Sheet!$E$2:$E$3143, ISNUMBER(
Master_Mapping_Sh"&amp;"eet!$E$2:$E$3143),
Master_Mapping_Sheet!$H$2:$H$3143=$A19))), 0, sum(filter(
Master_Mapping_Sheet!$E$2:$E$3143, ISNUMBER(
Master_Mapping_Sheet!$E$2:$E$3143),
Master_Mapping_Sheet!$C$2:$C$3143=S$1,
Master_Mapping_Sheet!$H$2:$H$3143=$A19))/sum(filter(
Maste"&amp;"r_Mapping_Sheet!$E$2:$E$3143, ISNUMBER(
Master_Mapping_Sheet!$E$2:$E$3143),
Master_Mapping_Sheet!$H$2:$H$3143=$A19)))"),0.0)</f>
        <v>0</v>
      </c>
      <c r="T19" s="34">
        <f>IFERROR(__xludf.DUMMYFUNCTION("IF(ISNA(sum(filter(
Master_Mapping_Sheet!$E$2:$E$3143, ISNUMBER(
Master_Mapping_Sheet!$E$2:$E$3143),
Master_Mapping_Sheet!$C$2:$C$3143=T$1,
Master_Mapping_Sheet!$H$2:$H$3143=$A19))/sum(filter(
Master_Mapping_Sheet!$E$2:$E$3143, ISNUMBER(
Master_Mapping_Sh"&amp;"eet!$E$2:$E$3143),
Master_Mapping_Sheet!$H$2:$H$3143=$A19))), 0, sum(filter(
Master_Mapping_Sheet!$E$2:$E$3143, ISNUMBER(
Master_Mapping_Sheet!$E$2:$E$3143),
Master_Mapping_Sheet!$C$2:$C$3143=T$1,
Master_Mapping_Sheet!$H$2:$H$3143=$A19))/sum(filter(
Maste"&amp;"r_Mapping_Sheet!$E$2:$E$3143, ISNUMBER(
Master_Mapping_Sheet!$E$2:$E$3143),
Master_Mapping_Sheet!$H$2:$H$3143=$A19)))"),0.0)</f>
        <v>0</v>
      </c>
      <c r="U19" s="34">
        <f>IFERROR(__xludf.DUMMYFUNCTION("IF(ISNA(sum(filter(
Master_Mapping_Sheet!$E$2:$E$3143, ISNUMBER(
Master_Mapping_Sheet!$E$2:$E$3143),
Master_Mapping_Sheet!$C$2:$C$3143=U$1,
Master_Mapping_Sheet!$H$2:$H$3143=$A19))/sum(filter(
Master_Mapping_Sheet!$E$2:$E$3143, ISNUMBER(
Master_Mapping_Sh"&amp;"eet!$E$2:$E$3143),
Master_Mapping_Sheet!$H$2:$H$3143=$A19))), 0, sum(filter(
Master_Mapping_Sheet!$E$2:$E$3143, ISNUMBER(
Master_Mapping_Sheet!$E$2:$E$3143),
Master_Mapping_Sheet!$C$2:$C$3143=U$1,
Master_Mapping_Sheet!$H$2:$H$3143=$A19))/sum(filter(
Maste"&amp;"r_Mapping_Sheet!$E$2:$E$3143, ISNUMBER(
Master_Mapping_Sheet!$E$2:$E$3143),
Master_Mapping_Sheet!$H$2:$H$3143=$A19)))"),0.0)</f>
        <v>0</v>
      </c>
      <c r="V19" s="34">
        <f>IFERROR(__xludf.DUMMYFUNCTION("IF(ISNA(sum(filter(
Master_Mapping_Sheet!$E$2:$E$3143, ISNUMBER(
Master_Mapping_Sheet!$E$2:$E$3143),
Master_Mapping_Sheet!$C$2:$C$3143=V$1,
Master_Mapping_Sheet!$H$2:$H$3143=$A19))/sum(filter(
Master_Mapping_Sheet!$E$2:$E$3143, ISNUMBER(
Master_Mapping_Sh"&amp;"eet!$E$2:$E$3143),
Master_Mapping_Sheet!$H$2:$H$3143=$A19))), 0, sum(filter(
Master_Mapping_Sheet!$E$2:$E$3143, ISNUMBER(
Master_Mapping_Sheet!$E$2:$E$3143),
Master_Mapping_Sheet!$C$2:$C$3143=V$1,
Master_Mapping_Sheet!$H$2:$H$3143=$A19))/sum(filter(
Maste"&amp;"r_Mapping_Sheet!$E$2:$E$3143, ISNUMBER(
Master_Mapping_Sheet!$E$2:$E$3143),
Master_Mapping_Sheet!$H$2:$H$3143=$A19)))"),0.0)</f>
        <v>0</v>
      </c>
      <c r="W19" s="34">
        <f>IFERROR(__xludf.DUMMYFUNCTION("IF(ISNA(sum(filter(
Master_Mapping_Sheet!$E$2:$E$3143, ISNUMBER(
Master_Mapping_Sheet!$E$2:$E$3143),
Master_Mapping_Sheet!$C$2:$C$3143=W$1,
Master_Mapping_Sheet!$H$2:$H$3143=$A19))/sum(filter(
Master_Mapping_Sheet!$E$2:$E$3143, ISNUMBER(
Master_Mapping_Sh"&amp;"eet!$E$2:$E$3143),
Master_Mapping_Sheet!$H$2:$H$3143=$A19))), 0, sum(filter(
Master_Mapping_Sheet!$E$2:$E$3143, ISNUMBER(
Master_Mapping_Sheet!$E$2:$E$3143),
Master_Mapping_Sheet!$C$2:$C$3143=W$1,
Master_Mapping_Sheet!$H$2:$H$3143=$A19))/sum(filter(
Maste"&amp;"r_Mapping_Sheet!$E$2:$E$3143, ISNUMBER(
Master_Mapping_Sheet!$E$2:$E$3143),
Master_Mapping_Sheet!$H$2:$H$3143=$A19)))"),0.0)</f>
        <v>0</v>
      </c>
      <c r="X19" s="34">
        <f>IFERROR(__xludf.DUMMYFUNCTION("IF(ISNA(sum(filter(
Master_Mapping_Sheet!$E$2:$E$3143, ISNUMBER(
Master_Mapping_Sheet!$E$2:$E$3143),
Master_Mapping_Sheet!$C$2:$C$3143=X$1,
Master_Mapping_Sheet!$H$2:$H$3143=$A19))/sum(filter(
Master_Mapping_Sheet!$E$2:$E$3143, ISNUMBER(
Master_Mapping_Sh"&amp;"eet!$E$2:$E$3143),
Master_Mapping_Sheet!$H$2:$H$3143=$A19))), 0, sum(filter(
Master_Mapping_Sheet!$E$2:$E$3143, ISNUMBER(
Master_Mapping_Sheet!$E$2:$E$3143),
Master_Mapping_Sheet!$C$2:$C$3143=X$1,
Master_Mapping_Sheet!$H$2:$H$3143=$A19))/sum(filter(
Maste"&amp;"r_Mapping_Sheet!$E$2:$E$3143, ISNUMBER(
Master_Mapping_Sheet!$E$2:$E$3143),
Master_Mapping_Sheet!$H$2:$H$3143=$A19)))"),0.0)</f>
        <v>0</v>
      </c>
      <c r="Y19" s="34">
        <f>IFERROR(__xludf.DUMMYFUNCTION("IF(ISNA(sum(filter(
Master_Mapping_Sheet!$E$2:$E$3143, ISNUMBER(
Master_Mapping_Sheet!$E$2:$E$3143),
Master_Mapping_Sheet!$C$2:$C$3143=Y$1,
Master_Mapping_Sheet!$H$2:$H$3143=$A19))/sum(filter(
Master_Mapping_Sheet!$E$2:$E$3143, ISNUMBER(
Master_Mapping_Sh"&amp;"eet!$E$2:$E$3143),
Master_Mapping_Sheet!$H$2:$H$3143=$A19))), 0, sum(filter(
Master_Mapping_Sheet!$E$2:$E$3143, ISNUMBER(
Master_Mapping_Sheet!$E$2:$E$3143),
Master_Mapping_Sheet!$C$2:$C$3143=Y$1,
Master_Mapping_Sheet!$H$2:$H$3143=$A19))/sum(filter(
Maste"&amp;"r_Mapping_Sheet!$E$2:$E$3143, ISNUMBER(
Master_Mapping_Sheet!$E$2:$E$3143),
Master_Mapping_Sheet!$H$2:$H$3143=$A19)))"),0.0)</f>
        <v>0</v>
      </c>
      <c r="Z19" s="34">
        <f>IFERROR(__xludf.DUMMYFUNCTION("IF(ISNA(sum(filter(
Master_Mapping_Sheet!$E$2:$E$3143, ISNUMBER(
Master_Mapping_Sheet!$E$2:$E$3143),
Master_Mapping_Sheet!$C$2:$C$3143=Z$1,
Master_Mapping_Sheet!$H$2:$H$3143=$A19))/sum(filter(
Master_Mapping_Sheet!$E$2:$E$3143, ISNUMBER(
Master_Mapping_Sh"&amp;"eet!$E$2:$E$3143),
Master_Mapping_Sheet!$H$2:$H$3143=$A19))), 0, sum(filter(
Master_Mapping_Sheet!$E$2:$E$3143, ISNUMBER(
Master_Mapping_Sheet!$E$2:$E$3143),
Master_Mapping_Sheet!$C$2:$C$3143=Z$1,
Master_Mapping_Sheet!$H$2:$H$3143=$A19))/sum(filter(
Maste"&amp;"r_Mapping_Sheet!$E$2:$E$3143, ISNUMBER(
Master_Mapping_Sheet!$E$2:$E$3143),
Master_Mapping_Sheet!$H$2:$H$3143=$A19)))"),0.0)</f>
        <v>0</v>
      </c>
      <c r="AA19" s="34">
        <f>IFERROR(__xludf.DUMMYFUNCTION("IF(ISNA(sum(filter(
Master_Mapping_Sheet!$E$2:$E$3143, ISNUMBER(
Master_Mapping_Sheet!$E$2:$E$3143),
Master_Mapping_Sheet!$C$2:$C$3143=AA$1,
Master_Mapping_Sheet!$H$2:$H$3143=$A19))/sum(filter(
Master_Mapping_Sheet!$E$2:$E$3143, ISNUMBER(
Master_Mapping_S"&amp;"heet!$E$2:$E$3143),
Master_Mapping_Sheet!$H$2:$H$3143=$A19))), 0, sum(filter(
Master_Mapping_Sheet!$E$2:$E$3143, ISNUMBER(
Master_Mapping_Sheet!$E$2:$E$3143),
Master_Mapping_Sheet!$C$2:$C$3143=AA$1,
Master_Mapping_Sheet!$H$2:$H$3143=$A19))/sum(filter(
Mas"&amp;"ter_Mapping_Sheet!$E$2:$E$3143, ISNUMBER(
Master_Mapping_Sheet!$E$2:$E$3143),
Master_Mapping_Sheet!$H$2:$H$3143=$A19)))"),0.47209669392822856)</f>
        <v>0.4720966939</v>
      </c>
      <c r="AB19" s="34">
        <f>IFERROR(__xludf.DUMMYFUNCTION("IF(ISNA(sum(filter(
Master_Mapping_Sheet!$E$2:$E$3143, ISNUMBER(
Master_Mapping_Sheet!$E$2:$E$3143),
Master_Mapping_Sheet!$C$2:$C$3143=AB$1,
Master_Mapping_Sheet!$H$2:$H$3143=$A19))/sum(filter(
Master_Mapping_Sheet!$E$2:$E$3143, ISNUMBER(
Master_Mapping_S"&amp;"heet!$E$2:$E$3143),
Master_Mapping_Sheet!$H$2:$H$3143=$A19))), 0, sum(filter(
Master_Mapping_Sheet!$E$2:$E$3143, ISNUMBER(
Master_Mapping_Sheet!$E$2:$E$3143),
Master_Mapping_Sheet!$C$2:$C$3143=AB$1,
Master_Mapping_Sheet!$H$2:$H$3143=$A19))/sum(filter(
Mas"&amp;"ter_Mapping_Sheet!$E$2:$E$3143, ISNUMBER(
Master_Mapping_Sheet!$E$2:$E$3143),
Master_Mapping_Sheet!$H$2:$H$3143=$A19)))"),0.0)</f>
        <v>0</v>
      </c>
      <c r="AC19" s="34">
        <f>IFERROR(__xludf.DUMMYFUNCTION("IF(ISNA(sum(filter(
Master_Mapping_Sheet!$E$2:$E$3143, ISNUMBER(
Master_Mapping_Sheet!$E$2:$E$3143),
Master_Mapping_Sheet!$C$2:$C$3143=AC$1,
Master_Mapping_Sheet!$H$2:$H$3143=$A19))/sum(filter(
Master_Mapping_Sheet!$E$2:$E$3143, ISNUMBER(
Master_Mapping_S"&amp;"heet!$E$2:$E$3143),
Master_Mapping_Sheet!$H$2:$H$3143=$A19))), 0, sum(filter(
Master_Mapping_Sheet!$E$2:$E$3143, ISNUMBER(
Master_Mapping_Sheet!$E$2:$E$3143),
Master_Mapping_Sheet!$C$2:$C$3143=AC$1,
Master_Mapping_Sheet!$H$2:$H$3143=$A19))/sum(filter(
Mas"&amp;"ter_Mapping_Sheet!$E$2:$E$3143, ISNUMBER(
Master_Mapping_Sheet!$E$2:$E$3143),
Master_Mapping_Sheet!$H$2:$H$3143=$A19)))"),0.0)</f>
        <v>0</v>
      </c>
      <c r="AD19" s="34">
        <f>IFERROR(__xludf.DUMMYFUNCTION("IF(ISNA(sum(filter(
Master_Mapping_Sheet!$E$2:$E$3143, ISNUMBER(
Master_Mapping_Sheet!$E$2:$E$3143),
Master_Mapping_Sheet!$C$2:$C$3143=AD$1,
Master_Mapping_Sheet!$H$2:$H$3143=$A19))/sum(filter(
Master_Mapping_Sheet!$E$2:$E$3143, ISNUMBER(
Master_Mapping_S"&amp;"heet!$E$2:$E$3143),
Master_Mapping_Sheet!$H$2:$H$3143=$A19))), 0, sum(filter(
Master_Mapping_Sheet!$E$2:$E$3143, ISNUMBER(
Master_Mapping_Sheet!$E$2:$E$3143),
Master_Mapping_Sheet!$C$2:$C$3143=AD$1,
Master_Mapping_Sheet!$H$2:$H$3143=$A19))/sum(filter(
Mas"&amp;"ter_Mapping_Sheet!$E$2:$E$3143, ISNUMBER(
Master_Mapping_Sheet!$E$2:$E$3143),
Master_Mapping_Sheet!$H$2:$H$3143=$A19)))"),0.0)</f>
        <v>0</v>
      </c>
      <c r="AE19" s="34">
        <f>IFERROR(__xludf.DUMMYFUNCTION("IF(ISNA(sum(filter(
Master_Mapping_Sheet!$E$2:$E$3143, ISNUMBER(
Master_Mapping_Sheet!$E$2:$E$3143),
Master_Mapping_Sheet!$C$2:$C$3143=AE$1,
Master_Mapping_Sheet!$H$2:$H$3143=$A19))/sum(filter(
Master_Mapping_Sheet!$E$2:$E$3143, ISNUMBER(
Master_Mapping_S"&amp;"heet!$E$2:$E$3143),
Master_Mapping_Sheet!$H$2:$H$3143=$A19))), 0, sum(filter(
Master_Mapping_Sheet!$E$2:$E$3143, ISNUMBER(
Master_Mapping_Sheet!$E$2:$E$3143),
Master_Mapping_Sheet!$C$2:$C$3143=AE$1,
Master_Mapping_Sheet!$H$2:$H$3143=$A19))/sum(filter(
Mas"&amp;"ter_Mapping_Sheet!$E$2:$E$3143, ISNUMBER(
Master_Mapping_Sheet!$E$2:$E$3143),
Master_Mapping_Sheet!$H$2:$H$3143=$A19)))"),0.0)</f>
        <v>0</v>
      </c>
      <c r="AF19" s="34">
        <f>IFERROR(__xludf.DUMMYFUNCTION("IF(ISNA(sum(filter(
Master_Mapping_Sheet!$E$2:$E$3143, ISNUMBER(
Master_Mapping_Sheet!$E$2:$E$3143),
Master_Mapping_Sheet!$C$2:$C$3143=AF$1,
Master_Mapping_Sheet!$H$2:$H$3143=$A19))/sum(filter(
Master_Mapping_Sheet!$E$2:$E$3143, ISNUMBER(
Master_Mapping_S"&amp;"heet!$E$2:$E$3143),
Master_Mapping_Sheet!$H$2:$H$3143=$A19))), 0, sum(filter(
Master_Mapping_Sheet!$E$2:$E$3143, ISNUMBER(
Master_Mapping_Sheet!$E$2:$E$3143),
Master_Mapping_Sheet!$C$2:$C$3143=AF$1,
Master_Mapping_Sheet!$H$2:$H$3143=$A19))/sum(filter(
Mas"&amp;"ter_Mapping_Sheet!$E$2:$E$3143, ISNUMBER(
Master_Mapping_Sheet!$E$2:$E$3143),
Master_Mapping_Sheet!$H$2:$H$3143=$A19)))"),0.0)</f>
        <v>0</v>
      </c>
      <c r="AG19" s="34">
        <f>IFERROR(__xludf.DUMMYFUNCTION("IF(ISNA(sum(filter(
Master_Mapping_Sheet!$E$2:$E$3143, ISNUMBER(
Master_Mapping_Sheet!$E$2:$E$3143),
Master_Mapping_Sheet!$C$2:$C$3143=AG$1,
Master_Mapping_Sheet!$H$2:$H$3143=$A19))/sum(filter(
Master_Mapping_Sheet!$E$2:$E$3143, ISNUMBER(
Master_Mapping_S"&amp;"heet!$E$2:$E$3143),
Master_Mapping_Sheet!$H$2:$H$3143=$A19))), 0, sum(filter(
Master_Mapping_Sheet!$E$2:$E$3143, ISNUMBER(
Master_Mapping_Sheet!$E$2:$E$3143),
Master_Mapping_Sheet!$C$2:$C$3143=AG$1,
Master_Mapping_Sheet!$H$2:$H$3143=$A19))/sum(filter(
Mas"&amp;"ter_Mapping_Sheet!$E$2:$E$3143, ISNUMBER(
Master_Mapping_Sheet!$E$2:$E$3143),
Master_Mapping_Sheet!$H$2:$H$3143=$A19)))"),0.0)</f>
        <v>0</v>
      </c>
      <c r="AH19" s="34">
        <f>IFERROR(__xludf.DUMMYFUNCTION("IF(ISNA(sum(filter(
Master_Mapping_Sheet!$E$2:$E$3143, ISNUMBER(
Master_Mapping_Sheet!$E$2:$E$3143),
Master_Mapping_Sheet!$C$2:$C$3143=AH$1,
Master_Mapping_Sheet!$H$2:$H$3143=$A19))/sum(filter(
Master_Mapping_Sheet!$E$2:$E$3143, ISNUMBER(
Master_Mapping_S"&amp;"heet!$E$2:$E$3143),
Master_Mapping_Sheet!$H$2:$H$3143=$A19))), 0, sum(filter(
Master_Mapping_Sheet!$E$2:$E$3143, ISNUMBER(
Master_Mapping_Sheet!$E$2:$E$3143),
Master_Mapping_Sheet!$C$2:$C$3143=AH$1,
Master_Mapping_Sheet!$H$2:$H$3143=$A19))/sum(filter(
Mas"&amp;"ter_Mapping_Sheet!$E$2:$E$3143, ISNUMBER(
Master_Mapping_Sheet!$E$2:$E$3143),
Master_Mapping_Sheet!$H$2:$H$3143=$A19)))"),0.0)</f>
        <v>0</v>
      </c>
      <c r="AI19" s="34">
        <f>IFERROR(__xludf.DUMMYFUNCTION("IF(ISNA(sum(filter(
Master_Mapping_Sheet!$E$2:$E$3143, ISNUMBER(
Master_Mapping_Sheet!$E$2:$E$3143),
Master_Mapping_Sheet!$C$2:$C$3143=AI$1,
Master_Mapping_Sheet!$H$2:$H$3143=$A19))/sum(filter(
Master_Mapping_Sheet!$E$2:$E$3143, ISNUMBER(
Master_Mapping_S"&amp;"heet!$E$2:$E$3143),
Master_Mapping_Sheet!$H$2:$H$3143=$A19))), 0, sum(filter(
Master_Mapping_Sheet!$E$2:$E$3143, ISNUMBER(
Master_Mapping_Sheet!$E$2:$E$3143),
Master_Mapping_Sheet!$C$2:$C$3143=AI$1,
Master_Mapping_Sheet!$H$2:$H$3143=$A19))/sum(filter(
Mas"&amp;"ter_Mapping_Sheet!$E$2:$E$3143, ISNUMBER(
Master_Mapping_Sheet!$E$2:$E$3143),
Master_Mapping_Sheet!$H$2:$H$3143=$A19)))"),0.0)</f>
        <v>0</v>
      </c>
      <c r="AJ19" s="34">
        <f>IFERROR(__xludf.DUMMYFUNCTION("IF(ISNA(sum(filter(
Master_Mapping_Sheet!$E$2:$E$3143, ISNUMBER(
Master_Mapping_Sheet!$E$2:$E$3143),
Master_Mapping_Sheet!$C$2:$C$3143=AJ$1,
Master_Mapping_Sheet!$H$2:$H$3143=$A19))/sum(filter(
Master_Mapping_Sheet!$E$2:$E$3143, ISNUMBER(
Master_Mapping_S"&amp;"heet!$E$2:$E$3143),
Master_Mapping_Sheet!$H$2:$H$3143=$A19))), 0, sum(filter(
Master_Mapping_Sheet!$E$2:$E$3143, ISNUMBER(
Master_Mapping_Sheet!$E$2:$E$3143),
Master_Mapping_Sheet!$C$2:$C$3143=AJ$1,
Master_Mapping_Sheet!$H$2:$H$3143=$A19))/sum(filter(
Mas"&amp;"ter_Mapping_Sheet!$E$2:$E$3143, ISNUMBER(
Master_Mapping_Sheet!$E$2:$E$3143),
Master_Mapping_Sheet!$H$2:$H$3143=$A19)))"),0.0)</f>
        <v>0</v>
      </c>
      <c r="AK19" s="34">
        <f>IFERROR(__xludf.DUMMYFUNCTION("IF(ISNA(sum(filter(
Master_Mapping_Sheet!$E$2:$E$3143, ISNUMBER(
Master_Mapping_Sheet!$E$2:$E$3143),
Master_Mapping_Sheet!$C$2:$C$3143=AK$1,
Master_Mapping_Sheet!$H$2:$H$3143=$A19))/sum(filter(
Master_Mapping_Sheet!$E$2:$E$3143, ISNUMBER(
Master_Mapping_S"&amp;"heet!$E$2:$E$3143),
Master_Mapping_Sheet!$H$2:$H$3143=$A19))), 0, sum(filter(
Master_Mapping_Sheet!$E$2:$E$3143, ISNUMBER(
Master_Mapping_Sheet!$E$2:$E$3143),
Master_Mapping_Sheet!$C$2:$C$3143=AK$1,
Master_Mapping_Sheet!$H$2:$H$3143=$A19))/sum(filter(
Mas"&amp;"ter_Mapping_Sheet!$E$2:$E$3143, ISNUMBER(
Master_Mapping_Sheet!$E$2:$E$3143),
Master_Mapping_Sheet!$H$2:$H$3143=$A19)))"),0.0)</f>
        <v>0</v>
      </c>
      <c r="AL19" s="34">
        <f>IFERROR(__xludf.DUMMYFUNCTION("IF(ISNA(sum(filter(
Master_Mapping_Sheet!$E$2:$E$3143, ISNUMBER(
Master_Mapping_Sheet!$E$2:$E$3143),
Master_Mapping_Sheet!$C$2:$C$3143=AL$1,
Master_Mapping_Sheet!$H$2:$H$3143=$A19))/sum(filter(
Master_Mapping_Sheet!$E$2:$E$3143, ISNUMBER(
Master_Mapping_S"&amp;"heet!$E$2:$E$3143),
Master_Mapping_Sheet!$H$2:$H$3143=$A19))), 0, sum(filter(
Master_Mapping_Sheet!$E$2:$E$3143, ISNUMBER(
Master_Mapping_Sheet!$E$2:$E$3143),
Master_Mapping_Sheet!$C$2:$C$3143=AL$1,
Master_Mapping_Sheet!$H$2:$H$3143=$A19))/sum(filter(
Mas"&amp;"ter_Mapping_Sheet!$E$2:$E$3143, ISNUMBER(
Master_Mapping_Sheet!$E$2:$E$3143),
Master_Mapping_Sheet!$H$2:$H$3143=$A19)))"),0.0)</f>
        <v>0</v>
      </c>
      <c r="AM19" s="34">
        <f>IFERROR(__xludf.DUMMYFUNCTION("IF(ISNA(sum(filter(
Master_Mapping_Sheet!$E$2:$E$3143, ISNUMBER(
Master_Mapping_Sheet!$E$2:$E$3143),
Master_Mapping_Sheet!$C$2:$C$3143=AM$1,
Master_Mapping_Sheet!$H$2:$H$3143=$A19))/sum(filter(
Master_Mapping_Sheet!$E$2:$E$3143, ISNUMBER(
Master_Mapping_S"&amp;"heet!$E$2:$E$3143),
Master_Mapping_Sheet!$H$2:$H$3143=$A19))), 0, sum(filter(
Master_Mapping_Sheet!$E$2:$E$3143, ISNUMBER(
Master_Mapping_Sheet!$E$2:$E$3143),
Master_Mapping_Sheet!$C$2:$C$3143=AM$1,
Master_Mapping_Sheet!$H$2:$H$3143=$A19))/sum(filter(
Mas"&amp;"ter_Mapping_Sheet!$E$2:$E$3143, ISNUMBER(
Master_Mapping_Sheet!$E$2:$E$3143),
Master_Mapping_Sheet!$H$2:$H$3143=$A19)))"),0.0)</f>
        <v>0</v>
      </c>
      <c r="AN19" s="34">
        <f>IFERROR(__xludf.DUMMYFUNCTION("IF(ISNA(sum(filter(
Master_Mapping_Sheet!$E$2:$E$3143, ISNUMBER(
Master_Mapping_Sheet!$E$2:$E$3143),
Master_Mapping_Sheet!$C$2:$C$3143=AN$1,
Master_Mapping_Sheet!$H$2:$H$3143=$A19))/sum(filter(
Master_Mapping_Sheet!$E$2:$E$3143, ISNUMBER(
Master_Mapping_S"&amp;"heet!$E$2:$E$3143),
Master_Mapping_Sheet!$H$2:$H$3143=$A19))), 0, sum(filter(
Master_Mapping_Sheet!$E$2:$E$3143, ISNUMBER(
Master_Mapping_Sheet!$E$2:$E$3143),
Master_Mapping_Sheet!$C$2:$C$3143=AN$1,
Master_Mapping_Sheet!$H$2:$H$3143=$A19))/sum(filter(
Mas"&amp;"ter_Mapping_Sheet!$E$2:$E$3143, ISNUMBER(
Master_Mapping_Sheet!$E$2:$E$3143),
Master_Mapping_Sheet!$H$2:$H$3143=$A19)))"),0.0)</f>
        <v>0</v>
      </c>
      <c r="AO19" s="34">
        <f>IFERROR(__xludf.DUMMYFUNCTION("IF(ISNA(sum(filter(
Master_Mapping_Sheet!$E$2:$E$3143, ISNUMBER(
Master_Mapping_Sheet!$E$2:$E$3143),
Master_Mapping_Sheet!$C$2:$C$3143=AO$1,
Master_Mapping_Sheet!$H$2:$H$3143=$A19))/sum(filter(
Master_Mapping_Sheet!$E$2:$E$3143, ISNUMBER(
Master_Mapping_S"&amp;"heet!$E$2:$E$3143),
Master_Mapping_Sheet!$H$2:$H$3143=$A19))), 0, sum(filter(
Master_Mapping_Sheet!$E$2:$E$3143, ISNUMBER(
Master_Mapping_Sheet!$E$2:$E$3143),
Master_Mapping_Sheet!$C$2:$C$3143=AO$1,
Master_Mapping_Sheet!$H$2:$H$3143=$A19))/sum(filter(
Mas"&amp;"ter_Mapping_Sheet!$E$2:$E$3143, ISNUMBER(
Master_Mapping_Sheet!$E$2:$E$3143),
Master_Mapping_Sheet!$H$2:$H$3143=$A19)))"),0.0)</f>
        <v>0</v>
      </c>
      <c r="AP19" s="34">
        <f>IFERROR(__xludf.DUMMYFUNCTION("IF(ISNA(sum(filter(
Master_Mapping_Sheet!$E$2:$E$3143, ISNUMBER(
Master_Mapping_Sheet!$E$2:$E$3143),
Master_Mapping_Sheet!$C$2:$C$3143=AP$1,
Master_Mapping_Sheet!$H$2:$H$3143=$A19))/sum(filter(
Master_Mapping_Sheet!$E$2:$E$3143, ISNUMBER(
Master_Mapping_S"&amp;"heet!$E$2:$E$3143),
Master_Mapping_Sheet!$H$2:$H$3143=$A19))), 0, sum(filter(
Master_Mapping_Sheet!$E$2:$E$3143, ISNUMBER(
Master_Mapping_Sheet!$E$2:$E$3143),
Master_Mapping_Sheet!$C$2:$C$3143=AP$1,
Master_Mapping_Sheet!$H$2:$H$3143=$A19))/sum(filter(
Mas"&amp;"ter_Mapping_Sheet!$E$2:$E$3143, ISNUMBER(
Master_Mapping_Sheet!$E$2:$E$3143),
Master_Mapping_Sheet!$H$2:$H$3143=$A19)))"),0.0)</f>
        <v>0</v>
      </c>
      <c r="AQ19" s="34">
        <f>IFERROR(__xludf.DUMMYFUNCTION("IF(ISNA(sum(filter(
Master_Mapping_Sheet!$E$2:$E$3143, ISNUMBER(
Master_Mapping_Sheet!$E$2:$E$3143),
Master_Mapping_Sheet!$C$2:$C$3143=AQ$1,
Master_Mapping_Sheet!$H$2:$H$3143=$A19))/sum(filter(
Master_Mapping_Sheet!$E$2:$E$3143, ISNUMBER(
Master_Mapping_S"&amp;"heet!$E$2:$E$3143),
Master_Mapping_Sheet!$H$2:$H$3143=$A19))), 0, sum(filter(
Master_Mapping_Sheet!$E$2:$E$3143, ISNUMBER(
Master_Mapping_Sheet!$E$2:$E$3143),
Master_Mapping_Sheet!$C$2:$C$3143=AQ$1,
Master_Mapping_Sheet!$H$2:$H$3143=$A19))/sum(filter(
Mas"&amp;"ter_Mapping_Sheet!$E$2:$E$3143, ISNUMBER(
Master_Mapping_Sheet!$E$2:$E$3143),
Master_Mapping_Sheet!$H$2:$H$3143=$A19)))"),0.0)</f>
        <v>0</v>
      </c>
      <c r="AR19" s="34">
        <f>IFERROR(__xludf.DUMMYFUNCTION("IF(ISNA(sum(filter(
Master_Mapping_Sheet!$E$2:$E$3143, ISNUMBER(
Master_Mapping_Sheet!$E$2:$E$3143),
Master_Mapping_Sheet!$C$2:$C$3143=AR$1,
Master_Mapping_Sheet!$H$2:$H$3143=$A19))/sum(filter(
Master_Mapping_Sheet!$E$2:$E$3143, ISNUMBER(
Master_Mapping_S"&amp;"heet!$E$2:$E$3143),
Master_Mapping_Sheet!$H$2:$H$3143=$A19))), 0, sum(filter(
Master_Mapping_Sheet!$E$2:$E$3143, ISNUMBER(
Master_Mapping_Sheet!$E$2:$E$3143),
Master_Mapping_Sheet!$C$2:$C$3143=AR$1,
Master_Mapping_Sheet!$H$2:$H$3143=$A19))/sum(filter(
Mas"&amp;"ter_Mapping_Sheet!$E$2:$E$3143, ISNUMBER(
Master_Mapping_Sheet!$E$2:$E$3143),
Master_Mapping_Sheet!$H$2:$H$3143=$A19)))"),0.0)</f>
        <v>0</v>
      </c>
      <c r="AS19" s="34">
        <f>IFERROR(__xludf.DUMMYFUNCTION("IF(ISNA(sum(filter(
Master_Mapping_Sheet!$E$2:$E$3143, ISNUMBER(
Master_Mapping_Sheet!$E$2:$E$3143),
Master_Mapping_Sheet!$C$2:$C$3143=AS$1,
Master_Mapping_Sheet!$H$2:$H$3143=$A19))/sum(filter(
Master_Mapping_Sheet!$E$2:$E$3143, ISNUMBER(
Master_Mapping_S"&amp;"heet!$E$2:$E$3143),
Master_Mapping_Sheet!$H$2:$H$3143=$A19))), 0, sum(filter(
Master_Mapping_Sheet!$E$2:$E$3143, ISNUMBER(
Master_Mapping_Sheet!$E$2:$E$3143),
Master_Mapping_Sheet!$C$2:$C$3143=AS$1,
Master_Mapping_Sheet!$H$2:$H$3143=$A19))/sum(filter(
Mas"&amp;"ter_Mapping_Sheet!$E$2:$E$3143, ISNUMBER(
Master_Mapping_Sheet!$E$2:$E$3143),
Master_Mapping_Sheet!$H$2:$H$3143=$A19)))"),0.0)</f>
        <v>0</v>
      </c>
      <c r="AT19" s="34">
        <f>IFERROR(__xludf.DUMMYFUNCTION("IF(ISNA(sum(filter(
Master_Mapping_Sheet!$E$2:$E$3143, ISNUMBER(
Master_Mapping_Sheet!$E$2:$E$3143),
Master_Mapping_Sheet!$C$2:$C$3143=AT$1,
Master_Mapping_Sheet!$H$2:$H$3143=$A19))/sum(filter(
Master_Mapping_Sheet!$E$2:$E$3143, ISNUMBER(
Master_Mapping_S"&amp;"heet!$E$2:$E$3143),
Master_Mapping_Sheet!$H$2:$H$3143=$A19))), 0, sum(filter(
Master_Mapping_Sheet!$E$2:$E$3143, ISNUMBER(
Master_Mapping_Sheet!$E$2:$E$3143),
Master_Mapping_Sheet!$C$2:$C$3143=AT$1,
Master_Mapping_Sheet!$H$2:$H$3143=$A19))/sum(filter(
Mas"&amp;"ter_Mapping_Sheet!$E$2:$E$3143, ISNUMBER(
Master_Mapping_Sheet!$E$2:$E$3143),
Master_Mapping_Sheet!$H$2:$H$3143=$A19)))"),0.0)</f>
        <v>0</v>
      </c>
      <c r="AU19" s="34">
        <f>IFERROR(__xludf.DUMMYFUNCTION("IF(ISNA(sum(filter(
Master_Mapping_Sheet!$E$2:$E$3143, ISNUMBER(
Master_Mapping_Sheet!$E$2:$E$3143),
Master_Mapping_Sheet!$C$2:$C$3143=AU$1,
Master_Mapping_Sheet!$H$2:$H$3143=$A19))/sum(filter(
Master_Mapping_Sheet!$E$2:$E$3143, ISNUMBER(
Master_Mapping_S"&amp;"heet!$E$2:$E$3143),
Master_Mapping_Sheet!$H$2:$H$3143=$A19))), 0, sum(filter(
Master_Mapping_Sheet!$E$2:$E$3143, ISNUMBER(
Master_Mapping_Sheet!$E$2:$E$3143),
Master_Mapping_Sheet!$C$2:$C$3143=AU$1,
Master_Mapping_Sheet!$H$2:$H$3143=$A19))/sum(filter(
Mas"&amp;"ter_Mapping_Sheet!$E$2:$E$3143, ISNUMBER(
Master_Mapping_Sheet!$E$2:$E$3143),
Master_Mapping_Sheet!$H$2:$H$3143=$A19)))"),0.0)</f>
        <v>0</v>
      </c>
      <c r="AV19" s="34">
        <f>IFERROR(__xludf.DUMMYFUNCTION("IF(ISNA(sum(filter(
Master_Mapping_Sheet!$E$2:$E$3143, ISNUMBER(
Master_Mapping_Sheet!$E$2:$E$3143),
Master_Mapping_Sheet!$C$2:$C$3143=AV$1,
Master_Mapping_Sheet!$H$2:$H$3143=$A19))/sum(filter(
Master_Mapping_Sheet!$E$2:$E$3143, ISNUMBER(
Master_Mapping_S"&amp;"heet!$E$2:$E$3143),
Master_Mapping_Sheet!$H$2:$H$3143=$A19))), 0, sum(filter(
Master_Mapping_Sheet!$E$2:$E$3143, ISNUMBER(
Master_Mapping_Sheet!$E$2:$E$3143),
Master_Mapping_Sheet!$C$2:$C$3143=AV$1,
Master_Mapping_Sheet!$H$2:$H$3143=$A19))/sum(filter(
Mas"&amp;"ter_Mapping_Sheet!$E$2:$E$3143, ISNUMBER(
Master_Mapping_Sheet!$E$2:$E$3143),
Master_Mapping_Sheet!$H$2:$H$3143=$A19)))"),0.0)</f>
        <v>0</v>
      </c>
      <c r="AW19" s="34">
        <f>IFERROR(__xludf.DUMMYFUNCTION("IF(ISNA(sum(filter(
Master_Mapping_Sheet!$E$2:$E$3143, ISNUMBER(
Master_Mapping_Sheet!$E$2:$E$3143),
Master_Mapping_Sheet!$C$2:$C$3143=AW$1,
Master_Mapping_Sheet!$H$2:$H$3143=$A19))/sum(filter(
Master_Mapping_Sheet!$E$2:$E$3143, ISNUMBER(
Master_Mapping_S"&amp;"heet!$E$2:$E$3143),
Master_Mapping_Sheet!$H$2:$H$3143=$A19))), 0, sum(filter(
Master_Mapping_Sheet!$E$2:$E$3143, ISNUMBER(
Master_Mapping_Sheet!$E$2:$E$3143),
Master_Mapping_Sheet!$C$2:$C$3143=AW$1,
Master_Mapping_Sheet!$H$2:$H$3143=$A19))/sum(filter(
Mas"&amp;"ter_Mapping_Sheet!$E$2:$E$3143, ISNUMBER(
Master_Mapping_Sheet!$E$2:$E$3143),
Master_Mapping_Sheet!$H$2:$H$3143=$A19)))"),0.0)</f>
        <v>0</v>
      </c>
      <c r="AX19" s="34">
        <f>IFERROR(__xludf.DUMMYFUNCTION("IF(ISNA(sum(filter(
Master_Mapping_Sheet!$E$2:$E$3143, ISNUMBER(
Master_Mapping_Sheet!$E$2:$E$3143),
Master_Mapping_Sheet!$C$2:$C$3143=AX$1,
Master_Mapping_Sheet!$H$2:$H$3143=$A19))/sum(filter(
Master_Mapping_Sheet!$E$2:$E$3143, ISNUMBER(
Master_Mapping_S"&amp;"heet!$E$2:$E$3143),
Master_Mapping_Sheet!$H$2:$H$3143=$A19))), 0, sum(filter(
Master_Mapping_Sheet!$E$2:$E$3143, ISNUMBER(
Master_Mapping_Sheet!$E$2:$E$3143),
Master_Mapping_Sheet!$C$2:$C$3143=AX$1,
Master_Mapping_Sheet!$H$2:$H$3143=$A19))/sum(filter(
Mas"&amp;"ter_Mapping_Sheet!$E$2:$E$3143, ISNUMBER(
Master_Mapping_Sheet!$E$2:$E$3143),
Master_Mapping_Sheet!$H$2:$H$3143=$A19)))"),0.0)</f>
        <v>0</v>
      </c>
      <c r="AY19" s="34">
        <f>IFERROR(__xludf.DUMMYFUNCTION("IF(ISNA(sum(filter(
Master_Mapping_Sheet!$E$2:$E$3143, ISNUMBER(
Master_Mapping_Sheet!$E$2:$E$3143),
Master_Mapping_Sheet!$C$2:$C$3143=AY$1,
Master_Mapping_Sheet!$H$2:$H$3143=$A19))/sum(filter(
Master_Mapping_Sheet!$E$2:$E$3143, ISNUMBER(
Master_Mapping_S"&amp;"heet!$E$2:$E$3143),
Master_Mapping_Sheet!$H$2:$H$3143=$A19))), 0, sum(filter(
Master_Mapping_Sheet!$E$2:$E$3143, ISNUMBER(
Master_Mapping_Sheet!$E$2:$E$3143),
Master_Mapping_Sheet!$C$2:$C$3143=AY$1,
Master_Mapping_Sheet!$H$2:$H$3143=$A19))/sum(filter(
Mas"&amp;"ter_Mapping_Sheet!$E$2:$E$3143, ISNUMBER(
Master_Mapping_Sheet!$E$2:$E$3143),
Master_Mapping_Sheet!$H$2:$H$3143=$A19)))"),0.0)</f>
        <v>0</v>
      </c>
      <c r="AZ19" s="34">
        <f>IFERROR(__xludf.DUMMYFUNCTION("IF(ISNA(sum(filter(
Master_Mapping_Sheet!$E$2:$E$3143, ISNUMBER(
Master_Mapping_Sheet!$E$2:$E$3143),
Master_Mapping_Sheet!$C$2:$C$3143=AZ$1,
Master_Mapping_Sheet!$H$2:$H$3143=$A19))/sum(filter(
Master_Mapping_Sheet!$E$2:$E$3143, ISNUMBER(
Master_Mapping_S"&amp;"heet!$E$2:$E$3143),
Master_Mapping_Sheet!$H$2:$H$3143=$A19))), 0, sum(filter(
Master_Mapping_Sheet!$E$2:$E$3143, ISNUMBER(
Master_Mapping_Sheet!$E$2:$E$3143),
Master_Mapping_Sheet!$C$2:$C$3143=AZ$1,
Master_Mapping_Sheet!$H$2:$H$3143=$A19))/sum(filter(
Mas"&amp;"ter_Mapping_Sheet!$E$2:$E$3143, ISNUMBER(
Master_Mapping_Sheet!$E$2:$E$3143),
Master_Mapping_Sheet!$H$2:$H$3143=$A19)))"),0.0)</f>
        <v>0</v>
      </c>
    </row>
    <row r="20" ht="15.75" customHeight="1">
      <c r="A20" s="34" t="s">
        <v>3999</v>
      </c>
      <c r="B20" s="34">
        <f>IFERROR(__xludf.DUMMYFUNCTION("IF(ISNA(sum(filter(
Master_Mapping_Sheet!$E$2:$E$3143, ISNUMBER(
Master_Mapping_Sheet!$E$2:$E$3143),
Master_Mapping_Sheet!$C$2:$C$3143=B$1,
Master_Mapping_Sheet!$H$2:$H$3143=$A20))/sum(filter(
Master_Mapping_Sheet!$E$2:$E$3143, ISNUMBER(
Master_Mapping_Sh"&amp;"eet!$E$2:$E$3143),
Master_Mapping_Sheet!$H$2:$H$3143=$A20))), 0, sum(filter(
Master_Mapping_Sheet!$E$2:$E$3143, ISNUMBER(
Master_Mapping_Sheet!$E$2:$E$3143),
Master_Mapping_Sheet!$C$2:$C$3143=B$1,
Master_Mapping_Sheet!$H$2:$H$3143=$A20))/sum(filter(
Maste"&amp;"r_Mapping_Sheet!$E$2:$E$3143, ISNUMBER(
Master_Mapping_Sheet!$E$2:$E$3143),
Master_Mapping_Sheet!$H$2:$H$3143=$A20)))"),0.0)</f>
        <v>0</v>
      </c>
      <c r="C20" s="34">
        <f>IFERROR(__xludf.DUMMYFUNCTION("IF(ISNA(sum(filter(
Master_Mapping_Sheet!$E$2:$E$3143, ISNUMBER(
Master_Mapping_Sheet!$E$2:$E$3143),
Master_Mapping_Sheet!$C$2:$C$3143=C$1,
Master_Mapping_Sheet!$H$2:$H$3143=$A20))/sum(filter(
Master_Mapping_Sheet!$E$2:$E$3143, ISNUMBER(
Master_Mapping_Sh"&amp;"eet!$E$2:$E$3143),
Master_Mapping_Sheet!$H$2:$H$3143=$A20))), 0, sum(filter(
Master_Mapping_Sheet!$E$2:$E$3143, ISNUMBER(
Master_Mapping_Sheet!$E$2:$E$3143),
Master_Mapping_Sheet!$C$2:$C$3143=C$1,
Master_Mapping_Sheet!$H$2:$H$3143=$A20))/sum(filter(
Maste"&amp;"r_Mapping_Sheet!$E$2:$E$3143, ISNUMBER(
Master_Mapping_Sheet!$E$2:$E$3143),
Master_Mapping_Sheet!$H$2:$H$3143=$A20)))"),0.0)</f>
        <v>0</v>
      </c>
      <c r="D20" s="34">
        <f>IFERROR(__xludf.DUMMYFUNCTION("IF(ISNA(sum(filter(
Master_Mapping_Sheet!$E$2:$E$3143, ISNUMBER(
Master_Mapping_Sheet!$E$2:$E$3143),
Master_Mapping_Sheet!$C$2:$C$3143=D$1,
Master_Mapping_Sheet!$H$2:$H$3143=$A20))/sum(filter(
Master_Mapping_Sheet!$E$2:$E$3143, ISNUMBER(
Master_Mapping_Sh"&amp;"eet!$E$2:$E$3143),
Master_Mapping_Sheet!$H$2:$H$3143=$A20))), 0, sum(filter(
Master_Mapping_Sheet!$E$2:$E$3143, ISNUMBER(
Master_Mapping_Sheet!$E$2:$E$3143),
Master_Mapping_Sheet!$C$2:$C$3143=D$1,
Master_Mapping_Sheet!$H$2:$H$3143=$A20))/sum(filter(
Maste"&amp;"r_Mapping_Sheet!$E$2:$E$3143, ISNUMBER(
Master_Mapping_Sheet!$E$2:$E$3143),
Master_Mapping_Sheet!$H$2:$H$3143=$A20)))"),0.0)</f>
        <v>0</v>
      </c>
      <c r="E20" s="34">
        <f>IFERROR(__xludf.DUMMYFUNCTION("IF(ISNA(sum(filter(
Master_Mapping_Sheet!$E$2:$E$3143, ISNUMBER(
Master_Mapping_Sheet!$E$2:$E$3143),
Master_Mapping_Sheet!$C$2:$C$3143=E$1,
Master_Mapping_Sheet!$H$2:$H$3143=$A20))/sum(filter(
Master_Mapping_Sheet!$E$2:$E$3143, ISNUMBER(
Master_Mapping_Sh"&amp;"eet!$E$2:$E$3143),
Master_Mapping_Sheet!$H$2:$H$3143=$A20))), 0, sum(filter(
Master_Mapping_Sheet!$E$2:$E$3143, ISNUMBER(
Master_Mapping_Sheet!$E$2:$E$3143),
Master_Mapping_Sheet!$C$2:$C$3143=E$1,
Master_Mapping_Sheet!$H$2:$H$3143=$A20))/sum(filter(
Maste"&amp;"r_Mapping_Sheet!$E$2:$E$3143, ISNUMBER(
Master_Mapping_Sheet!$E$2:$E$3143),
Master_Mapping_Sheet!$H$2:$H$3143=$A20)))"),0.0)</f>
        <v>0</v>
      </c>
      <c r="F20" s="34">
        <f>IFERROR(__xludf.DUMMYFUNCTION("IF(ISNA(sum(filter(
Master_Mapping_Sheet!$E$2:$E$3143, ISNUMBER(
Master_Mapping_Sheet!$E$2:$E$3143),
Master_Mapping_Sheet!$C$2:$C$3143=F$1,
Master_Mapping_Sheet!$H$2:$H$3143=$A20))/sum(filter(
Master_Mapping_Sheet!$E$2:$E$3143, ISNUMBER(
Master_Mapping_Sh"&amp;"eet!$E$2:$E$3143),
Master_Mapping_Sheet!$H$2:$H$3143=$A20))), 0, sum(filter(
Master_Mapping_Sheet!$E$2:$E$3143, ISNUMBER(
Master_Mapping_Sheet!$E$2:$E$3143),
Master_Mapping_Sheet!$C$2:$C$3143=F$1,
Master_Mapping_Sheet!$H$2:$H$3143=$A20))/sum(filter(
Maste"&amp;"r_Mapping_Sheet!$E$2:$E$3143, ISNUMBER(
Master_Mapping_Sheet!$E$2:$E$3143),
Master_Mapping_Sheet!$H$2:$H$3143=$A20)))"),0.0)</f>
        <v>0</v>
      </c>
      <c r="G20" s="34">
        <f>IFERROR(__xludf.DUMMYFUNCTION("IF(ISNA(sum(filter(
Master_Mapping_Sheet!$E$2:$E$3143, ISNUMBER(
Master_Mapping_Sheet!$E$2:$E$3143),
Master_Mapping_Sheet!$C$2:$C$3143=G$1,
Master_Mapping_Sheet!$H$2:$H$3143=$A20))/sum(filter(
Master_Mapping_Sheet!$E$2:$E$3143, ISNUMBER(
Master_Mapping_Sh"&amp;"eet!$E$2:$E$3143),
Master_Mapping_Sheet!$H$2:$H$3143=$A20))), 0, sum(filter(
Master_Mapping_Sheet!$E$2:$E$3143, ISNUMBER(
Master_Mapping_Sheet!$E$2:$E$3143),
Master_Mapping_Sheet!$C$2:$C$3143=G$1,
Master_Mapping_Sheet!$H$2:$H$3143=$A20))/sum(filter(
Maste"&amp;"r_Mapping_Sheet!$E$2:$E$3143, ISNUMBER(
Master_Mapping_Sheet!$E$2:$E$3143),
Master_Mapping_Sheet!$H$2:$H$3143=$A20)))"),0.0)</f>
        <v>0</v>
      </c>
      <c r="H20" s="34">
        <f>IFERROR(__xludf.DUMMYFUNCTION("IF(ISNA(sum(filter(
Master_Mapping_Sheet!$E$2:$E$3143, ISNUMBER(
Master_Mapping_Sheet!$E$2:$E$3143),
Master_Mapping_Sheet!$C$2:$C$3143=H$1,
Master_Mapping_Sheet!$H$2:$H$3143=$A20))/sum(filter(
Master_Mapping_Sheet!$E$2:$E$3143, ISNUMBER(
Master_Mapping_Sh"&amp;"eet!$E$2:$E$3143),
Master_Mapping_Sheet!$H$2:$H$3143=$A20))), 0, sum(filter(
Master_Mapping_Sheet!$E$2:$E$3143, ISNUMBER(
Master_Mapping_Sheet!$E$2:$E$3143),
Master_Mapping_Sheet!$C$2:$C$3143=H$1,
Master_Mapping_Sheet!$H$2:$H$3143=$A20))/sum(filter(
Maste"&amp;"r_Mapping_Sheet!$E$2:$E$3143, ISNUMBER(
Master_Mapping_Sheet!$E$2:$E$3143),
Master_Mapping_Sheet!$H$2:$H$3143=$A20)))"),0.0)</f>
        <v>0</v>
      </c>
      <c r="I20" s="34">
        <f>IFERROR(__xludf.DUMMYFUNCTION("IF(ISNA(sum(filter(
Master_Mapping_Sheet!$E$2:$E$3143, ISNUMBER(
Master_Mapping_Sheet!$E$2:$E$3143),
Master_Mapping_Sheet!$C$2:$C$3143=I$1,
Master_Mapping_Sheet!$H$2:$H$3143=$A20))/sum(filter(
Master_Mapping_Sheet!$E$2:$E$3143, ISNUMBER(
Master_Mapping_Sh"&amp;"eet!$E$2:$E$3143),
Master_Mapping_Sheet!$H$2:$H$3143=$A20))), 0, sum(filter(
Master_Mapping_Sheet!$E$2:$E$3143, ISNUMBER(
Master_Mapping_Sheet!$E$2:$E$3143),
Master_Mapping_Sheet!$C$2:$C$3143=I$1,
Master_Mapping_Sheet!$H$2:$H$3143=$A20))/sum(filter(
Maste"&amp;"r_Mapping_Sheet!$E$2:$E$3143, ISNUMBER(
Master_Mapping_Sheet!$E$2:$E$3143),
Master_Mapping_Sheet!$H$2:$H$3143=$A20)))"),0.0)</f>
        <v>0</v>
      </c>
      <c r="J20" s="34">
        <f>IFERROR(__xludf.DUMMYFUNCTION("IF(ISNA(sum(filter(
Master_Mapping_Sheet!$E$2:$E$3143, ISNUMBER(
Master_Mapping_Sheet!$E$2:$E$3143),
Master_Mapping_Sheet!$C$2:$C$3143=J$1,
Master_Mapping_Sheet!$H$2:$H$3143=$A20))/sum(filter(
Master_Mapping_Sheet!$E$2:$E$3143, ISNUMBER(
Master_Mapping_Sh"&amp;"eet!$E$2:$E$3143),
Master_Mapping_Sheet!$H$2:$H$3143=$A20))), 0, sum(filter(
Master_Mapping_Sheet!$E$2:$E$3143, ISNUMBER(
Master_Mapping_Sheet!$E$2:$E$3143),
Master_Mapping_Sheet!$C$2:$C$3143=J$1,
Master_Mapping_Sheet!$H$2:$H$3143=$A20))/sum(filter(
Maste"&amp;"r_Mapping_Sheet!$E$2:$E$3143, ISNUMBER(
Master_Mapping_Sheet!$E$2:$E$3143),
Master_Mapping_Sheet!$H$2:$H$3143=$A20)))"),0.0)</f>
        <v>0</v>
      </c>
      <c r="K20" s="34">
        <f>IFERROR(__xludf.DUMMYFUNCTION("IF(ISNA(sum(filter(
Master_Mapping_Sheet!$E$2:$E$3143, ISNUMBER(
Master_Mapping_Sheet!$E$2:$E$3143),
Master_Mapping_Sheet!$C$2:$C$3143=K$1,
Master_Mapping_Sheet!$H$2:$H$3143=$A20))/sum(filter(
Master_Mapping_Sheet!$E$2:$E$3143, ISNUMBER(
Master_Mapping_Sh"&amp;"eet!$E$2:$E$3143),
Master_Mapping_Sheet!$H$2:$H$3143=$A20))), 0, sum(filter(
Master_Mapping_Sheet!$E$2:$E$3143, ISNUMBER(
Master_Mapping_Sheet!$E$2:$E$3143),
Master_Mapping_Sheet!$C$2:$C$3143=K$1,
Master_Mapping_Sheet!$H$2:$H$3143=$A20))/sum(filter(
Maste"&amp;"r_Mapping_Sheet!$E$2:$E$3143, ISNUMBER(
Master_Mapping_Sheet!$E$2:$E$3143),
Master_Mapping_Sheet!$H$2:$H$3143=$A20)))"),0.0)</f>
        <v>0</v>
      </c>
      <c r="L20" s="34">
        <f>IFERROR(__xludf.DUMMYFUNCTION("IF(ISNA(sum(filter(
Master_Mapping_Sheet!$E$2:$E$3143, ISNUMBER(
Master_Mapping_Sheet!$E$2:$E$3143),
Master_Mapping_Sheet!$C$2:$C$3143=L$1,
Master_Mapping_Sheet!$H$2:$H$3143=$A20))/sum(filter(
Master_Mapping_Sheet!$E$2:$E$3143, ISNUMBER(
Master_Mapping_Sh"&amp;"eet!$E$2:$E$3143),
Master_Mapping_Sheet!$H$2:$H$3143=$A20))), 0, sum(filter(
Master_Mapping_Sheet!$E$2:$E$3143, ISNUMBER(
Master_Mapping_Sheet!$E$2:$E$3143),
Master_Mapping_Sheet!$C$2:$C$3143=L$1,
Master_Mapping_Sheet!$H$2:$H$3143=$A20))/sum(filter(
Maste"&amp;"r_Mapping_Sheet!$E$2:$E$3143, ISNUMBER(
Master_Mapping_Sheet!$E$2:$E$3143),
Master_Mapping_Sheet!$H$2:$H$3143=$A20)))"),0.0)</f>
        <v>0</v>
      </c>
      <c r="M20" s="34">
        <f>IFERROR(__xludf.DUMMYFUNCTION("IF(ISNA(sum(filter(
Master_Mapping_Sheet!$E$2:$E$3143, ISNUMBER(
Master_Mapping_Sheet!$E$2:$E$3143),
Master_Mapping_Sheet!$C$2:$C$3143=M$1,
Master_Mapping_Sheet!$H$2:$H$3143=$A20))/sum(filter(
Master_Mapping_Sheet!$E$2:$E$3143, ISNUMBER(
Master_Mapping_Sh"&amp;"eet!$E$2:$E$3143),
Master_Mapping_Sheet!$H$2:$H$3143=$A20))), 0, sum(filter(
Master_Mapping_Sheet!$E$2:$E$3143, ISNUMBER(
Master_Mapping_Sheet!$E$2:$E$3143),
Master_Mapping_Sheet!$C$2:$C$3143=M$1,
Master_Mapping_Sheet!$H$2:$H$3143=$A20))/sum(filter(
Maste"&amp;"r_Mapping_Sheet!$E$2:$E$3143, ISNUMBER(
Master_Mapping_Sheet!$E$2:$E$3143),
Master_Mapping_Sheet!$H$2:$H$3143=$A20)))"),0.0)</f>
        <v>0</v>
      </c>
      <c r="N20" s="34">
        <f>IFERROR(__xludf.DUMMYFUNCTION("IF(ISNA(sum(filter(
Master_Mapping_Sheet!$E$2:$E$3143, ISNUMBER(
Master_Mapping_Sheet!$E$2:$E$3143),
Master_Mapping_Sheet!$C$2:$C$3143=N$1,
Master_Mapping_Sheet!$H$2:$H$3143=$A20))/sum(filter(
Master_Mapping_Sheet!$E$2:$E$3143, ISNUMBER(
Master_Mapping_Sh"&amp;"eet!$E$2:$E$3143),
Master_Mapping_Sheet!$H$2:$H$3143=$A20))), 0, sum(filter(
Master_Mapping_Sheet!$E$2:$E$3143, ISNUMBER(
Master_Mapping_Sheet!$E$2:$E$3143),
Master_Mapping_Sheet!$C$2:$C$3143=N$1,
Master_Mapping_Sheet!$H$2:$H$3143=$A20))/sum(filter(
Maste"&amp;"r_Mapping_Sheet!$E$2:$E$3143, ISNUMBER(
Master_Mapping_Sheet!$E$2:$E$3143),
Master_Mapping_Sheet!$H$2:$H$3143=$A20)))"),0.0)</f>
        <v>0</v>
      </c>
      <c r="O20" s="34">
        <f>IFERROR(__xludf.DUMMYFUNCTION("IF(ISNA(sum(filter(
Master_Mapping_Sheet!$E$2:$E$3143, ISNUMBER(
Master_Mapping_Sheet!$E$2:$E$3143),
Master_Mapping_Sheet!$C$2:$C$3143=O$1,
Master_Mapping_Sheet!$H$2:$H$3143=$A20))/sum(filter(
Master_Mapping_Sheet!$E$2:$E$3143, ISNUMBER(
Master_Mapping_Sh"&amp;"eet!$E$2:$E$3143),
Master_Mapping_Sheet!$H$2:$H$3143=$A20))), 0, sum(filter(
Master_Mapping_Sheet!$E$2:$E$3143, ISNUMBER(
Master_Mapping_Sheet!$E$2:$E$3143),
Master_Mapping_Sheet!$C$2:$C$3143=O$1,
Master_Mapping_Sheet!$H$2:$H$3143=$A20))/sum(filter(
Maste"&amp;"r_Mapping_Sheet!$E$2:$E$3143, ISNUMBER(
Master_Mapping_Sheet!$E$2:$E$3143),
Master_Mapping_Sheet!$H$2:$H$3143=$A20)))"),0.0)</f>
        <v>0</v>
      </c>
      <c r="P20" s="34">
        <f>IFERROR(__xludf.DUMMYFUNCTION("IF(ISNA(sum(filter(
Master_Mapping_Sheet!$E$2:$E$3143, ISNUMBER(
Master_Mapping_Sheet!$E$2:$E$3143),
Master_Mapping_Sheet!$C$2:$C$3143=P$1,
Master_Mapping_Sheet!$H$2:$H$3143=$A20))/sum(filter(
Master_Mapping_Sheet!$E$2:$E$3143, ISNUMBER(
Master_Mapping_Sh"&amp;"eet!$E$2:$E$3143),
Master_Mapping_Sheet!$H$2:$H$3143=$A20))), 0, sum(filter(
Master_Mapping_Sheet!$E$2:$E$3143, ISNUMBER(
Master_Mapping_Sheet!$E$2:$E$3143),
Master_Mapping_Sheet!$C$2:$C$3143=P$1,
Master_Mapping_Sheet!$H$2:$H$3143=$A20))/sum(filter(
Maste"&amp;"r_Mapping_Sheet!$E$2:$E$3143, ISNUMBER(
Master_Mapping_Sheet!$E$2:$E$3143),
Master_Mapping_Sheet!$H$2:$H$3143=$A20)))"),0.0)</f>
        <v>0</v>
      </c>
      <c r="Q20" s="34">
        <f>IFERROR(__xludf.DUMMYFUNCTION("IF(ISNA(sum(filter(
Master_Mapping_Sheet!$E$2:$E$3143, ISNUMBER(
Master_Mapping_Sheet!$E$2:$E$3143),
Master_Mapping_Sheet!$C$2:$C$3143=Q$1,
Master_Mapping_Sheet!$H$2:$H$3143=$A20))/sum(filter(
Master_Mapping_Sheet!$E$2:$E$3143, ISNUMBER(
Master_Mapping_Sh"&amp;"eet!$E$2:$E$3143),
Master_Mapping_Sheet!$H$2:$H$3143=$A20))), 0, sum(filter(
Master_Mapping_Sheet!$E$2:$E$3143, ISNUMBER(
Master_Mapping_Sheet!$E$2:$E$3143),
Master_Mapping_Sheet!$C$2:$C$3143=Q$1,
Master_Mapping_Sheet!$H$2:$H$3143=$A20))/sum(filter(
Maste"&amp;"r_Mapping_Sheet!$E$2:$E$3143, ISNUMBER(
Master_Mapping_Sheet!$E$2:$E$3143),
Master_Mapping_Sheet!$H$2:$H$3143=$A20)))"),0.12495138651819618)</f>
        <v>0.1249513865</v>
      </c>
      <c r="R20" s="34">
        <f>IFERROR(__xludf.DUMMYFUNCTION("IF(ISNA(sum(filter(
Master_Mapping_Sheet!$E$2:$E$3143, ISNUMBER(
Master_Mapping_Sheet!$E$2:$E$3143),
Master_Mapping_Sheet!$C$2:$C$3143=R$1,
Master_Mapping_Sheet!$H$2:$H$3143=$A20))/sum(filter(
Master_Mapping_Sheet!$E$2:$E$3143, ISNUMBER(
Master_Mapping_Sh"&amp;"eet!$E$2:$E$3143),
Master_Mapping_Sheet!$H$2:$H$3143=$A20))), 0, sum(filter(
Master_Mapping_Sheet!$E$2:$E$3143, ISNUMBER(
Master_Mapping_Sheet!$E$2:$E$3143),
Master_Mapping_Sheet!$C$2:$C$3143=R$1,
Master_Mapping_Sheet!$H$2:$H$3143=$A20))/sum(filter(
Maste"&amp;"r_Mapping_Sheet!$E$2:$E$3143, ISNUMBER(
Master_Mapping_Sheet!$E$2:$E$3143),
Master_Mapping_Sheet!$H$2:$H$3143=$A20)))"),0.0)</f>
        <v>0</v>
      </c>
      <c r="S20" s="34">
        <f>IFERROR(__xludf.DUMMYFUNCTION("IF(ISNA(sum(filter(
Master_Mapping_Sheet!$E$2:$E$3143, ISNUMBER(
Master_Mapping_Sheet!$E$2:$E$3143),
Master_Mapping_Sheet!$C$2:$C$3143=S$1,
Master_Mapping_Sheet!$H$2:$H$3143=$A20))/sum(filter(
Master_Mapping_Sheet!$E$2:$E$3143, ISNUMBER(
Master_Mapping_Sh"&amp;"eet!$E$2:$E$3143),
Master_Mapping_Sheet!$H$2:$H$3143=$A20))), 0, sum(filter(
Master_Mapping_Sheet!$E$2:$E$3143, ISNUMBER(
Master_Mapping_Sheet!$E$2:$E$3143),
Master_Mapping_Sheet!$C$2:$C$3143=S$1,
Master_Mapping_Sheet!$H$2:$H$3143=$A20))/sum(filter(
Maste"&amp;"r_Mapping_Sheet!$E$2:$E$3143, ISNUMBER(
Master_Mapping_Sheet!$E$2:$E$3143),
Master_Mapping_Sheet!$H$2:$H$3143=$A20)))"),0.0)</f>
        <v>0</v>
      </c>
      <c r="T20" s="34">
        <f>IFERROR(__xludf.DUMMYFUNCTION("IF(ISNA(sum(filter(
Master_Mapping_Sheet!$E$2:$E$3143, ISNUMBER(
Master_Mapping_Sheet!$E$2:$E$3143),
Master_Mapping_Sheet!$C$2:$C$3143=T$1,
Master_Mapping_Sheet!$H$2:$H$3143=$A20))/sum(filter(
Master_Mapping_Sheet!$E$2:$E$3143, ISNUMBER(
Master_Mapping_Sh"&amp;"eet!$E$2:$E$3143),
Master_Mapping_Sheet!$H$2:$H$3143=$A20))), 0, sum(filter(
Master_Mapping_Sheet!$E$2:$E$3143, ISNUMBER(
Master_Mapping_Sheet!$E$2:$E$3143),
Master_Mapping_Sheet!$C$2:$C$3143=T$1,
Master_Mapping_Sheet!$H$2:$H$3143=$A20))/sum(filter(
Maste"&amp;"r_Mapping_Sheet!$E$2:$E$3143, ISNUMBER(
Master_Mapping_Sheet!$E$2:$E$3143),
Master_Mapping_Sheet!$H$2:$H$3143=$A20)))"),0.0)</f>
        <v>0</v>
      </c>
      <c r="U20" s="34">
        <f>IFERROR(__xludf.DUMMYFUNCTION("IF(ISNA(sum(filter(
Master_Mapping_Sheet!$E$2:$E$3143, ISNUMBER(
Master_Mapping_Sheet!$E$2:$E$3143),
Master_Mapping_Sheet!$C$2:$C$3143=U$1,
Master_Mapping_Sheet!$H$2:$H$3143=$A20))/sum(filter(
Master_Mapping_Sheet!$E$2:$E$3143, ISNUMBER(
Master_Mapping_Sh"&amp;"eet!$E$2:$E$3143),
Master_Mapping_Sheet!$H$2:$H$3143=$A20))), 0, sum(filter(
Master_Mapping_Sheet!$E$2:$E$3143, ISNUMBER(
Master_Mapping_Sheet!$E$2:$E$3143),
Master_Mapping_Sheet!$C$2:$C$3143=U$1,
Master_Mapping_Sheet!$H$2:$H$3143=$A20))/sum(filter(
Maste"&amp;"r_Mapping_Sheet!$E$2:$E$3143, ISNUMBER(
Master_Mapping_Sheet!$E$2:$E$3143),
Master_Mapping_Sheet!$H$2:$H$3143=$A20)))"),0.0)</f>
        <v>0</v>
      </c>
      <c r="V20" s="34">
        <f>IFERROR(__xludf.DUMMYFUNCTION("IF(ISNA(sum(filter(
Master_Mapping_Sheet!$E$2:$E$3143, ISNUMBER(
Master_Mapping_Sheet!$E$2:$E$3143),
Master_Mapping_Sheet!$C$2:$C$3143=V$1,
Master_Mapping_Sheet!$H$2:$H$3143=$A20))/sum(filter(
Master_Mapping_Sheet!$E$2:$E$3143, ISNUMBER(
Master_Mapping_Sh"&amp;"eet!$E$2:$E$3143),
Master_Mapping_Sheet!$H$2:$H$3143=$A20))), 0, sum(filter(
Master_Mapping_Sheet!$E$2:$E$3143, ISNUMBER(
Master_Mapping_Sheet!$E$2:$E$3143),
Master_Mapping_Sheet!$C$2:$C$3143=V$1,
Master_Mapping_Sheet!$H$2:$H$3143=$A20))/sum(filter(
Maste"&amp;"r_Mapping_Sheet!$E$2:$E$3143, ISNUMBER(
Master_Mapping_Sheet!$E$2:$E$3143),
Master_Mapping_Sheet!$H$2:$H$3143=$A20)))"),0.0)</f>
        <v>0</v>
      </c>
      <c r="W20" s="34">
        <f>IFERROR(__xludf.DUMMYFUNCTION("IF(ISNA(sum(filter(
Master_Mapping_Sheet!$E$2:$E$3143, ISNUMBER(
Master_Mapping_Sheet!$E$2:$E$3143),
Master_Mapping_Sheet!$C$2:$C$3143=W$1,
Master_Mapping_Sheet!$H$2:$H$3143=$A20))/sum(filter(
Master_Mapping_Sheet!$E$2:$E$3143, ISNUMBER(
Master_Mapping_Sh"&amp;"eet!$E$2:$E$3143),
Master_Mapping_Sheet!$H$2:$H$3143=$A20))), 0, sum(filter(
Master_Mapping_Sheet!$E$2:$E$3143, ISNUMBER(
Master_Mapping_Sheet!$E$2:$E$3143),
Master_Mapping_Sheet!$C$2:$C$3143=W$1,
Master_Mapping_Sheet!$H$2:$H$3143=$A20))/sum(filter(
Maste"&amp;"r_Mapping_Sheet!$E$2:$E$3143, ISNUMBER(
Master_Mapping_Sheet!$E$2:$E$3143),
Master_Mapping_Sheet!$H$2:$H$3143=$A20)))"),0.0)</f>
        <v>0</v>
      </c>
      <c r="X20" s="34">
        <f>IFERROR(__xludf.DUMMYFUNCTION("IF(ISNA(sum(filter(
Master_Mapping_Sheet!$E$2:$E$3143, ISNUMBER(
Master_Mapping_Sheet!$E$2:$E$3143),
Master_Mapping_Sheet!$C$2:$C$3143=X$1,
Master_Mapping_Sheet!$H$2:$H$3143=$A20))/sum(filter(
Master_Mapping_Sheet!$E$2:$E$3143, ISNUMBER(
Master_Mapping_Sh"&amp;"eet!$E$2:$E$3143),
Master_Mapping_Sheet!$H$2:$H$3143=$A20))), 0, sum(filter(
Master_Mapping_Sheet!$E$2:$E$3143, ISNUMBER(
Master_Mapping_Sheet!$E$2:$E$3143),
Master_Mapping_Sheet!$C$2:$C$3143=X$1,
Master_Mapping_Sheet!$H$2:$H$3143=$A20))/sum(filter(
Maste"&amp;"r_Mapping_Sheet!$E$2:$E$3143, ISNUMBER(
Master_Mapping_Sheet!$E$2:$E$3143),
Master_Mapping_Sheet!$H$2:$H$3143=$A20)))"),0.0)</f>
        <v>0</v>
      </c>
      <c r="Y20" s="34">
        <f>IFERROR(__xludf.DUMMYFUNCTION("IF(ISNA(sum(filter(
Master_Mapping_Sheet!$E$2:$E$3143, ISNUMBER(
Master_Mapping_Sheet!$E$2:$E$3143),
Master_Mapping_Sheet!$C$2:$C$3143=Y$1,
Master_Mapping_Sheet!$H$2:$H$3143=$A20))/sum(filter(
Master_Mapping_Sheet!$E$2:$E$3143, ISNUMBER(
Master_Mapping_Sh"&amp;"eet!$E$2:$E$3143),
Master_Mapping_Sheet!$H$2:$H$3143=$A20))), 0, sum(filter(
Master_Mapping_Sheet!$E$2:$E$3143, ISNUMBER(
Master_Mapping_Sheet!$E$2:$E$3143),
Master_Mapping_Sheet!$C$2:$C$3143=Y$1,
Master_Mapping_Sheet!$H$2:$H$3143=$A20))/sum(filter(
Maste"&amp;"r_Mapping_Sheet!$E$2:$E$3143, ISNUMBER(
Master_Mapping_Sheet!$E$2:$E$3143),
Master_Mapping_Sheet!$H$2:$H$3143=$A20)))"),0.05991397413100116)</f>
        <v>0.05991397413</v>
      </c>
      <c r="Z20" s="34">
        <f>IFERROR(__xludf.DUMMYFUNCTION("IF(ISNA(sum(filter(
Master_Mapping_Sheet!$E$2:$E$3143, ISNUMBER(
Master_Mapping_Sheet!$E$2:$E$3143),
Master_Mapping_Sheet!$C$2:$C$3143=Z$1,
Master_Mapping_Sheet!$H$2:$H$3143=$A20))/sum(filter(
Master_Mapping_Sheet!$E$2:$E$3143, ISNUMBER(
Master_Mapping_Sh"&amp;"eet!$E$2:$E$3143),
Master_Mapping_Sheet!$H$2:$H$3143=$A20))), 0, sum(filter(
Master_Mapping_Sheet!$E$2:$E$3143, ISNUMBER(
Master_Mapping_Sheet!$E$2:$E$3143),
Master_Mapping_Sheet!$C$2:$C$3143=Z$1,
Master_Mapping_Sheet!$H$2:$H$3143=$A20))/sum(filter(
Maste"&amp;"r_Mapping_Sheet!$E$2:$E$3143, ISNUMBER(
Master_Mapping_Sheet!$E$2:$E$3143),
Master_Mapping_Sheet!$H$2:$H$3143=$A20)))"),0.0)</f>
        <v>0</v>
      </c>
      <c r="AA20" s="34">
        <f>IFERROR(__xludf.DUMMYFUNCTION("IF(ISNA(sum(filter(
Master_Mapping_Sheet!$E$2:$E$3143, ISNUMBER(
Master_Mapping_Sheet!$E$2:$E$3143),
Master_Mapping_Sheet!$C$2:$C$3143=AA$1,
Master_Mapping_Sheet!$H$2:$H$3143=$A20))/sum(filter(
Master_Mapping_Sheet!$E$2:$E$3143, ISNUMBER(
Master_Mapping_S"&amp;"heet!$E$2:$E$3143),
Master_Mapping_Sheet!$H$2:$H$3143=$A20))), 0, sum(filter(
Master_Mapping_Sheet!$E$2:$E$3143, ISNUMBER(
Master_Mapping_Sheet!$E$2:$E$3143),
Master_Mapping_Sheet!$C$2:$C$3143=AA$1,
Master_Mapping_Sheet!$H$2:$H$3143=$A20))/sum(filter(
Mas"&amp;"ter_Mapping_Sheet!$E$2:$E$3143, ISNUMBER(
Master_Mapping_Sheet!$E$2:$E$3143),
Master_Mapping_Sheet!$H$2:$H$3143=$A20)))"),0.0)</f>
        <v>0</v>
      </c>
      <c r="AB20" s="34">
        <f>IFERROR(__xludf.DUMMYFUNCTION("IF(ISNA(sum(filter(
Master_Mapping_Sheet!$E$2:$E$3143, ISNUMBER(
Master_Mapping_Sheet!$E$2:$E$3143),
Master_Mapping_Sheet!$C$2:$C$3143=AB$1,
Master_Mapping_Sheet!$H$2:$H$3143=$A20))/sum(filter(
Master_Mapping_Sheet!$E$2:$E$3143, ISNUMBER(
Master_Mapping_S"&amp;"heet!$E$2:$E$3143),
Master_Mapping_Sheet!$H$2:$H$3143=$A20))), 0, sum(filter(
Master_Mapping_Sheet!$E$2:$E$3143, ISNUMBER(
Master_Mapping_Sheet!$E$2:$E$3143),
Master_Mapping_Sheet!$C$2:$C$3143=AB$1,
Master_Mapping_Sheet!$H$2:$H$3143=$A20))/sum(filter(
Mas"&amp;"ter_Mapping_Sheet!$E$2:$E$3143, ISNUMBER(
Master_Mapping_Sheet!$E$2:$E$3143),
Master_Mapping_Sheet!$H$2:$H$3143=$A20)))"),0.008070180730187065)</f>
        <v>0.00807018073</v>
      </c>
      <c r="AC20" s="34">
        <f>IFERROR(__xludf.DUMMYFUNCTION("IF(ISNA(sum(filter(
Master_Mapping_Sheet!$E$2:$E$3143, ISNUMBER(
Master_Mapping_Sheet!$E$2:$E$3143),
Master_Mapping_Sheet!$C$2:$C$3143=AC$1,
Master_Mapping_Sheet!$H$2:$H$3143=$A20))/sum(filter(
Master_Mapping_Sheet!$E$2:$E$3143, ISNUMBER(
Master_Mapping_S"&amp;"heet!$E$2:$E$3143),
Master_Mapping_Sheet!$H$2:$H$3143=$A20))), 0, sum(filter(
Master_Mapping_Sheet!$E$2:$E$3143, ISNUMBER(
Master_Mapping_Sheet!$E$2:$E$3143),
Master_Mapping_Sheet!$C$2:$C$3143=AC$1,
Master_Mapping_Sheet!$H$2:$H$3143=$A20))/sum(filter(
Mas"&amp;"ter_Mapping_Sheet!$E$2:$E$3143, ISNUMBER(
Master_Mapping_Sheet!$E$2:$E$3143),
Master_Mapping_Sheet!$H$2:$H$3143=$A20)))"),0.4468528397356889)</f>
        <v>0.4468528397</v>
      </c>
      <c r="AD20" s="34">
        <f>IFERROR(__xludf.DUMMYFUNCTION("IF(ISNA(sum(filter(
Master_Mapping_Sheet!$E$2:$E$3143, ISNUMBER(
Master_Mapping_Sheet!$E$2:$E$3143),
Master_Mapping_Sheet!$C$2:$C$3143=AD$1,
Master_Mapping_Sheet!$H$2:$H$3143=$A20))/sum(filter(
Master_Mapping_Sheet!$E$2:$E$3143, ISNUMBER(
Master_Mapping_S"&amp;"heet!$E$2:$E$3143),
Master_Mapping_Sheet!$H$2:$H$3143=$A20))), 0, sum(filter(
Master_Mapping_Sheet!$E$2:$E$3143, ISNUMBER(
Master_Mapping_Sheet!$E$2:$E$3143),
Master_Mapping_Sheet!$C$2:$C$3143=AD$1,
Master_Mapping_Sheet!$H$2:$H$3143=$A20))/sum(filter(
Mas"&amp;"ter_Mapping_Sheet!$E$2:$E$3143, ISNUMBER(
Master_Mapping_Sheet!$E$2:$E$3143),
Master_Mapping_Sheet!$H$2:$H$3143=$A20)))"),0.0)</f>
        <v>0</v>
      </c>
      <c r="AE20" s="34">
        <f>IFERROR(__xludf.DUMMYFUNCTION("IF(ISNA(sum(filter(
Master_Mapping_Sheet!$E$2:$E$3143, ISNUMBER(
Master_Mapping_Sheet!$E$2:$E$3143),
Master_Mapping_Sheet!$C$2:$C$3143=AE$1,
Master_Mapping_Sheet!$H$2:$H$3143=$A20))/sum(filter(
Master_Mapping_Sheet!$E$2:$E$3143, ISNUMBER(
Master_Mapping_S"&amp;"heet!$E$2:$E$3143),
Master_Mapping_Sheet!$H$2:$H$3143=$A20))), 0, sum(filter(
Master_Mapping_Sheet!$E$2:$E$3143, ISNUMBER(
Master_Mapping_Sheet!$E$2:$E$3143),
Master_Mapping_Sheet!$C$2:$C$3143=AE$1,
Master_Mapping_Sheet!$H$2:$H$3143=$A20))/sum(filter(
Mas"&amp;"ter_Mapping_Sheet!$E$2:$E$3143, ISNUMBER(
Master_Mapping_Sheet!$E$2:$E$3143),
Master_Mapping_Sheet!$H$2:$H$3143=$A20)))"),0.0)</f>
        <v>0</v>
      </c>
      <c r="AF20" s="34">
        <f>IFERROR(__xludf.DUMMYFUNCTION("IF(ISNA(sum(filter(
Master_Mapping_Sheet!$E$2:$E$3143, ISNUMBER(
Master_Mapping_Sheet!$E$2:$E$3143),
Master_Mapping_Sheet!$C$2:$C$3143=AF$1,
Master_Mapping_Sheet!$H$2:$H$3143=$A20))/sum(filter(
Master_Mapping_Sheet!$E$2:$E$3143, ISNUMBER(
Master_Mapping_S"&amp;"heet!$E$2:$E$3143),
Master_Mapping_Sheet!$H$2:$H$3143=$A20))), 0, sum(filter(
Master_Mapping_Sheet!$E$2:$E$3143, ISNUMBER(
Master_Mapping_Sheet!$E$2:$E$3143),
Master_Mapping_Sheet!$C$2:$C$3143=AF$1,
Master_Mapping_Sheet!$H$2:$H$3143=$A20))/sum(filter(
Mas"&amp;"ter_Mapping_Sheet!$E$2:$E$3143, ISNUMBER(
Master_Mapping_Sheet!$E$2:$E$3143),
Master_Mapping_Sheet!$H$2:$H$3143=$A20)))"),0.0)</f>
        <v>0</v>
      </c>
      <c r="AG20" s="34">
        <f>IFERROR(__xludf.DUMMYFUNCTION("IF(ISNA(sum(filter(
Master_Mapping_Sheet!$E$2:$E$3143, ISNUMBER(
Master_Mapping_Sheet!$E$2:$E$3143),
Master_Mapping_Sheet!$C$2:$C$3143=AG$1,
Master_Mapping_Sheet!$H$2:$H$3143=$A20))/sum(filter(
Master_Mapping_Sheet!$E$2:$E$3143, ISNUMBER(
Master_Mapping_S"&amp;"heet!$E$2:$E$3143),
Master_Mapping_Sheet!$H$2:$H$3143=$A20))), 0, sum(filter(
Master_Mapping_Sheet!$E$2:$E$3143, ISNUMBER(
Master_Mapping_Sheet!$E$2:$E$3143),
Master_Mapping_Sheet!$C$2:$C$3143=AG$1,
Master_Mapping_Sheet!$H$2:$H$3143=$A20))/sum(filter(
Mas"&amp;"ter_Mapping_Sheet!$E$2:$E$3143, ISNUMBER(
Master_Mapping_Sheet!$E$2:$E$3143),
Master_Mapping_Sheet!$H$2:$H$3143=$A20)))"),0.0)</f>
        <v>0</v>
      </c>
      <c r="AH20" s="34">
        <f>IFERROR(__xludf.DUMMYFUNCTION("IF(ISNA(sum(filter(
Master_Mapping_Sheet!$E$2:$E$3143, ISNUMBER(
Master_Mapping_Sheet!$E$2:$E$3143),
Master_Mapping_Sheet!$C$2:$C$3143=AH$1,
Master_Mapping_Sheet!$H$2:$H$3143=$A20))/sum(filter(
Master_Mapping_Sheet!$E$2:$E$3143, ISNUMBER(
Master_Mapping_S"&amp;"heet!$E$2:$E$3143),
Master_Mapping_Sheet!$H$2:$H$3143=$A20))), 0, sum(filter(
Master_Mapping_Sheet!$E$2:$E$3143, ISNUMBER(
Master_Mapping_Sheet!$E$2:$E$3143),
Master_Mapping_Sheet!$C$2:$C$3143=AH$1,
Master_Mapping_Sheet!$H$2:$H$3143=$A20))/sum(filter(
Mas"&amp;"ter_Mapping_Sheet!$E$2:$E$3143, ISNUMBER(
Master_Mapping_Sheet!$E$2:$E$3143),
Master_Mapping_Sheet!$H$2:$H$3143=$A20)))"),0.0)</f>
        <v>0</v>
      </c>
      <c r="AI20" s="34">
        <f>IFERROR(__xludf.DUMMYFUNCTION("IF(ISNA(sum(filter(
Master_Mapping_Sheet!$E$2:$E$3143, ISNUMBER(
Master_Mapping_Sheet!$E$2:$E$3143),
Master_Mapping_Sheet!$C$2:$C$3143=AI$1,
Master_Mapping_Sheet!$H$2:$H$3143=$A20))/sum(filter(
Master_Mapping_Sheet!$E$2:$E$3143, ISNUMBER(
Master_Mapping_S"&amp;"heet!$E$2:$E$3143),
Master_Mapping_Sheet!$H$2:$H$3143=$A20))), 0, sum(filter(
Master_Mapping_Sheet!$E$2:$E$3143, ISNUMBER(
Master_Mapping_Sheet!$E$2:$E$3143),
Master_Mapping_Sheet!$C$2:$C$3143=AI$1,
Master_Mapping_Sheet!$H$2:$H$3143=$A20))/sum(filter(
Mas"&amp;"ter_Mapping_Sheet!$E$2:$E$3143, ISNUMBER(
Master_Mapping_Sheet!$E$2:$E$3143),
Master_Mapping_Sheet!$H$2:$H$3143=$A20)))"),0.0)</f>
        <v>0</v>
      </c>
      <c r="AJ20" s="34">
        <f>IFERROR(__xludf.DUMMYFUNCTION("IF(ISNA(sum(filter(
Master_Mapping_Sheet!$E$2:$E$3143, ISNUMBER(
Master_Mapping_Sheet!$E$2:$E$3143),
Master_Mapping_Sheet!$C$2:$C$3143=AJ$1,
Master_Mapping_Sheet!$H$2:$H$3143=$A20))/sum(filter(
Master_Mapping_Sheet!$E$2:$E$3143, ISNUMBER(
Master_Mapping_S"&amp;"heet!$E$2:$E$3143),
Master_Mapping_Sheet!$H$2:$H$3143=$A20))), 0, sum(filter(
Master_Mapping_Sheet!$E$2:$E$3143, ISNUMBER(
Master_Mapping_Sheet!$E$2:$E$3143),
Master_Mapping_Sheet!$C$2:$C$3143=AJ$1,
Master_Mapping_Sheet!$H$2:$H$3143=$A20))/sum(filter(
Mas"&amp;"ter_Mapping_Sheet!$E$2:$E$3143, ISNUMBER(
Master_Mapping_Sheet!$E$2:$E$3143),
Master_Mapping_Sheet!$H$2:$H$3143=$A20)))"),0.16281186319766344)</f>
        <v>0.1628118632</v>
      </c>
      <c r="AK20" s="34">
        <f>IFERROR(__xludf.DUMMYFUNCTION("IF(ISNA(sum(filter(
Master_Mapping_Sheet!$E$2:$E$3143, ISNUMBER(
Master_Mapping_Sheet!$E$2:$E$3143),
Master_Mapping_Sheet!$C$2:$C$3143=AK$1,
Master_Mapping_Sheet!$H$2:$H$3143=$A20))/sum(filter(
Master_Mapping_Sheet!$E$2:$E$3143, ISNUMBER(
Master_Mapping_S"&amp;"heet!$E$2:$E$3143),
Master_Mapping_Sheet!$H$2:$H$3143=$A20))), 0, sum(filter(
Master_Mapping_Sheet!$E$2:$E$3143, ISNUMBER(
Master_Mapping_Sheet!$E$2:$E$3143),
Master_Mapping_Sheet!$C$2:$C$3143=AK$1,
Master_Mapping_Sheet!$H$2:$H$3143=$A20))/sum(filter(
Mas"&amp;"ter_Mapping_Sheet!$E$2:$E$3143, ISNUMBER(
Master_Mapping_Sheet!$E$2:$E$3143),
Master_Mapping_Sheet!$H$2:$H$3143=$A20)))"),0.0)</f>
        <v>0</v>
      </c>
      <c r="AL20" s="34">
        <f>IFERROR(__xludf.DUMMYFUNCTION("IF(ISNA(sum(filter(
Master_Mapping_Sheet!$E$2:$E$3143, ISNUMBER(
Master_Mapping_Sheet!$E$2:$E$3143),
Master_Mapping_Sheet!$C$2:$C$3143=AL$1,
Master_Mapping_Sheet!$H$2:$H$3143=$A20))/sum(filter(
Master_Mapping_Sheet!$E$2:$E$3143, ISNUMBER(
Master_Mapping_S"&amp;"heet!$E$2:$E$3143),
Master_Mapping_Sheet!$H$2:$H$3143=$A20))), 0, sum(filter(
Master_Mapping_Sheet!$E$2:$E$3143, ISNUMBER(
Master_Mapping_Sheet!$E$2:$E$3143),
Master_Mapping_Sheet!$C$2:$C$3143=AL$1,
Master_Mapping_Sheet!$H$2:$H$3143=$A20))/sum(filter(
Mas"&amp;"ter_Mapping_Sheet!$E$2:$E$3143, ISNUMBER(
Master_Mapping_Sheet!$E$2:$E$3143),
Master_Mapping_Sheet!$H$2:$H$3143=$A20)))"),0.0)</f>
        <v>0</v>
      </c>
      <c r="AM20" s="34">
        <f>IFERROR(__xludf.DUMMYFUNCTION("IF(ISNA(sum(filter(
Master_Mapping_Sheet!$E$2:$E$3143, ISNUMBER(
Master_Mapping_Sheet!$E$2:$E$3143),
Master_Mapping_Sheet!$C$2:$C$3143=AM$1,
Master_Mapping_Sheet!$H$2:$H$3143=$A20))/sum(filter(
Master_Mapping_Sheet!$E$2:$E$3143, ISNUMBER(
Master_Mapping_S"&amp;"heet!$E$2:$E$3143),
Master_Mapping_Sheet!$H$2:$H$3143=$A20))), 0, sum(filter(
Master_Mapping_Sheet!$E$2:$E$3143, ISNUMBER(
Master_Mapping_Sheet!$E$2:$E$3143),
Master_Mapping_Sheet!$C$2:$C$3143=AM$1,
Master_Mapping_Sheet!$H$2:$H$3143=$A20))/sum(filter(
Mas"&amp;"ter_Mapping_Sheet!$E$2:$E$3143, ISNUMBER(
Master_Mapping_Sheet!$E$2:$E$3143),
Master_Mapping_Sheet!$H$2:$H$3143=$A20)))"),0.0)</f>
        <v>0</v>
      </c>
      <c r="AN20" s="34">
        <f>IFERROR(__xludf.DUMMYFUNCTION("IF(ISNA(sum(filter(
Master_Mapping_Sheet!$E$2:$E$3143, ISNUMBER(
Master_Mapping_Sheet!$E$2:$E$3143),
Master_Mapping_Sheet!$C$2:$C$3143=AN$1,
Master_Mapping_Sheet!$H$2:$H$3143=$A20))/sum(filter(
Master_Mapping_Sheet!$E$2:$E$3143, ISNUMBER(
Master_Mapping_S"&amp;"heet!$E$2:$E$3143),
Master_Mapping_Sheet!$H$2:$H$3143=$A20))), 0, sum(filter(
Master_Mapping_Sheet!$E$2:$E$3143, ISNUMBER(
Master_Mapping_Sheet!$E$2:$E$3143),
Master_Mapping_Sheet!$C$2:$C$3143=AN$1,
Master_Mapping_Sheet!$H$2:$H$3143=$A20))/sum(filter(
Mas"&amp;"ter_Mapping_Sheet!$E$2:$E$3143, ISNUMBER(
Master_Mapping_Sheet!$E$2:$E$3143),
Master_Mapping_Sheet!$H$2:$H$3143=$A20)))"),0.0)</f>
        <v>0</v>
      </c>
      <c r="AO20" s="34">
        <f>IFERROR(__xludf.DUMMYFUNCTION("IF(ISNA(sum(filter(
Master_Mapping_Sheet!$E$2:$E$3143, ISNUMBER(
Master_Mapping_Sheet!$E$2:$E$3143),
Master_Mapping_Sheet!$C$2:$C$3143=AO$1,
Master_Mapping_Sheet!$H$2:$H$3143=$A20))/sum(filter(
Master_Mapping_Sheet!$E$2:$E$3143, ISNUMBER(
Master_Mapping_S"&amp;"heet!$E$2:$E$3143),
Master_Mapping_Sheet!$H$2:$H$3143=$A20))), 0, sum(filter(
Master_Mapping_Sheet!$E$2:$E$3143, ISNUMBER(
Master_Mapping_Sheet!$E$2:$E$3143),
Master_Mapping_Sheet!$C$2:$C$3143=AO$1,
Master_Mapping_Sheet!$H$2:$H$3143=$A20))/sum(filter(
Mas"&amp;"ter_Mapping_Sheet!$E$2:$E$3143, ISNUMBER(
Master_Mapping_Sheet!$E$2:$E$3143),
Master_Mapping_Sheet!$H$2:$H$3143=$A20)))"),0.0)</f>
        <v>0</v>
      </c>
      <c r="AP20" s="34">
        <f>IFERROR(__xludf.DUMMYFUNCTION("IF(ISNA(sum(filter(
Master_Mapping_Sheet!$E$2:$E$3143, ISNUMBER(
Master_Mapping_Sheet!$E$2:$E$3143),
Master_Mapping_Sheet!$C$2:$C$3143=AP$1,
Master_Mapping_Sheet!$H$2:$H$3143=$A20))/sum(filter(
Master_Mapping_Sheet!$E$2:$E$3143, ISNUMBER(
Master_Mapping_S"&amp;"heet!$E$2:$E$3143),
Master_Mapping_Sheet!$H$2:$H$3143=$A20))), 0, sum(filter(
Master_Mapping_Sheet!$E$2:$E$3143, ISNUMBER(
Master_Mapping_Sheet!$E$2:$E$3143),
Master_Mapping_Sheet!$C$2:$C$3143=AP$1,
Master_Mapping_Sheet!$H$2:$H$3143=$A20))/sum(filter(
Mas"&amp;"ter_Mapping_Sheet!$E$2:$E$3143, ISNUMBER(
Master_Mapping_Sheet!$E$2:$E$3143),
Master_Mapping_Sheet!$H$2:$H$3143=$A20)))"),0.0)</f>
        <v>0</v>
      </c>
      <c r="AQ20" s="34">
        <f>IFERROR(__xludf.DUMMYFUNCTION("IF(ISNA(sum(filter(
Master_Mapping_Sheet!$E$2:$E$3143, ISNUMBER(
Master_Mapping_Sheet!$E$2:$E$3143),
Master_Mapping_Sheet!$C$2:$C$3143=AQ$1,
Master_Mapping_Sheet!$H$2:$H$3143=$A20))/sum(filter(
Master_Mapping_Sheet!$E$2:$E$3143, ISNUMBER(
Master_Mapping_S"&amp;"heet!$E$2:$E$3143),
Master_Mapping_Sheet!$H$2:$H$3143=$A20))), 0, sum(filter(
Master_Mapping_Sheet!$E$2:$E$3143, ISNUMBER(
Master_Mapping_Sheet!$E$2:$E$3143),
Master_Mapping_Sheet!$C$2:$C$3143=AQ$1,
Master_Mapping_Sheet!$H$2:$H$3143=$A20))/sum(filter(
Mas"&amp;"ter_Mapping_Sheet!$E$2:$E$3143, ISNUMBER(
Master_Mapping_Sheet!$E$2:$E$3143),
Master_Mapping_Sheet!$H$2:$H$3143=$A20)))"),0.19739975568726326)</f>
        <v>0.1973997557</v>
      </c>
      <c r="AR20" s="34">
        <f>IFERROR(__xludf.DUMMYFUNCTION("IF(ISNA(sum(filter(
Master_Mapping_Sheet!$E$2:$E$3143, ISNUMBER(
Master_Mapping_Sheet!$E$2:$E$3143),
Master_Mapping_Sheet!$C$2:$C$3143=AR$1,
Master_Mapping_Sheet!$H$2:$H$3143=$A20))/sum(filter(
Master_Mapping_Sheet!$E$2:$E$3143, ISNUMBER(
Master_Mapping_S"&amp;"heet!$E$2:$E$3143),
Master_Mapping_Sheet!$H$2:$H$3143=$A20))), 0, sum(filter(
Master_Mapping_Sheet!$E$2:$E$3143, ISNUMBER(
Master_Mapping_Sheet!$E$2:$E$3143),
Master_Mapping_Sheet!$C$2:$C$3143=AR$1,
Master_Mapping_Sheet!$H$2:$H$3143=$A20))/sum(filter(
Mas"&amp;"ter_Mapping_Sheet!$E$2:$E$3143, ISNUMBER(
Master_Mapping_Sheet!$E$2:$E$3143),
Master_Mapping_Sheet!$H$2:$H$3143=$A20)))"),0.0)</f>
        <v>0</v>
      </c>
      <c r="AS20" s="34">
        <f>IFERROR(__xludf.DUMMYFUNCTION("IF(ISNA(sum(filter(
Master_Mapping_Sheet!$E$2:$E$3143, ISNUMBER(
Master_Mapping_Sheet!$E$2:$E$3143),
Master_Mapping_Sheet!$C$2:$C$3143=AS$1,
Master_Mapping_Sheet!$H$2:$H$3143=$A20))/sum(filter(
Master_Mapping_Sheet!$E$2:$E$3143, ISNUMBER(
Master_Mapping_S"&amp;"heet!$E$2:$E$3143),
Master_Mapping_Sheet!$H$2:$H$3143=$A20))), 0, sum(filter(
Master_Mapping_Sheet!$E$2:$E$3143, ISNUMBER(
Master_Mapping_Sheet!$E$2:$E$3143),
Master_Mapping_Sheet!$C$2:$C$3143=AS$1,
Master_Mapping_Sheet!$H$2:$H$3143=$A20))/sum(filter(
Mas"&amp;"ter_Mapping_Sheet!$E$2:$E$3143, ISNUMBER(
Master_Mapping_Sheet!$E$2:$E$3143),
Master_Mapping_Sheet!$H$2:$H$3143=$A20)))"),0.0)</f>
        <v>0</v>
      </c>
      <c r="AT20" s="34">
        <f>IFERROR(__xludf.DUMMYFUNCTION("IF(ISNA(sum(filter(
Master_Mapping_Sheet!$E$2:$E$3143, ISNUMBER(
Master_Mapping_Sheet!$E$2:$E$3143),
Master_Mapping_Sheet!$C$2:$C$3143=AT$1,
Master_Mapping_Sheet!$H$2:$H$3143=$A20))/sum(filter(
Master_Mapping_Sheet!$E$2:$E$3143, ISNUMBER(
Master_Mapping_S"&amp;"heet!$E$2:$E$3143),
Master_Mapping_Sheet!$H$2:$H$3143=$A20))), 0, sum(filter(
Master_Mapping_Sheet!$E$2:$E$3143, ISNUMBER(
Master_Mapping_Sheet!$E$2:$E$3143),
Master_Mapping_Sheet!$C$2:$C$3143=AT$1,
Master_Mapping_Sheet!$H$2:$H$3143=$A20))/sum(filter(
Mas"&amp;"ter_Mapping_Sheet!$E$2:$E$3143, ISNUMBER(
Master_Mapping_Sheet!$E$2:$E$3143),
Master_Mapping_Sheet!$H$2:$H$3143=$A20)))"),0.0)</f>
        <v>0</v>
      </c>
      <c r="AU20" s="34">
        <f>IFERROR(__xludf.DUMMYFUNCTION("IF(ISNA(sum(filter(
Master_Mapping_Sheet!$E$2:$E$3143, ISNUMBER(
Master_Mapping_Sheet!$E$2:$E$3143),
Master_Mapping_Sheet!$C$2:$C$3143=AU$1,
Master_Mapping_Sheet!$H$2:$H$3143=$A20))/sum(filter(
Master_Mapping_Sheet!$E$2:$E$3143, ISNUMBER(
Master_Mapping_S"&amp;"heet!$E$2:$E$3143),
Master_Mapping_Sheet!$H$2:$H$3143=$A20))), 0, sum(filter(
Master_Mapping_Sheet!$E$2:$E$3143, ISNUMBER(
Master_Mapping_Sheet!$E$2:$E$3143),
Master_Mapping_Sheet!$C$2:$C$3143=AU$1,
Master_Mapping_Sheet!$H$2:$H$3143=$A20))/sum(filter(
Mas"&amp;"ter_Mapping_Sheet!$E$2:$E$3143, ISNUMBER(
Master_Mapping_Sheet!$E$2:$E$3143),
Master_Mapping_Sheet!$H$2:$H$3143=$A20)))"),0.0)</f>
        <v>0</v>
      </c>
      <c r="AV20" s="34">
        <f>IFERROR(__xludf.DUMMYFUNCTION("IF(ISNA(sum(filter(
Master_Mapping_Sheet!$E$2:$E$3143, ISNUMBER(
Master_Mapping_Sheet!$E$2:$E$3143),
Master_Mapping_Sheet!$C$2:$C$3143=AV$1,
Master_Mapping_Sheet!$H$2:$H$3143=$A20))/sum(filter(
Master_Mapping_Sheet!$E$2:$E$3143, ISNUMBER(
Master_Mapping_S"&amp;"heet!$E$2:$E$3143),
Master_Mapping_Sheet!$H$2:$H$3143=$A20))), 0, sum(filter(
Master_Mapping_Sheet!$E$2:$E$3143, ISNUMBER(
Master_Mapping_Sheet!$E$2:$E$3143),
Master_Mapping_Sheet!$C$2:$C$3143=AV$1,
Master_Mapping_Sheet!$H$2:$H$3143=$A20))/sum(filter(
Mas"&amp;"ter_Mapping_Sheet!$E$2:$E$3143, ISNUMBER(
Master_Mapping_Sheet!$E$2:$E$3143),
Master_Mapping_Sheet!$H$2:$H$3143=$A20)))"),0.0)</f>
        <v>0</v>
      </c>
      <c r="AW20" s="34">
        <f>IFERROR(__xludf.DUMMYFUNCTION("IF(ISNA(sum(filter(
Master_Mapping_Sheet!$E$2:$E$3143, ISNUMBER(
Master_Mapping_Sheet!$E$2:$E$3143),
Master_Mapping_Sheet!$C$2:$C$3143=AW$1,
Master_Mapping_Sheet!$H$2:$H$3143=$A20))/sum(filter(
Master_Mapping_Sheet!$E$2:$E$3143, ISNUMBER(
Master_Mapping_S"&amp;"heet!$E$2:$E$3143),
Master_Mapping_Sheet!$H$2:$H$3143=$A20))), 0, sum(filter(
Master_Mapping_Sheet!$E$2:$E$3143, ISNUMBER(
Master_Mapping_Sheet!$E$2:$E$3143),
Master_Mapping_Sheet!$C$2:$C$3143=AW$1,
Master_Mapping_Sheet!$H$2:$H$3143=$A20))/sum(filter(
Mas"&amp;"ter_Mapping_Sheet!$E$2:$E$3143, ISNUMBER(
Master_Mapping_Sheet!$E$2:$E$3143),
Master_Mapping_Sheet!$H$2:$H$3143=$A20)))"),0.0)</f>
        <v>0</v>
      </c>
      <c r="AX20" s="34">
        <f>IFERROR(__xludf.DUMMYFUNCTION("IF(ISNA(sum(filter(
Master_Mapping_Sheet!$E$2:$E$3143, ISNUMBER(
Master_Mapping_Sheet!$E$2:$E$3143),
Master_Mapping_Sheet!$C$2:$C$3143=AX$1,
Master_Mapping_Sheet!$H$2:$H$3143=$A20))/sum(filter(
Master_Mapping_Sheet!$E$2:$E$3143, ISNUMBER(
Master_Mapping_S"&amp;"heet!$E$2:$E$3143),
Master_Mapping_Sheet!$H$2:$H$3143=$A20))), 0, sum(filter(
Master_Mapping_Sheet!$E$2:$E$3143, ISNUMBER(
Master_Mapping_Sheet!$E$2:$E$3143),
Master_Mapping_Sheet!$C$2:$C$3143=AX$1,
Master_Mapping_Sheet!$H$2:$H$3143=$A20))/sum(filter(
Mas"&amp;"ter_Mapping_Sheet!$E$2:$E$3143, ISNUMBER(
Master_Mapping_Sheet!$E$2:$E$3143),
Master_Mapping_Sheet!$H$2:$H$3143=$A20)))"),0.0)</f>
        <v>0</v>
      </c>
      <c r="AY20" s="34">
        <f>IFERROR(__xludf.DUMMYFUNCTION("IF(ISNA(sum(filter(
Master_Mapping_Sheet!$E$2:$E$3143, ISNUMBER(
Master_Mapping_Sheet!$E$2:$E$3143),
Master_Mapping_Sheet!$C$2:$C$3143=AY$1,
Master_Mapping_Sheet!$H$2:$H$3143=$A20))/sum(filter(
Master_Mapping_Sheet!$E$2:$E$3143, ISNUMBER(
Master_Mapping_S"&amp;"heet!$E$2:$E$3143),
Master_Mapping_Sheet!$H$2:$H$3143=$A20))), 0, sum(filter(
Master_Mapping_Sheet!$E$2:$E$3143, ISNUMBER(
Master_Mapping_Sheet!$E$2:$E$3143),
Master_Mapping_Sheet!$C$2:$C$3143=AY$1,
Master_Mapping_Sheet!$H$2:$H$3143=$A20))/sum(filter(
Mas"&amp;"ter_Mapping_Sheet!$E$2:$E$3143, ISNUMBER(
Master_Mapping_Sheet!$E$2:$E$3143),
Master_Mapping_Sheet!$H$2:$H$3143=$A20)))"),0.0)</f>
        <v>0</v>
      </c>
      <c r="AZ20" s="34">
        <f>IFERROR(__xludf.DUMMYFUNCTION("IF(ISNA(sum(filter(
Master_Mapping_Sheet!$E$2:$E$3143, ISNUMBER(
Master_Mapping_Sheet!$E$2:$E$3143),
Master_Mapping_Sheet!$C$2:$C$3143=AZ$1,
Master_Mapping_Sheet!$H$2:$H$3143=$A20))/sum(filter(
Master_Mapping_Sheet!$E$2:$E$3143, ISNUMBER(
Master_Mapping_S"&amp;"heet!$E$2:$E$3143),
Master_Mapping_Sheet!$H$2:$H$3143=$A20))), 0, sum(filter(
Master_Mapping_Sheet!$E$2:$E$3143, ISNUMBER(
Master_Mapping_Sheet!$E$2:$E$3143),
Master_Mapping_Sheet!$C$2:$C$3143=AZ$1,
Master_Mapping_Sheet!$H$2:$H$3143=$A20))/sum(filter(
Mas"&amp;"ter_Mapping_Sheet!$E$2:$E$3143, ISNUMBER(
Master_Mapping_Sheet!$E$2:$E$3143),
Master_Mapping_Sheet!$H$2:$H$3143=$A20)))"),0.0)</f>
        <v>0</v>
      </c>
    </row>
    <row r="21" ht="15.75" customHeight="1">
      <c r="A21" s="34" t="s">
        <v>3972</v>
      </c>
      <c r="B21" s="34">
        <f>IFERROR(__xludf.DUMMYFUNCTION("IF(ISNA(sum(filter(
Master_Mapping_Sheet!$E$2:$E$3143, ISNUMBER(
Master_Mapping_Sheet!$E$2:$E$3143),
Master_Mapping_Sheet!$C$2:$C$3143=B$1,
Master_Mapping_Sheet!$H$2:$H$3143=$A21))/sum(filter(
Master_Mapping_Sheet!$E$2:$E$3143, ISNUMBER(
Master_Mapping_Sh"&amp;"eet!$E$2:$E$3143),
Master_Mapping_Sheet!$H$2:$H$3143=$A21))), 0, sum(filter(
Master_Mapping_Sheet!$E$2:$E$3143, ISNUMBER(
Master_Mapping_Sheet!$E$2:$E$3143),
Master_Mapping_Sheet!$C$2:$C$3143=B$1,
Master_Mapping_Sheet!$H$2:$H$3143=$A21))/sum(filter(
Maste"&amp;"r_Mapping_Sheet!$E$2:$E$3143, ISNUMBER(
Master_Mapping_Sheet!$E$2:$E$3143),
Master_Mapping_Sheet!$H$2:$H$3143=$A21)))"),0.0)</f>
        <v>0</v>
      </c>
      <c r="C21" s="34">
        <f>IFERROR(__xludf.DUMMYFUNCTION("IF(ISNA(sum(filter(
Master_Mapping_Sheet!$E$2:$E$3143, ISNUMBER(
Master_Mapping_Sheet!$E$2:$E$3143),
Master_Mapping_Sheet!$C$2:$C$3143=C$1,
Master_Mapping_Sheet!$H$2:$H$3143=$A21))/sum(filter(
Master_Mapping_Sheet!$E$2:$E$3143, ISNUMBER(
Master_Mapping_Sh"&amp;"eet!$E$2:$E$3143),
Master_Mapping_Sheet!$H$2:$H$3143=$A21))), 0, sum(filter(
Master_Mapping_Sheet!$E$2:$E$3143, ISNUMBER(
Master_Mapping_Sheet!$E$2:$E$3143),
Master_Mapping_Sheet!$C$2:$C$3143=C$1,
Master_Mapping_Sheet!$H$2:$H$3143=$A21))/sum(filter(
Maste"&amp;"r_Mapping_Sheet!$E$2:$E$3143, ISNUMBER(
Master_Mapping_Sheet!$E$2:$E$3143),
Master_Mapping_Sheet!$H$2:$H$3143=$A21)))"),0.0)</f>
        <v>0</v>
      </c>
      <c r="D21" s="34">
        <f>IFERROR(__xludf.DUMMYFUNCTION("IF(ISNA(sum(filter(
Master_Mapping_Sheet!$E$2:$E$3143, ISNUMBER(
Master_Mapping_Sheet!$E$2:$E$3143),
Master_Mapping_Sheet!$C$2:$C$3143=D$1,
Master_Mapping_Sheet!$H$2:$H$3143=$A21))/sum(filter(
Master_Mapping_Sheet!$E$2:$E$3143, ISNUMBER(
Master_Mapping_Sh"&amp;"eet!$E$2:$E$3143),
Master_Mapping_Sheet!$H$2:$H$3143=$A21))), 0, sum(filter(
Master_Mapping_Sheet!$E$2:$E$3143, ISNUMBER(
Master_Mapping_Sheet!$E$2:$E$3143),
Master_Mapping_Sheet!$C$2:$C$3143=D$1,
Master_Mapping_Sheet!$H$2:$H$3143=$A21))/sum(filter(
Maste"&amp;"r_Mapping_Sheet!$E$2:$E$3143, ISNUMBER(
Master_Mapping_Sheet!$E$2:$E$3143),
Master_Mapping_Sheet!$H$2:$H$3143=$A21)))"),0.7280654830835237)</f>
        <v>0.7280654831</v>
      </c>
      <c r="E21" s="34">
        <f>IFERROR(__xludf.DUMMYFUNCTION("IF(ISNA(sum(filter(
Master_Mapping_Sheet!$E$2:$E$3143, ISNUMBER(
Master_Mapping_Sheet!$E$2:$E$3143),
Master_Mapping_Sheet!$C$2:$C$3143=E$1,
Master_Mapping_Sheet!$H$2:$H$3143=$A21))/sum(filter(
Master_Mapping_Sheet!$E$2:$E$3143, ISNUMBER(
Master_Mapping_Sh"&amp;"eet!$E$2:$E$3143),
Master_Mapping_Sheet!$H$2:$H$3143=$A21))), 0, sum(filter(
Master_Mapping_Sheet!$E$2:$E$3143, ISNUMBER(
Master_Mapping_Sheet!$E$2:$E$3143),
Master_Mapping_Sheet!$C$2:$C$3143=E$1,
Master_Mapping_Sheet!$H$2:$H$3143=$A21))/sum(filter(
Maste"&amp;"r_Mapping_Sheet!$E$2:$E$3143, ISNUMBER(
Master_Mapping_Sheet!$E$2:$E$3143),
Master_Mapping_Sheet!$H$2:$H$3143=$A21)))"),0.0)</f>
        <v>0</v>
      </c>
      <c r="F21" s="34">
        <f>IFERROR(__xludf.DUMMYFUNCTION("IF(ISNA(sum(filter(
Master_Mapping_Sheet!$E$2:$E$3143, ISNUMBER(
Master_Mapping_Sheet!$E$2:$E$3143),
Master_Mapping_Sheet!$C$2:$C$3143=F$1,
Master_Mapping_Sheet!$H$2:$H$3143=$A21))/sum(filter(
Master_Mapping_Sheet!$E$2:$E$3143, ISNUMBER(
Master_Mapping_Sh"&amp;"eet!$E$2:$E$3143),
Master_Mapping_Sheet!$H$2:$H$3143=$A21))), 0, sum(filter(
Master_Mapping_Sheet!$E$2:$E$3143, ISNUMBER(
Master_Mapping_Sheet!$E$2:$E$3143),
Master_Mapping_Sheet!$C$2:$C$3143=F$1,
Master_Mapping_Sheet!$H$2:$H$3143=$A21))/sum(filter(
Maste"&amp;"r_Mapping_Sheet!$E$2:$E$3143, ISNUMBER(
Master_Mapping_Sheet!$E$2:$E$3143),
Master_Mapping_Sheet!$H$2:$H$3143=$A21)))"),0.017542616948493638)</f>
        <v>0.01754261695</v>
      </c>
      <c r="G21" s="34">
        <f>IFERROR(__xludf.DUMMYFUNCTION("IF(ISNA(sum(filter(
Master_Mapping_Sheet!$E$2:$E$3143, ISNUMBER(
Master_Mapping_Sheet!$E$2:$E$3143),
Master_Mapping_Sheet!$C$2:$C$3143=G$1,
Master_Mapping_Sheet!$H$2:$H$3143=$A21))/sum(filter(
Master_Mapping_Sheet!$E$2:$E$3143, ISNUMBER(
Master_Mapping_Sh"&amp;"eet!$E$2:$E$3143),
Master_Mapping_Sheet!$H$2:$H$3143=$A21))), 0, sum(filter(
Master_Mapping_Sheet!$E$2:$E$3143, ISNUMBER(
Master_Mapping_Sheet!$E$2:$E$3143),
Master_Mapping_Sheet!$C$2:$C$3143=G$1,
Master_Mapping_Sheet!$H$2:$H$3143=$A21))/sum(filter(
Maste"&amp;"r_Mapping_Sheet!$E$2:$E$3143, ISNUMBER(
Master_Mapping_Sheet!$E$2:$E$3143),
Master_Mapping_Sheet!$H$2:$H$3143=$A21)))"),0.0)</f>
        <v>0</v>
      </c>
      <c r="H21" s="34">
        <f>IFERROR(__xludf.DUMMYFUNCTION("IF(ISNA(sum(filter(
Master_Mapping_Sheet!$E$2:$E$3143, ISNUMBER(
Master_Mapping_Sheet!$E$2:$E$3143),
Master_Mapping_Sheet!$C$2:$C$3143=H$1,
Master_Mapping_Sheet!$H$2:$H$3143=$A21))/sum(filter(
Master_Mapping_Sheet!$E$2:$E$3143, ISNUMBER(
Master_Mapping_Sh"&amp;"eet!$E$2:$E$3143),
Master_Mapping_Sheet!$H$2:$H$3143=$A21))), 0, sum(filter(
Master_Mapping_Sheet!$E$2:$E$3143, ISNUMBER(
Master_Mapping_Sheet!$E$2:$E$3143),
Master_Mapping_Sheet!$C$2:$C$3143=H$1,
Master_Mapping_Sheet!$H$2:$H$3143=$A21))/sum(filter(
Maste"&amp;"r_Mapping_Sheet!$E$2:$E$3143, ISNUMBER(
Master_Mapping_Sheet!$E$2:$E$3143),
Master_Mapping_Sheet!$H$2:$H$3143=$A21)))"),0.0)</f>
        <v>0</v>
      </c>
      <c r="I21" s="34">
        <f>IFERROR(__xludf.DUMMYFUNCTION("IF(ISNA(sum(filter(
Master_Mapping_Sheet!$E$2:$E$3143, ISNUMBER(
Master_Mapping_Sheet!$E$2:$E$3143),
Master_Mapping_Sheet!$C$2:$C$3143=I$1,
Master_Mapping_Sheet!$H$2:$H$3143=$A21))/sum(filter(
Master_Mapping_Sheet!$E$2:$E$3143, ISNUMBER(
Master_Mapping_Sh"&amp;"eet!$E$2:$E$3143),
Master_Mapping_Sheet!$H$2:$H$3143=$A21))), 0, sum(filter(
Master_Mapping_Sheet!$E$2:$E$3143, ISNUMBER(
Master_Mapping_Sheet!$E$2:$E$3143),
Master_Mapping_Sheet!$C$2:$C$3143=I$1,
Master_Mapping_Sheet!$H$2:$H$3143=$A21))/sum(filter(
Maste"&amp;"r_Mapping_Sheet!$E$2:$E$3143, ISNUMBER(
Master_Mapping_Sheet!$E$2:$E$3143),
Master_Mapping_Sheet!$H$2:$H$3143=$A21)))"),0.0)</f>
        <v>0</v>
      </c>
      <c r="J21" s="34">
        <f>IFERROR(__xludf.DUMMYFUNCTION("IF(ISNA(sum(filter(
Master_Mapping_Sheet!$E$2:$E$3143, ISNUMBER(
Master_Mapping_Sheet!$E$2:$E$3143),
Master_Mapping_Sheet!$C$2:$C$3143=J$1,
Master_Mapping_Sheet!$H$2:$H$3143=$A21))/sum(filter(
Master_Mapping_Sheet!$E$2:$E$3143, ISNUMBER(
Master_Mapping_Sh"&amp;"eet!$E$2:$E$3143),
Master_Mapping_Sheet!$H$2:$H$3143=$A21))), 0, sum(filter(
Master_Mapping_Sheet!$E$2:$E$3143, ISNUMBER(
Master_Mapping_Sheet!$E$2:$E$3143),
Master_Mapping_Sheet!$C$2:$C$3143=J$1,
Master_Mapping_Sheet!$H$2:$H$3143=$A21))/sum(filter(
Maste"&amp;"r_Mapping_Sheet!$E$2:$E$3143, ISNUMBER(
Master_Mapping_Sheet!$E$2:$E$3143),
Master_Mapping_Sheet!$H$2:$H$3143=$A21)))"),0.0)</f>
        <v>0</v>
      </c>
      <c r="K21" s="34">
        <f>IFERROR(__xludf.DUMMYFUNCTION("IF(ISNA(sum(filter(
Master_Mapping_Sheet!$E$2:$E$3143, ISNUMBER(
Master_Mapping_Sheet!$E$2:$E$3143),
Master_Mapping_Sheet!$C$2:$C$3143=K$1,
Master_Mapping_Sheet!$H$2:$H$3143=$A21))/sum(filter(
Master_Mapping_Sheet!$E$2:$E$3143, ISNUMBER(
Master_Mapping_Sh"&amp;"eet!$E$2:$E$3143),
Master_Mapping_Sheet!$H$2:$H$3143=$A21))), 0, sum(filter(
Master_Mapping_Sheet!$E$2:$E$3143, ISNUMBER(
Master_Mapping_Sheet!$E$2:$E$3143),
Master_Mapping_Sheet!$C$2:$C$3143=K$1,
Master_Mapping_Sheet!$H$2:$H$3143=$A21))/sum(filter(
Maste"&amp;"r_Mapping_Sheet!$E$2:$E$3143, ISNUMBER(
Master_Mapping_Sheet!$E$2:$E$3143),
Master_Mapping_Sheet!$H$2:$H$3143=$A21)))"),0.0)</f>
        <v>0</v>
      </c>
      <c r="L21" s="34">
        <f>IFERROR(__xludf.DUMMYFUNCTION("IF(ISNA(sum(filter(
Master_Mapping_Sheet!$E$2:$E$3143, ISNUMBER(
Master_Mapping_Sheet!$E$2:$E$3143),
Master_Mapping_Sheet!$C$2:$C$3143=L$1,
Master_Mapping_Sheet!$H$2:$H$3143=$A21))/sum(filter(
Master_Mapping_Sheet!$E$2:$E$3143, ISNUMBER(
Master_Mapping_Sh"&amp;"eet!$E$2:$E$3143),
Master_Mapping_Sheet!$H$2:$H$3143=$A21))), 0, sum(filter(
Master_Mapping_Sheet!$E$2:$E$3143, ISNUMBER(
Master_Mapping_Sheet!$E$2:$E$3143),
Master_Mapping_Sheet!$C$2:$C$3143=L$1,
Master_Mapping_Sheet!$H$2:$H$3143=$A21))/sum(filter(
Maste"&amp;"r_Mapping_Sheet!$E$2:$E$3143, ISNUMBER(
Master_Mapping_Sheet!$E$2:$E$3143),
Master_Mapping_Sheet!$H$2:$H$3143=$A21)))"),0.0)</f>
        <v>0</v>
      </c>
      <c r="M21" s="34">
        <f>IFERROR(__xludf.DUMMYFUNCTION("IF(ISNA(sum(filter(
Master_Mapping_Sheet!$E$2:$E$3143, ISNUMBER(
Master_Mapping_Sheet!$E$2:$E$3143),
Master_Mapping_Sheet!$C$2:$C$3143=M$1,
Master_Mapping_Sheet!$H$2:$H$3143=$A21))/sum(filter(
Master_Mapping_Sheet!$E$2:$E$3143, ISNUMBER(
Master_Mapping_Sh"&amp;"eet!$E$2:$E$3143),
Master_Mapping_Sheet!$H$2:$H$3143=$A21))), 0, sum(filter(
Master_Mapping_Sheet!$E$2:$E$3143, ISNUMBER(
Master_Mapping_Sheet!$E$2:$E$3143),
Master_Mapping_Sheet!$C$2:$C$3143=M$1,
Master_Mapping_Sheet!$H$2:$H$3143=$A21))/sum(filter(
Maste"&amp;"r_Mapping_Sheet!$E$2:$E$3143, ISNUMBER(
Master_Mapping_Sheet!$E$2:$E$3143),
Master_Mapping_Sheet!$H$2:$H$3143=$A21)))"),0.0)</f>
        <v>0</v>
      </c>
      <c r="N21" s="34">
        <f>IFERROR(__xludf.DUMMYFUNCTION("IF(ISNA(sum(filter(
Master_Mapping_Sheet!$E$2:$E$3143, ISNUMBER(
Master_Mapping_Sheet!$E$2:$E$3143),
Master_Mapping_Sheet!$C$2:$C$3143=N$1,
Master_Mapping_Sheet!$H$2:$H$3143=$A21))/sum(filter(
Master_Mapping_Sheet!$E$2:$E$3143, ISNUMBER(
Master_Mapping_Sh"&amp;"eet!$E$2:$E$3143),
Master_Mapping_Sheet!$H$2:$H$3143=$A21))), 0, sum(filter(
Master_Mapping_Sheet!$E$2:$E$3143, ISNUMBER(
Master_Mapping_Sheet!$E$2:$E$3143),
Master_Mapping_Sheet!$C$2:$C$3143=N$1,
Master_Mapping_Sheet!$H$2:$H$3143=$A21))/sum(filter(
Maste"&amp;"r_Mapping_Sheet!$E$2:$E$3143, ISNUMBER(
Master_Mapping_Sheet!$E$2:$E$3143),
Master_Mapping_Sheet!$H$2:$H$3143=$A21)))"),0.0)</f>
        <v>0</v>
      </c>
      <c r="O21" s="34">
        <f>IFERROR(__xludf.DUMMYFUNCTION("IF(ISNA(sum(filter(
Master_Mapping_Sheet!$E$2:$E$3143, ISNUMBER(
Master_Mapping_Sheet!$E$2:$E$3143),
Master_Mapping_Sheet!$C$2:$C$3143=O$1,
Master_Mapping_Sheet!$H$2:$H$3143=$A21))/sum(filter(
Master_Mapping_Sheet!$E$2:$E$3143, ISNUMBER(
Master_Mapping_Sh"&amp;"eet!$E$2:$E$3143),
Master_Mapping_Sheet!$H$2:$H$3143=$A21))), 0, sum(filter(
Master_Mapping_Sheet!$E$2:$E$3143, ISNUMBER(
Master_Mapping_Sheet!$E$2:$E$3143),
Master_Mapping_Sheet!$C$2:$C$3143=O$1,
Master_Mapping_Sheet!$H$2:$H$3143=$A21))/sum(filter(
Maste"&amp;"r_Mapping_Sheet!$E$2:$E$3143, ISNUMBER(
Master_Mapping_Sheet!$E$2:$E$3143),
Master_Mapping_Sheet!$H$2:$H$3143=$A21)))"),0.0)</f>
        <v>0</v>
      </c>
      <c r="P21" s="34">
        <f>IFERROR(__xludf.DUMMYFUNCTION("IF(ISNA(sum(filter(
Master_Mapping_Sheet!$E$2:$E$3143, ISNUMBER(
Master_Mapping_Sheet!$E$2:$E$3143),
Master_Mapping_Sheet!$C$2:$C$3143=P$1,
Master_Mapping_Sheet!$H$2:$H$3143=$A21))/sum(filter(
Master_Mapping_Sheet!$E$2:$E$3143, ISNUMBER(
Master_Mapping_Sh"&amp;"eet!$E$2:$E$3143),
Master_Mapping_Sheet!$H$2:$H$3143=$A21))), 0, sum(filter(
Master_Mapping_Sheet!$E$2:$E$3143, ISNUMBER(
Master_Mapping_Sheet!$E$2:$E$3143),
Master_Mapping_Sheet!$C$2:$C$3143=P$1,
Master_Mapping_Sheet!$H$2:$H$3143=$A21))/sum(filter(
Maste"&amp;"r_Mapping_Sheet!$E$2:$E$3143, ISNUMBER(
Master_Mapping_Sheet!$E$2:$E$3143),
Master_Mapping_Sheet!$H$2:$H$3143=$A21)))"),0.0)</f>
        <v>0</v>
      </c>
      <c r="Q21" s="34">
        <f>IFERROR(__xludf.DUMMYFUNCTION("IF(ISNA(sum(filter(
Master_Mapping_Sheet!$E$2:$E$3143, ISNUMBER(
Master_Mapping_Sheet!$E$2:$E$3143),
Master_Mapping_Sheet!$C$2:$C$3143=Q$1,
Master_Mapping_Sheet!$H$2:$H$3143=$A21))/sum(filter(
Master_Mapping_Sheet!$E$2:$E$3143, ISNUMBER(
Master_Mapping_Sh"&amp;"eet!$E$2:$E$3143),
Master_Mapping_Sheet!$H$2:$H$3143=$A21))), 0, sum(filter(
Master_Mapping_Sheet!$E$2:$E$3143, ISNUMBER(
Master_Mapping_Sheet!$E$2:$E$3143),
Master_Mapping_Sheet!$C$2:$C$3143=Q$1,
Master_Mapping_Sheet!$H$2:$H$3143=$A21))/sum(filter(
Maste"&amp;"r_Mapping_Sheet!$E$2:$E$3143, ISNUMBER(
Master_Mapping_Sheet!$E$2:$E$3143),
Master_Mapping_Sheet!$H$2:$H$3143=$A21)))"),0.0)</f>
        <v>0</v>
      </c>
      <c r="R21" s="34">
        <f>IFERROR(__xludf.DUMMYFUNCTION("IF(ISNA(sum(filter(
Master_Mapping_Sheet!$E$2:$E$3143, ISNUMBER(
Master_Mapping_Sheet!$E$2:$E$3143),
Master_Mapping_Sheet!$C$2:$C$3143=R$1,
Master_Mapping_Sheet!$H$2:$H$3143=$A21))/sum(filter(
Master_Mapping_Sheet!$E$2:$E$3143, ISNUMBER(
Master_Mapping_Sh"&amp;"eet!$E$2:$E$3143),
Master_Mapping_Sheet!$H$2:$H$3143=$A21))), 0, sum(filter(
Master_Mapping_Sheet!$E$2:$E$3143, ISNUMBER(
Master_Mapping_Sheet!$E$2:$E$3143),
Master_Mapping_Sheet!$C$2:$C$3143=R$1,
Master_Mapping_Sheet!$H$2:$H$3143=$A21))/sum(filter(
Maste"&amp;"r_Mapping_Sheet!$E$2:$E$3143, ISNUMBER(
Master_Mapping_Sheet!$E$2:$E$3143),
Master_Mapping_Sheet!$H$2:$H$3143=$A21)))"),0.0)</f>
        <v>0</v>
      </c>
      <c r="S21" s="34">
        <f>IFERROR(__xludf.DUMMYFUNCTION("IF(ISNA(sum(filter(
Master_Mapping_Sheet!$E$2:$E$3143, ISNUMBER(
Master_Mapping_Sheet!$E$2:$E$3143),
Master_Mapping_Sheet!$C$2:$C$3143=S$1,
Master_Mapping_Sheet!$H$2:$H$3143=$A21))/sum(filter(
Master_Mapping_Sheet!$E$2:$E$3143, ISNUMBER(
Master_Mapping_Sh"&amp;"eet!$E$2:$E$3143),
Master_Mapping_Sheet!$H$2:$H$3143=$A21))), 0, sum(filter(
Master_Mapping_Sheet!$E$2:$E$3143, ISNUMBER(
Master_Mapping_Sheet!$E$2:$E$3143),
Master_Mapping_Sheet!$C$2:$C$3143=S$1,
Master_Mapping_Sheet!$H$2:$H$3143=$A21))/sum(filter(
Maste"&amp;"r_Mapping_Sheet!$E$2:$E$3143, ISNUMBER(
Master_Mapping_Sheet!$E$2:$E$3143),
Master_Mapping_Sheet!$H$2:$H$3143=$A21)))"),0.0)</f>
        <v>0</v>
      </c>
      <c r="T21" s="34">
        <f>IFERROR(__xludf.DUMMYFUNCTION("IF(ISNA(sum(filter(
Master_Mapping_Sheet!$E$2:$E$3143, ISNUMBER(
Master_Mapping_Sheet!$E$2:$E$3143),
Master_Mapping_Sheet!$C$2:$C$3143=T$1,
Master_Mapping_Sheet!$H$2:$H$3143=$A21))/sum(filter(
Master_Mapping_Sheet!$E$2:$E$3143, ISNUMBER(
Master_Mapping_Sh"&amp;"eet!$E$2:$E$3143),
Master_Mapping_Sheet!$H$2:$H$3143=$A21))), 0, sum(filter(
Master_Mapping_Sheet!$E$2:$E$3143, ISNUMBER(
Master_Mapping_Sheet!$E$2:$E$3143),
Master_Mapping_Sheet!$C$2:$C$3143=T$1,
Master_Mapping_Sheet!$H$2:$H$3143=$A21))/sum(filter(
Maste"&amp;"r_Mapping_Sheet!$E$2:$E$3143, ISNUMBER(
Master_Mapping_Sheet!$E$2:$E$3143),
Master_Mapping_Sheet!$H$2:$H$3143=$A21)))"),0.0)</f>
        <v>0</v>
      </c>
      <c r="U21" s="34">
        <f>IFERROR(__xludf.DUMMYFUNCTION("IF(ISNA(sum(filter(
Master_Mapping_Sheet!$E$2:$E$3143, ISNUMBER(
Master_Mapping_Sheet!$E$2:$E$3143),
Master_Mapping_Sheet!$C$2:$C$3143=U$1,
Master_Mapping_Sheet!$H$2:$H$3143=$A21))/sum(filter(
Master_Mapping_Sheet!$E$2:$E$3143, ISNUMBER(
Master_Mapping_Sh"&amp;"eet!$E$2:$E$3143),
Master_Mapping_Sheet!$H$2:$H$3143=$A21))), 0, sum(filter(
Master_Mapping_Sheet!$E$2:$E$3143, ISNUMBER(
Master_Mapping_Sheet!$E$2:$E$3143),
Master_Mapping_Sheet!$C$2:$C$3143=U$1,
Master_Mapping_Sheet!$H$2:$H$3143=$A21))/sum(filter(
Maste"&amp;"r_Mapping_Sheet!$E$2:$E$3143, ISNUMBER(
Master_Mapping_Sheet!$E$2:$E$3143),
Master_Mapping_Sheet!$H$2:$H$3143=$A21)))"),0.0)</f>
        <v>0</v>
      </c>
      <c r="V21" s="34">
        <f>IFERROR(__xludf.DUMMYFUNCTION("IF(ISNA(sum(filter(
Master_Mapping_Sheet!$E$2:$E$3143, ISNUMBER(
Master_Mapping_Sheet!$E$2:$E$3143),
Master_Mapping_Sheet!$C$2:$C$3143=V$1,
Master_Mapping_Sheet!$H$2:$H$3143=$A21))/sum(filter(
Master_Mapping_Sheet!$E$2:$E$3143, ISNUMBER(
Master_Mapping_Sh"&amp;"eet!$E$2:$E$3143),
Master_Mapping_Sheet!$H$2:$H$3143=$A21))), 0, sum(filter(
Master_Mapping_Sheet!$E$2:$E$3143, ISNUMBER(
Master_Mapping_Sheet!$E$2:$E$3143),
Master_Mapping_Sheet!$C$2:$C$3143=V$1,
Master_Mapping_Sheet!$H$2:$H$3143=$A21))/sum(filter(
Maste"&amp;"r_Mapping_Sheet!$E$2:$E$3143, ISNUMBER(
Master_Mapping_Sheet!$E$2:$E$3143),
Master_Mapping_Sheet!$H$2:$H$3143=$A21)))"),0.0)</f>
        <v>0</v>
      </c>
      <c r="W21" s="34">
        <f>IFERROR(__xludf.DUMMYFUNCTION("IF(ISNA(sum(filter(
Master_Mapping_Sheet!$E$2:$E$3143, ISNUMBER(
Master_Mapping_Sheet!$E$2:$E$3143),
Master_Mapping_Sheet!$C$2:$C$3143=W$1,
Master_Mapping_Sheet!$H$2:$H$3143=$A21))/sum(filter(
Master_Mapping_Sheet!$E$2:$E$3143, ISNUMBER(
Master_Mapping_Sh"&amp;"eet!$E$2:$E$3143),
Master_Mapping_Sheet!$H$2:$H$3143=$A21))), 0, sum(filter(
Master_Mapping_Sheet!$E$2:$E$3143, ISNUMBER(
Master_Mapping_Sheet!$E$2:$E$3143),
Master_Mapping_Sheet!$C$2:$C$3143=W$1,
Master_Mapping_Sheet!$H$2:$H$3143=$A21))/sum(filter(
Maste"&amp;"r_Mapping_Sheet!$E$2:$E$3143, ISNUMBER(
Master_Mapping_Sheet!$E$2:$E$3143),
Master_Mapping_Sheet!$H$2:$H$3143=$A21)))"),0.0)</f>
        <v>0</v>
      </c>
      <c r="X21" s="34">
        <f>IFERROR(__xludf.DUMMYFUNCTION("IF(ISNA(sum(filter(
Master_Mapping_Sheet!$E$2:$E$3143, ISNUMBER(
Master_Mapping_Sheet!$E$2:$E$3143),
Master_Mapping_Sheet!$C$2:$C$3143=X$1,
Master_Mapping_Sheet!$H$2:$H$3143=$A21))/sum(filter(
Master_Mapping_Sheet!$E$2:$E$3143, ISNUMBER(
Master_Mapping_Sh"&amp;"eet!$E$2:$E$3143),
Master_Mapping_Sheet!$H$2:$H$3143=$A21))), 0, sum(filter(
Master_Mapping_Sheet!$E$2:$E$3143, ISNUMBER(
Master_Mapping_Sheet!$E$2:$E$3143),
Master_Mapping_Sheet!$C$2:$C$3143=X$1,
Master_Mapping_Sheet!$H$2:$H$3143=$A21))/sum(filter(
Maste"&amp;"r_Mapping_Sheet!$E$2:$E$3143, ISNUMBER(
Master_Mapping_Sheet!$E$2:$E$3143),
Master_Mapping_Sheet!$H$2:$H$3143=$A21)))"),0.0)</f>
        <v>0</v>
      </c>
      <c r="Y21" s="34">
        <f>IFERROR(__xludf.DUMMYFUNCTION("IF(ISNA(sum(filter(
Master_Mapping_Sheet!$E$2:$E$3143, ISNUMBER(
Master_Mapping_Sheet!$E$2:$E$3143),
Master_Mapping_Sheet!$C$2:$C$3143=Y$1,
Master_Mapping_Sheet!$H$2:$H$3143=$A21))/sum(filter(
Master_Mapping_Sheet!$E$2:$E$3143, ISNUMBER(
Master_Mapping_Sh"&amp;"eet!$E$2:$E$3143),
Master_Mapping_Sheet!$H$2:$H$3143=$A21))), 0, sum(filter(
Master_Mapping_Sheet!$E$2:$E$3143, ISNUMBER(
Master_Mapping_Sheet!$E$2:$E$3143),
Master_Mapping_Sheet!$C$2:$C$3143=Y$1,
Master_Mapping_Sheet!$H$2:$H$3143=$A21))/sum(filter(
Maste"&amp;"r_Mapping_Sheet!$E$2:$E$3143, ISNUMBER(
Master_Mapping_Sheet!$E$2:$E$3143),
Master_Mapping_Sheet!$H$2:$H$3143=$A21)))"),0.0)</f>
        <v>0</v>
      </c>
      <c r="Z21" s="34">
        <f>IFERROR(__xludf.DUMMYFUNCTION("IF(ISNA(sum(filter(
Master_Mapping_Sheet!$E$2:$E$3143, ISNUMBER(
Master_Mapping_Sheet!$E$2:$E$3143),
Master_Mapping_Sheet!$C$2:$C$3143=Z$1,
Master_Mapping_Sheet!$H$2:$H$3143=$A21))/sum(filter(
Master_Mapping_Sheet!$E$2:$E$3143, ISNUMBER(
Master_Mapping_Sh"&amp;"eet!$E$2:$E$3143),
Master_Mapping_Sheet!$H$2:$H$3143=$A21))), 0, sum(filter(
Master_Mapping_Sheet!$E$2:$E$3143, ISNUMBER(
Master_Mapping_Sheet!$E$2:$E$3143),
Master_Mapping_Sheet!$C$2:$C$3143=Z$1,
Master_Mapping_Sheet!$H$2:$H$3143=$A21))/sum(filter(
Maste"&amp;"r_Mapping_Sheet!$E$2:$E$3143, ISNUMBER(
Master_Mapping_Sheet!$E$2:$E$3143),
Master_Mapping_Sheet!$H$2:$H$3143=$A21)))"),0.0)</f>
        <v>0</v>
      </c>
      <c r="AA21" s="34">
        <f>IFERROR(__xludf.DUMMYFUNCTION("IF(ISNA(sum(filter(
Master_Mapping_Sheet!$E$2:$E$3143, ISNUMBER(
Master_Mapping_Sheet!$E$2:$E$3143),
Master_Mapping_Sheet!$C$2:$C$3143=AA$1,
Master_Mapping_Sheet!$H$2:$H$3143=$A21))/sum(filter(
Master_Mapping_Sheet!$E$2:$E$3143, ISNUMBER(
Master_Mapping_S"&amp;"heet!$E$2:$E$3143),
Master_Mapping_Sheet!$H$2:$H$3143=$A21))), 0, sum(filter(
Master_Mapping_Sheet!$E$2:$E$3143, ISNUMBER(
Master_Mapping_Sheet!$E$2:$E$3143),
Master_Mapping_Sheet!$C$2:$C$3143=AA$1,
Master_Mapping_Sheet!$H$2:$H$3143=$A21))/sum(filter(
Mas"&amp;"ter_Mapping_Sheet!$E$2:$E$3143, ISNUMBER(
Master_Mapping_Sheet!$E$2:$E$3143),
Master_Mapping_Sheet!$H$2:$H$3143=$A21)))"),0.0)</f>
        <v>0</v>
      </c>
      <c r="AB21" s="34">
        <f>IFERROR(__xludf.DUMMYFUNCTION("IF(ISNA(sum(filter(
Master_Mapping_Sheet!$E$2:$E$3143, ISNUMBER(
Master_Mapping_Sheet!$E$2:$E$3143),
Master_Mapping_Sheet!$C$2:$C$3143=AB$1,
Master_Mapping_Sheet!$H$2:$H$3143=$A21))/sum(filter(
Master_Mapping_Sheet!$E$2:$E$3143, ISNUMBER(
Master_Mapping_S"&amp;"heet!$E$2:$E$3143),
Master_Mapping_Sheet!$H$2:$H$3143=$A21))), 0, sum(filter(
Master_Mapping_Sheet!$E$2:$E$3143, ISNUMBER(
Master_Mapping_Sheet!$E$2:$E$3143),
Master_Mapping_Sheet!$C$2:$C$3143=AB$1,
Master_Mapping_Sheet!$H$2:$H$3143=$A21))/sum(filter(
Mas"&amp;"ter_Mapping_Sheet!$E$2:$E$3143, ISNUMBER(
Master_Mapping_Sheet!$E$2:$E$3143),
Master_Mapping_Sheet!$H$2:$H$3143=$A21)))"),0.0)</f>
        <v>0</v>
      </c>
      <c r="AC21" s="34">
        <f>IFERROR(__xludf.DUMMYFUNCTION("IF(ISNA(sum(filter(
Master_Mapping_Sheet!$E$2:$E$3143, ISNUMBER(
Master_Mapping_Sheet!$E$2:$E$3143),
Master_Mapping_Sheet!$C$2:$C$3143=AC$1,
Master_Mapping_Sheet!$H$2:$H$3143=$A21))/sum(filter(
Master_Mapping_Sheet!$E$2:$E$3143, ISNUMBER(
Master_Mapping_S"&amp;"heet!$E$2:$E$3143),
Master_Mapping_Sheet!$H$2:$H$3143=$A21))), 0, sum(filter(
Master_Mapping_Sheet!$E$2:$E$3143, ISNUMBER(
Master_Mapping_Sheet!$E$2:$E$3143),
Master_Mapping_Sheet!$C$2:$C$3143=AC$1,
Master_Mapping_Sheet!$H$2:$H$3143=$A21))/sum(filter(
Mas"&amp;"ter_Mapping_Sheet!$E$2:$E$3143, ISNUMBER(
Master_Mapping_Sheet!$E$2:$E$3143),
Master_Mapping_Sheet!$H$2:$H$3143=$A21)))"),0.0)</f>
        <v>0</v>
      </c>
      <c r="AD21" s="34">
        <f>IFERROR(__xludf.DUMMYFUNCTION("IF(ISNA(sum(filter(
Master_Mapping_Sheet!$E$2:$E$3143, ISNUMBER(
Master_Mapping_Sheet!$E$2:$E$3143),
Master_Mapping_Sheet!$C$2:$C$3143=AD$1,
Master_Mapping_Sheet!$H$2:$H$3143=$A21))/sum(filter(
Master_Mapping_Sheet!$E$2:$E$3143, ISNUMBER(
Master_Mapping_S"&amp;"heet!$E$2:$E$3143),
Master_Mapping_Sheet!$H$2:$H$3143=$A21))), 0, sum(filter(
Master_Mapping_Sheet!$E$2:$E$3143, ISNUMBER(
Master_Mapping_Sheet!$E$2:$E$3143),
Master_Mapping_Sheet!$C$2:$C$3143=AD$1,
Master_Mapping_Sheet!$H$2:$H$3143=$A21))/sum(filter(
Mas"&amp;"ter_Mapping_Sheet!$E$2:$E$3143, ISNUMBER(
Master_Mapping_Sheet!$E$2:$E$3143),
Master_Mapping_Sheet!$H$2:$H$3143=$A21)))"),0.0)</f>
        <v>0</v>
      </c>
      <c r="AE21" s="34">
        <f>IFERROR(__xludf.DUMMYFUNCTION("IF(ISNA(sum(filter(
Master_Mapping_Sheet!$E$2:$E$3143, ISNUMBER(
Master_Mapping_Sheet!$E$2:$E$3143),
Master_Mapping_Sheet!$C$2:$C$3143=AE$1,
Master_Mapping_Sheet!$H$2:$H$3143=$A21))/sum(filter(
Master_Mapping_Sheet!$E$2:$E$3143, ISNUMBER(
Master_Mapping_S"&amp;"heet!$E$2:$E$3143),
Master_Mapping_Sheet!$H$2:$H$3143=$A21))), 0, sum(filter(
Master_Mapping_Sheet!$E$2:$E$3143, ISNUMBER(
Master_Mapping_Sheet!$E$2:$E$3143),
Master_Mapping_Sheet!$C$2:$C$3143=AE$1,
Master_Mapping_Sheet!$H$2:$H$3143=$A21))/sum(filter(
Mas"&amp;"ter_Mapping_Sheet!$E$2:$E$3143, ISNUMBER(
Master_Mapping_Sheet!$E$2:$E$3143),
Master_Mapping_Sheet!$H$2:$H$3143=$A21)))"),0.0)</f>
        <v>0</v>
      </c>
      <c r="AF21" s="34">
        <f>IFERROR(__xludf.DUMMYFUNCTION("IF(ISNA(sum(filter(
Master_Mapping_Sheet!$E$2:$E$3143, ISNUMBER(
Master_Mapping_Sheet!$E$2:$E$3143),
Master_Mapping_Sheet!$C$2:$C$3143=AF$1,
Master_Mapping_Sheet!$H$2:$H$3143=$A21))/sum(filter(
Master_Mapping_Sheet!$E$2:$E$3143, ISNUMBER(
Master_Mapping_S"&amp;"heet!$E$2:$E$3143),
Master_Mapping_Sheet!$H$2:$H$3143=$A21))), 0, sum(filter(
Master_Mapping_Sheet!$E$2:$E$3143, ISNUMBER(
Master_Mapping_Sheet!$E$2:$E$3143),
Master_Mapping_Sheet!$C$2:$C$3143=AF$1,
Master_Mapping_Sheet!$H$2:$H$3143=$A21))/sum(filter(
Mas"&amp;"ter_Mapping_Sheet!$E$2:$E$3143, ISNUMBER(
Master_Mapping_Sheet!$E$2:$E$3143),
Master_Mapping_Sheet!$H$2:$H$3143=$A21)))"),0.0)</f>
        <v>0</v>
      </c>
      <c r="AG21" s="34">
        <f>IFERROR(__xludf.DUMMYFUNCTION("IF(ISNA(sum(filter(
Master_Mapping_Sheet!$E$2:$E$3143, ISNUMBER(
Master_Mapping_Sheet!$E$2:$E$3143),
Master_Mapping_Sheet!$C$2:$C$3143=AG$1,
Master_Mapping_Sheet!$H$2:$H$3143=$A21))/sum(filter(
Master_Mapping_Sheet!$E$2:$E$3143, ISNUMBER(
Master_Mapping_S"&amp;"heet!$E$2:$E$3143),
Master_Mapping_Sheet!$H$2:$H$3143=$A21))), 0, sum(filter(
Master_Mapping_Sheet!$E$2:$E$3143, ISNUMBER(
Master_Mapping_Sheet!$E$2:$E$3143),
Master_Mapping_Sheet!$C$2:$C$3143=AG$1,
Master_Mapping_Sheet!$H$2:$H$3143=$A21))/sum(filter(
Mas"&amp;"ter_Mapping_Sheet!$E$2:$E$3143, ISNUMBER(
Master_Mapping_Sheet!$E$2:$E$3143),
Master_Mapping_Sheet!$H$2:$H$3143=$A21)))"),0.1688296979750704)</f>
        <v>0.168829698</v>
      </c>
      <c r="AH21" s="34">
        <f>IFERROR(__xludf.DUMMYFUNCTION("IF(ISNA(sum(filter(
Master_Mapping_Sheet!$E$2:$E$3143, ISNUMBER(
Master_Mapping_Sheet!$E$2:$E$3143),
Master_Mapping_Sheet!$C$2:$C$3143=AH$1,
Master_Mapping_Sheet!$H$2:$H$3143=$A21))/sum(filter(
Master_Mapping_Sheet!$E$2:$E$3143, ISNUMBER(
Master_Mapping_S"&amp;"heet!$E$2:$E$3143),
Master_Mapping_Sheet!$H$2:$H$3143=$A21))), 0, sum(filter(
Master_Mapping_Sheet!$E$2:$E$3143, ISNUMBER(
Master_Mapping_Sheet!$E$2:$E$3143),
Master_Mapping_Sheet!$C$2:$C$3143=AH$1,
Master_Mapping_Sheet!$H$2:$H$3143=$A21))/sum(filter(
Mas"&amp;"ter_Mapping_Sheet!$E$2:$E$3143, ISNUMBER(
Master_Mapping_Sheet!$E$2:$E$3143),
Master_Mapping_Sheet!$H$2:$H$3143=$A21)))"),0.0)</f>
        <v>0</v>
      </c>
      <c r="AI21" s="34">
        <f>IFERROR(__xludf.DUMMYFUNCTION("IF(ISNA(sum(filter(
Master_Mapping_Sheet!$E$2:$E$3143, ISNUMBER(
Master_Mapping_Sheet!$E$2:$E$3143),
Master_Mapping_Sheet!$C$2:$C$3143=AI$1,
Master_Mapping_Sheet!$H$2:$H$3143=$A21))/sum(filter(
Master_Mapping_Sheet!$E$2:$E$3143, ISNUMBER(
Master_Mapping_S"&amp;"heet!$E$2:$E$3143),
Master_Mapping_Sheet!$H$2:$H$3143=$A21))), 0, sum(filter(
Master_Mapping_Sheet!$E$2:$E$3143, ISNUMBER(
Master_Mapping_Sheet!$E$2:$E$3143),
Master_Mapping_Sheet!$C$2:$C$3143=AI$1,
Master_Mapping_Sheet!$H$2:$H$3143=$A21))/sum(filter(
Mas"&amp;"ter_Mapping_Sheet!$E$2:$E$3143, ISNUMBER(
Master_Mapping_Sheet!$E$2:$E$3143),
Master_Mapping_Sheet!$H$2:$H$3143=$A21)))"),0.0)</f>
        <v>0</v>
      </c>
      <c r="AJ21" s="34">
        <f>IFERROR(__xludf.DUMMYFUNCTION("IF(ISNA(sum(filter(
Master_Mapping_Sheet!$E$2:$E$3143, ISNUMBER(
Master_Mapping_Sheet!$E$2:$E$3143),
Master_Mapping_Sheet!$C$2:$C$3143=AJ$1,
Master_Mapping_Sheet!$H$2:$H$3143=$A21))/sum(filter(
Master_Mapping_Sheet!$E$2:$E$3143, ISNUMBER(
Master_Mapping_S"&amp;"heet!$E$2:$E$3143),
Master_Mapping_Sheet!$H$2:$H$3143=$A21))), 0, sum(filter(
Master_Mapping_Sheet!$E$2:$E$3143, ISNUMBER(
Master_Mapping_Sheet!$E$2:$E$3143),
Master_Mapping_Sheet!$C$2:$C$3143=AJ$1,
Master_Mapping_Sheet!$H$2:$H$3143=$A21))/sum(filter(
Mas"&amp;"ter_Mapping_Sheet!$E$2:$E$3143, ISNUMBER(
Master_Mapping_Sheet!$E$2:$E$3143),
Master_Mapping_Sheet!$H$2:$H$3143=$A21)))"),0.0)</f>
        <v>0</v>
      </c>
      <c r="AK21" s="34">
        <f>IFERROR(__xludf.DUMMYFUNCTION("IF(ISNA(sum(filter(
Master_Mapping_Sheet!$E$2:$E$3143, ISNUMBER(
Master_Mapping_Sheet!$E$2:$E$3143),
Master_Mapping_Sheet!$C$2:$C$3143=AK$1,
Master_Mapping_Sheet!$H$2:$H$3143=$A21))/sum(filter(
Master_Mapping_Sheet!$E$2:$E$3143, ISNUMBER(
Master_Mapping_S"&amp;"heet!$E$2:$E$3143),
Master_Mapping_Sheet!$H$2:$H$3143=$A21))), 0, sum(filter(
Master_Mapping_Sheet!$E$2:$E$3143, ISNUMBER(
Master_Mapping_Sheet!$E$2:$E$3143),
Master_Mapping_Sheet!$C$2:$C$3143=AK$1,
Master_Mapping_Sheet!$H$2:$H$3143=$A21))/sum(filter(
Mas"&amp;"ter_Mapping_Sheet!$E$2:$E$3143, ISNUMBER(
Master_Mapping_Sheet!$E$2:$E$3143),
Master_Mapping_Sheet!$H$2:$H$3143=$A21)))"),0.0)</f>
        <v>0</v>
      </c>
      <c r="AL21" s="34">
        <f>IFERROR(__xludf.DUMMYFUNCTION("IF(ISNA(sum(filter(
Master_Mapping_Sheet!$E$2:$E$3143, ISNUMBER(
Master_Mapping_Sheet!$E$2:$E$3143),
Master_Mapping_Sheet!$C$2:$C$3143=AL$1,
Master_Mapping_Sheet!$H$2:$H$3143=$A21))/sum(filter(
Master_Mapping_Sheet!$E$2:$E$3143, ISNUMBER(
Master_Mapping_S"&amp;"heet!$E$2:$E$3143),
Master_Mapping_Sheet!$H$2:$H$3143=$A21))), 0, sum(filter(
Master_Mapping_Sheet!$E$2:$E$3143, ISNUMBER(
Master_Mapping_Sheet!$E$2:$E$3143),
Master_Mapping_Sheet!$C$2:$C$3143=AL$1,
Master_Mapping_Sheet!$H$2:$H$3143=$A21))/sum(filter(
Mas"&amp;"ter_Mapping_Sheet!$E$2:$E$3143, ISNUMBER(
Master_Mapping_Sheet!$E$2:$E$3143),
Master_Mapping_Sheet!$H$2:$H$3143=$A21)))"),0.0)</f>
        <v>0</v>
      </c>
      <c r="AM21" s="34">
        <f>IFERROR(__xludf.DUMMYFUNCTION("IF(ISNA(sum(filter(
Master_Mapping_Sheet!$E$2:$E$3143, ISNUMBER(
Master_Mapping_Sheet!$E$2:$E$3143),
Master_Mapping_Sheet!$C$2:$C$3143=AM$1,
Master_Mapping_Sheet!$H$2:$H$3143=$A21))/sum(filter(
Master_Mapping_Sheet!$E$2:$E$3143, ISNUMBER(
Master_Mapping_S"&amp;"heet!$E$2:$E$3143),
Master_Mapping_Sheet!$H$2:$H$3143=$A21))), 0, sum(filter(
Master_Mapping_Sheet!$E$2:$E$3143, ISNUMBER(
Master_Mapping_Sheet!$E$2:$E$3143),
Master_Mapping_Sheet!$C$2:$C$3143=AM$1,
Master_Mapping_Sheet!$H$2:$H$3143=$A21))/sum(filter(
Mas"&amp;"ter_Mapping_Sheet!$E$2:$E$3143, ISNUMBER(
Master_Mapping_Sheet!$E$2:$E$3143),
Master_Mapping_Sheet!$H$2:$H$3143=$A21)))"),0.0)</f>
        <v>0</v>
      </c>
      <c r="AN21" s="34">
        <f>IFERROR(__xludf.DUMMYFUNCTION("IF(ISNA(sum(filter(
Master_Mapping_Sheet!$E$2:$E$3143, ISNUMBER(
Master_Mapping_Sheet!$E$2:$E$3143),
Master_Mapping_Sheet!$C$2:$C$3143=AN$1,
Master_Mapping_Sheet!$H$2:$H$3143=$A21))/sum(filter(
Master_Mapping_Sheet!$E$2:$E$3143, ISNUMBER(
Master_Mapping_S"&amp;"heet!$E$2:$E$3143),
Master_Mapping_Sheet!$H$2:$H$3143=$A21))), 0, sum(filter(
Master_Mapping_Sheet!$E$2:$E$3143, ISNUMBER(
Master_Mapping_Sheet!$E$2:$E$3143),
Master_Mapping_Sheet!$C$2:$C$3143=AN$1,
Master_Mapping_Sheet!$H$2:$H$3143=$A21))/sum(filter(
Mas"&amp;"ter_Mapping_Sheet!$E$2:$E$3143, ISNUMBER(
Master_Mapping_Sheet!$E$2:$E$3143),
Master_Mapping_Sheet!$H$2:$H$3143=$A21)))"),0.0)</f>
        <v>0</v>
      </c>
      <c r="AO21" s="34">
        <f>IFERROR(__xludf.DUMMYFUNCTION("IF(ISNA(sum(filter(
Master_Mapping_Sheet!$E$2:$E$3143, ISNUMBER(
Master_Mapping_Sheet!$E$2:$E$3143),
Master_Mapping_Sheet!$C$2:$C$3143=AO$1,
Master_Mapping_Sheet!$H$2:$H$3143=$A21))/sum(filter(
Master_Mapping_Sheet!$E$2:$E$3143, ISNUMBER(
Master_Mapping_S"&amp;"heet!$E$2:$E$3143),
Master_Mapping_Sheet!$H$2:$H$3143=$A21))), 0, sum(filter(
Master_Mapping_Sheet!$E$2:$E$3143, ISNUMBER(
Master_Mapping_Sheet!$E$2:$E$3143),
Master_Mapping_Sheet!$C$2:$C$3143=AO$1,
Master_Mapping_Sheet!$H$2:$H$3143=$A21))/sum(filter(
Mas"&amp;"ter_Mapping_Sheet!$E$2:$E$3143, ISNUMBER(
Master_Mapping_Sheet!$E$2:$E$3143),
Master_Mapping_Sheet!$H$2:$H$3143=$A21)))"),0.0)</f>
        <v>0</v>
      </c>
      <c r="AP21" s="34">
        <f>IFERROR(__xludf.DUMMYFUNCTION("IF(ISNA(sum(filter(
Master_Mapping_Sheet!$E$2:$E$3143, ISNUMBER(
Master_Mapping_Sheet!$E$2:$E$3143),
Master_Mapping_Sheet!$C$2:$C$3143=AP$1,
Master_Mapping_Sheet!$H$2:$H$3143=$A21))/sum(filter(
Master_Mapping_Sheet!$E$2:$E$3143, ISNUMBER(
Master_Mapping_S"&amp;"heet!$E$2:$E$3143),
Master_Mapping_Sheet!$H$2:$H$3143=$A21))), 0, sum(filter(
Master_Mapping_Sheet!$E$2:$E$3143, ISNUMBER(
Master_Mapping_Sheet!$E$2:$E$3143),
Master_Mapping_Sheet!$C$2:$C$3143=AP$1,
Master_Mapping_Sheet!$H$2:$H$3143=$A21))/sum(filter(
Mas"&amp;"ter_Mapping_Sheet!$E$2:$E$3143, ISNUMBER(
Master_Mapping_Sheet!$E$2:$E$3143),
Master_Mapping_Sheet!$H$2:$H$3143=$A21)))"),0.0)</f>
        <v>0</v>
      </c>
      <c r="AQ21" s="34">
        <f>IFERROR(__xludf.DUMMYFUNCTION("IF(ISNA(sum(filter(
Master_Mapping_Sheet!$E$2:$E$3143, ISNUMBER(
Master_Mapping_Sheet!$E$2:$E$3143),
Master_Mapping_Sheet!$C$2:$C$3143=AQ$1,
Master_Mapping_Sheet!$H$2:$H$3143=$A21))/sum(filter(
Master_Mapping_Sheet!$E$2:$E$3143, ISNUMBER(
Master_Mapping_S"&amp;"heet!$E$2:$E$3143),
Master_Mapping_Sheet!$H$2:$H$3143=$A21))), 0, sum(filter(
Master_Mapping_Sheet!$E$2:$E$3143, ISNUMBER(
Master_Mapping_Sheet!$E$2:$E$3143),
Master_Mapping_Sheet!$C$2:$C$3143=AQ$1,
Master_Mapping_Sheet!$H$2:$H$3143=$A21))/sum(filter(
Mas"&amp;"ter_Mapping_Sheet!$E$2:$E$3143, ISNUMBER(
Master_Mapping_Sheet!$E$2:$E$3143),
Master_Mapping_Sheet!$H$2:$H$3143=$A21)))"),0.0)</f>
        <v>0</v>
      </c>
      <c r="AR21" s="34">
        <f>IFERROR(__xludf.DUMMYFUNCTION("IF(ISNA(sum(filter(
Master_Mapping_Sheet!$E$2:$E$3143, ISNUMBER(
Master_Mapping_Sheet!$E$2:$E$3143),
Master_Mapping_Sheet!$C$2:$C$3143=AR$1,
Master_Mapping_Sheet!$H$2:$H$3143=$A21))/sum(filter(
Master_Mapping_Sheet!$E$2:$E$3143, ISNUMBER(
Master_Mapping_S"&amp;"heet!$E$2:$E$3143),
Master_Mapping_Sheet!$H$2:$H$3143=$A21))), 0, sum(filter(
Master_Mapping_Sheet!$E$2:$E$3143, ISNUMBER(
Master_Mapping_Sheet!$E$2:$E$3143),
Master_Mapping_Sheet!$C$2:$C$3143=AR$1,
Master_Mapping_Sheet!$H$2:$H$3143=$A21))/sum(filter(
Mas"&amp;"ter_Mapping_Sheet!$E$2:$E$3143, ISNUMBER(
Master_Mapping_Sheet!$E$2:$E$3143),
Master_Mapping_Sheet!$H$2:$H$3143=$A21)))"),0.0)</f>
        <v>0</v>
      </c>
      <c r="AS21" s="34">
        <f>IFERROR(__xludf.DUMMYFUNCTION("IF(ISNA(sum(filter(
Master_Mapping_Sheet!$E$2:$E$3143, ISNUMBER(
Master_Mapping_Sheet!$E$2:$E$3143),
Master_Mapping_Sheet!$C$2:$C$3143=AS$1,
Master_Mapping_Sheet!$H$2:$H$3143=$A21))/sum(filter(
Master_Mapping_Sheet!$E$2:$E$3143, ISNUMBER(
Master_Mapping_S"&amp;"heet!$E$2:$E$3143),
Master_Mapping_Sheet!$H$2:$H$3143=$A21))), 0, sum(filter(
Master_Mapping_Sheet!$E$2:$E$3143, ISNUMBER(
Master_Mapping_Sheet!$E$2:$E$3143),
Master_Mapping_Sheet!$C$2:$C$3143=AS$1,
Master_Mapping_Sheet!$H$2:$H$3143=$A21))/sum(filter(
Mas"&amp;"ter_Mapping_Sheet!$E$2:$E$3143, ISNUMBER(
Master_Mapping_Sheet!$E$2:$E$3143),
Master_Mapping_Sheet!$H$2:$H$3143=$A21)))"),0.0855622019929123)</f>
        <v>0.08556220199</v>
      </c>
      <c r="AT21" s="34">
        <f>IFERROR(__xludf.DUMMYFUNCTION("IF(ISNA(sum(filter(
Master_Mapping_Sheet!$E$2:$E$3143, ISNUMBER(
Master_Mapping_Sheet!$E$2:$E$3143),
Master_Mapping_Sheet!$C$2:$C$3143=AT$1,
Master_Mapping_Sheet!$H$2:$H$3143=$A21))/sum(filter(
Master_Mapping_Sheet!$E$2:$E$3143, ISNUMBER(
Master_Mapping_S"&amp;"heet!$E$2:$E$3143),
Master_Mapping_Sheet!$H$2:$H$3143=$A21))), 0, sum(filter(
Master_Mapping_Sheet!$E$2:$E$3143, ISNUMBER(
Master_Mapping_Sheet!$E$2:$E$3143),
Master_Mapping_Sheet!$C$2:$C$3143=AT$1,
Master_Mapping_Sheet!$H$2:$H$3143=$A21))/sum(filter(
Mas"&amp;"ter_Mapping_Sheet!$E$2:$E$3143, ISNUMBER(
Master_Mapping_Sheet!$E$2:$E$3143),
Master_Mapping_Sheet!$H$2:$H$3143=$A21)))"),0.0)</f>
        <v>0</v>
      </c>
      <c r="AU21" s="34">
        <f>IFERROR(__xludf.DUMMYFUNCTION("IF(ISNA(sum(filter(
Master_Mapping_Sheet!$E$2:$E$3143, ISNUMBER(
Master_Mapping_Sheet!$E$2:$E$3143),
Master_Mapping_Sheet!$C$2:$C$3143=AU$1,
Master_Mapping_Sheet!$H$2:$H$3143=$A21))/sum(filter(
Master_Mapping_Sheet!$E$2:$E$3143, ISNUMBER(
Master_Mapping_S"&amp;"heet!$E$2:$E$3143),
Master_Mapping_Sheet!$H$2:$H$3143=$A21))), 0, sum(filter(
Master_Mapping_Sheet!$E$2:$E$3143, ISNUMBER(
Master_Mapping_Sheet!$E$2:$E$3143),
Master_Mapping_Sheet!$C$2:$C$3143=AU$1,
Master_Mapping_Sheet!$H$2:$H$3143=$A21))/sum(filter(
Mas"&amp;"ter_Mapping_Sheet!$E$2:$E$3143, ISNUMBER(
Master_Mapping_Sheet!$E$2:$E$3143),
Master_Mapping_Sheet!$H$2:$H$3143=$A21)))"),0.0)</f>
        <v>0</v>
      </c>
      <c r="AV21" s="34">
        <f>IFERROR(__xludf.DUMMYFUNCTION("IF(ISNA(sum(filter(
Master_Mapping_Sheet!$E$2:$E$3143, ISNUMBER(
Master_Mapping_Sheet!$E$2:$E$3143),
Master_Mapping_Sheet!$C$2:$C$3143=AV$1,
Master_Mapping_Sheet!$H$2:$H$3143=$A21))/sum(filter(
Master_Mapping_Sheet!$E$2:$E$3143, ISNUMBER(
Master_Mapping_S"&amp;"heet!$E$2:$E$3143),
Master_Mapping_Sheet!$H$2:$H$3143=$A21))), 0, sum(filter(
Master_Mapping_Sheet!$E$2:$E$3143, ISNUMBER(
Master_Mapping_Sheet!$E$2:$E$3143),
Master_Mapping_Sheet!$C$2:$C$3143=AV$1,
Master_Mapping_Sheet!$H$2:$H$3143=$A21))/sum(filter(
Mas"&amp;"ter_Mapping_Sheet!$E$2:$E$3143, ISNUMBER(
Master_Mapping_Sheet!$E$2:$E$3143),
Master_Mapping_Sheet!$H$2:$H$3143=$A21)))"),0.0)</f>
        <v>0</v>
      </c>
      <c r="AW21" s="34">
        <f>IFERROR(__xludf.DUMMYFUNCTION("IF(ISNA(sum(filter(
Master_Mapping_Sheet!$E$2:$E$3143, ISNUMBER(
Master_Mapping_Sheet!$E$2:$E$3143),
Master_Mapping_Sheet!$C$2:$C$3143=AW$1,
Master_Mapping_Sheet!$H$2:$H$3143=$A21))/sum(filter(
Master_Mapping_Sheet!$E$2:$E$3143, ISNUMBER(
Master_Mapping_S"&amp;"heet!$E$2:$E$3143),
Master_Mapping_Sheet!$H$2:$H$3143=$A21))), 0, sum(filter(
Master_Mapping_Sheet!$E$2:$E$3143, ISNUMBER(
Master_Mapping_Sheet!$E$2:$E$3143),
Master_Mapping_Sheet!$C$2:$C$3143=AW$1,
Master_Mapping_Sheet!$H$2:$H$3143=$A21))/sum(filter(
Mas"&amp;"ter_Mapping_Sheet!$E$2:$E$3143, ISNUMBER(
Master_Mapping_Sheet!$E$2:$E$3143),
Master_Mapping_Sheet!$H$2:$H$3143=$A21)))"),0.0)</f>
        <v>0</v>
      </c>
      <c r="AX21" s="34">
        <f>IFERROR(__xludf.DUMMYFUNCTION("IF(ISNA(sum(filter(
Master_Mapping_Sheet!$E$2:$E$3143, ISNUMBER(
Master_Mapping_Sheet!$E$2:$E$3143),
Master_Mapping_Sheet!$C$2:$C$3143=AX$1,
Master_Mapping_Sheet!$H$2:$H$3143=$A21))/sum(filter(
Master_Mapping_Sheet!$E$2:$E$3143, ISNUMBER(
Master_Mapping_S"&amp;"heet!$E$2:$E$3143),
Master_Mapping_Sheet!$H$2:$H$3143=$A21))), 0, sum(filter(
Master_Mapping_Sheet!$E$2:$E$3143, ISNUMBER(
Master_Mapping_Sheet!$E$2:$E$3143),
Master_Mapping_Sheet!$C$2:$C$3143=AX$1,
Master_Mapping_Sheet!$H$2:$H$3143=$A21))/sum(filter(
Mas"&amp;"ter_Mapping_Sheet!$E$2:$E$3143, ISNUMBER(
Master_Mapping_Sheet!$E$2:$E$3143),
Master_Mapping_Sheet!$H$2:$H$3143=$A21)))"),0.0)</f>
        <v>0</v>
      </c>
      <c r="AY21" s="34">
        <f>IFERROR(__xludf.DUMMYFUNCTION("IF(ISNA(sum(filter(
Master_Mapping_Sheet!$E$2:$E$3143, ISNUMBER(
Master_Mapping_Sheet!$E$2:$E$3143),
Master_Mapping_Sheet!$C$2:$C$3143=AY$1,
Master_Mapping_Sheet!$H$2:$H$3143=$A21))/sum(filter(
Master_Mapping_Sheet!$E$2:$E$3143, ISNUMBER(
Master_Mapping_S"&amp;"heet!$E$2:$E$3143),
Master_Mapping_Sheet!$H$2:$H$3143=$A21))), 0, sum(filter(
Master_Mapping_Sheet!$E$2:$E$3143, ISNUMBER(
Master_Mapping_Sheet!$E$2:$E$3143),
Master_Mapping_Sheet!$C$2:$C$3143=AY$1,
Master_Mapping_Sheet!$H$2:$H$3143=$A21))/sum(filter(
Mas"&amp;"ter_Mapping_Sheet!$E$2:$E$3143, ISNUMBER(
Master_Mapping_Sheet!$E$2:$E$3143),
Master_Mapping_Sheet!$H$2:$H$3143=$A21)))"),0.0)</f>
        <v>0</v>
      </c>
      <c r="AZ21" s="34">
        <f>IFERROR(__xludf.DUMMYFUNCTION("IF(ISNA(sum(filter(
Master_Mapping_Sheet!$E$2:$E$3143, ISNUMBER(
Master_Mapping_Sheet!$E$2:$E$3143),
Master_Mapping_Sheet!$C$2:$C$3143=AZ$1,
Master_Mapping_Sheet!$H$2:$H$3143=$A21))/sum(filter(
Master_Mapping_Sheet!$E$2:$E$3143, ISNUMBER(
Master_Mapping_S"&amp;"heet!$E$2:$E$3143),
Master_Mapping_Sheet!$H$2:$H$3143=$A21))), 0, sum(filter(
Master_Mapping_Sheet!$E$2:$E$3143, ISNUMBER(
Master_Mapping_Sheet!$E$2:$E$3143),
Master_Mapping_Sheet!$C$2:$C$3143=AZ$1,
Master_Mapping_Sheet!$H$2:$H$3143=$A21))/sum(filter(
Mas"&amp;"ter_Mapping_Sheet!$E$2:$E$3143, ISNUMBER(
Master_Mapping_Sheet!$E$2:$E$3143),
Master_Mapping_Sheet!$H$2:$H$3143=$A21)))"),0.0)</f>
        <v>0</v>
      </c>
    </row>
    <row r="22" ht="15.75" customHeight="1">
      <c r="A22" s="34" t="s">
        <v>3979</v>
      </c>
      <c r="B22" s="34">
        <f>IFERROR(__xludf.DUMMYFUNCTION("IF(ISNA(sum(filter(
Master_Mapping_Sheet!$E$2:$E$3143, ISNUMBER(
Master_Mapping_Sheet!$E$2:$E$3143),
Master_Mapping_Sheet!$C$2:$C$3143=B$1,
Master_Mapping_Sheet!$H$2:$H$3143=$A22))/sum(filter(
Master_Mapping_Sheet!$E$2:$E$3143, ISNUMBER(
Master_Mapping_Sh"&amp;"eet!$E$2:$E$3143),
Master_Mapping_Sheet!$H$2:$H$3143=$A22))), 0, sum(filter(
Master_Mapping_Sheet!$E$2:$E$3143, ISNUMBER(
Master_Mapping_Sheet!$E$2:$E$3143),
Master_Mapping_Sheet!$C$2:$C$3143=B$1,
Master_Mapping_Sheet!$H$2:$H$3143=$A22))/sum(filter(
Maste"&amp;"r_Mapping_Sheet!$E$2:$E$3143, ISNUMBER(
Master_Mapping_Sheet!$E$2:$E$3143),
Master_Mapping_Sheet!$H$2:$H$3143=$A22)))"),0.0)</f>
        <v>0</v>
      </c>
      <c r="C22" s="34">
        <f>IFERROR(__xludf.DUMMYFUNCTION("IF(ISNA(sum(filter(
Master_Mapping_Sheet!$E$2:$E$3143, ISNUMBER(
Master_Mapping_Sheet!$E$2:$E$3143),
Master_Mapping_Sheet!$C$2:$C$3143=C$1,
Master_Mapping_Sheet!$H$2:$H$3143=$A22))/sum(filter(
Master_Mapping_Sheet!$E$2:$E$3143, ISNUMBER(
Master_Mapping_Sh"&amp;"eet!$E$2:$E$3143),
Master_Mapping_Sheet!$H$2:$H$3143=$A22))), 0, sum(filter(
Master_Mapping_Sheet!$E$2:$E$3143, ISNUMBER(
Master_Mapping_Sheet!$E$2:$E$3143),
Master_Mapping_Sheet!$C$2:$C$3143=C$1,
Master_Mapping_Sheet!$H$2:$H$3143=$A22))/sum(filter(
Maste"&amp;"r_Mapping_Sheet!$E$2:$E$3143, ISNUMBER(
Master_Mapping_Sheet!$E$2:$E$3143),
Master_Mapping_Sheet!$H$2:$H$3143=$A22)))"),0.0)</f>
        <v>0</v>
      </c>
      <c r="D22" s="34">
        <f>IFERROR(__xludf.DUMMYFUNCTION("IF(ISNA(sum(filter(
Master_Mapping_Sheet!$E$2:$E$3143, ISNUMBER(
Master_Mapping_Sheet!$E$2:$E$3143),
Master_Mapping_Sheet!$C$2:$C$3143=D$1,
Master_Mapping_Sheet!$H$2:$H$3143=$A22))/sum(filter(
Master_Mapping_Sheet!$E$2:$E$3143, ISNUMBER(
Master_Mapping_Sh"&amp;"eet!$E$2:$E$3143),
Master_Mapping_Sheet!$H$2:$H$3143=$A22))), 0, sum(filter(
Master_Mapping_Sheet!$E$2:$E$3143, ISNUMBER(
Master_Mapping_Sheet!$E$2:$E$3143),
Master_Mapping_Sheet!$C$2:$C$3143=D$1,
Master_Mapping_Sheet!$H$2:$H$3143=$A22))/sum(filter(
Maste"&amp;"r_Mapping_Sheet!$E$2:$E$3143, ISNUMBER(
Master_Mapping_Sheet!$E$2:$E$3143),
Master_Mapping_Sheet!$H$2:$H$3143=$A22)))"),0.0)</f>
        <v>0</v>
      </c>
      <c r="E22" s="34">
        <f>IFERROR(__xludf.DUMMYFUNCTION("IF(ISNA(sum(filter(
Master_Mapping_Sheet!$E$2:$E$3143, ISNUMBER(
Master_Mapping_Sheet!$E$2:$E$3143),
Master_Mapping_Sheet!$C$2:$C$3143=E$1,
Master_Mapping_Sheet!$H$2:$H$3143=$A22))/sum(filter(
Master_Mapping_Sheet!$E$2:$E$3143, ISNUMBER(
Master_Mapping_Sh"&amp;"eet!$E$2:$E$3143),
Master_Mapping_Sheet!$H$2:$H$3143=$A22))), 0, sum(filter(
Master_Mapping_Sheet!$E$2:$E$3143, ISNUMBER(
Master_Mapping_Sheet!$E$2:$E$3143),
Master_Mapping_Sheet!$C$2:$C$3143=E$1,
Master_Mapping_Sheet!$H$2:$H$3143=$A22))/sum(filter(
Maste"&amp;"r_Mapping_Sheet!$E$2:$E$3143, ISNUMBER(
Master_Mapping_Sheet!$E$2:$E$3143),
Master_Mapping_Sheet!$H$2:$H$3143=$A22)))"),0.0)</f>
        <v>0</v>
      </c>
      <c r="F22" s="34">
        <f>IFERROR(__xludf.DUMMYFUNCTION("IF(ISNA(sum(filter(
Master_Mapping_Sheet!$E$2:$E$3143, ISNUMBER(
Master_Mapping_Sheet!$E$2:$E$3143),
Master_Mapping_Sheet!$C$2:$C$3143=F$1,
Master_Mapping_Sheet!$H$2:$H$3143=$A22))/sum(filter(
Master_Mapping_Sheet!$E$2:$E$3143, ISNUMBER(
Master_Mapping_Sh"&amp;"eet!$E$2:$E$3143),
Master_Mapping_Sheet!$H$2:$H$3143=$A22))), 0, sum(filter(
Master_Mapping_Sheet!$E$2:$E$3143, ISNUMBER(
Master_Mapping_Sheet!$E$2:$E$3143),
Master_Mapping_Sheet!$C$2:$C$3143=F$1,
Master_Mapping_Sheet!$H$2:$H$3143=$A22))/sum(filter(
Maste"&amp;"r_Mapping_Sheet!$E$2:$E$3143, ISNUMBER(
Master_Mapping_Sheet!$E$2:$E$3143),
Master_Mapping_Sheet!$H$2:$H$3143=$A22)))"),1.0)</f>
        <v>1</v>
      </c>
      <c r="G22" s="34">
        <f>IFERROR(__xludf.DUMMYFUNCTION("IF(ISNA(sum(filter(
Master_Mapping_Sheet!$E$2:$E$3143, ISNUMBER(
Master_Mapping_Sheet!$E$2:$E$3143),
Master_Mapping_Sheet!$C$2:$C$3143=G$1,
Master_Mapping_Sheet!$H$2:$H$3143=$A22))/sum(filter(
Master_Mapping_Sheet!$E$2:$E$3143, ISNUMBER(
Master_Mapping_Sh"&amp;"eet!$E$2:$E$3143),
Master_Mapping_Sheet!$H$2:$H$3143=$A22))), 0, sum(filter(
Master_Mapping_Sheet!$E$2:$E$3143, ISNUMBER(
Master_Mapping_Sheet!$E$2:$E$3143),
Master_Mapping_Sheet!$C$2:$C$3143=G$1,
Master_Mapping_Sheet!$H$2:$H$3143=$A22))/sum(filter(
Maste"&amp;"r_Mapping_Sheet!$E$2:$E$3143, ISNUMBER(
Master_Mapping_Sheet!$E$2:$E$3143),
Master_Mapping_Sheet!$H$2:$H$3143=$A22)))"),0.0)</f>
        <v>0</v>
      </c>
      <c r="H22" s="34">
        <f>IFERROR(__xludf.DUMMYFUNCTION("IF(ISNA(sum(filter(
Master_Mapping_Sheet!$E$2:$E$3143, ISNUMBER(
Master_Mapping_Sheet!$E$2:$E$3143),
Master_Mapping_Sheet!$C$2:$C$3143=H$1,
Master_Mapping_Sheet!$H$2:$H$3143=$A22))/sum(filter(
Master_Mapping_Sheet!$E$2:$E$3143, ISNUMBER(
Master_Mapping_Sh"&amp;"eet!$E$2:$E$3143),
Master_Mapping_Sheet!$H$2:$H$3143=$A22))), 0, sum(filter(
Master_Mapping_Sheet!$E$2:$E$3143, ISNUMBER(
Master_Mapping_Sheet!$E$2:$E$3143),
Master_Mapping_Sheet!$C$2:$C$3143=H$1,
Master_Mapping_Sheet!$H$2:$H$3143=$A22))/sum(filter(
Maste"&amp;"r_Mapping_Sheet!$E$2:$E$3143, ISNUMBER(
Master_Mapping_Sheet!$E$2:$E$3143),
Master_Mapping_Sheet!$H$2:$H$3143=$A22)))"),0.0)</f>
        <v>0</v>
      </c>
      <c r="I22" s="34">
        <f>IFERROR(__xludf.DUMMYFUNCTION("IF(ISNA(sum(filter(
Master_Mapping_Sheet!$E$2:$E$3143, ISNUMBER(
Master_Mapping_Sheet!$E$2:$E$3143),
Master_Mapping_Sheet!$C$2:$C$3143=I$1,
Master_Mapping_Sheet!$H$2:$H$3143=$A22))/sum(filter(
Master_Mapping_Sheet!$E$2:$E$3143, ISNUMBER(
Master_Mapping_Sh"&amp;"eet!$E$2:$E$3143),
Master_Mapping_Sheet!$H$2:$H$3143=$A22))), 0, sum(filter(
Master_Mapping_Sheet!$E$2:$E$3143, ISNUMBER(
Master_Mapping_Sheet!$E$2:$E$3143),
Master_Mapping_Sheet!$C$2:$C$3143=I$1,
Master_Mapping_Sheet!$H$2:$H$3143=$A22))/sum(filter(
Maste"&amp;"r_Mapping_Sheet!$E$2:$E$3143, ISNUMBER(
Master_Mapping_Sheet!$E$2:$E$3143),
Master_Mapping_Sheet!$H$2:$H$3143=$A22)))"),0.0)</f>
        <v>0</v>
      </c>
      <c r="J22" s="34">
        <f>IFERROR(__xludf.DUMMYFUNCTION("IF(ISNA(sum(filter(
Master_Mapping_Sheet!$E$2:$E$3143, ISNUMBER(
Master_Mapping_Sheet!$E$2:$E$3143),
Master_Mapping_Sheet!$C$2:$C$3143=J$1,
Master_Mapping_Sheet!$H$2:$H$3143=$A22))/sum(filter(
Master_Mapping_Sheet!$E$2:$E$3143, ISNUMBER(
Master_Mapping_Sh"&amp;"eet!$E$2:$E$3143),
Master_Mapping_Sheet!$H$2:$H$3143=$A22))), 0, sum(filter(
Master_Mapping_Sheet!$E$2:$E$3143, ISNUMBER(
Master_Mapping_Sheet!$E$2:$E$3143),
Master_Mapping_Sheet!$C$2:$C$3143=J$1,
Master_Mapping_Sheet!$H$2:$H$3143=$A22))/sum(filter(
Maste"&amp;"r_Mapping_Sheet!$E$2:$E$3143, ISNUMBER(
Master_Mapping_Sheet!$E$2:$E$3143),
Master_Mapping_Sheet!$H$2:$H$3143=$A22)))"),0.0)</f>
        <v>0</v>
      </c>
      <c r="K22" s="34">
        <f>IFERROR(__xludf.DUMMYFUNCTION("IF(ISNA(sum(filter(
Master_Mapping_Sheet!$E$2:$E$3143, ISNUMBER(
Master_Mapping_Sheet!$E$2:$E$3143),
Master_Mapping_Sheet!$C$2:$C$3143=K$1,
Master_Mapping_Sheet!$H$2:$H$3143=$A22))/sum(filter(
Master_Mapping_Sheet!$E$2:$E$3143, ISNUMBER(
Master_Mapping_Sh"&amp;"eet!$E$2:$E$3143),
Master_Mapping_Sheet!$H$2:$H$3143=$A22))), 0, sum(filter(
Master_Mapping_Sheet!$E$2:$E$3143, ISNUMBER(
Master_Mapping_Sheet!$E$2:$E$3143),
Master_Mapping_Sheet!$C$2:$C$3143=K$1,
Master_Mapping_Sheet!$H$2:$H$3143=$A22))/sum(filter(
Maste"&amp;"r_Mapping_Sheet!$E$2:$E$3143, ISNUMBER(
Master_Mapping_Sheet!$E$2:$E$3143),
Master_Mapping_Sheet!$H$2:$H$3143=$A22)))"),0.0)</f>
        <v>0</v>
      </c>
      <c r="L22" s="34">
        <f>IFERROR(__xludf.DUMMYFUNCTION("IF(ISNA(sum(filter(
Master_Mapping_Sheet!$E$2:$E$3143, ISNUMBER(
Master_Mapping_Sheet!$E$2:$E$3143),
Master_Mapping_Sheet!$C$2:$C$3143=L$1,
Master_Mapping_Sheet!$H$2:$H$3143=$A22))/sum(filter(
Master_Mapping_Sheet!$E$2:$E$3143, ISNUMBER(
Master_Mapping_Sh"&amp;"eet!$E$2:$E$3143),
Master_Mapping_Sheet!$H$2:$H$3143=$A22))), 0, sum(filter(
Master_Mapping_Sheet!$E$2:$E$3143, ISNUMBER(
Master_Mapping_Sheet!$E$2:$E$3143),
Master_Mapping_Sheet!$C$2:$C$3143=L$1,
Master_Mapping_Sheet!$H$2:$H$3143=$A22))/sum(filter(
Maste"&amp;"r_Mapping_Sheet!$E$2:$E$3143, ISNUMBER(
Master_Mapping_Sheet!$E$2:$E$3143),
Master_Mapping_Sheet!$H$2:$H$3143=$A22)))"),0.0)</f>
        <v>0</v>
      </c>
      <c r="M22" s="34">
        <f>IFERROR(__xludf.DUMMYFUNCTION("IF(ISNA(sum(filter(
Master_Mapping_Sheet!$E$2:$E$3143, ISNUMBER(
Master_Mapping_Sheet!$E$2:$E$3143),
Master_Mapping_Sheet!$C$2:$C$3143=M$1,
Master_Mapping_Sheet!$H$2:$H$3143=$A22))/sum(filter(
Master_Mapping_Sheet!$E$2:$E$3143, ISNUMBER(
Master_Mapping_Sh"&amp;"eet!$E$2:$E$3143),
Master_Mapping_Sheet!$H$2:$H$3143=$A22))), 0, sum(filter(
Master_Mapping_Sheet!$E$2:$E$3143, ISNUMBER(
Master_Mapping_Sheet!$E$2:$E$3143),
Master_Mapping_Sheet!$C$2:$C$3143=M$1,
Master_Mapping_Sheet!$H$2:$H$3143=$A22))/sum(filter(
Maste"&amp;"r_Mapping_Sheet!$E$2:$E$3143, ISNUMBER(
Master_Mapping_Sheet!$E$2:$E$3143),
Master_Mapping_Sheet!$H$2:$H$3143=$A22)))"),0.0)</f>
        <v>0</v>
      </c>
      <c r="N22" s="34">
        <f>IFERROR(__xludf.DUMMYFUNCTION("IF(ISNA(sum(filter(
Master_Mapping_Sheet!$E$2:$E$3143, ISNUMBER(
Master_Mapping_Sheet!$E$2:$E$3143),
Master_Mapping_Sheet!$C$2:$C$3143=N$1,
Master_Mapping_Sheet!$H$2:$H$3143=$A22))/sum(filter(
Master_Mapping_Sheet!$E$2:$E$3143, ISNUMBER(
Master_Mapping_Sh"&amp;"eet!$E$2:$E$3143),
Master_Mapping_Sheet!$H$2:$H$3143=$A22))), 0, sum(filter(
Master_Mapping_Sheet!$E$2:$E$3143, ISNUMBER(
Master_Mapping_Sheet!$E$2:$E$3143),
Master_Mapping_Sheet!$C$2:$C$3143=N$1,
Master_Mapping_Sheet!$H$2:$H$3143=$A22))/sum(filter(
Maste"&amp;"r_Mapping_Sheet!$E$2:$E$3143, ISNUMBER(
Master_Mapping_Sheet!$E$2:$E$3143),
Master_Mapping_Sheet!$H$2:$H$3143=$A22)))"),0.0)</f>
        <v>0</v>
      </c>
      <c r="O22" s="34">
        <f>IFERROR(__xludf.DUMMYFUNCTION("IF(ISNA(sum(filter(
Master_Mapping_Sheet!$E$2:$E$3143, ISNUMBER(
Master_Mapping_Sheet!$E$2:$E$3143),
Master_Mapping_Sheet!$C$2:$C$3143=O$1,
Master_Mapping_Sheet!$H$2:$H$3143=$A22))/sum(filter(
Master_Mapping_Sheet!$E$2:$E$3143, ISNUMBER(
Master_Mapping_Sh"&amp;"eet!$E$2:$E$3143),
Master_Mapping_Sheet!$H$2:$H$3143=$A22))), 0, sum(filter(
Master_Mapping_Sheet!$E$2:$E$3143, ISNUMBER(
Master_Mapping_Sheet!$E$2:$E$3143),
Master_Mapping_Sheet!$C$2:$C$3143=O$1,
Master_Mapping_Sheet!$H$2:$H$3143=$A22))/sum(filter(
Maste"&amp;"r_Mapping_Sheet!$E$2:$E$3143, ISNUMBER(
Master_Mapping_Sheet!$E$2:$E$3143),
Master_Mapping_Sheet!$H$2:$H$3143=$A22)))"),0.0)</f>
        <v>0</v>
      </c>
      <c r="P22" s="34">
        <f>IFERROR(__xludf.DUMMYFUNCTION("IF(ISNA(sum(filter(
Master_Mapping_Sheet!$E$2:$E$3143, ISNUMBER(
Master_Mapping_Sheet!$E$2:$E$3143),
Master_Mapping_Sheet!$C$2:$C$3143=P$1,
Master_Mapping_Sheet!$H$2:$H$3143=$A22))/sum(filter(
Master_Mapping_Sheet!$E$2:$E$3143, ISNUMBER(
Master_Mapping_Sh"&amp;"eet!$E$2:$E$3143),
Master_Mapping_Sheet!$H$2:$H$3143=$A22))), 0, sum(filter(
Master_Mapping_Sheet!$E$2:$E$3143, ISNUMBER(
Master_Mapping_Sheet!$E$2:$E$3143),
Master_Mapping_Sheet!$C$2:$C$3143=P$1,
Master_Mapping_Sheet!$H$2:$H$3143=$A22))/sum(filter(
Maste"&amp;"r_Mapping_Sheet!$E$2:$E$3143, ISNUMBER(
Master_Mapping_Sheet!$E$2:$E$3143),
Master_Mapping_Sheet!$H$2:$H$3143=$A22)))"),0.0)</f>
        <v>0</v>
      </c>
      <c r="Q22" s="34">
        <f>IFERROR(__xludf.DUMMYFUNCTION("IF(ISNA(sum(filter(
Master_Mapping_Sheet!$E$2:$E$3143, ISNUMBER(
Master_Mapping_Sheet!$E$2:$E$3143),
Master_Mapping_Sheet!$C$2:$C$3143=Q$1,
Master_Mapping_Sheet!$H$2:$H$3143=$A22))/sum(filter(
Master_Mapping_Sheet!$E$2:$E$3143, ISNUMBER(
Master_Mapping_Sh"&amp;"eet!$E$2:$E$3143),
Master_Mapping_Sheet!$H$2:$H$3143=$A22))), 0, sum(filter(
Master_Mapping_Sheet!$E$2:$E$3143, ISNUMBER(
Master_Mapping_Sheet!$E$2:$E$3143),
Master_Mapping_Sheet!$C$2:$C$3143=Q$1,
Master_Mapping_Sheet!$H$2:$H$3143=$A22))/sum(filter(
Maste"&amp;"r_Mapping_Sheet!$E$2:$E$3143, ISNUMBER(
Master_Mapping_Sheet!$E$2:$E$3143),
Master_Mapping_Sheet!$H$2:$H$3143=$A22)))"),0.0)</f>
        <v>0</v>
      </c>
      <c r="R22" s="34">
        <f>IFERROR(__xludf.DUMMYFUNCTION("IF(ISNA(sum(filter(
Master_Mapping_Sheet!$E$2:$E$3143, ISNUMBER(
Master_Mapping_Sheet!$E$2:$E$3143),
Master_Mapping_Sheet!$C$2:$C$3143=R$1,
Master_Mapping_Sheet!$H$2:$H$3143=$A22))/sum(filter(
Master_Mapping_Sheet!$E$2:$E$3143, ISNUMBER(
Master_Mapping_Sh"&amp;"eet!$E$2:$E$3143),
Master_Mapping_Sheet!$H$2:$H$3143=$A22))), 0, sum(filter(
Master_Mapping_Sheet!$E$2:$E$3143, ISNUMBER(
Master_Mapping_Sheet!$E$2:$E$3143),
Master_Mapping_Sheet!$C$2:$C$3143=R$1,
Master_Mapping_Sheet!$H$2:$H$3143=$A22))/sum(filter(
Maste"&amp;"r_Mapping_Sheet!$E$2:$E$3143, ISNUMBER(
Master_Mapping_Sheet!$E$2:$E$3143),
Master_Mapping_Sheet!$H$2:$H$3143=$A22)))"),0.0)</f>
        <v>0</v>
      </c>
      <c r="S22" s="34">
        <f>IFERROR(__xludf.DUMMYFUNCTION("IF(ISNA(sum(filter(
Master_Mapping_Sheet!$E$2:$E$3143, ISNUMBER(
Master_Mapping_Sheet!$E$2:$E$3143),
Master_Mapping_Sheet!$C$2:$C$3143=S$1,
Master_Mapping_Sheet!$H$2:$H$3143=$A22))/sum(filter(
Master_Mapping_Sheet!$E$2:$E$3143, ISNUMBER(
Master_Mapping_Sh"&amp;"eet!$E$2:$E$3143),
Master_Mapping_Sheet!$H$2:$H$3143=$A22))), 0, sum(filter(
Master_Mapping_Sheet!$E$2:$E$3143, ISNUMBER(
Master_Mapping_Sheet!$E$2:$E$3143),
Master_Mapping_Sheet!$C$2:$C$3143=S$1,
Master_Mapping_Sheet!$H$2:$H$3143=$A22))/sum(filter(
Maste"&amp;"r_Mapping_Sheet!$E$2:$E$3143, ISNUMBER(
Master_Mapping_Sheet!$E$2:$E$3143),
Master_Mapping_Sheet!$H$2:$H$3143=$A22)))"),0.0)</f>
        <v>0</v>
      </c>
      <c r="T22" s="34">
        <f>IFERROR(__xludf.DUMMYFUNCTION("IF(ISNA(sum(filter(
Master_Mapping_Sheet!$E$2:$E$3143, ISNUMBER(
Master_Mapping_Sheet!$E$2:$E$3143),
Master_Mapping_Sheet!$C$2:$C$3143=T$1,
Master_Mapping_Sheet!$H$2:$H$3143=$A22))/sum(filter(
Master_Mapping_Sheet!$E$2:$E$3143, ISNUMBER(
Master_Mapping_Sh"&amp;"eet!$E$2:$E$3143),
Master_Mapping_Sheet!$H$2:$H$3143=$A22))), 0, sum(filter(
Master_Mapping_Sheet!$E$2:$E$3143, ISNUMBER(
Master_Mapping_Sheet!$E$2:$E$3143),
Master_Mapping_Sheet!$C$2:$C$3143=T$1,
Master_Mapping_Sheet!$H$2:$H$3143=$A22))/sum(filter(
Maste"&amp;"r_Mapping_Sheet!$E$2:$E$3143, ISNUMBER(
Master_Mapping_Sheet!$E$2:$E$3143),
Master_Mapping_Sheet!$H$2:$H$3143=$A22)))"),0.0)</f>
        <v>0</v>
      </c>
      <c r="U22" s="34">
        <f>IFERROR(__xludf.DUMMYFUNCTION("IF(ISNA(sum(filter(
Master_Mapping_Sheet!$E$2:$E$3143, ISNUMBER(
Master_Mapping_Sheet!$E$2:$E$3143),
Master_Mapping_Sheet!$C$2:$C$3143=U$1,
Master_Mapping_Sheet!$H$2:$H$3143=$A22))/sum(filter(
Master_Mapping_Sheet!$E$2:$E$3143, ISNUMBER(
Master_Mapping_Sh"&amp;"eet!$E$2:$E$3143),
Master_Mapping_Sheet!$H$2:$H$3143=$A22))), 0, sum(filter(
Master_Mapping_Sheet!$E$2:$E$3143, ISNUMBER(
Master_Mapping_Sheet!$E$2:$E$3143),
Master_Mapping_Sheet!$C$2:$C$3143=U$1,
Master_Mapping_Sheet!$H$2:$H$3143=$A22))/sum(filter(
Maste"&amp;"r_Mapping_Sheet!$E$2:$E$3143, ISNUMBER(
Master_Mapping_Sheet!$E$2:$E$3143),
Master_Mapping_Sheet!$H$2:$H$3143=$A22)))"),0.0)</f>
        <v>0</v>
      </c>
      <c r="V22" s="34">
        <f>IFERROR(__xludf.DUMMYFUNCTION("IF(ISNA(sum(filter(
Master_Mapping_Sheet!$E$2:$E$3143, ISNUMBER(
Master_Mapping_Sheet!$E$2:$E$3143),
Master_Mapping_Sheet!$C$2:$C$3143=V$1,
Master_Mapping_Sheet!$H$2:$H$3143=$A22))/sum(filter(
Master_Mapping_Sheet!$E$2:$E$3143, ISNUMBER(
Master_Mapping_Sh"&amp;"eet!$E$2:$E$3143),
Master_Mapping_Sheet!$H$2:$H$3143=$A22))), 0, sum(filter(
Master_Mapping_Sheet!$E$2:$E$3143, ISNUMBER(
Master_Mapping_Sheet!$E$2:$E$3143),
Master_Mapping_Sheet!$C$2:$C$3143=V$1,
Master_Mapping_Sheet!$H$2:$H$3143=$A22))/sum(filter(
Maste"&amp;"r_Mapping_Sheet!$E$2:$E$3143, ISNUMBER(
Master_Mapping_Sheet!$E$2:$E$3143),
Master_Mapping_Sheet!$H$2:$H$3143=$A22)))"),0.0)</f>
        <v>0</v>
      </c>
      <c r="W22" s="34">
        <f>IFERROR(__xludf.DUMMYFUNCTION("IF(ISNA(sum(filter(
Master_Mapping_Sheet!$E$2:$E$3143, ISNUMBER(
Master_Mapping_Sheet!$E$2:$E$3143),
Master_Mapping_Sheet!$C$2:$C$3143=W$1,
Master_Mapping_Sheet!$H$2:$H$3143=$A22))/sum(filter(
Master_Mapping_Sheet!$E$2:$E$3143, ISNUMBER(
Master_Mapping_Sh"&amp;"eet!$E$2:$E$3143),
Master_Mapping_Sheet!$H$2:$H$3143=$A22))), 0, sum(filter(
Master_Mapping_Sheet!$E$2:$E$3143, ISNUMBER(
Master_Mapping_Sheet!$E$2:$E$3143),
Master_Mapping_Sheet!$C$2:$C$3143=W$1,
Master_Mapping_Sheet!$H$2:$H$3143=$A22))/sum(filter(
Maste"&amp;"r_Mapping_Sheet!$E$2:$E$3143, ISNUMBER(
Master_Mapping_Sheet!$E$2:$E$3143),
Master_Mapping_Sheet!$H$2:$H$3143=$A22)))"),0.0)</f>
        <v>0</v>
      </c>
      <c r="X22" s="34">
        <f>IFERROR(__xludf.DUMMYFUNCTION("IF(ISNA(sum(filter(
Master_Mapping_Sheet!$E$2:$E$3143, ISNUMBER(
Master_Mapping_Sheet!$E$2:$E$3143),
Master_Mapping_Sheet!$C$2:$C$3143=X$1,
Master_Mapping_Sheet!$H$2:$H$3143=$A22))/sum(filter(
Master_Mapping_Sheet!$E$2:$E$3143, ISNUMBER(
Master_Mapping_Sh"&amp;"eet!$E$2:$E$3143),
Master_Mapping_Sheet!$H$2:$H$3143=$A22))), 0, sum(filter(
Master_Mapping_Sheet!$E$2:$E$3143, ISNUMBER(
Master_Mapping_Sheet!$E$2:$E$3143),
Master_Mapping_Sheet!$C$2:$C$3143=X$1,
Master_Mapping_Sheet!$H$2:$H$3143=$A22))/sum(filter(
Maste"&amp;"r_Mapping_Sheet!$E$2:$E$3143, ISNUMBER(
Master_Mapping_Sheet!$E$2:$E$3143),
Master_Mapping_Sheet!$H$2:$H$3143=$A22)))"),0.0)</f>
        <v>0</v>
      </c>
      <c r="Y22" s="34">
        <f>IFERROR(__xludf.DUMMYFUNCTION("IF(ISNA(sum(filter(
Master_Mapping_Sheet!$E$2:$E$3143, ISNUMBER(
Master_Mapping_Sheet!$E$2:$E$3143),
Master_Mapping_Sheet!$C$2:$C$3143=Y$1,
Master_Mapping_Sheet!$H$2:$H$3143=$A22))/sum(filter(
Master_Mapping_Sheet!$E$2:$E$3143, ISNUMBER(
Master_Mapping_Sh"&amp;"eet!$E$2:$E$3143),
Master_Mapping_Sheet!$H$2:$H$3143=$A22))), 0, sum(filter(
Master_Mapping_Sheet!$E$2:$E$3143, ISNUMBER(
Master_Mapping_Sheet!$E$2:$E$3143),
Master_Mapping_Sheet!$C$2:$C$3143=Y$1,
Master_Mapping_Sheet!$H$2:$H$3143=$A22))/sum(filter(
Maste"&amp;"r_Mapping_Sheet!$E$2:$E$3143, ISNUMBER(
Master_Mapping_Sheet!$E$2:$E$3143),
Master_Mapping_Sheet!$H$2:$H$3143=$A22)))"),0.0)</f>
        <v>0</v>
      </c>
      <c r="Z22" s="34">
        <f>IFERROR(__xludf.DUMMYFUNCTION("IF(ISNA(sum(filter(
Master_Mapping_Sheet!$E$2:$E$3143, ISNUMBER(
Master_Mapping_Sheet!$E$2:$E$3143),
Master_Mapping_Sheet!$C$2:$C$3143=Z$1,
Master_Mapping_Sheet!$H$2:$H$3143=$A22))/sum(filter(
Master_Mapping_Sheet!$E$2:$E$3143, ISNUMBER(
Master_Mapping_Sh"&amp;"eet!$E$2:$E$3143),
Master_Mapping_Sheet!$H$2:$H$3143=$A22))), 0, sum(filter(
Master_Mapping_Sheet!$E$2:$E$3143, ISNUMBER(
Master_Mapping_Sheet!$E$2:$E$3143),
Master_Mapping_Sheet!$C$2:$C$3143=Z$1,
Master_Mapping_Sheet!$H$2:$H$3143=$A22))/sum(filter(
Maste"&amp;"r_Mapping_Sheet!$E$2:$E$3143, ISNUMBER(
Master_Mapping_Sheet!$E$2:$E$3143),
Master_Mapping_Sheet!$H$2:$H$3143=$A22)))"),0.0)</f>
        <v>0</v>
      </c>
      <c r="AA22" s="34">
        <f>IFERROR(__xludf.DUMMYFUNCTION("IF(ISNA(sum(filter(
Master_Mapping_Sheet!$E$2:$E$3143, ISNUMBER(
Master_Mapping_Sheet!$E$2:$E$3143),
Master_Mapping_Sheet!$C$2:$C$3143=AA$1,
Master_Mapping_Sheet!$H$2:$H$3143=$A22))/sum(filter(
Master_Mapping_Sheet!$E$2:$E$3143, ISNUMBER(
Master_Mapping_S"&amp;"heet!$E$2:$E$3143),
Master_Mapping_Sheet!$H$2:$H$3143=$A22))), 0, sum(filter(
Master_Mapping_Sheet!$E$2:$E$3143, ISNUMBER(
Master_Mapping_Sheet!$E$2:$E$3143),
Master_Mapping_Sheet!$C$2:$C$3143=AA$1,
Master_Mapping_Sheet!$H$2:$H$3143=$A22))/sum(filter(
Mas"&amp;"ter_Mapping_Sheet!$E$2:$E$3143, ISNUMBER(
Master_Mapping_Sheet!$E$2:$E$3143),
Master_Mapping_Sheet!$H$2:$H$3143=$A22)))"),0.0)</f>
        <v>0</v>
      </c>
      <c r="AB22" s="34">
        <f>IFERROR(__xludf.DUMMYFUNCTION("IF(ISNA(sum(filter(
Master_Mapping_Sheet!$E$2:$E$3143, ISNUMBER(
Master_Mapping_Sheet!$E$2:$E$3143),
Master_Mapping_Sheet!$C$2:$C$3143=AB$1,
Master_Mapping_Sheet!$H$2:$H$3143=$A22))/sum(filter(
Master_Mapping_Sheet!$E$2:$E$3143, ISNUMBER(
Master_Mapping_S"&amp;"heet!$E$2:$E$3143),
Master_Mapping_Sheet!$H$2:$H$3143=$A22))), 0, sum(filter(
Master_Mapping_Sheet!$E$2:$E$3143, ISNUMBER(
Master_Mapping_Sheet!$E$2:$E$3143),
Master_Mapping_Sheet!$C$2:$C$3143=AB$1,
Master_Mapping_Sheet!$H$2:$H$3143=$A22))/sum(filter(
Mas"&amp;"ter_Mapping_Sheet!$E$2:$E$3143, ISNUMBER(
Master_Mapping_Sheet!$E$2:$E$3143),
Master_Mapping_Sheet!$H$2:$H$3143=$A22)))"),0.0)</f>
        <v>0</v>
      </c>
      <c r="AC22" s="34">
        <f>IFERROR(__xludf.DUMMYFUNCTION("IF(ISNA(sum(filter(
Master_Mapping_Sheet!$E$2:$E$3143, ISNUMBER(
Master_Mapping_Sheet!$E$2:$E$3143),
Master_Mapping_Sheet!$C$2:$C$3143=AC$1,
Master_Mapping_Sheet!$H$2:$H$3143=$A22))/sum(filter(
Master_Mapping_Sheet!$E$2:$E$3143, ISNUMBER(
Master_Mapping_S"&amp;"heet!$E$2:$E$3143),
Master_Mapping_Sheet!$H$2:$H$3143=$A22))), 0, sum(filter(
Master_Mapping_Sheet!$E$2:$E$3143, ISNUMBER(
Master_Mapping_Sheet!$E$2:$E$3143),
Master_Mapping_Sheet!$C$2:$C$3143=AC$1,
Master_Mapping_Sheet!$H$2:$H$3143=$A22))/sum(filter(
Mas"&amp;"ter_Mapping_Sheet!$E$2:$E$3143, ISNUMBER(
Master_Mapping_Sheet!$E$2:$E$3143),
Master_Mapping_Sheet!$H$2:$H$3143=$A22)))"),0.0)</f>
        <v>0</v>
      </c>
      <c r="AD22" s="34">
        <f>IFERROR(__xludf.DUMMYFUNCTION("IF(ISNA(sum(filter(
Master_Mapping_Sheet!$E$2:$E$3143, ISNUMBER(
Master_Mapping_Sheet!$E$2:$E$3143),
Master_Mapping_Sheet!$C$2:$C$3143=AD$1,
Master_Mapping_Sheet!$H$2:$H$3143=$A22))/sum(filter(
Master_Mapping_Sheet!$E$2:$E$3143, ISNUMBER(
Master_Mapping_S"&amp;"heet!$E$2:$E$3143),
Master_Mapping_Sheet!$H$2:$H$3143=$A22))), 0, sum(filter(
Master_Mapping_Sheet!$E$2:$E$3143, ISNUMBER(
Master_Mapping_Sheet!$E$2:$E$3143),
Master_Mapping_Sheet!$C$2:$C$3143=AD$1,
Master_Mapping_Sheet!$H$2:$H$3143=$A22))/sum(filter(
Mas"&amp;"ter_Mapping_Sheet!$E$2:$E$3143, ISNUMBER(
Master_Mapping_Sheet!$E$2:$E$3143),
Master_Mapping_Sheet!$H$2:$H$3143=$A22)))"),0.0)</f>
        <v>0</v>
      </c>
      <c r="AE22" s="34">
        <f>IFERROR(__xludf.DUMMYFUNCTION("IF(ISNA(sum(filter(
Master_Mapping_Sheet!$E$2:$E$3143, ISNUMBER(
Master_Mapping_Sheet!$E$2:$E$3143),
Master_Mapping_Sheet!$C$2:$C$3143=AE$1,
Master_Mapping_Sheet!$H$2:$H$3143=$A22))/sum(filter(
Master_Mapping_Sheet!$E$2:$E$3143, ISNUMBER(
Master_Mapping_S"&amp;"heet!$E$2:$E$3143),
Master_Mapping_Sheet!$H$2:$H$3143=$A22))), 0, sum(filter(
Master_Mapping_Sheet!$E$2:$E$3143, ISNUMBER(
Master_Mapping_Sheet!$E$2:$E$3143),
Master_Mapping_Sheet!$C$2:$C$3143=AE$1,
Master_Mapping_Sheet!$H$2:$H$3143=$A22))/sum(filter(
Mas"&amp;"ter_Mapping_Sheet!$E$2:$E$3143, ISNUMBER(
Master_Mapping_Sheet!$E$2:$E$3143),
Master_Mapping_Sheet!$H$2:$H$3143=$A22)))"),0.0)</f>
        <v>0</v>
      </c>
      <c r="AF22" s="34">
        <f>IFERROR(__xludf.DUMMYFUNCTION("IF(ISNA(sum(filter(
Master_Mapping_Sheet!$E$2:$E$3143, ISNUMBER(
Master_Mapping_Sheet!$E$2:$E$3143),
Master_Mapping_Sheet!$C$2:$C$3143=AF$1,
Master_Mapping_Sheet!$H$2:$H$3143=$A22))/sum(filter(
Master_Mapping_Sheet!$E$2:$E$3143, ISNUMBER(
Master_Mapping_S"&amp;"heet!$E$2:$E$3143),
Master_Mapping_Sheet!$H$2:$H$3143=$A22))), 0, sum(filter(
Master_Mapping_Sheet!$E$2:$E$3143, ISNUMBER(
Master_Mapping_Sheet!$E$2:$E$3143),
Master_Mapping_Sheet!$C$2:$C$3143=AF$1,
Master_Mapping_Sheet!$H$2:$H$3143=$A22))/sum(filter(
Mas"&amp;"ter_Mapping_Sheet!$E$2:$E$3143, ISNUMBER(
Master_Mapping_Sheet!$E$2:$E$3143),
Master_Mapping_Sheet!$H$2:$H$3143=$A22)))"),0.0)</f>
        <v>0</v>
      </c>
      <c r="AG22" s="34">
        <f>IFERROR(__xludf.DUMMYFUNCTION("IF(ISNA(sum(filter(
Master_Mapping_Sheet!$E$2:$E$3143, ISNUMBER(
Master_Mapping_Sheet!$E$2:$E$3143),
Master_Mapping_Sheet!$C$2:$C$3143=AG$1,
Master_Mapping_Sheet!$H$2:$H$3143=$A22))/sum(filter(
Master_Mapping_Sheet!$E$2:$E$3143, ISNUMBER(
Master_Mapping_S"&amp;"heet!$E$2:$E$3143),
Master_Mapping_Sheet!$H$2:$H$3143=$A22))), 0, sum(filter(
Master_Mapping_Sheet!$E$2:$E$3143, ISNUMBER(
Master_Mapping_Sheet!$E$2:$E$3143),
Master_Mapping_Sheet!$C$2:$C$3143=AG$1,
Master_Mapping_Sheet!$H$2:$H$3143=$A22))/sum(filter(
Mas"&amp;"ter_Mapping_Sheet!$E$2:$E$3143, ISNUMBER(
Master_Mapping_Sheet!$E$2:$E$3143),
Master_Mapping_Sheet!$H$2:$H$3143=$A22)))"),0.0)</f>
        <v>0</v>
      </c>
      <c r="AH22" s="34">
        <f>IFERROR(__xludf.DUMMYFUNCTION("IF(ISNA(sum(filter(
Master_Mapping_Sheet!$E$2:$E$3143, ISNUMBER(
Master_Mapping_Sheet!$E$2:$E$3143),
Master_Mapping_Sheet!$C$2:$C$3143=AH$1,
Master_Mapping_Sheet!$H$2:$H$3143=$A22))/sum(filter(
Master_Mapping_Sheet!$E$2:$E$3143, ISNUMBER(
Master_Mapping_S"&amp;"heet!$E$2:$E$3143),
Master_Mapping_Sheet!$H$2:$H$3143=$A22))), 0, sum(filter(
Master_Mapping_Sheet!$E$2:$E$3143, ISNUMBER(
Master_Mapping_Sheet!$E$2:$E$3143),
Master_Mapping_Sheet!$C$2:$C$3143=AH$1,
Master_Mapping_Sheet!$H$2:$H$3143=$A22))/sum(filter(
Mas"&amp;"ter_Mapping_Sheet!$E$2:$E$3143, ISNUMBER(
Master_Mapping_Sheet!$E$2:$E$3143),
Master_Mapping_Sheet!$H$2:$H$3143=$A22)))"),0.0)</f>
        <v>0</v>
      </c>
      <c r="AI22" s="34">
        <f>IFERROR(__xludf.DUMMYFUNCTION("IF(ISNA(sum(filter(
Master_Mapping_Sheet!$E$2:$E$3143, ISNUMBER(
Master_Mapping_Sheet!$E$2:$E$3143),
Master_Mapping_Sheet!$C$2:$C$3143=AI$1,
Master_Mapping_Sheet!$H$2:$H$3143=$A22))/sum(filter(
Master_Mapping_Sheet!$E$2:$E$3143, ISNUMBER(
Master_Mapping_S"&amp;"heet!$E$2:$E$3143),
Master_Mapping_Sheet!$H$2:$H$3143=$A22))), 0, sum(filter(
Master_Mapping_Sheet!$E$2:$E$3143, ISNUMBER(
Master_Mapping_Sheet!$E$2:$E$3143),
Master_Mapping_Sheet!$C$2:$C$3143=AI$1,
Master_Mapping_Sheet!$H$2:$H$3143=$A22))/sum(filter(
Mas"&amp;"ter_Mapping_Sheet!$E$2:$E$3143, ISNUMBER(
Master_Mapping_Sheet!$E$2:$E$3143),
Master_Mapping_Sheet!$H$2:$H$3143=$A22)))"),0.0)</f>
        <v>0</v>
      </c>
      <c r="AJ22" s="34">
        <f>IFERROR(__xludf.DUMMYFUNCTION("IF(ISNA(sum(filter(
Master_Mapping_Sheet!$E$2:$E$3143, ISNUMBER(
Master_Mapping_Sheet!$E$2:$E$3143),
Master_Mapping_Sheet!$C$2:$C$3143=AJ$1,
Master_Mapping_Sheet!$H$2:$H$3143=$A22))/sum(filter(
Master_Mapping_Sheet!$E$2:$E$3143, ISNUMBER(
Master_Mapping_S"&amp;"heet!$E$2:$E$3143),
Master_Mapping_Sheet!$H$2:$H$3143=$A22))), 0, sum(filter(
Master_Mapping_Sheet!$E$2:$E$3143, ISNUMBER(
Master_Mapping_Sheet!$E$2:$E$3143),
Master_Mapping_Sheet!$C$2:$C$3143=AJ$1,
Master_Mapping_Sheet!$H$2:$H$3143=$A22))/sum(filter(
Mas"&amp;"ter_Mapping_Sheet!$E$2:$E$3143, ISNUMBER(
Master_Mapping_Sheet!$E$2:$E$3143),
Master_Mapping_Sheet!$H$2:$H$3143=$A22)))"),0.0)</f>
        <v>0</v>
      </c>
      <c r="AK22" s="34">
        <f>IFERROR(__xludf.DUMMYFUNCTION("IF(ISNA(sum(filter(
Master_Mapping_Sheet!$E$2:$E$3143, ISNUMBER(
Master_Mapping_Sheet!$E$2:$E$3143),
Master_Mapping_Sheet!$C$2:$C$3143=AK$1,
Master_Mapping_Sheet!$H$2:$H$3143=$A22))/sum(filter(
Master_Mapping_Sheet!$E$2:$E$3143, ISNUMBER(
Master_Mapping_S"&amp;"heet!$E$2:$E$3143),
Master_Mapping_Sheet!$H$2:$H$3143=$A22))), 0, sum(filter(
Master_Mapping_Sheet!$E$2:$E$3143, ISNUMBER(
Master_Mapping_Sheet!$E$2:$E$3143),
Master_Mapping_Sheet!$C$2:$C$3143=AK$1,
Master_Mapping_Sheet!$H$2:$H$3143=$A22))/sum(filter(
Mas"&amp;"ter_Mapping_Sheet!$E$2:$E$3143, ISNUMBER(
Master_Mapping_Sheet!$E$2:$E$3143),
Master_Mapping_Sheet!$H$2:$H$3143=$A22)))"),0.0)</f>
        <v>0</v>
      </c>
      <c r="AL22" s="34">
        <f>IFERROR(__xludf.DUMMYFUNCTION("IF(ISNA(sum(filter(
Master_Mapping_Sheet!$E$2:$E$3143, ISNUMBER(
Master_Mapping_Sheet!$E$2:$E$3143),
Master_Mapping_Sheet!$C$2:$C$3143=AL$1,
Master_Mapping_Sheet!$H$2:$H$3143=$A22))/sum(filter(
Master_Mapping_Sheet!$E$2:$E$3143, ISNUMBER(
Master_Mapping_S"&amp;"heet!$E$2:$E$3143),
Master_Mapping_Sheet!$H$2:$H$3143=$A22))), 0, sum(filter(
Master_Mapping_Sheet!$E$2:$E$3143, ISNUMBER(
Master_Mapping_Sheet!$E$2:$E$3143),
Master_Mapping_Sheet!$C$2:$C$3143=AL$1,
Master_Mapping_Sheet!$H$2:$H$3143=$A22))/sum(filter(
Mas"&amp;"ter_Mapping_Sheet!$E$2:$E$3143, ISNUMBER(
Master_Mapping_Sheet!$E$2:$E$3143),
Master_Mapping_Sheet!$H$2:$H$3143=$A22)))"),0.0)</f>
        <v>0</v>
      </c>
      <c r="AM22" s="34">
        <f>IFERROR(__xludf.DUMMYFUNCTION("IF(ISNA(sum(filter(
Master_Mapping_Sheet!$E$2:$E$3143, ISNUMBER(
Master_Mapping_Sheet!$E$2:$E$3143),
Master_Mapping_Sheet!$C$2:$C$3143=AM$1,
Master_Mapping_Sheet!$H$2:$H$3143=$A22))/sum(filter(
Master_Mapping_Sheet!$E$2:$E$3143, ISNUMBER(
Master_Mapping_S"&amp;"heet!$E$2:$E$3143),
Master_Mapping_Sheet!$H$2:$H$3143=$A22))), 0, sum(filter(
Master_Mapping_Sheet!$E$2:$E$3143, ISNUMBER(
Master_Mapping_Sheet!$E$2:$E$3143),
Master_Mapping_Sheet!$C$2:$C$3143=AM$1,
Master_Mapping_Sheet!$H$2:$H$3143=$A22))/sum(filter(
Mas"&amp;"ter_Mapping_Sheet!$E$2:$E$3143, ISNUMBER(
Master_Mapping_Sheet!$E$2:$E$3143),
Master_Mapping_Sheet!$H$2:$H$3143=$A22)))"),0.0)</f>
        <v>0</v>
      </c>
      <c r="AN22" s="34">
        <f>IFERROR(__xludf.DUMMYFUNCTION("IF(ISNA(sum(filter(
Master_Mapping_Sheet!$E$2:$E$3143, ISNUMBER(
Master_Mapping_Sheet!$E$2:$E$3143),
Master_Mapping_Sheet!$C$2:$C$3143=AN$1,
Master_Mapping_Sheet!$H$2:$H$3143=$A22))/sum(filter(
Master_Mapping_Sheet!$E$2:$E$3143, ISNUMBER(
Master_Mapping_S"&amp;"heet!$E$2:$E$3143),
Master_Mapping_Sheet!$H$2:$H$3143=$A22))), 0, sum(filter(
Master_Mapping_Sheet!$E$2:$E$3143, ISNUMBER(
Master_Mapping_Sheet!$E$2:$E$3143),
Master_Mapping_Sheet!$C$2:$C$3143=AN$1,
Master_Mapping_Sheet!$H$2:$H$3143=$A22))/sum(filter(
Mas"&amp;"ter_Mapping_Sheet!$E$2:$E$3143, ISNUMBER(
Master_Mapping_Sheet!$E$2:$E$3143),
Master_Mapping_Sheet!$H$2:$H$3143=$A22)))"),0.0)</f>
        <v>0</v>
      </c>
      <c r="AO22" s="34">
        <f>IFERROR(__xludf.DUMMYFUNCTION("IF(ISNA(sum(filter(
Master_Mapping_Sheet!$E$2:$E$3143, ISNUMBER(
Master_Mapping_Sheet!$E$2:$E$3143),
Master_Mapping_Sheet!$C$2:$C$3143=AO$1,
Master_Mapping_Sheet!$H$2:$H$3143=$A22))/sum(filter(
Master_Mapping_Sheet!$E$2:$E$3143, ISNUMBER(
Master_Mapping_S"&amp;"heet!$E$2:$E$3143),
Master_Mapping_Sheet!$H$2:$H$3143=$A22))), 0, sum(filter(
Master_Mapping_Sheet!$E$2:$E$3143, ISNUMBER(
Master_Mapping_Sheet!$E$2:$E$3143),
Master_Mapping_Sheet!$C$2:$C$3143=AO$1,
Master_Mapping_Sheet!$H$2:$H$3143=$A22))/sum(filter(
Mas"&amp;"ter_Mapping_Sheet!$E$2:$E$3143, ISNUMBER(
Master_Mapping_Sheet!$E$2:$E$3143),
Master_Mapping_Sheet!$H$2:$H$3143=$A22)))"),0.0)</f>
        <v>0</v>
      </c>
      <c r="AP22" s="34">
        <f>IFERROR(__xludf.DUMMYFUNCTION("IF(ISNA(sum(filter(
Master_Mapping_Sheet!$E$2:$E$3143, ISNUMBER(
Master_Mapping_Sheet!$E$2:$E$3143),
Master_Mapping_Sheet!$C$2:$C$3143=AP$1,
Master_Mapping_Sheet!$H$2:$H$3143=$A22))/sum(filter(
Master_Mapping_Sheet!$E$2:$E$3143, ISNUMBER(
Master_Mapping_S"&amp;"heet!$E$2:$E$3143),
Master_Mapping_Sheet!$H$2:$H$3143=$A22))), 0, sum(filter(
Master_Mapping_Sheet!$E$2:$E$3143, ISNUMBER(
Master_Mapping_Sheet!$E$2:$E$3143),
Master_Mapping_Sheet!$C$2:$C$3143=AP$1,
Master_Mapping_Sheet!$H$2:$H$3143=$A22))/sum(filter(
Mas"&amp;"ter_Mapping_Sheet!$E$2:$E$3143, ISNUMBER(
Master_Mapping_Sheet!$E$2:$E$3143),
Master_Mapping_Sheet!$H$2:$H$3143=$A22)))"),0.0)</f>
        <v>0</v>
      </c>
      <c r="AQ22" s="34">
        <f>IFERROR(__xludf.DUMMYFUNCTION("IF(ISNA(sum(filter(
Master_Mapping_Sheet!$E$2:$E$3143, ISNUMBER(
Master_Mapping_Sheet!$E$2:$E$3143),
Master_Mapping_Sheet!$C$2:$C$3143=AQ$1,
Master_Mapping_Sheet!$H$2:$H$3143=$A22))/sum(filter(
Master_Mapping_Sheet!$E$2:$E$3143, ISNUMBER(
Master_Mapping_S"&amp;"heet!$E$2:$E$3143),
Master_Mapping_Sheet!$H$2:$H$3143=$A22))), 0, sum(filter(
Master_Mapping_Sheet!$E$2:$E$3143, ISNUMBER(
Master_Mapping_Sheet!$E$2:$E$3143),
Master_Mapping_Sheet!$C$2:$C$3143=AQ$1,
Master_Mapping_Sheet!$H$2:$H$3143=$A22))/sum(filter(
Mas"&amp;"ter_Mapping_Sheet!$E$2:$E$3143, ISNUMBER(
Master_Mapping_Sheet!$E$2:$E$3143),
Master_Mapping_Sheet!$H$2:$H$3143=$A22)))"),0.0)</f>
        <v>0</v>
      </c>
      <c r="AR22" s="34">
        <f>IFERROR(__xludf.DUMMYFUNCTION("IF(ISNA(sum(filter(
Master_Mapping_Sheet!$E$2:$E$3143, ISNUMBER(
Master_Mapping_Sheet!$E$2:$E$3143),
Master_Mapping_Sheet!$C$2:$C$3143=AR$1,
Master_Mapping_Sheet!$H$2:$H$3143=$A22))/sum(filter(
Master_Mapping_Sheet!$E$2:$E$3143, ISNUMBER(
Master_Mapping_S"&amp;"heet!$E$2:$E$3143),
Master_Mapping_Sheet!$H$2:$H$3143=$A22))), 0, sum(filter(
Master_Mapping_Sheet!$E$2:$E$3143, ISNUMBER(
Master_Mapping_Sheet!$E$2:$E$3143),
Master_Mapping_Sheet!$C$2:$C$3143=AR$1,
Master_Mapping_Sheet!$H$2:$H$3143=$A22))/sum(filter(
Mas"&amp;"ter_Mapping_Sheet!$E$2:$E$3143, ISNUMBER(
Master_Mapping_Sheet!$E$2:$E$3143),
Master_Mapping_Sheet!$H$2:$H$3143=$A22)))"),0.0)</f>
        <v>0</v>
      </c>
      <c r="AS22" s="34">
        <f>IFERROR(__xludf.DUMMYFUNCTION("IF(ISNA(sum(filter(
Master_Mapping_Sheet!$E$2:$E$3143, ISNUMBER(
Master_Mapping_Sheet!$E$2:$E$3143),
Master_Mapping_Sheet!$C$2:$C$3143=AS$1,
Master_Mapping_Sheet!$H$2:$H$3143=$A22))/sum(filter(
Master_Mapping_Sheet!$E$2:$E$3143, ISNUMBER(
Master_Mapping_S"&amp;"heet!$E$2:$E$3143),
Master_Mapping_Sheet!$H$2:$H$3143=$A22))), 0, sum(filter(
Master_Mapping_Sheet!$E$2:$E$3143, ISNUMBER(
Master_Mapping_Sheet!$E$2:$E$3143),
Master_Mapping_Sheet!$C$2:$C$3143=AS$1,
Master_Mapping_Sheet!$H$2:$H$3143=$A22))/sum(filter(
Mas"&amp;"ter_Mapping_Sheet!$E$2:$E$3143, ISNUMBER(
Master_Mapping_Sheet!$E$2:$E$3143),
Master_Mapping_Sheet!$H$2:$H$3143=$A22)))"),0.0)</f>
        <v>0</v>
      </c>
      <c r="AT22" s="34">
        <f>IFERROR(__xludf.DUMMYFUNCTION("IF(ISNA(sum(filter(
Master_Mapping_Sheet!$E$2:$E$3143, ISNUMBER(
Master_Mapping_Sheet!$E$2:$E$3143),
Master_Mapping_Sheet!$C$2:$C$3143=AT$1,
Master_Mapping_Sheet!$H$2:$H$3143=$A22))/sum(filter(
Master_Mapping_Sheet!$E$2:$E$3143, ISNUMBER(
Master_Mapping_S"&amp;"heet!$E$2:$E$3143),
Master_Mapping_Sheet!$H$2:$H$3143=$A22))), 0, sum(filter(
Master_Mapping_Sheet!$E$2:$E$3143, ISNUMBER(
Master_Mapping_Sheet!$E$2:$E$3143),
Master_Mapping_Sheet!$C$2:$C$3143=AT$1,
Master_Mapping_Sheet!$H$2:$H$3143=$A22))/sum(filter(
Mas"&amp;"ter_Mapping_Sheet!$E$2:$E$3143, ISNUMBER(
Master_Mapping_Sheet!$E$2:$E$3143),
Master_Mapping_Sheet!$H$2:$H$3143=$A22)))"),0.0)</f>
        <v>0</v>
      </c>
      <c r="AU22" s="34">
        <f>IFERROR(__xludf.DUMMYFUNCTION("IF(ISNA(sum(filter(
Master_Mapping_Sheet!$E$2:$E$3143, ISNUMBER(
Master_Mapping_Sheet!$E$2:$E$3143),
Master_Mapping_Sheet!$C$2:$C$3143=AU$1,
Master_Mapping_Sheet!$H$2:$H$3143=$A22))/sum(filter(
Master_Mapping_Sheet!$E$2:$E$3143, ISNUMBER(
Master_Mapping_S"&amp;"heet!$E$2:$E$3143),
Master_Mapping_Sheet!$H$2:$H$3143=$A22))), 0, sum(filter(
Master_Mapping_Sheet!$E$2:$E$3143, ISNUMBER(
Master_Mapping_Sheet!$E$2:$E$3143),
Master_Mapping_Sheet!$C$2:$C$3143=AU$1,
Master_Mapping_Sheet!$H$2:$H$3143=$A22))/sum(filter(
Mas"&amp;"ter_Mapping_Sheet!$E$2:$E$3143, ISNUMBER(
Master_Mapping_Sheet!$E$2:$E$3143),
Master_Mapping_Sheet!$H$2:$H$3143=$A22)))"),0.0)</f>
        <v>0</v>
      </c>
      <c r="AV22" s="34">
        <f>IFERROR(__xludf.DUMMYFUNCTION("IF(ISNA(sum(filter(
Master_Mapping_Sheet!$E$2:$E$3143, ISNUMBER(
Master_Mapping_Sheet!$E$2:$E$3143),
Master_Mapping_Sheet!$C$2:$C$3143=AV$1,
Master_Mapping_Sheet!$H$2:$H$3143=$A22))/sum(filter(
Master_Mapping_Sheet!$E$2:$E$3143, ISNUMBER(
Master_Mapping_S"&amp;"heet!$E$2:$E$3143),
Master_Mapping_Sheet!$H$2:$H$3143=$A22))), 0, sum(filter(
Master_Mapping_Sheet!$E$2:$E$3143, ISNUMBER(
Master_Mapping_Sheet!$E$2:$E$3143),
Master_Mapping_Sheet!$C$2:$C$3143=AV$1,
Master_Mapping_Sheet!$H$2:$H$3143=$A22))/sum(filter(
Mas"&amp;"ter_Mapping_Sheet!$E$2:$E$3143, ISNUMBER(
Master_Mapping_Sheet!$E$2:$E$3143),
Master_Mapping_Sheet!$H$2:$H$3143=$A22)))"),0.0)</f>
        <v>0</v>
      </c>
      <c r="AW22" s="34">
        <f>IFERROR(__xludf.DUMMYFUNCTION("IF(ISNA(sum(filter(
Master_Mapping_Sheet!$E$2:$E$3143, ISNUMBER(
Master_Mapping_Sheet!$E$2:$E$3143),
Master_Mapping_Sheet!$C$2:$C$3143=AW$1,
Master_Mapping_Sheet!$H$2:$H$3143=$A22))/sum(filter(
Master_Mapping_Sheet!$E$2:$E$3143, ISNUMBER(
Master_Mapping_S"&amp;"heet!$E$2:$E$3143),
Master_Mapping_Sheet!$H$2:$H$3143=$A22))), 0, sum(filter(
Master_Mapping_Sheet!$E$2:$E$3143, ISNUMBER(
Master_Mapping_Sheet!$E$2:$E$3143),
Master_Mapping_Sheet!$C$2:$C$3143=AW$1,
Master_Mapping_Sheet!$H$2:$H$3143=$A22))/sum(filter(
Mas"&amp;"ter_Mapping_Sheet!$E$2:$E$3143, ISNUMBER(
Master_Mapping_Sheet!$E$2:$E$3143),
Master_Mapping_Sheet!$H$2:$H$3143=$A22)))"),0.0)</f>
        <v>0</v>
      </c>
      <c r="AX22" s="34">
        <f>IFERROR(__xludf.DUMMYFUNCTION("IF(ISNA(sum(filter(
Master_Mapping_Sheet!$E$2:$E$3143, ISNUMBER(
Master_Mapping_Sheet!$E$2:$E$3143),
Master_Mapping_Sheet!$C$2:$C$3143=AX$1,
Master_Mapping_Sheet!$H$2:$H$3143=$A22))/sum(filter(
Master_Mapping_Sheet!$E$2:$E$3143, ISNUMBER(
Master_Mapping_S"&amp;"heet!$E$2:$E$3143),
Master_Mapping_Sheet!$H$2:$H$3143=$A22))), 0, sum(filter(
Master_Mapping_Sheet!$E$2:$E$3143, ISNUMBER(
Master_Mapping_Sheet!$E$2:$E$3143),
Master_Mapping_Sheet!$C$2:$C$3143=AX$1,
Master_Mapping_Sheet!$H$2:$H$3143=$A22))/sum(filter(
Mas"&amp;"ter_Mapping_Sheet!$E$2:$E$3143, ISNUMBER(
Master_Mapping_Sheet!$E$2:$E$3143),
Master_Mapping_Sheet!$H$2:$H$3143=$A22)))"),0.0)</f>
        <v>0</v>
      </c>
      <c r="AY22" s="34">
        <f>IFERROR(__xludf.DUMMYFUNCTION("IF(ISNA(sum(filter(
Master_Mapping_Sheet!$E$2:$E$3143, ISNUMBER(
Master_Mapping_Sheet!$E$2:$E$3143),
Master_Mapping_Sheet!$C$2:$C$3143=AY$1,
Master_Mapping_Sheet!$H$2:$H$3143=$A22))/sum(filter(
Master_Mapping_Sheet!$E$2:$E$3143, ISNUMBER(
Master_Mapping_S"&amp;"heet!$E$2:$E$3143),
Master_Mapping_Sheet!$H$2:$H$3143=$A22))), 0, sum(filter(
Master_Mapping_Sheet!$E$2:$E$3143, ISNUMBER(
Master_Mapping_Sheet!$E$2:$E$3143),
Master_Mapping_Sheet!$C$2:$C$3143=AY$1,
Master_Mapping_Sheet!$H$2:$H$3143=$A22))/sum(filter(
Mas"&amp;"ter_Mapping_Sheet!$E$2:$E$3143, ISNUMBER(
Master_Mapping_Sheet!$E$2:$E$3143),
Master_Mapping_Sheet!$H$2:$H$3143=$A22)))"),0.0)</f>
        <v>0</v>
      </c>
      <c r="AZ22" s="34">
        <f>IFERROR(__xludf.DUMMYFUNCTION("IF(ISNA(sum(filter(
Master_Mapping_Sheet!$E$2:$E$3143, ISNUMBER(
Master_Mapping_Sheet!$E$2:$E$3143),
Master_Mapping_Sheet!$C$2:$C$3143=AZ$1,
Master_Mapping_Sheet!$H$2:$H$3143=$A22))/sum(filter(
Master_Mapping_Sheet!$E$2:$E$3143, ISNUMBER(
Master_Mapping_S"&amp;"heet!$E$2:$E$3143),
Master_Mapping_Sheet!$H$2:$H$3143=$A22))), 0, sum(filter(
Master_Mapping_Sheet!$E$2:$E$3143, ISNUMBER(
Master_Mapping_Sheet!$E$2:$E$3143),
Master_Mapping_Sheet!$C$2:$C$3143=AZ$1,
Master_Mapping_Sheet!$H$2:$H$3143=$A22))/sum(filter(
Mas"&amp;"ter_Mapping_Sheet!$E$2:$E$3143, ISNUMBER(
Master_Mapping_Sheet!$E$2:$E$3143),
Master_Mapping_Sheet!$H$2:$H$3143=$A22)))"),0.0)</f>
        <v>0</v>
      </c>
    </row>
    <row r="23" ht="15.75" customHeight="1">
      <c r="A23" s="34" t="s">
        <v>3981</v>
      </c>
      <c r="B23" s="34">
        <f>IFERROR(__xludf.DUMMYFUNCTION("IF(ISNA(sum(filter(
Master_Mapping_Sheet!$E$2:$E$3143, ISNUMBER(
Master_Mapping_Sheet!$E$2:$E$3143),
Master_Mapping_Sheet!$C$2:$C$3143=B$1,
Master_Mapping_Sheet!$H$2:$H$3143=$A23))/sum(filter(
Master_Mapping_Sheet!$E$2:$E$3143, ISNUMBER(
Master_Mapping_Sh"&amp;"eet!$E$2:$E$3143),
Master_Mapping_Sheet!$H$2:$H$3143=$A23))), 0, sum(filter(
Master_Mapping_Sheet!$E$2:$E$3143, ISNUMBER(
Master_Mapping_Sheet!$E$2:$E$3143),
Master_Mapping_Sheet!$C$2:$C$3143=B$1,
Master_Mapping_Sheet!$H$2:$H$3143=$A23))/sum(filter(
Maste"&amp;"r_Mapping_Sheet!$E$2:$E$3143, ISNUMBER(
Master_Mapping_Sheet!$E$2:$E$3143),
Master_Mapping_Sheet!$H$2:$H$3143=$A23)))"),0.0)</f>
        <v>0</v>
      </c>
      <c r="C23" s="34">
        <f>IFERROR(__xludf.DUMMYFUNCTION("IF(ISNA(sum(filter(
Master_Mapping_Sheet!$E$2:$E$3143, ISNUMBER(
Master_Mapping_Sheet!$E$2:$E$3143),
Master_Mapping_Sheet!$C$2:$C$3143=C$1,
Master_Mapping_Sheet!$H$2:$H$3143=$A23))/sum(filter(
Master_Mapping_Sheet!$E$2:$E$3143, ISNUMBER(
Master_Mapping_Sh"&amp;"eet!$E$2:$E$3143),
Master_Mapping_Sheet!$H$2:$H$3143=$A23))), 0, sum(filter(
Master_Mapping_Sheet!$E$2:$E$3143, ISNUMBER(
Master_Mapping_Sheet!$E$2:$E$3143),
Master_Mapping_Sheet!$C$2:$C$3143=C$1,
Master_Mapping_Sheet!$H$2:$H$3143=$A23))/sum(filter(
Maste"&amp;"r_Mapping_Sheet!$E$2:$E$3143, ISNUMBER(
Master_Mapping_Sheet!$E$2:$E$3143),
Master_Mapping_Sheet!$H$2:$H$3143=$A23)))"),0.0)</f>
        <v>0</v>
      </c>
      <c r="D23" s="34">
        <f>IFERROR(__xludf.DUMMYFUNCTION("IF(ISNA(sum(filter(
Master_Mapping_Sheet!$E$2:$E$3143, ISNUMBER(
Master_Mapping_Sheet!$E$2:$E$3143),
Master_Mapping_Sheet!$C$2:$C$3143=D$1,
Master_Mapping_Sheet!$H$2:$H$3143=$A23))/sum(filter(
Master_Mapping_Sheet!$E$2:$E$3143, ISNUMBER(
Master_Mapping_Sh"&amp;"eet!$E$2:$E$3143),
Master_Mapping_Sheet!$H$2:$H$3143=$A23))), 0, sum(filter(
Master_Mapping_Sheet!$E$2:$E$3143, ISNUMBER(
Master_Mapping_Sheet!$E$2:$E$3143),
Master_Mapping_Sheet!$C$2:$C$3143=D$1,
Master_Mapping_Sheet!$H$2:$H$3143=$A23))/sum(filter(
Maste"&amp;"r_Mapping_Sheet!$E$2:$E$3143, ISNUMBER(
Master_Mapping_Sheet!$E$2:$E$3143),
Master_Mapping_Sheet!$H$2:$H$3143=$A23)))"),0.0)</f>
        <v>0</v>
      </c>
      <c r="E23" s="34">
        <f>IFERROR(__xludf.DUMMYFUNCTION("IF(ISNA(sum(filter(
Master_Mapping_Sheet!$E$2:$E$3143, ISNUMBER(
Master_Mapping_Sheet!$E$2:$E$3143),
Master_Mapping_Sheet!$C$2:$C$3143=E$1,
Master_Mapping_Sheet!$H$2:$H$3143=$A23))/sum(filter(
Master_Mapping_Sheet!$E$2:$E$3143, ISNUMBER(
Master_Mapping_Sh"&amp;"eet!$E$2:$E$3143),
Master_Mapping_Sheet!$H$2:$H$3143=$A23))), 0, sum(filter(
Master_Mapping_Sheet!$E$2:$E$3143, ISNUMBER(
Master_Mapping_Sheet!$E$2:$E$3143),
Master_Mapping_Sheet!$C$2:$C$3143=E$1,
Master_Mapping_Sheet!$H$2:$H$3143=$A23))/sum(filter(
Maste"&amp;"r_Mapping_Sheet!$E$2:$E$3143, ISNUMBER(
Master_Mapping_Sheet!$E$2:$E$3143),
Master_Mapping_Sheet!$H$2:$H$3143=$A23)))"),0.0)</f>
        <v>0</v>
      </c>
      <c r="F23" s="34">
        <f>IFERROR(__xludf.DUMMYFUNCTION("IF(ISNA(sum(filter(
Master_Mapping_Sheet!$E$2:$E$3143, ISNUMBER(
Master_Mapping_Sheet!$E$2:$E$3143),
Master_Mapping_Sheet!$C$2:$C$3143=F$1,
Master_Mapping_Sheet!$H$2:$H$3143=$A23))/sum(filter(
Master_Mapping_Sheet!$E$2:$E$3143, ISNUMBER(
Master_Mapping_Sh"&amp;"eet!$E$2:$E$3143),
Master_Mapping_Sheet!$H$2:$H$3143=$A23))), 0, sum(filter(
Master_Mapping_Sheet!$E$2:$E$3143, ISNUMBER(
Master_Mapping_Sheet!$E$2:$E$3143),
Master_Mapping_Sheet!$C$2:$C$3143=F$1,
Master_Mapping_Sheet!$H$2:$H$3143=$A23))/sum(filter(
Maste"&amp;"r_Mapping_Sheet!$E$2:$E$3143, ISNUMBER(
Master_Mapping_Sheet!$E$2:$E$3143),
Master_Mapping_Sheet!$H$2:$H$3143=$A23)))"),1.0)</f>
        <v>1</v>
      </c>
      <c r="G23" s="34">
        <f>IFERROR(__xludf.DUMMYFUNCTION("IF(ISNA(sum(filter(
Master_Mapping_Sheet!$E$2:$E$3143, ISNUMBER(
Master_Mapping_Sheet!$E$2:$E$3143),
Master_Mapping_Sheet!$C$2:$C$3143=G$1,
Master_Mapping_Sheet!$H$2:$H$3143=$A23))/sum(filter(
Master_Mapping_Sheet!$E$2:$E$3143, ISNUMBER(
Master_Mapping_Sh"&amp;"eet!$E$2:$E$3143),
Master_Mapping_Sheet!$H$2:$H$3143=$A23))), 0, sum(filter(
Master_Mapping_Sheet!$E$2:$E$3143, ISNUMBER(
Master_Mapping_Sheet!$E$2:$E$3143),
Master_Mapping_Sheet!$C$2:$C$3143=G$1,
Master_Mapping_Sheet!$H$2:$H$3143=$A23))/sum(filter(
Maste"&amp;"r_Mapping_Sheet!$E$2:$E$3143, ISNUMBER(
Master_Mapping_Sheet!$E$2:$E$3143),
Master_Mapping_Sheet!$H$2:$H$3143=$A23)))"),0.0)</f>
        <v>0</v>
      </c>
      <c r="H23" s="34">
        <f>IFERROR(__xludf.DUMMYFUNCTION("IF(ISNA(sum(filter(
Master_Mapping_Sheet!$E$2:$E$3143, ISNUMBER(
Master_Mapping_Sheet!$E$2:$E$3143),
Master_Mapping_Sheet!$C$2:$C$3143=H$1,
Master_Mapping_Sheet!$H$2:$H$3143=$A23))/sum(filter(
Master_Mapping_Sheet!$E$2:$E$3143, ISNUMBER(
Master_Mapping_Sh"&amp;"eet!$E$2:$E$3143),
Master_Mapping_Sheet!$H$2:$H$3143=$A23))), 0, sum(filter(
Master_Mapping_Sheet!$E$2:$E$3143, ISNUMBER(
Master_Mapping_Sheet!$E$2:$E$3143),
Master_Mapping_Sheet!$C$2:$C$3143=H$1,
Master_Mapping_Sheet!$H$2:$H$3143=$A23))/sum(filter(
Maste"&amp;"r_Mapping_Sheet!$E$2:$E$3143, ISNUMBER(
Master_Mapping_Sheet!$E$2:$E$3143),
Master_Mapping_Sheet!$H$2:$H$3143=$A23)))"),0.0)</f>
        <v>0</v>
      </c>
      <c r="I23" s="34">
        <f>IFERROR(__xludf.DUMMYFUNCTION("IF(ISNA(sum(filter(
Master_Mapping_Sheet!$E$2:$E$3143, ISNUMBER(
Master_Mapping_Sheet!$E$2:$E$3143),
Master_Mapping_Sheet!$C$2:$C$3143=I$1,
Master_Mapping_Sheet!$H$2:$H$3143=$A23))/sum(filter(
Master_Mapping_Sheet!$E$2:$E$3143, ISNUMBER(
Master_Mapping_Sh"&amp;"eet!$E$2:$E$3143),
Master_Mapping_Sheet!$H$2:$H$3143=$A23))), 0, sum(filter(
Master_Mapping_Sheet!$E$2:$E$3143, ISNUMBER(
Master_Mapping_Sheet!$E$2:$E$3143),
Master_Mapping_Sheet!$C$2:$C$3143=I$1,
Master_Mapping_Sheet!$H$2:$H$3143=$A23))/sum(filter(
Maste"&amp;"r_Mapping_Sheet!$E$2:$E$3143, ISNUMBER(
Master_Mapping_Sheet!$E$2:$E$3143),
Master_Mapping_Sheet!$H$2:$H$3143=$A23)))"),0.0)</f>
        <v>0</v>
      </c>
      <c r="J23" s="34">
        <f>IFERROR(__xludf.DUMMYFUNCTION("IF(ISNA(sum(filter(
Master_Mapping_Sheet!$E$2:$E$3143, ISNUMBER(
Master_Mapping_Sheet!$E$2:$E$3143),
Master_Mapping_Sheet!$C$2:$C$3143=J$1,
Master_Mapping_Sheet!$H$2:$H$3143=$A23))/sum(filter(
Master_Mapping_Sheet!$E$2:$E$3143, ISNUMBER(
Master_Mapping_Sh"&amp;"eet!$E$2:$E$3143),
Master_Mapping_Sheet!$H$2:$H$3143=$A23))), 0, sum(filter(
Master_Mapping_Sheet!$E$2:$E$3143, ISNUMBER(
Master_Mapping_Sheet!$E$2:$E$3143),
Master_Mapping_Sheet!$C$2:$C$3143=J$1,
Master_Mapping_Sheet!$H$2:$H$3143=$A23))/sum(filter(
Maste"&amp;"r_Mapping_Sheet!$E$2:$E$3143, ISNUMBER(
Master_Mapping_Sheet!$E$2:$E$3143),
Master_Mapping_Sheet!$H$2:$H$3143=$A23)))"),0.0)</f>
        <v>0</v>
      </c>
      <c r="K23" s="34">
        <f>IFERROR(__xludf.DUMMYFUNCTION("IF(ISNA(sum(filter(
Master_Mapping_Sheet!$E$2:$E$3143, ISNUMBER(
Master_Mapping_Sheet!$E$2:$E$3143),
Master_Mapping_Sheet!$C$2:$C$3143=K$1,
Master_Mapping_Sheet!$H$2:$H$3143=$A23))/sum(filter(
Master_Mapping_Sheet!$E$2:$E$3143, ISNUMBER(
Master_Mapping_Sh"&amp;"eet!$E$2:$E$3143),
Master_Mapping_Sheet!$H$2:$H$3143=$A23))), 0, sum(filter(
Master_Mapping_Sheet!$E$2:$E$3143, ISNUMBER(
Master_Mapping_Sheet!$E$2:$E$3143),
Master_Mapping_Sheet!$C$2:$C$3143=K$1,
Master_Mapping_Sheet!$H$2:$H$3143=$A23))/sum(filter(
Maste"&amp;"r_Mapping_Sheet!$E$2:$E$3143, ISNUMBER(
Master_Mapping_Sheet!$E$2:$E$3143),
Master_Mapping_Sheet!$H$2:$H$3143=$A23)))"),0.0)</f>
        <v>0</v>
      </c>
      <c r="L23" s="34">
        <f>IFERROR(__xludf.DUMMYFUNCTION("IF(ISNA(sum(filter(
Master_Mapping_Sheet!$E$2:$E$3143, ISNUMBER(
Master_Mapping_Sheet!$E$2:$E$3143),
Master_Mapping_Sheet!$C$2:$C$3143=L$1,
Master_Mapping_Sheet!$H$2:$H$3143=$A23))/sum(filter(
Master_Mapping_Sheet!$E$2:$E$3143, ISNUMBER(
Master_Mapping_Sh"&amp;"eet!$E$2:$E$3143),
Master_Mapping_Sheet!$H$2:$H$3143=$A23))), 0, sum(filter(
Master_Mapping_Sheet!$E$2:$E$3143, ISNUMBER(
Master_Mapping_Sheet!$E$2:$E$3143),
Master_Mapping_Sheet!$C$2:$C$3143=L$1,
Master_Mapping_Sheet!$H$2:$H$3143=$A23))/sum(filter(
Maste"&amp;"r_Mapping_Sheet!$E$2:$E$3143, ISNUMBER(
Master_Mapping_Sheet!$E$2:$E$3143),
Master_Mapping_Sheet!$H$2:$H$3143=$A23)))"),0.0)</f>
        <v>0</v>
      </c>
      <c r="M23" s="34">
        <f>IFERROR(__xludf.DUMMYFUNCTION("IF(ISNA(sum(filter(
Master_Mapping_Sheet!$E$2:$E$3143, ISNUMBER(
Master_Mapping_Sheet!$E$2:$E$3143),
Master_Mapping_Sheet!$C$2:$C$3143=M$1,
Master_Mapping_Sheet!$H$2:$H$3143=$A23))/sum(filter(
Master_Mapping_Sheet!$E$2:$E$3143, ISNUMBER(
Master_Mapping_Sh"&amp;"eet!$E$2:$E$3143),
Master_Mapping_Sheet!$H$2:$H$3143=$A23))), 0, sum(filter(
Master_Mapping_Sheet!$E$2:$E$3143, ISNUMBER(
Master_Mapping_Sheet!$E$2:$E$3143),
Master_Mapping_Sheet!$C$2:$C$3143=M$1,
Master_Mapping_Sheet!$H$2:$H$3143=$A23))/sum(filter(
Maste"&amp;"r_Mapping_Sheet!$E$2:$E$3143, ISNUMBER(
Master_Mapping_Sheet!$E$2:$E$3143),
Master_Mapping_Sheet!$H$2:$H$3143=$A23)))"),0.0)</f>
        <v>0</v>
      </c>
      <c r="N23" s="34">
        <f>IFERROR(__xludf.DUMMYFUNCTION("IF(ISNA(sum(filter(
Master_Mapping_Sheet!$E$2:$E$3143, ISNUMBER(
Master_Mapping_Sheet!$E$2:$E$3143),
Master_Mapping_Sheet!$C$2:$C$3143=N$1,
Master_Mapping_Sheet!$H$2:$H$3143=$A23))/sum(filter(
Master_Mapping_Sheet!$E$2:$E$3143, ISNUMBER(
Master_Mapping_Sh"&amp;"eet!$E$2:$E$3143),
Master_Mapping_Sheet!$H$2:$H$3143=$A23))), 0, sum(filter(
Master_Mapping_Sheet!$E$2:$E$3143, ISNUMBER(
Master_Mapping_Sheet!$E$2:$E$3143),
Master_Mapping_Sheet!$C$2:$C$3143=N$1,
Master_Mapping_Sheet!$H$2:$H$3143=$A23))/sum(filter(
Maste"&amp;"r_Mapping_Sheet!$E$2:$E$3143, ISNUMBER(
Master_Mapping_Sheet!$E$2:$E$3143),
Master_Mapping_Sheet!$H$2:$H$3143=$A23)))"),0.0)</f>
        <v>0</v>
      </c>
      <c r="O23" s="34">
        <f>IFERROR(__xludf.DUMMYFUNCTION("IF(ISNA(sum(filter(
Master_Mapping_Sheet!$E$2:$E$3143, ISNUMBER(
Master_Mapping_Sheet!$E$2:$E$3143),
Master_Mapping_Sheet!$C$2:$C$3143=O$1,
Master_Mapping_Sheet!$H$2:$H$3143=$A23))/sum(filter(
Master_Mapping_Sheet!$E$2:$E$3143, ISNUMBER(
Master_Mapping_Sh"&amp;"eet!$E$2:$E$3143),
Master_Mapping_Sheet!$H$2:$H$3143=$A23))), 0, sum(filter(
Master_Mapping_Sheet!$E$2:$E$3143, ISNUMBER(
Master_Mapping_Sheet!$E$2:$E$3143),
Master_Mapping_Sheet!$C$2:$C$3143=O$1,
Master_Mapping_Sheet!$H$2:$H$3143=$A23))/sum(filter(
Maste"&amp;"r_Mapping_Sheet!$E$2:$E$3143, ISNUMBER(
Master_Mapping_Sheet!$E$2:$E$3143),
Master_Mapping_Sheet!$H$2:$H$3143=$A23)))"),0.0)</f>
        <v>0</v>
      </c>
      <c r="P23" s="34">
        <f>IFERROR(__xludf.DUMMYFUNCTION("IF(ISNA(sum(filter(
Master_Mapping_Sheet!$E$2:$E$3143, ISNUMBER(
Master_Mapping_Sheet!$E$2:$E$3143),
Master_Mapping_Sheet!$C$2:$C$3143=P$1,
Master_Mapping_Sheet!$H$2:$H$3143=$A23))/sum(filter(
Master_Mapping_Sheet!$E$2:$E$3143, ISNUMBER(
Master_Mapping_Sh"&amp;"eet!$E$2:$E$3143),
Master_Mapping_Sheet!$H$2:$H$3143=$A23))), 0, sum(filter(
Master_Mapping_Sheet!$E$2:$E$3143, ISNUMBER(
Master_Mapping_Sheet!$E$2:$E$3143),
Master_Mapping_Sheet!$C$2:$C$3143=P$1,
Master_Mapping_Sheet!$H$2:$H$3143=$A23))/sum(filter(
Maste"&amp;"r_Mapping_Sheet!$E$2:$E$3143, ISNUMBER(
Master_Mapping_Sheet!$E$2:$E$3143),
Master_Mapping_Sheet!$H$2:$H$3143=$A23)))"),0.0)</f>
        <v>0</v>
      </c>
      <c r="Q23" s="34">
        <f>IFERROR(__xludf.DUMMYFUNCTION("IF(ISNA(sum(filter(
Master_Mapping_Sheet!$E$2:$E$3143, ISNUMBER(
Master_Mapping_Sheet!$E$2:$E$3143),
Master_Mapping_Sheet!$C$2:$C$3143=Q$1,
Master_Mapping_Sheet!$H$2:$H$3143=$A23))/sum(filter(
Master_Mapping_Sheet!$E$2:$E$3143, ISNUMBER(
Master_Mapping_Sh"&amp;"eet!$E$2:$E$3143),
Master_Mapping_Sheet!$H$2:$H$3143=$A23))), 0, sum(filter(
Master_Mapping_Sheet!$E$2:$E$3143, ISNUMBER(
Master_Mapping_Sheet!$E$2:$E$3143),
Master_Mapping_Sheet!$C$2:$C$3143=Q$1,
Master_Mapping_Sheet!$H$2:$H$3143=$A23))/sum(filter(
Maste"&amp;"r_Mapping_Sheet!$E$2:$E$3143, ISNUMBER(
Master_Mapping_Sheet!$E$2:$E$3143),
Master_Mapping_Sheet!$H$2:$H$3143=$A23)))"),0.0)</f>
        <v>0</v>
      </c>
      <c r="R23" s="34">
        <f>IFERROR(__xludf.DUMMYFUNCTION("IF(ISNA(sum(filter(
Master_Mapping_Sheet!$E$2:$E$3143, ISNUMBER(
Master_Mapping_Sheet!$E$2:$E$3143),
Master_Mapping_Sheet!$C$2:$C$3143=R$1,
Master_Mapping_Sheet!$H$2:$H$3143=$A23))/sum(filter(
Master_Mapping_Sheet!$E$2:$E$3143, ISNUMBER(
Master_Mapping_Sh"&amp;"eet!$E$2:$E$3143),
Master_Mapping_Sheet!$H$2:$H$3143=$A23))), 0, sum(filter(
Master_Mapping_Sheet!$E$2:$E$3143, ISNUMBER(
Master_Mapping_Sheet!$E$2:$E$3143),
Master_Mapping_Sheet!$C$2:$C$3143=R$1,
Master_Mapping_Sheet!$H$2:$H$3143=$A23))/sum(filter(
Maste"&amp;"r_Mapping_Sheet!$E$2:$E$3143, ISNUMBER(
Master_Mapping_Sheet!$E$2:$E$3143),
Master_Mapping_Sheet!$H$2:$H$3143=$A23)))"),0.0)</f>
        <v>0</v>
      </c>
      <c r="S23" s="34">
        <f>IFERROR(__xludf.DUMMYFUNCTION("IF(ISNA(sum(filter(
Master_Mapping_Sheet!$E$2:$E$3143, ISNUMBER(
Master_Mapping_Sheet!$E$2:$E$3143),
Master_Mapping_Sheet!$C$2:$C$3143=S$1,
Master_Mapping_Sheet!$H$2:$H$3143=$A23))/sum(filter(
Master_Mapping_Sheet!$E$2:$E$3143, ISNUMBER(
Master_Mapping_Sh"&amp;"eet!$E$2:$E$3143),
Master_Mapping_Sheet!$H$2:$H$3143=$A23))), 0, sum(filter(
Master_Mapping_Sheet!$E$2:$E$3143, ISNUMBER(
Master_Mapping_Sheet!$E$2:$E$3143),
Master_Mapping_Sheet!$C$2:$C$3143=S$1,
Master_Mapping_Sheet!$H$2:$H$3143=$A23))/sum(filter(
Maste"&amp;"r_Mapping_Sheet!$E$2:$E$3143, ISNUMBER(
Master_Mapping_Sheet!$E$2:$E$3143),
Master_Mapping_Sheet!$H$2:$H$3143=$A23)))"),0.0)</f>
        <v>0</v>
      </c>
      <c r="T23" s="34">
        <f>IFERROR(__xludf.DUMMYFUNCTION("IF(ISNA(sum(filter(
Master_Mapping_Sheet!$E$2:$E$3143, ISNUMBER(
Master_Mapping_Sheet!$E$2:$E$3143),
Master_Mapping_Sheet!$C$2:$C$3143=T$1,
Master_Mapping_Sheet!$H$2:$H$3143=$A23))/sum(filter(
Master_Mapping_Sheet!$E$2:$E$3143, ISNUMBER(
Master_Mapping_Sh"&amp;"eet!$E$2:$E$3143),
Master_Mapping_Sheet!$H$2:$H$3143=$A23))), 0, sum(filter(
Master_Mapping_Sheet!$E$2:$E$3143, ISNUMBER(
Master_Mapping_Sheet!$E$2:$E$3143),
Master_Mapping_Sheet!$C$2:$C$3143=T$1,
Master_Mapping_Sheet!$H$2:$H$3143=$A23))/sum(filter(
Maste"&amp;"r_Mapping_Sheet!$E$2:$E$3143, ISNUMBER(
Master_Mapping_Sheet!$E$2:$E$3143),
Master_Mapping_Sheet!$H$2:$H$3143=$A23)))"),0.0)</f>
        <v>0</v>
      </c>
      <c r="U23" s="34">
        <f>IFERROR(__xludf.DUMMYFUNCTION("IF(ISNA(sum(filter(
Master_Mapping_Sheet!$E$2:$E$3143, ISNUMBER(
Master_Mapping_Sheet!$E$2:$E$3143),
Master_Mapping_Sheet!$C$2:$C$3143=U$1,
Master_Mapping_Sheet!$H$2:$H$3143=$A23))/sum(filter(
Master_Mapping_Sheet!$E$2:$E$3143, ISNUMBER(
Master_Mapping_Sh"&amp;"eet!$E$2:$E$3143),
Master_Mapping_Sheet!$H$2:$H$3143=$A23))), 0, sum(filter(
Master_Mapping_Sheet!$E$2:$E$3143, ISNUMBER(
Master_Mapping_Sheet!$E$2:$E$3143),
Master_Mapping_Sheet!$C$2:$C$3143=U$1,
Master_Mapping_Sheet!$H$2:$H$3143=$A23))/sum(filter(
Maste"&amp;"r_Mapping_Sheet!$E$2:$E$3143, ISNUMBER(
Master_Mapping_Sheet!$E$2:$E$3143),
Master_Mapping_Sheet!$H$2:$H$3143=$A23)))"),0.0)</f>
        <v>0</v>
      </c>
      <c r="V23" s="34">
        <f>IFERROR(__xludf.DUMMYFUNCTION("IF(ISNA(sum(filter(
Master_Mapping_Sheet!$E$2:$E$3143, ISNUMBER(
Master_Mapping_Sheet!$E$2:$E$3143),
Master_Mapping_Sheet!$C$2:$C$3143=V$1,
Master_Mapping_Sheet!$H$2:$H$3143=$A23))/sum(filter(
Master_Mapping_Sheet!$E$2:$E$3143, ISNUMBER(
Master_Mapping_Sh"&amp;"eet!$E$2:$E$3143),
Master_Mapping_Sheet!$H$2:$H$3143=$A23))), 0, sum(filter(
Master_Mapping_Sheet!$E$2:$E$3143, ISNUMBER(
Master_Mapping_Sheet!$E$2:$E$3143),
Master_Mapping_Sheet!$C$2:$C$3143=V$1,
Master_Mapping_Sheet!$H$2:$H$3143=$A23))/sum(filter(
Maste"&amp;"r_Mapping_Sheet!$E$2:$E$3143, ISNUMBER(
Master_Mapping_Sheet!$E$2:$E$3143),
Master_Mapping_Sheet!$H$2:$H$3143=$A23)))"),0.0)</f>
        <v>0</v>
      </c>
      <c r="W23" s="34">
        <f>IFERROR(__xludf.DUMMYFUNCTION("IF(ISNA(sum(filter(
Master_Mapping_Sheet!$E$2:$E$3143, ISNUMBER(
Master_Mapping_Sheet!$E$2:$E$3143),
Master_Mapping_Sheet!$C$2:$C$3143=W$1,
Master_Mapping_Sheet!$H$2:$H$3143=$A23))/sum(filter(
Master_Mapping_Sheet!$E$2:$E$3143, ISNUMBER(
Master_Mapping_Sh"&amp;"eet!$E$2:$E$3143),
Master_Mapping_Sheet!$H$2:$H$3143=$A23))), 0, sum(filter(
Master_Mapping_Sheet!$E$2:$E$3143, ISNUMBER(
Master_Mapping_Sheet!$E$2:$E$3143),
Master_Mapping_Sheet!$C$2:$C$3143=W$1,
Master_Mapping_Sheet!$H$2:$H$3143=$A23))/sum(filter(
Maste"&amp;"r_Mapping_Sheet!$E$2:$E$3143, ISNUMBER(
Master_Mapping_Sheet!$E$2:$E$3143),
Master_Mapping_Sheet!$H$2:$H$3143=$A23)))"),0.0)</f>
        <v>0</v>
      </c>
      <c r="X23" s="34">
        <f>IFERROR(__xludf.DUMMYFUNCTION("IF(ISNA(sum(filter(
Master_Mapping_Sheet!$E$2:$E$3143, ISNUMBER(
Master_Mapping_Sheet!$E$2:$E$3143),
Master_Mapping_Sheet!$C$2:$C$3143=X$1,
Master_Mapping_Sheet!$H$2:$H$3143=$A23))/sum(filter(
Master_Mapping_Sheet!$E$2:$E$3143, ISNUMBER(
Master_Mapping_Sh"&amp;"eet!$E$2:$E$3143),
Master_Mapping_Sheet!$H$2:$H$3143=$A23))), 0, sum(filter(
Master_Mapping_Sheet!$E$2:$E$3143, ISNUMBER(
Master_Mapping_Sheet!$E$2:$E$3143),
Master_Mapping_Sheet!$C$2:$C$3143=X$1,
Master_Mapping_Sheet!$H$2:$H$3143=$A23))/sum(filter(
Maste"&amp;"r_Mapping_Sheet!$E$2:$E$3143, ISNUMBER(
Master_Mapping_Sheet!$E$2:$E$3143),
Master_Mapping_Sheet!$H$2:$H$3143=$A23)))"),0.0)</f>
        <v>0</v>
      </c>
      <c r="Y23" s="34">
        <f>IFERROR(__xludf.DUMMYFUNCTION("IF(ISNA(sum(filter(
Master_Mapping_Sheet!$E$2:$E$3143, ISNUMBER(
Master_Mapping_Sheet!$E$2:$E$3143),
Master_Mapping_Sheet!$C$2:$C$3143=Y$1,
Master_Mapping_Sheet!$H$2:$H$3143=$A23))/sum(filter(
Master_Mapping_Sheet!$E$2:$E$3143, ISNUMBER(
Master_Mapping_Sh"&amp;"eet!$E$2:$E$3143),
Master_Mapping_Sheet!$H$2:$H$3143=$A23))), 0, sum(filter(
Master_Mapping_Sheet!$E$2:$E$3143, ISNUMBER(
Master_Mapping_Sheet!$E$2:$E$3143),
Master_Mapping_Sheet!$C$2:$C$3143=Y$1,
Master_Mapping_Sheet!$H$2:$H$3143=$A23))/sum(filter(
Maste"&amp;"r_Mapping_Sheet!$E$2:$E$3143, ISNUMBER(
Master_Mapping_Sheet!$E$2:$E$3143),
Master_Mapping_Sheet!$H$2:$H$3143=$A23)))"),0.0)</f>
        <v>0</v>
      </c>
      <c r="Z23" s="34">
        <f>IFERROR(__xludf.DUMMYFUNCTION("IF(ISNA(sum(filter(
Master_Mapping_Sheet!$E$2:$E$3143, ISNUMBER(
Master_Mapping_Sheet!$E$2:$E$3143),
Master_Mapping_Sheet!$C$2:$C$3143=Z$1,
Master_Mapping_Sheet!$H$2:$H$3143=$A23))/sum(filter(
Master_Mapping_Sheet!$E$2:$E$3143, ISNUMBER(
Master_Mapping_Sh"&amp;"eet!$E$2:$E$3143),
Master_Mapping_Sheet!$H$2:$H$3143=$A23))), 0, sum(filter(
Master_Mapping_Sheet!$E$2:$E$3143, ISNUMBER(
Master_Mapping_Sheet!$E$2:$E$3143),
Master_Mapping_Sheet!$C$2:$C$3143=Z$1,
Master_Mapping_Sheet!$H$2:$H$3143=$A23))/sum(filter(
Maste"&amp;"r_Mapping_Sheet!$E$2:$E$3143, ISNUMBER(
Master_Mapping_Sheet!$E$2:$E$3143),
Master_Mapping_Sheet!$H$2:$H$3143=$A23)))"),0.0)</f>
        <v>0</v>
      </c>
      <c r="AA23" s="34">
        <f>IFERROR(__xludf.DUMMYFUNCTION("IF(ISNA(sum(filter(
Master_Mapping_Sheet!$E$2:$E$3143, ISNUMBER(
Master_Mapping_Sheet!$E$2:$E$3143),
Master_Mapping_Sheet!$C$2:$C$3143=AA$1,
Master_Mapping_Sheet!$H$2:$H$3143=$A23))/sum(filter(
Master_Mapping_Sheet!$E$2:$E$3143, ISNUMBER(
Master_Mapping_S"&amp;"heet!$E$2:$E$3143),
Master_Mapping_Sheet!$H$2:$H$3143=$A23))), 0, sum(filter(
Master_Mapping_Sheet!$E$2:$E$3143, ISNUMBER(
Master_Mapping_Sheet!$E$2:$E$3143),
Master_Mapping_Sheet!$C$2:$C$3143=AA$1,
Master_Mapping_Sheet!$H$2:$H$3143=$A23))/sum(filter(
Mas"&amp;"ter_Mapping_Sheet!$E$2:$E$3143, ISNUMBER(
Master_Mapping_Sheet!$E$2:$E$3143),
Master_Mapping_Sheet!$H$2:$H$3143=$A23)))"),0.0)</f>
        <v>0</v>
      </c>
      <c r="AB23" s="34">
        <f>IFERROR(__xludf.DUMMYFUNCTION("IF(ISNA(sum(filter(
Master_Mapping_Sheet!$E$2:$E$3143, ISNUMBER(
Master_Mapping_Sheet!$E$2:$E$3143),
Master_Mapping_Sheet!$C$2:$C$3143=AB$1,
Master_Mapping_Sheet!$H$2:$H$3143=$A23))/sum(filter(
Master_Mapping_Sheet!$E$2:$E$3143, ISNUMBER(
Master_Mapping_S"&amp;"heet!$E$2:$E$3143),
Master_Mapping_Sheet!$H$2:$H$3143=$A23))), 0, sum(filter(
Master_Mapping_Sheet!$E$2:$E$3143, ISNUMBER(
Master_Mapping_Sheet!$E$2:$E$3143),
Master_Mapping_Sheet!$C$2:$C$3143=AB$1,
Master_Mapping_Sheet!$H$2:$H$3143=$A23))/sum(filter(
Mas"&amp;"ter_Mapping_Sheet!$E$2:$E$3143, ISNUMBER(
Master_Mapping_Sheet!$E$2:$E$3143),
Master_Mapping_Sheet!$H$2:$H$3143=$A23)))"),0.0)</f>
        <v>0</v>
      </c>
      <c r="AC23" s="34">
        <f>IFERROR(__xludf.DUMMYFUNCTION("IF(ISNA(sum(filter(
Master_Mapping_Sheet!$E$2:$E$3143, ISNUMBER(
Master_Mapping_Sheet!$E$2:$E$3143),
Master_Mapping_Sheet!$C$2:$C$3143=AC$1,
Master_Mapping_Sheet!$H$2:$H$3143=$A23))/sum(filter(
Master_Mapping_Sheet!$E$2:$E$3143, ISNUMBER(
Master_Mapping_S"&amp;"heet!$E$2:$E$3143),
Master_Mapping_Sheet!$H$2:$H$3143=$A23))), 0, sum(filter(
Master_Mapping_Sheet!$E$2:$E$3143, ISNUMBER(
Master_Mapping_Sheet!$E$2:$E$3143),
Master_Mapping_Sheet!$C$2:$C$3143=AC$1,
Master_Mapping_Sheet!$H$2:$H$3143=$A23))/sum(filter(
Mas"&amp;"ter_Mapping_Sheet!$E$2:$E$3143, ISNUMBER(
Master_Mapping_Sheet!$E$2:$E$3143),
Master_Mapping_Sheet!$H$2:$H$3143=$A23)))"),0.0)</f>
        <v>0</v>
      </c>
      <c r="AD23" s="34">
        <f>IFERROR(__xludf.DUMMYFUNCTION("IF(ISNA(sum(filter(
Master_Mapping_Sheet!$E$2:$E$3143, ISNUMBER(
Master_Mapping_Sheet!$E$2:$E$3143),
Master_Mapping_Sheet!$C$2:$C$3143=AD$1,
Master_Mapping_Sheet!$H$2:$H$3143=$A23))/sum(filter(
Master_Mapping_Sheet!$E$2:$E$3143, ISNUMBER(
Master_Mapping_S"&amp;"heet!$E$2:$E$3143),
Master_Mapping_Sheet!$H$2:$H$3143=$A23))), 0, sum(filter(
Master_Mapping_Sheet!$E$2:$E$3143, ISNUMBER(
Master_Mapping_Sheet!$E$2:$E$3143),
Master_Mapping_Sheet!$C$2:$C$3143=AD$1,
Master_Mapping_Sheet!$H$2:$H$3143=$A23))/sum(filter(
Mas"&amp;"ter_Mapping_Sheet!$E$2:$E$3143, ISNUMBER(
Master_Mapping_Sheet!$E$2:$E$3143),
Master_Mapping_Sheet!$H$2:$H$3143=$A23)))"),0.0)</f>
        <v>0</v>
      </c>
      <c r="AE23" s="34">
        <f>IFERROR(__xludf.DUMMYFUNCTION("IF(ISNA(sum(filter(
Master_Mapping_Sheet!$E$2:$E$3143, ISNUMBER(
Master_Mapping_Sheet!$E$2:$E$3143),
Master_Mapping_Sheet!$C$2:$C$3143=AE$1,
Master_Mapping_Sheet!$H$2:$H$3143=$A23))/sum(filter(
Master_Mapping_Sheet!$E$2:$E$3143, ISNUMBER(
Master_Mapping_S"&amp;"heet!$E$2:$E$3143),
Master_Mapping_Sheet!$H$2:$H$3143=$A23))), 0, sum(filter(
Master_Mapping_Sheet!$E$2:$E$3143, ISNUMBER(
Master_Mapping_Sheet!$E$2:$E$3143),
Master_Mapping_Sheet!$C$2:$C$3143=AE$1,
Master_Mapping_Sheet!$H$2:$H$3143=$A23))/sum(filter(
Mas"&amp;"ter_Mapping_Sheet!$E$2:$E$3143, ISNUMBER(
Master_Mapping_Sheet!$E$2:$E$3143),
Master_Mapping_Sheet!$H$2:$H$3143=$A23)))"),0.0)</f>
        <v>0</v>
      </c>
      <c r="AF23" s="34">
        <f>IFERROR(__xludf.DUMMYFUNCTION("IF(ISNA(sum(filter(
Master_Mapping_Sheet!$E$2:$E$3143, ISNUMBER(
Master_Mapping_Sheet!$E$2:$E$3143),
Master_Mapping_Sheet!$C$2:$C$3143=AF$1,
Master_Mapping_Sheet!$H$2:$H$3143=$A23))/sum(filter(
Master_Mapping_Sheet!$E$2:$E$3143, ISNUMBER(
Master_Mapping_S"&amp;"heet!$E$2:$E$3143),
Master_Mapping_Sheet!$H$2:$H$3143=$A23))), 0, sum(filter(
Master_Mapping_Sheet!$E$2:$E$3143, ISNUMBER(
Master_Mapping_Sheet!$E$2:$E$3143),
Master_Mapping_Sheet!$C$2:$C$3143=AF$1,
Master_Mapping_Sheet!$H$2:$H$3143=$A23))/sum(filter(
Mas"&amp;"ter_Mapping_Sheet!$E$2:$E$3143, ISNUMBER(
Master_Mapping_Sheet!$E$2:$E$3143),
Master_Mapping_Sheet!$H$2:$H$3143=$A23)))"),0.0)</f>
        <v>0</v>
      </c>
      <c r="AG23" s="34">
        <f>IFERROR(__xludf.DUMMYFUNCTION("IF(ISNA(sum(filter(
Master_Mapping_Sheet!$E$2:$E$3143, ISNUMBER(
Master_Mapping_Sheet!$E$2:$E$3143),
Master_Mapping_Sheet!$C$2:$C$3143=AG$1,
Master_Mapping_Sheet!$H$2:$H$3143=$A23))/sum(filter(
Master_Mapping_Sheet!$E$2:$E$3143, ISNUMBER(
Master_Mapping_S"&amp;"heet!$E$2:$E$3143),
Master_Mapping_Sheet!$H$2:$H$3143=$A23))), 0, sum(filter(
Master_Mapping_Sheet!$E$2:$E$3143, ISNUMBER(
Master_Mapping_Sheet!$E$2:$E$3143),
Master_Mapping_Sheet!$C$2:$C$3143=AG$1,
Master_Mapping_Sheet!$H$2:$H$3143=$A23))/sum(filter(
Mas"&amp;"ter_Mapping_Sheet!$E$2:$E$3143, ISNUMBER(
Master_Mapping_Sheet!$E$2:$E$3143),
Master_Mapping_Sheet!$H$2:$H$3143=$A23)))"),0.0)</f>
        <v>0</v>
      </c>
      <c r="AH23" s="34">
        <f>IFERROR(__xludf.DUMMYFUNCTION("IF(ISNA(sum(filter(
Master_Mapping_Sheet!$E$2:$E$3143, ISNUMBER(
Master_Mapping_Sheet!$E$2:$E$3143),
Master_Mapping_Sheet!$C$2:$C$3143=AH$1,
Master_Mapping_Sheet!$H$2:$H$3143=$A23))/sum(filter(
Master_Mapping_Sheet!$E$2:$E$3143, ISNUMBER(
Master_Mapping_S"&amp;"heet!$E$2:$E$3143),
Master_Mapping_Sheet!$H$2:$H$3143=$A23))), 0, sum(filter(
Master_Mapping_Sheet!$E$2:$E$3143, ISNUMBER(
Master_Mapping_Sheet!$E$2:$E$3143),
Master_Mapping_Sheet!$C$2:$C$3143=AH$1,
Master_Mapping_Sheet!$H$2:$H$3143=$A23))/sum(filter(
Mas"&amp;"ter_Mapping_Sheet!$E$2:$E$3143, ISNUMBER(
Master_Mapping_Sheet!$E$2:$E$3143),
Master_Mapping_Sheet!$H$2:$H$3143=$A23)))"),0.0)</f>
        <v>0</v>
      </c>
      <c r="AI23" s="34">
        <f>IFERROR(__xludf.DUMMYFUNCTION("IF(ISNA(sum(filter(
Master_Mapping_Sheet!$E$2:$E$3143, ISNUMBER(
Master_Mapping_Sheet!$E$2:$E$3143),
Master_Mapping_Sheet!$C$2:$C$3143=AI$1,
Master_Mapping_Sheet!$H$2:$H$3143=$A23))/sum(filter(
Master_Mapping_Sheet!$E$2:$E$3143, ISNUMBER(
Master_Mapping_S"&amp;"heet!$E$2:$E$3143),
Master_Mapping_Sheet!$H$2:$H$3143=$A23))), 0, sum(filter(
Master_Mapping_Sheet!$E$2:$E$3143, ISNUMBER(
Master_Mapping_Sheet!$E$2:$E$3143),
Master_Mapping_Sheet!$C$2:$C$3143=AI$1,
Master_Mapping_Sheet!$H$2:$H$3143=$A23))/sum(filter(
Mas"&amp;"ter_Mapping_Sheet!$E$2:$E$3143, ISNUMBER(
Master_Mapping_Sheet!$E$2:$E$3143),
Master_Mapping_Sheet!$H$2:$H$3143=$A23)))"),0.0)</f>
        <v>0</v>
      </c>
      <c r="AJ23" s="34">
        <f>IFERROR(__xludf.DUMMYFUNCTION("IF(ISNA(sum(filter(
Master_Mapping_Sheet!$E$2:$E$3143, ISNUMBER(
Master_Mapping_Sheet!$E$2:$E$3143),
Master_Mapping_Sheet!$C$2:$C$3143=AJ$1,
Master_Mapping_Sheet!$H$2:$H$3143=$A23))/sum(filter(
Master_Mapping_Sheet!$E$2:$E$3143, ISNUMBER(
Master_Mapping_S"&amp;"heet!$E$2:$E$3143),
Master_Mapping_Sheet!$H$2:$H$3143=$A23))), 0, sum(filter(
Master_Mapping_Sheet!$E$2:$E$3143, ISNUMBER(
Master_Mapping_Sheet!$E$2:$E$3143),
Master_Mapping_Sheet!$C$2:$C$3143=AJ$1,
Master_Mapping_Sheet!$H$2:$H$3143=$A23))/sum(filter(
Mas"&amp;"ter_Mapping_Sheet!$E$2:$E$3143, ISNUMBER(
Master_Mapping_Sheet!$E$2:$E$3143),
Master_Mapping_Sheet!$H$2:$H$3143=$A23)))"),0.0)</f>
        <v>0</v>
      </c>
      <c r="AK23" s="34">
        <f>IFERROR(__xludf.DUMMYFUNCTION("IF(ISNA(sum(filter(
Master_Mapping_Sheet!$E$2:$E$3143, ISNUMBER(
Master_Mapping_Sheet!$E$2:$E$3143),
Master_Mapping_Sheet!$C$2:$C$3143=AK$1,
Master_Mapping_Sheet!$H$2:$H$3143=$A23))/sum(filter(
Master_Mapping_Sheet!$E$2:$E$3143, ISNUMBER(
Master_Mapping_S"&amp;"heet!$E$2:$E$3143),
Master_Mapping_Sheet!$H$2:$H$3143=$A23))), 0, sum(filter(
Master_Mapping_Sheet!$E$2:$E$3143, ISNUMBER(
Master_Mapping_Sheet!$E$2:$E$3143),
Master_Mapping_Sheet!$C$2:$C$3143=AK$1,
Master_Mapping_Sheet!$H$2:$H$3143=$A23))/sum(filter(
Mas"&amp;"ter_Mapping_Sheet!$E$2:$E$3143, ISNUMBER(
Master_Mapping_Sheet!$E$2:$E$3143),
Master_Mapping_Sheet!$H$2:$H$3143=$A23)))"),0.0)</f>
        <v>0</v>
      </c>
      <c r="AL23" s="34">
        <f>IFERROR(__xludf.DUMMYFUNCTION("IF(ISNA(sum(filter(
Master_Mapping_Sheet!$E$2:$E$3143, ISNUMBER(
Master_Mapping_Sheet!$E$2:$E$3143),
Master_Mapping_Sheet!$C$2:$C$3143=AL$1,
Master_Mapping_Sheet!$H$2:$H$3143=$A23))/sum(filter(
Master_Mapping_Sheet!$E$2:$E$3143, ISNUMBER(
Master_Mapping_S"&amp;"heet!$E$2:$E$3143),
Master_Mapping_Sheet!$H$2:$H$3143=$A23))), 0, sum(filter(
Master_Mapping_Sheet!$E$2:$E$3143, ISNUMBER(
Master_Mapping_Sheet!$E$2:$E$3143),
Master_Mapping_Sheet!$C$2:$C$3143=AL$1,
Master_Mapping_Sheet!$H$2:$H$3143=$A23))/sum(filter(
Mas"&amp;"ter_Mapping_Sheet!$E$2:$E$3143, ISNUMBER(
Master_Mapping_Sheet!$E$2:$E$3143),
Master_Mapping_Sheet!$H$2:$H$3143=$A23)))"),0.0)</f>
        <v>0</v>
      </c>
      <c r="AM23" s="34">
        <f>IFERROR(__xludf.DUMMYFUNCTION("IF(ISNA(sum(filter(
Master_Mapping_Sheet!$E$2:$E$3143, ISNUMBER(
Master_Mapping_Sheet!$E$2:$E$3143),
Master_Mapping_Sheet!$C$2:$C$3143=AM$1,
Master_Mapping_Sheet!$H$2:$H$3143=$A23))/sum(filter(
Master_Mapping_Sheet!$E$2:$E$3143, ISNUMBER(
Master_Mapping_S"&amp;"heet!$E$2:$E$3143),
Master_Mapping_Sheet!$H$2:$H$3143=$A23))), 0, sum(filter(
Master_Mapping_Sheet!$E$2:$E$3143, ISNUMBER(
Master_Mapping_Sheet!$E$2:$E$3143),
Master_Mapping_Sheet!$C$2:$C$3143=AM$1,
Master_Mapping_Sheet!$H$2:$H$3143=$A23))/sum(filter(
Mas"&amp;"ter_Mapping_Sheet!$E$2:$E$3143, ISNUMBER(
Master_Mapping_Sheet!$E$2:$E$3143),
Master_Mapping_Sheet!$H$2:$H$3143=$A23)))"),0.0)</f>
        <v>0</v>
      </c>
      <c r="AN23" s="34">
        <f>IFERROR(__xludf.DUMMYFUNCTION("IF(ISNA(sum(filter(
Master_Mapping_Sheet!$E$2:$E$3143, ISNUMBER(
Master_Mapping_Sheet!$E$2:$E$3143),
Master_Mapping_Sheet!$C$2:$C$3143=AN$1,
Master_Mapping_Sheet!$H$2:$H$3143=$A23))/sum(filter(
Master_Mapping_Sheet!$E$2:$E$3143, ISNUMBER(
Master_Mapping_S"&amp;"heet!$E$2:$E$3143),
Master_Mapping_Sheet!$H$2:$H$3143=$A23))), 0, sum(filter(
Master_Mapping_Sheet!$E$2:$E$3143, ISNUMBER(
Master_Mapping_Sheet!$E$2:$E$3143),
Master_Mapping_Sheet!$C$2:$C$3143=AN$1,
Master_Mapping_Sheet!$H$2:$H$3143=$A23))/sum(filter(
Mas"&amp;"ter_Mapping_Sheet!$E$2:$E$3143, ISNUMBER(
Master_Mapping_Sheet!$E$2:$E$3143),
Master_Mapping_Sheet!$H$2:$H$3143=$A23)))"),0.0)</f>
        <v>0</v>
      </c>
      <c r="AO23" s="34">
        <f>IFERROR(__xludf.DUMMYFUNCTION("IF(ISNA(sum(filter(
Master_Mapping_Sheet!$E$2:$E$3143, ISNUMBER(
Master_Mapping_Sheet!$E$2:$E$3143),
Master_Mapping_Sheet!$C$2:$C$3143=AO$1,
Master_Mapping_Sheet!$H$2:$H$3143=$A23))/sum(filter(
Master_Mapping_Sheet!$E$2:$E$3143, ISNUMBER(
Master_Mapping_S"&amp;"heet!$E$2:$E$3143),
Master_Mapping_Sheet!$H$2:$H$3143=$A23))), 0, sum(filter(
Master_Mapping_Sheet!$E$2:$E$3143, ISNUMBER(
Master_Mapping_Sheet!$E$2:$E$3143),
Master_Mapping_Sheet!$C$2:$C$3143=AO$1,
Master_Mapping_Sheet!$H$2:$H$3143=$A23))/sum(filter(
Mas"&amp;"ter_Mapping_Sheet!$E$2:$E$3143, ISNUMBER(
Master_Mapping_Sheet!$E$2:$E$3143),
Master_Mapping_Sheet!$H$2:$H$3143=$A23)))"),0.0)</f>
        <v>0</v>
      </c>
      <c r="AP23" s="34">
        <f>IFERROR(__xludf.DUMMYFUNCTION("IF(ISNA(sum(filter(
Master_Mapping_Sheet!$E$2:$E$3143, ISNUMBER(
Master_Mapping_Sheet!$E$2:$E$3143),
Master_Mapping_Sheet!$C$2:$C$3143=AP$1,
Master_Mapping_Sheet!$H$2:$H$3143=$A23))/sum(filter(
Master_Mapping_Sheet!$E$2:$E$3143, ISNUMBER(
Master_Mapping_S"&amp;"heet!$E$2:$E$3143),
Master_Mapping_Sheet!$H$2:$H$3143=$A23))), 0, sum(filter(
Master_Mapping_Sheet!$E$2:$E$3143, ISNUMBER(
Master_Mapping_Sheet!$E$2:$E$3143),
Master_Mapping_Sheet!$C$2:$C$3143=AP$1,
Master_Mapping_Sheet!$H$2:$H$3143=$A23))/sum(filter(
Mas"&amp;"ter_Mapping_Sheet!$E$2:$E$3143, ISNUMBER(
Master_Mapping_Sheet!$E$2:$E$3143),
Master_Mapping_Sheet!$H$2:$H$3143=$A23)))"),0.0)</f>
        <v>0</v>
      </c>
      <c r="AQ23" s="34">
        <f>IFERROR(__xludf.DUMMYFUNCTION("IF(ISNA(sum(filter(
Master_Mapping_Sheet!$E$2:$E$3143, ISNUMBER(
Master_Mapping_Sheet!$E$2:$E$3143),
Master_Mapping_Sheet!$C$2:$C$3143=AQ$1,
Master_Mapping_Sheet!$H$2:$H$3143=$A23))/sum(filter(
Master_Mapping_Sheet!$E$2:$E$3143, ISNUMBER(
Master_Mapping_S"&amp;"heet!$E$2:$E$3143),
Master_Mapping_Sheet!$H$2:$H$3143=$A23))), 0, sum(filter(
Master_Mapping_Sheet!$E$2:$E$3143, ISNUMBER(
Master_Mapping_Sheet!$E$2:$E$3143),
Master_Mapping_Sheet!$C$2:$C$3143=AQ$1,
Master_Mapping_Sheet!$H$2:$H$3143=$A23))/sum(filter(
Mas"&amp;"ter_Mapping_Sheet!$E$2:$E$3143, ISNUMBER(
Master_Mapping_Sheet!$E$2:$E$3143),
Master_Mapping_Sheet!$H$2:$H$3143=$A23)))"),0.0)</f>
        <v>0</v>
      </c>
      <c r="AR23" s="34">
        <f>IFERROR(__xludf.DUMMYFUNCTION("IF(ISNA(sum(filter(
Master_Mapping_Sheet!$E$2:$E$3143, ISNUMBER(
Master_Mapping_Sheet!$E$2:$E$3143),
Master_Mapping_Sheet!$C$2:$C$3143=AR$1,
Master_Mapping_Sheet!$H$2:$H$3143=$A23))/sum(filter(
Master_Mapping_Sheet!$E$2:$E$3143, ISNUMBER(
Master_Mapping_S"&amp;"heet!$E$2:$E$3143),
Master_Mapping_Sheet!$H$2:$H$3143=$A23))), 0, sum(filter(
Master_Mapping_Sheet!$E$2:$E$3143, ISNUMBER(
Master_Mapping_Sheet!$E$2:$E$3143),
Master_Mapping_Sheet!$C$2:$C$3143=AR$1,
Master_Mapping_Sheet!$H$2:$H$3143=$A23))/sum(filter(
Mas"&amp;"ter_Mapping_Sheet!$E$2:$E$3143, ISNUMBER(
Master_Mapping_Sheet!$E$2:$E$3143),
Master_Mapping_Sheet!$H$2:$H$3143=$A23)))"),0.0)</f>
        <v>0</v>
      </c>
      <c r="AS23" s="34">
        <f>IFERROR(__xludf.DUMMYFUNCTION("IF(ISNA(sum(filter(
Master_Mapping_Sheet!$E$2:$E$3143, ISNUMBER(
Master_Mapping_Sheet!$E$2:$E$3143),
Master_Mapping_Sheet!$C$2:$C$3143=AS$1,
Master_Mapping_Sheet!$H$2:$H$3143=$A23))/sum(filter(
Master_Mapping_Sheet!$E$2:$E$3143, ISNUMBER(
Master_Mapping_S"&amp;"heet!$E$2:$E$3143),
Master_Mapping_Sheet!$H$2:$H$3143=$A23))), 0, sum(filter(
Master_Mapping_Sheet!$E$2:$E$3143, ISNUMBER(
Master_Mapping_Sheet!$E$2:$E$3143),
Master_Mapping_Sheet!$C$2:$C$3143=AS$1,
Master_Mapping_Sheet!$H$2:$H$3143=$A23))/sum(filter(
Mas"&amp;"ter_Mapping_Sheet!$E$2:$E$3143, ISNUMBER(
Master_Mapping_Sheet!$E$2:$E$3143),
Master_Mapping_Sheet!$H$2:$H$3143=$A23)))"),0.0)</f>
        <v>0</v>
      </c>
      <c r="AT23" s="34">
        <f>IFERROR(__xludf.DUMMYFUNCTION("IF(ISNA(sum(filter(
Master_Mapping_Sheet!$E$2:$E$3143, ISNUMBER(
Master_Mapping_Sheet!$E$2:$E$3143),
Master_Mapping_Sheet!$C$2:$C$3143=AT$1,
Master_Mapping_Sheet!$H$2:$H$3143=$A23))/sum(filter(
Master_Mapping_Sheet!$E$2:$E$3143, ISNUMBER(
Master_Mapping_S"&amp;"heet!$E$2:$E$3143),
Master_Mapping_Sheet!$H$2:$H$3143=$A23))), 0, sum(filter(
Master_Mapping_Sheet!$E$2:$E$3143, ISNUMBER(
Master_Mapping_Sheet!$E$2:$E$3143),
Master_Mapping_Sheet!$C$2:$C$3143=AT$1,
Master_Mapping_Sheet!$H$2:$H$3143=$A23))/sum(filter(
Mas"&amp;"ter_Mapping_Sheet!$E$2:$E$3143, ISNUMBER(
Master_Mapping_Sheet!$E$2:$E$3143),
Master_Mapping_Sheet!$H$2:$H$3143=$A23)))"),0.0)</f>
        <v>0</v>
      </c>
      <c r="AU23" s="34">
        <f>IFERROR(__xludf.DUMMYFUNCTION("IF(ISNA(sum(filter(
Master_Mapping_Sheet!$E$2:$E$3143, ISNUMBER(
Master_Mapping_Sheet!$E$2:$E$3143),
Master_Mapping_Sheet!$C$2:$C$3143=AU$1,
Master_Mapping_Sheet!$H$2:$H$3143=$A23))/sum(filter(
Master_Mapping_Sheet!$E$2:$E$3143, ISNUMBER(
Master_Mapping_S"&amp;"heet!$E$2:$E$3143),
Master_Mapping_Sheet!$H$2:$H$3143=$A23))), 0, sum(filter(
Master_Mapping_Sheet!$E$2:$E$3143, ISNUMBER(
Master_Mapping_Sheet!$E$2:$E$3143),
Master_Mapping_Sheet!$C$2:$C$3143=AU$1,
Master_Mapping_Sheet!$H$2:$H$3143=$A23))/sum(filter(
Mas"&amp;"ter_Mapping_Sheet!$E$2:$E$3143, ISNUMBER(
Master_Mapping_Sheet!$E$2:$E$3143),
Master_Mapping_Sheet!$H$2:$H$3143=$A23)))"),0.0)</f>
        <v>0</v>
      </c>
      <c r="AV23" s="34">
        <f>IFERROR(__xludf.DUMMYFUNCTION("IF(ISNA(sum(filter(
Master_Mapping_Sheet!$E$2:$E$3143, ISNUMBER(
Master_Mapping_Sheet!$E$2:$E$3143),
Master_Mapping_Sheet!$C$2:$C$3143=AV$1,
Master_Mapping_Sheet!$H$2:$H$3143=$A23))/sum(filter(
Master_Mapping_Sheet!$E$2:$E$3143, ISNUMBER(
Master_Mapping_S"&amp;"heet!$E$2:$E$3143),
Master_Mapping_Sheet!$H$2:$H$3143=$A23))), 0, sum(filter(
Master_Mapping_Sheet!$E$2:$E$3143, ISNUMBER(
Master_Mapping_Sheet!$E$2:$E$3143),
Master_Mapping_Sheet!$C$2:$C$3143=AV$1,
Master_Mapping_Sheet!$H$2:$H$3143=$A23))/sum(filter(
Mas"&amp;"ter_Mapping_Sheet!$E$2:$E$3143, ISNUMBER(
Master_Mapping_Sheet!$E$2:$E$3143),
Master_Mapping_Sheet!$H$2:$H$3143=$A23)))"),0.0)</f>
        <v>0</v>
      </c>
      <c r="AW23" s="34">
        <f>IFERROR(__xludf.DUMMYFUNCTION("IF(ISNA(sum(filter(
Master_Mapping_Sheet!$E$2:$E$3143, ISNUMBER(
Master_Mapping_Sheet!$E$2:$E$3143),
Master_Mapping_Sheet!$C$2:$C$3143=AW$1,
Master_Mapping_Sheet!$H$2:$H$3143=$A23))/sum(filter(
Master_Mapping_Sheet!$E$2:$E$3143, ISNUMBER(
Master_Mapping_S"&amp;"heet!$E$2:$E$3143),
Master_Mapping_Sheet!$H$2:$H$3143=$A23))), 0, sum(filter(
Master_Mapping_Sheet!$E$2:$E$3143, ISNUMBER(
Master_Mapping_Sheet!$E$2:$E$3143),
Master_Mapping_Sheet!$C$2:$C$3143=AW$1,
Master_Mapping_Sheet!$H$2:$H$3143=$A23))/sum(filter(
Mas"&amp;"ter_Mapping_Sheet!$E$2:$E$3143, ISNUMBER(
Master_Mapping_Sheet!$E$2:$E$3143),
Master_Mapping_Sheet!$H$2:$H$3143=$A23)))"),0.0)</f>
        <v>0</v>
      </c>
      <c r="AX23" s="34">
        <f>IFERROR(__xludf.DUMMYFUNCTION("IF(ISNA(sum(filter(
Master_Mapping_Sheet!$E$2:$E$3143, ISNUMBER(
Master_Mapping_Sheet!$E$2:$E$3143),
Master_Mapping_Sheet!$C$2:$C$3143=AX$1,
Master_Mapping_Sheet!$H$2:$H$3143=$A23))/sum(filter(
Master_Mapping_Sheet!$E$2:$E$3143, ISNUMBER(
Master_Mapping_S"&amp;"heet!$E$2:$E$3143),
Master_Mapping_Sheet!$H$2:$H$3143=$A23))), 0, sum(filter(
Master_Mapping_Sheet!$E$2:$E$3143, ISNUMBER(
Master_Mapping_Sheet!$E$2:$E$3143),
Master_Mapping_Sheet!$C$2:$C$3143=AX$1,
Master_Mapping_Sheet!$H$2:$H$3143=$A23))/sum(filter(
Mas"&amp;"ter_Mapping_Sheet!$E$2:$E$3143, ISNUMBER(
Master_Mapping_Sheet!$E$2:$E$3143),
Master_Mapping_Sheet!$H$2:$H$3143=$A23)))"),0.0)</f>
        <v>0</v>
      </c>
      <c r="AY23" s="34">
        <f>IFERROR(__xludf.DUMMYFUNCTION("IF(ISNA(sum(filter(
Master_Mapping_Sheet!$E$2:$E$3143, ISNUMBER(
Master_Mapping_Sheet!$E$2:$E$3143),
Master_Mapping_Sheet!$C$2:$C$3143=AY$1,
Master_Mapping_Sheet!$H$2:$H$3143=$A23))/sum(filter(
Master_Mapping_Sheet!$E$2:$E$3143, ISNUMBER(
Master_Mapping_S"&amp;"heet!$E$2:$E$3143),
Master_Mapping_Sheet!$H$2:$H$3143=$A23))), 0, sum(filter(
Master_Mapping_Sheet!$E$2:$E$3143, ISNUMBER(
Master_Mapping_Sheet!$E$2:$E$3143),
Master_Mapping_Sheet!$C$2:$C$3143=AY$1,
Master_Mapping_Sheet!$H$2:$H$3143=$A23))/sum(filter(
Mas"&amp;"ter_Mapping_Sheet!$E$2:$E$3143, ISNUMBER(
Master_Mapping_Sheet!$E$2:$E$3143),
Master_Mapping_Sheet!$H$2:$H$3143=$A23)))"),0.0)</f>
        <v>0</v>
      </c>
      <c r="AZ23" s="34">
        <f>IFERROR(__xludf.DUMMYFUNCTION("IF(ISNA(sum(filter(
Master_Mapping_Sheet!$E$2:$E$3143, ISNUMBER(
Master_Mapping_Sheet!$E$2:$E$3143),
Master_Mapping_Sheet!$C$2:$C$3143=AZ$1,
Master_Mapping_Sheet!$H$2:$H$3143=$A23))/sum(filter(
Master_Mapping_Sheet!$E$2:$E$3143, ISNUMBER(
Master_Mapping_S"&amp;"heet!$E$2:$E$3143),
Master_Mapping_Sheet!$H$2:$H$3143=$A23))), 0, sum(filter(
Master_Mapping_Sheet!$E$2:$E$3143, ISNUMBER(
Master_Mapping_Sheet!$E$2:$E$3143),
Master_Mapping_Sheet!$C$2:$C$3143=AZ$1,
Master_Mapping_Sheet!$H$2:$H$3143=$A23))/sum(filter(
Mas"&amp;"ter_Mapping_Sheet!$E$2:$E$3143, ISNUMBER(
Master_Mapping_Sheet!$E$2:$E$3143),
Master_Mapping_Sheet!$H$2:$H$3143=$A23)))"),0.0)</f>
        <v>0</v>
      </c>
    </row>
    <row r="24" ht="15.75" customHeight="1">
      <c r="A24" s="34" t="s">
        <v>3980</v>
      </c>
      <c r="B24" s="34">
        <f>IFERROR(__xludf.DUMMYFUNCTION("IF(ISNA(sum(filter(
Master_Mapping_Sheet!$E$2:$E$3143, ISNUMBER(
Master_Mapping_Sheet!$E$2:$E$3143),
Master_Mapping_Sheet!$C$2:$C$3143=B$1,
Master_Mapping_Sheet!$H$2:$H$3143=$A24))/sum(filter(
Master_Mapping_Sheet!$E$2:$E$3143, ISNUMBER(
Master_Mapping_Sh"&amp;"eet!$E$2:$E$3143),
Master_Mapping_Sheet!$H$2:$H$3143=$A24))), 0, sum(filter(
Master_Mapping_Sheet!$E$2:$E$3143, ISNUMBER(
Master_Mapping_Sheet!$E$2:$E$3143),
Master_Mapping_Sheet!$C$2:$C$3143=B$1,
Master_Mapping_Sheet!$H$2:$H$3143=$A24))/sum(filter(
Maste"&amp;"r_Mapping_Sheet!$E$2:$E$3143, ISNUMBER(
Master_Mapping_Sheet!$E$2:$E$3143),
Master_Mapping_Sheet!$H$2:$H$3143=$A24)))"),0.0)</f>
        <v>0</v>
      </c>
      <c r="C24" s="34">
        <f>IFERROR(__xludf.DUMMYFUNCTION("IF(ISNA(sum(filter(
Master_Mapping_Sheet!$E$2:$E$3143, ISNUMBER(
Master_Mapping_Sheet!$E$2:$E$3143),
Master_Mapping_Sheet!$C$2:$C$3143=C$1,
Master_Mapping_Sheet!$H$2:$H$3143=$A24))/sum(filter(
Master_Mapping_Sheet!$E$2:$E$3143, ISNUMBER(
Master_Mapping_Sh"&amp;"eet!$E$2:$E$3143),
Master_Mapping_Sheet!$H$2:$H$3143=$A24))), 0, sum(filter(
Master_Mapping_Sheet!$E$2:$E$3143, ISNUMBER(
Master_Mapping_Sheet!$E$2:$E$3143),
Master_Mapping_Sheet!$C$2:$C$3143=C$1,
Master_Mapping_Sheet!$H$2:$H$3143=$A24))/sum(filter(
Maste"&amp;"r_Mapping_Sheet!$E$2:$E$3143, ISNUMBER(
Master_Mapping_Sheet!$E$2:$E$3143),
Master_Mapping_Sheet!$H$2:$H$3143=$A24)))"),0.0)</f>
        <v>0</v>
      </c>
      <c r="D24" s="34">
        <f>IFERROR(__xludf.DUMMYFUNCTION("IF(ISNA(sum(filter(
Master_Mapping_Sheet!$E$2:$E$3143, ISNUMBER(
Master_Mapping_Sheet!$E$2:$E$3143),
Master_Mapping_Sheet!$C$2:$C$3143=D$1,
Master_Mapping_Sheet!$H$2:$H$3143=$A24))/sum(filter(
Master_Mapping_Sheet!$E$2:$E$3143, ISNUMBER(
Master_Mapping_Sh"&amp;"eet!$E$2:$E$3143),
Master_Mapping_Sheet!$H$2:$H$3143=$A24))), 0, sum(filter(
Master_Mapping_Sheet!$E$2:$E$3143, ISNUMBER(
Master_Mapping_Sheet!$E$2:$E$3143),
Master_Mapping_Sheet!$C$2:$C$3143=D$1,
Master_Mapping_Sheet!$H$2:$H$3143=$A24))/sum(filter(
Maste"&amp;"r_Mapping_Sheet!$E$2:$E$3143, ISNUMBER(
Master_Mapping_Sheet!$E$2:$E$3143),
Master_Mapping_Sheet!$H$2:$H$3143=$A24)))"),0.0)</f>
        <v>0</v>
      </c>
      <c r="E24" s="34">
        <f>IFERROR(__xludf.DUMMYFUNCTION("IF(ISNA(sum(filter(
Master_Mapping_Sheet!$E$2:$E$3143, ISNUMBER(
Master_Mapping_Sheet!$E$2:$E$3143),
Master_Mapping_Sheet!$C$2:$C$3143=E$1,
Master_Mapping_Sheet!$H$2:$H$3143=$A24))/sum(filter(
Master_Mapping_Sheet!$E$2:$E$3143, ISNUMBER(
Master_Mapping_Sh"&amp;"eet!$E$2:$E$3143),
Master_Mapping_Sheet!$H$2:$H$3143=$A24))), 0, sum(filter(
Master_Mapping_Sheet!$E$2:$E$3143, ISNUMBER(
Master_Mapping_Sheet!$E$2:$E$3143),
Master_Mapping_Sheet!$C$2:$C$3143=E$1,
Master_Mapping_Sheet!$H$2:$H$3143=$A24))/sum(filter(
Maste"&amp;"r_Mapping_Sheet!$E$2:$E$3143, ISNUMBER(
Master_Mapping_Sheet!$E$2:$E$3143),
Master_Mapping_Sheet!$H$2:$H$3143=$A24)))"),0.0)</f>
        <v>0</v>
      </c>
      <c r="F24" s="34">
        <f>IFERROR(__xludf.DUMMYFUNCTION("IF(ISNA(sum(filter(
Master_Mapping_Sheet!$E$2:$E$3143, ISNUMBER(
Master_Mapping_Sheet!$E$2:$E$3143),
Master_Mapping_Sheet!$C$2:$C$3143=F$1,
Master_Mapping_Sheet!$H$2:$H$3143=$A24))/sum(filter(
Master_Mapping_Sheet!$E$2:$E$3143, ISNUMBER(
Master_Mapping_Sh"&amp;"eet!$E$2:$E$3143),
Master_Mapping_Sheet!$H$2:$H$3143=$A24))), 0, sum(filter(
Master_Mapping_Sheet!$E$2:$E$3143, ISNUMBER(
Master_Mapping_Sheet!$E$2:$E$3143),
Master_Mapping_Sheet!$C$2:$C$3143=F$1,
Master_Mapping_Sheet!$H$2:$H$3143=$A24))/sum(filter(
Maste"&amp;"r_Mapping_Sheet!$E$2:$E$3143, ISNUMBER(
Master_Mapping_Sheet!$E$2:$E$3143),
Master_Mapping_Sheet!$H$2:$H$3143=$A24)))"),0.007847447183680424)</f>
        <v>0.007847447184</v>
      </c>
      <c r="G24" s="34">
        <f>IFERROR(__xludf.DUMMYFUNCTION("IF(ISNA(sum(filter(
Master_Mapping_Sheet!$E$2:$E$3143, ISNUMBER(
Master_Mapping_Sheet!$E$2:$E$3143),
Master_Mapping_Sheet!$C$2:$C$3143=G$1,
Master_Mapping_Sheet!$H$2:$H$3143=$A24))/sum(filter(
Master_Mapping_Sheet!$E$2:$E$3143, ISNUMBER(
Master_Mapping_Sh"&amp;"eet!$E$2:$E$3143),
Master_Mapping_Sheet!$H$2:$H$3143=$A24))), 0, sum(filter(
Master_Mapping_Sheet!$E$2:$E$3143, ISNUMBER(
Master_Mapping_Sheet!$E$2:$E$3143),
Master_Mapping_Sheet!$C$2:$C$3143=G$1,
Master_Mapping_Sheet!$H$2:$H$3143=$A24))/sum(filter(
Maste"&amp;"r_Mapping_Sheet!$E$2:$E$3143, ISNUMBER(
Master_Mapping_Sheet!$E$2:$E$3143),
Master_Mapping_Sheet!$H$2:$H$3143=$A24)))"),0.0)</f>
        <v>0</v>
      </c>
      <c r="H24" s="34">
        <f>IFERROR(__xludf.DUMMYFUNCTION("IF(ISNA(sum(filter(
Master_Mapping_Sheet!$E$2:$E$3143, ISNUMBER(
Master_Mapping_Sheet!$E$2:$E$3143),
Master_Mapping_Sheet!$C$2:$C$3143=H$1,
Master_Mapping_Sheet!$H$2:$H$3143=$A24))/sum(filter(
Master_Mapping_Sheet!$E$2:$E$3143, ISNUMBER(
Master_Mapping_Sh"&amp;"eet!$E$2:$E$3143),
Master_Mapping_Sheet!$H$2:$H$3143=$A24))), 0, sum(filter(
Master_Mapping_Sheet!$E$2:$E$3143, ISNUMBER(
Master_Mapping_Sheet!$E$2:$E$3143),
Master_Mapping_Sheet!$C$2:$C$3143=H$1,
Master_Mapping_Sheet!$H$2:$H$3143=$A24))/sum(filter(
Maste"&amp;"r_Mapping_Sheet!$E$2:$E$3143, ISNUMBER(
Master_Mapping_Sheet!$E$2:$E$3143),
Master_Mapping_Sheet!$H$2:$H$3143=$A24)))"),0.0)</f>
        <v>0</v>
      </c>
      <c r="I24" s="34">
        <f>IFERROR(__xludf.DUMMYFUNCTION("IF(ISNA(sum(filter(
Master_Mapping_Sheet!$E$2:$E$3143, ISNUMBER(
Master_Mapping_Sheet!$E$2:$E$3143),
Master_Mapping_Sheet!$C$2:$C$3143=I$1,
Master_Mapping_Sheet!$H$2:$H$3143=$A24))/sum(filter(
Master_Mapping_Sheet!$E$2:$E$3143, ISNUMBER(
Master_Mapping_Sh"&amp;"eet!$E$2:$E$3143),
Master_Mapping_Sheet!$H$2:$H$3143=$A24))), 0, sum(filter(
Master_Mapping_Sheet!$E$2:$E$3143, ISNUMBER(
Master_Mapping_Sheet!$E$2:$E$3143),
Master_Mapping_Sheet!$C$2:$C$3143=I$1,
Master_Mapping_Sheet!$H$2:$H$3143=$A24))/sum(filter(
Maste"&amp;"r_Mapping_Sheet!$E$2:$E$3143, ISNUMBER(
Master_Mapping_Sheet!$E$2:$E$3143),
Master_Mapping_Sheet!$H$2:$H$3143=$A24)))"),0.0)</f>
        <v>0</v>
      </c>
      <c r="J24" s="34">
        <f>IFERROR(__xludf.DUMMYFUNCTION("IF(ISNA(sum(filter(
Master_Mapping_Sheet!$E$2:$E$3143, ISNUMBER(
Master_Mapping_Sheet!$E$2:$E$3143),
Master_Mapping_Sheet!$C$2:$C$3143=J$1,
Master_Mapping_Sheet!$H$2:$H$3143=$A24))/sum(filter(
Master_Mapping_Sheet!$E$2:$E$3143, ISNUMBER(
Master_Mapping_Sh"&amp;"eet!$E$2:$E$3143),
Master_Mapping_Sheet!$H$2:$H$3143=$A24))), 0, sum(filter(
Master_Mapping_Sheet!$E$2:$E$3143, ISNUMBER(
Master_Mapping_Sheet!$E$2:$E$3143),
Master_Mapping_Sheet!$C$2:$C$3143=J$1,
Master_Mapping_Sheet!$H$2:$H$3143=$A24))/sum(filter(
Maste"&amp;"r_Mapping_Sheet!$E$2:$E$3143, ISNUMBER(
Master_Mapping_Sheet!$E$2:$E$3143),
Master_Mapping_Sheet!$H$2:$H$3143=$A24)))"),0.0)</f>
        <v>0</v>
      </c>
      <c r="K24" s="34">
        <f>IFERROR(__xludf.DUMMYFUNCTION("IF(ISNA(sum(filter(
Master_Mapping_Sheet!$E$2:$E$3143, ISNUMBER(
Master_Mapping_Sheet!$E$2:$E$3143),
Master_Mapping_Sheet!$C$2:$C$3143=K$1,
Master_Mapping_Sheet!$H$2:$H$3143=$A24))/sum(filter(
Master_Mapping_Sheet!$E$2:$E$3143, ISNUMBER(
Master_Mapping_Sh"&amp;"eet!$E$2:$E$3143),
Master_Mapping_Sheet!$H$2:$H$3143=$A24))), 0, sum(filter(
Master_Mapping_Sheet!$E$2:$E$3143, ISNUMBER(
Master_Mapping_Sheet!$E$2:$E$3143),
Master_Mapping_Sheet!$C$2:$C$3143=K$1,
Master_Mapping_Sheet!$H$2:$H$3143=$A24))/sum(filter(
Maste"&amp;"r_Mapping_Sheet!$E$2:$E$3143, ISNUMBER(
Master_Mapping_Sheet!$E$2:$E$3143),
Master_Mapping_Sheet!$H$2:$H$3143=$A24)))"),0.0)</f>
        <v>0</v>
      </c>
      <c r="L24" s="34">
        <f>IFERROR(__xludf.DUMMYFUNCTION("IF(ISNA(sum(filter(
Master_Mapping_Sheet!$E$2:$E$3143, ISNUMBER(
Master_Mapping_Sheet!$E$2:$E$3143),
Master_Mapping_Sheet!$C$2:$C$3143=L$1,
Master_Mapping_Sheet!$H$2:$H$3143=$A24))/sum(filter(
Master_Mapping_Sheet!$E$2:$E$3143, ISNUMBER(
Master_Mapping_Sh"&amp;"eet!$E$2:$E$3143),
Master_Mapping_Sheet!$H$2:$H$3143=$A24))), 0, sum(filter(
Master_Mapping_Sheet!$E$2:$E$3143, ISNUMBER(
Master_Mapping_Sheet!$E$2:$E$3143),
Master_Mapping_Sheet!$C$2:$C$3143=L$1,
Master_Mapping_Sheet!$H$2:$H$3143=$A24))/sum(filter(
Maste"&amp;"r_Mapping_Sheet!$E$2:$E$3143, ISNUMBER(
Master_Mapping_Sheet!$E$2:$E$3143),
Master_Mapping_Sheet!$H$2:$H$3143=$A24)))"),0.0)</f>
        <v>0</v>
      </c>
      <c r="M24" s="34">
        <f>IFERROR(__xludf.DUMMYFUNCTION("IF(ISNA(sum(filter(
Master_Mapping_Sheet!$E$2:$E$3143, ISNUMBER(
Master_Mapping_Sheet!$E$2:$E$3143),
Master_Mapping_Sheet!$C$2:$C$3143=M$1,
Master_Mapping_Sheet!$H$2:$H$3143=$A24))/sum(filter(
Master_Mapping_Sheet!$E$2:$E$3143, ISNUMBER(
Master_Mapping_Sh"&amp;"eet!$E$2:$E$3143),
Master_Mapping_Sheet!$H$2:$H$3143=$A24))), 0, sum(filter(
Master_Mapping_Sheet!$E$2:$E$3143, ISNUMBER(
Master_Mapping_Sheet!$E$2:$E$3143),
Master_Mapping_Sheet!$C$2:$C$3143=M$1,
Master_Mapping_Sheet!$H$2:$H$3143=$A24))/sum(filter(
Maste"&amp;"r_Mapping_Sheet!$E$2:$E$3143, ISNUMBER(
Master_Mapping_Sheet!$E$2:$E$3143),
Master_Mapping_Sheet!$H$2:$H$3143=$A24)))"),0.0)</f>
        <v>0</v>
      </c>
      <c r="N24" s="34">
        <f>IFERROR(__xludf.DUMMYFUNCTION("IF(ISNA(sum(filter(
Master_Mapping_Sheet!$E$2:$E$3143, ISNUMBER(
Master_Mapping_Sheet!$E$2:$E$3143),
Master_Mapping_Sheet!$C$2:$C$3143=N$1,
Master_Mapping_Sheet!$H$2:$H$3143=$A24))/sum(filter(
Master_Mapping_Sheet!$E$2:$E$3143, ISNUMBER(
Master_Mapping_Sh"&amp;"eet!$E$2:$E$3143),
Master_Mapping_Sheet!$H$2:$H$3143=$A24))), 0, sum(filter(
Master_Mapping_Sheet!$E$2:$E$3143, ISNUMBER(
Master_Mapping_Sheet!$E$2:$E$3143),
Master_Mapping_Sheet!$C$2:$C$3143=N$1,
Master_Mapping_Sheet!$H$2:$H$3143=$A24))/sum(filter(
Maste"&amp;"r_Mapping_Sheet!$E$2:$E$3143, ISNUMBER(
Master_Mapping_Sheet!$E$2:$E$3143),
Master_Mapping_Sheet!$H$2:$H$3143=$A24)))"),0.027374815757024735)</f>
        <v>0.02737481576</v>
      </c>
      <c r="O24" s="34">
        <f>IFERROR(__xludf.DUMMYFUNCTION("IF(ISNA(sum(filter(
Master_Mapping_Sheet!$E$2:$E$3143, ISNUMBER(
Master_Mapping_Sheet!$E$2:$E$3143),
Master_Mapping_Sheet!$C$2:$C$3143=O$1,
Master_Mapping_Sheet!$H$2:$H$3143=$A24))/sum(filter(
Master_Mapping_Sheet!$E$2:$E$3143, ISNUMBER(
Master_Mapping_Sh"&amp;"eet!$E$2:$E$3143),
Master_Mapping_Sheet!$H$2:$H$3143=$A24))), 0, sum(filter(
Master_Mapping_Sheet!$E$2:$E$3143, ISNUMBER(
Master_Mapping_Sheet!$E$2:$E$3143),
Master_Mapping_Sheet!$C$2:$C$3143=O$1,
Master_Mapping_Sheet!$H$2:$H$3143=$A24))/sum(filter(
Maste"&amp;"r_Mapping_Sheet!$E$2:$E$3143, ISNUMBER(
Master_Mapping_Sheet!$E$2:$E$3143),
Master_Mapping_Sheet!$H$2:$H$3143=$A24)))"),0.0)</f>
        <v>0</v>
      </c>
      <c r="P24" s="34">
        <f>IFERROR(__xludf.DUMMYFUNCTION("IF(ISNA(sum(filter(
Master_Mapping_Sheet!$E$2:$E$3143, ISNUMBER(
Master_Mapping_Sheet!$E$2:$E$3143),
Master_Mapping_Sheet!$C$2:$C$3143=P$1,
Master_Mapping_Sheet!$H$2:$H$3143=$A24))/sum(filter(
Master_Mapping_Sheet!$E$2:$E$3143, ISNUMBER(
Master_Mapping_Sh"&amp;"eet!$E$2:$E$3143),
Master_Mapping_Sheet!$H$2:$H$3143=$A24))), 0, sum(filter(
Master_Mapping_Sheet!$E$2:$E$3143, ISNUMBER(
Master_Mapping_Sheet!$E$2:$E$3143),
Master_Mapping_Sheet!$C$2:$C$3143=P$1,
Master_Mapping_Sheet!$H$2:$H$3143=$A24))/sum(filter(
Maste"&amp;"r_Mapping_Sheet!$E$2:$E$3143, ISNUMBER(
Master_Mapping_Sheet!$E$2:$E$3143),
Master_Mapping_Sheet!$H$2:$H$3143=$A24)))"),0.0)</f>
        <v>0</v>
      </c>
      <c r="Q24" s="34">
        <f>IFERROR(__xludf.DUMMYFUNCTION("IF(ISNA(sum(filter(
Master_Mapping_Sheet!$E$2:$E$3143, ISNUMBER(
Master_Mapping_Sheet!$E$2:$E$3143),
Master_Mapping_Sheet!$C$2:$C$3143=Q$1,
Master_Mapping_Sheet!$H$2:$H$3143=$A24))/sum(filter(
Master_Mapping_Sheet!$E$2:$E$3143, ISNUMBER(
Master_Mapping_Sh"&amp;"eet!$E$2:$E$3143),
Master_Mapping_Sheet!$H$2:$H$3143=$A24))), 0, sum(filter(
Master_Mapping_Sheet!$E$2:$E$3143, ISNUMBER(
Master_Mapping_Sheet!$E$2:$E$3143),
Master_Mapping_Sheet!$C$2:$C$3143=Q$1,
Master_Mapping_Sheet!$H$2:$H$3143=$A24))/sum(filter(
Maste"&amp;"r_Mapping_Sheet!$E$2:$E$3143, ISNUMBER(
Master_Mapping_Sheet!$E$2:$E$3143),
Master_Mapping_Sheet!$H$2:$H$3143=$A24)))"),0.0)</f>
        <v>0</v>
      </c>
      <c r="R24" s="34">
        <f>IFERROR(__xludf.DUMMYFUNCTION("IF(ISNA(sum(filter(
Master_Mapping_Sheet!$E$2:$E$3143, ISNUMBER(
Master_Mapping_Sheet!$E$2:$E$3143),
Master_Mapping_Sheet!$C$2:$C$3143=R$1,
Master_Mapping_Sheet!$H$2:$H$3143=$A24))/sum(filter(
Master_Mapping_Sheet!$E$2:$E$3143, ISNUMBER(
Master_Mapping_Sh"&amp;"eet!$E$2:$E$3143),
Master_Mapping_Sheet!$H$2:$H$3143=$A24))), 0, sum(filter(
Master_Mapping_Sheet!$E$2:$E$3143, ISNUMBER(
Master_Mapping_Sheet!$E$2:$E$3143),
Master_Mapping_Sheet!$C$2:$C$3143=R$1,
Master_Mapping_Sheet!$H$2:$H$3143=$A24))/sum(filter(
Maste"&amp;"r_Mapping_Sheet!$E$2:$E$3143, ISNUMBER(
Master_Mapping_Sheet!$E$2:$E$3143),
Master_Mapping_Sheet!$H$2:$H$3143=$A24)))"),0.0)</f>
        <v>0</v>
      </c>
      <c r="S24" s="34">
        <f>IFERROR(__xludf.DUMMYFUNCTION("IF(ISNA(sum(filter(
Master_Mapping_Sheet!$E$2:$E$3143, ISNUMBER(
Master_Mapping_Sheet!$E$2:$E$3143),
Master_Mapping_Sheet!$C$2:$C$3143=S$1,
Master_Mapping_Sheet!$H$2:$H$3143=$A24))/sum(filter(
Master_Mapping_Sheet!$E$2:$E$3143, ISNUMBER(
Master_Mapping_Sh"&amp;"eet!$E$2:$E$3143),
Master_Mapping_Sheet!$H$2:$H$3143=$A24))), 0, sum(filter(
Master_Mapping_Sheet!$E$2:$E$3143, ISNUMBER(
Master_Mapping_Sheet!$E$2:$E$3143),
Master_Mapping_Sheet!$C$2:$C$3143=S$1,
Master_Mapping_Sheet!$H$2:$H$3143=$A24))/sum(filter(
Maste"&amp;"r_Mapping_Sheet!$E$2:$E$3143, ISNUMBER(
Master_Mapping_Sheet!$E$2:$E$3143),
Master_Mapping_Sheet!$H$2:$H$3143=$A24)))"),0.0)</f>
        <v>0</v>
      </c>
      <c r="T24" s="34">
        <f>IFERROR(__xludf.DUMMYFUNCTION("IF(ISNA(sum(filter(
Master_Mapping_Sheet!$E$2:$E$3143, ISNUMBER(
Master_Mapping_Sheet!$E$2:$E$3143),
Master_Mapping_Sheet!$C$2:$C$3143=T$1,
Master_Mapping_Sheet!$H$2:$H$3143=$A24))/sum(filter(
Master_Mapping_Sheet!$E$2:$E$3143, ISNUMBER(
Master_Mapping_Sh"&amp;"eet!$E$2:$E$3143),
Master_Mapping_Sheet!$H$2:$H$3143=$A24))), 0, sum(filter(
Master_Mapping_Sheet!$E$2:$E$3143, ISNUMBER(
Master_Mapping_Sheet!$E$2:$E$3143),
Master_Mapping_Sheet!$C$2:$C$3143=T$1,
Master_Mapping_Sheet!$H$2:$H$3143=$A24))/sum(filter(
Maste"&amp;"r_Mapping_Sheet!$E$2:$E$3143, ISNUMBER(
Master_Mapping_Sheet!$E$2:$E$3143),
Master_Mapping_Sheet!$H$2:$H$3143=$A24)))"),0.0)</f>
        <v>0</v>
      </c>
      <c r="U24" s="34">
        <f>IFERROR(__xludf.DUMMYFUNCTION("IF(ISNA(sum(filter(
Master_Mapping_Sheet!$E$2:$E$3143, ISNUMBER(
Master_Mapping_Sheet!$E$2:$E$3143),
Master_Mapping_Sheet!$C$2:$C$3143=U$1,
Master_Mapping_Sheet!$H$2:$H$3143=$A24))/sum(filter(
Master_Mapping_Sheet!$E$2:$E$3143, ISNUMBER(
Master_Mapping_Sh"&amp;"eet!$E$2:$E$3143),
Master_Mapping_Sheet!$H$2:$H$3143=$A24))), 0, sum(filter(
Master_Mapping_Sheet!$E$2:$E$3143, ISNUMBER(
Master_Mapping_Sheet!$E$2:$E$3143),
Master_Mapping_Sheet!$C$2:$C$3143=U$1,
Master_Mapping_Sheet!$H$2:$H$3143=$A24))/sum(filter(
Maste"&amp;"r_Mapping_Sheet!$E$2:$E$3143, ISNUMBER(
Master_Mapping_Sheet!$E$2:$E$3143),
Master_Mapping_Sheet!$H$2:$H$3143=$A24)))"),0.0)</f>
        <v>0</v>
      </c>
      <c r="V24" s="34">
        <f>IFERROR(__xludf.DUMMYFUNCTION("IF(ISNA(sum(filter(
Master_Mapping_Sheet!$E$2:$E$3143, ISNUMBER(
Master_Mapping_Sheet!$E$2:$E$3143),
Master_Mapping_Sheet!$C$2:$C$3143=V$1,
Master_Mapping_Sheet!$H$2:$H$3143=$A24))/sum(filter(
Master_Mapping_Sheet!$E$2:$E$3143, ISNUMBER(
Master_Mapping_Sh"&amp;"eet!$E$2:$E$3143),
Master_Mapping_Sheet!$H$2:$H$3143=$A24))), 0, sum(filter(
Master_Mapping_Sheet!$E$2:$E$3143, ISNUMBER(
Master_Mapping_Sheet!$E$2:$E$3143),
Master_Mapping_Sheet!$C$2:$C$3143=V$1,
Master_Mapping_Sheet!$H$2:$H$3143=$A24))/sum(filter(
Maste"&amp;"r_Mapping_Sheet!$E$2:$E$3143, ISNUMBER(
Master_Mapping_Sheet!$E$2:$E$3143),
Master_Mapping_Sheet!$H$2:$H$3143=$A24)))"),0.0)</f>
        <v>0</v>
      </c>
      <c r="W24" s="34">
        <f>IFERROR(__xludf.DUMMYFUNCTION("IF(ISNA(sum(filter(
Master_Mapping_Sheet!$E$2:$E$3143, ISNUMBER(
Master_Mapping_Sheet!$E$2:$E$3143),
Master_Mapping_Sheet!$C$2:$C$3143=W$1,
Master_Mapping_Sheet!$H$2:$H$3143=$A24))/sum(filter(
Master_Mapping_Sheet!$E$2:$E$3143, ISNUMBER(
Master_Mapping_Sh"&amp;"eet!$E$2:$E$3143),
Master_Mapping_Sheet!$H$2:$H$3143=$A24))), 0, sum(filter(
Master_Mapping_Sheet!$E$2:$E$3143, ISNUMBER(
Master_Mapping_Sheet!$E$2:$E$3143),
Master_Mapping_Sheet!$C$2:$C$3143=W$1,
Master_Mapping_Sheet!$H$2:$H$3143=$A24))/sum(filter(
Maste"&amp;"r_Mapping_Sheet!$E$2:$E$3143, ISNUMBER(
Master_Mapping_Sheet!$E$2:$E$3143),
Master_Mapping_Sheet!$H$2:$H$3143=$A24)))"),0.0)</f>
        <v>0</v>
      </c>
      <c r="X24" s="34">
        <f>IFERROR(__xludf.DUMMYFUNCTION("IF(ISNA(sum(filter(
Master_Mapping_Sheet!$E$2:$E$3143, ISNUMBER(
Master_Mapping_Sheet!$E$2:$E$3143),
Master_Mapping_Sheet!$C$2:$C$3143=X$1,
Master_Mapping_Sheet!$H$2:$H$3143=$A24))/sum(filter(
Master_Mapping_Sheet!$E$2:$E$3143, ISNUMBER(
Master_Mapping_Sh"&amp;"eet!$E$2:$E$3143),
Master_Mapping_Sheet!$H$2:$H$3143=$A24))), 0, sum(filter(
Master_Mapping_Sheet!$E$2:$E$3143, ISNUMBER(
Master_Mapping_Sheet!$E$2:$E$3143),
Master_Mapping_Sheet!$C$2:$C$3143=X$1,
Master_Mapping_Sheet!$H$2:$H$3143=$A24))/sum(filter(
Maste"&amp;"r_Mapping_Sheet!$E$2:$E$3143, ISNUMBER(
Master_Mapping_Sheet!$E$2:$E$3143),
Master_Mapping_Sheet!$H$2:$H$3143=$A24)))"),0.0)</f>
        <v>0</v>
      </c>
      <c r="Y24" s="34">
        <f>IFERROR(__xludf.DUMMYFUNCTION("IF(ISNA(sum(filter(
Master_Mapping_Sheet!$E$2:$E$3143, ISNUMBER(
Master_Mapping_Sheet!$E$2:$E$3143),
Master_Mapping_Sheet!$C$2:$C$3143=Y$1,
Master_Mapping_Sheet!$H$2:$H$3143=$A24))/sum(filter(
Master_Mapping_Sheet!$E$2:$E$3143, ISNUMBER(
Master_Mapping_Sh"&amp;"eet!$E$2:$E$3143),
Master_Mapping_Sheet!$H$2:$H$3143=$A24))), 0, sum(filter(
Master_Mapping_Sheet!$E$2:$E$3143, ISNUMBER(
Master_Mapping_Sheet!$E$2:$E$3143),
Master_Mapping_Sheet!$C$2:$C$3143=Y$1,
Master_Mapping_Sheet!$H$2:$H$3143=$A24))/sum(filter(
Maste"&amp;"r_Mapping_Sheet!$E$2:$E$3143, ISNUMBER(
Master_Mapping_Sheet!$E$2:$E$3143),
Master_Mapping_Sheet!$H$2:$H$3143=$A24)))"),0.0)</f>
        <v>0</v>
      </c>
      <c r="Z24" s="34">
        <f>IFERROR(__xludf.DUMMYFUNCTION("IF(ISNA(sum(filter(
Master_Mapping_Sheet!$E$2:$E$3143, ISNUMBER(
Master_Mapping_Sheet!$E$2:$E$3143),
Master_Mapping_Sheet!$C$2:$C$3143=Z$1,
Master_Mapping_Sheet!$H$2:$H$3143=$A24))/sum(filter(
Master_Mapping_Sheet!$E$2:$E$3143, ISNUMBER(
Master_Mapping_Sh"&amp;"eet!$E$2:$E$3143),
Master_Mapping_Sheet!$H$2:$H$3143=$A24))), 0, sum(filter(
Master_Mapping_Sheet!$E$2:$E$3143, ISNUMBER(
Master_Mapping_Sheet!$E$2:$E$3143),
Master_Mapping_Sheet!$C$2:$C$3143=Z$1,
Master_Mapping_Sheet!$H$2:$H$3143=$A24))/sum(filter(
Maste"&amp;"r_Mapping_Sheet!$E$2:$E$3143, ISNUMBER(
Master_Mapping_Sheet!$E$2:$E$3143),
Master_Mapping_Sheet!$H$2:$H$3143=$A24)))"),0.0)</f>
        <v>0</v>
      </c>
      <c r="AA24" s="34">
        <f>IFERROR(__xludf.DUMMYFUNCTION("IF(ISNA(sum(filter(
Master_Mapping_Sheet!$E$2:$E$3143, ISNUMBER(
Master_Mapping_Sheet!$E$2:$E$3143),
Master_Mapping_Sheet!$C$2:$C$3143=AA$1,
Master_Mapping_Sheet!$H$2:$H$3143=$A24))/sum(filter(
Master_Mapping_Sheet!$E$2:$E$3143, ISNUMBER(
Master_Mapping_S"&amp;"heet!$E$2:$E$3143),
Master_Mapping_Sheet!$H$2:$H$3143=$A24))), 0, sum(filter(
Master_Mapping_Sheet!$E$2:$E$3143, ISNUMBER(
Master_Mapping_Sheet!$E$2:$E$3143),
Master_Mapping_Sheet!$C$2:$C$3143=AA$1,
Master_Mapping_Sheet!$H$2:$H$3143=$A24))/sum(filter(
Mas"&amp;"ter_Mapping_Sheet!$E$2:$E$3143, ISNUMBER(
Master_Mapping_Sheet!$E$2:$E$3143),
Master_Mapping_Sheet!$H$2:$H$3143=$A24)))"),0.0)</f>
        <v>0</v>
      </c>
      <c r="AB24" s="34">
        <f>IFERROR(__xludf.DUMMYFUNCTION("IF(ISNA(sum(filter(
Master_Mapping_Sheet!$E$2:$E$3143, ISNUMBER(
Master_Mapping_Sheet!$E$2:$E$3143),
Master_Mapping_Sheet!$C$2:$C$3143=AB$1,
Master_Mapping_Sheet!$H$2:$H$3143=$A24))/sum(filter(
Master_Mapping_Sheet!$E$2:$E$3143, ISNUMBER(
Master_Mapping_S"&amp;"heet!$E$2:$E$3143),
Master_Mapping_Sheet!$H$2:$H$3143=$A24))), 0, sum(filter(
Master_Mapping_Sheet!$E$2:$E$3143, ISNUMBER(
Master_Mapping_Sheet!$E$2:$E$3143),
Master_Mapping_Sheet!$C$2:$C$3143=AB$1,
Master_Mapping_Sheet!$H$2:$H$3143=$A24))/sum(filter(
Mas"&amp;"ter_Mapping_Sheet!$E$2:$E$3143, ISNUMBER(
Master_Mapping_Sheet!$E$2:$E$3143),
Master_Mapping_Sheet!$H$2:$H$3143=$A24)))"),0.08010021642812082)</f>
        <v>0.08010021643</v>
      </c>
      <c r="AC24" s="34">
        <f>IFERROR(__xludf.DUMMYFUNCTION("IF(ISNA(sum(filter(
Master_Mapping_Sheet!$E$2:$E$3143, ISNUMBER(
Master_Mapping_Sheet!$E$2:$E$3143),
Master_Mapping_Sheet!$C$2:$C$3143=AC$1,
Master_Mapping_Sheet!$H$2:$H$3143=$A24))/sum(filter(
Master_Mapping_Sheet!$E$2:$E$3143, ISNUMBER(
Master_Mapping_S"&amp;"heet!$E$2:$E$3143),
Master_Mapping_Sheet!$H$2:$H$3143=$A24))), 0, sum(filter(
Master_Mapping_Sheet!$E$2:$E$3143, ISNUMBER(
Master_Mapping_Sheet!$E$2:$E$3143),
Master_Mapping_Sheet!$C$2:$C$3143=AC$1,
Master_Mapping_Sheet!$H$2:$H$3143=$A24))/sum(filter(
Mas"&amp;"ter_Mapping_Sheet!$E$2:$E$3143, ISNUMBER(
Master_Mapping_Sheet!$E$2:$E$3143),
Master_Mapping_Sheet!$H$2:$H$3143=$A24)))"),0.0)</f>
        <v>0</v>
      </c>
      <c r="AD24" s="34">
        <f>IFERROR(__xludf.DUMMYFUNCTION("IF(ISNA(sum(filter(
Master_Mapping_Sheet!$E$2:$E$3143, ISNUMBER(
Master_Mapping_Sheet!$E$2:$E$3143),
Master_Mapping_Sheet!$C$2:$C$3143=AD$1,
Master_Mapping_Sheet!$H$2:$H$3143=$A24))/sum(filter(
Master_Mapping_Sheet!$E$2:$E$3143, ISNUMBER(
Master_Mapping_S"&amp;"heet!$E$2:$E$3143),
Master_Mapping_Sheet!$H$2:$H$3143=$A24))), 0, sum(filter(
Master_Mapping_Sheet!$E$2:$E$3143, ISNUMBER(
Master_Mapping_Sheet!$E$2:$E$3143),
Master_Mapping_Sheet!$C$2:$C$3143=AD$1,
Master_Mapping_Sheet!$H$2:$H$3143=$A24))/sum(filter(
Mas"&amp;"ter_Mapping_Sheet!$E$2:$E$3143, ISNUMBER(
Master_Mapping_Sheet!$E$2:$E$3143),
Master_Mapping_Sheet!$H$2:$H$3143=$A24)))"),0.0)</f>
        <v>0</v>
      </c>
      <c r="AE24" s="34">
        <f>IFERROR(__xludf.DUMMYFUNCTION("IF(ISNA(sum(filter(
Master_Mapping_Sheet!$E$2:$E$3143, ISNUMBER(
Master_Mapping_Sheet!$E$2:$E$3143),
Master_Mapping_Sheet!$C$2:$C$3143=AE$1,
Master_Mapping_Sheet!$H$2:$H$3143=$A24))/sum(filter(
Master_Mapping_Sheet!$E$2:$E$3143, ISNUMBER(
Master_Mapping_S"&amp;"heet!$E$2:$E$3143),
Master_Mapping_Sheet!$H$2:$H$3143=$A24))), 0, sum(filter(
Master_Mapping_Sheet!$E$2:$E$3143, ISNUMBER(
Master_Mapping_Sheet!$E$2:$E$3143),
Master_Mapping_Sheet!$C$2:$C$3143=AE$1,
Master_Mapping_Sheet!$H$2:$H$3143=$A24))/sum(filter(
Mas"&amp;"ter_Mapping_Sheet!$E$2:$E$3143, ISNUMBER(
Master_Mapping_Sheet!$E$2:$E$3143),
Master_Mapping_Sheet!$H$2:$H$3143=$A24)))"),0.0)</f>
        <v>0</v>
      </c>
      <c r="AF24" s="34">
        <f>IFERROR(__xludf.DUMMYFUNCTION("IF(ISNA(sum(filter(
Master_Mapping_Sheet!$E$2:$E$3143, ISNUMBER(
Master_Mapping_Sheet!$E$2:$E$3143),
Master_Mapping_Sheet!$C$2:$C$3143=AF$1,
Master_Mapping_Sheet!$H$2:$H$3143=$A24))/sum(filter(
Master_Mapping_Sheet!$E$2:$E$3143, ISNUMBER(
Master_Mapping_S"&amp;"heet!$E$2:$E$3143),
Master_Mapping_Sheet!$H$2:$H$3143=$A24))), 0, sum(filter(
Master_Mapping_Sheet!$E$2:$E$3143, ISNUMBER(
Master_Mapping_Sheet!$E$2:$E$3143),
Master_Mapping_Sheet!$C$2:$C$3143=AF$1,
Master_Mapping_Sheet!$H$2:$H$3143=$A24))/sum(filter(
Mas"&amp;"ter_Mapping_Sheet!$E$2:$E$3143, ISNUMBER(
Master_Mapping_Sheet!$E$2:$E$3143),
Master_Mapping_Sheet!$H$2:$H$3143=$A24)))"),0.0)</f>
        <v>0</v>
      </c>
      <c r="AG24" s="34">
        <f>IFERROR(__xludf.DUMMYFUNCTION("IF(ISNA(sum(filter(
Master_Mapping_Sheet!$E$2:$E$3143, ISNUMBER(
Master_Mapping_Sheet!$E$2:$E$3143),
Master_Mapping_Sheet!$C$2:$C$3143=AG$1,
Master_Mapping_Sheet!$H$2:$H$3143=$A24))/sum(filter(
Master_Mapping_Sheet!$E$2:$E$3143, ISNUMBER(
Master_Mapping_S"&amp;"heet!$E$2:$E$3143),
Master_Mapping_Sheet!$H$2:$H$3143=$A24))), 0, sum(filter(
Master_Mapping_Sheet!$E$2:$E$3143, ISNUMBER(
Master_Mapping_Sheet!$E$2:$E$3143),
Master_Mapping_Sheet!$C$2:$C$3143=AG$1,
Master_Mapping_Sheet!$H$2:$H$3143=$A24))/sum(filter(
Mas"&amp;"ter_Mapping_Sheet!$E$2:$E$3143, ISNUMBER(
Master_Mapping_Sheet!$E$2:$E$3143),
Master_Mapping_Sheet!$H$2:$H$3143=$A24)))"),0.0)</f>
        <v>0</v>
      </c>
      <c r="AH24" s="34">
        <f>IFERROR(__xludf.DUMMYFUNCTION("IF(ISNA(sum(filter(
Master_Mapping_Sheet!$E$2:$E$3143, ISNUMBER(
Master_Mapping_Sheet!$E$2:$E$3143),
Master_Mapping_Sheet!$C$2:$C$3143=AH$1,
Master_Mapping_Sheet!$H$2:$H$3143=$A24))/sum(filter(
Master_Mapping_Sheet!$E$2:$E$3143, ISNUMBER(
Master_Mapping_S"&amp;"heet!$E$2:$E$3143),
Master_Mapping_Sheet!$H$2:$H$3143=$A24))), 0, sum(filter(
Master_Mapping_Sheet!$E$2:$E$3143, ISNUMBER(
Master_Mapping_Sheet!$E$2:$E$3143),
Master_Mapping_Sheet!$C$2:$C$3143=AH$1,
Master_Mapping_Sheet!$H$2:$H$3143=$A24))/sum(filter(
Mas"&amp;"ter_Mapping_Sheet!$E$2:$E$3143, ISNUMBER(
Master_Mapping_Sheet!$E$2:$E$3143),
Master_Mapping_Sheet!$H$2:$H$3143=$A24)))"),0.0)</f>
        <v>0</v>
      </c>
      <c r="AI24" s="34">
        <f>IFERROR(__xludf.DUMMYFUNCTION("IF(ISNA(sum(filter(
Master_Mapping_Sheet!$E$2:$E$3143, ISNUMBER(
Master_Mapping_Sheet!$E$2:$E$3143),
Master_Mapping_Sheet!$C$2:$C$3143=AI$1,
Master_Mapping_Sheet!$H$2:$H$3143=$A24))/sum(filter(
Master_Mapping_Sheet!$E$2:$E$3143, ISNUMBER(
Master_Mapping_S"&amp;"heet!$E$2:$E$3143),
Master_Mapping_Sheet!$H$2:$H$3143=$A24))), 0, sum(filter(
Master_Mapping_Sheet!$E$2:$E$3143, ISNUMBER(
Master_Mapping_Sheet!$E$2:$E$3143),
Master_Mapping_Sheet!$C$2:$C$3143=AI$1,
Master_Mapping_Sheet!$H$2:$H$3143=$A24))/sum(filter(
Mas"&amp;"ter_Mapping_Sheet!$E$2:$E$3143, ISNUMBER(
Master_Mapping_Sheet!$E$2:$E$3143),
Master_Mapping_Sheet!$H$2:$H$3143=$A24)))"),0.0)</f>
        <v>0</v>
      </c>
      <c r="AJ24" s="34">
        <f>IFERROR(__xludf.DUMMYFUNCTION("IF(ISNA(sum(filter(
Master_Mapping_Sheet!$E$2:$E$3143, ISNUMBER(
Master_Mapping_Sheet!$E$2:$E$3143),
Master_Mapping_Sheet!$C$2:$C$3143=AJ$1,
Master_Mapping_Sheet!$H$2:$H$3143=$A24))/sum(filter(
Master_Mapping_Sheet!$E$2:$E$3143, ISNUMBER(
Master_Mapping_S"&amp;"heet!$E$2:$E$3143),
Master_Mapping_Sheet!$H$2:$H$3143=$A24))), 0, sum(filter(
Master_Mapping_Sheet!$E$2:$E$3143, ISNUMBER(
Master_Mapping_Sheet!$E$2:$E$3143),
Master_Mapping_Sheet!$C$2:$C$3143=AJ$1,
Master_Mapping_Sheet!$H$2:$H$3143=$A24))/sum(filter(
Mas"&amp;"ter_Mapping_Sheet!$E$2:$E$3143, ISNUMBER(
Master_Mapping_Sheet!$E$2:$E$3143),
Master_Mapping_Sheet!$H$2:$H$3143=$A24)))"),0.0)</f>
        <v>0</v>
      </c>
      <c r="AK24" s="34">
        <f>IFERROR(__xludf.DUMMYFUNCTION("IF(ISNA(sum(filter(
Master_Mapping_Sheet!$E$2:$E$3143, ISNUMBER(
Master_Mapping_Sheet!$E$2:$E$3143),
Master_Mapping_Sheet!$C$2:$C$3143=AK$1,
Master_Mapping_Sheet!$H$2:$H$3143=$A24))/sum(filter(
Master_Mapping_Sheet!$E$2:$E$3143, ISNUMBER(
Master_Mapping_S"&amp;"heet!$E$2:$E$3143),
Master_Mapping_Sheet!$H$2:$H$3143=$A24))), 0, sum(filter(
Master_Mapping_Sheet!$E$2:$E$3143, ISNUMBER(
Master_Mapping_Sheet!$E$2:$E$3143),
Master_Mapping_Sheet!$C$2:$C$3143=AK$1,
Master_Mapping_Sheet!$H$2:$H$3143=$A24))/sum(filter(
Mas"&amp;"ter_Mapping_Sheet!$E$2:$E$3143, ISNUMBER(
Master_Mapping_Sheet!$E$2:$E$3143),
Master_Mapping_Sheet!$H$2:$H$3143=$A24)))"),0.0)</f>
        <v>0</v>
      </c>
      <c r="AL24" s="34">
        <f>IFERROR(__xludf.DUMMYFUNCTION("IF(ISNA(sum(filter(
Master_Mapping_Sheet!$E$2:$E$3143, ISNUMBER(
Master_Mapping_Sheet!$E$2:$E$3143),
Master_Mapping_Sheet!$C$2:$C$3143=AL$1,
Master_Mapping_Sheet!$H$2:$H$3143=$A24))/sum(filter(
Master_Mapping_Sheet!$E$2:$E$3143, ISNUMBER(
Master_Mapping_S"&amp;"heet!$E$2:$E$3143),
Master_Mapping_Sheet!$H$2:$H$3143=$A24))), 0, sum(filter(
Master_Mapping_Sheet!$E$2:$E$3143, ISNUMBER(
Master_Mapping_Sheet!$E$2:$E$3143),
Master_Mapping_Sheet!$C$2:$C$3143=AL$1,
Master_Mapping_Sheet!$H$2:$H$3143=$A24))/sum(filter(
Mas"&amp;"ter_Mapping_Sheet!$E$2:$E$3143, ISNUMBER(
Master_Mapping_Sheet!$E$2:$E$3143),
Master_Mapping_Sheet!$H$2:$H$3143=$A24)))"),0.0)</f>
        <v>0</v>
      </c>
      <c r="AM24" s="34">
        <f>IFERROR(__xludf.DUMMYFUNCTION("IF(ISNA(sum(filter(
Master_Mapping_Sheet!$E$2:$E$3143, ISNUMBER(
Master_Mapping_Sheet!$E$2:$E$3143),
Master_Mapping_Sheet!$C$2:$C$3143=AM$1,
Master_Mapping_Sheet!$H$2:$H$3143=$A24))/sum(filter(
Master_Mapping_Sheet!$E$2:$E$3143, ISNUMBER(
Master_Mapping_S"&amp;"heet!$E$2:$E$3143),
Master_Mapping_Sheet!$H$2:$H$3143=$A24))), 0, sum(filter(
Master_Mapping_Sheet!$E$2:$E$3143, ISNUMBER(
Master_Mapping_Sheet!$E$2:$E$3143),
Master_Mapping_Sheet!$C$2:$C$3143=AM$1,
Master_Mapping_Sheet!$H$2:$H$3143=$A24))/sum(filter(
Mas"&amp;"ter_Mapping_Sheet!$E$2:$E$3143, ISNUMBER(
Master_Mapping_Sheet!$E$2:$E$3143),
Master_Mapping_Sheet!$H$2:$H$3143=$A24)))"),0.3108984447579523)</f>
        <v>0.3108984448</v>
      </c>
      <c r="AN24" s="34">
        <f>IFERROR(__xludf.DUMMYFUNCTION("IF(ISNA(sum(filter(
Master_Mapping_Sheet!$E$2:$E$3143, ISNUMBER(
Master_Mapping_Sheet!$E$2:$E$3143),
Master_Mapping_Sheet!$C$2:$C$3143=AN$1,
Master_Mapping_Sheet!$H$2:$H$3143=$A24))/sum(filter(
Master_Mapping_Sheet!$E$2:$E$3143, ISNUMBER(
Master_Mapping_S"&amp;"heet!$E$2:$E$3143),
Master_Mapping_Sheet!$H$2:$H$3143=$A24))), 0, sum(filter(
Master_Mapping_Sheet!$E$2:$E$3143, ISNUMBER(
Master_Mapping_Sheet!$E$2:$E$3143),
Master_Mapping_Sheet!$C$2:$C$3143=AN$1,
Master_Mapping_Sheet!$H$2:$H$3143=$A24))/sum(filter(
Mas"&amp;"ter_Mapping_Sheet!$E$2:$E$3143, ISNUMBER(
Master_Mapping_Sheet!$E$2:$E$3143),
Master_Mapping_Sheet!$H$2:$H$3143=$A24)))"),0.0)</f>
        <v>0</v>
      </c>
      <c r="AO24" s="34">
        <f>IFERROR(__xludf.DUMMYFUNCTION("IF(ISNA(sum(filter(
Master_Mapping_Sheet!$E$2:$E$3143, ISNUMBER(
Master_Mapping_Sheet!$E$2:$E$3143),
Master_Mapping_Sheet!$C$2:$C$3143=AO$1,
Master_Mapping_Sheet!$H$2:$H$3143=$A24))/sum(filter(
Master_Mapping_Sheet!$E$2:$E$3143, ISNUMBER(
Master_Mapping_S"&amp;"heet!$E$2:$E$3143),
Master_Mapping_Sheet!$H$2:$H$3143=$A24))), 0, sum(filter(
Master_Mapping_Sheet!$E$2:$E$3143, ISNUMBER(
Master_Mapping_Sheet!$E$2:$E$3143),
Master_Mapping_Sheet!$C$2:$C$3143=AO$1,
Master_Mapping_Sheet!$H$2:$H$3143=$A24))/sum(filter(
Mas"&amp;"ter_Mapping_Sheet!$E$2:$E$3143, ISNUMBER(
Master_Mapping_Sheet!$E$2:$E$3143),
Master_Mapping_Sheet!$H$2:$H$3143=$A24)))"),0.0)</f>
        <v>0</v>
      </c>
      <c r="AP24" s="34">
        <f>IFERROR(__xludf.DUMMYFUNCTION("IF(ISNA(sum(filter(
Master_Mapping_Sheet!$E$2:$E$3143, ISNUMBER(
Master_Mapping_Sheet!$E$2:$E$3143),
Master_Mapping_Sheet!$C$2:$C$3143=AP$1,
Master_Mapping_Sheet!$H$2:$H$3143=$A24))/sum(filter(
Master_Mapping_Sheet!$E$2:$E$3143, ISNUMBER(
Master_Mapping_S"&amp;"heet!$E$2:$E$3143),
Master_Mapping_Sheet!$H$2:$H$3143=$A24))), 0, sum(filter(
Master_Mapping_Sheet!$E$2:$E$3143, ISNUMBER(
Master_Mapping_Sheet!$E$2:$E$3143),
Master_Mapping_Sheet!$C$2:$C$3143=AP$1,
Master_Mapping_Sheet!$H$2:$H$3143=$A24))/sum(filter(
Mas"&amp;"ter_Mapping_Sheet!$E$2:$E$3143, ISNUMBER(
Master_Mapping_Sheet!$E$2:$E$3143),
Master_Mapping_Sheet!$H$2:$H$3143=$A24)))"),0.0)</f>
        <v>0</v>
      </c>
      <c r="AQ24" s="34">
        <f>IFERROR(__xludf.DUMMYFUNCTION("IF(ISNA(sum(filter(
Master_Mapping_Sheet!$E$2:$E$3143, ISNUMBER(
Master_Mapping_Sheet!$E$2:$E$3143),
Master_Mapping_Sheet!$C$2:$C$3143=AQ$1,
Master_Mapping_Sheet!$H$2:$H$3143=$A24))/sum(filter(
Master_Mapping_Sheet!$E$2:$E$3143, ISNUMBER(
Master_Mapping_S"&amp;"heet!$E$2:$E$3143),
Master_Mapping_Sheet!$H$2:$H$3143=$A24))), 0, sum(filter(
Master_Mapping_Sheet!$E$2:$E$3143, ISNUMBER(
Master_Mapping_Sheet!$E$2:$E$3143),
Master_Mapping_Sheet!$C$2:$C$3143=AQ$1,
Master_Mapping_Sheet!$H$2:$H$3143=$A24))/sum(filter(
Mas"&amp;"ter_Mapping_Sheet!$E$2:$E$3143, ISNUMBER(
Master_Mapping_Sheet!$E$2:$E$3143),
Master_Mapping_Sheet!$H$2:$H$3143=$A24)))"),0.0)</f>
        <v>0</v>
      </c>
      <c r="AR24" s="34">
        <f>IFERROR(__xludf.DUMMYFUNCTION("IF(ISNA(sum(filter(
Master_Mapping_Sheet!$E$2:$E$3143, ISNUMBER(
Master_Mapping_Sheet!$E$2:$E$3143),
Master_Mapping_Sheet!$C$2:$C$3143=AR$1,
Master_Mapping_Sheet!$H$2:$H$3143=$A24))/sum(filter(
Master_Mapping_Sheet!$E$2:$E$3143, ISNUMBER(
Master_Mapping_S"&amp;"heet!$E$2:$E$3143),
Master_Mapping_Sheet!$H$2:$H$3143=$A24))), 0, sum(filter(
Master_Mapping_Sheet!$E$2:$E$3143, ISNUMBER(
Master_Mapping_Sheet!$E$2:$E$3143),
Master_Mapping_Sheet!$C$2:$C$3143=AR$1,
Master_Mapping_Sheet!$H$2:$H$3143=$A24))/sum(filter(
Mas"&amp;"ter_Mapping_Sheet!$E$2:$E$3143, ISNUMBER(
Master_Mapping_Sheet!$E$2:$E$3143),
Master_Mapping_Sheet!$H$2:$H$3143=$A24)))"),0.0)</f>
        <v>0</v>
      </c>
      <c r="AS24" s="34">
        <f>IFERROR(__xludf.DUMMYFUNCTION("IF(ISNA(sum(filter(
Master_Mapping_Sheet!$E$2:$E$3143, ISNUMBER(
Master_Mapping_Sheet!$E$2:$E$3143),
Master_Mapping_Sheet!$C$2:$C$3143=AS$1,
Master_Mapping_Sheet!$H$2:$H$3143=$A24))/sum(filter(
Master_Mapping_Sheet!$E$2:$E$3143, ISNUMBER(
Master_Mapping_S"&amp;"heet!$E$2:$E$3143),
Master_Mapping_Sheet!$H$2:$H$3143=$A24))), 0, sum(filter(
Master_Mapping_Sheet!$E$2:$E$3143, ISNUMBER(
Master_Mapping_Sheet!$E$2:$E$3143),
Master_Mapping_Sheet!$C$2:$C$3143=AS$1,
Master_Mapping_Sheet!$H$2:$H$3143=$A24))/sum(filter(
Mas"&amp;"ter_Mapping_Sheet!$E$2:$E$3143, ISNUMBER(
Master_Mapping_Sheet!$E$2:$E$3143),
Master_Mapping_Sheet!$H$2:$H$3143=$A24)))"),0.0)</f>
        <v>0</v>
      </c>
      <c r="AT24" s="34">
        <f>IFERROR(__xludf.DUMMYFUNCTION("IF(ISNA(sum(filter(
Master_Mapping_Sheet!$E$2:$E$3143, ISNUMBER(
Master_Mapping_Sheet!$E$2:$E$3143),
Master_Mapping_Sheet!$C$2:$C$3143=AT$1,
Master_Mapping_Sheet!$H$2:$H$3143=$A24))/sum(filter(
Master_Mapping_Sheet!$E$2:$E$3143, ISNUMBER(
Master_Mapping_S"&amp;"heet!$E$2:$E$3143),
Master_Mapping_Sheet!$H$2:$H$3143=$A24))), 0, sum(filter(
Master_Mapping_Sheet!$E$2:$E$3143, ISNUMBER(
Master_Mapping_Sheet!$E$2:$E$3143),
Master_Mapping_Sheet!$C$2:$C$3143=AT$1,
Master_Mapping_Sheet!$H$2:$H$3143=$A24))/sum(filter(
Mas"&amp;"ter_Mapping_Sheet!$E$2:$E$3143, ISNUMBER(
Master_Mapping_Sheet!$E$2:$E$3143),
Master_Mapping_Sheet!$H$2:$H$3143=$A24)))"),0.0)</f>
        <v>0</v>
      </c>
      <c r="AU24" s="34">
        <f>IFERROR(__xludf.DUMMYFUNCTION("IF(ISNA(sum(filter(
Master_Mapping_Sheet!$E$2:$E$3143, ISNUMBER(
Master_Mapping_Sheet!$E$2:$E$3143),
Master_Mapping_Sheet!$C$2:$C$3143=AU$1,
Master_Mapping_Sheet!$H$2:$H$3143=$A24))/sum(filter(
Master_Mapping_Sheet!$E$2:$E$3143, ISNUMBER(
Master_Mapping_S"&amp;"heet!$E$2:$E$3143),
Master_Mapping_Sheet!$H$2:$H$3143=$A24))), 0, sum(filter(
Master_Mapping_Sheet!$E$2:$E$3143, ISNUMBER(
Master_Mapping_Sheet!$E$2:$E$3143),
Master_Mapping_Sheet!$C$2:$C$3143=AU$1,
Master_Mapping_Sheet!$H$2:$H$3143=$A24))/sum(filter(
Mas"&amp;"ter_Mapping_Sheet!$E$2:$E$3143, ISNUMBER(
Master_Mapping_Sheet!$E$2:$E$3143),
Master_Mapping_Sheet!$H$2:$H$3143=$A24)))"),0.0)</f>
        <v>0</v>
      </c>
      <c r="AV24" s="34">
        <f>IFERROR(__xludf.DUMMYFUNCTION("IF(ISNA(sum(filter(
Master_Mapping_Sheet!$E$2:$E$3143, ISNUMBER(
Master_Mapping_Sheet!$E$2:$E$3143),
Master_Mapping_Sheet!$C$2:$C$3143=AV$1,
Master_Mapping_Sheet!$H$2:$H$3143=$A24))/sum(filter(
Master_Mapping_Sheet!$E$2:$E$3143, ISNUMBER(
Master_Mapping_S"&amp;"heet!$E$2:$E$3143),
Master_Mapping_Sheet!$H$2:$H$3143=$A24))), 0, sum(filter(
Master_Mapping_Sheet!$E$2:$E$3143, ISNUMBER(
Master_Mapping_Sheet!$E$2:$E$3143),
Master_Mapping_Sheet!$C$2:$C$3143=AV$1,
Master_Mapping_Sheet!$H$2:$H$3143=$A24))/sum(filter(
Mas"&amp;"ter_Mapping_Sheet!$E$2:$E$3143, ISNUMBER(
Master_Mapping_Sheet!$E$2:$E$3143),
Master_Mapping_Sheet!$H$2:$H$3143=$A24)))"),0.0)</f>
        <v>0</v>
      </c>
      <c r="AW24" s="34">
        <f>IFERROR(__xludf.DUMMYFUNCTION("IF(ISNA(sum(filter(
Master_Mapping_Sheet!$E$2:$E$3143, ISNUMBER(
Master_Mapping_Sheet!$E$2:$E$3143),
Master_Mapping_Sheet!$C$2:$C$3143=AW$1,
Master_Mapping_Sheet!$H$2:$H$3143=$A24))/sum(filter(
Master_Mapping_Sheet!$E$2:$E$3143, ISNUMBER(
Master_Mapping_S"&amp;"heet!$E$2:$E$3143),
Master_Mapping_Sheet!$H$2:$H$3143=$A24))), 0, sum(filter(
Master_Mapping_Sheet!$E$2:$E$3143, ISNUMBER(
Master_Mapping_Sheet!$E$2:$E$3143),
Master_Mapping_Sheet!$C$2:$C$3143=AW$1,
Master_Mapping_Sheet!$H$2:$H$3143=$A24))/sum(filter(
Mas"&amp;"ter_Mapping_Sheet!$E$2:$E$3143, ISNUMBER(
Master_Mapping_Sheet!$E$2:$E$3143),
Master_Mapping_Sheet!$H$2:$H$3143=$A24)))"),0.5737790758732217)</f>
        <v>0.5737790759</v>
      </c>
      <c r="AX24" s="34">
        <f>IFERROR(__xludf.DUMMYFUNCTION("IF(ISNA(sum(filter(
Master_Mapping_Sheet!$E$2:$E$3143, ISNUMBER(
Master_Mapping_Sheet!$E$2:$E$3143),
Master_Mapping_Sheet!$C$2:$C$3143=AX$1,
Master_Mapping_Sheet!$H$2:$H$3143=$A24))/sum(filter(
Master_Mapping_Sheet!$E$2:$E$3143, ISNUMBER(
Master_Mapping_S"&amp;"heet!$E$2:$E$3143),
Master_Mapping_Sheet!$H$2:$H$3143=$A24))), 0, sum(filter(
Master_Mapping_Sheet!$E$2:$E$3143, ISNUMBER(
Master_Mapping_Sheet!$E$2:$E$3143),
Master_Mapping_Sheet!$C$2:$C$3143=AX$1,
Master_Mapping_Sheet!$H$2:$H$3143=$A24))/sum(filter(
Mas"&amp;"ter_Mapping_Sheet!$E$2:$E$3143, ISNUMBER(
Master_Mapping_Sheet!$E$2:$E$3143),
Master_Mapping_Sheet!$H$2:$H$3143=$A24)))"),0.0)</f>
        <v>0</v>
      </c>
      <c r="AY24" s="34">
        <f>IFERROR(__xludf.DUMMYFUNCTION("IF(ISNA(sum(filter(
Master_Mapping_Sheet!$E$2:$E$3143, ISNUMBER(
Master_Mapping_Sheet!$E$2:$E$3143),
Master_Mapping_Sheet!$C$2:$C$3143=AY$1,
Master_Mapping_Sheet!$H$2:$H$3143=$A24))/sum(filter(
Master_Mapping_Sheet!$E$2:$E$3143, ISNUMBER(
Master_Mapping_S"&amp;"heet!$E$2:$E$3143),
Master_Mapping_Sheet!$H$2:$H$3143=$A24))), 0, sum(filter(
Master_Mapping_Sheet!$E$2:$E$3143, ISNUMBER(
Master_Mapping_Sheet!$E$2:$E$3143),
Master_Mapping_Sheet!$C$2:$C$3143=AY$1,
Master_Mapping_Sheet!$H$2:$H$3143=$A24))/sum(filter(
Mas"&amp;"ter_Mapping_Sheet!$E$2:$E$3143, ISNUMBER(
Master_Mapping_Sheet!$E$2:$E$3143),
Master_Mapping_Sheet!$H$2:$H$3143=$A24)))"),0.0)</f>
        <v>0</v>
      </c>
      <c r="AZ24" s="34">
        <f>IFERROR(__xludf.DUMMYFUNCTION("IF(ISNA(sum(filter(
Master_Mapping_Sheet!$E$2:$E$3143, ISNUMBER(
Master_Mapping_Sheet!$E$2:$E$3143),
Master_Mapping_Sheet!$C$2:$C$3143=AZ$1,
Master_Mapping_Sheet!$H$2:$H$3143=$A24))/sum(filter(
Master_Mapping_Sheet!$E$2:$E$3143, ISNUMBER(
Master_Mapping_S"&amp;"heet!$E$2:$E$3143),
Master_Mapping_Sheet!$H$2:$H$3143=$A24))), 0, sum(filter(
Master_Mapping_Sheet!$E$2:$E$3143, ISNUMBER(
Master_Mapping_Sheet!$E$2:$E$3143),
Master_Mapping_Sheet!$C$2:$C$3143=AZ$1,
Master_Mapping_Sheet!$H$2:$H$3143=$A24))/sum(filter(
Mas"&amp;"ter_Mapping_Sheet!$E$2:$E$3143, ISNUMBER(
Master_Mapping_Sheet!$E$2:$E$3143),
Master_Mapping_Sheet!$H$2:$H$3143=$A24)))"),0.0)</f>
        <v>0</v>
      </c>
    </row>
    <row r="25" ht="15.75" customHeight="1">
      <c r="A25" s="34" t="s">
        <v>3983</v>
      </c>
      <c r="B25" s="34">
        <f>IFERROR(__xludf.DUMMYFUNCTION("IF(ISNA(sum(filter(
Master_Mapping_Sheet!$E$2:$E$3143, ISNUMBER(
Master_Mapping_Sheet!$E$2:$E$3143),
Master_Mapping_Sheet!$C$2:$C$3143=B$1,
Master_Mapping_Sheet!$H$2:$H$3143=$A25))/sum(filter(
Master_Mapping_Sheet!$E$2:$E$3143, ISNUMBER(
Master_Mapping_Sh"&amp;"eet!$E$2:$E$3143),
Master_Mapping_Sheet!$H$2:$H$3143=$A25))), 0, sum(filter(
Master_Mapping_Sheet!$E$2:$E$3143, ISNUMBER(
Master_Mapping_Sheet!$E$2:$E$3143),
Master_Mapping_Sheet!$C$2:$C$3143=B$1,
Master_Mapping_Sheet!$H$2:$H$3143=$A25))/sum(filter(
Maste"&amp;"r_Mapping_Sheet!$E$2:$E$3143, ISNUMBER(
Master_Mapping_Sheet!$E$2:$E$3143),
Master_Mapping_Sheet!$H$2:$H$3143=$A25)))"),0.0)</f>
        <v>0</v>
      </c>
      <c r="C25" s="34">
        <f>IFERROR(__xludf.DUMMYFUNCTION("IF(ISNA(sum(filter(
Master_Mapping_Sheet!$E$2:$E$3143, ISNUMBER(
Master_Mapping_Sheet!$E$2:$E$3143),
Master_Mapping_Sheet!$C$2:$C$3143=C$1,
Master_Mapping_Sheet!$H$2:$H$3143=$A25))/sum(filter(
Master_Mapping_Sheet!$E$2:$E$3143, ISNUMBER(
Master_Mapping_Sh"&amp;"eet!$E$2:$E$3143),
Master_Mapping_Sheet!$H$2:$H$3143=$A25))), 0, sum(filter(
Master_Mapping_Sheet!$E$2:$E$3143, ISNUMBER(
Master_Mapping_Sheet!$E$2:$E$3143),
Master_Mapping_Sheet!$C$2:$C$3143=C$1,
Master_Mapping_Sheet!$H$2:$H$3143=$A25))/sum(filter(
Maste"&amp;"r_Mapping_Sheet!$E$2:$E$3143, ISNUMBER(
Master_Mapping_Sheet!$E$2:$E$3143),
Master_Mapping_Sheet!$H$2:$H$3143=$A25)))"),0.0)</f>
        <v>0</v>
      </c>
      <c r="D25" s="34">
        <f>IFERROR(__xludf.DUMMYFUNCTION("IF(ISNA(sum(filter(
Master_Mapping_Sheet!$E$2:$E$3143, ISNUMBER(
Master_Mapping_Sheet!$E$2:$E$3143),
Master_Mapping_Sheet!$C$2:$C$3143=D$1,
Master_Mapping_Sheet!$H$2:$H$3143=$A25))/sum(filter(
Master_Mapping_Sheet!$E$2:$E$3143, ISNUMBER(
Master_Mapping_Sh"&amp;"eet!$E$2:$E$3143),
Master_Mapping_Sheet!$H$2:$H$3143=$A25))), 0, sum(filter(
Master_Mapping_Sheet!$E$2:$E$3143, ISNUMBER(
Master_Mapping_Sheet!$E$2:$E$3143),
Master_Mapping_Sheet!$C$2:$C$3143=D$1,
Master_Mapping_Sheet!$H$2:$H$3143=$A25))/sum(filter(
Maste"&amp;"r_Mapping_Sheet!$E$2:$E$3143, ISNUMBER(
Master_Mapping_Sheet!$E$2:$E$3143),
Master_Mapping_Sheet!$H$2:$H$3143=$A25)))"),0.0)</f>
        <v>0</v>
      </c>
      <c r="E25" s="34">
        <f>IFERROR(__xludf.DUMMYFUNCTION("IF(ISNA(sum(filter(
Master_Mapping_Sheet!$E$2:$E$3143, ISNUMBER(
Master_Mapping_Sheet!$E$2:$E$3143),
Master_Mapping_Sheet!$C$2:$C$3143=E$1,
Master_Mapping_Sheet!$H$2:$H$3143=$A25))/sum(filter(
Master_Mapping_Sheet!$E$2:$E$3143, ISNUMBER(
Master_Mapping_Sh"&amp;"eet!$E$2:$E$3143),
Master_Mapping_Sheet!$H$2:$H$3143=$A25))), 0, sum(filter(
Master_Mapping_Sheet!$E$2:$E$3143, ISNUMBER(
Master_Mapping_Sheet!$E$2:$E$3143),
Master_Mapping_Sheet!$C$2:$C$3143=E$1,
Master_Mapping_Sheet!$H$2:$H$3143=$A25))/sum(filter(
Maste"&amp;"r_Mapping_Sheet!$E$2:$E$3143, ISNUMBER(
Master_Mapping_Sheet!$E$2:$E$3143),
Master_Mapping_Sheet!$H$2:$H$3143=$A25)))"),0.0)</f>
        <v>0</v>
      </c>
      <c r="F25" s="34">
        <f>IFERROR(__xludf.DUMMYFUNCTION("IF(ISNA(sum(filter(
Master_Mapping_Sheet!$E$2:$E$3143, ISNUMBER(
Master_Mapping_Sheet!$E$2:$E$3143),
Master_Mapping_Sheet!$C$2:$C$3143=F$1,
Master_Mapping_Sheet!$H$2:$H$3143=$A25))/sum(filter(
Master_Mapping_Sheet!$E$2:$E$3143, ISNUMBER(
Master_Mapping_Sh"&amp;"eet!$E$2:$E$3143),
Master_Mapping_Sheet!$H$2:$H$3143=$A25))), 0, sum(filter(
Master_Mapping_Sheet!$E$2:$E$3143, ISNUMBER(
Master_Mapping_Sheet!$E$2:$E$3143),
Master_Mapping_Sheet!$C$2:$C$3143=F$1,
Master_Mapping_Sheet!$H$2:$H$3143=$A25))/sum(filter(
Maste"&amp;"r_Mapping_Sheet!$E$2:$E$3143, ISNUMBER(
Master_Mapping_Sheet!$E$2:$E$3143),
Master_Mapping_Sheet!$H$2:$H$3143=$A25)))"),0.0)</f>
        <v>0</v>
      </c>
      <c r="G25" s="34">
        <f>IFERROR(__xludf.DUMMYFUNCTION("IF(ISNA(sum(filter(
Master_Mapping_Sheet!$E$2:$E$3143, ISNUMBER(
Master_Mapping_Sheet!$E$2:$E$3143),
Master_Mapping_Sheet!$C$2:$C$3143=G$1,
Master_Mapping_Sheet!$H$2:$H$3143=$A25))/sum(filter(
Master_Mapping_Sheet!$E$2:$E$3143, ISNUMBER(
Master_Mapping_Sh"&amp;"eet!$E$2:$E$3143),
Master_Mapping_Sheet!$H$2:$H$3143=$A25))), 0, sum(filter(
Master_Mapping_Sheet!$E$2:$E$3143, ISNUMBER(
Master_Mapping_Sheet!$E$2:$E$3143),
Master_Mapping_Sheet!$C$2:$C$3143=G$1,
Master_Mapping_Sheet!$H$2:$H$3143=$A25))/sum(filter(
Maste"&amp;"r_Mapping_Sheet!$E$2:$E$3143, ISNUMBER(
Master_Mapping_Sheet!$E$2:$E$3143),
Master_Mapping_Sheet!$H$2:$H$3143=$A25)))"),0.9246948288854941)</f>
        <v>0.9246948289</v>
      </c>
      <c r="H25" s="34">
        <f>IFERROR(__xludf.DUMMYFUNCTION("IF(ISNA(sum(filter(
Master_Mapping_Sheet!$E$2:$E$3143, ISNUMBER(
Master_Mapping_Sheet!$E$2:$E$3143),
Master_Mapping_Sheet!$C$2:$C$3143=H$1,
Master_Mapping_Sheet!$H$2:$H$3143=$A25))/sum(filter(
Master_Mapping_Sheet!$E$2:$E$3143, ISNUMBER(
Master_Mapping_Sh"&amp;"eet!$E$2:$E$3143),
Master_Mapping_Sheet!$H$2:$H$3143=$A25))), 0, sum(filter(
Master_Mapping_Sheet!$E$2:$E$3143, ISNUMBER(
Master_Mapping_Sheet!$E$2:$E$3143),
Master_Mapping_Sheet!$C$2:$C$3143=H$1,
Master_Mapping_Sheet!$H$2:$H$3143=$A25))/sum(filter(
Maste"&amp;"r_Mapping_Sheet!$E$2:$E$3143, ISNUMBER(
Master_Mapping_Sheet!$E$2:$E$3143),
Master_Mapping_Sheet!$H$2:$H$3143=$A25)))"),0.0)</f>
        <v>0</v>
      </c>
      <c r="I25" s="34">
        <f>IFERROR(__xludf.DUMMYFUNCTION("IF(ISNA(sum(filter(
Master_Mapping_Sheet!$E$2:$E$3143, ISNUMBER(
Master_Mapping_Sheet!$E$2:$E$3143),
Master_Mapping_Sheet!$C$2:$C$3143=I$1,
Master_Mapping_Sheet!$H$2:$H$3143=$A25))/sum(filter(
Master_Mapping_Sheet!$E$2:$E$3143, ISNUMBER(
Master_Mapping_Sh"&amp;"eet!$E$2:$E$3143),
Master_Mapping_Sheet!$H$2:$H$3143=$A25))), 0, sum(filter(
Master_Mapping_Sheet!$E$2:$E$3143, ISNUMBER(
Master_Mapping_Sheet!$E$2:$E$3143),
Master_Mapping_Sheet!$C$2:$C$3143=I$1,
Master_Mapping_Sheet!$H$2:$H$3143=$A25))/sum(filter(
Maste"&amp;"r_Mapping_Sheet!$E$2:$E$3143, ISNUMBER(
Master_Mapping_Sheet!$E$2:$E$3143),
Master_Mapping_Sheet!$H$2:$H$3143=$A25)))"),0.0)</f>
        <v>0</v>
      </c>
      <c r="J25" s="34">
        <f>IFERROR(__xludf.DUMMYFUNCTION("IF(ISNA(sum(filter(
Master_Mapping_Sheet!$E$2:$E$3143, ISNUMBER(
Master_Mapping_Sheet!$E$2:$E$3143),
Master_Mapping_Sheet!$C$2:$C$3143=J$1,
Master_Mapping_Sheet!$H$2:$H$3143=$A25))/sum(filter(
Master_Mapping_Sheet!$E$2:$E$3143, ISNUMBER(
Master_Mapping_Sh"&amp;"eet!$E$2:$E$3143),
Master_Mapping_Sheet!$H$2:$H$3143=$A25))), 0, sum(filter(
Master_Mapping_Sheet!$E$2:$E$3143, ISNUMBER(
Master_Mapping_Sheet!$E$2:$E$3143),
Master_Mapping_Sheet!$C$2:$C$3143=J$1,
Master_Mapping_Sheet!$H$2:$H$3143=$A25))/sum(filter(
Maste"&amp;"r_Mapping_Sheet!$E$2:$E$3143, ISNUMBER(
Master_Mapping_Sheet!$E$2:$E$3143),
Master_Mapping_Sheet!$H$2:$H$3143=$A25)))"),0.0)</f>
        <v>0</v>
      </c>
      <c r="K25" s="34">
        <f>IFERROR(__xludf.DUMMYFUNCTION("IF(ISNA(sum(filter(
Master_Mapping_Sheet!$E$2:$E$3143, ISNUMBER(
Master_Mapping_Sheet!$E$2:$E$3143),
Master_Mapping_Sheet!$C$2:$C$3143=K$1,
Master_Mapping_Sheet!$H$2:$H$3143=$A25))/sum(filter(
Master_Mapping_Sheet!$E$2:$E$3143, ISNUMBER(
Master_Mapping_Sh"&amp;"eet!$E$2:$E$3143),
Master_Mapping_Sheet!$H$2:$H$3143=$A25))), 0, sum(filter(
Master_Mapping_Sheet!$E$2:$E$3143, ISNUMBER(
Master_Mapping_Sheet!$E$2:$E$3143),
Master_Mapping_Sheet!$C$2:$C$3143=K$1,
Master_Mapping_Sheet!$H$2:$H$3143=$A25))/sum(filter(
Maste"&amp;"r_Mapping_Sheet!$E$2:$E$3143, ISNUMBER(
Master_Mapping_Sheet!$E$2:$E$3143),
Master_Mapping_Sheet!$H$2:$H$3143=$A25)))"),0.0)</f>
        <v>0</v>
      </c>
      <c r="L25" s="34">
        <f>IFERROR(__xludf.DUMMYFUNCTION("IF(ISNA(sum(filter(
Master_Mapping_Sheet!$E$2:$E$3143, ISNUMBER(
Master_Mapping_Sheet!$E$2:$E$3143),
Master_Mapping_Sheet!$C$2:$C$3143=L$1,
Master_Mapping_Sheet!$H$2:$H$3143=$A25))/sum(filter(
Master_Mapping_Sheet!$E$2:$E$3143, ISNUMBER(
Master_Mapping_Sh"&amp;"eet!$E$2:$E$3143),
Master_Mapping_Sheet!$H$2:$H$3143=$A25))), 0, sum(filter(
Master_Mapping_Sheet!$E$2:$E$3143, ISNUMBER(
Master_Mapping_Sheet!$E$2:$E$3143),
Master_Mapping_Sheet!$C$2:$C$3143=L$1,
Master_Mapping_Sheet!$H$2:$H$3143=$A25))/sum(filter(
Maste"&amp;"r_Mapping_Sheet!$E$2:$E$3143, ISNUMBER(
Master_Mapping_Sheet!$E$2:$E$3143),
Master_Mapping_Sheet!$H$2:$H$3143=$A25)))"),0.0)</f>
        <v>0</v>
      </c>
      <c r="M25" s="34">
        <f>IFERROR(__xludf.DUMMYFUNCTION("IF(ISNA(sum(filter(
Master_Mapping_Sheet!$E$2:$E$3143, ISNUMBER(
Master_Mapping_Sheet!$E$2:$E$3143),
Master_Mapping_Sheet!$C$2:$C$3143=M$1,
Master_Mapping_Sheet!$H$2:$H$3143=$A25))/sum(filter(
Master_Mapping_Sheet!$E$2:$E$3143, ISNUMBER(
Master_Mapping_Sh"&amp;"eet!$E$2:$E$3143),
Master_Mapping_Sheet!$H$2:$H$3143=$A25))), 0, sum(filter(
Master_Mapping_Sheet!$E$2:$E$3143, ISNUMBER(
Master_Mapping_Sheet!$E$2:$E$3143),
Master_Mapping_Sheet!$C$2:$C$3143=M$1,
Master_Mapping_Sheet!$H$2:$H$3143=$A25))/sum(filter(
Maste"&amp;"r_Mapping_Sheet!$E$2:$E$3143, ISNUMBER(
Master_Mapping_Sheet!$E$2:$E$3143),
Master_Mapping_Sheet!$H$2:$H$3143=$A25)))"),0.0)</f>
        <v>0</v>
      </c>
      <c r="N25" s="34">
        <f>IFERROR(__xludf.DUMMYFUNCTION("IF(ISNA(sum(filter(
Master_Mapping_Sheet!$E$2:$E$3143, ISNUMBER(
Master_Mapping_Sheet!$E$2:$E$3143),
Master_Mapping_Sheet!$C$2:$C$3143=N$1,
Master_Mapping_Sheet!$H$2:$H$3143=$A25))/sum(filter(
Master_Mapping_Sheet!$E$2:$E$3143, ISNUMBER(
Master_Mapping_Sh"&amp;"eet!$E$2:$E$3143),
Master_Mapping_Sheet!$H$2:$H$3143=$A25))), 0, sum(filter(
Master_Mapping_Sheet!$E$2:$E$3143, ISNUMBER(
Master_Mapping_Sheet!$E$2:$E$3143),
Master_Mapping_Sheet!$C$2:$C$3143=N$1,
Master_Mapping_Sheet!$H$2:$H$3143=$A25))/sum(filter(
Maste"&amp;"r_Mapping_Sheet!$E$2:$E$3143, ISNUMBER(
Master_Mapping_Sheet!$E$2:$E$3143),
Master_Mapping_Sheet!$H$2:$H$3143=$A25)))"),0.0)</f>
        <v>0</v>
      </c>
      <c r="O25" s="34">
        <f>IFERROR(__xludf.DUMMYFUNCTION("IF(ISNA(sum(filter(
Master_Mapping_Sheet!$E$2:$E$3143, ISNUMBER(
Master_Mapping_Sheet!$E$2:$E$3143),
Master_Mapping_Sheet!$C$2:$C$3143=O$1,
Master_Mapping_Sheet!$H$2:$H$3143=$A25))/sum(filter(
Master_Mapping_Sheet!$E$2:$E$3143, ISNUMBER(
Master_Mapping_Sh"&amp;"eet!$E$2:$E$3143),
Master_Mapping_Sheet!$H$2:$H$3143=$A25))), 0, sum(filter(
Master_Mapping_Sheet!$E$2:$E$3143, ISNUMBER(
Master_Mapping_Sheet!$E$2:$E$3143),
Master_Mapping_Sheet!$C$2:$C$3143=O$1,
Master_Mapping_Sheet!$H$2:$H$3143=$A25))/sum(filter(
Maste"&amp;"r_Mapping_Sheet!$E$2:$E$3143, ISNUMBER(
Master_Mapping_Sheet!$E$2:$E$3143),
Master_Mapping_Sheet!$H$2:$H$3143=$A25)))"),0.0)</f>
        <v>0</v>
      </c>
      <c r="P25" s="34">
        <f>IFERROR(__xludf.DUMMYFUNCTION("IF(ISNA(sum(filter(
Master_Mapping_Sheet!$E$2:$E$3143, ISNUMBER(
Master_Mapping_Sheet!$E$2:$E$3143),
Master_Mapping_Sheet!$C$2:$C$3143=P$1,
Master_Mapping_Sheet!$H$2:$H$3143=$A25))/sum(filter(
Master_Mapping_Sheet!$E$2:$E$3143, ISNUMBER(
Master_Mapping_Sh"&amp;"eet!$E$2:$E$3143),
Master_Mapping_Sheet!$H$2:$H$3143=$A25))), 0, sum(filter(
Master_Mapping_Sheet!$E$2:$E$3143, ISNUMBER(
Master_Mapping_Sheet!$E$2:$E$3143),
Master_Mapping_Sheet!$C$2:$C$3143=P$1,
Master_Mapping_Sheet!$H$2:$H$3143=$A25))/sum(filter(
Maste"&amp;"r_Mapping_Sheet!$E$2:$E$3143, ISNUMBER(
Master_Mapping_Sheet!$E$2:$E$3143),
Master_Mapping_Sheet!$H$2:$H$3143=$A25)))"),0.0)</f>
        <v>0</v>
      </c>
      <c r="Q25" s="34">
        <f>IFERROR(__xludf.DUMMYFUNCTION("IF(ISNA(sum(filter(
Master_Mapping_Sheet!$E$2:$E$3143, ISNUMBER(
Master_Mapping_Sheet!$E$2:$E$3143),
Master_Mapping_Sheet!$C$2:$C$3143=Q$1,
Master_Mapping_Sheet!$H$2:$H$3143=$A25))/sum(filter(
Master_Mapping_Sheet!$E$2:$E$3143, ISNUMBER(
Master_Mapping_Sh"&amp;"eet!$E$2:$E$3143),
Master_Mapping_Sheet!$H$2:$H$3143=$A25))), 0, sum(filter(
Master_Mapping_Sheet!$E$2:$E$3143, ISNUMBER(
Master_Mapping_Sheet!$E$2:$E$3143),
Master_Mapping_Sheet!$C$2:$C$3143=Q$1,
Master_Mapping_Sheet!$H$2:$H$3143=$A25))/sum(filter(
Maste"&amp;"r_Mapping_Sheet!$E$2:$E$3143, ISNUMBER(
Master_Mapping_Sheet!$E$2:$E$3143),
Master_Mapping_Sheet!$H$2:$H$3143=$A25)))"),0.0)</f>
        <v>0</v>
      </c>
      <c r="R25" s="34">
        <f>IFERROR(__xludf.DUMMYFUNCTION("IF(ISNA(sum(filter(
Master_Mapping_Sheet!$E$2:$E$3143, ISNUMBER(
Master_Mapping_Sheet!$E$2:$E$3143),
Master_Mapping_Sheet!$C$2:$C$3143=R$1,
Master_Mapping_Sheet!$H$2:$H$3143=$A25))/sum(filter(
Master_Mapping_Sheet!$E$2:$E$3143, ISNUMBER(
Master_Mapping_Sh"&amp;"eet!$E$2:$E$3143),
Master_Mapping_Sheet!$H$2:$H$3143=$A25))), 0, sum(filter(
Master_Mapping_Sheet!$E$2:$E$3143, ISNUMBER(
Master_Mapping_Sheet!$E$2:$E$3143),
Master_Mapping_Sheet!$C$2:$C$3143=R$1,
Master_Mapping_Sheet!$H$2:$H$3143=$A25))/sum(filter(
Maste"&amp;"r_Mapping_Sheet!$E$2:$E$3143, ISNUMBER(
Master_Mapping_Sheet!$E$2:$E$3143),
Master_Mapping_Sheet!$H$2:$H$3143=$A25)))"),0.0)</f>
        <v>0</v>
      </c>
      <c r="S25" s="34">
        <f>IFERROR(__xludf.DUMMYFUNCTION("IF(ISNA(sum(filter(
Master_Mapping_Sheet!$E$2:$E$3143, ISNUMBER(
Master_Mapping_Sheet!$E$2:$E$3143),
Master_Mapping_Sheet!$C$2:$C$3143=S$1,
Master_Mapping_Sheet!$H$2:$H$3143=$A25))/sum(filter(
Master_Mapping_Sheet!$E$2:$E$3143, ISNUMBER(
Master_Mapping_Sh"&amp;"eet!$E$2:$E$3143),
Master_Mapping_Sheet!$H$2:$H$3143=$A25))), 0, sum(filter(
Master_Mapping_Sheet!$E$2:$E$3143, ISNUMBER(
Master_Mapping_Sheet!$E$2:$E$3143),
Master_Mapping_Sheet!$C$2:$C$3143=S$1,
Master_Mapping_Sheet!$H$2:$H$3143=$A25))/sum(filter(
Maste"&amp;"r_Mapping_Sheet!$E$2:$E$3143, ISNUMBER(
Master_Mapping_Sheet!$E$2:$E$3143),
Master_Mapping_Sheet!$H$2:$H$3143=$A25)))"),0.0)</f>
        <v>0</v>
      </c>
      <c r="T25" s="34">
        <f>IFERROR(__xludf.DUMMYFUNCTION("IF(ISNA(sum(filter(
Master_Mapping_Sheet!$E$2:$E$3143, ISNUMBER(
Master_Mapping_Sheet!$E$2:$E$3143),
Master_Mapping_Sheet!$C$2:$C$3143=T$1,
Master_Mapping_Sheet!$H$2:$H$3143=$A25))/sum(filter(
Master_Mapping_Sheet!$E$2:$E$3143, ISNUMBER(
Master_Mapping_Sh"&amp;"eet!$E$2:$E$3143),
Master_Mapping_Sheet!$H$2:$H$3143=$A25))), 0, sum(filter(
Master_Mapping_Sheet!$E$2:$E$3143, ISNUMBER(
Master_Mapping_Sheet!$E$2:$E$3143),
Master_Mapping_Sheet!$C$2:$C$3143=T$1,
Master_Mapping_Sheet!$H$2:$H$3143=$A25))/sum(filter(
Maste"&amp;"r_Mapping_Sheet!$E$2:$E$3143, ISNUMBER(
Master_Mapping_Sheet!$E$2:$E$3143),
Master_Mapping_Sheet!$H$2:$H$3143=$A25)))"),0.0)</f>
        <v>0</v>
      </c>
      <c r="U25" s="34">
        <f>IFERROR(__xludf.DUMMYFUNCTION("IF(ISNA(sum(filter(
Master_Mapping_Sheet!$E$2:$E$3143, ISNUMBER(
Master_Mapping_Sheet!$E$2:$E$3143),
Master_Mapping_Sheet!$C$2:$C$3143=U$1,
Master_Mapping_Sheet!$H$2:$H$3143=$A25))/sum(filter(
Master_Mapping_Sheet!$E$2:$E$3143, ISNUMBER(
Master_Mapping_Sh"&amp;"eet!$E$2:$E$3143),
Master_Mapping_Sheet!$H$2:$H$3143=$A25))), 0, sum(filter(
Master_Mapping_Sheet!$E$2:$E$3143, ISNUMBER(
Master_Mapping_Sheet!$E$2:$E$3143),
Master_Mapping_Sheet!$C$2:$C$3143=U$1,
Master_Mapping_Sheet!$H$2:$H$3143=$A25))/sum(filter(
Maste"&amp;"r_Mapping_Sheet!$E$2:$E$3143, ISNUMBER(
Master_Mapping_Sheet!$E$2:$E$3143),
Master_Mapping_Sheet!$H$2:$H$3143=$A25)))"),0.0)</f>
        <v>0</v>
      </c>
      <c r="V25" s="34">
        <f>IFERROR(__xludf.DUMMYFUNCTION("IF(ISNA(sum(filter(
Master_Mapping_Sheet!$E$2:$E$3143, ISNUMBER(
Master_Mapping_Sheet!$E$2:$E$3143),
Master_Mapping_Sheet!$C$2:$C$3143=V$1,
Master_Mapping_Sheet!$H$2:$H$3143=$A25))/sum(filter(
Master_Mapping_Sheet!$E$2:$E$3143, ISNUMBER(
Master_Mapping_Sh"&amp;"eet!$E$2:$E$3143),
Master_Mapping_Sheet!$H$2:$H$3143=$A25))), 0, sum(filter(
Master_Mapping_Sheet!$E$2:$E$3143, ISNUMBER(
Master_Mapping_Sheet!$E$2:$E$3143),
Master_Mapping_Sheet!$C$2:$C$3143=V$1,
Master_Mapping_Sheet!$H$2:$H$3143=$A25))/sum(filter(
Maste"&amp;"r_Mapping_Sheet!$E$2:$E$3143, ISNUMBER(
Master_Mapping_Sheet!$E$2:$E$3143),
Master_Mapping_Sheet!$H$2:$H$3143=$A25)))"),0.0)</f>
        <v>0</v>
      </c>
      <c r="W25" s="34">
        <f>IFERROR(__xludf.DUMMYFUNCTION("IF(ISNA(sum(filter(
Master_Mapping_Sheet!$E$2:$E$3143, ISNUMBER(
Master_Mapping_Sheet!$E$2:$E$3143),
Master_Mapping_Sheet!$C$2:$C$3143=W$1,
Master_Mapping_Sheet!$H$2:$H$3143=$A25))/sum(filter(
Master_Mapping_Sheet!$E$2:$E$3143, ISNUMBER(
Master_Mapping_Sh"&amp;"eet!$E$2:$E$3143),
Master_Mapping_Sheet!$H$2:$H$3143=$A25))), 0, sum(filter(
Master_Mapping_Sheet!$E$2:$E$3143, ISNUMBER(
Master_Mapping_Sheet!$E$2:$E$3143),
Master_Mapping_Sheet!$C$2:$C$3143=W$1,
Master_Mapping_Sheet!$H$2:$H$3143=$A25))/sum(filter(
Maste"&amp;"r_Mapping_Sheet!$E$2:$E$3143, ISNUMBER(
Master_Mapping_Sheet!$E$2:$E$3143),
Master_Mapping_Sheet!$H$2:$H$3143=$A25)))"),0.0)</f>
        <v>0</v>
      </c>
      <c r="X25" s="34">
        <f>IFERROR(__xludf.DUMMYFUNCTION("IF(ISNA(sum(filter(
Master_Mapping_Sheet!$E$2:$E$3143, ISNUMBER(
Master_Mapping_Sheet!$E$2:$E$3143),
Master_Mapping_Sheet!$C$2:$C$3143=X$1,
Master_Mapping_Sheet!$H$2:$H$3143=$A25))/sum(filter(
Master_Mapping_Sheet!$E$2:$E$3143, ISNUMBER(
Master_Mapping_Sh"&amp;"eet!$E$2:$E$3143),
Master_Mapping_Sheet!$H$2:$H$3143=$A25))), 0, sum(filter(
Master_Mapping_Sheet!$E$2:$E$3143, ISNUMBER(
Master_Mapping_Sheet!$E$2:$E$3143),
Master_Mapping_Sheet!$C$2:$C$3143=X$1,
Master_Mapping_Sheet!$H$2:$H$3143=$A25))/sum(filter(
Maste"&amp;"r_Mapping_Sheet!$E$2:$E$3143, ISNUMBER(
Master_Mapping_Sheet!$E$2:$E$3143),
Master_Mapping_Sheet!$H$2:$H$3143=$A25)))"),0.0)</f>
        <v>0</v>
      </c>
      <c r="Y25" s="34">
        <f>IFERROR(__xludf.DUMMYFUNCTION("IF(ISNA(sum(filter(
Master_Mapping_Sheet!$E$2:$E$3143, ISNUMBER(
Master_Mapping_Sheet!$E$2:$E$3143),
Master_Mapping_Sheet!$C$2:$C$3143=Y$1,
Master_Mapping_Sheet!$H$2:$H$3143=$A25))/sum(filter(
Master_Mapping_Sheet!$E$2:$E$3143, ISNUMBER(
Master_Mapping_Sh"&amp;"eet!$E$2:$E$3143),
Master_Mapping_Sheet!$H$2:$H$3143=$A25))), 0, sum(filter(
Master_Mapping_Sheet!$E$2:$E$3143, ISNUMBER(
Master_Mapping_Sheet!$E$2:$E$3143),
Master_Mapping_Sheet!$C$2:$C$3143=Y$1,
Master_Mapping_Sheet!$H$2:$H$3143=$A25))/sum(filter(
Maste"&amp;"r_Mapping_Sheet!$E$2:$E$3143, ISNUMBER(
Master_Mapping_Sheet!$E$2:$E$3143),
Master_Mapping_Sheet!$H$2:$H$3143=$A25)))"),0.0)</f>
        <v>0</v>
      </c>
      <c r="Z25" s="34">
        <f>IFERROR(__xludf.DUMMYFUNCTION("IF(ISNA(sum(filter(
Master_Mapping_Sheet!$E$2:$E$3143, ISNUMBER(
Master_Mapping_Sheet!$E$2:$E$3143),
Master_Mapping_Sheet!$C$2:$C$3143=Z$1,
Master_Mapping_Sheet!$H$2:$H$3143=$A25))/sum(filter(
Master_Mapping_Sheet!$E$2:$E$3143, ISNUMBER(
Master_Mapping_Sh"&amp;"eet!$E$2:$E$3143),
Master_Mapping_Sheet!$H$2:$H$3143=$A25))), 0, sum(filter(
Master_Mapping_Sheet!$E$2:$E$3143, ISNUMBER(
Master_Mapping_Sheet!$E$2:$E$3143),
Master_Mapping_Sheet!$C$2:$C$3143=Z$1,
Master_Mapping_Sheet!$H$2:$H$3143=$A25))/sum(filter(
Maste"&amp;"r_Mapping_Sheet!$E$2:$E$3143, ISNUMBER(
Master_Mapping_Sheet!$E$2:$E$3143),
Master_Mapping_Sheet!$H$2:$H$3143=$A25)))"),0.0)</f>
        <v>0</v>
      </c>
      <c r="AA25" s="34">
        <f>IFERROR(__xludf.DUMMYFUNCTION("IF(ISNA(sum(filter(
Master_Mapping_Sheet!$E$2:$E$3143, ISNUMBER(
Master_Mapping_Sheet!$E$2:$E$3143),
Master_Mapping_Sheet!$C$2:$C$3143=AA$1,
Master_Mapping_Sheet!$H$2:$H$3143=$A25))/sum(filter(
Master_Mapping_Sheet!$E$2:$E$3143, ISNUMBER(
Master_Mapping_S"&amp;"heet!$E$2:$E$3143),
Master_Mapping_Sheet!$H$2:$H$3143=$A25))), 0, sum(filter(
Master_Mapping_Sheet!$E$2:$E$3143, ISNUMBER(
Master_Mapping_Sheet!$E$2:$E$3143),
Master_Mapping_Sheet!$C$2:$C$3143=AA$1,
Master_Mapping_Sheet!$H$2:$H$3143=$A25))/sum(filter(
Mas"&amp;"ter_Mapping_Sheet!$E$2:$E$3143, ISNUMBER(
Master_Mapping_Sheet!$E$2:$E$3143),
Master_Mapping_Sheet!$H$2:$H$3143=$A25)))"),0.0)</f>
        <v>0</v>
      </c>
      <c r="AB25" s="34">
        <f>IFERROR(__xludf.DUMMYFUNCTION("IF(ISNA(sum(filter(
Master_Mapping_Sheet!$E$2:$E$3143, ISNUMBER(
Master_Mapping_Sheet!$E$2:$E$3143),
Master_Mapping_Sheet!$C$2:$C$3143=AB$1,
Master_Mapping_Sheet!$H$2:$H$3143=$A25))/sum(filter(
Master_Mapping_Sheet!$E$2:$E$3143, ISNUMBER(
Master_Mapping_S"&amp;"heet!$E$2:$E$3143),
Master_Mapping_Sheet!$H$2:$H$3143=$A25))), 0, sum(filter(
Master_Mapping_Sheet!$E$2:$E$3143, ISNUMBER(
Master_Mapping_Sheet!$E$2:$E$3143),
Master_Mapping_Sheet!$C$2:$C$3143=AB$1,
Master_Mapping_Sheet!$H$2:$H$3143=$A25))/sum(filter(
Mas"&amp;"ter_Mapping_Sheet!$E$2:$E$3143, ISNUMBER(
Master_Mapping_Sheet!$E$2:$E$3143),
Master_Mapping_Sheet!$H$2:$H$3143=$A25)))"),0.0)</f>
        <v>0</v>
      </c>
      <c r="AC25" s="34">
        <f>IFERROR(__xludf.DUMMYFUNCTION("IF(ISNA(sum(filter(
Master_Mapping_Sheet!$E$2:$E$3143, ISNUMBER(
Master_Mapping_Sheet!$E$2:$E$3143),
Master_Mapping_Sheet!$C$2:$C$3143=AC$1,
Master_Mapping_Sheet!$H$2:$H$3143=$A25))/sum(filter(
Master_Mapping_Sheet!$E$2:$E$3143, ISNUMBER(
Master_Mapping_S"&amp;"heet!$E$2:$E$3143),
Master_Mapping_Sheet!$H$2:$H$3143=$A25))), 0, sum(filter(
Master_Mapping_Sheet!$E$2:$E$3143, ISNUMBER(
Master_Mapping_Sheet!$E$2:$E$3143),
Master_Mapping_Sheet!$C$2:$C$3143=AC$1,
Master_Mapping_Sheet!$H$2:$H$3143=$A25))/sum(filter(
Mas"&amp;"ter_Mapping_Sheet!$E$2:$E$3143, ISNUMBER(
Master_Mapping_Sheet!$E$2:$E$3143),
Master_Mapping_Sheet!$H$2:$H$3143=$A25)))"),0.0035855934376607663)</f>
        <v>0.003585593438</v>
      </c>
      <c r="AD25" s="34">
        <f>IFERROR(__xludf.DUMMYFUNCTION("IF(ISNA(sum(filter(
Master_Mapping_Sheet!$E$2:$E$3143, ISNUMBER(
Master_Mapping_Sheet!$E$2:$E$3143),
Master_Mapping_Sheet!$C$2:$C$3143=AD$1,
Master_Mapping_Sheet!$H$2:$H$3143=$A25))/sum(filter(
Master_Mapping_Sheet!$E$2:$E$3143, ISNUMBER(
Master_Mapping_S"&amp;"heet!$E$2:$E$3143),
Master_Mapping_Sheet!$H$2:$H$3143=$A25))), 0, sum(filter(
Master_Mapping_Sheet!$E$2:$E$3143, ISNUMBER(
Master_Mapping_Sheet!$E$2:$E$3143),
Master_Mapping_Sheet!$C$2:$C$3143=AD$1,
Master_Mapping_Sheet!$H$2:$H$3143=$A25))/sum(filter(
Mas"&amp;"ter_Mapping_Sheet!$E$2:$E$3143, ISNUMBER(
Master_Mapping_Sheet!$E$2:$E$3143),
Master_Mapping_Sheet!$H$2:$H$3143=$A25)))"),0.0)</f>
        <v>0</v>
      </c>
      <c r="AE25" s="34">
        <f>IFERROR(__xludf.DUMMYFUNCTION("IF(ISNA(sum(filter(
Master_Mapping_Sheet!$E$2:$E$3143, ISNUMBER(
Master_Mapping_Sheet!$E$2:$E$3143),
Master_Mapping_Sheet!$C$2:$C$3143=AE$1,
Master_Mapping_Sheet!$H$2:$H$3143=$A25))/sum(filter(
Master_Mapping_Sheet!$E$2:$E$3143, ISNUMBER(
Master_Mapping_S"&amp;"heet!$E$2:$E$3143),
Master_Mapping_Sheet!$H$2:$H$3143=$A25))), 0, sum(filter(
Master_Mapping_Sheet!$E$2:$E$3143, ISNUMBER(
Master_Mapping_Sheet!$E$2:$E$3143),
Master_Mapping_Sheet!$C$2:$C$3143=AE$1,
Master_Mapping_Sheet!$H$2:$H$3143=$A25))/sum(filter(
Mas"&amp;"ter_Mapping_Sheet!$E$2:$E$3143, ISNUMBER(
Master_Mapping_Sheet!$E$2:$E$3143),
Master_Mapping_Sheet!$H$2:$H$3143=$A25)))"),0.0)</f>
        <v>0</v>
      </c>
      <c r="AF25" s="34">
        <f>IFERROR(__xludf.DUMMYFUNCTION("IF(ISNA(sum(filter(
Master_Mapping_Sheet!$E$2:$E$3143, ISNUMBER(
Master_Mapping_Sheet!$E$2:$E$3143),
Master_Mapping_Sheet!$C$2:$C$3143=AF$1,
Master_Mapping_Sheet!$H$2:$H$3143=$A25))/sum(filter(
Master_Mapping_Sheet!$E$2:$E$3143, ISNUMBER(
Master_Mapping_S"&amp;"heet!$E$2:$E$3143),
Master_Mapping_Sheet!$H$2:$H$3143=$A25))), 0, sum(filter(
Master_Mapping_Sheet!$E$2:$E$3143, ISNUMBER(
Master_Mapping_Sheet!$E$2:$E$3143),
Master_Mapping_Sheet!$C$2:$C$3143=AF$1,
Master_Mapping_Sheet!$H$2:$H$3143=$A25))/sum(filter(
Mas"&amp;"ter_Mapping_Sheet!$E$2:$E$3143, ISNUMBER(
Master_Mapping_Sheet!$E$2:$E$3143),
Master_Mapping_Sheet!$H$2:$H$3143=$A25)))"),0.0)</f>
        <v>0</v>
      </c>
      <c r="AG25" s="34">
        <f>IFERROR(__xludf.DUMMYFUNCTION("IF(ISNA(sum(filter(
Master_Mapping_Sheet!$E$2:$E$3143, ISNUMBER(
Master_Mapping_Sheet!$E$2:$E$3143),
Master_Mapping_Sheet!$C$2:$C$3143=AG$1,
Master_Mapping_Sheet!$H$2:$H$3143=$A25))/sum(filter(
Master_Mapping_Sheet!$E$2:$E$3143, ISNUMBER(
Master_Mapping_S"&amp;"heet!$E$2:$E$3143),
Master_Mapping_Sheet!$H$2:$H$3143=$A25))), 0, sum(filter(
Master_Mapping_Sheet!$E$2:$E$3143, ISNUMBER(
Master_Mapping_Sheet!$E$2:$E$3143),
Master_Mapping_Sheet!$C$2:$C$3143=AG$1,
Master_Mapping_Sheet!$H$2:$H$3143=$A25))/sum(filter(
Mas"&amp;"ter_Mapping_Sheet!$E$2:$E$3143, ISNUMBER(
Master_Mapping_Sheet!$E$2:$E$3143),
Master_Mapping_Sheet!$H$2:$H$3143=$A25)))"),0.0189851910003823)</f>
        <v>0.018985191</v>
      </c>
      <c r="AH25" s="34">
        <f>IFERROR(__xludf.DUMMYFUNCTION("IF(ISNA(sum(filter(
Master_Mapping_Sheet!$E$2:$E$3143, ISNUMBER(
Master_Mapping_Sheet!$E$2:$E$3143),
Master_Mapping_Sheet!$C$2:$C$3143=AH$1,
Master_Mapping_Sheet!$H$2:$H$3143=$A25))/sum(filter(
Master_Mapping_Sheet!$E$2:$E$3143, ISNUMBER(
Master_Mapping_S"&amp;"heet!$E$2:$E$3143),
Master_Mapping_Sheet!$H$2:$H$3143=$A25))), 0, sum(filter(
Master_Mapping_Sheet!$E$2:$E$3143, ISNUMBER(
Master_Mapping_Sheet!$E$2:$E$3143),
Master_Mapping_Sheet!$C$2:$C$3143=AH$1,
Master_Mapping_Sheet!$H$2:$H$3143=$A25))/sum(filter(
Mas"&amp;"ter_Mapping_Sheet!$E$2:$E$3143, ISNUMBER(
Master_Mapping_Sheet!$E$2:$E$3143),
Master_Mapping_Sheet!$H$2:$H$3143=$A25)))"),0.0)</f>
        <v>0</v>
      </c>
      <c r="AI25" s="34">
        <f>IFERROR(__xludf.DUMMYFUNCTION("IF(ISNA(sum(filter(
Master_Mapping_Sheet!$E$2:$E$3143, ISNUMBER(
Master_Mapping_Sheet!$E$2:$E$3143),
Master_Mapping_Sheet!$C$2:$C$3143=AI$1,
Master_Mapping_Sheet!$H$2:$H$3143=$A25))/sum(filter(
Master_Mapping_Sheet!$E$2:$E$3143, ISNUMBER(
Master_Mapping_S"&amp;"heet!$E$2:$E$3143),
Master_Mapping_Sheet!$H$2:$H$3143=$A25))), 0, sum(filter(
Master_Mapping_Sheet!$E$2:$E$3143, ISNUMBER(
Master_Mapping_Sheet!$E$2:$E$3143),
Master_Mapping_Sheet!$C$2:$C$3143=AI$1,
Master_Mapping_Sheet!$H$2:$H$3143=$A25))/sum(filter(
Mas"&amp;"ter_Mapping_Sheet!$E$2:$E$3143, ISNUMBER(
Master_Mapping_Sheet!$E$2:$E$3143),
Master_Mapping_Sheet!$H$2:$H$3143=$A25)))"),0.0)</f>
        <v>0</v>
      </c>
      <c r="AJ25" s="34">
        <f>IFERROR(__xludf.DUMMYFUNCTION("IF(ISNA(sum(filter(
Master_Mapping_Sheet!$E$2:$E$3143, ISNUMBER(
Master_Mapping_Sheet!$E$2:$E$3143),
Master_Mapping_Sheet!$C$2:$C$3143=AJ$1,
Master_Mapping_Sheet!$H$2:$H$3143=$A25))/sum(filter(
Master_Mapping_Sheet!$E$2:$E$3143, ISNUMBER(
Master_Mapping_S"&amp;"heet!$E$2:$E$3143),
Master_Mapping_Sheet!$H$2:$H$3143=$A25))), 0, sum(filter(
Master_Mapping_Sheet!$E$2:$E$3143, ISNUMBER(
Master_Mapping_Sheet!$E$2:$E$3143),
Master_Mapping_Sheet!$C$2:$C$3143=AJ$1,
Master_Mapping_Sheet!$H$2:$H$3143=$A25))/sum(filter(
Mas"&amp;"ter_Mapping_Sheet!$E$2:$E$3143, ISNUMBER(
Master_Mapping_Sheet!$E$2:$E$3143),
Master_Mapping_Sheet!$H$2:$H$3143=$A25)))"),0.0)</f>
        <v>0</v>
      </c>
      <c r="AK25" s="34">
        <f>IFERROR(__xludf.DUMMYFUNCTION("IF(ISNA(sum(filter(
Master_Mapping_Sheet!$E$2:$E$3143, ISNUMBER(
Master_Mapping_Sheet!$E$2:$E$3143),
Master_Mapping_Sheet!$C$2:$C$3143=AK$1,
Master_Mapping_Sheet!$H$2:$H$3143=$A25))/sum(filter(
Master_Mapping_Sheet!$E$2:$E$3143, ISNUMBER(
Master_Mapping_S"&amp;"heet!$E$2:$E$3143),
Master_Mapping_Sheet!$H$2:$H$3143=$A25))), 0, sum(filter(
Master_Mapping_Sheet!$E$2:$E$3143, ISNUMBER(
Master_Mapping_Sheet!$E$2:$E$3143),
Master_Mapping_Sheet!$C$2:$C$3143=AK$1,
Master_Mapping_Sheet!$H$2:$H$3143=$A25))/sum(filter(
Mas"&amp;"ter_Mapping_Sheet!$E$2:$E$3143, ISNUMBER(
Master_Mapping_Sheet!$E$2:$E$3143),
Master_Mapping_Sheet!$H$2:$H$3143=$A25)))"),0.0)</f>
        <v>0</v>
      </c>
      <c r="AL25" s="34">
        <f>IFERROR(__xludf.DUMMYFUNCTION("IF(ISNA(sum(filter(
Master_Mapping_Sheet!$E$2:$E$3143, ISNUMBER(
Master_Mapping_Sheet!$E$2:$E$3143),
Master_Mapping_Sheet!$C$2:$C$3143=AL$1,
Master_Mapping_Sheet!$H$2:$H$3143=$A25))/sum(filter(
Master_Mapping_Sheet!$E$2:$E$3143, ISNUMBER(
Master_Mapping_S"&amp;"heet!$E$2:$E$3143),
Master_Mapping_Sheet!$H$2:$H$3143=$A25))), 0, sum(filter(
Master_Mapping_Sheet!$E$2:$E$3143, ISNUMBER(
Master_Mapping_Sheet!$E$2:$E$3143),
Master_Mapping_Sheet!$C$2:$C$3143=AL$1,
Master_Mapping_Sheet!$H$2:$H$3143=$A25))/sum(filter(
Mas"&amp;"ter_Mapping_Sheet!$E$2:$E$3143, ISNUMBER(
Master_Mapping_Sheet!$E$2:$E$3143),
Master_Mapping_Sheet!$H$2:$H$3143=$A25)))"),0.0)</f>
        <v>0</v>
      </c>
      <c r="AM25" s="34">
        <f>IFERROR(__xludf.DUMMYFUNCTION("IF(ISNA(sum(filter(
Master_Mapping_Sheet!$E$2:$E$3143, ISNUMBER(
Master_Mapping_Sheet!$E$2:$E$3143),
Master_Mapping_Sheet!$C$2:$C$3143=AM$1,
Master_Mapping_Sheet!$H$2:$H$3143=$A25))/sum(filter(
Master_Mapping_Sheet!$E$2:$E$3143, ISNUMBER(
Master_Mapping_S"&amp;"heet!$E$2:$E$3143),
Master_Mapping_Sheet!$H$2:$H$3143=$A25))), 0, sum(filter(
Master_Mapping_Sheet!$E$2:$E$3143, ISNUMBER(
Master_Mapping_Sheet!$E$2:$E$3143),
Master_Mapping_Sheet!$C$2:$C$3143=AM$1,
Master_Mapping_Sheet!$H$2:$H$3143=$A25))/sum(filter(
Mas"&amp;"ter_Mapping_Sheet!$E$2:$E$3143, ISNUMBER(
Master_Mapping_Sheet!$E$2:$E$3143),
Master_Mapping_Sheet!$H$2:$H$3143=$A25)))"),0.0)</f>
        <v>0</v>
      </c>
      <c r="AN25" s="34">
        <f>IFERROR(__xludf.DUMMYFUNCTION("IF(ISNA(sum(filter(
Master_Mapping_Sheet!$E$2:$E$3143, ISNUMBER(
Master_Mapping_Sheet!$E$2:$E$3143),
Master_Mapping_Sheet!$C$2:$C$3143=AN$1,
Master_Mapping_Sheet!$H$2:$H$3143=$A25))/sum(filter(
Master_Mapping_Sheet!$E$2:$E$3143, ISNUMBER(
Master_Mapping_S"&amp;"heet!$E$2:$E$3143),
Master_Mapping_Sheet!$H$2:$H$3143=$A25))), 0, sum(filter(
Master_Mapping_Sheet!$E$2:$E$3143, ISNUMBER(
Master_Mapping_Sheet!$E$2:$E$3143),
Master_Mapping_Sheet!$C$2:$C$3143=AN$1,
Master_Mapping_Sheet!$H$2:$H$3143=$A25))/sum(filter(
Mas"&amp;"ter_Mapping_Sheet!$E$2:$E$3143, ISNUMBER(
Master_Mapping_Sheet!$E$2:$E$3143),
Master_Mapping_Sheet!$H$2:$H$3143=$A25)))"),0.0)</f>
        <v>0</v>
      </c>
      <c r="AO25" s="34">
        <f>IFERROR(__xludf.DUMMYFUNCTION("IF(ISNA(sum(filter(
Master_Mapping_Sheet!$E$2:$E$3143, ISNUMBER(
Master_Mapping_Sheet!$E$2:$E$3143),
Master_Mapping_Sheet!$C$2:$C$3143=AO$1,
Master_Mapping_Sheet!$H$2:$H$3143=$A25))/sum(filter(
Master_Mapping_Sheet!$E$2:$E$3143, ISNUMBER(
Master_Mapping_S"&amp;"heet!$E$2:$E$3143),
Master_Mapping_Sheet!$H$2:$H$3143=$A25))), 0, sum(filter(
Master_Mapping_Sheet!$E$2:$E$3143, ISNUMBER(
Master_Mapping_Sheet!$E$2:$E$3143),
Master_Mapping_Sheet!$C$2:$C$3143=AO$1,
Master_Mapping_Sheet!$H$2:$H$3143=$A25))/sum(filter(
Mas"&amp;"ter_Mapping_Sheet!$E$2:$E$3143, ISNUMBER(
Master_Mapping_Sheet!$E$2:$E$3143),
Master_Mapping_Sheet!$H$2:$H$3143=$A25)))"),0.0)</f>
        <v>0</v>
      </c>
      <c r="AP25" s="34">
        <f>IFERROR(__xludf.DUMMYFUNCTION("IF(ISNA(sum(filter(
Master_Mapping_Sheet!$E$2:$E$3143, ISNUMBER(
Master_Mapping_Sheet!$E$2:$E$3143),
Master_Mapping_Sheet!$C$2:$C$3143=AP$1,
Master_Mapping_Sheet!$H$2:$H$3143=$A25))/sum(filter(
Master_Mapping_Sheet!$E$2:$E$3143, ISNUMBER(
Master_Mapping_S"&amp;"heet!$E$2:$E$3143),
Master_Mapping_Sheet!$H$2:$H$3143=$A25))), 0, sum(filter(
Master_Mapping_Sheet!$E$2:$E$3143, ISNUMBER(
Master_Mapping_Sheet!$E$2:$E$3143),
Master_Mapping_Sheet!$C$2:$C$3143=AP$1,
Master_Mapping_Sheet!$H$2:$H$3143=$A25))/sum(filter(
Mas"&amp;"ter_Mapping_Sheet!$E$2:$E$3143, ISNUMBER(
Master_Mapping_Sheet!$E$2:$E$3143),
Master_Mapping_Sheet!$H$2:$H$3143=$A25)))"),0.0)</f>
        <v>0</v>
      </c>
      <c r="AQ25" s="34">
        <f>IFERROR(__xludf.DUMMYFUNCTION("IF(ISNA(sum(filter(
Master_Mapping_Sheet!$E$2:$E$3143, ISNUMBER(
Master_Mapping_Sheet!$E$2:$E$3143),
Master_Mapping_Sheet!$C$2:$C$3143=AQ$1,
Master_Mapping_Sheet!$H$2:$H$3143=$A25))/sum(filter(
Master_Mapping_Sheet!$E$2:$E$3143, ISNUMBER(
Master_Mapping_S"&amp;"heet!$E$2:$E$3143),
Master_Mapping_Sheet!$H$2:$H$3143=$A25))), 0, sum(filter(
Master_Mapping_Sheet!$E$2:$E$3143, ISNUMBER(
Master_Mapping_Sheet!$E$2:$E$3143),
Master_Mapping_Sheet!$C$2:$C$3143=AQ$1,
Master_Mapping_Sheet!$H$2:$H$3143=$A25))/sum(filter(
Mas"&amp;"ter_Mapping_Sheet!$E$2:$E$3143, ISNUMBER(
Master_Mapping_Sheet!$E$2:$E$3143),
Master_Mapping_Sheet!$H$2:$H$3143=$A25)))"),0.008719893900038859)</f>
        <v>0.0087198939</v>
      </c>
      <c r="AR25" s="34">
        <f>IFERROR(__xludf.DUMMYFUNCTION("IF(ISNA(sum(filter(
Master_Mapping_Sheet!$E$2:$E$3143, ISNUMBER(
Master_Mapping_Sheet!$E$2:$E$3143),
Master_Mapping_Sheet!$C$2:$C$3143=AR$1,
Master_Mapping_Sheet!$H$2:$H$3143=$A25))/sum(filter(
Master_Mapping_Sheet!$E$2:$E$3143, ISNUMBER(
Master_Mapping_S"&amp;"heet!$E$2:$E$3143),
Master_Mapping_Sheet!$H$2:$H$3143=$A25))), 0, sum(filter(
Master_Mapping_Sheet!$E$2:$E$3143, ISNUMBER(
Master_Mapping_Sheet!$E$2:$E$3143),
Master_Mapping_Sheet!$C$2:$C$3143=AR$1,
Master_Mapping_Sheet!$H$2:$H$3143=$A25))/sum(filter(
Mas"&amp;"ter_Mapping_Sheet!$E$2:$E$3143, ISNUMBER(
Master_Mapping_Sheet!$E$2:$E$3143),
Master_Mapping_Sheet!$H$2:$H$3143=$A25)))"),0.0)</f>
        <v>0</v>
      </c>
      <c r="AS25" s="34">
        <f>IFERROR(__xludf.DUMMYFUNCTION("IF(ISNA(sum(filter(
Master_Mapping_Sheet!$E$2:$E$3143, ISNUMBER(
Master_Mapping_Sheet!$E$2:$E$3143),
Master_Mapping_Sheet!$C$2:$C$3143=AS$1,
Master_Mapping_Sheet!$H$2:$H$3143=$A25))/sum(filter(
Master_Mapping_Sheet!$E$2:$E$3143, ISNUMBER(
Master_Mapping_S"&amp;"heet!$E$2:$E$3143),
Master_Mapping_Sheet!$H$2:$H$3143=$A25))), 0, sum(filter(
Master_Mapping_Sheet!$E$2:$E$3143, ISNUMBER(
Master_Mapping_Sheet!$E$2:$E$3143),
Master_Mapping_Sheet!$C$2:$C$3143=AS$1,
Master_Mapping_Sheet!$H$2:$H$3143=$A25))/sum(filter(
Mas"&amp;"ter_Mapping_Sheet!$E$2:$E$3143, ISNUMBER(
Master_Mapping_Sheet!$E$2:$E$3143),
Master_Mapping_Sheet!$H$2:$H$3143=$A25)))"),0.0)</f>
        <v>0</v>
      </c>
      <c r="AT25" s="34">
        <f>IFERROR(__xludf.DUMMYFUNCTION("IF(ISNA(sum(filter(
Master_Mapping_Sheet!$E$2:$E$3143, ISNUMBER(
Master_Mapping_Sheet!$E$2:$E$3143),
Master_Mapping_Sheet!$C$2:$C$3143=AT$1,
Master_Mapping_Sheet!$H$2:$H$3143=$A25))/sum(filter(
Master_Mapping_Sheet!$E$2:$E$3143, ISNUMBER(
Master_Mapping_S"&amp;"heet!$E$2:$E$3143),
Master_Mapping_Sheet!$H$2:$H$3143=$A25))), 0, sum(filter(
Master_Mapping_Sheet!$E$2:$E$3143, ISNUMBER(
Master_Mapping_Sheet!$E$2:$E$3143),
Master_Mapping_Sheet!$C$2:$C$3143=AT$1,
Master_Mapping_Sheet!$H$2:$H$3143=$A25))/sum(filter(
Mas"&amp;"ter_Mapping_Sheet!$E$2:$E$3143, ISNUMBER(
Master_Mapping_Sheet!$E$2:$E$3143),
Master_Mapping_Sheet!$H$2:$H$3143=$A25)))"),0.0)</f>
        <v>0</v>
      </c>
      <c r="AU25" s="34">
        <f>IFERROR(__xludf.DUMMYFUNCTION("IF(ISNA(sum(filter(
Master_Mapping_Sheet!$E$2:$E$3143, ISNUMBER(
Master_Mapping_Sheet!$E$2:$E$3143),
Master_Mapping_Sheet!$C$2:$C$3143=AU$1,
Master_Mapping_Sheet!$H$2:$H$3143=$A25))/sum(filter(
Master_Mapping_Sheet!$E$2:$E$3143, ISNUMBER(
Master_Mapping_S"&amp;"heet!$E$2:$E$3143),
Master_Mapping_Sheet!$H$2:$H$3143=$A25))), 0, sum(filter(
Master_Mapping_Sheet!$E$2:$E$3143, ISNUMBER(
Master_Mapping_Sheet!$E$2:$E$3143),
Master_Mapping_Sheet!$C$2:$C$3143=AU$1,
Master_Mapping_Sheet!$H$2:$H$3143=$A25))/sum(filter(
Mas"&amp;"ter_Mapping_Sheet!$E$2:$E$3143, ISNUMBER(
Master_Mapping_Sheet!$E$2:$E$3143),
Master_Mapping_Sheet!$H$2:$H$3143=$A25)))"),0.0)</f>
        <v>0</v>
      </c>
      <c r="AV25" s="34">
        <f>IFERROR(__xludf.DUMMYFUNCTION("IF(ISNA(sum(filter(
Master_Mapping_Sheet!$E$2:$E$3143, ISNUMBER(
Master_Mapping_Sheet!$E$2:$E$3143),
Master_Mapping_Sheet!$C$2:$C$3143=AV$1,
Master_Mapping_Sheet!$H$2:$H$3143=$A25))/sum(filter(
Master_Mapping_Sheet!$E$2:$E$3143, ISNUMBER(
Master_Mapping_S"&amp;"heet!$E$2:$E$3143),
Master_Mapping_Sheet!$H$2:$H$3143=$A25))), 0, sum(filter(
Master_Mapping_Sheet!$E$2:$E$3143, ISNUMBER(
Master_Mapping_Sheet!$E$2:$E$3143),
Master_Mapping_Sheet!$C$2:$C$3143=AV$1,
Master_Mapping_Sheet!$H$2:$H$3143=$A25))/sum(filter(
Mas"&amp;"ter_Mapping_Sheet!$E$2:$E$3143, ISNUMBER(
Master_Mapping_Sheet!$E$2:$E$3143),
Master_Mapping_Sheet!$H$2:$H$3143=$A25)))"),0.0)</f>
        <v>0</v>
      </c>
      <c r="AW25" s="34">
        <f>IFERROR(__xludf.DUMMYFUNCTION("IF(ISNA(sum(filter(
Master_Mapping_Sheet!$E$2:$E$3143, ISNUMBER(
Master_Mapping_Sheet!$E$2:$E$3143),
Master_Mapping_Sheet!$C$2:$C$3143=AW$1,
Master_Mapping_Sheet!$H$2:$H$3143=$A25))/sum(filter(
Master_Mapping_Sheet!$E$2:$E$3143, ISNUMBER(
Master_Mapping_S"&amp;"heet!$E$2:$E$3143),
Master_Mapping_Sheet!$H$2:$H$3143=$A25))), 0, sum(filter(
Master_Mapping_Sheet!$E$2:$E$3143, ISNUMBER(
Master_Mapping_Sheet!$E$2:$E$3143),
Master_Mapping_Sheet!$C$2:$C$3143=AW$1,
Master_Mapping_Sheet!$H$2:$H$3143=$A25))/sum(filter(
Mas"&amp;"ter_Mapping_Sheet!$E$2:$E$3143, ISNUMBER(
Master_Mapping_Sheet!$E$2:$E$3143),
Master_Mapping_Sheet!$H$2:$H$3143=$A25)))"),0.0)</f>
        <v>0</v>
      </c>
      <c r="AX25" s="34">
        <f>IFERROR(__xludf.DUMMYFUNCTION("IF(ISNA(sum(filter(
Master_Mapping_Sheet!$E$2:$E$3143, ISNUMBER(
Master_Mapping_Sheet!$E$2:$E$3143),
Master_Mapping_Sheet!$C$2:$C$3143=AX$1,
Master_Mapping_Sheet!$H$2:$H$3143=$A25))/sum(filter(
Master_Mapping_Sheet!$E$2:$E$3143, ISNUMBER(
Master_Mapping_S"&amp;"heet!$E$2:$E$3143),
Master_Mapping_Sheet!$H$2:$H$3143=$A25))), 0, sum(filter(
Master_Mapping_Sheet!$E$2:$E$3143, ISNUMBER(
Master_Mapping_Sheet!$E$2:$E$3143),
Master_Mapping_Sheet!$C$2:$C$3143=AX$1,
Master_Mapping_Sheet!$H$2:$H$3143=$A25))/sum(filter(
Mas"&amp;"ter_Mapping_Sheet!$E$2:$E$3143, ISNUMBER(
Master_Mapping_Sheet!$E$2:$E$3143),
Master_Mapping_Sheet!$H$2:$H$3143=$A25)))"),0.0)</f>
        <v>0</v>
      </c>
      <c r="AY25" s="34">
        <f>IFERROR(__xludf.DUMMYFUNCTION("IF(ISNA(sum(filter(
Master_Mapping_Sheet!$E$2:$E$3143, ISNUMBER(
Master_Mapping_Sheet!$E$2:$E$3143),
Master_Mapping_Sheet!$C$2:$C$3143=AY$1,
Master_Mapping_Sheet!$H$2:$H$3143=$A25))/sum(filter(
Master_Mapping_Sheet!$E$2:$E$3143, ISNUMBER(
Master_Mapping_S"&amp;"heet!$E$2:$E$3143),
Master_Mapping_Sheet!$H$2:$H$3143=$A25))), 0, sum(filter(
Master_Mapping_Sheet!$E$2:$E$3143, ISNUMBER(
Master_Mapping_Sheet!$E$2:$E$3143),
Master_Mapping_Sheet!$C$2:$C$3143=AY$1,
Master_Mapping_Sheet!$H$2:$H$3143=$A25))/sum(filter(
Mas"&amp;"ter_Mapping_Sheet!$E$2:$E$3143, ISNUMBER(
Master_Mapping_Sheet!$E$2:$E$3143),
Master_Mapping_Sheet!$H$2:$H$3143=$A25)))"),0.0)</f>
        <v>0</v>
      </c>
      <c r="AZ25" s="34">
        <f>IFERROR(__xludf.DUMMYFUNCTION("IF(ISNA(sum(filter(
Master_Mapping_Sheet!$E$2:$E$3143, ISNUMBER(
Master_Mapping_Sheet!$E$2:$E$3143),
Master_Mapping_Sheet!$C$2:$C$3143=AZ$1,
Master_Mapping_Sheet!$H$2:$H$3143=$A25))/sum(filter(
Master_Mapping_Sheet!$E$2:$E$3143, ISNUMBER(
Master_Mapping_S"&amp;"heet!$E$2:$E$3143),
Master_Mapping_Sheet!$H$2:$H$3143=$A25))), 0, sum(filter(
Master_Mapping_Sheet!$E$2:$E$3143, ISNUMBER(
Master_Mapping_Sheet!$E$2:$E$3143),
Master_Mapping_Sheet!$C$2:$C$3143=AZ$1,
Master_Mapping_Sheet!$H$2:$H$3143=$A25))/sum(filter(
Mas"&amp;"ter_Mapping_Sheet!$E$2:$E$3143, ISNUMBER(
Master_Mapping_Sheet!$E$2:$E$3143),
Master_Mapping_Sheet!$H$2:$H$3143=$A25)))"),0.04401449277642391)</f>
        <v>0.04401449278</v>
      </c>
    </row>
    <row r="26" ht="15.75" customHeight="1">
      <c r="A26" s="34" t="s">
        <v>3990</v>
      </c>
      <c r="B26" s="34">
        <f>IFERROR(__xludf.DUMMYFUNCTION("IF(ISNA(sum(filter(
Master_Mapping_Sheet!$E$2:$E$3143, ISNUMBER(
Master_Mapping_Sheet!$E$2:$E$3143),
Master_Mapping_Sheet!$C$2:$C$3143=B$1,
Master_Mapping_Sheet!$H$2:$H$3143=$A26))/sum(filter(
Master_Mapping_Sheet!$E$2:$E$3143, ISNUMBER(
Master_Mapping_Sh"&amp;"eet!$E$2:$E$3143),
Master_Mapping_Sheet!$H$2:$H$3143=$A26))), 0, sum(filter(
Master_Mapping_Sheet!$E$2:$E$3143, ISNUMBER(
Master_Mapping_Sheet!$E$2:$E$3143),
Master_Mapping_Sheet!$C$2:$C$3143=B$1,
Master_Mapping_Sheet!$H$2:$H$3143=$A26))/sum(filter(
Maste"&amp;"r_Mapping_Sheet!$E$2:$E$3143, ISNUMBER(
Master_Mapping_Sheet!$E$2:$E$3143),
Master_Mapping_Sheet!$H$2:$H$3143=$A26)))"),0.0)</f>
        <v>0</v>
      </c>
      <c r="C26" s="34">
        <f>IFERROR(__xludf.DUMMYFUNCTION("IF(ISNA(sum(filter(
Master_Mapping_Sheet!$E$2:$E$3143, ISNUMBER(
Master_Mapping_Sheet!$E$2:$E$3143),
Master_Mapping_Sheet!$C$2:$C$3143=C$1,
Master_Mapping_Sheet!$H$2:$H$3143=$A26))/sum(filter(
Master_Mapping_Sheet!$E$2:$E$3143, ISNUMBER(
Master_Mapping_Sh"&amp;"eet!$E$2:$E$3143),
Master_Mapping_Sheet!$H$2:$H$3143=$A26))), 0, sum(filter(
Master_Mapping_Sheet!$E$2:$E$3143, ISNUMBER(
Master_Mapping_Sheet!$E$2:$E$3143),
Master_Mapping_Sheet!$C$2:$C$3143=C$1,
Master_Mapping_Sheet!$H$2:$H$3143=$A26))/sum(filter(
Maste"&amp;"r_Mapping_Sheet!$E$2:$E$3143, ISNUMBER(
Master_Mapping_Sheet!$E$2:$E$3143),
Master_Mapping_Sheet!$H$2:$H$3143=$A26)))"),0.0)</f>
        <v>0</v>
      </c>
      <c r="D26" s="34">
        <f>IFERROR(__xludf.DUMMYFUNCTION("IF(ISNA(sum(filter(
Master_Mapping_Sheet!$E$2:$E$3143, ISNUMBER(
Master_Mapping_Sheet!$E$2:$E$3143),
Master_Mapping_Sheet!$C$2:$C$3143=D$1,
Master_Mapping_Sheet!$H$2:$H$3143=$A26))/sum(filter(
Master_Mapping_Sheet!$E$2:$E$3143, ISNUMBER(
Master_Mapping_Sh"&amp;"eet!$E$2:$E$3143),
Master_Mapping_Sheet!$H$2:$H$3143=$A26))), 0, sum(filter(
Master_Mapping_Sheet!$E$2:$E$3143, ISNUMBER(
Master_Mapping_Sheet!$E$2:$E$3143),
Master_Mapping_Sheet!$C$2:$C$3143=D$1,
Master_Mapping_Sheet!$H$2:$H$3143=$A26))/sum(filter(
Maste"&amp;"r_Mapping_Sheet!$E$2:$E$3143, ISNUMBER(
Master_Mapping_Sheet!$E$2:$E$3143),
Master_Mapping_Sheet!$H$2:$H$3143=$A26)))"),0.0)</f>
        <v>0</v>
      </c>
      <c r="E26" s="34">
        <f>IFERROR(__xludf.DUMMYFUNCTION("IF(ISNA(sum(filter(
Master_Mapping_Sheet!$E$2:$E$3143, ISNUMBER(
Master_Mapping_Sheet!$E$2:$E$3143),
Master_Mapping_Sheet!$C$2:$C$3143=E$1,
Master_Mapping_Sheet!$H$2:$H$3143=$A26))/sum(filter(
Master_Mapping_Sheet!$E$2:$E$3143, ISNUMBER(
Master_Mapping_Sh"&amp;"eet!$E$2:$E$3143),
Master_Mapping_Sheet!$H$2:$H$3143=$A26))), 0, sum(filter(
Master_Mapping_Sheet!$E$2:$E$3143, ISNUMBER(
Master_Mapping_Sheet!$E$2:$E$3143),
Master_Mapping_Sheet!$C$2:$C$3143=E$1,
Master_Mapping_Sheet!$H$2:$H$3143=$A26))/sum(filter(
Maste"&amp;"r_Mapping_Sheet!$E$2:$E$3143, ISNUMBER(
Master_Mapping_Sheet!$E$2:$E$3143),
Master_Mapping_Sheet!$H$2:$H$3143=$A26)))"),0.0)</f>
        <v>0</v>
      </c>
      <c r="F26" s="34">
        <f>IFERROR(__xludf.DUMMYFUNCTION("IF(ISNA(sum(filter(
Master_Mapping_Sheet!$E$2:$E$3143, ISNUMBER(
Master_Mapping_Sheet!$E$2:$E$3143),
Master_Mapping_Sheet!$C$2:$C$3143=F$1,
Master_Mapping_Sheet!$H$2:$H$3143=$A26))/sum(filter(
Master_Mapping_Sheet!$E$2:$E$3143, ISNUMBER(
Master_Mapping_Sh"&amp;"eet!$E$2:$E$3143),
Master_Mapping_Sheet!$H$2:$H$3143=$A26))), 0, sum(filter(
Master_Mapping_Sheet!$E$2:$E$3143, ISNUMBER(
Master_Mapping_Sheet!$E$2:$E$3143),
Master_Mapping_Sheet!$C$2:$C$3143=F$1,
Master_Mapping_Sheet!$H$2:$H$3143=$A26))/sum(filter(
Maste"&amp;"r_Mapping_Sheet!$E$2:$E$3143, ISNUMBER(
Master_Mapping_Sheet!$E$2:$E$3143),
Master_Mapping_Sheet!$H$2:$H$3143=$A26)))"),0.0)</f>
        <v>0</v>
      </c>
      <c r="G26" s="34">
        <f>IFERROR(__xludf.DUMMYFUNCTION("IF(ISNA(sum(filter(
Master_Mapping_Sheet!$E$2:$E$3143, ISNUMBER(
Master_Mapping_Sheet!$E$2:$E$3143),
Master_Mapping_Sheet!$C$2:$C$3143=G$1,
Master_Mapping_Sheet!$H$2:$H$3143=$A26))/sum(filter(
Master_Mapping_Sheet!$E$2:$E$3143, ISNUMBER(
Master_Mapping_Sh"&amp;"eet!$E$2:$E$3143),
Master_Mapping_Sheet!$H$2:$H$3143=$A26))), 0, sum(filter(
Master_Mapping_Sheet!$E$2:$E$3143, ISNUMBER(
Master_Mapping_Sheet!$E$2:$E$3143),
Master_Mapping_Sheet!$C$2:$C$3143=G$1,
Master_Mapping_Sheet!$H$2:$H$3143=$A26))/sum(filter(
Maste"&amp;"r_Mapping_Sheet!$E$2:$E$3143, ISNUMBER(
Master_Mapping_Sheet!$E$2:$E$3143),
Master_Mapping_Sheet!$H$2:$H$3143=$A26)))"),0.0)</f>
        <v>0</v>
      </c>
      <c r="H26" s="34">
        <f>IFERROR(__xludf.DUMMYFUNCTION("IF(ISNA(sum(filter(
Master_Mapping_Sheet!$E$2:$E$3143, ISNUMBER(
Master_Mapping_Sheet!$E$2:$E$3143),
Master_Mapping_Sheet!$C$2:$C$3143=H$1,
Master_Mapping_Sheet!$H$2:$H$3143=$A26))/sum(filter(
Master_Mapping_Sheet!$E$2:$E$3143, ISNUMBER(
Master_Mapping_Sh"&amp;"eet!$E$2:$E$3143),
Master_Mapping_Sheet!$H$2:$H$3143=$A26))), 0, sum(filter(
Master_Mapping_Sheet!$E$2:$E$3143, ISNUMBER(
Master_Mapping_Sheet!$E$2:$E$3143),
Master_Mapping_Sheet!$C$2:$C$3143=H$1,
Master_Mapping_Sheet!$H$2:$H$3143=$A26))/sum(filter(
Maste"&amp;"r_Mapping_Sheet!$E$2:$E$3143, ISNUMBER(
Master_Mapping_Sheet!$E$2:$E$3143),
Master_Mapping_Sheet!$H$2:$H$3143=$A26)))"),0.0)</f>
        <v>0</v>
      </c>
      <c r="I26" s="34">
        <f>IFERROR(__xludf.DUMMYFUNCTION("IF(ISNA(sum(filter(
Master_Mapping_Sheet!$E$2:$E$3143, ISNUMBER(
Master_Mapping_Sheet!$E$2:$E$3143),
Master_Mapping_Sheet!$C$2:$C$3143=I$1,
Master_Mapping_Sheet!$H$2:$H$3143=$A26))/sum(filter(
Master_Mapping_Sheet!$E$2:$E$3143, ISNUMBER(
Master_Mapping_Sh"&amp;"eet!$E$2:$E$3143),
Master_Mapping_Sheet!$H$2:$H$3143=$A26))), 0, sum(filter(
Master_Mapping_Sheet!$E$2:$E$3143, ISNUMBER(
Master_Mapping_Sheet!$E$2:$E$3143),
Master_Mapping_Sheet!$C$2:$C$3143=I$1,
Master_Mapping_Sheet!$H$2:$H$3143=$A26))/sum(filter(
Maste"&amp;"r_Mapping_Sheet!$E$2:$E$3143, ISNUMBER(
Master_Mapping_Sheet!$E$2:$E$3143),
Master_Mapping_Sheet!$H$2:$H$3143=$A26)))"),0.0)</f>
        <v>0</v>
      </c>
      <c r="J26" s="34">
        <f>IFERROR(__xludf.DUMMYFUNCTION("IF(ISNA(sum(filter(
Master_Mapping_Sheet!$E$2:$E$3143, ISNUMBER(
Master_Mapping_Sheet!$E$2:$E$3143),
Master_Mapping_Sheet!$C$2:$C$3143=J$1,
Master_Mapping_Sheet!$H$2:$H$3143=$A26))/sum(filter(
Master_Mapping_Sheet!$E$2:$E$3143, ISNUMBER(
Master_Mapping_Sh"&amp;"eet!$E$2:$E$3143),
Master_Mapping_Sheet!$H$2:$H$3143=$A26))), 0, sum(filter(
Master_Mapping_Sheet!$E$2:$E$3143, ISNUMBER(
Master_Mapping_Sheet!$E$2:$E$3143),
Master_Mapping_Sheet!$C$2:$C$3143=J$1,
Master_Mapping_Sheet!$H$2:$H$3143=$A26))/sum(filter(
Maste"&amp;"r_Mapping_Sheet!$E$2:$E$3143, ISNUMBER(
Master_Mapping_Sheet!$E$2:$E$3143),
Master_Mapping_Sheet!$H$2:$H$3143=$A26)))"),0.0)</f>
        <v>0</v>
      </c>
      <c r="K26" s="34">
        <f>IFERROR(__xludf.DUMMYFUNCTION("IF(ISNA(sum(filter(
Master_Mapping_Sheet!$E$2:$E$3143, ISNUMBER(
Master_Mapping_Sheet!$E$2:$E$3143),
Master_Mapping_Sheet!$C$2:$C$3143=K$1,
Master_Mapping_Sheet!$H$2:$H$3143=$A26))/sum(filter(
Master_Mapping_Sheet!$E$2:$E$3143, ISNUMBER(
Master_Mapping_Sh"&amp;"eet!$E$2:$E$3143),
Master_Mapping_Sheet!$H$2:$H$3143=$A26))), 0, sum(filter(
Master_Mapping_Sheet!$E$2:$E$3143, ISNUMBER(
Master_Mapping_Sheet!$E$2:$E$3143),
Master_Mapping_Sheet!$C$2:$C$3143=K$1,
Master_Mapping_Sheet!$H$2:$H$3143=$A26))/sum(filter(
Maste"&amp;"r_Mapping_Sheet!$E$2:$E$3143, ISNUMBER(
Master_Mapping_Sheet!$E$2:$E$3143),
Master_Mapping_Sheet!$H$2:$H$3143=$A26)))"),0.0)</f>
        <v>0</v>
      </c>
      <c r="L26" s="34">
        <f>IFERROR(__xludf.DUMMYFUNCTION("IF(ISNA(sum(filter(
Master_Mapping_Sheet!$E$2:$E$3143, ISNUMBER(
Master_Mapping_Sheet!$E$2:$E$3143),
Master_Mapping_Sheet!$C$2:$C$3143=L$1,
Master_Mapping_Sheet!$H$2:$H$3143=$A26))/sum(filter(
Master_Mapping_Sheet!$E$2:$E$3143, ISNUMBER(
Master_Mapping_Sh"&amp;"eet!$E$2:$E$3143),
Master_Mapping_Sheet!$H$2:$H$3143=$A26))), 0, sum(filter(
Master_Mapping_Sheet!$E$2:$E$3143, ISNUMBER(
Master_Mapping_Sheet!$E$2:$E$3143),
Master_Mapping_Sheet!$C$2:$C$3143=L$1,
Master_Mapping_Sheet!$H$2:$H$3143=$A26))/sum(filter(
Maste"&amp;"r_Mapping_Sheet!$E$2:$E$3143, ISNUMBER(
Master_Mapping_Sheet!$E$2:$E$3143),
Master_Mapping_Sheet!$H$2:$H$3143=$A26)))"),0.0)</f>
        <v>0</v>
      </c>
      <c r="M26" s="34">
        <f>IFERROR(__xludf.DUMMYFUNCTION("IF(ISNA(sum(filter(
Master_Mapping_Sheet!$E$2:$E$3143, ISNUMBER(
Master_Mapping_Sheet!$E$2:$E$3143),
Master_Mapping_Sheet!$C$2:$C$3143=M$1,
Master_Mapping_Sheet!$H$2:$H$3143=$A26))/sum(filter(
Master_Mapping_Sheet!$E$2:$E$3143, ISNUMBER(
Master_Mapping_Sh"&amp;"eet!$E$2:$E$3143),
Master_Mapping_Sheet!$H$2:$H$3143=$A26))), 0, sum(filter(
Master_Mapping_Sheet!$E$2:$E$3143, ISNUMBER(
Master_Mapping_Sheet!$E$2:$E$3143),
Master_Mapping_Sheet!$C$2:$C$3143=M$1,
Master_Mapping_Sheet!$H$2:$H$3143=$A26))/sum(filter(
Maste"&amp;"r_Mapping_Sheet!$E$2:$E$3143, ISNUMBER(
Master_Mapping_Sheet!$E$2:$E$3143),
Master_Mapping_Sheet!$H$2:$H$3143=$A26)))"),0.0)</f>
        <v>0</v>
      </c>
      <c r="N26" s="34">
        <f>IFERROR(__xludf.DUMMYFUNCTION("IF(ISNA(sum(filter(
Master_Mapping_Sheet!$E$2:$E$3143, ISNUMBER(
Master_Mapping_Sheet!$E$2:$E$3143),
Master_Mapping_Sheet!$C$2:$C$3143=N$1,
Master_Mapping_Sheet!$H$2:$H$3143=$A26))/sum(filter(
Master_Mapping_Sheet!$E$2:$E$3143, ISNUMBER(
Master_Mapping_Sh"&amp;"eet!$E$2:$E$3143),
Master_Mapping_Sheet!$H$2:$H$3143=$A26))), 0, sum(filter(
Master_Mapping_Sheet!$E$2:$E$3143, ISNUMBER(
Master_Mapping_Sheet!$E$2:$E$3143),
Master_Mapping_Sheet!$C$2:$C$3143=N$1,
Master_Mapping_Sheet!$H$2:$H$3143=$A26))/sum(filter(
Maste"&amp;"r_Mapping_Sheet!$E$2:$E$3143, ISNUMBER(
Master_Mapping_Sheet!$E$2:$E$3143),
Master_Mapping_Sheet!$H$2:$H$3143=$A26)))"),0.18711133703761382)</f>
        <v>0.187111337</v>
      </c>
      <c r="O26" s="34">
        <f>IFERROR(__xludf.DUMMYFUNCTION("IF(ISNA(sum(filter(
Master_Mapping_Sheet!$E$2:$E$3143, ISNUMBER(
Master_Mapping_Sheet!$E$2:$E$3143),
Master_Mapping_Sheet!$C$2:$C$3143=O$1,
Master_Mapping_Sheet!$H$2:$H$3143=$A26))/sum(filter(
Master_Mapping_Sheet!$E$2:$E$3143, ISNUMBER(
Master_Mapping_Sh"&amp;"eet!$E$2:$E$3143),
Master_Mapping_Sheet!$H$2:$H$3143=$A26))), 0, sum(filter(
Master_Mapping_Sheet!$E$2:$E$3143, ISNUMBER(
Master_Mapping_Sheet!$E$2:$E$3143),
Master_Mapping_Sheet!$C$2:$C$3143=O$1,
Master_Mapping_Sheet!$H$2:$H$3143=$A26))/sum(filter(
Maste"&amp;"r_Mapping_Sheet!$E$2:$E$3143, ISNUMBER(
Master_Mapping_Sheet!$E$2:$E$3143),
Master_Mapping_Sheet!$H$2:$H$3143=$A26)))"),0.0)</f>
        <v>0</v>
      </c>
      <c r="P26" s="34">
        <f>IFERROR(__xludf.DUMMYFUNCTION("IF(ISNA(sum(filter(
Master_Mapping_Sheet!$E$2:$E$3143, ISNUMBER(
Master_Mapping_Sheet!$E$2:$E$3143),
Master_Mapping_Sheet!$C$2:$C$3143=P$1,
Master_Mapping_Sheet!$H$2:$H$3143=$A26))/sum(filter(
Master_Mapping_Sheet!$E$2:$E$3143, ISNUMBER(
Master_Mapping_Sh"&amp;"eet!$E$2:$E$3143),
Master_Mapping_Sheet!$H$2:$H$3143=$A26))), 0, sum(filter(
Master_Mapping_Sheet!$E$2:$E$3143, ISNUMBER(
Master_Mapping_Sheet!$E$2:$E$3143),
Master_Mapping_Sheet!$C$2:$C$3143=P$1,
Master_Mapping_Sheet!$H$2:$H$3143=$A26))/sum(filter(
Maste"&amp;"r_Mapping_Sheet!$E$2:$E$3143, ISNUMBER(
Master_Mapping_Sheet!$E$2:$E$3143),
Master_Mapping_Sheet!$H$2:$H$3143=$A26)))"),0.0)</f>
        <v>0</v>
      </c>
      <c r="Q26" s="34">
        <f>IFERROR(__xludf.DUMMYFUNCTION("IF(ISNA(sum(filter(
Master_Mapping_Sheet!$E$2:$E$3143, ISNUMBER(
Master_Mapping_Sheet!$E$2:$E$3143),
Master_Mapping_Sheet!$C$2:$C$3143=Q$1,
Master_Mapping_Sheet!$H$2:$H$3143=$A26))/sum(filter(
Master_Mapping_Sheet!$E$2:$E$3143, ISNUMBER(
Master_Mapping_Sh"&amp;"eet!$E$2:$E$3143),
Master_Mapping_Sheet!$H$2:$H$3143=$A26))), 0, sum(filter(
Master_Mapping_Sheet!$E$2:$E$3143, ISNUMBER(
Master_Mapping_Sheet!$E$2:$E$3143),
Master_Mapping_Sheet!$C$2:$C$3143=Q$1,
Master_Mapping_Sheet!$H$2:$H$3143=$A26))/sum(filter(
Maste"&amp;"r_Mapping_Sheet!$E$2:$E$3143, ISNUMBER(
Master_Mapping_Sheet!$E$2:$E$3143),
Master_Mapping_Sheet!$H$2:$H$3143=$A26)))"),0.0)</f>
        <v>0</v>
      </c>
      <c r="R26" s="34">
        <f>IFERROR(__xludf.DUMMYFUNCTION("IF(ISNA(sum(filter(
Master_Mapping_Sheet!$E$2:$E$3143, ISNUMBER(
Master_Mapping_Sheet!$E$2:$E$3143),
Master_Mapping_Sheet!$C$2:$C$3143=R$1,
Master_Mapping_Sheet!$H$2:$H$3143=$A26))/sum(filter(
Master_Mapping_Sheet!$E$2:$E$3143, ISNUMBER(
Master_Mapping_Sh"&amp;"eet!$E$2:$E$3143),
Master_Mapping_Sheet!$H$2:$H$3143=$A26))), 0, sum(filter(
Master_Mapping_Sheet!$E$2:$E$3143, ISNUMBER(
Master_Mapping_Sheet!$E$2:$E$3143),
Master_Mapping_Sheet!$C$2:$C$3143=R$1,
Master_Mapping_Sheet!$H$2:$H$3143=$A26))/sum(filter(
Maste"&amp;"r_Mapping_Sheet!$E$2:$E$3143, ISNUMBER(
Master_Mapping_Sheet!$E$2:$E$3143),
Master_Mapping_Sheet!$H$2:$H$3143=$A26)))"),0.0)</f>
        <v>0</v>
      </c>
      <c r="S26" s="34">
        <f>IFERROR(__xludf.DUMMYFUNCTION("IF(ISNA(sum(filter(
Master_Mapping_Sheet!$E$2:$E$3143, ISNUMBER(
Master_Mapping_Sheet!$E$2:$E$3143),
Master_Mapping_Sheet!$C$2:$C$3143=S$1,
Master_Mapping_Sheet!$H$2:$H$3143=$A26))/sum(filter(
Master_Mapping_Sheet!$E$2:$E$3143, ISNUMBER(
Master_Mapping_Sh"&amp;"eet!$E$2:$E$3143),
Master_Mapping_Sheet!$H$2:$H$3143=$A26))), 0, sum(filter(
Master_Mapping_Sheet!$E$2:$E$3143, ISNUMBER(
Master_Mapping_Sheet!$E$2:$E$3143),
Master_Mapping_Sheet!$C$2:$C$3143=S$1,
Master_Mapping_Sheet!$H$2:$H$3143=$A26))/sum(filter(
Maste"&amp;"r_Mapping_Sheet!$E$2:$E$3143, ISNUMBER(
Master_Mapping_Sheet!$E$2:$E$3143),
Master_Mapping_Sheet!$H$2:$H$3143=$A26)))"),0.0)</f>
        <v>0</v>
      </c>
      <c r="T26" s="34">
        <f>IFERROR(__xludf.DUMMYFUNCTION("IF(ISNA(sum(filter(
Master_Mapping_Sheet!$E$2:$E$3143, ISNUMBER(
Master_Mapping_Sheet!$E$2:$E$3143),
Master_Mapping_Sheet!$C$2:$C$3143=T$1,
Master_Mapping_Sheet!$H$2:$H$3143=$A26))/sum(filter(
Master_Mapping_Sheet!$E$2:$E$3143, ISNUMBER(
Master_Mapping_Sh"&amp;"eet!$E$2:$E$3143),
Master_Mapping_Sheet!$H$2:$H$3143=$A26))), 0, sum(filter(
Master_Mapping_Sheet!$E$2:$E$3143, ISNUMBER(
Master_Mapping_Sheet!$E$2:$E$3143),
Master_Mapping_Sheet!$C$2:$C$3143=T$1,
Master_Mapping_Sheet!$H$2:$H$3143=$A26))/sum(filter(
Maste"&amp;"r_Mapping_Sheet!$E$2:$E$3143, ISNUMBER(
Master_Mapping_Sheet!$E$2:$E$3143),
Master_Mapping_Sheet!$H$2:$H$3143=$A26)))"),0.0)</f>
        <v>0</v>
      </c>
      <c r="U26" s="34">
        <f>IFERROR(__xludf.DUMMYFUNCTION("IF(ISNA(sum(filter(
Master_Mapping_Sheet!$E$2:$E$3143, ISNUMBER(
Master_Mapping_Sheet!$E$2:$E$3143),
Master_Mapping_Sheet!$C$2:$C$3143=U$1,
Master_Mapping_Sheet!$H$2:$H$3143=$A26))/sum(filter(
Master_Mapping_Sheet!$E$2:$E$3143, ISNUMBER(
Master_Mapping_Sh"&amp;"eet!$E$2:$E$3143),
Master_Mapping_Sheet!$H$2:$H$3143=$A26))), 0, sum(filter(
Master_Mapping_Sheet!$E$2:$E$3143, ISNUMBER(
Master_Mapping_Sheet!$E$2:$E$3143),
Master_Mapping_Sheet!$C$2:$C$3143=U$1,
Master_Mapping_Sheet!$H$2:$H$3143=$A26))/sum(filter(
Maste"&amp;"r_Mapping_Sheet!$E$2:$E$3143, ISNUMBER(
Master_Mapping_Sheet!$E$2:$E$3143),
Master_Mapping_Sheet!$H$2:$H$3143=$A26)))"),0.0)</f>
        <v>0</v>
      </c>
      <c r="V26" s="34">
        <f>IFERROR(__xludf.DUMMYFUNCTION("IF(ISNA(sum(filter(
Master_Mapping_Sheet!$E$2:$E$3143, ISNUMBER(
Master_Mapping_Sheet!$E$2:$E$3143),
Master_Mapping_Sheet!$C$2:$C$3143=V$1,
Master_Mapping_Sheet!$H$2:$H$3143=$A26))/sum(filter(
Master_Mapping_Sheet!$E$2:$E$3143, ISNUMBER(
Master_Mapping_Sh"&amp;"eet!$E$2:$E$3143),
Master_Mapping_Sheet!$H$2:$H$3143=$A26))), 0, sum(filter(
Master_Mapping_Sheet!$E$2:$E$3143, ISNUMBER(
Master_Mapping_Sheet!$E$2:$E$3143),
Master_Mapping_Sheet!$C$2:$C$3143=V$1,
Master_Mapping_Sheet!$H$2:$H$3143=$A26))/sum(filter(
Maste"&amp;"r_Mapping_Sheet!$E$2:$E$3143, ISNUMBER(
Master_Mapping_Sheet!$E$2:$E$3143),
Master_Mapping_Sheet!$H$2:$H$3143=$A26)))"),0.0)</f>
        <v>0</v>
      </c>
      <c r="W26" s="34">
        <f>IFERROR(__xludf.DUMMYFUNCTION("IF(ISNA(sum(filter(
Master_Mapping_Sheet!$E$2:$E$3143, ISNUMBER(
Master_Mapping_Sheet!$E$2:$E$3143),
Master_Mapping_Sheet!$C$2:$C$3143=W$1,
Master_Mapping_Sheet!$H$2:$H$3143=$A26))/sum(filter(
Master_Mapping_Sheet!$E$2:$E$3143, ISNUMBER(
Master_Mapping_Sh"&amp;"eet!$E$2:$E$3143),
Master_Mapping_Sheet!$H$2:$H$3143=$A26))), 0, sum(filter(
Master_Mapping_Sheet!$E$2:$E$3143, ISNUMBER(
Master_Mapping_Sheet!$E$2:$E$3143),
Master_Mapping_Sheet!$C$2:$C$3143=W$1,
Master_Mapping_Sheet!$H$2:$H$3143=$A26))/sum(filter(
Maste"&amp;"r_Mapping_Sheet!$E$2:$E$3143, ISNUMBER(
Master_Mapping_Sheet!$E$2:$E$3143),
Master_Mapping_Sheet!$H$2:$H$3143=$A26)))"),0.0)</f>
        <v>0</v>
      </c>
      <c r="X26" s="34">
        <f>IFERROR(__xludf.DUMMYFUNCTION("IF(ISNA(sum(filter(
Master_Mapping_Sheet!$E$2:$E$3143, ISNUMBER(
Master_Mapping_Sheet!$E$2:$E$3143),
Master_Mapping_Sheet!$C$2:$C$3143=X$1,
Master_Mapping_Sheet!$H$2:$H$3143=$A26))/sum(filter(
Master_Mapping_Sheet!$E$2:$E$3143, ISNUMBER(
Master_Mapping_Sh"&amp;"eet!$E$2:$E$3143),
Master_Mapping_Sheet!$H$2:$H$3143=$A26))), 0, sum(filter(
Master_Mapping_Sheet!$E$2:$E$3143, ISNUMBER(
Master_Mapping_Sheet!$E$2:$E$3143),
Master_Mapping_Sheet!$C$2:$C$3143=X$1,
Master_Mapping_Sheet!$H$2:$H$3143=$A26))/sum(filter(
Maste"&amp;"r_Mapping_Sheet!$E$2:$E$3143, ISNUMBER(
Master_Mapping_Sheet!$E$2:$E$3143),
Master_Mapping_Sheet!$H$2:$H$3143=$A26)))"),0.0)</f>
        <v>0</v>
      </c>
      <c r="Y26" s="34">
        <f>IFERROR(__xludf.DUMMYFUNCTION("IF(ISNA(sum(filter(
Master_Mapping_Sheet!$E$2:$E$3143, ISNUMBER(
Master_Mapping_Sheet!$E$2:$E$3143),
Master_Mapping_Sheet!$C$2:$C$3143=Y$1,
Master_Mapping_Sheet!$H$2:$H$3143=$A26))/sum(filter(
Master_Mapping_Sheet!$E$2:$E$3143, ISNUMBER(
Master_Mapping_Sh"&amp;"eet!$E$2:$E$3143),
Master_Mapping_Sheet!$H$2:$H$3143=$A26))), 0, sum(filter(
Master_Mapping_Sheet!$E$2:$E$3143, ISNUMBER(
Master_Mapping_Sheet!$E$2:$E$3143),
Master_Mapping_Sheet!$C$2:$C$3143=Y$1,
Master_Mapping_Sheet!$H$2:$H$3143=$A26))/sum(filter(
Maste"&amp;"r_Mapping_Sheet!$E$2:$E$3143, ISNUMBER(
Master_Mapping_Sheet!$E$2:$E$3143),
Master_Mapping_Sheet!$H$2:$H$3143=$A26)))"),0.0)</f>
        <v>0</v>
      </c>
      <c r="Z26" s="34">
        <f>IFERROR(__xludf.DUMMYFUNCTION("IF(ISNA(sum(filter(
Master_Mapping_Sheet!$E$2:$E$3143, ISNUMBER(
Master_Mapping_Sheet!$E$2:$E$3143),
Master_Mapping_Sheet!$C$2:$C$3143=Z$1,
Master_Mapping_Sheet!$H$2:$H$3143=$A26))/sum(filter(
Master_Mapping_Sheet!$E$2:$E$3143, ISNUMBER(
Master_Mapping_Sh"&amp;"eet!$E$2:$E$3143),
Master_Mapping_Sheet!$H$2:$H$3143=$A26))), 0, sum(filter(
Master_Mapping_Sheet!$E$2:$E$3143, ISNUMBER(
Master_Mapping_Sheet!$E$2:$E$3143),
Master_Mapping_Sheet!$C$2:$C$3143=Z$1,
Master_Mapping_Sheet!$H$2:$H$3143=$A26))/sum(filter(
Maste"&amp;"r_Mapping_Sheet!$E$2:$E$3143, ISNUMBER(
Master_Mapping_Sheet!$E$2:$E$3143),
Master_Mapping_Sheet!$H$2:$H$3143=$A26)))"),0.0)</f>
        <v>0</v>
      </c>
      <c r="AA26" s="34">
        <f>IFERROR(__xludf.DUMMYFUNCTION("IF(ISNA(sum(filter(
Master_Mapping_Sheet!$E$2:$E$3143, ISNUMBER(
Master_Mapping_Sheet!$E$2:$E$3143),
Master_Mapping_Sheet!$C$2:$C$3143=AA$1,
Master_Mapping_Sheet!$H$2:$H$3143=$A26))/sum(filter(
Master_Mapping_Sheet!$E$2:$E$3143, ISNUMBER(
Master_Mapping_S"&amp;"heet!$E$2:$E$3143),
Master_Mapping_Sheet!$H$2:$H$3143=$A26))), 0, sum(filter(
Master_Mapping_Sheet!$E$2:$E$3143, ISNUMBER(
Master_Mapping_Sheet!$E$2:$E$3143),
Master_Mapping_Sheet!$C$2:$C$3143=AA$1,
Master_Mapping_Sheet!$H$2:$H$3143=$A26))/sum(filter(
Mas"&amp;"ter_Mapping_Sheet!$E$2:$E$3143, ISNUMBER(
Master_Mapping_Sheet!$E$2:$E$3143),
Master_Mapping_Sheet!$H$2:$H$3143=$A26)))"),0.0)</f>
        <v>0</v>
      </c>
      <c r="AB26" s="34">
        <f>IFERROR(__xludf.DUMMYFUNCTION("IF(ISNA(sum(filter(
Master_Mapping_Sheet!$E$2:$E$3143, ISNUMBER(
Master_Mapping_Sheet!$E$2:$E$3143),
Master_Mapping_Sheet!$C$2:$C$3143=AB$1,
Master_Mapping_Sheet!$H$2:$H$3143=$A26))/sum(filter(
Master_Mapping_Sheet!$E$2:$E$3143, ISNUMBER(
Master_Mapping_S"&amp;"heet!$E$2:$E$3143),
Master_Mapping_Sheet!$H$2:$H$3143=$A26))), 0, sum(filter(
Master_Mapping_Sheet!$E$2:$E$3143, ISNUMBER(
Master_Mapping_Sheet!$E$2:$E$3143),
Master_Mapping_Sheet!$C$2:$C$3143=AB$1,
Master_Mapping_Sheet!$H$2:$H$3143=$A26))/sum(filter(
Mas"&amp;"ter_Mapping_Sheet!$E$2:$E$3143, ISNUMBER(
Master_Mapping_Sheet!$E$2:$E$3143),
Master_Mapping_Sheet!$H$2:$H$3143=$A26)))"),0.0)</f>
        <v>0</v>
      </c>
      <c r="AC26" s="34">
        <f>IFERROR(__xludf.DUMMYFUNCTION("IF(ISNA(sum(filter(
Master_Mapping_Sheet!$E$2:$E$3143, ISNUMBER(
Master_Mapping_Sheet!$E$2:$E$3143),
Master_Mapping_Sheet!$C$2:$C$3143=AC$1,
Master_Mapping_Sheet!$H$2:$H$3143=$A26))/sum(filter(
Master_Mapping_Sheet!$E$2:$E$3143, ISNUMBER(
Master_Mapping_S"&amp;"heet!$E$2:$E$3143),
Master_Mapping_Sheet!$H$2:$H$3143=$A26))), 0, sum(filter(
Master_Mapping_Sheet!$E$2:$E$3143, ISNUMBER(
Master_Mapping_Sheet!$E$2:$E$3143),
Master_Mapping_Sheet!$C$2:$C$3143=AC$1,
Master_Mapping_Sheet!$H$2:$H$3143=$A26))/sum(filter(
Mas"&amp;"ter_Mapping_Sheet!$E$2:$E$3143, ISNUMBER(
Master_Mapping_Sheet!$E$2:$E$3143),
Master_Mapping_Sheet!$H$2:$H$3143=$A26)))"),0.0)</f>
        <v>0</v>
      </c>
      <c r="AD26" s="34">
        <f>IFERROR(__xludf.DUMMYFUNCTION("IF(ISNA(sum(filter(
Master_Mapping_Sheet!$E$2:$E$3143, ISNUMBER(
Master_Mapping_Sheet!$E$2:$E$3143),
Master_Mapping_Sheet!$C$2:$C$3143=AD$1,
Master_Mapping_Sheet!$H$2:$H$3143=$A26))/sum(filter(
Master_Mapping_Sheet!$E$2:$E$3143, ISNUMBER(
Master_Mapping_S"&amp;"heet!$E$2:$E$3143),
Master_Mapping_Sheet!$H$2:$H$3143=$A26))), 0, sum(filter(
Master_Mapping_Sheet!$E$2:$E$3143, ISNUMBER(
Master_Mapping_Sheet!$E$2:$E$3143),
Master_Mapping_Sheet!$C$2:$C$3143=AD$1,
Master_Mapping_Sheet!$H$2:$H$3143=$A26))/sum(filter(
Mas"&amp;"ter_Mapping_Sheet!$E$2:$E$3143, ISNUMBER(
Master_Mapping_Sheet!$E$2:$E$3143),
Master_Mapping_Sheet!$H$2:$H$3143=$A26)))"),0.37542434188295376)</f>
        <v>0.3754243419</v>
      </c>
      <c r="AE26" s="34">
        <f>IFERROR(__xludf.DUMMYFUNCTION("IF(ISNA(sum(filter(
Master_Mapping_Sheet!$E$2:$E$3143, ISNUMBER(
Master_Mapping_Sheet!$E$2:$E$3143),
Master_Mapping_Sheet!$C$2:$C$3143=AE$1,
Master_Mapping_Sheet!$H$2:$H$3143=$A26))/sum(filter(
Master_Mapping_Sheet!$E$2:$E$3143, ISNUMBER(
Master_Mapping_S"&amp;"heet!$E$2:$E$3143),
Master_Mapping_Sheet!$H$2:$H$3143=$A26))), 0, sum(filter(
Master_Mapping_Sheet!$E$2:$E$3143, ISNUMBER(
Master_Mapping_Sheet!$E$2:$E$3143),
Master_Mapping_Sheet!$C$2:$C$3143=AE$1,
Master_Mapping_Sheet!$H$2:$H$3143=$A26))/sum(filter(
Mas"&amp;"ter_Mapping_Sheet!$E$2:$E$3143, ISNUMBER(
Master_Mapping_Sheet!$E$2:$E$3143),
Master_Mapping_Sheet!$H$2:$H$3143=$A26)))"),0.0)</f>
        <v>0</v>
      </c>
      <c r="AF26" s="34">
        <f>IFERROR(__xludf.DUMMYFUNCTION("IF(ISNA(sum(filter(
Master_Mapping_Sheet!$E$2:$E$3143, ISNUMBER(
Master_Mapping_Sheet!$E$2:$E$3143),
Master_Mapping_Sheet!$C$2:$C$3143=AF$1,
Master_Mapping_Sheet!$H$2:$H$3143=$A26))/sum(filter(
Master_Mapping_Sheet!$E$2:$E$3143, ISNUMBER(
Master_Mapping_S"&amp;"heet!$E$2:$E$3143),
Master_Mapping_Sheet!$H$2:$H$3143=$A26))), 0, sum(filter(
Master_Mapping_Sheet!$E$2:$E$3143, ISNUMBER(
Master_Mapping_Sheet!$E$2:$E$3143),
Master_Mapping_Sheet!$C$2:$C$3143=AF$1,
Master_Mapping_Sheet!$H$2:$H$3143=$A26))/sum(filter(
Mas"&amp;"ter_Mapping_Sheet!$E$2:$E$3143, ISNUMBER(
Master_Mapping_Sheet!$E$2:$E$3143),
Master_Mapping_Sheet!$H$2:$H$3143=$A26)))"),0.0)</f>
        <v>0</v>
      </c>
      <c r="AG26" s="34">
        <f>IFERROR(__xludf.DUMMYFUNCTION("IF(ISNA(sum(filter(
Master_Mapping_Sheet!$E$2:$E$3143, ISNUMBER(
Master_Mapping_Sheet!$E$2:$E$3143),
Master_Mapping_Sheet!$C$2:$C$3143=AG$1,
Master_Mapping_Sheet!$H$2:$H$3143=$A26))/sum(filter(
Master_Mapping_Sheet!$E$2:$E$3143, ISNUMBER(
Master_Mapping_S"&amp;"heet!$E$2:$E$3143),
Master_Mapping_Sheet!$H$2:$H$3143=$A26))), 0, sum(filter(
Master_Mapping_Sheet!$E$2:$E$3143, ISNUMBER(
Master_Mapping_Sheet!$E$2:$E$3143),
Master_Mapping_Sheet!$C$2:$C$3143=AG$1,
Master_Mapping_Sheet!$H$2:$H$3143=$A26))/sum(filter(
Mas"&amp;"ter_Mapping_Sheet!$E$2:$E$3143, ISNUMBER(
Master_Mapping_Sheet!$E$2:$E$3143),
Master_Mapping_Sheet!$H$2:$H$3143=$A26)))"),0.0)</f>
        <v>0</v>
      </c>
      <c r="AH26" s="34">
        <f>IFERROR(__xludf.DUMMYFUNCTION("IF(ISNA(sum(filter(
Master_Mapping_Sheet!$E$2:$E$3143, ISNUMBER(
Master_Mapping_Sheet!$E$2:$E$3143),
Master_Mapping_Sheet!$C$2:$C$3143=AH$1,
Master_Mapping_Sheet!$H$2:$H$3143=$A26))/sum(filter(
Master_Mapping_Sheet!$E$2:$E$3143, ISNUMBER(
Master_Mapping_S"&amp;"heet!$E$2:$E$3143),
Master_Mapping_Sheet!$H$2:$H$3143=$A26))), 0, sum(filter(
Master_Mapping_Sheet!$E$2:$E$3143, ISNUMBER(
Master_Mapping_Sheet!$E$2:$E$3143),
Master_Mapping_Sheet!$C$2:$C$3143=AH$1,
Master_Mapping_Sheet!$H$2:$H$3143=$A26))/sum(filter(
Mas"&amp;"ter_Mapping_Sheet!$E$2:$E$3143, ISNUMBER(
Master_Mapping_Sheet!$E$2:$E$3143),
Master_Mapping_Sheet!$H$2:$H$3143=$A26)))"),0.0)</f>
        <v>0</v>
      </c>
      <c r="AI26" s="34">
        <f>IFERROR(__xludf.DUMMYFUNCTION("IF(ISNA(sum(filter(
Master_Mapping_Sheet!$E$2:$E$3143, ISNUMBER(
Master_Mapping_Sheet!$E$2:$E$3143),
Master_Mapping_Sheet!$C$2:$C$3143=AI$1,
Master_Mapping_Sheet!$H$2:$H$3143=$A26))/sum(filter(
Master_Mapping_Sheet!$E$2:$E$3143, ISNUMBER(
Master_Mapping_S"&amp;"heet!$E$2:$E$3143),
Master_Mapping_Sheet!$H$2:$H$3143=$A26))), 0, sum(filter(
Master_Mapping_Sheet!$E$2:$E$3143, ISNUMBER(
Master_Mapping_Sheet!$E$2:$E$3143),
Master_Mapping_Sheet!$C$2:$C$3143=AI$1,
Master_Mapping_Sheet!$H$2:$H$3143=$A26))/sum(filter(
Mas"&amp;"ter_Mapping_Sheet!$E$2:$E$3143, ISNUMBER(
Master_Mapping_Sheet!$E$2:$E$3143),
Master_Mapping_Sheet!$H$2:$H$3143=$A26)))"),0.0)</f>
        <v>0</v>
      </c>
      <c r="AJ26" s="34">
        <f>IFERROR(__xludf.DUMMYFUNCTION("IF(ISNA(sum(filter(
Master_Mapping_Sheet!$E$2:$E$3143, ISNUMBER(
Master_Mapping_Sheet!$E$2:$E$3143),
Master_Mapping_Sheet!$C$2:$C$3143=AJ$1,
Master_Mapping_Sheet!$H$2:$H$3143=$A26))/sum(filter(
Master_Mapping_Sheet!$E$2:$E$3143, ISNUMBER(
Master_Mapping_S"&amp;"heet!$E$2:$E$3143),
Master_Mapping_Sheet!$H$2:$H$3143=$A26))), 0, sum(filter(
Master_Mapping_Sheet!$E$2:$E$3143, ISNUMBER(
Master_Mapping_Sheet!$E$2:$E$3143),
Master_Mapping_Sheet!$C$2:$C$3143=AJ$1,
Master_Mapping_Sheet!$H$2:$H$3143=$A26))/sum(filter(
Mas"&amp;"ter_Mapping_Sheet!$E$2:$E$3143, ISNUMBER(
Master_Mapping_Sheet!$E$2:$E$3143),
Master_Mapping_Sheet!$H$2:$H$3143=$A26)))"),0.0)</f>
        <v>0</v>
      </c>
      <c r="AK26" s="34">
        <f>IFERROR(__xludf.DUMMYFUNCTION("IF(ISNA(sum(filter(
Master_Mapping_Sheet!$E$2:$E$3143, ISNUMBER(
Master_Mapping_Sheet!$E$2:$E$3143),
Master_Mapping_Sheet!$C$2:$C$3143=AK$1,
Master_Mapping_Sheet!$H$2:$H$3143=$A26))/sum(filter(
Master_Mapping_Sheet!$E$2:$E$3143, ISNUMBER(
Master_Mapping_S"&amp;"heet!$E$2:$E$3143),
Master_Mapping_Sheet!$H$2:$H$3143=$A26))), 0, sum(filter(
Master_Mapping_Sheet!$E$2:$E$3143, ISNUMBER(
Master_Mapping_Sheet!$E$2:$E$3143),
Master_Mapping_Sheet!$C$2:$C$3143=AK$1,
Master_Mapping_Sheet!$H$2:$H$3143=$A26))/sum(filter(
Mas"&amp;"ter_Mapping_Sheet!$E$2:$E$3143, ISNUMBER(
Master_Mapping_Sheet!$E$2:$E$3143),
Master_Mapping_Sheet!$H$2:$H$3143=$A26)))"),0.0)</f>
        <v>0</v>
      </c>
      <c r="AL26" s="34">
        <f>IFERROR(__xludf.DUMMYFUNCTION("IF(ISNA(sum(filter(
Master_Mapping_Sheet!$E$2:$E$3143, ISNUMBER(
Master_Mapping_Sheet!$E$2:$E$3143),
Master_Mapping_Sheet!$C$2:$C$3143=AL$1,
Master_Mapping_Sheet!$H$2:$H$3143=$A26))/sum(filter(
Master_Mapping_Sheet!$E$2:$E$3143, ISNUMBER(
Master_Mapping_S"&amp;"heet!$E$2:$E$3143),
Master_Mapping_Sheet!$H$2:$H$3143=$A26))), 0, sum(filter(
Master_Mapping_Sheet!$E$2:$E$3143, ISNUMBER(
Master_Mapping_Sheet!$E$2:$E$3143),
Master_Mapping_Sheet!$C$2:$C$3143=AL$1,
Master_Mapping_Sheet!$H$2:$H$3143=$A26))/sum(filter(
Mas"&amp;"ter_Mapping_Sheet!$E$2:$E$3143, ISNUMBER(
Master_Mapping_Sheet!$E$2:$E$3143),
Master_Mapping_Sheet!$H$2:$H$3143=$A26)))"),0.0)</f>
        <v>0</v>
      </c>
      <c r="AM26" s="34">
        <f>IFERROR(__xludf.DUMMYFUNCTION("IF(ISNA(sum(filter(
Master_Mapping_Sheet!$E$2:$E$3143, ISNUMBER(
Master_Mapping_Sheet!$E$2:$E$3143),
Master_Mapping_Sheet!$C$2:$C$3143=AM$1,
Master_Mapping_Sheet!$H$2:$H$3143=$A26))/sum(filter(
Master_Mapping_Sheet!$E$2:$E$3143, ISNUMBER(
Master_Mapping_S"&amp;"heet!$E$2:$E$3143),
Master_Mapping_Sheet!$H$2:$H$3143=$A26))), 0, sum(filter(
Master_Mapping_Sheet!$E$2:$E$3143, ISNUMBER(
Master_Mapping_Sheet!$E$2:$E$3143),
Master_Mapping_Sheet!$C$2:$C$3143=AM$1,
Master_Mapping_Sheet!$H$2:$H$3143=$A26))/sum(filter(
Mas"&amp;"ter_Mapping_Sheet!$E$2:$E$3143, ISNUMBER(
Master_Mapping_Sheet!$E$2:$E$3143),
Master_Mapping_Sheet!$H$2:$H$3143=$A26)))"),0.0)</f>
        <v>0</v>
      </c>
      <c r="AN26" s="34">
        <f>IFERROR(__xludf.DUMMYFUNCTION("IF(ISNA(sum(filter(
Master_Mapping_Sheet!$E$2:$E$3143, ISNUMBER(
Master_Mapping_Sheet!$E$2:$E$3143),
Master_Mapping_Sheet!$C$2:$C$3143=AN$1,
Master_Mapping_Sheet!$H$2:$H$3143=$A26))/sum(filter(
Master_Mapping_Sheet!$E$2:$E$3143, ISNUMBER(
Master_Mapping_S"&amp;"heet!$E$2:$E$3143),
Master_Mapping_Sheet!$H$2:$H$3143=$A26))), 0, sum(filter(
Master_Mapping_Sheet!$E$2:$E$3143, ISNUMBER(
Master_Mapping_Sheet!$E$2:$E$3143),
Master_Mapping_Sheet!$C$2:$C$3143=AN$1,
Master_Mapping_Sheet!$H$2:$H$3143=$A26))/sum(filter(
Mas"&amp;"ter_Mapping_Sheet!$E$2:$E$3143, ISNUMBER(
Master_Mapping_Sheet!$E$2:$E$3143),
Master_Mapping_Sheet!$H$2:$H$3143=$A26)))"),0.0)</f>
        <v>0</v>
      </c>
      <c r="AO26" s="34">
        <f>IFERROR(__xludf.DUMMYFUNCTION("IF(ISNA(sum(filter(
Master_Mapping_Sheet!$E$2:$E$3143, ISNUMBER(
Master_Mapping_Sheet!$E$2:$E$3143),
Master_Mapping_Sheet!$C$2:$C$3143=AO$1,
Master_Mapping_Sheet!$H$2:$H$3143=$A26))/sum(filter(
Master_Mapping_Sheet!$E$2:$E$3143, ISNUMBER(
Master_Mapping_S"&amp;"heet!$E$2:$E$3143),
Master_Mapping_Sheet!$H$2:$H$3143=$A26))), 0, sum(filter(
Master_Mapping_Sheet!$E$2:$E$3143, ISNUMBER(
Master_Mapping_Sheet!$E$2:$E$3143),
Master_Mapping_Sheet!$C$2:$C$3143=AO$1,
Master_Mapping_Sheet!$H$2:$H$3143=$A26))/sum(filter(
Mas"&amp;"ter_Mapping_Sheet!$E$2:$E$3143, ISNUMBER(
Master_Mapping_Sheet!$E$2:$E$3143),
Master_Mapping_Sheet!$H$2:$H$3143=$A26)))"),0.0)</f>
        <v>0</v>
      </c>
      <c r="AP26" s="34">
        <f>IFERROR(__xludf.DUMMYFUNCTION("IF(ISNA(sum(filter(
Master_Mapping_Sheet!$E$2:$E$3143, ISNUMBER(
Master_Mapping_Sheet!$E$2:$E$3143),
Master_Mapping_Sheet!$C$2:$C$3143=AP$1,
Master_Mapping_Sheet!$H$2:$H$3143=$A26))/sum(filter(
Master_Mapping_Sheet!$E$2:$E$3143, ISNUMBER(
Master_Mapping_S"&amp;"heet!$E$2:$E$3143),
Master_Mapping_Sheet!$H$2:$H$3143=$A26))), 0, sum(filter(
Master_Mapping_Sheet!$E$2:$E$3143, ISNUMBER(
Master_Mapping_Sheet!$E$2:$E$3143),
Master_Mapping_Sheet!$C$2:$C$3143=AP$1,
Master_Mapping_Sheet!$H$2:$H$3143=$A26))/sum(filter(
Mas"&amp;"ter_Mapping_Sheet!$E$2:$E$3143, ISNUMBER(
Master_Mapping_Sheet!$E$2:$E$3143),
Master_Mapping_Sheet!$H$2:$H$3143=$A26)))"),0.0)</f>
        <v>0</v>
      </c>
      <c r="AQ26" s="34">
        <f>IFERROR(__xludf.DUMMYFUNCTION("IF(ISNA(sum(filter(
Master_Mapping_Sheet!$E$2:$E$3143, ISNUMBER(
Master_Mapping_Sheet!$E$2:$E$3143),
Master_Mapping_Sheet!$C$2:$C$3143=AQ$1,
Master_Mapping_Sheet!$H$2:$H$3143=$A26))/sum(filter(
Master_Mapping_Sheet!$E$2:$E$3143, ISNUMBER(
Master_Mapping_S"&amp;"heet!$E$2:$E$3143),
Master_Mapping_Sheet!$H$2:$H$3143=$A26))), 0, sum(filter(
Master_Mapping_Sheet!$E$2:$E$3143, ISNUMBER(
Master_Mapping_Sheet!$E$2:$E$3143),
Master_Mapping_Sheet!$C$2:$C$3143=AQ$1,
Master_Mapping_Sheet!$H$2:$H$3143=$A26))/sum(filter(
Mas"&amp;"ter_Mapping_Sheet!$E$2:$E$3143, ISNUMBER(
Master_Mapping_Sheet!$E$2:$E$3143),
Master_Mapping_Sheet!$H$2:$H$3143=$A26)))"),0.0)</f>
        <v>0</v>
      </c>
      <c r="AR26" s="34">
        <f>IFERROR(__xludf.DUMMYFUNCTION("IF(ISNA(sum(filter(
Master_Mapping_Sheet!$E$2:$E$3143, ISNUMBER(
Master_Mapping_Sheet!$E$2:$E$3143),
Master_Mapping_Sheet!$C$2:$C$3143=AR$1,
Master_Mapping_Sheet!$H$2:$H$3143=$A26))/sum(filter(
Master_Mapping_Sheet!$E$2:$E$3143, ISNUMBER(
Master_Mapping_S"&amp;"heet!$E$2:$E$3143),
Master_Mapping_Sheet!$H$2:$H$3143=$A26))), 0, sum(filter(
Master_Mapping_Sheet!$E$2:$E$3143, ISNUMBER(
Master_Mapping_Sheet!$E$2:$E$3143),
Master_Mapping_Sheet!$C$2:$C$3143=AR$1,
Master_Mapping_Sheet!$H$2:$H$3143=$A26))/sum(filter(
Mas"&amp;"ter_Mapping_Sheet!$E$2:$E$3143, ISNUMBER(
Master_Mapping_Sheet!$E$2:$E$3143),
Master_Mapping_Sheet!$H$2:$H$3143=$A26)))"),0.0)</f>
        <v>0</v>
      </c>
      <c r="AS26" s="34">
        <f>IFERROR(__xludf.DUMMYFUNCTION("IF(ISNA(sum(filter(
Master_Mapping_Sheet!$E$2:$E$3143, ISNUMBER(
Master_Mapping_Sheet!$E$2:$E$3143),
Master_Mapping_Sheet!$C$2:$C$3143=AS$1,
Master_Mapping_Sheet!$H$2:$H$3143=$A26))/sum(filter(
Master_Mapping_Sheet!$E$2:$E$3143, ISNUMBER(
Master_Mapping_S"&amp;"heet!$E$2:$E$3143),
Master_Mapping_Sheet!$H$2:$H$3143=$A26))), 0, sum(filter(
Master_Mapping_Sheet!$E$2:$E$3143, ISNUMBER(
Master_Mapping_Sheet!$E$2:$E$3143),
Master_Mapping_Sheet!$C$2:$C$3143=AS$1,
Master_Mapping_Sheet!$H$2:$H$3143=$A26))/sum(filter(
Mas"&amp;"ter_Mapping_Sheet!$E$2:$E$3143, ISNUMBER(
Master_Mapping_Sheet!$E$2:$E$3143),
Master_Mapping_Sheet!$H$2:$H$3143=$A26)))"),0.0)</f>
        <v>0</v>
      </c>
      <c r="AT26" s="34">
        <f>IFERROR(__xludf.DUMMYFUNCTION("IF(ISNA(sum(filter(
Master_Mapping_Sheet!$E$2:$E$3143, ISNUMBER(
Master_Mapping_Sheet!$E$2:$E$3143),
Master_Mapping_Sheet!$C$2:$C$3143=AT$1,
Master_Mapping_Sheet!$H$2:$H$3143=$A26))/sum(filter(
Master_Mapping_Sheet!$E$2:$E$3143, ISNUMBER(
Master_Mapping_S"&amp;"heet!$E$2:$E$3143),
Master_Mapping_Sheet!$H$2:$H$3143=$A26))), 0, sum(filter(
Master_Mapping_Sheet!$E$2:$E$3143, ISNUMBER(
Master_Mapping_Sheet!$E$2:$E$3143),
Master_Mapping_Sheet!$C$2:$C$3143=AT$1,
Master_Mapping_Sheet!$H$2:$H$3143=$A26))/sum(filter(
Mas"&amp;"ter_Mapping_Sheet!$E$2:$E$3143, ISNUMBER(
Master_Mapping_Sheet!$E$2:$E$3143),
Master_Mapping_Sheet!$H$2:$H$3143=$A26)))"),0.40170001204723693)</f>
        <v>0.401700012</v>
      </c>
      <c r="AU26" s="34">
        <f>IFERROR(__xludf.DUMMYFUNCTION("IF(ISNA(sum(filter(
Master_Mapping_Sheet!$E$2:$E$3143, ISNUMBER(
Master_Mapping_Sheet!$E$2:$E$3143),
Master_Mapping_Sheet!$C$2:$C$3143=AU$1,
Master_Mapping_Sheet!$H$2:$H$3143=$A26))/sum(filter(
Master_Mapping_Sheet!$E$2:$E$3143, ISNUMBER(
Master_Mapping_S"&amp;"heet!$E$2:$E$3143),
Master_Mapping_Sheet!$H$2:$H$3143=$A26))), 0, sum(filter(
Master_Mapping_Sheet!$E$2:$E$3143, ISNUMBER(
Master_Mapping_Sheet!$E$2:$E$3143),
Master_Mapping_Sheet!$C$2:$C$3143=AU$1,
Master_Mapping_Sheet!$H$2:$H$3143=$A26))/sum(filter(
Mas"&amp;"ter_Mapping_Sheet!$E$2:$E$3143, ISNUMBER(
Master_Mapping_Sheet!$E$2:$E$3143),
Master_Mapping_Sheet!$H$2:$H$3143=$A26)))"),0.0)</f>
        <v>0</v>
      </c>
      <c r="AV26" s="34">
        <f>IFERROR(__xludf.DUMMYFUNCTION("IF(ISNA(sum(filter(
Master_Mapping_Sheet!$E$2:$E$3143, ISNUMBER(
Master_Mapping_Sheet!$E$2:$E$3143),
Master_Mapping_Sheet!$C$2:$C$3143=AV$1,
Master_Mapping_Sheet!$H$2:$H$3143=$A26))/sum(filter(
Master_Mapping_Sheet!$E$2:$E$3143, ISNUMBER(
Master_Mapping_S"&amp;"heet!$E$2:$E$3143),
Master_Mapping_Sheet!$H$2:$H$3143=$A26))), 0, sum(filter(
Master_Mapping_Sheet!$E$2:$E$3143, ISNUMBER(
Master_Mapping_Sheet!$E$2:$E$3143),
Master_Mapping_Sheet!$C$2:$C$3143=AV$1,
Master_Mapping_Sheet!$H$2:$H$3143=$A26))/sum(filter(
Mas"&amp;"ter_Mapping_Sheet!$E$2:$E$3143, ISNUMBER(
Master_Mapping_Sheet!$E$2:$E$3143),
Master_Mapping_Sheet!$H$2:$H$3143=$A26)))"),0.0)</f>
        <v>0</v>
      </c>
      <c r="AW26" s="34">
        <f>IFERROR(__xludf.DUMMYFUNCTION("IF(ISNA(sum(filter(
Master_Mapping_Sheet!$E$2:$E$3143, ISNUMBER(
Master_Mapping_Sheet!$E$2:$E$3143),
Master_Mapping_Sheet!$C$2:$C$3143=AW$1,
Master_Mapping_Sheet!$H$2:$H$3143=$A26))/sum(filter(
Master_Mapping_Sheet!$E$2:$E$3143, ISNUMBER(
Master_Mapping_S"&amp;"heet!$E$2:$E$3143),
Master_Mapping_Sheet!$H$2:$H$3143=$A26))), 0, sum(filter(
Master_Mapping_Sheet!$E$2:$E$3143, ISNUMBER(
Master_Mapping_Sheet!$E$2:$E$3143),
Master_Mapping_Sheet!$C$2:$C$3143=AW$1,
Master_Mapping_Sheet!$H$2:$H$3143=$A26))/sum(filter(
Mas"&amp;"ter_Mapping_Sheet!$E$2:$E$3143, ISNUMBER(
Master_Mapping_Sheet!$E$2:$E$3143),
Master_Mapping_Sheet!$H$2:$H$3143=$A26)))"),0.0)</f>
        <v>0</v>
      </c>
      <c r="AX26" s="34">
        <f>IFERROR(__xludf.DUMMYFUNCTION("IF(ISNA(sum(filter(
Master_Mapping_Sheet!$E$2:$E$3143, ISNUMBER(
Master_Mapping_Sheet!$E$2:$E$3143),
Master_Mapping_Sheet!$C$2:$C$3143=AX$1,
Master_Mapping_Sheet!$H$2:$H$3143=$A26))/sum(filter(
Master_Mapping_Sheet!$E$2:$E$3143, ISNUMBER(
Master_Mapping_S"&amp;"heet!$E$2:$E$3143),
Master_Mapping_Sheet!$H$2:$H$3143=$A26))), 0, sum(filter(
Master_Mapping_Sheet!$E$2:$E$3143, ISNUMBER(
Master_Mapping_Sheet!$E$2:$E$3143),
Master_Mapping_Sheet!$C$2:$C$3143=AX$1,
Master_Mapping_Sheet!$H$2:$H$3143=$A26))/sum(filter(
Mas"&amp;"ter_Mapping_Sheet!$E$2:$E$3143, ISNUMBER(
Master_Mapping_Sheet!$E$2:$E$3143),
Master_Mapping_Sheet!$H$2:$H$3143=$A26)))"),0.0)</f>
        <v>0</v>
      </c>
      <c r="AY26" s="34">
        <f>IFERROR(__xludf.DUMMYFUNCTION("IF(ISNA(sum(filter(
Master_Mapping_Sheet!$E$2:$E$3143, ISNUMBER(
Master_Mapping_Sheet!$E$2:$E$3143),
Master_Mapping_Sheet!$C$2:$C$3143=AY$1,
Master_Mapping_Sheet!$H$2:$H$3143=$A26))/sum(filter(
Master_Mapping_Sheet!$E$2:$E$3143, ISNUMBER(
Master_Mapping_S"&amp;"heet!$E$2:$E$3143),
Master_Mapping_Sheet!$H$2:$H$3143=$A26))), 0, sum(filter(
Master_Mapping_Sheet!$E$2:$E$3143, ISNUMBER(
Master_Mapping_Sheet!$E$2:$E$3143),
Master_Mapping_Sheet!$C$2:$C$3143=AY$1,
Master_Mapping_Sheet!$H$2:$H$3143=$A26))/sum(filter(
Mas"&amp;"ter_Mapping_Sheet!$E$2:$E$3143, ISNUMBER(
Master_Mapping_Sheet!$E$2:$E$3143),
Master_Mapping_Sheet!$H$2:$H$3143=$A26)))"),0.0)</f>
        <v>0</v>
      </c>
      <c r="AZ26" s="34">
        <f>IFERROR(__xludf.DUMMYFUNCTION("IF(ISNA(sum(filter(
Master_Mapping_Sheet!$E$2:$E$3143, ISNUMBER(
Master_Mapping_Sheet!$E$2:$E$3143),
Master_Mapping_Sheet!$C$2:$C$3143=AZ$1,
Master_Mapping_Sheet!$H$2:$H$3143=$A26))/sum(filter(
Master_Mapping_Sheet!$E$2:$E$3143, ISNUMBER(
Master_Mapping_S"&amp;"heet!$E$2:$E$3143),
Master_Mapping_Sheet!$H$2:$H$3143=$A26))), 0, sum(filter(
Master_Mapping_Sheet!$E$2:$E$3143, ISNUMBER(
Master_Mapping_Sheet!$E$2:$E$3143),
Master_Mapping_Sheet!$C$2:$C$3143=AZ$1,
Master_Mapping_Sheet!$H$2:$H$3143=$A26))/sum(filter(
Mas"&amp;"ter_Mapping_Sheet!$E$2:$E$3143, ISNUMBER(
Master_Mapping_Sheet!$E$2:$E$3143),
Master_Mapping_Sheet!$H$2:$H$3143=$A26)))"),0.035764309032195504)</f>
        <v>0.03576430903</v>
      </c>
    </row>
    <row r="27" ht="15.75" customHeight="1">
      <c r="C27" s="32"/>
    </row>
    <row r="28" ht="15.75" customHeight="1">
      <c r="C28" s="32"/>
    </row>
    <row r="29" ht="15.75" customHeight="1">
      <c r="C29" s="32"/>
    </row>
    <row r="30" ht="15.75" customHeight="1">
      <c r="C30" s="32"/>
    </row>
    <row r="31" ht="15.75" customHeight="1">
      <c r="C31" s="32"/>
    </row>
    <row r="32" ht="15.75" customHeight="1">
      <c r="C32" s="32"/>
    </row>
    <row r="33" ht="15.75" customHeight="1">
      <c r="C33" s="32"/>
    </row>
    <row r="34" ht="15.75" customHeight="1">
      <c r="C34" s="32"/>
    </row>
    <row r="35" ht="15.75" customHeight="1">
      <c r="C35" s="32"/>
    </row>
    <row r="36" ht="15.75" customHeight="1">
      <c r="C36" s="32"/>
    </row>
    <row r="37" ht="15.75" customHeight="1">
      <c r="C37" s="32"/>
    </row>
    <row r="38" ht="15.75" customHeight="1">
      <c r="C38" s="32"/>
    </row>
    <row r="39" ht="15.75" customHeight="1">
      <c r="C39" s="32"/>
    </row>
    <row r="40" ht="15.75" customHeight="1">
      <c r="C40" s="32"/>
    </row>
    <row r="41" ht="15.75" customHeight="1">
      <c r="C41" s="32"/>
    </row>
    <row r="42" ht="15.75" customHeight="1">
      <c r="C42" s="32"/>
    </row>
    <row r="43" ht="15.75" customHeight="1">
      <c r="C43" s="32"/>
    </row>
    <row r="44" ht="15.75" customHeight="1">
      <c r="C44" s="32"/>
    </row>
    <row r="45" ht="15.75" customHeight="1">
      <c r="C45" s="32"/>
    </row>
    <row r="46" ht="15.75" customHeight="1">
      <c r="C46" s="32"/>
    </row>
    <row r="47" ht="15.75" customHeight="1">
      <c r="C47" s="32"/>
    </row>
    <row r="48" ht="15.75" customHeight="1">
      <c r="C48" s="32"/>
    </row>
    <row r="49" ht="15.75" customHeight="1">
      <c r="C49" s="32"/>
    </row>
    <row r="50" ht="15.75" customHeight="1">
      <c r="C50" s="32"/>
    </row>
    <row r="51" ht="15.75" customHeight="1">
      <c r="C51" s="32"/>
    </row>
    <row r="52" ht="15.75" customHeight="1">
      <c r="C52" s="32"/>
    </row>
    <row r="53" ht="15.75" customHeight="1">
      <c r="C53" s="32"/>
    </row>
    <row r="54" ht="15.75" customHeight="1">
      <c r="C54" s="32"/>
    </row>
    <row r="55" ht="15.75" customHeight="1">
      <c r="C55" s="32"/>
    </row>
    <row r="56" ht="15.75" customHeight="1">
      <c r="C56" s="32"/>
    </row>
    <row r="57" ht="15.75" customHeight="1">
      <c r="C57" s="32"/>
    </row>
    <row r="58" ht="15.75" customHeight="1">
      <c r="C58" s="32"/>
    </row>
    <row r="59" ht="15.75" customHeight="1">
      <c r="C59" s="32"/>
    </row>
    <row r="60" ht="15.75" customHeight="1">
      <c r="C60" s="32"/>
    </row>
    <row r="61" ht="15.75" customHeight="1">
      <c r="C61" s="32"/>
    </row>
    <row r="62" ht="15.75" customHeight="1">
      <c r="C62" s="32"/>
    </row>
    <row r="63" ht="15.75" customHeight="1">
      <c r="C63" s="32"/>
    </row>
    <row r="64" ht="15.75" customHeight="1">
      <c r="C64" s="32"/>
    </row>
    <row r="65" ht="15.75" customHeight="1">
      <c r="C65" s="32"/>
    </row>
    <row r="66" ht="15.75" customHeight="1">
      <c r="C66" s="32"/>
    </row>
    <row r="67" ht="15.75" customHeight="1">
      <c r="C67" s="32"/>
    </row>
    <row r="68" ht="15.75" customHeight="1">
      <c r="C68" s="32"/>
    </row>
    <row r="69" ht="15.75" customHeight="1">
      <c r="C69" s="32"/>
    </row>
    <row r="70" ht="15.75" customHeight="1">
      <c r="C70" s="32"/>
    </row>
    <row r="71" ht="15.75" customHeight="1">
      <c r="C71" s="32"/>
    </row>
    <row r="72" ht="15.75" customHeight="1">
      <c r="C72" s="32"/>
    </row>
    <row r="73" ht="15.75" customHeight="1">
      <c r="C73" s="32"/>
    </row>
    <row r="74" ht="15.75" customHeight="1">
      <c r="C74" s="32"/>
    </row>
    <row r="75" ht="15.75" customHeight="1">
      <c r="C75" s="32"/>
    </row>
    <row r="76" ht="15.75" customHeight="1">
      <c r="C76" s="32"/>
    </row>
    <row r="77" ht="15.75" customHeight="1">
      <c r="C77" s="32"/>
    </row>
    <row r="78" ht="15.75" customHeight="1">
      <c r="C78" s="32"/>
    </row>
    <row r="79" ht="15.75" customHeight="1">
      <c r="C79" s="32"/>
    </row>
    <row r="80" ht="15.75" customHeight="1">
      <c r="C80" s="32"/>
    </row>
    <row r="81" ht="15.75" customHeight="1">
      <c r="C81" s="32"/>
    </row>
    <row r="82" ht="15.75" customHeight="1">
      <c r="C82" s="32"/>
    </row>
    <row r="83" ht="15.75" customHeight="1">
      <c r="C83" s="32"/>
    </row>
    <row r="84" ht="15.75" customHeight="1">
      <c r="C84" s="32"/>
    </row>
    <row r="85" ht="15.75" customHeight="1">
      <c r="C85" s="32"/>
    </row>
    <row r="86" ht="15.75" customHeight="1">
      <c r="C86" s="32"/>
    </row>
    <row r="87" ht="15.75" customHeight="1">
      <c r="C87" s="32"/>
    </row>
    <row r="88" ht="15.75" customHeight="1">
      <c r="C88" s="32"/>
    </row>
    <row r="89" ht="15.75" customHeight="1">
      <c r="C89" s="32"/>
    </row>
    <row r="90" ht="15.75" customHeight="1">
      <c r="C90" s="32"/>
    </row>
    <row r="91" ht="15.75" customHeight="1">
      <c r="C91" s="32"/>
    </row>
    <row r="92" ht="15.75" customHeight="1">
      <c r="C92" s="32"/>
    </row>
    <row r="93" ht="15.75" customHeight="1">
      <c r="C93" s="32"/>
    </row>
    <row r="94" ht="15.75" customHeight="1">
      <c r="C94" s="32"/>
    </row>
    <row r="95" ht="15.75" customHeight="1">
      <c r="C95" s="32"/>
    </row>
    <row r="96" ht="15.75" customHeight="1">
      <c r="C96" s="32"/>
    </row>
    <row r="97" ht="15.75" customHeight="1">
      <c r="C97" s="32"/>
    </row>
    <row r="98" ht="15.75" customHeight="1">
      <c r="C98" s="32"/>
    </row>
    <row r="99" ht="15.75" customHeight="1">
      <c r="C99" s="32"/>
    </row>
    <row r="100" ht="15.75" customHeight="1">
      <c r="C100" s="32"/>
    </row>
    <row r="101" ht="15.75" customHeight="1">
      <c r="C101" s="32"/>
    </row>
    <row r="102" ht="15.75" customHeight="1">
      <c r="C102" s="32"/>
    </row>
    <row r="103" ht="15.75" customHeight="1">
      <c r="C103" s="32"/>
    </row>
    <row r="104" ht="15.75" customHeight="1">
      <c r="C104" s="32"/>
    </row>
    <row r="105" ht="15.75" customHeight="1">
      <c r="C105" s="32"/>
    </row>
    <row r="106" ht="15.75" customHeight="1">
      <c r="C106" s="32"/>
    </row>
    <row r="107" ht="15.75" customHeight="1">
      <c r="C107" s="32"/>
    </row>
    <row r="108" ht="15.75" customHeight="1">
      <c r="C108" s="32"/>
    </row>
    <row r="109" ht="15.75" customHeight="1">
      <c r="C109" s="32"/>
    </row>
    <row r="110" ht="15.75" customHeight="1">
      <c r="C110" s="32"/>
    </row>
    <row r="111" ht="15.75" customHeight="1">
      <c r="C111" s="32"/>
    </row>
    <row r="112" ht="15.75" customHeight="1">
      <c r="C112" s="32"/>
    </row>
    <row r="113" ht="15.75" customHeight="1">
      <c r="C113" s="32"/>
    </row>
    <row r="114" ht="15.75" customHeight="1">
      <c r="C114" s="32"/>
    </row>
    <row r="115" ht="15.75" customHeight="1">
      <c r="C115" s="32"/>
    </row>
    <row r="116" ht="15.75" customHeight="1">
      <c r="C116" s="32"/>
    </row>
    <row r="117" ht="15.75" customHeight="1">
      <c r="C117" s="32"/>
    </row>
    <row r="118" ht="15.75" customHeight="1">
      <c r="C118" s="32"/>
    </row>
    <row r="119" ht="15.75" customHeight="1">
      <c r="C119" s="32"/>
    </row>
    <row r="120" ht="15.75" customHeight="1">
      <c r="C120" s="32"/>
    </row>
    <row r="121" ht="15.75" customHeight="1">
      <c r="C121" s="32"/>
    </row>
    <row r="122" ht="15.75" customHeight="1">
      <c r="C122" s="32"/>
    </row>
    <row r="123" ht="15.75" customHeight="1">
      <c r="C123" s="32"/>
    </row>
    <row r="124" ht="15.75" customHeight="1">
      <c r="C124" s="32"/>
    </row>
    <row r="125" ht="15.75" customHeight="1">
      <c r="C125" s="32"/>
    </row>
    <row r="126" ht="15.75" customHeight="1">
      <c r="C126" s="32"/>
    </row>
    <row r="127" ht="15.75" customHeight="1">
      <c r="C127" s="32"/>
    </row>
    <row r="128" ht="15.75" customHeight="1">
      <c r="C128" s="32"/>
    </row>
    <row r="129" ht="15.75" customHeight="1">
      <c r="C129" s="32"/>
    </row>
    <row r="130" ht="15.75" customHeight="1">
      <c r="C130" s="32"/>
    </row>
    <row r="131" ht="15.75" customHeight="1">
      <c r="C131" s="32"/>
    </row>
    <row r="132" ht="15.75" customHeight="1">
      <c r="C132" s="32"/>
    </row>
    <row r="133" ht="15.75" customHeight="1">
      <c r="C133" s="32"/>
    </row>
    <row r="134" ht="15.75" customHeight="1">
      <c r="C134" s="32"/>
    </row>
    <row r="135" ht="15.75" customHeight="1">
      <c r="C135" s="32"/>
    </row>
    <row r="136" ht="15.75" customHeight="1">
      <c r="C136" s="32"/>
    </row>
    <row r="137" ht="15.75" customHeight="1">
      <c r="C137" s="32"/>
    </row>
    <row r="138" ht="15.75" customHeight="1">
      <c r="C138" s="32"/>
    </row>
    <row r="139" ht="15.75" customHeight="1">
      <c r="C139" s="32"/>
    </row>
    <row r="140" ht="15.75" customHeight="1">
      <c r="C140" s="32"/>
    </row>
    <row r="141" ht="15.75" customHeight="1">
      <c r="C141" s="32"/>
    </row>
    <row r="142" ht="15.75" customHeight="1">
      <c r="C142" s="32"/>
    </row>
    <row r="143" ht="15.75" customHeight="1">
      <c r="C143" s="32"/>
    </row>
    <row r="144" ht="15.75" customHeight="1">
      <c r="C144" s="32"/>
    </row>
    <row r="145" ht="15.75" customHeight="1">
      <c r="C145" s="32"/>
    </row>
    <row r="146" ht="15.75" customHeight="1">
      <c r="C146" s="32"/>
    </row>
    <row r="147" ht="15.75" customHeight="1">
      <c r="C147" s="32"/>
    </row>
    <row r="148" ht="15.75" customHeight="1">
      <c r="C148" s="32"/>
    </row>
    <row r="149" ht="15.75" customHeight="1">
      <c r="C149" s="32"/>
    </row>
    <row r="150" ht="15.75" customHeight="1">
      <c r="C150" s="32"/>
    </row>
    <row r="151" ht="15.75" customHeight="1">
      <c r="C151" s="32"/>
    </row>
    <row r="152" ht="15.75" customHeight="1">
      <c r="C152" s="32"/>
    </row>
    <row r="153" ht="15.75" customHeight="1">
      <c r="C153" s="32"/>
    </row>
    <row r="154" ht="15.75" customHeight="1">
      <c r="C154" s="32"/>
    </row>
    <row r="155" ht="15.75" customHeight="1">
      <c r="C155" s="32"/>
    </row>
    <row r="156" ht="15.75" customHeight="1">
      <c r="C156" s="32"/>
    </row>
    <row r="157" ht="15.75" customHeight="1">
      <c r="C157" s="32"/>
    </row>
    <row r="158" ht="15.75" customHeight="1">
      <c r="C158" s="32"/>
    </row>
    <row r="159" ht="15.75" customHeight="1">
      <c r="C159" s="32"/>
    </row>
    <row r="160" ht="15.75" customHeight="1">
      <c r="C160" s="32"/>
    </row>
    <row r="161" ht="15.75" customHeight="1">
      <c r="C161" s="32"/>
    </row>
    <row r="162" ht="15.75" customHeight="1">
      <c r="C162" s="32"/>
    </row>
    <row r="163" ht="15.75" customHeight="1">
      <c r="C163" s="32"/>
    </row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</sheetData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8.63"/>
    <col customWidth="1" min="2" max="7" width="12.63"/>
  </cols>
  <sheetData>
    <row r="1" ht="15.75" customHeight="1">
      <c r="A1" s="32" t="s">
        <v>48</v>
      </c>
      <c r="B1" s="45" t="s">
        <v>4226</v>
      </c>
      <c r="C1" s="32" t="s">
        <v>4010</v>
      </c>
      <c r="D1" s="32" t="s">
        <v>3989</v>
      </c>
      <c r="E1" s="32" t="s">
        <v>3996</v>
      </c>
      <c r="F1" s="32" t="s">
        <v>3992</v>
      </c>
      <c r="G1" s="32" t="s">
        <v>4003</v>
      </c>
      <c r="H1" s="32" t="s">
        <v>3974</v>
      </c>
      <c r="I1" s="32" t="s">
        <v>3985</v>
      </c>
      <c r="J1" s="32" t="s">
        <v>4006</v>
      </c>
      <c r="K1" s="32" t="s">
        <v>4005</v>
      </c>
      <c r="L1" s="32" t="s">
        <v>3987</v>
      </c>
      <c r="M1" s="32" t="s">
        <v>3997</v>
      </c>
      <c r="N1" s="32" t="s">
        <v>3994</v>
      </c>
      <c r="O1" s="32" t="s">
        <v>3988</v>
      </c>
      <c r="P1" s="32" t="s">
        <v>4009</v>
      </c>
      <c r="Q1" s="32" t="s">
        <v>3969</v>
      </c>
      <c r="R1" s="32" t="s">
        <v>3970</v>
      </c>
      <c r="S1" s="32" t="s">
        <v>3976</v>
      </c>
      <c r="T1" s="32" t="s">
        <v>4001</v>
      </c>
      <c r="U1" s="32" t="s">
        <v>3999</v>
      </c>
      <c r="V1" s="32" t="s">
        <v>3972</v>
      </c>
      <c r="W1" s="32" t="s">
        <v>3979</v>
      </c>
      <c r="X1" s="32" t="s">
        <v>3981</v>
      </c>
      <c r="Y1" s="32" t="s">
        <v>3980</v>
      </c>
      <c r="Z1" s="32" t="s">
        <v>3983</v>
      </c>
      <c r="AA1" s="32" t="s">
        <v>3990</v>
      </c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  <c r="AQ1" s="32"/>
      <c r="AR1" s="32"/>
      <c r="AS1" s="32"/>
      <c r="AT1" s="32"/>
      <c r="AU1" s="32"/>
    </row>
    <row r="2" ht="15.75" customHeight="1">
      <c r="A2" s="34" t="s">
        <v>101</v>
      </c>
      <c r="B2" s="34" t="s">
        <v>1994</v>
      </c>
      <c r="C2" s="34">
        <f>IFERROR(__xludf.DUMMYFUNCTION("IF(ISNA(sum(filter(
Master_Mapping_Sheet!$E$2:$E$3143, ISNUMBER(
Master_Mapping_Sheet!$E$2:$E$3143),
Master_Mapping_Sheet!$H$2:$H$3143=C$1,
Master_Mapping_Sheet!$B$2:$B$3143=$A2))/sum(filter(
Master_Mapping_Sheet!$E$2:$E$3143, ISNUMBER(
Master_Mapping_She"&amp;"et!$E$2:$E$3143),
Master_Mapping_Sheet!$H$2:$H$3143=C$1))), 0, sum(filter(
Master_Mapping_Sheet!$E$2:$E$3143, ISNUMBER(
Master_Mapping_Sheet!$E$2:$E$3143),
Master_Mapping_Sheet!$H$2:$H$3143=C$1,
Master_Mapping_Sheet!$B$2:$B$3143=$A2))/sum(filter(
Master_M"&amp;"apping_Sheet!$E$2:$E$3143, ISNUMBER(
Master_Mapping_Sheet!$E$2:$E$3143),
Master_Mapping_Sheet!$H$2:$H$3143=C$1)))"),0.0)</f>
        <v>0</v>
      </c>
      <c r="D2" s="34">
        <f>IFERROR(__xludf.DUMMYFUNCTION("IF(ISNA(sum(filter(
Master_Mapping_Sheet!$E$2:$E$3143, ISNUMBER(
Master_Mapping_Sheet!$E$2:$E$3143),
Master_Mapping_Sheet!$H$2:$H$3143=D$1,
Master_Mapping_Sheet!$B$2:$B$3143=$A2))/sum(filter(
Master_Mapping_Sheet!$E$2:$E$3143, ISNUMBER(
Master_Mapping_She"&amp;"et!$E$2:$E$3143),
Master_Mapping_Sheet!$H$2:$H$3143=D$1))), 0, sum(filter(
Master_Mapping_Sheet!$E$2:$E$3143, ISNUMBER(
Master_Mapping_Sheet!$E$2:$E$3143),
Master_Mapping_Sheet!$H$2:$H$3143=D$1,
Master_Mapping_Sheet!$B$2:$B$3143=$A2))/sum(filter(
Master_M"&amp;"apping_Sheet!$E$2:$E$3143, ISNUMBER(
Master_Mapping_Sheet!$E$2:$E$3143),
Master_Mapping_Sheet!$H$2:$H$3143=D$1)))"),0.0)</f>
        <v>0</v>
      </c>
      <c r="E2" s="32">
        <f>IFERROR(__xludf.DUMMYFUNCTION("IF(ISNA(sum(filter(
Master_Mapping_Sheet!$E$2:$E$3143, ISNUMBER(
Master_Mapping_Sheet!$E$2:$E$3143),
Master_Mapping_Sheet!$H$2:$H$3143=E$1,
Master_Mapping_Sheet!$B$2:$B$3143=$A2))/sum(filter(
Master_Mapping_Sheet!$E$2:$E$3143, ISNUMBER(
Master_Mapping_She"&amp;"et!$E$2:$E$3143),
Master_Mapping_Sheet!$H$2:$H$3143=E$1))), 0, sum(filter(
Master_Mapping_Sheet!$E$2:$E$3143, ISNUMBER(
Master_Mapping_Sheet!$E$2:$E$3143),
Master_Mapping_Sheet!$H$2:$H$3143=E$1,
Master_Mapping_Sheet!$B$2:$B$3143=$A2))/sum(filter(
Master_M"&amp;"apping_Sheet!$E$2:$E$3143, ISNUMBER(
Master_Mapping_Sheet!$E$2:$E$3143),
Master_Mapping_Sheet!$H$2:$H$3143=E$1)))"),0.0)</f>
        <v>0</v>
      </c>
      <c r="F2" s="34">
        <f>IFERROR(__xludf.DUMMYFUNCTION("IF(ISNA(sum(filter(
Master_Mapping_Sheet!$E$2:$E$3143, ISNUMBER(
Master_Mapping_Sheet!$E$2:$E$3143),
Master_Mapping_Sheet!$H$2:$H$3143=F$1,
Master_Mapping_Sheet!$B$2:$B$3143=$A2))/sum(filter(
Master_Mapping_Sheet!$E$2:$E$3143, ISNUMBER(
Master_Mapping_She"&amp;"et!$E$2:$E$3143),
Master_Mapping_Sheet!$H$2:$H$3143=F$1))), 0, sum(filter(
Master_Mapping_Sheet!$E$2:$E$3143, ISNUMBER(
Master_Mapping_Sheet!$E$2:$E$3143),
Master_Mapping_Sheet!$H$2:$H$3143=F$1,
Master_Mapping_Sheet!$B$2:$B$3143=$A2))/sum(filter(
Master_M"&amp;"apping_Sheet!$E$2:$E$3143, ISNUMBER(
Master_Mapping_Sheet!$E$2:$E$3143),
Master_Mapping_Sheet!$H$2:$H$3143=F$1)))"),0.0)</f>
        <v>0</v>
      </c>
      <c r="G2" s="34">
        <f>IFERROR(__xludf.DUMMYFUNCTION("IF(ISNA(sum(filter(
Master_Mapping_Sheet!$E$2:$E$3143, ISNUMBER(
Master_Mapping_Sheet!$E$2:$E$3143),
Master_Mapping_Sheet!$H$2:$H$3143=G$1,
Master_Mapping_Sheet!$B$2:$B$3143=$A2))/sum(filter(
Master_Mapping_Sheet!$E$2:$E$3143, ISNUMBER(
Master_Mapping_She"&amp;"et!$E$2:$E$3143),
Master_Mapping_Sheet!$H$2:$H$3143=G$1))), 0, sum(filter(
Master_Mapping_Sheet!$E$2:$E$3143, ISNUMBER(
Master_Mapping_Sheet!$E$2:$E$3143),
Master_Mapping_Sheet!$H$2:$H$3143=G$1,
Master_Mapping_Sheet!$B$2:$B$3143=$A2))/sum(filter(
Master_M"&amp;"apping_Sheet!$E$2:$E$3143, ISNUMBER(
Master_Mapping_Sheet!$E$2:$E$3143),
Master_Mapping_Sheet!$H$2:$H$3143=G$1)))"),0.0)</f>
        <v>0</v>
      </c>
      <c r="H2" s="34">
        <f>IFERROR(__xludf.DUMMYFUNCTION("IF(ISNA(sum(filter(
Master_Mapping_Sheet!$E$2:$E$3143, ISNUMBER(
Master_Mapping_Sheet!$E$2:$E$3143),
Master_Mapping_Sheet!$H$2:$H$3143=H$1,
Master_Mapping_Sheet!$B$2:$B$3143=$A2))/sum(filter(
Master_Mapping_Sheet!$E$2:$E$3143, ISNUMBER(
Master_Mapping_She"&amp;"et!$E$2:$E$3143),
Master_Mapping_Sheet!$H$2:$H$3143=H$1))), 0, sum(filter(
Master_Mapping_Sheet!$E$2:$E$3143, ISNUMBER(
Master_Mapping_Sheet!$E$2:$E$3143),
Master_Mapping_Sheet!$H$2:$H$3143=H$1,
Master_Mapping_Sheet!$B$2:$B$3143=$A2))/sum(filter(
Master_M"&amp;"apping_Sheet!$E$2:$E$3143, ISNUMBER(
Master_Mapping_Sheet!$E$2:$E$3143),
Master_Mapping_Sheet!$H$2:$H$3143=H$1)))"),0.0)</f>
        <v>0</v>
      </c>
      <c r="I2" s="34">
        <f>IFERROR(__xludf.DUMMYFUNCTION("IF(ISNA(sum(filter(
Master_Mapping_Sheet!$E$2:$E$3143, ISNUMBER(
Master_Mapping_Sheet!$E$2:$E$3143),
Master_Mapping_Sheet!$H$2:$H$3143=I$1,
Master_Mapping_Sheet!$B$2:$B$3143=$A2))/sum(filter(
Master_Mapping_Sheet!$E$2:$E$3143, ISNUMBER(
Master_Mapping_She"&amp;"et!$E$2:$E$3143),
Master_Mapping_Sheet!$H$2:$H$3143=I$1))), 0, sum(filter(
Master_Mapping_Sheet!$E$2:$E$3143, ISNUMBER(
Master_Mapping_Sheet!$E$2:$E$3143),
Master_Mapping_Sheet!$H$2:$H$3143=I$1,
Master_Mapping_Sheet!$B$2:$B$3143=$A2))/sum(filter(
Master_M"&amp;"apping_Sheet!$E$2:$E$3143, ISNUMBER(
Master_Mapping_Sheet!$E$2:$E$3143),
Master_Mapping_Sheet!$H$2:$H$3143=I$1)))"),0.0)</f>
        <v>0</v>
      </c>
      <c r="J2" s="34">
        <f>IFERROR(__xludf.DUMMYFUNCTION("IF(ISNA(sum(filter(
Master_Mapping_Sheet!$E$2:$E$3143, ISNUMBER(
Master_Mapping_Sheet!$E$2:$E$3143),
Master_Mapping_Sheet!$H$2:$H$3143=J$1,
Master_Mapping_Sheet!$B$2:$B$3143=$A2))/sum(filter(
Master_Mapping_Sheet!$E$2:$E$3143, ISNUMBER(
Master_Mapping_She"&amp;"et!$E$2:$E$3143),
Master_Mapping_Sheet!$H$2:$H$3143=J$1))), 0, sum(filter(
Master_Mapping_Sheet!$E$2:$E$3143, ISNUMBER(
Master_Mapping_Sheet!$E$2:$E$3143),
Master_Mapping_Sheet!$H$2:$H$3143=J$1,
Master_Mapping_Sheet!$B$2:$B$3143=$A2))/sum(filter(
Master_M"&amp;"apping_Sheet!$E$2:$E$3143, ISNUMBER(
Master_Mapping_Sheet!$E$2:$E$3143),
Master_Mapping_Sheet!$H$2:$H$3143=J$1)))"),0.0)</f>
        <v>0</v>
      </c>
      <c r="K2" s="34">
        <f>IFERROR(__xludf.DUMMYFUNCTION("IF(ISNA(sum(filter(
Master_Mapping_Sheet!$E$2:$E$3143, ISNUMBER(
Master_Mapping_Sheet!$E$2:$E$3143),
Master_Mapping_Sheet!$H$2:$H$3143=K$1,
Master_Mapping_Sheet!$B$2:$B$3143=$A2))/sum(filter(
Master_Mapping_Sheet!$E$2:$E$3143, ISNUMBER(
Master_Mapping_She"&amp;"et!$E$2:$E$3143),
Master_Mapping_Sheet!$H$2:$H$3143=K$1))), 0, sum(filter(
Master_Mapping_Sheet!$E$2:$E$3143, ISNUMBER(
Master_Mapping_Sheet!$E$2:$E$3143),
Master_Mapping_Sheet!$H$2:$H$3143=K$1,
Master_Mapping_Sheet!$B$2:$B$3143=$A2))/sum(filter(
Master_M"&amp;"apping_Sheet!$E$2:$E$3143, ISNUMBER(
Master_Mapping_Sheet!$E$2:$E$3143),
Master_Mapping_Sheet!$H$2:$H$3143=K$1)))"),0.0)</f>
        <v>0</v>
      </c>
      <c r="L2" s="34">
        <f>IFERROR(__xludf.DUMMYFUNCTION("IF(ISNA(sum(filter(
Master_Mapping_Sheet!$E$2:$E$3143, ISNUMBER(
Master_Mapping_Sheet!$E$2:$E$3143),
Master_Mapping_Sheet!$H$2:$H$3143=L$1,
Master_Mapping_Sheet!$B$2:$B$3143=$A2))/sum(filter(
Master_Mapping_Sheet!$E$2:$E$3143, ISNUMBER(
Master_Mapping_She"&amp;"et!$E$2:$E$3143),
Master_Mapping_Sheet!$H$2:$H$3143=L$1))), 0, sum(filter(
Master_Mapping_Sheet!$E$2:$E$3143, ISNUMBER(
Master_Mapping_Sheet!$E$2:$E$3143),
Master_Mapping_Sheet!$H$2:$H$3143=L$1,
Master_Mapping_Sheet!$B$2:$B$3143=$A2))/sum(filter(
Master_M"&amp;"apping_Sheet!$E$2:$E$3143, ISNUMBER(
Master_Mapping_Sheet!$E$2:$E$3143),
Master_Mapping_Sheet!$H$2:$H$3143=L$1)))"),0.0)</f>
        <v>0</v>
      </c>
      <c r="M2" s="34">
        <f>IFERROR(__xludf.DUMMYFUNCTION("IF(ISNA(sum(filter(
Master_Mapping_Sheet!$E$2:$E$3143, ISNUMBER(
Master_Mapping_Sheet!$E$2:$E$3143),
Master_Mapping_Sheet!$H$2:$H$3143=M$1,
Master_Mapping_Sheet!$B$2:$B$3143=$A2))/sum(filter(
Master_Mapping_Sheet!$E$2:$E$3143, ISNUMBER(
Master_Mapping_She"&amp;"et!$E$2:$E$3143),
Master_Mapping_Sheet!$H$2:$H$3143=M$1))), 0, sum(filter(
Master_Mapping_Sheet!$E$2:$E$3143, ISNUMBER(
Master_Mapping_Sheet!$E$2:$E$3143),
Master_Mapping_Sheet!$H$2:$H$3143=M$1,
Master_Mapping_Sheet!$B$2:$B$3143=$A2))/sum(filter(
Master_M"&amp;"apping_Sheet!$E$2:$E$3143, ISNUMBER(
Master_Mapping_Sheet!$E$2:$E$3143),
Master_Mapping_Sheet!$H$2:$H$3143=M$1)))"),0.0)</f>
        <v>0</v>
      </c>
      <c r="N2" s="34">
        <f>IFERROR(__xludf.DUMMYFUNCTION("IF(ISNA(sum(filter(
Master_Mapping_Sheet!$E$2:$E$3143, ISNUMBER(
Master_Mapping_Sheet!$E$2:$E$3143),
Master_Mapping_Sheet!$H$2:$H$3143=N$1,
Master_Mapping_Sheet!$B$2:$B$3143=$A2))/sum(filter(
Master_Mapping_Sheet!$E$2:$E$3143, ISNUMBER(
Master_Mapping_She"&amp;"et!$E$2:$E$3143),
Master_Mapping_Sheet!$H$2:$H$3143=N$1))), 0, sum(filter(
Master_Mapping_Sheet!$E$2:$E$3143, ISNUMBER(
Master_Mapping_Sheet!$E$2:$E$3143),
Master_Mapping_Sheet!$H$2:$H$3143=N$1,
Master_Mapping_Sheet!$B$2:$B$3143=$A2))/sum(filter(
Master_M"&amp;"apping_Sheet!$E$2:$E$3143, ISNUMBER(
Master_Mapping_Sheet!$E$2:$E$3143),
Master_Mapping_Sheet!$H$2:$H$3143=N$1)))"),0.0)</f>
        <v>0</v>
      </c>
      <c r="O2" s="34">
        <f>IFERROR(__xludf.DUMMYFUNCTION("IF(ISNA(sum(filter(
Master_Mapping_Sheet!$E$2:$E$3143, ISNUMBER(
Master_Mapping_Sheet!$E$2:$E$3143),
Master_Mapping_Sheet!$H$2:$H$3143=O$1,
Master_Mapping_Sheet!$B$2:$B$3143=$A2))/sum(filter(
Master_Mapping_Sheet!$E$2:$E$3143, ISNUMBER(
Master_Mapping_She"&amp;"et!$E$2:$E$3143),
Master_Mapping_Sheet!$H$2:$H$3143=O$1))), 0, sum(filter(
Master_Mapping_Sheet!$E$2:$E$3143, ISNUMBER(
Master_Mapping_Sheet!$E$2:$E$3143),
Master_Mapping_Sheet!$H$2:$H$3143=O$1,
Master_Mapping_Sheet!$B$2:$B$3143=$A2))/sum(filter(
Master_M"&amp;"apping_Sheet!$E$2:$E$3143, ISNUMBER(
Master_Mapping_Sheet!$E$2:$E$3143),
Master_Mapping_Sheet!$H$2:$H$3143=O$1)))"),0.0)</f>
        <v>0</v>
      </c>
      <c r="P2" s="34">
        <f>IFERROR(__xludf.DUMMYFUNCTION("IF(ISNA(sum(filter(
Master_Mapping_Sheet!$E$2:$E$3143, ISNUMBER(
Master_Mapping_Sheet!$E$2:$E$3143),
Master_Mapping_Sheet!$H$2:$H$3143=P$1,
Master_Mapping_Sheet!$B$2:$B$3143=$A2))/sum(filter(
Master_Mapping_Sheet!$E$2:$E$3143, ISNUMBER(
Master_Mapping_She"&amp;"et!$E$2:$E$3143),
Master_Mapping_Sheet!$H$2:$H$3143=P$1))), 0, sum(filter(
Master_Mapping_Sheet!$E$2:$E$3143, ISNUMBER(
Master_Mapping_Sheet!$E$2:$E$3143),
Master_Mapping_Sheet!$H$2:$H$3143=P$1,
Master_Mapping_Sheet!$B$2:$B$3143=$A2))/sum(filter(
Master_M"&amp;"apping_Sheet!$E$2:$E$3143, ISNUMBER(
Master_Mapping_Sheet!$E$2:$E$3143),
Master_Mapping_Sheet!$H$2:$H$3143=P$1)))"),0.0)</f>
        <v>0</v>
      </c>
      <c r="Q2" s="34">
        <f>IFERROR(__xludf.DUMMYFUNCTION("IF(ISNA(sum(filter(
Master_Mapping_Sheet!$E$2:$E$3143, ISNUMBER(
Master_Mapping_Sheet!$E$2:$E$3143),
Master_Mapping_Sheet!$H$2:$H$3143=Q$1,
Master_Mapping_Sheet!$B$2:$B$3143=$A2))/sum(filter(
Master_Mapping_Sheet!$E$2:$E$3143, ISNUMBER(
Master_Mapping_She"&amp;"et!$E$2:$E$3143),
Master_Mapping_Sheet!$H$2:$H$3143=Q$1))), 0, sum(filter(
Master_Mapping_Sheet!$E$2:$E$3143, ISNUMBER(
Master_Mapping_Sheet!$E$2:$E$3143),
Master_Mapping_Sheet!$H$2:$H$3143=Q$1,
Master_Mapping_Sheet!$B$2:$B$3143=$A2))/sum(filter(
Master_M"&amp;"apping_Sheet!$E$2:$E$3143, ISNUMBER(
Master_Mapping_Sheet!$E$2:$E$3143),
Master_Mapping_Sheet!$H$2:$H$3143=Q$1)))"),0.24457855890482855)</f>
        <v>0.2445785589</v>
      </c>
      <c r="R2" s="34">
        <f>IFERROR(__xludf.DUMMYFUNCTION("IF(ISNA(sum(filter(
Master_Mapping_Sheet!$E$2:$E$3143, ISNUMBER(
Master_Mapping_Sheet!$E$2:$E$3143),
Master_Mapping_Sheet!$H$2:$H$3143=R$1,
Master_Mapping_Sheet!$B$2:$B$3143=$A2))/sum(filter(
Master_Mapping_Sheet!$E$2:$E$3143, ISNUMBER(
Master_Mapping_She"&amp;"et!$E$2:$E$3143),
Master_Mapping_Sheet!$H$2:$H$3143=R$1))), 0, sum(filter(
Master_Mapping_Sheet!$E$2:$E$3143, ISNUMBER(
Master_Mapping_Sheet!$E$2:$E$3143),
Master_Mapping_Sheet!$H$2:$H$3143=R$1,
Master_Mapping_Sheet!$B$2:$B$3143=$A2))/sum(filter(
Master_M"&amp;"apping_Sheet!$E$2:$E$3143, ISNUMBER(
Master_Mapping_Sheet!$E$2:$E$3143),
Master_Mapping_Sheet!$H$2:$H$3143=R$1)))"),0.06840143033598672)</f>
        <v>0.06840143034</v>
      </c>
      <c r="S2" s="34">
        <f>IFERROR(__xludf.DUMMYFUNCTION("IF(ISNA(sum(filter(
Master_Mapping_Sheet!$E$2:$E$3143, ISNUMBER(
Master_Mapping_Sheet!$E$2:$E$3143),
Master_Mapping_Sheet!$H$2:$H$3143=S$1,
Master_Mapping_Sheet!$B$2:$B$3143=$A2))/sum(filter(
Master_Mapping_Sheet!$E$2:$E$3143, ISNUMBER(
Master_Mapping_She"&amp;"et!$E$2:$E$3143),
Master_Mapping_Sheet!$H$2:$H$3143=S$1))), 0, sum(filter(
Master_Mapping_Sheet!$E$2:$E$3143, ISNUMBER(
Master_Mapping_Sheet!$E$2:$E$3143),
Master_Mapping_Sheet!$H$2:$H$3143=S$1,
Master_Mapping_Sheet!$B$2:$B$3143=$A2))/sum(filter(
Master_M"&amp;"apping_Sheet!$E$2:$E$3143, ISNUMBER(
Master_Mapping_Sheet!$E$2:$E$3143),
Master_Mapping_Sheet!$H$2:$H$3143=S$1)))"),0.0)</f>
        <v>0</v>
      </c>
      <c r="T2" s="34">
        <f>IFERROR(__xludf.DUMMYFUNCTION("IF(ISNA(sum(filter(
Master_Mapping_Sheet!$E$2:$E$3143, ISNUMBER(
Master_Mapping_Sheet!$E$2:$E$3143),
Master_Mapping_Sheet!$H$2:$H$3143=T$1,
Master_Mapping_Sheet!$B$2:$B$3143=$A2))/sum(filter(
Master_Mapping_Sheet!$E$2:$E$3143, ISNUMBER(
Master_Mapping_She"&amp;"et!$E$2:$E$3143),
Master_Mapping_Sheet!$H$2:$H$3143=T$1))), 0, sum(filter(
Master_Mapping_Sheet!$E$2:$E$3143, ISNUMBER(
Master_Mapping_Sheet!$E$2:$E$3143),
Master_Mapping_Sheet!$H$2:$H$3143=T$1,
Master_Mapping_Sheet!$B$2:$B$3143=$A2))/sum(filter(
Master_M"&amp;"apping_Sheet!$E$2:$E$3143, ISNUMBER(
Master_Mapping_Sheet!$E$2:$E$3143),
Master_Mapping_Sheet!$H$2:$H$3143=T$1)))"),0.0)</f>
        <v>0</v>
      </c>
      <c r="U2" s="34">
        <f>IFERROR(__xludf.DUMMYFUNCTION("IF(ISNA(sum(filter(
Master_Mapping_Sheet!$E$2:$E$3143, ISNUMBER(
Master_Mapping_Sheet!$E$2:$E$3143),
Master_Mapping_Sheet!$H$2:$H$3143=U$1,
Master_Mapping_Sheet!$B$2:$B$3143=$A2))/sum(filter(
Master_Mapping_Sheet!$E$2:$E$3143, ISNUMBER(
Master_Mapping_She"&amp;"et!$E$2:$E$3143),
Master_Mapping_Sheet!$H$2:$H$3143=U$1))), 0, sum(filter(
Master_Mapping_Sheet!$E$2:$E$3143, ISNUMBER(
Master_Mapping_Sheet!$E$2:$E$3143),
Master_Mapping_Sheet!$H$2:$H$3143=U$1,
Master_Mapping_Sheet!$B$2:$B$3143=$A2))/sum(filter(
Master_M"&amp;"apping_Sheet!$E$2:$E$3143, ISNUMBER(
Master_Mapping_Sheet!$E$2:$E$3143),
Master_Mapping_Sheet!$H$2:$H$3143=U$1)))"),0.0)</f>
        <v>0</v>
      </c>
      <c r="V2" s="34">
        <f>IFERROR(__xludf.DUMMYFUNCTION("IF(ISNA(sum(filter(
Master_Mapping_Sheet!$E$2:$E$3143, ISNUMBER(
Master_Mapping_Sheet!$E$2:$E$3143),
Master_Mapping_Sheet!$H$2:$H$3143=V$1,
Master_Mapping_Sheet!$B$2:$B$3143=$A2))/sum(filter(
Master_Mapping_Sheet!$E$2:$E$3143, ISNUMBER(
Master_Mapping_She"&amp;"et!$E$2:$E$3143),
Master_Mapping_Sheet!$H$2:$H$3143=V$1))), 0, sum(filter(
Master_Mapping_Sheet!$E$2:$E$3143, ISNUMBER(
Master_Mapping_Sheet!$E$2:$E$3143),
Master_Mapping_Sheet!$H$2:$H$3143=V$1,
Master_Mapping_Sheet!$B$2:$B$3143=$A2))/sum(filter(
Master_M"&amp;"apping_Sheet!$E$2:$E$3143, ISNUMBER(
Master_Mapping_Sheet!$E$2:$E$3143),
Master_Mapping_Sheet!$H$2:$H$3143=V$1)))"),0.0)</f>
        <v>0</v>
      </c>
      <c r="W2" s="34">
        <f>IFERROR(__xludf.DUMMYFUNCTION("IF(ISNA(sum(filter(
Master_Mapping_Sheet!$E$2:$E$3143, ISNUMBER(
Master_Mapping_Sheet!$E$2:$E$3143),
Master_Mapping_Sheet!$H$2:$H$3143=W$1,
Master_Mapping_Sheet!$B$2:$B$3143=$A2))/sum(filter(
Master_Mapping_Sheet!$E$2:$E$3143, ISNUMBER(
Master_Mapping_She"&amp;"et!$E$2:$E$3143),
Master_Mapping_Sheet!$H$2:$H$3143=W$1))), 0, sum(filter(
Master_Mapping_Sheet!$E$2:$E$3143, ISNUMBER(
Master_Mapping_Sheet!$E$2:$E$3143),
Master_Mapping_Sheet!$H$2:$H$3143=W$1,
Master_Mapping_Sheet!$B$2:$B$3143=$A2))/sum(filter(
Master_M"&amp;"apping_Sheet!$E$2:$E$3143, ISNUMBER(
Master_Mapping_Sheet!$E$2:$E$3143),
Master_Mapping_Sheet!$H$2:$H$3143=W$1)))"),0.0)</f>
        <v>0</v>
      </c>
      <c r="X2" s="34">
        <f>IFERROR(__xludf.DUMMYFUNCTION("IF(ISNA(sum(filter(
Master_Mapping_Sheet!$E$2:$E$3143, ISNUMBER(
Master_Mapping_Sheet!$E$2:$E$3143),
Master_Mapping_Sheet!$H$2:$H$3143=X$1,
Master_Mapping_Sheet!$B$2:$B$3143=$A2))/sum(filter(
Master_Mapping_Sheet!$E$2:$E$3143, ISNUMBER(
Master_Mapping_She"&amp;"et!$E$2:$E$3143),
Master_Mapping_Sheet!$H$2:$H$3143=X$1))), 0, sum(filter(
Master_Mapping_Sheet!$E$2:$E$3143, ISNUMBER(
Master_Mapping_Sheet!$E$2:$E$3143),
Master_Mapping_Sheet!$H$2:$H$3143=X$1,
Master_Mapping_Sheet!$B$2:$B$3143=$A2))/sum(filter(
Master_M"&amp;"apping_Sheet!$E$2:$E$3143, ISNUMBER(
Master_Mapping_Sheet!$E$2:$E$3143),
Master_Mapping_Sheet!$H$2:$H$3143=X$1)))"),0.0)</f>
        <v>0</v>
      </c>
      <c r="Y2" s="34">
        <f>IFERROR(__xludf.DUMMYFUNCTION("IF(ISNA(sum(filter(
Master_Mapping_Sheet!$E$2:$E$3143, ISNUMBER(
Master_Mapping_Sheet!$E$2:$E$3143),
Master_Mapping_Sheet!$H$2:$H$3143=Y$1,
Master_Mapping_Sheet!$B$2:$B$3143=$A2))/sum(filter(
Master_Mapping_Sheet!$E$2:$E$3143, ISNUMBER(
Master_Mapping_She"&amp;"et!$E$2:$E$3143),
Master_Mapping_Sheet!$H$2:$H$3143=Y$1))), 0, sum(filter(
Master_Mapping_Sheet!$E$2:$E$3143, ISNUMBER(
Master_Mapping_Sheet!$E$2:$E$3143),
Master_Mapping_Sheet!$H$2:$H$3143=Y$1,
Master_Mapping_Sheet!$B$2:$B$3143=$A2))/sum(filter(
Master_M"&amp;"apping_Sheet!$E$2:$E$3143, ISNUMBER(
Master_Mapping_Sheet!$E$2:$E$3143),
Master_Mapping_Sheet!$H$2:$H$3143=Y$1)))"),0.0)</f>
        <v>0</v>
      </c>
      <c r="Z2" s="34">
        <f>IFERROR(__xludf.DUMMYFUNCTION("IF(ISNA(sum(filter(
Master_Mapping_Sheet!$E$2:$E$3143, ISNUMBER(
Master_Mapping_Sheet!$E$2:$E$3143),
Master_Mapping_Sheet!$H$2:$H$3143=Z$1,
Master_Mapping_Sheet!$B$2:$B$3143=$A2))/sum(filter(
Master_Mapping_Sheet!$E$2:$E$3143, ISNUMBER(
Master_Mapping_She"&amp;"et!$E$2:$E$3143),
Master_Mapping_Sheet!$H$2:$H$3143=Z$1))), 0, sum(filter(
Master_Mapping_Sheet!$E$2:$E$3143, ISNUMBER(
Master_Mapping_Sheet!$E$2:$E$3143),
Master_Mapping_Sheet!$H$2:$H$3143=Z$1,
Master_Mapping_Sheet!$B$2:$B$3143=$A2))/sum(filter(
Master_M"&amp;"apping_Sheet!$E$2:$E$3143, ISNUMBER(
Master_Mapping_Sheet!$E$2:$E$3143),
Master_Mapping_Sheet!$H$2:$H$3143=Z$1)))"),0.0)</f>
        <v>0</v>
      </c>
      <c r="AA2" s="34">
        <f>IFERROR(__xludf.DUMMYFUNCTION("IF(ISNA(sum(filter(
Master_Mapping_Sheet!$E$2:$E$3143, ISNUMBER(
Master_Mapping_Sheet!$E$2:$E$3143),
Master_Mapping_Sheet!$H$2:$H$3143=AA$1,
Master_Mapping_Sheet!$B$2:$B$3143=$A2))/sum(filter(
Master_Mapping_Sheet!$E$2:$E$3143, ISNUMBER(
Master_Mapping_Sh"&amp;"eet!$E$2:$E$3143),
Master_Mapping_Sheet!$H$2:$H$3143=AA$1))), 0, sum(filter(
Master_Mapping_Sheet!$E$2:$E$3143, ISNUMBER(
Master_Mapping_Sheet!$E$2:$E$3143),
Master_Mapping_Sheet!$H$2:$H$3143=AA$1,
Master_Mapping_Sheet!$B$2:$B$3143=$A2))/sum(filter(
Maste"&amp;"r_Mapping_Sheet!$E$2:$E$3143, ISNUMBER(
Master_Mapping_Sheet!$E$2:$E$3143),
Master_Mapping_Sheet!$H$2:$H$3143=AA$1)))"),0.0)</f>
        <v>0</v>
      </c>
    </row>
    <row r="3" ht="15.75" customHeight="1">
      <c r="A3" s="34" t="s">
        <v>171</v>
      </c>
      <c r="B3" s="34" t="s">
        <v>2062</v>
      </c>
      <c r="C3" s="34">
        <f>IFERROR(__xludf.DUMMYFUNCTION("IF(ISNA(sum(filter(
Master_Mapping_Sheet!$E$2:$E$3143, ISNUMBER(
Master_Mapping_Sheet!$E$2:$E$3143),
Master_Mapping_Sheet!$H$2:$H$3143=C$1,
Master_Mapping_Sheet!$B$2:$B$3143=$A3))/sum(filter(
Master_Mapping_Sheet!$E$2:$E$3143, ISNUMBER(
Master_Mapping_She"&amp;"et!$E$2:$E$3143),
Master_Mapping_Sheet!$H$2:$H$3143=C$1))), 0, sum(filter(
Master_Mapping_Sheet!$E$2:$E$3143, ISNUMBER(
Master_Mapping_Sheet!$E$2:$E$3143),
Master_Mapping_Sheet!$H$2:$H$3143=C$1,
Master_Mapping_Sheet!$B$2:$B$3143=$A3))/sum(filter(
Master_M"&amp;"apping_Sheet!$E$2:$E$3143, ISNUMBER(
Master_Mapping_Sheet!$E$2:$E$3143),
Master_Mapping_Sheet!$H$2:$H$3143=C$1)))"),0.0)</f>
        <v>0</v>
      </c>
      <c r="D3" s="34">
        <f>IFERROR(__xludf.DUMMYFUNCTION("IF(ISNA(sum(filter(
Master_Mapping_Sheet!$E$2:$E$3143, ISNUMBER(
Master_Mapping_Sheet!$E$2:$E$3143),
Master_Mapping_Sheet!$H$2:$H$3143=D$1,
Master_Mapping_Sheet!$B$2:$B$3143=$A3))/sum(filter(
Master_Mapping_Sheet!$E$2:$E$3143, ISNUMBER(
Master_Mapping_She"&amp;"et!$E$2:$E$3143),
Master_Mapping_Sheet!$H$2:$H$3143=D$1))), 0, sum(filter(
Master_Mapping_Sheet!$E$2:$E$3143, ISNUMBER(
Master_Mapping_Sheet!$E$2:$E$3143),
Master_Mapping_Sheet!$H$2:$H$3143=D$1,
Master_Mapping_Sheet!$B$2:$B$3143=$A3))/sum(filter(
Master_M"&amp;"apping_Sheet!$E$2:$E$3143, ISNUMBER(
Master_Mapping_Sheet!$E$2:$E$3143),
Master_Mapping_Sheet!$H$2:$H$3143=D$1)))"),0.0)</f>
        <v>0</v>
      </c>
      <c r="E3" s="32">
        <f>IFERROR(__xludf.DUMMYFUNCTION("IF(ISNA(sum(filter(
Master_Mapping_Sheet!$E$2:$E$3143, ISNUMBER(
Master_Mapping_Sheet!$E$2:$E$3143),
Master_Mapping_Sheet!$H$2:$H$3143=E$1,
Master_Mapping_Sheet!$B$2:$B$3143=$A3))/sum(filter(
Master_Mapping_Sheet!$E$2:$E$3143, ISNUMBER(
Master_Mapping_She"&amp;"et!$E$2:$E$3143),
Master_Mapping_Sheet!$H$2:$H$3143=E$1))), 0, sum(filter(
Master_Mapping_Sheet!$E$2:$E$3143, ISNUMBER(
Master_Mapping_Sheet!$E$2:$E$3143),
Master_Mapping_Sheet!$H$2:$H$3143=E$1,
Master_Mapping_Sheet!$B$2:$B$3143=$A3))/sum(filter(
Master_M"&amp;"apping_Sheet!$E$2:$E$3143, ISNUMBER(
Master_Mapping_Sheet!$E$2:$E$3143),
Master_Mapping_Sheet!$H$2:$H$3143=E$1)))"),0.0)</f>
        <v>0</v>
      </c>
      <c r="F3" s="34">
        <f>IFERROR(__xludf.DUMMYFUNCTION("IF(ISNA(sum(filter(
Master_Mapping_Sheet!$E$2:$E$3143, ISNUMBER(
Master_Mapping_Sheet!$E$2:$E$3143),
Master_Mapping_Sheet!$H$2:$H$3143=F$1,
Master_Mapping_Sheet!$B$2:$B$3143=$A3))/sum(filter(
Master_Mapping_Sheet!$E$2:$E$3143, ISNUMBER(
Master_Mapping_She"&amp;"et!$E$2:$E$3143),
Master_Mapping_Sheet!$H$2:$H$3143=F$1))), 0, sum(filter(
Master_Mapping_Sheet!$E$2:$E$3143, ISNUMBER(
Master_Mapping_Sheet!$E$2:$E$3143),
Master_Mapping_Sheet!$H$2:$H$3143=F$1,
Master_Mapping_Sheet!$B$2:$B$3143=$A3))/sum(filter(
Master_M"&amp;"apping_Sheet!$E$2:$E$3143, ISNUMBER(
Master_Mapping_Sheet!$E$2:$E$3143),
Master_Mapping_Sheet!$H$2:$H$3143=F$1)))"),0.0)</f>
        <v>0</v>
      </c>
      <c r="G3" s="34">
        <f>IFERROR(__xludf.DUMMYFUNCTION("IF(ISNA(sum(filter(
Master_Mapping_Sheet!$E$2:$E$3143, ISNUMBER(
Master_Mapping_Sheet!$E$2:$E$3143),
Master_Mapping_Sheet!$H$2:$H$3143=G$1,
Master_Mapping_Sheet!$B$2:$B$3143=$A3))/sum(filter(
Master_Mapping_Sheet!$E$2:$E$3143, ISNUMBER(
Master_Mapping_She"&amp;"et!$E$2:$E$3143),
Master_Mapping_Sheet!$H$2:$H$3143=G$1))), 0, sum(filter(
Master_Mapping_Sheet!$E$2:$E$3143, ISNUMBER(
Master_Mapping_Sheet!$E$2:$E$3143),
Master_Mapping_Sheet!$H$2:$H$3143=G$1,
Master_Mapping_Sheet!$B$2:$B$3143=$A3))/sum(filter(
Master_M"&amp;"apping_Sheet!$E$2:$E$3143, ISNUMBER(
Master_Mapping_Sheet!$E$2:$E$3143),
Master_Mapping_Sheet!$H$2:$H$3143=G$1)))"),0.0)</f>
        <v>0</v>
      </c>
      <c r="H3" s="34">
        <f>IFERROR(__xludf.DUMMYFUNCTION("IF(ISNA(sum(filter(
Master_Mapping_Sheet!$E$2:$E$3143, ISNUMBER(
Master_Mapping_Sheet!$E$2:$E$3143),
Master_Mapping_Sheet!$H$2:$H$3143=H$1,
Master_Mapping_Sheet!$B$2:$B$3143=$A3))/sum(filter(
Master_Mapping_Sheet!$E$2:$E$3143, ISNUMBER(
Master_Mapping_She"&amp;"et!$E$2:$E$3143),
Master_Mapping_Sheet!$H$2:$H$3143=H$1))), 0, sum(filter(
Master_Mapping_Sheet!$E$2:$E$3143, ISNUMBER(
Master_Mapping_Sheet!$E$2:$E$3143),
Master_Mapping_Sheet!$H$2:$H$3143=H$1,
Master_Mapping_Sheet!$B$2:$B$3143=$A3))/sum(filter(
Master_M"&amp;"apping_Sheet!$E$2:$E$3143, ISNUMBER(
Master_Mapping_Sheet!$E$2:$E$3143),
Master_Mapping_Sheet!$H$2:$H$3143=H$1)))"),0.0)</f>
        <v>0</v>
      </c>
      <c r="I3" s="34">
        <f>IFERROR(__xludf.DUMMYFUNCTION("IF(ISNA(sum(filter(
Master_Mapping_Sheet!$E$2:$E$3143, ISNUMBER(
Master_Mapping_Sheet!$E$2:$E$3143),
Master_Mapping_Sheet!$H$2:$H$3143=I$1,
Master_Mapping_Sheet!$B$2:$B$3143=$A3))/sum(filter(
Master_Mapping_Sheet!$E$2:$E$3143, ISNUMBER(
Master_Mapping_She"&amp;"et!$E$2:$E$3143),
Master_Mapping_Sheet!$H$2:$H$3143=I$1))), 0, sum(filter(
Master_Mapping_Sheet!$E$2:$E$3143, ISNUMBER(
Master_Mapping_Sheet!$E$2:$E$3143),
Master_Mapping_Sheet!$H$2:$H$3143=I$1,
Master_Mapping_Sheet!$B$2:$B$3143=$A3))/sum(filter(
Master_M"&amp;"apping_Sheet!$E$2:$E$3143, ISNUMBER(
Master_Mapping_Sheet!$E$2:$E$3143),
Master_Mapping_Sheet!$H$2:$H$3143=I$1)))"),0.0)</f>
        <v>0</v>
      </c>
      <c r="J3" s="34">
        <f>IFERROR(__xludf.DUMMYFUNCTION("IF(ISNA(sum(filter(
Master_Mapping_Sheet!$E$2:$E$3143, ISNUMBER(
Master_Mapping_Sheet!$E$2:$E$3143),
Master_Mapping_Sheet!$H$2:$H$3143=J$1,
Master_Mapping_Sheet!$B$2:$B$3143=$A3))/sum(filter(
Master_Mapping_Sheet!$E$2:$E$3143, ISNUMBER(
Master_Mapping_She"&amp;"et!$E$2:$E$3143),
Master_Mapping_Sheet!$H$2:$H$3143=J$1))), 0, sum(filter(
Master_Mapping_Sheet!$E$2:$E$3143, ISNUMBER(
Master_Mapping_Sheet!$E$2:$E$3143),
Master_Mapping_Sheet!$H$2:$H$3143=J$1,
Master_Mapping_Sheet!$B$2:$B$3143=$A3))/sum(filter(
Master_M"&amp;"apping_Sheet!$E$2:$E$3143, ISNUMBER(
Master_Mapping_Sheet!$E$2:$E$3143),
Master_Mapping_Sheet!$H$2:$H$3143=J$1)))"),0.0)</f>
        <v>0</v>
      </c>
      <c r="K3" s="34">
        <f>IFERROR(__xludf.DUMMYFUNCTION("IF(ISNA(sum(filter(
Master_Mapping_Sheet!$E$2:$E$3143, ISNUMBER(
Master_Mapping_Sheet!$E$2:$E$3143),
Master_Mapping_Sheet!$H$2:$H$3143=K$1,
Master_Mapping_Sheet!$B$2:$B$3143=$A3))/sum(filter(
Master_Mapping_Sheet!$E$2:$E$3143, ISNUMBER(
Master_Mapping_She"&amp;"et!$E$2:$E$3143),
Master_Mapping_Sheet!$H$2:$H$3143=K$1))), 0, sum(filter(
Master_Mapping_Sheet!$E$2:$E$3143, ISNUMBER(
Master_Mapping_Sheet!$E$2:$E$3143),
Master_Mapping_Sheet!$H$2:$H$3143=K$1,
Master_Mapping_Sheet!$B$2:$B$3143=$A3))/sum(filter(
Master_M"&amp;"apping_Sheet!$E$2:$E$3143, ISNUMBER(
Master_Mapping_Sheet!$E$2:$E$3143),
Master_Mapping_Sheet!$H$2:$H$3143=K$1)))"),0.0)</f>
        <v>0</v>
      </c>
      <c r="L3" s="34">
        <f>IFERROR(__xludf.DUMMYFUNCTION("IF(ISNA(sum(filter(
Master_Mapping_Sheet!$E$2:$E$3143, ISNUMBER(
Master_Mapping_Sheet!$E$2:$E$3143),
Master_Mapping_Sheet!$H$2:$H$3143=L$1,
Master_Mapping_Sheet!$B$2:$B$3143=$A3))/sum(filter(
Master_Mapping_Sheet!$E$2:$E$3143, ISNUMBER(
Master_Mapping_She"&amp;"et!$E$2:$E$3143),
Master_Mapping_Sheet!$H$2:$H$3143=L$1))), 0, sum(filter(
Master_Mapping_Sheet!$E$2:$E$3143, ISNUMBER(
Master_Mapping_Sheet!$E$2:$E$3143),
Master_Mapping_Sheet!$H$2:$H$3143=L$1,
Master_Mapping_Sheet!$B$2:$B$3143=$A3))/sum(filter(
Master_M"&amp;"apping_Sheet!$E$2:$E$3143, ISNUMBER(
Master_Mapping_Sheet!$E$2:$E$3143),
Master_Mapping_Sheet!$H$2:$H$3143=L$1)))"),0.0)</f>
        <v>0</v>
      </c>
      <c r="M3" s="34">
        <f>IFERROR(__xludf.DUMMYFUNCTION("IF(ISNA(sum(filter(
Master_Mapping_Sheet!$E$2:$E$3143, ISNUMBER(
Master_Mapping_Sheet!$E$2:$E$3143),
Master_Mapping_Sheet!$H$2:$H$3143=M$1,
Master_Mapping_Sheet!$B$2:$B$3143=$A3))/sum(filter(
Master_Mapping_Sheet!$E$2:$E$3143, ISNUMBER(
Master_Mapping_She"&amp;"et!$E$2:$E$3143),
Master_Mapping_Sheet!$H$2:$H$3143=M$1))), 0, sum(filter(
Master_Mapping_Sheet!$E$2:$E$3143, ISNUMBER(
Master_Mapping_Sheet!$E$2:$E$3143),
Master_Mapping_Sheet!$H$2:$H$3143=M$1,
Master_Mapping_Sheet!$B$2:$B$3143=$A3))/sum(filter(
Master_M"&amp;"apping_Sheet!$E$2:$E$3143, ISNUMBER(
Master_Mapping_Sheet!$E$2:$E$3143),
Master_Mapping_Sheet!$H$2:$H$3143=M$1)))"),0.0)</f>
        <v>0</v>
      </c>
      <c r="N3" s="34">
        <f>IFERROR(__xludf.DUMMYFUNCTION("IF(ISNA(sum(filter(
Master_Mapping_Sheet!$E$2:$E$3143, ISNUMBER(
Master_Mapping_Sheet!$E$2:$E$3143),
Master_Mapping_Sheet!$H$2:$H$3143=N$1,
Master_Mapping_Sheet!$B$2:$B$3143=$A3))/sum(filter(
Master_Mapping_Sheet!$E$2:$E$3143, ISNUMBER(
Master_Mapping_She"&amp;"et!$E$2:$E$3143),
Master_Mapping_Sheet!$H$2:$H$3143=N$1))), 0, sum(filter(
Master_Mapping_Sheet!$E$2:$E$3143, ISNUMBER(
Master_Mapping_Sheet!$E$2:$E$3143),
Master_Mapping_Sheet!$H$2:$H$3143=N$1,
Master_Mapping_Sheet!$B$2:$B$3143=$A3))/sum(filter(
Master_M"&amp;"apping_Sheet!$E$2:$E$3143, ISNUMBER(
Master_Mapping_Sheet!$E$2:$E$3143),
Master_Mapping_Sheet!$H$2:$H$3143=N$1)))"),0.0)</f>
        <v>0</v>
      </c>
      <c r="O3" s="34">
        <f>IFERROR(__xludf.DUMMYFUNCTION("IF(ISNA(sum(filter(
Master_Mapping_Sheet!$E$2:$E$3143, ISNUMBER(
Master_Mapping_Sheet!$E$2:$E$3143),
Master_Mapping_Sheet!$H$2:$H$3143=O$1,
Master_Mapping_Sheet!$B$2:$B$3143=$A3))/sum(filter(
Master_Mapping_Sheet!$E$2:$E$3143, ISNUMBER(
Master_Mapping_She"&amp;"et!$E$2:$E$3143),
Master_Mapping_Sheet!$H$2:$H$3143=O$1))), 0, sum(filter(
Master_Mapping_Sheet!$E$2:$E$3143, ISNUMBER(
Master_Mapping_Sheet!$E$2:$E$3143),
Master_Mapping_Sheet!$H$2:$H$3143=O$1,
Master_Mapping_Sheet!$B$2:$B$3143=$A3))/sum(filter(
Master_M"&amp;"apping_Sheet!$E$2:$E$3143, ISNUMBER(
Master_Mapping_Sheet!$E$2:$E$3143),
Master_Mapping_Sheet!$H$2:$H$3143=O$1)))"),0.0)</f>
        <v>0</v>
      </c>
      <c r="P3" s="34">
        <f>IFERROR(__xludf.DUMMYFUNCTION("IF(ISNA(sum(filter(
Master_Mapping_Sheet!$E$2:$E$3143, ISNUMBER(
Master_Mapping_Sheet!$E$2:$E$3143),
Master_Mapping_Sheet!$H$2:$H$3143=P$1,
Master_Mapping_Sheet!$B$2:$B$3143=$A3))/sum(filter(
Master_Mapping_Sheet!$E$2:$E$3143, ISNUMBER(
Master_Mapping_She"&amp;"et!$E$2:$E$3143),
Master_Mapping_Sheet!$H$2:$H$3143=P$1))), 0, sum(filter(
Master_Mapping_Sheet!$E$2:$E$3143, ISNUMBER(
Master_Mapping_Sheet!$E$2:$E$3143),
Master_Mapping_Sheet!$H$2:$H$3143=P$1,
Master_Mapping_Sheet!$B$2:$B$3143=$A3))/sum(filter(
Master_M"&amp;"apping_Sheet!$E$2:$E$3143, ISNUMBER(
Master_Mapping_Sheet!$E$2:$E$3143),
Master_Mapping_Sheet!$H$2:$H$3143=P$1)))"),0.0)</f>
        <v>0</v>
      </c>
      <c r="Q3" s="34">
        <f>IFERROR(__xludf.DUMMYFUNCTION("IF(ISNA(sum(filter(
Master_Mapping_Sheet!$E$2:$E$3143, ISNUMBER(
Master_Mapping_Sheet!$E$2:$E$3143),
Master_Mapping_Sheet!$H$2:$H$3143=Q$1,
Master_Mapping_Sheet!$B$2:$B$3143=$A3))/sum(filter(
Master_Mapping_Sheet!$E$2:$E$3143, ISNUMBER(
Master_Mapping_She"&amp;"et!$E$2:$E$3143),
Master_Mapping_Sheet!$H$2:$H$3143=Q$1))), 0, sum(filter(
Master_Mapping_Sheet!$E$2:$E$3143, ISNUMBER(
Master_Mapping_Sheet!$E$2:$E$3143),
Master_Mapping_Sheet!$H$2:$H$3143=Q$1,
Master_Mapping_Sheet!$B$2:$B$3143=$A3))/sum(filter(
Master_M"&amp;"apping_Sheet!$E$2:$E$3143, ISNUMBER(
Master_Mapping_Sheet!$E$2:$E$3143),
Master_Mapping_Sheet!$H$2:$H$3143=Q$1)))"),0.0)</f>
        <v>0</v>
      </c>
      <c r="R3" s="34">
        <f>IFERROR(__xludf.DUMMYFUNCTION("IF(ISNA(sum(filter(
Master_Mapping_Sheet!$E$2:$E$3143, ISNUMBER(
Master_Mapping_Sheet!$E$2:$E$3143),
Master_Mapping_Sheet!$H$2:$H$3143=R$1,
Master_Mapping_Sheet!$B$2:$B$3143=$A3))/sum(filter(
Master_Mapping_Sheet!$E$2:$E$3143, ISNUMBER(
Master_Mapping_She"&amp;"et!$E$2:$E$3143),
Master_Mapping_Sheet!$H$2:$H$3143=R$1))), 0, sum(filter(
Master_Mapping_Sheet!$E$2:$E$3143, ISNUMBER(
Master_Mapping_Sheet!$E$2:$E$3143),
Master_Mapping_Sheet!$H$2:$H$3143=R$1,
Master_Mapping_Sheet!$B$2:$B$3143=$A3))/sum(filter(
Master_M"&amp;"apping_Sheet!$E$2:$E$3143, ISNUMBER(
Master_Mapping_Sheet!$E$2:$E$3143),
Master_Mapping_Sheet!$H$2:$H$3143=R$1)))"),0.0)</f>
        <v>0</v>
      </c>
      <c r="S3" s="34">
        <f>IFERROR(__xludf.DUMMYFUNCTION("IF(ISNA(sum(filter(
Master_Mapping_Sheet!$E$2:$E$3143, ISNUMBER(
Master_Mapping_Sheet!$E$2:$E$3143),
Master_Mapping_Sheet!$H$2:$H$3143=S$1,
Master_Mapping_Sheet!$B$2:$B$3143=$A3))/sum(filter(
Master_Mapping_Sheet!$E$2:$E$3143, ISNUMBER(
Master_Mapping_She"&amp;"et!$E$2:$E$3143),
Master_Mapping_Sheet!$H$2:$H$3143=S$1))), 0, sum(filter(
Master_Mapping_Sheet!$E$2:$E$3143, ISNUMBER(
Master_Mapping_Sheet!$E$2:$E$3143),
Master_Mapping_Sheet!$H$2:$H$3143=S$1,
Master_Mapping_Sheet!$B$2:$B$3143=$A3))/sum(filter(
Master_M"&amp;"apping_Sheet!$E$2:$E$3143, ISNUMBER(
Master_Mapping_Sheet!$E$2:$E$3143),
Master_Mapping_Sheet!$H$2:$H$3143=S$1)))"),0.0)</f>
        <v>0</v>
      </c>
      <c r="T3" s="34">
        <f>IFERROR(__xludf.DUMMYFUNCTION("IF(ISNA(sum(filter(
Master_Mapping_Sheet!$E$2:$E$3143, ISNUMBER(
Master_Mapping_Sheet!$E$2:$E$3143),
Master_Mapping_Sheet!$H$2:$H$3143=T$1,
Master_Mapping_Sheet!$B$2:$B$3143=$A3))/sum(filter(
Master_Mapping_Sheet!$E$2:$E$3143, ISNUMBER(
Master_Mapping_She"&amp;"et!$E$2:$E$3143),
Master_Mapping_Sheet!$H$2:$H$3143=T$1))), 0, sum(filter(
Master_Mapping_Sheet!$E$2:$E$3143, ISNUMBER(
Master_Mapping_Sheet!$E$2:$E$3143),
Master_Mapping_Sheet!$H$2:$H$3143=T$1,
Master_Mapping_Sheet!$B$2:$B$3143=$A3))/sum(filter(
Master_M"&amp;"apping_Sheet!$E$2:$E$3143, ISNUMBER(
Master_Mapping_Sheet!$E$2:$E$3143),
Master_Mapping_Sheet!$H$2:$H$3143=T$1)))"),0.0)</f>
        <v>0</v>
      </c>
      <c r="U3" s="34">
        <f>IFERROR(__xludf.DUMMYFUNCTION("IF(ISNA(sum(filter(
Master_Mapping_Sheet!$E$2:$E$3143, ISNUMBER(
Master_Mapping_Sheet!$E$2:$E$3143),
Master_Mapping_Sheet!$H$2:$H$3143=U$1,
Master_Mapping_Sheet!$B$2:$B$3143=$A3))/sum(filter(
Master_Mapping_Sheet!$E$2:$E$3143, ISNUMBER(
Master_Mapping_She"&amp;"et!$E$2:$E$3143),
Master_Mapping_Sheet!$H$2:$H$3143=U$1))), 0, sum(filter(
Master_Mapping_Sheet!$E$2:$E$3143, ISNUMBER(
Master_Mapping_Sheet!$E$2:$E$3143),
Master_Mapping_Sheet!$H$2:$H$3143=U$1,
Master_Mapping_Sheet!$B$2:$B$3143=$A3))/sum(filter(
Master_M"&amp;"apping_Sheet!$E$2:$E$3143, ISNUMBER(
Master_Mapping_Sheet!$E$2:$E$3143),
Master_Mapping_Sheet!$H$2:$H$3143=U$1)))"),0.0)</f>
        <v>0</v>
      </c>
      <c r="V3" s="34">
        <f>IFERROR(__xludf.DUMMYFUNCTION("IF(ISNA(sum(filter(
Master_Mapping_Sheet!$E$2:$E$3143, ISNUMBER(
Master_Mapping_Sheet!$E$2:$E$3143),
Master_Mapping_Sheet!$H$2:$H$3143=V$1,
Master_Mapping_Sheet!$B$2:$B$3143=$A3))/sum(filter(
Master_Mapping_Sheet!$E$2:$E$3143, ISNUMBER(
Master_Mapping_She"&amp;"et!$E$2:$E$3143),
Master_Mapping_Sheet!$H$2:$H$3143=V$1))), 0, sum(filter(
Master_Mapping_Sheet!$E$2:$E$3143, ISNUMBER(
Master_Mapping_Sheet!$E$2:$E$3143),
Master_Mapping_Sheet!$H$2:$H$3143=V$1,
Master_Mapping_Sheet!$B$2:$B$3143=$A3))/sum(filter(
Master_M"&amp;"apping_Sheet!$E$2:$E$3143, ISNUMBER(
Master_Mapping_Sheet!$E$2:$E$3143),
Master_Mapping_Sheet!$H$2:$H$3143=V$1)))"),0.0)</f>
        <v>0</v>
      </c>
      <c r="W3" s="34">
        <f>IFERROR(__xludf.DUMMYFUNCTION("IF(ISNA(sum(filter(
Master_Mapping_Sheet!$E$2:$E$3143, ISNUMBER(
Master_Mapping_Sheet!$E$2:$E$3143),
Master_Mapping_Sheet!$H$2:$H$3143=W$1,
Master_Mapping_Sheet!$B$2:$B$3143=$A3))/sum(filter(
Master_Mapping_Sheet!$E$2:$E$3143, ISNUMBER(
Master_Mapping_She"&amp;"et!$E$2:$E$3143),
Master_Mapping_Sheet!$H$2:$H$3143=W$1))), 0, sum(filter(
Master_Mapping_Sheet!$E$2:$E$3143, ISNUMBER(
Master_Mapping_Sheet!$E$2:$E$3143),
Master_Mapping_Sheet!$H$2:$H$3143=W$1,
Master_Mapping_Sheet!$B$2:$B$3143=$A3))/sum(filter(
Master_M"&amp;"apping_Sheet!$E$2:$E$3143, ISNUMBER(
Master_Mapping_Sheet!$E$2:$E$3143),
Master_Mapping_Sheet!$H$2:$H$3143=W$1)))"),0.0)</f>
        <v>0</v>
      </c>
      <c r="X3" s="34">
        <f>IFERROR(__xludf.DUMMYFUNCTION("IF(ISNA(sum(filter(
Master_Mapping_Sheet!$E$2:$E$3143, ISNUMBER(
Master_Mapping_Sheet!$E$2:$E$3143),
Master_Mapping_Sheet!$H$2:$H$3143=X$1,
Master_Mapping_Sheet!$B$2:$B$3143=$A3))/sum(filter(
Master_Mapping_Sheet!$E$2:$E$3143, ISNUMBER(
Master_Mapping_She"&amp;"et!$E$2:$E$3143),
Master_Mapping_Sheet!$H$2:$H$3143=X$1))), 0, sum(filter(
Master_Mapping_Sheet!$E$2:$E$3143, ISNUMBER(
Master_Mapping_Sheet!$E$2:$E$3143),
Master_Mapping_Sheet!$H$2:$H$3143=X$1,
Master_Mapping_Sheet!$B$2:$B$3143=$A3))/sum(filter(
Master_M"&amp;"apping_Sheet!$E$2:$E$3143, ISNUMBER(
Master_Mapping_Sheet!$E$2:$E$3143),
Master_Mapping_Sheet!$H$2:$H$3143=X$1)))"),0.0)</f>
        <v>0</v>
      </c>
      <c r="Y3" s="34">
        <f>IFERROR(__xludf.DUMMYFUNCTION("IF(ISNA(sum(filter(
Master_Mapping_Sheet!$E$2:$E$3143, ISNUMBER(
Master_Mapping_Sheet!$E$2:$E$3143),
Master_Mapping_Sheet!$H$2:$H$3143=Y$1,
Master_Mapping_Sheet!$B$2:$B$3143=$A3))/sum(filter(
Master_Mapping_Sheet!$E$2:$E$3143, ISNUMBER(
Master_Mapping_She"&amp;"et!$E$2:$E$3143),
Master_Mapping_Sheet!$H$2:$H$3143=Y$1))), 0, sum(filter(
Master_Mapping_Sheet!$E$2:$E$3143, ISNUMBER(
Master_Mapping_Sheet!$E$2:$E$3143),
Master_Mapping_Sheet!$H$2:$H$3143=Y$1,
Master_Mapping_Sheet!$B$2:$B$3143=$A3))/sum(filter(
Master_M"&amp;"apping_Sheet!$E$2:$E$3143, ISNUMBER(
Master_Mapping_Sheet!$E$2:$E$3143),
Master_Mapping_Sheet!$H$2:$H$3143=Y$1)))"),0.0)</f>
        <v>0</v>
      </c>
      <c r="Z3" s="34">
        <f>IFERROR(__xludf.DUMMYFUNCTION("IF(ISNA(sum(filter(
Master_Mapping_Sheet!$E$2:$E$3143, ISNUMBER(
Master_Mapping_Sheet!$E$2:$E$3143),
Master_Mapping_Sheet!$H$2:$H$3143=Z$1,
Master_Mapping_Sheet!$B$2:$B$3143=$A3))/sum(filter(
Master_Mapping_Sheet!$E$2:$E$3143, ISNUMBER(
Master_Mapping_She"&amp;"et!$E$2:$E$3143),
Master_Mapping_Sheet!$H$2:$H$3143=Z$1))), 0, sum(filter(
Master_Mapping_Sheet!$E$2:$E$3143, ISNUMBER(
Master_Mapping_Sheet!$E$2:$E$3143),
Master_Mapping_Sheet!$H$2:$H$3143=Z$1,
Master_Mapping_Sheet!$B$2:$B$3143=$A3))/sum(filter(
Master_M"&amp;"apping_Sheet!$E$2:$E$3143, ISNUMBER(
Master_Mapping_Sheet!$E$2:$E$3143),
Master_Mapping_Sheet!$H$2:$H$3143=Z$1)))"),0.0)</f>
        <v>0</v>
      </c>
      <c r="AA3" s="34">
        <f>IFERROR(__xludf.DUMMYFUNCTION("IF(ISNA(sum(filter(
Master_Mapping_Sheet!$E$2:$E$3143, ISNUMBER(
Master_Mapping_Sheet!$E$2:$E$3143),
Master_Mapping_Sheet!$H$2:$H$3143=AA$1,
Master_Mapping_Sheet!$B$2:$B$3143=$A3))/sum(filter(
Master_Mapping_Sheet!$E$2:$E$3143, ISNUMBER(
Master_Mapping_Sh"&amp;"eet!$E$2:$E$3143),
Master_Mapping_Sheet!$H$2:$H$3143=AA$1))), 0, sum(filter(
Master_Mapping_Sheet!$E$2:$E$3143, ISNUMBER(
Master_Mapping_Sheet!$E$2:$E$3143),
Master_Mapping_Sheet!$H$2:$H$3143=AA$1,
Master_Mapping_Sheet!$B$2:$B$3143=$A3))/sum(filter(
Maste"&amp;"r_Mapping_Sheet!$E$2:$E$3143, ISNUMBER(
Master_Mapping_Sheet!$E$2:$E$3143),
Master_Mapping_Sheet!$H$2:$H$3143=AA$1)))"),0.0)</f>
        <v>0</v>
      </c>
    </row>
    <row r="4" ht="15.75" customHeight="1">
      <c r="A4" s="34" t="s">
        <v>201</v>
      </c>
      <c r="B4" s="34" t="s">
        <v>2063</v>
      </c>
      <c r="C4" s="34">
        <f>IFERROR(__xludf.DUMMYFUNCTION("IF(ISNA(sum(filter(
Master_Mapping_Sheet!$E$2:$E$3143, ISNUMBER(
Master_Mapping_Sheet!$E$2:$E$3143),
Master_Mapping_Sheet!$H$2:$H$3143=C$1,
Master_Mapping_Sheet!$B$2:$B$3143=$A4))/sum(filter(
Master_Mapping_Sheet!$E$2:$E$3143, ISNUMBER(
Master_Mapping_She"&amp;"et!$E$2:$E$3143),
Master_Mapping_Sheet!$H$2:$H$3143=C$1))), 0, sum(filter(
Master_Mapping_Sheet!$E$2:$E$3143, ISNUMBER(
Master_Mapping_Sheet!$E$2:$E$3143),
Master_Mapping_Sheet!$H$2:$H$3143=C$1,
Master_Mapping_Sheet!$B$2:$B$3143=$A4))/sum(filter(
Master_M"&amp;"apping_Sheet!$E$2:$E$3143, ISNUMBER(
Master_Mapping_Sheet!$E$2:$E$3143),
Master_Mapping_Sheet!$H$2:$H$3143=C$1)))"),0.0)</f>
        <v>0</v>
      </c>
      <c r="D4" s="34">
        <f>IFERROR(__xludf.DUMMYFUNCTION("IF(ISNA(sum(filter(
Master_Mapping_Sheet!$E$2:$E$3143, ISNUMBER(
Master_Mapping_Sheet!$E$2:$E$3143),
Master_Mapping_Sheet!$H$2:$H$3143=D$1,
Master_Mapping_Sheet!$B$2:$B$3143=$A4))/sum(filter(
Master_Mapping_Sheet!$E$2:$E$3143, ISNUMBER(
Master_Mapping_She"&amp;"et!$E$2:$E$3143),
Master_Mapping_Sheet!$H$2:$H$3143=D$1))), 0, sum(filter(
Master_Mapping_Sheet!$E$2:$E$3143, ISNUMBER(
Master_Mapping_Sheet!$E$2:$E$3143),
Master_Mapping_Sheet!$H$2:$H$3143=D$1,
Master_Mapping_Sheet!$B$2:$B$3143=$A4))/sum(filter(
Master_M"&amp;"apping_Sheet!$E$2:$E$3143, ISNUMBER(
Master_Mapping_Sheet!$E$2:$E$3143),
Master_Mapping_Sheet!$H$2:$H$3143=D$1)))"),0.0)</f>
        <v>0</v>
      </c>
      <c r="E4" s="32">
        <f>IFERROR(__xludf.DUMMYFUNCTION("IF(ISNA(sum(filter(
Master_Mapping_Sheet!$E$2:$E$3143, ISNUMBER(
Master_Mapping_Sheet!$E$2:$E$3143),
Master_Mapping_Sheet!$H$2:$H$3143=E$1,
Master_Mapping_Sheet!$B$2:$B$3143=$A4))/sum(filter(
Master_Mapping_Sheet!$E$2:$E$3143, ISNUMBER(
Master_Mapping_She"&amp;"et!$E$2:$E$3143),
Master_Mapping_Sheet!$H$2:$H$3143=E$1))), 0, sum(filter(
Master_Mapping_Sheet!$E$2:$E$3143, ISNUMBER(
Master_Mapping_Sheet!$E$2:$E$3143),
Master_Mapping_Sheet!$H$2:$H$3143=E$1,
Master_Mapping_Sheet!$B$2:$B$3143=$A4))/sum(filter(
Master_M"&amp;"apping_Sheet!$E$2:$E$3143, ISNUMBER(
Master_Mapping_Sheet!$E$2:$E$3143),
Master_Mapping_Sheet!$H$2:$H$3143=E$1)))"),0.0)</f>
        <v>0</v>
      </c>
      <c r="F4" s="34">
        <f>IFERROR(__xludf.DUMMYFUNCTION("IF(ISNA(sum(filter(
Master_Mapping_Sheet!$E$2:$E$3143, ISNUMBER(
Master_Mapping_Sheet!$E$2:$E$3143),
Master_Mapping_Sheet!$H$2:$H$3143=F$1,
Master_Mapping_Sheet!$B$2:$B$3143=$A4))/sum(filter(
Master_Mapping_Sheet!$E$2:$E$3143, ISNUMBER(
Master_Mapping_She"&amp;"et!$E$2:$E$3143),
Master_Mapping_Sheet!$H$2:$H$3143=F$1))), 0, sum(filter(
Master_Mapping_Sheet!$E$2:$E$3143, ISNUMBER(
Master_Mapping_Sheet!$E$2:$E$3143),
Master_Mapping_Sheet!$H$2:$H$3143=F$1,
Master_Mapping_Sheet!$B$2:$B$3143=$A4))/sum(filter(
Master_M"&amp;"apping_Sheet!$E$2:$E$3143, ISNUMBER(
Master_Mapping_Sheet!$E$2:$E$3143),
Master_Mapping_Sheet!$H$2:$H$3143=F$1)))"),0.0)</f>
        <v>0</v>
      </c>
      <c r="G4" s="34">
        <f>IFERROR(__xludf.DUMMYFUNCTION("IF(ISNA(sum(filter(
Master_Mapping_Sheet!$E$2:$E$3143, ISNUMBER(
Master_Mapping_Sheet!$E$2:$E$3143),
Master_Mapping_Sheet!$H$2:$H$3143=G$1,
Master_Mapping_Sheet!$B$2:$B$3143=$A4))/sum(filter(
Master_Mapping_Sheet!$E$2:$E$3143, ISNUMBER(
Master_Mapping_She"&amp;"et!$E$2:$E$3143),
Master_Mapping_Sheet!$H$2:$H$3143=G$1))), 0, sum(filter(
Master_Mapping_Sheet!$E$2:$E$3143, ISNUMBER(
Master_Mapping_Sheet!$E$2:$E$3143),
Master_Mapping_Sheet!$H$2:$H$3143=G$1,
Master_Mapping_Sheet!$B$2:$B$3143=$A4))/sum(filter(
Master_M"&amp;"apping_Sheet!$E$2:$E$3143, ISNUMBER(
Master_Mapping_Sheet!$E$2:$E$3143),
Master_Mapping_Sheet!$H$2:$H$3143=G$1)))"),0.0)</f>
        <v>0</v>
      </c>
      <c r="H4" s="34">
        <f>IFERROR(__xludf.DUMMYFUNCTION("IF(ISNA(sum(filter(
Master_Mapping_Sheet!$E$2:$E$3143, ISNUMBER(
Master_Mapping_Sheet!$E$2:$E$3143),
Master_Mapping_Sheet!$H$2:$H$3143=H$1,
Master_Mapping_Sheet!$B$2:$B$3143=$A4))/sum(filter(
Master_Mapping_Sheet!$E$2:$E$3143, ISNUMBER(
Master_Mapping_She"&amp;"et!$E$2:$E$3143),
Master_Mapping_Sheet!$H$2:$H$3143=H$1))), 0, sum(filter(
Master_Mapping_Sheet!$E$2:$E$3143, ISNUMBER(
Master_Mapping_Sheet!$E$2:$E$3143),
Master_Mapping_Sheet!$H$2:$H$3143=H$1,
Master_Mapping_Sheet!$B$2:$B$3143=$A4))/sum(filter(
Master_M"&amp;"apping_Sheet!$E$2:$E$3143, ISNUMBER(
Master_Mapping_Sheet!$E$2:$E$3143),
Master_Mapping_Sheet!$H$2:$H$3143=H$1)))"),0.0)</f>
        <v>0</v>
      </c>
      <c r="I4" s="34">
        <f>IFERROR(__xludf.DUMMYFUNCTION("IF(ISNA(sum(filter(
Master_Mapping_Sheet!$E$2:$E$3143, ISNUMBER(
Master_Mapping_Sheet!$E$2:$E$3143),
Master_Mapping_Sheet!$H$2:$H$3143=I$1,
Master_Mapping_Sheet!$B$2:$B$3143=$A4))/sum(filter(
Master_Mapping_Sheet!$E$2:$E$3143, ISNUMBER(
Master_Mapping_She"&amp;"et!$E$2:$E$3143),
Master_Mapping_Sheet!$H$2:$H$3143=I$1))), 0, sum(filter(
Master_Mapping_Sheet!$E$2:$E$3143, ISNUMBER(
Master_Mapping_Sheet!$E$2:$E$3143),
Master_Mapping_Sheet!$H$2:$H$3143=I$1,
Master_Mapping_Sheet!$B$2:$B$3143=$A4))/sum(filter(
Master_M"&amp;"apping_Sheet!$E$2:$E$3143, ISNUMBER(
Master_Mapping_Sheet!$E$2:$E$3143),
Master_Mapping_Sheet!$H$2:$H$3143=I$1)))"),0.0)</f>
        <v>0</v>
      </c>
      <c r="J4" s="34">
        <f>IFERROR(__xludf.DUMMYFUNCTION("IF(ISNA(sum(filter(
Master_Mapping_Sheet!$E$2:$E$3143, ISNUMBER(
Master_Mapping_Sheet!$E$2:$E$3143),
Master_Mapping_Sheet!$H$2:$H$3143=J$1,
Master_Mapping_Sheet!$B$2:$B$3143=$A4))/sum(filter(
Master_Mapping_Sheet!$E$2:$E$3143, ISNUMBER(
Master_Mapping_She"&amp;"et!$E$2:$E$3143),
Master_Mapping_Sheet!$H$2:$H$3143=J$1))), 0, sum(filter(
Master_Mapping_Sheet!$E$2:$E$3143, ISNUMBER(
Master_Mapping_Sheet!$E$2:$E$3143),
Master_Mapping_Sheet!$H$2:$H$3143=J$1,
Master_Mapping_Sheet!$B$2:$B$3143=$A4))/sum(filter(
Master_M"&amp;"apping_Sheet!$E$2:$E$3143, ISNUMBER(
Master_Mapping_Sheet!$E$2:$E$3143),
Master_Mapping_Sheet!$H$2:$H$3143=J$1)))"),0.0)</f>
        <v>0</v>
      </c>
      <c r="K4" s="34">
        <f>IFERROR(__xludf.DUMMYFUNCTION("IF(ISNA(sum(filter(
Master_Mapping_Sheet!$E$2:$E$3143, ISNUMBER(
Master_Mapping_Sheet!$E$2:$E$3143),
Master_Mapping_Sheet!$H$2:$H$3143=K$1,
Master_Mapping_Sheet!$B$2:$B$3143=$A4))/sum(filter(
Master_Mapping_Sheet!$E$2:$E$3143, ISNUMBER(
Master_Mapping_She"&amp;"et!$E$2:$E$3143),
Master_Mapping_Sheet!$H$2:$H$3143=K$1))), 0, sum(filter(
Master_Mapping_Sheet!$E$2:$E$3143, ISNUMBER(
Master_Mapping_Sheet!$E$2:$E$3143),
Master_Mapping_Sheet!$H$2:$H$3143=K$1,
Master_Mapping_Sheet!$B$2:$B$3143=$A4))/sum(filter(
Master_M"&amp;"apping_Sheet!$E$2:$E$3143, ISNUMBER(
Master_Mapping_Sheet!$E$2:$E$3143),
Master_Mapping_Sheet!$H$2:$H$3143=K$1)))"),0.0)</f>
        <v>0</v>
      </c>
      <c r="L4" s="34">
        <f>IFERROR(__xludf.DUMMYFUNCTION("IF(ISNA(sum(filter(
Master_Mapping_Sheet!$E$2:$E$3143, ISNUMBER(
Master_Mapping_Sheet!$E$2:$E$3143),
Master_Mapping_Sheet!$H$2:$H$3143=L$1,
Master_Mapping_Sheet!$B$2:$B$3143=$A4))/sum(filter(
Master_Mapping_Sheet!$E$2:$E$3143, ISNUMBER(
Master_Mapping_She"&amp;"et!$E$2:$E$3143),
Master_Mapping_Sheet!$H$2:$H$3143=L$1))), 0, sum(filter(
Master_Mapping_Sheet!$E$2:$E$3143, ISNUMBER(
Master_Mapping_Sheet!$E$2:$E$3143),
Master_Mapping_Sheet!$H$2:$H$3143=L$1,
Master_Mapping_Sheet!$B$2:$B$3143=$A4))/sum(filter(
Master_M"&amp;"apping_Sheet!$E$2:$E$3143, ISNUMBER(
Master_Mapping_Sheet!$E$2:$E$3143),
Master_Mapping_Sheet!$H$2:$H$3143=L$1)))"),0.0)</f>
        <v>0</v>
      </c>
      <c r="M4" s="34">
        <f>IFERROR(__xludf.DUMMYFUNCTION("IF(ISNA(sum(filter(
Master_Mapping_Sheet!$E$2:$E$3143, ISNUMBER(
Master_Mapping_Sheet!$E$2:$E$3143),
Master_Mapping_Sheet!$H$2:$H$3143=M$1,
Master_Mapping_Sheet!$B$2:$B$3143=$A4))/sum(filter(
Master_Mapping_Sheet!$E$2:$E$3143, ISNUMBER(
Master_Mapping_She"&amp;"et!$E$2:$E$3143),
Master_Mapping_Sheet!$H$2:$H$3143=M$1))), 0, sum(filter(
Master_Mapping_Sheet!$E$2:$E$3143, ISNUMBER(
Master_Mapping_Sheet!$E$2:$E$3143),
Master_Mapping_Sheet!$H$2:$H$3143=M$1,
Master_Mapping_Sheet!$B$2:$B$3143=$A4))/sum(filter(
Master_M"&amp;"apping_Sheet!$E$2:$E$3143, ISNUMBER(
Master_Mapping_Sheet!$E$2:$E$3143),
Master_Mapping_Sheet!$H$2:$H$3143=M$1)))"),0.0)</f>
        <v>0</v>
      </c>
      <c r="N4" s="34">
        <f>IFERROR(__xludf.DUMMYFUNCTION("IF(ISNA(sum(filter(
Master_Mapping_Sheet!$E$2:$E$3143, ISNUMBER(
Master_Mapping_Sheet!$E$2:$E$3143),
Master_Mapping_Sheet!$H$2:$H$3143=N$1,
Master_Mapping_Sheet!$B$2:$B$3143=$A4))/sum(filter(
Master_Mapping_Sheet!$E$2:$E$3143, ISNUMBER(
Master_Mapping_She"&amp;"et!$E$2:$E$3143),
Master_Mapping_Sheet!$H$2:$H$3143=N$1))), 0, sum(filter(
Master_Mapping_Sheet!$E$2:$E$3143, ISNUMBER(
Master_Mapping_Sheet!$E$2:$E$3143),
Master_Mapping_Sheet!$H$2:$H$3143=N$1,
Master_Mapping_Sheet!$B$2:$B$3143=$A4))/sum(filter(
Master_M"&amp;"apping_Sheet!$E$2:$E$3143, ISNUMBER(
Master_Mapping_Sheet!$E$2:$E$3143),
Master_Mapping_Sheet!$H$2:$H$3143=N$1)))"),0.0)</f>
        <v>0</v>
      </c>
      <c r="O4" s="34">
        <f>IFERROR(__xludf.DUMMYFUNCTION("IF(ISNA(sum(filter(
Master_Mapping_Sheet!$E$2:$E$3143, ISNUMBER(
Master_Mapping_Sheet!$E$2:$E$3143),
Master_Mapping_Sheet!$H$2:$H$3143=O$1,
Master_Mapping_Sheet!$B$2:$B$3143=$A4))/sum(filter(
Master_Mapping_Sheet!$E$2:$E$3143, ISNUMBER(
Master_Mapping_She"&amp;"et!$E$2:$E$3143),
Master_Mapping_Sheet!$H$2:$H$3143=O$1))), 0, sum(filter(
Master_Mapping_Sheet!$E$2:$E$3143, ISNUMBER(
Master_Mapping_Sheet!$E$2:$E$3143),
Master_Mapping_Sheet!$H$2:$H$3143=O$1,
Master_Mapping_Sheet!$B$2:$B$3143=$A4))/sum(filter(
Master_M"&amp;"apping_Sheet!$E$2:$E$3143, ISNUMBER(
Master_Mapping_Sheet!$E$2:$E$3143),
Master_Mapping_Sheet!$H$2:$H$3143=O$1)))"),0.0)</f>
        <v>0</v>
      </c>
      <c r="P4" s="34">
        <f>IFERROR(__xludf.DUMMYFUNCTION("IF(ISNA(sum(filter(
Master_Mapping_Sheet!$E$2:$E$3143, ISNUMBER(
Master_Mapping_Sheet!$E$2:$E$3143),
Master_Mapping_Sheet!$H$2:$H$3143=P$1,
Master_Mapping_Sheet!$B$2:$B$3143=$A4))/sum(filter(
Master_Mapping_Sheet!$E$2:$E$3143, ISNUMBER(
Master_Mapping_She"&amp;"et!$E$2:$E$3143),
Master_Mapping_Sheet!$H$2:$H$3143=P$1))), 0, sum(filter(
Master_Mapping_Sheet!$E$2:$E$3143, ISNUMBER(
Master_Mapping_Sheet!$E$2:$E$3143),
Master_Mapping_Sheet!$H$2:$H$3143=P$1,
Master_Mapping_Sheet!$B$2:$B$3143=$A4))/sum(filter(
Master_M"&amp;"apping_Sheet!$E$2:$E$3143, ISNUMBER(
Master_Mapping_Sheet!$E$2:$E$3143),
Master_Mapping_Sheet!$H$2:$H$3143=P$1)))"),0.0)</f>
        <v>0</v>
      </c>
      <c r="Q4" s="34">
        <f>IFERROR(__xludf.DUMMYFUNCTION("IF(ISNA(sum(filter(
Master_Mapping_Sheet!$E$2:$E$3143, ISNUMBER(
Master_Mapping_Sheet!$E$2:$E$3143),
Master_Mapping_Sheet!$H$2:$H$3143=Q$1,
Master_Mapping_Sheet!$B$2:$B$3143=$A4))/sum(filter(
Master_Mapping_Sheet!$E$2:$E$3143, ISNUMBER(
Master_Mapping_She"&amp;"et!$E$2:$E$3143),
Master_Mapping_Sheet!$H$2:$H$3143=Q$1))), 0, sum(filter(
Master_Mapping_Sheet!$E$2:$E$3143, ISNUMBER(
Master_Mapping_Sheet!$E$2:$E$3143),
Master_Mapping_Sheet!$H$2:$H$3143=Q$1,
Master_Mapping_Sheet!$B$2:$B$3143=$A4))/sum(filter(
Master_M"&amp;"apping_Sheet!$E$2:$E$3143, ISNUMBER(
Master_Mapping_Sheet!$E$2:$E$3143),
Master_Mapping_Sheet!$H$2:$H$3143=Q$1)))"),0.0)</f>
        <v>0</v>
      </c>
      <c r="R4" s="34">
        <f>IFERROR(__xludf.DUMMYFUNCTION("IF(ISNA(sum(filter(
Master_Mapping_Sheet!$E$2:$E$3143, ISNUMBER(
Master_Mapping_Sheet!$E$2:$E$3143),
Master_Mapping_Sheet!$H$2:$H$3143=R$1,
Master_Mapping_Sheet!$B$2:$B$3143=$A4))/sum(filter(
Master_Mapping_Sheet!$E$2:$E$3143, ISNUMBER(
Master_Mapping_She"&amp;"et!$E$2:$E$3143),
Master_Mapping_Sheet!$H$2:$H$3143=R$1))), 0, sum(filter(
Master_Mapping_Sheet!$E$2:$E$3143, ISNUMBER(
Master_Mapping_Sheet!$E$2:$E$3143),
Master_Mapping_Sheet!$H$2:$H$3143=R$1,
Master_Mapping_Sheet!$B$2:$B$3143=$A4))/sum(filter(
Master_M"&amp;"apping_Sheet!$E$2:$E$3143, ISNUMBER(
Master_Mapping_Sheet!$E$2:$E$3143),
Master_Mapping_Sheet!$H$2:$H$3143=R$1)))"),0.0)</f>
        <v>0</v>
      </c>
      <c r="S4" s="34">
        <f>IFERROR(__xludf.DUMMYFUNCTION("IF(ISNA(sum(filter(
Master_Mapping_Sheet!$E$2:$E$3143, ISNUMBER(
Master_Mapping_Sheet!$E$2:$E$3143),
Master_Mapping_Sheet!$H$2:$H$3143=S$1,
Master_Mapping_Sheet!$B$2:$B$3143=$A4))/sum(filter(
Master_Mapping_Sheet!$E$2:$E$3143, ISNUMBER(
Master_Mapping_She"&amp;"et!$E$2:$E$3143),
Master_Mapping_Sheet!$H$2:$H$3143=S$1))), 0, sum(filter(
Master_Mapping_Sheet!$E$2:$E$3143, ISNUMBER(
Master_Mapping_Sheet!$E$2:$E$3143),
Master_Mapping_Sheet!$H$2:$H$3143=S$1,
Master_Mapping_Sheet!$B$2:$B$3143=$A4))/sum(filter(
Master_M"&amp;"apping_Sheet!$E$2:$E$3143, ISNUMBER(
Master_Mapping_Sheet!$E$2:$E$3143),
Master_Mapping_Sheet!$H$2:$H$3143=S$1)))"),0.0)</f>
        <v>0</v>
      </c>
      <c r="T4" s="34">
        <f>IFERROR(__xludf.DUMMYFUNCTION("IF(ISNA(sum(filter(
Master_Mapping_Sheet!$E$2:$E$3143, ISNUMBER(
Master_Mapping_Sheet!$E$2:$E$3143),
Master_Mapping_Sheet!$H$2:$H$3143=T$1,
Master_Mapping_Sheet!$B$2:$B$3143=$A4))/sum(filter(
Master_Mapping_Sheet!$E$2:$E$3143, ISNUMBER(
Master_Mapping_She"&amp;"et!$E$2:$E$3143),
Master_Mapping_Sheet!$H$2:$H$3143=T$1))), 0, sum(filter(
Master_Mapping_Sheet!$E$2:$E$3143, ISNUMBER(
Master_Mapping_Sheet!$E$2:$E$3143),
Master_Mapping_Sheet!$H$2:$H$3143=T$1,
Master_Mapping_Sheet!$B$2:$B$3143=$A4))/sum(filter(
Master_M"&amp;"apping_Sheet!$E$2:$E$3143, ISNUMBER(
Master_Mapping_Sheet!$E$2:$E$3143),
Master_Mapping_Sheet!$H$2:$H$3143=T$1)))"),0.0)</f>
        <v>0</v>
      </c>
      <c r="U4" s="34">
        <f>IFERROR(__xludf.DUMMYFUNCTION("IF(ISNA(sum(filter(
Master_Mapping_Sheet!$E$2:$E$3143, ISNUMBER(
Master_Mapping_Sheet!$E$2:$E$3143),
Master_Mapping_Sheet!$H$2:$H$3143=U$1,
Master_Mapping_Sheet!$B$2:$B$3143=$A4))/sum(filter(
Master_Mapping_Sheet!$E$2:$E$3143, ISNUMBER(
Master_Mapping_She"&amp;"et!$E$2:$E$3143),
Master_Mapping_Sheet!$H$2:$H$3143=U$1))), 0, sum(filter(
Master_Mapping_Sheet!$E$2:$E$3143, ISNUMBER(
Master_Mapping_Sheet!$E$2:$E$3143),
Master_Mapping_Sheet!$H$2:$H$3143=U$1,
Master_Mapping_Sheet!$B$2:$B$3143=$A4))/sum(filter(
Master_M"&amp;"apping_Sheet!$E$2:$E$3143, ISNUMBER(
Master_Mapping_Sheet!$E$2:$E$3143),
Master_Mapping_Sheet!$H$2:$H$3143=U$1)))"),0.0)</f>
        <v>0</v>
      </c>
      <c r="V4" s="34">
        <f>IFERROR(__xludf.DUMMYFUNCTION("IF(ISNA(sum(filter(
Master_Mapping_Sheet!$E$2:$E$3143, ISNUMBER(
Master_Mapping_Sheet!$E$2:$E$3143),
Master_Mapping_Sheet!$H$2:$H$3143=V$1,
Master_Mapping_Sheet!$B$2:$B$3143=$A4))/sum(filter(
Master_Mapping_Sheet!$E$2:$E$3143, ISNUMBER(
Master_Mapping_She"&amp;"et!$E$2:$E$3143),
Master_Mapping_Sheet!$H$2:$H$3143=V$1))), 0, sum(filter(
Master_Mapping_Sheet!$E$2:$E$3143, ISNUMBER(
Master_Mapping_Sheet!$E$2:$E$3143),
Master_Mapping_Sheet!$H$2:$H$3143=V$1,
Master_Mapping_Sheet!$B$2:$B$3143=$A4))/sum(filter(
Master_M"&amp;"apping_Sheet!$E$2:$E$3143, ISNUMBER(
Master_Mapping_Sheet!$E$2:$E$3143),
Master_Mapping_Sheet!$H$2:$H$3143=V$1)))"),0.7280654830835237)</f>
        <v>0.7280654831</v>
      </c>
      <c r="W4" s="34">
        <f>IFERROR(__xludf.DUMMYFUNCTION("IF(ISNA(sum(filter(
Master_Mapping_Sheet!$E$2:$E$3143, ISNUMBER(
Master_Mapping_Sheet!$E$2:$E$3143),
Master_Mapping_Sheet!$H$2:$H$3143=W$1,
Master_Mapping_Sheet!$B$2:$B$3143=$A4))/sum(filter(
Master_Mapping_Sheet!$E$2:$E$3143, ISNUMBER(
Master_Mapping_She"&amp;"et!$E$2:$E$3143),
Master_Mapping_Sheet!$H$2:$H$3143=W$1))), 0, sum(filter(
Master_Mapping_Sheet!$E$2:$E$3143, ISNUMBER(
Master_Mapping_Sheet!$E$2:$E$3143),
Master_Mapping_Sheet!$H$2:$H$3143=W$1,
Master_Mapping_Sheet!$B$2:$B$3143=$A4))/sum(filter(
Master_M"&amp;"apping_Sheet!$E$2:$E$3143, ISNUMBER(
Master_Mapping_Sheet!$E$2:$E$3143),
Master_Mapping_Sheet!$H$2:$H$3143=W$1)))"),0.0)</f>
        <v>0</v>
      </c>
      <c r="X4" s="34">
        <f>IFERROR(__xludf.DUMMYFUNCTION("IF(ISNA(sum(filter(
Master_Mapping_Sheet!$E$2:$E$3143, ISNUMBER(
Master_Mapping_Sheet!$E$2:$E$3143),
Master_Mapping_Sheet!$H$2:$H$3143=X$1,
Master_Mapping_Sheet!$B$2:$B$3143=$A4))/sum(filter(
Master_Mapping_Sheet!$E$2:$E$3143, ISNUMBER(
Master_Mapping_She"&amp;"et!$E$2:$E$3143),
Master_Mapping_Sheet!$H$2:$H$3143=X$1))), 0, sum(filter(
Master_Mapping_Sheet!$E$2:$E$3143, ISNUMBER(
Master_Mapping_Sheet!$E$2:$E$3143),
Master_Mapping_Sheet!$H$2:$H$3143=X$1,
Master_Mapping_Sheet!$B$2:$B$3143=$A4))/sum(filter(
Master_M"&amp;"apping_Sheet!$E$2:$E$3143, ISNUMBER(
Master_Mapping_Sheet!$E$2:$E$3143),
Master_Mapping_Sheet!$H$2:$H$3143=X$1)))"),0.0)</f>
        <v>0</v>
      </c>
      <c r="Y4" s="34">
        <f>IFERROR(__xludf.DUMMYFUNCTION("IF(ISNA(sum(filter(
Master_Mapping_Sheet!$E$2:$E$3143, ISNUMBER(
Master_Mapping_Sheet!$E$2:$E$3143),
Master_Mapping_Sheet!$H$2:$H$3143=Y$1,
Master_Mapping_Sheet!$B$2:$B$3143=$A4))/sum(filter(
Master_Mapping_Sheet!$E$2:$E$3143, ISNUMBER(
Master_Mapping_She"&amp;"et!$E$2:$E$3143),
Master_Mapping_Sheet!$H$2:$H$3143=Y$1))), 0, sum(filter(
Master_Mapping_Sheet!$E$2:$E$3143, ISNUMBER(
Master_Mapping_Sheet!$E$2:$E$3143),
Master_Mapping_Sheet!$H$2:$H$3143=Y$1,
Master_Mapping_Sheet!$B$2:$B$3143=$A4))/sum(filter(
Master_M"&amp;"apping_Sheet!$E$2:$E$3143, ISNUMBER(
Master_Mapping_Sheet!$E$2:$E$3143),
Master_Mapping_Sheet!$H$2:$H$3143=Y$1)))"),0.0)</f>
        <v>0</v>
      </c>
      <c r="Z4" s="34">
        <f>IFERROR(__xludf.DUMMYFUNCTION("IF(ISNA(sum(filter(
Master_Mapping_Sheet!$E$2:$E$3143, ISNUMBER(
Master_Mapping_Sheet!$E$2:$E$3143),
Master_Mapping_Sheet!$H$2:$H$3143=Z$1,
Master_Mapping_Sheet!$B$2:$B$3143=$A4))/sum(filter(
Master_Mapping_Sheet!$E$2:$E$3143, ISNUMBER(
Master_Mapping_She"&amp;"et!$E$2:$E$3143),
Master_Mapping_Sheet!$H$2:$H$3143=Z$1))), 0, sum(filter(
Master_Mapping_Sheet!$E$2:$E$3143, ISNUMBER(
Master_Mapping_Sheet!$E$2:$E$3143),
Master_Mapping_Sheet!$H$2:$H$3143=Z$1,
Master_Mapping_Sheet!$B$2:$B$3143=$A4))/sum(filter(
Master_M"&amp;"apping_Sheet!$E$2:$E$3143, ISNUMBER(
Master_Mapping_Sheet!$E$2:$E$3143),
Master_Mapping_Sheet!$H$2:$H$3143=Z$1)))"),0.0)</f>
        <v>0</v>
      </c>
      <c r="AA4" s="34">
        <f>IFERROR(__xludf.DUMMYFUNCTION("IF(ISNA(sum(filter(
Master_Mapping_Sheet!$E$2:$E$3143, ISNUMBER(
Master_Mapping_Sheet!$E$2:$E$3143),
Master_Mapping_Sheet!$H$2:$H$3143=AA$1,
Master_Mapping_Sheet!$B$2:$B$3143=$A4))/sum(filter(
Master_Mapping_Sheet!$E$2:$E$3143, ISNUMBER(
Master_Mapping_Sh"&amp;"eet!$E$2:$E$3143),
Master_Mapping_Sheet!$H$2:$H$3143=AA$1))), 0, sum(filter(
Master_Mapping_Sheet!$E$2:$E$3143, ISNUMBER(
Master_Mapping_Sheet!$E$2:$E$3143),
Master_Mapping_Sheet!$H$2:$H$3143=AA$1,
Master_Mapping_Sheet!$B$2:$B$3143=$A4))/sum(filter(
Maste"&amp;"r_Mapping_Sheet!$E$2:$E$3143, ISNUMBER(
Master_Mapping_Sheet!$E$2:$E$3143),
Master_Mapping_Sheet!$H$2:$H$3143=AA$1)))"),0.0)</f>
        <v>0</v>
      </c>
    </row>
    <row r="5" ht="15.75" customHeight="1">
      <c r="A5" s="34" t="s">
        <v>220</v>
      </c>
      <c r="B5" s="34" t="s">
        <v>2079</v>
      </c>
      <c r="C5" s="34">
        <f>IFERROR(__xludf.DUMMYFUNCTION("IF(ISNA(sum(filter(
Master_Mapping_Sheet!$E$2:$E$3143, ISNUMBER(
Master_Mapping_Sheet!$E$2:$E$3143),
Master_Mapping_Sheet!$H$2:$H$3143=C$1,
Master_Mapping_Sheet!$B$2:$B$3143=$A5))/sum(filter(
Master_Mapping_Sheet!$E$2:$E$3143, ISNUMBER(
Master_Mapping_She"&amp;"et!$E$2:$E$3143),
Master_Mapping_Sheet!$H$2:$H$3143=C$1))), 0, sum(filter(
Master_Mapping_Sheet!$E$2:$E$3143, ISNUMBER(
Master_Mapping_Sheet!$E$2:$E$3143),
Master_Mapping_Sheet!$H$2:$H$3143=C$1,
Master_Mapping_Sheet!$B$2:$B$3143=$A5))/sum(filter(
Master_M"&amp;"apping_Sheet!$E$2:$E$3143, ISNUMBER(
Master_Mapping_Sheet!$E$2:$E$3143),
Master_Mapping_Sheet!$H$2:$H$3143=C$1)))"),0.0)</f>
        <v>0</v>
      </c>
      <c r="D5" s="34">
        <f>IFERROR(__xludf.DUMMYFUNCTION("IF(ISNA(sum(filter(
Master_Mapping_Sheet!$E$2:$E$3143, ISNUMBER(
Master_Mapping_Sheet!$E$2:$E$3143),
Master_Mapping_Sheet!$H$2:$H$3143=D$1,
Master_Mapping_Sheet!$B$2:$B$3143=$A5))/sum(filter(
Master_Mapping_Sheet!$E$2:$E$3143, ISNUMBER(
Master_Mapping_She"&amp;"et!$E$2:$E$3143),
Master_Mapping_Sheet!$H$2:$H$3143=D$1))), 0, sum(filter(
Master_Mapping_Sheet!$E$2:$E$3143, ISNUMBER(
Master_Mapping_Sheet!$E$2:$E$3143),
Master_Mapping_Sheet!$H$2:$H$3143=D$1,
Master_Mapping_Sheet!$B$2:$B$3143=$A5))/sum(filter(
Master_M"&amp;"apping_Sheet!$E$2:$E$3143, ISNUMBER(
Master_Mapping_Sheet!$E$2:$E$3143),
Master_Mapping_Sheet!$H$2:$H$3143=D$1)))"),0.0)</f>
        <v>0</v>
      </c>
      <c r="E5" s="32">
        <f>IFERROR(__xludf.DUMMYFUNCTION("IF(ISNA(sum(filter(
Master_Mapping_Sheet!$E$2:$E$3143, ISNUMBER(
Master_Mapping_Sheet!$E$2:$E$3143),
Master_Mapping_Sheet!$H$2:$H$3143=E$1,
Master_Mapping_Sheet!$B$2:$B$3143=$A5))/sum(filter(
Master_Mapping_Sheet!$E$2:$E$3143, ISNUMBER(
Master_Mapping_She"&amp;"et!$E$2:$E$3143),
Master_Mapping_Sheet!$H$2:$H$3143=E$1))), 0, sum(filter(
Master_Mapping_Sheet!$E$2:$E$3143, ISNUMBER(
Master_Mapping_Sheet!$E$2:$E$3143),
Master_Mapping_Sheet!$H$2:$H$3143=E$1,
Master_Mapping_Sheet!$B$2:$B$3143=$A5))/sum(filter(
Master_M"&amp;"apping_Sheet!$E$2:$E$3143, ISNUMBER(
Master_Mapping_Sheet!$E$2:$E$3143),
Master_Mapping_Sheet!$H$2:$H$3143=E$1)))"),0.0)</f>
        <v>0</v>
      </c>
      <c r="F5" s="34">
        <f>IFERROR(__xludf.DUMMYFUNCTION("IF(ISNA(sum(filter(
Master_Mapping_Sheet!$E$2:$E$3143, ISNUMBER(
Master_Mapping_Sheet!$E$2:$E$3143),
Master_Mapping_Sheet!$H$2:$H$3143=F$1,
Master_Mapping_Sheet!$B$2:$B$3143=$A5))/sum(filter(
Master_Mapping_Sheet!$E$2:$E$3143, ISNUMBER(
Master_Mapping_She"&amp;"et!$E$2:$E$3143),
Master_Mapping_Sheet!$H$2:$H$3143=F$1))), 0, sum(filter(
Master_Mapping_Sheet!$E$2:$E$3143, ISNUMBER(
Master_Mapping_Sheet!$E$2:$E$3143),
Master_Mapping_Sheet!$H$2:$H$3143=F$1,
Master_Mapping_Sheet!$B$2:$B$3143=$A5))/sum(filter(
Master_M"&amp;"apping_Sheet!$E$2:$E$3143, ISNUMBER(
Master_Mapping_Sheet!$E$2:$E$3143),
Master_Mapping_Sheet!$H$2:$H$3143=F$1)))"),0.0)</f>
        <v>0</v>
      </c>
      <c r="G5" s="34">
        <f>IFERROR(__xludf.DUMMYFUNCTION("IF(ISNA(sum(filter(
Master_Mapping_Sheet!$E$2:$E$3143, ISNUMBER(
Master_Mapping_Sheet!$E$2:$E$3143),
Master_Mapping_Sheet!$H$2:$H$3143=G$1,
Master_Mapping_Sheet!$B$2:$B$3143=$A5))/sum(filter(
Master_Mapping_Sheet!$E$2:$E$3143, ISNUMBER(
Master_Mapping_She"&amp;"et!$E$2:$E$3143),
Master_Mapping_Sheet!$H$2:$H$3143=G$1))), 0, sum(filter(
Master_Mapping_Sheet!$E$2:$E$3143, ISNUMBER(
Master_Mapping_Sheet!$E$2:$E$3143),
Master_Mapping_Sheet!$H$2:$H$3143=G$1,
Master_Mapping_Sheet!$B$2:$B$3143=$A5))/sum(filter(
Master_M"&amp;"apping_Sheet!$E$2:$E$3143, ISNUMBER(
Master_Mapping_Sheet!$E$2:$E$3143),
Master_Mapping_Sheet!$H$2:$H$3143=G$1)))"),0.0)</f>
        <v>0</v>
      </c>
      <c r="H5" s="34">
        <f>IFERROR(__xludf.DUMMYFUNCTION("IF(ISNA(sum(filter(
Master_Mapping_Sheet!$E$2:$E$3143, ISNUMBER(
Master_Mapping_Sheet!$E$2:$E$3143),
Master_Mapping_Sheet!$H$2:$H$3143=H$1,
Master_Mapping_Sheet!$B$2:$B$3143=$A5))/sum(filter(
Master_Mapping_Sheet!$E$2:$E$3143, ISNUMBER(
Master_Mapping_She"&amp;"et!$E$2:$E$3143),
Master_Mapping_Sheet!$H$2:$H$3143=H$1))), 0, sum(filter(
Master_Mapping_Sheet!$E$2:$E$3143, ISNUMBER(
Master_Mapping_Sheet!$E$2:$E$3143),
Master_Mapping_Sheet!$H$2:$H$3143=H$1,
Master_Mapping_Sheet!$B$2:$B$3143=$A5))/sum(filter(
Master_M"&amp;"apping_Sheet!$E$2:$E$3143, ISNUMBER(
Master_Mapping_Sheet!$E$2:$E$3143),
Master_Mapping_Sheet!$H$2:$H$3143=H$1)))"),0.22389903751609294)</f>
        <v>0.2238990375</v>
      </c>
      <c r="I5" s="34">
        <f>IFERROR(__xludf.DUMMYFUNCTION("IF(ISNA(sum(filter(
Master_Mapping_Sheet!$E$2:$E$3143, ISNUMBER(
Master_Mapping_Sheet!$E$2:$E$3143),
Master_Mapping_Sheet!$H$2:$H$3143=I$1,
Master_Mapping_Sheet!$B$2:$B$3143=$A5))/sum(filter(
Master_Mapping_Sheet!$E$2:$E$3143, ISNUMBER(
Master_Mapping_She"&amp;"et!$E$2:$E$3143),
Master_Mapping_Sheet!$H$2:$H$3143=I$1))), 0, sum(filter(
Master_Mapping_Sheet!$E$2:$E$3143, ISNUMBER(
Master_Mapping_Sheet!$E$2:$E$3143),
Master_Mapping_Sheet!$H$2:$H$3143=I$1,
Master_Mapping_Sheet!$B$2:$B$3143=$A5))/sum(filter(
Master_M"&amp;"apping_Sheet!$E$2:$E$3143, ISNUMBER(
Master_Mapping_Sheet!$E$2:$E$3143),
Master_Mapping_Sheet!$H$2:$H$3143=I$1)))"),0.0)</f>
        <v>0</v>
      </c>
      <c r="J5" s="34">
        <f>IFERROR(__xludf.DUMMYFUNCTION("IF(ISNA(sum(filter(
Master_Mapping_Sheet!$E$2:$E$3143, ISNUMBER(
Master_Mapping_Sheet!$E$2:$E$3143),
Master_Mapping_Sheet!$H$2:$H$3143=J$1,
Master_Mapping_Sheet!$B$2:$B$3143=$A5))/sum(filter(
Master_Mapping_Sheet!$E$2:$E$3143, ISNUMBER(
Master_Mapping_She"&amp;"et!$E$2:$E$3143),
Master_Mapping_Sheet!$H$2:$H$3143=J$1))), 0, sum(filter(
Master_Mapping_Sheet!$E$2:$E$3143, ISNUMBER(
Master_Mapping_Sheet!$E$2:$E$3143),
Master_Mapping_Sheet!$H$2:$H$3143=J$1,
Master_Mapping_Sheet!$B$2:$B$3143=$A5))/sum(filter(
Master_M"&amp;"apping_Sheet!$E$2:$E$3143, ISNUMBER(
Master_Mapping_Sheet!$E$2:$E$3143),
Master_Mapping_Sheet!$H$2:$H$3143=J$1)))"),0.0)</f>
        <v>0</v>
      </c>
      <c r="K5" s="34">
        <f>IFERROR(__xludf.DUMMYFUNCTION("IF(ISNA(sum(filter(
Master_Mapping_Sheet!$E$2:$E$3143, ISNUMBER(
Master_Mapping_Sheet!$E$2:$E$3143),
Master_Mapping_Sheet!$H$2:$H$3143=K$1,
Master_Mapping_Sheet!$B$2:$B$3143=$A5))/sum(filter(
Master_Mapping_Sheet!$E$2:$E$3143, ISNUMBER(
Master_Mapping_She"&amp;"et!$E$2:$E$3143),
Master_Mapping_Sheet!$H$2:$H$3143=K$1))), 0, sum(filter(
Master_Mapping_Sheet!$E$2:$E$3143, ISNUMBER(
Master_Mapping_Sheet!$E$2:$E$3143),
Master_Mapping_Sheet!$H$2:$H$3143=K$1,
Master_Mapping_Sheet!$B$2:$B$3143=$A5))/sum(filter(
Master_M"&amp;"apping_Sheet!$E$2:$E$3143, ISNUMBER(
Master_Mapping_Sheet!$E$2:$E$3143),
Master_Mapping_Sheet!$H$2:$H$3143=K$1)))"),0.0)</f>
        <v>0</v>
      </c>
      <c r="L5" s="34">
        <f>IFERROR(__xludf.DUMMYFUNCTION("IF(ISNA(sum(filter(
Master_Mapping_Sheet!$E$2:$E$3143, ISNUMBER(
Master_Mapping_Sheet!$E$2:$E$3143),
Master_Mapping_Sheet!$H$2:$H$3143=L$1,
Master_Mapping_Sheet!$B$2:$B$3143=$A5))/sum(filter(
Master_Mapping_Sheet!$E$2:$E$3143, ISNUMBER(
Master_Mapping_She"&amp;"et!$E$2:$E$3143),
Master_Mapping_Sheet!$H$2:$H$3143=L$1))), 0, sum(filter(
Master_Mapping_Sheet!$E$2:$E$3143, ISNUMBER(
Master_Mapping_Sheet!$E$2:$E$3143),
Master_Mapping_Sheet!$H$2:$H$3143=L$1,
Master_Mapping_Sheet!$B$2:$B$3143=$A5))/sum(filter(
Master_M"&amp;"apping_Sheet!$E$2:$E$3143, ISNUMBER(
Master_Mapping_Sheet!$E$2:$E$3143),
Master_Mapping_Sheet!$H$2:$H$3143=L$1)))"),0.0)</f>
        <v>0</v>
      </c>
      <c r="M5" s="34">
        <f>IFERROR(__xludf.DUMMYFUNCTION("IF(ISNA(sum(filter(
Master_Mapping_Sheet!$E$2:$E$3143, ISNUMBER(
Master_Mapping_Sheet!$E$2:$E$3143),
Master_Mapping_Sheet!$H$2:$H$3143=M$1,
Master_Mapping_Sheet!$B$2:$B$3143=$A5))/sum(filter(
Master_Mapping_Sheet!$E$2:$E$3143, ISNUMBER(
Master_Mapping_She"&amp;"et!$E$2:$E$3143),
Master_Mapping_Sheet!$H$2:$H$3143=M$1))), 0, sum(filter(
Master_Mapping_Sheet!$E$2:$E$3143, ISNUMBER(
Master_Mapping_Sheet!$E$2:$E$3143),
Master_Mapping_Sheet!$H$2:$H$3143=M$1,
Master_Mapping_Sheet!$B$2:$B$3143=$A5))/sum(filter(
Master_M"&amp;"apping_Sheet!$E$2:$E$3143, ISNUMBER(
Master_Mapping_Sheet!$E$2:$E$3143),
Master_Mapping_Sheet!$H$2:$H$3143=M$1)))"),0.0)</f>
        <v>0</v>
      </c>
      <c r="N5" s="34">
        <f>IFERROR(__xludf.DUMMYFUNCTION("IF(ISNA(sum(filter(
Master_Mapping_Sheet!$E$2:$E$3143, ISNUMBER(
Master_Mapping_Sheet!$E$2:$E$3143),
Master_Mapping_Sheet!$H$2:$H$3143=N$1,
Master_Mapping_Sheet!$B$2:$B$3143=$A5))/sum(filter(
Master_Mapping_Sheet!$E$2:$E$3143, ISNUMBER(
Master_Mapping_She"&amp;"et!$E$2:$E$3143),
Master_Mapping_Sheet!$H$2:$H$3143=N$1))), 0, sum(filter(
Master_Mapping_Sheet!$E$2:$E$3143, ISNUMBER(
Master_Mapping_Sheet!$E$2:$E$3143),
Master_Mapping_Sheet!$H$2:$H$3143=N$1,
Master_Mapping_Sheet!$B$2:$B$3143=$A5))/sum(filter(
Master_M"&amp;"apping_Sheet!$E$2:$E$3143, ISNUMBER(
Master_Mapping_Sheet!$E$2:$E$3143),
Master_Mapping_Sheet!$H$2:$H$3143=N$1)))"),0.0)</f>
        <v>0</v>
      </c>
      <c r="O5" s="34">
        <f>IFERROR(__xludf.DUMMYFUNCTION("IF(ISNA(sum(filter(
Master_Mapping_Sheet!$E$2:$E$3143, ISNUMBER(
Master_Mapping_Sheet!$E$2:$E$3143),
Master_Mapping_Sheet!$H$2:$H$3143=O$1,
Master_Mapping_Sheet!$B$2:$B$3143=$A5))/sum(filter(
Master_Mapping_Sheet!$E$2:$E$3143, ISNUMBER(
Master_Mapping_She"&amp;"et!$E$2:$E$3143),
Master_Mapping_Sheet!$H$2:$H$3143=O$1))), 0, sum(filter(
Master_Mapping_Sheet!$E$2:$E$3143, ISNUMBER(
Master_Mapping_Sheet!$E$2:$E$3143),
Master_Mapping_Sheet!$H$2:$H$3143=O$1,
Master_Mapping_Sheet!$B$2:$B$3143=$A5))/sum(filter(
Master_M"&amp;"apping_Sheet!$E$2:$E$3143, ISNUMBER(
Master_Mapping_Sheet!$E$2:$E$3143),
Master_Mapping_Sheet!$H$2:$H$3143=O$1)))"),0.0)</f>
        <v>0</v>
      </c>
      <c r="P5" s="34">
        <f>IFERROR(__xludf.DUMMYFUNCTION("IF(ISNA(sum(filter(
Master_Mapping_Sheet!$E$2:$E$3143, ISNUMBER(
Master_Mapping_Sheet!$E$2:$E$3143),
Master_Mapping_Sheet!$H$2:$H$3143=P$1,
Master_Mapping_Sheet!$B$2:$B$3143=$A5))/sum(filter(
Master_Mapping_Sheet!$E$2:$E$3143, ISNUMBER(
Master_Mapping_She"&amp;"et!$E$2:$E$3143),
Master_Mapping_Sheet!$H$2:$H$3143=P$1))), 0, sum(filter(
Master_Mapping_Sheet!$E$2:$E$3143, ISNUMBER(
Master_Mapping_Sheet!$E$2:$E$3143),
Master_Mapping_Sheet!$H$2:$H$3143=P$1,
Master_Mapping_Sheet!$B$2:$B$3143=$A5))/sum(filter(
Master_M"&amp;"apping_Sheet!$E$2:$E$3143, ISNUMBER(
Master_Mapping_Sheet!$E$2:$E$3143),
Master_Mapping_Sheet!$H$2:$H$3143=P$1)))"),0.0)</f>
        <v>0</v>
      </c>
      <c r="Q5" s="34">
        <f>IFERROR(__xludf.DUMMYFUNCTION("IF(ISNA(sum(filter(
Master_Mapping_Sheet!$E$2:$E$3143, ISNUMBER(
Master_Mapping_Sheet!$E$2:$E$3143),
Master_Mapping_Sheet!$H$2:$H$3143=Q$1,
Master_Mapping_Sheet!$B$2:$B$3143=$A5))/sum(filter(
Master_Mapping_Sheet!$E$2:$E$3143, ISNUMBER(
Master_Mapping_She"&amp;"et!$E$2:$E$3143),
Master_Mapping_Sheet!$H$2:$H$3143=Q$1))), 0, sum(filter(
Master_Mapping_Sheet!$E$2:$E$3143, ISNUMBER(
Master_Mapping_Sheet!$E$2:$E$3143),
Master_Mapping_Sheet!$H$2:$H$3143=Q$1,
Master_Mapping_Sheet!$B$2:$B$3143=$A5))/sum(filter(
Master_M"&amp;"apping_Sheet!$E$2:$E$3143, ISNUMBER(
Master_Mapping_Sheet!$E$2:$E$3143),
Master_Mapping_Sheet!$H$2:$H$3143=Q$1)))"),0.0)</f>
        <v>0</v>
      </c>
      <c r="R5" s="34">
        <f>IFERROR(__xludf.DUMMYFUNCTION("IF(ISNA(sum(filter(
Master_Mapping_Sheet!$E$2:$E$3143, ISNUMBER(
Master_Mapping_Sheet!$E$2:$E$3143),
Master_Mapping_Sheet!$H$2:$H$3143=R$1,
Master_Mapping_Sheet!$B$2:$B$3143=$A5))/sum(filter(
Master_Mapping_Sheet!$E$2:$E$3143, ISNUMBER(
Master_Mapping_She"&amp;"et!$E$2:$E$3143),
Master_Mapping_Sheet!$H$2:$H$3143=R$1))), 0, sum(filter(
Master_Mapping_Sheet!$E$2:$E$3143, ISNUMBER(
Master_Mapping_Sheet!$E$2:$E$3143),
Master_Mapping_Sheet!$H$2:$H$3143=R$1,
Master_Mapping_Sheet!$B$2:$B$3143=$A5))/sum(filter(
Master_M"&amp;"apping_Sheet!$E$2:$E$3143, ISNUMBER(
Master_Mapping_Sheet!$E$2:$E$3143),
Master_Mapping_Sheet!$H$2:$H$3143=R$1)))"),0.0)</f>
        <v>0</v>
      </c>
      <c r="S5" s="34">
        <f>IFERROR(__xludf.DUMMYFUNCTION("IF(ISNA(sum(filter(
Master_Mapping_Sheet!$E$2:$E$3143, ISNUMBER(
Master_Mapping_Sheet!$E$2:$E$3143),
Master_Mapping_Sheet!$H$2:$H$3143=S$1,
Master_Mapping_Sheet!$B$2:$B$3143=$A5))/sum(filter(
Master_Mapping_Sheet!$E$2:$E$3143, ISNUMBER(
Master_Mapping_She"&amp;"et!$E$2:$E$3143),
Master_Mapping_Sheet!$H$2:$H$3143=S$1))), 0, sum(filter(
Master_Mapping_Sheet!$E$2:$E$3143, ISNUMBER(
Master_Mapping_Sheet!$E$2:$E$3143),
Master_Mapping_Sheet!$H$2:$H$3143=S$1,
Master_Mapping_Sheet!$B$2:$B$3143=$A5))/sum(filter(
Master_M"&amp;"apping_Sheet!$E$2:$E$3143, ISNUMBER(
Master_Mapping_Sheet!$E$2:$E$3143),
Master_Mapping_Sheet!$H$2:$H$3143=S$1)))"),0.13735993068333383)</f>
        <v>0.1373599307</v>
      </c>
      <c r="T5" s="34">
        <f>IFERROR(__xludf.DUMMYFUNCTION("IF(ISNA(sum(filter(
Master_Mapping_Sheet!$E$2:$E$3143, ISNUMBER(
Master_Mapping_Sheet!$E$2:$E$3143),
Master_Mapping_Sheet!$H$2:$H$3143=T$1,
Master_Mapping_Sheet!$B$2:$B$3143=$A5))/sum(filter(
Master_Mapping_Sheet!$E$2:$E$3143, ISNUMBER(
Master_Mapping_She"&amp;"et!$E$2:$E$3143),
Master_Mapping_Sheet!$H$2:$H$3143=T$1))), 0, sum(filter(
Master_Mapping_Sheet!$E$2:$E$3143, ISNUMBER(
Master_Mapping_Sheet!$E$2:$E$3143),
Master_Mapping_Sheet!$H$2:$H$3143=T$1,
Master_Mapping_Sheet!$B$2:$B$3143=$A5))/sum(filter(
Master_M"&amp;"apping_Sheet!$E$2:$E$3143, ISNUMBER(
Master_Mapping_Sheet!$E$2:$E$3143),
Master_Mapping_Sheet!$H$2:$H$3143=T$1)))"),0.0)</f>
        <v>0</v>
      </c>
      <c r="U5" s="34">
        <f>IFERROR(__xludf.DUMMYFUNCTION("IF(ISNA(sum(filter(
Master_Mapping_Sheet!$E$2:$E$3143, ISNUMBER(
Master_Mapping_Sheet!$E$2:$E$3143),
Master_Mapping_Sheet!$H$2:$H$3143=U$1,
Master_Mapping_Sheet!$B$2:$B$3143=$A5))/sum(filter(
Master_Mapping_Sheet!$E$2:$E$3143, ISNUMBER(
Master_Mapping_She"&amp;"et!$E$2:$E$3143),
Master_Mapping_Sheet!$H$2:$H$3143=U$1))), 0, sum(filter(
Master_Mapping_Sheet!$E$2:$E$3143, ISNUMBER(
Master_Mapping_Sheet!$E$2:$E$3143),
Master_Mapping_Sheet!$H$2:$H$3143=U$1,
Master_Mapping_Sheet!$B$2:$B$3143=$A5))/sum(filter(
Master_M"&amp;"apping_Sheet!$E$2:$E$3143, ISNUMBER(
Master_Mapping_Sheet!$E$2:$E$3143),
Master_Mapping_Sheet!$H$2:$H$3143=U$1)))"),0.0)</f>
        <v>0</v>
      </c>
      <c r="V5" s="34">
        <f>IFERROR(__xludf.DUMMYFUNCTION("IF(ISNA(sum(filter(
Master_Mapping_Sheet!$E$2:$E$3143, ISNUMBER(
Master_Mapping_Sheet!$E$2:$E$3143),
Master_Mapping_Sheet!$H$2:$H$3143=V$1,
Master_Mapping_Sheet!$B$2:$B$3143=$A5))/sum(filter(
Master_Mapping_Sheet!$E$2:$E$3143, ISNUMBER(
Master_Mapping_She"&amp;"et!$E$2:$E$3143),
Master_Mapping_Sheet!$H$2:$H$3143=V$1))), 0, sum(filter(
Master_Mapping_Sheet!$E$2:$E$3143, ISNUMBER(
Master_Mapping_Sheet!$E$2:$E$3143),
Master_Mapping_Sheet!$H$2:$H$3143=V$1,
Master_Mapping_Sheet!$B$2:$B$3143=$A5))/sum(filter(
Master_M"&amp;"apping_Sheet!$E$2:$E$3143, ISNUMBER(
Master_Mapping_Sheet!$E$2:$E$3143),
Master_Mapping_Sheet!$H$2:$H$3143=V$1)))"),0.0)</f>
        <v>0</v>
      </c>
      <c r="W5" s="34">
        <f>IFERROR(__xludf.DUMMYFUNCTION("IF(ISNA(sum(filter(
Master_Mapping_Sheet!$E$2:$E$3143, ISNUMBER(
Master_Mapping_Sheet!$E$2:$E$3143),
Master_Mapping_Sheet!$H$2:$H$3143=W$1,
Master_Mapping_Sheet!$B$2:$B$3143=$A5))/sum(filter(
Master_Mapping_Sheet!$E$2:$E$3143, ISNUMBER(
Master_Mapping_She"&amp;"et!$E$2:$E$3143),
Master_Mapping_Sheet!$H$2:$H$3143=W$1))), 0, sum(filter(
Master_Mapping_Sheet!$E$2:$E$3143, ISNUMBER(
Master_Mapping_Sheet!$E$2:$E$3143),
Master_Mapping_Sheet!$H$2:$H$3143=W$1,
Master_Mapping_Sheet!$B$2:$B$3143=$A5))/sum(filter(
Master_M"&amp;"apping_Sheet!$E$2:$E$3143, ISNUMBER(
Master_Mapping_Sheet!$E$2:$E$3143),
Master_Mapping_Sheet!$H$2:$H$3143=W$1)))"),0.0)</f>
        <v>0</v>
      </c>
      <c r="X5" s="34">
        <f>IFERROR(__xludf.DUMMYFUNCTION("IF(ISNA(sum(filter(
Master_Mapping_Sheet!$E$2:$E$3143, ISNUMBER(
Master_Mapping_Sheet!$E$2:$E$3143),
Master_Mapping_Sheet!$H$2:$H$3143=X$1,
Master_Mapping_Sheet!$B$2:$B$3143=$A5))/sum(filter(
Master_Mapping_Sheet!$E$2:$E$3143, ISNUMBER(
Master_Mapping_She"&amp;"et!$E$2:$E$3143),
Master_Mapping_Sheet!$H$2:$H$3143=X$1))), 0, sum(filter(
Master_Mapping_Sheet!$E$2:$E$3143, ISNUMBER(
Master_Mapping_Sheet!$E$2:$E$3143),
Master_Mapping_Sheet!$H$2:$H$3143=X$1,
Master_Mapping_Sheet!$B$2:$B$3143=$A5))/sum(filter(
Master_M"&amp;"apping_Sheet!$E$2:$E$3143, ISNUMBER(
Master_Mapping_Sheet!$E$2:$E$3143),
Master_Mapping_Sheet!$H$2:$H$3143=X$1)))"),0.0)</f>
        <v>0</v>
      </c>
      <c r="Y5" s="34">
        <f>IFERROR(__xludf.DUMMYFUNCTION("IF(ISNA(sum(filter(
Master_Mapping_Sheet!$E$2:$E$3143, ISNUMBER(
Master_Mapping_Sheet!$E$2:$E$3143),
Master_Mapping_Sheet!$H$2:$H$3143=Y$1,
Master_Mapping_Sheet!$B$2:$B$3143=$A5))/sum(filter(
Master_Mapping_Sheet!$E$2:$E$3143, ISNUMBER(
Master_Mapping_She"&amp;"et!$E$2:$E$3143),
Master_Mapping_Sheet!$H$2:$H$3143=Y$1))), 0, sum(filter(
Master_Mapping_Sheet!$E$2:$E$3143, ISNUMBER(
Master_Mapping_Sheet!$E$2:$E$3143),
Master_Mapping_Sheet!$H$2:$H$3143=Y$1,
Master_Mapping_Sheet!$B$2:$B$3143=$A5))/sum(filter(
Master_M"&amp;"apping_Sheet!$E$2:$E$3143, ISNUMBER(
Master_Mapping_Sheet!$E$2:$E$3143),
Master_Mapping_Sheet!$H$2:$H$3143=Y$1)))"),0.0)</f>
        <v>0</v>
      </c>
      <c r="Z5" s="34">
        <f>IFERROR(__xludf.DUMMYFUNCTION("IF(ISNA(sum(filter(
Master_Mapping_Sheet!$E$2:$E$3143, ISNUMBER(
Master_Mapping_Sheet!$E$2:$E$3143),
Master_Mapping_Sheet!$H$2:$H$3143=Z$1,
Master_Mapping_Sheet!$B$2:$B$3143=$A5))/sum(filter(
Master_Mapping_Sheet!$E$2:$E$3143, ISNUMBER(
Master_Mapping_She"&amp;"et!$E$2:$E$3143),
Master_Mapping_Sheet!$H$2:$H$3143=Z$1))), 0, sum(filter(
Master_Mapping_Sheet!$E$2:$E$3143, ISNUMBER(
Master_Mapping_Sheet!$E$2:$E$3143),
Master_Mapping_Sheet!$H$2:$H$3143=Z$1,
Master_Mapping_Sheet!$B$2:$B$3143=$A5))/sum(filter(
Master_M"&amp;"apping_Sheet!$E$2:$E$3143, ISNUMBER(
Master_Mapping_Sheet!$E$2:$E$3143),
Master_Mapping_Sheet!$H$2:$H$3143=Z$1)))"),0.0)</f>
        <v>0</v>
      </c>
      <c r="AA5" s="34">
        <f>IFERROR(__xludf.DUMMYFUNCTION("IF(ISNA(sum(filter(
Master_Mapping_Sheet!$E$2:$E$3143, ISNUMBER(
Master_Mapping_Sheet!$E$2:$E$3143),
Master_Mapping_Sheet!$H$2:$H$3143=AA$1,
Master_Mapping_Sheet!$B$2:$B$3143=$A5))/sum(filter(
Master_Mapping_Sheet!$E$2:$E$3143, ISNUMBER(
Master_Mapping_Sh"&amp;"eet!$E$2:$E$3143),
Master_Mapping_Sheet!$H$2:$H$3143=AA$1))), 0, sum(filter(
Master_Mapping_Sheet!$E$2:$E$3143, ISNUMBER(
Master_Mapping_Sheet!$E$2:$E$3143),
Master_Mapping_Sheet!$H$2:$H$3143=AA$1,
Master_Mapping_Sheet!$B$2:$B$3143=$A5))/sum(filter(
Maste"&amp;"r_Mapping_Sheet!$E$2:$E$3143, ISNUMBER(
Master_Mapping_Sheet!$E$2:$E$3143),
Master_Mapping_Sheet!$H$2:$H$3143=AA$1)))"),0.0)</f>
        <v>0</v>
      </c>
    </row>
    <row r="6" ht="15.75" customHeight="1">
      <c r="A6" s="34" t="s">
        <v>279</v>
      </c>
      <c r="B6" s="34" t="s">
        <v>2137</v>
      </c>
      <c r="C6" s="34">
        <f>IFERROR(__xludf.DUMMYFUNCTION("IF(ISNA(sum(filter(
Master_Mapping_Sheet!$E$2:$E$3143, ISNUMBER(
Master_Mapping_Sheet!$E$2:$E$3143),
Master_Mapping_Sheet!$H$2:$H$3143=C$1,
Master_Mapping_Sheet!$B$2:$B$3143=$A6))/sum(filter(
Master_Mapping_Sheet!$E$2:$E$3143, ISNUMBER(
Master_Mapping_She"&amp;"et!$E$2:$E$3143),
Master_Mapping_Sheet!$H$2:$H$3143=C$1))), 0, sum(filter(
Master_Mapping_Sheet!$E$2:$E$3143, ISNUMBER(
Master_Mapping_Sheet!$E$2:$E$3143),
Master_Mapping_Sheet!$H$2:$H$3143=C$1,
Master_Mapping_Sheet!$B$2:$B$3143=$A6))/sum(filter(
Master_M"&amp;"apping_Sheet!$E$2:$E$3143, ISNUMBER(
Master_Mapping_Sheet!$E$2:$E$3143),
Master_Mapping_Sheet!$H$2:$H$3143=C$1)))"),0.0)</f>
        <v>0</v>
      </c>
      <c r="D6" s="34">
        <f>IFERROR(__xludf.DUMMYFUNCTION("IF(ISNA(sum(filter(
Master_Mapping_Sheet!$E$2:$E$3143, ISNUMBER(
Master_Mapping_Sheet!$E$2:$E$3143),
Master_Mapping_Sheet!$H$2:$H$3143=D$1,
Master_Mapping_Sheet!$B$2:$B$3143=$A6))/sum(filter(
Master_Mapping_Sheet!$E$2:$E$3143, ISNUMBER(
Master_Mapping_She"&amp;"et!$E$2:$E$3143),
Master_Mapping_Sheet!$H$2:$H$3143=D$1))), 0, sum(filter(
Master_Mapping_Sheet!$E$2:$E$3143, ISNUMBER(
Master_Mapping_Sheet!$E$2:$E$3143),
Master_Mapping_Sheet!$H$2:$H$3143=D$1,
Master_Mapping_Sheet!$B$2:$B$3143=$A6))/sum(filter(
Master_M"&amp;"apping_Sheet!$E$2:$E$3143, ISNUMBER(
Master_Mapping_Sheet!$E$2:$E$3143),
Master_Mapping_Sheet!$H$2:$H$3143=D$1)))"),0.0)</f>
        <v>0</v>
      </c>
      <c r="E6" s="32">
        <f>IFERROR(__xludf.DUMMYFUNCTION("IF(ISNA(sum(filter(
Master_Mapping_Sheet!$E$2:$E$3143, ISNUMBER(
Master_Mapping_Sheet!$E$2:$E$3143),
Master_Mapping_Sheet!$H$2:$H$3143=E$1,
Master_Mapping_Sheet!$B$2:$B$3143=$A6))/sum(filter(
Master_Mapping_Sheet!$E$2:$E$3143, ISNUMBER(
Master_Mapping_She"&amp;"et!$E$2:$E$3143),
Master_Mapping_Sheet!$H$2:$H$3143=E$1))), 0, sum(filter(
Master_Mapping_Sheet!$E$2:$E$3143, ISNUMBER(
Master_Mapping_Sheet!$E$2:$E$3143),
Master_Mapping_Sheet!$H$2:$H$3143=E$1,
Master_Mapping_Sheet!$B$2:$B$3143=$A6))/sum(filter(
Master_M"&amp;"apping_Sheet!$E$2:$E$3143, ISNUMBER(
Master_Mapping_Sheet!$E$2:$E$3143),
Master_Mapping_Sheet!$H$2:$H$3143=E$1)))"),0.0)</f>
        <v>0</v>
      </c>
      <c r="F6" s="34">
        <f>IFERROR(__xludf.DUMMYFUNCTION("IF(ISNA(sum(filter(
Master_Mapping_Sheet!$E$2:$E$3143, ISNUMBER(
Master_Mapping_Sheet!$E$2:$E$3143),
Master_Mapping_Sheet!$H$2:$H$3143=F$1,
Master_Mapping_Sheet!$B$2:$B$3143=$A6))/sum(filter(
Master_Mapping_Sheet!$E$2:$E$3143, ISNUMBER(
Master_Mapping_She"&amp;"et!$E$2:$E$3143),
Master_Mapping_Sheet!$H$2:$H$3143=F$1))), 0, sum(filter(
Master_Mapping_Sheet!$E$2:$E$3143, ISNUMBER(
Master_Mapping_Sheet!$E$2:$E$3143),
Master_Mapping_Sheet!$H$2:$H$3143=F$1,
Master_Mapping_Sheet!$B$2:$B$3143=$A6))/sum(filter(
Master_M"&amp;"apping_Sheet!$E$2:$E$3143, ISNUMBER(
Master_Mapping_Sheet!$E$2:$E$3143),
Master_Mapping_Sheet!$H$2:$H$3143=F$1)))"),0.0)</f>
        <v>0</v>
      </c>
      <c r="G6" s="34">
        <f>IFERROR(__xludf.DUMMYFUNCTION("IF(ISNA(sum(filter(
Master_Mapping_Sheet!$E$2:$E$3143, ISNUMBER(
Master_Mapping_Sheet!$E$2:$E$3143),
Master_Mapping_Sheet!$H$2:$H$3143=G$1,
Master_Mapping_Sheet!$B$2:$B$3143=$A6))/sum(filter(
Master_Mapping_Sheet!$E$2:$E$3143, ISNUMBER(
Master_Mapping_She"&amp;"et!$E$2:$E$3143),
Master_Mapping_Sheet!$H$2:$H$3143=G$1))), 0, sum(filter(
Master_Mapping_Sheet!$E$2:$E$3143, ISNUMBER(
Master_Mapping_Sheet!$E$2:$E$3143),
Master_Mapping_Sheet!$H$2:$H$3143=G$1,
Master_Mapping_Sheet!$B$2:$B$3143=$A6))/sum(filter(
Master_M"&amp;"apping_Sheet!$E$2:$E$3143, ISNUMBER(
Master_Mapping_Sheet!$E$2:$E$3143),
Master_Mapping_Sheet!$H$2:$H$3143=G$1)))"),0.0)</f>
        <v>0</v>
      </c>
      <c r="H6" s="34">
        <f>IFERROR(__xludf.DUMMYFUNCTION("IF(ISNA(sum(filter(
Master_Mapping_Sheet!$E$2:$E$3143, ISNUMBER(
Master_Mapping_Sheet!$E$2:$E$3143),
Master_Mapping_Sheet!$H$2:$H$3143=H$1,
Master_Mapping_Sheet!$B$2:$B$3143=$A6))/sum(filter(
Master_Mapping_Sheet!$E$2:$E$3143, ISNUMBER(
Master_Mapping_She"&amp;"et!$E$2:$E$3143),
Master_Mapping_Sheet!$H$2:$H$3143=H$1))), 0, sum(filter(
Master_Mapping_Sheet!$E$2:$E$3143, ISNUMBER(
Master_Mapping_Sheet!$E$2:$E$3143),
Master_Mapping_Sheet!$H$2:$H$3143=H$1,
Master_Mapping_Sheet!$B$2:$B$3143=$A6))/sum(filter(
Master_M"&amp;"apping_Sheet!$E$2:$E$3143, ISNUMBER(
Master_Mapping_Sheet!$E$2:$E$3143),
Master_Mapping_Sheet!$H$2:$H$3143=H$1)))"),0.0)</f>
        <v>0</v>
      </c>
      <c r="I6" s="34">
        <f>IFERROR(__xludf.DUMMYFUNCTION("IF(ISNA(sum(filter(
Master_Mapping_Sheet!$E$2:$E$3143, ISNUMBER(
Master_Mapping_Sheet!$E$2:$E$3143),
Master_Mapping_Sheet!$H$2:$H$3143=I$1,
Master_Mapping_Sheet!$B$2:$B$3143=$A6))/sum(filter(
Master_Mapping_Sheet!$E$2:$E$3143, ISNUMBER(
Master_Mapping_She"&amp;"et!$E$2:$E$3143),
Master_Mapping_Sheet!$H$2:$H$3143=I$1))), 0, sum(filter(
Master_Mapping_Sheet!$E$2:$E$3143, ISNUMBER(
Master_Mapping_Sheet!$E$2:$E$3143),
Master_Mapping_Sheet!$H$2:$H$3143=I$1,
Master_Mapping_Sheet!$B$2:$B$3143=$A6))/sum(filter(
Master_M"&amp;"apping_Sheet!$E$2:$E$3143, ISNUMBER(
Master_Mapping_Sheet!$E$2:$E$3143),
Master_Mapping_Sheet!$H$2:$H$3143=I$1)))"),0.0)</f>
        <v>0</v>
      </c>
      <c r="J6" s="34">
        <f>IFERROR(__xludf.DUMMYFUNCTION("IF(ISNA(sum(filter(
Master_Mapping_Sheet!$E$2:$E$3143, ISNUMBER(
Master_Mapping_Sheet!$E$2:$E$3143),
Master_Mapping_Sheet!$H$2:$H$3143=J$1,
Master_Mapping_Sheet!$B$2:$B$3143=$A6))/sum(filter(
Master_Mapping_Sheet!$E$2:$E$3143, ISNUMBER(
Master_Mapping_She"&amp;"et!$E$2:$E$3143),
Master_Mapping_Sheet!$H$2:$H$3143=J$1))), 0, sum(filter(
Master_Mapping_Sheet!$E$2:$E$3143, ISNUMBER(
Master_Mapping_Sheet!$E$2:$E$3143),
Master_Mapping_Sheet!$H$2:$H$3143=J$1,
Master_Mapping_Sheet!$B$2:$B$3143=$A6))/sum(filter(
Master_M"&amp;"apping_Sheet!$E$2:$E$3143, ISNUMBER(
Master_Mapping_Sheet!$E$2:$E$3143),
Master_Mapping_Sheet!$H$2:$H$3143=J$1)))"),0.0)</f>
        <v>0</v>
      </c>
      <c r="K6" s="34">
        <f>IFERROR(__xludf.DUMMYFUNCTION("IF(ISNA(sum(filter(
Master_Mapping_Sheet!$E$2:$E$3143, ISNUMBER(
Master_Mapping_Sheet!$E$2:$E$3143),
Master_Mapping_Sheet!$H$2:$H$3143=K$1,
Master_Mapping_Sheet!$B$2:$B$3143=$A6))/sum(filter(
Master_Mapping_Sheet!$E$2:$E$3143, ISNUMBER(
Master_Mapping_She"&amp;"et!$E$2:$E$3143),
Master_Mapping_Sheet!$H$2:$H$3143=K$1))), 0, sum(filter(
Master_Mapping_Sheet!$E$2:$E$3143, ISNUMBER(
Master_Mapping_Sheet!$E$2:$E$3143),
Master_Mapping_Sheet!$H$2:$H$3143=K$1,
Master_Mapping_Sheet!$B$2:$B$3143=$A6))/sum(filter(
Master_M"&amp;"apping_Sheet!$E$2:$E$3143, ISNUMBER(
Master_Mapping_Sheet!$E$2:$E$3143),
Master_Mapping_Sheet!$H$2:$H$3143=K$1)))"),0.0)</f>
        <v>0</v>
      </c>
      <c r="L6" s="34">
        <f>IFERROR(__xludf.DUMMYFUNCTION("IF(ISNA(sum(filter(
Master_Mapping_Sheet!$E$2:$E$3143, ISNUMBER(
Master_Mapping_Sheet!$E$2:$E$3143),
Master_Mapping_Sheet!$H$2:$H$3143=L$1,
Master_Mapping_Sheet!$B$2:$B$3143=$A6))/sum(filter(
Master_Mapping_Sheet!$E$2:$E$3143, ISNUMBER(
Master_Mapping_She"&amp;"et!$E$2:$E$3143),
Master_Mapping_Sheet!$H$2:$H$3143=L$1))), 0, sum(filter(
Master_Mapping_Sheet!$E$2:$E$3143, ISNUMBER(
Master_Mapping_Sheet!$E$2:$E$3143),
Master_Mapping_Sheet!$H$2:$H$3143=L$1,
Master_Mapping_Sheet!$B$2:$B$3143=$A6))/sum(filter(
Master_M"&amp;"apping_Sheet!$E$2:$E$3143, ISNUMBER(
Master_Mapping_Sheet!$E$2:$E$3143),
Master_Mapping_Sheet!$H$2:$H$3143=L$1)))"),0.0)</f>
        <v>0</v>
      </c>
      <c r="M6" s="34">
        <f>IFERROR(__xludf.DUMMYFUNCTION("IF(ISNA(sum(filter(
Master_Mapping_Sheet!$E$2:$E$3143, ISNUMBER(
Master_Mapping_Sheet!$E$2:$E$3143),
Master_Mapping_Sheet!$H$2:$H$3143=M$1,
Master_Mapping_Sheet!$B$2:$B$3143=$A6))/sum(filter(
Master_Mapping_Sheet!$E$2:$E$3143, ISNUMBER(
Master_Mapping_She"&amp;"et!$E$2:$E$3143),
Master_Mapping_Sheet!$H$2:$H$3143=M$1))), 0, sum(filter(
Master_Mapping_Sheet!$E$2:$E$3143, ISNUMBER(
Master_Mapping_Sheet!$E$2:$E$3143),
Master_Mapping_Sheet!$H$2:$H$3143=M$1,
Master_Mapping_Sheet!$B$2:$B$3143=$A6))/sum(filter(
Master_M"&amp;"apping_Sheet!$E$2:$E$3143, ISNUMBER(
Master_Mapping_Sheet!$E$2:$E$3143),
Master_Mapping_Sheet!$H$2:$H$3143=M$1)))"),0.0)</f>
        <v>0</v>
      </c>
      <c r="N6" s="34">
        <f>IFERROR(__xludf.DUMMYFUNCTION("IF(ISNA(sum(filter(
Master_Mapping_Sheet!$E$2:$E$3143, ISNUMBER(
Master_Mapping_Sheet!$E$2:$E$3143),
Master_Mapping_Sheet!$H$2:$H$3143=N$1,
Master_Mapping_Sheet!$B$2:$B$3143=$A6))/sum(filter(
Master_Mapping_Sheet!$E$2:$E$3143, ISNUMBER(
Master_Mapping_She"&amp;"et!$E$2:$E$3143),
Master_Mapping_Sheet!$H$2:$H$3143=N$1))), 0, sum(filter(
Master_Mapping_Sheet!$E$2:$E$3143, ISNUMBER(
Master_Mapping_Sheet!$E$2:$E$3143),
Master_Mapping_Sheet!$H$2:$H$3143=N$1,
Master_Mapping_Sheet!$B$2:$B$3143=$A6))/sum(filter(
Master_M"&amp;"apping_Sheet!$E$2:$E$3143, ISNUMBER(
Master_Mapping_Sheet!$E$2:$E$3143),
Master_Mapping_Sheet!$H$2:$H$3143=N$1)))"),0.0)</f>
        <v>0</v>
      </c>
      <c r="O6" s="34">
        <f>IFERROR(__xludf.DUMMYFUNCTION("IF(ISNA(sum(filter(
Master_Mapping_Sheet!$E$2:$E$3143, ISNUMBER(
Master_Mapping_Sheet!$E$2:$E$3143),
Master_Mapping_Sheet!$H$2:$H$3143=O$1,
Master_Mapping_Sheet!$B$2:$B$3143=$A6))/sum(filter(
Master_Mapping_Sheet!$E$2:$E$3143, ISNUMBER(
Master_Mapping_She"&amp;"et!$E$2:$E$3143),
Master_Mapping_Sheet!$H$2:$H$3143=O$1))), 0, sum(filter(
Master_Mapping_Sheet!$E$2:$E$3143, ISNUMBER(
Master_Mapping_Sheet!$E$2:$E$3143),
Master_Mapping_Sheet!$H$2:$H$3143=O$1,
Master_Mapping_Sheet!$B$2:$B$3143=$A6))/sum(filter(
Master_M"&amp;"apping_Sheet!$E$2:$E$3143, ISNUMBER(
Master_Mapping_Sheet!$E$2:$E$3143),
Master_Mapping_Sheet!$H$2:$H$3143=O$1)))"),0.0)</f>
        <v>0</v>
      </c>
      <c r="P6" s="34">
        <f>IFERROR(__xludf.DUMMYFUNCTION("IF(ISNA(sum(filter(
Master_Mapping_Sheet!$E$2:$E$3143, ISNUMBER(
Master_Mapping_Sheet!$E$2:$E$3143),
Master_Mapping_Sheet!$H$2:$H$3143=P$1,
Master_Mapping_Sheet!$B$2:$B$3143=$A6))/sum(filter(
Master_Mapping_Sheet!$E$2:$E$3143, ISNUMBER(
Master_Mapping_She"&amp;"et!$E$2:$E$3143),
Master_Mapping_Sheet!$H$2:$H$3143=P$1))), 0, sum(filter(
Master_Mapping_Sheet!$E$2:$E$3143, ISNUMBER(
Master_Mapping_Sheet!$E$2:$E$3143),
Master_Mapping_Sheet!$H$2:$H$3143=P$1,
Master_Mapping_Sheet!$B$2:$B$3143=$A6))/sum(filter(
Master_M"&amp;"apping_Sheet!$E$2:$E$3143, ISNUMBER(
Master_Mapping_Sheet!$E$2:$E$3143),
Master_Mapping_Sheet!$H$2:$H$3143=P$1)))"),0.0)</f>
        <v>0</v>
      </c>
      <c r="Q6" s="34">
        <f>IFERROR(__xludf.DUMMYFUNCTION("IF(ISNA(sum(filter(
Master_Mapping_Sheet!$E$2:$E$3143, ISNUMBER(
Master_Mapping_Sheet!$E$2:$E$3143),
Master_Mapping_Sheet!$H$2:$H$3143=Q$1,
Master_Mapping_Sheet!$B$2:$B$3143=$A6))/sum(filter(
Master_Mapping_Sheet!$E$2:$E$3143, ISNUMBER(
Master_Mapping_She"&amp;"et!$E$2:$E$3143),
Master_Mapping_Sheet!$H$2:$H$3143=Q$1))), 0, sum(filter(
Master_Mapping_Sheet!$E$2:$E$3143, ISNUMBER(
Master_Mapping_Sheet!$E$2:$E$3143),
Master_Mapping_Sheet!$H$2:$H$3143=Q$1,
Master_Mapping_Sheet!$B$2:$B$3143=$A6))/sum(filter(
Master_M"&amp;"apping_Sheet!$E$2:$E$3143, ISNUMBER(
Master_Mapping_Sheet!$E$2:$E$3143),
Master_Mapping_Sheet!$H$2:$H$3143=Q$1)))"),0.0)</f>
        <v>0</v>
      </c>
      <c r="R6" s="34">
        <f>IFERROR(__xludf.DUMMYFUNCTION("IF(ISNA(sum(filter(
Master_Mapping_Sheet!$E$2:$E$3143, ISNUMBER(
Master_Mapping_Sheet!$E$2:$E$3143),
Master_Mapping_Sheet!$H$2:$H$3143=R$1,
Master_Mapping_Sheet!$B$2:$B$3143=$A6))/sum(filter(
Master_Mapping_Sheet!$E$2:$E$3143, ISNUMBER(
Master_Mapping_She"&amp;"et!$E$2:$E$3143),
Master_Mapping_Sheet!$H$2:$H$3143=R$1))), 0, sum(filter(
Master_Mapping_Sheet!$E$2:$E$3143, ISNUMBER(
Master_Mapping_Sheet!$E$2:$E$3143),
Master_Mapping_Sheet!$H$2:$H$3143=R$1,
Master_Mapping_Sheet!$B$2:$B$3143=$A6))/sum(filter(
Master_M"&amp;"apping_Sheet!$E$2:$E$3143, ISNUMBER(
Master_Mapping_Sheet!$E$2:$E$3143),
Master_Mapping_Sheet!$H$2:$H$3143=R$1)))"),0.0)</f>
        <v>0</v>
      </c>
      <c r="S6" s="34">
        <f>IFERROR(__xludf.DUMMYFUNCTION("IF(ISNA(sum(filter(
Master_Mapping_Sheet!$E$2:$E$3143, ISNUMBER(
Master_Mapping_Sheet!$E$2:$E$3143),
Master_Mapping_Sheet!$H$2:$H$3143=S$1,
Master_Mapping_Sheet!$B$2:$B$3143=$A6))/sum(filter(
Master_Mapping_Sheet!$E$2:$E$3143, ISNUMBER(
Master_Mapping_She"&amp;"et!$E$2:$E$3143),
Master_Mapping_Sheet!$H$2:$H$3143=S$1))), 0, sum(filter(
Master_Mapping_Sheet!$E$2:$E$3143, ISNUMBER(
Master_Mapping_Sheet!$E$2:$E$3143),
Master_Mapping_Sheet!$H$2:$H$3143=S$1,
Master_Mapping_Sheet!$B$2:$B$3143=$A6))/sum(filter(
Master_M"&amp;"apping_Sheet!$E$2:$E$3143, ISNUMBER(
Master_Mapping_Sheet!$E$2:$E$3143),
Master_Mapping_Sheet!$H$2:$H$3143=S$1)))"),0.0)</f>
        <v>0</v>
      </c>
      <c r="T6" s="34">
        <f>IFERROR(__xludf.DUMMYFUNCTION("IF(ISNA(sum(filter(
Master_Mapping_Sheet!$E$2:$E$3143, ISNUMBER(
Master_Mapping_Sheet!$E$2:$E$3143),
Master_Mapping_Sheet!$H$2:$H$3143=T$1,
Master_Mapping_Sheet!$B$2:$B$3143=$A6))/sum(filter(
Master_Mapping_Sheet!$E$2:$E$3143, ISNUMBER(
Master_Mapping_She"&amp;"et!$E$2:$E$3143),
Master_Mapping_Sheet!$H$2:$H$3143=T$1))), 0, sum(filter(
Master_Mapping_Sheet!$E$2:$E$3143, ISNUMBER(
Master_Mapping_Sheet!$E$2:$E$3143),
Master_Mapping_Sheet!$H$2:$H$3143=T$1,
Master_Mapping_Sheet!$B$2:$B$3143=$A6))/sum(filter(
Master_M"&amp;"apping_Sheet!$E$2:$E$3143, ISNUMBER(
Master_Mapping_Sheet!$E$2:$E$3143),
Master_Mapping_Sheet!$H$2:$H$3143=T$1)))"),0.0)</f>
        <v>0</v>
      </c>
      <c r="U6" s="34">
        <f>IFERROR(__xludf.DUMMYFUNCTION("IF(ISNA(sum(filter(
Master_Mapping_Sheet!$E$2:$E$3143, ISNUMBER(
Master_Mapping_Sheet!$E$2:$E$3143),
Master_Mapping_Sheet!$H$2:$H$3143=U$1,
Master_Mapping_Sheet!$B$2:$B$3143=$A6))/sum(filter(
Master_Mapping_Sheet!$E$2:$E$3143, ISNUMBER(
Master_Mapping_She"&amp;"et!$E$2:$E$3143),
Master_Mapping_Sheet!$H$2:$H$3143=U$1))), 0, sum(filter(
Master_Mapping_Sheet!$E$2:$E$3143, ISNUMBER(
Master_Mapping_Sheet!$E$2:$E$3143),
Master_Mapping_Sheet!$H$2:$H$3143=U$1,
Master_Mapping_Sheet!$B$2:$B$3143=$A6))/sum(filter(
Master_M"&amp;"apping_Sheet!$E$2:$E$3143, ISNUMBER(
Master_Mapping_Sheet!$E$2:$E$3143),
Master_Mapping_Sheet!$H$2:$H$3143=U$1)))"),0.0)</f>
        <v>0</v>
      </c>
      <c r="V6" s="34">
        <f>IFERROR(__xludf.DUMMYFUNCTION("IF(ISNA(sum(filter(
Master_Mapping_Sheet!$E$2:$E$3143, ISNUMBER(
Master_Mapping_Sheet!$E$2:$E$3143),
Master_Mapping_Sheet!$H$2:$H$3143=V$1,
Master_Mapping_Sheet!$B$2:$B$3143=$A6))/sum(filter(
Master_Mapping_Sheet!$E$2:$E$3143, ISNUMBER(
Master_Mapping_She"&amp;"et!$E$2:$E$3143),
Master_Mapping_Sheet!$H$2:$H$3143=V$1))), 0, sum(filter(
Master_Mapping_Sheet!$E$2:$E$3143, ISNUMBER(
Master_Mapping_Sheet!$E$2:$E$3143),
Master_Mapping_Sheet!$H$2:$H$3143=V$1,
Master_Mapping_Sheet!$B$2:$B$3143=$A6))/sum(filter(
Master_M"&amp;"apping_Sheet!$E$2:$E$3143, ISNUMBER(
Master_Mapping_Sheet!$E$2:$E$3143),
Master_Mapping_Sheet!$H$2:$H$3143=V$1)))"),0.017542616948493638)</f>
        <v>0.01754261695</v>
      </c>
      <c r="W6" s="34">
        <f>IFERROR(__xludf.DUMMYFUNCTION("IF(ISNA(sum(filter(
Master_Mapping_Sheet!$E$2:$E$3143, ISNUMBER(
Master_Mapping_Sheet!$E$2:$E$3143),
Master_Mapping_Sheet!$H$2:$H$3143=W$1,
Master_Mapping_Sheet!$B$2:$B$3143=$A6))/sum(filter(
Master_Mapping_Sheet!$E$2:$E$3143, ISNUMBER(
Master_Mapping_She"&amp;"et!$E$2:$E$3143),
Master_Mapping_Sheet!$H$2:$H$3143=W$1))), 0, sum(filter(
Master_Mapping_Sheet!$E$2:$E$3143, ISNUMBER(
Master_Mapping_Sheet!$E$2:$E$3143),
Master_Mapping_Sheet!$H$2:$H$3143=W$1,
Master_Mapping_Sheet!$B$2:$B$3143=$A6))/sum(filter(
Master_M"&amp;"apping_Sheet!$E$2:$E$3143, ISNUMBER(
Master_Mapping_Sheet!$E$2:$E$3143),
Master_Mapping_Sheet!$H$2:$H$3143=W$1)))"),1.0)</f>
        <v>1</v>
      </c>
      <c r="X6" s="34">
        <f>IFERROR(__xludf.DUMMYFUNCTION("IF(ISNA(sum(filter(
Master_Mapping_Sheet!$E$2:$E$3143, ISNUMBER(
Master_Mapping_Sheet!$E$2:$E$3143),
Master_Mapping_Sheet!$H$2:$H$3143=X$1,
Master_Mapping_Sheet!$B$2:$B$3143=$A6))/sum(filter(
Master_Mapping_Sheet!$E$2:$E$3143, ISNUMBER(
Master_Mapping_She"&amp;"et!$E$2:$E$3143),
Master_Mapping_Sheet!$H$2:$H$3143=X$1))), 0, sum(filter(
Master_Mapping_Sheet!$E$2:$E$3143, ISNUMBER(
Master_Mapping_Sheet!$E$2:$E$3143),
Master_Mapping_Sheet!$H$2:$H$3143=X$1,
Master_Mapping_Sheet!$B$2:$B$3143=$A6))/sum(filter(
Master_M"&amp;"apping_Sheet!$E$2:$E$3143, ISNUMBER(
Master_Mapping_Sheet!$E$2:$E$3143),
Master_Mapping_Sheet!$H$2:$H$3143=X$1)))"),1.0)</f>
        <v>1</v>
      </c>
      <c r="Y6" s="34">
        <f>IFERROR(__xludf.DUMMYFUNCTION("IF(ISNA(sum(filter(
Master_Mapping_Sheet!$E$2:$E$3143, ISNUMBER(
Master_Mapping_Sheet!$E$2:$E$3143),
Master_Mapping_Sheet!$H$2:$H$3143=Y$1,
Master_Mapping_Sheet!$B$2:$B$3143=$A6))/sum(filter(
Master_Mapping_Sheet!$E$2:$E$3143, ISNUMBER(
Master_Mapping_She"&amp;"et!$E$2:$E$3143),
Master_Mapping_Sheet!$H$2:$H$3143=Y$1))), 0, sum(filter(
Master_Mapping_Sheet!$E$2:$E$3143, ISNUMBER(
Master_Mapping_Sheet!$E$2:$E$3143),
Master_Mapping_Sheet!$H$2:$H$3143=Y$1,
Master_Mapping_Sheet!$B$2:$B$3143=$A6))/sum(filter(
Master_M"&amp;"apping_Sheet!$E$2:$E$3143, ISNUMBER(
Master_Mapping_Sheet!$E$2:$E$3143),
Master_Mapping_Sheet!$H$2:$H$3143=Y$1)))"),0.007847447183680424)</f>
        <v>0.007847447184</v>
      </c>
      <c r="Z6" s="34">
        <f>IFERROR(__xludf.DUMMYFUNCTION("IF(ISNA(sum(filter(
Master_Mapping_Sheet!$E$2:$E$3143, ISNUMBER(
Master_Mapping_Sheet!$E$2:$E$3143),
Master_Mapping_Sheet!$H$2:$H$3143=Z$1,
Master_Mapping_Sheet!$B$2:$B$3143=$A6))/sum(filter(
Master_Mapping_Sheet!$E$2:$E$3143, ISNUMBER(
Master_Mapping_She"&amp;"et!$E$2:$E$3143),
Master_Mapping_Sheet!$H$2:$H$3143=Z$1))), 0, sum(filter(
Master_Mapping_Sheet!$E$2:$E$3143, ISNUMBER(
Master_Mapping_Sheet!$E$2:$E$3143),
Master_Mapping_Sheet!$H$2:$H$3143=Z$1,
Master_Mapping_Sheet!$B$2:$B$3143=$A6))/sum(filter(
Master_M"&amp;"apping_Sheet!$E$2:$E$3143, ISNUMBER(
Master_Mapping_Sheet!$E$2:$E$3143),
Master_Mapping_Sheet!$H$2:$H$3143=Z$1)))"),0.0)</f>
        <v>0</v>
      </c>
      <c r="AA6" s="34">
        <f>IFERROR(__xludf.DUMMYFUNCTION("IF(ISNA(sum(filter(
Master_Mapping_Sheet!$E$2:$E$3143, ISNUMBER(
Master_Mapping_Sheet!$E$2:$E$3143),
Master_Mapping_Sheet!$H$2:$H$3143=AA$1,
Master_Mapping_Sheet!$B$2:$B$3143=$A6))/sum(filter(
Master_Mapping_Sheet!$E$2:$E$3143, ISNUMBER(
Master_Mapping_Sh"&amp;"eet!$E$2:$E$3143),
Master_Mapping_Sheet!$H$2:$H$3143=AA$1))), 0, sum(filter(
Master_Mapping_Sheet!$E$2:$E$3143, ISNUMBER(
Master_Mapping_Sheet!$E$2:$E$3143),
Master_Mapping_Sheet!$H$2:$H$3143=AA$1,
Master_Mapping_Sheet!$B$2:$B$3143=$A6))/sum(filter(
Maste"&amp;"r_Mapping_Sheet!$E$2:$E$3143, ISNUMBER(
Master_Mapping_Sheet!$E$2:$E$3143),
Master_Mapping_Sheet!$H$2:$H$3143=AA$1)))"),0.0)</f>
        <v>0</v>
      </c>
    </row>
    <row r="7" ht="15.75" customHeight="1">
      <c r="A7" s="34" t="s">
        <v>339</v>
      </c>
      <c r="B7" s="34" t="s">
        <v>2194</v>
      </c>
      <c r="C7" s="34">
        <f>IFERROR(__xludf.DUMMYFUNCTION("IF(ISNA(sum(filter(
Master_Mapping_Sheet!$E$2:$E$3143, ISNUMBER(
Master_Mapping_Sheet!$E$2:$E$3143),
Master_Mapping_Sheet!$H$2:$H$3143=C$1,
Master_Mapping_Sheet!$B$2:$B$3143=$A7))/sum(filter(
Master_Mapping_Sheet!$E$2:$E$3143, ISNUMBER(
Master_Mapping_She"&amp;"et!$E$2:$E$3143),
Master_Mapping_Sheet!$H$2:$H$3143=C$1))), 0, sum(filter(
Master_Mapping_Sheet!$E$2:$E$3143, ISNUMBER(
Master_Mapping_Sheet!$E$2:$E$3143),
Master_Mapping_Sheet!$H$2:$H$3143=C$1,
Master_Mapping_Sheet!$B$2:$B$3143=$A7))/sum(filter(
Master_M"&amp;"apping_Sheet!$E$2:$E$3143, ISNUMBER(
Master_Mapping_Sheet!$E$2:$E$3143),
Master_Mapping_Sheet!$H$2:$H$3143=C$1)))"),0.0)</f>
        <v>0</v>
      </c>
      <c r="D7" s="34">
        <f>IFERROR(__xludf.DUMMYFUNCTION("IF(ISNA(sum(filter(
Master_Mapping_Sheet!$E$2:$E$3143, ISNUMBER(
Master_Mapping_Sheet!$E$2:$E$3143),
Master_Mapping_Sheet!$H$2:$H$3143=D$1,
Master_Mapping_Sheet!$B$2:$B$3143=$A7))/sum(filter(
Master_Mapping_Sheet!$E$2:$E$3143, ISNUMBER(
Master_Mapping_She"&amp;"et!$E$2:$E$3143),
Master_Mapping_Sheet!$H$2:$H$3143=D$1))), 0, sum(filter(
Master_Mapping_Sheet!$E$2:$E$3143, ISNUMBER(
Master_Mapping_Sheet!$E$2:$E$3143),
Master_Mapping_Sheet!$H$2:$H$3143=D$1,
Master_Mapping_Sheet!$B$2:$B$3143=$A7))/sum(filter(
Master_M"&amp;"apping_Sheet!$E$2:$E$3143, ISNUMBER(
Master_Mapping_Sheet!$E$2:$E$3143),
Master_Mapping_Sheet!$H$2:$H$3143=D$1)))"),0.0)</f>
        <v>0</v>
      </c>
      <c r="E7" s="32">
        <f>IFERROR(__xludf.DUMMYFUNCTION("IF(ISNA(sum(filter(
Master_Mapping_Sheet!$E$2:$E$3143, ISNUMBER(
Master_Mapping_Sheet!$E$2:$E$3143),
Master_Mapping_Sheet!$H$2:$H$3143=E$1,
Master_Mapping_Sheet!$B$2:$B$3143=$A7))/sum(filter(
Master_Mapping_Sheet!$E$2:$E$3143, ISNUMBER(
Master_Mapping_She"&amp;"et!$E$2:$E$3143),
Master_Mapping_Sheet!$H$2:$H$3143=E$1))), 0, sum(filter(
Master_Mapping_Sheet!$E$2:$E$3143, ISNUMBER(
Master_Mapping_Sheet!$E$2:$E$3143),
Master_Mapping_Sheet!$H$2:$H$3143=E$1,
Master_Mapping_Sheet!$B$2:$B$3143=$A7))/sum(filter(
Master_M"&amp;"apping_Sheet!$E$2:$E$3143, ISNUMBER(
Master_Mapping_Sheet!$E$2:$E$3143),
Master_Mapping_Sheet!$H$2:$H$3143=E$1)))"),0.0)</f>
        <v>0</v>
      </c>
      <c r="F7" s="34">
        <f>IFERROR(__xludf.DUMMYFUNCTION("IF(ISNA(sum(filter(
Master_Mapping_Sheet!$E$2:$E$3143, ISNUMBER(
Master_Mapping_Sheet!$E$2:$E$3143),
Master_Mapping_Sheet!$H$2:$H$3143=F$1,
Master_Mapping_Sheet!$B$2:$B$3143=$A7))/sum(filter(
Master_Mapping_Sheet!$E$2:$E$3143, ISNUMBER(
Master_Mapping_She"&amp;"et!$E$2:$E$3143),
Master_Mapping_Sheet!$H$2:$H$3143=F$1))), 0, sum(filter(
Master_Mapping_Sheet!$E$2:$E$3143, ISNUMBER(
Master_Mapping_Sheet!$E$2:$E$3143),
Master_Mapping_Sheet!$H$2:$H$3143=F$1,
Master_Mapping_Sheet!$B$2:$B$3143=$A7))/sum(filter(
Master_M"&amp;"apping_Sheet!$E$2:$E$3143, ISNUMBER(
Master_Mapping_Sheet!$E$2:$E$3143),
Master_Mapping_Sheet!$H$2:$H$3143=F$1)))"),0.0)</f>
        <v>0</v>
      </c>
      <c r="G7" s="34">
        <f>IFERROR(__xludf.DUMMYFUNCTION("IF(ISNA(sum(filter(
Master_Mapping_Sheet!$E$2:$E$3143, ISNUMBER(
Master_Mapping_Sheet!$E$2:$E$3143),
Master_Mapping_Sheet!$H$2:$H$3143=G$1,
Master_Mapping_Sheet!$B$2:$B$3143=$A7))/sum(filter(
Master_Mapping_Sheet!$E$2:$E$3143, ISNUMBER(
Master_Mapping_She"&amp;"et!$E$2:$E$3143),
Master_Mapping_Sheet!$H$2:$H$3143=G$1))), 0, sum(filter(
Master_Mapping_Sheet!$E$2:$E$3143, ISNUMBER(
Master_Mapping_Sheet!$E$2:$E$3143),
Master_Mapping_Sheet!$H$2:$H$3143=G$1,
Master_Mapping_Sheet!$B$2:$B$3143=$A7))/sum(filter(
Master_M"&amp;"apping_Sheet!$E$2:$E$3143, ISNUMBER(
Master_Mapping_Sheet!$E$2:$E$3143),
Master_Mapping_Sheet!$H$2:$H$3143=G$1)))"),0.0)</f>
        <v>0</v>
      </c>
      <c r="H7" s="34">
        <f>IFERROR(__xludf.DUMMYFUNCTION("IF(ISNA(sum(filter(
Master_Mapping_Sheet!$E$2:$E$3143, ISNUMBER(
Master_Mapping_Sheet!$E$2:$E$3143),
Master_Mapping_Sheet!$H$2:$H$3143=H$1,
Master_Mapping_Sheet!$B$2:$B$3143=$A7))/sum(filter(
Master_Mapping_Sheet!$E$2:$E$3143, ISNUMBER(
Master_Mapping_She"&amp;"et!$E$2:$E$3143),
Master_Mapping_Sheet!$H$2:$H$3143=H$1))), 0, sum(filter(
Master_Mapping_Sheet!$E$2:$E$3143, ISNUMBER(
Master_Mapping_Sheet!$E$2:$E$3143),
Master_Mapping_Sheet!$H$2:$H$3143=H$1,
Master_Mapping_Sheet!$B$2:$B$3143=$A7))/sum(filter(
Master_M"&amp;"apping_Sheet!$E$2:$E$3143, ISNUMBER(
Master_Mapping_Sheet!$E$2:$E$3143),
Master_Mapping_Sheet!$H$2:$H$3143=H$1)))"),0.0)</f>
        <v>0</v>
      </c>
      <c r="I7" s="34">
        <f>IFERROR(__xludf.DUMMYFUNCTION("IF(ISNA(sum(filter(
Master_Mapping_Sheet!$E$2:$E$3143, ISNUMBER(
Master_Mapping_Sheet!$E$2:$E$3143),
Master_Mapping_Sheet!$H$2:$H$3143=I$1,
Master_Mapping_Sheet!$B$2:$B$3143=$A7))/sum(filter(
Master_Mapping_Sheet!$E$2:$E$3143, ISNUMBER(
Master_Mapping_She"&amp;"et!$E$2:$E$3143),
Master_Mapping_Sheet!$H$2:$H$3143=I$1))), 0, sum(filter(
Master_Mapping_Sheet!$E$2:$E$3143, ISNUMBER(
Master_Mapping_Sheet!$E$2:$E$3143),
Master_Mapping_Sheet!$H$2:$H$3143=I$1,
Master_Mapping_Sheet!$B$2:$B$3143=$A7))/sum(filter(
Master_M"&amp;"apping_Sheet!$E$2:$E$3143, ISNUMBER(
Master_Mapping_Sheet!$E$2:$E$3143),
Master_Mapping_Sheet!$H$2:$H$3143=I$1)))"),0.0)</f>
        <v>0</v>
      </c>
      <c r="J7" s="34">
        <f>IFERROR(__xludf.DUMMYFUNCTION("IF(ISNA(sum(filter(
Master_Mapping_Sheet!$E$2:$E$3143, ISNUMBER(
Master_Mapping_Sheet!$E$2:$E$3143),
Master_Mapping_Sheet!$H$2:$H$3143=J$1,
Master_Mapping_Sheet!$B$2:$B$3143=$A7))/sum(filter(
Master_Mapping_Sheet!$E$2:$E$3143, ISNUMBER(
Master_Mapping_She"&amp;"et!$E$2:$E$3143),
Master_Mapping_Sheet!$H$2:$H$3143=J$1))), 0, sum(filter(
Master_Mapping_Sheet!$E$2:$E$3143, ISNUMBER(
Master_Mapping_Sheet!$E$2:$E$3143),
Master_Mapping_Sheet!$H$2:$H$3143=J$1,
Master_Mapping_Sheet!$B$2:$B$3143=$A7))/sum(filter(
Master_M"&amp;"apping_Sheet!$E$2:$E$3143, ISNUMBER(
Master_Mapping_Sheet!$E$2:$E$3143),
Master_Mapping_Sheet!$H$2:$H$3143=J$1)))"),0.0)</f>
        <v>0</v>
      </c>
      <c r="K7" s="34">
        <f>IFERROR(__xludf.DUMMYFUNCTION("IF(ISNA(sum(filter(
Master_Mapping_Sheet!$E$2:$E$3143, ISNUMBER(
Master_Mapping_Sheet!$E$2:$E$3143),
Master_Mapping_Sheet!$H$2:$H$3143=K$1,
Master_Mapping_Sheet!$B$2:$B$3143=$A7))/sum(filter(
Master_Mapping_Sheet!$E$2:$E$3143, ISNUMBER(
Master_Mapping_She"&amp;"et!$E$2:$E$3143),
Master_Mapping_Sheet!$H$2:$H$3143=K$1))), 0, sum(filter(
Master_Mapping_Sheet!$E$2:$E$3143, ISNUMBER(
Master_Mapping_Sheet!$E$2:$E$3143),
Master_Mapping_Sheet!$H$2:$H$3143=K$1,
Master_Mapping_Sheet!$B$2:$B$3143=$A7))/sum(filter(
Master_M"&amp;"apping_Sheet!$E$2:$E$3143, ISNUMBER(
Master_Mapping_Sheet!$E$2:$E$3143),
Master_Mapping_Sheet!$H$2:$H$3143=K$1)))"),0.0)</f>
        <v>0</v>
      </c>
      <c r="L7" s="34">
        <f>IFERROR(__xludf.DUMMYFUNCTION("IF(ISNA(sum(filter(
Master_Mapping_Sheet!$E$2:$E$3143, ISNUMBER(
Master_Mapping_Sheet!$E$2:$E$3143),
Master_Mapping_Sheet!$H$2:$H$3143=L$1,
Master_Mapping_Sheet!$B$2:$B$3143=$A7))/sum(filter(
Master_Mapping_Sheet!$E$2:$E$3143, ISNUMBER(
Master_Mapping_She"&amp;"et!$E$2:$E$3143),
Master_Mapping_Sheet!$H$2:$H$3143=L$1))), 0, sum(filter(
Master_Mapping_Sheet!$E$2:$E$3143, ISNUMBER(
Master_Mapping_Sheet!$E$2:$E$3143),
Master_Mapping_Sheet!$H$2:$H$3143=L$1,
Master_Mapping_Sheet!$B$2:$B$3143=$A7))/sum(filter(
Master_M"&amp;"apping_Sheet!$E$2:$E$3143, ISNUMBER(
Master_Mapping_Sheet!$E$2:$E$3143),
Master_Mapping_Sheet!$H$2:$H$3143=L$1)))"),0.0)</f>
        <v>0</v>
      </c>
      <c r="M7" s="34">
        <f>IFERROR(__xludf.DUMMYFUNCTION("IF(ISNA(sum(filter(
Master_Mapping_Sheet!$E$2:$E$3143, ISNUMBER(
Master_Mapping_Sheet!$E$2:$E$3143),
Master_Mapping_Sheet!$H$2:$H$3143=M$1,
Master_Mapping_Sheet!$B$2:$B$3143=$A7))/sum(filter(
Master_Mapping_Sheet!$E$2:$E$3143, ISNUMBER(
Master_Mapping_She"&amp;"et!$E$2:$E$3143),
Master_Mapping_Sheet!$H$2:$H$3143=M$1))), 0, sum(filter(
Master_Mapping_Sheet!$E$2:$E$3143, ISNUMBER(
Master_Mapping_Sheet!$E$2:$E$3143),
Master_Mapping_Sheet!$H$2:$H$3143=M$1,
Master_Mapping_Sheet!$B$2:$B$3143=$A7))/sum(filter(
Master_M"&amp;"apping_Sheet!$E$2:$E$3143, ISNUMBER(
Master_Mapping_Sheet!$E$2:$E$3143),
Master_Mapping_Sheet!$H$2:$H$3143=M$1)))"),0.0)</f>
        <v>0</v>
      </c>
      <c r="N7" s="34">
        <f>IFERROR(__xludf.DUMMYFUNCTION("IF(ISNA(sum(filter(
Master_Mapping_Sheet!$E$2:$E$3143, ISNUMBER(
Master_Mapping_Sheet!$E$2:$E$3143),
Master_Mapping_Sheet!$H$2:$H$3143=N$1,
Master_Mapping_Sheet!$B$2:$B$3143=$A7))/sum(filter(
Master_Mapping_Sheet!$E$2:$E$3143, ISNUMBER(
Master_Mapping_She"&amp;"et!$E$2:$E$3143),
Master_Mapping_Sheet!$H$2:$H$3143=N$1))), 0, sum(filter(
Master_Mapping_Sheet!$E$2:$E$3143, ISNUMBER(
Master_Mapping_Sheet!$E$2:$E$3143),
Master_Mapping_Sheet!$H$2:$H$3143=N$1,
Master_Mapping_Sheet!$B$2:$B$3143=$A7))/sum(filter(
Master_M"&amp;"apping_Sheet!$E$2:$E$3143, ISNUMBER(
Master_Mapping_Sheet!$E$2:$E$3143),
Master_Mapping_Sheet!$H$2:$H$3143=N$1)))"),0.0)</f>
        <v>0</v>
      </c>
      <c r="O7" s="34">
        <f>IFERROR(__xludf.DUMMYFUNCTION("IF(ISNA(sum(filter(
Master_Mapping_Sheet!$E$2:$E$3143, ISNUMBER(
Master_Mapping_Sheet!$E$2:$E$3143),
Master_Mapping_Sheet!$H$2:$H$3143=O$1,
Master_Mapping_Sheet!$B$2:$B$3143=$A7))/sum(filter(
Master_Mapping_Sheet!$E$2:$E$3143, ISNUMBER(
Master_Mapping_She"&amp;"et!$E$2:$E$3143),
Master_Mapping_Sheet!$H$2:$H$3143=O$1))), 0, sum(filter(
Master_Mapping_Sheet!$E$2:$E$3143, ISNUMBER(
Master_Mapping_Sheet!$E$2:$E$3143),
Master_Mapping_Sheet!$H$2:$H$3143=O$1,
Master_Mapping_Sheet!$B$2:$B$3143=$A7))/sum(filter(
Master_M"&amp;"apping_Sheet!$E$2:$E$3143, ISNUMBER(
Master_Mapping_Sheet!$E$2:$E$3143),
Master_Mapping_Sheet!$H$2:$H$3143=O$1)))"),0.0)</f>
        <v>0</v>
      </c>
      <c r="P7" s="34">
        <f>IFERROR(__xludf.DUMMYFUNCTION("IF(ISNA(sum(filter(
Master_Mapping_Sheet!$E$2:$E$3143, ISNUMBER(
Master_Mapping_Sheet!$E$2:$E$3143),
Master_Mapping_Sheet!$H$2:$H$3143=P$1,
Master_Mapping_Sheet!$B$2:$B$3143=$A7))/sum(filter(
Master_Mapping_Sheet!$E$2:$E$3143, ISNUMBER(
Master_Mapping_She"&amp;"et!$E$2:$E$3143),
Master_Mapping_Sheet!$H$2:$H$3143=P$1))), 0, sum(filter(
Master_Mapping_Sheet!$E$2:$E$3143, ISNUMBER(
Master_Mapping_Sheet!$E$2:$E$3143),
Master_Mapping_Sheet!$H$2:$H$3143=P$1,
Master_Mapping_Sheet!$B$2:$B$3143=$A7))/sum(filter(
Master_M"&amp;"apping_Sheet!$E$2:$E$3143, ISNUMBER(
Master_Mapping_Sheet!$E$2:$E$3143),
Master_Mapping_Sheet!$H$2:$H$3143=P$1)))"),0.0)</f>
        <v>0</v>
      </c>
      <c r="Q7" s="34">
        <f>IFERROR(__xludf.DUMMYFUNCTION("IF(ISNA(sum(filter(
Master_Mapping_Sheet!$E$2:$E$3143, ISNUMBER(
Master_Mapping_Sheet!$E$2:$E$3143),
Master_Mapping_Sheet!$H$2:$H$3143=Q$1,
Master_Mapping_Sheet!$B$2:$B$3143=$A7))/sum(filter(
Master_Mapping_Sheet!$E$2:$E$3143, ISNUMBER(
Master_Mapping_She"&amp;"et!$E$2:$E$3143),
Master_Mapping_Sheet!$H$2:$H$3143=Q$1))), 0, sum(filter(
Master_Mapping_Sheet!$E$2:$E$3143, ISNUMBER(
Master_Mapping_Sheet!$E$2:$E$3143),
Master_Mapping_Sheet!$H$2:$H$3143=Q$1,
Master_Mapping_Sheet!$B$2:$B$3143=$A7))/sum(filter(
Master_M"&amp;"apping_Sheet!$E$2:$E$3143, ISNUMBER(
Master_Mapping_Sheet!$E$2:$E$3143),
Master_Mapping_Sheet!$H$2:$H$3143=Q$1)))"),0.0)</f>
        <v>0</v>
      </c>
      <c r="R7" s="34">
        <f>IFERROR(__xludf.DUMMYFUNCTION("IF(ISNA(sum(filter(
Master_Mapping_Sheet!$E$2:$E$3143, ISNUMBER(
Master_Mapping_Sheet!$E$2:$E$3143),
Master_Mapping_Sheet!$H$2:$H$3143=R$1,
Master_Mapping_Sheet!$B$2:$B$3143=$A7))/sum(filter(
Master_Mapping_Sheet!$E$2:$E$3143, ISNUMBER(
Master_Mapping_She"&amp;"et!$E$2:$E$3143),
Master_Mapping_Sheet!$H$2:$H$3143=R$1))), 0, sum(filter(
Master_Mapping_Sheet!$E$2:$E$3143, ISNUMBER(
Master_Mapping_Sheet!$E$2:$E$3143),
Master_Mapping_Sheet!$H$2:$H$3143=R$1,
Master_Mapping_Sheet!$B$2:$B$3143=$A7))/sum(filter(
Master_M"&amp;"apping_Sheet!$E$2:$E$3143, ISNUMBER(
Master_Mapping_Sheet!$E$2:$E$3143),
Master_Mapping_Sheet!$H$2:$H$3143=R$1)))"),0.0)</f>
        <v>0</v>
      </c>
      <c r="S7" s="34">
        <f>IFERROR(__xludf.DUMMYFUNCTION("IF(ISNA(sum(filter(
Master_Mapping_Sheet!$E$2:$E$3143, ISNUMBER(
Master_Mapping_Sheet!$E$2:$E$3143),
Master_Mapping_Sheet!$H$2:$H$3143=S$1,
Master_Mapping_Sheet!$B$2:$B$3143=$A7))/sum(filter(
Master_Mapping_Sheet!$E$2:$E$3143, ISNUMBER(
Master_Mapping_She"&amp;"et!$E$2:$E$3143),
Master_Mapping_Sheet!$H$2:$H$3143=S$1))), 0, sum(filter(
Master_Mapping_Sheet!$E$2:$E$3143, ISNUMBER(
Master_Mapping_Sheet!$E$2:$E$3143),
Master_Mapping_Sheet!$H$2:$H$3143=S$1,
Master_Mapping_Sheet!$B$2:$B$3143=$A7))/sum(filter(
Master_M"&amp;"apping_Sheet!$E$2:$E$3143, ISNUMBER(
Master_Mapping_Sheet!$E$2:$E$3143),
Master_Mapping_Sheet!$H$2:$H$3143=S$1)))"),0.0)</f>
        <v>0</v>
      </c>
      <c r="T7" s="34">
        <f>IFERROR(__xludf.DUMMYFUNCTION("IF(ISNA(sum(filter(
Master_Mapping_Sheet!$E$2:$E$3143, ISNUMBER(
Master_Mapping_Sheet!$E$2:$E$3143),
Master_Mapping_Sheet!$H$2:$H$3143=T$1,
Master_Mapping_Sheet!$B$2:$B$3143=$A7))/sum(filter(
Master_Mapping_Sheet!$E$2:$E$3143, ISNUMBER(
Master_Mapping_She"&amp;"et!$E$2:$E$3143),
Master_Mapping_Sheet!$H$2:$H$3143=T$1))), 0, sum(filter(
Master_Mapping_Sheet!$E$2:$E$3143, ISNUMBER(
Master_Mapping_Sheet!$E$2:$E$3143),
Master_Mapping_Sheet!$H$2:$H$3143=T$1,
Master_Mapping_Sheet!$B$2:$B$3143=$A7))/sum(filter(
Master_M"&amp;"apping_Sheet!$E$2:$E$3143, ISNUMBER(
Master_Mapping_Sheet!$E$2:$E$3143),
Master_Mapping_Sheet!$H$2:$H$3143=T$1)))"),0.0)</f>
        <v>0</v>
      </c>
      <c r="U7" s="34">
        <f>IFERROR(__xludf.DUMMYFUNCTION("IF(ISNA(sum(filter(
Master_Mapping_Sheet!$E$2:$E$3143, ISNUMBER(
Master_Mapping_Sheet!$E$2:$E$3143),
Master_Mapping_Sheet!$H$2:$H$3143=U$1,
Master_Mapping_Sheet!$B$2:$B$3143=$A7))/sum(filter(
Master_Mapping_Sheet!$E$2:$E$3143, ISNUMBER(
Master_Mapping_She"&amp;"et!$E$2:$E$3143),
Master_Mapping_Sheet!$H$2:$H$3143=U$1))), 0, sum(filter(
Master_Mapping_Sheet!$E$2:$E$3143, ISNUMBER(
Master_Mapping_Sheet!$E$2:$E$3143),
Master_Mapping_Sheet!$H$2:$H$3143=U$1,
Master_Mapping_Sheet!$B$2:$B$3143=$A7))/sum(filter(
Master_M"&amp;"apping_Sheet!$E$2:$E$3143, ISNUMBER(
Master_Mapping_Sheet!$E$2:$E$3143),
Master_Mapping_Sheet!$H$2:$H$3143=U$1)))"),0.0)</f>
        <v>0</v>
      </c>
      <c r="V7" s="34">
        <f>IFERROR(__xludf.DUMMYFUNCTION("IF(ISNA(sum(filter(
Master_Mapping_Sheet!$E$2:$E$3143, ISNUMBER(
Master_Mapping_Sheet!$E$2:$E$3143),
Master_Mapping_Sheet!$H$2:$H$3143=V$1,
Master_Mapping_Sheet!$B$2:$B$3143=$A7))/sum(filter(
Master_Mapping_Sheet!$E$2:$E$3143, ISNUMBER(
Master_Mapping_She"&amp;"et!$E$2:$E$3143),
Master_Mapping_Sheet!$H$2:$H$3143=V$1))), 0, sum(filter(
Master_Mapping_Sheet!$E$2:$E$3143, ISNUMBER(
Master_Mapping_Sheet!$E$2:$E$3143),
Master_Mapping_Sheet!$H$2:$H$3143=V$1,
Master_Mapping_Sheet!$B$2:$B$3143=$A7))/sum(filter(
Master_M"&amp;"apping_Sheet!$E$2:$E$3143, ISNUMBER(
Master_Mapping_Sheet!$E$2:$E$3143),
Master_Mapping_Sheet!$H$2:$H$3143=V$1)))"),0.0)</f>
        <v>0</v>
      </c>
      <c r="W7" s="34">
        <f>IFERROR(__xludf.DUMMYFUNCTION("IF(ISNA(sum(filter(
Master_Mapping_Sheet!$E$2:$E$3143, ISNUMBER(
Master_Mapping_Sheet!$E$2:$E$3143),
Master_Mapping_Sheet!$H$2:$H$3143=W$1,
Master_Mapping_Sheet!$B$2:$B$3143=$A7))/sum(filter(
Master_Mapping_Sheet!$E$2:$E$3143, ISNUMBER(
Master_Mapping_She"&amp;"et!$E$2:$E$3143),
Master_Mapping_Sheet!$H$2:$H$3143=W$1))), 0, sum(filter(
Master_Mapping_Sheet!$E$2:$E$3143, ISNUMBER(
Master_Mapping_Sheet!$E$2:$E$3143),
Master_Mapping_Sheet!$H$2:$H$3143=W$1,
Master_Mapping_Sheet!$B$2:$B$3143=$A7))/sum(filter(
Master_M"&amp;"apping_Sheet!$E$2:$E$3143, ISNUMBER(
Master_Mapping_Sheet!$E$2:$E$3143),
Master_Mapping_Sheet!$H$2:$H$3143=W$1)))"),0.0)</f>
        <v>0</v>
      </c>
      <c r="X7" s="34">
        <f>IFERROR(__xludf.DUMMYFUNCTION("IF(ISNA(sum(filter(
Master_Mapping_Sheet!$E$2:$E$3143, ISNUMBER(
Master_Mapping_Sheet!$E$2:$E$3143),
Master_Mapping_Sheet!$H$2:$H$3143=X$1,
Master_Mapping_Sheet!$B$2:$B$3143=$A7))/sum(filter(
Master_Mapping_Sheet!$E$2:$E$3143, ISNUMBER(
Master_Mapping_She"&amp;"et!$E$2:$E$3143),
Master_Mapping_Sheet!$H$2:$H$3143=X$1))), 0, sum(filter(
Master_Mapping_Sheet!$E$2:$E$3143, ISNUMBER(
Master_Mapping_Sheet!$E$2:$E$3143),
Master_Mapping_Sheet!$H$2:$H$3143=X$1,
Master_Mapping_Sheet!$B$2:$B$3143=$A7))/sum(filter(
Master_M"&amp;"apping_Sheet!$E$2:$E$3143, ISNUMBER(
Master_Mapping_Sheet!$E$2:$E$3143),
Master_Mapping_Sheet!$H$2:$H$3143=X$1)))"),0.0)</f>
        <v>0</v>
      </c>
      <c r="Y7" s="34">
        <f>IFERROR(__xludf.DUMMYFUNCTION("IF(ISNA(sum(filter(
Master_Mapping_Sheet!$E$2:$E$3143, ISNUMBER(
Master_Mapping_Sheet!$E$2:$E$3143),
Master_Mapping_Sheet!$H$2:$H$3143=Y$1,
Master_Mapping_Sheet!$B$2:$B$3143=$A7))/sum(filter(
Master_Mapping_Sheet!$E$2:$E$3143, ISNUMBER(
Master_Mapping_She"&amp;"et!$E$2:$E$3143),
Master_Mapping_Sheet!$H$2:$H$3143=Y$1))), 0, sum(filter(
Master_Mapping_Sheet!$E$2:$E$3143, ISNUMBER(
Master_Mapping_Sheet!$E$2:$E$3143),
Master_Mapping_Sheet!$H$2:$H$3143=Y$1,
Master_Mapping_Sheet!$B$2:$B$3143=$A7))/sum(filter(
Master_M"&amp;"apping_Sheet!$E$2:$E$3143, ISNUMBER(
Master_Mapping_Sheet!$E$2:$E$3143),
Master_Mapping_Sheet!$H$2:$H$3143=Y$1)))"),0.0)</f>
        <v>0</v>
      </c>
      <c r="Z7" s="34">
        <f>IFERROR(__xludf.DUMMYFUNCTION("IF(ISNA(sum(filter(
Master_Mapping_Sheet!$E$2:$E$3143, ISNUMBER(
Master_Mapping_Sheet!$E$2:$E$3143),
Master_Mapping_Sheet!$H$2:$H$3143=Z$1,
Master_Mapping_Sheet!$B$2:$B$3143=$A7))/sum(filter(
Master_Mapping_Sheet!$E$2:$E$3143, ISNUMBER(
Master_Mapping_She"&amp;"et!$E$2:$E$3143),
Master_Mapping_Sheet!$H$2:$H$3143=Z$1))), 0, sum(filter(
Master_Mapping_Sheet!$E$2:$E$3143, ISNUMBER(
Master_Mapping_Sheet!$E$2:$E$3143),
Master_Mapping_Sheet!$H$2:$H$3143=Z$1,
Master_Mapping_Sheet!$B$2:$B$3143=$A7))/sum(filter(
Master_M"&amp;"apping_Sheet!$E$2:$E$3143, ISNUMBER(
Master_Mapping_Sheet!$E$2:$E$3143),
Master_Mapping_Sheet!$H$2:$H$3143=Z$1)))"),0.9246948288854941)</f>
        <v>0.9246948289</v>
      </c>
      <c r="AA7" s="34">
        <f>IFERROR(__xludf.DUMMYFUNCTION("IF(ISNA(sum(filter(
Master_Mapping_Sheet!$E$2:$E$3143, ISNUMBER(
Master_Mapping_Sheet!$E$2:$E$3143),
Master_Mapping_Sheet!$H$2:$H$3143=AA$1,
Master_Mapping_Sheet!$B$2:$B$3143=$A7))/sum(filter(
Master_Mapping_Sheet!$E$2:$E$3143, ISNUMBER(
Master_Mapping_Sh"&amp;"eet!$E$2:$E$3143),
Master_Mapping_Sheet!$H$2:$H$3143=AA$1))), 0, sum(filter(
Master_Mapping_Sheet!$E$2:$E$3143, ISNUMBER(
Master_Mapping_Sheet!$E$2:$E$3143),
Master_Mapping_Sheet!$H$2:$H$3143=AA$1,
Master_Mapping_Sheet!$B$2:$B$3143=$A7))/sum(filter(
Maste"&amp;"r_Mapping_Sheet!$E$2:$E$3143, ISNUMBER(
Master_Mapping_Sheet!$E$2:$E$3143),
Master_Mapping_Sheet!$H$2:$H$3143=AA$1)))"),0.0)</f>
        <v>0</v>
      </c>
    </row>
    <row r="8" ht="15.75" customHeight="1">
      <c r="A8" s="34" t="s">
        <v>395</v>
      </c>
      <c r="B8" s="34" t="s">
        <v>2250</v>
      </c>
      <c r="C8" s="34">
        <f>IFERROR(__xludf.DUMMYFUNCTION("IF(ISNA(sum(filter(
Master_Mapping_Sheet!$E$2:$E$3143, ISNUMBER(
Master_Mapping_Sheet!$E$2:$E$3143),
Master_Mapping_Sheet!$H$2:$H$3143=C$1,
Master_Mapping_Sheet!$B$2:$B$3143=$A8))/sum(filter(
Master_Mapping_Sheet!$E$2:$E$3143, ISNUMBER(
Master_Mapping_She"&amp;"et!$E$2:$E$3143),
Master_Mapping_Sheet!$H$2:$H$3143=C$1))), 0, sum(filter(
Master_Mapping_Sheet!$E$2:$E$3143, ISNUMBER(
Master_Mapping_Sheet!$E$2:$E$3143),
Master_Mapping_Sheet!$H$2:$H$3143=C$1,
Master_Mapping_Sheet!$B$2:$B$3143=$A8))/sum(filter(
Master_M"&amp;"apping_Sheet!$E$2:$E$3143, ISNUMBER(
Master_Mapping_Sheet!$E$2:$E$3143),
Master_Mapping_Sheet!$H$2:$H$3143=C$1)))"),0.0)</f>
        <v>0</v>
      </c>
      <c r="D8" s="34">
        <f>IFERROR(__xludf.DUMMYFUNCTION("IF(ISNA(sum(filter(
Master_Mapping_Sheet!$E$2:$E$3143, ISNUMBER(
Master_Mapping_Sheet!$E$2:$E$3143),
Master_Mapping_Sheet!$H$2:$H$3143=D$1,
Master_Mapping_Sheet!$B$2:$B$3143=$A8))/sum(filter(
Master_Mapping_Sheet!$E$2:$E$3143, ISNUMBER(
Master_Mapping_She"&amp;"et!$E$2:$E$3143),
Master_Mapping_Sheet!$H$2:$H$3143=D$1))), 0, sum(filter(
Master_Mapping_Sheet!$E$2:$E$3143, ISNUMBER(
Master_Mapping_Sheet!$E$2:$E$3143),
Master_Mapping_Sheet!$H$2:$H$3143=D$1,
Master_Mapping_Sheet!$B$2:$B$3143=$A8))/sum(filter(
Master_M"&amp;"apping_Sheet!$E$2:$E$3143, ISNUMBER(
Master_Mapping_Sheet!$E$2:$E$3143),
Master_Mapping_Sheet!$H$2:$H$3143=D$1)))"),0.0)</f>
        <v>0</v>
      </c>
      <c r="E8" s="32">
        <f>IFERROR(__xludf.DUMMYFUNCTION("IF(ISNA(sum(filter(
Master_Mapping_Sheet!$E$2:$E$3143, ISNUMBER(
Master_Mapping_Sheet!$E$2:$E$3143),
Master_Mapping_Sheet!$H$2:$H$3143=E$1,
Master_Mapping_Sheet!$B$2:$B$3143=$A8))/sum(filter(
Master_Mapping_Sheet!$E$2:$E$3143, ISNUMBER(
Master_Mapping_She"&amp;"et!$E$2:$E$3143),
Master_Mapping_Sheet!$H$2:$H$3143=E$1))), 0, sum(filter(
Master_Mapping_Sheet!$E$2:$E$3143, ISNUMBER(
Master_Mapping_Sheet!$E$2:$E$3143),
Master_Mapping_Sheet!$H$2:$H$3143=E$1,
Master_Mapping_Sheet!$B$2:$B$3143=$A8))/sum(filter(
Master_M"&amp;"apping_Sheet!$E$2:$E$3143, ISNUMBER(
Master_Mapping_Sheet!$E$2:$E$3143),
Master_Mapping_Sheet!$H$2:$H$3143=E$1)))"),0.0)</f>
        <v>0</v>
      </c>
      <c r="F8" s="34">
        <f>IFERROR(__xludf.DUMMYFUNCTION("IF(ISNA(sum(filter(
Master_Mapping_Sheet!$E$2:$E$3143, ISNUMBER(
Master_Mapping_Sheet!$E$2:$E$3143),
Master_Mapping_Sheet!$H$2:$H$3143=F$1,
Master_Mapping_Sheet!$B$2:$B$3143=$A8))/sum(filter(
Master_Mapping_Sheet!$E$2:$E$3143, ISNUMBER(
Master_Mapping_She"&amp;"et!$E$2:$E$3143),
Master_Mapping_Sheet!$H$2:$H$3143=F$1))), 0, sum(filter(
Master_Mapping_Sheet!$E$2:$E$3143, ISNUMBER(
Master_Mapping_Sheet!$E$2:$E$3143),
Master_Mapping_Sheet!$H$2:$H$3143=F$1,
Master_Mapping_Sheet!$B$2:$B$3143=$A8))/sum(filter(
Master_M"&amp;"apping_Sheet!$E$2:$E$3143, ISNUMBER(
Master_Mapping_Sheet!$E$2:$E$3143),
Master_Mapping_Sheet!$H$2:$H$3143=F$1)))"),0.0)</f>
        <v>0</v>
      </c>
      <c r="G8" s="34">
        <f>IFERROR(__xludf.DUMMYFUNCTION("IF(ISNA(sum(filter(
Master_Mapping_Sheet!$E$2:$E$3143, ISNUMBER(
Master_Mapping_Sheet!$E$2:$E$3143),
Master_Mapping_Sheet!$H$2:$H$3143=G$1,
Master_Mapping_Sheet!$B$2:$B$3143=$A8))/sum(filter(
Master_Mapping_Sheet!$E$2:$E$3143, ISNUMBER(
Master_Mapping_She"&amp;"et!$E$2:$E$3143),
Master_Mapping_Sheet!$H$2:$H$3143=G$1))), 0, sum(filter(
Master_Mapping_Sheet!$E$2:$E$3143, ISNUMBER(
Master_Mapping_Sheet!$E$2:$E$3143),
Master_Mapping_Sheet!$H$2:$H$3143=G$1,
Master_Mapping_Sheet!$B$2:$B$3143=$A8))/sum(filter(
Master_M"&amp;"apping_Sheet!$E$2:$E$3143, ISNUMBER(
Master_Mapping_Sheet!$E$2:$E$3143),
Master_Mapping_Sheet!$H$2:$H$3143=G$1)))"),0.0)</f>
        <v>0</v>
      </c>
      <c r="H8" s="34">
        <f>IFERROR(__xludf.DUMMYFUNCTION("IF(ISNA(sum(filter(
Master_Mapping_Sheet!$E$2:$E$3143, ISNUMBER(
Master_Mapping_Sheet!$E$2:$E$3143),
Master_Mapping_Sheet!$H$2:$H$3143=H$1,
Master_Mapping_Sheet!$B$2:$B$3143=$A8))/sum(filter(
Master_Mapping_Sheet!$E$2:$E$3143, ISNUMBER(
Master_Mapping_She"&amp;"et!$E$2:$E$3143),
Master_Mapping_Sheet!$H$2:$H$3143=H$1))), 0, sum(filter(
Master_Mapping_Sheet!$E$2:$E$3143, ISNUMBER(
Master_Mapping_Sheet!$E$2:$E$3143),
Master_Mapping_Sheet!$H$2:$H$3143=H$1,
Master_Mapping_Sheet!$B$2:$B$3143=$A8))/sum(filter(
Master_M"&amp;"apping_Sheet!$E$2:$E$3143, ISNUMBER(
Master_Mapping_Sheet!$E$2:$E$3143),
Master_Mapping_Sheet!$H$2:$H$3143=H$1)))"),0.0)</f>
        <v>0</v>
      </c>
      <c r="I8" s="34">
        <f>IFERROR(__xludf.DUMMYFUNCTION("IF(ISNA(sum(filter(
Master_Mapping_Sheet!$E$2:$E$3143, ISNUMBER(
Master_Mapping_Sheet!$E$2:$E$3143),
Master_Mapping_Sheet!$H$2:$H$3143=I$1,
Master_Mapping_Sheet!$B$2:$B$3143=$A8))/sum(filter(
Master_Mapping_Sheet!$E$2:$E$3143, ISNUMBER(
Master_Mapping_She"&amp;"et!$E$2:$E$3143),
Master_Mapping_Sheet!$H$2:$H$3143=I$1))), 0, sum(filter(
Master_Mapping_Sheet!$E$2:$E$3143, ISNUMBER(
Master_Mapping_Sheet!$E$2:$E$3143),
Master_Mapping_Sheet!$H$2:$H$3143=I$1,
Master_Mapping_Sheet!$B$2:$B$3143=$A8))/sum(filter(
Master_M"&amp;"apping_Sheet!$E$2:$E$3143, ISNUMBER(
Master_Mapping_Sheet!$E$2:$E$3143),
Master_Mapping_Sheet!$H$2:$H$3143=I$1)))"),0.23803896677865763)</f>
        <v>0.2380389668</v>
      </c>
      <c r="J8" s="34">
        <f>IFERROR(__xludf.DUMMYFUNCTION("IF(ISNA(sum(filter(
Master_Mapping_Sheet!$E$2:$E$3143, ISNUMBER(
Master_Mapping_Sheet!$E$2:$E$3143),
Master_Mapping_Sheet!$H$2:$H$3143=J$1,
Master_Mapping_Sheet!$B$2:$B$3143=$A8))/sum(filter(
Master_Mapping_Sheet!$E$2:$E$3143, ISNUMBER(
Master_Mapping_She"&amp;"et!$E$2:$E$3143),
Master_Mapping_Sheet!$H$2:$H$3143=J$1))), 0, sum(filter(
Master_Mapping_Sheet!$E$2:$E$3143, ISNUMBER(
Master_Mapping_Sheet!$E$2:$E$3143),
Master_Mapping_Sheet!$H$2:$H$3143=J$1,
Master_Mapping_Sheet!$B$2:$B$3143=$A8))/sum(filter(
Master_M"&amp;"apping_Sheet!$E$2:$E$3143, ISNUMBER(
Master_Mapping_Sheet!$E$2:$E$3143),
Master_Mapping_Sheet!$H$2:$H$3143=J$1)))"),0.0)</f>
        <v>0</v>
      </c>
      <c r="K8" s="34">
        <f>IFERROR(__xludf.DUMMYFUNCTION("IF(ISNA(sum(filter(
Master_Mapping_Sheet!$E$2:$E$3143, ISNUMBER(
Master_Mapping_Sheet!$E$2:$E$3143),
Master_Mapping_Sheet!$H$2:$H$3143=K$1,
Master_Mapping_Sheet!$B$2:$B$3143=$A8))/sum(filter(
Master_Mapping_Sheet!$E$2:$E$3143, ISNUMBER(
Master_Mapping_She"&amp;"et!$E$2:$E$3143),
Master_Mapping_Sheet!$H$2:$H$3143=K$1))), 0, sum(filter(
Master_Mapping_Sheet!$E$2:$E$3143, ISNUMBER(
Master_Mapping_Sheet!$E$2:$E$3143),
Master_Mapping_Sheet!$H$2:$H$3143=K$1,
Master_Mapping_Sheet!$B$2:$B$3143=$A8))/sum(filter(
Master_M"&amp;"apping_Sheet!$E$2:$E$3143, ISNUMBER(
Master_Mapping_Sheet!$E$2:$E$3143),
Master_Mapping_Sheet!$H$2:$H$3143=K$1)))"),0.0)</f>
        <v>0</v>
      </c>
      <c r="L8" s="34">
        <f>IFERROR(__xludf.DUMMYFUNCTION("IF(ISNA(sum(filter(
Master_Mapping_Sheet!$E$2:$E$3143, ISNUMBER(
Master_Mapping_Sheet!$E$2:$E$3143),
Master_Mapping_Sheet!$H$2:$H$3143=L$1,
Master_Mapping_Sheet!$B$2:$B$3143=$A8))/sum(filter(
Master_Mapping_Sheet!$E$2:$E$3143, ISNUMBER(
Master_Mapping_She"&amp;"et!$E$2:$E$3143),
Master_Mapping_Sheet!$H$2:$H$3143=L$1))), 0, sum(filter(
Master_Mapping_Sheet!$E$2:$E$3143, ISNUMBER(
Master_Mapping_Sheet!$E$2:$E$3143),
Master_Mapping_Sheet!$H$2:$H$3143=L$1,
Master_Mapping_Sheet!$B$2:$B$3143=$A8))/sum(filter(
Master_M"&amp;"apping_Sheet!$E$2:$E$3143, ISNUMBER(
Master_Mapping_Sheet!$E$2:$E$3143),
Master_Mapping_Sheet!$H$2:$H$3143=L$1)))"),0.0)</f>
        <v>0</v>
      </c>
      <c r="M8" s="34">
        <f>IFERROR(__xludf.DUMMYFUNCTION("IF(ISNA(sum(filter(
Master_Mapping_Sheet!$E$2:$E$3143, ISNUMBER(
Master_Mapping_Sheet!$E$2:$E$3143),
Master_Mapping_Sheet!$H$2:$H$3143=M$1,
Master_Mapping_Sheet!$B$2:$B$3143=$A8))/sum(filter(
Master_Mapping_Sheet!$E$2:$E$3143, ISNUMBER(
Master_Mapping_She"&amp;"et!$E$2:$E$3143),
Master_Mapping_Sheet!$H$2:$H$3143=M$1))), 0, sum(filter(
Master_Mapping_Sheet!$E$2:$E$3143, ISNUMBER(
Master_Mapping_Sheet!$E$2:$E$3143),
Master_Mapping_Sheet!$H$2:$H$3143=M$1,
Master_Mapping_Sheet!$B$2:$B$3143=$A8))/sum(filter(
Master_M"&amp;"apping_Sheet!$E$2:$E$3143, ISNUMBER(
Master_Mapping_Sheet!$E$2:$E$3143),
Master_Mapping_Sheet!$H$2:$H$3143=M$1)))"),0.0)</f>
        <v>0</v>
      </c>
      <c r="N8" s="34">
        <f>IFERROR(__xludf.DUMMYFUNCTION("IF(ISNA(sum(filter(
Master_Mapping_Sheet!$E$2:$E$3143, ISNUMBER(
Master_Mapping_Sheet!$E$2:$E$3143),
Master_Mapping_Sheet!$H$2:$H$3143=N$1,
Master_Mapping_Sheet!$B$2:$B$3143=$A8))/sum(filter(
Master_Mapping_Sheet!$E$2:$E$3143, ISNUMBER(
Master_Mapping_She"&amp;"et!$E$2:$E$3143),
Master_Mapping_Sheet!$H$2:$H$3143=N$1))), 0, sum(filter(
Master_Mapping_Sheet!$E$2:$E$3143, ISNUMBER(
Master_Mapping_Sheet!$E$2:$E$3143),
Master_Mapping_Sheet!$H$2:$H$3143=N$1,
Master_Mapping_Sheet!$B$2:$B$3143=$A8))/sum(filter(
Master_M"&amp;"apping_Sheet!$E$2:$E$3143, ISNUMBER(
Master_Mapping_Sheet!$E$2:$E$3143),
Master_Mapping_Sheet!$H$2:$H$3143=N$1)))"),0.0)</f>
        <v>0</v>
      </c>
      <c r="O8" s="34">
        <f>IFERROR(__xludf.DUMMYFUNCTION("IF(ISNA(sum(filter(
Master_Mapping_Sheet!$E$2:$E$3143, ISNUMBER(
Master_Mapping_Sheet!$E$2:$E$3143),
Master_Mapping_Sheet!$H$2:$H$3143=O$1,
Master_Mapping_Sheet!$B$2:$B$3143=$A8))/sum(filter(
Master_Mapping_Sheet!$E$2:$E$3143, ISNUMBER(
Master_Mapping_She"&amp;"et!$E$2:$E$3143),
Master_Mapping_Sheet!$H$2:$H$3143=O$1))), 0, sum(filter(
Master_Mapping_Sheet!$E$2:$E$3143, ISNUMBER(
Master_Mapping_Sheet!$E$2:$E$3143),
Master_Mapping_Sheet!$H$2:$H$3143=O$1,
Master_Mapping_Sheet!$B$2:$B$3143=$A8))/sum(filter(
Master_M"&amp;"apping_Sheet!$E$2:$E$3143, ISNUMBER(
Master_Mapping_Sheet!$E$2:$E$3143),
Master_Mapping_Sheet!$H$2:$H$3143=O$1)))"),0.0)</f>
        <v>0</v>
      </c>
      <c r="P8" s="34">
        <f>IFERROR(__xludf.DUMMYFUNCTION("IF(ISNA(sum(filter(
Master_Mapping_Sheet!$E$2:$E$3143, ISNUMBER(
Master_Mapping_Sheet!$E$2:$E$3143),
Master_Mapping_Sheet!$H$2:$H$3143=P$1,
Master_Mapping_Sheet!$B$2:$B$3143=$A8))/sum(filter(
Master_Mapping_Sheet!$E$2:$E$3143, ISNUMBER(
Master_Mapping_She"&amp;"et!$E$2:$E$3143),
Master_Mapping_Sheet!$H$2:$H$3143=P$1))), 0, sum(filter(
Master_Mapping_Sheet!$E$2:$E$3143, ISNUMBER(
Master_Mapping_Sheet!$E$2:$E$3143),
Master_Mapping_Sheet!$H$2:$H$3143=P$1,
Master_Mapping_Sheet!$B$2:$B$3143=$A8))/sum(filter(
Master_M"&amp;"apping_Sheet!$E$2:$E$3143, ISNUMBER(
Master_Mapping_Sheet!$E$2:$E$3143),
Master_Mapping_Sheet!$H$2:$H$3143=P$1)))"),0.0)</f>
        <v>0</v>
      </c>
      <c r="Q8" s="34">
        <f>IFERROR(__xludf.DUMMYFUNCTION("IF(ISNA(sum(filter(
Master_Mapping_Sheet!$E$2:$E$3143, ISNUMBER(
Master_Mapping_Sheet!$E$2:$E$3143),
Master_Mapping_Sheet!$H$2:$H$3143=Q$1,
Master_Mapping_Sheet!$B$2:$B$3143=$A8))/sum(filter(
Master_Mapping_Sheet!$E$2:$E$3143, ISNUMBER(
Master_Mapping_She"&amp;"et!$E$2:$E$3143),
Master_Mapping_Sheet!$H$2:$H$3143=Q$1))), 0, sum(filter(
Master_Mapping_Sheet!$E$2:$E$3143, ISNUMBER(
Master_Mapping_Sheet!$E$2:$E$3143),
Master_Mapping_Sheet!$H$2:$H$3143=Q$1,
Master_Mapping_Sheet!$B$2:$B$3143=$A8))/sum(filter(
Master_M"&amp;"apping_Sheet!$E$2:$E$3143, ISNUMBER(
Master_Mapping_Sheet!$E$2:$E$3143),
Master_Mapping_Sheet!$H$2:$H$3143=Q$1)))"),0.0)</f>
        <v>0</v>
      </c>
      <c r="R8" s="34">
        <f>IFERROR(__xludf.DUMMYFUNCTION("IF(ISNA(sum(filter(
Master_Mapping_Sheet!$E$2:$E$3143, ISNUMBER(
Master_Mapping_Sheet!$E$2:$E$3143),
Master_Mapping_Sheet!$H$2:$H$3143=R$1,
Master_Mapping_Sheet!$B$2:$B$3143=$A8))/sum(filter(
Master_Mapping_Sheet!$E$2:$E$3143, ISNUMBER(
Master_Mapping_She"&amp;"et!$E$2:$E$3143),
Master_Mapping_Sheet!$H$2:$H$3143=R$1))), 0, sum(filter(
Master_Mapping_Sheet!$E$2:$E$3143, ISNUMBER(
Master_Mapping_Sheet!$E$2:$E$3143),
Master_Mapping_Sheet!$H$2:$H$3143=R$1,
Master_Mapping_Sheet!$B$2:$B$3143=$A8))/sum(filter(
Master_M"&amp;"apping_Sheet!$E$2:$E$3143, ISNUMBER(
Master_Mapping_Sheet!$E$2:$E$3143),
Master_Mapping_Sheet!$H$2:$H$3143=R$1)))"),0.0)</f>
        <v>0</v>
      </c>
      <c r="S8" s="34">
        <f>IFERROR(__xludf.DUMMYFUNCTION("IF(ISNA(sum(filter(
Master_Mapping_Sheet!$E$2:$E$3143, ISNUMBER(
Master_Mapping_Sheet!$E$2:$E$3143),
Master_Mapping_Sheet!$H$2:$H$3143=S$1,
Master_Mapping_Sheet!$B$2:$B$3143=$A8))/sum(filter(
Master_Mapping_Sheet!$E$2:$E$3143, ISNUMBER(
Master_Mapping_She"&amp;"et!$E$2:$E$3143),
Master_Mapping_Sheet!$H$2:$H$3143=S$1))), 0, sum(filter(
Master_Mapping_Sheet!$E$2:$E$3143, ISNUMBER(
Master_Mapping_Sheet!$E$2:$E$3143),
Master_Mapping_Sheet!$H$2:$H$3143=S$1,
Master_Mapping_Sheet!$B$2:$B$3143=$A8))/sum(filter(
Master_M"&amp;"apping_Sheet!$E$2:$E$3143, ISNUMBER(
Master_Mapping_Sheet!$E$2:$E$3143),
Master_Mapping_Sheet!$H$2:$H$3143=S$1)))"),0.0)</f>
        <v>0</v>
      </c>
      <c r="T8" s="34">
        <f>IFERROR(__xludf.DUMMYFUNCTION("IF(ISNA(sum(filter(
Master_Mapping_Sheet!$E$2:$E$3143, ISNUMBER(
Master_Mapping_Sheet!$E$2:$E$3143),
Master_Mapping_Sheet!$H$2:$H$3143=T$1,
Master_Mapping_Sheet!$B$2:$B$3143=$A8))/sum(filter(
Master_Mapping_Sheet!$E$2:$E$3143, ISNUMBER(
Master_Mapping_She"&amp;"et!$E$2:$E$3143),
Master_Mapping_Sheet!$H$2:$H$3143=T$1))), 0, sum(filter(
Master_Mapping_Sheet!$E$2:$E$3143, ISNUMBER(
Master_Mapping_Sheet!$E$2:$E$3143),
Master_Mapping_Sheet!$H$2:$H$3143=T$1,
Master_Mapping_Sheet!$B$2:$B$3143=$A8))/sum(filter(
Master_M"&amp;"apping_Sheet!$E$2:$E$3143, ISNUMBER(
Master_Mapping_Sheet!$E$2:$E$3143),
Master_Mapping_Sheet!$H$2:$H$3143=T$1)))"),0.0)</f>
        <v>0</v>
      </c>
      <c r="U8" s="34">
        <f>IFERROR(__xludf.DUMMYFUNCTION("IF(ISNA(sum(filter(
Master_Mapping_Sheet!$E$2:$E$3143, ISNUMBER(
Master_Mapping_Sheet!$E$2:$E$3143),
Master_Mapping_Sheet!$H$2:$H$3143=U$1,
Master_Mapping_Sheet!$B$2:$B$3143=$A8))/sum(filter(
Master_Mapping_Sheet!$E$2:$E$3143, ISNUMBER(
Master_Mapping_She"&amp;"et!$E$2:$E$3143),
Master_Mapping_Sheet!$H$2:$H$3143=U$1))), 0, sum(filter(
Master_Mapping_Sheet!$E$2:$E$3143, ISNUMBER(
Master_Mapping_Sheet!$E$2:$E$3143),
Master_Mapping_Sheet!$H$2:$H$3143=U$1,
Master_Mapping_Sheet!$B$2:$B$3143=$A8))/sum(filter(
Master_M"&amp;"apping_Sheet!$E$2:$E$3143, ISNUMBER(
Master_Mapping_Sheet!$E$2:$E$3143),
Master_Mapping_Sheet!$H$2:$H$3143=U$1)))"),0.0)</f>
        <v>0</v>
      </c>
      <c r="V8" s="34">
        <f>IFERROR(__xludf.DUMMYFUNCTION("IF(ISNA(sum(filter(
Master_Mapping_Sheet!$E$2:$E$3143, ISNUMBER(
Master_Mapping_Sheet!$E$2:$E$3143),
Master_Mapping_Sheet!$H$2:$H$3143=V$1,
Master_Mapping_Sheet!$B$2:$B$3143=$A8))/sum(filter(
Master_Mapping_Sheet!$E$2:$E$3143, ISNUMBER(
Master_Mapping_She"&amp;"et!$E$2:$E$3143),
Master_Mapping_Sheet!$H$2:$H$3143=V$1))), 0, sum(filter(
Master_Mapping_Sheet!$E$2:$E$3143, ISNUMBER(
Master_Mapping_Sheet!$E$2:$E$3143),
Master_Mapping_Sheet!$H$2:$H$3143=V$1,
Master_Mapping_Sheet!$B$2:$B$3143=$A8))/sum(filter(
Master_M"&amp;"apping_Sheet!$E$2:$E$3143, ISNUMBER(
Master_Mapping_Sheet!$E$2:$E$3143),
Master_Mapping_Sheet!$H$2:$H$3143=V$1)))"),0.0)</f>
        <v>0</v>
      </c>
      <c r="W8" s="34">
        <f>IFERROR(__xludf.DUMMYFUNCTION("IF(ISNA(sum(filter(
Master_Mapping_Sheet!$E$2:$E$3143, ISNUMBER(
Master_Mapping_Sheet!$E$2:$E$3143),
Master_Mapping_Sheet!$H$2:$H$3143=W$1,
Master_Mapping_Sheet!$B$2:$B$3143=$A8))/sum(filter(
Master_Mapping_Sheet!$E$2:$E$3143, ISNUMBER(
Master_Mapping_She"&amp;"et!$E$2:$E$3143),
Master_Mapping_Sheet!$H$2:$H$3143=W$1))), 0, sum(filter(
Master_Mapping_Sheet!$E$2:$E$3143, ISNUMBER(
Master_Mapping_Sheet!$E$2:$E$3143),
Master_Mapping_Sheet!$H$2:$H$3143=W$1,
Master_Mapping_Sheet!$B$2:$B$3143=$A8))/sum(filter(
Master_M"&amp;"apping_Sheet!$E$2:$E$3143, ISNUMBER(
Master_Mapping_Sheet!$E$2:$E$3143),
Master_Mapping_Sheet!$H$2:$H$3143=W$1)))"),0.0)</f>
        <v>0</v>
      </c>
      <c r="X8" s="34">
        <f>IFERROR(__xludf.DUMMYFUNCTION("IF(ISNA(sum(filter(
Master_Mapping_Sheet!$E$2:$E$3143, ISNUMBER(
Master_Mapping_Sheet!$E$2:$E$3143),
Master_Mapping_Sheet!$H$2:$H$3143=X$1,
Master_Mapping_Sheet!$B$2:$B$3143=$A8))/sum(filter(
Master_Mapping_Sheet!$E$2:$E$3143, ISNUMBER(
Master_Mapping_She"&amp;"et!$E$2:$E$3143),
Master_Mapping_Sheet!$H$2:$H$3143=X$1))), 0, sum(filter(
Master_Mapping_Sheet!$E$2:$E$3143, ISNUMBER(
Master_Mapping_Sheet!$E$2:$E$3143),
Master_Mapping_Sheet!$H$2:$H$3143=X$1,
Master_Mapping_Sheet!$B$2:$B$3143=$A8))/sum(filter(
Master_M"&amp;"apping_Sheet!$E$2:$E$3143, ISNUMBER(
Master_Mapping_Sheet!$E$2:$E$3143),
Master_Mapping_Sheet!$H$2:$H$3143=X$1)))"),0.0)</f>
        <v>0</v>
      </c>
      <c r="Y8" s="34">
        <f>IFERROR(__xludf.DUMMYFUNCTION("IF(ISNA(sum(filter(
Master_Mapping_Sheet!$E$2:$E$3143, ISNUMBER(
Master_Mapping_Sheet!$E$2:$E$3143),
Master_Mapping_Sheet!$H$2:$H$3143=Y$1,
Master_Mapping_Sheet!$B$2:$B$3143=$A8))/sum(filter(
Master_Mapping_Sheet!$E$2:$E$3143, ISNUMBER(
Master_Mapping_She"&amp;"et!$E$2:$E$3143),
Master_Mapping_Sheet!$H$2:$H$3143=Y$1))), 0, sum(filter(
Master_Mapping_Sheet!$E$2:$E$3143, ISNUMBER(
Master_Mapping_Sheet!$E$2:$E$3143),
Master_Mapping_Sheet!$H$2:$H$3143=Y$1,
Master_Mapping_Sheet!$B$2:$B$3143=$A8))/sum(filter(
Master_M"&amp;"apping_Sheet!$E$2:$E$3143, ISNUMBER(
Master_Mapping_Sheet!$E$2:$E$3143),
Master_Mapping_Sheet!$H$2:$H$3143=Y$1)))"),0.0)</f>
        <v>0</v>
      </c>
      <c r="Z8" s="34">
        <f>IFERROR(__xludf.DUMMYFUNCTION("IF(ISNA(sum(filter(
Master_Mapping_Sheet!$E$2:$E$3143, ISNUMBER(
Master_Mapping_Sheet!$E$2:$E$3143),
Master_Mapping_Sheet!$H$2:$H$3143=Z$1,
Master_Mapping_Sheet!$B$2:$B$3143=$A8))/sum(filter(
Master_Mapping_Sheet!$E$2:$E$3143, ISNUMBER(
Master_Mapping_She"&amp;"et!$E$2:$E$3143),
Master_Mapping_Sheet!$H$2:$H$3143=Z$1))), 0, sum(filter(
Master_Mapping_Sheet!$E$2:$E$3143, ISNUMBER(
Master_Mapping_Sheet!$E$2:$E$3143),
Master_Mapping_Sheet!$H$2:$H$3143=Z$1,
Master_Mapping_Sheet!$B$2:$B$3143=$A8))/sum(filter(
Master_M"&amp;"apping_Sheet!$E$2:$E$3143, ISNUMBER(
Master_Mapping_Sheet!$E$2:$E$3143),
Master_Mapping_Sheet!$H$2:$H$3143=Z$1)))"),0.0)</f>
        <v>0</v>
      </c>
      <c r="AA8" s="34">
        <f>IFERROR(__xludf.DUMMYFUNCTION("IF(ISNA(sum(filter(
Master_Mapping_Sheet!$E$2:$E$3143, ISNUMBER(
Master_Mapping_Sheet!$E$2:$E$3143),
Master_Mapping_Sheet!$H$2:$H$3143=AA$1,
Master_Mapping_Sheet!$B$2:$B$3143=$A8))/sum(filter(
Master_Mapping_Sheet!$E$2:$E$3143, ISNUMBER(
Master_Mapping_Sh"&amp;"eet!$E$2:$E$3143),
Master_Mapping_Sheet!$H$2:$H$3143=AA$1))), 0, sum(filter(
Master_Mapping_Sheet!$E$2:$E$3143, ISNUMBER(
Master_Mapping_Sheet!$E$2:$E$3143),
Master_Mapping_Sheet!$H$2:$H$3143=AA$1,
Master_Mapping_Sheet!$B$2:$B$3143=$A8))/sum(filter(
Maste"&amp;"r_Mapping_Sheet!$E$2:$E$3143, ISNUMBER(
Master_Mapping_Sheet!$E$2:$E$3143),
Master_Mapping_Sheet!$H$2:$H$3143=AA$1)))"),0.0)</f>
        <v>0</v>
      </c>
    </row>
    <row r="9" ht="15.75" customHeight="1">
      <c r="A9" s="34" t="s">
        <v>405</v>
      </c>
      <c r="B9" s="34" t="s">
        <v>2259</v>
      </c>
      <c r="C9" s="34">
        <f>IFERROR(__xludf.DUMMYFUNCTION("IF(ISNA(sum(filter(
Master_Mapping_Sheet!$E$2:$E$3143, ISNUMBER(
Master_Mapping_Sheet!$E$2:$E$3143),
Master_Mapping_Sheet!$H$2:$H$3143=C$1,
Master_Mapping_Sheet!$B$2:$B$3143=$A9))/sum(filter(
Master_Mapping_Sheet!$E$2:$E$3143, ISNUMBER(
Master_Mapping_She"&amp;"et!$E$2:$E$3143),
Master_Mapping_Sheet!$H$2:$H$3143=C$1))), 0, sum(filter(
Master_Mapping_Sheet!$E$2:$E$3143, ISNUMBER(
Master_Mapping_Sheet!$E$2:$E$3143),
Master_Mapping_Sheet!$H$2:$H$3143=C$1,
Master_Mapping_Sheet!$B$2:$B$3143=$A9))/sum(filter(
Master_M"&amp;"apping_Sheet!$E$2:$E$3143, ISNUMBER(
Master_Mapping_Sheet!$E$2:$E$3143),
Master_Mapping_Sheet!$H$2:$H$3143=C$1)))"),0.0)</f>
        <v>0</v>
      </c>
      <c r="D9" s="34">
        <f>IFERROR(__xludf.DUMMYFUNCTION("IF(ISNA(sum(filter(
Master_Mapping_Sheet!$E$2:$E$3143, ISNUMBER(
Master_Mapping_Sheet!$E$2:$E$3143),
Master_Mapping_Sheet!$H$2:$H$3143=D$1,
Master_Mapping_Sheet!$B$2:$B$3143=$A9))/sum(filter(
Master_Mapping_Sheet!$E$2:$E$3143, ISNUMBER(
Master_Mapping_She"&amp;"et!$E$2:$E$3143),
Master_Mapping_Sheet!$H$2:$H$3143=D$1))), 0, sum(filter(
Master_Mapping_Sheet!$E$2:$E$3143, ISNUMBER(
Master_Mapping_Sheet!$E$2:$E$3143),
Master_Mapping_Sheet!$H$2:$H$3143=D$1,
Master_Mapping_Sheet!$B$2:$B$3143=$A9))/sum(filter(
Master_M"&amp;"apping_Sheet!$E$2:$E$3143, ISNUMBER(
Master_Mapping_Sheet!$E$2:$E$3143),
Master_Mapping_Sheet!$H$2:$H$3143=D$1)))"),0.0)</f>
        <v>0</v>
      </c>
      <c r="E9" s="32">
        <f>IFERROR(__xludf.DUMMYFUNCTION("IF(ISNA(sum(filter(
Master_Mapping_Sheet!$E$2:$E$3143, ISNUMBER(
Master_Mapping_Sheet!$E$2:$E$3143),
Master_Mapping_Sheet!$H$2:$H$3143=E$1,
Master_Mapping_Sheet!$B$2:$B$3143=$A9))/sum(filter(
Master_Mapping_Sheet!$E$2:$E$3143, ISNUMBER(
Master_Mapping_She"&amp;"et!$E$2:$E$3143),
Master_Mapping_Sheet!$H$2:$H$3143=E$1))), 0, sum(filter(
Master_Mapping_Sheet!$E$2:$E$3143, ISNUMBER(
Master_Mapping_Sheet!$E$2:$E$3143),
Master_Mapping_Sheet!$H$2:$H$3143=E$1,
Master_Mapping_Sheet!$B$2:$B$3143=$A9))/sum(filter(
Master_M"&amp;"apping_Sheet!$E$2:$E$3143, ISNUMBER(
Master_Mapping_Sheet!$E$2:$E$3143),
Master_Mapping_Sheet!$H$2:$H$3143=E$1)))"),0.0)</f>
        <v>0</v>
      </c>
      <c r="F9" s="34">
        <f>IFERROR(__xludf.DUMMYFUNCTION("IF(ISNA(sum(filter(
Master_Mapping_Sheet!$E$2:$E$3143, ISNUMBER(
Master_Mapping_Sheet!$E$2:$E$3143),
Master_Mapping_Sheet!$H$2:$H$3143=F$1,
Master_Mapping_Sheet!$B$2:$B$3143=$A9))/sum(filter(
Master_Mapping_Sheet!$E$2:$E$3143, ISNUMBER(
Master_Mapping_She"&amp;"et!$E$2:$E$3143),
Master_Mapping_Sheet!$H$2:$H$3143=F$1))), 0, sum(filter(
Master_Mapping_Sheet!$E$2:$E$3143, ISNUMBER(
Master_Mapping_Sheet!$E$2:$E$3143),
Master_Mapping_Sheet!$H$2:$H$3143=F$1,
Master_Mapping_Sheet!$B$2:$B$3143=$A9))/sum(filter(
Master_M"&amp;"apping_Sheet!$E$2:$E$3143, ISNUMBER(
Master_Mapping_Sheet!$E$2:$E$3143),
Master_Mapping_Sheet!$H$2:$H$3143=F$1)))"),0.0)</f>
        <v>0</v>
      </c>
      <c r="G9" s="34">
        <f>IFERROR(__xludf.DUMMYFUNCTION("IF(ISNA(sum(filter(
Master_Mapping_Sheet!$E$2:$E$3143, ISNUMBER(
Master_Mapping_Sheet!$E$2:$E$3143),
Master_Mapping_Sheet!$H$2:$H$3143=G$1,
Master_Mapping_Sheet!$B$2:$B$3143=$A9))/sum(filter(
Master_Mapping_Sheet!$E$2:$E$3143, ISNUMBER(
Master_Mapping_She"&amp;"et!$E$2:$E$3143),
Master_Mapping_Sheet!$H$2:$H$3143=G$1))), 0, sum(filter(
Master_Mapping_Sheet!$E$2:$E$3143, ISNUMBER(
Master_Mapping_Sheet!$E$2:$E$3143),
Master_Mapping_Sheet!$H$2:$H$3143=G$1,
Master_Mapping_Sheet!$B$2:$B$3143=$A9))/sum(filter(
Master_M"&amp;"apping_Sheet!$E$2:$E$3143, ISNUMBER(
Master_Mapping_Sheet!$E$2:$E$3143),
Master_Mapping_Sheet!$H$2:$H$3143=G$1)))"),0.0)</f>
        <v>0</v>
      </c>
      <c r="H9" s="34">
        <f>IFERROR(__xludf.DUMMYFUNCTION("IF(ISNA(sum(filter(
Master_Mapping_Sheet!$E$2:$E$3143, ISNUMBER(
Master_Mapping_Sheet!$E$2:$E$3143),
Master_Mapping_Sheet!$H$2:$H$3143=H$1,
Master_Mapping_Sheet!$B$2:$B$3143=$A9))/sum(filter(
Master_Mapping_Sheet!$E$2:$E$3143, ISNUMBER(
Master_Mapping_She"&amp;"et!$E$2:$E$3143),
Master_Mapping_Sheet!$H$2:$H$3143=H$1))), 0, sum(filter(
Master_Mapping_Sheet!$E$2:$E$3143, ISNUMBER(
Master_Mapping_Sheet!$E$2:$E$3143),
Master_Mapping_Sheet!$H$2:$H$3143=H$1,
Master_Mapping_Sheet!$B$2:$B$3143=$A9))/sum(filter(
Master_M"&amp;"apping_Sheet!$E$2:$E$3143, ISNUMBER(
Master_Mapping_Sheet!$E$2:$E$3143),
Master_Mapping_Sheet!$H$2:$H$3143=H$1)))"),0.0)</f>
        <v>0</v>
      </c>
      <c r="I9" s="34">
        <f>IFERROR(__xludf.DUMMYFUNCTION("IF(ISNA(sum(filter(
Master_Mapping_Sheet!$E$2:$E$3143, ISNUMBER(
Master_Mapping_Sheet!$E$2:$E$3143),
Master_Mapping_Sheet!$H$2:$H$3143=I$1,
Master_Mapping_Sheet!$B$2:$B$3143=$A9))/sum(filter(
Master_Mapping_Sheet!$E$2:$E$3143, ISNUMBER(
Master_Mapping_She"&amp;"et!$E$2:$E$3143),
Master_Mapping_Sheet!$H$2:$H$3143=I$1))), 0, sum(filter(
Master_Mapping_Sheet!$E$2:$E$3143, ISNUMBER(
Master_Mapping_Sheet!$E$2:$E$3143),
Master_Mapping_Sheet!$H$2:$H$3143=I$1,
Master_Mapping_Sheet!$B$2:$B$3143=$A9))/sum(filter(
Master_M"&amp;"apping_Sheet!$E$2:$E$3143, ISNUMBER(
Master_Mapping_Sheet!$E$2:$E$3143),
Master_Mapping_Sheet!$H$2:$H$3143=I$1)))"),0.0)</f>
        <v>0</v>
      </c>
      <c r="J9" s="34">
        <f>IFERROR(__xludf.DUMMYFUNCTION("IF(ISNA(sum(filter(
Master_Mapping_Sheet!$E$2:$E$3143, ISNUMBER(
Master_Mapping_Sheet!$E$2:$E$3143),
Master_Mapping_Sheet!$H$2:$H$3143=J$1,
Master_Mapping_Sheet!$B$2:$B$3143=$A9))/sum(filter(
Master_Mapping_Sheet!$E$2:$E$3143, ISNUMBER(
Master_Mapping_She"&amp;"et!$E$2:$E$3143),
Master_Mapping_Sheet!$H$2:$H$3143=J$1))), 0, sum(filter(
Master_Mapping_Sheet!$E$2:$E$3143, ISNUMBER(
Master_Mapping_Sheet!$E$2:$E$3143),
Master_Mapping_Sheet!$H$2:$H$3143=J$1,
Master_Mapping_Sheet!$B$2:$B$3143=$A9))/sum(filter(
Master_M"&amp;"apping_Sheet!$E$2:$E$3143, ISNUMBER(
Master_Mapping_Sheet!$E$2:$E$3143),
Master_Mapping_Sheet!$H$2:$H$3143=J$1)))"),0.0)</f>
        <v>0</v>
      </c>
      <c r="K9" s="34">
        <f>IFERROR(__xludf.DUMMYFUNCTION("IF(ISNA(sum(filter(
Master_Mapping_Sheet!$E$2:$E$3143, ISNUMBER(
Master_Mapping_Sheet!$E$2:$E$3143),
Master_Mapping_Sheet!$H$2:$H$3143=K$1,
Master_Mapping_Sheet!$B$2:$B$3143=$A9))/sum(filter(
Master_Mapping_Sheet!$E$2:$E$3143, ISNUMBER(
Master_Mapping_She"&amp;"et!$E$2:$E$3143),
Master_Mapping_Sheet!$H$2:$H$3143=K$1))), 0, sum(filter(
Master_Mapping_Sheet!$E$2:$E$3143, ISNUMBER(
Master_Mapping_Sheet!$E$2:$E$3143),
Master_Mapping_Sheet!$H$2:$H$3143=K$1,
Master_Mapping_Sheet!$B$2:$B$3143=$A9))/sum(filter(
Master_M"&amp;"apping_Sheet!$E$2:$E$3143, ISNUMBER(
Master_Mapping_Sheet!$E$2:$E$3143),
Master_Mapping_Sheet!$H$2:$H$3143=K$1)))"),0.0)</f>
        <v>0</v>
      </c>
      <c r="L9" s="34">
        <f>IFERROR(__xludf.DUMMYFUNCTION("IF(ISNA(sum(filter(
Master_Mapping_Sheet!$E$2:$E$3143, ISNUMBER(
Master_Mapping_Sheet!$E$2:$E$3143),
Master_Mapping_Sheet!$H$2:$H$3143=L$1,
Master_Mapping_Sheet!$B$2:$B$3143=$A9))/sum(filter(
Master_Mapping_Sheet!$E$2:$E$3143, ISNUMBER(
Master_Mapping_She"&amp;"et!$E$2:$E$3143),
Master_Mapping_Sheet!$H$2:$H$3143=L$1))), 0, sum(filter(
Master_Mapping_Sheet!$E$2:$E$3143, ISNUMBER(
Master_Mapping_Sheet!$E$2:$E$3143),
Master_Mapping_Sheet!$H$2:$H$3143=L$1,
Master_Mapping_Sheet!$B$2:$B$3143=$A9))/sum(filter(
Master_M"&amp;"apping_Sheet!$E$2:$E$3143, ISNUMBER(
Master_Mapping_Sheet!$E$2:$E$3143),
Master_Mapping_Sheet!$H$2:$H$3143=L$1)))"),0.0402893442495257)</f>
        <v>0.04028934425</v>
      </c>
      <c r="M9" s="34">
        <f>IFERROR(__xludf.DUMMYFUNCTION("IF(ISNA(sum(filter(
Master_Mapping_Sheet!$E$2:$E$3143, ISNUMBER(
Master_Mapping_Sheet!$E$2:$E$3143),
Master_Mapping_Sheet!$H$2:$H$3143=M$1,
Master_Mapping_Sheet!$B$2:$B$3143=$A9))/sum(filter(
Master_Mapping_Sheet!$E$2:$E$3143, ISNUMBER(
Master_Mapping_She"&amp;"et!$E$2:$E$3143),
Master_Mapping_Sheet!$H$2:$H$3143=M$1))), 0, sum(filter(
Master_Mapping_Sheet!$E$2:$E$3143, ISNUMBER(
Master_Mapping_Sheet!$E$2:$E$3143),
Master_Mapping_Sheet!$H$2:$H$3143=M$1,
Master_Mapping_Sheet!$B$2:$B$3143=$A9))/sum(filter(
Master_M"&amp;"apping_Sheet!$E$2:$E$3143, ISNUMBER(
Master_Mapping_Sheet!$E$2:$E$3143),
Master_Mapping_Sheet!$H$2:$H$3143=M$1)))"),0.0)</f>
        <v>0</v>
      </c>
      <c r="N9" s="34">
        <f>IFERROR(__xludf.DUMMYFUNCTION("IF(ISNA(sum(filter(
Master_Mapping_Sheet!$E$2:$E$3143, ISNUMBER(
Master_Mapping_Sheet!$E$2:$E$3143),
Master_Mapping_Sheet!$H$2:$H$3143=N$1,
Master_Mapping_Sheet!$B$2:$B$3143=$A9))/sum(filter(
Master_Mapping_Sheet!$E$2:$E$3143, ISNUMBER(
Master_Mapping_She"&amp;"et!$E$2:$E$3143),
Master_Mapping_Sheet!$H$2:$H$3143=N$1))), 0, sum(filter(
Master_Mapping_Sheet!$E$2:$E$3143, ISNUMBER(
Master_Mapping_Sheet!$E$2:$E$3143),
Master_Mapping_Sheet!$H$2:$H$3143=N$1,
Master_Mapping_Sheet!$B$2:$B$3143=$A9))/sum(filter(
Master_M"&amp;"apping_Sheet!$E$2:$E$3143, ISNUMBER(
Master_Mapping_Sheet!$E$2:$E$3143),
Master_Mapping_Sheet!$H$2:$H$3143=N$1)))"),0.0)</f>
        <v>0</v>
      </c>
      <c r="O9" s="34">
        <f>IFERROR(__xludf.DUMMYFUNCTION("IF(ISNA(sum(filter(
Master_Mapping_Sheet!$E$2:$E$3143, ISNUMBER(
Master_Mapping_Sheet!$E$2:$E$3143),
Master_Mapping_Sheet!$H$2:$H$3143=O$1,
Master_Mapping_Sheet!$B$2:$B$3143=$A9))/sum(filter(
Master_Mapping_Sheet!$E$2:$E$3143, ISNUMBER(
Master_Mapping_She"&amp;"et!$E$2:$E$3143),
Master_Mapping_Sheet!$H$2:$H$3143=O$1))), 0, sum(filter(
Master_Mapping_Sheet!$E$2:$E$3143, ISNUMBER(
Master_Mapping_Sheet!$E$2:$E$3143),
Master_Mapping_Sheet!$H$2:$H$3143=O$1,
Master_Mapping_Sheet!$B$2:$B$3143=$A9))/sum(filter(
Master_M"&amp;"apping_Sheet!$E$2:$E$3143, ISNUMBER(
Master_Mapping_Sheet!$E$2:$E$3143),
Master_Mapping_Sheet!$H$2:$H$3143=O$1)))"),0.0)</f>
        <v>0</v>
      </c>
      <c r="P9" s="34">
        <f>IFERROR(__xludf.DUMMYFUNCTION("IF(ISNA(sum(filter(
Master_Mapping_Sheet!$E$2:$E$3143, ISNUMBER(
Master_Mapping_Sheet!$E$2:$E$3143),
Master_Mapping_Sheet!$H$2:$H$3143=P$1,
Master_Mapping_Sheet!$B$2:$B$3143=$A9))/sum(filter(
Master_Mapping_Sheet!$E$2:$E$3143, ISNUMBER(
Master_Mapping_She"&amp;"et!$E$2:$E$3143),
Master_Mapping_Sheet!$H$2:$H$3143=P$1))), 0, sum(filter(
Master_Mapping_Sheet!$E$2:$E$3143, ISNUMBER(
Master_Mapping_Sheet!$E$2:$E$3143),
Master_Mapping_Sheet!$H$2:$H$3143=P$1,
Master_Mapping_Sheet!$B$2:$B$3143=$A9))/sum(filter(
Master_M"&amp;"apping_Sheet!$E$2:$E$3143, ISNUMBER(
Master_Mapping_Sheet!$E$2:$E$3143),
Master_Mapping_Sheet!$H$2:$H$3143=P$1)))"),0.0)</f>
        <v>0</v>
      </c>
      <c r="Q9" s="34">
        <f>IFERROR(__xludf.DUMMYFUNCTION("IF(ISNA(sum(filter(
Master_Mapping_Sheet!$E$2:$E$3143, ISNUMBER(
Master_Mapping_Sheet!$E$2:$E$3143),
Master_Mapping_Sheet!$H$2:$H$3143=Q$1,
Master_Mapping_Sheet!$B$2:$B$3143=$A9))/sum(filter(
Master_Mapping_Sheet!$E$2:$E$3143, ISNUMBER(
Master_Mapping_She"&amp;"et!$E$2:$E$3143),
Master_Mapping_Sheet!$H$2:$H$3143=Q$1))), 0, sum(filter(
Master_Mapping_Sheet!$E$2:$E$3143, ISNUMBER(
Master_Mapping_Sheet!$E$2:$E$3143),
Master_Mapping_Sheet!$H$2:$H$3143=Q$1,
Master_Mapping_Sheet!$B$2:$B$3143=$A9))/sum(filter(
Master_M"&amp;"apping_Sheet!$E$2:$E$3143, ISNUMBER(
Master_Mapping_Sheet!$E$2:$E$3143),
Master_Mapping_Sheet!$H$2:$H$3143=Q$1)))"),0.0)</f>
        <v>0</v>
      </c>
      <c r="R9" s="34">
        <f>IFERROR(__xludf.DUMMYFUNCTION("IF(ISNA(sum(filter(
Master_Mapping_Sheet!$E$2:$E$3143, ISNUMBER(
Master_Mapping_Sheet!$E$2:$E$3143),
Master_Mapping_Sheet!$H$2:$H$3143=R$1,
Master_Mapping_Sheet!$B$2:$B$3143=$A9))/sum(filter(
Master_Mapping_Sheet!$E$2:$E$3143, ISNUMBER(
Master_Mapping_She"&amp;"et!$E$2:$E$3143),
Master_Mapping_Sheet!$H$2:$H$3143=R$1))), 0, sum(filter(
Master_Mapping_Sheet!$E$2:$E$3143, ISNUMBER(
Master_Mapping_Sheet!$E$2:$E$3143),
Master_Mapping_Sheet!$H$2:$H$3143=R$1,
Master_Mapping_Sheet!$B$2:$B$3143=$A9))/sum(filter(
Master_M"&amp;"apping_Sheet!$E$2:$E$3143, ISNUMBER(
Master_Mapping_Sheet!$E$2:$E$3143),
Master_Mapping_Sheet!$H$2:$H$3143=R$1)))"),0.0)</f>
        <v>0</v>
      </c>
      <c r="S9" s="34">
        <f>IFERROR(__xludf.DUMMYFUNCTION("IF(ISNA(sum(filter(
Master_Mapping_Sheet!$E$2:$E$3143, ISNUMBER(
Master_Mapping_Sheet!$E$2:$E$3143),
Master_Mapping_Sheet!$H$2:$H$3143=S$1,
Master_Mapping_Sheet!$B$2:$B$3143=$A9))/sum(filter(
Master_Mapping_Sheet!$E$2:$E$3143, ISNUMBER(
Master_Mapping_She"&amp;"et!$E$2:$E$3143),
Master_Mapping_Sheet!$H$2:$H$3143=S$1))), 0, sum(filter(
Master_Mapping_Sheet!$E$2:$E$3143, ISNUMBER(
Master_Mapping_Sheet!$E$2:$E$3143),
Master_Mapping_Sheet!$H$2:$H$3143=S$1,
Master_Mapping_Sheet!$B$2:$B$3143=$A9))/sum(filter(
Master_M"&amp;"apping_Sheet!$E$2:$E$3143, ISNUMBER(
Master_Mapping_Sheet!$E$2:$E$3143),
Master_Mapping_Sheet!$H$2:$H$3143=S$1)))"),0.0)</f>
        <v>0</v>
      </c>
      <c r="T9" s="34">
        <f>IFERROR(__xludf.DUMMYFUNCTION("IF(ISNA(sum(filter(
Master_Mapping_Sheet!$E$2:$E$3143, ISNUMBER(
Master_Mapping_Sheet!$E$2:$E$3143),
Master_Mapping_Sheet!$H$2:$H$3143=T$1,
Master_Mapping_Sheet!$B$2:$B$3143=$A9))/sum(filter(
Master_Mapping_Sheet!$E$2:$E$3143, ISNUMBER(
Master_Mapping_She"&amp;"et!$E$2:$E$3143),
Master_Mapping_Sheet!$H$2:$H$3143=T$1))), 0, sum(filter(
Master_Mapping_Sheet!$E$2:$E$3143, ISNUMBER(
Master_Mapping_Sheet!$E$2:$E$3143),
Master_Mapping_Sheet!$H$2:$H$3143=T$1,
Master_Mapping_Sheet!$B$2:$B$3143=$A9))/sum(filter(
Master_M"&amp;"apping_Sheet!$E$2:$E$3143, ISNUMBER(
Master_Mapping_Sheet!$E$2:$E$3143),
Master_Mapping_Sheet!$H$2:$H$3143=T$1)))"),0.0)</f>
        <v>0</v>
      </c>
      <c r="U9" s="34">
        <f>IFERROR(__xludf.DUMMYFUNCTION("IF(ISNA(sum(filter(
Master_Mapping_Sheet!$E$2:$E$3143, ISNUMBER(
Master_Mapping_Sheet!$E$2:$E$3143),
Master_Mapping_Sheet!$H$2:$H$3143=U$1,
Master_Mapping_Sheet!$B$2:$B$3143=$A9))/sum(filter(
Master_Mapping_Sheet!$E$2:$E$3143, ISNUMBER(
Master_Mapping_She"&amp;"et!$E$2:$E$3143),
Master_Mapping_Sheet!$H$2:$H$3143=U$1))), 0, sum(filter(
Master_Mapping_Sheet!$E$2:$E$3143, ISNUMBER(
Master_Mapping_Sheet!$E$2:$E$3143),
Master_Mapping_Sheet!$H$2:$H$3143=U$1,
Master_Mapping_Sheet!$B$2:$B$3143=$A9))/sum(filter(
Master_M"&amp;"apping_Sheet!$E$2:$E$3143, ISNUMBER(
Master_Mapping_Sheet!$E$2:$E$3143),
Master_Mapping_Sheet!$H$2:$H$3143=U$1)))"),0.0)</f>
        <v>0</v>
      </c>
      <c r="V9" s="34">
        <f>IFERROR(__xludf.DUMMYFUNCTION("IF(ISNA(sum(filter(
Master_Mapping_Sheet!$E$2:$E$3143, ISNUMBER(
Master_Mapping_Sheet!$E$2:$E$3143),
Master_Mapping_Sheet!$H$2:$H$3143=V$1,
Master_Mapping_Sheet!$B$2:$B$3143=$A9))/sum(filter(
Master_Mapping_Sheet!$E$2:$E$3143, ISNUMBER(
Master_Mapping_She"&amp;"et!$E$2:$E$3143),
Master_Mapping_Sheet!$H$2:$H$3143=V$1))), 0, sum(filter(
Master_Mapping_Sheet!$E$2:$E$3143, ISNUMBER(
Master_Mapping_Sheet!$E$2:$E$3143),
Master_Mapping_Sheet!$H$2:$H$3143=V$1,
Master_Mapping_Sheet!$B$2:$B$3143=$A9))/sum(filter(
Master_M"&amp;"apping_Sheet!$E$2:$E$3143, ISNUMBER(
Master_Mapping_Sheet!$E$2:$E$3143),
Master_Mapping_Sheet!$H$2:$H$3143=V$1)))"),0.0)</f>
        <v>0</v>
      </c>
      <c r="W9" s="34">
        <f>IFERROR(__xludf.DUMMYFUNCTION("IF(ISNA(sum(filter(
Master_Mapping_Sheet!$E$2:$E$3143, ISNUMBER(
Master_Mapping_Sheet!$E$2:$E$3143),
Master_Mapping_Sheet!$H$2:$H$3143=W$1,
Master_Mapping_Sheet!$B$2:$B$3143=$A9))/sum(filter(
Master_Mapping_Sheet!$E$2:$E$3143, ISNUMBER(
Master_Mapping_She"&amp;"et!$E$2:$E$3143),
Master_Mapping_Sheet!$H$2:$H$3143=W$1))), 0, sum(filter(
Master_Mapping_Sheet!$E$2:$E$3143, ISNUMBER(
Master_Mapping_Sheet!$E$2:$E$3143),
Master_Mapping_Sheet!$H$2:$H$3143=W$1,
Master_Mapping_Sheet!$B$2:$B$3143=$A9))/sum(filter(
Master_M"&amp;"apping_Sheet!$E$2:$E$3143, ISNUMBER(
Master_Mapping_Sheet!$E$2:$E$3143),
Master_Mapping_Sheet!$H$2:$H$3143=W$1)))"),0.0)</f>
        <v>0</v>
      </c>
      <c r="X9" s="34">
        <f>IFERROR(__xludf.DUMMYFUNCTION("IF(ISNA(sum(filter(
Master_Mapping_Sheet!$E$2:$E$3143, ISNUMBER(
Master_Mapping_Sheet!$E$2:$E$3143),
Master_Mapping_Sheet!$H$2:$H$3143=X$1,
Master_Mapping_Sheet!$B$2:$B$3143=$A9))/sum(filter(
Master_Mapping_Sheet!$E$2:$E$3143, ISNUMBER(
Master_Mapping_She"&amp;"et!$E$2:$E$3143),
Master_Mapping_Sheet!$H$2:$H$3143=X$1))), 0, sum(filter(
Master_Mapping_Sheet!$E$2:$E$3143, ISNUMBER(
Master_Mapping_Sheet!$E$2:$E$3143),
Master_Mapping_Sheet!$H$2:$H$3143=X$1,
Master_Mapping_Sheet!$B$2:$B$3143=$A9))/sum(filter(
Master_M"&amp;"apping_Sheet!$E$2:$E$3143, ISNUMBER(
Master_Mapping_Sheet!$E$2:$E$3143),
Master_Mapping_Sheet!$H$2:$H$3143=X$1)))"),0.0)</f>
        <v>0</v>
      </c>
      <c r="Y9" s="34">
        <f>IFERROR(__xludf.DUMMYFUNCTION("IF(ISNA(sum(filter(
Master_Mapping_Sheet!$E$2:$E$3143, ISNUMBER(
Master_Mapping_Sheet!$E$2:$E$3143),
Master_Mapping_Sheet!$H$2:$H$3143=Y$1,
Master_Mapping_Sheet!$B$2:$B$3143=$A9))/sum(filter(
Master_Mapping_Sheet!$E$2:$E$3143, ISNUMBER(
Master_Mapping_She"&amp;"et!$E$2:$E$3143),
Master_Mapping_Sheet!$H$2:$H$3143=Y$1))), 0, sum(filter(
Master_Mapping_Sheet!$E$2:$E$3143, ISNUMBER(
Master_Mapping_Sheet!$E$2:$E$3143),
Master_Mapping_Sheet!$H$2:$H$3143=Y$1,
Master_Mapping_Sheet!$B$2:$B$3143=$A9))/sum(filter(
Master_M"&amp;"apping_Sheet!$E$2:$E$3143, ISNUMBER(
Master_Mapping_Sheet!$E$2:$E$3143),
Master_Mapping_Sheet!$H$2:$H$3143=Y$1)))"),0.0)</f>
        <v>0</v>
      </c>
      <c r="Z9" s="34">
        <f>IFERROR(__xludf.DUMMYFUNCTION("IF(ISNA(sum(filter(
Master_Mapping_Sheet!$E$2:$E$3143, ISNUMBER(
Master_Mapping_Sheet!$E$2:$E$3143),
Master_Mapping_Sheet!$H$2:$H$3143=Z$1,
Master_Mapping_Sheet!$B$2:$B$3143=$A9))/sum(filter(
Master_Mapping_Sheet!$E$2:$E$3143, ISNUMBER(
Master_Mapping_She"&amp;"et!$E$2:$E$3143),
Master_Mapping_Sheet!$H$2:$H$3143=Z$1))), 0, sum(filter(
Master_Mapping_Sheet!$E$2:$E$3143, ISNUMBER(
Master_Mapping_Sheet!$E$2:$E$3143),
Master_Mapping_Sheet!$H$2:$H$3143=Z$1,
Master_Mapping_Sheet!$B$2:$B$3143=$A9))/sum(filter(
Master_M"&amp;"apping_Sheet!$E$2:$E$3143, ISNUMBER(
Master_Mapping_Sheet!$E$2:$E$3143),
Master_Mapping_Sheet!$H$2:$H$3143=Z$1)))"),0.0)</f>
        <v>0</v>
      </c>
      <c r="AA9" s="34">
        <f>IFERROR(__xludf.DUMMYFUNCTION("IF(ISNA(sum(filter(
Master_Mapping_Sheet!$E$2:$E$3143, ISNUMBER(
Master_Mapping_Sheet!$E$2:$E$3143),
Master_Mapping_Sheet!$H$2:$H$3143=AA$1,
Master_Mapping_Sheet!$B$2:$B$3143=$A9))/sum(filter(
Master_Mapping_Sheet!$E$2:$E$3143, ISNUMBER(
Master_Mapping_Sh"&amp;"eet!$E$2:$E$3143),
Master_Mapping_Sheet!$H$2:$H$3143=AA$1))), 0, sum(filter(
Master_Mapping_Sheet!$E$2:$E$3143, ISNUMBER(
Master_Mapping_Sheet!$E$2:$E$3143),
Master_Mapping_Sheet!$H$2:$H$3143=AA$1,
Master_Mapping_Sheet!$B$2:$B$3143=$A9))/sum(filter(
Maste"&amp;"r_Mapping_Sheet!$E$2:$E$3143, ISNUMBER(
Master_Mapping_Sheet!$E$2:$E$3143),
Master_Mapping_Sheet!$H$2:$H$3143=AA$1)))"),0.0)</f>
        <v>0</v>
      </c>
    </row>
    <row r="10" ht="15.75" customHeight="1">
      <c r="A10" s="32" t="s">
        <v>408</v>
      </c>
      <c r="B10" s="34" t="s">
        <v>2263</v>
      </c>
      <c r="C10" s="34">
        <f>IFERROR(__xludf.DUMMYFUNCTION("IF(ISNA(sum(filter(
Master_Mapping_Sheet!$E$2:$E$3143, ISNUMBER(
Master_Mapping_Sheet!$E$2:$E$3143),
Master_Mapping_Sheet!$H$2:$H$3143=C$1,
Master_Mapping_Sheet!$B$2:$B$3143=$A10))/sum(filter(
Master_Mapping_Sheet!$E$2:$E$3143, ISNUMBER(
Master_Mapping_Sh"&amp;"eet!$E$2:$E$3143),
Master_Mapping_Sheet!$H$2:$H$3143=C$1))), 0, sum(filter(
Master_Mapping_Sheet!$E$2:$E$3143, ISNUMBER(
Master_Mapping_Sheet!$E$2:$E$3143),
Master_Mapping_Sheet!$H$2:$H$3143=C$1,
Master_Mapping_Sheet!$B$2:$B$3143=$A10))/sum(filter(
Master"&amp;"_Mapping_Sheet!$E$2:$E$3143, ISNUMBER(
Master_Mapping_Sheet!$E$2:$E$3143),
Master_Mapping_Sheet!$H$2:$H$3143=C$1)))"),0.0)</f>
        <v>0</v>
      </c>
      <c r="D10" s="34">
        <f>IFERROR(__xludf.DUMMYFUNCTION("IF(ISNA(sum(filter(
Master_Mapping_Sheet!$E$2:$E$3143, ISNUMBER(
Master_Mapping_Sheet!$E$2:$E$3143),
Master_Mapping_Sheet!$H$2:$H$3143=D$1,
Master_Mapping_Sheet!$B$2:$B$3143=$A10))/sum(filter(
Master_Mapping_Sheet!$E$2:$E$3143, ISNUMBER(
Master_Mapping_Sh"&amp;"eet!$E$2:$E$3143),
Master_Mapping_Sheet!$H$2:$H$3143=D$1))), 0, sum(filter(
Master_Mapping_Sheet!$E$2:$E$3143, ISNUMBER(
Master_Mapping_Sheet!$E$2:$E$3143),
Master_Mapping_Sheet!$H$2:$H$3143=D$1,
Master_Mapping_Sheet!$B$2:$B$3143=$A10))/sum(filter(
Master"&amp;"_Mapping_Sheet!$E$2:$E$3143, ISNUMBER(
Master_Mapping_Sheet!$E$2:$E$3143),
Master_Mapping_Sheet!$H$2:$H$3143=D$1)))"),0.0)</f>
        <v>0</v>
      </c>
      <c r="E10" s="32">
        <f>IFERROR(__xludf.DUMMYFUNCTION("IF(ISNA(sum(filter(
Master_Mapping_Sheet!$E$2:$E$3143, ISNUMBER(
Master_Mapping_Sheet!$E$2:$E$3143),
Master_Mapping_Sheet!$H$2:$H$3143=E$1,
Master_Mapping_Sheet!$B$2:$B$3143=$A10))/sum(filter(
Master_Mapping_Sheet!$E$2:$E$3143, ISNUMBER(
Master_Mapping_Sh"&amp;"eet!$E$2:$E$3143),
Master_Mapping_Sheet!$H$2:$H$3143=E$1))), 0, sum(filter(
Master_Mapping_Sheet!$E$2:$E$3143, ISNUMBER(
Master_Mapping_Sheet!$E$2:$E$3143),
Master_Mapping_Sheet!$H$2:$H$3143=E$1,
Master_Mapping_Sheet!$B$2:$B$3143=$A10))/sum(filter(
Master"&amp;"_Mapping_Sheet!$E$2:$E$3143, ISNUMBER(
Master_Mapping_Sheet!$E$2:$E$3143),
Master_Mapping_Sheet!$H$2:$H$3143=E$1)))"),0.0)</f>
        <v>0</v>
      </c>
      <c r="F10" s="34">
        <f>IFERROR(__xludf.DUMMYFUNCTION("IF(ISNA(sum(filter(
Master_Mapping_Sheet!$E$2:$E$3143, ISNUMBER(
Master_Mapping_Sheet!$E$2:$E$3143),
Master_Mapping_Sheet!$H$2:$H$3143=F$1,
Master_Mapping_Sheet!$B$2:$B$3143=$A10))/sum(filter(
Master_Mapping_Sheet!$E$2:$E$3143, ISNUMBER(
Master_Mapping_Sh"&amp;"eet!$E$2:$E$3143),
Master_Mapping_Sheet!$H$2:$H$3143=F$1))), 0, sum(filter(
Master_Mapping_Sheet!$E$2:$E$3143, ISNUMBER(
Master_Mapping_Sheet!$E$2:$E$3143),
Master_Mapping_Sheet!$H$2:$H$3143=F$1,
Master_Mapping_Sheet!$B$2:$B$3143=$A10))/sum(filter(
Master"&amp;"_Mapping_Sheet!$E$2:$E$3143, ISNUMBER(
Master_Mapping_Sheet!$E$2:$E$3143),
Master_Mapping_Sheet!$H$2:$H$3143=F$1)))"),0.0)</f>
        <v>0</v>
      </c>
      <c r="G10" s="34">
        <f>IFERROR(__xludf.DUMMYFUNCTION("IF(ISNA(sum(filter(
Master_Mapping_Sheet!$E$2:$E$3143, ISNUMBER(
Master_Mapping_Sheet!$E$2:$E$3143),
Master_Mapping_Sheet!$H$2:$H$3143=G$1,
Master_Mapping_Sheet!$B$2:$B$3143=$A10))/sum(filter(
Master_Mapping_Sheet!$E$2:$E$3143, ISNUMBER(
Master_Mapping_Sh"&amp;"eet!$E$2:$E$3143),
Master_Mapping_Sheet!$H$2:$H$3143=G$1))), 0, sum(filter(
Master_Mapping_Sheet!$E$2:$E$3143, ISNUMBER(
Master_Mapping_Sheet!$E$2:$E$3143),
Master_Mapping_Sheet!$H$2:$H$3143=G$1,
Master_Mapping_Sheet!$B$2:$B$3143=$A10))/sum(filter(
Master"&amp;"_Mapping_Sheet!$E$2:$E$3143, ISNUMBER(
Master_Mapping_Sheet!$E$2:$E$3143),
Master_Mapping_Sheet!$H$2:$H$3143=G$1)))"),0.0)</f>
        <v>0</v>
      </c>
      <c r="H10" s="34">
        <f>IFERROR(__xludf.DUMMYFUNCTION("IF(ISNA(sum(filter(
Master_Mapping_Sheet!$E$2:$E$3143, ISNUMBER(
Master_Mapping_Sheet!$E$2:$E$3143),
Master_Mapping_Sheet!$H$2:$H$3143=H$1,
Master_Mapping_Sheet!$B$2:$B$3143=$A10))/sum(filter(
Master_Mapping_Sheet!$E$2:$E$3143, ISNUMBER(
Master_Mapping_Sh"&amp;"eet!$E$2:$E$3143),
Master_Mapping_Sheet!$H$2:$H$3143=H$1))), 0, sum(filter(
Master_Mapping_Sheet!$E$2:$E$3143, ISNUMBER(
Master_Mapping_Sheet!$E$2:$E$3143),
Master_Mapping_Sheet!$H$2:$H$3143=H$1,
Master_Mapping_Sheet!$B$2:$B$3143=$A10))/sum(filter(
Master"&amp;"_Mapping_Sheet!$E$2:$E$3143, ISNUMBER(
Master_Mapping_Sheet!$E$2:$E$3143),
Master_Mapping_Sheet!$H$2:$H$3143=H$1)))"),0.0)</f>
        <v>0</v>
      </c>
      <c r="I10" s="34">
        <f>IFERROR(__xludf.DUMMYFUNCTION("IF(ISNA(sum(filter(
Master_Mapping_Sheet!$E$2:$E$3143, ISNUMBER(
Master_Mapping_Sheet!$E$2:$E$3143),
Master_Mapping_Sheet!$H$2:$H$3143=I$1,
Master_Mapping_Sheet!$B$2:$B$3143=$A10))/sum(filter(
Master_Mapping_Sheet!$E$2:$E$3143, ISNUMBER(
Master_Mapping_Sh"&amp;"eet!$E$2:$E$3143),
Master_Mapping_Sheet!$H$2:$H$3143=I$1))), 0, sum(filter(
Master_Mapping_Sheet!$E$2:$E$3143, ISNUMBER(
Master_Mapping_Sheet!$E$2:$E$3143),
Master_Mapping_Sheet!$H$2:$H$3143=I$1,
Master_Mapping_Sheet!$B$2:$B$3143=$A10))/sum(filter(
Master"&amp;"_Mapping_Sheet!$E$2:$E$3143, ISNUMBER(
Master_Mapping_Sheet!$E$2:$E$3143),
Master_Mapping_Sheet!$H$2:$H$3143=I$1)))"),0.0)</f>
        <v>0</v>
      </c>
      <c r="J10" s="34">
        <f>IFERROR(__xludf.DUMMYFUNCTION("IF(ISNA(sum(filter(
Master_Mapping_Sheet!$E$2:$E$3143, ISNUMBER(
Master_Mapping_Sheet!$E$2:$E$3143),
Master_Mapping_Sheet!$H$2:$H$3143=J$1,
Master_Mapping_Sheet!$B$2:$B$3143=$A10))/sum(filter(
Master_Mapping_Sheet!$E$2:$E$3143, ISNUMBER(
Master_Mapping_Sh"&amp;"eet!$E$2:$E$3143),
Master_Mapping_Sheet!$H$2:$H$3143=J$1))), 0, sum(filter(
Master_Mapping_Sheet!$E$2:$E$3143, ISNUMBER(
Master_Mapping_Sheet!$E$2:$E$3143),
Master_Mapping_Sheet!$H$2:$H$3143=J$1,
Master_Mapping_Sheet!$B$2:$B$3143=$A10))/sum(filter(
Master"&amp;"_Mapping_Sheet!$E$2:$E$3143, ISNUMBER(
Master_Mapping_Sheet!$E$2:$E$3143),
Master_Mapping_Sheet!$H$2:$H$3143=J$1)))"),0.0)</f>
        <v>0</v>
      </c>
      <c r="K10" s="34">
        <f>IFERROR(__xludf.DUMMYFUNCTION("IF(ISNA(sum(filter(
Master_Mapping_Sheet!$E$2:$E$3143, ISNUMBER(
Master_Mapping_Sheet!$E$2:$E$3143),
Master_Mapping_Sheet!$H$2:$H$3143=K$1,
Master_Mapping_Sheet!$B$2:$B$3143=$A10))/sum(filter(
Master_Mapping_Sheet!$E$2:$E$3143, ISNUMBER(
Master_Mapping_Sh"&amp;"eet!$E$2:$E$3143),
Master_Mapping_Sheet!$H$2:$H$3143=K$1))), 0, sum(filter(
Master_Mapping_Sheet!$E$2:$E$3143, ISNUMBER(
Master_Mapping_Sheet!$E$2:$E$3143),
Master_Mapping_Sheet!$H$2:$H$3143=K$1,
Master_Mapping_Sheet!$B$2:$B$3143=$A10))/sum(filter(
Master"&amp;"_Mapping_Sheet!$E$2:$E$3143, ISNUMBER(
Master_Mapping_Sheet!$E$2:$E$3143),
Master_Mapping_Sheet!$H$2:$H$3143=K$1)))"),0.0)</f>
        <v>0</v>
      </c>
      <c r="L10" s="34">
        <f>IFERROR(__xludf.DUMMYFUNCTION("IF(ISNA(sum(filter(
Master_Mapping_Sheet!$E$2:$E$3143, ISNUMBER(
Master_Mapping_Sheet!$E$2:$E$3143),
Master_Mapping_Sheet!$H$2:$H$3143=L$1,
Master_Mapping_Sheet!$B$2:$B$3143=$A10))/sum(filter(
Master_Mapping_Sheet!$E$2:$E$3143, ISNUMBER(
Master_Mapping_Sh"&amp;"eet!$E$2:$E$3143),
Master_Mapping_Sheet!$H$2:$H$3143=L$1))), 0, sum(filter(
Master_Mapping_Sheet!$E$2:$E$3143, ISNUMBER(
Master_Mapping_Sheet!$E$2:$E$3143),
Master_Mapping_Sheet!$H$2:$H$3143=L$1,
Master_Mapping_Sheet!$B$2:$B$3143=$A10))/sum(filter(
Master"&amp;"_Mapping_Sheet!$E$2:$E$3143, ISNUMBER(
Master_Mapping_Sheet!$E$2:$E$3143),
Master_Mapping_Sheet!$H$2:$H$3143=L$1)))"),0.0)</f>
        <v>0</v>
      </c>
      <c r="M10" s="34">
        <f>IFERROR(__xludf.DUMMYFUNCTION("IF(ISNA(sum(filter(
Master_Mapping_Sheet!$E$2:$E$3143, ISNUMBER(
Master_Mapping_Sheet!$E$2:$E$3143),
Master_Mapping_Sheet!$H$2:$H$3143=M$1,
Master_Mapping_Sheet!$B$2:$B$3143=$A10))/sum(filter(
Master_Mapping_Sheet!$E$2:$E$3143, ISNUMBER(
Master_Mapping_Sh"&amp;"eet!$E$2:$E$3143),
Master_Mapping_Sheet!$H$2:$H$3143=M$1))), 0, sum(filter(
Master_Mapping_Sheet!$E$2:$E$3143, ISNUMBER(
Master_Mapping_Sheet!$E$2:$E$3143),
Master_Mapping_Sheet!$H$2:$H$3143=M$1,
Master_Mapping_Sheet!$B$2:$B$3143=$A10))/sum(filter(
Master"&amp;"_Mapping_Sheet!$E$2:$E$3143, ISNUMBER(
Master_Mapping_Sheet!$E$2:$E$3143),
Master_Mapping_Sheet!$H$2:$H$3143=M$1)))"),0.0)</f>
        <v>0</v>
      </c>
      <c r="N10" s="34">
        <f>IFERROR(__xludf.DUMMYFUNCTION("IF(ISNA(sum(filter(
Master_Mapping_Sheet!$E$2:$E$3143, ISNUMBER(
Master_Mapping_Sheet!$E$2:$E$3143),
Master_Mapping_Sheet!$H$2:$H$3143=N$1,
Master_Mapping_Sheet!$B$2:$B$3143=$A10))/sum(filter(
Master_Mapping_Sheet!$E$2:$E$3143, ISNUMBER(
Master_Mapping_Sh"&amp;"eet!$E$2:$E$3143),
Master_Mapping_Sheet!$H$2:$H$3143=N$1))), 0, sum(filter(
Master_Mapping_Sheet!$E$2:$E$3143, ISNUMBER(
Master_Mapping_Sheet!$E$2:$E$3143),
Master_Mapping_Sheet!$H$2:$H$3143=N$1,
Master_Mapping_Sheet!$B$2:$B$3143=$A10))/sum(filter(
Master"&amp;"_Mapping_Sheet!$E$2:$E$3143, ISNUMBER(
Master_Mapping_Sheet!$E$2:$E$3143),
Master_Mapping_Sheet!$H$2:$H$3143=N$1)))"),0.0)</f>
        <v>0</v>
      </c>
      <c r="O10" s="34">
        <f>IFERROR(__xludf.DUMMYFUNCTION("IF(ISNA(sum(filter(
Master_Mapping_Sheet!$E$2:$E$3143, ISNUMBER(
Master_Mapping_Sheet!$E$2:$E$3143),
Master_Mapping_Sheet!$H$2:$H$3143=O$1,
Master_Mapping_Sheet!$B$2:$B$3143=$A10))/sum(filter(
Master_Mapping_Sheet!$E$2:$E$3143, ISNUMBER(
Master_Mapping_Sh"&amp;"eet!$E$2:$E$3143),
Master_Mapping_Sheet!$H$2:$H$3143=O$1))), 0, sum(filter(
Master_Mapping_Sheet!$E$2:$E$3143, ISNUMBER(
Master_Mapping_Sheet!$E$2:$E$3143),
Master_Mapping_Sheet!$H$2:$H$3143=O$1,
Master_Mapping_Sheet!$B$2:$B$3143=$A10))/sum(filter(
Master"&amp;"_Mapping_Sheet!$E$2:$E$3143, ISNUMBER(
Master_Mapping_Sheet!$E$2:$E$3143),
Master_Mapping_Sheet!$H$2:$H$3143=O$1)))"),0.07805752674586479)</f>
        <v>0.07805752675</v>
      </c>
      <c r="P10" s="34">
        <f>IFERROR(__xludf.DUMMYFUNCTION("IF(ISNA(sum(filter(
Master_Mapping_Sheet!$E$2:$E$3143, ISNUMBER(
Master_Mapping_Sheet!$E$2:$E$3143),
Master_Mapping_Sheet!$H$2:$H$3143=P$1,
Master_Mapping_Sheet!$B$2:$B$3143=$A10))/sum(filter(
Master_Mapping_Sheet!$E$2:$E$3143, ISNUMBER(
Master_Mapping_Sh"&amp;"eet!$E$2:$E$3143),
Master_Mapping_Sheet!$H$2:$H$3143=P$1))), 0, sum(filter(
Master_Mapping_Sheet!$E$2:$E$3143, ISNUMBER(
Master_Mapping_Sheet!$E$2:$E$3143),
Master_Mapping_Sheet!$H$2:$H$3143=P$1,
Master_Mapping_Sheet!$B$2:$B$3143=$A10))/sum(filter(
Master"&amp;"_Mapping_Sheet!$E$2:$E$3143, ISNUMBER(
Master_Mapping_Sheet!$E$2:$E$3143),
Master_Mapping_Sheet!$H$2:$H$3143=P$1)))"),0.0)</f>
        <v>0</v>
      </c>
      <c r="Q10" s="34">
        <f>IFERROR(__xludf.DUMMYFUNCTION("IF(ISNA(sum(filter(
Master_Mapping_Sheet!$E$2:$E$3143, ISNUMBER(
Master_Mapping_Sheet!$E$2:$E$3143),
Master_Mapping_Sheet!$H$2:$H$3143=Q$1,
Master_Mapping_Sheet!$B$2:$B$3143=$A10))/sum(filter(
Master_Mapping_Sheet!$E$2:$E$3143, ISNUMBER(
Master_Mapping_Sh"&amp;"eet!$E$2:$E$3143),
Master_Mapping_Sheet!$H$2:$H$3143=Q$1))), 0, sum(filter(
Master_Mapping_Sheet!$E$2:$E$3143, ISNUMBER(
Master_Mapping_Sheet!$E$2:$E$3143),
Master_Mapping_Sheet!$H$2:$H$3143=Q$1,
Master_Mapping_Sheet!$B$2:$B$3143=$A10))/sum(filter(
Master"&amp;"_Mapping_Sheet!$E$2:$E$3143, ISNUMBER(
Master_Mapping_Sheet!$E$2:$E$3143),
Master_Mapping_Sheet!$H$2:$H$3143=Q$1)))"),0.0)</f>
        <v>0</v>
      </c>
      <c r="R10" s="34">
        <f>IFERROR(__xludf.DUMMYFUNCTION("IF(ISNA(sum(filter(
Master_Mapping_Sheet!$E$2:$E$3143, ISNUMBER(
Master_Mapping_Sheet!$E$2:$E$3143),
Master_Mapping_Sheet!$H$2:$H$3143=R$1,
Master_Mapping_Sheet!$B$2:$B$3143=$A10))/sum(filter(
Master_Mapping_Sheet!$E$2:$E$3143, ISNUMBER(
Master_Mapping_Sh"&amp;"eet!$E$2:$E$3143),
Master_Mapping_Sheet!$H$2:$H$3143=R$1))), 0, sum(filter(
Master_Mapping_Sheet!$E$2:$E$3143, ISNUMBER(
Master_Mapping_Sheet!$E$2:$E$3143),
Master_Mapping_Sheet!$H$2:$H$3143=R$1,
Master_Mapping_Sheet!$B$2:$B$3143=$A10))/sum(filter(
Master"&amp;"_Mapping_Sheet!$E$2:$E$3143, ISNUMBER(
Master_Mapping_Sheet!$E$2:$E$3143),
Master_Mapping_Sheet!$H$2:$H$3143=R$1)))"),0.0)</f>
        <v>0</v>
      </c>
      <c r="S10" s="34">
        <f>IFERROR(__xludf.DUMMYFUNCTION("IF(ISNA(sum(filter(
Master_Mapping_Sheet!$E$2:$E$3143, ISNUMBER(
Master_Mapping_Sheet!$E$2:$E$3143),
Master_Mapping_Sheet!$H$2:$H$3143=S$1,
Master_Mapping_Sheet!$B$2:$B$3143=$A10))/sum(filter(
Master_Mapping_Sheet!$E$2:$E$3143, ISNUMBER(
Master_Mapping_Sh"&amp;"eet!$E$2:$E$3143),
Master_Mapping_Sheet!$H$2:$H$3143=S$1))), 0, sum(filter(
Master_Mapping_Sheet!$E$2:$E$3143, ISNUMBER(
Master_Mapping_Sheet!$E$2:$E$3143),
Master_Mapping_Sheet!$H$2:$H$3143=S$1,
Master_Mapping_Sheet!$B$2:$B$3143=$A10))/sum(filter(
Master"&amp;"_Mapping_Sheet!$E$2:$E$3143, ISNUMBER(
Master_Mapping_Sheet!$E$2:$E$3143),
Master_Mapping_Sheet!$H$2:$H$3143=S$1)))"),0.0)</f>
        <v>0</v>
      </c>
      <c r="T10" s="34">
        <f>IFERROR(__xludf.DUMMYFUNCTION("IF(ISNA(sum(filter(
Master_Mapping_Sheet!$E$2:$E$3143, ISNUMBER(
Master_Mapping_Sheet!$E$2:$E$3143),
Master_Mapping_Sheet!$H$2:$H$3143=T$1,
Master_Mapping_Sheet!$B$2:$B$3143=$A10))/sum(filter(
Master_Mapping_Sheet!$E$2:$E$3143, ISNUMBER(
Master_Mapping_Sh"&amp;"eet!$E$2:$E$3143),
Master_Mapping_Sheet!$H$2:$H$3143=T$1))), 0, sum(filter(
Master_Mapping_Sheet!$E$2:$E$3143, ISNUMBER(
Master_Mapping_Sheet!$E$2:$E$3143),
Master_Mapping_Sheet!$H$2:$H$3143=T$1,
Master_Mapping_Sheet!$B$2:$B$3143=$A10))/sum(filter(
Master"&amp;"_Mapping_Sheet!$E$2:$E$3143, ISNUMBER(
Master_Mapping_Sheet!$E$2:$E$3143),
Master_Mapping_Sheet!$H$2:$H$3143=T$1)))"),0.0)</f>
        <v>0</v>
      </c>
      <c r="U10" s="34">
        <f>IFERROR(__xludf.DUMMYFUNCTION("IF(ISNA(sum(filter(
Master_Mapping_Sheet!$E$2:$E$3143, ISNUMBER(
Master_Mapping_Sheet!$E$2:$E$3143),
Master_Mapping_Sheet!$H$2:$H$3143=U$1,
Master_Mapping_Sheet!$B$2:$B$3143=$A10))/sum(filter(
Master_Mapping_Sheet!$E$2:$E$3143, ISNUMBER(
Master_Mapping_Sh"&amp;"eet!$E$2:$E$3143),
Master_Mapping_Sheet!$H$2:$H$3143=U$1))), 0, sum(filter(
Master_Mapping_Sheet!$E$2:$E$3143, ISNUMBER(
Master_Mapping_Sheet!$E$2:$E$3143),
Master_Mapping_Sheet!$H$2:$H$3143=U$1,
Master_Mapping_Sheet!$B$2:$B$3143=$A10))/sum(filter(
Master"&amp;"_Mapping_Sheet!$E$2:$E$3143, ISNUMBER(
Master_Mapping_Sheet!$E$2:$E$3143),
Master_Mapping_Sheet!$H$2:$H$3143=U$1)))"),0.0)</f>
        <v>0</v>
      </c>
      <c r="V10" s="34">
        <f>IFERROR(__xludf.DUMMYFUNCTION("IF(ISNA(sum(filter(
Master_Mapping_Sheet!$E$2:$E$3143, ISNUMBER(
Master_Mapping_Sheet!$E$2:$E$3143),
Master_Mapping_Sheet!$H$2:$H$3143=V$1,
Master_Mapping_Sheet!$B$2:$B$3143=$A10))/sum(filter(
Master_Mapping_Sheet!$E$2:$E$3143, ISNUMBER(
Master_Mapping_Sh"&amp;"eet!$E$2:$E$3143),
Master_Mapping_Sheet!$H$2:$H$3143=V$1))), 0, sum(filter(
Master_Mapping_Sheet!$E$2:$E$3143, ISNUMBER(
Master_Mapping_Sheet!$E$2:$E$3143),
Master_Mapping_Sheet!$H$2:$H$3143=V$1,
Master_Mapping_Sheet!$B$2:$B$3143=$A10))/sum(filter(
Master"&amp;"_Mapping_Sheet!$E$2:$E$3143, ISNUMBER(
Master_Mapping_Sheet!$E$2:$E$3143),
Master_Mapping_Sheet!$H$2:$H$3143=V$1)))"),0.0)</f>
        <v>0</v>
      </c>
      <c r="W10" s="34">
        <f>IFERROR(__xludf.DUMMYFUNCTION("IF(ISNA(sum(filter(
Master_Mapping_Sheet!$E$2:$E$3143, ISNUMBER(
Master_Mapping_Sheet!$E$2:$E$3143),
Master_Mapping_Sheet!$H$2:$H$3143=W$1,
Master_Mapping_Sheet!$B$2:$B$3143=$A10))/sum(filter(
Master_Mapping_Sheet!$E$2:$E$3143, ISNUMBER(
Master_Mapping_Sh"&amp;"eet!$E$2:$E$3143),
Master_Mapping_Sheet!$H$2:$H$3143=W$1))), 0, sum(filter(
Master_Mapping_Sheet!$E$2:$E$3143, ISNUMBER(
Master_Mapping_Sheet!$E$2:$E$3143),
Master_Mapping_Sheet!$H$2:$H$3143=W$1,
Master_Mapping_Sheet!$B$2:$B$3143=$A10))/sum(filter(
Master"&amp;"_Mapping_Sheet!$E$2:$E$3143, ISNUMBER(
Master_Mapping_Sheet!$E$2:$E$3143),
Master_Mapping_Sheet!$H$2:$H$3143=W$1)))"),0.0)</f>
        <v>0</v>
      </c>
      <c r="X10" s="34">
        <f>IFERROR(__xludf.DUMMYFUNCTION("IF(ISNA(sum(filter(
Master_Mapping_Sheet!$E$2:$E$3143, ISNUMBER(
Master_Mapping_Sheet!$E$2:$E$3143),
Master_Mapping_Sheet!$H$2:$H$3143=X$1,
Master_Mapping_Sheet!$B$2:$B$3143=$A10))/sum(filter(
Master_Mapping_Sheet!$E$2:$E$3143, ISNUMBER(
Master_Mapping_Sh"&amp;"eet!$E$2:$E$3143),
Master_Mapping_Sheet!$H$2:$H$3143=X$1))), 0, sum(filter(
Master_Mapping_Sheet!$E$2:$E$3143, ISNUMBER(
Master_Mapping_Sheet!$E$2:$E$3143),
Master_Mapping_Sheet!$H$2:$H$3143=X$1,
Master_Mapping_Sheet!$B$2:$B$3143=$A10))/sum(filter(
Master"&amp;"_Mapping_Sheet!$E$2:$E$3143, ISNUMBER(
Master_Mapping_Sheet!$E$2:$E$3143),
Master_Mapping_Sheet!$H$2:$H$3143=X$1)))"),0.0)</f>
        <v>0</v>
      </c>
      <c r="Y10" s="34">
        <f>IFERROR(__xludf.DUMMYFUNCTION("IF(ISNA(sum(filter(
Master_Mapping_Sheet!$E$2:$E$3143, ISNUMBER(
Master_Mapping_Sheet!$E$2:$E$3143),
Master_Mapping_Sheet!$H$2:$H$3143=Y$1,
Master_Mapping_Sheet!$B$2:$B$3143=$A10))/sum(filter(
Master_Mapping_Sheet!$E$2:$E$3143, ISNUMBER(
Master_Mapping_Sh"&amp;"eet!$E$2:$E$3143),
Master_Mapping_Sheet!$H$2:$H$3143=Y$1))), 0, sum(filter(
Master_Mapping_Sheet!$E$2:$E$3143, ISNUMBER(
Master_Mapping_Sheet!$E$2:$E$3143),
Master_Mapping_Sheet!$H$2:$H$3143=Y$1,
Master_Mapping_Sheet!$B$2:$B$3143=$A10))/sum(filter(
Master"&amp;"_Mapping_Sheet!$E$2:$E$3143, ISNUMBER(
Master_Mapping_Sheet!$E$2:$E$3143),
Master_Mapping_Sheet!$H$2:$H$3143=Y$1)))"),0.0)</f>
        <v>0</v>
      </c>
      <c r="Z10" s="34">
        <f>IFERROR(__xludf.DUMMYFUNCTION("IF(ISNA(sum(filter(
Master_Mapping_Sheet!$E$2:$E$3143, ISNUMBER(
Master_Mapping_Sheet!$E$2:$E$3143),
Master_Mapping_Sheet!$H$2:$H$3143=Z$1,
Master_Mapping_Sheet!$B$2:$B$3143=$A10))/sum(filter(
Master_Mapping_Sheet!$E$2:$E$3143, ISNUMBER(
Master_Mapping_Sh"&amp;"eet!$E$2:$E$3143),
Master_Mapping_Sheet!$H$2:$H$3143=Z$1))), 0, sum(filter(
Master_Mapping_Sheet!$E$2:$E$3143, ISNUMBER(
Master_Mapping_Sheet!$E$2:$E$3143),
Master_Mapping_Sheet!$H$2:$H$3143=Z$1,
Master_Mapping_Sheet!$B$2:$B$3143=$A10))/sum(filter(
Master"&amp;"_Mapping_Sheet!$E$2:$E$3143, ISNUMBER(
Master_Mapping_Sheet!$E$2:$E$3143),
Master_Mapping_Sheet!$H$2:$H$3143=Z$1)))"),0.0)</f>
        <v>0</v>
      </c>
      <c r="AA10" s="34">
        <f>IFERROR(__xludf.DUMMYFUNCTION("IF(ISNA(sum(filter(
Master_Mapping_Sheet!$E$2:$E$3143, ISNUMBER(
Master_Mapping_Sheet!$E$2:$E$3143),
Master_Mapping_Sheet!$H$2:$H$3143=AA$1,
Master_Mapping_Sheet!$B$2:$B$3143=$A10))/sum(filter(
Master_Mapping_Sheet!$E$2:$E$3143, ISNUMBER(
Master_Mapping_S"&amp;"heet!$E$2:$E$3143),
Master_Mapping_Sheet!$H$2:$H$3143=AA$1))), 0, sum(filter(
Master_Mapping_Sheet!$E$2:$E$3143, ISNUMBER(
Master_Mapping_Sheet!$E$2:$E$3143),
Master_Mapping_Sheet!$H$2:$H$3143=AA$1,
Master_Mapping_Sheet!$B$2:$B$3143=$A10))/sum(filter(
Mas"&amp;"ter_Mapping_Sheet!$E$2:$E$3143, ISNUMBER(
Master_Mapping_Sheet!$E$2:$E$3143),
Master_Mapping_Sheet!$H$2:$H$3143=AA$1)))"),0.0)</f>
        <v>0</v>
      </c>
    </row>
    <row r="11" ht="15.75" customHeight="1">
      <c r="A11" s="34" t="s">
        <v>410</v>
      </c>
      <c r="B11" s="34" t="s">
        <v>2264</v>
      </c>
      <c r="C11" s="34">
        <f>IFERROR(__xludf.DUMMYFUNCTION("IF(ISNA(sum(filter(
Master_Mapping_Sheet!$E$2:$E$3143, ISNUMBER(
Master_Mapping_Sheet!$E$2:$E$3143),
Master_Mapping_Sheet!$H$2:$H$3143=C$1,
Master_Mapping_Sheet!$B$2:$B$3143=$A11))/sum(filter(
Master_Mapping_Sheet!$E$2:$E$3143, ISNUMBER(
Master_Mapping_Sh"&amp;"eet!$E$2:$E$3143),
Master_Mapping_Sheet!$H$2:$H$3143=C$1))), 0, sum(filter(
Master_Mapping_Sheet!$E$2:$E$3143, ISNUMBER(
Master_Mapping_Sheet!$E$2:$E$3143),
Master_Mapping_Sheet!$H$2:$H$3143=C$1,
Master_Mapping_Sheet!$B$2:$B$3143=$A11))/sum(filter(
Master"&amp;"_Mapping_Sheet!$E$2:$E$3143, ISNUMBER(
Master_Mapping_Sheet!$E$2:$E$3143),
Master_Mapping_Sheet!$H$2:$H$3143=C$1)))"),0.0)</f>
        <v>0</v>
      </c>
      <c r="D11" s="34">
        <f>IFERROR(__xludf.DUMMYFUNCTION("IF(ISNA(sum(filter(
Master_Mapping_Sheet!$E$2:$E$3143, ISNUMBER(
Master_Mapping_Sheet!$E$2:$E$3143),
Master_Mapping_Sheet!$H$2:$H$3143=D$1,
Master_Mapping_Sheet!$B$2:$B$3143=$A11))/sum(filter(
Master_Mapping_Sheet!$E$2:$E$3143, ISNUMBER(
Master_Mapping_Sh"&amp;"eet!$E$2:$E$3143),
Master_Mapping_Sheet!$H$2:$H$3143=D$1))), 0, sum(filter(
Master_Mapping_Sheet!$E$2:$E$3143, ISNUMBER(
Master_Mapping_Sheet!$E$2:$E$3143),
Master_Mapping_Sheet!$H$2:$H$3143=D$1,
Master_Mapping_Sheet!$B$2:$B$3143=$A11))/sum(filter(
Master"&amp;"_Mapping_Sheet!$E$2:$E$3143, ISNUMBER(
Master_Mapping_Sheet!$E$2:$E$3143),
Master_Mapping_Sheet!$H$2:$H$3143=D$1)))"),1.0)</f>
        <v>1</v>
      </c>
      <c r="E11" s="32">
        <f>IFERROR(__xludf.DUMMYFUNCTION("IF(ISNA(sum(filter(
Master_Mapping_Sheet!$E$2:$E$3143, ISNUMBER(
Master_Mapping_Sheet!$E$2:$E$3143),
Master_Mapping_Sheet!$H$2:$H$3143=E$1,
Master_Mapping_Sheet!$B$2:$B$3143=$A11))/sum(filter(
Master_Mapping_Sheet!$E$2:$E$3143, ISNUMBER(
Master_Mapping_Sh"&amp;"eet!$E$2:$E$3143),
Master_Mapping_Sheet!$H$2:$H$3143=E$1))), 0, sum(filter(
Master_Mapping_Sheet!$E$2:$E$3143, ISNUMBER(
Master_Mapping_Sheet!$E$2:$E$3143),
Master_Mapping_Sheet!$H$2:$H$3143=E$1,
Master_Mapping_Sheet!$B$2:$B$3143=$A11))/sum(filter(
Master"&amp;"_Mapping_Sheet!$E$2:$E$3143, ISNUMBER(
Master_Mapping_Sheet!$E$2:$E$3143),
Master_Mapping_Sheet!$H$2:$H$3143=E$1)))"),0.0)</f>
        <v>0</v>
      </c>
      <c r="F11" s="34">
        <f>IFERROR(__xludf.DUMMYFUNCTION("IF(ISNA(sum(filter(
Master_Mapping_Sheet!$E$2:$E$3143, ISNUMBER(
Master_Mapping_Sheet!$E$2:$E$3143),
Master_Mapping_Sheet!$H$2:$H$3143=F$1,
Master_Mapping_Sheet!$B$2:$B$3143=$A11))/sum(filter(
Master_Mapping_Sheet!$E$2:$E$3143, ISNUMBER(
Master_Mapping_Sh"&amp;"eet!$E$2:$E$3143),
Master_Mapping_Sheet!$H$2:$H$3143=F$1))), 0, sum(filter(
Master_Mapping_Sheet!$E$2:$E$3143, ISNUMBER(
Master_Mapping_Sheet!$E$2:$E$3143),
Master_Mapping_Sheet!$H$2:$H$3143=F$1,
Master_Mapping_Sheet!$B$2:$B$3143=$A11))/sum(filter(
Master"&amp;"_Mapping_Sheet!$E$2:$E$3143, ISNUMBER(
Master_Mapping_Sheet!$E$2:$E$3143),
Master_Mapping_Sheet!$H$2:$H$3143=F$1)))"),0.0)</f>
        <v>0</v>
      </c>
      <c r="G11" s="34">
        <f>IFERROR(__xludf.DUMMYFUNCTION("IF(ISNA(sum(filter(
Master_Mapping_Sheet!$E$2:$E$3143, ISNUMBER(
Master_Mapping_Sheet!$E$2:$E$3143),
Master_Mapping_Sheet!$H$2:$H$3143=G$1,
Master_Mapping_Sheet!$B$2:$B$3143=$A11))/sum(filter(
Master_Mapping_Sheet!$E$2:$E$3143, ISNUMBER(
Master_Mapping_Sh"&amp;"eet!$E$2:$E$3143),
Master_Mapping_Sheet!$H$2:$H$3143=G$1))), 0, sum(filter(
Master_Mapping_Sheet!$E$2:$E$3143, ISNUMBER(
Master_Mapping_Sheet!$E$2:$E$3143),
Master_Mapping_Sheet!$H$2:$H$3143=G$1,
Master_Mapping_Sheet!$B$2:$B$3143=$A11))/sum(filter(
Master"&amp;"_Mapping_Sheet!$E$2:$E$3143, ISNUMBER(
Master_Mapping_Sheet!$E$2:$E$3143),
Master_Mapping_Sheet!$H$2:$H$3143=G$1)))"),0.0)</f>
        <v>0</v>
      </c>
      <c r="H11" s="34">
        <f>IFERROR(__xludf.DUMMYFUNCTION("IF(ISNA(sum(filter(
Master_Mapping_Sheet!$E$2:$E$3143, ISNUMBER(
Master_Mapping_Sheet!$E$2:$E$3143),
Master_Mapping_Sheet!$H$2:$H$3143=H$1,
Master_Mapping_Sheet!$B$2:$B$3143=$A11))/sum(filter(
Master_Mapping_Sheet!$E$2:$E$3143, ISNUMBER(
Master_Mapping_Sh"&amp;"eet!$E$2:$E$3143),
Master_Mapping_Sheet!$H$2:$H$3143=H$1))), 0, sum(filter(
Master_Mapping_Sheet!$E$2:$E$3143, ISNUMBER(
Master_Mapping_Sheet!$E$2:$E$3143),
Master_Mapping_Sheet!$H$2:$H$3143=H$1,
Master_Mapping_Sheet!$B$2:$B$3143=$A11))/sum(filter(
Master"&amp;"_Mapping_Sheet!$E$2:$E$3143, ISNUMBER(
Master_Mapping_Sheet!$E$2:$E$3143),
Master_Mapping_Sheet!$H$2:$H$3143=H$1)))"),0.0)</f>
        <v>0</v>
      </c>
      <c r="I11" s="34">
        <f>IFERROR(__xludf.DUMMYFUNCTION("IF(ISNA(sum(filter(
Master_Mapping_Sheet!$E$2:$E$3143, ISNUMBER(
Master_Mapping_Sheet!$E$2:$E$3143),
Master_Mapping_Sheet!$H$2:$H$3143=I$1,
Master_Mapping_Sheet!$B$2:$B$3143=$A11))/sum(filter(
Master_Mapping_Sheet!$E$2:$E$3143, ISNUMBER(
Master_Mapping_Sh"&amp;"eet!$E$2:$E$3143),
Master_Mapping_Sheet!$H$2:$H$3143=I$1))), 0, sum(filter(
Master_Mapping_Sheet!$E$2:$E$3143, ISNUMBER(
Master_Mapping_Sheet!$E$2:$E$3143),
Master_Mapping_Sheet!$H$2:$H$3143=I$1,
Master_Mapping_Sheet!$B$2:$B$3143=$A11))/sum(filter(
Master"&amp;"_Mapping_Sheet!$E$2:$E$3143, ISNUMBER(
Master_Mapping_Sheet!$E$2:$E$3143),
Master_Mapping_Sheet!$H$2:$H$3143=I$1)))"),0.0)</f>
        <v>0</v>
      </c>
      <c r="J11" s="34">
        <f>IFERROR(__xludf.DUMMYFUNCTION("IF(ISNA(sum(filter(
Master_Mapping_Sheet!$E$2:$E$3143, ISNUMBER(
Master_Mapping_Sheet!$E$2:$E$3143),
Master_Mapping_Sheet!$H$2:$H$3143=J$1,
Master_Mapping_Sheet!$B$2:$B$3143=$A11))/sum(filter(
Master_Mapping_Sheet!$E$2:$E$3143, ISNUMBER(
Master_Mapping_Sh"&amp;"eet!$E$2:$E$3143),
Master_Mapping_Sheet!$H$2:$H$3143=J$1))), 0, sum(filter(
Master_Mapping_Sheet!$E$2:$E$3143, ISNUMBER(
Master_Mapping_Sheet!$E$2:$E$3143),
Master_Mapping_Sheet!$H$2:$H$3143=J$1,
Master_Mapping_Sheet!$B$2:$B$3143=$A11))/sum(filter(
Master"&amp;"_Mapping_Sheet!$E$2:$E$3143, ISNUMBER(
Master_Mapping_Sheet!$E$2:$E$3143),
Master_Mapping_Sheet!$H$2:$H$3143=J$1)))"),0.0)</f>
        <v>0</v>
      </c>
      <c r="K11" s="34">
        <f>IFERROR(__xludf.DUMMYFUNCTION("IF(ISNA(sum(filter(
Master_Mapping_Sheet!$E$2:$E$3143, ISNUMBER(
Master_Mapping_Sheet!$E$2:$E$3143),
Master_Mapping_Sheet!$H$2:$H$3143=K$1,
Master_Mapping_Sheet!$B$2:$B$3143=$A11))/sum(filter(
Master_Mapping_Sheet!$E$2:$E$3143, ISNUMBER(
Master_Mapping_Sh"&amp;"eet!$E$2:$E$3143),
Master_Mapping_Sheet!$H$2:$H$3143=K$1))), 0, sum(filter(
Master_Mapping_Sheet!$E$2:$E$3143, ISNUMBER(
Master_Mapping_Sheet!$E$2:$E$3143),
Master_Mapping_Sheet!$H$2:$H$3143=K$1,
Master_Mapping_Sheet!$B$2:$B$3143=$A11))/sum(filter(
Master"&amp;"_Mapping_Sheet!$E$2:$E$3143, ISNUMBER(
Master_Mapping_Sheet!$E$2:$E$3143),
Master_Mapping_Sheet!$H$2:$H$3143=K$1)))"),0.0)</f>
        <v>0</v>
      </c>
      <c r="L11" s="34">
        <f>IFERROR(__xludf.DUMMYFUNCTION("IF(ISNA(sum(filter(
Master_Mapping_Sheet!$E$2:$E$3143, ISNUMBER(
Master_Mapping_Sheet!$E$2:$E$3143),
Master_Mapping_Sheet!$H$2:$H$3143=L$1,
Master_Mapping_Sheet!$B$2:$B$3143=$A11))/sum(filter(
Master_Mapping_Sheet!$E$2:$E$3143, ISNUMBER(
Master_Mapping_Sh"&amp;"eet!$E$2:$E$3143),
Master_Mapping_Sheet!$H$2:$H$3143=L$1))), 0, sum(filter(
Master_Mapping_Sheet!$E$2:$E$3143, ISNUMBER(
Master_Mapping_Sheet!$E$2:$E$3143),
Master_Mapping_Sheet!$H$2:$H$3143=L$1,
Master_Mapping_Sheet!$B$2:$B$3143=$A11))/sum(filter(
Master"&amp;"_Mapping_Sheet!$E$2:$E$3143, ISNUMBER(
Master_Mapping_Sheet!$E$2:$E$3143),
Master_Mapping_Sheet!$H$2:$H$3143=L$1)))"),0.0)</f>
        <v>0</v>
      </c>
      <c r="M11" s="34">
        <f>IFERROR(__xludf.DUMMYFUNCTION("IF(ISNA(sum(filter(
Master_Mapping_Sheet!$E$2:$E$3143, ISNUMBER(
Master_Mapping_Sheet!$E$2:$E$3143),
Master_Mapping_Sheet!$H$2:$H$3143=M$1,
Master_Mapping_Sheet!$B$2:$B$3143=$A11))/sum(filter(
Master_Mapping_Sheet!$E$2:$E$3143, ISNUMBER(
Master_Mapping_Sh"&amp;"eet!$E$2:$E$3143),
Master_Mapping_Sheet!$H$2:$H$3143=M$1))), 0, sum(filter(
Master_Mapping_Sheet!$E$2:$E$3143, ISNUMBER(
Master_Mapping_Sheet!$E$2:$E$3143),
Master_Mapping_Sheet!$H$2:$H$3143=M$1,
Master_Mapping_Sheet!$B$2:$B$3143=$A11))/sum(filter(
Master"&amp;"_Mapping_Sheet!$E$2:$E$3143, ISNUMBER(
Master_Mapping_Sheet!$E$2:$E$3143),
Master_Mapping_Sheet!$H$2:$H$3143=M$1)))"),0.0)</f>
        <v>0</v>
      </c>
      <c r="N11" s="34">
        <f>IFERROR(__xludf.DUMMYFUNCTION("IF(ISNA(sum(filter(
Master_Mapping_Sheet!$E$2:$E$3143, ISNUMBER(
Master_Mapping_Sheet!$E$2:$E$3143),
Master_Mapping_Sheet!$H$2:$H$3143=N$1,
Master_Mapping_Sheet!$B$2:$B$3143=$A11))/sum(filter(
Master_Mapping_Sheet!$E$2:$E$3143, ISNUMBER(
Master_Mapping_Sh"&amp;"eet!$E$2:$E$3143),
Master_Mapping_Sheet!$H$2:$H$3143=N$1))), 0, sum(filter(
Master_Mapping_Sheet!$E$2:$E$3143, ISNUMBER(
Master_Mapping_Sheet!$E$2:$E$3143),
Master_Mapping_Sheet!$H$2:$H$3143=N$1,
Master_Mapping_Sheet!$B$2:$B$3143=$A11))/sum(filter(
Master"&amp;"_Mapping_Sheet!$E$2:$E$3143, ISNUMBER(
Master_Mapping_Sheet!$E$2:$E$3143),
Master_Mapping_Sheet!$H$2:$H$3143=N$1)))"),0.0)</f>
        <v>0</v>
      </c>
      <c r="O11" s="34">
        <f>IFERROR(__xludf.DUMMYFUNCTION("IF(ISNA(sum(filter(
Master_Mapping_Sheet!$E$2:$E$3143, ISNUMBER(
Master_Mapping_Sheet!$E$2:$E$3143),
Master_Mapping_Sheet!$H$2:$H$3143=O$1,
Master_Mapping_Sheet!$B$2:$B$3143=$A11))/sum(filter(
Master_Mapping_Sheet!$E$2:$E$3143, ISNUMBER(
Master_Mapping_Sh"&amp;"eet!$E$2:$E$3143),
Master_Mapping_Sheet!$H$2:$H$3143=O$1))), 0, sum(filter(
Master_Mapping_Sheet!$E$2:$E$3143, ISNUMBER(
Master_Mapping_Sheet!$E$2:$E$3143),
Master_Mapping_Sheet!$H$2:$H$3143=O$1,
Master_Mapping_Sheet!$B$2:$B$3143=$A11))/sum(filter(
Master"&amp;"_Mapping_Sheet!$E$2:$E$3143, ISNUMBER(
Master_Mapping_Sheet!$E$2:$E$3143),
Master_Mapping_Sheet!$H$2:$H$3143=O$1)))"),0.0)</f>
        <v>0</v>
      </c>
      <c r="P11" s="34">
        <f>IFERROR(__xludf.DUMMYFUNCTION("IF(ISNA(sum(filter(
Master_Mapping_Sheet!$E$2:$E$3143, ISNUMBER(
Master_Mapping_Sheet!$E$2:$E$3143),
Master_Mapping_Sheet!$H$2:$H$3143=P$1,
Master_Mapping_Sheet!$B$2:$B$3143=$A11))/sum(filter(
Master_Mapping_Sheet!$E$2:$E$3143, ISNUMBER(
Master_Mapping_Sh"&amp;"eet!$E$2:$E$3143),
Master_Mapping_Sheet!$H$2:$H$3143=P$1))), 0, sum(filter(
Master_Mapping_Sheet!$E$2:$E$3143, ISNUMBER(
Master_Mapping_Sheet!$E$2:$E$3143),
Master_Mapping_Sheet!$H$2:$H$3143=P$1,
Master_Mapping_Sheet!$B$2:$B$3143=$A11))/sum(filter(
Master"&amp;"_Mapping_Sheet!$E$2:$E$3143, ISNUMBER(
Master_Mapping_Sheet!$E$2:$E$3143),
Master_Mapping_Sheet!$H$2:$H$3143=P$1)))"),0.0)</f>
        <v>0</v>
      </c>
      <c r="Q11" s="34">
        <f>IFERROR(__xludf.DUMMYFUNCTION("IF(ISNA(sum(filter(
Master_Mapping_Sheet!$E$2:$E$3143, ISNUMBER(
Master_Mapping_Sheet!$E$2:$E$3143),
Master_Mapping_Sheet!$H$2:$H$3143=Q$1,
Master_Mapping_Sheet!$B$2:$B$3143=$A11))/sum(filter(
Master_Mapping_Sheet!$E$2:$E$3143, ISNUMBER(
Master_Mapping_Sh"&amp;"eet!$E$2:$E$3143),
Master_Mapping_Sheet!$H$2:$H$3143=Q$1))), 0, sum(filter(
Master_Mapping_Sheet!$E$2:$E$3143, ISNUMBER(
Master_Mapping_Sheet!$E$2:$E$3143),
Master_Mapping_Sheet!$H$2:$H$3143=Q$1,
Master_Mapping_Sheet!$B$2:$B$3143=$A11))/sum(filter(
Master"&amp;"_Mapping_Sheet!$E$2:$E$3143, ISNUMBER(
Master_Mapping_Sheet!$E$2:$E$3143),
Master_Mapping_Sheet!$H$2:$H$3143=Q$1)))"),0.06638492461434758)</f>
        <v>0.06638492461</v>
      </c>
      <c r="R11" s="34">
        <f>IFERROR(__xludf.DUMMYFUNCTION("IF(ISNA(sum(filter(
Master_Mapping_Sheet!$E$2:$E$3143, ISNUMBER(
Master_Mapping_Sheet!$E$2:$E$3143),
Master_Mapping_Sheet!$H$2:$H$3143=R$1,
Master_Mapping_Sheet!$B$2:$B$3143=$A11))/sum(filter(
Master_Mapping_Sheet!$E$2:$E$3143, ISNUMBER(
Master_Mapping_Sh"&amp;"eet!$E$2:$E$3143),
Master_Mapping_Sheet!$H$2:$H$3143=R$1))), 0, sum(filter(
Master_Mapping_Sheet!$E$2:$E$3143, ISNUMBER(
Master_Mapping_Sheet!$E$2:$E$3143),
Master_Mapping_Sheet!$H$2:$H$3143=R$1,
Master_Mapping_Sheet!$B$2:$B$3143=$A11))/sum(filter(
Master"&amp;"_Mapping_Sheet!$E$2:$E$3143, ISNUMBER(
Master_Mapping_Sheet!$E$2:$E$3143),
Master_Mapping_Sheet!$H$2:$H$3143=R$1)))"),0.0)</f>
        <v>0</v>
      </c>
      <c r="S11" s="34">
        <f>IFERROR(__xludf.DUMMYFUNCTION("IF(ISNA(sum(filter(
Master_Mapping_Sheet!$E$2:$E$3143, ISNUMBER(
Master_Mapping_Sheet!$E$2:$E$3143),
Master_Mapping_Sheet!$H$2:$H$3143=S$1,
Master_Mapping_Sheet!$B$2:$B$3143=$A11))/sum(filter(
Master_Mapping_Sheet!$E$2:$E$3143, ISNUMBER(
Master_Mapping_Sh"&amp;"eet!$E$2:$E$3143),
Master_Mapping_Sheet!$H$2:$H$3143=S$1))), 0, sum(filter(
Master_Mapping_Sheet!$E$2:$E$3143, ISNUMBER(
Master_Mapping_Sheet!$E$2:$E$3143),
Master_Mapping_Sheet!$H$2:$H$3143=S$1,
Master_Mapping_Sheet!$B$2:$B$3143=$A11))/sum(filter(
Master"&amp;"_Mapping_Sheet!$E$2:$E$3143, ISNUMBER(
Master_Mapping_Sheet!$E$2:$E$3143),
Master_Mapping_Sheet!$H$2:$H$3143=S$1)))"),0.0)</f>
        <v>0</v>
      </c>
      <c r="T11" s="34">
        <f>IFERROR(__xludf.DUMMYFUNCTION("IF(ISNA(sum(filter(
Master_Mapping_Sheet!$E$2:$E$3143, ISNUMBER(
Master_Mapping_Sheet!$E$2:$E$3143),
Master_Mapping_Sheet!$H$2:$H$3143=T$1,
Master_Mapping_Sheet!$B$2:$B$3143=$A11))/sum(filter(
Master_Mapping_Sheet!$E$2:$E$3143, ISNUMBER(
Master_Mapping_Sh"&amp;"eet!$E$2:$E$3143),
Master_Mapping_Sheet!$H$2:$H$3143=T$1))), 0, sum(filter(
Master_Mapping_Sheet!$E$2:$E$3143, ISNUMBER(
Master_Mapping_Sheet!$E$2:$E$3143),
Master_Mapping_Sheet!$H$2:$H$3143=T$1,
Master_Mapping_Sheet!$B$2:$B$3143=$A11))/sum(filter(
Master"&amp;"_Mapping_Sheet!$E$2:$E$3143, ISNUMBER(
Master_Mapping_Sheet!$E$2:$E$3143),
Master_Mapping_Sheet!$H$2:$H$3143=T$1)))"),0.0)</f>
        <v>0</v>
      </c>
      <c r="U11" s="34">
        <f>IFERROR(__xludf.DUMMYFUNCTION("IF(ISNA(sum(filter(
Master_Mapping_Sheet!$E$2:$E$3143, ISNUMBER(
Master_Mapping_Sheet!$E$2:$E$3143),
Master_Mapping_Sheet!$H$2:$H$3143=U$1,
Master_Mapping_Sheet!$B$2:$B$3143=$A11))/sum(filter(
Master_Mapping_Sheet!$E$2:$E$3143, ISNUMBER(
Master_Mapping_Sh"&amp;"eet!$E$2:$E$3143),
Master_Mapping_Sheet!$H$2:$H$3143=U$1))), 0, sum(filter(
Master_Mapping_Sheet!$E$2:$E$3143, ISNUMBER(
Master_Mapping_Sheet!$E$2:$E$3143),
Master_Mapping_Sheet!$H$2:$H$3143=U$1,
Master_Mapping_Sheet!$B$2:$B$3143=$A11))/sum(filter(
Master"&amp;"_Mapping_Sheet!$E$2:$E$3143, ISNUMBER(
Master_Mapping_Sheet!$E$2:$E$3143),
Master_Mapping_Sheet!$H$2:$H$3143=U$1)))"),0.0)</f>
        <v>0</v>
      </c>
      <c r="V11" s="34">
        <f>IFERROR(__xludf.DUMMYFUNCTION("IF(ISNA(sum(filter(
Master_Mapping_Sheet!$E$2:$E$3143, ISNUMBER(
Master_Mapping_Sheet!$E$2:$E$3143),
Master_Mapping_Sheet!$H$2:$H$3143=V$1,
Master_Mapping_Sheet!$B$2:$B$3143=$A11))/sum(filter(
Master_Mapping_Sheet!$E$2:$E$3143, ISNUMBER(
Master_Mapping_Sh"&amp;"eet!$E$2:$E$3143),
Master_Mapping_Sheet!$H$2:$H$3143=V$1))), 0, sum(filter(
Master_Mapping_Sheet!$E$2:$E$3143, ISNUMBER(
Master_Mapping_Sheet!$E$2:$E$3143),
Master_Mapping_Sheet!$H$2:$H$3143=V$1,
Master_Mapping_Sheet!$B$2:$B$3143=$A11))/sum(filter(
Master"&amp;"_Mapping_Sheet!$E$2:$E$3143, ISNUMBER(
Master_Mapping_Sheet!$E$2:$E$3143),
Master_Mapping_Sheet!$H$2:$H$3143=V$1)))"),0.0)</f>
        <v>0</v>
      </c>
      <c r="W11" s="34">
        <f>IFERROR(__xludf.DUMMYFUNCTION("IF(ISNA(sum(filter(
Master_Mapping_Sheet!$E$2:$E$3143, ISNUMBER(
Master_Mapping_Sheet!$E$2:$E$3143),
Master_Mapping_Sheet!$H$2:$H$3143=W$1,
Master_Mapping_Sheet!$B$2:$B$3143=$A11))/sum(filter(
Master_Mapping_Sheet!$E$2:$E$3143, ISNUMBER(
Master_Mapping_Sh"&amp;"eet!$E$2:$E$3143),
Master_Mapping_Sheet!$H$2:$H$3143=W$1))), 0, sum(filter(
Master_Mapping_Sheet!$E$2:$E$3143, ISNUMBER(
Master_Mapping_Sheet!$E$2:$E$3143),
Master_Mapping_Sheet!$H$2:$H$3143=W$1,
Master_Mapping_Sheet!$B$2:$B$3143=$A11))/sum(filter(
Master"&amp;"_Mapping_Sheet!$E$2:$E$3143, ISNUMBER(
Master_Mapping_Sheet!$E$2:$E$3143),
Master_Mapping_Sheet!$H$2:$H$3143=W$1)))"),0.0)</f>
        <v>0</v>
      </c>
      <c r="X11" s="34">
        <f>IFERROR(__xludf.DUMMYFUNCTION("IF(ISNA(sum(filter(
Master_Mapping_Sheet!$E$2:$E$3143, ISNUMBER(
Master_Mapping_Sheet!$E$2:$E$3143),
Master_Mapping_Sheet!$H$2:$H$3143=X$1,
Master_Mapping_Sheet!$B$2:$B$3143=$A11))/sum(filter(
Master_Mapping_Sheet!$E$2:$E$3143, ISNUMBER(
Master_Mapping_Sh"&amp;"eet!$E$2:$E$3143),
Master_Mapping_Sheet!$H$2:$H$3143=X$1))), 0, sum(filter(
Master_Mapping_Sheet!$E$2:$E$3143, ISNUMBER(
Master_Mapping_Sheet!$E$2:$E$3143),
Master_Mapping_Sheet!$H$2:$H$3143=X$1,
Master_Mapping_Sheet!$B$2:$B$3143=$A11))/sum(filter(
Master"&amp;"_Mapping_Sheet!$E$2:$E$3143, ISNUMBER(
Master_Mapping_Sheet!$E$2:$E$3143),
Master_Mapping_Sheet!$H$2:$H$3143=X$1)))"),0.0)</f>
        <v>0</v>
      </c>
      <c r="Y11" s="34">
        <f>IFERROR(__xludf.DUMMYFUNCTION("IF(ISNA(sum(filter(
Master_Mapping_Sheet!$E$2:$E$3143, ISNUMBER(
Master_Mapping_Sheet!$E$2:$E$3143),
Master_Mapping_Sheet!$H$2:$H$3143=Y$1,
Master_Mapping_Sheet!$B$2:$B$3143=$A11))/sum(filter(
Master_Mapping_Sheet!$E$2:$E$3143, ISNUMBER(
Master_Mapping_Sh"&amp;"eet!$E$2:$E$3143),
Master_Mapping_Sheet!$H$2:$H$3143=Y$1))), 0, sum(filter(
Master_Mapping_Sheet!$E$2:$E$3143, ISNUMBER(
Master_Mapping_Sheet!$E$2:$E$3143),
Master_Mapping_Sheet!$H$2:$H$3143=Y$1,
Master_Mapping_Sheet!$B$2:$B$3143=$A11))/sum(filter(
Master"&amp;"_Mapping_Sheet!$E$2:$E$3143, ISNUMBER(
Master_Mapping_Sheet!$E$2:$E$3143),
Master_Mapping_Sheet!$H$2:$H$3143=Y$1)))"),0.0)</f>
        <v>0</v>
      </c>
      <c r="Z11" s="34">
        <f>IFERROR(__xludf.DUMMYFUNCTION("IF(ISNA(sum(filter(
Master_Mapping_Sheet!$E$2:$E$3143, ISNUMBER(
Master_Mapping_Sheet!$E$2:$E$3143),
Master_Mapping_Sheet!$H$2:$H$3143=Z$1,
Master_Mapping_Sheet!$B$2:$B$3143=$A11))/sum(filter(
Master_Mapping_Sheet!$E$2:$E$3143, ISNUMBER(
Master_Mapping_Sh"&amp;"eet!$E$2:$E$3143),
Master_Mapping_Sheet!$H$2:$H$3143=Z$1))), 0, sum(filter(
Master_Mapping_Sheet!$E$2:$E$3143, ISNUMBER(
Master_Mapping_Sheet!$E$2:$E$3143),
Master_Mapping_Sheet!$H$2:$H$3143=Z$1,
Master_Mapping_Sheet!$B$2:$B$3143=$A11))/sum(filter(
Master"&amp;"_Mapping_Sheet!$E$2:$E$3143, ISNUMBER(
Master_Mapping_Sheet!$E$2:$E$3143),
Master_Mapping_Sheet!$H$2:$H$3143=Z$1)))"),0.0)</f>
        <v>0</v>
      </c>
      <c r="AA11" s="34">
        <f>IFERROR(__xludf.DUMMYFUNCTION("IF(ISNA(sum(filter(
Master_Mapping_Sheet!$E$2:$E$3143, ISNUMBER(
Master_Mapping_Sheet!$E$2:$E$3143),
Master_Mapping_Sheet!$H$2:$H$3143=AA$1,
Master_Mapping_Sheet!$B$2:$B$3143=$A11))/sum(filter(
Master_Mapping_Sheet!$E$2:$E$3143, ISNUMBER(
Master_Mapping_S"&amp;"heet!$E$2:$E$3143),
Master_Mapping_Sheet!$H$2:$H$3143=AA$1))), 0, sum(filter(
Master_Mapping_Sheet!$E$2:$E$3143, ISNUMBER(
Master_Mapping_Sheet!$E$2:$E$3143),
Master_Mapping_Sheet!$H$2:$H$3143=AA$1,
Master_Mapping_Sheet!$B$2:$B$3143=$A11))/sum(filter(
Mas"&amp;"ter_Mapping_Sheet!$E$2:$E$3143, ISNUMBER(
Master_Mapping_Sheet!$E$2:$E$3143),
Master_Mapping_Sheet!$H$2:$H$3143=AA$1)))"),0.0)</f>
        <v>0</v>
      </c>
    </row>
    <row r="12" ht="15.75" customHeight="1">
      <c r="A12" s="34" t="s">
        <v>461</v>
      </c>
      <c r="B12" s="34" t="s">
        <v>2314</v>
      </c>
      <c r="C12" s="34">
        <f>IFERROR(__xludf.DUMMYFUNCTION("IF(ISNA(sum(filter(
Master_Mapping_Sheet!$E$2:$E$3143, ISNUMBER(
Master_Mapping_Sheet!$E$2:$E$3143),
Master_Mapping_Sheet!$H$2:$H$3143=C$1,
Master_Mapping_Sheet!$B$2:$B$3143=$A12))/sum(filter(
Master_Mapping_Sheet!$E$2:$E$3143, ISNUMBER(
Master_Mapping_Sh"&amp;"eet!$E$2:$E$3143),
Master_Mapping_Sheet!$H$2:$H$3143=C$1))), 0, sum(filter(
Master_Mapping_Sheet!$E$2:$E$3143, ISNUMBER(
Master_Mapping_Sheet!$E$2:$E$3143),
Master_Mapping_Sheet!$H$2:$H$3143=C$1,
Master_Mapping_Sheet!$B$2:$B$3143=$A12))/sum(filter(
Master"&amp;"_Mapping_Sheet!$E$2:$E$3143, ISNUMBER(
Master_Mapping_Sheet!$E$2:$E$3143),
Master_Mapping_Sheet!$H$2:$H$3143=C$1)))"),0.0)</f>
        <v>0</v>
      </c>
      <c r="D12" s="34">
        <f>IFERROR(__xludf.DUMMYFUNCTION("IF(ISNA(sum(filter(
Master_Mapping_Sheet!$E$2:$E$3143, ISNUMBER(
Master_Mapping_Sheet!$E$2:$E$3143),
Master_Mapping_Sheet!$H$2:$H$3143=D$1,
Master_Mapping_Sheet!$B$2:$B$3143=$A12))/sum(filter(
Master_Mapping_Sheet!$E$2:$E$3143, ISNUMBER(
Master_Mapping_Sh"&amp;"eet!$E$2:$E$3143),
Master_Mapping_Sheet!$H$2:$H$3143=D$1))), 0, sum(filter(
Master_Mapping_Sheet!$E$2:$E$3143, ISNUMBER(
Master_Mapping_Sheet!$E$2:$E$3143),
Master_Mapping_Sheet!$H$2:$H$3143=D$1,
Master_Mapping_Sheet!$B$2:$B$3143=$A12))/sum(filter(
Master"&amp;"_Mapping_Sheet!$E$2:$E$3143, ISNUMBER(
Master_Mapping_Sheet!$E$2:$E$3143),
Master_Mapping_Sheet!$H$2:$H$3143=D$1)))"),0.0)</f>
        <v>0</v>
      </c>
      <c r="E12" s="32">
        <f>IFERROR(__xludf.DUMMYFUNCTION("IF(ISNA(sum(filter(
Master_Mapping_Sheet!$E$2:$E$3143, ISNUMBER(
Master_Mapping_Sheet!$E$2:$E$3143),
Master_Mapping_Sheet!$H$2:$H$3143=E$1,
Master_Mapping_Sheet!$B$2:$B$3143=$A12))/sum(filter(
Master_Mapping_Sheet!$E$2:$E$3143, ISNUMBER(
Master_Mapping_Sh"&amp;"eet!$E$2:$E$3143),
Master_Mapping_Sheet!$H$2:$H$3143=E$1))), 0, sum(filter(
Master_Mapping_Sheet!$E$2:$E$3143, ISNUMBER(
Master_Mapping_Sheet!$E$2:$E$3143),
Master_Mapping_Sheet!$H$2:$H$3143=E$1,
Master_Mapping_Sheet!$B$2:$B$3143=$A12))/sum(filter(
Master"&amp;"_Mapping_Sheet!$E$2:$E$3143, ISNUMBER(
Master_Mapping_Sheet!$E$2:$E$3143),
Master_Mapping_Sheet!$H$2:$H$3143=E$1)))"),0.0)</f>
        <v>0</v>
      </c>
      <c r="F12" s="34">
        <f>IFERROR(__xludf.DUMMYFUNCTION("IF(ISNA(sum(filter(
Master_Mapping_Sheet!$E$2:$E$3143, ISNUMBER(
Master_Mapping_Sheet!$E$2:$E$3143),
Master_Mapping_Sheet!$H$2:$H$3143=F$1,
Master_Mapping_Sheet!$B$2:$B$3143=$A12))/sum(filter(
Master_Mapping_Sheet!$E$2:$E$3143, ISNUMBER(
Master_Mapping_Sh"&amp;"eet!$E$2:$E$3143),
Master_Mapping_Sheet!$H$2:$H$3143=F$1))), 0, sum(filter(
Master_Mapping_Sheet!$E$2:$E$3143, ISNUMBER(
Master_Mapping_Sheet!$E$2:$E$3143),
Master_Mapping_Sheet!$H$2:$H$3143=F$1,
Master_Mapping_Sheet!$B$2:$B$3143=$A12))/sum(filter(
Master"&amp;"_Mapping_Sheet!$E$2:$E$3143, ISNUMBER(
Master_Mapping_Sheet!$E$2:$E$3143),
Master_Mapping_Sheet!$H$2:$H$3143=F$1)))"),0.0)</f>
        <v>0</v>
      </c>
      <c r="G12" s="34">
        <f>IFERROR(__xludf.DUMMYFUNCTION("IF(ISNA(sum(filter(
Master_Mapping_Sheet!$E$2:$E$3143, ISNUMBER(
Master_Mapping_Sheet!$E$2:$E$3143),
Master_Mapping_Sheet!$H$2:$H$3143=G$1,
Master_Mapping_Sheet!$B$2:$B$3143=$A12))/sum(filter(
Master_Mapping_Sheet!$E$2:$E$3143, ISNUMBER(
Master_Mapping_Sh"&amp;"eet!$E$2:$E$3143),
Master_Mapping_Sheet!$H$2:$H$3143=G$1))), 0, sum(filter(
Master_Mapping_Sheet!$E$2:$E$3143, ISNUMBER(
Master_Mapping_Sheet!$E$2:$E$3143),
Master_Mapping_Sheet!$H$2:$H$3143=G$1,
Master_Mapping_Sheet!$B$2:$B$3143=$A12))/sum(filter(
Master"&amp;"_Mapping_Sheet!$E$2:$E$3143, ISNUMBER(
Master_Mapping_Sheet!$E$2:$E$3143),
Master_Mapping_Sheet!$H$2:$H$3143=G$1)))"),0.0)</f>
        <v>0</v>
      </c>
      <c r="H12" s="34">
        <f>IFERROR(__xludf.DUMMYFUNCTION("IF(ISNA(sum(filter(
Master_Mapping_Sheet!$E$2:$E$3143, ISNUMBER(
Master_Mapping_Sheet!$E$2:$E$3143),
Master_Mapping_Sheet!$H$2:$H$3143=H$1,
Master_Mapping_Sheet!$B$2:$B$3143=$A12))/sum(filter(
Master_Mapping_Sheet!$E$2:$E$3143, ISNUMBER(
Master_Mapping_Sh"&amp;"eet!$E$2:$E$3143),
Master_Mapping_Sheet!$H$2:$H$3143=H$1))), 0, sum(filter(
Master_Mapping_Sheet!$E$2:$E$3143, ISNUMBER(
Master_Mapping_Sheet!$E$2:$E$3143),
Master_Mapping_Sheet!$H$2:$H$3143=H$1,
Master_Mapping_Sheet!$B$2:$B$3143=$A12))/sum(filter(
Master"&amp;"_Mapping_Sheet!$E$2:$E$3143, ISNUMBER(
Master_Mapping_Sheet!$E$2:$E$3143),
Master_Mapping_Sheet!$H$2:$H$3143=H$1)))"),0.0)</f>
        <v>0</v>
      </c>
      <c r="I12" s="34">
        <f>IFERROR(__xludf.DUMMYFUNCTION("IF(ISNA(sum(filter(
Master_Mapping_Sheet!$E$2:$E$3143, ISNUMBER(
Master_Mapping_Sheet!$E$2:$E$3143),
Master_Mapping_Sheet!$H$2:$H$3143=I$1,
Master_Mapping_Sheet!$B$2:$B$3143=$A12))/sum(filter(
Master_Mapping_Sheet!$E$2:$E$3143, ISNUMBER(
Master_Mapping_Sh"&amp;"eet!$E$2:$E$3143),
Master_Mapping_Sheet!$H$2:$H$3143=I$1))), 0, sum(filter(
Master_Mapping_Sheet!$E$2:$E$3143, ISNUMBER(
Master_Mapping_Sheet!$E$2:$E$3143),
Master_Mapping_Sheet!$H$2:$H$3143=I$1,
Master_Mapping_Sheet!$B$2:$B$3143=$A12))/sum(filter(
Master"&amp;"_Mapping_Sheet!$E$2:$E$3143, ISNUMBER(
Master_Mapping_Sheet!$E$2:$E$3143),
Master_Mapping_Sheet!$H$2:$H$3143=I$1)))"),0.0)</f>
        <v>0</v>
      </c>
      <c r="J12" s="34">
        <f>IFERROR(__xludf.DUMMYFUNCTION("IF(ISNA(sum(filter(
Master_Mapping_Sheet!$E$2:$E$3143, ISNUMBER(
Master_Mapping_Sheet!$E$2:$E$3143),
Master_Mapping_Sheet!$H$2:$H$3143=J$1,
Master_Mapping_Sheet!$B$2:$B$3143=$A12))/sum(filter(
Master_Mapping_Sheet!$E$2:$E$3143, ISNUMBER(
Master_Mapping_Sh"&amp;"eet!$E$2:$E$3143),
Master_Mapping_Sheet!$H$2:$H$3143=J$1))), 0, sum(filter(
Master_Mapping_Sheet!$E$2:$E$3143, ISNUMBER(
Master_Mapping_Sheet!$E$2:$E$3143),
Master_Mapping_Sheet!$H$2:$H$3143=J$1,
Master_Mapping_Sheet!$B$2:$B$3143=$A12))/sum(filter(
Master"&amp;"_Mapping_Sheet!$E$2:$E$3143, ISNUMBER(
Master_Mapping_Sheet!$E$2:$E$3143),
Master_Mapping_Sheet!$H$2:$H$3143=J$1)))"),0.0)</f>
        <v>0</v>
      </c>
      <c r="K12" s="34">
        <f>IFERROR(__xludf.DUMMYFUNCTION("IF(ISNA(sum(filter(
Master_Mapping_Sheet!$E$2:$E$3143, ISNUMBER(
Master_Mapping_Sheet!$E$2:$E$3143),
Master_Mapping_Sheet!$H$2:$H$3143=K$1,
Master_Mapping_Sheet!$B$2:$B$3143=$A12))/sum(filter(
Master_Mapping_Sheet!$E$2:$E$3143, ISNUMBER(
Master_Mapping_Sh"&amp;"eet!$E$2:$E$3143),
Master_Mapping_Sheet!$H$2:$H$3143=K$1))), 0, sum(filter(
Master_Mapping_Sheet!$E$2:$E$3143, ISNUMBER(
Master_Mapping_Sheet!$E$2:$E$3143),
Master_Mapping_Sheet!$H$2:$H$3143=K$1,
Master_Mapping_Sheet!$B$2:$B$3143=$A12))/sum(filter(
Master"&amp;"_Mapping_Sheet!$E$2:$E$3143, ISNUMBER(
Master_Mapping_Sheet!$E$2:$E$3143),
Master_Mapping_Sheet!$H$2:$H$3143=K$1)))"),0.0)</f>
        <v>0</v>
      </c>
      <c r="L12" s="34">
        <f>IFERROR(__xludf.DUMMYFUNCTION("IF(ISNA(sum(filter(
Master_Mapping_Sheet!$E$2:$E$3143, ISNUMBER(
Master_Mapping_Sheet!$E$2:$E$3143),
Master_Mapping_Sheet!$H$2:$H$3143=L$1,
Master_Mapping_Sheet!$B$2:$B$3143=$A12))/sum(filter(
Master_Mapping_Sheet!$E$2:$E$3143, ISNUMBER(
Master_Mapping_Sh"&amp;"eet!$E$2:$E$3143),
Master_Mapping_Sheet!$H$2:$H$3143=L$1))), 0, sum(filter(
Master_Mapping_Sheet!$E$2:$E$3143, ISNUMBER(
Master_Mapping_Sheet!$E$2:$E$3143),
Master_Mapping_Sheet!$H$2:$H$3143=L$1,
Master_Mapping_Sheet!$B$2:$B$3143=$A12))/sum(filter(
Master"&amp;"_Mapping_Sheet!$E$2:$E$3143, ISNUMBER(
Master_Mapping_Sheet!$E$2:$E$3143),
Master_Mapping_Sheet!$H$2:$H$3143=L$1)))"),0.0)</f>
        <v>0</v>
      </c>
      <c r="M12" s="34">
        <f>IFERROR(__xludf.DUMMYFUNCTION("IF(ISNA(sum(filter(
Master_Mapping_Sheet!$E$2:$E$3143, ISNUMBER(
Master_Mapping_Sheet!$E$2:$E$3143),
Master_Mapping_Sheet!$H$2:$H$3143=M$1,
Master_Mapping_Sheet!$B$2:$B$3143=$A12))/sum(filter(
Master_Mapping_Sheet!$E$2:$E$3143, ISNUMBER(
Master_Mapping_Sh"&amp;"eet!$E$2:$E$3143),
Master_Mapping_Sheet!$H$2:$H$3143=M$1))), 0, sum(filter(
Master_Mapping_Sheet!$E$2:$E$3143, ISNUMBER(
Master_Mapping_Sheet!$E$2:$E$3143),
Master_Mapping_Sheet!$H$2:$H$3143=M$1,
Master_Mapping_Sheet!$B$2:$B$3143=$A12))/sum(filter(
Master"&amp;"_Mapping_Sheet!$E$2:$E$3143, ISNUMBER(
Master_Mapping_Sheet!$E$2:$E$3143),
Master_Mapping_Sheet!$H$2:$H$3143=M$1)))"),0.0)</f>
        <v>0</v>
      </c>
      <c r="N12" s="34">
        <f>IFERROR(__xludf.DUMMYFUNCTION("IF(ISNA(sum(filter(
Master_Mapping_Sheet!$E$2:$E$3143, ISNUMBER(
Master_Mapping_Sheet!$E$2:$E$3143),
Master_Mapping_Sheet!$H$2:$H$3143=N$1,
Master_Mapping_Sheet!$B$2:$B$3143=$A12))/sum(filter(
Master_Mapping_Sheet!$E$2:$E$3143, ISNUMBER(
Master_Mapping_Sh"&amp;"eet!$E$2:$E$3143),
Master_Mapping_Sheet!$H$2:$H$3143=N$1))), 0, sum(filter(
Master_Mapping_Sheet!$E$2:$E$3143, ISNUMBER(
Master_Mapping_Sheet!$E$2:$E$3143),
Master_Mapping_Sheet!$H$2:$H$3143=N$1,
Master_Mapping_Sheet!$B$2:$B$3143=$A12))/sum(filter(
Master"&amp;"_Mapping_Sheet!$E$2:$E$3143, ISNUMBER(
Master_Mapping_Sheet!$E$2:$E$3143),
Master_Mapping_Sheet!$H$2:$H$3143=N$1)))"),0.0)</f>
        <v>0</v>
      </c>
      <c r="O12" s="34">
        <f>IFERROR(__xludf.DUMMYFUNCTION("IF(ISNA(sum(filter(
Master_Mapping_Sheet!$E$2:$E$3143, ISNUMBER(
Master_Mapping_Sheet!$E$2:$E$3143),
Master_Mapping_Sheet!$H$2:$H$3143=O$1,
Master_Mapping_Sheet!$B$2:$B$3143=$A12))/sum(filter(
Master_Mapping_Sheet!$E$2:$E$3143, ISNUMBER(
Master_Mapping_Sh"&amp;"eet!$E$2:$E$3143),
Master_Mapping_Sheet!$H$2:$H$3143=O$1))), 0, sum(filter(
Master_Mapping_Sheet!$E$2:$E$3143, ISNUMBER(
Master_Mapping_Sheet!$E$2:$E$3143),
Master_Mapping_Sheet!$H$2:$H$3143=O$1,
Master_Mapping_Sheet!$B$2:$B$3143=$A12))/sum(filter(
Master"&amp;"_Mapping_Sheet!$E$2:$E$3143, ISNUMBER(
Master_Mapping_Sheet!$E$2:$E$3143),
Master_Mapping_Sheet!$H$2:$H$3143=O$1)))"),0.0)</f>
        <v>0</v>
      </c>
      <c r="P12" s="34">
        <f>IFERROR(__xludf.DUMMYFUNCTION("IF(ISNA(sum(filter(
Master_Mapping_Sheet!$E$2:$E$3143, ISNUMBER(
Master_Mapping_Sheet!$E$2:$E$3143),
Master_Mapping_Sheet!$H$2:$H$3143=P$1,
Master_Mapping_Sheet!$B$2:$B$3143=$A12))/sum(filter(
Master_Mapping_Sheet!$E$2:$E$3143, ISNUMBER(
Master_Mapping_Sh"&amp;"eet!$E$2:$E$3143),
Master_Mapping_Sheet!$H$2:$H$3143=P$1))), 0, sum(filter(
Master_Mapping_Sheet!$E$2:$E$3143, ISNUMBER(
Master_Mapping_Sheet!$E$2:$E$3143),
Master_Mapping_Sheet!$H$2:$H$3143=P$1,
Master_Mapping_Sheet!$B$2:$B$3143=$A12))/sum(filter(
Master"&amp;"_Mapping_Sheet!$E$2:$E$3143, ISNUMBER(
Master_Mapping_Sheet!$E$2:$E$3143),
Master_Mapping_Sheet!$H$2:$H$3143=P$1)))"),0.0)</f>
        <v>0</v>
      </c>
      <c r="Q12" s="34">
        <f>IFERROR(__xludf.DUMMYFUNCTION("IF(ISNA(sum(filter(
Master_Mapping_Sheet!$E$2:$E$3143, ISNUMBER(
Master_Mapping_Sheet!$E$2:$E$3143),
Master_Mapping_Sheet!$H$2:$H$3143=Q$1,
Master_Mapping_Sheet!$B$2:$B$3143=$A12))/sum(filter(
Master_Mapping_Sheet!$E$2:$E$3143, ISNUMBER(
Master_Mapping_Sh"&amp;"eet!$E$2:$E$3143),
Master_Mapping_Sheet!$H$2:$H$3143=Q$1))), 0, sum(filter(
Master_Mapping_Sheet!$E$2:$E$3143, ISNUMBER(
Master_Mapping_Sheet!$E$2:$E$3143),
Master_Mapping_Sheet!$H$2:$H$3143=Q$1,
Master_Mapping_Sheet!$B$2:$B$3143=$A12))/sum(filter(
Master"&amp;"_Mapping_Sheet!$E$2:$E$3143, ISNUMBER(
Master_Mapping_Sheet!$E$2:$E$3143),
Master_Mapping_Sheet!$H$2:$H$3143=Q$1)))"),0.6339689005259741)</f>
        <v>0.6339689005</v>
      </c>
      <c r="R12" s="34">
        <f>IFERROR(__xludf.DUMMYFUNCTION("IF(ISNA(sum(filter(
Master_Mapping_Sheet!$E$2:$E$3143, ISNUMBER(
Master_Mapping_Sheet!$E$2:$E$3143),
Master_Mapping_Sheet!$H$2:$H$3143=R$1,
Master_Mapping_Sheet!$B$2:$B$3143=$A12))/sum(filter(
Master_Mapping_Sheet!$E$2:$E$3143, ISNUMBER(
Master_Mapping_Sh"&amp;"eet!$E$2:$E$3143),
Master_Mapping_Sheet!$H$2:$H$3143=R$1))), 0, sum(filter(
Master_Mapping_Sheet!$E$2:$E$3143, ISNUMBER(
Master_Mapping_Sheet!$E$2:$E$3143),
Master_Mapping_Sheet!$H$2:$H$3143=R$1,
Master_Mapping_Sheet!$B$2:$B$3143=$A12))/sum(filter(
Master"&amp;"_Mapping_Sheet!$E$2:$E$3143, ISNUMBER(
Master_Mapping_Sheet!$E$2:$E$3143),
Master_Mapping_Sheet!$H$2:$H$3143=R$1)))"),0.0044018273476145505)</f>
        <v>0.004401827348</v>
      </c>
      <c r="S12" s="34">
        <f>IFERROR(__xludf.DUMMYFUNCTION("IF(ISNA(sum(filter(
Master_Mapping_Sheet!$E$2:$E$3143, ISNUMBER(
Master_Mapping_Sheet!$E$2:$E$3143),
Master_Mapping_Sheet!$H$2:$H$3143=S$1,
Master_Mapping_Sheet!$B$2:$B$3143=$A12))/sum(filter(
Master_Mapping_Sheet!$E$2:$E$3143, ISNUMBER(
Master_Mapping_Sh"&amp;"eet!$E$2:$E$3143),
Master_Mapping_Sheet!$H$2:$H$3143=S$1))), 0, sum(filter(
Master_Mapping_Sheet!$E$2:$E$3143, ISNUMBER(
Master_Mapping_Sheet!$E$2:$E$3143),
Master_Mapping_Sheet!$H$2:$H$3143=S$1,
Master_Mapping_Sheet!$B$2:$B$3143=$A12))/sum(filter(
Master"&amp;"_Mapping_Sheet!$E$2:$E$3143, ISNUMBER(
Master_Mapping_Sheet!$E$2:$E$3143),
Master_Mapping_Sheet!$H$2:$H$3143=S$1)))"),0.0)</f>
        <v>0</v>
      </c>
      <c r="T12" s="34">
        <f>IFERROR(__xludf.DUMMYFUNCTION("IF(ISNA(sum(filter(
Master_Mapping_Sheet!$E$2:$E$3143, ISNUMBER(
Master_Mapping_Sheet!$E$2:$E$3143),
Master_Mapping_Sheet!$H$2:$H$3143=T$1,
Master_Mapping_Sheet!$B$2:$B$3143=$A12))/sum(filter(
Master_Mapping_Sheet!$E$2:$E$3143, ISNUMBER(
Master_Mapping_Sh"&amp;"eet!$E$2:$E$3143),
Master_Mapping_Sheet!$H$2:$H$3143=T$1))), 0, sum(filter(
Master_Mapping_Sheet!$E$2:$E$3143, ISNUMBER(
Master_Mapping_Sheet!$E$2:$E$3143),
Master_Mapping_Sheet!$H$2:$H$3143=T$1,
Master_Mapping_Sheet!$B$2:$B$3143=$A12))/sum(filter(
Master"&amp;"_Mapping_Sheet!$E$2:$E$3143, ISNUMBER(
Master_Mapping_Sheet!$E$2:$E$3143),
Master_Mapping_Sheet!$H$2:$H$3143=T$1)))"),0.0)</f>
        <v>0</v>
      </c>
      <c r="U12" s="34">
        <f>IFERROR(__xludf.DUMMYFUNCTION("IF(ISNA(sum(filter(
Master_Mapping_Sheet!$E$2:$E$3143, ISNUMBER(
Master_Mapping_Sheet!$E$2:$E$3143),
Master_Mapping_Sheet!$H$2:$H$3143=U$1,
Master_Mapping_Sheet!$B$2:$B$3143=$A12))/sum(filter(
Master_Mapping_Sheet!$E$2:$E$3143, ISNUMBER(
Master_Mapping_Sh"&amp;"eet!$E$2:$E$3143),
Master_Mapping_Sheet!$H$2:$H$3143=U$1))), 0, sum(filter(
Master_Mapping_Sheet!$E$2:$E$3143, ISNUMBER(
Master_Mapping_Sheet!$E$2:$E$3143),
Master_Mapping_Sheet!$H$2:$H$3143=U$1,
Master_Mapping_Sheet!$B$2:$B$3143=$A12))/sum(filter(
Master"&amp;"_Mapping_Sheet!$E$2:$E$3143, ISNUMBER(
Master_Mapping_Sheet!$E$2:$E$3143),
Master_Mapping_Sheet!$H$2:$H$3143=U$1)))"),0.0)</f>
        <v>0</v>
      </c>
      <c r="V12" s="34">
        <f>IFERROR(__xludf.DUMMYFUNCTION("IF(ISNA(sum(filter(
Master_Mapping_Sheet!$E$2:$E$3143, ISNUMBER(
Master_Mapping_Sheet!$E$2:$E$3143),
Master_Mapping_Sheet!$H$2:$H$3143=V$1,
Master_Mapping_Sheet!$B$2:$B$3143=$A12))/sum(filter(
Master_Mapping_Sheet!$E$2:$E$3143, ISNUMBER(
Master_Mapping_Sh"&amp;"eet!$E$2:$E$3143),
Master_Mapping_Sheet!$H$2:$H$3143=V$1))), 0, sum(filter(
Master_Mapping_Sheet!$E$2:$E$3143, ISNUMBER(
Master_Mapping_Sheet!$E$2:$E$3143),
Master_Mapping_Sheet!$H$2:$H$3143=V$1,
Master_Mapping_Sheet!$B$2:$B$3143=$A12))/sum(filter(
Master"&amp;"_Mapping_Sheet!$E$2:$E$3143, ISNUMBER(
Master_Mapping_Sheet!$E$2:$E$3143),
Master_Mapping_Sheet!$H$2:$H$3143=V$1)))"),0.0)</f>
        <v>0</v>
      </c>
      <c r="W12" s="34">
        <f>IFERROR(__xludf.DUMMYFUNCTION("IF(ISNA(sum(filter(
Master_Mapping_Sheet!$E$2:$E$3143, ISNUMBER(
Master_Mapping_Sheet!$E$2:$E$3143),
Master_Mapping_Sheet!$H$2:$H$3143=W$1,
Master_Mapping_Sheet!$B$2:$B$3143=$A12))/sum(filter(
Master_Mapping_Sheet!$E$2:$E$3143, ISNUMBER(
Master_Mapping_Sh"&amp;"eet!$E$2:$E$3143),
Master_Mapping_Sheet!$H$2:$H$3143=W$1))), 0, sum(filter(
Master_Mapping_Sheet!$E$2:$E$3143, ISNUMBER(
Master_Mapping_Sheet!$E$2:$E$3143),
Master_Mapping_Sheet!$H$2:$H$3143=W$1,
Master_Mapping_Sheet!$B$2:$B$3143=$A12))/sum(filter(
Master"&amp;"_Mapping_Sheet!$E$2:$E$3143, ISNUMBER(
Master_Mapping_Sheet!$E$2:$E$3143),
Master_Mapping_Sheet!$H$2:$H$3143=W$1)))"),0.0)</f>
        <v>0</v>
      </c>
      <c r="X12" s="34">
        <f>IFERROR(__xludf.DUMMYFUNCTION("IF(ISNA(sum(filter(
Master_Mapping_Sheet!$E$2:$E$3143, ISNUMBER(
Master_Mapping_Sheet!$E$2:$E$3143),
Master_Mapping_Sheet!$H$2:$H$3143=X$1,
Master_Mapping_Sheet!$B$2:$B$3143=$A12))/sum(filter(
Master_Mapping_Sheet!$E$2:$E$3143, ISNUMBER(
Master_Mapping_Sh"&amp;"eet!$E$2:$E$3143),
Master_Mapping_Sheet!$H$2:$H$3143=X$1))), 0, sum(filter(
Master_Mapping_Sheet!$E$2:$E$3143, ISNUMBER(
Master_Mapping_Sheet!$E$2:$E$3143),
Master_Mapping_Sheet!$H$2:$H$3143=X$1,
Master_Mapping_Sheet!$B$2:$B$3143=$A12))/sum(filter(
Master"&amp;"_Mapping_Sheet!$E$2:$E$3143, ISNUMBER(
Master_Mapping_Sheet!$E$2:$E$3143),
Master_Mapping_Sheet!$H$2:$H$3143=X$1)))"),0.0)</f>
        <v>0</v>
      </c>
      <c r="Y12" s="34">
        <f>IFERROR(__xludf.DUMMYFUNCTION("IF(ISNA(sum(filter(
Master_Mapping_Sheet!$E$2:$E$3143, ISNUMBER(
Master_Mapping_Sheet!$E$2:$E$3143),
Master_Mapping_Sheet!$H$2:$H$3143=Y$1,
Master_Mapping_Sheet!$B$2:$B$3143=$A12))/sum(filter(
Master_Mapping_Sheet!$E$2:$E$3143, ISNUMBER(
Master_Mapping_Sh"&amp;"eet!$E$2:$E$3143),
Master_Mapping_Sheet!$H$2:$H$3143=Y$1))), 0, sum(filter(
Master_Mapping_Sheet!$E$2:$E$3143, ISNUMBER(
Master_Mapping_Sheet!$E$2:$E$3143),
Master_Mapping_Sheet!$H$2:$H$3143=Y$1,
Master_Mapping_Sheet!$B$2:$B$3143=$A12))/sum(filter(
Master"&amp;"_Mapping_Sheet!$E$2:$E$3143, ISNUMBER(
Master_Mapping_Sheet!$E$2:$E$3143),
Master_Mapping_Sheet!$H$2:$H$3143=Y$1)))"),0.0)</f>
        <v>0</v>
      </c>
      <c r="Z12" s="34">
        <f>IFERROR(__xludf.DUMMYFUNCTION("IF(ISNA(sum(filter(
Master_Mapping_Sheet!$E$2:$E$3143, ISNUMBER(
Master_Mapping_Sheet!$E$2:$E$3143),
Master_Mapping_Sheet!$H$2:$H$3143=Z$1,
Master_Mapping_Sheet!$B$2:$B$3143=$A12))/sum(filter(
Master_Mapping_Sheet!$E$2:$E$3143, ISNUMBER(
Master_Mapping_Sh"&amp;"eet!$E$2:$E$3143),
Master_Mapping_Sheet!$H$2:$H$3143=Z$1))), 0, sum(filter(
Master_Mapping_Sheet!$E$2:$E$3143, ISNUMBER(
Master_Mapping_Sheet!$E$2:$E$3143),
Master_Mapping_Sheet!$H$2:$H$3143=Z$1,
Master_Mapping_Sheet!$B$2:$B$3143=$A12))/sum(filter(
Master"&amp;"_Mapping_Sheet!$E$2:$E$3143, ISNUMBER(
Master_Mapping_Sheet!$E$2:$E$3143),
Master_Mapping_Sheet!$H$2:$H$3143=Z$1)))"),0.0)</f>
        <v>0</v>
      </c>
      <c r="AA12" s="34">
        <f>IFERROR(__xludf.DUMMYFUNCTION("IF(ISNA(sum(filter(
Master_Mapping_Sheet!$E$2:$E$3143, ISNUMBER(
Master_Mapping_Sheet!$E$2:$E$3143),
Master_Mapping_Sheet!$H$2:$H$3143=AA$1,
Master_Mapping_Sheet!$B$2:$B$3143=$A12))/sum(filter(
Master_Mapping_Sheet!$E$2:$E$3143, ISNUMBER(
Master_Mapping_S"&amp;"heet!$E$2:$E$3143),
Master_Mapping_Sheet!$H$2:$H$3143=AA$1))), 0, sum(filter(
Master_Mapping_Sheet!$E$2:$E$3143, ISNUMBER(
Master_Mapping_Sheet!$E$2:$E$3143),
Master_Mapping_Sheet!$H$2:$H$3143=AA$1,
Master_Mapping_Sheet!$B$2:$B$3143=$A12))/sum(filter(
Mas"&amp;"ter_Mapping_Sheet!$E$2:$E$3143, ISNUMBER(
Master_Mapping_Sheet!$E$2:$E$3143),
Master_Mapping_Sheet!$H$2:$H$3143=AA$1)))"),0.0)</f>
        <v>0</v>
      </c>
    </row>
    <row r="13" ht="15.75" customHeight="1">
      <c r="A13" s="34" t="s">
        <v>570</v>
      </c>
      <c r="B13" s="34" t="s">
        <v>2423</v>
      </c>
      <c r="C13" s="34">
        <f>IFERROR(__xludf.DUMMYFUNCTION("IF(ISNA(sum(filter(
Master_Mapping_Sheet!$E$2:$E$3143, ISNUMBER(
Master_Mapping_Sheet!$E$2:$E$3143),
Master_Mapping_Sheet!$H$2:$H$3143=C$1,
Master_Mapping_Sheet!$B$2:$B$3143=$A13))/sum(filter(
Master_Mapping_Sheet!$E$2:$E$3143, ISNUMBER(
Master_Mapping_Sh"&amp;"eet!$E$2:$E$3143),
Master_Mapping_Sheet!$H$2:$H$3143=C$1))), 0, sum(filter(
Master_Mapping_Sheet!$E$2:$E$3143, ISNUMBER(
Master_Mapping_Sheet!$E$2:$E$3143),
Master_Mapping_Sheet!$H$2:$H$3143=C$1,
Master_Mapping_Sheet!$B$2:$B$3143=$A13))/sum(filter(
Master"&amp;"_Mapping_Sheet!$E$2:$E$3143, ISNUMBER(
Master_Mapping_Sheet!$E$2:$E$3143),
Master_Mapping_Sheet!$H$2:$H$3143=C$1)))"),0.0)</f>
        <v>0</v>
      </c>
      <c r="D13" s="34">
        <f>IFERROR(__xludf.DUMMYFUNCTION("IF(ISNA(sum(filter(
Master_Mapping_Sheet!$E$2:$E$3143, ISNUMBER(
Master_Mapping_Sheet!$E$2:$E$3143),
Master_Mapping_Sheet!$H$2:$H$3143=D$1,
Master_Mapping_Sheet!$B$2:$B$3143=$A13))/sum(filter(
Master_Mapping_Sheet!$E$2:$E$3143, ISNUMBER(
Master_Mapping_Sh"&amp;"eet!$E$2:$E$3143),
Master_Mapping_Sheet!$H$2:$H$3143=D$1))), 0, sum(filter(
Master_Mapping_Sheet!$E$2:$E$3143, ISNUMBER(
Master_Mapping_Sheet!$E$2:$E$3143),
Master_Mapping_Sheet!$H$2:$H$3143=D$1,
Master_Mapping_Sheet!$B$2:$B$3143=$A13))/sum(filter(
Master"&amp;"_Mapping_Sheet!$E$2:$E$3143, ISNUMBER(
Master_Mapping_Sheet!$E$2:$E$3143),
Master_Mapping_Sheet!$H$2:$H$3143=D$1)))"),0.0)</f>
        <v>0</v>
      </c>
      <c r="E13" s="32">
        <f>IFERROR(__xludf.DUMMYFUNCTION("IF(ISNA(sum(filter(
Master_Mapping_Sheet!$E$2:$E$3143, ISNUMBER(
Master_Mapping_Sheet!$E$2:$E$3143),
Master_Mapping_Sheet!$H$2:$H$3143=E$1,
Master_Mapping_Sheet!$B$2:$B$3143=$A13))/sum(filter(
Master_Mapping_Sheet!$E$2:$E$3143, ISNUMBER(
Master_Mapping_Sh"&amp;"eet!$E$2:$E$3143),
Master_Mapping_Sheet!$H$2:$H$3143=E$1))), 0, sum(filter(
Master_Mapping_Sheet!$E$2:$E$3143, ISNUMBER(
Master_Mapping_Sheet!$E$2:$E$3143),
Master_Mapping_Sheet!$H$2:$H$3143=E$1,
Master_Mapping_Sheet!$B$2:$B$3143=$A13))/sum(filter(
Master"&amp;"_Mapping_Sheet!$E$2:$E$3143, ISNUMBER(
Master_Mapping_Sheet!$E$2:$E$3143),
Master_Mapping_Sheet!$H$2:$H$3143=E$1)))"),0.0)</f>
        <v>0</v>
      </c>
      <c r="F13" s="34">
        <f>IFERROR(__xludf.DUMMYFUNCTION("IF(ISNA(sum(filter(
Master_Mapping_Sheet!$E$2:$E$3143, ISNUMBER(
Master_Mapping_Sheet!$E$2:$E$3143),
Master_Mapping_Sheet!$H$2:$H$3143=F$1,
Master_Mapping_Sheet!$B$2:$B$3143=$A13))/sum(filter(
Master_Mapping_Sheet!$E$2:$E$3143, ISNUMBER(
Master_Mapping_Sh"&amp;"eet!$E$2:$E$3143),
Master_Mapping_Sheet!$H$2:$H$3143=F$1))), 0, sum(filter(
Master_Mapping_Sheet!$E$2:$E$3143, ISNUMBER(
Master_Mapping_Sheet!$E$2:$E$3143),
Master_Mapping_Sheet!$H$2:$H$3143=F$1,
Master_Mapping_Sheet!$B$2:$B$3143=$A13))/sum(filter(
Master"&amp;"_Mapping_Sheet!$E$2:$E$3143, ISNUMBER(
Master_Mapping_Sheet!$E$2:$E$3143),
Master_Mapping_Sheet!$H$2:$H$3143=F$1)))"),0.0)</f>
        <v>0</v>
      </c>
      <c r="G13" s="34">
        <f>IFERROR(__xludf.DUMMYFUNCTION("IF(ISNA(sum(filter(
Master_Mapping_Sheet!$E$2:$E$3143, ISNUMBER(
Master_Mapping_Sheet!$E$2:$E$3143),
Master_Mapping_Sheet!$H$2:$H$3143=G$1,
Master_Mapping_Sheet!$B$2:$B$3143=$A13))/sum(filter(
Master_Mapping_Sheet!$E$2:$E$3143, ISNUMBER(
Master_Mapping_Sh"&amp;"eet!$E$2:$E$3143),
Master_Mapping_Sheet!$H$2:$H$3143=G$1))), 0, sum(filter(
Master_Mapping_Sheet!$E$2:$E$3143, ISNUMBER(
Master_Mapping_Sheet!$E$2:$E$3143),
Master_Mapping_Sheet!$H$2:$H$3143=G$1,
Master_Mapping_Sheet!$B$2:$B$3143=$A13))/sum(filter(
Master"&amp;"_Mapping_Sheet!$E$2:$E$3143, ISNUMBER(
Master_Mapping_Sheet!$E$2:$E$3143),
Master_Mapping_Sheet!$H$2:$H$3143=G$1)))"),0.0)</f>
        <v>0</v>
      </c>
      <c r="H13" s="34">
        <f>IFERROR(__xludf.DUMMYFUNCTION("IF(ISNA(sum(filter(
Master_Mapping_Sheet!$E$2:$E$3143, ISNUMBER(
Master_Mapping_Sheet!$E$2:$E$3143),
Master_Mapping_Sheet!$H$2:$H$3143=H$1,
Master_Mapping_Sheet!$B$2:$B$3143=$A13))/sum(filter(
Master_Mapping_Sheet!$E$2:$E$3143, ISNUMBER(
Master_Mapping_Sh"&amp;"eet!$E$2:$E$3143),
Master_Mapping_Sheet!$H$2:$H$3143=H$1))), 0, sum(filter(
Master_Mapping_Sheet!$E$2:$E$3143, ISNUMBER(
Master_Mapping_Sheet!$E$2:$E$3143),
Master_Mapping_Sheet!$H$2:$H$3143=H$1,
Master_Mapping_Sheet!$B$2:$B$3143=$A13))/sum(filter(
Master"&amp;"_Mapping_Sheet!$E$2:$E$3143, ISNUMBER(
Master_Mapping_Sheet!$E$2:$E$3143),
Master_Mapping_Sheet!$H$2:$H$3143=H$1)))"),0.0)</f>
        <v>0</v>
      </c>
      <c r="I13" s="34">
        <f>IFERROR(__xludf.DUMMYFUNCTION("IF(ISNA(sum(filter(
Master_Mapping_Sheet!$E$2:$E$3143, ISNUMBER(
Master_Mapping_Sheet!$E$2:$E$3143),
Master_Mapping_Sheet!$H$2:$H$3143=I$1,
Master_Mapping_Sheet!$B$2:$B$3143=$A13))/sum(filter(
Master_Mapping_Sheet!$E$2:$E$3143, ISNUMBER(
Master_Mapping_Sh"&amp;"eet!$E$2:$E$3143),
Master_Mapping_Sheet!$H$2:$H$3143=I$1))), 0, sum(filter(
Master_Mapping_Sheet!$E$2:$E$3143, ISNUMBER(
Master_Mapping_Sheet!$E$2:$E$3143),
Master_Mapping_Sheet!$H$2:$H$3143=I$1,
Master_Mapping_Sheet!$B$2:$B$3143=$A13))/sum(filter(
Master"&amp;"_Mapping_Sheet!$E$2:$E$3143, ISNUMBER(
Master_Mapping_Sheet!$E$2:$E$3143),
Master_Mapping_Sheet!$H$2:$H$3143=I$1)))"),0.0)</f>
        <v>0</v>
      </c>
      <c r="J13" s="34">
        <f>IFERROR(__xludf.DUMMYFUNCTION("IF(ISNA(sum(filter(
Master_Mapping_Sheet!$E$2:$E$3143, ISNUMBER(
Master_Mapping_Sheet!$E$2:$E$3143),
Master_Mapping_Sheet!$H$2:$H$3143=J$1,
Master_Mapping_Sheet!$B$2:$B$3143=$A13))/sum(filter(
Master_Mapping_Sheet!$E$2:$E$3143, ISNUMBER(
Master_Mapping_Sh"&amp;"eet!$E$2:$E$3143),
Master_Mapping_Sheet!$H$2:$H$3143=J$1))), 0, sum(filter(
Master_Mapping_Sheet!$E$2:$E$3143, ISNUMBER(
Master_Mapping_Sheet!$E$2:$E$3143),
Master_Mapping_Sheet!$H$2:$H$3143=J$1,
Master_Mapping_Sheet!$B$2:$B$3143=$A13))/sum(filter(
Master"&amp;"_Mapping_Sheet!$E$2:$E$3143, ISNUMBER(
Master_Mapping_Sheet!$E$2:$E$3143),
Master_Mapping_Sheet!$H$2:$H$3143=J$1)))"),0.0)</f>
        <v>0</v>
      </c>
      <c r="K13" s="34">
        <f>IFERROR(__xludf.DUMMYFUNCTION("IF(ISNA(sum(filter(
Master_Mapping_Sheet!$E$2:$E$3143, ISNUMBER(
Master_Mapping_Sheet!$E$2:$E$3143),
Master_Mapping_Sheet!$H$2:$H$3143=K$1,
Master_Mapping_Sheet!$B$2:$B$3143=$A13))/sum(filter(
Master_Mapping_Sheet!$E$2:$E$3143, ISNUMBER(
Master_Mapping_Sh"&amp;"eet!$E$2:$E$3143),
Master_Mapping_Sheet!$H$2:$H$3143=K$1))), 0, sum(filter(
Master_Mapping_Sheet!$E$2:$E$3143, ISNUMBER(
Master_Mapping_Sheet!$E$2:$E$3143),
Master_Mapping_Sheet!$H$2:$H$3143=K$1,
Master_Mapping_Sheet!$B$2:$B$3143=$A13))/sum(filter(
Master"&amp;"_Mapping_Sheet!$E$2:$E$3143, ISNUMBER(
Master_Mapping_Sheet!$E$2:$E$3143),
Master_Mapping_Sheet!$H$2:$H$3143=K$1)))"),0.0)</f>
        <v>0</v>
      </c>
      <c r="L13" s="34">
        <f>IFERROR(__xludf.DUMMYFUNCTION("IF(ISNA(sum(filter(
Master_Mapping_Sheet!$E$2:$E$3143, ISNUMBER(
Master_Mapping_Sheet!$E$2:$E$3143),
Master_Mapping_Sheet!$H$2:$H$3143=L$1,
Master_Mapping_Sheet!$B$2:$B$3143=$A13))/sum(filter(
Master_Mapping_Sheet!$E$2:$E$3143, ISNUMBER(
Master_Mapping_Sh"&amp;"eet!$E$2:$E$3143),
Master_Mapping_Sheet!$H$2:$H$3143=L$1))), 0, sum(filter(
Master_Mapping_Sheet!$E$2:$E$3143, ISNUMBER(
Master_Mapping_Sheet!$E$2:$E$3143),
Master_Mapping_Sheet!$H$2:$H$3143=L$1,
Master_Mapping_Sheet!$B$2:$B$3143=$A13))/sum(filter(
Master"&amp;"_Mapping_Sheet!$E$2:$E$3143, ISNUMBER(
Master_Mapping_Sheet!$E$2:$E$3143),
Master_Mapping_Sheet!$H$2:$H$3143=L$1)))"),0.0)</f>
        <v>0</v>
      </c>
      <c r="M13" s="34">
        <f>IFERROR(__xludf.DUMMYFUNCTION("IF(ISNA(sum(filter(
Master_Mapping_Sheet!$E$2:$E$3143, ISNUMBER(
Master_Mapping_Sheet!$E$2:$E$3143),
Master_Mapping_Sheet!$H$2:$H$3143=M$1,
Master_Mapping_Sheet!$B$2:$B$3143=$A13))/sum(filter(
Master_Mapping_Sheet!$E$2:$E$3143, ISNUMBER(
Master_Mapping_Sh"&amp;"eet!$E$2:$E$3143),
Master_Mapping_Sheet!$H$2:$H$3143=M$1))), 0, sum(filter(
Master_Mapping_Sheet!$E$2:$E$3143, ISNUMBER(
Master_Mapping_Sheet!$E$2:$E$3143),
Master_Mapping_Sheet!$H$2:$H$3143=M$1,
Master_Mapping_Sheet!$B$2:$B$3143=$A13))/sum(filter(
Master"&amp;"_Mapping_Sheet!$E$2:$E$3143, ISNUMBER(
Master_Mapping_Sheet!$E$2:$E$3143),
Master_Mapping_Sheet!$H$2:$H$3143=M$1)))"),0.0)</f>
        <v>0</v>
      </c>
      <c r="N13" s="34">
        <f>IFERROR(__xludf.DUMMYFUNCTION("IF(ISNA(sum(filter(
Master_Mapping_Sheet!$E$2:$E$3143, ISNUMBER(
Master_Mapping_Sheet!$E$2:$E$3143),
Master_Mapping_Sheet!$H$2:$H$3143=N$1,
Master_Mapping_Sheet!$B$2:$B$3143=$A13))/sum(filter(
Master_Mapping_Sheet!$E$2:$E$3143, ISNUMBER(
Master_Mapping_Sh"&amp;"eet!$E$2:$E$3143),
Master_Mapping_Sheet!$H$2:$H$3143=N$1))), 0, sum(filter(
Master_Mapping_Sheet!$E$2:$E$3143, ISNUMBER(
Master_Mapping_Sheet!$E$2:$E$3143),
Master_Mapping_Sheet!$H$2:$H$3143=N$1,
Master_Mapping_Sheet!$B$2:$B$3143=$A13))/sum(filter(
Master"&amp;"_Mapping_Sheet!$E$2:$E$3143, ISNUMBER(
Master_Mapping_Sheet!$E$2:$E$3143),
Master_Mapping_Sheet!$H$2:$H$3143=N$1)))"),0.0)</f>
        <v>0</v>
      </c>
      <c r="O13" s="34">
        <f>IFERROR(__xludf.DUMMYFUNCTION("IF(ISNA(sum(filter(
Master_Mapping_Sheet!$E$2:$E$3143, ISNUMBER(
Master_Mapping_Sheet!$E$2:$E$3143),
Master_Mapping_Sheet!$H$2:$H$3143=O$1,
Master_Mapping_Sheet!$B$2:$B$3143=$A13))/sum(filter(
Master_Mapping_Sheet!$E$2:$E$3143, ISNUMBER(
Master_Mapping_Sh"&amp;"eet!$E$2:$E$3143),
Master_Mapping_Sheet!$H$2:$H$3143=O$1))), 0, sum(filter(
Master_Mapping_Sheet!$E$2:$E$3143, ISNUMBER(
Master_Mapping_Sheet!$E$2:$E$3143),
Master_Mapping_Sheet!$H$2:$H$3143=O$1,
Master_Mapping_Sheet!$B$2:$B$3143=$A13))/sum(filter(
Master"&amp;"_Mapping_Sheet!$E$2:$E$3143, ISNUMBER(
Master_Mapping_Sheet!$E$2:$E$3143),
Master_Mapping_Sheet!$H$2:$H$3143=O$1)))"),0.0)</f>
        <v>0</v>
      </c>
      <c r="P13" s="34">
        <f>IFERROR(__xludf.DUMMYFUNCTION("IF(ISNA(sum(filter(
Master_Mapping_Sheet!$E$2:$E$3143, ISNUMBER(
Master_Mapping_Sheet!$E$2:$E$3143),
Master_Mapping_Sheet!$H$2:$H$3143=P$1,
Master_Mapping_Sheet!$B$2:$B$3143=$A13))/sum(filter(
Master_Mapping_Sheet!$E$2:$E$3143, ISNUMBER(
Master_Mapping_Sh"&amp;"eet!$E$2:$E$3143),
Master_Mapping_Sheet!$H$2:$H$3143=P$1))), 0, sum(filter(
Master_Mapping_Sheet!$E$2:$E$3143, ISNUMBER(
Master_Mapping_Sheet!$E$2:$E$3143),
Master_Mapping_Sheet!$H$2:$H$3143=P$1,
Master_Mapping_Sheet!$B$2:$B$3143=$A13))/sum(filter(
Master"&amp;"_Mapping_Sheet!$E$2:$E$3143, ISNUMBER(
Master_Mapping_Sheet!$E$2:$E$3143),
Master_Mapping_Sheet!$H$2:$H$3143=P$1)))"),0.0)</f>
        <v>0</v>
      </c>
      <c r="Q13" s="34">
        <f>IFERROR(__xludf.DUMMYFUNCTION("IF(ISNA(sum(filter(
Master_Mapping_Sheet!$E$2:$E$3143, ISNUMBER(
Master_Mapping_Sheet!$E$2:$E$3143),
Master_Mapping_Sheet!$H$2:$H$3143=Q$1,
Master_Mapping_Sheet!$B$2:$B$3143=$A13))/sum(filter(
Master_Mapping_Sheet!$E$2:$E$3143, ISNUMBER(
Master_Mapping_Sh"&amp;"eet!$E$2:$E$3143),
Master_Mapping_Sheet!$H$2:$H$3143=Q$1))), 0, sum(filter(
Master_Mapping_Sheet!$E$2:$E$3143, ISNUMBER(
Master_Mapping_Sheet!$E$2:$E$3143),
Master_Mapping_Sheet!$H$2:$H$3143=Q$1,
Master_Mapping_Sheet!$B$2:$B$3143=$A13))/sum(filter(
Master"&amp;"_Mapping_Sheet!$E$2:$E$3143, ISNUMBER(
Master_Mapping_Sheet!$E$2:$E$3143),
Master_Mapping_Sheet!$H$2:$H$3143=Q$1)))"),0.0)</f>
        <v>0</v>
      </c>
      <c r="R13" s="34">
        <f>IFERROR(__xludf.DUMMYFUNCTION("IF(ISNA(sum(filter(
Master_Mapping_Sheet!$E$2:$E$3143, ISNUMBER(
Master_Mapping_Sheet!$E$2:$E$3143),
Master_Mapping_Sheet!$H$2:$H$3143=R$1,
Master_Mapping_Sheet!$B$2:$B$3143=$A13))/sum(filter(
Master_Mapping_Sheet!$E$2:$E$3143, ISNUMBER(
Master_Mapping_Sh"&amp;"eet!$E$2:$E$3143),
Master_Mapping_Sheet!$H$2:$H$3143=R$1))), 0, sum(filter(
Master_Mapping_Sheet!$E$2:$E$3143, ISNUMBER(
Master_Mapping_Sheet!$E$2:$E$3143),
Master_Mapping_Sheet!$H$2:$H$3143=R$1,
Master_Mapping_Sheet!$B$2:$B$3143=$A13))/sum(filter(
Master"&amp;"_Mapping_Sheet!$E$2:$E$3143, ISNUMBER(
Master_Mapping_Sheet!$E$2:$E$3143),
Master_Mapping_Sheet!$H$2:$H$3143=R$1)))"),0.0)</f>
        <v>0</v>
      </c>
      <c r="S13" s="34">
        <f>IFERROR(__xludf.DUMMYFUNCTION("IF(ISNA(sum(filter(
Master_Mapping_Sheet!$E$2:$E$3143, ISNUMBER(
Master_Mapping_Sheet!$E$2:$E$3143),
Master_Mapping_Sheet!$H$2:$H$3143=S$1,
Master_Mapping_Sheet!$B$2:$B$3143=$A13))/sum(filter(
Master_Mapping_Sheet!$E$2:$E$3143, ISNUMBER(
Master_Mapping_Sh"&amp;"eet!$E$2:$E$3143),
Master_Mapping_Sheet!$H$2:$H$3143=S$1))), 0, sum(filter(
Master_Mapping_Sheet!$E$2:$E$3143, ISNUMBER(
Master_Mapping_Sheet!$E$2:$E$3143),
Master_Mapping_Sheet!$H$2:$H$3143=S$1,
Master_Mapping_Sheet!$B$2:$B$3143=$A13))/sum(filter(
Master"&amp;"_Mapping_Sheet!$E$2:$E$3143, ISNUMBER(
Master_Mapping_Sheet!$E$2:$E$3143),
Master_Mapping_Sheet!$H$2:$H$3143=S$1)))"),0.0)</f>
        <v>0</v>
      </c>
      <c r="T13" s="34">
        <f>IFERROR(__xludf.DUMMYFUNCTION("IF(ISNA(sum(filter(
Master_Mapping_Sheet!$E$2:$E$3143, ISNUMBER(
Master_Mapping_Sheet!$E$2:$E$3143),
Master_Mapping_Sheet!$H$2:$H$3143=T$1,
Master_Mapping_Sheet!$B$2:$B$3143=$A13))/sum(filter(
Master_Mapping_Sheet!$E$2:$E$3143, ISNUMBER(
Master_Mapping_Sh"&amp;"eet!$E$2:$E$3143),
Master_Mapping_Sheet!$H$2:$H$3143=T$1))), 0, sum(filter(
Master_Mapping_Sheet!$E$2:$E$3143, ISNUMBER(
Master_Mapping_Sheet!$E$2:$E$3143),
Master_Mapping_Sheet!$H$2:$H$3143=T$1,
Master_Mapping_Sheet!$B$2:$B$3143=$A13))/sum(filter(
Master"&amp;"_Mapping_Sheet!$E$2:$E$3143, ISNUMBER(
Master_Mapping_Sheet!$E$2:$E$3143),
Master_Mapping_Sheet!$H$2:$H$3143=T$1)))"),0.0)</f>
        <v>0</v>
      </c>
      <c r="U13" s="34">
        <f>IFERROR(__xludf.DUMMYFUNCTION("IF(ISNA(sum(filter(
Master_Mapping_Sheet!$E$2:$E$3143, ISNUMBER(
Master_Mapping_Sheet!$E$2:$E$3143),
Master_Mapping_Sheet!$H$2:$H$3143=U$1,
Master_Mapping_Sheet!$B$2:$B$3143=$A13))/sum(filter(
Master_Mapping_Sheet!$E$2:$E$3143, ISNUMBER(
Master_Mapping_Sh"&amp;"eet!$E$2:$E$3143),
Master_Mapping_Sheet!$H$2:$H$3143=U$1))), 0, sum(filter(
Master_Mapping_Sheet!$E$2:$E$3143, ISNUMBER(
Master_Mapping_Sheet!$E$2:$E$3143),
Master_Mapping_Sheet!$H$2:$H$3143=U$1,
Master_Mapping_Sheet!$B$2:$B$3143=$A13))/sum(filter(
Master"&amp;"_Mapping_Sheet!$E$2:$E$3143, ISNUMBER(
Master_Mapping_Sheet!$E$2:$E$3143),
Master_Mapping_Sheet!$H$2:$H$3143=U$1)))"),0.0)</f>
        <v>0</v>
      </c>
      <c r="V13" s="34">
        <f>IFERROR(__xludf.DUMMYFUNCTION("IF(ISNA(sum(filter(
Master_Mapping_Sheet!$E$2:$E$3143, ISNUMBER(
Master_Mapping_Sheet!$E$2:$E$3143),
Master_Mapping_Sheet!$H$2:$H$3143=V$1,
Master_Mapping_Sheet!$B$2:$B$3143=$A13))/sum(filter(
Master_Mapping_Sheet!$E$2:$E$3143, ISNUMBER(
Master_Mapping_Sh"&amp;"eet!$E$2:$E$3143),
Master_Mapping_Sheet!$H$2:$H$3143=V$1))), 0, sum(filter(
Master_Mapping_Sheet!$E$2:$E$3143, ISNUMBER(
Master_Mapping_Sheet!$E$2:$E$3143),
Master_Mapping_Sheet!$H$2:$H$3143=V$1,
Master_Mapping_Sheet!$B$2:$B$3143=$A13))/sum(filter(
Master"&amp;"_Mapping_Sheet!$E$2:$E$3143, ISNUMBER(
Master_Mapping_Sheet!$E$2:$E$3143),
Master_Mapping_Sheet!$H$2:$H$3143=V$1)))"),0.0)</f>
        <v>0</v>
      </c>
      <c r="W13" s="34">
        <f>IFERROR(__xludf.DUMMYFUNCTION("IF(ISNA(sum(filter(
Master_Mapping_Sheet!$E$2:$E$3143, ISNUMBER(
Master_Mapping_Sheet!$E$2:$E$3143),
Master_Mapping_Sheet!$H$2:$H$3143=W$1,
Master_Mapping_Sheet!$B$2:$B$3143=$A13))/sum(filter(
Master_Mapping_Sheet!$E$2:$E$3143, ISNUMBER(
Master_Mapping_Sh"&amp;"eet!$E$2:$E$3143),
Master_Mapping_Sheet!$H$2:$H$3143=W$1))), 0, sum(filter(
Master_Mapping_Sheet!$E$2:$E$3143, ISNUMBER(
Master_Mapping_Sheet!$E$2:$E$3143),
Master_Mapping_Sheet!$H$2:$H$3143=W$1,
Master_Mapping_Sheet!$B$2:$B$3143=$A13))/sum(filter(
Master"&amp;"_Mapping_Sheet!$E$2:$E$3143, ISNUMBER(
Master_Mapping_Sheet!$E$2:$E$3143),
Master_Mapping_Sheet!$H$2:$H$3143=W$1)))"),0.0)</f>
        <v>0</v>
      </c>
      <c r="X13" s="34">
        <f>IFERROR(__xludf.DUMMYFUNCTION("IF(ISNA(sum(filter(
Master_Mapping_Sheet!$E$2:$E$3143, ISNUMBER(
Master_Mapping_Sheet!$E$2:$E$3143),
Master_Mapping_Sheet!$H$2:$H$3143=X$1,
Master_Mapping_Sheet!$B$2:$B$3143=$A13))/sum(filter(
Master_Mapping_Sheet!$E$2:$E$3143, ISNUMBER(
Master_Mapping_Sh"&amp;"eet!$E$2:$E$3143),
Master_Mapping_Sheet!$H$2:$H$3143=X$1))), 0, sum(filter(
Master_Mapping_Sheet!$E$2:$E$3143, ISNUMBER(
Master_Mapping_Sheet!$E$2:$E$3143),
Master_Mapping_Sheet!$H$2:$H$3143=X$1,
Master_Mapping_Sheet!$B$2:$B$3143=$A13))/sum(filter(
Master"&amp;"_Mapping_Sheet!$E$2:$E$3143, ISNUMBER(
Master_Mapping_Sheet!$E$2:$E$3143),
Master_Mapping_Sheet!$H$2:$H$3143=X$1)))"),0.0)</f>
        <v>0</v>
      </c>
      <c r="Y13" s="34">
        <f>IFERROR(__xludf.DUMMYFUNCTION("IF(ISNA(sum(filter(
Master_Mapping_Sheet!$E$2:$E$3143, ISNUMBER(
Master_Mapping_Sheet!$E$2:$E$3143),
Master_Mapping_Sheet!$H$2:$H$3143=Y$1,
Master_Mapping_Sheet!$B$2:$B$3143=$A13))/sum(filter(
Master_Mapping_Sheet!$E$2:$E$3143, ISNUMBER(
Master_Mapping_Sh"&amp;"eet!$E$2:$E$3143),
Master_Mapping_Sheet!$H$2:$H$3143=Y$1))), 0, sum(filter(
Master_Mapping_Sheet!$E$2:$E$3143, ISNUMBER(
Master_Mapping_Sheet!$E$2:$E$3143),
Master_Mapping_Sheet!$H$2:$H$3143=Y$1,
Master_Mapping_Sheet!$B$2:$B$3143=$A13))/sum(filter(
Master"&amp;"_Mapping_Sheet!$E$2:$E$3143, ISNUMBER(
Master_Mapping_Sheet!$E$2:$E$3143),
Master_Mapping_Sheet!$H$2:$H$3143=Y$1)))"),0.0)</f>
        <v>0</v>
      </c>
      <c r="Z13" s="34">
        <f>IFERROR(__xludf.DUMMYFUNCTION("IF(ISNA(sum(filter(
Master_Mapping_Sheet!$E$2:$E$3143, ISNUMBER(
Master_Mapping_Sheet!$E$2:$E$3143),
Master_Mapping_Sheet!$H$2:$H$3143=Z$1,
Master_Mapping_Sheet!$B$2:$B$3143=$A13))/sum(filter(
Master_Mapping_Sheet!$E$2:$E$3143, ISNUMBER(
Master_Mapping_Sh"&amp;"eet!$E$2:$E$3143),
Master_Mapping_Sheet!$H$2:$H$3143=Z$1))), 0, sum(filter(
Master_Mapping_Sheet!$E$2:$E$3143, ISNUMBER(
Master_Mapping_Sheet!$E$2:$E$3143),
Master_Mapping_Sheet!$H$2:$H$3143=Z$1,
Master_Mapping_Sheet!$B$2:$B$3143=$A13))/sum(filter(
Master"&amp;"_Mapping_Sheet!$E$2:$E$3143, ISNUMBER(
Master_Mapping_Sheet!$E$2:$E$3143),
Master_Mapping_Sheet!$H$2:$H$3143=Z$1)))"),0.0)</f>
        <v>0</v>
      </c>
      <c r="AA13" s="34">
        <f>IFERROR(__xludf.DUMMYFUNCTION("IF(ISNA(sum(filter(
Master_Mapping_Sheet!$E$2:$E$3143, ISNUMBER(
Master_Mapping_Sheet!$E$2:$E$3143),
Master_Mapping_Sheet!$H$2:$H$3143=AA$1,
Master_Mapping_Sheet!$B$2:$B$3143=$A13))/sum(filter(
Master_Mapping_Sheet!$E$2:$E$3143, ISNUMBER(
Master_Mapping_S"&amp;"heet!$E$2:$E$3143),
Master_Mapping_Sheet!$H$2:$H$3143=AA$1))), 0, sum(filter(
Master_Mapping_Sheet!$E$2:$E$3143, ISNUMBER(
Master_Mapping_Sheet!$E$2:$E$3143),
Master_Mapping_Sheet!$H$2:$H$3143=AA$1,
Master_Mapping_Sheet!$B$2:$B$3143=$A13))/sum(filter(
Mas"&amp;"ter_Mapping_Sheet!$E$2:$E$3143, ISNUMBER(
Master_Mapping_Sheet!$E$2:$E$3143),
Master_Mapping_Sheet!$H$2:$H$3143=AA$1)))"),0.0)</f>
        <v>0</v>
      </c>
    </row>
    <row r="14" ht="15.75" customHeight="1">
      <c r="A14" s="34" t="s">
        <v>576</v>
      </c>
      <c r="B14" s="34" t="s">
        <v>2424</v>
      </c>
      <c r="C14" s="34">
        <f>IFERROR(__xludf.DUMMYFUNCTION("IF(ISNA(sum(filter(
Master_Mapping_Sheet!$E$2:$E$3143, ISNUMBER(
Master_Mapping_Sheet!$E$2:$E$3143),
Master_Mapping_Sheet!$H$2:$H$3143=C$1,
Master_Mapping_Sheet!$B$2:$B$3143=$A14))/sum(filter(
Master_Mapping_Sheet!$E$2:$E$3143, ISNUMBER(
Master_Mapping_Sh"&amp;"eet!$E$2:$E$3143),
Master_Mapping_Sheet!$H$2:$H$3143=C$1))), 0, sum(filter(
Master_Mapping_Sheet!$E$2:$E$3143, ISNUMBER(
Master_Mapping_Sheet!$E$2:$E$3143),
Master_Mapping_Sheet!$H$2:$H$3143=C$1,
Master_Mapping_Sheet!$B$2:$B$3143=$A14))/sum(filter(
Master"&amp;"_Mapping_Sheet!$E$2:$E$3143, ISNUMBER(
Master_Mapping_Sheet!$E$2:$E$3143),
Master_Mapping_Sheet!$H$2:$H$3143=C$1)))"),0.0)</f>
        <v>0</v>
      </c>
      <c r="D14" s="34">
        <f>IFERROR(__xludf.DUMMYFUNCTION("IF(ISNA(sum(filter(
Master_Mapping_Sheet!$E$2:$E$3143, ISNUMBER(
Master_Mapping_Sheet!$E$2:$E$3143),
Master_Mapping_Sheet!$H$2:$H$3143=D$1,
Master_Mapping_Sheet!$B$2:$B$3143=$A14))/sum(filter(
Master_Mapping_Sheet!$E$2:$E$3143, ISNUMBER(
Master_Mapping_Sh"&amp;"eet!$E$2:$E$3143),
Master_Mapping_Sheet!$H$2:$H$3143=D$1))), 0, sum(filter(
Master_Mapping_Sheet!$E$2:$E$3143, ISNUMBER(
Master_Mapping_Sheet!$E$2:$E$3143),
Master_Mapping_Sheet!$H$2:$H$3143=D$1,
Master_Mapping_Sheet!$B$2:$B$3143=$A14))/sum(filter(
Master"&amp;"_Mapping_Sheet!$E$2:$E$3143, ISNUMBER(
Master_Mapping_Sheet!$E$2:$E$3143),
Master_Mapping_Sheet!$H$2:$H$3143=D$1)))"),0.0)</f>
        <v>0</v>
      </c>
      <c r="E14" s="32">
        <f>IFERROR(__xludf.DUMMYFUNCTION("IF(ISNA(sum(filter(
Master_Mapping_Sheet!$E$2:$E$3143, ISNUMBER(
Master_Mapping_Sheet!$E$2:$E$3143),
Master_Mapping_Sheet!$H$2:$H$3143=E$1,
Master_Mapping_Sheet!$B$2:$B$3143=$A14))/sum(filter(
Master_Mapping_Sheet!$E$2:$E$3143, ISNUMBER(
Master_Mapping_Sh"&amp;"eet!$E$2:$E$3143),
Master_Mapping_Sheet!$H$2:$H$3143=E$1))), 0, sum(filter(
Master_Mapping_Sheet!$E$2:$E$3143, ISNUMBER(
Master_Mapping_Sheet!$E$2:$E$3143),
Master_Mapping_Sheet!$H$2:$H$3143=E$1,
Master_Mapping_Sheet!$B$2:$B$3143=$A14))/sum(filter(
Master"&amp;"_Mapping_Sheet!$E$2:$E$3143, ISNUMBER(
Master_Mapping_Sheet!$E$2:$E$3143),
Master_Mapping_Sheet!$H$2:$H$3143=E$1)))"),0.0)</f>
        <v>0</v>
      </c>
      <c r="F14" s="34">
        <f>IFERROR(__xludf.DUMMYFUNCTION("IF(ISNA(sum(filter(
Master_Mapping_Sheet!$E$2:$E$3143, ISNUMBER(
Master_Mapping_Sheet!$E$2:$E$3143),
Master_Mapping_Sheet!$H$2:$H$3143=F$1,
Master_Mapping_Sheet!$B$2:$B$3143=$A14))/sum(filter(
Master_Mapping_Sheet!$E$2:$E$3143, ISNUMBER(
Master_Mapping_Sh"&amp;"eet!$E$2:$E$3143),
Master_Mapping_Sheet!$H$2:$H$3143=F$1))), 0, sum(filter(
Master_Mapping_Sheet!$E$2:$E$3143, ISNUMBER(
Master_Mapping_Sheet!$E$2:$E$3143),
Master_Mapping_Sheet!$H$2:$H$3143=F$1,
Master_Mapping_Sheet!$B$2:$B$3143=$A14))/sum(filter(
Master"&amp;"_Mapping_Sheet!$E$2:$E$3143, ISNUMBER(
Master_Mapping_Sheet!$E$2:$E$3143),
Master_Mapping_Sheet!$H$2:$H$3143=F$1)))"),0.0)</f>
        <v>0</v>
      </c>
      <c r="G14" s="34">
        <f>IFERROR(__xludf.DUMMYFUNCTION("IF(ISNA(sum(filter(
Master_Mapping_Sheet!$E$2:$E$3143, ISNUMBER(
Master_Mapping_Sheet!$E$2:$E$3143),
Master_Mapping_Sheet!$H$2:$H$3143=G$1,
Master_Mapping_Sheet!$B$2:$B$3143=$A14))/sum(filter(
Master_Mapping_Sheet!$E$2:$E$3143, ISNUMBER(
Master_Mapping_Sh"&amp;"eet!$E$2:$E$3143),
Master_Mapping_Sheet!$H$2:$H$3143=G$1))), 0, sum(filter(
Master_Mapping_Sheet!$E$2:$E$3143, ISNUMBER(
Master_Mapping_Sheet!$E$2:$E$3143),
Master_Mapping_Sheet!$H$2:$H$3143=G$1,
Master_Mapping_Sheet!$B$2:$B$3143=$A14))/sum(filter(
Master"&amp;"_Mapping_Sheet!$E$2:$E$3143, ISNUMBER(
Master_Mapping_Sheet!$E$2:$E$3143),
Master_Mapping_Sheet!$H$2:$H$3143=G$1)))"),0.0)</f>
        <v>0</v>
      </c>
      <c r="H14" s="34">
        <f>IFERROR(__xludf.DUMMYFUNCTION("IF(ISNA(sum(filter(
Master_Mapping_Sheet!$E$2:$E$3143, ISNUMBER(
Master_Mapping_Sheet!$E$2:$E$3143),
Master_Mapping_Sheet!$H$2:$H$3143=H$1,
Master_Mapping_Sheet!$B$2:$B$3143=$A14))/sum(filter(
Master_Mapping_Sheet!$E$2:$E$3143, ISNUMBER(
Master_Mapping_Sh"&amp;"eet!$E$2:$E$3143),
Master_Mapping_Sheet!$H$2:$H$3143=H$1))), 0, sum(filter(
Master_Mapping_Sheet!$E$2:$E$3143, ISNUMBER(
Master_Mapping_Sheet!$E$2:$E$3143),
Master_Mapping_Sheet!$H$2:$H$3143=H$1,
Master_Mapping_Sheet!$B$2:$B$3143=$A14))/sum(filter(
Master"&amp;"_Mapping_Sheet!$E$2:$E$3143, ISNUMBER(
Master_Mapping_Sheet!$E$2:$E$3143),
Master_Mapping_Sheet!$H$2:$H$3143=H$1)))"),0.0)</f>
        <v>0</v>
      </c>
      <c r="I14" s="34">
        <f>IFERROR(__xludf.DUMMYFUNCTION("IF(ISNA(sum(filter(
Master_Mapping_Sheet!$E$2:$E$3143, ISNUMBER(
Master_Mapping_Sheet!$E$2:$E$3143),
Master_Mapping_Sheet!$H$2:$H$3143=I$1,
Master_Mapping_Sheet!$B$2:$B$3143=$A14))/sum(filter(
Master_Mapping_Sheet!$E$2:$E$3143, ISNUMBER(
Master_Mapping_Sh"&amp;"eet!$E$2:$E$3143),
Master_Mapping_Sheet!$H$2:$H$3143=I$1))), 0, sum(filter(
Master_Mapping_Sheet!$E$2:$E$3143, ISNUMBER(
Master_Mapping_Sheet!$E$2:$E$3143),
Master_Mapping_Sheet!$H$2:$H$3143=I$1,
Master_Mapping_Sheet!$B$2:$B$3143=$A14))/sum(filter(
Master"&amp;"_Mapping_Sheet!$E$2:$E$3143, ISNUMBER(
Master_Mapping_Sheet!$E$2:$E$3143),
Master_Mapping_Sheet!$H$2:$H$3143=I$1)))"),0.0)</f>
        <v>0</v>
      </c>
      <c r="J14" s="34">
        <f>IFERROR(__xludf.DUMMYFUNCTION("IF(ISNA(sum(filter(
Master_Mapping_Sheet!$E$2:$E$3143, ISNUMBER(
Master_Mapping_Sheet!$E$2:$E$3143),
Master_Mapping_Sheet!$H$2:$H$3143=J$1,
Master_Mapping_Sheet!$B$2:$B$3143=$A14))/sum(filter(
Master_Mapping_Sheet!$E$2:$E$3143, ISNUMBER(
Master_Mapping_Sh"&amp;"eet!$E$2:$E$3143),
Master_Mapping_Sheet!$H$2:$H$3143=J$1))), 0, sum(filter(
Master_Mapping_Sheet!$E$2:$E$3143, ISNUMBER(
Master_Mapping_Sheet!$E$2:$E$3143),
Master_Mapping_Sheet!$H$2:$H$3143=J$1,
Master_Mapping_Sheet!$B$2:$B$3143=$A14))/sum(filter(
Master"&amp;"_Mapping_Sheet!$E$2:$E$3143, ISNUMBER(
Master_Mapping_Sheet!$E$2:$E$3143),
Master_Mapping_Sheet!$H$2:$H$3143=J$1)))"),0.0)</f>
        <v>0</v>
      </c>
      <c r="K14" s="34">
        <f>IFERROR(__xludf.DUMMYFUNCTION("IF(ISNA(sum(filter(
Master_Mapping_Sheet!$E$2:$E$3143, ISNUMBER(
Master_Mapping_Sheet!$E$2:$E$3143),
Master_Mapping_Sheet!$H$2:$H$3143=K$1,
Master_Mapping_Sheet!$B$2:$B$3143=$A14))/sum(filter(
Master_Mapping_Sheet!$E$2:$E$3143, ISNUMBER(
Master_Mapping_Sh"&amp;"eet!$E$2:$E$3143),
Master_Mapping_Sheet!$H$2:$H$3143=K$1))), 0, sum(filter(
Master_Mapping_Sheet!$E$2:$E$3143, ISNUMBER(
Master_Mapping_Sheet!$E$2:$E$3143),
Master_Mapping_Sheet!$H$2:$H$3143=K$1,
Master_Mapping_Sheet!$B$2:$B$3143=$A14))/sum(filter(
Master"&amp;"_Mapping_Sheet!$E$2:$E$3143, ISNUMBER(
Master_Mapping_Sheet!$E$2:$E$3143),
Master_Mapping_Sheet!$H$2:$H$3143=K$1)))"),0.0)</f>
        <v>0</v>
      </c>
      <c r="L14" s="34">
        <f>IFERROR(__xludf.DUMMYFUNCTION("IF(ISNA(sum(filter(
Master_Mapping_Sheet!$E$2:$E$3143, ISNUMBER(
Master_Mapping_Sheet!$E$2:$E$3143),
Master_Mapping_Sheet!$H$2:$H$3143=L$1,
Master_Mapping_Sheet!$B$2:$B$3143=$A14))/sum(filter(
Master_Mapping_Sheet!$E$2:$E$3143, ISNUMBER(
Master_Mapping_Sh"&amp;"eet!$E$2:$E$3143),
Master_Mapping_Sheet!$H$2:$H$3143=L$1))), 0, sum(filter(
Master_Mapping_Sheet!$E$2:$E$3143, ISNUMBER(
Master_Mapping_Sheet!$E$2:$E$3143),
Master_Mapping_Sheet!$H$2:$H$3143=L$1,
Master_Mapping_Sheet!$B$2:$B$3143=$A14))/sum(filter(
Master"&amp;"_Mapping_Sheet!$E$2:$E$3143, ISNUMBER(
Master_Mapping_Sheet!$E$2:$E$3143),
Master_Mapping_Sheet!$H$2:$H$3143=L$1)))"),0.0)</f>
        <v>0</v>
      </c>
      <c r="M14" s="34">
        <f>IFERROR(__xludf.DUMMYFUNCTION("IF(ISNA(sum(filter(
Master_Mapping_Sheet!$E$2:$E$3143, ISNUMBER(
Master_Mapping_Sheet!$E$2:$E$3143),
Master_Mapping_Sheet!$H$2:$H$3143=M$1,
Master_Mapping_Sheet!$B$2:$B$3143=$A14))/sum(filter(
Master_Mapping_Sheet!$E$2:$E$3143, ISNUMBER(
Master_Mapping_Sh"&amp;"eet!$E$2:$E$3143),
Master_Mapping_Sheet!$H$2:$H$3143=M$1))), 0, sum(filter(
Master_Mapping_Sheet!$E$2:$E$3143, ISNUMBER(
Master_Mapping_Sheet!$E$2:$E$3143),
Master_Mapping_Sheet!$H$2:$H$3143=M$1,
Master_Mapping_Sheet!$B$2:$B$3143=$A14))/sum(filter(
Master"&amp;"_Mapping_Sheet!$E$2:$E$3143, ISNUMBER(
Master_Mapping_Sheet!$E$2:$E$3143),
Master_Mapping_Sheet!$H$2:$H$3143=M$1)))"),0.0)</f>
        <v>0</v>
      </c>
      <c r="N14" s="34">
        <f>IFERROR(__xludf.DUMMYFUNCTION("IF(ISNA(sum(filter(
Master_Mapping_Sheet!$E$2:$E$3143, ISNUMBER(
Master_Mapping_Sheet!$E$2:$E$3143),
Master_Mapping_Sheet!$H$2:$H$3143=N$1,
Master_Mapping_Sheet!$B$2:$B$3143=$A14))/sum(filter(
Master_Mapping_Sheet!$E$2:$E$3143, ISNUMBER(
Master_Mapping_Sh"&amp;"eet!$E$2:$E$3143),
Master_Mapping_Sheet!$H$2:$H$3143=N$1))), 0, sum(filter(
Master_Mapping_Sheet!$E$2:$E$3143, ISNUMBER(
Master_Mapping_Sheet!$E$2:$E$3143),
Master_Mapping_Sheet!$H$2:$H$3143=N$1,
Master_Mapping_Sheet!$B$2:$B$3143=$A14))/sum(filter(
Master"&amp;"_Mapping_Sheet!$E$2:$E$3143, ISNUMBER(
Master_Mapping_Sheet!$E$2:$E$3143),
Master_Mapping_Sheet!$H$2:$H$3143=N$1)))"),0.0)</f>
        <v>0</v>
      </c>
      <c r="O14" s="34">
        <f>IFERROR(__xludf.DUMMYFUNCTION("IF(ISNA(sum(filter(
Master_Mapping_Sheet!$E$2:$E$3143, ISNUMBER(
Master_Mapping_Sheet!$E$2:$E$3143),
Master_Mapping_Sheet!$H$2:$H$3143=O$1,
Master_Mapping_Sheet!$B$2:$B$3143=$A14))/sum(filter(
Master_Mapping_Sheet!$E$2:$E$3143, ISNUMBER(
Master_Mapping_Sh"&amp;"eet!$E$2:$E$3143),
Master_Mapping_Sheet!$H$2:$H$3143=O$1))), 0, sum(filter(
Master_Mapping_Sheet!$E$2:$E$3143, ISNUMBER(
Master_Mapping_Sheet!$E$2:$E$3143),
Master_Mapping_Sheet!$H$2:$H$3143=O$1,
Master_Mapping_Sheet!$B$2:$B$3143=$A14))/sum(filter(
Master"&amp;"_Mapping_Sheet!$E$2:$E$3143, ISNUMBER(
Master_Mapping_Sheet!$E$2:$E$3143),
Master_Mapping_Sheet!$H$2:$H$3143=O$1)))"),0.0)</f>
        <v>0</v>
      </c>
      <c r="P14" s="34">
        <f>IFERROR(__xludf.DUMMYFUNCTION("IF(ISNA(sum(filter(
Master_Mapping_Sheet!$E$2:$E$3143, ISNUMBER(
Master_Mapping_Sheet!$E$2:$E$3143),
Master_Mapping_Sheet!$H$2:$H$3143=P$1,
Master_Mapping_Sheet!$B$2:$B$3143=$A14))/sum(filter(
Master_Mapping_Sheet!$E$2:$E$3143, ISNUMBER(
Master_Mapping_Sh"&amp;"eet!$E$2:$E$3143),
Master_Mapping_Sheet!$H$2:$H$3143=P$1))), 0, sum(filter(
Master_Mapping_Sheet!$E$2:$E$3143, ISNUMBER(
Master_Mapping_Sheet!$E$2:$E$3143),
Master_Mapping_Sheet!$H$2:$H$3143=P$1,
Master_Mapping_Sheet!$B$2:$B$3143=$A14))/sum(filter(
Master"&amp;"_Mapping_Sheet!$E$2:$E$3143, ISNUMBER(
Master_Mapping_Sheet!$E$2:$E$3143),
Master_Mapping_Sheet!$H$2:$H$3143=P$1)))"),0.0)</f>
        <v>0</v>
      </c>
      <c r="Q14" s="34">
        <f>IFERROR(__xludf.DUMMYFUNCTION("IF(ISNA(sum(filter(
Master_Mapping_Sheet!$E$2:$E$3143, ISNUMBER(
Master_Mapping_Sheet!$E$2:$E$3143),
Master_Mapping_Sheet!$H$2:$H$3143=Q$1,
Master_Mapping_Sheet!$B$2:$B$3143=$A14))/sum(filter(
Master_Mapping_Sheet!$E$2:$E$3143, ISNUMBER(
Master_Mapping_Sh"&amp;"eet!$E$2:$E$3143),
Master_Mapping_Sheet!$H$2:$H$3143=Q$1))), 0, sum(filter(
Master_Mapping_Sheet!$E$2:$E$3143, ISNUMBER(
Master_Mapping_Sheet!$E$2:$E$3143),
Master_Mapping_Sheet!$H$2:$H$3143=Q$1,
Master_Mapping_Sheet!$B$2:$B$3143=$A14))/sum(filter(
Master"&amp;"_Mapping_Sheet!$E$2:$E$3143, ISNUMBER(
Master_Mapping_Sheet!$E$2:$E$3143),
Master_Mapping_Sheet!$H$2:$H$3143=Q$1)))"),0.0)</f>
        <v>0</v>
      </c>
      <c r="R14" s="34">
        <f>IFERROR(__xludf.DUMMYFUNCTION("IF(ISNA(sum(filter(
Master_Mapping_Sheet!$E$2:$E$3143, ISNUMBER(
Master_Mapping_Sheet!$E$2:$E$3143),
Master_Mapping_Sheet!$H$2:$H$3143=R$1,
Master_Mapping_Sheet!$B$2:$B$3143=$A14))/sum(filter(
Master_Mapping_Sheet!$E$2:$E$3143, ISNUMBER(
Master_Mapping_Sh"&amp;"eet!$E$2:$E$3143),
Master_Mapping_Sheet!$H$2:$H$3143=R$1))), 0, sum(filter(
Master_Mapping_Sheet!$E$2:$E$3143, ISNUMBER(
Master_Mapping_Sheet!$E$2:$E$3143),
Master_Mapping_Sheet!$H$2:$H$3143=R$1,
Master_Mapping_Sheet!$B$2:$B$3143=$A14))/sum(filter(
Master"&amp;"_Mapping_Sheet!$E$2:$E$3143, ISNUMBER(
Master_Mapping_Sheet!$E$2:$E$3143),
Master_Mapping_Sheet!$H$2:$H$3143=R$1)))"),0.0)</f>
        <v>0</v>
      </c>
      <c r="S14" s="34">
        <f>IFERROR(__xludf.DUMMYFUNCTION("IF(ISNA(sum(filter(
Master_Mapping_Sheet!$E$2:$E$3143, ISNUMBER(
Master_Mapping_Sheet!$E$2:$E$3143),
Master_Mapping_Sheet!$H$2:$H$3143=S$1,
Master_Mapping_Sheet!$B$2:$B$3143=$A14))/sum(filter(
Master_Mapping_Sheet!$E$2:$E$3143, ISNUMBER(
Master_Mapping_Sh"&amp;"eet!$E$2:$E$3143),
Master_Mapping_Sheet!$H$2:$H$3143=S$1))), 0, sum(filter(
Master_Mapping_Sheet!$E$2:$E$3143, ISNUMBER(
Master_Mapping_Sheet!$E$2:$E$3143),
Master_Mapping_Sheet!$H$2:$H$3143=S$1,
Master_Mapping_Sheet!$B$2:$B$3143=$A14))/sum(filter(
Master"&amp;"_Mapping_Sheet!$E$2:$E$3143, ISNUMBER(
Master_Mapping_Sheet!$E$2:$E$3143),
Master_Mapping_Sheet!$H$2:$H$3143=S$1)))"),0.0)</f>
        <v>0</v>
      </c>
      <c r="T14" s="34">
        <f>IFERROR(__xludf.DUMMYFUNCTION("IF(ISNA(sum(filter(
Master_Mapping_Sheet!$E$2:$E$3143, ISNUMBER(
Master_Mapping_Sheet!$E$2:$E$3143),
Master_Mapping_Sheet!$H$2:$H$3143=T$1,
Master_Mapping_Sheet!$B$2:$B$3143=$A14))/sum(filter(
Master_Mapping_Sheet!$E$2:$E$3143, ISNUMBER(
Master_Mapping_Sh"&amp;"eet!$E$2:$E$3143),
Master_Mapping_Sheet!$H$2:$H$3143=T$1))), 0, sum(filter(
Master_Mapping_Sheet!$E$2:$E$3143, ISNUMBER(
Master_Mapping_Sheet!$E$2:$E$3143),
Master_Mapping_Sheet!$H$2:$H$3143=T$1,
Master_Mapping_Sheet!$B$2:$B$3143=$A14))/sum(filter(
Master"&amp;"_Mapping_Sheet!$E$2:$E$3143, ISNUMBER(
Master_Mapping_Sheet!$E$2:$E$3143),
Master_Mapping_Sheet!$H$2:$H$3143=T$1)))"),0.0)</f>
        <v>0</v>
      </c>
      <c r="U14" s="34">
        <f>IFERROR(__xludf.DUMMYFUNCTION("IF(ISNA(sum(filter(
Master_Mapping_Sheet!$E$2:$E$3143, ISNUMBER(
Master_Mapping_Sheet!$E$2:$E$3143),
Master_Mapping_Sheet!$H$2:$H$3143=U$1,
Master_Mapping_Sheet!$B$2:$B$3143=$A14))/sum(filter(
Master_Mapping_Sheet!$E$2:$E$3143, ISNUMBER(
Master_Mapping_Sh"&amp;"eet!$E$2:$E$3143),
Master_Mapping_Sheet!$H$2:$H$3143=U$1))), 0, sum(filter(
Master_Mapping_Sheet!$E$2:$E$3143, ISNUMBER(
Master_Mapping_Sheet!$E$2:$E$3143),
Master_Mapping_Sheet!$H$2:$H$3143=U$1,
Master_Mapping_Sheet!$B$2:$B$3143=$A14))/sum(filter(
Master"&amp;"_Mapping_Sheet!$E$2:$E$3143, ISNUMBER(
Master_Mapping_Sheet!$E$2:$E$3143),
Master_Mapping_Sheet!$H$2:$H$3143=U$1)))"),0.0)</f>
        <v>0</v>
      </c>
      <c r="V14" s="34">
        <f>IFERROR(__xludf.DUMMYFUNCTION("IF(ISNA(sum(filter(
Master_Mapping_Sheet!$E$2:$E$3143, ISNUMBER(
Master_Mapping_Sheet!$E$2:$E$3143),
Master_Mapping_Sheet!$H$2:$H$3143=V$1,
Master_Mapping_Sheet!$B$2:$B$3143=$A14))/sum(filter(
Master_Mapping_Sheet!$E$2:$E$3143, ISNUMBER(
Master_Mapping_Sh"&amp;"eet!$E$2:$E$3143),
Master_Mapping_Sheet!$H$2:$H$3143=V$1))), 0, sum(filter(
Master_Mapping_Sheet!$E$2:$E$3143, ISNUMBER(
Master_Mapping_Sheet!$E$2:$E$3143),
Master_Mapping_Sheet!$H$2:$H$3143=V$1,
Master_Mapping_Sheet!$B$2:$B$3143=$A14))/sum(filter(
Master"&amp;"_Mapping_Sheet!$E$2:$E$3143, ISNUMBER(
Master_Mapping_Sheet!$E$2:$E$3143),
Master_Mapping_Sheet!$H$2:$H$3143=V$1)))"),0.0)</f>
        <v>0</v>
      </c>
      <c r="W14" s="34">
        <f>IFERROR(__xludf.DUMMYFUNCTION("IF(ISNA(sum(filter(
Master_Mapping_Sheet!$E$2:$E$3143, ISNUMBER(
Master_Mapping_Sheet!$E$2:$E$3143),
Master_Mapping_Sheet!$H$2:$H$3143=W$1,
Master_Mapping_Sheet!$B$2:$B$3143=$A14))/sum(filter(
Master_Mapping_Sheet!$E$2:$E$3143, ISNUMBER(
Master_Mapping_Sh"&amp;"eet!$E$2:$E$3143),
Master_Mapping_Sheet!$H$2:$H$3143=W$1))), 0, sum(filter(
Master_Mapping_Sheet!$E$2:$E$3143, ISNUMBER(
Master_Mapping_Sheet!$E$2:$E$3143),
Master_Mapping_Sheet!$H$2:$H$3143=W$1,
Master_Mapping_Sheet!$B$2:$B$3143=$A14))/sum(filter(
Master"&amp;"_Mapping_Sheet!$E$2:$E$3143, ISNUMBER(
Master_Mapping_Sheet!$E$2:$E$3143),
Master_Mapping_Sheet!$H$2:$H$3143=W$1)))"),0.0)</f>
        <v>0</v>
      </c>
      <c r="X14" s="34">
        <f>IFERROR(__xludf.DUMMYFUNCTION("IF(ISNA(sum(filter(
Master_Mapping_Sheet!$E$2:$E$3143, ISNUMBER(
Master_Mapping_Sheet!$E$2:$E$3143),
Master_Mapping_Sheet!$H$2:$H$3143=X$1,
Master_Mapping_Sheet!$B$2:$B$3143=$A14))/sum(filter(
Master_Mapping_Sheet!$E$2:$E$3143, ISNUMBER(
Master_Mapping_Sh"&amp;"eet!$E$2:$E$3143),
Master_Mapping_Sheet!$H$2:$H$3143=X$1))), 0, sum(filter(
Master_Mapping_Sheet!$E$2:$E$3143, ISNUMBER(
Master_Mapping_Sheet!$E$2:$E$3143),
Master_Mapping_Sheet!$H$2:$H$3143=X$1,
Master_Mapping_Sheet!$B$2:$B$3143=$A14))/sum(filter(
Master"&amp;"_Mapping_Sheet!$E$2:$E$3143, ISNUMBER(
Master_Mapping_Sheet!$E$2:$E$3143),
Master_Mapping_Sheet!$H$2:$H$3143=X$1)))"),0.0)</f>
        <v>0</v>
      </c>
      <c r="Y14" s="34">
        <f>IFERROR(__xludf.DUMMYFUNCTION("IF(ISNA(sum(filter(
Master_Mapping_Sheet!$E$2:$E$3143, ISNUMBER(
Master_Mapping_Sheet!$E$2:$E$3143),
Master_Mapping_Sheet!$H$2:$H$3143=Y$1,
Master_Mapping_Sheet!$B$2:$B$3143=$A14))/sum(filter(
Master_Mapping_Sheet!$E$2:$E$3143, ISNUMBER(
Master_Mapping_Sh"&amp;"eet!$E$2:$E$3143),
Master_Mapping_Sheet!$H$2:$H$3143=Y$1))), 0, sum(filter(
Master_Mapping_Sheet!$E$2:$E$3143, ISNUMBER(
Master_Mapping_Sheet!$E$2:$E$3143),
Master_Mapping_Sheet!$H$2:$H$3143=Y$1,
Master_Mapping_Sheet!$B$2:$B$3143=$A14))/sum(filter(
Master"&amp;"_Mapping_Sheet!$E$2:$E$3143, ISNUMBER(
Master_Mapping_Sheet!$E$2:$E$3143),
Master_Mapping_Sheet!$H$2:$H$3143=Y$1)))"),0.027374815757024735)</f>
        <v>0.02737481576</v>
      </c>
      <c r="Z14" s="34">
        <f>IFERROR(__xludf.DUMMYFUNCTION("IF(ISNA(sum(filter(
Master_Mapping_Sheet!$E$2:$E$3143, ISNUMBER(
Master_Mapping_Sheet!$E$2:$E$3143),
Master_Mapping_Sheet!$H$2:$H$3143=Z$1,
Master_Mapping_Sheet!$B$2:$B$3143=$A14))/sum(filter(
Master_Mapping_Sheet!$E$2:$E$3143, ISNUMBER(
Master_Mapping_Sh"&amp;"eet!$E$2:$E$3143),
Master_Mapping_Sheet!$H$2:$H$3143=Z$1))), 0, sum(filter(
Master_Mapping_Sheet!$E$2:$E$3143, ISNUMBER(
Master_Mapping_Sheet!$E$2:$E$3143),
Master_Mapping_Sheet!$H$2:$H$3143=Z$1,
Master_Mapping_Sheet!$B$2:$B$3143=$A14))/sum(filter(
Master"&amp;"_Mapping_Sheet!$E$2:$E$3143, ISNUMBER(
Master_Mapping_Sheet!$E$2:$E$3143),
Master_Mapping_Sheet!$H$2:$H$3143=Z$1)))"),0.0)</f>
        <v>0</v>
      </c>
      <c r="AA14" s="34">
        <f>IFERROR(__xludf.DUMMYFUNCTION("IF(ISNA(sum(filter(
Master_Mapping_Sheet!$E$2:$E$3143, ISNUMBER(
Master_Mapping_Sheet!$E$2:$E$3143),
Master_Mapping_Sheet!$H$2:$H$3143=AA$1,
Master_Mapping_Sheet!$B$2:$B$3143=$A14))/sum(filter(
Master_Mapping_Sheet!$E$2:$E$3143, ISNUMBER(
Master_Mapping_S"&amp;"heet!$E$2:$E$3143),
Master_Mapping_Sheet!$H$2:$H$3143=AA$1))), 0, sum(filter(
Master_Mapping_Sheet!$E$2:$E$3143, ISNUMBER(
Master_Mapping_Sheet!$E$2:$E$3143),
Master_Mapping_Sheet!$H$2:$H$3143=AA$1,
Master_Mapping_Sheet!$B$2:$B$3143=$A14))/sum(filter(
Mas"&amp;"ter_Mapping_Sheet!$E$2:$E$3143, ISNUMBER(
Master_Mapping_Sheet!$E$2:$E$3143),
Master_Mapping_Sheet!$H$2:$H$3143=AA$1)))"),0.18711133703761382)</f>
        <v>0.187111337</v>
      </c>
    </row>
    <row r="15" ht="15.75" customHeight="1">
      <c r="A15" s="34" t="s">
        <v>608</v>
      </c>
      <c r="B15" s="34" t="s">
        <v>2458</v>
      </c>
      <c r="C15" s="34">
        <f>IFERROR(__xludf.DUMMYFUNCTION("IF(ISNA(sum(filter(
Master_Mapping_Sheet!$E$2:$E$3143, ISNUMBER(
Master_Mapping_Sheet!$E$2:$E$3143),
Master_Mapping_Sheet!$H$2:$H$3143=C$1,
Master_Mapping_Sheet!$B$2:$B$3143=$A15))/sum(filter(
Master_Mapping_Sheet!$E$2:$E$3143, ISNUMBER(
Master_Mapping_Sh"&amp;"eet!$E$2:$E$3143),
Master_Mapping_Sheet!$H$2:$H$3143=C$1))), 0, sum(filter(
Master_Mapping_Sheet!$E$2:$E$3143, ISNUMBER(
Master_Mapping_Sheet!$E$2:$E$3143),
Master_Mapping_Sheet!$H$2:$H$3143=C$1,
Master_Mapping_Sheet!$B$2:$B$3143=$A15))/sum(filter(
Master"&amp;"_Mapping_Sheet!$E$2:$E$3143, ISNUMBER(
Master_Mapping_Sheet!$E$2:$E$3143),
Master_Mapping_Sheet!$H$2:$H$3143=C$1)))"),0.0)</f>
        <v>0</v>
      </c>
      <c r="D15" s="34">
        <f>IFERROR(__xludf.DUMMYFUNCTION("IF(ISNA(sum(filter(
Master_Mapping_Sheet!$E$2:$E$3143, ISNUMBER(
Master_Mapping_Sheet!$E$2:$E$3143),
Master_Mapping_Sheet!$H$2:$H$3143=D$1,
Master_Mapping_Sheet!$B$2:$B$3143=$A15))/sum(filter(
Master_Mapping_Sheet!$E$2:$E$3143, ISNUMBER(
Master_Mapping_Sh"&amp;"eet!$E$2:$E$3143),
Master_Mapping_Sheet!$H$2:$H$3143=D$1))), 0, sum(filter(
Master_Mapping_Sheet!$E$2:$E$3143, ISNUMBER(
Master_Mapping_Sheet!$E$2:$E$3143),
Master_Mapping_Sheet!$H$2:$H$3143=D$1,
Master_Mapping_Sheet!$B$2:$B$3143=$A15))/sum(filter(
Master"&amp;"_Mapping_Sheet!$E$2:$E$3143, ISNUMBER(
Master_Mapping_Sheet!$E$2:$E$3143),
Master_Mapping_Sheet!$H$2:$H$3143=D$1)))"),0.0)</f>
        <v>0</v>
      </c>
      <c r="E15" s="32">
        <f>IFERROR(__xludf.DUMMYFUNCTION("IF(ISNA(sum(filter(
Master_Mapping_Sheet!$E$2:$E$3143, ISNUMBER(
Master_Mapping_Sheet!$E$2:$E$3143),
Master_Mapping_Sheet!$H$2:$H$3143=E$1,
Master_Mapping_Sheet!$B$2:$B$3143=$A15))/sum(filter(
Master_Mapping_Sheet!$E$2:$E$3143, ISNUMBER(
Master_Mapping_Sh"&amp;"eet!$E$2:$E$3143),
Master_Mapping_Sheet!$H$2:$H$3143=E$1))), 0, sum(filter(
Master_Mapping_Sheet!$E$2:$E$3143, ISNUMBER(
Master_Mapping_Sheet!$E$2:$E$3143),
Master_Mapping_Sheet!$H$2:$H$3143=E$1,
Master_Mapping_Sheet!$B$2:$B$3143=$A15))/sum(filter(
Master"&amp;"_Mapping_Sheet!$E$2:$E$3143, ISNUMBER(
Master_Mapping_Sheet!$E$2:$E$3143),
Master_Mapping_Sheet!$H$2:$H$3143=E$1)))"),0.0015056132467391183)</f>
        <v>0.001505613247</v>
      </c>
      <c r="F15" s="34">
        <f>IFERROR(__xludf.DUMMYFUNCTION("IF(ISNA(sum(filter(
Master_Mapping_Sheet!$E$2:$E$3143, ISNUMBER(
Master_Mapping_Sheet!$E$2:$E$3143),
Master_Mapping_Sheet!$H$2:$H$3143=F$1,
Master_Mapping_Sheet!$B$2:$B$3143=$A15))/sum(filter(
Master_Mapping_Sheet!$E$2:$E$3143, ISNUMBER(
Master_Mapping_Sh"&amp;"eet!$E$2:$E$3143),
Master_Mapping_Sheet!$H$2:$H$3143=F$1))), 0, sum(filter(
Master_Mapping_Sheet!$E$2:$E$3143, ISNUMBER(
Master_Mapping_Sheet!$E$2:$E$3143),
Master_Mapping_Sheet!$H$2:$H$3143=F$1,
Master_Mapping_Sheet!$B$2:$B$3143=$A15))/sum(filter(
Master"&amp;"_Mapping_Sheet!$E$2:$E$3143, ISNUMBER(
Master_Mapping_Sheet!$E$2:$E$3143),
Master_Mapping_Sheet!$H$2:$H$3143=F$1)))"),0.3132830535638508)</f>
        <v>0.3132830536</v>
      </c>
      <c r="G15" s="34">
        <f>IFERROR(__xludf.DUMMYFUNCTION("IF(ISNA(sum(filter(
Master_Mapping_Sheet!$E$2:$E$3143, ISNUMBER(
Master_Mapping_Sheet!$E$2:$E$3143),
Master_Mapping_Sheet!$H$2:$H$3143=G$1,
Master_Mapping_Sheet!$B$2:$B$3143=$A15))/sum(filter(
Master_Mapping_Sheet!$E$2:$E$3143, ISNUMBER(
Master_Mapping_Sh"&amp;"eet!$E$2:$E$3143),
Master_Mapping_Sheet!$H$2:$H$3143=G$1))), 0, sum(filter(
Master_Mapping_Sheet!$E$2:$E$3143, ISNUMBER(
Master_Mapping_Sheet!$E$2:$E$3143),
Master_Mapping_Sheet!$H$2:$H$3143=G$1,
Master_Mapping_Sheet!$B$2:$B$3143=$A15))/sum(filter(
Master"&amp;"_Mapping_Sheet!$E$2:$E$3143, ISNUMBER(
Master_Mapping_Sheet!$E$2:$E$3143),
Master_Mapping_Sheet!$H$2:$H$3143=G$1)))"),0.0)</f>
        <v>0</v>
      </c>
      <c r="H15" s="34">
        <f>IFERROR(__xludf.DUMMYFUNCTION("IF(ISNA(sum(filter(
Master_Mapping_Sheet!$E$2:$E$3143, ISNUMBER(
Master_Mapping_Sheet!$E$2:$E$3143),
Master_Mapping_Sheet!$H$2:$H$3143=H$1,
Master_Mapping_Sheet!$B$2:$B$3143=$A15))/sum(filter(
Master_Mapping_Sheet!$E$2:$E$3143, ISNUMBER(
Master_Mapping_Sh"&amp;"eet!$E$2:$E$3143),
Master_Mapping_Sheet!$H$2:$H$3143=H$1))), 0, sum(filter(
Master_Mapping_Sheet!$E$2:$E$3143, ISNUMBER(
Master_Mapping_Sheet!$E$2:$E$3143),
Master_Mapping_Sheet!$H$2:$H$3143=H$1,
Master_Mapping_Sheet!$B$2:$B$3143=$A15))/sum(filter(
Master"&amp;"_Mapping_Sheet!$E$2:$E$3143, ISNUMBER(
Master_Mapping_Sheet!$E$2:$E$3143),
Master_Mapping_Sheet!$H$2:$H$3143=H$1)))"),0.0)</f>
        <v>0</v>
      </c>
      <c r="I15" s="34">
        <f>IFERROR(__xludf.DUMMYFUNCTION("IF(ISNA(sum(filter(
Master_Mapping_Sheet!$E$2:$E$3143, ISNUMBER(
Master_Mapping_Sheet!$E$2:$E$3143),
Master_Mapping_Sheet!$H$2:$H$3143=I$1,
Master_Mapping_Sheet!$B$2:$B$3143=$A15))/sum(filter(
Master_Mapping_Sheet!$E$2:$E$3143, ISNUMBER(
Master_Mapping_Sh"&amp;"eet!$E$2:$E$3143),
Master_Mapping_Sheet!$H$2:$H$3143=I$1))), 0, sum(filter(
Master_Mapping_Sheet!$E$2:$E$3143, ISNUMBER(
Master_Mapping_Sheet!$E$2:$E$3143),
Master_Mapping_Sheet!$H$2:$H$3143=I$1,
Master_Mapping_Sheet!$B$2:$B$3143=$A15))/sum(filter(
Master"&amp;"_Mapping_Sheet!$E$2:$E$3143, ISNUMBER(
Master_Mapping_Sheet!$E$2:$E$3143),
Master_Mapping_Sheet!$H$2:$H$3143=I$1)))"),0.0)</f>
        <v>0</v>
      </c>
      <c r="J15" s="34">
        <f>IFERROR(__xludf.DUMMYFUNCTION("IF(ISNA(sum(filter(
Master_Mapping_Sheet!$E$2:$E$3143, ISNUMBER(
Master_Mapping_Sheet!$E$2:$E$3143),
Master_Mapping_Sheet!$H$2:$H$3143=J$1,
Master_Mapping_Sheet!$B$2:$B$3143=$A15))/sum(filter(
Master_Mapping_Sheet!$E$2:$E$3143, ISNUMBER(
Master_Mapping_Sh"&amp;"eet!$E$2:$E$3143),
Master_Mapping_Sheet!$H$2:$H$3143=J$1))), 0, sum(filter(
Master_Mapping_Sheet!$E$2:$E$3143, ISNUMBER(
Master_Mapping_Sheet!$E$2:$E$3143),
Master_Mapping_Sheet!$H$2:$H$3143=J$1,
Master_Mapping_Sheet!$B$2:$B$3143=$A15))/sum(filter(
Master"&amp;"_Mapping_Sheet!$E$2:$E$3143, ISNUMBER(
Master_Mapping_Sheet!$E$2:$E$3143),
Master_Mapping_Sheet!$H$2:$H$3143=J$1)))"),0.0)</f>
        <v>0</v>
      </c>
      <c r="K15" s="34">
        <f>IFERROR(__xludf.DUMMYFUNCTION("IF(ISNA(sum(filter(
Master_Mapping_Sheet!$E$2:$E$3143, ISNUMBER(
Master_Mapping_Sheet!$E$2:$E$3143),
Master_Mapping_Sheet!$H$2:$H$3143=K$1,
Master_Mapping_Sheet!$B$2:$B$3143=$A15))/sum(filter(
Master_Mapping_Sheet!$E$2:$E$3143, ISNUMBER(
Master_Mapping_Sh"&amp;"eet!$E$2:$E$3143),
Master_Mapping_Sheet!$H$2:$H$3143=K$1))), 0, sum(filter(
Master_Mapping_Sheet!$E$2:$E$3143, ISNUMBER(
Master_Mapping_Sheet!$E$2:$E$3143),
Master_Mapping_Sheet!$H$2:$H$3143=K$1,
Master_Mapping_Sheet!$B$2:$B$3143=$A15))/sum(filter(
Master"&amp;"_Mapping_Sheet!$E$2:$E$3143, ISNUMBER(
Master_Mapping_Sheet!$E$2:$E$3143),
Master_Mapping_Sheet!$H$2:$H$3143=K$1)))"),0.0)</f>
        <v>0</v>
      </c>
      <c r="L15" s="34">
        <f>IFERROR(__xludf.DUMMYFUNCTION("IF(ISNA(sum(filter(
Master_Mapping_Sheet!$E$2:$E$3143, ISNUMBER(
Master_Mapping_Sheet!$E$2:$E$3143),
Master_Mapping_Sheet!$H$2:$H$3143=L$1,
Master_Mapping_Sheet!$B$2:$B$3143=$A15))/sum(filter(
Master_Mapping_Sheet!$E$2:$E$3143, ISNUMBER(
Master_Mapping_Sh"&amp;"eet!$E$2:$E$3143),
Master_Mapping_Sheet!$H$2:$H$3143=L$1))), 0, sum(filter(
Master_Mapping_Sheet!$E$2:$E$3143, ISNUMBER(
Master_Mapping_Sheet!$E$2:$E$3143),
Master_Mapping_Sheet!$H$2:$H$3143=L$1,
Master_Mapping_Sheet!$B$2:$B$3143=$A15))/sum(filter(
Master"&amp;"_Mapping_Sheet!$E$2:$E$3143, ISNUMBER(
Master_Mapping_Sheet!$E$2:$E$3143),
Master_Mapping_Sheet!$H$2:$H$3143=L$1)))"),0.0)</f>
        <v>0</v>
      </c>
      <c r="M15" s="34">
        <f>IFERROR(__xludf.DUMMYFUNCTION("IF(ISNA(sum(filter(
Master_Mapping_Sheet!$E$2:$E$3143, ISNUMBER(
Master_Mapping_Sheet!$E$2:$E$3143),
Master_Mapping_Sheet!$H$2:$H$3143=M$1,
Master_Mapping_Sheet!$B$2:$B$3143=$A15))/sum(filter(
Master_Mapping_Sheet!$E$2:$E$3143, ISNUMBER(
Master_Mapping_Sh"&amp;"eet!$E$2:$E$3143),
Master_Mapping_Sheet!$H$2:$H$3143=M$1))), 0, sum(filter(
Master_Mapping_Sheet!$E$2:$E$3143, ISNUMBER(
Master_Mapping_Sheet!$E$2:$E$3143),
Master_Mapping_Sheet!$H$2:$H$3143=M$1,
Master_Mapping_Sheet!$B$2:$B$3143=$A15))/sum(filter(
Master"&amp;"_Mapping_Sheet!$E$2:$E$3143, ISNUMBER(
Master_Mapping_Sheet!$E$2:$E$3143),
Master_Mapping_Sheet!$H$2:$H$3143=M$1)))"),0.0)</f>
        <v>0</v>
      </c>
      <c r="N15" s="34">
        <f>IFERROR(__xludf.DUMMYFUNCTION("IF(ISNA(sum(filter(
Master_Mapping_Sheet!$E$2:$E$3143, ISNUMBER(
Master_Mapping_Sheet!$E$2:$E$3143),
Master_Mapping_Sheet!$H$2:$H$3143=N$1,
Master_Mapping_Sheet!$B$2:$B$3143=$A15))/sum(filter(
Master_Mapping_Sheet!$E$2:$E$3143, ISNUMBER(
Master_Mapping_Sh"&amp;"eet!$E$2:$E$3143),
Master_Mapping_Sheet!$H$2:$H$3143=N$1))), 0, sum(filter(
Master_Mapping_Sheet!$E$2:$E$3143, ISNUMBER(
Master_Mapping_Sheet!$E$2:$E$3143),
Master_Mapping_Sheet!$H$2:$H$3143=N$1,
Master_Mapping_Sheet!$B$2:$B$3143=$A15))/sum(filter(
Master"&amp;"_Mapping_Sheet!$E$2:$E$3143, ISNUMBER(
Master_Mapping_Sheet!$E$2:$E$3143),
Master_Mapping_Sheet!$H$2:$H$3143=N$1)))"),1.0)</f>
        <v>1</v>
      </c>
      <c r="O15" s="34">
        <f>IFERROR(__xludf.DUMMYFUNCTION("IF(ISNA(sum(filter(
Master_Mapping_Sheet!$E$2:$E$3143, ISNUMBER(
Master_Mapping_Sheet!$E$2:$E$3143),
Master_Mapping_Sheet!$H$2:$H$3143=O$1,
Master_Mapping_Sheet!$B$2:$B$3143=$A15))/sum(filter(
Master_Mapping_Sheet!$E$2:$E$3143, ISNUMBER(
Master_Mapping_Sh"&amp;"eet!$E$2:$E$3143),
Master_Mapping_Sheet!$H$2:$H$3143=O$1))), 0, sum(filter(
Master_Mapping_Sheet!$E$2:$E$3143, ISNUMBER(
Master_Mapping_Sheet!$E$2:$E$3143),
Master_Mapping_Sheet!$H$2:$H$3143=O$1,
Master_Mapping_Sheet!$B$2:$B$3143=$A15))/sum(filter(
Master"&amp;"_Mapping_Sheet!$E$2:$E$3143, ISNUMBER(
Master_Mapping_Sheet!$E$2:$E$3143),
Master_Mapping_Sheet!$H$2:$H$3143=O$1)))"),0.0)</f>
        <v>0</v>
      </c>
      <c r="P15" s="34">
        <f>IFERROR(__xludf.DUMMYFUNCTION("IF(ISNA(sum(filter(
Master_Mapping_Sheet!$E$2:$E$3143, ISNUMBER(
Master_Mapping_Sheet!$E$2:$E$3143),
Master_Mapping_Sheet!$H$2:$H$3143=P$1,
Master_Mapping_Sheet!$B$2:$B$3143=$A15))/sum(filter(
Master_Mapping_Sheet!$E$2:$E$3143, ISNUMBER(
Master_Mapping_Sh"&amp;"eet!$E$2:$E$3143),
Master_Mapping_Sheet!$H$2:$H$3143=P$1))), 0, sum(filter(
Master_Mapping_Sheet!$E$2:$E$3143, ISNUMBER(
Master_Mapping_Sheet!$E$2:$E$3143),
Master_Mapping_Sheet!$H$2:$H$3143=P$1,
Master_Mapping_Sheet!$B$2:$B$3143=$A15))/sum(filter(
Master"&amp;"_Mapping_Sheet!$E$2:$E$3143, ISNUMBER(
Master_Mapping_Sheet!$E$2:$E$3143),
Master_Mapping_Sheet!$H$2:$H$3143=P$1)))"),0.0)</f>
        <v>0</v>
      </c>
      <c r="Q15" s="34">
        <f>IFERROR(__xludf.DUMMYFUNCTION("IF(ISNA(sum(filter(
Master_Mapping_Sheet!$E$2:$E$3143, ISNUMBER(
Master_Mapping_Sheet!$E$2:$E$3143),
Master_Mapping_Sheet!$H$2:$H$3143=Q$1,
Master_Mapping_Sheet!$B$2:$B$3143=$A15))/sum(filter(
Master_Mapping_Sheet!$E$2:$E$3143, ISNUMBER(
Master_Mapping_Sh"&amp;"eet!$E$2:$E$3143),
Master_Mapping_Sheet!$H$2:$H$3143=Q$1))), 0, sum(filter(
Master_Mapping_Sheet!$E$2:$E$3143, ISNUMBER(
Master_Mapping_Sheet!$E$2:$E$3143),
Master_Mapping_Sheet!$H$2:$H$3143=Q$1,
Master_Mapping_Sheet!$B$2:$B$3143=$A15))/sum(filter(
Master"&amp;"_Mapping_Sheet!$E$2:$E$3143, ISNUMBER(
Master_Mapping_Sheet!$E$2:$E$3143),
Master_Mapping_Sheet!$H$2:$H$3143=Q$1)))"),0.0)</f>
        <v>0</v>
      </c>
      <c r="R15" s="34">
        <f>IFERROR(__xludf.DUMMYFUNCTION("IF(ISNA(sum(filter(
Master_Mapping_Sheet!$E$2:$E$3143, ISNUMBER(
Master_Mapping_Sheet!$E$2:$E$3143),
Master_Mapping_Sheet!$H$2:$H$3143=R$1,
Master_Mapping_Sheet!$B$2:$B$3143=$A15))/sum(filter(
Master_Mapping_Sheet!$E$2:$E$3143, ISNUMBER(
Master_Mapping_Sh"&amp;"eet!$E$2:$E$3143),
Master_Mapping_Sheet!$H$2:$H$3143=R$1))), 0, sum(filter(
Master_Mapping_Sheet!$E$2:$E$3143, ISNUMBER(
Master_Mapping_Sheet!$E$2:$E$3143),
Master_Mapping_Sheet!$H$2:$H$3143=R$1,
Master_Mapping_Sheet!$B$2:$B$3143=$A15))/sum(filter(
Master"&amp;"_Mapping_Sheet!$E$2:$E$3143, ISNUMBER(
Master_Mapping_Sheet!$E$2:$E$3143),
Master_Mapping_Sheet!$H$2:$H$3143=R$1)))"),0.0)</f>
        <v>0</v>
      </c>
      <c r="S15" s="34">
        <f>IFERROR(__xludf.DUMMYFUNCTION("IF(ISNA(sum(filter(
Master_Mapping_Sheet!$E$2:$E$3143, ISNUMBER(
Master_Mapping_Sheet!$E$2:$E$3143),
Master_Mapping_Sheet!$H$2:$H$3143=S$1,
Master_Mapping_Sheet!$B$2:$B$3143=$A15))/sum(filter(
Master_Mapping_Sheet!$E$2:$E$3143, ISNUMBER(
Master_Mapping_Sh"&amp;"eet!$E$2:$E$3143),
Master_Mapping_Sheet!$H$2:$H$3143=S$1))), 0, sum(filter(
Master_Mapping_Sheet!$E$2:$E$3143, ISNUMBER(
Master_Mapping_Sheet!$E$2:$E$3143),
Master_Mapping_Sheet!$H$2:$H$3143=S$1,
Master_Mapping_Sheet!$B$2:$B$3143=$A15))/sum(filter(
Master"&amp;"_Mapping_Sheet!$E$2:$E$3143, ISNUMBER(
Master_Mapping_Sheet!$E$2:$E$3143),
Master_Mapping_Sheet!$H$2:$H$3143=S$1)))"),0.0)</f>
        <v>0</v>
      </c>
      <c r="T15" s="34">
        <f>IFERROR(__xludf.DUMMYFUNCTION("IF(ISNA(sum(filter(
Master_Mapping_Sheet!$E$2:$E$3143, ISNUMBER(
Master_Mapping_Sheet!$E$2:$E$3143),
Master_Mapping_Sheet!$H$2:$H$3143=T$1,
Master_Mapping_Sheet!$B$2:$B$3143=$A15))/sum(filter(
Master_Mapping_Sheet!$E$2:$E$3143, ISNUMBER(
Master_Mapping_Sh"&amp;"eet!$E$2:$E$3143),
Master_Mapping_Sheet!$H$2:$H$3143=T$1))), 0, sum(filter(
Master_Mapping_Sheet!$E$2:$E$3143, ISNUMBER(
Master_Mapping_Sheet!$E$2:$E$3143),
Master_Mapping_Sheet!$H$2:$H$3143=T$1,
Master_Mapping_Sheet!$B$2:$B$3143=$A15))/sum(filter(
Master"&amp;"_Mapping_Sheet!$E$2:$E$3143, ISNUMBER(
Master_Mapping_Sheet!$E$2:$E$3143),
Master_Mapping_Sheet!$H$2:$H$3143=T$1)))"),0.0)</f>
        <v>0</v>
      </c>
      <c r="U15" s="34">
        <f>IFERROR(__xludf.DUMMYFUNCTION("IF(ISNA(sum(filter(
Master_Mapping_Sheet!$E$2:$E$3143, ISNUMBER(
Master_Mapping_Sheet!$E$2:$E$3143),
Master_Mapping_Sheet!$H$2:$H$3143=U$1,
Master_Mapping_Sheet!$B$2:$B$3143=$A15))/sum(filter(
Master_Mapping_Sheet!$E$2:$E$3143, ISNUMBER(
Master_Mapping_Sh"&amp;"eet!$E$2:$E$3143),
Master_Mapping_Sheet!$H$2:$H$3143=U$1))), 0, sum(filter(
Master_Mapping_Sheet!$E$2:$E$3143, ISNUMBER(
Master_Mapping_Sheet!$E$2:$E$3143),
Master_Mapping_Sheet!$H$2:$H$3143=U$1,
Master_Mapping_Sheet!$B$2:$B$3143=$A15))/sum(filter(
Master"&amp;"_Mapping_Sheet!$E$2:$E$3143, ISNUMBER(
Master_Mapping_Sheet!$E$2:$E$3143),
Master_Mapping_Sheet!$H$2:$H$3143=U$1)))"),0.0)</f>
        <v>0</v>
      </c>
      <c r="V15" s="34">
        <f>IFERROR(__xludf.DUMMYFUNCTION("IF(ISNA(sum(filter(
Master_Mapping_Sheet!$E$2:$E$3143, ISNUMBER(
Master_Mapping_Sheet!$E$2:$E$3143),
Master_Mapping_Sheet!$H$2:$H$3143=V$1,
Master_Mapping_Sheet!$B$2:$B$3143=$A15))/sum(filter(
Master_Mapping_Sheet!$E$2:$E$3143, ISNUMBER(
Master_Mapping_Sh"&amp;"eet!$E$2:$E$3143),
Master_Mapping_Sheet!$H$2:$H$3143=V$1))), 0, sum(filter(
Master_Mapping_Sheet!$E$2:$E$3143, ISNUMBER(
Master_Mapping_Sheet!$E$2:$E$3143),
Master_Mapping_Sheet!$H$2:$H$3143=V$1,
Master_Mapping_Sheet!$B$2:$B$3143=$A15))/sum(filter(
Master"&amp;"_Mapping_Sheet!$E$2:$E$3143, ISNUMBER(
Master_Mapping_Sheet!$E$2:$E$3143),
Master_Mapping_Sheet!$H$2:$H$3143=V$1)))"),0.0)</f>
        <v>0</v>
      </c>
      <c r="W15" s="34">
        <f>IFERROR(__xludf.DUMMYFUNCTION("IF(ISNA(sum(filter(
Master_Mapping_Sheet!$E$2:$E$3143, ISNUMBER(
Master_Mapping_Sheet!$E$2:$E$3143),
Master_Mapping_Sheet!$H$2:$H$3143=W$1,
Master_Mapping_Sheet!$B$2:$B$3143=$A15))/sum(filter(
Master_Mapping_Sheet!$E$2:$E$3143, ISNUMBER(
Master_Mapping_Sh"&amp;"eet!$E$2:$E$3143),
Master_Mapping_Sheet!$H$2:$H$3143=W$1))), 0, sum(filter(
Master_Mapping_Sheet!$E$2:$E$3143, ISNUMBER(
Master_Mapping_Sheet!$E$2:$E$3143),
Master_Mapping_Sheet!$H$2:$H$3143=W$1,
Master_Mapping_Sheet!$B$2:$B$3143=$A15))/sum(filter(
Master"&amp;"_Mapping_Sheet!$E$2:$E$3143, ISNUMBER(
Master_Mapping_Sheet!$E$2:$E$3143),
Master_Mapping_Sheet!$H$2:$H$3143=W$1)))"),0.0)</f>
        <v>0</v>
      </c>
      <c r="X15" s="34">
        <f>IFERROR(__xludf.DUMMYFUNCTION("IF(ISNA(sum(filter(
Master_Mapping_Sheet!$E$2:$E$3143, ISNUMBER(
Master_Mapping_Sheet!$E$2:$E$3143),
Master_Mapping_Sheet!$H$2:$H$3143=X$1,
Master_Mapping_Sheet!$B$2:$B$3143=$A15))/sum(filter(
Master_Mapping_Sheet!$E$2:$E$3143, ISNUMBER(
Master_Mapping_Sh"&amp;"eet!$E$2:$E$3143),
Master_Mapping_Sheet!$H$2:$H$3143=X$1))), 0, sum(filter(
Master_Mapping_Sheet!$E$2:$E$3143, ISNUMBER(
Master_Mapping_Sheet!$E$2:$E$3143),
Master_Mapping_Sheet!$H$2:$H$3143=X$1,
Master_Mapping_Sheet!$B$2:$B$3143=$A15))/sum(filter(
Master"&amp;"_Mapping_Sheet!$E$2:$E$3143, ISNUMBER(
Master_Mapping_Sheet!$E$2:$E$3143),
Master_Mapping_Sheet!$H$2:$H$3143=X$1)))"),0.0)</f>
        <v>0</v>
      </c>
      <c r="Y15" s="34">
        <f>IFERROR(__xludf.DUMMYFUNCTION("IF(ISNA(sum(filter(
Master_Mapping_Sheet!$E$2:$E$3143, ISNUMBER(
Master_Mapping_Sheet!$E$2:$E$3143),
Master_Mapping_Sheet!$H$2:$H$3143=Y$1,
Master_Mapping_Sheet!$B$2:$B$3143=$A15))/sum(filter(
Master_Mapping_Sheet!$E$2:$E$3143, ISNUMBER(
Master_Mapping_Sh"&amp;"eet!$E$2:$E$3143),
Master_Mapping_Sheet!$H$2:$H$3143=Y$1))), 0, sum(filter(
Master_Mapping_Sheet!$E$2:$E$3143, ISNUMBER(
Master_Mapping_Sheet!$E$2:$E$3143),
Master_Mapping_Sheet!$H$2:$H$3143=Y$1,
Master_Mapping_Sheet!$B$2:$B$3143=$A15))/sum(filter(
Master"&amp;"_Mapping_Sheet!$E$2:$E$3143, ISNUMBER(
Master_Mapping_Sheet!$E$2:$E$3143),
Master_Mapping_Sheet!$H$2:$H$3143=Y$1)))"),0.0)</f>
        <v>0</v>
      </c>
      <c r="Z15" s="34">
        <f>IFERROR(__xludf.DUMMYFUNCTION("IF(ISNA(sum(filter(
Master_Mapping_Sheet!$E$2:$E$3143, ISNUMBER(
Master_Mapping_Sheet!$E$2:$E$3143),
Master_Mapping_Sheet!$H$2:$H$3143=Z$1,
Master_Mapping_Sheet!$B$2:$B$3143=$A15))/sum(filter(
Master_Mapping_Sheet!$E$2:$E$3143, ISNUMBER(
Master_Mapping_Sh"&amp;"eet!$E$2:$E$3143),
Master_Mapping_Sheet!$H$2:$H$3143=Z$1))), 0, sum(filter(
Master_Mapping_Sheet!$E$2:$E$3143, ISNUMBER(
Master_Mapping_Sheet!$E$2:$E$3143),
Master_Mapping_Sheet!$H$2:$H$3143=Z$1,
Master_Mapping_Sheet!$B$2:$B$3143=$A15))/sum(filter(
Master"&amp;"_Mapping_Sheet!$E$2:$E$3143, ISNUMBER(
Master_Mapping_Sheet!$E$2:$E$3143),
Master_Mapping_Sheet!$H$2:$H$3143=Z$1)))"),0.0)</f>
        <v>0</v>
      </c>
      <c r="AA15" s="34">
        <f>IFERROR(__xludf.DUMMYFUNCTION("IF(ISNA(sum(filter(
Master_Mapping_Sheet!$E$2:$E$3143, ISNUMBER(
Master_Mapping_Sheet!$E$2:$E$3143),
Master_Mapping_Sheet!$H$2:$H$3143=AA$1,
Master_Mapping_Sheet!$B$2:$B$3143=$A15))/sum(filter(
Master_Mapping_Sheet!$E$2:$E$3143, ISNUMBER(
Master_Mapping_S"&amp;"heet!$E$2:$E$3143),
Master_Mapping_Sheet!$H$2:$H$3143=AA$1))), 0, sum(filter(
Master_Mapping_Sheet!$E$2:$E$3143, ISNUMBER(
Master_Mapping_Sheet!$E$2:$E$3143),
Master_Mapping_Sheet!$H$2:$H$3143=AA$1,
Master_Mapping_Sheet!$B$2:$B$3143=$A15))/sum(filter(
Mas"&amp;"ter_Mapping_Sheet!$E$2:$E$3143, ISNUMBER(
Master_Mapping_Sheet!$E$2:$E$3143),
Master_Mapping_Sheet!$H$2:$H$3143=AA$1)))"),0.0)</f>
        <v>0</v>
      </c>
    </row>
    <row r="16" ht="15.75" customHeight="1">
      <c r="A16" s="34" t="s">
        <v>663</v>
      </c>
      <c r="B16" s="34" t="s">
        <v>2513</v>
      </c>
      <c r="C16" s="34">
        <f>IFERROR(__xludf.DUMMYFUNCTION("IF(ISNA(sum(filter(
Master_Mapping_Sheet!$E$2:$E$3143, ISNUMBER(
Master_Mapping_Sheet!$E$2:$E$3143),
Master_Mapping_Sheet!$H$2:$H$3143=C$1,
Master_Mapping_Sheet!$B$2:$B$3143=$A16))/sum(filter(
Master_Mapping_Sheet!$E$2:$E$3143, ISNUMBER(
Master_Mapping_Sh"&amp;"eet!$E$2:$E$3143),
Master_Mapping_Sheet!$H$2:$H$3143=C$1))), 0, sum(filter(
Master_Mapping_Sheet!$E$2:$E$3143, ISNUMBER(
Master_Mapping_Sheet!$E$2:$E$3143),
Master_Mapping_Sheet!$H$2:$H$3143=C$1,
Master_Mapping_Sheet!$B$2:$B$3143=$A16))/sum(filter(
Master"&amp;"_Mapping_Sheet!$E$2:$E$3143, ISNUMBER(
Master_Mapping_Sheet!$E$2:$E$3143),
Master_Mapping_Sheet!$H$2:$H$3143=C$1)))"),0.0)</f>
        <v>0</v>
      </c>
      <c r="D16" s="34">
        <f>IFERROR(__xludf.DUMMYFUNCTION("IF(ISNA(sum(filter(
Master_Mapping_Sheet!$E$2:$E$3143, ISNUMBER(
Master_Mapping_Sheet!$E$2:$E$3143),
Master_Mapping_Sheet!$H$2:$H$3143=D$1,
Master_Mapping_Sheet!$B$2:$B$3143=$A16))/sum(filter(
Master_Mapping_Sheet!$E$2:$E$3143, ISNUMBER(
Master_Mapping_Sh"&amp;"eet!$E$2:$E$3143),
Master_Mapping_Sheet!$H$2:$H$3143=D$1))), 0, sum(filter(
Master_Mapping_Sheet!$E$2:$E$3143, ISNUMBER(
Master_Mapping_Sheet!$E$2:$E$3143),
Master_Mapping_Sheet!$H$2:$H$3143=D$1,
Master_Mapping_Sheet!$B$2:$B$3143=$A16))/sum(filter(
Master"&amp;"_Mapping_Sheet!$E$2:$E$3143, ISNUMBER(
Master_Mapping_Sheet!$E$2:$E$3143),
Master_Mapping_Sheet!$H$2:$H$3143=D$1)))"),0.0)</f>
        <v>0</v>
      </c>
      <c r="E16" s="32">
        <f>IFERROR(__xludf.DUMMYFUNCTION("IF(ISNA(sum(filter(
Master_Mapping_Sheet!$E$2:$E$3143, ISNUMBER(
Master_Mapping_Sheet!$E$2:$E$3143),
Master_Mapping_Sheet!$H$2:$H$3143=E$1,
Master_Mapping_Sheet!$B$2:$B$3143=$A16))/sum(filter(
Master_Mapping_Sheet!$E$2:$E$3143, ISNUMBER(
Master_Mapping_Sh"&amp;"eet!$E$2:$E$3143),
Master_Mapping_Sheet!$H$2:$H$3143=E$1))), 0, sum(filter(
Master_Mapping_Sheet!$E$2:$E$3143, ISNUMBER(
Master_Mapping_Sheet!$E$2:$E$3143),
Master_Mapping_Sheet!$H$2:$H$3143=E$1,
Master_Mapping_Sheet!$B$2:$B$3143=$A16))/sum(filter(
Master"&amp;"_Mapping_Sheet!$E$2:$E$3143, ISNUMBER(
Master_Mapping_Sheet!$E$2:$E$3143),
Master_Mapping_Sheet!$H$2:$H$3143=E$1)))"),0.0)</f>
        <v>0</v>
      </c>
      <c r="F16" s="34">
        <f>IFERROR(__xludf.DUMMYFUNCTION("IF(ISNA(sum(filter(
Master_Mapping_Sheet!$E$2:$E$3143, ISNUMBER(
Master_Mapping_Sheet!$E$2:$E$3143),
Master_Mapping_Sheet!$H$2:$H$3143=F$1,
Master_Mapping_Sheet!$B$2:$B$3143=$A16))/sum(filter(
Master_Mapping_Sheet!$E$2:$E$3143, ISNUMBER(
Master_Mapping_Sh"&amp;"eet!$E$2:$E$3143),
Master_Mapping_Sheet!$H$2:$H$3143=F$1))), 0, sum(filter(
Master_Mapping_Sheet!$E$2:$E$3143, ISNUMBER(
Master_Mapping_Sheet!$E$2:$E$3143),
Master_Mapping_Sheet!$H$2:$H$3143=F$1,
Master_Mapping_Sheet!$B$2:$B$3143=$A16))/sum(filter(
Master"&amp;"_Mapping_Sheet!$E$2:$E$3143, ISNUMBER(
Master_Mapping_Sheet!$E$2:$E$3143),
Master_Mapping_Sheet!$H$2:$H$3143=F$1)))"),0.3805968201999838)</f>
        <v>0.3805968202</v>
      </c>
      <c r="G16" s="34">
        <f>IFERROR(__xludf.DUMMYFUNCTION("IF(ISNA(sum(filter(
Master_Mapping_Sheet!$E$2:$E$3143, ISNUMBER(
Master_Mapping_Sheet!$E$2:$E$3143),
Master_Mapping_Sheet!$H$2:$H$3143=G$1,
Master_Mapping_Sheet!$B$2:$B$3143=$A16))/sum(filter(
Master_Mapping_Sheet!$E$2:$E$3143, ISNUMBER(
Master_Mapping_Sh"&amp;"eet!$E$2:$E$3143),
Master_Mapping_Sheet!$H$2:$H$3143=G$1))), 0, sum(filter(
Master_Mapping_Sheet!$E$2:$E$3143, ISNUMBER(
Master_Mapping_Sheet!$E$2:$E$3143),
Master_Mapping_Sheet!$H$2:$H$3143=G$1,
Master_Mapping_Sheet!$B$2:$B$3143=$A16))/sum(filter(
Master"&amp;"_Mapping_Sheet!$E$2:$E$3143, ISNUMBER(
Master_Mapping_Sheet!$E$2:$E$3143),
Master_Mapping_Sheet!$H$2:$H$3143=G$1)))"),0.0)</f>
        <v>0</v>
      </c>
      <c r="H16" s="34">
        <f>IFERROR(__xludf.DUMMYFUNCTION("IF(ISNA(sum(filter(
Master_Mapping_Sheet!$E$2:$E$3143, ISNUMBER(
Master_Mapping_Sheet!$E$2:$E$3143),
Master_Mapping_Sheet!$H$2:$H$3143=H$1,
Master_Mapping_Sheet!$B$2:$B$3143=$A16))/sum(filter(
Master_Mapping_Sheet!$E$2:$E$3143, ISNUMBER(
Master_Mapping_Sh"&amp;"eet!$E$2:$E$3143),
Master_Mapping_Sheet!$H$2:$H$3143=H$1))), 0, sum(filter(
Master_Mapping_Sheet!$E$2:$E$3143, ISNUMBER(
Master_Mapping_Sheet!$E$2:$E$3143),
Master_Mapping_Sheet!$H$2:$H$3143=H$1,
Master_Mapping_Sheet!$B$2:$B$3143=$A16))/sum(filter(
Master"&amp;"_Mapping_Sheet!$E$2:$E$3143, ISNUMBER(
Master_Mapping_Sheet!$E$2:$E$3143),
Master_Mapping_Sheet!$H$2:$H$3143=H$1)))"),0.0)</f>
        <v>0</v>
      </c>
      <c r="I16" s="34">
        <f>IFERROR(__xludf.DUMMYFUNCTION("IF(ISNA(sum(filter(
Master_Mapping_Sheet!$E$2:$E$3143, ISNUMBER(
Master_Mapping_Sheet!$E$2:$E$3143),
Master_Mapping_Sheet!$H$2:$H$3143=I$1,
Master_Mapping_Sheet!$B$2:$B$3143=$A16))/sum(filter(
Master_Mapping_Sheet!$E$2:$E$3143, ISNUMBER(
Master_Mapping_Sh"&amp;"eet!$E$2:$E$3143),
Master_Mapping_Sheet!$H$2:$H$3143=I$1))), 0, sum(filter(
Master_Mapping_Sheet!$E$2:$E$3143, ISNUMBER(
Master_Mapping_Sheet!$E$2:$E$3143),
Master_Mapping_Sheet!$H$2:$H$3143=I$1,
Master_Mapping_Sheet!$B$2:$B$3143=$A16))/sum(filter(
Master"&amp;"_Mapping_Sheet!$E$2:$E$3143, ISNUMBER(
Master_Mapping_Sheet!$E$2:$E$3143),
Master_Mapping_Sheet!$H$2:$H$3143=I$1)))"),0.0)</f>
        <v>0</v>
      </c>
      <c r="J16" s="34">
        <f>IFERROR(__xludf.DUMMYFUNCTION("IF(ISNA(sum(filter(
Master_Mapping_Sheet!$E$2:$E$3143, ISNUMBER(
Master_Mapping_Sheet!$E$2:$E$3143),
Master_Mapping_Sheet!$H$2:$H$3143=J$1,
Master_Mapping_Sheet!$B$2:$B$3143=$A16))/sum(filter(
Master_Mapping_Sheet!$E$2:$E$3143, ISNUMBER(
Master_Mapping_Sh"&amp;"eet!$E$2:$E$3143),
Master_Mapping_Sheet!$H$2:$H$3143=J$1))), 0, sum(filter(
Master_Mapping_Sheet!$E$2:$E$3143, ISNUMBER(
Master_Mapping_Sheet!$E$2:$E$3143),
Master_Mapping_Sheet!$H$2:$H$3143=J$1,
Master_Mapping_Sheet!$B$2:$B$3143=$A16))/sum(filter(
Master"&amp;"_Mapping_Sheet!$E$2:$E$3143, ISNUMBER(
Master_Mapping_Sheet!$E$2:$E$3143),
Master_Mapping_Sheet!$H$2:$H$3143=J$1)))"),0.0)</f>
        <v>0</v>
      </c>
      <c r="K16" s="34">
        <f>IFERROR(__xludf.DUMMYFUNCTION("IF(ISNA(sum(filter(
Master_Mapping_Sheet!$E$2:$E$3143, ISNUMBER(
Master_Mapping_Sheet!$E$2:$E$3143),
Master_Mapping_Sheet!$H$2:$H$3143=K$1,
Master_Mapping_Sheet!$B$2:$B$3143=$A16))/sum(filter(
Master_Mapping_Sheet!$E$2:$E$3143, ISNUMBER(
Master_Mapping_Sh"&amp;"eet!$E$2:$E$3143),
Master_Mapping_Sheet!$H$2:$H$3143=K$1))), 0, sum(filter(
Master_Mapping_Sheet!$E$2:$E$3143, ISNUMBER(
Master_Mapping_Sheet!$E$2:$E$3143),
Master_Mapping_Sheet!$H$2:$H$3143=K$1,
Master_Mapping_Sheet!$B$2:$B$3143=$A16))/sum(filter(
Master"&amp;"_Mapping_Sheet!$E$2:$E$3143, ISNUMBER(
Master_Mapping_Sheet!$E$2:$E$3143),
Master_Mapping_Sheet!$H$2:$H$3143=K$1)))"),0.0)</f>
        <v>0</v>
      </c>
      <c r="L16" s="34">
        <f>IFERROR(__xludf.DUMMYFUNCTION("IF(ISNA(sum(filter(
Master_Mapping_Sheet!$E$2:$E$3143, ISNUMBER(
Master_Mapping_Sheet!$E$2:$E$3143),
Master_Mapping_Sheet!$H$2:$H$3143=L$1,
Master_Mapping_Sheet!$B$2:$B$3143=$A16))/sum(filter(
Master_Mapping_Sheet!$E$2:$E$3143, ISNUMBER(
Master_Mapping_Sh"&amp;"eet!$E$2:$E$3143),
Master_Mapping_Sheet!$H$2:$H$3143=L$1))), 0, sum(filter(
Master_Mapping_Sheet!$E$2:$E$3143, ISNUMBER(
Master_Mapping_Sheet!$E$2:$E$3143),
Master_Mapping_Sheet!$H$2:$H$3143=L$1,
Master_Mapping_Sheet!$B$2:$B$3143=$A16))/sum(filter(
Master"&amp;"_Mapping_Sheet!$E$2:$E$3143, ISNUMBER(
Master_Mapping_Sheet!$E$2:$E$3143),
Master_Mapping_Sheet!$H$2:$H$3143=L$1)))"),0.0)</f>
        <v>0</v>
      </c>
      <c r="M16" s="34">
        <f>IFERROR(__xludf.DUMMYFUNCTION("IF(ISNA(sum(filter(
Master_Mapping_Sheet!$E$2:$E$3143, ISNUMBER(
Master_Mapping_Sheet!$E$2:$E$3143),
Master_Mapping_Sheet!$H$2:$H$3143=M$1,
Master_Mapping_Sheet!$B$2:$B$3143=$A16))/sum(filter(
Master_Mapping_Sheet!$E$2:$E$3143, ISNUMBER(
Master_Mapping_Sh"&amp;"eet!$E$2:$E$3143),
Master_Mapping_Sheet!$H$2:$H$3143=M$1))), 0, sum(filter(
Master_Mapping_Sheet!$E$2:$E$3143, ISNUMBER(
Master_Mapping_Sheet!$E$2:$E$3143),
Master_Mapping_Sheet!$H$2:$H$3143=M$1,
Master_Mapping_Sheet!$B$2:$B$3143=$A16))/sum(filter(
Master"&amp;"_Mapping_Sheet!$E$2:$E$3143, ISNUMBER(
Master_Mapping_Sheet!$E$2:$E$3143),
Master_Mapping_Sheet!$H$2:$H$3143=M$1)))"),0.10617813904197546)</f>
        <v>0.106178139</v>
      </c>
      <c r="N16" s="34">
        <f>IFERROR(__xludf.DUMMYFUNCTION("IF(ISNA(sum(filter(
Master_Mapping_Sheet!$E$2:$E$3143, ISNUMBER(
Master_Mapping_Sheet!$E$2:$E$3143),
Master_Mapping_Sheet!$H$2:$H$3143=N$1,
Master_Mapping_Sheet!$B$2:$B$3143=$A16))/sum(filter(
Master_Mapping_Sheet!$E$2:$E$3143, ISNUMBER(
Master_Mapping_Sh"&amp;"eet!$E$2:$E$3143),
Master_Mapping_Sheet!$H$2:$H$3143=N$1))), 0, sum(filter(
Master_Mapping_Sheet!$E$2:$E$3143, ISNUMBER(
Master_Mapping_Sheet!$E$2:$E$3143),
Master_Mapping_Sheet!$H$2:$H$3143=N$1,
Master_Mapping_Sheet!$B$2:$B$3143=$A16))/sum(filter(
Master"&amp;"_Mapping_Sheet!$E$2:$E$3143, ISNUMBER(
Master_Mapping_Sheet!$E$2:$E$3143),
Master_Mapping_Sheet!$H$2:$H$3143=N$1)))"),0.0)</f>
        <v>0</v>
      </c>
      <c r="O16" s="34">
        <f>IFERROR(__xludf.DUMMYFUNCTION("IF(ISNA(sum(filter(
Master_Mapping_Sheet!$E$2:$E$3143, ISNUMBER(
Master_Mapping_Sheet!$E$2:$E$3143),
Master_Mapping_Sheet!$H$2:$H$3143=O$1,
Master_Mapping_Sheet!$B$2:$B$3143=$A16))/sum(filter(
Master_Mapping_Sheet!$E$2:$E$3143, ISNUMBER(
Master_Mapping_Sh"&amp;"eet!$E$2:$E$3143),
Master_Mapping_Sheet!$H$2:$H$3143=O$1))), 0, sum(filter(
Master_Mapping_Sheet!$E$2:$E$3143, ISNUMBER(
Master_Mapping_Sheet!$E$2:$E$3143),
Master_Mapping_Sheet!$H$2:$H$3143=O$1,
Master_Mapping_Sheet!$B$2:$B$3143=$A16))/sum(filter(
Master"&amp;"_Mapping_Sheet!$E$2:$E$3143, ISNUMBER(
Master_Mapping_Sheet!$E$2:$E$3143),
Master_Mapping_Sheet!$H$2:$H$3143=O$1)))"),0.0)</f>
        <v>0</v>
      </c>
      <c r="P16" s="34">
        <f>IFERROR(__xludf.DUMMYFUNCTION("IF(ISNA(sum(filter(
Master_Mapping_Sheet!$E$2:$E$3143, ISNUMBER(
Master_Mapping_Sheet!$E$2:$E$3143),
Master_Mapping_Sheet!$H$2:$H$3143=P$1,
Master_Mapping_Sheet!$B$2:$B$3143=$A16))/sum(filter(
Master_Mapping_Sheet!$E$2:$E$3143, ISNUMBER(
Master_Mapping_Sh"&amp;"eet!$E$2:$E$3143),
Master_Mapping_Sheet!$H$2:$H$3143=P$1))), 0, sum(filter(
Master_Mapping_Sheet!$E$2:$E$3143, ISNUMBER(
Master_Mapping_Sheet!$E$2:$E$3143),
Master_Mapping_Sheet!$H$2:$H$3143=P$1,
Master_Mapping_Sheet!$B$2:$B$3143=$A16))/sum(filter(
Master"&amp;"_Mapping_Sheet!$E$2:$E$3143, ISNUMBER(
Master_Mapping_Sheet!$E$2:$E$3143),
Master_Mapping_Sheet!$H$2:$H$3143=P$1)))"),0.0)</f>
        <v>0</v>
      </c>
      <c r="Q16" s="34">
        <f>IFERROR(__xludf.DUMMYFUNCTION("IF(ISNA(sum(filter(
Master_Mapping_Sheet!$E$2:$E$3143, ISNUMBER(
Master_Mapping_Sheet!$E$2:$E$3143),
Master_Mapping_Sheet!$H$2:$H$3143=Q$1,
Master_Mapping_Sheet!$B$2:$B$3143=$A16))/sum(filter(
Master_Mapping_Sheet!$E$2:$E$3143, ISNUMBER(
Master_Mapping_Sh"&amp;"eet!$E$2:$E$3143),
Master_Mapping_Sheet!$H$2:$H$3143=Q$1))), 0, sum(filter(
Master_Mapping_Sheet!$E$2:$E$3143, ISNUMBER(
Master_Mapping_Sheet!$E$2:$E$3143),
Master_Mapping_Sheet!$H$2:$H$3143=Q$1,
Master_Mapping_Sheet!$B$2:$B$3143=$A16))/sum(filter(
Master"&amp;"_Mapping_Sheet!$E$2:$E$3143, ISNUMBER(
Master_Mapping_Sheet!$E$2:$E$3143),
Master_Mapping_Sheet!$H$2:$H$3143=Q$1)))"),0.0)</f>
        <v>0</v>
      </c>
      <c r="R16" s="34">
        <f>IFERROR(__xludf.DUMMYFUNCTION("IF(ISNA(sum(filter(
Master_Mapping_Sheet!$E$2:$E$3143, ISNUMBER(
Master_Mapping_Sheet!$E$2:$E$3143),
Master_Mapping_Sheet!$H$2:$H$3143=R$1,
Master_Mapping_Sheet!$B$2:$B$3143=$A16))/sum(filter(
Master_Mapping_Sheet!$E$2:$E$3143, ISNUMBER(
Master_Mapping_Sh"&amp;"eet!$E$2:$E$3143),
Master_Mapping_Sheet!$H$2:$H$3143=R$1))), 0, sum(filter(
Master_Mapping_Sheet!$E$2:$E$3143, ISNUMBER(
Master_Mapping_Sheet!$E$2:$E$3143),
Master_Mapping_Sheet!$H$2:$H$3143=R$1,
Master_Mapping_Sheet!$B$2:$B$3143=$A16))/sum(filter(
Master"&amp;"_Mapping_Sheet!$E$2:$E$3143, ISNUMBER(
Master_Mapping_Sheet!$E$2:$E$3143),
Master_Mapping_Sheet!$H$2:$H$3143=R$1)))"),0.0)</f>
        <v>0</v>
      </c>
      <c r="S16" s="34">
        <f>IFERROR(__xludf.DUMMYFUNCTION("IF(ISNA(sum(filter(
Master_Mapping_Sheet!$E$2:$E$3143, ISNUMBER(
Master_Mapping_Sheet!$E$2:$E$3143),
Master_Mapping_Sheet!$H$2:$H$3143=S$1,
Master_Mapping_Sheet!$B$2:$B$3143=$A16))/sum(filter(
Master_Mapping_Sheet!$E$2:$E$3143, ISNUMBER(
Master_Mapping_Sh"&amp;"eet!$E$2:$E$3143),
Master_Mapping_Sheet!$H$2:$H$3143=S$1))), 0, sum(filter(
Master_Mapping_Sheet!$E$2:$E$3143, ISNUMBER(
Master_Mapping_Sheet!$E$2:$E$3143),
Master_Mapping_Sheet!$H$2:$H$3143=S$1,
Master_Mapping_Sheet!$B$2:$B$3143=$A16))/sum(filter(
Master"&amp;"_Mapping_Sheet!$E$2:$E$3143, ISNUMBER(
Master_Mapping_Sheet!$E$2:$E$3143),
Master_Mapping_Sheet!$H$2:$H$3143=S$1)))"),0.0)</f>
        <v>0</v>
      </c>
      <c r="T16" s="34">
        <f>IFERROR(__xludf.DUMMYFUNCTION("IF(ISNA(sum(filter(
Master_Mapping_Sheet!$E$2:$E$3143, ISNUMBER(
Master_Mapping_Sheet!$E$2:$E$3143),
Master_Mapping_Sheet!$H$2:$H$3143=T$1,
Master_Mapping_Sheet!$B$2:$B$3143=$A16))/sum(filter(
Master_Mapping_Sheet!$E$2:$E$3143, ISNUMBER(
Master_Mapping_Sh"&amp;"eet!$E$2:$E$3143),
Master_Mapping_Sheet!$H$2:$H$3143=T$1))), 0, sum(filter(
Master_Mapping_Sheet!$E$2:$E$3143, ISNUMBER(
Master_Mapping_Sheet!$E$2:$E$3143),
Master_Mapping_Sheet!$H$2:$H$3143=T$1,
Master_Mapping_Sheet!$B$2:$B$3143=$A16))/sum(filter(
Master"&amp;"_Mapping_Sheet!$E$2:$E$3143, ISNUMBER(
Master_Mapping_Sheet!$E$2:$E$3143),
Master_Mapping_Sheet!$H$2:$H$3143=T$1)))"),0.0)</f>
        <v>0</v>
      </c>
      <c r="U16" s="34">
        <f>IFERROR(__xludf.DUMMYFUNCTION("IF(ISNA(sum(filter(
Master_Mapping_Sheet!$E$2:$E$3143, ISNUMBER(
Master_Mapping_Sheet!$E$2:$E$3143),
Master_Mapping_Sheet!$H$2:$H$3143=U$1,
Master_Mapping_Sheet!$B$2:$B$3143=$A16))/sum(filter(
Master_Mapping_Sheet!$E$2:$E$3143, ISNUMBER(
Master_Mapping_Sh"&amp;"eet!$E$2:$E$3143),
Master_Mapping_Sheet!$H$2:$H$3143=U$1))), 0, sum(filter(
Master_Mapping_Sheet!$E$2:$E$3143, ISNUMBER(
Master_Mapping_Sheet!$E$2:$E$3143),
Master_Mapping_Sheet!$H$2:$H$3143=U$1,
Master_Mapping_Sheet!$B$2:$B$3143=$A16))/sum(filter(
Master"&amp;"_Mapping_Sheet!$E$2:$E$3143, ISNUMBER(
Master_Mapping_Sheet!$E$2:$E$3143),
Master_Mapping_Sheet!$H$2:$H$3143=U$1)))"),0.0)</f>
        <v>0</v>
      </c>
      <c r="V16" s="34">
        <f>IFERROR(__xludf.DUMMYFUNCTION("IF(ISNA(sum(filter(
Master_Mapping_Sheet!$E$2:$E$3143, ISNUMBER(
Master_Mapping_Sheet!$E$2:$E$3143),
Master_Mapping_Sheet!$H$2:$H$3143=V$1,
Master_Mapping_Sheet!$B$2:$B$3143=$A16))/sum(filter(
Master_Mapping_Sheet!$E$2:$E$3143, ISNUMBER(
Master_Mapping_Sh"&amp;"eet!$E$2:$E$3143),
Master_Mapping_Sheet!$H$2:$H$3143=V$1))), 0, sum(filter(
Master_Mapping_Sheet!$E$2:$E$3143, ISNUMBER(
Master_Mapping_Sheet!$E$2:$E$3143),
Master_Mapping_Sheet!$H$2:$H$3143=V$1,
Master_Mapping_Sheet!$B$2:$B$3143=$A16))/sum(filter(
Master"&amp;"_Mapping_Sheet!$E$2:$E$3143, ISNUMBER(
Master_Mapping_Sheet!$E$2:$E$3143),
Master_Mapping_Sheet!$H$2:$H$3143=V$1)))"),0.0)</f>
        <v>0</v>
      </c>
      <c r="W16" s="34">
        <f>IFERROR(__xludf.DUMMYFUNCTION("IF(ISNA(sum(filter(
Master_Mapping_Sheet!$E$2:$E$3143, ISNUMBER(
Master_Mapping_Sheet!$E$2:$E$3143),
Master_Mapping_Sheet!$H$2:$H$3143=W$1,
Master_Mapping_Sheet!$B$2:$B$3143=$A16))/sum(filter(
Master_Mapping_Sheet!$E$2:$E$3143, ISNUMBER(
Master_Mapping_Sh"&amp;"eet!$E$2:$E$3143),
Master_Mapping_Sheet!$H$2:$H$3143=W$1))), 0, sum(filter(
Master_Mapping_Sheet!$E$2:$E$3143, ISNUMBER(
Master_Mapping_Sheet!$E$2:$E$3143),
Master_Mapping_Sheet!$H$2:$H$3143=W$1,
Master_Mapping_Sheet!$B$2:$B$3143=$A16))/sum(filter(
Master"&amp;"_Mapping_Sheet!$E$2:$E$3143, ISNUMBER(
Master_Mapping_Sheet!$E$2:$E$3143),
Master_Mapping_Sheet!$H$2:$H$3143=W$1)))"),0.0)</f>
        <v>0</v>
      </c>
      <c r="X16" s="34">
        <f>IFERROR(__xludf.DUMMYFUNCTION("IF(ISNA(sum(filter(
Master_Mapping_Sheet!$E$2:$E$3143, ISNUMBER(
Master_Mapping_Sheet!$E$2:$E$3143),
Master_Mapping_Sheet!$H$2:$H$3143=X$1,
Master_Mapping_Sheet!$B$2:$B$3143=$A16))/sum(filter(
Master_Mapping_Sheet!$E$2:$E$3143, ISNUMBER(
Master_Mapping_Sh"&amp;"eet!$E$2:$E$3143),
Master_Mapping_Sheet!$H$2:$H$3143=X$1))), 0, sum(filter(
Master_Mapping_Sheet!$E$2:$E$3143, ISNUMBER(
Master_Mapping_Sheet!$E$2:$E$3143),
Master_Mapping_Sheet!$H$2:$H$3143=X$1,
Master_Mapping_Sheet!$B$2:$B$3143=$A16))/sum(filter(
Master"&amp;"_Mapping_Sheet!$E$2:$E$3143, ISNUMBER(
Master_Mapping_Sheet!$E$2:$E$3143),
Master_Mapping_Sheet!$H$2:$H$3143=X$1)))"),0.0)</f>
        <v>0</v>
      </c>
      <c r="Y16" s="34">
        <f>IFERROR(__xludf.DUMMYFUNCTION("IF(ISNA(sum(filter(
Master_Mapping_Sheet!$E$2:$E$3143, ISNUMBER(
Master_Mapping_Sheet!$E$2:$E$3143),
Master_Mapping_Sheet!$H$2:$H$3143=Y$1,
Master_Mapping_Sheet!$B$2:$B$3143=$A16))/sum(filter(
Master_Mapping_Sheet!$E$2:$E$3143, ISNUMBER(
Master_Mapping_Sh"&amp;"eet!$E$2:$E$3143),
Master_Mapping_Sheet!$H$2:$H$3143=Y$1))), 0, sum(filter(
Master_Mapping_Sheet!$E$2:$E$3143, ISNUMBER(
Master_Mapping_Sheet!$E$2:$E$3143),
Master_Mapping_Sheet!$H$2:$H$3143=Y$1,
Master_Mapping_Sheet!$B$2:$B$3143=$A16))/sum(filter(
Master"&amp;"_Mapping_Sheet!$E$2:$E$3143, ISNUMBER(
Master_Mapping_Sheet!$E$2:$E$3143),
Master_Mapping_Sheet!$H$2:$H$3143=Y$1)))"),0.0)</f>
        <v>0</v>
      </c>
      <c r="Z16" s="34">
        <f>IFERROR(__xludf.DUMMYFUNCTION("IF(ISNA(sum(filter(
Master_Mapping_Sheet!$E$2:$E$3143, ISNUMBER(
Master_Mapping_Sheet!$E$2:$E$3143),
Master_Mapping_Sheet!$H$2:$H$3143=Z$1,
Master_Mapping_Sheet!$B$2:$B$3143=$A16))/sum(filter(
Master_Mapping_Sheet!$E$2:$E$3143, ISNUMBER(
Master_Mapping_Sh"&amp;"eet!$E$2:$E$3143),
Master_Mapping_Sheet!$H$2:$H$3143=Z$1))), 0, sum(filter(
Master_Mapping_Sheet!$E$2:$E$3143, ISNUMBER(
Master_Mapping_Sheet!$E$2:$E$3143),
Master_Mapping_Sheet!$H$2:$H$3143=Z$1,
Master_Mapping_Sheet!$B$2:$B$3143=$A16))/sum(filter(
Master"&amp;"_Mapping_Sheet!$E$2:$E$3143, ISNUMBER(
Master_Mapping_Sheet!$E$2:$E$3143),
Master_Mapping_Sheet!$H$2:$H$3143=Z$1)))"),0.0)</f>
        <v>0</v>
      </c>
      <c r="AA16" s="34">
        <f>IFERROR(__xludf.DUMMYFUNCTION("IF(ISNA(sum(filter(
Master_Mapping_Sheet!$E$2:$E$3143, ISNUMBER(
Master_Mapping_Sheet!$E$2:$E$3143),
Master_Mapping_Sheet!$H$2:$H$3143=AA$1,
Master_Mapping_Sheet!$B$2:$B$3143=$A16))/sum(filter(
Master_Mapping_Sheet!$E$2:$E$3143, ISNUMBER(
Master_Mapping_S"&amp;"heet!$E$2:$E$3143),
Master_Mapping_Sheet!$H$2:$H$3143=AA$1))), 0, sum(filter(
Master_Mapping_Sheet!$E$2:$E$3143, ISNUMBER(
Master_Mapping_Sheet!$E$2:$E$3143),
Master_Mapping_Sheet!$H$2:$H$3143=AA$1,
Master_Mapping_Sheet!$B$2:$B$3143=$A16))/sum(filter(
Mas"&amp;"ter_Mapping_Sheet!$E$2:$E$3143, ISNUMBER(
Master_Mapping_Sheet!$E$2:$E$3143),
Master_Mapping_Sheet!$H$2:$H$3143=AA$1)))"),0.0)</f>
        <v>0</v>
      </c>
    </row>
    <row r="17" ht="15.75" customHeight="1">
      <c r="A17" s="34" t="s">
        <v>705</v>
      </c>
      <c r="B17" s="34" t="s">
        <v>2555</v>
      </c>
      <c r="C17" s="34">
        <f>IFERROR(__xludf.DUMMYFUNCTION("IF(ISNA(sum(filter(
Master_Mapping_Sheet!$E$2:$E$3143, ISNUMBER(
Master_Mapping_Sheet!$E$2:$E$3143),
Master_Mapping_Sheet!$H$2:$H$3143=C$1,
Master_Mapping_Sheet!$B$2:$B$3143=$A17))/sum(filter(
Master_Mapping_Sheet!$E$2:$E$3143, ISNUMBER(
Master_Mapping_Sh"&amp;"eet!$E$2:$E$3143),
Master_Mapping_Sheet!$H$2:$H$3143=C$1))), 0, sum(filter(
Master_Mapping_Sheet!$E$2:$E$3143, ISNUMBER(
Master_Mapping_Sheet!$E$2:$E$3143),
Master_Mapping_Sheet!$H$2:$H$3143=C$1,
Master_Mapping_Sheet!$B$2:$B$3143=$A17))/sum(filter(
Master"&amp;"_Mapping_Sheet!$E$2:$E$3143, ISNUMBER(
Master_Mapping_Sheet!$E$2:$E$3143),
Master_Mapping_Sheet!$H$2:$H$3143=C$1)))"),0.0)</f>
        <v>0</v>
      </c>
      <c r="D17" s="34">
        <f>IFERROR(__xludf.DUMMYFUNCTION("IF(ISNA(sum(filter(
Master_Mapping_Sheet!$E$2:$E$3143, ISNUMBER(
Master_Mapping_Sheet!$E$2:$E$3143),
Master_Mapping_Sheet!$H$2:$H$3143=D$1,
Master_Mapping_Sheet!$B$2:$B$3143=$A17))/sum(filter(
Master_Mapping_Sheet!$E$2:$E$3143, ISNUMBER(
Master_Mapping_Sh"&amp;"eet!$E$2:$E$3143),
Master_Mapping_Sheet!$H$2:$H$3143=D$1))), 0, sum(filter(
Master_Mapping_Sheet!$E$2:$E$3143, ISNUMBER(
Master_Mapping_Sheet!$E$2:$E$3143),
Master_Mapping_Sheet!$H$2:$H$3143=D$1,
Master_Mapping_Sheet!$B$2:$B$3143=$A17))/sum(filter(
Master"&amp;"_Mapping_Sheet!$E$2:$E$3143, ISNUMBER(
Master_Mapping_Sheet!$E$2:$E$3143),
Master_Mapping_Sheet!$H$2:$H$3143=D$1)))"),0.0)</f>
        <v>0</v>
      </c>
      <c r="E17" s="32">
        <f>IFERROR(__xludf.DUMMYFUNCTION("IF(ISNA(sum(filter(
Master_Mapping_Sheet!$E$2:$E$3143, ISNUMBER(
Master_Mapping_Sheet!$E$2:$E$3143),
Master_Mapping_Sheet!$H$2:$H$3143=E$1,
Master_Mapping_Sheet!$B$2:$B$3143=$A17))/sum(filter(
Master_Mapping_Sheet!$E$2:$E$3143, ISNUMBER(
Master_Mapping_Sh"&amp;"eet!$E$2:$E$3143),
Master_Mapping_Sheet!$H$2:$H$3143=E$1))), 0, sum(filter(
Master_Mapping_Sheet!$E$2:$E$3143, ISNUMBER(
Master_Mapping_Sheet!$E$2:$E$3143),
Master_Mapping_Sheet!$H$2:$H$3143=E$1,
Master_Mapping_Sheet!$B$2:$B$3143=$A17))/sum(filter(
Master"&amp;"_Mapping_Sheet!$E$2:$E$3143, ISNUMBER(
Master_Mapping_Sheet!$E$2:$E$3143),
Master_Mapping_Sheet!$H$2:$H$3143=E$1)))"),0.1840958908716903)</f>
        <v>0.1840958909</v>
      </c>
      <c r="F17" s="34">
        <f>IFERROR(__xludf.DUMMYFUNCTION("IF(ISNA(sum(filter(
Master_Mapping_Sheet!$E$2:$E$3143, ISNUMBER(
Master_Mapping_Sheet!$E$2:$E$3143),
Master_Mapping_Sheet!$H$2:$H$3143=F$1,
Master_Mapping_Sheet!$B$2:$B$3143=$A17))/sum(filter(
Master_Mapping_Sheet!$E$2:$E$3143, ISNUMBER(
Master_Mapping_Sh"&amp;"eet!$E$2:$E$3143),
Master_Mapping_Sheet!$H$2:$H$3143=F$1))), 0, sum(filter(
Master_Mapping_Sheet!$E$2:$E$3143, ISNUMBER(
Master_Mapping_Sheet!$E$2:$E$3143),
Master_Mapping_Sheet!$H$2:$H$3143=F$1,
Master_Mapping_Sheet!$B$2:$B$3143=$A17))/sum(filter(
Master"&amp;"_Mapping_Sheet!$E$2:$E$3143, ISNUMBER(
Master_Mapping_Sheet!$E$2:$E$3143),
Master_Mapping_Sheet!$H$2:$H$3143=F$1)))"),0.0)</f>
        <v>0</v>
      </c>
      <c r="G17" s="34">
        <f>IFERROR(__xludf.DUMMYFUNCTION("IF(ISNA(sum(filter(
Master_Mapping_Sheet!$E$2:$E$3143, ISNUMBER(
Master_Mapping_Sheet!$E$2:$E$3143),
Master_Mapping_Sheet!$H$2:$H$3143=G$1,
Master_Mapping_Sheet!$B$2:$B$3143=$A17))/sum(filter(
Master_Mapping_Sheet!$E$2:$E$3143, ISNUMBER(
Master_Mapping_Sh"&amp;"eet!$E$2:$E$3143),
Master_Mapping_Sheet!$H$2:$H$3143=G$1))), 0, sum(filter(
Master_Mapping_Sheet!$E$2:$E$3143, ISNUMBER(
Master_Mapping_Sheet!$E$2:$E$3143),
Master_Mapping_Sheet!$H$2:$H$3143=G$1,
Master_Mapping_Sheet!$B$2:$B$3143=$A17))/sum(filter(
Master"&amp;"_Mapping_Sheet!$E$2:$E$3143, ISNUMBER(
Master_Mapping_Sheet!$E$2:$E$3143),
Master_Mapping_Sheet!$H$2:$H$3143=G$1)))"),0.0)</f>
        <v>0</v>
      </c>
      <c r="H17" s="34">
        <f>IFERROR(__xludf.DUMMYFUNCTION("IF(ISNA(sum(filter(
Master_Mapping_Sheet!$E$2:$E$3143, ISNUMBER(
Master_Mapping_Sheet!$E$2:$E$3143),
Master_Mapping_Sheet!$H$2:$H$3143=H$1,
Master_Mapping_Sheet!$B$2:$B$3143=$A17))/sum(filter(
Master_Mapping_Sheet!$E$2:$E$3143, ISNUMBER(
Master_Mapping_Sh"&amp;"eet!$E$2:$E$3143),
Master_Mapping_Sheet!$H$2:$H$3143=H$1))), 0, sum(filter(
Master_Mapping_Sheet!$E$2:$E$3143, ISNUMBER(
Master_Mapping_Sheet!$E$2:$E$3143),
Master_Mapping_Sheet!$H$2:$H$3143=H$1,
Master_Mapping_Sheet!$B$2:$B$3143=$A17))/sum(filter(
Master"&amp;"_Mapping_Sheet!$E$2:$E$3143, ISNUMBER(
Master_Mapping_Sheet!$E$2:$E$3143),
Master_Mapping_Sheet!$H$2:$H$3143=H$1)))"),0.0)</f>
        <v>0</v>
      </c>
      <c r="I17" s="34">
        <f>IFERROR(__xludf.DUMMYFUNCTION("IF(ISNA(sum(filter(
Master_Mapping_Sheet!$E$2:$E$3143, ISNUMBER(
Master_Mapping_Sheet!$E$2:$E$3143),
Master_Mapping_Sheet!$H$2:$H$3143=I$1,
Master_Mapping_Sheet!$B$2:$B$3143=$A17))/sum(filter(
Master_Mapping_Sheet!$E$2:$E$3143, ISNUMBER(
Master_Mapping_Sh"&amp;"eet!$E$2:$E$3143),
Master_Mapping_Sheet!$H$2:$H$3143=I$1))), 0, sum(filter(
Master_Mapping_Sheet!$E$2:$E$3143, ISNUMBER(
Master_Mapping_Sheet!$E$2:$E$3143),
Master_Mapping_Sheet!$H$2:$H$3143=I$1,
Master_Mapping_Sheet!$B$2:$B$3143=$A17))/sum(filter(
Master"&amp;"_Mapping_Sheet!$E$2:$E$3143, ISNUMBER(
Master_Mapping_Sheet!$E$2:$E$3143),
Master_Mapping_Sheet!$H$2:$H$3143=I$1)))"),0.0)</f>
        <v>0</v>
      </c>
      <c r="J17" s="34">
        <f>IFERROR(__xludf.DUMMYFUNCTION("IF(ISNA(sum(filter(
Master_Mapping_Sheet!$E$2:$E$3143, ISNUMBER(
Master_Mapping_Sheet!$E$2:$E$3143),
Master_Mapping_Sheet!$H$2:$H$3143=J$1,
Master_Mapping_Sheet!$B$2:$B$3143=$A17))/sum(filter(
Master_Mapping_Sheet!$E$2:$E$3143, ISNUMBER(
Master_Mapping_Sh"&amp;"eet!$E$2:$E$3143),
Master_Mapping_Sheet!$H$2:$H$3143=J$1))), 0, sum(filter(
Master_Mapping_Sheet!$E$2:$E$3143, ISNUMBER(
Master_Mapping_Sheet!$E$2:$E$3143),
Master_Mapping_Sheet!$H$2:$H$3143=J$1,
Master_Mapping_Sheet!$B$2:$B$3143=$A17))/sum(filter(
Master"&amp;"_Mapping_Sheet!$E$2:$E$3143, ISNUMBER(
Master_Mapping_Sheet!$E$2:$E$3143),
Master_Mapping_Sheet!$H$2:$H$3143=J$1)))"),0.0)</f>
        <v>0</v>
      </c>
      <c r="K17" s="34">
        <f>IFERROR(__xludf.DUMMYFUNCTION("IF(ISNA(sum(filter(
Master_Mapping_Sheet!$E$2:$E$3143, ISNUMBER(
Master_Mapping_Sheet!$E$2:$E$3143),
Master_Mapping_Sheet!$H$2:$H$3143=K$1,
Master_Mapping_Sheet!$B$2:$B$3143=$A17))/sum(filter(
Master_Mapping_Sheet!$E$2:$E$3143, ISNUMBER(
Master_Mapping_Sh"&amp;"eet!$E$2:$E$3143),
Master_Mapping_Sheet!$H$2:$H$3143=K$1))), 0, sum(filter(
Master_Mapping_Sheet!$E$2:$E$3143, ISNUMBER(
Master_Mapping_Sheet!$E$2:$E$3143),
Master_Mapping_Sheet!$H$2:$H$3143=K$1,
Master_Mapping_Sheet!$B$2:$B$3143=$A17))/sum(filter(
Master"&amp;"_Mapping_Sheet!$E$2:$E$3143, ISNUMBER(
Master_Mapping_Sheet!$E$2:$E$3143),
Master_Mapping_Sheet!$H$2:$H$3143=K$1)))"),0.0)</f>
        <v>0</v>
      </c>
      <c r="L17" s="34">
        <f>IFERROR(__xludf.DUMMYFUNCTION("IF(ISNA(sum(filter(
Master_Mapping_Sheet!$E$2:$E$3143, ISNUMBER(
Master_Mapping_Sheet!$E$2:$E$3143),
Master_Mapping_Sheet!$H$2:$H$3143=L$1,
Master_Mapping_Sheet!$B$2:$B$3143=$A17))/sum(filter(
Master_Mapping_Sheet!$E$2:$E$3143, ISNUMBER(
Master_Mapping_Sh"&amp;"eet!$E$2:$E$3143),
Master_Mapping_Sheet!$H$2:$H$3143=L$1))), 0, sum(filter(
Master_Mapping_Sheet!$E$2:$E$3143, ISNUMBER(
Master_Mapping_Sheet!$E$2:$E$3143),
Master_Mapping_Sheet!$H$2:$H$3143=L$1,
Master_Mapping_Sheet!$B$2:$B$3143=$A17))/sum(filter(
Master"&amp;"_Mapping_Sheet!$E$2:$E$3143, ISNUMBER(
Master_Mapping_Sheet!$E$2:$E$3143),
Master_Mapping_Sheet!$H$2:$H$3143=L$1)))"),0.0)</f>
        <v>0</v>
      </c>
      <c r="M17" s="34">
        <f>IFERROR(__xludf.DUMMYFUNCTION("IF(ISNA(sum(filter(
Master_Mapping_Sheet!$E$2:$E$3143, ISNUMBER(
Master_Mapping_Sheet!$E$2:$E$3143),
Master_Mapping_Sheet!$H$2:$H$3143=M$1,
Master_Mapping_Sheet!$B$2:$B$3143=$A17))/sum(filter(
Master_Mapping_Sheet!$E$2:$E$3143, ISNUMBER(
Master_Mapping_Sh"&amp;"eet!$E$2:$E$3143),
Master_Mapping_Sheet!$H$2:$H$3143=M$1))), 0, sum(filter(
Master_Mapping_Sheet!$E$2:$E$3143, ISNUMBER(
Master_Mapping_Sheet!$E$2:$E$3143),
Master_Mapping_Sheet!$H$2:$H$3143=M$1,
Master_Mapping_Sheet!$B$2:$B$3143=$A17))/sum(filter(
Master"&amp;"_Mapping_Sheet!$E$2:$E$3143, ISNUMBER(
Master_Mapping_Sheet!$E$2:$E$3143),
Master_Mapping_Sheet!$H$2:$H$3143=M$1)))"),0.0)</f>
        <v>0</v>
      </c>
      <c r="N17" s="34">
        <f>IFERROR(__xludf.DUMMYFUNCTION("IF(ISNA(sum(filter(
Master_Mapping_Sheet!$E$2:$E$3143, ISNUMBER(
Master_Mapping_Sheet!$E$2:$E$3143),
Master_Mapping_Sheet!$H$2:$H$3143=N$1,
Master_Mapping_Sheet!$B$2:$B$3143=$A17))/sum(filter(
Master_Mapping_Sheet!$E$2:$E$3143, ISNUMBER(
Master_Mapping_Sh"&amp;"eet!$E$2:$E$3143),
Master_Mapping_Sheet!$H$2:$H$3143=N$1))), 0, sum(filter(
Master_Mapping_Sheet!$E$2:$E$3143, ISNUMBER(
Master_Mapping_Sheet!$E$2:$E$3143),
Master_Mapping_Sheet!$H$2:$H$3143=N$1,
Master_Mapping_Sheet!$B$2:$B$3143=$A17))/sum(filter(
Master"&amp;"_Mapping_Sheet!$E$2:$E$3143, ISNUMBER(
Master_Mapping_Sheet!$E$2:$E$3143),
Master_Mapping_Sheet!$H$2:$H$3143=N$1)))"),0.0)</f>
        <v>0</v>
      </c>
      <c r="O17" s="34">
        <f>IFERROR(__xludf.DUMMYFUNCTION("IF(ISNA(sum(filter(
Master_Mapping_Sheet!$E$2:$E$3143, ISNUMBER(
Master_Mapping_Sheet!$E$2:$E$3143),
Master_Mapping_Sheet!$H$2:$H$3143=O$1,
Master_Mapping_Sheet!$B$2:$B$3143=$A17))/sum(filter(
Master_Mapping_Sheet!$E$2:$E$3143, ISNUMBER(
Master_Mapping_Sh"&amp;"eet!$E$2:$E$3143),
Master_Mapping_Sheet!$H$2:$H$3143=O$1))), 0, sum(filter(
Master_Mapping_Sheet!$E$2:$E$3143, ISNUMBER(
Master_Mapping_Sheet!$E$2:$E$3143),
Master_Mapping_Sheet!$H$2:$H$3143=O$1,
Master_Mapping_Sheet!$B$2:$B$3143=$A17))/sum(filter(
Master"&amp;"_Mapping_Sheet!$E$2:$E$3143, ISNUMBER(
Master_Mapping_Sheet!$E$2:$E$3143),
Master_Mapping_Sheet!$H$2:$H$3143=O$1)))"),0.0)</f>
        <v>0</v>
      </c>
      <c r="P17" s="34">
        <f>IFERROR(__xludf.DUMMYFUNCTION("IF(ISNA(sum(filter(
Master_Mapping_Sheet!$E$2:$E$3143, ISNUMBER(
Master_Mapping_Sheet!$E$2:$E$3143),
Master_Mapping_Sheet!$H$2:$H$3143=P$1,
Master_Mapping_Sheet!$B$2:$B$3143=$A17))/sum(filter(
Master_Mapping_Sheet!$E$2:$E$3143, ISNUMBER(
Master_Mapping_Sh"&amp;"eet!$E$2:$E$3143),
Master_Mapping_Sheet!$H$2:$H$3143=P$1))), 0, sum(filter(
Master_Mapping_Sheet!$E$2:$E$3143, ISNUMBER(
Master_Mapping_Sheet!$E$2:$E$3143),
Master_Mapping_Sheet!$H$2:$H$3143=P$1,
Master_Mapping_Sheet!$B$2:$B$3143=$A17))/sum(filter(
Master"&amp;"_Mapping_Sheet!$E$2:$E$3143, ISNUMBER(
Master_Mapping_Sheet!$E$2:$E$3143),
Master_Mapping_Sheet!$H$2:$H$3143=P$1)))"),0.0)</f>
        <v>0</v>
      </c>
      <c r="Q17" s="34">
        <f>IFERROR(__xludf.DUMMYFUNCTION("IF(ISNA(sum(filter(
Master_Mapping_Sheet!$E$2:$E$3143, ISNUMBER(
Master_Mapping_Sheet!$E$2:$E$3143),
Master_Mapping_Sheet!$H$2:$H$3143=Q$1,
Master_Mapping_Sheet!$B$2:$B$3143=$A17))/sum(filter(
Master_Mapping_Sheet!$E$2:$E$3143, ISNUMBER(
Master_Mapping_Sh"&amp;"eet!$E$2:$E$3143),
Master_Mapping_Sheet!$H$2:$H$3143=Q$1))), 0, sum(filter(
Master_Mapping_Sheet!$E$2:$E$3143, ISNUMBER(
Master_Mapping_Sheet!$E$2:$E$3143),
Master_Mapping_Sheet!$H$2:$H$3143=Q$1,
Master_Mapping_Sheet!$B$2:$B$3143=$A17))/sum(filter(
Master"&amp;"_Mapping_Sheet!$E$2:$E$3143, ISNUMBER(
Master_Mapping_Sheet!$E$2:$E$3143),
Master_Mapping_Sheet!$H$2:$H$3143=Q$1)))"),0.0)</f>
        <v>0</v>
      </c>
      <c r="R17" s="34">
        <f>IFERROR(__xludf.DUMMYFUNCTION("IF(ISNA(sum(filter(
Master_Mapping_Sheet!$E$2:$E$3143, ISNUMBER(
Master_Mapping_Sheet!$E$2:$E$3143),
Master_Mapping_Sheet!$H$2:$H$3143=R$1,
Master_Mapping_Sheet!$B$2:$B$3143=$A17))/sum(filter(
Master_Mapping_Sheet!$E$2:$E$3143, ISNUMBER(
Master_Mapping_Sh"&amp;"eet!$E$2:$E$3143),
Master_Mapping_Sheet!$H$2:$H$3143=R$1))), 0, sum(filter(
Master_Mapping_Sheet!$E$2:$E$3143, ISNUMBER(
Master_Mapping_Sheet!$E$2:$E$3143),
Master_Mapping_Sheet!$H$2:$H$3143=R$1,
Master_Mapping_Sheet!$B$2:$B$3143=$A17))/sum(filter(
Master"&amp;"_Mapping_Sheet!$E$2:$E$3143, ISNUMBER(
Master_Mapping_Sheet!$E$2:$E$3143),
Master_Mapping_Sheet!$H$2:$H$3143=R$1)))"),0.0)</f>
        <v>0</v>
      </c>
      <c r="S17" s="34">
        <f>IFERROR(__xludf.DUMMYFUNCTION("IF(ISNA(sum(filter(
Master_Mapping_Sheet!$E$2:$E$3143, ISNUMBER(
Master_Mapping_Sheet!$E$2:$E$3143),
Master_Mapping_Sheet!$H$2:$H$3143=S$1,
Master_Mapping_Sheet!$B$2:$B$3143=$A17))/sum(filter(
Master_Mapping_Sheet!$E$2:$E$3143, ISNUMBER(
Master_Mapping_Sh"&amp;"eet!$E$2:$E$3143),
Master_Mapping_Sheet!$H$2:$H$3143=S$1))), 0, sum(filter(
Master_Mapping_Sheet!$E$2:$E$3143, ISNUMBER(
Master_Mapping_Sheet!$E$2:$E$3143),
Master_Mapping_Sheet!$H$2:$H$3143=S$1,
Master_Mapping_Sheet!$B$2:$B$3143=$A17))/sum(filter(
Master"&amp;"_Mapping_Sheet!$E$2:$E$3143, ISNUMBER(
Master_Mapping_Sheet!$E$2:$E$3143),
Master_Mapping_Sheet!$H$2:$H$3143=S$1)))"),0.0)</f>
        <v>0</v>
      </c>
      <c r="T17" s="34">
        <f>IFERROR(__xludf.DUMMYFUNCTION("IF(ISNA(sum(filter(
Master_Mapping_Sheet!$E$2:$E$3143, ISNUMBER(
Master_Mapping_Sheet!$E$2:$E$3143),
Master_Mapping_Sheet!$H$2:$H$3143=T$1,
Master_Mapping_Sheet!$B$2:$B$3143=$A17))/sum(filter(
Master_Mapping_Sheet!$E$2:$E$3143, ISNUMBER(
Master_Mapping_Sh"&amp;"eet!$E$2:$E$3143),
Master_Mapping_Sheet!$H$2:$H$3143=T$1))), 0, sum(filter(
Master_Mapping_Sheet!$E$2:$E$3143, ISNUMBER(
Master_Mapping_Sheet!$E$2:$E$3143),
Master_Mapping_Sheet!$H$2:$H$3143=T$1,
Master_Mapping_Sheet!$B$2:$B$3143=$A17))/sum(filter(
Master"&amp;"_Mapping_Sheet!$E$2:$E$3143, ISNUMBER(
Master_Mapping_Sheet!$E$2:$E$3143),
Master_Mapping_Sheet!$H$2:$H$3143=T$1)))"),0.0)</f>
        <v>0</v>
      </c>
      <c r="U17" s="34">
        <f>IFERROR(__xludf.DUMMYFUNCTION("IF(ISNA(sum(filter(
Master_Mapping_Sheet!$E$2:$E$3143, ISNUMBER(
Master_Mapping_Sheet!$E$2:$E$3143),
Master_Mapping_Sheet!$H$2:$H$3143=U$1,
Master_Mapping_Sheet!$B$2:$B$3143=$A17))/sum(filter(
Master_Mapping_Sheet!$E$2:$E$3143, ISNUMBER(
Master_Mapping_Sh"&amp;"eet!$E$2:$E$3143),
Master_Mapping_Sheet!$H$2:$H$3143=U$1))), 0, sum(filter(
Master_Mapping_Sheet!$E$2:$E$3143, ISNUMBER(
Master_Mapping_Sheet!$E$2:$E$3143),
Master_Mapping_Sheet!$H$2:$H$3143=U$1,
Master_Mapping_Sheet!$B$2:$B$3143=$A17))/sum(filter(
Master"&amp;"_Mapping_Sheet!$E$2:$E$3143, ISNUMBER(
Master_Mapping_Sheet!$E$2:$E$3143),
Master_Mapping_Sheet!$H$2:$H$3143=U$1)))"),0.12495138651819618)</f>
        <v>0.1249513865</v>
      </c>
      <c r="V17" s="34">
        <f>IFERROR(__xludf.DUMMYFUNCTION("IF(ISNA(sum(filter(
Master_Mapping_Sheet!$E$2:$E$3143, ISNUMBER(
Master_Mapping_Sheet!$E$2:$E$3143),
Master_Mapping_Sheet!$H$2:$H$3143=V$1,
Master_Mapping_Sheet!$B$2:$B$3143=$A17))/sum(filter(
Master_Mapping_Sheet!$E$2:$E$3143, ISNUMBER(
Master_Mapping_Sh"&amp;"eet!$E$2:$E$3143),
Master_Mapping_Sheet!$H$2:$H$3143=V$1))), 0, sum(filter(
Master_Mapping_Sheet!$E$2:$E$3143, ISNUMBER(
Master_Mapping_Sheet!$E$2:$E$3143),
Master_Mapping_Sheet!$H$2:$H$3143=V$1,
Master_Mapping_Sheet!$B$2:$B$3143=$A17))/sum(filter(
Master"&amp;"_Mapping_Sheet!$E$2:$E$3143, ISNUMBER(
Master_Mapping_Sheet!$E$2:$E$3143),
Master_Mapping_Sheet!$H$2:$H$3143=V$1)))"),0.0)</f>
        <v>0</v>
      </c>
      <c r="W17" s="34">
        <f>IFERROR(__xludf.DUMMYFUNCTION("IF(ISNA(sum(filter(
Master_Mapping_Sheet!$E$2:$E$3143, ISNUMBER(
Master_Mapping_Sheet!$E$2:$E$3143),
Master_Mapping_Sheet!$H$2:$H$3143=W$1,
Master_Mapping_Sheet!$B$2:$B$3143=$A17))/sum(filter(
Master_Mapping_Sheet!$E$2:$E$3143, ISNUMBER(
Master_Mapping_Sh"&amp;"eet!$E$2:$E$3143),
Master_Mapping_Sheet!$H$2:$H$3143=W$1))), 0, sum(filter(
Master_Mapping_Sheet!$E$2:$E$3143, ISNUMBER(
Master_Mapping_Sheet!$E$2:$E$3143),
Master_Mapping_Sheet!$H$2:$H$3143=W$1,
Master_Mapping_Sheet!$B$2:$B$3143=$A17))/sum(filter(
Master"&amp;"_Mapping_Sheet!$E$2:$E$3143, ISNUMBER(
Master_Mapping_Sheet!$E$2:$E$3143),
Master_Mapping_Sheet!$H$2:$H$3143=W$1)))"),0.0)</f>
        <v>0</v>
      </c>
      <c r="X17" s="34">
        <f>IFERROR(__xludf.DUMMYFUNCTION("IF(ISNA(sum(filter(
Master_Mapping_Sheet!$E$2:$E$3143, ISNUMBER(
Master_Mapping_Sheet!$E$2:$E$3143),
Master_Mapping_Sheet!$H$2:$H$3143=X$1,
Master_Mapping_Sheet!$B$2:$B$3143=$A17))/sum(filter(
Master_Mapping_Sheet!$E$2:$E$3143, ISNUMBER(
Master_Mapping_Sh"&amp;"eet!$E$2:$E$3143),
Master_Mapping_Sheet!$H$2:$H$3143=X$1))), 0, sum(filter(
Master_Mapping_Sheet!$E$2:$E$3143, ISNUMBER(
Master_Mapping_Sheet!$E$2:$E$3143),
Master_Mapping_Sheet!$H$2:$H$3143=X$1,
Master_Mapping_Sheet!$B$2:$B$3143=$A17))/sum(filter(
Master"&amp;"_Mapping_Sheet!$E$2:$E$3143, ISNUMBER(
Master_Mapping_Sheet!$E$2:$E$3143),
Master_Mapping_Sheet!$H$2:$H$3143=X$1)))"),0.0)</f>
        <v>0</v>
      </c>
      <c r="Y17" s="34">
        <f>IFERROR(__xludf.DUMMYFUNCTION("IF(ISNA(sum(filter(
Master_Mapping_Sheet!$E$2:$E$3143, ISNUMBER(
Master_Mapping_Sheet!$E$2:$E$3143),
Master_Mapping_Sheet!$H$2:$H$3143=Y$1,
Master_Mapping_Sheet!$B$2:$B$3143=$A17))/sum(filter(
Master_Mapping_Sheet!$E$2:$E$3143, ISNUMBER(
Master_Mapping_Sh"&amp;"eet!$E$2:$E$3143),
Master_Mapping_Sheet!$H$2:$H$3143=Y$1))), 0, sum(filter(
Master_Mapping_Sheet!$E$2:$E$3143, ISNUMBER(
Master_Mapping_Sheet!$E$2:$E$3143),
Master_Mapping_Sheet!$H$2:$H$3143=Y$1,
Master_Mapping_Sheet!$B$2:$B$3143=$A17))/sum(filter(
Master"&amp;"_Mapping_Sheet!$E$2:$E$3143, ISNUMBER(
Master_Mapping_Sheet!$E$2:$E$3143),
Master_Mapping_Sheet!$H$2:$H$3143=Y$1)))"),0.0)</f>
        <v>0</v>
      </c>
      <c r="Z17" s="34">
        <f>IFERROR(__xludf.DUMMYFUNCTION("IF(ISNA(sum(filter(
Master_Mapping_Sheet!$E$2:$E$3143, ISNUMBER(
Master_Mapping_Sheet!$E$2:$E$3143),
Master_Mapping_Sheet!$H$2:$H$3143=Z$1,
Master_Mapping_Sheet!$B$2:$B$3143=$A17))/sum(filter(
Master_Mapping_Sheet!$E$2:$E$3143, ISNUMBER(
Master_Mapping_Sh"&amp;"eet!$E$2:$E$3143),
Master_Mapping_Sheet!$H$2:$H$3143=Z$1))), 0, sum(filter(
Master_Mapping_Sheet!$E$2:$E$3143, ISNUMBER(
Master_Mapping_Sheet!$E$2:$E$3143),
Master_Mapping_Sheet!$H$2:$H$3143=Z$1,
Master_Mapping_Sheet!$B$2:$B$3143=$A17))/sum(filter(
Master"&amp;"_Mapping_Sheet!$E$2:$E$3143, ISNUMBER(
Master_Mapping_Sheet!$E$2:$E$3143),
Master_Mapping_Sheet!$H$2:$H$3143=Z$1)))"),0.0)</f>
        <v>0</v>
      </c>
      <c r="AA17" s="34">
        <f>IFERROR(__xludf.DUMMYFUNCTION("IF(ISNA(sum(filter(
Master_Mapping_Sheet!$E$2:$E$3143, ISNUMBER(
Master_Mapping_Sheet!$E$2:$E$3143),
Master_Mapping_Sheet!$H$2:$H$3143=AA$1,
Master_Mapping_Sheet!$B$2:$B$3143=$A17))/sum(filter(
Master_Mapping_Sheet!$E$2:$E$3143, ISNUMBER(
Master_Mapping_S"&amp;"heet!$E$2:$E$3143),
Master_Mapping_Sheet!$H$2:$H$3143=AA$1))), 0, sum(filter(
Master_Mapping_Sheet!$E$2:$E$3143, ISNUMBER(
Master_Mapping_Sheet!$E$2:$E$3143),
Master_Mapping_Sheet!$H$2:$H$3143=AA$1,
Master_Mapping_Sheet!$B$2:$B$3143=$A17))/sum(filter(
Mas"&amp;"ter_Mapping_Sheet!$E$2:$E$3143, ISNUMBER(
Master_Mapping_Sheet!$E$2:$E$3143),
Master_Mapping_Sheet!$H$2:$H$3143=AA$1)))"),0.0)</f>
        <v>0</v>
      </c>
    </row>
    <row r="18" ht="15.75" customHeight="1">
      <c r="A18" s="34" t="s">
        <v>750</v>
      </c>
      <c r="B18" s="34" t="s">
        <v>2601</v>
      </c>
      <c r="C18" s="34">
        <f>IFERROR(__xludf.DUMMYFUNCTION("IF(ISNA(sum(filter(
Master_Mapping_Sheet!$E$2:$E$3143, ISNUMBER(
Master_Mapping_Sheet!$E$2:$E$3143),
Master_Mapping_Sheet!$H$2:$H$3143=C$1,
Master_Mapping_Sheet!$B$2:$B$3143=$A18))/sum(filter(
Master_Mapping_Sheet!$E$2:$E$3143, ISNUMBER(
Master_Mapping_Sh"&amp;"eet!$E$2:$E$3143),
Master_Mapping_Sheet!$H$2:$H$3143=C$1))), 0, sum(filter(
Master_Mapping_Sheet!$E$2:$E$3143, ISNUMBER(
Master_Mapping_Sheet!$E$2:$E$3143),
Master_Mapping_Sheet!$H$2:$H$3143=C$1,
Master_Mapping_Sheet!$B$2:$B$3143=$A18))/sum(filter(
Master"&amp;"_Mapping_Sheet!$E$2:$E$3143, ISNUMBER(
Master_Mapping_Sheet!$E$2:$E$3143),
Master_Mapping_Sheet!$H$2:$H$3143=C$1)))"),0.0)</f>
        <v>0</v>
      </c>
      <c r="D18" s="34">
        <f>IFERROR(__xludf.DUMMYFUNCTION("IF(ISNA(sum(filter(
Master_Mapping_Sheet!$E$2:$E$3143, ISNUMBER(
Master_Mapping_Sheet!$E$2:$E$3143),
Master_Mapping_Sheet!$H$2:$H$3143=D$1,
Master_Mapping_Sheet!$B$2:$B$3143=$A18))/sum(filter(
Master_Mapping_Sheet!$E$2:$E$3143, ISNUMBER(
Master_Mapping_Sh"&amp;"eet!$E$2:$E$3143),
Master_Mapping_Sheet!$H$2:$H$3143=D$1))), 0, sum(filter(
Master_Mapping_Sheet!$E$2:$E$3143, ISNUMBER(
Master_Mapping_Sheet!$E$2:$E$3143),
Master_Mapping_Sheet!$H$2:$H$3143=D$1,
Master_Mapping_Sheet!$B$2:$B$3143=$A18))/sum(filter(
Master"&amp;"_Mapping_Sheet!$E$2:$E$3143, ISNUMBER(
Master_Mapping_Sheet!$E$2:$E$3143),
Master_Mapping_Sheet!$H$2:$H$3143=D$1)))"),0.0)</f>
        <v>0</v>
      </c>
      <c r="E18" s="32">
        <f>IFERROR(__xludf.DUMMYFUNCTION("IF(ISNA(sum(filter(
Master_Mapping_Sheet!$E$2:$E$3143, ISNUMBER(
Master_Mapping_Sheet!$E$2:$E$3143),
Master_Mapping_Sheet!$H$2:$H$3143=E$1,
Master_Mapping_Sheet!$B$2:$B$3143=$A18))/sum(filter(
Master_Mapping_Sheet!$E$2:$E$3143, ISNUMBER(
Master_Mapping_Sh"&amp;"eet!$E$2:$E$3143),
Master_Mapping_Sheet!$H$2:$H$3143=E$1))), 0, sum(filter(
Master_Mapping_Sheet!$E$2:$E$3143, ISNUMBER(
Master_Mapping_Sheet!$E$2:$E$3143),
Master_Mapping_Sheet!$H$2:$H$3143=E$1,
Master_Mapping_Sheet!$B$2:$B$3143=$A18))/sum(filter(
Master"&amp;"_Mapping_Sheet!$E$2:$E$3143, ISNUMBER(
Master_Mapping_Sheet!$E$2:$E$3143),
Master_Mapping_Sheet!$H$2:$H$3143=E$1)))"),0.0)</f>
        <v>0</v>
      </c>
      <c r="F18" s="34">
        <f>IFERROR(__xludf.DUMMYFUNCTION("IF(ISNA(sum(filter(
Master_Mapping_Sheet!$E$2:$E$3143, ISNUMBER(
Master_Mapping_Sheet!$E$2:$E$3143),
Master_Mapping_Sheet!$H$2:$H$3143=F$1,
Master_Mapping_Sheet!$B$2:$B$3143=$A18))/sum(filter(
Master_Mapping_Sheet!$E$2:$E$3143, ISNUMBER(
Master_Mapping_Sh"&amp;"eet!$E$2:$E$3143),
Master_Mapping_Sheet!$H$2:$H$3143=F$1))), 0, sum(filter(
Master_Mapping_Sheet!$E$2:$E$3143, ISNUMBER(
Master_Mapping_Sheet!$E$2:$E$3143),
Master_Mapping_Sheet!$H$2:$H$3143=F$1,
Master_Mapping_Sheet!$B$2:$B$3143=$A18))/sum(filter(
Master"&amp;"_Mapping_Sheet!$E$2:$E$3143, ISNUMBER(
Master_Mapping_Sheet!$E$2:$E$3143),
Master_Mapping_Sheet!$H$2:$H$3143=F$1)))"),0.0)</f>
        <v>0</v>
      </c>
      <c r="G18" s="34">
        <f>IFERROR(__xludf.DUMMYFUNCTION("IF(ISNA(sum(filter(
Master_Mapping_Sheet!$E$2:$E$3143, ISNUMBER(
Master_Mapping_Sheet!$E$2:$E$3143),
Master_Mapping_Sheet!$H$2:$H$3143=G$1,
Master_Mapping_Sheet!$B$2:$B$3143=$A18))/sum(filter(
Master_Mapping_Sheet!$E$2:$E$3143, ISNUMBER(
Master_Mapping_Sh"&amp;"eet!$E$2:$E$3143),
Master_Mapping_Sheet!$H$2:$H$3143=G$1))), 0, sum(filter(
Master_Mapping_Sheet!$E$2:$E$3143, ISNUMBER(
Master_Mapping_Sheet!$E$2:$E$3143),
Master_Mapping_Sheet!$H$2:$H$3143=G$1,
Master_Mapping_Sheet!$B$2:$B$3143=$A18))/sum(filter(
Master"&amp;"_Mapping_Sheet!$E$2:$E$3143, ISNUMBER(
Master_Mapping_Sheet!$E$2:$E$3143),
Master_Mapping_Sheet!$H$2:$H$3143=G$1)))"),0.0)</f>
        <v>0</v>
      </c>
      <c r="H18" s="34">
        <f>IFERROR(__xludf.DUMMYFUNCTION("IF(ISNA(sum(filter(
Master_Mapping_Sheet!$E$2:$E$3143, ISNUMBER(
Master_Mapping_Sheet!$E$2:$E$3143),
Master_Mapping_Sheet!$H$2:$H$3143=H$1,
Master_Mapping_Sheet!$B$2:$B$3143=$A18))/sum(filter(
Master_Mapping_Sheet!$E$2:$E$3143, ISNUMBER(
Master_Mapping_Sh"&amp;"eet!$E$2:$E$3143),
Master_Mapping_Sheet!$H$2:$H$3143=H$1))), 0, sum(filter(
Master_Mapping_Sheet!$E$2:$E$3143, ISNUMBER(
Master_Mapping_Sheet!$E$2:$E$3143),
Master_Mapping_Sheet!$H$2:$H$3143=H$1,
Master_Mapping_Sheet!$B$2:$B$3143=$A18))/sum(filter(
Master"&amp;"_Mapping_Sheet!$E$2:$E$3143, ISNUMBER(
Master_Mapping_Sheet!$E$2:$E$3143),
Master_Mapping_Sheet!$H$2:$H$3143=H$1)))"),0.0)</f>
        <v>0</v>
      </c>
      <c r="I18" s="34">
        <f>IFERROR(__xludf.DUMMYFUNCTION("IF(ISNA(sum(filter(
Master_Mapping_Sheet!$E$2:$E$3143, ISNUMBER(
Master_Mapping_Sheet!$E$2:$E$3143),
Master_Mapping_Sheet!$H$2:$H$3143=I$1,
Master_Mapping_Sheet!$B$2:$B$3143=$A18))/sum(filter(
Master_Mapping_Sheet!$E$2:$E$3143, ISNUMBER(
Master_Mapping_Sh"&amp;"eet!$E$2:$E$3143),
Master_Mapping_Sheet!$H$2:$H$3143=I$1))), 0, sum(filter(
Master_Mapping_Sheet!$E$2:$E$3143, ISNUMBER(
Master_Mapping_Sheet!$E$2:$E$3143),
Master_Mapping_Sheet!$H$2:$H$3143=I$1,
Master_Mapping_Sheet!$B$2:$B$3143=$A18))/sum(filter(
Master"&amp;"_Mapping_Sheet!$E$2:$E$3143, ISNUMBER(
Master_Mapping_Sheet!$E$2:$E$3143),
Master_Mapping_Sheet!$H$2:$H$3143=I$1)))"),0.0)</f>
        <v>0</v>
      </c>
      <c r="J18" s="34">
        <f>IFERROR(__xludf.DUMMYFUNCTION("IF(ISNA(sum(filter(
Master_Mapping_Sheet!$E$2:$E$3143, ISNUMBER(
Master_Mapping_Sheet!$E$2:$E$3143),
Master_Mapping_Sheet!$H$2:$H$3143=J$1,
Master_Mapping_Sheet!$B$2:$B$3143=$A18))/sum(filter(
Master_Mapping_Sheet!$E$2:$E$3143, ISNUMBER(
Master_Mapping_Sh"&amp;"eet!$E$2:$E$3143),
Master_Mapping_Sheet!$H$2:$H$3143=J$1))), 0, sum(filter(
Master_Mapping_Sheet!$E$2:$E$3143, ISNUMBER(
Master_Mapping_Sheet!$E$2:$E$3143),
Master_Mapping_Sheet!$H$2:$H$3143=J$1,
Master_Mapping_Sheet!$B$2:$B$3143=$A18))/sum(filter(
Master"&amp;"_Mapping_Sheet!$E$2:$E$3143, ISNUMBER(
Master_Mapping_Sheet!$E$2:$E$3143),
Master_Mapping_Sheet!$H$2:$H$3143=J$1)))"),0.0)</f>
        <v>0</v>
      </c>
      <c r="K18" s="34">
        <f>IFERROR(__xludf.DUMMYFUNCTION("IF(ISNA(sum(filter(
Master_Mapping_Sheet!$E$2:$E$3143, ISNUMBER(
Master_Mapping_Sheet!$E$2:$E$3143),
Master_Mapping_Sheet!$H$2:$H$3143=K$1,
Master_Mapping_Sheet!$B$2:$B$3143=$A18))/sum(filter(
Master_Mapping_Sheet!$E$2:$E$3143, ISNUMBER(
Master_Mapping_Sh"&amp;"eet!$E$2:$E$3143),
Master_Mapping_Sheet!$H$2:$H$3143=K$1))), 0, sum(filter(
Master_Mapping_Sheet!$E$2:$E$3143, ISNUMBER(
Master_Mapping_Sheet!$E$2:$E$3143),
Master_Mapping_Sheet!$H$2:$H$3143=K$1,
Master_Mapping_Sheet!$B$2:$B$3143=$A18))/sum(filter(
Master"&amp;"_Mapping_Sheet!$E$2:$E$3143, ISNUMBER(
Master_Mapping_Sheet!$E$2:$E$3143),
Master_Mapping_Sheet!$H$2:$H$3143=K$1)))"),0.0)</f>
        <v>0</v>
      </c>
      <c r="L18" s="34">
        <f>IFERROR(__xludf.DUMMYFUNCTION("IF(ISNA(sum(filter(
Master_Mapping_Sheet!$E$2:$E$3143, ISNUMBER(
Master_Mapping_Sheet!$E$2:$E$3143),
Master_Mapping_Sheet!$H$2:$H$3143=L$1,
Master_Mapping_Sheet!$B$2:$B$3143=$A18))/sum(filter(
Master_Mapping_Sheet!$E$2:$E$3143, ISNUMBER(
Master_Mapping_Sh"&amp;"eet!$E$2:$E$3143),
Master_Mapping_Sheet!$H$2:$H$3143=L$1))), 0, sum(filter(
Master_Mapping_Sheet!$E$2:$E$3143, ISNUMBER(
Master_Mapping_Sheet!$E$2:$E$3143),
Master_Mapping_Sheet!$H$2:$H$3143=L$1,
Master_Mapping_Sheet!$B$2:$B$3143=$A18))/sum(filter(
Master"&amp;"_Mapping_Sheet!$E$2:$E$3143, ISNUMBER(
Master_Mapping_Sheet!$E$2:$E$3143),
Master_Mapping_Sheet!$H$2:$H$3143=L$1)))"),0.0)</f>
        <v>0</v>
      </c>
      <c r="M18" s="34">
        <f>IFERROR(__xludf.DUMMYFUNCTION("IF(ISNA(sum(filter(
Master_Mapping_Sheet!$E$2:$E$3143, ISNUMBER(
Master_Mapping_Sheet!$E$2:$E$3143),
Master_Mapping_Sheet!$H$2:$H$3143=M$1,
Master_Mapping_Sheet!$B$2:$B$3143=$A18))/sum(filter(
Master_Mapping_Sheet!$E$2:$E$3143, ISNUMBER(
Master_Mapping_Sh"&amp;"eet!$E$2:$E$3143),
Master_Mapping_Sheet!$H$2:$H$3143=M$1))), 0, sum(filter(
Master_Mapping_Sheet!$E$2:$E$3143, ISNUMBER(
Master_Mapping_Sheet!$E$2:$E$3143),
Master_Mapping_Sheet!$H$2:$H$3143=M$1,
Master_Mapping_Sheet!$B$2:$B$3143=$A18))/sum(filter(
Master"&amp;"_Mapping_Sheet!$E$2:$E$3143, ISNUMBER(
Master_Mapping_Sheet!$E$2:$E$3143),
Master_Mapping_Sheet!$H$2:$H$3143=M$1)))"),0.0)</f>
        <v>0</v>
      </c>
      <c r="N18" s="34">
        <f>IFERROR(__xludf.DUMMYFUNCTION("IF(ISNA(sum(filter(
Master_Mapping_Sheet!$E$2:$E$3143, ISNUMBER(
Master_Mapping_Sheet!$E$2:$E$3143),
Master_Mapping_Sheet!$H$2:$H$3143=N$1,
Master_Mapping_Sheet!$B$2:$B$3143=$A18))/sum(filter(
Master_Mapping_Sheet!$E$2:$E$3143, ISNUMBER(
Master_Mapping_Sh"&amp;"eet!$E$2:$E$3143),
Master_Mapping_Sheet!$H$2:$H$3143=N$1))), 0, sum(filter(
Master_Mapping_Sheet!$E$2:$E$3143, ISNUMBER(
Master_Mapping_Sheet!$E$2:$E$3143),
Master_Mapping_Sheet!$H$2:$H$3143=N$1,
Master_Mapping_Sheet!$B$2:$B$3143=$A18))/sum(filter(
Master"&amp;"_Mapping_Sheet!$E$2:$E$3143, ISNUMBER(
Master_Mapping_Sheet!$E$2:$E$3143),
Master_Mapping_Sheet!$H$2:$H$3143=N$1)))"),0.0)</f>
        <v>0</v>
      </c>
      <c r="O18" s="34">
        <f>IFERROR(__xludf.DUMMYFUNCTION("IF(ISNA(sum(filter(
Master_Mapping_Sheet!$E$2:$E$3143, ISNUMBER(
Master_Mapping_Sheet!$E$2:$E$3143),
Master_Mapping_Sheet!$H$2:$H$3143=O$1,
Master_Mapping_Sheet!$B$2:$B$3143=$A18))/sum(filter(
Master_Mapping_Sheet!$E$2:$E$3143, ISNUMBER(
Master_Mapping_Sh"&amp;"eet!$E$2:$E$3143),
Master_Mapping_Sheet!$H$2:$H$3143=O$1))), 0, sum(filter(
Master_Mapping_Sheet!$E$2:$E$3143, ISNUMBER(
Master_Mapping_Sheet!$E$2:$E$3143),
Master_Mapping_Sheet!$H$2:$H$3143=O$1,
Master_Mapping_Sheet!$B$2:$B$3143=$A18))/sum(filter(
Master"&amp;"_Mapping_Sheet!$E$2:$E$3143, ISNUMBER(
Master_Mapping_Sheet!$E$2:$E$3143),
Master_Mapping_Sheet!$H$2:$H$3143=O$1)))"),0.0)</f>
        <v>0</v>
      </c>
      <c r="P18" s="34">
        <f>IFERROR(__xludf.DUMMYFUNCTION("IF(ISNA(sum(filter(
Master_Mapping_Sheet!$E$2:$E$3143, ISNUMBER(
Master_Mapping_Sheet!$E$2:$E$3143),
Master_Mapping_Sheet!$H$2:$H$3143=P$1,
Master_Mapping_Sheet!$B$2:$B$3143=$A18))/sum(filter(
Master_Mapping_Sheet!$E$2:$E$3143, ISNUMBER(
Master_Mapping_Sh"&amp;"eet!$E$2:$E$3143),
Master_Mapping_Sheet!$H$2:$H$3143=P$1))), 0, sum(filter(
Master_Mapping_Sheet!$E$2:$E$3143, ISNUMBER(
Master_Mapping_Sheet!$E$2:$E$3143),
Master_Mapping_Sheet!$H$2:$H$3143=P$1,
Master_Mapping_Sheet!$B$2:$B$3143=$A18))/sum(filter(
Master"&amp;"_Mapping_Sheet!$E$2:$E$3143, ISNUMBER(
Master_Mapping_Sheet!$E$2:$E$3143),
Master_Mapping_Sheet!$H$2:$H$3143=P$1)))"),0.0)</f>
        <v>0</v>
      </c>
      <c r="Q18" s="34">
        <f>IFERROR(__xludf.DUMMYFUNCTION("IF(ISNA(sum(filter(
Master_Mapping_Sheet!$E$2:$E$3143, ISNUMBER(
Master_Mapping_Sheet!$E$2:$E$3143),
Master_Mapping_Sheet!$H$2:$H$3143=Q$1,
Master_Mapping_Sheet!$B$2:$B$3143=$A18))/sum(filter(
Master_Mapping_Sheet!$E$2:$E$3143, ISNUMBER(
Master_Mapping_Sh"&amp;"eet!$E$2:$E$3143),
Master_Mapping_Sheet!$H$2:$H$3143=Q$1))), 0, sum(filter(
Master_Mapping_Sheet!$E$2:$E$3143, ISNUMBER(
Master_Mapping_Sheet!$E$2:$E$3143),
Master_Mapping_Sheet!$H$2:$H$3143=Q$1,
Master_Mapping_Sheet!$B$2:$B$3143=$A18))/sum(filter(
Master"&amp;"_Mapping_Sheet!$E$2:$E$3143, ISNUMBER(
Master_Mapping_Sheet!$E$2:$E$3143),
Master_Mapping_Sheet!$H$2:$H$3143=Q$1)))"),0.0)</f>
        <v>0</v>
      </c>
      <c r="R18" s="34">
        <f>IFERROR(__xludf.DUMMYFUNCTION("IF(ISNA(sum(filter(
Master_Mapping_Sheet!$E$2:$E$3143, ISNUMBER(
Master_Mapping_Sheet!$E$2:$E$3143),
Master_Mapping_Sheet!$H$2:$H$3143=R$1,
Master_Mapping_Sheet!$B$2:$B$3143=$A18))/sum(filter(
Master_Mapping_Sheet!$E$2:$E$3143, ISNUMBER(
Master_Mapping_Sh"&amp;"eet!$E$2:$E$3143),
Master_Mapping_Sheet!$H$2:$H$3143=R$1))), 0, sum(filter(
Master_Mapping_Sheet!$E$2:$E$3143, ISNUMBER(
Master_Mapping_Sheet!$E$2:$E$3143),
Master_Mapping_Sheet!$H$2:$H$3143=R$1,
Master_Mapping_Sheet!$B$2:$B$3143=$A18))/sum(filter(
Master"&amp;"_Mapping_Sheet!$E$2:$E$3143, ISNUMBER(
Master_Mapping_Sheet!$E$2:$E$3143),
Master_Mapping_Sheet!$H$2:$H$3143=R$1)))"),0.0)</f>
        <v>0</v>
      </c>
      <c r="S18" s="34">
        <f>IFERROR(__xludf.DUMMYFUNCTION("IF(ISNA(sum(filter(
Master_Mapping_Sheet!$E$2:$E$3143, ISNUMBER(
Master_Mapping_Sheet!$E$2:$E$3143),
Master_Mapping_Sheet!$H$2:$H$3143=S$1,
Master_Mapping_Sheet!$B$2:$B$3143=$A18))/sum(filter(
Master_Mapping_Sheet!$E$2:$E$3143, ISNUMBER(
Master_Mapping_Sh"&amp;"eet!$E$2:$E$3143),
Master_Mapping_Sheet!$H$2:$H$3143=S$1))), 0, sum(filter(
Master_Mapping_Sheet!$E$2:$E$3143, ISNUMBER(
Master_Mapping_Sheet!$E$2:$E$3143),
Master_Mapping_Sheet!$H$2:$H$3143=S$1,
Master_Mapping_Sheet!$B$2:$B$3143=$A18))/sum(filter(
Master"&amp;"_Mapping_Sheet!$E$2:$E$3143, ISNUMBER(
Master_Mapping_Sheet!$E$2:$E$3143),
Master_Mapping_Sheet!$H$2:$H$3143=S$1)))"),0.0)</f>
        <v>0</v>
      </c>
      <c r="T18" s="34">
        <f>IFERROR(__xludf.DUMMYFUNCTION("IF(ISNA(sum(filter(
Master_Mapping_Sheet!$E$2:$E$3143, ISNUMBER(
Master_Mapping_Sheet!$E$2:$E$3143),
Master_Mapping_Sheet!$H$2:$H$3143=T$1,
Master_Mapping_Sheet!$B$2:$B$3143=$A18))/sum(filter(
Master_Mapping_Sheet!$E$2:$E$3143, ISNUMBER(
Master_Mapping_Sh"&amp;"eet!$E$2:$E$3143),
Master_Mapping_Sheet!$H$2:$H$3143=T$1))), 0, sum(filter(
Master_Mapping_Sheet!$E$2:$E$3143, ISNUMBER(
Master_Mapping_Sheet!$E$2:$E$3143),
Master_Mapping_Sheet!$H$2:$H$3143=T$1,
Master_Mapping_Sheet!$B$2:$B$3143=$A18))/sum(filter(
Master"&amp;"_Mapping_Sheet!$E$2:$E$3143, ISNUMBER(
Master_Mapping_Sheet!$E$2:$E$3143),
Master_Mapping_Sheet!$H$2:$H$3143=T$1)))"),0.5279033060717715)</f>
        <v>0.5279033061</v>
      </c>
      <c r="U18" s="34">
        <f>IFERROR(__xludf.DUMMYFUNCTION("IF(ISNA(sum(filter(
Master_Mapping_Sheet!$E$2:$E$3143, ISNUMBER(
Master_Mapping_Sheet!$E$2:$E$3143),
Master_Mapping_Sheet!$H$2:$H$3143=U$1,
Master_Mapping_Sheet!$B$2:$B$3143=$A18))/sum(filter(
Master_Mapping_Sheet!$E$2:$E$3143, ISNUMBER(
Master_Mapping_Sh"&amp;"eet!$E$2:$E$3143),
Master_Mapping_Sheet!$H$2:$H$3143=U$1))), 0, sum(filter(
Master_Mapping_Sheet!$E$2:$E$3143, ISNUMBER(
Master_Mapping_Sheet!$E$2:$E$3143),
Master_Mapping_Sheet!$H$2:$H$3143=U$1,
Master_Mapping_Sheet!$B$2:$B$3143=$A18))/sum(filter(
Master"&amp;"_Mapping_Sheet!$E$2:$E$3143, ISNUMBER(
Master_Mapping_Sheet!$E$2:$E$3143),
Master_Mapping_Sheet!$H$2:$H$3143=U$1)))"),0.0)</f>
        <v>0</v>
      </c>
      <c r="V18" s="34">
        <f>IFERROR(__xludf.DUMMYFUNCTION("IF(ISNA(sum(filter(
Master_Mapping_Sheet!$E$2:$E$3143, ISNUMBER(
Master_Mapping_Sheet!$E$2:$E$3143),
Master_Mapping_Sheet!$H$2:$H$3143=V$1,
Master_Mapping_Sheet!$B$2:$B$3143=$A18))/sum(filter(
Master_Mapping_Sheet!$E$2:$E$3143, ISNUMBER(
Master_Mapping_Sh"&amp;"eet!$E$2:$E$3143),
Master_Mapping_Sheet!$H$2:$H$3143=V$1))), 0, sum(filter(
Master_Mapping_Sheet!$E$2:$E$3143, ISNUMBER(
Master_Mapping_Sheet!$E$2:$E$3143),
Master_Mapping_Sheet!$H$2:$H$3143=V$1,
Master_Mapping_Sheet!$B$2:$B$3143=$A18))/sum(filter(
Master"&amp;"_Mapping_Sheet!$E$2:$E$3143, ISNUMBER(
Master_Mapping_Sheet!$E$2:$E$3143),
Master_Mapping_Sheet!$H$2:$H$3143=V$1)))"),0.0)</f>
        <v>0</v>
      </c>
      <c r="W18" s="34">
        <f>IFERROR(__xludf.DUMMYFUNCTION("IF(ISNA(sum(filter(
Master_Mapping_Sheet!$E$2:$E$3143, ISNUMBER(
Master_Mapping_Sheet!$E$2:$E$3143),
Master_Mapping_Sheet!$H$2:$H$3143=W$1,
Master_Mapping_Sheet!$B$2:$B$3143=$A18))/sum(filter(
Master_Mapping_Sheet!$E$2:$E$3143, ISNUMBER(
Master_Mapping_Sh"&amp;"eet!$E$2:$E$3143),
Master_Mapping_Sheet!$H$2:$H$3143=W$1))), 0, sum(filter(
Master_Mapping_Sheet!$E$2:$E$3143, ISNUMBER(
Master_Mapping_Sheet!$E$2:$E$3143),
Master_Mapping_Sheet!$H$2:$H$3143=W$1,
Master_Mapping_Sheet!$B$2:$B$3143=$A18))/sum(filter(
Master"&amp;"_Mapping_Sheet!$E$2:$E$3143, ISNUMBER(
Master_Mapping_Sheet!$E$2:$E$3143),
Master_Mapping_Sheet!$H$2:$H$3143=W$1)))"),0.0)</f>
        <v>0</v>
      </c>
      <c r="X18" s="34">
        <f>IFERROR(__xludf.DUMMYFUNCTION("IF(ISNA(sum(filter(
Master_Mapping_Sheet!$E$2:$E$3143, ISNUMBER(
Master_Mapping_Sheet!$E$2:$E$3143),
Master_Mapping_Sheet!$H$2:$H$3143=X$1,
Master_Mapping_Sheet!$B$2:$B$3143=$A18))/sum(filter(
Master_Mapping_Sheet!$E$2:$E$3143, ISNUMBER(
Master_Mapping_Sh"&amp;"eet!$E$2:$E$3143),
Master_Mapping_Sheet!$H$2:$H$3143=X$1))), 0, sum(filter(
Master_Mapping_Sheet!$E$2:$E$3143, ISNUMBER(
Master_Mapping_Sheet!$E$2:$E$3143),
Master_Mapping_Sheet!$H$2:$H$3143=X$1,
Master_Mapping_Sheet!$B$2:$B$3143=$A18))/sum(filter(
Master"&amp;"_Mapping_Sheet!$E$2:$E$3143, ISNUMBER(
Master_Mapping_Sheet!$E$2:$E$3143),
Master_Mapping_Sheet!$H$2:$H$3143=X$1)))"),0.0)</f>
        <v>0</v>
      </c>
      <c r="Y18" s="34">
        <f>IFERROR(__xludf.DUMMYFUNCTION("IF(ISNA(sum(filter(
Master_Mapping_Sheet!$E$2:$E$3143, ISNUMBER(
Master_Mapping_Sheet!$E$2:$E$3143),
Master_Mapping_Sheet!$H$2:$H$3143=Y$1,
Master_Mapping_Sheet!$B$2:$B$3143=$A18))/sum(filter(
Master_Mapping_Sheet!$E$2:$E$3143, ISNUMBER(
Master_Mapping_Sh"&amp;"eet!$E$2:$E$3143),
Master_Mapping_Sheet!$H$2:$H$3143=Y$1))), 0, sum(filter(
Master_Mapping_Sheet!$E$2:$E$3143, ISNUMBER(
Master_Mapping_Sheet!$E$2:$E$3143),
Master_Mapping_Sheet!$H$2:$H$3143=Y$1,
Master_Mapping_Sheet!$B$2:$B$3143=$A18))/sum(filter(
Master"&amp;"_Mapping_Sheet!$E$2:$E$3143, ISNUMBER(
Master_Mapping_Sheet!$E$2:$E$3143),
Master_Mapping_Sheet!$H$2:$H$3143=Y$1)))"),0.0)</f>
        <v>0</v>
      </c>
      <c r="Z18" s="34">
        <f>IFERROR(__xludf.DUMMYFUNCTION("IF(ISNA(sum(filter(
Master_Mapping_Sheet!$E$2:$E$3143, ISNUMBER(
Master_Mapping_Sheet!$E$2:$E$3143),
Master_Mapping_Sheet!$H$2:$H$3143=Z$1,
Master_Mapping_Sheet!$B$2:$B$3143=$A18))/sum(filter(
Master_Mapping_Sheet!$E$2:$E$3143, ISNUMBER(
Master_Mapping_Sh"&amp;"eet!$E$2:$E$3143),
Master_Mapping_Sheet!$H$2:$H$3143=Z$1))), 0, sum(filter(
Master_Mapping_Sheet!$E$2:$E$3143, ISNUMBER(
Master_Mapping_Sheet!$E$2:$E$3143),
Master_Mapping_Sheet!$H$2:$H$3143=Z$1,
Master_Mapping_Sheet!$B$2:$B$3143=$A18))/sum(filter(
Master"&amp;"_Mapping_Sheet!$E$2:$E$3143, ISNUMBER(
Master_Mapping_Sheet!$E$2:$E$3143),
Master_Mapping_Sheet!$H$2:$H$3143=Z$1)))"),0.0)</f>
        <v>0</v>
      </c>
      <c r="AA18" s="34">
        <f>IFERROR(__xludf.DUMMYFUNCTION("IF(ISNA(sum(filter(
Master_Mapping_Sheet!$E$2:$E$3143, ISNUMBER(
Master_Mapping_Sheet!$E$2:$E$3143),
Master_Mapping_Sheet!$H$2:$H$3143=AA$1,
Master_Mapping_Sheet!$B$2:$B$3143=$A18))/sum(filter(
Master_Mapping_Sheet!$E$2:$E$3143, ISNUMBER(
Master_Mapping_S"&amp;"heet!$E$2:$E$3143),
Master_Mapping_Sheet!$H$2:$H$3143=AA$1))), 0, sum(filter(
Master_Mapping_Sheet!$E$2:$E$3143, ISNUMBER(
Master_Mapping_Sheet!$E$2:$E$3143),
Master_Mapping_Sheet!$H$2:$H$3143=AA$1,
Master_Mapping_Sheet!$B$2:$B$3143=$A18))/sum(filter(
Mas"&amp;"ter_Mapping_Sheet!$E$2:$E$3143, ISNUMBER(
Master_Mapping_Sheet!$E$2:$E$3143),
Master_Mapping_Sheet!$H$2:$H$3143=AA$1)))"),0.0)</f>
        <v>0</v>
      </c>
    </row>
    <row r="19" ht="15.75" customHeight="1">
      <c r="A19" s="34" t="s">
        <v>818</v>
      </c>
      <c r="B19" s="34" t="s">
        <v>2669</v>
      </c>
      <c r="C19" s="34">
        <f>IFERROR(__xludf.DUMMYFUNCTION("IF(ISNA(sum(filter(
Master_Mapping_Sheet!$E$2:$E$3143, ISNUMBER(
Master_Mapping_Sheet!$E$2:$E$3143),
Master_Mapping_Sheet!$H$2:$H$3143=C$1,
Master_Mapping_Sheet!$B$2:$B$3143=$A19))/sum(filter(
Master_Mapping_Sheet!$E$2:$E$3143, ISNUMBER(
Master_Mapping_Sh"&amp;"eet!$E$2:$E$3143),
Master_Mapping_Sheet!$H$2:$H$3143=C$1))), 0, sum(filter(
Master_Mapping_Sheet!$E$2:$E$3143, ISNUMBER(
Master_Mapping_Sheet!$E$2:$E$3143),
Master_Mapping_Sheet!$H$2:$H$3143=C$1,
Master_Mapping_Sheet!$B$2:$B$3143=$A19))/sum(filter(
Master"&amp;"_Mapping_Sheet!$E$2:$E$3143, ISNUMBER(
Master_Mapping_Sheet!$E$2:$E$3143),
Master_Mapping_Sheet!$H$2:$H$3143=C$1)))"),0.0)</f>
        <v>0</v>
      </c>
      <c r="D19" s="34">
        <f>IFERROR(__xludf.DUMMYFUNCTION("IF(ISNA(sum(filter(
Master_Mapping_Sheet!$E$2:$E$3143, ISNUMBER(
Master_Mapping_Sheet!$E$2:$E$3143),
Master_Mapping_Sheet!$H$2:$H$3143=D$1,
Master_Mapping_Sheet!$B$2:$B$3143=$A19))/sum(filter(
Master_Mapping_Sheet!$E$2:$E$3143, ISNUMBER(
Master_Mapping_Sh"&amp;"eet!$E$2:$E$3143),
Master_Mapping_Sheet!$H$2:$H$3143=D$1))), 0, sum(filter(
Master_Mapping_Sheet!$E$2:$E$3143, ISNUMBER(
Master_Mapping_Sheet!$E$2:$E$3143),
Master_Mapping_Sheet!$H$2:$H$3143=D$1,
Master_Mapping_Sheet!$B$2:$B$3143=$A19))/sum(filter(
Master"&amp;"_Mapping_Sheet!$E$2:$E$3143, ISNUMBER(
Master_Mapping_Sheet!$E$2:$E$3143),
Master_Mapping_Sheet!$H$2:$H$3143=D$1)))"),0.0)</f>
        <v>0</v>
      </c>
      <c r="E19" s="32">
        <f>IFERROR(__xludf.DUMMYFUNCTION("IF(ISNA(sum(filter(
Master_Mapping_Sheet!$E$2:$E$3143, ISNUMBER(
Master_Mapping_Sheet!$E$2:$E$3143),
Master_Mapping_Sheet!$H$2:$H$3143=E$1,
Master_Mapping_Sheet!$B$2:$B$3143=$A19))/sum(filter(
Master_Mapping_Sheet!$E$2:$E$3143, ISNUMBER(
Master_Mapping_Sh"&amp;"eet!$E$2:$E$3143),
Master_Mapping_Sheet!$H$2:$H$3143=E$1))), 0, sum(filter(
Master_Mapping_Sheet!$E$2:$E$3143, ISNUMBER(
Master_Mapping_Sheet!$E$2:$E$3143),
Master_Mapping_Sheet!$H$2:$H$3143=E$1,
Master_Mapping_Sheet!$B$2:$B$3143=$A19))/sum(filter(
Master"&amp;"_Mapping_Sheet!$E$2:$E$3143, ISNUMBER(
Master_Mapping_Sheet!$E$2:$E$3143),
Master_Mapping_Sheet!$H$2:$H$3143=E$1)))"),0.0)</f>
        <v>0</v>
      </c>
      <c r="F19" s="34">
        <f>IFERROR(__xludf.DUMMYFUNCTION("IF(ISNA(sum(filter(
Master_Mapping_Sheet!$E$2:$E$3143, ISNUMBER(
Master_Mapping_Sheet!$E$2:$E$3143),
Master_Mapping_Sheet!$H$2:$H$3143=F$1,
Master_Mapping_Sheet!$B$2:$B$3143=$A19))/sum(filter(
Master_Mapping_Sheet!$E$2:$E$3143, ISNUMBER(
Master_Mapping_Sh"&amp;"eet!$E$2:$E$3143),
Master_Mapping_Sheet!$H$2:$H$3143=F$1))), 0, sum(filter(
Master_Mapping_Sheet!$E$2:$E$3143, ISNUMBER(
Master_Mapping_Sheet!$E$2:$E$3143),
Master_Mapping_Sheet!$H$2:$H$3143=F$1,
Master_Mapping_Sheet!$B$2:$B$3143=$A19))/sum(filter(
Master"&amp;"_Mapping_Sheet!$E$2:$E$3143, ISNUMBER(
Master_Mapping_Sheet!$E$2:$E$3143),
Master_Mapping_Sheet!$H$2:$H$3143=F$1)))"),0.0)</f>
        <v>0</v>
      </c>
      <c r="G19" s="34">
        <f>IFERROR(__xludf.DUMMYFUNCTION("IF(ISNA(sum(filter(
Master_Mapping_Sheet!$E$2:$E$3143, ISNUMBER(
Master_Mapping_Sheet!$E$2:$E$3143),
Master_Mapping_Sheet!$H$2:$H$3143=G$1,
Master_Mapping_Sheet!$B$2:$B$3143=$A19))/sum(filter(
Master_Mapping_Sheet!$E$2:$E$3143, ISNUMBER(
Master_Mapping_Sh"&amp;"eet!$E$2:$E$3143),
Master_Mapping_Sheet!$H$2:$H$3143=G$1))), 0, sum(filter(
Master_Mapping_Sheet!$E$2:$E$3143, ISNUMBER(
Master_Mapping_Sheet!$E$2:$E$3143),
Master_Mapping_Sheet!$H$2:$H$3143=G$1,
Master_Mapping_Sheet!$B$2:$B$3143=$A19))/sum(filter(
Master"&amp;"_Mapping_Sheet!$E$2:$E$3143, ISNUMBER(
Master_Mapping_Sheet!$E$2:$E$3143),
Master_Mapping_Sheet!$H$2:$H$3143=G$1)))"),0.0)</f>
        <v>0</v>
      </c>
      <c r="H19" s="34">
        <f>IFERROR(__xludf.DUMMYFUNCTION("IF(ISNA(sum(filter(
Master_Mapping_Sheet!$E$2:$E$3143, ISNUMBER(
Master_Mapping_Sheet!$E$2:$E$3143),
Master_Mapping_Sheet!$H$2:$H$3143=H$1,
Master_Mapping_Sheet!$B$2:$B$3143=$A19))/sum(filter(
Master_Mapping_Sheet!$E$2:$E$3143, ISNUMBER(
Master_Mapping_Sh"&amp;"eet!$E$2:$E$3143),
Master_Mapping_Sheet!$H$2:$H$3143=H$1))), 0, sum(filter(
Master_Mapping_Sheet!$E$2:$E$3143, ISNUMBER(
Master_Mapping_Sheet!$E$2:$E$3143),
Master_Mapping_Sheet!$H$2:$H$3143=H$1,
Master_Mapping_Sheet!$B$2:$B$3143=$A19))/sum(filter(
Master"&amp;"_Mapping_Sheet!$E$2:$E$3143, ISNUMBER(
Master_Mapping_Sheet!$E$2:$E$3143),
Master_Mapping_Sheet!$H$2:$H$3143=H$1)))"),0.0)</f>
        <v>0</v>
      </c>
      <c r="I19" s="34">
        <f>IFERROR(__xludf.DUMMYFUNCTION("IF(ISNA(sum(filter(
Master_Mapping_Sheet!$E$2:$E$3143, ISNUMBER(
Master_Mapping_Sheet!$E$2:$E$3143),
Master_Mapping_Sheet!$H$2:$H$3143=I$1,
Master_Mapping_Sheet!$B$2:$B$3143=$A19))/sum(filter(
Master_Mapping_Sheet!$E$2:$E$3143, ISNUMBER(
Master_Mapping_Sh"&amp;"eet!$E$2:$E$3143),
Master_Mapping_Sheet!$H$2:$H$3143=I$1))), 0, sum(filter(
Master_Mapping_Sheet!$E$2:$E$3143, ISNUMBER(
Master_Mapping_Sheet!$E$2:$E$3143),
Master_Mapping_Sheet!$H$2:$H$3143=I$1,
Master_Mapping_Sheet!$B$2:$B$3143=$A19))/sum(filter(
Master"&amp;"_Mapping_Sheet!$E$2:$E$3143, ISNUMBER(
Master_Mapping_Sheet!$E$2:$E$3143),
Master_Mapping_Sheet!$H$2:$H$3143=I$1)))"),0.0)</f>
        <v>0</v>
      </c>
      <c r="J19" s="34">
        <f>IFERROR(__xludf.DUMMYFUNCTION("IF(ISNA(sum(filter(
Master_Mapping_Sheet!$E$2:$E$3143, ISNUMBER(
Master_Mapping_Sheet!$E$2:$E$3143),
Master_Mapping_Sheet!$H$2:$H$3143=J$1,
Master_Mapping_Sheet!$B$2:$B$3143=$A19))/sum(filter(
Master_Mapping_Sheet!$E$2:$E$3143, ISNUMBER(
Master_Mapping_Sh"&amp;"eet!$E$2:$E$3143),
Master_Mapping_Sheet!$H$2:$H$3143=J$1))), 0, sum(filter(
Master_Mapping_Sheet!$E$2:$E$3143, ISNUMBER(
Master_Mapping_Sheet!$E$2:$E$3143),
Master_Mapping_Sheet!$H$2:$H$3143=J$1,
Master_Mapping_Sheet!$B$2:$B$3143=$A19))/sum(filter(
Master"&amp;"_Mapping_Sheet!$E$2:$E$3143, ISNUMBER(
Master_Mapping_Sheet!$E$2:$E$3143),
Master_Mapping_Sheet!$H$2:$H$3143=J$1)))"),0.0)</f>
        <v>0</v>
      </c>
      <c r="K19" s="34">
        <f>IFERROR(__xludf.DUMMYFUNCTION("IF(ISNA(sum(filter(
Master_Mapping_Sheet!$E$2:$E$3143, ISNUMBER(
Master_Mapping_Sheet!$E$2:$E$3143),
Master_Mapping_Sheet!$H$2:$H$3143=K$1,
Master_Mapping_Sheet!$B$2:$B$3143=$A19))/sum(filter(
Master_Mapping_Sheet!$E$2:$E$3143, ISNUMBER(
Master_Mapping_Sh"&amp;"eet!$E$2:$E$3143),
Master_Mapping_Sheet!$H$2:$H$3143=K$1))), 0, sum(filter(
Master_Mapping_Sheet!$E$2:$E$3143, ISNUMBER(
Master_Mapping_Sheet!$E$2:$E$3143),
Master_Mapping_Sheet!$H$2:$H$3143=K$1,
Master_Mapping_Sheet!$B$2:$B$3143=$A19))/sum(filter(
Master"&amp;"_Mapping_Sheet!$E$2:$E$3143, ISNUMBER(
Master_Mapping_Sheet!$E$2:$E$3143),
Master_Mapping_Sheet!$H$2:$H$3143=K$1)))"),0.0)</f>
        <v>0</v>
      </c>
      <c r="L19" s="34">
        <f>IFERROR(__xludf.DUMMYFUNCTION("IF(ISNA(sum(filter(
Master_Mapping_Sheet!$E$2:$E$3143, ISNUMBER(
Master_Mapping_Sheet!$E$2:$E$3143),
Master_Mapping_Sheet!$H$2:$H$3143=L$1,
Master_Mapping_Sheet!$B$2:$B$3143=$A19))/sum(filter(
Master_Mapping_Sheet!$E$2:$E$3143, ISNUMBER(
Master_Mapping_Sh"&amp;"eet!$E$2:$E$3143),
Master_Mapping_Sheet!$H$2:$H$3143=L$1))), 0, sum(filter(
Master_Mapping_Sheet!$E$2:$E$3143, ISNUMBER(
Master_Mapping_Sheet!$E$2:$E$3143),
Master_Mapping_Sheet!$H$2:$H$3143=L$1,
Master_Mapping_Sheet!$B$2:$B$3143=$A19))/sum(filter(
Master"&amp;"_Mapping_Sheet!$E$2:$E$3143, ISNUMBER(
Master_Mapping_Sheet!$E$2:$E$3143),
Master_Mapping_Sheet!$H$2:$H$3143=L$1)))"),0.0)</f>
        <v>0</v>
      </c>
      <c r="M19" s="34">
        <f>IFERROR(__xludf.DUMMYFUNCTION("IF(ISNA(sum(filter(
Master_Mapping_Sheet!$E$2:$E$3143, ISNUMBER(
Master_Mapping_Sheet!$E$2:$E$3143),
Master_Mapping_Sheet!$H$2:$H$3143=M$1,
Master_Mapping_Sheet!$B$2:$B$3143=$A19))/sum(filter(
Master_Mapping_Sheet!$E$2:$E$3143, ISNUMBER(
Master_Mapping_Sh"&amp;"eet!$E$2:$E$3143),
Master_Mapping_Sheet!$H$2:$H$3143=M$1))), 0, sum(filter(
Master_Mapping_Sheet!$E$2:$E$3143, ISNUMBER(
Master_Mapping_Sheet!$E$2:$E$3143),
Master_Mapping_Sheet!$H$2:$H$3143=M$1,
Master_Mapping_Sheet!$B$2:$B$3143=$A19))/sum(filter(
Master"&amp;"_Mapping_Sheet!$E$2:$E$3143, ISNUMBER(
Master_Mapping_Sheet!$E$2:$E$3143),
Master_Mapping_Sheet!$H$2:$H$3143=M$1)))"),0.018870587107574655)</f>
        <v>0.01887058711</v>
      </c>
      <c r="N19" s="34">
        <f>IFERROR(__xludf.DUMMYFUNCTION("IF(ISNA(sum(filter(
Master_Mapping_Sheet!$E$2:$E$3143, ISNUMBER(
Master_Mapping_Sheet!$E$2:$E$3143),
Master_Mapping_Sheet!$H$2:$H$3143=N$1,
Master_Mapping_Sheet!$B$2:$B$3143=$A19))/sum(filter(
Master_Mapping_Sheet!$E$2:$E$3143, ISNUMBER(
Master_Mapping_Sh"&amp;"eet!$E$2:$E$3143),
Master_Mapping_Sheet!$H$2:$H$3143=N$1))), 0, sum(filter(
Master_Mapping_Sheet!$E$2:$E$3143, ISNUMBER(
Master_Mapping_Sheet!$E$2:$E$3143),
Master_Mapping_Sheet!$H$2:$H$3143=N$1,
Master_Mapping_Sheet!$B$2:$B$3143=$A19))/sum(filter(
Master"&amp;"_Mapping_Sheet!$E$2:$E$3143, ISNUMBER(
Master_Mapping_Sheet!$E$2:$E$3143),
Master_Mapping_Sheet!$H$2:$H$3143=N$1)))"),0.0)</f>
        <v>0</v>
      </c>
      <c r="O19" s="34">
        <f>IFERROR(__xludf.DUMMYFUNCTION("IF(ISNA(sum(filter(
Master_Mapping_Sheet!$E$2:$E$3143, ISNUMBER(
Master_Mapping_Sheet!$E$2:$E$3143),
Master_Mapping_Sheet!$H$2:$H$3143=O$1,
Master_Mapping_Sheet!$B$2:$B$3143=$A19))/sum(filter(
Master_Mapping_Sheet!$E$2:$E$3143, ISNUMBER(
Master_Mapping_Sh"&amp;"eet!$E$2:$E$3143),
Master_Mapping_Sheet!$H$2:$H$3143=O$1))), 0, sum(filter(
Master_Mapping_Sheet!$E$2:$E$3143, ISNUMBER(
Master_Mapping_Sheet!$E$2:$E$3143),
Master_Mapping_Sheet!$H$2:$H$3143=O$1,
Master_Mapping_Sheet!$B$2:$B$3143=$A19))/sum(filter(
Master"&amp;"_Mapping_Sheet!$E$2:$E$3143, ISNUMBER(
Master_Mapping_Sheet!$E$2:$E$3143),
Master_Mapping_Sheet!$H$2:$H$3143=O$1)))"),0.0)</f>
        <v>0</v>
      </c>
      <c r="P19" s="34">
        <f>IFERROR(__xludf.DUMMYFUNCTION("IF(ISNA(sum(filter(
Master_Mapping_Sheet!$E$2:$E$3143, ISNUMBER(
Master_Mapping_Sheet!$E$2:$E$3143),
Master_Mapping_Sheet!$H$2:$H$3143=P$1,
Master_Mapping_Sheet!$B$2:$B$3143=$A19))/sum(filter(
Master_Mapping_Sheet!$E$2:$E$3143, ISNUMBER(
Master_Mapping_Sh"&amp;"eet!$E$2:$E$3143),
Master_Mapping_Sheet!$H$2:$H$3143=P$1))), 0, sum(filter(
Master_Mapping_Sheet!$E$2:$E$3143, ISNUMBER(
Master_Mapping_Sheet!$E$2:$E$3143),
Master_Mapping_Sheet!$H$2:$H$3143=P$1,
Master_Mapping_Sheet!$B$2:$B$3143=$A19))/sum(filter(
Master"&amp;"_Mapping_Sheet!$E$2:$E$3143, ISNUMBER(
Master_Mapping_Sheet!$E$2:$E$3143),
Master_Mapping_Sheet!$H$2:$H$3143=P$1)))"),0.0)</f>
        <v>0</v>
      </c>
      <c r="Q19" s="34">
        <f>IFERROR(__xludf.DUMMYFUNCTION("IF(ISNA(sum(filter(
Master_Mapping_Sheet!$E$2:$E$3143, ISNUMBER(
Master_Mapping_Sheet!$E$2:$E$3143),
Master_Mapping_Sheet!$H$2:$H$3143=Q$1,
Master_Mapping_Sheet!$B$2:$B$3143=$A19))/sum(filter(
Master_Mapping_Sheet!$E$2:$E$3143, ISNUMBER(
Master_Mapping_Sh"&amp;"eet!$E$2:$E$3143),
Master_Mapping_Sheet!$H$2:$H$3143=Q$1))), 0, sum(filter(
Master_Mapping_Sheet!$E$2:$E$3143, ISNUMBER(
Master_Mapping_Sheet!$E$2:$E$3143),
Master_Mapping_Sheet!$H$2:$H$3143=Q$1,
Master_Mapping_Sheet!$B$2:$B$3143=$A19))/sum(filter(
Master"&amp;"_Mapping_Sheet!$E$2:$E$3143, ISNUMBER(
Master_Mapping_Sheet!$E$2:$E$3143),
Master_Mapping_Sheet!$H$2:$H$3143=Q$1)))"),0.0)</f>
        <v>0</v>
      </c>
      <c r="R19" s="34">
        <f>IFERROR(__xludf.DUMMYFUNCTION("IF(ISNA(sum(filter(
Master_Mapping_Sheet!$E$2:$E$3143, ISNUMBER(
Master_Mapping_Sheet!$E$2:$E$3143),
Master_Mapping_Sheet!$H$2:$H$3143=R$1,
Master_Mapping_Sheet!$B$2:$B$3143=$A19))/sum(filter(
Master_Mapping_Sheet!$E$2:$E$3143, ISNUMBER(
Master_Mapping_Sh"&amp;"eet!$E$2:$E$3143),
Master_Mapping_Sheet!$H$2:$H$3143=R$1))), 0, sum(filter(
Master_Mapping_Sheet!$E$2:$E$3143, ISNUMBER(
Master_Mapping_Sheet!$E$2:$E$3143),
Master_Mapping_Sheet!$H$2:$H$3143=R$1,
Master_Mapping_Sheet!$B$2:$B$3143=$A19))/sum(filter(
Master"&amp;"_Mapping_Sheet!$E$2:$E$3143, ISNUMBER(
Master_Mapping_Sheet!$E$2:$E$3143),
Master_Mapping_Sheet!$H$2:$H$3143=R$1)))"),0.32000301666315634)</f>
        <v>0.3200030167</v>
      </c>
      <c r="S19" s="34">
        <f>IFERROR(__xludf.DUMMYFUNCTION("IF(ISNA(sum(filter(
Master_Mapping_Sheet!$E$2:$E$3143, ISNUMBER(
Master_Mapping_Sheet!$E$2:$E$3143),
Master_Mapping_Sheet!$H$2:$H$3143=S$1,
Master_Mapping_Sheet!$B$2:$B$3143=$A19))/sum(filter(
Master_Mapping_Sheet!$E$2:$E$3143, ISNUMBER(
Master_Mapping_Sh"&amp;"eet!$E$2:$E$3143),
Master_Mapping_Sheet!$H$2:$H$3143=S$1))), 0, sum(filter(
Master_Mapping_Sheet!$E$2:$E$3143, ISNUMBER(
Master_Mapping_Sheet!$E$2:$E$3143),
Master_Mapping_Sheet!$H$2:$H$3143=S$1,
Master_Mapping_Sheet!$B$2:$B$3143=$A19))/sum(filter(
Master"&amp;"_Mapping_Sheet!$E$2:$E$3143, ISNUMBER(
Master_Mapping_Sheet!$E$2:$E$3143),
Master_Mapping_Sheet!$H$2:$H$3143=S$1)))"),0.0)</f>
        <v>0</v>
      </c>
      <c r="T19" s="34">
        <f>IFERROR(__xludf.DUMMYFUNCTION("IF(ISNA(sum(filter(
Master_Mapping_Sheet!$E$2:$E$3143, ISNUMBER(
Master_Mapping_Sheet!$E$2:$E$3143),
Master_Mapping_Sheet!$H$2:$H$3143=T$1,
Master_Mapping_Sheet!$B$2:$B$3143=$A19))/sum(filter(
Master_Mapping_Sheet!$E$2:$E$3143, ISNUMBER(
Master_Mapping_Sh"&amp;"eet!$E$2:$E$3143),
Master_Mapping_Sheet!$H$2:$H$3143=T$1))), 0, sum(filter(
Master_Mapping_Sheet!$E$2:$E$3143, ISNUMBER(
Master_Mapping_Sheet!$E$2:$E$3143),
Master_Mapping_Sheet!$H$2:$H$3143=T$1,
Master_Mapping_Sheet!$B$2:$B$3143=$A19))/sum(filter(
Master"&amp;"_Mapping_Sheet!$E$2:$E$3143, ISNUMBER(
Master_Mapping_Sheet!$E$2:$E$3143),
Master_Mapping_Sheet!$H$2:$H$3143=T$1)))"),0.0)</f>
        <v>0</v>
      </c>
      <c r="U19" s="34">
        <f>IFERROR(__xludf.DUMMYFUNCTION("IF(ISNA(sum(filter(
Master_Mapping_Sheet!$E$2:$E$3143, ISNUMBER(
Master_Mapping_Sheet!$E$2:$E$3143),
Master_Mapping_Sheet!$H$2:$H$3143=U$1,
Master_Mapping_Sheet!$B$2:$B$3143=$A19))/sum(filter(
Master_Mapping_Sheet!$E$2:$E$3143, ISNUMBER(
Master_Mapping_Sh"&amp;"eet!$E$2:$E$3143),
Master_Mapping_Sheet!$H$2:$H$3143=U$1))), 0, sum(filter(
Master_Mapping_Sheet!$E$2:$E$3143, ISNUMBER(
Master_Mapping_Sheet!$E$2:$E$3143),
Master_Mapping_Sheet!$H$2:$H$3143=U$1,
Master_Mapping_Sheet!$B$2:$B$3143=$A19))/sum(filter(
Master"&amp;"_Mapping_Sheet!$E$2:$E$3143, ISNUMBER(
Master_Mapping_Sheet!$E$2:$E$3143),
Master_Mapping_Sheet!$H$2:$H$3143=U$1)))"),0.0)</f>
        <v>0</v>
      </c>
      <c r="V19" s="34">
        <f>IFERROR(__xludf.DUMMYFUNCTION("IF(ISNA(sum(filter(
Master_Mapping_Sheet!$E$2:$E$3143, ISNUMBER(
Master_Mapping_Sheet!$E$2:$E$3143),
Master_Mapping_Sheet!$H$2:$H$3143=V$1,
Master_Mapping_Sheet!$B$2:$B$3143=$A19))/sum(filter(
Master_Mapping_Sheet!$E$2:$E$3143, ISNUMBER(
Master_Mapping_Sh"&amp;"eet!$E$2:$E$3143),
Master_Mapping_Sheet!$H$2:$H$3143=V$1))), 0, sum(filter(
Master_Mapping_Sheet!$E$2:$E$3143, ISNUMBER(
Master_Mapping_Sheet!$E$2:$E$3143),
Master_Mapping_Sheet!$H$2:$H$3143=V$1,
Master_Mapping_Sheet!$B$2:$B$3143=$A19))/sum(filter(
Master"&amp;"_Mapping_Sheet!$E$2:$E$3143, ISNUMBER(
Master_Mapping_Sheet!$E$2:$E$3143),
Master_Mapping_Sheet!$H$2:$H$3143=V$1)))"),0.0)</f>
        <v>0</v>
      </c>
      <c r="W19" s="34">
        <f>IFERROR(__xludf.DUMMYFUNCTION("IF(ISNA(sum(filter(
Master_Mapping_Sheet!$E$2:$E$3143, ISNUMBER(
Master_Mapping_Sheet!$E$2:$E$3143),
Master_Mapping_Sheet!$H$2:$H$3143=W$1,
Master_Mapping_Sheet!$B$2:$B$3143=$A19))/sum(filter(
Master_Mapping_Sheet!$E$2:$E$3143, ISNUMBER(
Master_Mapping_Sh"&amp;"eet!$E$2:$E$3143),
Master_Mapping_Sheet!$H$2:$H$3143=W$1))), 0, sum(filter(
Master_Mapping_Sheet!$E$2:$E$3143, ISNUMBER(
Master_Mapping_Sheet!$E$2:$E$3143),
Master_Mapping_Sheet!$H$2:$H$3143=W$1,
Master_Mapping_Sheet!$B$2:$B$3143=$A19))/sum(filter(
Master"&amp;"_Mapping_Sheet!$E$2:$E$3143, ISNUMBER(
Master_Mapping_Sheet!$E$2:$E$3143),
Master_Mapping_Sheet!$H$2:$H$3143=W$1)))"),0.0)</f>
        <v>0</v>
      </c>
      <c r="X19" s="34">
        <f>IFERROR(__xludf.DUMMYFUNCTION("IF(ISNA(sum(filter(
Master_Mapping_Sheet!$E$2:$E$3143, ISNUMBER(
Master_Mapping_Sheet!$E$2:$E$3143),
Master_Mapping_Sheet!$H$2:$H$3143=X$1,
Master_Mapping_Sheet!$B$2:$B$3143=$A19))/sum(filter(
Master_Mapping_Sheet!$E$2:$E$3143, ISNUMBER(
Master_Mapping_Sh"&amp;"eet!$E$2:$E$3143),
Master_Mapping_Sheet!$H$2:$H$3143=X$1))), 0, sum(filter(
Master_Mapping_Sheet!$E$2:$E$3143, ISNUMBER(
Master_Mapping_Sheet!$E$2:$E$3143),
Master_Mapping_Sheet!$H$2:$H$3143=X$1,
Master_Mapping_Sheet!$B$2:$B$3143=$A19))/sum(filter(
Master"&amp;"_Mapping_Sheet!$E$2:$E$3143, ISNUMBER(
Master_Mapping_Sheet!$E$2:$E$3143),
Master_Mapping_Sheet!$H$2:$H$3143=X$1)))"),0.0)</f>
        <v>0</v>
      </c>
      <c r="Y19" s="34">
        <f>IFERROR(__xludf.DUMMYFUNCTION("IF(ISNA(sum(filter(
Master_Mapping_Sheet!$E$2:$E$3143, ISNUMBER(
Master_Mapping_Sheet!$E$2:$E$3143),
Master_Mapping_Sheet!$H$2:$H$3143=Y$1,
Master_Mapping_Sheet!$B$2:$B$3143=$A19))/sum(filter(
Master_Mapping_Sheet!$E$2:$E$3143, ISNUMBER(
Master_Mapping_Sh"&amp;"eet!$E$2:$E$3143),
Master_Mapping_Sheet!$H$2:$H$3143=Y$1))), 0, sum(filter(
Master_Mapping_Sheet!$E$2:$E$3143, ISNUMBER(
Master_Mapping_Sheet!$E$2:$E$3143),
Master_Mapping_Sheet!$H$2:$H$3143=Y$1,
Master_Mapping_Sheet!$B$2:$B$3143=$A19))/sum(filter(
Master"&amp;"_Mapping_Sheet!$E$2:$E$3143, ISNUMBER(
Master_Mapping_Sheet!$E$2:$E$3143),
Master_Mapping_Sheet!$H$2:$H$3143=Y$1)))"),0.0)</f>
        <v>0</v>
      </c>
      <c r="Z19" s="34">
        <f>IFERROR(__xludf.DUMMYFUNCTION("IF(ISNA(sum(filter(
Master_Mapping_Sheet!$E$2:$E$3143, ISNUMBER(
Master_Mapping_Sheet!$E$2:$E$3143),
Master_Mapping_Sheet!$H$2:$H$3143=Z$1,
Master_Mapping_Sheet!$B$2:$B$3143=$A19))/sum(filter(
Master_Mapping_Sheet!$E$2:$E$3143, ISNUMBER(
Master_Mapping_Sh"&amp;"eet!$E$2:$E$3143),
Master_Mapping_Sheet!$H$2:$H$3143=Z$1))), 0, sum(filter(
Master_Mapping_Sheet!$E$2:$E$3143, ISNUMBER(
Master_Mapping_Sheet!$E$2:$E$3143),
Master_Mapping_Sheet!$H$2:$H$3143=Z$1,
Master_Mapping_Sheet!$B$2:$B$3143=$A19))/sum(filter(
Master"&amp;"_Mapping_Sheet!$E$2:$E$3143, ISNUMBER(
Master_Mapping_Sheet!$E$2:$E$3143),
Master_Mapping_Sheet!$H$2:$H$3143=Z$1)))"),0.0)</f>
        <v>0</v>
      </c>
      <c r="AA19" s="34">
        <f>IFERROR(__xludf.DUMMYFUNCTION("IF(ISNA(sum(filter(
Master_Mapping_Sheet!$E$2:$E$3143, ISNUMBER(
Master_Mapping_Sheet!$E$2:$E$3143),
Master_Mapping_Sheet!$H$2:$H$3143=AA$1,
Master_Mapping_Sheet!$B$2:$B$3143=$A19))/sum(filter(
Master_Mapping_Sheet!$E$2:$E$3143, ISNUMBER(
Master_Mapping_S"&amp;"heet!$E$2:$E$3143),
Master_Mapping_Sheet!$H$2:$H$3143=AA$1))), 0, sum(filter(
Master_Mapping_Sheet!$E$2:$E$3143, ISNUMBER(
Master_Mapping_Sheet!$E$2:$E$3143),
Master_Mapping_Sheet!$H$2:$H$3143=AA$1,
Master_Mapping_Sheet!$B$2:$B$3143=$A19))/sum(filter(
Mas"&amp;"ter_Mapping_Sheet!$E$2:$E$3143, ISNUMBER(
Master_Mapping_Sheet!$E$2:$E$3143),
Master_Mapping_Sheet!$H$2:$H$3143=AA$1)))"),0.0)</f>
        <v>0</v>
      </c>
    </row>
    <row r="20" ht="15.75" customHeight="1">
      <c r="A20" s="34" t="s">
        <v>875</v>
      </c>
      <c r="B20" s="34" t="s">
        <v>2725</v>
      </c>
      <c r="C20" s="34">
        <f>IFERROR(__xludf.DUMMYFUNCTION("IF(ISNA(sum(filter(
Master_Mapping_Sheet!$E$2:$E$3143, ISNUMBER(
Master_Mapping_Sheet!$E$2:$E$3143),
Master_Mapping_Sheet!$H$2:$H$3143=C$1,
Master_Mapping_Sheet!$B$2:$B$3143=$A20))/sum(filter(
Master_Mapping_Sheet!$E$2:$E$3143, ISNUMBER(
Master_Mapping_Sh"&amp;"eet!$E$2:$E$3143),
Master_Mapping_Sheet!$H$2:$H$3143=C$1))), 0, sum(filter(
Master_Mapping_Sheet!$E$2:$E$3143, ISNUMBER(
Master_Mapping_Sheet!$E$2:$E$3143),
Master_Mapping_Sheet!$H$2:$H$3143=C$1,
Master_Mapping_Sheet!$B$2:$B$3143=$A20))/sum(filter(
Master"&amp;"_Mapping_Sheet!$E$2:$E$3143, ISNUMBER(
Master_Mapping_Sheet!$E$2:$E$3143),
Master_Mapping_Sheet!$H$2:$H$3143=C$1)))"),0.0)</f>
        <v>0</v>
      </c>
      <c r="D20" s="34">
        <f>IFERROR(__xludf.DUMMYFUNCTION("IF(ISNA(sum(filter(
Master_Mapping_Sheet!$E$2:$E$3143, ISNUMBER(
Master_Mapping_Sheet!$E$2:$E$3143),
Master_Mapping_Sheet!$H$2:$H$3143=D$1,
Master_Mapping_Sheet!$B$2:$B$3143=$A20))/sum(filter(
Master_Mapping_Sheet!$E$2:$E$3143, ISNUMBER(
Master_Mapping_Sh"&amp;"eet!$E$2:$E$3143),
Master_Mapping_Sheet!$H$2:$H$3143=D$1))), 0, sum(filter(
Master_Mapping_Sheet!$E$2:$E$3143, ISNUMBER(
Master_Mapping_Sheet!$E$2:$E$3143),
Master_Mapping_Sheet!$H$2:$H$3143=D$1,
Master_Mapping_Sheet!$B$2:$B$3143=$A20))/sum(filter(
Master"&amp;"_Mapping_Sheet!$E$2:$E$3143, ISNUMBER(
Master_Mapping_Sheet!$E$2:$E$3143),
Master_Mapping_Sheet!$H$2:$H$3143=D$1)))"),0.0)</f>
        <v>0</v>
      </c>
      <c r="E20" s="32">
        <f>IFERROR(__xludf.DUMMYFUNCTION("IF(ISNA(sum(filter(
Master_Mapping_Sheet!$E$2:$E$3143, ISNUMBER(
Master_Mapping_Sheet!$E$2:$E$3143),
Master_Mapping_Sheet!$H$2:$H$3143=E$1,
Master_Mapping_Sheet!$B$2:$B$3143=$A20))/sum(filter(
Master_Mapping_Sheet!$E$2:$E$3143, ISNUMBER(
Master_Mapping_Sh"&amp;"eet!$E$2:$E$3143),
Master_Mapping_Sheet!$H$2:$H$3143=E$1))), 0, sum(filter(
Master_Mapping_Sheet!$E$2:$E$3143, ISNUMBER(
Master_Mapping_Sheet!$E$2:$E$3143),
Master_Mapping_Sheet!$H$2:$H$3143=E$1,
Master_Mapping_Sheet!$B$2:$B$3143=$A20))/sum(filter(
Master"&amp;"_Mapping_Sheet!$E$2:$E$3143, ISNUMBER(
Master_Mapping_Sheet!$E$2:$E$3143),
Master_Mapping_Sheet!$H$2:$H$3143=E$1)))"),0.0)</f>
        <v>0</v>
      </c>
      <c r="F20" s="34">
        <f>IFERROR(__xludf.DUMMYFUNCTION("IF(ISNA(sum(filter(
Master_Mapping_Sheet!$E$2:$E$3143, ISNUMBER(
Master_Mapping_Sheet!$E$2:$E$3143),
Master_Mapping_Sheet!$H$2:$H$3143=F$1,
Master_Mapping_Sheet!$B$2:$B$3143=$A20))/sum(filter(
Master_Mapping_Sheet!$E$2:$E$3143, ISNUMBER(
Master_Mapping_Sh"&amp;"eet!$E$2:$E$3143),
Master_Mapping_Sheet!$H$2:$H$3143=F$1))), 0, sum(filter(
Master_Mapping_Sheet!$E$2:$E$3143, ISNUMBER(
Master_Mapping_Sheet!$E$2:$E$3143),
Master_Mapping_Sheet!$H$2:$H$3143=F$1,
Master_Mapping_Sheet!$B$2:$B$3143=$A20))/sum(filter(
Master"&amp;"_Mapping_Sheet!$E$2:$E$3143, ISNUMBER(
Master_Mapping_Sheet!$E$2:$E$3143),
Master_Mapping_Sheet!$H$2:$H$3143=F$1)))"),0.0)</f>
        <v>0</v>
      </c>
      <c r="G20" s="34">
        <f>IFERROR(__xludf.DUMMYFUNCTION("IF(ISNA(sum(filter(
Master_Mapping_Sheet!$E$2:$E$3143, ISNUMBER(
Master_Mapping_Sheet!$E$2:$E$3143),
Master_Mapping_Sheet!$H$2:$H$3143=G$1,
Master_Mapping_Sheet!$B$2:$B$3143=$A20))/sum(filter(
Master_Mapping_Sheet!$E$2:$E$3143, ISNUMBER(
Master_Mapping_Sh"&amp;"eet!$E$2:$E$3143),
Master_Mapping_Sheet!$H$2:$H$3143=G$1))), 0, sum(filter(
Master_Mapping_Sheet!$E$2:$E$3143, ISNUMBER(
Master_Mapping_Sheet!$E$2:$E$3143),
Master_Mapping_Sheet!$H$2:$H$3143=G$1,
Master_Mapping_Sheet!$B$2:$B$3143=$A20))/sum(filter(
Master"&amp;"_Mapping_Sheet!$E$2:$E$3143, ISNUMBER(
Master_Mapping_Sheet!$E$2:$E$3143),
Master_Mapping_Sheet!$H$2:$H$3143=G$1)))"),0.0)</f>
        <v>0</v>
      </c>
      <c r="H20" s="34">
        <f>IFERROR(__xludf.DUMMYFUNCTION("IF(ISNA(sum(filter(
Master_Mapping_Sheet!$E$2:$E$3143, ISNUMBER(
Master_Mapping_Sheet!$E$2:$E$3143),
Master_Mapping_Sheet!$H$2:$H$3143=H$1,
Master_Mapping_Sheet!$B$2:$B$3143=$A20))/sum(filter(
Master_Mapping_Sheet!$E$2:$E$3143, ISNUMBER(
Master_Mapping_Sh"&amp;"eet!$E$2:$E$3143),
Master_Mapping_Sheet!$H$2:$H$3143=H$1))), 0, sum(filter(
Master_Mapping_Sheet!$E$2:$E$3143, ISNUMBER(
Master_Mapping_Sheet!$E$2:$E$3143),
Master_Mapping_Sheet!$H$2:$H$3143=H$1,
Master_Mapping_Sheet!$B$2:$B$3143=$A20))/sum(filter(
Master"&amp;"_Mapping_Sheet!$E$2:$E$3143, ISNUMBER(
Master_Mapping_Sheet!$E$2:$E$3143),
Master_Mapping_Sheet!$H$2:$H$3143=H$1)))"),0.4134734376836655)</f>
        <v>0.4134734377</v>
      </c>
      <c r="I20" s="34">
        <f>IFERROR(__xludf.DUMMYFUNCTION("IF(ISNA(sum(filter(
Master_Mapping_Sheet!$E$2:$E$3143, ISNUMBER(
Master_Mapping_Sheet!$E$2:$E$3143),
Master_Mapping_Sheet!$H$2:$H$3143=I$1,
Master_Mapping_Sheet!$B$2:$B$3143=$A20))/sum(filter(
Master_Mapping_Sheet!$E$2:$E$3143, ISNUMBER(
Master_Mapping_Sh"&amp;"eet!$E$2:$E$3143),
Master_Mapping_Sheet!$H$2:$H$3143=I$1))), 0, sum(filter(
Master_Mapping_Sheet!$E$2:$E$3143, ISNUMBER(
Master_Mapping_Sheet!$E$2:$E$3143),
Master_Mapping_Sheet!$H$2:$H$3143=I$1,
Master_Mapping_Sheet!$B$2:$B$3143=$A20))/sum(filter(
Master"&amp;"_Mapping_Sheet!$E$2:$E$3143, ISNUMBER(
Master_Mapping_Sheet!$E$2:$E$3143),
Master_Mapping_Sheet!$H$2:$H$3143=I$1)))"),0.0)</f>
        <v>0</v>
      </c>
      <c r="J20" s="34">
        <f>IFERROR(__xludf.DUMMYFUNCTION("IF(ISNA(sum(filter(
Master_Mapping_Sheet!$E$2:$E$3143, ISNUMBER(
Master_Mapping_Sheet!$E$2:$E$3143),
Master_Mapping_Sheet!$H$2:$H$3143=J$1,
Master_Mapping_Sheet!$B$2:$B$3143=$A20))/sum(filter(
Master_Mapping_Sheet!$E$2:$E$3143, ISNUMBER(
Master_Mapping_Sh"&amp;"eet!$E$2:$E$3143),
Master_Mapping_Sheet!$H$2:$H$3143=J$1))), 0, sum(filter(
Master_Mapping_Sheet!$E$2:$E$3143, ISNUMBER(
Master_Mapping_Sheet!$E$2:$E$3143),
Master_Mapping_Sheet!$H$2:$H$3143=J$1,
Master_Mapping_Sheet!$B$2:$B$3143=$A20))/sum(filter(
Master"&amp;"_Mapping_Sheet!$E$2:$E$3143, ISNUMBER(
Master_Mapping_Sheet!$E$2:$E$3143),
Master_Mapping_Sheet!$H$2:$H$3143=J$1)))"),0.0)</f>
        <v>0</v>
      </c>
      <c r="K20" s="34">
        <f>IFERROR(__xludf.DUMMYFUNCTION("IF(ISNA(sum(filter(
Master_Mapping_Sheet!$E$2:$E$3143, ISNUMBER(
Master_Mapping_Sheet!$E$2:$E$3143),
Master_Mapping_Sheet!$H$2:$H$3143=K$1,
Master_Mapping_Sheet!$B$2:$B$3143=$A20))/sum(filter(
Master_Mapping_Sheet!$E$2:$E$3143, ISNUMBER(
Master_Mapping_Sh"&amp;"eet!$E$2:$E$3143),
Master_Mapping_Sheet!$H$2:$H$3143=K$1))), 0, sum(filter(
Master_Mapping_Sheet!$E$2:$E$3143, ISNUMBER(
Master_Mapping_Sheet!$E$2:$E$3143),
Master_Mapping_Sheet!$H$2:$H$3143=K$1,
Master_Mapping_Sheet!$B$2:$B$3143=$A20))/sum(filter(
Master"&amp;"_Mapping_Sheet!$E$2:$E$3143, ISNUMBER(
Master_Mapping_Sheet!$E$2:$E$3143),
Master_Mapping_Sheet!$H$2:$H$3143=K$1)))"),0.0)</f>
        <v>0</v>
      </c>
      <c r="L20" s="34">
        <f>IFERROR(__xludf.DUMMYFUNCTION("IF(ISNA(sum(filter(
Master_Mapping_Sheet!$E$2:$E$3143, ISNUMBER(
Master_Mapping_Sheet!$E$2:$E$3143),
Master_Mapping_Sheet!$H$2:$H$3143=L$1,
Master_Mapping_Sheet!$B$2:$B$3143=$A20))/sum(filter(
Master_Mapping_Sheet!$E$2:$E$3143, ISNUMBER(
Master_Mapping_Sh"&amp;"eet!$E$2:$E$3143),
Master_Mapping_Sheet!$H$2:$H$3143=L$1))), 0, sum(filter(
Master_Mapping_Sheet!$E$2:$E$3143, ISNUMBER(
Master_Mapping_Sheet!$E$2:$E$3143),
Master_Mapping_Sheet!$H$2:$H$3143=L$1,
Master_Mapping_Sheet!$B$2:$B$3143=$A20))/sum(filter(
Master"&amp;"_Mapping_Sheet!$E$2:$E$3143, ISNUMBER(
Master_Mapping_Sheet!$E$2:$E$3143),
Master_Mapping_Sheet!$H$2:$H$3143=L$1)))"),0.0)</f>
        <v>0</v>
      </c>
      <c r="M20" s="34">
        <f>IFERROR(__xludf.DUMMYFUNCTION("IF(ISNA(sum(filter(
Master_Mapping_Sheet!$E$2:$E$3143, ISNUMBER(
Master_Mapping_Sheet!$E$2:$E$3143),
Master_Mapping_Sheet!$H$2:$H$3143=M$1,
Master_Mapping_Sheet!$B$2:$B$3143=$A20))/sum(filter(
Master_Mapping_Sheet!$E$2:$E$3143, ISNUMBER(
Master_Mapping_Sh"&amp;"eet!$E$2:$E$3143),
Master_Mapping_Sheet!$H$2:$H$3143=M$1))), 0, sum(filter(
Master_Mapping_Sheet!$E$2:$E$3143, ISNUMBER(
Master_Mapping_Sheet!$E$2:$E$3143),
Master_Mapping_Sheet!$H$2:$H$3143=M$1,
Master_Mapping_Sheet!$B$2:$B$3143=$A20))/sum(filter(
Master"&amp;"_Mapping_Sheet!$E$2:$E$3143, ISNUMBER(
Master_Mapping_Sheet!$E$2:$E$3143),
Master_Mapping_Sheet!$H$2:$H$3143=M$1)))"),0.0)</f>
        <v>0</v>
      </c>
      <c r="N20" s="34">
        <f>IFERROR(__xludf.DUMMYFUNCTION("IF(ISNA(sum(filter(
Master_Mapping_Sheet!$E$2:$E$3143, ISNUMBER(
Master_Mapping_Sheet!$E$2:$E$3143),
Master_Mapping_Sheet!$H$2:$H$3143=N$1,
Master_Mapping_Sheet!$B$2:$B$3143=$A20))/sum(filter(
Master_Mapping_Sheet!$E$2:$E$3143, ISNUMBER(
Master_Mapping_Sh"&amp;"eet!$E$2:$E$3143),
Master_Mapping_Sheet!$H$2:$H$3143=N$1))), 0, sum(filter(
Master_Mapping_Sheet!$E$2:$E$3143, ISNUMBER(
Master_Mapping_Sheet!$E$2:$E$3143),
Master_Mapping_Sheet!$H$2:$H$3143=N$1,
Master_Mapping_Sheet!$B$2:$B$3143=$A20))/sum(filter(
Master"&amp;"_Mapping_Sheet!$E$2:$E$3143, ISNUMBER(
Master_Mapping_Sheet!$E$2:$E$3143),
Master_Mapping_Sheet!$H$2:$H$3143=N$1)))"),0.0)</f>
        <v>0</v>
      </c>
      <c r="O20" s="34">
        <f>IFERROR(__xludf.DUMMYFUNCTION("IF(ISNA(sum(filter(
Master_Mapping_Sheet!$E$2:$E$3143, ISNUMBER(
Master_Mapping_Sheet!$E$2:$E$3143),
Master_Mapping_Sheet!$H$2:$H$3143=O$1,
Master_Mapping_Sheet!$B$2:$B$3143=$A20))/sum(filter(
Master_Mapping_Sheet!$E$2:$E$3143, ISNUMBER(
Master_Mapping_Sh"&amp;"eet!$E$2:$E$3143),
Master_Mapping_Sheet!$H$2:$H$3143=O$1))), 0, sum(filter(
Master_Mapping_Sheet!$E$2:$E$3143, ISNUMBER(
Master_Mapping_Sheet!$E$2:$E$3143),
Master_Mapping_Sheet!$H$2:$H$3143=O$1,
Master_Mapping_Sheet!$B$2:$B$3143=$A20))/sum(filter(
Master"&amp;"_Mapping_Sheet!$E$2:$E$3143, ISNUMBER(
Master_Mapping_Sheet!$E$2:$E$3143),
Master_Mapping_Sheet!$H$2:$H$3143=O$1)))"),0.0)</f>
        <v>0</v>
      </c>
      <c r="P20" s="34">
        <f>IFERROR(__xludf.DUMMYFUNCTION("IF(ISNA(sum(filter(
Master_Mapping_Sheet!$E$2:$E$3143, ISNUMBER(
Master_Mapping_Sheet!$E$2:$E$3143),
Master_Mapping_Sheet!$H$2:$H$3143=P$1,
Master_Mapping_Sheet!$B$2:$B$3143=$A20))/sum(filter(
Master_Mapping_Sheet!$E$2:$E$3143, ISNUMBER(
Master_Mapping_Sh"&amp;"eet!$E$2:$E$3143),
Master_Mapping_Sheet!$H$2:$H$3143=P$1))), 0, sum(filter(
Master_Mapping_Sheet!$E$2:$E$3143, ISNUMBER(
Master_Mapping_Sheet!$E$2:$E$3143),
Master_Mapping_Sheet!$H$2:$H$3143=P$1,
Master_Mapping_Sheet!$B$2:$B$3143=$A20))/sum(filter(
Master"&amp;"_Mapping_Sheet!$E$2:$E$3143, ISNUMBER(
Master_Mapping_Sheet!$E$2:$E$3143),
Master_Mapping_Sheet!$H$2:$H$3143=P$1)))"),0.0)</f>
        <v>0</v>
      </c>
      <c r="Q20" s="34">
        <f>IFERROR(__xludf.DUMMYFUNCTION("IF(ISNA(sum(filter(
Master_Mapping_Sheet!$E$2:$E$3143, ISNUMBER(
Master_Mapping_Sheet!$E$2:$E$3143),
Master_Mapping_Sheet!$H$2:$H$3143=Q$1,
Master_Mapping_Sheet!$B$2:$B$3143=$A20))/sum(filter(
Master_Mapping_Sheet!$E$2:$E$3143, ISNUMBER(
Master_Mapping_Sh"&amp;"eet!$E$2:$E$3143),
Master_Mapping_Sheet!$H$2:$H$3143=Q$1))), 0, sum(filter(
Master_Mapping_Sheet!$E$2:$E$3143, ISNUMBER(
Master_Mapping_Sheet!$E$2:$E$3143),
Master_Mapping_Sheet!$H$2:$H$3143=Q$1,
Master_Mapping_Sheet!$B$2:$B$3143=$A20))/sum(filter(
Master"&amp;"_Mapping_Sheet!$E$2:$E$3143, ISNUMBER(
Master_Mapping_Sheet!$E$2:$E$3143),
Master_Mapping_Sheet!$H$2:$H$3143=Q$1)))"),0.0)</f>
        <v>0</v>
      </c>
      <c r="R20" s="34">
        <f>IFERROR(__xludf.DUMMYFUNCTION("IF(ISNA(sum(filter(
Master_Mapping_Sheet!$E$2:$E$3143, ISNUMBER(
Master_Mapping_Sheet!$E$2:$E$3143),
Master_Mapping_Sheet!$H$2:$H$3143=R$1,
Master_Mapping_Sheet!$B$2:$B$3143=$A20))/sum(filter(
Master_Mapping_Sheet!$E$2:$E$3143, ISNUMBER(
Master_Mapping_Sh"&amp;"eet!$E$2:$E$3143),
Master_Mapping_Sheet!$H$2:$H$3143=R$1))), 0, sum(filter(
Master_Mapping_Sheet!$E$2:$E$3143, ISNUMBER(
Master_Mapping_Sheet!$E$2:$E$3143),
Master_Mapping_Sheet!$H$2:$H$3143=R$1,
Master_Mapping_Sheet!$B$2:$B$3143=$A20))/sum(filter(
Master"&amp;"_Mapping_Sheet!$E$2:$E$3143, ISNUMBER(
Master_Mapping_Sheet!$E$2:$E$3143),
Master_Mapping_Sheet!$H$2:$H$3143=R$1)))"),0.0)</f>
        <v>0</v>
      </c>
      <c r="S20" s="34">
        <f>IFERROR(__xludf.DUMMYFUNCTION("IF(ISNA(sum(filter(
Master_Mapping_Sheet!$E$2:$E$3143, ISNUMBER(
Master_Mapping_Sheet!$E$2:$E$3143),
Master_Mapping_Sheet!$H$2:$H$3143=S$1,
Master_Mapping_Sheet!$B$2:$B$3143=$A20))/sum(filter(
Master_Mapping_Sheet!$E$2:$E$3143, ISNUMBER(
Master_Mapping_Sh"&amp;"eet!$E$2:$E$3143),
Master_Mapping_Sheet!$H$2:$H$3143=S$1))), 0, sum(filter(
Master_Mapping_Sheet!$E$2:$E$3143, ISNUMBER(
Master_Mapping_Sheet!$E$2:$E$3143),
Master_Mapping_Sheet!$H$2:$H$3143=S$1,
Master_Mapping_Sheet!$B$2:$B$3143=$A20))/sum(filter(
Master"&amp;"_Mapping_Sheet!$E$2:$E$3143, ISNUMBER(
Master_Mapping_Sheet!$E$2:$E$3143),
Master_Mapping_Sheet!$H$2:$H$3143=S$1)))"),0.11198873279658349)</f>
        <v>0.1119887328</v>
      </c>
      <c r="T20" s="34">
        <f>IFERROR(__xludf.DUMMYFUNCTION("IF(ISNA(sum(filter(
Master_Mapping_Sheet!$E$2:$E$3143, ISNUMBER(
Master_Mapping_Sheet!$E$2:$E$3143),
Master_Mapping_Sheet!$H$2:$H$3143=T$1,
Master_Mapping_Sheet!$B$2:$B$3143=$A20))/sum(filter(
Master_Mapping_Sheet!$E$2:$E$3143, ISNUMBER(
Master_Mapping_Sh"&amp;"eet!$E$2:$E$3143),
Master_Mapping_Sheet!$H$2:$H$3143=T$1))), 0, sum(filter(
Master_Mapping_Sheet!$E$2:$E$3143, ISNUMBER(
Master_Mapping_Sheet!$E$2:$E$3143),
Master_Mapping_Sheet!$H$2:$H$3143=T$1,
Master_Mapping_Sheet!$B$2:$B$3143=$A20))/sum(filter(
Master"&amp;"_Mapping_Sheet!$E$2:$E$3143, ISNUMBER(
Master_Mapping_Sheet!$E$2:$E$3143),
Master_Mapping_Sheet!$H$2:$H$3143=T$1)))"),0.0)</f>
        <v>0</v>
      </c>
      <c r="U20" s="34">
        <f>IFERROR(__xludf.DUMMYFUNCTION("IF(ISNA(sum(filter(
Master_Mapping_Sheet!$E$2:$E$3143, ISNUMBER(
Master_Mapping_Sheet!$E$2:$E$3143),
Master_Mapping_Sheet!$H$2:$H$3143=U$1,
Master_Mapping_Sheet!$B$2:$B$3143=$A20))/sum(filter(
Master_Mapping_Sheet!$E$2:$E$3143, ISNUMBER(
Master_Mapping_Sh"&amp;"eet!$E$2:$E$3143),
Master_Mapping_Sheet!$H$2:$H$3143=U$1))), 0, sum(filter(
Master_Mapping_Sheet!$E$2:$E$3143, ISNUMBER(
Master_Mapping_Sheet!$E$2:$E$3143),
Master_Mapping_Sheet!$H$2:$H$3143=U$1,
Master_Mapping_Sheet!$B$2:$B$3143=$A20))/sum(filter(
Master"&amp;"_Mapping_Sheet!$E$2:$E$3143, ISNUMBER(
Master_Mapping_Sheet!$E$2:$E$3143),
Master_Mapping_Sheet!$H$2:$H$3143=U$1)))"),0.0)</f>
        <v>0</v>
      </c>
      <c r="V20" s="34">
        <f>IFERROR(__xludf.DUMMYFUNCTION("IF(ISNA(sum(filter(
Master_Mapping_Sheet!$E$2:$E$3143, ISNUMBER(
Master_Mapping_Sheet!$E$2:$E$3143),
Master_Mapping_Sheet!$H$2:$H$3143=V$1,
Master_Mapping_Sheet!$B$2:$B$3143=$A20))/sum(filter(
Master_Mapping_Sheet!$E$2:$E$3143, ISNUMBER(
Master_Mapping_Sh"&amp;"eet!$E$2:$E$3143),
Master_Mapping_Sheet!$H$2:$H$3143=V$1))), 0, sum(filter(
Master_Mapping_Sheet!$E$2:$E$3143, ISNUMBER(
Master_Mapping_Sheet!$E$2:$E$3143),
Master_Mapping_Sheet!$H$2:$H$3143=V$1,
Master_Mapping_Sheet!$B$2:$B$3143=$A20))/sum(filter(
Master"&amp;"_Mapping_Sheet!$E$2:$E$3143, ISNUMBER(
Master_Mapping_Sheet!$E$2:$E$3143),
Master_Mapping_Sheet!$H$2:$H$3143=V$1)))"),0.0)</f>
        <v>0</v>
      </c>
      <c r="W20" s="34">
        <f>IFERROR(__xludf.DUMMYFUNCTION("IF(ISNA(sum(filter(
Master_Mapping_Sheet!$E$2:$E$3143, ISNUMBER(
Master_Mapping_Sheet!$E$2:$E$3143),
Master_Mapping_Sheet!$H$2:$H$3143=W$1,
Master_Mapping_Sheet!$B$2:$B$3143=$A20))/sum(filter(
Master_Mapping_Sheet!$E$2:$E$3143, ISNUMBER(
Master_Mapping_Sh"&amp;"eet!$E$2:$E$3143),
Master_Mapping_Sheet!$H$2:$H$3143=W$1))), 0, sum(filter(
Master_Mapping_Sheet!$E$2:$E$3143, ISNUMBER(
Master_Mapping_Sheet!$E$2:$E$3143),
Master_Mapping_Sheet!$H$2:$H$3143=W$1,
Master_Mapping_Sheet!$B$2:$B$3143=$A20))/sum(filter(
Master"&amp;"_Mapping_Sheet!$E$2:$E$3143, ISNUMBER(
Master_Mapping_Sheet!$E$2:$E$3143),
Master_Mapping_Sheet!$H$2:$H$3143=W$1)))"),0.0)</f>
        <v>0</v>
      </c>
      <c r="X20" s="34">
        <f>IFERROR(__xludf.DUMMYFUNCTION("IF(ISNA(sum(filter(
Master_Mapping_Sheet!$E$2:$E$3143, ISNUMBER(
Master_Mapping_Sheet!$E$2:$E$3143),
Master_Mapping_Sheet!$H$2:$H$3143=X$1,
Master_Mapping_Sheet!$B$2:$B$3143=$A20))/sum(filter(
Master_Mapping_Sheet!$E$2:$E$3143, ISNUMBER(
Master_Mapping_Sh"&amp;"eet!$E$2:$E$3143),
Master_Mapping_Sheet!$H$2:$H$3143=X$1))), 0, sum(filter(
Master_Mapping_Sheet!$E$2:$E$3143, ISNUMBER(
Master_Mapping_Sheet!$E$2:$E$3143),
Master_Mapping_Sheet!$H$2:$H$3143=X$1,
Master_Mapping_Sheet!$B$2:$B$3143=$A20))/sum(filter(
Master"&amp;"_Mapping_Sheet!$E$2:$E$3143, ISNUMBER(
Master_Mapping_Sheet!$E$2:$E$3143),
Master_Mapping_Sheet!$H$2:$H$3143=X$1)))"),0.0)</f>
        <v>0</v>
      </c>
      <c r="Y20" s="34">
        <f>IFERROR(__xludf.DUMMYFUNCTION("IF(ISNA(sum(filter(
Master_Mapping_Sheet!$E$2:$E$3143, ISNUMBER(
Master_Mapping_Sheet!$E$2:$E$3143),
Master_Mapping_Sheet!$H$2:$H$3143=Y$1,
Master_Mapping_Sheet!$B$2:$B$3143=$A20))/sum(filter(
Master_Mapping_Sheet!$E$2:$E$3143, ISNUMBER(
Master_Mapping_Sh"&amp;"eet!$E$2:$E$3143),
Master_Mapping_Sheet!$H$2:$H$3143=Y$1))), 0, sum(filter(
Master_Mapping_Sheet!$E$2:$E$3143, ISNUMBER(
Master_Mapping_Sheet!$E$2:$E$3143),
Master_Mapping_Sheet!$H$2:$H$3143=Y$1,
Master_Mapping_Sheet!$B$2:$B$3143=$A20))/sum(filter(
Master"&amp;"_Mapping_Sheet!$E$2:$E$3143, ISNUMBER(
Master_Mapping_Sheet!$E$2:$E$3143),
Master_Mapping_Sheet!$H$2:$H$3143=Y$1)))"),0.0)</f>
        <v>0</v>
      </c>
      <c r="Z20" s="34">
        <f>IFERROR(__xludf.DUMMYFUNCTION("IF(ISNA(sum(filter(
Master_Mapping_Sheet!$E$2:$E$3143, ISNUMBER(
Master_Mapping_Sheet!$E$2:$E$3143),
Master_Mapping_Sheet!$H$2:$H$3143=Z$1,
Master_Mapping_Sheet!$B$2:$B$3143=$A20))/sum(filter(
Master_Mapping_Sheet!$E$2:$E$3143, ISNUMBER(
Master_Mapping_Sh"&amp;"eet!$E$2:$E$3143),
Master_Mapping_Sheet!$H$2:$H$3143=Z$1))), 0, sum(filter(
Master_Mapping_Sheet!$E$2:$E$3143, ISNUMBER(
Master_Mapping_Sheet!$E$2:$E$3143),
Master_Mapping_Sheet!$H$2:$H$3143=Z$1,
Master_Mapping_Sheet!$B$2:$B$3143=$A20))/sum(filter(
Master"&amp;"_Mapping_Sheet!$E$2:$E$3143, ISNUMBER(
Master_Mapping_Sheet!$E$2:$E$3143),
Master_Mapping_Sheet!$H$2:$H$3143=Z$1)))"),0.0)</f>
        <v>0</v>
      </c>
      <c r="AA20" s="34">
        <f>IFERROR(__xludf.DUMMYFUNCTION("IF(ISNA(sum(filter(
Master_Mapping_Sheet!$E$2:$E$3143, ISNUMBER(
Master_Mapping_Sheet!$E$2:$E$3143),
Master_Mapping_Sheet!$H$2:$H$3143=AA$1,
Master_Mapping_Sheet!$B$2:$B$3143=$A20))/sum(filter(
Master_Mapping_Sheet!$E$2:$E$3143, ISNUMBER(
Master_Mapping_S"&amp;"heet!$E$2:$E$3143),
Master_Mapping_Sheet!$H$2:$H$3143=AA$1))), 0, sum(filter(
Master_Mapping_Sheet!$E$2:$E$3143, ISNUMBER(
Master_Mapping_Sheet!$E$2:$E$3143),
Master_Mapping_Sheet!$H$2:$H$3143=AA$1,
Master_Mapping_Sheet!$B$2:$B$3143=$A20))/sum(filter(
Mas"&amp;"ter_Mapping_Sheet!$E$2:$E$3143, ISNUMBER(
Master_Mapping_Sheet!$E$2:$E$3143),
Master_Mapping_Sheet!$H$2:$H$3143=AA$1)))"),0.0)</f>
        <v>0</v>
      </c>
    </row>
    <row r="21" ht="15.75" customHeight="1">
      <c r="A21" s="34" t="s">
        <v>923</v>
      </c>
      <c r="B21" s="34" t="s">
        <v>2790</v>
      </c>
      <c r="C21" s="34">
        <f>IFERROR(__xludf.DUMMYFUNCTION("IF(ISNA(sum(filter(
Master_Mapping_Sheet!$E$2:$E$3143, ISNUMBER(
Master_Mapping_Sheet!$E$2:$E$3143),
Master_Mapping_Sheet!$H$2:$H$3143=C$1,
Master_Mapping_Sheet!$B$2:$B$3143=$A21))/sum(filter(
Master_Mapping_Sheet!$E$2:$E$3143, ISNUMBER(
Master_Mapping_Sh"&amp;"eet!$E$2:$E$3143),
Master_Mapping_Sheet!$H$2:$H$3143=C$1))), 0, sum(filter(
Master_Mapping_Sheet!$E$2:$E$3143, ISNUMBER(
Master_Mapping_Sheet!$E$2:$E$3143),
Master_Mapping_Sheet!$H$2:$H$3143=C$1,
Master_Mapping_Sheet!$B$2:$B$3143=$A21))/sum(filter(
Master"&amp;"_Mapping_Sheet!$E$2:$E$3143, ISNUMBER(
Master_Mapping_Sheet!$E$2:$E$3143),
Master_Mapping_Sheet!$H$2:$H$3143=C$1)))"),0.0)</f>
        <v>0</v>
      </c>
      <c r="D21" s="34">
        <f>IFERROR(__xludf.DUMMYFUNCTION("IF(ISNA(sum(filter(
Master_Mapping_Sheet!$E$2:$E$3143, ISNUMBER(
Master_Mapping_Sheet!$E$2:$E$3143),
Master_Mapping_Sheet!$H$2:$H$3143=D$1,
Master_Mapping_Sheet!$B$2:$B$3143=$A21))/sum(filter(
Master_Mapping_Sheet!$E$2:$E$3143, ISNUMBER(
Master_Mapping_Sh"&amp;"eet!$E$2:$E$3143),
Master_Mapping_Sheet!$H$2:$H$3143=D$1))), 0, sum(filter(
Master_Mapping_Sheet!$E$2:$E$3143, ISNUMBER(
Master_Mapping_Sheet!$E$2:$E$3143),
Master_Mapping_Sheet!$H$2:$H$3143=D$1,
Master_Mapping_Sheet!$B$2:$B$3143=$A21))/sum(filter(
Master"&amp;"_Mapping_Sheet!$E$2:$E$3143, ISNUMBER(
Master_Mapping_Sheet!$E$2:$E$3143),
Master_Mapping_Sheet!$H$2:$H$3143=D$1)))"),0.0)</f>
        <v>0</v>
      </c>
      <c r="E21" s="32">
        <f>IFERROR(__xludf.DUMMYFUNCTION("IF(ISNA(sum(filter(
Master_Mapping_Sheet!$E$2:$E$3143, ISNUMBER(
Master_Mapping_Sheet!$E$2:$E$3143),
Master_Mapping_Sheet!$H$2:$H$3143=E$1,
Master_Mapping_Sheet!$B$2:$B$3143=$A21))/sum(filter(
Master_Mapping_Sheet!$E$2:$E$3143, ISNUMBER(
Master_Mapping_Sh"&amp;"eet!$E$2:$E$3143),
Master_Mapping_Sheet!$H$2:$H$3143=E$1))), 0, sum(filter(
Master_Mapping_Sheet!$E$2:$E$3143, ISNUMBER(
Master_Mapping_Sheet!$E$2:$E$3143),
Master_Mapping_Sheet!$H$2:$H$3143=E$1,
Master_Mapping_Sheet!$B$2:$B$3143=$A21))/sum(filter(
Master"&amp;"_Mapping_Sheet!$E$2:$E$3143, ISNUMBER(
Master_Mapping_Sheet!$E$2:$E$3143),
Master_Mapping_Sheet!$H$2:$H$3143=E$1)))"),0.0)</f>
        <v>0</v>
      </c>
      <c r="F21" s="34">
        <f>IFERROR(__xludf.DUMMYFUNCTION("IF(ISNA(sum(filter(
Master_Mapping_Sheet!$E$2:$E$3143, ISNUMBER(
Master_Mapping_Sheet!$E$2:$E$3143),
Master_Mapping_Sheet!$H$2:$H$3143=F$1,
Master_Mapping_Sheet!$B$2:$B$3143=$A21))/sum(filter(
Master_Mapping_Sheet!$E$2:$E$3143, ISNUMBER(
Master_Mapping_Sh"&amp;"eet!$E$2:$E$3143),
Master_Mapping_Sheet!$H$2:$H$3143=F$1))), 0, sum(filter(
Master_Mapping_Sheet!$E$2:$E$3143, ISNUMBER(
Master_Mapping_Sheet!$E$2:$E$3143),
Master_Mapping_Sheet!$H$2:$H$3143=F$1,
Master_Mapping_Sheet!$B$2:$B$3143=$A21))/sum(filter(
Master"&amp;"_Mapping_Sheet!$E$2:$E$3143, ISNUMBER(
Master_Mapping_Sheet!$E$2:$E$3143),
Master_Mapping_Sheet!$H$2:$H$3143=F$1)))"),0.0)</f>
        <v>0</v>
      </c>
      <c r="G21" s="34">
        <f>IFERROR(__xludf.DUMMYFUNCTION("IF(ISNA(sum(filter(
Master_Mapping_Sheet!$E$2:$E$3143, ISNUMBER(
Master_Mapping_Sheet!$E$2:$E$3143),
Master_Mapping_Sheet!$H$2:$H$3143=G$1,
Master_Mapping_Sheet!$B$2:$B$3143=$A21))/sum(filter(
Master_Mapping_Sheet!$E$2:$E$3143, ISNUMBER(
Master_Mapping_Sh"&amp;"eet!$E$2:$E$3143),
Master_Mapping_Sheet!$H$2:$H$3143=G$1))), 0, sum(filter(
Master_Mapping_Sheet!$E$2:$E$3143, ISNUMBER(
Master_Mapping_Sheet!$E$2:$E$3143),
Master_Mapping_Sheet!$H$2:$H$3143=G$1,
Master_Mapping_Sheet!$B$2:$B$3143=$A21))/sum(filter(
Master"&amp;"_Mapping_Sheet!$E$2:$E$3143, ISNUMBER(
Master_Mapping_Sheet!$E$2:$E$3143),
Master_Mapping_Sheet!$H$2:$H$3143=G$1)))"),0.0)</f>
        <v>0</v>
      </c>
      <c r="H21" s="34">
        <f>IFERROR(__xludf.DUMMYFUNCTION("IF(ISNA(sum(filter(
Master_Mapping_Sheet!$E$2:$E$3143, ISNUMBER(
Master_Mapping_Sheet!$E$2:$E$3143),
Master_Mapping_Sheet!$H$2:$H$3143=H$1,
Master_Mapping_Sheet!$B$2:$B$3143=$A21))/sum(filter(
Master_Mapping_Sheet!$E$2:$E$3143, ISNUMBER(
Master_Mapping_Sh"&amp;"eet!$E$2:$E$3143),
Master_Mapping_Sheet!$H$2:$H$3143=H$1))), 0, sum(filter(
Master_Mapping_Sheet!$E$2:$E$3143, ISNUMBER(
Master_Mapping_Sheet!$E$2:$E$3143),
Master_Mapping_Sheet!$H$2:$H$3143=H$1,
Master_Mapping_Sheet!$B$2:$B$3143=$A21))/sum(filter(
Master"&amp;"_Mapping_Sheet!$E$2:$E$3143, ISNUMBER(
Master_Mapping_Sheet!$E$2:$E$3143),
Master_Mapping_Sheet!$H$2:$H$3143=H$1)))"),0.0)</f>
        <v>0</v>
      </c>
      <c r="I21" s="34">
        <f>IFERROR(__xludf.DUMMYFUNCTION("IF(ISNA(sum(filter(
Master_Mapping_Sheet!$E$2:$E$3143, ISNUMBER(
Master_Mapping_Sheet!$E$2:$E$3143),
Master_Mapping_Sheet!$H$2:$H$3143=I$1,
Master_Mapping_Sheet!$B$2:$B$3143=$A21))/sum(filter(
Master_Mapping_Sheet!$E$2:$E$3143, ISNUMBER(
Master_Mapping_Sh"&amp;"eet!$E$2:$E$3143),
Master_Mapping_Sheet!$H$2:$H$3143=I$1))), 0, sum(filter(
Master_Mapping_Sheet!$E$2:$E$3143, ISNUMBER(
Master_Mapping_Sheet!$E$2:$E$3143),
Master_Mapping_Sheet!$H$2:$H$3143=I$1,
Master_Mapping_Sheet!$B$2:$B$3143=$A21))/sum(filter(
Master"&amp;"_Mapping_Sheet!$E$2:$E$3143, ISNUMBER(
Master_Mapping_Sheet!$E$2:$E$3143),
Master_Mapping_Sheet!$H$2:$H$3143=I$1)))"),0.09213571336389072)</f>
        <v>0.09213571336</v>
      </c>
      <c r="J21" s="34">
        <f>IFERROR(__xludf.DUMMYFUNCTION("IF(ISNA(sum(filter(
Master_Mapping_Sheet!$E$2:$E$3143, ISNUMBER(
Master_Mapping_Sheet!$E$2:$E$3143),
Master_Mapping_Sheet!$H$2:$H$3143=J$1,
Master_Mapping_Sheet!$B$2:$B$3143=$A21))/sum(filter(
Master_Mapping_Sheet!$E$2:$E$3143, ISNUMBER(
Master_Mapping_Sh"&amp;"eet!$E$2:$E$3143),
Master_Mapping_Sheet!$H$2:$H$3143=J$1))), 0, sum(filter(
Master_Mapping_Sheet!$E$2:$E$3143, ISNUMBER(
Master_Mapping_Sheet!$E$2:$E$3143),
Master_Mapping_Sheet!$H$2:$H$3143=J$1,
Master_Mapping_Sheet!$B$2:$B$3143=$A21))/sum(filter(
Master"&amp;"_Mapping_Sheet!$E$2:$E$3143, ISNUMBER(
Master_Mapping_Sheet!$E$2:$E$3143),
Master_Mapping_Sheet!$H$2:$H$3143=J$1)))"),0.0)</f>
        <v>0</v>
      </c>
      <c r="K21" s="34">
        <f>IFERROR(__xludf.DUMMYFUNCTION("IF(ISNA(sum(filter(
Master_Mapping_Sheet!$E$2:$E$3143, ISNUMBER(
Master_Mapping_Sheet!$E$2:$E$3143),
Master_Mapping_Sheet!$H$2:$H$3143=K$1,
Master_Mapping_Sheet!$B$2:$B$3143=$A21))/sum(filter(
Master_Mapping_Sheet!$E$2:$E$3143, ISNUMBER(
Master_Mapping_Sh"&amp;"eet!$E$2:$E$3143),
Master_Mapping_Sheet!$H$2:$H$3143=K$1))), 0, sum(filter(
Master_Mapping_Sheet!$E$2:$E$3143, ISNUMBER(
Master_Mapping_Sheet!$E$2:$E$3143),
Master_Mapping_Sheet!$H$2:$H$3143=K$1,
Master_Mapping_Sheet!$B$2:$B$3143=$A21))/sum(filter(
Master"&amp;"_Mapping_Sheet!$E$2:$E$3143, ISNUMBER(
Master_Mapping_Sheet!$E$2:$E$3143),
Master_Mapping_Sheet!$H$2:$H$3143=K$1)))"),0.0)</f>
        <v>0</v>
      </c>
      <c r="L21" s="34">
        <f>IFERROR(__xludf.DUMMYFUNCTION("IF(ISNA(sum(filter(
Master_Mapping_Sheet!$E$2:$E$3143, ISNUMBER(
Master_Mapping_Sheet!$E$2:$E$3143),
Master_Mapping_Sheet!$H$2:$H$3143=L$1,
Master_Mapping_Sheet!$B$2:$B$3143=$A21))/sum(filter(
Master_Mapping_Sheet!$E$2:$E$3143, ISNUMBER(
Master_Mapping_Sh"&amp;"eet!$E$2:$E$3143),
Master_Mapping_Sheet!$H$2:$H$3143=L$1))), 0, sum(filter(
Master_Mapping_Sheet!$E$2:$E$3143, ISNUMBER(
Master_Mapping_Sheet!$E$2:$E$3143),
Master_Mapping_Sheet!$H$2:$H$3143=L$1,
Master_Mapping_Sheet!$B$2:$B$3143=$A21))/sum(filter(
Master"&amp;"_Mapping_Sheet!$E$2:$E$3143, ISNUMBER(
Master_Mapping_Sheet!$E$2:$E$3143),
Master_Mapping_Sheet!$H$2:$H$3143=L$1)))"),0.0)</f>
        <v>0</v>
      </c>
      <c r="M21" s="34">
        <f>IFERROR(__xludf.DUMMYFUNCTION("IF(ISNA(sum(filter(
Master_Mapping_Sheet!$E$2:$E$3143, ISNUMBER(
Master_Mapping_Sheet!$E$2:$E$3143),
Master_Mapping_Sheet!$H$2:$H$3143=M$1,
Master_Mapping_Sheet!$B$2:$B$3143=$A21))/sum(filter(
Master_Mapping_Sheet!$E$2:$E$3143, ISNUMBER(
Master_Mapping_Sh"&amp;"eet!$E$2:$E$3143),
Master_Mapping_Sheet!$H$2:$H$3143=M$1))), 0, sum(filter(
Master_Mapping_Sheet!$E$2:$E$3143, ISNUMBER(
Master_Mapping_Sheet!$E$2:$E$3143),
Master_Mapping_Sheet!$H$2:$H$3143=M$1,
Master_Mapping_Sheet!$B$2:$B$3143=$A21))/sum(filter(
Master"&amp;"_Mapping_Sheet!$E$2:$E$3143, ISNUMBER(
Master_Mapping_Sheet!$E$2:$E$3143),
Master_Mapping_Sheet!$H$2:$H$3143=M$1)))"),0.0)</f>
        <v>0</v>
      </c>
      <c r="N21" s="34">
        <f>IFERROR(__xludf.DUMMYFUNCTION("IF(ISNA(sum(filter(
Master_Mapping_Sheet!$E$2:$E$3143, ISNUMBER(
Master_Mapping_Sheet!$E$2:$E$3143),
Master_Mapping_Sheet!$H$2:$H$3143=N$1,
Master_Mapping_Sheet!$B$2:$B$3143=$A21))/sum(filter(
Master_Mapping_Sheet!$E$2:$E$3143, ISNUMBER(
Master_Mapping_Sh"&amp;"eet!$E$2:$E$3143),
Master_Mapping_Sheet!$H$2:$H$3143=N$1))), 0, sum(filter(
Master_Mapping_Sheet!$E$2:$E$3143, ISNUMBER(
Master_Mapping_Sheet!$E$2:$E$3143),
Master_Mapping_Sheet!$H$2:$H$3143=N$1,
Master_Mapping_Sheet!$B$2:$B$3143=$A21))/sum(filter(
Master"&amp;"_Mapping_Sheet!$E$2:$E$3143, ISNUMBER(
Master_Mapping_Sheet!$E$2:$E$3143),
Master_Mapping_Sheet!$H$2:$H$3143=N$1)))"),0.0)</f>
        <v>0</v>
      </c>
      <c r="O21" s="34">
        <f>IFERROR(__xludf.DUMMYFUNCTION("IF(ISNA(sum(filter(
Master_Mapping_Sheet!$E$2:$E$3143, ISNUMBER(
Master_Mapping_Sheet!$E$2:$E$3143),
Master_Mapping_Sheet!$H$2:$H$3143=O$1,
Master_Mapping_Sheet!$B$2:$B$3143=$A21))/sum(filter(
Master_Mapping_Sheet!$E$2:$E$3143, ISNUMBER(
Master_Mapping_Sh"&amp;"eet!$E$2:$E$3143),
Master_Mapping_Sheet!$H$2:$H$3143=O$1))), 0, sum(filter(
Master_Mapping_Sheet!$E$2:$E$3143, ISNUMBER(
Master_Mapping_Sheet!$E$2:$E$3143),
Master_Mapping_Sheet!$H$2:$H$3143=O$1,
Master_Mapping_Sheet!$B$2:$B$3143=$A21))/sum(filter(
Master"&amp;"_Mapping_Sheet!$E$2:$E$3143, ISNUMBER(
Master_Mapping_Sheet!$E$2:$E$3143),
Master_Mapping_Sheet!$H$2:$H$3143=O$1)))"),0.0)</f>
        <v>0</v>
      </c>
      <c r="P21" s="34">
        <f>IFERROR(__xludf.DUMMYFUNCTION("IF(ISNA(sum(filter(
Master_Mapping_Sheet!$E$2:$E$3143, ISNUMBER(
Master_Mapping_Sheet!$E$2:$E$3143),
Master_Mapping_Sheet!$H$2:$H$3143=P$1,
Master_Mapping_Sheet!$B$2:$B$3143=$A21))/sum(filter(
Master_Mapping_Sheet!$E$2:$E$3143, ISNUMBER(
Master_Mapping_Sh"&amp;"eet!$E$2:$E$3143),
Master_Mapping_Sheet!$H$2:$H$3143=P$1))), 0, sum(filter(
Master_Mapping_Sheet!$E$2:$E$3143, ISNUMBER(
Master_Mapping_Sheet!$E$2:$E$3143),
Master_Mapping_Sheet!$H$2:$H$3143=P$1,
Master_Mapping_Sheet!$B$2:$B$3143=$A21))/sum(filter(
Master"&amp;"_Mapping_Sheet!$E$2:$E$3143, ISNUMBER(
Master_Mapping_Sheet!$E$2:$E$3143),
Master_Mapping_Sheet!$H$2:$H$3143=P$1)))"),0.0)</f>
        <v>0</v>
      </c>
      <c r="Q21" s="34">
        <f>IFERROR(__xludf.DUMMYFUNCTION("IF(ISNA(sum(filter(
Master_Mapping_Sheet!$E$2:$E$3143, ISNUMBER(
Master_Mapping_Sheet!$E$2:$E$3143),
Master_Mapping_Sheet!$H$2:$H$3143=Q$1,
Master_Mapping_Sheet!$B$2:$B$3143=$A21))/sum(filter(
Master_Mapping_Sheet!$E$2:$E$3143, ISNUMBER(
Master_Mapping_Sh"&amp;"eet!$E$2:$E$3143),
Master_Mapping_Sheet!$H$2:$H$3143=Q$1))), 0, sum(filter(
Master_Mapping_Sheet!$E$2:$E$3143, ISNUMBER(
Master_Mapping_Sheet!$E$2:$E$3143),
Master_Mapping_Sheet!$H$2:$H$3143=Q$1,
Master_Mapping_Sheet!$B$2:$B$3143=$A21))/sum(filter(
Master"&amp;"_Mapping_Sheet!$E$2:$E$3143, ISNUMBER(
Master_Mapping_Sheet!$E$2:$E$3143),
Master_Mapping_Sheet!$H$2:$H$3143=Q$1)))"),0.0)</f>
        <v>0</v>
      </c>
      <c r="R21" s="34">
        <f>IFERROR(__xludf.DUMMYFUNCTION("IF(ISNA(sum(filter(
Master_Mapping_Sheet!$E$2:$E$3143, ISNUMBER(
Master_Mapping_Sheet!$E$2:$E$3143),
Master_Mapping_Sheet!$H$2:$H$3143=R$1,
Master_Mapping_Sheet!$B$2:$B$3143=$A21))/sum(filter(
Master_Mapping_Sheet!$E$2:$E$3143, ISNUMBER(
Master_Mapping_Sh"&amp;"eet!$E$2:$E$3143),
Master_Mapping_Sheet!$H$2:$H$3143=R$1))), 0, sum(filter(
Master_Mapping_Sheet!$E$2:$E$3143, ISNUMBER(
Master_Mapping_Sheet!$E$2:$E$3143),
Master_Mapping_Sheet!$H$2:$H$3143=R$1,
Master_Mapping_Sheet!$B$2:$B$3143=$A21))/sum(filter(
Master"&amp;"_Mapping_Sheet!$E$2:$E$3143, ISNUMBER(
Master_Mapping_Sheet!$E$2:$E$3143),
Master_Mapping_Sheet!$H$2:$H$3143=R$1)))"),0.0)</f>
        <v>0</v>
      </c>
      <c r="S21" s="34">
        <f>IFERROR(__xludf.DUMMYFUNCTION("IF(ISNA(sum(filter(
Master_Mapping_Sheet!$E$2:$E$3143, ISNUMBER(
Master_Mapping_Sheet!$E$2:$E$3143),
Master_Mapping_Sheet!$H$2:$H$3143=S$1,
Master_Mapping_Sheet!$B$2:$B$3143=$A21))/sum(filter(
Master_Mapping_Sheet!$E$2:$E$3143, ISNUMBER(
Master_Mapping_Sh"&amp;"eet!$E$2:$E$3143),
Master_Mapping_Sheet!$H$2:$H$3143=S$1))), 0, sum(filter(
Master_Mapping_Sheet!$E$2:$E$3143, ISNUMBER(
Master_Mapping_Sheet!$E$2:$E$3143),
Master_Mapping_Sheet!$H$2:$H$3143=S$1,
Master_Mapping_Sheet!$B$2:$B$3143=$A21))/sum(filter(
Master"&amp;"_Mapping_Sheet!$E$2:$E$3143, ISNUMBER(
Master_Mapping_Sheet!$E$2:$E$3143),
Master_Mapping_Sheet!$H$2:$H$3143=S$1)))"),0.0)</f>
        <v>0</v>
      </c>
      <c r="T21" s="34">
        <f>IFERROR(__xludf.DUMMYFUNCTION("IF(ISNA(sum(filter(
Master_Mapping_Sheet!$E$2:$E$3143, ISNUMBER(
Master_Mapping_Sheet!$E$2:$E$3143),
Master_Mapping_Sheet!$H$2:$H$3143=T$1,
Master_Mapping_Sheet!$B$2:$B$3143=$A21))/sum(filter(
Master_Mapping_Sheet!$E$2:$E$3143, ISNUMBER(
Master_Mapping_Sh"&amp;"eet!$E$2:$E$3143),
Master_Mapping_Sheet!$H$2:$H$3143=T$1))), 0, sum(filter(
Master_Mapping_Sheet!$E$2:$E$3143, ISNUMBER(
Master_Mapping_Sheet!$E$2:$E$3143),
Master_Mapping_Sheet!$H$2:$H$3143=T$1,
Master_Mapping_Sheet!$B$2:$B$3143=$A21))/sum(filter(
Master"&amp;"_Mapping_Sheet!$E$2:$E$3143, ISNUMBER(
Master_Mapping_Sheet!$E$2:$E$3143),
Master_Mapping_Sheet!$H$2:$H$3143=T$1)))"),0.0)</f>
        <v>0</v>
      </c>
      <c r="U21" s="34">
        <f>IFERROR(__xludf.DUMMYFUNCTION("IF(ISNA(sum(filter(
Master_Mapping_Sheet!$E$2:$E$3143, ISNUMBER(
Master_Mapping_Sheet!$E$2:$E$3143),
Master_Mapping_Sheet!$H$2:$H$3143=U$1,
Master_Mapping_Sheet!$B$2:$B$3143=$A21))/sum(filter(
Master_Mapping_Sheet!$E$2:$E$3143, ISNUMBER(
Master_Mapping_Sh"&amp;"eet!$E$2:$E$3143),
Master_Mapping_Sheet!$H$2:$H$3143=U$1))), 0, sum(filter(
Master_Mapping_Sheet!$E$2:$E$3143, ISNUMBER(
Master_Mapping_Sheet!$E$2:$E$3143),
Master_Mapping_Sheet!$H$2:$H$3143=U$1,
Master_Mapping_Sheet!$B$2:$B$3143=$A21))/sum(filter(
Master"&amp;"_Mapping_Sheet!$E$2:$E$3143, ISNUMBER(
Master_Mapping_Sheet!$E$2:$E$3143),
Master_Mapping_Sheet!$H$2:$H$3143=U$1)))"),0.0)</f>
        <v>0</v>
      </c>
      <c r="V21" s="34">
        <f>IFERROR(__xludf.DUMMYFUNCTION("IF(ISNA(sum(filter(
Master_Mapping_Sheet!$E$2:$E$3143, ISNUMBER(
Master_Mapping_Sheet!$E$2:$E$3143),
Master_Mapping_Sheet!$H$2:$H$3143=V$1,
Master_Mapping_Sheet!$B$2:$B$3143=$A21))/sum(filter(
Master_Mapping_Sheet!$E$2:$E$3143, ISNUMBER(
Master_Mapping_Sh"&amp;"eet!$E$2:$E$3143),
Master_Mapping_Sheet!$H$2:$H$3143=V$1))), 0, sum(filter(
Master_Mapping_Sheet!$E$2:$E$3143, ISNUMBER(
Master_Mapping_Sheet!$E$2:$E$3143),
Master_Mapping_Sheet!$H$2:$H$3143=V$1,
Master_Mapping_Sheet!$B$2:$B$3143=$A21))/sum(filter(
Master"&amp;"_Mapping_Sheet!$E$2:$E$3143, ISNUMBER(
Master_Mapping_Sheet!$E$2:$E$3143),
Master_Mapping_Sheet!$H$2:$H$3143=V$1)))"),0.0)</f>
        <v>0</v>
      </c>
      <c r="W21" s="34">
        <f>IFERROR(__xludf.DUMMYFUNCTION("IF(ISNA(sum(filter(
Master_Mapping_Sheet!$E$2:$E$3143, ISNUMBER(
Master_Mapping_Sheet!$E$2:$E$3143),
Master_Mapping_Sheet!$H$2:$H$3143=W$1,
Master_Mapping_Sheet!$B$2:$B$3143=$A21))/sum(filter(
Master_Mapping_Sheet!$E$2:$E$3143, ISNUMBER(
Master_Mapping_Sh"&amp;"eet!$E$2:$E$3143),
Master_Mapping_Sheet!$H$2:$H$3143=W$1))), 0, sum(filter(
Master_Mapping_Sheet!$E$2:$E$3143, ISNUMBER(
Master_Mapping_Sheet!$E$2:$E$3143),
Master_Mapping_Sheet!$H$2:$H$3143=W$1,
Master_Mapping_Sheet!$B$2:$B$3143=$A21))/sum(filter(
Master"&amp;"_Mapping_Sheet!$E$2:$E$3143, ISNUMBER(
Master_Mapping_Sheet!$E$2:$E$3143),
Master_Mapping_Sheet!$H$2:$H$3143=W$1)))"),0.0)</f>
        <v>0</v>
      </c>
      <c r="X21" s="34">
        <f>IFERROR(__xludf.DUMMYFUNCTION("IF(ISNA(sum(filter(
Master_Mapping_Sheet!$E$2:$E$3143, ISNUMBER(
Master_Mapping_Sheet!$E$2:$E$3143),
Master_Mapping_Sheet!$H$2:$H$3143=X$1,
Master_Mapping_Sheet!$B$2:$B$3143=$A21))/sum(filter(
Master_Mapping_Sheet!$E$2:$E$3143, ISNUMBER(
Master_Mapping_Sh"&amp;"eet!$E$2:$E$3143),
Master_Mapping_Sheet!$H$2:$H$3143=X$1))), 0, sum(filter(
Master_Mapping_Sheet!$E$2:$E$3143, ISNUMBER(
Master_Mapping_Sheet!$E$2:$E$3143),
Master_Mapping_Sheet!$H$2:$H$3143=X$1,
Master_Mapping_Sheet!$B$2:$B$3143=$A21))/sum(filter(
Master"&amp;"_Mapping_Sheet!$E$2:$E$3143, ISNUMBER(
Master_Mapping_Sheet!$E$2:$E$3143),
Master_Mapping_Sheet!$H$2:$H$3143=X$1)))"),0.0)</f>
        <v>0</v>
      </c>
      <c r="Y21" s="34">
        <f>IFERROR(__xludf.DUMMYFUNCTION("IF(ISNA(sum(filter(
Master_Mapping_Sheet!$E$2:$E$3143, ISNUMBER(
Master_Mapping_Sheet!$E$2:$E$3143),
Master_Mapping_Sheet!$H$2:$H$3143=Y$1,
Master_Mapping_Sheet!$B$2:$B$3143=$A21))/sum(filter(
Master_Mapping_Sheet!$E$2:$E$3143, ISNUMBER(
Master_Mapping_Sh"&amp;"eet!$E$2:$E$3143),
Master_Mapping_Sheet!$H$2:$H$3143=Y$1))), 0, sum(filter(
Master_Mapping_Sheet!$E$2:$E$3143, ISNUMBER(
Master_Mapping_Sheet!$E$2:$E$3143),
Master_Mapping_Sheet!$H$2:$H$3143=Y$1,
Master_Mapping_Sheet!$B$2:$B$3143=$A21))/sum(filter(
Master"&amp;"_Mapping_Sheet!$E$2:$E$3143, ISNUMBER(
Master_Mapping_Sheet!$E$2:$E$3143),
Master_Mapping_Sheet!$H$2:$H$3143=Y$1)))"),0.0)</f>
        <v>0</v>
      </c>
      <c r="Z21" s="34">
        <f>IFERROR(__xludf.DUMMYFUNCTION("IF(ISNA(sum(filter(
Master_Mapping_Sheet!$E$2:$E$3143, ISNUMBER(
Master_Mapping_Sheet!$E$2:$E$3143),
Master_Mapping_Sheet!$H$2:$H$3143=Z$1,
Master_Mapping_Sheet!$B$2:$B$3143=$A21))/sum(filter(
Master_Mapping_Sheet!$E$2:$E$3143, ISNUMBER(
Master_Mapping_Sh"&amp;"eet!$E$2:$E$3143),
Master_Mapping_Sheet!$H$2:$H$3143=Z$1))), 0, sum(filter(
Master_Mapping_Sheet!$E$2:$E$3143, ISNUMBER(
Master_Mapping_Sheet!$E$2:$E$3143),
Master_Mapping_Sheet!$H$2:$H$3143=Z$1,
Master_Mapping_Sheet!$B$2:$B$3143=$A21))/sum(filter(
Master"&amp;"_Mapping_Sheet!$E$2:$E$3143, ISNUMBER(
Master_Mapping_Sheet!$E$2:$E$3143),
Master_Mapping_Sheet!$H$2:$H$3143=Z$1)))"),0.0)</f>
        <v>0</v>
      </c>
      <c r="AA21" s="34">
        <f>IFERROR(__xludf.DUMMYFUNCTION("IF(ISNA(sum(filter(
Master_Mapping_Sheet!$E$2:$E$3143, ISNUMBER(
Master_Mapping_Sheet!$E$2:$E$3143),
Master_Mapping_Sheet!$H$2:$H$3143=AA$1,
Master_Mapping_Sheet!$B$2:$B$3143=$A21))/sum(filter(
Master_Mapping_Sheet!$E$2:$E$3143, ISNUMBER(
Master_Mapping_S"&amp;"heet!$E$2:$E$3143),
Master_Mapping_Sheet!$H$2:$H$3143=AA$1))), 0, sum(filter(
Master_Mapping_Sheet!$E$2:$E$3143, ISNUMBER(
Master_Mapping_Sheet!$E$2:$E$3143),
Master_Mapping_Sheet!$H$2:$H$3143=AA$1,
Master_Mapping_Sheet!$B$2:$B$3143=$A21))/sum(filter(
Mas"&amp;"ter_Mapping_Sheet!$E$2:$E$3143, ISNUMBER(
Master_Mapping_Sheet!$E$2:$E$3143),
Master_Mapping_Sheet!$H$2:$H$3143=AA$1)))"),0.0)</f>
        <v>0</v>
      </c>
    </row>
    <row r="22" ht="15.75" customHeight="1">
      <c r="A22" s="34" t="s">
        <v>934</v>
      </c>
      <c r="B22" s="34" t="s">
        <v>2801</v>
      </c>
      <c r="C22" s="34">
        <f>IFERROR(__xludf.DUMMYFUNCTION("IF(ISNA(sum(filter(
Master_Mapping_Sheet!$E$2:$E$3143, ISNUMBER(
Master_Mapping_Sheet!$E$2:$E$3143),
Master_Mapping_Sheet!$H$2:$H$3143=C$1,
Master_Mapping_Sheet!$B$2:$B$3143=$A22))/sum(filter(
Master_Mapping_Sheet!$E$2:$E$3143, ISNUMBER(
Master_Mapping_Sh"&amp;"eet!$E$2:$E$3143),
Master_Mapping_Sheet!$H$2:$H$3143=C$1))), 0, sum(filter(
Master_Mapping_Sheet!$E$2:$E$3143, ISNUMBER(
Master_Mapping_Sheet!$E$2:$E$3143),
Master_Mapping_Sheet!$H$2:$H$3143=C$1,
Master_Mapping_Sheet!$B$2:$B$3143=$A22))/sum(filter(
Master"&amp;"_Mapping_Sheet!$E$2:$E$3143, ISNUMBER(
Master_Mapping_Sheet!$E$2:$E$3143),
Master_Mapping_Sheet!$H$2:$H$3143=C$1)))"),0.0)</f>
        <v>0</v>
      </c>
      <c r="D22" s="34">
        <f>IFERROR(__xludf.DUMMYFUNCTION("IF(ISNA(sum(filter(
Master_Mapping_Sheet!$E$2:$E$3143, ISNUMBER(
Master_Mapping_Sheet!$E$2:$E$3143),
Master_Mapping_Sheet!$H$2:$H$3143=D$1,
Master_Mapping_Sheet!$B$2:$B$3143=$A22))/sum(filter(
Master_Mapping_Sheet!$E$2:$E$3143, ISNUMBER(
Master_Mapping_Sh"&amp;"eet!$E$2:$E$3143),
Master_Mapping_Sheet!$H$2:$H$3143=D$1))), 0, sum(filter(
Master_Mapping_Sheet!$E$2:$E$3143, ISNUMBER(
Master_Mapping_Sheet!$E$2:$E$3143),
Master_Mapping_Sheet!$H$2:$H$3143=D$1,
Master_Mapping_Sheet!$B$2:$B$3143=$A22))/sum(filter(
Master"&amp;"_Mapping_Sheet!$E$2:$E$3143, ISNUMBER(
Master_Mapping_Sheet!$E$2:$E$3143),
Master_Mapping_Sheet!$H$2:$H$3143=D$1)))"),0.0)</f>
        <v>0</v>
      </c>
      <c r="E22" s="32">
        <f>IFERROR(__xludf.DUMMYFUNCTION("IF(ISNA(sum(filter(
Master_Mapping_Sheet!$E$2:$E$3143, ISNUMBER(
Master_Mapping_Sheet!$E$2:$E$3143),
Master_Mapping_Sheet!$H$2:$H$3143=E$1,
Master_Mapping_Sheet!$B$2:$B$3143=$A22))/sum(filter(
Master_Mapping_Sheet!$E$2:$E$3143, ISNUMBER(
Master_Mapping_Sh"&amp;"eet!$E$2:$E$3143),
Master_Mapping_Sheet!$H$2:$H$3143=E$1))), 0, sum(filter(
Master_Mapping_Sheet!$E$2:$E$3143, ISNUMBER(
Master_Mapping_Sheet!$E$2:$E$3143),
Master_Mapping_Sheet!$H$2:$H$3143=E$1,
Master_Mapping_Sheet!$B$2:$B$3143=$A22))/sum(filter(
Master"&amp;"_Mapping_Sheet!$E$2:$E$3143, ISNUMBER(
Master_Mapping_Sheet!$E$2:$E$3143),
Master_Mapping_Sheet!$H$2:$H$3143=E$1)))"),0.0)</f>
        <v>0</v>
      </c>
      <c r="F22" s="34">
        <f>IFERROR(__xludf.DUMMYFUNCTION("IF(ISNA(sum(filter(
Master_Mapping_Sheet!$E$2:$E$3143, ISNUMBER(
Master_Mapping_Sheet!$E$2:$E$3143),
Master_Mapping_Sheet!$H$2:$H$3143=F$1,
Master_Mapping_Sheet!$B$2:$B$3143=$A22))/sum(filter(
Master_Mapping_Sheet!$E$2:$E$3143, ISNUMBER(
Master_Mapping_Sh"&amp;"eet!$E$2:$E$3143),
Master_Mapping_Sheet!$H$2:$H$3143=F$1))), 0, sum(filter(
Master_Mapping_Sheet!$E$2:$E$3143, ISNUMBER(
Master_Mapping_Sheet!$E$2:$E$3143),
Master_Mapping_Sheet!$H$2:$H$3143=F$1,
Master_Mapping_Sheet!$B$2:$B$3143=$A22))/sum(filter(
Master"&amp;"_Mapping_Sheet!$E$2:$E$3143, ISNUMBER(
Master_Mapping_Sheet!$E$2:$E$3143),
Master_Mapping_Sheet!$H$2:$H$3143=F$1)))"),0.0)</f>
        <v>0</v>
      </c>
      <c r="G22" s="34">
        <f>IFERROR(__xludf.DUMMYFUNCTION("IF(ISNA(sum(filter(
Master_Mapping_Sheet!$E$2:$E$3143, ISNUMBER(
Master_Mapping_Sheet!$E$2:$E$3143),
Master_Mapping_Sheet!$H$2:$H$3143=G$1,
Master_Mapping_Sheet!$B$2:$B$3143=$A22))/sum(filter(
Master_Mapping_Sheet!$E$2:$E$3143, ISNUMBER(
Master_Mapping_Sh"&amp;"eet!$E$2:$E$3143),
Master_Mapping_Sheet!$H$2:$H$3143=G$1))), 0, sum(filter(
Master_Mapping_Sheet!$E$2:$E$3143, ISNUMBER(
Master_Mapping_Sheet!$E$2:$E$3143),
Master_Mapping_Sheet!$H$2:$H$3143=G$1,
Master_Mapping_Sheet!$B$2:$B$3143=$A22))/sum(filter(
Master"&amp;"_Mapping_Sheet!$E$2:$E$3143, ISNUMBER(
Master_Mapping_Sheet!$E$2:$E$3143),
Master_Mapping_Sheet!$H$2:$H$3143=G$1)))"),0.0)</f>
        <v>0</v>
      </c>
      <c r="H22" s="34">
        <f>IFERROR(__xludf.DUMMYFUNCTION("IF(ISNA(sum(filter(
Master_Mapping_Sheet!$E$2:$E$3143, ISNUMBER(
Master_Mapping_Sheet!$E$2:$E$3143),
Master_Mapping_Sheet!$H$2:$H$3143=H$1,
Master_Mapping_Sheet!$B$2:$B$3143=$A22))/sum(filter(
Master_Mapping_Sheet!$E$2:$E$3143, ISNUMBER(
Master_Mapping_Sh"&amp;"eet!$E$2:$E$3143),
Master_Mapping_Sheet!$H$2:$H$3143=H$1))), 0, sum(filter(
Master_Mapping_Sheet!$E$2:$E$3143, ISNUMBER(
Master_Mapping_Sheet!$E$2:$E$3143),
Master_Mapping_Sheet!$H$2:$H$3143=H$1,
Master_Mapping_Sheet!$B$2:$B$3143=$A22))/sum(filter(
Master"&amp;"_Mapping_Sheet!$E$2:$E$3143, ISNUMBER(
Master_Mapping_Sheet!$E$2:$E$3143),
Master_Mapping_Sheet!$H$2:$H$3143=H$1)))"),0.0)</f>
        <v>0</v>
      </c>
      <c r="I22" s="34">
        <f>IFERROR(__xludf.DUMMYFUNCTION("IF(ISNA(sum(filter(
Master_Mapping_Sheet!$E$2:$E$3143, ISNUMBER(
Master_Mapping_Sheet!$E$2:$E$3143),
Master_Mapping_Sheet!$H$2:$H$3143=I$1,
Master_Mapping_Sheet!$B$2:$B$3143=$A22))/sum(filter(
Master_Mapping_Sheet!$E$2:$E$3143, ISNUMBER(
Master_Mapping_Sh"&amp;"eet!$E$2:$E$3143),
Master_Mapping_Sheet!$H$2:$H$3143=I$1))), 0, sum(filter(
Master_Mapping_Sheet!$E$2:$E$3143, ISNUMBER(
Master_Mapping_Sheet!$E$2:$E$3143),
Master_Mapping_Sheet!$H$2:$H$3143=I$1,
Master_Mapping_Sheet!$B$2:$B$3143=$A22))/sum(filter(
Master"&amp;"_Mapping_Sheet!$E$2:$E$3143, ISNUMBER(
Master_Mapping_Sheet!$E$2:$E$3143),
Master_Mapping_Sheet!$H$2:$H$3143=I$1)))"),0.0)</f>
        <v>0</v>
      </c>
      <c r="J22" s="34">
        <f>IFERROR(__xludf.DUMMYFUNCTION("IF(ISNA(sum(filter(
Master_Mapping_Sheet!$E$2:$E$3143, ISNUMBER(
Master_Mapping_Sheet!$E$2:$E$3143),
Master_Mapping_Sheet!$H$2:$H$3143=J$1,
Master_Mapping_Sheet!$B$2:$B$3143=$A22))/sum(filter(
Master_Mapping_Sheet!$E$2:$E$3143, ISNUMBER(
Master_Mapping_Sh"&amp;"eet!$E$2:$E$3143),
Master_Mapping_Sheet!$H$2:$H$3143=J$1))), 0, sum(filter(
Master_Mapping_Sheet!$E$2:$E$3143, ISNUMBER(
Master_Mapping_Sheet!$E$2:$E$3143),
Master_Mapping_Sheet!$H$2:$H$3143=J$1,
Master_Mapping_Sheet!$B$2:$B$3143=$A22))/sum(filter(
Master"&amp;"_Mapping_Sheet!$E$2:$E$3143, ISNUMBER(
Master_Mapping_Sheet!$E$2:$E$3143),
Master_Mapping_Sheet!$H$2:$H$3143=J$1)))"),0.0)</f>
        <v>0</v>
      </c>
      <c r="K22" s="34">
        <f>IFERROR(__xludf.DUMMYFUNCTION("IF(ISNA(sum(filter(
Master_Mapping_Sheet!$E$2:$E$3143, ISNUMBER(
Master_Mapping_Sheet!$E$2:$E$3143),
Master_Mapping_Sheet!$H$2:$H$3143=K$1,
Master_Mapping_Sheet!$B$2:$B$3143=$A22))/sum(filter(
Master_Mapping_Sheet!$E$2:$E$3143, ISNUMBER(
Master_Mapping_Sh"&amp;"eet!$E$2:$E$3143),
Master_Mapping_Sheet!$H$2:$H$3143=K$1))), 0, sum(filter(
Master_Mapping_Sheet!$E$2:$E$3143, ISNUMBER(
Master_Mapping_Sheet!$E$2:$E$3143),
Master_Mapping_Sheet!$H$2:$H$3143=K$1,
Master_Mapping_Sheet!$B$2:$B$3143=$A22))/sum(filter(
Master"&amp;"_Mapping_Sheet!$E$2:$E$3143, ISNUMBER(
Master_Mapping_Sheet!$E$2:$E$3143),
Master_Mapping_Sheet!$H$2:$H$3143=K$1)))"),0.0)</f>
        <v>0</v>
      </c>
      <c r="L22" s="34">
        <f>IFERROR(__xludf.DUMMYFUNCTION("IF(ISNA(sum(filter(
Master_Mapping_Sheet!$E$2:$E$3143, ISNUMBER(
Master_Mapping_Sheet!$E$2:$E$3143),
Master_Mapping_Sheet!$H$2:$H$3143=L$1,
Master_Mapping_Sheet!$B$2:$B$3143=$A22))/sum(filter(
Master_Mapping_Sheet!$E$2:$E$3143, ISNUMBER(
Master_Mapping_Sh"&amp;"eet!$E$2:$E$3143),
Master_Mapping_Sheet!$H$2:$H$3143=L$1))), 0, sum(filter(
Master_Mapping_Sheet!$E$2:$E$3143, ISNUMBER(
Master_Mapping_Sheet!$E$2:$E$3143),
Master_Mapping_Sheet!$H$2:$H$3143=L$1,
Master_Mapping_Sheet!$B$2:$B$3143=$A22))/sum(filter(
Master"&amp;"_Mapping_Sheet!$E$2:$E$3143, ISNUMBER(
Master_Mapping_Sheet!$E$2:$E$3143),
Master_Mapping_Sheet!$H$2:$H$3143=L$1)))"),0.17870068865811756)</f>
        <v>0.1787006887</v>
      </c>
      <c r="M22" s="34">
        <f>IFERROR(__xludf.DUMMYFUNCTION("IF(ISNA(sum(filter(
Master_Mapping_Sheet!$E$2:$E$3143, ISNUMBER(
Master_Mapping_Sheet!$E$2:$E$3143),
Master_Mapping_Sheet!$H$2:$H$3143=M$1,
Master_Mapping_Sheet!$B$2:$B$3143=$A22))/sum(filter(
Master_Mapping_Sheet!$E$2:$E$3143, ISNUMBER(
Master_Mapping_Sh"&amp;"eet!$E$2:$E$3143),
Master_Mapping_Sheet!$H$2:$H$3143=M$1))), 0, sum(filter(
Master_Mapping_Sheet!$E$2:$E$3143, ISNUMBER(
Master_Mapping_Sheet!$E$2:$E$3143),
Master_Mapping_Sheet!$H$2:$H$3143=M$1,
Master_Mapping_Sheet!$B$2:$B$3143=$A22))/sum(filter(
Master"&amp;"_Mapping_Sheet!$E$2:$E$3143, ISNUMBER(
Master_Mapping_Sheet!$E$2:$E$3143),
Master_Mapping_Sheet!$H$2:$H$3143=M$1)))"),0.07011554077520517)</f>
        <v>0.07011554078</v>
      </c>
      <c r="N22" s="34">
        <f>IFERROR(__xludf.DUMMYFUNCTION("IF(ISNA(sum(filter(
Master_Mapping_Sheet!$E$2:$E$3143, ISNUMBER(
Master_Mapping_Sheet!$E$2:$E$3143),
Master_Mapping_Sheet!$H$2:$H$3143=N$1,
Master_Mapping_Sheet!$B$2:$B$3143=$A22))/sum(filter(
Master_Mapping_Sheet!$E$2:$E$3143, ISNUMBER(
Master_Mapping_Sh"&amp;"eet!$E$2:$E$3143),
Master_Mapping_Sheet!$H$2:$H$3143=N$1))), 0, sum(filter(
Master_Mapping_Sheet!$E$2:$E$3143, ISNUMBER(
Master_Mapping_Sheet!$E$2:$E$3143),
Master_Mapping_Sheet!$H$2:$H$3143=N$1,
Master_Mapping_Sheet!$B$2:$B$3143=$A22))/sum(filter(
Master"&amp;"_Mapping_Sheet!$E$2:$E$3143, ISNUMBER(
Master_Mapping_Sheet!$E$2:$E$3143),
Master_Mapping_Sheet!$H$2:$H$3143=N$1)))"),0.0)</f>
        <v>0</v>
      </c>
      <c r="O22" s="34">
        <f>IFERROR(__xludf.DUMMYFUNCTION("IF(ISNA(sum(filter(
Master_Mapping_Sheet!$E$2:$E$3143, ISNUMBER(
Master_Mapping_Sheet!$E$2:$E$3143),
Master_Mapping_Sheet!$H$2:$H$3143=O$1,
Master_Mapping_Sheet!$B$2:$B$3143=$A22))/sum(filter(
Master_Mapping_Sheet!$E$2:$E$3143, ISNUMBER(
Master_Mapping_Sh"&amp;"eet!$E$2:$E$3143),
Master_Mapping_Sheet!$H$2:$H$3143=O$1))), 0, sum(filter(
Master_Mapping_Sheet!$E$2:$E$3143, ISNUMBER(
Master_Mapping_Sheet!$E$2:$E$3143),
Master_Mapping_Sheet!$H$2:$H$3143=O$1,
Master_Mapping_Sheet!$B$2:$B$3143=$A22))/sum(filter(
Master"&amp;"_Mapping_Sheet!$E$2:$E$3143, ISNUMBER(
Master_Mapping_Sheet!$E$2:$E$3143),
Master_Mapping_Sheet!$H$2:$H$3143=O$1)))"),0.0)</f>
        <v>0</v>
      </c>
      <c r="P22" s="34">
        <f>IFERROR(__xludf.DUMMYFUNCTION("IF(ISNA(sum(filter(
Master_Mapping_Sheet!$E$2:$E$3143, ISNUMBER(
Master_Mapping_Sheet!$E$2:$E$3143),
Master_Mapping_Sheet!$H$2:$H$3143=P$1,
Master_Mapping_Sheet!$B$2:$B$3143=$A22))/sum(filter(
Master_Mapping_Sheet!$E$2:$E$3143, ISNUMBER(
Master_Mapping_Sh"&amp;"eet!$E$2:$E$3143),
Master_Mapping_Sheet!$H$2:$H$3143=P$1))), 0, sum(filter(
Master_Mapping_Sheet!$E$2:$E$3143, ISNUMBER(
Master_Mapping_Sheet!$E$2:$E$3143),
Master_Mapping_Sheet!$H$2:$H$3143=P$1,
Master_Mapping_Sheet!$B$2:$B$3143=$A22))/sum(filter(
Master"&amp;"_Mapping_Sheet!$E$2:$E$3143, ISNUMBER(
Master_Mapping_Sheet!$E$2:$E$3143),
Master_Mapping_Sheet!$H$2:$H$3143=P$1)))"),0.0)</f>
        <v>0</v>
      </c>
      <c r="Q22" s="34">
        <f>IFERROR(__xludf.DUMMYFUNCTION("IF(ISNA(sum(filter(
Master_Mapping_Sheet!$E$2:$E$3143, ISNUMBER(
Master_Mapping_Sheet!$E$2:$E$3143),
Master_Mapping_Sheet!$H$2:$H$3143=Q$1,
Master_Mapping_Sheet!$B$2:$B$3143=$A22))/sum(filter(
Master_Mapping_Sheet!$E$2:$E$3143, ISNUMBER(
Master_Mapping_Sh"&amp;"eet!$E$2:$E$3143),
Master_Mapping_Sheet!$H$2:$H$3143=Q$1))), 0, sum(filter(
Master_Mapping_Sheet!$E$2:$E$3143, ISNUMBER(
Master_Mapping_Sheet!$E$2:$E$3143),
Master_Mapping_Sheet!$H$2:$H$3143=Q$1,
Master_Mapping_Sheet!$B$2:$B$3143=$A22))/sum(filter(
Master"&amp;"_Mapping_Sheet!$E$2:$E$3143, ISNUMBER(
Master_Mapping_Sheet!$E$2:$E$3143),
Master_Mapping_Sheet!$H$2:$H$3143=Q$1)))"),0.0)</f>
        <v>0</v>
      </c>
      <c r="R22" s="34">
        <f>IFERROR(__xludf.DUMMYFUNCTION("IF(ISNA(sum(filter(
Master_Mapping_Sheet!$E$2:$E$3143, ISNUMBER(
Master_Mapping_Sheet!$E$2:$E$3143),
Master_Mapping_Sheet!$H$2:$H$3143=R$1,
Master_Mapping_Sheet!$B$2:$B$3143=$A22))/sum(filter(
Master_Mapping_Sheet!$E$2:$E$3143, ISNUMBER(
Master_Mapping_Sh"&amp;"eet!$E$2:$E$3143),
Master_Mapping_Sheet!$H$2:$H$3143=R$1))), 0, sum(filter(
Master_Mapping_Sheet!$E$2:$E$3143, ISNUMBER(
Master_Mapping_Sheet!$E$2:$E$3143),
Master_Mapping_Sheet!$H$2:$H$3143=R$1,
Master_Mapping_Sheet!$B$2:$B$3143=$A22))/sum(filter(
Master"&amp;"_Mapping_Sheet!$E$2:$E$3143, ISNUMBER(
Master_Mapping_Sheet!$E$2:$E$3143),
Master_Mapping_Sheet!$H$2:$H$3143=R$1)))"),0.0)</f>
        <v>0</v>
      </c>
      <c r="S22" s="34">
        <f>IFERROR(__xludf.DUMMYFUNCTION("IF(ISNA(sum(filter(
Master_Mapping_Sheet!$E$2:$E$3143, ISNUMBER(
Master_Mapping_Sheet!$E$2:$E$3143),
Master_Mapping_Sheet!$H$2:$H$3143=S$1,
Master_Mapping_Sheet!$B$2:$B$3143=$A22))/sum(filter(
Master_Mapping_Sheet!$E$2:$E$3143, ISNUMBER(
Master_Mapping_Sh"&amp;"eet!$E$2:$E$3143),
Master_Mapping_Sheet!$H$2:$H$3143=S$1))), 0, sum(filter(
Master_Mapping_Sheet!$E$2:$E$3143, ISNUMBER(
Master_Mapping_Sheet!$E$2:$E$3143),
Master_Mapping_Sheet!$H$2:$H$3143=S$1,
Master_Mapping_Sheet!$B$2:$B$3143=$A22))/sum(filter(
Master"&amp;"_Mapping_Sheet!$E$2:$E$3143, ISNUMBER(
Master_Mapping_Sheet!$E$2:$E$3143),
Master_Mapping_Sheet!$H$2:$H$3143=S$1)))"),0.0)</f>
        <v>0</v>
      </c>
      <c r="T22" s="34">
        <f>IFERROR(__xludf.DUMMYFUNCTION("IF(ISNA(sum(filter(
Master_Mapping_Sheet!$E$2:$E$3143, ISNUMBER(
Master_Mapping_Sheet!$E$2:$E$3143),
Master_Mapping_Sheet!$H$2:$H$3143=T$1,
Master_Mapping_Sheet!$B$2:$B$3143=$A22))/sum(filter(
Master_Mapping_Sheet!$E$2:$E$3143, ISNUMBER(
Master_Mapping_Sh"&amp;"eet!$E$2:$E$3143),
Master_Mapping_Sheet!$H$2:$H$3143=T$1))), 0, sum(filter(
Master_Mapping_Sheet!$E$2:$E$3143, ISNUMBER(
Master_Mapping_Sheet!$E$2:$E$3143),
Master_Mapping_Sheet!$H$2:$H$3143=T$1,
Master_Mapping_Sheet!$B$2:$B$3143=$A22))/sum(filter(
Master"&amp;"_Mapping_Sheet!$E$2:$E$3143, ISNUMBER(
Master_Mapping_Sheet!$E$2:$E$3143),
Master_Mapping_Sheet!$H$2:$H$3143=T$1)))"),0.0)</f>
        <v>0</v>
      </c>
      <c r="U22" s="34">
        <f>IFERROR(__xludf.DUMMYFUNCTION("IF(ISNA(sum(filter(
Master_Mapping_Sheet!$E$2:$E$3143, ISNUMBER(
Master_Mapping_Sheet!$E$2:$E$3143),
Master_Mapping_Sheet!$H$2:$H$3143=U$1,
Master_Mapping_Sheet!$B$2:$B$3143=$A22))/sum(filter(
Master_Mapping_Sheet!$E$2:$E$3143, ISNUMBER(
Master_Mapping_Sh"&amp;"eet!$E$2:$E$3143),
Master_Mapping_Sheet!$H$2:$H$3143=U$1))), 0, sum(filter(
Master_Mapping_Sheet!$E$2:$E$3143, ISNUMBER(
Master_Mapping_Sheet!$E$2:$E$3143),
Master_Mapping_Sheet!$H$2:$H$3143=U$1,
Master_Mapping_Sheet!$B$2:$B$3143=$A22))/sum(filter(
Master"&amp;"_Mapping_Sheet!$E$2:$E$3143, ISNUMBER(
Master_Mapping_Sheet!$E$2:$E$3143),
Master_Mapping_Sheet!$H$2:$H$3143=U$1)))"),0.0)</f>
        <v>0</v>
      </c>
      <c r="V22" s="34">
        <f>IFERROR(__xludf.DUMMYFUNCTION("IF(ISNA(sum(filter(
Master_Mapping_Sheet!$E$2:$E$3143, ISNUMBER(
Master_Mapping_Sheet!$E$2:$E$3143),
Master_Mapping_Sheet!$H$2:$H$3143=V$1,
Master_Mapping_Sheet!$B$2:$B$3143=$A22))/sum(filter(
Master_Mapping_Sheet!$E$2:$E$3143, ISNUMBER(
Master_Mapping_Sh"&amp;"eet!$E$2:$E$3143),
Master_Mapping_Sheet!$H$2:$H$3143=V$1))), 0, sum(filter(
Master_Mapping_Sheet!$E$2:$E$3143, ISNUMBER(
Master_Mapping_Sheet!$E$2:$E$3143),
Master_Mapping_Sheet!$H$2:$H$3143=V$1,
Master_Mapping_Sheet!$B$2:$B$3143=$A22))/sum(filter(
Master"&amp;"_Mapping_Sheet!$E$2:$E$3143, ISNUMBER(
Master_Mapping_Sheet!$E$2:$E$3143),
Master_Mapping_Sheet!$H$2:$H$3143=V$1)))"),0.0)</f>
        <v>0</v>
      </c>
      <c r="W22" s="34">
        <f>IFERROR(__xludf.DUMMYFUNCTION("IF(ISNA(sum(filter(
Master_Mapping_Sheet!$E$2:$E$3143, ISNUMBER(
Master_Mapping_Sheet!$E$2:$E$3143),
Master_Mapping_Sheet!$H$2:$H$3143=W$1,
Master_Mapping_Sheet!$B$2:$B$3143=$A22))/sum(filter(
Master_Mapping_Sheet!$E$2:$E$3143, ISNUMBER(
Master_Mapping_Sh"&amp;"eet!$E$2:$E$3143),
Master_Mapping_Sheet!$H$2:$H$3143=W$1))), 0, sum(filter(
Master_Mapping_Sheet!$E$2:$E$3143, ISNUMBER(
Master_Mapping_Sheet!$E$2:$E$3143),
Master_Mapping_Sheet!$H$2:$H$3143=W$1,
Master_Mapping_Sheet!$B$2:$B$3143=$A22))/sum(filter(
Master"&amp;"_Mapping_Sheet!$E$2:$E$3143, ISNUMBER(
Master_Mapping_Sheet!$E$2:$E$3143),
Master_Mapping_Sheet!$H$2:$H$3143=W$1)))"),0.0)</f>
        <v>0</v>
      </c>
      <c r="X22" s="34">
        <f>IFERROR(__xludf.DUMMYFUNCTION("IF(ISNA(sum(filter(
Master_Mapping_Sheet!$E$2:$E$3143, ISNUMBER(
Master_Mapping_Sheet!$E$2:$E$3143),
Master_Mapping_Sheet!$H$2:$H$3143=X$1,
Master_Mapping_Sheet!$B$2:$B$3143=$A22))/sum(filter(
Master_Mapping_Sheet!$E$2:$E$3143, ISNUMBER(
Master_Mapping_Sh"&amp;"eet!$E$2:$E$3143),
Master_Mapping_Sheet!$H$2:$H$3143=X$1))), 0, sum(filter(
Master_Mapping_Sheet!$E$2:$E$3143, ISNUMBER(
Master_Mapping_Sheet!$E$2:$E$3143),
Master_Mapping_Sheet!$H$2:$H$3143=X$1,
Master_Mapping_Sheet!$B$2:$B$3143=$A22))/sum(filter(
Master"&amp;"_Mapping_Sheet!$E$2:$E$3143, ISNUMBER(
Master_Mapping_Sheet!$E$2:$E$3143),
Master_Mapping_Sheet!$H$2:$H$3143=X$1)))"),0.0)</f>
        <v>0</v>
      </c>
      <c r="Y22" s="34">
        <f>IFERROR(__xludf.DUMMYFUNCTION("IF(ISNA(sum(filter(
Master_Mapping_Sheet!$E$2:$E$3143, ISNUMBER(
Master_Mapping_Sheet!$E$2:$E$3143),
Master_Mapping_Sheet!$H$2:$H$3143=Y$1,
Master_Mapping_Sheet!$B$2:$B$3143=$A22))/sum(filter(
Master_Mapping_Sheet!$E$2:$E$3143, ISNUMBER(
Master_Mapping_Sh"&amp;"eet!$E$2:$E$3143),
Master_Mapping_Sheet!$H$2:$H$3143=Y$1))), 0, sum(filter(
Master_Mapping_Sheet!$E$2:$E$3143, ISNUMBER(
Master_Mapping_Sheet!$E$2:$E$3143),
Master_Mapping_Sheet!$H$2:$H$3143=Y$1,
Master_Mapping_Sheet!$B$2:$B$3143=$A22))/sum(filter(
Master"&amp;"_Mapping_Sheet!$E$2:$E$3143, ISNUMBER(
Master_Mapping_Sheet!$E$2:$E$3143),
Master_Mapping_Sheet!$H$2:$H$3143=Y$1)))"),0.0)</f>
        <v>0</v>
      </c>
      <c r="Z22" s="34">
        <f>IFERROR(__xludf.DUMMYFUNCTION("IF(ISNA(sum(filter(
Master_Mapping_Sheet!$E$2:$E$3143, ISNUMBER(
Master_Mapping_Sheet!$E$2:$E$3143),
Master_Mapping_Sheet!$H$2:$H$3143=Z$1,
Master_Mapping_Sheet!$B$2:$B$3143=$A22))/sum(filter(
Master_Mapping_Sheet!$E$2:$E$3143, ISNUMBER(
Master_Mapping_Sh"&amp;"eet!$E$2:$E$3143),
Master_Mapping_Sheet!$H$2:$H$3143=Z$1))), 0, sum(filter(
Master_Mapping_Sheet!$E$2:$E$3143, ISNUMBER(
Master_Mapping_Sheet!$E$2:$E$3143),
Master_Mapping_Sheet!$H$2:$H$3143=Z$1,
Master_Mapping_Sheet!$B$2:$B$3143=$A22))/sum(filter(
Master"&amp;"_Mapping_Sheet!$E$2:$E$3143, ISNUMBER(
Master_Mapping_Sheet!$E$2:$E$3143),
Master_Mapping_Sheet!$H$2:$H$3143=Z$1)))"),0.0)</f>
        <v>0</v>
      </c>
      <c r="AA22" s="34">
        <f>IFERROR(__xludf.DUMMYFUNCTION("IF(ISNA(sum(filter(
Master_Mapping_Sheet!$E$2:$E$3143, ISNUMBER(
Master_Mapping_Sheet!$E$2:$E$3143),
Master_Mapping_Sheet!$H$2:$H$3143=AA$1,
Master_Mapping_Sheet!$B$2:$B$3143=$A22))/sum(filter(
Master_Mapping_Sheet!$E$2:$E$3143, ISNUMBER(
Master_Mapping_S"&amp;"heet!$E$2:$E$3143),
Master_Mapping_Sheet!$H$2:$H$3143=AA$1))), 0, sum(filter(
Master_Mapping_Sheet!$E$2:$E$3143, ISNUMBER(
Master_Mapping_Sheet!$E$2:$E$3143),
Master_Mapping_Sheet!$H$2:$H$3143=AA$1,
Master_Mapping_Sheet!$B$2:$B$3143=$A22))/sum(filter(
Mas"&amp;"ter_Mapping_Sheet!$E$2:$E$3143, ISNUMBER(
Master_Mapping_Sheet!$E$2:$E$3143),
Master_Mapping_Sheet!$H$2:$H$3143=AA$1)))"),0.0)</f>
        <v>0</v>
      </c>
    </row>
    <row r="23" ht="15.75" customHeight="1">
      <c r="A23" s="34" t="s">
        <v>952</v>
      </c>
      <c r="B23" s="34" t="s">
        <v>2819</v>
      </c>
      <c r="C23" s="34">
        <f>IFERROR(__xludf.DUMMYFUNCTION("IF(ISNA(sum(filter(
Master_Mapping_Sheet!$E$2:$E$3143, ISNUMBER(
Master_Mapping_Sheet!$E$2:$E$3143),
Master_Mapping_Sheet!$H$2:$H$3143=C$1,
Master_Mapping_Sheet!$B$2:$B$3143=$A23))/sum(filter(
Master_Mapping_Sheet!$E$2:$E$3143, ISNUMBER(
Master_Mapping_Sh"&amp;"eet!$E$2:$E$3143),
Master_Mapping_Sheet!$H$2:$H$3143=C$1))), 0, sum(filter(
Master_Mapping_Sheet!$E$2:$E$3143, ISNUMBER(
Master_Mapping_Sheet!$E$2:$E$3143),
Master_Mapping_Sheet!$H$2:$H$3143=C$1,
Master_Mapping_Sheet!$B$2:$B$3143=$A23))/sum(filter(
Master"&amp;"_Mapping_Sheet!$E$2:$E$3143, ISNUMBER(
Master_Mapping_Sheet!$E$2:$E$3143),
Master_Mapping_Sheet!$H$2:$H$3143=C$1)))"),0.0)</f>
        <v>0</v>
      </c>
      <c r="D23" s="34">
        <f>IFERROR(__xludf.DUMMYFUNCTION("IF(ISNA(sum(filter(
Master_Mapping_Sheet!$E$2:$E$3143, ISNUMBER(
Master_Mapping_Sheet!$E$2:$E$3143),
Master_Mapping_Sheet!$H$2:$H$3143=D$1,
Master_Mapping_Sheet!$B$2:$B$3143=$A23))/sum(filter(
Master_Mapping_Sheet!$E$2:$E$3143, ISNUMBER(
Master_Mapping_Sh"&amp;"eet!$E$2:$E$3143),
Master_Mapping_Sheet!$H$2:$H$3143=D$1))), 0, sum(filter(
Master_Mapping_Sheet!$E$2:$E$3143, ISNUMBER(
Master_Mapping_Sheet!$E$2:$E$3143),
Master_Mapping_Sheet!$H$2:$H$3143=D$1,
Master_Mapping_Sheet!$B$2:$B$3143=$A23))/sum(filter(
Master"&amp;"_Mapping_Sheet!$E$2:$E$3143, ISNUMBER(
Master_Mapping_Sheet!$E$2:$E$3143),
Master_Mapping_Sheet!$H$2:$H$3143=D$1)))"),0.0)</f>
        <v>0</v>
      </c>
      <c r="E23" s="32">
        <f>IFERROR(__xludf.DUMMYFUNCTION("IF(ISNA(sum(filter(
Master_Mapping_Sheet!$E$2:$E$3143, ISNUMBER(
Master_Mapping_Sheet!$E$2:$E$3143),
Master_Mapping_Sheet!$H$2:$H$3143=E$1,
Master_Mapping_Sheet!$B$2:$B$3143=$A23))/sum(filter(
Master_Mapping_Sheet!$E$2:$E$3143, ISNUMBER(
Master_Mapping_Sh"&amp;"eet!$E$2:$E$3143),
Master_Mapping_Sheet!$H$2:$H$3143=E$1))), 0, sum(filter(
Master_Mapping_Sheet!$E$2:$E$3143, ISNUMBER(
Master_Mapping_Sheet!$E$2:$E$3143),
Master_Mapping_Sheet!$H$2:$H$3143=E$1,
Master_Mapping_Sheet!$B$2:$B$3143=$A23))/sum(filter(
Master"&amp;"_Mapping_Sheet!$E$2:$E$3143, ISNUMBER(
Master_Mapping_Sheet!$E$2:$E$3143),
Master_Mapping_Sheet!$H$2:$H$3143=E$1)))"),0.0)</f>
        <v>0</v>
      </c>
      <c r="F23" s="34">
        <f>IFERROR(__xludf.DUMMYFUNCTION("IF(ISNA(sum(filter(
Master_Mapping_Sheet!$E$2:$E$3143, ISNUMBER(
Master_Mapping_Sheet!$E$2:$E$3143),
Master_Mapping_Sheet!$H$2:$H$3143=F$1,
Master_Mapping_Sheet!$B$2:$B$3143=$A23))/sum(filter(
Master_Mapping_Sheet!$E$2:$E$3143, ISNUMBER(
Master_Mapping_Sh"&amp;"eet!$E$2:$E$3143),
Master_Mapping_Sheet!$H$2:$H$3143=F$1))), 0, sum(filter(
Master_Mapping_Sheet!$E$2:$E$3143, ISNUMBER(
Master_Mapping_Sheet!$E$2:$E$3143),
Master_Mapping_Sheet!$H$2:$H$3143=F$1,
Master_Mapping_Sheet!$B$2:$B$3143=$A23))/sum(filter(
Master"&amp;"_Mapping_Sheet!$E$2:$E$3143, ISNUMBER(
Master_Mapping_Sheet!$E$2:$E$3143),
Master_Mapping_Sheet!$H$2:$H$3143=F$1)))"),0.0)</f>
        <v>0</v>
      </c>
      <c r="G23" s="34">
        <f>IFERROR(__xludf.DUMMYFUNCTION("IF(ISNA(sum(filter(
Master_Mapping_Sheet!$E$2:$E$3143, ISNUMBER(
Master_Mapping_Sheet!$E$2:$E$3143),
Master_Mapping_Sheet!$H$2:$H$3143=G$1,
Master_Mapping_Sheet!$B$2:$B$3143=$A23))/sum(filter(
Master_Mapping_Sheet!$E$2:$E$3143, ISNUMBER(
Master_Mapping_Sh"&amp;"eet!$E$2:$E$3143),
Master_Mapping_Sheet!$H$2:$H$3143=G$1))), 0, sum(filter(
Master_Mapping_Sheet!$E$2:$E$3143, ISNUMBER(
Master_Mapping_Sheet!$E$2:$E$3143),
Master_Mapping_Sheet!$H$2:$H$3143=G$1,
Master_Mapping_Sheet!$B$2:$B$3143=$A23))/sum(filter(
Master"&amp;"_Mapping_Sheet!$E$2:$E$3143, ISNUMBER(
Master_Mapping_Sheet!$E$2:$E$3143),
Master_Mapping_Sheet!$H$2:$H$3143=G$1)))"),0.0)</f>
        <v>0</v>
      </c>
      <c r="H23" s="34">
        <f>IFERROR(__xludf.DUMMYFUNCTION("IF(ISNA(sum(filter(
Master_Mapping_Sheet!$E$2:$E$3143, ISNUMBER(
Master_Mapping_Sheet!$E$2:$E$3143),
Master_Mapping_Sheet!$H$2:$H$3143=H$1,
Master_Mapping_Sheet!$B$2:$B$3143=$A23))/sum(filter(
Master_Mapping_Sheet!$E$2:$E$3143, ISNUMBER(
Master_Mapping_Sh"&amp;"eet!$E$2:$E$3143),
Master_Mapping_Sheet!$H$2:$H$3143=H$1))), 0, sum(filter(
Master_Mapping_Sheet!$E$2:$E$3143, ISNUMBER(
Master_Mapping_Sheet!$E$2:$E$3143),
Master_Mapping_Sheet!$H$2:$H$3143=H$1,
Master_Mapping_Sheet!$B$2:$B$3143=$A23))/sum(filter(
Master"&amp;"_Mapping_Sheet!$E$2:$E$3143, ISNUMBER(
Master_Mapping_Sheet!$E$2:$E$3143),
Master_Mapping_Sheet!$H$2:$H$3143=H$1)))"),0.0)</f>
        <v>0</v>
      </c>
      <c r="I23" s="34">
        <f>IFERROR(__xludf.DUMMYFUNCTION("IF(ISNA(sum(filter(
Master_Mapping_Sheet!$E$2:$E$3143, ISNUMBER(
Master_Mapping_Sheet!$E$2:$E$3143),
Master_Mapping_Sheet!$H$2:$H$3143=I$1,
Master_Mapping_Sheet!$B$2:$B$3143=$A23))/sum(filter(
Master_Mapping_Sheet!$E$2:$E$3143, ISNUMBER(
Master_Mapping_Sh"&amp;"eet!$E$2:$E$3143),
Master_Mapping_Sheet!$H$2:$H$3143=I$1))), 0, sum(filter(
Master_Mapping_Sheet!$E$2:$E$3143, ISNUMBER(
Master_Mapping_Sheet!$E$2:$E$3143),
Master_Mapping_Sheet!$H$2:$H$3143=I$1,
Master_Mapping_Sheet!$B$2:$B$3143=$A23))/sum(filter(
Master"&amp;"_Mapping_Sheet!$E$2:$E$3143, ISNUMBER(
Master_Mapping_Sheet!$E$2:$E$3143),
Master_Mapping_Sheet!$H$2:$H$3143=I$1)))"),0.46218293572088937)</f>
        <v>0.4621829357</v>
      </c>
      <c r="J23" s="34">
        <f>IFERROR(__xludf.DUMMYFUNCTION("IF(ISNA(sum(filter(
Master_Mapping_Sheet!$E$2:$E$3143, ISNUMBER(
Master_Mapping_Sheet!$E$2:$E$3143),
Master_Mapping_Sheet!$H$2:$H$3143=J$1,
Master_Mapping_Sheet!$B$2:$B$3143=$A23))/sum(filter(
Master_Mapping_Sheet!$E$2:$E$3143, ISNUMBER(
Master_Mapping_Sh"&amp;"eet!$E$2:$E$3143),
Master_Mapping_Sheet!$H$2:$H$3143=J$1))), 0, sum(filter(
Master_Mapping_Sheet!$E$2:$E$3143, ISNUMBER(
Master_Mapping_Sheet!$E$2:$E$3143),
Master_Mapping_Sheet!$H$2:$H$3143=J$1,
Master_Mapping_Sheet!$B$2:$B$3143=$A23))/sum(filter(
Master"&amp;"_Mapping_Sheet!$E$2:$E$3143, ISNUMBER(
Master_Mapping_Sheet!$E$2:$E$3143),
Master_Mapping_Sheet!$H$2:$H$3143=J$1)))"),0.0)</f>
        <v>0</v>
      </c>
      <c r="K23" s="34">
        <f>IFERROR(__xludf.DUMMYFUNCTION("IF(ISNA(sum(filter(
Master_Mapping_Sheet!$E$2:$E$3143, ISNUMBER(
Master_Mapping_Sheet!$E$2:$E$3143),
Master_Mapping_Sheet!$H$2:$H$3143=K$1,
Master_Mapping_Sheet!$B$2:$B$3143=$A23))/sum(filter(
Master_Mapping_Sheet!$E$2:$E$3143, ISNUMBER(
Master_Mapping_Sh"&amp;"eet!$E$2:$E$3143),
Master_Mapping_Sheet!$H$2:$H$3143=K$1))), 0, sum(filter(
Master_Mapping_Sheet!$E$2:$E$3143, ISNUMBER(
Master_Mapping_Sheet!$E$2:$E$3143),
Master_Mapping_Sheet!$H$2:$H$3143=K$1,
Master_Mapping_Sheet!$B$2:$B$3143=$A23))/sum(filter(
Master"&amp;"_Mapping_Sheet!$E$2:$E$3143, ISNUMBER(
Master_Mapping_Sheet!$E$2:$E$3143),
Master_Mapping_Sheet!$H$2:$H$3143=K$1)))"),0.0)</f>
        <v>0</v>
      </c>
      <c r="L23" s="34">
        <f>IFERROR(__xludf.DUMMYFUNCTION("IF(ISNA(sum(filter(
Master_Mapping_Sheet!$E$2:$E$3143, ISNUMBER(
Master_Mapping_Sheet!$E$2:$E$3143),
Master_Mapping_Sheet!$H$2:$H$3143=L$1,
Master_Mapping_Sheet!$B$2:$B$3143=$A23))/sum(filter(
Master_Mapping_Sheet!$E$2:$E$3143, ISNUMBER(
Master_Mapping_Sh"&amp;"eet!$E$2:$E$3143),
Master_Mapping_Sheet!$H$2:$H$3143=L$1))), 0, sum(filter(
Master_Mapping_Sheet!$E$2:$E$3143, ISNUMBER(
Master_Mapping_Sheet!$E$2:$E$3143),
Master_Mapping_Sheet!$H$2:$H$3143=L$1,
Master_Mapping_Sheet!$B$2:$B$3143=$A23))/sum(filter(
Master"&amp;"_Mapping_Sheet!$E$2:$E$3143, ISNUMBER(
Master_Mapping_Sheet!$E$2:$E$3143),
Master_Mapping_Sheet!$H$2:$H$3143=L$1)))"),0.0)</f>
        <v>0</v>
      </c>
      <c r="M23" s="34">
        <f>IFERROR(__xludf.DUMMYFUNCTION("IF(ISNA(sum(filter(
Master_Mapping_Sheet!$E$2:$E$3143, ISNUMBER(
Master_Mapping_Sheet!$E$2:$E$3143),
Master_Mapping_Sheet!$H$2:$H$3143=M$1,
Master_Mapping_Sheet!$B$2:$B$3143=$A23))/sum(filter(
Master_Mapping_Sheet!$E$2:$E$3143, ISNUMBER(
Master_Mapping_Sh"&amp;"eet!$E$2:$E$3143),
Master_Mapping_Sheet!$H$2:$H$3143=M$1))), 0, sum(filter(
Master_Mapping_Sheet!$E$2:$E$3143, ISNUMBER(
Master_Mapping_Sheet!$E$2:$E$3143),
Master_Mapping_Sheet!$H$2:$H$3143=M$1,
Master_Mapping_Sheet!$B$2:$B$3143=$A23))/sum(filter(
Master"&amp;"_Mapping_Sheet!$E$2:$E$3143, ISNUMBER(
Master_Mapping_Sheet!$E$2:$E$3143),
Master_Mapping_Sheet!$H$2:$H$3143=M$1)))"),0.0)</f>
        <v>0</v>
      </c>
      <c r="N23" s="34">
        <f>IFERROR(__xludf.DUMMYFUNCTION("IF(ISNA(sum(filter(
Master_Mapping_Sheet!$E$2:$E$3143, ISNUMBER(
Master_Mapping_Sheet!$E$2:$E$3143),
Master_Mapping_Sheet!$H$2:$H$3143=N$1,
Master_Mapping_Sheet!$B$2:$B$3143=$A23))/sum(filter(
Master_Mapping_Sheet!$E$2:$E$3143, ISNUMBER(
Master_Mapping_Sh"&amp;"eet!$E$2:$E$3143),
Master_Mapping_Sheet!$H$2:$H$3143=N$1))), 0, sum(filter(
Master_Mapping_Sheet!$E$2:$E$3143, ISNUMBER(
Master_Mapping_Sheet!$E$2:$E$3143),
Master_Mapping_Sheet!$H$2:$H$3143=N$1,
Master_Mapping_Sheet!$B$2:$B$3143=$A23))/sum(filter(
Master"&amp;"_Mapping_Sheet!$E$2:$E$3143, ISNUMBER(
Master_Mapping_Sheet!$E$2:$E$3143),
Master_Mapping_Sheet!$H$2:$H$3143=N$1)))"),0.0)</f>
        <v>0</v>
      </c>
      <c r="O23" s="34">
        <f>IFERROR(__xludf.DUMMYFUNCTION("IF(ISNA(sum(filter(
Master_Mapping_Sheet!$E$2:$E$3143, ISNUMBER(
Master_Mapping_Sheet!$E$2:$E$3143),
Master_Mapping_Sheet!$H$2:$H$3143=O$1,
Master_Mapping_Sheet!$B$2:$B$3143=$A23))/sum(filter(
Master_Mapping_Sheet!$E$2:$E$3143, ISNUMBER(
Master_Mapping_Sh"&amp;"eet!$E$2:$E$3143),
Master_Mapping_Sheet!$H$2:$H$3143=O$1))), 0, sum(filter(
Master_Mapping_Sheet!$E$2:$E$3143, ISNUMBER(
Master_Mapping_Sheet!$E$2:$E$3143),
Master_Mapping_Sheet!$H$2:$H$3143=O$1,
Master_Mapping_Sheet!$B$2:$B$3143=$A23))/sum(filter(
Master"&amp;"_Mapping_Sheet!$E$2:$E$3143, ISNUMBER(
Master_Mapping_Sheet!$E$2:$E$3143),
Master_Mapping_Sheet!$H$2:$H$3143=O$1)))"),0.0)</f>
        <v>0</v>
      </c>
      <c r="P23" s="34">
        <f>IFERROR(__xludf.DUMMYFUNCTION("IF(ISNA(sum(filter(
Master_Mapping_Sheet!$E$2:$E$3143, ISNUMBER(
Master_Mapping_Sheet!$E$2:$E$3143),
Master_Mapping_Sheet!$H$2:$H$3143=P$1,
Master_Mapping_Sheet!$B$2:$B$3143=$A23))/sum(filter(
Master_Mapping_Sheet!$E$2:$E$3143, ISNUMBER(
Master_Mapping_Sh"&amp;"eet!$E$2:$E$3143),
Master_Mapping_Sheet!$H$2:$H$3143=P$1))), 0, sum(filter(
Master_Mapping_Sheet!$E$2:$E$3143, ISNUMBER(
Master_Mapping_Sheet!$E$2:$E$3143),
Master_Mapping_Sheet!$H$2:$H$3143=P$1,
Master_Mapping_Sheet!$B$2:$B$3143=$A23))/sum(filter(
Master"&amp;"_Mapping_Sheet!$E$2:$E$3143, ISNUMBER(
Master_Mapping_Sheet!$E$2:$E$3143),
Master_Mapping_Sheet!$H$2:$H$3143=P$1)))"),0.0)</f>
        <v>0</v>
      </c>
      <c r="Q23" s="34">
        <f>IFERROR(__xludf.DUMMYFUNCTION("IF(ISNA(sum(filter(
Master_Mapping_Sheet!$E$2:$E$3143, ISNUMBER(
Master_Mapping_Sheet!$E$2:$E$3143),
Master_Mapping_Sheet!$H$2:$H$3143=Q$1,
Master_Mapping_Sheet!$B$2:$B$3143=$A23))/sum(filter(
Master_Mapping_Sheet!$E$2:$E$3143, ISNUMBER(
Master_Mapping_Sh"&amp;"eet!$E$2:$E$3143),
Master_Mapping_Sheet!$H$2:$H$3143=Q$1))), 0, sum(filter(
Master_Mapping_Sheet!$E$2:$E$3143, ISNUMBER(
Master_Mapping_Sheet!$E$2:$E$3143),
Master_Mapping_Sheet!$H$2:$H$3143=Q$1,
Master_Mapping_Sheet!$B$2:$B$3143=$A23))/sum(filter(
Master"&amp;"_Mapping_Sheet!$E$2:$E$3143, ISNUMBER(
Master_Mapping_Sheet!$E$2:$E$3143),
Master_Mapping_Sheet!$H$2:$H$3143=Q$1)))"),0.0)</f>
        <v>0</v>
      </c>
      <c r="R23" s="34">
        <f>IFERROR(__xludf.DUMMYFUNCTION("IF(ISNA(sum(filter(
Master_Mapping_Sheet!$E$2:$E$3143, ISNUMBER(
Master_Mapping_Sheet!$E$2:$E$3143),
Master_Mapping_Sheet!$H$2:$H$3143=R$1,
Master_Mapping_Sheet!$B$2:$B$3143=$A23))/sum(filter(
Master_Mapping_Sheet!$E$2:$E$3143, ISNUMBER(
Master_Mapping_Sh"&amp;"eet!$E$2:$E$3143),
Master_Mapping_Sheet!$H$2:$H$3143=R$1))), 0, sum(filter(
Master_Mapping_Sheet!$E$2:$E$3143, ISNUMBER(
Master_Mapping_Sheet!$E$2:$E$3143),
Master_Mapping_Sheet!$H$2:$H$3143=R$1,
Master_Mapping_Sheet!$B$2:$B$3143=$A23))/sum(filter(
Master"&amp;"_Mapping_Sheet!$E$2:$E$3143, ISNUMBER(
Master_Mapping_Sheet!$E$2:$E$3143),
Master_Mapping_Sheet!$H$2:$H$3143=R$1)))"),0.0)</f>
        <v>0</v>
      </c>
      <c r="S23" s="34">
        <f>IFERROR(__xludf.DUMMYFUNCTION("IF(ISNA(sum(filter(
Master_Mapping_Sheet!$E$2:$E$3143, ISNUMBER(
Master_Mapping_Sheet!$E$2:$E$3143),
Master_Mapping_Sheet!$H$2:$H$3143=S$1,
Master_Mapping_Sheet!$B$2:$B$3143=$A23))/sum(filter(
Master_Mapping_Sheet!$E$2:$E$3143, ISNUMBER(
Master_Mapping_Sh"&amp;"eet!$E$2:$E$3143),
Master_Mapping_Sheet!$H$2:$H$3143=S$1))), 0, sum(filter(
Master_Mapping_Sheet!$E$2:$E$3143, ISNUMBER(
Master_Mapping_Sheet!$E$2:$E$3143),
Master_Mapping_Sheet!$H$2:$H$3143=S$1,
Master_Mapping_Sheet!$B$2:$B$3143=$A23))/sum(filter(
Master"&amp;"_Mapping_Sheet!$E$2:$E$3143, ISNUMBER(
Master_Mapping_Sheet!$E$2:$E$3143),
Master_Mapping_Sheet!$H$2:$H$3143=S$1)))"),0.0)</f>
        <v>0</v>
      </c>
      <c r="T23" s="34">
        <f>IFERROR(__xludf.DUMMYFUNCTION("IF(ISNA(sum(filter(
Master_Mapping_Sheet!$E$2:$E$3143, ISNUMBER(
Master_Mapping_Sheet!$E$2:$E$3143),
Master_Mapping_Sheet!$H$2:$H$3143=T$1,
Master_Mapping_Sheet!$B$2:$B$3143=$A23))/sum(filter(
Master_Mapping_Sheet!$E$2:$E$3143, ISNUMBER(
Master_Mapping_Sh"&amp;"eet!$E$2:$E$3143),
Master_Mapping_Sheet!$H$2:$H$3143=T$1))), 0, sum(filter(
Master_Mapping_Sheet!$E$2:$E$3143, ISNUMBER(
Master_Mapping_Sheet!$E$2:$E$3143),
Master_Mapping_Sheet!$H$2:$H$3143=T$1,
Master_Mapping_Sheet!$B$2:$B$3143=$A23))/sum(filter(
Master"&amp;"_Mapping_Sheet!$E$2:$E$3143, ISNUMBER(
Master_Mapping_Sheet!$E$2:$E$3143),
Master_Mapping_Sheet!$H$2:$H$3143=T$1)))"),0.0)</f>
        <v>0</v>
      </c>
      <c r="U23" s="34">
        <f>IFERROR(__xludf.DUMMYFUNCTION("IF(ISNA(sum(filter(
Master_Mapping_Sheet!$E$2:$E$3143, ISNUMBER(
Master_Mapping_Sheet!$E$2:$E$3143),
Master_Mapping_Sheet!$H$2:$H$3143=U$1,
Master_Mapping_Sheet!$B$2:$B$3143=$A23))/sum(filter(
Master_Mapping_Sheet!$E$2:$E$3143, ISNUMBER(
Master_Mapping_Sh"&amp;"eet!$E$2:$E$3143),
Master_Mapping_Sheet!$H$2:$H$3143=U$1))), 0, sum(filter(
Master_Mapping_Sheet!$E$2:$E$3143, ISNUMBER(
Master_Mapping_Sheet!$E$2:$E$3143),
Master_Mapping_Sheet!$H$2:$H$3143=U$1,
Master_Mapping_Sheet!$B$2:$B$3143=$A23))/sum(filter(
Master"&amp;"_Mapping_Sheet!$E$2:$E$3143, ISNUMBER(
Master_Mapping_Sheet!$E$2:$E$3143),
Master_Mapping_Sheet!$H$2:$H$3143=U$1)))"),0.0)</f>
        <v>0</v>
      </c>
      <c r="V23" s="34">
        <f>IFERROR(__xludf.DUMMYFUNCTION("IF(ISNA(sum(filter(
Master_Mapping_Sheet!$E$2:$E$3143, ISNUMBER(
Master_Mapping_Sheet!$E$2:$E$3143),
Master_Mapping_Sheet!$H$2:$H$3143=V$1,
Master_Mapping_Sheet!$B$2:$B$3143=$A23))/sum(filter(
Master_Mapping_Sheet!$E$2:$E$3143, ISNUMBER(
Master_Mapping_Sh"&amp;"eet!$E$2:$E$3143),
Master_Mapping_Sheet!$H$2:$H$3143=V$1))), 0, sum(filter(
Master_Mapping_Sheet!$E$2:$E$3143, ISNUMBER(
Master_Mapping_Sheet!$E$2:$E$3143),
Master_Mapping_Sheet!$H$2:$H$3143=V$1,
Master_Mapping_Sheet!$B$2:$B$3143=$A23))/sum(filter(
Master"&amp;"_Mapping_Sheet!$E$2:$E$3143, ISNUMBER(
Master_Mapping_Sheet!$E$2:$E$3143),
Master_Mapping_Sheet!$H$2:$H$3143=V$1)))"),0.0)</f>
        <v>0</v>
      </c>
      <c r="W23" s="34">
        <f>IFERROR(__xludf.DUMMYFUNCTION("IF(ISNA(sum(filter(
Master_Mapping_Sheet!$E$2:$E$3143, ISNUMBER(
Master_Mapping_Sheet!$E$2:$E$3143),
Master_Mapping_Sheet!$H$2:$H$3143=W$1,
Master_Mapping_Sheet!$B$2:$B$3143=$A23))/sum(filter(
Master_Mapping_Sheet!$E$2:$E$3143, ISNUMBER(
Master_Mapping_Sh"&amp;"eet!$E$2:$E$3143),
Master_Mapping_Sheet!$H$2:$H$3143=W$1))), 0, sum(filter(
Master_Mapping_Sheet!$E$2:$E$3143, ISNUMBER(
Master_Mapping_Sheet!$E$2:$E$3143),
Master_Mapping_Sheet!$H$2:$H$3143=W$1,
Master_Mapping_Sheet!$B$2:$B$3143=$A23))/sum(filter(
Master"&amp;"_Mapping_Sheet!$E$2:$E$3143, ISNUMBER(
Master_Mapping_Sheet!$E$2:$E$3143),
Master_Mapping_Sheet!$H$2:$H$3143=W$1)))"),0.0)</f>
        <v>0</v>
      </c>
      <c r="X23" s="34">
        <f>IFERROR(__xludf.DUMMYFUNCTION("IF(ISNA(sum(filter(
Master_Mapping_Sheet!$E$2:$E$3143, ISNUMBER(
Master_Mapping_Sheet!$E$2:$E$3143),
Master_Mapping_Sheet!$H$2:$H$3143=X$1,
Master_Mapping_Sheet!$B$2:$B$3143=$A23))/sum(filter(
Master_Mapping_Sheet!$E$2:$E$3143, ISNUMBER(
Master_Mapping_Sh"&amp;"eet!$E$2:$E$3143),
Master_Mapping_Sheet!$H$2:$H$3143=X$1))), 0, sum(filter(
Master_Mapping_Sheet!$E$2:$E$3143, ISNUMBER(
Master_Mapping_Sheet!$E$2:$E$3143),
Master_Mapping_Sheet!$H$2:$H$3143=X$1,
Master_Mapping_Sheet!$B$2:$B$3143=$A23))/sum(filter(
Master"&amp;"_Mapping_Sheet!$E$2:$E$3143, ISNUMBER(
Master_Mapping_Sheet!$E$2:$E$3143),
Master_Mapping_Sheet!$H$2:$H$3143=X$1)))"),0.0)</f>
        <v>0</v>
      </c>
      <c r="Y23" s="34">
        <f>IFERROR(__xludf.DUMMYFUNCTION("IF(ISNA(sum(filter(
Master_Mapping_Sheet!$E$2:$E$3143, ISNUMBER(
Master_Mapping_Sheet!$E$2:$E$3143),
Master_Mapping_Sheet!$H$2:$H$3143=Y$1,
Master_Mapping_Sheet!$B$2:$B$3143=$A23))/sum(filter(
Master_Mapping_Sheet!$E$2:$E$3143, ISNUMBER(
Master_Mapping_Sh"&amp;"eet!$E$2:$E$3143),
Master_Mapping_Sheet!$H$2:$H$3143=Y$1))), 0, sum(filter(
Master_Mapping_Sheet!$E$2:$E$3143, ISNUMBER(
Master_Mapping_Sheet!$E$2:$E$3143),
Master_Mapping_Sheet!$H$2:$H$3143=Y$1,
Master_Mapping_Sheet!$B$2:$B$3143=$A23))/sum(filter(
Master"&amp;"_Mapping_Sheet!$E$2:$E$3143, ISNUMBER(
Master_Mapping_Sheet!$E$2:$E$3143),
Master_Mapping_Sheet!$H$2:$H$3143=Y$1)))"),0.0)</f>
        <v>0</v>
      </c>
      <c r="Z23" s="34">
        <f>IFERROR(__xludf.DUMMYFUNCTION("IF(ISNA(sum(filter(
Master_Mapping_Sheet!$E$2:$E$3143, ISNUMBER(
Master_Mapping_Sheet!$E$2:$E$3143),
Master_Mapping_Sheet!$H$2:$H$3143=Z$1,
Master_Mapping_Sheet!$B$2:$B$3143=$A23))/sum(filter(
Master_Mapping_Sheet!$E$2:$E$3143, ISNUMBER(
Master_Mapping_Sh"&amp;"eet!$E$2:$E$3143),
Master_Mapping_Sheet!$H$2:$H$3143=Z$1))), 0, sum(filter(
Master_Mapping_Sheet!$E$2:$E$3143, ISNUMBER(
Master_Mapping_Sheet!$E$2:$E$3143),
Master_Mapping_Sheet!$H$2:$H$3143=Z$1,
Master_Mapping_Sheet!$B$2:$B$3143=$A23))/sum(filter(
Master"&amp;"_Mapping_Sheet!$E$2:$E$3143, ISNUMBER(
Master_Mapping_Sheet!$E$2:$E$3143),
Master_Mapping_Sheet!$H$2:$H$3143=Z$1)))"),0.0)</f>
        <v>0</v>
      </c>
      <c r="AA23" s="34">
        <f>IFERROR(__xludf.DUMMYFUNCTION("IF(ISNA(sum(filter(
Master_Mapping_Sheet!$E$2:$E$3143, ISNUMBER(
Master_Mapping_Sheet!$E$2:$E$3143),
Master_Mapping_Sheet!$H$2:$H$3143=AA$1,
Master_Mapping_Sheet!$B$2:$B$3143=$A23))/sum(filter(
Master_Mapping_Sheet!$E$2:$E$3143, ISNUMBER(
Master_Mapping_S"&amp;"heet!$E$2:$E$3143),
Master_Mapping_Sheet!$H$2:$H$3143=AA$1))), 0, sum(filter(
Master_Mapping_Sheet!$E$2:$E$3143, ISNUMBER(
Master_Mapping_Sheet!$E$2:$E$3143),
Master_Mapping_Sheet!$H$2:$H$3143=AA$1,
Master_Mapping_Sheet!$B$2:$B$3143=$A23))/sum(filter(
Mas"&amp;"ter_Mapping_Sheet!$E$2:$E$3143, ISNUMBER(
Master_Mapping_Sheet!$E$2:$E$3143),
Master_Mapping_Sheet!$H$2:$H$3143=AA$1)))"),0.0)</f>
        <v>0</v>
      </c>
    </row>
    <row r="24" ht="15.75" customHeight="1">
      <c r="A24" s="34" t="s">
        <v>963</v>
      </c>
      <c r="B24" s="34" t="s">
        <v>2830</v>
      </c>
      <c r="C24" s="34">
        <f>IFERROR(__xludf.DUMMYFUNCTION("IF(ISNA(sum(filter(
Master_Mapping_Sheet!$E$2:$E$3143, ISNUMBER(
Master_Mapping_Sheet!$E$2:$E$3143),
Master_Mapping_Sheet!$H$2:$H$3143=C$1,
Master_Mapping_Sheet!$B$2:$B$3143=$A24))/sum(filter(
Master_Mapping_Sheet!$E$2:$E$3143, ISNUMBER(
Master_Mapping_Sh"&amp;"eet!$E$2:$E$3143),
Master_Mapping_Sheet!$H$2:$H$3143=C$1))), 0, sum(filter(
Master_Mapping_Sheet!$E$2:$E$3143, ISNUMBER(
Master_Mapping_Sheet!$E$2:$E$3143),
Master_Mapping_Sheet!$H$2:$H$3143=C$1,
Master_Mapping_Sheet!$B$2:$B$3143=$A24))/sum(filter(
Master"&amp;"_Mapping_Sheet!$E$2:$E$3143, ISNUMBER(
Master_Mapping_Sheet!$E$2:$E$3143),
Master_Mapping_Sheet!$H$2:$H$3143=C$1)))"),0.0)</f>
        <v>0</v>
      </c>
      <c r="D24" s="34">
        <f>IFERROR(__xludf.DUMMYFUNCTION("IF(ISNA(sum(filter(
Master_Mapping_Sheet!$E$2:$E$3143, ISNUMBER(
Master_Mapping_Sheet!$E$2:$E$3143),
Master_Mapping_Sheet!$H$2:$H$3143=D$1,
Master_Mapping_Sheet!$B$2:$B$3143=$A24))/sum(filter(
Master_Mapping_Sheet!$E$2:$E$3143, ISNUMBER(
Master_Mapping_Sh"&amp;"eet!$E$2:$E$3143),
Master_Mapping_Sheet!$H$2:$H$3143=D$1))), 0, sum(filter(
Master_Mapping_Sheet!$E$2:$E$3143, ISNUMBER(
Master_Mapping_Sheet!$E$2:$E$3143),
Master_Mapping_Sheet!$H$2:$H$3143=D$1,
Master_Mapping_Sheet!$B$2:$B$3143=$A24))/sum(filter(
Master"&amp;"_Mapping_Sheet!$E$2:$E$3143, ISNUMBER(
Master_Mapping_Sheet!$E$2:$E$3143),
Master_Mapping_Sheet!$H$2:$H$3143=D$1)))"),0.0)</f>
        <v>0</v>
      </c>
      <c r="E24" s="32">
        <f>IFERROR(__xludf.DUMMYFUNCTION("IF(ISNA(sum(filter(
Master_Mapping_Sheet!$E$2:$E$3143, ISNUMBER(
Master_Mapping_Sheet!$E$2:$E$3143),
Master_Mapping_Sheet!$H$2:$H$3143=E$1,
Master_Mapping_Sheet!$B$2:$B$3143=$A24))/sum(filter(
Master_Mapping_Sheet!$E$2:$E$3143, ISNUMBER(
Master_Mapping_Sh"&amp;"eet!$E$2:$E$3143),
Master_Mapping_Sheet!$H$2:$H$3143=E$1))), 0, sum(filter(
Master_Mapping_Sheet!$E$2:$E$3143, ISNUMBER(
Master_Mapping_Sheet!$E$2:$E$3143),
Master_Mapping_Sheet!$H$2:$H$3143=E$1,
Master_Mapping_Sheet!$B$2:$B$3143=$A24))/sum(filter(
Master"&amp;"_Mapping_Sheet!$E$2:$E$3143, ISNUMBER(
Master_Mapping_Sheet!$E$2:$E$3143),
Master_Mapping_Sheet!$H$2:$H$3143=E$1)))"),0.02097747767012786)</f>
        <v>0.02097747767</v>
      </c>
      <c r="F24" s="34">
        <f>IFERROR(__xludf.DUMMYFUNCTION("IF(ISNA(sum(filter(
Master_Mapping_Sheet!$E$2:$E$3143, ISNUMBER(
Master_Mapping_Sheet!$E$2:$E$3143),
Master_Mapping_Sheet!$H$2:$H$3143=F$1,
Master_Mapping_Sheet!$B$2:$B$3143=$A24))/sum(filter(
Master_Mapping_Sheet!$E$2:$E$3143, ISNUMBER(
Master_Mapping_Sh"&amp;"eet!$E$2:$E$3143),
Master_Mapping_Sheet!$H$2:$H$3143=F$1))), 0, sum(filter(
Master_Mapping_Sheet!$E$2:$E$3143, ISNUMBER(
Master_Mapping_Sheet!$E$2:$E$3143),
Master_Mapping_Sheet!$H$2:$H$3143=F$1,
Master_Mapping_Sheet!$B$2:$B$3143=$A24))/sum(filter(
Master"&amp;"_Mapping_Sheet!$E$2:$E$3143, ISNUMBER(
Master_Mapping_Sheet!$E$2:$E$3143),
Master_Mapping_Sheet!$H$2:$H$3143=F$1)))"),0.0)</f>
        <v>0</v>
      </c>
      <c r="G24" s="34">
        <f>IFERROR(__xludf.DUMMYFUNCTION("IF(ISNA(sum(filter(
Master_Mapping_Sheet!$E$2:$E$3143, ISNUMBER(
Master_Mapping_Sheet!$E$2:$E$3143),
Master_Mapping_Sheet!$H$2:$H$3143=G$1,
Master_Mapping_Sheet!$B$2:$B$3143=$A24))/sum(filter(
Master_Mapping_Sheet!$E$2:$E$3143, ISNUMBER(
Master_Mapping_Sh"&amp;"eet!$E$2:$E$3143),
Master_Mapping_Sheet!$H$2:$H$3143=G$1))), 0, sum(filter(
Master_Mapping_Sheet!$E$2:$E$3143, ISNUMBER(
Master_Mapping_Sheet!$E$2:$E$3143),
Master_Mapping_Sheet!$H$2:$H$3143=G$1,
Master_Mapping_Sheet!$B$2:$B$3143=$A24))/sum(filter(
Master"&amp;"_Mapping_Sheet!$E$2:$E$3143, ISNUMBER(
Master_Mapping_Sheet!$E$2:$E$3143),
Master_Mapping_Sheet!$H$2:$H$3143=G$1)))"),1.0)</f>
        <v>1</v>
      </c>
      <c r="H24" s="34">
        <f>IFERROR(__xludf.DUMMYFUNCTION("IF(ISNA(sum(filter(
Master_Mapping_Sheet!$E$2:$E$3143, ISNUMBER(
Master_Mapping_Sheet!$E$2:$E$3143),
Master_Mapping_Sheet!$H$2:$H$3143=H$1,
Master_Mapping_Sheet!$B$2:$B$3143=$A24))/sum(filter(
Master_Mapping_Sheet!$E$2:$E$3143, ISNUMBER(
Master_Mapping_Sh"&amp;"eet!$E$2:$E$3143),
Master_Mapping_Sheet!$H$2:$H$3143=H$1))), 0, sum(filter(
Master_Mapping_Sheet!$E$2:$E$3143, ISNUMBER(
Master_Mapping_Sheet!$E$2:$E$3143),
Master_Mapping_Sheet!$H$2:$H$3143=H$1,
Master_Mapping_Sheet!$B$2:$B$3143=$A24))/sum(filter(
Master"&amp;"_Mapping_Sheet!$E$2:$E$3143, ISNUMBER(
Master_Mapping_Sheet!$E$2:$E$3143),
Master_Mapping_Sheet!$H$2:$H$3143=H$1)))"),0.0)</f>
        <v>0</v>
      </c>
      <c r="I24" s="34">
        <f>IFERROR(__xludf.DUMMYFUNCTION("IF(ISNA(sum(filter(
Master_Mapping_Sheet!$E$2:$E$3143, ISNUMBER(
Master_Mapping_Sheet!$E$2:$E$3143),
Master_Mapping_Sheet!$H$2:$H$3143=I$1,
Master_Mapping_Sheet!$B$2:$B$3143=$A24))/sum(filter(
Master_Mapping_Sheet!$E$2:$E$3143, ISNUMBER(
Master_Mapping_Sh"&amp;"eet!$E$2:$E$3143),
Master_Mapping_Sheet!$H$2:$H$3143=I$1))), 0, sum(filter(
Master_Mapping_Sheet!$E$2:$E$3143, ISNUMBER(
Master_Mapping_Sheet!$E$2:$E$3143),
Master_Mapping_Sheet!$H$2:$H$3143=I$1,
Master_Mapping_Sheet!$B$2:$B$3143=$A24))/sum(filter(
Master"&amp;"_Mapping_Sheet!$E$2:$E$3143, ISNUMBER(
Master_Mapping_Sheet!$E$2:$E$3143),
Master_Mapping_Sheet!$H$2:$H$3143=I$1)))"),0.0)</f>
        <v>0</v>
      </c>
      <c r="J24" s="34">
        <f>IFERROR(__xludf.DUMMYFUNCTION("IF(ISNA(sum(filter(
Master_Mapping_Sheet!$E$2:$E$3143, ISNUMBER(
Master_Mapping_Sheet!$E$2:$E$3143),
Master_Mapping_Sheet!$H$2:$H$3143=J$1,
Master_Mapping_Sheet!$B$2:$B$3143=$A24))/sum(filter(
Master_Mapping_Sheet!$E$2:$E$3143, ISNUMBER(
Master_Mapping_Sh"&amp;"eet!$E$2:$E$3143),
Master_Mapping_Sheet!$H$2:$H$3143=J$1))), 0, sum(filter(
Master_Mapping_Sheet!$E$2:$E$3143, ISNUMBER(
Master_Mapping_Sheet!$E$2:$E$3143),
Master_Mapping_Sheet!$H$2:$H$3143=J$1,
Master_Mapping_Sheet!$B$2:$B$3143=$A24))/sum(filter(
Master"&amp;"_Mapping_Sheet!$E$2:$E$3143, ISNUMBER(
Master_Mapping_Sheet!$E$2:$E$3143),
Master_Mapping_Sheet!$H$2:$H$3143=J$1)))"),0.0)</f>
        <v>0</v>
      </c>
      <c r="K24" s="34">
        <f>IFERROR(__xludf.DUMMYFUNCTION("IF(ISNA(sum(filter(
Master_Mapping_Sheet!$E$2:$E$3143, ISNUMBER(
Master_Mapping_Sheet!$E$2:$E$3143),
Master_Mapping_Sheet!$H$2:$H$3143=K$1,
Master_Mapping_Sheet!$B$2:$B$3143=$A24))/sum(filter(
Master_Mapping_Sheet!$E$2:$E$3143, ISNUMBER(
Master_Mapping_Sh"&amp;"eet!$E$2:$E$3143),
Master_Mapping_Sheet!$H$2:$H$3143=K$1))), 0, sum(filter(
Master_Mapping_Sheet!$E$2:$E$3143, ISNUMBER(
Master_Mapping_Sheet!$E$2:$E$3143),
Master_Mapping_Sheet!$H$2:$H$3143=K$1,
Master_Mapping_Sheet!$B$2:$B$3143=$A24))/sum(filter(
Master"&amp;"_Mapping_Sheet!$E$2:$E$3143, ISNUMBER(
Master_Mapping_Sheet!$E$2:$E$3143),
Master_Mapping_Sheet!$H$2:$H$3143=K$1)))"),0.0)</f>
        <v>0</v>
      </c>
      <c r="L24" s="34">
        <f>IFERROR(__xludf.DUMMYFUNCTION("IF(ISNA(sum(filter(
Master_Mapping_Sheet!$E$2:$E$3143, ISNUMBER(
Master_Mapping_Sheet!$E$2:$E$3143),
Master_Mapping_Sheet!$H$2:$H$3143=L$1,
Master_Mapping_Sheet!$B$2:$B$3143=$A24))/sum(filter(
Master_Mapping_Sheet!$E$2:$E$3143, ISNUMBER(
Master_Mapping_Sh"&amp;"eet!$E$2:$E$3143),
Master_Mapping_Sheet!$H$2:$H$3143=L$1))), 0, sum(filter(
Master_Mapping_Sheet!$E$2:$E$3143, ISNUMBER(
Master_Mapping_Sheet!$E$2:$E$3143),
Master_Mapping_Sheet!$H$2:$H$3143=L$1,
Master_Mapping_Sheet!$B$2:$B$3143=$A24))/sum(filter(
Master"&amp;"_Mapping_Sheet!$E$2:$E$3143, ISNUMBER(
Master_Mapping_Sheet!$E$2:$E$3143),
Master_Mapping_Sheet!$H$2:$H$3143=L$1)))"),0.0)</f>
        <v>0</v>
      </c>
      <c r="M24" s="34">
        <f>IFERROR(__xludf.DUMMYFUNCTION("IF(ISNA(sum(filter(
Master_Mapping_Sheet!$E$2:$E$3143, ISNUMBER(
Master_Mapping_Sheet!$E$2:$E$3143),
Master_Mapping_Sheet!$H$2:$H$3143=M$1,
Master_Mapping_Sheet!$B$2:$B$3143=$A24))/sum(filter(
Master_Mapping_Sheet!$E$2:$E$3143, ISNUMBER(
Master_Mapping_Sh"&amp;"eet!$E$2:$E$3143),
Master_Mapping_Sheet!$H$2:$H$3143=M$1))), 0, sum(filter(
Master_Mapping_Sheet!$E$2:$E$3143, ISNUMBER(
Master_Mapping_Sheet!$E$2:$E$3143),
Master_Mapping_Sheet!$H$2:$H$3143=M$1,
Master_Mapping_Sheet!$B$2:$B$3143=$A24))/sum(filter(
Master"&amp;"_Mapping_Sheet!$E$2:$E$3143, ISNUMBER(
Master_Mapping_Sheet!$E$2:$E$3143),
Master_Mapping_Sheet!$H$2:$H$3143=M$1)))"),0.03169257217133168)</f>
        <v>0.03169257217</v>
      </c>
      <c r="N24" s="34">
        <f>IFERROR(__xludf.DUMMYFUNCTION("IF(ISNA(sum(filter(
Master_Mapping_Sheet!$E$2:$E$3143, ISNUMBER(
Master_Mapping_Sheet!$E$2:$E$3143),
Master_Mapping_Sheet!$H$2:$H$3143=N$1,
Master_Mapping_Sheet!$B$2:$B$3143=$A24))/sum(filter(
Master_Mapping_Sheet!$E$2:$E$3143, ISNUMBER(
Master_Mapping_Sh"&amp;"eet!$E$2:$E$3143),
Master_Mapping_Sheet!$H$2:$H$3143=N$1))), 0, sum(filter(
Master_Mapping_Sheet!$E$2:$E$3143, ISNUMBER(
Master_Mapping_Sheet!$E$2:$E$3143),
Master_Mapping_Sheet!$H$2:$H$3143=N$1,
Master_Mapping_Sheet!$B$2:$B$3143=$A24))/sum(filter(
Master"&amp;"_Mapping_Sheet!$E$2:$E$3143, ISNUMBER(
Master_Mapping_Sheet!$E$2:$E$3143),
Master_Mapping_Sheet!$H$2:$H$3143=N$1)))"),0.0)</f>
        <v>0</v>
      </c>
      <c r="O24" s="34">
        <f>IFERROR(__xludf.DUMMYFUNCTION("IF(ISNA(sum(filter(
Master_Mapping_Sheet!$E$2:$E$3143, ISNUMBER(
Master_Mapping_Sheet!$E$2:$E$3143),
Master_Mapping_Sheet!$H$2:$H$3143=O$1,
Master_Mapping_Sheet!$B$2:$B$3143=$A24))/sum(filter(
Master_Mapping_Sheet!$E$2:$E$3143, ISNUMBER(
Master_Mapping_Sh"&amp;"eet!$E$2:$E$3143),
Master_Mapping_Sheet!$H$2:$H$3143=O$1))), 0, sum(filter(
Master_Mapping_Sheet!$E$2:$E$3143, ISNUMBER(
Master_Mapping_Sheet!$E$2:$E$3143),
Master_Mapping_Sheet!$H$2:$H$3143=O$1,
Master_Mapping_Sheet!$B$2:$B$3143=$A24))/sum(filter(
Master"&amp;"_Mapping_Sheet!$E$2:$E$3143, ISNUMBER(
Master_Mapping_Sheet!$E$2:$E$3143),
Master_Mapping_Sheet!$H$2:$H$3143=O$1)))"),0.0)</f>
        <v>0</v>
      </c>
      <c r="P24" s="34">
        <f>IFERROR(__xludf.DUMMYFUNCTION("IF(ISNA(sum(filter(
Master_Mapping_Sheet!$E$2:$E$3143, ISNUMBER(
Master_Mapping_Sheet!$E$2:$E$3143),
Master_Mapping_Sheet!$H$2:$H$3143=P$1,
Master_Mapping_Sheet!$B$2:$B$3143=$A24))/sum(filter(
Master_Mapping_Sheet!$E$2:$E$3143, ISNUMBER(
Master_Mapping_Sh"&amp;"eet!$E$2:$E$3143),
Master_Mapping_Sheet!$H$2:$H$3143=P$1))), 0, sum(filter(
Master_Mapping_Sheet!$E$2:$E$3143, ISNUMBER(
Master_Mapping_Sheet!$E$2:$E$3143),
Master_Mapping_Sheet!$H$2:$H$3143=P$1,
Master_Mapping_Sheet!$B$2:$B$3143=$A24))/sum(filter(
Master"&amp;"_Mapping_Sheet!$E$2:$E$3143, ISNUMBER(
Master_Mapping_Sheet!$E$2:$E$3143),
Master_Mapping_Sheet!$H$2:$H$3143=P$1)))"),0.0)</f>
        <v>0</v>
      </c>
      <c r="Q24" s="34">
        <f>IFERROR(__xludf.DUMMYFUNCTION("IF(ISNA(sum(filter(
Master_Mapping_Sheet!$E$2:$E$3143, ISNUMBER(
Master_Mapping_Sheet!$E$2:$E$3143),
Master_Mapping_Sheet!$H$2:$H$3143=Q$1,
Master_Mapping_Sheet!$B$2:$B$3143=$A24))/sum(filter(
Master_Mapping_Sheet!$E$2:$E$3143, ISNUMBER(
Master_Mapping_Sh"&amp;"eet!$E$2:$E$3143),
Master_Mapping_Sheet!$H$2:$H$3143=Q$1))), 0, sum(filter(
Master_Mapping_Sheet!$E$2:$E$3143, ISNUMBER(
Master_Mapping_Sheet!$E$2:$E$3143),
Master_Mapping_Sheet!$H$2:$H$3143=Q$1,
Master_Mapping_Sheet!$B$2:$B$3143=$A24))/sum(filter(
Master"&amp;"_Mapping_Sheet!$E$2:$E$3143, ISNUMBER(
Master_Mapping_Sheet!$E$2:$E$3143),
Master_Mapping_Sheet!$H$2:$H$3143=Q$1)))"),0.0)</f>
        <v>0</v>
      </c>
      <c r="R24" s="34">
        <f>IFERROR(__xludf.DUMMYFUNCTION("IF(ISNA(sum(filter(
Master_Mapping_Sheet!$E$2:$E$3143, ISNUMBER(
Master_Mapping_Sheet!$E$2:$E$3143),
Master_Mapping_Sheet!$H$2:$H$3143=R$1,
Master_Mapping_Sheet!$B$2:$B$3143=$A24))/sum(filter(
Master_Mapping_Sheet!$E$2:$E$3143, ISNUMBER(
Master_Mapping_Sh"&amp;"eet!$E$2:$E$3143),
Master_Mapping_Sheet!$H$2:$H$3143=R$1))), 0, sum(filter(
Master_Mapping_Sheet!$E$2:$E$3143, ISNUMBER(
Master_Mapping_Sheet!$E$2:$E$3143),
Master_Mapping_Sheet!$H$2:$H$3143=R$1,
Master_Mapping_Sheet!$B$2:$B$3143=$A24))/sum(filter(
Master"&amp;"_Mapping_Sheet!$E$2:$E$3143, ISNUMBER(
Master_Mapping_Sheet!$E$2:$E$3143),
Master_Mapping_Sheet!$H$2:$H$3143=R$1)))"),0.0)</f>
        <v>0</v>
      </c>
      <c r="S24" s="34">
        <f>IFERROR(__xludf.DUMMYFUNCTION("IF(ISNA(sum(filter(
Master_Mapping_Sheet!$E$2:$E$3143, ISNUMBER(
Master_Mapping_Sheet!$E$2:$E$3143),
Master_Mapping_Sheet!$H$2:$H$3143=S$1,
Master_Mapping_Sheet!$B$2:$B$3143=$A24))/sum(filter(
Master_Mapping_Sheet!$E$2:$E$3143, ISNUMBER(
Master_Mapping_Sh"&amp;"eet!$E$2:$E$3143),
Master_Mapping_Sheet!$H$2:$H$3143=S$1))), 0, sum(filter(
Master_Mapping_Sheet!$E$2:$E$3143, ISNUMBER(
Master_Mapping_Sheet!$E$2:$E$3143),
Master_Mapping_Sheet!$H$2:$H$3143=S$1,
Master_Mapping_Sheet!$B$2:$B$3143=$A24))/sum(filter(
Master"&amp;"_Mapping_Sheet!$E$2:$E$3143, ISNUMBER(
Master_Mapping_Sheet!$E$2:$E$3143),
Master_Mapping_Sheet!$H$2:$H$3143=S$1)))"),0.0)</f>
        <v>0</v>
      </c>
      <c r="T24" s="34">
        <f>IFERROR(__xludf.DUMMYFUNCTION("IF(ISNA(sum(filter(
Master_Mapping_Sheet!$E$2:$E$3143, ISNUMBER(
Master_Mapping_Sheet!$E$2:$E$3143),
Master_Mapping_Sheet!$H$2:$H$3143=T$1,
Master_Mapping_Sheet!$B$2:$B$3143=$A24))/sum(filter(
Master_Mapping_Sheet!$E$2:$E$3143, ISNUMBER(
Master_Mapping_Sh"&amp;"eet!$E$2:$E$3143),
Master_Mapping_Sheet!$H$2:$H$3143=T$1))), 0, sum(filter(
Master_Mapping_Sheet!$E$2:$E$3143, ISNUMBER(
Master_Mapping_Sheet!$E$2:$E$3143),
Master_Mapping_Sheet!$H$2:$H$3143=T$1,
Master_Mapping_Sheet!$B$2:$B$3143=$A24))/sum(filter(
Master"&amp;"_Mapping_Sheet!$E$2:$E$3143, ISNUMBER(
Master_Mapping_Sheet!$E$2:$E$3143),
Master_Mapping_Sheet!$H$2:$H$3143=T$1)))"),0.0)</f>
        <v>0</v>
      </c>
      <c r="U24" s="34">
        <f>IFERROR(__xludf.DUMMYFUNCTION("IF(ISNA(sum(filter(
Master_Mapping_Sheet!$E$2:$E$3143, ISNUMBER(
Master_Mapping_Sheet!$E$2:$E$3143),
Master_Mapping_Sheet!$H$2:$H$3143=U$1,
Master_Mapping_Sheet!$B$2:$B$3143=$A24))/sum(filter(
Master_Mapping_Sheet!$E$2:$E$3143, ISNUMBER(
Master_Mapping_Sh"&amp;"eet!$E$2:$E$3143),
Master_Mapping_Sheet!$H$2:$H$3143=U$1))), 0, sum(filter(
Master_Mapping_Sheet!$E$2:$E$3143, ISNUMBER(
Master_Mapping_Sheet!$E$2:$E$3143),
Master_Mapping_Sheet!$H$2:$H$3143=U$1,
Master_Mapping_Sheet!$B$2:$B$3143=$A24))/sum(filter(
Master"&amp;"_Mapping_Sheet!$E$2:$E$3143, ISNUMBER(
Master_Mapping_Sheet!$E$2:$E$3143),
Master_Mapping_Sheet!$H$2:$H$3143=U$1)))"),0.0)</f>
        <v>0</v>
      </c>
      <c r="V24" s="34">
        <f>IFERROR(__xludf.DUMMYFUNCTION("IF(ISNA(sum(filter(
Master_Mapping_Sheet!$E$2:$E$3143, ISNUMBER(
Master_Mapping_Sheet!$E$2:$E$3143),
Master_Mapping_Sheet!$H$2:$H$3143=V$1,
Master_Mapping_Sheet!$B$2:$B$3143=$A24))/sum(filter(
Master_Mapping_Sheet!$E$2:$E$3143, ISNUMBER(
Master_Mapping_Sh"&amp;"eet!$E$2:$E$3143),
Master_Mapping_Sheet!$H$2:$H$3143=V$1))), 0, sum(filter(
Master_Mapping_Sheet!$E$2:$E$3143, ISNUMBER(
Master_Mapping_Sheet!$E$2:$E$3143),
Master_Mapping_Sheet!$H$2:$H$3143=V$1,
Master_Mapping_Sheet!$B$2:$B$3143=$A24))/sum(filter(
Master"&amp;"_Mapping_Sheet!$E$2:$E$3143, ISNUMBER(
Master_Mapping_Sheet!$E$2:$E$3143),
Master_Mapping_Sheet!$H$2:$H$3143=V$1)))"),0.0)</f>
        <v>0</v>
      </c>
      <c r="W24" s="34">
        <f>IFERROR(__xludf.DUMMYFUNCTION("IF(ISNA(sum(filter(
Master_Mapping_Sheet!$E$2:$E$3143, ISNUMBER(
Master_Mapping_Sheet!$E$2:$E$3143),
Master_Mapping_Sheet!$H$2:$H$3143=W$1,
Master_Mapping_Sheet!$B$2:$B$3143=$A24))/sum(filter(
Master_Mapping_Sheet!$E$2:$E$3143, ISNUMBER(
Master_Mapping_Sh"&amp;"eet!$E$2:$E$3143),
Master_Mapping_Sheet!$H$2:$H$3143=W$1))), 0, sum(filter(
Master_Mapping_Sheet!$E$2:$E$3143, ISNUMBER(
Master_Mapping_Sheet!$E$2:$E$3143),
Master_Mapping_Sheet!$H$2:$H$3143=W$1,
Master_Mapping_Sheet!$B$2:$B$3143=$A24))/sum(filter(
Master"&amp;"_Mapping_Sheet!$E$2:$E$3143, ISNUMBER(
Master_Mapping_Sheet!$E$2:$E$3143),
Master_Mapping_Sheet!$H$2:$H$3143=W$1)))"),0.0)</f>
        <v>0</v>
      </c>
      <c r="X24" s="34">
        <f>IFERROR(__xludf.DUMMYFUNCTION("IF(ISNA(sum(filter(
Master_Mapping_Sheet!$E$2:$E$3143, ISNUMBER(
Master_Mapping_Sheet!$E$2:$E$3143),
Master_Mapping_Sheet!$H$2:$H$3143=X$1,
Master_Mapping_Sheet!$B$2:$B$3143=$A24))/sum(filter(
Master_Mapping_Sheet!$E$2:$E$3143, ISNUMBER(
Master_Mapping_Sh"&amp;"eet!$E$2:$E$3143),
Master_Mapping_Sheet!$H$2:$H$3143=X$1))), 0, sum(filter(
Master_Mapping_Sheet!$E$2:$E$3143, ISNUMBER(
Master_Mapping_Sheet!$E$2:$E$3143),
Master_Mapping_Sheet!$H$2:$H$3143=X$1,
Master_Mapping_Sheet!$B$2:$B$3143=$A24))/sum(filter(
Master"&amp;"_Mapping_Sheet!$E$2:$E$3143, ISNUMBER(
Master_Mapping_Sheet!$E$2:$E$3143),
Master_Mapping_Sheet!$H$2:$H$3143=X$1)))"),0.0)</f>
        <v>0</v>
      </c>
      <c r="Y24" s="34">
        <f>IFERROR(__xludf.DUMMYFUNCTION("IF(ISNA(sum(filter(
Master_Mapping_Sheet!$E$2:$E$3143, ISNUMBER(
Master_Mapping_Sheet!$E$2:$E$3143),
Master_Mapping_Sheet!$H$2:$H$3143=Y$1,
Master_Mapping_Sheet!$B$2:$B$3143=$A24))/sum(filter(
Master_Mapping_Sheet!$E$2:$E$3143, ISNUMBER(
Master_Mapping_Sh"&amp;"eet!$E$2:$E$3143),
Master_Mapping_Sheet!$H$2:$H$3143=Y$1))), 0, sum(filter(
Master_Mapping_Sheet!$E$2:$E$3143, ISNUMBER(
Master_Mapping_Sheet!$E$2:$E$3143),
Master_Mapping_Sheet!$H$2:$H$3143=Y$1,
Master_Mapping_Sheet!$B$2:$B$3143=$A24))/sum(filter(
Master"&amp;"_Mapping_Sheet!$E$2:$E$3143, ISNUMBER(
Master_Mapping_Sheet!$E$2:$E$3143),
Master_Mapping_Sheet!$H$2:$H$3143=Y$1)))"),0.0)</f>
        <v>0</v>
      </c>
      <c r="Z24" s="34">
        <f>IFERROR(__xludf.DUMMYFUNCTION("IF(ISNA(sum(filter(
Master_Mapping_Sheet!$E$2:$E$3143, ISNUMBER(
Master_Mapping_Sheet!$E$2:$E$3143),
Master_Mapping_Sheet!$H$2:$H$3143=Z$1,
Master_Mapping_Sheet!$B$2:$B$3143=$A24))/sum(filter(
Master_Mapping_Sheet!$E$2:$E$3143, ISNUMBER(
Master_Mapping_Sh"&amp;"eet!$E$2:$E$3143),
Master_Mapping_Sheet!$H$2:$H$3143=Z$1))), 0, sum(filter(
Master_Mapping_Sheet!$E$2:$E$3143, ISNUMBER(
Master_Mapping_Sheet!$E$2:$E$3143),
Master_Mapping_Sheet!$H$2:$H$3143=Z$1,
Master_Mapping_Sheet!$B$2:$B$3143=$A24))/sum(filter(
Master"&amp;"_Mapping_Sheet!$E$2:$E$3143, ISNUMBER(
Master_Mapping_Sheet!$E$2:$E$3143),
Master_Mapping_Sheet!$H$2:$H$3143=Z$1)))"),0.0)</f>
        <v>0</v>
      </c>
      <c r="AA24" s="34">
        <f>IFERROR(__xludf.DUMMYFUNCTION("IF(ISNA(sum(filter(
Master_Mapping_Sheet!$E$2:$E$3143, ISNUMBER(
Master_Mapping_Sheet!$E$2:$E$3143),
Master_Mapping_Sheet!$H$2:$H$3143=AA$1,
Master_Mapping_Sheet!$B$2:$B$3143=$A24))/sum(filter(
Master_Mapping_Sheet!$E$2:$E$3143, ISNUMBER(
Master_Mapping_S"&amp;"heet!$E$2:$E$3143),
Master_Mapping_Sheet!$H$2:$H$3143=AA$1))), 0, sum(filter(
Master_Mapping_Sheet!$E$2:$E$3143, ISNUMBER(
Master_Mapping_Sheet!$E$2:$E$3143),
Master_Mapping_Sheet!$H$2:$H$3143=AA$1,
Master_Mapping_Sheet!$B$2:$B$3143=$A24))/sum(filter(
Mas"&amp;"ter_Mapping_Sheet!$E$2:$E$3143, ISNUMBER(
Master_Mapping_Sheet!$E$2:$E$3143),
Master_Mapping_Sheet!$H$2:$H$3143=AA$1)))"),0.0)</f>
        <v>0</v>
      </c>
    </row>
    <row r="25" ht="15.75" customHeight="1">
      <c r="A25" s="34" t="s">
        <v>1026</v>
      </c>
      <c r="B25" s="34" t="s">
        <v>2893</v>
      </c>
      <c r="C25" s="34">
        <f>IFERROR(__xludf.DUMMYFUNCTION("IF(ISNA(sum(filter(
Master_Mapping_Sheet!$E$2:$E$3143, ISNUMBER(
Master_Mapping_Sheet!$E$2:$E$3143),
Master_Mapping_Sheet!$H$2:$H$3143=C$1,
Master_Mapping_Sheet!$B$2:$B$3143=$A25))/sum(filter(
Master_Mapping_Sheet!$E$2:$E$3143, ISNUMBER(
Master_Mapping_Sh"&amp;"eet!$E$2:$E$3143),
Master_Mapping_Sheet!$H$2:$H$3143=C$1))), 0, sum(filter(
Master_Mapping_Sheet!$E$2:$E$3143, ISNUMBER(
Master_Mapping_Sheet!$E$2:$E$3143),
Master_Mapping_Sheet!$H$2:$H$3143=C$1,
Master_Mapping_Sheet!$B$2:$B$3143=$A25))/sum(filter(
Master"&amp;"_Mapping_Sheet!$E$2:$E$3143, ISNUMBER(
Master_Mapping_Sheet!$E$2:$E$3143),
Master_Mapping_Sheet!$H$2:$H$3143=C$1)))"),0.0)</f>
        <v>0</v>
      </c>
      <c r="D25" s="34">
        <f>IFERROR(__xludf.DUMMYFUNCTION("IF(ISNA(sum(filter(
Master_Mapping_Sheet!$E$2:$E$3143, ISNUMBER(
Master_Mapping_Sheet!$E$2:$E$3143),
Master_Mapping_Sheet!$H$2:$H$3143=D$1,
Master_Mapping_Sheet!$B$2:$B$3143=$A25))/sum(filter(
Master_Mapping_Sheet!$E$2:$E$3143, ISNUMBER(
Master_Mapping_Sh"&amp;"eet!$E$2:$E$3143),
Master_Mapping_Sheet!$H$2:$H$3143=D$1))), 0, sum(filter(
Master_Mapping_Sheet!$E$2:$E$3143, ISNUMBER(
Master_Mapping_Sheet!$E$2:$E$3143),
Master_Mapping_Sheet!$H$2:$H$3143=D$1,
Master_Mapping_Sheet!$B$2:$B$3143=$A25))/sum(filter(
Master"&amp;"_Mapping_Sheet!$E$2:$E$3143, ISNUMBER(
Master_Mapping_Sheet!$E$2:$E$3143),
Master_Mapping_Sheet!$H$2:$H$3143=D$1)))"),0.0)</f>
        <v>0</v>
      </c>
      <c r="E25" s="32">
        <f>IFERROR(__xludf.DUMMYFUNCTION("IF(ISNA(sum(filter(
Master_Mapping_Sheet!$E$2:$E$3143, ISNUMBER(
Master_Mapping_Sheet!$E$2:$E$3143),
Master_Mapping_Sheet!$H$2:$H$3143=E$1,
Master_Mapping_Sheet!$B$2:$B$3143=$A25))/sum(filter(
Master_Mapping_Sheet!$E$2:$E$3143, ISNUMBER(
Master_Mapping_Sh"&amp;"eet!$E$2:$E$3143),
Master_Mapping_Sheet!$H$2:$H$3143=E$1))), 0, sum(filter(
Master_Mapping_Sheet!$E$2:$E$3143, ISNUMBER(
Master_Mapping_Sheet!$E$2:$E$3143),
Master_Mapping_Sheet!$H$2:$H$3143=E$1,
Master_Mapping_Sheet!$B$2:$B$3143=$A25))/sum(filter(
Master"&amp;"_Mapping_Sheet!$E$2:$E$3143, ISNUMBER(
Master_Mapping_Sheet!$E$2:$E$3143),
Master_Mapping_Sheet!$H$2:$H$3143=E$1)))"),0.3789438091240052)</f>
        <v>0.3789438091</v>
      </c>
      <c r="F25" s="34">
        <f>IFERROR(__xludf.DUMMYFUNCTION("IF(ISNA(sum(filter(
Master_Mapping_Sheet!$E$2:$E$3143, ISNUMBER(
Master_Mapping_Sheet!$E$2:$E$3143),
Master_Mapping_Sheet!$H$2:$H$3143=F$1,
Master_Mapping_Sheet!$B$2:$B$3143=$A25))/sum(filter(
Master_Mapping_Sheet!$E$2:$E$3143, ISNUMBER(
Master_Mapping_Sh"&amp;"eet!$E$2:$E$3143),
Master_Mapping_Sheet!$H$2:$H$3143=F$1))), 0, sum(filter(
Master_Mapping_Sheet!$E$2:$E$3143, ISNUMBER(
Master_Mapping_Sheet!$E$2:$E$3143),
Master_Mapping_Sheet!$H$2:$H$3143=F$1,
Master_Mapping_Sheet!$B$2:$B$3143=$A25))/sum(filter(
Master"&amp;"_Mapping_Sheet!$E$2:$E$3143, ISNUMBER(
Master_Mapping_Sheet!$E$2:$E$3143),
Master_Mapping_Sheet!$H$2:$H$3143=F$1)))"),0.0)</f>
        <v>0</v>
      </c>
      <c r="G25" s="34">
        <f>IFERROR(__xludf.DUMMYFUNCTION("IF(ISNA(sum(filter(
Master_Mapping_Sheet!$E$2:$E$3143, ISNUMBER(
Master_Mapping_Sheet!$E$2:$E$3143),
Master_Mapping_Sheet!$H$2:$H$3143=G$1,
Master_Mapping_Sheet!$B$2:$B$3143=$A25))/sum(filter(
Master_Mapping_Sheet!$E$2:$E$3143, ISNUMBER(
Master_Mapping_Sh"&amp;"eet!$E$2:$E$3143),
Master_Mapping_Sheet!$H$2:$H$3143=G$1))), 0, sum(filter(
Master_Mapping_Sheet!$E$2:$E$3143, ISNUMBER(
Master_Mapping_Sheet!$E$2:$E$3143),
Master_Mapping_Sheet!$H$2:$H$3143=G$1,
Master_Mapping_Sheet!$B$2:$B$3143=$A25))/sum(filter(
Master"&amp;"_Mapping_Sheet!$E$2:$E$3143, ISNUMBER(
Master_Mapping_Sheet!$E$2:$E$3143),
Master_Mapping_Sheet!$H$2:$H$3143=G$1)))"),0.0)</f>
        <v>0</v>
      </c>
      <c r="H25" s="34">
        <f>IFERROR(__xludf.DUMMYFUNCTION("IF(ISNA(sum(filter(
Master_Mapping_Sheet!$E$2:$E$3143, ISNUMBER(
Master_Mapping_Sheet!$E$2:$E$3143),
Master_Mapping_Sheet!$H$2:$H$3143=H$1,
Master_Mapping_Sheet!$B$2:$B$3143=$A25))/sum(filter(
Master_Mapping_Sheet!$E$2:$E$3143, ISNUMBER(
Master_Mapping_Sh"&amp;"eet!$E$2:$E$3143),
Master_Mapping_Sheet!$H$2:$H$3143=H$1))), 0, sum(filter(
Master_Mapping_Sheet!$E$2:$E$3143, ISNUMBER(
Master_Mapping_Sheet!$E$2:$E$3143),
Master_Mapping_Sheet!$H$2:$H$3143=H$1,
Master_Mapping_Sheet!$B$2:$B$3143=$A25))/sum(filter(
Master"&amp;"_Mapping_Sheet!$E$2:$E$3143, ISNUMBER(
Master_Mapping_Sheet!$E$2:$E$3143),
Master_Mapping_Sheet!$H$2:$H$3143=H$1)))"),0.0)</f>
        <v>0</v>
      </c>
      <c r="I25" s="34">
        <f>IFERROR(__xludf.DUMMYFUNCTION("IF(ISNA(sum(filter(
Master_Mapping_Sheet!$E$2:$E$3143, ISNUMBER(
Master_Mapping_Sheet!$E$2:$E$3143),
Master_Mapping_Sheet!$H$2:$H$3143=I$1,
Master_Mapping_Sheet!$B$2:$B$3143=$A25))/sum(filter(
Master_Mapping_Sheet!$E$2:$E$3143, ISNUMBER(
Master_Mapping_Sh"&amp;"eet!$E$2:$E$3143),
Master_Mapping_Sheet!$H$2:$H$3143=I$1))), 0, sum(filter(
Master_Mapping_Sheet!$E$2:$E$3143, ISNUMBER(
Master_Mapping_Sheet!$E$2:$E$3143),
Master_Mapping_Sheet!$H$2:$H$3143=I$1,
Master_Mapping_Sheet!$B$2:$B$3143=$A25))/sum(filter(
Master"&amp;"_Mapping_Sheet!$E$2:$E$3143, ISNUMBER(
Master_Mapping_Sheet!$E$2:$E$3143),
Master_Mapping_Sheet!$H$2:$H$3143=I$1)))"),0.0)</f>
        <v>0</v>
      </c>
      <c r="J25" s="34">
        <f>IFERROR(__xludf.DUMMYFUNCTION("IF(ISNA(sum(filter(
Master_Mapping_Sheet!$E$2:$E$3143, ISNUMBER(
Master_Mapping_Sheet!$E$2:$E$3143),
Master_Mapping_Sheet!$H$2:$H$3143=J$1,
Master_Mapping_Sheet!$B$2:$B$3143=$A25))/sum(filter(
Master_Mapping_Sheet!$E$2:$E$3143, ISNUMBER(
Master_Mapping_Sh"&amp;"eet!$E$2:$E$3143),
Master_Mapping_Sheet!$H$2:$H$3143=J$1))), 0, sum(filter(
Master_Mapping_Sheet!$E$2:$E$3143, ISNUMBER(
Master_Mapping_Sheet!$E$2:$E$3143),
Master_Mapping_Sheet!$H$2:$H$3143=J$1,
Master_Mapping_Sheet!$B$2:$B$3143=$A25))/sum(filter(
Master"&amp;"_Mapping_Sheet!$E$2:$E$3143, ISNUMBER(
Master_Mapping_Sheet!$E$2:$E$3143),
Master_Mapping_Sheet!$H$2:$H$3143=J$1)))"),0.0)</f>
        <v>0</v>
      </c>
      <c r="K25" s="34">
        <f>IFERROR(__xludf.DUMMYFUNCTION("IF(ISNA(sum(filter(
Master_Mapping_Sheet!$E$2:$E$3143, ISNUMBER(
Master_Mapping_Sheet!$E$2:$E$3143),
Master_Mapping_Sheet!$H$2:$H$3143=K$1,
Master_Mapping_Sheet!$B$2:$B$3143=$A25))/sum(filter(
Master_Mapping_Sheet!$E$2:$E$3143, ISNUMBER(
Master_Mapping_Sh"&amp;"eet!$E$2:$E$3143),
Master_Mapping_Sheet!$H$2:$H$3143=K$1))), 0, sum(filter(
Master_Mapping_Sheet!$E$2:$E$3143, ISNUMBER(
Master_Mapping_Sheet!$E$2:$E$3143),
Master_Mapping_Sheet!$H$2:$H$3143=K$1,
Master_Mapping_Sheet!$B$2:$B$3143=$A25))/sum(filter(
Master"&amp;"_Mapping_Sheet!$E$2:$E$3143, ISNUMBER(
Master_Mapping_Sheet!$E$2:$E$3143),
Master_Mapping_Sheet!$H$2:$H$3143=K$1)))"),0.0)</f>
        <v>0</v>
      </c>
      <c r="L25" s="34">
        <f>IFERROR(__xludf.DUMMYFUNCTION("IF(ISNA(sum(filter(
Master_Mapping_Sheet!$E$2:$E$3143, ISNUMBER(
Master_Mapping_Sheet!$E$2:$E$3143),
Master_Mapping_Sheet!$H$2:$H$3143=L$1,
Master_Mapping_Sheet!$B$2:$B$3143=$A25))/sum(filter(
Master_Mapping_Sheet!$E$2:$E$3143, ISNUMBER(
Master_Mapping_Sh"&amp;"eet!$E$2:$E$3143),
Master_Mapping_Sheet!$H$2:$H$3143=L$1))), 0, sum(filter(
Master_Mapping_Sheet!$E$2:$E$3143, ISNUMBER(
Master_Mapping_Sheet!$E$2:$E$3143),
Master_Mapping_Sheet!$H$2:$H$3143=L$1,
Master_Mapping_Sheet!$B$2:$B$3143=$A25))/sum(filter(
Master"&amp;"_Mapping_Sheet!$E$2:$E$3143, ISNUMBER(
Master_Mapping_Sheet!$E$2:$E$3143),
Master_Mapping_Sheet!$H$2:$H$3143=L$1)))"),0.0)</f>
        <v>0</v>
      </c>
      <c r="M25" s="34">
        <f>IFERROR(__xludf.DUMMYFUNCTION("IF(ISNA(sum(filter(
Master_Mapping_Sheet!$E$2:$E$3143, ISNUMBER(
Master_Mapping_Sheet!$E$2:$E$3143),
Master_Mapping_Sheet!$H$2:$H$3143=M$1,
Master_Mapping_Sheet!$B$2:$B$3143=$A25))/sum(filter(
Master_Mapping_Sheet!$E$2:$E$3143, ISNUMBER(
Master_Mapping_Sh"&amp;"eet!$E$2:$E$3143),
Master_Mapping_Sheet!$H$2:$H$3143=M$1))), 0, sum(filter(
Master_Mapping_Sheet!$E$2:$E$3143, ISNUMBER(
Master_Mapping_Sheet!$E$2:$E$3143),
Master_Mapping_Sheet!$H$2:$H$3143=M$1,
Master_Mapping_Sheet!$B$2:$B$3143=$A25))/sum(filter(
Master"&amp;"_Mapping_Sheet!$E$2:$E$3143, ISNUMBER(
Master_Mapping_Sheet!$E$2:$E$3143),
Master_Mapping_Sheet!$H$2:$H$3143=M$1)))"),0.0)</f>
        <v>0</v>
      </c>
      <c r="N25" s="34">
        <f>IFERROR(__xludf.DUMMYFUNCTION("IF(ISNA(sum(filter(
Master_Mapping_Sheet!$E$2:$E$3143, ISNUMBER(
Master_Mapping_Sheet!$E$2:$E$3143),
Master_Mapping_Sheet!$H$2:$H$3143=N$1,
Master_Mapping_Sheet!$B$2:$B$3143=$A25))/sum(filter(
Master_Mapping_Sheet!$E$2:$E$3143, ISNUMBER(
Master_Mapping_Sh"&amp;"eet!$E$2:$E$3143),
Master_Mapping_Sheet!$H$2:$H$3143=N$1))), 0, sum(filter(
Master_Mapping_Sheet!$E$2:$E$3143, ISNUMBER(
Master_Mapping_Sheet!$E$2:$E$3143),
Master_Mapping_Sheet!$H$2:$H$3143=N$1,
Master_Mapping_Sheet!$B$2:$B$3143=$A25))/sum(filter(
Master"&amp;"_Mapping_Sheet!$E$2:$E$3143, ISNUMBER(
Master_Mapping_Sheet!$E$2:$E$3143),
Master_Mapping_Sheet!$H$2:$H$3143=N$1)))"),0.0)</f>
        <v>0</v>
      </c>
      <c r="O25" s="34">
        <f>IFERROR(__xludf.DUMMYFUNCTION("IF(ISNA(sum(filter(
Master_Mapping_Sheet!$E$2:$E$3143, ISNUMBER(
Master_Mapping_Sheet!$E$2:$E$3143),
Master_Mapping_Sheet!$H$2:$H$3143=O$1,
Master_Mapping_Sheet!$B$2:$B$3143=$A25))/sum(filter(
Master_Mapping_Sheet!$E$2:$E$3143, ISNUMBER(
Master_Mapping_Sh"&amp;"eet!$E$2:$E$3143),
Master_Mapping_Sheet!$H$2:$H$3143=O$1))), 0, sum(filter(
Master_Mapping_Sheet!$E$2:$E$3143, ISNUMBER(
Master_Mapping_Sheet!$E$2:$E$3143),
Master_Mapping_Sheet!$H$2:$H$3143=O$1,
Master_Mapping_Sheet!$B$2:$B$3143=$A25))/sum(filter(
Master"&amp;"_Mapping_Sheet!$E$2:$E$3143, ISNUMBER(
Master_Mapping_Sheet!$E$2:$E$3143),
Master_Mapping_Sheet!$H$2:$H$3143=O$1)))"),0.0)</f>
        <v>0</v>
      </c>
      <c r="P25" s="34">
        <f>IFERROR(__xludf.DUMMYFUNCTION("IF(ISNA(sum(filter(
Master_Mapping_Sheet!$E$2:$E$3143, ISNUMBER(
Master_Mapping_Sheet!$E$2:$E$3143),
Master_Mapping_Sheet!$H$2:$H$3143=P$1,
Master_Mapping_Sheet!$B$2:$B$3143=$A25))/sum(filter(
Master_Mapping_Sheet!$E$2:$E$3143, ISNUMBER(
Master_Mapping_Sh"&amp;"eet!$E$2:$E$3143),
Master_Mapping_Sheet!$H$2:$H$3143=P$1))), 0, sum(filter(
Master_Mapping_Sheet!$E$2:$E$3143, ISNUMBER(
Master_Mapping_Sheet!$E$2:$E$3143),
Master_Mapping_Sheet!$H$2:$H$3143=P$1,
Master_Mapping_Sheet!$B$2:$B$3143=$A25))/sum(filter(
Master"&amp;"_Mapping_Sheet!$E$2:$E$3143, ISNUMBER(
Master_Mapping_Sheet!$E$2:$E$3143),
Master_Mapping_Sheet!$H$2:$H$3143=P$1)))"),0.0)</f>
        <v>0</v>
      </c>
      <c r="Q25" s="34">
        <f>IFERROR(__xludf.DUMMYFUNCTION("IF(ISNA(sum(filter(
Master_Mapping_Sheet!$E$2:$E$3143, ISNUMBER(
Master_Mapping_Sheet!$E$2:$E$3143),
Master_Mapping_Sheet!$H$2:$H$3143=Q$1,
Master_Mapping_Sheet!$B$2:$B$3143=$A25))/sum(filter(
Master_Mapping_Sheet!$E$2:$E$3143, ISNUMBER(
Master_Mapping_Sh"&amp;"eet!$E$2:$E$3143),
Master_Mapping_Sheet!$H$2:$H$3143=Q$1))), 0, sum(filter(
Master_Mapping_Sheet!$E$2:$E$3143, ISNUMBER(
Master_Mapping_Sheet!$E$2:$E$3143),
Master_Mapping_Sheet!$H$2:$H$3143=Q$1,
Master_Mapping_Sheet!$B$2:$B$3143=$A25))/sum(filter(
Master"&amp;"_Mapping_Sheet!$E$2:$E$3143, ISNUMBER(
Master_Mapping_Sheet!$E$2:$E$3143),
Master_Mapping_Sheet!$H$2:$H$3143=Q$1)))"),0.0)</f>
        <v>0</v>
      </c>
      <c r="R25" s="34">
        <f>IFERROR(__xludf.DUMMYFUNCTION("IF(ISNA(sum(filter(
Master_Mapping_Sheet!$E$2:$E$3143, ISNUMBER(
Master_Mapping_Sheet!$E$2:$E$3143),
Master_Mapping_Sheet!$H$2:$H$3143=R$1,
Master_Mapping_Sheet!$B$2:$B$3143=$A25))/sum(filter(
Master_Mapping_Sheet!$E$2:$E$3143, ISNUMBER(
Master_Mapping_Sh"&amp;"eet!$E$2:$E$3143),
Master_Mapping_Sheet!$H$2:$H$3143=R$1))), 0, sum(filter(
Master_Mapping_Sheet!$E$2:$E$3143, ISNUMBER(
Master_Mapping_Sheet!$E$2:$E$3143),
Master_Mapping_Sheet!$H$2:$H$3143=R$1,
Master_Mapping_Sheet!$B$2:$B$3143=$A25))/sum(filter(
Master"&amp;"_Mapping_Sheet!$E$2:$E$3143, ISNUMBER(
Master_Mapping_Sheet!$E$2:$E$3143),
Master_Mapping_Sheet!$H$2:$H$3143=R$1)))"),0.0)</f>
        <v>0</v>
      </c>
      <c r="S25" s="34">
        <f>IFERROR(__xludf.DUMMYFUNCTION("IF(ISNA(sum(filter(
Master_Mapping_Sheet!$E$2:$E$3143, ISNUMBER(
Master_Mapping_Sheet!$E$2:$E$3143),
Master_Mapping_Sheet!$H$2:$H$3143=S$1,
Master_Mapping_Sheet!$B$2:$B$3143=$A25))/sum(filter(
Master_Mapping_Sheet!$E$2:$E$3143, ISNUMBER(
Master_Mapping_Sh"&amp;"eet!$E$2:$E$3143),
Master_Mapping_Sheet!$H$2:$H$3143=S$1))), 0, sum(filter(
Master_Mapping_Sheet!$E$2:$E$3143, ISNUMBER(
Master_Mapping_Sheet!$E$2:$E$3143),
Master_Mapping_Sheet!$H$2:$H$3143=S$1,
Master_Mapping_Sheet!$B$2:$B$3143=$A25))/sum(filter(
Master"&amp;"_Mapping_Sheet!$E$2:$E$3143, ISNUMBER(
Master_Mapping_Sheet!$E$2:$E$3143),
Master_Mapping_Sheet!$H$2:$H$3143=S$1)))"),0.0)</f>
        <v>0</v>
      </c>
      <c r="T25" s="34">
        <f>IFERROR(__xludf.DUMMYFUNCTION("IF(ISNA(sum(filter(
Master_Mapping_Sheet!$E$2:$E$3143, ISNUMBER(
Master_Mapping_Sheet!$E$2:$E$3143),
Master_Mapping_Sheet!$H$2:$H$3143=T$1,
Master_Mapping_Sheet!$B$2:$B$3143=$A25))/sum(filter(
Master_Mapping_Sheet!$E$2:$E$3143, ISNUMBER(
Master_Mapping_Sh"&amp;"eet!$E$2:$E$3143),
Master_Mapping_Sheet!$H$2:$H$3143=T$1))), 0, sum(filter(
Master_Mapping_Sheet!$E$2:$E$3143, ISNUMBER(
Master_Mapping_Sheet!$E$2:$E$3143),
Master_Mapping_Sheet!$H$2:$H$3143=T$1,
Master_Mapping_Sheet!$B$2:$B$3143=$A25))/sum(filter(
Master"&amp;"_Mapping_Sheet!$E$2:$E$3143, ISNUMBER(
Master_Mapping_Sheet!$E$2:$E$3143),
Master_Mapping_Sheet!$H$2:$H$3143=T$1)))"),0.0)</f>
        <v>0</v>
      </c>
      <c r="U25" s="34">
        <f>IFERROR(__xludf.DUMMYFUNCTION("IF(ISNA(sum(filter(
Master_Mapping_Sheet!$E$2:$E$3143, ISNUMBER(
Master_Mapping_Sheet!$E$2:$E$3143),
Master_Mapping_Sheet!$H$2:$H$3143=U$1,
Master_Mapping_Sheet!$B$2:$B$3143=$A25))/sum(filter(
Master_Mapping_Sheet!$E$2:$E$3143, ISNUMBER(
Master_Mapping_Sh"&amp;"eet!$E$2:$E$3143),
Master_Mapping_Sheet!$H$2:$H$3143=U$1))), 0, sum(filter(
Master_Mapping_Sheet!$E$2:$E$3143, ISNUMBER(
Master_Mapping_Sheet!$E$2:$E$3143),
Master_Mapping_Sheet!$H$2:$H$3143=U$1,
Master_Mapping_Sheet!$B$2:$B$3143=$A25))/sum(filter(
Master"&amp;"_Mapping_Sheet!$E$2:$E$3143, ISNUMBER(
Master_Mapping_Sheet!$E$2:$E$3143),
Master_Mapping_Sheet!$H$2:$H$3143=U$1)))"),0.05991397413100116)</f>
        <v>0.05991397413</v>
      </c>
      <c r="V25" s="34">
        <f>IFERROR(__xludf.DUMMYFUNCTION("IF(ISNA(sum(filter(
Master_Mapping_Sheet!$E$2:$E$3143, ISNUMBER(
Master_Mapping_Sheet!$E$2:$E$3143),
Master_Mapping_Sheet!$H$2:$H$3143=V$1,
Master_Mapping_Sheet!$B$2:$B$3143=$A25))/sum(filter(
Master_Mapping_Sheet!$E$2:$E$3143, ISNUMBER(
Master_Mapping_Sh"&amp;"eet!$E$2:$E$3143),
Master_Mapping_Sheet!$H$2:$H$3143=V$1))), 0, sum(filter(
Master_Mapping_Sheet!$E$2:$E$3143, ISNUMBER(
Master_Mapping_Sheet!$E$2:$E$3143),
Master_Mapping_Sheet!$H$2:$H$3143=V$1,
Master_Mapping_Sheet!$B$2:$B$3143=$A25))/sum(filter(
Master"&amp;"_Mapping_Sheet!$E$2:$E$3143, ISNUMBER(
Master_Mapping_Sheet!$E$2:$E$3143),
Master_Mapping_Sheet!$H$2:$H$3143=V$1)))"),0.0)</f>
        <v>0</v>
      </c>
      <c r="W25" s="34">
        <f>IFERROR(__xludf.DUMMYFUNCTION("IF(ISNA(sum(filter(
Master_Mapping_Sheet!$E$2:$E$3143, ISNUMBER(
Master_Mapping_Sheet!$E$2:$E$3143),
Master_Mapping_Sheet!$H$2:$H$3143=W$1,
Master_Mapping_Sheet!$B$2:$B$3143=$A25))/sum(filter(
Master_Mapping_Sheet!$E$2:$E$3143, ISNUMBER(
Master_Mapping_Sh"&amp;"eet!$E$2:$E$3143),
Master_Mapping_Sheet!$H$2:$H$3143=W$1))), 0, sum(filter(
Master_Mapping_Sheet!$E$2:$E$3143, ISNUMBER(
Master_Mapping_Sheet!$E$2:$E$3143),
Master_Mapping_Sheet!$H$2:$H$3143=W$1,
Master_Mapping_Sheet!$B$2:$B$3143=$A25))/sum(filter(
Master"&amp;"_Mapping_Sheet!$E$2:$E$3143, ISNUMBER(
Master_Mapping_Sheet!$E$2:$E$3143),
Master_Mapping_Sheet!$H$2:$H$3143=W$1)))"),0.0)</f>
        <v>0</v>
      </c>
      <c r="X25" s="34">
        <f>IFERROR(__xludf.DUMMYFUNCTION("IF(ISNA(sum(filter(
Master_Mapping_Sheet!$E$2:$E$3143, ISNUMBER(
Master_Mapping_Sheet!$E$2:$E$3143),
Master_Mapping_Sheet!$H$2:$H$3143=X$1,
Master_Mapping_Sheet!$B$2:$B$3143=$A25))/sum(filter(
Master_Mapping_Sheet!$E$2:$E$3143, ISNUMBER(
Master_Mapping_Sh"&amp;"eet!$E$2:$E$3143),
Master_Mapping_Sheet!$H$2:$H$3143=X$1))), 0, sum(filter(
Master_Mapping_Sheet!$E$2:$E$3143, ISNUMBER(
Master_Mapping_Sheet!$E$2:$E$3143),
Master_Mapping_Sheet!$H$2:$H$3143=X$1,
Master_Mapping_Sheet!$B$2:$B$3143=$A25))/sum(filter(
Master"&amp;"_Mapping_Sheet!$E$2:$E$3143, ISNUMBER(
Master_Mapping_Sheet!$E$2:$E$3143),
Master_Mapping_Sheet!$H$2:$H$3143=X$1)))"),0.0)</f>
        <v>0</v>
      </c>
      <c r="Y25" s="34">
        <f>IFERROR(__xludf.DUMMYFUNCTION("IF(ISNA(sum(filter(
Master_Mapping_Sheet!$E$2:$E$3143, ISNUMBER(
Master_Mapping_Sheet!$E$2:$E$3143),
Master_Mapping_Sheet!$H$2:$H$3143=Y$1,
Master_Mapping_Sheet!$B$2:$B$3143=$A25))/sum(filter(
Master_Mapping_Sheet!$E$2:$E$3143, ISNUMBER(
Master_Mapping_Sh"&amp;"eet!$E$2:$E$3143),
Master_Mapping_Sheet!$H$2:$H$3143=Y$1))), 0, sum(filter(
Master_Mapping_Sheet!$E$2:$E$3143, ISNUMBER(
Master_Mapping_Sheet!$E$2:$E$3143),
Master_Mapping_Sheet!$H$2:$H$3143=Y$1,
Master_Mapping_Sheet!$B$2:$B$3143=$A25))/sum(filter(
Master"&amp;"_Mapping_Sheet!$E$2:$E$3143, ISNUMBER(
Master_Mapping_Sheet!$E$2:$E$3143),
Master_Mapping_Sheet!$H$2:$H$3143=Y$1)))"),0.0)</f>
        <v>0</v>
      </c>
      <c r="Z25" s="34">
        <f>IFERROR(__xludf.DUMMYFUNCTION("IF(ISNA(sum(filter(
Master_Mapping_Sheet!$E$2:$E$3143, ISNUMBER(
Master_Mapping_Sheet!$E$2:$E$3143),
Master_Mapping_Sheet!$H$2:$H$3143=Z$1,
Master_Mapping_Sheet!$B$2:$B$3143=$A25))/sum(filter(
Master_Mapping_Sheet!$E$2:$E$3143, ISNUMBER(
Master_Mapping_Sh"&amp;"eet!$E$2:$E$3143),
Master_Mapping_Sheet!$H$2:$H$3143=Z$1))), 0, sum(filter(
Master_Mapping_Sheet!$E$2:$E$3143, ISNUMBER(
Master_Mapping_Sheet!$E$2:$E$3143),
Master_Mapping_Sheet!$H$2:$H$3143=Z$1,
Master_Mapping_Sheet!$B$2:$B$3143=$A25))/sum(filter(
Master"&amp;"_Mapping_Sheet!$E$2:$E$3143, ISNUMBER(
Master_Mapping_Sheet!$E$2:$E$3143),
Master_Mapping_Sheet!$H$2:$H$3143=Z$1)))"),0.0)</f>
        <v>0</v>
      </c>
      <c r="AA25" s="34">
        <f>IFERROR(__xludf.DUMMYFUNCTION("IF(ISNA(sum(filter(
Master_Mapping_Sheet!$E$2:$E$3143, ISNUMBER(
Master_Mapping_Sheet!$E$2:$E$3143),
Master_Mapping_Sheet!$H$2:$H$3143=AA$1,
Master_Mapping_Sheet!$B$2:$B$3143=$A25))/sum(filter(
Master_Mapping_Sheet!$E$2:$E$3143, ISNUMBER(
Master_Mapping_S"&amp;"heet!$E$2:$E$3143),
Master_Mapping_Sheet!$H$2:$H$3143=AA$1))), 0, sum(filter(
Master_Mapping_Sheet!$E$2:$E$3143, ISNUMBER(
Master_Mapping_Sheet!$E$2:$E$3143),
Master_Mapping_Sheet!$H$2:$H$3143=AA$1,
Master_Mapping_Sheet!$B$2:$B$3143=$A25))/sum(filter(
Mas"&amp;"ter_Mapping_Sheet!$E$2:$E$3143, ISNUMBER(
Master_Mapping_Sheet!$E$2:$E$3143),
Master_Mapping_Sheet!$H$2:$H$3143=AA$1)))"),0.0)</f>
        <v>0</v>
      </c>
    </row>
    <row r="26" ht="15.75" customHeight="1">
      <c r="A26" s="34" t="s">
        <v>255</v>
      </c>
      <c r="B26" s="34" t="s">
        <v>2955</v>
      </c>
      <c r="C26" s="34">
        <f>IFERROR(__xludf.DUMMYFUNCTION("IF(ISNA(sum(filter(
Master_Mapping_Sheet!$E$2:$E$3143, ISNUMBER(
Master_Mapping_Sheet!$E$2:$E$3143),
Master_Mapping_Sheet!$H$2:$H$3143=C$1,
Master_Mapping_Sheet!$B$2:$B$3143=$A26))/sum(filter(
Master_Mapping_Sheet!$E$2:$E$3143, ISNUMBER(
Master_Mapping_Sh"&amp;"eet!$E$2:$E$3143),
Master_Mapping_Sheet!$H$2:$H$3143=C$1))), 0, sum(filter(
Master_Mapping_Sheet!$E$2:$E$3143, ISNUMBER(
Master_Mapping_Sheet!$E$2:$E$3143),
Master_Mapping_Sheet!$H$2:$H$3143=C$1,
Master_Mapping_Sheet!$B$2:$B$3143=$A26))/sum(filter(
Master"&amp;"_Mapping_Sheet!$E$2:$E$3143, ISNUMBER(
Master_Mapping_Sheet!$E$2:$E$3143),
Master_Mapping_Sheet!$H$2:$H$3143=C$1)))"),0.0)</f>
        <v>0</v>
      </c>
      <c r="D26" s="34">
        <f>IFERROR(__xludf.DUMMYFUNCTION("IF(ISNA(sum(filter(
Master_Mapping_Sheet!$E$2:$E$3143, ISNUMBER(
Master_Mapping_Sheet!$E$2:$E$3143),
Master_Mapping_Sheet!$H$2:$H$3143=D$1,
Master_Mapping_Sheet!$B$2:$B$3143=$A26))/sum(filter(
Master_Mapping_Sheet!$E$2:$E$3143, ISNUMBER(
Master_Mapping_Sh"&amp;"eet!$E$2:$E$3143),
Master_Mapping_Sheet!$H$2:$H$3143=D$1))), 0, sum(filter(
Master_Mapping_Sheet!$E$2:$E$3143, ISNUMBER(
Master_Mapping_Sheet!$E$2:$E$3143),
Master_Mapping_Sheet!$H$2:$H$3143=D$1,
Master_Mapping_Sheet!$B$2:$B$3143=$A26))/sum(filter(
Master"&amp;"_Mapping_Sheet!$E$2:$E$3143, ISNUMBER(
Master_Mapping_Sheet!$E$2:$E$3143),
Master_Mapping_Sheet!$H$2:$H$3143=D$1)))"),0.0)</f>
        <v>0</v>
      </c>
      <c r="E26" s="32">
        <f>IFERROR(__xludf.DUMMYFUNCTION("IF(ISNA(sum(filter(
Master_Mapping_Sheet!$E$2:$E$3143, ISNUMBER(
Master_Mapping_Sheet!$E$2:$E$3143),
Master_Mapping_Sheet!$H$2:$H$3143=E$1,
Master_Mapping_Sheet!$B$2:$B$3143=$A26))/sum(filter(
Master_Mapping_Sheet!$E$2:$E$3143, ISNUMBER(
Master_Mapping_Sh"&amp;"eet!$E$2:$E$3143),
Master_Mapping_Sheet!$H$2:$H$3143=E$1))), 0, sum(filter(
Master_Mapping_Sheet!$E$2:$E$3143, ISNUMBER(
Master_Mapping_Sheet!$E$2:$E$3143),
Master_Mapping_Sheet!$H$2:$H$3143=E$1,
Master_Mapping_Sheet!$B$2:$B$3143=$A26))/sum(filter(
Master"&amp;"_Mapping_Sheet!$E$2:$E$3143, ISNUMBER(
Master_Mapping_Sheet!$E$2:$E$3143),
Master_Mapping_Sheet!$H$2:$H$3143=E$1)))"),0.0)</f>
        <v>0</v>
      </c>
      <c r="F26" s="34">
        <f>IFERROR(__xludf.DUMMYFUNCTION("IF(ISNA(sum(filter(
Master_Mapping_Sheet!$E$2:$E$3143, ISNUMBER(
Master_Mapping_Sheet!$E$2:$E$3143),
Master_Mapping_Sheet!$H$2:$H$3143=F$1,
Master_Mapping_Sheet!$B$2:$B$3143=$A26))/sum(filter(
Master_Mapping_Sheet!$E$2:$E$3143, ISNUMBER(
Master_Mapping_Sh"&amp;"eet!$E$2:$E$3143),
Master_Mapping_Sheet!$H$2:$H$3143=F$1))), 0, sum(filter(
Master_Mapping_Sheet!$E$2:$E$3143, ISNUMBER(
Master_Mapping_Sheet!$E$2:$E$3143),
Master_Mapping_Sheet!$H$2:$H$3143=F$1,
Master_Mapping_Sheet!$B$2:$B$3143=$A26))/sum(filter(
Master"&amp;"_Mapping_Sheet!$E$2:$E$3143, ISNUMBER(
Master_Mapping_Sheet!$E$2:$E$3143),
Master_Mapping_Sheet!$H$2:$H$3143=F$1)))"),0.0)</f>
        <v>0</v>
      </c>
      <c r="G26" s="34">
        <f>IFERROR(__xludf.DUMMYFUNCTION("IF(ISNA(sum(filter(
Master_Mapping_Sheet!$E$2:$E$3143, ISNUMBER(
Master_Mapping_Sheet!$E$2:$E$3143),
Master_Mapping_Sheet!$H$2:$H$3143=G$1,
Master_Mapping_Sheet!$B$2:$B$3143=$A26))/sum(filter(
Master_Mapping_Sheet!$E$2:$E$3143, ISNUMBER(
Master_Mapping_Sh"&amp;"eet!$E$2:$E$3143),
Master_Mapping_Sheet!$H$2:$H$3143=G$1))), 0, sum(filter(
Master_Mapping_Sheet!$E$2:$E$3143, ISNUMBER(
Master_Mapping_Sheet!$E$2:$E$3143),
Master_Mapping_Sheet!$H$2:$H$3143=G$1,
Master_Mapping_Sheet!$B$2:$B$3143=$A26))/sum(filter(
Master"&amp;"_Mapping_Sheet!$E$2:$E$3143, ISNUMBER(
Master_Mapping_Sheet!$E$2:$E$3143),
Master_Mapping_Sheet!$H$2:$H$3143=G$1)))"),0.0)</f>
        <v>0</v>
      </c>
      <c r="H26" s="34">
        <f>IFERROR(__xludf.DUMMYFUNCTION("IF(ISNA(sum(filter(
Master_Mapping_Sheet!$E$2:$E$3143, ISNUMBER(
Master_Mapping_Sheet!$E$2:$E$3143),
Master_Mapping_Sheet!$H$2:$H$3143=H$1,
Master_Mapping_Sheet!$B$2:$B$3143=$A26))/sum(filter(
Master_Mapping_Sheet!$E$2:$E$3143, ISNUMBER(
Master_Mapping_Sh"&amp;"eet!$E$2:$E$3143),
Master_Mapping_Sheet!$H$2:$H$3143=H$1))), 0, sum(filter(
Master_Mapping_Sheet!$E$2:$E$3143, ISNUMBER(
Master_Mapping_Sheet!$E$2:$E$3143),
Master_Mapping_Sheet!$H$2:$H$3143=H$1,
Master_Mapping_Sheet!$B$2:$B$3143=$A26))/sum(filter(
Master"&amp;"_Mapping_Sheet!$E$2:$E$3143, ISNUMBER(
Master_Mapping_Sheet!$E$2:$E$3143),
Master_Mapping_Sheet!$H$2:$H$3143=H$1)))"),0.16069810026835013)</f>
        <v>0.1606981003</v>
      </c>
      <c r="I26" s="34">
        <f>IFERROR(__xludf.DUMMYFUNCTION("IF(ISNA(sum(filter(
Master_Mapping_Sheet!$E$2:$E$3143, ISNUMBER(
Master_Mapping_Sheet!$E$2:$E$3143),
Master_Mapping_Sheet!$H$2:$H$3143=I$1,
Master_Mapping_Sheet!$B$2:$B$3143=$A26))/sum(filter(
Master_Mapping_Sheet!$E$2:$E$3143, ISNUMBER(
Master_Mapping_Sh"&amp;"eet!$E$2:$E$3143),
Master_Mapping_Sheet!$H$2:$H$3143=I$1))), 0, sum(filter(
Master_Mapping_Sheet!$E$2:$E$3143, ISNUMBER(
Master_Mapping_Sheet!$E$2:$E$3143),
Master_Mapping_Sheet!$H$2:$H$3143=I$1,
Master_Mapping_Sheet!$B$2:$B$3143=$A26))/sum(filter(
Master"&amp;"_Mapping_Sheet!$E$2:$E$3143, ISNUMBER(
Master_Mapping_Sheet!$E$2:$E$3143),
Master_Mapping_Sheet!$H$2:$H$3143=I$1)))"),0.0)</f>
        <v>0</v>
      </c>
      <c r="J26" s="34">
        <f>IFERROR(__xludf.DUMMYFUNCTION("IF(ISNA(sum(filter(
Master_Mapping_Sheet!$E$2:$E$3143, ISNUMBER(
Master_Mapping_Sheet!$E$2:$E$3143),
Master_Mapping_Sheet!$H$2:$H$3143=J$1,
Master_Mapping_Sheet!$B$2:$B$3143=$A26))/sum(filter(
Master_Mapping_Sheet!$E$2:$E$3143, ISNUMBER(
Master_Mapping_Sh"&amp;"eet!$E$2:$E$3143),
Master_Mapping_Sheet!$H$2:$H$3143=J$1))), 0, sum(filter(
Master_Mapping_Sheet!$E$2:$E$3143, ISNUMBER(
Master_Mapping_Sheet!$E$2:$E$3143),
Master_Mapping_Sheet!$H$2:$H$3143=J$1,
Master_Mapping_Sheet!$B$2:$B$3143=$A26))/sum(filter(
Master"&amp;"_Mapping_Sheet!$E$2:$E$3143, ISNUMBER(
Master_Mapping_Sheet!$E$2:$E$3143),
Master_Mapping_Sheet!$H$2:$H$3143=J$1)))"),0.0)</f>
        <v>0</v>
      </c>
      <c r="K26" s="34">
        <f>IFERROR(__xludf.DUMMYFUNCTION("IF(ISNA(sum(filter(
Master_Mapping_Sheet!$E$2:$E$3143, ISNUMBER(
Master_Mapping_Sheet!$E$2:$E$3143),
Master_Mapping_Sheet!$H$2:$H$3143=K$1,
Master_Mapping_Sheet!$B$2:$B$3143=$A26))/sum(filter(
Master_Mapping_Sheet!$E$2:$E$3143, ISNUMBER(
Master_Mapping_Sh"&amp;"eet!$E$2:$E$3143),
Master_Mapping_Sheet!$H$2:$H$3143=K$1))), 0, sum(filter(
Master_Mapping_Sheet!$E$2:$E$3143, ISNUMBER(
Master_Mapping_Sheet!$E$2:$E$3143),
Master_Mapping_Sheet!$H$2:$H$3143=K$1,
Master_Mapping_Sheet!$B$2:$B$3143=$A26))/sum(filter(
Master"&amp;"_Mapping_Sheet!$E$2:$E$3143, ISNUMBER(
Master_Mapping_Sheet!$E$2:$E$3143),
Master_Mapping_Sheet!$H$2:$H$3143=K$1)))"),0.0)</f>
        <v>0</v>
      </c>
      <c r="L26" s="34">
        <f>IFERROR(__xludf.DUMMYFUNCTION("IF(ISNA(sum(filter(
Master_Mapping_Sheet!$E$2:$E$3143, ISNUMBER(
Master_Mapping_Sheet!$E$2:$E$3143),
Master_Mapping_Sheet!$H$2:$H$3143=L$1,
Master_Mapping_Sheet!$B$2:$B$3143=$A26))/sum(filter(
Master_Mapping_Sheet!$E$2:$E$3143, ISNUMBER(
Master_Mapping_Sh"&amp;"eet!$E$2:$E$3143),
Master_Mapping_Sheet!$H$2:$H$3143=L$1))), 0, sum(filter(
Master_Mapping_Sheet!$E$2:$E$3143, ISNUMBER(
Master_Mapping_Sheet!$E$2:$E$3143),
Master_Mapping_Sheet!$H$2:$H$3143=L$1,
Master_Mapping_Sheet!$B$2:$B$3143=$A26))/sum(filter(
Master"&amp;"_Mapping_Sheet!$E$2:$E$3143, ISNUMBER(
Master_Mapping_Sheet!$E$2:$E$3143),
Master_Mapping_Sheet!$H$2:$H$3143=L$1)))"),0.0)</f>
        <v>0</v>
      </c>
      <c r="M26" s="34">
        <f>IFERROR(__xludf.DUMMYFUNCTION("IF(ISNA(sum(filter(
Master_Mapping_Sheet!$E$2:$E$3143, ISNUMBER(
Master_Mapping_Sheet!$E$2:$E$3143),
Master_Mapping_Sheet!$H$2:$H$3143=M$1,
Master_Mapping_Sheet!$B$2:$B$3143=$A26))/sum(filter(
Master_Mapping_Sheet!$E$2:$E$3143, ISNUMBER(
Master_Mapping_Sh"&amp;"eet!$E$2:$E$3143),
Master_Mapping_Sheet!$H$2:$H$3143=M$1))), 0, sum(filter(
Master_Mapping_Sheet!$E$2:$E$3143, ISNUMBER(
Master_Mapping_Sheet!$E$2:$E$3143),
Master_Mapping_Sheet!$H$2:$H$3143=M$1,
Master_Mapping_Sheet!$B$2:$B$3143=$A26))/sum(filter(
Master"&amp;"_Mapping_Sheet!$E$2:$E$3143, ISNUMBER(
Master_Mapping_Sheet!$E$2:$E$3143),
Master_Mapping_Sheet!$H$2:$H$3143=M$1)))"),0.0)</f>
        <v>0</v>
      </c>
      <c r="N26" s="34">
        <f>IFERROR(__xludf.DUMMYFUNCTION("IF(ISNA(sum(filter(
Master_Mapping_Sheet!$E$2:$E$3143, ISNUMBER(
Master_Mapping_Sheet!$E$2:$E$3143),
Master_Mapping_Sheet!$H$2:$H$3143=N$1,
Master_Mapping_Sheet!$B$2:$B$3143=$A26))/sum(filter(
Master_Mapping_Sheet!$E$2:$E$3143, ISNUMBER(
Master_Mapping_Sh"&amp;"eet!$E$2:$E$3143),
Master_Mapping_Sheet!$H$2:$H$3143=N$1))), 0, sum(filter(
Master_Mapping_Sheet!$E$2:$E$3143, ISNUMBER(
Master_Mapping_Sheet!$E$2:$E$3143),
Master_Mapping_Sheet!$H$2:$H$3143=N$1,
Master_Mapping_Sheet!$B$2:$B$3143=$A26))/sum(filter(
Master"&amp;"_Mapping_Sheet!$E$2:$E$3143, ISNUMBER(
Master_Mapping_Sheet!$E$2:$E$3143),
Master_Mapping_Sheet!$H$2:$H$3143=N$1)))"),0.0)</f>
        <v>0</v>
      </c>
      <c r="O26" s="34">
        <f>IFERROR(__xludf.DUMMYFUNCTION("IF(ISNA(sum(filter(
Master_Mapping_Sheet!$E$2:$E$3143, ISNUMBER(
Master_Mapping_Sheet!$E$2:$E$3143),
Master_Mapping_Sheet!$H$2:$H$3143=O$1,
Master_Mapping_Sheet!$B$2:$B$3143=$A26))/sum(filter(
Master_Mapping_Sheet!$E$2:$E$3143, ISNUMBER(
Master_Mapping_Sh"&amp;"eet!$E$2:$E$3143),
Master_Mapping_Sheet!$H$2:$H$3143=O$1))), 0, sum(filter(
Master_Mapping_Sheet!$E$2:$E$3143, ISNUMBER(
Master_Mapping_Sheet!$E$2:$E$3143),
Master_Mapping_Sheet!$H$2:$H$3143=O$1,
Master_Mapping_Sheet!$B$2:$B$3143=$A26))/sum(filter(
Master"&amp;"_Mapping_Sheet!$E$2:$E$3143, ISNUMBER(
Master_Mapping_Sheet!$E$2:$E$3143),
Master_Mapping_Sheet!$H$2:$H$3143=O$1)))"),0.0)</f>
        <v>0</v>
      </c>
      <c r="P26" s="34">
        <f>IFERROR(__xludf.DUMMYFUNCTION("IF(ISNA(sum(filter(
Master_Mapping_Sheet!$E$2:$E$3143, ISNUMBER(
Master_Mapping_Sheet!$E$2:$E$3143),
Master_Mapping_Sheet!$H$2:$H$3143=P$1,
Master_Mapping_Sheet!$B$2:$B$3143=$A26))/sum(filter(
Master_Mapping_Sheet!$E$2:$E$3143, ISNUMBER(
Master_Mapping_Sh"&amp;"eet!$E$2:$E$3143),
Master_Mapping_Sheet!$H$2:$H$3143=P$1))), 0, sum(filter(
Master_Mapping_Sheet!$E$2:$E$3143, ISNUMBER(
Master_Mapping_Sheet!$E$2:$E$3143),
Master_Mapping_Sheet!$H$2:$H$3143=P$1,
Master_Mapping_Sheet!$B$2:$B$3143=$A26))/sum(filter(
Master"&amp;"_Mapping_Sheet!$E$2:$E$3143, ISNUMBER(
Master_Mapping_Sheet!$E$2:$E$3143),
Master_Mapping_Sheet!$H$2:$H$3143=P$1)))"),0.0)</f>
        <v>0</v>
      </c>
      <c r="Q26" s="34">
        <f>IFERROR(__xludf.DUMMYFUNCTION("IF(ISNA(sum(filter(
Master_Mapping_Sheet!$E$2:$E$3143, ISNUMBER(
Master_Mapping_Sheet!$E$2:$E$3143),
Master_Mapping_Sheet!$H$2:$H$3143=Q$1,
Master_Mapping_Sheet!$B$2:$B$3143=$A26))/sum(filter(
Master_Mapping_Sheet!$E$2:$E$3143, ISNUMBER(
Master_Mapping_Sh"&amp;"eet!$E$2:$E$3143),
Master_Mapping_Sheet!$H$2:$H$3143=Q$1))), 0, sum(filter(
Master_Mapping_Sheet!$E$2:$E$3143, ISNUMBER(
Master_Mapping_Sheet!$E$2:$E$3143),
Master_Mapping_Sheet!$H$2:$H$3143=Q$1,
Master_Mapping_Sheet!$B$2:$B$3143=$A26))/sum(filter(
Master"&amp;"_Mapping_Sheet!$E$2:$E$3143, ISNUMBER(
Master_Mapping_Sheet!$E$2:$E$3143),
Master_Mapping_Sheet!$H$2:$H$3143=Q$1)))"),0.05506761595484978)</f>
        <v>0.05506761595</v>
      </c>
      <c r="R26" s="34">
        <f>IFERROR(__xludf.DUMMYFUNCTION("IF(ISNA(sum(filter(
Master_Mapping_Sheet!$E$2:$E$3143, ISNUMBER(
Master_Mapping_Sheet!$E$2:$E$3143),
Master_Mapping_Sheet!$H$2:$H$3143=R$1,
Master_Mapping_Sheet!$B$2:$B$3143=$A26))/sum(filter(
Master_Mapping_Sheet!$E$2:$E$3143, ISNUMBER(
Master_Mapping_Sh"&amp;"eet!$E$2:$E$3143),
Master_Mapping_Sheet!$H$2:$H$3143=R$1))), 0, sum(filter(
Master_Mapping_Sheet!$E$2:$E$3143, ISNUMBER(
Master_Mapping_Sheet!$E$2:$E$3143),
Master_Mapping_Sheet!$H$2:$H$3143=R$1,
Master_Mapping_Sheet!$B$2:$B$3143=$A26))/sum(filter(
Master"&amp;"_Mapping_Sheet!$E$2:$E$3143, ISNUMBER(
Master_Mapping_Sheet!$E$2:$E$3143),
Master_Mapping_Sheet!$H$2:$H$3143=R$1)))"),0.042535341263927155)</f>
        <v>0.04253534126</v>
      </c>
      <c r="S26" s="34">
        <f>IFERROR(__xludf.DUMMYFUNCTION("IF(ISNA(sum(filter(
Master_Mapping_Sheet!$E$2:$E$3143, ISNUMBER(
Master_Mapping_Sheet!$E$2:$E$3143),
Master_Mapping_Sheet!$H$2:$H$3143=S$1,
Master_Mapping_Sheet!$B$2:$B$3143=$A26))/sum(filter(
Master_Mapping_Sheet!$E$2:$E$3143, ISNUMBER(
Master_Mapping_Sh"&amp;"eet!$E$2:$E$3143),
Master_Mapping_Sheet!$H$2:$H$3143=S$1))), 0, sum(filter(
Master_Mapping_Sheet!$E$2:$E$3143, ISNUMBER(
Master_Mapping_Sheet!$E$2:$E$3143),
Master_Mapping_Sheet!$H$2:$H$3143=S$1,
Master_Mapping_Sheet!$B$2:$B$3143=$A26))/sum(filter(
Master"&amp;"_Mapping_Sheet!$E$2:$E$3143, ISNUMBER(
Master_Mapping_Sheet!$E$2:$E$3143),
Master_Mapping_Sheet!$H$2:$H$3143=S$1)))"),0.0)</f>
        <v>0</v>
      </c>
      <c r="T26" s="34">
        <f>IFERROR(__xludf.DUMMYFUNCTION("IF(ISNA(sum(filter(
Master_Mapping_Sheet!$E$2:$E$3143, ISNUMBER(
Master_Mapping_Sheet!$E$2:$E$3143),
Master_Mapping_Sheet!$H$2:$H$3143=T$1,
Master_Mapping_Sheet!$B$2:$B$3143=$A26))/sum(filter(
Master_Mapping_Sheet!$E$2:$E$3143, ISNUMBER(
Master_Mapping_Sh"&amp;"eet!$E$2:$E$3143),
Master_Mapping_Sheet!$H$2:$H$3143=T$1))), 0, sum(filter(
Master_Mapping_Sheet!$E$2:$E$3143, ISNUMBER(
Master_Mapping_Sheet!$E$2:$E$3143),
Master_Mapping_Sheet!$H$2:$H$3143=T$1,
Master_Mapping_Sheet!$B$2:$B$3143=$A26))/sum(filter(
Master"&amp;"_Mapping_Sheet!$E$2:$E$3143, ISNUMBER(
Master_Mapping_Sheet!$E$2:$E$3143),
Master_Mapping_Sheet!$H$2:$H$3143=T$1)))"),0.0)</f>
        <v>0</v>
      </c>
      <c r="U26" s="34">
        <f>IFERROR(__xludf.DUMMYFUNCTION("IF(ISNA(sum(filter(
Master_Mapping_Sheet!$E$2:$E$3143, ISNUMBER(
Master_Mapping_Sheet!$E$2:$E$3143),
Master_Mapping_Sheet!$H$2:$H$3143=U$1,
Master_Mapping_Sheet!$B$2:$B$3143=$A26))/sum(filter(
Master_Mapping_Sheet!$E$2:$E$3143, ISNUMBER(
Master_Mapping_Sh"&amp;"eet!$E$2:$E$3143),
Master_Mapping_Sheet!$H$2:$H$3143=U$1))), 0, sum(filter(
Master_Mapping_Sheet!$E$2:$E$3143, ISNUMBER(
Master_Mapping_Sheet!$E$2:$E$3143),
Master_Mapping_Sheet!$H$2:$H$3143=U$1,
Master_Mapping_Sheet!$B$2:$B$3143=$A26))/sum(filter(
Master"&amp;"_Mapping_Sheet!$E$2:$E$3143, ISNUMBER(
Master_Mapping_Sheet!$E$2:$E$3143),
Master_Mapping_Sheet!$H$2:$H$3143=U$1)))"),0.0)</f>
        <v>0</v>
      </c>
      <c r="V26" s="34">
        <f>IFERROR(__xludf.DUMMYFUNCTION("IF(ISNA(sum(filter(
Master_Mapping_Sheet!$E$2:$E$3143, ISNUMBER(
Master_Mapping_Sheet!$E$2:$E$3143),
Master_Mapping_Sheet!$H$2:$H$3143=V$1,
Master_Mapping_Sheet!$B$2:$B$3143=$A26))/sum(filter(
Master_Mapping_Sheet!$E$2:$E$3143, ISNUMBER(
Master_Mapping_Sh"&amp;"eet!$E$2:$E$3143),
Master_Mapping_Sheet!$H$2:$H$3143=V$1))), 0, sum(filter(
Master_Mapping_Sheet!$E$2:$E$3143, ISNUMBER(
Master_Mapping_Sheet!$E$2:$E$3143),
Master_Mapping_Sheet!$H$2:$H$3143=V$1,
Master_Mapping_Sheet!$B$2:$B$3143=$A26))/sum(filter(
Master"&amp;"_Mapping_Sheet!$E$2:$E$3143, ISNUMBER(
Master_Mapping_Sheet!$E$2:$E$3143),
Master_Mapping_Sheet!$H$2:$H$3143=V$1)))"),0.0)</f>
        <v>0</v>
      </c>
      <c r="W26" s="34">
        <f>IFERROR(__xludf.DUMMYFUNCTION("IF(ISNA(sum(filter(
Master_Mapping_Sheet!$E$2:$E$3143, ISNUMBER(
Master_Mapping_Sheet!$E$2:$E$3143),
Master_Mapping_Sheet!$H$2:$H$3143=W$1,
Master_Mapping_Sheet!$B$2:$B$3143=$A26))/sum(filter(
Master_Mapping_Sheet!$E$2:$E$3143, ISNUMBER(
Master_Mapping_Sh"&amp;"eet!$E$2:$E$3143),
Master_Mapping_Sheet!$H$2:$H$3143=W$1))), 0, sum(filter(
Master_Mapping_Sheet!$E$2:$E$3143, ISNUMBER(
Master_Mapping_Sheet!$E$2:$E$3143),
Master_Mapping_Sheet!$H$2:$H$3143=W$1,
Master_Mapping_Sheet!$B$2:$B$3143=$A26))/sum(filter(
Master"&amp;"_Mapping_Sheet!$E$2:$E$3143, ISNUMBER(
Master_Mapping_Sheet!$E$2:$E$3143),
Master_Mapping_Sheet!$H$2:$H$3143=W$1)))"),0.0)</f>
        <v>0</v>
      </c>
      <c r="X26" s="34">
        <f>IFERROR(__xludf.DUMMYFUNCTION("IF(ISNA(sum(filter(
Master_Mapping_Sheet!$E$2:$E$3143, ISNUMBER(
Master_Mapping_Sheet!$E$2:$E$3143),
Master_Mapping_Sheet!$H$2:$H$3143=X$1,
Master_Mapping_Sheet!$B$2:$B$3143=$A26))/sum(filter(
Master_Mapping_Sheet!$E$2:$E$3143, ISNUMBER(
Master_Mapping_Sh"&amp;"eet!$E$2:$E$3143),
Master_Mapping_Sheet!$H$2:$H$3143=X$1))), 0, sum(filter(
Master_Mapping_Sheet!$E$2:$E$3143, ISNUMBER(
Master_Mapping_Sheet!$E$2:$E$3143),
Master_Mapping_Sheet!$H$2:$H$3143=X$1,
Master_Mapping_Sheet!$B$2:$B$3143=$A26))/sum(filter(
Master"&amp;"_Mapping_Sheet!$E$2:$E$3143, ISNUMBER(
Master_Mapping_Sheet!$E$2:$E$3143),
Master_Mapping_Sheet!$H$2:$H$3143=X$1)))"),0.0)</f>
        <v>0</v>
      </c>
      <c r="Y26" s="34">
        <f>IFERROR(__xludf.DUMMYFUNCTION("IF(ISNA(sum(filter(
Master_Mapping_Sheet!$E$2:$E$3143, ISNUMBER(
Master_Mapping_Sheet!$E$2:$E$3143),
Master_Mapping_Sheet!$H$2:$H$3143=Y$1,
Master_Mapping_Sheet!$B$2:$B$3143=$A26))/sum(filter(
Master_Mapping_Sheet!$E$2:$E$3143, ISNUMBER(
Master_Mapping_Sh"&amp;"eet!$E$2:$E$3143),
Master_Mapping_Sheet!$H$2:$H$3143=Y$1))), 0, sum(filter(
Master_Mapping_Sheet!$E$2:$E$3143, ISNUMBER(
Master_Mapping_Sheet!$E$2:$E$3143),
Master_Mapping_Sheet!$H$2:$H$3143=Y$1,
Master_Mapping_Sheet!$B$2:$B$3143=$A26))/sum(filter(
Master"&amp;"_Mapping_Sheet!$E$2:$E$3143, ISNUMBER(
Master_Mapping_Sheet!$E$2:$E$3143),
Master_Mapping_Sheet!$H$2:$H$3143=Y$1)))"),0.0)</f>
        <v>0</v>
      </c>
      <c r="Z26" s="34">
        <f>IFERROR(__xludf.DUMMYFUNCTION("IF(ISNA(sum(filter(
Master_Mapping_Sheet!$E$2:$E$3143, ISNUMBER(
Master_Mapping_Sheet!$E$2:$E$3143),
Master_Mapping_Sheet!$H$2:$H$3143=Z$1,
Master_Mapping_Sheet!$B$2:$B$3143=$A26))/sum(filter(
Master_Mapping_Sheet!$E$2:$E$3143, ISNUMBER(
Master_Mapping_Sh"&amp;"eet!$E$2:$E$3143),
Master_Mapping_Sheet!$H$2:$H$3143=Z$1))), 0, sum(filter(
Master_Mapping_Sheet!$E$2:$E$3143, ISNUMBER(
Master_Mapping_Sheet!$E$2:$E$3143),
Master_Mapping_Sheet!$H$2:$H$3143=Z$1,
Master_Mapping_Sheet!$B$2:$B$3143=$A26))/sum(filter(
Master"&amp;"_Mapping_Sheet!$E$2:$E$3143, ISNUMBER(
Master_Mapping_Sheet!$E$2:$E$3143),
Master_Mapping_Sheet!$H$2:$H$3143=Z$1)))"),0.0)</f>
        <v>0</v>
      </c>
      <c r="AA26" s="34">
        <f>IFERROR(__xludf.DUMMYFUNCTION("IF(ISNA(sum(filter(
Master_Mapping_Sheet!$E$2:$E$3143, ISNUMBER(
Master_Mapping_Sheet!$E$2:$E$3143),
Master_Mapping_Sheet!$H$2:$H$3143=AA$1,
Master_Mapping_Sheet!$B$2:$B$3143=$A26))/sum(filter(
Master_Mapping_Sheet!$E$2:$E$3143, ISNUMBER(
Master_Mapping_S"&amp;"heet!$E$2:$E$3143),
Master_Mapping_Sheet!$H$2:$H$3143=AA$1))), 0, sum(filter(
Master_Mapping_Sheet!$E$2:$E$3143, ISNUMBER(
Master_Mapping_Sheet!$E$2:$E$3143),
Master_Mapping_Sheet!$H$2:$H$3143=AA$1,
Master_Mapping_Sheet!$B$2:$B$3143=$A26))/sum(filter(
Mas"&amp;"ter_Mapping_Sheet!$E$2:$E$3143, ISNUMBER(
Master_Mapping_Sheet!$E$2:$E$3143),
Master_Mapping_Sheet!$H$2:$H$3143=AA$1)))"),0.0)</f>
        <v>0</v>
      </c>
    </row>
    <row r="27" ht="15.75" customHeight="1">
      <c r="A27" s="34" t="s">
        <v>1121</v>
      </c>
      <c r="B27" s="34" t="s">
        <v>2992</v>
      </c>
      <c r="C27" s="34">
        <f>IFERROR(__xludf.DUMMYFUNCTION("IF(ISNA(sum(filter(
Master_Mapping_Sheet!$E$2:$E$3143, ISNUMBER(
Master_Mapping_Sheet!$E$2:$E$3143),
Master_Mapping_Sheet!$H$2:$H$3143=C$1,
Master_Mapping_Sheet!$B$2:$B$3143=$A27))/sum(filter(
Master_Mapping_Sheet!$E$2:$E$3143, ISNUMBER(
Master_Mapping_Sh"&amp;"eet!$E$2:$E$3143),
Master_Mapping_Sheet!$H$2:$H$3143=C$1))), 0, sum(filter(
Master_Mapping_Sheet!$E$2:$E$3143, ISNUMBER(
Master_Mapping_Sheet!$E$2:$E$3143),
Master_Mapping_Sheet!$H$2:$H$3143=C$1,
Master_Mapping_Sheet!$B$2:$B$3143=$A27))/sum(filter(
Master"&amp;"_Mapping_Sheet!$E$2:$E$3143, ISNUMBER(
Master_Mapping_Sheet!$E$2:$E$3143),
Master_Mapping_Sheet!$H$2:$H$3143=C$1)))"),0.0)</f>
        <v>0</v>
      </c>
      <c r="D27" s="34">
        <f>IFERROR(__xludf.DUMMYFUNCTION("IF(ISNA(sum(filter(
Master_Mapping_Sheet!$E$2:$E$3143, ISNUMBER(
Master_Mapping_Sheet!$E$2:$E$3143),
Master_Mapping_Sheet!$H$2:$H$3143=D$1,
Master_Mapping_Sheet!$B$2:$B$3143=$A27))/sum(filter(
Master_Mapping_Sheet!$E$2:$E$3143, ISNUMBER(
Master_Mapping_Sh"&amp;"eet!$E$2:$E$3143),
Master_Mapping_Sheet!$H$2:$H$3143=D$1))), 0, sum(filter(
Master_Mapping_Sheet!$E$2:$E$3143, ISNUMBER(
Master_Mapping_Sheet!$E$2:$E$3143),
Master_Mapping_Sheet!$H$2:$H$3143=D$1,
Master_Mapping_Sheet!$B$2:$B$3143=$A27))/sum(filter(
Master"&amp;"_Mapping_Sheet!$E$2:$E$3143, ISNUMBER(
Master_Mapping_Sheet!$E$2:$E$3143),
Master_Mapping_Sheet!$H$2:$H$3143=D$1)))"),0.0)</f>
        <v>0</v>
      </c>
      <c r="E27" s="32">
        <f>IFERROR(__xludf.DUMMYFUNCTION("IF(ISNA(sum(filter(
Master_Mapping_Sheet!$E$2:$E$3143, ISNUMBER(
Master_Mapping_Sheet!$E$2:$E$3143),
Master_Mapping_Sheet!$H$2:$H$3143=E$1,
Master_Mapping_Sheet!$B$2:$B$3143=$A27))/sum(filter(
Master_Mapping_Sheet!$E$2:$E$3143, ISNUMBER(
Master_Mapping_Sh"&amp;"eet!$E$2:$E$3143),
Master_Mapping_Sheet!$H$2:$H$3143=E$1))), 0, sum(filter(
Master_Mapping_Sheet!$E$2:$E$3143, ISNUMBER(
Master_Mapping_Sheet!$E$2:$E$3143),
Master_Mapping_Sheet!$H$2:$H$3143=E$1,
Master_Mapping_Sheet!$B$2:$B$3143=$A27))/sum(filter(
Master"&amp;"_Mapping_Sheet!$E$2:$E$3143, ISNUMBER(
Master_Mapping_Sheet!$E$2:$E$3143),
Master_Mapping_Sheet!$H$2:$H$3143=E$1)))"),0.0)</f>
        <v>0</v>
      </c>
      <c r="F27" s="34">
        <f>IFERROR(__xludf.DUMMYFUNCTION("IF(ISNA(sum(filter(
Master_Mapping_Sheet!$E$2:$E$3143, ISNUMBER(
Master_Mapping_Sheet!$E$2:$E$3143),
Master_Mapping_Sheet!$H$2:$H$3143=F$1,
Master_Mapping_Sheet!$B$2:$B$3143=$A27))/sum(filter(
Master_Mapping_Sheet!$E$2:$E$3143, ISNUMBER(
Master_Mapping_Sh"&amp;"eet!$E$2:$E$3143),
Master_Mapping_Sheet!$H$2:$H$3143=F$1))), 0, sum(filter(
Master_Mapping_Sheet!$E$2:$E$3143, ISNUMBER(
Master_Mapping_Sheet!$E$2:$E$3143),
Master_Mapping_Sheet!$H$2:$H$3143=F$1,
Master_Mapping_Sheet!$B$2:$B$3143=$A27))/sum(filter(
Master"&amp;"_Mapping_Sheet!$E$2:$E$3143, ISNUMBER(
Master_Mapping_Sheet!$E$2:$E$3143),
Master_Mapping_Sheet!$H$2:$H$3143=F$1)))"),0.30612012623616547)</f>
        <v>0.3061201262</v>
      </c>
      <c r="G27" s="34">
        <f>IFERROR(__xludf.DUMMYFUNCTION("IF(ISNA(sum(filter(
Master_Mapping_Sheet!$E$2:$E$3143, ISNUMBER(
Master_Mapping_Sheet!$E$2:$E$3143),
Master_Mapping_Sheet!$H$2:$H$3143=G$1,
Master_Mapping_Sheet!$B$2:$B$3143=$A27))/sum(filter(
Master_Mapping_Sheet!$E$2:$E$3143, ISNUMBER(
Master_Mapping_Sh"&amp;"eet!$E$2:$E$3143),
Master_Mapping_Sheet!$H$2:$H$3143=G$1))), 0, sum(filter(
Master_Mapping_Sheet!$E$2:$E$3143, ISNUMBER(
Master_Mapping_Sheet!$E$2:$E$3143),
Master_Mapping_Sheet!$H$2:$H$3143=G$1,
Master_Mapping_Sheet!$B$2:$B$3143=$A27))/sum(filter(
Master"&amp;"_Mapping_Sheet!$E$2:$E$3143, ISNUMBER(
Master_Mapping_Sheet!$E$2:$E$3143),
Master_Mapping_Sheet!$H$2:$H$3143=G$1)))"),0.0)</f>
        <v>0</v>
      </c>
      <c r="H27" s="34">
        <f>IFERROR(__xludf.DUMMYFUNCTION("IF(ISNA(sum(filter(
Master_Mapping_Sheet!$E$2:$E$3143, ISNUMBER(
Master_Mapping_Sheet!$E$2:$E$3143),
Master_Mapping_Sheet!$H$2:$H$3143=H$1,
Master_Mapping_Sheet!$B$2:$B$3143=$A27))/sum(filter(
Master_Mapping_Sheet!$E$2:$E$3143, ISNUMBER(
Master_Mapping_Sh"&amp;"eet!$E$2:$E$3143),
Master_Mapping_Sheet!$H$2:$H$3143=H$1))), 0, sum(filter(
Master_Mapping_Sheet!$E$2:$E$3143, ISNUMBER(
Master_Mapping_Sheet!$E$2:$E$3143),
Master_Mapping_Sheet!$H$2:$H$3143=H$1,
Master_Mapping_Sheet!$B$2:$B$3143=$A27))/sum(filter(
Master"&amp;"_Mapping_Sheet!$E$2:$E$3143, ISNUMBER(
Master_Mapping_Sheet!$E$2:$E$3143),
Master_Mapping_Sheet!$H$2:$H$3143=H$1)))"),0.0)</f>
        <v>0</v>
      </c>
      <c r="I27" s="34">
        <f>IFERROR(__xludf.DUMMYFUNCTION("IF(ISNA(sum(filter(
Master_Mapping_Sheet!$E$2:$E$3143, ISNUMBER(
Master_Mapping_Sheet!$E$2:$E$3143),
Master_Mapping_Sheet!$H$2:$H$3143=I$1,
Master_Mapping_Sheet!$B$2:$B$3143=$A27))/sum(filter(
Master_Mapping_Sheet!$E$2:$E$3143, ISNUMBER(
Master_Mapping_Sh"&amp;"eet!$E$2:$E$3143),
Master_Mapping_Sheet!$H$2:$H$3143=I$1))), 0, sum(filter(
Master_Mapping_Sheet!$E$2:$E$3143, ISNUMBER(
Master_Mapping_Sheet!$E$2:$E$3143),
Master_Mapping_Sheet!$H$2:$H$3143=I$1,
Master_Mapping_Sheet!$B$2:$B$3143=$A27))/sum(filter(
Master"&amp;"_Mapping_Sheet!$E$2:$E$3143, ISNUMBER(
Master_Mapping_Sheet!$E$2:$E$3143),
Master_Mapping_Sheet!$H$2:$H$3143=I$1)))"),0.0)</f>
        <v>0</v>
      </c>
      <c r="J27" s="34">
        <f>IFERROR(__xludf.DUMMYFUNCTION("IF(ISNA(sum(filter(
Master_Mapping_Sheet!$E$2:$E$3143, ISNUMBER(
Master_Mapping_Sheet!$E$2:$E$3143),
Master_Mapping_Sheet!$H$2:$H$3143=J$1,
Master_Mapping_Sheet!$B$2:$B$3143=$A27))/sum(filter(
Master_Mapping_Sheet!$E$2:$E$3143, ISNUMBER(
Master_Mapping_Sh"&amp;"eet!$E$2:$E$3143),
Master_Mapping_Sheet!$H$2:$H$3143=J$1))), 0, sum(filter(
Master_Mapping_Sheet!$E$2:$E$3143, ISNUMBER(
Master_Mapping_Sheet!$E$2:$E$3143),
Master_Mapping_Sheet!$H$2:$H$3143=J$1,
Master_Mapping_Sheet!$B$2:$B$3143=$A27))/sum(filter(
Master"&amp;"_Mapping_Sheet!$E$2:$E$3143, ISNUMBER(
Master_Mapping_Sheet!$E$2:$E$3143),
Master_Mapping_Sheet!$H$2:$H$3143=J$1)))"),0.0)</f>
        <v>0</v>
      </c>
      <c r="K27" s="34">
        <f>IFERROR(__xludf.DUMMYFUNCTION("IF(ISNA(sum(filter(
Master_Mapping_Sheet!$E$2:$E$3143, ISNUMBER(
Master_Mapping_Sheet!$E$2:$E$3143),
Master_Mapping_Sheet!$H$2:$H$3143=K$1,
Master_Mapping_Sheet!$B$2:$B$3143=$A27))/sum(filter(
Master_Mapping_Sheet!$E$2:$E$3143, ISNUMBER(
Master_Mapping_Sh"&amp;"eet!$E$2:$E$3143),
Master_Mapping_Sheet!$H$2:$H$3143=K$1))), 0, sum(filter(
Master_Mapping_Sheet!$E$2:$E$3143, ISNUMBER(
Master_Mapping_Sheet!$E$2:$E$3143),
Master_Mapping_Sheet!$H$2:$H$3143=K$1,
Master_Mapping_Sheet!$B$2:$B$3143=$A27))/sum(filter(
Master"&amp;"_Mapping_Sheet!$E$2:$E$3143, ISNUMBER(
Master_Mapping_Sheet!$E$2:$E$3143),
Master_Mapping_Sheet!$H$2:$H$3143=K$1)))"),0.0)</f>
        <v>0</v>
      </c>
      <c r="L27" s="34">
        <f>IFERROR(__xludf.DUMMYFUNCTION("IF(ISNA(sum(filter(
Master_Mapping_Sheet!$E$2:$E$3143, ISNUMBER(
Master_Mapping_Sheet!$E$2:$E$3143),
Master_Mapping_Sheet!$H$2:$H$3143=L$1,
Master_Mapping_Sheet!$B$2:$B$3143=$A27))/sum(filter(
Master_Mapping_Sheet!$E$2:$E$3143, ISNUMBER(
Master_Mapping_Sh"&amp;"eet!$E$2:$E$3143),
Master_Mapping_Sheet!$H$2:$H$3143=L$1))), 0, sum(filter(
Master_Mapping_Sheet!$E$2:$E$3143, ISNUMBER(
Master_Mapping_Sheet!$E$2:$E$3143),
Master_Mapping_Sheet!$H$2:$H$3143=L$1,
Master_Mapping_Sheet!$B$2:$B$3143=$A27))/sum(filter(
Master"&amp;"_Mapping_Sheet!$E$2:$E$3143, ISNUMBER(
Master_Mapping_Sheet!$E$2:$E$3143),
Master_Mapping_Sheet!$H$2:$H$3143=L$1)))"),0.0)</f>
        <v>0</v>
      </c>
      <c r="M27" s="34">
        <f>IFERROR(__xludf.DUMMYFUNCTION("IF(ISNA(sum(filter(
Master_Mapping_Sheet!$E$2:$E$3143, ISNUMBER(
Master_Mapping_Sheet!$E$2:$E$3143),
Master_Mapping_Sheet!$H$2:$H$3143=M$1,
Master_Mapping_Sheet!$B$2:$B$3143=$A27))/sum(filter(
Master_Mapping_Sheet!$E$2:$E$3143, ISNUMBER(
Master_Mapping_Sh"&amp;"eet!$E$2:$E$3143),
Master_Mapping_Sheet!$H$2:$H$3143=M$1))), 0, sum(filter(
Master_Mapping_Sheet!$E$2:$E$3143, ISNUMBER(
Master_Mapping_Sheet!$E$2:$E$3143),
Master_Mapping_Sheet!$H$2:$H$3143=M$1,
Master_Mapping_Sheet!$B$2:$B$3143=$A27))/sum(filter(
Master"&amp;"_Mapping_Sheet!$E$2:$E$3143, ISNUMBER(
Master_Mapping_Sheet!$E$2:$E$3143),
Master_Mapping_Sheet!$H$2:$H$3143=M$1)))"),0.0)</f>
        <v>0</v>
      </c>
      <c r="N27" s="34">
        <f>IFERROR(__xludf.DUMMYFUNCTION("IF(ISNA(sum(filter(
Master_Mapping_Sheet!$E$2:$E$3143, ISNUMBER(
Master_Mapping_Sheet!$E$2:$E$3143),
Master_Mapping_Sheet!$H$2:$H$3143=N$1,
Master_Mapping_Sheet!$B$2:$B$3143=$A27))/sum(filter(
Master_Mapping_Sheet!$E$2:$E$3143, ISNUMBER(
Master_Mapping_Sh"&amp;"eet!$E$2:$E$3143),
Master_Mapping_Sheet!$H$2:$H$3143=N$1))), 0, sum(filter(
Master_Mapping_Sheet!$E$2:$E$3143, ISNUMBER(
Master_Mapping_Sheet!$E$2:$E$3143),
Master_Mapping_Sheet!$H$2:$H$3143=N$1,
Master_Mapping_Sheet!$B$2:$B$3143=$A27))/sum(filter(
Master"&amp;"_Mapping_Sheet!$E$2:$E$3143, ISNUMBER(
Master_Mapping_Sheet!$E$2:$E$3143),
Master_Mapping_Sheet!$H$2:$H$3143=N$1)))"),0.0)</f>
        <v>0</v>
      </c>
      <c r="O27" s="34">
        <f>IFERROR(__xludf.DUMMYFUNCTION("IF(ISNA(sum(filter(
Master_Mapping_Sheet!$E$2:$E$3143, ISNUMBER(
Master_Mapping_Sheet!$E$2:$E$3143),
Master_Mapping_Sheet!$H$2:$H$3143=O$1,
Master_Mapping_Sheet!$B$2:$B$3143=$A27))/sum(filter(
Master_Mapping_Sheet!$E$2:$E$3143, ISNUMBER(
Master_Mapping_Sh"&amp;"eet!$E$2:$E$3143),
Master_Mapping_Sheet!$H$2:$H$3143=O$1))), 0, sum(filter(
Master_Mapping_Sheet!$E$2:$E$3143, ISNUMBER(
Master_Mapping_Sheet!$E$2:$E$3143),
Master_Mapping_Sheet!$H$2:$H$3143=O$1,
Master_Mapping_Sheet!$B$2:$B$3143=$A27))/sum(filter(
Master"&amp;"_Mapping_Sheet!$E$2:$E$3143, ISNUMBER(
Master_Mapping_Sheet!$E$2:$E$3143),
Master_Mapping_Sheet!$H$2:$H$3143=O$1)))"),0.0)</f>
        <v>0</v>
      </c>
      <c r="P27" s="34">
        <f>IFERROR(__xludf.DUMMYFUNCTION("IF(ISNA(sum(filter(
Master_Mapping_Sheet!$E$2:$E$3143, ISNUMBER(
Master_Mapping_Sheet!$E$2:$E$3143),
Master_Mapping_Sheet!$H$2:$H$3143=P$1,
Master_Mapping_Sheet!$B$2:$B$3143=$A27))/sum(filter(
Master_Mapping_Sheet!$E$2:$E$3143, ISNUMBER(
Master_Mapping_Sh"&amp;"eet!$E$2:$E$3143),
Master_Mapping_Sheet!$H$2:$H$3143=P$1))), 0, sum(filter(
Master_Mapping_Sheet!$E$2:$E$3143, ISNUMBER(
Master_Mapping_Sheet!$E$2:$E$3143),
Master_Mapping_Sheet!$H$2:$H$3143=P$1,
Master_Mapping_Sheet!$B$2:$B$3143=$A27))/sum(filter(
Master"&amp;"_Mapping_Sheet!$E$2:$E$3143, ISNUMBER(
Master_Mapping_Sheet!$E$2:$E$3143),
Master_Mapping_Sheet!$H$2:$H$3143=P$1)))"),0.0)</f>
        <v>0</v>
      </c>
      <c r="Q27" s="34">
        <f>IFERROR(__xludf.DUMMYFUNCTION("IF(ISNA(sum(filter(
Master_Mapping_Sheet!$E$2:$E$3143, ISNUMBER(
Master_Mapping_Sheet!$E$2:$E$3143),
Master_Mapping_Sheet!$H$2:$H$3143=Q$1,
Master_Mapping_Sheet!$B$2:$B$3143=$A27))/sum(filter(
Master_Mapping_Sheet!$E$2:$E$3143, ISNUMBER(
Master_Mapping_Sh"&amp;"eet!$E$2:$E$3143),
Master_Mapping_Sheet!$H$2:$H$3143=Q$1))), 0, sum(filter(
Master_Mapping_Sheet!$E$2:$E$3143, ISNUMBER(
Master_Mapping_Sheet!$E$2:$E$3143),
Master_Mapping_Sheet!$H$2:$H$3143=Q$1,
Master_Mapping_Sheet!$B$2:$B$3143=$A27))/sum(filter(
Master"&amp;"_Mapping_Sheet!$E$2:$E$3143, ISNUMBER(
Master_Mapping_Sheet!$E$2:$E$3143),
Master_Mapping_Sheet!$H$2:$H$3143=Q$1)))"),0.0)</f>
        <v>0</v>
      </c>
      <c r="R27" s="34">
        <f>IFERROR(__xludf.DUMMYFUNCTION("IF(ISNA(sum(filter(
Master_Mapping_Sheet!$E$2:$E$3143, ISNUMBER(
Master_Mapping_Sheet!$E$2:$E$3143),
Master_Mapping_Sheet!$H$2:$H$3143=R$1,
Master_Mapping_Sheet!$B$2:$B$3143=$A27))/sum(filter(
Master_Mapping_Sheet!$E$2:$E$3143, ISNUMBER(
Master_Mapping_Sh"&amp;"eet!$E$2:$E$3143),
Master_Mapping_Sheet!$H$2:$H$3143=R$1))), 0, sum(filter(
Master_Mapping_Sheet!$E$2:$E$3143, ISNUMBER(
Master_Mapping_Sheet!$E$2:$E$3143),
Master_Mapping_Sheet!$H$2:$H$3143=R$1,
Master_Mapping_Sheet!$B$2:$B$3143=$A27))/sum(filter(
Master"&amp;"_Mapping_Sheet!$E$2:$E$3143, ISNUMBER(
Master_Mapping_Sheet!$E$2:$E$3143),
Master_Mapping_Sheet!$H$2:$H$3143=R$1)))"),0.0)</f>
        <v>0</v>
      </c>
      <c r="S27" s="34">
        <f>IFERROR(__xludf.DUMMYFUNCTION("IF(ISNA(sum(filter(
Master_Mapping_Sheet!$E$2:$E$3143, ISNUMBER(
Master_Mapping_Sheet!$E$2:$E$3143),
Master_Mapping_Sheet!$H$2:$H$3143=S$1,
Master_Mapping_Sheet!$B$2:$B$3143=$A27))/sum(filter(
Master_Mapping_Sheet!$E$2:$E$3143, ISNUMBER(
Master_Mapping_Sh"&amp;"eet!$E$2:$E$3143),
Master_Mapping_Sheet!$H$2:$H$3143=S$1))), 0, sum(filter(
Master_Mapping_Sheet!$E$2:$E$3143, ISNUMBER(
Master_Mapping_Sheet!$E$2:$E$3143),
Master_Mapping_Sheet!$H$2:$H$3143=S$1,
Master_Mapping_Sheet!$B$2:$B$3143=$A27))/sum(filter(
Master"&amp;"_Mapping_Sheet!$E$2:$E$3143, ISNUMBER(
Master_Mapping_Sheet!$E$2:$E$3143),
Master_Mapping_Sheet!$H$2:$H$3143=S$1)))"),0.0)</f>
        <v>0</v>
      </c>
      <c r="T27" s="34">
        <f>IFERROR(__xludf.DUMMYFUNCTION("IF(ISNA(sum(filter(
Master_Mapping_Sheet!$E$2:$E$3143, ISNUMBER(
Master_Mapping_Sheet!$E$2:$E$3143),
Master_Mapping_Sheet!$H$2:$H$3143=T$1,
Master_Mapping_Sheet!$B$2:$B$3143=$A27))/sum(filter(
Master_Mapping_Sheet!$E$2:$E$3143, ISNUMBER(
Master_Mapping_Sh"&amp;"eet!$E$2:$E$3143),
Master_Mapping_Sheet!$H$2:$H$3143=T$1))), 0, sum(filter(
Master_Mapping_Sheet!$E$2:$E$3143, ISNUMBER(
Master_Mapping_Sheet!$E$2:$E$3143),
Master_Mapping_Sheet!$H$2:$H$3143=T$1,
Master_Mapping_Sheet!$B$2:$B$3143=$A27))/sum(filter(
Master"&amp;"_Mapping_Sheet!$E$2:$E$3143, ISNUMBER(
Master_Mapping_Sheet!$E$2:$E$3143),
Master_Mapping_Sheet!$H$2:$H$3143=T$1)))"),0.47209669392822856)</f>
        <v>0.4720966939</v>
      </c>
      <c r="U27" s="34">
        <f>IFERROR(__xludf.DUMMYFUNCTION("IF(ISNA(sum(filter(
Master_Mapping_Sheet!$E$2:$E$3143, ISNUMBER(
Master_Mapping_Sheet!$E$2:$E$3143),
Master_Mapping_Sheet!$H$2:$H$3143=U$1,
Master_Mapping_Sheet!$B$2:$B$3143=$A27))/sum(filter(
Master_Mapping_Sheet!$E$2:$E$3143, ISNUMBER(
Master_Mapping_Sh"&amp;"eet!$E$2:$E$3143),
Master_Mapping_Sheet!$H$2:$H$3143=U$1))), 0, sum(filter(
Master_Mapping_Sheet!$E$2:$E$3143, ISNUMBER(
Master_Mapping_Sheet!$E$2:$E$3143),
Master_Mapping_Sheet!$H$2:$H$3143=U$1,
Master_Mapping_Sheet!$B$2:$B$3143=$A27))/sum(filter(
Master"&amp;"_Mapping_Sheet!$E$2:$E$3143, ISNUMBER(
Master_Mapping_Sheet!$E$2:$E$3143),
Master_Mapping_Sheet!$H$2:$H$3143=U$1)))"),0.0)</f>
        <v>0</v>
      </c>
      <c r="V27" s="34">
        <f>IFERROR(__xludf.DUMMYFUNCTION("IF(ISNA(sum(filter(
Master_Mapping_Sheet!$E$2:$E$3143, ISNUMBER(
Master_Mapping_Sheet!$E$2:$E$3143),
Master_Mapping_Sheet!$H$2:$H$3143=V$1,
Master_Mapping_Sheet!$B$2:$B$3143=$A27))/sum(filter(
Master_Mapping_Sheet!$E$2:$E$3143, ISNUMBER(
Master_Mapping_Sh"&amp;"eet!$E$2:$E$3143),
Master_Mapping_Sheet!$H$2:$H$3143=V$1))), 0, sum(filter(
Master_Mapping_Sheet!$E$2:$E$3143, ISNUMBER(
Master_Mapping_Sheet!$E$2:$E$3143),
Master_Mapping_Sheet!$H$2:$H$3143=V$1,
Master_Mapping_Sheet!$B$2:$B$3143=$A27))/sum(filter(
Master"&amp;"_Mapping_Sheet!$E$2:$E$3143, ISNUMBER(
Master_Mapping_Sheet!$E$2:$E$3143),
Master_Mapping_Sheet!$H$2:$H$3143=V$1)))"),0.0)</f>
        <v>0</v>
      </c>
      <c r="W27" s="34">
        <f>IFERROR(__xludf.DUMMYFUNCTION("IF(ISNA(sum(filter(
Master_Mapping_Sheet!$E$2:$E$3143, ISNUMBER(
Master_Mapping_Sheet!$E$2:$E$3143),
Master_Mapping_Sheet!$H$2:$H$3143=W$1,
Master_Mapping_Sheet!$B$2:$B$3143=$A27))/sum(filter(
Master_Mapping_Sheet!$E$2:$E$3143, ISNUMBER(
Master_Mapping_Sh"&amp;"eet!$E$2:$E$3143),
Master_Mapping_Sheet!$H$2:$H$3143=W$1))), 0, sum(filter(
Master_Mapping_Sheet!$E$2:$E$3143, ISNUMBER(
Master_Mapping_Sheet!$E$2:$E$3143),
Master_Mapping_Sheet!$H$2:$H$3143=W$1,
Master_Mapping_Sheet!$B$2:$B$3143=$A27))/sum(filter(
Master"&amp;"_Mapping_Sheet!$E$2:$E$3143, ISNUMBER(
Master_Mapping_Sheet!$E$2:$E$3143),
Master_Mapping_Sheet!$H$2:$H$3143=W$1)))"),0.0)</f>
        <v>0</v>
      </c>
      <c r="X27" s="34">
        <f>IFERROR(__xludf.DUMMYFUNCTION("IF(ISNA(sum(filter(
Master_Mapping_Sheet!$E$2:$E$3143, ISNUMBER(
Master_Mapping_Sheet!$E$2:$E$3143),
Master_Mapping_Sheet!$H$2:$H$3143=X$1,
Master_Mapping_Sheet!$B$2:$B$3143=$A27))/sum(filter(
Master_Mapping_Sheet!$E$2:$E$3143, ISNUMBER(
Master_Mapping_Sh"&amp;"eet!$E$2:$E$3143),
Master_Mapping_Sheet!$H$2:$H$3143=X$1))), 0, sum(filter(
Master_Mapping_Sheet!$E$2:$E$3143, ISNUMBER(
Master_Mapping_Sheet!$E$2:$E$3143),
Master_Mapping_Sheet!$H$2:$H$3143=X$1,
Master_Mapping_Sheet!$B$2:$B$3143=$A27))/sum(filter(
Master"&amp;"_Mapping_Sheet!$E$2:$E$3143, ISNUMBER(
Master_Mapping_Sheet!$E$2:$E$3143),
Master_Mapping_Sheet!$H$2:$H$3143=X$1)))"),0.0)</f>
        <v>0</v>
      </c>
      <c r="Y27" s="34">
        <f>IFERROR(__xludf.DUMMYFUNCTION("IF(ISNA(sum(filter(
Master_Mapping_Sheet!$E$2:$E$3143, ISNUMBER(
Master_Mapping_Sheet!$E$2:$E$3143),
Master_Mapping_Sheet!$H$2:$H$3143=Y$1,
Master_Mapping_Sheet!$B$2:$B$3143=$A27))/sum(filter(
Master_Mapping_Sheet!$E$2:$E$3143, ISNUMBER(
Master_Mapping_Sh"&amp;"eet!$E$2:$E$3143),
Master_Mapping_Sheet!$H$2:$H$3143=Y$1))), 0, sum(filter(
Master_Mapping_Sheet!$E$2:$E$3143, ISNUMBER(
Master_Mapping_Sheet!$E$2:$E$3143),
Master_Mapping_Sheet!$H$2:$H$3143=Y$1,
Master_Mapping_Sheet!$B$2:$B$3143=$A27))/sum(filter(
Master"&amp;"_Mapping_Sheet!$E$2:$E$3143, ISNUMBER(
Master_Mapping_Sheet!$E$2:$E$3143),
Master_Mapping_Sheet!$H$2:$H$3143=Y$1)))"),0.0)</f>
        <v>0</v>
      </c>
      <c r="Z27" s="34">
        <f>IFERROR(__xludf.DUMMYFUNCTION("IF(ISNA(sum(filter(
Master_Mapping_Sheet!$E$2:$E$3143, ISNUMBER(
Master_Mapping_Sheet!$E$2:$E$3143),
Master_Mapping_Sheet!$H$2:$H$3143=Z$1,
Master_Mapping_Sheet!$B$2:$B$3143=$A27))/sum(filter(
Master_Mapping_Sheet!$E$2:$E$3143, ISNUMBER(
Master_Mapping_Sh"&amp;"eet!$E$2:$E$3143),
Master_Mapping_Sheet!$H$2:$H$3143=Z$1))), 0, sum(filter(
Master_Mapping_Sheet!$E$2:$E$3143, ISNUMBER(
Master_Mapping_Sheet!$E$2:$E$3143),
Master_Mapping_Sheet!$H$2:$H$3143=Z$1,
Master_Mapping_Sheet!$B$2:$B$3143=$A27))/sum(filter(
Master"&amp;"_Mapping_Sheet!$E$2:$E$3143, ISNUMBER(
Master_Mapping_Sheet!$E$2:$E$3143),
Master_Mapping_Sheet!$H$2:$H$3143=Z$1)))"),0.0)</f>
        <v>0</v>
      </c>
      <c r="AA27" s="34">
        <f>IFERROR(__xludf.DUMMYFUNCTION("IF(ISNA(sum(filter(
Master_Mapping_Sheet!$E$2:$E$3143, ISNUMBER(
Master_Mapping_Sheet!$E$2:$E$3143),
Master_Mapping_Sheet!$H$2:$H$3143=AA$1,
Master_Mapping_Sheet!$B$2:$B$3143=$A27))/sum(filter(
Master_Mapping_Sheet!$E$2:$E$3143, ISNUMBER(
Master_Mapping_S"&amp;"heet!$E$2:$E$3143),
Master_Mapping_Sheet!$H$2:$H$3143=AA$1))), 0, sum(filter(
Master_Mapping_Sheet!$E$2:$E$3143, ISNUMBER(
Master_Mapping_Sheet!$E$2:$E$3143),
Master_Mapping_Sheet!$H$2:$H$3143=AA$1,
Master_Mapping_Sheet!$B$2:$B$3143=$A27))/sum(filter(
Mas"&amp;"ter_Mapping_Sheet!$E$2:$E$3143, ISNUMBER(
Master_Mapping_Sheet!$E$2:$E$3143),
Master_Mapping_Sheet!$H$2:$H$3143=AA$1)))"),0.0)</f>
        <v>0</v>
      </c>
    </row>
    <row r="28" ht="15.75" customHeight="1">
      <c r="A28" s="34" t="s">
        <v>1162</v>
      </c>
      <c r="B28" s="34" t="s">
        <v>3034</v>
      </c>
      <c r="C28" s="34">
        <f>IFERROR(__xludf.DUMMYFUNCTION("IF(ISNA(sum(filter(
Master_Mapping_Sheet!$E$2:$E$3143, ISNUMBER(
Master_Mapping_Sheet!$E$2:$E$3143),
Master_Mapping_Sheet!$H$2:$H$3143=C$1,
Master_Mapping_Sheet!$B$2:$B$3143=$A28))/sum(filter(
Master_Mapping_Sheet!$E$2:$E$3143, ISNUMBER(
Master_Mapping_Sh"&amp;"eet!$E$2:$E$3143),
Master_Mapping_Sheet!$H$2:$H$3143=C$1))), 0, sum(filter(
Master_Mapping_Sheet!$E$2:$E$3143, ISNUMBER(
Master_Mapping_Sheet!$E$2:$E$3143),
Master_Mapping_Sheet!$H$2:$H$3143=C$1,
Master_Mapping_Sheet!$B$2:$B$3143=$A28))/sum(filter(
Master"&amp;"_Mapping_Sheet!$E$2:$E$3143, ISNUMBER(
Master_Mapping_Sheet!$E$2:$E$3143),
Master_Mapping_Sheet!$H$2:$H$3143=C$1)))"),0.0)</f>
        <v>0</v>
      </c>
      <c r="D28" s="34">
        <f>IFERROR(__xludf.DUMMYFUNCTION("IF(ISNA(sum(filter(
Master_Mapping_Sheet!$E$2:$E$3143, ISNUMBER(
Master_Mapping_Sheet!$E$2:$E$3143),
Master_Mapping_Sheet!$H$2:$H$3143=D$1,
Master_Mapping_Sheet!$B$2:$B$3143=$A28))/sum(filter(
Master_Mapping_Sheet!$E$2:$E$3143, ISNUMBER(
Master_Mapping_Sh"&amp;"eet!$E$2:$E$3143),
Master_Mapping_Sheet!$H$2:$H$3143=D$1))), 0, sum(filter(
Master_Mapping_Sheet!$E$2:$E$3143, ISNUMBER(
Master_Mapping_Sheet!$E$2:$E$3143),
Master_Mapping_Sheet!$H$2:$H$3143=D$1,
Master_Mapping_Sheet!$B$2:$B$3143=$A28))/sum(filter(
Master"&amp;"_Mapping_Sheet!$E$2:$E$3143, ISNUMBER(
Master_Mapping_Sheet!$E$2:$E$3143),
Master_Mapping_Sheet!$H$2:$H$3143=D$1)))"),0.0)</f>
        <v>0</v>
      </c>
      <c r="E28" s="32">
        <f>IFERROR(__xludf.DUMMYFUNCTION("IF(ISNA(sum(filter(
Master_Mapping_Sheet!$E$2:$E$3143, ISNUMBER(
Master_Mapping_Sheet!$E$2:$E$3143),
Master_Mapping_Sheet!$H$2:$H$3143=E$1,
Master_Mapping_Sheet!$B$2:$B$3143=$A28))/sum(filter(
Master_Mapping_Sheet!$E$2:$E$3143, ISNUMBER(
Master_Mapping_Sh"&amp;"eet!$E$2:$E$3143),
Master_Mapping_Sheet!$H$2:$H$3143=E$1))), 0, sum(filter(
Master_Mapping_Sheet!$E$2:$E$3143, ISNUMBER(
Master_Mapping_Sheet!$E$2:$E$3143),
Master_Mapping_Sheet!$H$2:$H$3143=E$1,
Master_Mapping_Sheet!$B$2:$B$3143=$A28))/sum(filter(
Master"&amp;"_Mapping_Sheet!$E$2:$E$3143, ISNUMBER(
Master_Mapping_Sheet!$E$2:$E$3143),
Master_Mapping_Sheet!$H$2:$H$3143=E$1)))"),4.710750767858604E-4)</f>
        <v>0.0004710750768</v>
      </c>
      <c r="F28" s="34">
        <f>IFERROR(__xludf.DUMMYFUNCTION("IF(ISNA(sum(filter(
Master_Mapping_Sheet!$E$2:$E$3143, ISNUMBER(
Master_Mapping_Sheet!$E$2:$E$3143),
Master_Mapping_Sheet!$H$2:$H$3143=F$1,
Master_Mapping_Sheet!$B$2:$B$3143=$A28))/sum(filter(
Master_Mapping_Sheet!$E$2:$E$3143, ISNUMBER(
Master_Mapping_Sh"&amp;"eet!$E$2:$E$3143),
Master_Mapping_Sheet!$H$2:$H$3143=F$1))), 0, sum(filter(
Master_Mapping_Sheet!$E$2:$E$3143, ISNUMBER(
Master_Mapping_Sheet!$E$2:$E$3143),
Master_Mapping_Sheet!$H$2:$H$3143=F$1,
Master_Mapping_Sheet!$B$2:$B$3143=$A28))/sum(filter(
Master"&amp;"_Mapping_Sheet!$E$2:$E$3143, ISNUMBER(
Master_Mapping_Sheet!$E$2:$E$3143),
Master_Mapping_Sheet!$H$2:$H$3143=F$1)))"),0.0)</f>
        <v>0</v>
      </c>
      <c r="G28" s="34">
        <f>IFERROR(__xludf.DUMMYFUNCTION("IF(ISNA(sum(filter(
Master_Mapping_Sheet!$E$2:$E$3143, ISNUMBER(
Master_Mapping_Sheet!$E$2:$E$3143),
Master_Mapping_Sheet!$H$2:$H$3143=G$1,
Master_Mapping_Sheet!$B$2:$B$3143=$A28))/sum(filter(
Master_Mapping_Sheet!$E$2:$E$3143, ISNUMBER(
Master_Mapping_Sh"&amp;"eet!$E$2:$E$3143),
Master_Mapping_Sheet!$H$2:$H$3143=G$1))), 0, sum(filter(
Master_Mapping_Sheet!$E$2:$E$3143, ISNUMBER(
Master_Mapping_Sheet!$E$2:$E$3143),
Master_Mapping_Sheet!$H$2:$H$3143=G$1,
Master_Mapping_Sheet!$B$2:$B$3143=$A28))/sum(filter(
Master"&amp;"_Mapping_Sheet!$E$2:$E$3143, ISNUMBER(
Master_Mapping_Sheet!$E$2:$E$3143),
Master_Mapping_Sheet!$H$2:$H$3143=G$1)))"),0.0)</f>
        <v>0</v>
      </c>
      <c r="H28" s="34">
        <f>IFERROR(__xludf.DUMMYFUNCTION("IF(ISNA(sum(filter(
Master_Mapping_Sheet!$E$2:$E$3143, ISNUMBER(
Master_Mapping_Sheet!$E$2:$E$3143),
Master_Mapping_Sheet!$H$2:$H$3143=H$1,
Master_Mapping_Sheet!$B$2:$B$3143=$A28))/sum(filter(
Master_Mapping_Sheet!$E$2:$E$3143, ISNUMBER(
Master_Mapping_Sh"&amp;"eet!$E$2:$E$3143),
Master_Mapping_Sheet!$H$2:$H$3143=H$1))), 0, sum(filter(
Master_Mapping_Sheet!$E$2:$E$3143, ISNUMBER(
Master_Mapping_Sheet!$E$2:$E$3143),
Master_Mapping_Sheet!$H$2:$H$3143=H$1,
Master_Mapping_Sheet!$B$2:$B$3143=$A28))/sum(filter(
Master"&amp;"_Mapping_Sheet!$E$2:$E$3143, ISNUMBER(
Master_Mapping_Sheet!$E$2:$E$3143),
Master_Mapping_Sheet!$H$2:$H$3143=H$1)))"),0.0)</f>
        <v>0</v>
      </c>
      <c r="I28" s="34">
        <f>IFERROR(__xludf.DUMMYFUNCTION("IF(ISNA(sum(filter(
Master_Mapping_Sheet!$E$2:$E$3143, ISNUMBER(
Master_Mapping_Sheet!$E$2:$E$3143),
Master_Mapping_Sheet!$H$2:$H$3143=I$1,
Master_Mapping_Sheet!$B$2:$B$3143=$A28))/sum(filter(
Master_Mapping_Sheet!$E$2:$E$3143, ISNUMBER(
Master_Mapping_Sh"&amp;"eet!$E$2:$E$3143),
Master_Mapping_Sheet!$H$2:$H$3143=I$1))), 0, sum(filter(
Master_Mapping_Sheet!$E$2:$E$3143, ISNUMBER(
Master_Mapping_Sheet!$E$2:$E$3143),
Master_Mapping_Sheet!$H$2:$H$3143=I$1,
Master_Mapping_Sheet!$B$2:$B$3143=$A28))/sum(filter(
Master"&amp;"_Mapping_Sheet!$E$2:$E$3143, ISNUMBER(
Master_Mapping_Sheet!$E$2:$E$3143),
Master_Mapping_Sheet!$H$2:$H$3143=I$1)))"),0.0)</f>
        <v>0</v>
      </c>
      <c r="J28" s="34">
        <f>IFERROR(__xludf.DUMMYFUNCTION("IF(ISNA(sum(filter(
Master_Mapping_Sheet!$E$2:$E$3143, ISNUMBER(
Master_Mapping_Sheet!$E$2:$E$3143),
Master_Mapping_Sheet!$H$2:$H$3143=J$1,
Master_Mapping_Sheet!$B$2:$B$3143=$A28))/sum(filter(
Master_Mapping_Sheet!$E$2:$E$3143, ISNUMBER(
Master_Mapping_Sh"&amp;"eet!$E$2:$E$3143),
Master_Mapping_Sheet!$H$2:$H$3143=J$1))), 0, sum(filter(
Master_Mapping_Sheet!$E$2:$E$3143, ISNUMBER(
Master_Mapping_Sheet!$E$2:$E$3143),
Master_Mapping_Sheet!$H$2:$H$3143=J$1,
Master_Mapping_Sheet!$B$2:$B$3143=$A28))/sum(filter(
Master"&amp;"_Mapping_Sheet!$E$2:$E$3143, ISNUMBER(
Master_Mapping_Sheet!$E$2:$E$3143),
Master_Mapping_Sheet!$H$2:$H$3143=J$1)))"),0.0)</f>
        <v>0</v>
      </c>
      <c r="K28" s="34">
        <f>IFERROR(__xludf.DUMMYFUNCTION("IF(ISNA(sum(filter(
Master_Mapping_Sheet!$E$2:$E$3143, ISNUMBER(
Master_Mapping_Sheet!$E$2:$E$3143),
Master_Mapping_Sheet!$H$2:$H$3143=K$1,
Master_Mapping_Sheet!$B$2:$B$3143=$A28))/sum(filter(
Master_Mapping_Sheet!$E$2:$E$3143, ISNUMBER(
Master_Mapping_Sh"&amp;"eet!$E$2:$E$3143),
Master_Mapping_Sheet!$H$2:$H$3143=K$1))), 0, sum(filter(
Master_Mapping_Sheet!$E$2:$E$3143, ISNUMBER(
Master_Mapping_Sheet!$E$2:$E$3143),
Master_Mapping_Sheet!$H$2:$H$3143=K$1,
Master_Mapping_Sheet!$B$2:$B$3143=$A28))/sum(filter(
Master"&amp;"_Mapping_Sheet!$E$2:$E$3143, ISNUMBER(
Master_Mapping_Sheet!$E$2:$E$3143),
Master_Mapping_Sheet!$H$2:$H$3143=K$1)))"),0.0)</f>
        <v>0</v>
      </c>
      <c r="L28" s="34">
        <f>IFERROR(__xludf.DUMMYFUNCTION("IF(ISNA(sum(filter(
Master_Mapping_Sheet!$E$2:$E$3143, ISNUMBER(
Master_Mapping_Sheet!$E$2:$E$3143),
Master_Mapping_Sheet!$H$2:$H$3143=L$1,
Master_Mapping_Sheet!$B$2:$B$3143=$A28))/sum(filter(
Master_Mapping_Sheet!$E$2:$E$3143, ISNUMBER(
Master_Mapping_Sh"&amp;"eet!$E$2:$E$3143),
Master_Mapping_Sheet!$H$2:$H$3143=L$1))), 0, sum(filter(
Master_Mapping_Sheet!$E$2:$E$3143, ISNUMBER(
Master_Mapping_Sheet!$E$2:$E$3143),
Master_Mapping_Sheet!$H$2:$H$3143=L$1,
Master_Mapping_Sheet!$B$2:$B$3143=$A28))/sum(filter(
Master"&amp;"_Mapping_Sheet!$E$2:$E$3143, ISNUMBER(
Master_Mapping_Sheet!$E$2:$E$3143),
Master_Mapping_Sheet!$H$2:$H$3143=L$1)))"),0.0)</f>
        <v>0</v>
      </c>
      <c r="M28" s="34">
        <f>IFERROR(__xludf.DUMMYFUNCTION("IF(ISNA(sum(filter(
Master_Mapping_Sheet!$E$2:$E$3143, ISNUMBER(
Master_Mapping_Sheet!$E$2:$E$3143),
Master_Mapping_Sheet!$H$2:$H$3143=M$1,
Master_Mapping_Sheet!$B$2:$B$3143=$A28))/sum(filter(
Master_Mapping_Sheet!$E$2:$E$3143, ISNUMBER(
Master_Mapping_Sh"&amp;"eet!$E$2:$E$3143),
Master_Mapping_Sheet!$H$2:$H$3143=M$1))), 0, sum(filter(
Master_Mapping_Sheet!$E$2:$E$3143, ISNUMBER(
Master_Mapping_Sheet!$E$2:$E$3143),
Master_Mapping_Sheet!$H$2:$H$3143=M$1,
Master_Mapping_Sheet!$B$2:$B$3143=$A28))/sum(filter(
Master"&amp;"_Mapping_Sheet!$E$2:$E$3143, ISNUMBER(
Master_Mapping_Sheet!$E$2:$E$3143),
Master_Mapping_Sheet!$H$2:$H$3143=M$1)))"),0.0)</f>
        <v>0</v>
      </c>
      <c r="N28" s="34">
        <f>IFERROR(__xludf.DUMMYFUNCTION("IF(ISNA(sum(filter(
Master_Mapping_Sheet!$E$2:$E$3143, ISNUMBER(
Master_Mapping_Sheet!$E$2:$E$3143),
Master_Mapping_Sheet!$H$2:$H$3143=N$1,
Master_Mapping_Sheet!$B$2:$B$3143=$A28))/sum(filter(
Master_Mapping_Sheet!$E$2:$E$3143, ISNUMBER(
Master_Mapping_Sh"&amp;"eet!$E$2:$E$3143),
Master_Mapping_Sheet!$H$2:$H$3143=N$1))), 0, sum(filter(
Master_Mapping_Sheet!$E$2:$E$3143, ISNUMBER(
Master_Mapping_Sheet!$E$2:$E$3143),
Master_Mapping_Sheet!$H$2:$H$3143=N$1,
Master_Mapping_Sheet!$B$2:$B$3143=$A28))/sum(filter(
Master"&amp;"_Mapping_Sheet!$E$2:$E$3143, ISNUMBER(
Master_Mapping_Sheet!$E$2:$E$3143),
Master_Mapping_Sheet!$H$2:$H$3143=N$1)))"),0.0)</f>
        <v>0</v>
      </c>
      <c r="O28" s="34">
        <f>IFERROR(__xludf.DUMMYFUNCTION("IF(ISNA(sum(filter(
Master_Mapping_Sheet!$E$2:$E$3143, ISNUMBER(
Master_Mapping_Sheet!$E$2:$E$3143),
Master_Mapping_Sheet!$H$2:$H$3143=O$1,
Master_Mapping_Sheet!$B$2:$B$3143=$A28))/sum(filter(
Master_Mapping_Sheet!$E$2:$E$3143, ISNUMBER(
Master_Mapping_Sh"&amp;"eet!$E$2:$E$3143),
Master_Mapping_Sheet!$H$2:$H$3143=O$1))), 0, sum(filter(
Master_Mapping_Sheet!$E$2:$E$3143, ISNUMBER(
Master_Mapping_Sheet!$E$2:$E$3143),
Master_Mapping_Sheet!$H$2:$H$3143=O$1,
Master_Mapping_Sheet!$B$2:$B$3143=$A28))/sum(filter(
Master"&amp;"_Mapping_Sheet!$E$2:$E$3143, ISNUMBER(
Master_Mapping_Sheet!$E$2:$E$3143),
Master_Mapping_Sheet!$H$2:$H$3143=O$1)))"),0.0)</f>
        <v>0</v>
      </c>
      <c r="P28" s="34">
        <f>IFERROR(__xludf.DUMMYFUNCTION("IF(ISNA(sum(filter(
Master_Mapping_Sheet!$E$2:$E$3143, ISNUMBER(
Master_Mapping_Sheet!$E$2:$E$3143),
Master_Mapping_Sheet!$H$2:$H$3143=P$1,
Master_Mapping_Sheet!$B$2:$B$3143=$A28))/sum(filter(
Master_Mapping_Sheet!$E$2:$E$3143, ISNUMBER(
Master_Mapping_Sh"&amp;"eet!$E$2:$E$3143),
Master_Mapping_Sheet!$H$2:$H$3143=P$1))), 0, sum(filter(
Master_Mapping_Sheet!$E$2:$E$3143, ISNUMBER(
Master_Mapping_Sheet!$E$2:$E$3143),
Master_Mapping_Sheet!$H$2:$H$3143=P$1,
Master_Mapping_Sheet!$B$2:$B$3143=$A28))/sum(filter(
Master"&amp;"_Mapping_Sheet!$E$2:$E$3143, ISNUMBER(
Master_Mapping_Sheet!$E$2:$E$3143),
Master_Mapping_Sheet!$H$2:$H$3143=P$1)))"),0.0)</f>
        <v>0</v>
      </c>
      <c r="Q28" s="34">
        <f>IFERROR(__xludf.DUMMYFUNCTION("IF(ISNA(sum(filter(
Master_Mapping_Sheet!$E$2:$E$3143, ISNUMBER(
Master_Mapping_Sheet!$E$2:$E$3143),
Master_Mapping_Sheet!$H$2:$H$3143=Q$1,
Master_Mapping_Sheet!$B$2:$B$3143=$A28))/sum(filter(
Master_Mapping_Sheet!$E$2:$E$3143, ISNUMBER(
Master_Mapping_Sh"&amp;"eet!$E$2:$E$3143),
Master_Mapping_Sheet!$H$2:$H$3143=Q$1))), 0, sum(filter(
Master_Mapping_Sheet!$E$2:$E$3143, ISNUMBER(
Master_Mapping_Sheet!$E$2:$E$3143),
Master_Mapping_Sheet!$H$2:$H$3143=Q$1,
Master_Mapping_Sheet!$B$2:$B$3143=$A28))/sum(filter(
Master"&amp;"_Mapping_Sheet!$E$2:$E$3143, ISNUMBER(
Master_Mapping_Sheet!$E$2:$E$3143),
Master_Mapping_Sheet!$H$2:$H$3143=Q$1)))"),0.0)</f>
        <v>0</v>
      </c>
      <c r="R28" s="34">
        <f>IFERROR(__xludf.DUMMYFUNCTION("IF(ISNA(sum(filter(
Master_Mapping_Sheet!$E$2:$E$3143, ISNUMBER(
Master_Mapping_Sheet!$E$2:$E$3143),
Master_Mapping_Sheet!$H$2:$H$3143=R$1,
Master_Mapping_Sheet!$B$2:$B$3143=$A28))/sum(filter(
Master_Mapping_Sheet!$E$2:$E$3143, ISNUMBER(
Master_Mapping_Sh"&amp;"eet!$E$2:$E$3143),
Master_Mapping_Sheet!$H$2:$H$3143=R$1))), 0, sum(filter(
Master_Mapping_Sheet!$E$2:$E$3143, ISNUMBER(
Master_Mapping_Sheet!$E$2:$E$3143),
Master_Mapping_Sheet!$H$2:$H$3143=R$1,
Master_Mapping_Sheet!$B$2:$B$3143=$A28))/sum(filter(
Master"&amp;"_Mapping_Sheet!$E$2:$E$3143, ISNUMBER(
Master_Mapping_Sheet!$E$2:$E$3143),
Master_Mapping_Sheet!$H$2:$H$3143=R$1)))"),0.0)</f>
        <v>0</v>
      </c>
      <c r="S28" s="34">
        <f>IFERROR(__xludf.DUMMYFUNCTION("IF(ISNA(sum(filter(
Master_Mapping_Sheet!$E$2:$E$3143, ISNUMBER(
Master_Mapping_Sheet!$E$2:$E$3143),
Master_Mapping_Sheet!$H$2:$H$3143=S$1,
Master_Mapping_Sheet!$B$2:$B$3143=$A28))/sum(filter(
Master_Mapping_Sheet!$E$2:$E$3143, ISNUMBER(
Master_Mapping_Sh"&amp;"eet!$E$2:$E$3143),
Master_Mapping_Sheet!$H$2:$H$3143=S$1))), 0, sum(filter(
Master_Mapping_Sheet!$E$2:$E$3143, ISNUMBER(
Master_Mapping_Sheet!$E$2:$E$3143),
Master_Mapping_Sheet!$H$2:$H$3143=S$1,
Master_Mapping_Sheet!$B$2:$B$3143=$A28))/sum(filter(
Master"&amp;"_Mapping_Sheet!$E$2:$E$3143, ISNUMBER(
Master_Mapping_Sheet!$E$2:$E$3143),
Master_Mapping_Sheet!$H$2:$H$3143=S$1)))"),0.0)</f>
        <v>0</v>
      </c>
      <c r="T28" s="34">
        <f>IFERROR(__xludf.DUMMYFUNCTION("IF(ISNA(sum(filter(
Master_Mapping_Sheet!$E$2:$E$3143, ISNUMBER(
Master_Mapping_Sheet!$E$2:$E$3143),
Master_Mapping_Sheet!$H$2:$H$3143=T$1,
Master_Mapping_Sheet!$B$2:$B$3143=$A28))/sum(filter(
Master_Mapping_Sheet!$E$2:$E$3143, ISNUMBER(
Master_Mapping_Sh"&amp;"eet!$E$2:$E$3143),
Master_Mapping_Sheet!$H$2:$H$3143=T$1))), 0, sum(filter(
Master_Mapping_Sheet!$E$2:$E$3143, ISNUMBER(
Master_Mapping_Sheet!$E$2:$E$3143),
Master_Mapping_Sheet!$H$2:$H$3143=T$1,
Master_Mapping_Sheet!$B$2:$B$3143=$A28))/sum(filter(
Master"&amp;"_Mapping_Sheet!$E$2:$E$3143, ISNUMBER(
Master_Mapping_Sheet!$E$2:$E$3143),
Master_Mapping_Sheet!$H$2:$H$3143=T$1)))"),0.0)</f>
        <v>0</v>
      </c>
      <c r="U28" s="34">
        <f>IFERROR(__xludf.DUMMYFUNCTION("IF(ISNA(sum(filter(
Master_Mapping_Sheet!$E$2:$E$3143, ISNUMBER(
Master_Mapping_Sheet!$E$2:$E$3143),
Master_Mapping_Sheet!$H$2:$H$3143=U$1,
Master_Mapping_Sheet!$B$2:$B$3143=$A28))/sum(filter(
Master_Mapping_Sheet!$E$2:$E$3143, ISNUMBER(
Master_Mapping_Sh"&amp;"eet!$E$2:$E$3143),
Master_Mapping_Sheet!$H$2:$H$3143=U$1))), 0, sum(filter(
Master_Mapping_Sheet!$E$2:$E$3143, ISNUMBER(
Master_Mapping_Sheet!$E$2:$E$3143),
Master_Mapping_Sheet!$H$2:$H$3143=U$1,
Master_Mapping_Sheet!$B$2:$B$3143=$A28))/sum(filter(
Master"&amp;"_Mapping_Sheet!$E$2:$E$3143, ISNUMBER(
Master_Mapping_Sheet!$E$2:$E$3143),
Master_Mapping_Sheet!$H$2:$H$3143=U$1)))"),0.008070180730187065)</f>
        <v>0.00807018073</v>
      </c>
      <c r="V28" s="34">
        <f>IFERROR(__xludf.DUMMYFUNCTION("IF(ISNA(sum(filter(
Master_Mapping_Sheet!$E$2:$E$3143, ISNUMBER(
Master_Mapping_Sheet!$E$2:$E$3143),
Master_Mapping_Sheet!$H$2:$H$3143=V$1,
Master_Mapping_Sheet!$B$2:$B$3143=$A28))/sum(filter(
Master_Mapping_Sheet!$E$2:$E$3143, ISNUMBER(
Master_Mapping_Sh"&amp;"eet!$E$2:$E$3143),
Master_Mapping_Sheet!$H$2:$H$3143=V$1))), 0, sum(filter(
Master_Mapping_Sheet!$E$2:$E$3143, ISNUMBER(
Master_Mapping_Sheet!$E$2:$E$3143),
Master_Mapping_Sheet!$H$2:$H$3143=V$1,
Master_Mapping_Sheet!$B$2:$B$3143=$A28))/sum(filter(
Master"&amp;"_Mapping_Sheet!$E$2:$E$3143, ISNUMBER(
Master_Mapping_Sheet!$E$2:$E$3143),
Master_Mapping_Sheet!$H$2:$H$3143=V$1)))"),0.0)</f>
        <v>0</v>
      </c>
      <c r="W28" s="34">
        <f>IFERROR(__xludf.DUMMYFUNCTION("IF(ISNA(sum(filter(
Master_Mapping_Sheet!$E$2:$E$3143, ISNUMBER(
Master_Mapping_Sheet!$E$2:$E$3143),
Master_Mapping_Sheet!$H$2:$H$3143=W$1,
Master_Mapping_Sheet!$B$2:$B$3143=$A28))/sum(filter(
Master_Mapping_Sheet!$E$2:$E$3143, ISNUMBER(
Master_Mapping_Sh"&amp;"eet!$E$2:$E$3143),
Master_Mapping_Sheet!$H$2:$H$3143=W$1))), 0, sum(filter(
Master_Mapping_Sheet!$E$2:$E$3143, ISNUMBER(
Master_Mapping_Sheet!$E$2:$E$3143),
Master_Mapping_Sheet!$H$2:$H$3143=W$1,
Master_Mapping_Sheet!$B$2:$B$3143=$A28))/sum(filter(
Master"&amp;"_Mapping_Sheet!$E$2:$E$3143, ISNUMBER(
Master_Mapping_Sheet!$E$2:$E$3143),
Master_Mapping_Sheet!$H$2:$H$3143=W$1)))"),0.0)</f>
        <v>0</v>
      </c>
      <c r="X28" s="34">
        <f>IFERROR(__xludf.DUMMYFUNCTION("IF(ISNA(sum(filter(
Master_Mapping_Sheet!$E$2:$E$3143, ISNUMBER(
Master_Mapping_Sheet!$E$2:$E$3143),
Master_Mapping_Sheet!$H$2:$H$3143=X$1,
Master_Mapping_Sheet!$B$2:$B$3143=$A28))/sum(filter(
Master_Mapping_Sheet!$E$2:$E$3143, ISNUMBER(
Master_Mapping_Sh"&amp;"eet!$E$2:$E$3143),
Master_Mapping_Sheet!$H$2:$H$3143=X$1))), 0, sum(filter(
Master_Mapping_Sheet!$E$2:$E$3143, ISNUMBER(
Master_Mapping_Sheet!$E$2:$E$3143),
Master_Mapping_Sheet!$H$2:$H$3143=X$1,
Master_Mapping_Sheet!$B$2:$B$3143=$A28))/sum(filter(
Master"&amp;"_Mapping_Sheet!$E$2:$E$3143, ISNUMBER(
Master_Mapping_Sheet!$E$2:$E$3143),
Master_Mapping_Sheet!$H$2:$H$3143=X$1)))"),0.0)</f>
        <v>0</v>
      </c>
      <c r="Y28" s="34">
        <f>IFERROR(__xludf.DUMMYFUNCTION("IF(ISNA(sum(filter(
Master_Mapping_Sheet!$E$2:$E$3143, ISNUMBER(
Master_Mapping_Sheet!$E$2:$E$3143),
Master_Mapping_Sheet!$H$2:$H$3143=Y$1,
Master_Mapping_Sheet!$B$2:$B$3143=$A28))/sum(filter(
Master_Mapping_Sheet!$E$2:$E$3143, ISNUMBER(
Master_Mapping_Sh"&amp;"eet!$E$2:$E$3143),
Master_Mapping_Sheet!$H$2:$H$3143=Y$1))), 0, sum(filter(
Master_Mapping_Sheet!$E$2:$E$3143, ISNUMBER(
Master_Mapping_Sheet!$E$2:$E$3143),
Master_Mapping_Sheet!$H$2:$H$3143=Y$1,
Master_Mapping_Sheet!$B$2:$B$3143=$A28))/sum(filter(
Master"&amp;"_Mapping_Sheet!$E$2:$E$3143, ISNUMBER(
Master_Mapping_Sheet!$E$2:$E$3143),
Master_Mapping_Sheet!$H$2:$H$3143=Y$1)))"),0.08010021642812082)</f>
        <v>0.08010021643</v>
      </c>
      <c r="Z28" s="34">
        <f>IFERROR(__xludf.DUMMYFUNCTION("IF(ISNA(sum(filter(
Master_Mapping_Sheet!$E$2:$E$3143, ISNUMBER(
Master_Mapping_Sheet!$E$2:$E$3143),
Master_Mapping_Sheet!$H$2:$H$3143=Z$1,
Master_Mapping_Sheet!$B$2:$B$3143=$A28))/sum(filter(
Master_Mapping_Sheet!$E$2:$E$3143, ISNUMBER(
Master_Mapping_Sh"&amp;"eet!$E$2:$E$3143),
Master_Mapping_Sheet!$H$2:$H$3143=Z$1))), 0, sum(filter(
Master_Mapping_Sheet!$E$2:$E$3143, ISNUMBER(
Master_Mapping_Sheet!$E$2:$E$3143),
Master_Mapping_Sheet!$H$2:$H$3143=Z$1,
Master_Mapping_Sheet!$B$2:$B$3143=$A28))/sum(filter(
Master"&amp;"_Mapping_Sheet!$E$2:$E$3143, ISNUMBER(
Master_Mapping_Sheet!$E$2:$E$3143),
Master_Mapping_Sheet!$H$2:$H$3143=Z$1)))"),0.0)</f>
        <v>0</v>
      </c>
      <c r="AA28" s="34">
        <f>IFERROR(__xludf.DUMMYFUNCTION("IF(ISNA(sum(filter(
Master_Mapping_Sheet!$E$2:$E$3143, ISNUMBER(
Master_Mapping_Sheet!$E$2:$E$3143),
Master_Mapping_Sheet!$H$2:$H$3143=AA$1,
Master_Mapping_Sheet!$B$2:$B$3143=$A28))/sum(filter(
Master_Mapping_Sheet!$E$2:$E$3143, ISNUMBER(
Master_Mapping_S"&amp;"heet!$E$2:$E$3143),
Master_Mapping_Sheet!$H$2:$H$3143=AA$1))), 0, sum(filter(
Master_Mapping_Sheet!$E$2:$E$3143, ISNUMBER(
Master_Mapping_Sheet!$E$2:$E$3143),
Master_Mapping_Sheet!$H$2:$H$3143=AA$1,
Master_Mapping_Sheet!$B$2:$B$3143=$A28))/sum(filter(
Mas"&amp;"ter_Mapping_Sheet!$E$2:$E$3143, ISNUMBER(
Master_Mapping_Sheet!$E$2:$E$3143),
Master_Mapping_Sheet!$H$2:$H$3143=AA$1)))"),0.0)</f>
        <v>0</v>
      </c>
    </row>
    <row r="29" ht="15.75" customHeight="1">
      <c r="A29" s="34" t="s">
        <v>1198</v>
      </c>
      <c r="B29" s="34" t="s">
        <v>3071</v>
      </c>
      <c r="C29" s="34">
        <f>IFERROR(__xludf.DUMMYFUNCTION("IF(ISNA(sum(filter(
Master_Mapping_Sheet!$E$2:$E$3143, ISNUMBER(
Master_Mapping_Sheet!$E$2:$E$3143),
Master_Mapping_Sheet!$H$2:$H$3143=C$1,
Master_Mapping_Sheet!$B$2:$B$3143=$A29))/sum(filter(
Master_Mapping_Sheet!$E$2:$E$3143, ISNUMBER(
Master_Mapping_Sh"&amp;"eet!$E$2:$E$3143),
Master_Mapping_Sheet!$H$2:$H$3143=C$1))), 0, sum(filter(
Master_Mapping_Sheet!$E$2:$E$3143, ISNUMBER(
Master_Mapping_Sheet!$E$2:$E$3143),
Master_Mapping_Sheet!$H$2:$H$3143=C$1,
Master_Mapping_Sheet!$B$2:$B$3143=$A29))/sum(filter(
Master"&amp;"_Mapping_Sheet!$E$2:$E$3143, ISNUMBER(
Master_Mapping_Sheet!$E$2:$E$3143),
Master_Mapping_Sheet!$H$2:$H$3143=C$1)))"),0.0)</f>
        <v>0</v>
      </c>
      <c r="D29" s="34">
        <f>IFERROR(__xludf.DUMMYFUNCTION("IF(ISNA(sum(filter(
Master_Mapping_Sheet!$E$2:$E$3143, ISNUMBER(
Master_Mapping_Sheet!$E$2:$E$3143),
Master_Mapping_Sheet!$H$2:$H$3143=D$1,
Master_Mapping_Sheet!$B$2:$B$3143=$A29))/sum(filter(
Master_Mapping_Sheet!$E$2:$E$3143, ISNUMBER(
Master_Mapping_Sh"&amp;"eet!$E$2:$E$3143),
Master_Mapping_Sheet!$H$2:$H$3143=D$1))), 0, sum(filter(
Master_Mapping_Sheet!$E$2:$E$3143, ISNUMBER(
Master_Mapping_Sheet!$E$2:$E$3143),
Master_Mapping_Sheet!$H$2:$H$3143=D$1,
Master_Mapping_Sheet!$B$2:$B$3143=$A29))/sum(filter(
Master"&amp;"_Mapping_Sheet!$E$2:$E$3143, ISNUMBER(
Master_Mapping_Sheet!$E$2:$E$3143),
Master_Mapping_Sheet!$H$2:$H$3143=D$1)))"),0.0)</f>
        <v>0</v>
      </c>
      <c r="E29" s="32">
        <f>IFERROR(__xludf.DUMMYFUNCTION("IF(ISNA(sum(filter(
Master_Mapping_Sheet!$E$2:$E$3143, ISNUMBER(
Master_Mapping_Sheet!$E$2:$E$3143),
Master_Mapping_Sheet!$H$2:$H$3143=E$1,
Master_Mapping_Sheet!$B$2:$B$3143=$A29))/sum(filter(
Master_Mapping_Sheet!$E$2:$E$3143, ISNUMBER(
Master_Mapping_Sh"&amp;"eet!$E$2:$E$3143),
Master_Mapping_Sheet!$H$2:$H$3143=E$1))), 0, sum(filter(
Master_Mapping_Sheet!$E$2:$E$3143, ISNUMBER(
Master_Mapping_Sheet!$E$2:$E$3143),
Master_Mapping_Sheet!$H$2:$H$3143=E$1,
Master_Mapping_Sheet!$B$2:$B$3143=$A29))/sum(filter(
Master"&amp;"_Mapping_Sheet!$E$2:$E$3143, ISNUMBER(
Master_Mapping_Sheet!$E$2:$E$3143),
Master_Mapping_Sheet!$H$2:$H$3143=E$1)))"),0.0)</f>
        <v>0</v>
      </c>
      <c r="F29" s="34">
        <f>IFERROR(__xludf.DUMMYFUNCTION("IF(ISNA(sum(filter(
Master_Mapping_Sheet!$E$2:$E$3143, ISNUMBER(
Master_Mapping_Sheet!$E$2:$E$3143),
Master_Mapping_Sheet!$H$2:$H$3143=F$1,
Master_Mapping_Sheet!$B$2:$B$3143=$A29))/sum(filter(
Master_Mapping_Sheet!$E$2:$E$3143, ISNUMBER(
Master_Mapping_Sh"&amp;"eet!$E$2:$E$3143),
Master_Mapping_Sheet!$H$2:$H$3143=F$1))), 0, sum(filter(
Master_Mapping_Sheet!$E$2:$E$3143, ISNUMBER(
Master_Mapping_Sheet!$E$2:$E$3143),
Master_Mapping_Sheet!$H$2:$H$3143=F$1,
Master_Mapping_Sheet!$B$2:$B$3143=$A29))/sum(filter(
Master"&amp;"_Mapping_Sheet!$E$2:$E$3143, ISNUMBER(
Master_Mapping_Sheet!$E$2:$E$3143),
Master_Mapping_Sheet!$H$2:$H$3143=F$1)))"),0.0)</f>
        <v>0</v>
      </c>
      <c r="G29" s="34">
        <f>IFERROR(__xludf.DUMMYFUNCTION("IF(ISNA(sum(filter(
Master_Mapping_Sheet!$E$2:$E$3143, ISNUMBER(
Master_Mapping_Sheet!$E$2:$E$3143),
Master_Mapping_Sheet!$H$2:$H$3143=G$1,
Master_Mapping_Sheet!$B$2:$B$3143=$A29))/sum(filter(
Master_Mapping_Sheet!$E$2:$E$3143, ISNUMBER(
Master_Mapping_Sh"&amp;"eet!$E$2:$E$3143),
Master_Mapping_Sheet!$H$2:$H$3143=G$1))), 0, sum(filter(
Master_Mapping_Sheet!$E$2:$E$3143, ISNUMBER(
Master_Mapping_Sheet!$E$2:$E$3143),
Master_Mapping_Sheet!$H$2:$H$3143=G$1,
Master_Mapping_Sheet!$B$2:$B$3143=$A29))/sum(filter(
Master"&amp;"_Mapping_Sheet!$E$2:$E$3143, ISNUMBER(
Master_Mapping_Sheet!$E$2:$E$3143),
Master_Mapping_Sheet!$H$2:$H$3143=G$1)))"),0.0)</f>
        <v>0</v>
      </c>
      <c r="H29" s="34">
        <f>IFERROR(__xludf.DUMMYFUNCTION("IF(ISNA(sum(filter(
Master_Mapping_Sheet!$E$2:$E$3143, ISNUMBER(
Master_Mapping_Sheet!$E$2:$E$3143),
Master_Mapping_Sheet!$H$2:$H$3143=H$1,
Master_Mapping_Sheet!$B$2:$B$3143=$A29))/sum(filter(
Master_Mapping_Sheet!$E$2:$E$3143, ISNUMBER(
Master_Mapping_Sh"&amp;"eet!$E$2:$E$3143),
Master_Mapping_Sheet!$H$2:$H$3143=H$1))), 0, sum(filter(
Master_Mapping_Sheet!$E$2:$E$3143, ISNUMBER(
Master_Mapping_Sheet!$E$2:$E$3143),
Master_Mapping_Sheet!$H$2:$H$3143=H$1,
Master_Mapping_Sheet!$B$2:$B$3143=$A29))/sum(filter(
Master"&amp;"_Mapping_Sheet!$E$2:$E$3143, ISNUMBER(
Master_Mapping_Sheet!$E$2:$E$3143),
Master_Mapping_Sheet!$H$2:$H$3143=H$1)))"),0.0)</f>
        <v>0</v>
      </c>
      <c r="I29" s="34">
        <f>IFERROR(__xludf.DUMMYFUNCTION("IF(ISNA(sum(filter(
Master_Mapping_Sheet!$E$2:$E$3143, ISNUMBER(
Master_Mapping_Sheet!$E$2:$E$3143),
Master_Mapping_Sheet!$H$2:$H$3143=I$1,
Master_Mapping_Sheet!$B$2:$B$3143=$A29))/sum(filter(
Master_Mapping_Sheet!$E$2:$E$3143, ISNUMBER(
Master_Mapping_Sh"&amp;"eet!$E$2:$E$3143),
Master_Mapping_Sheet!$H$2:$H$3143=I$1))), 0, sum(filter(
Master_Mapping_Sheet!$E$2:$E$3143, ISNUMBER(
Master_Mapping_Sheet!$E$2:$E$3143),
Master_Mapping_Sheet!$H$2:$H$3143=I$1,
Master_Mapping_Sheet!$B$2:$B$3143=$A29))/sum(filter(
Master"&amp;"_Mapping_Sheet!$E$2:$E$3143, ISNUMBER(
Master_Mapping_Sheet!$E$2:$E$3143),
Master_Mapping_Sheet!$H$2:$H$3143=I$1)))"),0.0)</f>
        <v>0</v>
      </c>
      <c r="J29" s="34">
        <f>IFERROR(__xludf.DUMMYFUNCTION("IF(ISNA(sum(filter(
Master_Mapping_Sheet!$E$2:$E$3143, ISNUMBER(
Master_Mapping_Sheet!$E$2:$E$3143),
Master_Mapping_Sheet!$H$2:$H$3143=J$1,
Master_Mapping_Sheet!$B$2:$B$3143=$A29))/sum(filter(
Master_Mapping_Sheet!$E$2:$E$3143, ISNUMBER(
Master_Mapping_Sh"&amp;"eet!$E$2:$E$3143),
Master_Mapping_Sheet!$H$2:$H$3143=J$1))), 0, sum(filter(
Master_Mapping_Sheet!$E$2:$E$3143, ISNUMBER(
Master_Mapping_Sheet!$E$2:$E$3143),
Master_Mapping_Sheet!$H$2:$H$3143=J$1,
Master_Mapping_Sheet!$B$2:$B$3143=$A29))/sum(filter(
Master"&amp;"_Mapping_Sheet!$E$2:$E$3143, ISNUMBER(
Master_Mapping_Sheet!$E$2:$E$3143),
Master_Mapping_Sheet!$H$2:$H$3143=J$1)))"),0.0)</f>
        <v>0</v>
      </c>
      <c r="K29" s="34">
        <f>IFERROR(__xludf.DUMMYFUNCTION("IF(ISNA(sum(filter(
Master_Mapping_Sheet!$E$2:$E$3143, ISNUMBER(
Master_Mapping_Sheet!$E$2:$E$3143),
Master_Mapping_Sheet!$H$2:$H$3143=K$1,
Master_Mapping_Sheet!$B$2:$B$3143=$A29))/sum(filter(
Master_Mapping_Sheet!$E$2:$E$3143, ISNUMBER(
Master_Mapping_Sh"&amp;"eet!$E$2:$E$3143),
Master_Mapping_Sheet!$H$2:$H$3143=K$1))), 0, sum(filter(
Master_Mapping_Sheet!$E$2:$E$3143, ISNUMBER(
Master_Mapping_Sheet!$E$2:$E$3143),
Master_Mapping_Sheet!$H$2:$H$3143=K$1,
Master_Mapping_Sheet!$B$2:$B$3143=$A29))/sum(filter(
Master"&amp;"_Mapping_Sheet!$E$2:$E$3143, ISNUMBER(
Master_Mapping_Sheet!$E$2:$E$3143),
Master_Mapping_Sheet!$H$2:$H$3143=K$1)))"),0.0)</f>
        <v>0</v>
      </c>
      <c r="L29" s="34">
        <f>IFERROR(__xludf.DUMMYFUNCTION("IF(ISNA(sum(filter(
Master_Mapping_Sheet!$E$2:$E$3143, ISNUMBER(
Master_Mapping_Sheet!$E$2:$E$3143),
Master_Mapping_Sheet!$H$2:$H$3143=L$1,
Master_Mapping_Sheet!$B$2:$B$3143=$A29))/sum(filter(
Master_Mapping_Sheet!$E$2:$E$3143, ISNUMBER(
Master_Mapping_Sh"&amp;"eet!$E$2:$E$3143),
Master_Mapping_Sheet!$H$2:$H$3143=L$1))), 0, sum(filter(
Master_Mapping_Sheet!$E$2:$E$3143, ISNUMBER(
Master_Mapping_Sheet!$E$2:$E$3143),
Master_Mapping_Sheet!$H$2:$H$3143=L$1,
Master_Mapping_Sheet!$B$2:$B$3143=$A29))/sum(filter(
Master"&amp;"_Mapping_Sheet!$E$2:$E$3143, ISNUMBER(
Master_Mapping_Sheet!$E$2:$E$3143),
Master_Mapping_Sheet!$H$2:$H$3143=L$1)))"),0.0)</f>
        <v>0</v>
      </c>
      <c r="M29" s="34">
        <f>IFERROR(__xludf.DUMMYFUNCTION("IF(ISNA(sum(filter(
Master_Mapping_Sheet!$E$2:$E$3143, ISNUMBER(
Master_Mapping_Sheet!$E$2:$E$3143),
Master_Mapping_Sheet!$H$2:$H$3143=M$1,
Master_Mapping_Sheet!$B$2:$B$3143=$A29))/sum(filter(
Master_Mapping_Sheet!$E$2:$E$3143, ISNUMBER(
Master_Mapping_Sh"&amp;"eet!$E$2:$E$3143),
Master_Mapping_Sheet!$H$2:$H$3143=M$1))), 0, sum(filter(
Master_Mapping_Sheet!$E$2:$E$3143, ISNUMBER(
Master_Mapping_Sheet!$E$2:$E$3143),
Master_Mapping_Sheet!$H$2:$H$3143=M$1,
Master_Mapping_Sheet!$B$2:$B$3143=$A29))/sum(filter(
Master"&amp;"_Mapping_Sheet!$E$2:$E$3143, ISNUMBER(
Master_Mapping_Sheet!$E$2:$E$3143),
Master_Mapping_Sheet!$H$2:$H$3143=M$1)))"),0.0)</f>
        <v>0</v>
      </c>
      <c r="N29" s="34">
        <f>IFERROR(__xludf.DUMMYFUNCTION("IF(ISNA(sum(filter(
Master_Mapping_Sheet!$E$2:$E$3143, ISNUMBER(
Master_Mapping_Sheet!$E$2:$E$3143),
Master_Mapping_Sheet!$H$2:$H$3143=N$1,
Master_Mapping_Sheet!$B$2:$B$3143=$A29))/sum(filter(
Master_Mapping_Sheet!$E$2:$E$3143, ISNUMBER(
Master_Mapping_Sh"&amp;"eet!$E$2:$E$3143),
Master_Mapping_Sheet!$H$2:$H$3143=N$1))), 0, sum(filter(
Master_Mapping_Sheet!$E$2:$E$3143, ISNUMBER(
Master_Mapping_Sheet!$E$2:$E$3143),
Master_Mapping_Sheet!$H$2:$H$3143=N$1,
Master_Mapping_Sheet!$B$2:$B$3143=$A29))/sum(filter(
Master"&amp;"_Mapping_Sheet!$E$2:$E$3143, ISNUMBER(
Master_Mapping_Sheet!$E$2:$E$3143),
Master_Mapping_Sheet!$H$2:$H$3143=N$1)))"),0.0)</f>
        <v>0</v>
      </c>
      <c r="O29" s="34">
        <f>IFERROR(__xludf.DUMMYFUNCTION("IF(ISNA(sum(filter(
Master_Mapping_Sheet!$E$2:$E$3143, ISNUMBER(
Master_Mapping_Sheet!$E$2:$E$3143),
Master_Mapping_Sheet!$H$2:$H$3143=O$1,
Master_Mapping_Sheet!$B$2:$B$3143=$A29))/sum(filter(
Master_Mapping_Sheet!$E$2:$E$3143, ISNUMBER(
Master_Mapping_Sh"&amp;"eet!$E$2:$E$3143),
Master_Mapping_Sheet!$H$2:$H$3143=O$1))), 0, sum(filter(
Master_Mapping_Sheet!$E$2:$E$3143, ISNUMBER(
Master_Mapping_Sheet!$E$2:$E$3143),
Master_Mapping_Sheet!$H$2:$H$3143=O$1,
Master_Mapping_Sheet!$B$2:$B$3143=$A29))/sum(filter(
Master"&amp;"_Mapping_Sheet!$E$2:$E$3143, ISNUMBER(
Master_Mapping_Sheet!$E$2:$E$3143),
Master_Mapping_Sheet!$H$2:$H$3143=O$1)))"),0.0)</f>
        <v>0</v>
      </c>
      <c r="P29" s="34">
        <f>IFERROR(__xludf.DUMMYFUNCTION("IF(ISNA(sum(filter(
Master_Mapping_Sheet!$E$2:$E$3143, ISNUMBER(
Master_Mapping_Sheet!$E$2:$E$3143),
Master_Mapping_Sheet!$H$2:$H$3143=P$1,
Master_Mapping_Sheet!$B$2:$B$3143=$A29))/sum(filter(
Master_Mapping_Sheet!$E$2:$E$3143, ISNUMBER(
Master_Mapping_Sh"&amp;"eet!$E$2:$E$3143),
Master_Mapping_Sheet!$H$2:$H$3143=P$1))), 0, sum(filter(
Master_Mapping_Sheet!$E$2:$E$3143, ISNUMBER(
Master_Mapping_Sheet!$E$2:$E$3143),
Master_Mapping_Sheet!$H$2:$H$3143=P$1,
Master_Mapping_Sheet!$B$2:$B$3143=$A29))/sum(filter(
Master"&amp;"_Mapping_Sheet!$E$2:$E$3143, ISNUMBER(
Master_Mapping_Sheet!$E$2:$E$3143),
Master_Mapping_Sheet!$H$2:$H$3143=P$1)))"),0.0)</f>
        <v>0</v>
      </c>
      <c r="Q29" s="34">
        <f>IFERROR(__xludf.DUMMYFUNCTION("IF(ISNA(sum(filter(
Master_Mapping_Sheet!$E$2:$E$3143, ISNUMBER(
Master_Mapping_Sheet!$E$2:$E$3143),
Master_Mapping_Sheet!$H$2:$H$3143=Q$1,
Master_Mapping_Sheet!$B$2:$B$3143=$A29))/sum(filter(
Master_Mapping_Sheet!$E$2:$E$3143, ISNUMBER(
Master_Mapping_Sh"&amp;"eet!$E$2:$E$3143),
Master_Mapping_Sheet!$H$2:$H$3143=Q$1))), 0, sum(filter(
Master_Mapping_Sheet!$E$2:$E$3143, ISNUMBER(
Master_Mapping_Sheet!$E$2:$E$3143),
Master_Mapping_Sheet!$H$2:$H$3143=Q$1,
Master_Mapping_Sheet!$B$2:$B$3143=$A29))/sum(filter(
Master"&amp;"_Mapping_Sheet!$E$2:$E$3143, ISNUMBER(
Master_Mapping_Sheet!$E$2:$E$3143),
Master_Mapping_Sheet!$H$2:$H$3143=Q$1)))"),0.0)</f>
        <v>0</v>
      </c>
      <c r="R29" s="34">
        <f>IFERROR(__xludf.DUMMYFUNCTION("IF(ISNA(sum(filter(
Master_Mapping_Sheet!$E$2:$E$3143, ISNUMBER(
Master_Mapping_Sheet!$E$2:$E$3143),
Master_Mapping_Sheet!$H$2:$H$3143=R$1,
Master_Mapping_Sheet!$B$2:$B$3143=$A29))/sum(filter(
Master_Mapping_Sheet!$E$2:$E$3143, ISNUMBER(
Master_Mapping_Sh"&amp;"eet!$E$2:$E$3143),
Master_Mapping_Sheet!$H$2:$H$3143=R$1))), 0, sum(filter(
Master_Mapping_Sheet!$E$2:$E$3143, ISNUMBER(
Master_Mapping_Sheet!$E$2:$E$3143),
Master_Mapping_Sheet!$H$2:$H$3143=R$1,
Master_Mapping_Sheet!$B$2:$B$3143=$A29))/sum(filter(
Master"&amp;"_Mapping_Sheet!$E$2:$E$3143, ISNUMBER(
Master_Mapping_Sheet!$E$2:$E$3143),
Master_Mapping_Sheet!$H$2:$H$3143=R$1)))"),0.0)</f>
        <v>0</v>
      </c>
      <c r="S29" s="34">
        <f>IFERROR(__xludf.DUMMYFUNCTION("IF(ISNA(sum(filter(
Master_Mapping_Sheet!$E$2:$E$3143, ISNUMBER(
Master_Mapping_Sheet!$E$2:$E$3143),
Master_Mapping_Sheet!$H$2:$H$3143=S$1,
Master_Mapping_Sheet!$B$2:$B$3143=$A29))/sum(filter(
Master_Mapping_Sheet!$E$2:$E$3143, ISNUMBER(
Master_Mapping_Sh"&amp;"eet!$E$2:$E$3143),
Master_Mapping_Sheet!$H$2:$H$3143=S$1))), 0, sum(filter(
Master_Mapping_Sheet!$E$2:$E$3143, ISNUMBER(
Master_Mapping_Sheet!$E$2:$E$3143),
Master_Mapping_Sheet!$H$2:$H$3143=S$1,
Master_Mapping_Sheet!$B$2:$B$3143=$A29))/sum(filter(
Master"&amp;"_Mapping_Sheet!$E$2:$E$3143, ISNUMBER(
Master_Mapping_Sheet!$E$2:$E$3143),
Master_Mapping_Sheet!$H$2:$H$3143=S$1)))"),0.0)</f>
        <v>0</v>
      </c>
      <c r="T29" s="34">
        <f>IFERROR(__xludf.DUMMYFUNCTION("IF(ISNA(sum(filter(
Master_Mapping_Sheet!$E$2:$E$3143, ISNUMBER(
Master_Mapping_Sheet!$E$2:$E$3143),
Master_Mapping_Sheet!$H$2:$H$3143=T$1,
Master_Mapping_Sheet!$B$2:$B$3143=$A29))/sum(filter(
Master_Mapping_Sheet!$E$2:$E$3143, ISNUMBER(
Master_Mapping_Sh"&amp;"eet!$E$2:$E$3143),
Master_Mapping_Sheet!$H$2:$H$3143=T$1))), 0, sum(filter(
Master_Mapping_Sheet!$E$2:$E$3143, ISNUMBER(
Master_Mapping_Sheet!$E$2:$E$3143),
Master_Mapping_Sheet!$H$2:$H$3143=T$1,
Master_Mapping_Sheet!$B$2:$B$3143=$A29))/sum(filter(
Master"&amp;"_Mapping_Sheet!$E$2:$E$3143, ISNUMBER(
Master_Mapping_Sheet!$E$2:$E$3143),
Master_Mapping_Sheet!$H$2:$H$3143=T$1)))"),0.0)</f>
        <v>0</v>
      </c>
      <c r="U29" s="34">
        <f>IFERROR(__xludf.DUMMYFUNCTION("IF(ISNA(sum(filter(
Master_Mapping_Sheet!$E$2:$E$3143, ISNUMBER(
Master_Mapping_Sheet!$E$2:$E$3143),
Master_Mapping_Sheet!$H$2:$H$3143=U$1,
Master_Mapping_Sheet!$B$2:$B$3143=$A29))/sum(filter(
Master_Mapping_Sheet!$E$2:$E$3143, ISNUMBER(
Master_Mapping_Sh"&amp;"eet!$E$2:$E$3143),
Master_Mapping_Sheet!$H$2:$H$3143=U$1))), 0, sum(filter(
Master_Mapping_Sheet!$E$2:$E$3143, ISNUMBER(
Master_Mapping_Sheet!$E$2:$E$3143),
Master_Mapping_Sheet!$H$2:$H$3143=U$1,
Master_Mapping_Sheet!$B$2:$B$3143=$A29))/sum(filter(
Master"&amp;"_Mapping_Sheet!$E$2:$E$3143, ISNUMBER(
Master_Mapping_Sheet!$E$2:$E$3143),
Master_Mapping_Sheet!$H$2:$H$3143=U$1)))"),0.4468528397356889)</f>
        <v>0.4468528397</v>
      </c>
      <c r="V29" s="34">
        <f>IFERROR(__xludf.DUMMYFUNCTION("IF(ISNA(sum(filter(
Master_Mapping_Sheet!$E$2:$E$3143, ISNUMBER(
Master_Mapping_Sheet!$E$2:$E$3143),
Master_Mapping_Sheet!$H$2:$H$3143=V$1,
Master_Mapping_Sheet!$B$2:$B$3143=$A29))/sum(filter(
Master_Mapping_Sheet!$E$2:$E$3143, ISNUMBER(
Master_Mapping_Sh"&amp;"eet!$E$2:$E$3143),
Master_Mapping_Sheet!$H$2:$H$3143=V$1))), 0, sum(filter(
Master_Mapping_Sheet!$E$2:$E$3143, ISNUMBER(
Master_Mapping_Sheet!$E$2:$E$3143),
Master_Mapping_Sheet!$H$2:$H$3143=V$1,
Master_Mapping_Sheet!$B$2:$B$3143=$A29))/sum(filter(
Master"&amp;"_Mapping_Sheet!$E$2:$E$3143, ISNUMBER(
Master_Mapping_Sheet!$E$2:$E$3143),
Master_Mapping_Sheet!$H$2:$H$3143=V$1)))"),0.0)</f>
        <v>0</v>
      </c>
      <c r="W29" s="34">
        <f>IFERROR(__xludf.DUMMYFUNCTION("IF(ISNA(sum(filter(
Master_Mapping_Sheet!$E$2:$E$3143, ISNUMBER(
Master_Mapping_Sheet!$E$2:$E$3143),
Master_Mapping_Sheet!$H$2:$H$3143=W$1,
Master_Mapping_Sheet!$B$2:$B$3143=$A29))/sum(filter(
Master_Mapping_Sheet!$E$2:$E$3143, ISNUMBER(
Master_Mapping_Sh"&amp;"eet!$E$2:$E$3143),
Master_Mapping_Sheet!$H$2:$H$3143=W$1))), 0, sum(filter(
Master_Mapping_Sheet!$E$2:$E$3143, ISNUMBER(
Master_Mapping_Sheet!$E$2:$E$3143),
Master_Mapping_Sheet!$H$2:$H$3143=W$1,
Master_Mapping_Sheet!$B$2:$B$3143=$A29))/sum(filter(
Master"&amp;"_Mapping_Sheet!$E$2:$E$3143, ISNUMBER(
Master_Mapping_Sheet!$E$2:$E$3143),
Master_Mapping_Sheet!$H$2:$H$3143=W$1)))"),0.0)</f>
        <v>0</v>
      </c>
      <c r="X29" s="34">
        <f>IFERROR(__xludf.DUMMYFUNCTION("IF(ISNA(sum(filter(
Master_Mapping_Sheet!$E$2:$E$3143, ISNUMBER(
Master_Mapping_Sheet!$E$2:$E$3143),
Master_Mapping_Sheet!$H$2:$H$3143=X$1,
Master_Mapping_Sheet!$B$2:$B$3143=$A29))/sum(filter(
Master_Mapping_Sheet!$E$2:$E$3143, ISNUMBER(
Master_Mapping_Sh"&amp;"eet!$E$2:$E$3143),
Master_Mapping_Sheet!$H$2:$H$3143=X$1))), 0, sum(filter(
Master_Mapping_Sheet!$E$2:$E$3143, ISNUMBER(
Master_Mapping_Sheet!$E$2:$E$3143),
Master_Mapping_Sheet!$H$2:$H$3143=X$1,
Master_Mapping_Sheet!$B$2:$B$3143=$A29))/sum(filter(
Master"&amp;"_Mapping_Sheet!$E$2:$E$3143, ISNUMBER(
Master_Mapping_Sheet!$E$2:$E$3143),
Master_Mapping_Sheet!$H$2:$H$3143=X$1)))"),0.0)</f>
        <v>0</v>
      </c>
      <c r="Y29" s="34">
        <f>IFERROR(__xludf.DUMMYFUNCTION("IF(ISNA(sum(filter(
Master_Mapping_Sheet!$E$2:$E$3143, ISNUMBER(
Master_Mapping_Sheet!$E$2:$E$3143),
Master_Mapping_Sheet!$H$2:$H$3143=Y$1,
Master_Mapping_Sheet!$B$2:$B$3143=$A29))/sum(filter(
Master_Mapping_Sheet!$E$2:$E$3143, ISNUMBER(
Master_Mapping_Sh"&amp;"eet!$E$2:$E$3143),
Master_Mapping_Sheet!$H$2:$H$3143=Y$1))), 0, sum(filter(
Master_Mapping_Sheet!$E$2:$E$3143, ISNUMBER(
Master_Mapping_Sheet!$E$2:$E$3143),
Master_Mapping_Sheet!$H$2:$H$3143=Y$1,
Master_Mapping_Sheet!$B$2:$B$3143=$A29))/sum(filter(
Master"&amp;"_Mapping_Sheet!$E$2:$E$3143, ISNUMBER(
Master_Mapping_Sheet!$E$2:$E$3143),
Master_Mapping_Sheet!$H$2:$H$3143=Y$1)))"),0.0)</f>
        <v>0</v>
      </c>
      <c r="Z29" s="34">
        <f>IFERROR(__xludf.DUMMYFUNCTION("IF(ISNA(sum(filter(
Master_Mapping_Sheet!$E$2:$E$3143, ISNUMBER(
Master_Mapping_Sheet!$E$2:$E$3143),
Master_Mapping_Sheet!$H$2:$H$3143=Z$1,
Master_Mapping_Sheet!$B$2:$B$3143=$A29))/sum(filter(
Master_Mapping_Sheet!$E$2:$E$3143, ISNUMBER(
Master_Mapping_Sh"&amp;"eet!$E$2:$E$3143),
Master_Mapping_Sheet!$H$2:$H$3143=Z$1))), 0, sum(filter(
Master_Mapping_Sheet!$E$2:$E$3143, ISNUMBER(
Master_Mapping_Sheet!$E$2:$E$3143),
Master_Mapping_Sheet!$H$2:$H$3143=Z$1,
Master_Mapping_Sheet!$B$2:$B$3143=$A29))/sum(filter(
Master"&amp;"_Mapping_Sheet!$E$2:$E$3143, ISNUMBER(
Master_Mapping_Sheet!$E$2:$E$3143),
Master_Mapping_Sheet!$H$2:$H$3143=Z$1)))"),0.0035855934376607663)</f>
        <v>0.003585593438</v>
      </c>
      <c r="AA29" s="34">
        <f>IFERROR(__xludf.DUMMYFUNCTION("IF(ISNA(sum(filter(
Master_Mapping_Sheet!$E$2:$E$3143, ISNUMBER(
Master_Mapping_Sheet!$E$2:$E$3143),
Master_Mapping_Sheet!$H$2:$H$3143=AA$1,
Master_Mapping_Sheet!$B$2:$B$3143=$A29))/sum(filter(
Master_Mapping_Sheet!$E$2:$E$3143, ISNUMBER(
Master_Mapping_S"&amp;"heet!$E$2:$E$3143),
Master_Mapping_Sheet!$H$2:$H$3143=AA$1))), 0, sum(filter(
Master_Mapping_Sheet!$E$2:$E$3143, ISNUMBER(
Master_Mapping_Sheet!$E$2:$E$3143),
Master_Mapping_Sheet!$H$2:$H$3143=AA$1,
Master_Mapping_Sheet!$B$2:$B$3143=$A29))/sum(filter(
Mas"&amp;"ter_Mapping_Sheet!$E$2:$E$3143, ISNUMBER(
Master_Mapping_Sheet!$E$2:$E$3143),
Master_Mapping_Sheet!$H$2:$H$3143=AA$1)))"),0.0)</f>
        <v>0</v>
      </c>
    </row>
    <row r="30" ht="15.75" customHeight="1">
      <c r="A30" s="34" t="s">
        <v>256</v>
      </c>
      <c r="B30" s="34" t="s">
        <v>3112</v>
      </c>
      <c r="C30" s="34">
        <f>IFERROR(__xludf.DUMMYFUNCTION("IF(ISNA(sum(filter(
Master_Mapping_Sheet!$E$2:$E$3143, ISNUMBER(
Master_Mapping_Sheet!$E$2:$E$3143),
Master_Mapping_Sheet!$H$2:$H$3143=C$1,
Master_Mapping_Sheet!$B$2:$B$3143=$A30))/sum(filter(
Master_Mapping_Sheet!$E$2:$E$3143, ISNUMBER(
Master_Mapping_Sh"&amp;"eet!$E$2:$E$3143),
Master_Mapping_Sheet!$H$2:$H$3143=C$1))), 0, sum(filter(
Master_Mapping_Sheet!$E$2:$E$3143, ISNUMBER(
Master_Mapping_Sheet!$E$2:$E$3143),
Master_Mapping_Sheet!$H$2:$H$3143=C$1,
Master_Mapping_Sheet!$B$2:$B$3143=$A30))/sum(filter(
Master"&amp;"_Mapping_Sheet!$E$2:$E$3143, ISNUMBER(
Master_Mapping_Sheet!$E$2:$E$3143),
Master_Mapping_Sheet!$H$2:$H$3143=C$1)))"),0.0)</f>
        <v>0</v>
      </c>
      <c r="D30" s="34">
        <f>IFERROR(__xludf.DUMMYFUNCTION("IF(ISNA(sum(filter(
Master_Mapping_Sheet!$E$2:$E$3143, ISNUMBER(
Master_Mapping_Sheet!$E$2:$E$3143),
Master_Mapping_Sheet!$H$2:$H$3143=D$1,
Master_Mapping_Sheet!$B$2:$B$3143=$A30))/sum(filter(
Master_Mapping_Sheet!$E$2:$E$3143, ISNUMBER(
Master_Mapping_Sh"&amp;"eet!$E$2:$E$3143),
Master_Mapping_Sheet!$H$2:$H$3143=D$1))), 0, sum(filter(
Master_Mapping_Sheet!$E$2:$E$3143, ISNUMBER(
Master_Mapping_Sheet!$E$2:$E$3143),
Master_Mapping_Sheet!$H$2:$H$3143=D$1,
Master_Mapping_Sheet!$B$2:$B$3143=$A30))/sum(filter(
Master"&amp;"_Mapping_Sheet!$E$2:$E$3143, ISNUMBER(
Master_Mapping_Sheet!$E$2:$E$3143),
Master_Mapping_Sheet!$H$2:$H$3143=D$1)))"),0.0)</f>
        <v>0</v>
      </c>
      <c r="E30" s="32">
        <f>IFERROR(__xludf.DUMMYFUNCTION("IF(ISNA(sum(filter(
Master_Mapping_Sheet!$E$2:$E$3143, ISNUMBER(
Master_Mapping_Sheet!$E$2:$E$3143),
Master_Mapping_Sheet!$H$2:$H$3143=E$1,
Master_Mapping_Sheet!$B$2:$B$3143=$A30))/sum(filter(
Master_Mapping_Sheet!$E$2:$E$3143, ISNUMBER(
Master_Mapping_Sh"&amp;"eet!$E$2:$E$3143),
Master_Mapping_Sheet!$H$2:$H$3143=E$1))), 0, sum(filter(
Master_Mapping_Sheet!$E$2:$E$3143, ISNUMBER(
Master_Mapping_Sheet!$E$2:$E$3143),
Master_Mapping_Sheet!$H$2:$H$3143=E$1,
Master_Mapping_Sheet!$B$2:$B$3143=$A30))/sum(filter(
Master"&amp;"_Mapping_Sheet!$E$2:$E$3143, ISNUMBER(
Master_Mapping_Sheet!$E$2:$E$3143),
Master_Mapping_Sheet!$H$2:$H$3143=E$1)))"),0.0)</f>
        <v>0</v>
      </c>
      <c r="F30" s="34">
        <f>IFERROR(__xludf.DUMMYFUNCTION("IF(ISNA(sum(filter(
Master_Mapping_Sheet!$E$2:$E$3143, ISNUMBER(
Master_Mapping_Sheet!$E$2:$E$3143),
Master_Mapping_Sheet!$H$2:$H$3143=F$1,
Master_Mapping_Sheet!$B$2:$B$3143=$A30))/sum(filter(
Master_Mapping_Sheet!$E$2:$E$3143, ISNUMBER(
Master_Mapping_Sh"&amp;"eet!$E$2:$E$3143),
Master_Mapping_Sheet!$H$2:$H$3143=F$1))), 0, sum(filter(
Master_Mapping_Sheet!$E$2:$E$3143, ISNUMBER(
Master_Mapping_Sheet!$E$2:$E$3143),
Master_Mapping_Sheet!$H$2:$H$3143=F$1,
Master_Mapping_Sheet!$B$2:$B$3143=$A30))/sum(filter(
Master"&amp;"_Mapping_Sheet!$E$2:$E$3143, ISNUMBER(
Master_Mapping_Sheet!$E$2:$E$3143),
Master_Mapping_Sheet!$H$2:$H$3143=F$1)))"),0.0)</f>
        <v>0</v>
      </c>
      <c r="G30" s="34">
        <f>IFERROR(__xludf.DUMMYFUNCTION("IF(ISNA(sum(filter(
Master_Mapping_Sheet!$E$2:$E$3143, ISNUMBER(
Master_Mapping_Sheet!$E$2:$E$3143),
Master_Mapping_Sheet!$H$2:$H$3143=G$1,
Master_Mapping_Sheet!$B$2:$B$3143=$A30))/sum(filter(
Master_Mapping_Sheet!$E$2:$E$3143, ISNUMBER(
Master_Mapping_Sh"&amp;"eet!$E$2:$E$3143),
Master_Mapping_Sheet!$H$2:$H$3143=G$1))), 0, sum(filter(
Master_Mapping_Sheet!$E$2:$E$3143, ISNUMBER(
Master_Mapping_Sheet!$E$2:$E$3143),
Master_Mapping_Sheet!$H$2:$H$3143=G$1,
Master_Mapping_Sheet!$B$2:$B$3143=$A30))/sum(filter(
Master"&amp;"_Mapping_Sheet!$E$2:$E$3143, ISNUMBER(
Master_Mapping_Sheet!$E$2:$E$3143),
Master_Mapping_Sheet!$H$2:$H$3143=G$1)))"),0.0)</f>
        <v>0</v>
      </c>
      <c r="H30" s="34">
        <f>IFERROR(__xludf.DUMMYFUNCTION("IF(ISNA(sum(filter(
Master_Mapping_Sheet!$E$2:$E$3143, ISNUMBER(
Master_Mapping_Sheet!$E$2:$E$3143),
Master_Mapping_Sheet!$H$2:$H$3143=H$1,
Master_Mapping_Sheet!$B$2:$B$3143=$A30))/sum(filter(
Master_Mapping_Sheet!$E$2:$E$3143, ISNUMBER(
Master_Mapping_Sh"&amp;"eet!$E$2:$E$3143),
Master_Mapping_Sheet!$H$2:$H$3143=H$1))), 0, sum(filter(
Master_Mapping_Sheet!$E$2:$E$3143, ISNUMBER(
Master_Mapping_Sheet!$E$2:$E$3143),
Master_Mapping_Sheet!$H$2:$H$3143=H$1,
Master_Mapping_Sheet!$B$2:$B$3143=$A30))/sum(filter(
Master"&amp;"_Mapping_Sheet!$E$2:$E$3143, ISNUMBER(
Master_Mapping_Sheet!$E$2:$E$3143),
Master_Mapping_Sheet!$H$2:$H$3143=H$1)))"),0.0)</f>
        <v>0</v>
      </c>
      <c r="I30" s="34">
        <f>IFERROR(__xludf.DUMMYFUNCTION("IF(ISNA(sum(filter(
Master_Mapping_Sheet!$E$2:$E$3143, ISNUMBER(
Master_Mapping_Sheet!$E$2:$E$3143),
Master_Mapping_Sheet!$H$2:$H$3143=I$1,
Master_Mapping_Sheet!$B$2:$B$3143=$A30))/sum(filter(
Master_Mapping_Sheet!$E$2:$E$3143, ISNUMBER(
Master_Mapping_Sh"&amp;"eet!$E$2:$E$3143),
Master_Mapping_Sheet!$H$2:$H$3143=I$1))), 0, sum(filter(
Master_Mapping_Sheet!$E$2:$E$3143, ISNUMBER(
Master_Mapping_Sheet!$E$2:$E$3143),
Master_Mapping_Sheet!$H$2:$H$3143=I$1,
Master_Mapping_Sheet!$B$2:$B$3143=$A30))/sum(filter(
Master"&amp;"_Mapping_Sheet!$E$2:$E$3143, ISNUMBER(
Master_Mapping_Sheet!$E$2:$E$3143),
Master_Mapping_Sheet!$H$2:$H$3143=I$1)))"),0.0)</f>
        <v>0</v>
      </c>
      <c r="J30" s="34">
        <f>IFERROR(__xludf.DUMMYFUNCTION("IF(ISNA(sum(filter(
Master_Mapping_Sheet!$E$2:$E$3143, ISNUMBER(
Master_Mapping_Sheet!$E$2:$E$3143),
Master_Mapping_Sheet!$H$2:$H$3143=J$1,
Master_Mapping_Sheet!$B$2:$B$3143=$A30))/sum(filter(
Master_Mapping_Sheet!$E$2:$E$3143, ISNUMBER(
Master_Mapping_Sh"&amp;"eet!$E$2:$E$3143),
Master_Mapping_Sheet!$H$2:$H$3143=J$1))), 0, sum(filter(
Master_Mapping_Sheet!$E$2:$E$3143, ISNUMBER(
Master_Mapping_Sheet!$E$2:$E$3143),
Master_Mapping_Sheet!$H$2:$H$3143=J$1,
Master_Mapping_Sheet!$B$2:$B$3143=$A30))/sum(filter(
Master"&amp;"_Mapping_Sheet!$E$2:$E$3143, ISNUMBER(
Master_Mapping_Sheet!$E$2:$E$3143),
Master_Mapping_Sheet!$H$2:$H$3143=J$1)))"),0.0)</f>
        <v>0</v>
      </c>
      <c r="K30" s="34">
        <f>IFERROR(__xludf.DUMMYFUNCTION("IF(ISNA(sum(filter(
Master_Mapping_Sheet!$E$2:$E$3143, ISNUMBER(
Master_Mapping_Sheet!$E$2:$E$3143),
Master_Mapping_Sheet!$H$2:$H$3143=K$1,
Master_Mapping_Sheet!$B$2:$B$3143=$A30))/sum(filter(
Master_Mapping_Sheet!$E$2:$E$3143, ISNUMBER(
Master_Mapping_Sh"&amp;"eet!$E$2:$E$3143),
Master_Mapping_Sheet!$H$2:$H$3143=K$1))), 0, sum(filter(
Master_Mapping_Sheet!$E$2:$E$3143, ISNUMBER(
Master_Mapping_Sheet!$E$2:$E$3143),
Master_Mapping_Sheet!$H$2:$H$3143=K$1,
Master_Mapping_Sheet!$B$2:$B$3143=$A30))/sum(filter(
Master"&amp;"_Mapping_Sheet!$E$2:$E$3143, ISNUMBER(
Master_Mapping_Sheet!$E$2:$E$3143),
Master_Mapping_Sheet!$H$2:$H$3143=K$1)))"),0.0)</f>
        <v>0</v>
      </c>
      <c r="L30" s="34">
        <f>IFERROR(__xludf.DUMMYFUNCTION("IF(ISNA(sum(filter(
Master_Mapping_Sheet!$E$2:$E$3143, ISNUMBER(
Master_Mapping_Sheet!$E$2:$E$3143),
Master_Mapping_Sheet!$H$2:$H$3143=L$1,
Master_Mapping_Sheet!$B$2:$B$3143=$A30))/sum(filter(
Master_Mapping_Sheet!$E$2:$E$3143, ISNUMBER(
Master_Mapping_Sh"&amp;"eet!$E$2:$E$3143),
Master_Mapping_Sheet!$H$2:$H$3143=L$1))), 0, sum(filter(
Master_Mapping_Sheet!$E$2:$E$3143, ISNUMBER(
Master_Mapping_Sheet!$E$2:$E$3143),
Master_Mapping_Sheet!$H$2:$H$3143=L$1,
Master_Mapping_Sheet!$B$2:$B$3143=$A30))/sum(filter(
Master"&amp;"_Mapping_Sheet!$E$2:$E$3143, ISNUMBER(
Master_Mapping_Sheet!$E$2:$E$3143),
Master_Mapping_Sheet!$H$2:$H$3143=L$1)))"),0.0)</f>
        <v>0</v>
      </c>
      <c r="M30" s="34">
        <f>IFERROR(__xludf.DUMMYFUNCTION("IF(ISNA(sum(filter(
Master_Mapping_Sheet!$E$2:$E$3143, ISNUMBER(
Master_Mapping_Sheet!$E$2:$E$3143),
Master_Mapping_Sheet!$H$2:$H$3143=M$1,
Master_Mapping_Sheet!$B$2:$B$3143=$A30))/sum(filter(
Master_Mapping_Sheet!$E$2:$E$3143, ISNUMBER(
Master_Mapping_Sh"&amp;"eet!$E$2:$E$3143),
Master_Mapping_Sheet!$H$2:$H$3143=M$1))), 0, sum(filter(
Master_Mapping_Sheet!$E$2:$E$3143, ISNUMBER(
Master_Mapping_Sheet!$E$2:$E$3143),
Master_Mapping_Sheet!$H$2:$H$3143=M$1,
Master_Mapping_Sheet!$B$2:$B$3143=$A30))/sum(filter(
Master"&amp;"_Mapping_Sheet!$E$2:$E$3143, ISNUMBER(
Master_Mapping_Sheet!$E$2:$E$3143),
Master_Mapping_Sheet!$H$2:$H$3143=M$1)))"),0.0)</f>
        <v>0</v>
      </c>
      <c r="N30" s="34">
        <f>IFERROR(__xludf.DUMMYFUNCTION("IF(ISNA(sum(filter(
Master_Mapping_Sheet!$E$2:$E$3143, ISNUMBER(
Master_Mapping_Sheet!$E$2:$E$3143),
Master_Mapping_Sheet!$H$2:$H$3143=N$1,
Master_Mapping_Sheet!$B$2:$B$3143=$A30))/sum(filter(
Master_Mapping_Sheet!$E$2:$E$3143, ISNUMBER(
Master_Mapping_Sh"&amp;"eet!$E$2:$E$3143),
Master_Mapping_Sheet!$H$2:$H$3143=N$1))), 0, sum(filter(
Master_Mapping_Sheet!$E$2:$E$3143, ISNUMBER(
Master_Mapping_Sheet!$E$2:$E$3143),
Master_Mapping_Sheet!$H$2:$H$3143=N$1,
Master_Mapping_Sheet!$B$2:$B$3143=$A30))/sum(filter(
Master"&amp;"_Mapping_Sheet!$E$2:$E$3143, ISNUMBER(
Master_Mapping_Sheet!$E$2:$E$3143),
Master_Mapping_Sheet!$H$2:$H$3143=N$1)))"),0.0)</f>
        <v>0</v>
      </c>
      <c r="O30" s="34">
        <f>IFERROR(__xludf.DUMMYFUNCTION("IF(ISNA(sum(filter(
Master_Mapping_Sheet!$E$2:$E$3143, ISNUMBER(
Master_Mapping_Sheet!$E$2:$E$3143),
Master_Mapping_Sheet!$H$2:$H$3143=O$1,
Master_Mapping_Sheet!$B$2:$B$3143=$A30))/sum(filter(
Master_Mapping_Sheet!$E$2:$E$3143, ISNUMBER(
Master_Mapping_Sh"&amp;"eet!$E$2:$E$3143),
Master_Mapping_Sheet!$H$2:$H$3143=O$1))), 0, sum(filter(
Master_Mapping_Sheet!$E$2:$E$3143, ISNUMBER(
Master_Mapping_Sheet!$E$2:$E$3143),
Master_Mapping_Sheet!$H$2:$H$3143=O$1,
Master_Mapping_Sheet!$B$2:$B$3143=$A30))/sum(filter(
Master"&amp;"_Mapping_Sheet!$E$2:$E$3143, ISNUMBER(
Master_Mapping_Sheet!$E$2:$E$3143),
Master_Mapping_Sheet!$H$2:$H$3143=O$1)))"),0.0)</f>
        <v>0</v>
      </c>
      <c r="P30" s="34">
        <f>IFERROR(__xludf.DUMMYFUNCTION("IF(ISNA(sum(filter(
Master_Mapping_Sheet!$E$2:$E$3143, ISNUMBER(
Master_Mapping_Sheet!$E$2:$E$3143),
Master_Mapping_Sheet!$H$2:$H$3143=P$1,
Master_Mapping_Sheet!$B$2:$B$3143=$A30))/sum(filter(
Master_Mapping_Sheet!$E$2:$E$3143, ISNUMBER(
Master_Mapping_Sh"&amp;"eet!$E$2:$E$3143),
Master_Mapping_Sheet!$H$2:$H$3143=P$1))), 0, sum(filter(
Master_Mapping_Sheet!$E$2:$E$3143, ISNUMBER(
Master_Mapping_Sheet!$E$2:$E$3143),
Master_Mapping_Sheet!$H$2:$H$3143=P$1,
Master_Mapping_Sheet!$B$2:$B$3143=$A30))/sum(filter(
Master"&amp;"_Mapping_Sheet!$E$2:$E$3143, ISNUMBER(
Master_Mapping_Sheet!$E$2:$E$3143),
Master_Mapping_Sheet!$H$2:$H$3143=P$1)))"),0.0)</f>
        <v>0</v>
      </c>
      <c r="Q30" s="34">
        <f>IFERROR(__xludf.DUMMYFUNCTION("IF(ISNA(sum(filter(
Master_Mapping_Sheet!$E$2:$E$3143, ISNUMBER(
Master_Mapping_Sheet!$E$2:$E$3143),
Master_Mapping_Sheet!$H$2:$H$3143=Q$1,
Master_Mapping_Sheet!$B$2:$B$3143=$A30))/sum(filter(
Master_Mapping_Sheet!$E$2:$E$3143, ISNUMBER(
Master_Mapping_Sh"&amp;"eet!$E$2:$E$3143),
Master_Mapping_Sheet!$H$2:$H$3143=Q$1))), 0, sum(filter(
Master_Mapping_Sheet!$E$2:$E$3143, ISNUMBER(
Master_Mapping_Sheet!$E$2:$E$3143),
Master_Mapping_Sheet!$H$2:$H$3143=Q$1,
Master_Mapping_Sheet!$B$2:$B$3143=$A30))/sum(filter(
Master"&amp;"_Mapping_Sheet!$E$2:$E$3143, ISNUMBER(
Master_Mapping_Sheet!$E$2:$E$3143),
Master_Mapping_Sheet!$H$2:$H$3143=Q$1)))"),0.0)</f>
        <v>0</v>
      </c>
      <c r="R30" s="34">
        <f>IFERROR(__xludf.DUMMYFUNCTION("IF(ISNA(sum(filter(
Master_Mapping_Sheet!$E$2:$E$3143, ISNUMBER(
Master_Mapping_Sheet!$E$2:$E$3143),
Master_Mapping_Sheet!$H$2:$H$3143=R$1,
Master_Mapping_Sheet!$B$2:$B$3143=$A30))/sum(filter(
Master_Mapping_Sheet!$E$2:$E$3143, ISNUMBER(
Master_Mapping_Sh"&amp;"eet!$E$2:$E$3143),
Master_Mapping_Sheet!$H$2:$H$3143=R$1))), 0, sum(filter(
Master_Mapping_Sheet!$E$2:$E$3143, ISNUMBER(
Master_Mapping_Sheet!$E$2:$E$3143),
Master_Mapping_Sheet!$H$2:$H$3143=R$1,
Master_Mapping_Sheet!$B$2:$B$3143=$A30))/sum(filter(
Master"&amp;"_Mapping_Sheet!$E$2:$E$3143, ISNUMBER(
Master_Mapping_Sheet!$E$2:$E$3143),
Master_Mapping_Sheet!$H$2:$H$3143=R$1)))"),0.0)</f>
        <v>0</v>
      </c>
      <c r="S30" s="34">
        <f>IFERROR(__xludf.DUMMYFUNCTION("IF(ISNA(sum(filter(
Master_Mapping_Sheet!$E$2:$E$3143, ISNUMBER(
Master_Mapping_Sheet!$E$2:$E$3143),
Master_Mapping_Sheet!$H$2:$H$3143=S$1,
Master_Mapping_Sheet!$B$2:$B$3143=$A30))/sum(filter(
Master_Mapping_Sheet!$E$2:$E$3143, ISNUMBER(
Master_Mapping_Sh"&amp;"eet!$E$2:$E$3143),
Master_Mapping_Sheet!$H$2:$H$3143=S$1))), 0, sum(filter(
Master_Mapping_Sheet!$E$2:$E$3143, ISNUMBER(
Master_Mapping_Sheet!$E$2:$E$3143),
Master_Mapping_Sheet!$H$2:$H$3143=S$1,
Master_Mapping_Sheet!$B$2:$B$3143=$A30))/sum(filter(
Master"&amp;"_Mapping_Sheet!$E$2:$E$3143, ISNUMBER(
Master_Mapping_Sheet!$E$2:$E$3143),
Master_Mapping_Sheet!$H$2:$H$3143=S$1)))"),0.0)</f>
        <v>0</v>
      </c>
      <c r="T30" s="34">
        <f>IFERROR(__xludf.DUMMYFUNCTION("IF(ISNA(sum(filter(
Master_Mapping_Sheet!$E$2:$E$3143, ISNUMBER(
Master_Mapping_Sheet!$E$2:$E$3143),
Master_Mapping_Sheet!$H$2:$H$3143=T$1,
Master_Mapping_Sheet!$B$2:$B$3143=$A30))/sum(filter(
Master_Mapping_Sheet!$E$2:$E$3143, ISNUMBER(
Master_Mapping_Sh"&amp;"eet!$E$2:$E$3143),
Master_Mapping_Sheet!$H$2:$H$3143=T$1))), 0, sum(filter(
Master_Mapping_Sheet!$E$2:$E$3143, ISNUMBER(
Master_Mapping_Sheet!$E$2:$E$3143),
Master_Mapping_Sheet!$H$2:$H$3143=T$1,
Master_Mapping_Sheet!$B$2:$B$3143=$A30))/sum(filter(
Master"&amp;"_Mapping_Sheet!$E$2:$E$3143, ISNUMBER(
Master_Mapping_Sheet!$E$2:$E$3143),
Master_Mapping_Sheet!$H$2:$H$3143=T$1)))"),0.0)</f>
        <v>0</v>
      </c>
      <c r="U30" s="34">
        <f>IFERROR(__xludf.DUMMYFUNCTION("IF(ISNA(sum(filter(
Master_Mapping_Sheet!$E$2:$E$3143, ISNUMBER(
Master_Mapping_Sheet!$E$2:$E$3143),
Master_Mapping_Sheet!$H$2:$H$3143=U$1,
Master_Mapping_Sheet!$B$2:$B$3143=$A30))/sum(filter(
Master_Mapping_Sheet!$E$2:$E$3143, ISNUMBER(
Master_Mapping_Sh"&amp;"eet!$E$2:$E$3143),
Master_Mapping_Sheet!$H$2:$H$3143=U$1))), 0, sum(filter(
Master_Mapping_Sheet!$E$2:$E$3143, ISNUMBER(
Master_Mapping_Sheet!$E$2:$E$3143),
Master_Mapping_Sheet!$H$2:$H$3143=U$1,
Master_Mapping_Sheet!$B$2:$B$3143=$A30))/sum(filter(
Master"&amp;"_Mapping_Sheet!$E$2:$E$3143, ISNUMBER(
Master_Mapping_Sheet!$E$2:$E$3143),
Master_Mapping_Sheet!$H$2:$H$3143=U$1)))"),0.0)</f>
        <v>0</v>
      </c>
      <c r="V30" s="34">
        <f>IFERROR(__xludf.DUMMYFUNCTION("IF(ISNA(sum(filter(
Master_Mapping_Sheet!$E$2:$E$3143, ISNUMBER(
Master_Mapping_Sheet!$E$2:$E$3143),
Master_Mapping_Sheet!$H$2:$H$3143=V$1,
Master_Mapping_Sheet!$B$2:$B$3143=$A30))/sum(filter(
Master_Mapping_Sheet!$E$2:$E$3143, ISNUMBER(
Master_Mapping_Sh"&amp;"eet!$E$2:$E$3143),
Master_Mapping_Sheet!$H$2:$H$3143=V$1))), 0, sum(filter(
Master_Mapping_Sheet!$E$2:$E$3143, ISNUMBER(
Master_Mapping_Sheet!$E$2:$E$3143),
Master_Mapping_Sheet!$H$2:$H$3143=V$1,
Master_Mapping_Sheet!$B$2:$B$3143=$A30))/sum(filter(
Master"&amp;"_Mapping_Sheet!$E$2:$E$3143, ISNUMBER(
Master_Mapping_Sheet!$E$2:$E$3143),
Master_Mapping_Sheet!$H$2:$H$3143=V$1)))"),0.0)</f>
        <v>0</v>
      </c>
      <c r="W30" s="34">
        <f>IFERROR(__xludf.DUMMYFUNCTION("IF(ISNA(sum(filter(
Master_Mapping_Sheet!$E$2:$E$3143, ISNUMBER(
Master_Mapping_Sheet!$E$2:$E$3143),
Master_Mapping_Sheet!$H$2:$H$3143=W$1,
Master_Mapping_Sheet!$B$2:$B$3143=$A30))/sum(filter(
Master_Mapping_Sheet!$E$2:$E$3143, ISNUMBER(
Master_Mapping_Sh"&amp;"eet!$E$2:$E$3143),
Master_Mapping_Sheet!$H$2:$H$3143=W$1))), 0, sum(filter(
Master_Mapping_Sheet!$E$2:$E$3143, ISNUMBER(
Master_Mapping_Sheet!$E$2:$E$3143),
Master_Mapping_Sheet!$H$2:$H$3143=W$1,
Master_Mapping_Sheet!$B$2:$B$3143=$A30))/sum(filter(
Master"&amp;"_Mapping_Sheet!$E$2:$E$3143, ISNUMBER(
Master_Mapping_Sheet!$E$2:$E$3143),
Master_Mapping_Sheet!$H$2:$H$3143=W$1)))"),0.0)</f>
        <v>0</v>
      </c>
      <c r="X30" s="34">
        <f>IFERROR(__xludf.DUMMYFUNCTION("IF(ISNA(sum(filter(
Master_Mapping_Sheet!$E$2:$E$3143, ISNUMBER(
Master_Mapping_Sheet!$E$2:$E$3143),
Master_Mapping_Sheet!$H$2:$H$3143=X$1,
Master_Mapping_Sheet!$B$2:$B$3143=$A30))/sum(filter(
Master_Mapping_Sheet!$E$2:$E$3143, ISNUMBER(
Master_Mapping_Sh"&amp;"eet!$E$2:$E$3143),
Master_Mapping_Sheet!$H$2:$H$3143=X$1))), 0, sum(filter(
Master_Mapping_Sheet!$E$2:$E$3143, ISNUMBER(
Master_Mapping_Sheet!$E$2:$E$3143),
Master_Mapping_Sheet!$H$2:$H$3143=X$1,
Master_Mapping_Sheet!$B$2:$B$3143=$A30))/sum(filter(
Master"&amp;"_Mapping_Sheet!$E$2:$E$3143, ISNUMBER(
Master_Mapping_Sheet!$E$2:$E$3143),
Master_Mapping_Sheet!$H$2:$H$3143=X$1)))"),0.0)</f>
        <v>0</v>
      </c>
      <c r="Y30" s="34">
        <f>IFERROR(__xludf.DUMMYFUNCTION("IF(ISNA(sum(filter(
Master_Mapping_Sheet!$E$2:$E$3143, ISNUMBER(
Master_Mapping_Sheet!$E$2:$E$3143),
Master_Mapping_Sheet!$H$2:$H$3143=Y$1,
Master_Mapping_Sheet!$B$2:$B$3143=$A30))/sum(filter(
Master_Mapping_Sheet!$E$2:$E$3143, ISNUMBER(
Master_Mapping_Sh"&amp;"eet!$E$2:$E$3143),
Master_Mapping_Sheet!$H$2:$H$3143=Y$1))), 0, sum(filter(
Master_Mapping_Sheet!$E$2:$E$3143, ISNUMBER(
Master_Mapping_Sheet!$E$2:$E$3143),
Master_Mapping_Sheet!$H$2:$H$3143=Y$1,
Master_Mapping_Sheet!$B$2:$B$3143=$A30))/sum(filter(
Master"&amp;"_Mapping_Sheet!$E$2:$E$3143, ISNUMBER(
Master_Mapping_Sheet!$E$2:$E$3143),
Master_Mapping_Sheet!$H$2:$H$3143=Y$1)))"),0.0)</f>
        <v>0</v>
      </c>
      <c r="Z30" s="34">
        <f>IFERROR(__xludf.DUMMYFUNCTION("IF(ISNA(sum(filter(
Master_Mapping_Sheet!$E$2:$E$3143, ISNUMBER(
Master_Mapping_Sheet!$E$2:$E$3143),
Master_Mapping_Sheet!$H$2:$H$3143=Z$1,
Master_Mapping_Sheet!$B$2:$B$3143=$A30))/sum(filter(
Master_Mapping_Sheet!$E$2:$E$3143, ISNUMBER(
Master_Mapping_Sh"&amp;"eet!$E$2:$E$3143),
Master_Mapping_Sheet!$H$2:$H$3143=Z$1))), 0, sum(filter(
Master_Mapping_Sheet!$E$2:$E$3143, ISNUMBER(
Master_Mapping_Sheet!$E$2:$E$3143),
Master_Mapping_Sheet!$H$2:$H$3143=Z$1,
Master_Mapping_Sheet!$B$2:$B$3143=$A30))/sum(filter(
Master"&amp;"_Mapping_Sheet!$E$2:$E$3143, ISNUMBER(
Master_Mapping_Sheet!$E$2:$E$3143),
Master_Mapping_Sheet!$H$2:$H$3143=Z$1)))"),0.0)</f>
        <v>0</v>
      </c>
      <c r="AA30" s="34">
        <f>IFERROR(__xludf.DUMMYFUNCTION("IF(ISNA(sum(filter(
Master_Mapping_Sheet!$E$2:$E$3143, ISNUMBER(
Master_Mapping_Sheet!$E$2:$E$3143),
Master_Mapping_Sheet!$H$2:$H$3143=AA$1,
Master_Mapping_Sheet!$B$2:$B$3143=$A30))/sum(filter(
Master_Mapping_Sheet!$E$2:$E$3143, ISNUMBER(
Master_Mapping_S"&amp;"heet!$E$2:$E$3143),
Master_Mapping_Sheet!$H$2:$H$3143=AA$1))), 0, sum(filter(
Master_Mapping_Sheet!$E$2:$E$3143, ISNUMBER(
Master_Mapping_Sheet!$E$2:$E$3143),
Master_Mapping_Sheet!$H$2:$H$3143=AA$1,
Master_Mapping_Sheet!$B$2:$B$3143=$A30))/sum(filter(
Mas"&amp;"ter_Mapping_Sheet!$E$2:$E$3143, ISNUMBER(
Master_Mapping_Sheet!$E$2:$E$3143),
Master_Mapping_Sheet!$H$2:$H$3143=AA$1)))"),0.37542434188295376)</f>
        <v>0.3754243419</v>
      </c>
    </row>
    <row r="31" ht="15.75" customHeight="1">
      <c r="A31" s="34" t="s">
        <v>1251</v>
      </c>
      <c r="B31" s="34" t="s">
        <v>3123</v>
      </c>
      <c r="C31" s="34">
        <f>IFERROR(__xludf.DUMMYFUNCTION("IF(ISNA(sum(filter(
Master_Mapping_Sheet!$E$2:$E$3143, ISNUMBER(
Master_Mapping_Sheet!$E$2:$E$3143),
Master_Mapping_Sheet!$H$2:$H$3143=C$1,
Master_Mapping_Sheet!$B$2:$B$3143=$A31))/sum(filter(
Master_Mapping_Sheet!$E$2:$E$3143, ISNUMBER(
Master_Mapping_Sh"&amp;"eet!$E$2:$E$3143),
Master_Mapping_Sheet!$H$2:$H$3143=C$1))), 0, sum(filter(
Master_Mapping_Sheet!$E$2:$E$3143, ISNUMBER(
Master_Mapping_Sheet!$E$2:$E$3143),
Master_Mapping_Sheet!$H$2:$H$3143=C$1,
Master_Mapping_Sheet!$B$2:$B$3143=$A31))/sum(filter(
Master"&amp;"_Mapping_Sheet!$E$2:$E$3143, ISNUMBER(
Master_Mapping_Sheet!$E$2:$E$3143),
Master_Mapping_Sheet!$H$2:$H$3143=C$1)))"),0.0)</f>
        <v>0</v>
      </c>
      <c r="D31" s="34">
        <f>IFERROR(__xludf.DUMMYFUNCTION("IF(ISNA(sum(filter(
Master_Mapping_Sheet!$E$2:$E$3143, ISNUMBER(
Master_Mapping_Sheet!$E$2:$E$3143),
Master_Mapping_Sheet!$H$2:$H$3143=D$1,
Master_Mapping_Sheet!$B$2:$B$3143=$A31))/sum(filter(
Master_Mapping_Sheet!$E$2:$E$3143, ISNUMBER(
Master_Mapping_Sh"&amp;"eet!$E$2:$E$3143),
Master_Mapping_Sheet!$H$2:$H$3143=D$1))), 0, sum(filter(
Master_Mapping_Sheet!$E$2:$E$3143, ISNUMBER(
Master_Mapping_Sheet!$E$2:$E$3143),
Master_Mapping_Sheet!$H$2:$H$3143=D$1,
Master_Mapping_Sheet!$B$2:$B$3143=$A31))/sum(filter(
Master"&amp;"_Mapping_Sheet!$E$2:$E$3143, ISNUMBER(
Master_Mapping_Sheet!$E$2:$E$3143),
Master_Mapping_Sheet!$H$2:$H$3143=D$1)))"),0.0)</f>
        <v>0</v>
      </c>
      <c r="E31" s="32">
        <f>IFERROR(__xludf.DUMMYFUNCTION("IF(ISNA(sum(filter(
Master_Mapping_Sheet!$E$2:$E$3143, ISNUMBER(
Master_Mapping_Sheet!$E$2:$E$3143),
Master_Mapping_Sheet!$H$2:$H$3143=E$1,
Master_Mapping_Sheet!$B$2:$B$3143=$A31))/sum(filter(
Master_Mapping_Sheet!$E$2:$E$3143, ISNUMBER(
Master_Mapping_Sh"&amp;"eet!$E$2:$E$3143),
Master_Mapping_Sheet!$H$2:$H$3143=E$1))), 0, sum(filter(
Master_Mapping_Sheet!$E$2:$E$3143, ISNUMBER(
Master_Mapping_Sheet!$E$2:$E$3143),
Master_Mapping_Sheet!$H$2:$H$3143=E$1,
Master_Mapping_Sheet!$B$2:$B$3143=$A31))/sum(filter(
Master"&amp;"_Mapping_Sheet!$E$2:$E$3143, ISNUMBER(
Master_Mapping_Sheet!$E$2:$E$3143),
Master_Mapping_Sheet!$H$2:$H$3143=E$1)))"),0.0)</f>
        <v>0</v>
      </c>
      <c r="F31" s="34">
        <f>IFERROR(__xludf.DUMMYFUNCTION("IF(ISNA(sum(filter(
Master_Mapping_Sheet!$E$2:$E$3143, ISNUMBER(
Master_Mapping_Sheet!$E$2:$E$3143),
Master_Mapping_Sheet!$H$2:$H$3143=F$1,
Master_Mapping_Sheet!$B$2:$B$3143=$A31))/sum(filter(
Master_Mapping_Sheet!$E$2:$E$3143, ISNUMBER(
Master_Mapping_Sh"&amp;"eet!$E$2:$E$3143),
Master_Mapping_Sheet!$H$2:$H$3143=F$1))), 0, sum(filter(
Master_Mapping_Sheet!$E$2:$E$3143, ISNUMBER(
Master_Mapping_Sheet!$E$2:$E$3143),
Master_Mapping_Sheet!$H$2:$H$3143=F$1,
Master_Mapping_Sheet!$B$2:$B$3143=$A31))/sum(filter(
Master"&amp;"_Mapping_Sheet!$E$2:$E$3143, ISNUMBER(
Master_Mapping_Sheet!$E$2:$E$3143),
Master_Mapping_Sheet!$H$2:$H$3143=F$1)))"),0.0)</f>
        <v>0</v>
      </c>
      <c r="G31" s="34">
        <f>IFERROR(__xludf.DUMMYFUNCTION("IF(ISNA(sum(filter(
Master_Mapping_Sheet!$E$2:$E$3143, ISNUMBER(
Master_Mapping_Sheet!$E$2:$E$3143),
Master_Mapping_Sheet!$H$2:$H$3143=G$1,
Master_Mapping_Sheet!$B$2:$B$3143=$A31))/sum(filter(
Master_Mapping_Sheet!$E$2:$E$3143, ISNUMBER(
Master_Mapping_Sh"&amp;"eet!$E$2:$E$3143),
Master_Mapping_Sheet!$H$2:$H$3143=G$1))), 0, sum(filter(
Master_Mapping_Sheet!$E$2:$E$3143, ISNUMBER(
Master_Mapping_Sheet!$E$2:$E$3143),
Master_Mapping_Sheet!$H$2:$H$3143=G$1,
Master_Mapping_Sheet!$B$2:$B$3143=$A31))/sum(filter(
Master"&amp;"_Mapping_Sheet!$E$2:$E$3143, ISNUMBER(
Master_Mapping_Sheet!$E$2:$E$3143),
Master_Mapping_Sheet!$H$2:$H$3143=G$1)))"),0.0)</f>
        <v>0</v>
      </c>
      <c r="H31" s="34">
        <f>IFERROR(__xludf.DUMMYFUNCTION("IF(ISNA(sum(filter(
Master_Mapping_Sheet!$E$2:$E$3143, ISNUMBER(
Master_Mapping_Sheet!$E$2:$E$3143),
Master_Mapping_Sheet!$H$2:$H$3143=H$1,
Master_Mapping_Sheet!$B$2:$B$3143=$A31))/sum(filter(
Master_Mapping_Sheet!$E$2:$E$3143, ISNUMBER(
Master_Mapping_Sh"&amp;"eet!$E$2:$E$3143),
Master_Mapping_Sheet!$H$2:$H$3143=H$1))), 0, sum(filter(
Master_Mapping_Sheet!$E$2:$E$3143, ISNUMBER(
Master_Mapping_Sheet!$E$2:$E$3143),
Master_Mapping_Sheet!$H$2:$H$3143=H$1,
Master_Mapping_Sheet!$B$2:$B$3143=$A31))/sum(filter(
Master"&amp;"_Mapping_Sheet!$E$2:$E$3143, ISNUMBER(
Master_Mapping_Sheet!$E$2:$E$3143),
Master_Mapping_Sheet!$H$2:$H$3143=H$1)))"),0.0)</f>
        <v>0</v>
      </c>
      <c r="I31" s="34">
        <f>IFERROR(__xludf.DUMMYFUNCTION("IF(ISNA(sum(filter(
Master_Mapping_Sheet!$E$2:$E$3143, ISNUMBER(
Master_Mapping_Sheet!$E$2:$E$3143),
Master_Mapping_Sheet!$H$2:$H$3143=I$1,
Master_Mapping_Sheet!$B$2:$B$3143=$A31))/sum(filter(
Master_Mapping_Sheet!$E$2:$E$3143, ISNUMBER(
Master_Mapping_Sh"&amp;"eet!$E$2:$E$3143),
Master_Mapping_Sheet!$H$2:$H$3143=I$1))), 0, sum(filter(
Master_Mapping_Sheet!$E$2:$E$3143, ISNUMBER(
Master_Mapping_Sheet!$E$2:$E$3143),
Master_Mapping_Sheet!$H$2:$H$3143=I$1,
Master_Mapping_Sheet!$B$2:$B$3143=$A31))/sum(filter(
Master"&amp;"_Mapping_Sheet!$E$2:$E$3143, ISNUMBER(
Master_Mapping_Sheet!$E$2:$E$3143),
Master_Mapping_Sheet!$H$2:$H$3143=I$1)))"),0.09255370730324265)</f>
        <v>0.0925537073</v>
      </c>
      <c r="J31" s="34">
        <f>IFERROR(__xludf.DUMMYFUNCTION("IF(ISNA(sum(filter(
Master_Mapping_Sheet!$E$2:$E$3143, ISNUMBER(
Master_Mapping_Sheet!$E$2:$E$3143),
Master_Mapping_Sheet!$H$2:$H$3143=J$1,
Master_Mapping_Sheet!$B$2:$B$3143=$A31))/sum(filter(
Master_Mapping_Sheet!$E$2:$E$3143, ISNUMBER(
Master_Mapping_Sh"&amp;"eet!$E$2:$E$3143),
Master_Mapping_Sheet!$H$2:$H$3143=J$1))), 0, sum(filter(
Master_Mapping_Sheet!$E$2:$E$3143, ISNUMBER(
Master_Mapping_Sheet!$E$2:$E$3143),
Master_Mapping_Sheet!$H$2:$H$3143=J$1,
Master_Mapping_Sheet!$B$2:$B$3143=$A31))/sum(filter(
Master"&amp;"_Mapping_Sheet!$E$2:$E$3143, ISNUMBER(
Master_Mapping_Sheet!$E$2:$E$3143),
Master_Mapping_Sheet!$H$2:$H$3143=J$1)))"),0.0)</f>
        <v>0</v>
      </c>
      <c r="K31" s="34">
        <f>IFERROR(__xludf.DUMMYFUNCTION("IF(ISNA(sum(filter(
Master_Mapping_Sheet!$E$2:$E$3143, ISNUMBER(
Master_Mapping_Sheet!$E$2:$E$3143),
Master_Mapping_Sheet!$H$2:$H$3143=K$1,
Master_Mapping_Sheet!$B$2:$B$3143=$A31))/sum(filter(
Master_Mapping_Sheet!$E$2:$E$3143, ISNUMBER(
Master_Mapping_Sh"&amp;"eet!$E$2:$E$3143),
Master_Mapping_Sheet!$H$2:$H$3143=K$1))), 0, sum(filter(
Master_Mapping_Sheet!$E$2:$E$3143, ISNUMBER(
Master_Mapping_Sheet!$E$2:$E$3143),
Master_Mapping_Sheet!$H$2:$H$3143=K$1,
Master_Mapping_Sheet!$B$2:$B$3143=$A31))/sum(filter(
Master"&amp;"_Mapping_Sheet!$E$2:$E$3143, ISNUMBER(
Master_Mapping_Sheet!$E$2:$E$3143),
Master_Mapping_Sheet!$H$2:$H$3143=K$1)))"),0.0)</f>
        <v>0</v>
      </c>
      <c r="L31" s="34">
        <f>IFERROR(__xludf.DUMMYFUNCTION("IF(ISNA(sum(filter(
Master_Mapping_Sheet!$E$2:$E$3143, ISNUMBER(
Master_Mapping_Sheet!$E$2:$E$3143),
Master_Mapping_Sheet!$H$2:$H$3143=L$1,
Master_Mapping_Sheet!$B$2:$B$3143=$A31))/sum(filter(
Master_Mapping_Sheet!$E$2:$E$3143, ISNUMBER(
Master_Mapping_Sh"&amp;"eet!$E$2:$E$3143),
Master_Mapping_Sheet!$H$2:$H$3143=L$1))), 0, sum(filter(
Master_Mapping_Sheet!$E$2:$E$3143, ISNUMBER(
Master_Mapping_Sheet!$E$2:$E$3143),
Master_Mapping_Sheet!$H$2:$H$3143=L$1,
Master_Mapping_Sheet!$B$2:$B$3143=$A31))/sum(filter(
Master"&amp;"_Mapping_Sheet!$E$2:$E$3143, ISNUMBER(
Master_Mapping_Sheet!$E$2:$E$3143),
Master_Mapping_Sheet!$H$2:$H$3143=L$1)))"),0.0)</f>
        <v>0</v>
      </c>
      <c r="M31" s="34">
        <f>IFERROR(__xludf.DUMMYFUNCTION("IF(ISNA(sum(filter(
Master_Mapping_Sheet!$E$2:$E$3143, ISNUMBER(
Master_Mapping_Sheet!$E$2:$E$3143),
Master_Mapping_Sheet!$H$2:$H$3143=M$1,
Master_Mapping_Sheet!$B$2:$B$3143=$A31))/sum(filter(
Master_Mapping_Sheet!$E$2:$E$3143, ISNUMBER(
Master_Mapping_Sh"&amp;"eet!$E$2:$E$3143),
Master_Mapping_Sheet!$H$2:$H$3143=M$1))), 0, sum(filter(
Master_Mapping_Sheet!$E$2:$E$3143, ISNUMBER(
Master_Mapping_Sheet!$E$2:$E$3143),
Master_Mapping_Sheet!$H$2:$H$3143=M$1,
Master_Mapping_Sheet!$B$2:$B$3143=$A31))/sum(filter(
Master"&amp;"_Mapping_Sheet!$E$2:$E$3143, ISNUMBER(
Master_Mapping_Sheet!$E$2:$E$3143),
Master_Mapping_Sheet!$H$2:$H$3143=M$1)))"),0.0)</f>
        <v>0</v>
      </c>
      <c r="N31" s="34">
        <f>IFERROR(__xludf.DUMMYFUNCTION("IF(ISNA(sum(filter(
Master_Mapping_Sheet!$E$2:$E$3143, ISNUMBER(
Master_Mapping_Sheet!$E$2:$E$3143),
Master_Mapping_Sheet!$H$2:$H$3143=N$1,
Master_Mapping_Sheet!$B$2:$B$3143=$A31))/sum(filter(
Master_Mapping_Sheet!$E$2:$E$3143, ISNUMBER(
Master_Mapping_Sh"&amp;"eet!$E$2:$E$3143),
Master_Mapping_Sheet!$H$2:$H$3143=N$1))), 0, sum(filter(
Master_Mapping_Sheet!$E$2:$E$3143, ISNUMBER(
Master_Mapping_Sheet!$E$2:$E$3143),
Master_Mapping_Sheet!$H$2:$H$3143=N$1,
Master_Mapping_Sheet!$B$2:$B$3143=$A31))/sum(filter(
Master"&amp;"_Mapping_Sheet!$E$2:$E$3143, ISNUMBER(
Master_Mapping_Sheet!$E$2:$E$3143),
Master_Mapping_Sheet!$H$2:$H$3143=N$1)))"),0.0)</f>
        <v>0</v>
      </c>
      <c r="O31" s="34">
        <f>IFERROR(__xludf.DUMMYFUNCTION("IF(ISNA(sum(filter(
Master_Mapping_Sheet!$E$2:$E$3143, ISNUMBER(
Master_Mapping_Sheet!$E$2:$E$3143),
Master_Mapping_Sheet!$H$2:$H$3143=O$1,
Master_Mapping_Sheet!$B$2:$B$3143=$A31))/sum(filter(
Master_Mapping_Sheet!$E$2:$E$3143, ISNUMBER(
Master_Mapping_Sh"&amp;"eet!$E$2:$E$3143),
Master_Mapping_Sheet!$H$2:$H$3143=O$1))), 0, sum(filter(
Master_Mapping_Sheet!$E$2:$E$3143, ISNUMBER(
Master_Mapping_Sheet!$E$2:$E$3143),
Master_Mapping_Sheet!$H$2:$H$3143=O$1,
Master_Mapping_Sheet!$B$2:$B$3143=$A31))/sum(filter(
Master"&amp;"_Mapping_Sheet!$E$2:$E$3143, ISNUMBER(
Master_Mapping_Sheet!$E$2:$E$3143),
Master_Mapping_Sheet!$H$2:$H$3143=O$1)))"),0.0)</f>
        <v>0</v>
      </c>
      <c r="P31" s="34">
        <f>IFERROR(__xludf.DUMMYFUNCTION("IF(ISNA(sum(filter(
Master_Mapping_Sheet!$E$2:$E$3143, ISNUMBER(
Master_Mapping_Sheet!$E$2:$E$3143),
Master_Mapping_Sheet!$H$2:$H$3143=P$1,
Master_Mapping_Sheet!$B$2:$B$3143=$A31))/sum(filter(
Master_Mapping_Sheet!$E$2:$E$3143, ISNUMBER(
Master_Mapping_Sh"&amp;"eet!$E$2:$E$3143),
Master_Mapping_Sheet!$H$2:$H$3143=P$1))), 0, sum(filter(
Master_Mapping_Sheet!$E$2:$E$3143, ISNUMBER(
Master_Mapping_Sheet!$E$2:$E$3143),
Master_Mapping_Sheet!$H$2:$H$3143=P$1,
Master_Mapping_Sheet!$B$2:$B$3143=$A31))/sum(filter(
Master"&amp;"_Mapping_Sheet!$E$2:$E$3143, ISNUMBER(
Master_Mapping_Sheet!$E$2:$E$3143),
Master_Mapping_Sheet!$H$2:$H$3143=P$1)))"),0.0)</f>
        <v>0</v>
      </c>
      <c r="Q31" s="34">
        <f>IFERROR(__xludf.DUMMYFUNCTION("IF(ISNA(sum(filter(
Master_Mapping_Sheet!$E$2:$E$3143, ISNUMBER(
Master_Mapping_Sheet!$E$2:$E$3143),
Master_Mapping_Sheet!$H$2:$H$3143=Q$1,
Master_Mapping_Sheet!$B$2:$B$3143=$A31))/sum(filter(
Master_Mapping_Sheet!$E$2:$E$3143, ISNUMBER(
Master_Mapping_Sh"&amp;"eet!$E$2:$E$3143),
Master_Mapping_Sheet!$H$2:$H$3143=Q$1))), 0, sum(filter(
Master_Mapping_Sheet!$E$2:$E$3143, ISNUMBER(
Master_Mapping_Sheet!$E$2:$E$3143),
Master_Mapping_Sheet!$H$2:$H$3143=Q$1,
Master_Mapping_Sheet!$B$2:$B$3143=$A31))/sum(filter(
Master"&amp;"_Mapping_Sheet!$E$2:$E$3143, ISNUMBER(
Master_Mapping_Sheet!$E$2:$E$3143),
Master_Mapping_Sheet!$H$2:$H$3143=Q$1)))"),0.0)</f>
        <v>0</v>
      </c>
      <c r="R31" s="34">
        <f>IFERROR(__xludf.DUMMYFUNCTION("IF(ISNA(sum(filter(
Master_Mapping_Sheet!$E$2:$E$3143, ISNUMBER(
Master_Mapping_Sheet!$E$2:$E$3143),
Master_Mapping_Sheet!$H$2:$H$3143=R$1,
Master_Mapping_Sheet!$B$2:$B$3143=$A31))/sum(filter(
Master_Mapping_Sheet!$E$2:$E$3143, ISNUMBER(
Master_Mapping_Sh"&amp;"eet!$E$2:$E$3143),
Master_Mapping_Sheet!$H$2:$H$3143=R$1))), 0, sum(filter(
Master_Mapping_Sheet!$E$2:$E$3143, ISNUMBER(
Master_Mapping_Sheet!$E$2:$E$3143),
Master_Mapping_Sheet!$H$2:$H$3143=R$1,
Master_Mapping_Sheet!$B$2:$B$3143=$A31))/sum(filter(
Master"&amp;"_Mapping_Sheet!$E$2:$E$3143, ISNUMBER(
Master_Mapping_Sheet!$E$2:$E$3143),
Master_Mapping_Sheet!$H$2:$H$3143=R$1)))"),0.0)</f>
        <v>0</v>
      </c>
      <c r="S31" s="34">
        <f>IFERROR(__xludf.DUMMYFUNCTION("IF(ISNA(sum(filter(
Master_Mapping_Sheet!$E$2:$E$3143, ISNUMBER(
Master_Mapping_Sheet!$E$2:$E$3143),
Master_Mapping_Sheet!$H$2:$H$3143=S$1,
Master_Mapping_Sheet!$B$2:$B$3143=$A31))/sum(filter(
Master_Mapping_Sheet!$E$2:$E$3143, ISNUMBER(
Master_Mapping_Sh"&amp;"eet!$E$2:$E$3143),
Master_Mapping_Sheet!$H$2:$H$3143=S$1))), 0, sum(filter(
Master_Mapping_Sheet!$E$2:$E$3143, ISNUMBER(
Master_Mapping_Sheet!$E$2:$E$3143),
Master_Mapping_Sheet!$H$2:$H$3143=S$1,
Master_Mapping_Sheet!$B$2:$B$3143=$A31))/sum(filter(
Master"&amp;"_Mapping_Sheet!$E$2:$E$3143, ISNUMBER(
Master_Mapping_Sheet!$E$2:$E$3143),
Master_Mapping_Sheet!$H$2:$H$3143=S$1)))"),0.0)</f>
        <v>0</v>
      </c>
      <c r="T31" s="34">
        <f>IFERROR(__xludf.DUMMYFUNCTION("IF(ISNA(sum(filter(
Master_Mapping_Sheet!$E$2:$E$3143, ISNUMBER(
Master_Mapping_Sheet!$E$2:$E$3143),
Master_Mapping_Sheet!$H$2:$H$3143=T$1,
Master_Mapping_Sheet!$B$2:$B$3143=$A31))/sum(filter(
Master_Mapping_Sheet!$E$2:$E$3143, ISNUMBER(
Master_Mapping_Sh"&amp;"eet!$E$2:$E$3143),
Master_Mapping_Sheet!$H$2:$H$3143=T$1))), 0, sum(filter(
Master_Mapping_Sheet!$E$2:$E$3143, ISNUMBER(
Master_Mapping_Sheet!$E$2:$E$3143),
Master_Mapping_Sheet!$H$2:$H$3143=T$1,
Master_Mapping_Sheet!$B$2:$B$3143=$A31))/sum(filter(
Master"&amp;"_Mapping_Sheet!$E$2:$E$3143, ISNUMBER(
Master_Mapping_Sheet!$E$2:$E$3143),
Master_Mapping_Sheet!$H$2:$H$3143=T$1)))"),0.0)</f>
        <v>0</v>
      </c>
      <c r="U31" s="34">
        <f>IFERROR(__xludf.DUMMYFUNCTION("IF(ISNA(sum(filter(
Master_Mapping_Sheet!$E$2:$E$3143, ISNUMBER(
Master_Mapping_Sheet!$E$2:$E$3143),
Master_Mapping_Sheet!$H$2:$H$3143=U$1,
Master_Mapping_Sheet!$B$2:$B$3143=$A31))/sum(filter(
Master_Mapping_Sheet!$E$2:$E$3143, ISNUMBER(
Master_Mapping_Sh"&amp;"eet!$E$2:$E$3143),
Master_Mapping_Sheet!$H$2:$H$3143=U$1))), 0, sum(filter(
Master_Mapping_Sheet!$E$2:$E$3143, ISNUMBER(
Master_Mapping_Sheet!$E$2:$E$3143),
Master_Mapping_Sheet!$H$2:$H$3143=U$1,
Master_Mapping_Sheet!$B$2:$B$3143=$A31))/sum(filter(
Master"&amp;"_Mapping_Sheet!$E$2:$E$3143, ISNUMBER(
Master_Mapping_Sheet!$E$2:$E$3143),
Master_Mapping_Sheet!$H$2:$H$3143=U$1)))"),0.0)</f>
        <v>0</v>
      </c>
      <c r="V31" s="34">
        <f>IFERROR(__xludf.DUMMYFUNCTION("IF(ISNA(sum(filter(
Master_Mapping_Sheet!$E$2:$E$3143, ISNUMBER(
Master_Mapping_Sheet!$E$2:$E$3143),
Master_Mapping_Sheet!$H$2:$H$3143=V$1,
Master_Mapping_Sheet!$B$2:$B$3143=$A31))/sum(filter(
Master_Mapping_Sheet!$E$2:$E$3143, ISNUMBER(
Master_Mapping_Sh"&amp;"eet!$E$2:$E$3143),
Master_Mapping_Sheet!$H$2:$H$3143=V$1))), 0, sum(filter(
Master_Mapping_Sheet!$E$2:$E$3143, ISNUMBER(
Master_Mapping_Sheet!$E$2:$E$3143),
Master_Mapping_Sheet!$H$2:$H$3143=V$1,
Master_Mapping_Sheet!$B$2:$B$3143=$A31))/sum(filter(
Master"&amp;"_Mapping_Sheet!$E$2:$E$3143, ISNUMBER(
Master_Mapping_Sheet!$E$2:$E$3143),
Master_Mapping_Sheet!$H$2:$H$3143=V$1)))"),0.0)</f>
        <v>0</v>
      </c>
      <c r="W31" s="34">
        <f>IFERROR(__xludf.DUMMYFUNCTION("IF(ISNA(sum(filter(
Master_Mapping_Sheet!$E$2:$E$3143, ISNUMBER(
Master_Mapping_Sheet!$E$2:$E$3143),
Master_Mapping_Sheet!$H$2:$H$3143=W$1,
Master_Mapping_Sheet!$B$2:$B$3143=$A31))/sum(filter(
Master_Mapping_Sheet!$E$2:$E$3143, ISNUMBER(
Master_Mapping_Sh"&amp;"eet!$E$2:$E$3143),
Master_Mapping_Sheet!$H$2:$H$3143=W$1))), 0, sum(filter(
Master_Mapping_Sheet!$E$2:$E$3143, ISNUMBER(
Master_Mapping_Sheet!$E$2:$E$3143),
Master_Mapping_Sheet!$H$2:$H$3143=W$1,
Master_Mapping_Sheet!$B$2:$B$3143=$A31))/sum(filter(
Master"&amp;"_Mapping_Sheet!$E$2:$E$3143, ISNUMBER(
Master_Mapping_Sheet!$E$2:$E$3143),
Master_Mapping_Sheet!$H$2:$H$3143=W$1)))"),0.0)</f>
        <v>0</v>
      </c>
      <c r="X31" s="34">
        <f>IFERROR(__xludf.DUMMYFUNCTION("IF(ISNA(sum(filter(
Master_Mapping_Sheet!$E$2:$E$3143, ISNUMBER(
Master_Mapping_Sheet!$E$2:$E$3143),
Master_Mapping_Sheet!$H$2:$H$3143=X$1,
Master_Mapping_Sheet!$B$2:$B$3143=$A31))/sum(filter(
Master_Mapping_Sheet!$E$2:$E$3143, ISNUMBER(
Master_Mapping_Sh"&amp;"eet!$E$2:$E$3143),
Master_Mapping_Sheet!$H$2:$H$3143=X$1))), 0, sum(filter(
Master_Mapping_Sheet!$E$2:$E$3143, ISNUMBER(
Master_Mapping_Sheet!$E$2:$E$3143),
Master_Mapping_Sheet!$H$2:$H$3143=X$1,
Master_Mapping_Sheet!$B$2:$B$3143=$A31))/sum(filter(
Master"&amp;"_Mapping_Sheet!$E$2:$E$3143, ISNUMBER(
Master_Mapping_Sheet!$E$2:$E$3143),
Master_Mapping_Sheet!$H$2:$H$3143=X$1)))"),0.0)</f>
        <v>0</v>
      </c>
      <c r="Y31" s="34">
        <f>IFERROR(__xludf.DUMMYFUNCTION("IF(ISNA(sum(filter(
Master_Mapping_Sheet!$E$2:$E$3143, ISNUMBER(
Master_Mapping_Sheet!$E$2:$E$3143),
Master_Mapping_Sheet!$H$2:$H$3143=Y$1,
Master_Mapping_Sheet!$B$2:$B$3143=$A31))/sum(filter(
Master_Mapping_Sheet!$E$2:$E$3143, ISNUMBER(
Master_Mapping_Sh"&amp;"eet!$E$2:$E$3143),
Master_Mapping_Sheet!$H$2:$H$3143=Y$1))), 0, sum(filter(
Master_Mapping_Sheet!$E$2:$E$3143, ISNUMBER(
Master_Mapping_Sheet!$E$2:$E$3143),
Master_Mapping_Sheet!$H$2:$H$3143=Y$1,
Master_Mapping_Sheet!$B$2:$B$3143=$A31))/sum(filter(
Master"&amp;"_Mapping_Sheet!$E$2:$E$3143, ISNUMBER(
Master_Mapping_Sheet!$E$2:$E$3143),
Master_Mapping_Sheet!$H$2:$H$3143=Y$1)))"),0.0)</f>
        <v>0</v>
      </c>
      <c r="Z31" s="34">
        <f>IFERROR(__xludf.DUMMYFUNCTION("IF(ISNA(sum(filter(
Master_Mapping_Sheet!$E$2:$E$3143, ISNUMBER(
Master_Mapping_Sheet!$E$2:$E$3143),
Master_Mapping_Sheet!$H$2:$H$3143=Z$1,
Master_Mapping_Sheet!$B$2:$B$3143=$A31))/sum(filter(
Master_Mapping_Sheet!$E$2:$E$3143, ISNUMBER(
Master_Mapping_Sh"&amp;"eet!$E$2:$E$3143),
Master_Mapping_Sheet!$H$2:$H$3143=Z$1))), 0, sum(filter(
Master_Mapping_Sheet!$E$2:$E$3143, ISNUMBER(
Master_Mapping_Sheet!$E$2:$E$3143),
Master_Mapping_Sheet!$H$2:$H$3143=Z$1,
Master_Mapping_Sheet!$B$2:$B$3143=$A31))/sum(filter(
Master"&amp;"_Mapping_Sheet!$E$2:$E$3143, ISNUMBER(
Master_Mapping_Sheet!$E$2:$E$3143),
Master_Mapping_Sheet!$H$2:$H$3143=Z$1)))"),0.0)</f>
        <v>0</v>
      </c>
      <c r="AA31" s="34">
        <f>IFERROR(__xludf.DUMMYFUNCTION("IF(ISNA(sum(filter(
Master_Mapping_Sheet!$E$2:$E$3143, ISNUMBER(
Master_Mapping_Sheet!$E$2:$E$3143),
Master_Mapping_Sheet!$H$2:$H$3143=AA$1,
Master_Mapping_Sheet!$B$2:$B$3143=$A31))/sum(filter(
Master_Mapping_Sheet!$E$2:$E$3143, ISNUMBER(
Master_Mapping_S"&amp;"heet!$E$2:$E$3143),
Master_Mapping_Sheet!$H$2:$H$3143=AA$1))), 0, sum(filter(
Master_Mapping_Sheet!$E$2:$E$3143, ISNUMBER(
Master_Mapping_Sheet!$E$2:$E$3143),
Master_Mapping_Sheet!$H$2:$H$3143=AA$1,
Master_Mapping_Sheet!$B$2:$B$3143=$A31))/sum(filter(
Mas"&amp;"ter_Mapping_Sheet!$E$2:$E$3143, ISNUMBER(
Master_Mapping_Sheet!$E$2:$E$3143),
Master_Mapping_Sheet!$H$2:$H$3143=AA$1)))"),0.0)</f>
        <v>0</v>
      </c>
    </row>
    <row r="32" ht="15.75" customHeight="1">
      <c r="A32" s="34" t="s">
        <v>1259</v>
      </c>
      <c r="B32" s="34" t="s">
        <v>3131</v>
      </c>
      <c r="C32" s="34">
        <f>IFERROR(__xludf.DUMMYFUNCTION("IF(ISNA(sum(filter(
Master_Mapping_Sheet!$E$2:$E$3143, ISNUMBER(
Master_Mapping_Sheet!$E$2:$E$3143),
Master_Mapping_Sheet!$H$2:$H$3143=C$1,
Master_Mapping_Sheet!$B$2:$B$3143=$A32))/sum(filter(
Master_Mapping_Sheet!$E$2:$E$3143, ISNUMBER(
Master_Mapping_Sh"&amp;"eet!$E$2:$E$3143),
Master_Mapping_Sheet!$H$2:$H$3143=C$1))), 0, sum(filter(
Master_Mapping_Sheet!$E$2:$E$3143, ISNUMBER(
Master_Mapping_Sheet!$E$2:$E$3143),
Master_Mapping_Sheet!$H$2:$H$3143=C$1,
Master_Mapping_Sheet!$B$2:$B$3143=$A32))/sum(filter(
Master"&amp;"_Mapping_Sheet!$E$2:$E$3143, ISNUMBER(
Master_Mapping_Sheet!$E$2:$E$3143),
Master_Mapping_Sheet!$H$2:$H$3143=C$1)))"),0.0)</f>
        <v>0</v>
      </c>
      <c r="D32" s="34">
        <f>IFERROR(__xludf.DUMMYFUNCTION("IF(ISNA(sum(filter(
Master_Mapping_Sheet!$E$2:$E$3143, ISNUMBER(
Master_Mapping_Sheet!$E$2:$E$3143),
Master_Mapping_Sheet!$H$2:$H$3143=D$1,
Master_Mapping_Sheet!$B$2:$B$3143=$A32))/sum(filter(
Master_Mapping_Sheet!$E$2:$E$3143, ISNUMBER(
Master_Mapping_Sh"&amp;"eet!$E$2:$E$3143),
Master_Mapping_Sheet!$H$2:$H$3143=D$1))), 0, sum(filter(
Master_Mapping_Sheet!$E$2:$E$3143, ISNUMBER(
Master_Mapping_Sheet!$E$2:$E$3143),
Master_Mapping_Sheet!$H$2:$H$3143=D$1,
Master_Mapping_Sheet!$B$2:$B$3143=$A32))/sum(filter(
Master"&amp;"_Mapping_Sheet!$E$2:$E$3143, ISNUMBER(
Master_Mapping_Sheet!$E$2:$E$3143),
Master_Mapping_Sheet!$H$2:$H$3143=D$1)))"),0.0)</f>
        <v>0</v>
      </c>
      <c r="E32" s="32">
        <f>IFERROR(__xludf.DUMMYFUNCTION("IF(ISNA(sum(filter(
Master_Mapping_Sheet!$E$2:$E$3143, ISNUMBER(
Master_Mapping_Sheet!$E$2:$E$3143),
Master_Mapping_Sheet!$H$2:$H$3143=E$1,
Master_Mapping_Sheet!$B$2:$B$3143=$A32))/sum(filter(
Master_Mapping_Sheet!$E$2:$E$3143, ISNUMBER(
Master_Mapping_Sh"&amp;"eet!$E$2:$E$3143),
Master_Mapping_Sheet!$H$2:$H$3143=E$1))), 0, sum(filter(
Master_Mapping_Sheet!$E$2:$E$3143, ISNUMBER(
Master_Mapping_Sheet!$E$2:$E$3143),
Master_Mapping_Sheet!$H$2:$H$3143=E$1,
Master_Mapping_Sheet!$B$2:$B$3143=$A32))/sum(filter(
Master"&amp;"_Mapping_Sheet!$E$2:$E$3143, ISNUMBER(
Master_Mapping_Sheet!$E$2:$E$3143),
Master_Mapping_Sheet!$H$2:$H$3143=E$1)))"),0.0)</f>
        <v>0</v>
      </c>
      <c r="F32" s="34">
        <f>IFERROR(__xludf.DUMMYFUNCTION("IF(ISNA(sum(filter(
Master_Mapping_Sheet!$E$2:$E$3143, ISNUMBER(
Master_Mapping_Sheet!$E$2:$E$3143),
Master_Mapping_Sheet!$H$2:$H$3143=F$1,
Master_Mapping_Sheet!$B$2:$B$3143=$A32))/sum(filter(
Master_Mapping_Sheet!$E$2:$E$3143, ISNUMBER(
Master_Mapping_Sh"&amp;"eet!$E$2:$E$3143),
Master_Mapping_Sheet!$H$2:$H$3143=F$1))), 0, sum(filter(
Master_Mapping_Sheet!$E$2:$E$3143, ISNUMBER(
Master_Mapping_Sheet!$E$2:$E$3143),
Master_Mapping_Sheet!$H$2:$H$3143=F$1,
Master_Mapping_Sheet!$B$2:$B$3143=$A32))/sum(filter(
Master"&amp;"_Mapping_Sheet!$E$2:$E$3143, ISNUMBER(
Master_Mapping_Sheet!$E$2:$E$3143),
Master_Mapping_Sheet!$H$2:$H$3143=F$1)))"),0.0)</f>
        <v>0</v>
      </c>
      <c r="G32" s="34">
        <f>IFERROR(__xludf.DUMMYFUNCTION("IF(ISNA(sum(filter(
Master_Mapping_Sheet!$E$2:$E$3143, ISNUMBER(
Master_Mapping_Sheet!$E$2:$E$3143),
Master_Mapping_Sheet!$H$2:$H$3143=G$1,
Master_Mapping_Sheet!$B$2:$B$3143=$A32))/sum(filter(
Master_Mapping_Sheet!$E$2:$E$3143, ISNUMBER(
Master_Mapping_Sh"&amp;"eet!$E$2:$E$3143),
Master_Mapping_Sheet!$H$2:$H$3143=G$1))), 0, sum(filter(
Master_Mapping_Sheet!$E$2:$E$3143, ISNUMBER(
Master_Mapping_Sheet!$E$2:$E$3143),
Master_Mapping_Sheet!$H$2:$H$3143=G$1,
Master_Mapping_Sheet!$B$2:$B$3143=$A32))/sum(filter(
Master"&amp;"_Mapping_Sheet!$E$2:$E$3143, ISNUMBER(
Master_Mapping_Sheet!$E$2:$E$3143),
Master_Mapping_Sheet!$H$2:$H$3143=G$1)))"),0.0)</f>
        <v>0</v>
      </c>
      <c r="H32" s="34">
        <f>IFERROR(__xludf.DUMMYFUNCTION("IF(ISNA(sum(filter(
Master_Mapping_Sheet!$E$2:$E$3143, ISNUMBER(
Master_Mapping_Sheet!$E$2:$E$3143),
Master_Mapping_Sheet!$H$2:$H$3143=H$1,
Master_Mapping_Sheet!$B$2:$B$3143=$A32))/sum(filter(
Master_Mapping_Sheet!$E$2:$E$3143, ISNUMBER(
Master_Mapping_Sh"&amp;"eet!$E$2:$E$3143),
Master_Mapping_Sheet!$H$2:$H$3143=H$1))), 0, sum(filter(
Master_Mapping_Sheet!$E$2:$E$3143, ISNUMBER(
Master_Mapping_Sheet!$E$2:$E$3143),
Master_Mapping_Sheet!$H$2:$H$3143=H$1,
Master_Mapping_Sheet!$B$2:$B$3143=$A32))/sum(filter(
Master"&amp;"_Mapping_Sheet!$E$2:$E$3143, ISNUMBER(
Master_Mapping_Sheet!$E$2:$E$3143),
Master_Mapping_Sheet!$H$2:$H$3143=H$1)))"),0.0)</f>
        <v>0</v>
      </c>
      <c r="I32" s="34">
        <f>IFERROR(__xludf.DUMMYFUNCTION("IF(ISNA(sum(filter(
Master_Mapping_Sheet!$E$2:$E$3143, ISNUMBER(
Master_Mapping_Sheet!$E$2:$E$3143),
Master_Mapping_Sheet!$H$2:$H$3143=I$1,
Master_Mapping_Sheet!$B$2:$B$3143=$A32))/sum(filter(
Master_Mapping_Sheet!$E$2:$E$3143, ISNUMBER(
Master_Mapping_Sh"&amp;"eet!$E$2:$E$3143),
Master_Mapping_Sheet!$H$2:$H$3143=I$1))), 0, sum(filter(
Master_Mapping_Sheet!$E$2:$E$3143, ISNUMBER(
Master_Mapping_Sheet!$E$2:$E$3143),
Master_Mapping_Sheet!$H$2:$H$3143=I$1,
Master_Mapping_Sheet!$B$2:$B$3143=$A32))/sum(filter(
Master"&amp;"_Mapping_Sheet!$E$2:$E$3143, ISNUMBER(
Master_Mapping_Sheet!$E$2:$E$3143),
Master_Mapping_Sheet!$H$2:$H$3143=I$1)))"),0.0)</f>
        <v>0</v>
      </c>
      <c r="J32" s="34">
        <f>IFERROR(__xludf.DUMMYFUNCTION("IF(ISNA(sum(filter(
Master_Mapping_Sheet!$E$2:$E$3143, ISNUMBER(
Master_Mapping_Sheet!$E$2:$E$3143),
Master_Mapping_Sheet!$H$2:$H$3143=J$1,
Master_Mapping_Sheet!$B$2:$B$3143=$A32))/sum(filter(
Master_Mapping_Sheet!$E$2:$E$3143, ISNUMBER(
Master_Mapping_Sh"&amp;"eet!$E$2:$E$3143),
Master_Mapping_Sheet!$H$2:$H$3143=J$1))), 0, sum(filter(
Master_Mapping_Sheet!$E$2:$E$3143, ISNUMBER(
Master_Mapping_Sheet!$E$2:$E$3143),
Master_Mapping_Sheet!$H$2:$H$3143=J$1,
Master_Mapping_Sheet!$B$2:$B$3143=$A32))/sum(filter(
Master"&amp;"_Mapping_Sheet!$E$2:$E$3143, ISNUMBER(
Master_Mapping_Sheet!$E$2:$E$3143),
Master_Mapping_Sheet!$H$2:$H$3143=J$1)))"),0.0)</f>
        <v>0</v>
      </c>
      <c r="K32" s="34">
        <f>IFERROR(__xludf.DUMMYFUNCTION("IF(ISNA(sum(filter(
Master_Mapping_Sheet!$E$2:$E$3143, ISNUMBER(
Master_Mapping_Sheet!$E$2:$E$3143),
Master_Mapping_Sheet!$H$2:$H$3143=K$1,
Master_Mapping_Sheet!$B$2:$B$3143=$A32))/sum(filter(
Master_Mapping_Sheet!$E$2:$E$3143, ISNUMBER(
Master_Mapping_Sh"&amp;"eet!$E$2:$E$3143),
Master_Mapping_Sheet!$H$2:$H$3143=K$1))), 0, sum(filter(
Master_Mapping_Sheet!$E$2:$E$3143, ISNUMBER(
Master_Mapping_Sheet!$E$2:$E$3143),
Master_Mapping_Sheet!$H$2:$H$3143=K$1,
Master_Mapping_Sheet!$B$2:$B$3143=$A32))/sum(filter(
Master"&amp;"_Mapping_Sheet!$E$2:$E$3143, ISNUMBER(
Master_Mapping_Sheet!$E$2:$E$3143),
Master_Mapping_Sheet!$H$2:$H$3143=K$1)))"),0.0)</f>
        <v>0</v>
      </c>
      <c r="L32" s="34">
        <f>IFERROR(__xludf.DUMMYFUNCTION("IF(ISNA(sum(filter(
Master_Mapping_Sheet!$E$2:$E$3143, ISNUMBER(
Master_Mapping_Sheet!$E$2:$E$3143),
Master_Mapping_Sheet!$H$2:$H$3143=L$1,
Master_Mapping_Sheet!$B$2:$B$3143=$A32))/sum(filter(
Master_Mapping_Sheet!$E$2:$E$3143, ISNUMBER(
Master_Mapping_Sh"&amp;"eet!$E$2:$E$3143),
Master_Mapping_Sheet!$H$2:$H$3143=L$1))), 0, sum(filter(
Master_Mapping_Sheet!$E$2:$E$3143, ISNUMBER(
Master_Mapping_Sheet!$E$2:$E$3143),
Master_Mapping_Sheet!$H$2:$H$3143=L$1,
Master_Mapping_Sheet!$B$2:$B$3143=$A32))/sum(filter(
Master"&amp;"_Mapping_Sheet!$E$2:$E$3143, ISNUMBER(
Master_Mapping_Sheet!$E$2:$E$3143),
Master_Mapping_Sheet!$H$2:$H$3143=L$1)))"),0.36275367666767544)</f>
        <v>0.3627536767</v>
      </c>
      <c r="M32" s="34">
        <f>IFERROR(__xludf.DUMMYFUNCTION("IF(ISNA(sum(filter(
Master_Mapping_Sheet!$E$2:$E$3143, ISNUMBER(
Master_Mapping_Sheet!$E$2:$E$3143),
Master_Mapping_Sheet!$H$2:$H$3143=M$1,
Master_Mapping_Sheet!$B$2:$B$3143=$A32))/sum(filter(
Master_Mapping_Sheet!$E$2:$E$3143, ISNUMBER(
Master_Mapping_Sh"&amp;"eet!$E$2:$E$3143),
Master_Mapping_Sheet!$H$2:$H$3143=M$1))), 0, sum(filter(
Master_Mapping_Sheet!$E$2:$E$3143, ISNUMBER(
Master_Mapping_Sheet!$E$2:$E$3143),
Master_Mapping_Sheet!$H$2:$H$3143=M$1,
Master_Mapping_Sheet!$B$2:$B$3143=$A32))/sum(filter(
Master"&amp;"_Mapping_Sheet!$E$2:$E$3143, ISNUMBER(
Master_Mapping_Sheet!$E$2:$E$3143),
Master_Mapping_Sheet!$H$2:$H$3143=M$1)))"),0.0)</f>
        <v>0</v>
      </c>
      <c r="N32" s="34">
        <f>IFERROR(__xludf.DUMMYFUNCTION("IF(ISNA(sum(filter(
Master_Mapping_Sheet!$E$2:$E$3143, ISNUMBER(
Master_Mapping_Sheet!$E$2:$E$3143),
Master_Mapping_Sheet!$H$2:$H$3143=N$1,
Master_Mapping_Sheet!$B$2:$B$3143=$A32))/sum(filter(
Master_Mapping_Sheet!$E$2:$E$3143, ISNUMBER(
Master_Mapping_Sh"&amp;"eet!$E$2:$E$3143),
Master_Mapping_Sheet!$H$2:$H$3143=N$1))), 0, sum(filter(
Master_Mapping_Sheet!$E$2:$E$3143, ISNUMBER(
Master_Mapping_Sheet!$E$2:$E$3143),
Master_Mapping_Sheet!$H$2:$H$3143=N$1,
Master_Mapping_Sheet!$B$2:$B$3143=$A32))/sum(filter(
Master"&amp;"_Mapping_Sheet!$E$2:$E$3143, ISNUMBER(
Master_Mapping_Sheet!$E$2:$E$3143),
Master_Mapping_Sheet!$H$2:$H$3143=N$1)))"),0.0)</f>
        <v>0</v>
      </c>
      <c r="O32" s="34">
        <f>IFERROR(__xludf.DUMMYFUNCTION("IF(ISNA(sum(filter(
Master_Mapping_Sheet!$E$2:$E$3143, ISNUMBER(
Master_Mapping_Sheet!$E$2:$E$3143),
Master_Mapping_Sheet!$H$2:$H$3143=O$1,
Master_Mapping_Sheet!$B$2:$B$3143=$A32))/sum(filter(
Master_Mapping_Sheet!$E$2:$E$3143, ISNUMBER(
Master_Mapping_Sh"&amp;"eet!$E$2:$E$3143),
Master_Mapping_Sheet!$H$2:$H$3143=O$1))), 0, sum(filter(
Master_Mapping_Sheet!$E$2:$E$3143, ISNUMBER(
Master_Mapping_Sheet!$E$2:$E$3143),
Master_Mapping_Sheet!$H$2:$H$3143=O$1,
Master_Mapping_Sheet!$B$2:$B$3143=$A32))/sum(filter(
Master"&amp;"_Mapping_Sheet!$E$2:$E$3143, ISNUMBER(
Master_Mapping_Sheet!$E$2:$E$3143),
Master_Mapping_Sheet!$H$2:$H$3143=O$1)))"),0.0)</f>
        <v>0</v>
      </c>
      <c r="P32" s="34">
        <f>IFERROR(__xludf.DUMMYFUNCTION("IF(ISNA(sum(filter(
Master_Mapping_Sheet!$E$2:$E$3143, ISNUMBER(
Master_Mapping_Sheet!$E$2:$E$3143),
Master_Mapping_Sheet!$H$2:$H$3143=P$1,
Master_Mapping_Sheet!$B$2:$B$3143=$A32))/sum(filter(
Master_Mapping_Sheet!$E$2:$E$3143, ISNUMBER(
Master_Mapping_Sh"&amp;"eet!$E$2:$E$3143),
Master_Mapping_Sheet!$H$2:$H$3143=P$1))), 0, sum(filter(
Master_Mapping_Sheet!$E$2:$E$3143, ISNUMBER(
Master_Mapping_Sheet!$E$2:$E$3143),
Master_Mapping_Sheet!$H$2:$H$3143=P$1,
Master_Mapping_Sheet!$B$2:$B$3143=$A32))/sum(filter(
Master"&amp;"_Mapping_Sheet!$E$2:$E$3143, ISNUMBER(
Master_Mapping_Sheet!$E$2:$E$3143),
Master_Mapping_Sheet!$H$2:$H$3143=P$1)))"),0.0)</f>
        <v>0</v>
      </c>
      <c r="Q32" s="34">
        <f>IFERROR(__xludf.DUMMYFUNCTION("IF(ISNA(sum(filter(
Master_Mapping_Sheet!$E$2:$E$3143, ISNUMBER(
Master_Mapping_Sheet!$E$2:$E$3143),
Master_Mapping_Sheet!$H$2:$H$3143=Q$1,
Master_Mapping_Sheet!$B$2:$B$3143=$A32))/sum(filter(
Master_Mapping_Sheet!$E$2:$E$3143, ISNUMBER(
Master_Mapping_Sh"&amp;"eet!$E$2:$E$3143),
Master_Mapping_Sheet!$H$2:$H$3143=Q$1))), 0, sum(filter(
Master_Mapping_Sheet!$E$2:$E$3143, ISNUMBER(
Master_Mapping_Sheet!$E$2:$E$3143),
Master_Mapping_Sheet!$H$2:$H$3143=Q$1,
Master_Mapping_Sheet!$B$2:$B$3143=$A32))/sum(filter(
Master"&amp;"_Mapping_Sheet!$E$2:$E$3143, ISNUMBER(
Master_Mapping_Sheet!$E$2:$E$3143),
Master_Mapping_Sheet!$H$2:$H$3143=Q$1)))"),0.0)</f>
        <v>0</v>
      </c>
      <c r="R32" s="34">
        <f>IFERROR(__xludf.DUMMYFUNCTION("IF(ISNA(sum(filter(
Master_Mapping_Sheet!$E$2:$E$3143, ISNUMBER(
Master_Mapping_Sheet!$E$2:$E$3143),
Master_Mapping_Sheet!$H$2:$H$3143=R$1,
Master_Mapping_Sheet!$B$2:$B$3143=$A32))/sum(filter(
Master_Mapping_Sheet!$E$2:$E$3143, ISNUMBER(
Master_Mapping_Sh"&amp;"eet!$E$2:$E$3143),
Master_Mapping_Sheet!$H$2:$H$3143=R$1))), 0, sum(filter(
Master_Mapping_Sheet!$E$2:$E$3143, ISNUMBER(
Master_Mapping_Sheet!$E$2:$E$3143),
Master_Mapping_Sheet!$H$2:$H$3143=R$1,
Master_Mapping_Sheet!$B$2:$B$3143=$A32))/sum(filter(
Master"&amp;"_Mapping_Sheet!$E$2:$E$3143, ISNUMBER(
Master_Mapping_Sheet!$E$2:$E$3143),
Master_Mapping_Sheet!$H$2:$H$3143=R$1)))"),0.0)</f>
        <v>0</v>
      </c>
      <c r="S32" s="34">
        <f>IFERROR(__xludf.DUMMYFUNCTION("IF(ISNA(sum(filter(
Master_Mapping_Sheet!$E$2:$E$3143, ISNUMBER(
Master_Mapping_Sheet!$E$2:$E$3143),
Master_Mapping_Sheet!$H$2:$H$3143=S$1,
Master_Mapping_Sheet!$B$2:$B$3143=$A32))/sum(filter(
Master_Mapping_Sheet!$E$2:$E$3143, ISNUMBER(
Master_Mapping_Sh"&amp;"eet!$E$2:$E$3143),
Master_Mapping_Sheet!$H$2:$H$3143=S$1))), 0, sum(filter(
Master_Mapping_Sheet!$E$2:$E$3143, ISNUMBER(
Master_Mapping_Sheet!$E$2:$E$3143),
Master_Mapping_Sheet!$H$2:$H$3143=S$1,
Master_Mapping_Sheet!$B$2:$B$3143=$A32))/sum(filter(
Master"&amp;"_Mapping_Sheet!$E$2:$E$3143, ISNUMBER(
Master_Mapping_Sheet!$E$2:$E$3143),
Master_Mapping_Sheet!$H$2:$H$3143=S$1)))"),0.0)</f>
        <v>0</v>
      </c>
      <c r="T32" s="34">
        <f>IFERROR(__xludf.DUMMYFUNCTION("IF(ISNA(sum(filter(
Master_Mapping_Sheet!$E$2:$E$3143, ISNUMBER(
Master_Mapping_Sheet!$E$2:$E$3143),
Master_Mapping_Sheet!$H$2:$H$3143=T$1,
Master_Mapping_Sheet!$B$2:$B$3143=$A32))/sum(filter(
Master_Mapping_Sheet!$E$2:$E$3143, ISNUMBER(
Master_Mapping_Sh"&amp;"eet!$E$2:$E$3143),
Master_Mapping_Sheet!$H$2:$H$3143=T$1))), 0, sum(filter(
Master_Mapping_Sheet!$E$2:$E$3143, ISNUMBER(
Master_Mapping_Sheet!$E$2:$E$3143),
Master_Mapping_Sheet!$H$2:$H$3143=T$1,
Master_Mapping_Sheet!$B$2:$B$3143=$A32))/sum(filter(
Master"&amp;"_Mapping_Sheet!$E$2:$E$3143, ISNUMBER(
Master_Mapping_Sheet!$E$2:$E$3143),
Master_Mapping_Sheet!$H$2:$H$3143=T$1)))"),0.0)</f>
        <v>0</v>
      </c>
      <c r="U32" s="34">
        <f>IFERROR(__xludf.DUMMYFUNCTION("IF(ISNA(sum(filter(
Master_Mapping_Sheet!$E$2:$E$3143, ISNUMBER(
Master_Mapping_Sheet!$E$2:$E$3143),
Master_Mapping_Sheet!$H$2:$H$3143=U$1,
Master_Mapping_Sheet!$B$2:$B$3143=$A32))/sum(filter(
Master_Mapping_Sheet!$E$2:$E$3143, ISNUMBER(
Master_Mapping_Sh"&amp;"eet!$E$2:$E$3143),
Master_Mapping_Sheet!$H$2:$H$3143=U$1))), 0, sum(filter(
Master_Mapping_Sheet!$E$2:$E$3143, ISNUMBER(
Master_Mapping_Sheet!$E$2:$E$3143),
Master_Mapping_Sheet!$H$2:$H$3143=U$1,
Master_Mapping_Sheet!$B$2:$B$3143=$A32))/sum(filter(
Master"&amp;"_Mapping_Sheet!$E$2:$E$3143, ISNUMBER(
Master_Mapping_Sheet!$E$2:$E$3143),
Master_Mapping_Sheet!$H$2:$H$3143=U$1)))"),0.0)</f>
        <v>0</v>
      </c>
      <c r="V32" s="34">
        <f>IFERROR(__xludf.DUMMYFUNCTION("IF(ISNA(sum(filter(
Master_Mapping_Sheet!$E$2:$E$3143, ISNUMBER(
Master_Mapping_Sheet!$E$2:$E$3143),
Master_Mapping_Sheet!$H$2:$H$3143=V$1,
Master_Mapping_Sheet!$B$2:$B$3143=$A32))/sum(filter(
Master_Mapping_Sheet!$E$2:$E$3143, ISNUMBER(
Master_Mapping_Sh"&amp;"eet!$E$2:$E$3143),
Master_Mapping_Sheet!$H$2:$H$3143=V$1))), 0, sum(filter(
Master_Mapping_Sheet!$E$2:$E$3143, ISNUMBER(
Master_Mapping_Sheet!$E$2:$E$3143),
Master_Mapping_Sheet!$H$2:$H$3143=V$1,
Master_Mapping_Sheet!$B$2:$B$3143=$A32))/sum(filter(
Master"&amp;"_Mapping_Sheet!$E$2:$E$3143, ISNUMBER(
Master_Mapping_Sheet!$E$2:$E$3143),
Master_Mapping_Sheet!$H$2:$H$3143=V$1)))"),0.0)</f>
        <v>0</v>
      </c>
      <c r="W32" s="34">
        <f>IFERROR(__xludf.DUMMYFUNCTION("IF(ISNA(sum(filter(
Master_Mapping_Sheet!$E$2:$E$3143, ISNUMBER(
Master_Mapping_Sheet!$E$2:$E$3143),
Master_Mapping_Sheet!$H$2:$H$3143=W$1,
Master_Mapping_Sheet!$B$2:$B$3143=$A32))/sum(filter(
Master_Mapping_Sheet!$E$2:$E$3143, ISNUMBER(
Master_Mapping_Sh"&amp;"eet!$E$2:$E$3143),
Master_Mapping_Sheet!$H$2:$H$3143=W$1))), 0, sum(filter(
Master_Mapping_Sheet!$E$2:$E$3143, ISNUMBER(
Master_Mapping_Sheet!$E$2:$E$3143),
Master_Mapping_Sheet!$H$2:$H$3143=W$1,
Master_Mapping_Sheet!$B$2:$B$3143=$A32))/sum(filter(
Master"&amp;"_Mapping_Sheet!$E$2:$E$3143, ISNUMBER(
Master_Mapping_Sheet!$E$2:$E$3143),
Master_Mapping_Sheet!$H$2:$H$3143=W$1)))"),0.0)</f>
        <v>0</v>
      </c>
      <c r="X32" s="34">
        <f>IFERROR(__xludf.DUMMYFUNCTION("IF(ISNA(sum(filter(
Master_Mapping_Sheet!$E$2:$E$3143, ISNUMBER(
Master_Mapping_Sheet!$E$2:$E$3143),
Master_Mapping_Sheet!$H$2:$H$3143=X$1,
Master_Mapping_Sheet!$B$2:$B$3143=$A32))/sum(filter(
Master_Mapping_Sheet!$E$2:$E$3143, ISNUMBER(
Master_Mapping_Sh"&amp;"eet!$E$2:$E$3143),
Master_Mapping_Sheet!$H$2:$H$3143=X$1))), 0, sum(filter(
Master_Mapping_Sheet!$E$2:$E$3143, ISNUMBER(
Master_Mapping_Sheet!$E$2:$E$3143),
Master_Mapping_Sheet!$H$2:$H$3143=X$1,
Master_Mapping_Sheet!$B$2:$B$3143=$A32))/sum(filter(
Master"&amp;"_Mapping_Sheet!$E$2:$E$3143, ISNUMBER(
Master_Mapping_Sheet!$E$2:$E$3143),
Master_Mapping_Sheet!$H$2:$H$3143=X$1)))"),0.0)</f>
        <v>0</v>
      </c>
      <c r="Y32" s="34">
        <f>IFERROR(__xludf.DUMMYFUNCTION("IF(ISNA(sum(filter(
Master_Mapping_Sheet!$E$2:$E$3143, ISNUMBER(
Master_Mapping_Sheet!$E$2:$E$3143),
Master_Mapping_Sheet!$H$2:$H$3143=Y$1,
Master_Mapping_Sheet!$B$2:$B$3143=$A32))/sum(filter(
Master_Mapping_Sheet!$E$2:$E$3143, ISNUMBER(
Master_Mapping_Sh"&amp;"eet!$E$2:$E$3143),
Master_Mapping_Sheet!$H$2:$H$3143=Y$1))), 0, sum(filter(
Master_Mapping_Sheet!$E$2:$E$3143, ISNUMBER(
Master_Mapping_Sheet!$E$2:$E$3143),
Master_Mapping_Sheet!$H$2:$H$3143=Y$1,
Master_Mapping_Sheet!$B$2:$B$3143=$A32))/sum(filter(
Master"&amp;"_Mapping_Sheet!$E$2:$E$3143, ISNUMBER(
Master_Mapping_Sheet!$E$2:$E$3143),
Master_Mapping_Sheet!$H$2:$H$3143=Y$1)))"),0.0)</f>
        <v>0</v>
      </c>
      <c r="Z32" s="34">
        <f>IFERROR(__xludf.DUMMYFUNCTION("IF(ISNA(sum(filter(
Master_Mapping_Sheet!$E$2:$E$3143, ISNUMBER(
Master_Mapping_Sheet!$E$2:$E$3143),
Master_Mapping_Sheet!$H$2:$H$3143=Z$1,
Master_Mapping_Sheet!$B$2:$B$3143=$A32))/sum(filter(
Master_Mapping_Sheet!$E$2:$E$3143, ISNUMBER(
Master_Mapping_Sh"&amp;"eet!$E$2:$E$3143),
Master_Mapping_Sheet!$H$2:$H$3143=Z$1))), 0, sum(filter(
Master_Mapping_Sheet!$E$2:$E$3143, ISNUMBER(
Master_Mapping_Sheet!$E$2:$E$3143),
Master_Mapping_Sheet!$H$2:$H$3143=Z$1,
Master_Mapping_Sheet!$B$2:$B$3143=$A32))/sum(filter(
Master"&amp;"_Mapping_Sheet!$E$2:$E$3143, ISNUMBER(
Master_Mapping_Sheet!$E$2:$E$3143),
Master_Mapping_Sheet!$H$2:$H$3143=Z$1)))"),0.0)</f>
        <v>0</v>
      </c>
      <c r="AA32" s="34">
        <f>IFERROR(__xludf.DUMMYFUNCTION("IF(ISNA(sum(filter(
Master_Mapping_Sheet!$E$2:$E$3143, ISNUMBER(
Master_Mapping_Sheet!$E$2:$E$3143),
Master_Mapping_Sheet!$H$2:$H$3143=AA$1,
Master_Mapping_Sheet!$B$2:$B$3143=$A32))/sum(filter(
Master_Mapping_Sheet!$E$2:$E$3143, ISNUMBER(
Master_Mapping_S"&amp;"heet!$E$2:$E$3143),
Master_Mapping_Sheet!$H$2:$H$3143=AA$1))), 0, sum(filter(
Master_Mapping_Sheet!$E$2:$E$3143, ISNUMBER(
Master_Mapping_Sheet!$E$2:$E$3143),
Master_Mapping_Sheet!$H$2:$H$3143=AA$1,
Master_Mapping_Sheet!$B$2:$B$3143=$A32))/sum(filter(
Mas"&amp;"ter_Mapping_Sheet!$E$2:$E$3143, ISNUMBER(
Master_Mapping_Sheet!$E$2:$E$3143),
Master_Mapping_Sheet!$H$2:$H$3143=AA$1)))"),0.0)</f>
        <v>0</v>
      </c>
    </row>
    <row r="33" ht="15.75" customHeight="1">
      <c r="A33" s="34" t="s">
        <v>1271</v>
      </c>
      <c r="B33" s="34" t="s">
        <v>3143</v>
      </c>
      <c r="C33" s="34">
        <f>IFERROR(__xludf.DUMMYFUNCTION("IF(ISNA(sum(filter(
Master_Mapping_Sheet!$E$2:$E$3143, ISNUMBER(
Master_Mapping_Sheet!$E$2:$E$3143),
Master_Mapping_Sheet!$H$2:$H$3143=C$1,
Master_Mapping_Sheet!$B$2:$B$3143=$A33))/sum(filter(
Master_Mapping_Sheet!$E$2:$E$3143, ISNUMBER(
Master_Mapping_Sh"&amp;"eet!$E$2:$E$3143),
Master_Mapping_Sheet!$H$2:$H$3143=C$1))), 0, sum(filter(
Master_Mapping_Sheet!$E$2:$E$3143, ISNUMBER(
Master_Mapping_Sheet!$E$2:$E$3143),
Master_Mapping_Sheet!$H$2:$H$3143=C$1,
Master_Mapping_Sheet!$B$2:$B$3143=$A33))/sum(filter(
Master"&amp;"_Mapping_Sheet!$E$2:$E$3143, ISNUMBER(
Master_Mapping_Sheet!$E$2:$E$3143),
Master_Mapping_Sheet!$H$2:$H$3143=C$1)))"),0.0)</f>
        <v>0</v>
      </c>
      <c r="D33" s="34">
        <f>IFERROR(__xludf.DUMMYFUNCTION("IF(ISNA(sum(filter(
Master_Mapping_Sheet!$E$2:$E$3143, ISNUMBER(
Master_Mapping_Sheet!$E$2:$E$3143),
Master_Mapping_Sheet!$H$2:$H$3143=D$1,
Master_Mapping_Sheet!$B$2:$B$3143=$A33))/sum(filter(
Master_Mapping_Sheet!$E$2:$E$3143, ISNUMBER(
Master_Mapping_Sh"&amp;"eet!$E$2:$E$3143),
Master_Mapping_Sheet!$H$2:$H$3143=D$1))), 0, sum(filter(
Master_Mapping_Sheet!$E$2:$E$3143, ISNUMBER(
Master_Mapping_Sheet!$E$2:$E$3143),
Master_Mapping_Sheet!$H$2:$H$3143=D$1,
Master_Mapping_Sheet!$B$2:$B$3143=$A33))/sum(filter(
Master"&amp;"_Mapping_Sheet!$E$2:$E$3143, ISNUMBER(
Master_Mapping_Sheet!$E$2:$E$3143),
Master_Mapping_Sheet!$H$2:$H$3143=D$1)))"),0.0)</f>
        <v>0</v>
      </c>
      <c r="E33" s="32">
        <f>IFERROR(__xludf.DUMMYFUNCTION("IF(ISNA(sum(filter(
Master_Mapping_Sheet!$E$2:$E$3143, ISNUMBER(
Master_Mapping_Sheet!$E$2:$E$3143),
Master_Mapping_Sheet!$H$2:$H$3143=E$1,
Master_Mapping_Sheet!$B$2:$B$3143=$A33))/sum(filter(
Master_Mapping_Sheet!$E$2:$E$3143, ISNUMBER(
Master_Mapping_Sh"&amp;"eet!$E$2:$E$3143),
Master_Mapping_Sheet!$H$2:$H$3143=E$1))), 0, sum(filter(
Master_Mapping_Sheet!$E$2:$E$3143, ISNUMBER(
Master_Mapping_Sheet!$E$2:$E$3143),
Master_Mapping_Sheet!$H$2:$H$3143=E$1,
Master_Mapping_Sheet!$B$2:$B$3143=$A33))/sum(filter(
Master"&amp;"_Mapping_Sheet!$E$2:$E$3143, ISNUMBER(
Master_Mapping_Sheet!$E$2:$E$3143),
Master_Mapping_Sheet!$H$2:$H$3143=E$1)))"),0.0)</f>
        <v>0</v>
      </c>
      <c r="F33" s="34">
        <f>IFERROR(__xludf.DUMMYFUNCTION("IF(ISNA(sum(filter(
Master_Mapping_Sheet!$E$2:$E$3143, ISNUMBER(
Master_Mapping_Sheet!$E$2:$E$3143),
Master_Mapping_Sheet!$H$2:$H$3143=F$1,
Master_Mapping_Sheet!$B$2:$B$3143=$A33))/sum(filter(
Master_Mapping_Sheet!$E$2:$E$3143, ISNUMBER(
Master_Mapping_Sh"&amp;"eet!$E$2:$E$3143),
Master_Mapping_Sheet!$H$2:$H$3143=F$1))), 0, sum(filter(
Master_Mapping_Sheet!$E$2:$E$3143, ISNUMBER(
Master_Mapping_Sheet!$E$2:$E$3143),
Master_Mapping_Sheet!$H$2:$H$3143=F$1,
Master_Mapping_Sheet!$B$2:$B$3143=$A33))/sum(filter(
Master"&amp;"_Mapping_Sheet!$E$2:$E$3143, ISNUMBER(
Master_Mapping_Sheet!$E$2:$E$3143),
Master_Mapping_Sheet!$H$2:$H$3143=F$1)))"),0.0)</f>
        <v>0</v>
      </c>
      <c r="G33" s="34">
        <f>IFERROR(__xludf.DUMMYFUNCTION("IF(ISNA(sum(filter(
Master_Mapping_Sheet!$E$2:$E$3143, ISNUMBER(
Master_Mapping_Sheet!$E$2:$E$3143),
Master_Mapping_Sheet!$H$2:$H$3143=G$1,
Master_Mapping_Sheet!$B$2:$B$3143=$A33))/sum(filter(
Master_Mapping_Sheet!$E$2:$E$3143, ISNUMBER(
Master_Mapping_Sh"&amp;"eet!$E$2:$E$3143),
Master_Mapping_Sheet!$H$2:$H$3143=G$1))), 0, sum(filter(
Master_Mapping_Sheet!$E$2:$E$3143, ISNUMBER(
Master_Mapping_Sheet!$E$2:$E$3143),
Master_Mapping_Sheet!$H$2:$H$3143=G$1,
Master_Mapping_Sheet!$B$2:$B$3143=$A33))/sum(filter(
Master"&amp;"_Mapping_Sheet!$E$2:$E$3143, ISNUMBER(
Master_Mapping_Sheet!$E$2:$E$3143),
Master_Mapping_Sheet!$H$2:$H$3143=G$1)))"),0.0)</f>
        <v>0</v>
      </c>
      <c r="H33" s="34">
        <f>IFERROR(__xludf.DUMMYFUNCTION("IF(ISNA(sum(filter(
Master_Mapping_Sheet!$E$2:$E$3143, ISNUMBER(
Master_Mapping_Sheet!$E$2:$E$3143),
Master_Mapping_Sheet!$H$2:$H$3143=H$1,
Master_Mapping_Sheet!$B$2:$B$3143=$A33))/sum(filter(
Master_Mapping_Sheet!$E$2:$E$3143, ISNUMBER(
Master_Mapping_Sh"&amp;"eet!$E$2:$E$3143),
Master_Mapping_Sheet!$H$2:$H$3143=H$1))), 0, sum(filter(
Master_Mapping_Sheet!$E$2:$E$3143, ISNUMBER(
Master_Mapping_Sheet!$E$2:$E$3143),
Master_Mapping_Sheet!$H$2:$H$3143=H$1,
Master_Mapping_Sheet!$B$2:$B$3143=$A33))/sum(filter(
Master"&amp;"_Mapping_Sheet!$E$2:$E$3143, ISNUMBER(
Master_Mapping_Sheet!$E$2:$E$3143),
Master_Mapping_Sheet!$H$2:$H$3143=H$1)))"),0.0)</f>
        <v>0</v>
      </c>
      <c r="I33" s="34">
        <f>IFERROR(__xludf.DUMMYFUNCTION("IF(ISNA(sum(filter(
Master_Mapping_Sheet!$E$2:$E$3143, ISNUMBER(
Master_Mapping_Sheet!$E$2:$E$3143),
Master_Mapping_Sheet!$H$2:$H$3143=I$1,
Master_Mapping_Sheet!$B$2:$B$3143=$A33))/sum(filter(
Master_Mapping_Sheet!$E$2:$E$3143, ISNUMBER(
Master_Mapping_Sh"&amp;"eet!$E$2:$E$3143),
Master_Mapping_Sheet!$H$2:$H$3143=I$1))), 0, sum(filter(
Master_Mapping_Sheet!$E$2:$E$3143, ISNUMBER(
Master_Mapping_Sheet!$E$2:$E$3143),
Master_Mapping_Sheet!$H$2:$H$3143=I$1,
Master_Mapping_Sheet!$B$2:$B$3143=$A33))/sum(filter(
Master"&amp;"_Mapping_Sheet!$E$2:$E$3143, ISNUMBER(
Master_Mapping_Sheet!$E$2:$E$3143),
Master_Mapping_Sheet!$H$2:$H$3143=I$1)))"),0.0)</f>
        <v>0</v>
      </c>
      <c r="J33" s="34">
        <f>IFERROR(__xludf.DUMMYFUNCTION("IF(ISNA(sum(filter(
Master_Mapping_Sheet!$E$2:$E$3143, ISNUMBER(
Master_Mapping_Sheet!$E$2:$E$3143),
Master_Mapping_Sheet!$H$2:$H$3143=J$1,
Master_Mapping_Sheet!$B$2:$B$3143=$A33))/sum(filter(
Master_Mapping_Sheet!$E$2:$E$3143, ISNUMBER(
Master_Mapping_Sh"&amp;"eet!$E$2:$E$3143),
Master_Mapping_Sheet!$H$2:$H$3143=J$1))), 0, sum(filter(
Master_Mapping_Sheet!$E$2:$E$3143, ISNUMBER(
Master_Mapping_Sheet!$E$2:$E$3143),
Master_Mapping_Sheet!$H$2:$H$3143=J$1,
Master_Mapping_Sheet!$B$2:$B$3143=$A33))/sum(filter(
Master"&amp;"_Mapping_Sheet!$E$2:$E$3143, ISNUMBER(
Master_Mapping_Sheet!$E$2:$E$3143),
Master_Mapping_Sheet!$H$2:$H$3143=J$1)))"),0.0)</f>
        <v>0</v>
      </c>
      <c r="K33" s="34">
        <f>IFERROR(__xludf.DUMMYFUNCTION("IF(ISNA(sum(filter(
Master_Mapping_Sheet!$E$2:$E$3143, ISNUMBER(
Master_Mapping_Sheet!$E$2:$E$3143),
Master_Mapping_Sheet!$H$2:$H$3143=K$1,
Master_Mapping_Sheet!$B$2:$B$3143=$A33))/sum(filter(
Master_Mapping_Sheet!$E$2:$E$3143, ISNUMBER(
Master_Mapping_Sh"&amp;"eet!$E$2:$E$3143),
Master_Mapping_Sheet!$H$2:$H$3143=K$1))), 0, sum(filter(
Master_Mapping_Sheet!$E$2:$E$3143, ISNUMBER(
Master_Mapping_Sheet!$E$2:$E$3143),
Master_Mapping_Sheet!$H$2:$H$3143=K$1,
Master_Mapping_Sheet!$B$2:$B$3143=$A33))/sum(filter(
Master"&amp;"_Mapping_Sheet!$E$2:$E$3143, ISNUMBER(
Master_Mapping_Sheet!$E$2:$E$3143),
Master_Mapping_Sheet!$H$2:$H$3143=K$1)))"),0.0)</f>
        <v>0</v>
      </c>
      <c r="L33" s="34">
        <f>IFERROR(__xludf.DUMMYFUNCTION("IF(ISNA(sum(filter(
Master_Mapping_Sheet!$E$2:$E$3143, ISNUMBER(
Master_Mapping_Sheet!$E$2:$E$3143),
Master_Mapping_Sheet!$H$2:$H$3143=L$1,
Master_Mapping_Sheet!$B$2:$B$3143=$A33))/sum(filter(
Master_Mapping_Sheet!$E$2:$E$3143, ISNUMBER(
Master_Mapping_Sh"&amp;"eet!$E$2:$E$3143),
Master_Mapping_Sheet!$H$2:$H$3143=L$1))), 0, sum(filter(
Master_Mapping_Sheet!$E$2:$E$3143, ISNUMBER(
Master_Mapping_Sheet!$E$2:$E$3143),
Master_Mapping_Sheet!$H$2:$H$3143=L$1,
Master_Mapping_Sheet!$B$2:$B$3143=$A33))/sum(filter(
Master"&amp;"_Mapping_Sheet!$E$2:$E$3143, ISNUMBER(
Master_Mapping_Sheet!$E$2:$E$3143),
Master_Mapping_Sheet!$H$2:$H$3143=L$1)))"),0.0)</f>
        <v>0</v>
      </c>
      <c r="M33" s="34">
        <f>IFERROR(__xludf.DUMMYFUNCTION("IF(ISNA(sum(filter(
Master_Mapping_Sheet!$E$2:$E$3143, ISNUMBER(
Master_Mapping_Sheet!$E$2:$E$3143),
Master_Mapping_Sheet!$H$2:$H$3143=M$1,
Master_Mapping_Sheet!$B$2:$B$3143=$A33))/sum(filter(
Master_Mapping_Sheet!$E$2:$E$3143, ISNUMBER(
Master_Mapping_Sh"&amp;"eet!$E$2:$E$3143),
Master_Mapping_Sheet!$H$2:$H$3143=M$1))), 0, sum(filter(
Master_Mapping_Sheet!$E$2:$E$3143, ISNUMBER(
Master_Mapping_Sheet!$E$2:$E$3143),
Master_Mapping_Sheet!$H$2:$H$3143=M$1,
Master_Mapping_Sheet!$B$2:$B$3143=$A33))/sum(filter(
Master"&amp;"_Mapping_Sheet!$E$2:$E$3143, ISNUMBER(
Master_Mapping_Sheet!$E$2:$E$3143),
Master_Mapping_Sheet!$H$2:$H$3143=M$1)))"),0.0)</f>
        <v>0</v>
      </c>
      <c r="N33" s="34">
        <f>IFERROR(__xludf.DUMMYFUNCTION("IF(ISNA(sum(filter(
Master_Mapping_Sheet!$E$2:$E$3143, ISNUMBER(
Master_Mapping_Sheet!$E$2:$E$3143),
Master_Mapping_Sheet!$H$2:$H$3143=N$1,
Master_Mapping_Sheet!$B$2:$B$3143=$A33))/sum(filter(
Master_Mapping_Sheet!$E$2:$E$3143, ISNUMBER(
Master_Mapping_Sh"&amp;"eet!$E$2:$E$3143),
Master_Mapping_Sheet!$H$2:$H$3143=N$1))), 0, sum(filter(
Master_Mapping_Sheet!$E$2:$E$3143, ISNUMBER(
Master_Mapping_Sheet!$E$2:$E$3143),
Master_Mapping_Sheet!$H$2:$H$3143=N$1,
Master_Mapping_Sheet!$B$2:$B$3143=$A33))/sum(filter(
Master"&amp;"_Mapping_Sheet!$E$2:$E$3143, ISNUMBER(
Master_Mapping_Sheet!$E$2:$E$3143),
Master_Mapping_Sheet!$H$2:$H$3143=N$1)))"),0.0)</f>
        <v>0</v>
      </c>
      <c r="O33" s="34">
        <f>IFERROR(__xludf.DUMMYFUNCTION("IF(ISNA(sum(filter(
Master_Mapping_Sheet!$E$2:$E$3143, ISNUMBER(
Master_Mapping_Sheet!$E$2:$E$3143),
Master_Mapping_Sheet!$H$2:$H$3143=O$1,
Master_Mapping_Sheet!$B$2:$B$3143=$A33))/sum(filter(
Master_Mapping_Sheet!$E$2:$E$3143, ISNUMBER(
Master_Mapping_Sh"&amp;"eet!$E$2:$E$3143),
Master_Mapping_Sheet!$H$2:$H$3143=O$1))), 0, sum(filter(
Master_Mapping_Sheet!$E$2:$E$3143, ISNUMBER(
Master_Mapping_Sheet!$E$2:$E$3143),
Master_Mapping_Sheet!$H$2:$H$3143=O$1,
Master_Mapping_Sheet!$B$2:$B$3143=$A33))/sum(filter(
Master"&amp;"_Mapping_Sheet!$E$2:$E$3143, ISNUMBER(
Master_Mapping_Sheet!$E$2:$E$3143),
Master_Mapping_Sheet!$H$2:$H$3143=O$1)))"),0.0)</f>
        <v>0</v>
      </c>
      <c r="P33" s="34">
        <f>IFERROR(__xludf.DUMMYFUNCTION("IF(ISNA(sum(filter(
Master_Mapping_Sheet!$E$2:$E$3143, ISNUMBER(
Master_Mapping_Sheet!$E$2:$E$3143),
Master_Mapping_Sheet!$H$2:$H$3143=P$1,
Master_Mapping_Sheet!$B$2:$B$3143=$A33))/sum(filter(
Master_Mapping_Sheet!$E$2:$E$3143, ISNUMBER(
Master_Mapping_Sh"&amp;"eet!$E$2:$E$3143),
Master_Mapping_Sheet!$H$2:$H$3143=P$1))), 0, sum(filter(
Master_Mapping_Sheet!$E$2:$E$3143, ISNUMBER(
Master_Mapping_Sheet!$E$2:$E$3143),
Master_Mapping_Sheet!$H$2:$H$3143=P$1,
Master_Mapping_Sheet!$B$2:$B$3143=$A33))/sum(filter(
Master"&amp;"_Mapping_Sheet!$E$2:$E$3143, ISNUMBER(
Master_Mapping_Sheet!$E$2:$E$3143),
Master_Mapping_Sheet!$H$2:$H$3143=P$1)))"),0.0)</f>
        <v>0</v>
      </c>
      <c r="Q33" s="34">
        <f>IFERROR(__xludf.DUMMYFUNCTION("IF(ISNA(sum(filter(
Master_Mapping_Sheet!$E$2:$E$3143, ISNUMBER(
Master_Mapping_Sheet!$E$2:$E$3143),
Master_Mapping_Sheet!$H$2:$H$3143=Q$1,
Master_Mapping_Sheet!$B$2:$B$3143=$A33))/sum(filter(
Master_Mapping_Sheet!$E$2:$E$3143, ISNUMBER(
Master_Mapping_Sh"&amp;"eet!$E$2:$E$3143),
Master_Mapping_Sheet!$H$2:$H$3143=Q$1))), 0, sum(filter(
Master_Mapping_Sheet!$E$2:$E$3143, ISNUMBER(
Master_Mapping_Sheet!$E$2:$E$3143),
Master_Mapping_Sheet!$H$2:$H$3143=Q$1,
Master_Mapping_Sheet!$B$2:$B$3143=$A33))/sum(filter(
Master"&amp;"_Mapping_Sheet!$E$2:$E$3143, ISNUMBER(
Master_Mapping_Sheet!$E$2:$E$3143),
Master_Mapping_Sheet!$H$2:$H$3143=Q$1)))"),0.0)</f>
        <v>0</v>
      </c>
      <c r="R33" s="34">
        <f>IFERROR(__xludf.DUMMYFUNCTION("IF(ISNA(sum(filter(
Master_Mapping_Sheet!$E$2:$E$3143, ISNUMBER(
Master_Mapping_Sheet!$E$2:$E$3143),
Master_Mapping_Sheet!$H$2:$H$3143=R$1,
Master_Mapping_Sheet!$B$2:$B$3143=$A33))/sum(filter(
Master_Mapping_Sheet!$E$2:$E$3143, ISNUMBER(
Master_Mapping_Sh"&amp;"eet!$E$2:$E$3143),
Master_Mapping_Sheet!$H$2:$H$3143=R$1))), 0, sum(filter(
Master_Mapping_Sheet!$E$2:$E$3143, ISNUMBER(
Master_Mapping_Sheet!$E$2:$E$3143),
Master_Mapping_Sheet!$H$2:$H$3143=R$1,
Master_Mapping_Sheet!$B$2:$B$3143=$A33))/sum(filter(
Master"&amp;"_Mapping_Sheet!$E$2:$E$3143, ISNUMBER(
Master_Mapping_Sheet!$E$2:$E$3143),
Master_Mapping_Sheet!$H$2:$H$3143=R$1)))"),0.0)</f>
        <v>0</v>
      </c>
      <c r="S33" s="34">
        <f>IFERROR(__xludf.DUMMYFUNCTION("IF(ISNA(sum(filter(
Master_Mapping_Sheet!$E$2:$E$3143, ISNUMBER(
Master_Mapping_Sheet!$E$2:$E$3143),
Master_Mapping_Sheet!$H$2:$H$3143=S$1,
Master_Mapping_Sheet!$B$2:$B$3143=$A33))/sum(filter(
Master_Mapping_Sheet!$E$2:$E$3143, ISNUMBER(
Master_Mapping_Sh"&amp;"eet!$E$2:$E$3143),
Master_Mapping_Sheet!$H$2:$H$3143=S$1))), 0, sum(filter(
Master_Mapping_Sheet!$E$2:$E$3143, ISNUMBER(
Master_Mapping_Sheet!$E$2:$E$3143),
Master_Mapping_Sheet!$H$2:$H$3143=S$1,
Master_Mapping_Sheet!$B$2:$B$3143=$A33))/sum(filter(
Master"&amp;"_Mapping_Sheet!$E$2:$E$3143, ISNUMBER(
Master_Mapping_Sheet!$E$2:$E$3143),
Master_Mapping_Sheet!$H$2:$H$3143=S$1)))"),0.03510694432275086)</f>
        <v>0.03510694432</v>
      </c>
      <c r="T33" s="34">
        <f>IFERROR(__xludf.DUMMYFUNCTION("IF(ISNA(sum(filter(
Master_Mapping_Sheet!$E$2:$E$3143, ISNUMBER(
Master_Mapping_Sheet!$E$2:$E$3143),
Master_Mapping_Sheet!$H$2:$H$3143=T$1,
Master_Mapping_Sheet!$B$2:$B$3143=$A33))/sum(filter(
Master_Mapping_Sheet!$E$2:$E$3143, ISNUMBER(
Master_Mapping_Sh"&amp;"eet!$E$2:$E$3143),
Master_Mapping_Sheet!$H$2:$H$3143=T$1))), 0, sum(filter(
Master_Mapping_Sheet!$E$2:$E$3143, ISNUMBER(
Master_Mapping_Sheet!$E$2:$E$3143),
Master_Mapping_Sheet!$H$2:$H$3143=T$1,
Master_Mapping_Sheet!$B$2:$B$3143=$A33))/sum(filter(
Master"&amp;"_Mapping_Sheet!$E$2:$E$3143, ISNUMBER(
Master_Mapping_Sheet!$E$2:$E$3143),
Master_Mapping_Sheet!$H$2:$H$3143=T$1)))"),0.0)</f>
        <v>0</v>
      </c>
      <c r="U33" s="34">
        <f>IFERROR(__xludf.DUMMYFUNCTION("IF(ISNA(sum(filter(
Master_Mapping_Sheet!$E$2:$E$3143, ISNUMBER(
Master_Mapping_Sheet!$E$2:$E$3143),
Master_Mapping_Sheet!$H$2:$H$3143=U$1,
Master_Mapping_Sheet!$B$2:$B$3143=$A33))/sum(filter(
Master_Mapping_Sheet!$E$2:$E$3143, ISNUMBER(
Master_Mapping_Sh"&amp;"eet!$E$2:$E$3143),
Master_Mapping_Sheet!$H$2:$H$3143=U$1))), 0, sum(filter(
Master_Mapping_Sheet!$E$2:$E$3143, ISNUMBER(
Master_Mapping_Sheet!$E$2:$E$3143),
Master_Mapping_Sheet!$H$2:$H$3143=U$1,
Master_Mapping_Sheet!$B$2:$B$3143=$A33))/sum(filter(
Master"&amp;"_Mapping_Sheet!$E$2:$E$3143, ISNUMBER(
Master_Mapping_Sheet!$E$2:$E$3143),
Master_Mapping_Sheet!$H$2:$H$3143=U$1)))"),0.0)</f>
        <v>0</v>
      </c>
      <c r="V33" s="34">
        <f>IFERROR(__xludf.DUMMYFUNCTION("IF(ISNA(sum(filter(
Master_Mapping_Sheet!$E$2:$E$3143, ISNUMBER(
Master_Mapping_Sheet!$E$2:$E$3143),
Master_Mapping_Sheet!$H$2:$H$3143=V$1,
Master_Mapping_Sheet!$B$2:$B$3143=$A33))/sum(filter(
Master_Mapping_Sheet!$E$2:$E$3143, ISNUMBER(
Master_Mapping_Sh"&amp;"eet!$E$2:$E$3143),
Master_Mapping_Sheet!$H$2:$H$3143=V$1))), 0, sum(filter(
Master_Mapping_Sheet!$E$2:$E$3143, ISNUMBER(
Master_Mapping_Sheet!$E$2:$E$3143),
Master_Mapping_Sheet!$H$2:$H$3143=V$1,
Master_Mapping_Sheet!$B$2:$B$3143=$A33))/sum(filter(
Master"&amp;"_Mapping_Sheet!$E$2:$E$3143, ISNUMBER(
Master_Mapping_Sheet!$E$2:$E$3143),
Master_Mapping_Sheet!$H$2:$H$3143=V$1)))"),0.1688296979750704)</f>
        <v>0.168829698</v>
      </c>
      <c r="W33" s="34">
        <f>IFERROR(__xludf.DUMMYFUNCTION("IF(ISNA(sum(filter(
Master_Mapping_Sheet!$E$2:$E$3143, ISNUMBER(
Master_Mapping_Sheet!$E$2:$E$3143),
Master_Mapping_Sheet!$H$2:$H$3143=W$1,
Master_Mapping_Sheet!$B$2:$B$3143=$A33))/sum(filter(
Master_Mapping_Sheet!$E$2:$E$3143, ISNUMBER(
Master_Mapping_Sh"&amp;"eet!$E$2:$E$3143),
Master_Mapping_Sheet!$H$2:$H$3143=W$1))), 0, sum(filter(
Master_Mapping_Sheet!$E$2:$E$3143, ISNUMBER(
Master_Mapping_Sheet!$E$2:$E$3143),
Master_Mapping_Sheet!$H$2:$H$3143=W$1,
Master_Mapping_Sheet!$B$2:$B$3143=$A33))/sum(filter(
Master"&amp;"_Mapping_Sheet!$E$2:$E$3143, ISNUMBER(
Master_Mapping_Sheet!$E$2:$E$3143),
Master_Mapping_Sheet!$H$2:$H$3143=W$1)))"),0.0)</f>
        <v>0</v>
      </c>
      <c r="X33" s="34">
        <f>IFERROR(__xludf.DUMMYFUNCTION("IF(ISNA(sum(filter(
Master_Mapping_Sheet!$E$2:$E$3143, ISNUMBER(
Master_Mapping_Sheet!$E$2:$E$3143),
Master_Mapping_Sheet!$H$2:$H$3143=X$1,
Master_Mapping_Sheet!$B$2:$B$3143=$A33))/sum(filter(
Master_Mapping_Sheet!$E$2:$E$3143, ISNUMBER(
Master_Mapping_Sh"&amp;"eet!$E$2:$E$3143),
Master_Mapping_Sheet!$H$2:$H$3143=X$1))), 0, sum(filter(
Master_Mapping_Sheet!$E$2:$E$3143, ISNUMBER(
Master_Mapping_Sheet!$E$2:$E$3143),
Master_Mapping_Sheet!$H$2:$H$3143=X$1,
Master_Mapping_Sheet!$B$2:$B$3143=$A33))/sum(filter(
Master"&amp;"_Mapping_Sheet!$E$2:$E$3143, ISNUMBER(
Master_Mapping_Sheet!$E$2:$E$3143),
Master_Mapping_Sheet!$H$2:$H$3143=X$1)))"),0.0)</f>
        <v>0</v>
      </c>
      <c r="Y33" s="34">
        <f>IFERROR(__xludf.DUMMYFUNCTION("IF(ISNA(sum(filter(
Master_Mapping_Sheet!$E$2:$E$3143, ISNUMBER(
Master_Mapping_Sheet!$E$2:$E$3143),
Master_Mapping_Sheet!$H$2:$H$3143=Y$1,
Master_Mapping_Sheet!$B$2:$B$3143=$A33))/sum(filter(
Master_Mapping_Sheet!$E$2:$E$3143, ISNUMBER(
Master_Mapping_Sh"&amp;"eet!$E$2:$E$3143),
Master_Mapping_Sheet!$H$2:$H$3143=Y$1))), 0, sum(filter(
Master_Mapping_Sheet!$E$2:$E$3143, ISNUMBER(
Master_Mapping_Sheet!$E$2:$E$3143),
Master_Mapping_Sheet!$H$2:$H$3143=Y$1,
Master_Mapping_Sheet!$B$2:$B$3143=$A33))/sum(filter(
Master"&amp;"_Mapping_Sheet!$E$2:$E$3143, ISNUMBER(
Master_Mapping_Sheet!$E$2:$E$3143),
Master_Mapping_Sheet!$H$2:$H$3143=Y$1)))"),0.0)</f>
        <v>0</v>
      </c>
      <c r="Z33" s="34">
        <f>IFERROR(__xludf.DUMMYFUNCTION("IF(ISNA(sum(filter(
Master_Mapping_Sheet!$E$2:$E$3143, ISNUMBER(
Master_Mapping_Sheet!$E$2:$E$3143),
Master_Mapping_Sheet!$H$2:$H$3143=Z$1,
Master_Mapping_Sheet!$B$2:$B$3143=$A33))/sum(filter(
Master_Mapping_Sheet!$E$2:$E$3143, ISNUMBER(
Master_Mapping_Sh"&amp;"eet!$E$2:$E$3143),
Master_Mapping_Sheet!$H$2:$H$3143=Z$1))), 0, sum(filter(
Master_Mapping_Sheet!$E$2:$E$3143, ISNUMBER(
Master_Mapping_Sheet!$E$2:$E$3143),
Master_Mapping_Sheet!$H$2:$H$3143=Z$1,
Master_Mapping_Sheet!$B$2:$B$3143=$A33))/sum(filter(
Master"&amp;"_Mapping_Sheet!$E$2:$E$3143, ISNUMBER(
Master_Mapping_Sheet!$E$2:$E$3143),
Master_Mapping_Sheet!$H$2:$H$3143=Z$1)))"),0.0189851910003823)</f>
        <v>0.018985191</v>
      </c>
      <c r="AA33" s="34">
        <f>IFERROR(__xludf.DUMMYFUNCTION("IF(ISNA(sum(filter(
Master_Mapping_Sheet!$E$2:$E$3143, ISNUMBER(
Master_Mapping_Sheet!$E$2:$E$3143),
Master_Mapping_Sheet!$H$2:$H$3143=AA$1,
Master_Mapping_Sheet!$B$2:$B$3143=$A33))/sum(filter(
Master_Mapping_Sheet!$E$2:$E$3143, ISNUMBER(
Master_Mapping_S"&amp;"heet!$E$2:$E$3143),
Master_Mapping_Sheet!$H$2:$H$3143=AA$1))), 0, sum(filter(
Master_Mapping_Sheet!$E$2:$E$3143, ISNUMBER(
Master_Mapping_Sheet!$E$2:$E$3143),
Master_Mapping_Sheet!$H$2:$H$3143=AA$1,
Master_Mapping_Sheet!$B$2:$B$3143=$A33))/sum(filter(
Mas"&amp;"ter_Mapping_Sheet!$E$2:$E$3143, ISNUMBER(
Master_Mapping_Sheet!$E$2:$E$3143),
Master_Mapping_Sheet!$H$2:$H$3143=AA$1)))"),0.0)</f>
        <v>0</v>
      </c>
    </row>
    <row r="34" ht="15.75" customHeight="1">
      <c r="A34" s="34" t="s">
        <v>1296</v>
      </c>
      <c r="B34" s="34" t="s">
        <v>3168</v>
      </c>
      <c r="C34" s="34">
        <f>IFERROR(__xludf.DUMMYFUNCTION("IF(ISNA(sum(filter(
Master_Mapping_Sheet!$E$2:$E$3143, ISNUMBER(
Master_Mapping_Sheet!$E$2:$E$3143),
Master_Mapping_Sheet!$H$2:$H$3143=C$1,
Master_Mapping_Sheet!$B$2:$B$3143=$A34))/sum(filter(
Master_Mapping_Sheet!$E$2:$E$3143, ISNUMBER(
Master_Mapping_Sh"&amp;"eet!$E$2:$E$3143),
Master_Mapping_Sheet!$H$2:$H$3143=C$1))), 0, sum(filter(
Master_Mapping_Sheet!$E$2:$E$3143, ISNUMBER(
Master_Mapping_Sheet!$E$2:$E$3143),
Master_Mapping_Sheet!$H$2:$H$3143=C$1,
Master_Mapping_Sheet!$B$2:$B$3143=$A34))/sum(filter(
Master"&amp;"_Mapping_Sheet!$E$2:$E$3143, ISNUMBER(
Master_Mapping_Sheet!$E$2:$E$3143),
Master_Mapping_Sheet!$H$2:$H$3143=C$1)))"),0.0)</f>
        <v>0</v>
      </c>
      <c r="D34" s="34">
        <f>IFERROR(__xludf.DUMMYFUNCTION("IF(ISNA(sum(filter(
Master_Mapping_Sheet!$E$2:$E$3143, ISNUMBER(
Master_Mapping_Sheet!$E$2:$E$3143),
Master_Mapping_Sheet!$H$2:$H$3143=D$1,
Master_Mapping_Sheet!$B$2:$B$3143=$A34))/sum(filter(
Master_Mapping_Sheet!$E$2:$E$3143, ISNUMBER(
Master_Mapping_Sh"&amp;"eet!$E$2:$E$3143),
Master_Mapping_Sheet!$H$2:$H$3143=D$1))), 0, sum(filter(
Master_Mapping_Sheet!$E$2:$E$3143, ISNUMBER(
Master_Mapping_Sheet!$E$2:$E$3143),
Master_Mapping_Sheet!$H$2:$H$3143=D$1,
Master_Mapping_Sheet!$B$2:$B$3143=$A34))/sum(filter(
Master"&amp;"_Mapping_Sheet!$E$2:$E$3143, ISNUMBER(
Master_Mapping_Sheet!$E$2:$E$3143),
Master_Mapping_Sheet!$H$2:$H$3143=D$1)))"),0.0)</f>
        <v>0</v>
      </c>
      <c r="E34" s="32">
        <f>IFERROR(__xludf.DUMMYFUNCTION("IF(ISNA(sum(filter(
Master_Mapping_Sheet!$E$2:$E$3143, ISNUMBER(
Master_Mapping_Sheet!$E$2:$E$3143),
Master_Mapping_Sheet!$H$2:$H$3143=E$1,
Master_Mapping_Sheet!$B$2:$B$3143=$A34))/sum(filter(
Master_Mapping_Sheet!$E$2:$E$3143, ISNUMBER(
Master_Mapping_Sh"&amp;"eet!$E$2:$E$3143),
Master_Mapping_Sheet!$H$2:$H$3143=E$1))), 0, sum(filter(
Master_Mapping_Sheet!$E$2:$E$3143, ISNUMBER(
Master_Mapping_Sheet!$E$2:$E$3143),
Master_Mapping_Sheet!$H$2:$H$3143=E$1,
Master_Mapping_Sheet!$B$2:$B$3143=$A34))/sum(filter(
Master"&amp;"_Mapping_Sheet!$E$2:$E$3143, ISNUMBER(
Master_Mapping_Sheet!$E$2:$E$3143),
Master_Mapping_Sheet!$H$2:$H$3143=E$1)))"),0.0)</f>
        <v>0</v>
      </c>
      <c r="F34" s="34">
        <f>IFERROR(__xludf.DUMMYFUNCTION("IF(ISNA(sum(filter(
Master_Mapping_Sheet!$E$2:$E$3143, ISNUMBER(
Master_Mapping_Sheet!$E$2:$E$3143),
Master_Mapping_Sheet!$H$2:$H$3143=F$1,
Master_Mapping_Sheet!$B$2:$B$3143=$A34))/sum(filter(
Master_Mapping_Sheet!$E$2:$E$3143, ISNUMBER(
Master_Mapping_Sh"&amp;"eet!$E$2:$E$3143),
Master_Mapping_Sheet!$H$2:$H$3143=F$1))), 0, sum(filter(
Master_Mapping_Sheet!$E$2:$E$3143, ISNUMBER(
Master_Mapping_Sheet!$E$2:$E$3143),
Master_Mapping_Sheet!$H$2:$H$3143=F$1,
Master_Mapping_Sheet!$B$2:$B$3143=$A34))/sum(filter(
Master"&amp;"_Mapping_Sheet!$E$2:$E$3143, ISNUMBER(
Master_Mapping_Sheet!$E$2:$E$3143),
Master_Mapping_Sheet!$H$2:$H$3143=F$1)))"),0.0)</f>
        <v>0</v>
      </c>
      <c r="G34" s="34">
        <f>IFERROR(__xludf.DUMMYFUNCTION("IF(ISNA(sum(filter(
Master_Mapping_Sheet!$E$2:$E$3143, ISNUMBER(
Master_Mapping_Sheet!$E$2:$E$3143),
Master_Mapping_Sheet!$H$2:$H$3143=G$1,
Master_Mapping_Sheet!$B$2:$B$3143=$A34))/sum(filter(
Master_Mapping_Sheet!$E$2:$E$3143, ISNUMBER(
Master_Mapping_Sh"&amp;"eet!$E$2:$E$3143),
Master_Mapping_Sheet!$H$2:$H$3143=G$1))), 0, sum(filter(
Master_Mapping_Sheet!$E$2:$E$3143, ISNUMBER(
Master_Mapping_Sheet!$E$2:$E$3143),
Master_Mapping_Sheet!$H$2:$H$3143=G$1,
Master_Mapping_Sheet!$B$2:$B$3143=$A34))/sum(filter(
Master"&amp;"_Mapping_Sheet!$E$2:$E$3143, ISNUMBER(
Master_Mapping_Sheet!$E$2:$E$3143),
Master_Mapping_Sheet!$H$2:$H$3143=G$1)))"),0.0)</f>
        <v>0</v>
      </c>
      <c r="H34" s="34">
        <f>IFERROR(__xludf.DUMMYFUNCTION("IF(ISNA(sum(filter(
Master_Mapping_Sheet!$E$2:$E$3143, ISNUMBER(
Master_Mapping_Sheet!$E$2:$E$3143),
Master_Mapping_Sheet!$H$2:$H$3143=H$1,
Master_Mapping_Sheet!$B$2:$B$3143=$A34))/sum(filter(
Master_Mapping_Sheet!$E$2:$E$3143, ISNUMBER(
Master_Mapping_Sh"&amp;"eet!$E$2:$E$3143),
Master_Mapping_Sheet!$H$2:$H$3143=H$1))), 0, sum(filter(
Master_Mapping_Sheet!$E$2:$E$3143, ISNUMBER(
Master_Mapping_Sheet!$E$2:$E$3143),
Master_Mapping_Sheet!$H$2:$H$3143=H$1,
Master_Mapping_Sheet!$B$2:$B$3143=$A34))/sum(filter(
Master"&amp;"_Mapping_Sheet!$E$2:$E$3143, ISNUMBER(
Master_Mapping_Sheet!$E$2:$E$3143),
Master_Mapping_Sheet!$H$2:$H$3143=H$1)))"),0.0)</f>
        <v>0</v>
      </c>
      <c r="I34" s="34">
        <f>IFERROR(__xludf.DUMMYFUNCTION("IF(ISNA(sum(filter(
Master_Mapping_Sheet!$E$2:$E$3143, ISNUMBER(
Master_Mapping_Sheet!$E$2:$E$3143),
Master_Mapping_Sheet!$H$2:$H$3143=I$1,
Master_Mapping_Sheet!$B$2:$B$3143=$A34))/sum(filter(
Master_Mapping_Sheet!$E$2:$E$3143, ISNUMBER(
Master_Mapping_Sh"&amp;"eet!$E$2:$E$3143),
Master_Mapping_Sheet!$H$2:$H$3143=I$1))), 0, sum(filter(
Master_Mapping_Sheet!$E$2:$E$3143, ISNUMBER(
Master_Mapping_Sheet!$E$2:$E$3143),
Master_Mapping_Sheet!$H$2:$H$3143=I$1,
Master_Mapping_Sheet!$B$2:$B$3143=$A34))/sum(filter(
Master"&amp;"_Mapping_Sheet!$E$2:$E$3143, ISNUMBER(
Master_Mapping_Sheet!$E$2:$E$3143),
Master_Mapping_Sheet!$H$2:$H$3143=I$1)))"),0.0)</f>
        <v>0</v>
      </c>
      <c r="J34" s="34">
        <f>IFERROR(__xludf.DUMMYFUNCTION("IF(ISNA(sum(filter(
Master_Mapping_Sheet!$E$2:$E$3143, ISNUMBER(
Master_Mapping_Sheet!$E$2:$E$3143),
Master_Mapping_Sheet!$H$2:$H$3143=J$1,
Master_Mapping_Sheet!$B$2:$B$3143=$A34))/sum(filter(
Master_Mapping_Sheet!$E$2:$E$3143, ISNUMBER(
Master_Mapping_Sh"&amp;"eet!$E$2:$E$3143),
Master_Mapping_Sheet!$H$2:$H$3143=J$1))), 0, sum(filter(
Master_Mapping_Sheet!$E$2:$E$3143, ISNUMBER(
Master_Mapping_Sheet!$E$2:$E$3143),
Master_Mapping_Sheet!$H$2:$H$3143=J$1,
Master_Mapping_Sheet!$B$2:$B$3143=$A34))/sum(filter(
Master"&amp;"_Mapping_Sheet!$E$2:$E$3143, ISNUMBER(
Master_Mapping_Sheet!$E$2:$E$3143),
Master_Mapping_Sheet!$H$2:$H$3143=J$1)))"),1.0)</f>
        <v>1</v>
      </c>
      <c r="K34" s="34">
        <f>IFERROR(__xludf.DUMMYFUNCTION("IF(ISNA(sum(filter(
Master_Mapping_Sheet!$E$2:$E$3143, ISNUMBER(
Master_Mapping_Sheet!$E$2:$E$3143),
Master_Mapping_Sheet!$H$2:$H$3143=K$1,
Master_Mapping_Sheet!$B$2:$B$3143=$A34))/sum(filter(
Master_Mapping_Sheet!$E$2:$E$3143, ISNUMBER(
Master_Mapping_Sh"&amp;"eet!$E$2:$E$3143),
Master_Mapping_Sheet!$H$2:$H$3143=K$1))), 0, sum(filter(
Master_Mapping_Sheet!$E$2:$E$3143, ISNUMBER(
Master_Mapping_Sheet!$E$2:$E$3143),
Master_Mapping_Sheet!$H$2:$H$3143=K$1,
Master_Mapping_Sheet!$B$2:$B$3143=$A34))/sum(filter(
Master"&amp;"_Mapping_Sheet!$E$2:$E$3143, ISNUMBER(
Master_Mapping_Sheet!$E$2:$E$3143),
Master_Mapping_Sheet!$H$2:$H$3143=K$1)))"),1.0)</f>
        <v>1</v>
      </c>
      <c r="L34" s="34">
        <f>IFERROR(__xludf.DUMMYFUNCTION("IF(ISNA(sum(filter(
Master_Mapping_Sheet!$E$2:$E$3143, ISNUMBER(
Master_Mapping_Sheet!$E$2:$E$3143),
Master_Mapping_Sheet!$H$2:$H$3143=L$1,
Master_Mapping_Sheet!$B$2:$B$3143=$A34))/sum(filter(
Master_Mapping_Sheet!$E$2:$E$3143, ISNUMBER(
Master_Mapping_Sh"&amp;"eet!$E$2:$E$3143),
Master_Mapping_Sheet!$H$2:$H$3143=L$1))), 0, sum(filter(
Master_Mapping_Sheet!$E$2:$E$3143, ISNUMBER(
Master_Mapping_Sheet!$E$2:$E$3143),
Master_Mapping_Sheet!$H$2:$H$3143=L$1,
Master_Mapping_Sheet!$B$2:$B$3143=$A34))/sum(filter(
Master"&amp;"_Mapping_Sheet!$E$2:$E$3143, ISNUMBER(
Master_Mapping_Sheet!$E$2:$E$3143),
Master_Mapping_Sheet!$H$2:$H$3143=L$1)))"),0.019158493116288575)</f>
        <v>0.01915849312</v>
      </c>
      <c r="M34" s="34">
        <f>IFERROR(__xludf.DUMMYFUNCTION("IF(ISNA(sum(filter(
Master_Mapping_Sheet!$E$2:$E$3143, ISNUMBER(
Master_Mapping_Sheet!$E$2:$E$3143),
Master_Mapping_Sheet!$H$2:$H$3143=M$1,
Master_Mapping_Sheet!$B$2:$B$3143=$A34))/sum(filter(
Master_Mapping_Sheet!$E$2:$E$3143, ISNUMBER(
Master_Mapping_Sh"&amp;"eet!$E$2:$E$3143),
Master_Mapping_Sheet!$H$2:$H$3143=M$1))), 0, sum(filter(
Master_Mapping_Sheet!$E$2:$E$3143, ISNUMBER(
Master_Mapping_Sheet!$E$2:$E$3143),
Master_Mapping_Sheet!$H$2:$H$3143=M$1,
Master_Mapping_Sheet!$B$2:$B$3143=$A34))/sum(filter(
Master"&amp;"_Mapping_Sheet!$E$2:$E$3143, ISNUMBER(
Master_Mapping_Sheet!$E$2:$E$3143),
Master_Mapping_Sheet!$H$2:$H$3143=M$1)))"),0.0)</f>
        <v>0</v>
      </c>
      <c r="N34" s="34">
        <f>IFERROR(__xludf.DUMMYFUNCTION("IF(ISNA(sum(filter(
Master_Mapping_Sheet!$E$2:$E$3143, ISNUMBER(
Master_Mapping_Sheet!$E$2:$E$3143),
Master_Mapping_Sheet!$H$2:$H$3143=N$1,
Master_Mapping_Sheet!$B$2:$B$3143=$A34))/sum(filter(
Master_Mapping_Sheet!$E$2:$E$3143, ISNUMBER(
Master_Mapping_Sh"&amp;"eet!$E$2:$E$3143),
Master_Mapping_Sheet!$H$2:$H$3143=N$1))), 0, sum(filter(
Master_Mapping_Sheet!$E$2:$E$3143, ISNUMBER(
Master_Mapping_Sheet!$E$2:$E$3143),
Master_Mapping_Sheet!$H$2:$H$3143=N$1,
Master_Mapping_Sheet!$B$2:$B$3143=$A34))/sum(filter(
Master"&amp;"_Mapping_Sheet!$E$2:$E$3143, ISNUMBER(
Master_Mapping_Sheet!$E$2:$E$3143),
Master_Mapping_Sheet!$H$2:$H$3143=N$1)))"),0.0)</f>
        <v>0</v>
      </c>
      <c r="O34" s="34">
        <f>IFERROR(__xludf.DUMMYFUNCTION("IF(ISNA(sum(filter(
Master_Mapping_Sheet!$E$2:$E$3143, ISNUMBER(
Master_Mapping_Sheet!$E$2:$E$3143),
Master_Mapping_Sheet!$H$2:$H$3143=O$1,
Master_Mapping_Sheet!$B$2:$B$3143=$A34))/sum(filter(
Master_Mapping_Sheet!$E$2:$E$3143, ISNUMBER(
Master_Mapping_Sh"&amp;"eet!$E$2:$E$3143),
Master_Mapping_Sheet!$H$2:$H$3143=O$1))), 0, sum(filter(
Master_Mapping_Sheet!$E$2:$E$3143, ISNUMBER(
Master_Mapping_Sheet!$E$2:$E$3143),
Master_Mapping_Sheet!$H$2:$H$3143=O$1,
Master_Mapping_Sheet!$B$2:$B$3143=$A34))/sum(filter(
Master"&amp;"_Mapping_Sheet!$E$2:$E$3143, ISNUMBER(
Master_Mapping_Sheet!$E$2:$E$3143),
Master_Mapping_Sheet!$H$2:$H$3143=O$1)))"),0.0)</f>
        <v>0</v>
      </c>
      <c r="P34" s="34">
        <f>IFERROR(__xludf.DUMMYFUNCTION("IF(ISNA(sum(filter(
Master_Mapping_Sheet!$E$2:$E$3143, ISNUMBER(
Master_Mapping_Sheet!$E$2:$E$3143),
Master_Mapping_Sheet!$H$2:$H$3143=P$1,
Master_Mapping_Sheet!$B$2:$B$3143=$A34))/sum(filter(
Master_Mapping_Sheet!$E$2:$E$3143, ISNUMBER(
Master_Mapping_Sh"&amp;"eet!$E$2:$E$3143),
Master_Mapping_Sheet!$H$2:$H$3143=P$1))), 0, sum(filter(
Master_Mapping_Sheet!$E$2:$E$3143, ISNUMBER(
Master_Mapping_Sheet!$E$2:$E$3143),
Master_Mapping_Sheet!$H$2:$H$3143=P$1,
Master_Mapping_Sheet!$B$2:$B$3143=$A34))/sum(filter(
Master"&amp;"_Mapping_Sheet!$E$2:$E$3143, ISNUMBER(
Master_Mapping_Sheet!$E$2:$E$3143),
Master_Mapping_Sheet!$H$2:$H$3143=P$1)))"),0.0)</f>
        <v>0</v>
      </c>
      <c r="Q34" s="34">
        <f>IFERROR(__xludf.DUMMYFUNCTION("IF(ISNA(sum(filter(
Master_Mapping_Sheet!$E$2:$E$3143, ISNUMBER(
Master_Mapping_Sheet!$E$2:$E$3143),
Master_Mapping_Sheet!$H$2:$H$3143=Q$1,
Master_Mapping_Sheet!$B$2:$B$3143=$A34))/sum(filter(
Master_Mapping_Sheet!$E$2:$E$3143, ISNUMBER(
Master_Mapping_Sh"&amp;"eet!$E$2:$E$3143),
Master_Mapping_Sheet!$H$2:$H$3143=Q$1))), 0, sum(filter(
Master_Mapping_Sheet!$E$2:$E$3143, ISNUMBER(
Master_Mapping_Sheet!$E$2:$E$3143),
Master_Mapping_Sheet!$H$2:$H$3143=Q$1,
Master_Mapping_Sheet!$B$2:$B$3143=$A34))/sum(filter(
Master"&amp;"_Mapping_Sheet!$E$2:$E$3143, ISNUMBER(
Master_Mapping_Sheet!$E$2:$E$3143),
Master_Mapping_Sheet!$H$2:$H$3143=Q$1)))"),0.0)</f>
        <v>0</v>
      </c>
      <c r="R34" s="34">
        <f>IFERROR(__xludf.DUMMYFUNCTION("IF(ISNA(sum(filter(
Master_Mapping_Sheet!$E$2:$E$3143, ISNUMBER(
Master_Mapping_Sheet!$E$2:$E$3143),
Master_Mapping_Sheet!$H$2:$H$3143=R$1,
Master_Mapping_Sheet!$B$2:$B$3143=$A34))/sum(filter(
Master_Mapping_Sheet!$E$2:$E$3143, ISNUMBER(
Master_Mapping_Sh"&amp;"eet!$E$2:$E$3143),
Master_Mapping_Sheet!$H$2:$H$3143=R$1))), 0, sum(filter(
Master_Mapping_Sheet!$E$2:$E$3143, ISNUMBER(
Master_Mapping_Sheet!$E$2:$E$3143),
Master_Mapping_Sheet!$H$2:$H$3143=R$1,
Master_Mapping_Sheet!$B$2:$B$3143=$A34))/sum(filter(
Master"&amp;"_Mapping_Sheet!$E$2:$E$3143, ISNUMBER(
Master_Mapping_Sheet!$E$2:$E$3143),
Master_Mapping_Sheet!$H$2:$H$3143=R$1)))"),0.0)</f>
        <v>0</v>
      </c>
      <c r="S34" s="34">
        <f>IFERROR(__xludf.DUMMYFUNCTION("IF(ISNA(sum(filter(
Master_Mapping_Sheet!$E$2:$E$3143, ISNUMBER(
Master_Mapping_Sheet!$E$2:$E$3143),
Master_Mapping_Sheet!$H$2:$H$3143=S$1,
Master_Mapping_Sheet!$B$2:$B$3143=$A34))/sum(filter(
Master_Mapping_Sheet!$E$2:$E$3143, ISNUMBER(
Master_Mapping_Sh"&amp;"eet!$E$2:$E$3143),
Master_Mapping_Sheet!$H$2:$H$3143=S$1))), 0, sum(filter(
Master_Mapping_Sheet!$E$2:$E$3143, ISNUMBER(
Master_Mapping_Sheet!$E$2:$E$3143),
Master_Mapping_Sheet!$H$2:$H$3143=S$1,
Master_Mapping_Sheet!$B$2:$B$3143=$A34))/sum(filter(
Master"&amp;"_Mapping_Sheet!$E$2:$E$3143, ISNUMBER(
Master_Mapping_Sheet!$E$2:$E$3143),
Master_Mapping_Sheet!$H$2:$H$3143=S$1)))"),0.0)</f>
        <v>0</v>
      </c>
      <c r="T34" s="34">
        <f>IFERROR(__xludf.DUMMYFUNCTION("IF(ISNA(sum(filter(
Master_Mapping_Sheet!$E$2:$E$3143, ISNUMBER(
Master_Mapping_Sheet!$E$2:$E$3143),
Master_Mapping_Sheet!$H$2:$H$3143=T$1,
Master_Mapping_Sheet!$B$2:$B$3143=$A34))/sum(filter(
Master_Mapping_Sheet!$E$2:$E$3143, ISNUMBER(
Master_Mapping_Sh"&amp;"eet!$E$2:$E$3143),
Master_Mapping_Sheet!$H$2:$H$3143=T$1))), 0, sum(filter(
Master_Mapping_Sheet!$E$2:$E$3143, ISNUMBER(
Master_Mapping_Sheet!$E$2:$E$3143),
Master_Mapping_Sheet!$H$2:$H$3143=T$1,
Master_Mapping_Sheet!$B$2:$B$3143=$A34))/sum(filter(
Master"&amp;"_Mapping_Sheet!$E$2:$E$3143, ISNUMBER(
Master_Mapping_Sheet!$E$2:$E$3143),
Master_Mapping_Sheet!$H$2:$H$3143=T$1)))"),0.0)</f>
        <v>0</v>
      </c>
      <c r="U34" s="34">
        <f>IFERROR(__xludf.DUMMYFUNCTION("IF(ISNA(sum(filter(
Master_Mapping_Sheet!$E$2:$E$3143, ISNUMBER(
Master_Mapping_Sheet!$E$2:$E$3143),
Master_Mapping_Sheet!$H$2:$H$3143=U$1,
Master_Mapping_Sheet!$B$2:$B$3143=$A34))/sum(filter(
Master_Mapping_Sheet!$E$2:$E$3143, ISNUMBER(
Master_Mapping_Sh"&amp;"eet!$E$2:$E$3143),
Master_Mapping_Sheet!$H$2:$H$3143=U$1))), 0, sum(filter(
Master_Mapping_Sheet!$E$2:$E$3143, ISNUMBER(
Master_Mapping_Sheet!$E$2:$E$3143),
Master_Mapping_Sheet!$H$2:$H$3143=U$1,
Master_Mapping_Sheet!$B$2:$B$3143=$A34))/sum(filter(
Master"&amp;"_Mapping_Sheet!$E$2:$E$3143, ISNUMBER(
Master_Mapping_Sheet!$E$2:$E$3143),
Master_Mapping_Sheet!$H$2:$H$3143=U$1)))"),0.0)</f>
        <v>0</v>
      </c>
      <c r="V34" s="34">
        <f>IFERROR(__xludf.DUMMYFUNCTION("IF(ISNA(sum(filter(
Master_Mapping_Sheet!$E$2:$E$3143, ISNUMBER(
Master_Mapping_Sheet!$E$2:$E$3143),
Master_Mapping_Sheet!$H$2:$H$3143=V$1,
Master_Mapping_Sheet!$B$2:$B$3143=$A34))/sum(filter(
Master_Mapping_Sheet!$E$2:$E$3143, ISNUMBER(
Master_Mapping_Sh"&amp;"eet!$E$2:$E$3143),
Master_Mapping_Sheet!$H$2:$H$3143=V$1))), 0, sum(filter(
Master_Mapping_Sheet!$E$2:$E$3143, ISNUMBER(
Master_Mapping_Sheet!$E$2:$E$3143),
Master_Mapping_Sheet!$H$2:$H$3143=V$1,
Master_Mapping_Sheet!$B$2:$B$3143=$A34))/sum(filter(
Master"&amp;"_Mapping_Sheet!$E$2:$E$3143, ISNUMBER(
Master_Mapping_Sheet!$E$2:$E$3143),
Master_Mapping_Sheet!$H$2:$H$3143=V$1)))"),0.0)</f>
        <v>0</v>
      </c>
      <c r="W34" s="34">
        <f>IFERROR(__xludf.DUMMYFUNCTION("IF(ISNA(sum(filter(
Master_Mapping_Sheet!$E$2:$E$3143, ISNUMBER(
Master_Mapping_Sheet!$E$2:$E$3143),
Master_Mapping_Sheet!$H$2:$H$3143=W$1,
Master_Mapping_Sheet!$B$2:$B$3143=$A34))/sum(filter(
Master_Mapping_Sheet!$E$2:$E$3143, ISNUMBER(
Master_Mapping_Sh"&amp;"eet!$E$2:$E$3143),
Master_Mapping_Sheet!$H$2:$H$3143=W$1))), 0, sum(filter(
Master_Mapping_Sheet!$E$2:$E$3143, ISNUMBER(
Master_Mapping_Sheet!$E$2:$E$3143),
Master_Mapping_Sheet!$H$2:$H$3143=W$1,
Master_Mapping_Sheet!$B$2:$B$3143=$A34))/sum(filter(
Master"&amp;"_Mapping_Sheet!$E$2:$E$3143, ISNUMBER(
Master_Mapping_Sheet!$E$2:$E$3143),
Master_Mapping_Sheet!$H$2:$H$3143=W$1)))"),0.0)</f>
        <v>0</v>
      </c>
      <c r="X34" s="34">
        <f>IFERROR(__xludf.DUMMYFUNCTION("IF(ISNA(sum(filter(
Master_Mapping_Sheet!$E$2:$E$3143, ISNUMBER(
Master_Mapping_Sheet!$E$2:$E$3143),
Master_Mapping_Sheet!$H$2:$H$3143=X$1,
Master_Mapping_Sheet!$B$2:$B$3143=$A34))/sum(filter(
Master_Mapping_Sheet!$E$2:$E$3143, ISNUMBER(
Master_Mapping_Sh"&amp;"eet!$E$2:$E$3143),
Master_Mapping_Sheet!$H$2:$H$3143=X$1))), 0, sum(filter(
Master_Mapping_Sheet!$E$2:$E$3143, ISNUMBER(
Master_Mapping_Sheet!$E$2:$E$3143),
Master_Mapping_Sheet!$H$2:$H$3143=X$1,
Master_Mapping_Sheet!$B$2:$B$3143=$A34))/sum(filter(
Master"&amp;"_Mapping_Sheet!$E$2:$E$3143, ISNUMBER(
Master_Mapping_Sheet!$E$2:$E$3143),
Master_Mapping_Sheet!$H$2:$H$3143=X$1)))"),0.0)</f>
        <v>0</v>
      </c>
      <c r="Y34" s="34">
        <f>IFERROR(__xludf.DUMMYFUNCTION("IF(ISNA(sum(filter(
Master_Mapping_Sheet!$E$2:$E$3143, ISNUMBER(
Master_Mapping_Sheet!$E$2:$E$3143),
Master_Mapping_Sheet!$H$2:$H$3143=Y$1,
Master_Mapping_Sheet!$B$2:$B$3143=$A34))/sum(filter(
Master_Mapping_Sheet!$E$2:$E$3143, ISNUMBER(
Master_Mapping_Sh"&amp;"eet!$E$2:$E$3143),
Master_Mapping_Sheet!$H$2:$H$3143=Y$1))), 0, sum(filter(
Master_Mapping_Sheet!$E$2:$E$3143, ISNUMBER(
Master_Mapping_Sheet!$E$2:$E$3143),
Master_Mapping_Sheet!$H$2:$H$3143=Y$1,
Master_Mapping_Sheet!$B$2:$B$3143=$A34))/sum(filter(
Master"&amp;"_Mapping_Sheet!$E$2:$E$3143, ISNUMBER(
Master_Mapping_Sheet!$E$2:$E$3143),
Master_Mapping_Sheet!$H$2:$H$3143=Y$1)))"),0.0)</f>
        <v>0</v>
      </c>
      <c r="Z34" s="34">
        <f>IFERROR(__xludf.DUMMYFUNCTION("IF(ISNA(sum(filter(
Master_Mapping_Sheet!$E$2:$E$3143, ISNUMBER(
Master_Mapping_Sheet!$E$2:$E$3143),
Master_Mapping_Sheet!$H$2:$H$3143=Z$1,
Master_Mapping_Sheet!$B$2:$B$3143=$A34))/sum(filter(
Master_Mapping_Sheet!$E$2:$E$3143, ISNUMBER(
Master_Mapping_Sh"&amp;"eet!$E$2:$E$3143),
Master_Mapping_Sheet!$H$2:$H$3143=Z$1))), 0, sum(filter(
Master_Mapping_Sheet!$E$2:$E$3143, ISNUMBER(
Master_Mapping_Sheet!$E$2:$E$3143),
Master_Mapping_Sheet!$H$2:$H$3143=Z$1,
Master_Mapping_Sheet!$B$2:$B$3143=$A34))/sum(filter(
Master"&amp;"_Mapping_Sheet!$E$2:$E$3143, ISNUMBER(
Master_Mapping_Sheet!$E$2:$E$3143),
Master_Mapping_Sheet!$H$2:$H$3143=Z$1)))"),0.0)</f>
        <v>0</v>
      </c>
      <c r="AA34" s="34">
        <f>IFERROR(__xludf.DUMMYFUNCTION("IF(ISNA(sum(filter(
Master_Mapping_Sheet!$E$2:$E$3143, ISNUMBER(
Master_Mapping_Sheet!$E$2:$E$3143),
Master_Mapping_Sheet!$H$2:$H$3143=AA$1,
Master_Mapping_Sheet!$B$2:$B$3143=$A34))/sum(filter(
Master_Mapping_Sheet!$E$2:$E$3143, ISNUMBER(
Master_Mapping_S"&amp;"heet!$E$2:$E$3143),
Master_Mapping_Sheet!$H$2:$H$3143=AA$1))), 0, sum(filter(
Master_Mapping_Sheet!$E$2:$E$3143, ISNUMBER(
Master_Mapping_Sheet!$E$2:$E$3143),
Master_Mapping_Sheet!$H$2:$H$3143=AA$1,
Master_Mapping_Sheet!$B$2:$B$3143=$A34))/sum(filter(
Mas"&amp;"ter_Mapping_Sheet!$E$2:$E$3143, ISNUMBER(
Master_Mapping_Sheet!$E$2:$E$3143),
Master_Mapping_Sheet!$H$2:$H$3143=AA$1)))"),0.0)</f>
        <v>0</v>
      </c>
    </row>
    <row r="35" ht="15.75" customHeight="1">
      <c r="A35" s="34" t="s">
        <v>1326</v>
      </c>
      <c r="B35" s="34" t="s">
        <v>3200</v>
      </c>
      <c r="C35" s="34">
        <f>IFERROR(__xludf.DUMMYFUNCTION("IF(ISNA(sum(filter(
Master_Mapping_Sheet!$E$2:$E$3143, ISNUMBER(
Master_Mapping_Sheet!$E$2:$E$3143),
Master_Mapping_Sheet!$H$2:$H$3143=C$1,
Master_Mapping_Sheet!$B$2:$B$3143=$A35))/sum(filter(
Master_Mapping_Sheet!$E$2:$E$3143, ISNUMBER(
Master_Mapping_Sh"&amp;"eet!$E$2:$E$3143),
Master_Mapping_Sheet!$H$2:$H$3143=C$1))), 0, sum(filter(
Master_Mapping_Sheet!$E$2:$E$3143, ISNUMBER(
Master_Mapping_Sheet!$E$2:$E$3143),
Master_Mapping_Sheet!$H$2:$H$3143=C$1,
Master_Mapping_Sheet!$B$2:$B$3143=$A35))/sum(filter(
Master"&amp;"_Mapping_Sheet!$E$2:$E$3143, ISNUMBER(
Master_Mapping_Sheet!$E$2:$E$3143),
Master_Mapping_Sheet!$H$2:$H$3143=C$1)))"),0.0)</f>
        <v>0</v>
      </c>
      <c r="D35" s="34">
        <f>IFERROR(__xludf.DUMMYFUNCTION("IF(ISNA(sum(filter(
Master_Mapping_Sheet!$E$2:$E$3143, ISNUMBER(
Master_Mapping_Sheet!$E$2:$E$3143),
Master_Mapping_Sheet!$H$2:$H$3143=D$1,
Master_Mapping_Sheet!$B$2:$B$3143=$A35))/sum(filter(
Master_Mapping_Sheet!$E$2:$E$3143, ISNUMBER(
Master_Mapping_Sh"&amp;"eet!$E$2:$E$3143),
Master_Mapping_Sheet!$H$2:$H$3143=D$1))), 0, sum(filter(
Master_Mapping_Sheet!$E$2:$E$3143, ISNUMBER(
Master_Mapping_Sheet!$E$2:$E$3143),
Master_Mapping_Sheet!$H$2:$H$3143=D$1,
Master_Mapping_Sheet!$B$2:$B$3143=$A35))/sum(filter(
Master"&amp;"_Mapping_Sheet!$E$2:$E$3143, ISNUMBER(
Master_Mapping_Sheet!$E$2:$E$3143),
Master_Mapping_Sheet!$H$2:$H$3143=D$1)))"),0.0)</f>
        <v>0</v>
      </c>
      <c r="E35" s="32">
        <f>IFERROR(__xludf.DUMMYFUNCTION("IF(ISNA(sum(filter(
Master_Mapping_Sheet!$E$2:$E$3143, ISNUMBER(
Master_Mapping_Sheet!$E$2:$E$3143),
Master_Mapping_Sheet!$H$2:$H$3143=E$1,
Master_Mapping_Sheet!$B$2:$B$3143=$A35))/sum(filter(
Master_Mapping_Sheet!$E$2:$E$3143, ISNUMBER(
Master_Mapping_Sh"&amp;"eet!$E$2:$E$3143),
Master_Mapping_Sheet!$H$2:$H$3143=E$1))), 0, sum(filter(
Master_Mapping_Sheet!$E$2:$E$3143, ISNUMBER(
Master_Mapping_Sheet!$E$2:$E$3143),
Master_Mapping_Sheet!$H$2:$H$3143=E$1,
Master_Mapping_Sheet!$B$2:$B$3143=$A35))/sum(filter(
Master"&amp;"_Mapping_Sheet!$E$2:$E$3143, ISNUMBER(
Master_Mapping_Sheet!$E$2:$E$3143),
Master_Mapping_Sheet!$H$2:$H$3143=E$1)))"),0.0)</f>
        <v>0</v>
      </c>
      <c r="F35" s="34">
        <f>IFERROR(__xludf.DUMMYFUNCTION("IF(ISNA(sum(filter(
Master_Mapping_Sheet!$E$2:$E$3143, ISNUMBER(
Master_Mapping_Sheet!$E$2:$E$3143),
Master_Mapping_Sheet!$H$2:$H$3143=F$1,
Master_Mapping_Sheet!$B$2:$B$3143=$A35))/sum(filter(
Master_Mapping_Sheet!$E$2:$E$3143, ISNUMBER(
Master_Mapping_Sh"&amp;"eet!$E$2:$E$3143),
Master_Mapping_Sheet!$H$2:$H$3143=F$1))), 0, sum(filter(
Master_Mapping_Sheet!$E$2:$E$3143, ISNUMBER(
Master_Mapping_Sheet!$E$2:$E$3143),
Master_Mapping_Sheet!$H$2:$H$3143=F$1,
Master_Mapping_Sheet!$B$2:$B$3143=$A35))/sum(filter(
Master"&amp;"_Mapping_Sheet!$E$2:$E$3143, ISNUMBER(
Master_Mapping_Sheet!$E$2:$E$3143),
Master_Mapping_Sheet!$H$2:$H$3143=F$1)))"),0.0)</f>
        <v>0</v>
      </c>
      <c r="G35" s="34">
        <f>IFERROR(__xludf.DUMMYFUNCTION("IF(ISNA(sum(filter(
Master_Mapping_Sheet!$E$2:$E$3143, ISNUMBER(
Master_Mapping_Sheet!$E$2:$E$3143),
Master_Mapping_Sheet!$H$2:$H$3143=G$1,
Master_Mapping_Sheet!$B$2:$B$3143=$A35))/sum(filter(
Master_Mapping_Sheet!$E$2:$E$3143, ISNUMBER(
Master_Mapping_Sh"&amp;"eet!$E$2:$E$3143),
Master_Mapping_Sheet!$H$2:$H$3143=G$1))), 0, sum(filter(
Master_Mapping_Sheet!$E$2:$E$3143, ISNUMBER(
Master_Mapping_Sheet!$E$2:$E$3143),
Master_Mapping_Sheet!$H$2:$H$3143=G$1,
Master_Mapping_Sheet!$B$2:$B$3143=$A35))/sum(filter(
Master"&amp;"_Mapping_Sheet!$E$2:$E$3143, ISNUMBER(
Master_Mapping_Sheet!$E$2:$E$3143),
Master_Mapping_Sheet!$H$2:$H$3143=G$1)))"),0.0)</f>
        <v>0</v>
      </c>
      <c r="H35" s="34">
        <f>IFERROR(__xludf.DUMMYFUNCTION("IF(ISNA(sum(filter(
Master_Mapping_Sheet!$E$2:$E$3143, ISNUMBER(
Master_Mapping_Sheet!$E$2:$E$3143),
Master_Mapping_Sheet!$H$2:$H$3143=H$1,
Master_Mapping_Sheet!$B$2:$B$3143=$A35))/sum(filter(
Master_Mapping_Sheet!$E$2:$E$3143, ISNUMBER(
Master_Mapping_Sh"&amp;"eet!$E$2:$E$3143),
Master_Mapping_Sheet!$H$2:$H$3143=H$1))), 0, sum(filter(
Master_Mapping_Sheet!$E$2:$E$3143, ISNUMBER(
Master_Mapping_Sheet!$E$2:$E$3143),
Master_Mapping_Sheet!$H$2:$H$3143=H$1,
Master_Mapping_Sheet!$B$2:$B$3143=$A35))/sum(filter(
Master"&amp;"_Mapping_Sheet!$E$2:$E$3143, ISNUMBER(
Master_Mapping_Sheet!$E$2:$E$3143),
Master_Mapping_Sheet!$H$2:$H$3143=H$1)))"),0.0)</f>
        <v>0</v>
      </c>
      <c r="I35" s="34">
        <f>IFERROR(__xludf.DUMMYFUNCTION("IF(ISNA(sum(filter(
Master_Mapping_Sheet!$E$2:$E$3143, ISNUMBER(
Master_Mapping_Sheet!$E$2:$E$3143),
Master_Mapping_Sheet!$H$2:$H$3143=I$1,
Master_Mapping_Sheet!$B$2:$B$3143=$A35))/sum(filter(
Master_Mapping_Sheet!$E$2:$E$3143, ISNUMBER(
Master_Mapping_Sh"&amp;"eet!$E$2:$E$3143),
Master_Mapping_Sheet!$H$2:$H$3143=I$1))), 0, sum(filter(
Master_Mapping_Sheet!$E$2:$E$3143, ISNUMBER(
Master_Mapping_Sheet!$E$2:$E$3143),
Master_Mapping_Sheet!$H$2:$H$3143=I$1,
Master_Mapping_Sheet!$B$2:$B$3143=$A35))/sum(filter(
Master"&amp;"_Mapping_Sheet!$E$2:$E$3143, ISNUMBER(
Master_Mapping_Sheet!$E$2:$E$3143),
Master_Mapping_Sheet!$H$2:$H$3143=I$1)))"),0.0)</f>
        <v>0</v>
      </c>
      <c r="J35" s="34">
        <f>IFERROR(__xludf.DUMMYFUNCTION("IF(ISNA(sum(filter(
Master_Mapping_Sheet!$E$2:$E$3143, ISNUMBER(
Master_Mapping_Sheet!$E$2:$E$3143),
Master_Mapping_Sheet!$H$2:$H$3143=J$1,
Master_Mapping_Sheet!$B$2:$B$3143=$A35))/sum(filter(
Master_Mapping_Sheet!$E$2:$E$3143, ISNUMBER(
Master_Mapping_Sh"&amp;"eet!$E$2:$E$3143),
Master_Mapping_Sheet!$H$2:$H$3143=J$1))), 0, sum(filter(
Master_Mapping_Sheet!$E$2:$E$3143, ISNUMBER(
Master_Mapping_Sheet!$E$2:$E$3143),
Master_Mapping_Sheet!$H$2:$H$3143=J$1,
Master_Mapping_Sheet!$B$2:$B$3143=$A35))/sum(filter(
Master"&amp;"_Mapping_Sheet!$E$2:$E$3143, ISNUMBER(
Master_Mapping_Sheet!$E$2:$E$3143),
Master_Mapping_Sheet!$H$2:$H$3143=J$1)))"),0.0)</f>
        <v>0</v>
      </c>
      <c r="K35" s="34">
        <f>IFERROR(__xludf.DUMMYFUNCTION("IF(ISNA(sum(filter(
Master_Mapping_Sheet!$E$2:$E$3143, ISNUMBER(
Master_Mapping_Sheet!$E$2:$E$3143),
Master_Mapping_Sheet!$H$2:$H$3143=K$1,
Master_Mapping_Sheet!$B$2:$B$3143=$A35))/sum(filter(
Master_Mapping_Sheet!$E$2:$E$3143, ISNUMBER(
Master_Mapping_Sh"&amp;"eet!$E$2:$E$3143),
Master_Mapping_Sheet!$H$2:$H$3143=K$1))), 0, sum(filter(
Master_Mapping_Sheet!$E$2:$E$3143, ISNUMBER(
Master_Mapping_Sheet!$E$2:$E$3143),
Master_Mapping_Sheet!$H$2:$H$3143=K$1,
Master_Mapping_Sheet!$B$2:$B$3143=$A35))/sum(filter(
Master"&amp;"_Mapping_Sheet!$E$2:$E$3143, ISNUMBER(
Master_Mapping_Sheet!$E$2:$E$3143),
Master_Mapping_Sheet!$H$2:$H$3143=K$1)))"),0.0)</f>
        <v>0</v>
      </c>
      <c r="L35" s="34">
        <f>IFERROR(__xludf.DUMMYFUNCTION("IF(ISNA(sum(filter(
Master_Mapping_Sheet!$E$2:$E$3143, ISNUMBER(
Master_Mapping_Sheet!$E$2:$E$3143),
Master_Mapping_Sheet!$H$2:$H$3143=L$1,
Master_Mapping_Sheet!$B$2:$B$3143=$A35))/sum(filter(
Master_Mapping_Sheet!$E$2:$E$3143, ISNUMBER(
Master_Mapping_Sh"&amp;"eet!$E$2:$E$3143),
Master_Mapping_Sheet!$H$2:$H$3143=L$1))), 0, sum(filter(
Master_Mapping_Sheet!$E$2:$E$3143, ISNUMBER(
Master_Mapping_Sheet!$E$2:$E$3143),
Master_Mapping_Sheet!$H$2:$H$3143=L$1,
Master_Mapping_Sheet!$B$2:$B$3143=$A35))/sum(filter(
Master"&amp;"_Mapping_Sheet!$E$2:$E$3143, ISNUMBER(
Master_Mapping_Sheet!$E$2:$E$3143),
Master_Mapping_Sheet!$H$2:$H$3143=L$1)))"),0.0)</f>
        <v>0</v>
      </c>
      <c r="M35" s="34">
        <f>IFERROR(__xludf.DUMMYFUNCTION("IF(ISNA(sum(filter(
Master_Mapping_Sheet!$E$2:$E$3143, ISNUMBER(
Master_Mapping_Sheet!$E$2:$E$3143),
Master_Mapping_Sheet!$H$2:$H$3143=M$1,
Master_Mapping_Sheet!$B$2:$B$3143=$A35))/sum(filter(
Master_Mapping_Sheet!$E$2:$E$3143, ISNUMBER(
Master_Mapping_Sh"&amp;"eet!$E$2:$E$3143),
Master_Mapping_Sheet!$H$2:$H$3143=M$1))), 0, sum(filter(
Master_Mapping_Sheet!$E$2:$E$3143, ISNUMBER(
Master_Mapping_Sheet!$E$2:$E$3143),
Master_Mapping_Sheet!$H$2:$H$3143=M$1,
Master_Mapping_Sheet!$B$2:$B$3143=$A35))/sum(filter(
Master"&amp;"_Mapping_Sheet!$E$2:$E$3143, ISNUMBER(
Master_Mapping_Sheet!$E$2:$E$3143),
Master_Mapping_Sheet!$H$2:$H$3143=M$1)))"),0.0)</f>
        <v>0</v>
      </c>
      <c r="N35" s="34">
        <f>IFERROR(__xludf.DUMMYFUNCTION("IF(ISNA(sum(filter(
Master_Mapping_Sheet!$E$2:$E$3143, ISNUMBER(
Master_Mapping_Sheet!$E$2:$E$3143),
Master_Mapping_Sheet!$H$2:$H$3143=N$1,
Master_Mapping_Sheet!$B$2:$B$3143=$A35))/sum(filter(
Master_Mapping_Sheet!$E$2:$E$3143, ISNUMBER(
Master_Mapping_Sh"&amp;"eet!$E$2:$E$3143),
Master_Mapping_Sheet!$H$2:$H$3143=N$1))), 0, sum(filter(
Master_Mapping_Sheet!$E$2:$E$3143, ISNUMBER(
Master_Mapping_Sheet!$E$2:$E$3143),
Master_Mapping_Sheet!$H$2:$H$3143=N$1,
Master_Mapping_Sheet!$B$2:$B$3143=$A35))/sum(filter(
Master"&amp;"_Mapping_Sheet!$E$2:$E$3143, ISNUMBER(
Master_Mapping_Sheet!$E$2:$E$3143),
Master_Mapping_Sheet!$H$2:$H$3143=N$1)))"),0.0)</f>
        <v>0</v>
      </c>
      <c r="O35" s="34">
        <f>IFERROR(__xludf.DUMMYFUNCTION("IF(ISNA(sum(filter(
Master_Mapping_Sheet!$E$2:$E$3143, ISNUMBER(
Master_Mapping_Sheet!$E$2:$E$3143),
Master_Mapping_Sheet!$H$2:$H$3143=O$1,
Master_Mapping_Sheet!$B$2:$B$3143=$A35))/sum(filter(
Master_Mapping_Sheet!$E$2:$E$3143, ISNUMBER(
Master_Mapping_Sh"&amp;"eet!$E$2:$E$3143),
Master_Mapping_Sheet!$H$2:$H$3143=O$1))), 0, sum(filter(
Master_Mapping_Sheet!$E$2:$E$3143, ISNUMBER(
Master_Mapping_Sheet!$E$2:$E$3143),
Master_Mapping_Sheet!$H$2:$H$3143=O$1,
Master_Mapping_Sheet!$B$2:$B$3143=$A35))/sum(filter(
Master"&amp;"_Mapping_Sheet!$E$2:$E$3143, ISNUMBER(
Master_Mapping_Sheet!$E$2:$E$3143),
Master_Mapping_Sheet!$H$2:$H$3143=O$1)))"),0.09039169939508096)</f>
        <v>0.0903916994</v>
      </c>
      <c r="P35" s="34">
        <f>IFERROR(__xludf.DUMMYFUNCTION("IF(ISNA(sum(filter(
Master_Mapping_Sheet!$E$2:$E$3143, ISNUMBER(
Master_Mapping_Sheet!$E$2:$E$3143),
Master_Mapping_Sheet!$H$2:$H$3143=P$1,
Master_Mapping_Sheet!$B$2:$B$3143=$A35))/sum(filter(
Master_Mapping_Sheet!$E$2:$E$3143, ISNUMBER(
Master_Mapping_Sh"&amp;"eet!$E$2:$E$3143),
Master_Mapping_Sheet!$H$2:$H$3143=P$1))), 0, sum(filter(
Master_Mapping_Sheet!$E$2:$E$3143, ISNUMBER(
Master_Mapping_Sheet!$E$2:$E$3143),
Master_Mapping_Sheet!$H$2:$H$3143=P$1,
Master_Mapping_Sheet!$B$2:$B$3143=$A35))/sum(filter(
Master"&amp;"_Mapping_Sheet!$E$2:$E$3143, ISNUMBER(
Master_Mapping_Sheet!$E$2:$E$3143),
Master_Mapping_Sheet!$H$2:$H$3143=P$1)))"),0.6515834005877148)</f>
        <v>0.6515834006</v>
      </c>
      <c r="Q35" s="34">
        <f>IFERROR(__xludf.DUMMYFUNCTION("IF(ISNA(sum(filter(
Master_Mapping_Sheet!$E$2:$E$3143, ISNUMBER(
Master_Mapping_Sheet!$E$2:$E$3143),
Master_Mapping_Sheet!$H$2:$H$3143=Q$1,
Master_Mapping_Sheet!$B$2:$B$3143=$A35))/sum(filter(
Master_Mapping_Sheet!$E$2:$E$3143, ISNUMBER(
Master_Mapping_Sh"&amp;"eet!$E$2:$E$3143),
Master_Mapping_Sheet!$H$2:$H$3143=Q$1))), 0, sum(filter(
Master_Mapping_Sheet!$E$2:$E$3143, ISNUMBER(
Master_Mapping_Sheet!$E$2:$E$3143),
Master_Mapping_Sheet!$H$2:$H$3143=Q$1,
Master_Mapping_Sheet!$B$2:$B$3143=$A35))/sum(filter(
Master"&amp;"_Mapping_Sheet!$E$2:$E$3143, ISNUMBER(
Master_Mapping_Sheet!$E$2:$E$3143),
Master_Mapping_Sheet!$H$2:$H$3143=Q$1)))"),0.0)</f>
        <v>0</v>
      </c>
      <c r="R35" s="34">
        <f>IFERROR(__xludf.DUMMYFUNCTION("IF(ISNA(sum(filter(
Master_Mapping_Sheet!$E$2:$E$3143, ISNUMBER(
Master_Mapping_Sheet!$E$2:$E$3143),
Master_Mapping_Sheet!$H$2:$H$3143=R$1,
Master_Mapping_Sheet!$B$2:$B$3143=$A35))/sum(filter(
Master_Mapping_Sheet!$E$2:$E$3143, ISNUMBER(
Master_Mapping_Sh"&amp;"eet!$E$2:$E$3143),
Master_Mapping_Sheet!$H$2:$H$3143=R$1))), 0, sum(filter(
Master_Mapping_Sheet!$E$2:$E$3143, ISNUMBER(
Master_Mapping_Sheet!$E$2:$E$3143),
Master_Mapping_Sheet!$H$2:$H$3143=R$1,
Master_Mapping_Sheet!$B$2:$B$3143=$A35))/sum(filter(
Master"&amp;"_Mapping_Sheet!$E$2:$E$3143, ISNUMBER(
Master_Mapping_Sheet!$E$2:$E$3143),
Master_Mapping_Sheet!$H$2:$H$3143=R$1)))"),0.0)</f>
        <v>0</v>
      </c>
      <c r="S35" s="34">
        <f>IFERROR(__xludf.DUMMYFUNCTION("IF(ISNA(sum(filter(
Master_Mapping_Sheet!$E$2:$E$3143, ISNUMBER(
Master_Mapping_Sheet!$E$2:$E$3143),
Master_Mapping_Sheet!$H$2:$H$3143=S$1,
Master_Mapping_Sheet!$B$2:$B$3143=$A35))/sum(filter(
Master_Mapping_Sheet!$E$2:$E$3143, ISNUMBER(
Master_Mapping_Sh"&amp;"eet!$E$2:$E$3143),
Master_Mapping_Sheet!$H$2:$H$3143=S$1))), 0, sum(filter(
Master_Mapping_Sheet!$E$2:$E$3143, ISNUMBER(
Master_Mapping_Sheet!$E$2:$E$3143),
Master_Mapping_Sheet!$H$2:$H$3143=S$1,
Master_Mapping_Sheet!$B$2:$B$3143=$A35))/sum(filter(
Master"&amp;"_Mapping_Sheet!$E$2:$E$3143, ISNUMBER(
Master_Mapping_Sheet!$E$2:$E$3143),
Master_Mapping_Sheet!$H$2:$H$3143=S$1)))"),0.0)</f>
        <v>0</v>
      </c>
      <c r="T35" s="34">
        <f>IFERROR(__xludf.DUMMYFUNCTION("IF(ISNA(sum(filter(
Master_Mapping_Sheet!$E$2:$E$3143, ISNUMBER(
Master_Mapping_Sheet!$E$2:$E$3143),
Master_Mapping_Sheet!$H$2:$H$3143=T$1,
Master_Mapping_Sheet!$B$2:$B$3143=$A35))/sum(filter(
Master_Mapping_Sheet!$E$2:$E$3143, ISNUMBER(
Master_Mapping_Sh"&amp;"eet!$E$2:$E$3143),
Master_Mapping_Sheet!$H$2:$H$3143=T$1))), 0, sum(filter(
Master_Mapping_Sheet!$E$2:$E$3143, ISNUMBER(
Master_Mapping_Sheet!$E$2:$E$3143),
Master_Mapping_Sheet!$H$2:$H$3143=T$1,
Master_Mapping_Sheet!$B$2:$B$3143=$A35))/sum(filter(
Master"&amp;"_Mapping_Sheet!$E$2:$E$3143, ISNUMBER(
Master_Mapping_Sheet!$E$2:$E$3143),
Master_Mapping_Sheet!$H$2:$H$3143=T$1)))"),0.0)</f>
        <v>0</v>
      </c>
      <c r="U35" s="34">
        <f>IFERROR(__xludf.DUMMYFUNCTION("IF(ISNA(sum(filter(
Master_Mapping_Sheet!$E$2:$E$3143, ISNUMBER(
Master_Mapping_Sheet!$E$2:$E$3143),
Master_Mapping_Sheet!$H$2:$H$3143=U$1,
Master_Mapping_Sheet!$B$2:$B$3143=$A35))/sum(filter(
Master_Mapping_Sheet!$E$2:$E$3143, ISNUMBER(
Master_Mapping_Sh"&amp;"eet!$E$2:$E$3143),
Master_Mapping_Sheet!$H$2:$H$3143=U$1))), 0, sum(filter(
Master_Mapping_Sheet!$E$2:$E$3143, ISNUMBER(
Master_Mapping_Sheet!$E$2:$E$3143),
Master_Mapping_Sheet!$H$2:$H$3143=U$1,
Master_Mapping_Sheet!$B$2:$B$3143=$A35))/sum(filter(
Master"&amp;"_Mapping_Sheet!$E$2:$E$3143, ISNUMBER(
Master_Mapping_Sheet!$E$2:$E$3143),
Master_Mapping_Sheet!$H$2:$H$3143=U$1)))"),0.0)</f>
        <v>0</v>
      </c>
      <c r="V35" s="34">
        <f>IFERROR(__xludf.DUMMYFUNCTION("IF(ISNA(sum(filter(
Master_Mapping_Sheet!$E$2:$E$3143, ISNUMBER(
Master_Mapping_Sheet!$E$2:$E$3143),
Master_Mapping_Sheet!$H$2:$H$3143=V$1,
Master_Mapping_Sheet!$B$2:$B$3143=$A35))/sum(filter(
Master_Mapping_Sheet!$E$2:$E$3143, ISNUMBER(
Master_Mapping_Sh"&amp;"eet!$E$2:$E$3143),
Master_Mapping_Sheet!$H$2:$H$3143=V$1))), 0, sum(filter(
Master_Mapping_Sheet!$E$2:$E$3143, ISNUMBER(
Master_Mapping_Sheet!$E$2:$E$3143),
Master_Mapping_Sheet!$H$2:$H$3143=V$1,
Master_Mapping_Sheet!$B$2:$B$3143=$A35))/sum(filter(
Master"&amp;"_Mapping_Sheet!$E$2:$E$3143, ISNUMBER(
Master_Mapping_Sheet!$E$2:$E$3143),
Master_Mapping_Sheet!$H$2:$H$3143=V$1)))"),0.0)</f>
        <v>0</v>
      </c>
      <c r="W35" s="34">
        <f>IFERROR(__xludf.DUMMYFUNCTION("IF(ISNA(sum(filter(
Master_Mapping_Sheet!$E$2:$E$3143, ISNUMBER(
Master_Mapping_Sheet!$E$2:$E$3143),
Master_Mapping_Sheet!$H$2:$H$3143=W$1,
Master_Mapping_Sheet!$B$2:$B$3143=$A35))/sum(filter(
Master_Mapping_Sheet!$E$2:$E$3143, ISNUMBER(
Master_Mapping_Sh"&amp;"eet!$E$2:$E$3143),
Master_Mapping_Sheet!$H$2:$H$3143=W$1))), 0, sum(filter(
Master_Mapping_Sheet!$E$2:$E$3143, ISNUMBER(
Master_Mapping_Sheet!$E$2:$E$3143),
Master_Mapping_Sheet!$H$2:$H$3143=W$1,
Master_Mapping_Sheet!$B$2:$B$3143=$A35))/sum(filter(
Master"&amp;"_Mapping_Sheet!$E$2:$E$3143, ISNUMBER(
Master_Mapping_Sheet!$E$2:$E$3143),
Master_Mapping_Sheet!$H$2:$H$3143=W$1)))"),0.0)</f>
        <v>0</v>
      </c>
      <c r="X35" s="34">
        <f>IFERROR(__xludf.DUMMYFUNCTION("IF(ISNA(sum(filter(
Master_Mapping_Sheet!$E$2:$E$3143, ISNUMBER(
Master_Mapping_Sheet!$E$2:$E$3143),
Master_Mapping_Sheet!$H$2:$H$3143=X$1,
Master_Mapping_Sheet!$B$2:$B$3143=$A35))/sum(filter(
Master_Mapping_Sheet!$E$2:$E$3143, ISNUMBER(
Master_Mapping_Sh"&amp;"eet!$E$2:$E$3143),
Master_Mapping_Sheet!$H$2:$H$3143=X$1))), 0, sum(filter(
Master_Mapping_Sheet!$E$2:$E$3143, ISNUMBER(
Master_Mapping_Sheet!$E$2:$E$3143),
Master_Mapping_Sheet!$H$2:$H$3143=X$1,
Master_Mapping_Sheet!$B$2:$B$3143=$A35))/sum(filter(
Master"&amp;"_Mapping_Sheet!$E$2:$E$3143, ISNUMBER(
Master_Mapping_Sheet!$E$2:$E$3143),
Master_Mapping_Sheet!$H$2:$H$3143=X$1)))"),0.0)</f>
        <v>0</v>
      </c>
      <c r="Y35" s="34">
        <f>IFERROR(__xludf.DUMMYFUNCTION("IF(ISNA(sum(filter(
Master_Mapping_Sheet!$E$2:$E$3143, ISNUMBER(
Master_Mapping_Sheet!$E$2:$E$3143),
Master_Mapping_Sheet!$H$2:$H$3143=Y$1,
Master_Mapping_Sheet!$B$2:$B$3143=$A35))/sum(filter(
Master_Mapping_Sheet!$E$2:$E$3143, ISNUMBER(
Master_Mapping_Sh"&amp;"eet!$E$2:$E$3143),
Master_Mapping_Sheet!$H$2:$H$3143=Y$1))), 0, sum(filter(
Master_Mapping_Sheet!$E$2:$E$3143, ISNUMBER(
Master_Mapping_Sheet!$E$2:$E$3143),
Master_Mapping_Sheet!$H$2:$H$3143=Y$1,
Master_Mapping_Sheet!$B$2:$B$3143=$A35))/sum(filter(
Master"&amp;"_Mapping_Sheet!$E$2:$E$3143, ISNUMBER(
Master_Mapping_Sheet!$E$2:$E$3143),
Master_Mapping_Sheet!$H$2:$H$3143=Y$1)))"),0.0)</f>
        <v>0</v>
      </c>
      <c r="Z35" s="34">
        <f>IFERROR(__xludf.DUMMYFUNCTION("IF(ISNA(sum(filter(
Master_Mapping_Sheet!$E$2:$E$3143, ISNUMBER(
Master_Mapping_Sheet!$E$2:$E$3143),
Master_Mapping_Sheet!$H$2:$H$3143=Z$1,
Master_Mapping_Sheet!$B$2:$B$3143=$A35))/sum(filter(
Master_Mapping_Sheet!$E$2:$E$3143, ISNUMBER(
Master_Mapping_Sh"&amp;"eet!$E$2:$E$3143),
Master_Mapping_Sheet!$H$2:$H$3143=Z$1))), 0, sum(filter(
Master_Mapping_Sheet!$E$2:$E$3143, ISNUMBER(
Master_Mapping_Sheet!$E$2:$E$3143),
Master_Mapping_Sheet!$H$2:$H$3143=Z$1,
Master_Mapping_Sheet!$B$2:$B$3143=$A35))/sum(filter(
Master"&amp;"_Mapping_Sheet!$E$2:$E$3143, ISNUMBER(
Master_Mapping_Sheet!$E$2:$E$3143),
Master_Mapping_Sheet!$H$2:$H$3143=Z$1)))"),0.0)</f>
        <v>0</v>
      </c>
      <c r="AA35" s="34">
        <f>IFERROR(__xludf.DUMMYFUNCTION("IF(ISNA(sum(filter(
Master_Mapping_Sheet!$E$2:$E$3143, ISNUMBER(
Master_Mapping_Sheet!$E$2:$E$3143),
Master_Mapping_Sheet!$H$2:$H$3143=AA$1,
Master_Mapping_Sheet!$B$2:$B$3143=$A35))/sum(filter(
Master_Mapping_Sheet!$E$2:$E$3143, ISNUMBER(
Master_Mapping_S"&amp;"heet!$E$2:$E$3143),
Master_Mapping_Sheet!$H$2:$H$3143=AA$1))), 0, sum(filter(
Master_Mapping_Sheet!$E$2:$E$3143, ISNUMBER(
Master_Mapping_Sheet!$E$2:$E$3143),
Master_Mapping_Sheet!$H$2:$H$3143=AA$1,
Master_Mapping_Sheet!$B$2:$B$3143=$A35))/sum(filter(
Mas"&amp;"ter_Mapping_Sheet!$E$2:$E$3143, ISNUMBER(
Master_Mapping_Sheet!$E$2:$E$3143),
Master_Mapping_Sheet!$H$2:$H$3143=AA$1)))"),0.0)</f>
        <v>0</v>
      </c>
    </row>
    <row r="36" ht="15.75" customHeight="1">
      <c r="A36" s="34" t="s">
        <v>1390</v>
      </c>
      <c r="B36" s="34" t="s">
        <v>3265</v>
      </c>
      <c r="C36" s="34">
        <f>IFERROR(__xludf.DUMMYFUNCTION("IF(ISNA(sum(filter(
Master_Mapping_Sheet!$E$2:$E$3143, ISNUMBER(
Master_Mapping_Sheet!$E$2:$E$3143),
Master_Mapping_Sheet!$H$2:$H$3143=C$1,
Master_Mapping_Sheet!$B$2:$B$3143=$A36))/sum(filter(
Master_Mapping_Sheet!$E$2:$E$3143, ISNUMBER(
Master_Mapping_Sh"&amp;"eet!$E$2:$E$3143),
Master_Mapping_Sheet!$H$2:$H$3143=C$1))), 0, sum(filter(
Master_Mapping_Sheet!$E$2:$E$3143, ISNUMBER(
Master_Mapping_Sheet!$E$2:$E$3143),
Master_Mapping_Sheet!$H$2:$H$3143=C$1,
Master_Mapping_Sheet!$B$2:$B$3143=$A36))/sum(filter(
Master"&amp;"_Mapping_Sheet!$E$2:$E$3143, ISNUMBER(
Master_Mapping_Sheet!$E$2:$E$3143),
Master_Mapping_Sheet!$H$2:$H$3143=C$1)))"),0.0)</f>
        <v>0</v>
      </c>
      <c r="D36" s="34">
        <f>IFERROR(__xludf.DUMMYFUNCTION("IF(ISNA(sum(filter(
Master_Mapping_Sheet!$E$2:$E$3143, ISNUMBER(
Master_Mapping_Sheet!$E$2:$E$3143),
Master_Mapping_Sheet!$H$2:$H$3143=D$1,
Master_Mapping_Sheet!$B$2:$B$3143=$A36))/sum(filter(
Master_Mapping_Sheet!$E$2:$E$3143, ISNUMBER(
Master_Mapping_Sh"&amp;"eet!$E$2:$E$3143),
Master_Mapping_Sheet!$H$2:$H$3143=D$1))), 0, sum(filter(
Master_Mapping_Sheet!$E$2:$E$3143, ISNUMBER(
Master_Mapping_Sheet!$E$2:$E$3143),
Master_Mapping_Sheet!$H$2:$H$3143=D$1,
Master_Mapping_Sheet!$B$2:$B$3143=$A36))/sum(filter(
Master"&amp;"_Mapping_Sheet!$E$2:$E$3143, ISNUMBER(
Master_Mapping_Sheet!$E$2:$E$3143),
Master_Mapping_Sheet!$H$2:$H$3143=D$1)))"),0.0)</f>
        <v>0</v>
      </c>
      <c r="E36" s="32">
        <f>IFERROR(__xludf.DUMMYFUNCTION("IF(ISNA(sum(filter(
Master_Mapping_Sheet!$E$2:$E$3143, ISNUMBER(
Master_Mapping_Sheet!$E$2:$E$3143),
Master_Mapping_Sheet!$H$2:$H$3143=E$1,
Master_Mapping_Sheet!$B$2:$B$3143=$A36))/sum(filter(
Master_Mapping_Sheet!$E$2:$E$3143, ISNUMBER(
Master_Mapping_Sh"&amp;"eet!$E$2:$E$3143),
Master_Mapping_Sheet!$H$2:$H$3143=E$1))), 0, sum(filter(
Master_Mapping_Sheet!$E$2:$E$3143, ISNUMBER(
Master_Mapping_Sheet!$E$2:$E$3143),
Master_Mapping_Sheet!$H$2:$H$3143=E$1,
Master_Mapping_Sheet!$B$2:$B$3143=$A36))/sum(filter(
Master"&amp;"_Mapping_Sheet!$E$2:$E$3143, ISNUMBER(
Master_Mapping_Sheet!$E$2:$E$3143),
Master_Mapping_Sheet!$H$2:$H$3143=E$1)))"),0.004941409388532509)</f>
        <v>0.004941409389</v>
      </c>
      <c r="F36" s="34">
        <f>IFERROR(__xludf.DUMMYFUNCTION("IF(ISNA(sum(filter(
Master_Mapping_Sheet!$E$2:$E$3143, ISNUMBER(
Master_Mapping_Sheet!$E$2:$E$3143),
Master_Mapping_Sheet!$H$2:$H$3143=F$1,
Master_Mapping_Sheet!$B$2:$B$3143=$A36))/sum(filter(
Master_Mapping_Sheet!$E$2:$E$3143, ISNUMBER(
Master_Mapping_Sh"&amp;"eet!$E$2:$E$3143),
Master_Mapping_Sheet!$H$2:$H$3143=F$1))), 0, sum(filter(
Master_Mapping_Sheet!$E$2:$E$3143, ISNUMBER(
Master_Mapping_Sheet!$E$2:$E$3143),
Master_Mapping_Sheet!$H$2:$H$3143=F$1,
Master_Mapping_Sheet!$B$2:$B$3143=$A36))/sum(filter(
Master"&amp;"_Mapping_Sheet!$E$2:$E$3143, ISNUMBER(
Master_Mapping_Sheet!$E$2:$E$3143),
Master_Mapping_Sheet!$H$2:$H$3143=F$1)))"),0.0)</f>
        <v>0</v>
      </c>
      <c r="G36" s="34">
        <f>IFERROR(__xludf.DUMMYFUNCTION("IF(ISNA(sum(filter(
Master_Mapping_Sheet!$E$2:$E$3143, ISNUMBER(
Master_Mapping_Sheet!$E$2:$E$3143),
Master_Mapping_Sheet!$H$2:$H$3143=G$1,
Master_Mapping_Sheet!$B$2:$B$3143=$A36))/sum(filter(
Master_Mapping_Sheet!$E$2:$E$3143, ISNUMBER(
Master_Mapping_Sh"&amp;"eet!$E$2:$E$3143),
Master_Mapping_Sheet!$H$2:$H$3143=G$1))), 0, sum(filter(
Master_Mapping_Sheet!$E$2:$E$3143, ISNUMBER(
Master_Mapping_Sheet!$E$2:$E$3143),
Master_Mapping_Sheet!$H$2:$H$3143=G$1,
Master_Mapping_Sheet!$B$2:$B$3143=$A36))/sum(filter(
Master"&amp;"_Mapping_Sheet!$E$2:$E$3143, ISNUMBER(
Master_Mapping_Sheet!$E$2:$E$3143),
Master_Mapping_Sheet!$H$2:$H$3143=G$1)))"),0.0)</f>
        <v>0</v>
      </c>
      <c r="H36" s="34">
        <f>IFERROR(__xludf.DUMMYFUNCTION("IF(ISNA(sum(filter(
Master_Mapping_Sheet!$E$2:$E$3143, ISNUMBER(
Master_Mapping_Sheet!$E$2:$E$3143),
Master_Mapping_Sheet!$H$2:$H$3143=H$1,
Master_Mapping_Sheet!$B$2:$B$3143=$A36))/sum(filter(
Master_Mapping_Sheet!$E$2:$E$3143, ISNUMBER(
Master_Mapping_Sh"&amp;"eet!$E$2:$E$3143),
Master_Mapping_Sheet!$H$2:$H$3143=H$1))), 0, sum(filter(
Master_Mapping_Sheet!$E$2:$E$3143, ISNUMBER(
Master_Mapping_Sheet!$E$2:$E$3143),
Master_Mapping_Sheet!$H$2:$H$3143=H$1,
Master_Mapping_Sheet!$B$2:$B$3143=$A36))/sum(filter(
Master"&amp;"_Mapping_Sheet!$E$2:$E$3143, ISNUMBER(
Master_Mapping_Sheet!$E$2:$E$3143),
Master_Mapping_Sheet!$H$2:$H$3143=H$1)))"),0.0)</f>
        <v>0</v>
      </c>
      <c r="I36" s="34">
        <f>IFERROR(__xludf.DUMMYFUNCTION("IF(ISNA(sum(filter(
Master_Mapping_Sheet!$E$2:$E$3143, ISNUMBER(
Master_Mapping_Sheet!$E$2:$E$3143),
Master_Mapping_Sheet!$H$2:$H$3143=I$1,
Master_Mapping_Sheet!$B$2:$B$3143=$A36))/sum(filter(
Master_Mapping_Sheet!$E$2:$E$3143, ISNUMBER(
Master_Mapping_Sh"&amp;"eet!$E$2:$E$3143),
Master_Mapping_Sheet!$H$2:$H$3143=I$1))), 0, sum(filter(
Master_Mapping_Sheet!$E$2:$E$3143, ISNUMBER(
Master_Mapping_Sheet!$E$2:$E$3143),
Master_Mapping_Sheet!$H$2:$H$3143=I$1,
Master_Mapping_Sheet!$B$2:$B$3143=$A36))/sum(filter(
Master"&amp;"_Mapping_Sheet!$E$2:$E$3143, ISNUMBER(
Master_Mapping_Sheet!$E$2:$E$3143),
Master_Mapping_Sheet!$H$2:$H$3143=I$1)))"),0.0)</f>
        <v>0</v>
      </c>
      <c r="J36" s="34">
        <f>IFERROR(__xludf.DUMMYFUNCTION("IF(ISNA(sum(filter(
Master_Mapping_Sheet!$E$2:$E$3143, ISNUMBER(
Master_Mapping_Sheet!$E$2:$E$3143),
Master_Mapping_Sheet!$H$2:$H$3143=J$1,
Master_Mapping_Sheet!$B$2:$B$3143=$A36))/sum(filter(
Master_Mapping_Sheet!$E$2:$E$3143, ISNUMBER(
Master_Mapping_Sh"&amp;"eet!$E$2:$E$3143),
Master_Mapping_Sheet!$H$2:$H$3143=J$1))), 0, sum(filter(
Master_Mapping_Sheet!$E$2:$E$3143, ISNUMBER(
Master_Mapping_Sheet!$E$2:$E$3143),
Master_Mapping_Sheet!$H$2:$H$3143=J$1,
Master_Mapping_Sheet!$B$2:$B$3143=$A36))/sum(filter(
Master"&amp;"_Mapping_Sheet!$E$2:$E$3143, ISNUMBER(
Master_Mapping_Sheet!$E$2:$E$3143),
Master_Mapping_Sheet!$H$2:$H$3143=J$1)))"),0.0)</f>
        <v>0</v>
      </c>
      <c r="K36" s="34">
        <f>IFERROR(__xludf.DUMMYFUNCTION("IF(ISNA(sum(filter(
Master_Mapping_Sheet!$E$2:$E$3143, ISNUMBER(
Master_Mapping_Sheet!$E$2:$E$3143),
Master_Mapping_Sheet!$H$2:$H$3143=K$1,
Master_Mapping_Sheet!$B$2:$B$3143=$A36))/sum(filter(
Master_Mapping_Sheet!$E$2:$E$3143, ISNUMBER(
Master_Mapping_Sh"&amp;"eet!$E$2:$E$3143),
Master_Mapping_Sheet!$H$2:$H$3143=K$1))), 0, sum(filter(
Master_Mapping_Sheet!$E$2:$E$3143, ISNUMBER(
Master_Mapping_Sheet!$E$2:$E$3143),
Master_Mapping_Sheet!$H$2:$H$3143=K$1,
Master_Mapping_Sheet!$B$2:$B$3143=$A36))/sum(filter(
Master"&amp;"_Mapping_Sheet!$E$2:$E$3143, ISNUMBER(
Master_Mapping_Sheet!$E$2:$E$3143),
Master_Mapping_Sheet!$H$2:$H$3143=K$1)))"),0.0)</f>
        <v>0</v>
      </c>
      <c r="L36" s="34">
        <f>IFERROR(__xludf.DUMMYFUNCTION("IF(ISNA(sum(filter(
Master_Mapping_Sheet!$E$2:$E$3143, ISNUMBER(
Master_Mapping_Sheet!$E$2:$E$3143),
Master_Mapping_Sheet!$H$2:$H$3143=L$1,
Master_Mapping_Sheet!$B$2:$B$3143=$A36))/sum(filter(
Master_Mapping_Sheet!$E$2:$E$3143, ISNUMBER(
Master_Mapping_Sh"&amp;"eet!$E$2:$E$3143),
Master_Mapping_Sheet!$H$2:$H$3143=L$1))), 0, sum(filter(
Master_Mapping_Sheet!$E$2:$E$3143, ISNUMBER(
Master_Mapping_Sheet!$E$2:$E$3143),
Master_Mapping_Sheet!$H$2:$H$3143=L$1,
Master_Mapping_Sheet!$B$2:$B$3143=$A36))/sum(filter(
Master"&amp;"_Mapping_Sheet!$E$2:$E$3143, ISNUMBER(
Master_Mapping_Sheet!$E$2:$E$3143),
Master_Mapping_Sheet!$H$2:$H$3143=L$1)))"),0.0)</f>
        <v>0</v>
      </c>
      <c r="M36" s="34">
        <f>IFERROR(__xludf.DUMMYFUNCTION("IF(ISNA(sum(filter(
Master_Mapping_Sheet!$E$2:$E$3143, ISNUMBER(
Master_Mapping_Sheet!$E$2:$E$3143),
Master_Mapping_Sheet!$H$2:$H$3143=M$1,
Master_Mapping_Sheet!$B$2:$B$3143=$A36))/sum(filter(
Master_Mapping_Sheet!$E$2:$E$3143, ISNUMBER(
Master_Mapping_Sh"&amp;"eet!$E$2:$E$3143),
Master_Mapping_Sheet!$H$2:$H$3143=M$1))), 0, sum(filter(
Master_Mapping_Sheet!$E$2:$E$3143, ISNUMBER(
Master_Mapping_Sheet!$E$2:$E$3143),
Master_Mapping_Sheet!$H$2:$H$3143=M$1,
Master_Mapping_Sheet!$B$2:$B$3143=$A36))/sum(filter(
Master"&amp;"_Mapping_Sheet!$E$2:$E$3143, ISNUMBER(
Master_Mapping_Sheet!$E$2:$E$3143),
Master_Mapping_Sheet!$H$2:$H$3143=M$1)))"),0.0)</f>
        <v>0</v>
      </c>
      <c r="N36" s="34">
        <f>IFERROR(__xludf.DUMMYFUNCTION("IF(ISNA(sum(filter(
Master_Mapping_Sheet!$E$2:$E$3143, ISNUMBER(
Master_Mapping_Sheet!$E$2:$E$3143),
Master_Mapping_Sheet!$H$2:$H$3143=N$1,
Master_Mapping_Sheet!$B$2:$B$3143=$A36))/sum(filter(
Master_Mapping_Sheet!$E$2:$E$3143, ISNUMBER(
Master_Mapping_Sh"&amp;"eet!$E$2:$E$3143),
Master_Mapping_Sheet!$H$2:$H$3143=N$1))), 0, sum(filter(
Master_Mapping_Sheet!$E$2:$E$3143, ISNUMBER(
Master_Mapping_Sheet!$E$2:$E$3143),
Master_Mapping_Sheet!$H$2:$H$3143=N$1,
Master_Mapping_Sheet!$B$2:$B$3143=$A36))/sum(filter(
Master"&amp;"_Mapping_Sheet!$E$2:$E$3143, ISNUMBER(
Master_Mapping_Sheet!$E$2:$E$3143),
Master_Mapping_Sheet!$H$2:$H$3143=N$1)))"),0.0)</f>
        <v>0</v>
      </c>
      <c r="O36" s="34">
        <f>IFERROR(__xludf.DUMMYFUNCTION("IF(ISNA(sum(filter(
Master_Mapping_Sheet!$E$2:$E$3143, ISNUMBER(
Master_Mapping_Sheet!$E$2:$E$3143),
Master_Mapping_Sheet!$H$2:$H$3143=O$1,
Master_Mapping_Sheet!$B$2:$B$3143=$A36))/sum(filter(
Master_Mapping_Sheet!$E$2:$E$3143, ISNUMBER(
Master_Mapping_Sh"&amp;"eet!$E$2:$E$3143),
Master_Mapping_Sheet!$H$2:$H$3143=O$1))), 0, sum(filter(
Master_Mapping_Sheet!$E$2:$E$3143, ISNUMBER(
Master_Mapping_Sheet!$E$2:$E$3143),
Master_Mapping_Sheet!$H$2:$H$3143=O$1,
Master_Mapping_Sheet!$B$2:$B$3143=$A36))/sum(filter(
Master"&amp;"_Mapping_Sheet!$E$2:$E$3143, ISNUMBER(
Master_Mapping_Sheet!$E$2:$E$3143),
Master_Mapping_Sheet!$H$2:$H$3143=O$1)))"),0.0)</f>
        <v>0</v>
      </c>
      <c r="P36" s="34">
        <f>IFERROR(__xludf.DUMMYFUNCTION("IF(ISNA(sum(filter(
Master_Mapping_Sheet!$E$2:$E$3143, ISNUMBER(
Master_Mapping_Sheet!$E$2:$E$3143),
Master_Mapping_Sheet!$H$2:$H$3143=P$1,
Master_Mapping_Sheet!$B$2:$B$3143=$A36))/sum(filter(
Master_Mapping_Sheet!$E$2:$E$3143, ISNUMBER(
Master_Mapping_Sh"&amp;"eet!$E$2:$E$3143),
Master_Mapping_Sheet!$H$2:$H$3143=P$1))), 0, sum(filter(
Master_Mapping_Sheet!$E$2:$E$3143, ISNUMBER(
Master_Mapping_Sheet!$E$2:$E$3143),
Master_Mapping_Sheet!$H$2:$H$3143=P$1,
Master_Mapping_Sheet!$B$2:$B$3143=$A36))/sum(filter(
Master"&amp;"_Mapping_Sheet!$E$2:$E$3143, ISNUMBER(
Master_Mapping_Sheet!$E$2:$E$3143),
Master_Mapping_Sheet!$H$2:$H$3143=P$1)))"),0.0)</f>
        <v>0</v>
      </c>
      <c r="Q36" s="34">
        <f>IFERROR(__xludf.DUMMYFUNCTION("IF(ISNA(sum(filter(
Master_Mapping_Sheet!$E$2:$E$3143, ISNUMBER(
Master_Mapping_Sheet!$E$2:$E$3143),
Master_Mapping_Sheet!$H$2:$H$3143=Q$1,
Master_Mapping_Sheet!$B$2:$B$3143=$A36))/sum(filter(
Master_Mapping_Sheet!$E$2:$E$3143, ISNUMBER(
Master_Mapping_Sh"&amp;"eet!$E$2:$E$3143),
Master_Mapping_Sheet!$H$2:$H$3143=Q$1))), 0, sum(filter(
Master_Mapping_Sheet!$E$2:$E$3143, ISNUMBER(
Master_Mapping_Sheet!$E$2:$E$3143),
Master_Mapping_Sheet!$H$2:$H$3143=Q$1,
Master_Mapping_Sheet!$B$2:$B$3143=$A36))/sum(filter(
Master"&amp;"_Mapping_Sheet!$E$2:$E$3143, ISNUMBER(
Master_Mapping_Sheet!$E$2:$E$3143),
Master_Mapping_Sheet!$H$2:$H$3143=Q$1)))"),0.0)</f>
        <v>0</v>
      </c>
      <c r="R36" s="34">
        <f>IFERROR(__xludf.DUMMYFUNCTION("IF(ISNA(sum(filter(
Master_Mapping_Sheet!$E$2:$E$3143, ISNUMBER(
Master_Mapping_Sheet!$E$2:$E$3143),
Master_Mapping_Sheet!$H$2:$H$3143=R$1,
Master_Mapping_Sheet!$B$2:$B$3143=$A36))/sum(filter(
Master_Mapping_Sheet!$E$2:$E$3143, ISNUMBER(
Master_Mapping_Sh"&amp;"eet!$E$2:$E$3143),
Master_Mapping_Sheet!$H$2:$H$3143=R$1))), 0, sum(filter(
Master_Mapping_Sheet!$E$2:$E$3143, ISNUMBER(
Master_Mapping_Sheet!$E$2:$E$3143),
Master_Mapping_Sheet!$H$2:$H$3143=R$1,
Master_Mapping_Sheet!$B$2:$B$3143=$A36))/sum(filter(
Master"&amp;"_Mapping_Sheet!$E$2:$E$3143, ISNUMBER(
Master_Mapping_Sheet!$E$2:$E$3143),
Master_Mapping_Sheet!$H$2:$H$3143=R$1)))"),0.0)</f>
        <v>0</v>
      </c>
      <c r="S36" s="34">
        <f>IFERROR(__xludf.DUMMYFUNCTION("IF(ISNA(sum(filter(
Master_Mapping_Sheet!$E$2:$E$3143, ISNUMBER(
Master_Mapping_Sheet!$E$2:$E$3143),
Master_Mapping_Sheet!$H$2:$H$3143=S$1,
Master_Mapping_Sheet!$B$2:$B$3143=$A36))/sum(filter(
Master_Mapping_Sheet!$E$2:$E$3143, ISNUMBER(
Master_Mapping_Sh"&amp;"eet!$E$2:$E$3143),
Master_Mapping_Sheet!$H$2:$H$3143=S$1))), 0, sum(filter(
Master_Mapping_Sheet!$E$2:$E$3143, ISNUMBER(
Master_Mapping_Sheet!$E$2:$E$3143),
Master_Mapping_Sheet!$H$2:$H$3143=S$1,
Master_Mapping_Sheet!$B$2:$B$3143=$A36))/sum(filter(
Master"&amp;"_Mapping_Sheet!$E$2:$E$3143, ISNUMBER(
Master_Mapping_Sheet!$E$2:$E$3143),
Master_Mapping_Sheet!$H$2:$H$3143=S$1)))"),0.0)</f>
        <v>0</v>
      </c>
      <c r="T36" s="34">
        <f>IFERROR(__xludf.DUMMYFUNCTION("IF(ISNA(sum(filter(
Master_Mapping_Sheet!$E$2:$E$3143, ISNUMBER(
Master_Mapping_Sheet!$E$2:$E$3143),
Master_Mapping_Sheet!$H$2:$H$3143=T$1,
Master_Mapping_Sheet!$B$2:$B$3143=$A36))/sum(filter(
Master_Mapping_Sheet!$E$2:$E$3143, ISNUMBER(
Master_Mapping_Sh"&amp;"eet!$E$2:$E$3143),
Master_Mapping_Sheet!$H$2:$H$3143=T$1))), 0, sum(filter(
Master_Mapping_Sheet!$E$2:$E$3143, ISNUMBER(
Master_Mapping_Sheet!$E$2:$E$3143),
Master_Mapping_Sheet!$H$2:$H$3143=T$1,
Master_Mapping_Sheet!$B$2:$B$3143=$A36))/sum(filter(
Master"&amp;"_Mapping_Sheet!$E$2:$E$3143, ISNUMBER(
Master_Mapping_Sheet!$E$2:$E$3143),
Master_Mapping_Sheet!$H$2:$H$3143=T$1)))"),0.0)</f>
        <v>0</v>
      </c>
      <c r="U36" s="34">
        <f>IFERROR(__xludf.DUMMYFUNCTION("IF(ISNA(sum(filter(
Master_Mapping_Sheet!$E$2:$E$3143, ISNUMBER(
Master_Mapping_Sheet!$E$2:$E$3143),
Master_Mapping_Sheet!$H$2:$H$3143=U$1,
Master_Mapping_Sheet!$B$2:$B$3143=$A36))/sum(filter(
Master_Mapping_Sheet!$E$2:$E$3143, ISNUMBER(
Master_Mapping_Sh"&amp;"eet!$E$2:$E$3143),
Master_Mapping_Sheet!$H$2:$H$3143=U$1))), 0, sum(filter(
Master_Mapping_Sheet!$E$2:$E$3143, ISNUMBER(
Master_Mapping_Sheet!$E$2:$E$3143),
Master_Mapping_Sheet!$H$2:$H$3143=U$1,
Master_Mapping_Sheet!$B$2:$B$3143=$A36))/sum(filter(
Master"&amp;"_Mapping_Sheet!$E$2:$E$3143, ISNUMBER(
Master_Mapping_Sheet!$E$2:$E$3143),
Master_Mapping_Sheet!$H$2:$H$3143=U$1)))"),0.16281186319766344)</f>
        <v>0.1628118632</v>
      </c>
      <c r="V36" s="34">
        <f>IFERROR(__xludf.DUMMYFUNCTION("IF(ISNA(sum(filter(
Master_Mapping_Sheet!$E$2:$E$3143, ISNUMBER(
Master_Mapping_Sheet!$E$2:$E$3143),
Master_Mapping_Sheet!$H$2:$H$3143=V$1,
Master_Mapping_Sheet!$B$2:$B$3143=$A36))/sum(filter(
Master_Mapping_Sheet!$E$2:$E$3143, ISNUMBER(
Master_Mapping_Sh"&amp;"eet!$E$2:$E$3143),
Master_Mapping_Sheet!$H$2:$H$3143=V$1))), 0, sum(filter(
Master_Mapping_Sheet!$E$2:$E$3143, ISNUMBER(
Master_Mapping_Sheet!$E$2:$E$3143),
Master_Mapping_Sheet!$H$2:$H$3143=V$1,
Master_Mapping_Sheet!$B$2:$B$3143=$A36))/sum(filter(
Master"&amp;"_Mapping_Sheet!$E$2:$E$3143, ISNUMBER(
Master_Mapping_Sheet!$E$2:$E$3143),
Master_Mapping_Sheet!$H$2:$H$3143=V$1)))"),0.0)</f>
        <v>0</v>
      </c>
      <c r="W36" s="34">
        <f>IFERROR(__xludf.DUMMYFUNCTION("IF(ISNA(sum(filter(
Master_Mapping_Sheet!$E$2:$E$3143, ISNUMBER(
Master_Mapping_Sheet!$E$2:$E$3143),
Master_Mapping_Sheet!$H$2:$H$3143=W$1,
Master_Mapping_Sheet!$B$2:$B$3143=$A36))/sum(filter(
Master_Mapping_Sheet!$E$2:$E$3143, ISNUMBER(
Master_Mapping_Sh"&amp;"eet!$E$2:$E$3143),
Master_Mapping_Sheet!$H$2:$H$3143=W$1))), 0, sum(filter(
Master_Mapping_Sheet!$E$2:$E$3143, ISNUMBER(
Master_Mapping_Sheet!$E$2:$E$3143),
Master_Mapping_Sheet!$H$2:$H$3143=W$1,
Master_Mapping_Sheet!$B$2:$B$3143=$A36))/sum(filter(
Master"&amp;"_Mapping_Sheet!$E$2:$E$3143, ISNUMBER(
Master_Mapping_Sheet!$E$2:$E$3143),
Master_Mapping_Sheet!$H$2:$H$3143=W$1)))"),0.0)</f>
        <v>0</v>
      </c>
      <c r="X36" s="34">
        <f>IFERROR(__xludf.DUMMYFUNCTION("IF(ISNA(sum(filter(
Master_Mapping_Sheet!$E$2:$E$3143, ISNUMBER(
Master_Mapping_Sheet!$E$2:$E$3143),
Master_Mapping_Sheet!$H$2:$H$3143=X$1,
Master_Mapping_Sheet!$B$2:$B$3143=$A36))/sum(filter(
Master_Mapping_Sheet!$E$2:$E$3143, ISNUMBER(
Master_Mapping_Sh"&amp;"eet!$E$2:$E$3143),
Master_Mapping_Sheet!$H$2:$H$3143=X$1))), 0, sum(filter(
Master_Mapping_Sheet!$E$2:$E$3143, ISNUMBER(
Master_Mapping_Sheet!$E$2:$E$3143),
Master_Mapping_Sheet!$H$2:$H$3143=X$1,
Master_Mapping_Sheet!$B$2:$B$3143=$A36))/sum(filter(
Master"&amp;"_Mapping_Sheet!$E$2:$E$3143, ISNUMBER(
Master_Mapping_Sheet!$E$2:$E$3143),
Master_Mapping_Sheet!$H$2:$H$3143=X$1)))"),0.0)</f>
        <v>0</v>
      </c>
      <c r="Y36" s="34">
        <f>IFERROR(__xludf.DUMMYFUNCTION("IF(ISNA(sum(filter(
Master_Mapping_Sheet!$E$2:$E$3143, ISNUMBER(
Master_Mapping_Sheet!$E$2:$E$3143),
Master_Mapping_Sheet!$H$2:$H$3143=Y$1,
Master_Mapping_Sheet!$B$2:$B$3143=$A36))/sum(filter(
Master_Mapping_Sheet!$E$2:$E$3143, ISNUMBER(
Master_Mapping_Sh"&amp;"eet!$E$2:$E$3143),
Master_Mapping_Sheet!$H$2:$H$3143=Y$1))), 0, sum(filter(
Master_Mapping_Sheet!$E$2:$E$3143, ISNUMBER(
Master_Mapping_Sheet!$E$2:$E$3143),
Master_Mapping_Sheet!$H$2:$H$3143=Y$1,
Master_Mapping_Sheet!$B$2:$B$3143=$A36))/sum(filter(
Master"&amp;"_Mapping_Sheet!$E$2:$E$3143, ISNUMBER(
Master_Mapping_Sheet!$E$2:$E$3143),
Master_Mapping_Sheet!$H$2:$H$3143=Y$1)))"),0.0)</f>
        <v>0</v>
      </c>
      <c r="Z36" s="34">
        <f>IFERROR(__xludf.DUMMYFUNCTION("IF(ISNA(sum(filter(
Master_Mapping_Sheet!$E$2:$E$3143, ISNUMBER(
Master_Mapping_Sheet!$E$2:$E$3143),
Master_Mapping_Sheet!$H$2:$H$3143=Z$1,
Master_Mapping_Sheet!$B$2:$B$3143=$A36))/sum(filter(
Master_Mapping_Sheet!$E$2:$E$3143, ISNUMBER(
Master_Mapping_Sh"&amp;"eet!$E$2:$E$3143),
Master_Mapping_Sheet!$H$2:$H$3143=Z$1))), 0, sum(filter(
Master_Mapping_Sheet!$E$2:$E$3143, ISNUMBER(
Master_Mapping_Sheet!$E$2:$E$3143),
Master_Mapping_Sheet!$H$2:$H$3143=Z$1,
Master_Mapping_Sheet!$B$2:$B$3143=$A36))/sum(filter(
Master"&amp;"_Mapping_Sheet!$E$2:$E$3143, ISNUMBER(
Master_Mapping_Sheet!$E$2:$E$3143),
Master_Mapping_Sheet!$H$2:$H$3143=Z$1)))"),0.0)</f>
        <v>0</v>
      </c>
      <c r="AA36" s="34">
        <f>IFERROR(__xludf.DUMMYFUNCTION("IF(ISNA(sum(filter(
Master_Mapping_Sheet!$E$2:$E$3143, ISNUMBER(
Master_Mapping_Sheet!$E$2:$E$3143),
Master_Mapping_Sheet!$H$2:$H$3143=AA$1,
Master_Mapping_Sheet!$B$2:$B$3143=$A36))/sum(filter(
Master_Mapping_Sheet!$E$2:$E$3143, ISNUMBER(
Master_Mapping_S"&amp;"heet!$E$2:$E$3143),
Master_Mapping_Sheet!$H$2:$H$3143=AA$1))), 0, sum(filter(
Master_Mapping_Sheet!$E$2:$E$3143, ISNUMBER(
Master_Mapping_Sheet!$E$2:$E$3143),
Master_Mapping_Sheet!$H$2:$H$3143=AA$1,
Master_Mapping_Sheet!$B$2:$B$3143=$A36))/sum(filter(
Mas"&amp;"ter_Mapping_Sheet!$E$2:$E$3143, ISNUMBER(
Master_Mapping_Sheet!$E$2:$E$3143),
Master_Mapping_Sheet!$H$2:$H$3143=AA$1)))"),0.0)</f>
        <v>0</v>
      </c>
    </row>
    <row r="37" ht="15.75" customHeight="1">
      <c r="A37" s="34" t="s">
        <v>683</v>
      </c>
      <c r="B37" s="34" t="s">
        <v>3297</v>
      </c>
      <c r="C37" s="34">
        <f>IFERROR(__xludf.DUMMYFUNCTION("IF(ISNA(sum(filter(
Master_Mapping_Sheet!$E$2:$E$3143, ISNUMBER(
Master_Mapping_Sheet!$E$2:$E$3143),
Master_Mapping_Sheet!$H$2:$H$3143=C$1,
Master_Mapping_Sheet!$B$2:$B$3143=$A37))/sum(filter(
Master_Mapping_Sheet!$E$2:$E$3143, ISNUMBER(
Master_Mapping_Sh"&amp;"eet!$E$2:$E$3143),
Master_Mapping_Sheet!$H$2:$H$3143=C$1))), 0, sum(filter(
Master_Mapping_Sheet!$E$2:$E$3143, ISNUMBER(
Master_Mapping_Sheet!$E$2:$E$3143),
Master_Mapping_Sheet!$H$2:$H$3143=C$1,
Master_Mapping_Sheet!$B$2:$B$3143=$A37))/sum(filter(
Master"&amp;"_Mapping_Sheet!$E$2:$E$3143, ISNUMBER(
Master_Mapping_Sheet!$E$2:$E$3143),
Master_Mapping_Sheet!$H$2:$H$3143=C$1)))"),0.0)</f>
        <v>0</v>
      </c>
      <c r="D37" s="34">
        <f>IFERROR(__xludf.DUMMYFUNCTION("IF(ISNA(sum(filter(
Master_Mapping_Sheet!$E$2:$E$3143, ISNUMBER(
Master_Mapping_Sheet!$E$2:$E$3143),
Master_Mapping_Sheet!$H$2:$H$3143=D$1,
Master_Mapping_Sheet!$B$2:$B$3143=$A37))/sum(filter(
Master_Mapping_Sheet!$E$2:$E$3143, ISNUMBER(
Master_Mapping_Sh"&amp;"eet!$E$2:$E$3143),
Master_Mapping_Sheet!$H$2:$H$3143=D$1))), 0, sum(filter(
Master_Mapping_Sheet!$E$2:$E$3143, ISNUMBER(
Master_Mapping_Sheet!$E$2:$E$3143),
Master_Mapping_Sheet!$H$2:$H$3143=D$1,
Master_Mapping_Sheet!$B$2:$B$3143=$A37))/sum(filter(
Master"&amp;"_Mapping_Sheet!$E$2:$E$3143, ISNUMBER(
Master_Mapping_Sheet!$E$2:$E$3143),
Master_Mapping_Sheet!$H$2:$H$3143=D$1)))"),0.0)</f>
        <v>0</v>
      </c>
      <c r="E37" s="32">
        <f>IFERROR(__xludf.DUMMYFUNCTION("IF(ISNA(sum(filter(
Master_Mapping_Sheet!$E$2:$E$3143, ISNUMBER(
Master_Mapping_Sheet!$E$2:$E$3143),
Master_Mapping_Sheet!$H$2:$H$3143=E$1,
Master_Mapping_Sheet!$B$2:$B$3143=$A37))/sum(filter(
Master_Mapping_Sheet!$E$2:$E$3143, ISNUMBER(
Master_Mapping_Sh"&amp;"eet!$E$2:$E$3143),
Master_Mapping_Sheet!$H$2:$H$3143=E$1))), 0, sum(filter(
Master_Mapping_Sheet!$E$2:$E$3143, ISNUMBER(
Master_Mapping_Sheet!$E$2:$E$3143),
Master_Mapping_Sheet!$H$2:$H$3143=E$1,
Master_Mapping_Sheet!$B$2:$B$3143=$A37))/sum(filter(
Master"&amp;"_Mapping_Sheet!$E$2:$E$3143, ISNUMBER(
Master_Mapping_Sheet!$E$2:$E$3143),
Master_Mapping_Sheet!$H$2:$H$3143=E$1)))"),0.0)</f>
        <v>0</v>
      </c>
      <c r="F37" s="34">
        <f>IFERROR(__xludf.DUMMYFUNCTION("IF(ISNA(sum(filter(
Master_Mapping_Sheet!$E$2:$E$3143, ISNUMBER(
Master_Mapping_Sheet!$E$2:$E$3143),
Master_Mapping_Sheet!$H$2:$H$3143=F$1,
Master_Mapping_Sheet!$B$2:$B$3143=$A37))/sum(filter(
Master_Mapping_Sheet!$E$2:$E$3143, ISNUMBER(
Master_Mapping_Sh"&amp;"eet!$E$2:$E$3143),
Master_Mapping_Sheet!$H$2:$H$3143=F$1))), 0, sum(filter(
Master_Mapping_Sheet!$E$2:$E$3143, ISNUMBER(
Master_Mapping_Sheet!$E$2:$E$3143),
Master_Mapping_Sheet!$H$2:$H$3143=F$1,
Master_Mapping_Sheet!$B$2:$B$3143=$A37))/sum(filter(
Master"&amp;"_Mapping_Sheet!$E$2:$E$3143, ISNUMBER(
Master_Mapping_Sheet!$E$2:$E$3143),
Master_Mapping_Sheet!$H$2:$H$3143=F$1)))"),0.0)</f>
        <v>0</v>
      </c>
      <c r="G37" s="34">
        <f>IFERROR(__xludf.DUMMYFUNCTION("IF(ISNA(sum(filter(
Master_Mapping_Sheet!$E$2:$E$3143, ISNUMBER(
Master_Mapping_Sheet!$E$2:$E$3143),
Master_Mapping_Sheet!$H$2:$H$3143=G$1,
Master_Mapping_Sheet!$B$2:$B$3143=$A37))/sum(filter(
Master_Mapping_Sheet!$E$2:$E$3143, ISNUMBER(
Master_Mapping_Sh"&amp;"eet!$E$2:$E$3143),
Master_Mapping_Sheet!$H$2:$H$3143=G$1))), 0, sum(filter(
Master_Mapping_Sheet!$E$2:$E$3143, ISNUMBER(
Master_Mapping_Sheet!$E$2:$E$3143),
Master_Mapping_Sheet!$H$2:$H$3143=G$1,
Master_Mapping_Sheet!$B$2:$B$3143=$A37))/sum(filter(
Master"&amp;"_Mapping_Sheet!$E$2:$E$3143, ISNUMBER(
Master_Mapping_Sheet!$E$2:$E$3143),
Master_Mapping_Sheet!$H$2:$H$3143=G$1)))"),0.0)</f>
        <v>0</v>
      </c>
      <c r="H37" s="34">
        <f>IFERROR(__xludf.DUMMYFUNCTION("IF(ISNA(sum(filter(
Master_Mapping_Sheet!$E$2:$E$3143, ISNUMBER(
Master_Mapping_Sheet!$E$2:$E$3143),
Master_Mapping_Sheet!$H$2:$H$3143=H$1,
Master_Mapping_Sheet!$B$2:$B$3143=$A37))/sum(filter(
Master_Mapping_Sheet!$E$2:$E$3143, ISNUMBER(
Master_Mapping_Sh"&amp;"eet!$E$2:$E$3143),
Master_Mapping_Sheet!$H$2:$H$3143=H$1))), 0, sum(filter(
Master_Mapping_Sheet!$E$2:$E$3143, ISNUMBER(
Master_Mapping_Sheet!$E$2:$E$3143),
Master_Mapping_Sheet!$H$2:$H$3143=H$1,
Master_Mapping_Sheet!$B$2:$B$3143=$A37))/sum(filter(
Master"&amp;"_Mapping_Sheet!$E$2:$E$3143, ISNUMBER(
Master_Mapping_Sheet!$E$2:$E$3143),
Master_Mapping_Sheet!$H$2:$H$3143=H$1)))"),0.0)</f>
        <v>0</v>
      </c>
      <c r="I37" s="34">
        <f>IFERROR(__xludf.DUMMYFUNCTION("IF(ISNA(sum(filter(
Master_Mapping_Sheet!$E$2:$E$3143, ISNUMBER(
Master_Mapping_Sheet!$E$2:$E$3143),
Master_Mapping_Sheet!$H$2:$H$3143=I$1,
Master_Mapping_Sheet!$B$2:$B$3143=$A37))/sum(filter(
Master_Mapping_Sheet!$E$2:$E$3143, ISNUMBER(
Master_Mapping_Sh"&amp;"eet!$E$2:$E$3143),
Master_Mapping_Sheet!$H$2:$H$3143=I$1))), 0, sum(filter(
Master_Mapping_Sheet!$E$2:$E$3143, ISNUMBER(
Master_Mapping_Sheet!$E$2:$E$3143),
Master_Mapping_Sheet!$H$2:$H$3143=I$1,
Master_Mapping_Sheet!$B$2:$B$3143=$A37))/sum(filter(
Master"&amp;"_Mapping_Sheet!$E$2:$E$3143, ISNUMBER(
Master_Mapping_Sheet!$E$2:$E$3143),
Master_Mapping_Sheet!$H$2:$H$3143=I$1)))"),0.0)</f>
        <v>0</v>
      </c>
      <c r="J37" s="34">
        <f>IFERROR(__xludf.DUMMYFUNCTION("IF(ISNA(sum(filter(
Master_Mapping_Sheet!$E$2:$E$3143, ISNUMBER(
Master_Mapping_Sheet!$E$2:$E$3143),
Master_Mapping_Sheet!$H$2:$H$3143=J$1,
Master_Mapping_Sheet!$B$2:$B$3143=$A37))/sum(filter(
Master_Mapping_Sheet!$E$2:$E$3143, ISNUMBER(
Master_Mapping_Sh"&amp;"eet!$E$2:$E$3143),
Master_Mapping_Sheet!$H$2:$H$3143=J$1))), 0, sum(filter(
Master_Mapping_Sheet!$E$2:$E$3143, ISNUMBER(
Master_Mapping_Sheet!$E$2:$E$3143),
Master_Mapping_Sheet!$H$2:$H$3143=J$1,
Master_Mapping_Sheet!$B$2:$B$3143=$A37))/sum(filter(
Master"&amp;"_Mapping_Sheet!$E$2:$E$3143, ISNUMBER(
Master_Mapping_Sheet!$E$2:$E$3143),
Master_Mapping_Sheet!$H$2:$H$3143=J$1)))"),0.0)</f>
        <v>0</v>
      </c>
      <c r="K37" s="34">
        <f>IFERROR(__xludf.DUMMYFUNCTION("IF(ISNA(sum(filter(
Master_Mapping_Sheet!$E$2:$E$3143, ISNUMBER(
Master_Mapping_Sheet!$E$2:$E$3143),
Master_Mapping_Sheet!$H$2:$H$3143=K$1,
Master_Mapping_Sheet!$B$2:$B$3143=$A37))/sum(filter(
Master_Mapping_Sheet!$E$2:$E$3143, ISNUMBER(
Master_Mapping_Sh"&amp;"eet!$E$2:$E$3143),
Master_Mapping_Sheet!$H$2:$H$3143=K$1))), 0, sum(filter(
Master_Mapping_Sheet!$E$2:$E$3143, ISNUMBER(
Master_Mapping_Sheet!$E$2:$E$3143),
Master_Mapping_Sheet!$H$2:$H$3143=K$1,
Master_Mapping_Sheet!$B$2:$B$3143=$A37))/sum(filter(
Master"&amp;"_Mapping_Sheet!$E$2:$E$3143, ISNUMBER(
Master_Mapping_Sheet!$E$2:$E$3143),
Master_Mapping_Sheet!$H$2:$H$3143=K$1)))"),0.0)</f>
        <v>0</v>
      </c>
      <c r="L37" s="34">
        <f>IFERROR(__xludf.DUMMYFUNCTION("IF(ISNA(sum(filter(
Master_Mapping_Sheet!$E$2:$E$3143, ISNUMBER(
Master_Mapping_Sheet!$E$2:$E$3143),
Master_Mapping_Sheet!$H$2:$H$3143=L$1,
Master_Mapping_Sheet!$B$2:$B$3143=$A37))/sum(filter(
Master_Mapping_Sheet!$E$2:$E$3143, ISNUMBER(
Master_Mapping_Sh"&amp;"eet!$E$2:$E$3143),
Master_Mapping_Sheet!$H$2:$H$3143=L$1))), 0, sum(filter(
Master_Mapping_Sheet!$E$2:$E$3143, ISNUMBER(
Master_Mapping_Sheet!$E$2:$E$3143),
Master_Mapping_Sheet!$H$2:$H$3143=L$1,
Master_Mapping_Sheet!$B$2:$B$3143=$A37))/sum(filter(
Master"&amp;"_Mapping_Sheet!$E$2:$E$3143, ISNUMBER(
Master_Mapping_Sheet!$E$2:$E$3143),
Master_Mapping_Sheet!$H$2:$H$3143=L$1)))"),0.0)</f>
        <v>0</v>
      </c>
      <c r="M37" s="34">
        <f>IFERROR(__xludf.DUMMYFUNCTION("IF(ISNA(sum(filter(
Master_Mapping_Sheet!$E$2:$E$3143, ISNUMBER(
Master_Mapping_Sheet!$E$2:$E$3143),
Master_Mapping_Sheet!$H$2:$H$3143=M$1,
Master_Mapping_Sheet!$B$2:$B$3143=$A37))/sum(filter(
Master_Mapping_Sheet!$E$2:$E$3143, ISNUMBER(
Master_Mapping_Sh"&amp;"eet!$E$2:$E$3143),
Master_Mapping_Sheet!$H$2:$H$3143=M$1))), 0, sum(filter(
Master_Mapping_Sheet!$E$2:$E$3143, ISNUMBER(
Master_Mapping_Sheet!$E$2:$E$3143),
Master_Mapping_Sheet!$H$2:$H$3143=M$1,
Master_Mapping_Sheet!$B$2:$B$3143=$A37))/sum(filter(
Master"&amp;"_Mapping_Sheet!$E$2:$E$3143, ISNUMBER(
Master_Mapping_Sheet!$E$2:$E$3143),
Master_Mapping_Sheet!$H$2:$H$3143=M$1)))"),0.5153989063477502)</f>
        <v>0.5153989063</v>
      </c>
      <c r="N37" s="34">
        <f>IFERROR(__xludf.DUMMYFUNCTION("IF(ISNA(sum(filter(
Master_Mapping_Sheet!$E$2:$E$3143, ISNUMBER(
Master_Mapping_Sheet!$E$2:$E$3143),
Master_Mapping_Sheet!$H$2:$H$3143=N$1,
Master_Mapping_Sheet!$B$2:$B$3143=$A37))/sum(filter(
Master_Mapping_Sheet!$E$2:$E$3143, ISNUMBER(
Master_Mapping_Sh"&amp;"eet!$E$2:$E$3143),
Master_Mapping_Sheet!$H$2:$H$3143=N$1))), 0, sum(filter(
Master_Mapping_Sheet!$E$2:$E$3143, ISNUMBER(
Master_Mapping_Sheet!$E$2:$E$3143),
Master_Mapping_Sheet!$H$2:$H$3143=N$1,
Master_Mapping_Sheet!$B$2:$B$3143=$A37))/sum(filter(
Master"&amp;"_Mapping_Sheet!$E$2:$E$3143, ISNUMBER(
Master_Mapping_Sheet!$E$2:$E$3143),
Master_Mapping_Sheet!$H$2:$H$3143=N$1)))"),0.0)</f>
        <v>0</v>
      </c>
      <c r="O37" s="34">
        <f>IFERROR(__xludf.DUMMYFUNCTION("IF(ISNA(sum(filter(
Master_Mapping_Sheet!$E$2:$E$3143, ISNUMBER(
Master_Mapping_Sheet!$E$2:$E$3143),
Master_Mapping_Sheet!$H$2:$H$3143=O$1,
Master_Mapping_Sheet!$B$2:$B$3143=$A37))/sum(filter(
Master_Mapping_Sheet!$E$2:$E$3143, ISNUMBER(
Master_Mapping_Sh"&amp;"eet!$E$2:$E$3143),
Master_Mapping_Sheet!$H$2:$H$3143=O$1))), 0, sum(filter(
Master_Mapping_Sheet!$E$2:$E$3143, ISNUMBER(
Master_Mapping_Sheet!$E$2:$E$3143),
Master_Mapping_Sheet!$H$2:$H$3143=O$1,
Master_Mapping_Sheet!$B$2:$B$3143=$A37))/sum(filter(
Master"&amp;"_Mapping_Sheet!$E$2:$E$3143, ISNUMBER(
Master_Mapping_Sheet!$E$2:$E$3143),
Master_Mapping_Sheet!$H$2:$H$3143=O$1)))"),0.0)</f>
        <v>0</v>
      </c>
      <c r="P37" s="34">
        <f>IFERROR(__xludf.DUMMYFUNCTION("IF(ISNA(sum(filter(
Master_Mapping_Sheet!$E$2:$E$3143, ISNUMBER(
Master_Mapping_Sheet!$E$2:$E$3143),
Master_Mapping_Sheet!$H$2:$H$3143=P$1,
Master_Mapping_Sheet!$B$2:$B$3143=$A37))/sum(filter(
Master_Mapping_Sheet!$E$2:$E$3143, ISNUMBER(
Master_Mapping_Sh"&amp;"eet!$E$2:$E$3143),
Master_Mapping_Sheet!$H$2:$H$3143=P$1))), 0, sum(filter(
Master_Mapping_Sheet!$E$2:$E$3143, ISNUMBER(
Master_Mapping_Sheet!$E$2:$E$3143),
Master_Mapping_Sheet!$H$2:$H$3143=P$1,
Master_Mapping_Sheet!$B$2:$B$3143=$A37))/sum(filter(
Master"&amp;"_Mapping_Sheet!$E$2:$E$3143, ISNUMBER(
Master_Mapping_Sheet!$E$2:$E$3143),
Master_Mapping_Sheet!$H$2:$H$3143=P$1)))"),0.0)</f>
        <v>0</v>
      </c>
      <c r="Q37" s="34">
        <f>IFERROR(__xludf.DUMMYFUNCTION("IF(ISNA(sum(filter(
Master_Mapping_Sheet!$E$2:$E$3143, ISNUMBER(
Master_Mapping_Sheet!$E$2:$E$3143),
Master_Mapping_Sheet!$H$2:$H$3143=Q$1,
Master_Mapping_Sheet!$B$2:$B$3143=$A37))/sum(filter(
Master_Mapping_Sheet!$E$2:$E$3143, ISNUMBER(
Master_Mapping_Sh"&amp;"eet!$E$2:$E$3143),
Master_Mapping_Sheet!$H$2:$H$3143=Q$1))), 0, sum(filter(
Master_Mapping_Sheet!$E$2:$E$3143, ISNUMBER(
Master_Mapping_Sheet!$E$2:$E$3143),
Master_Mapping_Sheet!$H$2:$H$3143=Q$1,
Master_Mapping_Sheet!$B$2:$B$3143=$A37))/sum(filter(
Master"&amp;"_Mapping_Sheet!$E$2:$E$3143, ISNUMBER(
Master_Mapping_Sheet!$E$2:$E$3143),
Master_Mapping_Sheet!$H$2:$H$3143=Q$1)))"),0.0)</f>
        <v>0</v>
      </c>
      <c r="R37" s="34">
        <f>IFERROR(__xludf.DUMMYFUNCTION("IF(ISNA(sum(filter(
Master_Mapping_Sheet!$E$2:$E$3143, ISNUMBER(
Master_Mapping_Sheet!$E$2:$E$3143),
Master_Mapping_Sheet!$H$2:$H$3143=R$1,
Master_Mapping_Sheet!$B$2:$B$3143=$A37))/sum(filter(
Master_Mapping_Sheet!$E$2:$E$3143, ISNUMBER(
Master_Mapping_Sh"&amp;"eet!$E$2:$E$3143),
Master_Mapping_Sheet!$H$2:$H$3143=R$1))), 0, sum(filter(
Master_Mapping_Sheet!$E$2:$E$3143, ISNUMBER(
Master_Mapping_Sheet!$E$2:$E$3143),
Master_Mapping_Sheet!$H$2:$H$3143=R$1,
Master_Mapping_Sheet!$B$2:$B$3143=$A37))/sum(filter(
Master"&amp;"_Mapping_Sheet!$E$2:$E$3143, ISNUMBER(
Master_Mapping_Sheet!$E$2:$E$3143),
Master_Mapping_Sheet!$H$2:$H$3143=R$1)))"),0.0)</f>
        <v>0</v>
      </c>
      <c r="S37" s="34">
        <f>IFERROR(__xludf.DUMMYFUNCTION("IF(ISNA(sum(filter(
Master_Mapping_Sheet!$E$2:$E$3143, ISNUMBER(
Master_Mapping_Sheet!$E$2:$E$3143),
Master_Mapping_Sheet!$H$2:$H$3143=S$1,
Master_Mapping_Sheet!$B$2:$B$3143=$A37))/sum(filter(
Master_Mapping_Sheet!$E$2:$E$3143, ISNUMBER(
Master_Mapping_Sh"&amp;"eet!$E$2:$E$3143),
Master_Mapping_Sheet!$H$2:$H$3143=S$1))), 0, sum(filter(
Master_Mapping_Sheet!$E$2:$E$3143, ISNUMBER(
Master_Mapping_Sheet!$E$2:$E$3143),
Master_Mapping_Sheet!$H$2:$H$3143=S$1,
Master_Mapping_Sheet!$B$2:$B$3143=$A37))/sum(filter(
Master"&amp;"_Mapping_Sheet!$E$2:$E$3143, ISNUMBER(
Master_Mapping_Sheet!$E$2:$E$3143),
Master_Mapping_Sheet!$H$2:$H$3143=S$1)))"),0.0)</f>
        <v>0</v>
      </c>
      <c r="T37" s="34">
        <f>IFERROR(__xludf.DUMMYFUNCTION("IF(ISNA(sum(filter(
Master_Mapping_Sheet!$E$2:$E$3143, ISNUMBER(
Master_Mapping_Sheet!$E$2:$E$3143),
Master_Mapping_Sheet!$H$2:$H$3143=T$1,
Master_Mapping_Sheet!$B$2:$B$3143=$A37))/sum(filter(
Master_Mapping_Sheet!$E$2:$E$3143, ISNUMBER(
Master_Mapping_Sh"&amp;"eet!$E$2:$E$3143),
Master_Mapping_Sheet!$H$2:$H$3143=T$1))), 0, sum(filter(
Master_Mapping_Sheet!$E$2:$E$3143, ISNUMBER(
Master_Mapping_Sheet!$E$2:$E$3143),
Master_Mapping_Sheet!$H$2:$H$3143=T$1,
Master_Mapping_Sheet!$B$2:$B$3143=$A37))/sum(filter(
Master"&amp;"_Mapping_Sheet!$E$2:$E$3143, ISNUMBER(
Master_Mapping_Sheet!$E$2:$E$3143),
Master_Mapping_Sheet!$H$2:$H$3143=T$1)))"),0.0)</f>
        <v>0</v>
      </c>
      <c r="U37" s="34">
        <f>IFERROR(__xludf.DUMMYFUNCTION("IF(ISNA(sum(filter(
Master_Mapping_Sheet!$E$2:$E$3143, ISNUMBER(
Master_Mapping_Sheet!$E$2:$E$3143),
Master_Mapping_Sheet!$H$2:$H$3143=U$1,
Master_Mapping_Sheet!$B$2:$B$3143=$A37))/sum(filter(
Master_Mapping_Sheet!$E$2:$E$3143, ISNUMBER(
Master_Mapping_Sh"&amp;"eet!$E$2:$E$3143),
Master_Mapping_Sheet!$H$2:$H$3143=U$1))), 0, sum(filter(
Master_Mapping_Sheet!$E$2:$E$3143, ISNUMBER(
Master_Mapping_Sheet!$E$2:$E$3143),
Master_Mapping_Sheet!$H$2:$H$3143=U$1,
Master_Mapping_Sheet!$B$2:$B$3143=$A37))/sum(filter(
Master"&amp;"_Mapping_Sheet!$E$2:$E$3143, ISNUMBER(
Master_Mapping_Sheet!$E$2:$E$3143),
Master_Mapping_Sheet!$H$2:$H$3143=U$1)))"),0.0)</f>
        <v>0</v>
      </c>
      <c r="V37" s="34">
        <f>IFERROR(__xludf.DUMMYFUNCTION("IF(ISNA(sum(filter(
Master_Mapping_Sheet!$E$2:$E$3143, ISNUMBER(
Master_Mapping_Sheet!$E$2:$E$3143),
Master_Mapping_Sheet!$H$2:$H$3143=V$1,
Master_Mapping_Sheet!$B$2:$B$3143=$A37))/sum(filter(
Master_Mapping_Sheet!$E$2:$E$3143, ISNUMBER(
Master_Mapping_Sh"&amp;"eet!$E$2:$E$3143),
Master_Mapping_Sheet!$H$2:$H$3143=V$1))), 0, sum(filter(
Master_Mapping_Sheet!$E$2:$E$3143, ISNUMBER(
Master_Mapping_Sheet!$E$2:$E$3143),
Master_Mapping_Sheet!$H$2:$H$3143=V$1,
Master_Mapping_Sheet!$B$2:$B$3143=$A37))/sum(filter(
Master"&amp;"_Mapping_Sheet!$E$2:$E$3143, ISNUMBER(
Master_Mapping_Sheet!$E$2:$E$3143),
Master_Mapping_Sheet!$H$2:$H$3143=V$1)))"),0.0)</f>
        <v>0</v>
      </c>
      <c r="W37" s="34">
        <f>IFERROR(__xludf.DUMMYFUNCTION("IF(ISNA(sum(filter(
Master_Mapping_Sheet!$E$2:$E$3143, ISNUMBER(
Master_Mapping_Sheet!$E$2:$E$3143),
Master_Mapping_Sheet!$H$2:$H$3143=W$1,
Master_Mapping_Sheet!$B$2:$B$3143=$A37))/sum(filter(
Master_Mapping_Sheet!$E$2:$E$3143, ISNUMBER(
Master_Mapping_Sh"&amp;"eet!$E$2:$E$3143),
Master_Mapping_Sheet!$H$2:$H$3143=W$1))), 0, sum(filter(
Master_Mapping_Sheet!$E$2:$E$3143, ISNUMBER(
Master_Mapping_Sheet!$E$2:$E$3143),
Master_Mapping_Sheet!$H$2:$H$3143=W$1,
Master_Mapping_Sheet!$B$2:$B$3143=$A37))/sum(filter(
Master"&amp;"_Mapping_Sheet!$E$2:$E$3143, ISNUMBER(
Master_Mapping_Sheet!$E$2:$E$3143),
Master_Mapping_Sheet!$H$2:$H$3143=W$1)))"),0.0)</f>
        <v>0</v>
      </c>
      <c r="X37" s="34">
        <f>IFERROR(__xludf.DUMMYFUNCTION("IF(ISNA(sum(filter(
Master_Mapping_Sheet!$E$2:$E$3143, ISNUMBER(
Master_Mapping_Sheet!$E$2:$E$3143),
Master_Mapping_Sheet!$H$2:$H$3143=X$1,
Master_Mapping_Sheet!$B$2:$B$3143=$A37))/sum(filter(
Master_Mapping_Sheet!$E$2:$E$3143, ISNUMBER(
Master_Mapping_Sh"&amp;"eet!$E$2:$E$3143),
Master_Mapping_Sheet!$H$2:$H$3143=X$1))), 0, sum(filter(
Master_Mapping_Sheet!$E$2:$E$3143, ISNUMBER(
Master_Mapping_Sheet!$E$2:$E$3143),
Master_Mapping_Sheet!$H$2:$H$3143=X$1,
Master_Mapping_Sheet!$B$2:$B$3143=$A37))/sum(filter(
Master"&amp;"_Mapping_Sheet!$E$2:$E$3143, ISNUMBER(
Master_Mapping_Sheet!$E$2:$E$3143),
Master_Mapping_Sheet!$H$2:$H$3143=X$1)))"),0.0)</f>
        <v>0</v>
      </c>
      <c r="Y37" s="34">
        <f>IFERROR(__xludf.DUMMYFUNCTION("IF(ISNA(sum(filter(
Master_Mapping_Sheet!$E$2:$E$3143, ISNUMBER(
Master_Mapping_Sheet!$E$2:$E$3143),
Master_Mapping_Sheet!$H$2:$H$3143=Y$1,
Master_Mapping_Sheet!$B$2:$B$3143=$A37))/sum(filter(
Master_Mapping_Sheet!$E$2:$E$3143, ISNUMBER(
Master_Mapping_Sh"&amp;"eet!$E$2:$E$3143),
Master_Mapping_Sheet!$H$2:$H$3143=Y$1))), 0, sum(filter(
Master_Mapping_Sheet!$E$2:$E$3143, ISNUMBER(
Master_Mapping_Sheet!$E$2:$E$3143),
Master_Mapping_Sheet!$H$2:$H$3143=Y$1,
Master_Mapping_Sheet!$B$2:$B$3143=$A37))/sum(filter(
Master"&amp;"_Mapping_Sheet!$E$2:$E$3143, ISNUMBER(
Master_Mapping_Sheet!$E$2:$E$3143),
Master_Mapping_Sheet!$H$2:$H$3143=Y$1)))"),0.0)</f>
        <v>0</v>
      </c>
      <c r="Z37" s="34">
        <f>IFERROR(__xludf.DUMMYFUNCTION("IF(ISNA(sum(filter(
Master_Mapping_Sheet!$E$2:$E$3143, ISNUMBER(
Master_Mapping_Sheet!$E$2:$E$3143),
Master_Mapping_Sheet!$H$2:$H$3143=Z$1,
Master_Mapping_Sheet!$B$2:$B$3143=$A37))/sum(filter(
Master_Mapping_Sheet!$E$2:$E$3143, ISNUMBER(
Master_Mapping_Sh"&amp;"eet!$E$2:$E$3143),
Master_Mapping_Sheet!$H$2:$H$3143=Z$1))), 0, sum(filter(
Master_Mapping_Sheet!$E$2:$E$3143, ISNUMBER(
Master_Mapping_Sheet!$E$2:$E$3143),
Master_Mapping_Sheet!$H$2:$H$3143=Z$1,
Master_Mapping_Sheet!$B$2:$B$3143=$A37))/sum(filter(
Master"&amp;"_Mapping_Sheet!$E$2:$E$3143, ISNUMBER(
Master_Mapping_Sheet!$E$2:$E$3143),
Master_Mapping_Sheet!$H$2:$H$3143=Z$1)))"),0.0)</f>
        <v>0</v>
      </c>
      <c r="AA37" s="34">
        <f>IFERROR(__xludf.DUMMYFUNCTION("IF(ISNA(sum(filter(
Master_Mapping_Sheet!$E$2:$E$3143, ISNUMBER(
Master_Mapping_Sheet!$E$2:$E$3143),
Master_Mapping_Sheet!$H$2:$H$3143=AA$1,
Master_Mapping_Sheet!$B$2:$B$3143=$A37))/sum(filter(
Master_Mapping_Sheet!$E$2:$E$3143, ISNUMBER(
Master_Mapping_S"&amp;"heet!$E$2:$E$3143),
Master_Mapping_Sheet!$H$2:$H$3143=AA$1))), 0, sum(filter(
Master_Mapping_Sheet!$E$2:$E$3143, ISNUMBER(
Master_Mapping_Sheet!$E$2:$E$3143),
Master_Mapping_Sheet!$H$2:$H$3143=AA$1,
Master_Mapping_Sheet!$B$2:$B$3143=$A37))/sum(filter(
Mas"&amp;"ter_Mapping_Sheet!$E$2:$E$3143, ISNUMBER(
Master_Mapping_Sheet!$E$2:$E$3143),
Master_Mapping_Sheet!$H$2:$H$3143=AA$1)))"),0.0)</f>
        <v>0</v>
      </c>
    </row>
    <row r="38" ht="15.75" customHeight="1">
      <c r="A38" s="34" t="s">
        <v>1457</v>
      </c>
      <c r="B38" s="34" t="s">
        <v>3333</v>
      </c>
      <c r="C38" s="34">
        <f>IFERROR(__xludf.DUMMYFUNCTION("IF(ISNA(sum(filter(
Master_Mapping_Sheet!$E$2:$E$3143, ISNUMBER(
Master_Mapping_Sheet!$E$2:$E$3143),
Master_Mapping_Sheet!$H$2:$H$3143=C$1,
Master_Mapping_Sheet!$B$2:$B$3143=$A38))/sum(filter(
Master_Mapping_Sheet!$E$2:$E$3143, ISNUMBER(
Master_Mapping_Sh"&amp;"eet!$E$2:$E$3143),
Master_Mapping_Sheet!$H$2:$H$3143=C$1))), 0, sum(filter(
Master_Mapping_Sheet!$E$2:$E$3143, ISNUMBER(
Master_Mapping_Sheet!$E$2:$E$3143),
Master_Mapping_Sheet!$H$2:$H$3143=C$1,
Master_Mapping_Sheet!$B$2:$B$3143=$A38))/sum(filter(
Master"&amp;"_Mapping_Sheet!$E$2:$E$3143, ISNUMBER(
Master_Mapping_Sheet!$E$2:$E$3143),
Master_Mapping_Sheet!$H$2:$H$3143=C$1)))"),0.0)</f>
        <v>0</v>
      </c>
      <c r="D38" s="34">
        <f>IFERROR(__xludf.DUMMYFUNCTION("IF(ISNA(sum(filter(
Master_Mapping_Sheet!$E$2:$E$3143, ISNUMBER(
Master_Mapping_Sheet!$E$2:$E$3143),
Master_Mapping_Sheet!$H$2:$H$3143=D$1,
Master_Mapping_Sheet!$B$2:$B$3143=$A38))/sum(filter(
Master_Mapping_Sheet!$E$2:$E$3143, ISNUMBER(
Master_Mapping_Sh"&amp;"eet!$E$2:$E$3143),
Master_Mapping_Sheet!$H$2:$H$3143=D$1))), 0, sum(filter(
Master_Mapping_Sheet!$E$2:$E$3143, ISNUMBER(
Master_Mapping_Sheet!$E$2:$E$3143),
Master_Mapping_Sheet!$H$2:$H$3143=D$1,
Master_Mapping_Sheet!$B$2:$B$3143=$A38))/sum(filter(
Master"&amp;"_Mapping_Sheet!$E$2:$E$3143, ISNUMBER(
Master_Mapping_Sheet!$E$2:$E$3143),
Master_Mapping_Sheet!$H$2:$H$3143=D$1)))"),0.0)</f>
        <v>0</v>
      </c>
      <c r="E38" s="32">
        <f>IFERROR(__xludf.DUMMYFUNCTION("IF(ISNA(sum(filter(
Master_Mapping_Sheet!$E$2:$E$3143, ISNUMBER(
Master_Mapping_Sheet!$E$2:$E$3143),
Master_Mapping_Sheet!$H$2:$H$3143=E$1,
Master_Mapping_Sheet!$B$2:$B$3143=$A38))/sum(filter(
Master_Mapping_Sheet!$E$2:$E$3143, ISNUMBER(
Master_Mapping_Sh"&amp;"eet!$E$2:$E$3143),
Master_Mapping_Sheet!$H$2:$H$3143=E$1))), 0, sum(filter(
Master_Mapping_Sheet!$E$2:$E$3143, ISNUMBER(
Master_Mapping_Sheet!$E$2:$E$3143),
Master_Mapping_Sheet!$H$2:$H$3143=E$1,
Master_Mapping_Sheet!$B$2:$B$3143=$A38))/sum(filter(
Master"&amp;"_Mapping_Sheet!$E$2:$E$3143, ISNUMBER(
Master_Mapping_Sheet!$E$2:$E$3143),
Master_Mapping_Sheet!$H$2:$H$3143=E$1)))"),0.0)</f>
        <v>0</v>
      </c>
      <c r="F38" s="34">
        <f>IFERROR(__xludf.DUMMYFUNCTION("IF(ISNA(sum(filter(
Master_Mapping_Sheet!$E$2:$E$3143, ISNUMBER(
Master_Mapping_Sheet!$E$2:$E$3143),
Master_Mapping_Sheet!$H$2:$H$3143=F$1,
Master_Mapping_Sheet!$B$2:$B$3143=$A38))/sum(filter(
Master_Mapping_Sheet!$E$2:$E$3143, ISNUMBER(
Master_Mapping_Sh"&amp;"eet!$E$2:$E$3143),
Master_Mapping_Sheet!$H$2:$H$3143=F$1))), 0, sum(filter(
Master_Mapping_Sheet!$E$2:$E$3143, ISNUMBER(
Master_Mapping_Sheet!$E$2:$E$3143),
Master_Mapping_Sheet!$H$2:$H$3143=F$1,
Master_Mapping_Sheet!$B$2:$B$3143=$A38))/sum(filter(
Master"&amp;"_Mapping_Sheet!$E$2:$E$3143, ISNUMBER(
Master_Mapping_Sheet!$E$2:$E$3143),
Master_Mapping_Sheet!$H$2:$H$3143=F$1)))"),0.0)</f>
        <v>0</v>
      </c>
      <c r="G38" s="34">
        <f>IFERROR(__xludf.DUMMYFUNCTION("IF(ISNA(sum(filter(
Master_Mapping_Sheet!$E$2:$E$3143, ISNUMBER(
Master_Mapping_Sheet!$E$2:$E$3143),
Master_Mapping_Sheet!$H$2:$H$3143=G$1,
Master_Mapping_Sheet!$B$2:$B$3143=$A38))/sum(filter(
Master_Mapping_Sheet!$E$2:$E$3143, ISNUMBER(
Master_Mapping_Sh"&amp;"eet!$E$2:$E$3143),
Master_Mapping_Sheet!$H$2:$H$3143=G$1))), 0, sum(filter(
Master_Mapping_Sheet!$E$2:$E$3143, ISNUMBER(
Master_Mapping_Sheet!$E$2:$E$3143),
Master_Mapping_Sheet!$H$2:$H$3143=G$1,
Master_Mapping_Sheet!$B$2:$B$3143=$A38))/sum(filter(
Master"&amp;"_Mapping_Sheet!$E$2:$E$3143, ISNUMBER(
Master_Mapping_Sheet!$E$2:$E$3143),
Master_Mapping_Sheet!$H$2:$H$3143=G$1)))"),0.0)</f>
        <v>0</v>
      </c>
      <c r="H38" s="34">
        <f>IFERROR(__xludf.DUMMYFUNCTION("IF(ISNA(sum(filter(
Master_Mapping_Sheet!$E$2:$E$3143, ISNUMBER(
Master_Mapping_Sheet!$E$2:$E$3143),
Master_Mapping_Sheet!$H$2:$H$3143=H$1,
Master_Mapping_Sheet!$B$2:$B$3143=$A38))/sum(filter(
Master_Mapping_Sheet!$E$2:$E$3143, ISNUMBER(
Master_Mapping_Sh"&amp;"eet!$E$2:$E$3143),
Master_Mapping_Sheet!$H$2:$H$3143=H$1))), 0, sum(filter(
Master_Mapping_Sheet!$E$2:$E$3143, ISNUMBER(
Master_Mapping_Sheet!$E$2:$E$3143),
Master_Mapping_Sheet!$H$2:$H$3143=H$1,
Master_Mapping_Sheet!$B$2:$B$3143=$A38))/sum(filter(
Master"&amp;"_Mapping_Sheet!$E$2:$E$3143, ISNUMBER(
Master_Mapping_Sheet!$E$2:$E$3143),
Master_Mapping_Sheet!$H$2:$H$3143=H$1)))"),0.0)</f>
        <v>0</v>
      </c>
      <c r="I38" s="34">
        <f>IFERROR(__xludf.DUMMYFUNCTION("IF(ISNA(sum(filter(
Master_Mapping_Sheet!$E$2:$E$3143, ISNUMBER(
Master_Mapping_Sheet!$E$2:$E$3143),
Master_Mapping_Sheet!$H$2:$H$3143=I$1,
Master_Mapping_Sheet!$B$2:$B$3143=$A38))/sum(filter(
Master_Mapping_Sheet!$E$2:$E$3143, ISNUMBER(
Master_Mapping_Sh"&amp;"eet!$E$2:$E$3143),
Master_Mapping_Sheet!$H$2:$H$3143=I$1))), 0, sum(filter(
Master_Mapping_Sheet!$E$2:$E$3143, ISNUMBER(
Master_Mapping_Sheet!$E$2:$E$3143),
Master_Mapping_Sheet!$H$2:$H$3143=I$1,
Master_Mapping_Sheet!$B$2:$B$3143=$A38))/sum(filter(
Master"&amp;"_Mapping_Sheet!$E$2:$E$3143, ISNUMBER(
Master_Mapping_Sheet!$E$2:$E$3143),
Master_Mapping_Sheet!$H$2:$H$3143=I$1)))"),0.0)</f>
        <v>0</v>
      </c>
      <c r="J38" s="34">
        <f>IFERROR(__xludf.DUMMYFUNCTION("IF(ISNA(sum(filter(
Master_Mapping_Sheet!$E$2:$E$3143, ISNUMBER(
Master_Mapping_Sheet!$E$2:$E$3143),
Master_Mapping_Sheet!$H$2:$H$3143=J$1,
Master_Mapping_Sheet!$B$2:$B$3143=$A38))/sum(filter(
Master_Mapping_Sheet!$E$2:$E$3143, ISNUMBER(
Master_Mapping_Sh"&amp;"eet!$E$2:$E$3143),
Master_Mapping_Sheet!$H$2:$H$3143=J$1))), 0, sum(filter(
Master_Mapping_Sheet!$E$2:$E$3143, ISNUMBER(
Master_Mapping_Sheet!$E$2:$E$3143),
Master_Mapping_Sheet!$H$2:$H$3143=J$1,
Master_Mapping_Sheet!$B$2:$B$3143=$A38))/sum(filter(
Master"&amp;"_Mapping_Sheet!$E$2:$E$3143, ISNUMBER(
Master_Mapping_Sheet!$E$2:$E$3143),
Master_Mapping_Sheet!$H$2:$H$3143=J$1)))"),0.0)</f>
        <v>0</v>
      </c>
      <c r="K38" s="34">
        <f>IFERROR(__xludf.DUMMYFUNCTION("IF(ISNA(sum(filter(
Master_Mapping_Sheet!$E$2:$E$3143, ISNUMBER(
Master_Mapping_Sheet!$E$2:$E$3143),
Master_Mapping_Sheet!$H$2:$H$3143=K$1,
Master_Mapping_Sheet!$B$2:$B$3143=$A38))/sum(filter(
Master_Mapping_Sheet!$E$2:$E$3143, ISNUMBER(
Master_Mapping_Sh"&amp;"eet!$E$2:$E$3143),
Master_Mapping_Sheet!$H$2:$H$3143=K$1))), 0, sum(filter(
Master_Mapping_Sheet!$E$2:$E$3143, ISNUMBER(
Master_Mapping_Sheet!$E$2:$E$3143),
Master_Mapping_Sheet!$H$2:$H$3143=K$1,
Master_Mapping_Sheet!$B$2:$B$3143=$A38))/sum(filter(
Master"&amp;"_Mapping_Sheet!$E$2:$E$3143, ISNUMBER(
Master_Mapping_Sheet!$E$2:$E$3143),
Master_Mapping_Sheet!$H$2:$H$3143=K$1)))"),0.0)</f>
        <v>0</v>
      </c>
      <c r="L38" s="34">
        <f>IFERROR(__xludf.DUMMYFUNCTION("IF(ISNA(sum(filter(
Master_Mapping_Sheet!$E$2:$E$3143, ISNUMBER(
Master_Mapping_Sheet!$E$2:$E$3143),
Master_Mapping_Sheet!$H$2:$H$3143=L$1,
Master_Mapping_Sheet!$B$2:$B$3143=$A38))/sum(filter(
Master_Mapping_Sheet!$E$2:$E$3143, ISNUMBER(
Master_Mapping_Sh"&amp;"eet!$E$2:$E$3143),
Master_Mapping_Sheet!$H$2:$H$3143=L$1))), 0, sum(filter(
Master_Mapping_Sheet!$E$2:$E$3143, ISNUMBER(
Master_Mapping_Sheet!$E$2:$E$3143),
Master_Mapping_Sheet!$H$2:$H$3143=L$1,
Master_Mapping_Sheet!$B$2:$B$3143=$A38))/sum(filter(
Master"&amp;"_Mapping_Sheet!$E$2:$E$3143, ISNUMBER(
Master_Mapping_Sheet!$E$2:$E$3143),
Master_Mapping_Sheet!$H$2:$H$3143=L$1)))"),0.0)</f>
        <v>0</v>
      </c>
      <c r="M38" s="34">
        <f>IFERROR(__xludf.DUMMYFUNCTION("IF(ISNA(sum(filter(
Master_Mapping_Sheet!$E$2:$E$3143, ISNUMBER(
Master_Mapping_Sheet!$E$2:$E$3143),
Master_Mapping_Sheet!$H$2:$H$3143=M$1,
Master_Mapping_Sheet!$B$2:$B$3143=$A38))/sum(filter(
Master_Mapping_Sheet!$E$2:$E$3143, ISNUMBER(
Master_Mapping_Sh"&amp;"eet!$E$2:$E$3143),
Master_Mapping_Sheet!$H$2:$H$3143=M$1))), 0, sum(filter(
Master_Mapping_Sheet!$E$2:$E$3143, ISNUMBER(
Master_Mapping_Sheet!$E$2:$E$3143),
Master_Mapping_Sheet!$H$2:$H$3143=M$1,
Master_Mapping_Sheet!$B$2:$B$3143=$A38))/sum(filter(
Master"&amp;"_Mapping_Sheet!$E$2:$E$3143, ISNUMBER(
Master_Mapping_Sheet!$E$2:$E$3143),
Master_Mapping_Sheet!$H$2:$H$3143=M$1)))"),0.0)</f>
        <v>0</v>
      </c>
      <c r="N38" s="34">
        <f>IFERROR(__xludf.DUMMYFUNCTION("IF(ISNA(sum(filter(
Master_Mapping_Sheet!$E$2:$E$3143, ISNUMBER(
Master_Mapping_Sheet!$E$2:$E$3143),
Master_Mapping_Sheet!$H$2:$H$3143=N$1,
Master_Mapping_Sheet!$B$2:$B$3143=$A38))/sum(filter(
Master_Mapping_Sheet!$E$2:$E$3143, ISNUMBER(
Master_Mapping_Sh"&amp;"eet!$E$2:$E$3143),
Master_Mapping_Sheet!$H$2:$H$3143=N$1))), 0, sum(filter(
Master_Mapping_Sheet!$E$2:$E$3143, ISNUMBER(
Master_Mapping_Sheet!$E$2:$E$3143),
Master_Mapping_Sheet!$H$2:$H$3143=N$1,
Master_Mapping_Sheet!$B$2:$B$3143=$A38))/sum(filter(
Master"&amp;"_Mapping_Sheet!$E$2:$E$3143, ISNUMBER(
Master_Mapping_Sheet!$E$2:$E$3143),
Master_Mapping_Sheet!$H$2:$H$3143=N$1)))"),0.0)</f>
        <v>0</v>
      </c>
      <c r="O38" s="34">
        <f>IFERROR(__xludf.DUMMYFUNCTION("IF(ISNA(sum(filter(
Master_Mapping_Sheet!$E$2:$E$3143, ISNUMBER(
Master_Mapping_Sheet!$E$2:$E$3143),
Master_Mapping_Sheet!$H$2:$H$3143=O$1,
Master_Mapping_Sheet!$B$2:$B$3143=$A38))/sum(filter(
Master_Mapping_Sheet!$E$2:$E$3143, ISNUMBER(
Master_Mapping_Sh"&amp;"eet!$E$2:$E$3143),
Master_Mapping_Sheet!$H$2:$H$3143=O$1))), 0, sum(filter(
Master_Mapping_Sheet!$E$2:$E$3143, ISNUMBER(
Master_Mapping_Sheet!$E$2:$E$3143),
Master_Mapping_Sheet!$H$2:$H$3143=O$1,
Master_Mapping_Sheet!$B$2:$B$3143=$A38))/sum(filter(
Master"&amp;"_Mapping_Sheet!$E$2:$E$3143, ISNUMBER(
Master_Mapping_Sheet!$E$2:$E$3143),
Master_Mapping_Sheet!$H$2:$H$3143=O$1)))"),0.0)</f>
        <v>0</v>
      </c>
      <c r="P38" s="34">
        <f>IFERROR(__xludf.DUMMYFUNCTION("IF(ISNA(sum(filter(
Master_Mapping_Sheet!$E$2:$E$3143, ISNUMBER(
Master_Mapping_Sheet!$E$2:$E$3143),
Master_Mapping_Sheet!$H$2:$H$3143=P$1,
Master_Mapping_Sheet!$B$2:$B$3143=$A38))/sum(filter(
Master_Mapping_Sheet!$E$2:$E$3143, ISNUMBER(
Master_Mapping_Sh"&amp;"eet!$E$2:$E$3143),
Master_Mapping_Sheet!$H$2:$H$3143=P$1))), 0, sum(filter(
Master_Mapping_Sheet!$E$2:$E$3143, ISNUMBER(
Master_Mapping_Sheet!$E$2:$E$3143),
Master_Mapping_Sheet!$H$2:$H$3143=P$1,
Master_Mapping_Sheet!$B$2:$B$3143=$A38))/sum(filter(
Master"&amp;"_Mapping_Sheet!$E$2:$E$3143, ISNUMBER(
Master_Mapping_Sheet!$E$2:$E$3143),
Master_Mapping_Sheet!$H$2:$H$3143=P$1)))"),0.0)</f>
        <v>0</v>
      </c>
      <c r="Q38" s="34">
        <f>IFERROR(__xludf.DUMMYFUNCTION("IF(ISNA(sum(filter(
Master_Mapping_Sheet!$E$2:$E$3143, ISNUMBER(
Master_Mapping_Sheet!$E$2:$E$3143),
Master_Mapping_Sheet!$H$2:$H$3143=Q$1,
Master_Mapping_Sheet!$B$2:$B$3143=$A38))/sum(filter(
Master_Mapping_Sheet!$E$2:$E$3143, ISNUMBER(
Master_Mapping_Sh"&amp;"eet!$E$2:$E$3143),
Master_Mapping_Sheet!$H$2:$H$3143=Q$1))), 0, sum(filter(
Master_Mapping_Sheet!$E$2:$E$3143, ISNUMBER(
Master_Mapping_Sheet!$E$2:$E$3143),
Master_Mapping_Sheet!$H$2:$H$3143=Q$1,
Master_Mapping_Sheet!$B$2:$B$3143=$A38))/sum(filter(
Master"&amp;"_Mapping_Sheet!$E$2:$E$3143, ISNUMBER(
Master_Mapping_Sheet!$E$2:$E$3143),
Master_Mapping_Sheet!$H$2:$H$3143=Q$1)))"),0.0)</f>
        <v>0</v>
      </c>
      <c r="R38" s="34">
        <f>IFERROR(__xludf.DUMMYFUNCTION("IF(ISNA(sum(filter(
Master_Mapping_Sheet!$E$2:$E$3143, ISNUMBER(
Master_Mapping_Sheet!$E$2:$E$3143),
Master_Mapping_Sheet!$H$2:$H$3143=R$1,
Master_Mapping_Sheet!$B$2:$B$3143=$A38))/sum(filter(
Master_Mapping_Sheet!$E$2:$E$3143, ISNUMBER(
Master_Mapping_Sh"&amp;"eet!$E$2:$E$3143),
Master_Mapping_Sheet!$H$2:$H$3143=R$1))), 0, sum(filter(
Master_Mapping_Sheet!$E$2:$E$3143, ISNUMBER(
Master_Mapping_Sheet!$E$2:$E$3143),
Master_Mapping_Sheet!$H$2:$H$3143=R$1,
Master_Mapping_Sheet!$B$2:$B$3143=$A38))/sum(filter(
Master"&amp;"_Mapping_Sheet!$E$2:$E$3143, ISNUMBER(
Master_Mapping_Sheet!$E$2:$E$3143),
Master_Mapping_Sheet!$H$2:$H$3143=R$1)))"),0.0)</f>
        <v>0</v>
      </c>
      <c r="S38" s="34">
        <f>IFERROR(__xludf.DUMMYFUNCTION("IF(ISNA(sum(filter(
Master_Mapping_Sheet!$E$2:$E$3143, ISNUMBER(
Master_Mapping_Sheet!$E$2:$E$3143),
Master_Mapping_Sheet!$H$2:$H$3143=S$1,
Master_Mapping_Sheet!$B$2:$B$3143=$A38))/sum(filter(
Master_Mapping_Sheet!$E$2:$E$3143, ISNUMBER(
Master_Mapping_Sh"&amp;"eet!$E$2:$E$3143),
Master_Mapping_Sheet!$H$2:$H$3143=S$1))), 0, sum(filter(
Master_Mapping_Sheet!$E$2:$E$3143, ISNUMBER(
Master_Mapping_Sheet!$E$2:$E$3143),
Master_Mapping_Sheet!$H$2:$H$3143=S$1,
Master_Mapping_Sheet!$B$2:$B$3143=$A38))/sum(filter(
Master"&amp;"_Mapping_Sheet!$E$2:$E$3143, ISNUMBER(
Master_Mapping_Sheet!$E$2:$E$3143),
Master_Mapping_Sheet!$H$2:$H$3143=S$1)))"),0.5262126684644866)</f>
        <v>0.5262126685</v>
      </c>
      <c r="T38" s="34">
        <f>IFERROR(__xludf.DUMMYFUNCTION("IF(ISNA(sum(filter(
Master_Mapping_Sheet!$E$2:$E$3143, ISNUMBER(
Master_Mapping_Sheet!$E$2:$E$3143),
Master_Mapping_Sheet!$H$2:$H$3143=T$1,
Master_Mapping_Sheet!$B$2:$B$3143=$A38))/sum(filter(
Master_Mapping_Sheet!$E$2:$E$3143, ISNUMBER(
Master_Mapping_Sh"&amp;"eet!$E$2:$E$3143),
Master_Mapping_Sheet!$H$2:$H$3143=T$1))), 0, sum(filter(
Master_Mapping_Sheet!$E$2:$E$3143, ISNUMBER(
Master_Mapping_Sheet!$E$2:$E$3143),
Master_Mapping_Sheet!$H$2:$H$3143=T$1,
Master_Mapping_Sheet!$B$2:$B$3143=$A38))/sum(filter(
Master"&amp;"_Mapping_Sheet!$E$2:$E$3143, ISNUMBER(
Master_Mapping_Sheet!$E$2:$E$3143),
Master_Mapping_Sheet!$H$2:$H$3143=T$1)))"),0.0)</f>
        <v>0</v>
      </c>
      <c r="U38" s="34">
        <f>IFERROR(__xludf.DUMMYFUNCTION("IF(ISNA(sum(filter(
Master_Mapping_Sheet!$E$2:$E$3143, ISNUMBER(
Master_Mapping_Sheet!$E$2:$E$3143),
Master_Mapping_Sheet!$H$2:$H$3143=U$1,
Master_Mapping_Sheet!$B$2:$B$3143=$A38))/sum(filter(
Master_Mapping_Sheet!$E$2:$E$3143, ISNUMBER(
Master_Mapping_Sh"&amp;"eet!$E$2:$E$3143),
Master_Mapping_Sheet!$H$2:$H$3143=U$1))), 0, sum(filter(
Master_Mapping_Sheet!$E$2:$E$3143, ISNUMBER(
Master_Mapping_Sheet!$E$2:$E$3143),
Master_Mapping_Sheet!$H$2:$H$3143=U$1,
Master_Mapping_Sheet!$B$2:$B$3143=$A38))/sum(filter(
Master"&amp;"_Mapping_Sheet!$E$2:$E$3143, ISNUMBER(
Master_Mapping_Sheet!$E$2:$E$3143),
Master_Mapping_Sheet!$H$2:$H$3143=U$1)))"),0.0)</f>
        <v>0</v>
      </c>
      <c r="V38" s="34">
        <f>IFERROR(__xludf.DUMMYFUNCTION("IF(ISNA(sum(filter(
Master_Mapping_Sheet!$E$2:$E$3143, ISNUMBER(
Master_Mapping_Sheet!$E$2:$E$3143),
Master_Mapping_Sheet!$H$2:$H$3143=V$1,
Master_Mapping_Sheet!$B$2:$B$3143=$A38))/sum(filter(
Master_Mapping_Sheet!$E$2:$E$3143, ISNUMBER(
Master_Mapping_Sh"&amp;"eet!$E$2:$E$3143),
Master_Mapping_Sheet!$H$2:$H$3143=V$1))), 0, sum(filter(
Master_Mapping_Sheet!$E$2:$E$3143, ISNUMBER(
Master_Mapping_Sheet!$E$2:$E$3143),
Master_Mapping_Sheet!$H$2:$H$3143=V$1,
Master_Mapping_Sheet!$B$2:$B$3143=$A38))/sum(filter(
Master"&amp;"_Mapping_Sheet!$E$2:$E$3143, ISNUMBER(
Master_Mapping_Sheet!$E$2:$E$3143),
Master_Mapping_Sheet!$H$2:$H$3143=V$1)))"),0.0)</f>
        <v>0</v>
      </c>
      <c r="W38" s="34">
        <f>IFERROR(__xludf.DUMMYFUNCTION("IF(ISNA(sum(filter(
Master_Mapping_Sheet!$E$2:$E$3143, ISNUMBER(
Master_Mapping_Sheet!$E$2:$E$3143),
Master_Mapping_Sheet!$H$2:$H$3143=W$1,
Master_Mapping_Sheet!$B$2:$B$3143=$A38))/sum(filter(
Master_Mapping_Sheet!$E$2:$E$3143, ISNUMBER(
Master_Mapping_Sh"&amp;"eet!$E$2:$E$3143),
Master_Mapping_Sheet!$H$2:$H$3143=W$1))), 0, sum(filter(
Master_Mapping_Sheet!$E$2:$E$3143, ISNUMBER(
Master_Mapping_Sheet!$E$2:$E$3143),
Master_Mapping_Sheet!$H$2:$H$3143=W$1,
Master_Mapping_Sheet!$B$2:$B$3143=$A38))/sum(filter(
Master"&amp;"_Mapping_Sheet!$E$2:$E$3143, ISNUMBER(
Master_Mapping_Sheet!$E$2:$E$3143),
Master_Mapping_Sheet!$H$2:$H$3143=W$1)))"),0.0)</f>
        <v>0</v>
      </c>
      <c r="X38" s="34">
        <f>IFERROR(__xludf.DUMMYFUNCTION("IF(ISNA(sum(filter(
Master_Mapping_Sheet!$E$2:$E$3143, ISNUMBER(
Master_Mapping_Sheet!$E$2:$E$3143),
Master_Mapping_Sheet!$H$2:$H$3143=X$1,
Master_Mapping_Sheet!$B$2:$B$3143=$A38))/sum(filter(
Master_Mapping_Sheet!$E$2:$E$3143, ISNUMBER(
Master_Mapping_Sh"&amp;"eet!$E$2:$E$3143),
Master_Mapping_Sheet!$H$2:$H$3143=X$1))), 0, sum(filter(
Master_Mapping_Sheet!$E$2:$E$3143, ISNUMBER(
Master_Mapping_Sheet!$E$2:$E$3143),
Master_Mapping_Sheet!$H$2:$H$3143=X$1,
Master_Mapping_Sheet!$B$2:$B$3143=$A38))/sum(filter(
Master"&amp;"_Mapping_Sheet!$E$2:$E$3143, ISNUMBER(
Master_Mapping_Sheet!$E$2:$E$3143),
Master_Mapping_Sheet!$H$2:$H$3143=X$1)))"),0.0)</f>
        <v>0</v>
      </c>
      <c r="Y38" s="34">
        <f>IFERROR(__xludf.DUMMYFUNCTION("IF(ISNA(sum(filter(
Master_Mapping_Sheet!$E$2:$E$3143, ISNUMBER(
Master_Mapping_Sheet!$E$2:$E$3143),
Master_Mapping_Sheet!$H$2:$H$3143=Y$1,
Master_Mapping_Sheet!$B$2:$B$3143=$A38))/sum(filter(
Master_Mapping_Sheet!$E$2:$E$3143, ISNUMBER(
Master_Mapping_Sh"&amp;"eet!$E$2:$E$3143),
Master_Mapping_Sheet!$H$2:$H$3143=Y$1))), 0, sum(filter(
Master_Mapping_Sheet!$E$2:$E$3143, ISNUMBER(
Master_Mapping_Sheet!$E$2:$E$3143),
Master_Mapping_Sheet!$H$2:$H$3143=Y$1,
Master_Mapping_Sheet!$B$2:$B$3143=$A38))/sum(filter(
Master"&amp;"_Mapping_Sheet!$E$2:$E$3143, ISNUMBER(
Master_Mapping_Sheet!$E$2:$E$3143),
Master_Mapping_Sheet!$H$2:$H$3143=Y$1)))"),0.0)</f>
        <v>0</v>
      </c>
      <c r="Z38" s="34">
        <f>IFERROR(__xludf.DUMMYFUNCTION("IF(ISNA(sum(filter(
Master_Mapping_Sheet!$E$2:$E$3143, ISNUMBER(
Master_Mapping_Sheet!$E$2:$E$3143),
Master_Mapping_Sheet!$H$2:$H$3143=Z$1,
Master_Mapping_Sheet!$B$2:$B$3143=$A38))/sum(filter(
Master_Mapping_Sheet!$E$2:$E$3143, ISNUMBER(
Master_Mapping_Sh"&amp;"eet!$E$2:$E$3143),
Master_Mapping_Sheet!$H$2:$H$3143=Z$1))), 0, sum(filter(
Master_Mapping_Sheet!$E$2:$E$3143, ISNUMBER(
Master_Mapping_Sheet!$E$2:$E$3143),
Master_Mapping_Sheet!$H$2:$H$3143=Z$1,
Master_Mapping_Sheet!$B$2:$B$3143=$A38))/sum(filter(
Master"&amp;"_Mapping_Sheet!$E$2:$E$3143, ISNUMBER(
Master_Mapping_Sheet!$E$2:$E$3143),
Master_Mapping_Sheet!$H$2:$H$3143=Z$1)))"),0.0)</f>
        <v>0</v>
      </c>
      <c r="AA38" s="34">
        <f>IFERROR(__xludf.DUMMYFUNCTION("IF(ISNA(sum(filter(
Master_Mapping_Sheet!$E$2:$E$3143, ISNUMBER(
Master_Mapping_Sheet!$E$2:$E$3143),
Master_Mapping_Sheet!$H$2:$H$3143=AA$1,
Master_Mapping_Sheet!$B$2:$B$3143=$A38))/sum(filter(
Master_Mapping_Sheet!$E$2:$E$3143, ISNUMBER(
Master_Mapping_S"&amp;"heet!$E$2:$E$3143),
Master_Mapping_Sheet!$H$2:$H$3143=AA$1))), 0, sum(filter(
Master_Mapping_Sheet!$E$2:$E$3143, ISNUMBER(
Master_Mapping_Sheet!$E$2:$E$3143),
Master_Mapping_Sheet!$H$2:$H$3143=AA$1,
Master_Mapping_Sheet!$B$2:$B$3143=$A38))/sum(filter(
Mas"&amp;"ter_Mapping_Sheet!$E$2:$E$3143, ISNUMBER(
Master_Mapping_Sheet!$E$2:$E$3143),
Master_Mapping_Sheet!$H$2:$H$3143=AA$1)))"),0.0)</f>
        <v>0</v>
      </c>
    </row>
    <row r="39" ht="15.75" customHeight="1">
      <c r="A39" s="34" t="s">
        <v>1144</v>
      </c>
      <c r="B39" s="34" t="s">
        <v>3376</v>
      </c>
      <c r="C39" s="34">
        <f>IFERROR(__xludf.DUMMYFUNCTION("IF(ISNA(sum(filter(
Master_Mapping_Sheet!$E$2:$E$3143, ISNUMBER(
Master_Mapping_Sheet!$E$2:$E$3143),
Master_Mapping_Sheet!$H$2:$H$3143=C$1,
Master_Mapping_Sheet!$B$2:$B$3143=$A39))/sum(filter(
Master_Mapping_Sheet!$E$2:$E$3143, ISNUMBER(
Master_Mapping_Sh"&amp;"eet!$E$2:$E$3143),
Master_Mapping_Sheet!$H$2:$H$3143=C$1))), 0, sum(filter(
Master_Mapping_Sheet!$E$2:$E$3143, ISNUMBER(
Master_Mapping_Sheet!$E$2:$E$3143),
Master_Mapping_Sheet!$H$2:$H$3143=C$1,
Master_Mapping_Sheet!$B$2:$B$3143=$A39))/sum(filter(
Master"&amp;"_Mapping_Sheet!$E$2:$E$3143, ISNUMBER(
Master_Mapping_Sheet!$E$2:$E$3143),
Master_Mapping_Sheet!$H$2:$H$3143=C$1)))"),0.0)</f>
        <v>0</v>
      </c>
      <c r="D39" s="34">
        <f>IFERROR(__xludf.DUMMYFUNCTION("IF(ISNA(sum(filter(
Master_Mapping_Sheet!$E$2:$E$3143, ISNUMBER(
Master_Mapping_Sheet!$E$2:$E$3143),
Master_Mapping_Sheet!$H$2:$H$3143=D$1,
Master_Mapping_Sheet!$B$2:$B$3143=$A39))/sum(filter(
Master_Mapping_Sheet!$E$2:$E$3143, ISNUMBER(
Master_Mapping_Sh"&amp;"eet!$E$2:$E$3143),
Master_Mapping_Sheet!$H$2:$H$3143=D$1))), 0, sum(filter(
Master_Mapping_Sheet!$E$2:$E$3143, ISNUMBER(
Master_Mapping_Sheet!$E$2:$E$3143),
Master_Mapping_Sheet!$H$2:$H$3143=D$1,
Master_Mapping_Sheet!$B$2:$B$3143=$A39))/sum(filter(
Master"&amp;"_Mapping_Sheet!$E$2:$E$3143, ISNUMBER(
Master_Mapping_Sheet!$E$2:$E$3143),
Master_Mapping_Sheet!$H$2:$H$3143=D$1)))"),0.0)</f>
        <v>0</v>
      </c>
      <c r="E39" s="32">
        <f>IFERROR(__xludf.DUMMYFUNCTION("IF(ISNA(sum(filter(
Master_Mapping_Sheet!$E$2:$E$3143, ISNUMBER(
Master_Mapping_Sheet!$E$2:$E$3143),
Master_Mapping_Sheet!$H$2:$H$3143=E$1,
Master_Mapping_Sheet!$B$2:$B$3143=$A39))/sum(filter(
Master_Mapping_Sheet!$E$2:$E$3143, ISNUMBER(
Master_Mapping_Sh"&amp;"eet!$E$2:$E$3143),
Master_Mapping_Sheet!$H$2:$H$3143=E$1))), 0, sum(filter(
Master_Mapping_Sheet!$E$2:$E$3143, ISNUMBER(
Master_Mapping_Sheet!$E$2:$E$3143),
Master_Mapping_Sheet!$H$2:$H$3143=E$1,
Master_Mapping_Sheet!$B$2:$B$3143=$A39))/sum(filter(
Master"&amp;"_Mapping_Sheet!$E$2:$E$3143, ISNUMBER(
Master_Mapping_Sheet!$E$2:$E$3143),
Master_Mapping_Sheet!$H$2:$H$3143=E$1)))"),0.0)</f>
        <v>0</v>
      </c>
      <c r="F39" s="34">
        <f>IFERROR(__xludf.DUMMYFUNCTION("IF(ISNA(sum(filter(
Master_Mapping_Sheet!$E$2:$E$3143, ISNUMBER(
Master_Mapping_Sheet!$E$2:$E$3143),
Master_Mapping_Sheet!$H$2:$H$3143=F$1,
Master_Mapping_Sheet!$B$2:$B$3143=$A39))/sum(filter(
Master_Mapping_Sheet!$E$2:$E$3143, ISNUMBER(
Master_Mapping_Sh"&amp;"eet!$E$2:$E$3143),
Master_Mapping_Sheet!$H$2:$H$3143=F$1))), 0, sum(filter(
Master_Mapping_Sheet!$E$2:$E$3143, ISNUMBER(
Master_Mapping_Sheet!$E$2:$E$3143),
Master_Mapping_Sheet!$H$2:$H$3143=F$1,
Master_Mapping_Sheet!$B$2:$B$3143=$A39))/sum(filter(
Master"&amp;"_Mapping_Sheet!$E$2:$E$3143, ISNUMBER(
Master_Mapping_Sheet!$E$2:$E$3143),
Master_Mapping_Sheet!$H$2:$H$3143=F$1)))"),0.0)</f>
        <v>0</v>
      </c>
      <c r="G39" s="34">
        <f>IFERROR(__xludf.DUMMYFUNCTION("IF(ISNA(sum(filter(
Master_Mapping_Sheet!$E$2:$E$3143, ISNUMBER(
Master_Mapping_Sheet!$E$2:$E$3143),
Master_Mapping_Sheet!$H$2:$H$3143=G$1,
Master_Mapping_Sheet!$B$2:$B$3143=$A39))/sum(filter(
Master_Mapping_Sheet!$E$2:$E$3143, ISNUMBER(
Master_Mapping_Sh"&amp;"eet!$E$2:$E$3143),
Master_Mapping_Sheet!$H$2:$H$3143=G$1))), 0, sum(filter(
Master_Mapping_Sheet!$E$2:$E$3143, ISNUMBER(
Master_Mapping_Sheet!$E$2:$E$3143),
Master_Mapping_Sheet!$H$2:$H$3143=G$1,
Master_Mapping_Sheet!$B$2:$B$3143=$A39))/sum(filter(
Master"&amp;"_Mapping_Sheet!$E$2:$E$3143, ISNUMBER(
Master_Mapping_Sheet!$E$2:$E$3143),
Master_Mapping_Sheet!$H$2:$H$3143=G$1)))"),0.0)</f>
        <v>0</v>
      </c>
      <c r="H39" s="34">
        <f>IFERROR(__xludf.DUMMYFUNCTION("IF(ISNA(sum(filter(
Master_Mapping_Sheet!$E$2:$E$3143, ISNUMBER(
Master_Mapping_Sheet!$E$2:$E$3143),
Master_Mapping_Sheet!$H$2:$H$3143=H$1,
Master_Mapping_Sheet!$B$2:$B$3143=$A39))/sum(filter(
Master_Mapping_Sheet!$E$2:$E$3143, ISNUMBER(
Master_Mapping_Sh"&amp;"eet!$E$2:$E$3143),
Master_Mapping_Sheet!$H$2:$H$3143=H$1))), 0, sum(filter(
Master_Mapping_Sheet!$E$2:$E$3143, ISNUMBER(
Master_Mapping_Sheet!$E$2:$E$3143),
Master_Mapping_Sheet!$H$2:$H$3143=H$1,
Master_Mapping_Sheet!$B$2:$B$3143=$A39))/sum(filter(
Master"&amp;"_Mapping_Sheet!$E$2:$E$3143, ISNUMBER(
Master_Mapping_Sheet!$E$2:$E$3143),
Master_Mapping_Sheet!$H$2:$H$3143=H$1)))"),0.0)</f>
        <v>0</v>
      </c>
      <c r="I39" s="34">
        <f>IFERROR(__xludf.DUMMYFUNCTION("IF(ISNA(sum(filter(
Master_Mapping_Sheet!$E$2:$E$3143, ISNUMBER(
Master_Mapping_Sheet!$E$2:$E$3143),
Master_Mapping_Sheet!$H$2:$H$3143=I$1,
Master_Mapping_Sheet!$B$2:$B$3143=$A39))/sum(filter(
Master_Mapping_Sheet!$E$2:$E$3143, ISNUMBER(
Master_Mapping_Sh"&amp;"eet!$E$2:$E$3143),
Master_Mapping_Sheet!$H$2:$H$3143=I$1))), 0, sum(filter(
Master_Mapping_Sheet!$E$2:$E$3143, ISNUMBER(
Master_Mapping_Sheet!$E$2:$E$3143),
Master_Mapping_Sheet!$H$2:$H$3143=I$1,
Master_Mapping_Sheet!$B$2:$B$3143=$A39))/sum(filter(
Master"&amp;"_Mapping_Sheet!$E$2:$E$3143, ISNUMBER(
Master_Mapping_Sheet!$E$2:$E$3143),
Master_Mapping_Sheet!$H$2:$H$3143=I$1)))"),0.0)</f>
        <v>0</v>
      </c>
      <c r="J39" s="34">
        <f>IFERROR(__xludf.DUMMYFUNCTION("IF(ISNA(sum(filter(
Master_Mapping_Sheet!$E$2:$E$3143, ISNUMBER(
Master_Mapping_Sheet!$E$2:$E$3143),
Master_Mapping_Sheet!$H$2:$H$3143=J$1,
Master_Mapping_Sheet!$B$2:$B$3143=$A39))/sum(filter(
Master_Mapping_Sheet!$E$2:$E$3143, ISNUMBER(
Master_Mapping_Sh"&amp;"eet!$E$2:$E$3143),
Master_Mapping_Sheet!$H$2:$H$3143=J$1))), 0, sum(filter(
Master_Mapping_Sheet!$E$2:$E$3143, ISNUMBER(
Master_Mapping_Sheet!$E$2:$E$3143),
Master_Mapping_Sheet!$H$2:$H$3143=J$1,
Master_Mapping_Sheet!$B$2:$B$3143=$A39))/sum(filter(
Master"&amp;"_Mapping_Sheet!$E$2:$E$3143, ISNUMBER(
Master_Mapping_Sheet!$E$2:$E$3143),
Master_Mapping_Sheet!$H$2:$H$3143=J$1)))"),0.0)</f>
        <v>0</v>
      </c>
      <c r="K39" s="34">
        <f>IFERROR(__xludf.DUMMYFUNCTION("IF(ISNA(sum(filter(
Master_Mapping_Sheet!$E$2:$E$3143, ISNUMBER(
Master_Mapping_Sheet!$E$2:$E$3143),
Master_Mapping_Sheet!$H$2:$H$3143=K$1,
Master_Mapping_Sheet!$B$2:$B$3143=$A39))/sum(filter(
Master_Mapping_Sheet!$E$2:$E$3143, ISNUMBER(
Master_Mapping_Sh"&amp;"eet!$E$2:$E$3143),
Master_Mapping_Sheet!$H$2:$H$3143=K$1))), 0, sum(filter(
Master_Mapping_Sheet!$E$2:$E$3143, ISNUMBER(
Master_Mapping_Sheet!$E$2:$E$3143),
Master_Mapping_Sheet!$H$2:$H$3143=K$1,
Master_Mapping_Sheet!$B$2:$B$3143=$A39))/sum(filter(
Master"&amp;"_Mapping_Sheet!$E$2:$E$3143, ISNUMBER(
Master_Mapping_Sheet!$E$2:$E$3143),
Master_Mapping_Sheet!$H$2:$H$3143=K$1)))"),0.0)</f>
        <v>0</v>
      </c>
      <c r="L39" s="34">
        <f>IFERROR(__xludf.DUMMYFUNCTION("IF(ISNA(sum(filter(
Master_Mapping_Sheet!$E$2:$E$3143, ISNUMBER(
Master_Mapping_Sheet!$E$2:$E$3143),
Master_Mapping_Sheet!$H$2:$H$3143=L$1,
Master_Mapping_Sheet!$B$2:$B$3143=$A39))/sum(filter(
Master_Mapping_Sheet!$E$2:$E$3143, ISNUMBER(
Master_Mapping_Sh"&amp;"eet!$E$2:$E$3143),
Master_Mapping_Sheet!$H$2:$H$3143=L$1))), 0, sum(filter(
Master_Mapping_Sheet!$E$2:$E$3143, ISNUMBER(
Master_Mapping_Sheet!$E$2:$E$3143),
Master_Mapping_Sheet!$H$2:$H$3143=L$1,
Master_Mapping_Sheet!$B$2:$B$3143=$A39))/sum(filter(
Master"&amp;"_Mapping_Sheet!$E$2:$E$3143, ISNUMBER(
Master_Mapping_Sheet!$E$2:$E$3143),
Master_Mapping_Sheet!$H$2:$H$3143=L$1)))"),0.0)</f>
        <v>0</v>
      </c>
      <c r="M39" s="34">
        <f>IFERROR(__xludf.DUMMYFUNCTION("IF(ISNA(sum(filter(
Master_Mapping_Sheet!$E$2:$E$3143, ISNUMBER(
Master_Mapping_Sheet!$E$2:$E$3143),
Master_Mapping_Sheet!$H$2:$H$3143=M$1,
Master_Mapping_Sheet!$B$2:$B$3143=$A39))/sum(filter(
Master_Mapping_Sheet!$E$2:$E$3143, ISNUMBER(
Master_Mapping_Sh"&amp;"eet!$E$2:$E$3143),
Master_Mapping_Sheet!$H$2:$H$3143=M$1))), 0, sum(filter(
Master_Mapping_Sheet!$E$2:$E$3143, ISNUMBER(
Master_Mapping_Sheet!$E$2:$E$3143),
Master_Mapping_Sheet!$H$2:$H$3143=M$1,
Master_Mapping_Sheet!$B$2:$B$3143=$A39))/sum(filter(
Master"&amp;"_Mapping_Sheet!$E$2:$E$3143, ISNUMBER(
Master_Mapping_Sheet!$E$2:$E$3143),
Master_Mapping_Sheet!$H$2:$H$3143=M$1)))"),0.0)</f>
        <v>0</v>
      </c>
      <c r="N39" s="34">
        <f>IFERROR(__xludf.DUMMYFUNCTION("IF(ISNA(sum(filter(
Master_Mapping_Sheet!$E$2:$E$3143, ISNUMBER(
Master_Mapping_Sheet!$E$2:$E$3143),
Master_Mapping_Sheet!$H$2:$H$3143=N$1,
Master_Mapping_Sheet!$B$2:$B$3143=$A39))/sum(filter(
Master_Mapping_Sheet!$E$2:$E$3143, ISNUMBER(
Master_Mapping_Sh"&amp;"eet!$E$2:$E$3143),
Master_Mapping_Sheet!$H$2:$H$3143=N$1))), 0, sum(filter(
Master_Mapping_Sheet!$E$2:$E$3143, ISNUMBER(
Master_Mapping_Sheet!$E$2:$E$3143),
Master_Mapping_Sheet!$H$2:$H$3143=N$1,
Master_Mapping_Sheet!$B$2:$B$3143=$A39))/sum(filter(
Master"&amp;"_Mapping_Sheet!$E$2:$E$3143, ISNUMBER(
Master_Mapping_Sheet!$E$2:$E$3143),
Master_Mapping_Sheet!$H$2:$H$3143=N$1)))"),0.0)</f>
        <v>0</v>
      </c>
      <c r="O39" s="34">
        <f>IFERROR(__xludf.DUMMYFUNCTION("IF(ISNA(sum(filter(
Master_Mapping_Sheet!$E$2:$E$3143, ISNUMBER(
Master_Mapping_Sheet!$E$2:$E$3143),
Master_Mapping_Sheet!$H$2:$H$3143=O$1,
Master_Mapping_Sheet!$B$2:$B$3143=$A39))/sum(filter(
Master_Mapping_Sheet!$E$2:$E$3143, ISNUMBER(
Master_Mapping_Sh"&amp;"eet!$E$2:$E$3143),
Master_Mapping_Sheet!$H$2:$H$3143=O$1))), 0, sum(filter(
Master_Mapping_Sheet!$E$2:$E$3143, ISNUMBER(
Master_Mapping_Sheet!$E$2:$E$3143),
Master_Mapping_Sheet!$H$2:$H$3143=O$1,
Master_Mapping_Sheet!$B$2:$B$3143=$A39))/sum(filter(
Master"&amp;"_Mapping_Sheet!$E$2:$E$3143, ISNUMBER(
Master_Mapping_Sheet!$E$2:$E$3143),
Master_Mapping_Sheet!$H$2:$H$3143=O$1)))"),0.0)</f>
        <v>0</v>
      </c>
      <c r="P39" s="34">
        <f>IFERROR(__xludf.DUMMYFUNCTION("IF(ISNA(sum(filter(
Master_Mapping_Sheet!$E$2:$E$3143, ISNUMBER(
Master_Mapping_Sheet!$E$2:$E$3143),
Master_Mapping_Sheet!$H$2:$H$3143=P$1,
Master_Mapping_Sheet!$B$2:$B$3143=$A39))/sum(filter(
Master_Mapping_Sheet!$E$2:$E$3143, ISNUMBER(
Master_Mapping_Sh"&amp;"eet!$E$2:$E$3143),
Master_Mapping_Sheet!$H$2:$H$3143=P$1))), 0, sum(filter(
Master_Mapping_Sheet!$E$2:$E$3143, ISNUMBER(
Master_Mapping_Sheet!$E$2:$E$3143),
Master_Mapping_Sheet!$H$2:$H$3143=P$1,
Master_Mapping_Sheet!$B$2:$B$3143=$A39))/sum(filter(
Master"&amp;"_Mapping_Sheet!$E$2:$E$3143, ISNUMBER(
Master_Mapping_Sheet!$E$2:$E$3143),
Master_Mapping_Sheet!$H$2:$H$3143=P$1)))"),0.0)</f>
        <v>0</v>
      </c>
      <c r="Q39" s="34">
        <f>IFERROR(__xludf.DUMMYFUNCTION("IF(ISNA(sum(filter(
Master_Mapping_Sheet!$E$2:$E$3143, ISNUMBER(
Master_Mapping_Sheet!$E$2:$E$3143),
Master_Mapping_Sheet!$H$2:$H$3143=Q$1,
Master_Mapping_Sheet!$B$2:$B$3143=$A39))/sum(filter(
Master_Mapping_Sheet!$E$2:$E$3143, ISNUMBER(
Master_Mapping_Sh"&amp;"eet!$E$2:$E$3143),
Master_Mapping_Sheet!$H$2:$H$3143=Q$1))), 0, sum(filter(
Master_Mapping_Sheet!$E$2:$E$3143, ISNUMBER(
Master_Mapping_Sheet!$E$2:$E$3143),
Master_Mapping_Sheet!$H$2:$H$3143=Q$1,
Master_Mapping_Sheet!$B$2:$B$3143=$A39))/sum(filter(
Master"&amp;"_Mapping_Sheet!$E$2:$E$3143, ISNUMBER(
Master_Mapping_Sheet!$E$2:$E$3143),
Master_Mapping_Sheet!$H$2:$H$3143=Q$1)))"),0.0)</f>
        <v>0</v>
      </c>
      <c r="R39" s="34">
        <f>IFERROR(__xludf.DUMMYFUNCTION("IF(ISNA(sum(filter(
Master_Mapping_Sheet!$E$2:$E$3143, ISNUMBER(
Master_Mapping_Sheet!$E$2:$E$3143),
Master_Mapping_Sheet!$H$2:$H$3143=R$1,
Master_Mapping_Sheet!$B$2:$B$3143=$A39))/sum(filter(
Master_Mapping_Sheet!$E$2:$E$3143, ISNUMBER(
Master_Mapping_Sh"&amp;"eet!$E$2:$E$3143),
Master_Mapping_Sheet!$H$2:$H$3143=R$1))), 0, sum(filter(
Master_Mapping_Sheet!$E$2:$E$3143, ISNUMBER(
Master_Mapping_Sheet!$E$2:$E$3143),
Master_Mapping_Sheet!$H$2:$H$3143=R$1,
Master_Mapping_Sheet!$B$2:$B$3143=$A39))/sum(filter(
Master"&amp;"_Mapping_Sheet!$E$2:$E$3143, ISNUMBER(
Master_Mapping_Sheet!$E$2:$E$3143),
Master_Mapping_Sheet!$H$2:$H$3143=R$1)))"),0.0)</f>
        <v>0</v>
      </c>
      <c r="S39" s="34">
        <f>IFERROR(__xludf.DUMMYFUNCTION("IF(ISNA(sum(filter(
Master_Mapping_Sheet!$E$2:$E$3143, ISNUMBER(
Master_Mapping_Sheet!$E$2:$E$3143),
Master_Mapping_Sheet!$H$2:$H$3143=S$1,
Master_Mapping_Sheet!$B$2:$B$3143=$A39))/sum(filter(
Master_Mapping_Sheet!$E$2:$E$3143, ISNUMBER(
Master_Mapping_Sh"&amp;"eet!$E$2:$E$3143),
Master_Mapping_Sheet!$H$2:$H$3143=S$1))), 0, sum(filter(
Master_Mapping_Sheet!$E$2:$E$3143, ISNUMBER(
Master_Mapping_Sheet!$E$2:$E$3143),
Master_Mapping_Sheet!$H$2:$H$3143=S$1,
Master_Mapping_Sheet!$B$2:$B$3143=$A39))/sum(filter(
Master"&amp;"_Mapping_Sheet!$E$2:$E$3143, ISNUMBER(
Master_Mapping_Sheet!$E$2:$E$3143),
Master_Mapping_Sheet!$H$2:$H$3143=S$1)))"),0.0)</f>
        <v>0</v>
      </c>
      <c r="T39" s="34">
        <f>IFERROR(__xludf.DUMMYFUNCTION("IF(ISNA(sum(filter(
Master_Mapping_Sheet!$E$2:$E$3143, ISNUMBER(
Master_Mapping_Sheet!$E$2:$E$3143),
Master_Mapping_Sheet!$H$2:$H$3143=T$1,
Master_Mapping_Sheet!$B$2:$B$3143=$A39))/sum(filter(
Master_Mapping_Sheet!$E$2:$E$3143, ISNUMBER(
Master_Mapping_Sh"&amp;"eet!$E$2:$E$3143),
Master_Mapping_Sheet!$H$2:$H$3143=T$1))), 0, sum(filter(
Master_Mapping_Sheet!$E$2:$E$3143, ISNUMBER(
Master_Mapping_Sheet!$E$2:$E$3143),
Master_Mapping_Sheet!$H$2:$H$3143=T$1,
Master_Mapping_Sheet!$B$2:$B$3143=$A39))/sum(filter(
Master"&amp;"_Mapping_Sheet!$E$2:$E$3143, ISNUMBER(
Master_Mapping_Sheet!$E$2:$E$3143),
Master_Mapping_Sheet!$H$2:$H$3143=T$1)))"),0.0)</f>
        <v>0</v>
      </c>
      <c r="U39" s="34">
        <f>IFERROR(__xludf.DUMMYFUNCTION("IF(ISNA(sum(filter(
Master_Mapping_Sheet!$E$2:$E$3143, ISNUMBER(
Master_Mapping_Sheet!$E$2:$E$3143),
Master_Mapping_Sheet!$H$2:$H$3143=U$1,
Master_Mapping_Sheet!$B$2:$B$3143=$A39))/sum(filter(
Master_Mapping_Sheet!$E$2:$E$3143, ISNUMBER(
Master_Mapping_Sh"&amp;"eet!$E$2:$E$3143),
Master_Mapping_Sheet!$H$2:$H$3143=U$1))), 0, sum(filter(
Master_Mapping_Sheet!$E$2:$E$3143, ISNUMBER(
Master_Mapping_Sheet!$E$2:$E$3143),
Master_Mapping_Sheet!$H$2:$H$3143=U$1,
Master_Mapping_Sheet!$B$2:$B$3143=$A39))/sum(filter(
Master"&amp;"_Mapping_Sheet!$E$2:$E$3143, ISNUMBER(
Master_Mapping_Sheet!$E$2:$E$3143),
Master_Mapping_Sheet!$H$2:$H$3143=U$1)))"),0.0)</f>
        <v>0</v>
      </c>
      <c r="V39" s="34">
        <f>IFERROR(__xludf.DUMMYFUNCTION("IF(ISNA(sum(filter(
Master_Mapping_Sheet!$E$2:$E$3143, ISNUMBER(
Master_Mapping_Sheet!$E$2:$E$3143),
Master_Mapping_Sheet!$H$2:$H$3143=V$1,
Master_Mapping_Sheet!$B$2:$B$3143=$A39))/sum(filter(
Master_Mapping_Sheet!$E$2:$E$3143, ISNUMBER(
Master_Mapping_Sh"&amp;"eet!$E$2:$E$3143),
Master_Mapping_Sheet!$H$2:$H$3143=V$1))), 0, sum(filter(
Master_Mapping_Sheet!$E$2:$E$3143, ISNUMBER(
Master_Mapping_Sheet!$E$2:$E$3143),
Master_Mapping_Sheet!$H$2:$H$3143=V$1,
Master_Mapping_Sheet!$B$2:$B$3143=$A39))/sum(filter(
Master"&amp;"_Mapping_Sheet!$E$2:$E$3143, ISNUMBER(
Master_Mapping_Sheet!$E$2:$E$3143),
Master_Mapping_Sheet!$H$2:$H$3143=V$1)))"),0.0)</f>
        <v>0</v>
      </c>
      <c r="W39" s="34">
        <f>IFERROR(__xludf.DUMMYFUNCTION("IF(ISNA(sum(filter(
Master_Mapping_Sheet!$E$2:$E$3143, ISNUMBER(
Master_Mapping_Sheet!$E$2:$E$3143),
Master_Mapping_Sheet!$H$2:$H$3143=W$1,
Master_Mapping_Sheet!$B$2:$B$3143=$A39))/sum(filter(
Master_Mapping_Sheet!$E$2:$E$3143, ISNUMBER(
Master_Mapping_Sh"&amp;"eet!$E$2:$E$3143),
Master_Mapping_Sheet!$H$2:$H$3143=W$1))), 0, sum(filter(
Master_Mapping_Sheet!$E$2:$E$3143, ISNUMBER(
Master_Mapping_Sheet!$E$2:$E$3143),
Master_Mapping_Sheet!$H$2:$H$3143=W$1,
Master_Mapping_Sheet!$B$2:$B$3143=$A39))/sum(filter(
Master"&amp;"_Mapping_Sheet!$E$2:$E$3143, ISNUMBER(
Master_Mapping_Sheet!$E$2:$E$3143),
Master_Mapping_Sheet!$H$2:$H$3143=W$1)))"),0.0)</f>
        <v>0</v>
      </c>
      <c r="X39" s="34">
        <f>IFERROR(__xludf.DUMMYFUNCTION("IF(ISNA(sum(filter(
Master_Mapping_Sheet!$E$2:$E$3143, ISNUMBER(
Master_Mapping_Sheet!$E$2:$E$3143),
Master_Mapping_Sheet!$H$2:$H$3143=X$1,
Master_Mapping_Sheet!$B$2:$B$3143=$A39))/sum(filter(
Master_Mapping_Sheet!$E$2:$E$3143, ISNUMBER(
Master_Mapping_Sh"&amp;"eet!$E$2:$E$3143),
Master_Mapping_Sheet!$H$2:$H$3143=X$1))), 0, sum(filter(
Master_Mapping_Sheet!$E$2:$E$3143, ISNUMBER(
Master_Mapping_Sheet!$E$2:$E$3143),
Master_Mapping_Sheet!$H$2:$H$3143=X$1,
Master_Mapping_Sheet!$B$2:$B$3143=$A39))/sum(filter(
Master"&amp;"_Mapping_Sheet!$E$2:$E$3143, ISNUMBER(
Master_Mapping_Sheet!$E$2:$E$3143),
Master_Mapping_Sheet!$H$2:$H$3143=X$1)))"),0.0)</f>
        <v>0</v>
      </c>
      <c r="Y39" s="34">
        <f>IFERROR(__xludf.DUMMYFUNCTION("IF(ISNA(sum(filter(
Master_Mapping_Sheet!$E$2:$E$3143, ISNUMBER(
Master_Mapping_Sheet!$E$2:$E$3143),
Master_Mapping_Sheet!$H$2:$H$3143=Y$1,
Master_Mapping_Sheet!$B$2:$B$3143=$A39))/sum(filter(
Master_Mapping_Sheet!$E$2:$E$3143, ISNUMBER(
Master_Mapping_Sh"&amp;"eet!$E$2:$E$3143),
Master_Mapping_Sheet!$H$2:$H$3143=Y$1))), 0, sum(filter(
Master_Mapping_Sheet!$E$2:$E$3143, ISNUMBER(
Master_Mapping_Sheet!$E$2:$E$3143),
Master_Mapping_Sheet!$H$2:$H$3143=Y$1,
Master_Mapping_Sheet!$B$2:$B$3143=$A39))/sum(filter(
Master"&amp;"_Mapping_Sheet!$E$2:$E$3143, ISNUMBER(
Master_Mapping_Sheet!$E$2:$E$3143),
Master_Mapping_Sheet!$H$2:$H$3143=Y$1)))"),0.3108984447579523)</f>
        <v>0.3108984448</v>
      </c>
      <c r="Z39" s="34">
        <f>IFERROR(__xludf.DUMMYFUNCTION("IF(ISNA(sum(filter(
Master_Mapping_Sheet!$E$2:$E$3143, ISNUMBER(
Master_Mapping_Sheet!$E$2:$E$3143),
Master_Mapping_Sheet!$H$2:$H$3143=Z$1,
Master_Mapping_Sheet!$B$2:$B$3143=$A39))/sum(filter(
Master_Mapping_Sheet!$E$2:$E$3143, ISNUMBER(
Master_Mapping_Sh"&amp;"eet!$E$2:$E$3143),
Master_Mapping_Sheet!$H$2:$H$3143=Z$1))), 0, sum(filter(
Master_Mapping_Sheet!$E$2:$E$3143, ISNUMBER(
Master_Mapping_Sheet!$E$2:$E$3143),
Master_Mapping_Sheet!$H$2:$H$3143=Z$1,
Master_Mapping_Sheet!$B$2:$B$3143=$A39))/sum(filter(
Master"&amp;"_Mapping_Sheet!$E$2:$E$3143, ISNUMBER(
Master_Mapping_Sheet!$E$2:$E$3143),
Master_Mapping_Sheet!$H$2:$H$3143=Z$1)))"),0.0)</f>
        <v>0</v>
      </c>
      <c r="AA39" s="34">
        <f>IFERROR(__xludf.DUMMYFUNCTION("IF(ISNA(sum(filter(
Master_Mapping_Sheet!$E$2:$E$3143, ISNUMBER(
Master_Mapping_Sheet!$E$2:$E$3143),
Master_Mapping_Sheet!$H$2:$H$3143=AA$1,
Master_Mapping_Sheet!$B$2:$B$3143=$A39))/sum(filter(
Master_Mapping_Sheet!$E$2:$E$3143, ISNUMBER(
Master_Mapping_S"&amp;"heet!$E$2:$E$3143),
Master_Mapping_Sheet!$H$2:$H$3143=AA$1))), 0, sum(filter(
Master_Mapping_Sheet!$E$2:$E$3143, ISNUMBER(
Master_Mapping_Sheet!$E$2:$E$3143),
Master_Mapping_Sheet!$H$2:$H$3143=AA$1,
Master_Mapping_Sheet!$B$2:$B$3143=$A39))/sum(filter(
Mas"&amp;"ter_Mapping_Sheet!$E$2:$E$3143, ISNUMBER(
Master_Mapping_Sheet!$E$2:$E$3143),
Master_Mapping_Sheet!$H$2:$H$3143=AA$1)))"),0.0)</f>
        <v>0</v>
      </c>
    </row>
    <row r="40" ht="15.75" customHeight="1">
      <c r="A40" s="34" t="s">
        <v>1514</v>
      </c>
      <c r="B40" s="34" t="s">
        <v>3393</v>
      </c>
      <c r="C40" s="34">
        <f>IFERROR(__xludf.DUMMYFUNCTION("IF(ISNA(sum(filter(
Master_Mapping_Sheet!$E$2:$E$3143, ISNUMBER(
Master_Mapping_Sheet!$E$2:$E$3143),
Master_Mapping_Sheet!$H$2:$H$3143=C$1,
Master_Mapping_Sheet!$B$2:$B$3143=$A40))/sum(filter(
Master_Mapping_Sheet!$E$2:$E$3143, ISNUMBER(
Master_Mapping_Sh"&amp;"eet!$E$2:$E$3143),
Master_Mapping_Sheet!$H$2:$H$3143=C$1))), 0, sum(filter(
Master_Mapping_Sheet!$E$2:$E$3143, ISNUMBER(
Master_Mapping_Sheet!$E$2:$E$3143),
Master_Mapping_Sheet!$H$2:$H$3143=C$1,
Master_Mapping_Sheet!$B$2:$B$3143=$A40))/sum(filter(
Master"&amp;"_Mapping_Sheet!$E$2:$E$3143, ISNUMBER(
Master_Mapping_Sheet!$E$2:$E$3143),
Master_Mapping_Sheet!$H$2:$H$3143=C$1)))"),0.0)</f>
        <v>0</v>
      </c>
      <c r="D40" s="34">
        <f>IFERROR(__xludf.DUMMYFUNCTION("IF(ISNA(sum(filter(
Master_Mapping_Sheet!$E$2:$E$3143, ISNUMBER(
Master_Mapping_Sheet!$E$2:$E$3143),
Master_Mapping_Sheet!$H$2:$H$3143=D$1,
Master_Mapping_Sheet!$B$2:$B$3143=$A40))/sum(filter(
Master_Mapping_Sheet!$E$2:$E$3143, ISNUMBER(
Master_Mapping_Sh"&amp;"eet!$E$2:$E$3143),
Master_Mapping_Sheet!$H$2:$H$3143=D$1))), 0, sum(filter(
Master_Mapping_Sheet!$E$2:$E$3143, ISNUMBER(
Master_Mapping_Sheet!$E$2:$E$3143),
Master_Mapping_Sheet!$H$2:$H$3143=D$1,
Master_Mapping_Sheet!$B$2:$B$3143=$A40))/sum(filter(
Master"&amp;"_Mapping_Sheet!$E$2:$E$3143, ISNUMBER(
Master_Mapping_Sheet!$E$2:$E$3143),
Master_Mapping_Sheet!$H$2:$H$3143=D$1)))"),0.0)</f>
        <v>0</v>
      </c>
      <c r="E40" s="32">
        <f>IFERROR(__xludf.DUMMYFUNCTION("IF(ISNA(sum(filter(
Master_Mapping_Sheet!$E$2:$E$3143, ISNUMBER(
Master_Mapping_Sheet!$E$2:$E$3143),
Master_Mapping_Sheet!$H$2:$H$3143=E$1,
Master_Mapping_Sheet!$B$2:$B$3143=$A40))/sum(filter(
Master_Mapping_Sheet!$E$2:$E$3143, ISNUMBER(
Master_Mapping_Sh"&amp;"eet!$E$2:$E$3143),
Master_Mapping_Sheet!$H$2:$H$3143=E$1))), 0, sum(filter(
Master_Mapping_Sheet!$E$2:$E$3143, ISNUMBER(
Master_Mapping_Sheet!$E$2:$E$3143),
Master_Mapping_Sheet!$H$2:$H$3143=E$1,
Master_Mapping_Sheet!$B$2:$B$3143=$A40))/sum(filter(
Master"&amp;"_Mapping_Sheet!$E$2:$E$3143, ISNUMBER(
Master_Mapping_Sheet!$E$2:$E$3143),
Master_Mapping_Sheet!$H$2:$H$3143=E$1)))"),0.0)</f>
        <v>0</v>
      </c>
      <c r="F40" s="34">
        <f>IFERROR(__xludf.DUMMYFUNCTION("IF(ISNA(sum(filter(
Master_Mapping_Sheet!$E$2:$E$3143, ISNUMBER(
Master_Mapping_Sheet!$E$2:$E$3143),
Master_Mapping_Sheet!$H$2:$H$3143=F$1,
Master_Mapping_Sheet!$B$2:$B$3143=$A40))/sum(filter(
Master_Mapping_Sheet!$E$2:$E$3143, ISNUMBER(
Master_Mapping_Sh"&amp;"eet!$E$2:$E$3143),
Master_Mapping_Sheet!$H$2:$H$3143=F$1))), 0, sum(filter(
Master_Mapping_Sheet!$E$2:$E$3143, ISNUMBER(
Master_Mapping_Sheet!$E$2:$E$3143),
Master_Mapping_Sheet!$H$2:$H$3143=F$1,
Master_Mapping_Sheet!$B$2:$B$3143=$A40))/sum(filter(
Master"&amp;"_Mapping_Sheet!$E$2:$E$3143, ISNUMBER(
Master_Mapping_Sheet!$E$2:$E$3143),
Master_Mapping_Sheet!$H$2:$H$3143=F$1)))"),0.0)</f>
        <v>0</v>
      </c>
      <c r="G40" s="34">
        <f>IFERROR(__xludf.DUMMYFUNCTION("IF(ISNA(sum(filter(
Master_Mapping_Sheet!$E$2:$E$3143, ISNUMBER(
Master_Mapping_Sheet!$E$2:$E$3143),
Master_Mapping_Sheet!$H$2:$H$3143=G$1,
Master_Mapping_Sheet!$B$2:$B$3143=$A40))/sum(filter(
Master_Mapping_Sheet!$E$2:$E$3143, ISNUMBER(
Master_Mapping_Sh"&amp;"eet!$E$2:$E$3143),
Master_Mapping_Sheet!$H$2:$H$3143=G$1))), 0, sum(filter(
Master_Mapping_Sheet!$E$2:$E$3143, ISNUMBER(
Master_Mapping_Sheet!$E$2:$E$3143),
Master_Mapping_Sheet!$H$2:$H$3143=G$1,
Master_Mapping_Sheet!$B$2:$B$3143=$A40))/sum(filter(
Master"&amp;"_Mapping_Sheet!$E$2:$E$3143, ISNUMBER(
Master_Mapping_Sheet!$E$2:$E$3143),
Master_Mapping_Sheet!$H$2:$H$3143=G$1)))"),0.0)</f>
        <v>0</v>
      </c>
      <c r="H40" s="34">
        <f>IFERROR(__xludf.DUMMYFUNCTION("IF(ISNA(sum(filter(
Master_Mapping_Sheet!$E$2:$E$3143, ISNUMBER(
Master_Mapping_Sheet!$E$2:$E$3143),
Master_Mapping_Sheet!$H$2:$H$3143=H$1,
Master_Mapping_Sheet!$B$2:$B$3143=$A40))/sum(filter(
Master_Mapping_Sheet!$E$2:$E$3143, ISNUMBER(
Master_Mapping_Sh"&amp;"eet!$E$2:$E$3143),
Master_Mapping_Sheet!$H$2:$H$3143=H$1))), 0, sum(filter(
Master_Mapping_Sheet!$E$2:$E$3143, ISNUMBER(
Master_Mapping_Sheet!$E$2:$E$3143),
Master_Mapping_Sheet!$H$2:$H$3143=H$1,
Master_Mapping_Sheet!$B$2:$B$3143=$A40))/sum(filter(
Master"&amp;"_Mapping_Sheet!$E$2:$E$3143, ISNUMBER(
Master_Mapping_Sheet!$E$2:$E$3143),
Master_Mapping_Sheet!$H$2:$H$3143=H$1)))"),0.0)</f>
        <v>0</v>
      </c>
      <c r="I40" s="34">
        <f>IFERROR(__xludf.DUMMYFUNCTION("IF(ISNA(sum(filter(
Master_Mapping_Sheet!$E$2:$E$3143, ISNUMBER(
Master_Mapping_Sheet!$E$2:$E$3143),
Master_Mapping_Sheet!$H$2:$H$3143=I$1,
Master_Mapping_Sheet!$B$2:$B$3143=$A40))/sum(filter(
Master_Mapping_Sheet!$E$2:$E$3143, ISNUMBER(
Master_Mapping_Sh"&amp;"eet!$E$2:$E$3143),
Master_Mapping_Sheet!$H$2:$H$3143=I$1))), 0, sum(filter(
Master_Mapping_Sheet!$E$2:$E$3143, ISNUMBER(
Master_Mapping_Sheet!$E$2:$E$3143),
Master_Mapping_Sheet!$H$2:$H$3143=I$1,
Master_Mapping_Sheet!$B$2:$B$3143=$A40))/sum(filter(
Master"&amp;"_Mapping_Sheet!$E$2:$E$3143, ISNUMBER(
Master_Mapping_Sheet!$E$2:$E$3143),
Master_Mapping_Sheet!$H$2:$H$3143=I$1)))"),0.0)</f>
        <v>0</v>
      </c>
      <c r="J40" s="34">
        <f>IFERROR(__xludf.DUMMYFUNCTION("IF(ISNA(sum(filter(
Master_Mapping_Sheet!$E$2:$E$3143, ISNUMBER(
Master_Mapping_Sheet!$E$2:$E$3143),
Master_Mapping_Sheet!$H$2:$H$3143=J$1,
Master_Mapping_Sheet!$B$2:$B$3143=$A40))/sum(filter(
Master_Mapping_Sheet!$E$2:$E$3143, ISNUMBER(
Master_Mapping_Sh"&amp;"eet!$E$2:$E$3143),
Master_Mapping_Sheet!$H$2:$H$3143=J$1))), 0, sum(filter(
Master_Mapping_Sheet!$E$2:$E$3143, ISNUMBER(
Master_Mapping_Sheet!$E$2:$E$3143),
Master_Mapping_Sheet!$H$2:$H$3143=J$1,
Master_Mapping_Sheet!$B$2:$B$3143=$A40))/sum(filter(
Master"&amp;"_Mapping_Sheet!$E$2:$E$3143, ISNUMBER(
Master_Mapping_Sheet!$E$2:$E$3143),
Master_Mapping_Sheet!$H$2:$H$3143=J$1)))"),0.0)</f>
        <v>0</v>
      </c>
      <c r="K40" s="34">
        <f>IFERROR(__xludf.DUMMYFUNCTION("IF(ISNA(sum(filter(
Master_Mapping_Sheet!$E$2:$E$3143, ISNUMBER(
Master_Mapping_Sheet!$E$2:$E$3143),
Master_Mapping_Sheet!$H$2:$H$3143=K$1,
Master_Mapping_Sheet!$B$2:$B$3143=$A40))/sum(filter(
Master_Mapping_Sheet!$E$2:$E$3143, ISNUMBER(
Master_Mapping_Sh"&amp;"eet!$E$2:$E$3143),
Master_Mapping_Sheet!$H$2:$H$3143=K$1))), 0, sum(filter(
Master_Mapping_Sheet!$E$2:$E$3143, ISNUMBER(
Master_Mapping_Sheet!$E$2:$E$3143),
Master_Mapping_Sheet!$H$2:$H$3143=K$1,
Master_Mapping_Sheet!$B$2:$B$3143=$A40))/sum(filter(
Master"&amp;"_Mapping_Sheet!$E$2:$E$3143, ISNUMBER(
Master_Mapping_Sheet!$E$2:$E$3143),
Master_Mapping_Sheet!$H$2:$H$3143=K$1)))"),0.0)</f>
        <v>0</v>
      </c>
      <c r="L40" s="34">
        <f>IFERROR(__xludf.DUMMYFUNCTION("IF(ISNA(sum(filter(
Master_Mapping_Sheet!$E$2:$E$3143, ISNUMBER(
Master_Mapping_Sheet!$E$2:$E$3143),
Master_Mapping_Sheet!$H$2:$H$3143=L$1,
Master_Mapping_Sheet!$B$2:$B$3143=$A40))/sum(filter(
Master_Mapping_Sheet!$E$2:$E$3143, ISNUMBER(
Master_Mapping_Sh"&amp;"eet!$E$2:$E$3143),
Master_Mapping_Sheet!$H$2:$H$3143=L$1))), 0, sum(filter(
Master_Mapping_Sheet!$E$2:$E$3143, ISNUMBER(
Master_Mapping_Sheet!$E$2:$E$3143),
Master_Mapping_Sheet!$H$2:$H$3143=L$1,
Master_Mapping_Sheet!$B$2:$B$3143=$A40))/sum(filter(
Master"&amp;"_Mapping_Sheet!$E$2:$E$3143, ISNUMBER(
Master_Mapping_Sheet!$E$2:$E$3143),
Master_Mapping_Sheet!$H$2:$H$3143=L$1)))"),0.39733065573251397)</f>
        <v>0.3973306557</v>
      </c>
      <c r="M40" s="34">
        <f>IFERROR(__xludf.DUMMYFUNCTION("IF(ISNA(sum(filter(
Master_Mapping_Sheet!$E$2:$E$3143, ISNUMBER(
Master_Mapping_Sheet!$E$2:$E$3143),
Master_Mapping_Sheet!$H$2:$H$3143=M$1,
Master_Mapping_Sheet!$B$2:$B$3143=$A40))/sum(filter(
Master_Mapping_Sheet!$E$2:$E$3143, ISNUMBER(
Master_Mapping_Sh"&amp;"eet!$E$2:$E$3143),
Master_Mapping_Sheet!$H$2:$H$3143=M$1))), 0, sum(filter(
Master_Mapping_Sheet!$E$2:$E$3143, ISNUMBER(
Master_Mapping_Sheet!$E$2:$E$3143),
Master_Mapping_Sheet!$H$2:$H$3143=M$1,
Master_Mapping_Sheet!$B$2:$B$3143=$A40))/sum(filter(
Master"&amp;"_Mapping_Sheet!$E$2:$E$3143, ISNUMBER(
Master_Mapping_Sheet!$E$2:$E$3143),
Master_Mapping_Sheet!$H$2:$H$3143=M$1)))"),0.12179928123627151)</f>
        <v>0.1217992812</v>
      </c>
      <c r="N40" s="34">
        <f>IFERROR(__xludf.DUMMYFUNCTION("IF(ISNA(sum(filter(
Master_Mapping_Sheet!$E$2:$E$3143, ISNUMBER(
Master_Mapping_Sheet!$E$2:$E$3143),
Master_Mapping_Sheet!$H$2:$H$3143=N$1,
Master_Mapping_Sheet!$B$2:$B$3143=$A40))/sum(filter(
Master_Mapping_Sheet!$E$2:$E$3143, ISNUMBER(
Master_Mapping_Sh"&amp;"eet!$E$2:$E$3143),
Master_Mapping_Sheet!$H$2:$H$3143=N$1))), 0, sum(filter(
Master_Mapping_Sheet!$E$2:$E$3143, ISNUMBER(
Master_Mapping_Sheet!$E$2:$E$3143),
Master_Mapping_Sheet!$H$2:$H$3143=N$1,
Master_Mapping_Sheet!$B$2:$B$3143=$A40))/sum(filter(
Master"&amp;"_Mapping_Sheet!$E$2:$E$3143, ISNUMBER(
Master_Mapping_Sheet!$E$2:$E$3143),
Master_Mapping_Sheet!$H$2:$H$3143=N$1)))"),0.0)</f>
        <v>0</v>
      </c>
      <c r="O40" s="34">
        <f>IFERROR(__xludf.DUMMYFUNCTION("IF(ISNA(sum(filter(
Master_Mapping_Sheet!$E$2:$E$3143, ISNUMBER(
Master_Mapping_Sheet!$E$2:$E$3143),
Master_Mapping_Sheet!$H$2:$H$3143=O$1,
Master_Mapping_Sheet!$B$2:$B$3143=$A40))/sum(filter(
Master_Mapping_Sheet!$E$2:$E$3143, ISNUMBER(
Master_Mapping_Sh"&amp;"eet!$E$2:$E$3143),
Master_Mapping_Sheet!$H$2:$H$3143=O$1))), 0, sum(filter(
Master_Mapping_Sheet!$E$2:$E$3143, ISNUMBER(
Master_Mapping_Sheet!$E$2:$E$3143),
Master_Mapping_Sheet!$H$2:$H$3143=O$1,
Master_Mapping_Sheet!$B$2:$B$3143=$A40))/sum(filter(
Master"&amp;"_Mapping_Sheet!$E$2:$E$3143, ISNUMBER(
Master_Mapping_Sheet!$E$2:$E$3143),
Master_Mapping_Sheet!$H$2:$H$3143=O$1)))"),0.0)</f>
        <v>0</v>
      </c>
      <c r="P40" s="34">
        <f>IFERROR(__xludf.DUMMYFUNCTION("IF(ISNA(sum(filter(
Master_Mapping_Sheet!$E$2:$E$3143, ISNUMBER(
Master_Mapping_Sheet!$E$2:$E$3143),
Master_Mapping_Sheet!$H$2:$H$3143=P$1,
Master_Mapping_Sheet!$B$2:$B$3143=$A40))/sum(filter(
Master_Mapping_Sheet!$E$2:$E$3143, ISNUMBER(
Master_Mapping_Sh"&amp;"eet!$E$2:$E$3143),
Master_Mapping_Sheet!$H$2:$H$3143=P$1))), 0, sum(filter(
Master_Mapping_Sheet!$E$2:$E$3143, ISNUMBER(
Master_Mapping_Sheet!$E$2:$E$3143),
Master_Mapping_Sheet!$H$2:$H$3143=P$1,
Master_Mapping_Sheet!$B$2:$B$3143=$A40))/sum(filter(
Master"&amp;"_Mapping_Sheet!$E$2:$E$3143, ISNUMBER(
Master_Mapping_Sheet!$E$2:$E$3143),
Master_Mapping_Sheet!$H$2:$H$3143=P$1)))"),0.0)</f>
        <v>0</v>
      </c>
      <c r="Q40" s="34">
        <f>IFERROR(__xludf.DUMMYFUNCTION("IF(ISNA(sum(filter(
Master_Mapping_Sheet!$E$2:$E$3143, ISNUMBER(
Master_Mapping_Sheet!$E$2:$E$3143),
Master_Mapping_Sheet!$H$2:$H$3143=Q$1,
Master_Mapping_Sheet!$B$2:$B$3143=$A40))/sum(filter(
Master_Mapping_Sheet!$E$2:$E$3143, ISNUMBER(
Master_Mapping_Sh"&amp;"eet!$E$2:$E$3143),
Master_Mapping_Sheet!$H$2:$H$3143=Q$1))), 0, sum(filter(
Master_Mapping_Sheet!$E$2:$E$3143, ISNUMBER(
Master_Mapping_Sheet!$E$2:$E$3143),
Master_Mapping_Sheet!$H$2:$H$3143=Q$1,
Master_Mapping_Sheet!$B$2:$B$3143=$A40))/sum(filter(
Master"&amp;"_Mapping_Sheet!$E$2:$E$3143, ISNUMBER(
Master_Mapping_Sheet!$E$2:$E$3143),
Master_Mapping_Sheet!$H$2:$H$3143=Q$1)))"),0.0)</f>
        <v>0</v>
      </c>
      <c r="R40" s="34">
        <f>IFERROR(__xludf.DUMMYFUNCTION("IF(ISNA(sum(filter(
Master_Mapping_Sheet!$E$2:$E$3143, ISNUMBER(
Master_Mapping_Sheet!$E$2:$E$3143),
Master_Mapping_Sheet!$H$2:$H$3143=R$1,
Master_Mapping_Sheet!$B$2:$B$3143=$A40))/sum(filter(
Master_Mapping_Sheet!$E$2:$E$3143, ISNUMBER(
Master_Mapping_Sh"&amp;"eet!$E$2:$E$3143),
Master_Mapping_Sheet!$H$2:$H$3143=R$1))), 0, sum(filter(
Master_Mapping_Sheet!$E$2:$E$3143, ISNUMBER(
Master_Mapping_Sheet!$E$2:$E$3143),
Master_Mapping_Sheet!$H$2:$H$3143=R$1,
Master_Mapping_Sheet!$B$2:$B$3143=$A40))/sum(filter(
Master"&amp;"_Mapping_Sheet!$E$2:$E$3143, ISNUMBER(
Master_Mapping_Sheet!$E$2:$E$3143),
Master_Mapping_Sheet!$H$2:$H$3143=R$1)))"),0.0)</f>
        <v>0</v>
      </c>
      <c r="S40" s="34">
        <f>IFERROR(__xludf.DUMMYFUNCTION("IF(ISNA(sum(filter(
Master_Mapping_Sheet!$E$2:$E$3143, ISNUMBER(
Master_Mapping_Sheet!$E$2:$E$3143),
Master_Mapping_Sheet!$H$2:$H$3143=S$1,
Master_Mapping_Sheet!$B$2:$B$3143=$A40))/sum(filter(
Master_Mapping_Sheet!$E$2:$E$3143, ISNUMBER(
Master_Mapping_Sh"&amp;"eet!$E$2:$E$3143),
Master_Mapping_Sheet!$H$2:$H$3143=S$1))), 0, sum(filter(
Master_Mapping_Sheet!$E$2:$E$3143, ISNUMBER(
Master_Mapping_Sheet!$E$2:$E$3143),
Master_Mapping_Sheet!$H$2:$H$3143=S$1,
Master_Mapping_Sheet!$B$2:$B$3143=$A40))/sum(filter(
Master"&amp;"_Mapping_Sheet!$E$2:$E$3143, ISNUMBER(
Master_Mapping_Sheet!$E$2:$E$3143),
Master_Mapping_Sheet!$H$2:$H$3143=S$1)))"),0.0)</f>
        <v>0</v>
      </c>
      <c r="T40" s="34">
        <f>IFERROR(__xludf.DUMMYFUNCTION("IF(ISNA(sum(filter(
Master_Mapping_Sheet!$E$2:$E$3143, ISNUMBER(
Master_Mapping_Sheet!$E$2:$E$3143),
Master_Mapping_Sheet!$H$2:$H$3143=T$1,
Master_Mapping_Sheet!$B$2:$B$3143=$A40))/sum(filter(
Master_Mapping_Sheet!$E$2:$E$3143, ISNUMBER(
Master_Mapping_Sh"&amp;"eet!$E$2:$E$3143),
Master_Mapping_Sheet!$H$2:$H$3143=T$1))), 0, sum(filter(
Master_Mapping_Sheet!$E$2:$E$3143, ISNUMBER(
Master_Mapping_Sheet!$E$2:$E$3143),
Master_Mapping_Sheet!$H$2:$H$3143=T$1,
Master_Mapping_Sheet!$B$2:$B$3143=$A40))/sum(filter(
Master"&amp;"_Mapping_Sheet!$E$2:$E$3143, ISNUMBER(
Master_Mapping_Sheet!$E$2:$E$3143),
Master_Mapping_Sheet!$H$2:$H$3143=T$1)))"),0.0)</f>
        <v>0</v>
      </c>
      <c r="U40" s="34">
        <f>IFERROR(__xludf.DUMMYFUNCTION("IF(ISNA(sum(filter(
Master_Mapping_Sheet!$E$2:$E$3143, ISNUMBER(
Master_Mapping_Sheet!$E$2:$E$3143),
Master_Mapping_Sheet!$H$2:$H$3143=U$1,
Master_Mapping_Sheet!$B$2:$B$3143=$A40))/sum(filter(
Master_Mapping_Sheet!$E$2:$E$3143, ISNUMBER(
Master_Mapping_Sh"&amp;"eet!$E$2:$E$3143),
Master_Mapping_Sheet!$H$2:$H$3143=U$1))), 0, sum(filter(
Master_Mapping_Sheet!$E$2:$E$3143, ISNUMBER(
Master_Mapping_Sheet!$E$2:$E$3143),
Master_Mapping_Sheet!$H$2:$H$3143=U$1,
Master_Mapping_Sheet!$B$2:$B$3143=$A40))/sum(filter(
Master"&amp;"_Mapping_Sheet!$E$2:$E$3143, ISNUMBER(
Master_Mapping_Sheet!$E$2:$E$3143),
Master_Mapping_Sheet!$H$2:$H$3143=U$1)))"),0.0)</f>
        <v>0</v>
      </c>
      <c r="V40" s="34">
        <f>IFERROR(__xludf.DUMMYFUNCTION("IF(ISNA(sum(filter(
Master_Mapping_Sheet!$E$2:$E$3143, ISNUMBER(
Master_Mapping_Sheet!$E$2:$E$3143),
Master_Mapping_Sheet!$H$2:$H$3143=V$1,
Master_Mapping_Sheet!$B$2:$B$3143=$A40))/sum(filter(
Master_Mapping_Sheet!$E$2:$E$3143, ISNUMBER(
Master_Mapping_Sh"&amp;"eet!$E$2:$E$3143),
Master_Mapping_Sheet!$H$2:$H$3143=V$1))), 0, sum(filter(
Master_Mapping_Sheet!$E$2:$E$3143, ISNUMBER(
Master_Mapping_Sheet!$E$2:$E$3143),
Master_Mapping_Sheet!$H$2:$H$3143=V$1,
Master_Mapping_Sheet!$B$2:$B$3143=$A40))/sum(filter(
Master"&amp;"_Mapping_Sheet!$E$2:$E$3143, ISNUMBER(
Master_Mapping_Sheet!$E$2:$E$3143),
Master_Mapping_Sheet!$H$2:$H$3143=V$1)))"),0.0)</f>
        <v>0</v>
      </c>
      <c r="W40" s="34">
        <f>IFERROR(__xludf.DUMMYFUNCTION("IF(ISNA(sum(filter(
Master_Mapping_Sheet!$E$2:$E$3143, ISNUMBER(
Master_Mapping_Sheet!$E$2:$E$3143),
Master_Mapping_Sheet!$H$2:$H$3143=W$1,
Master_Mapping_Sheet!$B$2:$B$3143=$A40))/sum(filter(
Master_Mapping_Sheet!$E$2:$E$3143, ISNUMBER(
Master_Mapping_Sh"&amp;"eet!$E$2:$E$3143),
Master_Mapping_Sheet!$H$2:$H$3143=W$1))), 0, sum(filter(
Master_Mapping_Sheet!$E$2:$E$3143, ISNUMBER(
Master_Mapping_Sheet!$E$2:$E$3143),
Master_Mapping_Sheet!$H$2:$H$3143=W$1,
Master_Mapping_Sheet!$B$2:$B$3143=$A40))/sum(filter(
Master"&amp;"_Mapping_Sheet!$E$2:$E$3143, ISNUMBER(
Master_Mapping_Sheet!$E$2:$E$3143),
Master_Mapping_Sheet!$H$2:$H$3143=W$1)))"),0.0)</f>
        <v>0</v>
      </c>
      <c r="X40" s="34">
        <f>IFERROR(__xludf.DUMMYFUNCTION("IF(ISNA(sum(filter(
Master_Mapping_Sheet!$E$2:$E$3143, ISNUMBER(
Master_Mapping_Sheet!$E$2:$E$3143),
Master_Mapping_Sheet!$H$2:$H$3143=X$1,
Master_Mapping_Sheet!$B$2:$B$3143=$A40))/sum(filter(
Master_Mapping_Sheet!$E$2:$E$3143, ISNUMBER(
Master_Mapping_Sh"&amp;"eet!$E$2:$E$3143),
Master_Mapping_Sheet!$H$2:$H$3143=X$1))), 0, sum(filter(
Master_Mapping_Sheet!$E$2:$E$3143, ISNUMBER(
Master_Mapping_Sheet!$E$2:$E$3143),
Master_Mapping_Sheet!$H$2:$H$3143=X$1,
Master_Mapping_Sheet!$B$2:$B$3143=$A40))/sum(filter(
Master"&amp;"_Mapping_Sheet!$E$2:$E$3143, ISNUMBER(
Master_Mapping_Sheet!$E$2:$E$3143),
Master_Mapping_Sheet!$H$2:$H$3143=X$1)))"),0.0)</f>
        <v>0</v>
      </c>
      <c r="Y40" s="34">
        <f>IFERROR(__xludf.DUMMYFUNCTION("IF(ISNA(sum(filter(
Master_Mapping_Sheet!$E$2:$E$3143, ISNUMBER(
Master_Mapping_Sheet!$E$2:$E$3143),
Master_Mapping_Sheet!$H$2:$H$3143=Y$1,
Master_Mapping_Sheet!$B$2:$B$3143=$A40))/sum(filter(
Master_Mapping_Sheet!$E$2:$E$3143, ISNUMBER(
Master_Mapping_Sh"&amp;"eet!$E$2:$E$3143),
Master_Mapping_Sheet!$H$2:$H$3143=Y$1))), 0, sum(filter(
Master_Mapping_Sheet!$E$2:$E$3143, ISNUMBER(
Master_Mapping_Sheet!$E$2:$E$3143),
Master_Mapping_Sheet!$H$2:$H$3143=Y$1,
Master_Mapping_Sheet!$B$2:$B$3143=$A40))/sum(filter(
Master"&amp;"_Mapping_Sheet!$E$2:$E$3143, ISNUMBER(
Master_Mapping_Sheet!$E$2:$E$3143),
Master_Mapping_Sheet!$H$2:$H$3143=Y$1)))"),0.0)</f>
        <v>0</v>
      </c>
      <c r="Z40" s="34">
        <f>IFERROR(__xludf.DUMMYFUNCTION("IF(ISNA(sum(filter(
Master_Mapping_Sheet!$E$2:$E$3143, ISNUMBER(
Master_Mapping_Sheet!$E$2:$E$3143),
Master_Mapping_Sheet!$H$2:$H$3143=Z$1,
Master_Mapping_Sheet!$B$2:$B$3143=$A40))/sum(filter(
Master_Mapping_Sheet!$E$2:$E$3143, ISNUMBER(
Master_Mapping_Sh"&amp;"eet!$E$2:$E$3143),
Master_Mapping_Sheet!$H$2:$H$3143=Z$1))), 0, sum(filter(
Master_Mapping_Sheet!$E$2:$E$3143, ISNUMBER(
Master_Mapping_Sheet!$E$2:$E$3143),
Master_Mapping_Sheet!$H$2:$H$3143=Z$1,
Master_Mapping_Sheet!$B$2:$B$3143=$A40))/sum(filter(
Master"&amp;"_Mapping_Sheet!$E$2:$E$3143, ISNUMBER(
Master_Mapping_Sheet!$E$2:$E$3143),
Master_Mapping_Sheet!$H$2:$H$3143=Z$1)))"),0.0)</f>
        <v>0</v>
      </c>
      <c r="AA40" s="34">
        <f>IFERROR(__xludf.DUMMYFUNCTION("IF(ISNA(sum(filter(
Master_Mapping_Sheet!$E$2:$E$3143, ISNUMBER(
Master_Mapping_Sheet!$E$2:$E$3143),
Master_Mapping_Sheet!$H$2:$H$3143=AA$1,
Master_Mapping_Sheet!$B$2:$B$3143=$A40))/sum(filter(
Master_Mapping_Sheet!$E$2:$E$3143, ISNUMBER(
Master_Mapping_S"&amp;"heet!$E$2:$E$3143),
Master_Mapping_Sheet!$H$2:$H$3143=AA$1))), 0, sum(filter(
Master_Mapping_Sheet!$E$2:$E$3143, ISNUMBER(
Master_Mapping_Sheet!$E$2:$E$3143),
Master_Mapping_Sheet!$H$2:$H$3143=AA$1,
Master_Mapping_Sheet!$B$2:$B$3143=$A40))/sum(filter(
Mas"&amp;"ter_Mapping_Sheet!$E$2:$E$3143, ISNUMBER(
Master_Mapping_Sheet!$E$2:$E$3143),
Master_Mapping_Sheet!$H$2:$H$3143=AA$1)))"),0.0)</f>
        <v>0</v>
      </c>
    </row>
    <row r="41" ht="15.75" customHeight="1">
      <c r="A41" s="34" t="s">
        <v>1546</v>
      </c>
      <c r="B41" s="34" t="s">
        <v>3427</v>
      </c>
      <c r="C41" s="34">
        <f>IFERROR(__xludf.DUMMYFUNCTION("IF(ISNA(sum(filter(
Master_Mapping_Sheet!$E$2:$E$3143, ISNUMBER(
Master_Mapping_Sheet!$E$2:$E$3143),
Master_Mapping_Sheet!$H$2:$H$3143=C$1,
Master_Mapping_Sheet!$B$2:$B$3143=$A41))/sum(filter(
Master_Mapping_Sheet!$E$2:$E$3143, ISNUMBER(
Master_Mapping_Sh"&amp;"eet!$E$2:$E$3143),
Master_Mapping_Sheet!$H$2:$H$3143=C$1))), 0, sum(filter(
Master_Mapping_Sheet!$E$2:$E$3143, ISNUMBER(
Master_Mapping_Sheet!$E$2:$E$3143),
Master_Mapping_Sheet!$H$2:$H$3143=C$1,
Master_Mapping_Sheet!$B$2:$B$3143=$A41))/sum(filter(
Master"&amp;"_Mapping_Sheet!$E$2:$E$3143, ISNUMBER(
Master_Mapping_Sheet!$E$2:$E$3143),
Master_Mapping_Sheet!$H$2:$H$3143=C$1)))"),0.0)</f>
        <v>0</v>
      </c>
      <c r="D41" s="34">
        <f>IFERROR(__xludf.DUMMYFUNCTION("IF(ISNA(sum(filter(
Master_Mapping_Sheet!$E$2:$E$3143, ISNUMBER(
Master_Mapping_Sheet!$E$2:$E$3143),
Master_Mapping_Sheet!$H$2:$H$3143=D$1,
Master_Mapping_Sheet!$B$2:$B$3143=$A41))/sum(filter(
Master_Mapping_Sheet!$E$2:$E$3143, ISNUMBER(
Master_Mapping_Sh"&amp;"eet!$E$2:$E$3143),
Master_Mapping_Sheet!$H$2:$H$3143=D$1))), 0, sum(filter(
Master_Mapping_Sheet!$E$2:$E$3143, ISNUMBER(
Master_Mapping_Sheet!$E$2:$E$3143),
Master_Mapping_Sheet!$H$2:$H$3143=D$1,
Master_Mapping_Sheet!$B$2:$B$3143=$A41))/sum(filter(
Master"&amp;"_Mapping_Sheet!$E$2:$E$3143, ISNUMBER(
Master_Mapping_Sheet!$E$2:$E$3143),
Master_Mapping_Sheet!$H$2:$H$3143=D$1)))"),0.0)</f>
        <v>0</v>
      </c>
      <c r="E41" s="32">
        <f>IFERROR(__xludf.DUMMYFUNCTION("IF(ISNA(sum(filter(
Master_Mapping_Sheet!$E$2:$E$3143, ISNUMBER(
Master_Mapping_Sheet!$E$2:$E$3143),
Master_Mapping_Sheet!$H$2:$H$3143=E$1,
Master_Mapping_Sheet!$B$2:$B$3143=$A41))/sum(filter(
Master_Mapping_Sheet!$E$2:$E$3143, ISNUMBER(
Master_Mapping_Sh"&amp;"eet!$E$2:$E$3143),
Master_Mapping_Sheet!$H$2:$H$3143=E$1))), 0, sum(filter(
Master_Mapping_Sheet!$E$2:$E$3143, ISNUMBER(
Master_Mapping_Sheet!$E$2:$E$3143),
Master_Mapping_Sheet!$H$2:$H$3143=E$1,
Master_Mapping_Sheet!$B$2:$B$3143=$A41))/sum(filter(
Master"&amp;"_Mapping_Sheet!$E$2:$E$3143, ISNUMBER(
Master_Mapping_Sheet!$E$2:$E$3143),
Master_Mapping_Sheet!$H$2:$H$3143=E$1)))"),0.0)</f>
        <v>0</v>
      </c>
      <c r="F41" s="34">
        <f>IFERROR(__xludf.DUMMYFUNCTION("IF(ISNA(sum(filter(
Master_Mapping_Sheet!$E$2:$E$3143, ISNUMBER(
Master_Mapping_Sheet!$E$2:$E$3143),
Master_Mapping_Sheet!$H$2:$H$3143=F$1,
Master_Mapping_Sheet!$B$2:$B$3143=$A41))/sum(filter(
Master_Mapping_Sheet!$E$2:$E$3143, ISNUMBER(
Master_Mapping_Sh"&amp;"eet!$E$2:$E$3143),
Master_Mapping_Sheet!$H$2:$H$3143=F$1))), 0, sum(filter(
Master_Mapping_Sheet!$E$2:$E$3143, ISNUMBER(
Master_Mapping_Sheet!$E$2:$E$3143),
Master_Mapping_Sheet!$H$2:$H$3143=F$1,
Master_Mapping_Sheet!$B$2:$B$3143=$A41))/sum(filter(
Master"&amp;"_Mapping_Sheet!$E$2:$E$3143, ISNUMBER(
Master_Mapping_Sheet!$E$2:$E$3143),
Master_Mapping_Sheet!$H$2:$H$3143=F$1)))"),0.0)</f>
        <v>0</v>
      </c>
      <c r="G41" s="34">
        <f>IFERROR(__xludf.DUMMYFUNCTION("IF(ISNA(sum(filter(
Master_Mapping_Sheet!$E$2:$E$3143, ISNUMBER(
Master_Mapping_Sheet!$E$2:$E$3143),
Master_Mapping_Sheet!$H$2:$H$3143=G$1,
Master_Mapping_Sheet!$B$2:$B$3143=$A41))/sum(filter(
Master_Mapping_Sheet!$E$2:$E$3143, ISNUMBER(
Master_Mapping_Sh"&amp;"eet!$E$2:$E$3143),
Master_Mapping_Sheet!$H$2:$H$3143=G$1))), 0, sum(filter(
Master_Mapping_Sheet!$E$2:$E$3143, ISNUMBER(
Master_Mapping_Sheet!$E$2:$E$3143),
Master_Mapping_Sheet!$H$2:$H$3143=G$1,
Master_Mapping_Sheet!$B$2:$B$3143=$A41))/sum(filter(
Master"&amp;"_Mapping_Sheet!$E$2:$E$3143, ISNUMBER(
Master_Mapping_Sheet!$E$2:$E$3143),
Master_Mapping_Sheet!$H$2:$H$3143=G$1)))"),0.0)</f>
        <v>0</v>
      </c>
      <c r="H41" s="34">
        <f>IFERROR(__xludf.DUMMYFUNCTION("IF(ISNA(sum(filter(
Master_Mapping_Sheet!$E$2:$E$3143, ISNUMBER(
Master_Mapping_Sheet!$E$2:$E$3143),
Master_Mapping_Sheet!$H$2:$H$3143=H$1,
Master_Mapping_Sheet!$B$2:$B$3143=$A41))/sum(filter(
Master_Mapping_Sheet!$E$2:$E$3143, ISNUMBER(
Master_Mapping_Sh"&amp;"eet!$E$2:$E$3143),
Master_Mapping_Sheet!$H$2:$H$3143=H$1))), 0, sum(filter(
Master_Mapping_Sheet!$E$2:$E$3143, ISNUMBER(
Master_Mapping_Sheet!$E$2:$E$3143),
Master_Mapping_Sheet!$H$2:$H$3143=H$1,
Master_Mapping_Sheet!$B$2:$B$3143=$A41))/sum(filter(
Master"&amp;"_Mapping_Sheet!$E$2:$E$3143, ISNUMBER(
Master_Mapping_Sheet!$E$2:$E$3143),
Master_Mapping_Sheet!$H$2:$H$3143=H$1)))"),0.0)</f>
        <v>0</v>
      </c>
      <c r="I41" s="34">
        <f>IFERROR(__xludf.DUMMYFUNCTION("IF(ISNA(sum(filter(
Master_Mapping_Sheet!$E$2:$E$3143, ISNUMBER(
Master_Mapping_Sheet!$E$2:$E$3143),
Master_Mapping_Sheet!$H$2:$H$3143=I$1,
Master_Mapping_Sheet!$B$2:$B$3143=$A41))/sum(filter(
Master_Mapping_Sheet!$E$2:$E$3143, ISNUMBER(
Master_Mapping_Sh"&amp;"eet!$E$2:$E$3143),
Master_Mapping_Sheet!$H$2:$H$3143=I$1))), 0, sum(filter(
Master_Mapping_Sheet!$E$2:$E$3143, ISNUMBER(
Master_Mapping_Sheet!$E$2:$E$3143),
Master_Mapping_Sheet!$H$2:$H$3143=I$1,
Master_Mapping_Sheet!$B$2:$B$3143=$A41))/sum(filter(
Master"&amp;"_Mapping_Sheet!$E$2:$E$3143, ISNUMBER(
Master_Mapping_Sheet!$E$2:$E$3143),
Master_Mapping_Sheet!$H$2:$H$3143=I$1)))"),0.07234767431459589)</f>
        <v>0.07234767431</v>
      </c>
      <c r="J41" s="34">
        <f>IFERROR(__xludf.DUMMYFUNCTION("IF(ISNA(sum(filter(
Master_Mapping_Sheet!$E$2:$E$3143, ISNUMBER(
Master_Mapping_Sheet!$E$2:$E$3143),
Master_Mapping_Sheet!$H$2:$H$3143=J$1,
Master_Mapping_Sheet!$B$2:$B$3143=$A41))/sum(filter(
Master_Mapping_Sheet!$E$2:$E$3143, ISNUMBER(
Master_Mapping_Sh"&amp;"eet!$E$2:$E$3143),
Master_Mapping_Sheet!$H$2:$H$3143=J$1))), 0, sum(filter(
Master_Mapping_Sheet!$E$2:$E$3143, ISNUMBER(
Master_Mapping_Sheet!$E$2:$E$3143),
Master_Mapping_Sheet!$H$2:$H$3143=J$1,
Master_Mapping_Sheet!$B$2:$B$3143=$A41))/sum(filter(
Master"&amp;"_Mapping_Sheet!$E$2:$E$3143, ISNUMBER(
Master_Mapping_Sheet!$E$2:$E$3143),
Master_Mapping_Sheet!$H$2:$H$3143=J$1)))"),0.0)</f>
        <v>0</v>
      </c>
      <c r="K41" s="34">
        <f>IFERROR(__xludf.DUMMYFUNCTION("IF(ISNA(sum(filter(
Master_Mapping_Sheet!$E$2:$E$3143, ISNUMBER(
Master_Mapping_Sheet!$E$2:$E$3143),
Master_Mapping_Sheet!$H$2:$H$3143=K$1,
Master_Mapping_Sheet!$B$2:$B$3143=$A41))/sum(filter(
Master_Mapping_Sheet!$E$2:$E$3143, ISNUMBER(
Master_Mapping_Sh"&amp;"eet!$E$2:$E$3143),
Master_Mapping_Sheet!$H$2:$H$3143=K$1))), 0, sum(filter(
Master_Mapping_Sheet!$E$2:$E$3143, ISNUMBER(
Master_Mapping_Sheet!$E$2:$E$3143),
Master_Mapping_Sheet!$H$2:$H$3143=K$1,
Master_Mapping_Sheet!$B$2:$B$3143=$A41))/sum(filter(
Master"&amp;"_Mapping_Sheet!$E$2:$E$3143, ISNUMBER(
Master_Mapping_Sheet!$E$2:$E$3143),
Master_Mapping_Sheet!$H$2:$H$3143=K$1)))"),0.0)</f>
        <v>0</v>
      </c>
      <c r="L41" s="34">
        <f>IFERROR(__xludf.DUMMYFUNCTION("IF(ISNA(sum(filter(
Master_Mapping_Sheet!$E$2:$E$3143, ISNUMBER(
Master_Mapping_Sheet!$E$2:$E$3143),
Master_Mapping_Sheet!$H$2:$H$3143=L$1,
Master_Mapping_Sheet!$B$2:$B$3143=$A41))/sum(filter(
Master_Mapping_Sheet!$E$2:$E$3143, ISNUMBER(
Master_Mapping_Sh"&amp;"eet!$E$2:$E$3143),
Master_Mapping_Sheet!$H$2:$H$3143=L$1))), 0, sum(filter(
Master_Mapping_Sheet!$E$2:$E$3143, ISNUMBER(
Master_Mapping_Sheet!$E$2:$E$3143),
Master_Mapping_Sheet!$H$2:$H$3143=L$1,
Master_Mapping_Sheet!$B$2:$B$3143=$A41))/sum(filter(
Master"&amp;"_Mapping_Sheet!$E$2:$E$3143, ISNUMBER(
Master_Mapping_Sheet!$E$2:$E$3143),
Master_Mapping_Sheet!$H$2:$H$3143=L$1)))"),0.0)</f>
        <v>0</v>
      </c>
      <c r="M41" s="34">
        <f>IFERROR(__xludf.DUMMYFUNCTION("IF(ISNA(sum(filter(
Master_Mapping_Sheet!$E$2:$E$3143, ISNUMBER(
Master_Mapping_Sheet!$E$2:$E$3143),
Master_Mapping_Sheet!$H$2:$H$3143=M$1,
Master_Mapping_Sheet!$B$2:$B$3143=$A41))/sum(filter(
Master_Mapping_Sheet!$E$2:$E$3143, ISNUMBER(
Master_Mapping_Sh"&amp;"eet!$E$2:$E$3143),
Master_Mapping_Sheet!$H$2:$H$3143=M$1))), 0, sum(filter(
Master_Mapping_Sheet!$E$2:$E$3143, ISNUMBER(
Master_Mapping_Sheet!$E$2:$E$3143),
Master_Mapping_Sheet!$H$2:$H$3143=M$1,
Master_Mapping_Sheet!$B$2:$B$3143=$A41))/sum(filter(
Master"&amp;"_Mapping_Sheet!$E$2:$E$3143, ISNUMBER(
Master_Mapping_Sheet!$E$2:$E$3143),
Master_Mapping_Sheet!$H$2:$H$3143=M$1)))"),0.0)</f>
        <v>0</v>
      </c>
      <c r="N41" s="34">
        <f>IFERROR(__xludf.DUMMYFUNCTION("IF(ISNA(sum(filter(
Master_Mapping_Sheet!$E$2:$E$3143, ISNUMBER(
Master_Mapping_Sheet!$E$2:$E$3143),
Master_Mapping_Sheet!$H$2:$H$3143=N$1,
Master_Mapping_Sheet!$B$2:$B$3143=$A41))/sum(filter(
Master_Mapping_Sheet!$E$2:$E$3143, ISNUMBER(
Master_Mapping_Sh"&amp;"eet!$E$2:$E$3143),
Master_Mapping_Sheet!$H$2:$H$3143=N$1))), 0, sum(filter(
Master_Mapping_Sheet!$E$2:$E$3143, ISNUMBER(
Master_Mapping_Sheet!$E$2:$E$3143),
Master_Mapping_Sheet!$H$2:$H$3143=N$1,
Master_Mapping_Sheet!$B$2:$B$3143=$A41))/sum(filter(
Master"&amp;"_Mapping_Sheet!$E$2:$E$3143, ISNUMBER(
Master_Mapping_Sheet!$E$2:$E$3143),
Master_Mapping_Sheet!$H$2:$H$3143=N$1)))"),0.0)</f>
        <v>0</v>
      </c>
      <c r="O41" s="34">
        <f>IFERROR(__xludf.DUMMYFUNCTION("IF(ISNA(sum(filter(
Master_Mapping_Sheet!$E$2:$E$3143, ISNUMBER(
Master_Mapping_Sheet!$E$2:$E$3143),
Master_Mapping_Sheet!$H$2:$H$3143=O$1,
Master_Mapping_Sheet!$B$2:$B$3143=$A41))/sum(filter(
Master_Mapping_Sheet!$E$2:$E$3143, ISNUMBER(
Master_Mapping_Sh"&amp;"eet!$E$2:$E$3143),
Master_Mapping_Sheet!$H$2:$H$3143=O$1))), 0, sum(filter(
Master_Mapping_Sheet!$E$2:$E$3143, ISNUMBER(
Master_Mapping_Sheet!$E$2:$E$3143),
Master_Mapping_Sheet!$H$2:$H$3143=O$1,
Master_Mapping_Sheet!$B$2:$B$3143=$A41))/sum(filter(
Master"&amp;"_Mapping_Sheet!$E$2:$E$3143, ISNUMBER(
Master_Mapping_Sheet!$E$2:$E$3143),
Master_Mapping_Sheet!$H$2:$H$3143=O$1)))"),0.0)</f>
        <v>0</v>
      </c>
      <c r="P41" s="34">
        <f>IFERROR(__xludf.DUMMYFUNCTION("IF(ISNA(sum(filter(
Master_Mapping_Sheet!$E$2:$E$3143, ISNUMBER(
Master_Mapping_Sheet!$E$2:$E$3143),
Master_Mapping_Sheet!$H$2:$H$3143=P$1,
Master_Mapping_Sheet!$B$2:$B$3143=$A41))/sum(filter(
Master_Mapping_Sheet!$E$2:$E$3143, ISNUMBER(
Master_Mapping_Sh"&amp;"eet!$E$2:$E$3143),
Master_Mapping_Sheet!$H$2:$H$3143=P$1))), 0, sum(filter(
Master_Mapping_Sheet!$E$2:$E$3143, ISNUMBER(
Master_Mapping_Sheet!$E$2:$E$3143),
Master_Mapping_Sheet!$H$2:$H$3143=P$1,
Master_Mapping_Sheet!$B$2:$B$3143=$A41))/sum(filter(
Master"&amp;"_Mapping_Sheet!$E$2:$E$3143, ISNUMBER(
Master_Mapping_Sheet!$E$2:$E$3143),
Master_Mapping_Sheet!$H$2:$H$3143=P$1)))"),0.0)</f>
        <v>0</v>
      </c>
      <c r="Q41" s="34">
        <f>IFERROR(__xludf.DUMMYFUNCTION("IF(ISNA(sum(filter(
Master_Mapping_Sheet!$E$2:$E$3143, ISNUMBER(
Master_Mapping_Sheet!$E$2:$E$3143),
Master_Mapping_Sheet!$H$2:$H$3143=Q$1,
Master_Mapping_Sheet!$B$2:$B$3143=$A41))/sum(filter(
Master_Mapping_Sheet!$E$2:$E$3143, ISNUMBER(
Master_Mapping_Sh"&amp;"eet!$E$2:$E$3143),
Master_Mapping_Sheet!$H$2:$H$3143=Q$1))), 0, sum(filter(
Master_Mapping_Sheet!$E$2:$E$3143, ISNUMBER(
Master_Mapping_Sheet!$E$2:$E$3143),
Master_Mapping_Sheet!$H$2:$H$3143=Q$1,
Master_Mapping_Sheet!$B$2:$B$3143=$A41))/sum(filter(
Master"&amp;"_Mapping_Sheet!$E$2:$E$3143, ISNUMBER(
Master_Mapping_Sheet!$E$2:$E$3143),
Master_Mapping_Sheet!$H$2:$H$3143=Q$1)))"),0.0)</f>
        <v>0</v>
      </c>
      <c r="R41" s="34">
        <f>IFERROR(__xludf.DUMMYFUNCTION("IF(ISNA(sum(filter(
Master_Mapping_Sheet!$E$2:$E$3143, ISNUMBER(
Master_Mapping_Sheet!$E$2:$E$3143),
Master_Mapping_Sheet!$H$2:$H$3143=R$1,
Master_Mapping_Sheet!$B$2:$B$3143=$A41))/sum(filter(
Master_Mapping_Sheet!$E$2:$E$3143, ISNUMBER(
Master_Mapping_Sh"&amp;"eet!$E$2:$E$3143),
Master_Mapping_Sheet!$H$2:$H$3143=R$1))), 0, sum(filter(
Master_Mapping_Sheet!$E$2:$E$3143, ISNUMBER(
Master_Mapping_Sheet!$E$2:$E$3143),
Master_Mapping_Sheet!$H$2:$H$3143=R$1,
Master_Mapping_Sheet!$B$2:$B$3143=$A41))/sum(filter(
Master"&amp;"_Mapping_Sheet!$E$2:$E$3143, ISNUMBER(
Master_Mapping_Sheet!$E$2:$E$3143),
Master_Mapping_Sheet!$H$2:$H$3143=R$1)))"),0.0)</f>
        <v>0</v>
      </c>
      <c r="S41" s="34">
        <f>IFERROR(__xludf.DUMMYFUNCTION("IF(ISNA(sum(filter(
Master_Mapping_Sheet!$E$2:$E$3143, ISNUMBER(
Master_Mapping_Sheet!$E$2:$E$3143),
Master_Mapping_Sheet!$H$2:$H$3143=S$1,
Master_Mapping_Sheet!$B$2:$B$3143=$A41))/sum(filter(
Master_Mapping_Sheet!$E$2:$E$3143, ISNUMBER(
Master_Mapping_Sh"&amp;"eet!$E$2:$E$3143),
Master_Mapping_Sheet!$H$2:$H$3143=S$1))), 0, sum(filter(
Master_Mapping_Sheet!$E$2:$E$3143, ISNUMBER(
Master_Mapping_Sheet!$E$2:$E$3143),
Master_Mapping_Sheet!$H$2:$H$3143=S$1,
Master_Mapping_Sheet!$B$2:$B$3143=$A41))/sum(filter(
Master"&amp;"_Mapping_Sheet!$E$2:$E$3143, ISNUMBER(
Master_Mapping_Sheet!$E$2:$E$3143),
Master_Mapping_Sheet!$H$2:$H$3143=S$1)))"),0.0)</f>
        <v>0</v>
      </c>
      <c r="T41" s="34">
        <f>IFERROR(__xludf.DUMMYFUNCTION("IF(ISNA(sum(filter(
Master_Mapping_Sheet!$E$2:$E$3143, ISNUMBER(
Master_Mapping_Sheet!$E$2:$E$3143),
Master_Mapping_Sheet!$H$2:$H$3143=T$1,
Master_Mapping_Sheet!$B$2:$B$3143=$A41))/sum(filter(
Master_Mapping_Sheet!$E$2:$E$3143, ISNUMBER(
Master_Mapping_Sh"&amp;"eet!$E$2:$E$3143),
Master_Mapping_Sheet!$H$2:$H$3143=T$1))), 0, sum(filter(
Master_Mapping_Sheet!$E$2:$E$3143, ISNUMBER(
Master_Mapping_Sheet!$E$2:$E$3143),
Master_Mapping_Sheet!$H$2:$H$3143=T$1,
Master_Mapping_Sheet!$B$2:$B$3143=$A41))/sum(filter(
Master"&amp;"_Mapping_Sheet!$E$2:$E$3143, ISNUMBER(
Master_Mapping_Sheet!$E$2:$E$3143),
Master_Mapping_Sheet!$H$2:$H$3143=T$1)))"),0.0)</f>
        <v>0</v>
      </c>
      <c r="U41" s="34">
        <f>IFERROR(__xludf.DUMMYFUNCTION("IF(ISNA(sum(filter(
Master_Mapping_Sheet!$E$2:$E$3143, ISNUMBER(
Master_Mapping_Sheet!$E$2:$E$3143),
Master_Mapping_Sheet!$H$2:$H$3143=U$1,
Master_Mapping_Sheet!$B$2:$B$3143=$A41))/sum(filter(
Master_Mapping_Sheet!$E$2:$E$3143, ISNUMBER(
Master_Mapping_Sh"&amp;"eet!$E$2:$E$3143),
Master_Mapping_Sheet!$H$2:$H$3143=U$1))), 0, sum(filter(
Master_Mapping_Sheet!$E$2:$E$3143, ISNUMBER(
Master_Mapping_Sheet!$E$2:$E$3143),
Master_Mapping_Sheet!$H$2:$H$3143=U$1,
Master_Mapping_Sheet!$B$2:$B$3143=$A41))/sum(filter(
Master"&amp;"_Mapping_Sheet!$E$2:$E$3143, ISNUMBER(
Master_Mapping_Sheet!$E$2:$E$3143),
Master_Mapping_Sheet!$H$2:$H$3143=U$1)))"),0.0)</f>
        <v>0</v>
      </c>
      <c r="V41" s="34">
        <f>IFERROR(__xludf.DUMMYFUNCTION("IF(ISNA(sum(filter(
Master_Mapping_Sheet!$E$2:$E$3143, ISNUMBER(
Master_Mapping_Sheet!$E$2:$E$3143),
Master_Mapping_Sheet!$H$2:$H$3143=V$1,
Master_Mapping_Sheet!$B$2:$B$3143=$A41))/sum(filter(
Master_Mapping_Sheet!$E$2:$E$3143, ISNUMBER(
Master_Mapping_Sh"&amp;"eet!$E$2:$E$3143),
Master_Mapping_Sheet!$H$2:$H$3143=V$1))), 0, sum(filter(
Master_Mapping_Sheet!$E$2:$E$3143, ISNUMBER(
Master_Mapping_Sheet!$E$2:$E$3143),
Master_Mapping_Sheet!$H$2:$H$3143=V$1,
Master_Mapping_Sheet!$B$2:$B$3143=$A41))/sum(filter(
Master"&amp;"_Mapping_Sheet!$E$2:$E$3143, ISNUMBER(
Master_Mapping_Sheet!$E$2:$E$3143),
Master_Mapping_Sheet!$H$2:$H$3143=V$1)))"),0.0)</f>
        <v>0</v>
      </c>
      <c r="W41" s="34">
        <f>IFERROR(__xludf.DUMMYFUNCTION("IF(ISNA(sum(filter(
Master_Mapping_Sheet!$E$2:$E$3143, ISNUMBER(
Master_Mapping_Sheet!$E$2:$E$3143),
Master_Mapping_Sheet!$H$2:$H$3143=W$1,
Master_Mapping_Sheet!$B$2:$B$3143=$A41))/sum(filter(
Master_Mapping_Sheet!$E$2:$E$3143, ISNUMBER(
Master_Mapping_Sh"&amp;"eet!$E$2:$E$3143),
Master_Mapping_Sheet!$H$2:$H$3143=W$1))), 0, sum(filter(
Master_Mapping_Sheet!$E$2:$E$3143, ISNUMBER(
Master_Mapping_Sheet!$E$2:$E$3143),
Master_Mapping_Sheet!$H$2:$H$3143=W$1,
Master_Mapping_Sheet!$B$2:$B$3143=$A41))/sum(filter(
Master"&amp;"_Mapping_Sheet!$E$2:$E$3143, ISNUMBER(
Master_Mapping_Sheet!$E$2:$E$3143),
Master_Mapping_Sheet!$H$2:$H$3143=W$1)))"),0.0)</f>
        <v>0</v>
      </c>
      <c r="X41" s="34">
        <f>IFERROR(__xludf.DUMMYFUNCTION("IF(ISNA(sum(filter(
Master_Mapping_Sheet!$E$2:$E$3143, ISNUMBER(
Master_Mapping_Sheet!$E$2:$E$3143),
Master_Mapping_Sheet!$H$2:$H$3143=X$1,
Master_Mapping_Sheet!$B$2:$B$3143=$A41))/sum(filter(
Master_Mapping_Sheet!$E$2:$E$3143, ISNUMBER(
Master_Mapping_Sh"&amp;"eet!$E$2:$E$3143),
Master_Mapping_Sheet!$H$2:$H$3143=X$1))), 0, sum(filter(
Master_Mapping_Sheet!$E$2:$E$3143, ISNUMBER(
Master_Mapping_Sheet!$E$2:$E$3143),
Master_Mapping_Sheet!$H$2:$H$3143=X$1,
Master_Mapping_Sheet!$B$2:$B$3143=$A41))/sum(filter(
Master"&amp;"_Mapping_Sheet!$E$2:$E$3143, ISNUMBER(
Master_Mapping_Sheet!$E$2:$E$3143),
Master_Mapping_Sheet!$H$2:$H$3143=X$1)))"),0.0)</f>
        <v>0</v>
      </c>
      <c r="Y41" s="34">
        <f>IFERROR(__xludf.DUMMYFUNCTION("IF(ISNA(sum(filter(
Master_Mapping_Sheet!$E$2:$E$3143, ISNUMBER(
Master_Mapping_Sheet!$E$2:$E$3143),
Master_Mapping_Sheet!$H$2:$H$3143=Y$1,
Master_Mapping_Sheet!$B$2:$B$3143=$A41))/sum(filter(
Master_Mapping_Sheet!$E$2:$E$3143, ISNUMBER(
Master_Mapping_Sh"&amp;"eet!$E$2:$E$3143),
Master_Mapping_Sheet!$H$2:$H$3143=Y$1))), 0, sum(filter(
Master_Mapping_Sheet!$E$2:$E$3143, ISNUMBER(
Master_Mapping_Sheet!$E$2:$E$3143),
Master_Mapping_Sheet!$H$2:$H$3143=Y$1,
Master_Mapping_Sheet!$B$2:$B$3143=$A41))/sum(filter(
Master"&amp;"_Mapping_Sheet!$E$2:$E$3143, ISNUMBER(
Master_Mapping_Sheet!$E$2:$E$3143),
Master_Mapping_Sheet!$H$2:$H$3143=Y$1)))"),0.0)</f>
        <v>0</v>
      </c>
      <c r="Z41" s="34">
        <f>IFERROR(__xludf.DUMMYFUNCTION("IF(ISNA(sum(filter(
Master_Mapping_Sheet!$E$2:$E$3143, ISNUMBER(
Master_Mapping_Sheet!$E$2:$E$3143),
Master_Mapping_Sheet!$H$2:$H$3143=Z$1,
Master_Mapping_Sheet!$B$2:$B$3143=$A41))/sum(filter(
Master_Mapping_Sheet!$E$2:$E$3143, ISNUMBER(
Master_Mapping_Sh"&amp;"eet!$E$2:$E$3143),
Master_Mapping_Sheet!$H$2:$H$3143=Z$1))), 0, sum(filter(
Master_Mapping_Sheet!$E$2:$E$3143, ISNUMBER(
Master_Mapping_Sheet!$E$2:$E$3143),
Master_Mapping_Sheet!$H$2:$H$3143=Z$1,
Master_Mapping_Sheet!$B$2:$B$3143=$A41))/sum(filter(
Master"&amp;"_Mapping_Sheet!$E$2:$E$3143, ISNUMBER(
Master_Mapping_Sheet!$E$2:$E$3143),
Master_Mapping_Sheet!$H$2:$H$3143=Z$1)))"),0.0)</f>
        <v>0</v>
      </c>
      <c r="AA41" s="34">
        <f>IFERROR(__xludf.DUMMYFUNCTION("IF(ISNA(sum(filter(
Master_Mapping_Sheet!$E$2:$E$3143, ISNUMBER(
Master_Mapping_Sheet!$E$2:$E$3143),
Master_Mapping_Sheet!$H$2:$H$3143=AA$1,
Master_Mapping_Sheet!$B$2:$B$3143=$A41))/sum(filter(
Master_Mapping_Sheet!$E$2:$E$3143, ISNUMBER(
Master_Mapping_S"&amp;"heet!$E$2:$E$3143),
Master_Mapping_Sheet!$H$2:$H$3143=AA$1))), 0, sum(filter(
Master_Mapping_Sheet!$E$2:$E$3143, ISNUMBER(
Master_Mapping_Sheet!$E$2:$E$3143),
Master_Mapping_Sheet!$H$2:$H$3143=AA$1,
Master_Mapping_Sheet!$B$2:$B$3143=$A41))/sum(filter(
Mas"&amp;"ter_Mapping_Sheet!$E$2:$E$3143, ISNUMBER(
Master_Mapping_Sheet!$E$2:$E$3143),
Master_Mapping_Sheet!$H$2:$H$3143=AA$1)))"),0.0)</f>
        <v>0</v>
      </c>
    </row>
    <row r="42" ht="15.75" customHeight="1">
      <c r="A42" s="34" t="s">
        <v>1550</v>
      </c>
      <c r="B42" s="34" t="s">
        <v>3430</v>
      </c>
      <c r="C42" s="34">
        <f>IFERROR(__xludf.DUMMYFUNCTION("IF(ISNA(sum(filter(
Master_Mapping_Sheet!$E$2:$E$3143, ISNUMBER(
Master_Mapping_Sheet!$E$2:$E$3143),
Master_Mapping_Sheet!$H$2:$H$3143=C$1,
Master_Mapping_Sheet!$B$2:$B$3143=$A42))/sum(filter(
Master_Mapping_Sheet!$E$2:$E$3143, ISNUMBER(
Master_Mapping_Sh"&amp;"eet!$E$2:$E$3143),
Master_Mapping_Sheet!$H$2:$H$3143=C$1))), 0, sum(filter(
Master_Mapping_Sheet!$E$2:$E$3143, ISNUMBER(
Master_Mapping_Sheet!$E$2:$E$3143),
Master_Mapping_Sheet!$H$2:$H$3143=C$1,
Master_Mapping_Sheet!$B$2:$B$3143=$A42))/sum(filter(
Master"&amp;"_Mapping_Sheet!$E$2:$E$3143, ISNUMBER(
Master_Mapping_Sheet!$E$2:$E$3143),
Master_Mapping_Sheet!$H$2:$H$3143=C$1)))"),0.0)</f>
        <v>0</v>
      </c>
      <c r="D42" s="34">
        <f>IFERROR(__xludf.DUMMYFUNCTION("IF(ISNA(sum(filter(
Master_Mapping_Sheet!$E$2:$E$3143, ISNUMBER(
Master_Mapping_Sheet!$E$2:$E$3143),
Master_Mapping_Sheet!$H$2:$H$3143=D$1,
Master_Mapping_Sheet!$B$2:$B$3143=$A42))/sum(filter(
Master_Mapping_Sheet!$E$2:$E$3143, ISNUMBER(
Master_Mapping_Sh"&amp;"eet!$E$2:$E$3143),
Master_Mapping_Sheet!$H$2:$H$3143=D$1))), 0, sum(filter(
Master_Mapping_Sheet!$E$2:$E$3143, ISNUMBER(
Master_Mapping_Sheet!$E$2:$E$3143),
Master_Mapping_Sheet!$H$2:$H$3143=D$1,
Master_Mapping_Sheet!$B$2:$B$3143=$A42))/sum(filter(
Master"&amp;"_Mapping_Sheet!$E$2:$E$3143, ISNUMBER(
Master_Mapping_Sheet!$E$2:$E$3143),
Master_Mapping_Sheet!$H$2:$H$3143=D$1)))"),0.0)</f>
        <v>0</v>
      </c>
      <c r="E42" s="32">
        <f>IFERROR(__xludf.DUMMYFUNCTION("IF(ISNA(sum(filter(
Master_Mapping_Sheet!$E$2:$E$3143, ISNUMBER(
Master_Mapping_Sheet!$E$2:$E$3143),
Master_Mapping_Sheet!$H$2:$H$3143=E$1,
Master_Mapping_Sheet!$B$2:$B$3143=$A42))/sum(filter(
Master_Mapping_Sheet!$E$2:$E$3143, ISNUMBER(
Master_Mapping_Sh"&amp;"eet!$E$2:$E$3143),
Master_Mapping_Sheet!$H$2:$H$3143=E$1))), 0, sum(filter(
Master_Mapping_Sheet!$E$2:$E$3143, ISNUMBER(
Master_Mapping_Sheet!$E$2:$E$3143),
Master_Mapping_Sheet!$H$2:$H$3143=E$1,
Master_Mapping_Sheet!$B$2:$B$3143=$A42))/sum(filter(
Master"&amp;"_Mapping_Sheet!$E$2:$E$3143, ISNUMBER(
Master_Mapping_Sheet!$E$2:$E$3143),
Master_Mapping_Sheet!$H$2:$H$3143=E$1)))"),0.0)</f>
        <v>0</v>
      </c>
      <c r="F42" s="34">
        <f>IFERROR(__xludf.DUMMYFUNCTION("IF(ISNA(sum(filter(
Master_Mapping_Sheet!$E$2:$E$3143, ISNUMBER(
Master_Mapping_Sheet!$E$2:$E$3143),
Master_Mapping_Sheet!$H$2:$H$3143=F$1,
Master_Mapping_Sheet!$B$2:$B$3143=$A42))/sum(filter(
Master_Mapping_Sheet!$E$2:$E$3143, ISNUMBER(
Master_Mapping_Sh"&amp;"eet!$E$2:$E$3143),
Master_Mapping_Sheet!$H$2:$H$3143=F$1))), 0, sum(filter(
Master_Mapping_Sheet!$E$2:$E$3143, ISNUMBER(
Master_Mapping_Sheet!$E$2:$E$3143),
Master_Mapping_Sheet!$H$2:$H$3143=F$1,
Master_Mapping_Sheet!$B$2:$B$3143=$A42))/sum(filter(
Master"&amp;"_Mapping_Sheet!$E$2:$E$3143, ISNUMBER(
Master_Mapping_Sheet!$E$2:$E$3143),
Master_Mapping_Sheet!$H$2:$H$3143=F$1)))"),0.0)</f>
        <v>0</v>
      </c>
      <c r="G42" s="34">
        <f>IFERROR(__xludf.DUMMYFUNCTION("IF(ISNA(sum(filter(
Master_Mapping_Sheet!$E$2:$E$3143, ISNUMBER(
Master_Mapping_Sheet!$E$2:$E$3143),
Master_Mapping_Sheet!$H$2:$H$3143=G$1,
Master_Mapping_Sheet!$B$2:$B$3143=$A42))/sum(filter(
Master_Mapping_Sheet!$E$2:$E$3143, ISNUMBER(
Master_Mapping_Sh"&amp;"eet!$E$2:$E$3143),
Master_Mapping_Sheet!$H$2:$H$3143=G$1))), 0, sum(filter(
Master_Mapping_Sheet!$E$2:$E$3143, ISNUMBER(
Master_Mapping_Sheet!$E$2:$E$3143),
Master_Mapping_Sheet!$H$2:$H$3143=G$1,
Master_Mapping_Sheet!$B$2:$B$3143=$A42))/sum(filter(
Master"&amp;"_Mapping_Sheet!$E$2:$E$3143, ISNUMBER(
Master_Mapping_Sheet!$E$2:$E$3143),
Master_Mapping_Sheet!$H$2:$H$3143=G$1)))"),0.0)</f>
        <v>0</v>
      </c>
      <c r="H42" s="34">
        <f>IFERROR(__xludf.DUMMYFUNCTION("IF(ISNA(sum(filter(
Master_Mapping_Sheet!$E$2:$E$3143, ISNUMBER(
Master_Mapping_Sheet!$E$2:$E$3143),
Master_Mapping_Sheet!$H$2:$H$3143=H$1,
Master_Mapping_Sheet!$B$2:$B$3143=$A42))/sum(filter(
Master_Mapping_Sheet!$E$2:$E$3143, ISNUMBER(
Master_Mapping_Sh"&amp;"eet!$E$2:$E$3143),
Master_Mapping_Sheet!$H$2:$H$3143=H$1))), 0, sum(filter(
Master_Mapping_Sheet!$E$2:$E$3143, ISNUMBER(
Master_Mapping_Sheet!$E$2:$E$3143),
Master_Mapping_Sheet!$H$2:$H$3143=H$1,
Master_Mapping_Sheet!$B$2:$B$3143=$A42))/sum(filter(
Master"&amp;"_Mapping_Sheet!$E$2:$E$3143, ISNUMBER(
Master_Mapping_Sheet!$E$2:$E$3143),
Master_Mapping_Sheet!$H$2:$H$3143=H$1)))"),0.0)</f>
        <v>0</v>
      </c>
      <c r="I42" s="34">
        <f>IFERROR(__xludf.DUMMYFUNCTION("IF(ISNA(sum(filter(
Master_Mapping_Sheet!$E$2:$E$3143, ISNUMBER(
Master_Mapping_Sheet!$E$2:$E$3143),
Master_Mapping_Sheet!$H$2:$H$3143=I$1,
Master_Mapping_Sheet!$B$2:$B$3143=$A42))/sum(filter(
Master_Mapping_Sheet!$E$2:$E$3143, ISNUMBER(
Master_Mapping_Sh"&amp;"eet!$E$2:$E$3143),
Master_Mapping_Sheet!$H$2:$H$3143=I$1))), 0, sum(filter(
Master_Mapping_Sheet!$E$2:$E$3143, ISNUMBER(
Master_Mapping_Sheet!$E$2:$E$3143),
Master_Mapping_Sheet!$H$2:$H$3143=I$1,
Master_Mapping_Sheet!$B$2:$B$3143=$A42))/sum(filter(
Master"&amp;"_Mapping_Sheet!$E$2:$E$3143, ISNUMBER(
Master_Mapping_Sheet!$E$2:$E$3143),
Master_Mapping_Sheet!$H$2:$H$3143=I$1)))"),0.0)</f>
        <v>0</v>
      </c>
      <c r="J42" s="34">
        <f>IFERROR(__xludf.DUMMYFUNCTION("IF(ISNA(sum(filter(
Master_Mapping_Sheet!$E$2:$E$3143, ISNUMBER(
Master_Mapping_Sheet!$E$2:$E$3143),
Master_Mapping_Sheet!$H$2:$H$3143=J$1,
Master_Mapping_Sheet!$B$2:$B$3143=$A42))/sum(filter(
Master_Mapping_Sheet!$E$2:$E$3143, ISNUMBER(
Master_Mapping_Sh"&amp;"eet!$E$2:$E$3143),
Master_Mapping_Sheet!$H$2:$H$3143=J$1))), 0, sum(filter(
Master_Mapping_Sheet!$E$2:$E$3143, ISNUMBER(
Master_Mapping_Sheet!$E$2:$E$3143),
Master_Mapping_Sheet!$H$2:$H$3143=J$1,
Master_Mapping_Sheet!$B$2:$B$3143=$A42))/sum(filter(
Master"&amp;"_Mapping_Sheet!$E$2:$E$3143, ISNUMBER(
Master_Mapping_Sheet!$E$2:$E$3143),
Master_Mapping_Sheet!$H$2:$H$3143=J$1)))"),0.0)</f>
        <v>0</v>
      </c>
      <c r="K42" s="34">
        <f>IFERROR(__xludf.DUMMYFUNCTION("IF(ISNA(sum(filter(
Master_Mapping_Sheet!$E$2:$E$3143, ISNUMBER(
Master_Mapping_Sheet!$E$2:$E$3143),
Master_Mapping_Sheet!$H$2:$H$3143=K$1,
Master_Mapping_Sheet!$B$2:$B$3143=$A42))/sum(filter(
Master_Mapping_Sheet!$E$2:$E$3143, ISNUMBER(
Master_Mapping_Sh"&amp;"eet!$E$2:$E$3143),
Master_Mapping_Sheet!$H$2:$H$3143=K$1))), 0, sum(filter(
Master_Mapping_Sheet!$E$2:$E$3143, ISNUMBER(
Master_Mapping_Sheet!$E$2:$E$3143),
Master_Mapping_Sheet!$H$2:$H$3143=K$1,
Master_Mapping_Sheet!$B$2:$B$3143=$A42))/sum(filter(
Master"&amp;"_Mapping_Sheet!$E$2:$E$3143, ISNUMBER(
Master_Mapping_Sheet!$E$2:$E$3143),
Master_Mapping_Sheet!$H$2:$H$3143=K$1)))"),0.0)</f>
        <v>0</v>
      </c>
      <c r="L42" s="34">
        <f>IFERROR(__xludf.DUMMYFUNCTION("IF(ISNA(sum(filter(
Master_Mapping_Sheet!$E$2:$E$3143, ISNUMBER(
Master_Mapping_Sheet!$E$2:$E$3143),
Master_Mapping_Sheet!$H$2:$H$3143=L$1,
Master_Mapping_Sheet!$B$2:$B$3143=$A42))/sum(filter(
Master_Mapping_Sheet!$E$2:$E$3143, ISNUMBER(
Master_Mapping_Sh"&amp;"eet!$E$2:$E$3143),
Master_Mapping_Sheet!$H$2:$H$3143=L$1))), 0, sum(filter(
Master_Mapping_Sheet!$E$2:$E$3143, ISNUMBER(
Master_Mapping_Sheet!$E$2:$E$3143),
Master_Mapping_Sheet!$H$2:$H$3143=L$1,
Master_Mapping_Sheet!$B$2:$B$3143=$A42))/sum(filter(
Master"&amp;"_Mapping_Sheet!$E$2:$E$3143, ISNUMBER(
Master_Mapping_Sheet!$E$2:$E$3143),
Master_Mapping_Sheet!$H$2:$H$3143=L$1)))"),0.0)</f>
        <v>0</v>
      </c>
      <c r="M42" s="34">
        <f>IFERROR(__xludf.DUMMYFUNCTION("IF(ISNA(sum(filter(
Master_Mapping_Sheet!$E$2:$E$3143, ISNUMBER(
Master_Mapping_Sheet!$E$2:$E$3143),
Master_Mapping_Sheet!$H$2:$H$3143=M$1,
Master_Mapping_Sheet!$B$2:$B$3143=$A42))/sum(filter(
Master_Mapping_Sheet!$E$2:$E$3143, ISNUMBER(
Master_Mapping_Sh"&amp;"eet!$E$2:$E$3143),
Master_Mapping_Sheet!$H$2:$H$3143=M$1))), 0, sum(filter(
Master_Mapping_Sheet!$E$2:$E$3143, ISNUMBER(
Master_Mapping_Sheet!$E$2:$E$3143),
Master_Mapping_Sheet!$H$2:$H$3143=M$1,
Master_Mapping_Sheet!$B$2:$B$3143=$A42))/sum(filter(
Master"&amp;"_Mapping_Sheet!$E$2:$E$3143, ISNUMBER(
Master_Mapping_Sheet!$E$2:$E$3143),
Master_Mapping_Sheet!$H$2:$H$3143=M$1)))"),0.0)</f>
        <v>0</v>
      </c>
      <c r="N42" s="34">
        <f>IFERROR(__xludf.DUMMYFUNCTION("IF(ISNA(sum(filter(
Master_Mapping_Sheet!$E$2:$E$3143, ISNUMBER(
Master_Mapping_Sheet!$E$2:$E$3143),
Master_Mapping_Sheet!$H$2:$H$3143=N$1,
Master_Mapping_Sheet!$B$2:$B$3143=$A42))/sum(filter(
Master_Mapping_Sheet!$E$2:$E$3143, ISNUMBER(
Master_Mapping_Sh"&amp;"eet!$E$2:$E$3143),
Master_Mapping_Sheet!$H$2:$H$3143=N$1))), 0, sum(filter(
Master_Mapping_Sheet!$E$2:$E$3143, ISNUMBER(
Master_Mapping_Sheet!$E$2:$E$3143),
Master_Mapping_Sheet!$H$2:$H$3143=N$1,
Master_Mapping_Sheet!$B$2:$B$3143=$A42))/sum(filter(
Master"&amp;"_Mapping_Sheet!$E$2:$E$3143, ISNUMBER(
Master_Mapping_Sheet!$E$2:$E$3143),
Master_Mapping_Sheet!$H$2:$H$3143=N$1)))"),0.0)</f>
        <v>0</v>
      </c>
      <c r="O42" s="34">
        <f>IFERROR(__xludf.DUMMYFUNCTION("IF(ISNA(sum(filter(
Master_Mapping_Sheet!$E$2:$E$3143, ISNUMBER(
Master_Mapping_Sheet!$E$2:$E$3143),
Master_Mapping_Sheet!$H$2:$H$3143=O$1,
Master_Mapping_Sheet!$B$2:$B$3143=$A42))/sum(filter(
Master_Mapping_Sheet!$E$2:$E$3143, ISNUMBER(
Master_Mapping_Sh"&amp;"eet!$E$2:$E$3143),
Master_Mapping_Sheet!$H$2:$H$3143=O$1))), 0, sum(filter(
Master_Mapping_Sheet!$E$2:$E$3143, ISNUMBER(
Master_Mapping_Sheet!$E$2:$E$3143),
Master_Mapping_Sheet!$H$2:$H$3143=O$1,
Master_Mapping_Sheet!$B$2:$B$3143=$A42))/sum(filter(
Master"&amp;"_Mapping_Sheet!$E$2:$E$3143, ISNUMBER(
Master_Mapping_Sheet!$E$2:$E$3143),
Master_Mapping_Sheet!$H$2:$H$3143=O$1)))"),0.0)</f>
        <v>0</v>
      </c>
      <c r="P42" s="34">
        <f>IFERROR(__xludf.DUMMYFUNCTION("IF(ISNA(sum(filter(
Master_Mapping_Sheet!$E$2:$E$3143, ISNUMBER(
Master_Mapping_Sheet!$E$2:$E$3143),
Master_Mapping_Sheet!$H$2:$H$3143=P$1,
Master_Mapping_Sheet!$B$2:$B$3143=$A42))/sum(filter(
Master_Mapping_Sheet!$E$2:$E$3143, ISNUMBER(
Master_Mapping_Sh"&amp;"eet!$E$2:$E$3143),
Master_Mapping_Sheet!$H$2:$H$3143=P$1))), 0, sum(filter(
Master_Mapping_Sheet!$E$2:$E$3143, ISNUMBER(
Master_Mapping_Sheet!$E$2:$E$3143),
Master_Mapping_Sheet!$H$2:$H$3143=P$1,
Master_Mapping_Sheet!$B$2:$B$3143=$A42))/sum(filter(
Master"&amp;"_Mapping_Sheet!$E$2:$E$3143, ISNUMBER(
Master_Mapping_Sheet!$E$2:$E$3143),
Master_Mapping_Sheet!$H$2:$H$3143=P$1)))"),0.3484165994122852)</f>
        <v>0.3484165994</v>
      </c>
      <c r="Q42" s="34">
        <f>IFERROR(__xludf.DUMMYFUNCTION("IF(ISNA(sum(filter(
Master_Mapping_Sheet!$E$2:$E$3143, ISNUMBER(
Master_Mapping_Sheet!$E$2:$E$3143),
Master_Mapping_Sheet!$H$2:$H$3143=Q$1,
Master_Mapping_Sheet!$B$2:$B$3143=$A42))/sum(filter(
Master_Mapping_Sheet!$E$2:$E$3143, ISNUMBER(
Master_Mapping_Sh"&amp;"eet!$E$2:$E$3143),
Master_Mapping_Sheet!$H$2:$H$3143=Q$1))), 0, sum(filter(
Master_Mapping_Sheet!$E$2:$E$3143, ISNUMBER(
Master_Mapping_Sheet!$E$2:$E$3143),
Master_Mapping_Sheet!$H$2:$H$3143=Q$1,
Master_Mapping_Sheet!$B$2:$B$3143=$A42))/sum(filter(
Master"&amp;"_Mapping_Sheet!$E$2:$E$3143, ISNUMBER(
Master_Mapping_Sheet!$E$2:$E$3143),
Master_Mapping_Sheet!$H$2:$H$3143=Q$1)))"),0.0)</f>
        <v>0</v>
      </c>
      <c r="R42" s="34">
        <f>IFERROR(__xludf.DUMMYFUNCTION("IF(ISNA(sum(filter(
Master_Mapping_Sheet!$E$2:$E$3143, ISNUMBER(
Master_Mapping_Sheet!$E$2:$E$3143),
Master_Mapping_Sheet!$H$2:$H$3143=R$1,
Master_Mapping_Sheet!$B$2:$B$3143=$A42))/sum(filter(
Master_Mapping_Sheet!$E$2:$E$3143, ISNUMBER(
Master_Mapping_Sh"&amp;"eet!$E$2:$E$3143),
Master_Mapping_Sheet!$H$2:$H$3143=R$1))), 0, sum(filter(
Master_Mapping_Sheet!$E$2:$E$3143, ISNUMBER(
Master_Mapping_Sheet!$E$2:$E$3143),
Master_Mapping_Sheet!$H$2:$H$3143=R$1,
Master_Mapping_Sheet!$B$2:$B$3143=$A42))/sum(filter(
Master"&amp;"_Mapping_Sheet!$E$2:$E$3143, ISNUMBER(
Master_Mapping_Sheet!$E$2:$E$3143),
Master_Mapping_Sheet!$H$2:$H$3143=R$1)))"),0.0)</f>
        <v>0</v>
      </c>
      <c r="S42" s="34">
        <f>IFERROR(__xludf.DUMMYFUNCTION("IF(ISNA(sum(filter(
Master_Mapping_Sheet!$E$2:$E$3143, ISNUMBER(
Master_Mapping_Sheet!$E$2:$E$3143),
Master_Mapping_Sheet!$H$2:$H$3143=S$1,
Master_Mapping_Sheet!$B$2:$B$3143=$A42))/sum(filter(
Master_Mapping_Sheet!$E$2:$E$3143, ISNUMBER(
Master_Mapping_Sh"&amp;"eet!$E$2:$E$3143),
Master_Mapping_Sheet!$H$2:$H$3143=S$1))), 0, sum(filter(
Master_Mapping_Sheet!$E$2:$E$3143, ISNUMBER(
Master_Mapping_Sheet!$E$2:$E$3143),
Master_Mapping_Sheet!$H$2:$H$3143=S$1,
Master_Mapping_Sheet!$B$2:$B$3143=$A42))/sum(filter(
Master"&amp;"_Mapping_Sheet!$E$2:$E$3143, ISNUMBER(
Master_Mapping_Sheet!$E$2:$E$3143),
Master_Mapping_Sheet!$H$2:$H$3143=S$1)))"),0.0)</f>
        <v>0</v>
      </c>
      <c r="T42" s="34">
        <f>IFERROR(__xludf.DUMMYFUNCTION("IF(ISNA(sum(filter(
Master_Mapping_Sheet!$E$2:$E$3143, ISNUMBER(
Master_Mapping_Sheet!$E$2:$E$3143),
Master_Mapping_Sheet!$H$2:$H$3143=T$1,
Master_Mapping_Sheet!$B$2:$B$3143=$A42))/sum(filter(
Master_Mapping_Sheet!$E$2:$E$3143, ISNUMBER(
Master_Mapping_Sh"&amp;"eet!$E$2:$E$3143),
Master_Mapping_Sheet!$H$2:$H$3143=T$1))), 0, sum(filter(
Master_Mapping_Sheet!$E$2:$E$3143, ISNUMBER(
Master_Mapping_Sheet!$E$2:$E$3143),
Master_Mapping_Sheet!$H$2:$H$3143=T$1,
Master_Mapping_Sheet!$B$2:$B$3143=$A42))/sum(filter(
Master"&amp;"_Mapping_Sheet!$E$2:$E$3143, ISNUMBER(
Master_Mapping_Sheet!$E$2:$E$3143),
Master_Mapping_Sheet!$H$2:$H$3143=T$1)))"),0.0)</f>
        <v>0</v>
      </c>
      <c r="U42" s="34">
        <f>IFERROR(__xludf.DUMMYFUNCTION("IF(ISNA(sum(filter(
Master_Mapping_Sheet!$E$2:$E$3143, ISNUMBER(
Master_Mapping_Sheet!$E$2:$E$3143),
Master_Mapping_Sheet!$H$2:$H$3143=U$1,
Master_Mapping_Sheet!$B$2:$B$3143=$A42))/sum(filter(
Master_Mapping_Sheet!$E$2:$E$3143, ISNUMBER(
Master_Mapping_Sh"&amp;"eet!$E$2:$E$3143),
Master_Mapping_Sheet!$H$2:$H$3143=U$1))), 0, sum(filter(
Master_Mapping_Sheet!$E$2:$E$3143, ISNUMBER(
Master_Mapping_Sheet!$E$2:$E$3143),
Master_Mapping_Sheet!$H$2:$H$3143=U$1,
Master_Mapping_Sheet!$B$2:$B$3143=$A42))/sum(filter(
Master"&amp;"_Mapping_Sheet!$E$2:$E$3143, ISNUMBER(
Master_Mapping_Sheet!$E$2:$E$3143),
Master_Mapping_Sheet!$H$2:$H$3143=U$1)))"),0.0)</f>
        <v>0</v>
      </c>
      <c r="V42" s="34">
        <f>IFERROR(__xludf.DUMMYFUNCTION("IF(ISNA(sum(filter(
Master_Mapping_Sheet!$E$2:$E$3143, ISNUMBER(
Master_Mapping_Sheet!$E$2:$E$3143),
Master_Mapping_Sheet!$H$2:$H$3143=V$1,
Master_Mapping_Sheet!$B$2:$B$3143=$A42))/sum(filter(
Master_Mapping_Sheet!$E$2:$E$3143, ISNUMBER(
Master_Mapping_Sh"&amp;"eet!$E$2:$E$3143),
Master_Mapping_Sheet!$H$2:$H$3143=V$1))), 0, sum(filter(
Master_Mapping_Sheet!$E$2:$E$3143, ISNUMBER(
Master_Mapping_Sheet!$E$2:$E$3143),
Master_Mapping_Sheet!$H$2:$H$3143=V$1,
Master_Mapping_Sheet!$B$2:$B$3143=$A42))/sum(filter(
Master"&amp;"_Mapping_Sheet!$E$2:$E$3143, ISNUMBER(
Master_Mapping_Sheet!$E$2:$E$3143),
Master_Mapping_Sheet!$H$2:$H$3143=V$1)))"),0.0)</f>
        <v>0</v>
      </c>
      <c r="W42" s="34">
        <f>IFERROR(__xludf.DUMMYFUNCTION("IF(ISNA(sum(filter(
Master_Mapping_Sheet!$E$2:$E$3143, ISNUMBER(
Master_Mapping_Sheet!$E$2:$E$3143),
Master_Mapping_Sheet!$H$2:$H$3143=W$1,
Master_Mapping_Sheet!$B$2:$B$3143=$A42))/sum(filter(
Master_Mapping_Sheet!$E$2:$E$3143, ISNUMBER(
Master_Mapping_Sh"&amp;"eet!$E$2:$E$3143),
Master_Mapping_Sheet!$H$2:$H$3143=W$1))), 0, sum(filter(
Master_Mapping_Sheet!$E$2:$E$3143, ISNUMBER(
Master_Mapping_Sheet!$E$2:$E$3143),
Master_Mapping_Sheet!$H$2:$H$3143=W$1,
Master_Mapping_Sheet!$B$2:$B$3143=$A42))/sum(filter(
Master"&amp;"_Mapping_Sheet!$E$2:$E$3143, ISNUMBER(
Master_Mapping_Sheet!$E$2:$E$3143),
Master_Mapping_Sheet!$H$2:$H$3143=W$1)))"),0.0)</f>
        <v>0</v>
      </c>
      <c r="X42" s="34">
        <f>IFERROR(__xludf.DUMMYFUNCTION("IF(ISNA(sum(filter(
Master_Mapping_Sheet!$E$2:$E$3143, ISNUMBER(
Master_Mapping_Sheet!$E$2:$E$3143),
Master_Mapping_Sheet!$H$2:$H$3143=X$1,
Master_Mapping_Sheet!$B$2:$B$3143=$A42))/sum(filter(
Master_Mapping_Sheet!$E$2:$E$3143, ISNUMBER(
Master_Mapping_Sh"&amp;"eet!$E$2:$E$3143),
Master_Mapping_Sheet!$H$2:$H$3143=X$1))), 0, sum(filter(
Master_Mapping_Sheet!$E$2:$E$3143, ISNUMBER(
Master_Mapping_Sheet!$E$2:$E$3143),
Master_Mapping_Sheet!$H$2:$H$3143=X$1,
Master_Mapping_Sheet!$B$2:$B$3143=$A42))/sum(filter(
Master"&amp;"_Mapping_Sheet!$E$2:$E$3143, ISNUMBER(
Master_Mapping_Sheet!$E$2:$E$3143),
Master_Mapping_Sheet!$H$2:$H$3143=X$1)))"),0.0)</f>
        <v>0</v>
      </c>
      <c r="Y42" s="34">
        <f>IFERROR(__xludf.DUMMYFUNCTION("IF(ISNA(sum(filter(
Master_Mapping_Sheet!$E$2:$E$3143, ISNUMBER(
Master_Mapping_Sheet!$E$2:$E$3143),
Master_Mapping_Sheet!$H$2:$H$3143=Y$1,
Master_Mapping_Sheet!$B$2:$B$3143=$A42))/sum(filter(
Master_Mapping_Sheet!$E$2:$E$3143, ISNUMBER(
Master_Mapping_Sh"&amp;"eet!$E$2:$E$3143),
Master_Mapping_Sheet!$H$2:$H$3143=Y$1))), 0, sum(filter(
Master_Mapping_Sheet!$E$2:$E$3143, ISNUMBER(
Master_Mapping_Sheet!$E$2:$E$3143),
Master_Mapping_Sheet!$H$2:$H$3143=Y$1,
Master_Mapping_Sheet!$B$2:$B$3143=$A42))/sum(filter(
Master"&amp;"_Mapping_Sheet!$E$2:$E$3143, ISNUMBER(
Master_Mapping_Sheet!$E$2:$E$3143),
Master_Mapping_Sheet!$H$2:$H$3143=Y$1)))"),0.0)</f>
        <v>0</v>
      </c>
      <c r="Z42" s="34">
        <f>IFERROR(__xludf.DUMMYFUNCTION("IF(ISNA(sum(filter(
Master_Mapping_Sheet!$E$2:$E$3143, ISNUMBER(
Master_Mapping_Sheet!$E$2:$E$3143),
Master_Mapping_Sheet!$H$2:$H$3143=Z$1,
Master_Mapping_Sheet!$B$2:$B$3143=$A42))/sum(filter(
Master_Mapping_Sheet!$E$2:$E$3143, ISNUMBER(
Master_Mapping_Sh"&amp;"eet!$E$2:$E$3143),
Master_Mapping_Sheet!$H$2:$H$3143=Z$1))), 0, sum(filter(
Master_Mapping_Sheet!$E$2:$E$3143, ISNUMBER(
Master_Mapping_Sheet!$E$2:$E$3143),
Master_Mapping_Sheet!$H$2:$H$3143=Z$1,
Master_Mapping_Sheet!$B$2:$B$3143=$A42))/sum(filter(
Master"&amp;"_Mapping_Sheet!$E$2:$E$3143, ISNUMBER(
Master_Mapping_Sheet!$E$2:$E$3143),
Master_Mapping_Sheet!$H$2:$H$3143=Z$1)))"),0.0)</f>
        <v>0</v>
      </c>
      <c r="AA42" s="34">
        <f>IFERROR(__xludf.DUMMYFUNCTION("IF(ISNA(sum(filter(
Master_Mapping_Sheet!$E$2:$E$3143, ISNUMBER(
Master_Mapping_Sheet!$E$2:$E$3143),
Master_Mapping_Sheet!$H$2:$H$3143=AA$1,
Master_Mapping_Sheet!$B$2:$B$3143=$A42))/sum(filter(
Master_Mapping_Sheet!$E$2:$E$3143, ISNUMBER(
Master_Mapping_S"&amp;"heet!$E$2:$E$3143),
Master_Mapping_Sheet!$H$2:$H$3143=AA$1))), 0, sum(filter(
Master_Mapping_Sheet!$E$2:$E$3143, ISNUMBER(
Master_Mapping_Sheet!$E$2:$E$3143),
Master_Mapping_Sheet!$H$2:$H$3143=AA$1,
Master_Mapping_Sheet!$B$2:$B$3143=$A42))/sum(filter(
Mas"&amp;"ter_Mapping_Sheet!$E$2:$E$3143, ISNUMBER(
Master_Mapping_Sheet!$E$2:$E$3143),
Master_Mapping_Sheet!$H$2:$H$3143=AA$1)))"),0.0)</f>
        <v>0</v>
      </c>
    </row>
    <row r="43" ht="15.75" customHeight="1">
      <c r="A43" s="34" t="s">
        <v>1578</v>
      </c>
      <c r="B43" s="34" t="s">
        <v>3458</v>
      </c>
      <c r="C43" s="34">
        <f>IFERROR(__xludf.DUMMYFUNCTION("IF(ISNA(sum(filter(
Master_Mapping_Sheet!$E$2:$E$3143, ISNUMBER(
Master_Mapping_Sheet!$E$2:$E$3143),
Master_Mapping_Sheet!$H$2:$H$3143=C$1,
Master_Mapping_Sheet!$B$2:$B$3143=$A43))/sum(filter(
Master_Mapping_Sheet!$E$2:$E$3143, ISNUMBER(
Master_Mapping_Sh"&amp;"eet!$E$2:$E$3143),
Master_Mapping_Sheet!$H$2:$H$3143=C$1))), 0, sum(filter(
Master_Mapping_Sheet!$E$2:$E$3143, ISNUMBER(
Master_Mapping_Sheet!$E$2:$E$3143),
Master_Mapping_Sheet!$H$2:$H$3143=C$1,
Master_Mapping_Sheet!$B$2:$B$3143=$A43))/sum(filter(
Master"&amp;"_Mapping_Sheet!$E$2:$E$3143, ISNUMBER(
Master_Mapping_Sheet!$E$2:$E$3143),
Master_Mapping_Sheet!$H$2:$H$3143=C$1)))"),0.0)</f>
        <v>0</v>
      </c>
      <c r="D43" s="34">
        <f>IFERROR(__xludf.DUMMYFUNCTION("IF(ISNA(sum(filter(
Master_Mapping_Sheet!$E$2:$E$3143, ISNUMBER(
Master_Mapping_Sheet!$E$2:$E$3143),
Master_Mapping_Sheet!$H$2:$H$3143=D$1,
Master_Mapping_Sheet!$B$2:$B$3143=$A43))/sum(filter(
Master_Mapping_Sheet!$E$2:$E$3143, ISNUMBER(
Master_Mapping_Sh"&amp;"eet!$E$2:$E$3143),
Master_Mapping_Sheet!$H$2:$H$3143=D$1))), 0, sum(filter(
Master_Mapping_Sheet!$E$2:$E$3143, ISNUMBER(
Master_Mapping_Sheet!$E$2:$E$3143),
Master_Mapping_Sheet!$H$2:$H$3143=D$1,
Master_Mapping_Sheet!$B$2:$B$3143=$A43))/sum(filter(
Master"&amp;"_Mapping_Sheet!$E$2:$E$3143, ISNUMBER(
Master_Mapping_Sheet!$E$2:$E$3143),
Master_Mapping_Sheet!$H$2:$H$3143=D$1)))"),0.0)</f>
        <v>0</v>
      </c>
      <c r="E43" s="32">
        <f>IFERROR(__xludf.DUMMYFUNCTION("IF(ISNA(sum(filter(
Master_Mapping_Sheet!$E$2:$E$3143, ISNUMBER(
Master_Mapping_Sheet!$E$2:$E$3143),
Master_Mapping_Sheet!$H$2:$H$3143=E$1,
Master_Mapping_Sheet!$B$2:$B$3143=$A43))/sum(filter(
Master_Mapping_Sheet!$E$2:$E$3143, ISNUMBER(
Master_Mapping_Sh"&amp;"eet!$E$2:$E$3143),
Master_Mapping_Sheet!$H$2:$H$3143=E$1))), 0, sum(filter(
Master_Mapping_Sheet!$E$2:$E$3143, ISNUMBER(
Master_Mapping_Sheet!$E$2:$E$3143),
Master_Mapping_Sheet!$H$2:$H$3143=E$1,
Master_Mapping_Sheet!$B$2:$B$3143=$A43))/sum(filter(
Master"&amp;"_Mapping_Sheet!$E$2:$E$3143, ISNUMBER(
Master_Mapping_Sheet!$E$2:$E$3143),
Master_Mapping_Sheet!$H$2:$H$3143=E$1)))"),0.0)</f>
        <v>0</v>
      </c>
      <c r="F43" s="34">
        <f>IFERROR(__xludf.DUMMYFUNCTION("IF(ISNA(sum(filter(
Master_Mapping_Sheet!$E$2:$E$3143, ISNUMBER(
Master_Mapping_Sheet!$E$2:$E$3143),
Master_Mapping_Sheet!$H$2:$H$3143=F$1,
Master_Mapping_Sheet!$B$2:$B$3143=$A43))/sum(filter(
Master_Mapping_Sheet!$E$2:$E$3143, ISNUMBER(
Master_Mapping_Sh"&amp;"eet!$E$2:$E$3143),
Master_Mapping_Sheet!$H$2:$H$3143=F$1))), 0, sum(filter(
Master_Mapping_Sheet!$E$2:$E$3143, ISNUMBER(
Master_Mapping_Sheet!$E$2:$E$3143),
Master_Mapping_Sheet!$H$2:$H$3143=F$1,
Master_Mapping_Sheet!$B$2:$B$3143=$A43))/sum(filter(
Master"&amp;"_Mapping_Sheet!$E$2:$E$3143, ISNUMBER(
Master_Mapping_Sheet!$E$2:$E$3143),
Master_Mapping_Sheet!$H$2:$H$3143=F$1)))"),0.0)</f>
        <v>0</v>
      </c>
      <c r="G43" s="34">
        <f>IFERROR(__xludf.DUMMYFUNCTION("IF(ISNA(sum(filter(
Master_Mapping_Sheet!$E$2:$E$3143, ISNUMBER(
Master_Mapping_Sheet!$E$2:$E$3143),
Master_Mapping_Sheet!$H$2:$H$3143=G$1,
Master_Mapping_Sheet!$B$2:$B$3143=$A43))/sum(filter(
Master_Mapping_Sheet!$E$2:$E$3143, ISNUMBER(
Master_Mapping_Sh"&amp;"eet!$E$2:$E$3143),
Master_Mapping_Sheet!$H$2:$H$3143=G$1))), 0, sum(filter(
Master_Mapping_Sheet!$E$2:$E$3143, ISNUMBER(
Master_Mapping_Sheet!$E$2:$E$3143),
Master_Mapping_Sheet!$H$2:$H$3143=G$1,
Master_Mapping_Sheet!$B$2:$B$3143=$A43))/sum(filter(
Master"&amp;"_Mapping_Sheet!$E$2:$E$3143, ISNUMBER(
Master_Mapping_Sheet!$E$2:$E$3143),
Master_Mapping_Sheet!$H$2:$H$3143=G$1)))"),0.0)</f>
        <v>0</v>
      </c>
      <c r="H43" s="34">
        <f>IFERROR(__xludf.DUMMYFUNCTION("IF(ISNA(sum(filter(
Master_Mapping_Sheet!$E$2:$E$3143, ISNUMBER(
Master_Mapping_Sheet!$E$2:$E$3143),
Master_Mapping_Sheet!$H$2:$H$3143=H$1,
Master_Mapping_Sheet!$B$2:$B$3143=$A43))/sum(filter(
Master_Mapping_Sheet!$E$2:$E$3143, ISNUMBER(
Master_Mapping_Sh"&amp;"eet!$E$2:$E$3143),
Master_Mapping_Sheet!$H$2:$H$3143=H$1))), 0, sum(filter(
Master_Mapping_Sheet!$E$2:$E$3143, ISNUMBER(
Master_Mapping_Sheet!$E$2:$E$3143),
Master_Mapping_Sheet!$H$2:$H$3143=H$1,
Master_Mapping_Sheet!$B$2:$B$3143=$A43))/sum(filter(
Master"&amp;"_Mapping_Sheet!$E$2:$E$3143, ISNUMBER(
Master_Mapping_Sheet!$E$2:$E$3143),
Master_Mapping_Sheet!$H$2:$H$3143=H$1)))"),0.0)</f>
        <v>0</v>
      </c>
      <c r="I43" s="34">
        <f>IFERROR(__xludf.DUMMYFUNCTION("IF(ISNA(sum(filter(
Master_Mapping_Sheet!$E$2:$E$3143, ISNUMBER(
Master_Mapping_Sheet!$E$2:$E$3143),
Master_Mapping_Sheet!$H$2:$H$3143=I$1,
Master_Mapping_Sheet!$B$2:$B$3143=$A43))/sum(filter(
Master_Mapping_Sheet!$E$2:$E$3143, ISNUMBER(
Master_Mapping_Sh"&amp;"eet!$E$2:$E$3143),
Master_Mapping_Sheet!$H$2:$H$3143=I$1))), 0, sum(filter(
Master_Mapping_Sheet!$E$2:$E$3143, ISNUMBER(
Master_Mapping_Sheet!$E$2:$E$3143),
Master_Mapping_Sheet!$H$2:$H$3143=I$1,
Master_Mapping_Sheet!$B$2:$B$3143=$A43))/sum(filter(
Master"&amp;"_Mapping_Sheet!$E$2:$E$3143, ISNUMBER(
Master_Mapping_Sheet!$E$2:$E$3143),
Master_Mapping_Sheet!$H$2:$H$3143=I$1)))"),0.0)</f>
        <v>0</v>
      </c>
      <c r="J43" s="34">
        <f>IFERROR(__xludf.DUMMYFUNCTION("IF(ISNA(sum(filter(
Master_Mapping_Sheet!$E$2:$E$3143, ISNUMBER(
Master_Mapping_Sheet!$E$2:$E$3143),
Master_Mapping_Sheet!$H$2:$H$3143=J$1,
Master_Mapping_Sheet!$B$2:$B$3143=$A43))/sum(filter(
Master_Mapping_Sheet!$E$2:$E$3143, ISNUMBER(
Master_Mapping_Sh"&amp;"eet!$E$2:$E$3143),
Master_Mapping_Sheet!$H$2:$H$3143=J$1))), 0, sum(filter(
Master_Mapping_Sheet!$E$2:$E$3143, ISNUMBER(
Master_Mapping_Sheet!$E$2:$E$3143),
Master_Mapping_Sheet!$H$2:$H$3143=J$1,
Master_Mapping_Sheet!$B$2:$B$3143=$A43))/sum(filter(
Master"&amp;"_Mapping_Sheet!$E$2:$E$3143, ISNUMBER(
Master_Mapping_Sheet!$E$2:$E$3143),
Master_Mapping_Sheet!$H$2:$H$3143=J$1)))"),0.0)</f>
        <v>0</v>
      </c>
      <c r="K43" s="34">
        <f>IFERROR(__xludf.DUMMYFUNCTION("IF(ISNA(sum(filter(
Master_Mapping_Sheet!$E$2:$E$3143, ISNUMBER(
Master_Mapping_Sheet!$E$2:$E$3143),
Master_Mapping_Sheet!$H$2:$H$3143=K$1,
Master_Mapping_Sheet!$B$2:$B$3143=$A43))/sum(filter(
Master_Mapping_Sheet!$E$2:$E$3143, ISNUMBER(
Master_Mapping_Sh"&amp;"eet!$E$2:$E$3143),
Master_Mapping_Sheet!$H$2:$H$3143=K$1))), 0, sum(filter(
Master_Mapping_Sheet!$E$2:$E$3143, ISNUMBER(
Master_Mapping_Sheet!$E$2:$E$3143),
Master_Mapping_Sheet!$H$2:$H$3143=K$1,
Master_Mapping_Sheet!$B$2:$B$3143=$A43))/sum(filter(
Master"&amp;"_Mapping_Sheet!$E$2:$E$3143, ISNUMBER(
Master_Mapping_Sheet!$E$2:$E$3143),
Master_Mapping_Sheet!$H$2:$H$3143=K$1)))"),0.0)</f>
        <v>0</v>
      </c>
      <c r="L43" s="34">
        <f>IFERROR(__xludf.DUMMYFUNCTION("IF(ISNA(sum(filter(
Master_Mapping_Sheet!$E$2:$E$3143, ISNUMBER(
Master_Mapping_Sheet!$E$2:$E$3143),
Master_Mapping_Sheet!$H$2:$H$3143=L$1,
Master_Mapping_Sheet!$B$2:$B$3143=$A43))/sum(filter(
Master_Mapping_Sheet!$E$2:$E$3143, ISNUMBER(
Master_Mapping_Sh"&amp;"eet!$E$2:$E$3143),
Master_Mapping_Sheet!$H$2:$H$3143=L$1))), 0, sum(filter(
Master_Mapping_Sheet!$E$2:$E$3143, ISNUMBER(
Master_Mapping_Sheet!$E$2:$E$3143),
Master_Mapping_Sheet!$H$2:$H$3143=L$1,
Master_Mapping_Sheet!$B$2:$B$3143=$A43))/sum(filter(
Master"&amp;"_Mapping_Sheet!$E$2:$E$3143, ISNUMBER(
Master_Mapping_Sheet!$E$2:$E$3143),
Master_Mapping_Sheet!$H$2:$H$3143=L$1)))"),0.0)</f>
        <v>0</v>
      </c>
      <c r="M43" s="34">
        <f>IFERROR(__xludf.DUMMYFUNCTION("IF(ISNA(sum(filter(
Master_Mapping_Sheet!$E$2:$E$3143, ISNUMBER(
Master_Mapping_Sheet!$E$2:$E$3143),
Master_Mapping_Sheet!$H$2:$H$3143=M$1,
Master_Mapping_Sheet!$B$2:$B$3143=$A43))/sum(filter(
Master_Mapping_Sheet!$E$2:$E$3143, ISNUMBER(
Master_Mapping_Sh"&amp;"eet!$E$2:$E$3143),
Master_Mapping_Sheet!$H$2:$H$3143=M$1))), 0, sum(filter(
Master_Mapping_Sheet!$E$2:$E$3143, ISNUMBER(
Master_Mapping_Sheet!$E$2:$E$3143),
Master_Mapping_Sheet!$H$2:$H$3143=M$1,
Master_Mapping_Sheet!$B$2:$B$3143=$A43))/sum(filter(
Master"&amp;"_Mapping_Sheet!$E$2:$E$3143, ISNUMBER(
Master_Mapping_Sheet!$E$2:$E$3143),
Master_Mapping_Sheet!$H$2:$H$3143=M$1)))"),0.0)</f>
        <v>0</v>
      </c>
      <c r="N43" s="34">
        <f>IFERROR(__xludf.DUMMYFUNCTION("IF(ISNA(sum(filter(
Master_Mapping_Sheet!$E$2:$E$3143, ISNUMBER(
Master_Mapping_Sheet!$E$2:$E$3143),
Master_Mapping_Sheet!$H$2:$H$3143=N$1,
Master_Mapping_Sheet!$B$2:$B$3143=$A43))/sum(filter(
Master_Mapping_Sheet!$E$2:$E$3143, ISNUMBER(
Master_Mapping_Sh"&amp;"eet!$E$2:$E$3143),
Master_Mapping_Sheet!$H$2:$H$3143=N$1))), 0, sum(filter(
Master_Mapping_Sheet!$E$2:$E$3143, ISNUMBER(
Master_Mapping_Sheet!$E$2:$E$3143),
Master_Mapping_Sheet!$H$2:$H$3143=N$1,
Master_Mapping_Sheet!$B$2:$B$3143=$A43))/sum(filter(
Master"&amp;"_Mapping_Sheet!$E$2:$E$3143, ISNUMBER(
Master_Mapping_Sheet!$E$2:$E$3143),
Master_Mapping_Sheet!$H$2:$H$3143=N$1)))"),0.0)</f>
        <v>0</v>
      </c>
      <c r="O43" s="34">
        <f>IFERROR(__xludf.DUMMYFUNCTION("IF(ISNA(sum(filter(
Master_Mapping_Sheet!$E$2:$E$3143, ISNUMBER(
Master_Mapping_Sheet!$E$2:$E$3143),
Master_Mapping_Sheet!$H$2:$H$3143=O$1,
Master_Mapping_Sheet!$B$2:$B$3143=$A43))/sum(filter(
Master_Mapping_Sheet!$E$2:$E$3143, ISNUMBER(
Master_Mapping_Sh"&amp;"eet!$E$2:$E$3143),
Master_Mapping_Sheet!$H$2:$H$3143=O$1))), 0, sum(filter(
Master_Mapping_Sheet!$E$2:$E$3143, ISNUMBER(
Master_Mapping_Sheet!$E$2:$E$3143),
Master_Mapping_Sheet!$H$2:$H$3143=O$1,
Master_Mapping_Sheet!$B$2:$B$3143=$A43))/sum(filter(
Master"&amp;"_Mapping_Sheet!$E$2:$E$3143, ISNUMBER(
Master_Mapping_Sheet!$E$2:$E$3143),
Master_Mapping_Sheet!$H$2:$H$3143=O$1)))"),0.0)</f>
        <v>0</v>
      </c>
      <c r="P43" s="34">
        <f>IFERROR(__xludf.DUMMYFUNCTION("IF(ISNA(sum(filter(
Master_Mapping_Sheet!$E$2:$E$3143, ISNUMBER(
Master_Mapping_Sheet!$E$2:$E$3143),
Master_Mapping_Sheet!$H$2:$H$3143=P$1,
Master_Mapping_Sheet!$B$2:$B$3143=$A43))/sum(filter(
Master_Mapping_Sheet!$E$2:$E$3143, ISNUMBER(
Master_Mapping_Sh"&amp;"eet!$E$2:$E$3143),
Master_Mapping_Sheet!$H$2:$H$3143=P$1))), 0, sum(filter(
Master_Mapping_Sheet!$E$2:$E$3143, ISNUMBER(
Master_Mapping_Sheet!$E$2:$E$3143),
Master_Mapping_Sheet!$H$2:$H$3143=P$1,
Master_Mapping_Sheet!$B$2:$B$3143=$A43))/sum(filter(
Master"&amp;"_Mapping_Sheet!$E$2:$E$3143, ISNUMBER(
Master_Mapping_Sheet!$E$2:$E$3143),
Master_Mapping_Sheet!$H$2:$H$3143=P$1)))"),0.0)</f>
        <v>0</v>
      </c>
      <c r="Q43" s="34">
        <f>IFERROR(__xludf.DUMMYFUNCTION("IF(ISNA(sum(filter(
Master_Mapping_Sheet!$E$2:$E$3143, ISNUMBER(
Master_Mapping_Sheet!$E$2:$E$3143),
Master_Mapping_Sheet!$H$2:$H$3143=Q$1,
Master_Mapping_Sheet!$B$2:$B$3143=$A43))/sum(filter(
Master_Mapping_Sheet!$E$2:$E$3143, ISNUMBER(
Master_Mapping_Sh"&amp;"eet!$E$2:$E$3143),
Master_Mapping_Sheet!$H$2:$H$3143=Q$1))), 0, sum(filter(
Master_Mapping_Sheet!$E$2:$E$3143, ISNUMBER(
Master_Mapping_Sheet!$E$2:$E$3143),
Master_Mapping_Sheet!$H$2:$H$3143=Q$1,
Master_Mapping_Sheet!$B$2:$B$3143=$A43))/sum(filter(
Master"&amp;"_Mapping_Sheet!$E$2:$E$3143, ISNUMBER(
Master_Mapping_Sheet!$E$2:$E$3143),
Master_Mapping_Sheet!$H$2:$H$3143=Q$1)))"),0.0)</f>
        <v>0</v>
      </c>
      <c r="R43" s="34">
        <f>IFERROR(__xludf.DUMMYFUNCTION("IF(ISNA(sum(filter(
Master_Mapping_Sheet!$E$2:$E$3143, ISNUMBER(
Master_Mapping_Sheet!$E$2:$E$3143),
Master_Mapping_Sheet!$H$2:$H$3143=R$1,
Master_Mapping_Sheet!$B$2:$B$3143=$A43))/sum(filter(
Master_Mapping_Sheet!$E$2:$E$3143, ISNUMBER(
Master_Mapping_Sh"&amp;"eet!$E$2:$E$3143),
Master_Mapping_Sheet!$H$2:$H$3143=R$1))), 0, sum(filter(
Master_Mapping_Sheet!$E$2:$E$3143, ISNUMBER(
Master_Mapping_Sheet!$E$2:$E$3143),
Master_Mapping_Sheet!$H$2:$H$3143=R$1,
Master_Mapping_Sheet!$B$2:$B$3143=$A43))/sum(filter(
Master"&amp;"_Mapping_Sheet!$E$2:$E$3143, ISNUMBER(
Master_Mapping_Sheet!$E$2:$E$3143),
Master_Mapping_Sheet!$H$2:$H$3143=R$1)))"),0.0)</f>
        <v>0</v>
      </c>
      <c r="S43" s="34">
        <f>IFERROR(__xludf.DUMMYFUNCTION("IF(ISNA(sum(filter(
Master_Mapping_Sheet!$E$2:$E$3143, ISNUMBER(
Master_Mapping_Sheet!$E$2:$E$3143),
Master_Mapping_Sheet!$H$2:$H$3143=S$1,
Master_Mapping_Sheet!$B$2:$B$3143=$A43))/sum(filter(
Master_Mapping_Sheet!$E$2:$E$3143, ISNUMBER(
Master_Mapping_Sh"&amp;"eet!$E$2:$E$3143),
Master_Mapping_Sheet!$H$2:$H$3143=S$1))), 0, sum(filter(
Master_Mapping_Sheet!$E$2:$E$3143, ISNUMBER(
Master_Mapping_Sheet!$E$2:$E$3143),
Master_Mapping_Sheet!$H$2:$H$3143=S$1,
Master_Mapping_Sheet!$B$2:$B$3143=$A43))/sum(filter(
Master"&amp;"_Mapping_Sheet!$E$2:$E$3143, ISNUMBER(
Master_Mapping_Sheet!$E$2:$E$3143),
Master_Mapping_Sheet!$H$2:$H$3143=S$1)))"),0.0)</f>
        <v>0</v>
      </c>
      <c r="T43" s="34">
        <f>IFERROR(__xludf.DUMMYFUNCTION("IF(ISNA(sum(filter(
Master_Mapping_Sheet!$E$2:$E$3143, ISNUMBER(
Master_Mapping_Sheet!$E$2:$E$3143),
Master_Mapping_Sheet!$H$2:$H$3143=T$1,
Master_Mapping_Sheet!$B$2:$B$3143=$A43))/sum(filter(
Master_Mapping_Sheet!$E$2:$E$3143, ISNUMBER(
Master_Mapping_Sh"&amp;"eet!$E$2:$E$3143),
Master_Mapping_Sheet!$H$2:$H$3143=T$1))), 0, sum(filter(
Master_Mapping_Sheet!$E$2:$E$3143, ISNUMBER(
Master_Mapping_Sheet!$E$2:$E$3143),
Master_Mapping_Sheet!$H$2:$H$3143=T$1,
Master_Mapping_Sheet!$B$2:$B$3143=$A43))/sum(filter(
Master"&amp;"_Mapping_Sheet!$E$2:$E$3143, ISNUMBER(
Master_Mapping_Sheet!$E$2:$E$3143),
Master_Mapping_Sheet!$H$2:$H$3143=T$1)))"),0.0)</f>
        <v>0</v>
      </c>
      <c r="U43" s="34">
        <f>IFERROR(__xludf.DUMMYFUNCTION("IF(ISNA(sum(filter(
Master_Mapping_Sheet!$E$2:$E$3143, ISNUMBER(
Master_Mapping_Sheet!$E$2:$E$3143),
Master_Mapping_Sheet!$H$2:$H$3143=U$1,
Master_Mapping_Sheet!$B$2:$B$3143=$A43))/sum(filter(
Master_Mapping_Sheet!$E$2:$E$3143, ISNUMBER(
Master_Mapping_Sh"&amp;"eet!$E$2:$E$3143),
Master_Mapping_Sheet!$H$2:$H$3143=U$1))), 0, sum(filter(
Master_Mapping_Sheet!$E$2:$E$3143, ISNUMBER(
Master_Mapping_Sheet!$E$2:$E$3143),
Master_Mapping_Sheet!$H$2:$H$3143=U$1,
Master_Mapping_Sheet!$B$2:$B$3143=$A43))/sum(filter(
Master"&amp;"_Mapping_Sheet!$E$2:$E$3143, ISNUMBER(
Master_Mapping_Sheet!$E$2:$E$3143),
Master_Mapping_Sheet!$H$2:$H$3143=U$1)))"),0.19739975568726326)</f>
        <v>0.1973997557</v>
      </c>
      <c r="V43" s="34">
        <f>IFERROR(__xludf.DUMMYFUNCTION("IF(ISNA(sum(filter(
Master_Mapping_Sheet!$E$2:$E$3143, ISNUMBER(
Master_Mapping_Sheet!$E$2:$E$3143),
Master_Mapping_Sheet!$H$2:$H$3143=V$1,
Master_Mapping_Sheet!$B$2:$B$3143=$A43))/sum(filter(
Master_Mapping_Sheet!$E$2:$E$3143, ISNUMBER(
Master_Mapping_Sh"&amp;"eet!$E$2:$E$3143),
Master_Mapping_Sheet!$H$2:$H$3143=V$1))), 0, sum(filter(
Master_Mapping_Sheet!$E$2:$E$3143, ISNUMBER(
Master_Mapping_Sheet!$E$2:$E$3143),
Master_Mapping_Sheet!$H$2:$H$3143=V$1,
Master_Mapping_Sheet!$B$2:$B$3143=$A43))/sum(filter(
Master"&amp;"_Mapping_Sheet!$E$2:$E$3143, ISNUMBER(
Master_Mapping_Sheet!$E$2:$E$3143),
Master_Mapping_Sheet!$H$2:$H$3143=V$1)))"),0.0)</f>
        <v>0</v>
      </c>
      <c r="W43" s="34">
        <f>IFERROR(__xludf.DUMMYFUNCTION("IF(ISNA(sum(filter(
Master_Mapping_Sheet!$E$2:$E$3143, ISNUMBER(
Master_Mapping_Sheet!$E$2:$E$3143),
Master_Mapping_Sheet!$H$2:$H$3143=W$1,
Master_Mapping_Sheet!$B$2:$B$3143=$A43))/sum(filter(
Master_Mapping_Sheet!$E$2:$E$3143, ISNUMBER(
Master_Mapping_Sh"&amp;"eet!$E$2:$E$3143),
Master_Mapping_Sheet!$H$2:$H$3143=W$1))), 0, sum(filter(
Master_Mapping_Sheet!$E$2:$E$3143, ISNUMBER(
Master_Mapping_Sheet!$E$2:$E$3143),
Master_Mapping_Sheet!$H$2:$H$3143=W$1,
Master_Mapping_Sheet!$B$2:$B$3143=$A43))/sum(filter(
Master"&amp;"_Mapping_Sheet!$E$2:$E$3143, ISNUMBER(
Master_Mapping_Sheet!$E$2:$E$3143),
Master_Mapping_Sheet!$H$2:$H$3143=W$1)))"),0.0)</f>
        <v>0</v>
      </c>
      <c r="X43" s="34">
        <f>IFERROR(__xludf.DUMMYFUNCTION("IF(ISNA(sum(filter(
Master_Mapping_Sheet!$E$2:$E$3143, ISNUMBER(
Master_Mapping_Sheet!$E$2:$E$3143),
Master_Mapping_Sheet!$H$2:$H$3143=X$1,
Master_Mapping_Sheet!$B$2:$B$3143=$A43))/sum(filter(
Master_Mapping_Sheet!$E$2:$E$3143, ISNUMBER(
Master_Mapping_Sh"&amp;"eet!$E$2:$E$3143),
Master_Mapping_Sheet!$H$2:$H$3143=X$1))), 0, sum(filter(
Master_Mapping_Sheet!$E$2:$E$3143, ISNUMBER(
Master_Mapping_Sheet!$E$2:$E$3143),
Master_Mapping_Sheet!$H$2:$H$3143=X$1,
Master_Mapping_Sheet!$B$2:$B$3143=$A43))/sum(filter(
Master"&amp;"_Mapping_Sheet!$E$2:$E$3143, ISNUMBER(
Master_Mapping_Sheet!$E$2:$E$3143),
Master_Mapping_Sheet!$H$2:$H$3143=X$1)))"),0.0)</f>
        <v>0</v>
      </c>
      <c r="Y43" s="34">
        <f>IFERROR(__xludf.DUMMYFUNCTION("IF(ISNA(sum(filter(
Master_Mapping_Sheet!$E$2:$E$3143, ISNUMBER(
Master_Mapping_Sheet!$E$2:$E$3143),
Master_Mapping_Sheet!$H$2:$H$3143=Y$1,
Master_Mapping_Sheet!$B$2:$B$3143=$A43))/sum(filter(
Master_Mapping_Sheet!$E$2:$E$3143, ISNUMBER(
Master_Mapping_Sh"&amp;"eet!$E$2:$E$3143),
Master_Mapping_Sheet!$H$2:$H$3143=Y$1))), 0, sum(filter(
Master_Mapping_Sheet!$E$2:$E$3143, ISNUMBER(
Master_Mapping_Sheet!$E$2:$E$3143),
Master_Mapping_Sheet!$H$2:$H$3143=Y$1,
Master_Mapping_Sheet!$B$2:$B$3143=$A43))/sum(filter(
Master"&amp;"_Mapping_Sheet!$E$2:$E$3143, ISNUMBER(
Master_Mapping_Sheet!$E$2:$E$3143),
Master_Mapping_Sheet!$H$2:$H$3143=Y$1)))"),0.0)</f>
        <v>0</v>
      </c>
      <c r="Z43" s="34">
        <f>IFERROR(__xludf.DUMMYFUNCTION("IF(ISNA(sum(filter(
Master_Mapping_Sheet!$E$2:$E$3143, ISNUMBER(
Master_Mapping_Sheet!$E$2:$E$3143),
Master_Mapping_Sheet!$H$2:$H$3143=Z$1,
Master_Mapping_Sheet!$B$2:$B$3143=$A43))/sum(filter(
Master_Mapping_Sheet!$E$2:$E$3143, ISNUMBER(
Master_Mapping_Sh"&amp;"eet!$E$2:$E$3143),
Master_Mapping_Sheet!$H$2:$H$3143=Z$1))), 0, sum(filter(
Master_Mapping_Sheet!$E$2:$E$3143, ISNUMBER(
Master_Mapping_Sheet!$E$2:$E$3143),
Master_Mapping_Sheet!$H$2:$H$3143=Z$1,
Master_Mapping_Sheet!$B$2:$B$3143=$A43))/sum(filter(
Master"&amp;"_Mapping_Sheet!$E$2:$E$3143, ISNUMBER(
Master_Mapping_Sheet!$E$2:$E$3143),
Master_Mapping_Sheet!$H$2:$H$3143=Z$1)))"),0.008719893900038859)</f>
        <v>0.0087198939</v>
      </c>
      <c r="AA43" s="34">
        <f>IFERROR(__xludf.DUMMYFUNCTION("IF(ISNA(sum(filter(
Master_Mapping_Sheet!$E$2:$E$3143, ISNUMBER(
Master_Mapping_Sheet!$E$2:$E$3143),
Master_Mapping_Sheet!$H$2:$H$3143=AA$1,
Master_Mapping_Sheet!$B$2:$B$3143=$A43))/sum(filter(
Master_Mapping_Sheet!$E$2:$E$3143, ISNUMBER(
Master_Mapping_S"&amp;"heet!$E$2:$E$3143),
Master_Mapping_Sheet!$H$2:$H$3143=AA$1))), 0, sum(filter(
Master_Mapping_Sheet!$E$2:$E$3143, ISNUMBER(
Master_Mapping_Sheet!$E$2:$E$3143),
Master_Mapping_Sheet!$H$2:$H$3143=AA$1,
Master_Mapping_Sheet!$B$2:$B$3143=$A43))/sum(filter(
Mas"&amp;"ter_Mapping_Sheet!$E$2:$E$3143, ISNUMBER(
Master_Mapping_Sheet!$E$2:$E$3143),
Master_Mapping_Sheet!$H$2:$H$3143=AA$1)))"),0.0)</f>
        <v>0</v>
      </c>
    </row>
    <row r="44" ht="15.75" customHeight="1">
      <c r="A44" s="34" t="s">
        <v>1616</v>
      </c>
      <c r="B44" s="34" t="s">
        <v>3497</v>
      </c>
      <c r="C44" s="34">
        <f>IFERROR(__xludf.DUMMYFUNCTION("IF(ISNA(sum(filter(
Master_Mapping_Sheet!$E$2:$E$3143, ISNUMBER(
Master_Mapping_Sheet!$E$2:$E$3143),
Master_Mapping_Sheet!$H$2:$H$3143=C$1,
Master_Mapping_Sheet!$B$2:$B$3143=$A44))/sum(filter(
Master_Mapping_Sheet!$E$2:$E$3143, ISNUMBER(
Master_Mapping_Sh"&amp;"eet!$E$2:$E$3143),
Master_Mapping_Sheet!$H$2:$H$3143=C$1))), 0, sum(filter(
Master_Mapping_Sheet!$E$2:$E$3143, ISNUMBER(
Master_Mapping_Sheet!$E$2:$E$3143),
Master_Mapping_Sheet!$H$2:$H$3143=C$1,
Master_Mapping_Sheet!$B$2:$B$3143=$A44))/sum(filter(
Master"&amp;"_Mapping_Sheet!$E$2:$E$3143, ISNUMBER(
Master_Mapping_Sheet!$E$2:$E$3143),
Master_Mapping_Sheet!$H$2:$H$3143=C$1)))"),0.0)</f>
        <v>0</v>
      </c>
      <c r="D44" s="34">
        <f>IFERROR(__xludf.DUMMYFUNCTION("IF(ISNA(sum(filter(
Master_Mapping_Sheet!$E$2:$E$3143, ISNUMBER(
Master_Mapping_Sheet!$E$2:$E$3143),
Master_Mapping_Sheet!$H$2:$H$3143=D$1,
Master_Mapping_Sheet!$B$2:$B$3143=$A44))/sum(filter(
Master_Mapping_Sheet!$E$2:$E$3143, ISNUMBER(
Master_Mapping_Sh"&amp;"eet!$E$2:$E$3143),
Master_Mapping_Sheet!$H$2:$H$3143=D$1))), 0, sum(filter(
Master_Mapping_Sheet!$E$2:$E$3143, ISNUMBER(
Master_Mapping_Sheet!$E$2:$E$3143),
Master_Mapping_Sheet!$H$2:$H$3143=D$1,
Master_Mapping_Sheet!$B$2:$B$3143=$A44))/sum(filter(
Master"&amp;"_Mapping_Sheet!$E$2:$E$3143, ISNUMBER(
Master_Mapping_Sheet!$E$2:$E$3143),
Master_Mapping_Sheet!$H$2:$H$3143=D$1)))"),0.0)</f>
        <v>0</v>
      </c>
      <c r="E44" s="32">
        <f>IFERROR(__xludf.DUMMYFUNCTION("IF(ISNA(sum(filter(
Master_Mapping_Sheet!$E$2:$E$3143, ISNUMBER(
Master_Mapping_Sheet!$E$2:$E$3143),
Master_Mapping_Sheet!$H$2:$H$3143=E$1,
Master_Mapping_Sheet!$B$2:$B$3143=$A44))/sum(filter(
Master_Mapping_Sheet!$E$2:$E$3143, ISNUMBER(
Master_Mapping_Sh"&amp;"eet!$E$2:$E$3143),
Master_Mapping_Sheet!$H$2:$H$3143=E$1))), 0, sum(filter(
Master_Mapping_Sheet!$E$2:$E$3143, ISNUMBER(
Master_Mapping_Sheet!$E$2:$E$3143),
Master_Mapping_Sheet!$H$2:$H$3143=E$1,
Master_Mapping_Sheet!$B$2:$B$3143=$A44))/sum(filter(
Master"&amp;"_Mapping_Sheet!$E$2:$E$3143, ISNUMBER(
Master_Mapping_Sheet!$E$2:$E$3143),
Master_Mapping_Sheet!$H$2:$H$3143=E$1)))"),0.0)</f>
        <v>0</v>
      </c>
      <c r="F44" s="34">
        <f>IFERROR(__xludf.DUMMYFUNCTION("IF(ISNA(sum(filter(
Master_Mapping_Sheet!$E$2:$E$3143, ISNUMBER(
Master_Mapping_Sheet!$E$2:$E$3143),
Master_Mapping_Sheet!$H$2:$H$3143=F$1,
Master_Mapping_Sheet!$B$2:$B$3143=$A44))/sum(filter(
Master_Mapping_Sheet!$E$2:$E$3143, ISNUMBER(
Master_Mapping_Sh"&amp;"eet!$E$2:$E$3143),
Master_Mapping_Sheet!$H$2:$H$3143=F$1))), 0, sum(filter(
Master_Mapping_Sheet!$E$2:$E$3143, ISNUMBER(
Master_Mapping_Sheet!$E$2:$E$3143),
Master_Mapping_Sheet!$H$2:$H$3143=F$1,
Master_Mapping_Sheet!$B$2:$B$3143=$A44))/sum(filter(
Master"&amp;"_Mapping_Sheet!$E$2:$E$3143, ISNUMBER(
Master_Mapping_Sheet!$E$2:$E$3143),
Master_Mapping_Sheet!$H$2:$H$3143=F$1)))"),0.0)</f>
        <v>0</v>
      </c>
      <c r="G44" s="34">
        <f>IFERROR(__xludf.DUMMYFUNCTION("IF(ISNA(sum(filter(
Master_Mapping_Sheet!$E$2:$E$3143, ISNUMBER(
Master_Mapping_Sheet!$E$2:$E$3143),
Master_Mapping_Sheet!$H$2:$H$3143=G$1,
Master_Mapping_Sheet!$B$2:$B$3143=$A44))/sum(filter(
Master_Mapping_Sheet!$E$2:$E$3143, ISNUMBER(
Master_Mapping_Sh"&amp;"eet!$E$2:$E$3143),
Master_Mapping_Sheet!$H$2:$H$3143=G$1))), 0, sum(filter(
Master_Mapping_Sheet!$E$2:$E$3143, ISNUMBER(
Master_Mapping_Sheet!$E$2:$E$3143),
Master_Mapping_Sheet!$H$2:$H$3143=G$1,
Master_Mapping_Sheet!$B$2:$B$3143=$A44))/sum(filter(
Master"&amp;"_Mapping_Sheet!$E$2:$E$3143, ISNUMBER(
Master_Mapping_Sheet!$E$2:$E$3143),
Master_Mapping_Sheet!$H$2:$H$3143=G$1)))"),0.0)</f>
        <v>0</v>
      </c>
      <c r="H44" s="34">
        <f>IFERROR(__xludf.DUMMYFUNCTION("IF(ISNA(sum(filter(
Master_Mapping_Sheet!$E$2:$E$3143, ISNUMBER(
Master_Mapping_Sheet!$E$2:$E$3143),
Master_Mapping_Sheet!$H$2:$H$3143=H$1,
Master_Mapping_Sheet!$B$2:$B$3143=$A44))/sum(filter(
Master_Mapping_Sheet!$E$2:$E$3143, ISNUMBER(
Master_Mapping_Sh"&amp;"eet!$E$2:$E$3143),
Master_Mapping_Sheet!$H$2:$H$3143=H$1))), 0, sum(filter(
Master_Mapping_Sheet!$E$2:$E$3143, ISNUMBER(
Master_Mapping_Sheet!$E$2:$E$3143),
Master_Mapping_Sheet!$H$2:$H$3143=H$1,
Master_Mapping_Sheet!$B$2:$B$3143=$A44))/sum(filter(
Master"&amp;"_Mapping_Sheet!$E$2:$E$3143, ISNUMBER(
Master_Mapping_Sheet!$E$2:$E$3143),
Master_Mapping_Sheet!$H$2:$H$3143=H$1)))"),0.0)</f>
        <v>0</v>
      </c>
      <c r="I44" s="34">
        <f>IFERROR(__xludf.DUMMYFUNCTION("IF(ISNA(sum(filter(
Master_Mapping_Sheet!$E$2:$E$3143, ISNUMBER(
Master_Mapping_Sheet!$E$2:$E$3143),
Master_Mapping_Sheet!$H$2:$H$3143=I$1,
Master_Mapping_Sheet!$B$2:$B$3143=$A44))/sum(filter(
Master_Mapping_Sheet!$E$2:$E$3143, ISNUMBER(
Master_Mapping_Sh"&amp;"eet!$E$2:$E$3143),
Master_Mapping_Sheet!$H$2:$H$3143=I$1))), 0, sum(filter(
Master_Mapping_Sheet!$E$2:$E$3143, ISNUMBER(
Master_Mapping_Sheet!$E$2:$E$3143),
Master_Mapping_Sheet!$H$2:$H$3143=I$1,
Master_Mapping_Sheet!$B$2:$B$3143=$A44))/sum(filter(
Master"&amp;"_Mapping_Sheet!$E$2:$E$3143, ISNUMBER(
Master_Mapping_Sheet!$E$2:$E$3143),
Master_Mapping_Sheet!$H$2:$H$3143=I$1)))"),0.0)</f>
        <v>0</v>
      </c>
      <c r="J44" s="34">
        <f>IFERROR(__xludf.DUMMYFUNCTION("IF(ISNA(sum(filter(
Master_Mapping_Sheet!$E$2:$E$3143, ISNUMBER(
Master_Mapping_Sheet!$E$2:$E$3143),
Master_Mapping_Sheet!$H$2:$H$3143=J$1,
Master_Mapping_Sheet!$B$2:$B$3143=$A44))/sum(filter(
Master_Mapping_Sheet!$E$2:$E$3143, ISNUMBER(
Master_Mapping_Sh"&amp;"eet!$E$2:$E$3143),
Master_Mapping_Sheet!$H$2:$H$3143=J$1))), 0, sum(filter(
Master_Mapping_Sheet!$E$2:$E$3143, ISNUMBER(
Master_Mapping_Sheet!$E$2:$E$3143),
Master_Mapping_Sheet!$H$2:$H$3143=J$1,
Master_Mapping_Sheet!$B$2:$B$3143=$A44))/sum(filter(
Master"&amp;"_Mapping_Sheet!$E$2:$E$3143, ISNUMBER(
Master_Mapping_Sheet!$E$2:$E$3143),
Master_Mapping_Sheet!$H$2:$H$3143=J$1)))"),0.0)</f>
        <v>0</v>
      </c>
      <c r="K44" s="34">
        <f>IFERROR(__xludf.DUMMYFUNCTION("IF(ISNA(sum(filter(
Master_Mapping_Sheet!$E$2:$E$3143, ISNUMBER(
Master_Mapping_Sheet!$E$2:$E$3143),
Master_Mapping_Sheet!$H$2:$H$3143=K$1,
Master_Mapping_Sheet!$B$2:$B$3143=$A44))/sum(filter(
Master_Mapping_Sheet!$E$2:$E$3143, ISNUMBER(
Master_Mapping_Sh"&amp;"eet!$E$2:$E$3143),
Master_Mapping_Sheet!$H$2:$H$3143=K$1))), 0, sum(filter(
Master_Mapping_Sheet!$E$2:$E$3143, ISNUMBER(
Master_Mapping_Sheet!$E$2:$E$3143),
Master_Mapping_Sheet!$H$2:$H$3143=K$1,
Master_Mapping_Sheet!$B$2:$B$3143=$A44))/sum(filter(
Master"&amp;"_Mapping_Sheet!$E$2:$E$3143, ISNUMBER(
Master_Mapping_Sheet!$E$2:$E$3143),
Master_Mapping_Sheet!$H$2:$H$3143=K$1)))"),0.0)</f>
        <v>0</v>
      </c>
      <c r="L44" s="34">
        <f>IFERROR(__xludf.DUMMYFUNCTION("IF(ISNA(sum(filter(
Master_Mapping_Sheet!$E$2:$E$3143, ISNUMBER(
Master_Mapping_Sheet!$E$2:$E$3143),
Master_Mapping_Sheet!$H$2:$H$3143=L$1,
Master_Mapping_Sheet!$B$2:$B$3143=$A44))/sum(filter(
Master_Mapping_Sheet!$E$2:$E$3143, ISNUMBER(
Master_Mapping_Sh"&amp;"eet!$E$2:$E$3143),
Master_Mapping_Sheet!$H$2:$H$3143=L$1))), 0, sum(filter(
Master_Mapping_Sheet!$E$2:$E$3143, ISNUMBER(
Master_Mapping_Sheet!$E$2:$E$3143),
Master_Mapping_Sheet!$H$2:$H$3143=L$1,
Master_Mapping_Sheet!$B$2:$B$3143=$A44))/sum(filter(
Master"&amp;"_Mapping_Sheet!$E$2:$E$3143, ISNUMBER(
Master_Mapping_Sheet!$E$2:$E$3143),
Master_Mapping_Sheet!$H$2:$H$3143=L$1)))"),0.0)</f>
        <v>0</v>
      </c>
      <c r="M44" s="34">
        <f>IFERROR(__xludf.DUMMYFUNCTION("IF(ISNA(sum(filter(
Master_Mapping_Sheet!$E$2:$E$3143, ISNUMBER(
Master_Mapping_Sheet!$E$2:$E$3143),
Master_Mapping_Sheet!$H$2:$H$3143=M$1,
Master_Mapping_Sheet!$B$2:$B$3143=$A44))/sum(filter(
Master_Mapping_Sheet!$E$2:$E$3143, ISNUMBER(
Master_Mapping_Sh"&amp;"eet!$E$2:$E$3143),
Master_Mapping_Sheet!$H$2:$H$3143=M$1))), 0, sum(filter(
Master_Mapping_Sheet!$E$2:$E$3143, ISNUMBER(
Master_Mapping_Sheet!$E$2:$E$3143),
Master_Mapping_Sheet!$H$2:$H$3143=M$1,
Master_Mapping_Sheet!$B$2:$B$3143=$A44))/sum(filter(
Master"&amp;"_Mapping_Sheet!$E$2:$E$3143, ISNUMBER(
Master_Mapping_Sheet!$E$2:$E$3143),
Master_Mapping_Sheet!$H$2:$H$3143=M$1)))"),0.0)</f>
        <v>0</v>
      </c>
      <c r="N44" s="34">
        <f>IFERROR(__xludf.DUMMYFUNCTION("IF(ISNA(sum(filter(
Master_Mapping_Sheet!$E$2:$E$3143, ISNUMBER(
Master_Mapping_Sheet!$E$2:$E$3143),
Master_Mapping_Sheet!$H$2:$H$3143=N$1,
Master_Mapping_Sheet!$B$2:$B$3143=$A44))/sum(filter(
Master_Mapping_Sheet!$E$2:$E$3143, ISNUMBER(
Master_Mapping_Sh"&amp;"eet!$E$2:$E$3143),
Master_Mapping_Sheet!$H$2:$H$3143=N$1))), 0, sum(filter(
Master_Mapping_Sheet!$E$2:$E$3143, ISNUMBER(
Master_Mapping_Sheet!$E$2:$E$3143),
Master_Mapping_Sheet!$H$2:$H$3143=N$1,
Master_Mapping_Sheet!$B$2:$B$3143=$A44))/sum(filter(
Master"&amp;"_Mapping_Sheet!$E$2:$E$3143, ISNUMBER(
Master_Mapping_Sheet!$E$2:$E$3143),
Master_Mapping_Sheet!$H$2:$H$3143=N$1)))"),0.0)</f>
        <v>0</v>
      </c>
      <c r="O44" s="34">
        <f>IFERROR(__xludf.DUMMYFUNCTION("IF(ISNA(sum(filter(
Master_Mapping_Sheet!$E$2:$E$3143, ISNUMBER(
Master_Mapping_Sheet!$E$2:$E$3143),
Master_Mapping_Sheet!$H$2:$H$3143=O$1,
Master_Mapping_Sheet!$B$2:$B$3143=$A44))/sum(filter(
Master_Mapping_Sheet!$E$2:$E$3143, ISNUMBER(
Master_Mapping_Sh"&amp;"eet!$E$2:$E$3143),
Master_Mapping_Sheet!$H$2:$H$3143=O$1))), 0, sum(filter(
Master_Mapping_Sheet!$E$2:$E$3143, ISNUMBER(
Master_Mapping_Sheet!$E$2:$E$3143),
Master_Mapping_Sheet!$H$2:$H$3143=O$1,
Master_Mapping_Sheet!$B$2:$B$3143=$A44))/sum(filter(
Master"&amp;"_Mapping_Sheet!$E$2:$E$3143, ISNUMBER(
Master_Mapping_Sheet!$E$2:$E$3143),
Master_Mapping_Sheet!$H$2:$H$3143=O$1)))"),0.0)</f>
        <v>0</v>
      </c>
      <c r="P44" s="34">
        <f>IFERROR(__xludf.DUMMYFUNCTION("IF(ISNA(sum(filter(
Master_Mapping_Sheet!$E$2:$E$3143, ISNUMBER(
Master_Mapping_Sheet!$E$2:$E$3143),
Master_Mapping_Sheet!$H$2:$H$3143=P$1,
Master_Mapping_Sheet!$B$2:$B$3143=$A44))/sum(filter(
Master_Mapping_Sheet!$E$2:$E$3143, ISNUMBER(
Master_Mapping_Sh"&amp;"eet!$E$2:$E$3143),
Master_Mapping_Sheet!$H$2:$H$3143=P$1))), 0, sum(filter(
Master_Mapping_Sheet!$E$2:$E$3143, ISNUMBER(
Master_Mapping_Sheet!$E$2:$E$3143),
Master_Mapping_Sheet!$H$2:$H$3143=P$1,
Master_Mapping_Sheet!$B$2:$B$3143=$A44))/sum(filter(
Master"&amp;"_Mapping_Sheet!$E$2:$E$3143, ISNUMBER(
Master_Mapping_Sheet!$E$2:$E$3143),
Master_Mapping_Sheet!$H$2:$H$3143=P$1)))"),0.0)</f>
        <v>0</v>
      </c>
      <c r="Q44" s="34">
        <f>IFERROR(__xludf.DUMMYFUNCTION("IF(ISNA(sum(filter(
Master_Mapping_Sheet!$E$2:$E$3143, ISNUMBER(
Master_Mapping_Sheet!$E$2:$E$3143),
Master_Mapping_Sheet!$H$2:$H$3143=Q$1,
Master_Mapping_Sheet!$B$2:$B$3143=$A44))/sum(filter(
Master_Mapping_Sheet!$E$2:$E$3143, ISNUMBER(
Master_Mapping_Sh"&amp;"eet!$E$2:$E$3143),
Master_Mapping_Sheet!$H$2:$H$3143=Q$1))), 0, sum(filter(
Master_Mapping_Sheet!$E$2:$E$3143, ISNUMBER(
Master_Mapping_Sheet!$E$2:$E$3143),
Master_Mapping_Sheet!$H$2:$H$3143=Q$1,
Master_Mapping_Sheet!$B$2:$B$3143=$A44))/sum(filter(
Master"&amp;"_Mapping_Sheet!$E$2:$E$3143, ISNUMBER(
Master_Mapping_Sheet!$E$2:$E$3143),
Master_Mapping_Sheet!$H$2:$H$3143=Q$1)))"),0.0)</f>
        <v>0</v>
      </c>
      <c r="R44" s="34">
        <f>IFERROR(__xludf.DUMMYFUNCTION("IF(ISNA(sum(filter(
Master_Mapping_Sheet!$E$2:$E$3143, ISNUMBER(
Master_Mapping_Sheet!$E$2:$E$3143),
Master_Mapping_Sheet!$H$2:$H$3143=R$1,
Master_Mapping_Sheet!$B$2:$B$3143=$A44))/sum(filter(
Master_Mapping_Sheet!$E$2:$E$3143, ISNUMBER(
Master_Mapping_Sh"&amp;"eet!$E$2:$E$3143),
Master_Mapping_Sheet!$H$2:$H$3143=R$1))), 0, sum(filter(
Master_Mapping_Sheet!$E$2:$E$3143, ISNUMBER(
Master_Mapping_Sheet!$E$2:$E$3143),
Master_Mapping_Sheet!$H$2:$H$3143=R$1,
Master_Mapping_Sheet!$B$2:$B$3143=$A44))/sum(filter(
Master"&amp;"_Mapping_Sheet!$E$2:$E$3143, ISNUMBER(
Master_Mapping_Sheet!$E$2:$E$3143),
Master_Mapping_Sheet!$H$2:$H$3143=R$1)))"),0.5569486217717894)</f>
        <v>0.5569486218</v>
      </c>
      <c r="S44" s="34">
        <f>IFERROR(__xludf.DUMMYFUNCTION("IF(ISNA(sum(filter(
Master_Mapping_Sheet!$E$2:$E$3143, ISNUMBER(
Master_Mapping_Sheet!$E$2:$E$3143),
Master_Mapping_Sheet!$H$2:$H$3143=S$1,
Master_Mapping_Sheet!$B$2:$B$3143=$A44))/sum(filter(
Master_Mapping_Sheet!$E$2:$E$3143, ISNUMBER(
Master_Mapping_Sh"&amp;"eet!$E$2:$E$3143),
Master_Mapping_Sheet!$H$2:$H$3143=S$1))), 0, sum(filter(
Master_Mapping_Sheet!$E$2:$E$3143, ISNUMBER(
Master_Mapping_Sheet!$E$2:$E$3143),
Master_Mapping_Sheet!$H$2:$H$3143=S$1,
Master_Mapping_Sheet!$B$2:$B$3143=$A44))/sum(filter(
Master"&amp;"_Mapping_Sheet!$E$2:$E$3143, ISNUMBER(
Master_Mapping_Sheet!$E$2:$E$3143),
Master_Mapping_Sheet!$H$2:$H$3143=S$1)))"),0.0)</f>
        <v>0</v>
      </c>
      <c r="T44" s="34">
        <f>IFERROR(__xludf.DUMMYFUNCTION("IF(ISNA(sum(filter(
Master_Mapping_Sheet!$E$2:$E$3143, ISNUMBER(
Master_Mapping_Sheet!$E$2:$E$3143),
Master_Mapping_Sheet!$H$2:$H$3143=T$1,
Master_Mapping_Sheet!$B$2:$B$3143=$A44))/sum(filter(
Master_Mapping_Sheet!$E$2:$E$3143, ISNUMBER(
Master_Mapping_Sh"&amp;"eet!$E$2:$E$3143),
Master_Mapping_Sheet!$H$2:$H$3143=T$1))), 0, sum(filter(
Master_Mapping_Sheet!$E$2:$E$3143, ISNUMBER(
Master_Mapping_Sheet!$E$2:$E$3143),
Master_Mapping_Sheet!$H$2:$H$3143=T$1,
Master_Mapping_Sheet!$B$2:$B$3143=$A44))/sum(filter(
Master"&amp;"_Mapping_Sheet!$E$2:$E$3143, ISNUMBER(
Master_Mapping_Sheet!$E$2:$E$3143),
Master_Mapping_Sheet!$H$2:$H$3143=T$1)))"),0.0)</f>
        <v>0</v>
      </c>
      <c r="U44" s="34">
        <f>IFERROR(__xludf.DUMMYFUNCTION("IF(ISNA(sum(filter(
Master_Mapping_Sheet!$E$2:$E$3143, ISNUMBER(
Master_Mapping_Sheet!$E$2:$E$3143),
Master_Mapping_Sheet!$H$2:$H$3143=U$1,
Master_Mapping_Sheet!$B$2:$B$3143=$A44))/sum(filter(
Master_Mapping_Sheet!$E$2:$E$3143, ISNUMBER(
Master_Mapping_Sh"&amp;"eet!$E$2:$E$3143),
Master_Mapping_Sheet!$H$2:$H$3143=U$1))), 0, sum(filter(
Master_Mapping_Sheet!$E$2:$E$3143, ISNUMBER(
Master_Mapping_Sheet!$E$2:$E$3143),
Master_Mapping_Sheet!$H$2:$H$3143=U$1,
Master_Mapping_Sheet!$B$2:$B$3143=$A44))/sum(filter(
Master"&amp;"_Mapping_Sheet!$E$2:$E$3143, ISNUMBER(
Master_Mapping_Sheet!$E$2:$E$3143),
Master_Mapping_Sheet!$H$2:$H$3143=U$1)))"),0.0)</f>
        <v>0</v>
      </c>
      <c r="V44" s="34">
        <f>IFERROR(__xludf.DUMMYFUNCTION("IF(ISNA(sum(filter(
Master_Mapping_Sheet!$E$2:$E$3143, ISNUMBER(
Master_Mapping_Sheet!$E$2:$E$3143),
Master_Mapping_Sheet!$H$2:$H$3143=V$1,
Master_Mapping_Sheet!$B$2:$B$3143=$A44))/sum(filter(
Master_Mapping_Sheet!$E$2:$E$3143, ISNUMBER(
Master_Mapping_Sh"&amp;"eet!$E$2:$E$3143),
Master_Mapping_Sheet!$H$2:$H$3143=V$1))), 0, sum(filter(
Master_Mapping_Sheet!$E$2:$E$3143, ISNUMBER(
Master_Mapping_Sheet!$E$2:$E$3143),
Master_Mapping_Sheet!$H$2:$H$3143=V$1,
Master_Mapping_Sheet!$B$2:$B$3143=$A44))/sum(filter(
Master"&amp;"_Mapping_Sheet!$E$2:$E$3143, ISNUMBER(
Master_Mapping_Sheet!$E$2:$E$3143),
Master_Mapping_Sheet!$H$2:$H$3143=V$1)))"),0.0)</f>
        <v>0</v>
      </c>
      <c r="W44" s="34">
        <f>IFERROR(__xludf.DUMMYFUNCTION("IF(ISNA(sum(filter(
Master_Mapping_Sheet!$E$2:$E$3143, ISNUMBER(
Master_Mapping_Sheet!$E$2:$E$3143),
Master_Mapping_Sheet!$H$2:$H$3143=W$1,
Master_Mapping_Sheet!$B$2:$B$3143=$A44))/sum(filter(
Master_Mapping_Sheet!$E$2:$E$3143, ISNUMBER(
Master_Mapping_Sh"&amp;"eet!$E$2:$E$3143),
Master_Mapping_Sheet!$H$2:$H$3143=W$1))), 0, sum(filter(
Master_Mapping_Sheet!$E$2:$E$3143, ISNUMBER(
Master_Mapping_Sheet!$E$2:$E$3143),
Master_Mapping_Sheet!$H$2:$H$3143=W$1,
Master_Mapping_Sheet!$B$2:$B$3143=$A44))/sum(filter(
Master"&amp;"_Mapping_Sheet!$E$2:$E$3143, ISNUMBER(
Master_Mapping_Sheet!$E$2:$E$3143),
Master_Mapping_Sheet!$H$2:$H$3143=W$1)))"),0.0)</f>
        <v>0</v>
      </c>
      <c r="X44" s="34">
        <f>IFERROR(__xludf.DUMMYFUNCTION("IF(ISNA(sum(filter(
Master_Mapping_Sheet!$E$2:$E$3143, ISNUMBER(
Master_Mapping_Sheet!$E$2:$E$3143),
Master_Mapping_Sheet!$H$2:$H$3143=X$1,
Master_Mapping_Sheet!$B$2:$B$3143=$A44))/sum(filter(
Master_Mapping_Sheet!$E$2:$E$3143, ISNUMBER(
Master_Mapping_Sh"&amp;"eet!$E$2:$E$3143),
Master_Mapping_Sheet!$H$2:$H$3143=X$1))), 0, sum(filter(
Master_Mapping_Sheet!$E$2:$E$3143, ISNUMBER(
Master_Mapping_Sheet!$E$2:$E$3143),
Master_Mapping_Sheet!$H$2:$H$3143=X$1,
Master_Mapping_Sheet!$B$2:$B$3143=$A44))/sum(filter(
Master"&amp;"_Mapping_Sheet!$E$2:$E$3143, ISNUMBER(
Master_Mapping_Sheet!$E$2:$E$3143),
Master_Mapping_Sheet!$H$2:$H$3143=X$1)))"),0.0)</f>
        <v>0</v>
      </c>
      <c r="Y44" s="34">
        <f>IFERROR(__xludf.DUMMYFUNCTION("IF(ISNA(sum(filter(
Master_Mapping_Sheet!$E$2:$E$3143, ISNUMBER(
Master_Mapping_Sheet!$E$2:$E$3143),
Master_Mapping_Sheet!$H$2:$H$3143=Y$1,
Master_Mapping_Sheet!$B$2:$B$3143=$A44))/sum(filter(
Master_Mapping_Sheet!$E$2:$E$3143, ISNUMBER(
Master_Mapping_Sh"&amp;"eet!$E$2:$E$3143),
Master_Mapping_Sheet!$H$2:$H$3143=Y$1))), 0, sum(filter(
Master_Mapping_Sheet!$E$2:$E$3143, ISNUMBER(
Master_Mapping_Sheet!$E$2:$E$3143),
Master_Mapping_Sheet!$H$2:$H$3143=Y$1,
Master_Mapping_Sheet!$B$2:$B$3143=$A44))/sum(filter(
Master"&amp;"_Mapping_Sheet!$E$2:$E$3143, ISNUMBER(
Master_Mapping_Sheet!$E$2:$E$3143),
Master_Mapping_Sheet!$H$2:$H$3143=Y$1)))"),0.0)</f>
        <v>0</v>
      </c>
      <c r="Z44" s="34">
        <f>IFERROR(__xludf.DUMMYFUNCTION("IF(ISNA(sum(filter(
Master_Mapping_Sheet!$E$2:$E$3143, ISNUMBER(
Master_Mapping_Sheet!$E$2:$E$3143),
Master_Mapping_Sheet!$H$2:$H$3143=Z$1,
Master_Mapping_Sheet!$B$2:$B$3143=$A44))/sum(filter(
Master_Mapping_Sheet!$E$2:$E$3143, ISNUMBER(
Master_Mapping_Sh"&amp;"eet!$E$2:$E$3143),
Master_Mapping_Sheet!$H$2:$H$3143=Z$1))), 0, sum(filter(
Master_Mapping_Sheet!$E$2:$E$3143, ISNUMBER(
Master_Mapping_Sheet!$E$2:$E$3143),
Master_Mapping_Sheet!$H$2:$H$3143=Z$1,
Master_Mapping_Sheet!$B$2:$B$3143=$A44))/sum(filter(
Master"&amp;"_Mapping_Sheet!$E$2:$E$3143, ISNUMBER(
Master_Mapping_Sheet!$E$2:$E$3143),
Master_Mapping_Sheet!$H$2:$H$3143=Z$1)))"),0.0)</f>
        <v>0</v>
      </c>
      <c r="AA44" s="34">
        <f>IFERROR(__xludf.DUMMYFUNCTION("IF(ISNA(sum(filter(
Master_Mapping_Sheet!$E$2:$E$3143, ISNUMBER(
Master_Mapping_Sheet!$E$2:$E$3143),
Master_Mapping_Sheet!$H$2:$H$3143=AA$1,
Master_Mapping_Sheet!$B$2:$B$3143=$A44))/sum(filter(
Master_Mapping_Sheet!$E$2:$E$3143, ISNUMBER(
Master_Mapping_S"&amp;"heet!$E$2:$E$3143),
Master_Mapping_Sheet!$H$2:$H$3143=AA$1))), 0, sum(filter(
Master_Mapping_Sheet!$E$2:$E$3143, ISNUMBER(
Master_Mapping_Sheet!$E$2:$E$3143),
Master_Mapping_Sheet!$H$2:$H$3143=AA$1,
Master_Mapping_Sheet!$B$2:$B$3143=$A44))/sum(filter(
Mas"&amp;"ter_Mapping_Sheet!$E$2:$E$3143, ISNUMBER(
Master_Mapping_Sheet!$E$2:$E$3143),
Master_Mapping_Sheet!$H$2:$H$3143=AA$1)))"),0.0)</f>
        <v>0</v>
      </c>
    </row>
    <row r="45" ht="15.75" customHeight="1">
      <c r="A45" s="34" t="s">
        <v>1159</v>
      </c>
      <c r="B45" s="34" t="s">
        <v>3524</v>
      </c>
      <c r="C45" s="34">
        <f>IFERROR(__xludf.DUMMYFUNCTION("IF(ISNA(sum(filter(
Master_Mapping_Sheet!$E$2:$E$3143, ISNUMBER(
Master_Mapping_Sheet!$E$2:$E$3143),
Master_Mapping_Sheet!$H$2:$H$3143=C$1,
Master_Mapping_Sheet!$B$2:$B$3143=$A45))/sum(filter(
Master_Mapping_Sheet!$E$2:$E$3143, ISNUMBER(
Master_Mapping_Sh"&amp;"eet!$E$2:$E$3143),
Master_Mapping_Sheet!$H$2:$H$3143=C$1))), 0, sum(filter(
Master_Mapping_Sheet!$E$2:$E$3143, ISNUMBER(
Master_Mapping_Sheet!$E$2:$E$3143),
Master_Mapping_Sheet!$H$2:$H$3143=C$1,
Master_Mapping_Sheet!$B$2:$B$3143=$A45))/sum(filter(
Master"&amp;"_Mapping_Sheet!$E$2:$E$3143, ISNUMBER(
Master_Mapping_Sheet!$E$2:$E$3143),
Master_Mapping_Sheet!$H$2:$H$3143=C$1)))"),1.0)</f>
        <v>1</v>
      </c>
      <c r="D45" s="34">
        <f>IFERROR(__xludf.DUMMYFUNCTION("IF(ISNA(sum(filter(
Master_Mapping_Sheet!$E$2:$E$3143, ISNUMBER(
Master_Mapping_Sheet!$E$2:$E$3143),
Master_Mapping_Sheet!$H$2:$H$3143=D$1,
Master_Mapping_Sheet!$B$2:$B$3143=$A45))/sum(filter(
Master_Mapping_Sheet!$E$2:$E$3143, ISNUMBER(
Master_Mapping_Sh"&amp;"eet!$E$2:$E$3143),
Master_Mapping_Sheet!$H$2:$H$3143=D$1))), 0, sum(filter(
Master_Mapping_Sheet!$E$2:$E$3143, ISNUMBER(
Master_Mapping_Sheet!$E$2:$E$3143),
Master_Mapping_Sheet!$H$2:$H$3143=D$1,
Master_Mapping_Sheet!$B$2:$B$3143=$A45))/sum(filter(
Master"&amp;"_Mapping_Sheet!$E$2:$E$3143, ISNUMBER(
Master_Mapping_Sheet!$E$2:$E$3143),
Master_Mapping_Sheet!$H$2:$H$3143=D$1)))"),0.0)</f>
        <v>0</v>
      </c>
      <c r="E45" s="32">
        <f>IFERROR(__xludf.DUMMYFUNCTION("IF(ISNA(sum(filter(
Master_Mapping_Sheet!$E$2:$E$3143, ISNUMBER(
Master_Mapping_Sheet!$E$2:$E$3143),
Master_Mapping_Sheet!$H$2:$H$3143=E$1,
Master_Mapping_Sheet!$B$2:$B$3143=$A45))/sum(filter(
Master_Mapping_Sheet!$E$2:$E$3143, ISNUMBER(
Master_Mapping_Sh"&amp;"eet!$E$2:$E$3143),
Master_Mapping_Sheet!$H$2:$H$3143=E$1))), 0, sum(filter(
Master_Mapping_Sheet!$E$2:$E$3143, ISNUMBER(
Master_Mapping_Sheet!$E$2:$E$3143),
Master_Mapping_Sheet!$H$2:$H$3143=E$1,
Master_Mapping_Sheet!$B$2:$B$3143=$A45))/sum(filter(
Master"&amp;"_Mapping_Sheet!$E$2:$E$3143, ISNUMBER(
Master_Mapping_Sheet!$E$2:$E$3143),
Master_Mapping_Sheet!$H$2:$H$3143=E$1)))"),0.0)</f>
        <v>0</v>
      </c>
      <c r="F45" s="34">
        <f>IFERROR(__xludf.DUMMYFUNCTION("IF(ISNA(sum(filter(
Master_Mapping_Sheet!$E$2:$E$3143, ISNUMBER(
Master_Mapping_Sheet!$E$2:$E$3143),
Master_Mapping_Sheet!$H$2:$H$3143=F$1,
Master_Mapping_Sheet!$B$2:$B$3143=$A45))/sum(filter(
Master_Mapping_Sheet!$E$2:$E$3143, ISNUMBER(
Master_Mapping_Sh"&amp;"eet!$E$2:$E$3143),
Master_Mapping_Sheet!$H$2:$H$3143=F$1))), 0, sum(filter(
Master_Mapping_Sheet!$E$2:$E$3143, ISNUMBER(
Master_Mapping_Sheet!$E$2:$E$3143),
Master_Mapping_Sheet!$H$2:$H$3143=F$1,
Master_Mapping_Sheet!$B$2:$B$3143=$A45))/sum(filter(
Master"&amp;"_Mapping_Sheet!$E$2:$E$3143, ISNUMBER(
Master_Mapping_Sheet!$E$2:$E$3143),
Master_Mapping_Sheet!$H$2:$H$3143=F$1)))"),0.0)</f>
        <v>0</v>
      </c>
      <c r="G45" s="34">
        <f>IFERROR(__xludf.DUMMYFUNCTION("IF(ISNA(sum(filter(
Master_Mapping_Sheet!$E$2:$E$3143, ISNUMBER(
Master_Mapping_Sheet!$E$2:$E$3143),
Master_Mapping_Sheet!$H$2:$H$3143=G$1,
Master_Mapping_Sheet!$B$2:$B$3143=$A45))/sum(filter(
Master_Mapping_Sheet!$E$2:$E$3143, ISNUMBER(
Master_Mapping_Sh"&amp;"eet!$E$2:$E$3143),
Master_Mapping_Sheet!$H$2:$H$3143=G$1))), 0, sum(filter(
Master_Mapping_Sheet!$E$2:$E$3143, ISNUMBER(
Master_Mapping_Sheet!$E$2:$E$3143),
Master_Mapping_Sheet!$H$2:$H$3143=G$1,
Master_Mapping_Sheet!$B$2:$B$3143=$A45))/sum(filter(
Master"&amp;"_Mapping_Sheet!$E$2:$E$3143, ISNUMBER(
Master_Mapping_Sheet!$E$2:$E$3143),
Master_Mapping_Sheet!$H$2:$H$3143=G$1)))"),0.0)</f>
        <v>0</v>
      </c>
      <c r="H45" s="34">
        <f>IFERROR(__xludf.DUMMYFUNCTION("IF(ISNA(sum(filter(
Master_Mapping_Sheet!$E$2:$E$3143, ISNUMBER(
Master_Mapping_Sheet!$E$2:$E$3143),
Master_Mapping_Sheet!$H$2:$H$3143=H$1,
Master_Mapping_Sheet!$B$2:$B$3143=$A45))/sum(filter(
Master_Mapping_Sheet!$E$2:$E$3143, ISNUMBER(
Master_Mapping_Sh"&amp;"eet!$E$2:$E$3143),
Master_Mapping_Sheet!$H$2:$H$3143=H$1))), 0, sum(filter(
Master_Mapping_Sheet!$E$2:$E$3143, ISNUMBER(
Master_Mapping_Sheet!$E$2:$E$3143),
Master_Mapping_Sheet!$H$2:$H$3143=H$1,
Master_Mapping_Sheet!$B$2:$B$3143=$A45))/sum(filter(
Master"&amp;"_Mapping_Sheet!$E$2:$E$3143, ISNUMBER(
Master_Mapping_Sheet!$E$2:$E$3143),
Master_Mapping_Sheet!$H$2:$H$3143=H$1)))"),0.20192942453189144)</f>
        <v>0.2019294245</v>
      </c>
      <c r="I45" s="34">
        <f>IFERROR(__xludf.DUMMYFUNCTION("IF(ISNA(sum(filter(
Master_Mapping_Sheet!$E$2:$E$3143, ISNUMBER(
Master_Mapping_Sheet!$E$2:$E$3143),
Master_Mapping_Sheet!$H$2:$H$3143=I$1,
Master_Mapping_Sheet!$B$2:$B$3143=$A45))/sum(filter(
Master_Mapping_Sheet!$E$2:$E$3143, ISNUMBER(
Master_Mapping_Sh"&amp;"eet!$E$2:$E$3143),
Master_Mapping_Sheet!$H$2:$H$3143=I$1))), 0, sum(filter(
Master_Mapping_Sheet!$E$2:$E$3143, ISNUMBER(
Master_Mapping_Sheet!$E$2:$E$3143),
Master_Mapping_Sheet!$H$2:$H$3143=I$1,
Master_Mapping_Sheet!$B$2:$B$3143=$A45))/sum(filter(
Master"&amp;"_Mapping_Sheet!$E$2:$E$3143, ISNUMBER(
Master_Mapping_Sheet!$E$2:$E$3143),
Master_Mapping_Sheet!$H$2:$H$3143=I$1)))"),0.0)</f>
        <v>0</v>
      </c>
      <c r="J45" s="34">
        <f>IFERROR(__xludf.DUMMYFUNCTION("IF(ISNA(sum(filter(
Master_Mapping_Sheet!$E$2:$E$3143, ISNUMBER(
Master_Mapping_Sheet!$E$2:$E$3143),
Master_Mapping_Sheet!$H$2:$H$3143=J$1,
Master_Mapping_Sheet!$B$2:$B$3143=$A45))/sum(filter(
Master_Mapping_Sheet!$E$2:$E$3143, ISNUMBER(
Master_Mapping_Sh"&amp;"eet!$E$2:$E$3143),
Master_Mapping_Sheet!$H$2:$H$3143=J$1))), 0, sum(filter(
Master_Mapping_Sheet!$E$2:$E$3143, ISNUMBER(
Master_Mapping_Sheet!$E$2:$E$3143),
Master_Mapping_Sheet!$H$2:$H$3143=J$1,
Master_Mapping_Sheet!$B$2:$B$3143=$A45))/sum(filter(
Master"&amp;"_Mapping_Sheet!$E$2:$E$3143, ISNUMBER(
Master_Mapping_Sheet!$E$2:$E$3143),
Master_Mapping_Sheet!$H$2:$H$3143=J$1)))"),0.0)</f>
        <v>0</v>
      </c>
      <c r="K45" s="34">
        <f>IFERROR(__xludf.DUMMYFUNCTION("IF(ISNA(sum(filter(
Master_Mapping_Sheet!$E$2:$E$3143, ISNUMBER(
Master_Mapping_Sheet!$E$2:$E$3143),
Master_Mapping_Sheet!$H$2:$H$3143=K$1,
Master_Mapping_Sheet!$B$2:$B$3143=$A45))/sum(filter(
Master_Mapping_Sheet!$E$2:$E$3143, ISNUMBER(
Master_Mapping_Sh"&amp;"eet!$E$2:$E$3143),
Master_Mapping_Sheet!$H$2:$H$3143=K$1))), 0, sum(filter(
Master_Mapping_Sheet!$E$2:$E$3143, ISNUMBER(
Master_Mapping_Sheet!$E$2:$E$3143),
Master_Mapping_Sheet!$H$2:$H$3143=K$1,
Master_Mapping_Sheet!$B$2:$B$3143=$A45))/sum(filter(
Master"&amp;"_Mapping_Sheet!$E$2:$E$3143, ISNUMBER(
Master_Mapping_Sheet!$E$2:$E$3143),
Master_Mapping_Sheet!$H$2:$H$3143=K$1)))"),0.0)</f>
        <v>0</v>
      </c>
      <c r="L45" s="34">
        <f>IFERROR(__xludf.DUMMYFUNCTION("IF(ISNA(sum(filter(
Master_Mapping_Sheet!$E$2:$E$3143, ISNUMBER(
Master_Mapping_Sheet!$E$2:$E$3143),
Master_Mapping_Sheet!$H$2:$H$3143=L$1,
Master_Mapping_Sheet!$B$2:$B$3143=$A45))/sum(filter(
Master_Mapping_Sheet!$E$2:$E$3143, ISNUMBER(
Master_Mapping_Sh"&amp;"eet!$E$2:$E$3143),
Master_Mapping_Sheet!$H$2:$H$3143=L$1))), 0, sum(filter(
Master_Mapping_Sheet!$E$2:$E$3143, ISNUMBER(
Master_Mapping_Sheet!$E$2:$E$3143),
Master_Mapping_Sheet!$H$2:$H$3143=L$1,
Master_Mapping_Sheet!$B$2:$B$3143=$A45))/sum(filter(
Master"&amp;"_Mapping_Sheet!$E$2:$E$3143, ISNUMBER(
Master_Mapping_Sheet!$E$2:$E$3143),
Master_Mapping_Sheet!$H$2:$H$3143=L$1)))"),0.0)</f>
        <v>0</v>
      </c>
      <c r="M45" s="34">
        <f>IFERROR(__xludf.DUMMYFUNCTION("IF(ISNA(sum(filter(
Master_Mapping_Sheet!$E$2:$E$3143, ISNUMBER(
Master_Mapping_Sheet!$E$2:$E$3143),
Master_Mapping_Sheet!$H$2:$H$3143=M$1,
Master_Mapping_Sheet!$B$2:$B$3143=$A45))/sum(filter(
Master_Mapping_Sheet!$E$2:$E$3143, ISNUMBER(
Master_Mapping_Sh"&amp;"eet!$E$2:$E$3143),
Master_Mapping_Sheet!$H$2:$H$3143=M$1))), 0, sum(filter(
Master_Mapping_Sheet!$E$2:$E$3143, ISNUMBER(
Master_Mapping_Sheet!$E$2:$E$3143),
Master_Mapping_Sheet!$H$2:$H$3143=M$1,
Master_Mapping_Sheet!$B$2:$B$3143=$A45))/sum(filter(
Master"&amp;"_Mapping_Sheet!$E$2:$E$3143, ISNUMBER(
Master_Mapping_Sheet!$E$2:$E$3143),
Master_Mapping_Sheet!$H$2:$H$3143=M$1)))"),0.0)</f>
        <v>0</v>
      </c>
      <c r="N45" s="34">
        <f>IFERROR(__xludf.DUMMYFUNCTION("IF(ISNA(sum(filter(
Master_Mapping_Sheet!$E$2:$E$3143, ISNUMBER(
Master_Mapping_Sheet!$E$2:$E$3143),
Master_Mapping_Sheet!$H$2:$H$3143=N$1,
Master_Mapping_Sheet!$B$2:$B$3143=$A45))/sum(filter(
Master_Mapping_Sheet!$E$2:$E$3143, ISNUMBER(
Master_Mapping_Sh"&amp;"eet!$E$2:$E$3143),
Master_Mapping_Sheet!$H$2:$H$3143=N$1))), 0, sum(filter(
Master_Mapping_Sheet!$E$2:$E$3143, ISNUMBER(
Master_Mapping_Sheet!$E$2:$E$3143),
Master_Mapping_Sheet!$H$2:$H$3143=N$1,
Master_Mapping_Sheet!$B$2:$B$3143=$A45))/sum(filter(
Master"&amp;"_Mapping_Sheet!$E$2:$E$3143, ISNUMBER(
Master_Mapping_Sheet!$E$2:$E$3143),
Master_Mapping_Sheet!$H$2:$H$3143=N$1)))"),0.0)</f>
        <v>0</v>
      </c>
      <c r="O45" s="34">
        <f>IFERROR(__xludf.DUMMYFUNCTION("IF(ISNA(sum(filter(
Master_Mapping_Sheet!$E$2:$E$3143, ISNUMBER(
Master_Mapping_Sheet!$E$2:$E$3143),
Master_Mapping_Sheet!$H$2:$H$3143=O$1,
Master_Mapping_Sheet!$B$2:$B$3143=$A45))/sum(filter(
Master_Mapping_Sheet!$E$2:$E$3143, ISNUMBER(
Master_Mapping_Sh"&amp;"eet!$E$2:$E$3143),
Master_Mapping_Sheet!$H$2:$H$3143=O$1))), 0, sum(filter(
Master_Mapping_Sheet!$E$2:$E$3143, ISNUMBER(
Master_Mapping_Sheet!$E$2:$E$3143),
Master_Mapping_Sheet!$H$2:$H$3143=O$1,
Master_Mapping_Sheet!$B$2:$B$3143=$A45))/sum(filter(
Master"&amp;"_Mapping_Sheet!$E$2:$E$3143, ISNUMBER(
Master_Mapping_Sheet!$E$2:$E$3143),
Master_Mapping_Sheet!$H$2:$H$3143=O$1)))"),0.0)</f>
        <v>0</v>
      </c>
      <c r="P45" s="34">
        <f>IFERROR(__xludf.DUMMYFUNCTION("IF(ISNA(sum(filter(
Master_Mapping_Sheet!$E$2:$E$3143, ISNUMBER(
Master_Mapping_Sheet!$E$2:$E$3143),
Master_Mapping_Sheet!$H$2:$H$3143=P$1,
Master_Mapping_Sheet!$B$2:$B$3143=$A45))/sum(filter(
Master_Mapping_Sheet!$E$2:$E$3143, ISNUMBER(
Master_Mapping_Sh"&amp;"eet!$E$2:$E$3143),
Master_Mapping_Sheet!$H$2:$H$3143=P$1))), 0, sum(filter(
Master_Mapping_Sheet!$E$2:$E$3143, ISNUMBER(
Master_Mapping_Sheet!$E$2:$E$3143),
Master_Mapping_Sheet!$H$2:$H$3143=P$1,
Master_Mapping_Sheet!$B$2:$B$3143=$A45))/sum(filter(
Master"&amp;"_Mapping_Sheet!$E$2:$E$3143, ISNUMBER(
Master_Mapping_Sheet!$E$2:$E$3143),
Master_Mapping_Sheet!$H$2:$H$3143=P$1)))"),0.0)</f>
        <v>0</v>
      </c>
      <c r="Q45" s="34">
        <f>IFERROR(__xludf.DUMMYFUNCTION("IF(ISNA(sum(filter(
Master_Mapping_Sheet!$E$2:$E$3143, ISNUMBER(
Master_Mapping_Sheet!$E$2:$E$3143),
Master_Mapping_Sheet!$H$2:$H$3143=Q$1,
Master_Mapping_Sheet!$B$2:$B$3143=$A45))/sum(filter(
Master_Mapping_Sheet!$E$2:$E$3143, ISNUMBER(
Master_Mapping_Sh"&amp;"eet!$E$2:$E$3143),
Master_Mapping_Sheet!$H$2:$H$3143=Q$1))), 0, sum(filter(
Master_Mapping_Sheet!$E$2:$E$3143, ISNUMBER(
Master_Mapping_Sheet!$E$2:$E$3143),
Master_Mapping_Sheet!$H$2:$H$3143=Q$1,
Master_Mapping_Sheet!$B$2:$B$3143=$A45))/sum(filter(
Master"&amp;"_Mapping_Sheet!$E$2:$E$3143, ISNUMBER(
Master_Mapping_Sheet!$E$2:$E$3143),
Master_Mapping_Sheet!$H$2:$H$3143=Q$1)))"),0.0)</f>
        <v>0</v>
      </c>
      <c r="R45" s="34">
        <f>IFERROR(__xludf.DUMMYFUNCTION("IF(ISNA(sum(filter(
Master_Mapping_Sheet!$E$2:$E$3143, ISNUMBER(
Master_Mapping_Sheet!$E$2:$E$3143),
Master_Mapping_Sheet!$H$2:$H$3143=R$1,
Master_Mapping_Sheet!$B$2:$B$3143=$A45))/sum(filter(
Master_Mapping_Sheet!$E$2:$E$3143, ISNUMBER(
Master_Mapping_Sh"&amp;"eet!$E$2:$E$3143),
Master_Mapping_Sheet!$H$2:$H$3143=R$1))), 0, sum(filter(
Master_Mapping_Sheet!$E$2:$E$3143, ISNUMBER(
Master_Mapping_Sheet!$E$2:$E$3143),
Master_Mapping_Sheet!$H$2:$H$3143=R$1,
Master_Mapping_Sheet!$B$2:$B$3143=$A45))/sum(filter(
Master"&amp;"_Mapping_Sheet!$E$2:$E$3143, ISNUMBER(
Master_Mapping_Sheet!$E$2:$E$3143),
Master_Mapping_Sheet!$H$2:$H$3143=R$1)))"),0.0)</f>
        <v>0</v>
      </c>
      <c r="S45" s="34">
        <f>IFERROR(__xludf.DUMMYFUNCTION("IF(ISNA(sum(filter(
Master_Mapping_Sheet!$E$2:$E$3143, ISNUMBER(
Master_Mapping_Sheet!$E$2:$E$3143),
Master_Mapping_Sheet!$H$2:$H$3143=S$1,
Master_Mapping_Sheet!$B$2:$B$3143=$A45))/sum(filter(
Master_Mapping_Sheet!$E$2:$E$3143, ISNUMBER(
Master_Mapping_Sh"&amp;"eet!$E$2:$E$3143),
Master_Mapping_Sheet!$H$2:$H$3143=S$1))), 0, sum(filter(
Master_Mapping_Sheet!$E$2:$E$3143, ISNUMBER(
Master_Mapping_Sheet!$E$2:$E$3143),
Master_Mapping_Sheet!$H$2:$H$3143=S$1,
Master_Mapping_Sheet!$B$2:$B$3143=$A45))/sum(filter(
Master"&amp;"_Mapping_Sheet!$E$2:$E$3143, ISNUMBER(
Master_Mapping_Sheet!$E$2:$E$3143),
Master_Mapping_Sheet!$H$2:$H$3143=S$1)))"),0.18933172373284526)</f>
        <v>0.1893317237</v>
      </c>
      <c r="T45" s="34">
        <f>IFERROR(__xludf.DUMMYFUNCTION("IF(ISNA(sum(filter(
Master_Mapping_Sheet!$E$2:$E$3143, ISNUMBER(
Master_Mapping_Sheet!$E$2:$E$3143),
Master_Mapping_Sheet!$H$2:$H$3143=T$1,
Master_Mapping_Sheet!$B$2:$B$3143=$A45))/sum(filter(
Master_Mapping_Sheet!$E$2:$E$3143, ISNUMBER(
Master_Mapping_Sh"&amp;"eet!$E$2:$E$3143),
Master_Mapping_Sheet!$H$2:$H$3143=T$1))), 0, sum(filter(
Master_Mapping_Sheet!$E$2:$E$3143, ISNUMBER(
Master_Mapping_Sheet!$E$2:$E$3143),
Master_Mapping_Sheet!$H$2:$H$3143=T$1,
Master_Mapping_Sheet!$B$2:$B$3143=$A45))/sum(filter(
Master"&amp;"_Mapping_Sheet!$E$2:$E$3143, ISNUMBER(
Master_Mapping_Sheet!$E$2:$E$3143),
Master_Mapping_Sheet!$H$2:$H$3143=T$1)))"),0.0)</f>
        <v>0</v>
      </c>
      <c r="U45" s="34">
        <f>IFERROR(__xludf.DUMMYFUNCTION("IF(ISNA(sum(filter(
Master_Mapping_Sheet!$E$2:$E$3143, ISNUMBER(
Master_Mapping_Sheet!$E$2:$E$3143),
Master_Mapping_Sheet!$H$2:$H$3143=U$1,
Master_Mapping_Sheet!$B$2:$B$3143=$A45))/sum(filter(
Master_Mapping_Sheet!$E$2:$E$3143, ISNUMBER(
Master_Mapping_Sh"&amp;"eet!$E$2:$E$3143),
Master_Mapping_Sheet!$H$2:$H$3143=U$1))), 0, sum(filter(
Master_Mapping_Sheet!$E$2:$E$3143, ISNUMBER(
Master_Mapping_Sheet!$E$2:$E$3143),
Master_Mapping_Sheet!$H$2:$H$3143=U$1,
Master_Mapping_Sheet!$B$2:$B$3143=$A45))/sum(filter(
Master"&amp;"_Mapping_Sheet!$E$2:$E$3143, ISNUMBER(
Master_Mapping_Sheet!$E$2:$E$3143),
Master_Mapping_Sheet!$H$2:$H$3143=U$1)))"),0.0)</f>
        <v>0</v>
      </c>
      <c r="V45" s="34">
        <f>IFERROR(__xludf.DUMMYFUNCTION("IF(ISNA(sum(filter(
Master_Mapping_Sheet!$E$2:$E$3143, ISNUMBER(
Master_Mapping_Sheet!$E$2:$E$3143),
Master_Mapping_Sheet!$H$2:$H$3143=V$1,
Master_Mapping_Sheet!$B$2:$B$3143=$A45))/sum(filter(
Master_Mapping_Sheet!$E$2:$E$3143, ISNUMBER(
Master_Mapping_Sh"&amp;"eet!$E$2:$E$3143),
Master_Mapping_Sheet!$H$2:$H$3143=V$1))), 0, sum(filter(
Master_Mapping_Sheet!$E$2:$E$3143, ISNUMBER(
Master_Mapping_Sheet!$E$2:$E$3143),
Master_Mapping_Sheet!$H$2:$H$3143=V$1,
Master_Mapping_Sheet!$B$2:$B$3143=$A45))/sum(filter(
Master"&amp;"_Mapping_Sheet!$E$2:$E$3143, ISNUMBER(
Master_Mapping_Sheet!$E$2:$E$3143),
Master_Mapping_Sheet!$H$2:$H$3143=V$1)))"),0.0855622019929123)</f>
        <v>0.08556220199</v>
      </c>
      <c r="W45" s="34">
        <f>IFERROR(__xludf.DUMMYFUNCTION("IF(ISNA(sum(filter(
Master_Mapping_Sheet!$E$2:$E$3143, ISNUMBER(
Master_Mapping_Sheet!$E$2:$E$3143),
Master_Mapping_Sheet!$H$2:$H$3143=W$1,
Master_Mapping_Sheet!$B$2:$B$3143=$A45))/sum(filter(
Master_Mapping_Sheet!$E$2:$E$3143, ISNUMBER(
Master_Mapping_Sh"&amp;"eet!$E$2:$E$3143),
Master_Mapping_Sheet!$H$2:$H$3143=W$1))), 0, sum(filter(
Master_Mapping_Sheet!$E$2:$E$3143, ISNUMBER(
Master_Mapping_Sheet!$E$2:$E$3143),
Master_Mapping_Sheet!$H$2:$H$3143=W$1,
Master_Mapping_Sheet!$B$2:$B$3143=$A45))/sum(filter(
Master"&amp;"_Mapping_Sheet!$E$2:$E$3143, ISNUMBER(
Master_Mapping_Sheet!$E$2:$E$3143),
Master_Mapping_Sheet!$H$2:$H$3143=W$1)))"),0.0)</f>
        <v>0</v>
      </c>
      <c r="X45" s="34">
        <f>IFERROR(__xludf.DUMMYFUNCTION("IF(ISNA(sum(filter(
Master_Mapping_Sheet!$E$2:$E$3143, ISNUMBER(
Master_Mapping_Sheet!$E$2:$E$3143),
Master_Mapping_Sheet!$H$2:$H$3143=X$1,
Master_Mapping_Sheet!$B$2:$B$3143=$A45))/sum(filter(
Master_Mapping_Sheet!$E$2:$E$3143, ISNUMBER(
Master_Mapping_Sh"&amp;"eet!$E$2:$E$3143),
Master_Mapping_Sheet!$H$2:$H$3143=X$1))), 0, sum(filter(
Master_Mapping_Sheet!$E$2:$E$3143, ISNUMBER(
Master_Mapping_Sheet!$E$2:$E$3143),
Master_Mapping_Sheet!$H$2:$H$3143=X$1,
Master_Mapping_Sheet!$B$2:$B$3143=$A45))/sum(filter(
Master"&amp;"_Mapping_Sheet!$E$2:$E$3143, ISNUMBER(
Master_Mapping_Sheet!$E$2:$E$3143),
Master_Mapping_Sheet!$H$2:$H$3143=X$1)))"),0.0)</f>
        <v>0</v>
      </c>
      <c r="Y45" s="34">
        <f>IFERROR(__xludf.DUMMYFUNCTION("IF(ISNA(sum(filter(
Master_Mapping_Sheet!$E$2:$E$3143, ISNUMBER(
Master_Mapping_Sheet!$E$2:$E$3143),
Master_Mapping_Sheet!$H$2:$H$3143=Y$1,
Master_Mapping_Sheet!$B$2:$B$3143=$A45))/sum(filter(
Master_Mapping_Sheet!$E$2:$E$3143, ISNUMBER(
Master_Mapping_Sh"&amp;"eet!$E$2:$E$3143),
Master_Mapping_Sheet!$H$2:$H$3143=Y$1))), 0, sum(filter(
Master_Mapping_Sheet!$E$2:$E$3143, ISNUMBER(
Master_Mapping_Sheet!$E$2:$E$3143),
Master_Mapping_Sheet!$H$2:$H$3143=Y$1,
Master_Mapping_Sheet!$B$2:$B$3143=$A45))/sum(filter(
Master"&amp;"_Mapping_Sheet!$E$2:$E$3143, ISNUMBER(
Master_Mapping_Sheet!$E$2:$E$3143),
Master_Mapping_Sheet!$H$2:$H$3143=Y$1)))"),0.0)</f>
        <v>0</v>
      </c>
      <c r="Z45" s="34">
        <f>IFERROR(__xludf.DUMMYFUNCTION("IF(ISNA(sum(filter(
Master_Mapping_Sheet!$E$2:$E$3143, ISNUMBER(
Master_Mapping_Sheet!$E$2:$E$3143),
Master_Mapping_Sheet!$H$2:$H$3143=Z$1,
Master_Mapping_Sheet!$B$2:$B$3143=$A45))/sum(filter(
Master_Mapping_Sheet!$E$2:$E$3143, ISNUMBER(
Master_Mapping_Sh"&amp;"eet!$E$2:$E$3143),
Master_Mapping_Sheet!$H$2:$H$3143=Z$1))), 0, sum(filter(
Master_Mapping_Sheet!$E$2:$E$3143, ISNUMBER(
Master_Mapping_Sheet!$E$2:$E$3143),
Master_Mapping_Sheet!$H$2:$H$3143=Z$1,
Master_Mapping_Sheet!$B$2:$B$3143=$A45))/sum(filter(
Master"&amp;"_Mapping_Sheet!$E$2:$E$3143, ISNUMBER(
Master_Mapping_Sheet!$E$2:$E$3143),
Master_Mapping_Sheet!$H$2:$H$3143=Z$1)))"),0.0)</f>
        <v>0</v>
      </c>
      <c r="AA45" s="34">
        <f>IFERROR(__xludf.DUMMYFUNCTION("IF(ISNA(sum(filter(
Master_Mapping_Sheet!$E$2:$E$3143, ISNUMBER(
Master_Mapping_Sheet!$E$2:$E$3143),
Master_Mapping_Sheet!$H$2:$H$3143=AA$1,
Master_Mapping_Sheet!$B$2:$B$3143=$A45))/sum(filter(
Master_Mapping_Sheet!$E$2:$E$3143, ISNUMBER(
Master_Mapping_S"&amp;"heet!$E$2:$E$3143),
Master_Mapping_Sheet!$H$2:$H$3143=AA$1))), 0, sum(filter(
Master_Mapping_Sheet!$E$2:$E$3143, ISNUMBER(
Master_Mapping_Sheet!$E$2:$E$3143),
Master_Mapping_Sheet!$H$2:$H$3143=AA$1,
Master_Mapping_Sheet!$B$2:$B$3143=$A45))/sum(filter(
Mas"&amp;"ter_Mapping_Sheet!$E$2:$E$3143, ISNUMBER(
Master_Mapping_Sheet!$E$2:$E$3143),
Master_Mapping_Sheet!$H$2:$H$3143=AA$1)))"),0.0)</f>
        <v>0</v>
      </c>
    </row>
    <row r="46" ht="15.75" customHeight="1">
      <c r="A46" s="34" t="s">
        <v>1802</v>
      </c>
      <c r="B46" s="34" t="s">
        <v>3687</v>
      </c>
      <c r="C46" s="34">
        <f>IFERROR(__xludf.DUMMYFUNCTION("IF(ISNA(sum(filter(
Master_Mapping_Sheet!$E$2:$E$3143, ISNUMBER(
Master_Mapping_Sheet!$E$2:$E$3143),
Master_Mapping_Sheet!$H$2:$H$3143=C$1,
Master_Mapping_Sheet!$B$2:$B$3143=$A46))/sum(filter(
Master_Mapping_Sheet!$E$2:$E$3143, ISNUMBER(
Master_Mapping_Sh"&amp;"eet!$E$2:$E$3143),
Master_Mapping_Sheet!$H$2:$H$3143=C$1))), 0, sum(filter(
Master_Mapping_Sheet!$E$2:$E$3143, ISNUMBER(
Master_Mapping_Sheet!$E$2:$E$3143),
Master_Mapping_Sheet!$H$2:$H$3143=C$1,
Master_Mapping_Sheet!$B$2:$B$3143=$A46))/sum(filter(
Master"&amp;"_Mapping_Sheet!$E$2:$E$3143, ISNUMBER(
Master_Mapping_Sheet!$E$2:$E$3143),
Master_Mapping_Sheet!$H$2:$H$3143=C$1)))"),0.0)</f>
        <v>0</v>
      </c>
      <c r="D46" s="34">
        <f>IFERROR(__xludf.DUMMYFUNCTION("IF(ISNA(sum(filter(
Master_Mapping_Sheet!$E$2:$E$3143, ISNUMBER(
Master_Mapping_Sheet!$E$2:$E$3143),
Master_Mapping_Sheet!$H$2:$H$3143=D$1,
Master_Mapping_Sheet!$B$2:$B$3143=$A46))/sum(filter(
Master_Mapping_Sheet!$E$2:$E$3143, ISNUMBER(
Master_Mapping_Sh"&amp;"eet!$E$2:$E$3143),
Master_Mapping_Sheet!$H$2:$H$3143=D$1))), 0, sum(filter(
Master_Mapping_Sheet!$E$2:$E$3143, ISNUMBER(
Master_Mapping_Sheet!$E$2:$E$3143),
Master_Mapping_Sheet!$H$2:$H$3143=D$1,
Master_Mapping_Sheet!$B$2:$B$3143=$A46))/sum(filter(
Master"&amp;"_Mapping_Sheet!$E$2:$E$3143, ISNUMBER(
Master_Mapping_Sheet!$E$2:$E$3143),
Master_Mapping_Sheet!$H$2:$H$3143=D$1)))"),0.0)</f>
        <v>0</v>
      </c>
      <c r="E46" s="32">
        <f>IFERROR(__xludf.DUMMYFUNCTION("IF(ISNA(sum(filter(
Master_Mapping_Sheet!$E$2:$E$3143, ISNUMBER(
Master_Mapping_Sheet!$E$2:$E$3143),
Master_Mapping_Sheet!$H$2:$H$3143=E$1,
Master_Mapping_Sheet!$B$2:$B$3143=$A46))/sum(filter(
Master_Mapping_Sheet!$E$2:$E$3143, ISNUMBER(
Master_Mapping_Sh"&amp;"eet!$E$2:$E$3143),
Master_Mapping_Sheet!$H$2:$H$3143=E$1))), 0, sum(filter(
Master_Mapping_Sheet!$E$2:$E$3143, ISNUMBER(
Master_Mapping_Sheet!$E$2:$E$3143),
Master_Mapping_Sheet!$H$2:$H$3143=E$1,
Master_Mapping_Sheet!$B$2:$B$3143=$A46))/sum(filter(
Master"&amp;"_Mapping_Sheet!$E$2:$E$3143, ISNUMBER(
Master_Mapping_Sheet!$E$2:$E$3143),
Master_Mapping_Sheet!$H$2:$H$3143=E$1)))"),0.0)</f>
        <v>0</v>
      </c>
      <c r="F46" s="34">
        <f>IFERROR(__xludf.DUMMYFUNCTION("IF(ISNA(sum(filter(
Master_Mapping_Sheet!$E$2:$E$3143, ISNUMBER(
Master_Mapping_Sheet!$E$2:$E$3143),
Master_Mapping_Sheet!$H$2:$H$3143=F$1,
Master_Mapping_Sheet!$B$2:$B$3143=$A46))/sum(filter(
Master_Mapping_Sheet!$E$2:$E$3143, ISNUMBER(
Master_Mapping_Sh"&amp;"eet!$E$2:$E$3143),
Master_Mapping_Sheet!$H$2:$H$3143=F$1))), 0, sum(filter(
Master_Mapping_Sheet!$E$2:$E$3143, ISNUMBER(
Master_Mapping_Sheet!$E$2:$E$3143),
Master_Mapping_Sheet!$H$2:$H$3143=F$1,
Master_Mapping_Sheet!$B$2:$B$3143=$A46))/sum(filter(
Master"&amp;"_Mapping_Sheet!$E$2:$E$3143, ISNUMBER(
Master_Mapping_Sheet!$E$2:$E$3143),
Master_Mapping_Sheet!$H$2:$H$3143=F$1)))"),0.0)</f>
        <v>0</v>
      </c>
      <c r="G46" s="34">
        <f>IFERROR(__xludf.DUMMYFUNCTION("IF(ISNA(sum(filter(
Master_Mapping_Sheet!$E$2:$E$3143, ISNUMBER(
Master_Mapping_Sheet!$E$2:$E$3143),
Master_Mapping_Sheet!$H$2:$H$3143=G$1,
Master_Mapping_Sheet!$B$2:$B$3143=$A46))/sum(filter(
Master_Mapping_Sheet!$E$2:$E$3143, ISNUMBER(
Master_Mapping_Sh"&amp;"eet!$E$2:$E$3143),
Master_Mapping_Sheet!$H$2:$H$3143=G$1))), 0, sum(filter(
Master_Mapping_Sheet!$E$2:$E$3143, ISNUMBER(
Master_Mapping_Sheet!$E$2:$E$3143),
Master_Mapping_Sheet!$H$2:$H$3143=G$1,
Master_Mapping_Sheet!$B$2:$B$3143=$A46))/sum(filter(
Master"&amp;"_Mapping_Sheet!$E$2:$E$3143, ISNUMBER(
Master_Mapping_Sheet!$E$2:$E$3143),
Master_Mapping_Sheet!$H$2:$H$3143=G$1)))"),0.0)</f>
        <v>0</v>
      </c>
      <c r="H46" s="34">
        <f>IFERROR(__xludf.DUMMYFUNCTION("IF(ISNA(sum(filter(
Master_Mapping_Sheet!$E$2:$E$3143, ISNUMBER(
Master_Mapping_Sheet!$E$2:$E$3143),
Master_Mapping_Sheet!$H$2:$H$3143=H$1,
Master_Mapping_Sheet!$B$2:$B$3143=$A46))/sum(filter(
Master_Mapping_Sheet!$E$2:$E$3143, ISNUMBER(
Master_Mapping_Sh"&amp;"eet!$E$2:$E$3143),
Master_Mapping_Sheet!$H$2:$H$3143=H$1))), 0, sum(filter(
Master_Mapping_Sheet!$E$2:$E$3143, ISNUMBER(
Master_Mapping_Sheet!$E$2:$E$3143),
Master_Mapping_Sheet!$H$2:$H$3143=H$1,
Master_Mapping_Sheet!$B$2:$B$3143=$A46))/sum(filter(
Master"&amp;"_Mapping_Sheet!$E$2:$E$3143, ISNUMBER(
Master_Mapping_Sheet!$E$2:$E$3143),
Master_Mapping_Sheet!$H$2:$H$3143=H$1)))"),0.0)</f>
        <v>0</v>
      </c>
      <c r="I46" s="34">
        <f>IFERROR(__xludf.DUMMYFUNCTION("IF(ISNA(sum(filter(
Master_Mapping_Sheet!$E$2:$E$3143, ISNUMBER(
Master_Mapping_Sheet!$E$2:$E$3143),
Master_Mapping_Sheet!$H$2:$H$3143=I$1,
Master_Mapping_Sheet!$B$2:$B$3143=$A46))/sum(filter(
Master_Mapping_Sheet!$E$2:$E$3143, ISNUMBER(
Master_Mapping_Sh"&amp;"eet!$E$2:$E$3143),
Master_Mapping_Sheet!$H$2:$H$3143=I$1))), 0, sum(filter(
Master_Mapping_Sheet!$E$2:$E$3143, ISNUMBER(
Master_Mapping_Sheet!$E$2:$E$3143),
Master_Mapping_Sheet!$H$2:$H$3143=I$1,
Master_Mapping_Sheet!$B$2:$B$3143=$A46))/sum(filter(
Master"&amp;"_Mapping_Sheet!$E$2:$E$3143, ISNUMBER(
Master_Mapping_Sheet!$E$2:$E$3143),
Master_Mapping_Sheet!$H$2:$H$3143=I$1)))"),0.0)</f>
        <v>0</v>
      </c>
      <c r="J46" s="34">
        <f>IFERROR(__xludf.DUMMYFUNCTION("IF(ISNA(sum(filter(
Master_Mapping_Sheet!$E$2:$E$3143, ISNUMBER(
Master_Mapping_Sheet!$E$2:$E$3143),
Master_Mapping_Sheet!$H$2:$H$3143=J$1,
Master_Mapping_Sheet!$B$2:$B$3143=$A46))/sum(filter(
Master_Mapping_Sheet!$E$2:$E$3143, ISNUMBER(
Master_Mapping_Sh"&amp;"eet!$E$2:$E$3143),
Master_Mapping_Sheet!$H$2:$H$3143=J$1))), 0, sum(filter(
Master_Mapping_Sheet!$E$2:$E$3143, ISNUMBER(
Master_Mapping_Sheet!$E$2:$E$3143),
Master_Mapping_Sheet!$H$2:$H$3143=J$1,
Master_Mapping_Sheet!$B$2:$B$3143=$A46))/sum(filter(
Master"&amp;"_Mapping_Sheet!$E$2:$E$3143, ISNUMBER(
Master_Mapping_Sheet!$E$2:$E$3143),
Master_Mapping_Sheet!$H$2:$H$3143=J$1)))"),0.0)</f>
        <v>0</v>
      </c>
      <c r="K46" s="34">
        <f>IFERROR(__xludf.DUMMYFUNCTION("IF(ISNA(sum(filter(
Master_Mapping_Sheet!$E$2:$E$3143, ISNUMBER(
Master_Mapping_Sheet!$E$2:$E$3143),
Master_Mapping_Sheet!$H$2:$H$3143=K$1,
Master_Mapping_Sheet!$B$2:$B$3143=$A46))/sum(filter(
Master_Mapping_Sheet!$E$2:$E$3143, ISNUMBER(
Master_Mapping_Sh"&amp;"eet!$E$2:$E$3143),
Master_Mapping_Sheet!$H$2:$H$3143=K$1))), 0, sum(filter(
Master_Mapping_Sheet!$E$2:$E$3143, ISNUMBER(
Master_Mapping_Sheet!$E$2:$E$3143),
Master_Mapping_Sheet!$H$2:$H$3143=K$1,
Master_Mapping_Sheet!$B$2:$B$3143=$A46))/sum(filter(
Master"&amp;"_Mapping_Sheet!$E$2:$E$3143, ISNUMBER(
Master_Mapping_Sheet!$E$2:$E$3143),
Master_Mapping_Sheet!$H$2:$H$3143=K$1)))"),0.0)</f>
        <v>0</v>
      </c>
      <c r="L46" s="34">
        <f>IFERROR(__xludf.DUMMYFUNCTION("IF(ISNA(sum(filter(
Master_Mapping_Sheet!$E$2:$E$3143, ISNUMBER(
Master_Mapping_Sheet!$E$2:$E$3143),
Master_Mapping_Sheet!$H$2:$H$3143=L$1,
Master_Mapping_Sheet!$B$2:$B$3143=$A46))/sum(filter(
Master_Mapping_Sheet!$E$2:$E$3143, ISNUMBER(
Master_Mapping_Sh"&amp;"eet!$E$2:$E$3143),
Master_Mapping_Sheet!$H$2:$H$3143=L$1))), 0, sum(filter(
Master_Mapping_Sheet!$E$2:$E$3143, ISNUMBER(
Master_Mapping_Sheet!$E$2:$E$3143),
Master_Mapping_Sheet!$H$2:$H$3143=L$1,
Master_Mapping_Sheet!$B$2:$B$3143=$A46))/sum(filter(
Master"&amp;"_Mapping_Sheet!$E$2:$E$3143, ISNUMBER(
Master_Mapping_Sheet!$E$2:$E$3143),
Master_Mapping_Sheet!$H$2:$H$3143=L$1)))"),0.0)</f>
        <v>0</v>
      </c>
      <c r="M46" s="34">
        <f>IFERROR(__xludf.DUMMYFUNCTION("IF(ISNA(sum(filter(
Master_Mapping_Sheet!$E$2:$E$3143, ISNUMBER(
Master_Mapping_Sheet!$E$2:$E$3143),
Master_Mapping_Sheet!$H$2:$H$3143=M$1,
Master_Mapping_Sheet!$B$2:$B$3143=$A46))/sum(filter(
Master_Mapping_Sheet!$E$2:$E$3143, ISNUMBER(
Master_Mapping_Sh"&amp;"eet!$E$2:$E$3143),
Master_Mapping_Sheet!$H$2:$H$3143=M$1))), 0, sum(filter(
Master_Mapping_Sheet!$E$2:$E$3143, ISNUMBER(
Master_Mapping_Sheet!$E$2:$E$3143),
Master_Mapping_Sheet!$H$2:$H$3143=M$1,
Master_Mapping_Sheet!$B$2:$B$3143=$A46))/sum(filter(
Master"&amp;"_Mapping_Sheet!$E$2:$E$3143, ISNUMBER(
Master_Mapping_Sheet!$E$2:$E$3143),
Master_Mapping_Sheet!$H$2:$H$3143=M$1)))"),0.0)</f>
        <v>0</v>
      </c>
      <c r="N46" s="34">
        <f>IFERROR(__xludf.DUMMYFUNCTION("IF(ISNA(sum(filter(
Master_Mapping_Sheet!$E$2:$E$3143, ISNUMBER(
Master_Mapping_Sheet!$E$2:$E$3143),
Master_Mapping_Sheet!$H$2:$H$3143=N$1,
Master_Mapping_Sheet!$B$2:$B$3143=$A46))/sum(filter(
Master_Mapping_Sheet!$E$2:$E$3143, ISNUMBER(
Master_Mapping_Sh"&amp;"eet!$E$2:$E$3143),
Master_Mapping_Sheet!$H$2:$H$3143=N$1))), 0, sum(filter(
Master_Mapping_Sheet!$E$2:$E$3143, ISNUMBER(
Master_Mapping_Sheet!$E$2:$E$3143),
Master_Mapping_Sheet!$H$2:$H$3143=N$1,
Master_Mapping_Sheet!$B$2:$B$3143=$A46))/sum(filter(
Master"&amp;"_Mapping_Sheet!$E$2:$E$3143, ISNUMBER(
Master_Mapping_Sheet!$E$2:$E$3143),
Master_Mapping_Sheet!$H$2:$H$3143=N$1)))"),0.0)</f>
        <v>0</v>
      </c>
      <c r="O46" s="34">
        <f>IFERROR(__xludf.DUMMYFUNCTION("IF(ISNA(sum(filter(
Master_Mapping_Sheet!$E$2:$E$3143, ISNUMBER(
Master_Mapping_Sheet!$E$2:$E$3143),
Master_Mapping_Sheet!$H$2:$H$3143=O$1,
Master_Mapping_Sheet!$B$2:$B$3143=$A46))/sum(filter(
Master_Mapping_Sheet!$E$2:$E$3143, ISNUMBER(
Master_Mapping_Sh"&amp;"eet!$E$2:$E$3143),
Master_Mapping_Sheet!$H$2:$H$3143=O$1))), 0, sum(filter(
Master_Mapping_Sheet!$E$2:$E$3143, ISNUMBER(
Master_Mapping_Sheet!$E$2:$E$3143),
Master_Mapping_Sheet!$H$2:$H$3143=O$1,
Master_Mapping_Sheet!$B$2:$B$3143=$A46))/sum(filter(
Master"&amp;"_Mapping_Sheet!$E$2:$E$3143, ISNUMBER(
Master_Mapping_Sheet!$E$2:$E$3143),
Master_Mapping_Sheet!$H$2:$H$3143=O$1)))"),0.0)</f>
        <v>0</v>
      </c>
      <c r="P46" s="34">
        <f>IFERROR(__xludf.DUMMYFUNCTION("IF(ISNA(sum(filter(
Master_Mapping_Sheet!$E$2:$E$3143, ISNUMBER(
Master_Mapping_Sheet!$E$2:$E$3143),
Master_Mapping_Sheet!$H$2:$H$3143=P$1,
Master_Mapping_Sheet!$B$2:$B$3143=$A46))/sum(filter(
Master_Mapping_Sheet!$E$2:$E$3143, ISNUMBER(
Master_Mapping_Sh"&amp;"eet!$E$2:$E$3143),
Master_Mapping_Sheet!$H$2:$H$3143=P$1))), 0, sum(filter(
Master_Mapping_Sheet!$E$2:$E$3143, ISNUMBER(
Master_Mapping_Sheet!$E$2:$E$3143),
Master_Mapping_Sheet!$H$2:$H$3143=P$1,
Master_Mapping_Sheet!$B$2:$B$3143=$A46))/sum(filter(
Master"&amp;"_Mapping_Sheet!$E$2:$E$3143, ISNUMBER(
Master_Mapping_Sheet!$E$2:$E$3143),
Master_Mapping_Sheet!$H$2:$H$3143=P$1)))"),0.0)</f>
        <v>0</v>
      </c>
      <c r="Q46" s="34">
        <f>IFERROR(__xludf.DUMMYFUNCTION("IF(ISNA(sum(filter(
Master_Mapping_Sheet!$E$2:$E$3143, ISNUMBER(
Master_Mapping_Sheet!$E$2:$E$3143),
Master_Mapping_Sheet!$H$2:$H$3143=Q$1,
Master_Mapping_Sheet!$B$2:$B$3143=$A46))/sum(filter(
Master_Mapping_Sheet!$E$2:$E$3143, ISNUMBER(
Master_Mapping_Sh"&amp;"eet!$E$2:$E$3143),
Master_Mapping_Sheet!$H$2:$H$3143=Q$1))), 0, sum(filter(
Master_Mapping_Sheet!$E$2:$E$3143, ISNUMBER(
Master_Mapping_Sheet!$E$2:$E$3143),
Master_Mapping_Sheet!$H$2:$H$3143=Q$1,
Master_Mapping_Sheet!$B$2:$B$3143=$A46))/sum(filter(
Master"&amp;"_Mapping_Sheet!$E$2:$E$3143, ISNUMBER(
Master_Mapping_Sheet!$E$2:$E$3143),
Master_Mapping_Sheet!$H$2:$H$3143=Q$1)))"),0.0)</f>
        <v>0</v>
      </c>
      <c r="R46" s="34">
        <f>IFERROR(__xludf.DUMMYFUNCTION("IF(ISNA(sum(filter(
Master_Mapping_Sheet!$E$2:$E$3143, ISNUMBER(
Master_Mapping_Sheet!$E$2:$E$3143),
Master_Mapping_Sheet!$H$2:$H$3143=R$1,
Master_Mapping_Sheet!$B$2:$B$3143=$A46))/sum(filter(
Master_Mapping_Sheet!$E$2:$E$3143, ISNUMBER(
Master_Mapping_Sh"&amp;"eet!$E$2:$E$3143),
Master_Mapping_Sheet!$H$2:$H$3143=R$1))), 0, sum(filter(
Master_Mapping_Sheet!$E$2:$E$3143, ISNUMBER(
Master_Mapping_Sheet!$E$2:$E$3143),
Master_Mapping_Sheet!$H$2:$H$3143=R$1,
Master_Mapping_Sheet!$B$2:$B$3143=$A46))/sum(filter(
Master"&amp;"_Mapping_Sheet!$E$2:$E$3143, ISNUMBER(
Master_Mapping_Sheet!$E$2:$E$3143),
Master_Mapping_Sheet!$H$2:$H$3143=R$1)))"),0.0)</f>
        <v>0</v>
      </c>
      <c r="S46" s="34">
        <f>IFERROR(__xludf.DUMMYFUNCTION("IF(ISNA(sum(filter(
Master_Mapping_Sheet!$E$2:$E$3143, ISNUMBER(
Master_Mapping_Sheet!$E$2:$E$3143),
Master_Mapping_Sheet!$H$2:$H$3143=S$1,
Master_Mapping_Sheet!$B$2:$B$3143=$A46))/sum(filter(
Master_Mapping_Sheet!$E$2:$E$3143, ISNUMBER(
Master_Mapping_Sh"&amp;"eet!$E$2:$E$3143),
Master_Mapping_Sheet!$H$2:$H$3143=S$1))), 0, sum(filter(
Master_Mapping_Sheet!$E$2:$E$3143, ISNUMBER(
Master_Mapping_Sheet!$E$2:$E$3143),
Master_Mapping_Sheet!$H$2:$H$3143=S$1,
Master_Mapping_Sheet!$B$2:$B$3143=$A46))/sum(filter(
Master"&amp;"_Mapping_Sheet!$E$2:$E$3143, ISNUMBER(
Master_Mapping_Sheet!$E$2:$E$3143),
Master_Mapping_Sheet!$H$2:$H$3143=S$1)))"),0.0)</f>
        <v>0</v>
      </c>
      <c r="T46" s="34">
        <f>IFERROR(__xludf.DUMMYFUNCTION("IF(ISNA(sum(filter(
Master_Mapping_Sheet!$E$2:$E$3143, ISNUMBER(
Master_Mapping_Sheet!$E$2:$E$3143),
Master_Mapping_Sheet!$H$2:$H$3143=T$1,
Master_Mapping_Sheet!$B$2:$B$3143=$A46))/sum(filter(
Master_Mapping_Sheet!$E$2:$E$3143, ISNUMBER(
Master_Mapping_Sh"&amp;"eet!$E$2:$E$3143),
Master_Mapping_Sheet!$H$2:$H$3143=T$1))), 0, sum(filter(
Master_Mapping_Sheet!$E$2:$E$3143, ISNUMBER(
Master_Mapping_Sheet!$E$2:$E$3143),
Master_Mapping_Sheet!$H$2:$H$3143=T$1,
Master_Mapping_Sheet!$B$2:$B$3143=$A46))/sum(filter(
Master"&amp;"_Mapping_Sheet!$E$2:$E$3143, ISNUMBER(
Master_Mapping_Sheet!$E$2:$E$3143),
Master_Mapping_Sheet!$H$2:$H$3143=T$1)))"),0.0)</f>
        <v>0</v>
      </c>
      <c r="U46" s="34">
        <f>IFERROR(__xludf.DUMMYFUNCTION("IF(ISNA(sum(filter(
Master_Mapping_Sheet!$E$2:$E$3143, ISNUMBER(
Master_Mapping_Sheet!$E$2:$E$3143),
Master_Mapping_Sheet!$H$2:$H$3143=U$1,
Master_Mapping_Sheet!$B$2:$B$3143=$A46))/sum(filter(
Master_Mapping_Sheet!$E$2:$E$3143, ISNUMBER(
Master_Mapping_Sh"&amp;"eet!$E$2:$E$3143),
Master_Mapping_Sheet!$H$2:$H$3143=U$1))), 0, sum(filter(
Master_Mapping_Sheet!$E$2:$E$3143, ISNUMBER(
Master_Mapping_Sheet!$E$2:$E$3143),
Master_Mapping_Sheet!$H$2:$H$3143=U$1,
Master_Mapping_Sheet!$B$2:$B$3143=$A46))/sum(filter(
Master"&amp;"_Mapping_Sheet!$E$2:$E$3143, ISNUMBER(
Master_Mapping_Sheet!$E$2:$E$3143),
Master_Mapping_Sheet!$H$2:$H$3143=U$1)))"),0.0)</f>
        <v>0</v>
      </c>
      <c r="V46" s="34">
        <f>IFERROR(__xludf.DUMMYFUNCTION("IF(ISNA(sum(filter(
Master_Mapping_Sheet!$E$2:$E$3143, ISNUMBER(
Master_Mapping_Sheet!$E$2:$E$3143),
Master_Mapping_Sheet!$H$2:$H$3143=V$1,
Master_Mapping_Sheet!$B$2:$B$3143=$A46))/sum(filter(
Master_Mapping_Sheet!$E$2:$E$3143, ISNUMBER(
Master_Mapping_Sh"&amp;"eet!$E$2:$E$3143),
Master_Mapping_Sheet!$H$2:$H$3143=V$1))), 0, sum(filter(
Master_Mapping_Sheet!$E$2:$E$3143, ISNUMBER(
Master_Mapping_Sheet!$E$2:$E$3143),
Master_Mapping_Sheet!$H$2:$H$3143=V$1,
Master_Mapping_Sheet!$B$2:$B$3143=$A46))/sum(filter(
Master"&amp;"_Mapping_Sheet!$E$2:$E$3143, ISNUMBER(
Master_Mapping_Sheet!$E$2:$E$3143),
Master_Mapping_Sheet!$H$2:$H$3143=V$1)))"),0.0)</f>
        <v>0</v>
      </c>
      <c r="W46" s="34">
        <f>IFERROR(__xludf.DUMMYFUNCTION("IF(ISNA(sum(filter(
Master_Mapping_Sheet!$E$2:$E$3143, ISNUMBER(
Master_Mapping_Sheet!$E$2:$E$3143),
Master_Mapping_Sheet!$H$2:$H$3143=W$1,
Master_Mapping_Sheet!$B$2:$B$3143=$A46))/sum(filter(
Master_Mapping_Sheet!$E$2:$E$3143, ISNUMBER(
Master_Mapping_Sh"&amp;"eet!$E$2:$E$3143),
Master_Mapping_Sheet!$H$2:$H$3143=W$1))), 0, sum(filter(
Master_Mapping_Sheet!$E$2:$E$3143, ISNUMBER(
Master_Mapping_Sheet!$E$2:$E$3143),
Master_Mapping_Sheet!$H$2:$H$3143=W$1,
Master_Mapping_Sheet!$B$2:$B$3143=$A46))/sum(filter(
Master"&amp;"_Mapping_Sheet!$E$2:$E$3143, ISNUMBER(
Master_Mapping_Sheet!$E$2:$E$3143),
Master_Mapping_Sheet!$H$2:$H$3143=W$1)))"),0.0)</f>
        <v>0</v>
      </c>
      <c r="X46" s="34">
        <f>IFERROR(__xludf.DUMMYFUNCTION("IF(ISNA(sum(filter(
Master_Mapping_Sheet!$E$2:$E$3143, ISNUMBER(
Master_Mapping_Sheet!$E$2:$E$3143),
Master_Mapping_Sheet!$H$2:$H$3143=X$1,
Master_Mapping_Sheet!$B$2:$B$3143=$A46))/sum(filter(
Master_Mapping_Sheet!$E$2:$E$3143, ISNUMBER(
Master_Mapping_Sh"&amp;"eet!$E$2:$E$3143),
Master_Mapping_Sheet!$H$2:$H$3143=X$1))), 0, sum(filter(
Master_Mapping_Sheet!$E$2:$E$3143, ISNUMBER(
Master_Mapping_Sheet!$E$2:$E$3143),
Master_Mapping_Sheet!$H$2:$H$3143=X$1,
Master_Mapping_Sheet!$B$2:$B$3143=$A46))/sum(filter(
Master"&amp;"_Mapping_Sheet!$E$2:$E$3143, ISNUMBER(
Master_Mapping_Sheet!$E$2:$E$3143),
Master_Mapping_Sheet!$H$2:$H$3143=X$1)))"),0.0)</f>
        <v>0</v>
      </c>
      <c r="Y46" s="34">
        <f>IFERROR(__xludf.DUMMYFUNCTION("IF(ISNA(sum(filter(
Master_Mapping_Sheet!$E$2:$E$3143, ISNUMBER(
Master_Mapping_Sheet!$E$2:$E$3143),
Master_Mapping_Sheet!$H$2:$H$3143=Y$1,
Master_Mapping_Sheet!$B$2:$B$3143=$A46))/sum(filter(
Master_Mapping_Sheet!$E$2:$E$3143, ISNUMBER(
Master_Mapping_Sh"&amp;"eet!$E$2:$E$3143),
Master_Mapping_Sheet!$H$2:$H$3143=Y$1))), 0, sum(filter(
Master_Mapping_Sheet!$E$2:$E$3143, ISNUMBER(
Master_Mapping_Sheet!$E$2:$E$3143),
Master_Mapping_Sheet!$H$2:$H$3143=Y$1,
Master_Mapping_Sheet!$B$2:$B$3143=$A46))/sum(filter(
Master"&amp;"_Mapping_Sheet!$E$2:$E$3143, ISNUMBER(
Master_Mapping_Sheet!$E$2:$E$3143),
Master_Mapping_Sheet!$H$2:$H$3143=Y$1)))"),0.0)</f>
        <v>0</v>
      </c>
      <c r="Z46" s="34">
        <f>IFERROR(__xludf.DUMMYFUNCTION("IF(ISNA(sum(filter(
Master_Mapping_Sheet!$E$2:$E$3143, ISNUMBER(
Master_Mapping_Sheet!$E$2:$E$3143),
Master_Mapping_Sheet!$H$2:$H$3143=Z$1,
Master_Mapping_Sheet!$B$2:$B$3143=$A46))/sum(filter(
Master_Mapping_Sheet!$E$2:$E$3143, ISNUMBER(
Master_Mapping_Sh"&amp;"eet!$E$2:$E$3143),
Master_Mapping_Sheet!$H$2:$H$3143=Z$1))), 0, sum(filter(
Master_Mapping_Sheet!$E$2:$E$3143, ISNUMBER(
Master_Mapping_Sheet!$E$2:$E$3143),
Master_Mapping_Sheet!$H$2:$H$3143=Z$1,
Master_Mapping_Sheet!$B$2:$B$3143=$A46))/sum(filter(
Master"&amp;"_Mapping_Sheet!$E$2:$E$3143, ISNUMBER(
Master_Mapping_Sheet!$E$2:$E$3143),
Master_Mapping_Sheet!$H$2:$H$3143=Z$1)))"),0.0)</f>
        <v>0</v>
      </c>
      <c r="AA46" s="34">
        <f>IFERROR(__xludf.DUMMYFUNCTION("IF(ISNA(sum(filter(
Master_Mapping_Sheet!$E$2:$E$3143, ISNUMBER(
Master_Mapping_Sheet!$E$2:$E$3143),
Master_Mapping_Sheet!$H$2:$H$3143=AA$1,
Master_Mapping_Sheet!$B$2:$B$3143=$A46))/sum(filter(
Master_Mapping_Sheet!$E$2:$E$3143, ISNUMBER(
Master_Mapping_S"&amp;"heet!$E$2:$E$3143),
Master_Mapping_Sheet!$H$2:$H$3143=AA$1))), 0, sum(filter(
Master_Mapping_Sheet!$E$2:$E$3143, ISNUMBER(
Master_Mapping_Sheet!$E$2:$E$3143),
Master_Mapping_Sheet!$H$2:$H$3143=AA$1,
Master_Mapping_Sheet!$B$2:$B$3143=$A46))/sum(filter(
Mas"&amp;"ter_Mapping_Sheet!$E$2:$E$3143, ISNUMBER(
Master_Mapping_Sheet!$E$2:$E$3143),
Master_Mapping_Sheet!$H$2:$H$3143=AA$1)))"),0.40170001204723693)</f>
        <v>0.401700012</v>
      </c>
    </row>
    <row r="47" ht="15.75" customHeight="1">
      <c r="A47" s="34" t="s">
        <v>1819</v>
      </c>
      <c r="B47" s="34" t="s">
        <v>3704</v>
      </c>
      <c r="C47" s="34">
        <f>IFERROR(__xludf.DUMMYFUNCTION("IF(ISNA(sum(filter(
Master_Mapping_Sheet!$E$2:$E$3143, ISNUMBER(
Master_Mapping_Sheet!$E$2:$E$3143),
Master_Mapping_Sheet!$H$2:$H$3143=C$1,
Master_Mapping_Sheet!$B$2:$B$3143=$A47))/sum(filter(
Master_Mapping_Sheet!$E$2:$E$3143, ISNUMBER(
Master_Mapping_Sh"&amp;"eet!$E$2:$E$3143),
Master_Mapping_Sheet!$H$2:$H$3143=C$1))), 0, sum(filter(
Master_Mapping_Sheet!$E$2:$E$3143, ISNUMBER(
Master_Mapping_Sheet!$E$2:$E$3143),
Master_Mapping_Sheet!$H$2:$H$3143=C$1,
Master_Mapping_Sheet!$B$2:$B$3143=$A47))/sum(filter(
Master"&amp;"_Mapping_Sheet!$E$2:$E$3143, ISNUMBER(
Master_Mapping_Sheet!$E$2:$E$3143),
Master_Mapping_Sheet!$H$2:$H$3143=C$1)))"),0.0)</f>
        <v>0</v>
      </c>
      <c r="D47" s="34">
        <f>IFERROR(__xludf.DUMMYFUNCTION("IF(ISNA(sum(filter(
Master_Mapping_Sheet!$E$2:$E$3143, ISNUMBER(
Master_Mapping_Sheet!$E$2:$E$3143),
Master_Mapping_Sheet!$H$2:$H$3143=D$1,
Master_Mapping_Sheet!$B$2:$B$3143=$A47))/sum(filter(
Master_Mapping_Sheet!$E$2:$E$3143, ISNUMBER(
Master_Mapping_Sh"&amp;"eet!$E$2:$E$3143),
Master_Mapping_Sheet!$H$2:$H$3143=D$1))), 0, sum(filter(
Master_Mapping_Sheet!$E$2:$E$3143, ISNUMBER(
Master_Mapping_Sheet!$E$2:$E$3143),
Master_Mapping_Sheet!$H$2:$H$3143=D$1,
Master_Mapping_Sheet!$B$2:$B$3143=$A47))/sum(filter(
Master"&amp;"_Mapping_Sheet!$E$2:$E$3143, ISNUMBER(
Master_Mapping_Sheet!$E$2:$E$3143),
Master_Mapping_Sheet!$H$2:$H$3143=D$1)))"),0.0)</f>
        <v>0</v>
      </c>
      <c r="E47" s="32">
        <f>IFERROR(__xludf.DUMMYFUNCTION("IF(ISNA(sum(filter(
Master_Mapping_Sheet!$E$2:$E$3143, ISNUMBER(
Master_Mapping_Sheet!$E$2:$E$3143),
Master_Mapping_Sheet!$H$2:$H$3143=E$1,
Master_Mapping_Sheet!$B$2:$B$3143=$A47))/sum(filter(
Master_Mapping_Sheet!$E$2:$E$3143, ISNUMBER(
Master_Mapping_Sh"&amp;"eet!$E$2:$E$3143),
Master_Mapping_Sheet!$H$2:$H$3143=E$1))), 0, sum(filter(
Master_Mapping_Sheet!$E$2:$E$3143, ISNUMBER(
Master_Mapping_Sheet!$E$2:$E$3143),
Master_Mapping_Sheet!$H$2:$H$3143=E$1,
Master_Mapping_Sheet!$B$2:$B$3143=$A47))/sum(filter(
Master"&amp;"_Mapping_Sheet!$E$2:$E$3143, ISNUMBER(
Master_Mapping_Sheet!$E$2:$E$3143),
Master_Mapping_Sheet!$H$2:$H$3143=E$1)))"),0.0)</f>
        <v>0</v>
      </c>
      <c r="F47" s="34">
        <f>IFERROR(__xludf.DUMMYFUNCTION("IF(ISNA(sum(filter(
Master_Mapping_Sheet!$E$2:$E$3143, ISNUMBER(
Master_Mapping_Sheet!$E$2:$E$3143),
Master_Mapping_Sheet!$H$2:$H$3143=F$1,
Master_Mapping_Sheet!$B$2:$B$3143=$A47))/sum(filter(
Master_Mapping_Sheet!$E$2:$E$3143, ISNUMBER(
Master_Mapping_Sh"&amp;"eet!$E$2:$E$3143),
Master_Mapping_Sheet!$H$2:$H$3143=F$1))), 0, sum(filter(
Master_Mapping_Sheet!$E$2:$E$3143, ISNUMBER(
Master_Mapping_Sheet!$E$2:$E$3143),
Master_Mapping_Sheet!$H$2:$H$3143=F$1,
Master_Mapping_Sheet!$B$2:$B$3143=$A47))/sum(filter(
Master"&amp;"_Mapping_Sheet!$E$2:$E$3143, ISNUMBER(
Master_Mapping_Sheet!$E$2:$E$3143),
Master_Mapping_Sheet!$H$2:$H$3143=F$1)))"),0.0)</f>
        <v>0</v>
      </c>
      <c r="G47" s="34">
        <f>IFERROR(__xludf.DUMMYFUNCTION("IF(ISNA(sum(filter(
Master_Mapping_Sheet!$E$2:$E$3143, ISNUMBER(
Master_Mapping_Sheet!$E$2:$E$3143),
Master_Mapping_Sheet!$H$2:$H$3143=G$1,
Master_Mapping_Sheet!$B$2:$B$3143=$A47))/sum(filter(
Master_Mapping_Sheet!$E$2:$E$3143, ISNUMBER(
Master_Mapping_Sh"&amp;"eet!$E$2:$E$3143),
Master_Mapping_Sheet!$H$2:$H$3143=G$1))), 0, sum(filter(
Master_Mapping_Sheet!$E$2:$E$3143, ISNUMBER(
Master_Mapping_Sheet!$E$2:$E$3143),
Master_Mapping_Sheet!$H$2:$H$3143=G$1,
Master_Mapping_Sheet!$B$2:$B$3143=$A47))/sum(filter(
Master"&amp;"_Mapping_Sheet!$E$2:$E$3143, ISNUMBER(
Master_Mapping_Sheet!$E$2:$E$3143),
Master_Mapping_Sheet!$H$2:$H$3143=G$1)))"),0.0)</f>
        <v>0</v>
      </c>
      <c r="H47" s="34">
        <f>IFERROR(__xludf.DUMMYFUNCTION("IF(ISNA(sum(filter(
Master_Mapping_Sheet!$E$2:$E$3143, ISNUMBER(
Master_Mapping_Sheet!$E$2:$E$3143),
Master_Mapping_Sheet!$H$2:$H$3143=H$1,
Master_Mapping_Sheet!$B$2:$B$3143=$A47))/sum(filter(
Master_Mapping_Sheet!$E$2:$E$3143, ISNUMBER(
Master_Mapping_Sh"&amp;"eet!$E$2:$E$3143),
Master_Mapping_Sheet!$H$2:$H$3143=H$1))), 0, sum(filter(
Master_Mapping_Sheet!$E$2:$E$3143, ISNUMBER(
Master_Mapping_Sheet!$E$2:$E$3143),
Master_Mapping_Sheet!$H$2:$H$3143=H$1,
Master_Mapping_Sheet!$B$2:$B$3143=$A47))/sum(filter(
Master"&amp;"_Mapping_Sheet!$E$2:$E$3143, ISNUMBER(
Master_Mapping_Sheet!$E$2:$E$3143),
Master_Mapping_Sheet!$H$2:$H$3143=H$1)))"),0.0)</f>
        <v>0</v>
      </c>
      <c r="I47" s="34">
        <f>IFERROR(__xludf.DUMMYFUNCTION("IF(ISNA(sum(filter(
Master_Mapping_Sheet!$E$2:$E$3143, ISNUMBER(
Master_Mapping_Sheet!$E$2:$E$3143),
Master_Mapping_Sheet!$H$2:$H$3143=I$1,
Master_Mapping_Sheet!$B$2:$B$3143=$A47))/sum(filter(
Master_Mapping_Sheet!$E$2:$E$3143, ISNUMBER(
Master_Mapping_Sh"&amp;"eet!$E$2:$E$3143),
Master_Mapping_Sheet!$H$2:$H$3143=I$1))), 0, sum(filter(
Master_Mapping_Sheet!$E$2:$E$3143, ISNUMBER(
Master_Mapping_Sheet!$E$2:$E$3143),
Master_Mapping_Sheet!$H$2:$H$3143=I$1,
Master_Mapping_Sheet!$B$2:$B$3143=$A47))/sum(filter(
Master"&amp;"_Mapping_Sheet!$E$2:$E$3143, ISNUMBER(
Master_Mapping_Sheet!$E$2:$E$3143),
Master_Mapping_Sheet!$H$2:$H$3143=I$1)))"),0.042741002518723745)</f>
        <v>0.04274100252</v>
      </c>
      <c r="J47" s="34">
        <f>IFERROR(__xludf.DUMMYFUNCTION("IF(ISNA(sum(filter(
Master_Mapping_Sheet!$E$2:$E$3143, ISNUMBER(
Master_Mapping_Sheet!$E$2:$E$3143),
Master_Mapping_Sheet!$H$2:$H$3143=J$1,
Master_Mapping_Sheet!$B$2:$B$3143=$A47))/sum(filter(
Master_Mapping_Sheet!$E$2:$E$3143, ISNUMBER(
Master_Mapping_Sh"&amp;"eet!$E$2:$E$3143),
Master_Mapping_Sheet!$H$2:$H$3143=J$1))), 0, sum(filter(
Master_Mapping_Sheet!$E$2:$E$3143, ISNUMBER(
Master_Mapping_Sheet!$E$2:$E$3143),
Master_Mapping_Sheet!$H$2:$H$3143=J$1,
Master_Mapping_Sheet!$B$2:$B$3143=$A47))/sum(filter(
Master"&amp;"_Mapping_Sheet!$E$2:$E$3143, ISNUMBER(
Master_Mapping_Sheet!$E$2:$E$3143),
Master_Mapping_Sheet!$H$2:$H$3143=J$1)))"),0.0)</f>
        <v>0</v>
      </c>
      <c r="K47" s="34">
        <f>IFERROR(__xludf.DUMMYFUNCTION("IF(ISNA(sum(filter(
Master_Mapping_Sheet!$E$2:$E$3143, ISNUMBER(
Master_Mapping_Sheet!$E$2:$E$3143),
Master_Mapping_Sheet!$H$2:$H$3143=K$1,
Master_Mapping_Sheet!$B$2:$B$3143=$A47))/sum(filter(
Master_Mapping_Sheet!$E$2:$E$3143, ISNUMBER(
Master_Mapping_Sh"&amp;"eet!$E$2:$E$3143),
Master_Mapping_Sheet!$H$2:$H$3143=K$1))), 0, sum(filter(
Master_Mapping_Sheet!$E$2:$E$3143, ISNUMBER(
Master_Mapping_Sheet!$E$2:$E$3143),
Master_Mapping_Sheet!$H$2:$H$3143=K$1,
Master_Mapping_Sheet!$B$2:$B$3143=$A47))/sum(filter(
Master"&amp;"_Mapping_Sheet!$E$2:$E$3143, ISNUMBER(
Master_Mapping_Sheet!$E$2:$E$3143),
Master_Mapping_Sheet!$H$2:$H$3143=K$1)))"),0.0)</f>
        <v>0</v>
      </c>
      <c r="L47" s="34">
        <f>IFERROR(__xludf.DUMMYFUNCTION("IF(ISNA(sum(filter(
Master_Mapping_Sheet!$E$2:$E$3143, ISNUMBER(
Master_Mapping_Sheet!$E$2:$E$3143),
Master_Mapping_Sheet!$H$2:$H$3143=L$1,
Master_Mapping_Sheet!$B$2:$B$3143=$A47))/sum(filter(
Master_Mapping_Sheet!$E$2:$E$3143, ISNUMBER(
Master_Mapping_Sh"&amp;"eet!$E$2:$E$3143),
Master_Mapping_Sheet!$H$2:$H$3143=L$1))), 0, sum(filter(
Master_Mapping_Sheet!$E$2:$E$3143, ISNUMBER(
Master_Mapping_Sheet!$E$2:$E$3143),
Master_Mapping_Sheet!$H$2:$H$3143=L$1,
Master_Mapping_Sheet!$B$2:$B$3143=$A47))/sum(filter(
Master"&amp;"_Mapping_Sheet!$E$2:$E$3143, ISNUMBER(
Master_Mapping_Sheet!$E$2:$E$3143),
Master_Mapping_Sheet!$H$2:$H$3143=L$1)))"),0.0)</f>
        <v>0</v>
      </c>
      <c r="M47" s="34">
        <f>IFERROR(__xludf.DUMMYFUNCTION("IF(ISNA(sum(filter(
Master_Mapping_Sheet!$E$2:$E$3143, ISNUMBER(
Master_Mapping_Sheet!$E$2:$E$3143),
Master_Mapping_Sheet!$H$2:$H$3143=M$1,
Master_Mapping_Sheet!$B$2:$B$3143=$A47))/sum(filter(
Master_Mapping_Sheet!$E$2:$E$3143, ISNUMBER(
Master_Mapping_Sh"&amp;"eet!$E$2:$E$3143),
Master_Mapping_Sheet!$H$2:$H$3143=M$1))), 0, sum(filter(
Master_Mapping_Sheet!$E$2:$E$3143, ISNUMBER(
Master_Mapping_Sheet!$E$2:$E$3143),
Master_Mapping_Sheet!$H$2:$H$3143=M$1,
Master_Mapping_Sheet!$B$2:$B$3143=$A47))/sum(filter(
Master"&amp;"_Mapping_Sheet!$E$2:$E$3143, ISNUMBER(
Master_Mapping_Sheet!$E$2:$E$3143),
Master_Mapping_Sheet!$H$2:$H$3143=M$1)))"),0.0)</f>
        <v>0</v>
      </c>
      <c r="N47" s="34">
        <f>IFERROR(__xludf.DUMMYFUNCTION("IF(ISNA(sum(filter(
Master_Mapping_Sheet!$E$2:$E$3143, ISNUMBER(
Master_Mapping_Sheet!$E$2:$E$3143),
Master_Mapping_Sheet!$H$2:$H$3143=N$1,
Master_Mapping_Sheet!$B$2:$B$3143=$A47))/sum(filter(
Master_Mapping_Sheet!$E$2:$E$3143, ISNUMBER(
Master_Mapping_Sh"&amp;"eet!$E$2:$E$3143),
Master_Mapping_Sheet!$H$2:$H$3143=N$1))), 0, sum(filter(
Master_Mapping_Sheet!$E$2:$E$3143, ISNUMBER(
Master_Mapping_Sheet!$E$2:$E$3143),
Master_Mapping_Sheet!$H$2:$H$3143=N$1,
Master_Mapping_Sheet!$B$2:$B$3143=$A47))/sum(filter(
Master"&amp;"_Mapping_Sheet!$E$2:$E$3143, ISNUMBER(
Master_Mapping_Sheet!$E$2:$E$3143),
Master_Mapping_Sheet!$H$2:$H$3143=N$1)))"),0.0)</f>
        <v>0</v>
      </c>
      <c r="O47" s="34">
        <f>IFERROR(__xludf.DUMMYFUNCTION("IF(ISNA(sum(filter(
Master_Mapping_Sheet!$E$2:$E$3143, ISNUMBER(
Master_Mapping_Sheet!$E$2:$E$3143),
Master_Mapping_Sheet!$H$2:$H$3143=O$1,
Master_Mapping_Sheet!$B$2:$B$3143=$A47))/sum(filter(
Master_Mapping_Sheet!$E$2:$E$3143, ISNUMBER(
Master_Mapping_Sh"&amp;"eet!$E$2:$E$3143),
Master_Mapping_Sheet!$H$2:$H$3143=O$1))), 0, sum(filter(
Master_Mapping_Sheet!$E$2:$E$3143, ISNUMBER(
Master_Mapping_Sheet!$E$2:$E$3143),
Master_Mapping_Sheet!$H$2:$H$3143=O$1,
Master_Mapping_Sheet!$B$2:$B$3143=$A47))/sum(filter(
Master"&amp;"_Mapping_Sheet!$E$2:$E$3143, ISNUMBER(
Master_Mapping_Sheet!$E$2:$E$3143),
Master_Mapping_Sheet!$H$2:$H$3143=O$1)))"),0.0)</f>
        <v>0</v>
      </c>
      <c r="P47" s="34">
        <f>IFERROR(__xludf.DUMMYFUNCTION("IF(ISNA(sum(filter(
Master_Mapping_Sheet!$E$2:$E$3143, ISNUMBER(
Master_Mapping_Sheet!$E$2:$E$3143),
Master_Mapping_Sheet!$H$2:$H$3143=P$1,
Master_Mapping_Sheet!$B$2:$B$3143=$A47))/sum(filter(
Master_Mapping_Sheet!$E$2:$E$3143, ISNUMBER(
Master_Mapping_Sh"&amp;"eet!$E$2:$E$3143),
Master_Mapping_Sheet!$H$2:$H$3143=P$1))), 0, sum(filter(
Master_Mapping_Sheet!$E$2:$E$3143, ISNUMBER(
Master_Mapping_Sheet!$E$2:$E$3143),
Master_Mapping_Sheet!$H$2:$H$3143=P$1,
Master_Mapping_Sheet!$B$2:$B$3143=$A47))/sum(filter(
Master"&amp;"_Mapping_Sheet!$E$2:$E$3143, ISNUMBER(
Master_Mapping_Sheet!$E$2:$E$3143),
Master_Mapping_Sheet!$H$2:$H$3143=P$1)))"),0.0)</f>
        <v>0</v>
      </c>
      <c r="Q47" s="34">
        <f>IFERROR(__xludf.DUMMYFUNCTION("IF(ISNA(sum(filter(
Master_Mapping_Sheet!$E$2:$E$3143, ISNUMBER(
Master_Mapping_Sheet!$E$2:$E$3143),
Master_Mapping_Sheet!$H$2:$H$3143=Q$1,
Master_Mapping_Sheet!$B$2:$B$3143=$A47))/sum(filter(
Master_Mapping_Sheet!$E$2:$E$3143, ISNUMBER(
Master_Mapping_Sh"&amp;"eet!$E$2:$E$3143),
Master_Mapping_Sheet!$H$2:$H$3143=Q$1))), 0, sum(filter(
Master_Mapping_Sheet!$E$2:$E$3143, ISNUMBER(
Master_Mapping_Sheet!$E$2:$E$3143),
Master_Mapping_Sheet!$H$2:$H$3143=Q$1,
Master_Mapping_Sheet!$B$2:$B$3143=$A47))/sum(filter(
Master"&amp;"_Mapping_Sheet!$E$2:$E$3143, ISNUMBER(
Master_Mapping_Sheet!$E$2:$E$3143),
Master_Mapping_Sheet!$H$2:$H$3143=Q$1)))"),0.0)</f>
        <v>0</v>
      </c>
      <c r="R47" s="34">
        <f>IFERROR(__xludf.DUMMYFUNCTION("IF(ISNA(sum(filter(
Master_Mapping_Sheet!$E$2:$E$3143, ISNUMBER(
Master_Mapping_Sheet!$E$2:$E$3143),
Master_Mapping_Sheet!$H$2:$H$3143=R$1,
Master_Mapping_Sheet!$B$2:$B$3143=$A47))/sum(filter(
Master_Mapping_Sheet!$E$2:$E$3143, ISNUMBER(
Master_Mapping_Sh"&amp;"eet!$E$2:$E$3143),
Master_Mapping_Sheet!$H$2:$H$3143=R$1))), 0, sum(filter(
Master_Mapping_Sheet!$E$2:$E$3143, ISNUMBER(
Master_Mapping_Sheet!$E$2:$E$3143),
Master_Mapping_Sheet!$H$2:$H$3143=R$1,
Master_Mapping_Sheet!$B$2:$B$3143=$A47))/sum(filter(
Master"&amp;"_Mapping_Sheet!$E$2:$E$3143, ISNUMBER(
Master_Mapping_Sheet!$E$2:$E$3143),
Master_Mapping_Sheet!$H$2:$H$3143=R$1)))"),0.0)</f>
        <v>0</v>
      </c>
      <c r="S47" s="34">
        <f>IFERROR(__xludf.DUMMYFUNCTION("IF(ISNA(sum(filter(
Master_Mapping_Sheet!$E$2:$E$3143, ISNUMBER(
Master_Mapping_Sheet!$E$2:$E$3143),
Master_Mapping_Sheet!$H$2:$H$3143=S$1,
Master_Mapping_Sheet!$B$2:$B$3143=$A47))/sum(filter(
Master_Mapping_Sheet!$E$2:$E$3143, ISNUMBER(
Master_Mapping_Sh"&amp;"eet!$E$2:$E$3143),
Master_Mapping_Sheet!$H$2:$H$3143=S$1))), 0, sum(filter(
Master_Mapping_Sheet!$E$2:$E$3143, ISNUMBER(
Master_Mapping_Sheet!$E$2:$E$3143),
Master_Mapping_Sheet!$H$2:$H$3143=S$1,
Master_Mapping_Sheet!$B$2:$B$3143=$A47))/sum(filter(
Master"&amp;"_Mapping_Sheet!$E$2:$E$3143, ISNUMBER(
Master_Mapping_Sheet!$E$2:$E$3143),
Master_Mapping_Sheet!$H$2:$H$3143=S$1)))"),0.0)</f>
        <v>0</v>
      </c>
      <c r="T47" s="34">
        <f>IFERROR(__xludf.DUMMYFUNCTION("IF(ISNA(sum(filter(
Master_Mapping_Sheet!$E$2:$E$3143, ISNUMBER(
Master_Mapping_Sheet!$E$2:$E$3143),
Master_Mapping_Sheet!$H$2:$H$3143=T$1,
Master_Mapping_Sheet!$B$2:$B$3143=$A47))/sum(filter(
Master_Mapping_Sheet!$E$2:$E$3143, ISNUMBER(
Master_Mapping_Sh"&amp;"eet!$E$2:$E$3143),
Master_Mapping_Sheet!$H$2:$H$3143=T$1))), 0, sum(filter(
Master_Mapping_Sheet!$E$2:$E$3143, ISNUMBER(
Master_Mapping_Sheet!$E$2:$E$3143),
Master_Mapping_Sheet!$H$2:$H$3143=T$1,
Master_Mapping_Sheet!$B$2:$B$3143=$A47))/sum(filter(
Master"&amp;"_Mapping_Sheet!$E$2:$E$3143, ISNUMBER(
Master_Mapping_Sheet!$E$2:$E$3143),
Master_Mapping_Sheet!$H$2:$H$3143=T$1)))"),0.0)</f>
        <v>0</v>
      </c>
      <c r="U47" s="34">
        <f>IFERROR(__xludf.DUMMYFUNCTION("IF(ISNA(sum(filter(
Master_Mapping_Sheet!$E$2:$E$3143, ISNUMBER(
Master_Mapping_Sheet!$E$2:$E$3143),
Master_Mapping_Sheet!$H$2:$H$3143=U$1,
Master_Mapping_Sheet!$B$2:$B$3143=$A47))/sum(filter(
Master_Mapping_Sheet!$E$2:$E$3143, ISNUMBER(
Master_Mapping_Sh"&amp;"eet!$E$2:$E$3143),
Master_Mapping_Sheet!$H$2:$H$3143=U$1))), 0, sum(filter(
Master_Mapping_Sheet!$E$2:$E$3143, ISNUMBER(
Master_Mapping_Sheet!$E$2:$E$3143),
Master_Mapping_Sheet!$H$2:$H$3143=U$1,
Master_Mapping_Sheet!$B$2:$B$3143=$A47))/sum(filter(
Master"&amp;"_Mapping_Sheet!$E$2:$E$3143, ISNUMBER(
Master_Mapping_Sheet!$E$2:$E$3143),
Master_Mapping_Sheet!$H$2:$H$3143=U$1)))"),0.0)</f>
        <v>0</v>
      </c>
      <c r="V47" s="34">
        <f>IFERROR(__xludf.DUMMYFUNCTION("IF(ISNA(sum(filter(
Master_Mapping_Sheet!$E$2:$E$3143, ISNUMBER(
Master_Mapping_Sheet!$E$2:$E$3143),
Master_Mapping_Sheet!$H$2:$H$3143=V$1,
Master_Mapping_Sheet!$B$2:$B$3143=$A47))/sum(filter(
Master_Mapping_Sheet!$E$2:$E$3143, ISNUMBER(
Master_Mapping_Sh"&amp;"eet!$E$2:$E$3143),
Master_Mapping_Sheet!$H$2:$H$3143=V$1))), 0, sum(filter(
Master_Mapping_Sheet!$E$2:$E$3143, ISNUMBER(
Master_Mapping_Sheet!$E$2:$E$3143),
Master_Mapping_Sheet!$H$2:$H$3143=V$1,
Master_Mapping_Sheet!$B$2:$B$3143=$A47))/sum(filter(
Master"&amp;"_Mapping_Sheet!$E$2:$E$3143, ISNUMBER(
Master_Mapping_Sheet!$E$2:$E$3143),
Master_Mapping_Sheet!$H$2:$H$3143=V$1)))"),0.0)</f>
        <v>0</v>
      </c>
      <c r="W47" s="34">
        <f>IFERROR(__xludf.DUMMYFUNCTION("IF(ISNA(sum(filter(
Master_Mapping_Sheet!$E$2:$E$3143, ISNUMBER(
Master_Mapping_Sheet!$E$2:$E$3143),
Master_Mapping_Sheet!$H$2:$H$3143=W$1,
Master_Mapping_Sheet!$B$2:$B$3143=$A47))/sum(filter(
Master_Mapping_Sheet!$E$2:$E$3143, ISNUMBER(
Master_Mapping_Sh"&amp;"eet!$E$2:$E$3143),
Master_Mapping_Sheet!$H$2:$H$3143=W$1))), 0, sum(filter(
Master_Mapping_Sheet!$E$2:$E$3143, ISNUMBER(
Master_Mapping_Sheet!$E$2:$E$3143),
Master_Mapping_Sheet!$H$2:$H$3143=W$1,
Master_Mapping_Sheet!$B$2:$B$3143=$A47))/sum(filter(
Master"&amp;"_Mapping_Sheet!$E$2:$E$3143, ISNUMBER(
Master_Mapping_Sheet!$E$2:$E$3143),
Master_Mapping_Sheet!$H$2:$H$3143=W$1)))"),0.0)</f>
        <v>0</v>
      </c>
      <c r="X47" s="34">
        <f>IFERROR(__xludf.DUMMYFUNCTION("IF(ISNA(sum(filter(
Master_Mapping_Sheet!$E$2:$E$3143, ISNUMBER(
Master_Mapping_Sheet!$E$2:$E$3143),
Master_Mapping_Sheet!$H$2:$H$3143=X$1,
Master_Mapping_Sheet!$B$2:$B$3143=$A47))/sum(filter(
Master_Mapping_Sheet!$E$2:$E$3143, ISNUMBER(
Master_Mapping_Sh"&amp;"eet!$E$2:$E$3143),
Master_Mapping_Sheet!$H$2:$H$3143=X$1))), 0, sum(filter(
Master_Mapping_Sheet!$E$2:$E$3143, ISNUMBER(
Master_Mapping_Sheet!$E$2:$E$3143),
Master_Mapping_Sheet!$H$2:$H$3143=X$1,
Master_Mapping_Sheet!$B$2:$B$3143=$A47))/sum(filter(
Master"&amp;"_Mapping_Sheet!$E$2:$E$3143, ISNUMBER(
Master_Mapping_Sheet!$E$2:$E$3143),
Master_Mapping_Sheet!$H$2:$H$3143=X$1)))"),0.0)</f>
        <v>0</v>
      </c>
      <c r="Y47" s="34">
        <f>IFERROR(__xludf.DUMMYFUNCTION("IF(ISNA(sum(filter(
Master_Mapping_Sheet!$E$2:$E$3143, ISNUMBER(
Master_Mapping_Sheet!$E$2:$E$3143),
Master_Mapping_Sheet!$H$2:$H$3143=Y$1,
Master_Mapping_Sheet!$B$2:$B$3143=$A47))/sum(filter(
Master_Mapping_Sheet!$E$2:$E$3143, ISNUMBER(
Master_Mapping_Sh"&amp;"eet!$E$2:$E$3143),
Master_Mapping_Sheet!$H$2:$H$3143=Y$1))), 0, sum(filter(
Master_Mapping_Sheet!$E$2:$E$3143, ISNUMBER(
Master_Mapping_Sheet!$E$2:$E$3143),
Master_Mapping_Sheet!$H$2:$H$3143=Y$1,
Master_Mapping_Sheet!$B$2:$B$3143=$A47))/sum(filter(
Master"&amp;"_Mapping_Sheet!$E$2:$E$3143, ISNUMBER(
Master_Mapping_Sheet!$E$2:$E$3143),
Master_Mapping_Sheet!$H$2:$H$3143=Y$1)))"),0.0)</f>
        <v>0</v>
      </c>
      <c r="Z47" s="34">
        <f>IFERROR(__xludf.DUMMYFUNCTION("IF(ISNA(sum(filter(
Master_Mapping_Sheet!$E$2:$E$3143, ISNUMBER(
Master_Mapping_Sheet!$E$2:$E$3143),
Master_Mapping_Sheet!$H$2:$H$3143=Z$1,
Master_Mapping_Sheet!$B$2:$B$3143=$A47))/sum(filter(
Master_Mapping_Sheet!$E$2:$E$3143, ISNUMBER(
Master_Mapping_Sh"&amp;"eet!$E$2:$E$3143),
Master_Mapping_Sheet!$H$2:$H$3143=Z$1))), 0, sum(filter(
Master_Mapping_Sheet!$E$2:$E$3143, ISNUMBER(
Master_Mapping_Sheet!$E$2:$E$3143),
Master_Mapping_Sheet!$H$2:$H$3143=Z$1,
Master_Mapping_Sheet!$B$2:$B$3143=$A47))/sum(filter(
Master"&amp;"_Mapping_Sheet!$E$2:$E$3143, ISNUMBER(
Master_Mapping_Sheet!$E$2:$E$3143),
Master_Mapping_Sheet!$H$2:$H$3143=Z$1)))"),0.0)</f>
        <v>0</v>
      </c>
      <c r="AA47" s="34">
        <f>IFERROR(__xludf.DUMMYFUNCTION("IF(ISNA(sum(filter(
Master_Mapping_Sheet!$E$2:$E$3143, ISNUMBER(
Master_Mapping_Sheet!$E$2:$E$3143),
Master_Mapping_Sheet!$H$2:$H$3143=AA$1,
Master_Mapping_Sheet!$B$2:$B$3143=$A47))/sum(filter(
Master_Mapping_Sheet!$E$2:$E$3143, ISNUMBER(
Master_Mapping_S"&amp;"heet!$E$2:$E$3143),
Master_Mapping_Sheet!$H$2:$H$3143=AA$1))), 0, sum(filter(
Master_Mapping_Sheet!$E$2:$E$3143, ISNUMBER(
Master_Mapping_Sheet!$E$2:$E$3143),
Master_Mapping_Sheet!$H$2:$H$3143=AA$1,
Master_Mapping_Sheet!$B$2:$B$3143=$A47))/sum(filter(
Mas"&amp;"ter_Mapping_Sheet!$E$2:$E$3143, ISNUMBER(
Master_Mapping_Sheet!$E$2:$E$3143),
Master_Mapping_Sheet!$H$2:$H$3143=AA$1)))"),0.0)</f>
        <v>0</v>
      </c>
    </row>
    <row r="48" ht="15.75" customHeight="1">
      <c r="A48" s="34" t="s">
        <v>1828</v>
      </c>
      <c r="B48" s="34" t="s">
        <v>3713</v>
      </c>
      <c r="C48" s="34">
        <f>IFERROR(__xludf.DUMMYFUNCTION("IF(ISNA(sum(filter(
Master_Mapping_Sheet!$E$2:$E$3143, ISNUMBER(
Master_Mapping_Sheet!$E$2:$E$3143),
Master_Mapping_Sheet!$H$2:$H$3143=C$1,
Master_Mapping_Sheet!$B$2:$B$3143=$A48))/sum(filter(
Master_Mapping_Sheet!$E$2:$E$3143, ISNUMBER(
Master_Mapping_Sh"&amp;"eet!$E$2:$E$3143),
Master_Mapping_Sheet!$H$2:$H$3143=C$1))), 0, sum(filter(
Master_Mapping_Sheet!$E$2:$E$3143, ISNUMBER(
Master_Mapping_Sheet!$E$2:$E$3143),
Master_Mapping_Sheet!$H$2:$H$3143=C$1,
Master_Mapping_Sheet!$B$2:$B$3143=$A48))/sum(filter(
Master"&amp;"_Mapping_Sheet!$E$2:$E$3143, ISNUMBER(
Master_Mapping_Sheet!$E$2:$E$3143),
Master_Mapping_Sheet!$H$2:$H$3143=C$1)))"),0.0)</f>
        <v>0</v>
      </c>
      <c r="D48" s="34">
        <f>IFERROR(__xludf.DUMMYFUNCTION("IF(ISNA(sum(filter(
Master_Mapping_Sheet!$E$2:$E$3143, ISNUMBER(
Master_Mapping_Sheet!$E$2:$E$3143),
Master_Mapping_Sheet!$H$2:$H$3143=D$1,
Master_Mapping_Sheet!$B$2:$B$3143=$A48))/sum(filter(
Master_Mapping_Sheet!$E$2:$E$3143, ISNUMBER(
Master_Mapping_Sh"&amp;"eet!$E$2:$E$3143),
Master_Mapping_Sheet!$H$2:$H$3143=D$1))), 0, sum(filter(
Master_Mapping_Sheet!$E$2:$E$3143, ISNUMBER(
Master_Mapping_Sheet!$E$2:$E$3143),
Master_Mapping_Sheet!$H$2:$H$3143=D$1,
Master_Mapping_Sheet!$B$2:$B$3143=$A48))/sum(filter(
Master"&amp;"_Mapping_Sheet!$E$2:$E$3143, ISNUMBER(
Master_Mapping_Sheet!$E$2:$E$3143),
Master_Mapping_Sheet!$H$2:$H$3143=D$1)))"),0.0)</f>
        <v>0</v>
      </c>
      <c r="E48" s="32">
        <f>IFERROR(__xludf.DUMMYFUNCTION("IF(ISNA(sum(filter(
Master_Mapping_Sheet!$E$2:$E$3143, ISNUMBER(
Master_Mapping_Sheet!$E$2:$E$3143),
Master_Mapping_Sheet!$H$2:$H$3143=E$1,
Master_Mapping_Sheet!$B$2:$B$3143=$A48))/sum(filter(
Master_Mapping_Sheet!$E$2:$E$3143, ISNUMBER(
Master_Mapping_Sh"&amp;"eet!$E$2:$E$3143),
Master_Mapping_Sheet!$H$2:$H$3143=E$1))), 0, sum(filter(
Master_Mapping_Sheet!$E$2:$E$3143, ISNUMBER(
Master_Mapping_Sheet!$E$2:$E$3143),
Master_Mapping_Sheet!$H$2:$H$3143=E$1,
Master_Mapping_Sheet!$B$2:$B$3143=$A48))/sum(filter(
Master"&amp;"_Mapping_Sheet!$E$2:$E$3143, ISNUMBER(
Master_Mapping_Sheet!$E$2:$E$3143),
Master_Mapping_Sheet!$H$2:$H$3143=E$1)))"),0.0)</f>
        <v>0</v>
      </c>
      <c r="F48" s="34">
        <f>IFERROR(__xludf.DUMMYFUNCTION("IF(ISNA(sum(filter(
Master_Mapping_Sheet!$E$2:$E$3143, ISNUMBER(
Master_Mapping_Sheet!$E$2:$E$3143),
Master_Mapping_Sheet!$H$2:$H$3143=F$1,
Master_Mapping_Sheet!$B$2:$B$3143=$A48))/sum(filter(
Master_Mapping_Sheet!$E$2:$E$3143, ISNUMBER(
Master_Mapping_Sh"&amp;"eet!$E$2:$E$3143),
Master_Mapping_Sheet!$H$2:$H$3143=F$1))), 0, sum(filter(
Master_Mapping_Sheet!$E$2:$E$3143, ISNUMBER(
Master_Mapping_Sheet!$E$2:$E$3143),
Master_Mapping_Sheet!$H$2:$H$3143=F$1,
Master_Mapping_Sheet!$B$2:$B$3143=$A48))/sum(filter(
Master"&amp;"_Mapping_Sheet!$E$2:$E$3143, ISNUMBER(
Master_Mapping_Sheet!$E$2:$E$3143),
Master_Mapping_Sheet!$H$2:$H$3143=F$1)))"),0.0)</f>
        <v>0</v>
      </c>
      <c r="G48" s="34">
        <f>IFERROR(__xludf.DUMMYFUNCTION("IF(ISNA(sum(filter(
Master_Mapping_Sheet!$E$2:$E$3143, ISNUMBER(
Master_Mapping_Sheet!$E$2:$E$3143),
Master_Mapping_Sheet!$H$2:$H$3143=G$1,
Master_Mapping_Sheet!$B$2:$B$3143=$A48))/sum(filter(
Master_Mapping_Sheet!$E$2:$E$3143, ISNUMBER(
Master_Mapping_Sh"&amp;"eet!$E$2:$E$3143),
Master_Mapping_Sheet!$H$2:$H$3143=G$1))), 0, sum(filter(
Master_Mapping_Sheet!$E$2:$E$3143, ISNUMBER(
Master_Mapping_Sheet!$E$2:$E$3143),
Master_Mapping_Sheet!$H$2:$H$3143=G$1,
Master_Mapping_Sheet!$B$2:$B$3143=$A48))/sum(filter(
Master"&amp;"_Mapping_Sheet!$E$2:$E$3143, ISNUMBER(
Master_Mapping_Sheet!$E$2:$E$3143),
Master_Mapping_Sheet!$H$2:$H$3143=G$1)))"),0.0)</f>
        <v>0</v>
      </c>
      <c r="H48" s="34">
        <f>IFERROR(__xludf.DUMMYFUNCTION("IF(ISNA(sum(filter(
Master_Mapping_Sheet!$E$2:$E$3143, ISNUMBER(
Master_Mapping_Sheet!$E$2:$E$3143),
Master_Mapping_Sheet!$H$2:$H$3143=H$1,
Master_Mapping_Sheet!$B$2:$B$3143=$A48))/sum(filter(
Master_Mapping_Sheet!$E$2:$E$3143, ISNUMBER(
Master_Mapping_Sh"&amp;"eet!$E$2:$E$3143),
Master_Mapping_Sheet!$H$2:$H$3143=H$1))), 0, sum(filter(
Master_Mapping_Sheet!$E$2:$E$3143, ISNUMBER(
Master_Mapping_Sheet!$E$2:$E$3143),
Master_Mapping_Sheet!$H$2:$H$3143=H$1,
Master_Mapping_Sheet!$B$2:$B$3143=$A48))/sum(filter(
Master"&amp;"_Mapping_Sheet!$E$2:$E$3143, ISNUMBER(
Master_Mapping_Sheet!$E$2:$E$3143),
Master_Mapping_Sheet!$H$2:$H$3143=H$1)))"),0.0)</f>
        <v>0</v>
      </c>
      <c r="I48" s="34">
        <f>IFERROR(__xludf.DUMMYFUNCTION("IF(ISNA(sum(filter(
Master_Mapping_Sheet!$E$2:$E$3143, ISNUMBER(
Master_Mapping_Sheet!$E$2:$E$3143),
Master_Mapping_Sheet!$H$2:$H$3143=I$1,
Master_Mapping_Sheet!$B$2:$B$3143=$A48))/sum(filter(
Master_Mapping_Sheet!$E$2:$E$3143, ISNUMBER(
Master_Mapping_Sh"&amp;"eet!$E$2:$E$3143),
Master_Mapping_Sheet!$H$2:$H$3143=I$1))), 0, sum(filter(
Master_Mapping_Sheet!$E$2:$E$3143, ISNUMBER(
Master_Mapping_Sheet!$E$2:$E$3143),
Master_Mapping_Sheet!$H$2:$H$3143=I$1,
Master_Mapping_Sheet!$B$2:$B$3143=$A48))/sum(filter(
Master"&amp;"_Mapping_Sheet!$E$2:$E$3143, ISNUMBER(
Master_Mapping_Sheet!$E$2:$E$3143),
Master_Mapping_Sheet!$H$2:$H$3143=I$1)))"),0.0)</f>
        <v>0</v>
      </c>
      <c r="J48" s="34">
        <f>IFERROR(__xludf.DUMMYFUNCTION("IF(ISNA(sum(filter(
Master_Mapping_Sheet!$E$2:$E$3143, ISNUMBER(
Master_Mapping_Sheet!$E$2:$E$3143),
Master_Mapping_Sheet!$H$2:$H$3143=J$1,
Master_Mapping_Sheet!$B$2:$B$3143=$A48))/sum(filter(
Master_Mapping_Sheet!$E$2:$E$3143, ISNUMBER(
Master_Mapping_Sh"&amp;"eet!$E$2:$E$3143),
Master_Mapping_Sheet!$H$2:$H$3143=J$1))), 0, sum(filter(
Master_Mapping_Sheet!$E$2:$E$3143, ISNUMBER(
Master_Mapping_Sheet!$E$2:$E$3143),
Master_Mapping_Sheet!$H$2:$H$3143=J$1,
Master_Mapping_Sheet!$B$2:$B$3143=$A48))/sum(filter(
Master"&amp;"_Mapping_Sheet!$E$2:$E$3143, ISNUMBER(
Master_Mapping_Sheet!$E$2:$E$3143),
Master_Mapping_Sheet!$H$2:$H$3143=J$1)))"),0.0)</f>
        <v>0</v>
      </c>
      <c r="K48" s="34">
        <f>IFERROR(__xludf.DUMMYFUNCTION("IF(ISNA(sum(filter(
Master_Mapping_Sheet!$E$2:$E$3143, ISNUMBER(
Master_Mapping_Sheet!$E$2:$E$3143),
Master_Mapping_Sheet!$H$2:$H$3143=K$1,
Master_Mapping_Sheet!$B$2:$B$3143=$A48))/sum(filter(
Master_Mapping_Sheet!$E$2:$E$3143, ISNUMBER(
Master_Mapping_Sh"&amp;"eet!$E$2:$E$3143),
Master_Mapping_Sheet!$H$2:$H$3143=K$1))), 0, sum(filter(
Master_Mapping_Sheet!$E$2:$E$3143, ISNUMBER(
Master_Mapping_Sheet!$E$2:$E$3143),
Master_Mapping_Sheet!$H$2:$H$3143=K$1,
Master_Mapping_Sheet!$B$2:$B$3143=$A48))/sum(filter(
Master"&amp;"_Mapping_Sheet!$E$2:$E$3143, ISNUMBER(
Master_Mapping_Sheet!$E$2:$E$3143),
Master_Mapping_Sheet!$H$2:$H$3143=K$1)))"),0.0)</f>
        <v>0</v>
      </c>
      <c r="L48" s="34">
        <f>IFERROR(__xludf.DUMMYFUNCTION("IF(ISNA(sum(filter(
Master_Mapping_Sheet!$E$2:$E$3143, ISNUMBER(
Master_Mapping_Sheet!$E$2:$E$3143),
Master_Mapping_Sheet!$H$2:$H$3143=L$1,
Master_Mapping_Sheet!$B$2:$B$3143=$A48))/sum(filter(
Master_Mapping_Sheet!$E$2:$E$3143, ISNUMBER(
Master_Mapping_Sh"&amp;"eet!$E$2:$E$3143),
Master_Mapping_Sheet!$H$2:$H$3143=L$1))), 0, sum(filter(
Master_Mapping_Sheet!$E$2:$E$3143, ISNUMBER(
Master_Mapping_Sheet!$E$2:$E$3143),
Master_Mapping_Sheet!$H$2:$H$3143=L$1,
Master_Mapping_Sheet!$B$2:$B$3143=$A48))/sum(filter(
Master"&amp;"_Mapping_Sheet!$E$2:$E$3143, ISNUMBER(
Master_Mapping_Sheet!$E$2:$E$3143),
Master_Mapping_Sheet!$H$2:$H$3143=L$1)))"),0.0017671415758787595)</f>
        <v>0.001767141576</v>
      </c>
      <c r="M48" s="34">
        <f>IFERROR(__xludf.DUMMYFUNCTION("IF(ISNA(sum(filter(
Master_Mapping_Sheet!$E$2:$E$3143, ISNUMBER(
Master_Mapping_Sheet!$E$2:$E$3143),
Master_Mapping_Sheet!$H$2:$H$3143=M$1,
Master_Mapping_Sheet!$B$2:$B$3143=$A48))/sum(filter(
Master_Mapping_Sheet!$E$2:$E$3143, ISNUMBER(
Master_Mapping_Sh"&amp;"eet!$E$2:$E$3143),
Master_Mapping_Sheet!$H$2:$H$3143=M$1))), 0, sum(filter(
Master_Mapping_Sheet!$E$2:$E$3143, ISNUMBER(
Master_Mapping_Sheet!$E$2:$E$3143),
Master_Mapping_Sheet!$H$2:$H$3143=M$1,
Master_Mapping_Sheet!$B$2:$B$3143=$A48))/sum(filter(
Master"&amp;"_Mapping_Sheet!$E$2:$E$3143, ISNUMBER(
Master_Mapping_Sheet!$E$2:$E$3143),
Master_Mapping_Sheet!$H$2:$H$3143=M$1)))"),0.05853977317600213)</f>
        <v>0.05853977318</v>
      </c>
      <c r="N48" s="34">
        <f>IFERROR(__xludf.DUMMYFUNCTION("IF(ISNA(sum(filter(
Master_Mapping_Sheet!$E$2:$E$3143, ISNUMBER(
Master_Mapping_Sheet!$E$2:$E$3143),
Master_Mapping_Sheet!$H$2:$H$3143=N$1,
Master_Mapping_Sheet!$B$2:$B$3143=$A48))/sum(filter(
Master_Mapping_Sheet!$E$2:$E$3143, ISNUMBER(
Master_Mapping_Sh"&amp;"eet!$E$2:$E$3143),
Master_Mapping_Sheet!$H$2:$H$3143=N$1))), 0, sum(filter(
Master_Mapping_Sheet!$E$2:$E$3143, ISNUMBER(
Master_Mapping_Sheet!$E$2:$E$3143),
Master_Mapping_Sheet!$H$2:$H$3143=N$1,
Master_Mapping_Sheet!$B$2:$B$3143=$A48))/sum(filter(
Master"&amp;"_Mapping_Sheet!$E$2:$E$3143, ISNUMBER(
Master_Mapping_Sheet!$E$2:$E$3143),
Master_Mapping_Sheet!$H$2:$H$3143=N$1)))"),0.0)</f>
        <v>0</v>
      </c>
      <c r="O48" s="34">
        <f>IFERROR(__xludf.DUMMYFUNCTION("IF(ISNA(sum(filter(
Master_Mapping_Sheet!$E$2:$E$3143, ISNUMBER(
Master_Mapping_Sheet!$E$2:$E$3143),
Master_Mapping_Sheet!$H$2:$H$3143=O$1,
Master_Mapping_Sheet!$B$2:$B$3143=$A48))/sum(filter(
Master_Mapping_Sheet!$E$2:$E$3143, ISNUMBER(
Master_Mapping_Sh"&amp;"eet!$E$2:$E$3143),
Master_Mapping_Sheet!$H$2:$H$3143=O$1))), 0, sum(filter(
Master_Mapping_Sheet!$E$2:$E$3143, ISNUMBER(
Master_Mapping_Sheet!$E$2:$E$3143),
Master_Mapping_Sheet!$H$2:$H$3143=O$1,
Master_Mapping_Sheet!$B$2:$B$3143=$A48))/sum(filter(
Master"&amp;"_Mapping_Sheet!$E$2:$E$3143, ISNUMBER(
Master_Mapping_Sheet!$E$2:$E$3143),
Master_Mapping_Sheet!$H$2:$H$3143=O$1)))"),0.8315507738590543)</f>
        <v>0.8315507739</v>
      </c>
      <c r="P48" s="34">
        <f>IFERROR(__xludf.DUMMYFUNCTION("IF(ISNA(sum(filter(
Master_Mapping_Sheet!$E$2:$E$3143, ISNUMBER(
Master_Mapping_Sheet!$E$2:$E$3143),
Master_Mapping_Sheet!$H$2:$H$3143=P$1,
Master_Mapping_Sheet!$B$2:$B$3143=$A48))/sum(filter(
Master_Mapping_Sheet!$E$2:$E$3143, ISNUMBER(
Master_Mapping_Sh"&amp;"eet!$E$2:$E$3143),
Master_Mapping_Sheet!$H$2:$H$3143=P$1))), 0, sum(filter(
Master_Mapping_Sheet!$E$2:$E$3143, ISNUMBER(
Master_Mapping_Sheet!$E$2:$E$3143),
Master_Mapping_Sheet!$H$2:$H$3143=P$1,
Master_Mapping_Sheet!$B$2:$B$3143=$A48))/sum(filter(
Master"&amp;"_Mapping_Sheet!$E$2:$E$3143, ISNUMBER(
Master_Mapping_Sheet!$E$2:$E$3143),
Master_Mapping_Sheet!$H$2:$H$3143=P$1)))"),0.0)</f>
        <v>0</v>
      </c>
      <c r="Q48" s="34">
        <f>IFERROR(__xludf.DUMMYFUNCTION("IF(ISNA(sum(filter(
Master_Mapping_Sheet!$E$2:$E$3143, ISNUMBER(
Master_Mapping_Sheet!$E$2:$E$3143),
Master_Mapping_Sheet!$H$2:$H$3143=Q$1,
Master_Mapping_Sheet!$B$2:$B$3143=$A48))/sum(filter(
Master_Mapping_Sheet!$E$2:$E$3143, ISNUMBER(
Master_Mapping_Sh"&amp;"eet!$E$2:$E$3143),
Master_Mapping_Sheet!$H$2:$H$3143=Q$1))), 0, sum(filter(
Master_Mapping_Sheet!$E$2:$E$3143, ISNUMBER(
Master_Mapping_Sheet!$E$2:$E$3143),
Master_Mapping_Sheet!$H$2:$H$3143=Q$1,
Master_Mapping_Sheet!$B$2:$B$3143=$A48))/sum(filter(
Master"&amp;"_Mapping_Sheet!$E$2:$E$3143, ISNUMBER(
Master_Mapping_Sheet!$E$2:$E$3143),
Master_Mapping_Sheet!$H$2:$H$3143=Q$1)))"),0.0)</f>
        <v>0</v>
      </c>
      <c r="R48" s="34">
        <f>IFERROR(__xludf.DUMMYFUNCTION("IF(ISNA(sum(filter(
Master_Mapping_Sheet!$E$2:$E$3143, ISNUMBER(
Master_Mapping_Sheet!$E$2:$E$3143),
Master_Mapping_Sheet!$H$2:$H$3143=R$1,
Master_Mapping_Sheet!$B$2:$B$3143=$A48))/sum(filter(
Master_Mapping_Sheet!$E$2:$E$3143, ISNUMBER(
Master_Mapping_Sh"&amp;"eet!$E$2:$E$3143),
Master_Mapping_Sheet!$H$2:$H$3143=R$1))), 0, sum(filter(
Master_Mapping_Sheet!$E$2:$E$3143, ISNUMBER(
Master_Mapping_Sheet!$E$2:$E$3143),
Master_Mapping_Sheet!$H$2:$H$3143=R$1,
Master_Mapping_Sheet!$B$2:$B$3143=$A48))/sum(filter(
Master"&amp;"_Mapping_Sheet!$E$2:$E$3143, ISNUMBER(
Master_Mapping_Sheet!$E$2:$E$3143),
Master_Mapping_Sheet!$H$2:$H$3143=R$1)))"),0.007709762617525797)</f>
        <v>0.007709762618</v>
      </c>
      <c r="S48" s="34">
        <f>IFERROR(__xludf.DUMMYFUNCTION("IF(ISNA(sum(filter(
Master_Mapping_Sheet!$E$2:$E$3143, ISNUMBER(
Master_Mapping_Sheet!$E$2:$E$3143),
Master_Mapping_Sheet!$H$2:$H$3143=S$1,
Master_Mapping_Sheet!$B$2:$B$3143=$A48))/sum(filter(
Master_Mapping_Sheet!$E$2:$E$3143, ISNUMBER(
Master_Mapping_Sh"&amp;"eet!$E$2:$E$3143),
Master_Mapping_Sheet!$H$2:$H$3143=S$1))), 0, sum(filter(
Master_Mapping_Sheet!$E$2:$E$3143, ISNUMBER(
Master_Mapping_Sheet!$E$2:$E$3143),
Master_Mapping_Sheet!$H$2:$H$3143=S$1,
Master_Mapping_Sheet!$B$2:$B$3143=$A48))/sum(filter(
Master"&amp;"_Mapping_Sheet!$E$2:$E$3143, ISNUMBER(
Master_Mapping_Sheet!$E$2:$E$3143),
Master_Mapping_Sheet!$H$2:$H$3143=S$1)))"),0.0)</f>
        <v>0</v>
      </c>
      <c r="T48" s="34">
        <f>IFERROR(__xludf.DUMMYFUNCTION("IF(ISNA(sum(filter(
Master_Mapping_Sheet!$E$2:$E$3143, ISNUMBER(
Master_Mapping_Sheet!$E$2:$E$3143),
Master_Mapping_Sheet!$H$2:$H$3143=T$1,
Master_Mapping_Sheet!$B$2:$B$3143=$A48))/sum(filter(
Master_Mapping_Sheet!$E$2:$E$3143, ISNUMBER(
Master_Mapping_Sh"&amp;"eet!$E$2:$E$3143),
Master_Mapping_Sheet!$H$2:$H$3143=T$1))), 0, sum(filter(
Master_Mapping_Sheet!$E$2:$E$3143, ISNUMBER(
Master_Mapping_Sheet!$E$2:$E$3143),
Master_Mapping_Sheet!$H$2:$H$3143=T$1,
Master_Mapping_Sheet!$B$2:$B$3143=$A48))/sum(filter(
Master"&amp;"_Mapping_Sheet!$E$2:$E$3143, ISNUMBER(
Master_Mapping_Sheet!$E$2:$E$3143),
Master_Mapping_Sheet!$H$2:$H$3143=T$1)))"),0.0)</f>
        <v>0</v>
      </c>
      <c r="U48" s="34">
        <f>IFERROR(__xludf.DUMMYFUNCTION("IF(ISNA(sum(filter(
Master_Mapping_Sheet!$E$2:$E$3143, ISNUMBER(
Master_Mapping_Sheet!$E$2:$E$3143),
Master_Mapping_Sheet!$H$2:$H$3143=U$1,
Master_Mapping_Sheet!$B$2:$B$3143=$A48))/sum(filter(
Master_Mapping_Sheet!$E$2:$E$3143, ISNUMBER(
Master_Mapping_Sh"&amp;"eet!$E$2:$E$3143),
Master_Mapping_Sheet!$H$2:$H$3143=U$1))), 0, sum(filter(
Master_Mapping_Sheet!$E$2:$E$3143, ISNUMBER(
Master_Mapping_Sheet!$E$2:$E$3143),
Master_Mapping_Sheet!$H$2:$H$3143=U$1,
Master_Mapping_Sheet!$B$2:$B$3143=$A48))/sum(filter(
Master"&amp;"_Mapping_Sheet!$E$2:$E$3143, ISNUMBER(
Master_Mapping_Sheet!$E$2:$E$3143),
Master_Mapping_Sheet!$H$2:$H$3143=U$1)))"),0.0)</f>
        <v>0</v>
      </c>
      <c r="V48" s="34">
        <f>IFERROR(__xludf.DUMMYFUNCTION("IF(ISNA(sum(filter(
Master_Mapping_Sheet!$E$2:$E$3143, ISNUMBER(
Master_Mapping_Sheet!$E$2:$E$3143),
Master_Mapping_Sheet!$H$2:$H$3143=V$1,
Master_Mapping_Sheet!$B$2:$B$3143=$A48))/sum(filter(
Master_Mapping_Sheet!$E$2:$E$3143, ISNUMBER(
Master_Mapping_Sh"&amp;"eet!$E$2:$E$3143),
Master_Mapping_Sheet!$H$2:$H$3143=V$1))), 0, sum(filter(
Master_Mapping_Sheet!$E$2:$E$3143, ISNUMBER(
Master_Mapping_Sheet!$E$2:$E$3143),
Master_Mapping_Sheet!$H$2:$H$3143=V$1,
Master_Mapping_Sheet!$B$2:$B$3143=$A48))/sum(filter(
Master"&amp;"_Mapping_Sheet!$E$2:$E$3143, ISNUMBER(
Master_Mapping_Sheet!$E$2:$E$3143),
Master_Mapping_Sheet!$H$2:$H$3143=V$1)))"),0.0)</f>
        <v>0</v>
      </c>
      <c r="W48" s="34">
        <f>IFERROR(__xludf.DUMMYFUNCTION("IF(ISNA(sum(filter(
Master_Mapping_Sheet!$E$2:$E$3143, ISNUMBER(
Master_Mapping_Sheet!$E$2:$E$3143),
Master_Mapping_Sheet!$H$2:$H$3143=W$1,
Master_Mapping_Sheet!$B$2:$B$3143=$A48))/sum(filter(
Master_Mapping_Sheet!$E$2:$E$3143, ISNUMBER(
Master_Mapping_Sh"&amp;"eet!$E$2:$E$3143),
Master_Mapping_Sheet!$H$2:$H$3143=W$1))), 0, sum(filter(
Master_Mapping_Sheet!$E$2:$E$3143, ISNUMBER(
Master_Mapping_Sheet!$E$2:$E$3143),
Master_Mapping_Sheet!$H$2:$H$3143=W$1,
Master_Mapping_Sheet!$B$2:$B$3143=$A48))/sum(filter(
Master"&amp;"_Mapping_Sheet!$E$2:$E$3143, ISNUMBER(
Master_Mapping_Sheet!$E$2:$E$3143),
Master_Mapping_Sheet!$H$2:$H$3143=W$1)))"),0.0)</f>
        <v>0</v>
      </c>
      <c r="X48" s="34">
        <f>IFERROR(__xludf.DUMMYFUNCTION("IF(ISNA(sum(filter(
Master_Mapping_Sheet!$E$2:$E$3143, ISNUMBER(
Master_Mapping_Sheet!$E$2:$E$3143),
Master_Mapping_Sheet!$H$2:$H$3143=X$1,
Master_Mapping_Sheet!$B$2:$B$3143=$A48))/sum(filter(
Master_Mapping_Sheet!$E$2:$E$3143, ISNUMBER(
Master_Mapping_Sh"&amp;"eet!$E$2:$E$3143),
Master_Mapping_Sheet!$H$2:$H$3143=X$1))), 0, sum(filter(
Master_Mapping_Sheet!$E$2:$E$3143, ISNUMBER(
Master_Mapping_Sheet!$E$2:$E$3143),
Master_Mapping_Sheet!$H$2:$H$3143=X$1,
Master_Mapping_Sheet!$B$2:$B$3143=$A48))/sum(filter(
Master"&amp;"_Mapping_Sheet!$E$2:$E$3143, ISNUMBER(
Master_Mapping_Sheet!$E$2:$E$3143),
Master_Mapping_Sheet!$H$2:$H$3143=X$1)))"),0.0)</f>
        <v>0</v>
      </c>
      <c r="Y48" s="34">
        <f>IFERROR(__xludf.DUMMYFUNCTION("IF(ISNA(sum(filter(
Master_Mapping_Sheet!$E$2:$E$3143, ISNUMBER(
Master_Mapping_Sheet!$E$2:$E$3143),
Master_Mapping_Sheet!$H$2:$H$3143=Y$1,
Master_Mapping_Sheet!$B$2:$B$3143=$A48))/sum(filter(
Master_Mapping_Sheet!$E$2:$E$3143, ISNUMBER(
Master_Mapping_Sh"&amp;"eet!$E$2:$E$3143),
Master_Mapping_Sheet!$H$2:$H$3143=Y$1))), 0, sum(filter(
Master_Mapping_Sheet!$E$2:$E$3143, ISNUMBER(
Master_Mapping_Sheet!$E$2:$E$3143),
Master_Mapping_Sheet!$H$2:$H$3143=Y$1,
Master_Mapping_Sheet!$B$2:$B$3143=$A48))/sum(filter(
Master"&amp;"_Mapping_Sheet!$E$2:$E$3143, ISNUMBER(
Master_Mapping_Sheet!$E$2:$E$3143),
Master_Mapping_Sheet!$H$2:$H$3143=Y$1)))"),0.0)</f>
        <v>0</v>
      </c>
      <c r="Z48" s="34">
        <f>IFERROR(__xludf.DUMMYFUNCTION("IF(ISNA(sum(filter(
Master_Mapping_Sheet!$E$2:$E$3143, ISNUMBER(
Master_Mapping_Sheet!$E$2:$E$3143),
Master_Mapping_Sheet!$H$2:$H$3143=Z$1,
Master_Mapping_Sheet!$B$2:$B$3143=$A48))/sum(filter(
Master_Mapping_Sheet!$E$2:$E$3143, ISNUMBER(
Master_Mapping_Sh"&amp;"eet!$E$2:$E$3143),
Master_Mapping_Sheet!$H$2:$H$3143=Z$1))), 0, sum(filter(
Master_Mapping_Sheet!$E$2:$E$3143, ISNUMBER(
Master_Mapping_Sheet!$E$2:$E$3143),
Master_Mapping_Sheet!$H$2:$H$3143=Z$1,
Master_Mapping_Sheet!$B$2:$B$3143=$A48))/sum(filter(
Master"&amp;"_Mapping_Sheet!$E$2:$E$3143, ISNUMBER(
Master_Mapping_Sheet!$E$2:$E$3143),
Master_Mapping_Sheet!$H$2:$H$3143=Z$1)))"),0.0)</f>
        <v>0</v>
      </c>
      <c r="AA48" s="34">
        <f>IFERROR(__xludf.DUMMYFUNCTION("IF(ISNA(sum(filter(
Master_Mapping_Sheet!$E$2:$E$3143, ISNUMBER(
Master_Mapping_Sheet!$E$2:$E$3143),
Master_Mapping_Sheet!$H$2:$H$3143=AA$1,
Master_Mapping_Sheet!$B$2:$B$3143=$A48))/sum(filter(
Master_Mapping_Sheet!$E$2:$E$3143, ISNUMBER(
Master_Mapping_S"&amp;"heet!$E$2:$E$3143),
Master_Mapping_Sheet!$H$2:$H$3143=AA$1))), 0, sum(filter(
Master_Mapping_Sheet!$E$2:$E$3143, ISNUMBER(
Master_Mapping_Sheet!$E$2:$E$3143),
Master_Mapping_Sheet!$H$2:$H$3143=AA$1,
Master_Mapping_Sheet!$B$2:$B$3143=$A48))/sum(filter(
Mas"&amp;"ter_Mapping_Sheet!$E$2:$E$3143, ISNUMBER(
Master_Mapping_Sheet!$E$2:$E$3143),
Master_Mapping_Sheet!$H$2:$H$3143=AA$1)))"),0.0)</f>
        <v>0</v>
      </c>
    </row>
    <row r="49" ht="15.75" customHeight="1">
      <c r="A49" s="34" t="s">
        <v>167</v>
      </c>
      <c r="B49" s="34" t="s">
        <v>3797</v>
      </c>
      <c r="C49" s="34">
        <f>IFERROR(__xludf.DUMMYFUNCTION("IF(ISNA(sum(filter(
Master_Mapping_Sheet!$E$2:$E$3143, ISNUMBER(
Master_Mapping_Sheet!$E$2:$E$3143),
Master_Mapping_Sheet!$H$2:$H$3143=C$1,
Master_Mapping_Sheet!$B$2:$B$3143=$A49))/sum(filter(
Master_Mapping_Sheet!$E$2:$E$3143, ISNUMBER(
Master_Mapping_Sh"&amp;"eet!$E$2:$E$3143),
Master_Mapping_Sheet!$H$2:$H$3143=C$1))), 0, sum(filter(
Master_Mapping_Sheet!$E$2:$E$3143, ISNUMBER(
Master_Mapping_Sheet!$E$2:$E$3143),
Master_Mapping_Sheet!$H$2:$H$3143=C$1,
Master_Mapping_Sheet!$B$2:$B$3143=$A49))/sum(filter(
Master"&amp;"_Mapping_Sheet!$E$2:$E$3143, ISNUMBER(
Master_Mapping_Sheet!$E$2:$E$3143),
Master_Mapping_Sheet!$H$2:$H$3143=C$1)))"),0.0)</f>
        <v>0</v>
      </c>
      <c r="D49" s="34">
        <f>IFERROR(__xludf.DUMMYFUNCTION("IF(ISNA(sum(filter(
Master_Mapping_Sheet!$E$2:$E$3143, ISNUMBER(
Master_Mapping_Sheet!$E$2:$E$3143),
Master_Mapping_Sheet!$H$2:$H$3143=D$1,
Master_Mapping_Sheet!$B$2:$B$3143=$A49))/sum(filter(
Master_Mapping_Sheet!$E$2:$E$3143, ISNUMBER(
Master_Mapping_Sh"&amp;"eet!$E$2:$E$3143),
Master_Mapping_Sheet!$H$2:$H$3143=D$1))), 0, sum(filter(
Master_Mapping_Sheet!$E$2:$E$3143, ISNUMBER(
Master_Mapping_Sheet!$E$2:$E$3143),
Master_Mapping_Sheet!$H$2:$H$3143=D$1,
Master_Mapping_Sheet!$B$2:$B$3143=$A49))/sum(filter(
Master"&amp;"_Mapping_Sheet!$E$2:$E$3143, ISNUMBER(
Master_Mapping_Sheet!$E$2:$E$3143),
Master_Mapping_Sheet!$H$2:$H$3143=D$1)))"),0.0)</f>
        <v>0</v>
      </c>
      <c r="E49" s="32">
        <f>IFERROR(__xludf.DUMMYFUNCTION("IF(ISNA(sum(filter(
Master_Mapping_Sheet!$E$2:$E$3143, ISNUMBER(
Master_Mapping_Sheet!$E$2:$E$3143),
Master_Mapping_Sheet!$H$2:$H$3143=E$1,
Master_Mapping_Sheet!$B$2:$B$3143=$A49))/sum(filter(
Master_Mapping_Sheet!$E$2:$E$3143, ISNUMBER(
Master_Mapping_Sh"&amp;"eet!$E$2:$E$3143),
Master_Mapping_Sheet!$H$2:$H$3143=E$1))), 0, sum(filter(
Master_Mapping_Sheet!$E$2:$E$3143, ISNUMBER(
Master_Mapping_Sheet!$E$2:$E$3143),
Master_Mapping_Sheet!$H$2:$H$3143=E$1,
Master_Mapping_Sheet!$B$2:$B$3143=$A49))/sum(filter(
Master"&amp;"_Mapping_Sheet!$E$2:$E$3143, ISNUMBER(
Master_Mapping_Sheet!$E$2:$E$3143),
Master_Mapping_Sheet!$H$2:$H$3143=E$1)))"),0.0)</f>
        <v>0</v>
      </c>
      <c r="F49" s="34">
        <f>IFERROR(__xludf.DUMMYFUNCTION("IF(ISNA(sum(filter(
Master_Mapping_Sheet!$E$2:$E$3143, ISNUMBER(
Master_Mapping_Sheet!$E$2:$E$3143),
Master_Mapping_Sheet!$H$2:$H$3143=F$1,
Master_Mapping_Sheet!$B$2:$B$3143=$A49))/sum(filter(
Master_Mapping_Sheet!$E$2:$E$3143, ISNUMBER(
Master_Mapping_Sh"&amp;"eet!$E$2:$E$3143),
Master_Mapping_Sheet!$H$2:$H$3143=F$1))), 0, sum(filter(
Master_Mapping_Sheet!$E$2:$E$3143, ISNUMBER(
Master_Mapping_Sheet!$E$2:$E$3143),
Master_Mapping_Sheet!$H$2:$H$3143=F$1,
Master_Mapping_Sheet!$B$2:$B$3143=$A49))/sum(filter(
Master"&amp;"_Mapping_Sheet!$E$2:$E$3143, ISNUMBER(
Master_Mapping_Sheet!$E$2:$E$3143),
Master_Mapping_Sheet!$H$2:$H$3143=F$1)))"),0.0)</f>
        <v>0</v>
      </c>
      <c r="G49" s="34">
        <f>IFERROR(__xludf.DUMMYFUNCTION("IF(ISNA(sum(filter(
Master_Mapping_Sheet!$E$2:$E$3143, ISNUMBER(
Master_Mapping_Sheet!$E$2:$E$3143),
Master_Mapping_Sheet!$H$2:$H$3143=G$1,
Master_Mapping_Sheet!$B$2:$B$3143=$A49))/sum(filter(
Master_Mapping_Sheet!$E$2:$E$3143, ISNUMBER(
Master_Mapping_Sh"&amp;"eet!$E$2:$E$3143),
Master_Mapping_Sheet!$H$2:$H$3143=G$1))), 0, sum(filter(
Master_Mapping_Sheet!$E$2:$E$3143, ISNUMBER(
Master_Mapping_Sheet!$E$2:$E$3143),
Master_Mapping_Sheet!$H$2:$H$3143=G$1,
Master_Mapping_Sheet!$B$2:$B$3143=$A49))/sum(filter(
Master"&amp;"_Mapping_Sheet!$E$2:$E$3143, ISNUMBER(
Master_Mapping_Sheet!$E$2:$E$3143),
Master_Mapping_Sheet!$H$2:$H$3143=G$1)))"),0.0)</f>
        <v>0</v>
      </c>
      <c r="H49" s="34">
        <f>IFERROR(__xludf.DUMMYFUNCTION("IF(ISNA(sum(filter(
Master_Mapping_Sheet!$E$2:$E$3143, ISNUMBER(
Master_Mapping_Sheet!$E$2:$E$3143),
Master_Mapping_Sheet!$H$2:$H$3143=H$1,
Master_Mapping_Sheet!$B$2:$B$3143=$A49))/sum(filter(
Master_Mapping_Sheet!$E$2:$E$3143, ISNUMBER(
Master_Mapping_Sh"&amp;"eet!$E$2:$E$3143),
Master_Mapping_Sheet!$H$2:$H$3143=H$1))), 0, sum(filter(
Master_Mapping_Sheet!$E$2:$E$3143, ISNUMBER(
Master_Mapping_Sheet!$E$2:$E$3143),
Master_Mapping_Sheet!$H$2:$H$3143=H$1,
Master_Mapping_Sheet!$B$2:$B$3143=$A49))/sum(filter(
Master"&amp;"_Mapping_Sheet!$E$2:$E$3143, ISNUMBER(
Master_Mapping_Sheet!$E$2:$E$3143),
Master_Mapping_Sheet!$H$2:$H$3143=H$1)))"),0.0)</f>
        <v>0</v>
      </c>
      <c r="I49" s="34">
        <f>IFERROR(__xludf.DUMMYFUNCTION("IF(ISNA(sum(filter(
Master_Mapping_Sheet!$E$2:$E$3143, ISNUMBER(
Master_Mapping_Sheet!$E$2:$E$3143),
Master_Mapping_Sheet!$H$2:$H$3143=I$1,
Master_Mapping_Sheet!$B$2:$B$3143=$A49))/sum(filter(
Master_Mapping_Sheet!$E$2:$E$3143, ISNUMBER(
Master_Mapping_Sh"&amp;"eet!$E$2:$E$3143),
Master_Mapping_Sheet!$H$2:$H$3143=I$1))), 0, sum(filter(
Master_Mapping_Sheet!$E$2:$E$3143, ISNUMBER(
Master_Mapping_Sheet!$E$2:$E$3143),
Master_Mapping_Sheet!$H$2:$H$3143=I$1,
Master_Mapping_Sheet!$B$2:$B$3143=$A49))/sum(filter(
Master"&amp;"_Mapping_Sheet!$E$2:$E$3143, ISNUMBER(
Master_Mapping_Sheet!$E$2:$E$3143),
Master_Mapping_Sheet!$H$2:$H$3143=I$1)))"),0.0)</f>
        <v>0</v>
      </c>
      <c r="J49" s="34">
        <f>IFERROR(__xludf.DUMMYFUNCTION("IF(ISNA(sum(filter(
Master_Mapping_Sheet!$E$2:$E$3143, ISNUMBER(
Master_Mapping_Sheet!$E$2:$E$3143),
Master_Mapping_Sheet!$H$2:$H$3143=J$1,
Master_Mapping_Sheet!$B$2:$B$3143=$A49))/sum(filter(
Master_Mapping_Sheet!$E$2:$E$3143, ISNUMBER(
Master_Mapping_Sh"&amp;"eet!$E$2:$E$3143),
Master_Mapping_Sheet!$H$2:$H$3143=J$1))), 0, sum(filter(
Master_Mapping_Sheet!$E$2:$E$3143, ISNUMBER(
Master_Mapping_Sheet!$E$2:$E$3143),
Master_Mapping_Sheet!$H$2:$H$3143=J$1,
Master_Mapping_Sheet!$B$2:$B$3143=$A49))/sum(filter(
Master"&amp;"_Mapping_Sheet!$E$2:$E$3143, ISNUMBER(
Master_Mapping_Sheet!$E$2:$E$3143),
Master_Mapping_Sheet!$H$2:$H$3143=J$1)))"),0.0)</f>
        <v>0</v>
      </c>
      <c r="K49" s="34">
        <f>IFERROR(__xludf.DUMMYFUNCTION("IF(ISNA(sum(filter(
Master_Mapping_Sheet!$E$2:$E$3143, ISNUMBER(
Master_Mapping_Sheet!$E$2:$E$3143),
Master_Mapping_Sheet!$H$2:$H$3143=K$1,
Master_Mapping_Sheet!$B$2:$B$3143=$A49))/sum(filter(
Master_Mapping_Sheet!$E$2:$E$3143, ISNUMBER(
Master_Mapping_Sh"&amp;"eet!$E$2:$E$3143),
Master_Mapping_Sheet!$H$2:$H$3143=K$1))), 0, sum(filter(
Master_Mapping_Sheet!$E$2:$E$3143, ISNUMBER(
Master_Mapping_Sheet!$E$2:$E$3143),
Master_Mapping_Sheet!$H$2:$H$3143=K$1,
Master_Mapping_Sheet!$B$2:$B$3143=$A49))/sum(filter(
Master"&amp;"_Mapping_Sheet!$E$2:$E$3143, ISNUMBER(
Master_Mapping_Sheet!$E$2:$E$3143),
Master_Mapping_Sheet!$H$2:$H$3143=K$1)))"),0.0)</f>
        <v>0</v>
      </c>
      <c r="L49" s="34">
        <f>IFERROR(__xludf.DUMMYFUNCTION("IF(ISNA(sum(filter(
Master_Mapping_Sheet!$E$2:$E$3143, ISNUMBER(
Master_Mapping_Sheet!$E$2:$E$3143),
Master_Mapping_Sheet!$H$2:$H$3143=L$1,
Master_Mapping_Sheet!$B$2:$B$3143=$A49))/sum(filter(
Master_Mapping_Sheet!$E$2:$E$3143, ISNUMBER(
Master_Mapping_Sh"&amp;"eet!$E$2:$E$3143),
Master_Mapping_Sheet!$H$2:$H$3143=L$1))), 0, sum(filter(
Master_Mapping_Sheet!$E$2:$E$3143, ISNUMBER(
Master_Mapping_Sheet!$E$2:$E$3143),
Master_Mapping_Sheet!$H$2:$H$3143=L$1,
Master_Mapping_Sheet!$B$2:$B$3143=$A49))/sum(filter(
Master"&amp;"_Mapping_Sheet!$E$2:$E$3143, ISNUMBER(
Master_Mapping_Sheet!$E$2:$E$3143),
Master_Mapping_Sheet!$H$2:$H$3143=L$1)))"),0.0)</f>
        <v>0</v>
      </c>
      <c r="M49" s="34">
        <f>IFERROR(__xludf.DUMMYFUNCTION("IF(ISNA(sum(filter(
Master_Mapping_Sheet!$E$2:$E$3143, ISNUMBER(
Master_Mapping_Sheet!$E$2:$E$3143),
Master_Mapping_Sheet!$H$2:$H$3143=M$1,
Master_Mapping_Sheet!$B$2:$B$3143=$A49))/sum(filter(
Master_Mapping_Sheet!$E$2:$E$3143, ISNUMBER(
Master_Mapping_Sh"&amp;"eet!$E$2:$E$3143),
Master_Mapping_Sheet!$H$2:$H$3143=M$1))), 0, sum(filter(
Master_Mapping_Sheet!$E$2:$E$3143, ISNUMBER(
Master_Mapping_Sheet!$E$2:$E$3143),
Master_Mapping_Sheet!$H$2:$H$3143=M$1,
Master_Mapping_Sheet!$B$2:$B$3143=$A49))/sum(filter(
Master"&amp;"_Mapping_Sheet!$E$2:$E$3143, ISNUMBER(
Master_Mapping_Sheet!$E$2:$E$3143),
Master_Mapping_Sheet!$H$2:$H$3143=M$1)))"),0.0)</f>
        <v>0</v>
      </c>
      <c r="N49" s="34">
        <f>IFERROR(__xludf.DUMMYFUNCTION("IF(ISNA(sum(filter(
Master_Mapping_Sheet!$E$2:$E$3143, ISNUMBER(
Master_Mapping_Sheet!$E$2:$E$3143),
Master_Mapping_Sheet!$H$2:$H$3143=N$1,
Master_Mapping_Sheet!$B$2:$B$3143=$A49))/sum(filter(
Master_Mapping_Sheet!$E$2:$E$3143, ISNUMBER(
Master_Mapping_Sh"&amp;"eet!$E$2:$E$3143),
Master_Mapping_Sheet!$H$2:$H$3143=N$1))), 0, sum(filter(
Master_Mapping_Sheet!$E$2:$E$3143, ISNUMBER(
Master_Mapping_Sheet!$E$2:$E$3143),
Master_Mapping_Sheet!$H$2:$H$3143=N$1,
Master_Mapping_Sheet!$B$2:$B$3143=$A49))/sum(filter(
Master"&amp;"_Mapping_Sheet!$E$2:$E$3143, ISNUMBER(
Master_Mapping_Sheet!$E$2:$E$3143),
Master_Mapping_Sheet!$H$2:$H$3143=N$1)))"),0.0)</f>
        <v>0</v>
      </c>
      <c r="O49" s="34">
        <f>IFERROR(__xludf.DUMMYFUNCTION("IF(ISNA(sum(filter(
Master_Mapping_Sheet!$E$2:$E$3143, ISNUMBER(
Master_Mapping_Sheet!$E$2:$E$3143),
Master_Mapping_Sheet!$H$2:$H$3143=O$1,
Master_Mapping_Sheet!$B$2:$B$3143=$A49))/sum(filter(
Master_Mapping_Sheet!$E$2:$E$3143, ISNUMBER(
Master_Mapping_Sh"&amp;"eet!$E$2:$E$3143),
Master_Mapping_Sheet!$H$2:$H$3143=O$1))), 0, sum(filter(
Master_Mapping_Sheet!$E$2:$E$3143, ISNUMBER(
Master_Mapping_Sheet!$E$2:$E$3143),
Master_Mapping_Sheet!$H$2:$H$3143=O$1,
Master_Mapping_Sheet!$B$2:$B$3143=$A49))/sum(filter(
Master"&amp;"_Mapping_Sheet!$E$2:$E$3143, ISNUMBER(
Master_Mapping_Sheet!$E$2:$E$3143),
Master_Mapping_Sheet!$H$2:$H$3143=O$1)))"),0.0)</f>
        <v>0</v>
      </c>
      <c r="P49" s="34">
        <f>IFERROR(__xludf.DUMMYFUNCTION("IF(ISNA(sum(filter(
Master_Mapping_Sheet!$E$2:$E$3143, ISNUMBER(
Master_Mapping_Sheet!$E$2:$E$3143),
Master_Mapping_Sheet!$H$2:$H$3143=P$1,
Master_Mapping_Sheet!$B$2:$B$3143=$A49))/sum(filter(
Master_Mapping_Sheet!$E$2:$E$3143, ISNUMBER(
Master_Mapping_Sh"&amp;"eet!$E$2:$E$3143),
Master_Mapping_Sheet!$H$2:$H$3143=P$1))), 0, sum(filter(
Master_Mapping_Sheet!$E$2:$E$3143, ISNUMBER(
Master_Mapping_Sheet!$E$2:$E$3143),
Master_Mapping_Sheet!$H$2:$H$3143=P$1,
Master_Mapping_Sheet!$B$2:$B$3143=$A49))/sum(filter(
Master"&amp;"_Mapping_Sheet!$E$2:$E$3143, ISNUMBER(
Master_Mapping_Sheet!$E$2:$E$3143),
Master_Mapping_Sheet!$H$2:$H$3143=P$1)))"),0.0)</f>
        <v>0</v>
      </c>
      <c r="Q49" s="34">
        <f>IFERROR(__xludf.DUMMYFUNCTION("IF(ISNA(sum(filter(
Master_Mapping_Sheet!$E$2:$E$3143, ISNUMBER(
Master_Mapping_Sheet!$E$2:$E$3143),
Master_Mapping_Sheet!$H$2:$H$3143=Q$1,
Master_Mapping_Sheet!$B$2:$B$3143=$A49))/sum(filter(
Master_Mapping_Sheet!$E$2:$E$3143, ISNUMBER(
Master_Mapping_Sh"&amp;"eet!$E$2:$E$3143),
Master_Mapping_Sheet!$H$2:$H$3143=Q$1))), 0, sum(filter(
Master_Mapping_Sheet!$E$2:$E$3143, ISNUMBER(
Master_Mapping_Sheet!$E$2:$E$3143),
Master_Mapping_Sheet!$H$2:$H$3143=Q$1,
Master_Mapping_Sheet!$B$2:$B$3143=$A49))/sum(filter(
Master"&amp;"_Mapping_Sheet!$E$2:$E$3143, ISNUMBER(
Master_Mapping_Sheet!$E$2:$E$3143),
Master_Mapping_Sheet!$H$2:$H$3143=Q$1)))"),0.0)</f>
        <v>0</v>
      </c>
      <c r="R49" s="34">
        <f>IFERROR(__xludf.DUMMYFUNCTION("IF(ISNA(sum(filter(
Master_Mapping_Sheet!$E$2:$E$3143, ISNUMBER(
Master_Mapping_Sheet!$E$2:$E$3143),
Master_Mapping_Sheet!$H$2:$H$3143=R$1,
Master_Mapping_Sheet!$B$2:$B$3143=$A49))/sum(filter(
Master_Mapping_Sheet!$E$2:$E$3143, ISNUMBER(
Master_Mapping_Sh"&amp;"eet!$E$2:$E$3143),
Master_Mapping_Sheet!$H$2:$H$3143=R$1))), 0, sum(filter(
Master_Mapping_Sheet!$E$2:$E$3143, ISNUMBER(
Master_Mapping_Sheet!$E$2:$E$3143),
Master_Mapping_Sheet!$H$2:$H$3143=R$1,
Master_Mapping_Sheet!$B$2:$B$3143=$A49))/sum(filter(
Master"&amp;"_Mapping_Sheet!$E$2:$E$3143, ISNUMBER(
Master_Mapping_Sheet!$E$2:$E$3143),
Master_Mapping_Sheet!$H$2:$H$3143=R$1)))"),0.0)</f>
        <v>0</v>
      </c>
      <c r="S49" s="34">
        <f>IFERROR(__xludf.DUMMYFUNCTION("IF(ISNA(sum(filter(
Master_Mapping_Sheet!$E$2:$E$3143, ISNUMBER(
Master_Mapping_Sheet!$E$2:$E$3143),
Master_Mapping_Sheet!$H$2:$H$3143=S$1,
Master_Mapping_Sheet!$B$2:$B$3143=$A49))/sum(filter(
Master_Mapping_Sheet!$E$2:$E$3143, ISNUMBER(
Master_Mapping_Sh"&amp;"eet!$E$2:$E$3143),
Master_Mapping_Sheet!$H$2:$H$3143=S$1))), 0, sum(filter(
Master_Mapping_Sheet!$E$2:$E$3143, ISNUMBER(
Master_Mapping_Sheet!$E$2:$E$3143),
Master_Mapping_Sheet!$H$2:$H$3143=S$1,
Master_Mapping_Sheet!$B$2:$B$3143=$A49))/sum(filter(
Master"&amp;"_Mapping_Sheet!$E$2:$E$3143, ISNUMBER(
Master_Mapping_Sheet!$E$2:$E$3143),
Master_Mapping_Sheet!$H$2:$H$3143=S$1)))"),0.0)</f>
        <v>0</v>
      </c>
      <c r="T49" s="34">
        <f>IFERROR(__xludf.DUMMYFUNCTION("IF(ISNA(sum(filter(
Master_Mapping_Sheet!$E$2:$E$3143, ISNUMBER(
Master_Mapping_Sheet!$E$2:$E$3143),
Master_Mapping_Sheet!$H$2:$H$3143=T$1,
Master_Mapping_Sheet!$B$2:$B$3143=$A49))/sum(filter(
Master_Mapping_Sheet!$E$2:$E$3143, ISNUMBER(
Master_Mapping_Sh"&amp;"eet!$E$2:$E$3143),
Master_Mapping_Sheet!$H$2:$H$3143=T$1))), 0, sum(filter(
Master_Mapping_Sheet!$E$2:$E$3143, ISNUMBER(
Master_Mapping_Sheet!$E$2:$E$3143),
Master_Mapping_Sheet!$H$2:$H$3143=T$1,
Master_Mapping_Sheet!$B$2:$B$3143=$A49))/sum(filter(
Master"&amp;"_Mapping_Sheet!$E$2:$E$3143, ISNUMBER(
Master_Mapping_Sheet!$E$2:$E$3143),
Master_Mapping_Sheet!$H$2:$H$3143=T$1)))"),0.0)</f>
        <v>0</v>
      </c>
      <c r="U49" s="34">
        <f>IFERROR(__xludf.DUMMYFUNCTION("IF(ISNA(sum(filter(
Master_Mapping_Sheet!$E$2:$E$3143, ISNUMBER(
Master_Mapping_Sheet!$E$2:$E$3143),
Master_Mapping_Sheet!$H$2:$H$3143=U$1,
Master_Mapping_Sheet!$B$2:$B$3143=$A49))/sum(filter(
Master_Mapping_Sheet!$E$2:$E$3143, ISNUMBER(
Master_Mapping_Sh"&amp;"eet!$E$2:$E$3143),
Master_Mapping_Sheet!$H$2:$H$3143=U$1))), 0, sum(filter(
Master_Mapping_Sheet!$E$2:$E$3143, ISNUMBER(
Master_Mapping_Sheet!$E$2:$E$3143),
Master_Mapping_Sheet!$H$2:$H$3143=U$1,
Master_Mapping_Sheet!$B$2:$B$3143=$A49))/sum(filter(
Master"&amp;"_Mapping_Sheet!$E$2:$E$3143, ISNUMBER(
Master_Mapping_Sheet!$E$2:$E$3143),
Master_Mapping_Sheet!$H$2:$H$3143=U$1)))"),0.0)</f>
        <v>0</v>
      </c>
      <c r="V49" s="34">
        <f>IFERROR(__xludf.DUMMYFUNCTION("IF(ISNA(sum(filter(
Master_Mapping_Sheet!$E$2:$E$3143, ISNUMBER(
Master_Mapping_Sheet!$E$2:$E$3143),
Master_Mapping_Sheet!$H$2:$H$3143=V$1,
Master_Mapping_Sheet!$B$2:$B$3143=$A49))/sum(filter(
Master_Mapping_Sheet!$E$2:$E$3143, ISNUMBER(
Master_Mapping_Sh"&amp;"eet!$E$2:$E$3143),
Master_Mapping_Sheet!$H$2:$H$3143=V$1))), 0, sum(filter(
Master_Mapping_Sheet!$E$2:$E$3143, ISNUMBER(
Master_Mapping_Sheet!$E$2:$E$3143),
Master_Mapping_Sheet!$H$2:$H$3143=V$1,
Master_Mapping_Sheet!$B$2:$B$3143=$A49))/sum(filter(
Master"&amp;"_Mapping_Sheet!$E$2:$E$3143, ISNUMBER(
Master_Mapping_Sheet!$E$2:$E$3143),
Master_Mapping_Sheet!$H$2:$H$3143=V$1)))"),0.0)</f>
        <v>0</v>
      </c>
      <c r="W49" s="34">
        <f>IFERROR(__xludf.DUMMYFUNCTION("IF(ISNA(sum(filter(
Master_Mapping_Sheet!$E$2:$E$3143, ISNUMBER(
Master_Mapping_Sheet!$E$2:$E$3143),
Master_Mapping_Sheet!$H$2:$H$3143=W$1,
Master_Mapping_Sheet!$B$2:$B$3143=$A49))/sum(filter(
Master_Mapping_Sheet!$E$2:$E$3143, ISNUMBER(
Master_Mapping_Sh"&amp;"eet!$E$2:$E$3143),
Master_Mapping_Sheet!$H$2:$H$3143=W$1))), 0, sum(filter(
Master_Mapping_Sheet!$E$2:$E$3143, ISNUMBER(
Master_Mapping_Sheet!$E$2:$E$3143),
Master_Mapping_Sheet!$H$2:$H$3143=W$1,
Master_Mapping_Sheet!$B$2:$B$3143=$A49))/sum(filter(
Master"&amp;"_Mapping_Sheet!$E$2:$E$3143, ISNUMBER(
Master_Mapping_Sheet!$E$2:$E$3143),
Master_Mapping_Sheet!$H$2:$H$3143=W$1)))"),0.0)</f>
        <v>0</v>
      </c>
      <c r="X49" s="34">
        <f>IFERROR(__xludf.DUMMYFUNCTION("IF(ISNA(sum(filter(
Master_Mapping_Sheet!$E$2:$E$3143, ISNUMBER(
Master_Mapping_Sheet!$E$2:$E$3143),
Master_Mapping_Sheet!$H$2:$H$3143=X$1,
Master_Mapping_Sheet!$B$2:$B$3143=$A49))/sum(filter(
Master_Mapping_Sheet!$E$2:$E$3143, ISNUMBER(
Master_Mapping_Sh"&amp;"eet!$E$2:$E$3143),
Master_Mapping_Sheet!$H$2:$H$3143=X$1))), 0, sum(filter(
Master_Mapping_Sheet!$E$2:$E$3143, ISNUMBER(
Master_Mapping_Sheet!$E$2:$E$3143),
Master_Mapping_Sheet!$H$2:$H$3143=X$1,
Master_Mapping_Sheet!$B$2:$B$3143=$A49))/sum(filter(
Master"&amp;"_Mapping_Sheet!$E$2:$E$3143, ISNUMBER(
Master_Mapping_Sheet!$E$2:$E$3143),
Master_Mapping_Sheet!$H$2:$H$3143=X$1)))"),0.0)</f>
        <v>0</v>
      </c>
      <c r="Y49" s="34">
        <f>IFERROR(__xludf.DUMMYFUNCTION("IF(ISNA(sum(filter(
Master_Mapping_Sheet!$E$2:$E$3143, ISNUMBER(
Master_Mapping_Sheet!$E$2:$E$3143),
Master_Mapping_Sheet!$H$2:$H$3143=Y$1,
Master_Mapping_Sheet!$B$2:$B$3143=$A49))/sum(filter(
Master_Mapping_Sheet!$E$2:$E$3143, ISNUMBER(
Master_Mapping_Sh"&amp;"eet!$E$2:$E$3143),
Master_Mapping_Sheet!$H$2:$H$3143=Y$1))), 0, sum(filter(
Master_Mapping_Sheet!$E$2:$E$3143, ISNUMBER(
Master_Mapping_Sheet!$E$2:$E$3143),
Master_Mapping_Sheet!$H$2:$H$3143=Y$1,
Master_Mapping_Sheet!$B$2:$B$3143=$A49))/sum(filter(
Master"&amp;"_Mapping_Sheet!$E$2:$E$3143, ISNUMBER(
Master_Mapping_Sheet!$E$2:$E$3143),
Master_Mapping_Sheet!$H$2:$H$3143=Y$1)))"),0.5737790758732217)</f>
        <v>0.5737790759</v>
      </c>
      <c r="Z49" s="34">
        <f>IFERROR(__xludf.DUMMYFUNCTION("IF(ISNA(sum(filter(
Master_Mapping_Sheet!$E$2:$E$3143, ISNUMBER(
Master_Mapping_Sheet!$E$2:$E$3143),
Master_Mapping_Sheet!$H$2:$H$3143=Z$1,
Master_Mapping_Sheet!$B$2:$B$3143=$A49))/sum(filter(
Master_Mapping_Sheet!$E$2:$E$3143, ISNUMBER(
Master_Mapping_Sh"&amp;"eet!$E$2:$E$3143),
Master_Mapping_Sheet!$H$2:$H$3143=Z$1))), 0, sum(filter(
Master_Mapping_Sheet!$E$2:$E$3143, ISNUMBER(
Master_Mapping_Sheet!$E$2:$E$3143),
Master_Mapping_Sheet!$H$2:$H$3143=Z$1,
Master_Mapping_Sheet!$B$2:$B$3143=$A49))/sum(filter(
Master"&amp;"_Mapping_Sheet!$E$2:$E$3143, ISNUMBER(
Master_Mapping_Sheet!$E$2:$E$3143),
Master_Mapping_Sheet!$H$2:$H$3143=Z$1)))"),0.0)</f>
        <v>0</v>
      </c>
      <c r="AA49" s="34">
        <f>IFERROR(__xludf.DUMMYFUNCTION("IF(ISNA(sum(filter(
Master_Mapping_Sheet!$E$2:$E$3143, ISNUMBER(
Master_Mapping_Sheet!$E$2:$E$3143),
Master_Mapping_Sheet!$H$2:$H$3143=AA$1,
Master_Mapping_Sheet!$B$2:$B$3143=$A49))/sum(filter(
Master_Mapping_Sheet!$E$2:$E$3143, ISNUMBER(
Master_Mapping_S"&amp;"heet!$E$2:$E$3143),
Master_Mapping_Sheet!$H$2:$H$3143=AA$1))), 0, sum(filter(
Master_Mapping_Sheet!$E$2:$E$3143, ISNUMBER(
Master_Mapping_Sheet!$E$2:$E$3143),
Master_Mapping_Sheet!$H$2:$H$3143=AA$1,
Master_Mapping_Sheet!$B$2:$B$3143=$A49))/sum(filter(
Mas"&amp;"ter_Mapping_Sheet!$E$2:$E$3143, ISNUMBER(
Master_Mapping_Sheet!$E$2:$E$3143),
Master_Mapping_Sheet!$H$2:$H$3143=AA$1)))"),0.0)</f>
        <v>0</v>
      </c>
    </row>
    <row r="50" ht="15.75" customHeight="1">
      <c r="A50" s="34" t="s">
        <v>1924</v>
      </c>
      <c r="B50" s="34" t="s">
        <v>3820</v>
      </c>
      <c r="C50" s="34">
        <f>IFERROR(__xludf.DUMMYFUNCTION("IF(ISNA(sum(filter(
Master_Mapping_Sheet!$E$2:$E$3143, ISNUMBER(
Master_Mapping_Sheet!$E$2:$E$3143),
Master_Mapping_Sheet!$H$2:$H$3143=C$1,
Master_Mapping_Sheet!$B$2:$B$3143=$A50))/sum(filter(
Master_Mapping_Sheet!$E$2:$E$3143, ISNUMBER(
Master_Mapping_Sh"&amp;"eet!$E$2:$E$3143),
Master_Mapping_Sheet!$H$2:$H$3143=C$1))), 0, sum(filter(
Master_Mapping_Sheet!$E$2:$E$3143, ISNUMBER(
Master_Mapping_Sheet!$E$2:$E$3143),
Master_Mapping_Sheet!$H$2:$H$3143=C$1,
Master_Mapping_Sheet!$B$2:$B$3143=$A50))/sum(filter(
Master"&amp;"_Mapping_Sheet!$E$2:$E$3143, ISNUMBER(
Master_Mapping_Sheet!$E$2:$E$3143),
Master_Mapping_Sheet!$H$2:$H$3143=C$1)))"),0.0)</f>
        <v>0</v>
      </c>
      <c r="D50" s="34">
        <f>IFERROR(__xludf.DUMMYFUNCTION("IF(ISNA(sum(filter(
Master_Mapping_Sheet!$E$2:$E$3143, ISNUMBER(
Master_Mapping_Sheet!$E$2:$E$3143),
Master_Mapping_Sheet!$H$2:$H$3143=D$1,
Master_Mapping_Sheet!$B$2:$B$3143=$A50))/sum(filter(
Master_Mapping_Sheet!$E$2:$E$3143, ISNUMBER(
Master_Mapping_Sh"&amp;"eet!$E$2:$E$3143),
Master_Mapping_Sheet!$H$2:$H$3143=D$1))), 0, sum(filter(
Master_Mapping_Sheet!$E$2:$E$3143, ISNUMBER(
Master_Mapping_Sheet!$E$2:$E$3143),
Master_Mapping_Sheet!$H$2:$H$3143=D$1,
Master_Mapping_Sheet!$B$2:$B$3143=$A50))/sum(filter(
Master"&amp;"_Mapping_Sheet!$E$2:$E$3143, ISNUMBER(
Master_Mapping_Sheet!$E$2:$E$3143),
Master_Mapping_Sheet!$H$2:$H$3143=D$1)))"),0.0)</f>
        <v>0</v>
      </c>
      <c r="E50" s="32">
        <f>IFERROR(__xludf.DUMMYFUNCTION("IF(ISNA(sum(filter(
Master_Mapping_Sheet!$E$2:$E$3143, ISNUMBER(
Master_Mapping_Sheet!$E$2:$E$3143),
Master_Mapping_Sheet!$H$2:$H$3143=E$1,
Master_Mapping_Sheet!$B$2:$B$3143=$A50))/sum(filter(
Master_Mapping_Sheet!$E$2:$E$3143, ISNUMBER(
Master_Mapping_Sh"&amp;"eet!$E$2:$E$3143),
Master_Mapping_Sheet!$H$2:$H$3143=E$1))), 0, sum(filter(
Master_Mapping_Sheet!$E$2:$E$3143, ISNUMBER(
Master_Mapping_Sheet!$E$2:$E$3143),
Master_Mapping_Sheet!$H$2:$H$3143=E$1,
Master_Mapping_Sheet!$B$2:$B$3143=$A50))/sum(filter(
Master"&amp;"_Mapping_Sheet!$E$2:$E$3143, ISNUMBER(
Master_Mapping_Sheet!$E$2:$E$3143),
Master_Mapping_Sheet!$H$2:$H$3143=E$1)))"),0.0)</f>
        <v>0</v>
      </c>
      <c r="F50" s="34">
        <f>IFERROR(__xludf.DUMMYFUNCTION("IF(ISNA(sum(filter(
Master_Mapping_Sheet!$E$2:$E$3143, ISNUMBER(
Master_Mapping_Sheet!$E$2:$E$3143),
Master_Mapping_Sheet!$H$2:$H$3143=F$1,
Master_Mapping_Sheet!$B$2:$B$3143=$A50))/sum(filter(
Master_Mapping_Sheet!$E$2:$E$3143, ISNUMBER(
Master_Mapping_Sh"&amp;"eet!$E$2:$E$3143),
Master_Mapping_Sheet!$H$2:$H$3143=F$1))), 0, sum(filter(
Master_Mapping_Sheet!$E$2:$E$3143, ISNUMBER(
Master_Mapping_Sheet!$E$2:$E$3143),
Master_Mapping_Sheet!$H$2:$H$3143=F$1,
Master_Mapping_Sheet!$B$2:$B$3143=$A50))/sum(filter(
Master"&amp;"_Mapping_Sheet!$E$2:$E$3143, ISNUMBER(
Master_Mapping_Sheet!$E$2:$E$3143),
Master_Mapping_Sheet!$H$2:$H$3143=F$1)))"),0.0)</f>
        <v>0</v>
      </c>
      <c r="G50" s="34">
        <f>IFERROR(__xludf.DUMMYFUNCTION("IF(ISNA(sum(filter(
Master_Mapping_Sheet!$E$2:$E$3143, ISNUMBER(
Master_Mapping_Sheet!$E$2:$E$3143),
Master_Mapping_Sheet!$H$2:$H$3143=G$1,
Master_Mapping_Sheet!$B$2:$B$3143=$A50))/sum(filter(
Master_Mapping_Sheet!$E$2:$E$3143, ISNUMBER(
Master_Mapping_Sh"&amp;"eet!$E$2:$E$3143),
Master_Mapping_Sheet!$H$2:$H$3143=G$1))), 0, sum(filter(
Master_Mapping_Sheet!$E$2:$E$3143, ISNUMBER(
Master_Mapping_Sheet!$E$2:$E$3143),
Master_Mapping_Sheet!$H$2:$H$3143=G$1,
Master_Mapping_Sheet!$B$2:$B$3143=$A50))/sum(filter(
Master"&amp;"_Mapping_Sheet!$E$2:$E$3143, ISNUMBER(
Master_Mapping_Sheet!$E$2:$E$3143),
Master_Mapping_Sheet!$H$2:$H$3143=G$1)))"),0.0)</f>
        <v>0</v>
      </c>
      <c r="H50" s="34">
        <f>IFERROR(__xludf.DUMMYFUNCTION("IF(ISNA(sum(filter(
Master_Mapping_Sheet!$E$2:$E$3143, ISNUMBER(
Master_Mapping_Sheet!$E$2:$E$3143),
Master_Mapping_Sheet!$H$2:$H$3143=H$1,
Master_Mapping_Sheet!$B$2:$B$3143=$A50))/sum(filter(
Master_Mapping_Sheet!$E$2:$E$3143, ISNUMBER(
Master_Mapping_Sh"&amp;"eet!$E$2:$E$3143),
Master_Mapping_Sheet!$H$2:$H$3143=H$1))), 0, sum(filter(
Master_Mapping_Sheet!$E$2:$E$3143, ISNUMBER(
Master_Mapping_Sheet!$E$2:$E$3143),
Master_Mapping_Sheet!$H$2:$H$3143=H$1,
Master_Mapping_Sheet!$B$2:$B$3143=$A50))/sum(filter(
Master"&amp;"_Mapping_Sheet!$E$2:$E$3143, ISNUMBER(
Master_Mapping_Sheet!$E$2:$E$3143),
Master_Mapping_Sheet!$H$2:$H$3143=H$1)))"),0.0)</f>
        <v>0</v>
      </c>
      <c r="I50" s="34">
        <f>IFERROR(__xludf.DUMMYFUNCTION("IF(ISNA(sum(filter(
Master_Mapping_Sheet!$E$2:$E$3143, ISNUMBER(
Master_Mapping_Sheet!$E$2:$E$3143),
Master_Mapping_Sheet!$H$2:$H$3143=I$1,
Master_Mapping_Sheet!$B$2:$B$3143=$A50))/sum(filter(
Master_Mapping_Sheet!$E$2:$E$3143, ISNUMBER(
Master_Mapping_Sh"&amp;"eet!$E$2:$E$3143),
Master_Mapping_Sheet!$H$2:$H$3143=I$1))), 0, sum(filter(
Master_Mapping_Sheet!$E$2:$E$3143, ISNUMBER(
Master_Mapping_Sheet!$E$2:$E$3143),
Master_Mapping_Sheet!$H$2:$H$3143=I$1,
Master_Mapping_Sheet!$B$2:$B$3143=$A50))/sum(filter(
Master"&amp;"_Mapping_Sheet!$E$2:$E$3143, ISNUMBER(
Master_Mapping_Sheet!$E$2:$E$3143),
Master_Mapping_Sheet!$H$2:$H$3143=I$1)))"),0.0)</f>
        <v>0</v>
      </c>
      <c r="J50" s="34">
        <f>IFERROR(__xludf.DUMMYFUNCTION("IF(ISNA(sum(filter(
Master_Mapping_Sheet!$E$2:$E$3143, ISNUMBER(
Master_Mapping_Sheet!$E$2:$E$3143),
Master_Mapping_Sheet!$H$2:$H$3143=J$1,
Master_Mapping_Sheet!$B$2:$B$3143=$A50))/sum(filter(
Master_Mapping_Sheet!$E$2:$E$3143, ISNUMBER(
Master_Mapping_Sh"&amp;"eet!$E$2:$E$3143),
Master_Mapping_Sheet!$H$2:$H$3143=J$1))), 0, sum(filter(
Master_Mapping_Sheet!$E$2:$E$3143, ISNUMBER(
Master_Mapping_Sheet!$E$2:$E$3143),
Master_Mapping_Sheet!$H$2:$H$3143=J$1,
Master_Mapping_Sheet!$B$2:$B$3143=$A50))/sum(filter(
Master"&amp;"_Mapping_Sheet!$E$2:$E$3143, ISNUMBER(
Master_Mapping_Sheet!$E$2:$E$3143),
Master_Mapping_Sheet!$H$2:$H$3143=J$1)))"),0.0)</f>
        <v>0</v>
      </c>
      <c r="K50" s="34">
        <f>IFERROR(__xludf.DUMMYFUNCTION("IF(ISNA(sum(filter(
Master_Mapping_Sheet!$E$2:$E$3143, ISNUMBER(
Master_Mapping_Sheet!$E$2:$E$3143),
Master_Mapping_Sheet!$H$2:$H$3143=K$1,
Master_Mapping_Sheet!$B$2:$B$3143=$A50))/sum(filter(
Master_Mapping_Sheet!$E$2:$E$3143, ISNUMBER(
Master_Mapping_Sh"&amp;"eet!$E$2:$E$3143),
Master_Mapping_Sheet!$H$2:$H$3143=K$1))), 0, sum(filter(
Master_Mapping_Sheet!$E$2:$E$3143, ISNUMBER(
Master_Mapping_Sheet!$E$2:$E$3143),
Master_Mapping_Sheet!$H$2:$H$3143=K$1,
Master_Mapping_Sheet!$B$2:$B$3143=$A50))/sum(filter(
Master"&amp;"_Mapping_Sheet!$E$2:$E$3143, ISNUMBER(
Master_Mapping_Sheet!$E$2:$E$3143),
Master_Mapping_Sheet!$H$2:$H$3143=K$1)))"),0.0)</f>
        <v>0</v>
      </c>
      <c r="L50" s="34">
        <f>IFERROR(__xludf.DUMMYFUNCTION("IF(ISNA(sum(filter(
Master_Mapping_Sheet!$E$2:$E$3143, ISNUMBER(
Master_Mapping_Sheet!$E$2:$E$3143),
Master_Mapping_Sheet!$H$2:$H$3143=L$1,
Master_Mapping_Sheet!$B$2:$B$3143=$A50))/sum(filter(
Master_Mapping_Sheet!$E$2:$E$3143, ISNUMBER(
Master_Mapping_Sh"&amp;"eet!$E$2:$E$3143),
Master_Mapping_Sheet!$H$2:$H$3143=L$1))), 0, sum(filter(
Master_Mapping_Sheet!$E$2:$E$3143, ISNUMBER(
Master_Mapping_Sheet!$E$2:$E$3143),
Master_Mapping_Sheet!$H$2:$H$3143=L$1,
Master_Mapping_Sheet!$B$2:$B$3143=$A50))/sum(filter(
Master"&amp;"_Mapping_Sheet!$E$2:$E$3143, ISNUMBER(
Master_Mapping_Sheet!$E$2:$E$3143),
Master_Mapping_Sheet!$H$2:$H$3143=L$1)))"),0.0)</f>
        <v>0</v>
      </c>
      <c r="M50" s="34">
        <f>IFERROR(__xludf.DUMMYFUNCTION("IF(ISNA(sum(filter(
Master_Mapping_Sheet!$E$2:$E$3143, ISNUMBER(
Master_Mapping_Sheet!$E$2:$E$3143),
Master_Mapping_Sheet!$H$2:$H$3143=M$1,
Master_Mapping_Sheet!$B$2:$B$3143=$A50))/sum(filter(
Master_Mapping_Sheet!$E$2:$E$3143, ISNUMBER(
Master_Mapping_Sh"&amp;"eet!$E$2:$E$3143),
Master_Mapping_Sheet!$H$2:$H$3143=M$1))), 0, sum(filter(
Master_Mapping_Sheet!$E$2:$E$3143, ISNUMBER(
Master_Mapping_Sheet!$E$2:$E$3143),
Master_Mapping_Sheet!$H$2:$H$3143=M$1,
Master_Mapping_Sheet!$B$2:$B$3143=$A50))/sum(filter(
Master"&amp;"_Mapping_Sheet!$E$2:$E$3143, ISNUMBER(
Master_Mapping_Sheet!$E$2:$E$3143),
Master_Mapping_Sheet!$H$2:$H$3143=M$1)))"),0.07740520014388919)</f>
        <v>0.07740520014</v>
      </c>
      <c r="N50" s="34">
        <f>IFERROR(__xludf.DUMMYFUNCTION("IF(ISNA(sum(filter(
Master_Mapping_Sheet!$E$2:$E$3143, ISNUMBER(
Master_Mapping_Sheet!$E$2:$E$3143),
Master_Mapping_Sheet!$H$2:$H$3143=N$1,
Master_Mapping_Sheet!$B$2:$B$3143=$A50))/sum(filter(
Master_Mapping_Sheet!$E$2:$E$3143, ISNUMBER(
Master_Mapping_Sh"&amp;"eet!$E$2:$E$3143),
Master_Mapping_Sheet!$H$2:$H$3143=N$1))), 0, sum(filter(
Master_Mapping_Sheet!$E$2:$E$3143, ISNUMBER(
Master_Mapping_Sheet!$E$2:$E$3143),
Master_Mapping_Sheet!$H$2:$H$3143=N$1,
Master_Mapping_Sheet!$B$2:$B$3143=$A50))/sum(filter(
Master"&amp;"_Mapping_Sheet!$E$2:$E$3143, ISNUMBER(
Master_Mapping_Sheet!$E$2:$E$3143),
Master_Mapping_Sheet!$H$2:$H$3143=N$1)))"),0.0)</f>
        <v>0</v>
      </c>
      <c r="O50" s="34">
        <f>IFERROR(__xludf.DUMMYFUNCTION("IF(ISNA(sum(filter(
Master_Mapping_Sheet!$E$2:$E$3143, ISNUMBER(
Master_Mapping_Sheet!$E$2:$E$3143),
Master_Mapping_Sheet!$H$2:$H$3143=O$1,
Master_Mapping_Sheet!$B$2:$B$3143=$A50))/sum(filter(
Master_Mapping_Sheet!$E$2:$E$3143, ISNUMBER(
Master_Mapping_Sh"&amp;"eet!$E$2:$E$3143),
Master_Mapping_Sheet!$H$2:$H$3143=O$1))), 0, sum(filter(
Master_Mapping_Sheet!$E$2:$E$3143, ISNUMBER(
Master_Mapping_Sheet!$E$2:$E$3143),
Master_Mapping_Sheet!$H$2:$H$3143=O$1,
Master_Mapping_Sheet!$B$2:$B$3143=$A50))/sum(filter(
Master"&amp;"_Mapping_Sheet!$E$2:$E$3143, ISNUMBER(
Master_Mapping_Sheet!$E$2:$E$3143),
Master_Mapping_Sheet!$H$2:$H$3143=O$1)))"),0.0)</f>
        <v>0</v>
      </c>
      <c r="P50" s="34">
        <f>IFERROR(__xludf.DUMMYFUNCTION("IF(ISNA(sum(filter(
Master_Mapping_Sheet!$E$2:$E$3143, ISNUMBER(
Master_Mapping_Sheet!$E$2:$E$3143),
Master_Mapping_Sheet!$H$2:$H$3143=P$1,
Master_Mapping_Sheet!$B$2:$B$3143=$A50))/sum(filter(
Master_Mapping_Sheet!$E$2:$E$3143, ISNUMBER(
Master_Mapping_Sh"&amp;"eet!$E$2:$E$3143),
Master_Mapping_Sheet!$H$2:$H$3143=P$1))), 0, sum(filter(
Master_Mapping_Sheet!$E$2:$E$3143, ISNUMBER(
Master_Mapping_Sheet!$E$2:$E$3143),
Master_Mapping_Sheet!$H$2:$H$3143=P$1,
Master_Mapping_Sheet!$B$2:$B$3143=$A50))/sum(filter(
Master"&amp;"_Mapping_Sheet!$E$2:$E$3143, ISNUMBER(
Master_Mapping_Sheet!$E$2:$E$3143),
Master_Mapping_Sheet!$H$2:$H$3143=P$1)))"),0.0)</f>
        <v>0</v>
      </c>
      <c r="Q50" s="34">
        <f>IFERROR(__xludf.DUMMYFUNCTION("IF(ISNA(sum(filter(
Master_Mapping_Sheet!$E$2:$E$3143, ISNUMBER(
Master_Mapping_Sheet!$E$2:$E$3143),
Master_Mapping_Sheet!$H$2:$H$3143=Q$1,
Master_Mapping_Sheet!$B$2:$B$3143=$A50))/sum(filter(
Master_Mapping_Sheet!$E$2:$E$3143, ISNUMBER(
Master_Mapping_Sh"&amp;"eet!$E$2:$E$3143),
Master_Mapping_Sheet!$H$2:$H$3143=Q$1))), 0, sum(filter(
Master_Mapping_Sheet!$E$2:$E$3143, ISNUMBER(
Master_Mapping_Sheet!$E$2:$E$3143),
Master_Mapping_Sheet!$H$2:$H$3143=Q$1,
Master_Mapping_Sheet!$B$2:$B$3143=$A50))/sum(filter(
Master"&amp;"_Mapping_Sheet!$E$2:$E$3143, ISNUMBER(
Master_Mapping_Sheet!$E$2:$E$3143),
Master_Mapping_Sheet!$H$2:$H$3143=Q$1)))"),0.0)</f>
        <v>0</v>
      </c>
      <c r="R50" s="34">
        <f>IFERROR(__xludf.DUMMYFUNCTION("IF(ISNA(sum(filter(
Master_Mapping_Sheet!$E$2:$E$3143, ISNUMBER(
Master_Mapping_Sheet!$E$2:$E$3143),
Master_Mapping_Sheet!$H$2:$H$3143=R$1,
Master_Mapping_Sheet!$B$2:$B$3143=$A50))/sum(filter(
Master_Mapping_Sheet!$E$2:$E$3143, ISNUMBER(
Master_Mapping_Sh"&amp;"eet!$E$2:$E$3143),
Master_Mapping_Sheet!$H$2:$H$3143=R$1))), 0, sum(filter(
Master_Mapping_Sheet!$E$2:$E$3143, ISNUMBER(
Master_Mapping_Sheet!$E$2:$E$3143),
Master_Mapping_Sheet!$H$2:$H$3143=R$1,
Master_Mapping_Sheet!$B$2:$B$3143=$A50))/sum(filter(
Master"&amp;"_Mapping_Sheet!$E$2:$E$3143, ISNUMBER(
Master_Mapping_Sheet!$E$2:$E$3143),
Master_Mapping_Sheet!$H$2:$H$3143=R$1)))"),0.0)</f>
        <v>0</v>
      </c>
      <c r="S50" s="34">
        <f>IFERROR(__xludf.DUMMYFUNCTION("IF(ISNA(sum(filter(
Master_Mapping_Sheet!$E$2:$E$3143, ISNUMBER(
Master_Mapping_Sheet!$E$2:$E$3143),
Master_Mapping_Sheet!$H$2:$H$3143=S$1,
Master_Mapping_Sheet!$B$2:$B$3143=$A50))/sum(filter(
Master_Mapping_Sheet!$E$2:$E$3143, ISNUMBER(
Master_Mapping_Sh"&amp;"eet!$E$2:$E$3143),
Master_Mapping_Sheet!$H$2:$H$3143=S$1))), 0, sum(filter(
Master_Mapping_Sheet!$E$2:$E$3143, ISNUMBER(
Master_Mapping_Sheet!$E$2:$E$3143),
Master_Mapping_Sheet!$H$2:$H$3143=S$1,
Master_Mapping_Sheet!$B$2:$B$3143=$A50))/sum(filter(
Master"&amp;"_Mapping_Sheet!$E$2:$E$3143, ISNUMBER(
Master_Mapping_Sheet!$E$2:$E$3143),
Master_Mapping_Sheet!$H$2:$H$3143=S$1)))"),0.0)</f>
        <v>0</v>
      </c>
      <c r="T50" s="34">
        <f>IFERROR(__xludf.DUMMYFUNCTION("IF(ISNA(sum(filter(
Master_Mapping_Sheet!$E$2:$E$3143, ISNUMBER(
Master_Mapping_Sheet!$E$2:$E$3143),
Master_Mapping_Sheet!$H$2:$H$3143=T$1,
Master_Mapping_Sheet!$B$2:$B$3143=$A50))/sum(filter(
Master_Mapping_Sheet!$E$2:$E$3143, ISNUMBER(
Master_Mapping_Sh"&amp;"eet!$E$2:$E$3143),
Master_Mapping_Sheet!$H$2:$H$3143=T$1))), 0, sum(filter(
Master_Mapping_Sheet!$E$2:$E$3143, ISNUMBER(
Master_Mapping_Sheet!$E$2:$E$3143),
Master_Mapping_Sheet!$H$2:$H$3143=T$1,
Master_Mapping_Sheet!$B$2:$B$3143=$A50))/sum(filter(
Master"&amp;"_Mapping_Sheet!$E$2:$E$3143, ISNUMBER(
Master_Mapping_Sheet!$E$2:$E$3143),
Master_Mapping_Sheet!$H$2:$H$3143=T$1)))"),0.0)</f>
        <v>0</v>
      </c>
      <c r="U50" s="34">
        <f>IFERROR(__xludf.DUMMYFUNCTION("IF(ISNA(sum(filter(
Master_Mapping_Sheet!$E$2:$E$3143, ISNUMBER(
Master_Mapping_Sheet!$E$2:$E$3143),
Master_Mapping_Sheet!$H$2:$H$3143=U$1,
Master_Mapping_Sheet!$B$2:$B$3143=$A50))/sum(filter(
Master_Mapping_Sheet!$E$2:$E$3143, ISNUMBER(
Master_Mapping_Sh"&amp;"eet!$E$2:$E$3143),
Master_Mapping_Sheet!$H$2:$H$3143=U$1))), 0, sum(filter(
Master_Mapping_Sheet!$E$2:$E$3143, ISNUMBER(
Master_Mapping_Sheet!$E$2:$E$3143),
Master_Mapping_Sheet!$H$2:$H$3143=U$1,
Master_Mapping_Sheet!$B$2:$B$3143=$A50))/sum(filter(
Master"&amp;"_Mapping_Sheet!$E$2:$E$3143, ISNUMBER(
Master_Mapping_Sheet!$E$2:$E$3143),
Master_Mapping_Sheet!$H$2:$H$3143=U$1)))"),0.0)</f>
        <v>0</v>
      </c>
      <c r="V50" s="34">
        <f>IFERROR(__xludf.DUMMYFUNCTION("IF(ISNA(sum(filter(
Master_Mapping_Sheet!$E$2:$E$3143, ISNUMBER(
Master_Mapping_Sheet!$E$2:$E$3143),
Master_Mapping_Sheet!$H$2:$H$3143=V$1,
Master_Mapping_Sheet!$B$2:$B$3143=$A50))/sum(filter(
Master_Mapping_Sheet!$E$2:$E$3143, ISNUMBER(
Master_Mapping_Sh"&amp;"eet!$E$2:$E$3143),
Master_Mapping_Sheet!$H$2:$H$3143=V$1))), 0, sum(filter(
Master_Mapping_Sheet!$E$2:$E$3143, ISNUMBER(
Master_Mapping_Sheet!$E$2:$E$3143),
Master_Mapping_Sheet!$H$2:$H$3143=V$1,
Master_Mapping_Sheet!$B$2:$B$3143=$A50))/sum(filter(
Master"&amp;"_Mapping_Sheet!$E$2:$E$3143, ISNUMBER(
Master_Mapping_Sheet!$E$2:$E$3143),
Master_Mapping_Sheet!$H$2:$H$3143=V$1)))"),0.0)</f>
        <v>0</v>
      </c>
      <c r="W50" s="34">
        <f>IFERROR(__xludf.DUMMYFUNCTION("IF(ISNA(sum(filter(
Master_Mapping_Sheet!$E$2:$E$3143, ISNUMBER(
Master_Mapping_Sheet!$E$2:$E$3143),
Master_Mapping_Sheet!$H$2:$H$3143=W$1,
Master_Mapping_Sheet!$B$2:$B$3143=$A50))/sum(filter(
Master_Mapping_Sheet!$E$2:$E$3143, ISNUMBER(
Master_Mapping_Sh"&amp;"eet!$E$2:$E$3143),
Master_Mapping_Sheet!$H$2:$H$3143=W$1))), 0, sum(filter(
Master_Mapping_Sheet!$E$2:$E$3143, ISNUMBER(
Master_Mapping_Sheet!$E$2:$E$3143),
Master_Mapping_Sheet!$H$2:$H$3143=W$1,
Master_Mapping_Sheet!$B$2:$B$3143=$A50))/sum(filter(
Master"&amp;"_Mapping_Sheet!$E$2:$E$3143, ISNUMBER(
Master_Mapping_Sheet!$E$2:$E$3143),
Master_Mapping_Sheet!$H$2:$H$3143=W$1)))"),0.0)</f>
        <v>0</v>
      </c>
      <c r="X50" s="34">
        <f>IFERROR(__xludf.DUMMYFUNCTION("IF(ISNA(sum(filter(
Master_Mapping_Sheet!$E$2:$E$3143, ISNUMBER(
Master_Mapping_Sheet!$E$2:$E$3143),
Master_Mapping_Sheet!$H$2:$H$3143=X$1,
Master_Mapping_Sheet!$B$2:$B$3143=$A50))/sum(filter(
Master_Mapping_Sheet!$E$2:$E$3143, ISNUMBER(
Master_Mapping_Sh"&amp;"eet!$E$2:$E$3143),
Master_Mapping_Sheet!$H$2:$H$3143=X$1))), 0, sum(filter(
Master_Mapping_Sheet!$E$2:$E$3143, ISNUMBER(
Master_Mapping_Sheet!$E$2:$E$3143),
Master_Mapping_Sheet!$H$2:$H$3143=X$1,
Master_Mapping_Sheet!$B$2:$B$3143=$A50))/sum(filter(
Master"&amp;"_Mapping_Sheet!$E$2:$E$3143, ISNUMBER(
Master_Mapping_Sheet!$E$2:$E$3143),
Master_Mapping_Sheet!$H$2:$H$3143=X$1)))"),0.0)</f>
        <v>0</v>
      </c>
      <c r="Y50" s="34">
        <f>IFERROR(__xludf.DUMMYFUNCTION("IF(ISNA(sum(filter(
Master_Mapping_Sheet!$E$2:$E$3143, ISNUMBER(
Master_Mapping_Sheet!$E$2:$E$3143),
Master_Mapping_Sheet!$H$2:$H$3143=Y$1,
Master_Mapping_Sheet!$B$2:$B$3143=$A50))/sum(filter(
Master_Mapping_Sheet!$E$2:$E$3143, ISNUMBER(
Master_Mapping_Sh"&amp;"eet!$E$2:$E$3143),
Master_Mapping_Sheet!$H$2:$H$3143=Y$1))), 0, sum(filter(
Master_Mapping_Sheet!$E$2:$E$3143, ISNUMBER(
Master_Mapping_Sheet!$E$2:$E$3143),
Master_Mapping_Sheet!$H$2:$H$3143=Y$1,
Master_Mapping_Sheet!$B$2:$B$3143=$A50))/sum(filter(
Master"&amp;"_Mapping_Sheet!$E$2:$E$3143, ISNUMBER(
Master_Mapping_Sheet!$E$2:$E$3143),
Master_Mapping_Sheet!$H$2:$H$3143=Y$1)))"),0.0)</f>
        <v>0</v>
      </c>
      <c r="Z50" s="34">
        <f>IFERROR(__xludf.DUMMYFUNCTION("IF(ISNA(sum(filter(
Master_Mapping_Sheet!$E$2:$E$3143, ISNUMBER(
Master_Mapping_Sheet!$E$2:$E$3143),
Master_Mapping_Sheet!$H$2:$H$3143=Z$1,
Master_Mapping_Sheet!$B$2:$B$3143=$A50))/sum(filter(
Master_Mapping_Sheet!$E$2:$E$3143, ISNUMBER(
Master_Mapping_Sh"&amp;"eet!$E$2:$E$3143),
Master_Mapping_Sheet!$H$2:$H$3143=Z$1))), 0, sum(filter(
Master_Mapping_Sheet!$E$2:$E$3143, ISNUMBER(
Master_Mapping_Sheet!$E$2:$E$3143),
Master_Mapping_Sheet!$H$2:$H$3143=Z$1,
Master_Mapping_Sheet!$B$2:$B$3143=$A50))/sum(filter(
Master"&amp;"_Mapping_Sheet!$E$2:$E$3143, ISNUMBER(
Master_Mapping_Sheet!$E$2:$E$3143),
Master_Mapping_Sheet!$H$2:$H$3143=Z$1)))"),0.0)</f>
        <v>0</v>
      </c>
      <c r="AA50" s="34">
        <f>IFERROR(__xludf.DUMMYFUNCTION("IF(ISNA(sum(filter(
Master_Mapping_Sheet!$E$2:$E$3143, ISNUMBER(
Master_Mapping_Sheet!$E$2:$E$3143),
Master_Mapping_Sheet!$H$2:$H$3143=AA$1,
Master_Mapping_Sheet!$B$2:$B$3143=$A50))/sum(filter(
Master_Mapping_Sheet!$E$2:$E$3143, ISNUMBER(
Master_Mapping_S"&amp;"heet!$E$2:$E$3143),
Master_Mapping_Sheet!$H$2:$H$3143=AA$1))), 0, sum(filter(
Master_Mapping_Sheet!$E$2:$E$3143, ISNUMBER(
Master_Mapping_Sheet!$E$2:$E$3143),
Master_Mapping_Sheet!$H$2:$H$3143=AA$1,
Master_Mapping_Sheet!$B$2:$B$3143=$A50))/sum(filter(
Mas"&amp;"ter_Mapping_Sheet!$E$2:$E$3143, ISNUMBER(
Master_Mapping_Sheet!$E$2:$E$3143),
Master_Mapping_Sheet!$H$2:$H$3143=AA$1)))"),0.0)</f>
        <v>0</v>
      </c>
    </row>
    <row r="51" ht="15.75" customHeight="1">
      <c r="A51" s="34" t="s">
        <v>1942</v>
      </c>
      <c r="B51" s="34" t="s">
        <v>3838</v>
      </c>
      <c r="C51" s="34">
        <f>IFERROR(__xludf.DUMMYFUNCTION("IF(ISNA(sum(filter(
Master_Mapping_Sheet!$E$2:$E$3143, ISNUMBER(
Master_Mapping_Sheet!$E$2:$E$3143),
Master_Mapping_Sheet!$H$2:$H$3143=C$1,
Master_Mapping_Sheet!$B$2:$B$3143=$A51))/sum(filter(
Master_Mapping_Sheet!$E$2:$E$3143, ISNUMBER(
Master_Mapping_Sh"&amp;"eet!$E$2:$E$3143),
Master_Mapping_Sheet!$H$2:$H$3143=C$1))), 0, sum(filter(
Master_Mapping_Sheet!$E$2:$E$3143, ISNUMBER(
Master_Mapping_Sheet!$E$2:$E$3143),
Master_Mapping_Sheet!$H$2:$H$3143=C$1,
Master_Mapping_Sheet!$B$2:$B$3143=$A51))/sum(filter(
Master"&amp;"_Mapping_Sheet!$E$2:$E$3143, ISNUMBER(
Master_Mapping_Sheet!$E$2:$E$3143),
Master_Mapping_Sheet!$H$2:$H$3143=C$1)))"),0.0)</f>
        <v>0</v>
      </c>
      <c r="D51" s="34">
        <f>IFERROR(__xludf.DUMMYFUNCTION("IF(ISNA(sum(filter(
Master_Mapping_Sheet!$E$2:$E$3143, ISNUMBER(
Master_Mapping_Sheet!$E$2:$E$3143),
Master_Mapping_Sheet!$H$2:$H$3143=D$1,
Master_Mapping_Sheet!$B$2:$B$3143=$A51))/sum(filter(
Master_Mapping_Sheet!$E$2:$E$3143, ISNUMBER(
Master_Mapping_Sh"&amp;"eet!$E$2:$E$3143),
Master_Mapping_Sheet!$H$2:$H$3143=D$1))), 0, sum(filter(
Master_Mapping_Sheet!$E$2:$E$3143, ISNUMBER(
Master_Mapping_Sheet!$E$2:$E$3143),
Master_Mapping_Sheet!$H$2:$H$3143=D$1,
Master_Mapping_Sheet!$B$2:$B$3143=$A51))/sum(filter(
Master"&amp;"_Mapping_Sheet!$E$2:$E$3143, ISNUMBER(
Master_Mapping_Sheet!$E$2:$E$3143),
Master_Mapping_Sheet!$H$2:$H$3143=D$1)))"),0.0)</f>
        <v>0</v>
      </c>
      <c r="E51" s="32">
        <f>IFERROR(__xludf.DUMMYFUNCTION("IF(ISNA(sum(filter(
Master_Mapping_Sheet!$E$2:$E$3143, ISNUMBER(
Master_Mapping_Sheet!$E$2:$E$3143),
Master_Mapping_Sheet!$H$2:$H$3143=E$1,
Master_Mapping_Sheet!$B$2:$B$3143=$A51))/sum(filter(
Master_Mapping_Sheet!$E$2:$E$3143, ISNUMBER(
Master_Mapping_Sh"&amp;"eet!$E$2:$E$3143),
Master_Mapping_Sheet!$H$2:$H$3143=E$1))), 0, sum(filter(
Master_Mapping_Sheet!$E$2:$E$3143, ISNUMBER(
Master_Mapping_Sheet!$E$2:$E$3143),
Master_Mapping_Sheet!$H$2:$H$3143=E$1,
Master_Mapping_Sheet!$B$2:$B$3143=$A51))/sum(filter(
Master"&amp;"_Mapping_Sheet!$E$2:$E$3143, ISNUMBER(
Master_Mapping_Sheet!$E$2:$E$3143),
Master_Mapping_Sheet!$H$2:$H$3143=E$1)))"),0.4090647246221192)</f>
        <v>0.4090647246</v>
      </c>
      <c r="F51" s="34">
        <f>IFERROR(__xludf.DUMMYFUNCTION("IF(ISNA(sum(filter(
Master_Mapping_Sheet!$E$2:$E$3143, ISNUMBER(
Master_Mapping_Sheet!$E$2:$E$3143),
Master_Mapping_Sheet!$H$2:$H$3143=F$1,
Master_Mapping_Sheet!$B$2:$B$3143=$A51))/sum(filter(
Master_Mapping_Sheet!$E$2:$E$3143, ISNUMBER(
Master_Mapping_Sh"&amp;"eet!$E$2:$E$3143),
Master_Mapping_Sheet!$H$2:$H$3143=F$1))), 0, sum(filter(
Master_Mapping_Sheet!$E$2:$E$3143, ISNUMBER(
Master_Mapping_Sheet!$E$2:$E$3143),
Master_Mapping_Sheet!$H$2:$H$3143=F$1,
Master_Mapping_Sheet!$B$2:$B$3143=$A51))/sum(filter(
Master"&amp;"_Mapping_Sheet!$E$2:$E$3143, ISNUMBER(
Master_Mapping_Sheet!$E$2:$E$3143),
Master_Mapping_Sheet!$H$2:$H$3143=F$1)))"),0.0)</f>
        <v>0</v>
      </c>
      <c r="G51" s="34">
        <f>IFERROR(__xludf.DUMMYFUNCTION("IF(ISNA(sum(filter(
Master_Mapping_Sheet!$E$2:$E$3143, ISNUMBER(
Master_Mapping_Sheet!$E$2:$E$3143),
Master_Mapping_Sheet!$H$2:$H$3143=G$1,
Master_Mapping_Sheet!$B$2:$B$3143=$A51))/sum(filter(
Master_Mapping_Sheet!$E$2:$E$3143, ISNUMBER(
Master_Mapping_Sh"&amp;"eet!$E$2:$E$3143),
Master_Mapping_Sheet!$H$2:$H$3143=G$1))), 0, sum(filter(
Master_Mapping_Sheet!$E$2:$E$3143, ISNUMBER(
Master_Mapping_Sheet!$E$2:$E$3143),
Master_Mapping_Sheet!$H$2:$H$3143=G$1,
Master_Mapping_Sheet!$B$2:$B$3143=$A51))/sum(filter(
Master"&amp;"_Mapping_Sheet!$E$2:$E$3143, ISNUMBER(
Master_Mapping_Sheet!$E$2:$E$3143),
Master_Mapping_Sheet!$H$2:$H$3143=G$1)))"),0.0)</f>
        <v>0</v>
      </c>
      <c r="H51" s="34">
        <f>IFERROR(__xludf.DUMMYFUNCTION("IF(ISNA(sum(filter(
Master_Mapping_Sheet!$E$2:$E$3143, ISNUMBER(
Master_Mapping_Sheet!$E$2:$E$3143),
Master_Mapping_Sheet!$H$2:$H$3143=H$1,
Master_Mapping_Sheet!$B$2:$B$3143=$A51))/sum(filter(
Master_Mapping_Sheet!$E$2:$E$3143, ISNUMBER(
Master_Mapping_Sh"&amp;"eet!$E$2:$E$3143),
Master_Mapping_Sheet!$H$2:$H$3143=H$1))), 0, sum(filter(
Master_Mapping_Sheet!$E$2:$E$3143, ISNUMBER(
Master_Mapping_Sheet!$E$2:$E$3143),
Master_Mapping_Sheet!$H$2:$H$3143=H$1,
Master_Mapping_Sheet!$B$2:$B$3143=$A51))/sum(filter(
Master"&amp;"_Mapping_Sheet!$E$2:$E$3143, ISNUMBER(
Master_Mapping_Sheet!$E$2:$E$3143),
Master_Mapping_Sheet!$H$2:$H$3143=H$1)))"),0.0)</f>
        <v>0</v>
      </c>
      <c r="I51" s="34">
        <f>IFERROR(__xludf.DUMMYFUNCTION("IF(ISNA(sum(filter(
Master_Mapping_Sheet!$E$2:$E$3143, ISNUMBER(
Master_Mapping_Sheet!$E$2:$E$3143),
Master_Mapping_Sheet!$H$2:$H$3143=I$1,
Master_Mapping_Sheet!$B$2:$B$3143=$A51))/sum(filter(
Master_Mapping_Sheet!$E$2:$E$3143, ISNUMBER(
Master_Mapping_Sh"&amp;"eet!$E$2:$E$3143),
Master_Mapping_Sheet!$H$2:$H$3143=I$1))), 0, sum(filter(
Master_Mapping_Sheet!$E$2:$E$3143, ISNUMBER(
Master_Mapping_Sheet!$E$2:$E$3143),
Master_Mapping_Sheet!$H$2:$H$3143=I$1,
Master_Mapping_Sheet!$B$2:$B$3143=$A51))/sum(filter(
Master"&amp;"_Mapping_Sheet!$E$2:$E$3143, ISNUMBER(
Master_Mapping_Sheet!$E$2:$E$3143),
Master_Mapping_Sheet!$H$2:$H$3143=I$1)))"),0.0)</f>
        <v>0</v>
      </c>
      <c r="J51" s="34">
        <f>IFERROR(__xludf.DUMMYFUNCTION("IF(ISNA(sum(filter(
Master_Mapping_Sheet!$E$2:$E$3143, ISNUMBER(
Master_Mapping_Sheet!$E$2:$E$3143),
Master_Mapping_Sheet!$H$2:$H$3143=J$1,
Master_Mapping_Sheet!$B$2:$B$3143=$A51))/sum(filter(
Master_Mapping_Sheet!$E$2:$E$3143, ISNUMBER(
Master_Mapping_Sh"&amp;"eet!$E$2:$E$3143),
Master_Mapping_Sheet!$H$2:$H$3143=J$1))), 0, sum(filter(
Master_Mapping_Sheet!$E$2:$E$3143, ISNUMBER(
Master_Mapping_Sheet!$E$2:$E$3143),
Master_Mapping_Sheet!$H$2:$H$3143=J$1,
Master_Mapping_Sheet!$B$2:$B$3143=$A51))/sum(filter(
Master"&amp;"_Mapping_Sheet!$E$2:$E$3143, ISNUMBER(
Master_Mapping_Sheet!$E$2:$E$3143),
Master_Mapping_Sheet!$H$2:$H$3143=J$1)))"),0.0)</f>
        <v>0</v>
      </c>
      <c r="K51" s="34">
        <f>IFERROR(__xludf.DUMMYFUNCTION("IF(ISNA(sum(filter(
Master_Mapping_Sheet!$E$2:$E$3143, ISNUMBER(
Master_Mapping_Sheet!$E$2:$E$3143),
Master_Mapping_Sheet!$H$2:$H$3143=K$1,
Master_Mapping_Sheet!$B$2:$B$3143=$A51))/sum(filter(
Master_Mapping_Sheet!$E$2:$E$3143, ISNUMBER(
Master_Mapping_Sh"&amp;"eet!$E$2:$E$3143),
Master_Mapping_Sheet!$H$2:$H$3143=K$1))), 0, sum(filter(
Master_Mapping_Sheet!$E$2:$E$3143, ISNUMBER(
Master_Mapping_Sheet!$E$2:$E$3143),
Master_Mapping_Sheet!$H$2:$H$3143=K$1,
Master_Mapping_Sheet!$B$2:$B$3143=$A51))/sum(filter(
Master"&amp;"_Mapping_Sheet!$E$2:$E$3143, ISNUMBER(
Master_Mapping_Sheet!$E$2:$E$3143),
Master_Mapping_Sheet!$H$2:$H$3143=K$1)))"),0.0)</f>
        <v>0</v>
      </c>
      <c r="L51" s="34">
        <f>IFERROR(__xludf.DUMMYFUNCTION("IF(ISNA(sum(filter(
Master_Mapping_Sheet!$E$2:$E$3143, ISNUMBER(
Master_Mapping_Sheet!$E$2:$E$3143),
Master_Mapping_Sheet!$H$2:$H$3143=L$1,
Master_Mapping_Sheet!$B$2:$B$3143=$A51))/sum(filter(
Master_Mapping_Sheet!$E$2:$E$3143, ISNUMBER(
Master_Mapping_Sh"&amp;"eet!$E$2:$E$3143),
Master_Mapping_Sheet!$H$2:$H$3143=L$1))), 0, sum(filter(
Master_Mapping_Sheet!$E$2:$E$3143, ISNUMBER(
Master_Mapping_Sheet!$E$2:$E$3143),
Master_Mapping_Sheet!$H$2:$H$3143=L$1,
Master_Mapping_Sheet!$B$2:$B$3143=$A51))/sum(filter(
Master"&amp;"_Mapping_Sheet!$E$2:$E$3143, ISNUMBER(
Master_Mapping_Sheet!$E$2:$E$3143),
Master_Mapping_Sheet!$H$2:$H$3143=L$1)))"),0.0)</f>
        <v>0</v>
      </c>
      <c r="M51" s="34">
        <f>IFERROR(__xludf.DUMMYFUNCTION("IF(ISNA(sum(filter(
Master_Mapping_Sheet!$E$2:$E$3143, ISNUMBER(
Master_Mapping_Sheet!$E$2:$E$3143),
Master_Mapping_Sheet!$H$2:$H$3143=M$1,
Master_Mapping_Sheet!$B$2:$B$3143=$A51))/sum(filter(
Master_Mapping_Sheet!$E$2:$E$3143, ISNUMBER(
Master_Mapping_Sh"&amp;"eet!$E$2:$E$3143),
Master_Mapping_Sheet!$H$2:$H$3143=M$1))), 0, sum(filter(
Master_Mapping_Sheet!$E$2:$E$3143, ISNUMBER(
Master_Mapping_Sheet!$E$2:$E$3143),
Master_Mapping_Sheet!$H$2:$H$3143=M$1,
Master_Mapping_Sheet!$B$2:$B$3143=$A51))/sum(filter(
Master"&amp;"_Mapping_Sheet!$E$2:$E$3143, ISNUMBER(
Master_Mapping_Sheet!$E$2:$E$3143),
Master_Mapping_Sheet!$H$2:$H$3143=M$1)))"),0.0)</f>
        <v>0</v>
      </c>
      <c r="N51" s="34">
        <f>IFERROR(__xludf.DUMMYFUNCTION("IF(ISNA(sum(filter(
Master_Mapping_Sheet!$E$2:$E$3143, ISNUMBER(
Master_Mapping_Sheet!$E$2:$E$3143),
Master_Mapping_Sheet!$H$2:$H$3143=N$1,
Master_Mapping_Sheet!$B$2:$B$3143=$A51))/sum(filter(
Master_Mapping_Sheet!$E$2:$E$3143, ISNUMBER(
Master_Mapping_Sh"&amp;"eet!$E$2:$E$3143),
Master_Mapping_Sheet!$H$2:$H$3143=N$1))), 0, sum(filter(
Master_Mapping_Sheet!$E$2:$E$3143, ISNUMBER(
Master_Mapping_Sheet!$E$2:$E$3143),
Master_Mapping_Sheet!$H$2:$H$3143=N$1,
Master_Mapping_Sheet!$B$2:$B$3143=$A51))/sum(filter(
Master"&amp;"_Mapping_Sheet!$E$2:$E$3143, ISNUMBER(
Master_Mapping_Sheet!$E$2:$E$3143),
Master_Mapping_Sheet!$H$2:$H$3143=N$1)))"),0.0)</f>
        <v>0</v>
      </c>
      <c r="O51" s="34">
        <f>IFERROR(__xludf.DUMMYFUNCTION("IF(ISNA(sum(filter(
Master_Mapping_Sheet!$E$2:$E$3143, ISNUMBER(
Master_Mapping_Sheet!$E$2:$E$3143),
Master_Mapping_Sheet!$H$2:$H$3143=O$1,
Master_Mapping_Sheet!$B$2:$B$3143=$A51))/sum(filter(
Master_Mapping_Sheet!$E$2:$E$3143, ISNUMBER(
Master_Mapping_Sh"&amp;"eet!$E$2:$E$3143),
Master_Mapping_Sheet!$H$2:$H$3143=O$1))), 0, sum(filter(
Master_Mapping_Sheet!$E$2:$E$3143, ISNUMBER(
Master_Mapping_Sheet!$E$2:$E$3143),
Master_Mapping_Sheet!$H$2:$H$3143=O$1,
Master_Mapping_Sheet!$B$2:$B$3143=$A51))/sum(filter(
Master"&amp;"_Mapping_Sheet!$E$2:$E$3143, ISNUMBER(
Master_Mapping_Sheet!$E$2:$E$3143),
Master_Mapping_Sheet!$H$2:$H$3143=O$1)))"),0.0)</f>
        <v>0</v>
      </c>
      <c r="P51" s="34">
        <f>IFERROR(__xludf.DUMMYFUNCTION("IF(ISNA(sum(filter(
Master_Mapping_Sheet!$E$2:$E$3143, ISNUMBER(
Master_Mapping_Sheet!$E$2:$E$3143),
Master_Mapping_Sheet!$H$2:$H$3143=P$1,
Master_Mapping_Sheet!$B$2:$B$3143=$A51))/sum(filter(
Master_Mapping_Sheet!$E$2:$E$3143, ISNUMBER(
Master_Mapping_Sh"&amp;"eet!$E$2:$E$3143),
Master_Mapping_Sheet!$H$2:$H$3143=P$1))), 0, sum(filter(
Master_Mapping_Sheet!$E$2:$E$3143, ISNUMBER(
Master_Mapping_Sheet!$E$2:$E$3143),
Master_Mapping_Sheet!$H$2:$H$3143=P$1,
Master_Mapping_Sheet!$B$2:$B$3143=$A51))/sum(filter(
Master"&amp;"_Mapping_Sheet!$E$2:$E$3143, ISNUMBER(
Master_Mapping_Sheet!$E$2:$E$3143),
Master_Mapping_Sheet!$H$2:$H$3143=P$1)))"),0.0)</f>
        <v>0</v>
      </c>
      <c r="Q51" s="34">
        <f>IFERROR(__xludf.DUMMYFUNCTION("IF(ISNA(sum(filter(
Master_Mapping_Sheet!$E$2:$E$3143, ISNUMBER(
Master_Mapping_Sheet!$E$2:$E$3143),
Master_Mapping_Sheet!$H$2:$H$3143=Q$1,
Master_Mapping_Sheet!$B$2:$B$3143=$A51))/sum(filter(
Master_Mapping_Sheet!$E$2:$E$3143, ISNUMBER(
Master_Mapping_Sh"&amp;"eet!$E$2:$E$3143),
Master_Mapping_Sheet!$H$2:$H$3143=Q$1))), 0, sum(filter(
Master_Mapping_Sheet!$E$2:$E$3143, ISNUMBER(
Master_Mapping_Sheet!$E$2:$E$3143),
Master_Mapping_Sheet!$H$2:$H$3143=Q$1,
Master_Mapping_Sheet!$B$2:$B$3143=$A51))/sum(filter(
Master"&amp;"_Mapping_Sheet!$E$2:$E$3143, ISNUMBER(
Master_Mapping_Sheet!$E$2:$E$3143),
Master_Mapping_Sheet!$H$2:$H$3143=Q$1)))"),0.0)</f>
        <v>0</v>
      </c>
      <c r="R51" s="34">
        <f>IFERROR(__xludf.DUMMYFUNCTION("IF(ISNA(sum(filter(
Master_Mapping_Sheet!$E$2:$E$3143, ISNUMBER(
Master_Mapping_Sheet!$E$2:$E$3143),
Master_Mapping_Sheet!$H$2:$H$3143=R$1,
Master_Mapping_Sheet!$B$2:$B$3143=$A51))/sum(filter(
Master_Mapping_Sheet!$E$2:$E$3143, ISNUMBER(
Master_Mapping_Sh"&amp;"eet!$E$2:$E$3143),
Master_Mapping_Sheet!$H$2:$H$3143=R$1))), 0, sum(filter(
Master_Mapping_Sheet!$E$2:$E$3143, ISNUMBER(
Master_Mapping_Sheet!$E$2:$E$3143),
Master_Mapping_Sheet!$H$2:$H$3143=R$1,
Master_Mapping_Sheet!$B$2:$B$3143=$A51))/sum(filter(
Master"&amp;"_Mapping_Sheet!$E$2:$E$3143, ISNUMBER(
Master_Mapping_Sheet!$E$2:$E$3143),
Master_Mapping_Sheet!$H$2:$H$3143=R$1)))"),0.0)</f>
        <v>0</v>
      </c>
      <c r="S51" s="34">
        <f>IFERROR(__xludf.DUMMYFUNCTION("IF(ISNA(sum(filter(
Master_Mapping_Sheet!$E$2:$E$3143, ISNUMBER(
Master_Mapping_Sheet!$E$2:$E$3143),
Master_Mapping_Sheet!$H$2:$H$3143=S$1,
Master_Mapping_Sheet!$B$2:$B$3143=$A51))/sum(filter(
Master_Mapping_Sheet!$E$2:$E$3143, ISNUMBER(
Master_Mapping_Sh"&amp;"eet!$E$2:$E$3143),
Master_Mapping_Sheet!$H$2:$H$3143=S$1))), 0, sum(filter(
Master_Mapping_Sheet!$E$2:$E$3143, ISNUMBER(
Master_Mapping_Sheet!$E$2:$E$3143),
Master_Mapping_Sheet!$H$2:$H$3143=S$1,
Master_Mapping_Sheet!$B$2:$B$3143=$A51))/sum(filter(
Master"&amp;"_Mapping_Sheet!$E$2:$E$3143, ISNUMBER(
Master_Mapping_Sheet!$E$2:$E$3143),
Master_Mapping_Sheet!$H$2:$H$3143=S$1)))"),0.0)</f>
        <v>0</v>
      </c>
      <c r="T51" s="34">
        <f>IFERROR(__xludf.DUMMYFUNCTION("IF(ISNA(sum(filter(
Master_Mapping_Sheet!$E$2:$E$3143, ISNUMBER(
Master_Mapping_Sheet!$E$2:$E$3143),
Master_Mapping_Sheet!$H$2:$H$3143=T$1,
Master_Mapping_Sheet!$B$2:$B$3143=$A51))/sum(filter(
Master_Mapping_Sheet!$E$2:$E$3143, ISNUMBER(
Master_Mapping_Sh"&amp;"eet!$E$2:$E$3143),
Master_Mapping_Sheet!$H$2:$H$3143=T$1))), 0, sum(filter(
Master_Mapping_Sheet!$E$2:$E$3143, ISNUMBER(
Master_Mapping_Sheet!$E$2:$E$3143),
Master_Mapping_Sheet!$H$2:$H$3143=T$1,
Master_Mapping_Sheet!$B$2:$B$3143=$A51))/sum(filter(
Master"&amp;"_Mapping_Sheet!$E$2:$E$3143, ISNUMBER(
Master_Mapping_Sheet!$E$2:$E$3143),
Master_Mapping_Sheet!$H$2:$H$3143=T$1)))"),0.0)</f>
        <v>0</v>
      </c>
      <c r="U51" s="34">
        <f>IFERROR(__xludf.DUMMYFUNCTION("IF(ISNA(sum(filter(
Master_Mapping_Sheet!$E$2:$E$3143, ISNUMBER(
Master_Mapping_Sheet!$E$2:$E$3143),
Master_Mapping_Sheet!$H$2:$H$3143=U$1,
Master_Mapping_Sheet!$B$2:$B$3143=$A51))/sum(filter(
Master_Mapping_Sheet!$E$2:$E$3143, ISNUMBER(
Master_Mapping_Sh"&amp;"eet!$E$2:$E$3143),
Master_Mapping_Sheet!$H$2:$H$3143=U$1))), 0, sum(filter(
Master_Mapping_Sheet!$E$2:$E$3143, ISNUMBER(
Master_Mapping_Sheet!$E$2:$E$3143),
Master_Mapping_Sheet!$H$2:$H$3143=U$1,
Master_Mapping_Sheet!$B$2:$B$3143=$A51))/sum(filter(
Master"&amp;"_Mapping_Sheet!$E$2:$E$3143, ISNUMBER(
Master_Mapping_Sheet!$E$2:$E$3143),
Master_Mapping_Sheet!$H$2:$H$3143=U$1)))"),0.0)</f>
        <v>0</v>
      </c>
      <c r="V51" s="34">
        <f>IFERROR(__xludf.DUMMYFUNCTION("IF(ISNA(sum(filter(
Master_Mapping_Sheet!$E$2:$E$3143, ISNUMBER(
Master_Mapping_Sheet!$E$2:$E$3143),
Master_Mapping_Sheet!$H$2:$H$3143=V$1,
Master_Mapping_Sheet!$B$2:$B$3143=$A51))/sum(filter(
Master_Mapping_Sheet!$E$2:$E$3143, ISNUMBER(
Master_Mapping_Sh"&amp;"eet!$E$2:$E$3143),
Master_Mapping_Sheet!$H$2:$H$3143=V$1))), 0, sum(filter(
Master_Mapping_Sheet!$E$2:$E$3143, ISNUMBER(
Master_Mapping_Sheet!$E$2:$E$3143),
Master_Mapping_Sheet!$H$2:$H$3143=V$1,
Master_Mapping_Sheet!$B$2:$B$3143=$A51))/sum(filter(
Master"&amp;"_Mapping_Sheet!$E$2:$E$3143, ISNUMBER(
Master_Mapping_Sheet!$E$2:$E$3143),
Master_Mapping_Sheet!$H$2:$H$3143=V$1)))"),0.0)</f>
        <v>0</v>
      </c>
      <c r="W51" s="34">
        <f>IFERROR(__xludf.DUMMYFUNCTION("IF(ISNA(sum(filter(
Master_Mapping_Sheet!$E$2:$E$3143, ISNUMBER(
Master_Mapping_Sheet!$E$2:$E$3143),
Master_Mapping_Sheet!$H$2:$H$3143=W$1,
Master_Mapping_Sheet!$B$2:$B$3143=$A51))/sum(filter(
Master_Mapping_Sheet!$E$2:$E$3143, ISNUMBER(
Master_Mapping_Sh"&amp;"eet!$E$2:$E$3143),
Master_Mapping_Sheet!$H$2:$H$3143=W$1))), 0, sum(filter(
Master_Mapping_Sheet!$E$2:$E$3143, ISNUMBER(
Master_Mapping_Sheet!$E$2:$E$3143),
Master_Mapping_Sheet!$H$2:$H$3143=W$1,
Master_Mapping_Sheet!$B$2:$B$3143=$A51))/sum(filter(
Master"&amp;"_Mapping_Sheet!$E$2:$E$3143, ISNUMBER(
Master_Mapping_Sheet!$E$2:$E$3143),
Master_Mapping_Sheet!$H$2:$H$3143=W$1)))"),0.0)</f>
        <v>0</v>
      </c>
      <c r="X51" s="34">
        <f>IFERROR(__xludf.DUMMYFUNCTION("IF(ISNA(sum(filter(
Master_Mapping_Sheet!$E$2:$E$3143, ISNUMBER(
Master_Mapping_Sheet!$E$2:$E$3143),
Master_Mapping_Sheet!$H$2:$H$3143=X$1,
Master_Mapping_Sheet!$B$2:$B$3143=$A51))/sum(filter(
Master_Mapping_Sheet!$E$2:$E$3143, ISNUMBER(
Master_Mapping_Sh"&amp;"eet!$E$2:$E$3143),
Master_Mapping_Sheet!$H$2:$H$3143=X$1))), 0, sum(filter(
Master_Mapping_Sheet!$E$2:$E$3143, ISNUMBER(
Master_Mapping_Sheet!$E$2:$E$3143),
Master_Mapping_Sheet!$H$2:$H$3143=X$1,
Master_Mapping_Sheet!$B$2:$B$3143=$A51))/sum(filter(
Master"&amp;"_Mapping_Sheet!$E$2:$E$3143, ISNUMBER(
Master_Mapping_Sheet!$E$2:$E$3143),
Master_Mapping_Sheet!$H$2:$H$3143=X$1)))"),0.0)</f>
        <v>0</v>
      </c>
      <c r="Y51" s="34">
        <f>IFERROR(__xludf.DUMMYFUNCTION("IF(ISNA(sum(filter(
Master_Mapping_Sheet!$E$2:$E$3143, ISNUMBER(
Master_Mapping_Sheet!$E$2:$E$3143),
Master_Mapping_Sheet!$H$2:$H$3143=Y$1,
Master_Mapping_Sheet!$B$2:$B$3143=$A51))/sum(filter(
Master_Mapping_Sheet!$E$2:$E$3143, ISNUMBER(
Master_Mapping_Sh"&amp;"eet!$E$2:$E$3143),
Master_Mapping_Sheet!$H$2:$H$3143=Y$1))), 0, sum(filter(
Master_Mapping_Sheet!$E$2:$E$3143, ISNUMBER(
Master_Mapping_Sheet!$E$2:$E$3143),
Master_Mapping_Sheet!$H$2:$H$3143=Y$1,
Master_Mapping_Sheet!$B$2:$B$3143=$A51))/sum(filter(
Master"&amp;"_Mapping_Sheet!$E$2:$E$3143, ISNUMBER(
Master_Mapping_Sheet!$E$2:$E$3143),
Master_Mapping_Sheet!$H$2:$H$3143=Y$1)))"),0.0)</f>
        <v>0</v>
      </c>
      <c r="Z51" s="34">
        <f>IFERROR(__xludf.DUMMYFUNCTION("IF(ISNA(sum(filter(
Master_Mapping_Sheet!$E$2:$E$3143, ISNUMBER(
Master_Mapping_Sheet!$E$2:$E$3143),
Master_Mapping_Sheet!$H$2:$H$3143=Z$1,
Master_Mapping_Sheet!$B$2:$B$3143=$A51))/sum(filter(
Master_Mapping_Sheet!$E$2:$E$3143, ISNUMBER(
Master_Mapping_Sh"&amp;"eet!$E$2:$E$3143),
Master_Mapping_Sheet!$H$2:$H$3143=Z$1))), 0, sum(filter(
Master_Mapping_Sheet!$E$2:$E$3143, ISNUMBER(
Master_Mapping_Sheet!$E$2:$E$3143),
Master_Mapping_Sheet!$H$2:$H$3143=Z$1,
Master_Mapping_Sheet!$B$2:$B$3143=$A51))/sum(filter(
Master"&amp;"_Mapping_Sheet!$E$2:$E$3143, ISNUMBER(
Master_Mapping_Sheet!$E$2:$E$3143),
Master_Mapping_Sheet!$H$2:$H$3143=Z$1)))"),0.0)</f>
        <v>0</v>
      </c>
      <c r="AA51" s="34">
        <f>IFERROR(__xludf.DUMMYFUNCTION("IF(ISNA(sum(filter(
Master_Mapping_Sheet!$E$2:$E$3143, ISNUMBER(
Master_Mapping_Sheet!$E$2:$E$3143),
Master_Mapping_Sheet!$H$2:$H$3143=AA$1,
Master_Mapping_Sheet!$B$2:$B$3143=$A51))/sum(filter(
Master_Mapping_Sheet!$E$2:$E$3143, ISNUMBER(
Master_Mapping_S"&amp;"heet!$E$2:$E$3143),
Master_Mapping_Sheet!$H$2:$H$3143=AA$1))), 0, sum(filter(
Master_Mapping_Sheet!$E$2:$E$3143, ISNUMBER(
Master_Mapping_Sheet!$E$2:$E$3143),
Master_Mapping_Sheet!$H$2:$H$3143=AA$1,
Master_Mapping_Sheet!$B$2:$B$3143=$A51))/sum(filter(
Mas"&amp;"ter_Mapping_Sheet!$E$2:$E$3143, ISNUMBER(
Master_Mapping_Sheet!$E$2:$E$3143),
Master_Mapping_Sheet!$H$2:$H$3143=AA$1)))"),0.0)</f>
        <v>0</v>
      </c>
    </row>
    <row r="52" ht="15.75" customHeight="1">
      <c r="A52" s="34" t="s">
        <v>1323</v>
      </c>
      <c r="B52" s="34" t="s">
        <v>3874</v>
      </c>
      <c r="C52" s="34">
        <f>IFERROR(__xludf.DUMMYFUNCTION("IF(ISNA(sum(filter(
Master_Mapping_Sheet!$E$2:$E$3143, ISNUMBER(
Master_Mapping_Sheet!$E$2:$E$3143),
Master_Mapping_Sheet!$H$2:$H$3143=C$1,
Master_Mapping_Sheet!$B$2:$B$3143=$A52))/sum(filter(
Master_Mapping_Sheet!$E$2:$E$3143, ISNUMBER(
Master_Mapping_Sh"&amp;"eet!$E$2:$E$3143),
Master_Mapping_Sheet!$H$2:$H$3143=C$1))), 0, sum(filter(
Master_Mapping_Sheet!$E$2:$E$3143, ISNUMBER(
Master_Mapping_Sheet!$E$2:$E$3143),
Master_Mapping_Sheet!$H$2:$H$3143=C$1,
Master_Mapping_Sheet!$B$2:$B$3143=$A52))/sum(filter(
Master"&amp;"_Mapping_Sheet!$E$2:$E$3143, ISNUMBER(
Master_Mapping_Sheet!$E$2:$E$3143),
Master_Mapping_Sheet!$H$2:$H$3143=C$1)))"),0.0)</f>
        <v>0</v>
      </c>
      <c r="D52" s="34">
        <f>IFERROR(__xludf.DUMMYFUNCTION("IF(ISNA(sum(filter(
Master_Mapping_Sheet!$E$2:$E$3143, ISNUMBER(
Master_Mapping_Sheet!$E$2:$E$3143),
Master_Mapping_Sheet!$H$2:$H$3143=D$1,
Master_Mapping_Sheet!$B$2:$B$3143=$A52))/sum(filter(
Master_Mapping_Sheet!$E$2:$E$3143, ISNUMBER(
Master_Mapping_Sh"&amp;"eet!$E$2:$E$3143),
Master_Mapping_Sheet!$H$2:$H$3143=D$1))), 0, sum(filter(
Master_Mapping_Sheet!$E$2:$E$3143, ISNUMBER(
Master_Mapping_Sheet!$E$2:$E$3143),
Master_Mapping_Sheet!$H$2:$H$3143=D$1,
Master_Mapping_Sheet!$B$2:$B$3143=$A52))/sum(filter(
Master"&amp;"_Mapping_Sheet!$E$2:$E$3143, ISNUMBER(
Master_Mapping_Sheet!$E$2:$E$3143),
Master_Mapping_Sheet!$H$2:$H$3143=D$1)))"),0.0)</f>
        <v>0</v>
      </c>
      <c r="E52" s="32">
        <f>IFERROR(__xludf.DUMMYFUNCTION("IF(ISNA(sum(filter(
Master_Mapping_Sheet!$E$2:$E$3143, ISNUMBER(
Master_Mapping_Sheet!$E$2:$E$3143),
Master_Mapping_Sheet!$H$2:$H$3143=E$1,
Master_Mapping_Sheet!$B$2:$B$3143=$A52))/sum(filter(
Master_Mapping_Sheet!$E$2:$E$3143, ISNUMBER(
Master_Mapping_Sh"&amp;"eet!$E$2:$E$3143),
Master_Mapping_Sheet!$H$2:$H$3143=E$1))), 0, sum(filter(
Master_Mapping_Sheet!$E$2:$E$3143, ISNUMBER(
Master_Mapping_Sheet!$E$2:$E$3143),
Master_Mapping_Sheet!$H$2:$H$3143=E$1,
Master_Mapping_Sheet!$B$2:$B$3143=$A52))/sum(filter(
Master"&amp;"_Mapping_Sheet!$E$2:$E$3143, ISNUMBER(
Master_Mapping_Sheet!$E$2:$E$3143),
Master_Mapping_Sheet!$H$2:$H$3143=E$1)))"),0.0)</f>
        <v>0</v>
      </c>
      <c r="F52" s="34">
        <f>IFERROR(__xludf.DUMMYFUNCTION("IF(ISNA(sum(filter(
Master_Mapping_Sheet!$E$2:$E$3143, ISNUMBER(
Master_Mapping_Sheet!$E$2:$E$3143),
Master_Mapping_Sheet!$H$2:$H$3143=F$1,
Master_Mapping_Sheet!$B$2:$B$3143=$A52))/sum(filter(
Master_Mapping_Sheet!$E$2:$E$3143, ISNUMBER(
Master_Mapping_Sh"&amp;"eet!$E$2:$E$3143),
Master_Mapping_Sheet!$H$2:$H$3143=F$1))), 0, sum(filter(
Master_Mapping_Sheet!$E$2:$E$3143, ISNUMBER(
Master_Mapping_Sheet!$E$2:$E$3143),
Master_Mapping_Sheet!$H$2:$H$3143=F$1,
Master_Mapping_Sheet!$B$2:$B$3143=$A52))/sum(filter(
Master"&amp;"_Mapping_Sheet!$E$2:$E$3143, ISNUMBER(
Master_Mapping_Sheet!$E$2:$E$3143),
Master_Mapping_Sheet!$H$2:$H$3143=F$1)))"),0.0)</f>
        <v>0</v>
      </c>
      <c r="G52" s="34">
        <f>IFERROR(__xludf.DUMMYFUNCTION("IF(ISNA(sum(filter(
Master_Mapping_Sheet!$E$2:$E$3143, ISNUMBER(
Master_Mapping_Sheet!$E$2:$E$3143),
Master_Mapping_Sheet!$H$2:$H$3143=G$1,
Master_Mapping_Sheet!$B$2:$B$3143=$A52))/sum(filter(
Master_Mapping_Sheet!$E$2:$E$3143, ISNUMBER(
Master_Mapping_Sh"&amp;"eet!$E$2:$E$3143),
Master_Mapping_Sheet!$H$2:$H$3143=G$1))), 0, sum(filter(
Master_Mapping_Sheet!$E$2:$E$3143, ISNUMBER(
Master_Mapping_Sheet!$E$2:$E$3143),
Master_Mapping_Sheet!$H$2:$H$3143=G$1,
Master_Mapping_Sheet!$B$2:$B$3143=$A52))/sum(filter(
Master"&amp;"_Mapping_Sheet!$E$2:$E$3143, ISNUMBER(
Master_Mapping_Sheet!$E$2:$E$3143),
Master_Mapping_Sheet!$H$2:$H$3143=G$1)))"),0.0)</f>
        <v>0</v>
      </c>
      <c r="H52" s="34">
        <f>IFERROR(__xludf.DUMMYFUNCTION("IF(ISNA(sum(filter(
Master_Mapping_Sheet!$E$2:$E$3143, ISNUMBER(
Master_Mapping_Sheet!$E$2:$E$3143),
Master_Mapping_Sheet!$H$2:$H$3143=H$1,
Master_Mapping_Sheet!$B$2:$B$3143=$A52))/sum(filter(
Master_Mapping_Sheet!$E$2:$E$3143, ISNUMBER(
Master_Mapping_Sh"&amp;"eet!$E$2:$E$3143),
Master_Mapping_Sheet!$H$2:$H$3143=H$1))), 0, sum(filter(
Master_Mapping_Sheet!$E$2:$E$3143, ISNUMBER(
Master_Mapping_Sheet!$E$2:$E$3143),
Master_Mapping_Sheet!$H$2:$H$3143=H$1,
Master_Mapping_Sheet!$B$2:$B$3143=$A52))/sum(filter(
Master"&amp;"_Mapping_Sheet!$E$2:$E$3143, ISNUMBER(
Master_Mapping_Sheet!$E$2:$E$3143),
Master_Mapping_Sheet!$H$2:$H$3143=H$1)))"),0.0)</f>
        <v>0</v>
      </c>
      <c r="I52" s="34">
        <f>IFERROR(__xludf.DUMMYFUNCTION("IF(ISNA(sum(filter(
Master_Mapping_Sheet!$E$2:$E$3143, ISNUMBER(
Master_Mapping_Sheet!$E$2:$E$3143),
Master_Mapping_Sheet!$H$2:$H$3143=I$1,
Master_Mapping_Sheet!$B$2:$B$3143=$A52))/sum(filter(
Master_Mapping_Sheet!$E$2:$E$3143, ISNUMBER(
Master_Mapping_Sh"&amp;"eet!$E$2:$E$3143),
Master_Mapping_Sheet!$H$2:$H$3143=I$1))), 0, sum(filter(
Master_Mapping_Sheet!$E$2:$E$3143, ISNUMBER(
Master_Mapping_Sheet!$E$2:$E$3143),
Master_Mapping_Sheet!$H$2:$H$3143=I$1,
Master_Mapping_Sheet!$B$2:$B$3143=$A52))/sum(filter(
Master"&amp;"_Mapping_Sheet!$E$2:$E$3143, ISNUMBER(
Master_Mapping_Sheet!$E$2:$E$3143),
Master_Mapping_Sheet!$H$2:$H$3143=I$1)))"),0.0)</f>
        <v>0</v>
      </c>
      <c r="J52" s="34">
        <f>IFERROR(__xludf.DUMMYFUNCTION("IF(ISNA(sum(filter(
Master_Mapping_Sheet!$E$2:$E$3143, ISNUMBER(
Master_Mapping_Sheet!$E$2:$E$3143),
Master_Mapping_Sheet!$H$2:$H$3143=J$1,
Master_Mapping_Sheet!$B$2:$B$3143=$A52))/sum(filter(
Master_Mapping_Sheet!$E$2:$E$3143, ISNUMBER(
Master_Mapping_Sh"&amp;"eet!$E$2:$E$3143),
Master_Mapping_Sheet!$H$2:$H$3143=J$1))), 0, sum(filter(
Master_Mapping_Sheet!$E$2:$E$3143, ISNUMBER(
Master_Mapping_Sheet!$E$2:$E$3143),
Master_Mapping_Sheet!$H$2:$H$3143=J$1,
Master_Mapping_Sheet!$B$2:$B$3143=$A52))/sum(filter(
Master"&amp;"_Mapping_Sheet!$E$2:$E$3143, ISNUMBER(
Master_Mapping_Sheet!$E$2:$E$3143),
Master_Mapping_Sheet!$H$2:$H$3143=J$1)))"),0.0)</f>
        <v>0</v>
      </c>
      <c r="K52" s="34">
        <f>IFERROR(__xludf.DUMMYFUNCTION("IF(ISNA(sum(filter(
Master_Mapping_Sheet!$E$2:$E$3143, ISNUMBER(
Master_Mapping_Sheet!$E$2:$E$3143),
Master_Mapping_Sheet!$H$2:$H$3143=K$1,
Master_Mapping_Sheet!$B$2:$B$3143=$A52))/sum(filter(
Master_Mapping_Sheet!$E$2:$E$3143, ISNUMBER(
Master_Mapping_Sh"&amp;"eet!$E$2:$E$3143),
Master_Mapping_Sheet!$H$2:$H$3143=K$1))), 0, sum(filter(
Master_Mapping_Sheet!$E$2:$E$3143, ISNUMBER(
Master_Mapping_Sheet!$E$2:$E$3143),
Master_Mapping_Sheet!$H$2:$H$3143=K$1,
Master_Mapping_Sheet!$B$2:$B$3143=$A52))/sum(filter(
Master"&amp;"_Mapping_Sheet!$E$2:$E$3143, ISNUMBER(
Master_Mapping_Sheet!$E$2:$E$3143),
Master_Mapping_Sheet!$H$2:$H$3143=K$1)))"),0.0)</f>
        <v>0</v>
      </c>
      <c r="L52" s="34">
        <f>IFERROR(__xludf.DUMMYFUNCTION("IF(ISNA(sum(filter(
Master_Mapping_Sheet!$E$2:$E$3143, ISNUMBER(
Master_Mapping_Sheet!$E$2:$E$3143),
Master_Mapping_Sheet!$H$2:$H$3143=L$1,
Master_Mapping_Sheet!$B$2:$B$3143=$A52))/sum(filter(
Master_Mapping_Sheet!$E$2:$E$3143, ISNUMBER(
Master_Mapping_Sh"&amp;"eet!$E$2:$E$3143),
Master_Mapping_Sheet!$H$2:$H$3143=L$1))), 0, sum(filter(
Master_Mapping_Sheet!$E$2:$E$3143, ISNUMBER(
Master_Mapping_Sheet!$E$2:$E$3143),
Master_Mapping_Sheet!$H$2:$H$3143=L$1,
Master_Mapping_Sheet!$B$2:$B$3143=$A52))/sum(filter(
Master"&amp;"_Mapping_Sheet!$E$2:$E$3143, ISNUMBER(
Master_Mapping_Sheet!$E$2:$E$3143),
Master_Mapping_Sheet!$H$2:$H$3143=L$1)))"),0.0)</f>
        <v>0</v>
      </c>
      <c r="M52" s="34">
        <f>IFERROR(__xludf.DUMMYFUNCTION("IF(ISNA(sum(filter(
Master_Mapping_Sheet!$E$2:$E$3143, ISNUMBER(
Master_Mapping_Sheet!$E$2:$E$3143),
Master_Mapping_Sheet!$H$2:$H$3143=M$1,
Master_Mapping_Sheet!$B$2:$B$3143=$A52))/sum(filter(
Master_Mapping_Sheet!$E$2:$E$3143, ISNUMBER(
Master_Mapping_Sh"&amp;"eet!$E$2:$E$3143),
Master_Mapping_Sheet!$H$2:$H$3143=M$1))), 0, sum(filter(
Master_Mapping_Sheet!$E$2:$E$3143, ISNUMBER(
Master_Mapping_Sheet!$E$2:$E$3143),
Master_Mapping_Sheet!$H$2:$H$3143=M$1,
Master_Mapping_Sheet!$B$2:$B$3143=$A52))/sum(filter(
Master"&amp;"_Mapping_Sheet!$E$2:$E$3143, ISNUMBER(
Master_Mapping_Sheet!$E$2:$E$3143),
Master_Mapping_Sheet!$H$2:$H$3143=M$1)))"),0.0)</f>
        <v>0</v>
      </c>
      <c r="N52" s="34">
        <f>IFERROR(__xludf.DUMMYFUNCTION("IF(ISNA(sum(filter(
Master_Mapping_Sheet!$E$2:$E$3143, ISNUMBER(
Master_Mapping_Sheet!$E$2:$E$3143),
Master_Mapping_Sheet!$H$2:$H$3143=N$1,
Master_Mapping_Sheet!$B$2:$B$3143=$A52))/sum(filter(
Master_Mapping_Sheet!$E$2:$E$3143, ISNUMBER(
Master_Mapping_Sh"&amp;"eet!$E$2:$E$3143),
Master_Mapping_Sheet!$H$2:$H$3143=N$1))), 0, sum(filter(
Master_Mapping_Sheet!$E$2:$E$3143, ISNUMBER(
Master_Mapping_Sheet!$E$2:$E$3143),
Master_Mapping_Sheet!$H$2:$H$3143=N$1,
Master_Mapping_Sheet!$B$2:$B$3143=$A52))/sum(filter(
Master"&amp;"_Mapping_Sheet!$E$2:$E$3143, ISNUMBER(
Master_Mapping_Sheet!$E$2:$E$3143),
Master_Mapping_Sheet!$H$2:$H$3143=N$1)))"),0.0)</f>
        <v>0</v>
      </c>
      <c r="O52" s="34">
        <f>IFERROR(__xludf.DUMMYFUNCTION("IF(ISNA(sum(filter(
Master_Mapping_Sheet!$E$2:$E$3143, ISNUMBER(
Master_Mapping_Sheet!$E$2:$E$3143),
Master_Mapping_Sheet!$H$2:$H$3143=O$1,
Master_Mapping_Sheet!$B$2:$B$3143=$A52))/sum(filter(
Master_Mapping_Sheet!$E$2:$E$3143, ISNUMBER(
Master_Mapping_Sh"&amp;"eet!$E$2:$E$3143),
Master_Mapping_Sheet!$H$2:$H$3143=O$1))), 0, sum(filter(
Master_Mapping_Sheet!$E$2:$E$3143, ISNUMBER(
Master_Mapping_Sheet!$E$2:$E$3143),
Master_Mapping_Sheet!$H$2:$H$3143=O$1,
Master_Mapping_Sheet!$B$2:$B$3143=$A52))/sum(filter(
Master"&amp;"_Mapping_Sheet!$E$2:$E$3143, ISNUMBER(
Master_Mapping_Sheet!$E$2:$E$3143),
Master_Mapping_Sheet!$H$2:$H$3143=O$1)))"),0.0)</f>
        <v>0</v>
      </c>
      <c r="P52" s="34">
        <f>IFERROR(__xludf.DUMMYFUNCTION("IF(ISNA(sum(filter(
Master_Mapping_Sheet!$E$2:$E$3143, ISNUMBER(
Master_Mapping_Sheet!$E$2:$E$3143),
Master_Mapping_Sheet!$H$2:$H$3143=P$1,
Master_Mapping_Sheet!$B$2:$B$3143=$A52))/sum(filter(
Master_Mapping_Sheet!$E$2:$E$3143, ISNUMBER(
Master_Mapping_Sh"&amp;"eet!$E$2:$E$3143),
Master_Mapping_Sheet!$H$2:$H$3143=P$1))), 0, sum(filter(
Master_Mapping_Sheet!$E$2:$E$3143, ISNUMBER(
Master_Mapping_Sheet!$E$2:$E$3143),
Master_Mapping_Sheet!$H$2:$H$3143=P$1,
Master_Mapping_Sheet!$B$2:$B$3143=$A52))/sum(filter(
Master"&amp;"_Mapping_Sheet!$E$2:$E$3143, ISNUMBER(
Master_Mapping_Sheet!$E$2:$E$3143),
Master_Mapping_Sheet!$H$2:$H$3143=P$1)))"),0.0)</f>
        <v>0</v>
      </c>
      <c r="Q52" s="34">
        <f>IFERROR(__xludf.DUMMYFUNCTION("IF(ISNA(sum(filter(
Master_Mapping_Sheet!$E$2:$E$3143, ISNUMBER(
Master_Mapping_Sheet!$E$2:$E$3143),
Master_Mapping_Sheet!$H$2:$H$3143=Q$1,
Master_Mapping_Sheet!$B$2:$B$3143=$A52))/sum(filter(
Master_Mapping_Sheet!$E$2:$E$3143, ISNUMBER(
Master_Mapping_Sh"&amp;"eet!$E$2:$E$3143),
Master_Mapping_Sheet!$H$2:$H$3143=Q$1))), 0, sum(filter(
Master_Mapping_Sheet!$E$2:$E$3143, ISNUMBER(
Master_Mapping_Sheet!$E$2:$E$3143),
Master_Mapping_Sheet!$H$2:$H$3143=Q$1,
Master_Mapping_Sheet!$B$2:$B$3143=$A52))/sum(filter(
Master"&amp;"_Mapping_Sheet!$E$2:$E$3143, ISNUMBER(
Master_Mapping_Sheet!$E$2:$E$3143),
Master_Mapping_Sheet!$H$2:$H$3143=Q$1)))"),0.0)</f>
        <v>0</v>
      </c>
      <c r="R52" s="34">
        <f>IFERROR(__xludf.DUMMYFUNCTION("IF(ISNA(sum(filter(
Master_Mapping_Sheet!$E$2:$E$3143, ISNUMBER(
Master_Mapping_Sheet!$E$2:$E$3143),
Master_Mapping_Sheet!$H$2:$H$3143=R$1,
Master_Mapping_Sheet!$B$2:$B$3143=$A52))/sum(filter(
Master_Mapping_Sheet!$E$2:$E$3143, ISNUMBER(
Master_Mapping_Sh"&amp;"eet!$E$2:$E$3143),
Master_Mapping_Sheet!$H$2:$H$3143=R$1))), 0, sum(filter(
Master_Mapping_Sheet!$E$2:$E$3143, ISNUMBER(
Master_Mapping_Sheet!$E$2:$E$3143),
Master_Mapping_Sheet!$H$2:$H$3143=R$1,
Master_Mapping_Sheet!$B$2:$B$3143=$A52))/sum(filter(
Master"&amp;"_Mapping_Sheet!$E$2:$E$3143, ISNUMBER(
Master_Mapping_Sheet!$E$2:$E$3143),
Master_Mapping_Sheet!$H$2:$H$3143=R$1)))"),0.0)</f>
        <v>0</v>
      </c>
      <c r="S52" s="34">
        <f>IFERROR(__xludf.DUMMYFUNCTION("IF(ISNA(sum(filter(
Master_Mapping_Sheet!$E$2:$E$3143, ISNUMBER(
Master_Mapping_Sheet!$E$2:$E$3143),
Master_Mapping_Sheet!$H$2:$H$3143=S$1,
Master_Mapping_Sheet!$B$2:$B$3143=$A52))/sum(filter(
Master_Mapping_Sheet!$E$2:$E$3143, ISNUMBER(
Master_Mapping_Sh"&amp;"eet!$E$2:$E$3143),
Master_Mapping_Sheet!$H$2:$H$3143=S$1))), 0, sum(filter(
Master_Mapping_Sheet!$E$2:$E$3143, ISNUMBER(
Master_Mapping_Sheet!$E$2:$E$3143),
Master_Mapping_Sheet!$H$2:$H$3143=S$1,
Master_Mapping_Sheet!$B$2:$B$3143=$A52))/sum(filter(
Master"&amp;"_Mapping_Sheet!$E$2:$E$3143, ISNUMBER(
Master_Mapping_Sheet!$E$2:$E$3143),
Master_Mapping_Sheet!$H$2:$H$3143=S$1)))"),0.0)</f>
        <v>0</v>
      </c>
      <c r="T52" s="34">
        <f>IFERROR(__xludf.DUMMYFUNCTION("IF(ISNA(sum(filter(
Master_Mapping_Sheet!$E$2:$E$3143, ISNUMBER(
Master_Mapping_Sheet!$E$2:$E$3143),
Master_Mapping_Sheet!$H$2:$H$3143=T$1,
Master_Mapping_Sheet!$B$2:$B$3143=$A52))/sum(filter(
Master_Mapping_Sheet!$E$2:$E$3143, ISNUMBER(
Master_Mapping_Sh"&amp;"eet!$E$2:$E$3143),
Master_Mapping_Sheet!$H$2:$H$3143=T$1))), 0, sum(filter(
Master_Mapping_Sheet!$E$2:$E$3143, ISNUMBER(
Master_Mapping_Sheet!$E$2:$E$3143),
Master_Mapping_Sheet!$H$2:$H$3143=T$1,
Master_Mapping_Sheet!$B$2:$B$3143=$A52))/sum(filter(
Master"&amp;"_Mapping_Sheet!$E$2:$E$3143, ISNUMBER(
Master_Mapping_Sheet!$E$2:$E$3143),
Master_Mapping_Sheet!$H$2:$H$3143=T$1)))"),0.0)</f>
        <v>0</v>
      </c>
      <c r="U52" s="34">
        <f>IFERROR(__xludf.DUMMYFUNCTION("IF(ISNA(sum(filter(
Master_Mapping_Sheet!$E$2:$E$3143, ISNUMBER(
Master_Mapping_Sheet!$E$2:$E$3143),
Master_Mapping_Sheet!$H$2:$H$3143=U$1,
Master_Mapping_Sheet!$B$2:$B$3143=$A52))/sum(filter(
Master_Mapping_Sheet!$E$2:$E$3143, ISNUMBER(
Master_Mapping_Sh"&amp;"eet!$E$2:$E$3143),
Master_Mapping_Sheet!$H$2:$H$3143=U$1))), 0, sum(filter(
Master_Mapping_Sheet!$E$2:$E$3143, ISNUMBER(
Master_Mapping_Sheet!$E$2:$E$3143),
Master_Mapping_Sheet!$H$2:$H$3143=U$1,
Master_Mapping_Sheet!$B$2:$B$3143=$A52))/sum(filter(
Master"&amp;"_Mapping_Sheet!$E$2:$E$3143, ISNUMBER(
Master_Mapping_Sheet!$E$2:$E$3143),
Master_Mapping_Sheet!$H$2:$H$3143=U$1)))"),0.0)</f>
        <v>0</v>
      </c>
      <c r="V52" s="34">
        <f>IFERROR(__xludf.DUMMYFUNCTION("IF(ISNA(sum(filter(
Master_Mapping_Sheet!$E$2:$E$3143, ISNUMBER(
Master_Mapping_Sheet!$E$2:$E$3143),
Master_Mapping_Sheet!$H$2:$H$3143=V$1,
Master_Mapping_Sheet!$B$2:$B$3143=$A52))/sum(filter(
Master_Mapping_Sheet!$E$2:$E$3143, ISNUMBER(
Master_Mapping_Sh"&amp;"eet!$E$2:$E$3143),
Master_Mapping_Sheet!$H$2:$H$3143=V$1))), 0, sum(filter(
Master_Mapping_Sheet!$E$2:$E$3143, ISNUMBER(
Master_Mapping_Sheet!$E$2:$E$3143),
Master_Mapping_Sheet!$H$2:$H$3143=V$1,
Master_Mapping_Sheet!$B$2:$B$3143=$A52))/sum(filter(
Master"&amp;"_Mapping_Sheet!$E$2:$E$3143, ISNUMBER(
Master_Mapping_Sheet!$E$2:$E$3143),
Master_Mapping_Sheet!$H$2:$H$3143=V$1)))"),0.0)</f>
        <v>0</v>
      </c>
      <c r="W52" s="34">
        <f>IFERROR(__xludf.DUMMYFUNCTION("IF(ISNA(sum(filter(
Master_Mapping_Sheet!$E$2:$E$3143, ISNUMBER(
Master_Mapping_Sheet!$E$2:$E$3143),
Master_Mapping_Sheet!$H$2:$H$3143=W$1,
Master_Mapping_Sheet!$B$2:$B$3143=$A52))/sum(filter(
Master_Mapping_Sheet!$E$2:$E$3143, ISNUMBER(
Master_Mapping_Sh"&amp;"eet!$E$2:$E$3143),
Master_Mapping_Sheet!$H$2:$H$3143=W$1))), 0, sum(filter(
Master_Mapping_Sheet!$E$2:$E$3143, ISNUMBER(
Master_Mapping_Sheet!$E$2:$E$3143),
Master_Mapping_Sheet!$H$2:$H$3143=W$1,
Master_Mapping_Sheet!$B$2:$B$3143=$A52))/sum(filter(
Master"&amp;"_Mapping_Sheet!$E$2:$E$3143, ISNUMBER(
Master_Mapping_Sheet!$E$2:$E$3143),
Master_Mapping_Sheet!$H$2:$H$3143=W$1)))"),0.0)</f>
        <v>0</v>
      </c>
      <c r="X52" s="34">
        <f>IFERROR(__xludf.DUMMYFUNCTION("IF(ISNA(sum(filter(
Master_Mapping_Sheet!$E$2:$E$3143, ISNUMBER(
Master_Mapping_Sheet!$E$2:$E$3143),
Master_Mapping_Sheet!$H$2:$H$3143=X$1,
Master_Mapping_Sheet!$B$2:$B$3143=$A52))/sum(filter(
Master_Mapping_Sheet!$E$2:$E$3143, ISNUMBER(
Master_Mapping_Sh"&amp;"eet!$E$2:$E$3143),
Master_Mapping_Sheet!$H$2:$H$3143=X$1))), 0, sum(filter(
Master_Mapping_Sheet!$E$2:$E$3143, ISNUMBER(
Master_Mapping_Sheet!$E$2:$E$3143),
Master_Mapping_Sheet!$H$2:$H$3143=X$1,
Master_Mapping_Sheet!$B$2:$B$3143=$A52))/sum(filter(
Master"&amp;"_Mapping_Sheet!$E$2:$E$3143, ISNUMBER(
Master_Mapping_Sheet!$E$2:$E$3143),
Master_Mapping_Sheet!$H$2:$H$3143=X$1)))"),0.0)</f>
        <v>0</v>
      </c>
      <c r="Y52" s="34">
        <f>IFERROR(__xludf.DUMMYFUNCTION("IF(ISNA(sum(filter(
Master_Mapping_Sheet!$E$2:$E$3143, ISNUMBER(
Master_Mapping_Sheet!$E$2:$E$3143),
Master_Mapping_Sheet!$H$2:$H$3143=Y$1,
Master_Mapping_Sheet!$B$2:$B$3143=$A52))/sum(filter(
Master_Mapping_Sheet!$E$2:$E$3143, ISNUMBER(
Master_Mapping_Sh"&amp;"eet!$E$2:$E$3143),
Master_Mapping_Sheet!$H$2:$H$3143=Y$1))), 0, sum(filter(
Master_Mapping_Sheet!$E$2:$E$3143, ISNUMBER(
Master_Mapping_Sheet!$E$2:$E$3143),
Master_Mapping_Sheet!$H$2:$H$3143=Y$1,
Master_Mapping_Sheet!$B$2:$B$3143=$A52))/sum(filter(
Master"&amp;"_Mapping_Sheet!$E$2:$E$3143, ISNUMBER(
Master_Mapping_Sheet!$E$2:$E$3143),
Master_Mapping_Sheet!$H$2:$H$3143=Y$1)))"),0.0)</f>
        <v>0</v>
      </c>
      <c r="Z52" s="34">
        <f>IFERROR(__xludf.DUMMYFUNCTION("IF(ISNA(sum(filter(
Master_Mapping_Sheet!$E$2:$E$3143, ISNUMBER(
Master_Mapping_Sheet!$E$2:$E$3143),
Master_Mapping_Sheet!$H$2:$H$3143=Z$1,
Master_Mapping_Sheet!$B$2:$B$3143=$A52))/sum(filter(
Master_Mapping_Sheet!$E$2:$E$3143, ISNUMBER(
Master_Mapping_Sh"&amp;"eet!$E$2:$E$3143),
Master_Mapping_Sheet!$H$2:$H$3143=Z$1))), 0, sum(filter(
Master_Mapping_Sheet!$E$2:$E$3143, ISNUMBER(
Master_Mapping_Sheet!$E$2:$E$3143),
Master_Mapping_Sheet!$H$2:$H$3143=Z$1,
Master_Mapping_Sheet!$B$2:$B$3143=$A52))/sum(filter(
Master"&amp;"_Mapping_Sheet!$E$2:$E$3143, ISNUMBER(
Master_Mapping_Sheet!$E$2:$E$3143),
Master_Mapping_Sheet!$H$2:$H$3143=Z$1)))"),0.04401449277642391)</f>
        <v>0.04401449278</v>
      </c>
      <c r="AA52" s="34">
        <f>IFERROR(__xludf.DUMMYFUNCTION("IF(ISNA(sum(filter(
Master_Mapping_Sheet!$E$2:$E$3143, ISNUMBER(
Master_Mapping_Sheet!$E$2:$E$3143),
Master_Mapping_Sheet!$H$2:$H$3143=AA$1,
Master_Mapping_Sheet!$B$2:$B$3143=$A52))/sum(filter(
Master_Mapping_Sheet!$E$2:$E$3143, ISNUMBER(
Master_Mapping_S"&amp;"heet!$E$2:$E$3143),
Master_Mapping_Sheet!$H$2:$H$3143=AA$1))), 0, sum(filter(
Master_Mapping_Sheet!$E$2:$E$3143, ISNUMBER(
Master_Mapping_Sheet!$E$2:$E$3143),
Master_Mapping_Sheet!$H$2:$H$3143=AA$1,
Master_Mapping_Sheet!$B$2:$B$3143=$A52))/sum(filter(
Mas"&amp;"ter_Mapping_Sheet!$E$2:$E$3143, ISNUMBER(
Master_Mapping_Sheet!$E$2:$E$3143),
Master_Mapping_Sheet!$H$2:$H$3143=AA$1)))"),0.035764309032195504)</f>
        <v>0.03576430903</v>
      </c>
    </row>
    <row r="53" ht="15.75" customHeight="1">
      <c r="E53" s="41"/>
    </row>
    <row r="54" ht="15.75" customHeight="1">
      <c r="E54" s="41"/>
    </row>
    <row r="55" ht="15.75" customHeight="1">
      <c r="E55" s="41"/>
    </row>
    <row r="56" ht="15.75" customHeight="1">
      <c r="E56" s="41"/>
    </row>
    <row r="57" ht="15.75" customHeight="1">
      <c r="E57" s="41"/>
    </row>
    <row r="58" ht="15.75" customHeight="1">
      <c r="E58" s="41"/>
    </row>
    <row r="59" ht="15.75" customHeight="1">
      <c r="E59" s="41"/>
    </row>
    <row r="60" ht="15.75" customHeight="1">
      <c r="E60" s="41"/>
    </row>
    <row r="61" ht="15.75" customHeight="1">
      <c r="E61" s="41"/>
    </row>
    <row r="62" ht="15.75" customHeight="1">
      <c r="E62" s="41"/>
    </row>
    <row r="63" ht="15.75" customHeight="1">
      <c r="E63" s="41"/>
    </row>
    <row r="64" ht="15.75" customHeight="1">
      <c r="E64" s="41"/>
    </row>
    <row r="65" ht="15.75" customHeight="1">
      <c r="E65" s="41"/>
    </row>
    <row r="66" ht="15.75" customHeight="1">
      <c r="E66" s="41"/>
    </row>
    <row r="67" ht="15.75" customHeight="1">
      <c r="E67" s="41"/>
    </row>
    <row r="68" ht="15.75" customHeight="1">
      <c r="E68" s="41"/>
    </row>
    <row r="69" ht="15.75" customHeight="1">
      <c r="E69" s="41"/>
    </row>
    <row r="70" ht="15.75" customHeight="1">
      <c r="E70" s="41"/>
    </row>
    <row r="71" ht="15.75" customHeight="1">
      <c r="E71" s="41"/>
    </row>
    <row r="72" ht="15.75" customHeight="1">
      <c r="E72" s="41"/>
    </row>
    <row r="73" ht="15.75" customHeight="1">
      <c r="E73" s="41"/>
    </row>
    <row r="74" ht="15.75" customHeight="1">
      <c r="E74" s="41"/>
    </row>
    <row r="75" ht="15.75" customHeight="1">
      <c r="E75" s="41"/>
    </row>
    <row r="76" ht="15.75" customHeight="1">
      <c r="E76" s="41"/>
    </row>
    <row r="77" ht="15.75" customHeight="1">
      <c r="E77" s="41"/>
    </row>
    <row r="78" ht="15.75" customHeight="1">
      <c r="E78" s="41"/>
    </row>
    <row r="79" ht="15.75" customHeight="1">
      <c r="E79" s="41"/>
    </row>
    <row r="80" ht="15.75" customHeight="1">
      <c r="E80" s="41"/>
    </row>
    <row r="81" ht="15.75" customHeight="1">
      <c r="E81" s="41"/>
    </row>
    <row r="82" ht="15.75" customHeight="1">
      <c r="E82" s="41"/>
    </row>
    <row r="83" ht="15.75" customHeight="1">
      <c r="E83" s="41"/>
    </row>
    <row r="84" ht="15.75" customHeight="1">
      <c r="E84" s="41"/>
    </row>
    <row r="85" ht="15.75" customHeight="1">
      <c r="E85" s="41"/>
    </row>
    <row r="86" ht="15.75" customHeight="1">
      <c r="E86" s="41"/>
    </row>
    <row r="87" ht="15.75" customHeight="1">
      <c r="E87" s="41"/>
    </row>
    <row r="88" ht="15.75" customHeight="1">
      <c r="E88" s="41"/>
    </row>
    <row r="89" ht="15.75" customHeight="1">
      <c r="E89" s="41"/>
    </row>
    <row r="90" ht="15.75" customHeight="1">
      <c r="E90" s="41"/>
    </row>
    <row r="91" ht="15.75" customHeight="1">
      <c r="E91" s="41"/>
    </row>
    <row r="92" ht="15.75" customHeight="1">
      <c r="E92" s="41"/>
    </row>
    <row r="93" ht="15.75" customHeight="1">
      <c r="E93" s="41"/>
    </row>
    <row r="94" ht="15.75" customHeight="1">
      <c r="E94" s="41"/>
    </row>
    <row r="95" ht="15.75" customHeight="1">
      <c r="E95" s="41"/>
    </row>
    <row r="96" ht="15.75" customHeight="1">
      <c r="E96" s="41"/>
    </row>
    <row r="97" ht="15.75" customHeight="1">
      <c r="E97" s="41"/>
    </row>
    <row r="98" ht="15.75" customHeight="1">
      <c r="E98" s="41"/>
    </row>
    <row r="99" ht="15.75" customHeight="1">
      <c r="E99" s="41"/>
    </row>
    <row r="100" ht="15.75" customHeight="1">
      <c r="E100" s="41"/>
    </row>
    <row r="101" ht="15.75" customHeight="1">
      <c r="E101" s="41"/>
    </row>
    <row r="102" ht="15.75" customHeight="1">
      <c r="E102" s="41"/>
    </row>
    <row r="103" ht="15.75" customHeight="1">
      <c r="E103" s="41"/>
    </row>
    <row r="104" ht="15.75" customHeight="1">
      <c r="E104" s="41"/>
    </row>
    <row r="105" ht="15.75" customHeight="1">
      <c r="E105" s="41"/>
    </row>
    <row r="106" ht="15.75" customHeight="1">
      <c r="E106" s="41"/>
    </row>
    <row r="107" ht="15.75" customHeight="1">
      <c r="E107" s="41"/>
    </row>
    <row r="108" ht="15.75" customHeight="1">
      <c r="E108" s="41"/>
    </row>
    <row r="109" ht="15.75" customHeight="1">
      <c r="E109" s="41"/>
    </row>
    <row r="110" ht="15.75" customHeight="1">
      <c r="E110" s="41"/>
    </row>
    <row r="111" ht="15.75" customHeight="1">
      <c r="E111" s="41"/>
    </row>
    <row r="112" ht="15.75" customHeight="1">
      <c r="E112" s="41"/>
    </row>
    <row r="113" ht="15.75" customHeight="1">
      <c r="E113" s="41"/>
    </row>
    <row r="114" ht="15.75" customHeight="1">
      <c r="E114" s="41"/>
    </row>
    <row r="115" ht="15.75" customHeight="1">
      <c r="E115" s="41"/>
    </row>
    <row r="116" ht="15.75" customHeight="1">
      <c r="E116" s="41"/>
    </row>
    <row r="117" ht="15.75" customHeight="1">
      <c r="E117" s="41"/>
    </row>
    <row r="118" ht="15.75" customHeight="1">
      <c r="E118" s="41"/>
    </row>
    <row r="119" ht="15.75" customHeight="1">
      <c r="E119" s="41"/>
    </row>
    <row r="120" ht="15.75" customHeight="1">
      <c r="E120" s="41"/>
    </row>
    <row r="121" ht="15.75" customHeight="1">
      <c r="E121" s="41"/>
    </row>
    <row r="122" ht="15.75" customHeight="1">
      <c r="E122" s="41"/>
    </row>
    <row r="123" ht="15.75" customHeight="1">
      <c r="E123" s="41"/>
    </row>
    <row r="124" ht="15.75" customHeight="1">
      <c r="E124" s="41"/>
    </row>
    <row r="125" ht="15.75" customHeight="1">
      <c r="E125" s="41"/>
    </row>
    <row r="126" ht="15.75" customHeight="1">
      <c r="E126" s="41"/>
    </row>
    <row r="127" ht="15.75" customHeight="1">
      <c r="E127" s="41"/>
    </row>
    <row r="128" ht="15.75" customHeight="1">
      <c r="E128" s="41"/>
    </row>
    <row r="129" ht="15.75" customHeight="1">
      <c r="E129" s="41"/>
    </row>
    <row r="130" ht="15.75" customHeight="1">
      <c r="E130" s="41"/>
    </row>
    <row r="131" ht="15.75" customHeight="1">
      <c r="E131" s="41"/>
    </row>
    <row r="132" ht="15.75" customHeight="1">
      <c r="E132" s="41"/>
    </row>
    <row r="133" ht="15.75" customHeight="1">
      <c r="E133" s="41"/>
    </row>
    <row r="134" ht="15.75" customHeight="1">
      <c r="E134" s="41"/>
    </row>
    <row r="135" ht="15.75" customHeight="1">
      <c r="E135" s="41"/>
    </row>
    <row r="136" ht="15.75" customHeight="1">
      <c r="E136" s="41"/>
    </row>
    <row r="137" ht="15.75" customHeight="1">
      <c r="E137" s="41"/>
    </row>
    <row r="138" ht="15.75" customHeight="1">
      <c r="E138" s="41"/>
    </row>
    <row r="139" ht="15.75" customHeight="1">
      <c r="E139" s="41"/>
    </row>
    <row r="140" ht="15.75" customHeight="1">
      <c r="E140" s="41"/>
    </row>
    <row r="141" ht="15.75" customHeight="1">
      <c r="E141" s="41"/>
    </row>
    <row r="142" ht="15.75" customHeight="1">
      <c r="E142" s="41"/>
    </row>
    <row r="143" ht="15.75" customHeight="1">
      <c r="E143" s="41"/>
    </row>
    <row r="144" ht="15.75" customHeight="1">
      <c r="E144" s="41"/>
    </row>
    <row r="145" ht="15.75" customHeight="1">
      <c r="E145" s="41"/>
    </row>
    <row r="146" ht="15.75" customHeight="1">
      <c r="E146" s="41"/>
    </row>
    <row r="147" ht="15.75" customHeight="1">
      <c r="E147" s="41"/>
    </row>
    <row r="148" ht="15.75" customHeight="1">
      <c r="E148" s="41"/>
    </row>
    <row r="149" ht="15.75" customHeight="1">
      <c r="E149" s="41"/>
    </row>
    <row r="150" ht="15.75" customHeight="1">
      <c r="E150" s="41"/>
    </row>
    <row r="151" ht="15.75" customHeight="1">
      <c r="E151" s="41"/>
    </row>
    <row r="152" ht="15.75" customHeight="1">
      <c r="E152" s="41"/>
    </row>
    <row r="153" ht="15.75" customHeight="1">
      <c r="E153" s="41"/>
    </row>
    <row r="154" ht="15.75" customHeight="1">
      <c r="E154" s="41"/>
    </row>
    <row r="155" ht="15.75" customHeight="1">
      <c r="E155" s="41"/>
    </row>
    <row r="156" ht="15.75" customHeight="1">
      <c r="E156" s="41"/>
    </row>
    <row r="157" ht="15.75" customHeight="1">
      <c r="E157" s="41"/>
    </row>
    <row r="158" ht="15.75" customHeight="1">
      <c r="E158" s="41"/>
    </row>
    <row r="159" ht="15.75" customHeight="1">
      <c r="E159" s="41"/>
    </row>
    <row r="160" ht="15.75" customHeight="1">
      <c r="E160" s="41"/>
    </row>
    <row r="161" ht="15.75" customHeight="1">
      <c r="E161" s="41"/>
    </row>
    <row r="162" ht="15.75" customHeight="1">
      <c r="E162" s="41"/>
    </row>
    <row r="163" ht="15.75" customHeight="1">
      <c r="E163" s="41"/>
    </row>
    <row r="164" ht="15.75" customHeight="1">
      <c r="E164" s="41"/>
    </row>
    <row r="165" ht="15.75" customHeight="1">
      <c r="E165" s="41"/>
    </row>
    <row r="166" ht="15.75" customHeight="1">
      <c r="E166" s="41"/>
    </row>
    <row r="167" ht="15.75" customHeight="1">
      <c r="E167" s="41"/>
    </row>
    <row r="168" ht="15.75" customHeight="1">
      <c r="E168" s="41"/>
    </row>
    <row r="169" ht="15.75" customHeight="1">
      <c r="E169" s="41"/>
    </row>
    <row r="170" ht="15.75" customHeight="1">
      <c r="E170" s="41"/>
    </row>
    <row r="171" ht="15.75" customHeight="1">
      <c r="E171" s="41"/>
    </row>
    <row r="172" ht="15.75" customHeight="1">
      <c r="E172" s="41"/>
    </row>
    <row r="173" ht="15.75" customHeight="1">
      <c r="E173" s="41"/>
    </row>
    <row r="174" ht="15.75" customHeight="1">
      <c r="E174" s="41"/>
    </row>
    <row r="175" ht="15.75" customHeight="1">
      <c r="E175" s="41"/>
    </row>
    <row r="176" ht="15.75" customHeight="1">
      <c r="E176" s="41"/>
    </row>
    <row r="177" ht="15.75" customHeight="1">
      <c r="E177" s="41"/>
    </row>
    <row r="178" ht="15.75" customHeight="1">
      <c r="E178" s="41"/>
    </row>
    <row r="179" ht="15.75" customHeight="1">
      <c r="E179" s="41"/>
    </row>
    <row r="180" ht="15.75" customHeight="1">
      <c r="E180" s="41"/>
    </row>
    <row r="181" ht="15.75" customHeight="1">
      <c r="E181" s="41"/>
    </row>
    <row r="182" ht="15.75" customHeight="1">
      <c r="E182" s="41"/>
    </row>
    <row r="183" ht="15.75" customHeight="1">
      <c r="E183" s="41"/>
    </row>
    <row r="184" ht="15.75" customHeight="1">
      <c r="E184" s="41"/>
    </row>
    <row r="185" ht="15.75" customHeight="1">
      <c r="E185" s="41"/>
    </row>
    <row r="186" ht="15.75" customHeight="1">
      <c r="E186" s="41"/>
    </row>
    <row r="187" ht="15.75" customHeight="1">
      <c r="E187" s="41"/>
    </row>
    <row r="188" ht="15.75" customHeight="1">
      <c r="E188" s="41"/>
    </row>
    <row r="189" ht="15.75" customHeight="1">
      <c r="E189" s="41"/>
    </row>
    <row r="190" ht="15.75" customHeight="1">
      <c r="E190" s="41"/>
    </row>
    <row r="191" ht="15.75" customHeight="1">
      <c r="E191" s="41"/>
    </row>
    <row r="192" ht="15.75" customHeight="1">
      <c r="E192" s="41"/>
    </row>
    <row r="193" ht="15.75" customHeight="1">
      <c r="E193" s="41"/>
    </row>
    <row r="194" ht="15.75" customHeight="1">
      <c r="E194" s="41"/>
    </row>
    <row r="195" ht="15.75" customHeight="1">
      <c r="E195" s="41"/>
    </row>
    <row r="196" ht="15.75" customHeight="1">
      <c r="E196" s="41"/>
    </row>
    <row r="197" ht="15.75" customHeight="1">
      <c r="E197" s="41"/>
    </row>
    <row r="198" ht="15.75" customHeight="1">
      <c r="E198" s="41"/>
    </row>
    <row r="199" ht="15.75" customHeight="1">
      <c r="E199" s="41"/>
    </row>
    <row r="200" ht="15.75" customHeight="1">
      <c r="E200" s="41"/>
    </row>
    <row r="201" ht="15.75" customHeight="1">
      <c r="E201" s="41"/>
    </row>
    <row r="202" ht="15.75" customHeight="1">
      <c r="E202" s="41"/>
    </row>
    <row r="203" ht="15.75" customHeight="1">
      <c r="E203" s="41"/>
    </row>
    <row r="204" ht="15.75" customHeight="1">
      <c r="E204" s="41"/>
    </row>
    <row r="205" ht="15.75" customHeight="1">
      <c r="E205" s="41"/>
    </row>
    <row r="206" ht="15.75" customHeight="1">
      <c r="E206" s="41"/>
    </row>
    <row r="207" ht="15.75" customHeight="1">
      <c r="E207" s="41"/>
    </row>
    <row r="208" ht="15.75" customHeight="1">
      <c r="E208" s="41"/>
    </row>
    <row r="209" ht="15.75" customHeight="1">
      <c r="E209" s="41"/>
    </row>
    <row r="210" ht="15.75" customHeight="1">
      <c r="E210" s="41"/>
    </row>
    <row r="211" ht="15.75" customHeight="1">
      <c r="E211" s="41"/>
    </row>
    <row r="212" ht="15.75" customHeight="1">
      <c r="E212" s="41"/>
    </row>
    <row r="213" ht="15.75" customHeight="1">
      <c r="E213" s="41"/>
    </row>
    <row r="214" ht="15.75" customHeight="1">
      <c r="E214" s="41"/>
    </row>
    <row r="215" ht="15.75" customHeight="1">
      <c r="E215" s="41"/>
    </row>
    <row r="216" ht="15.75" customHeight="1">
      <c r="E216" s="41"/>
    </row>
    <row r="217" ht="15.75" customHeight="1">
      <c r="E217" s="41"/>
    </row>
    <row r="218" ht="15.75" customHeight="1">
      <c r="E218" s="41"/>
    </row>
    <row r="219" ht="15.75" customHeight="1">
      <c r="E219" s="41"/>
    </row>
    <row r="220" ht="15.75" customHeight="1">
      <c r="E220" s="41"/>
    </row>
    <row r="221" ht="15.75" customHeight="1">
      <c r="E221" s="41"/>
    </row>
    <row r="222" ht="15.75" customHeight="1">
      <c r="E222" s="41"/>
    </row>
    <row r="223" ht="15.75" customHeight="1">
      <c r="E223" s="41"/>
    </row>
    <row r="224" ht="15.75" customHeight="1">
      <c r="E224" s="41"/>
    </row>
    <row r="225" ht="15.75" customHeight="1">
      <c r="E225" s="41"/>
    </row>
    <row r="226" ht="15.75" customHeight="1">
      <c r="E226" s="41"/>
    </row>
    <row r="227" ht="15.75" customHeight="1">
      <c r="E227" s="41"/>
    </row>
    <row r="228" ht="15.75" customHeight="1">
      <c r="E228" s="41"/>
    </row>
    <row r="229" ht="15.75" customHeight="1">
      <c r="E229" s="41"/>
    </row>
    <row r="230" ht="15.75" customHeight="1">
      <c r="E230" s="41"/>
    </row>
    <row r="231" ht="15.75" customHeight="1">
      <c r="E231" s="41"/>
    </row>
    <row r="232" ht="15.75" customHeight="1">
      <c r="E232" s="41"/>
    </row>
    <row r="233" ht="15.75" customHeight="1">
      <c r="E233" s="41"/>
    </row>
    <row r="234" ht="15.75" customHeight="1">
      <c r="E234" s="41"/>
    </row>
    <row r="235" ht="15.75" customHeight="1">
      <c r="E235" s="41"/>
    </row>
    <row r="236" ht="15.75" customHeight="1">
      <c r="E236" s="41"/>
    </row>
    <row r="237" ht="15.75" customHeight="1">
      <c r="E237" s="41"/>
    </row>
    <row r="238" ht="15.75" customHeight="1">
      <c r="E238" s="41"/>
    </row>
    <row r="239" ht="15.75" customHeight="1">
      <c r="E239" s="41"/>
    </row>
    <row r="240" ht="15.75" customHeight="1">
      <c r="E240" s="41"/>
    </row>
    <row r="241" ht="15.75" customHeight="1">
      <c r="E241" s="41"/>
    </row>
    <row r="242" ht="15.75" customHeight="1">
      <c r="E242" s="41"/>
    </row>
    <row r="243" ht="15.75" customHeight="1">
      <c r="E243" s="41"/>
    </row>
    <row r="244" ht="15.75" customHeight="1">
      <c r="E244" s="41"/>
    </row>
    <row r="245" ht="15.75" customHeight="1">
      <c r="E245" s="41"/>
    </row>
    <row r="246" ht="15.75" customHeight="1">
      <c r="E246" s="41"/>
    </row>
    <row r="247" ht="15.75" customHeight="1">
      <c r="E247" s="41"/>
    </row>
    <row r="248" ht="15.75" customHeight="1">
      <c r="E248" s="41"/>
    </row>
    <row r="249" ht="15.75" customHeight="1">
      <c r="E249" s="41"/>
    </row>
    <row r="250" ht="15.75" customHeight="1">
      <c r="E250" s="41"/>
    </row>
    <row r="251" ht="15.75" customHeight="1">
      <c r="E251" s="41"/>
    </row>
    <row r="252" ht="15.75" customHeight="1">
      <c r="E252" s="41"/>
    </row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8.63"/>
    <col customWidth="1" min="2" max="6" width="12.63"/>
  </cols>
  <sheetData>
    <row r="1" ht="15.75" customHeight="1">
      <c r="A1" s="45" t="s">
        <v>35</v>
      </c>
      <c r="B1" s="45" t="s">
        <v>1994</v>
      </c>
      <c r="C1" s="45" t="s">
        <v>2062</v>
      </c>
      <c r="D1" s="45" t="s">
        <v>2063</v>
      </c>
      <c r="E1" s="45" t="s">
        <v>2079</v>
      </c>
      <c r="F1" s="45" t="s">
        <v>2137</v>
      </c>
      <c r="G1" s="45" t="s">
        <v>2194</v>
      </c>
      <c r="H1" s="45" t="s">
        <v>2250</v>
      </c>
      <c r="I1" s="45" t="s">
        <v>2259</v>
      </c>
      <c r="J1" s="45" t="s">
        <v>2263</v>
      </c>
      <c r="K1" s="45" t="s">
        <v>2264</v>
      </c>
      <c r="L1" s="45" t="s">
        <v>2314</v>
      </c>
      <c r="M1" s="45" t="s">
        <v>2423</v>
      </c>
      <c r="N1" s="45" t="s">
        <v>2424</v>
      </c>
      <c r="O1" s="45" t="s">
        <v>2458</v>
      </c>
      <c r="P1" s="45" t="s">
        <v>2513</v>
      </c>
      <c r="Q1" s="45" t="s">
        <v>2555</v>
      </c>
      <c r="R1" s="45" t="s">
        <v>2601</v>
      </c>
      <c r="S1" s="45" t="s">
        <v>2669</v>
      </c>
      <c r="T1" s="45" t="s">
        <v>2725</v>
      </c>
      <c r="U1" s="45" t="s">
        <v>2790</v>
      </c>
      <c r="V1" s="45" t="s">
        <v>2801</v>
      </c>
      <c r="W1" s="45" t="s">
        <v>2819</v>
      </c>
      <c r="X1" s="45" t="s">
        <v>2830</v>
      </c>
      <c r="Y1" s="45" t="s">
        <v>2893</v>
      </c>
      <c r="Z1" s="45" t="s">
        <v>2955</v>
      </c>
      <c r="AA1" s="45" t="s">
        <v>2992</v>
      </c>
      <c r="AB1" s="45" t="s">
        <v>3034</v>
      </c>
      <c r="AC1" s="45" t="s">
        <v>3071</v>
      </c>
      <c r="AD1" s="45" t="s">
        <v>3112</v>
      </c>
      <c r="AE1" s="45" t="s">
        <v>3123</v>
      </c>
      <c r="AF1" s="45" t="s">
        <v>3131</v>
      </c>
      <c r="AG1" s="45" t="s">
        <v>3143</v>
      </c>
      <c r="AH1" s="45" t="s">
        <v>3168</v>
      </c>
      <c r="AI1" s="45" t="s">
        <v>3200</v>
      </c>
      <c r="AJ1" s="45" t="s">
        <v>3265</v>
      </c>
      <c r="AK1" s="45" t="s">
        <v>3297</v>
      </c>
      <c r="AL1" s="45" t="s">
        <v>3333</v>
      </c>
      <c r="AM1" s="45" t="s">
        <v>3376</v>
      </c>
      <c r="AN1" s="45" t="s">
        <v>3393</v>
      </c>
      <c r="AO1" s="45" t="s">
        <v>3427</v>
      </c>
      <c r="AP1" s="45" t="s">
        <v>3430</v>
      </c>
      <c r="AQ1" s="45" t="s">
        <v>3458</v>
      </c>
      <c r="AR1" s="45" t="s">
        <v>3497</v>
      </c>
      <c r="AS1" s="45" t="s">
        <v>3524</v>
      </c>
      <c r="AT1" s="45" t="s">
        <v>3687</v>
      </c>
      <c r="AU1" s="45" t="s">
        <v>3704</v>
      </c>
      <c r="AV1" s="45" t="s">
        <v>3713</v>
      </c>
      <c r="AW1" s="45" t="s">
        <v>3797</v>
      </c>
      <c r="AX1" s="45" t="s">
        <v>3820</v>
      </c>
      <c r="AY1" s="45" t="s">
        <v>3838</v>
      </c>
      <c r="AZ1" s="45" t="s">
        <v>3874</v>
      </c>
    </row>
    <row r="2" ht="15.75" customHeight="1">
      <c r="A2" s="34" t="s">
        <v>4010</v>
      </c>
      <c r="B2" s="34">
        <f>IFERROR(__xludf.DUMMYFUNCTION("IF(ISNA(sum(filter(
Master_Mapping_Sheet!$E$2:$E$3143, ISNUMBER(
Master_Mapping_Sheet!$E$2:$E$3143),
Master_Mapping_Sheet!$C$2:$C$3143=B$1,
Master_Mapping_Sheet!$H$2:$H$3143=$A2))/sum(filter(
Master_Mapping_Sheet!$E$2:$E$3143, ISNUMBER(
Master_Mapping_She"&amp;"et!$E$2:$E$3143),
Master_Mapping_Sheet!$C$2:$C$3143=B$1))), 0, sum(filter(
Master_Mapping_Sheet!$E$2:$E$3143, ISNUMBER(
Master_Mapping_Sheet!$E$2:$E$3143),
Master_Mapping_Sheet!$C$2:$C$3143=B$1,
Master_Mapping_Sheet!$H$2:$H$3143=$A2))/sum(filter(
Master_M"&amp;"apping_Sheet!$E$2:$E$3143, ISNUMBER(
Master_Mapping_Sheet!$E$2:$E$3143),
Master_Mapping_Sheet!$C$2:$C$3143=B$1)))"),0.0)</f>
        <v>0</v>
      </c>
      <c r="C2" s="34">
        <f>IFERROR(__xludf.DUMMYFUNCTION("IF(ISNA(sum(filter(
Master_Mapping_Sheet!$E$2:$E$3143, ISNUMBER(
Master_Mapping_Sheet!$E$2:$E$3143),
Master_Mapping_Sheet!$C$2:$C$3143=C$1,
Master_Mapping_Sheet!$H$2:$H$3143=$A2))/sum(filter(
Master_Mapping_Sheet!$E$2:$E$3143, ISNUMBER(
Master_Mapping_She"&amp;"et!$E$2:$E$3143),
Master_Mapping_Sheet!$C$2:$C$3143=C$1))), 0, sum(filter(
Master_Mapping_Sheet!$E$2:$E$3143, ISNUMBER(
Master_Mapping_Sheet!$E$2:$E$3143),
Master_Mapping_Sheet!$C$2:$C$3143=C$1,
Master_Mapping_Sheet!$H$2:$H$3143=$A2))/sum(filter(
Master_M"&amp;"apping_Sheet!$E$2:$E$3143, ISNUMBER(
Master_Mapping_Sheet!$E$2:$E$3143),
Master_Mapping_Sheet!$C$2:$C$3143=C$1)))"),0.0)</f>
        <v>0</v>
      </c>
      <c r="D2" s="34">
        <f>IFERROR(__xludf.DUMMYFUNCTION("IF(ISNA(sum(filter(
Master_Mapping_Sheet!$E$2:$E$3143, ISNUMBER(
Master_Mapping_Sheet!$E$2:$E$3143),
Master_Mapping_Sheet!$C$2:$C$3143=D$1,
Master_Mapping_Sheet!$H$2:$H$3143=$A2))/sum(filter(
Master_Mapping_Sheet!$E$2:$E$3143, ISNUMBER(
Master_Mapping_She"&amp;"et!$E$2:$E$3143),
Master_Mapping_Sheet!$C$2:$C$3143=D$1))), 0, sum(filter(
Master_Mapping_Sheet!$E$2:$E$3143, ISNUMBER(
Master_Mapping_Sheet!$E$2:$E$3143),
Master_Mapping_Sheet!$C$2:$C$3143=D$1,
Master_Mapping_Sheet!$H$2:$H$3143=$A2))/sum(filter(
Master_M"&amp;"apping_Sheet!$E$2:$E$3143, ISNUMBER(
Master_Mapping_Sheet!$E$2:$E$3143),
Master_Mapping_Sheet!$C$2:$C$3143=D$1)))"),0.0)</f>
        <v>0</v>
      </c>
      <c r="E2" s="34">
        <f>IFERROR(__xludf.DUMMYFUNCTION("IF(ISNA(sum(filter(
Master_Mapping_Sheet!$E$2:$E$3143, ISNUMBER(
Master_Mapping_Sheet!$E$2:$E$3143),
Master_Mapping_Sheet!$C$2:$C$3143=E$1,
Master_Mapping_Sheet!$H$2:$H$3143=$A2))/sum(filter(
Master_Mapping_Sheet!$E$2:$E$3143, ISNUMBER(
Master_Mapping_She"&amp;"et!$E$2:$E$3143),
Master_Mapping_Sheet!$C$2:$C$3143=E$1))), 0, sum(filter(
Master_Mapping_Sheet!$E$2:$E$3143, ISNUMBER(
Master_Mapping_Sheet!$E$2:$E$3143),
Master_Mapping_Sheet!$C$2:$C$3143=E$1,
Master_Mapping_Sheet!$H$2:$H$3143=$A2))/sum(filter(
Master_M"&amp;"apping_Sheet!$E$2:$E$3143, ISNUMBER(
Master_Mapping_Sheet!$E$2:$E$3143),
Master_Mapping_Sheet!$C$2:$C$3143=E$1)))"),0.0)</f>
        <v>0</v>
      </c>
      <c r="F2" s="34">
        <f>IFERROR(__xludf.DUMMYFUNCTION("IF(ISNA(sum(filter(
Master_Mapping_Sheet!$E$2:$E$3143, ISNUMBER(
Master_Mapping_Sheet!$E$2:$E$3143),
Master_Mapping_Sheet!$C$2:$C$3143=F$1,
Master_Mapping_Sheet!$H$2:$H$3143=$A2))/sum(filter(
Master_Mapping_Sheet!$E$2:$E$3143, ISNUMBER(
Master_Mapping_She"&amp;"et!$E$2:$E$3143),
Master_Mapping_Sheet!$C$2:$C$3143=F$1))), 0, sum(filter(
Master_Mapping_Sheet!$E$2:$E$3143, ISNUMBER(
Master_Mapping_Sheet!$E$2:$E$3143),
Master_Mapping_Sheet!$C$2:$C$3143=F$1,
Master_Mapping_Sheet!$H$2:$H$3143=$A2))/sum(filter(
Master_M"&amp;"apping_Sheet!$E$2:$E$3143, ISNUMBER(
Master_Mapping_Sheet!$E$2:$E$3143),
Master_Mapping_Sheet!$C$2:$C$3143=F$1)))"),0.0)</f>
        <v>0</v>
      </c>
      <c r="G2" s="34">
        <f>IFERROR(__xludf.DUMMYFUNCTION("IF(ISNA(sum(filter(
Master_Mapping_Sheet!$E$2:$E$3143, ISNUMBER(
Master_Mapping_Sheet!$E$2:$E$3143),
Master_Mapping_Sheet!$C$2:$C$3143=G$1,
Master_Mapping_Sheet!$H$2:$H$3143=$A2))/sum(filter(
Master_Mapping_Sheet!$E$2:$E$3143, ISNUMBER(
Master_Mapping_She"&amp;"et!$E$2:$E$3143),
Master_Mapping_Sheet!$C$2:$C$3143=G$1))), 0, sum(filter(
Master_Mapping_Sheet!$E$2:$E$3143, ISNUMBER(
Master_Mapping_Sheet!$E$2:$E$3143),
Master_Mapping_Sheet!$C$2:$C$3143=G$1,
Master_Mapping_Sheet!$H$2:$H$3143=$A2))/sum(filter(
Master_M"&amp;"apping_Sheet!$E$2:$E$3143, ISNUMBER(
Master_Mapping_Sheet!$E$2:$E$3143),
Master_Mapping_Sheet!$C$2:$C$3143=G$1)))"),0.0)</f>
        <v>0</v>
      </c>
      <c r="H2" s="34">
        <f>IFERROR(__xludf.DUMMYFUNCTION("IF(ISNA(sum(filter(
Master_Mapping_Sheet!$E$2:$E$3143, ISNUMBER(
Master_Mapping_Sheet!$E$2:$E$3143),
Master_Mapping_Sheet!$C$2:$C$3143=H$1,
Master_Mapping_Sheet!$H$2:$H$3143=$A2))/sum(filter(
Master_Mapping_Sheet!$E$2:$E$3143, ISNUMBER(
Master_Mapping_She"&amp;"et!$E$2:$E$3143),
Master_Mapping_Sheet!$C$2:$C$3143=H$1))), 0, sum(filter(
Master_Mapping_Sheet!$E$2:$E$3143, ISNUMBER(
Master_Mapping_Sheet!$E$2:$E$3143),
Master_Mapping_Sheet!$C$2:$C$3143=H$1,
Master_Mapping_Sheet!$H$2:$H$3143=$A2))/sum(filter(
Master_M"&amp;"apping_Sheet!$E$2:$E$3143, ISNUMBER(
Master_Mapping_Sheet!$E$2:$E$3143),
Master_Mapping_Sheet!$C$2:$C$3143=H$1)))"),0.0)</f>
        <v>0</v>
      </c>
      <c r="I2" s="34">
        <f>IFERROR(__xludf.DUMMYFUNCTION("IF(ISNA(sum(filter(
Master_Mapping_Sheet!$E$2:$E$3143, ISNUMBER(
Master_Mapping_Sheet!$E$2:$E$3143),
Master_Mapping_Sheet!$C$2:$C$3143=I$1,
Master_Mapping_Sheet!$H$2:$H$3143=$A2))/sum(filter(
Master_Mapping_Sheet!$E$2:$E$3143, ISNUMBER(
Master_Mapping_She"&amp;"et!$E$2:$E$3143),
Master_Mapping_Sheet!$C$2:$C$3143=I$1))), 0, sum(filter(
Master_Mapping_Sheet!$E$2:$E$3143, ISNUMBER(
Master_Mapping_Sheet!$E$2:$E$3143),
Master_Mapping_Sheet!$C$2:$C$3143=I$1,
Master_Mapping_Sheet!$H$2:$H$3143=$A2))/sum(filter(
Master_M"&amp;"apping_Sheet!$E$2:$E$3143, ISNUMBER(
Master_Mapping_Sheet!$E$2:$E$3143),
Master_Mapping_Sheet!$C$2:$C$3143=I$1)))"),0.0)</f>
        <v>0</v>
      </c>
      <c r="J2" s="34">
        <f>IFERROR(__xludf.DUMMYFUNCTION("IF(ISNA(sum(filter(
Master_Mapping_Sheet!$E$2:$E$3143, ISNUMBER(
Master_Mapping_Sheet!$E$2:$E$3143),
Master_Mapping_Sheet!$C$2:$C$3143=J$1,
Master_Mapping_Sheet!$H$2:$H$3143=$A2))/sum(filter(
Master_Mapping_Sheet!$E$2:$E$3143, ISNUMBER(
Master_Mapping_She"&amp;"et!$E$2:$E$3143),
Master_Mapping_Sheet!$C$2:$C$3143=J$1))), 0, sum(filter(
Master_Mapping_Sheet!$E$2:$E$3143, ISNUMBER(
Master_Mapping_Sheet!$E$2:$E$3143),
Master_Mapping_Sheet!$C$2:$C$3143=J$1,
Master_Mapping_Sheet!$H$2:$H$3143=$A2))/sum(filter(
Master_M"&amp;"apping_Sheet!$E$2:$E$3143, ISNUMBER(
Master_Mapping_Sheet!$E$2:$E$3143),
Master_Mapping_Sheet!$C$2:$C$3143=J$1)))"),0.0)</f>
        <v>0</v>
      </c>
      <c r="K2" s="34">
        <f>IFERROR(__xludf.DUMMYFUNCTION("IF(ISNA(sum(filter(
Master_Mapping_Sheet!$E$2:$E$3143, ISNUMBER(
Master_Mapping_Sheet!$E$2:$E$3143),
Master_Mapping_Sheet!$C$2:$C$3143=K$1,
Master_Mapping_Sheet!$H$2:$H$3143=$A2))/sum(filter(
Master_Mapping_Sheet!$E$2:$E$3143, ISNUMBER(
Master_Mapping_She"&amp;"et!$E$2:$E$3143),
Master_Mapping_Sheet!$C$2:$C$3143=K$1))), 0, sum(filter(
Master_Mapping_Sheet!$E$2:$E$3143, ISNUMBER(
Master_Mapping_Sheet!$E$2:$E$3143),
Master_Mapping_Sheet!$C$2:$C$3143=K$1,
Master_Mapping_Sheet!$H$2:$H$3143=$A2))/sum(filter(
Master_M"&amp;"apping_Sheet!$E$2:$E$3143, ISNUMBER(
Master_Mapping_Sheet!$E$2:$E$3143),
Master_Mapping_Sheet!$C$2:$C$3143=K$1)))"),0.0)</f>
        <v>0</v>
      </c>
      <c r="L2" s="34">
        <f>IFERROR(__xludf.DUMMYFUNCTION("IF(ISNA(sum(filter(
Master_Mapping_Sheet!$E$2:$E$3143, ISNUMBER(
Master_Mapping_Sheet!$E$2:$E$3143),
Master_Mapping_Sheet!$C$2:$C$3143=L$1,
Master_Mapping_Sheet!$H$2:$H$3143=$A2))/sum(filter(
Master_Mapping_Sheet!$E$2:$E$3143, ISNUMBER(
Master_Mapping_She"&amp;"et!$E$2:$E$3143),
Master_Mapping_Sheet!$C$2:$C$3143=L$1))), 0, sum(filter(
Master_Mapping_Sheet!$E$2:$E$3143, ISNUMBER(
Master_Mapping_Sheet!$E$2:$E$3143),
Master_Mapping_Sheet!$C$2:$C$3143=L$1,
Master_Mapping_Sheet!$H$2:$H$3143=$A2))/sum(filter(
Master_M"&amp;"apping_Sheet!$E$2:$E$3143, ISNUMBER(
Master_Mapping_Sheet!$E$2:$E$3143),
Master_Mapping_Sheet!$C$2:$C$3143=L$1)))"),0.0)</f>
        <v>0</v>
      </c>
      <c r="M2" s="34">
        <f>IFERROR(__xludf.DUMMYFUNCTION("IF(ISNA(sum(filter(
Master_Mapping_Sheet!$E$2:$E$3143, ISNUMBER(
Master_Mapping_Sheet!$E$2:$E$3143),
Master_Mapping_Sheet!$C$2:$C$3143=M$1,
Master_Mapping_Sheet!$H$2:$H$3143=$A2))/sum(filter(
Master_Mapping_Sheet!$E$2:$E$3143, ISNUMBER(
Master_Mapping_She"&amp;"et!$E$2:$E$3143),
Master_Mapping_Sheet!$C$2:$C$3143=M$1))), 0, sum(filter(
Master_Mapping_Sheet!$E$2:$E$3143, ISNUMBER(
Master_Mapping_Sheet!$E$2:$E$3143),
Master_Mapping_Sheet!$C$2:$C$3143=M$1,
Master_Mapping_Sheet!$H$2:$H$3143=$A2))/sum(filter(
Master_M"&amp;"apping_Sheet!$E$2:$E$3143, ISNUMBER(
Master_Mapping_Sheet!$E$2:$E$3143),
Master_Mapping_Sheet!$C$2:$C$3143=M$1)))"),0.0)</f>
        <v>0</v>
      </c>
      <c r="N2" s="34">
        <f>IFERROR(__xludf.DUMMYFUNCTION("IF(ISNA(sum(filter(
Master_Mapping_Sheet!$E$2:$E$3143, ISNUMBER(
Master_Mapping_Sheet!$E$2:$E$3143),
Master_Mapping_Sheet!$C$2:$C$3143=N$1,
Master_Mapping_Sheet!$H$2:$H$3143=$A2))/sum(filter(
Master_Mapping_Sheet!$E$2:$E$3143, ISNUMBER(
Master_Mapping_She"&amp;"et!$E$2:$E$3143),
Master_Mapping_Sheet!$C$2:$C$3143=N$1))), 0, sum(filter(
Master_Mapping_Sheet!$E$2:$E$3143, ISNUMBER(
Master_Mapping_Sheet!$E$2:$E$3143),
Master_Mapping_Sheet!$C$2:$C$3143=N$1,
Master_Mapping_Sheet!$H$2:$H$3143=$A2))/sum(filter(
Master_M"&amp;"apping_Sheet!$E$2:$E$3143, ISNUMBER(
Master_Mapping_Sheet!$E$2:$E$3143),
Master_Mapping_Sheet!$C$2:$C$3143=N$1)))"),0.0)</f>
        <v>0</v>
      </c>
      <c r="O2" s="34">
        <f>IFERROR(__xludf.DUMMYFUNCTION("IF(ISNA(sum(filter(
Master_Mapping_Sheet!$E$2:$E$3143, ISNUMBER(
Master_Mapping_Sheet!$E$2:$E$3143),
Master_Mapping_Sheet!$C$2:$C$3143=O$1,
Master_Mapping_Sheet!$H$2:$H$3143=$A2))/sum(filter(
Master_Mapping_Sheet!$E$2:$E$3143, ISNUMBER(
Master_Mapping_She"&amp;"et!$E$2:$E$3143),
Master_Mapping_Sheet!$C$2:$C$3143=O$1))), 0, sum(filter(
Master_Mapping_Sheet!$E$2:$E$3143, ISNUMBER(
Master_Mapping_Sheet!$E$2:$E$3143),
Master_Mapping_Sheet!$C$2:$C$3143=O$1,
Master_Mapping_Sheet!$H$2:$H$3143=$A2))/sum(filter(
Master_M"&amp;"apping_Sheet!$E$2:$E$3143, ISNUMBER(
Master_Mapping_Sheet!$E$2:$E$3143),
Master_Mapping_Sheet!$C$2:$C$3143=O$1)))"),0.0)</f>
        <v>0</v>
      </c>
      <c r="P2" s="34">
        <f>IFERROR(__xludf.DUMMYFUNCTION("IF(ISNA(sum(filter(
Master_Mapping_Sheet!$E$2:$E$3143, ISNUMBER(
Master_Mapping_Sheet!$E$2:$E$3143),
Master_Mapping_Sheet!$C$2:$C$3143=P$1,
Master_Mapping_Sheet!$H$2:$H$3143=$A2))/sum(filter(
Master_Mapping_Sheet!$E$2:$E$3143, ISNUMBER(
Master_Mapping_She"&amp;"et!$E$2:$E$3143),
Master_Mapping_Sheet!$C$2:$C$3143=P$1))), 0, sum(filter(
Master_Mapping_Sheet!$E$2:$E$3143, ISNUMBER(
Master_Mapping_Sheet!$E$2:$E$3143),
Master_Mapping_Sheet!$C$2:$C$3143=P$1,
Master_Mapping_Sheet!$H$2:$H$3143=$A2))/sum(filter(
Master_M"&amp;"apping_Sheet!$E$2:$E$3143, ISNUMBER(
Master_Mapping_Sheet!$E$2:$E$3143),
Master_Mapping_Sheet!$C$2:$C$3143=P$1)))"),0.0)</f>
        <v>0</v>
      </c>
      <c r="Q2" s="34">
        <f>IFERROR(__xludf.DUMMYFUNCTION("IF(ISNA(sum(filter(
Master_Mapping_Sheet!$E$2:$E$3143, ISNUMBER(
Master_Mapping_Sheet!$E$2:$E$3143),
Master_Mapping_Sheet!$C$2:$C$3143=Q$1,
Master_Mapping_Sheet!$H$2:$H$3143=$A2))/sum(filter(
Master_Mapping_Sheet!$E$2:$E$3143, ISNUMBER(
Master_Mapping_She"&amp;"et!$E$2:$E$3143),
Master_Mapping_Sheet!$C$2:$C$3143=Q$1))), 0, sum(filter(
Master_Mapping_Sheet!$E$2:$E$3143, ISNUMBER(
Master_Mapping_Sheet!$E$2:$E$3143),
Master_Mapping_Sheet!$C$2:$C$3143=Q$1,
Master_Mapping_Sheet!$H$2:$H$3143=$A2))/sum(filter(
Master_M"&amp;"apping_Sheet!$E$2:$E$3143, ISNUMBER(
Master_Mapping_Sheet!$E$2:$E$3143),
Master_Mapping_Sheet!$C$2:$C$3143=Q$1)))"),0.0)</f>
        <v>0</v>
      </c>
      <c r="R2" s="34">
        <f>IFERROR(__xludf.DUMMYFUNCTION("IF(ISNA(sum(filter(
Master_Mapping_Sheet!$E$2:$E$3143, ISNUMBER(
Master_Mapping_Sheet!$E$2:$E$3143),
Master_Mapping_Sheet!$C$2:$C$3143=R$1,
Master_Mapping_Sheet!$H$2:$H$3143=$A2))/sum(filter(
Master_Mapping_Sheet!$E$2:$E$3143, ISNUMBER(
Master_Mapping_She"&amp;"et!$E$2:$E$3143),
Master_Mapping_Sheet!$C$2:$C$3143=R$1))), 0, sum(filter(
Master_Mapping_Sheet!$E$2:$E$3143, ISNUMBER(
Master_Mapping_Sheet!$E$2:$E$3143),
Master_Mapping_Sheet!$C$2:$C$3143=R$1,
Master_Mapping_Sheet!$H$2:$H$3143=$A2))/sum(filter(
Master_M"&amp;"apping_Sheet!$E$2:$E$3143, ISNUMBER(
Master_Mapping_Sheet!$E$2:$E$3143),
Master_Mapping_Sheet!$C$2:$C$3143=R$1)))"),0.0)</f>
        <v>0</v>
      </c>
      <c r="S2" s="34">
        <f>IFERROR(__xludf.DUMMYFUNCTION("IF(ISNA(sum(filter(
Master_Mapping_Sheet!$E$2:$E$3143, ISNUMBER(
Master_Mapping_Sheet!$E$2:$E$3143),
Master_Mapping_Sheet!$C$2:$C$3143=S$1,
Master_Mapping_Sheet!$H$2:$H$3143=$A2))/sum(filter(
Master_Mapping_Sheet!$E$2:$E$3143, ISNUMBER(
Master_Mapping_She"&amp;"et!$E$2:$E$3143),
Master_Mapping_Sheet!$C$2:$C$3143=S$1))), 0, sum(filter(
Master_Mapping_Sheet!$E$2:$E$3143, ISNUMBER(
Master_Mapping_Sheet!$E$2:$E$3143),
Master_Mapping_Sheet!$C$2:$C$3143=S$1,
Master_Mapping_Sheet!$H$2:$H$3143=$A2))/sum(filter(
Master_M"&amp;"apping_Sheet!$E$2:$E$3143, ISNUMBER(
Master_Mapping_Sheet!$E$2:$E$3143),
Master_Mapping_Sheet!$C$2:$C$3143=S$1)))"),0.0)</f>
        <v>0</v>
      </c>
      <c r="T2" s="34">
        <f>IFERROR(__xludf.DUMMYFUNCTION("IF(ISNA(sum(filter(
Master_Mapping_Sheet!$E$2:$E$3143, ISNUMBER(
Master_Mapping_Sheet!$E$2:$E$3143),
Master_Mapping_Sheet!$C$2:$C$3143=T$1,
Master_Mapping_Sheet!$H$2:$H$3143=$A2))/sum(filter(
Master_Mapping_Sheet!$E$2:$E$3143, ISNUMBER(
Master_Mapping_She"&amp;"et!$E$2:$E$3143),
Master_Mapping_Sheet!$C$2:$C$3143=T$1))), 0, sum(filter(
Master_Mapping_Sheet!$E$2:$E$3143, ISNUMBER(
Master_Mapping_Sheet!$E$2:$E$3143),
Master_Mapping_Sheet!$C$2:$C$3143=T$1,
Master_Mapping_Sheet!$H$2:$H$3143=$A2))/sum(filter(
Master_M"&amp;"apping_Sheet!$E$2:$E$3143, ISNUMBER(
Master_Mapping_Sheet!$E$2:$E$3143),
Master_Mapping_Sheet!$C$2:$C$3143=T$1)))"),0.0)</f>
        <v>0</v>
      </c>
      <c r="U2" s="34">
        <f>IFERROR(__xludf.DUMMYFUNCTION("IF(ISNA(sum(filter(
Master_Mapping_Sheet!$E$2:$E$3143, ISNUMBER(
Master_Mapping_Sheet!$E$2:$E$3143),
Master_Mapping_Sheet!$C$2:$C$3143=U$1,
Master_Mapping_Sheet!$H$2:$H$3143=$A2))/sum(filter(
Master_Mapping_Sheet!$E$2:$E$3143, ISNUMBER(
Master_Mapping_She"&amp;"et!$E$2:$E$3143),
Master_Mapping_Sheet!$C$2:$C$3143=U$1))), 0, sum(filter(
Master_Mapping_Sheet!$E$2:$E$3143, ISNUMBER(
Master_Mapping_Sheet!$E$2:$E$3143),
Master_Mapping_Sheet!$C$2:$C$3143=U$1,
Master_Mapping_Sheet!$H$2:$H$3143=$A2))/sum(filter(
Master_M"&amp;"apping_Sheet!$E$2:$E$3143, ISNUMBER(
Master_Mapping_Sheet!$E$2:$E$3143),
Master_Mapping_Sheet!$C$2:$C$3143=U$1)))"),0.0)</f>
        <v>0</v>
      </c>
      <c r="V2" s="34">
        <f>IFERROR(__xludf.DUMMYFUNCTION("IF(ISNA(sum(filter(
Master_Mapping_Sheet!$E$2:$E$3143, ISNUMBER(
Master_Mapping_Sheet!$E$2:$E$3143),
Master_Mapping_Sheet!$C$2:$C$3143=V$1,
Master_Mapping_Sheet!$H$2:$H$3143=$A2))/sum(filter(
Master_Mapping_Sheet!$E$2:$E$3143, ISNUMBER(
Master_Mapping_She"&amp;"et!$E$2:$E$3143),
Master_Mapping_Sheet!$C$2:$C$3143=V$1))), 0, sum(filter(
Master_Mapping_Sheet!$E$2:$E$3143, ISNUMBER(
Master_Mapping_Sheet!$E$2:$E$3143),
Master_Mapping_Sheet!$C$2:$C$3143=V$1,
Master_Mapping_Sheet!$H$2:$H$3143=$A2))/sum(filter(
Master_M"&amp;"apping_Sheet!$E$2:$E$3143, ISNUMBER(
Master_Mapping_Sheet!$E$2:$E$3143),
Master_Mapping_Sheet!$C$2:$C$3143=V$1)))"),0.0)</f>
        <v>0</v>
      </c>
      <c r="W2" s="34">
        <f>IFERROR(__xludf.DUMMYFUNCTION("IF(ISNA(sum(filter(
Master_Mapping_Sheet!$E$2:$E$3143, ISNUMBER(
Master_Mapping_Sheet!$E$2:$E$3143),
Master_Mapping_Sheet!$C$2:$C$3143=W$1,
Master_Mapping_Sheet!$H$2:$H$3143=$A2))/sum(filter(
Master_Mapping_Sheet!$E$2:$E$3143, ISNUMBER(
Master_Mapping_She"&amp;"et!$E$2:$E$3143),
Master_Mapping_Sheet!$C$2:$C$3143=W$1))), 0, sum(filter(
Master_Mapping_Sheet!$E$2:$E$3143, ISNUMBER(
Master_Mapping_Sheet!$E$2:$E$3143),
Master_Mapping_Sheet!$C$2:$C$3143=W$1,
Master_Mapping_Sheet!$H$2:$H$3143=$A2))/sum(filter(
Master_M"&amp;"apping_Sheet!$E$2:$E$3143, ISNUMBER(
Master_Mapping_Sheet!$E$2:$E$3143),
Master_Mapping_Sheet!$C$2:$C$3143=W$1)))"),0.0)</f>
        <v>0</v>
      </c>
      <c r="X2" s="34">
        <f>IFERROR(__xludf.DUMMYFUNCTION("IF(ISNA(sum(filter(
Master_Mapping_Sheet!$E$2:$E$3143, ISNUMBER(
Master_Mapping_Sheet!$E$2:$E$3143),
Master_Mapping_Sheet!$C$2:$C$3143=X$1,
Master_Mapping_Sheet!$H$2:$H$3143=$A2))/sum(filter(
Master_Mapping_Sheet!$E$2:$E$3143, ISNUMBER(
Master_Mapping_She"&amp;"et!$E$2:$E$3143),
Master_Mapping_Sheet!$C$2:$C$3143=X$1))), 0, sum(filter(
Master_Mapping_Sheet!$E$2:$E$3143, ISNUMBER(
Master_Mapping_Sheet!$E$2:$E$3143),
Master_Mapping_Sheet!$C$2:$C$3143=X$1,
Master_Mapping_Sheet!$H$2:$H$3143=$A2))/sum(filter(
Master_M"&amp;"apping_Sheet!$E$2:$E$3143, ISNUMBER(
Master_Mapping_Sheet!$E$2:$E$3143),
Master_Mapping_Sheet!$C$2:$C$3143=X$1)))"),0.0)</f>
        <v>0</v>
      </c>
      <c r="Y2" s="34">
        <f>IFERROR(__xludf.DUMMYFUNCTION("IF(ISNA(sum(filter(
Master_Mapping_Sheet!$E$2:$E$3143, ISNUMBER(
Master_Mapping_Sheet!$E$2:$E$3143),
Master_Mapping_Sheet!$C$2:$C$3143=Y$1,
Master_Mapping_Sheet!$H$2:$H$3143=$A2))/sum(filter(
Master_Mapping_Sheet!$E$2:$E$3143, ISNUMBER(
Master_Mapping_She"&amp;"et!$E$2:$E$3143),
Master_Mapping_Sheet!$C$2:$C$3143=Y$1))), 0, sum(filter(
Master_Mapping_Sheet!$E$2:$E$3143, ISNUMBER(
Master_Mapping_Sheet!$E$2:$E$3143),
Master_Mapping_Sheet!$C$2:$C$3143=Y$1,
Master_Mapping_Sheet!$H$2:$H$3143=$A2))/sum(filter(
Master_M"&amp;"apping_Sheet!$E$2:$E$3143, ISNUMBER(
Master_Mapping_Sheet!$E$2:$E$3143),
Master_Mapping_Sheet!$C$2:$C$3143=Y$1)))"),0.0)</f>
        <v>0</v>
      </c>
      <c r="Z2" s="34">
        <f>IFERROR(__xludf.DUMMYFUNCTION("IF(ISNA(sum(filter(
Master_Mapping_Sheet!$E$2:$E$3143, ISNUMBER(
Master_Mapping_Sheet!$E$2:$E$3143),
Master_Mapping_Sheet!$C$2:$C$3143=Z$1,
Master_Mapping_Sheet!$H$2:$H$3143=$A2))/sum(filter(
Master_Mapping_Sheet!$E$2:$E$3143, ISNUMBER(
Master_Mapping_She"&amp;"et!$E$2:$E$3143),
Master_Mapping_Sheet!$C$2:$C$3143=Z$1))), 0, sum(filter(
Master_Mapping_Sheet!$E$2:$E$3143, ISNUMBER(
Master_Mapping_Sheet!$E$2:$E$3143),
Master_Mapping_Sheet!$C$2:$C$3143=Z$1,
Master_Mapping_Sheet!$H$2:$H$3143=$A2))/sum(filter(
Master_M"&amp;"apping_Sheet!$E$2:$E$3143, ISNUMBER(
Master_Mapping_Sheet!$E$2:$E$3143),
Master_Mapping_Sheet!$C$2:$C$3143=Z$1)))"),0.0)</f>
        <v>0</v>
      </c>
      <c r="AA2" s="34">
        <f>IFERROR(__xludf.DUMMYFUNCTION("IF(ISNA(sum(filter(
Master_Mapping_Sheet!$E$2:$E$3143, ISNUMBER(
Master_Mapping_Sheet!$E$2:$E$3143),
Master_Mapping_Sheet!$C$2:$C$3143=AA$1,
Master_Mapping_Sheet!$H$2:$H$3143=$A2))/sum(filter(
Master_Mapping_Sheet!$E$2:$E$3143, ISNUMBER(
Master_Mapping_Sh"&amp;"eet!$E$2:$E$3143),
Master_Mapping_Sheet!$C$2:$C$3143=AA$1))), 0, sum(filter(
Master_Mapping_Sheet!$E$2:$E$3143, ISNUMBER(
Master_Mapping_Sheet!$E$2:$E$3143),
Master_Mapping_Sheet!$C$2:$C$3143=AA$1,
Master_Mapping_Sheet!$H$2:$H$3143=$A2))/sum(filter(
Maste"&amp;"r_Mapping_Sheet!$E$2:$E$3143, ISNUMBER(
Master_Mapping_Sheet!$E$2:$E$3143),
Master_Mapping_Sheet!$C$2:$C$3143=AA$1)))"),0.0)</f>
        <v>0</v>
      </c>
      <c r="AB2" s="34">
        <f>IFERROR(__xludf.DUMMYFUNCTION("IF(ISNA(sum(filter(
Master_Mapping_Sheet!$E$2:$E$3143, ISNUMBER(
Master_Mapping_Sheet!$E$2:$E$3143),
Master_Mapping_Sheet!$C$2:$C$3143=AB$1,
Master_Mapping_Sheet!$H$2:$H$3143=$A2))/sum(filter(
Master_Mapping_Sheet!$E$2:$E$3143, ISNUMBER(
Master_Mapping_Sh"&amp;"eet!$E$2:$E$3143),
Master_Mapping_Sheet!$C$2:$C$3143=AB$1))), 0, sum(filter(
Master_Mapping_Sheet!$E$2:$E$3143, ISNUMBER(
Master_Mapping_Sheet!$E$2:$E$3143),
Master_Mapping_Sheet!$C$2:$C$3143=AB$1,
Master_Mapping_Sheet!$H$2:$H$3143=$A2))/sum(filter(
Maste"&amp;"r_Mapping_Sheet!$E$2:$E$3143, ISNUMBER(
Master_Mapping_Sheet!$E$2:$E$3143),
Master_Mapping_Sheet!$C$2:$C$3143=AB$1)))"),0.0)</f>
        <v>0</v>
      </c>
      <c r="AC2" s="34">
        <f>IFERROR(__xludf.DUMMYFUNCTION("IF(ISNA(sum(filter(
Master_Mapping_Sheet!$E$2:$E$3143, ISNUMBER(
Master_Mapping_Sheet!$E$2:$E$3143),
Master_Mapping_Sheet!$C$2:$C$3143=AC$1,
Master_Mapping_Sheet!$H$2:$H$3143=$A2))/sum(filter(
Master_Mapping_Sheet!$E$2:$E$3143, ISNUMBER(
Master_Mapping_Sh"&amp;"eet!$E$2:$E$3143),
Master_Mapping_Sheet!$C$2:$C$3143=AC$1))), 0, sum(filter(
Master_Mapping_Sheet!$E$2:$E$3143, ISNUMBER(
Master_Mapping_Sheet!$E$2:$E$3143),
Master_Mapping_Sheet!$C$2:$C$3143=AC$1,
Master_Mapping_Sheet!$H$2:$H$3143=$A2))/sum(filter(
Maste"&amp;"r_Mapping_Sheet!$E$2:$E$3143, ISNUMBER(
Master_Mapping_Sheet!$E$2:$E$3143),
Master_Mapping_Sheet!$C$2:$C$3143=AC$1)))"),0.0)</f>
        <v>0</v>
      </c>
      <c r="AD2" s="34">
        <f>IFERROR(__xludf.DUMMYFUNCTION("IF(ISNA(sum(filter(
Master_Mapping_Sheet!$E$2:$E$3143, ISNUMBER(
Master_Mapping_Sheet!$E$2:$E$3143),
Master_Mapping_Sheet!$C$2:$C$3143=AD$1,
Master_Mapping_Sheet!$H$2:$H$3143=$A2))/sum(filter(
Master_Mapping_Sheet!$E$2:$E$3143, ISNUMBER(
Master_Mapping_Sh"&amp;"eet!$E$2:$E$3143),
Master_Mapping_Sheet!$C$2:$C$3143=AD$1))), 0, sum(filter(
Master_Mapping_Sheet!$E$2:$E$3143, ISNUMBER(
Master_Mapping_Sheet!$E$2:$E$3143),
Master_Mapping_Sheet!$C$2:$C$3143=AD$1,
Master_Mapping_Sheet!$H$2:$H$3143=$A2))/sum(filter(
Maste"&amp;"r_Mapping_Sheet!$E$2:$E$3143, ISNUMBER(
Master_Mapping_Sheet!$E$2:$E$3143),
Master_Mapping_Sheet!$C$2:$C$3143=AD$1)))"),0.0)</f>
        <v>0</v>
      </c>
      <c r="AE2" s="34">
        <f>IFERROR(__xludf.DUMMYFUNCTION("IF(ISNA(sum(filter(
Master_Mapping_Sheet!$E$2:$E$3143, ISNUMBER(
Master_Mapping_Sheet!$E$2:$E$3143),
Master_Mapping_Sheet!$C$2:$C$3143=AE$1,
Master_Mapping_Sheet!$H$2:$H$3143=$A2))/sum(filter(
Master_Mapping_Sheet!$E$2:$E$3143, ISNUMBER(
Master_Mapping_Sh"&amp;"eet!$E$2:$E$3143),
Master_Mapping_Sheet!$C$2:$C$3143=AE$1))), 0, sum(filter(
Master_Mapping_Sheet!$E$2:$E$3143, ISNUMBER(
Master_Mapping_Sheet!$E$2:$E$3143),
Master_Mapping_Sheet!$C$2:$C$3143=AE$1,
Master_Mapping_Sheet!$H$2:$H$3143=$A2))/sum(filter(
Maste"&amp;"r_Mapping_Sheet!$E$2:$E$3143, ISNUMBER(
Master_Mapping_Sheet!$E$2:$E$3143),
Master_Mapping_Sheet!$C$2:$C$3143=AE$1)))"),0.0)</f>
        <v>0</v>
      </c>
      <c r="AF2" s="34">
        <f>IFERROR(__xludf.DUMMYFUNCTION("IF(ISNA(sum(filter(
Master_Mapping_Sheet!$E$2:$E$3143, ISNUMBER(
Master_Mapping_Sheet!$E$2:$E$3143),
Master_Mapping_Sheet!$C$2:$C$3143=AF$1,
Master_Mapping_Sheet!$H$2:$H$3143=$A2))/sum(filter(
Master_Mapping_Sheet!$E$2:$E$3143, ISNUMBER(
Master_Mapping_Sh"&amp;"eet!$E$2:$E$3143),
Master_Mapping_Sheet!$C$2:$C$3143=AF$1))), 0, sum(filter(
Master_Mapping_Sheet!$E$2:$E$3143, ISNUMBER(
Master_Mapping_Sheet!$E$2:$E$3143),
Master_Mapping_Sheet!$C$2:$C$3143=AF$1,
Master_Mapping_Sheet!$H$2:$H$3143=$A2))/sum(filter(
Maste"&amp;"r_Mapping_Sheet!$E$2:$E$3143, ISNUMBER(
Master_Mapping_Sheet!$E$2:$E$3143),
Master_Mapping_Sheet!$C$2:$C$3143=AF$1)))"),0.0)</f>
        <v>0</v>
      </c>
      <c r="AG2" s="34">
        <f>IFERROR(__xludf.DUMMYFUNCTION("IF(ISNA(sum(filter(
Master_Mapping_Sheet!$E$2:$E$3143, ISNUMBER(
Master_Mapping_Sheet!$E$2:$E$3143),
Master_Mapping_Sheet!$C$2:$C$3143=AG$1,
Master_Mapping_Sheet!$H$2:$H$3143=$A2))/sum(filter(
Master_Mapping_Sheet!$E$2:$E$3143, ISNUMBER(
Master_Mapping_Sh"&amp;"eet!$E$2:$E$3143),
Master_Mapping_Sheet!$C$2:$C$3143=AG$1))), 0, sum(filter(
Master_Mapping_Sheet!$E$2:$E$3143, ISNUMBER(
Master_Mapping_Sheet!$E$2:$E$3143),
Master_Mapping_Sheet!$C$2:$C$3143=AG$1,
Master_Mapping_Sheet!$H$2:$H$3143=$A2))/sum(filter(
Maste"&amp;"r_Mapping_Sheet!$E$2:$E$3143, ISNUMBER(
Master_Mapping_Sheet!$E$2:$E$3143),
Master_Mapping_Sheet!$C$2:$C$3143=AG$1)))"),0.0)</f>
        <v>0</v>
      </c>
      <c r="AH2" s="34">
        <f>IFERROR(__xludf.DUMMYFUNCTION("IF(ISNA(sum(filter(
Master_Mapping_Sheet!$E$2:$E$3143, ISNUMBER(
Master_Mapping_Sheet!$E$2:$E$3143),
Master_Mapping_Sheet!$C$2:$C$3143=AH$1,
Master_Mapping_Sheet!$H$2:$H$3143=$A2))/sum(filter(
Master_Mapping_Sheet!$E$2:$E$3143, ISNUMBER(
Master_Mapping_Sh"&amp;"eet!$E$2:$E$3143),
Master_Mapping_Sheet!$C$2:$C$3143=AH$1))), 0, sum(filter(
Master_Mapping_Sheet!$E$2:$E$3143, ISNUMBER(
Master_Mapping_Sheet!$E$2:$E$3143),
Master_Mapping_Sheet!$C$2:$C$3143=AH$1,
Master_Mapping_Sheet!$H$2:$H$3143=$A2))/sum(filter(
Maste"&amp;"r_Mapping_Sheet!$E$2:$E$3143, ISNUMBER(
Master_Mapping_Sheet!$E$2:$E$3143),
Master_Mapping_Sheet!$C$2:$C$3143=AH$1)))"),0.0)</f>
        <v>0</v>
      </c>
      <c r="AI2" s="34">
        <f>IFERROR(__xludf.DUMMYFUNCTION("IF(ISNA(sum(filter(
Master_Mapping_Sheet!$E$2:$E$3143, ISNUMBER(
Master_Mapping_Sheet!$E$2:$E$3143),
Master_Mapping_Sheet!$C$2:$C$3143=AI$1,
Master_Mapping_Sheet!$H$2:$H$3143=$A2))/sum(filter(
Master_Mapping_Sheet!$E$2:$E$3143, ISNUMBER(
Master_Mapping_Sh"&amp;"eet!$E$2:$E$3143),
Master_Mapping_Sheet!$C$2:$C$3143=AI$1))), 0, sum(filter(
Master_Mapping_Sheet!$E$2:$E$3143, ISNUMBER(
Master_Mapping_Sheet!$E$2:$E$3143),
Master_Mapping_Sheet!$C$2:$C$3143=AI$1,
Master_Mapping_Sheet!$H$2:$H$3143=$A2))/sum(filter(
Maste"&amp;"r_Mapping_Sheet!$E$2:$E$3143, ISNUMBER(
Master_Mapping_Sheet!$E$2:$E$3143),
Master_Mapping_Sheet!$C$2:$C$3143=AI$1)))"),0.0)</f>
        <v>0</v>
      </c>
      <c r="AJ2" s="34">
        <f>IFERROR(__xludf.DUMMYFUNCTION("IF(ISNA(sum(filter(
Master_Mapping_Sheet!$E$2:$E$3143, ISNUMBER(
Master_Mapping_Sheet!$E$2:$E$3143),
Master_Mapping_Sheet!$C$2:$C$3143=AJ$1,
Master_Mapping_Sheet!$H$2:$H$3143=$A2))/sum(filter(
Master_Mapping_Sheet!$E$2:$E$3143, ISNUMBER(
Master_Mapping_Sh"&amp;"eet!$E$2:$E$3143),
Master_Mapping_Sheet!$C$2:$C$3143=AJ$1))), 0, sum(filter(
Master_Mapping_Sheet!$E$2:$E$3143, ISNUMBER(
Master_Mapping_Sheet!$E$2:$E$3143),
Master_Mapping_Sheet!$C$2:$C$3143=AJ$1,
Master_Mapping_Sheet!$H$2:$H$3143=$A2))/sum(filter(
Maste"&amp;"r_Mapping_Sheet!$E$2:$E$3143, ISNUMBER(
Master_Mapping_Sheet!$E$2:$E$3143),
Master_Mapping_Sheet!$C$2:$C$3143=AJ$1)))"),0.0)</f>
        <v>0</v>
      </c>
      <c r="AK2" s="34">
        <f>IFERROR(__xludf.DUMMYFUNCTION("IF(ISNA(sum(filter(
Master_Mapping_Sheet!$E$2:$E$3143, ISNUMBER(
Master_Mapping_Sheet!$E$2:$E$3143),
Master_Mapping_Sheet!$C$2:$C$3143=AK$1,
Master_Mapping_Sheet!$H$2:$H$3143=$A2))/sum(filter(
Master_Mapping_Sheet!$E$2:$E$3143, ISNUMBER(
Master_Mapping_Sh"&amp;"eet!$E$2:$E$3143),
Master_Mapping_Sheet!$C$2:$C$3143=AK$1))), 0, sum(filter(
Master_Mapping_Sheet!$E$2:$E$3143, ISNUMBER(
Master_Mapping_Sheet!$E$2:$E$3143),
Master_Mapping_Sheet!$C$2:$C$3143=AK$1,
Master_Mapping_Sheet!$H$2:$H$3143=$A2))/sum(filter(
Maste"&amp;"r_Mapping_Sheet!$E$2:$E$3143, ISNUMBER(
Master_Mapping_Sheet!$E$2:$E$3143),
Master_Mapping_Sheet!$C$2:$C$3143=AK$1)))"),0.0)</f>
        <v>0</v>
      </c>
      <c r="AL2" s="34">
        <f>IFERROR(__xludf.DUMMYFUNCTION("IF(ISNA(sum(filter(
Master_Mapping_Sheet!$E$2:$E$3143, ISNUMBER(
Master_Mapping_Sheet!$E$2:$E$3143),
Master_Mapping_Sheet!$C$2:$C$3143=AL$1,
Master_Mapping_Sheet!$H$2:$H$3143=$A2))/sum(filter(
Master_Mapping_Sheet!$E$2:$E$3143, ISNUMBER(
Master_Mapping_Sh"&amp;"eet!$E$2:$E$3143),
Master_Mapping_Sheet!$C$2:$C$3143=AL$1))), 0, sum(filter(
Master_Mapping_Sheet!$E$2:$E$3143, ISNUMBER(
Master_Mapping_Sheet!$E$2:$E$3143),
Master_Mapping_Sheet!$C$2:$C$3143=AL$1,
Master_Mapping_Sheet!$H$2:$H$3143=$A2))/sum(filter(
Maste"&amp;"r_Mapping_Sheet!$E$2:$E$3143, ISNUMBER(
Master_Mapping_Sheet!$E$2:$E$3143),
Master_Mapping_Sheet!$C$2:$C$3143=AL$1)))"),0.0)</f>
        <v>0</v>
      </c>
      <c r="AM2" s="34">
        <f>IFERROR(__xludf.DUMMYFUNCTION("IF(ISNA(sum(filter(
Master_Mapping_Sheet!$E$2:$E$3143, ISNUMBER(
Master_Mapping_Sheet!$E$2:$E$3143),
Master_Mapping_Sheet!$C$2:$C$3143=AM$1,
Master_Mapping_Sheet!$H$2:$H$3143=$A2))/sum(filter(
Master_Mapping_Sheet!$E$2:$E$3143, ISNUMBER(
Master_Mapping_Sh"&amp;"eet!$E$2:$E$3143),
Master_Mapping_Sheet!$C$2:$C$3143=AM$1))), 0, sum(filter(
Master_Mapping_Sheet!$E$2:$E$3143, ISNUMBER(
Master_Mapping_Sheet!$E$2:$E$3143),
Master_Mapping_Sheet!$C$2:$C$3143=AM$1,
Master_Mapping_Sheet!$H$2:$H$3143=$A2))/sum(filter(
Maste"&amp;"r_Mapping_Sheet!$E$2:$E$3143, ISNUMBER(
Master_Mapping_Sheet!$E$2:$E$3143),
Master_Mapping_Sheet!$C$2:$C$3143=AM$1)))"),0.0)</f>
        <v>0</v>
      </c>
      <c r="AN2" s="34">
        <f>IFERROR(__xludf.DUMMYFUNCTION("IF(ISNA(sum(filter(
Master_Mapping_Sheet!$E$2:$E$3143, ISNUMBER(
Master_Mapping_Sheet!$E$2:$E$3143),
Master_Mapping_Sheet!$C$2:$C$3143=AN$1,
Master_Mapping_Sheet!$H$2:$H$3143=$A2))/sum(filter(
Master_Mapping_Sheet!$E$2:$E$3143, ISNUMBER(
Master_Mapping_Sh"&amp;"eet!$E$2:$E$3143),
Master_Mapping_Sheet!$C$2:$C$3143=AN$1))), 0, sum(filter(
Master_Mapping_Sheet!$E$2:$E$3143, ISNUMBER(
Master_Mapping_Sheet!$E$2:$E$3143),
Master_Mapping_Sheet!$C$2:$C$3143=AN$1,
Master_Mapping_Sheet!$H$2:$H$3143=$A2))/sum(filter(
Maste"&amp;"r_Mapping_Sheet!$E$2:$E$3143, ISNUMBER(
Master_Mapping_Sheet!$E$2:$E$3143),
Master_Mapping_Sheet!$C$2:$C$3143=AN$1)))"),0.0)</f>
        <v>0</v>
      </c>
      <c r="AO2" s="34">
        <f>IFERROR(__xludf.DUMMYFUNCTION("IF(ISNA(sum(filter(
Master_Mapping_Sheet!$E$2:$E$3143, ISNUMBER(
Master_Mapping_Sheet!$E$2:$E$3143),
Master_Mapping_Sheet!$C$2:$C$3143=AO$1,
Master_Mapping_Sheet!$H$2:$H$3143=$A2))/sum(filter(
Master_Mapping_Sheet!$E$2:$E$3143, ISNUMBER(
Master_Mapping_Sh"&amp;"eet!$E$2:$E$3143),
Master_Mapping_Sheet!$C$2:$C$3143=AO$1))), 0, sum(filter(
Master_Mapping_Sheet!$E$2:$E$3143, ISNUMBER(
Master_Mapping_Sheet!$E$2:$E$3143),
Master_Mapping_Sheet!$C$2:$C$3143=AO$1,
Master_Mapping_Sheet!$H$2:$H$3143=$A2))/sum(filter(
Maste"&amp;"r_Mapping_Sheet!$E$2:$E$3143, ISNUMBER(
Master_Mapping_Sheet!$E$2:$E$3143),
Master_Mapping_Sheet!$C$2:$C$3143=AO$1)))"),0.0)</f>
        <v>0</v>
      </c>
      <c r="AP2" s="34">
        <f>IFERROR(__xludf.DUMMYFUNCTION("IF(ISNA(sum(filter(
Master_Mapping_Sheet!$E$2:$E$3143, ISNUMBER(
Master_Mapping_Sheet!$E$2:$E$3143),
Master_Mapping_Sheet!$C$2:$C$3143=AP$1,
Master_Mapping_Sheet!$H$2:$H$3143=$A2))/sum(filter(
Master_Mapping_Sheet!$E$2:$E$3143, ISNUMBER(
Master_Mapping_Sh"&amp;"eet!$E$2:$E$3143),
Master_Mapping_Sheet!$C$2:$C$3143=AP$1))), 0, sum(filter(
Master_Mapping_Sheet!$E$2:$E$3143, ISNUMBER(
Master_Mapping_Sheet!$E$2:$E$3143),
Master_Mapping_Sheet!$C$2:$C$3143=AP$1,
Master_Mapping_Sheet!$H$2:$H$3143=$A2))/sum(filter(
Maste"&amp;"r_Mapping_Sheet!$E$2:$E$3143, ISNUMBER(
Master_Mapping_Sheet!$E$2:$E$3143),
Master_Mapping_Sheet!$C$2:$C$3143=AP$1)))"),0.0)</f>
        <v>0</v>
      </c>
      <c r="AQ2" s="34">
        <f>IFERROR(__xludf.DUMMYFUNCTION("IF(ISNA(sum(filter(
Master_Mapping_Sheet!$E$2:$E$3143, ISNUMBER(
Master_Mapping_Sheet!$E$2:$E$3143),
Master_Mapping_Sheet!$C$2:$C$3143=AQ$1,
Master_Mapping_Sheet!$H$2:$H$3143=$A2))/sum(filter(
Master_Mapping_Sheet!$E$2:$E$3143, ISNUMBER(
Master_Mapping_Sh"&amp;"eet!$E$2:$E$3143),
Master_Mapping_Sheet!$C$2:$C$3143=AQ$1))), 0, sum(filter(
Master_Mapping_Sheet!$E$2:$E$3143, ISNUMBER(
Master_Mapping_Sheet!$E$2:$E$3143),
Master_Mapping_Sheet!$C$2:$C$3143=AQ$1,
Master_Mapping_Sheet!$H$2:$H$3143=$A2))/sum(filter(
Maste"&amp;"r_Mapping_Sheet!$E$2:$E$3143, ISNUMBER(
Master_Mapping_Sheet!$E$2:$E$3143),
Master_Mapping_Sheet!$C$2:$C$3143=AQ$1)))"),0.0)</f>
        <v>0</v>
      </c>
      <c r="AR2" s="34">
        <f>IFERROR(__xludf.DUMMYFUNCTION("IF(ISNA(sum(filter(
Master_Mapping_Sheet!$E$2:$E$3143, ISNUMBER(
Master_Mapping_Sheet!$E$2:$E$3143),
Master_Mapping_Sheet!$C$2:$C$3143=AR$1,
Master_Mapping_Sheet!$H$2:$H$3143=$A2))/sum(filter(
Master_Mapping_Sheet!$E$2:$E$3143, ISNUMBER(
Master_Mapping_Sh"&amp;"eet!$E$2:$E$3143),
Master_Mapping_Sheet!$C$2:$C$3143=AR$1))), 0, sum(filter(
Master_Mapping_Sheet!$E$2:$E$3143, ISNUMBER(
Master_Mapping_Sheet!$E$2:$E$3143),
Master_Mapping_Sheet!$C$2:$C$3143=AR$1,
Master_Mapping_Sheet!$H$2:$H$3143=$A2))/sum(filter(
Maste"&amp;"r_Mapping_Sheet!$E$2:$E$3143, ISNUMBER(
Master_Mapping_Sheet!$E$2:$E$3143),
Master_Mapping_Sheet!$C$2:$C$3143=AR$1)))"),0.0)</f>
        <v>0</v>
      </c>
      <c r="AS2" s="34">
        <f>IFERROR(__xludf.DUMMYFUNCTION("IF(ISNA(sum(filter(
Master_Mapping_Sheet!$E$2:$E$3143, ISNUMBER(
Master_Mapping_Sheet!$E$2:$E$3143),
Master_Mapping_Sheet!$C$2:$C$3143=AS$1,
Master_Mapping_Sheet!$H$2:$H$3143=$A2))/sum(filter(
Master_Mapping_Sheet!$E$2:$E$3143, ISNUMBER(
Master_Mapping_Sh"&amp;"eet!$E$2:$E$3143),
Master_Mapping_Sheet!$C$2:$C$3143=AS$1))), 0, sum(filter(
Master_Mapping_Sheet!$E$2:$E$3143, ISNUMBER(
Master_Mapping_Sheet!$E$2:$E$3143),
Master_Mapping_Sheet!$C$2:$C$3143=AS$1,
Master_Mapping_Sheet!$H$2:$H$3143=$A2))/sum(filter(
Maste"&amp;"r_Mapping_Sheet!$E$2:$E$3143, ISNUMBER(
Master_Mapping_Sheet!$E$2:$E$3143),
Master_Mapping_Sheet!$C$2:$C$3143=AS$1)))"),0.8641373273010682)</f>
        <v>0.8641373273</v>
      </c>
      <c r="AT2" s="34">
        <f>IFERROR(__xludf.DUMMYFUNCTION("IF(ISNA(sum(filter(
Master_Mapping_Sheet!$E$2:$E$3143, ISNUMBER(
Master_Mapping_Sheet!$E$2:$E$3143),
Master_Mapping_Sheet!$C$2:$C$3143=AT$1,
Master_Mapping_Sheet!$H$2:$H$3143=$A2))/sum(filter(
Master_Mapping_Sheet!$E$2:$E$3143, ISNUMBER(
Master_Mapping_Sh"&amp;"eet!$E$2:$E$3143),
Master_Mapping_Sheet!$C$2:$C$3143=AT$1))), 0, sum(filter(
Master_Mapping_Sheet!$E$2:$E$3143, ISNUMBER(
Master_Mapping_Sheet!$E$2:$E$3143),
Master_Mapping_Sheet!$C$2:$C$3143=AT$1,
Master_Mapping_Sheet!$H$2:$H$3143=$A2))/sum(filter(
Maste"&amp;"r_Mapping_Sheet!$E$2:$E$3143, ISNUMBER(
Master_Mapping_Sheet!$E$2:$E$3143),
Master_Mapping_Sheet!$C$2:$C$3143=AT$1)))"),0.0)</f>
        <v>0</v>
      </c>
      <c r="AU2" s="34">
        <f>IFERROR(__xludf.DUMMYFUNCTION("IF(ISNA(sum(filter(
Master_Mapping_Sheet!$E$2:$E$3143, ISNUMBER(
Master_Mapping_Sheet!$E$2:$E$3143),
Master_Mapping_Sheet!$C$2:$C$3143=AU$1,
Master_Mapping_Sheet!$H$2:$H$3143=$A2))/sum(filter(
Master_Mapping_Sheet!$E$2:$E$3143, ISNUMBER(
Master_Mapping_Sh"&amp;"eet!$E$2:$E$3143),
Master_Mapping_Sheet!$C$2:$C$3143=AU$1))), 0, sum(filter(
Master_Mapping_Sheet!$E$2:$E$3143, ISNUMBER(
Master_Mapping_Sheet!$E$2:$E$3143),
Master_Mapping_Sheet!$C$2:$C$3143=AU$1,
Master_Mapping_Sheet!$H$2:$H$3143=$A2))/sum(filter(
Maste"&amp;"r_Mapping_Sheet!$E$2:$E$3143, ISNUMBER(
Master_Mapping_Sheet!$E$2:$E$3143),
Master_Mapping_Sheet!$C$2:$C$3143=AU$1)))"),0.0)</f>
        <v>0</v>
      </c>
      <c r="AV2" s="34">
        <f>IFERROR(__xludf.DUMMYFUNCTION("IF(ISNA(sum(filter(
Master_Mapping_Sheet!$E$2:$E$3143, ISNUMBER(
Master_Mapping_Sheet!$E$2:$E$3143),
Master_Mapping_Sheet!$C$2:$C$3143=AV$1,
Master_Mapping_Sheet!$H$2:$H$3143=$A2))/sum(filter(
Master_Mapping_Sheet!$E$2:$E$3143, ISNUMBER(
Master_Mapping_Sh"&amp;"eet!$E$2:$E$3143),
Master_Mapping_Sheet!$C$2:$C$3143=AV$1))), 0, sum(filter(
Master_Mapping_Sheet!$E$2:$E$3143, ISNUMBER(
Master_Mapping_Sheet!$E$2:$E$3143),
Master_Mapping_Sheet!$C$2:$C$3143=AV$1,
Master_Mapping_Sheet!$H$2:$H$3143=$A2))/sum(filter(
Maste"&amp;"r_Mapping_Sheet!$E$2:$E$3143, ISNUMBER(
Master_Mapping_Sheet!$E$2:$E$3143),
Master_Mapping_Sheet!$C$2:$C$3143=AV$1)))"),0.0)</f>
        <v>0</v>
      </c>
      <c r="AW2" s="34">
        <f>IFERROR(__xludf.DUMMYFUNCTION("IF(ISNA(sum(filter(
Master_Mapping_Sheet!$E$2:$E$3143, ISNUMBER(
Master_Mapping_Sheet!$E$2:$E$3143),
Master_Mapping_Sheet!$C$2:$C$3143=AW$1,
Master_Mapping_Sheet!$H$2:$H$3143=$A2))/sum(filter(
Master_Mapping_Sheet!$E$2:$E$3143, ISNUMBER(
Master_Mapping_Sh"&amp;"eet!$E$2:$E$3143),
Master_Mapping_Sheet!$C$2:$C$3143=AW$1))), 0, sum(filter(
Master_Mapping_Sheet!$E$2:$E$3143, ISNUMBER(
Master_Mapping_Sheet!$E$2:$E$3143),
Master_Mapping_Sheet!$C$2:$C$3143=AW$1,
Master_Mapping_Sheet!$H$2:$H$3143=$A2))/sum(filter(
Maste"&amp;"r_Mapping_Sheet!$E$2:$E$3143, ISNUMBER(
Master_Mapping_Sheet!$E$2:$E$3143),
Master_Mapping_Sheet!$C$2:$C$3143=AW$1)))"),0.0)</f>
        <v>0</v>
      </c>
      <c r="AX2" s="34">
        <f>IFERROR(__xludf.DUMMYFUNCTION("IF(ISNA(sum(filter(
Master_Mapping_Sheet!$E$2:$E$3143, ISNUMBER(
Master_Mapping_Sheet!$E$2:$E$3143),
Master_Mapping_Sheet!$C$2:$C$3143=AX$1,
Master_Mapping_Sheet!$H$2:$H$3143=$A2))/sum(filter(
Master_Mapping_Sheet!$E$2:$E$3143, ISNUMBER(
Master_Mapping_Sh"&amp;"eet!$E$2:$E$3143),
Master_Mapping_Sheet!$C$2:$C$3143=AX$1))), 0, sum(filter(
Master_Mapping_Sheet!$E$2:$E$3143, ISNUMBER(
Master_Mapping_Sheet!$E$2:$E$3143),
Master_Mapping_Sheet!$C$2:$C$3143=AX$1,
Master_Mapping_Sheet!$H$2:$H$3143=$A2))/sum(filter(
Maste"&amp;"r_Mapping_Sheet!$E$2:$E$3143, ISNUMBER(
Master_Mapping_Sheet!$E$2:$E$3143),
Master_Mapping_Sheet!$C$2:$C$3143=AX$1)))"),0.0)</f>
        <v>0</v>
      </c>
      <c r="AY2" s="34">
        <f>IFERROR(__xludf.DUMMYFUNCTION("IF(ISNA(sum(filter(
Master_Mapping_Sheet!$E$2:$E$3143, ISNUMBER(
Master_Mapping_Sheet!$E$2:$E$3143),
Master_Mapping_Sheet!$C$2:$C$3143=AY$1,
Master_Mapping_Sheet!$H$2:$H$3143=$A2))/sum(filter(
Master_Mapping_Sheet!$E$2:$E$3143, ISNUMBER(
Master_Mapping_Sh"&amp;"eet!$E$2:$E$3143),
Master_Mapping_Sheet!$C$2:$C$3143=AY$1))), 0, sum(filter(
Master_Mapping_Sheet!$E$2:$E$3143, ISNUMBER(
Master_Mapping_Sheet!$E$2:$E$3143),
Master_Mapping_Sheet!$C$2:$C$3143=AY$1,
Master_Mapping_Sheet!$H$2:$H$3143=$A2))/sum(filter(
Maste"&amp;"r_Mapping_Sheet!$E$2:$E$3143, ISNUMBER(
Master_Mapping_Sheet!$E$2:$E$3143),
Master_Mapping_Sheet!$C$2:$C$3143=AY$1)))"),0.0)</f>
        <v>0</v>
      </c>
      <c r="AZ2" s="34">
        <f>IFERROR(__xludf.DUMMYFUNCTION("IF(ISNA(sum(filter(
Master_Mapping_Sheet!$E$2:$E$3143, ISNUMBER(
Master_Mapping_Sheet!$E$2:$E$3143),
Master_Mapping_Sheet!$C$2:$C$3143=AZ$1,
Master_Mapping_Sheet!$H$2:$H$3143=$A2))/sum(filter(
Master_Mapping_Sheet!$E$2:$E$3143, ISNUMBER(
Master_Mapping_Sh"&amp;"eet!$E$2:$E$3143),
Master_Mapping_Sheet!$C$2:$C$3143=AZ$1))), 0, sum(filter(
Master_Mapping_Sheet!$E$2:$E$3143, ISNUMBER(
Master_Mapping_Sheet!$E$2:$E$3143),
Master_Mapping_Sheet!$C$2:$C$3143=AZ$1,
Master_Mapping_Sheet!$H$2:$H$3143=$A2))/sum(filter(
Maste"&amp;"r_Mapping_Sheet!$E$2:$E$3143, ISNUMBER(
Master_Mapping_Sheet!$E$2:$E$3143),
Master_Mapping_Sheet!$C$2:$C$3143=AZ$1)))"),0.0)</f>
        <v>0</v>
      </c>
    </row>
    <row r="3" ht="15.75" customHeight="1">
      <c r="A3" s="34" t="s">
        <v>3989</v>
      </c>
      <c r="B3" s="34">
        <f>IFERROR(__xludf.DUMMYFUNCTION("IF(ISNA(sum(filter(
Master_Mapping_Sheet!$E$2:$E$3143, ISNUMBER(
Master_Mapping_Sheet!$E$2:$E$3143),
Master_Mapping_Sheet!$C$2:$C$3143=B$1,
Master_Mapping_Sheet!$H$2:$H$3143=$A3))/sum(filter(
Master_Mapping_Sheet!$E$2:$E$3143, ISNUMBER(
Master_Mapping_She"&amp;"et!$E$2:$E$3143),
Master_Mapping_Sheet!$C$2:$C$3143=B$1))), 0, sum(filter(
Master_Mapping_Sheet!$E$2:$E$3143, ISNUMBER(
Master_Mapping_Sheet!$E$2:$E$3143),
Master_Mapping_Sheet!$C$2:$C$3143=B$1,
Master_Mapping_Sheet!$H$2:$H$3143=$A3))/sum(filter(
Master_M"&amp;"apping_Sheet!$E$2:$E$3143, ISNUMBER(
Master_Mapping_Sheet!$E$2:$E$3143),
Master_Mapping_Sheet!$C$2:$C$3143=B$1)))"),0.0)</f>
        <v>0</v>
      </c>
      <c r="C3" s="34">
        <f>IFERROR(__xludf.DUMMYFUNCTION("IF(ISNA(sum(filter(
Master_Mapping_Sheet!$E$2:$E$3143, ISNUMBER(
Master_Mapping_Sheet!$E$2:$E$3143),
Master_Mapping_Sheet!$C$2:$C$3143=C$1,
Master_Mapping_Sheet!$H$2:$H$3143=$A3))/sum(filter(
Master_Mapping_Sheet!$E$2:$E$3143, ISNUMBER(
Master_Mapping_She"&amp;"et!$E$2:$E$3143),
Master_Mapping_Sheet!$C$2:$C$3143=C$1))), 0, sum(filter(
Master_Mapping_Sheet!$E$2:$E$3143, ISNUMBER(
Master_Mapping_Sheet!$E$2:$E$3143),
Master_Mapping_Sheet!$C$2:$C$3143=C$1,
Master_Mapping_Sheet!$H$2:$H$3143=$A3))/sum(filter(
Master_M"&amp;"apping_Sheet!$E$2:$E$3143, ISNUMBER(
Master_Mapping_Sheet!$E$2:$E$3143),
Master_Mapping_Sheet!$C$2:$C$3143=C$1)))"),0.0)</f>
        <v>0</v>
      </c>
      <c r="D3" s="34">
        <f>IFERROR(__xludf.DUMMYFUNCTION("IF(ISNA(sum(filter(
Master_Mapping_Sheet!$E$2:$E$3143, ISNUMBER(
Master_Mapping_Sheet!$E$2:$E$3143),
Master_Mapping_Sheet!$C$2:$C$3143=D$1,
Master_Mapping_Sheet!$H$2:$H$3143=$A3))/sum(filter(
Master_Mapping_Sheet!$E$2:$E$3143, ISNUMBER(
Master_Mapping_She"&amp;"et!$E$2:$E$3143),
Master_Mapping_Sheet!$C$2:$C$3143=D$1))), 0, sum(filter(
Master_Mapping_Sheet!$E$2:$E$3143, ISNUMBER(
Master_Mapping_Sheet!$E$2:$E$3143),
Master_Mapping_Sheet!$C$2:$C$3143=D$1,
Master_Mapping_Sheet!$H$2:$H$3143=$A3))/sum(filter(
Master_M"&amp;"apping_Sheet!$E$2:$E$3143, ISNUMBER(
Master_Mapping_Sheet!$E$2:$E$3143),
Master_Mapping_Sheet!$C$2:$C$3143=D$1)))"),0.0)</f>
        <v>0</v>
      </c>
      <c r="E3" s="34">
        <f>IFERROR(__xludf.DUMMYFUNCTION("IF(ISNA(sum(filter(
Master_Mapping_Sheet!$E$2:$E$3143, ISNUMBER(
Master_Mapping_Sheet!$E$2:$E$3143),
Master_Mapping_Sheet!$C$2:$C$3143=E$1,
Master_Mapping_Sheet!$H$2:$H$3143=$A3))/sum(filter(
Master_Mapping_Sheet!$E$2:$E$3143, ISNUMBER(
Master_Mapping_She"&amp;"et!$E$2:$E$3143),
Master_Mapping_Sheet!$C$2:$C$3143=E$1))), 0, sum(filter(
Master_Mapping_Sheet!$E$2:$E$3143, ISNUMBER(
Master_Mapping_Sheet!$E$2:$E$3143),
Master_Mapping_Sheet!$C$2:$C$3143=E$1,
Master_Mapping_Sheet!$H$2:$H$3143=$A3))/sum(filter(
Master_M"&amp;"apping_Sheet!$E$2:$E$3143, ISNUMBER(
Master_Mapping_Sheet!$E$2:$E$3143),
Master_Mapping_Sheet!$C$2:$C$3143=E$1)))"),0.0)</f>
        <v>0</v>
      </c>
      <c r="F3" s="34">
        <f>IFERROR(__xludf.DUMMYFUNCTION("IF(ISNA(sum(filter(
Master_Mapping_Sheet!$E$2:$E$3143, ISNUMBER(
Master_Mapping_Sheet!$E$2:$E$3143),
Master_Mapping_Sheet!$C$2:$C$3143=F$1,
Master_Mapping_Sheet!$H$2:$H$3143=$A3))/sum(filter(
Master_Mapping_Sheet!$E$2:$E$3143, ISNUMBER(
Master_Mapping_She"&amp;"et!$E$2:$E$3143),
Master_Mapping_Sheet!$C$2:$C$3143=F$1))), 0, sum(filter(
Master_Mapping_Sheet!$E$2:$E$3143, ISNUMBER(
Master_Mapping_Sheet!$E$2:$E$3143),
Master_Mapping_Sheet!$C$2:$C$3143=F$1,
Master_Mapping_Sheet!$H$2:$H$3143=$A3))/sum(filter(
Master_M"&amp;"apping_Sheet!$E$2:$E$3143, ISNUMBER(
Master_Mapping_Sheet!$E$2:$E$3143),
Master_Mapping_Sheet!$C$2:$C$3143=F$1)))"),0.0)</f>
        <v>0</v>
      </c>
      <c r="G3" s="34">
        <f>IFERROR(__xludf.DUMMYFUNCTION("IF(ISNA(sum(filter(
Master_Mapping_Sheet!$E$2:$E$3143, ISNUMBER(
Master_Mapping_Sheet!$E$2:$E$3143),
Master_Mapping_Sheet!$C$2:$C$3143=G$1,
Master_Mapping_Sheet!$H$2:$H$3143=$A3))/sum(filter(
Master_Mapping_Sheet!$E$2:$E$3143, ISNUMBER(
Master_Mapping_She"&amp;"et!$E$2:$E$3143),
Master_Mapping_Sheet!$C$2:$C$3143=G$1))), 0, sum(filter(
Master_Mapping_Sheet!$E$2:$E$3143, ISNUMBER(
Master_Mapping_Sheet!$E$2:$E$3143),
Master_Mapping_Sheet!$C$2:$C$3143=G$1,
Master_Mapping_Sheet!$H$2:$H$3143=$A3))/sum(filter(
Master_M"&amp;"apping_Sheet!$E$2:$E$3143, ISNUMBER(
Master_Mapping_Sheet!$E$2:$E$3143),
Master_Mapping_Sheet!$C$2:$C$3143=G$1)))"),0.0)</f>
        <v>0</v>
      </c>
      <c r="H3" s="34">
        <f>IFERROR(__xludf.DUMMYFUNCTION("IF(ISNA(sum(filter(
Master_Mapping_Sheet!$E$2:$E$3143, ISNUMBER(
Master_Mapping_Sheet!$E$2:$E$3143),
Master_Mapping_Sheet!$C$2:$C$3143=H$1,
Master_Mapping_Sheet!$H$2:$H$3143=$A3))/sum(filter(
Master_Mapping_Sheet!$E$2:$E$3143, ISNUMBER(
Master_Mapping_She"&amp;"et!$E$2:$E$3143),
Master_Mapping_Sheet!$C$2:$C$3143=H$1))), 0, sum(filter(
Master_Mapping_Sheet!$E$2:$E$3143, ISNUMBER(
Master_Mapping_Sheet!$E$2:$E$3143),
Master_Mapping_Sheet!$C$2:$C$3143=H$1,
Master_Mapping_Sheet!$H$2:$H$3143=$A3))/sum(filter(
Master_M"&amp;"apping_Sheet!$E$2:$E$3143, ISNUMBER(
Master_Mapping_Sheet!$E$2:$E$3143),
Master_Mapping_Sheet!$C$2:$C$3143=H$1)))"),0.0)</f>
        <v>0</v>
      </c>
      <c r="I3" s="34">
        <f>IFERROR(__xludf.DUMMYFUNCTION("IF(ISNA(sum(filter(
Master_Mapping_Sheet!$E$2:$E$3143, ISNUMBER(
Master_Mapping_Sheet!$E$2:$E$3143),
Master_Mapping_Sheet!$C$2:$C$3143=I$1,
Master_Mapping_Sheet!$H$2:$H$3143=$A3))/sum(filter(
Master_Mapping_Sheet!$E$2:$E$3143, ISNUMBER(
Master_Mapping_She"&amp;"et!$E$2:$E$3143),
Master_Mapping_Sheet!$C$2:$C$3143=I$1))), 0, sum(filter(
Master_Mapping_Sheet!$E$2:$E$3143, ISNUMBER(
Master_Mapping_Sheet!$E$2:$E$3143),
Master_Mapping_Sheet!$C$2:$C$3143=I$1,
Master_Mapping_Sheet!$H$2:$H$3143=$A3))/sum(filter(
Master_M"&amp;"apping_Sheet!$E$2:$E$3143, ISNUMBER(
Master_Mapping_Sheet!$E$2:$E$3143),
Master_Mapping_Sheet!$C$2:$C$3143=I$1)))"),0.0)</f>
        <v>0</v>
      </c>
      <c r="J3" s="34">
        <f>IFERROR(__xludf.DUMMYFUNCTION("IF(ISNA(sum(filter(
Master_Mapping_Sheet!$E$2:$E$3143, ISNUMBER(
Master_Mapping_Sheet!$E$2:$E$3143),
Master_Mapping_Sheet!$C$2:$C$3143=J$1,
Master_Mapping_Sheet!$H$2:$H$3143=$A3))/sum(filter(
Master_Mapping_Sheet!$E$2:$E$3143, ISNUMBER(
Master_Mapping_She"&amp;"et!$E$2:$E$3143),
Master_Mapping_Sheet!$C$2:$C$3143=J$1))), 0, sum(filter(
Master_Mapping_Sheet!$E$2:$E$3143, ISNUMBER(
Master_Mapping_Sheet!$E$2:$E$3143),
Master_Mapping_Sheet!$C$2:$C$3143=J$1,
Master_Mapping_Sheet!$H$2:$H$3143=$A3))/sum(filter(
Master_M"&amp;"apping_Sheet!$E$2:$E$3143, ISNUMBER(
Master_Mapping_Sheet!$E$2:$E$3143),
Master_Mapping_Sheet!$C$2:$C$3143=J$1)))"),0.0)</f>
        <v>0</v>
      </c>
      <c r="K3" s="34">
        <f>IFERROR(__xludf.DUMMYFUNCTION("IF(ISNA(sum(filter(
Master_Mapping_Sheet!$E$2:$E$3143, ISNUMBER(
Master_Mapping_Sheet!$E$2:$E$3143),
Master_Mapping_Sheet!$C$2:$C$3143=K$1,
Master_Mapping_Sheet!$H$2:$H$3143=$A3))/sum(filter(
Master_Mapping_Sheet!$E$2:$E$3143, ISNUMBER(
Master_Mapping_She"&amp;"et!$E$2:$E$3143),
Master_Mapping_Sheet!$C$2:$C$3143=K$1))), 0, sum(filter(
Master_Mapping_Sheet!$E$2:$E$3143, ISNUMBER(
Master_Mapping_Sheet!$E$2:$E$3143),
Master_Mapping_Sheet!$C$2:$C$3143=K$1,
Master_Mapping_Sheet!$H$2:$H$3143=$A3))/sum(filter(
Master_M"&amp;"apping_Sheet!$E$2:$E$3143, ISNUMBER(
Master_Mapping_Sheet!$E$2:$E$3143),
Master_Mapping_Sheet!$C$2:$C$3143=K$1)))"),0.9491830558647254)</f>
        <v>0.9491830559</v>
      </c>
      <c r="L3" s="34">
        <f>IFERROR(__xludf.DUMMYFUNCTION("IF(ISNA(sum(filter(
Master_Mapping_Sheet!$E$2:$E$3143, ISNUMBER(
Master_Mapping_Sheet!$E$2:$E$3143),
Master_Mapping_Sheet!$C$2:$C$3143=L$1,
Master_Mapping_Sheet!$H$2:$H$3143=$A3))/sum(filter(
Master_Mapping_Sheet!$E$2:$E$3143, ISNUMBER(
Master_Mapping_She"&amp;"et!$E$2:$E$3143),
Master_Mapping_Sheet!$C$2:$C$3143=L$1))), 0, sum(filter(
Master_Mapping_Sheet!$E$2:$E$3143, ISNUMBER(
Master_Mapping_Sheet!$E$2:$E$3143),
Master_Mapping_Sheet!$C$2:$C$3143=L$1,
Master_Mapping_Sheet!$H$2:$H$3143=$A3))/sum(filter(
Master_M"&amp;"apping_Sheet!$E$2:$E$3143, ISNUMBER(
Master_Mapping_Sheet!$E$2:$E$3143),
Master_Mapping_Sheet!$C$2:$C$3143=L$1)))"),0.0)</f>
        <v>0</v>
      </c>
      <c r="M3" s="34">
        <f>IFERROR(__xludf.DUMMYFUNCTION("IF(ISNA(sum(filter(
Master_Mapping_Sheet!$E$2:$E$3143, ISNUMBER(
Master_Mapping_Sheet!$E$2:$E$3143),
Master_Mapping_Sheet!$C$2:$C$3143=M$1,
Master_Mapping_Sheet!$H$2:$H$3143=$A3))/sum(filter(
Master_Mapping_Sheet!$E$2:$E$3143, ISNUMBER(
Master_Mapping_She"&amp;"et!$E$2:$E$3143),
Master_Mapping_Sheet!$C$2:$C$3143=M$1))), 0, sum(filter(
Master_Mapping_Sheet!$E$2:$E$3143, ISNUMBER(
Master_Mapping_Sheet!$E$2:$E$3143),
Master_Mapping_Sheet!$C$2:$C$3143=M$1,
Master_Mapping_Sheet!$H$2:$H$3143=$A3))/sum(filter(
Master_M"&amp;"apping_Sheet!$E$2:$E$3143, ISNUMBER(
Master_Mapping_Sheet!$E$2:$E$3143),
Master_Mapping_Sheet!$C$2:$C$3143=M$1)))"),0.0)</f>
        <v>0</v>
      </c>
      <c r="N3" s="34">
        <f>IFERROR(__xludf.DUMMYFUNCTION("IF(ISNA(sum(filter(
Master_Mapping_Sheet!$E$2:$E$3143, ISNUMBER(
Master_Mapping_Sheet!$E$2:$E$3143),
Master_Mapping_Sheet!$C$2:$C$3143=N$1,
Master_Mapping_Sheet!$H$2:$H$3143=$A3))/sum(filter(
Master_Mapping_Sheet!$E$2:$E$3143, ISNUMBER(
Master_Mapping_She"&amp;"et!$E$2:$E$3143),
Master_Mapping_Sheet!$C$2:$C$3143=N$1))), 0, sum(filter(
Master_Mapping_Sheet!$E$2:$E$3143, ISNUMBER(
Master_Mapping_Sheet!$E$2:$E$3143),
Master_Mapping_Sheet!$C$2:$C$3143=N$1,
Master_Mapping_Sheet!$H$2:$H$3143=$A3))/sum(filter(
Master_M"&amp;"apping_Sheet!$E$2:$E$3143, ISNUMBER(
Master_Mapping_Sheet!$E$2:$E$3143),
Master_Mapping_Sheet!$C$2:$C$3143=N$1)))"),0.0)</f>
        <v>0</v>
      </c>
      <c r="O3" s="34">
        <f>IFERROR(__xludf.DUMMYFUNCTION("IF(ISNA(sum(filter(
Master_Mapping_Sheet!$E$2:$E$3143, ISNUMBER(
Master_Mapping_Sheet!$E$2:$E$3143),
Master_Mapping_Sheet!$C$2:$C$3143=O$1,
Master_Mapping_Sheet!$H$2:$H$3143=$A3))/sum(filter(
Master_Mapping_Sheet!$E$2:$E$3143, ISNUMBER(
Master_Mapping_She"&amp;"et!$E$2:$E$3143),
Master_Mapping_Sheet!$C$2:$C$3143=O$1))), 0, sum(filter(
Master_Mapping_Sheet!$E$2:$E$3143, ISNUMBER(
Master_Mapping_Sheet!$E$2:$E$3143),
Master_Mapping_Sheet!$C$2:$C$3143=O$1,
Master_Mapping_Sheet!$H$2:$H$3143=$A3))/sum(filter(
Master_M"&amp;"apping_Sheet!$E$2:$E$3143, ISNUMBER(
Master_Mapping_Sheet!$E$2:$E$3143),
Master_Mapping_Sheet!$C$2:$C$3143=O$1)))"),0.0)</f>
        <v>0</v>
      </c>
      <c r="P3" s="34">
        <f>IFERROR(__xludf.DUMMYFUNCTION("IF(ISNA(sum(filter(
Master_Mapping_Sheet!$E$2:$E$3143, ISNUMBER(
Master_Mapping_Sheet!$E$2:$E$3143),
Master_Mapping_Sheet!$C$2:$C$3143=P$1,
Master_Mapping_Sheet!$H$2:$H$3143=$A3))/sum(filter(
Master_Mapping_Sheet!$E$2:$E$3143, ISNUMBER(
Master_Mapping_She"&amp;"et!$E$2:$E$3143),
Master_Mapping_Sheet!$C$2:$C$3143=P$1))), 0, sum(filter(
Master_Mapping_Sheet!$E$2:$E$3143, ISNUMBER(
Master_Mapping_Sheet!$E$2:$E$3143),
Master_Mapping_Sheet!$C$2:$C$3143=P$1,
Master_Mapping_Sheet!$H$2:$H$3143=$A3))/sum(filter(
Master_M"&amp;"apping_Sheet!$E$2:$E$3143, ISNUMBER(
Master_Mapping_Sheet!$E$2:$E$3143),
Master_Mapping_Sheet!$C$2:$C$3143=P$1)))"),0.0)</f>
        <v>0</v>
      </c>
      <c r="Q3" s="34">
        <f>IFERROR(__xludf.DUMMYFUNCTION("IF(ISNA(sum(filter(
Master_Mapping_Sheet!$E$2:$E$3143, ISNUMBER(
Master_Mapping_Sheet!$E$2:$E$3143),
Master_Mapping_Sheet!$C$2:$C$3143=Q$1,
Master_Mapping_Sheet!$H$2:$H$3143=$A3))/sum(filter(
Master_Mapping_Sheet!$E$2:$E$3143, ISNUMBER(
Master_Mapping_She"&amp;"et!$E$2:$E$3143),
Master_Mapping_Sheet!$C$2:$C$3143=Q$1))), 0, sum(filter(
Master_Mapping_Sheet!$E$2:$E$3143, ISNUMBER(
Master_Mapping_Sheet!$E$2:$E$3143),
Master_Mapping_Sheet!$C$2:$C$3143=Q$1,
Master_Mapping_Sheet!$H$2:$H$3143=$A3))/sum(filter(
Master_M"&amp;"apping_Sheet!$E$2:$E$3143, ISNUMBER(
Master_Mapping_Sheet!$E$2:$E$3143),
Master_Mapping_Sheet!$C$2:$C$3143=Q$1)))"),0.0)</f>
        <v>0</v>
      </c>
      <c r="R3" s="34">
        <f>IFERROR(__xludf.DUMMYFUNCTION("IF(ISNA(sum(filter(
Master_Mapping_Sheet!$E$2:$E$3143, ISNUMBER(
Master_Mapping_Sheet!$E$2:$E$3143),
Master_Mapping_Sheet!$C$2:$C$3143=R$1,
Master_Mapping_Sheet!$H$2:$H$3143=$A3))/sum(filter(
Master_Mapping_Sheet!$E$2:$E$3143, ISNUMBER(
Master_Mapping_She"&amp;"et!$E$2:$E$3143),
Master_Mapping_Sheet!$C$2:$C$3143=R$1))), 0, sum(filter(
Master_Mapping_Sheet!$E$2:$E$3143, ISNUMBER(
Master_Mapping_Sheet!$E$2:$E$3143),
Master_Mapping_Sheet!$C$2:$C$3143=R$1,
Master_Mapping_Sheet!$H$2:$H$3143=$A3))/sum(filter(
Master_M"&amp;"apping_Sheet!$E$2:$E$3143, ISNUMBER(
Master_Mapping_Sheet!$E$2:$E$3143),
Master_Mapping_Sheet!$C$2:$C$3143=R$1)))"),0.0)</f>
        <v>0</v>
      </c>
      <c r="S3" s="34">
        <f>IFERROR(__xludf.DUMMYFUNCTION("IF(ISNA(sum(filter(
Master_Mapping_Sheet!$E$2:$E$3143, ISNUMBER(
Master_Mapping_Sheet!$E$2:$E$3143),
Master_Mapping_Sheet!$C$2:$C$3143=S$1,
Master_Mapping_Sheet!$H$2:$H$3143=$A3))/sum(filter(
Master_Mapping_Sheet!$E$2:$E$3143, ISNUMBER(
Master_Mapping_She"&amp;"et!$E$2:$E$3143),
Master_Mapping_Sheet!$C$2:$C$3143=S$1))), 0, sum(filter(
Master_Mapping_Sheet!$E$2:$E$3143, ISNUMBER(
Master_Mapping_Sheet!$E$2:$E$3143),
Master_Mapping_Sheet!$C$2:$C$3143=S$1,
Master_Mapping_Sheet!$H$2:$H$3143=$A3))/sum(filter(
Master_M"&amp;"apping_Sheet!$E$2:$E$3143, ISNUMBER(
Master_Mapping_Sheet!$E$2:$E$3143),
Master_Mapping_Sheet!$C$2:$C$3143=S$1)))"),0.0)</f>
        <v>0</v>
      </c>
      <c r="T3" s="34">
        <f>IFERROR(__xludf.DUMMYFUNCTION("IF(ISNA(sum(filter(
Master_Mapping_Sheet!$E$2:$E$3143, ISNUMBER(
Master_Mapping_Sheet!$E$2:$E$3143),
Master_Mapping_Sheet!$C$2:$C$3143=T$1,
Master_Mapping_Sheet!$H$2:$H$3143=$A3))/sum(filter(
Master_Mapping_Sheet!$E$2:$E$3143, ISNUMBER(
Master_Mapping_She"&amp;"et!$E$2:$E$3143),
Master_Mapping_Sheet!$C$2:$C$3143=T$1))), 0, sum(filter(
Master_Mapping_Sheet!$E$2:$E$3143, ISNUMBER(
Master_Mapping_Sheet!$E$2:$E$3143),
Master_Mapping_Sheet!$C$2:$C$3143=T$1,
Master_Mapping_Sheet!$H$2:$H$3143=$A3))/sum(filter(
Master_M"&amp;"apping_Sheet!$E$2:$E$3143, ISNUMBER(
Master_Mapping_Sheet!$E$2:$E$3143),
Master_Mapping_Sheet!$C$2:$C$3143=T$1)))"),0.0)</f>
        <v>0</v>
      </c>
      <c r="U3" s="34">
        <f>IFERROR(__xludf.DUMMYFUNCTION("IF(ISNA(sum(filter(
Master_Mapping_Sheet!$E$2:$E$3143, ISNUMBER(
Master_Mapping_Sheet!$E$2:$E$3143),
Master_Mapping_Sheet!$C$2:$C$3143=U$1,
Master_Mapping_Sheet!$H$2:$H$3143=$A3))/sum(filter(
Master_Mapping_Sheet!$E$2:$E$3143, ISNUMBER(
Master_Mapping_She"&amp;"et!$E$2:$E$3143),
Master_Mapping_Sheet!$C$2:$C$3143=U$1))), 0, sum(filter(
Master_Mapping_Sheet!$E$2:$E$3143, ISNUMBER(
Master_Mapping_Sheet!$E$2:$E$3143),
Master_Mapping_Sheet!$C$2:$C$3143=U$1,
Master_Mapping_Sheet!$H$2:$H$3143=$A3))/sum(filter(
Master_M"&amp;"apping_Sheet!$E$2:$E$3143, ISNUMBER(
Master_Mapping_Sheet!$E$2:$E$3143),
Master_Mapping_Sheet!$C$2:$C$3143=U$1)))"),0.0)</f>
        <v>0</v>
      </c>
      <c r="V3" s="34">
        <f>IFERROR(__xludf.DUMMYFUNCTION("IF(ISNA(sum(filter(
Master_Mapping_Sheet!$E$2:$E$3143, ISNUMBER(
Master_Mapping_Sheet!$E$2:$E$3143),
Master_Mapping_Sheet!$C$2:$C$3143=V$1,
Master_Mapping_Sheet!$H$2:$H$3143=$A3))/sum(filter(
Master_Mapping_Sheet!$E$2:$E$3143, ISNUMBER(
Master_Mapping_She"&amp;"et!$E$2:$E$3143),
Master_Mapping_Sheet!$C$2:$C$3143=V$1))), 0, sum(filter(
Master_Mapping_Sheet!$E$2:$E$3143, ISNUMBER(
Master_Mapping_Sheet!$E$2:$E$3143),
Master_Mapping_Sheet!$C$2:$C$3143=V$1,
Master_Mapping_Sheet!$H$2:$H$3143=$A3))/sum(filter(
Master_M"&amp;"apping_Sheet!$E$2:$E$3143, ISNUMBER(
Master_Mapping_Sheet!$E$2:$E$3143),
Master_Mapping_Sheet!$C$2:$C$3143=V$1)))"),0.0)</f>
        <v>0</v>
      </c>
      <c r="W3" s="34">
        <f>IFERROR(__xludf.DUMMYFUNCTION("IF(ISNA(sum(filter(
Master_Mapping_Sheet!$E$2:$E$3143, ISNUMBER(
Master_Mapping_Sheet!$E$2:$E$3143),
Master_Mapping_Sheet!$C$2:$C$3143=W$1,
Master_Mapping_Sheet!$H$2:$H$3143=$A3))/sum(filter(
Master_Mapping_Sheet!$E$2:$E$3143, ISNUMBER(
Master_Mapping_She"&amp;"et!$E$2:$E$3143),
Master_Mapping_Sheet!$C$2:$C$3143=W$1))), 0, sum(filter(
Master_Mapping_Sheet!$E$2:$E$3143, ISNUMBER(
Master_Mapping_Sheet!$E$2:$E$3143),
Master_Mapping_Sheet!$C$2:$C$3143=W$1,
Master_Mapping_Sheet!$H$2:$H$3143=$A3))/sum(filter(
Master_M"&amp;"apping_Sheet!$E$2:$E$3143, ISNUMBER(
Master_Mapping_Sheet!$E$2:$E$3143),
Master_Mapping_Sheet!$C$2:$C$3143=W$1)))"),0.0)</f>
        <v>0</v>
      </c>
      <c r="X3" s="34">
        <f>IFERROR(__xludf.DUMMYFUNCTION("IF(ISNA(sum(filter(
Master_Mapping_Sheet!$E$2:$E$3143, ISNUMBER(
Master_Mapping_Sheet!$E$2:$E$3143),
Master_Mapping_Sheet!$C$2:$C$3143=X$1,
Master_Mapping_Sheet!$H$2:$H$3143=$A3))/sum(filter(
Master_Mapping_Sheet!$E$2:$E$3143, ISNUMBER(
Master_Mapping_She"&amp;"et!$E$2:$E$3143),
Master_Mapping_Sheet!$C$2:$C$3143=X$1))), 0, sum(filter(
Master_Mapping_Sheet!$E$2:$E$3143, ISNUMBER(
Master_Mapping_Sheet!$E$2:$E$3143),
Master_Mapping_Sheet!$C$2:$C$3143=X$1,
Master_Mapping_Sheet!$H$2:$H$3143=$A3))/sum(filter(
Master_M"&amp;"apping_Sheet!$E$2:$E$3143, ISNUMBER(
Master_Mapping_Sheet!$E$2:$E$3143),
Master_Mapping_Sheet!$C$2:$C$3143=X$1)))"),0.0)</f>
        <v>0</v>
      </c>
      <c r="Y3" s="34">
        <f>IFERROR(__xludf.DUMMYFUNCTION("IF(ISNA(sum(filter(
Master_Mapping_Sheet!$E$2:$E$3143, ISNUMBER(
Master_Mapping_Sheet!$E$2:$E$3143),
Master_Mapping_Sheet!$C$2:$C$3143=Y$1,
Master_Mapping_Sheet!$H$2:$H$3143=$A3))/sum(filter(
Master_Mapping_Sheet!$E$2:$E$3143, ISNUMBER(
Master_Mapping_She"&amp;"et!$E$2:$E$3143),
Master_Mapping_Sheet!$C$2:$C$3143=Y$1))), 0, sum(filter(
Master_Mapping_Sheet!$E$2:$E$3143, ISNUMBER(
Master_Mapping_Sheet!$E$2:$E$3143),
Master_Mapping_Sheet!$C$2:$C$3143=Y$1,
Master_Mapping_Sheet!$H$2:$H$3143=$A3))/sum(filter(
Master_M"&amp;"apping_Sheet!$E$2:$E$3143, ISNUMBER(
Master_Mapping_Sheet!$E$2:$E$3143),
Master_Mapping_Sheet!$C$2:$C$3143=Y$1)))"),0.0)</f>
        <v>0</v>
      </c>
      <c r="Z3" s="34">
        <f>IFERROR(__xludf.DUMMYFUNCTION("IF(ISNA(sum(filter(
Master_Mapping_Sheet!$E$2:$E$3143, ISNUMBER(
Master_Mapping_Sheet!$E$2:$E$3143),
Master_Mapping_Sheet!$C$2:$C$3143=Z$1,
Master_Mapping_Sheet!$H$2:$H$3143=$A3))/sum(filter(
Master_Mapping_Sheet!$E$2:$E$3143, ISNUMBER(
Master_Mapping_She"&amp;"et!$E$2:$E$3143),
Master_Mapping_Sheet!$C$2:$C$3143=Z$1))), 0, sum(filter(
Master_Mapping_Sheet!$E$2:$E$3143, ISNUMBER(
Master_Mapping_Sheet!$E$2:$E$3143),
Master_Mapping_Sheet!$C$2:$C$3143=Z$1,
Master_Mapping_Sheet!$H$2:$H$3143=$A3))/sum(filter(
Master_M"&amp;"apping_Sheet!$E$2:$E$3143, ISNUMBER(
Master_Mapping_Sheet!$E$2:$E$3143),
Master_Mapping_Sheet!$C$2:$C$3143=Z$1)))"),0.0)</f>
        <v>0</v>
      </c>
      <c r="AA3" s="34">
        <f>IFERROR(__xludf.DUMMYFUNCTION("IF(ISNA(sum(filter(
Master_Mapping_Sheet!$E$2:$E$3143, ISNUMBER(
Master_Mapping_Sheet!$E$2:$E$3143),
Master_Mapping_Sheet!$C$2:$C$3143=AA$1,
Master_Mapping_Sheet!$H$2:$H$3143=$A3))/sum(filter(
Master_Mapping_Sheet!$E$2:$E$3143, ISNUMBER(
Master_Mapping_Sh"&amp;"eet!$E$2:$E$3143),
Master_Mapping_Sheet!$C$2:$C$3143=AA$1))), 0, sum(filter(
Master_Mapping_Sheet!$E$2:$E$3143, ISNUMBER(
Master_Mapping_Sheet!$E$2:$E$3143),
Master_Mapping_Sheet!$C$2:$C$3143=AA$1,
Master_Mapping_Sheet!$H$2:$H$3143=$A3))/sum(filter(
Maste"&amp;"r_Mapping_Sheet!$E$2:$E$3143, ISNUMBER(
Master_Mapping_Sheet!$E$2:$E$3143),
Master_Mapping_Sheet!$C$2:$C$3143=AA$1)))"),0.0)</f>
        <v>0</v>
      </c>
      <c r="AB3" s="34">
        <f>IFERROR(__xludf.DUMMYFUNCTION("IF(ISNA(sum(filter(
Master_Mapping_Sheet!$E$2:$E$3143, ISNUMBER(
Master_Mapping_Sheet!$E$2:$E$3143),
Master_Mapping_Sheet!$C$2:$C$3143=AB$1,
Master_Mapping_Sheet!$H$2:$H$3143=$A3))/sum(filter(
Master_Mapping_Sheet!$E$2:$E$3143, ISNUMBER(
Master_Mapping_Sh"&amp;"eet!$E$2:$E$3143),
Master_Mapping_Sheet!$C$2:$C$3143=AB$1))), 0, sum(filter(
Master_Mapping_Sheet!$E$2:$E$3143, ISNUMBER(
Master_Mapping_Sheet!$E$2:$E$3143),
Master_Mapping_Sheet!$C$2:$C$3143=AB$1,
Master_Mapping_Sheet!$H$2:$H$3143=$A3))/sum(filter(
Maste"&amp;"r_Mapping_Sheet!$E$2:$E$3143, ISNUMBER(
Master_Mapping_Sheet!$E$2:$E$3143),
Master_Mapping_Sheet!$C$2:$C$3143=AB$1)))"),0.0)</f>
        <v>0</v>
      </c>
      <c r="AC3" s="34">
        <f>IFERROR(__xludf.DUMMYFUNCTION("IF(ISNA(sum(filter(
Master_Mapping_Sheet!$E$2:$E$3143, ISNUMBER(
Master_Mapping_Sheet!$E$2:$E$3143),
Master_Mapping_Sheet!$C$2:$C$3143=AC$1,
Master_Mapping_Sheet!$H$2:$H$3143=$A3))/sum(filter(
Master_Mapping_Sheet!$E$2:$E$3143, ISNUMBER(
Master_Mapping_Sh"&amp;"eet!$E$2:$E$3143),
Master_Mapping_Sheet!$C$2:$C$3143=AC$1))), 0, sum(filter(
Master_Mapping_Sheet!$E$2:$E$3143, ISNUMBER(
Master_Mapping_Sheet!$E$2:$E$3143),
Master_Mapping_Sheet!$C$2:$C$3143=AC$1,
Master_Mapping_Sheet!$H$2:$H$3143=$A3))/sum(filter(
Maste"&amp;"r_Mapping_Sheet!$E$2:$E$3143, ISNUMBER(
Master_Mapping_Sheet!$E$2:$E$3143),
Master_Mapping_Sheet!$C$2:$C$3143=AC$1)))"),0.0)</f>
        <v>0</v>
      </c>
      <c r="AD3" s="34">
        <f>IFERROR(__xludf.DUMMYFUNCTION("IF(ISNA(sum(filter(
Master_Mapping_Sheet!$E$2:$E$3143, ISNUMBER(
Master_Mapping_Sheet!$E$2:$E$3143),
Master_Mapping_Sheet!$C$2:$C$3143=AD$1,
Master_Mapping_Sheet!$H$2:$H$3143=$A3))/sum(filter(
Master_Mapping_Sheet!$E$2:$E$3143, ISNUMBER(
Master_Mapping_Sh"&amp;"eet!$E$2:$E$3143),
Master_Mapping_Sheet!$C$2:$C$3143=AD$1))), 0, sum(filter(
Master_Mapping_Sheet!$E$2:$E$3143, ISNUMBER(
Master_Mapping_Sheet!$E$2:$E$3143),
Master_Mapping_Sheet!$C$2:$C$3143=AD$1,
Master_Mapping_Sheet!$H$2:$H$3143=$A3))/sum(filter(
Maste"&amp;"r_Mapping_Sheet!$E$2:$E$3143, ISNUMBER(
Master_Mapping_Sheet!$E$2:$E$3143),
Master_Mapping_Sheet!$C$2:$C$3143=AD$1)))"),0.0)</f>
        <v>0</v>
      </c>
      <c r="AE3" s="34">
        <f>IFERROR(__xludf.DUMMYFUNCTION("IF(ISNA(sum(filter(
Master_Mapping_Sheet!$E$2:$E$3143, ISNUMBER(
Master_Mapping_Sheet!$E$2:$E$3143),
Master_Mapping_Sheet!$C$2:$C$3143=AE$1,
Master_Mapping_Sheet!$H$2:$H$3143=$A3))/sum(filter(
Master_Mapping_Sheet!$E$2:$E$3143, ISNUMBER(
Master_Mapping_Sh"&amp;"eet!$E$2:$E$3143),
Master_Mapping_Sheet!$C$2:$C$3143=AE$1))), 0, sum(filter(
Master_Mapping_Sheet!$E$2:$E$3143, ISNUMBER(
Master_Mapping_Sheet!$E$2:$E$3143),
Master_Mapping_Sheet!$C$2:$C$3143=AE$1,
Master_Mapping_Sheet!$H$2:$H$3143=$A3))/sum(filter(
Maste"&amp;"r_Mapping_Sheet!$E$2:$E$3143, ISNUMBER(
Master_Mapping_Sheet!$E$2:$E$3143),
Master_Mapping_Sheet!$C$2:$C$3143=AE$1)))"),0.0)</f>
        <v>0</v>
      </c>
      <c r="AF3" s="34">
        <f>IFERROR(__xludf.DUMMYFUNCTION("IF(ISNA(sum(filter(
Master_Mapping_Sheet!$E$2:$E$3143, ISNUMBER(
Master_Mapping_Sheet!$E$2:$E$3143),
Master_Mapping_Sheet!$C$2:$C$3143=AF$1,
Master_Mapping_Sheet!$H$2:$H$3143=$A3))/sum(filter(
Master_Mapping_Sheet!$E$2:$E$3143, ISNUMBER(
Master_Mapping_Sh"&amp;"eet!$E$2:$E$3143),
Master_Mapping_Sheet!$C$2:$C$3143=AF$1))), 0, sum(filter(
Master_Mapping_Sheet!$E$2:$E$3143, ISNUMBER(
Master_Mapping_Sheet!$E$2:$E$3143),
Master_Mapping_Sheet!$C$2:$C$3143=AF$1,
Master_Mapping_Sheet!$H$2:$H$3143=$A3))/sum(filter(
Maste"&amp;"r_Mapping_Sheet!$E$2:$E$3143, ISNUMBER(
Master_Mapping_Sheet!$E$2:$E$3143),
Master_Mapping_Sheet!$C$2:$C$3143=AF$1)))"),0.0)</f>
        <v>0</v>
      </c>
      <c r="AG3" s="34">
        <f>IFERROR(__xludf.DUMMYFUNCTION("IF(ISNA(sum(filter(
Master_Mapping_Sheet!$E$2:$E$3143, ISNUMBER(
Master_Mapping_Sheet!$E$2:$E$3143),
Master_Mapping_Sheet!$C$2:$C$3143=AG$1,
Master_Mapping_Sheet!$H$2:$H$3143=$A3))/sum(filter(
Master_Mapping_Sheet!$E$2:$E$3143, ISNUMBER(
Master_Mapping_Sh"&amp;"eet!$E$2:$E$3143),
Master_Mapping_Sheet!$C$2:$C$3143=AG$1))), 0, sum(filter(
Master_Mapping_Sheet!$E$2:$E$3143, ISNUMBER(
Master_Mapping_Sheet!$E$2:$E$3143),
Master_Mapping_Sheet!$C$2:$C$3143=AG$1,
Master_Mapping_Sheet!$H$2:$H$3143=$A3))/sum(filter(
Maste"&amp;"r_Mapping_Sheet!$E$2:$E$3143, ISNUMBER(
Master_Mapping_Sheet!$E$2:$E$3143),
Master_Mapping_Sheet!$C$2:$C$3143=AG$1)))"),0.0)</f>
        <v>0</v>
      </c>
      <c r="AH3" s="34">
        <f>IFERROR(__xludf.DUMMYFUNCTION("IF(ISNA(sum(filter(
Master_Mapping_Sheet!$E$2:$E$3143, ISNUMBER(
Master_Mapping_Sheet!$E$2:$E$3143),
Master_Mapping_Sheet!$C$2:$C$3143=AH$1,
Master_Mapping_Sheet!$H$2:$H$3143=$A3))/sum(filter(
Master_Mapping_Sheet!$E$2:$E$3143, ISNUMBER(
Master_Mapping_Sh"&amp;"eet!$E$2:$E$3143),
Master_Mapping_Sheet!$C$2:$C$3143=AH$1))), 0, sum(filter(
Master_Mapping_Sheet!$E$2:$E$3143, ISNUMBER(
Master_Mapping_Sheet!$E$2:$E$3143),
Master_Mapping_Sheet!$C$2:$C$3143=AH$1,
Master_Mapping_Sheet!$H$2:$H$3143=$A3))/sum(filter(
Maste"&amp;"r_Mapping_Sheet!$E$2:$E$3143, ISNUMBER(
Master_Mapping_Sheet!$E$2:$E$3143),
Master_Mapping_Sheet!$C$2:$C$3143=AH$1)))"),0.0)</f>
        <v>0</v>
      </c>
      <c r="AI3" s="34">
        <f>IFERROR(__xludf.DUMMYFUNCTION("IF(ISNA(sum(filter(
Master_Mapping_Sheet!$E$2:$E$3143, ISNUMBER(
Master_Mapping_Sheet!$E$2:$E$3143),
Master_Mapping_Sheet!$C$2:$C$3143=AI$1,
Master_Mapping_Sheet!$H$2:$H$3143=$A3))/sum(filter(
Master_Mapping_Sheet!$E$2:$E$3143, ISNUMBER(
Master_Mapping_Sh"&amp;"eet!$E$2:$E$3143),
Master_Mapping_Sheet!$C$2:$C$3143=AI$1))), 0, sum(filter(
Master_Mapping_Sheet!$E$2:$E$3143, ISNUMBER(
Master_Mapping_Sheet!$E$2:$E$3143),
Master_Mapping_Sheet!$C$2:$C$3143=AI$1,
Master_Mapping_Sheet!$H$2:$H$3143=$A3))/sum(filter(
Maste"&amp;"r_Mapping_Sheet!$E$2:$E$3143, ISNUMBER(
Master_Mapping_Sheet!$E$2:$E$3143),
Master_Mapping_Sheet!$C$2:$C$3143=AI$1)))"),0.0)</f>
        <v>0</v>
      </c>
      <c r="AJ3" s="34">
        <f>IFERROR(__xludf.DUMMYFUNCTION("IF(ISNA(sum(filter(
Master_Mapping_Sheet!$E$2:$E$3143, ISNUMBER(
Master_Mapping_Sheet!$E$2:$E$3143),
Master_Mapping_Sheet!$C$2:$C$3143=AJ$1,
Master_Mapping_Sheet!$H$2:$H$3143=$A3))/sum(filter(
Master_Mapping_Sheet!$E$2:$E$3143, ISNUMBER(
Master_Mapping_Sh"&amp;"eet!$E$2:$E$3143),
Master_Mapping_Sheet!$C$2:$C$3143=AJ$1))), 0, sum(filter(
Master_Mapping_Sheet!$E$2:$E$3143, ISNUMBER(
Master_Mapping_Sheet!$E$2:$E$3143),
Master_Mapping_Sheet!$C$2:$C$3143=AJ$1,
Master_Mapping_Sheet!$H$2:$H$3143=$A3))/sum(filter(
Maste"&amp;"r_Mapping_Sheet!$E$2:$E$3143, ISNUMBER(
Master_Mapping_Sheet!$E$2:$E$3143),
Master_Mapping_Sheet!$C$2:$C$3143=AJ$1)))"),0.0)</f>
        <v>0</v>
      </c>
      <c r="AK3" s="34">
        <f>IFERROR(__xludf.DUMMYFUNCTION("IF(ISNA(sum(filter(
Master_Mapping_Sheet!$E$2:$E$3143, ISNUMBER(
Master_Mapping_Sheet!$E$2:$E$3143),
Master_Mapping_Sheet!$C$2:$C$3143=AK$1,
Master_Mapping_Sheet!$H$2:$H$3143=$A3))/sum(filter(
Master_Mapping_Sheet!$E$2:$E$3143, ISNUMBER(
Master_Mapping_Sh"&amp;"eet!$E$2:$E$3143),
Master_Mapping_Sheet!$C$2:$C$3143=AK$1))), 0, sum(filter(
Master_Mapping_Sheet!$E$2:$E$3143, ISNUMBER(
Master_Mapping_Sheet!$E$2:$E$3143),
Master_Mapping_Sheet!$C$2:$C$3143=AK$1,
Master_Mapping_Sheet!$H$2:$H$3143=$A3))/sum(filter(
Maste"&amp;"r_Mapping_Sheet!$E$2:$E$3143, ISNUMBER(
Master_Mapping_Sheet!$E$2:$E$3143),
Master_Mapping_Sheet!$C$2:$C$3143=AK$1)))"),0.0)</f>
        <v>0</v>
      </c>
      <c r="AL3" s="34">
        <f>IFERROR(__xludf.DUMMYFUNCTION("IF(ISNA(sum(filter(
Master_Mapping_Sheet!$E$2:$E$3143, ISNUMBER(
Master_Mapping_Sheet!$E$2:$E$3143),
Master_Mapping_Sheet!$C$2:$C$3143=AL$1,
Master_Mapping_Sheet!$H$2:$H$3143=$A3))/sum(filter(
Master_Mapping_Sheet!$E$2:$E$3143, ISNUMBER(
Master_Mapping_Sh"&amp;"eet!$E$2:$E$3143),
Master_Mapping_Sheet!$C$2:$C$3143=AL$1))), 0, sum(filter(
Master_Mapping_Sheet!$E$2:$E$3143, ISNUMBER(
Master_Mapping_Sheet!$E$2:$E$3143),
Master_Mapping_Sheet!$C$2:$C$3143=AL$1,
Master_Mapping_Sheet!$H$2:$H$3143=$A3))/sum(filter(
Maste"&amp;"r_Mapping_Sheet!$E$2:$E$3143, ISNUMBER(
Master_Mapping_Sheet!$E$2:$E$3143),
Master_Mapping_Sheet!$C$2:$C$3143=AL$1)))"),0.0)</f>
        <v>0</v>
      </c>
      <c r="AM3" s="34">
        <f>IFERROR(__xludf.DUMMYFUNCTION("IF(ISNA(sum(filter(
Master_Mapping_Sheet!$E$2:$E$3143, ISNUMBER(
Master_Mapping_Sheet!$E$2:$E$3143),
Master_Mapping_Sheet!$C$2:$C$3143=AM$1,
Master_Mapping_Sheet!$H$2:$H$3143=$A3))/sum(filter(
Master_Mapping_Sheet!$E$2:$E$3143, ISNUMBER(
Master_Mapping_Sh"&amp;"eet!$E$2:$E$3143),
Master_Mapping_Sheet!$C$2:$C$3143=AM$1))), 0, sum(filter(
Master_Mapping_Sheet!$E$2:$E$3143, ISNUMBER(
Master_Mapping_Sheet!$E$2:$E$3143),
Master_Mapping_Sheet!$C$2:$C$3143=AM$1,
Master_Mapping_Sheet!$H$2:$H$3143=$A3))/sum(filter(
Maste"&amp;"r_Mapping_Sheet!$E$2:$E$3143, ISNUMBER(
Master_Mapping_Sheet!$E$2:$E$3143),
Master_Mapping_Sheet!$C$2:$C$3143=AM$1)))"),0.0)</f>
        <v>0</v>
      </c>
      <c r="AN3" s="34">
        <f>IFERROR(__xludf.DUMMYFUNCTION("IF(ISNA(sum(filter(
Master_Mapping_Sheet!$E$2:$E$3143, ISNUMBER(
Master_Mapping_Sheet!$E$2:$E$3143),
Master_Mapping_Sheet!$C$2:$C$3143=AN$1,
Master_Mapping_Sheet!$H$2:$H$3143=$A3))/sum(filter(
Master_Mapping_Sheet!$E$2:$E$3143, ISNUMBER(
Master_Mapping_Sh"&amp;"eet!$E$2:$E$3143),
Master_Mapping_Sheet!$C$2:$C$3143=AN$1))), 0, sum(filter(
Master_Mapping_Sheet!$E$2:$E$3143, ISNUMBER(
Master_Mapping_Sheet!$E$2:$E$3143),
Master_Mapping_Sheet!$C$2:$C$3143=AN$1,
Master_Mapping_Sheet!$H$2:$H$3143=$A3))/sum(filter(
Maste"&amp;"r_Mapping_Sheet!$E$2:$E$3143, ISNUMBER(
Master_Mapping_Sheet!$E$2:$E$3143),
Master_Mapping_Sheet!$C$2:$C$3143=AN$1)))"),0.0)</f>
        <v>0</v>
      </c>
      <c r="AO3" s="34">
        <f>IFERROR(__xludf.DUMMYFUNCTION("IF(ISNA(sum(filter(
Master_Mapping_Sheet!$E$2:$E$3143, ISNUMBER(
Master_Mapping_Sheet!$E$2:$E$3143),
Master_Mapping_Sheet!$C$2:$C$3143=AO$1,
Master_Mapping_Sheet!$H$2:$H$3143=$A3))/sum(filter(
Master_Mapping_Sheet!$E$2:$E$3143, ISNUMBER(
Master_Mapping_Sh"&amp;"eet!$E$2:$E$3143),
Master_Mapping_Sheet!$C$2:$C$3143=AO$1))), 0, sum(filter(
Master_Mapping_Sheet!$E$2:$E$3143, ISNUMBER(
Master_Mapping_Sheet!$E$2:$E$3143),
Master_Mapping_Sheet!$C$2:$C$3143=AO$1,
Master_Mapping_Sheet!$H$2:$H$3143=$A3))/sum(filter(
Maste"&amp;"r_Mapping_Sheet!$E$2:$E$3143, ISNUMBER(
Master_Mapping_Sheet!$E$2:$E$3143),
Master_Mapping_Sheet!$C$2:$C$3143=AO$1)))"),0.0)</f>
        <v>0</v>
      </c>
      <c r="AP3" s="34">
        <f>IFERROR(__xludf.DUMMYFUNCTION("IF(ISNA(sum(filter(
Master_Mapping_Sheet!$E$2:$E$3143, ISNUMBER(
Master_Mapping_Sheet!$E$2:$E$3143),
Master_Mapping_Sheet!$C$2:$C$3143=AP$1,
Master_Mapping_Sheet!$H$2:$H$3143=$A3))/sum(filter(
Master_Mapping_Sheet!$E$2:$E$3143, ISNUMBER(
Master_Mapping_Sh"&amp;"eet!$E$2:$E$3143),
Master_Mapping_Sheet!$C$2:$C$3143=AP$1))), 0, sum(filter(
Master_Mapping_Sheet!$E$2:$E$3143, ISNUMBER(
Master_Mapping_Sheet!$E$2:$E$3143),
Master_Mapping_Sheet!$C$2:$C$3143=AP$1,
Master_Mapping_Sheet!$H$2:$H$3143=$A3))/sum(filter(
Maste"&amp;"r_Mapping_Sheet!$E$2:$E$3143, ISNUMBER(
Master_Mapping_Sheet!$E$2:$E$3143),
Master_Mapping_Sheet!$C$2:$C$3143=AP$1)))"),0.0)</f>
        <v>0</v>
      </c>
      <c r="AQ3" s="34">
        <f>IFERROR(__xludf.DUMMYFUNCTION("IF(ISNA(sum(filter(
Master_Mapping_Sheet!$E$2:$E$3143, ISNUMBER(
Master_Mapping_Sheet!$E$2:$E$3143),
Master_Mapping_Sheet!$C$2:$C$3143=AQ$1,
Master_Mapping_Sheet!$H$2:$H$3143=$A3))/sum(filter(
Master_Mapping_Sheet!$E$2:$E$3143, ISNUMBER(
Master_Mapping_Sh"&amp;"eet!$E$2:$E$3143),
Master_Mapping_Sheet!$C$2:$C$3143=AQ$1))), 0, sum(filter(
Master_Mapping_Sheet!$E$2:$E$3143, ISNUMBER(
Master_Mapping_Sheet!$E$2:$E$3143),
Master_Mapping_Sheet!$C$2:$C$3143=AQ$1,
Master_Mapping_Sheet!$H$2:$H$3143=$A3))/sum(filter(
Maste"&amp;"r_Mapping_Sheet!$E$2:$E$3143, ISNUMBER(
Master_Mapping_Sheet!$E$2:$E$3143),
Master_Mapping_Sheet!$C$2:$C$3143=AQ$1)))"),0.0)</f>
        <v>0</v>
      </c>
      <c r="AR3" s="34">
        <f>IFERROR(__xludf.DUMMYFUNCTION("IF(ISNA(sum(filter(
Master_Mapping_Sheet!$E$2:$E$3143, ISNUMBER(
Master_Mapping_Sheet!$E$2:$E$3143),
Master_Mapping_Sheet!$C$2:$C$3143=AR$1,
Master_Mapping_Sheet!$H$2:$H$3143=$A3))/sum(filter(
Master_Mapping_Sheet!$E$2:$E$3143, ISNUMBER(
Master_Mapping_Sh"&amp;"eet!$E$2:$E$3143),
Master_Mapping_Sheet!$C$2:$C$3143=AR$1))), 0, sum(filter(
Master_Mapping_Sheet!$E$2:$E$3143, ISNUMBER(
Master_Mapping_Sheet!$E$2:$E$3143),
Master_Mapping_Sheet!$C$2:$C$3143=AR$1,
Master_Mapping_Sheet!$H$2:$H$3143=$A3))/sum(filter(
Maste"&amp;"r_Mapping_Sheet!$E$2:$E$3143, ISNUMBER(
Master_Mapping_Sheet!$E$2:$E$3143),
Master_Mapping_Sheet!$C$2:$C$3143=AR$1)))"),0.0)</f>
        <v>0</v>
      </c>
      <c r="AS3" s="34">
        <f>IFERROR(__xludf.DUMMYFUNCTION("IF(ISNA(sum(filter(
Master_Mapping_Sheet!$E$2:$E$3143, ISNUMBER(
Master_Mapping_Sheet!$E$2:$E$3143),
Master_Mapping_Sheet!$C$2:$C$3143=AS$1,
Master_Mapping_Sheet!$H$2:$H$3143=$A3))/sum(filter(
Master_Mapping_Sheet!$E$2:$E$3143, ISNUMBER(
Master_Mapping_Sh"&amp;"eet!$E$2:$E$3143),
Master_Mapping_Sheet!$C$2:$C$3143=AS$1))), 0, sum(filter(
Master_Mapping_Sheet!$E$2:$E$3143, ISNUMBER(
Master_Mapping_Sheet!$E$2:$E$3143),
Master_Mapping_Sheet!$C$2:$C$3143=AS$1,
Master_Mapping_Sheet!$H$2:$H$3143=$A3))/sum(filter(
Maste"&amp;"r_Mapping_Sheet!$E$2:$E$3143, ISNUMBER(
Master_Mapping_Sheet!$E$2:$E$3143),
Master_Mapping_Sheet!$C$2:$C$3143=AS$1)))"),0.0)</f>
        <v>0</v>
      </c>
      <c r="AT3" s="34">
        <f>IFERROR(__xludf.DUMMYFUNCTION("IF(ISNA(sum(filter(
Master_Mapping_Sheet!$E$2:$E$3143, ISNUMBER(
Master_Mapping_Sheet!$E$2:$E$3143),
Master_Mapping_Sheet!$C$2:$C$3143=AT$1,
Master_Mapping_Sheet!$H$2:$H$3143=$A3))/sum(filter(
Master_Mapping_Sheet!$E$2:$E$3143, ISNUMBER(
Master_Mapping_Sh"&amp;"eet!$E$2:$E$3143),
Master_Mapping_Sheet!$C$2:$C$3143=AT$1))), 0, sum(filter(
Master_Mapping_Sheet!$E$2:$E$3143, ISNUMBER(
Master_Mapping_Sheet!$E$2:$E$3143),
Master_Mapping_Sheet!$C$2:$C$3143=AT$1,
Master_Mapping_Sheet!$H$2:$H$3143=$A3))/sum(filter(
Maste"&amp;"r_Mapping_Sheet!$E$2:$E$3143, ISNUMBER(
Master_Mapping_Sheet!$E$2:$E$3143),
Master_Mapping_Sheet!$C$2:$C$3143=AT$1)))"),0.0)</f>
        <v>0</v>
      </c>
      <c r="AU3" s="34">
        <f>IFERROR(__xludf.DUMMYFUNCTION("IF(ISNA(sum(filter(
Master_Mapping_Sheet!$E$2:$E$3143, ISNUMBER(
Master_Mapping_Sheet!$E$2:$E$3143),
Master_Mapping_Sheet!$C$2:$C$3143=AU$1,
Master_Mapping_Sheet!$H$2:$H$3143=$A3))/sum(filter(
Master_Mapping_Sheet!$E$2:$E$3143, ISNUMBER(
Master_Mapping_Sh"&amp;"eet!$E$2:$E$3143),
Master_Mapping_Sheet!$C$2:$C$3143=AU$1))), 0, sum(filter(
Master_Mapping_Sheet!$E$2:$E$3143, ISNUMBER(
Master_Mapping_Sheet!$E$2:$E$3143),
Master_Mapping_Sheet!$C$2:$C$3143=AU$1,
Master_Mapping_Sheet!$H$2:$H$3143=$A3))/sum(filter(
Maste"&amp;"r_Mapping_Sheet!$E$2:$E$3143, ISNUMBER(
Master_Mapping_Sheet!$E$2:$E$3143),
Master_Mapping_Sheet!$C$2:$C$3143=AU$1)))"),0.0)</f>
        <v>0</v>
      </c>
      <c r="AV3" s="34">
        <f>IFERROR(__xludf.DUMMYFUNCTION("IF(ISNA(sum(filter(
Master_Mapping_Sheet!$E$2:$E$3143, ISNUMBER(
Master_Mapping_Sheet!$E$2:$E$3143),
Master_Mapping_Sheet!$C$2:$C$3143=AV$1,
Master_Mapping_Sheet!$H$2:$H$3143=$A3))/sum(filter(
Master_Mapping_Sheet!$E$2:$E$3143, ISNUMBER(
Master_Mapping_Sh"&amp;"eet!$E$2:$E$3143),
Master_Mapping_Sheet!$C$2:$C$3143=AV$1))), 0, sum(filter(
Master_Mapping_Sheet!$E$2:$E$3143, ISNUMBER(
Master_Mapping_Sheet!$E$2:$E$3143),
Master_Mapping_Sheet!$C$2:$C$3143=AV$1,
Master_Mapping_Sheet!$H$2:$H$3143=$A3))/sum(filter(
Maste"&amp;"r_Mapping_Sheet!$E$2:$E$3143, ISNUMBER(
Master_Mapping_Sheet!$E$2:$E$3143),
Master_Mapping_Sheet!$C$2:$C$3143=AV$1)))"),0.0)</f>
        <v>0</v>
      </c>
      <c r="AW3" s="34">
        <f>IFERROR(__xludf.DUMMYFUNCTION("IF(ISNA(sum(filter(
Master_Mapping_Sheet!$E$2:$E$3143, ISNUMBER(
Master_Mapping_Sheet!$E$2:$E$3143),
Master_Mapping_Sheet!$C$2:$C$3143=AW$1,
Master_Mapping_Sheet!$H$2:$H$3143=$A3))/sum(filter(
Master_Mapping_Sheet!$E$2:$E$3143, ISNUMBER(
Master_Mapping_Sh"&amp;"eet!$E$2:$E$3143),
Master_Mapping_Sheet!$C$2:$C$3143=AW$1))), 0, sum(filter(
Master_Mapping_Sheet!$E$2:$E$3143, ISNUMBER(
Master_Mapping_Sheet!$E$2:$E$3143),
Master_Mapping_Sheet!$C$2:$C$3143=AW$1,
Master_Mapping_Sheet!$H$2:$H$3143=$A3))/sum(filter(
Maste"&amp;"r_Mapping_Sheet!$E$2:$E$3143, ISNUMBER(
Master_Mapping_Sheet!$E$2:$E$3143),
Master_Mapping_Sheet!$C$2:$C$3143=AW$1)))"),0.0)</f>
        <v>0</v>
      </c>
      <c r="AX3" s="34">
        <f>IFERROR(__xludf.DUMMYFUNCTION("IF(ISNA(sum(filter(
Master_Mapping_Sheet!$E$2:$E$3143, ISNUMBER(
Master_Mapping_Sheet!$E$2:$E$3143),
Master_Mapping_Sheet!$C$2:$C$3143=AX$1,
Master_Mapping_Sheet!$H$2:$H$3143=$A3))/sum(filter(
Master_Mapping_Sheet!$E$2:$E$3143, ISNUMBER(
Master_Mapping_Sh"&amp;"eet!$E$2:$E$3143),
Master_Mapping_Sheet!$C$2:$C$3143=AX$1))), 0, sum(filter(
Master_Mapping_Sheet!$E$2:$E$3143, ISNUMBER(
Master_Mapping_Sheet!$E$2:$E$3143),
Master_Mapping_Sheet!$C$2:$C$3143=AX$1,
Master_Mapping_Sheet!$H$2:$H$3143=$A3))/sum(filter(
Maste"&amp;"r_Mapping_Sheet!$E$2:$E$3143, ISNUMBER(
Master_Mapping_Sheet!$E$2:$E$3143),
Master_Mapping_Sheet!$C$2:$C$3143=AX$1)))"),0.0)</f>
        <v>0</v>
      </c>
      <c r="AY3" s="34">
        <f>IFERROR(__xludf.DUMMYFUNCTION("IF(ISNA(sum(filter(
Master_Mapping_Sheet!$E$2:$E$3143, ISNUMBER(
Master_Mapping_Sheet!$E$2:$E$3143),
Master_Mapping_Sheet!$C$2:$C$3143=AY$1,
Master_Mapping_Sheet!$H$2:$H$3143=$A3))/sum(filter(
Master_Mapping_Sheet!$E$2:$E$3143, ISNUMBER(
Master_Mapping_Sh"&amp;"eet!$E$2:$E$3143),
Master_Mapping_Sheet!$C$2:$C$3143=AY$1))), 0, sum(filter(
Master_Mapping_Sheet!$E$2:$E$3143, ISNUMBER(
Master_Mapping_Sheet!$E$2:$E$3143),
Master_Mapping_Sheet!$C$2:$C$3143=AY$1,
Master_Mapping_Sheet!$H$2:$H$3143=$A3))/sum(filter(
Maste"&amp;"r_Mapping_Sheet!$E$2:$E$3143, ISNUMBER(
Master_Mapping_Sheet!$E$2:$E$3143),
Master_Mapping_Sheet!$C$2:$C$3143=AY$1)))"),0.0)</f>
        <v>0</v>
      </c>
      <c r="AZ3" s="34">
        <f>IFERROR(__xludf.DUMMYFUNCTION("IF(ISNA(sum(filter(
Master_Mapping_Sheet!$E$2:$E$3143, ISNUMBER(
Master_Mapping_Sheet!$E$2:$E$3143),
Master_Mapping_Sheet!$C$2:$C$3143=AZ$1,
Master_Mapping_Sheet!$H$2:$H$3143=$A3))/sum(filter(
Master_Mapping_Sheet!$E$2:$E$3143, ISNUMBER(
Master_Mapping_Sh"&amp;"eet!$E$2:$E$3143),
Master_Mapping_Sheet!$C$2:$C$3143=AZ$1))), 0, sum(filter(
Master_Mapping_Sheet!$E$2:$E$3143, ISNUMBER(
Master_Mapping_Sheet!$E$2:$E$3143),
Master_Mapping_Sheet!$C$2:$C$3143=AZ$1,
Master_Mapping_Sheet!$H$2:$H$3143=$A3))/sum(filter(
Maste"&amp;"r_Mapping_Sheet!$E$2:$E$3143, ISNUMBER(
Master_Mapping_Sheet!$E$2:$E$3143),
Master_Mapping_Sheet!$C$2:$C$3143=AZ$1)))"),0.0)</f>
        <v>0</v>
      </c>
    </row>
    <row r="4" ht="15.75" customHeight="1">
      <c r="A4" s="34" t="s">
        <v>3996</v>
      </c>
      <c r="B4" s="34">
        <f>IFERROR(__xludf.DUMMYFUNCTION("IF(ISNA(sum(filter(
Master_Mapping_Sheet!$E$2:$E$3143, ISNUMBER(
Master_Mapping_Sheet!$E$2:$E$3143),
Master_Mapping_Sheet!$C$2:$C$3143=B$1,
Master_Mapping_Sheet!$H$2:$H$3143=$A4))/sum(filter(
Master_Mapping_Sheet!$E$2:$E$3143, ISNUMBER(
Master_Mapping_She"&amp;"et!$E$2:$E$3143),
Master_Mapping_Sheet!$C$2:$C$3143=B$1))), 0, sum(filter(
Master_Mapping_Sheet!$E$2:$E$3143, ISNUMBER(
Master_Mapping_Sheet!$E$2:$E$3143),
Master_Mapping_Sheet!$C$2:$C$3143=B$1,
Master_Mapping_Sheet!$H$2:$H$3143=$A4))/sum(filter(
Master_M"&amp;"apping_Sheet!$E$2:$E$3143, ISNUMBER(
Master_Mapping_Sheet!$E$2:$E$3143),
Master_Mapping_Sheet!$C$2:$C$3143=B$1)))"),0.0)</f>
        <v>0</v>
      </c>
      <c r="C4" s="34">
        <f>IFERROR(__xludf.DUMMYFUNCTION("IF(ISNA(sum(filter(
Master_Mapping_Sheet!$E$2:$E$3143, ISNUMBER(
Master_Mapping_Sheet!$E$2:$E$3143),
Master_Mapping_Sheet!$C$2:$C$3143=C$1,
Master_Mapping_Sheet!$H$2:$H$3143=$A4))/sum(filter(
Master_Mapping_Sheet!$E$2:$E$3143, ISNUMBER(
Master_Mapping_She"&amp;"et!$E$2:$E$3143),
Master_Mapping_Sheet!$C$2:$C$3143=C$1))), 0, sum(filter(
Master_Mapping_Sheet!$E$2:$E$3143, ISNUMBER(
Master_Mapping_Sheet!$E$2:$E$3143),
Master_Mapping_Sheet!$C$2:$C$3143=C$1,
Master_Mapping_Sheet!$H$2:$H$3143=$A4))/sum(filter(
Master_M"&amp;"apping_Sheet!$E$2:$E$3143, ISNUMBER(
Master_Mapping_Sheet!$E$2:$E$3143),
Master_Mapping_Sheet!$C$2:$C$3143=C$1)))"),0.0)</f>
        <v>0</v>
      </c>
      <c r="D4" s="34">
        <f>IFERROR(__xludf.DUMMYFUNCTION("IF(ISNA(sum(filter(
Master_Mapping_Sheet!$E$2:$E$3143, ISNUMBER(
Master_Mapping_Sheet!$E$2:$E$3143),
Master_Mapping_Sheet!$C$2:$C$3143=D$1,
Master_Mapping_Sheet!$H$2:$H$3143=$A4))/sum(filter(
Master_Mapping_Sheet!$E$2:$E$3143, ISNUMBER(
Master_Mapping_She"&amp;"et!$E$2:$E$3143),
Master_Mapping_Sheet!$C$2:$C$3143=D$1))), 0, sum(filter(
Master_Mapping_Sheet!$E$2:$E$3143, ISNUMBER(
Master_Mapping_Sheet!$E$2:$E$3143),
Master_Mapping_Sheet!$C$2:$C$3143=D$1,
Master_Mapping_Sheet!$H$2:$H$3143=$A4))/sum(filter(
Master_M"&amp;"apping_Sheet!$E$2:$E$3143, ISNUMBER(
Master_Mapping_Sheet!$E$2:$E$3143),
Master_Mapping_Sheet!$C$2:$C$3143=D$1)))"),0.0)</f>
        <v>0</v>
      </c>
      <c r="E4" s="34">
        <f>IFERROR(__xludf.DUMMYFUNCTION("IF(ISNA(sum(filter(
Master_Mapping_Sheet!$E$2:$E$3143, ISNUMBER(
Master_Mapping_Sheet!$E$2:$E$3143),
Master_Mapping_Sheet!$C$2:$C$3143=E$1,
Master_Mapping_Sheet!$H$2:$H$3143=$A4))/sum(filter(
Master_Mapping_Sheet!$E$2:$E$3143, ISNUMBER(
Master_Mapping_She"&amp;"et!$E$2:$E$3143),
Master_Mapping_Sheet!$C$2:$C$3143=E$1))), 0, sum(filter(
Master_Mapping_Sheet!$E$2:$E$3143, ISNUMBER(
Master_Mapping_Sheet!$E$2:$E$3143),
Master_Mapping_Sheet!$C$2:$C$3143=E$1,
Master_Mapping_Sheet!$H$2:$H$3143=$A4))/sum(filter(
Master_M"&amp;"apping_Sheet!$E$2:$E$3143, ISNUMBER(
Master_Mapping_Sheet!$E$2:$E$3143),
Master_Mapping_Sheet!$C$2:$C$3143=E$1)))"),0.0)</f>
        <v>0</v>
      </c>
      <c r="F4" s="34">
        <f>IFERROR(__xludf.DUMMYFUNCTION("IF(ISNA(sum(filter(
Master_Mapping_Sheet!$E$2:$E$3143, ISNUMBER(
Master_Mapping_Sheet!$E$2:$E$3143),
Master_Mapping_Sheet!$C$2:$C$3143=F$1,
Master_Mapping_Sheet!$H$2:$H$3143=$A4))/sum(filter(
Master_Mapping_Sheet!$E$2:$E$3143, ISNUMBER(
Master_Mapping_She"&amp;"et!$E$2:$E$3143),
Master_Mapping_Sheet!$C$2:$C$3143=F$1))), 0, sum(filter(
Master_Mapping_Sheet!$E$2:$E$3143, ISNUMBER(
Master_Mapping_Sheet!$E$2:$E$3143),
Master_Mapping_Sheet!$C$2:$C$3143=F$1,
Master_Mapping_Sheet!$H$2:$H$3143=$A4))/sum(filter(
Master_M"&amp;"apping_Sheet!$E$2:$E$3143, ISNUMBER(
Master_Mapping_Sheet!$E$2:$E$3143),
Master_Mapping_Sheet!$C$2:$C$3143=F$1)))"),0.0)</f>
        <v>0</v>
      </c>
      <c r="G4" s="34">
        <f>IFERROR(__xludf.DUMMYFUNCTION("IF(ISNA(sum(filter(
Master_Mapping_Sheet!$E$2:$E$3143, ISNUMBER(
Master_Mapping_Sheet!$E$2:$E$3143),
Master_Mapping_Sheet!$C$2:$C$3143=G$1,
Master_Mapping_Sheet!$H$2:$H$3143=$A4))/sum(filter(
Master_Mapping_Sheet!$E$2:$E$3143, ISNUMBER(
Master_Mapping_She"&amp;"et!$E$2:$E$3143),
Master_Mapping_Sheet!$C$2:$C$3143=G$1))), 0, sum(filter(
Master_Mapping_Sheet!$E$2:$E$3143, ISNUMBER(
Master_Mapping_Sheet!$E$2:$E$3143),
Master_Mapping_Sheet!$C$2:$C$3143=G$1,
Master_Mapping_Sheet!$H$2:$H$3143=$A4))/sum(filter(
Master_M"&amp;"apping_Sheet!$E$2:$E$3143, ISNUMBER(
Master_Mapping_Sheet!$E$2:$E$3143),
Master_Mapping_Sheet!$C$2:$C$3143=G$1)))"),0.0)</f>
        <v>0</v>
      </c>
      <c r="H4" s="34">
        <f>IFERROR(__xludf.DUMMYFUNCTION("IF(ISNA(sum(filter(
Master_Mapping_Sheet!$E$2:$E$3143, ISNUMBER(
Master_Mapping_Sheet!$E$2:$E$3143),
Master_Mapping_Sheet!$C$2:$C$3143=H$1,
Master_Mapping_Sheet!$H$2:$H$3143=$A4))/sum(filter(
Master_Mapping_Sheet!$E$2:$E$3143, ISNUMBER(
Master_Mapping_She"&amp;"et!$E$2:$E$3143),
Master_Mapping_Sheet!$C$2:$C$3143=H$1))), 0, sum(filter(
Master_Mapping_Sheet!$E$2:$E$3143, ISNUMBER(
Master_Mapping_Sheet!$E$2:$E$3143),
Master_Mapping_Sheet!$C$2:$C$3143=H$1,
Master_Mapping_Sheet!$H$2:$H$3143=$A4))/sum(filter(
Master_M"&amp;"apping_Sheet!$E$2:$E$3143, ISNUMBER(
Master_Mapping_Sheet!$E$2:$E$3143),
Master_Mapping_Sheet!$C$2:$C$3143=H$1)))"),0.0)</f>
        <v>0</v>
      </c>
      <c r="I4" s="34">
        <f>IFERROR(__xludf.DUMMYFUNCTION("IF(ISNA(sum(filter(
Master_Mapping_Sheet!$E$2:$E$3143, ISNUMBER(
Master_Mapping_Sheet!$E$2:$E$3143),
Master_Mapping_Sheet!$C$2:$C$3143=I$1,
Master_Mapping_Sheet!$H$2:$H$3143=$A4))/sum(filter(
Master_Mapping_Sheet!$E$2:$E$3143, ISNUMBER(
Master_Mapping_She"&amp;"et!$E$2:$E$3143),
Master_Mapping_Sheet!$C$2:$C$3143=I$1))), 0, sum(filter(
Master_Mapping_Sheet!$E$2:$E$3143, ISNUMBER(
Master_Mapping_Sheet!$E$2:$E$3143),
Master_Mapping_Sheet!$C$2:$C$3143=I$1,
Master_Mapping_Sheet!$H$2:$H$3143=$A4))/sum(filter(
Master_M"&amp;"apping_Sheet!$E$2:$E$3143, ISNUMBER(
Master_Mapping_Sheet!$E$2:$E$3143),
Master_Mapping_Sheet!$C$2:$C$3143=I$1)))"),0.0)</f>
        <v>0</v>
      </c>
      <c r="J4" s="34">
        <f>IFERROR(__xludf.DUMMYFUNCTION("IF(ISNA(sum(filter(
Master_Mapping_Sheet!$E$2:$E$3143, ISNUMBER(
Master_Mapping_Sheet!$E$2:$E$3143),
Master_Mapping_Sheet!$C$2:$C$3143=J$1,
Master_Mapping_Sheet!$H$2:$H$3143=$A4))/sum(filter(
Master_Mapping_Sheet!$E$2:$E$3143, ISNUMBER(
Master_Mapping_She"&amp;"et!$E$2:$E$3143),
Master_Mapping_Sheet!$C$2:$C$3143=J$1))), 0, sum(filter(
Master_Mapping_Sheet!$E$2:$E$3143, ISNUMBER(
Master_Mapping_Sheet!$E$2:$E$3143),
Master_Mapping_Sheet!$C$2:$C$3143=J$1,
Master_Mapping_Sheet!$H$2:$H$3143=$A4))/sum(filter(
Master_M"&amp;"apping_Sheet!$E$2:$E$3143, ISNUMBER(
Master_Mapping_Sheet!$E$2:$E$3143),
Master_Mapping_Sheet!$C$2:$C$3143=J$1)))"),0.0)</f>
        <v>0</v>
      </c>
      <c r="K4" s="34">
        <f>IFERROR(__xludf.DUMMYFUNCTION("IF(ISNA(sum(filter(
Master_Mapping_Sheet!$E$2:$E$3143, ISNUMBER(
Master_Mapping_Sheet!$E$2:$E$3143),
Master_Mapping_Sheet!$C$2:$C$3143=K$1,
Master_Mapping_Sheet!$H$2:$H$3143=$A4))/sum(filter(
Master_Mapping_Sheet!$E$2:$E$3143, ISNUMBER(
Master_Mapping_She"&amp;"et!$E$2:$E$3143),
Master_Mapping_Sheet!$C$2:$C$3143=K$1))), 0, sum(filter(
Master_Mapping_Sheet!$E$2:$E$3143, ISNUMBER(
Master_Mapping_Sheet!$E$2:$E$3143),
Master_Mapping_Sheet!$C$2:$C$3143=K$1,
Master_Mapping_Sheet!$H$2:$H$3143=$A4))/sum(filter(
Master_M"&amp;"apping_Sheet!$E$2:$E$3143, ISNUMBER(
Master_Mapping_Sheet!$E$2:$E$3143),
Master_Mapping_Sheet!$C$2:$C$3143=K$1)))"),0.0)</f>
        <v>0</v>
      </c>
      <c r="L4" s="34">
        <f>IFERROR(__xludf.DUMMYFUNCTION("IF(ISNA(sum(filter(
Master_Mapping_Sheet!$E$2:$E$3143, ISNUMBER(
Master_Mapping_Sheet!$E$2:$E$3143),
Master_Mapping_Sheet!$C$2:$C$3143=L$1,
Master_Mapping_Sheet!$H$2:$H$3143=$A4))/sum(filter(
Master_Mapping_Sheet!$E$2:$E$3143, ISNUMBER(
Master_Mapping_She"&amp;"et!$E$2:$E$3143),
Master_Mapping_Sheet!$C$2:$C$3143=L$1))), 0, sum(filter(
Master_Mapping_Sheet!$E$2:$E$3143, ISNUMBER(
Master_Mapping_Sheet!$E$2:$E$3143),
Master_Mapping_Sheet!$C$2:$C$3143=L$1,
Master_Mapping_Sheet!$H$2:$H$3143=$A4))/sum(filter(
Master_M"&amp;"apping_Sheet!$E$2:$E$3143, ISNUMBER(
Master_Mapping_Sheet!$E$2:$E$3143),
Master_Mapping_Sheet!$C$2:$C$3143=L$1)))"),0.0)</f>
        <v>0</v>
      </c>
      <c r="M4" s="34">
        <f>IFERROR(__xludf.DUMMYFUNCTION("IF(ISNA(sum(filter(
Master_Mapping_Sheet!$E$2:$E$3143, ISNUMBER(
Master_Mapping_Sheet!$E$2:$E$3143),
Master_Mapping_Sheet!$C$2:$C$3143=M$1,
Master_Mapping_Sheet!$H$2:$H$3143=$A4))/sum(filter(
Master_Mapping_Sheet!$E$2:$E$3143, ISNUMBER(
Master_Mapping_She"&amp;"et!$E$2:$E$3143),
Master_Mapping_Sheet!$C$2:$C$3143=M$1))), 0, sum(filter(
Master_Mapping_Sheet!$E$2:$E$3143, ISNUMBER(
Master_Mapping_Sheet!$E$2:$E$3143),
Master_Mapping_Sheet!$C$2:$C$3143=M$1,
Master_Mapping_Sheet!$H$2:$H$3143=$A4))/sum(filter(
Master_M"&amp;"apping_Sheet!$E$2:$E$3143, ISNUMBER(
Master_Mapping_Sheet!$E$2:$E$3143),
Master_Mapping_Sheet!$C$2:$C$3143=M$1)))"),0.0)</f>
        <v>0</v>
      </c>
      <c r="N4" s="34">
        <f>IFERROR(__xludf.DUMMYFUNCTION("IF(ISNA(sum(filter(
Master_Mapping_Sheet!$E$2:$E$3143, ISNUMBER(
Master_Mapping_Sheet!$E$2:$E$3143),
Master_Mapping_Sheet!$C$2:$C$3143=N$1,
Master_Mapping_Sheet!$H$2:$H$3143=$A4))/sum(filter(
Master_Mapping_Sheet!$E$2:$E$3143, ISNUMBER(
Master_Mapping_She"&amp;"et!$E$2:$E$3143),
Master_Mapping_Sheet!$C$2:$C$3143=N$1))), 0, sum(filter(
Master_Mapping_Sheet!$E$2:$E$3143, ISNUMBER(
Master_Mapping_Sheet!$E$2:$E$3143),
Master_Mapping_Sheet!$C$2:$C$3143=N$1,
Master_Mapping_Sheet!$H$2:$H$3143=$A4))/sum(filter(
Master_M"&amp;"apping_Sheet!$E$2:$E$3143, ISNUMBER(
Master_Mapping_Sheet!$E$2:$E$3143),
Master_Mapping_Sheet!$C$2:$C$3143=N$1)))"),0.0)</f>
        <v>0</v>
      </c>
      <c r="O4" s="34">
        <f>IFERROR(__xludf.DUMMYFUNCTION("IF(ISNA(sum(filter(
Master_Mapping_Sheet!$E$2:$E$3143, ISNUMBER(
Master_Mapping_Sheet!$E$2:$E$3143),
Master_Mapping_Sheet!$C$2:$C$3143=O$1,
Master_Mapping_Sheet!$H$2:$H$3143=$A4))/sum(filter(
Master_Mapping_Sheet!$E$2:$E$3143, ISNUMBER(
Master_Mapping_She"&amp;"et!$E$2:$E$3143),
Master_Mapping_Sheet!$C$2:$C$3143=O$1))), 0, sum(filter(
Master_Mapping_Sheet!$E$2:$E$3143, ISNUMBER(
Master_Mapping_Sheet!$E$2:$E$3143),
Master_Mapping_Sheet!$C$2:$C$3143=O$1,
Master_Mapping_Sheet!$H$2:$H$3143=$A4))/sum(filter(
Master_M"&amp;"apping_Sheet!$E$2:$E$3143, ISNUMBER(
Master_Mapping_Sheet!$E$2:$E$3143),
Master_Mapping_Sheet!$C$2:$C$3143=O$1)))"),0.0017335887765824317)</f>
        <v>0.001733588777</v>
      </c>
      <c r="P4" s="34">
        <f>IFERROR(__xludf.DUMMYFUNCTION("IF(ISNA(sum(filter(
Master_Mapping_Sheet!$E$2:$E$3143, ISNUMBER(
Master_Mapping_Sheet!$E$2:$E$3143),
Master_Mapping_Sheet!$C$2:$C$3143=P$1,
Master_Mapping_Sheet!$H$2:$H$3143=$A4))/sum(filter(
Master_Mapping_Sheet!$E$2:$E$3143, ISNUMBER(
Master_Mapping_She"&amp;"et!$E$2:$E$3143),
Master_Mapping_Sheet!$C$2:$C$3143=P$1))), 0, sum(filter(
Master_Mapping_Sheet!$E$2:$E$3143, ISNUMBER(
Master_Mapping_Sheet!$E$2:$E$3143),
Master_Mapping_Sheet!$C$2:$C$3143=P$1,
Master_Mapping_Sheet!$H$2:$H$3143=$A4))/sum(filter(
Master_M"&amp;"apping_Sheet!$E$2:$E$3143, ISNUMBER(
Master_Mapping_Sheet!$E$2:$E$3143),
Master_Mapping_Sheet!$C$2:$C$3143=P$1)))"),0.0)</f>
        <v>0</v>
      </c>
      <c r="Q4" s="34">
        <f>IFERROR(__xludf.DUMMYFUNCTION("IF(ISNA(sum(filter(
Master_Mapping_Sheet!$E$2:$E$3143, ISNUMBER(
Master_Mapping_Sheet!$E$2:$E$3143),
Master_Mapping_Sheet!$C$2:$C$3143=Q$1,
Master_Mapping_Sheet!$H$2:$H$3143=$A4))/sum(filter(
Master_Mapping_Sheet!$E$2:$E$3143, ISNUMBER(
Master_Mapping_She"&amp;"et!$E$2:$E$3143),
Master_Mapping_Sheet!$C$2:$C$3143=Q$1))), 0, sum(filter(
Master_Mapping_Sheet!$E$2:$E$3143, ISNUMBER(
Master_Mapping_Sheet!$E$2:$E$3143),
Master_Mapping_Sheet!$C$2:$C$3143=Q$1,
Master_Mapping_Sheet!$H$2:$H$3143=$A4))/sum(filter(
Master_M"&amp;"apping_Sheet!$E$2:$E$3143, ISNUMBER(
Master_Mapping_Sheet!$E$2:$E$3143),
Master_Mapping_Sheet!$C$2:$C$3143=Q$1)))"),0.8294882076854285)</f>
        <v>0.8294882077</v>
      </c>
      <c r="R4" s="34">
        <f>IFERROR(__xludf.DUMMYFUNCTION("IF(ISNA(sum(filter(
Master_Mapping_Sheet!$E$2:$E$3143, ISNUMBER(
Master_Mapping_Sheet!$E$2:$E$3143),
Master_Mapping_Sheet!$C$2:$C$3143=R$1,
Master_Mapping_Sheet!$H$2:$H$3143=$A4))/sum(filter(
Master_Mapping_Sheet!$E$2:$E$3143, ISNUMBER(
Master_Mapping_She"&amp;"et!$E$2:$E$3143),
Master_Mapping_Sheet!$C$2:$C$3143=R$1))), 0, sum(filter(
Master_Mapping_Sheet!$E$2:$E$3143, ISNUMBER(
Master_Mapping_Sheet!$E$2:$E$3143),
Master_Mapping_Sheet!$C$2:$C$3143=R$1,
Master_Mapping_Sheet!$H$2:$H$3143=$A4))/sum(filter(
Master_M"&amp;"apping_Sheet!$E$2:$E$3143, ISNUMBER(
Master_Mapping_Sheet!$E$2:$E$3143),
Master_Mapping_Sheet!$C$2:$C$3143=R$1)))"),0.0)</f>
        <v>0</v>
      </c>
      <c r="S4" s="34">
        <f>IFERROR(__xludf.DUMMYFUNCTION("IF(ISNA(sum(filter(
Master_Mapping_Sheet!$E$2:$E$3143, ISNUMBER(
Master_Mapping_Sheet!$E$2:$E$3143),
Master_Mapping_Sheet!$C$2:$C$3143=S$1,
Master_Mapping_Sheet!$H$2:$H$3143=$A4))/sum(filter(
Master_Mapping_Sheet!$E$2:$E$3143, ISNUMBER(
Master_Mapping_She"&amp;"et!$E$2:$E$3143),
Master_Mapping_Sheet!$C$2:$C$3143=S$1))), 0, sum(filter(
Master_Mapping_Sheet!$E$2:$E$3143, ISNUMBER(
Master_Mapping_Sheet!$E$2:$E$3143),
Master_Mapping_Sheet!$C$2:$C$3143=S$1,
Master_Mapping_Sheet!$H$2:$H$3143=$A4))/sum(filter(
Master_M"&amp;"apping_Sheet!$E$2:$E$3143, ISNUMBER(
Master_Mapping_Sheet!$E$2:$E$3143),
Master_Mapping_Sheet!$C$2:$C$3143=S$1)))"),0.0)</f>
        <v>0</v>
      </c>
      <c r="T4" s="34">
        <f>IFERROR(__xludf.DUMMYFUNCTION("IF(ISNA(sum(filter(
Master_Mapping_Sheet!$E$2:$E$3143, ISNUMBER(
Master_Mapping_Sheet!$E$2:$E$3143),
Master_Mapping_Sheet!$C$2:$C$3143=T$1,
Master_Mapping_Sheet!$H$2:$H$3143=$A4))/sum(filter(
Master_Mapping_Sheet!$E$2:$E$3143, ISNUMBER(
Master_Mapping_She"&amp;"et!$E$2:$E$3143),
Master_Mapping_Sheet!$C$2:$C$3143=T$1))), 0, sum(filter(
Master_Mapping_Sheet!$E$2:$E$3143, ISNUMBER(
Master_Mapping_Sheet!$E$2:$E$3143),
Master_Mapping_Sheet!$C$2:$C$3143=T$1,
Master_Mapping_Sheet!$H$2:$H$3143=$A4))/sum(filter(
Master_M"&amp;"apping_Sheet!$E$2:$E$3143, ISNUMBER(
Master_Mapping_Sheet!$E$2:$E$3143),
Master_Mapping_Sheet!$C$2:$C$3143=T$1)))"),0.0)</f>
        <v>0</v>
      </c>
      <c r="U4" s="34">
        <f>IFERROR(__xludf.DUMMYFUNCTION("IF(ISNA(sum(filter(
Master_Mapping_Sheet!$E$2:$E$3143, ISNUMBER(
Master_Mapping_Sheet!$E$2:$E$3143),
Master_Mapping_Sheet!$C$2:$C$3143=U$1,
Master_Mapping_Sheet!$H$2:$H$3143=$A4))/sum(filter(
Master_Mapping_Sheet!$E$2:$E$3143, ISNUMBER(
Master_Mapping_She"&amp;"et!$E$2:$E$3143),
Master_Mapping_Sheet!$C$2:$C$3143=U$1))), 0, sum(filter(
Master_Mapping_Sheet!$E$2:$E$3143, ISNUMBER(
Master_Mapping_Sheet!$E$2:$E$3143),
Master_Mapping_Sheet!$C$2:$C$3143=U$1,
Master_Mapping_Sheet!$H$2:$H$3143=$A4))/sum(filter(
Master_M"&amp;"apping_Sheet!$E$2:$E$3143, ISNUMBER(
Master_Mapping_Sheet!$E$2:$E$3143),
Master_Mapping_Sheet!$C$2:$C$3143=U$1)))"),0.0)</f>
        <v>0</v>
      </c>
      <c r="V4" s="34">
        <f>IFERROR(__xludf.DUMMYFUNCTION("IF(ISNA(sum(filter(
Master_Mapping_Sheet!$E$2:$E$3143, ISNUMBER(
Master_Mapping_Sheet!$E$2:$E$3143),
Master_Mapping_Sheet!$C$2:$C$3143=V$1,
Master_Mapping_Sheet!$H$2:$H$3143=$A4))/sum(filter(
Master_Mapping_Sheet!$E$2:$E$3143, ISNUMBER(
Master_Mapping_She"&amp;"et!$E$2:$E$3143),
Master_Mapping_Sheet!$C$2:$C$3143=V$1))), 0, sum(filter(
Master_Mapping_Sheet!$E$2:$E$3143, ISNUMBER(
Master_Mapping_Sheet!$E$2:$E$3143),
Master_Mapping_Sheet!$C$2:$C$3143=V$1,
Master_Mapping_Sheet!$H$2:$H$3143=$A4))/sum(filter(
Master_M"&amp;"apping_Sheet!$E$2:$E$3143, ISNUMBER(
Master_Mapping_Sheet!$E$2:$E$3143),
Master_Mapping_Sheet!$C$2:$C$3143=V$1)))"),0.0)</f>
        <v>0</v>
      </c>
      <c r="W4" s="34">
        <f>IFERROR(__xludf.DUMMYFUNCTION("IF(ISNA(sum(filter(
Master_Mapping_Sheet!$E$2:$E$3143, ISNUMBER(
Master_Mapping_Sheet!$E$2:$E$3143),
Master_Mapping_Sheet!$C$2:$C$3143=W$1,
Master_Mapping_Sheet!$H$2:$H$3143=$A4))/sum(filter(
Master_Mapping_Sheet!$E$2:$E$3143, ISNUMBER(
Master_Mapping_She"&amp;"et!$E$2:$E$3143),
Master_Mapping_Sheet!$C$2:$C$3143=W$1))), 0, sum(filter(
Master_Mapping_Sheet!$E$2:$E$3143, ISNUMBER(
Master_Mapping_Sheet!$E$2:$E$3143),
Master_Mapping_Sheet!$C$2:$C$3143=W$1,
Master_Mapping_Sheet!$H$2:$H$3143=$A4))/sum(filter(
Master_M"&amp;"apping_Sheet!$E$2:$E$3143, ISNUMBER(
Master_Mapping_Sheet!$E$2:$E$3143),
Master_Mapping_Sheet!$C$2:$C$3143=W$1)))"),0.0)</f>
        <v>0</v>
      </c>
      <c r="X4" s="34">
        <f>IFERROR(__xludf.DUMMYFUNCTION("IF(ISNA(sum(filter(
Master_Mapping_Sheet!$E$2:$E$3143, ISNUMBER(
Master_Mapping_Sheet!$E$2:$E$3143),
Master_Mapping_Sheet!$C$2:$C$3143=X$1,
Master_Mapping_Sheet!$H$2:$H$3143=$A4))/sum(filter(
Master_Mapping_Sheet!$E$2:$E$3143, ISNUMBER(
Master_Mapping_She"&amp;"et!$E$2:$E$3143),
Master_Mapping_Sheet!$C$2:$C$3143=X$1))), 0, sum(filter(
Master_Mapping_Sheet!$E$2:$E$3143, ISNUMBER(
Master_Mapping_Sheet!$E$2:$E$3143),
Master_Mapping_Sheet!$C$2:$C$3143=X$1,
Master_Mapping_Sheet!$H$2:$H$3143=$A4))/sum(filter(
Master_M"&amp;"apping_Sheet!$E$2:$E$3143, ISNUMBER(
Master_Mapping_Sheet!$E$2:$E$3143),
Master_Mapping_Sheet!$C$2:$C$3143=X$1)))"),0.03019977262721374)</f>
        <v>0.03019977263</v>
      </c>
      <c r="Y4" s="34">
        <f>IFERROR(__xludf.DUMMYFUNCTION("IF(ISNA(sum(filter(
Master_Mapping_Sheet!$E$2:$E$3143, ISNUMBER(
Master_Mapping_Sheet!$E$2:$E$3143),
Master_Mapping_Sheet!$C$2:$C$3143=Y$1,
Master_Mapping_Sheet!$H$2:$H$3143=$A4))/sum(filter(
Master_Mapping_Sheet!$E$2:$E$3143, ISNUMBER(
Master_Mapping_She"&amp;"et!$E$2:$E$3143),
Master_Mapping_Sheet!$C$2:$C$3143=Y$1))), 0, sum(filter(
Master_Mapping_Sheet!$E$2:$E$3143, ISNUMBER(
Master_Mapping_Sheet!$E$2:$E$3143),
Master_Mapping_Sheet!$C$2:$C$3143=Y$1,
Master_Mapping_Sheet!$H$2:$H$3143=$A4))/sum(filter(
Master_M"&amp;"apping_Sheet!$E$2:$E$3143, ISNUMBER(
Master_Mapping_Sheet!$E$2:$E$3143),
Master_Mapping_Sheet!$C$2:$C$3143=Y$1)))"),0.9543030874455268)</f>
        <v>0.9543030874</v>
      </c>
      <c r="Z4" s="34">
        <f>IFERROR(__xludf.DUMMYFUNCTION("IF(ISNA(sum(filter(
Master_Mapping_Sheet!$E$2:$E$3143, ISNUMBER(
Master_Mapping_Sheet!$E$2:$E$3143),
Master_Mapping_Sheet!$C$2:$C$3143=Z$1,
Master_Mapping_Sheet!$H$2:$H$3143=$A4))/sum(filter(
Master_Mapping_Sheet!$E$2:$E$3143, ISNUMBER(
Master_Mapping_She"&amp;"et!$E$2:$E$3143),
Master_Mapping_Sheet!$C$2:$C$3143=Z$1))), 0, sum(filter(
Master_Mapping_Sheet!$E$2:$E$3143, ISNUMBER(
Master_Mapping_Sheet!$E$2:$E$3143),
Master_Mapping_Sheet!$C$2:$C$3143=Z$1,
Master_Mapping_Sheet!$H$2:$H$3143=$A4))/sum(filter(
Master_M"&amp;"apping_Sheet!$E$2:$E$3143, ISNUMBER(
Master_Mapping_Sheet!$E$2:$E$3143),
Master_Mapping_Sheet!$C$2:$C$3143=Z$1)))"),0.0)</f>
        <v>0</v>
      </c>
      <c r="AA4" s="34">
        <f>IFERROR(__xludf.DUMMYFUNCTION("IF(ISNA(sum(filter(
Master_Mapping_Sheet!$E$2:$E$3143, ISNUMBER(
Master_Mapping_Sheet!$E$2:$E$3143),
Master_Mapping_Sheet!$C$2:$C$3143=AA$1,
Master_Mapping_Sheet!$H$2:$H$3143=$A4))/sum(filter(
Master_Mapping_Sheet!$E$2:$E$3143, ISNUMBER(
Master_Mapping_Sh"&amp;"eet!$E$2:$E$3143),
Master_Mapping_Sheet!$C$2:$C$3143=AA$1))), 0, sum(filter(
Master_Mapping_Sheet!$E$2:$E$3143, ISNUMBER(
Master_Mapping_Sheet!$E$2:$E$3143),
Master_Mapping_Sheet!$C$2:$C$3143=AA$1,
Master_Mapping_Sheet!$H$2:$H$3143=$A4))/sum(filter(
Maste"&amp;"r_Mapping_Sheet!$E$2:$E$3143, ISNUMBER(
Master_Mapping_Sheet!$E$2:$E$3143),
Master_Mapping_Sheet!$C$2:$C$3143=AA$1)))"),0.0)</f>
        <v>0</v>
      </c>
      <c r="AB4" s="34">
        <f>IFERROR(__xludf.DUMMYFUNCTION("IF(ISNA(sum(filter(
Master_Mapping_Sheet!$E$2:$E$3143, ISNUMBER(
Master_Mapping_Sheet!$E$2:$E$3143),
Master_Mapping_Sheet!$C$2:$C$3143=AB$1,
Master_Mapping_Sheet!$H$2:$H$3143=$A4))/sum(filter(
Master_Mapping_Sheet!$E$2:$E$3143, ISNUMBER(
Master_Mapping_Sh"&amp;"eet!$E$2:$E$3143),
Master_Mapping_Sheet!$C$2:$C$3143=AB$1))), 0, sum(filter(
Master_Mapping_Sheet!$E$2:$E$3143, ISNUMBER(
Master_Mapping_Sheet!$E$2:$E$3143),
Master_Mapping_Sheet!$C$2:$C$3143=AB$1,
Master_Mapping_Sheet!$H$2:$H$3143=$A4))/sum(filter(
Maste"&amp;"r_Mapping_Sheet!$E$2:$E$3143, ISNUMBER(
Master_Mapping_Sheet!$E$2:$E$3143),
Master_Mapping_Sheet!$C$2:$C$3143=AB$1)))"),0.006008940583256533)</f>
        <v>0.006008940583</v>
      </c>
      <c r="AC4" s="34">
        <f>IFERROR(__xludf.DUMMYFUNCTION("IF(ISNA(sum(filter(
Master_Mapping_Sheet!$E$2:$E$3143, ISNUMBER(
Master_Mapping_Sheet!$E$2:$E$3143),
Master_Mapping_Sheet!$C$2:$C$3143=AC$1,
Master_Mapping_Sheet!$H$2:$H$3143=$A4))/sum(filter(
Master_Mapping_Sheet!$E$2:$E$3143, ISNUMBER(
Master_Mapping_Sh"&amp;"eet!$E$2:$E$3143),
Master_Mapping_Sheet!$C$2:$C$3143=AC$1))), 0, sum(filter(
Master_Mapping_Sheet!$E$2:$E$3143, ISNUMBER(
Master_Mapping_Sheet!$E$2:$E$3143),
Master_Mapping_Sheet!$C$2:$C$3143=AC$1,
Master_Mapping_Sheet!$H$2:$H$3143=$A4))/sum(filter(
Maste"&amp;"r_Mapping_Sheet!$E$2:$E$3143, ISNUMBER(
Master_Mapping_Sheet!$E$2:$E$3143),
Master_Mapping_Sheet!$C$2:$C$3143=AC$1)))"),0.0)</f>
        <v>0</v>
      </c>
      <c r="AD4" s="34">
        <f>IFERROR(__xludf.DUMMYFUNCTION("IF(ISNA(sum(filter(
Master_Mapping_Sheet!$E$2:$E$3143, ISNUMBER(
Master_Mapping_Sheet!$E$2:$E$3143),
Master_Mapping_Sheet!$C$2:$C$3143=AD$1,
Master_Mapping_Sheet!$H$2:$H$3143=$A4))/sum(filter(
Master_Mapping_Sheet!$E$2:$E$3143, ISNUMBER(
Master_Mapping_Sh"&amp;"eet!$E$2:$E$3143),
Master_Mapping_Sheet!$C$2:$C$3143=AD$1))), 0, sum(filter(
Master_Mapping_Sheet!$E$2:$E$3143, ISNUMBER(
Master_Mapping_Sheet!$E$2:$E$3143),
Master_Mapping_Sheet!$C$2:$C$3143=AD$1,
Master_Mapping_Sheet!$H$2:$H$3143=$A4))/sum(filter(
Maste"&amp;"r_Mapping_Sheet!$E$2:$E$3143, ISNUMBER(
Master_Mapping_Sheet!$E$2:$E$3143),
Master_Mapping_Sheet!$C$2:$C$3143=AD$1)))"),0.0)</f>
        <v>0</v>
      </c>
      <c r="AE4" s="34">
        <f>IFERROR(__xludf.DUMMYFUNCTION("IF(ISNA(sum(filter(
Master_Mapping_Sheet!$E$2:$E$3143, ISNUMBER(
Master_Mapping_Sheet!$E$2:$E$3143),
Master_Mapping_Sheet!$C$2:$C$3143=AE$1,
Master_Mapping_Sheet!$H$2:$H$3143=$A4))/sum(filter(
Master_Mapping_Sheet!$E$2:$E$3143, ISNUMBER(
Master_Mapping_Sh"&amp;"eet!$E$2:$E$3143),
Master_Mapping_Sheet!$C$2:$C$3143=AE$1))), 0, sum(filter(
Master_Mapping_Sheet!$E$2:$E$3143, ISNUMBER(
Master_Mapping_Sheet!$E$2:$E$3143),
Master_Mapping_Sheet!$C$2:$C$3143=AE$1,
Master_Mapping_Sheet!$H$2:$H$3143=$A4))/sum(filter(
Maste"&amp;"r_Mapping_Sheet!$E$2:$E$3143, ISNUMBER(
Master_Mapping_Sheet!$E$2:$E$3143),
Master_Mapping_Sheet!$C$2:$C$3143=AE$1)))"),0.0)</f>
        <v>0</v>
      </c>
      <c r="AF4" s="34">
        <f>IFERROR(__xludf.DUMMYFUNCTION("IF(ISNA(sum(filter(
Master_Mapping_Sheet!$E$2:$E$3143, ISNUMBER(
Master_Mapping_Sheet!$E$2:$E$3143),
Master_Mapping_Sheet!$C$2:$C$3143=AF$1,
Master_Mapping_Sheet!$H$2:$H$3143=$A4))/sum(filter(
Master_Mapping_Sheet!$E$2:$E$3143, ISNUMBER(
Master_Mapping_Sh"&amp;"eet!$E$2:$E$3143),
Master_Mapping_Sheet!$C$2:$C$3143=AF$1))), 0, sum(filter(
Master_Mapping_Sheet!$E$2:$E$3143, ISNUMBER(
Master_Mapping_Sheet!$E$2:$E$3143),
Master_Mapping_Sheet!$C$2:$C$3143=AF$1,
Master_Mapping_Sheet!$H$2:$H$3143=$A4))/sum(filter(
Maste"&amp;"r_Mapping_Sheet!$E$2:$E$3143, ISNUMBER(
Master_Mapping_Sheet!$E$2:$E$3143),
Master_Mapping_Sheet!$C$2:$C$3143=AF$1)))"),0.0)</f>
        <v>0</v>
      </c>
      <c r="AG4" s="34">
        <f>IFERROR(__xludf.DUMMYFUNCTION("IF(ISNA(sum(filter(
Master_Mapping_Sheet!$E$2:$E$3143, ISNUMBER(
Master_Mapping_Sheet!$E$2:$E$3143),
Master_Mapping_Sheet!$C$2:$C$3143=AG$1,
Master_Mapping_Sheet!$H$2:$H$3143=$A4))/sum(filter(
Master_Mapping_Sheet!$E$2:$E$3143, ISNUMBER(
Master_Mapping_Sh"&amp;"eet!$E$2:$E$3143),
Master_Mapping_Sheet!$C$2:$C$3143=AG$1))), 0, sum(filter(
Master_Mapping_Sheet!$E$2:$E$3143, ISNUMBER(
Master_Mapping_Sheet!$E$2:$E$3143),
Master_Mapping_Sheet!$C$2:$C$3143=AG$1,
Master_Mapping_Sheet!$H$2:$H$3143=$A4))/sum(filter(
Maste"&amp;"r_Mapping_Sheet!$E$2:$E$3143, ISNUMBER(
Master_Mapping_Sheet!$E$2:$E$3143),
Master_Mapping_Sheet!$C$2:$C$3143=AG$1)))"),0.0)</f>
        <v>0</v>
      </c>
      <c r="AH4" s="34">
        <f>IFERROR(__xludf.DUMMYFUNCTION("IF(ISNA(sum(filter(
Master_Mapping_Sheet!$E$2:$E$3143, ISNUMBER(
Master_Mapping_Sheet!$E$2:$E$3143),
Master_Mapping_Sheet!$C$2:$C$3143=AH$1,
Master_Mapping_Sheet!$H$2:$H$3143=$A4))/sum(filter(
Master_Mapping_Sheet!$E$2:$E$3143, ISNUMBER(
Master_Mapping_Sh"&amp;"eet!$E$2:$E$3143),
Master_Mapping_Sheet!$C$2:$C$3143=AH$1))), 0, sum(filter(
Master_Mapping_Sheet!$E$2:$E$3143, ISNUMBER(
Master_Mapping_Sheet!$E$2:$E$3143),
Master_Mapping_Sheet!$C$2:$C$3143=AH$1,
Master_Mapping_Sheet!$H$2:$H$3143=$A4))/sum(filter(
Maste"&amp;"r_Mapping_Sheet!$E$2:$E$3143, ISNUMBER(
Master_Mapping_Sheet!$E$2:$E$3143),
Master_Mapping_Sheet!$C$2:$C$3143=AH$1)))"),0.0)</f>
        <v>0</v>
      </c>
      <c r="AI4" s="34">
        <f>IFERROR(__xludf.DUMMYFUNCTION("IF(ISNA(sum(filter(
Master_Mapping_Sheet!$E$2:$E$3143, ISNUMBER(
Master_Mapping_Sheet!$E$2:$E$3143),
Master_Mapping_Sheet!$C$2:$C$3143=AI$1,
Master_Mapping_Sheet!$H$2:$H$3143=$A4))/sum(filter(
Master_Mapping_Sheet!$E$2:$E$3143, ISNUMBER(
Master_Mapping_Sh"&amp;"eet!$E$2:$E$3143),
Master_Mapping_Sheet!$C$2:$C$3143=AI$1))), 0, sum(filter(
Master_Mapping_Sheet!$E$2:$E$3143, ISNUMBER(
Master_Mapping_Sheet!$E$2:$E$3143),
Master_Mapping_Sheet!$C$2:$C$3143=AI$1,
Master_Mapping_Sheet!$H$2:$H$3143=$A4))/sum(filter(
Maste"&amp;"r_Mapping_Sheet!$E$2:$E$3143, ISNUMBER(
Master_Mapping_Sheet!$E$2:$E$3143),
Master_Mapping_Sheet!$C$2:$C$3143=AI$1)))"),0.0)</f>
        <v>0</v>
      </c>
      <c r="AJ4" s="34">
        <f>IFERROR(__xludf.DUMMYFUNCTION("IF(ISNA(sum(filter(
Master_Mapping_Sheet!$E$2:$E$3143, ISNUMBER(
Master_Mapping_Sheet!$E$2:$E$3143),
Master_Mapping_Sheet!$C$2:$C$3143=AJ$1,
Master_Mapping_Sheet!$H$2:$H$3143=$A4))/sum(filter(
Master_Mapping_Sheet!$E$2:$E$3143, ISNUMBER(
Master_Mapping_Sh"&amp;"eet!$E$2:$E$3143),
Master_Mapping_Sheet!$C$2:$C$3143=AJ$1))), 0, sum(filter(
Master_Mapping_Sheet!$E$2:$E$3143, ISNUMBER(
Master_Mapping_Sheet!$E$2:$E$3143),
Master_Mapping_Sheet!$C$2:$C$3143=AJ$1,
Master_Mapping_Sheet!$H$2:$H$3143=$A4))/sum(filter(
Maste"&amp;"r_Mapping_Sheet!$E$2:$E$3143, ISNUMBER(
Master_Mapping_Sheet!$E$2:$E$3143),
Master_Mapping_Sheet!$C$2:$C$3143=AJ$1)))"),0.09108385230238568)</f>
        <v>0.0910838523</v>
      </c>
      <c r="AK4" s="34">
        <f>IFERROR(__xludf.DUMMYFUNCTION("IF(ISNA(sum(filter(
Master_Mapping_Sheet!$E$2:$E$3143, ISNUMBER(
Master_Mapping_Sheet!$E$2:$E$3143),
Master_Mapping_Sheet!$C$2:$C$3143=AK$1,
Master_Mapping_Sheet!$H$2:$H$3143=$A4))/sum(filter(
Master_Mapping_Sheet!$E$2:$E$3143, ISNUMBER(
Master_Mapping_Sh"&amp;"eet!$E$2:$E$3143),
Master_Mapping_Sheet!$C$2:$C$3143=AK$1))), 0, sum(filter(
Master_Mapping_Sheet!$E$2:$E$3143, ISNUMBER(
Master_Mapping_Sheet!$E$2:$E$3143),
Master_Mapping_Sheet!$C$2:$C$3143=AK$1,
Master_Mapping_Sheet!$H$2:$H$3143=$A4))/sum(filter(
Maste"&amp;"r_Mapping_Sheet!$E$2:$E$3143, ISNUMBER(
Master_Mapping_Sheet!$E$2:$E$3143),
Master_Mapping_Sheet!$C$2:$C$3143=AK$1)))"),0.0)</f>
        <v>0</v>
      </c>
      <c r="AL4" s="34">
        <f>IFERROR(__xludf.DUMMYFUNCTION("IF(ISNA(sum(filter(
Master_Mapping_Sheet!$E$2:$E$3143, ISNUMBER(
Master_Mapping_Sheet!$E$2:$E$3143),
Master_Mapping_Sheet!$C$2:$C$3143=AL$1,
Master_Mapping_Sheet!$H$2:$H$3143=$A4))/sum(filter(
Master_Mapping_Sheet!$E$2:$E$3143, ISNUMBER(
Master_Mapping_Sh"&amp;"eet!$E$2:$E$3143),
Master_Mapping_Sheet!$C$2:$C$3143=AL$1))), 0, sum(filter(
Master_Mapping_Sheet!$E$2:$E$3143, ISNUMBER(
Master_Mapping_Sheet!$E$2:$E$3143),
Master_Mapping_Sheet!$C$2:$C$3143=AL$1,
Master_Mapping_Sheet!$H$2:$H$3143=$A4))/sum(filter(
Maste"&amp;"r_Mapping_Sheet!$E$2:$E$3143, ISNUMBER(
Master_Mapping_Sheet!$E$2:$E$3143),
Master_Mapping_Sheet!$C$2:$C$3143=AL$1)))"),0.0)</f>
        <v>0</v>
      </c>
      <c r="AM4" s="34">
        <f>IFERROR(__xludf.DUMMYFUNCTION("IF(ISNA(sum(filter(
Master_Mapping_Sheet!$E$2:$E$3143, ISNUMBER(
Master_Mapping_Sheet!$E$2:$E$3143),
Master_Mapping_Sheet!$C$2:$C$3143=AM$1,
Master_Mapping_Sheet!$H$2:$H$3143=$A4))/sum(filter(
Master_Mapping_Sheet!$E$2:$E$3143, ISNUMBER(
Master_Mapping_Sh"&amp;"eet!$E$2:$E$3143),
Master_Mapping_Sheet!$C$2:$C$3143=AM$1))), 0, sum(filter(
Master_Mapping_Sheet!$E$2:$E$3143, ISNUMBER(
Master_Mapping_Sheet!$E$2:$E$3143),
Master_Mapping_Sheet!$C$2:$C$3143=AM$1,
Master_Mapping_Sheet!$H$2:$H$3143=$A4))/sum(filter(
Maste"&amp;"r_Mapping_Sheet!$E$2:$E$3143, ISNUMBER(
Master_Mapping_Sheet!$E$2:$E$3143),
Master_Mapping_Sheet!$C$2:$C$3143=AM$1)))"),0.0)</f>
        <v>0</v>
      </c>
      <c r="AN4" s="34">
        <f>IFERROR(__xludf.DUMMYFUNCTION("IF(ISNA(sum(filter(
Master_Mapping_Sheet!$E$2:$E$3143, ISNUMBER(
Master_Mapping_Sheet!$E$2:$E$3143),
Master_Mapping_Sheet!$C$2:$C$3143=AN$1,
Master_Mapping_Sheet!$H$2:$H$3143=$A4))/sum(filter(
Master_Mapping_Sheet!$E$2:$E$3143, ISNUMBER(
Master_Mapping_Sh"&amp;"eet!$E$2:$E$3143),
Master_Mapping_Sheet!$C$2:$C$3143=AN$1))), 0, sum(filter(
Master_Mapping_Sheet!$E$2:$E$3143, ISNUMBER(
Master_Mapping_Sheet!$E$2:$E$3143),
Master_Mapping_Sheet!$C$2:$C$3143=AN$1,
Master_Mapping_Sheet!$H$2:$H$3143=$A4))/sum(filter(
Maste"&amp;"r_Mapping_Sheet!$E$2:$E$3143, ISNUMBER(
Master_Mapping_Sheet!$E$2:$E$3143),
Master_Mapping_Sheet!$C$2:$C$3143=AN$1)))"),0.0)</f>
        <v>0</v>
      </c>
      <c r="AO4" s="34">
        <f>IFERROR(__xludf.DUMMYFUNCTION("IF(ISNA(sum(filter(
Master_Mapping_Sheet!$E$2:$E$3143, ISNUMBER(
Master_Mapping_Sheet!$E$2:$E$3143),
Master_Mapping_Sheet!$C$2:$C$3143=AO$1,
Master_Mapping_Sheet!$H$2:$H$3143=$A4))/sum(filter(
Master_Mapping_Sheet!$E$2:$E$3143, ISNUMBER(
Master_Mapping_Sh"&amp;"eet!$E$2:$E$3143),
Master_Mapping_Sheet!$C$2:$C$3143=AO$1))), 0, sum(filter(
Master_Mapping_Sheet!$E$2:$E$3143, ISNUMBER(
Master_Mapping_Sheet!$E$2:$E$3143),
Master_Mapping_Sheet!$C$2:$C$3143=AO$1,
Master_Mapping_Sheet!$H$2:$H$3143=$A4))/sum(filter(
Maste"&amp;"r_Mapping_Sheet!$E$2:$E$3143, ISNUMBER(
Master_Mapping_Sheet!$E$2:$E$3143),
Master_Mapping_Sheet!$C$2:$C$3143=AO$1)))"),0.0)</f>
        <v>0</v>
      </c>
      <c r="AP4" s="34">
        <f>IFERROR(__xludf.DUMMYFUNCTION("IF(ISNA(sum(filter(
Master_Mapping_Sheet!$E$2:$E$3143, ISNUMBER(
Master_Mapping_Sheet!$E$2:$E$3143),
Master_Mapping_Sheet!$C$2:$C$3143=AP$1,
Master_Mapping_Sheet!$H$2:$H$3143=$A4))/sum(filter(
Master_Mapping_Sheet!$E$2:$E$3143, ISNUMBER(
Master_Mapping_Sh"&amp;"eet!$E$2:$E$3143),
Master_Mapping_Sheet!$C$2:$C$3143=AP$1))), 0, sum(filter(
Master_Mapping_Sheet!$E$2:$E$3143, ISNUMBER(
Master_Mapping_Sheet!$E$2:$E$3143),
Master_Mapping_Sheet!$C$2:$C$3143=AP$1,
Master_Mapping_Sheet!$H$2:$H$3143=$A4))/sum(filter(
Maste"&amp;"r_Mapping_Sheet!$E$2:$E$3143, ISNUMBER(
Master_Mapping_Sheet!$E$2:$E$3143),
Master_Mapping_Sheet!$C$2:$C$3143=AP$1)))"),0.0)</f>
        <v>0</v>
      </c>
      <c r="AQ4" s="34">
        <f>IFERROR(__xludf.DUMMYFUNCTION("IF(ISNA(sum(filter(
Master_Mapping_Sheet!$E$2:$E$3143, ISNUMBER(
Master_Mapping_Sheet!$E$2:$E$3143),
Master_Mapping_Sheet!$C$2:$C$3143=AQ$1,
Master_Mapping_Sheet!$H$2:$H$3143=$A4))/sum(filter(
Master_Mapping_Sheet!$E$2:$E$3143, ISNUMBER(
Master_Mapping_Sh"&amp;"eet!$E$2:$E$3143),
Master_Mapping_Sheet!$C$2:$C$3143=AQ$1))), 0, sum(filter(
Master_Mapping_Sheet!$E$2:$E$3143, ISNUMBER(
Master_Mapping_Sheet!$E$2:$E$3143),
Master_Mapping_Sheet!$C$2:$C$3143=AQ$1,
Master_Mapping_Sheet!$H$2:$H$3143=$A4))/sum(filter(
Maste"&amp;"r_Mapping_Sheet!$E$2:$E$3143, ISNUMBER(
Master_Mapping_Sheet!$E$2:$E$3143),
Master_Mapping_Sheet!$C$2:$C$3143=AQ$1)))"),0.0)</f>
        <v>0</v>
      </c>
      <c r="AR4" s="34">
        <f>IFERROR(__xludf.DUMMYFUNCTION("IF(ISNA(sum(filter(
Master_Mapping_Sheet!$E$2:$E$3143, ISNUMBER(
Master_Mapping_Sheet!$E$2:$E$3143),
Master_Mapping_Sheet!$C$2:$C$3143=AR$1,
Master_Mapping_Sheet!$H$2:$H$3143=$A4))/sum(filter(
Master_Mapping_Sheet!$E$2:$E$3143, ISNUMBER(
Master_Mapping_Sh"&amp;"eet!$E$2:$E$3143),
Master_Mapping_Sheet!$C$2:$C$3143=AR$1))), 0, sum(filter(
Master_Mapping_Sheet!$E$2:$E$3143, ISNUMBER(
Master_Mapping_Sheet!$E$2:$E$3143),
Master_Mapping_Sheet!$C$2:$C$3143=AR$1,
Master_Mapping_Sheet!$H$2:$H$3143=$A4))/sum(filter(
Maste"&amp;"r_Mapping_Sheet!$E$2:$E$3143, ISNUMBER(
Master_Mapping_Sheet!$E$2:$E$3143),
Master_Mapping_Sheet!$C$2:$C$3143=AR$1)))"),0.0)</f>
        <v>0</v>
      </c>
      <c r="AS4" s="34">
        <f>IFERROR(__xludf.DUMMYFUNCTION("IF(ISNA(sum(filter(
Master_Mapping_Sheet!$E$2:$E$3143, ISNUMBER(
Master_Mapping_Sheet!$E$2:$E$3143),
Master_Mapping_Sheet!$C$2:$C$3143=AS$1,
Master_Mapping_Sheet!$H$2:$H$3143=$A4))/sum(filter(
Master_Mapping_Sheet!$E$2:$E$3143, ISNUMBER(
Master_Mapping_Sh"&amp;"eet!$E$2:$E$3143),
Master_Mapping_Sheet!$C$2:$C$3143=AS$1))), 0, sum(filter(
Master_Mapping_Sheet!$E$2:$E$3143, ISNUMBER(
Master_Mapping_Sheet!$E$2:$E$3143),
Master_Mapping_Sheet!$C$2:$C$3143=AS$1,
Master_Mapping_Sheet!$H$2:$H$3143=$A4))/sum(filter(
Maste"&amp;"r_Mapping_Sheet!$E$2:$E$3143, ISNUMBER(
Master_Mapping_Sheet!$E$2:$E$3143),
Master_Mapping_Sheet!$C$2:$C$3143=AS$1)))"),0.0)</f>
        <v>0</v>
      </c>
      <c r="AT4" s="34">
        <f>IFERROR(__xludf.DUMMYFUNCTION("IF(ISNA(sum(filter(
Master_Mapping_Sheet!$E$2:$E$3143, ISNUMBER(
Master_Mapping_Sheet!$E$2:$E$3143),
Master_Mapping_Sheet!$C$2:$C$3143=AT$1,
Master_Mapping_Sheet!$H$2:$H$3143=$A4))/sum(filter(
Master_Mapping_Sheet!$E$2:$E$3143, ISNUMBER(
Master_Mapping_Sh"&amp;"eet!$E$2:$E$3143),
Master_Mapping_Sheet!$C$2:$C$3143=AT$1))), 0, sum(filter(
Master_Mapping_Sheet!$E$2:$E$3143, ISNUMBER(
Master_Mapping_Sheet!$E$2:$E$3143),
Master_Mapping_Sheet!$C$2:$C$3143=AT$1,
Master_Mapping_Sheet!$H$2:$H$3143=$A4))/sum(filter(
Maste"&amp;"r_Mapping_Sheet!$E$2:$E$3143, ISNUMBER(
Master_Mapping_Sheet!$E$2:$E$3143),
Master_Mapping_Sheet!$C$2:$C$3143=AT$1)))"),0.0)</f>
        <v>0</v>
      </c>
      <c r="AU4" s="34">
        <f>IFERROR(__xludf.DUMMYFUNCTION("IF(ISNA(sum(filter(
Master_Mapping_Sheet!$E$2:$E$3143, ISNUMBER(
Master_Mapping_Sheet!$E$2:$E$3143),
Master_Mapping_Sheet!$C$2:$C$3143=AU$1,
Master_Mapping_Sheet!$H$2:$H$3143=$A4))/sum(filter(
Master_Mapping_Sheet!$E$2:$E$3143, ISNUMBER(
Master_Mapping_Sh"&amp;"eet!$E$2:$E$3143),
Master_Mapping_Sheet!$C$2:$C$3143=AU$1))), 0, sum(filter(
Master_Mapping_Sheet!$E$2:$E$3143, ISNUMBER(
Master_Mapping_Sheet!$E$2:$E$3143),
Master_Mapping_Sheet!$C$2:$C$3143=AU$1,
Master_Mapping_Sheet!$H$2:$H$3143=$A4))/sum(filter(
Maste"&amp;"r_Mapping_Sheet!$E$2:$E$3143, ISNUMBER(
Master_Mapping_Sheet!$E$2:$E$3143),
Master_Mapping_Sheet!$C$2:$C$3143=AU$1)))"),0.0)</f>
        <v>0</v>
      </c>
      <c r="AV4" s="34">
        <f>IFERROR(__xludf.DUMMYFUNCTION("IF(ISNA(sum(filter(
Master_Mapping_Sheet!$E$2:$E$3143, ISNUMBER(
Master_Mapping_Sheet!$E$2:$E$3143),
Master_Mapping_Sheet!$C$2:$C$3143=AV$1,
Master_Mapping_Sheet!$H$2:$H$3143=$A4))/sum(filter(
Master_Mapping_Sheet!$E$2:$E$3143, ISNUMBER(
Master_Mapping_Sh"&amp;"eet!$E$2:$E$3143),
Master_Mapping_Sheet!$C$2:$C$3143=AV$1))), 0, sum(filter(
Master_Mapping_Sheet!$E$2:$E$3143, ISNUMBER(
Master_Mapping_Sheet!$E$2:$E$3143),
Master_Mapping_Sheet!$C$2:$C$3143=AV$1,
Master_Mapping_Sheet!$H$2:$H$3143=$A4))/sum(filter(
Maste"&amp;"r_Mapping_Sheet!$E$2:$E$3143, ISNUMBER(
Master_Mapping_Sheet!$E$2:$E$3143),
Master_Mapping_Sheet!$C$2:$C$3143=AV$1)))"),0.0)</f>
        <v>0</v>
      </c>
      <c r="AW4" s="34">
        <f>IFERROR(__xludf.DUMMYFUNCTION("IF(ISNA(sum(filter(
Master_Mapping_Sheet!$E$2:$E$3143, ISNUMBER(
Master_Mapping_Sheet!$E$2:$E$3143),
Master_Mapping_Sheet!$C$2:$C$3143=AW$1,
Master_Mapping_Sheet!$H$2:$H$3143=$A4))/sum(filter(
Master_Mapping_Sheet!$E$2:$E$3143, ISNUMBER(
Master_Mapping_Sh"&amp;"eet!$E$2:$E$3143),
Master_Mapping_Sheet!$C$2:$C$3143=AW$1))), 0, sum(filter(
Master_Mapping_Sheet!$E$2:$E$3143, ISNUMBER(
Master_Mapping_Sheet!$E$2:$E$3143),
Master_Mapping_Sheet!$C$2:$C$3143=AW$1,
Master_Mapping_Sheet!$H$2:$H$3143=$A4))/sum(filter(
Maste"&amp;"r_Mapping_Sheet!$E$2:$E$3143, ISNUMBER(
Master_Mapping_Sheet!$E$2:$E$3143),
Master_Mapping_Sheet!$C$2:$C$3143=AW$1)))"),0.0)</f>
        <v>0</v>
      </c>
      <c r="AX4" s="34">
        <f>IFERROR(__xludf.DUMMYFUNCTION("IF(ISNA(sum(filter(
Master_Mapping_Sheet!$E$2:$E$3143, ISNUMBER(
Master_Mapping_Sheet!$E$2:$E$3143),
Master_Mapping_Sheet!$C$2:$C$3143=AX$1,
Master_Mapping_Sheet!$H$2:$H$3143=$A4))/sum(filter(
Master_Mapping_Sheet!$E$2:$E$3143, ISNUMBER(
Master_Mapping_Sh"&amp;"eet!$E$2:$E$3143),
Master_Mapping_Sheet!$C$2:$C$3143=AX$1))), 0, sum(filter(
Master_Mapping_Sheet!$E$2:$E$3143, ISNUMBER(
Master_Mapping_Sheet!$E$2:$E$3143),
Master_Mapping_Sheet!$C$2:$C$3143=AX$1,
Master_Mapping_Sheet!$H$2:$H$3143=$A4))/sum(filter(
Maste"&amp;"r_Mapping_Sheet!$E$2:$E$3143, ISNUMBER(
Master_Mapping_Sheet!$E$2:$E$3143),
Master_Mapping_Sheet!$C$2:$C$3143=AX$1)))"),0.0)</f>
        <v>0</v>
      </c>
      <c r="AY4" s="34">
        <f>IFERROR(__xludf.DUMMYFUNCTION("IF(ISNA(sum(filter(
Master_Mapping_Sheet!$E$2:$E$3143, ISNUMBER(
Master_Mapping_Sheet!$E$2:$E$3143),
Master_Mapping_Sheet!$C$2:$C$3143=AY$1,
Master_Mapping_Sheet!$H$2:$H$3143=$A4))/sum(filter(
Master_Mapping_Sheet!$E$2:$E$3143, ISNUMBER(
Master_Mapping_Sh"&amp;"eet!$E$2:$E$3143),
Master_Mapping_Sheet!$C$2:$C$3143=AY$1))), 0, sum(filter(
Master_Mapping_Sheet!$E$2:$E$3143, ISNUMBER(
Master_Mapping_Sheet!$E$2:$E$3143),
Master_Mapping_Sheet!$C$2:$C$3143=AY$1,
Master_Mapping_Sheet!$H$2:$H$3143=$A4))/sum(filter(
Maste"&amp;"r_Mapping_Sheet!$E$2:$E$3143, ISNUMBER(
Master_Mapping_Sheet!$E$2:$E$3143),
Master_Mapping_Sheet!$C$2:$C$3143=AY$1)))"),1.0)</f>
        <v>1</v>
      </c>
      <c r="AZ4" s="34">
        <f>IFERROR(__xludf.DUMMYFUNCTION("IF(ISNA(sum(filter(
Master_Mapping_Sheet!$E$2:$E$3143, ISNUMBER(
Master_Mapping_Sheet!$E$2:$E$3143),
Master_Mapping_Sheet!$C$2:$C$3143=AZ$1,
Master_Mapping_Sheet!$H$2:$H$3143=$A4))/sum(filter(
Master_Mapping_Sheet!$E$2:$E$3143, ISNUMBER(
Master_Mapping_Sh"&amp;"eet!$E$2:$E$3143),
Master_Mapping_Sheet!$C$2:$C$3143=AZ$1))), 0, sum(filter(
Master_Mapping_Sheet!$E$2:$E$3143, ISNUMBER(
Master_Mapping_Sheet!$E$2:$E$3143),
Master_Mapping_Sheet!$C$2:$C$3143=AZ$1,
Master_Mapping_Sheet!$H$2:$H$3143=$A4))/sum(filter(
Maste"&amp;"r_Mapping_Sheet!$E$2:$E$3143, ISNUMBER(
Master_Mapping_Sheet!$E$2:$E$3143),
Master_Mapping_Sheet!$C$2:$C$3143=AZ$1)))"),0.0)</f>
        <v>0</v>
      </c>
    </row>
    <row r="5" ht="15.75" customHeight="1">
      <c r="A5" s="34" t="s">
        <v>3992</v>
      </c>
      <c r="B5" s="34">
        <f>IFERROR(__xludf.DUMMYFUNCTION("IF(ISNA(sum(filter(
Master_Mapping_Sheet!$E$2:$E$3143, ISNUMBER(
Master_Mapping_Sheet!$E$2:$E$3143),
Master_Mapping_Sheet!$C$2:$C$3143=B$1,
Master_Mapping_Sheet!$H$2:$H$3143=$A5))/sum(filter(
Master_Mapping_Sheet!$E$2:$E$3143, ISNUMBER(
Master_Mapping_She"&amp;"et!$E$2:$E$3143),
Master_Mapping_Sheet!$C$2:$C$3143=B$1))), 0, sum(filter(
Master_Mapping_Sheet!$E$2:$E$3143, ISNUMBER(
Master_Mapping_Sheet!$E$2:$E$3143),
Master_Mapping_Sheet!$C$2:$C$3143=B$1,
Master_Mapping_Sheet!$H$2:$H$3143=$A5))/sum(filter(
Master_M"&amp;"apping_Sheet!$E$2:$E$3143, ISNUMBER(
Master_Mapping_Sheet!$E$2:$E$3143),
Master_Mapping_Sheet!$C$2:$C$3143=B$1)))"),0.0)</f>
        <v>0</v>
      </c>
      <c r="C5" s="34">
        <f>IFERROR(__xludf.DUMMYFUNCTION("IF(ISNA(sum(filter(
Master_Mapping_Sheet!$E$2:$E$3143, ISNUMBER(
Master_Mapping_Sheet!$E$2:$E$3143),
Master_Mapping_Sheet!$C$2:$C$3143=C$1,
Master_Mapping_Sheet!$H$2:$H$3143=$A5))/sum(filter(
Master_Mapping_Sheet!$E$2:$E$3143, ISNUMBER(
Master_Mapping_She"&amp;"et!$E$2:$E$3143),
Master_Mapping_Sheet!$C$2:$C$3143=C$1))), 0, sum(filter(
Master_Mapping_Sheet!$E$2:$E$3143, ISNUMBER(
Master_Mapping_Sheet!$E$2:$E$3143),
Master_Mapping_Sheet!$C$2:$C$3143=C$1,
Master_Mapping_Sheet!$H$2:$H$3143=$A5))/sum(filter(
Master_M"&amp;"apping_Sheet!$E$2:$E$3143, ISNUMBER(
Master_Mapping_Sheet!$E$2:$E$3143),
Master_Mapping_Sheet!$C$2:$C$3143=C$1)))"),0.0)</f>
        <v>0</v>
      </c>
      <c r="D5" s="34">
        <f>IFERROR(__xludf.DUMMYFUNCTION("IF(ISNA(sum(filter(
Master_Mapping_Sheet!$E$2:$E$3143, ISNUMBER(
Master_Mapping_Sheet!$E$2:$E$3143),
Master_Mapping_Sheet!$C$2:$C$3143=D$1,
Master_Mapping_Sheet!$H$2:$H$3143=$A5))/sum(filter(
Master_Mapping_Sheet!$E$2:$E$3143, ISNUMBER(
Master_Mapping_She"&amp;"et!$E$2:$E$3143),
Master_Mapping_Sheet!$C$2:$C$3143=D$1))), 0, sum(filter(
Master_Mapping_Sheet!$E$2:$E$3143, ISNUMBER(
Master_Mapping_Sheet!$E$2:$E$3143),
Master_Mapping_Sheet!$C$2:$C$3143=D$1,
Master_Mapping_Sheet!$H$2:$H$3143=$A5))/sum(filter(
Master_M"&amp;"apping_Sheet!$E$2:$E$3143, ISNUMBER(
Master_Mapping_Sheet!$E$2:$E$3143),
Master_Mapping_Sheet!$C$2:$C$3143=D$1)))"),0.0)</f>
        <v>0</v>
      </c>
      <c r="E5" s="34">
        <f>IFERROR(__xludf.DUMMYFUNCTION("IF(ISNA(sum(filter(
Master_Mapping_Sheet!$E$2:$E$3143, ISNUMBER(
Master_Mapping_Sheet!$E$2:$E$3143),
Master_Mapping_Sheet!$C$2:$C$3143=E$1,
Master_Mapping_Sheet!$H$2:$H$3143=$A5))/sum(filter(
Master_Mapping_Sheet!$E$2:$E$3143, ISNUMBER(
Master_Mapping_She"&amp;"et!$E$2:$E$3143),
Master_Mapping_Sheet!$C$2:$C$3143=E$1))), 0, sum(filter(
Master_Mapping_Sheet!$E$2:$E$3143, ISNUMBER(
Master_Mapping_Sheet!$E$2:$E$3143),
Master_Mapping_Sheet!$C$2:$C$3143=E$1,
Master_Mapping_Sheet!$H$2:$H$3143=$A5))/sum(filter(
Master_M"&amp;"apping_Sheet!$E$2:$E$3143, ISNUMBER(
Master_Mapping_Sheet!$E$2:$E$3143),
Master_Mapping_Sheet!$C$2:$C$3143=E$1)))"),0.0)</f>
        <v>0</v>
      </c>
      <c r="F5" s="34">
        <f>IFERROR(__xludf.DUMMYFUNCTION("IF(ISNA(sum(filter(
Master_Mapping_Sheet!$E$2:$E$3143, ISNUMBER(
Master_Mapping_Sheet!$E$2:$E$3143),
Master_Mapping_Sheet!$C$2:$C$3143=F$1,
Master_Mapping_Sheet!$H$2:$H$3143=$A5))/sum(filter(
Master_Mapping_Sheet!$E$2:$E$3143, ISNUMBER(
Master_Mapping_She"&amp;"et!$E$2:$E$3143),
Master_Mapping_Sheet!$C$2:$C$3143=F$1))), 0, sum(filter(
Master_Mapping_Sheet!$E$2:$E$3143, ISNUMBER(
Master_Mapping_Sheet!$E$2:$E$3143),
Master_Mapping_Sheet!$C$2:$C$3143=F$1,
Master_Mapping_Sheet!$H$2:$H$3143=$A5))/sum(filter(
Master_M"&amp;"apping_Sheet!$E$2:$E$3143, ISNUMBER(
Master_Mapping_Sheet!$E$2:$E$3143),
Master_Mapping_Sheet!$C$2:$C$3143=F$1)))"),0.0)</f>
        <v>0</v>
      </c>
      <c r="G5" s="34">
        <f>IFERROR(__xludf.DUMMYFUNCTION("IF(ISNA(sum(filter(
Master_Mapping_Sheet!$E$2:$E$3143, ISNUMBER(
Master_Mapping_Sheet!$E$2:$E$3143),
Master_Mapping_Sheet!$C$2:$C$3143=G$1,
Master_Mapping_Sheet!$H$2:$H$3143=$A5))/sum(filter(
Master_Mapping_Sheet!$E$2:$E$3143, ISNUMBER(
Master_Mapping_She"&amp;"et!$E$2:$E$3143),
Master_Mapping_Sheet!$C$2:$C$3143=G$1))), 0, sum(filter(
Master_Mapping_Sheet!$E$2:$E$3143, ISNUMBER(
Master_Mapping_Sheet!$E$2:$E$3143),
Master_Mapping_Sheet!$C$2:$C$3143=G$1,
Master_Mapping_Sheet!$H$2:$H$3143=$A5))/sum(filter(
Master_M"&amp;"apping_Sheet!$E$2:$E$3143, ISNUMBER(
Master_Mapping_Sheet!$E$2:$E$3143),
Master_Mapping_Sheet!$C$2:$C$3143=G$1)))"),0.0)</f>
        <v>0</v>
      </c>
      <c r="H5" s="34">
        <f>IFERROR(__xludf.DUMMYFUNCTION("IF(ISNA(sum(filter(
Master_Mapping_Sheet!$E$2:$E$3143, ISNUMBER(
Master_Mapping_Sheet!$E$2:$E$3143),
Master_Mapping_Sheet!$C$2:$C$3143=H$1,
Master_Mapping_Sheet!$H$2:$H$3143=$A5))/sum(filter(
Master_Mapping_Sheet!$E$2:$E$3143, ISNUMBER(
Master_Mapping_She"&amp;"et!$E$2:$E$3143),
Master_Mapping_Sheet!$C$2:$C$3143=H$1))), 0, sum(filter(
Master_Mapping_Sheet!$E$2:$E$3143, ISNUMBER(
Master_Mapping_Sheet!$E$2:$E$3143),
Master_Mapping_Sheet!$C$2:$C$3143=H$1,
Master_Mapping_Sheet!$H$2:$H$3143=$A5))/sum(filter(
Master_M"&amp;"apping_Sheet!$E$2:$E$3143, ISNUMBER(
Master_Mapping_Sheet!$E$2:$E$3143),
Master_Mapping_Sheet!$C$2:$C$3143=H$1)))"),0.0)</f>
        <v>0</v>
      </c>
      <c r="I5" s="34">
        <f>IFERROR(__xludf.DUMMYFUNCTION("IF(ISNA(sum(filter(
Master_Mapping_Sheet!$E$2:$E$3143, ISNUMBER(
Master_Mapping_Sheet!$E$2:$E$3143),
Master_Mapping_Sheet!$C$2:$C$3143=I$1,
Master_Mapping_Sheet!$H$2:$H$3143=$A5))/sum(filter(
Master_Mapping_Sheet!$E$2:$E$3143, ISNUMBER(
Master_Mapping_She"&amp;"et!$E$2:$E$3143),
Master_Mapping_Sheet!$C$2:$C$3143=I$1))), 0, sum(filter(
Master_Mapping_Sheet!$E$2:$E$3143, ISNUMBER(
Master_Mapping_Sheet!$E$2:$E$3143),
Master_Mapping_Sheet!$C$2:$C$3143=I$1,
Master_Mapping_Sheet!$H$2:$H$3143=$A5))/sum(filter(
Master_M"&amp;"apping_Sheet!$E$2:$E$3143, ISNUMBER(
Master_Mapping_Sheet!$E$2:$E$3143),
Master_Mapping_Sheet!$C$2:$C$3143=I$1)))"),0.0)</f>
        <v>0</v>
      </c>
      <c r="J5" s="34">
        <f>IFERROR(__xludf.DUMMYFUNCTION("IF(ISNA(sum(filter(
Master_Mapping_Sheet!$E$2:$E$3143, ISNUMBER(
Master_Mapping_Sheet!$E$2:$E$3143),
Master_Mapping_Sheet!$C$2:$C$3143=J$1,
Master_Mapping_Sheet!$H$2:$H$3143=$A5))/sum(filter(
Master_Mapping_Sheet!$E$2:$E$3143, ISNUMBER(
Master_Mapping_She"&amp;"et!$E$2:$E$3143),
Master_Mapping_Sheet!$C$2:$C$3143=J$1))), 0, sum(filter(
Master_Mapping_Sheet!$E$2:$E$3143, ISNUMBER(
Master_Mapping_Sheet!$E$2:$E$3143),
Master_Mapping_Sheet!$C$2:$C$3143=J$1,
Master_Mapping_Sheet!$H$2:$H$3143=$A5))/sum(filter(
Master_M"&amp;"apping_Sheet!$E$2:$E$3143, ISNUMBER(
Master_Mapping_Sheet!$E$2:$E$3143),
Master_Mapping_Sheet!$C$2:$C$3143=J$1)))"),0.0)</f>
        <v>0</v>
      </c>
      <c r="K5" s="34">
        <f>IFERROR(__xludf.DUMMYFUNCTION("IF(ISNA(sum(filter(
Master_Mapping_Sheet!$E$2:$E$3143, ISNUMBER(
Master_Mapping_Sheet!$E$2:$E$3143),
Master_Mapping_Sheet!$C$2:$C$3143=K$1,
Master_Mapping_Sheet!$H$2:$H$3143=$A5))/sum(filter(
Master_Mapping_Sheet!$E$2:$E$3143, ISNUMBER(
Master_Mapping_She"&amp;"et!$E$2:$E$3143),
Master_Mapping_Sheet!$C$2:$C$3143=K$1))), 0, sum(filter(
Master_Mapping_Sheet!$E$2:$E$3143, ISNUMBER(
Master_Mapping_Sheet!$E$2:$E$3143),
Master_Mapping_Sheet!$C$2:$C$3143=K$1,
Master_Mapping_Sheet!$H$2:$H$3143=$A5))/sum(filter(
Master_M"&amp;"apping_Sheet!$E$2:$E$3143, ISNUMBER(
Master_Mapping_Sheet!$E$2:$E$3143),
Master_Mapping_Sheet!$C$2:$C$3143=K$1)))"),0.0)</f>
        <v>0</v>
      </c>
      <c r="L5" s="34">
        <f>IFERROR(__xludf.DUMMYFUNCTION("IF(ISNA(sum(filter(
Master_Mapping_Sheet!$E$2:$E$3143, ISNUMBER(
Master_Mapping_Sheet!$E$2:$E$3143),
Master_Mapping_Sheet!$C$2:$C$3143=L$1,
Master_Mapping_Sheet!$H$2:$H$3143=$A5))/sum(filter(
Master_Mapping_Sheet!$E$2:$E$3143, ISNUMBER(
Master_Mapping_She"&amp;"et!$E$2:$E$3143),
Master_Mapping_Sheet!$C$2:$C$3143=L$1))), 0, sum(filter(
Master_Mapping_Sheet!$E$2:$E$3143, ISNUMBER(
Master_Mapping_Sheet!$E$2:$E$3143),
Master_Mapping_Sheet!$C$2:$C$3143=L$1,
Master_Mapping_Sheet!$H$2:$H$3143=$A5))/sum(filter(
Master_M"&amp;"apping_Sheet!$E$2:$E$3143, ISNUMBER(
Master_Mapping_Sheet!$E$2:$E$3143),
Master_Mapping_Sheet!$C$2:$C$3143=L$1)))"),0.0)</f>
        <v>0</v>
      </c>
      <c r="M5" s="34">
        <f>IFERROR(__xludf.DUMMYFUNCTION("IF(ISNA(sum(filter(
Master_Mapping_Sheet!$E$2:$E$3143, ISNUMBER(
Master_Mapping_Sheet!$E$2:$E$3143),
Master_Mapping_Sheet!$C$2:$C$3143=M$1,
Master_Mapping_Sheet!$H$2:$H$3143=$A5))/sum(filter(
Master_Mapping_Sheet!$E$2:$E$3143, ISNUMBER(
Master_Mapping_She"&amp;"et!$E$2:$E$3143),
Master_Mapping_Sheet!$C$2:$C$3143=M$1))), 0, sum(filter(
Master_Mapping_Sheet!$E$2:$E$3143, ISNUMBER(
Master_Mapping_Sheet!$E$2:$E$3143),
Master_Mapping_Sheet!$C$2:$C$3143=M$1,
Master_Mapping_Sheet!$H$2:$H$3143=$A5))/sum(filter(
Master_M"&amp;"apping_Sheet!$E$2:$E$3143, ISNUMBER(
Master_Mapping_Sheet!$E$2:$E$3143),
Master_Mapping_Sheet!$C$2:$C$3143=M$1)))"),0.0)</f>
        <v>0</v>
      </c>
      <c r="N5" s="34">
        <f>IFERROR(__xludf.DUMMYFUNCTION("IF(ISNA(sum(filter(
Master_Mapping_Sheet!$E$2:$E$3143, ISNUMBER(
Master_Mapping_Sheet!$E$2:$E$3143),
Master_Mapping_Sheet!$C$2:$C$3143=N$1,
Master_Mapping_Sheet!$H$2:$H$3143=$A5))/sum(filter(
Master_Mapping_Sheet!$E$2:$E$3143, ISNUMBER(
Master_Mapping_She"&amp;"et!$E$2:$E$3143),
Master_Mapping_Sheet!$C$2:$C$3143=N$1))), 0, sum(filter(
Master_Mapping_Sheet!$E$2:$E$3143, ISNUMBER(
Master_Mapping_Sheet!$E$2:$E$3143),
Master_Mapping_Sheet!$C$2:$C$3143=N$1,
Master_Mapping_Sheet!$H$2:$H$3143=$A5))/sum(filter(
Master_M"&amp;"apping_Sheet!$E$2:$E$3143, ISNUMBER(
Master_Mapping_Sheet!$E$2:$E$3143),
Master_Mapping_Sheet!$C$2:$C$3143=N$1)))"),0.0)</f>
        <v>0</v>
      </c>
      <c r="O5" s="34">
        <f>IFERROR(__xludf.DUMMYFUNCTION("IF(ISNA(sum(filter(
Master_Mapping_Sheet!$E$2:$E$3143, ISNUMBER(
Master_Mapping_Sheet!$E$2:$E$3143),
Master_Mapping_Sheet!$C$2:$C$3143=O$1,
Master_Mapping_Sheet!$H$2:$H$3143=$A5))/sum(filter(
Master_Mapping_Sheet!$E$2:$E$3143, ISNUMBER(
Master_Mapping_She"&amp;"et!$E$2:$E$3143),
Master_Mapping_Sheet!$C$2:$C$3143=O$1))), 0, sum(filter(
Master_Mapping_Sheet!$E$2:$E$3143, ISNUMBER(
Master_Mapping_Sheet!$E$2:$E$3143),
Master_Mapping_Sheet!$C$2:$C$3143=O$1,
Master_Mapping_Sheet!$H$2:$H$3143=$A5))/sum(filter(
Master_M"&amp;"apping_Sheet!$E$2:$E$3143, ISNUMBER(
Master_Mapping_Sheet!$E$2:$E$3143),
Master_Mapping_Sheet!$C$2:$C$3143=O$1)))"),0.29083732672578577)</f>
        <v>0.2908373267</v>
      </c>
      <c r="P5" s="34">
        <f>IFERROR(__xludf.DUMMYFUNCTION("IF(ISNA(sum(filter(
Master_Mapping_Sheet!$E$2:$E$3143, ISNUMBER(
Master_Mapping_Sheet!$E$2:$E$3143),
Master_Mapping_Sheet!$C$2:$C$3143=P$1,
Master_Mapping_Sheet!$H$2:$H$3143=$A5))/sum(filter(
Master_Mapping_Sheet!$E$2:$E$3143, ISNUMBER(
Master_Mapping_She"&amp;"et!$E$2:$E$3143),
Master_Mapping_Sheet!$C$2:$C$3143=P$1))), 0, sum(filter(
Master_Mapping_Sheet!$E$2:$E$3143, ISNUMBER(
Master_Mapping_Sheet!$E$2:$E$3143),
Master_Mapping_Sheet!$C$2:$C$3143=P$1,
Master_Mapping_Sheet!$H$2:$H$3143=$A5))/sum(filter(
Master_M"&amp;"apping_Sheet!$E$2:$E$3143, ISNUMBER(
Master_Mapping_Sheet!$E$2:$E$3143),
Master_Mapping_Sheet!$C$2:$C$3143=P$1)))"),0.6461718758083232)</f>
        <v>0.6461718758</v>
      </c>
      <c r="Q5" s="34">
        <f>IFERROR(__xludf.DUMMYFUNCTION("IF(ISNA(sum(filter(
Master_Mapping_Sheet!$E$2:$E$3143, ISNUMBER(
Master_Mapping_Sheet!$E$2:$E$3143),
Master_Mapping_Sheet!$C$2:$C$3143=Q$1,
Master_Mapping_Sheet!$H$2:$H$3143=$A5))/sum(filter(
Master_Mapping_Sheet!$E$2:$E$3143, ISNUMBER(
Master_Mapping_She"&amp;"et!$E$2:$E$3143),
Master_Mapping_Sheet!$C$2:$C$3143=Q$1))), 0, sum(filter(
Master_Mapping_Sheet!$E$2:$E$3143, ISNUMBER(
Master_Mapping_Sheet!$E$2:$E$3143),
Master_Mapping_Sheet!$C$2:$C$3143=Q$1,
Master_Mapping_Sheet!$H$2:$H$3143=$A5))/sum(filter(
Master_M"&amp;"apping_Sheet!$E$2:$E$3143, ISNUMBER(
Master_Mapping_Sheet!$E$2:$E$3143),
Master_Mapping_Sheet!$C$2:$C$3143=Q$1)))"),0.0)</f>
        <v>0</v>
      </c>
      <c r="R5" s="34">
        <f>IFERROR(__xludf.DUMMYFUNCTION("IF(ISNA(sum(filter(
Master_Mapping_Sheet!$E$2:$E$3143, ISNUMBER(
Master_Mapping_Sheet!$E$2:$E$3143),
Master_Mapping_Sheet!$C$2:$C$3143=R$1,
Master_Mapping_Sheet!$H$2:$H$3143=$A5))/sum(filter(
Master_Mapping_Sheet!$E$2:$E$3143, ISNUMBER(
Master_Mapping_She"&amp;"et!$E$2:$E$3143),
Master_Mapping_Sheet!$C$2:$C$3143=R$1))), 0, sum(filter(
Master_Mapping_Sheet!$E$2:$E$3143, ISNUMBER(
Master_Mapping_Sheet!$E$2:$E$3143),
Master_Mapping_Sheet!$C$2:$C$3143=R$1,
Master_Mapping_Sheet!$H$2:$H$3143=$A5))/sum(filter(
Master_M"&amp;"apping_Sheet!$E$2:$E$3143, ISNUMBER(
Master_Mapping_Sheet!$E$2:$E$3143),
Master_Mapping_Sheet!$C$2:$C$3143=R$1)))"),0.0)</f>
        <v>0</v>
      </c>
      <c r="S5" s="34">
        <f>IFERROR(__xludf.DUMMYFUNCTION("IF(ISNA(sum(filter(
Master_Mapping_Sheet!$E$2:$E$3143, ISNUMBER(
Master_Mapping_Sheet!$E$2:$E$3143),
Master_Mapping_Sheet!$C$2:$C$3143=S$1,
Master_Mapping_Sheet!$H$2:$H$3143=$A5))/sum(filter(
Master_Mapping_Sheet!$E$2:$E$3143, ISNUMBER(
Master_Mapping_She"&amp;"et!$E$2:$E$3143),
Master_Mapping_Sheet!$C$2:$C$3143=S$1))), 0, sum(filter(
Master_Mapping_Sheet!$E$2:$E$3143, ISNUMBER(
Master_Mapping_Sheet!$E$2:$E$3143),
Master_Mapping_Sheet!$C$2:$C$3143=S$1,
Master_Mapping_Sheet!$H$2:$H$3143=$A5))/sum(filter(
Master_M"&amp;"apping_Sheet!$E$2:$E$3143, ISNUMBER(
Master_Mapping_Sheet!$E$2:$E$3143),
Master_Mapping_Sheet!$C$2:$C$3143=S$1)))"),0.0)</f>
        <v>0</v>
      </c>
      <c r="T5" s="34">
        <f>IFERROR(__xludf.DUMMYFUNCTION("IF(ISNA(sum(filter(
Master_Mapping_Sheet!$E$2:$E$3143, ISNUMBER(
Master_Mapping_Sheet!$E$2:$E$3143),
Master_Mapping_Sheet!$C$2:$C$3143=T$1,
Master_Mapping_Sheet!$H$2:$H$3143=$A5))/sum(filter(
Master_Mapping_Sheet!$E$2:$E$3143, ISNUMBER(
Master_Mapping_She"&amp;"et!$E$2:$E$3143),
Master_Mapping_Sheet!$C$2:$C$3143=T$1))), 0, sum(filter(
Master_Mapping_Sheet!$E$2:$E$3143, ISNUMBER(
Master_Mapping_Sheet!$E$2:$E$3143),
Master_Mapping_Sheet!$C$2:$C$3143=T$1,
Master_Mapping_Sheet!$H$2:$H$3143=$A5))/sum(filter(
Master_M"&amp;"apping_Sheet!$E$2:$E$3143, ISNUMBER(
Master_Mapping_Sheet!$E$2:$E$3143),
Master_Mapping_Sheet!$C$2:$C$3143=T$1)))"),0.0)</f>
        <v>0</v>
      </c>
      <c r="U5" s="34">
        <f>IFERROR(__xludf.DUMMYFUNCTION("IF(ISNA(sum(filter(
Master_Mapping_Sheet!$E$2:$E$3143, ISNUMBER(
Master_Mapping_Sheet!$E$2:$E$3143),
Master_Mapping_Sheet!$C$2:$C$3143=U$1,
Master_Mapping_Sheet!$H$2:$H$3143=$A5))/sum(filter(
Master_Mapping_Sheet!$E$2:$E$3143, ISNUMBER(
Master_Mapping_She"&amp;"et!$E$2:$E$3143),
Master_Mapping_Sheet!$C$2:$C$3143=U$1))), 0, sum(filter(
Master_Mapping_Sheet!$E$2:$E$3143, ISNUMBER(
Master_Mapping_Sheet!$E$2:$E$3143),
Master_Mapping_Sheet!$C$2:$C$3143=U$1,
Master_Mapping_Sheet!$H$2:$H$3143=$A5))/sum(filter(
Master_M"&amp;"apping_Sheet!$E$2:$E$3143, ISNUMBER(
Master_Mapping_Sheet!$E$2:$E$3143),
Master_Mapping_Sheet!$C$2:$C$3143=U$1)))"),0.0)</f>
        <v>0</v>
      </c>
      <c r="V5" s="34">
        <f>IFERROR(__xludf.DUMMYFUNCTION("IF(ISNA(sum(filter(
Master_Mapping_Sheet!$E$2:$E$3143, ISNUMBER(
Master_Mapping_Sheet!$E$2:$E$3143),
Master_Mapping_Sheet!$C$2:$C$3143=V$1,
Master_Mapping_Sheet!$H$2:$H$3143=$A5))/sum(filter(
Master_Mapping_Sheet!$E$2:$E$3143, ISNUMBER(
Master_Mapping_She"&amp;"et!$E$2:$E$3143),
Master_Mapping_Sheet!$C$2:$C$3143=V$1))), 0, sum(filter(
Master_Mapping_Sheet!$E$2:$E$3143, ISNUMBER(
Master_Mapping_Sheet!$E$2:$E$3143),
Master_Mapping_Sheet!$C$2:$C$3143=V$1,
Master_Mapping_Sheet!$H$2:$H$3143=$A5))/sum(filter(
Master_M"&amp;"apping_Sheet!$E$2:$E$3143, ISNUMBER(
Master_Mapping_Sheet!$E$2:$E$3143),
Master_Mapping_Sheet!$C$2:$C$3143=V$1)))"),0.0)</f>
        <v>0</v>
      </c>
      <c r="W5" s="34">
        <f>IFERROR(__xludf.DUMMYFUNCTION("IF(ISNA(sum(filter(
Master_Mapping_Sheet!$E$2:$E$3143, ISNUMBER(
Master_Mapping_Sheet!$E$2:$E$3143),
Master_Mapping_Sheet!$C$2:$C$3143=W$1,
Master_Mapping_Sheet!$H$2:$H$3143=$A5))/sum(filter(
Master_Mapping_Sheet!$E$2:$E$3143, ISNUMBER(
Master_Mapping_She"&amp;"et!$E$2:$E$3143),
Master_Mapping_Sheet!$C$2:$C$3143=W$1))), 0, sum(filter(
Master_Mapping_Sheet!$E$2:$E$3143, ISNUMBER(
Master_Mapping_Sheet!$E$2:$E$3143),
Master_Mapping_Sheet!$C$2:$C$3143=W$1,
Master_Mapping_Sheet!$H$2:$H$3143=$A5))/sum(filter(
Master_M"&amp;"apping_Sheet!$E$2:$E$3143, ISNUMBER(
Master_Mapping_Sheet!$E$2:$E$3143),
Master_Mapping_Sheet!$C$2:$C$3143=W$1)))"),0.0)</f>
        <v>0</v>
      </c>
      <c r="X5" s="34">
        <f>IFERROR(__xludf.DUMMYFUNCTION("IF(ISNA(sum(filter(
Master_Mapping_Sheet!$E$2:$E$3143, ISNUMBER(
Master_Mapping_Sheet!$E$2:$E$3143),
Master_Mapping_Sheet!$C$2:$C$3143=X$1,
Master_Mapping_Sheet!$H$2:$H$3143=$A5))/sum(filter(
Master_Mapping_Sheet!$E$2:$E$3143, ISNUMBER(
Master_Mapping_She"&amp;"et!$E$2:$E$3143),
Master_Mapping_Sheet!$C$2:$C$3143=X$1))), 0, sum(filter(
Master_Mapping_Sheet!$E$2:$E$3143, ISNUMBER(
Master_Mapping_Sheet!$E$2:$E$3143),
Master_Mapping_Sheet!$C$2:$C$3143=X$1,
Master_Mapping_Sheet!$H$2:$H$3143=$A5))/sum(filter(
Master_M"&amp;"apping_Sheet!$E$2:$E$3143, ISNUMBER(
Master_Mapping_Sheet!$E$2:$E$3143),
Master_Mapping_Sheet!$C$2:$C$3143=X$1)))"),0.0)</f>
        <v>0</v>
      </c>
      <c r="Y5" s="34">
        <f>IFERROR(__xludf.DUMMYFUNCTION("IF(ISNA(sum(filter(
Master_Mapping_Sheet!$E$2:$E$3143, ISNUMBER(
Master_Mapping_Sheet!$E$2:$E$3143),
Master_Mapping_Sheet!$C$2:$C$3143=Y$1,
Master_Mapping_Sheet!$H$2:$H$3143=$A5))/sum(filter(
Master_Mapping_Sheet!$E$2:$E$3143, ISNUMBER(
Master_Mapping_She"&amp;"et!$E$2:$E$3143),
Master_Mapping_Sheet!$C$2:$C$3143=Y$1))), 0, sum(filter(
Master_Mapping_Sheet!$E$2:$E$3143, ISNUMBER(
Master_Mapping_Sheet!$E$2:$E$3143),
Master_Mapping_Sheet!$C$2:$C$3143=Y$1,
Master_Mapping_Sheet!$H$2:$H$3143=$A5))/sum(filter(
Master_M"&amp;"apping_Sheet!$E$2:$E$3143, ISNUMBER(
Master_Mapping_Sheet!$E$2:$E$3143),
Master_Mapping_Sheet!$C$2:$C$3143=Y$1)))"),0.0)</f>
        <v>0</v>
      </c>
      <c r="Z5" s="34">
        <f>IFERROR(__xludf.DUMMYFUNCTION("IF(ISNA(sum(filter(
Master_Mapping_Sheet!$E$2:$E$3143, ISNUMBER(
Master_Mapping_Sheet!$E$2:$E$3143),
Master_Mapping_Sheet!$C$2:$C$3143=Z$1,
Master_Mapping_Sheet!$H$2:$H$3143=$A5))/sum(filter(
Master_Mapping_Sheet!$E$2:$E$3143, ISNUMBER(
Master_Mapping_She"&amp;"et!$E$2:$E$3143),
Master_Mapping_Sheet!$C$2:$C$3143=Z$1))), 0, sum(filter(
Master_Mapping_Sheet!$E$2:$E$3143, ISNUMBER(
Master_Mapping_Sheet!$E$2:$E$3143),
Master_Mapping_Sheet!$C$2:$C$3143=Z$1,
Master_Mapping_Sheet!$H$2:$H$3143=$A5))/sum(filter(
Master_M"&amp;"apping_Sheet!$E$2:$E$3143, ISNUMBER(
Master_Mapping_Sheet!$E$2:$E$3143),
Master_Mapping_Sheet!$C$2:$C$3143=Z$1)))"),0.0)</f>
        <v>0</v>
      </c>
      <c r="AA5" s="34">
        <f>IFERROR(__xludf.DUMMYFUNCTION("IF(ISNA(sum(filter(
Master_Mapping_Sheet!$E$2:$E$3143, ISNUMBER(
Master_Mapping_Sheet!$E$2:$E$3143),
Master_Mapping_Sheet!$C$2:$C$3143=AA$1,
Master_Mapping_Sheet!$H$2:$H$3143=$A5))/sum(filter(
Master_Mapping_Sheet!$E$2:$E$3143, ISNUMBER(
Master_Mapping_Sh"&amp;"eet!$E$2:$E$3143),
Master_Mapping_Sheet!$C$2:$C$3143=AA$1))), 0, sum(filter(
Master_Mapping_Sheet!$E$2:$E$3143, ISNUMBER(
Master_Mapping_Sheet!$E$2:$E$3143),
Master_Mapping_Sheet!$C$2:$C$3143=AA$1,
Master_Mapping_Sheet!$H$2:$H$3143=$A5))/sum(filter(
Maste"&amp;"r_Mapping_Sheet!$E$2:$E$3143, ISNUMBER(
Master_Mapping_Sheet!$E$2:$E$3143),
Master_Mapping_Sheet!$C$2:$C$3143=AA$1)))"),0.5755933194709753)</f>
        <v>0.5755933195</v>
      </c>
      <c r="AB5" s="34">
        <f>IFERROR(__xludf.DUMMYFUNCTION("IF(ISNA(sum(filter(
Master_Mapping_Sheet!$E$2:$E$3143, ISNUMBER(
Master_Mapping_Sheet!$E$2:$E$3143),
Master_Mapping_Sheet!$C$2:$C$3143=AB$1,
Master_Mapping_Sheet!$H$2:$H$3143=$A5))/sum(filter(
Master_Mapping_Sheet!$E$2:$E$3143, ISNUMBER(
Master_Mapping_Sh"&amp;"eet!$E$2:$E$3143),
Master_Mapping_Sheet!$C$2:$C$3143=AB$1))), 0, sum(filter(
Master_Mapping_Sheet!$E$2:$E$3143, ISNUMBER(
Master_Mapping_Sheet!$E$2:$E$3143),
Master_Mapping_Sheet!$C$2:$C$3143=AB$1,
Master_Mapping_Sheet!$H$2:$H$3143=$A5))/sum(filter(
Maste"&amp;"r_Mapping_Sheet!$E$2:$E$3143, ISNUMBER(
Master_Mapping_Sheet!$E$2:$E$3143),
Master_Mapping_Sheet!$C$2:$C$3143=AB$1)))"),0.0)</f>
        <v>0</v>
      </c>
      <c r="AC5" s="34">
        <f>IFERROR(__xludf.DUMMYFUNCTION("IF(ISNA(sum(filter(
Master_Mapping_Sheet!$E$2:$E$3143, ISNUMBER(
Master_Mapping_Sheet!$E$2:$E$3143),
Master_Mapping_Sheet!$C$2:$C$3143=AC$1,
Master_Mapping_Sheet!$H$2:$H$3143=$A5))/sum(filter(
Master_Mapping_Sheet!$E$2:$E$3143, ISNUMBER(
Master_Mapping_Sh"&amp;"eet!$E$2:$E$3143),
Master_Mapping_Sheet!$C$2:$C$3143=AC$1))), 0, sum(filter(
Master_Mapping_Sheet!$E$2:$E$3143, ISNUMBER(
Master_Mapping_Sheet!$E$2:$E$3143),
Master_Mapping_Sheet!$C$2:$C$3143=AC$1,
Master_Mapping_Sheet!$H$2:$H$3143=$A5))/sum(filter(
Maste"&amp;"r_Mapping_Sheet!$E$2:$E$3143, ISNUMBER(
Master_Mapping_Sheet!$E$2:$E$3143),
Master_Mapping_Sheet!$C$2:$C$3143=AC$1)))"),0.0)</f>
        <v>0</v>
      </c>
      <c r="AD5" s="34">
        <f>IFERROR(__xludf.DUMMYFUNCTION("IF(ISNA(sum(filter(
Master_Mapping_Sheet!$E$2:$E$3143, ISNUMBER(
Master_Mapping_Sheet!$E$2:$E$3143),
Master_Mapping_Sheet!$C$2:$C$3143=AD$1,
Master_Mapping_Sheet!$H$2:$H$3143=$A5))/sum(filter(
Master_Mapping_Sheet!$E$2:$E$3143, ISNUMBER(
Master_Mapping_Sh"&amp;"eet!$E$2:$E$3143),
Master_Mapping_Sheet!$C$2:$C$3143=AD$1))), 0, sum(filter(
Master_Mapping_Sheet!$E$2:$E$3143, ISNUMBER(
Master_Mapping_Sheet!$E$2:$E$3143),
Master_Mapping_Sheet!$C$2:$C$3143=AD$1,
Master_Mapping_Sheet!$H$2:$H$3143=$A5))/sum(filter(
Maste"&amp;"r_Mapping_Sheet!$E$2:$E$3143, ISNUMBER(
Master_Mapping_Sheet!$E$2:$E$3143),
Master_Mapping_Sheet!$C$2:$C$3143=AD$1)))"),0.0)</f>
        <v>0</v>
      </c>
      <c r="AE5" s="34">
        <f>IFERROR(__xludf.DUMMYFUNCTION("IF(ISNA(sum(filter(
Master_Mapping_Sheet!$E$2:$E$3143, ISNUMBER(
Master_Mapping_Sheet!$E$2:$E$3143),
Master_Mapping_Sheet!$C$2:$C$3143=AE$1,
Master_Mapping_Sheet!$H$2:$H$3143=$A5))/sum(filter(
Master_Mapping_Sheet!$E$2:$E$3143, ISNUMBER(
Master_Mapping_Sh"&amp;"eet!$E$2:$E$3143),
Master_Mapping_Sheet!$C$2:$C$3143=AE$1))), 0, sum(filter(
Master_Mapping_Sheet!$E$2:$E$3143, ISNUMBER(
Master_Mapping_Sheet!$E$2:$E$3143),
Master_Mapping_Sheet!$C$2:$C$3143=AE$1,
Master_Mapping_Sheet!$H$2:$H$3143=$A5))/sum(filter(
Maste"&amp;"r_Mapping_Sheet!$E$2:$E$3143, ISNUMBER(
Master_Mapping_Sheet!$E$2:$E$3143),
Master_Mapping_Sheet!$C$2:$C$3143=AE$1)))"),0.0)</f>
        <v>0</v>
      </c>
      <c r="AF5" s="34">
        <f>IFERROR(__xludf.DUMMYFUNCTION("IF(ISNA(sum(filter(
Master_Mapping_Sheet!$E$2:$E$3143, ISNUMBER(
Master_Mapping_Sheet!$E$2:$E$3143),
Master_Mapping_Sheet!$C$2:$C$3143=AF$1,
Master_Mapping_Sheet!$H$2:$H$3143=$A5))/sum(filter(
Master_Mapping_Sheet!$E$2:$E$3143, ISNUMBER(
Master_Mapping_Sh"&amp;"eet!$E$2:$E$3143),
Master_Mapping_Sheet!$C$2:$C$3143=AF$1))), 0, sum(filter(
Master_Mapping_Sheet!$E$2:$E$3143, ISNUMBER(
Master_Mapping_Sheet!$E$2:$E$3143),
Master_Mapping_Sheet!$C$2:$C$3143=AF$1,
Master_Mapping_Sheet!$H$2:$H$3143=$A5))/sum(filter(
Maste"&amp;"r_Mapping_Sheet!$E$2:$E$3143, ISNUMBER(
Master_Mapping_Sheet!$E$2:$E$3143),
Master_Mapping_Sheet!$C$2:$C$3143=AF$1)))"),0.0)</f>
        <v>0</v>
      </c>
      <c r="AG5" s="34">
        <f>IFERROR(__xludf.DUMMYFUNCTION("IF(ISNA(sum(filter(
Master_Mapping_Sheet!$E$2:$E$3143, ISNUMBER(
Master_Mapping_Sheet!$E$2:$E$3143),
Master_Mapping_Sheet!$C$2:$C$3143=AG$1,
Master_Mapping_Sheet!$H$2:$H$3143=$A5))/sum(filter(
Master_Mapping_Sheet!$E$2:$E$3143, ISNUMBER(
Master_Mapping_Sh"&amp;"eet!$E$2:$E$3143),
Master_Mapping_Sheet!$C$2:$C$3143=AG$1))), 0, sum(filter(
Master_Mapping_Sheet!$E$2:$E$3143, ISNUMBER(
Master_Mapping_Sheet!$E$2:$E$3143),
Master_Mapping_Sheet!$C$2:$C$3143=AG$1,
Master_Mapping_Sheet!$H$2:$H$3143=$A5))/sum(filter(
Maste"&amp;"r_Mapping_Sheet!$E$2:$E$3143, ISNUMBER(
Master_Mapping_Sheet!$E$2:$E$3143),
Master_Mapping_Sheet!$C$2:$C$3143=AG$1)))"),0.0)</f>
        <v>0</v>
      </c>
      <c r="AH5" s="34">
        <f>IFERROR(__xludf.DUMMYFUNCTION("IF(ISNA(sum(filter(
Master_Mapping_Sheet!$E$2:$E$3143, ISNUMBER(
Master_Mapping_Sheet!$E$2:$E$3143),
Master_Mapping_Sheet!$C$2:$C$3143=AH$1,
Master_Mapping_Sheet!$H$2:$H$3143=$A5))/sum(filter(
Master_Mapping_Sheet!$E$2:$E$3143, ISNUMBER(
Master_Mapping_Sh"&amp;"eet!$E$2:$E$3143),
Master_Mapping_Sheet!$C$2:$C$3143=AH$1))), 0, sum(filter(
Master_Mapping_Sheet!$E$2:$E$3143, ISNUMBER(
Master_Mapping_Sheet!$E$2:$E$3143),
Master_Mapping_Sheet!$C$2:$C$3143=AH$1,
Master_Mapping_Sheet!$H$2:$H$3143=$A5))/sum(filter(
Maste"&amp;"r_Mapping_Sheet!$E$2:$E$3143, ISNUMBER(
Master_Mapping_Sheet!$E$2:$E$3143),
Master_Mapping_Sheet!$C$2:$C$3143=AH$1)))"),0.0)</f>
        <v>0</v>
      </c>
      <c r="AI5" s="34">
        <f>IFERROR(__xludf.DUMMYFUNCTION("IF(ISNA(sum(filter(
Master_Mapping_Sheet!$E$2:$E$3143, ISNUMBER(
Master_Mapping_Sheet!$E$2:$E$3143),
Master_Mapping_Sheet!$C$2:$C$3143=AI$1,
Master_Mapping_Sheet!$H$2:$H$3143=$A5))/sum(filter(
Master_Mapping_Sheet!$E$2:$E$3143, ISNUMBER(
Master_Mapping_Sh"&amp;"eet!$E$2:$E$3143),
Master_Mapping_Sheet!$C$2:$C$3143=AI$1))), 0, sum(filter(
Master_Mapping_Sheet!$E$2:$E$3143, ISNUMBER(
Master_Mapping_Sheet!$E$2:$E$3143),
Master_Mapping_Sheet!$C$2:$C$3143=AI$1,
Master_Mapping_Sheet!$H$2:$H$3143=$A5))/sum(filter(
Maste"&amp;"r_Mapping_Sheet!$E$2:$E$3143, ISNUMBER(
Master_Mapping_Sheet!$E$2:$E$3143),
Master_Mapping_Sheet!$C$2:$C$3143=AI$1)))"),0.0)</f>
        <v>0</v>
      </c>
      <c r="AJ5" s="34">
        <f>IFERROR(__xludf.DUMMYFUNCTION("IF(ISNA(sum(filter(
Master_Mapping_Sheet!$E$2:$E$3143, ISNUMBER(
Master_Mapping_Sheet!$E$2:$E$3143),
Master_Mapping_Sheet!$C$2:$C$3143=AJ$1,
Master_Mapping_Sheet!$H$2:$H$3143=$A5))/sum(filter(
Master_Mapping_Sheet!$E$2:$E$3143, ISNUMBER(
Master_Mapping_Sh"&amp;"eet!$E$2:$E$3143),
Master_Mapping_Sheet!$C$2:$C$3143=AJ$1))), 0, sum(filter(
Master_Mapping_Sheet!$E$2:$E$3143, ISNUMBER(
Master_Mapping_Sheet!$E$2:$E$3143),
Master_Mapping_Sheet!$C$2:$C$3143=AJ$1,
Master_Mapping_Sheet!$H$2:$H$3143=$A5))/sum(filter(
Maste"&amp;"r_Mapping_Sheet!$E$2:$E$3143, ISNUMBER(
Master_Mapping_Sheet!$E$2:$E$3143),
Master_Mapping_Sheet!$C$2:$C$3143=AJ$1)))"),0.0)</f>
        <v>0</v>
      </c>
      <c r="AK5" s="34">
        <f>IFERROR(__xludf.DUMMYFUNCTION("IF(ISNA(sum(filter(
Master_Mapping_Sheet!$E$2:$E$3143, ISNUMBER(
Master_Mapping_Sheet!$E$2:$E$3143),
Master_Mapping_Sheet!$C$2:$C$3143=AK$1,
Master_Mapping_Sheet!$H$2:$H$3143=$A5))/sum(filter(
Master_Mapping_Sheet!$E$2:$E$3143, ISNUMBER(
Master_Mapping_Sh"&amp;"eet!$E$2:$E$3143),
Master_Mapping_Sheet!$C$2:$C$3143=AK$1))), 0, sum(filter(
Master_Mapping_Sheet!$E$2:$E$3143, ISNUMBER(
Master_Mapping_Sheet!$E$2:$E$3143),
Master_Mapping_Sheet!$C$2:$C$3143=AK$1,
Master_Mapping_Sheet!$H$2:$H$3143=$A5))/sum(filter(
Maste"&amp;"r_Mapping_Sheet!$E$2:$E$3143, ISNUMBER(
Master_Mapping_Sheet!$E$2:$E$3143),
Master_Mapping_Sheet!$C$2:$C$3143=AK$1)))"),0.0)</f>
        <v>0</v>
      </c>
      <c r="AL5" s="34">
        <f>IFERROR(__xludf.DUMMYFUNCTION("IF(ISNA(sum(filter(
Master_Mapping_Sheet!$E$2:$E$3143, ISNUMBER(
Master_Mapping_Sheet!$E$2:$E$3143),
Master_Mapping_Sheet!$C$2:$C$3143=AL$1,
Master_Mapping_Sheet!$H$2:$H$3143=$A5))/sum(filter(
Master_Mapping_Sheet!$E$2:$E$3143, ISNUMBER(
Master_Mapping_Sh"&amp;"eet!$E$2:$E$3143),
Master_Mapping_Sheet!$C$2:$C$3143=AL$1))), 0, sum(filter(
Master_Mapping_Sheet!$E$2:$E$3143, ISNUMBER(
Master_Mapping_Sheet!$E$2:$E$3143),
Master_Mapping_Sheet!$C$2:$C$3143=AL$1,
Master_Mapping_Sheet!$H$2:$H$3143=$A5))/sum(filter(
Maste"&amp;"r_Mapping_Sheet!$E$2:$E$3143, ISNUMBER(
Master_Mapping_Sheet!$E$2:$E$3143),
Master_Mapping_Sheet!$C$2:$C$3143=AL$1)))"),0.0)</f>
        <v>0</v>
      </c>
      <c r="AM5" s="34">
        <f>IFERROR(__xludf.DUMMYFUNCTION("IF(ISNA(sum(filter(
Master_Mapping_Sheet!$E$2:$E$3143, ISNUMBER(
Master_Mapping_Sheet!$E$2:$E$3143),
Master_Mapping_Sheet!$C$2:$C$3143=AM$1,
Master_Mapping_Sheet!$H$2:$H$3143=$A5))/sum(filter(
Master_Mapping_Sheet!$E$2:$E$3143, ISNUMBER(
Master_Mapping_Sh"&amp;"eet!$E$2:$E$3143),
Master_Mapping_Sheet!$C$2:$C$3143=AM$1))), 0, sum(filter(
Master_Mapping_Sheet!$E$2:$E$3143, ISNUMBER(
Master_Mapping_Sheet!$E$2:$E$3143),
Master_Mapping_Sheet!$C$2:$C$3143=AM$1,
Master_Mapping_Sheet!$H$2:$H$3143=$A5))/sum(filter(
Maste"&amp;"r_Mapping_Sheet!$E$2:$E$3143, ISNUMBER(
Master_Mapping_Sheet!$E$2:$E$3143),
Master_Mapping_Sheet!$C$2:$C$3143=AM$1)))"),0.0)</f>
        <v>0</v>
      </c>
      <c r="AN5" s="34">
        <f>IFERROR(__xludf.DUMMYFUNCTION("IF(ISNA(sum(filter(
Master_Mapping_Sheet!$E$2:$E$3143, ISNUMBER(
Master_Mapping_Sheet!$E$2:$E$3143),
Master_Mapping_Sheet!$C$2:$C$3143=AN$1,
Master_Mapping_Sheet!$H$2:$H$3143=$A5))/sum(filter(
Master_Mapping_Sheet!$E$2:$E$3143, ISNUMBER(
Master_Mapping_Sh"&amp;"eet!$E$2:$E$3143),
Master_Mapping_Sheet!$C$2:$C$3143=AN$1))), 0, sum(filter(
Master_Mapping_Sheet!$E$2:$E$3143, ISNUMBER(
Master_Mapping_Sheet!$E$2:$E$3143),
Master_Mapping_Sheet!$C$2:$C$3143=AN$1,
Master_Mapping_Sheet!$H$2:$H$3143=$A5))/sum(filter(
Maste"&amp;"r_Mapping_Sheet!$E$2:$E$3143, ISNUMBER(
Master_Mapping_Sheet!$E$2:$E$3143),
Master_Mapping_Sheet!$C$2:$C$3143=AN$1)))"),0.0)</f>
        <v>0</v>
      </c>
      <c r="AO5" s="34">
        <f>IFERROR(__xludf.DUMMYFUNCTION("IF(ISNA(sum(filter(
Master_Mapping_Sheet!$E$2:$E$3143, ISNUMBER(
Master_Mapping_Sheet!$E$2:$E$3143),
Master_Mapping_Sheet!$C$2:$C$3143=AO$1,
Master_Mapping_Sheet!$H$2:$H$3143=$A5))/sum(filter(
Master_Mapping_Sheet!$E$2:$E$3143, ISNUMBER(
Master_Mapping_Sh"&amp;"eet!$E$2:$E$3143),
Master_Mapping_Sheet!$C$2:$C$3143=AO$1))), 0, sum(filter(
Master_Mapping_Sheet!$E$2:$E$3143, ISNUMBER(
Master_Mapping_Sheet!$E$2:$E$3143),
Master_Mapping_Sheet!$C$2:$C$3143=AO$1,
Master_Mapping_Sheet!$H$2:$H$3143=$A5))/sum(filter(
Maste"&amp;"r_Mapping_Sheet!$E$2:$E$3143, ISNUMBER(
Master_Mapping_Sheet!$E$2:$E$3143),
Master_Mapping_Sheet!$C$2:$C$3143=AO$1)))"),0.0)</f>
        <v>0</v>
      </c>
      <c r="AP5" s="34">
        <f>IFERROR(__xludf.DUMMYFUNCTION("IF(ISNA(sum(filter(
Master_Mapping_Sheet!$E$2:$E$3143, ISNUMBER(
Master_Mapping_Sheet!$E$2:$E$3143),
Master_Mapping_Sheet!$C$2:$C$3143=AP$1,
Master_Mapping_Sheet!$H$2:$H$3143=$A5))/sum(filter(
Master_Mapping_Sheet!$E$2:$E$3143, ISNUMBER(
Master_Mapping_Sh"&amp;"eet!$E$2:$E$3143),
Master_Mapping_Sheet!$C$2:$C$3143=AP$1))), 0, sum(filter(
Master_Mapping_Sheet!$E$2:$E$3143, ISNUMBER(
Master_Mapping_Sheet!$E$2:$E$3143),
Master_Mapping_Sheet!$C$2:$C$3143=AP$1,
Master_Mapping_Sheet!$H$2:$H$3143=$A5))/sum(filter(
Maste"&amp;"r_Mapping_Sheet!$E$2:$E$3143, ISNUMBER(
Master_Mapping_Sheet!$E$2:$E$3143),
Master_Mapping_Sheet!$C$2:$C$3143=AP$1)))"),0.0)</f>
        <v>0</v>
      </c>
      <c r="AQ5" s="34">
        <f>IFERROR(__xludf.DUMMYFUNCTION("IF(ISNA(sum(filter(
Master_Mapping_Sheet!$E$2:$E$3143, ISNUMBER(
Master_Mapping_Sheet!$E$2:$E$3143),
Master_Mapping_Sheet!$C$2:$C$3143=AQ$1,
Master_Mapping_Sheet!$H$2:$H$3143=$A5))/sum(filter(
Master_Mapping_Sheet!$E$2:$E$3143, ISNUMBER(
Master_Mapping_Sh"&amp;"eet!$E$2:$E$3143),
Master_Mapping_Sheet!$C$2:$C$3143=AQ$1))), 0, sum(filter(
Master_Mapping_Sheet!$E$2:$E$3143, ISNUMBER(
Master_Mapping_Sheet!$E$2:$E$3143),
Master_Mapping_Sheet!$C$2:$C$3143=AQ$1,
Master_Mapping_Sheet!$H$2:$H$3143=$A5))/sum(filter(
Maste"&amp;"r_Mapping_Sheet!$E$2:$E$3143, ISNUMBER(
Master_Mapping_Sheet!$E$2:$E$3143),
Master_Mapping_Sheet!$C$2:$C$3143=AQ$1)))"),0.0)</f>
        <v>0</v>
      </c>
      <c r="AR5" s="34">
        <f>IFERROR(__xludf.DUMMYFUNCTION("IF(ISNA(sum(filter(
Master_Mapping_Sheet!$E$2:$E$3143, ISNUMBER(
Master_Mapping_Sheet!$E$2:$E$3143),
Master_Mapping_Sheet!$C$2:$C$3143=AR$1,
Master_Mapping_Sheet!$H$2:$H$3143=$A5))/sum(filter(
Master_Mapping_Sheet!$E$2:$E$3143, ISNUMBER(
Master_Mapping_Sh"&amp;"eet!$E$2:$E$3143),
Master_Mapping_Sheet!$C$2:$C$3143=AR$1))), 0, sum(filter(
Master_Mapping_Sheet!$E$2:$E$3143, ISNUMBER(
Master_Mapping_Sheet!$E$2:$E$3143),
Master_Mapping_Sheet!$C$2:$C$3143=AR$1,
Master_Mapping_Sheet!$H$2:$H$3143=$A5))/sum(filter(
Maste"&amp;"r_Mapping_Sheet!$E$2:$E$3143, ISNUMBER(
Master_Mapping_Sheet!$E$2:$E$3143),
Master_Mapping_Sheet!$C$2:$C$3143=AR$1)))"),0.0)</f>
        <v>0</v>
      </c>
      <c r="AS5" s="34">
        <f>IFERROR(__xludf.DUMMYFUNCTION("IF(ISNA(sum(filter(
Master_Mapping_Sheet!$E$2:$E$3143, ISNUMBER(
Master_Mapping_Sheet!$E$2:$E$3143),
Master_Mapping_Sheet!$C$2:$C$3143=AS$1,
Master_Mapping_Sheet!$H$2:$H$3143=$A5))/sum(filter(
Master_Mapping_Sheet!$E$2:$E$3143, ISNUMBER(
Master_Mapping_Sh"&amp;"eet!$E$2:$E$3143),
Master_Mapping_Sheet!$C$2:$C$3143=AS$1))), 0, sum(filter(
Master_Mapping_Sheet!$E$2:$E$3143, ISNUMBER(
Master_Mapping_Sheet!$E$2:$E$3143),
Master_Mapping_Sheet!$C$2:$C$3143=AS$1,
Master_Mapping_Sheet!$H$2:$H$3143=$A5))/sum(filter(
Maste"&amp;"r_Mapping_Sheet!$E$2:$E$3143, ISNUMBER(
Master_Mapping_Sheet!$E$2:$E$3143),
Master_Mapping_Sheet!$C$2:$C$3143=AS$1)))"),0.0)</f>
        <v>0</v>
      </c>
      <c r="AT5" s="34">
        <f>IFERROR(__xludf.DUMMYFUNCTION("IF(ISNA(sum(filter(
Master_Mapping_Sheet!$E$2:$E$3143, ISNUMBER(
Master_Mapping_Sheet!$E$2:$E$3143),
Master_Mapping_Sheet!$C$2:$C$3143=AT$1,
Master_Mapping_Sheet!$H$2:$H$3143=$A5))/sum(filter(
Master_Mapping_Sheet!$E$2:$E$3143, ISNUMBER(
Master_Mapping_Sh"&amp;"eet!$E$2:$E$3143),
Master_Mapping_Sheet!$C$2:$C$3143=AT$1))), 0, sum(filter(
Master_Mapping_Sheet!$E$2:$E$3143, ISNUMBER(
Master_Mapping_Sheet!$E$2:$E$3143),
Master_Mapping_Sheet!$C$2:$C$3143=AT$1,
Master_Mapping_Sheet!$H$2:$H$3143=$A5))/sum(filter(
Maste"&amp;"r_Mapping_Sheet!$E$2:$E$3143, ISNUMBER(
Master_Mapping_Sheet!$E$2:$E$3143),
Master_Mapping_Sheet!$C$2:$C$3143=AT$1)))"),0.0)</f>
        <v>0</v>
      </c>
      <c r="AU5" s="34">
        <f>IFERROR(__xludf.DUMMYFUNCTION("IF(ISNA(sum(filter(
Master_Mapping_Sheet!$E$2:$E$3143, ISNUMBER(
Master_Mapping_Sheet!$E$2:$E$3143),
Master_Mapping_Sheet!$C$2:$C$3143=AU$1,
Master_Mapping_Sheet!$H$2:$H$3143=$A5))/sum(filter(
Master_Mapping_Sheet!$E$2:$E$3143, ISNUMBER(
Master_Mapping_Sh"&amp;"eet!$E$2:$E$3143),
Master_Mapping_Sheet!$C$2:$C$3143=AU$1))), 0, sum(filter(
Master_Mapping_Sheet!$E$2:$E$3143, ISNUMBER(
Master_Mapping_Sheet!$E$2:$E$3143),
Master_Mapping_Sheet!$C$2:$C$3143=AU$1,
Master_Mapping_Sheet!$H$2:$H$3143=$A5))/sum(filter(
Maste"&amp;"r_Mapping_Sheet!$E$2:$E$3143, ISNUMBER(
Master_Mapping_Sheet!$E$2:$E$3143),
Master_Mapping_Sheet!$C$2:$C$3143=AU$1)))"),0.0)</f>
        <v>0</v>
      </c>
      <c r="AV5" s="34">
        <f>IFERROR(__xludf.DUMMYFUNCTION("IF(ISNA(sum(filter(
Master_Mapping_Sheet!$E$2:$E$3143, ISNUMBER(
Master_Mapping_Sheet!$E$2:$E$3143),
Master_Mapping_Sheet!$C$2:$C$3143=AV$1,
Master_Mapping_Sheet!$H$2:$H$3143=$A5))/sum(filter(
Master_Mapping_Sheet!$E$2:$E$3143, ISNUMBER(
Master_Mapping_Sh"&amp;"eet!$E$2:$E$3143),
Master_Mapping_Sheet!$C$2:$C$3143=AV$1))), 0, sum(filter(
Master_Mapping_Sheet!$E$2:$E$3143, ISNUMBER(
Master_Mapping_Sheet!$E$2:$E$3143),
Master_Mapping_Sheet!$C$2:$C$3143=AV$1,
Master_Mapping_Sheet!$H$2:$H$3143=$A5))/sum(filter(
Maste"&amp;"r_Mapping_Sheet!$E$2:$E$3143, ISNUMBER(
Master_Mapping_Sheet!$E$2:$E$3143),
Master_Mapping_Sheet!$C$2:$C$3143=AV$1)))"),0.0)</f>
        <v>0</v>
      </c>
      <c r="AW5" s="34">
        <f>IFERROR(__xludf.DUMMYFUNCTION("IF(ISNA(sum(filter(
Master_Mapping_Sheet!$E$2:$E$3143, ISNUMBER(
Master_Mapping_Sheet!$E$2:$E$3143),
Master_Mapping_Sheet!$C$2:$C$3143=AW$1,
Master_Mapping_Sheet!$H$2:$H$3143=$A5))/sum(filter(
Master_Mapping_Sheet!$E$2:$E$3143, ISNUMBER(
Master_Mapping_Sh"&amp;"eet!$E$2:$E$3143),
Master_Mapping_Sheet!$C$2:$C$3143=AW$1))), 0, sum(filter(
Master_Mapping_Sheet!$E$2:$E$3143, ISNUMBER(
Master_Mapping_Sheet!$E$2:$E$3143),
Master_Mapping_Sheet!$C$2:$C$3143=AW$1,
Master_Mapping_Sheet!$H$2:$H$3143=$A5))/sum(filter(
Maste"&amp;"r_Mapping_Sheet!$E$2:$E$3143, ISNUMBER(
Master_Mapping_Sheet!$E$2:$E$3143),
Master_Mapping_Sheet!$C$2:$C$3143=AW$1)))"),0.0)</f>
        <v>0</v>
      </c>
      <c r="AX5" s="34">
        <f>IFERROR(__xludf.DUMMYFUNCTION("IF(ISNA(sum(filter(
Master_Mapping_Sheet!$E$2:$E$3143, ISNUMBER(
Master_Mapping_Sheet!$E$2:$E$3143),
Master_Mapping_Sheet!$C$2:$C$3143=AX$1,
Master_Mapping_Sheet!$H$2:$H$3143=$A5))/sum(filter(
Master_Mapping_Sheet!$E$2:$E$3143, ISNUMBER(
Master_Mapping_Sh"&amp;"eet!$E$2:$E$3143),
Master_Mapping_Sheet!$C$2:$C$3143=AX$1))), 0, sum(filter(
Master_Mapping_Sheet!$E$2:$E$3143, ISNUMBER(
Master_Mapping_Sheet!$E$2:$E$3143),
Master_Mapping_Sheet!$C$2:$C$3143=AX$1,
Master_Mapping_Sheet!$H$2:$H$3143=$A5))/sum(filter(
Maste"&amp;"r_Mapping_Sheet!$E$2:$E$3143, ISNUMBER(
Master_Mapping_Sheet!$E$2:$E$3143),
Master_Mapping_Sheet!$C$2:$C$3143=AX$1)))"),0.0)</f>
        <v>0</v>
      </c>
      <c r="AY5" s="34">
        <f>IFERROR(__xludf.DUMMYFUNCTION("IF(ISNA(sum(filter(
Master_Mapping_Sheet!$E$2:$E$3143, ISNUMBER(
Master_Mapping_Sheet!$E$2:$E$3143),
Master_Mapping_Sheet!$C$2:$C$3143=AY$1,
Master_Mapping_Sheet!$H$2:$H$3143=$A5))/sum(filter(
Master_Mapping_Sheet!$E$2:$E$3143, ISNUMBER(
Master_Mapping_Sh"&amp;"eet!$E$2:$E$3143),
Master_Mapping_Sheet!$C$2:$C$3143=AY$1))), 0, sum(filter(
Master_Mapping_Sheet!$E$2:$E$3143, ISNUMBER(
Master_Mapping_Sheet!$E$2:$E$3143),
Master_Mapping_Sheet!$C$2:$C$3143=AY$1,
Master_Mapping_Sheet!$H$2:$H$3143=$A5))/sum(filter(
Maste"&amp;"r_Mapping_Sheet!$E$2:$E$3143, ISNUMBER(
Master_Mapping_Sheet!$E$2:$E$3143),
Master_Mapping_Sheet!$C$2:$C$3143=AY$1)))"),0.0)</f>
        <v>0</v>
      </c>
      <c r="AZ5" s="34">
        <f>IFERROR(__xludf.DUMMYFUNCTION("IF(ISNA(sum(filter(
Master_Mapping_Sheet!$E$2:$E$3143, ISNUMBER(
Master_Mapping_Sheet!$E$2:$E$3143),
Master_Mapping_Sheet!$C$2:$C$3143=AZ$1,
Master_Mapping_Sheet!$H$2:$H$3143=$A5))/sum(filter(
Master_Mapping_Sheet!$E$2:$E$3143, ISNUMBER(
Master_Mapping_Sh"&amp;"eet!$E$2:$E$3143),
Master_Mapping_Sheet!$C$2:$C$3143=AZ$1))), 0, sum(filter(
Master_Mapping_Sheet!$E$2:$E$3143, ISNUMBER(
Master_Mapping_Sheet!$E$2:$E$3143),
Master_Mapping_Sheet!$C$2:$C$3143=AZ$1,
Master_Mapping_Sheet!$H$2:$H$3143=$A5))/sum(filter(
Maste"&amp;"r_Mapping_Sheet!$E$2:$E$3143, ISNUMBER(
Master_Mapping_Sheet!$E$2:$E$3143),
Master_Mapping_Sheet!$C$2:$C$3143=AZ$1)))"),0.0)</f>
        <v>0</v>
      </c>
    </row>
    <row r="6" ht="15.75" customHeight="1">
      <c r="A6" s="34" t="s">
        <v>4003</v>
      </c>
      <c r="B6" s="34">
        <f>IFERROR(__xludf.DUMMYFUNCTION("IF(ISNA(sum(filter(
Master_Mapping_Sheet!$E$2:$E$3143, ISNUMBER(
Master_Mapping_Sheet!$E$2:$E$3143),
Master_Mapping_Sheet!$C$2:$C$3143=B$1,
Master_Mapping_Sheet!$H$2:$H$3143=$A6))/sum(filter(
Master_Mapping_Sheet!$E$2:$E$3143, ISNUMBER(
Master_Mapping_She"&amp;"et!$E$2:$E$3143),
Master_Mapping_Sheet!$C$2:$C$3143=B$1))), 0, sum(filter(
Master_Mapping_Sheet!$E$2:$E$3143, ISNUMBER(
Master_Mapping_Sheet!$E$2:$E$3143),
Master_Mapping_Sheet!$C$2:$C$3143=B$1,
Master_Mapping_Sheet!$H$2:$H$3143=$A6))/sum(filter(
Master_M"&amp;"apping_Sheet!$E$2:$E$3143, ISNUMBER(
Master_Mapping_Sheet!$E$2:$E$3143),
Master_Mapping_Sheet!$C$2:$C$3143=B$1)))"),0.0)</f>
        <v>0</v>
      </c>
      <c r="C6" s="34">
        <f>IFERROR(__xludf.DUMMYFUNCTION("IF(ISNA(sum(filter(
Master_Mapping_Sheet!$E$2:$E$3143, ISNUMBER(
Master_Mapping_Sheet!$E$2:$E$3143),
Master_Mapping_Sheet!$C$2:$C$3143=C$1,
Master_Mapping_Sheet!$H$2:$H$3143=$A6))/sum(filter(
Master_Mapping_Sheet!$E$2:$E$3143, ISNUMBER(
Master_Mapping_She"&amp;"et!$E$2:$E$3143),
Master_Mapping_Sheet!$C$2:$C$3143=C$1))), 0, sum(filter(
Master_Mapping_Sheet!$E$2:$E$3143, ISNUMBER(
Master_Mapping_Sheet!$E$2:$E$3143),
Master_Mapping_Sheet!$C$2:$C$3143=C$1,
Master_Mapping_Sheet!$H$2:$H$3143=$A6))/sum(filter(
Master_M"&amp;"apping_Sheet!$E$2:$E$3143, ISNUMBER(
Master_Mapping_Sheet!$E$2:$E$3143),
Master_Mapping_Sheet!$C$2:$C$3143=C$1)))"),0.0)</f>
        <v>0</v>
      </c>
      <c r="D6" s="34">
        <f>IFERROR(__xludf.DUMMYFUNCTION("IF(ISNA(sum(filter(
Master_Mapping_Sheet!$E$2:$E$3143, ISNUMBER(
Master_Mapping_Sheet!$E$2:$E$3143),
Master_Mapping_Sheet!$C$2:$C$3143=D$1,
Master_Mapping_Sheet!$H$2:$H$3143=$A6))/sum(filter(
Master_Mapping_Sheet!$E$2:$E$3143, ISNUMBER(
Master_Mapping_She"&amp;"et!$E$2:$E$3143),
Master_Mapping_Sheet!$C$2:$C$3143=D$1))), 0, sum(filter(
Master_Mapping_Sheet!$E$2:$E$3143, ISNUMBER(
Master_Mapping_Sheet!$E$2:$E$3143),
Master_Mapping_Sheet!$C$2:$C$3143=D$1,
Master_Mapping_Sheet!$H$2:$H$3143=$A6))/sum(filter(
Master_M"&amp;"apping_Sheet!$E$2:$E$3143, ISNUMBER(
Master_Mapping_Sheet!$E$2:$E$3143),
Master_Mapping_Sheet!$C$2:$C$3143=D$1)))"),0.0)</f>
        <v>0</v>
      </c>
      <c r="E6" s="34">
        <f>IFERROR(__xludf.DUMMYFUNCTION("IF(ISNA(sum(filter(
Master_Mapping_Sheet!$E$2:$E$3143, ISNUMBER(
Master_Mapping_Sheet!$E$2:$E$3143),
Master_Mapping_Sheet!$C$2:$C$3143=E$1,
Master_Mapping_Sheet!$H$2:$H$3143=$A6))/sum(filter(
Master_Mapping_Sheet!$E$2:$E$3143, ISNUMBER(
Master_Mapping_She"&amp;"et!$E$2:$E$3143),
Master_Mapping_Sheet!$C$2:$C$3143=E$1))), 0, sum(filter(
Master_Mapping_Sheet!$E$2:$E$3143, ISNUMBER(
Master_Mapping_Sheet!$E$2:$E$3143),
Master_Mapping_Sheet!$C$2:$C$3143=E$1,
Master_Mapping_Sheet!$H$2:$H$3143=$A6))/sum(filter(
Master_M"&amp;"apping_Sheet!$E$2:$E$3143, ISNUMBER(
Master_Mapping_Sheet!$E$2:$E$3143),
Master_Mapping_Sheet!$C$2:$C$3143=E$1)))"),0.0)</f>
        <v>0</v>
      </c>
      <c r="F6" s="34">
        <f>IFERROR(__xludf.DUMMYFUNCTION("IF(ISNA(sum(filter(
Master_Mapping_Sheet!$E$2:$E$3143, ISNUMBER(
Master_Mapping_Sheet!$E$2:$E$3143),
Master_Mapping_Sheet!$C$2:$C$3143=F$1,
Master_Mapping_Sheet!$H$2:$H$3143=$A6))/sum(filter(
Master_Mapping_Sheet!$E$2:$E$3143, ISNUMBER(
Master_Mapping_She"&amp;"et!$E$2:$E$3143),
Master_Mapping_Sheet!$C$2:$C$3143=F$1))), 0, sum(filter(
Master_Mapping_Sheet!$E$2:$E$3143, ISNUMBER(
Master_Mapping_Sheet!$E$2:$E$3143),
Master_Mapping_Sheet!$C$2:$C$3143=F$1,
Master_Mapping_Sheet!$H$2:$H$3143=$A6))/sum(filter(
Master_M"&amp;"apping_Sheet!$E$2:$E$3143, ISNUMBER(
Master_Mapping_Sheet!$E$2:$E$3143),
Master_Mapping_Sheet!$C$2:$C$3143=F$1)))"),0.0)</f>
        <v>0</v>
      </c>
      <c r="G6" s="34">
        <f>IFERROR(__xludf.DUMMYFUNCTION("IF(ISNA(sum(filter(
Master_Mapping_Sheet!$E$2:$E$3143, ISNUMBER(
Master_Mapping_Sheet!$E$2:$E$3143),
Master_Mapping_Sheet!$C$2:$C$3143=G$1,
Master_Mapping_Sheet!$H$2:$H$3143=$A6))/sum(filter(
Master_Mapping_Sheet!$E$2:$E$3143, ISNUMBER(
Master_Mapping_She"&amp;"et!$E$2:$E$3143),
Master_Mapping_Sheet!$C$2:$C$3143=G$1))), 0, sum(filter(
Master_Mapping_Sheet!$E$2:$E$3143, ISNUMBER(
Master_Mapping_Sheet!$E$2:$E$3143),
Master_Mapping_Sheet!$C$2:$C$3143=G$1,
Master_Mapping_Sheet!$H$2:$H$3143=$A6))/sum(filter(
Master_M"&amp;"apping_Sheet!$E$2:$E$3143, ISNUMBER(
Master_Mapping_Sheet!$E$2:$E$3143),
Master_Mapping_Sheet!$C$2:$C$3143=G$1)))"),0.0)</f>
        <v>0</v>
      </c>
      <c r="H6" s="34">
        <f>IFERROR(__xludf.DUMMYFUNCTION("IF(ISNA(sum(filter(
Master_Mapping_Sheet!$E$2:$E$3143, ISNUMBER(
Master_Mapping_Sheet!$E$2:$E$3143),
Master_Mapping_Sheet!$C$2:$C$3143=H$1,
Master_Mapping_Sheet!$H$2:$H$3143=$A6))/sum(filter(
Master_Mapping_Sheet!$E$2:$E$3143, ISNUMBER(
Master_Mapping_She"&amp;"et!$E$2:$E$3143),
Master_Mapping_Sheet!$C$2:$C$3143=H$1))), 0, sum(filter(
Master_Mapping_Sheet!$E$2:$E$3143, ISNUMBER(
Master_Mapping_Sheet!$E$2:$E$3143),
Master_Mapping_Sheet!$C$2:$C$3143=H$1,
Master_Mapping_Sheet!$H$2:$H$3143=$A6))/sum(filter(
Master_M"&amp;"apping_Sheet!$E$2:$E$3143, ISNUMBER(
Master_Mapping_Sheet!$E$2:$E$3143),
Master_Mapping_Sheet!$C$2:$C$3143=H$1)))"),0.0)</f>
        <v>0</v>
      </c>
      <c r="I6" s="34">
        <f>IFERROR(__xludf.DUMMYFUNCTION("IF(ISNA(sum(filter(
Master_Mapping_Sheet!$E$2:$E$3143, ISNUMBER(
Master_Mapping_Sheet!$E$2:$E$3143),
Master_Mapping_Sheet!$C$2:$C$3143=I$1,
Master_Mapping_Sheet!$H$2:$H$3143=$A6))/sum(filter(
Master_Mapping_Sheet!$E$2:$E$3143, ISNUMBER(
Master_Mapping_She"&amp;"et!$E$2:$E$3143),
Master_Mapping_Sheet!$C$2:$C$3143=I$1))), 0, sum(filter(
Master_Mapping_Sheet!$E$2:$E$3143, ISNUMBER(
Master_Mapping_Sheet!$E$2:$E$3143),
Master_Mapping_Sheet!$C$2:$C$3143=I$1,
Master_Mapping_Sheet!$H$2:$H$3143=$A6))/sum(filter(
Master_M"&amp;"apping_Sheet!$E$2:$E$3143, ISNUMBER(
Master_Mapping_Sheet!$E$2:$E$3143),
Master_Mapping_Sheet!$C$2:$C$3143=I$1)))"),0.0)</f>
        <v>0</v>
      </c>
      <c r="J6" s="34">
        <f>IFERROR(__xludf.DUMMYFUNCTION("IF(ISNA(sum(filter(
Master_Mapping_Sheet!$E$2:$E$3143, ISNUMBER(
Master_Mapping_Sheet!$E$2:$E$3143),
Master_Mapping_Sheet!$C$2:$C$3143=J$1,
Master_Mapping_Sheet!$H$2:$H$3143=$A6))/sum(filter(
Master_Mapping_Sheet!$E$2:$E$3143, ISNUMBER(
Master_Mapping_She"&amp;"et!$E$2:$E$3143),
Master_Mapping_Sheet!$C$2:$C$3143=J$1))), 0, sum(filter(
Master_Mapping_Sheet!$E$2:$E$3143, ISNUMBER(
Master_Mapping_Sheet!$E$2:$E$3143),
Master_Mapping_Sheet!$C$2:$C$3143=J$1,
Master_Mapping_Sheet!$H$2:$H$3143=$A6))/sum(filter(
Master_M"&amp;"apping_Sheet!$E$2:$E$3143, ISNUMBER(
Master_Mapping_Sheet!$E$2:$E$3143),
Master_Mapping_Sheet!$C$2:$C$3143=J$1)))"),0.0)</f>
        <v>0</v>
      </c>
      <c r="K6" s="34">
        <f>IFERROR(__xludf.DUMMYFUNCTION("IF(ISNA(sum(filter(
Master_Mapping_Sheet!$E$2:$E$3143, ISNUMBER(
Master_Mapping_Sheet!$E$2:$E$3143),
Master_Mapping_Sheet!$C$2:$C$3143=K$1,
Master_Mapping_Sheet!$H$2:$H$3143=$A6))/sum(filter(
Master_Mapping_Sheet!$E$2:$E$3143, ISNUMBER(
Master_Mapping_She"&amp;"et!$E$2:$E$3143),
Master_Mapping_Sheet!$C$2:$C$3143=K$1))), 0, sum(filter(
Master_Mapping_Sheet!$E$2:$E$3143, ISNUMBER(
Master_Mapping_Sheet!$E$2:$E$3143),
Master_Mapping_Sheet!$C$2:$C$3143=K$1,
Master_Mapping_Sheet!$H$2:$H$3143=$A6))/sum(filter(
Master_M"&amp;"apping_Sheet!$E$2:$E$3143, ISNUMBER(
Master_Mapping_Sheet!$E$2:$E$3143),
Master_Mapping_Sheet!$C$2:$C$3143=K$1)))"),0.0)</f>
        <v>0</v>
      </c>
      <c r="L6" s="34">
        <f>IFERROR(__xludf.DUMMYFUNCTION("IF(ISNA(sum(filter(
Master_Mapping_Sheet!$E$2:$E$3143, ISNUMBER(
Master_Mapping_Sheet!$E$2:$E$3143),
Master_Mapping_Sheet!$C$2:$C$3143=L$1,
Master_Mapping_Sheet!$H$2:$H$3143=$A6))/sum(filter(
Master_Mapping_Sheet!$E$2:$E$3143, ISNUMBER(
Master_Mapping_She"&amp;"et!$E$2:$E$3143),
Master_Mapping_Sheet!$C$2:$C$3143=L$1))), 0, sum(filter(
Master_Mapping_Sheet!$E$2:$E$3143, ISNUMBER(
Master_Mapping_Sheet!$E$2:$E$3143),
Master_Mapping_Sheet!$C$2:$C$3143=L$1,
Master_Mapping_Sheet!$H$2:$H$3143=$A6))/sum(filter(
Master_M"&amp;"apping_Sheet!$E$2:$E$3143, ISNUMBER(
Master_Mapping_Sheet!$E$2:$E$3143),
Master_Mapping_Sheet!$C$2:$C$3143=L$1)))"),0.0)</f>
        <v>0</v>
      </c>
      <c r="M6" s="34">
        <f>IFERROR(__xludf.DUMMYFUNCTION("IF(ISNA(sum(filter(
Master_Mapping_Sheet!$E$2:$E$3143, ISNUMBER(
Master_Mapping_Sheet!$E$2:$E$3143),
Master_Mapping_Sheet!$C$2:$C$3143=M$1,
Master_Mapping_Sheet!$H$2:$H$3143=$A6))/sum(filter(
Master_Mapping_Sheet!$E$2:$E$3143, ISNUMBER(
Master_Mapping_She"&amp;"et!$E$2:$E$3143),
Master_Mapping_Sheet!$C$2:$C$3143=M$1))), 0, sum(filter(
Master_Mapping_Sheet!$E$2:$E$3143, ISNUMBER(
Master_Mapping_Sheet!$E$2:$E$3143),
Master_Mapping_Sheet!$C$2:$C$3143=M$1,
Master_Mapping_Sheet!$H$2:$H$3143=$A6))/sum(filter(
Master_M"&amp;"apping_Sheet!$E$2:$E$3143, ISNUMBER(
Master_Mapping_Sheet!$E$2:$E$3143),
Master_Mapping_Sheet!$C$2:$C$3143=M$1)))"),0.0)</f>
        <v>0</v>
      </c>
      <c r="N6" s="34">
        <f>IFERROR(__xludf.DUMMYFUNCTION("IF(ISNA(sum(filter(
Master_Mapping_Sheet!$E$2:$E$3143, ISNUMBER(
Master_Mapping_Sheet!$E$2:$E$3143),
Master_Mapping_Sheet!$C$2:$C$3143=N$1,
Master_Mapping_Sheet!$H$2:$H$3143=$A6))/sum(filter(
Master_Mapping_Sheet!$E$2:$E$3143, ISNUMBER(
Master_Mapping_She"&amp;"et!$E$2:$E$3143),
Master_Mapping_Sheet!$C$2:$C$3143=N$1))), 0, sum(filter(
Master_Mapping_Sheet!$E$2:$E$3143, ISNUMBER(
Master_Mapping_Sheet!$E$2:$E$3143),
Master_Mapping_Sheet!$C$2:$C$3143=N$1,
Master_Mapping_Sheet!$H$2:$H$3143=$A6))/sum(filter(
Master_M"&amp;"apping_Sheet!$E$2:$E$3143, ISNUMBER(
Master_Mapping_Sheet!$E$2:$E$3143),
Master_Mapping_Sheet!$C$2:$C$3143=N$1)))"),0.0)</f>
        <v>0</v>
      </c>
      <c r="O6" s="34">
        <f>IFERROR(__xludf.DUMMYFUNCTION("IF(ISNA(sum(filter(
Master_Mapping_Sheet!$E$2:$E$3143, ISNUMBER(
Master_Mapping_Sheet!$E$2:$E$3143),
Master_Mapping_Sheet!$C$2:$C$3143=O$1,
Master_Mapping_Sheet!$H$2:$H$3143=$A6))/sum(filter(
Master_Mapping_Sheet!$E$2:$E$3143, ISNUMBER(
Master_Mapping_She"&amp;"et!$E$2:$E$3143),
Master_Mapping_Sheet!$C$2:$C$3143=O$1))), 0, sum(filter(
Master_Mapping_Sheet!$E$2:$E$3143, ISNUMBER(
Master_Mapping_Sheet!$E$2:$E$3143),
Master_Mapping_Sheet!$C$2:$C$3143=O$1,
Master_Mapping_Sheet!$H$2:$H$3143=$A6))/sum(filter(
Master_M"&amp;"apping_Sheet!$E$2:$E$3143, ISNUMBER(
Master_Mapping_Sheet!$E$2:$E$3143),
Master_Mapping_Sheet!$C$2:$C$3143=O$1)))"),0.0)</f>
        <v>0</v>
      </c>
      <c r="P6" s="34">
        <f>IFERROR(__xludf.DUMMYFUNCTION("IF(ISNA(sum(filter(
Master_Mapping_Sheet!$E$2:$E$3143, ISNUMBER(
Master_Mapping_Sheet!$E$2:$E$3143),
Master_Mapping_Sheet!$C$2:$C$3143=P$1,
Master_Mapping_Sheet!$H$2:$H$3143=$A6))/sum(filter(
Master_Mapping_Sheet!$E$2:$E$3143, ISNUMBER(
Master_Mapping_She"&amp;"et!$E$2:$E$3143),
Master_Mapping_Sheet!$C$2:$C$3143=P$1))), 0, sum(filter(
Master_Mapping_Sheet!$E$2:$E$3143, ISNUMBER(
Master_Mapping_Sheet!$E$2:$E$3143),
Master_Mapping_Sheet!$C$2:$C$3143=P$1,
Master_Mapping_Sheet!$H$2:$H$3143=$A6))/sum(filter(
Master_M"&amp;"apping_Sheet!$E$2:$E$3143, ISNUMBER(
Master_Mapping_Sheet!$E$2:$E$3143),
Master_Mapping_Sheet!$C$2:$C$3143=P$1)))"),0.0)</f>
        <v>0</v>
      </c>
      <c r="Q6" s="34">
        <f>IFERROR(__xludf.DUMMYFUNCTION("IF(ISNA(sum(filter(
Master_Mapping_Sheet!$E$2:$E$3143, ISNUMBER(
Master_Mapping_Sheet!$E$2:$E$3143),
Master_Mapping_Sheet!$C$2:$C$3143=Q$1,
Master_Mapping_Sheet!$H$2:$H$3143=$A6))/sum(filter(
Master_Mapping_Sheet!$E$2:$E$3143, ISNUMBER(
Master_Mapping_She"&amp;"et!$E$2:$E$3143),
Master_Mapping_Sheet!$C$2:$C$3143=Q$1))), 0, sum(filter(
Master_Mapping_Sheet!$E$2:$E$3143, ISNUMBER(
Master_Mapping_Sheet!$E$2:$E$3143),
Master_Mapping_Sheet!$C$2:$C$3143=Q$1,
Master_Mapping_Sheet!$H$2:$H$3143=$A6))/sum(filter(
Master_M"&amp;"apping_Sheet!$E$2:$E$3143, ISNUMBER(
Master_Mapping_Sheet!$E$2:$E$3143),
Master_Mapping_Sheet!$C$2:$C$3143=Q$1)))"),0.0)</f>
        <v>0</v>
      </c>
      <c r="R6" s="34">
        <f>IFERROR(__xludf.DUMMYFUNCTION("IF(ISNA(sum(filter(
Master_Mapping_Sheet!$E$2:$E$3143, ISNUMBER(
Master_Mapping_Sheet!$E$2:$E$3143),
Master_Mapping_Sheet!$C$2:$C$3143=R$1,
Master_Mapping_Sheet!$H$2:$H$3143=$A6))/sum(filter(
Master_Mapping_Sheet!$E$2:$E$3143, ISNUMBER(
Master_Mapping_She"&amp;"et!$E$2:$E$3143),
Master_Mapping_Sheet!$C$2:$C$3143=R$1))), 0, sum(filter(
Master_Mapping_Sheet!$E$2:$E$3143, ISNUMBER(
Master_Mapping_Sheet!$E$2:$E$3143),
Master_Mapping_Sheet!$C$2:$C$3143=R$1,
Master_Mapping_Sheet!$H$2:$H$3143=$A6))/sum(filter(
Master_M"&amp;"apping_Sheet!$E$2:$E$3143, ISNUMBER(
Master_Mapping_Sheet!$E$2:$E$3143),
Master_Mapping_Sheet!$C$2:$C$3143=R$1)))"),0.0)</f>
        <v>0</v>
      </c>
      <c r="S6" s="34">
        <f>IFERROR(__xludf.DUMMYFUNCTION("IF(ISNA(sum(filter(
Master_Mapping_Sheet!$E$2:$E$3143, ISNUMBER(
Master_Mapping_Sheet!$E$2:$E$3143),
Master_Mapping_Sheet!$C$2:$C$3143=S$1,
Master_Mapping_Sheet!$H$2:$H$3143=$A6))/sum(filter(
Master_Mapping_Sheet!$E$2:$E$3143, ISNUMBER(
Master_Mapping_She"&amp;"et!$E$2:$E$3143),
Master_Mapping_Sheet!$C$2:$C$3143=S$1))), 0, sum(filter(
Master_Mapping_Sheet!$E$2:$E$3143, ISNUMBER(
Master_Mapping_Sheet!$E$2:$E$3143),
Master_Mapping_Sheet!$C$2:$C$3143=S$1,
Master_Mapping_Sheet!$H$2:$H$3143=$A6))/sum(filter(
Master_M"&amp;"apping_Sheet!$E$2:$E$3143, ISNUMBER(
Master_Mapping_Sheet!$E$2:$E$3143),
Master_Mapping_Sheet!$C$2:$C$3143=S$1)))"),0.0)</f>
        <v>0</v>
      </c>
      <c r="T6" s="34">
        <f>IFERROR(__xludf.DUMMYFUNCTION("IF(ISNA(sum(filter(
Master_Mapping_Sheet!$E$2:$E$3143, ISNUMBER(
Master_Mapping_Sheet!$E$2:$E$3143),
Master_Mapping_Sheet!$C$2:$C$3143=T$1,
Master_Mapping_Sheet!$H$2:$H$3143=$A6))/sum(filter(
Master_Mapping_Sheet!$E$2:$E$3143, ISNUMBER(
Master_Mapping_She"&amp;"et!$E$2:$E$3143),
Master_Mapping_Sheet!$C$2:$C$3143=T$1))), 0, sum(filter(
Master_Mapping_Sheet!$E$2:$E$3143, ISNUMBER(
Master_Mapping_Sheet!$E$2:$E$3143),
Master_Mapping_Sheet!$C$2:$C$3143=T$1,
Master_Mapping_Sheet!$H$2:$H$3143=$A6))/sum(filter(
Master_M"&amp;"apping_Sheet!$E$2:$E$3143, ISNUMBER(
Master_Mapping_Sheet!$E$2:$E$3143),
Master_Mapping_Sheet!$C$2:$C$3143=T$1)))"),0.0)</f>
        <v>0</v>
      </c>
      <c r="U6" s="34">
        <f>IFERROR(__xludf.DUMMYFUNCTION("IF(ISNA(sum(filter(
Master_Mapping_Sheet!$E$2:$E$3143, ISNUMBER(
Master_Mapping_Sheet!$E$2:$E$3143),
Master_Mapping_Sheet!$C$2:$C$3143=U$1,
Master_Mapping_Sheet!$H$2:$H$3143=$A6))/sum(filter(
Master_Mapping_Sheet!$E$2:$E$3143, ISNUMBER(
Master_Mapping_She"&amp;"et!$E$2:$E$3143),
Master_Mapping_Sheet!$C$2:$C$3143=U$1))), 0, sum(filter(
Master_Mapping_Sheet!$E$2:$E$3143, ISNUMBER(
Master_Mapping_Sheet!$E$2:$E$3143),
Master_Mapping_Sheet!$C$2:$C$3143=U$1,
Master_Mapping_Sheet!$H$2:$H$3143=$A6))/sum(filter(
Master_M"&amp;"apping_Sheet!$E$2:$E$3143, ISNUMBER(
Master_Mapping_Sheet!$E$2:$E$3143),
Master_Mapping_Sheet!$C$2:$C$3143=U$1)))"),0.0)</f>
        <v>0</v>
      </c>
      <c r="V6" s="34">
        <f>IFERROR(__xludf.DUMMYFUNCTION("IF(ISNA(sum(filter(
Master_Mapping_Sheet!$E$2:$E$3143, ISNUMBER(
Master_Mapping_Sheet!$E$2:$E$3143),
Master_Mapping_Sheet!$C$2:$C$3143=V$1,
Master_Mapping_Sheet!$H$2:$H$3143=$A6))/sum(filter(
Master_Mapping_Sheet!$E$2:$E$3143, ISNUMBER(
Master_Mapping_She"&amp;"et!$E$2:$E$3143),
Master_Mapping_Sheet!$C$2:$C$3143=V$1))), 0, sum(filter(
Master_Mapping_Sheet!$E$2:$E$3143, ISNUMBER(
Master_Mapping_Sheet!$E$2:$E$3143),
Master_Mapping_Sheet!$C$2:$C$3143=V$1,
Master_Mapping_Sheet!$H$2:$H$3143=$A6))/sum(filter(
Master_M"&amp;"apping_Sheet!$E$2:$E$3143, ISNUMBER(
Master_Mapping_Sheet!$E$2:$E$3143),
Master_Mapping_Sheet!$C$2:$C$3143=V$1)))"),0.0)</f>
        <v>0</v>
      </c>
      <c r="W6" s="34">
        <f>IFERROR(__xludf.DUMMYFUNCTION("IF(ISNA(sum(filter(
Master_Mapping_Sheet!$E$2:$E$3143, ISNUMBER(
Master_Mapping_Sheet!$E$2:$E$3143),
Master_Mapping_Sheet!$C$2:$C$3143=W$1,
Master_Mapping_Sheet!$H$2:$H$3143=$A6))/sum(filter(
Master_Mapping_Sheet!$E$2:$E$3143, ISNUMBER(
Master_Mapping_She"&amp;"et!$E$2:$E$3143),
Master_Mapping_Sheet!$C$2:$C$3143=W$1))), 0, sum(filter(
Master_Mapping_Sheet!$E$2:$E$3143, ISNUMBER(
Master_Mapping_Sheet!$E$2:$E$3143),
Master_Mapping_Sheet!$C$2:$C$3143=W$1,
Master_Mapping_Sheet!$H$2:$H$3143=$A6))/sum(filter(
Master_M"&amp;"apping_Sheet!$E$2:$E$3143, ISNUMBER(
Master_Mapping_Sheet!$E$2:$E$3143),
Master_Mapping_Sheet!$C$2:$C$3143=W$1)))"),0.0)</f>
        <v>0</v>
      </c>
      <c r="X6" s="34">
        <f>IFERROR(__xludf.DUMMYFUNCTION("IF(ISNA(sum(filter(
Master_Mapping_Sheet!$E$2:$E$3143, ISNUMBER(
Master_Mapping_Sheet!$E$2:$E$3143),
Master_Mapping_Sheet!$C$2:$C$3143=X$1,
Master_Mapping_Sheet!$H$2:$H$3143=$A6))/sum(filter(
Master_Mapping_Sheet!$E$2:$E$3143, ISNUMBER(
Master_Mapping_She"&amp;"et!$E$2:$E$3143),
Master_Mapping_Sheet!$C$2:$C$3143=X$1))), 0, sum(filter(
Master_Mapping_Sheet!$E$2:$E$3143, ISNUMBER(
Master_Mapping_Sheet!$E$2:$E$3143),
Master_Mapping_Sheet!$C$2:$C$3143=X$1,
Master_Mapping_Sheet!$H$2:$H$3143=$A6))/sum(filter(
Master_M"&amp;"apping_Sheet!$E$2:$E$3143, ISNUMBER(
Master_Mapping_Sheet!$E$2:$E$3143),
Master_Mapping_Sheet!$C$2:$C$3143=X$1)))"),0.8975959676648839)</f>
        <v>0.8975959677</v>
      </c>
      <c r="Y6" s="34">
        <f>IFERROR(__xludf.DUMMYFUNCTION("IF(ISNA(sum(filter(
Master_Mapping_Sheet!$E$2:$E$3143, ISNUMBER(
Master_Mapping_Sheet!$E$2:$E$3143),
Master_Mapping_Sheet!$C$2:$C$3143=Y$1,
Master_Mapping_Sheet!$H$2:$H$3143=$A6))/sum(filter(
Master_Mapping_Sheet!$E$2:$E$3143, ISNUMBER(
Master_Mapping_She"&amp;"et!$E$2:$E$3143),
Master_Mapping_Sheet!$C$2:$C$3143=Y$1))), 0, sum(filter(
Master_Mapping_Sheet!$E$2:$E$3143, ISNUMBER(
Master_Mapping_Sheet!$E$2:$E$3143),
Master_Mapping_Sheet!$C$2:$C$3143=Y$1,
Master_Mapping_Sheet!$H$2:$H$3143=$A6))/sum(filter(
Master_M"&amp;"apping_Sheet!$E$2:$E$3143, ISNUMBER(
Master_Mapping_Sheet!$E$2:$E$3143),
Master_Mapping_Sheet!$C$2:$C$3143=Y$1)))"),0.0)</f>
        <v>0</v>
      </c>
      <c r="Z6" s="34">
        <f>IFERROR(__xludf.DUMMYFUNCTION("IF(ISNA(sum(filter(
Master_Mapping_Sheet!$E$2:$E$3143, ISNUMBER(
Master_Mapping_Sheet!$E$2:$E$3143),
Master_Mapping_Sheet!$C$2:$C$3143=Z$1,
Master_Mapping_Sheet!$H$2:$H$3143=$A6))/sum(filter(
Master_Mapping_Sheet!$E$2:$E$3143, ISNUMBER(
Master_Mapping_She"&amp;"et!$E$2:$E$3143),
Master_Mapping_Sheet!$C$2:$C$3143=Z$1))), 0, sum(filter(
Master_Mapping_Sheet!$E$2:$E$3143, ISNUMBER(
Master_Mapping_Sheet!$E$2:$E$3143),
Master_Mapping_Sheet!$C$2:$C$3143=Z$1,
Master_Mapping_Sheet!$H$2:$H$3143=$A6))/sum(filter(
Master_M"&amp;"apping_Sheet!$E$2:$E$3143, ISNUMBER(
Master_Mapping_Sheet!$E$2:$E$3143),
Master_Mapping_Sheet!$C$2:$C$3143=Z$1)))"),0.0)</f>
        <v>0</v>
      </c>
      <c r="AA6" s="34">
        <f>IFERROR(__xludf.DUMMYFUNCTION("IF(ISNA(sum(filter(
Master_Mapping_Sheet!$E$2:$E$3143, ISNUMBER(
Master_Mapping_Sheet!$E$2:$E$3143),
Master_Mapping_Sheet!$C$2:$C$3143=AA$1,
Master_Mapping_Sheet!$H$2:$H$3143=$A6))/sum(filter(
Master_Mapping_Sheet!$E$2:$E$3143, ISNUMBER(
Master_Mapping_Sh"&amp;"eet!$E$2:$E$3143),
Master_Mapping_Sheet!$C$2:$C$3143=AA$1))), 0, sum(filter(
Master_Mapping_Sheet!$E$2:$E$3143, ISNUMBER(
Master_Mapping_Sheet!$E$2:$E$3143),
Master_Mapping_Sheet!$C$2:$C$3143=AA$1,
Master_Mapping_Sheet!$H$2:$H$3143=$A6))/sum(filter(
Maste"&amp;"r_Mapping_Sheet!$E$2:$E$3143, ISNUMBER(
Master_Mapping_Sheet!$E$2:$E$3143),
Master_Mapping_Sheet!$C$2:$C$3143=AA$1)))"),0.0)</f>
        <v>0</v>
      </c>
      <c r="AB6" s="34">
        <f>IFERROR(__xludf.DUMMYFUNCTION("IF(ISNA(sum(filter(
Master_Mapping_Sheet!$E$2:$E$3143, ISNUMBER(
Master_Mapping_Sheet!$E$2:$E$3143),
Master_Mapping_Sheet!$C$2:$C$3143=AB$1,
Master_Mapping_Sheet!$H$2:$H$3143=$A6))/sum(filter(
Master_Mapping_Sheet!$E$2:$E$3143, ISNUMBER(
Master_Mapping_Sh"&amp;"eet!$E$2:$E$3143),
Master_Mapping_Sheet!$C$2:$C$3143=AB$1))), 0, sum(filter(
Master_Mapping_Sheet!$E$2:$E$3143, ISNUMBER(
Master_Mapping_Sheet!$E$2:$E$3143),
Master_Mapping_Sheet!$C$2:$C$3143=AB$1,
Master_Mapping_Sheet!$H$2:$H$3143=$A6))/sum(filter(
Maste"&amp;"r_Mapping_Sheet!$E$2:$E$3143, ISNUMBER(
Master_Mapping_Sheet!$E$2:$E$3143),
Master_Mapping_Sheet!$C$2:$C$3143=AB$1)))"),0.0)</f>
        <v>0</v>
      </c>
      <c r="AC6" s="34">
        <f>IFERROR(__xludf.DUMMYFUNCTION("IF(ISNA(sum(filter(
Master_Mapping_Sheet!$E$2:$E$3143, ISNUMBER(
Master_Mapping_Sheet!$E$2:$E$3143),
Master_Mapping_Sheet!$C$2:$C$3143=AC$1,
Master_Mapping_Sheet!$H$2:$H$3143=$A6))/sum(filter(
Master_Mapping_Sheet!$E$2:$E$3143, ISNUMBER(
Master_Mapping_Sh"&amp;"eet!$E$2:$E$3143),
Master_Mapping_Sheet!$C$2:$C$3143=AC$1))), 0, sum(filter(
Master_Mapping_Sheet!$E$2:$E$3143, ISNUMBER(
Master_Mapping_Sheet!$E$2:$E$3143),
Master_Mapping_Sheet!$C$2:$C$3143=AC$1,
Master_Mapping_Sheet!$H$2:$H$3143=$A6))/sum(filter(
Maste"&amp;"r_Mapping_Sheet!$E$2:$E$3143, ISNUMBER(
Master_Mapping_Sheet!$E$2:$E$3143),
Master_Mapping_Sheet!$C$2:$C$3143=AC$1)))"),0.0)</f>
        <v>0</v>
      </c>
      <c r="AD6" s="34">
        <f>IFERROR(__xludf.DUMMYFUNCTION("IF(ISNA(sum(filter(
Master_Mapping_Sheet!$E$2:$E$3143, ISNUMBER(
Master_Mapping_Sheet!$E$2:$E$3143),
Master_Mapping_Sheet!$C$2:$C$3143=AD$1,
Master_Mapping_Sheet!$H$2:$H$3143=$A6))/sum(filter(
Master_Mapping_Sheet!$E$2:$E$3143, ISNUMBER(
Master_Mapping_Sh"&amp;"eet!$E$2:$E$3143),
Master_Mapping_Sheet!$C$2:$C$3143=AD$1))), 0, sum(filter(
Master_Mapping_Sheet!$E$2:$E$3143, ISNUMBER(
Master_Mapping_Sheet!$E$2:$E$3143),
Master_Mapping_Sheet!$C$2:$C$3143=AD$1,
Master_Mapping_Sheet!$H$2:$H$3143=$A6))/sum(filter(
Maste"&amp;"r_Mapping_Sheet!$E$2:$E$3143, ISNUMBER(
Master_Mapping_Sheet!$E$2:$E$3143),
Master_Mapping_Sheet!$C$2:$C$3143=AD$1)))"),0.0)</f>
        <v>0</v>
      </c>
      <c r="AE6" s="34">
        <f>IFERROR(__xludf.DUMMYFUNCTION("IF(ISNA(sum(filter(
Master_Mapping_Sheet!$E$2:$E$3143, ISNUMBER(
Master_Mapping_Sheet!$E$2:$E$3143),
Master_Mapping_Sheet!$C$2:$C$3143=AE$1,
Master_Mapping_Sheet!$H$2:$H$3143=$A6))/sum(filter(
Master_Mapping_Sheet!$E$2:$E$3143, ISNUMBER(
Master_Mapping_Sh"&amp;"eet!$E$2:$E$3143),
Master_Mapping_Sheet!$C$2:$C$3143=AE$1))), 0, sum(filter(
Master_Mapping_Sheet!$E$2:$E$3143, ISNUMBER(
Master_Mapping_Sheet!$E$2:$E$3143),
Master_Mapping_Sheet!$C$2:$C$3143=AE$1,
Master_Mapping_Sheet!$H$2:$H$3143=$A6))/sum(filter(
Maste"&amp;"r_Mapping_Sheet!$E$2:$E$3143, ISNUMBER(
Master_Mapping_Sheet!$E$2:$E$3143),
Master_Mapping_Sheet!$C$2:$C$3143=AE$1)))"),0.0)</f>
        <v>0</v>
      </c>
      <c r="AF6" s="34">
        <f>IFERROR(__xludf.DUMMYFUNCTION("IF(ISNA(sum(filter(
Master_Mapping_Sheet!$E$2:$E$3143, ISNUMBER(
Master_Mapping_Sheet!$E$2:$E$3143),
Master_Mapping_Sheet!$C$2:$C$3143=AF$1,
Master_Mapping_Sheet!$H$2:$H$3143=$A6))/sum(filter(
Master_Mapping_Sheet!$E$2:$E$3143, ISNUMBER(
Master_Mapping_Sh"&amp;"eet!$E$2:$E$3143),
Master_Mapping_Sheet!$C$2:$C$3143=AF$1))), 0, sum(filter(
Master_Mapping_Sheet!$E$2:$E$3143, ISNUMBER(
Master_Mapping_Sheet!$E$2:$E$3143),
Master_Mapping_Sheet!$C$2:$C$3143=AF$1,
Master_Mapping_Sheet!$H$2:$H$3143=$A6))/sum(filter(
Maste"&amp;"r_Mapping_Sheet!$E$2:$E$3143, ISNUMBER(
Master_Mapping_Sheet!$E$2:$E$3143),
Master_Mapping_Sheet!$C$2:$C$3143=AF$1)))"),0.0)</f>
        <v>0</v>
      </c>
      <c r="AG6" s="34">
        <f>IFERROR(__xludf.DUMMYFUNCTION("IF(ISNA(sum(filter(
Master_Mapping_Sheet!$E$2:$E$3143, ISNUMBER(
Master_Mapping_Sheet!$E$2:$E$3143),
Master_Mapping_Sheet!$C$2:$C$3143=AG$1,
Master_Mapping_Sheet!$H$2:$H$3143=$A6))/sum(filter(
Master_Mapping_Sheet!$E$2:$E$3143, ISNUMBER(
Master_Mapping_Sh"&amp;"eet!$E$2:$E$3143),
Master_Mapping_Sheet!$C$2:$C$3143=AG$1))), 0, sum(filter(
Master_Mapping_Sheet!$E$2:$E$3143, ISNUMBER(
Master_Mapping_Sheet!$E$2:$E$3143),
Master_Mapping_Sheet!$C$2:$C$3143=AG$1,
Master_Mapping_Sheet!$H$2:$H$3143=$A6))/sum(filter(
Maste"&amp;"r_Mapping_Sheet!$E$2:$E$3143, ISNUMBER(
Master_Mapping_Sheet!$E$2:$E$3143),
Master_Mapping_Sheet!$C$2:$C$3143=AG$1)))"),0.0)</f>
        <v>0</v>
      </c>
      <c r="AH6" s="34">
        <f>IFERROR(__xludf.DUMMYFUNCTION("IF(ISNA(sum(filter(
Master_Mapping_Sheet!$E$2:$E$3143, ISNUMBER(
Master_Mapping_Sheet!$E$2:$E$3143),
Master_Mapping_Sheet!$C$2:$C$3143=AH$1,
Master_Mapping_Sheet!$H$2:$H$3143=$A6))/sum(filter(
Master_Mapping_Sheet!$E$2:$E$3143, ISNUMBER(
Master_Mapping_Sh"&amp;"eet!$E$2:$E$3143),
Master_Mapping_Sheet!$C$2:$C$3143=AH$1))), 0, sum(filter(
Master_Mapping_Sheet!$E$2:$E$3143, ISNUMBER(
Master_Mapping_Sheet!$E$2:$E$3143),
Master_Mapping_Sheet!$C$2:$C$3143=AH$1,
Master_Mapping_Sheet!$H$2:$H$3143=$A6))/sum(filter(
Maste"&amp;"r_Mapping_Sheet!$E$2:$E$3143, ISNUMBER(
Master_Mapping_Sheet!$E$2:$E$3143),
Master_Mapping_Sheet!$C$2:$C$3143=AH$1)))"),0.0)</f>
        <v>0</v>
      </c>
      <c r="AI6" s="34">
        <f>IFERROR(__xludf.DUMMYFUNCTION("IF(ISNA(sum(filter(
Master_Mapping_Sheet!$E$2:$E$3143, ISNUMBER(
Master_Mapping_Sheet!$E$2:$E$3143),
Master_Mapping_Sheet!$C$2:$C$3143=AI$1,
Master_Mapping_Sheet!$H$2:$H$3143=$A6))/sum(filter(
Master_Mapping_Sheet!$E$2:$E$3143, ISNUMBER(
Master_Mapping_Sh"&amp;"eet!$E$2:$E$3143),
Master_Mapping_Sheet!$C$2:$C$3143=AI$1))), 0, sum(filter(
Master_Mapping_Sheet!$E$2:$E$3143, ISNUMBER(
Master_Mapping_Sheet!$E$2:$E$3143),
Master_Mapping_Sheet!$C$2:$C$3143=AI$1,
Master_Mapping_Sheet!$H$2:$H$3143=$A6))/sum(filter(
Maste"&amp;"r_Mapping_Sheet!$E$2:$E$3143, ISNUMBER(
Master_Mapping_Sheet!$E$2:$E$3143),
Master_Mapping_Sheet!$C$2:$C$3143=AI$1)))"),0.0)</f>
        <v>0</v>
      </c>
      <c r="AJ6" s="34">
        <f>IFERROR(__xludf.DUMMYFUNCTION("IF(ISNA(sum(filter(
Master_Mapping_Sheet!$E$2:$E$3143, ISNUMBER(
Master_Mapping_Sheet!$E$2:$E$3143),
Master_Mapping_Sheet!$C$2:$C$3143=AJ$1,
Master_Mapping_Sheet!$H$2:$H$3143=$A6))/sum(filter(
Master_Mapping_Sheet!$E$2:$E$3143, ISNUMBER(
Master_Mapping_Sh"&amp;"eet!$E$2:$E$3143),
Master_Mapping_Sheet!$C$2:$C$3143=AJ$1))), 0, sum(filter(
Master_Mapping_Sheet!$E$2:$E$3143, ISNUMBER(
Master_Mapping_Sheet!$E$2:$E$3143),
Master_Mapping_Sheet!$C$2:$C$3143=AJ$1,
Master_Mapping_Sheet!$H$2:$H$3143=$A6))/sum(filter(
Maste"&amp;"r_Mapping_Sheet!$E$2:$E$3143, ISNUMBER(
Master_Mapping_Sheet!$E$2:$E$3143),
Master_Mapping_Sheet!$C$2:$C$3143=AJ$1)))"),0.0)</f>
        <v>0</v>
      </c>
      <c r="AK6" s="34">
        <f>IFERROR(__xludf.DUMMYFUNCTION("IF(ISNA(sum(filter(
Master_Mapping_Sheet!$E$2:$E$3143, ISNUMBER(
Master_Mapping_Sheet!$E$2:$E$3143),
Master_Mapping_Sheet!$C$2:$C$3143=AK$1,
Master_Mapping_Sheet!$H$2:$H$3143=$A6))/sum(filter(
Master_Mapping_Sheet!$E$2:$E$3143, ISNUMBER(
Master_Mapping_Sh"&amp;"eet!$E$2:$E$3143),
Master_Mapping_Sheet!$C$2:$C$3143=AK$1))), 0, sum(filter(
Master_Mapping_Sheet!$E$2:$E$3143, ISNUMBER(
Master_Mapping_Sheet!$E$2:$E$3143),
Master_Mapping_Sheet!$C$2:$C$3143=AK$1,
Master_Mapping_Sheet!$H$2:$H$3143=$A6))/sum(filter(
Maste"&amp;"r_Mapping_Sheet!$E$2:$E$3143, ISNUMBER(
Master_Mapping_Sheet!$E$2:$E$3143),
Master_Mapping_Sheet!$C$2:$C$3143=AK$1)))"),0.0)</f>
        <v>0</v>
      </c>
      <c r="AL6" s="34">
        <f>IFERROR(__xludf.DUMMYFUNCTION("IF(ISNA(sum(filter(
Master_Mapping_Sheet!$E$2:$E$3143, ISNUMBER(
Master_Mapping_Sheet!$E$2:$E$3143),
Master_Mapping_Sheet!$C$2:$C$3143=AL$1,
Master_Mapping_Sheet!$H$2:$H$3143=$A6))/sum(filter(
Master_Mapping_Sheet!$E$2:$E$3143, ISNUMBER(
Master_Mapping_Sh"&amp;"eet!$E$2:$E$3143),
Master_Mapping_Sheet!$C$2:$C$3143=AL$1))), 0, sum(filter(
Master_Mapping_Sheet!$E$2:$E$3143, ISNUMBER(
Master_Mapping_Sheet!$E$2:$E$3143),
Master_Mapping_Sheet!$C$2:$C$3143=AL$1,
Master_Mapping_Sheet!$H$2:$H$3143=$A6))/sum(filter(
Maste"&amp;"r_Mapping_Sheet!$E$2:$E$3143, ISNUMBER(
Master_Mapping_Sheet!$E$2:$E$3143),
Master_Mapping_Sheet!$C$2:$C$3143=AL$1)))"),0.0)</f>
        <v>0</v>
      </c>
      <c r="AM6" s="34">
        <f>IFERROR(__xludf.DUMMYFUNCTION("IF(ISNA(sum(filter(
Master_Mapping_Sheet!$E$2:$E$3143, ISNUMBER(
Master_Mapping_Sheet!$E$2:$E$3143),
Master_Mapping_Sheet!$C$2:$C$3143=AM$1,
Master_Mapping_Sheet!$H$2:$H$3143=$A6))/sum(filter(
Master_Mapping_Sheet!$E$2:$E$3143, ISNUMBER(
Master_Mapping_Sh"&amp;"eet!$E$2:$E$3143),
Master_Mapping_Sheet!$C$2:$C$3143=AM$1))), 0, sum(filter(
Master_Mapping_Sheet!$E$2:$E$3143, ISNUMBER(
Master_Mapping_Sheet!$E$2:$E$3143),
Master_Mapping_Sheet!$C$2:$C$3143=AM$1,
Master_Mapping_Sheet!$H$2:$H$3143=$A6))/sum(filter(
Maste"&amp;"r_Mapping_Sheet!$E$2:$E$3143, ISNUMBER(
Master_Mapping_Sheet!$E$2:$E$3143),
Master_Mapping_Sheet!$C$2:$C$3143=AM$1)))"),0.0)</f>
        <v>0</v>
      </c>
      <c r="AN6" s="34">
        <f>IFERROR(__xludf.DUMMYFUNCTION("IF(ISNA(sum(filter(
Master_Mapping_Sheet!$E$2:$E$3143, ISNUMBER(
Master_Mapping_Sheet!$E$2:$E$3143),
Master_Mapping_Sheet!$C$2:$C$3143=AN$1,
Master_Mapping_Sheet!$H$2:$H$3143=$A6))/sum(filter(
Master_Mapping_Sheet!$E$2:$E$3143, ISNUMBER(
Master_Mapping_Sh"&amp;"eet!$E$2:$E$3143),
Master_Mapping_Sheet!$C$2:$C$3143=AN$1))), 0, sum(filter(
Master_Mapping_Sheet!$E$2:$E$3143, ISNUMBER(
Master_Mapping_Sheet!$E$2:$E$3143),
Master_Mapping_Sheet!$C$2:$C$3143=AN$1,
Master_Mapping_Sheet!$H$2:$H$3143=$A6))/sum(filter(
Maste"&amp;"r_Mapping_Sheet!$E$2:$E$3143, ISNUMBER(
Master_Mapping_Sheet!$E$2:$E$3143),
Master_Mapping_Sheet!$C$2:$C$3143=AN$1)))"),0.0)</f>
        <v>0</v>
      </c>
      <c r="AO6" s="34">
        <f>IFERROR(__xludf.DUMMYFUNCTION("IF(ISNA(sum(filter(
Master_Mapping_Sheet!$E$2:$E$3143, ISNUMBER(
Master_Mapping_Sheet!$E$2:$E$3143),
Master_Mapping_Sheet!$C$2:$C$3143=AO$1,
Master_Mapping_Sheet!$H$2:$H$3143=$A6))/sum(filter(
Master_Mapping_Sheet!$E$2:$E$3143, ISNUMBER(
Master_Mapping_Sh"&amp;"eet!$E$2:$E$3143),
Master_Mapping_Sheet!$C$2:$C$3143=AO$1))), 0, sum(filter(
Master_Mapping_Sheet!$E$2:$E$3143, ISNUMBER(
Master_Mapping_Sheet!$E$2:$E$3143),
Master_Mapping_Sheet!$C$2:$C$3143=AO$1,
Master_Mapping_Sheet!$H$2:$H$3143=$A6))/sum(filter(
Maste"&amp;"r_Mapping_Sheet!$E$2:$E$3143, ISNUMBER(
Master_Mapping_Sheet!$E$2:$E$3143),
Master_Mapping_Sheet!$C$2:$C$3143=AO$1)))"),0.0)</f>
        <v>0</v>
      </c>
      <c r="AP6" s="34">
        <f>IFERROR(__xludf.DUMMYFUNCTION("IF(ISNA(sum(filter(
Master_Mapping_Sheet!$E$2:$E$3143, ISNUMBER(
Master_Mapping_Sheet!$E$2:$E$3143),
Master_Mapping_Sheet!$C$2:$C$3143=AP$1,
Master_Mapping_Sheet!$H$2:$H$3143=$A6))/sum(filter(
Master_Mapping_Sheet!$E$2:$E$3143, ISNUMBER(
Master_Mapping_Sh"&amp;"eet!$E$2:$E$3143),
Master_Mapping_Sheet!$C$2:$C$3143=AP$1))), 0, sum(filter(
Master_Mapping_Sheet!$E$2:$E$3143, ISNUMBER(
Master_Mapping_Sheet!$E$2:$E$3143),
Master_Mapping_Sheet!$C$2:$C$3143=AP$1,
Master_Mapping_Sheet!$H$2:$H$3143=$A6))/sum(filter(
Maste"&amp;"r_Mapping_Sheet!$E$2:$E$3143, ISNUMBER(
Master_Mapping_Sheet!$E$2:$E$3143),
Master_Mapping_Sheet!$C$2:$C$3143=AP$1)))"),0.0)</f>
        <v>0</v>
      </c>
      <c r="AQ6" s="34">
        <f>IFERROR(__xludf.DUMMYFUNCTION("IF(ISNA(sum(filter(
Master_Mapping_Sheet!$E$2:$E$3143, ISNUMBER(
Master_Mapping_Sheet!$E$2:$E$3143),
Master_Mapping_Sheet!$C$2:$C$3143=AQ$1,
Master_Mapping_Sheet!$H$2:$H$3143=$A6))/sum(filter(
Master_Mapping_Sheet!$E$2:$E$3143, ISNUMBER(
Master_Mapping_Sh"&amp;"eet!$E$2:$E$3143),
Master_Mapping_Sheet!$C$2:$C$3143=AQ$1))), 0, sum(filter(
Master_Mapping_Sheet!$E$2:$E$3143, ISNUMBER(
Master_Mapping_Sheet!$E$2:$E$3143),
Master_Mapping_Sheet!$C$2:$C$3143=AQ$1,
Master_Mapping_Sheet!$H$2:$H$3143=$A6))/sum(filter(
Maste"&amp;"r_Mapping_Sheet!$E$2:$E$3143, ISNUMBER(
Master_Mapping_Sheet!$E$2:$E$3143),
Master_Mapping_Sheet!$C$2:$C$3143=AQ$1)))"),0.0)</f>
        <v>0</v>
      </c>
      <c r="AR6" s="34">
        <f>IFERROR(__xludf.DUMMYFUNCTION("IF(ISNA(sum(filter(
Master_Mapping_Sheet!$E$2:$E$3143, ISNUMBER(
Master_Mapping_Sheet!$E$2:$E$3143),
Master_Mapping_Sheet!$C$2:$C$3143=AR$1,
Master_Mapping_Sheet!$H$2:$H$3143=$A6))/sum(filter(
Master_Mapping_Sheet!$E$2:$E$3143, ISNUMBER(
Master_Mapping_Sh"&amp;"eet!$E$2:$E$3143),
Master_Mapping_Sheet!$C$2:$C$3143=AR$1))), 0, sum(filter(
Master_Mapping_Sheet!$E$2:$E$3143, ISNUMBER(
Master_Mapping_Sheet!$E$2:$E$3143),
Master_Mapping_Sheet!$C$2:$C$3143=AR$1,
Master_Mapping_Sheet!$H$2:$H$3143=$A6))/sum(filter(
Maste"&amp;"r_Mapping_Sheet!$E$2:$E$3143, ISNUMBER(
Master_Mapping_Sheet!$E$2:$E$3143),
Master_Mapping_Sheet!$C$2:$C$3143=AR$1)))"),0.0)</f>
        <v>0</v>
      </c>
      <c r="AS6" s="34">
        <f>IFERROR(__xludf.DUMMYFUNCTION("IF(ISNA(sum(filter(
Master_Mapping_Sheet!$E$2:$E$3143, ISNUMBER(
Master_Mapping_Sheet!$E$2:$E$3143),
Master_Mapping_Sheet!$C$2:$C$3143=AS$1,
Master_Mapping_Sheet!$H$2:$H$3143=$A6))/sum(filter(
Master_Mapping_Sheet!$E$2:$E$3143, ISNUMBER(
Master_Mapping_Sh"&amp;"eet!$E$2:$E$3143),
Master_Mapping_Sheet!$C$2:$C$3143=AS$1))), 0, sum(filter(
Master_Mapping_Sheet!$E$2:$E$3143, ISNUMBER(
Master_Mapping_Sheet!$E$2:$E$3143),
Master_Mapping_Sheet!$C$2:$C$3143=AS$1,
Master_Mapping_Sheet!$H$2:$H$3143=$A6))/sum(filter(
Maste"&amp;"r_Mapping_Sheet!$E$2:$E$3143, ISNUMBER(
Master_Mapping_Sheet!$E$2:$E$3143),
Master_Mapping_Sheet!$C$2:$C$3143=AS$1)))"),0.0)</f>
        <v>0</v>
      </c>
      <c r="AT6" s="34">
        <f>IFERROR(__xludf.DUMMYFUNCTION("IF(ISNA(sum(filter(
Master_Mapping_Sheet!$E$2:$E$3143, ISNUMBER(
Master_Mapping_Sheet!$E$2:$E$3143),
Master_Mapping_Sheet!$C$2:$C$3143=AT$1,
Master_Mapping_Sheet!$H$2:$H$3143=$A6))/sum(filter(
Master_Mapping_Sheet!$E$2:$E$3143, ISNUMBER(
Master_Mapping_Sh"&amp;"eet!$E$2:$E$3143),
Master_Mapping_Sheet!$C$2:$C$3143=AT$1))), 0, sum(filter(
Master_Mapping_Sheet!$E$2:$E$3143, ISNUMBER(
Master_Mapping_Sheet!$E$2:$E$3143),
Master_Mapping_Sheet!$C$2:$C$3143=AT$1,
Master_Mapping_Sheet!$H$2:$H$3143=$A6))/sum(filter(
Maste"&amp;"r_Mapping_Sheet!$E$2:$E$3143, ISNUMBER(
Master_Mapping_Sheet!$E$2:$E$3143),
Master_Mapping_Sheet!$C$2:$C$3143=AT$1)))"),0.0)</f>
        <v>0</v>
      </c>
      <c r="AU6" s="34">
        <f>IFERROR(__xludf.DUMMYFUNCTION("IF(ISNA(sum(filter(
Master_Mapping_Sheet!$E$2:$E$3143, ISNUMBER(
Master_Mapping_Sheet!$E$2:$E$3143),
Master_Mapping_Sheet!$C$2:$C$3143=AU$1,
Master_Mapping_Sheet!$H$2:$H$3143=$A6))/sum(filter(
Master_Mapping_Sheet!$E$2:$E$3143, ISNUMBER(
Master_Mapping_Sh"&amp;"eet!$E$2:$E$3143),
Master_Mapping_Sheet!$C$2:$C$3143=AU$1))), 0, sum(filter(
Master_Mapping_Sheet!$E$2:$E$3143, ISNUMBER(
Master_Mapping_Sheet!$E$2:$E$3143),
Master_Mapping_Sheet!$C$2:$C$3143=AU$1,
Master_Mapping_Sheet!$H$2:$H$3143=$A6))/sum(filter(
Maste"&amp;"r_Mapping_Sheet!$E$2:$E$3143, ISNUMBER(
Master_Mapping_Sheet!$E$2:$E$3143),
Master_Mapping_Sheet!$C$2:$C$3143=AU$1)))"),0.0)</f>
        <v>0</v>
      </c>
      <c r="AV6" s="34">
        <f>IFERROR(__xludf.DUMMYFUNCTION("IF(ISNA(sum(filter(
Master_Mapping_Sheet!$E$2:$E$3143, ISNUMBER(
Master_Mapping_Sheet!$E$2:$E$3143),
Master_Mapping_Sheet!$C$2:$C$3143=AV$1,
Master_Mapping_Sheet!$H$2:$H$3143=$A6))/sum(filter(
Master_Mapping_Sheet!$E$2:$E$3143, ISNUMBER(
Master_Mapping_Sh"&amp;"eet!$E$2:$E$3143),
Master_Mapping_Sheet!$C$2:$C$3143=AV$1))), 0, sum(filter(
Master_Mapping_Sheet!$E$2:$E$3143, ISNUMBER(
Master_Mapping_Sheet!$E$2:$E$3143),
Master_Mapping_Sheet!$C$2:$C$3143=AV$1,
Master_Mapping_Sheet!$H$2:$H$3143=$A6))/sum(filter(
Maste"&amp;"r_Mapping_Sheet!$E$2:$E$3143, ISNUMBER(
Master_Mapping_Sheet!$E$2:$E$3143),
Master_Mapping_Sheet!$C$2:$C$3143=AV$1)))"),0.0)</f>
        <v>0</v>
      </c>
      <c r="AW6" s="34">
        <f>IFERROR(__xludf.DUMMYFUNCTION("IF(ISNA(sum(filter(
Master_Mapping_Sheet!$E$2:$E$3143, ISNUMBER(
Master_Mapping_Sheet!$E$2:$E$3143),
Master_Mapping_Sheet!$C$2:$C$3143=AW$1,
Master_Mapping_Sheet!$H$2:$H$3143=$A6))/sum(filter(
Master_Mapping_Sheet!$E$2:$E$3143, ISNUMBER(
Master_Mapping_Sh"&amp;"eet!$E$2:$E$3143),
Master_Mapping_Sheet!$C$2:$C$3143=AW$1))), 0, sum(filter(
Master_Mapping_Sheet!$E$2:$E$3143, ISNUMBER(
Master_Mapping_Sheet!$E$2:$E$3143),
Master_Mapping_Sheet!$C$2:$C$3143=AW$1,
Master_Mapping_Sheet!$H$2:$H$3143=$A6))/sum(filter(
Maste"&amp;"r_Mapping_Sheet!$E$2:$E$3143, ISNUMBER(
Master_Mapping_Sheet!$E$2:$E$3143),
Master_Mapping_Sheet!$C$2:$C$3143=AW$1)))"),0.0)</f>
        <v>0</v>
      </c>
      <c r="AX6" s="34">
        <f>IFERROR(__xludf.DUMMYFUNCTION("IF(ISNA(sum(filter(
Master_Mapping_Sheet!$E$2:$E$3143, ISNUMBER(
Master_Mapping_Sheet!$E$2:$E$3143),
Master_Mapping_Sheet!$C$2:$C$3143=AX$1,
Master_Mapping_Sheet!$H$2:$H$3143=$A6))/sum(filter(
Master_Mapping_Sheet!$E$2:$E$3143, ISNUMBER(
Master_Mapping_Sh"&amp;"eet!$E$2:$E$3143),
Master_Mapping_Sheet!$C$2:$C$3143=AX$1))), 0, sum(filter(
Master_Mapping_Sheet!$E$2:$E$3143, ISNUMBER(
Master_Mapping_Sheet!$E$2:$E$3143),
Master_Mapping_Sheet!$C$2:$C$3143=AX$1,
Master_Mapping_Sheet!$H$2:$H$3143=$A6))/sum(filter(
Maste"&amp;"r_Mapping_Sheet!$E$2:$E$3143, ISNUMBER(
Master_Mapping_Sheet!$E$2:$E$3143),
Master_Mapping_Sheet!$C$2:$C$3143=AX$1)))"),0.0)</f>
        <v>0</v>
      </c>
      <c r="AY6" s="34">
        <f>IFERROR(__xludf.DUMMYFUNCTION("IF(ISNA(sum(filter(
Master_Mapping_Sheet!$E$2:$E$3143, ISNUMBER(
Master_Mapping_Sheet!$E$2:$E$3143),
Master_Mapping_Sheet!$C$2:$C$3143=AY$1,
Master_Mapping_Sheet!$H$2:$H$3143=$A6))/sum(filter(
Master_Mapping_Sheet!$E$2:$E$3143, ISNUMBER(
Master_Mapping_Sh"&amp;"eet!$E$2:$E$3143),
Master_Mapping_Sheet!$C$2:$C$3143=AY$1))), 0, sum(filter(
Master_Mapping_Sheet!$E$2:$E$3143, ISNUMBER(
Master_Mapping_Sheet!$E$2:$E$3143),
Master_Mapping_Sheet!$C$2:$C$3143=AY$1,
Master_Mapping_Sheet!$H$2:$H$3143=$A6))/sum(filter(
Maste"&amp;"r_Mapping_Sheet!$E$2:$E$3143, ISNUMBER(
Master_Mapping_Sheet!$E$2:$E$3143),
Master_Mapping_Sheet!$C$2:$C$3143=AY$1)))"),0.0)</f>
        <v>0</v>
      </c>
      <c r="AZ6" s="34">
        <f>IFERROR(__xludf.DUMMYFUNCTION("IF(ISNA(sum(filter(
Master_Mapping_Sheet!$E$2:$E$3143, ISNUMBER(
Master_Mapping_Sheet!$E$2:$E$3143),
Master_Mapping_Sheet!$C$2:$C$3143=AZ$1,
Master_Mapping_Sheet!$H$2:$H$3143=$A6))/sum(filter(
Master_Mapping_Sheet!$E$2:$E$3143, ISNUMBER(
Master_Mapping_Sh"&amp;"eet!$E$2:$E$3143),
Master_Mapping_Sheet!$C$2:$C$3143=AZ$1))), 0, sum(filter(
Master_Mapping_Sheet!$E$2:$E$3143, ISNUMBER(
Master_Mapping_Sheet!$E$2:$E$3143),
Master_Mapping_Sheet!$C$2:$C$3143=AZ$1,
Master_Mapping_Sheet!$H$2:$H$3143=$A6))/sum(filter(
Maste"&amp;"r_Mapping_Sheet!$E$2:$E$3143, ISNUMBER(
Master_Mapping_Sheet!$E$2:$E$3143),
Master_Mapping_Sheet!$C$2:$C$3143=AZ$1)))"),0.0)</f>
        <v>0</v>
      </c>
    </row>
    <row r="7" ht="15.75" customHeight="1">
      <c r="A7" s="34" t="s">
        <v>3974</v>
      </c>
      <c r="B7" s="34">
        <f>IFERROR(__xludf.DUMMYFUNCTION("IF(ISNA(sum(filter(
Master_Mapping_Sheet!$E$2:$E$3143, ISNUMBER(
Master_Mapping_Sheet!$E$2:$E$3143),
Master_Mapping_Sheet!$C$2:$C$3143=B$1,
Master_Mapping_Sheet!$H$2:$H$3143=$A7))/sum(filter(
Master_Mapping_Sheet!$E$2:$E$3143, ISNUMBER(
Master_Mapping_She"&amp;"et!$E$2:$E$3143),
Master_Mapping_Sheet!$C$2:$C$3143=B$1))), 0, sum(filter(
Master_Mapping_Sheet!$E$2:$E$3143, ISNUMBER(
Master_Mapping_Sheet!$E$2:$E$3143),
Master_Mapping_Sheet!$C$2:$C$3143=B$1,
Master_Mapping_Sheet!$H$2:$H$3143=$A7))/sum(filter(
Master_M"&amp;"apping_Sheet!$E$2:$E$3143, ISNUMBER(
Master_Mapping_Sheet!$E$2:$E$3143),
Master_Mapping_Sheet!$C$2:$C$3143=B$1)))"),0.0)</f>
        <v>0</v>
      </c>
      <c r="C7" s="34">
        <f>IFERROR(__xludf.DUMMYFUNCTION("IF(ISNA(sum(filter(
Master_Mapping_Sheet!$E$2:$E$3143, ISNUMBER(
Master_Mapping_Sheet!$E$2:$E$3143),
Master_Mapping_Sheet!$C$2:$C$3143=C$1,
Master_Mapping_Sheet!$H$2:$H$3143=$A7))/sum(filter(
Master_Mapping_Sheet!$E$2:$E$3143, ISNUMBER(
Master_Mapping_She"&amp;"et!$E$2:$E$3143),
Master_Mapping_Sheet!$C$2:$C$3143=C$1))), 0, sum(filter(
Master_Mapping_Sheet!$E$2:$E$3143, ISNUMBER(
Master_Mapping_Sheet!$E$2:$E$3143),
Master_Mapping_Sheet!$C$2:$C$3143=C$1,
Master_Mapping_Sheet!$H$2:$H$3143=$A7))/sum(filter(
Master_M"&amp;"apping_Sheet!$E$2:$E$3143, ISNUMBER(
Master_Mapping_Sheet!$E$2:$E$3143),
Master_Mapping_Sheet!$C$2:$C$3143=C$1)))"),0.0)</f>
        <v>0</v>
      </c>
      <c r="D7" s="34">
        <f>IFERROR(__xludf.DUMMYFUNCTION("IF(ISNA(sum(filter(
Master_Mapping_Sheet!$E$2:$E$3143, ISNUMBER(
Master_Mapping_Sheet!$E$2:$E$3143),
Master_Mapping_Sheet!$C$2:$C$3143=D$1,
Master_Mapping_Sheet!$H$2:$H$3143=$A7))/sum(filter(
Master_Mapping_Sheet!$E$2:$E$3143, ISNUMBER(
Master_Mapping_She"&amp;"et!$E$2:$E$3143),
Master_Mapping_Sheet!$C$2:$C$3143=D$1))), 0, sum(filter(
Master_Mapping_Sheet!$E$2:$E$3143, ISNUMBER(
Master_Mapping_Sheet!$E$2:$E$3143),
Master_Mapping_Sheet!$C$2:$C$3143=D$1,
Master_Mapping_Sheet!$H$2:$H$3143=$A7))/sum(filter(
Master_M"&amp;"apping_Sheet!$E$2:$E$3143, ISNUMBER(
Master_Mapping_Sheet!$E$2:$E$3143),
Master_Mapping_Sheet!$C$2:$C$3143=D$1)))"),0.0)</f>
        <v>0</v>
      </c>
      <c r="E7" s="34">
        <f>IFERROR(__xludf.DUMMYFUNCTION("IF(ISNA(sum(filter(
Master_Mapping_Sheet!$E$2:$E$3143, ISNUMBER(
Master_Mapping_Sheet!$E$2:$E$3143),
Master_Mapping_Sheet!$C$2:$C$3143=E$1,
Master_Mapping_Sheet!$H$2:$H$3143=$A7))/sum(filter(
Master_Mapping_Sheet!$E$2:$E$3143, ISNUMBER(
Master_Mapping_She"&amp;"et!$E$2:$E$3143),
Master_Mapping_Sheet!$C$2:$C$3143=E$1))), 0, sum(filter(
Master_Mapping_Sheet!$E$2:$E$3143, ISNUMBER(
Master_Mapping_Sheet!$E$2:$E$3143),
Master_Mapping_Sheet!$C$2:$C$3143=E$1,
Master_Mapping_Sheet!$H$2:$H$3143=$A7))/sum(filter(
Master_M"&amp;"apping_Sheet!$E$2:$E$3143, ISNUMBER(
Master_Mapping_Sheet!$E$2:$E$3143),
Master_Mapping_Sheet!$C$2:$C$3143=E$1)))"),0.6550578733735541)</f>
        <v>0.6550578734</v>
      </c>
      <c r="F7" s="34">
        <f>IFERROR(__xludf.DUMMYFUNCTION("IF(ISNA(sum(filter(
Master_Mapping_Sheet!$E$2:$E$3143, ISNUMBER(
Master_Mapping_Sheet!$E$2:$E$3143),
Master_Mapping_Sheet!$C$2:$C$3143=F$1,
Master_Mapping_Sheet!$H$2:$H$3143=$A7))/sum(filter(
Master_Mapping_Sheet!$E$2:$E$3143, ISNUMBER(
Master_Mapping_She"&amp;"et!$E$2:$E$3143),
Master_Mapping_Sheet!$C$2:$C$3143=F$1))), 0, sum(filter(
Master_Mapping_Sheet!$E$2:$E$3143, ISNUMBER(
Master_Mapping_Sheet!$E$2:$E$3143),
Master_Mapping_Sheet!$C$2:$C$3143=F$1,
Master_Mapping_Sheet!$H$2:$H$3143=$A7))/sum(filter(
Master_M"&amp;"apping_Sheet!$E$2:$E$3143, ISNUMBER(
Master_Mapping_Sheet!$E$2:$E$3143),
Master_Mapping_Sheet!$C$2:$C$3143=F$1)))"),0.0)</f>
        <v>0</v>
      </c>
      <c r="G7" s="34">
        <f>IFERROR(__xludf.DUMMYFUNCTION("IF(ISNA(sum(filter(
Master_Mapping_Sheet!$E$2:$E$3143, ISNUMBER(
Master_Mapping_Sheet!$E$2:$E$3143),
Master_Mapping_Sheet!$C$2:$C$3143=G$1,
Master_Mapping_Sheet!$H$2:$H$3143=$A7))/sum(filter(
Master_Mapping_Sheet!$E$2:$E$3143, ISNUMBER(
Master_Mapping_She"&amp;"et!$E$2:$E$3143),
Master_Mapping_Sheet!$C$2:$C$3143=G$1))), 0, sum(filter(
Master_Mapping_Sheet!$E$2:$E$3143, ISNUMBER(
Master_Mapping_Sheet!$E$2:$E$3143),
Master_Mapping_Sheet!$C$2:$C$3143=G$1,
Master_Mapping_Sheet!$H$2:$H$3143=$A7))/sum(filter(
Master_M"&amp;"apping_Sheet!$E$2:$E$3143, ISNUMBER(
Master_Mapping_Sheet!$E$2:$E$3143),
Master_Mapping_Sheet!$C$2:$C$3143=G$1)))"),0.0)</f>
        <v>0</v>
      </c>
      <c r="H7" s="34">
        <f>IFERROR(__xludf.DUMMYFUNCTION("IF(ISNA(sum(filter(
Master_Mapping_Sheet!$E$2:$E$3143, ISNUMBER(
Master_Mapping_Sheet!$E$2:$E$3143),
Master_Mapping_Sheet!$C$2:$C$3143=H$1,
Master_Mapping_Sheet!$H$2:$H$3143=$A7))/sum(filter(
Master_Mapping_Sheet!$E$2:$E$3143, ISNUMBER(
Master_Mapping_She"&amp;"et!$E$2:$E$3143),
Master_Mapping_Sheet!$C$2:$C$3143=H$1))), 0, sum(filter(
Master_Mapping_Sheet!$E$2:$E$3143, ISNUMBER(
Master_Mapping_Sheet!$E$2:$E$3143),
Master_Mapping_Sheet!$C$2:$C$3143=H$1,
Master_Mapping_Sheet!$H$2:$H$3143=$A7))/sum(filter(
Master_M"&amp;"apping_Sheet!$E$2:$E$3143, ISNUMBER(
Master_Mapping_Sheet!$E$2:$E$3143),
Master_Mapping_Sheet!$C$2:$C$3143=H$1)))"),0.0)</f>
        <v>0</v>
      </c>
      <c r="I7" s="34">
        <f>IFERROR(__xludf.DUMMYFUNCTION("IF(ISNA(sum(filter(
Master_Mapping_Sheet!$E$2:$E$3143, ISNUMBER(
Master_Mapping_Sheet!$E$2:$E$3143),
Master_Mapping_Sheet!$C$2:$C$3143=I$1,
Master_Mapping_Sheet!$H$2:$H$3143=$A7))/sum(filter(
Master_Mapping_Sheet!$E$2:$E$3143, ISNUMBER(
Master_Mapping_She"&amp;"et!$E$2:$E$3143),
Master_Mapping_Sheet!$C$2:$C$3143=I$1))), 0, sum(filter(
Master_Mapping_Sheet!$E$2:$E$3143, ISNUMBER(
Master_Mapping_Sheet!$E$2:$E$3143),
Master_Mapping_Sheet!$C$2:$C$3143=I$1,
Master_Mapping_Sheet!$H$2:$H$3143=$A7))/sum(filter(
Master_M"&amp;"apping_Sheet!$E$2:$E$3143, ISNUMBER(
Master_Mapping_Sheet!$E$2:$E$3143),
Master_Mapping_Sheet!$C$2:$C$3143=I$1)))"),0.0)</f>
        <v>0</v>
      </c>
      <c r="J7" s="34">
        <f>IFERROR(__xludf.DUMMYFUNCTION("IF(ISNA(sum(filter(
Master_Mapping_Sheet!$E$2:$E$3143, ISNUMBER(
Master_Mapping_Sheet!$E$2:$E$3143),
Master_Mapping_Sheet!$C$2:$C$3143=J$1,
Master_Mapping_Sheet!$H$2:$H$3143=$A7))/sum(filter(
Master_Mapping_Sheet!$E$2:$E$3143, ISNUMBER(
Master_Mapping_She"&amp;"et!$E$2:$E$3143),
Master_Mapping_Sheet!$C$2:$C$3143=J$1))), 0, sum(filter(
Master_Mapping_Sheet!$E$2:$E$3143, ISNUMBER(
Master_Mapping_Sheet!$E$2:$E$3143),
Master_Mapping_Sheet!$C$2:$C$3143=J$1,
Master_Mapping_Sheet!$H$2:$H$3143=$A7))/sum(filter(
Master_M"&amp;"apping_Sheet!$E$2:$E$3143, ISNUMBER(
Master_Mapping_Sheet!$E$2:$E$3143),
Master_Mapping_Sheet!$C$2:$C$3143=J$1)))"),0.0)</f>
        <v>0</v>
      </c>
      <c r="K7" s="34">
        <f>IFERROR(__xludf.DUMMYFUNCTION("IF(ISNA(sum(filter(
Master_Mapping_Sheet!$E$2:$E$3143, ISNUMBER(
Master_Mapping_Sheet!$E$2:$E$3143),
Master_Mapping_Sheet!$C$2:$C$3143=K$1,
Master_Mapping_Sheet!$H$2:$H$3143=$A7))/sum(filter(
Master_Mapping_Sheet!$E$2:$E$3143, ISNUMBER(
Master_Mapping_She"&amp;"et!$E$2:$E$3143),
Master_Mapping_Sheet!$C$2:$C$3143=K$1))), 0, sum(filter(
Master_Mapping_Sheet!$E$2:$E$3143, ISNUMBER(
Master_Mapping_Sheet!$E$2:$E$3143),
Master_Mapping_Sheet!$C$2:$C$3143=K$1,
Master_Mapping_Sheet!$H$2:$H$3143=$A7))/sum(filter(
Master_M"&amp;"apping_Sheet!$E$2:$E$3143, ISNUMBER(
Master_Mapping_Sheet!$E$2:$E$3143),
Master_Mapping_Sheet!$C$2:$C$3143=K$1)))"),0.0)</f>
        <v>0</v>
      </c>
      <c r="L7" s="34">
        <f>IFERROR(__xludf.DUMMYFUNCTION("IF(ISNA(sum(filter(
Master_Mapping_Sheet!$E$2:$E$3143, ISNUMBER(
Master_Mapping_Sheet!$E$2:$E$3143),
Master_Mapping_Sheet!$C$2:$C$3143=L$1,
Master_Mapping_Sheet!$H$2:$H$3143=$A7))/sum(filter(
Master_Mapping_Sheet!$E$2:$E$3143, ISNUMBER(
Master_Mapping_She"&amp;"et!$E$2:$E$3143),
Master_Mapping_Sheet!$C$2:$C$3143=L$1))), 0, sum(filter(
Master_Mapping_Sheet!$E$2:$E$3143, ISNUMBER(
Master_Mapping_Sheet!$E$2:$E$3143),
Master_Mapping_Sheet!$C$2:$C$3143=L$1,
Master_Mapping_Sheet!$H$2:$H$3143=$A7))/sum(filter(
Master_M"&amp;"apping_Sheet!$E$2:$E$3143, ISNUMBER(
Master_Mapping_Sheet!$E$2:$E$3143),
Master_Mapping_Sheet!$C$2:$C$3143=L$1)))"),0.0)</f>
        <v>0</v>
      </c>
      <c r="M7" s="34">
        <f>IFERROR(__xludf.DUMMYFUNCTION("IF(ISNA(sum(filter(
Master_Mapping_Sheet!$E$2:$E$3143, ISNUMBER(
Master_Mapping_Sheet!$E$2:$E$3143),
Master_Mapping_Sheet!$C$2:$C$3143=M$1,
Master_Mapping_Sheet!$H$2:$H$3143=$A7))/sum(filter(
Master_Mapping_Sheet!$E$2:$E$3143, ISNUMBER(
Master_Mapping_She"&amp;"et!$E$2:$E$3143),
Master_Mapping_Sheet!$C$2:$C$3143=M$1))), 0, sum(filter(
Master_Mapping_Sheet!$E$2:$E$3143, ISNUMBER(
Master_Mapping_Sheet!$E$2:$E$3143),
Master_Mapping_Sheet!$C$2:$C$3143=M$1,
Master_Mapping_Sheet!$H$2:$H$3143=$A7))/sum(filter(
Master_M"&amp;"apping_Sheet!$E$2:$E$3143, ISNUMBER(
Master_Mapping_Sheet!$E$2:$E$3143),
Master_Mapping_Sheet!$C$2:$C$3143=M$1)))"),0.0)</f>
        <v>0</v>
      </c>
      <c r="N7" s="34">
        <f>IFERROR(__xludf.DUMMYFUNCTION("IF(ISNA(sum(filter(
Master_Mapping_Sheet!$E$2:$E$3143, ISNUMBER(
Master_Mapping_Sheet!$E$2:$E$3143),
Master_Mapping_Sheet!$C$2:$C$3143=N$1,
Master_Mapping_Sheet!$H$2:$H$3143=$A7))/sum(filter(
Master_Mapping_Sheet!$E$2:$E$3143, ISNUMBER(
Master_Mapping_She"&amp;"et!$E$2:$E$3143),
Master_Mapping_Sheet!$C$2:$C$3143=N$1))), 0, sum(filter(
Master_Mapping_Sheet!$E$2:$E$3143, ISNUMBER(
Master_Mapping_Sheet!$E$2:$E$3143),
Master_Mapping_Sheet!$C$2:$C$3143=N$1,
Master_Mapping_Sheet!$H$2:$H$3143=$A7))/sum(filter(
Master_M"&amp;"apping_Sheet!$E$2:$E$3143, ISNUMBER(
Master_Mapping_Sheet!$E$2:$E$3143),
Master_Mapping_Sheet!$C$2:$C$3143=N$1)))"),0.0)</f>
        <v>0</v>
      </c>
      <c r="O7" s="34">
        <f>IFERROR(__xludf.DUMMYFUNCTION("IF(ISNA(sum(filter(
Master_Mapping_Sheet!$E$2:$E$3143, ISNUMBER(
Master_Mapping_Sheet!$E$2:$E$3143),
Master_Mapping_Sheet!$C$2:$C$3143=O$1,
Master_Mapping_Sheet!$H$2:$H$3143=$A7))/sum(filter(
Master_Mapping_Sheet!$E$2:$E$3143, ISNUMBER(
Master_Mapping_She"&amp;"et!$E$2:$E$3143),
Master_Mapping_Sheet!$C$2:$C$3143=O$1))), 0, sum(filter(
Master_Mapping_Sheet!$E$2:$E$3143, ISNUMBER(
Master_Mapping_Sheet!$E$2:$E$3143),
Master_Mapping_Sheet!$C$2:$C$3143=O$1,
Master_Mapping_Sheet!$H$2:$H$3143=$A7))/sum(filter(
Master_M"&amp;"apping_Sheet!$E$2:$E$3143, ISNUMBER(
Master_Mapping_Sheet!$E$2:$E$3143),
Master_Mapping_Sheet!$C$2:$C$3143=O$1)))"),0.0)</f>
        <v>0</v>
      </c>
      <c r="P7" s="34">
        <f>IFERROR(__xludf.DUMMYFUNCTION("IF(ISNA(sum(filter(
Master_Mapping_Sheet!$E$2:$E$3143, ISNUMBER(
Master_Mapping_Sheet!$E$2:$E$3143),
Master_Mapping_Sheet!$C$2:$C$3143=P$1,
Master_Mapping_Sheet!$H$2:$H$3143=$A7))/sum(filter(
Master_Mapping_Sheet!$E$2:$E$3143, ISNUMBER(
Master_Mapping_She"&amp;"et!$E$2:$E$3143),
Master_Mapping_Sheet!$C$2:$C$3143=P$1))), 0, sum(filter(
Master_Mapping_Sheet!$E$2:$E$3143, ISNUMBER(
Master_Mapping_Sheet!$E$2:$E$3143),
Master_Mapping_Sheet!$C$2:$C$3143=P$1,
Master_Mapping_Sheet!$H$2:$H$3143=$A7))/sum(filter(
Master_M"&amp;"apping_Sheet!$E$2:$E$3143, ISNUMBER(
Master_Mapping_Sheet!$E$2:$E$3143),
Master_Mapping_Sheet!$C$2:$C$3143=P$1)))"),0.0)</f>
        <v>0</v>
      </c>
      <c r="Q7" s="34">
        <f>IFERROR(__xludf.DUMMYFUNCTION("IF(ISNA(sum(filter(
Master_Mapping_Sheet!$E$2:$E$3143, ISNUMBER(
Master_Mapping_Sheet!$E$2:$E$3143),
Master_Mapping_Sheet!$C$2:$C$3143=Q$1,
Master_Mapping_Sheet!$H$2:$H$3143=$A7))/sum(filter(
Master_Mapping_Sheet!$E$2:$E$3143, ISNUMBER(
Master_Mapping_She"&amp;"et!$E$2:$E$3143),
Master_Mapping_Sheet!$C$2:$C$3143=Q$1))), 0, sum(filter(
Master_Mapping_Sheet!$E$2:$E$3143, ISNUMBER(
Master_Mapping_Sheet!$E$2:$E$3143),
Master_Mapping_Sheet!$C$2:$C$3143=Q$1,
Master_Mapping_Sheet!$H$2:$H$3143=$A7))/sum(filter(
Master_M"&amp;"apping_Sheet!$E$2:$E$3143, ISNUMBER(
Master_Mapping_Sheet!$E$2:$E$3143),
Master_Mapping_Sheet!$C$2:$C$3143=Q$1)))"),0.0)</f>
        <v>0</v>
      </c>
      <c r="R7" s="34">
        <f>IFERROR(__xludf.DUMMYFUNCTION("IF(ISNA(sum(filter(
Master_Mapping_Sheet!$E$2:$E$3143, ISNUMBER(
Master_Mapping_Sheet!$E$2:$E$3143),
Master_Mapping_Sheet!$C$2:$C$3143=R$1,
Master_Mapping_Sheet!$H$2:$H$3143=$A7))/sum(filter(
Master_Mapping_Sheet!$E$2:$E$3143, ISNUMBER(
Master_Mapping_She"&amp;"et!$E$2:$E$3143),
Master_Mapping_Sheet!$C$2:$C$3143=R$1))), 0, sum(filter(
Master_Mapping_Sheet!$E$2:$E$3143, ISNUMBER(
Master_Mapping_Sheet!$E$2:$E$3143),
Master_Mapping_Sheet!$C$2:$C$3143=R$1,
Master_Mapping_Sheet!$H$2:$H$3143=$A7))/sum(filter(
Master_M"&amp;"apping_Sheet!$E$2:$E$3143, ISNUMBER(
Master_Mapping_Sheet!$E$2:$E$3143),
Master_Mapping_Sheet!$C$2:$C$3143=R$1)))"),0.0)</f>
        <v>0</v>
      </c>
      <c r="S7" s="34">
        <f>IFERROR(__xludf.DUMMYFUNCTION("IF(ISNA(sum(filter(
Master_Mapping_Sheet!$E$2:$E$3143, ISNUMBER(
Master_Mapping_Sheet!$E$2:$E$3143),
Master_Mapping_Sheet!$C$2:$C$3143=S$1,
Master_Mapping_Sheet!$H$2:$H$3143=$A7))/sum(filter(
Master_Mapping_Sheet!$E$2:$E$3143, ISNUMBER(
Master_Mapping_She"&amp;"et!$E$2:$E$3143),
Master_Mapping_Sheet!$C$2:$C$3143=S$1))), 0, sum(filter(
Master_Mapping_Sheet!$E$2:$E$3143, ISNUMBER(
Master_Mapping_Sheet!$E$2:$E$3143),
Master_Mapping_Sheet!$C$2:$C$3143=S$1,
Master_Mapping_Sheet!$H$2:$H$3143=$A7))/sum(filter(
Master_M"&amp;"apping_Sheet!$E$2:$E$3143, ISNUMBER(
Master_Mapping_Sheet!$E$2:$E$3143),
Master_Mapping_Sheet!$C$2:$C$3143=S$1)))"),0.0)</f>
        <v>0</v>
      </c>
      <c r="T7" s="34">
        <f>IFERROR(__xludf.DUMMYFUNCTION("IF(ISNA(sum(filter(
Master_Mapping_Sheet!$E$2:$E$3143, ISNUMBER(
Master_Mapping_Sheet!$E$2:$E$3143),
Master_Mapping_Sheet!$C$2:$C$3143=T$1,
Master_Mapping_Sheet!$H$2:$H$3143=$A7))/sum(filter(
Master_Mapping_Sheet!$E$2:$E$3143, ISNUMBER(
Master_Mapping_She"&amp;"et!$E$2:$E$3143),
Master_Mapping_Sheet!$C$2:$C$3143=T$1))), 0, sum(filter(
Master_Mapping_Sheet!$E$2:$E$3143, ISNUMBER(
Master_Mapping_Sheet!$E$2:$E$3143),
Master_Mapping_Sheet!$C$2:$C$3143=T$1,
Master_Mapping_Sheet!$H$2:$H$3143=$A7))/sum(filter(
Master_M"&amp;"apping_Sheet!$E$2:$E$3143, ISNUMBER(
Master_Mapping_Sheet!$E$2:$E$3143),
Master_Mapping_Sheet!$C$2:$C$3143=T$1)))"),0.8113722462688705)</f>
        <v>0.8113722463</v>
      </c>
      <c r="U7" s="34">
        <f>IFERROR(__xludf.DUMMYFUNCTION("IF(ISNA(sum(filter(
Master_Mapping_Sheet!$E$2:$E$3143, ISNUMBER(
Master_Mapping_Sheet!$E$2:$E$3143),
Master_Mapping_Sheet!$C$2:$C$3143=U$1,
Master_Mapping_Sheet!$H$2:$H$3143=$A7))/sum(filter(
Master_Mapping_Sheet!$E$2:$E$3143, ISNUMBER(
Master_Mapping_She"&amp;"et!$E$2:$E$3143),
Master_Mapping_Sheet!$C$2:$C$3143=U$1))), 0, sum(filter(
Master_Mapping_Sheet!$E$2:$E$3143, ISNUMBER(
Master_Mapping_Sheet!$E$2:$E$3143),
Master_Mapping_Sheet!$C$2:$C$3143=U$1,
Master_Mapping_Sheet!$H$2:$H$3143=$A7))/sum(filter(
Master_M"&amp;"apping_Sheet!$E$2:$E$3143, ISNUMBER(
Master_Mapping_Sheet!$E$2:$E$3143),
Master_Mapping_Sheet!$C$2:$C$3143=U$1)))"),0.0)</f>
        <v>0</v>
      </c>
      <c r="V7" s="34">
        <f>IFERROR(__xludf.DUMMYFUNCTION("IF(ISNA(sum(filter(
Master_Mapping_Sheet!$E$2:$E$3143, ISNUMBER(
Master_Mapping_Sheet!$E$2:$E$3143),
Master_Mapping_Sheet!$C$2:$C$3143=V$1,
Master_Mapping_Sheet!$H$2:$H$3143=$A7))/sum(filter(
Master_Mapping_Sheet!$E$2:$E$3143, ISNUMBER(
Master_Mapping_She"&amp;"et!$E$2:$E$3143),
Master_Mapping_Sheet!$C$2:$C$3143=V$1))), 0, sum(filter(
Master_Mapping_Sheet!$E$2:$E$3143, ISNUMBER(
Master_Mapping_Sheet!$E$2:$E$3143),
Master_Mapping_Sheet!$C$2:$C$3143=V$1,
Master_Mapping_Sheet!$H$2:$H$3143=$A7))/sum(filter(
Master_M"&amp;"apping_Sheet!$E$2:$E$3143, ISNUMBER(
Master_Mapping_Sheet!$E$2:$E$3143),
Master_Mapping_Sheet!$C$2:$C$3143=V$1)))"),0.0)</f>
        <v>0</v>
      </c>
      <c r="W7" s="34">
        <f>IFERROR(__xludf.DUMMYFUNCTION("IF(ISNA(sum(filter(
Master_Mapping_Sheet!$E$2:$E$3143, ISNUMBER(
Master_Mapping_Sheet!$E$2:$E$3143),
Master_Mapping_Sheet!$C$2:$C$3143=W$1,
Master_Mapping_Sheet!$H$2:$H$3143=$A7))/sum(filter(
Master_Mapping_Sheet!$E$2:$E$3143, ISNUMBER(
Master_Mapping_She"&amp;"et!$E$2:$E$3143),
Master_Mapping_Sheet!$C$2:$C$3143=W$1))), 0, sum(filter(
Master_Mapping_Sheet!$E$2:$E$3143, ISNUMBER(
Master_Mapping_Sheet!$E$2:$E$3143),
Master_Mapping_Sheet!$C$2:$C$3143=W$1,
Master_Mapping_Sheet!$H$2:$H$3143=$A7))/sum(filter(
Master_M"&amp;"apping_Sheet!$E$2:$E$3143, ISNUMBER(
Master_Mapping_Sheet!$E$2:$E$3143),
Master_Mapping_Sheet!$C$2:$C$3143=W$1)))"),0.0)</f>
        <v>0</v>
      </c>
      <c r="X7" s="34">
        <f>IFERROR(__xludf.DUMMYFUNCTION("IF(ISNA(sum(filter(
Master_Mapping_Sheet!$E$2:$E$3143, ISNUMBER(
Master_Mapping_Sheet!$E$2:$E$3143),
Master_Mapping_Sheet!$C$2:$C$3143=X$1,
Master_Mapping_Sheet!$H$2:$H$3143=$A7))/sum(filter(
Master_Mapping_Sheet!$E$2:$E$3143, ISNUMBER(
Master_Mapping_She"&amp;"et!$E$2:$E$3143),
Master_Mapping_Sheet!$C$2:$C$3143=X$1))), 0, sum(filter(
Master_Mapping_Sheet!$E$2:$E$3143, ISNUMBER(
Master_Mapping_Sheet!$E$2:$E$3143),
Master_Mapping_Sheet!$C$2:$C$3143=X$1,
Master_Mapping_Sheet!$H$2:$H$3143=$A7))/sum(filter(
Master_M"&amp;"apping_Sheet!$E$2:$E$3143, ISNUMBER(
Master_Mapping_Sheet!$E$2:$E$3143),
Master_Mapping_Sheet!$C$2:$C$3143=X$1)))"),0.0)</f>
        <v>0</v>
      </c>
      <c r="Y7" s="34">
        <f>IFERROR(__xludf.DUMMYFUNCTION("IF(ISNA(sum(filter(
Master_Mapping_Sheet!$E$2:$E$3143, ISNUMBER(
Master_Mapping_Sheet!$E$2:$E$3143),
Master_Mapping_Sheet!$C$2:$C$3143=Y$1,
Master_Mapping_Sheet!$H$2:$H$3143=$A7))/sum(filter(
Master_Mapping_Sheet!$E$2:$E$3143, ISNUMBER(
Master_Mapping_She"&amp;"et!$E$2:$E$3143),
Master_Mapping_Sheet!$C$2:$C$3143=Y$1))), 0, sum(filter(
Master_Mapping_Sheet!$E$2:$E$3143, ISNUMBER(
Master_Mapping_Sheet!$E$2:$E$3143),
Master_Mapping_Sheet!$C$2:$C$3143=Y$1,
Master_Mapping_Sheet!$H$2:$H$3143=$A7))/sum(filter(
Master_M"&amp;"apping_Sheet!$E$2:$E$3143, ISNUMBER(
Master_Mapping_Sheet!$E$2:$E$3143),
Master_Mapping_Sheet!$C$2:$C$3143=Y$1)))"),0.0)</f>
        <v>0</v>
      </c>
      <c r="Z7" s="34">
        <f>IFERROR(__xludf.DUMMYFUNCTION("IF(ISNA(sum(filter(
Master_Mapping_Sheet!$E$2:$E$3143, ISNUMBER(
Master_Mapping_Sheet!$E$2:$E$3143),
Master_Mapping_Sheet!$C$2:$C$3143=Z$1,
Master_Mapping_Sheet!$H$2:$H$3143=$A7))/sum(filter(
Master_Mapping_Sheet!$E$2:$E$3143, ISNUMBER(
Master_Mapping_She"&amp;"et!$E$2:$E$3143),
Master_Mapping_Sheet!$C$2:$C$3143=Z$1))), 0, sum(filter(
Master_Mapping_Sheet!$E$2:$E$3143, ISNUMBER(
Master_Mapping_Sheet!$E$2:$E$3143),
Master_Mapping_Sheet!$C$2:$C$3143=Z$1,
Master_Mapping_Sheet!$H$2:$H$3143=$A7))/sum(filter(
Master_M"&amp;"apping_Sheet!$E$2:$E$3143, ISNUMBER(
Master_Mapping_Sheet!$E$2:$E$3143),
Master_Mapping_Sheet!$C$2:$C$3143=Z$1)))"),0.4906299643839997)</f>
        <v>0.4906299644</v>
      </c>
      <c r="AA7" s="34">
        <f>IFERROR(__xludf.DUMMYFUNCTION("IF(ISNA(sum(filter(
Master_Mapping_Sheet!$E$2:$E$3143, ISNUMBER(
Master_Mapping_Sheet!$E$2:$E$3143),
Master_Mapping_Sheet!$C$2:$C$3143=AA$1,
Master_Mapping_Sheet!$H$2:$H$3143=$A7))/sum(filter(
Master_Mapping_Sheet!$E$2:$E$3143, ISNUMBER(
Master_Mapping_Sh"&amp;"eet!$E$2:$E$3143),
Master_Mapping_Sheet!$C$2:$C$3143=AA$1))), 0, sum(filter(
Master_Mapping_Sheet!$E$2:$E$3143, ISNUMBER(
Master_Mapping_Sheet!$E$2:$E$3143),
Master_Mapping_Sheet!$C$2:$C$3143=AA$1,
Master_Mapping_Sheet!$H$2:$H$3143=$A7))/sum(filter(
Maste"&amp;"r_Mapping_Sheet!$E$2:$E$3143, ISNUMBER(
Master_Mapping_Sheet!$E$2:$E$3143),
Master_Mapping_Sheet!$C$2:$C$3143=AA$1)))"),0.0)</f>
        <v>0</v>
      </c>
      <c r="AB7" s="34">
        <f>IFERROR(__xludf.DUMMYFUNCTION("IF(ISNA(sum(filter(
Master_Mapping_Sheet!$E$2:$E$3143, ISNUMBER(
Master_Mapping_Sheet!$E$2:$E$3143),
Master_Mapping_Sheet!$C$2:$C$3143=AB$1,
Master_Mapping_Sheet!$H$2:$H$3143=$A7))/sum(filter(
Master_Mapping_Sheet!$E$2:$E$3143, ISNUMBER(
Master_Mapping_Sh"&amp;"eet!$E$2:$E$3143),
Master_Mapping_Sheet!$C$2:$C$3143=AB$1))), 0, sum(filter(
Master_Mapping_Sheet!$E$2:$E$3143, ISNUMBER(
Master_Mapping_Sheet!$E$2:$E$3143),
Master_Mapping_Sheet!$C$2:$C$3143=AB$1,
Master_Mapping_Sheet!$H$2:$H$3143=$A7))/sum(filter(
Maste"&amp;"r_Mapping_Sheet!$E$2:$E$3143, ISNUMBER(
Master_Mapping_Sheet!$E$2:$E$3143),
Master_Mapping_Sheet!$C$2:$C$3143=AB$1)))"),0.0)</f>
        <v>0</v>
      </c>
      <c r="AC7" s="34">
        <f>IFERROR(__xludf.DUMMYFUNCTION("IF(ISNA(sum(filter(
Master_Mapping_Sheet!$E$2:$E$3143, ISNUMBER(
Master_Mapping_Sheet!$E$2:$E$3143),
Master_Mapping_Sheet!$C$2:$C$3143=AC$1,
Master_Mapping_Sheet!$H$2:$H$3143=$A7))/sum(filter(
Master_Mapping_Sheet!$E$2:$E$3143, ISNUMBER(
Master_Mapping_Sh"&amp;"eet!$E$2:$E$3143),
Master_Mapping_Sheet!$C$2:$C$3143=AC$1))), 0, sum(filter(
Master_Mapping_Sheet!$E$2:$E$3143, ISNUMBER(
Master_Mapping_Sheet!$E$2:$E$3143),
Master_Mapping_Sheet!$C$2:$C$3143=AC$1,
Master_Mapping_Sheet!$H$2:$H$3143=$A7))/sum(filter(
Maste"&amp;"r_Mapping_Sheet!$E$2:$E$3143, ISNUMBER(
Master_Mapping_Sheet!$E$2:$E$3143),
Master_Mapping_Sheet!$C$2:$C$3143=AC$1)))"),0.0)</f>
        <v>0</v>
      </c>
      <c r="AD7" s="34">
        <f>IFERROR(__xludf.DUMMYFUNCTION("IF(ISNA(sum(filter(
Master_Mapping_Sheet!$E$2:$E$3143, ISNUMBER(
Master_Mapping_Sheet!$E$2:$E$3143),
Master_Mapping_Sheet!$C$2:$C$3143=AD$1,
Master_Mapping_Sheet!$H$2:$H$3143=$A7))/sum(filter(
Master_Mapping_Sheet!$E$2:$E$3143, ISNUMBER(
Master_Mapping_Sh"&amp;"eet!$E$2:$E$3143),
Master_Mapping_Sheet!$C$2:$C$3143=AD$1))), 0, sum(filter(
Master_Mapping_Sheet!$E$2:$E$3143, ISNUMBER(
Master_Mapping_Sheet!$E$2:$E$3143),
Master_Mapping_Sheet!$C$2:$C$3143=AD$1,
Master_Mapping_Sheet!$H$2:$H$3143=$A7))/sum(filter(
Maste"&amp;"r_Mapping_Sheet!$E$2:$E$3143, ISNUMBER(
Master_Mapping_Sheet!$E$2:$E$3143),
Master_Mapping_Sheet!$C$2:$C$3143=AD$1)))"),0.0)</f>
        <v>0</v>
      </c>
      <c r="AE7" s="34">
        <f>IFERROR(__xludf.DUMMYFUNCTION("IF(ISNA(sum(filter(
Master_Mapping_Sheet!$E$2:$E$3143, ISNUMBER(
Master_Mapping_Sheet!$E$2:$E$3143),
Master_Mapping_Sheet!$C$2:$C$3143=AE$1,
Master_Mapping_Sheet!$H$2:$H$3143=$A7))/sum(filter(
Master_Mapping_Sheet!$E$2:$E$3143, ISNUMBER(
Master_Mapping_Sh"&amp;"eet!$E$2:$E$3143),
Master_Mapping_Sheet!$C$2:$C$3143=AE$1))), 0, sum(filter(
Master_Mapping_Sheet!$E$2:$E$3143, ISNUMBER(
Master_Mapping_Sheet!$E$2:$E$3143),
Master_Mapping_Sheet!$C$2:$C$3143=AE$1,
Master_Mapping_Sheet!$H$2:$H$3143=$A7))/sum(filter(
Maste"&amp;"r_Mapping_Sheet!$E$2:$E$3143, ISNUMBER(
Master_Mapping_Sheet!$E$2:$E$3143),
Master_Mapping_Sheet!$C$2:$C$3143=AE$1)))"),0.0)</f>
        <v>0</v>
      </c>
      <c r="AF7" s="34">
        <f>IFERROR(__xludf.DUMMYFUNCTION("IF(ISNA(sum(filter(
Master_Mapping_Sheet!$E$2:$E$3143, ISNUMBER(
Master_Mapping_Sheet!$E$2:$E$3143),
Master_Mapping_Sheet!$C$2:$C$3143=AF$1,
Master_Mapping_Sheet!$H$2:$H$3143=$A7))/sum(filter(
Master_Mapping_Sheet!$E$2:$E$3143, ISNUMBER(
Master_Mapping_Sh"&amp;"eet!$E$2:$E$3143),
Master_Mapping_Sheet!$C$2:$C$3143=AF$1))), 0, sum(filter(
Master_Mapping_Sheet!$E$2:$E$3143, ISNUMBER(
Master_Mapping_Sheet!$E$2:$E$3143),
Master_Mapping_Sheet!$C$2:$C$3143=AF$1,
Master_Mapping_Sheet!$H$2:$H$3143=$A7))/sum(filter(
Maste"&amp;"r_Mapping_Sheet!$E$2:$E$3143, ISNUMBER(
Master_Mapping_Sheet!$E$2:$E$3143),
Master_Mapping_Sheet!$C$2:$C$3143=AF$1)))"),0.0)</f>
        <v>0</v>
      </c>
      <c r="AG7" s="34">
        <f>IFERROR(__xludf.DUMMYFUNCTION("IF(ISNA(sum(filter(
Master_Mapping_Sheet!$E$2:$E$3143, ISNUMBER(
Master_Mapping_Sheet!$E$2:$E$3143),
Master_Mapping_Sheet!$C$2:$C$3143=AG$1,
Master_Mapping_Sheet!$H$2:$H$3143=$A7))/sum(filter(
Master_Mapping_Sheet!$E$2:$E$3143, ISNUMBER(
Master_Mapping_Sh"&amp;"eet!$E$2:$E$3143),
Master_Mapping_Sheet!$C$2:$C$3143=AG$1))), 0, sum(filter(
Master_Mapping_Sheet!$E$2:$E$3143, ISNUMBER(
Master_Mapping_Sheet!$E$2:$E$3143),
Master_Mapping_Sheet!$C$2:$C$3143=AG$1,
Master_Mapping_Sheet!$H$2:$H$3143=$A7))/sum(filter(
Maste"&amp;"r_Mapping_Sheet!$E$2:$E$3143, ISNUMBER(
Master_Mapping_Sheet!$E$2:$E$3143),
Master_Mapping_Sheet!$C$2:$C$3143=AG$1)))"),0.0)</f>
        <v>0</v>
      </c>
      <c r="AH7" s="34">
        <f>IFERROR(__xludf.DUMMYFUNCTION("IF(ISNA(sum(filter(
Master_Mapping_Sheet!$E$2:$E$3143, ISNUMBER(
Master_Mapping_Sheet!$E$2:$E$3143),
Master_Mapping_Sheet!$C$2:$C$3143=AH$1,
Master_Mapping_Sheet!$H$2:$H$3143=$A7))/sum(filter(
Master_Mapping_Sheet!$E$2:$E$3143, ISNUMBER(
Master_Mapping_Sh"&amp;"eet!$E$2:$E$3143),
Master_Mapping_Sheet!$C$2:$C$3143=AH$1))), 0, sum(filter(
Master_Mapping_Sheet!$E$2:$E$3143, ISNUMBER(
Master_Mapping_Sheet!$E$2:$E$3143),
Master_Mapping_Sheet!$C$2:$C$3143=AH$1,
Master_Mapping_Sheet!$H$2:$H$3143=$A7))/sum(filter(
Maste"&amp;"r_Mapping_Sheet!$E$2:$E$3143, ISNUMBER(
Master_Mapping_Sheet!$E$2:$E$3143),
Master_Mapping_Sheet!$C$2:$C$3143=AH$1)))"),0.0)</f>
        <v>0</v>
      </c>
      <c r="AI7" s="34">
        <f>IFERROR(__xludf.DUMMYFUNCTION("IF(ISNA(sum(filter(
Master_Mapping_Sheet!$E$2:$E$3143, ISNUMBER(
Master_Mapping_Sheet!$E$2:$E$3143),
Master_Mapping_Sheet!$C$2:$C$3143=AI$1,
Master_Mapping_Sheet!$H$2:$H$3143=$A7))/sum(filter(
Master_Mapping_Sheet!$E$2:$E$3143, ISNUMBER(
Master_Mapping_Sh"&amp;"eet!$E$2:$E$3143),
Master_Mapping_Sheet!$C$2:$C$3143=AI$1))), 0, sum(filter(
Master_Mapping_Sheet!$E$2:$E$3143, ISNUMBER(
Master_Mapping_Sheet!$E$2:$E$3143),
Master_Mapping_Sheet!$C$2:$C$3143=AI$1,
Master_Mapping_Sheet!$H$2:$H$3143=$A7))/sum(filter(
Maste"&amp;"r_Mapping_Sheet!$E$2:$E$3143, ISNUMBER(
Master_Mapping_Sheet!$E$2:$E$3143),
Master_Mapping_Sheet!$C$2:$C$3143=AI$1)))"),0.0)</f>
        <v>0</v>
      </c>
      <c r="AJ7" s="34">
        <f>IFERROR(__xludf.DUMMYFUNCTION("IF(ISNA(sum(filter(
Master_Mapping_Sheet!$E$2:$E$3143, ISNUMBER(
Master_Mapping_Sheet!$E$2:$E$3143),
Master_Mapping_Sheet!$C$2:$C$3143=AJ$1,
Master_Mapping_Sheet!$H$2:$H$3143=$A7))/sum(filter(
Master_Mapping_Sheet!$E$2:$E$3143, ISNUMBER(
Master_Mapping_Sh"&amp;"eet!$E$2:$E$3143),
Master_Mapping_Sheet!$C$2:$C$3143=AJ$1))), 0, sum(filter(
Master_Mapping_Sheet!$E$2:$E$3143, ISNUMBER(
Master_Mapping_Sheet!$E$2:$E$3143),
Master_Mapping_Sheet!$C$2:$C$3143=AJ$1,
Master_Mapping_Sheet!$H$2:$H$3143=$A7))/sum(filter(
Maste"&amp;"r_Mapping_Sheet!$E$2:$E$3143, ISNUMBER(
Master_Mapping_Sheet!$E$2:$E$3143),
Master_Mapping_Sheet!$C$2:$C$3143=AJ$1)))"),0.0)</f>
        <v>0</v>
      </c>
      <c r="AK7" s="34">
        <f>IFERROR(__xludf.DUMMYFUNCTION("IF(ISNA(sum(filter(
Master_Mapping_Sheet!$E$2:$E$3143, ISNUMBER(
Master_Mapping_Sheet!$E$2:$E$3143),
Master_Mapping_Sheet!$C$2:$C$3143=AK$1,
Master_Mapping_Sheet!$H$2:$H$3143=$A7))/sum(filter(
Master_Mapping_Sheet!$E$2:$E$3143, ISNUMBER(
Master_Mapping_Sh"&amp;"eet!$E$2:$E$3143),
Master_Mapping_Sheet!$C$2:$C$3143=AK$1))), 0, sum(filter(
Master_Mapping_Sheet!$E$2:$E$3143, ISNUMBER(
Master_Mapping_Sheet!$E$2:$E$3143),
Master_Mapping_Sheet!$C$2:$C$3143=AK$1,
Master_Mapping_Sheet!$H$2:$H$3143=$A7))/sum(filter(
Maste"&amp;"r_Mapping_Sheet!$E$2:$E$3143, ISNUMBER(
Master_Mapping_Sheet!$E$2:$E$3143),
Master_Mapping_Sheet!$C$2:$C$3143=AK$1)))"),0.0)</f>
        <v>0</v>
      </c>
      <c r="AL7" s="34">
        <f>IFERROR(__xludf.DUMMYFUNCTION("IF(ISNA(sum(filter(
Master_Mapping_Sheet!$E$2:$E$3143, ISNUMBER(
Master_Mapping_Sheet!$E$2:$E$3143),
Master_Mapping_Sheet!$C$2:$C$3143=AL$1,
Master_Mapping_Sheet!$H$2:$H$3143=$A7))/sum(filter(
Master_Mapping_Sheet!$E$2:$E$3143, ISNUMBER(
Master_Mapping_Sh"&amp;"eet!$E$2:$E$3143),
Master_Mapping_Sheet!$C$2:$C$3143=AL$1))), 0, sum(filter(
Master_Mapping_Sheet!$E$2:$E$3143, ISNUMBER(
Master_Mapping_Sheet!$E$2:$E$3143),
Master_Mapping_Sheet!$C$2:$C$3143=AL$1,
Master_Mapping_Sheet!$H$2:$H$3143=$A7))/sum(filter(
Maste"&amp;"r_Mapping_Sheet!$E$2:$E$3143, ISNUMBER(
Master_Mapping_Sheet!$E$2:$E$3143),
Master_Mapping_Sheet!$C$2:$C$3143=AL$1)))"),0.0)</f>
        <v>0</v>
      </c>
      <c r="AM7" s="34">
        <f>IFERROR(__xludf.DUMMYFUNCTION("IF(ISNA(sum(filter(
Master_Mapping_Sheet!$E$2:$E$3143, ISNUMBER(
Master_Mapping_Sheet!$E$2:$E$3143),
Master_Mapping_Sheet!$C$2:$C$3143=AM$1,
Master_Mapping_Sheet!$H$2:$H$3143=$A7))/sum(filter(
Master_Mapping_Sheet!$E$2:$E$3143, ISNUMBER(
Master_Mapping_Sh"&amp;"eet!$E$2:$E$3143),
Master_Mapping_Sheet!$C$2:$C$3143=AM$1))), 0, sum(filter(
Master_Mapping_Sheet!$E$2:$E$3143, ISNUMBER(
Master_Mapping_Sheet!$E$2:$E$3143),
Master_Mapping_Sheet!$C$2:$C$3143=AM$1,
Master_Mapping_Sheet!$H$2:$H$3143=$A7))/sum(filter(
Maste"&amp;"r_Mapping_Sheet!$E$2:$E$3143, ISNUMBER(
Master_Mapping_Sheet!$E$2:$E$3143),
Master_Mapping_Sheet!$C$2:$C$3143=AM$1)))"),0.0)</f>
        <v>0</v>
      </c>
      <c r="AN7" s="34">
        <f>IFERROR(__xludf.DUMMYFUNCTION("IF(ISNA(sum(filter(
Master_Mapping_Sheet!$E$2:$E$3143, ISNUMBER(
Master_Mapping_Sheet!$E$2:$E$3143),
Master_Mapping_Sheet!$C$2:$C$3143=AN$1,
Master_Mapping_Sheet!$H$2:$H$3143=$A7))/sum(filter(
Master_Mapping_Sheet!$E$2:$E$3143, ISNUMBER(
Master_Mapping_Sh"&amp;"eet!$E$2:$E$3143),
Master_Mapping_Sheet!$C$2:$C$3143=AN$1))), 0, sum(filter(
Master_Mapping_Sheet!$E$2:$E$3143, ISNUMBER(
Master_Mapping_Sheet!$E$2:$E$3143),
Master_Mapping_Sheet!$C$2:$C$3143=AN$1,
Master_Mapping_Sheet!$H$2:$H$3143=$A7))/sum(filter(
Maste"&amp;"r_Mapping_Sheet!$E$2:$E$3143, ISNUMBER(
Master_Mapping_Sheet!$E$2:$E$3143),
Master_Mapping_Sheet!$C$2:$C$3143=AN$1)))"),0.0)</f>
        <v>0</v>
      </c>
      <c r="AO7" s="34">
        <f>IFERROR(__xludf.DUMMYFUNCTION("IF(ISNA(sum(filter(
Master_Mapping_Sheet!$E$2:$E$3143, ISNUMBER(
Master_Mapping_Sheet!$E$2:$E$3143),
Master_Mapping_Sheet!$C$2:$C$3143=AO$1,
Master_Mapping_Sheet!$H$2:$H$3143=$A7))/sum(filter(
Master_Mapping_Sheet!$E$2:$E$3143, ISNUMBER(
Master_Mapping_Sh"&amp;"eet!$E$2:$E$3143),
Master_Mapping_Sheet!$C$2:$C$3143=AO$1))), 0, sum(filter(
Master_Mapping_Sheet!$E$2:$E$3143, ISNUMBER(
Master_Mapping_Sheet!$E$2:$E$3143),
Master_Mapping_Sheet!$C$2:$C$3143=AO$1,
Master_Mapping_Sheet!$H$2:$H$3143=$A7))/sum(filter(
Maste"&amp;"r_Mapping_Sheet!$E$2:$E$3143, ISNUMBER(
Master_Mapping_Sheet!$E$2:$E$3143),
Master_Mapping_Sheet!$C$2:$C$3143=AO$1)))"),0.0)</f>
        <v>0</v>
      </c>
      <c r="AP7" s="34">
        <f>IFERROR(__xludf.DUMMYFUNCTION("IF(ISNA(sum(filter(
Master_Mapping_Sheet!$E$2:$E$3143, ISNUMBER(
Master_Mapping_Sheet!$E$2:$E$3143),
Master_Mapping_Sheet!$C$2:$C$3143=AP$1,
Master_Mapping_Sheet!$H$2:$H$3143=$A7))/sum(filter(
Master_Mapping_Sheet!$E$2:$E$3143, ISNUMBER(
Master_Mapping_Sh"&amp;"eet!$E$2:$E$3143),
Master_Mapping_Sheet!$C$2:$C$3143=AP$1))), 0, sum(filter(
Master_Mapping_Sheet!$E$2:$E$3143, ISNUMBER(
Master_Mapping_Sheet!$E$2:$E$3143),
Master_Mapping_Sheet!$C$2:$C$3143=AP$1,
Master_Mapping_Sheet!$H$2:$H$3143=$A7))/sum(filter(
Maste"&amp;"r_Mapping_Sheet!$E$2:$E$3143, ISNUMBER(
Master_Mapping_Sheet!$E$2:$E$3143),
Master_Mapping_Sheet!$C$2:$C$3143=AP$1)))"),0.0)</f>
        <v>0</v>
      </c>
      <c r="AQ7" s="34">
        <f>IFERROR(__xludf.DUMMYFUNCTION("IF(ISNA(sum(filter(
Master_Mapping_Sheet!$E$2:$E$3143, ISNUMBER(
Master_Mapping_Sheet!$E$2:$E$3143),
Master_Mapping_Sheet!$C$2:$C$3143=AQ$1,
Master_Mapping_Sheet!$H$2:$H$3143=$A7))/sum(filter(
Master_Mapping_Sheet!$E$2:$E$3143, ISNUMBER(
Master_Mapping_Sh"&amp;"eet!$E$2:$E$3143),
Master_Mapping_Sheet!$C$2:$C$3143=AQ$1))), 0, sum(filter(
Master_Mapping_Sheet!$E$2:$E$3143, ISNUMBER(
Master_Mapping_Sheet!$E$2:$E$3143),
Master_Mapping_Sheet!$C$2:$C$3143=AQ$1,
Master_Mapping_Sheet!$H$2:$H$3143=$A7))/sum(filter(
Maste"&amp;"r_Mapping_Sheet!$E$2:$E$3143, ISNUMBER(
Master_Mapping_Sheet!$E$2:$E$3143),
Master_Mapping_Sheet!$C$2:$C$3143=AQ$1)))"),0.0)</f>
        <v>0</v>
      </c>
      <c r="AR7" s="34">
        <f>IFERROR(__xludf.DUMMYFUNCTION("IF(ISNA(sum(filter(
Master_Mapping_Sheet!$E$2:$E$3143, ISNUMBER(
Master_Mapping_Sheet!$E$2:$E$3143),
Master_Mapping_Sheet!$C$2:$C$3143=AR$1,
Master_Mapping_Sheet!$H$2:$H$3143=$A7))/sum(filter(
Master_Mapping_Sheet!$E$2:$E$3143, ISNUMBER(
Master_Mapping_Sh"&amp;"eet!$E$2:$E$3143),
Master_Mapping_Sheet!$C$2:$C$3143=AR$1))), 0, sum(filter(
Master_Mapping_Sheet!$E$2:$E$3143, ISNUMBER(
Master_Mapping_Sheet!$E$2:$E$3143),
Master_Mapping_Sheet!$C$2:$C$3143=AR$1,
Master_Mapping_Sheet!$H$2:$H$3143=$A7))/sum(filter(
Maste"&amp;"r_Mapping_Sheet!$E$2:$E$3143, ISNUMBER(
Master_Mapping_Sheet!$E$2:$E$3143),
Master_Mapping_Sheet!$C$2:$C$3143=AR$1)))"),0.0)</f>
        <v>0</v>
      </c>
      <c r="AS7" s="34">
        <f>IFERROR(__xludf.DUMMYFUNCTION("IF(ISNA(sum(filter(
Master_Mapping_Sheet!$E$2:$E$3143, ISNUMBER(
Master_Mapping_Sheet!$E$2:$E$3143),
Master_Mapping_Sheet!$C$2:$C$3143=AS$1,
Master_Mapping_Sheet!$H$2:$H$3143=$A7))/sum(filter(
Master_Mapping_Sheet!$E$2:$E$3143, ISNUMBER(
Master_Mapping_Sh"&amp;"eet!$E$2:$E$3143),
Master_Mapping_Sheet!$C$2:$C$3143=AS$1))), 0, sum(filter(
Master_Mapping_Sheet!$E$2:$E$3143, ISNUMBER(
Master_Mapping_Sheet!$E$2:$E$3143),
Master_Mapping_Sheet!$C$2:$C$3143=AS$1,
Master_Mapping_Sheet!$H$2:$H$3143=$A7))/sum(filter(
Maste"&amp;"r_Mapping_Sheet!$E$2:$E$3143, ISNUMBER(
Master_Mapping_Sheet!$E$2:$E$3143),
Master_Mapping_Sheet!$C$2:$C$3143=AS$1)))"),0.05941520886542739)</f>
        <v>0.05941520887</v>
      </c>
      <c r="AT7" s="34">
        <f>IFERROR(__xludf.DUMMYFUNCTION("IF(ISNA(sum(filter(
Master_Mapping_Sheet!$E$2:$E$3143, ISNUMBER(
Master_Mapping_Sheet!$E$2:$E$3143),
Master_Mapping_Sheet!$C$2:$C$3143=AT$1,
Master_Mapping_Sheet!$H$2:$H$3143=$A7))/sum(filter(
Master_Mapping_Sheet!$E$2:$E$3143, ISNUMBER(
Master_Mapping_Sh"&amp;"eet!$E$2:$E$3143),
Master_Mapping_Sheet!$C$2:$C$3143=AT$1))), 0, sum(filter(
Master_Mapping_Sheet!$E$2:$E$3143, ISNUMBER(
Master_Mapping_Sheet!$E$2:$E$3143),
Master_Mapping_Sheet!$C$2:$C$3143=AT$1,
Master_Mapping_Sheet!$H$2:$H$3143=$A7))/sum(filter(
Maste"&amp;"r_Mapping_Sheet!$E$2:$E$3143, ISNUMBER(
Master_Mapping_Sheet!$E$2:$E$3143),
Master_Mapping_Sheet!$C$2:$C$3143=AT$1)))"),0.0)</f>
        <v>0</v>
      </c>
      <c r="AU7" s="34">
        <f>IFERROR(__xludf.DUMMYFUNCTION("IF(ISNA(sum(filter(
Master_Mapping_Sheet!$E$2:$E$3143, ISNUMBER(
Master_Mapping_Sheet!$E$2:$E$3143),
Master_Mapping_Sheet!$C$2:$C$3143=AU$1,
Master_Mapping_Sheet!$H$2:$H$3143=$A7))/sum(filter(
Master_Mapping_Sheet!$E$2:$E$3143, ISNUMBER(
Master_Mapping_Sh"&amp;"eet!$E$2:$E$3143),
Master_Mapping_Sheet!$C$2:$C$3143=AU$1))), 0, sum(filter(
Master_Mapping_Sheet!$E$2:$E$3143, ISNUMBER(
Master_Mapping_Sheet!$E$2:$E$3143),
Master_Mapping_Sheet!$C$2:$C$3143=AU$1,
Master_Mapping_Sheet!$H$2:$H$3143=$A7))/sum(filter(
Maste"&amp;"r_Mapping_Sheet!$E$2:$E$3143, ISNUMBER(
Master_Mapping_Sheet!$E$2:$E$3143),
Master_Mapping_Sheet!$C$2:$C$3143=AU$1)))"),0.0)</f>
        <v>0</v>
      </c>
      <c r="AV7" s="34">
        <f>IFERROR(__xludf.DUMMYFUNCTION("IF(ISNA(sum(filter(
Master_Mapping_Sheet!$E$2:$E$3143, ISNUMBER(
Master_Mapping_Sheet!$E$2:$E$3143),
Master_Mapping_Sheet!$C$2:$C$3143=AV$1,
Master_Mapping_Sheet!$H$2:$H$3143=$A7))/sum(filter(
Master_Mapping_Sheet!$E$2:$E$3143, ISNUMBER(
Master_Mapping_Sh"&amp;"eet!$E$2:$E$3143),
Master_Mapping_Sheet!$C$2:$C$3143=AV$1))), 0, sum(filter(
Master_Mapping_Sheet!$E$2:$E$3143, ISNUMBER(
Master_Mapping_Sheet!$E$2:$E$3143),
Master_Mapping_Sheet!$C$2:$C$3143=AV$1,
Master_Mapping_Sheet!$H$2:$H$3143=$A7))/sum(filter(
Maste"&amp;"r_Mapping_Sheet!$E$2:$E$3143, ISNUMBER(
Master_Mapping_Sheet!$E$2:$E$3143),
Master_Mapping_Sheet!$C$2:$C$3143=AV$1)))"),0.0)</f>
        <v>0</v>
      </c>
      <c r="AW7" s="34">
        <f>IFERROR(__xludf.DUMMYFUNCTION("IF(ISNA(sum(filter(
Master_Mapping_Sheet!$E$2:$E$3143, ISNUMBER(
Master_Mapping_Sheet!$E$2:$E$3143),
Master_Mapping_Sheet!$C$2:$C$3143=AW$1,
Master_Mapping_Sheet!$H$2:$H$3143=$A7))/sum(filter(
Master_Mapping_Sheet!$E$2:$E$3143, ISNUMBER(
Master_Mapping_Sh"&amp;"eet!$E$2:$E$3143),
Master_Mapping_Sheet!$C$2:$C$3143=AW$1))), 0, sum(filter(
Master_Mapping_Sheet!$E$2:$E$3143, ISNUMBER(
Master_Mapping_Sheet!$E$2:$E$3143),
Master_Mapping_Sheet!$C$2:$C$3143=AW$1,
Master_Mapping_Sheet!$H$2:$H$3143=$A7))/sum(filter(
Maste"&amp;"r_Mapping_Sheet!$E$2:$E$3143, ISNUMBER(
Master_Mapping_Sheet!$E$2:$E$3143),
Master_Mapping_Sheet!$C$2:$C$3143=AW$1)))"),0.0)</f>
        <v>0</v>
      </c>
      <c r="AX7" s="34">
        <f>IFERROR(__xludf.DUMMYFUNCTION("IF(ISNA(sum(filter(
Master_Mapping_Sheet!$E$2:$E$3143, ISNUMBER(
Master_Mapping_Sheet!$E$2:$E$3143),
Master_Mapping_Sheet!$C$2:$C$3143=AX$1,
Master_Mapping_Sheet!$H$2:$H$3143=$A7))/sum(filter(
Master_Mapping_Sheet!$E$2:$E$3143, ISNUMBER(
Master_Mapping_Sh"&amp;"eet!$E$2:$E$3143),
Master_Mapping_Sheet!$C$2:$C$3143=AX$1))), 0, sum(filter(
Master_Mapping_Sheet!$E$2:$E$3143, ISNUMBER(
Master_Mapping_Sheet!$E$2:$E$3143),
Master_Mapping_Sheet!$C$2:$C$3143=AX$1,
Master_Mapping_Sheet!$H$2:$H$3143=$A7))/sum(filter(
Maste"&amp;"r_Mapping_Sheet!$E$2:$E$3143, ISNUMBER(
Master_Mapping_Sheet!$E$2:$E$3143),
Master_Mapping_Sheet!$C$2:$C$3143=AX$1)))"),0.0)</f>
        <v>0</v>
      </c>
      <c r="AY7" s="34">
        <f>IFERROR(__xludf.DUMMYFUNCTION("IF(ISNA(sum(filter(
Master_Mapping_Sheet!$E$2:$E$3143, ISNUMBER(
Master_Mapping_Sheet!$E$2:$E$3143),
Master_Mapping_Sheet!$C$2:$C$3143=AY$1,
Master_Mapping_Sheet!$H$2:$H$3143=$A7))/sum(filter(
Master_Mapping_Sheet!$E$2:$E$3143, ISNUMBER(
Master_Mapping_Sh"&amp;"eet!$E$2:$E$3143),
Master_Mapping_Sheet!$C$2:$C$3143=AY$1))), 0, sum(filter(
Master_Mapping_Sheet!$E$2:$E$3143, ISNUMBER(
Master_Mapping_Sheet!$E$2:$E$3143),
Master_Mapping_Sheet!$C$2:$C$3143=AY$1,
Master_Mapping_Sheet!$H$2:$H$3143=$A7))/sum(filter(
Maste"&amp;"r_Mapping_Sheet!$E$2:$E$3143, ISNUMBER(
Master_Mapping_Sheet!$E$2:$E$3143),
Master_Mapping_Sheet!$C$2:$C$3143=AY$1)))"),0.0)</f>
        <v>0</v>
      </c>
      <c r="AZ7" s="34">
        <f>IFERROR(__xludf.DUMMYFUNCTION("IF(ISNA(sum(filter(
Master_Mapping_Sheet!$E$2:$E$3143, ISNUMBER(
Master_Mapping_Sheet!$E$2:$E$3143),
Master_Mapping_Sheet!$C$2:$C$3143=AZ$1,
Master_Mapping_Sheet!$H$2:$H$3143=$A7))/sum(filter(
Master_Mapping_Sheet!$E$2:$E$3143, ISNUMBER(
Master_Mapping_Sh"&amp;"eet!$E$2:$E$3143),
Master_Mapping_Sheet!$C$2:$C$3143=AZ$1))), 0, sum(filter(
Master_Mapping_Sheet!$E$2:$E$3143, ISNUMBER(
Master_Mapping_Sheet!$E$2:$E$3143),
Master_Mapping_Sheet!$C$2:$C$3143=AZ$1,
Master_Mapping_Sheet!$H$2:$H$3143=$A7))/sum(filter(
Maste"&amp;"r_Mapping_Sheet!$E$2:$E$3143, ISNUMBER(
Master_Mapping_Sheet!$E$2:$E$3143),
Master_Mapping_Sheet!$C$2:$C$3143=AZ$1)))"),0.0)</f>
        <v>0</v>
      </c>
    </row>
    <row r="8" ht="15.75" customHeight="1">
      <c r="A8" s="34" t="s">
        <v>3985</v>
      </c>
      <c r="B8" s="34">
        <f>IFERROR(__xludf.DUMMYFUNCTION("IF(ISNA(sum(filter(
Master_Mapping_Sheet!$E$2:$E$3143, ISNUMBER(
Master_Mapping_Sheet!$E$2:$E$3143),
Master_Mapping_Sheet!$C$2:$C$3143=B$1,
Master_Mapping_Sheet!$H$2:$H$3143=$A8))/sum(filter(
Master_Mapping_Sheet!$E$2:$E$3143, ISNUMBER(
Master_Mapping_She"&amp;"et!$E$2:$E$3143),
Master_Mapping_Sheet!$C$2:$C$3143=B$1))), 0, sum(filter(
Master_Mapping_Sheet!$E$2:$E$3143, ISNUMBER(
Master_Mapping_Sheet!$E$2:$E$3143),
Master_Mapping_Sheet!$C$2:$C$3143=B$1,
Master_Mapping_Sheet!$H$2:$H$3143=$A8))/sum(filter(
Master_M"&amp;"apping_Sheet!$E$2:$E$3143, ISNUMBER(
Master_Mapping_Sheet!$E$2:$E$3143),
Master_Mapping_Sheet!$C$2:$C$3143=B$1)))"),0.0)</f>
        <v>0</v>
      </c>
      <c r="C8" s="34">
        <f>IFERROR(__xludf.DUMMYFUNCTION("IF(ISNA(sum(filter(
Master_Mapping_Sheet!$E$2:$E$3143, ISNUMBER(
Master_Mapping_Sheet!$E$2:$E$3143),
Master_Mapping_Sheet!$C$2:$C$3143=C$1,
Master_Mapping_Sheet!$H$2:$H$3143=$A8))/sum(filter(
Master_Mapping_Sheet!$E$2:$E$3143, ISNUMBER(
Master_Mapping_She"&amp;"et!$E$2:$E$3143),
Master_Mapping_Sheet!$C$2:$C$3143=C$1))), 0, sum(filter(
Master_Mapping_Sheet!$E$2:$E$3143, ISNUMBER(
Master_Mapping_Sheet!$E$2:$E$3143),
Master_Mapping_Sheet!$C$2:$C$3143=C$1,
Master_Mapping_Sheet!$H$2:$H$3143=$A8))/sum(filter(
Master_M"&amp;"apping_Sheet!$E$2:$E$3143, ISNUMBER(
Master_Mapping_Sheet!$E$2:$E$3143),
Master_Mapping_Sheet!$C$2:$C$3143=C$1)))"),0.0)</f>
        <v>0</v>
      </c>
      <c r="D8" s="34">
        <f>IFERROR(__xludf.DUMMYFUNCTION("IF(ISNA(sum(filter(
Master_Mapping_Sheet!$E$2:$E$3143, ISNUMBER(
Master_Mapping_Sheet!$E$2:$E$3143),
Master_Mapping_Sheet!$C$2:$C$3143=D$1,
Master_Mapping_Sheet!$H$2:$H$3143=$A8))/sum(filter(
Master_Mapping_Sheet!$E$2:$E$3143, ISNUMBER(
Master_Mapping_She"&amp;"et!$E$2:$E$3143),
Master_Mapping_Sheet!$C$2:$C$3143=D$1))), 0, sum(filter(
Master_Mapping_Sheet!$E$2:$E$3143, ISNUMBER(
Master_Mapping_Sheet!$E$2:$E$3143),
Master_Mapping_Sheet!$C$2:$C$3143=D$1,
Master_Mapping_Sheet!$H$2:$H$3143=$A8))/sum(filter(
Master_M"&amp;"apping_Sheet!$E$2:$E$3143, ISNUMBER(
Master_Mapping_Sheet!$E$2:$E$3143),
Master_Mapping_Sheet!$C$2:$C$3143=D$1)))"),0.0)</f>
        <v>0</v>
      </c>
      <c r="E8" s="34">
        <f>IFERROR(__xludf.DUMMYFUNCTION("IF(ISNA(sum(filter(
Master_Mapping_Sheet!$E$2:$E$3143, ISNUMBER(
Master_Mapping_Sheet!$E$2:$E$3143),
Master_Mapping_Sheet!$C$2:$C$3143=E$1,
Master_Mapping_Sheet!$H$2:$H$3143=$A8))/sum(filter(
Master_Mapping_Sheet!$E$2:$E$3143, ISNUMBER(
Master_Mapping_She"&amp;"et!$E$2:$E$3143),
Master_Mapping_Sheet!$C$2:$C$3143=E$1))), 0, sum(filter(
Master_Mapping_Sheet!$E$2:$E$3143, ISNUMBER(
Master_Mapping_Sheet!$E$2:$E$3143),
Master_Mapping_Sheet!$C$2:$C$3143=E$1,
Master_Mapping_Sheet!$H$2:$H$3143=$A8))/sum(filter(
Master_M"&amp;"apping_Sheet!$E$2:$E$3143, ISNUMBER(
Master_Mapping_Sheet!$E$2:$E$3143),
Master_Mapping_Sheet!$C$2:$C$3143=E$1)))"),0.0)</f>
        <v>0</v>
      </c>
      <c r="F8" s="34">
        <f>IFERROR(__xludf.DUMMYFUNCTION("IF(ISNA(sum(filter(
Master_Mapping_Sheet!$E$2:$E$3143, ISNUMBER(
Master_Mapping_Sheet!$E$2:$E$3143),
Master_Mapping_Sheet!$C$2:$C$3143=F$1,
Master_Mapping_Sheet!$H$2:$H$3143=$A8))/sum(filter(
Master_Mapping_Sheet!$E$2:$E$3143, ISNUMBER(
Master_Mapping_She"&amp;"et!$E$2:$E$3143),
Master_Mapping_Sheet!$C$2:$C$3143=F$1))), 0, sum(filter(
Master_Mapping_Sheet!$E$2:$E$3143, ISNUMBER(
Master_Mapping_Sheet!$E$2:$E$3143),
Master_Mapping_Sheet!$C$2:$C$3143=F$1,
Master_Mapping_Sheet!$H$2:$H$3143=$A8))/sum(filter(
Master_M"&amp;"apping_Sheet!$E$2:$E$3143, ISNUMBER(
Master_Mapping_Sheet!$E$2:$E$3143),
Master_Mapping_Sheet!$C$2:$C$3143=F$1)))"),0.0)</f>
        <v>0</v>
      </c>
      <c r="G8" s="34">
        <f>IFERROR(__xludf.DUMMYFUNCTION("IF(ISNA(sum(filter(
Master_Mapping_Sheet!$E$2:$E$3143, ISNUMBER(
Master_Mapping_Sheet!$E$2:$E$3143),
Master_Mapping_Sheet!$C$2:$C$3143=G$1,
Master_Mapping_Sheet!$H$2:$H$3143=$A8))/sum(filter(
Master_Mapping_Sheet!$E$2:$E$3143, ISNUMBER(
Master_Mapping_She"&amp;"et!$E$2:$E$3143),
Master_Mapping_Sheet!$C$2:$C$3143=G$1))), 0, sum(filter(
Master_Mapping_Sheet!$E$2:$E$3143, ISNUMBER(
Master_Mapping_Sheet!$E$2:$E$3143),
Master_Mapping_Sheet!$C$2:$C$3143=G$1,
Master_Mapping_Sheet!$H$2:$H$3143=$A8))/sum(filter(
Master_M"&amp;"apping_Sheet!$E$2:$E$3143, ISNUMBER(
Master_Mapping_Sheet!$E$2:$E$3143),
Master_Mapping_Sheet!$C$2:$C$3143=G$1)))"),0.0)</f>
        <v>0</v>
      </c>
      <c r="H8" s="34">
        <f>IFERROR(__xludf.DUMMYFUNCTION("IF(ISNA(sum(filter(
Master_Mapping_Sheet!$E$2:$E$3143, ISNUMBER(
Master_Mapping_Sheet!$E$2:$E$3143),
Master_Mapping_Sheet!$C$2:$C$3143=H$1,
Master_Mapping_Sheet!$H$2:$H$3143=$A8))/sum(filter(
Master_Mapping_Sheet!$E$2:$E$3143, ISNUMBER(
Master_Mapping_She"&amp;"et!$E$2:$E$3143),
Master_Mapping_Sheet!$C$2:$C$3143=H$1))), 0, sum(filter(
Master_Mapping_Sheet!$E$2:$E$3143, ISNUMBER(
Master_Mapping_Sheet!$E$2:$E$3143),
Master_Mapping_Sheet!$C$2:$C$3143=H$1,
Master_Mapping_Sheet!$H$2:$H$3143=$A8))/sum(filter(
Master_M"&amp;"apping_Sheet!$E$2:$E$3143, ISNUMBER(
Master_Mapping_Sheet!$E$2:$E$3143),
Master_Mapping_Sheet!$C$2:$C$3143=H$1)))"),1.0)</f>
        <v>1</v>
      </c>
      <c r="I8" s="34">
        <f>IFERROR(__xludf.DUMMYFUNCTION("IF(ISNA(sum(filter(
Master_Mapping_Sheet!$E$2:$E$3143, ISNUMBER(
Master_Mapping_Sheet!$E$2:$E$3143),
Master_Mapping_Sheet!$C$2:$C$3143=I$1,
Master_Mapping_Sheet!$H$2:$H$3143=$A8))/sum(filter(
Master_Mapping_Sheet!$E$2:$E$3143, ISNUMBER(
Master_Mapping_She"&amp;"et!$E$2:$E$3143),
Master_Mapping_Sheet!$C$2:$C$3143=I$1))), 0, sum(filter(
Master_Mapping_Sheet!$E$2:$E$3143, ISNUMBER(
Master_Mapping_Sheet!$E$2:$E$3143),
Master_Mapping_Sheet!$C$2:$C$3143=I$1,
Master_Mapping_Sheet!$H$2:$H$3143=$A8))/sum(filter(
Master_M"&amp;"apping_Sheet!$E$2:$E$3143, ISNUMBER(
Master_Mapping_Sheet!$E$2:$E$3143),
Master_Mapping_Sheet!$C$2:$C$3143=I$1)))"),0.0)</f>
        <v>0</v>
      </c>
      <c r="J8" s="34">
        <f>IFERROR(__xludf.DUMMYFUNCTION("IF(ISNA(sum(filter(
Master_Mapping_Sheet!$E$2:$E$3143, ISNUMBER(
Master_Mapping_Sheet!$E$2:$E$3143),
Master_Mapping_Sheet!$C$2:$C$3143=J$1,
Master_Mapping_Sheet!$H$2:$H$3143=$A8))/sum(filter(
Master_Mapping_Sheet!$E$2:$E$3143, ISNUMBER(
Master_Mapping_She"&amp;"et!$E$2:$E$3143),
Master_Mapping_Sheet!$C$2:$C$3143=J$1))), 0, sum(filter(
Master_Mapping_Sheet!$E$2:$E$3143, ISNUMBER(
Master_Mapping_Sheet!$E$2:$E$3143),
Master_Mapping_Sheet!$C$2:$C$3143=J$1,
Master_Mapping_Sheet!$H$2:$H$3143=$A8))/sum(filter(
Master_M"&amp;"apping_Sheet!$E$2:$E$3143, ISNUMBER(
Master_Mapping_Sheet!$E$2:$E$3143),
Master_Mapping_Sheet!$C$2:$C$3143=J$1)))"),0.0)</f>
        <v>0</v>
      </c>
      <c r="K8" s="34">
        <f>IFERROR(__xludf.DUMMYFUNCTION("IF(ISNA(sum(filter(
Master_Mapping_Sheet!$E$2:$E$3143, ISNUMBER(
Master_Mapping_Sheet!$E$2:$E$3143),
Master_Mapping_Sheet!$C$2:$C$3143=K$1,
Master_Mapping_Sheet!$H$2:$H$3143=$A8))/sum(filter(
Master_Mapping_Sheet!$E$2:$E$3143, ISNUMBER(
Master_Mapping_She"&amp;"et!$E$2:$E$3143),
Master_Mapping_Sheet!$C$2:$C$3143=K$1))), 0, sum(filter(
Master_Mapping_Sheet!$E$2:$E$3143, ISNUMBER(
Master_Mapping_Sheet!$E$2:$E$3143),
Master_Mapping_Sheet!$C$2:$C$3143=K$1,
Master_Mapping_Sheet!$H$2:$H$3143=$A8))/sum(filter(
Master_M"&amp;"apping_Sheet!$E$2:$E$3143, ISNUMBER(
Master_Mapping_Sheet!$E$2:$E$3143),
Master_Mapping_Sheet!$C$2:$C$3143=K$1)))"),0.0)</f>
        <v>0</v>
      </c>
      <c r="L8" s="34">
        <f>IFERROR(__xludf.DUMMYFUNCTION("IF(ISNA(sum(filter(
Master_Mapping_Sheet!$E$2:$E$3143, ISNUMBER(
Master_Mapping_Sheet!$E$2:$E$3143),
Master_Mapping_Sheet!$C$2:$C$3143=L$1,
Master_Mapping_Sheet!$H$2:$H$3143=$A8))/sum(filter(
Master_Mapping_Sheet!$E$2:$E$3143, ISNUMBER(
Master_Mapping_She"&amp;"et!$E$2:$E$3143),
Master_Mapping_Sheet!$C$2:$C$3143=L$1))), 0, sum(filter(
Master_Mapping_Sheet!$E$2:$E$3143, ISNUMBER(
Master_Mapping_Sheet!$E$2:$E$3143),
Master_Mapping_Sheet!$C$2:$C$3143=L$1,
Master_Mapping_Sheet!$H$2:$H$3143=$A8))/sum(filter(
Master_M"&amp;"apping_Sheet!$E$2:$E$3143, ISNUMBER(
Master_Mapping_Sheet!$E$2:$E$3143),
Master_Mapping_Sheet!$C$2:$C$3143=L$1)))"),0.0)</f>
        <v>0</v>
      </c>
      <c r="M8" s="34">
        <f>IFERROR(__xludf.DUMMYFUNCTION("IF(ISNA(sum(filter(
Master_Mapping_Sheet!$E$2:$E$3143, ISNUMBER(
Master_Mapping_Sheet!$E$2:$E$3143),
Master_Mapping_Sheet!$C$2:$C$3143=M$1,
Master_Mapping_Sheet!$H$2:$H$3143=$A8))/sum(filter(
Master_Mapping_Sheet!$E$2:$E$3143, ISNUMBER(
Master_Mapping_She"&amp;"et!$E$2:$E$3143),
Master_Mapping_Sheet!$C$2:$C$3143=M$1))), 0, sum(filter(
Master_Mapping_Sheet!$E$2:$E$3143, ISNUMBER(
Master_Mapping_Sheet!$E$2:$E$3143),
Master_Mapping_Sheet!$C$2:$C$3143=M$1,
Master_Mapping_Sheet!$H$2:$H$3143=$A8))/sum(filter(
Master_M"&amp;"apping_Sheet!$E$2:$E$3143, ISNUMBER(
Master_Mapping_Sheet!$E$2:$E$3143),
Master_Mapping_Sheet!$C$2:$C$3143=M$1)))"),0.0)</f>
        <v>0</v>
      </c>
      <c r="N8" s="34">
        <f>IFERROR(__xludf.DUMMYFUNCTION("IF(ISNA(sum(filter(
Master_Mapping_Sheet!$E$2:$E$3143, ISNUMBER(
Master_Mapping_Sheet!$E$2:$E$3143),
Master_Mapping_Sheet!$C$2:$C$3143=N$1,
Master_Mapping_Sheet!$H$2:$H$3143=$A8))/sum(filter(
Master_Mapping_Sheet!$E$2:$E$3143, ISNUMBER(
Master_Mapping_She"&amp;"et!$E$2:$E$3143),
Master_Mapping_Sheet!$C$2:$C$3143=N$1))), 0, sum(filter(
Master_Mapping_Sheet!$E$2:$E$3143, ISNUMBER(
Master_Mapping_Sheet!$E$2:$E$3143),
Master_Mapping_Sheet!$C$2:$C$3143=N$1,
Master_Mapping_Sheet!$H$2:$H$3143=$A8))/sum(filter(
Master_M"&amp;"apping_Sheet!$E$2:$E$3143, ISNUMBER(
Master_Mapping_Sheet!$E$2:$E$3143),
Master_Mapping_Sheet!$C$2:$C$3143=N$1)))"),0.0)</f>
        <v>0</v>
      </c>
      <c r="O8" s="34">
        <f>IFERROR(__xludf.DUMMYFUNCTION("IF(ISNA(sum(filter(
Master_Mapping_Sheet!$E$2:$E$3143, ISNUMBER(
Master_Mapping_Sheet!$E$2:$E$3143),
Master_Mapping_Sheet!$C$2:$C$3143=O$1,
Master_Mapping_Sheet!$H$2:$H$3143=$A8))/sum(filter(
Master_Mapping_Sheet!$E$2:$E$3143, ISNUMBER(
Master_Mapping_She"&amp;"et!$E$2:$E$3143),
Master_Mapping_Sheet!$C$2:$C$3143=O$1))), 0, sum(filter(
Master_Mapping_Sheet!$E$2:$E$3143, ISNUMBER(
Master_Mapping_Sheet!$E$2:$E$3143),
Master_Mapping_Sheet!$C$2:$C$3143=O$1,
Master_Mapping_Sheet!$H$2:$H$3143=$A8))/sum(filter(
Master_M"&amp;"apping_Sheet!$E$2:$E$3143, ISNUMBER(
Master_Mapping_Sheet!$E$2:$E$3143),
Master_Mapping_Sheet!$C$2:$C$3143=O$1)))"),0.0)</f>
        <v>0</v>
      </c>
      <c r="P8" s="34">
        <f>IFERROR(__xludf.DUMMYFUNCTION("IF(ISNA(sum(filter(
Master_Mapping_Sheet!$E$2:$E$3143, ISNUMBER(
Master_Mapping_Sheet!$E$2:$E$3143),
Master_Mapping_Sheet!$C$2:$C$3143=P$1,
Master_Mapping_Sheet!$H$2:$H$3143=$A8))/sum(filter(
Master_Mapping_Sheet!$E$2:$E$3143, ISNUMBER(
Master_Mapping_She"&amp;"et!$E$2:$E$3143),
Master_Mapping_Sheet!$C$2:$C$3143=P$1))), 0, sum(filter(
Master_Mapping_Sheet!$E$2:$E$3143, ISNUMBER(
Master_Mapping_Sheet!$E$2:$E$3143),
Master_Mapping_Sheet!$C$2:$C$3143=P$1,
Master_Mapping_Sheet!$H$2:$H$3143=$A8))/sum(filter(
Master_M"&amp;"apping_Sheet!$E$2:$E$3143, ISNUMBER(
Master_Mapping_Sheet!$E$2:$E$3143),
Master_Mapping_Sheet!$C$2:$C$3143=P$1)))"),0.0)</f>
        <v>0</v>
      </c>
      <c r="Q8" s="34">
        <f>IFERROR(__xludf.DUMMYFUNCTION("IF(ISNA(sum(filter(
Master_Mapping_Sheet!$E$2:$E$3143, ISNUMBER(
Master_Mapping_Sheet!$E$2:$E$3143),
Master_Mapping_Sheet!$C$2:$C$3143=Q$1,
Master_Mapping_Sheet!$H$2:$H$3143=$A8))/sum(filter(
Master_Mapping_Sheet!$E$2:$E$3143, ISNUMBER(
Master_Mapping_She"&amp;"et!$E$2:$E$3143),
Master_Mapping_Sheet!$C$2:$C$3143=Q$1))), 0, sum(filter(
Master_Mapping_Sheet!$E$2:$E$3143, ISNUMBER(
Master_Mapping_Sheet!$E$2:$E$3143),
Master_Mapping_Sheet!$C$2:$C$3143=Q$1,
Master_Mapping_Sheet!$H$2:$H$3143=$A8))/sum(filter(
Master_M"&amp;"apping_Sheet!$E$2:$E$3143, ISNUMBER(
Master_Mapping_Sheet!$E$2:$E$3143),
Master_Mapping_Sheet!$C$2:$C$3143=Q$1)))"),0.0)</f>
        <v>0</v>
      </c>
      <c r="R8" s="34">
        <f>IFERROR(__xludf.DUMMYFUNCTION("IF(ISNA(sum(filter(
Master_Mapping_Sheet!$E$2:$E$3143, ISNUMBER(
Master_Mapping_Sheet!$E$2:$E$3143),
Master_Mapping_Sheet!$C$2:$C$3143=R$1,
Master_Mapping_Sheet!$H$2:$H$3143=$A8))/sum(filter(
Master_Mapping_Sheet!$E$2:$E$3143, ISNUMBER(
Master_Mapping_She"&amp;"et!$E$2:$E$3143),
Master_Mapping_Sheet!$C$2:$C$3143=R$1))), 0, sum(filter(
Master_Mapping_Sheet!$E$2:$E$3143, ISNUMBER(
Master_Mapping_Sheet!$E$2:$E$3143),
Master_Mapping_Sheet!$C$2:$C$3143=R$1,
Master_Mapping_Sheet!$H$2:$H$3143=$A8))/sum(filter(
Master_M"&amp;"apping_Sheet!$E$2:$E$3143, ISNUMBER(
Master_Mapping_Sheet!$E$2:$E$3143),
Master_Mapping_Sheet!$C$2:$C$3143=R$1)))"),0.0)</f>
        <v>0</v>
      </c>
      <c r="S8" s="34">
        <f>IFERROR(__xludf.DUMMYFUNCTION("IF(ISNA(sum(filter(
Master_Mapping_Sheet!$E$2:$E$3143, ISNUMBER(
Master_Mapping_Sheet!$E$2:$E$3143),
Master_Mapping_Sheet!$C$2:$C$3143=S$1,
Master_Mapping_Sheet!$H$2:$H$3143=$A8))/sum(filter(
Master_Mapping_Sheet!$E$2:$E$3143, ISNUMBER(
Master_Mapping_She"&amp;"et!$E$2:$E$3143),
Master_Mapping_Sheet!$C$2:$C$3143=S$1))), 0, sum(filter(
Master_Mapping_Sheet!$E$2:$E$3143, ISNUMBER(
Master_Mapping_Sheet!$E$2:$E$3143),
Master_Mapping_Sheet!$C$2:$C$3143=S$1,
Master_Mapping_Sheet!$H$2:$H$3143=$A8))/sum(filter(
Master_M"&amp;"apping_Sheet!$E$2:$E$3143, ISNUMBER(
Master_Mapping_Sheet!$E$2:$E$3143),
Master_Mapping_Sheet!$C$2:$C$3143=S$1)))"),0.0)</f>
        <v>0</v>
      </c>
      <c r="T8" s="34">
        <f>IFERROR(__xludf.DUMMYFUNCTION("IF(ISNA(sum(filter(
Master_Mapping_Sheet!$E$2:$E$3143, ISNUMBER(
Master_Mapping_Sheet!$E$2:$E$3143),
Master_Mapping_Sheet!$C$2:$C$3143=T$1,
Master_Mapping_Sheet!$H$2:$H$3143=$A8))/sum(filter(
Master_Mapping_Sheet!$E$2:$E$3143, ISNUMBER(
Master_Mapping_She"&amp;"et!$E$2:$E$3143),
Master_Mapping_Sheet!$C$2:$C$3143=T$1))), 0, sum(filter(
Master_Mapping_Sheet!$E$2:$E$3143, ISNUMBER(
Master_Mapping_Sheet!$E$2:$E$3143),
Master_Mapping_Sheet!$C$2:$C$3143=T$1,
Master_Mapping_Sheet!$H$2:$H$3143=$A8))/sum(filter(
Master_M"&amp;"apping_Sheet!$E$2:$E$3143, ISNUMBER(
Master_Mapping_Sheet!$E$2:$E$3143),
Master_Mapping_Sheet!$C$2:$C$3143=T$1)))"),0.0)</f>
        <v>0</v>
      </c>
      <c r="U8" s="34">
        <f>IFERROR(__xludf.DUMMYFUNCTION("IF(ISNA(sum(filter(
Master_Mapping_Sheet!$E$2:$E$3143, ISNUMBER(
Master_Mapping_Sheet!$E$2:$E$3143),
Master_Mapping_Sheet!$C$2:$C$3143=U$1,
Master_Mapping_Sheet!$H$2:$H$3143=$A8))/sum(filter(
Master_Mapping_Sheet!$E$2:$E$3143, ISNUMBER(
Master_Mapping_She"&amp;"et!$E$2:$E$3143),
Master_Mapping_Sheet!$C$2:$C$3143=U$1))), 0, sum(filter(
Master_Mapping_Sheet!$E$2:$E$3143, ISNUMBER(
Master_Mapping_Sheet!$E$2:$E$3143),
Master_Mapping_Sheet!$C$2:$C$3143=U$1,
Master_Mapping_Sheet!$H$2:$H$3143=$A8))/sum(filter(
Master_M"&amp;"apping_Sheet!$E$2:$E$3143, ISNUMBER(
Master_Mapping_Sheet!$E$2:$E$3143),
Master_Mapping_Sheet!$C$2:$C$3143=U$1)))"),1.0)</f>
        <v>1</v>
      </c>
      <c r="V8" s="34">
        <f>IFERROR(__xludf.DUMMYFUNCTION("IF(ISNA(sum(filter(
Master_Mapping_Sheet!$E$2:$E$3143, ISNUMBER(
Master_Mapping_Sheet!$E$2:$E$3143),
Master_Mapping_Sheet!$C$2:$C$3143=V$1,
Master_Mapping_Sheet!$H$2:$H$3143=$A8))/sum(filter(
Master_Mapping_Sheet!$E$2:$E$3143, ISNUMBER(
Master_Mapping_She"&amp;"et!$E$2:$E$3143),
Master_Mapping_Sheet!$C$2:$C$3143=V$1))), 0, sum(filter(
Master_Mapping_Sheet!$E$2:$E$3143, ISNUMBER(
Master_Mapping_Sheet!$E$2:$E$3143),
Master_Mapping_Sheet!$C$2:$C$3143=V$1,
Master_Mapping_Sheet!$H$2:$H$3143=$A8))/sum(filter(
Master_M"&amp;"apping_Sheet!$E$2:$E$3143, ISNUMBER(
Master_Mapping_Sheet!$E$2:$E$3143),
Master_Mapping_Sheet!$C$2:$C$3143=V$1)))"),0.0)</f>
        <v>0</v>
      </c>
      <c r="W8" s="34">
        <f>IFERROR(__xludf.DUMMYFUNCTION("IF(ISNA(sum(filter(
Master_Mapping_Sheet!$E$2:$E$3143, ISNUMBER(
Master_Mapping_Sheet!$E$2:$E$3143),
Master_Mapping_Sheet!$C$2:$C$3143=W$1,
Master_Mapping_Sheet!$H$2:$H$3143=$A8))/sum(filter(
Master_Mapping_Sheet!$E$2:$E$3143, ISNUMBER(
Master_Mapping_She"&amp;"et!$E$2:$E$3143),
Master_Mapping_Sheet!$C$2:$C$3143=W$1))), 0, sum(filter(
Master_Mapping_Sheet!$E$2:$E$3143, ISNUMBER(
Master_Mapping_Sheet!$E$2:$E$3143),
Master_Mapping_Sheet!$C$2:$C$3143=W$1,
Master_Mapping_Sheet!$H$2:$H$3143=$A8))/sum(filter(
Master_M"&amp;"apping_Sheet!$E$2:$E$3143, ISNUMBER(
Master_Mapping_Sheet!$E$2:$E$3143),
Master_Mapping_Sheet!$C$2:$C$3143=W$1)))"),1.0)</f>
        <v>1</v>
      </c>
      <c r="X8" s="34">
        <f>IFERROR(__xludf.DUMMYFUNCTION("IF(ISNA(sum(filter(
Master_Mapping_Sheet!$E$2:$E$3143, ISNUMBER(
Master_Mapping_Sheet!$E$2:$E$3143),
Master_Mapping_Sheet!$C$2:$C$3143=X$1,
Master_Mapping_Sheet!$H$2:$H$3143=$A8))/sum(filter(
Master_Mapping_Sheet!$E$2:$E$3143, ISNUMBER(
Master_Mapping_She"&amp;"et!$E$2:$E$3143),
Master_Mapping_Sheet!$C$2:$C$3143=X$1))), 0, sum(filter(
Master_Mapping_Sheet!$E$2:$E$3143, ISNUMBER(
Master_Mapping_Sheet!$E$2:$E$3143),
Master_Mapping_Sheet!$C$2:$C$3143=X$1,
Master_Mapping_Sheet!$H$2:$H$3143=$A8))/sum(filter(
Master_M"&amp;"apping_Sheet!$E$2:$E$3143, ISNUMBER(
Master_Mapping_Sheet!$E$2:$E$3143),
Master_Mapping_Sheet!$C$2:$C$3143=X$1)))"),0.0)</f>
        <v>0</v>
      </c>
      <c r="Y8" s="34">
        <f>IFERROR(__xludf.DUMMYFUNCTION("IF(ISNA(sum(filter(
Master_Mapping_Sheet!$E$2:$E$3143, ISNUMBER(
Master_Mapping_Sheet!$E$2:$E$3143),
Master_Mapping_Sheet!$C$2:$C$3143=Y$1,
Master_Mapping_Sheet!$H$2:$H$3143=$A8))/sum(filter(
Master_Mapping_Sheet!$E$2:$E$3143, ISNUMBER(
Master_Mapping_She"&amp;"et!$E$2:$E$3143),
Master_Mapping_Sheet!$C$2:$C$3143=Y$1))), 0, sum(filter(
Master_Mapping_Sheet!$E$2:$E$3143, ISNUMBER(
Master_Mapping_Sheet!$E$2:$E$3143),
Master_Mapping_Sheet!$C$2:$C$3143=Y$1,
Master_Mapping_Sheet!$H$2:$H$3143=$A8))/sum(filter(
Master_M"&amp;"apping_Sheet!$E$2:$E$3143, ISNUMBER(
Master_Mapping_Sheet!$E$2:$E$3143),
Master_Mapping_Sheet!$C$2:$C$3143=Y$1)))"),0.0)</f>
        <v>0</v>
      </c>
      <c r="Z8" s="34">
        <f>IFERROR(__xludf.DUMMYFUNCTION("IF(ISNA(sum(filter(
Master_Mapping_Sheet!$E$2:$E$3143, ISNUMBER(
Master_Mapping_Sheet!$E$2:$E$3143),
Master_Mapping_Sheet!$C$2:$C$3143=Z$1,
Master_Mapping_Sheet!$H$2:$H$3143=$A8))/sum(filter(
Master_Mapping_Sheet!$E$2:$E$3143, ISNUMBER(
Master_Mapping_She"&amp;"et!$E$2:$E$3143),
Master_Mapping_Sheet!$C$2:$C$3143=Z$1))), 0, sum(filter(
Master_Mapping_Sheet!$E$2:$E$3143, ISNUMBER(
Master_Mapping_Sheet!$E$2:$E$3143),
Master_Mapping_Sheet!$C$2:$C$3143=Z$1,
Master_Mapping_Sheet!$H$2:$H$3143=$A8))/sum(filter(
Master_M"&amp;"apping_Sheet!$E$2:$E$3143, ISNUMBER(
Master_Mapping_Sheet!$E$2:$E$3143),
Master_Mapping_Sheet!$C$2:$C$3143=Z$1)))"),0.0)</f>
        <v>0</v>
      </c>
      <c r="AA8" s="34">
        <f>IFERROR(__xludf.DUMMYFUNCTION("IF(ISNA(sum(filter(
Master_Mapping_Sheet!$E$2:$E$3143, ISNUMBER(
Master_Mapping_Sheet!$E$2:$E$3143),
Master_Mapping_Sheet!$C$2:$C$3143=AA$1,
Master_Mapping_Sheet!$H$2:$H$3143=$A8))/sum(filter(
Master_Mapping_Sheet!$E$2:$E$3143, ISNUMBER(
Master_Mapping_Sh"&amp;"eet!$E$2:$E$3143),
Master_Mapping_Sheet!$C$2:$C$3143=AA$1))), 0, sum(filter(
Master_Mapping_Sheet!$E$2:$E$3143, ISNUMBER(
Master_Mapping_Sheet!$E$2:$E$3143),
Master_Mapping_Sheet!$C$2:$C$3143=AA$1,
Master_Mapping_Sheet!$H$2:$H$3143=$A8))/sum(filter(
Maste"&amp;"r_Mapping_Sheet!$E$2:$E$3143, ISNUMBER(
Master_Mapping_Sheet!$E$2:$E$3143),
Master_Mapping_Sheet!$C$2:$C$3143=AA$1)))"),0.0)</f>
        <v>0</v>
      </c>
      <c r="AB8" s="34">
        <f>IFERROR(__xludf.DUMMYFUNCTION("IF(ISNA(sum(filter(
Master_Mapping_Sheet!$E$2:$E$3143, ISNUMBER(
Master_Mapping_Sheet!$E$2:$E$3143),
Master_Mapping_Sheet!$C$2:$C$3143=AB$1,
Master_Mapping_Sheet!$H$2:$H$3143=$A8))/sum(filter(
Master_Mapping_Sheet!$E$2:$E$3143, ISNUMBER(
Master_Mapping_Sh"&amp;"eet!$E$2:$E$3143),
Master_Mapping_Sheet!$C$2:$C$3143=AB$1))), 0, sum(filter(
Master_Mapping_Sheet!$E$2:$E$3143, ISNUMBER(
Master_Mapping_Sheet!$E$2:$E$3143),
Master_Mapping_Sheet!$C$2:$C$3143=AB$1,
Master_Mapping_Sheet!$H$2:$H$3143=$A8))/sum(filter(
Maste"&amp;"r_Mapping_Sheet!$E$2:$E$3143, ISNUMBER(
Master_Mapping_Sheet!$E$2:$E$3143),
Master_Mapping_Sheet!$C$2:$C$3143=AB$1)))"),0.0)</f>
        <v>0</v>
      </c>
      <c r="AC8" s="34">
        <f>IFERROR(__xludf.DUMMYFUNCTION("IF(ISNA(sum(filter(
Master_Mapping_Sheet!$E$2:$E$3143, ISNUMBER(
Master_Mapping_Sheet!$E$2:$E$3143),
Master_Mapping_Sheet!$C$2:$C$3143=AC$1,
Master_Mapping_Sheet!$H$2:$H$3143=$A8))/sum(filter(
Master_Mapping_Sheet!$E$2:$E$3143, ISNUMBER(
Master_Mapping_Sh"&amp;"eet!$E$2:$E$3143),
Master_Mapping_Sheet!$C$2:$C$3143=AC$1))), 0, sum(filter(
Master_Mapping_Sheet!$E$2:$E$3143, ISNUMBER(
Master_Mapping_Sheet!$E$2:$E$3143),
Master_Mapping_Sheet!$C$2:$C$3143=AC$1,
Master_Mapping_Sheet!$H$2:$H$3143=$A8))/sum(filter(
Maste"&amp;"r_Mapping_Sheet!$E$2:$E$3143, ISNUMBER(
Master_Mapping_Sheet!$E$2:$E$3143),
Master_Mapping_Sheet!$C$2:$C$3143=AC$1)))"),0.0)</f>
        <v>0</v>
      </c>
      <c r="AD8" s="34">
        <f>IFERROR(__xludf.DUMMYFUNCTION("IF(ISNA(sum(filter(
Master_Mapping_Sheet!$E$2:$E$3143, ISNUMBER(
Master_Mapping_Sheet!$E$2:$E$3143),
Master_Mapping_Sheet!$C$2:$C$3143=AD$1,
Master_Mapping_Sheet!$H$2:$H$3143=$A8))/sum(filter(
Master_Mapping_Sheet!$E$2:$E$3143, ISNUMBER(
Master_Mapping_Sh"&amp;"eet!$E$2:$E$3143),
Master_Mapping_Sheet!$C$2:$C$3143=AD$1))), 0, sum(filter(
Master_Mapping_Sheet!$E$2:$E$3143, ISNUMBER(
Master_Mapping_Sheet!$E$2:$E$3143),
Master_Mapping_Sheet!$C$2:$C$3143=AD$1,
Master_Mapping_Sheet!$H$2:$H$3143=$A8))/sum(filter(
Maste"&amp;"r_Mapping_Sheet!$E$2:$E$3143, ISNUMBER(
Master_Mapping_Sheet!$E$2:$E$3143),
Master_Mapping_Sheet!$C$2:$C$3143=AD$1)))"),0.0)</f>
        <v>0</v>
      </c>
      <c r="AE8" s="34">
        <f>IFERROR(__xludf.DUMMYFUNCTION("IF(ISNA(sum(filter(
Master_Mapping_Sheet!$E$2:$E$3143, ISNUMBER(
Master_Mapping_Sheet!$E$2:$E$3143),
Master_Mapping_Sheet!$C$2:$C$3143=AE$1,
Master_Mapping_Sheet!$H$2:$H$3143=$A8))/sum(filter(
Master_Mapping_Sheet!$E$2:$E$3143, ISNUMBER(
Master_Mapping_Sh"&amp;"eet!$E$2:$E$3143),
Master_Mapping_Sheet!$C$2:$C$3143=AE$1))), 0, sum(filter(
Master_Mapping_Sheet!$E$2:$E$3143, ISNUMBER(
Master_Mapping_Sheet!$E$2:$E$3143),
Master_Mapping_Sheet!$C$2:$C$3143=AE$1,
Master_Mapping_Sheet!$H$2:$H$3143=$A8))/sum(filter(
Maste"&amp;"r_Mapping_Sheet!$E$2:$E$3143, ISNUMBER(
Master_Mapping_Sheet!$E$2:$E$3143),
Master_Mapping_Sheet!$C$2:$C$3143=AE$1)))"),1.0)</f>
        <v>1</v>
      </c>
      <c r="AF8" s="34">
        <f>IFERROR(__xludf.DUMMYFUNCTION("IF(ISNA(sum(filter(
Master_Mapping_Sheet!$E$2:$E$3143, ISNUMBER(
Master_Mapping_Sheet!$E$2:$E$3143),
Master_Mapping_Sheet!$C$2:$C$3143=AF$1,
Master_Mapping_Sheet!$H$2:$H$3143=$A8))/sum(filter(
Master_Mapping_Sheet!$E$2:$E$3143, ISNUMBER(
Master_Mapping_Sh"&amp;"eet!$E$2:$E$3143),
Master_Mapping_Sheet!$C$2:$C$3143=AF$1))), 0, sum(filter(
Master_Mapping_Sheet!$E$2:$E$3143, ISNUMBER(
Master_Mapping_Sheet!$E$2:$E$3143),
Master_Mapping_Sheet!$C$2:$C$3143=AF$1,
Master_Mapping_Sheet!$H$2:$H$3143=$A8))/sum(filter(
Maste"&amp;"r_Mapping_Sheet!$E$2:$E$3143, ISNUMBER(
Master_Mapping_Sheet!$E$2:$E$3143),
Master_Mapping_Sheet!$C$2:$C$3143=AF$1)))"),0.0)</f>
        <v>0</v>
      </c>
      <c r="AG8" s="34">
        <f>IFERROR(__xludf.DUMMYFUNCTION("IF(ISNA(sum(filter(
Master_Mapping_Sheet!$E$2:$E$3143, ISNUMBER(
Master_Mapping_Sheet!$E$2:$E$3143),
Master_Mapping_Sheet!$C$2:$C$3143=AG$1,
Master_Mapping_Sheet!$H$2:$H$3143=$A8))/sum(filter(
Master_Mapping_Sheet!$E$2:$E$3143, ISNUMBER(
Master_Mapping_Sh"&amp;"eet!$E$2:$E$3143),
Master_Mapping_Sheet!$C$2:$C$3143=AG$1))), 0, sum(filter(
Master_Mapping_Sheet!$E$2:$E$3143, ISNUMBER(
Master_Mapping_Sheet!$E$2:$E$3143),
Master_Mapping_Sheet!$C$2:$C$3143=AG$1,
Master_Mapping_Sheet!$H$2:$H$3143=$A8))/sum(filter(
Maste"&amp;"r_Mapping_Sheet!$E$2:$E$3143, ISNUMBER(
Master_Mapping_Sheet!$E$2:$E$3143),
Master_Mapping_Sheet!$C$2:$C$3143=AG$1)))"),0.0)</f>
        <v>0</v>
      </c>
      <c r="AH8" s="34">
        <f>IFERROR(__xludf.DUMMYFUNCTION("IF(ISNA(sum(filter(
Master_Mapping_Sheet!$E$2:$E$3143, ISNUMBER(
Master_Mapping_Sheet!$E$2:$E$3143),
Master_Mapping_Sheet!$C$2:$C$3143=AH$1,
Master_Mapping_Sheet!$H$2:$H$3143=$A8))/sum(filter(
Master_Mapping_Sheet!$E$2:$E$3143, ISNUMBER(
Master_Mapping_Sh"&amp;"eet!$E$2:$E$3143),
Master_Mapping_Sheet!$C$2:$C$3143=AH$1))), 0, sum(filter(
Master_Mapping_Sheet!$E$2:$E$3143, ISNUMBER(
Master_Mapping_Sheet!$E$2:$E$3143),
Master_Mapping_Sheet!$C$2:$C$3143=AH$1,
Master_Mapping_Sheet!$H$2:$H$3143=$A8))/sum(filter(
Maste"&amp;"r_Mapping_Sheet!$E$2:$E$3143, ISNUMBER(
Master_Mapping_Sheet!$E$2:$E$3143),
Master_Mapping_Sheet!$C$2:$C$3143=AH$1)))"),0.0)</f>
        <v>0</v>
      </c>
      <c r="AI8" s="34">
        <f>IFERROR(__xludf.DUMMYFUNCTION("IF(ISNA(sum(filter(
Master_Mapping_Sheet!$E$2:$E$3143, ISNUMBER(
Master_Mapping_Sheet!$E$2:$E$3143),
Master_Mapping_Sheet!$C$2:$C$3143=AI$1,
Master_Mapping_Sheet!$H$2:$H$3143=$A8))/sum(filter(
Master_Mapping_Sheet!$E$2:$E$3143, ISNUMBER(
Master_Mapping_Sh"&amp;"eet!$E$2:$E$3143),
Master_Mapping_Sheet!$C$2:$C$3143=AI$1))), 0, sum(filter(
Master_Mapping_Sheet!$E$2:$E$3143, ISNUMBER(
Master_Mapping_Sheet!$E$2:$E$3143),
Master_Mapping_Sheet!$C$2:$C$3143=AI$1,
Master_Mapping_Sheet!$H$2:$H$3143=$A8))/sum(filter(
Maste"&amp;"r_Mapping_Sheet!$E$2:$E$3143, ISNUMBER(
Master_Mapping_Sheet!$E$2:$E$3143),
Master_Mapping_Sheet!$C$2:$C$3143=AI$1)))"),0.0)</f>
        <v>0</v>
      </c>
      <c r="AJ8" s="34">
        <f>IFERROR(__xludf.DUMMYFUNCTION("IF(ISNA(sum(filter(
Master_Mapping_Sheet!$E$2:$E$3143, ISNUMBER(
Master_Mapping_Sheet!$E$2:$E$3143),
Master_Mapping_Sheet!$C$2:$C$3143=AJ$1,
Master_Mapping_Sheet!$H$2:$H$3143=$A8))/sum(filter(
Master_Mapping_Sheet!$E$2:$E$3143, ISNUMBER(
Master_Mapping_Sh"&amp;"eet!$E$2:$E$3143),
Master_Mapping_Sheet!$C$2:$C$3143=AJ$1))), 0, sum(filter(
Master_Mapping_Sheet!$E$2:$E$3143, ISNUMBER(
Master_Mapping_Sheet!$E$2:$E$3143),
Master_Mapping_Sheet!$C$2:$C$3143=AJ$1,
Master_Mapping_Sheet!$H$2:$H$3143=$A8))/sum(filter(
Maste"&amp;"r_Mapping_Sheet!$E$2:$E$3143, ISNUMBER(
Master_Mapping_Sheet!$E$2:$E$3143),
Master_Mapping_Sheet!$C$2:$C$3143=AJ$1)))"),0.0)</f>
        <v>0</v>
      </c>
      <c r="AK8" s="34">
        <f>IFERROR(__xludf.DUMMYFUNCTION("IF(ISNA(sum(filter(
Master_Mapping_Sheet!$E$2:$E$3143, ISNUMBER(
Master_Mapping_Sheet!$E$2:$E$3143),
Master_Mapping_Sheet!$C$2:$C$3143=AK$1,
Master_Mapping_Sheet!$H$2:$H$3143=$A8))/sum(filter(
Master_Mapping_Sheet!$E$2:$E$3143, ISNUMBER(
Master_Mapping_Sh"&amp;"eet!$E$2:$E$3143),
Master_Mapping_Sheet!$C$2:$C$3143=AK$1))), 0, sum(filter(
Master_Mapping_Sheet!$E$2:$E$3143, ISNUMBER(
Master_Mapping_Sheet!$E$2:$E$3143),
Master_Mapping_Sheet!$C$2:$C$3143=AK$1,
Master_Mapping_Sheet!$H$2:$H$3143=$A8))/sum(filter(
Maste"&amp;"r_Mapping_Sheet!$E$2:$E$3143, ISNUMBER(
Master_Mapping_Sheet!$E$2:$E$3143),
Master_Mapping_Sheet!$C$2:$C$3143=AK$1)))"),0.0)</f>
        <v>0</v>
      </c>
      <c r="AL8" s="34">
        <f>IFERROR(__xludf.DUMMYFUNCTION("IF(ISNA(sum(filter(
Master_Mapping_Sheet!$E$2:$E$3143, ISNUMBER(
Master_Mapping_Sheet!$E$2:$E$3143),
Master_Mapping_Sheet!$C$2:$C$3143=AL$1,
Master_Mapping_Sheet!$H$2:$H$3143=$A8))/sum(filter(
Master_Mapping_Sheet!$E$2:$E$3143, ISNUMBER(
Master_Mapping_Sh"&amp;"eet!$E$2:$E$3143),
Master_Mapping_Sheet!$C$2:$C$3143=AL$1))), 0, sum(filter(
Master_Mapping_Sheet!$E$2:$E$3143, ISNUMBER(
Master_Mapping_Sheet!$E$2:$E$3143),
Master_Mapping_Sheet!$C$2:$C$3143=AL$1,
Master_Mapping_Sheet!$H$2:$H$3143=$A8))/sum(filter(
Maste"&amp;"r_Mapping_Sheet!$E$2:$E$3143, ISNUMBER(
Master_Mapping_Sheet!$E$2:$E$3143),
Master_Mapping_Sheet!$C$2:$C$3143=AL$1)))"),0.0)</f>
        <v>0</v>
      </c>
      <c r="AM8" s="34">
        <f>IFERROR(__xludf.DUMMYFUNCTION("IF(ISNA(sum(filter(
Master_Mapping_Sheet!$E$2:$E$3143, ISNUMBER(
Master_Mapping_Sheet!$E$2:$E$3143),
Master_Mapping_Sheet!$C$2:$C$3143=AM$1,
Master_Mapping_Sheet!$H$2:$H$3143=$A8))/sum(filter(
Master_Mapping_Sheet!$E$2:$E$3143, ISNUMBER(
Master_Mapping_Sh"&amp;"eet!$E$2:$E$3143),
Master_Mapping_Sheet!$C$2:$C$3143=AM$1))), 0, sum(filter(
Master_Mapping_Sheet!$E$2:$E$3143, ISNUMBER(
Master_Mapping_Sheet!$E$2:$E$3143),
Master_Mapping_Sheet!$C$2:$C$3143=AM$1,
Master_Mapping_Sheet!$H$2:$H$3143=$A8))/sum(filter(
Maste"&amp;"r_Mapping_Sheet!$E$2:$E$3143, ISNUMBER(
Master_Mapping_Sheet!$E$2:$E$3143),
Master_Mapping_Sheet!$C$2:$C$3143=AM$1)))"),0.0)</f>
        <v>0</v>
      </c>
      <c r="AN8" s="34">
        <f>IFERROR(__xludf.DUMMYFUNCTION("IF(ISNA(sum(filter(
Master_Mapping_Sheet!$E$2:$E$3143, ISNUMBER(
Master_Mapping_Sheet!$E$2:$E$3143),
Master_Mapping_Sheet!$C$2:$C$3143=AN$1,
Master_Mapping_Sheet!$H$2:$H$3143=$A8))/sum(filter(
Master_Mapping_Sheet!$E$2:$E$3143, ISNUMBER(
Master_Mapping_Sh"&amp;"eet!$E$2:$E$3143),
Master_Mapping_Sheet!$C$2:$C$3143=AN$1))), 0, sum(filter(
Master_Mapping_Sheet!$E$2:$E$3143, ISNUMBER(
Master_Mapping_Sheet!$E$2:$E$3143),
Master_Mapping_Sheet!$C$2:$C$3143=AN$1,
Master_Mapping_Sheet!$H$2:$H$3143=$A8))/sum(filter(
Maste"&amp;"r_Mapping_Sheet!$E$2:$E$3143, ISNUMBER(
Master_Mapping_Sheet!$E$2:$E$3143),
Master_Mapping_Sheet!$C$2:$C$3143=AN$1)))"),0.0)</f>
        <v>0</v>
      </c>
      <c r="AO8" s="34">
        <f>IFERROR(__xludf.DUMMYFUNCTION("IF(ISNA(sum(filter(
Master_Mapping_Sheet!$E$2:$E$3143, ISNUMBER(
Master_Mapping_Sheet!$E$2:$E$3143),
Master_Mapping_Sheet!$C$2:$C$3143=AO$1,
Master_Mapping_Sheet!$H$2:$H$3143=$A8))/sum(filter(
Master_Mapping_Sheet!$E$2:$E$3143, ISNUMBER(
Master_Mapping_Sh"&amp;"eet!$E$2:$E$3143),
Master_Mapping_Sheet!$C$2:$C$3143=AO$1))), 0, sum(filter(
Master_Mapping_Sheet!$E$2:$E$3143, ISNUMBER(
Master_Mapping_Sheet!$E$2:$E$3143),
Master_Mapping_Sheet!$C$2:$C$3143=AO$1,
Master_Mapping_Sheet!$H$2:$H$3143=$A8))/sum(filter(
Maste"&amp;"r_Mapping_Sheet!$E$2:$E$3143, ISNUMBER(
Master_Mapping_Sheet!$E$2:$E$3143),
Master_Mapping_Sheet!$C$2:$C$3143=AO$1)))"),1.0)</f>
        <v>1</v>
      </c>
      <c r="AP8" s="34">
        <f>IFERROR(__xludf.DUMMYFUNCTION("IF(ISNA(sum(filter(
Master_Mapping_Sheet!$E$2:$E$3143, ISNUMBER(
Master_Mapping_Sheet!$E$2:$E$3143),
Master_Mapping_Sheet!$C$2:$C$3143=AP$1,
Master_Mapping_Sheet!$H$2:$H$3143=$A8))/sum(filter(
Master_Mapping_Sheet!$E$2:$E$3143, ISNUMBER(
Master_Mapping_Sh"&amp;"eet!$E$2:$E$3143),
Master_Mapping_Sheet!$C$2:$C$3143=AP$1))), 0, sum(filter(
Master_Mapping_Sheet!$E$2:$E$3143, ISNUMBER(
Master_Mapping_Sheet!$E$2:$E$3143),
Master_Mapping_Sheet!$C$2:$C$3143=AP$1,
Master_Mapping_Sheet!$H$2:$H$3143=$A8))/sum(filter(
Maste"&amp;"r_Mapping_Sheet!$E$2:$E$3143, ISNUMBER(
Master_Mapping_Sheet!$E$2:$E$3143),
Master_Mapping_Sheet!$C$2:$C$3143=AP$1)))"),0.0)</f>
        <v>0</v>
      </c>
      <c r="AQ8" s="34">
        <f>IFERROR(__xludf.DUMMYFUNCTION("IF(ISNA(sum(filter(
Master_Mapping_Sheet!$E$2:$E$3143, ISNUMBER(
Master_Mapping_Sheet!$E$2:$E$3143),
Master_Mapping_Sheet!$C$2:$C$3143=AQ$1,
Master_Mapping_Sheet!$H$2:$H$3143=$A8))/sum(filter(
Master_Mapping_Sheet!$E$2:$E$3143, ISNUMBER(
Master_Mapping_Sh"&amp;"eet!$E$2:$E$3143),
Master_Mapping_Sheet!$C$2:$C$3143=AQ$1))), 0, sum(filter(
Master_Mapping_Sheet!$E$2:$E$3143, ISNUMBER(
Master_Mapping_Sheet!$E$2:$E$3143),
Master_Mapping_Sheet!$C$2:$C$3143=AQ$1,
Master_Mapping_Sheet!$H$2:$H$3143=$A8))/sum(filter(
Maste"&amp;"r_Mapping_Sheet!$E$2:$E$3143, ISNUMBER(
Master_Mapping_Sheet!$E$2:$E$3143),
Master_Mapping_Sheet!$C$2:$C$3143=AQ$1)))"),0.0)</f>
        <v>0</v>
      </c>
      <c r="AR8" s="34">
        <f>IFERROR(__xludf.DUMMYFUNCTION("IF(ISNA(sum(filter(
Master_Mapping_Sheet!$E$2:$E$3143, ISNUMBER(
Master_Mapping_Sheet!$E$2:$E$3143),
Master_Mapping_Sheet!$C$2:$C$3143=AR$1,
Master_Mapping_Sheet!$H$2:$H$3143=$A8))/sum(filter(
Master_Mapping_Sheet!$E$2:$E$3143, ISNUMBER(
Master_Mapping_Sh"&amp;"eet!$E$2:$E$3143),
Master_Mapping_Sheet!$C$2:$C$3143=AR$1))), 0, sum(filter(
Master_Mapping_Sheet!$E$2:$E$3143, ISNUMBER(
Master_Mapping_Sheet!$E$2:$E$3143),
Master_Mapping_Sheet!$C$2:$C$3143=AR$1,
Master_Mapping_Sheet!$H$2:$H$3143=$A8))/sum(filter(
Maste"&amp;"r_Mapping_Sheet!$E$2:$E$3143, ISNUMBER(
Master_Mapping_Sheet!$E$2:$E$3143),
Master_Mapping_Sheet!$C$2:$C$3143=AR$1)))"),0.0)</f>
        <v>0</v>
      </c>
      <c r="AS8" s="34">
        <f>IFERROR(__xludf.DUMMYFUNCTION("IF(ISNA(sum(filter(
Master_Mapping_Sheet!$E$2:$E$3143, ISNUMBER(
Master_Mapping_Sheet!$E$2:$E$3143),
Master_Mapping_Sheet!$C$2:$C$3143=AS$1,
Master_Mapping_Sheet!$H$2:$H$3143=$A8))/sum(filter(
Master_Mapping_Sheet!$E$2:$E$3143, ISNUMBER(
Master_Mapping_Sh"&amp;"eet!$E$2:$E$3143),
Master_Mapping_Sheet!$C$2:$C$3143=AS$1))), 0, sum(filter(
Master_Mapping_Sheet!$E$2:$E$3143, ISNUMBER(
Master_Mapping_Sheet!$E$2:$E$3143),
Master_Mapping_Sheet!$C$2:$C$3143=AS$1,
Master_Mapping_Sheet!$H$2:$H$3143=$A8))/sum(filter(
Maste"&amp;"r_Mapping_Sheet!$E$2:$E$3143, ISNUMBER(
Master_Mapping_Sheet!$E$2:$E$3143),
Master_Mapping_Sheet!$C$2:$C$3143=AS$1)))"),0.0)</f>
        <v>0</v>
      </c>
      <c r="AT8" s="34">
        <f>IFERROR(__xludf.DUMMYFUNCTION("IF(ISNA(sum(filter(
Master_Mapping_Sheet!$E$2:$E$3143, ISNUMBER(
Master_Mapping_Sheet!$E$2:$E$3143),
Master_Mapping_Sheet!$C$2:$C$3143=AT$1,
Master_Mapping_Sheet!$H$2:$H$3143=$A8))/sum(filter(
Master_Mapping_Sheet!$E$2:$E$3143, ISNUMBER(
Master_Mapping_Sh"&amp;"eet!$E$2:$E$3143),
Master_Mapping_Sheet!$C$2:$C$3143=AT$1))), 0, sum(filter(
Master_Mapping_Sheet!$E$2:$E$3143, ISNUMBER(
Master_Mapping_Sheet!$E$2:$E$3143),
Master_Mapping_Sheet!$C$2:$C$3143=AT$1,
Master_Mapping_Sheet!$H$2:$H$3143=$A8))/sum(filter(
Maste"&amp;"r_Mapping_Sheet!$E$2:$E$3143, ISNUMBER(
Master_Mapping_Sheet!$E$2:$E$3143),
Master_Mapping_Sheet!$C$2:$C$3143=AT$1)))"),0.0)</f>
        <v>0</v>
      </c>
      <c r="AU8" s="34">
        <f>IFERROR(__xludf.DUMMYFUNCTION("IF(ISNA(sum(filter(
Master_Mapping_Sheet!$E$2:$E$3143, ISNUMBER(
Master_Mapping_Sheet!$E$2:$E$3143),
Master_Mapping_Sheet!$C$2:$C$3143=AU$1,
Master_Mapping_Sheet!$H$2:$H$3143=$A8))/sum(filter(
Master_Mapping_Sheet!$E$2:$E$3143, ISNUMBER(
Master_Mapping_Sh"&amp;"eet!$E$2:$E$3143),
Master_Mapping_Sheet!$C$2:$C$3143=AU$1))), 0, sum(filter(
Master_Mapping_Sheet!$E$2:$E$3143, ISNUMBER(
Master_Mapping_Sheet!$E$2:$E$3143),
Master_Mapping_Sheet!$C$2:$C$3143=AU$1,
Master_Mapping_Sheet!$H$2:$H$3143=$A8))/sum(filter(
Maste"&amp;"r_Mapping_Sheet!$E$2:$E$3143, ISNUMBER(
Master_Mapping_Sheet!$E$2:$E$3143),
Master_Mapping_Sheet!$C$2:$C$3143=AU$1)))"),1.0)</f>
        <v>1</v>
      </c>
      <c r="AV8" s="34">
        <f>IFERROR(__xludf.DUMMYFUNCTION("IF(ISNA(sum(filter(
Master_Mapping_Sheet!$E$2:$E$3143, ISNUMBER(
Master_Mapping_Sheet!$E$2:$E$3143),
Master_Mapping_Sheet!$C$2:$C$3143=AV$1,
Master_Mapping_Sheet!$H$2:$H$3143=$A8))/sum(filter(
Master_Mapping_Sheet!$E$2:$E$3143, ISNUMBER(
Master_Mapping_Sh"&amp;"eet!$E$2:$E$3143),
Master_Mapping_Sheet!$C$2:$C$3143=AV$1))), 0, sum(filter(
Master_Mapping_Sheet!$E$2:$E$3143, ISNUMBER(
Master_Mapping_Sheet!$E$2:$E$3143),
Master_Mapping_Sheet!$C$2:$C$3143=AV$1,
Master_Mapping_Sheet!$H$2:$H$3143=$A8))/sum(filter(
Maste"&amp;"r_Mapping_Sheet!$E$2:$E$3143, ISNUMBER(
Master_Mapping_Sheet!$E$2:$E$3143),
Master_Mapping_Sheet!$C$2:$C$3143=AV$1)))"),0.0)</f>
        <v>0</v>
      </c>
      <c r="AW8" s="34">
        <f>IFERROR(__xludf.DUMMYFUNCTION("IF(ISNA(sum(filter(
Master_Mapping_Sheet!$E$2:$E$3143, ISNUMBER(
Master_Mapping_Sheet!$E$2:$E$3143),
Master_Mapping_Sheet!$C$2:$C$3143=AW$1,
Master_Mapping_Sheet!$H$2:$H$3143=$A8))/sum(filter(
Master_Mapping_Sheet!$E$2:$E$3143, ISNUMBER(
Master_Mapping_Sh"&amp;"eet!$E$2:$E$3143),
Master_Mapping_Sheet!$C$2:$C$3143=AW$1))), 0, sum(filter(
Master_Mapping_Sheet!$E$2:$E$3143, ISNUMBER(
Master_Mapping_Sheet!$E$2:$E$3143),
Master_Mapping_Sheet!$C$2:$C$3143=AW$1,
Master_Mapping_Sheet!$H$2:$H$3143=$A8))/sum(filter(
Maste"&amp;"r_Mapping_Sheet!$E$2:$E$3143, ISNUMBER(
Master_Mapping_Sheet!$E$2:$E$3143),
Master_Mapping_Sheet!$C$2:$C$3143=AW$1)))"),0.0)</f>
        <v>0</v>
      </c>
      <c r="AX8" s="34">
        <f>IFERROR(__xludf.DUMMYFUNCTION("IF(ISNA(sum(filter(
Master_Mapping_Sheet!$E$2:$E$3143, ISNUMBER(
Master_Mapping_Sheet!$E$2:$E$3143),
Master_Mapping_Sheet!$C$2:$C$3143=AX$1,
Master_Mapping_Sheet!$H$2:$H$3143=$A8))/sum(filter(
Master_Mapping_Sheet!$E$2:$E$3143, ISNUMBER(
Master_Mapping_Sh"&amp;"eet!$E$2:$E$3143),
Master_Mapping_Sheet!$C$2:$C$3143=AX$1))), 0, sum(filter(
Master_Mapping_Sheet!$E$2:$E$3143, ISNUMBER(
Master_Mapping_Sheet!$E$2:$E$3143),
Master_Mapping_Sheet!$C$2:$C$3143=AX$1,
Master_Mapping_Sheet!$H$2:$H$3143=$A8))/sum(filter(
Maste"&amp;"r_Mapping_Sheet!$E$2:$E$3143, ISNUMBER(
Master_Mapping_Sheet!$E$2:$E$3143),
Master_Mapping_Sheet!$C$2:$C$3143=AX$1)))"),0.0)</f>
        <v>0</v>
      </c>
      <c r="AY8" s="34">
        <f>IFERROR(__xludf.DUMMYFUNCTION("IF(ISNA(sum(filter(
Master_Mapping_Sheet!$E$2:$E$3143, ISNUMBER(
Master_Mapping_Sheet!$E$2:$E$3143),
Master_Mapping_Sheet!$C$2:$C$3143=AY$1,
Master_Mapping_Sheet!$H$2:$H$3143=$A8))/sum(filter(
Master_Mapping_Sheet!$E$2:$E$3143, ISNUMBER(
Master_Mapping_Sh"&amp;"eet!$E$2:$E$3143),
Master_Mapping_Sheet!$C$2:$C$3143=AY$1))), 0, sum(filter(
Master_Mapping_Sheet!$E$2:$E$3143, ISNUMBER(
Master_Mapping_Sheet!$E$2:$E$3143),
Master_Mapping_Sheet!$C$2:$C$3143=AY$1,
Master_Mapping_Sheet!$H$2:$H$3143=$A8))/sum(filter(
Maste"&amp;"r_Mapping_Sheet!$E$2:$E$3143, ISNUMBER(
Master_Mapping_Sheet!$E$2:$E$3143),
Master_Mapping_Sheet!$C$2:$C$3143=AY$1)))"),0.0)</f>
        <v>0</v>
      </c>
      <c r="AZ8" s="34">
        <f>IFERROR(__xludf.DUMMYFUNCTION("IF(ISNA(sum(filter(
Master_Mapping_Sheet!$E$2:$E$3143, ISNUMBER(
Master_Mapping_Sheet!$E$2:$E$3143),
Master_Mapping_Sheet!$C$2:$C$3143=AZ$1,
Master_Mapping_Sheet!$H$2:$H$3143=$A8))/sum(filter(
Master_Mapping_Sheet!$E$2:$E$3143, ISNUMBER(
Master_Mapping_Sh"&amp;"eet!$E$2:$E$3143),
Master_Mapping_Sheet!$C$2:$C$3143=AZ$1))), 0, sum(filter(
Master_Mapping_Sheet!$E$2:$E$3143, ISNUMBER(
Master_Mapping_Sheet!$E$2:$E$3143),
Master_Mapping_Sheet!$C$2:$C$3143=AZ$1,
Master_Mapping_Sheet!$H$2:$H$3143=$A8))/sum(filter(
Maste"&amp;"r_Mapping_Sheet!$E$2:$E$3143, ISNUMBER(
Master_Mapping_Sheet!$E$2:$E$3143),
Master_Mapping_Sheet!$C$2:$C$3143=AZ$1)))"),0.0)</f>
        <v>0</v>
      </c>
    </row>
    <row r="9" ht="15.75" customHeight="1">
      <c r="A9" s="34" t="s">
        <v>4006</v>
      </c>
      <c r="B9" s="34">
        <f>IFERROR(__xludf.DUMMYFUNCTION("IF(ISNA(sum(filter(
Master_Mapping_Sheet!$E$2:$E$3143, ISNUMBER(
Master_Mapping_Sheet!$E$2:$E$3143),
Master_Mapping_Sheet!$C$2:$C$3143=B$1,
Master_Mapping_Sheet!$H$2:$H$3143=$A9))/sum(filter(
Master_Mapping_Sheet!$E$2:$E$3143, ISNUMBER(
Master_Mapping_She"&amp;"et!$E$2:$E$3143),
Master_Mapping_Sheet!$C$2:$C$3143=B$1))), 0, sum(filter(
Master_Mapping_Sheet!$E$2:$E$3143, ISNUMBER(
Master_Mapping_Sheet!$E$2:$E$3143),
Master_Mapping_Sheet!$C$2:$C$3143=B$1,
Master_Mapping_Sheet!$H$2:$H$3143=$A9))/sum(filter(
Master_M"&amp;"apping_Sheet!$E$2:$E$3143, ISNUMBER(
Master_Mapping_Sheet!$E$2:$E$3143),
Master_Mapping_Sheet!$C$2:$C$3143=B$1)))"),0.0)</f>
        <v>0</v>
      </c>
      <c r="C9" s="34">
        <f>IFERROR(__xludf.DUMMYFUNCTION("IF(ISNA(sum(filter(
Master_Mapping_Sheet!$E$2:$E$3143, ISNUMBER(
Master_Mapping_Sheet!$E$2:$E$3143),
Master_Mapping_Sheet!$C$2:$C$3143=C$1,
Master_Mapping_Sheet!$H$2:$H$3143=$A9))/sum(filter(
Master_Mapping_Sheet!$E$2:$E$3143, ISNUMBER(
Master_Mapping_She"&amp;"et!$E$2:$E$3143),
Master_Mapping_Sheet!$C$2:$C$3143=C$1))), 0, sum(filter(
Master_Mapping_Sheet!$E$2:$E$3143, ISNUMBER(
Master_Mapping_Sheet!$E$2:$E$3143),
Master_Mapping_Sheet!$C$2:$C$3143=C$1,
Master_Mapping_Sheet!$H$2:$H$3143=$A9))/sum(filter(
Master_M"&amp;"apping_Sheet!$E$2:$E$3143, ISNUMBER(
Master_Mapping_Sheet!$E$2:$E$3143),
Master_Mapping_Sheet!$C$2:$C$3143=C$1)))"),0.0)</f>
        <v>0</v>
      </c>
      <c r="D9" s="34">
        <f>IFERROR(__xludf.DUMMYFUNCTION("IF(ISNA(sum(filter(
Master_Mapping_Sheet!$E$2:$E$3143, ISNUMBER(
Master_Mapping_Sheet!$E$2:$E$3143),
Master_Mapping_Sheet!$C$2:$C$3143=D$1,
Master_Mapping_Sheet!$H$2:$H$3143=$A9))/sum(filter(
Master_Mapping_Sheet!$E$2:$E$3143, ISNUMBER(
Master_Mapping_She"&amp;"et!$E$2:$E$3143),
Master_Mapping_Sheet!$C$2:$C$3143=D$1))), 0, sum(filter(
Master_Mapping_Sheet!$E$2:$E$3143, ISNUMBER(
Master_Mapping_Sheet!$E$2:$E$3143),
Master_Mapping_Sheet!$C$2:$C$3143=D$1,
Master_Mapping_Sheet!$H$2:$H$3143=$A9))/sum(filter(
Master_M"&amp;"apping_Sheet!$E$2:$E$3143, ISNUMBER(
Master_Mapping_Sheet!$E$2:$E$3143),
Master_Mapping_Sheet!$C$2:$C$3143=D$1)))"),0.0)</f>
        <v>0</v>
      </c>
      <c r="E9" s="34">
        <f>IFERROR(__xludf.DUMMYFUNCTION("IF(ISNA(sum(filter(
Master_Mapping_Sheet!$E$2:$E$3143, ISNUMBER(
Master_Mapping_Sheet!$E$2:$E$3143),
Master_Mapping_Sheet!$C$2:$C$3143=E$1,
Master_Mapping_Sheet!$H$2:$H$3143=$A9))/sum(filter(
Master_Mapping_Sheet!$E$2:$E$3143, ISNUMBER(
Master_Mapping_She"&amp;"et!$E$2:$E$3143),
Master_Mapping_Sheet!$C$2:$C$3143=E$1))), 0, sum(filter(
Master_Mapping_Sheet!$E$2:$E$3143, ISNUMBER(
Master_Mapping_Sheet!$E$2:$E$3143),
Master_Mapping_Sheet!$C$2:$C$3143=E$1,
Master_Mapping_Sheet!$H$2:$H$3143=$A9))/sum(filter(
Master_M"&amp;"apping_Sheet!$E$2:$E$3143, ISNUMBER(
Master_Mapping_Sheet!$E$2:$E$3143),
Master_Mapping_Sheet!$C$2:$C$3143=E$1)))"),0.0)</f>
        <v>0</v>
      </c>
      <c r="F9" s="34">
        <f>IFERROR(__xludf.DUMMYFUNCTION("IF(ISNA(sum(filter(
Master_Mapping_Sheet!$E$2:$E$3143, ISNUMBER(
Master_Mapping_Sheet!$E$2:$E$3143),
Master_Mapping_Sheet!$C$2:$C$3143=F$1,
Master_Mapping_Sheet!$H$2:$H$3143=$A9))/sum(filter(
Master_Mapping_Sheet!$E$2:$E$3143, ISNUMBER(
Master_Mapping_She"&amp;"et!$E$2:$E$3143),
Master_Mapping_Sheet!$C$2:$C$3143=F$1))), 0, sum(filter(
Master_Mapping_Sheet!$E$2:$E$3143, ISNUMBER(
Master_Mapping_Sheet!$E$2:$E$3143),
Master_Mapping_Sheet!$C$2:$C$3143=F$1,
Master_Mapping_Sheet!$H$2:$H$3143=$A9))/sum(filter(
Master_M"&amp;"apping_Sheet!$E$2:$E$3143, ISNUMBER(
Master_Mapping_Sheet!$E$2:$E$3143),
Master_Mapping_Sheet!$C$2:$C$3143=F$1)))"),0.0)</f>
        <v>0</v>
      </c>
      <c r="G9" s="34">
        <f>IFERROR(__xludf.DUMMYFUNCTION("IF(ISNA(sum(filter(
Master_Mapping_Sheet!$E$2:$E$3143, ISNUMBER(
Master_Mapping_Sheet!$E$2:$E$3143),
Master_Mapping_Sheet!$C$2:$C$3143=G$1,
Master_Mapping_Sheet!$H$2:$H$3143=$A9))/sum(filter(
Master_Mapping_Sheet!$E$2:$E$3143, ISNUMBER(
Master_Mapping_She"&amp;"et!$E$2:$E$3143),
Master_Mapping_Sheet!$C$2:$C$3143=G$1))), 0, sum(filter(
Master_Mapping_Sheet!$E$2:$E$3143, ISNUMBER(
Master_Mapping_Sheet!$E$2:$E$3143),
Master_Mapping_Sheet!$C$2:$C$3143=G$1,
Master_Mapping_Sheet!$H$2:$H$3143=$A9))/sum(filter(
Master_M"&amp;"apping_Sheet!$E$2:$E$3143, ISNUMBER(
Master_Mapping_Sheet!$E$2:$E$3143),
Master_Mapping_Sheet!$C$2:$C$3143=G$1)))"),0.0)</f>
        <v>0</v>
      </c>
      <c r="H9" s="34">
        <f>IFERROR(__xludf.DUMMYFUNCTION("IF(ISNA(sum(filter(
Master_Mapping_Sheet!$E$2:$E$3143, ISNUMBER(
Master_Mapping_Sheet!$E$2:$E$3143),
Master_Mapping_Sheet!$C$2:$C$3143=H$1,
Master_Mapping_Sheet!$H$2:$H$3143=$A9))/sum(filter(
Master_Mapping_Sheet!$E$2:$E$3143, ISNUMBER(
Master_Mapping_She"&amp;"et!$E$2:$E$3143),
Master_Mapping_Sheet!$C$2:$C$3143=H$1))), 0, sum(filter(
Master_Mapping_Sheet!$E$2:$E$3143, ISNUMBER(
Master_Mapping_Sheet!$E$2:$E$3143),
Master_Mapping_Sheet!$C$2:$C$3143=H$1,
Master_Mapping_Sheet!$H$2:$H$3143=$A9))/sum(filter(
Master_M"&amp;"apping_Sheet!$E$2:$E$3143, ISNUMBER(
Master_Mapping_Sheet!$E$2:$E$3143),
Master_Mapping_Sheet!$C$2:$C$3143=H$1)))"),0.0)</f>
        <v>0</v>
      </c>
      <c r="I9" s="34">
        <f>IFERROR(__xludf.DUMMYFUNCTION("IF(ISNA(sum(filter(
Master_Mapping_Sheet!$E$2:$E$3143, ISNUMBER(
Master_Mapping_Sheet!$E$2:$E$3143),
Master_Mapping_Sheet!$C$2:$C$3143=I$1,
Master_Mapping_Sheet!$H$2:$H$3143=$A9))/sum(filter(
Master_Mapping_Sheet!$E$2:$E$3143, ISNUMBER(
Master_Mapping_She"&amp;"et!$E$2:$E$3143),
Master_Mapping_Sheet!$C$2:$C$3143=I$1))), 0, sum(filter(
Master_Mapping_Sheet!$E$2:$E$3143, ISNUMBER(
Master_Mapping_Sheet!$E$2:$E$3143),
Master_Mapping_Sheet!$C$2:$C$3143=I$1,
Master_Mapping_Sheet!$H$2:$H$3143=$A9))/sum(filter(
Master_M"&amp;"apping_Sheet!$E$2:$E$3143, ISNUMBER(
Master_Mapping_Sheet!$E$2:$E$3143),
Master_Mapping_Sheet!$C$2:$C$3143=I$1)))"),0.0)</f>
        <v>0</v>
      </c>
      <c r="J9" s="34">
        <f>IFERROR(__xludf.DUMMYFUNCTION("IF(ISNA(sum(filter(
Master_Mapping_Sheet!$E$2:$E$3143, ISNUMBER(
Master_Mapping_Sheet!$E$2:$E$3143),
Master_Mapping_Sheet!$C$2:$C$3143=J$1,
Master_Mapping_Sheet!$H$2:$H$3143=$A9))/sum(filter(
Master_Mapping_Sheet!$E$2:$E$3143, ISNUMBER(
Master_Mapping_She"&amp;"et!$E$2:$E$3143),
Master_Mapping_Sheet!$C$2:$C$3143=J$1))), 0, sum(filter(
Master_Mapping_Sheet!$E$2:$E$3143, ISNUMBER(
Master_Mapping_Sheet!$E$2:$E$3143),
Master_Mapping_Sheet!$C$2:$C$3143=J$1,
Master_Mapping_Sheet!$H$2:$H$3143=$A9))/sum(filter(
Master_M"&amp;"apping_Sheet!$E$2:$E$3143, ISNUMBER(
Master_Mapping_Sheet!$E$2:$E$3143),
Master_Mapping_Sheet!$C$2:$C$3143=J$1)))"),0.0)</f>
        <v>0</v>
      </c>
      <c r="K9" s="34">
        <f>IFERROR(__xludf.DUMMYFUNCTION("IF(ISNA(sum(filter(
Master_Mapping_Sheet!$E$2:$E$3143, ISNUMBER(
Master_Mapping_Sheet!$E$2:$E$3143),
Master_Mapping_Sheet!$C$2:$C$3143=K$1,
Master_Mapping_Sheet!$H$2:$H$3143=$A9))/sum(filter(
Master_Mapping_Sheet!$E$2:$E$3143, ISNUMBER(
Master_Mapping_She"&amp;"et!$E$2:$E$3143),
Master_Mapping_Sheet!$C$2:$C$3143=K$1))), 0, sum(filter(
Master_Mapping_Sheet!$E$2:$E$3143, ISNUMBER(
Master_Mapping_Sheet!$E$2:$E$3143),
Master_Mapping_Sheet!$C$2:$C$3143=K$1,
Master_Mapping_Sheet!$H$2:$H$3143=$A9))/sum(filter(
Master_M"&amp;"apping_Sheet!$E$2:$E$3143, ISNUMBER(
Master_Mapping_Sheet!$E$2:$E$3143),
Master_Mapping_Sheet!$C$2:$C$3143=K$1)))"),0.0)</f>
        <v>0</v>
      </c>
      <c r="L9" s="34">
        <f>IFERROR(__xludf.DUMMYFUNCTION("IF(ISNA(sum(filter(
Master_Mapping_Sheet!$E$2:$E$3143, ISNUMBER(
Master_Mapping_Sheet!$E$2:$E$3143),
Master_Mapping_Sheet!$C$2:$C$3143=L$1,
Master_Mapping_Sheet!$H$2:$H$3143=$A9))/sum(filter(
Master_Mapping_Sheet!$E$2:$E$3143, ISNUMBER(
Master_Mapping_She"&amp;"et!$E$2:$E$3143),
Master_Mapping_Sheet!$C$2:$C$3143=L$1))), 0, sum(filter(
Master_Mapping_Sheet!$E$2:$E$3143, ISNUMBER(
Master_Mapping_Sheet!$E$2:$E$3143),
Master_Mapping_Sheet!$C$2:$C$3143=L$1,
Master_Mapping_Sheet!$H$2:$H$3143=$A9))/sum(filter(
Master_M"&amp;"apping_Sheet!$E$2:$E$3143, ISNUMBER(
Master_Mapping_Sheet!$E$2:$E$3143),
Master_Mapping_Sheet!$C$2:$C$3143=L$1)))"),0.0)</f>
        <v>0</v>
      </c>
      <c r="M9" s="34">
        <f>IFERROR(__xludf.DUMMYFUNCTION("IF(ISNA(sum(filter(
Master_Mapping_Sheet!$E$2:$E$3143, ISNUMBER(
Master_Mapping_Sheet!$E$2:$E$3143),
Master_Mapping_Sheet!$C$2:$C$3143=M$1,
Master_Mapping_Sheet!$H$2:$H$3143=$A9))/sum(filter(
Master_Mapping_Sheet!$E$2:$E$3143, ISNUMBER(
Master_Mapping_She"&amp;"et!$E$2:$E$3143),
Master_Mapping_Sheet!$C$2:$C$3143=M$1))), 0, sum(filter(
Master_Mapping_Sheet!$E$2:$E$3143, ISNUMBER(
Master_Mapping_Sheet!$E$2:$E$3143),
Master_Mapping_Sheet!$C$2:$C$3143=M$1,
Master_Mapping_Sheet!$H$2:$H$3143=$A9))/sum(filter(
Master_M"&amp;"apping_Sheet!$E$2:$E$3143, ISNUMBER(
Master_Mapping_Sheet!$E$2:$E$3143),
Master_Mapping_Sheet!$C$2:$C$3143=M$1)))"),0.0)</f>
        <v>0</v>
      </c>
      <c r="N9" s="34">
        <f>IFERROR(__xludf.DUMMYFUNCTION("IF(ISNA(sum(filter(
Master_Mapping_Sheet!$E$2:$E$3143, ISNUMBER(
Master_Mapping_Sheet!$E$2:$E$3143),
Master_Mapping_Sheet!$C$2:$C$3143=N$1,
Master_Mapping_Sheet!$H$2:$H$3143=$A9))/sum(filter(
Master_Mapping_Sheet!$E$2:$E$3143, ISNUMBER(
Master_Mapping_She"&amp;"et!$E$2:$E$3143),
Master_Mapping_Sheet!$C$2:$C$3143=N$1))), 0, sum(filter(
Master_Mapping_Sheet!$E$2:$E$3143, ISNUMBER(
Master_Mapping_Sheet!$E$2:$E$3143),
Master_Mapping_Sheet!$C$2:$C$3143=N$1,
Master_Mapping_Sheet!$H$2:$H$3143=$A9))/sum(filter(
Master_M"&amp;"apping_Sheet!$E$2:$E$3143, ISNUMBER(
Master_Mapping_Sheet!$E$2:$E$3143),
Master_Mapping_Sheet!$C$2:$C$3143=N$1)))"),0.0)</f>
        <v>0</v>
      </c>
      <c r="O9" s="34">
        <f>IFERROR(__xludf.DUMMYFUNCTION("IF(ISNA(sum(filter(
Master_Mapping_Sheet!$E$2:$E$3143, ISNUMBER(
Master_Mapping_Sheet!$E$2:$E$3143),
Master_Mapping_Sheet!$C$2:$C$3143=O$1,
Master_Mapping_Sheet!$H$2:$H$3143=$A9))/sum(filter(
Master_Mapping_Sheet!$E$2:$E$3143, ISNUMBER(
Master_Mapping_She"&amp;"et!$E$2:$E$3143),
Master_Mapping_Sheet!$C$2:$C$3143=O$1))), 0, sum(filter(
Master_Mapping_Sheet!$E$2:$E$3143, ISNUMBER(
Master_Mapping_Sheet!$E$2:$E$3143),
Master_Mapping_Sheet!$C$2:$C$3143=O$1,
Master_Mapping_Sheet!$H$2:$H$3143=$A9))/sum(filter(
Master_M"&amp;"apping_Sheet!$E$2:$E$3143, ISNUMBER(
Master_Mapping_Sheet!$E$2:$E$3143),
Master_Mapping_Sheet!$C$2:$C$3143=O$1)))"),0.0)</f>
        <v>0</v>
      </c>
      <c r="P9" s="34">
        <f>IFERROR(__xludf.DUMMYFUNCTION("IF(ISNA(sum(filter(
Master_Mapping_Sheet!$E$2:$E$3143, ISNUMBER(
Master_Mapping_Sheet!$E$2:$E$3143),
Master_Mapping_Sheet!$C$2:$C$3143=P$1,
Master_Mapping_Sheet!$H$2:$H$3143=$A9))/sum(filter(
Master_Mapping_Sheet!$E$2:$E$3143, ISNUMBER(
Master_Mapping_She"&amp;"et!$E$2:$E$3143),
Master_Mapping_Sheet!$C$2:$C$3143=P$1))), 0, sum(filter(
Master_Mapping_Sheet!$E$2:$E$3143, ISNUMBER(
Master_Mapping_Sheet!$E$2:$E$3143),
Master_Mapping_Sheet!$C$2:$C$3143=P$1,
Master_Mapping_Sheet!$H$2:$H$3143=$A9))/sum(filter(
Master_M"&amp;"apping_Sheet!$E$2:$E$3143, ISNUMBER(
Master_Mapping_Sheet!$E$2:$E$3143),
Master_Mapping_Sheet!$C$2:$C$3143=P$1)))"),0.0)</f>
        <v>0</v>
      </c>
      <c r="Q9" s="34">
        <f>IFERROR(__xludf.DUMMYFUNCTION("IF(ISNA(sum(filter(
Master_Mapping_Sheet!$E$2:$E$3143, ISNUMBER(
Master_Mapping_Sheet!$E$2:$E$3143),
Master_Mapping_Sheet!$C$2:$C$3143=Q$1,
Master_Mapping_Sheet!$H$2:$H$3143=$A9))/sum(filter(
Master_Mapping_Sheet!$E$2:$E$3143, ISNUMBER(
Master_Mapping_She"&amp;"et!$E$2:$E$3143),
Master_Mapping_Sheet!$C$2:$C$3143=Q$1))), 0, sum(filter(
Master_Mapping_Sheet!$E$2:$E$3143, ISNUMBER(
Master_Mapping_Sheet!$E$2:$E$3143),
Master_Mapping_Sheet!$C$2:$C$3143=Q$1,
Master_Mapping_Sheet!$H$2:$H$3143=$A9))/sum(filter(
Master_M"&amp;"apping_Sheet!$E$2:$E$3143, ISNUMBER(
Master_Mapping_Sheet!$E$2:$E$3143),
Master_Mapping_Sheet!$C$2:$C$3143=Q$1)))"),0.0)</f>
        <v>0</v>
      </c>
      <c r="R9" s="34">
        <f>IFERROR(__xludf.DUMMYFUNCTION("IF(ISNA(sum(filter(
Master_Mapping_Sheet!$E$2:$E$3143, ISNUMBER(
Master_Mapping_Sheet!$E$2:$E$3143),
Master_Mapping_Sheet!$C$2:$C$3143=R$1,
Master_Mapping_Sheet!$H$2:$H$3143=$A9))/sum(filter(
Master_Mapping_Sheet!$E$2:$E$3143, ISNUMBER(
Master_Mapping_She"&amp;"et!$E$2:$E$3143),
Master_Mapping_Sheet!$C$2:$C$3143=R$1))), 0, sum(filter(
Master_Mapping_Sheet!$E$2:$E$3143, ISNUMBER(
Master_Mapping_Sheet!$E$2:$E$3143),
Master_Mapping_Sheet!$C$2:$C$3143=R$1,
Master_Mapping_Sheet!$H$2:$H$3143=$A9))/sum(filter(
Master_M"&amp;"apping_Sheet!$E$2:$E$3143, ISNUMBER(
Master_Mapping_Sheet!$E$2:$E$3143),
Master_Mapping_Sheet!$C$2:$C$3143=R$1)))"),0.0)</f>
        <v>0</v>
      </c>
      <c r="S9" s="34">
        <f>IFERROR(__xludf.DUMMYFUNCTION("IF(ISNA(sum(filter(
Master_Mapping_Sheet!$E$2:$E$3143, ISNUMBER(
Master_Mapping_Sheet!$E$2:$E$3143),
Master_Mapping_Sheet!$C$2:$C$3143=S$1,
Master_Mapping_Sheet!$H$2:$H$3143=$A9))/sum(filter(
Master_Mapping_Sheet!$E$2:$E$3143, ISNUMBER(
Master_Mapping_She"&amp;"et!$E$2:$E$3143),
Master_Mapping_Sheet!$C$2:$C$3143=S$1))), 0, sum(filter(
Master_Mapping_Sheet!$E$2:$E$3143, ISNUMBER(
Master_Mapping_Sheet!$E$2:$E$3143),
Master_Mapping_Sheet!$C$2:$C$3143=S$1,
Master_Mapping_Sheet!$H$2:$H$3143=$A9))/sum(filter(
Master_M"&amp;"apping_Sheet!$E$2:$E$3143, ISNUMBER(
Master_Mapping_Sheet!$E$2:$E$3143),
Master_Mapping_Sheet!$C$2:$C$3143=S$1)))"),0.0)</f>
        <v>0</v>
      </c>
      <c r="T9" s="34">
        <f>IFERROR(__xludf.DUMMYFUNCTION("IF(ISNA(sum(filter(
Master_Mapping_Sheet!$E$2:$E$3143, ISNUMBER(
Master_Mapping_Sheet!$E$2:$E$3143),
Master_Mapping_Sheet!$C$2:$C$3143=T$1,
Master_Mapping_Sheet!$H$2:$H$3143=$A9))/sum(filter(
Master_Mapping_Sheet!$E$2:$E$3143, ISNUMBER(
Master_Mapping_She"&amp;"et!$E$2:$E$3143),
Master_Mapping_Sheet!$C$2:$C$3143=T$1))), 0, sum(filter(
Master_Mapping_Sheet!$E$2:$E$3143, ISNUMBER(
Master_Mapping_Sheet!$E$2:$E$3143),
Master_Mapping_Sheet!$C$2:$C$3143=T$1,
Master_Mapping_Sheet!$H$2:$H$3143=$A9))/sum(filter(
Master_M"&amp;"apping_Sheet!$E$2:$E$3143, ISNUMBER(
Master_Mapping_Sheet!$E$2:$E$3143),
Master_Mapping_Sheet!$C$2:$C$3143=T$1)))"),0.0)</f>
        <v>0</v>
      </c>
      <c r="U9" s="34">
        <f>IFERROR(__xludf.DUMMYFUNCTION("IF(ISNA(sum(filter(
Master_Mapping_Sheet!$E$2:$E$3143, ISNUMBER(
Master_Mapping_Sheet!$E$2:$E$3143),
Master_Mapping_Sheet!$C$2:$C$3143=U$1,
Master_Mapping_Sheet!$H$2:$H$3143=$A9))/sum(filter(
Master_Mapping_Sheet!$E$2:$E$3143, ISNUMBER(
Master_Mapping_She"&amp;"et!$E$2:$E$3143),
Master_Mapping_Sheet!$C$2:$C$3143=U$1))), 0, sum(filter(
Master_Mapping_Sheet!$E$2:$E$3143, ISNUMBER(
Master_Mapping_Sheet!$E$2:$E$3143),
Master_Mapping_Sheet!$C$2:$C$3143=U$1,
Master_Mapping_Sheet!$H$2:$H$3143=$A9))/sum(filter(
Master_M"&amp;"apping_Sheet!$E$2:$E$3143, ISNUMBER(
Master_Mapping_Sheet!$E$2:$E$3143),
Master_Mapping_Sheet!$C$2:$C$3143=U$1)))"),0.0)</f>
        <v>0</v>
      </c>
      <c r="V9" s="34">
        <f>IFERROR(__xludf.DUMMYFUNCTION("IF(ISNA(sum(filter(
Master_Mapping_Sheet!$E$2:$E$3143, ISNUMBER(
Master_Mapping_Sheet!$E$2:$E$3143),
Master_Mapping_Sheet!$C$2:$C$3143=V$1,
Master_Mapping_Sheet!$H$2:$H$3143=$A9))/sum(filter(
Master_Mapping_Sheet!$E$2:$E$3143, ISNUMBER(
Master_Mapping_She"&amp;"et!$E$2:$E$3143),
Master_Mapping_Sheet!$C$2:$C$3143=V$1))), 0, sum(filter(
Master_Mapping_Sheet!$E$2:$E$3143, ISNUMBER(
Master_Mapping_Sheet!$E$2:$E$3143),
Master_Mapping_Sheet!$C$2:$C$3143=V$1,
Master_Mapping_Sheet!$H$2:$H$3143=$A9))/sum(filter(
Master_M"&amp;"apping_Sheet!$E$2:$E$3143, ISNUMBER(
Master_Mapping_Sheet!$E$2:$E$3143),
Master_Mapping_Sheet!$C$2:$C$3143=V$1)))"),0.0)</f>
        <v>0</v>
      </c>
      <c r="W9" s="34">
        <f>IFERROR(__xludf.DUMMYFUNCTION("IF(ISNA(sum(filter(
Master_Mapping_Sheet!$E$2:$E$3143, ISNUMBER(
Master_Mapping_Sheet!$E$2:$E$3143),
Master_Mapping_Sheet!$C$2:$C$3143=W$1,
Master_Mapping_Sheet!$H$2:$H$3143=$A9))/sum(filter(
Master_Mapping_Sheet!$E$2:$E$3143, ISNUMBER(
Master_Mapping_She"&amp;"et!$E$2:$E$3143),
Master_Mapping_Sheet!$C$2:$C$3143=W$1))), 0, sum(filter(
Master_Mapping_Sheet!$E$2:$E$3143, ISNUMBER(
Master_Mapping_Sheet!$E$2:$E$3143),
Master_Mapping_Sheet!$C$2:$C$3143=W$1,
Master_Mapping_Sheet!$H$2:$H$3143=$A9))/sum(filter(
Master_M"&amp;"apping_Sheet!$E$2:$E$3143, ISNUMBER(
Master_Mapping_Sheet!$E$2:$E$3143),
Master_Mapping_Sheet!$C$2:$C$3143=W$1)))"),0.0)</f>
        <v>0</v>
      </c>
      <c r="X9" s="34">
        <f>IFERROR(__xludf.DUMMYFUNCTION("IF(ISNA(sum(filter(
Master_Mapping_Sheet!$E$2:$E$3143, ISNUMBER(
Master_Mapping_Sheet!$E$2:$E$3143),
Master_Mapping_Sheet!$C$2:$C$3143=X$1,
Master_Mapping_Sheet!$H$2:$H$3143=$A9))/sum(filter(
Master_Mapping_Sheet!$E$2:$E$3143, ISNUMBER(
Master_Mapping_She"&amp;"et!$E$2:$E$3143),
Master_Mapping_Sheet!$C$2:$C$3143=X$1))), 0, sum(filter(
Master_Mapping_Sheet!$E$2:$E$3143, ISNUMBER(
Master_Mapping_Sheet!$E$2:$E$3143),
Master_Mapping_Sheet!$C$2:$C$3143=X$1,
Master_Mapping_Sheet!$H$2:$H$3143=$A9))/sum(filter(
Master_M"&amp;"apping_Sheet!$E$2:$E$3143, ISNUMBER(
Master_Mapping_Sheet!$E$2:$E$3143),
Master_Mapping_Sheet!$C$2:$C$3143=X$1)))"),0.0)</f>
        <v>0</v>
      </c>
      <c r="Y9" s="34">
        <f>IFERROR(__xludf.DUMMYFUNCTION("IF(ISNA(sum(filter(
Master_Mapping_Sheet!$E$2:$E$3143, ISNUMBER(
Master_Mapping_Sheet!$E$2:$E$3143),
Master_Mapping_Sheet!$C$2:$C$3143=Y$1,
Master_Mapping_Sheet!$H$2:$H$3143=$A9))/sum(filter(
Master_Mapping_Sheet!$E$2:$E$3143, ISNUMBER(
Master_Mapping_She"&amp;"et!$E$2:$E$3143),
Master_Mapping_Sheet!$C$2:$C$3143=Y$1))), 0, sum(filter(
Master_Mapping_Sheet!$E$2:$E$3143, ISNUMBER(
Master_Mapping_Sheet!$E$2:$E$3143),
Master_Mapping_Sheet!$C$2:$C$3143=Y$1,
Master_Mapping_Sheet!$H$2:$H$3143=$A9))/sum(filter(
Master_M"&amp;"apping_Sheet!$E$2:$E$3143, ISNUMBER(
Master_Mapping_Sheet!$E$2:$E$3143),
Master_Mapping_Sheet!$C$2:$C$3143=Y$1)))"),0.0)</f>
        <v>0</v>
      </c>
      <c r="Z9" s="34">
        <f>IFERROR(__xludf.DUMMYFUNCTION("IF(ISNA(sum(filter(
Master_Mapping_Sheet!$E$2:$E$3143, ISNUMBER(
Master_Mapping_Sheet!$E$2:$E$3143),
Master_Mapping_Sheet!$C$2:$C$3143=Z$1,
Master_Mapping_Sheet!$H$2:$H$3143=$A9))/sum(filter(
Master_Mapping_Sheet!$E$2:$E$3143, ISNUMBER(
Master_Mapping_She"&amp;"et!$E$2:$E$3143),
Master_Mapping_Sheet!$C$2:$C$3143=Z$1))), 0, sum(filter(
Master_Mapping_Sheet!$E$2:$E$3143, ISNUMBER(
Master_Mapping_Sheet!$E$2:$E$3143),
Master_Mapping_Sheet!$C$2:$C$3143=Z$1,
Master_Mapping_Sheet!$H$2:$H$3143=$A9))/sum(filter(
Master_M"&amp;"apping_Sheet!$E$2:$E$3143, ISNUMBER(
Master_Mapping_Sheet!$E$2:$E$3143),
Master_Mapping_Sheet!$C$2:$C$3143=Z$1)))"),0.0)</f>
        <v>0</v>
      </c>
      <c r="AA9" s="34">
        <f>IFERROR(__xludf.DUMMYFUNCTION("IF(ISNA(sum(filter(
Master_Mapping_Sheet!$E$2:$E$3143, ISNUMBER(
Master_Mapping_Sheet!$E$2:$E$3143),
Master_Mapping_Sheet!$C$2:$C$3143=AA$1,
Master_Mapping_Sheet!$H$2:$H$3143=$A9))/sum(filter(
Master_Mapping_Sheet!$E$2:$E$3143, ISNUMBER(
Master_Mapping_Sh"&amp;"eet!$E$2:$E$3143),
Master_Mapping_Sheet!$C$2:$C$3143=AA$1))), 0, sum(filter(
Master_Mapping_Sheet!$E$2:$E$3143, ISNUMBER(
Master_Mapping_Sheet!$E$2:$E$3143),
Master_Mapping_Sheet!$C$2:$C$3143=AA$1,
Master_Mapping_Sheet!$H$2:$H$3143=$A9))/sum(filter(
Maste"&amp;"r_Mapping_Sheet!$E$2:$E$3143, ISNUMBER(
Master_Mapping_Sheet!$E$2:$E$3143),
Master_Mapping_Sheet!$C$2:$C$3143=AA$1)))"),0.0)</f>
        <v>0</v>
      </c>
      <c r="AB9" s="34">
        <f>IFERROR(__xludf.DUMMYFUNCTION("IF(ISNA(sum(filter(
Master_Mapping_Sheet!$E$2:$E$3143, ISNUMBER(
Master_Mapping_Sheet!$E$2:$E$3143),
Master_Mapping_Sheet!$C$2:$C$3143=AB$1,
Master_Mapping_Sheet!$H$2:$H$3143=$A9))/sum(filter(
Master_Mapping_Sheet!$E$2:$E$3143, ISNUMBER(
Master_Mapping_Sh"&amp;"eet!$E$2:$E$3143),
Master_Mapping_Sheet!$C$2:$C$3143=AB$1))), 0, sum(filter(
Master_Mapping_Sheet!$E$2:$E$3143, ISNUMBER(
Master_Mapping_Sheet!$E$2:$E$3143),
Master_Mapping_Sheet!$C$2:$C$3143=AB$1,
Master_Mapping_Sheet!$H$2:$H$3143=$A9))/sum(filter(
Maste"&amp;"r_Mapping_Sheet!$E$2:$E$3143, ISNUMBER(
Master_Mapping_Sheet!$E$2:$E$3143),
Master_Mapping_Sheet!$C$2:$C$3143=AB$1)))"),0.0)</f>
        <v>0</v>
      </c>
      <c r="AC9" s="34">
        <f>IFERROR(__xludf.DUMMYFUNCTION("IF(ISNA(sum(filter(
Master_Mapping_Sheet!$E$2:$E$3143, ISNUMBER(
Master_Mapping_Sheet!$E$2:$E$3143),
Master_Mapping_Sheet!$C$2:$C$3143=AC$1,
Master_Mapping_Sheet!$H$2:$H$3143=$A9))/sum(filter(
Master_Mapping_Sheet!$E$2:$E$3143, ISNUMBER(
Master_Mapping_Sh"&amp;"eet!$E$2:$E$3143),
Master_Mapping_Sheet!$C$2:$C$3143=AC$1))), 0, sum(filter(
Master_Mapping_Sheet!$E$2:$E$3143, ISNUMBER(
Master_Mapping_Sheet!$E$2:$E$3143),
Master_Mapping_Sheet!$C$2:$C$3143=AC$1,
Master_Mapping_Sheet!$H$2:$H$3143=$A9))/sum(filter(
Maste"&amp;"r_Mapping_Sheet!$E$2:$E$3143, ISNUMBER(
Master_Mapping_Sheet!$E$2:$E$3143),
Master_Mapping_Sheet!$C$2:$C$3143=AC$1)))"),0.0)</f>
        <v>0</v>
      </c>
      <c r="AD9" s="34">
        <f>IFERROR(__xludf.DUMMYFUNCTION("IF(ISNA(sum(filter(
Master_Mapping_Sheet!$E$2:$E$3143, ISNUMBER(
Master_Mapping_Sheet!$E$2:$E$3143),
Master_Mapping_Sheet!$C$2:$C$3143=AD$1,
Master_Mapping_Sheet!$H$2:$H$3143=$A9))/sum(filter(
Master_Mapping_Sheet!$E$2:$E$3143, ISNUMBER(
Master_Mapping_Sh"&amp;"eet!$E$2:$E$3143),
Master_Mapping_Sheet!$C$2:$C$3143=AD$1))), 0, sum(filter(
Master_Mapping_Sheet!$E$2:$E$3143, ISNUMBER(
Master_Mapping_Sheet!$E$2:$E$3143),
Master_Mapping_Sheet!$C$2:$C$3143=AD$1,
Master_Mapping_Sheet!$H$2:$H$3143=$A9))/sum(filter(
Maste"&amp;"r_Mapping_Sheet!$E$2:$E$3143, ISNUMBER(
Master_Mapping_Sheet!$E$2:$E$3143),
Master_Mapping_Sheet!$C$2:$C$3143=AD$1)))"),0.0)</f>
        <v>0</v>
      </c>
      <c r="AE9" s="34">
        <f>IFERROR(__xludf.DUMMYFUNCTION("IF(ISNA(sum(filter(
Master_Mapping_Sheet!$E$2:$E$3143, ISNUMBER(
Master_Mapping_Sheet!$E$2:$E$3143),
Master_Mapping_Sheet!$C$2:$C$3143=AE$1,
Master_Mapping_Sheet!$H$2:$H$3143=$A9))/sum(filter(
Master_Mapping_Sheet!$E$2:$E$3143, ISNUMBER(
Master_Mapping_Sh"&amp;"eet!$E$2:$E$3143),
Master_Mapping_Sheet!$C$2:$C$3143=AE$1))), 0, sum(filter(
Master_Mapping_Sheet!$E$2:$E$3143, ISNUMBER(
Master_Mapping_Sheet!$E$2:$E$3143),
Master_Mapping_Sheet!$C$2:$C$3143=AE$1,
Master_Mapping_Sheet!$H$2:$H$3143=$A9))/sum(filter(
Maste"&amp;"r_Mapping_Sheet!$E$2:$E$3143, ISNUMBER(
Master_Mapping_Sheet!$E$2:$E$3143),
Master_Mapping_Sheet!$C$2:$C$3143=AE$1)))"),0.0)</f>
        <v>0</v>
      </c>
      <c r="AF9" s="34">
        <f>IFERROR(__xludf.DUMMYFUNCTION("IF(ISNA(sum(filter(
Master_Mapping_Sheet!$E$2:$E$3143, ISNUMBER(
Master_Mapping_Sheet!$E$2:$E$3143),
Master_Mapping_Sheet!$C$2:$C$3143=AF$1,
Master_Mapping_Sheet!$H$2:$H$3143=$A9))/sum(filter(
Master_Mapping_Sheet!$E$2:$E$3143, ISNUMBER(
Master_Mapping_Sh"&amp;"eet!$E$2:$E$3143),
Master_Mapping_Sheet!$C$2:$C$3143=AF$1))), 0, sum(filter(
Master_Mapping_Sheet!$E$2:$E$3143, ISNUMBER(
Master_Mapping_Sheet!$E$2:$E$3143),
Master_Mapping_Sheet!$C$2:$C$3143=AF$1,
Master_Mapping_Sheet!$H$2:$H$3143=$A9))/sum(filter(
Maste"&amp;"r_Mapping_Sheet!$E$2:$E$3143, ISNUMBER(
Master_Mapping_Sheet!$E$2:$E$3143),
Master_Mapping_Sheet!$C$2:$C$3143=AF$1)))"),0.0)</f>
        <v>0</v>
      </c>
      <c r="AG9" s="34">
        <f>IFERROR(__xludf.DUMMYFUNCTION("IF(ISNA(sum(filter(
Master_Mapping_Sheet!$E$2:$E$3143, ISNUMBER(
Master_Mapping_Sheet!$E$2:$E$3143),
Master_Mapping_Sheet!$C$2:$C$3143=AG$1,
Master_Mapping_Sheet!$H$2:$H$3143=$A9))/sum(filter(
Master_Mapping_Sheet!$E$2:$E$3143, ISNUMBER(
Master_Mapping_Sh"&amp;"eet!$E$2:$E$3143),
Master_Mapping_Sheet!$C$2:$C$3143=AG$1))), 0, sum(filter(
Master_Mapping_Sheet!$E$2:$E$3143, ISNUMBER(
Master_Mapping_Sheet!$E$2:$E$3143),
Master_Mapping_Sheet!$C$2:$C$3143=AG$1,
Master_Mapping_Sheet!$H$2:$H$3143=$A9))/sum(filter(
Maste"&amp;"r_Mapping_Sheet!$E$2:$E$3143, ISNUMBER(
Master_Mapping_Sheet!$E$2:$E$3143),
Master_Mapping_Sheet!$C$2:$C$3143=AG$1)))"),0.0)</f>
        <v>0</v>
      </c>
      <c r="AH9" s="34">
        <f>IFERROR(__xludf.DUMMYFUNCTION("IF(ISNA(sum(filter(
Master_Mapping_Sheet!$E$2:$E$3143, ISNUMBER(
Master_Mapping_Sheet!$E$2:$E$3143),
Master_Mapping_Sheet!$C$2:$C$3143=AH$1,
Master_Mapping_Sheet!$H$2:$H$3143=$A9))/sum(filter(
Master_Mapping_Sheet!$E$2:$E$3143, ISNUMBER(
Master_Mapping_Sh"&amp;"eet!$E$2:$E$3143),
Master_Mapping_Sheet!$C$2:$C$3143=AH$1))), 0, sum(filter(
Master_Mapping_Sheet!$E$2:$E$3143, ISNUMBER(
Master_Mapping_Sheet!$E$2:$E$3143),
Master_Mapping_Sheet!$C$2:$C$3143=AH$1,
Master_Mapping_Sheet!$H$2:$H$3143=$A9))/sum(filter(
Maste"&amp;"r_Mapping_Sheet!$E$2:$E$3143, ISNUMBER(
Master_Mapping_Sheet!$E$2:$E$3143),
Master_Mapping_Sheet!$C$2:$C$3143=AH$1)))"),0.5959287353427605)</f>
        <v>0.5959287353</v>
      </c>
      <c r="AI9" s="34">
        <f>IFERROR(__xludf.DUMMYFUNCTION("IF(ISNA(sum(filter(
Master_Mapping_Sheet!$E$2:$E$3143, ISNUMBER(
Master_Mapping_Sheet!$E$2:$E$3143),
Master_Mapping_Sheet!$C$2:$C$3143=AI$1,
Master_Mapping_Sheet!$H$2:$H$3143=$A9))/sum(filter(
Master_Mapping_Sheet!$E$2:$E$3143, ISNUMBER(
Master_Mapping_Sh"&amp;"eet!$E$2:$E$3143),
Master_Mapping_Sheet!$C$2:$C$3143=AI$1))), 0, sum(filter(
Master_Mapping_Sheet!$E$2:$E$3143, ISNUMBER(
Master_Mapping_Sheet!$E$2:$E$3143),
Master_Mapping_Sheet!$C$2:$C$3143=AI$1,
Master_Mapping_Sheet!$H$2:$H$3143=$A9))/sum(filter(
Maste"&amp;"r_Mapping_Sheet!$E$2:$E$3143, ISNUMBER(
Master_Mapping_Sheet!$E$2:$E$3143),
Master_Mapping_Sheet!$C$2:$C$3143=AI$1)))"),0.0)</f>
        <v>0</v>
      </c>
      <c r="AJ9" s="34">
        <f>IFERROR(__xludf.DUMMYFUNCTION("IF(ISNA(sum(filter(
Master_Mapping_Sheet!$E$2:$E$3143, ISNUMBER(
Master_Mapping_Sheet!$E$2:$E$3143),
Master_Mapping_Sheet!$C$2:$C$3143=AJ$1,
Master_Mapping_Sheet!$H$2:$H$3143=$A9))/sum(filter(
Master_Mapping_Sheet!$E$2:$E$3143, ISNUMBER(
Master_Mapping_Sh"&amp;"eet!$E$2:$E$3143),
Master_Mapping_Sheet!$C$2:$C$3143=AJ$1))), 0, sum(filter(
Master_Mapping_Sheet!$E$2:$E$3143, ISNUMBER(
Master_Mapping_Sheet!$E$2:$E$3143),
Master_Mapping_Sheet!$C$2:$C$3143=AJ$1,
Master_Mapping_Sheet!$H$2:$H$3143=$A9))/sum(filter(
Maste"&amp;"r_Mapping_Sheet!$E$2:$E$3143, ISNUMBER(
Master_Mapping_Sheet!$E$2:$E$3143),
Master_Mapping_Sheet!$C$2:$C$3143=AJ$1)))"),0.0)</f>
        <v>0</v>
      </c>
      <c r="AK9" s="34">
        <f>IFERROR(__xludf.DUMMYFUNCTION("IF(ISNA(sum(filter(
Master_Mapping_Sheet!$E$2:$E$3143, ISNUMBER(
Master_Mapping_Sheet!$E$2:$E$3143),
Master_Mapping_Sheet!$C$2:$C$3143=AK$1,
Master_Mapping_Sheet!$H$2:$H$3143=$A9))/sum(filter(
Master_Mapping_Sheet!$E$2:$E$3143, ISNUMBER(
Master_Mapping_Sh"&amp;"eet!$E$2:$E$3143),
Master_Mapping_Sheet!$C$2:$C$3143=AK$1))), 0, sum(filter(
Master_Mapping_Sheet!$E$2:$E$3143, ISNUMBER(
Master_Mapping_Sheet!$E$2:$E$3143),
Master_Mapping_Sheet!$C$2:$C$3143=AK$1,
Master_Mapping_Sheet!$H$2:$H$3143=$A9))/sum(filter(
Maste"&amp;"r_Mapping_Sheet!$E$2:$E$3143, ISNUMBER(
Master_Mapping_Sheet!$E$2:$E$3143),
Master_Mapping_Sheet!$C$2:$C$3143=AK$1)))"),0.0)</f>
        <v>0</v>
      </c>
      <c r="AL9" s="34">
        <f>IFERROR(__xludf.DUMMYFUNCTION("IF(ISNA(sum(filter(
Master_Mapping_Sheet!$E$2:$E$3143, ISNUMBER(
Master_Mapping_Sheet!$E$2:$E$3143),
Master_Mapping_Sheet!$C$2:$C$3143=AL$1,
Master_Mapping_Sheet!$H$2:$H$3143=$A9))/sum(filter(
Master_Mapping_Sheet!$E$2:$E$3143, ISNUMBER(
Master_Mapping_Sh"&amp;"eet!$E$2:$E$3143),
Master_Mapping_Sheet!$C$2:$C$3143=AL$1))), 0, sum(filter(
Master_Mapping_Sheet!$E$2:$E$3143, ISNUMBER(
Master_Mapping_Sheet!$E$2:$E$3143),
Master_Mapping_Sheet!$C$2:$C$3143=AL$1,
Master_Mapping_Sheet!$H$2:$H$3143=$A9))/sum(filter(
Maste"&amp;"r_Mapping_Sheet!$E$2:$E$3143, ISNUMBER(
Master_Mapping_Sheet!$E$2:$E$3143),
Master_Mapping_Sheet!$C$2:$C$3143=AL$1)))"),0.0)</f>
        <v>0</v>
      </c>
      <c r="AM9" s="34">
        <f>IFERROR(__xludf.DUMMYFUNCTION("IF(ISNA(sum(filter(
Master_Mapping_Sheet!$E$2:$E$3143, ISNUMBER(
Master_Mapping_Sheet!$E$2:$E$3143),
Master_Mapping_Sheet!$C$2:$C$3143=AM$1,
Master_Mapping_Sheet!$H$2:$H$3143=$A9))/sum(filter(
Master_Mapping_Sheet!$E$2:$E$3143, ISNUMBER(
Master_Mapping_Sh"&amp;"eet!$E$2:$E$3143),
Master_Mapping_Sheet!$C$2:$C$3143=AM$1))), 0, sum(filter(
Master_Mapping_Sheet!$E$2:$E$3143, ISNUMBER(
Master_Mapping_Sheet!$E$2:$E$3143),
Master_Mapping_Sheet!$C$2:$C$3143=AM$1,
Master_Mapping_Sheet!$H$2:$H$3143=$A9))/sum(filter(
Maste"&amp;"r_Mapping_Sheet!$E$2:$E$3143, ISNUMBER(
Master_Mapping_Sheet!$E$2:$E$3143),
Master_Mapping_Sheet!$C$2:$C$3143=AM$1)))"),0.0)</f>
        <v>0</v>
      </c>
      <c r="AN9" s="34">
        <f>IFERROR(__xludf.DUMMYFUNCTION("IF(ISNA(sum(filter(
Master_Mapping_Sheet!$E$2:$E$3143, ISNUMBER(
Master_Mapping_Sheet!$E$2:$E$3143),
Master_Mapping_Sheet!$C$2:$C$3143=AN$1,
Master_Mapping_Sheet!$H$2:$H$3143=$A9))/sum(filter(
Master_Mapping_Sheet!$E$2:$E$3143, ISNUMBER(
Master_Mapping_Sh"&amp;"eet!$E$2:$E$3143),
Master_Mapping_Sheet!$C$2:$C$3143=AN$1))), 0, sum(filter(
Master_Mapping_Sheet!$E$2:$E$3143, ISNUMBER(
Master_Mapping_Sheet!$E$2:$E$3143),
Master_Mapping_Sheet!$C$2:$C$3143=AN$1,
Master_Mapping_Sheet!$H$2:$H$3143=$A9))/sum(filter(
Maste"&amp;"r_Mapping_Sheet!$E$2:$E$3143, ISNUMBER(
Master_Mapping_Sheet!$E$2:$E$3143),
Master_Mapping_Sheet!$C$2:$C$3143=AN$1)))"),0.0)</f>
        <v>0</v>
      </c>
      <c r="AO9" s="34">
        <f>IFERROR(__xludf.DUMMYFUNCTION("IF(ISNA(sum(filter(
Master_Mapping_Sheet!$E$2:$E$3143, ISNUMBER(
Master_Mapping_Sheet!$E$2:$E$3143),
Master_Mapping_Sheet!$C$2:$C$3143=AO$1,
Master_Mapping_Sheet!$H$2:$H$3143=$A9))/sum(filter(
Master_Mapping_Sheet!$E$2:$E$3143, ISNUMBER(
Master_Mapping_Sh"&amp;"eet!$E$2:$E$3143),
Master_Mapping_Sheet!$C$2:$C$3143=AO$1))), 0, sum(filter(
Master_Mapping_Sheet!$E$2:$E$3143, ISNUMBER(
Master_Mapping_Sheet!$E$2:$E$3143),
Master_Mapping_Sheet!$C$2:$C$3143=AO$1,
Master_Mapping_Sheet!$H$2:$H$3143=$A9))/sum(filter(
Maste"&amp;"r_Mapping_Sheet!$E$2:$E$3143, ISNUMBER(
Master_Mapping_Sheet!$E$2:$E$3143),
Master_Mapping_Sheet!$C$2:$C$3143=AO$1)))"),0.0)</f>
        <v>0</v>
      </c>
      <c r="AP9" s="34">
        <f>IFERROR(__xludf.DUMMYFUNCTION("IF(ISNA(sum(filter(
Master_Mapping_Sheet!$E$2:$E$3143, ISNUMBER(
Master_Mapping_Sheet!$E$2:$E$3143),
Master_Mapping_Sheet!$C$2:$C$3143=AP$1,
Master_Mapping_Sheet!$H$2:$H$3143=$A9))/sum(filter(
Master_Mapping_Sheet!$E$2:$E$3143, ISNUMBER(
Master_Mapping_Sh"&amp;"eet!$E$2:$E$3143),
Master_Mapping_Sheet!$C$2:$C$3143=AP$1))), 0, sum(filter(
Master_Mapping_Sheet!$E$2:$E$3143, ISNUMBER(
Master_Mapping_Sheet!$E$2:$E$3143),
Master_Mapping_Sheet!$C$2:$C$3143=AP$1,
Master_Mapping_Sheet!$H$2:$H$3143=$A9))/sum(filter(
Maste"&amp;"r_Mapping_Sheet!$E$2:$E$3143, ISNUMBER(
Master_Mapping_Sheet!$E$2:$E$3143),
Master_Mapping_Sheet!$C$2:$C$3143=AP$1)))"),0.0)</f>
        <v>0</v>
      </c>
      <c r="AQ9" s="34">
        <f>IFERROR(__xludf.DUMMYFUNCTION("IF(ISNA(sum(filter(
Master_Mapping_Sheet!$E$2:$E$3143, ISNUMBER(
Master_Mapping_Sheet!$E$2:$E$3143),
Master_Mapping_Sheet!$C$2:$C$3143=AQ$1,
Master_Mapping_Sheet!$H$2:$H$3143=$A9))/sum(filter(
Master_Mapping_Sheet!$E$2:$E$3143, ISNUMBER(
Master_Mapping_Sh"&amp;"eet!$E$2:$E$3143),
Master_Mapping_Sheet!$C$2:$C$3143=AQ$1))), 0, sum(filter(
Master_Mapping_Sheet!$E$2:$E$3143, ISNUMBER(
Master_Mapping_Sheet!$E$2:$E$3143),
Master_Mapping_Sheet!$C$2:$C$3143=AQ$1,
Master_Mapping_Sheet!$H$2:$H$3143=$A9))/sum(filter(
Maste"&amp;"r_Mapping_Sheet!$E$2:$E$3143, ISNUMBER(
Master_Mapping_Sheet!$E$2:$E$3143),
Master_Mapping_Sheet!$C$2:$C$3143=AQ$1)))"),0.0)</f>
        <v>0</v>
      </c>
      <c r="AR9" s="34">
        <f>IFERROR(__xludf.DUMMYFUNCTION("IF(ISNA(sum(filter(
Master_Mapping_Sheet!$E$2:$E$3143, ISNUMBER(
Master_Mapping_Sheet!$E$2:$E$3143),
Master_Mapping_Sheet!$C$2:$C$3143=AR$1,
Master_Mapping_Sheet!$H$2:$H$3143=$A9))/sum(filter(
Master_Mapping_Sheet!$E$2:$E$3143, ISNUMBER(
Master_Mapping_Sh"&amp;"eet!$E$2:$E$3143),
Master_Mapping_Sheet!$C$2:$C$3143=AR$1))), 0, sum(filter(
Master_Mapping_Sheet!$E$2:$E$3143, ISNUMBER(
Master_Mapping_Sheet!$E$2:$E$3143),
Master_Mapping_Sheet!$C$2:$C$3143=AR$1,
Master_Mapping_Sheet!$H$2:$H$3143=$A9))/sum(filter(
Maste"&amp;"r_Mapping_Sheet!$E$2:$E$3143, ISNUMBER(
Master_Mapping_Sheet!$E$2:$E$3143),
Master_Mapping_Sheet!$C$2:$C$3143=AR$1)))"),0.0)</f>
        <v>0</v>
      </c>
      <c r="AS9" s="34">
        <f>IFERROR(__xludf.DUMMYFUNCTION("IF(ISNA(sum(filter(
Master_Mapping_Sheet!$E$2:$E$3143, ISNUMBER(
Master_Mapping_Sheet!$E$2:$E$3143),
Master_Mapping_Sheet!$C$2:$C$3143=AS$1,
Master_Mapping_Sheet!$H$2:$H$3143=$A9))/sum(filter(
Master_Mapping_Sheet!$E$2:$E$3143, ISNUMBER(
Master_Mapping_Sh"&amp;"eet!$E$2:$E$3143),
Master_Mapping_Sheet!$C$2:$C$3143=AS$1))), 0, sum(filter(
Master_Mapping_Sheet!$E$2:$E$3143, ISNUMBER(
Master_Mapping_Sheet!$E$2:$E$3143),
Master_Mapping_Sheet!$C$2:$C$3143=AS$1,
Master_Mapping_Sheet!$H$2:$H$3143=$A9))/sum(filter(
Maste"&amp;"r_Mapping_Sheet!$E$2:$E$3143, ISNUMBER(
Master_Mapping_Sheet!$E$2:$E$3143),
Master_Mapping_Sheet!$C$2:$C$3143=AS$1)))"),0.0)</f>
        <v>0</v>
      </c>
      <c r="AT9" s="34">
        <f>IFERROR(__xludf.DUMMYFUNCTION("IF(ISNA(sum(filter(
Master_Mapping_Sheet!$E$2:$E$3143, ISNUMBER(
Master_Mapping_Sheet!$E$2:$E$3143),
Master_Mapping_Sheet!$C$2:$C$3143=AT$1,
Master_Mapping_Sheet!$H$2:$H$3143=$A9))/sum(filter(
Master_Mapping_Sheet!$E$2:$E$3143, ISNUMBER(
Master_Mapping_Sh"&amp;"eet!$E$2:$E$3143),
Master_Mapping_Sheet!$C$2:$C$3143=AT$1))), 0, sum(filter(
Master_Mapping_Sheet!$E$2:$E$3143, ISNUMBER(
Master_Mapping_Sheet!$E$2:$E$3143),
Master_Mapping_Sheet!$C$2:$C$3143=AT$1,
Master_Mapping_Sheet!$H$2:$H$3143=$A9))/sum(filter(
Maste"&amp;"r_Mapping_Sheet!$E$2:$E$3143, ISNUMBER(
Master_Mapping_Sheet!$E$2:$E$3143),
Master_Mapping_Sheet!$C$2:$C$3143=AT$1)))"),0.0)</f>
        <v>0</v>
      </c>
      <c r="AU9" s="34">
        <f>IFERROR(__xludf.DUMMYFUNCTION("IF(ISNA(sum(filter(
Master_Mapping_Sheet!$E$2:$E$3143, ISNUMBER(
Master_Mapping_Sheet!$E$2:$E$3143),
Master_Mapping_Sheet!$C$2:$C$3143=AU$1,
Master_Mapping_Sheet!$H$2:$H$3143=$A9))/sum(filter(
Master_Mapping_Sheet!$E$2:$E$3143, ISNUMBER(
Master_Mapping_Sh"&amp;"eet!$E$2:$E$3143),
Master_Mapping_Sheet!$C$2:$C$3143=AU$1))), 0, sum(filter(
Master_Mapping_Sheet!$E$2:$E$3143, ISNUMBER(
Master_Mapping_Sheet!$E$2:$E$3143),
Master_Mapping_Sheet!$C$2:$C$3143=AU$1,
Master_Mapping_Sheet!$H$2:$H$3143=$A9))/sum(filter(
Maste"&amp;"r_Mapping_Sheet!$E$2:$E$3143, ISNUMBER(
Master_Mapping_Sheet!$E$2:$E$3143),
Master_Mapping_Sheet!$C$2:$C$3143=AU$1)))"),0.0)</f>
        <v>0</v>
      </c>
      <c r="AV9" s="34">
        <f>IFERROR(__xludf.DUMMYFUNCTION("IF(ISNA(sum(filter(
Master_Mapping_Sheet!$E$2:$E$3143, ISNUMBER(
Master_Mapping_Sheet!$E$2:$E$3143),
Master_Mapping_Sheet!$C$2:$C$3143=AV$1,
Master_Mapping_Sheet!$H$2:$H$3143=$A9))/sum(filter(
Master_Mapping_Sheet!$E$2:$E$3143, ISNUMBER(
Master_Mapping_Sh"&amp;"eet!$E$2:$E$3143),
Master_Mapping_Sheet!$C$2:$C$3143=AV$1))), 0, sum(filter(
Master_Mapping_Sheet!$E$2:$E$3143, ISNUMBER(
Master_Mapping_Sheet!$E$2:$E$3143),
Master_Mapping_Sheet!$C$2:$C$3143=AV$1,
Master_Mapping_Sheet!$H$2:$H$3143=$A9))/sum(filter(
Maste"&amp;"r_Mapping_Sheet!$E$2:$E$3143, ISNUMBER(
Master_Mapping_Sheet!$E$2:$E$3143),
Master_Mapping_Sheet!$C$2:$C$3143=AV$1)))"),0.0)</f>
        <v>0</v>
      </c>
      <c r="AW9" s="34">
        <f>IFERROR(__xludf.DUMMYFUNCTION("IF(ISNA(sum(filter(
Master_Mapping_Sheet!$E$2:$E$3143, ISNUMBER(
Master_Mapping_Sheet!$E$2:$E$3143),
Master_Mapping_Sheet!$C$2:$C$3143=AW$1,
Master_Mapping_Sheet!$H$2:$H$3143=$A9))/sum(filter(
Master_Mapping_Sheet!$E$2:$E$3143, ISNUMBER(
Master_Mapping_Sh"&amp;"eet!$E$2:$E$3143),
Master_Mapping_Sheet!$C$2:$C$3143=AW$1))), 0, sum(filter(
Master_Mapping_Sheet!$E$2:$E$3143, ISNUMBER(
Master_Mapping_Sheet!$E$2:$E$3143),
Master_Mapping_Sheet!$C$2:$C$3143=AW$1,
Master_Mapping_Sheet!$H$2:$H$3143=$A9))/sum(filter(
Maste"&amp;"r_Mapping_Sheet!$E$2:$E$3143, ISNUMBER(
Master_Mapping_Sheet!$E$2:$E$3143),
Master_Mapping_Sheet!$C$2:$C$3143=AW$1)))"),0.0)</f>
        <v>0</v>
      </c>
      <c r="AX9" s="34">
        <f>IFERROR(__xludf.DUMMYFUNCTION("IF(ISNA(sum(filter(
Master_Mapping_Sheet!$E$2:$E$3143, ISNUMBER(
Master_Mapping_Sheet!$E$2:$E$3143),
Master_Mapping_Sheet!$C$2:$C$3143=AX$1,
Master_Mapping_Sheet!$H$2:$H$3143=$A9))/sum(filter(
Master_Mapping_Sheet!$E$2:$E$3143, ISNUMBER(
Master_Mapping_Sh"&amp;"eet!$E$2:$E$3143),
Master_Mapping_Sheet!$C$2:$C$3143=AX$1))), 0, sum(filter(
Master_Mapping_Sheet!$E$2:$E$3143, ISNUMBER(
Master_Mapping_Sheet!$E$2:$E$3143),
Master_Mapping_Sheet!$C$2:$C$3143=AX$1,
Master_Mapping_Sheet!$H$2:$H$3143=$A9))/sum(filter(
Maste"&amp;"r_Mapping_Sheet!$E$2:$E$3143, ISNUMBER(
Master_Mapping_Sheet!$E$2:$E$3143),
Master_Mapping_Sheet!$C$2:$C$3143=AX$1)))"),0.0)</f>
        <v>0</v>
      </c>
      <c r="AY9" s="34">
        <f>IFERROR(__xludf.DUMMYFUNCTION("IF(ISNA(sum(filter(
Master_Mapping_Sheet!$E$2:$E$3143, ISNUMBER(
Master_Mapping_Sheet!$E$2:$E$3143),
Master_Mapping_Sheet!$C$2:$C$3143=AY$1,
Master_Mapping_Sheet!$H$2:$H$3143=$A9))/sum(filter(
Master_Mapping_Sheet!$E$2:$E$3143, ISNUMBER(
Master_Mapping_Sh"&amp;"eet!$E$2:$E$3143),
Master_Mapping_Sheet!$C$2:$C$3143=AY$1))), 0, sum(filter(
Master_Mapping_Sheet!$E$2:$E$3143, ISNUMBER(
Master_Mapping_Sheet!$E$2:$E$3143),
Master_Mapping_Sheet!$C$2:$C$3143=AY$1,
Master_Mapping_Sheet!$H$2:$H$3143=$A9))/sum(filter(
Maste"&amp;"r_Mapping_Sheet!$E$2:$E$3143, ISNUMBER(
Master_Mapping_Sheet!$E$2:$E$3143),
Master_Mapping_Sheet!$C$2:$C$3143=AY$1)))"),0.0)</f>
        <v>0</v>
      </c>
      <c r="AZ9" s="34">
        <f>IFERROR(__xludf.DUMMYFUNCTION("IF(ISNA(sum(filter(
Master_Mapping_Sheet!$E$2:$E$3143, ISNUMBER(
Master_Mapping_Sheet!$E$2:$E$3143),
Master_Mapping_Sheet!$C$2:$C$3143=AZ$1,
Master_Mapping_Sheet!$H$2:$H$3143=$A9))/sum(filter(
Master_Mapping_Sheet!$E$2:$E$3143, ISNUMBER(
Master_Mapping_Sh"&amp;"eet!$E$2:$E$3143),
Master_Mapping_Sheet!$C$2:$C$3143=AZ$1))), 0, sum(filter(
Master_Mapping_Sheet!$E$2:$E$3143, ISNUMBER(
Master_Mapping_Sheet!$E$2:$E$3143),
Master_Mapping_Sheet!$C$2:$C$3143=AZ$1,
Master_Mapping_Sheet!$H$2:$H$3143=$A9))/sum(filter(
Maste"&amp;"r_Mapping_Sheet!$E$2:$E$3143, ISNUMBER(
Master_Mapping_Sheet!$E$2:$E$3143),
Master_Mapping_Sheet!$C$2:$C$3143=AZ$1)))"),0.0)</f>
        <v>0</v>
      </c>
    </row>
    <row r="10" ht="15.75" customHeight="1">
      <c r="A10" s="34" t="s">
        <v>4005</v>
      </c>
      <c r="B10" s="34">
        <f>IFERROR(__xludf.DUMMYFUNCTION("IF(ISNA(sum(filter(
Master_Mapping_Sheet!$E$2:$E$3143, ISNUMBER(
Master_Mapping_Sheet!$E$2:$E$3143),
Master_Mapping_Sheet!$C$2:$C$3143=B$1,
Master_Mapping_Sheet!$H$2:$H$3143=$A10))/sum(filter(
Master_Mapping_Sheet!$E$2:$E$3143, ISNUMBER(
Master_Mapping_Sh"&amp;"eet!$E$2:$E$3143),
Master_Mapping_Sheet!$C$2:$C$3143=B$1))), 0, sum(filter(
Master_Mapping_Sheet!$E$2:$E$3143, ISNUMBER(
Master_Mapping_Sheet!$E$2:$E$3143),
Master_Mapping_Sheet!$C$2:$C$3143=B$1,
Master_Mapping_Sheet!$H$2:$H$3143=$A10))/sum(filter(
Master"&amp;"_Mapping_Sheet!$E$2:$E$3143, ISNUMBER(
Master_Mapping_Sheet!$E$2:$E$3143),
Master_Mapping_Sheet!$C$2:$C$3143=B$1)))"),0.0)</f>
        <v>0</v>
      </c>
      <c r="C10" s="34">
        <f>IFERROR(__xludf.DUMMYFUNCTION("IF(ISNA(sum(filter(
Master_Mapping_Sheet!$E$2:$E$3143, ISNUMBER(
Master_Mapping_Sheet!$E$2:$E$3143),
Master_Mapping_Sheet!$C$2:$C$3143=C$1,
Master_Mapping_Sheet!$H$2:$H$3143=$A10))/sum(filter(
Master_Mapping_Sheet!$E$2:$E$3143, ISNUMBER(
Master_Mapping_Sh"&amp;"eet!$E$2:$E$3143),
Master_Mapping_Sheet!$C$2:$C$3143=C$1))), 0, sum(filter(
Master_Mapping_Sheet!$E$2:$E$3143, ISNUMBER(
Master_Mapping_Sheet!$E$2:$E$3143),
Master_Mapping_Sheet!$C$2:$C$3143=C$1,
Master_Mapping_Sheet!$H$2:$H$3143=$A10))/sum(filter(
Master"&amp;"_Mapping_Sheet!$E$2:$E$3143, ISNUMBER(
Master_Mapping_Sheet!$E$2:$E$3143),
Master_Mapping_Sheet!$C$2:$C$3143=C$1)))"),0.0)</f>
        <v>0</v>
      </c>
      <c r="D10" s="34">
        <f>IFERROR(__xludf.DUMMYFUNCTION("IF(ISNA(sum(filter(
Master_Mapping_Sheet!$E$2:$E$3143, ISNUMBER(
Master_Mapping_Sheet!$E$2:$E$3143),
Master_Mapping_Sheet!$C$2:$C$3143=D$1,
Master_Mapping_Sheet!$H$2:$H$3143=$A10))/sum(filter(
Master_Mapping_Sheet!$E$2:$E$3143, ISNUMBER(
Master_Mapping_Sh"&amp;"eet!$E$2:$E$3143),
Master_Mapping_Sheet!$C$2:$C$3143=D$1))), 0, sum(filter(
Master_Mapping_Sheet!$E$2:$E$3143, ISNUMBER(
Master_Mapping_Sheet!$E$2:$E$3143),
Master_Mapping_Sheet!$C$2:$C$3143=D$1,
Master_Mapping_Sheet!$H$2:$H$3143=$A10))/sum(filter(
Master"&amp;"_Mapping_Sheet!$E$2:$E$3143, ISNUMBER(
Master_Mapping_Sheet!$E$2:$E$3143),
Master_Mapping_Sheet!$C$2:$C$3143=D$1)))"),0.0)</f>
        <v>0</v>
      </c>
      <c r="E10" s="34">
        <f>IFERROR(__xludf.DUMMYFUNCTION("IF(ISNA(sum(filter(
Master_Mapping_Sheet!$E$2:$E$3143, ISNUMBER(
Master_Mapping_Sheet!$E$2:$E$3143),
Master_Mapping_Sheet!$C$2:$C$3143=E$1,
Master_Mapping_Sheet!$H$2:$H$3143=$A10))/sum(filter(
Master_Mapping_Sheet!$E$2:$E$3143, ISNUMBER(
Master_Mapping_Sh"&amp;"eet!$E$2:$E$3143),
Master_Mapping_Sheet!$C$2:$C$3143=E$1))), 0, sum(filter(
Master_Mapping_Sheet!$E$2:$E$3143, ISNUMBER(
Master_Mapping_Sheet!$E$2:$E$3143),
Master_Mapping_Sheet!$C$2:$C$3143=E$1,
Master_Mapping_Sheet!$H$2:$H$3143=$A10))/sum(filter(
Master"&amp;"_Mapping_Sheet!$E$2:$E$3143, ISNUMBER(
Master_Mapping_Sheet!$E$2:$E$3143),
Master_Mapping_Sheet!$C$2:$C$3143=E$1)))"),0.0)</f>
        <v>0</v>
      </c>
      <c r="F10" s="34">
        <f>IFERROR(__xludf.DUMMYFUNCTION("IF(ISNA(sum(filter(
Master_Mapping_Sheet!$E$2:$E$3143, ISNUMBER(
Master_Mapping_Sheet!$E$2:$E$3143),
Master_Mapping_Sheet!$C$2:$C$3143=F$1,
Master_Mapping_Sheet!$H$2:$H$3143=$A10))/sum(filter(
Master_Mapping_Sheet!$E$2:$E$3143, ISNUMBER(
Master_Mapping_Sh"&amp;"eet!$E$2:$E$3143),
Master_Mapping_Sheet!$C$2:$C$3143=F$1))), 0, sum(filter(
Master_Mapping_Sheet!$E$2:$E$3143, ISNUMBER(
Master_Mapping_Sheet!$E$2:$E$3143),
Master_Mapping_Sheet!$C$2:$C$3143=F$1,
Master_Mapping_Sheet!$H$2:$H$3143=$A10))/sum(filter(
Master"&amp;"_Mapping_Sheet!$E$2:$E$3143, ISNUMBER(
Master_Mapping_Sheet!$E$2:$E$3143),
Master_Mapping_Sheet!$C$2:$C$3143=F$1)))"),0.0)</f>
        <v>0</v>
      </c>
      <c r="G10" s="34">
        <f>IFERROR(__xludf.DUMMYFUNCTION("IF(ISNA(sum(filter(
Master_Mapping_Sheet!$E$2:$E$3143, ISNUMBER(
Master_Mapping_Sheet!$E$2:$E$3143),
Master_Mapping_Sheet!$C$2:$C$3143=G$1,
Master_Mapping_Sheet!$H$2:$H$3143=$A10))/sum(filter(
Master_Mapping_Sheet!$E$2:$E$3143, ISNUMBER(
Master_Mapping_Sh"&amp;"eet!$E$2:$E$3143),
Master_Mapping_Sheet!$C$2:$C$3143=G$1))), 0, sum(filter(
Master_Mapping_Sheet!$E$2:$E$3143, ISNUMBER(
Master_Mapping_Sheet!$E$2:$E$3143),
Master_Mapping_Sheet!$C$2:$C$3143=G$1,
Master_Mapping_Sheet!$H$2:$H$3143=$A10))/sum(filter(
Master"&amp;"_Mapping_Sheet!$E$2:$E$3143, ISNUMBER(
Master_Mapping_Sheet!$E$2:$E$3143),
Master_Mapping_Sheet!$C$2:$C$3143=G$1)))"),0.0)</f>
        <v>0</v>
      </c>
      <c r="H10" s="34">
        <f>IFERROR(__xludf.DUMMYFUNCTION("IF(ISNA(sum(filter(
Master_Mapping_Sheet!$E$2:$E$3143, ISNUMBER(
Master_Mapping_Sheet!$E$2:$E$3143),
Master_Mapping_Sheet!$C$2:$C$3143=H$1,
Master_Mapping_Sheet!$H$2:$H$3143=$A10))/sum(filter(
Master_Mapping_Sheet!$E$2:$E$3143, ISNUMBER(
Master_Mapping_Sh"&amp;"eet!$E$2:$E$3143),
Master_Mapping_Sheet!$C$2:$C$3143=H$1))), 0, sum(filter(
Master_Mapping_Sheet!$E$2:$E$3143, ISNUMBER(
Master_Mapping_Sheet!$E$2:$E$3143),
Master_Mapping_Sheet!$C$2:$C$3143=H$1,
Master_Mapping_Sheet!$H$2:$H$3143=$A10))/sum(filter(
Master"&amp;"_Mapping_Sheet!$E$2:$E$3143, ISNUMBER(
Master_Mapping_Sheet!$E$2:$E$3143),
Master_Mapping_Sheet!$C$2:$C$3143=H$1)))"),0.0)</f>
        <v>0</v>
      </c>
      <c r="I10" s="34">
        <f>IFERROR(__xludf.DUMMYFUNCTION("IF(ISNA(sum(filter(
Master_Mapping_Sheet!$E$2:$E$3143, ISNUMBER(
Master_Mapping_Sheet!$E$2:$E$3143),
Master_Mapping_Sheet!$C$2:$C$3143=I$1,
Master_Mapping_Sheet!$H$2:$H$3143=$A10))/sum(filter(
Master_Mapping_Sheet!$E$2:$E$3143, ISNUMBER(
Master_Mapping_Sh"&amp;"eet!$E$2:$E$3143),
Master_Mapping_Sheet!$C$2:$C$3143=I$1))), 0, sum(filter(
Master_Mapping_Sheet!$E$2:$E$3143, ISNUMBER(
Master_Mapping_Sheet!$E$2:$E$3143),
Master_Mapping_Sheet!$C$2:$C$3143=I$1,
Master_Mapping_Sheet!$H$2:$H$3143=$A10))/sum(filter(
Master"&amp;"_Mapping_Sheet!$E$2:$E$3143, ISNUMBER(
Master_Mapping_Sheet!$E$2:$E$3143),
Master_Mapping_Sheet!$C$2:$C$3143=I$1)))"),0.0)</f>
        <v>0</v>
      </c>
      <c r="J10" s="34">
        <f>IFERROR(__xludf.DUMMYFUNCTION("IF(ISNA(sum(filter(
Master_Mapping_Sheet!$E$2:$E$3143, ISNUMBER(
Master_Mapping_Sheet!$E$2:$E$3143),
Master_Mapping_Sheet!$C$2:$C$3143=J$1,
Master_Mapping_Sheet!$H$2:$H$3143=$A10))/sum(filter(
Master_Mapping_Sheet!$E$2:$E$3143, ISNUMBER(
Master_Mapping_Sh"&amp;"eet!$E$2:$E$3143),
Master_Mapping_Sheet!$C$2:$C$3143=J$1))), 0, sum(filter(
Master_Mapping_Sheet!$E$2:$E$3143, ISNUMBER(
Master_Mapping_Sheet!$E$2:$E$3143),
Master_Mapping_Sheet!$C$2:$C$3143=J$1,
Master_Mapping_Sheet!$H$2:$H$3143=$A10))/sum(filter(
Master"&amp;"_Mapping_Sheet!$E$2:$E$3143, ISNUMBER(
Master_Mapping_Sheet!$E$2:$E$3143),
Master_Mapping_Sheet!$C$2:$C$3143=J$1)))"),0.0)</f>
        <v>0</v>
      </c>
      <c r="K10" s="34">
        <f>IFERROR(__xludf.DUMMYFUNCTION("IF(ISNA(sum(filter(
Master_Mapping_Sheet!$E$2:$E$3143, ISNUMBER(
Master_Mapping_Sheet!$E$2:$E$3143),
Master_Mapping_Sheet!$C$2:$C$3143=K$1,
Master_Mapping_Sheet!$H$2:$H$3143=$A10))/sum(filter(
Master_Mapping_Sheet!$E$2:$E$3143, ISNUMBER(
Master_Mapping_Sh"&amp;"eet!$E$2:$E$3143),
Master_Mapping_Sheet!$C$2:$C$3143=K$1))), 0, sum(filter(
Master_Mapping_Sheet!$E$2:$E$3143, ISNUMBER(
Master_Mapping_Sheet!$E$2:$E$3143),
Master_Mapping_Sheet!$C$2:$C$3143=K$1,
Master_Mapping_Sheet!$H$2:$H$3143=$A10))/sum(filter(
Master"&amp;"_Mapping_Sheet!$E$2:$E$3143, ISNUMBER(
Master_Mapping_Sheet!$E$2:$E$3143),
Master_Mapping_Sheet!$C$2:$C$3143=K$1)))"),0.0)</f>
        <v>0</v>
      </c>
      <c r="L10" s="34">
        <f>IFERROR(__xludf.DUMMYFUNCTION("IF(ISNA(sum(filter(
Master_Mapping_Sheet!$E$2:$E$3143, ISNUMBER(
Master_Mapping_Sheet!$E$2:$E$3143),
Master_Mapping_Sheet!$C$2:$C$3143=L$1,
Master_Mapping_Sheet!$H$2:$H$3143=$A10))/sum(filter(
Master_Mapping_Sheet!$E$2:$E$3143, ISNUMBER(
Master_Mapping_Sh"&amp;"eet!$E$2:$E$3143),
Master_Mapping_Sheet!$C$2:$C$3143=L$1))), 0, sum(filter(
Master_Mapping_Sheet!$E$2:$E$3143, ISNUMBER(
Master_Mapping_Sheet!$E$2:$E$3143),
Master_Mapping_Sheet!$C$2:$C$3143=L$1,
Master_Mapping_Sheet!$H$2:$H$3143=$A10))/sum(filter(
Master"&amp;"_Mapping_Sheet!$E$2:$E$3143, ISNUMBER(
Master_Mapping_Sheet!$E$2:$E$3143),
Master_Mapping_Sheet!$C$2:$C$3143=L$1)))"),0.0)</f>
        <v>0</v>
      </c>
      <c r="M10" s="34">
        <f>IFERROR(__xludf.DUMMYFUNCTION("IF(ISNA(sum(filter(
Master_Mapping_Sheet!$E$2:$E$3143, ISNUMBER(
Master_Mapping_Sheet!$E$2:$E$3143),
Master_Mapping_Sheet!$C$2:$C$3143=M$1,
Master_Mapping_Sheet!$H$2:$H$3143=$A10))/sum(filter(
Master_Mapping_Sheet!$E$2:$E$3143, ISNUMBER(
Master_Mapping_Sh"&amp;"eet!$E$2:$E$3143),
Master_Mapping_Sheet!$C$2:$C$3143=M$1))), 0, sum(filter(
Master_Mapping_Sheet!$E$2:$E$3143, ISNUMBER(
Master_Mapping_Sheet!$E$2:$E$3143),
Master_Mapping_Sheet!$C$2:$C$3143=M$1,
Master_Mapping_Sheet!$H$2:$H$3143=$A10))/sum(filter(
Master"&amp;"_Mapping_Sheet!$E$2:$E$3143, ISNUMBER(
Master_Mapping_Sheet!$E$2:$E$3143),
Master_Mapping_Sheet!$C$2:$C$3143=M$1)))"),0.0)</f>
        <v>0</v>
      </c>
      <c r="N10" s="34">
        <f>IFERROR(__xludf.DUMMYFUNCTION("IF(ISNA(sum(filter(
Master_Mapping_Sheet!$E$2:$E$3143, ISNUMBER(
Master_Mapping_Sheet!$E$2:$E$3143),
Master_Mapping_Sheet!$C$2:$C$3143=N$1,
Master_Mapping_Sheet!$H$2:$H$3143=$A10))/sum(filter(
Master_Mapping_Sheet!$E$2:$E$3143, ISNUMBER(
Master_Mapping_Sh"&amp;"eet!$E$2:$E$3143),
Master_Mapping_Sheet!$C$2:$C$3143=N$1))), 0, sum(filter(
Master_Mapping_Sheet!$E$2:$E$3143, ISNUMBER(
Master_Mapping_Sheet!$E$2:$E$3143),
Master_Mapping_Sheet!$C$2:$C$3143=N$1,
Master_Mapping_Sheet!$H$2:$H$3143=$A10))/sum(filter(
Master"&amp;"_Mapping_Sheet!$E$2:$E$3143, ISNUMBER(
Master_Mapping_Sheet!$E$2:$E$3143),
Master_Mapping_Sheet!$C$2:$C$3143=N$1)))"),0.0)</f>
        <v>0</v>
      </c>
      <c r="O10" s="34">
        <f>IFERROR(__xludf.DUMMYFUNCTION("IF(ISNA(sum(filter(
Master_Mapping_Sheet!$E$2:$E$3143, ISNUMBER(
Master_Mapping_Sheet!$E$2:$E$3143),
Master_Mapping_Sheet!$C$2:$C$3143=O$1,
Master_Mapping_Sheet!$H$2:$H$3143=$A10))/sum(filter(
Master_Mapping_Sheet!$E$2:$E$3143, ISNUMBER(
Master_Mapping_Sh"&amp;"eet!$E$2:$E$3143),
Master_Mapping_Sheet!$C$2:$C$3143=O$1))), 0, sum(filter(
Master_Mapping_Sheet!$E$2:$E$3143, ISNUMBER(
Master_Mapping_Sheet!$E$2:$E$3143),
Master_Mapping_Sheet!$C$2:$C$3143=O$1,
Master_Mapping_Sheet!$H$2:$H$3143=$A10))/sum(filter(
Master"&amp;"_Mapping_Sheet!$E$2:$E$3143, ISNUMBER(
Master_Mapping_Sheet!$E$2:$E$3143),
Master_Mapping_Sheet!$C$2:$C$3143=O$1)))"),0.0)</f>
        <v>0</v>
      </c>
      <c r="P10" s="34">
        <f>IFERROR(__xludf.DUMMYFUNCTION("IF(ISNA(sum(filter(
Master_Mapping_Sheet!$E$2:$E$3143, ISNUMBER(
Master_Mapping_Sheet!$E$2:$E$3143),
Master_Mapping_Sheet!$C$2:$C$3143=P$1,
Master_Mapping_Sheet!$H$2:$H$3143=$A10))/sum(filter(
Master_Mapping_Sheet!$E$2:$E$3143, ISNUMBER(
Master_Mapping_Sh"&amp;"eet!$E$2:$E$3143),
Master_Mapping_Sheet!$C$2:$C$3143=P$1))), 0, sum(filter(
Master_Mapping_Sheet!$E$2:$E$3143, ISNUMBER(
Master_Mapping_Sheet!$E$2:$E$3143),
Master_Mapping_Sheet!$C$2:$C$3143=P$1,
Master_Mapping_Sheet!$H$2:$H$3143=$A10))/sum(filter(
Master"&amp;"_Mapping_Sheet!$E$2:$E$3143, ISNUMBER(
Master_Mapping_Sheet!$E$2:$E$3143),
Master_Mapping_Sheet!$C$2:$C$3143=P$1)))"),0.0)</f>
        <v>0</v>
      </c>
      <c r="Q10" s="34">
        <f>IFERROR(__xludf.DUMMYFUNCTION("IF(ISNA(sum(filter(
Master_Mapping_Sheet!$E$2:$E$3143, ISNUMBER(
Master_Mapping_Sheet!$E$2:$E$3143),
Master_Mapping_Sheet!$C$2:$C$3143=Q$1,
Master_Mapping_Sheet!$H$2:$H$3143=$A10))/sum(filter(
Master_Mapping_Sheet!$E$2:$E$3143, ISNUMBER(
Master_Mapping_Sh"&amp;"eet!$E$2:$E$3143),
Master_Mapping_Sheet!$C$2:$C$3143=Q$1))), 0, sum(filter(
Master_Mapping_Sheet!$E$2:$E$3143, ISNUMBER(
Master_Mapping_Sheet!$E$2:$E$3143),
Master_Mapping_Sheet!$C$2:$C$3143=Q$1,
Master_Mapping_Sheet!$H$2:$H$3143=$A10))/sum(filter(
Master"&amp;"_Mapping_Sheet!$E$2:$E$3143, ISNUMBER(
Master_Mapping_Sheet!$E$2:$E$3143),
Master_Mapping_Sheet!$C$2:$C$3143=Q$1)))"),0.0)</f>
        <v>0</v>
      </c>
      <c r="R10" s="34">
        <f>IFERROR(__xludf.DUMMYFUNCTION("IF(ISNA(sum(filter(
Master_Mapping_Sheet!$E$2:$E$3143, ISNUMBER(
Master_Mapping_Sheet!$E$2:$E$3143),
Master_Mapping_Sheet!$C$2:$C$3143=R$1,
Master_Mapping_Sheet!$H$2:$H$3143=$A10))/sum(filter(
Master_Mapping_Sheet!$E$2:$E$3143, ISNUMBER(
Master_Mapping_Sh"&amp;"eet!$E$2:$E$3143),
Master_Mapping_Sheet!$C$2:$C$3143=R$1))), 0, sum(filter(
Master_Mapping_Sheet!$E$2:$E$3143, ISNUMBER(
Master_Mapping_Sheet!$E$2:$E$3143),
Master_Mapping_Sheet!$C$2:$C$3143=R$1,
Master_Mapping_Sheet!$H$2:$H$3143=$A10))/sum(filter(
Master"&amp;"_Mapping_Sheet!$E$2:$E$3143, ISNUMBER(
Master_Mapping_Sheet!$E$2:$E$3143),
Master_Mapping_Sheet!$C$2:$C$3143=R$1)))"),0.0)</f>
        <v>0</v>
      </c>
      <c r="S10" s="34">
        <f>IFERROR(__xludf.DUMMYFUNCTION("IF(ISNA(sum(filter(
Master_Mapping_Sheet!$E$2:$E$3143, ISNUMBER(
Master_Mapping_Sheet!$E$2:$E$3143),
Master_Mapping_Sheet!$C$2:$C$3143=S$1,
Master_Mapping_Sheet!$H$2:$H$3143=$A10))/sum(filter(
Master_Mapping_Sheet!$E$2:$E$3143, ISNUMBER(
Master_Mapping_Sh"&amp;"eet!$E$2:$E$3143),
Master_Mapping_Sheet!$C$2:$C$3143=S$1))), 0, sum(filter(
Master_Mapping_Sheet!$E$2:$E$3143, ISNUMBER(
Master_Mapping_Sheet!$E$2:$E$3143),
Master_Mapping_Sheet!$C$2:$C$3143=S$1,
Master_Mapping_Sheet!$H$2:$H$3143=$A10))/sum(filter(
Master"&amp;"_Mapping_Sheet!$E$2:$E$3143, ISNUMBER(
Master_Mapping_Sheet!$E$2:$E$3143),
Master_Mapping_Sheet!$C$2:$C$3143=S$1)))"),0.0)</f>
        <v>0</v>
      </c>
      <c r="T10" s="34">
        <f>IFERROR(__xludf.DUMMYFUNCTION("IF(ISNA(sum(filter(
Master_Mapping_Sheet!$E$2:$E$3143, ISNUMBER(
Master_Mapping_Sheet!$E$2:$E$3143),
Master_Mapping_Sheet!$C$2:$C$3143=T$1,
Master_Mapping_Sheet!$H$2:$H$3143=$A10))/sum(filter(
Master_Mapping_Sheet!$E$2:$E$3143, ISNUMBER(
Master_Mapping_Sh"&amp;"eet!$E$2:$E$3143),
Master_Mapping_Sheet!$C$2:$C$3143=T$1))), 0, sum(filter(
Master_Mapping_Sheet!$E$2:$E$3143, ISNUMBER(
Master_Mapping_Sheet!$E$2:$E$3143),
Master_Mapping_Sheet!$C$2:$C$3143=T$1,
Master_Mapping_Sheet!$H$2:$H$3143=$A10))/sum(filter(
Master"&amp;"_Mapping_Sheet!$E$2:$E$3143, ISNUMBER(
Master_Mapping_Sheet!$E$2:$E$3143),
Master_Mapping_Sheet!$C$2:$C$3143=T$1)))"),0.0)</f>
        <v>0</v>
      </c>
      <c r="U10" s="34">
        <f>IFERROR(__xludf.DUMMYFUNCTION("IF(ISNA(sum(filter(
Master_Mapping_Sheet!$E$2:$E$3143, ISNUMBER(
Master_Mapping_Sheet!$E$2:$E$3143),
Master_Mapping_Sheet!$C$2:$C$3143=U$1,
Master_Mapping_Sheet!$H$2:$H$3143=$A10))/sum(filter(
Master_Mapping_Sheet!$E$2:$E$3143, ISNUMBER(
Master_Mapping_Sh"&amp;"eet!$E$2:$E$3143),
Master_Mapping_Sheet!$C$2:$C$3143=U$1))), 0, sum(filter(
Master_Mapping_Sheet!$E$2:$E$3143, ISNUMBER(
Master_Mapping_Sheet!$E$2:$E$3143),
Master_Mapping_Sheet!$C$2:$C$3143=U$1,
Master_Mapping_Sheet!$H$2:$H$3143=$A10))/sum(filter(
Master"&amp;"_Mapping_Sheet!$E$2:$E$3143, ISNUMBER(
Master_Mapping_Sheet!$E$2:$E$3143),
Master_Mapping_Sheet!$C$2:$C$3143=U$1)))"),0.0)</f>
        <v>0</v>
      </c>
      <c r="V10" s="34">
        <f>IFERROR(__xludf.DUMMYFUNCTION("IF(ISNA(sum(filter(
Master_Mapping_Sheet!$E$2:$E$3143, ISNUMBER(
Master_Mapping_Sheet!$E$2:$E$3143),
Master_Mapping_Sheet!$C$2:$C$3143=V$1,
Master_Mapping_Sheet!$H$2:$H$3143=$A10))/sum(filter(
Master_Mapping_Sheet!$E$2:$E$3143, ISNUMBER(
Master_Mapping_Sh"&amp;"eet!$E$2:$E$3143),
Master_Mapping_Sheet!$C$2:$C$3143=V$1))), 0, sum(filter(
Master_Mapping_Sheet!$E$2:$E$3143, ISNUMBER(
Master_Mapping_Sheet!$E$2:$E$3143),
Master_Mapping_Sheet!$C$2:$C$3143=V$1,
Master_Mapping_Sheet!$H$2:$H$3143=$A10))/sum(filter(
Master"&amp;"_Mapping_Sheet!$E$2:$E$3143, ISNUMBER(
Master_Mapping_Sheet!$E$2:$E$3143),
Master_Mapping_Sheet!$C$2:$C$3143=V$1)))"),0.0)</f>
        <v>0</v>
      </c>
      <c r="W10" s="34">
        <f>IFERROR(__xludf.DUMMYFUNCTION("IF(ISNA(sum(filter(
Master_Mapping_Sheet!$E$2:$E$3143, ISNUMBER(
Master_Mapping_Sheet!$E$2:$E$3143),
Master_Mapping_Sheet!$C$2:$C$3143=W$1,
Master_Mapping_Sheet!$H$2:$H$3143=$A10))/sum(filter(
Master_Mapping_Sheet!$E$2:$E$3143, ISNUMBER(
Master_Mapping_Sh"&amp;"eet!$E$2:$E$3143),
Master_Mapping_Sheet!$C$2:$C$3143=W$1))), 0, sum(filter(
Master_Mapping_Sheet!$E$2:$E$3143, ISNUMBER(
Master_Mapping_Sheet!$E$2:$E$3143),
Master_Mapping_Sheet!$C$2:$C$3143=W$1,
Master_Mapping_Sheet!$H$2:$H$3143=$A10))/sum(filter(
Master"&amp;"_Mapping_Sheet!$E$2:$E$3143, ISNUMBER(
Master_Mapping_Sheet!$E$2:$E$3143),
Master_Mapping_Sheet!$C$2:$C$3143=W$1)))"),0.0)</f>
        <v>0</v>
      </c>
      <c r="X10" s="34">
        <f>IFERROR(__xludf.DUMMYFUNCTION("IF(ISNA(sum(filter(
Master_Mapping_Sheet!$E$2:$E$3143, ISNUMBER(
Master_Mapping_Sheet!$E$2:$E$3143),
Master_Mapping_Sheet!$C$2:$C$3143=X$1,
Master_Mapping_Sheet!$H$2:$H$3143=$A10))/sum(filter(
Master_Mapping_Sheet!$E$2:$E$3143, ISNUMBER(
Master_Mapping_Sh"&amp;"eet!$E$2:$E$3143),
Master_Mapping_Sheet!$C$2:$C$3143=X$1))), 0, sum(filter(
Master_Mapping_Sheet!$E$2:$E$3143, ISNUMBER(
Master_Mapping_Sheet!$E$2:$E$3143),
Master_Mapping_Sheet!$C$2:$C$3143=X$1,
Master_Mapping_Sheet!$H$2:$H$3143=$A10))/sum(filter(
Master"&amp;"_Mapping_Sheet!$E$2:$E$3143, ISNUMBER(
Master_Mapping_Sheet!$E$2:$E$3143),
Master_Mapping_Sheet!$C$2:$C$3143=X$1)))"),0.0)</f>
        <v>0</v>
      </c>
      <c r="Y10" s="34">
        <f>IFERROR(__xludf.DUMMYFUNCTION("IF(ISNA(sum(filter(
Master_Mapping_Sheet!$E$2:$E$3143, ISNUMBER(
Master_Mapping_Sheet!$E$2:$E$3143),
Master_Mapping_Sheet!$C$2:$C$3143=Y$1,
Master_Mapping_Sheet!$H$2:$H$3143=$A10))/sum(filter(
Master_Mapping_Sheet!$E$2:$E$3143, ISNUMBER(
Master_Mapping_Sh"&amp;"eet!$E$2:$E$3143),
Master_Mapping_Sheet!$C$2:$C$3143=Y$1))), 0, sum(filter(
Master_Mapping_Sheet!$E$2:$E$3143, ISNUMBER(
Master_Mapping_Sheet!$E$2:$E$3143),
Master_Mapping_Sheet!$C$2:$C$3143=Y$1,
Master_Mapping_Sheet!$H$2:$H$3143=$A10))/sum(filter(
Master"&amp;"_Mapping_Sheet!$E$2:$E$3143, ISNUMBER(
Master_Mapping_Sheet!$E$2:$E$3143),
Master_Mapping_Sheet!$C$2:$C$3143=Y$1)))"),0.0)</f>
        <v>0</v>
      </c>
      <c r="Z10" s="34">
        <f>IFERROR(__xludf.DUMMYFUNCTION("IF(ISNA(sum(filter(
Master_Mapping_Sheet!$E$2:$E$3143, ISNUMBER(
Master_Mapping_Sheet!$E$2:$E$3143),
Master_Mapping_Sheet!$C$2:$C$3143=Z$1,
Master_Mapping_Sheet!$H$2:$H$3143=$A10))/sum(filter(
Master_Mapping_Sheet!$E$2:$E$3143, ISNUMBER(
Master_Mapping_Sh"&amp;"eet!$E$2:$E$3143),
Master_Mapping_Sheet!$C$2:$C$3143=Z$1))), 0, sum(filter(
Master_Mapping_Sheet!$E$2:$E$3143, ISNUMBER(
Master_Mapping_Sheet!$E$2:$E$3143),
Master_Mapping_Sheet!$C$2:$C$3143=Z$1,
Master_Mapping_Sheet!$H$2:$H$3143=$A10))/sum(filter(
Master"&amp;"_Mapping_Sheet!$E$2:$E$3143, ISNUMBER(
Master_Mapping_Sheet!$E$2:$E$3143),
Master_Mapping_Sheet!$C$2:$C$3143=Z$1)))"),0.0)</f>
        <v>0</v>
      </c>
      <c r="AA10" s="34">
        <f>IFERROR(__xludf.DUMMYFUNCTION("IF(ISNA(sum(filter(
Master_Mapping_Sheet!$E$2:$E$3143, ISNUMBER(
Master_Mapping_Sheet!$E$2:$E$3143),
Master_Mapping_Sheet!$C$2:$C$3143=AA$1,
Master_Mapping_Sheet!$H$2:$H$3143=$A10))/sum(filter(
Master_Mapping_Sheet!$E$2:$E$3143, ISNUMBER(
Master_Mapping_S"&amp;"heet!$E$2:$E$3143),
Master_Mapping_Sheet!$C$2:$C$3143=AA$1))), 0, sum(filter(
Master_Mapping_Sheet!$E$2:$E$3143, ISNUMBER(
Master_Mapping_Sheet!$E$2:$E$3143),
Master_Mapping_Sheet!$C$2:$C$3143=AA$1,
Master_Mapping_Sheet!$H$2:$H$3143=$A10))/sum(filter(
Mas"&amp;"ter_Mapping_Sheet!$E$2:$E$3143, ISNUMBER(
Master_Mapping_Sheet!$E$2:$E$3143),
Master_Mapping_Sheet!$C$2:$C$3143=AA$1)))"),0.0)</f>
        <v>0</v>
      </c>
      <c r="AB10" s="34">
        <f>IFERROR(__xludf.DUMMYFUNCTION("IF(ISNA(sum(filter(
Master_Mapping_Sheet!$E$2:$E$3143, ISNUMBER(
Master_Mapping_Sheet!$E$2:$E$3143),
Master_Mapping_Sheet!$C$2:$C$3143=AB$1,
Master_Mapping_Sheet!$H$2:$H$3143=$A10))/sum(filter(
Master_Mapping_Sheet!$E$2:$E$3143, ISNUMBER(
Master_Mapping_S"&amp;"heet!$E$2:$E$3143),
Master_Mapping_Sheet!$C$2:$C$3143=AB$1))), 0, sum(filter(
Master_Mapping_Sheet!$E$2:$E$3143, ISNUMBER(
Master_Mapping_Sheet!$E$2:$E$3143),
Master_Mapping_Sheet!$C$2:$C$3143=AB$1,
Master_Mapping_Sheet!$H$2:$H$3143=$A10))/sum(filter(
Mas"&amp;"ter_Mapping_Sheet!$E$2:$E$3143, ISNUMBER(
Master_Mapping_Sheet!$E$2:$E$3143),
Master_Mapping_Sheet!$C$2:$C$3143=AB$1)))"),0.0)</f>
        <v>0</v>
      </c>
      <c r="AC10" s="34">
        <f>IFERROR(__xludf.DUMMYFUNCTION("IF(ISNA(sum(filter(
Master_Mapping_Sheet!$E$2:$E$3143, ISNUMBER(
Master_Mapping_Sheet!$E$2:$E$3143),
Master_Mapping_Sheet!$C$2:$C$3143=AC$1,
Master_Mapping_Sheet!$H$2:$H$3143=$A10))/sum(filter(
Master_Mapping_Sheet!$E$2:$E$3143, ISNUMBER(
Master_Mapping_S"&amp;"heet!$E$2:$E$3143),
Master_Mapping_Sheet!$C$2:$C$3143=AC$1))), 0, sum(filter(
Master_Mapping_Sheet!$E$2:$E$3143, ISNUMBER(
Master_Mapping_Sheet!$E$2:$E$3143),
Master_Mapping_Sheet!$C$2:$C$3143=AC$1,
Master_Mapping_Sheet!$H$2:$H$3143=$A10))/sum(filter(
Mas"&amp;"ter_Mapping_Sheet!$E$2:$E$3143, ISNUMBER(
Master_Mapping_Sheet!$E$2:$E$3143),
Master_Mapping_Sheet!$C$2:$C$3143=AC$1)))"),0.0)</f>
        <v>0</v>
      </c>
      <c r="AD10" s="34">
        <f>IFERROR(__xludf.DUMMYFUNCTION("IF(ISNA(sum(filter(
Master_Mapping_Sheet!$E$2:$E$3143, ISNUMBER(
Master_Mapping_Sheet!$E$2:$E$3143),
Master_Mapping_Sheet!$C$2:$C$3143=AD$1,
Master_Mapping_Sheet!$H$2:$H$3143=$A10))/sum(filter(
Master_Mapping_Sheet!$E$2:$E$3143, ISNUMBER(
Master_Mapping_S"&amp;"heet!$E$2:$E$3143),
Master_Mapping_Sheet!$C$2:$C$3143=AD$1))), 0, sum(filter(
Master_Mapping_Sheet!$E$2:$E$3143, ISNUMBER(
Master_Mapping_Sheet!$E$2:$E$3143),
Master_Mapping_Sheet!$C$2:$C$3143=AD$1,
Master_Mapping_Sheet!$H$2:$H$3143=$A10))/sum(filter(
Mas"&amp;"ter_Mapping_Sheet!$E$2:$E$3143, ISNUMBER(
Master_Mapping_Sheet!$E$2:$E$3143),
Master_Mapping_Sheet!$C$2:$C$3143=AD$1)))"),0.0)</f>
        <v>0</v>
      </c>
      <c r="AE10" s="34">
        <f>IFERROR(__xludf.DUMMYFUNCTION("IF(ISNA(sum(filter(
Master_Mapping_Sheet!$E$2:$E$3143, ISNUMBER(
Master_Mapping_Sheet!$E$2:$E$3143),
Master_Mapping_Sheet!$C$2:$C$3143=AE$1,
Master_Mapping_Sheet!$H$2:$H$3143=$A10))/sum(filter(
Master_Mapping_Sheet!$E$2:$E$3143, ISNUMBER(
Master_Mapping_S"&amp;"heet!$E$2:$E$3143),
Master_Mapping_Sheet!$C$2:$C$3143=AE$1))), 0, sum(filter(
Master_Mapping_Sheet!$E$2:$E$3143, ISNUMBER(
Master_Mapping_Sheet!$E$2:$E$3143),
Master_Mapping_Sheet!$C$2:$C$3143=AE$1,
Master_Mapping_Sheet!$H$2:$H$3143=$A10))/sum(filter(
Mas"&amp;"ter_Mapping_Sheet!$E$2:$E$3143, ISNUMBER(
Master_Mapping_Sheet!$E$2:$E$3143),
Master_Mapping_Sheet!$C$2:$C$3143=AE$1)))"),0.0)</f>
        <v>0</v>
      </c>
      <c r="AF10" s="34">
        <f>IFERROR(__xludf.DUMMYFUNCTION("IF(ISNA(sum(filter(
Master_Mapping_Sheet!$E$2:$E$3143, ISNUMBER(
Master_Mapping_Sheet!$E$2:$E$3143),
Master_Mapping_Sheet!$C$2:$C$3143=AF$1,
Master_Mapping_Sheet!$H$2:$H$3143=$A10))/sum(filter(
Master_Mapping_Sheet!$E$2:$E$3143, ISNUMBER(
Master_Mapping_S"&amp;"heet!$E$2:$E$3143),
Master_Mapping_Sheet!$C$2:$C$3143=AF$1))), 0, sum(filter(
Master_Mapping_Sheet!$E$2:$E$3143, ISNUMBER(
Master_Mapping_Sheet!$E$2:$E$3143),
Master_Mapping_Sheet!$C$2:$C$3143=AF$1,
Master_Mapping_Sheet!$H$2:$H$3143=$A10))/sum(filter(
Mas"&amp;"ter_Mapping_Sheet!$E$2:$E$3143, ISNUMBER(
Master_Mapping_Sheet!$E$2:$E$3143),
Master_Mapping_Sheet!$C$2:$C$3143=AF$1)))"),0.0)</f>
        <v>0</v>
      </c>
      <c r="AG10" s="34">
        <f>IFERROR(__xludf.DUMMYFUNCTION("IF(ISNA(sum(filter(
Master_Mapping_Sheet!$E$2:$E$3143, ISNUMBER(
Master_Mapping_Sheet!$E$2:$E$3143),
Master_Mapping_Sheet!$C$2:$C$3143=AG$1,
Master_Mapping_Sheet!$H$2:$H$3143=$A10))/sum(filter(
Master_Mapping_Sheet!$E$2:$E$3143, ISNUMBER(
Master_Mapping_S"&amp;"heet!$E$2:$E$3143),
Master_Mapping_Sheet!$C$2:$C$3143=AG$1))), 0, sum(filter(
Master_Mapping_Sheet!$E$2:$E$3143, ISNUMBER(
Master_Mapping_Sheet!$E$2:$E$3143),
Master_Mapping_Sheet!$C$2:$C$3143=AG$1,
Master_Mapping_Sheet!$H$2:$H$3143=$A10))/sum(filter(
Mas"&amp;"ter_Mapping_Sheet!$E$2:$E$3143, ISNUMBER(
Master_Mapping_Sheet!$E$2:$E$3143),
Master_Mapping_Sheet!$C$2:$C$3143=AG$1)))"),0.0)</f>
        <v>0</v>
      </c>
      <c r="AH10" s="34">
        <f>IFERROR(__xludf.DUMMYFUNCTION("IF(ISNA(sum(filter(
Master_Mapping_Sheet!$E$2:$E$3143, ISNUMBER(
Master_Mapping_Sheet!$E$2:$E$3143),
Master_Mapping_Sheet!$C$2:$C$3143=AH$1,
Master_Mapping_Sheet!$H$2:$H$3143=$A10))/sum(filter(
Master_Mapping_Sheet!$E$2:$E$3143, ISNUMBER(
Master_Mapping_S"&amp;"heet!$E$2:$E$3143),
Master_Mapping_Sheet!$C$2:$C$3143=AH$1))), 0, sum(filter(
Master_Mapping_Sheet!$E$2:$E$3143, ISNUMBER(
Master_Mapping_Sheet!$E$2:$E$3143),
Master_Mapping_Sheet!$C$2:$C$3143=AH$1,
Master_Mapping_Sheet!$H$2:$H$3143=$A10))/sum(filter(
Mas"&amp;"ter_Mapping_Sheet!$E$2:$E$3143, ISNUMBER(
Master_Mapping_Sheet!$E$2:$E$3143),
Master_Mapping_Sheet!$C$2:$C$3143=AH$1)))"),0.3789993938036349)</f>
        <v>0.3789993938</v>
      </c>
      <c r="AI10" s="34">
        <f>IFERROR(__xludf.DUMMYFUNCTION("IF(ISNA(sum(filter(
Master_Mapping_Sheet!$E$2:$E$3143, ISNUMBER(
Master_Mapping_Sheet!$E$2:$E$3143),
Master_Mapping_Sheet!$C$2:$C$3143=AI$1,
Master_Mapping_Sheet!$H$2:$H$3143=$A10))/sum(filter(
Master_Mapping_Sheet!$E$2:$E$3143, ISNUMBER(
Master_Mapping_S"&amp;"heet!$E$2:$E$3143),
Master_Mapping_Sheet!$C$2:$C$3143=AI$1))), 0, sum(filter(
Master_Mapping_Sheet!$E$2:$E$3143, ISNUMBER(
Master_Mapping_Sheet!$E$2:$E$3143),
Master_Mapping_Sheet!$C$2:$C$3143=AI$1,
Master_Mapping_Sheet!$H$2:$H$3143=$A10))/sum(filter(
Mas"&amp;"ter_Mapping_Sheet!$E$2:$E$3143, ISNUMBER(
Master_Mapping_Sheet!$E$2:$E$3143),
Master_Mapping_Sheet!$C$2:$C$3143=AI$1)))"),0.0)</f>
        <v>0</v>
      </c>
      <c r="AJ10" s="34">
        <f>IFERROR(__xludf.DUMMYFUNCTION("IF(ISNA(sum(filter(
Master_Mapping_Sheet!$E$2:$E$3143, ISNUMBER(
Master_Mapping_Sheet!$E$2:$E$3143),
Master_Mapping_Sheet!$C$2:$C$3143=AJ$1,
Master_Mapping_Sheet!$H$2:$H$3143=$A10))/sum(filter(
Master_Mapping_Sheet!$E$2:$E$3143, ISNUMBER(
Master_Mapping_S"&amp;"heet!$E$2:$E$3143),
Master_Mapping_Sheet!$C$2:$C$3143=AJ$1))), 0, sum(filter(
Master_Mapping_Sheet!$E$2:$E$3143, ISNUMBER(
Master_Mapping_Sheet!$E$2:$E$3143),
Master_Mapping_Sheet!$C$2:$C$3143=AJ$1,
Master_Mapping_Sheet!$H$2:$H$3143=$A10))/sum(filter(
Mas"&amp;"ter_Mapping_Sheet!$E$2:$E$3143, ISNUMBER(
Master_Mapping_Sheet!$E$2:$E$3143),
Master_Mapping_Sheet!$C$2:$C$3143=AJ$1)))"),0.0)</f>
        <v>0</v>
      </c>
      <c r="AK10" s="34">
        <f>IFERROR(__xludf.DUMMYFUNCTION("IF(ISNA(sum(filter(
Master_Mapping_Sheet!$E$2:$E$3143, ISNUMBER(
Master_Mapping_Sheet!$E$2:$E$3143),
Master_Mapping_Sheet!$C$2:$C$3143=AK$1,
Master_Mapping_Sheet!$H$2:$H$3143=$A10))/sum(filter(
Master_Mapping_Sheet!$E$2:$E$3143, ISNUMBER(
Master_Mapping_S"&amp;"heet!$E$2:$E$3143),
Master_Mapping_Sheet!$C$2:$C$3143=AK$1))), 0, sum(filter(
Master_Mapping_Sheet!$E$2:$E$3143, ISNUMBER(
Master_Mapping_Sheet!$E$2:$E$3143),
Master_Mapping_Sheet!$C$2:$C$3143=AK$1,
Master_Mapping_Sheet!$H$2:$H$3143=$A10))/sum(filter(
Mas"&amp;"ter_Mapping_Sheet!$E$2:$E$3143, ISNUMBER(
Master_Mapping_Sheet!$E$2:$E$3143),
Master_Mapping_Sheet!$C$2:$C$3143=AK$1)))"),0.0)</f>
        <v>0</v>
      </c>
      <c r="AL10" s="34">
        <f>IFERROR(__xludf.DUMMYFUNCTION("IF(ISNA(sum(filter(
Master_Mapping_Sheet!$E$2:$E$3143, ISNUMBER(
Master_Mapping_Sheet!$E$2:$E$3143),
Master_Mapping_Sheet!$C$2:$C$3143=AL$1,
Master_Mapping_Sheet!$H$2:$H$3143=$A10))/sum(filter(
Master_Mapping_Sheet!$E$2:$E$3143, ISNUMBER(
Master_Mapping_S"&amp;"heet!$E$2:$E$3143),
Master_Mapping_Sheet!$C$2:$C$3143=AL$1))), 0, sum(filter(
Master_Mapping_Sheet!$E$2:$E$3143, ISNUMBER(
Master_Mapping_Sheet!$E$2:$E$3143),
Master_Mapping_Sheet!$C$2:$C$3143=AL$1,
Master_Mapping_Sheet!$H$2:$H$3143=$A10))/sum(filter(
Mas"&amp;"ter_Mapping_Sheet!$E$2:$E$3143, ISNUMBER(
Master_Mapping_Sheet!$E$2:$E$3143),
Master_Mapping_Sheet!$C$2:$C$3143=AL$1)))"),0.0)</f>
        <v>0</v>
      </c>
      <c r="AM10" s="34">
        <f>IFERROR(__xludf.DUMMYFUNCTION("IF(ISNA(sum(filter(
Master_Mapping_Sheet!$E$2:$E$3143, ISNUMBER(
Master_Mapping_Sheet!$E$2:$E$3143),
Master_Mapping_Sheet!$C$2:$C$3143=AM$1,
Master_Mapping_Sheet!$H$2:$H$3143=$A10))/sum(filter(
Master_Mapping_Sheet!$E$2:$E$3143, ISNUMBER(
Master_Mapping_S"&amp;"heet!$E$2:$E$3143),
Master_Mapping_Sheet!$C$2:$C$3143=AM$1))), 0, sum(filter(
Master_Mapping_Sheet!$E$2:$E$3143, ISNUMBER(
Master_Mapping_Sheet!$E$2:$E$3143),
Master_Mapping_Sheet!$C$2:$C$3143=AM$1,
Master_Mapping_Sheet!$H$2:$H$3143=$A10))/sum(filter(
Mas"&amp;"ter_Mapping_Sheet!$E$2:$E$3143, ISNUMBER(
Master_Mapping_Sheet!$E$2:$E$3143),
Master_Mapping_Sheet!$C$2:$C$3143=AM$1)))"),0.0)</f>
        <v>0</v>
      </c>
      <c r="AN10" s="34">
        <f>IFERROR(__xludf.DUMMYFUNCTION("IF(ISNA(sum(filter(
Master_Mapping_Sheet!$E$2:$E$3143, ISNUMBER(
Master_Mapping_Sheet!$E$2:$E$3143),
Master_Mapping_Sheet!$C$2:$C$3143=AN$1,
Master_Mapping_Sheet!$H$2:$H$3143=$A10))/sum(filter(
Master_Mapping_Sheet!$E$2:$E$3143, ISNUMBER(
Master_Mapping_S"&amp;"heet!$E$2:$E$3143),
Master_Mapping_Sheet!$C$2:$C$3143=AN$1))), 0, sum(filter(
Master_Mapping_Sheet!$E$2:$E$3143, ISNUMBER(
Master_Mapping_Sheet!$E$2:$E$3143),
Master_Mapping_Sheet!$C$2:$C$3143=AN$1,
Master_Mapping_Sheet!$H$2:$H$3143=$A10))/sum(filter(
Mas"&amp;"ter_Mapping_Sheet!$E$2:$E$3143, ISNUMBER(
Master_Mapping_Sheet!$E$2:$E$3143),
Master_Mapping_Sheet!$C$2:$C$3143=AN$1)))"),0.0)</f>
        <v>0</v>
      </c>
      <c r="AO10" s="34">
        <f>IFERROR(__xludf.DUMMYFUNCTION("IF(ISNA(sum(filter(
Master_Mapping_Sheet!$E$2:$E$3143, ISNUMBER(
Master_Mapping_Sheet!$E$2:$E$3143),
Master_Mapping_Sheet!$C$2:$C$3143=AO$1,
Master_Mapping_Sheet!$H$2:$H$3143=$A10))/sum(filter(
Master_Mapping_Sheet!$E$2:$E$3143, ISNUMBER(
Master_Mapping_S"&amp;"heet!$E$2:$E$3143),
Master_Mapping_Sheet!$C$2:$C$3143=AO$1))), 0, sum(filter(
Master_Mapping_Sheet!$E$2:$E$3143, ISNUMBER(
Master_Mapping_Sheet!$E$2:$E$3143),
Master_Mapping_Sheet!$C$2:$C$3143=AO$1,
Master_Mapping_Sheet!$H$2:$H$3143=$A10))/sum(filter(
Mas"&amp;"ter_Mapping_Sheet!$E$2:$E$3143, ISNUMBER(
Master_Mapping_Sheet!$E$2:$E$3143),
Master_Mapping_Sheet!$C$2:$C$3143=AO$1)))"),0.0)</f>
        <v>0</v>
      </c>
      <c r="AP10" s="34">
        <f>IFERROR(__xludf.DUMMYFUNCTION("IF(ISNA(sum(filter(
Master_Mapping_Sheet!$E$2:$E$3143, ISNUMBER(
Master_Mapping_Sheet!$E$2:$E$3143),
Master_Mapping_Sheet!$C$2:$C$3143=AP$1,
Master_Mapping_Sheet!$H$2:$H$3143=$A10))/sum(filter(
Master_Mapping_Sheet!$E$2:$E$3143, ISNUMBER(
Master_Mapping_S"&amp;"heet!$E$2:$E$3143),
Master_Mapping_Sheet!$C$2:$C$3143=AP$1))), 0, sum(filter(
Master_Mapping_Sheet!$E$2:$E$3143, ISNUMBER(
Master_Mapping_Sheet!$E$2:$E$3143),
Master_Mapping_Sheet!$C$2:$C$3143=AP$1,
Master_Mapping_Sheet!$H$2:$H$3143=$A10))/sum(filter(
Mas"&amp;"ter_Mapping_Sheet!$E$2:$E$3143, ISNUMBER(
Master_Mapping_Sheet!$E$2:$E$3143),
Master_Mapping_Sheet!$C$2:$C$3143=AP$1)))"),0.0)</f>
        <v>0</v>
      </c>
      <c r="AQ10" s="34">
        <f>IFERROR(__xludf.DUMMYFUNCTION("IF(ISNA(sum(filter(
Master_Mapping_Sheet!$E$2:$E$3143, ISNUMBER(
Master_Mapping_Sheet!$E$2:$E$3143),
Master_Mapping_Sheet!$C$2:$C$3143=AQ$1,
Master_Mapping_Sheet!$H$2:$H$3143=$A10))/sum(filter(
Master_Mapping_Sheet!$E$2:$E$3143, ISNUMBER(
Master_Mapping_S"&amp;"heet!$E$2:$E$3143),
Master_Mapping_Sheet!$C$2:$C$3143=AQ$1))), 0, sum(filter(
Master_Mapping_Sheet!$E$2:$E$3143, ISNUMBER(
Master_Mapping_Sheet!$E$2:$E$3143),
Master_Mapping_Sheet!$C$2:$C$3143=AQ$1,
Master_Mapping_Sheet!$H$2:$H$3143=$A10))/sum(filter(
Mas"&amp;"ter_Mapping_Sheet!$E$2:$E$3143, ISNUMBER(
Master_Mapping_Sheet!$E$2:$E$3143),
Master_Mapping_Sheet!$C$2:$C$3143=AQ$1)))"),0.0)</f>
        <v>0</v>
      </c>
      <c r="AR10" s="34">
        <f>IFERROR(__xludf.DUMMYFUNCTION("IF(ISNA(sum(filter(
Master_Mapping_Sheet!$E$2:$E$3143, ISNUMBER(
Master_Mapping_Sheet!$E$2:$E$3143),
Master_Mapping_Sheet!$C$2:$C$3143=AR$1,
Master_Mapping_Sheet!$H$2:$H$3143=$A10))/sum(filter(
Master_Mapping_Sheet!$E$2:$E$3143, ISNUMBER(
Master_Mapping_S"&amp;"heet!$E$2:$E$3143),
Master_Mapping_Sheet!$C$2:$C$3143=AR$1))), 0, sum(filter(
Master_Mapping_Sheet!$E$2:$E$3143, ISNUMBER(
Master_Mapping_Sheet!$E$2:$E$3143),
Master_Mapping_Sheet!$C$2:$C$3143=AR$1,
Master_Mapping_Sheet!$H$2:$H$3143=$A10))/sum(filter(
Mas"&amp;"ter_Mapping_Sheet!$E$2:$E$3143, ISNUMBER(
Master_Mapping_Sheet!$E$2:$E$3143),
Master_Mapping_Sheet!$C$2:$C$3143=AR$1)))"),0.0)</f>
        <v>0</v>
      </c>
      <c r="AS10" s="34">
        <f>IFERROR(__xludf.DUMMYFUNCTION("IF(ISNA(sum(filter(
Master_Mapping_Sheet!$E$2:$E$3143, ISNUMBER(
Master_Mapping_Sheet!$E$2:$E$3143),
Master_Mapping_Sheet!$C$2:$C$3143=AS$1,
Master_Mapping_Sheet!$H$2:$H$3143=$A10))/sum(filter(
Master_Mapping_Sheet!$E$2:$E$3143, ISNUMBER(
Master_Mapping_S"&amp;"heet!$E$2:$E$3143),
Master_Mapping_Sheet!$C$2:$C$3143=AS$1))), 0, sum(filter(
Master_Mapping_Sheet!$E$2:$E$3143, ISNUMBER(
Master_Mapping_Sheet!$E$2:$E$3143),
Master_Mapping_Sheet!$C$2:$C$3143=AS$1,
Master_Mapping_Sheet!$H$2:$H$3143=$A10))/sum(filter(
Mas"&amp;"ter_Mapping_Sheet!$E$2:$E$3143, ISNUMBER(
Master_Mapping_Sheet!$E$2:$E$3143),
Master_Mapping_Sheet!$C$2:$C$3143=AS$1)))"),0.0)</f>
        <v>0</v>
      </c>
      <c r="AT10" s="34">
        <f>IFERROR(__xludf.DUMMYFUNCTION("IF(ISNA(sum(filter(
Master_Mapping_Sheet!$E$2:$E$3143, ISNUMBER(
Master_Mapping_Sheet!$E$2:$E$3143),
Master_Mapping_Sheet!$C$2:$C$3143=AT$1,
Master_Mapping_Sheet!$H$2:$H$3143=$A10))/sum(filter(
Master_Mapping_Sheet!$E$2:$E$3143, ISNUMBER(
Master_Mapping_S"&amp;"heet!$E$2:$E$3143),
Master_Mapping_Sheet!$C$2:$C$3143=AT$1))), 0, sum(filter(
Master_Mapping_Sheet!$E$2:$E$3143, ISNUMBER(
Master_Mapping_Sheet!$E$2:$E$3143),
Master_Mapping_Sheet!$C$2:$C$3143=AT$1,
Master_Mapping_Sheet!$H$2:$H$3143=$A10))/sum(filter(
Mas"&amp;"ter_Mapping_Sheet!$E$2:$E$3143, ISNUMBER(
Master_Mapping_Sheet!$E$2:$E$3143),
Master_Mapping_Sheet!$C$2:$C$3143=AT$1)))"),0.0)</f>
        <v>0</v>
      </c>
      <c r="AU10" s="34">
        <f>IFERROR(__xludf.DUMMYFUNCTION("IF(ISNA(sum(filter(
Master_Mapping_Sheet!$E$2:$E$3143, ISNUMBER(
Master_Mapping_Sheet!$E$2:$E$3143),
Master_Mapping_Sheet!$C$2:$C$3143=AU$1,
Master_Mapping_Sheet!$H$2:$H$3143=$A10))/sum(filter(
Master_Mapping_Sheet!$E$2:$E$3143, ISNUMBER(
Master_Mapping_S"&amp;"heet!$E$2:$E$3143),
Master_Mapping_Sheet!$C$2:$C$3143=AU$1))), 0, sum(filter(
Master_Mapping_Sheet!$E$2:$E$3143, ISNUMBER(
Master_Mapping_Sheet!$E$2:$E$3143),
Master_Mapping_Sheet!$C$2:$C$3143=AU$1,
Master_Mapping_Sheet!$H$2:$H$3143=$A10))/sum(filter(
Mas"&amp;"ter_Mapping_Sheet!$E$2:$E$3143, ISNUMBER(
Master_Mapping_Sheet!$E$2:$E$3143),
Master_Mapping_Sheet!$C$2:$C$3143=AU$1)))"),0.0)</f>
        <v>0</v>
      </c>
      <c r="AV10" s="34">
        <f>IFERROR(__xludf.DUMMYFUNCTION("IF(ISNA(sum(filter(
Master_Mapping_Sheet!$E$2:$E$3143, ISNUMBER(
Master_Mapping_Sheet!$E$2:$E$3143),
Master_Mapping_Sheet!$C$2:$C$3143=AV$1,
Master_Mapping_Sheet!$H$2:$H$3143=$A10))/sum(filter(
Master_Mapping_Sheet!$E$2:$E$3143, ISNUMBER(
Master_Mapping_S"&amp;"heet!$E$2:$E$3143),
Master_Mapping_Sheet!$C$2:$C$3143=AV$1))), 0, sum(filter(
Master_Mapping_Sheet!$E$2:$E$3143, ISNUMBER(
Master_Mapping_Sheet!$E$2:$E$3143),
Master_Mapping_Sheet!$C$2:$C$3143=AV$1,
Master_Mapping_Sheet!$H$2:$H$3143=$A10))/sum(filter(
Mas"&amp;"ter_Mapping_Sheet!$E$2:$E$3143, ISNUMBER(
Master_Mapping_Sheet!$E$2:$E$3143),
Master_Mapping_Sheet!$C$2:$C$3143=AV$1)))"),0.0)</f>
        <v>0</v>
      </c>
      <c r="AW10" s="34">
        <f>IFERROR(__xludf.DUMMYFUNCTION("IF(ISNA(sum(filter(
Master_Mapping_Sheet!$E$2:$E$3143, ISNUMBER(
Master_Mapping_Sheet!$E$2:$E$3143),
Master_Mapping_Sheet!$C$2:$C$3143=AW$1,
Master_Mapping_Sheet!$H$2:$H$3143=$A10))/sum(filter(
Master_Mapping_Sheet!$E$2:$E$3143, ISNUMBER(
Master_Mapping_S"&amp;"heet!$E$2:$E$3143),
Master_Mapping_Sheet!$C$2:$C$3143=AW$1))), 0, sum(filter(
Master_Mapping_Sheet!$E$2:$E$3143, ISNUMBER(
Master_Mapping_Sheet!$E$2:$E$3143),
Master_Mapping_Sheet!$C$2:$C$3143=AW$1,
Master_Mapping_Sheet!$H$2:$H$3143=$A10))/sum(filter(
Mas"&amp;"ter_Mapping_Sheet!$E$2:$E$3143, ISNUMBER(
Master_Mapping_Sheet!$E$2:$E$3143),
Master_Mapping_Sheet!$C$2:$C$3143=AW$1)))"),0.0)</f>
        <v>0</v>
      </c>
      <c r="AX10" s="34">
        <f>IFERROR(__xludf.DUMMYFUNCTION("IF(ISNA(sum(filter(
Master_Mapping_Sheet!$E$2:$E$3143, ISNUMBER(
Master_Mapping_Sheet!$E$2:$E$3143),
Master_Mapping_Sheet!$C$2:$C$3143=AX$1,
Master_Mapping_Sheet!$H$2:$H$3143=$A10))/sum(filter(
Master_Mapping_Sheet!$E$2:$E$3143, ISNUMBER(
Master_Mapping_S"&amp;"heet!$E$2:$E$3143),
Master_Mapping_Sheet!$C$2:$C$3143=AX$1))), 0, sum(filter(
Master_Mapping_Sheet!$E$2:$E$3143, ISNUMBER(
Master_Mapping_Sheet!$E$2:$E$3143),
Master_Mapping_Sheet!$C$2:$C$3143=AX$1,
Master_Mapping_Sheet!$H$2:$H$3143=$A10))/sum(filter(
Mas"&amp;"ter_Mapping_Sheet!$E$2:$E$3143, ISNUMBER(
Master_Mapping_Sheet!$E$2:$E$3143),
Master_Mapping_Sheet!$C$2:$C$3143=AX$1)))"),0.0)</f>
        <v>0</v>
      </c>
      <c r="AY10" s="34">
        <f>IFERROR(__xludf.DUMMYFUNCTION("IF(ISNA(sum(filter(
Master_Mapping_Sheet!$E$2:$E$3143, ISNUMBER(
Master_Mapping_Sheet!$E$2:$E$3143),
Master_Mapping_Sheet!$C$2:$C$3143=AY$1,
Master_Mapping_Sheet!$H$2:$H$3143=$A10))/sum(filter(
Master_Mapping_Sheet!$E$2:$E$3143, ISNUMBER(
Master_Mapping_S"&amp;"heet!$E$2:$E$3143),
Master_Mapping_Sheet!$C$2:$C$3143=AY$1))), 0, sum(filter(
Master_Mapping_Sheet!$E$2:$E$3143, ISNUMBER(
Master_Mapping_Sheet!$E$2:$E$3143),
Master_Mapping_Sheet!$C$2:$C$3143=AY$1,
Master_Mapping_Sheet!$H$2:$H$3143=$A10))/sum(filter(
Mas"&amp;"ter_Mapping_Sheet!$E$2:$E$3143, ISNUMBER(
Master_Mapping_Sheet!$E$2:$E$3143),
Master_Mapping_Sheet!$C$2:$C$3143=AY$1)))"),0.0)</f>
        <v>0</v>
      </c>
      <c r="AZ10" s="34">
        <f>IFERROR(__xludf.DUMMYFUNCTION("IF(ISNA(sum(filter(
Master_Mapping_Sheet!$E$2:$E$3143, ISNUMBER(
Master_Mapping_Sheet!$E$2:$E$3143),
Master_Mapping_Sheet!$C$2:$C$3143=AZ$1,
Master_Mapping_Sheet!$H$2:$H$3143=$A10))/sum(filter(
Master_Mapping_Sheet!$E$2:$E$3143, ISNUMBER(
Master_Mapping_S"&amp;"heet!$E$2:$E$3143),
Master_Mapping_Sheet!$C$2:$C$3143=AZ$1))), 0, sum(filter(
Master_Mapping_Sheet!$E$2:$E$3143, ISNUMBER(
Master_Mapping_Sheet!$E$2:$E$3143),
Master_Mapping_Sheet!$C$2:$C$3143=AZ$1,
Master_Mapping_Sheet!$H$2:$H$3143=$A10))/sum(filter(
Mas"&amp;"ter_Mapping_Sheet!$E$2:$E$3143, ISNUMBER(
Master_Mapping_Sheet!$E$2:$E$3143),
Master_Mapping_Sheet!$C$2:$C$3143=AZ$1)))"),0.0)</f>
        <v>0</v>
      </c>
    </row>
    <row r="11" ht="15.75" customHeight="1">
      <c r="A11" s="34" t="s">
        <v>3987</v>
      </c>
      <c r="B11" s="34">
        <f>IFERROR(__xludf.DUMMYFUNCTION("IF(ISNA(sum(filter(
Master_Mapping_Sheet!$E$2:$E$3143, ISNUMBER(
Master_Mapping_Sheet!$E$2:$E$3143),
Master_Mapping_Sheet!$C$2:$C$3143=B$1,
Master_Mapping_Sheet!$H$2:$H$3143=$A11))/sum(filter(
Master_Mapping_Sheet!$E$2:$E$3143, ISNUMBER(
Master_Mapping_Sh"&amp;"eet!$E$2:$E$3143),
Master_Mapping_Sheet!$C$2:$C$3143=B$1))), 0, sum(filter(
Master_Mapping_Sheet!$E$2:$E$3143, ISNUMBER(
Master_Mapping_Sheet!$E$2:$E$3143),
Master_Mapping_Sheet!$C$2:$C$3143=B$1,
Master_Mapping_Sheet!$H$2:$H$3143=$A11))/sum(filter(
Master"&amp;"_Mapping_Sheet!$E$2:$E$3143, ISNUMBER(
Master_Mapping_Sheet!$E$2:$E$3143),
Master_Mapping_Sheet!$C$2:$C$3143=B$1)))"),0.0)</f>
        <v>0</v>
      </c>
      <c r="C11" s="34">
        <f>IFERROR(__xludf.DUMMYFUNCTION("IF(ISNA(sum(filter(
Master_Mapping_Sheet!$E$2:$E$3143, ISNUMBER(
Master_Mapping_Sheet!$E$2:$E$3143),
Master_Mapping_Sheet!$C$2:$C$3143=C$1,
Master_Mapping_Sheet!$H$2:$H$3143=$A11))/sum(filter(
Master_Mapping_Sheet!$E$2:$E$3143, ISNUMBER(
Master_Mapping_Sh"&amp;"eet!$E$2:$E$3143),
Master_Mapping_Sheet!$C$2:$C$3143=C$1))), 0, sum(filter(
Master_Mapping_Sheet!$E$2:$E$3143, ISNUMBER(
Master_Mapping_Sheet!$E$2:$E$3143),
Master_Mapping_Sheet!$C$2:$C$3143=C$1,
Master_Mapping_Sheet!$H$2:$H$3143=$A11))/sum(filter(
Master"&amp;"_Mapping_Sheet!$E$2:$E$3143, ISNUMBER(
Master_Mapping_Sheet!$E$2:$E$3143),
Master_Mapping_Sheet!$C$2:$C$3143=C$1)))"),0.0)</f>
        <v>0</v>
      </c>
      <c r="D11" s="34">
        <f>IFERROR(__xludf.DUMMYFUNCTION("IF(ISNA(sum(filter(
Master_Mapping_Sheet!$E$2:$E$3143, ISNUMBER(
Master_Mapping_Sheet!$E$2:$E$3143),
Master_Mapping_Sheet!$C$2:$C$3143=D$1,
Master_Mapping_Sheet!$H$2:$H$3143=$A11))/sum(filter(
Master_Mapping_Sheet!$E$2:$E$3143, ISNUMBER(
Master_Mapping_Sh"&amp;"eet!$E$2:$E$3143),
Master_Mapping_Sheet!$C$2:$C$3143=D$1))), 0, sum(filter(
Master_Mapping_Sheet!$E$2:$E$3143, ISNUMBER(
Master_Mapping_Sheet!$E$2:$E$3143),
Master_Mapping_Sheet!$C$2:$C$3143=D$1,
Master_Mapping_Sheet!$H$2:$H$3143=$A11))/sum(filter(
Master"&amp;"_Mapping_Sheet!$E$2:$E$3143, ISNUMBER(
Master_Mapping_Sheet!$E$2:$E$3143),
Master_Mapping_Sheet!$C$2:$C$3143=D$1)))"),0.0)</f>
        <v>0</v>
      </c>
      <c r="E11" s="34">
        <f>IFERROR(__xludf.DUMMYFUNCTION("IF(ISNA(sum(filter(
Master_Mapping_Sheet!$E$2:$E$3143, ISNUMBER(
Master_Mapping_Sheet!$E$2:$E$3143),
Master_Mapping_Sheet!$C$2:$C$3143=E$1,
Master_Mapping_Sheet!$H$2:$H$3143=$A11))/sum(filter(
Master_Mapping_Sheet!$E$2:$E$3143, ISNUMBER(
Master_Mapping_Sh"&amp;"eet!$E$2:$E$3143),
Master_Mapping_Sheet!$C$2:$C$3143=E$1))), 0, sum(filter(
Master_Mapping_Sheet!$E$2:$E$3143, ISNUMBER(
Master_Mapping_Sheet!$E$2:$E$3143),
Master_Mapping_Sheet!$C$2:$C$3143=E$1,
Master_Mapping_Sheet!$H$2:$H$3143=$A11))/sum(filter(
Master"&amp;"_Mapping_Sheet!$E$2:$E$3143, ISNUMBER(
Master_Mapping_Sheet!$E$2:$E$3143),
Master_Mapping_Sheet!$C$2:$C$3143=E$1)))"),0.0)</f>
        <v>0</v>
      </c>
      <c r="F11" s="34">
        <f>IFERROR(__xludf.DUMMYFUNCTION("IF(ISNA(sum(filter(
Master_Mapping_Sheet!$E$2:$E$3143, ISNUMBER(
Master_Mapping_Sheet!$E$2:$E$3143),
Master_Mapping_Sheet!$C$2:$C$3143=F$1,
Master_Mapping_Sheet!$H$2:$H$3143=$A11))/sum(filter(
Master_Mapping_Sheet!$E$2:$E$3143, ISNUMBER(
Master_Mapping_Sh"&amp;"eet!$E$2:$E$3143),
Master_Mapping_Sheet!$C$2:$C$3143=F$1))), 0, sum(filter(
Master_Mapping_Sheet!$E$2:$E$3143, ISNUMBER(
Master_Mapping_Sheet!$E$2:$E$3143),
Master_Mapping_Sheet!$C$2:$C$3143=F$1,
Master_Mapping_Sheet!$H$2:$H$3143=$A11))/sum(filter(
Master"&amp;"_Mapping_Sheet!$E$2:$E$3143, ISNUMBER(
Master_Mapping_Sheet!$E$2:$E$3143),
Master_Mapping_Sheet!$C$2:$C$3143=F$1)))"),0.0)</f>
        <v>0</v>
      </c>
      <c r="G11" s="34">
        <f>IFERROR(__xludf.DUMMYFUNCTION("IF(ISNA(sum(filter(
Master_Mapping_Sheet!$E$2:$E$3143, ISNUMBER(
Master_Mapping_Sheet!$E$2:$E$3143),
Master_Mapping_Sheet!$C$2:$C$3143=G$1,
Master_Mapping_Sheet!$H$2:$H$3143=$A11))/sum(filter(
Master_Mapping_Sheet!$E$2:$E$3143, ISNUMBER(
Master_Mapping_Sh"&amp;"eet!$E$2:$E$3143),
Master_Mapping_Sheet!$C$2:$C$3143=G$1))), 0, sum(filter(
Master_Mapping_Sheet!$E$2:$E$3143, ISNUMBER(
Master_Mapping_Sheet!$E$2:$E$3143),
Master_Mapping_Sheet!$C$2:$C$3143=G$1,
Master_Mapping_Sheet!$H$2:$H$3143=$A11))/sum(filter(
Master"&amp;"_Mapping_Sheet!$E$2:$E$3143, ISNUMBER(
Master_Mapping_Sheet!$E$2:$E$3143),
Master_Mapping_Sheet!$C$2:$C$3143=G$1)))"),0.0)</f>
        <v>0</v>
      </c>
      <c r="H11" s="34">
        <f>IFERROR(__xludf.DUMMYFUNCTION("IF(ISNA(sum(filter(
Master_Mapping_Sheet!$E$2:$E$3143, ISNUMBER(
Master_Mapping_Sheet!$E$2:$E$3143),
Master_Mapping_Sheet!$C$2:$C$3143=H$1,
Master_Mapping_Sheet!$H$2:$H$3143=$A11))/sum(filter(
Master_Mapping_Sheet!$E$2:$E$3143, ISNUMBER(
Master_Mapping_Sh"&amp;"eet!$E$2:$E$3143),
Master_Mapping_Sheet!$C$2:$C$3143=H$1))), 0, sum(filter(
Master_Mapping_Sheet!$E$2:$E$3143, ISNUMBER(
Master_Mapping_Sheet!$E$2:$E$3143),
Master_Mapping_Sheet!$C$2:$C$3143=H$1,
Master_Mapping_Sheet!$H$2:$H$3143=$A11))/sum(filter(
Master"&amp;"_Mapping_Sheet!$E$2:$E$3143, ISNUMBER(
Master_Mapping_Sheet!$E$2:$E$3143),
Master_Mapping_Sheet!$C$2:$C$3143=H$1)))"),0.0)</f>
        <v>0</v>
      </c>
      <c r="I11" s="34">
        <f>IFERROR(__xludf.DUMMYFUNCTION("IF(ISNA(sum(filter(
Master_Mapping_Sheet!$E$2:$E$3143, ISNUMBER(
Master_Mapping_Sheet!$E$2:$E$3143),
Master_Mapping_Sheet!$C$2:$C$3143=I$1,
Master_Mapping_Sheet!$H$2:$H$3143=$A11))/sum(filter(
Master_Mapping_Sheet!$E$2:$E$3143, ISNUMBER(
Master_Mapping_Sh"&amp;"eet!$E$2:$E$3143),
Master_Mapping_Sheet!$C$2:$C$3143=I$1))), 0, sum(filter(
Master_Mapping_Sheet!$E$2:$E$3143, ISNUMBER(
Master_Mapping_Sheet!$E$2:$E$3143),
Master_Mapping_Sheet!$C$2:$C$3143=I$1,
Master_Mapping_Sheet!$H$2:$H$3143=$A11))/sum(filter(
Master"&amp;"_Mapping_Sheet!$E$2:$E$3143, ISNUMBER(
Master_Mapping_Sheet!$E$2:$E$3143),
Master_Mapping_Sheet!$C$2:$C$3143=I$1)))"),1.0)</f>
        <v>1</v>
      </c>
      <c r="J11" s="34">
        <f>IFERROR(__xludf.DUMMYFUNCTION("IF(ISNA(sum(filter(
Master_Mapping_Sheet!$E$2:$E$3143, ISNUMBER(
Master_Mapping_Sheet!$E$2:$E$3143),
Master_Mapping_Sheet!$C$2:$C$3143=J$1,
Master_Mapping_Sheet!$H$2:$H$3143=$A11))/sum(filter(
Master_Mapping_Sheet!$E$2:$E$3143, ISNUMBER(
Master_Mapping_Sh"&amp;"eet!$E$2:$E$3143),
Master_Mapping_Sheet!$C$2:$C$3143=J$1))), 0, sum(filter(
Master_Mapping_Sheet!$E$2:$E$3143, ISNUMBER(
Master_Mapping_Sheet!$E$2:$E$3143),
Master_Mapping_Sheet!$C$2:$C$3143=J$1,
Master_Mapping_Sheet!$H$2:$H$3143=$A11))/sum(filter(
Master"&amp;"_Mapping_Sheet!$E$2:$E$3143, ISNUMBER(
Master_Mapping_Sheet!$E$2:$E$3143),
Master_Mapping_Sheet!$C$2:$C$3143=J$1)))"),0.0)</f>
        <v>0</v>
      </c>
      <c r="K11" s="34">
        <f>IFERROR(__xludf.DUMMYFUNCTION("IF(ISNA(sum(filter(
Master_Mapping_Sheet!$E$2:$E$3143, ISNUMBER(
Master_Mapping_Sheet!$E$2:$E$3143),
Master_Mapping_Sheet!$C$2:$C$3143=K$1,
Master_Mapping_Sheet!$H$2:$H$3143=$A11))/sum(filter(
Master_Mapping_Sheet!$E$2:$E$3143, ISNUMBER(
Master_Mapping_Sh"&amp;"eet!$E$2:$E$3143),
Master_Mapping_Sheet!$C$2:$C$3143=K$1))), 0, sum(filter(
Master_Mapping_Sheet!$E$2:$E$3143, ISNUMBER(
Master_Mapping_Sheet!$E$2:$E$3143),
Master_Mapping_Sheet!$C$2:$C$3143=K$1,
Master_Mapping_Sheet!$H$2:$H$3143=$A11))/sum(filter(
Master"&amp;"_Mapping_Sheet!$E$2:$E$3143, ISNUMBER(
Master_Mapping_Sheet!$E$2:$E$3143),
Master_Mapping_Sheet!$C$2:$C$3143=K$1)))"),0.0)</f>
        <v>0</v>
      </c>
      <c r="L11" s="34">
        <f>IFERROR(__xludf.DUMMYFUNCTION("IF(ISNA(sum(filter(
Master_Mapping_Sheet!$E$2:$E$3143, ISNUMBER(
Master_Mapping_Sheet!$E$2:$E$3143),
Master_Mapping_Sheet!$C$2:$C$3143=L$1,
Master_Mapping_Sheet!$H$2:$H$3143=$A11))/sum(filter(
Master_Mapping_Sheet!$E$2:$E$3143, ISNUMBER(
Master_Mapping_Sh"&amp;"eet!$E$2:$E$3143),
Master_Mapping_Sheet!$C$2:$C$3143=L$1))), 0, sum(filter(
Master_Mapping_Sheet!$E$2:$E$3143, ISNUMBER(
Master_Mapping_Sheet!$E$2:$E$3143),
Master_Mapping_Sheet!$C$2:$C$3143=L$1,
Master_Mapping_Sheet!$H$2:$H$3143=$A11))/sum(filter(
Master"&amp;"_Mapping_Sheet!$E$2:$E$3143, ISNUMBER(
Master_Mapping_Sheet!$E$2:$E$3143),
Master_Mapping_Sheet!$C$2:$C$3143=L$1)))"),0.0)</f>
        <v>0</v>
      </c>
      <c r="M11" s="34">
        <f>IFERROR(__xludf.DUMMYFUNCTION("IF(ISNA(sum(filter(
Master_Mapping_Sheet!$E$2:$E$3143, ISNUMBER(
Master_Mapping_Sheet!$E$2:$E$3143),
Master_Mapping_Sheet!$C$2:$C$3143=M$1,
Master_Mapping_Sheet!$H$2:$H$3143=$A11))/sum(filter(
Master_Mapping_Sheet!$E$2:$E$3143, ISNUMBER(
Master_Mapping_Sh"&amp;"eet!$E$2:$E$3143),
Master_Mapping_Sheet!$C$2:$C$3143=M$1))), 0, sum(filter(
Master_Mapping_Sheet!$E$2:$E$3143, ISNUMBER(
Master_Mapping_Sheet!$E$2:$E$3143),
Master_Mapping_Sheet!$C$2:$C$3143=M$1,
Master_Mapping_Sheet!$H$2:$H$3143=$A11))/sum(filter(
Master"&amp;"_Mapping_Sheet!$E$2:$E$3143, ISNUMBER(
Master_Mapping_Sheet!$E$2:$E$3143),
Master_Mapping_Sheet!$C$2:$C$3143=M$1)))"),0.0)</f>
        <v>0</v>
      </c>
      <c r="N11" s="34">
        <f>IFERROR(__xludf.DUMMYFUNCTION("IF(ISNA(sum(filter(
Master_Mapping_Sheet!$E$2:$E$3143, ISNUMBER(
Master_Mapping_Sheet!$E$2:$E$3143),
Master_Mapping_Sheet!$C$2:$C$3143=N$1,
Master_Mapping_Sheet!$H$2:$H$3143=$A11))/sum(filter(
Master_Mapping_Sheet!$E$2:$E$3143, ISNUMBER(
Master_Mapping_Sh"&amp;"eet!$E$2:$E$3143),
Master_Mapping_Sheet!$C$2:$C$3143=N$1))), 0, sum(filter(
Master_Mapping_Sheet!$E$2:$E$3143, ISNUMBER(
Master_Mapping_Sheet!$E$2:$E$3143),
Master_Mapping_Sheet!$C$2:$C$3143=N$1,
Master_Mapping_Sheet!$H$2:$H$3143=$A11))/sum(filter(
Master"&amp;"_Mapping_Sheet!$E$2:$E$3143, ISNUMBER(
Master_Mapping_Sheet!$E$2:$E$3143),
Master_Mapping_Sheet!$C$2:$C$3143=N$1)))"),0.0)</f>
        <v>0</v>
      </c>
      <c r="O11" s="34">
        <f>IFERROR(__xludf.DUMMYFUNCTION("IF(ISNA(sum(filter(
Master_Mapping_Sheet!$E$2:$E$3143, ISNUMBER(
Master_Mapping_Sheet!$E$2:$E$3143),
Master_Mapping_Sheet!$C$2:$C$3143=O$1,
Master_Mapping_Sheet!$H$2:$H$3143=$A11))/sum(filter(
Master_Mapping_Sheet!$E$2:$E$3143, ISNUMBER(
Master_Mapping_Sh"&amp;"eet!$E$2:$E$3143),
Master_Mapping_Sheet!$C$2:$C$3143=O$1))), 0, sum(filter(
Master_Mapping_Sheet!$E$2:$E$3143, ISNUMBER(
Master_Mapping_Sheet!$E$2:$E$3143),
Master_Mapping_Sheet!$C$2:$C$3143=O$1,
Master_Mapping_Sheet!$H$2:$H$3143=$A11))/sum(filter(
Master"&amp;"_Mapping_Sheet!$E$2:$E$3143, ISNUMBER(
Master_Mapping_Sheet!$E$2:$E$3143),
Master_Mapping_Sheet!$C$2:$C$3143=O$1)))"),0.0)</f>
        <v>0</v>
      </c>
      <c r="P11" s="34">
        <f>IFERROR(__xludf.DUMMYFUNCTION("IF(ISNA(sum(filter(
Master_Mapping_Sheet!$E$2:$E$3143, ISNUMBER(
Master_Mapping_Sheet!$E$2:$E$3143),
Master_Mapping_Sheet!$C$2:$C$3143=P$1,
Master_Mapping_Sheet!$H$2:$H$3143=$A11))/sum(filter(
Master_Mapping_Sheet!$E$2:$E$3143, ISNUMBER(
Master_Mapping_Sh"&amp;"eet!$E$2:$E$3143),
Master_Mapping_Sheet!$C$2:$C$3143=P$1))), 0, sum(filter(
Master_Mapping_Sheet!$E$2:$E$3143, ISNUMBER(
Master_Mapping_Sheet!$E$2:$E$3143),
Master_Mapping_Sheet!$C$2:$C$3143=P$1,
Master_Mapping_Sheet!$H$2:$H$3143=$A11))/sum(filter(
Master"&amp;"_Mapping_Sheet!$E$2:$E$3143, ISNUMBER(
Master_Mapping_Sheet!$E$2:$E$3143),
Master_Mapping_Sheet!$C$2:$C$3143=P$1)))"),0.0)</f>
        <v>0</v>
      </c>
      <c r="Q11" s="34">
        <f>IFERROR(__xludf.DUMMYFUNCTION("IF(ISNA(sum(filter(
Master_Mapping_Sheet!$E$2:$E$3143, ISNUMBER(
Master_Mapping_Sheet!$E$2:$E$3143),
Master_Mapping_Sheet!$C$2:$C$3143=Q$1,
Master_Mapping_Sheet!$H$2:$H$3143=$A11))/sum(filter(
Master_Mapping_Sheet!$E$2:$E$3143, ISNUMBER(
Master_Mapping_Sh"&amp;"eet!$E$2:$E$3143),
Master_Mapping_Sheet!$C$2:$C$3143=Q$1))), 0, sum(filter(
Master_Mapping_Sheet!$E$2:$E$3143, ISNUMBER(
Master_Mapping_Sheet!$E$2:$E$3143),
Master_Mapping_Sheet!$C$2:$C$3143=Q$1,
Master_Mapping_Sheet!$H$2:$H$3143=$A11))/sum(filter(
Master"&amp;"_Mapping_Sheet!$E$2:$E$3143, ISNUMBER(
Master_Mapping_Sheet!$E$2:$E$3143),
Master_Mapping_Sheet!$C$2:$C$3143=Q$1)))"),0.0)</f>
        <v>0</v>
      </c>
      <c r="R11" s="34">
        <f>IFERROR(__xludf.DUMMYFUNCTION("IF(ISNA(sum(filter(
Master_Mapping_Sheet!$E$2:$E$3143, ISNUMBER(
Master_Mapping_Sheet!$E$2:$E$3143),
Master_Mapping_Sheet!$C$2:$C$3143=R$1,
Master_Mapping_Sheet!$H$2:$H$3143=$A11))/sum(filter(
Master_Mapping_Sheet!$E$2:$E$3143, ISNUMBER(
Master_Mapping_Sh"&amp;"eet!$E$2:$E$3143),
Master_Mapping_Sheet!$C$2:$C$3143=R$1))), 0, sum(filter(
Master_Mapping_Sheet!$E$2:$E$3143, ISNUMBER(
Master_Mapping_Sheet!$E$2:$E$3143),
Master_Mapping_Sheet!$C$2:$C$3143=R$1,
Master_Mapping_Sheet!$H$2:$H$3143=$A11))/sum(filter(
Master"&amp;"_Mapping_Sheet!$E$2:$E$3143, ISNUMBER(
Master_Mapping_Sheet!$E$2:$E$3143),
Master_Mapping_Sheet!$C$2:$C$3143=R$1)))"),0.0)</f>
        <v>0</v>
      </c>
      <c r="S11" s="34">
        <f>IFERROR(__xludf.DUMMYFUNCTION("IF(ISNA(sum(filter(
Master_Mapping_Sheet!$E$2:$E$3143, ISNUMBER(
Master_Mapping_Sheet!$E$2:$E$3143),
Master_Mapping_Sheet!$C$2:$C$3143=S$1,
Master_Mapping_Sheet!$H$2:$H$3143=$A11))/sum(filter(
Master_Mapping_Sheet!$E$2:$E$3143, ISNUMBER(
Master_Mapping_Sh"&amp;"eet!$E$2:$E$3143),
Master_Mapping_Sheet!$C$2:$C$3143=S$1))), 0, sum(filter(
Master_Mapping_Sheet!$E$2:$E$3143, ISNUMBER(
Master_Mapping_Sheet!$E$2:$E$3143),
Master_Mapping_Sheet!$C$2:$C$3143=S$1,
Master_Mapping_Sheet!$H$2:$H$3143=$A11))/sum(filter(
Master"&amp;"_Mapping_Sheet!$E$2:$E$3143, ISNUMBER(
Master_Mapping_Sheet!$E$2:$E$3143),
Master_Mapping_Sheet!$C$2:$C$3143=S$1)))"),0.0)</f>
        <v>0</v>
      </c>
      <c r="T11" s="34">
        <f>IFERROR(__xludf.DUMMYFUNCTION("IF(ISNA(sum(filter(
Master_Mapping_Sheet!$E$2:$E$3143, ISNUMBER(
Master_Mapping_Sheet!$E$2:$E$3143),
Master_Mapping_Sheet!$C$2:$C$3143=T$1,
Master_Mapping_Sheet!$H$2:$H$3143=$A11))/sum(filter(
Master_Mapping_Sheet!$E$2:$E$3143, ISNUMBER(
Master_Mapping_Sh"&amp;"eet!$E$2:$E$3143),
Master_Mapping_Sheet!$C$2:$C$3143=T$1))), 0, sum(filter(
Master_Mapping_Sheet!$E$2:$E$3143, ISNUMBER(
Master_Mapping_Sheet!$E$2:$E$3143),
Master_Mapping_Sheet!$C$2:$C$3143=T$1,
Master_Mapping_Sheet!$H$2:$H$3143=$A11))/sum(filter(
Master"&amp;"_Mapping_Sheet!$E$2:$E$3143, ISNUMBER(
Master_Mapping_Sheet!$E$2:$E$3143),
Master_Mapping_Sheet!$C$2:$C$3143=T$1)))"),0.0)</f>
        <v>0</v>
      </c>
      <c r="U11" s="34">
        <f>IFERROR(__xludf.DUMMYFUNCTION("IF(ISNA(sum(filter(
Master_Mapping_Sheet!$E$2:$E$3143, ISNUMBER(
Master_Mapping_Sheet!$E$2:$E$3143),
Master_Mapping_Sheet!$C$2:$C$3143=U$1,
Master_Mapping_Sheet!$H$2:$H$3143=$A11))/sum(filter(
Master_Mapping_Sheet!$E$2:$E$3143, ISNUMBER(
Master_Mapping_Sh"&amp;"eet!$E$2:$E$3143),
Master_Mapping_Sheet!$C$2:$C$3143=U$1))), 0, sum(filter(
Master_Mapping_Sheet!$E$2:$E$3143, ISNUMBER(
Master_Mapping_Sheet!$E$2:$E$3143),
Master_Mapping_Sheet!$C$2:$C$3143=U$1,
Master_Mapping_Sheet!$H$2:$H$3143=$A11))/sum(filter(
Master"&amp;"_Mapping_Sheet!$E$2:$E$3143, ISNUMBER(
Master_Mapping_Sheet!$E$2:$E$3143),
Master_Mapping_Sheet!$C$2:$C$3143=U$1)))"),0.0)</f>
        <v>0</v>
      </c>
      <c r="V11" s="34">
        <f>IFERROR(__xludf.DUMMYFUNCTION("IF(ISNA(sum(filter(
Master_Mapping_Sheet!$E$2:$E$3143, ISNUMBER(
Master_Mapping_Sheet!$E$2:$E$3143),
Master_Mapping_Sheet!$C$2:$C$3143=V$1,
Master_Mapping_Sheet!$H$2:$H$3143=$A11))/sum(filter(
Master_Mapping_Sheet!$E$2:$E$3143, ISNUMBER(
Master_Mapping_Sh"&amp;"eet!$E$2:$E$3143),
Master_Mapping_Sheet!$C$2:$C$3143=V$1))), 0, sum(filter(
Master_Mapping_Sheet!$E$2:$E$3143, ISNUMBER(
Master_Mapping_Sheet!$E$2:$E$3143),
Master_Mapping_Sheet!$C$2:$C$3143=V$1,
Master_Mapping_Sheet!$H$2:$H$3143=$A11))/sum(filter(
Master"&amp;"_Mapping_Sheet!$E$2:$E$3143, ISNUMBER(
Master_Mapping_Sheet!$E$2:$E$3143),
Master_Mapping_Sheet!$C$2:$C$3143=V$1)))"),0.7405649898151418)</f>
        <v>0.7405649898</v>
      </c>
      <c r="W11" s="34">
        <f>IFERROR(__xludf.DUMMYFUNCTION("IF(ISNA(sum(filter(
Master_Mapping_Sheet!$E$2:$E$3143, ISNUMBER(
Master_Mapping_Sheet!$E$2:$E$3143),
Master_Mapping_Sheet!$C$2:$C$3143=W$1,
Master_Mapping_Sheet!$H$2:$H$3143=$A11))/sum(filter(
Master_Mapping_Sheet!$E$2:$E$3143, ISNUMBER(
Master_Mapping_Sh"&amp;"eet!$E$2:$E$3143),
Master_Mapping_Sheet!$C$2:$C$3143=W$1))), 0, sum(filter(
Master_Mapping_Sheet!$E$2:$E$3143, ISNUMBER(
Master_Mapping_Sheet!$E$2:$E$3143),
Master_Mapping_Sheet!$C$2:$C$3143=W$1,
Master_Mapping_Sheet!$H$2:$H$3143=$A11))/sum(filter(
Master"&amp;"_Mapping_Sheet!$E$2:$E$3143, ISNUMBER(
Master_Mapping_Sheet!$E$2:$E$3143),
Master_Mapping_Sheet!$C$2:$C$3143=W$1)))"),0.0)</f>
        <v>0</v>
      </c>
      <c r="X11" s="34">
        <f>IFERROR(__xludf.DUMMYFUNCTION("IF(ISNA(sum(filter(
Master_Mapping_Sheet!$E$2:$E$3143, ISNUMBER(
Master_Mapping_Sheet!$E$2:$E$3143),
Master_Mapping_Sheet!$C$2:$C$3143=X$1,
Master_Mapping_Sheet!$H$2:$H$3143=$A11))/sum(filter(
Master_Mapping_Sheet!$E$2:$E$3143, ISNUMBER(
Master_Mapping_Sh"&amp;"eet!$E$2:$E$3143),
Master_Mapping_Sheet!$C$2:$C$3143=X$1))), 0, sum(filter(
Master_Mapping_Sheet!$E$2:$E$3143, ISNUMBER(
Master_Mapping_Sheet!$E$2:$E$3143),
Master_Mapping_Sheet!$C$2:$C$3143=X$1,
Master_Mapping_Sheet!$H$2:$H$3143=$A11))/sum(filter(
Master"&amp;"_Mapping_Sheet!$E$2:$E$3143, ISNUMBER(
Master_Mapping_Sheet!$E$2:$E$3143),
Master_Mapping_Sheet!$C$2:$C$3143=X$1)))"),0.0)</f>
        <v>0</v>
      </c>
      <c r="Y11" s="34">
        <f>IFERROR(__xludf.DUMMYFUNCTION("IF(ISNA(sum(filter(
Master_Mapping_Sheet!$E$2:$E$3143, ISNUMBER(
Master_Mapping_Sheet!$E$2:$E$3143),
Master_Mapping_Sheet!$C$2:$C$3143=Y$1,
Master_Mapping_Sheet!$H$2:$H$3143=$A11))/sum(filter(
Master_Mapping_Sheet!$E$2:$E$3143, ISNUMBER(
Master_Mapping_Sh"&amp;"eet!$E$2:$E$3143),
Master_Mapping_Sheet!$C$2:$C$3143=Y$1))), 0, sum(filter(
Master_Mapping_Sheet!$E$2:$E$3143, ISNUMBER(
Master_Mapping_Sheet!$E$2:$E$3143),
Master_Mapping_Sheet!$C$2:$C$3143=Y$1,
Master_Mapping_Sheet!$H$2:$H$3143=$A11))/sum(filter(
Master"&amp;"_Mapping_Sheet!$E$2:$E$3143, ISNUMBER(
Master_Mapping_Sheet!$E$2:$E$3143),
Master_Mapping_Sheet!$C$2:$C$3143=Y$1)))"),0.0)</f>
        <v>0</v>
      </c>
      <c r="Z11" s="34">
        <f>IFERROR(__xludf.DUMMYFUNCTION("IF(ISNA(sum(filter(
Master_Mapping_Sheet!$E$2:$E$3143, ISNUMBER(
Master_Mapping_Sheet!$E$2:$E$3143),
Master_Mapping_Sheet!$C$2:$C$3143=Z$1,
Master_Mapping_Sheet!$H$2:$H$3143=$A11))/sum(filter(
Master_Mapping_Sheet!$E$2:$E$3143, ISNUMBER(
Master_Mapping_Sh"&amp;"eet!$E$2:$E$3143),
Master_Mapping_Sheet!$C$2:$C$3143=Z$1))), 0, sum(filter(
Master_Mapping_Sheet!$E$2:$E$3143, ISNUMBER(
Master_Mapping_Sheet!$E$2:$E$3143),
Master_Mapping_Sheet!$C$2:$C$3143=Z$1,
Master_Mapping_Sheet!$H$2:$H$3143=$A11))/sum(filter(
Master"&amp;"_Mapping_Sheet!$E$2:$E$3143, ISNUMBER(
Master_Mapping_Sheet!$E$2:$E$3143),
Master_Mapping_Sheet!$C$2:$C$3143=Z$1)))"),0.0)</f>
        <v>0</v>
      </c>
      <c r="AA11" s="34">
        <f>IFERROR(__xludf.DUMMYFUNCTION("IF(ISNA(sum(filter(
Master_Mapping_Sheet!$E$2:$E$3143, ISNUMBER(
Master_Mapping_Sheet!$E$2:$E$3143),
Master_Mapping_Sheet!$C$2:$C$3143=AA$1,
Master_Mapping_Sheet!$H$2:$H$3143=$A11))/sum(filter(
Master_Mapping_Sheet!$E$2:$E$3143, ISNUMBER(
Master_Mapping_S"&amp;"heet!$E$2:$E$3143),
Master_Mapping_Sheet!$C$2:$C$3143=AA$1))), 0, sum(filter(
Master_Mapping_Sheet!$E$2:$E$3143, ISNUMBER(
Master_Mapping_Sheet!$E$2:$E$3143),
Master_Mapping_Sheet!$C$2:$C$3143=AA$1,
Master_Mapping_Sheet!$H$2:$H$3143=$A11))/sum(filter(
Mas"&amp;"ter_Mapping_Sheet!$E$2:$E$3143, ISNUMBER(
Master_Mapping_Sheet!$E$2:$E$3143),
Master_Mapping_Sheet!$C$2:$C$3143=AA$1)))"),0.0)</f>
        <v>0</v>
      </c>
      <c r="AB11" s="34">
        <f>IFERROR(__xludf.DUMMYFUNCTION("IF(ISNA(sum(filter(
Master_Mapping_Sheet!$E$2:$E$3143, ISNUMBER(
Master_Mapping_Sheet!$E$2:$E$3143),
Master_Mapping_Sheet!$C$2:$C$3143=AB$1,
Master_Mapping_Sheet!$H$2:$H$3143=$A11))/sum(filter(
Master_Mapping_Sheet!$E$2:$E$3143, ISNUMBER(
Master_Mapping_S"&amp;"heet!$E$2:$E$3143),
Master_Mapping_Sheet!$C$2:$C$3143=AB$1))), 0, sum(filter(
Master_Mapping_Sheet!$E$2:$E$3143, ISNUMBER(
Master_Mapping_Sheet!$E$2:$E$3143),
Master_Mapping_Sheet!$C$2:$C$3143=AB$1,
Master_Mapping_Sheet!$H$2:$H$3143=$A11))/sum(filter(
Mas"&amp;"ter_Mapping_Sheet!$E$2:$E$3143, ISNUMBER(
Master_Mapping_Sheet!$E$2:$E$3143),
Master_Mapping_Sheet!$C$2:$C$3143=AB$1)))"),0.0)</f>
        <v>0</v>
      </c>
      <c r="AC11" s="34">
        <f>IFERROR(__xludf.DUMMYFUNCTION("IF(ISNA(sum(filter(
Master_Mapping_Sheet!$E$2:$E$3143, ISNUMBER(
Master_Mapping_Sheet!$E$2:$E$3143),
Master_Mapping_Sheet!$C$2:$C$3143=AC$1,
Master_Mapping_Sheet!$H$2:$H$3143=$A11))/sum(filter(
Master_Mapping_Sheet!$E$2:$E$3143, ISNUMBER(
Master_Mapping_S"&amp;"heet!$E$2:$E$3143),
Master_Mapping_Sheet!$C$2:$C$3143=AC$1))), 0, sum(filter(
Master_Mapping_Sheet!$E$2:$E$3143, ISNUMBER(
Master_Mapping_Sheet!$E$2:$E$3143),
Master_Mapping_Sheet!$C$2:$C$3143=AC$1,
Master_Mapping_Sheet!$H$2:$H$3143=$A11))/sum(filter(
Mas"&amp;"ter_Mapping_Sheet!$E$2:$E$3143, ISNUMBER(
Master_Mapping_Sheet!$E$2:$E$3143),
Master_Mapping_Sheet!$C$2:$C$3143=AC$1)))"),0.0)</f>
        <v>0</v>
      </c>
      <c r="AD11" s="34">
        <f>IFERROR(__xludf.DUMMYFUNCTION("IF(ISNA(sum(filter(
Master_Mapping_Sheet!$E$2:$E$3143, ISNUMBER(
Master_Mapping_Sheet!$E$2:$E$3143),
Master_Mapping_Sheet!$C$2:$C$3143=AD$1,
Master_Mapping_Sheet!$H$2:$H$3143=$A11))/sum(filter(
Master_Mapping_Sheet!$E$2:$E$3143, ISNUMBER(
Master_Mapping_S"&amp;"heet!$E$2:$E$3143),
Master_Mapping_Sheet!$C$2:$C$3143=AD$1))), 0, sum(filter(
Master_Mapping_Sheet!$E$2:$E$3143, ISNUMBER(
Master_Mapping_Sheet!$E$2:$E$3143),
Master_Mapping_Sheet!$C$2:$C$3143=AD$1,
Master_Mapping_Sheet!$H$2:$H$3143=$A11))/sum(filter(
Mas"&amp;"ter_Mapping_Sheet!$E$2:$E$3143, ISNUMBER(
Master_Mapping_Sheet!$E$2:$E$3143),
Master_Mapping_Sheet!$C$2:$C$3143=AD$1)))"),0.0)</f>
        <v>0</v>
      </c>
      <c r="AE11" s="34">
        <f>IFERROR(__xludf.DUMMYFUNCTION("IF(ISNA(sum(filter(
Master_Mapping_Sheet!$E$2:$E$3143, ISNUMBER(
Master_Mapping_Sheet!$E$2:$E$3143),
Master_Mapping_Sheet!$C$2:$C$3143=AE$1,
Master_Mapping_Sheet!$H$2:$H$3143=$A11))/sum(filter(
Master_Mapping_Sheet!$E$2:$E$3143, ISNUMBER(
Master_Mapping_S"&amp;"heet!$E$2:$E$3143),
Master_Mapping_Sheet!$C$2:$C$3143=AE$1))), 0, sum(filter(
Master_Mapping_Sheet!$E$2:$E$3143, ISNUMBER(
Master_Mapping_Sheet!$E$2:$E$3143),
Master_Mapping_Sheet!$C$2:$C$3143=AE$1,
Master_Mapping_Sheet!$H$2:$H$3143=$A11))/sum(filter(
Mas"&amp;"ter_Mapping_Sheet!$E$2:$E$3143, ISNUMBER(
Master_Mapping_Sheet!$E$2:$E$3143),
Master_Mapping_Sheet!$C$2:$C$3143=AE$1)))"),0.0)</f>
        <v>0</v>
      </c>
      <c r="AF11" s="34">
        <f>IFERROR(__xludf.DUMMYFUNCTION("IF(ISNA(sum(filter(
Master_Mapping_Sheet!$E$2:$E$3143, ISNUMBER(
Master_Mapping_Sheet!$E$2:$E$3143),
Master_Mapping_Sheet!$C$2:$C$3143=AF$1,
Master_Mapping_Sheet!$H$2:$H$3143=$A11))/sum(filter(
Master_Mapping_Sheet!$E$2:$E$3143, ISNUMBER(
Master_Mapping_S"&amp;"heet!$E$2:$E$3143),
Master_Mapping_Sheet!$C$2:$C$3143=AF$1))), 0, sum(filter(
Master_Mapping_Sheet!$E$2:$E$3143, ISNUMBER(
Master_Mapping_Sheet!$E$2:$E$3143),
Master_Mapping_Sheet!$C$2:$C$3143=AF$1,
Master_Mapping_Sheet!$H$2:$H$3143=$A11))/sum(filter(
Mas"&amp;"ter_Mapping_Sheet!$E$2:$E$3143, ISNUMBER(
Master_Mapping_Sheet!$E$2:$E$3143),
Master_Mapping_Sheet!$C$2:$C$3143=AF$1)))"),1.0)</f>
        <v>1</v>
      </c>
      <c r="AG11" s="34">
        <f>IFERROR(__xludf.DUMMYFUNCTION("IF(ISNA(sum(filter(
Master_Mapping_Sheet!$E$2:$E$3143, ISNUMBER(
Master_Mapping_Sheet!$E$2:$E$3143),
Master_Mapping_Sheet!$C$2:$C$3143=AG$1,
Master_Mapping_Sheet!$H$2:$H$3143=$A11))/sum(filter(
Master_Mapping_Sheet!$E$2:$E$3143, ISNUMBER(
Master_Mapping_S"&amp;"heet!$E$2:$E$3143),
Master_Mapping_Sheet!$C$2:$C$3143=AG$1))), 0, sum(filter(
Master_Mapping_Sheet!$E$2:$E$3143, ISNUMBER(
Master_Mapping_Sheet!$E$2:$E$3143),
Master_Mapping_Sheet!$C$2:$C$3143=AG$1,
Master_Mapping_Sheet!$H$2:$H$3143=$A11))/sum(filter(
Mas"&amp;"ter_Mapping_Sheet!$E$2:$E$3143, ISNUMBER(
Master_Mapping_Sheet!$E$2:$E$3143),
Master_Mapping_Sheet!$C$2:$C$3143=AG$1)))"),0.0)</f>
        <v>0</v>
      </c>
      <c r="AH11" s="34">
        <f>IFERROR(__xludf.DUMMYFUNCTION("IF(ISNA(sum(filter(
Master_Mapping_Sheet!$E$2:$E$3143, ISNUMBER(
Master_Mapping_Sheet!$E$2:$E$3143),
Master_Mapping_Sheet!$C$2:$C$3143=AH$1,
Master_Mapping_Sheet!$H$2:$H$3143=$A11))/sum(filter(
Master_Mapping_Sheet!$E$2:$E$3143, ISNUMBER(
Master_Mapping_S"&amp;"heet!$E$2:$E$3143),
Master_Mapping_Sheet!$C$2:$C$3143=AH$1))), 0, sum(filter(
Master_Mapping_Sheet!$E$2:$E$3143, ISNUMBER(
Master_Mapping_Sheet!$E$2:$E$3143),
Master_Mapping_Sheet!$C$2:$C$3143=AH$1,
Master_Mapping_Sheet!$H$2:$H$3143=$A11))/sum(filter(
Mas"&amp;"ter_Mapping_Sheet!$E$2:$E$3143, ISNUMBER(
Master_Mapping_Sheet!$E$2:$E$3143),
Master_Mapping_Sheet!$C$2:$C$3143=AH$1)))"),0.0250718708536046)</f>
        <v>0.02507187085</v>
      </c>
      <c r="AI11" s="34">
        <f>IFERROR(__xludf.DUMMYFUNCTION("IF(ISNA(sum(filter(
Master_Mapping_Sheet!$E$2:$E$3143, ISNUMBER(
Master_Mapping_Sheet!$E$2:$E$3143),
Master_Mapping_Sheet!$C$2:$C$3143=AI$1,
Master_Mapping_Sheet!$H$2:$H$3143=$A11))/sum(filter(
Master_Mapping_Sheet!$E$2:$E$3143, ISNUMBER(
Master_Mapping_S"&amp;"heet!$E$2:$E$3143),
Master_Mapping_Sheet!$C$2:$C$3143=AI$1))), 0, sum(filter(
Master_Mapping_Sheet!$E$2:$E$3143, ISNUMBER(
Master_Mapping_Sheet!$E$2:$E$3143),
Master_Mapping_Sheet!$C$2:$C$3143=AI$1,
Master_Mapping_Sheet!$H$2:$H$3143=$A11))/sum(filter(
Mas"&amp;"ter_Mapping_Sheet!$E$2:$E$3143, ISNUMBER(
Master_Mapping_Sheet!$E$2:$E$3143),
Master_Mapping_Sheet!$C$2:$C$3143=AI$1)))"),0.0)</f>
        <v>0</v>
      </c>
      <c r="AJ11" s="34">
        <f>IFERROR(__xludf.DUMMYFUNCTION("IF(ISNA(sum(filter(
Master_Mapping_Sheet!$E$2:$E$3143, ISNUMBER(
Master_Mapping_Sheet!$E$2:$E$3143),
Master_Mapping_Sheet!$C$2:$C$3143=AJ$1,
Master_Mapping_Sheet!$H$2:$H$3143=$A11))/sum(filter(
Master_Mapping_Sheet!$E$2:$E$3143, ISNUMBER(
Master_Mapping_S"&amp;"heet!$E$2:$E$3143),
Master_Mapping_Sheet!$C$2:$C$3143=AJ$1))), 0, sum(filter(
Master_Mapping_Sheet!$E$2:$E$3143, ISNUMBER(
Master_Mapping_Sheet!$E$2:$E$3143),
Master_Mapping_Sheet!$C$2:$C$3143=AJ$1,
Master_Mapping_Sheet!$H$2:$H$3143=$A11))/sum(filter(
Mas"&amp;"ter_Mapping_Sheet!$E$2:$E$3143, ISNUMBER(
Master_Mapping_Sheet!$E$2:$E$3143),
Master_Mapping_Sheet!$C$2:$C$3143=AJ$1)))"),0.0)</f>
        <v>0</v>
      </c>
      <c r="AK11" s="34">
        <f>IFERROR(__xludf.DUMMYFUNCTION("IF(ISNA(sum(filter(
Master_Mapping_Sheet!$E$2:$E$3143, ISNUMBER(
Master_Mapping_Sheet!$E$2:$E$3143),
Master_Mapping_Sheet!$C$2:$C$3143=AK$1,
Master_Mapping_Sheet!$H$2:$H$3143=$A11))/sum(filter(
Master_Mapping_Sheet!$E$2:$E$3143, ISNUMBER(
Master_Mapping_S"&amp;"heet!$E$2:$E$3143),
Master_Mapping_Sheet!$C$2:$C$3143=AK$1))), 0, sum(filter(
Master_Mapping_Sheet!$E$2:$E$3143, ISNUMBER(
Master_Mapping_Sheet!$E$2:$E$3143),
Master_Mapping_Sheet!$C$2:$C$3143=AK$1,
Master_Mapping_Sheet!$H$2:$H$3143=$A11))/sum(filter(
Mas"&amp;"ter_Mapping_Sheet!$E$2:$E$3143, ISNUMBER(
Master_Mapping_Sheet!$E$2:$E$3143),
Master_Mapping_Sheet!$C$2:$C$3143=AK$1)))"),0.0)</f>
        <v>0</v>
      </c>
      <c r="AL11" s="34">
        <f>IFERROR(__xludf.DUMMYFUNCTION("IF(ISNA(sum(filter(
Master_Mapping_Sheet!$E$2:$E$3143, ISNUMBER(
Master_Mapping_Sheet!$E$2:$E$3143),
Master_Mapping_Sheet!$C$2:$C$3143=AL$1,
Master_Mapping_Sheet!$H$2:$H$3143=$A11))/sum(filter(
Master_Mapping_Sheet!$E$2:$E$3143, ISNUMBER(
Master_Mapping_S"&amp;"heet!$E$2:$E$3143),
Master_Mapping_Sheet!$C$2:$C$3143=AL$1))), 0, sum(filter(
Master_Mapping_Sheet!$E$2:$E$3143, ISNUMBER(
Master_Mapping_Sheet!$E$2:$E$3143),
Master_Mapping_Sheet!$C$2:$C$3143=AL$1,
Master_Mapping_Sheet!$H$2:$H$3143=$A11))/sum(filter(
Mas"&amp;"ter_Mapping_Sheet!$E$2:$E$3143, ISNUMBER(
Master_Mapping_Sheet!$E$2:$E$3143),
Master_Mapping_Sheet!$C$2:$C$3143=AL$1)))"),0.0)</f>
        <v>0</v>
      </c>
      <c r="AM11" s="34">
        <f>IFERROR(__xludf.DUMMYFUNCTION("IF(ISNA(sum(filter(
Master_Mapping_Sheet!$E$2:$E$3143, ISNUMBER(
Master_Mapping_Sheet!$E$2:$E$3143),
Master_Mapping_Sheet!$C$2:$C$3143=AM$1,
Master_Mapping_Sheet!$H$2:$H$3143=$A11))/sum(filter(
Master_Mapping_Sheet!$E$2:$E$3143, ISNUMBER(
Master_Mapping_S"&amp;"heet!$E$2:$E$3143),
Master_Mapping_Sheet!$C$2:$C$3143=AM$1))), 0, sum(filter(
Master_Mapping_Sheet!$E$2:$E$3143, ISNUMBER(
Master_Mapping_Sheet!$E$2:$E$3143),
Master_Mapping_Sheet!$C$2:$C$3143=AM$1,
Master_Mapping_Sheet!$H$2:$H$3143=$A11))/sum(filter(
Mas"&amp;"ter_Mapping_Sheet!$E$2:$E$3143, ISNUMBER(
Master_Mapping_Sheet!$E$2:$E$3143),
Master_Mapping_Sheet!$C$2:$C$3143=AM$1)))"),0.0)</f>
        <v>0</v>
      </c>
      <c r="AN11" s="34">
        <f>IFERROR(__xludf.DUMMYFUNCTION("IF(ISNA(sum(filter(
Master_Mapping_Sheet!$E$2:$E$3143, ISNUMBER(
Master_Mapping_Sheet!$E$2:$E$3143),
Master_Mapping_Sheet!$C$2:$C$3143=AN$1,
Master_Mapping_Sheet!$H$2:$H$3143=$A11))/sum(filter(
Master_Mapping_Sheet!$E$2:$E$3143, ISNUMBER(
Master_Mapping_S"&amp;"heet!$E$2:$E$3143),
Master_Mapping_Sheet!$C$2:$C$3143=AN$1))), 0, sum(filter(
Master_Mapping_Sheet!$E$2:$E$3143, ISNUMBER(
Master_Mapping_Sheet!$E$2:$E$3143),
Master_Mapping_Sheet!$C$2:$C$3143=AN$1,
Master_Mapping_Sheet!$H$2:$H$3143=$A11))/sum(filter(
Mas"&amp;"ter_Mapping_Sheet!$E$2:$E$3143, ISNUMBER(
Master_Mapping_Sheet!$E$2:$E$3143),
Master_Mapping_Sheet!$C$2:$C$3143=AN$1)))"),0.7851160995065224)</f>
        <v>0.7851160995</v>
      </c>
      <c r="AO11" s="34">
        <f>IFERROR(__xludf.DUMMYFUNCTION("IF(ISNA(sum(filter(
Master_Mapping_Sheet!$E$2:$E$3143, ISNUMBER(
Master_Mapping_Sheet!$E$2:$E$3143),
Master_Mapping_Sheet!$C$2:$C$3143=AO$1,
Master_Mapping_Sheet!$H$2:$H$3143=$A11))/sum(filter(
Master_Mapping_Sheet!$E$2:$E$3143, ISNUMBER(
Master_Mapping_S"&amp;"heet!$E$2:$E$3143),
Master_Mapping_Sheet!$C$2:$C$3143=AO$1))), 0, sum(filter(
Master_Mapping_Sheet!$E$2:$E$3143, ISNUMBER(
Master_Mapping_Sheet!$E$2:$E$3143),
Master_Mapping_Sheet!$C$2:$C$3143=AO$1,
Master_Mapping_Sheet!$H$2:$H$3143=$A11))/sum(filter(
Mas"&amp;"ter_Mapping_Sheet!$E$2:$E$3143, ISNUMBER(
Master_Mapping_Sheet!$E$2:$E$3143),
Master_Mapping_Sheet!$C$2:$C$3143=AO$1)))"),0.0)</f>
        <v>0</v>
      </c>
      <c r="AP11" s="34">
        <f>IFERROR(__xludf.DUMMYFUNCTION("IF(ISNA(sum(filter(
Master_Mapping_Sheet!$E$2:$E$3143, ISNUMBER(
Master_Mapping_Sheet!$E$2:$E$3143),
Master_Mapping_Sheet!$C$2:$C$3143=AP$1,
Master_Mapping_Sheet!$H$2:$H$3143=$A11))/sum(filter(
Master_Mapping_Sheet!$E$2:$E$3143, ISNUMBER(
Master_Mapping_S"&amp;"heet!$E$2:$E$3143),
Master_Mapping_Sheet!$C$2:$C$3143=AP$1))), 0, sum(filter(
Master_Mapping_Sheet!$E$2:$E$3143, ISNUMBER(
Master_Mapping_Sheet!$E$2:$E$3143),
Master_Mapping_Sheet!$C$2:$C$3143=AP$1,
Master_Mapping_Sheet!$H$2:$H$3143=$A11))/sum(filter(
Mas"&amp;"ter_Mapping_Sheet!$E$2:$E$3143, ISNUMBER(
Master_Mapping_Sheet!$E$2:$E$3143),
Master_Mapping_Sheet!$C$2:$C$3143=AP$1)))"),0.0)</f>
        <v>0</v>
      </c>
      <c r="AQ11" s="34">
        <f>IFERROR(__xludf.DUMMYFUNCTION("IF(ISNA(sum(filter(
Master_Mapping_Sheet!$E$2:$E$3143, ISNUMBER(
Master_Mapping_Sheet!$E$2:$E$3143),
Master_Mapping_Sheet!$C$2:$C$3143=AQ$1,
Master_Mapping_Sheet!$H$2:$H$3143=$A11))/sum(filter(
Master_Mapping_Sheet!$E$2:$E$3143, ISNUMBER(
Master_Mapping_S"&amp;"heet!$E$2:$E$3143),
Master_Mapping_Sheet!$C$2:$C$3143=AQ$1))), 0, sum(filter(
Master_Mapping_Sheet!$E$2:$E$3143, ISNUMBER(
Master_Mapping_Sheet!$E$2:$E$3143),
Master_Mapping_Sheet!$C$2:$C$3143=AQ$1,
Master_Mapping_Sheet!$H$2:$H$3143=$A11))/sum(filter(
Mas"&amp;"ter_Mapping_Sheet!$E$2:$E$3143, ISNUMBER(
Master_Mapping_Sheet!$E$2:$E$3143),
Master_Mapping_Sheet!$C$2:$C$3143=AQ$1)))"),0.0)</f>
        <v>0</v>
      </c>
      <c r="AR11" s="34">
        <f>IFERROR(__xludf.DUMMYFUNCTION("IF(ISNA(sum(filter(
Master_Mapping_Sheet!$E$2:$E$3143, ISNUMBER(
Master_Mapping_Sheet!$E$2:$E$3143),
Master_Mapping_Sheet!$C$2:$C$3143=AR$1,
Master_Mapping_Sheet!$H$2:$H$3143=$A11))/sum(filter(
Master_Mapping_Sheet!$E$2:$E$3143, ISNUMBER(
Master_Mapping_S"&amp;"heet!$E$2:$E$3143),
Master_Mapping_Sheet!$C$2:$C$3143=AR$1))), 0, sum(filter(
Master_Mapping_Sheet!$E$2:$E$3143, ISNUMBER(
Master_Mapping_Sheet!$E$2:$E$3143),
Master_Mapping_Sheet!$C$2:$C$3143=AR$1,
Master_Mapping_Sheet!$H$2:$H$3143=$A11))/sum(filter(
Mas"&amp;"ter_Mapping_Sheet!$E$2:$E$3143, ISNUMBER(
Master_Mapping_Sheet!$E$2:$E$3143),
Master_Mapping_Sheet!$C$2:$C$3143=AR$1)))"),0.0)</f>
        <v>0</v>
      </c>
      <c r="AS11" s="34">
        <f>IFERROR(__xludf.DUMMYFUNCTION("IF(ISNA(sum(filter(
Master_Mapping_Sheet!$E$2:$E$3143, ISNUMBER(
Master_Mapping_Sheet!$E$2:$E$3143),
Master_Mapping_Sheet!$C$2:$C$3143=AS$1,
Master_Mapping_Sheet!$H$2:$H$3143=$A11))/sum(filter(
Master_Mapping_Sheet!$E$2:$E$3143, ISNUMBER(
Master_Mapping_S"&amp;"heet!$E$2:$E$3143),
Master_Mapping_Sheet!$C$2:$C$3143=AS$1))), 0, sum(filter(
Master_Mapping_Sheet!$E$2:$E$3143, ISNUMBER(
Master_Mapping_Sheet!$E$2:$E$3143),
Master_Mapping_Sheet!$C$2:$C$3143=AS$1,
Master_Mapping_Sheet!$H$2:$H$3143=$A11))/sum(filter(
Mas"&amp;"ter_Mapping_Sheet!$E$2:$E$3143, ISNUMBER(
Master_Mapping_Sheet!$E$2:$E$3143),
Master_Mapping_Sheet!$C$2:$C$3143=AS$1)))"),0.0)</f>
        <v>0</v>
      </c>
      <c r="AT11" s="34">
        <f>IFERROR(__xludf.DUMMYFUNCTION("IF(ISNA(sum(filter(
Master_Mapping_Sheet!$E$2:$E$3143, ISNUMBER(
Master_Mapping_Sheet!$E$2:$E$3143),
Master_Mapping_Sheet!$C$2:$C$3143=AT$1,
Master_Mapping_Sheet!$H$2:$H$3143=$A11))/sum(filter(
Master_Mapping_Sheet!$E$2:$E$3143, ISNUMBER(
Master_Mapping_S"&amp;"heet!$E$2:$E$3143),
Master_Mapping_Sheet!$C$2:$C$3143=AT$1))), 0, sum(filter(
Master_Mapping_Sheet!$E$2:$E$3143, ISNUMBER(
Master_Mapping_Sheet!$E$2:$E$3143),
Master_Mapping_Sheet!$C$2:$C$3143=AT$1,
Master_Mapping_Sheet!$H$2:$H$3143=$A11))/sum(filter(
Mas"&amp;"ter_Mapping_Sheet!$E$2:$E$3143, ISNUMBER(
Master_Mapping_Sheet!$E$2:$E$3143),
Master_Mapping_Sheet!$C$2:$C$3143=AT$1)))"),0.0)</f>
        <v>0</v>
      </c>
      <c r="AU11" s="34">
        <f>IFERROR(__xludf.DUMMYFUNCTION("IF(ISNA(sum(filter(
Master_Mapping_Sheet!$E$2:$E$3143, ISNUMBER(
Master_Mapping_Sheet!$E$2:$E$3143),
Master_Mapping_Sheet!$C$2:$C$3143=AU$1,
Master_Mapping_Sheet!$H$2:$H$3143=$A11))/sum(filter(
Master_Mapping_Sheet!$E$2:$E$3143, ISNUMBER(
Master_Mapping_S"&amp;"heet!$E$2:$E$3143),
Master_Mapping_Sheet!$C$2:$C$3143=AU$1))), 0, sum(filter(
Master_Mapping_Sheet!$E$2:$E$3143, ISNUMBER(
Master_Mapping_Sheet!$E$2:$E$3143),
Master_Mapping_Sheet!$C$2:$C$3143=AU$1,
Master_Mapping_Sheet!$H$2:$H$3143=$A11))/sum(filter(
Mas"&amp;"ter_Mapping_Sheet!$E$2:$E$3143, ISNUMBER(
Master_Mapping_Sheet!$E$2:$E$3143),
Master_Mapping_Sheet!$C$2:$C$3143=AU$1)))"),0.0)</f>
        <v>0</v>
      </c>
      <c r="AV11" s="34">
        <f>IFERROR(__xludf.DUMMYFUNCTION("IF(ISNA(sum(filter(
Master_Mapping_Sheet!$E$2:$E$3143, ISNUMBER(
Master_Mapping_Sheet!$E$2:$E$3143),
Master_Mapping_Sheet!$C$2:$C$3143=AV$1,
Master_Mapping_Sheet!$H$2:$H$3143=$A11))/sum(filter(
Master_Mapping_Sheet!$E$2:$E$3143, ISNUMBER(
Master_Mapping_S"&amp;"heet!$E$2:$E$3143),
Master_Mapping_Sheet!$C$2:$C$3143=AV$1))), 0, sum(filter(
Master_Mapping_Sheet!$E$2:$E$3143, ISNUMBER(
Master_Mapping_Sheet!$E$2:$E$3143),
Master_Mapping_Sheet!$C$2:$C$3143=AV$1,
Master_Mapping_Sheet!$H$2:$H$3143=$A11))/sum(filter(
Mas"&amp;"ter_Mapping_Sheet!$E$2:$E$3143, ISNUMBER(
Master_Mapping_Sheet!$E$2:$E$3143),
Master_Mapping_Sheet!$C$2:$C$3143=AV$1)))"),0.005192928896802069)</f>
        <v>0.005192928897</v>
      </c>
      <c r="AW11" s="34">
        <f>IFERROR(__xludf.DUMMYFUNCTION("IF(ISNA(sum(filter(
Master_Mapping_Sheet!$E$2:$E$3143, ISNUMBER(
Master_Mapping_Sheet!$E$2:$E$3143),
Master_Mapping_Sheet!$C$2:$C$3143=AW$1,
Master_Mapping_Sheet!$H$2:$H$3143=$A11))/sum(filter(
Master_Mapping_Sheet!$E$2:$E$3143, ISNUMBER(
Master_Mapping_S"&amp;"heet!$E$2:$E$3143),
Master_Mapping_Sheet!$C$2:$C$3143=AW$1))), 0, sum(filter(
Master_Mapping_Sheet!$E$2:$E$3143, ISNUMBER(
Master_Mapping_Sheet!$E$2:$E$3143),
Master_Mapping_Sheet!$C$2:$C$3143=AW$1,
Master_Mapping_Sheet!$H$2:$H$3143=$A11))/sum(filter(
Mas"&amp;"ter_Mapping_Sheet!$E$2:$E$3143, ISNUMBER(
Master_Mapping_Sheet!$E$2:$E$3143),
Master_Mapping_Sheet!$C$2:$C$3143=AW$1)))"),0.0)</f>
        <v>0</v>
      </c>
      <c r="AX11" s="34">
        <f>IFERROR(__xludf.DUMMYFUNCTION("IF(ISNA(sum(filter(
Master_Mapping_Sheet!$E$2:$E$3143, ISNUMBER(
Master_Mapping_Sheet!$E$2:$E$3143),
Master_Mapping_Sheet!$C$2:$C$3143=AX$1,
Master_Mapping_Sheet!$H$2:$H$3143=$A11))/sum(filter(
Master_Mapping_Sheet!$E$2:$E$3143, ISNUMBER(
Master_Mapping_S"&amp;"heet!$E$2:$E$3143),
Master_Mapping_Sheet!$C$2:$C$3143=AX$1))), 0, sum(filter(
Master_Mapping_Sheet!$E$2:$E$3143, ISNUMBER(
Master_Mapping_Sheet!$E$2:$E$3143),
Master_Mapping_Sheet!$C$2:$C$3143=AX$1,
Master_Mapping_Sheet!$H$2:$H$3143=$A11))/sum(filter(
Mas"&amp;"ter_Mapping_Sheet!$E$2:$E$3143, ISNUMBER(
Master_Mapping_Sheet!$E$2:$E$3143),
Master_Mapping_Sheet!$C$2:$C$3143=AX$1)))"),0.0)</f>
        <v>0</v>
      </c>
      <c r="AY11" s="34">
        <f>IFERROR(__xludf.DUMMYFUNCTION("IF(ISNA(sum(filter(
Master_Mapping_Sheet!$E$2:$E$3143, ISNUMBER(
Master_Mapping_Sheet!$E$2:$E$3143),
Master_Mapping_Sheet!$C$2:$C$3143=AY$1,
Master_Mapping_Sheet!$H$2:$H$3143=$A11))/sum(filter(
Master_Mapping_Sheet!$E$2:$E$3143, ISNUMBER(
Master_Mapping_S"&amp;"heet!$E$2:$E$3143),
Master_Mapping_Sheet!$C$2:$C$3143=AY$1))), 0, sum(filter(
Master_Mapping_Sheet!$E$2:$E$3143, ISNUMBER(
Master_Mapping_Sheet!$E$2:$E$3143),
Master_Mapping_Sheet!$C$2:$C$3143=AY$1,
Master_Mapping_Sheet!$H$2:$H$3143=$A11))/sum(filter(
Mas"&amp;"ter_Mapping_Sheet!$E$2:$E$3143, ISNUMBER(
Master_Mapping_Sheet!$E$2:$E$3143),
Master_Mapping_Sheet!$C$2:$C$3143=AY$1)))"),0.0)</f>
        <v>0</v>
      </c>
      <c r="AZ11" s="34">
        <f>IFERROR(__xludf.DUMMYFUNCTION("IF(ISNA(sum(filter(
Master_Mapping_Sheet!$E$2:$E$3143, ISNUMBER(
Master_Mapping_Sheet!$E$2:$E$3143),
Master_Mapping_Sheet!$C$2:$C$3143=AZ$1,
Master_Mapping_Sheet!$H$2:$H$3143=$A11))/sum(filter(
Master_Mapping_Sheet!$E$2:$E$3143, ISNUMBER(
Master_Mapping_S"&amp;"heet!$E$2:$E$3143),
Master_Mapping_Sheet!$C$2:$C$3143=AZ$1))), 0, sum(filter(
Master_Mapping_Sheet!$E$2:$E$3143, ISNUMBER(
Master_Mapping_Sheet!$E$2:$E$3143),
Master_Mapping_Sheet!$C$2:$C$3143=AZ$1,
Master_Mapping_Sheet!$H$2:$H$3143=$A11))/sum(filter(
Mas"&amp;"ter_Mapping_Sheet!$E$2:$E$3143, ISNUMBER(
Master_Mapping_Sheet!$E$2:$E$3143),
Master_Mapping_Sheet!$C$2:$C$3143=AZ$1)))"),0.0)</f>
        <v>0</v>
      </c>
    </row>
    <row r="12" ht="15.75" customHeight="1">
      <c r="A12" s="34" t="s">
        <v>3997</v>
      </c>
      <c r="B12" s="34">
        <f>IFERROR(__xludf.DUMMYFUNCTION("IF(ISNA(sum(filter(
Master_Mapping_Sheet!$E$2:$E$3143, ISNUMBER(
Master_Mapping_Sheet!$E$2:$E$3143),
Master_Mapping_Sheet!$C$2:$C$3143=B$1,
Master_Mapping_Sheet!$H$2:$H$3143=$A12))/sum(filter(
Master_Mapping_Sheet!$E$2:$E$3143, ISNUMBER(
Master_Mapping_Sh"&amp;"eet!$E$2:$E$3143),
Master_Mapping_Sheet!$C$2:$C$3143=B$1))), 0, sum(filter(
Master_Mapping_Sheet!$E$2:$E$3143, ISNUMBER(
Master_Mapping_Sheet!$E$2:$E$3143),
Master_Mapping_Sheet!$C$2:$C$3143=B$1,
Master_Mapping_Sheet!$H$2:$H$3143=$A12))/sum(filter(
Master"&amp;"_Mapping_Sheet!$E$2:$E$3143, ISNUMBER(
Master_Mapping_Sheet!$E$2:$E$3143),
Master_Mapping_Sheet!$C$2:$C$3143=B$1)))"),0.0)</f>
        <v>0</v>
      </c>
      <c r="C12" s="34">
        <f>IFERROR(__xludf.DUMMYFUNCTION("IF(ISNA(sum(filter(
Master_Mapping_Sheet!$E$2:$E$3143, ISNUMBER(
Master_Mapping_Sheet!$E$2:$E$3143),
Master_Mapping_Sheet!$C$2:$C$3143=C$1,
Master_Mapping_Sheet!$H$2:$H$3143=$A12))/sum(filter(
Master_Mapping_Sheet!$E$2:$E$3143, ISNUMBER(
Master_Mapping_Sh"&amp;"eet!$E$2:$E$3143),
Master_Mapping_Sheet!$C$2:$C$3143=C$1))), 0, sum(filter(
Master_Mapping_Sheet!$E$2:$E$3143, ISNUMBER(
Master_Mapping_Sheet!$E$2:$E$3143),
Master_Mapping_Sheet!$C$2:$C$3143=C$1,
Master_Mapping_Sheet!$H$2:$H$3143=$A12))/sum(filter(
Master"&amp;"_Mapping_Sheet!$E$2:$E$3143, ISNUMBER(
Master_Mapping_Sheet!$E$2:$E$3143),
Master_Mapping_Sheet!$C$2:$C$3143=C$1)))"),0.0)</f>
        <v>0</v>
      </c>
      <c r="D12" s="34">
        <f>IFERROR(__xludf.DUMMYFUNCTION("IF(ISNA(sum(filter(
Master_Mapping_Sheet!$E$2:$E$3143, ISNUMBER(
Master_Mapping_Sheet!$E$2:$E$3143),
Master_Mapping_Sheet!$C$2:$C$3143=D$1,
Master_Mapping_Sheet!$H$2:$H$3143=$A12))/sum(filter(
Master_Mapping_Sheet!$E$2:$E$3143, ISNUMBER(
Master_Mapping_Sh"&amp;"eet!$E$2:$E$3143),
Master_Mapping_Sheet!$C$2:$C$3143=D$1))), 0, sum(filter(
Master_Mapping_Sheet!$E$2:$E$3143, ISNUMBER(
Master_Mapping_Sheet!$E$2:$E$3143),
Master_Mapping_Sheet!$C$2:$C$3143=D$1,
Master_Mapping_Sheet!$H$2:$H$3143=$A12))/sum(filter(
Master"&amp;"_Mapping_Sheet!$E$2:$E$3143, ISNUMBER(
Master_Mapping_Sheet!$E$2:$E$3143),
Master_Mapping_Sheet!$C$2:$C$3143=D$1)))"),0.0)</f>
        <v>0</v>
      </c>
      <c r="E12" s="34">
        <f>IFERROR(__xludf.DUMMYFUNCTION("IF(ISNA(sum(filter(
Master_Mapping_Sheet!$E$2:$E$3143, ISNUMBER(
Master_Mapping_Sheet!$E$2:$E$3143),
Master_Mapping_Sheet!$C$2:$C$3143=E$1,
Master_Mapping_Sheet!$H$2:$H$3143=$A12))/sum(filter(
Master_Mapping_Sheet!$E$2:$E$3143, ISNUMBER(
Master_Mapping_Sh"&amp;"eet!$E$2:$E$3143),
Master_Mapping_Sheet!$C$2:$C$3143=E$1))), 0, sum(filter(
Master_Mapping_Sheet!$E$2:$E$3143, ISNUMBER(
Master_Mapping_Sheet!$E$2:$E$3143),
Master_Mapping_Sheet!$C$2:$C$3143=E$1,
Master_Mapping_Sheet!$H$2:$H$3143=$A12))/sum(filter(
Master"&amp;"_Mapping_Sheet!$E$2:$E$3143, ISNUMBER(
Master_Mapping_Sheet!$E$2:$E$3143),
Master_Mapping_Sheet!$C$2:$C$3143=E$1)))"),0.0)</f>
        <v>0</v>
      </c>
      <c r="F12" s="34">
        <f>IFERROR(__xludf.DUMMYFUNCTION("IF(ISNA(sum(filter(
Master_Mapping_Sheet!$E$2:$E$3143, ISNUMBER(
Master_Mapping_Sheet!$E$2:$E$3143),
Master_Mapping_Sheet!$C$2:$C$3143=F$1,
Master_Mapping_Sheet!$H$2:$H$3143=$A12))/sum(filter(
Master_Mapping_Sheet!$E$2:$E$3143, ISNUMBER(
Master_Mapping_Sh"&amp;"eet!$E$2:$E$3143),
Master_Mapping_Sheet!$C$2:$C$3143=F$1))), 0, sum(filter(
Master_Mapping_Sheet!$E$2:$E$3143, ISNUMBER(
Master_Mapping_Sheet!$E$2:$E$3143),
Master_Mapping_Sheet!$C$2:$C$3143=F$1,
Master_Mapping_Sheet!$H$2:$H$3143=$A12))/sum(filter(
Master"&amp;"_Mapping_Sheet!$E$2:$E$3143, ISNUMBER(
Master_Mapping_Sheet!$E$2:$E$3143),
Master_Mapping_Sheet!$C$2:$C$3143=F$1)))"),0.0)</f>
        <v>0</v>
      </c>
      <c r="G12" s="34">
        <f>IFERROR(__xludf.DUMMYFUNCTION("IF(ISNA(sum(filter(
Master_Mapping_Sheet!$E$2:$E$3143, ISNUMBER(
Master_Mapping_Sheet!$E$2:$E$3143),
Master_Mapping_Sheet!$C$2:$C$3143=G$1,
Master_Mapping_Sheet!$H$2:$H$3143=$A12))/sum(filter(
Master_Mapping_Sheet!$E$2:$E$3143, ISNUMBER(
Master_Mapping_Sh"&amp;"eet!$E$2:$E$3143),
Master_Mapping_Sheet!$C$2:$C$3143=G$1))), 0, sum(filter(
Master_Mapping_Sheet!$E$2:$E$3143, ISNUMBER(
Master_Mapping_Sheet!$E$2:$E$3143),
Master_Mapping_Sheet!$C$2:$C$3143=G$1,
Master_Mapping_Sheet!$H$2:$H$3143=$A12))/sum(filter(
Master"&amp;"_Mapping_Sheet!$E$2:$E$3143, ISNUMBER(
Master_Mapping_Sheet!$E$2:$E$3143),
Master_Mapping_Sheet!$C$2:$C$3143=G$1)))"),0.0)</f>
        <v>0</v>
      </c>
      <c r="H12" s="34">
        <f>IFERROR(__xludf.DUMMYFUNCTION("IF(ISNA(sum(filter(
Master_Mapping_Sheet!$E$2:$E$3143, ISNUMBER(
Master_Mapping_Sheet!$E$2:$E$3143),
Master_Mapping_Sheet!$C$2:$C$3143=H$1,
Master_Mapping_Sheet!$H$2:$H$3143=$A12))/sum(filter(
Master_Mapping_Sheet!$E$2:$E$3143, ISNUMBER(
Master_Mapping_Sh"&amp;"eet!$E$2:$E$3143),
Master_Mapping_Sheet!$C$2:$C$3143=H$1))), 0, sum(filter(
Master_Mapping_Sheet!$E$2:$E$3143, ISNUMBER(
Master_Mapping_Sheet!$E$2:$E$3143),
Master_Mapping_Sheet!$C$2:$C$3143=H$1,
Master_Mapping_Sheet!$H$2:$H$3143=$A12))/sum(filter(
Master"&amp;"_Mapping_Sheet!$E$2:$E$3143, ISNUMBER(
Master_Mapping_Sheet!$E$2:$E$3143),
Master_Mapping_Sheet!$C$2:$C$3143=H$1)))"),0.0)</f>
        <v>0</v>
      </c>
      <c r="I12" s="34">
        <f>IFERROR(__xludf.DUMMYFUNCTION("IF(ISNA(sum(filter(
Master_Mapping_Sheet!$E$2:$E$3143, ISNUMBER(
Master_Mapping_Sheet!$E$2:$E$3143),
Master_Mapping_Sheet!$C$2:$C$3143=I$1,
Master_Mapping_Sheet!$H$2:$H$3143=$A12))/sum(filter(
Master_Mapping_Sheet!$E$2:$E$3143, ISNUMBER(
Master_Mapping_Sh"&amp;"eet!$E$2:$E$3143),
Master_Mapping_Sheet!$C$2:$C$3143=I$1))), 0, sum(filter(
Master_Mapping_Sheet!$E$2:$E$3143, ISNUMBER(
Master_Mapping_Sheet!$E$2:$E$3143),
Master_Mapping_Sheet!$C$2:$C$3143=I$1,
Master_Mapping_Sheet!$H$2:$H$3143=$A12))/sum(filter(
Master"&amp;"_Mapping_Sheet!$E$2:$E$3143, ISNUMBER(
Master_Mapping_Sheet!$E$2:$E$3143),
Master_Mapping_Sheet!$C$2:$C$3143=I$1)))"),0.0)</f>
        <v>0</v>
      </c>
      <c r="J12" s="34">
        <f>IFERROR(__xludf.DUMMYFUNCTION("IF(ISNA(sum(filter(
Master_Mapping_Sheet!$E$2:$E$3143, ISNUMBER(
Master_Mapping_Sheet!$E$2:$E$3143),
Master_Mapping_Sheet!$C$2:$C$3143=J$1,
Master_Mapping_Sheet!$H$2:$H$3143=$A12))/sum(filter(
Master_Mapping_Sheet!$E$2:$E$3143, ISNUMBER(
Master_Mapping_Sh"&amp;"eet!$E$2:$E$3143),
Master_Mapping_Sheet!$C$2:$C$3143=J$1))), 0, sum(filter(
Master_Mapping_Sheet!$E$2:$E$3143, ISNUMBER(
Master_Mapping_Sheet!$E$2:$E$3143),
Master_Mapping_Sheet!$C$2:$C$3143=J$1,
Master_Mapping_Sheet!$H$2:$H$3143=$A12))/sum(filter(
Master"&amp;"_Mapping_Sheet!$E$2:$E$3143, ISNUMBER(
Master_Mapping_Sheet!$E$2:$E$3143),
Master_Mapping_Sheet!$C$2:$C$3143=J$1)))"),0.0)</f>
        <v>0</v>
      </c>
      <c r="K12" s="34">
        <f>IFERROR(__xludf.DUMMYFUNCTION("IF(ISNA(sum(filter(
Master_Mapping_Sheet!$E$2:$E$3143, ISNUMBER(
Master_Mapping_Sheet!$E$2:$E$3143),
Master_Mapping_Sheet!$C$2:$C$3143=K$1,
Master_Mapping_Sheet!$H$2:$H$3143=$A12))/sum(filter(
Master_Mapping_Sheet!$E$2:$E$3143, ISNUMBER(
Master_Mapping_Sh"&amp;"eet!$E$2:$E$3143),
Master_Mapping_Sheet!$C$2:$C$3143=K$1))), 0, sum(filter(
Master_Mapping_Sheet!$E$2:$E$3143, ISNUMBER(
Master_Mapping_Sheet!$E$2:$E$3143),
Master_Mapping_Sheet!$C$2:$C$3143=K$1,
Master_Mapping_Sheet!$H$2:$H$3143=$A12))/sum(filter(
Master"&amp;"_Mapping_Sheet!$E$2:$E$3143, ISNUMBER(
Master_Mapping_Sheet!$E$2:$E$3143),
Master_Mapping_Sheet!$C$2:$C$3143=K$1)))"),0.0)</f>
        <v>0</v>
      </c>
      <c r="L12" s="34">
        <f>IFERROR(__xludf.DUMMYFUNCTION("IF(ISNA(sum(filter(
Master_Mapping_Sheet!$E$2:$E$3143, ISNUMBER(
Master_Mapping_Sheet!$E$2:$E$3143),
Master_Mapping_Sheet!$C$2:$C$3143=L$1,
Master_Mapping_Sheet!$H$2:$H$3143=$A12))/sum(filter(
Master_Mapping_Sheet!$E$2:$E$3143, ISNUMBER(
Master_Mapping_Sh"&amp;"eet!$E$2:$E$3143),
Master_Mapping_Sheet!$C$2:$C$3143=L$1))), 0, sum(filter(
Master_Mapping_Sheet!$E$2:$E$3143, ISNUMBER(
Master_Mapping_Sheet!$E$2:$E$3143),
Master_Mapping_Sheet!$C$2:$C$3143=L$1,
Master_Mapping_Sheet!$H$2:$H$3143=$A12))/sum(filter(
Master"&amp;"_Mapping_Sheet!$E$2:$E$3143, ISNUMBER(
Master_Mapping_Sheet!$E$2:$E$3143),
Master_Mapping_Sheet!$C$2:$C$3143=L$1)))"),0.0)</f>
        <v>0</v>
      </c>
      <c r="M12" s="34">
        <f>IFERROR(__xludf.DUMMYFUNCTION("IF(ISNA(sum(filter(
Master_Mapping_Sheet!$E$2:$E$3143, ISNUMBER(
Master_Mapping_Sheet!$E$2:$E$3143),
Master_Mapping_Sheet!$C$2:$C$3143=M$1,
Master_Mapping_Sheet!$H$2:$H$3143=$A12))/sum(filter(
Master_Mapping_Sheet!$E$2:$E$3143, ISNUMBER(
Master_Mapping_Sh"&amp;"eet!$E$2:$E$3143),
Master_Mapping_Sheet!$C$2:$C$3143=M$1))), 0, sum(filter(
Master_Mapping_Sheet!$E$2:$E$3143, ISNUMBER(
Master_Mapping_Sheet!$E$2:$E$3143),
Master_Mapping_Sheet!$C$2:$C$3143=M$1,
Master_Mapping_Sheet!$H$2:$H$3143=$A12))/sum(filter(
Master"&amp;"_Mapping_Sheet!$E$2:$E$3143, ISNUMBER(
Master_Mapping_Sheet!$E$2:$E$3143),
Master_Mapping_Sheet!$C$2:$C$3143=M$1)))"),0.0)</f>
        <v>0</v>
      </c>
      <c r="N12" s="34">
        <f>IFERROR(__xludf.DUMMYFUNCTION("IF(ISNA(sum(filter(
Master_Mapping_Sheet!$E$2:$E$3143, ISNUMBER(
Master_Mapping_Sheet!$E$2:$E$3143),
Master_Mapping_Sheet!$C$2:$C$3143=N$1,
Master_Mapping_Sheet!$H$2:$H$3143=$A12))/sum(filter(
Master_Mapping_Sheet!$E$2:$E$3143, ISNUMBER(
Master_Mapping_Sh"&amp;"eet!$E$2:$E$3143),
Master_Mapping_Sheet!$C$2:$C$3143=N$1))), 0, sum(filter(
Master_Mapping_Sheet!$E$2:$E$3143, ISNUMBER(
Master_Mapping_Sheet!$E$2:$E$3143),
Master_Mapping_Sheet!$C$2:$C$3143=N$1,
Master_Mapping_Sheet!$H$2:$H$3143=$A12))/sum(filter(
Master"&amp;"_Mapping_Sheet!$E$2:$E$3143, ISNUMBER(
Master_Mapping_Sheet!$E$2:$E$3143),
Master_Mapping_Sheet!$C$2:$C$3143=N$1)))"),0.0)</f>
        <v>0</v>
      </c>
      <c r="O12" s="34">
        <f>IFERROR(__xludf.DUMMYFUNCTION("IF(ISNA(sum(filter(
Master_Mapping_Sheet!$E$2:$E$3143, ISNUMBER(
Master_Mapping_Sheet!$E$2:$E$3143),
Master_Mapping_Sheet!$C$2:$C$3143=O$1,
Master_Mapping_Sheet!$H$2:$H$3143=$A12))/sum(filter(
Master_Mapping_Sheet!$E$2:$E$3143, ISNUMBER(
Master_Mapping_Sh"&amp;"eet!$E$2:$E$3143),
Master_Mapping_Sheet!$C$2:$C$3143=O$1))), 0, sum(filter(
Master_Mapping_Sheet!$E$2:$E$3143, ISNUMBER(
Master_Mapping_Sheet!$E$2:$E$3143),
Master_Mapping_Sheet!$C$2:$C$3143=O$1,
Master_Mapping_Sheet!$H$2:$H$3143=$A12))/sum(filter(
Master"&amp;"_Mapping_Sheet!$E$2:$E$3143, ISNUMBER(
Master_Mapping_Sheet!$E$2:$E$3143),
Master_Mapping_Sheet!$C$2:$C$3143=O$1)))"),0.0)</f>
        <v>0</v>
      </c>
      <c r="P12" s="34">
        <f>IFERROR(__xludf.DUMMYFUNCTION("IF(ISNA(sum(filter(
Master_Mapping_Sheet!$E$2:$E$3143, ISNUMBER(
Master_Mapping_Sheet!$E$2:$E$3143),
Master_Mapping_Sheet!$C$2:$C$3143=P$1,
Master_Mapping_Sheet!$H$2:$H$3143=$A12))/sum(filter(
Master_Mapping_Sheet!$E$2:$E$3143, ISNUMBER(
Master_Mapping_Sh"&amp;"eet!$E$2:$E$3143),
Master_Mapping_Sheet!$C$2:$C$3143=P$1))), 0, sum(filter(
Master_Mapping_Sheet!$E$2:$E$3143, ISNUMBER(
Master_Mapping_Sheet!$E$2:$E$3143),
Master_Mapping_Sheet!$C$2:$C$3143=P$1,
Master_Mapping_Sheet!$H$2:$H$3143=$A12))/sum(filter(
Master"&amp;"_Mapping_Sheet!$E$2:$E$3143, ISNUMBER(
Master_Mapping_Sheet!$E$2:$E$3143),
Master_Mapping_Sheet!$C$2:$C$3143=P$1)))"),0.35382812419167675)</f>
        <v>0.3538281242</v>
      </c>
      <c r="Q12" s="34">
        <f>IFERROR(__xludf.DUMMYFUNCTION("IF(ISNA(sum(filter(
Master_Mapping_Sheet!$E$2:$E$3143, ISNUMBER(
Master_Mapping_Sheet!$E$2:$E$3143),
Master_Mapping_Sheet!$C$2:$C$3143=Q$1,
Master_Mapping_Sheet!$H$2:$H$3143=$A12))/sum(filter(
Master_Mapping_Sheet!$E$2:$E$3143, ISNUMBER(
Master_Mapping_Sh"&amp;"eet!$E$2:$E$3143),
Master_Mapping_Sheet!$C$2:$C$3143=Q$1))), 0, sum(filter(
Master_Mapping_Sheet!$E$2:$E$3143, ISNUMBER(
Master_Mapping_Sheet!$E$2:$E$3143),
Master_Mapping_Sheet!$C$2:$C$3143=Q$1,
Master_Mapping_Sheet!$H$2:$H$3143=$A12))/sum(filter(
Master"&amp;"_Mapping_Sheet!$E$2:$E$3143, ISNUMBER(
Master_Mapping_Sheet!$E$2:$E$3143),
Master_Mapping_Sheet!$C$2:$C$3143=Q$1)))"),0.0)</f>
        <v>0</v>
      </c>
      <c r="R12" s="34">
        <f>IFERROR(__xludf.DUMMYFUNCTION("IF(ISNA(sum(filter(
Master_Mapping_Sheet!$E$2:$E$3143, ISNUMBER(
Master_Mapping_Sheet!$E$2:$E$3143),
Master_Mapping_Sheet!$C$2:$C$3143=R$1,
Master_Mapping_Sheet!$H$2:$H$3143=$A12))/sum(filter(
Master_Mapping_Sheet!$E$2:$E$3143, ISNUMBER(
Master_Mapping_Sh"&amp;"eet!$E$2:$E$3143),
Master_Mapping_Sheet!$C$2:$C$3143=R$1))), 0, sum(filter(
Master_Mapping_Sheet!$E$2:$E$3143, ISNUMBER(
Master_Mapping_Sheet!$E$2:$E$3143),
Master_Mapping_Sheet!$C$2:$C$3143=R$1,
Master_Mapping_Sheet!$H$2:$H$3143=$A12))/sum(filter(
Master"&amp;"_Mapping_Sheet!$E$2:$E$3143, ISNUMBER(
Master_Mapping_Sheet!$E$2:$E$3143),
Master_Mapping_Sheet!$C$2:$C$3143=R$1)))"),0.0)</f>
        <v>0</v>
      </c>
      <c r="S12" s="34">
        <f>IFERROR(__xludf.DUMMYFUNCTION("IF(ISNA(sum(filter(
Master_Mapping_Sheet!$E$2:$E$3143, ISNUMBER(
Master_Mapping_Sheet!$E$2:$E$3143),
Master_Mapping_Sheet!$C$2:$C$3143=S$1,
Master_Mapping_Sheet!$H$2:$H$3143=$A12))/sum(filter(
Master_Mapping_Sheet!$E$2:$E$3143, ISNUMBER(
Master_Mapping_Sh"&amp;"eet!$E$2:$E$3143),
Master_Mapping_Sheet!$C$2:$C$3143=S$1))), 0, sum(filter(
Master_Mapping_Sheet!$E$2:$E$3143, ISNUMBER(
Master_Mapping_Sheet!$E$2:$E$3143),
Master_Mapping_Sheet!$C$2:$C$3143=S$1,
Master_Mapping_Sheet!$H$2:$H$3143=$A12))/sum(filter(
Master"&amp;"_Mapping_Sheet!$E$2:$E$3143, ISNUMBER(
Master_Mapping_Sheet!$E$2:$E$3143),
Master_Mapping_Sheet!$C$2:$C$3143=S$1)))"),0.09534032646701814)</f>
        <v>0.09534032647</v>
      </c>
      <c r="T12" s="34">
        <f>IFERROR(__xludf.DUMMYFUNCTION("IF(ISNA(sum(filter(
Master_Mapping_Sheet!$E$2:$E$3143, ISNUMBER(
Master_Mapping_Sheet!$E$2:$E$3143),
Master_Mapping_Sheet!$C$2:$C$3143=T$1,
Master_Mapping_Sheet!$H$2:$H$3143=$A12))/sum(filter(
Master_Mapping_Sheet!$E$2:$E$3143, ISNUMBER(
Master_Mapping_Sh"&amp;"eet!$E$2:$E$3143),
Master_Mapping_Sheet!$C$2:$C$3143=T$1))), 0, sum(filter(
Master_Mapping_Sheet!$E$2:$E$3143, ISNUMBER(
Master_Mapping_Sheet!$E$2:$E$3143),
Master_Mapping_Sheet!$C$2:$C$3143=T$1,
Master_Mapping_Sheet!$H$2:$H$3143=$A12))/sum(filter(
Master"&amp;"_Mapping_Sheet!$E$2:$E$3143, ISNUMBER(
Master_Mapping_Sheet!$E$2:$E$3143),
Master_Mapping_Sheet!$C$2:$C$3143=T$1)))"),0.0)</f>
        <v>0</v>
      </c>
      <c r="U12" s="34">
        <f>IFERROR(__xludf.DUMMYFUNCTION("IF(ISNA(sum(filter(
Master_Mapping_Sheet!$E$2:$E$3143, ISNUMBER(
Master_Mapping_Sheet!$E$2:$E$3143),
Master_Mapping_Sheet!$C$2:$C$3143=U$1,
Master_Mapping_Sheet!$H$2:$H$3143=$A12))/sum(filter(
Master_Mapping_Sheet!$E$2:$E$3143, ISNUMBER(
Master_Mapping_Sh"&amp;"eet!$E$2:$E$3143),
Master_Mapping_Sheet!$C$2:$C$3143=U$1))), 0, sum(filter(
Master_Mapping_Sheet!$E$2:$E$3143, ISNUMBER(
Master_Mapping_Sheet!$E$2:$E$3143),
Master_Mapping_Sheet!$C$2:$C$3143=U$1,
Master_Mapping_Sheet!$H$2:$H$3143=$A12))/sum(filter(
Master"&amp;"_Mapping_Sheet!$E$2:$E$3143, ISNUMBER(
Master_Mapping_Sheet!$E$2:$E$3143),
Master_Mapping_Sheet!$C$2:$C$3143=U$1)))"),0.0)</f>
        <v>0</v>
      </c>
      <c r="V12" s="34">
        <f>IFERROR(__xludf.DUMMYFUNCTION("IF(ISNA(sum(filter(
Master_Mapping_Sheet!$E$2:$E$3143, ISNUMBER(
Master_Mapping_Sheet!$E$2:$E$3143),
Master_Mapping_Sheet!$C$2:$C$3143=V$1,
Master_Mapping_Sheet!$H$2:$H$3143=$A12))/sum(filter(
Master_Mapping_Sheet!$E$2:$E$3143, ISNUMBER(
Master_Mapping_Sh"&amp;"eet!$E$2:$E$3143),
Master_Mapping_Sheet!$C$2:$C$3143=V$1))), 0, sum(filter(
Master_Mapping_Sheet!$E$2:$E$3143, ISNUMBER(
Master_Mapping_Sheet!$E$2:$E$3143),
Master_Mapping_Sheet!$C$2:$C$3143=V$1,
Master_Mapping_Sheet!$H$2:$H$3143=$A12))/sum(filter(
Master"&amp;"_Mapping_Sheet!$E$2:$E$3143, ISNUMBER(
Master_Mapping_Sheet!$E$2:$E$3143),
Master_Mapping_Sheet!$C$2:$C$3143=V$1)))"),0.25943501018485815)</f>
        <v>0.2594350102</v>
      </c>
      <c r="W12" s="34">
        <f>IFERROR(__xludf.DUMMYFUNCTION("IF(ISNA(sum(filter(
Master_Mapping_Sheet!$E$2:$E$3143, ISNUMBER(
Master_Mapping_Sheet!$E$2:$E$3143),
Master_Mapping_Sheet!$C$2:$C$3143=W$1,
Master_Mapping_Sheet!$H$2:$H$3143=$A12))/sum(filter(
Master_Mapping_Sheet!$E$2:$E$3143, ISNUMBER(
Master_Mapping_Sh"&amp;"eet!$E$2:$E$3143),
Master_Mapping_Sheet!$C$2:$C$3143=W$1))), 0, sum(filter(
Master_Mapping_Sheet!$E$2:$E$3143, ISNUMBER(
Master_Mapping_Sheet!$E$2:$E$3143),
Master_Mapping_Sheet!$C$2:$C$3143=W$1,
Master_Mapping_Sheet!$H$2:$H$3143=$A12))/sum(filter(
Master"&amp;"_Mapping_Sheet!$E$2:$E$3143, ISNUMBER(
Master_Mapping_Sheet!$E$2:$E$3143),
Master_Mapping_Sheet!$C$2:$C$3143=W$1)))"),0.0)</f>
        <v>0</v>
      </c>
      <c r="X12" s="34">
        <f>IFERROR(__xludf.DUMMYFUNCTION("IF(ISNA(sum(filter(
Master_Mapping_Sheet!$E$2:$E$3143, ISNUMBER(
Master_Mapping_Sheet!$E$2:$E$3143),
Master_Mapping_Sheet!$C$2:$C$3143=X$1,
Master_Mapping_Sheet!$H$2:$H$3143=$A12))/sum(filter(
Master_Mapping_Sheet!$E$2:$E$3143, ISNUMBER(
Master_Mapping_Sh"&amp;"eet!$E$2:$E$3143),
Master_Mapping_Sheet!$C$2:$C$3143=X$1))), 0, sum(filter(
Master_Mapping_Sheet!$E$2:$E$3143, ISNUMBER(
Master_Mapping_Sheet!$E$2:$E$3143),
Master_Mapping_Sheet!$C$2:$C$3143=X$1,
Master_Mapping_Sheet!$H$2:$H$3143=$A12))/sum(filter(
Master"&amp;"_Mapping_Sheet!$E$2:$E$3143, ISNUMBER(
Master_Mapping_Sheet!$E$2:$E$3143),
Master_Mapping_Sheet!$C$2:$C$3143=X$1)))"),0.07220425970790238)</f>
        <v>0.07220425971</v>
      </c>
      <c r="Y12" s="34">
        <f>IFERROR(__xludf.DUMMYFUNCTION("IF(ISNA(sum(filter(
Master_Mapping_Sheet!$E$2:$E$3143, ISNUMBER(
Master_Mapping_Sheet!$E$2:$E$3143),
Master_Mapping_Sheet!$C$2:$C$3143=Y$1,
Master_Mapping_Sheet!$H$2:$H$3143=$A12))/sum(filter(
Master_Mapping_Sheet!$E$2:$E$3143, ISNUMBER(
Master_Mapping_Sh"&amp;"eet!$E$2:$E$3143),
Master_Mapping_Sheet!$C$2:$C$3143=Y$1))), 0, sum(filter(
Master_Mapping_Sheet!$E$2:$E$3143, ISNUMBER(
Master_Mapping_Sheet!$E$2:$E$3143),
Master_Mapping_Sheet!$C$2:$C$3143=Y$1,
Master_Mapping_Sheet!$H$2:$H$3143=$A12))/sum(filter(
Master"&amp;"_Mapping_Sheet!$E$2:$E$3143, ISNUMBER(
Master_Mapping_Sheet!$E$2:$E$3143),
Master_Mapping_Sheet!$C$2:$C$3143=Y$1)))"),0.0)</f>
        <v>0</v>
      </c>
      <c r="Z12" s="34">
        <f>IFERROR(__xludf.DUMMYFUNCTION("IF(ISNA(sum(filter(
Master_Mapping_Sheet!$E$2:$E$3143, ISNUMBER(
Master_Mapping_Sheet!$E$2:$E$3143),
Master_Mapping_Sheet!$C$2:$C$3143=Z$1,
Master_Mapping_Sheet!$H$2:$H$3143=$A12))/sum(filter(
Master_Mapping_Sheet!$E$2:$E$3143, ISNUMBER(
Master_Mapping_Sh"&amp;"eet!$E$2:$E$3143),
Master_Mapping_Sheet!$C$2:$C$3143=Z$1))), 0, sum(filter(
Master_Mapping_Sheet!$E$2:$E$3143, ISNUMBER(
Master_Mapping_Sheet!$E$2:$E$3143),
Master_Mapping_Sheet!$C$2:$C$3143=Z$1,
Master_Mapping_Sheet!$H$2:$H$3143=$A12))/sum(filter(
Master"&amp;"_Mapping_Sheet!$E$2:$E$3143, ISNUMBER(
Master_Mapping_Sheet!$E$2:$E$3143),
Master_Mapping_Sheet!$C$2:$C$3143=Z$1)))"),0.0)</f>
        <v>0</v>
      </c>
      <c r="AA12" s="34">
        <f>IFERROR(__xludf.DUMMYFUNCTION("IF(ISNA(sum(filter(
Master_Mapping_Sheet!$E$2:$E$3143, ISNUMBER(
Master_Mapping_Sheet!$E$2:$E$3143),
Master_Mapping_Sheet!$C$2:$C$3143=AA$1,
Master_Mapping_Sheet!$H$2:$H$3143=$A12))/sum(filter(
Master_Mapping_Sheet!$E$2:$E$3143, ISNUMBER(
Master_Mapping_S"&amp;"heet!$E$2:$E$3143),
Master_Mapping_Sheet!$C$2:$C$3143=AA$1))), 0, sum(filter(
Master_Mapping_Sheet!$E$2:$E$3143, ISNUMBER(
Master_Mapping_Sheet!$E$2:$E$3143),
Master_Mapping_Sheet!$C$2:$C$3143=AA$1,
Master_Mapping_Sheet!$H$2:$H$3143=$A12))/sum(filter(
Mas"&amp;"ter_Mapping_Sheet!$E$2:$E$3143, ISNUMBER(
Master_Mapping_Sheet!$E$2:$E$3143),
Master_Mapping_Sheet!$C$2:$C$3143=AA$1)))"),0.0)</f>
        <v>0</v>
      </c>
      <c r="AB12" s="34">
        <f>IFERROR(__xludf.DUMMYFUNCTION("IF(ISNA(sum(filter(
Master_Mapping_Sheet!$E$2:$E$3143, ISNUMBER(
Master_Mapping_Sheet!$E$2:$E$3143),
Master_Mapping_Sheet!$C$2:$C$3143=AB$1,
Master_Mapping_Sheet!$H$2:$H$3143=$A12))/sum(filter(
Master_Mapping_Sheet!$E$2:$E$3143, ISNUMBER(
Master_Mapping_S"&amp;"heet!$E$2:$E$3143),
Master_Mapping_Sheet!$C$2:$C$3143=AB$1))), 0, sum(filter(
Master_Mapping_Sheet!$E$2:$E$3143, ISNUMBER(
Master_Mapping_Sheet!$E$2:$E$3143),
Master_Mapping_Sheet!$C$2:$C$3143=AB$1,
Master_Mapping_Sheet!$H$2:$H$3143=$A12))/sum(filter(
Mas"&amp;"ter_Mapping_Sheet!$E$2:$E$3143, ISNUMBER(
Master_Mapping_Sheet!$E$2:$E$3143),
Master_Mapping_Sheet!$C$2:$C$3143=AB$1)))"),0.0)</f>
        <v>0</v>
      </c>
      <c r="AC12" s="34">
        <f>IFERROR(__xludf.DUMMYFUNCTION("IF(ISNA(sum(filter(
Master_Mapping_Sheet!$E$2:$E$3143, ISNUMBER(
Master_Mapping_Sheet!$E$2:$E$3143),
Master_Mapping_Sheet!$C$2:$C$3143=AC$1,
Master_Mapping_Sheet!$H$2:$H$3143=$A12))/sum(filter(
Master_Mapping_Sheet!$E$2:$E$3143, ISNUMBER(
Master_Mapping_S"&amp;"heet!$E$2:$E$3143),
Master_Mapping_Sheet!$C$2:$C$3143=AC$1))), 0, sum(filter(
Master_Mapping_Sheet!$E$2:$E$3143, ISNUMBER(
Master_Mapping_Sheet!$E$2:$E$3143),
Master_Mapping_Sheet!$C$2:$C$3143=AC$1,
Master_Mapping_Sheet!$H$2:$H$3143=$A12))/sum(filter(
Mas"&amp;"ter_Mapping_Sheet!$E$2:$E$3143, ISNUMBER(
Master_Mapping_Sheet!$E$2:$E$3143),
Master_Mapping_Sheet!$C$2:$C$3143=AC$1)))"),0.0)</f>
        <v>0</v>
      </c>
      <c r="AD12" s="34">
        <f>IFERROR(__xludf.DUMMYFUNCTION("IF(ISNA(sum(filter(
Master_Mapping_Sheet!$E$2:$E$3143, ISNUMBER(
Master_Mapping_Sheet!$E$2:$E$3143),
Master_Mapping_Sheet!$C$2:$C$3143=AD$1,
Master_Mapping_Sheet!$H$2:$H$3143=$A12))/sum(filter(
Master_Mapping_Sheet!$E$2:$E$3143, ISNUMBER(
Master_Mapping_S"&amp;"heet!$E$2:$E$3143),
Master_Mapping_Sheet!$C$2:$C$3143=AD$1))), 0, sum(filter(
Master_Mapping_Sheet!$E$2:$E$3143, ISNUMBER(
Master_Mapping_Sheet!$E$2:$E$3143),
Master_Mapping_Sheet!$C$2:$C$3143=AD$1,
Master_Mapping_Sheet!$H$2:$H$3143=$A12))/sum(filter(
Mas"&amp;"ter_Mapping_Sheet!$E$2:$E$3143, ISNUMBER(
Master_Mapping_Sheet!$E$2:$E$3143),
Master_Mapping_Sheet!$C$2:$C$3143=AD$1)))"),0.0)</f>
        <v>0</v>
      </c>
      <c r="AE12" s="34">
        <f>IFERROR(__xludf.DUMMYFUNCTION("IF(ISNA(sum(filter(
Master_Mapping_Sheet!$E$2:$E$3143, ISNUMBER(
Master_Mapping_Sheet!$E$2:$E$3143),
Master_Mapping_Sheet!$C$2:$C$3143=AE$1,
Master_Mapping_Sheet!$H$2:$H$3143=$A12))/sum(filter(
Master_Mapping_Sheet!$E$2:$E$3143, ISNUMBER(
Master_Mapping_S"&amp;"heet!$E$2:$E$3143),
Master_Mapping_Sheet!$C$2:$C$3143=AE$1))), 0, sum(filter(
Master_Mapping_Sheet!$E$2:$E$3143, ISNUMBER(
Master_Mapping_Sheet!$E$2:$E$3143),
Master_Mapping_Sheet!$C$2:$C$3143=AE$1,
Master_Mapping_Sheet!$H$2:$H$3143=$A12))/sum(filter(
Mas"&amp;"ter_Mapping_Sheet!$E$2:$E$3143, ISNUMBER(
Master_Mapping_Sheet!$E$2:$E$3143),
Master_Mapping_Sheet!$C$2:$C$3143=AE$1)))"),0.0)</f>
        <v>0</v>
      </c>
      <c r="AF12" s="34">
        <f>IFERROR(__xludf.DUMMYFUNCTION("IF(ISNA(sum(filter(
Master_Mapping_Sheet!$E$2:$E$3143, ISNUMBER(
Master_Mapping_Sheet!$E$2:$E$3143),
Master_Mapping_Sheet!$C$2:$C$3143=AF$1,
Master_Mapping_Sheet!$H$2:$H$3143=$A12))/sum(filter(
Master_Mapping_Sheet!$E$2:$E$3143, ISNUMBER(
Master_Mapping_S"&amp;"heet!$E$2:$E$3143),
Master_Mapping_Sheet!$C$2:$C$3143=AF$1))), 0, sum(filter(
Master_Mapping_Sheet!$E$2:$E$3143, ISNUMBER(
Master_Mapping_Sheet!$E$2:$E$3143),
Master_Mapping_Sheet!$C$2:$C$3143=AF$1,
Master_Mapping_Sheet!$H$2:$H$3143=$A12))/sum(filter(
Mas"&amp;"ter_Mapping_Sheet!$E$2:$E$3143, ISNUMBER(
Master_Mapping_Sheet!$E$2:$E$3143),
Master_Mapping_Sheet!$C$2:$C$3143=AF$1)))"),0.0)</f>
        <v>0</v>
      </c>
      <c r="AG12" s="34">
        <f>IFERROR(__xludf.DUMMYFUNCTION("IF(ISNA(sum(filter(
Master_Mapping_Sheet!$E$2:$E$3143, ISNUMBER(
Master_Mapping_Sheet!$E$2:$E$3143),
Master_Mapping_Sheet!$C$2:$C$3143=AG$1,
Master_Mapping_Sheet!$H$2:$H$3143=$A12))/sum(filter(
Master_Mapping_Sheet!$E$2:$E$3143, ISNUMBER(
Master_Mapping_S"&amp;"heet!$E$2:$E$3143),
Master_Mapping_Sheet!$C$2:$C$3143=AG$1))), 0, sum(filter(
Master_Mapping_Sheet!$E$2:$E$3143, ISNUMBER(
Master_Mapping_Sheet!$E$2:$E$3143),
Master_Mapping_Sheet!$C$2:$C$3143=AG$1,
Master_Mapping_Sheet!$H$2:$H$3143=$A12))/sum(filter(
Mas"&amp;"ter_Mapping_Sheet!$E$2:$E$3143, ISNUMBER(
Master_Mapping_Sheet!$E$2:$E$3143),
Master_Mapping_Sheet!$C$2:$C$3143=AG$1)))"),0.0)</f>
        <v>0</v>
      </c>
      <c r="AH12" s="34">
        <f>IFERROR(__xludf.DUMMYFUNCTION("IF(ISNA(sum(filter(
Master_Mapping_Sheet!$E$2:$E$3143, ISNUMBER(
Master_Mapping_Sheet!$E$2:$E$3143),
Master_Mapping_Sheet!$C$2:$C$3143=AH$1,
Master_Mapping_Sheet!$H$2:$H$3143=$A12))/sum(filter(
Master_Mapping_Sheet!$E$2:$E$3143, ISNUMBER(
Master_Mapping_S"&amp;"heet!$E$2:$E$3143),
Master_Mapping_Sheet!$C$2:$C$3143=AH$1))), 0, sum(filter(
Master_Mapping_Sheet!$E$2:$E$3143, ISNUMBER(
Master_Mapping_Sheet!$E$2:$E$3143),
Master_Mapping_Sheet!$C$2:$C$3143=AH$1,
Master_Mapping_Sheet!$H$2:$H$3143=$A12))/sum(filter(
Mas"&amp;"ter_Mapping_Sheet!$E$2:$E$3143, ISNUMBER(
Master_Mapping_Sheet!$E$2:$E$3143),
Master_Mapping_Sheet!$C$2:$C$3143=AH$1)))"),0.0)</f>
        <v>0</v>
      </c>
      <c r="AI12" s="34">
        <f>IFERROR(__xludf.DUMMYFUNCTION("IF(ISNA(sum(filter(
Master_Mapping_Sheet!$E$2:$E$3143, ISNUMBER(
Master_Mapping_Sheet!$E$2:$E$3143),
Master_Mapping_Sheet!$C$2:$C$3143=AI$1,
Master_Mapping_Sheet!$H$2:$H$3143=$A12))/sum(filter(
Master_Mapping_Sheet!$E$2:$E$3143, ISNUMBER(
Master_Mapping_S"&amp;"heet!$E$2:$E$3143),
Master_Mapping_Sheet!$C$2:$C$3143=AI$1))), 0, sum(filter(
Master_Mapping_Sheet!$E$2:$E$3143, ISNUMBER(
Master_Mapping_Sheet!$E$2:$E$3143),
Master_Mapping_Sheet!$C$2:$C$3143=AI$1,
Master_Mapping_Sheet!$H$2:$H$3143=$A12))/sum(filter(
Mas"&amp;"ter_Mapping_Sheet!$E$2:$E$3143, ISNUMBER(
Master_Mapping_Sheet!$E$2:$E$3143),
Master_Mapping_Sheet!$C$2:$C$3143=AI$1)))"),0.0)</f>
        <v>0</v>
      </c>
      <c r="AJ12" s="34">
        <f>IFERROR(__xludf.DUMMYFUNCTION("IF(ISNA(sum(filter(
Master_Mapping_Sheet!$E$2:$E$3143, ISNUMBER(
Master_Mapping_Sheet!$E$2:$E$3143),
Master_Mapping_Sheet!$C$2:$C$3143=AJ$1,
Master_Mapping_Sheet!$H$2:$H$3143=$A12))/sum(filter(
Master_Mapping_Sheet!$E$2:$E$3143, ISNUMBER(
Master_Mapping_S"&amp;"heet!$E$2:$E$3143),
Master_Mapping_Sheet!$C$2:$C$3143=AJ$1))), 0, sum(filter(
Master_Mapping_Sheet!$E$2:$E$3143, ISNUMBER(
Master_Mapping_Sheet!$E$2:$E$3143),
Master_Mapping_Sheet!$C$2:$C$3143=AJ$1,
Master_Mapping_Sheet!$H$2:$H$3143=$A12))/sum(filter(
Mas"&amp;"ter_Mapping_Sheet!$E$2:$E$3143, ISNUMBER(
Master_Mapping_Sheet!$E$2:$E$3143),
Master_Mapping_Sheet!$C$2:$C$3143=AJ$1)))"),0.0)</f>
        <v>0</v>
      </c>
      <c r="AK12" s="34">
        <f>IFERROR(__xludf.DUMMYFUNCTION("IF(ISNA(sum(filter(
Master_Mapping_Sheet!$E$2:$E$3143, ISNUMBER(
Master_Mapping_Sheet!$E$2:$E$3143),
Master_Mapping_Sheet!$C$2:$C$3143=AK$1,
Master_Mapping_Sheet!$H$2:$H$3143=$A12))/sum(filter(
Master_Mapping_Sheet!$E$2:$E$3143, ISNUMBER(
Master_Mapping_S"&amp;"heet!$E$2:$E$3143),
Master_Mapping_Sheet!$C$2:$C$3143=AK$1))), 0, sum(filter(
Master_Mapping_Sheet!$E$2:$E$3143, ISNUMBER(
Master_Mapping_Sheet!$E$2:$E$3143),
Master_Mapping_Sheet!$C$2:$C$3143=AK$1,
Master_Mapping_Sheet!$H$2:$H$3143=$A12))/sum(filter(
Mas"&amp;"ter_Mapping_Sheet!$E$2:$E$3143, ISNUMBER(
Master_Mapping_Sheet!$E$2:$E$3143),
Master_Mapping_Sheet!$C$2:$C$3143=AK$1)))"),1.0)</f>
        <v>1</v>
      </c>
      <c r="AL12" s="34">
        <f>IFERROR(__xludf.DUMMYFUNCTION("IF(ISNA(sum(filter(
Master_Mapping_Sheet!$E$2:$E$3143, ISNUMBER(
Master_Mapping_Sheet!$E$2:$E$3143),
Master_Mapping_Sheet!$C$2:$C$3143=AL$1,
Master_Mapping_Sheet!$H$2:$H$3143=$A12))/sum(filter(
Master_Mapping_Sheet!$E$2:$E$3143, ISNUMBER(
Master_Mapping_S"&amp;"heet!$E$2:$E$3143),
Master_Mapping_Sheet!$C$2:$C$3143=AL$1))), 0, sum(filter(
Master_Mapping_Sheet!$E$2:$E$3143, ISNUMBER(
Master_Mapping_Sheet!$E$2:$E$3143),
Master_Mapping_Sheet!$C$2:$C$3143=AL$1,
Master_Mapping_Sheet!$H$2:$H$3143=$A12))/sum(filter(
Mas"&amp;"ter_Mapping_Sheet!$E$2:$E$3143, ISNUMBER(
Master_Mapping_Sheet!$E$2:$E$3143),
Master_Mapping_Sheet!$C$2:$C$3143=AL$1)))"),0.0)</f>
        <v>0</v>
      </c>
      <c r="AM12" s="34">
        <f>IFERROR(__xludf.DUMMYFUNCTION("IF(ISNA(sum(filter(
Master_Mapping_Sheet!$E$2:$E$3143, ISNUMBER(
Master_Mapping_Sheet!$E$2:$E$3143),
Master_Mapping_Sheet!$C$2:$C$3143=AM$1,
Master_Mapping_Sheet!$H$2:$H$3143=$A12))/sum(filter(
Master_Mapping_Sheet!$E$2:$E$3143, ISNUMBER(
Master_Mapping_S"&amp;"heet!$E$2:$E$3143),
Master_Mapping_Sheet!$C$2:$C$3143=AM$1))), 0, sum(filter(
Master_Mapping_Sheet!$E$2:$E$3143, ISNUMBER(
Master_Mapping_Sheet!$E$2:$E$3143),
Master_Mapping_Sheet!$C$2:$C$3143=AM$1,
Master_Mapping_Sheet!$H$2:$H$3143=$A12))/sum(filter(
Mas"&amp;"ter_Mapping_Sheet!$E$2:$E$3143, ISNUMBER(
Master_Mapping_Sheet!$E$2:$E$3143),
Master_Mapping_Sheet!$C$2:$C$3143=AM$1)))"),0.0)</f>
        <v>0</v>
      </c>
      <c r="AN12" s="34">
        <f>IFERROR(__xludf.DUMMYFUNCTION("IF(ISNA(sum(filter(
Master_Mapping_Sheet!$E$2:$E$3143, ISNUMBER(
Master_Mapping_Sheet!$E$2:$E$3143),
Master_Mapping_Sheet!$C$2:$C$3143=AN$1,
Master_Mapping_Sheet!$H$2:$H$3143=$A12))/sum(filter(
Master_Mapping_Sheet!$E$2:$E$3143, ISNUMBER(
Master_Mapping_S"&amp;"heet!$E$2:$E$3143),
Master_Mapping_Sheet!$C$2:$C$3143=AN$1))), 0, sum(filter(
Master_Mapping_Sheet!$E$2:$E$3143, ISNUMBER(
Master_Mapping_Sheet!$E$2:$E$3143),
Master_Mapping_Sheet!$C$2:$C$3143=AN$1,
Master_Mapping_Sheet!$H$2:$H$3143=$A12))/sum(filter(
Mas"&amp;"ter_Mapping_Sheet!$E$2:$E$3143, ISNUMBER(
Master_Mapping_Sheet!$E$2:$E$3143),
Master_Mapping_Sheet!$C$2:$C$3143=AN$1)))"),0.21488390049347758)</f>
        <v>0.2148839005</v>
      </c>
      <c r="AO12" s="34">
        <f>IFERROR(__xludf.DUMMYFUNCTION("IF(ISNA(sum(filter(
Master_Mapping_Sheet!$E$2:$E$3143, ISNUMBER(
Master_Mapping_Sheet!$E$2:$E$3143),
Master_Mapping_Sheet!$C$2:$C$3143=AO$1,
Master_Mapping_Sheet!$H$2:$H$3143=$A12))/sum(filter(
Master_Mapping_Sheet!$E$2:$E$3143, ISNUMBER(
Master_Mapping_S"&amp;"heet!$E$2:$E$3143),
Master_Mapping_Sheet!$C$2:$C$3143=AO$1))), 0, sum(filter(
Master_Mapping_Sheet!$E$2:$E$3143, ISNUMBER(
Master_Mapping_Sheet!$E$2:$E$3143),
Master_Mapping_Sheet!$C$2:$C$3143=AO$1,
Master_Mapping_Sheet!$H$2:$H$3143=$A12))/sum(filter(
Mas"&amp;"ter_Mapping_Sheet!$E$2:$E$3143, ISNUMBER(
Master_Mapping_Sheet!$E$2:$E$3143),
Master_Mapping_Sheet!$C$2:$C$3143=AO$1)))"),0.0)</f>
        <v>0</v>
      </c>
      <c r="AP12" s="34">
        <f>IFERROR(__xludf.DUMMYFUNCTION("IF(ISNA(sum(filter(
Master_Mapping_Sheet!$E$2:$E$3143, ISNUMBER(
Master_Mapping_Sheet!$E$2:$E$3143),
Master_Mapping_Sheet!$C$2:$C$3143=AP$1,
Master_Mapping_Sheet!$H$2:$H$3143=$A12))/sum(filter(
Master_Mapping_Sheet!$E$2:$E$3143, ISNUMBER(
Master_Mapping_S"&amp;"heet!$E$2:$E$3143),
Master_Mapping_Sheet!$C$2:$C$3143=AP$1))), 0, sum(filter(
Master_Mapping_Sheet!$E$2:$E$3143, ISNUMBER(
Master_Mapping_Sheet!$E$2:$E$3143),
Master_Mapping_Sheet!$C$2:$C$3143=AP$1,
Master_Mapping_Sheet!$H$2:$H$3143=$A12))/sum(filter(
Mas"&amp;"ter_Mapping_Sheet!$E$2:$E$3143, ISNUMBER(
Master_Mapping_Sheet!$E$2:$E$3143),
Master_Mapping_Sheet!$C$2:$C$3143=AP$1)))"),0.0)</f>
        <v>0</v>
      </c>
      <c r="AQ12" s="34">
        <f>IFERROR(__xludf.DUMMYFUNCTION("IF(ISNA(sum(filter(
Master_Mapping_Sheet!$E$2:$E$3143, ISNUMBER(
Master_Mapping_Sheet!$E$2:$E$3143),
Master_Mapping_Sheet!$C$2:$C$3143=AQ$1,
Master_Mapping_Sheet!$H$2:$H$3143=$A12))/sum(filter(
Master_Mapping_Sheet!$E$2:$E$3143, ISNUMBER(
Master_Mapping_S"&amp;"heet!$E$2:$E$3143),
Master_Mapping_Sheet!$C$2:$C$3143=AQ$1))), 0, sum(filter(
Master_Mapping_Sheet!$E$2:$E$3143, ISNUMBER(
Master_Mapping_Sheet!$E$2:$E$3143),
Master_Mapping_Sheet!$C$2:$C$3143=AQ$1,
Master_Mapping_Sheet!$H$2:$H$3143=$A12))/sum(filter(
Mas"&amp;"ter_Mapping_Sheet!$E$2:$E$3143, ISNUMBER(
Master_Mapping_Sheet!$E$2:$E$3143),
Master_Mapping_Sheet!$C$2:$C$3143=AQ$1)))"),0.0)</f>
        <v>0</v>
      </c>
      <c r="AR12" s="34">
        <f>IFERROR(__xludf.DUMMYFUNCTION("IF(ISNA(sum(filter(
Master_Mapping_Sheet!$E$2:$E$3143, ISNUMBER(
Master_Mapping_Sheet!$E$2:$E$3143),
Master_Mapping_Sheet!$C$2:$C$3143=AR$1,
Master_Mapping_Sheet!$H$2:$H$3143=$A12))/sum(filter(
Master_Mapping_Sheet!$E$2:$E$3143, ISNUMBER(
Master_Mapping_S"&amp;"heet!$E$2:$E$3143),
Master_Mapping_Sheet!$C$2:$C$3143=AR$1))), 0, sum(filter(
Master_Mapping_Sheet!$E$2:$E$3143, ISNUMBER(
Master_Mapping_Sheet!$E$2:$E$3143),
Master_Mapping_Sheet!$C$2:$C$3143=AR$1,
Master_Mapping_Sheet!$H$2:$H$3143=$A12))/sum(filter(
Mas"&amp;"ter_Mapping_Sheet!$E$2:$E$3143, ISNUMBER(
Master_Mapping_Sheet!$E$2:$E$3143),
Master_Mapping_Sheet!$C$2:$C$3143=AR$1)))"),0.0)</f>
        <v>0</v>
      </c>
      <c r="AS12" s="34">
        <f>IFERROR(__xludf.DUMMYFUNCTION("IF(ISNA(sum(filter(
Master_Mapping_Sheet!$E$2:$E$3143, ISNUMBER(
Master_Mapping_Sheet!$E$2:$E$3143),
Master_Mapping_Sheet!$C$2:$C$3143=AS$1,
Master_Mapping_Sheet!$H$2:$H$3143=$A12))/sum(filter(
Master_Mapping_Sheet!$E$2:$E$3143, ISNUMBER(
Master_Mapping_S"&amp;"heet!$E$2:$E$3143),
Master_Mapping_Sheet!$C$2:$C$3143=AS$1))), 0, sum(filter(
Master_Mapping_Sheet!$E$2:$E$3143, ISNUMBER(
Master_Mapping_Sheet!$E$2:$E$3143),
Master_Mapping_Sheet!$C$2:$C$3143=AS$1,
Master_Mapping_Sheet!$H$2:$H$3143=$A12))/sum(filter(
Mas"&amp;"ter_Mapping_Sheet!$E$2:$E$3143, ISNUMBER(
Master_Mapping_Sheet!$E$2:$E$3143),
Master_Mapping_Sheet!$C$2:$C$3143=AS$1)))"),0.0)</f>
        <v>0</v>
      </c>
      <c r="AT12" s="34">
        <f>IFERROR(__xludf.DUMMYFUNCTION("IF(ISNA(sum(filter(
Master_Mapping_Sheet!$E$2:$E$3143, ISNUMBER(
Master_Mapping_Sheet!$E$2:$E$3143),
Master_Mapping_Sheet!$C$2:$C$3143=AT$1,
Master_Mapping_Sheet!$H$2:$H$3143=$A12))/sum(filter(
Master_Mapping_Sheet!$E$2:$E$3143, ISNUMBER(
Master_Mapping_S"&amp;"heet!$E$2:$E$3143),
Master_Mapping_Sheet!$C$2:$C$3143=AT$1))), 0, sum(filter(
Master_Mapping_Sheet!$E$2:$E$3143, ISNUMBER(
Master_Mapping_Sheet!$E$2:$E$3143),
Master_Mapping_Sheet!$C$2:$C$3143=AT$1,
Master_Mapping_Sheet!$H$2:$H$3143=$A12))/sum(filter(
Mas"&amp;"ter_Mapping_Sheet!$E$2:$E$3143, ISNUMBER(
Master_Mapping_Sheet!$E$2:$E$3143),
Master_Mapping_Sheet!$C$2:$C$3143=AT$1)))"),0.0)</f>
        <v>0</v>
      </c>
      <c r="AU12" s="34">
        <f>IFERROR(__xludf.DUMMYFUNCTION("IF(ISNA(sum(filter(
Master_Mapping_Sheet!$E$2:$E$3143, ISNUMBER(
Master_Mapping_Sheet!$E$2:$E$3143),
Master_Mapping_Sheet!$C$2:$C$3143=AU$1,
Master_Mapping_Sheet!$H$2:$H$3143=$A12))/sum(filter(
Master_Mapping_Sheet!$E$2:$E$3143, ISNUMBER(
Master_Mapping_S"&amp;"heet!$E$2:$E$3143),
Master_Mapping_Sheet!$C$2:$C$3143=AU$1))), 0, sum(filter(
Master_Mapping_Sheet!$E$2:$E$3143, ISNUMBER(
Master_Mapping_Sheet!$E$2:$E$3143),
Master_Mapping_Sheet!$C$2:$C$3143=AU$1,
Master_Mapping_Sheet!$H$2:$H$3143=$A12))/sum(filter(
Mas"&amp;"ter_Mapping_Sheet!$E$2:$E$3143, ISNUMBER(
Master_Mapping_Sheet!$E$2:$E$3143),
Master_Mapping_Sheet!$C$2:$C$3143=AU$1)))"),0.0)</f>
        <v>0</v>
      </c>
      <c r="AV12" s="34">
        <f>IFERROR(__xludf.DUMMYFUNCTION("IF(ISNA(sum(filter(
Master_Mapping_Sheet!$E$2:$E$3143, ISNUMBER(
Master_Mapping_Sheet!$E$2:$E$3143),
Master_Mapping_Sheet!$C$2:$C$3143=AV$1,
Master_Mapping_Sheet!$H$2:$H$3143=$A12))/sum(filter(
Master_Mapping_Sheet!$E$2:$E$3143, ISNUMBER(
Master_Mapping_S"&amp;"heet!$E$2:$E$3143),
Master_Mapping_Sheet!$C$2:$C$3143=AV$1))), 0, sum(filter(
Master_Mapping_Sheet!$E$2:$E$3143, ISNUMBER(
Master_Mapping_Sheet!$E$2:$E$3143),
Master_Mapping_Sheet!$C$2:$C$3143=AV$1,
Master_Mapping_Sheet!$H$2:$H$3143=$A12))/sum(filter(
Mas"&amp;"ter_Mapping_Sheet!$E$2:$E$3143, ISNUMBER(
Master_Mapping_Sheet!$E$2:$E$3143),
Master_Mapping_Sheet!$C$2:$C$3143=AV$1)))"),0.1535922883055379)</f>
        <v>0.1535922883</v>
      </c>
      <c r="AW12" s="34">
        <f>IFERROR(__xludf.DUMMYFUNCTION("IF(ISNA(sum(filter(
Master_Mapping_Sheet!$E$2:$E$3143, ISNUMBER(
Master_Mapping_Sheet!$E$2:$E$3143),
Master_Mapping_Sheet!$C$2:$C$3143=AW$1,
Master_Mapping_Sheet!$H$2:$H$3143=$A12))/sum(filter(
Master_Mapping_Sheet!$E$2:$E$3143, ISNUMBER(
Master_Mapping_S"&amp;"heet!$E$2:$E$3143),
Master_Mapping_Sheet!$C$2:$C$3143=AW$1))), 0, sum(filter(
Master_Mapping_Sheet!$E$2:$E$3143, ISNUMBER(
Master_Mapping_Sheet!$E$2:$E$3143),
Master_Mapping_Sheet!$C$2:$C$3143=AW$1,
Master_Mapping_Sheet!$H$2:$H$3143=$A12))/sum(filter(
Mas"&amp;"ter_Mapping_Sheet!$E$2:$E$3143, ISNUMBER(
Master_Mapping_Sheet!$E$2:$E$3143),
Master_Mapping_Sheet!$C$2:$C$3143=AW$1)))"),0.0)</f>
        <v>0</v>
      </c>
      <c r="AX12" s="34">
        <f>IFERROR(__xludf.DUMMYFUNCTION("IF(ISNA(sum(filter(
Master_Mapping_Sheet!$E$2:$E$3143, ISNUMBER(
Master_Mapping_Sheet!$E$2:$E$3143),
Master_Mapping_Sheet!$C$2:$C$3143=AX$1,
Master_Mapping_Sheet!$H$2:$H$3143=$A12))/sum(filter(
Master_Mapping_Sheet!$E$2:$E$3143, ISNUMBER(
Master_Mapping_S"&amp;"heet!$E$2:$E$3143),
Master_Mapping_Sheet!$C$2:$C$3143=AX$1))), 0, sum(filter(
Master_Mapping_Sheet!$E$2:$E$3143, ISNUMBER(
Master_Mapping_Sheet!$E$2:$E$3143),
Master_Mapping_Sheet!$C$2:$C$3143=AX$1,
Master_Mapping_Sheet!$H$2:$H$3143=$A12))/sum(filter(
Mas"&amp;"ter_Mapping_Sheet!$E$2:$E$3143, ISNUMBER(
Master_Mapping_Sheet!$E$2:$E$3143),
Master_Mapping_Sheet!$C$2:$C$3143=AX$1)))"),1.0)</f>
        <v>1</v>
      </c>
      <c r="AY12" s="34">
        <f>IFERROR(__xludf.DUMMYFUNCTION("IF(ISNA(sum(filter(
Master_Mapping_Sheet!$E$2:$E$3143, ISNUMBER(
Master_Mapping_Sheet!$E$2:$E$3143),
Master_Mapping_Sheet!$C$2:$C$3143=AY$1,
Master_Mapping_Sheet!$H$2:$H$3143=$A12))/sum(filter(
Master_Mapping_Sheet!$E$2:$E$3143, ISNUMBER(
Master_Mapping_S"&amp;"heet!$E$2:$E$3143),
Master_Mapping_Sheet!$C$2:$C$3143=AY$1))), 0, sum(filter(
Master_Mapping_Sheet!$E$2:$E$3143, ISNUMBER(
Master_Mapping_Sheet!$E$2:$E$3143),
Master_Mapping_Sheet!$C$2:$C$3143=AY$1,
Master_Mapping_Sheet!$H$2:$H$3143=$A12))/sum(filter(
Mas"&amp;"ter_Mapping_Sheet!$E$2:$E$3143, ISNUMBER(
Master_Mapping_Sheet!$E$2:$E$3143),
Master_Mapping_Sheet!$C$2:$C$3143=AY$1)))"),0.0)</f>
        <v>0</v>
      </c>
      <c r="AZ12" s="34">
        <f>IFERROR(__xludf.DUMMYFUNCTION("IF(ISNA(sum(filter(
Master_Mapping_Sheet!$E$2:$E$3143, ISNUMBER(
Master_Mapping_Sheet!$E$2:$E$3143),
Master_Mapping_Sheet!$C$2:$C$3143=AZ$1,
Master_Mapping_Sheet!$H$2:$H$3143=$A12))/sum(filter(
Master_Mapping_Sheet!$E$2:$E$3143, ISNUMBER(
Master_Mapping_S"&amp;"heet!$E$2:$E$3143),
Master_Mapping_Sheet!$C$2:$C$3143=AZ$1))), 0, sum(filter(
Master_Mapping_Sheet!$E$2:$E$3143, ISNUMBER(
Master_Mapping_Sheet!$E$2:$E$3143),
Master_Mapping_Sheet!$C$2:$C$3143=AZ$1,
Master_Mapping_Sheet!$H$2:$H$3143=$A12))/sum(filter(
Mas"&amp;"ter_Mapping_Sheet!$E$2:$E$3143, ISNUMBER(
Master_Mapping_Sheet!$E$2:$E$3143),
Master_Mapping_Sheet!$C$2:$C$3143=AZ$1)))"),0.0)</f>
        <v>0</v>
      </c>
    </row>
    <row r="13" ht="15.75" customHeight="1">
      <c r="A13" s="34" t="s">
        <v>3994</v>
      </c>
      <c r="B13" s="34">
        <f>IFERROR(__xludf.DUMMYFUNCTION("IF(ISNA(sum(filter(
Master_Mapping_Sheet!$E$2:$E$3143, ISNUMBER(
Master_Mapping_Sheet!$E$2:$E$3143),
Master_Mapping_Sheet!$C$2:$C$3143=B$1,
Master_Mapping_Sheet!$H$2:$H$3143=$A13))/sum(filter(
Master_Mapping_Sheet!$E$2:$E$3143, ISNUMBER(
Master_Mapping_Sh"&amp;"eet!$E$2:$E$3143),
Master_Mapping_Sheet!$C$2:$C$3143=B$1))), 0, sum(filter(
Master_Mapping_Sheet!$E$2:$E$3143, ISNUMBER(
Master_Mapping_Sheet!$E$2:$E$3143),
Master_Mapping_Sheet!$C$2:$C$3143=B$1,
Master_Mapping_Sheet!$H$2:$H$3143=$A13))/sum(filter(
Master"&amp;"_Mapping_Sheet!$E$2:$E$3143, ISNUMBER(
Master_Mapping_Sheet!$E$2:$E$3143),
Master_Mapping_Sheet!$C$2:$C$3143=B$1)))"),0.0)</f>
        <v>0</v>
      </c>
      <c r="C13" s="34">
        <f>IFERROR(__xludf.DUMMYFUNCTION("IF(ISNA(sum(filter(
Master_Mapping_Sheet!$E$2:$E$3143, ISNUMBER(
Master_Mapping_Sheet!$E$2:$E$3143),
Master_Mapping_Sheet!$C$2:$C$3143=C$1,
Master_Mapping_Sheet!$H$2:$H$3143=$A13))/sum(filter(
Master_Mapping_Sheet!$E$2:$E$3143, ISNUMBER(
Master_Mapping_Sh"&amp;"eet!$E$2:$E$3143),
Master_Mapping_Sheet!$C$2:$C$3143=C$1))), 0, sum(filter(
Master_Mapping_Sheet!$E$2:$E$3143, ISNUMBER(
Master_Mapping_Sheet!$E$2:$E$3143),
Master_Mapping_Sheet!$C$2:$C$3143=C$1,
Master_Mapping_Sheet!$H$2:$H$3143=$A13))/sum(filter(
Master"&amp;"_Mapping_Sheet!$E$2:$E$3143, ISNUMBER(
Master_Mapping_Sheet!$E$2:$E$3143),
Master_Mapping_Sheet!$C$2:$C$3143=C$1)))"),0.0)</f>
        <v>0</v>
      </c>
      <c r="D13" s="34">
        <f>IFERROR(__xludf.DUMMYFUNCTION("IF(ISNA(sum(filter(
Master_Mapping_Sheet!$E$2:$E$3143, ISNUMBER(
Master_Mapping_Sheet!$E$2:$E$3143),
Master_Mapping_Sheet!$C$2:$C$3143=D$1,
Master_Mapping_Sheet!$H$2:$H$3143=$A13))/sum(filter(
Master_Mapping_Sheet!$E$2:$E$3143, ISNUMBER(
Master_Mapping_Sh"&amp;"eet!$E$2:$E$3143),
Master_Mapping_Sheet!$C$2:$C$3143=D$1))), 0, sum(filter(
Master_Mapping_Sheet!$E$2:$E$3143, ISNUMBER(
Master_Mapping_Sheet!$E$2:$E$3143),
Master_Mapping_Sheet!$C$2:$C$3143=D$1,
Master_Mapping_Sheet!$H$2:$H$3143=$A13))/sum(filter(
Master"&amp;"_Mapping_Sheet!$E$2:$E$3143, ISNUMBER(
Master_Mapping_Sheet!$E$2:$E$3143),
Master_Mapping_Sheet!$C$2:$C$3143=D$1)))"),0.0)</f>
        <v>0</v>
      </c>
      <c r="E13" s="34">
        <f>IFERROR(__xludf.DUMMYFUNCTION("IF(ISNA(sum(filter(
Master_Mapping_Sheet!$E$2:$E$3143, ISNUMBER(
Master_Mapping_Sheet!$E$2:$E$3143),
Master_Mapping_Sheet!$C$2:$C$3143=E$1,
Master_Mapping_Sheet!$H$2:$H$3143=$A13))/sum(filter(
Master_Mapping_Sheet!$E$2:$E$3143, ISNUMBER(
Master_Mapping_Sh"&amp;"eet!$E$2:$E$3143),
Master_Mapping_Sheet!$C$2:$C$3143=E$1))), 0, sum(filter(
Master_Mapping_Sheet!$E$2:$E$3143, ISNUMBER(
Master_Mapping_Sheet!$E$2:$E$3143),
Master_Mapping_Sheet!$C$2:$C$3143=E$1,
Master_Mapping_Sheet!$H$2:$H$3143=$A13))/sum(filter(
Master"&amp;"_Mapping_Sheet!$E$2:$E$3143, ISNUMBER(
Master_Mapping_Sheet!$E$2:$E$3143),
Master_Mapping_Sheet!$C$2:$C$3143=E$1)))"),0.0)</f>
        <v>0</v>
      </c>
      <c r="F13" s="34">
        <f>IFERROR(__xludf.DUMMYFUNCTION("IF(ISNA(sum(filter(
Master_Mapping_Sheet!$E$2:$E$3143, ISNUMBER(
Master_Mapping_Sheet!$E$2:$E$3143),
Master_Mapping_Sheet!$C$2:$C$3143=F$1,
Master_Mapping_Sheet!$H$2:$H$3143=$A13))/sum(filter(
Master_Mapping_Sheet!$E$2:$E$3143, ISNUMBER(
Master_Mapping_Sh"&amp;"eet!$E$2:$E$3143),
Master_Mapping_Sheet!$C$2:$C$3143=F$1))), 0, sum(filter(
Master_Mapping_Sheet!$E$2:$E$3143, ISNUMBER(
Master_Mapping_Sheet!$E$2:$E$3143),
Master_Mapping_Sheet!$C$2:$C$3143=F$1,
Master_Mapping_Sheet!$H$2:$H$3143=$A13))/sum(filter(
Master"&amp;"_Mapping_Sheet!$E$2:$E$3143, ISNUMBER(
Master_Mapping_Sheet!$E$2:$E$3143),
Master_Mapping_Sheet!$C$2:$C$3143=F$1)))"),0.0)</f>
        <v>0</v>
      </c>
      <c r="G13" s="34">
        <f>IFERROR(__xludf.DUMMYFUNCTION("IF(ISNA(sum(filter(
Master_Mapping_Sheet!$E$2:$E$3143, ISNUMBER(
Master_Mapping_Sheet!$E$2:$E$3143),
Master_Mapping_Sheet!$C$2:$C$3143=G$1,
Master_Mapping_Sheet!$H$2:$H$3143=$A13))/sum(filter(
Master_Mapping_Sheet!$E$2:$E$3143, ISNUMBER(
Master_Mapping_Sh"&amp;"eet!$E$2:$E$3143),
Master_Mapping_Sheet!$C$2:$C$3143=G$1))), 0, sum(filter(
Master_Mapping_Sheet!$E$2:$E$3143, ISNUMBER(
Master_Mapping_Sheet!$E$2:$E$3143),
Master_Mapping_Sheet!$C$2:$C$3143=G$1,
Master_Mapping_Sheet!$H$2:$H$3143=$A13))/sum(filter(
Master"&amp;"_Mapping_Sheet!$E$2:$E$3143, ISNUMBER(
Master_Mapping_Sheet!$E$2:$E$3143),
Master_Mapping_Sheet!$C$2:$C$3143=G$1)))"),0.0)</f>
        <v>0</v>
      </c>
      <c r="H13" s="34">
        <f>IFERROR(__xludf.DUMMYFUNCTION("IF(ISNA(sum(filter(
Master_Mapping_Sheet!$E$2:$E$3143, ISNUMBER(
Master_Mapping_Sheet!$E$2:$E$3143),
Master_Mapping_Sheet!$C$2:$C$3143=H$1,
Master_Mapping_Sheet!$H$2:$H$3143=$A13))/sum(filter(
Master_Mapping_Sheet!$E$2:$E$3143, ISNUMBER(
Master_Mapping_Sh"&amp;"eet!$E$2:$E$3143),
Master_Mapping_Sheet!$C$2:$C$3143=H$1))), 0, sum(filter(
Master_Mapping_Sheet!$E$2:$E$3143, ISNUMBER(
Master_Mapping_Sheet!$E$2:$E$3143),
Master_Mapping_Sheet!$C$2:$C$3143=H$1,
Master_Mapping_Sheet!$H$2:$H$3143=$A13))/sum(filter(
Master"&amp;"_Mapping_Sheet!$E$2:$E$3143, ISNUMBER(
Master_Mapping_Sheet!$E$2:$E$3143),
Master_Mapping_Sheet!$C$2:$C$3143=H$1)))"),0.0)</f>
        <v>0</v>
      </c>
      <c r="I13" s="34">
        <f>IFERROR(__xludf.DUMMYFUNCTION("IF(ISNA(sum(filter(
Master_Mapping_Sheet!$E$2:$E$3143, ISNUMBER(
Master_Mapping_Sheet!$E$2:$E$3143),
Master_Mapping_Sheet!$C$2:$C$3143=I$1,
Master_Mapping_Sheet!$H$2:$H$3143=$A13))/sum(filter(
Master_Mapping_Sheet!$E$2:$E$3143, ISNUMBER(
Master_Mapping_Sh"&amp;"eet!$E$2:$E$3143),
Master_Mapping_Sheet!$C$2:$C$3143=I$1))), 0, sum(filter(
Master_Mapping_Sheet!$E$2:$E$3143, ISNUMBER(
Master_Mapping_Sheet!$E$2:$E$3143),
Master_Mapping_Sheet!$C$2:$C$3143=I$1,
Master_Mapping_Sheet!$H$2:$H$3143=$A13))/sum(filter(
Master"&amp;"_Mapping_Sheet!$E$2:$E$3143, ISNUMBER(
Master_Mapping_Sheet!$E$2:$E$3143),
Master_Mapping_Sheet!$C$2:$C$3143=I$1)))"),0.0)</f>
        <v>0</v>
      </c>
      <c r="J13" s="34">
        <f>IFERROR(__xludf.DUMMYFUNCTION("IF(ISNA(sum(filter(
Master_Mapping_Sheet!$E$2:$E$3143, ISNUMBER(
Master_Mapping_Sheet!$E$2:$E$3143),
Master_Mapping_Sheet!$C$2:$C$3143=J$1,
Master_Mapping_Sheet!$H$2:$H$3143=$A13))/sum(filter(
Master_Mapping_Sheet!$E$2:$E$3143, ISNUMBER(
Master_Mapping_Sh"&amp;"eet!$E$2:$E$3143),
Master_Mapping_Sheet!$C$2:$C$3143=J$1))), 0, sum(filter(
Master_Mapping_Sheet!$E$2:$E$3143, ISNUMBER(
Master_Mapping_Sheet!$E$2:$E$3143),
Master_Mapping_Sheet!$C$2:$C$3143=J$1,
Master_Mapping_Sheet!$H$2:$H$3143=$A13))/sum(filter(
Master"&amp;"_Mapping_Sheet!$E$2:$E$3143, ISNUMBER(
Master_Mapping_Sheet!$E$2:$E$3143),
Master_Mapping_Sheet!$C$2:$C$3143=J$1)))"),0.0)</f>
        <v>0</v>
      </c>
      <c r="K13" s="34">
        <f>IFERROR(__xludf.DUMMYFUNCTION("IF(ISNA(sum(filter(
Master_Mapping_Sheet!$E$2:$E$3143, ISNUMBER(
Master_Mapping_Sheet!$E$2:$E$3143),
Master_Mapping_Sheet!$C$2:$C$3143=K$1,
Master_Mapping_Sheet!$H$2:$H$3143=$A13))/sum(filter(
Master_Mapping_Sheet!$E$2:$E$3143, ISNUMBER(
Master_Mapping_Sh"&amp;"eet!$E$2:$E$3143),
Master_Mapping_Sheet!$C$2:$C$3143=K$1))), 0, sum(filter(
Master_Mapping_Sheet!$E$2:$E$3143, ISNUMBER(
Master_Mapping_Sheet!$E$2:$E$3143),
Master_Mapping_Sheet!$C$2:$C$3143=K$1,
Master_Mapping_Sheet!$H$2:$H$3143=$A13))/sum(filter(
Master"&amp;"_Mapping_Sheet!$E$2:$E$3143, ISNUMBER(
Master_Mapping_Sheet!$E$2:$E$3143),
Master_Mapping_Sheet!$C$2:$C$3143=K$1)))"),0.0)</f>
        <v>0</v>
      </c>
      <c r="L13" s="34">
        <f>IFERROR(__xludf.DUMMYFUNCTION("IF(ISNA(sum(filter(
Master_Mapping_Sheet!$E$2:$E$3143, ISNUMBER(
Master_Mapping_Sheet!$E$2:$E$3143),
Master_Mapping_Sheet!$C$2:$C$3143=L$1,
Master_Mapping_Sheet!$H$2:$H$3143=$A13))/sum(filter(
Master_Mapping_Sheet!$E$2:$E$3143, ISNUMBER(
Master_Mapping_Sh"&amp;"eet!$E$2:$E$3143),
Master_Mapping_Sheet!$C$2:$C$3143=L$1))), 0, sum(filter(
Master_Mapping_Sheet!$E$2:$E$3143, ISNUMBER(
Master_Mapping_Sheet!$E$2:$E$3143),
Master_Mapping_Sheet!$C$2:$C$3143=L$1,
Master_Mapping_Sheet!$H$2:$H$3143=$A13))/sum(filter(
Master"&amp;"_Mapping_Sheet!$E$2:$E$3143, ISNUMBER(
Master_Mapping_Sheet!$E$2:$E$3143),
Master_Mapping_Sheet!$C$2:$C$3143=L$1)))"),0.0)</f>
        <v>0</v>
      </c>
      <c r="M13" s="34">
        <f>IFERROR(__xludf.DUMMYFUNCTION("IF(ISNA(sum(filter(
Master_Mapping_Sheet!$E$2:$E$3143, ISNUMBER(
Master_Mapping_Sheet!$E$2:$E$3143),
Master_Mapping_Sheet!$C$2:$C$3143=M$1,
Master_Mapping_Sheet!$H$2:$H$3143=$A13))/sum(filter(
Master_Mapping_Sheet!$E$2:$E$3143, ISNUMBER(
Master_Mapping_Sh"&amp;"eet!$E$2:$E$3143),
Master_Mapping_Sheet!$C$2:$C$3143=M$1))), 0, sum(filter(
Master_Mapping_Sheet!$E$2:$E$3143, ISNUMBER(
Master_Mapping_Sheet!$E$2:$E$3143),
Master_Mapping_Sheet!$C$2:$C$3143=M$1,
Master_Mapping_Sheet!$H$2:$H$3143=$A13))/sum(filter(
Master"&amp;"_Mapping_Sheet!$E$2:$E$3143, ISNUMBER(
Master_Mapping_Sheet!$E$2:$E$3143),
Master_Mapping_Sheet!$C$2:$C$3143=M$1)))"),0.0)</f>
        <v>0</v>
      </c>
      <c r="N13" s="34">
        <f>IFERROR(__xludf.DUMMYFUNCTION("IF(ISNA(sum(filter(
Master_Mapping_Sheet!$E$2:$E$3143, ISNUMBER(
Master_Mapping_Sheet!$E$2:$E$3143),
Master_Mapping_Sheet!$C$2:$C$3143=N$1,
Master_Mapping_Sheet!$H$2:$H$3143=$A13))/sum(filter(
Master_Mapping_Sheet!$E$2:$E$3143, ISNUMBER(
Master_Mapping_Sh"&amp;"eet!$E$2:$E$3143),
Master_Mapping_Sheet!$C$2:$C$3143=N$1))), 0, sum(filter(
Master_Mapping_Sheet!$E$2:$E$3143, ISNUMBER(
Master_Mapping_Sheet!$E$2:$E$3143),
Master_Mapping_Sheet!$C$2:$C$3143=N$1,
Master_Mapping_Sheet!$H$2:$H$3143=$A13))/sum(filter(
Master"&amp;"_Mapping_Sheet!$E$2:$E$3143, ISNUMBER(
Master_Mapping_Sheet!$E$2:$E$3143),
Master_Mapping_Sheet!$C$2:$C$3143=N$1)))"),0.0)</f>
        <v>0</v>
      </c>
      <c r="O13" s="34">
        <f>IFERROR(__xludf.DUMMYFUNCTION("IF(ISNA(sum(filter(
Master_Mapping_Sheet!$E$2:$E$3143, ISNUMBER(
Master_Mapping_Sheet!$E$2:$E$3143),
Master_Mapping_Sheet!$C$2:$C$3143=O$1,
Master_Mapping_Sheet!$H$2:$H$3143=$A13))/sum(filter(
Master_Mapping_Sheet!$E$2:$E$3143, ISNUMBER(
Master_Mapping_Sh"&amp;"eet!$E$2:$E$3143),
Master_Mapping_Sheet!$C$2:$C$3143=O$1))), 0, sum(filter(
Master_Mapping_Sheet!$E$2:$E$3143, ISNUMBER(
Master_Mapping_Sheet!$E$2:$E$3143),
Master_Mapping_Sheet!$C$2:$C$3143=O$1,
Master_Mapping_Sheet!$H$2:$H$3143=$A13))/sum(filter(
Master"&amp;"_Mapping_Sheet!$E$2:$E$3143, ISNUMBER(
Master_Mapping_Sheet!$E$2:$E$3143),
Master_Mapping_Sheet!$C$2:$C$3143=O$1)))"),0.7074290844976318)</f>
        <v>0.7074290845</v>
      </c>
      <c r="P13" s="34">
        <f>IFERROR(__xludf.DUMMYFUNCTION("IF(ISNA(sum(filter(
Master_Mapping_Sheet!$E$2:$E$3143, ISNUMBER(
Master_Mapping_Sheet!$E$2:$E$3143),
Master_Mapping_Sheet!$C$2:$C$3143=P$1,
Master_Mapping_Sheet!$H$2:$H$3143=$A13))/sum(filter(
Master_Mapping_Sheet!$E$2:$E$3143, ISNUMBER(
Master_Mapping_Sh"&amp;"eet!$E$2:$E$3143),
Master_Mapping_Sheet!$C$2:$C$3143=P$1))), 0, sum(filter(
Master_Mapping_Sheet!$E$2:$E$3143, ISNUMBER(
Master_Mapping_Sheet!$E$2:$E$3143),
Master_Mapping_Sheet!$C$2:$C$3143=P$1,
Master_Mapping_Sheet!$H$2:$H$3143=$A13))/sum(filter(
Master"&amp;"_Mapping_Sheet!$E$2:$E$3143, ISNUMBER(
Master_Mapping_Sheet!$E$2:$E$3143),
Master_Mapping_Sheet!$C$2:$C$3143=P$1)))"),0.0)</f>
        <v>0</v>
      </c>
      <c r="Q13" s="34">
        <f>IFERROR(__xludf.DUMMYFUNCTION("IF(ISNA(sum(filter(
Master_Mapping_Sheet!$E$2:$E$3143, ISNUMBER(
Master_Mapping_Sheet!$E$2:$E$3143),
Master_Mapping_Sheet!$C$2:$C$3143=Q$1,
Master_Mapping_Sheet!$H$2:$H$3143=$A13))/sum(filter(
Master_Mapping_Sheet!$E$2:$E$3143, ISNUMBER(
Master_Mapping_Sh"&amp;"eet!$E$2:$E$3143),
Master_Mapping_Sheet!$C$2:$C$3143=Q$1))), 0, sum(filter(
Master_Mapping_Sheet!$E$2:$E$3143, ISNUMBER(
Master_Mapping_Sheet!$E$2:$E$3143),
Master_Mapping_Sheet!$C$2:$C$3143=Q$1,
Master_Mapping_Sheet!$H$2:$H$3143=$A13))/sum(filter(
Master"&amp;"_Mapping_Sheet!$E$2:$E$3143, ISNUMBER(
Master_Mapping_Sheet!$E$2:$E$3143),
Master_Mapping_Sheet!$C$2:$C$3143=Q$1)))"),0.0)</f>
        <v>0</v>
      </c>
      <c r="R13" s="34">
        <f>IFERROR(__xludf.DUMMYFUNCTION("IF(ISNA(sum(filter(
Master_Mapping_Sheet!$E$2:$E$3143, ISNUMBER(
Master_Mapping_Sheet!$E$2:$E$3143),
Master_Mapping_Sheet!$C$2:$C$3143=R$1,
Master_Mapping_Sheet!$H$2:$H$3143=$A13))/sum(filter(
Master_Mapping_Sheet!$E$2:$E$3143, ISNUMBER(
Master_Mapping_Sh"&amp;"eet!$E$2:$E$3143),
Master_Mapping_Sheet!$C$2:$C$3143=R$1))), 0, sum(filter(
Master_Mapping_Sheet!$E$2:$E$3143, ISNUMBER(
Master_Mapping_Sheet!$E$2:$E$3143),
Master_Mapping_Sheet!$C$2:$C$3143=R$1,
Master_Mapping_Sheet!$H$2:$H$3143=$A13))/sum(filter(
Master"&amp;"_Mapping_Sheet!$E$2:$E$3143, ISNUMBER(
Master_Mapping_Sheet!$E$2:$E$3143),
Master_Mapping_Sheet!$C$2:$C$3143=R$1)))"),0.0)</f>
        <v>0</v>
      </c>
      <c r="S13" s="34">
        <f>IFERROR(__xludf.DUMMYFUNCTION("IF(ISNA(sum(filter(
Master_Mapping_Sheet!$E$2:$E$3143, ISNUMBER(
Master_Mapping_Sheet!$E$2:$E$3143),
Master_Mapping_Sheet!$C$2:$C$3143=S$1,
Master_Mapping_Sheet!$H$2:$H$3143=$A13))/sum(filter(
Master_Mapping_Sheet!$E$2:$E$3143, ISNUMBER(
Master_Mapping_Sh"&amp;"eet!$E$2:$E$3143),
Master_Mapping_Sheet!$C$2:$C$3143=S$1))), 0, sum(filter(
Master_Mapping_Sheet!$E$2:$E$3143, ISNUMBER(
Master_Mapping_Sheet!$E$2:$E$3143),
Master_Mapping_Sheet!$C$2:$C$3143=S$1,
Master_Mapping_Sheet!$H$2:$H$3143=$A13))/sum(filter(
Master"&amp;"_Mapping_Sheet!$E$2:$E$3143, ISNUMBER(
Master_Mapping_Sheet!$E$2:$E$3143),
Master_Mapping_Sheet!$C$2:$C$3143=S$1)))"),0.0)</f>
        <v>0</v>
      </c>
      <c r="T13" s="34">
        <f>IFERROR(__xludf.DUMMYFUNCTION("IF(ISNA(sum(filter(
Master_Mapping_Sheet!$E$2:$E$3143, ISNUMBER(
Master_Mapping_Sheet!$E$2:$E$3143),
Master_Mapping_Sheet!$C$2:$C$3143=T$1,
Master_Mapping_Sheet!$H$2:$H$3143=$A13))/sum(filter(
Master_Mapping_Sheet!$E$2:$E$3143, ISNUMBER(
Master_Mapping_Sh"&amp;"eet!$E$2:$E$3143),
Master_Mapping_Sheet!$C$2:$C$3143=T$1))), 0, sum(filter(
Master_Mapping_Sheet!$E$2:$E$3143, ISNUMBER(
Master_Mapping_Sheet!$E$2:$E$3143),
Master_Mapping_Sheet!$C$2:$C$3143=T$1,
Master_Mapping_Sheet!$H$2:$H$3143=$A13))/sum(filter(
Master"&amp;"_Mapping_Sheet!$E$2:$E$3143, ISNUMBER(
Master_Mapping_Sheet!$E$2:$E$3143),
Master_Mapping_Sheet!$C$2:$C$3143=T$1)))"),0.0)</f>
        <v>0</v>
      </c>
      <c r="U13" s="34">
        <f>IFERROR(__xludf.DUMMYFUNCTION("IF(ISNA(sum(filter(
Master_Mapping_Sheet!$E$2:$E$3143, ISNUMBER(
Master_Mapping_Sheet!$E$2:$E$3143),
Master_Mapping_Sheet!$C$2:$C$3143=U$1,
Master_Mapping_Sheet!$H$2:$H$3143=$A13))/sum(filter(
Master_Mapping_Sheet!$E$2:$E$3143, ISNUMBER(
Master_Mapping_Sh"&amp;"eet!$E$2:$E$3143),
Master_Mapping_Sheet!$C$2:$C$3143=U$1))), 0, sum(filter(
Master_Mapping_Sheet!$E$2:$E$3143, ISNUMBER(
Master_Mapping_Sheet!$E$2:$E$3143),
Master_Mapping_Sheet!$C$2:$C$3143=U$1,
Master_Mapping_Sheet!$H$2:$H$3143=$A13))/sum(filter(
Master"&amp;"_Mapping_Sheet!$E$2:$E$3143, ISNUMBER(
Master_Mapping_Sheet!$E$2:$E$3143),
Master_Mapping_Sheet!$C$2:$C$3143=U$1)))"),0.0)</f>
        <v>0</v>
      </c>
      <c r="V13" s="34">
        <f>IFERROR(__xludf.DUMMYFUNCTION("IF(ISNA(sum(filter(
Master_Mapping_Sheet!$E$2:$E$3143, ISNUMBER(
Master_Mapping_Sheet!$E$2:$E$3143),
Master_Mapping_Sheet!$C$2:$C$3143=V$1,
Master_Mapping_Sheet!$H$2:$H$3143=$A13))/sum(filter(
Master_Mapping_Sheet!$E$2:$E$3143, ISNUMBER(
Master_Mapping_Sh"&amp;"eet!$E$2:$E$3143),
Master_Mapping_Sheet!$C$2:$C$3143=V$1))), 0, sum(filter(
Master_Mapping_Sheet!$E$2:$E$3143, ISNUMBER(
Master_Mapping_Sheet!$E$2:$E$3143),
Master_Mapping_Sheet!$C$2:$C$3143=V$1,
Master_Mapping_Sheet!$H$2:$H$3143=$A13))/sum(filter(
Master"&amp;"_Mapping_Sheet!$E$2:$E$3143, ISNUMBER(
Master_Mapping_Sheet!$E$2:$E$3143),
Master_Mapping_Sheet!$C$2:$C$3143=V$1)))"),0.0)</f>
        <v>0</v>
      </c>
      <c r="W13" s="34">
        <f>IFERROR(__xludf.DUMMYFUNCTION("IF(ISNA(sum(filter(
Master_Mapping_Sheet!$E$2:$E$3143, ISNUMBER(
Master_Mapping_Sheet!$E$2:$E$3143),
Master_Mapping_Sheet!$C$2:$C$3143=W$1,
Master_Mapping_Sheet!$H$2:$H$3143=$A13))/sum(filter(
Master_Mapping_Sheet!$E$2:$E$3143, ISNUMBER(
Master_Mapping_Sh"&amp;"eet!$E$2:$E$3143),
Master_Mapping_Sheet!$C$2:$C$3143=W$1))), 0, sum(filter(
Master_Mapping_Sheet!$E$2:$E$3143, ISNUMBER(
Master_Mapping_Sheet!$E$2:$E$3143),
Master_Mapping_Sheet!$C$2:$C$3143=W$1,
Master_Mapping_Sheet!$H$2:$H$3143=$A13))/sum(filter(
Master"&amp;"_Mapping_Sheet!$E$2:$E$3143, ISNUMBER(
Master_Mapping_Sheet!$E$2:$E$3143),
Master_Mapping_Sheet!$C$2:$C$3143=W$1)))"),0.0)</f>
        <v>0</v>
      </c>
      <c r="X13" s="34">
        <f>IFERROR(__xludf.DUMMYFUNCTION("IF(ISNA(sum(filter(
Master_Mapping_Sheet!$E$2:$E$3143, ISNUMBER(
Master_Mapping_Sheet!$E$2:$E$3143),
Master_Mapping_Sheet!$C$2:$C$3143=X$1,
Master_Mapping_Sheet!$H$2:$H$3143=$A13))/sum(filter(
Master_Mapping_Sheet!$E$2:$E$3143, ISNUMBER(
Master_Mapping_Sh"&amp;"eet!$E$2:$E$3143),
Master_Mapping_Sheet!$C$2:$C$3143=X$1))), 0, sum(filter(
Master_Mapping_Sheet!$E$2:$E$3143, ISNUMBER(
Master_Mapping_Sheet!$E$2:$E$3143),
Master_Mapping_Sheet!$C$2:$C$3143=X$1,
Master_Mapping_Sheet!$H$2:$H$3143=$A13))/sum(filter(
Master"&amp;"_Mapping_Sheet!$E$2:$E$3143, ISNUMBER(
Master_Mapping_Sheet!$E$2:$E$3143),
Master_Mapping_Sheet!$C$2:$C$3143=X$1)))"),0.0)</f>
        <v>0</v>
      </c>
      <c r="Y13" s="34">
        <f>IFERROR(__xludf.DUMMYFUNCTION("IF(ISNA(sum(filter(
Master_Mapping_Sheet!$E$2:$E$3143, ISNUMBER(
Master_Mapping_Sheet!$E$2:$E$3143),
Master_Mapping_Sheet!$C$2:$C$3143=Y$1,
Master_Mapping_Sheet!$H$2:$H$3143=$A13))/sum(filter(
Master_Mapping_Sheet!$E$2:$E$3143, ISNUMBER(
Master_Mapping_Sh"&amp;"eet!$E$2:$E$3143),
Master_Mapping_Sheet!$C$2:$C$3143=Y$1))), 0, sum(filter(
Master_Mapping_Sheet!$E$2:$E$3143, ISNUMBER(
Master_Mapping_Sheet!$E$2:$E$3143),
Master_Mapping_Sheet!$C$2:$C$3143=Y$1,
Master_Mapping_Sheet!$H$2:$H$3143=$A13))/sum(filter(
Master"&amp;"_Mapping_Sheet!$E$2:$E$3143, ISNUMBER(
Master_Mapping_Sheet!$E$2:$E$3143),
Master_Mapping_Sheet!$C$2:$C$3143=Y$1)))"),0.0)</f>
        <v>0</v>
      </c>
      <c r="Z13" s="34">
        <f>IFERROR(__xludf.DUMMYFUNCTION("IF(ISNA(sum(filter(
Master_Mapping_Sheet!$E$2:$E$3143, ISNUMBER(
Master_Mapping_Sheet!$E$2:$E$3143),
Master_Mapping_Sheet!$C$2:$C$3143=Z$1,
Master_Mapping_Sheet!$H$2:$H$3143=$A13))/sum(filter(
Master_Mapping_Sheet!$E$2:$E$3143, ISNUMBER(
Master_Mapping_Sh"&amp;"eet!$E$2:$E$3143),
Master_Mapping_Sheet!$C$2:$C$3143=Z$1))), 0, sum(filter(
Master_Mapping_Sheet!$E$2:$E$3143, ISNUMBER(
Master_Mapping_Sheet!$E$2:$E$3143),
Master_Mapping_Sheet!$C$2:$C$3143=Z$1,
Master_Mapping_Sheet!$H$2:$H$3143=$A13))/sum(filter(
Master"&amp;"_Mapping_Sheet!$E$2:$E$3143, ISNUMBER(
Master_Mapping_Sheet!$E$2:$E$3143),
Master_Mapping_Sheet!$C$2:$C$3143=Z$1)))"),0.0)</f>
        <v>0</v>
      </c>
      <c r="AA13" s="34">
        <f>IFERROR(__xludf.DUMMYFUNCTION("IF(ISNA(sum(filter(
Master_Mapping_Sheet!$E$2:$E$3143, ISNUMBER(
Master_Mapping_Sheet!$E$2:$E$3143),
Master_Mapping_Sheet!$C$2:$C$3143=AA$1,
Master_Mapping_Sheet!$H$2:$H$3143=$A13))/sum(filter(
Master_Mapping_Sheet!$E$2:$E$3143, ISNUMBER(
Master_Mapping_S"&amp;"heet!$E$2:$E$3143),
Master_Mapping_Sheet!$C$2:$C$3143=AA$1))), 0, sum(filter(
Master_Mapping_Sheet!$E$2:$E$3143, ISNUMBER(
Master_Mapping_Sheet!$E$2:$E$3143),
Master_Mapping_Sheet!$C$2:$C$3143=AA$1,
Master_Mapping_Sheet!$H$2:$H$3143=$A13))/sum(filter(
Mas"&amp;"ter_Mapping_Sheet!$E$2:$E$3143, ISNUMBER(
Master_Mapping_Sheet!$E$2:$E$3143),
Master_Mapping_Sheet!$C$2:$C$3143=AA$1)))"),0.0)</f>
        <v>0</v>
      </c>
      <c r="AB13" s="34">
        <f>IFERROR(__xludf.DUMMYFUNCTION("IF(ISNA(sum(filter(
Master_Mapping_Sheet!$E$2:$E$3143, ISNUMBER(
Master_Mapping_Sheet!$E$2:$E$3143),
Master_Mapping_Sheet!$C$2:$C$3143=AB$1,
Master_Mapping_Sheet!$H$2:$H$3143=$A13))/sum(filter(
Master_Mapping_Sheet!$E$2:$E$3143, ISNUMBER(
Master_Mapping_S"&amp;"heet!$E$2:$E$3143),
Master_Mapping_Sheet!$C$2:$C$3143=AB$1))), 0, sum(filter(
Master_Mapping_Sheet!$E$2:$E$3143, ISNUMBER(
Master_Mapping_Sheet!$E$2:$E$3143),
Master_Mapping_Sheet!$C$2:$C$3143=AB$1,
Master_Mapping_Sheet!$H$2:$H$3143=$A13))/sum(filter(
Mas"&amp;"ter_Mapping_Sheet!$E$2:$E$3143, ISNUMBER(
Master_Mapping_Sheet!$E$2:$E$3143),
Master_Mapping_Sheet!$C$2:$C$3143=AB$1)))"),0.0)</f>
        <v>0</v>
      </c>
      <c r="AC13" s="34">
        <f>IFERROR(__xludf.DUMMYFUNCTION("IF(ISNA(sum(filter(
Master_Mapping_Sheet!$E$2:$E$3143, ISNUMBER(
Master_Mapping_Sheet!$E$2:$E$3143),
Master_Mapping_Sheet!$C$2:$C$3143=AC$1,
Master_Mapping_Sheet!$H$2:$H$3143=$A13))/sum(filter(
Master_Mapping_Sheet!$E$2:$E$3143, ISNUMBER(
Master_Mapping_S"&amp;"heet!$E$2:$E$3143),
Master_Mapping_Sheet!$C$2:$C$3143=AC$1))), 0, sum(filter(
Master_Mapping_Sheet!$E$2:$E$3143, ISNUMBER(
Master_Mapping_Sheet!$E$2:$E$3143),
Master_Mapping_Sheet!$C$2:$C$3143=AC$1,
Master_Mapping_Sheet!$H$2:$H$3143=$A13))/sum(filter(
Mas"&amp;"ter_Mapping_Sheet!$E$2:$E$3143, ISNUMBER(
Master_Mapping_Sheet!$E$2:$E$3143),
Master_Mapping_Sheet!$C$2:$C$3143=AC$1)))"),0.0)</f>
        <v>0</v>
      </c>
      <c r="AD13" s="34">
        <f>IFERROR(__xludf.DUMMYFUNCTION("IF(ISNA(sum(filter(
Master_Mapping_Sheet!$E$2:$E$3143, ISNUMBER(
Master_Mapping_Sheet!$E$2:$E$3143),
Master_Mapping_Sheet!$C$2:$C$3143=AD$1,
Master_Mapping_Sheet!$H$2:$H$3143=$A13))/sum(filter(
Master_Mapping_Sheet!$E$2:$E$3143, ISNUMBER(
Master_Mapping_S"&amp;"heet!$E$2:$E$3143),
Master_Mapping_Sheet!$C$2:$C$3143=AD$1))), 0, sum(filter(
Master_Mapping_Sheet!$E$2:$E$3143, ISNUMBER(
Master_Mapping_Sheet!$E$2:$E$3143),
Master_Mapping_Sheet!$C$2:$C$3143=AD$1,
Master_Mapping_Sheet!$H$2:$H$3143=$A13))/sum(filter(
Mas"&amp;"ter_Mapping_Sheet!$E$2:$E$3143, ISNUMBER(
Master_Mapping_Sheet!$E$2:$E$3143),
Master_Mapping_Sheet!$C$2:$C$3143=AD$1)))"),0.0)</f>
        <v>0</v>
      </c>
      <c r="AE13" s="34">
        <f>IFERROR(__xludf.DUMMYFUNCTION("IF(ISNA(sum(filter(
Master_Mapping_Sheet!$E$2:$E$3143, ISNUMBER(
Master_Mapping_Sheet!$E$2:$E$3143),
Master_Mapping_Sheet!$C$2:$C$3143=AE$1,
Master_Mapping_Sheet!$H$2:$H$3143=$A13))/sum(filter(
Master_Mapping_Sheet!$E$2:$E$3143, ISNUMBER(
Master_Mapping_S"&amp;"heet!$E$2:$E$3143),
Master_Mapping_Sheet!$C$2:$C$3143=AE$1))), 0, sum(filter(
Master_Mapping_Sheet!$E$2:$E$3143, ISNUMBER(
Master_Mapping_Sheet!$E$2:$E$3143),
Master_Mapping_Sheet!$C$2:$C$3143=AE$1,
Master_Mapping_Sheet!$H$2:$H$3143=$A13))/sum(filter(
Mas"&amp;"ter_Mapping_Sheet!$E$2:$E$3143, ISNUMBER(
Master_Mapping_Sheet!$E$2:$E$3143),
Master_Mapping_Sheet!$C$2:$C$3143=AE$1)))"),0.0)</f>
        <v>0</v>
      </c>
      <c r="AF13" s="34">
        <f>IFERROR(__xludf.DUMMYFUNCTION("IF(ISNA(sum(filter(
Master_Mapping_Sheet!$E$2:$E$3143, ISNUMBER(
Master_Mapping_Sheet!$E$2:$E$3143),
Master_Mapping_Sheet!$C$2:$C$3143=AF$1,
Master_Mapping_Sheet!$H$2:$H$3143=$A13))/sum(filter(
Master_Mapping_Sheet!$E$2:$E$3143, ISNUMBER(
Master_Mapping_S"&amp;"heet!$E$2:$E$3143),
Master_Mapping_Sheet!$C$2:$C$3143=AF$1))), 0, sum(filter(
Master_Mapping_Sheet!$E$2:$E$3143, ISNUMBER(
Master_Mapping_Sheet!$E$2:$E$3143),
Master_Mapping_Sheet!$C$2:$C$3143=AF$1,
Master_Mapping_Sheet!$H$2:$H$3143=$A13))/sum(filter(
Mas"&amp;"ter_Mapping_Sheet!$E$2:$E$3143, ISNUMBER(
Master_Mapping_Sheet!$E$2:$E$3143),
Master_Mapping_Sheet!$C$2:$C$3143=AF$1)))"),0.0)</f>
        <v>0</v>
      </c>
      <c r="AG13" s="34">
        <f>IFERROR(__xludf.DUMMYFUNCTION("IF(ISNA(sum(filter(
Master_Mapping_Sheet!$E$2:$E$3143, ISNUMBER(
Master_Mapping_Sheet!$E$2:$E$3143),
Master_Mapping_Sheet!$C$2:$C$3143=AG$1,
Master_Mapping_Sheet!$H$2:$H$3143=$A13))/sum(filter(
Master_Mapping_Sheet!$E$2:$E$3143, ISNUMBER(
Master_Mapping_S"&amp;"heet!$E$2:$E$3143),
Master_Mapping_Sheet!$C$2:$C$3143=AG$1))), 0, sum(filter(
Master_Mapping_Sheet!$E$2:$E$3143, ISNUMBER(
Master_Mapping_Sheet!$E$2:$E$3143),
Master_Mapping_Sheet!$C$2:$C$3143=AG$1,
Master_Mapping_Sheet!$H$2:$H$3143=$A13))/sum(filter(
Mas"&amp;"ter_Mapping_Sheet!$E$2:$E$3143, ISNUMBER(
Master_Mapping_Sheet!$E$2:$E$3143),
Master_Mapping_Sheet!$C$2:$C$3143=AG$1)))"),0.0)</f>
        <v>0</v>
      </c>
      <c r="AH13" s="34">
        <f>IFERROR(__xludf.DUMMYFUNCTION("IF(ISNA(sum(filter(
Master_Mapping_Sheet!$E$2:$E$3143, ISNUMBER(
Master_Mapping_Sheet!$E$2:$E$3143),
Master_Mapping_Sheet!$C$2:$C$3143=AH$1,
Master_Mapping_Sheet!$H$2:$H$3143=$A13))/sum(filter(
Master_Mapping_Sheet!$E$2:$E$3143, ISNUMBER(
Master_Mapping_S"&amp;"heet!$E$2:$E$3143),
Master_Mapping_Sheet!$C$2:$C$3143=AH$1))), 0, sum(filter(
Master_Mapping_Sheet!$E$2:$E$3143, ISNUMBER(
Master_Mapping_Sheet!$E$2:$E$3143),
Master_Mapping_Sheet!$C$2:$C$3143=AH$1,
Master_Mapping_Sheet!$H$2:$H$3143=$A13))/sum(filter(
Mas"&amp;"ter_Mapping_Sheet!$E$2:$E$3143, ISNUMBER(
Master_Mapping_Sheet!$E$2:$E$3143),
Master_Mapping_Sheet!$C$2:$C$3143=AH$1)))"),0.0)</f>
        <v>0</v>
      </c>
      <c r="AI13" s="34">
        <f>IFERROR(__xludf.DUMMYFUNCTION("IF(ISNA(sum(filter(
Master_Mapping_Sheet!$E$2:$E$3143, ISNUMBER(
Master_Mapping_Sheet!$E$2:$E$3143),
Master_Mapping_Sheet!$C$2:$C$3143=AI$1,
Master_Mapping_Sheet!$H$2:$H$3143=$A13))/sum(filter(
Master_Mapping_Sheet!$E$2:$E$3143, ISNUMBER(
Master_Mapping_S"&amp;"heet!$E$2:$E$3143),
Master_Mapping_Sheet!$C$2:$C$3143=AI$1))), 0, sum(filter(
Master_Mapping_Sheet!$E$2:$E$3143, ISNUMBER(
Master_Mapping_Sheet!$E$2:$E$3143),
Master_Mapping_Sheet!$C$2:$C$3143=AI$1,
Master_Mapping_Sheet!$H$2:$H$3143=$A13))/sum(filter(
Mas"&amp;"ter_Mapping_Sheet!$E$2:$E$3143, ISNUMBER(
Master_Mapping_Sheet!$E$2:$E$3143),
Master_Mapping_Sheet!$C$2:$C$3143=AI$1)))"),0.0)</f>
        <v>0</v>
      </c>
      <c r="AJ13" s="34">
        <f>IFERROR(__xludf.DUMMYFUNCTION("IF(ISNA(sum(filter(
Master_Mapping_Sheet!$E$2:$E$3143, ISNUMBER(
Master_Mapping_Sheet!$E$2:$E$3143),
Master_Mapping_Sheet!$C$2:$C$3143=AJ$1,
Master_Mapping_Sheet!$H$2:$H$3143=$A13))/sum(filter(
Master_Mapping_Sheet!$E$2:$E$3143, ISNUMBER(
Master_Mapping_S"&amp;"heet!$E$2:$E$3143),
Master_Mapping_Sheet!$C$2:$C$3143=AJ$1))), 0, sum(filter(
Master_Mapping_Sheet!$E$2:$E$3143, ISNUMBER(
Master_Mapping_Sheet!$E$2:$E$3143),
Master_Mapping_Sheet!$C$2:$C$3143=AJ$1,
Master_Mapping_Sheet!$H$2:$H$3143=$A13))/sum(filter(
Mas"&amp;"ter_Mapping_Sheet!$E$2:$E$3143, ISNUMBER(
Master_Mapping_Sheet!$E$2:$E$3143),
Master_Mapping_Sheet!$C$2:$C$3143=AJ$1)))"),0.0)</f>
        <v>0</v>
      </c>
      <c r="AK13" s="34">
        <f>IFERROR(__xludf.DUMMYFUNCTION("IF(ISNA(sum(filter(
Master_Mapping_Sheet!$E$2:$E$3143, ISNUMBER(
Master_Mapping_Sheet!$E$2:$E$3143),
Master_Mapping_Sheet!$C$2:$C$3143=AK$1,
Master_Mapping_Sheet!$H$2:$H$3143=$A13))/sum(filter(
Master_Mapping_Sheet!$E$2:$E$3143, ISNUMBER(
Master_Mapping_S"&amp;"heet!$E$2:$E$3143),
Master_Mapping_Sheet!$C$2:$C$3143=AK$1))), 0, sum(filter(
Master_Mapping_Sheet!$E$2:$E$3143, ISNUMBER(
Master_Mapping_Sheet!$E$2:$E$3143),
Master_Mapping_Sheet!$C$2:$C$3143=AK$1,
Master_Mapping_Sheet!$H$2:$H$3143=$A13))/sum(filter(
Mas"&amp;"ter_Mapping_Sheet!$E$2:$E$3143, ISNUMBER(
Master_Mapping_Sheet!$E$2:$E$3143),
Master_Mapping_Sheet!$C$2:$C$3143=AK$1)))"),0.0)</f>
        <v>0</v>
      </c>
      <c r="AL13" s="34">
        <f>IFERROR(__xludf.DUMMYFUNCTION("IF(ISNA(sum(filter(
Master_Mapping_Sheet!$E$2:$E$3143, ISNUMBER(
Master_Mapping_Sheet!$E$2:$E$3143),
Master_Mapping_Sheet!$C$2:$C$3143=AL$1,
Master_Mapping_Sheet!$H$2:$H$3143=$A13))/sum(filter(
Master_Mapping_Sheet!$E$2:$E$3143, ISNUMBER(
Master_Mapping_S"&amp;"heet!$E$2:$E$3143),
Master_Mapping_Sheet!$C$2:$C$3143=AL$1))), 0, sum(filter(
Master_Mapping_Sheet!$E$2:$E$3143, ISNUMBER(
Master_Mapping_Sheet!$E$2:$E$3143),
Master_Mapping_Sheet!$C$2:$C$3143=AL$1,
Master_Mapping_Sheet!$H$2:$H$3143=$A13))/sum(filter(
Mas"&amp;"ter_Mapping_Sheet!$E$2:$E$3143, ISNUMBER(
Master_Mapping_Sheet!$E$2:$E$3143),
Master_Mapping_Sheet!$C$2:$C$3143=AL$1)))"),0.0)</f>
        <v>0</v>
      </c>
      <c r="AM13" s="34">
        <f>IFERROR(__xludf.DUMMYFUNCTION("IF(ISNA(sum(filter(
Master_Mapping_Sheet!$E$2:$E$3143, ISNUMBER(
Master_Mapping_Sheet!$E$2:$E$3143),
Master_Mapping_Sheet!$C$2:$C$3143=AM$1,
Master_Mapping_Sheet!$H$2:$H$3143=$A13))/sum(filter(
Master_Mapping_Sheet!$E$2:$E$3143, ISNUMBER(
Master_Mapping_S"&amp;"heet!$E$2:$E$3143),
Master_Mapping_Sheet!$C$2:$C$3143=AM$1))), 0, sum(filter(
Master_Mapping_Sheet!$E$2:$E$3143, ISNUMBER(
Master_Mapping_Sheet!$E$2:$E$3143),
Master_Mapping_Sheet!$C$2:$C$3143=AM$1,
Master_Mapping_Sheet!$H$2:$H$3143=$A13))/sum(filter(
Mas"&amp;"ter_Mapping_Sheet!$E$2:$E$3143, ISNUMBER(
Master_Mapping_Sheet!$E$2:$E$3143),
Master_Mapping_Sheet!$C$2:$C$3143=AM$1)))"),0.0)</f>
        <v>0</v>
      </c>
      <c r="AN13" s="34">
        <f>IFERROR(__xludf.DUMMYFUNCTION("IF(ISNA(sum(filter(
Master_Mapping_Sheet!$E$2:$E$3143, ISNUMBER(
Master_Mapping_Sheet!$E$2:$E$3143),
Master_Mapping_Sheet!$C$2:$C$3143=AN$1,
Master_Mapping_Sheet!$H$2:$H$3143=$A13))/sum(filter(
Master_Mapping_Sheet!$E$2:$E$3143, ISNUMBER(
Master_Mapping_S"&amp;"heet!$E$2:$E$3143),
Master_Mapping_Sheet!$C$2:$C$3143=AN$1))), 0, sum(filter(
Master_Mapping_Sheet!$E$2:$E$3143, ISNUMBER(
Master_Mapping_Sheet!$E$2:$E$3143),
Master_Mapping_Sheet!$C$2:$C$3143=AN$1,
Master_Mapping_Sheet!$H$2:$H$3143=$A13))/sum(filter(
Mas"&amp;"ter_Mapping_Sheet!$E$2:$E$3143, ISNUMBER(
Master_Mapping_Sheet!$E$2:$E$3143),
Master_Mapping_Sheet!$C$2:$C$3143=AN$1)))"),0.0)</f>
        <v>0</v>
      </c>
      <c r="AO13" s="34">
        <f>IFERROR(__xludf.DUMMYFUNCTION("IF(ISNA(sum(filter(
Master_Mapping_Sheet!$E$2:$E$3143, ISNUMBER(
Master_Mapping_Sheet!$E$2:$E$3143),
Master_Mapping_Sheet!$C$2:$C$3143=AO$1,
Master_Mapping_Sheet!$H$2:$H$3143=$A13))/sum(filter(
Master_Mapping_Sheet!$E$2:$E$3143, ISNUMBER(
Master_Mapping_S"&amp;"heet!$E$2:$E$3143),
Master_Mapping_Sheet!$C$2:$C$3143=AO$1))), 0, sum(filter(
Master_Mapping_Sheet!$E$2:$E$3143, ISNUMBER(
Master_Mapping_Sheet!$E$2:$E$3143),
Master_Mapping_Sheet!$C$2:$C$3143=AO$1,
Master_Mapping_Sheet!$H$2:$H$3143=$A13))/sum(filter(
Mas"&amp;"ter_Mapping_Sheet!$E$2:$E$3143, ISNUMBER(
Master_Mapping_Sheet!$E$2:$E$3143),
Master_Mapping_Sheet!$C$2:$C$3143=AO$1)))"),0.0)</f>
        <v>0</v>
      </c>
      <c r="AP13" s="34">
        <f>IFERROR(__xludf.DUMMYFUNCTION("IF(ISNA(sum(filter(
Master_Mapping_Sheet!$E$2:$E$3143, ISNUMBER(
Master_Mapping_Sheet!$E$2:$E$3143),
Master_Mapping_Sheet!$C$2:$C$3143=AP$1,
Master_Mapping_Sheet!$H$2:$H$3143=$A13))/sum(filter(
Master_Mapping_Sheet!$E$2:$E$3143, ISNUMBER(
Master_Mapping_S"&amp;"heet!$E$2:$E$3143),
Master_Mapping_Sheet!$C$2:$C$3143=AP$1))), 0, sum(filter(
Master_Mapping_Sheet!$E$2:$E$3143, ISNUMBER(
Master_Mapping_Sheet!$E$2:$E$3143),
Master_Mapping_Sheet!$C$2:$C$3143=AP$1,
Master_Mapping_Sheet!$H$2:$H$3143=$A13))/sum(filter(
Mas"&amp;"ter_Mapping_Sheet!$E$2:$E$3143, ISNUMBER(
Master_Mapping_Sheet!$E$2:$E$3143),
Master_Mapping_Sheet!$C$2:$C$3143=AP$1)))"),0.0)</f>
        <v>0</v>
      </c>
      <c r="AQ13" s="34">
        <f>IFERROR(__xludf.DUMMYFUNCTION("IF(ISNA(sum(filter(
Master_Mapping_Sheet!$E$2:$E$3143, ISNUMBER(
Master_Mapping_Sheet!$E$2:$E$3143),
Master_Mapping_Sheet!$C$2:$C$3143=AQ$1,
Master_Mapping_Sheet!$H$2:$H$3143=$A13))/sum(filter(
Master_Mapping_Sheet!$E$2:$E$3143, ISNUMBER(
Master_Mapping_S"&amp;"heet!$E$2:$E$3143),
Master_Mapping_Sheet!$C$2:$C$3143=AQ$1))), 0, sum(filter(
Master_Mapping_Sheet!$E$2:$E$3143, ISNUMBER(
Master_Mapping_Sheet!$E$2:$E$3143),
Master_Mapping_Sheet!$C$2:$C$3143=AQ$1,
Master_Mapping_Sheet!$H$2:$H$3143=$A13))/sum(filter(
Mas"&amp;"ter_Mapping_Sheet!$E$2:$E$3143, ISNUMBER(
Master_Mapping_Sheet!$E$2:$E$3143),
Master_Mapping_Sheet!$C$2:$C$3143=AQ$1)))"),0.0)</f>
        <v>0</v>
      </c>
      <c r="AR13" s="34">
        <f>IFERROR(__xludf.DUMMYFUNCTION("IF(ISNA(sum(filter(
Master_Mapping_Sheet!$E$2:$E$3143, ISNUMBER(
Master_Mapping_Sheet!$E$2:$E$3143),
Master_Mapping_Sheet!$C$2:$C$3143=AR$1,
Master_Mapping_Sheet!$H$2:$H$3143=$A13))/sum(filter(
Master_Mapping_Sheet!$E$2:$E$3143, ISNUMBER(
Master_Mapping_S"&amp;"heet!$E$2:$E$3143),
Master_Mapping_Sheet!$C$2:$C$3143=AR$1))), 0, sum(filter(
Master_Mapping_Sheet!$E$2:$E$3143, ISNUMBER(
Master_Mapping_Sheet!$E$2:$E$3143),
Master_Mapping_Sheet!$C$2:$C$3143=AR$1,
Master_Mapping_Sheet!$H$2:$H$3143=$A13))/sum(filter(
Mas"&amp;"ter_Mapping_Sheet!$E$2:$E$3143, ISNUMBER(
Master_Mapping_Sheet!$E$2:$E$3143),
Master_Mapping_Sheet!$C$2:$C$3143=AR$1)))"),0.0)</f>
        <v>0</v>
      </c>
      <c r="AS13" s="34">
        <f>IFERROR(__xludf.DUMMYFUNCTION("IF(ISNA(sum(filter(
Master_Mapping_Sheet!$E$2:$E$3143, ISNUMBER(
Master_Mapping_Sheet!$E$2:$E$3143),
Master_Mapping_Sheet!$C$2:$C$3143=AS$1,
Master_Mapping_Sheet!$H$2:$H$3143=$A13))/sum(filter(
Master_Mapping_Sheet!$E$2:$E$3143, ISNUMBER(
Master_Mapping_S"&amp;"heet!$E$2:$E$3143),
Master_Mapping_Sheet!$C$2:$C$3143=AS$1))), 0, sum(filter(
Master_Mapping_Sheet!$E$2:$E$3143, ISNUMBER(
Master_Mapping_Sheet!$E$2:$E$3143),
Master_Mapping_Sheet!$C$2:$C$3143=AS$1,
Master_Mapping_Sheet!$H$2:$H$3143=$A13))/sum(filter(
Mas"&amp;"ter_Mapping_Sheet!$E$2:$E$3143, ISNUMBER(
Master_Mapping_Sheet!$E$2:$E$3143),
Master_Mapping_Sheet!$C$2:$C$3143=AS$1)))"),0.0)</f>
        <v>0</v>
      </c>
      <c r="AT13" s="34">
        <f>IFERROR(__xludf.DUMMYFUNCTION("IF(ISNA(sum(filter(
Master_Mapping_Sheet!$E$2:$E$3143, ISNUMBER(
Master_Mapping_Sheet!$E$2:$E$3143),
Master_Mapping_Sheet!$C$2:$C$3143=AT$1,
Master_Mapping_Sheet!$H$2:$H$3143=$A13))/sum(filter(
Master_Mapping_Sheet!$E$2:$E$3143, ISNUMBER(
Master_Mapping_S"&amp;"heet!$E$2:$E$3143),
Master_Mapping_Sheet!$C$2:$C$3143=AT$1))), 0, sum(filter(
Master_Mapping_Sheet!$E$2:$E$3143, ISNUMBER(
Master_Mapping_Sheet!$E$2:$E$3143),
Master_Mapping_Sheet!$C$2:$C$3143=AT$1,
Master_Mapping_Sheet!$H$2:$H$3143=$A13))/sum(filter(
Mas"&amp;"ter_Mapping_Sheet!$E$2:$E$3143, ISNUMBER(
Master_Mapping_Sheet!$E$2:$E$3143),
Master_Mapping_Sheet!$C$2:$C$3143=AT$1)))"),0.0)</f>
        <v>0</v>
      </c>
      <c r="AU13" s="34">
        <f>IFERROR(__xludf.DUMMYFUNCTION("IF(ISNA(sum(filter(
Master_Mapping_Sheet!$E$2:$E$3143, ISNUMBER(
Master_Mapping_Sheet!$E$2:$E$3143),
Master_Mapping_Sheet!$C$2:$C$3143=AU$1,
Master_Mapping_Sheet!$H$2:$H$3143=$A13))/sum(filter(
Master_Mapping_Sheet!$E$2:$E$3143, ISNUMBER(
Master_Mapping_S"&amp;"heet!$E$2:$E$3143),
Master_Mapping_Sheet!$C$2:$C$3143=AU$1))), 0, sum(filter(
Master_Mapping_Sheet!$E$2:$E$3143, ISNUMBER(
Master_Mapping_Sheet!$E$2:$E$3143),
Master_Mapping_Sheet!$C$2:$C$3143=AU$1,
Master_Mapping_Sheet!$H$2:$H$3143=$A13))/sum(filter(
Mas"&amp;"ter_Mapping_Sheet!$E$2:$E$3143, ISNUMBER(
Master_Mapping_Sheet!$E$2:$E$3143),
Master_Mapping_Sheet!$C$2:$C$3143=AU$1)))"),0.0)</f>
        <v>0</v>
      </c>
      <c r="AV13" s="34">
        <f>IFERROR(__xludf.DUMMYFUNCTION("IF(ISNA(sum(filter(
Master_Mapping_Sheet!$E$2:$E$3143, ISNUMBER(
Master_Mapping_Sheet!$E$2:$E$3143),
Master_Mapping_Sheet!$C$2:$C$3143=AV$1,
Master_Mapping_Sheet!$H$2:$H$3143=$A13))/sum(filter(
Master_Mapping_Sheet!$E$2:$E$3143, ISNUMBER(
Master_Mapping_S"&amp;"heet!$E$2:$E$3143),
Master_Mapping_Sheet!$C$2:$C$3143=AV$1))), 0, sum(filter(
Master_Mapping_Sheet!$E$2:$E$3143, ISNUMBER(
Master_Mapping_Sheet!$E$2:$E$3143),
Master_Mapping_Sheet!$C$2:$C$3143=AV$1,
Master_Mapping_Sheet!$H$2:$H$3143=$A13))/sum(filter(
Mas"&amp;"ter_Mapping_Sheet!$E$2:$E$3143, ISNUMBER(
Master_Mapping_Sheet!$E$2:$E$3143),
Master_Mapping_Sheet!$C$2:$C$3143=AV$1)))"),0.0)</f>
        <v>0</v>
      </c>
      <c r="AW13" s="34">
        <f>IFERROR(__xludf.DUMMYFUNCTION("IF(ISNA(sum(filter(
Master_Mapping_Sheet!$E$2:$E$3143, ISNUMBER(
Master_Mapping_Sheet!$E$2:$E$3143),
Master_Mapping_Sheet!$C$2:$C$3143=AW$1,
Master_Mapping_Sheet!$H$2:$H$3143=$A13))/sum(filter(
Master_Mapping_Sheet!$E$2:$E$3143, ISNUMBER(
Master_Mapping_S"&amp;"heet!$E$2:$E$3143),
Master_Mapping_Sheet!$C$2:$C$3143=AW$1))), 0, sum(filter(
Master_Mapping_Sheet!$E$2:$E$3143, ISNUMBER(
Master_Mapping_Sheet!$E$2:$E$3143),
Master_Mapping_Sheet!$C$2:$C$3143=AW$1,
Master_Mapping_Sheet!$H$2:$H$3143=$A13))/sum(filter(
Mas"&amp;"ter_Mapping_Sheet!$E$2:$E$3143, ISNUMBER(
Master_Mapping_Sheet!$E$2:$E$3143),
Master_Mapping_Sheet!$C$2:$C$3143=AW$1)))"),0.0)</f>
        <v>0</v>
      </c>
      <c r="AX13" s="34">
        <f>IFERROR(__xludf.DUMMYFUNCTION("IF(ISNA(sum(filter(
Master_Mapping_Sheet!$E$2:$E$3143, ISNUMBER(
Master_Mapping_Sheet!$E$2:$E$3143),
Master_Mapping_Sheet!$C$2:$C$3143=AX$1,
Master_Mapping_Sheet!$H$2:$H$3143=$A13))/sum(filter(
Master_Mapping_Sheet!$E$2:$E$3143, ISNUMBER(
Master_Mapping_S"&amp;"heet!$E$2:$E$3143),
Master_Mapping_Sheet!$C$2:$C$3143=AX$1))), 0, sum(filter(
Master_Mapping_Sheet!$E$2:$E$3143, ISNUMBER(
Master_Mapping_Sheet!$E$2:$E$3143),
Master_Mapping_Sheet!$C$2:$C$3143=AX$1,
Master_Mapping_Sheet!$H$2:$H$3143=$A13))/sum(filter(
Mas"&amp;"ter_Mapping_Sheet!$E$2:$E$3143, ISNUMBER(
Master_Mapping_Sheet!$E$2:$E$3143),
Master_Mapping_Sheet!$C$2:$C$3143=AX$1)))"),0.0)</f>
        <v>0</v>
      </c>
      <c r="AY13" s="34">
        <f>IFERROR(__xludf.DUMMYFUNCTION("IF(ISNA(sum(filter(
Master_Mapping_Sheet!$E$2:$E$3143, ISNUMBER(
Master_Mapping_Sheet!$E$2:$E$3143),
Master_Mapping_Sheet!$C$2:$C$3143=AY$1,
Master_Mapping_Sheet!$H$2:$H$3143=$A13))/sum(filter(
Master_Mapping_Sheet!$E$2:$E$3143, ISNUMBER(
Master_Mapping_S"&amp;"heet!$E$2:$E$3143),
Master_Mapping_Sheet!$C$2:$C$3143=AY$1))), 0, sum(filter(
Master_Mapping_Sheet!$E$2:$E$3143, ISNUMBER(
Master_Mapping_Sheet!$E$2:$E$3143),
Master_Mapping_Sheet!$C$2:$C$3143=AY$1,
Master_Mapping_Sheet!$H$2:$H$3143=$A13))/sum(filter(
Mas"&amp;"ter_Mapping_Sheet!$E$2:$E$3143, ISNUMBER(
Master_Mapping_Sheet!$E$2:$E$3143),
Master_Mapping_Sheet!$C$2:$C$3143=AY$1)))"),0.0)</f>
        <v>0</v>
      </c>
      <c r="AZ13" s="34">
        <f>IFERROR(__xludf.DUMMYFUNCTION("IF(ISNA(sum(filter(
Master_Mapping_Sheet!$E$2:$E$3143, ISNUMBER(
Master_Mapping_Sheet!$E$2:$E$3143),
Master_Mapping_Sheet!$C$2:$C$3143=AZ$1,
Master_Mapping_Sheet!$H$2:$H$3143=$A13))/sum(filter(
Master_Mapping_Sheet!$E$2:$E$3143, ISNUMBER(
Master_Mapping_S"&amp;"heet!$E$2:$E$3143),
Master_Mapping_Sheet!$C$2:$C$3143=AZ$1))), 0, sum(filter(
Master_Mapping_Sheet!$E$2:$E$3143, ISNUMBER(
Master_Mapping_Sheet!$E$2:$E$3143),
Master_Mapping_Sheet!$C$2:$C$3143=AZ$1,
Master_Mapping_Sheet!$H$2:$H$3143=$A13))/sum(filter(
Mas"&amp;"ter_Mapping_Sheet!$E$2:$E$3143, ISNUMBER(
Master_Mapping_Sheet!$E$2:$E$3143),
Master_Mapping_Sheet!$C$2:$C$3143=AZ$1)))"),0.0)</f>
        <v>0</v>
      </c>
    </row>
    <row r="14" ht="15.75" customHeight="1">
      <c r="A14" s="34" t="s">
        <v>3988</v>
      </c>
      <c r="B14" s="34">
        <f>IFERROR(__xludf.DUMMYFUNCTION("IF(ISNA(sum(filter(
Master_Mapping_Sheet!$E$2:$E$3143, ISNUMBER(
Master_Mapping_Sheet!$E$2:$E$3143),
Master_Mapping_Sheet!$C$2:$C$3143=B$1,
Master_Mapping_Sheet!$H$2:$H$3143=$A14))/sum(filter(
Master_Mapping_Sheet!$E$2:$E$3143, ISNUMBER(
Master_Mapping_Sh"&amp;"eet!$E$2:$E$3143),
Master_Mapping_Sheet!$C$2:$C$3143=B$1))), 0, sum(filter(
Master_Mapping_Sheet!$E$2:$E$3143, ISNUMBER(
Master_Mapping_Sheet!$E$2:$E$3143),
Master_Mapping_Sheet!$C$2:$C$3143=B$1,
Master_Mapping_Sheet!$H$2:$H$3143=$A14))/sum(filter(
Master"&amp;"_Mapping_Sheet!$E$2:$E$3143, ISNUMBER(
Master_Mapping_Sheet!$E$2:$E$3143),
Master_Mapping_Sheet!$C$2:$C$3143=B$1)))"),0.0)</f>
        <v>0</v>
      </c>
      <c r="C14" s="34">
        <f>IFERROR(__xludf.DUMMYFUNCTION("IF(ISNA(sum(filter(
Master_Mapping_Sheet!$E$2:$E$3143, ISNUMBER(
Master_Mapping_Sheet!$E$2:$E$3143),
Master_Mapping_Sheet!$C$2:$C$3143=C$1,
Master_Mapping_Sheet!$H$2:$H$3143=$A14))/sum(filter(
Master_Mapping_Sheet!$E$2:$E$3143, ISNUMBER(
Master_Mapping_Sh"&amp;"eet!$E$2:$E$3143),
Master_Mapping_Sheet!$C$2:$C$3143=C$1))), 0, sum(filter(
Master_Mapping_Sheet!$E$2:$E$3143, ISNUMBER(
Master_Mapping_Sheet!$E$2:$E$3143),
Master_Mapping_Sheet!$C$2:$C$3143=C$1,
Master_Mapping_Sheet!$H$2:$H$3143=$A14))/sum(filter(
Master"&amp;"_Mapping_Sheet!$E$2:$E$3143, ISNUMBER(
Master_Mapping_Sheet!$E$2:$E$3143),
Master_Mapping_Sheet!$C$2:$C$3143=C$1)))"),0.0)</f>
        <v>0</v>
      </c>
      <c r="D14" s="34">
        <f>IFERROR(__xludf.DUMMYFUNCTION("IF(ISNA(sum(filter(
Master_Mapping_Sheet!$E$2:$E$3143, ISNUMBER(
Master_Mapping_Sheet!$E$2:$E$3143),
Master_Mapping_Sheet!$C$2:$C$3143=D$1,
Master_Mapping_Sheet!$H$2:$H$3143=$A14))/sum(filter(
Master_Mapping_Sheet!$E$2:$E$3143, ISNUMBER(
Master_Mapping_Sh"&amp;"eet!$E$2:$E$3143),
Master_Mapping_Sheet!$C$2:$C$3143=D$1))), 0, sum(filter(
Master_Mapping_Sheet!$E$2:$E$3143, ISNUMBER(
Master_Mapping_Sheet!$E$2:$E$3143),
Master_Mapping_Sheet!$C$2:$C$3143=D$1,
Master_Mapping_Sheet!$H$2:$H$3143=$A14))/sum(filter(
Master"&amp;"_Mapping_Sheet!$E$2:$E$3143, ISNUMBER(
Master_Mapping_Sheet!$E$2:$E$3143),
Master_Mapping_Sheet!$C$2:$C$3143=D$1)))"),0.0)</f>
        <v>0</v>
      </c>
      <c r="E14" s="34">
        <f>IFERROR(__xludf.DUMMYFUNCTION("IF(ISNA(sum(filter(
Master_Mapping_Sheet!$E$2:$E$3143, ISNUMBER(
Master_Mapping_Sheet!$E$2:$E$3143),
Master_Mapping_Sheet!$C$2:$C$3143=E$1,
Master_Mapping_Sheet!$H$2:$H$3143=$A14))/sum(filter(
Master_Mapping_Sheet!$E$2:$E$3143, ISNUMBER(
Master_Mapping_Sh"&amp;"eet!$E$2:$E$3143),
Master_Mapping_Sheet!$C$2:$C$3143=E$1))), 0, sum(filter(
Master_Mapping_Sheet!$E$2:$E$3143, ISNUMBER(
Master_Mapping_Sheet!$E$2:$E$3143),
Master_Mapping_Sheet!$C$2:$C$3143=E$1,
Master_Mapping_Sheet!$H$2:$H$3143=$A14))/sum(filter(
Master"&amp;"_Mapping_Sheet!$E$2:$E$3143, ISNUMBER(
Master_Mapping_Sheet!$E$2:$E$3143),
Master_Mapping_Sheet!$C$2:$C$3143=E$1)))"),0.0)</f>
        <v>0</v>
      </c>
      <c r="F14" s="34">
        <f>IFERROR(__xludf.DUMMYFUNCTION("IF(ISNA(sum(filter(
Master_Mapping_Sheet!$E$2:$E$3143, ISNUMBER(
Master_Mapping_Sheet!$E$2:$E$3143),
Master_Mapping_Sheet!$C$2:$C$3143=F$1,
Master_Mapping_Sheet!$H$2:$H$3143=$A14))/sum(filter(
Master_Mapping_Sheet!$E$2:$E$3143, ISNUMBER(
Master_Mapping_Sh"&amp;"eet!$E$2:$E$3143),
Master_Mapping_Sheet!$C$2:$C$3143=F$1))), 0, sum(filter(
Master_Mapping_Sheet!$E$2:$E$3143, ISNUMBER(
Master_Mapping_Sheet!$E$2:$E$3143),
Master_Mapping_Sheet!$C$2:$C$3143=F$1,
Master_Mapping_Sheet!$H$2:$H$3143=$A14))/sum(filter(
Master"&amp;"_Mapping_Sheet!$E$2:$E$3143, ISNUMBER(
Master_Mapping_Sheet!$E$2:$E$3143),
Master_Mapping_Sheet!$C$2:$C$3143=F$1)))"),0.0)</f>
        <v>0</v>
      </c>
      <c r="G14" s="34">
        <f>IFERROR(__xludf.DUMMYFUNCTION("IF(ISNA(sum(filter(
Master_Mapping_Sheet!$E$2:$E$3143, ISNUMBER(
Master_Mapping_Sheet!$E$2:$E$3143),
Master_Mapping_Sheet!$C$2:$C$3143=G$1,
Master_Mapping_Sheet!$H$2:$H$3143=$A14))/sum(filter(
Master_Mapping_Sheet!$E$2:$E$3143, ISNUMBER(
Master_Mapping_Sh"&amp;"eet!$E$2:$E$3143),
Master_Mapping_Sheet!$C$2:$C$3143=G$1))), 0, sum(filter(
Master_Mapping_Sheet!$E$2:$E$3143, ISNUMBER(
Master_Mapping_Sheet!$E$2:$E$3143),
Master_Mapping_Sheet!$C$2:$C$3143=G$1,
Master_Mapping_Sheet!$H$2:$H$3143=$A14))/sum(filter(
Master"&amp;"_Mapping_Sheet!$E$2:$E$3143, ISNUMBER(
Master_Mapping_Sheet!$E$2:$E$3143),
Master_Mapping_Sheet!$C$2:$C$3143=G$1)))"),0.0)</f>
        <v>0</v>
      </c>
      <c r="H14" s="34">
        <f>IFERROR(__xludf.DUMMYFUNCTION("IF(ISNA(sum(filter(
Master_Mapping_Sheet!$E$2:$E$3143, ISNUMBER(
Master_Mapping_Sheet!$E$2:$E$3143),
Master_Mapping_Sheet!$C$2:$C$3143=H$1,
Master_Mapping_Sheet!$H$2:$H$3143=$A14))/sum(filter(
Master_Mapping_Sheet!$E$2:$E$3143, ISNUMBER(
Master_Mapping_Sh"&amp;"eet!$E$2:$E$3143),
Master_Mapping_Sheet!$C$2:$C$3143=H$1))), 0, sum(filter(
Master_Mapping_Sheet!$E$2:$E$3143, ISNUMBER(
Master_Mapping_Sheet!$E$2:$E$3143),
Master_Mapping_Sheet!$C$2:$C$3143=H$1,
Master_Mapping_Sheet!$H$2:$H$3143=$A14))/sum(filter(
Master"&amp;"_Mapping_Sheet!$E$2:$E$3143, ISNUMBER(
Master_Mapping_Sheet!$E$2:$E$3143),
Master_Mapping_Sheet!$C$2:$C$3143=H$1)))"),0.0)</f>
        <v>0</v>
      </c>
      <c r="I14" s="34">
        <f>IFERROR(__xludf.DUMMYFUNCTION("IF(ISNA(sum(filter(
Master_Mapping_Sheet!$E$2:$E$3143, ISNUMBER(
Master_Mapping_Sheet!$E$2:$E$3143),
Master_Mapping_Sheet!$C$2:$C$3143=I$1,
Master_Mapping_Sheet!$H$2:$H$3143=$A14))/sum(filter(
Master_Mapping_Sheet!$E$2:$E$3143, ISNUMBER(
Master_Mapping_Sh"&amp;"eet!$E$2:$E$3143),
Master_Mapping_Sheet!$C$2:$C$3143=I$1))), 0, sum(filter(
Master_Mapping_Sheet!$E$2:$E$3143, ISNUMBER(
Master_Mapping_Sheet!$E$2:$E$3143),
Master_Mapping_Sheet!$C$2:$C$3143=I$1,
Master_Mapping_Sheet!$H$2:$H$3143=$A14))/sum(filter(
Master"&amp;"_Mapping_Sheet!$E$2:$E$3143, ISNUMBER(
Master_Mapping_Sheet!$E$2:$E$3143),
Master_Mapping_Sheet!$C$2:$C$3143=I$1)))"),0.0)</f>
        <v>0</v>
      </c>
      <c r="J14" s="34">
        <f>IFERROR(__xludf.DUMMYFUNCTION("IF(ISNA(sum(filter(
Master_Mapping_Sheet!$E$2:$E$3143, ISNUMBER(
Master_Mapping_Sheet!$E$2:$E$3143),
Master_Mapping_Sheet!$C$2:$C$3143=J$1,
Master_Mapping_Sheet!$H$2:$H$3143=$A14))/sum(filter(
Master_Mapping_Sheet!$E$2:$E$3143, ISNUMBER(
Master_Mapping_Sh"&amp;"eet!$E$2:$E$3143),
Master_Mapping_Sheet!$C$2:$C$3143=J$1))), 0, sum(filter(
Master_Mapping_Sheet!$E$2:$E$3143, ISNUMBER(
Master_Mapping_Sheet!$E$2:$E$3143),
Master_Mapping_Sheet!$C$2:$C$3143=J$1,
Master_Mapping_Sheet!$H$2:$H$3143=$A14))/sum(filter(
Master"&amp;"_Mapping_Sheet!$E$2:$E$3143, ISNUMBER(
Master_Mapping_Sheet!$E$2:$E$3143),
Master_Mapping_Sheet!$C$2:$C$3143=J$1)))"),1.0)</f>
        <v>1</v>
      </c>
      <c r="K14" s="34">
        <f>IFERROR(__xludf.DUMMYFUNCTION("IF(ISNA(sum(filter(
Master_Mapping_Sheet!$E$2:$E$3143, ISNUMBER(
Master_Mapping_Sheet!$E$2:$E$3143),
Master_Mapping_Sheet!$C$2:$C$3143=K$1,
Master_Mapping_Sheet!$H$2:$H$3143=$A14))/sum(filter(
Master_Mapping_Sheet!$E$2:$E$3143, ISNUMBER(
Master_Mapping_Sh"&amp;"eet!$E$2:$E$3143),
Master_Mapping_Sheet!$C$2:$C$3143=K$1))), 0, sum(filter(
Master_Mapping_Sheet!$E$2:$E$3143, ISNUMBER(
Master_Mapping_Sheet!$E$2:$E$3143),
Master_Mapping_Sheet!$C$2:$C$3143=K$1,
Master_Mapping_Sheet!$H$2:$H$3143=$A14))/sum(filter(
Master"&amp;"_Mapping_Sheet!$E$2:$E$3143, ISNUMBER(
Master_Mapping_Sheet!$E$2:$E$3143),
Master_Mapping_Sheet!$C$2:$C$3143=K$1)))"),0.0)</f>
        <v>0</v>
      </c>
      <c r="L14" s="34">
        <f>IFERROR(__xludf.DUMMYFUNCTION("IF(ISNA(sum(filter(
Master_Mapping_Sheet!$E$2:$E$3143, ISNUMBER(
Master_Mapping_Sheet!$E$2:$E$3143),
Master_Mapping_Sheet!$C$2:$C$3143=L$1,
Master_Mapping_Sheet!$H$2:$H$3143=$A14))/sum(filter(
Master_Mapping_Sheet!$E$2:$E$3143, ISNUMBER(
Master_Mapping_Sh"&amp;"eet!$E$2:$E$3143),
Master_Mapping_Sheet!$C$2:$C$3143=L$1))), 0, sum(filter(
Master_Mapping_Sheet!$E$2:$E$3143, ISNUMBER(
Master_Mapping_Sheet!$E$2:$E$3143),
Master_Mapping_Sheet!$C$2:$C$3143=L$1,
Master_Mapping_Sheet!$H$2:$H$3143=$A14))/sum(filter(
Master"&amp;"_Mapping_Sheet!$E$2:$E$3143, ISNUMBER(
Master_Mapping_Sheet!$E$2:$E$3143),
Master_Mapping_Sheet!$C$2:$C$3143=L$1)))"),0.0)</f>
        <v>0</v>
      </c>
      <c r="M14" s="34">
        <f>IFERROR(__xludf.DUMMYFUNCTION("IF(ISNA(sum(filter(
Master_Mapping_Sheet!$E$2:$E$3143, ISNUMBER(
Master_Mapping_Sheet!$E$2:$E$3143),
Master_Mapping_Sheet!$C$2:$C$3143=M$1,
Master_Mapping_Sheet!$H$2:$H$3143=$A14))/sum(filter(
Master_Mapping_Sheet!$E$2:$E$3143, ISNUMBER(
Master_Mapping_Sh"&amp;"eet!$E$2:$E$3143),
Master_Mapping_Sheet!$C$2:$C$3143=M$1))), 0, sum(filter(
Master_Mapping_Sheet!$E$2:$E$3143, ISNUMBER(
Master_Mapping_Sheet!$E$2:$E$3143),
Master_Mapping_Sheet!$C$2:$C$3143=M$1,
Master_Mapping_Sheet!$H$2:$H$3143=$A14))/sum(filter(
Master"&amp;"_Mapping_Sheet!$E$2:$E$3143, ISNUMBER(
Master_Mapping_Sheet!$E$2:$E$3143),
Master_Mapping_Sheet!$C$2:$C$3143=M$1)))"),0.0)</f>
        <v>0</v>
      </c>
      <c r="N14" s="34">
        <f>IFERROR(__xludf.DUMMYFUNCTION("IF(ISNA(sum(filter(
Master_Mapping_Sheet!$E$2:$E$3143, ISNUMBER(
Master_Mapping_Sheet!$E$2:$E$3143),
Master_Mapping_Sheet!$C$2:$C$3143=N$1,
Master_Mapping_Sheet!$H$2:$H$3143=$A14))/sum(filter(
Master_Mapping_Sheet!$E$2:$E$3143, ISNUMBER(
Master_Mapping_Sh"&amp;"eet!$E$2:$E$3143),
Master_Mapping_Sheet!$C$2:$C$3143=N$1))), 0, sum(filter(
Master_Mapping_Sheet!$E$2:$E$3143, ISNUMBER(
Master_Mapping_Sheet!$E$2:$E$3143),
Master_Mapping_Sheet!$C$2:$C$3143=N$1,
Master_Mapping_Sheet!$H$2:$H$3143=$A14))/sum(filter(
Master"&amp;"_Mapping_Sheet!$E$2:$E$3143, ISNUMBER(
Master_Mapping_Sheet!$E$2:$E$3143),
Master_Mapping_Sheet!$C$2:$C$3143=N$1)))"),0.0)</f>
        <v>0</v>
      </c>
      <c r="O14" s="34">
        <f>IFERROR(__xludf.DUMMYFUNCTION("IF(ISNA(sum(filter(
Master_Mapping_Sheet!$E$2:$E$3143, ISNUMBER(
Master_Mapping_Sheet!$E$2:$E$3143),
Master_Mapping_Sheet!$C$2:$C$3143=O$1,
Master_Mapping_Sheet!$H$2:$H$3143=$A14))/sum(filter(
Master_Mapping_Sheet!$E$2:$E$3143, ISNUMBER(
Master_Mapping_Sh"&amp;"eet!$E$2:$E$3143),
Master_Mapping_Sheet!$C$2:$C$3143=O$1))), 0, sum(filter(
Master_Mapping_Sheet!$E$2:$E$3143, ISNUMBER(
Master_Mapping_Sheet!$E$2:$E$3143),
Master_Mapping_Sheet!$C$2:$C$3143=O$1,
Master_Mapping_Sheet!$H$2:$H$3143=$A14))/sum(filter(
Master"&amp;"_Mapping_Sheet!$E$2:$E$3143, ISNUMBER(
Master_Mapping_Sheet!$E$2:$E$3143),
Master_Mapping_Sheet!$C$2:$C$3143=O$1)))"),0.0)</f>
        <v>0</v>
      </c>
      <c r="P14" s="34">
        <f>IFERROR(__xludf.DUMMYFUNCTION("IF(ISNA(sum(filter(
Master_Mapping_Sheet!$E$2:$E$3143, ISNUMBER(
Master_Mapping_Sheet!$E$2:$E$3143),
Master_Mapping_Sheet!$C$2:$C$3143=P$1,
Master_Mapping_Sheet!$H$2:$H$3143=$A14))/sum(filter(
Master_Mapping_Sheet!$E$2:$E$3143, ISNUMBER(
Master_Mapping_Sh"&amp;"eet!$E$2:$E$3143),
Master_Mapping_Sheet!$C$2:$C$3143=P$1))), 0, sum(filter(
Master_Mapping_Sheet!$E$2:$E$3143, ISNUMBER(
Master_Mapping_Sheet!$E$2:$E$3143),
Master_Mapping_Sheet!$C$2:$C$3143=P$1,
Master_Mapping_Sheet!$H$2:$H$3143=$A14))/sum(filter(
Master"&amp;"_Mapping_Sheet!$E$2:$E$3143, ISNUMBER(
Master_Mapping_Sheet!$E$2:$E$3143),
Master_Mapping_Sheet!$C$2:$C$3143=P$1)))"),0.0)</f>
        <v>0</v>
      </c>
      <c r="Q14" s="34">
        <f>IFERROR(__xludf.DUMMYFUNCTION("IF(ISNA(sum(filter(
Master_Mapping_Sheet!$E$2:$E$3143, ISNUMBER(
Master_Mapping_Sheet!$E$2:$E$3143),
Master_Mapping_Sheet!$C$2:$C$3143=Q$1,
Master_Mapping_Sheet!$H$2:$H$3143=$A14))/sum(filter(
Master_Mapping_Sheet!$E$2:$E$3143, ISNUMBER(
Master_Mapping_Sh"&amp;"eet!$E$2:$E$3143),
Master_Mapping_Sheet!$C$2:$C$3143=Q$1))), 0, sum(filter(
Master_Mapping_Sheet!$E$2:$E$3143, ISNUMBER(
Master_Mapping_Sheet!$E$2:$E$3143),
Master_Mapping_Sheet!$C$2:$C$3143=Q$1,
Master_Mapping_Sheet!$H$2:$H$3143=$A14))/sum(filter(
Master"&amp;"_Mapping_Sheet!$E$2:$E$3143, ISNUMBER(
Master_Mapping_Sheet!$E$2:$E$3143),
Master_Mapping_Sheet!$C$2:$C$3143=Q$1)))"),0.0)</f>
        <v>0</v>
      </c>
      <c r="R14" s="34">
        <f>IFERROR(__xludf.DUMMYFUNCTION("IF(ISNA(sum(filter(
Master_Mapping_Sheet!$E$2:$E$3143, ISNUMBER(
Master_Mapping_Sheet!$E$2:$E$3143),
Master_Mapping_Sheet!$C$2:$C$3143=R$1,
Master_Mapping_Sheet!$H$2:$H$3143=$A14))/sum(filter(
Master_Mapping_Sheet!$E$2:$E$3143, ISNUMBER(
Master_Mapping_Sh"&amp;"eet!$E$2:$E$3143),
Master_Mapping_Sheet!$C$2:$C$3143=R$1))), 0, sum(filter(
Master_Mapping_Sheet!$E$2:$E$3143, ISNUMBER(
Master_Mapping_Sheet!$E$2:$E$3143),
Master_Mapping_Sheet!$C$2:$C$3143=R$1,
Master_Mapping_Sheet!$H$2:$H$3143=$A14))/sum(filter(
Master"&amp;"_Mapping_Sheet!$E$2:$E$3143, ISNUMBER(
Master_Mapping_Sheet!$E$2:$E$3143),
Master_Mapping_Sheet!$C$2:$C$3143=R$1)))"),0.0)</f>
        <v>0</v>
      </c>
      <c r="S14" s="34">
        <f>IFERROR(__xludf.DUMMYFUNCTION("IF(ISNA(sum(filter(
Master_Mapping_Sheet!$E$2:$E$3143, ISNUMBER(
Master_Mapping_Sheet!$E$2:$E$3143),
Master_Mapping_Sheet!$C$2:$C$3143=S$1,
Master_Mapping_Sheet!$H$2:$H$3143=$A14))/sum(filter(
Master_Mapping_Sheet!$E$2:$E$3143, ISNUMBER(
Master_Mapping_Sh"&amp;"eet!$E$2:$E$3143),
Master_Mapping_Sheet!$C$2:$C$3143=S$1))), 0, sum(filter(
Master_Mapping_Sheet!$E$2:$E$3143, ISNUMBER(
Master_Mapping_Sheet!$E$2:$E$3143),
Master_Mapping_Sheet!$C$2:$C$3143=S$1,
Master_Mapping_Sheet!$H$2:$H$3143=$A14))/sum(filter(
Master"&amp;"_Mapping_Sheet!$E$2:$E$3143, ISNUMBER(
Master_Mapping_Sheet!$E$2:$E$3143),
Master_Mapping_Sheet!$C$2:$C$3143=S$1)))"),0.0)</f>
        <v>0</v>
      </c>
      <c r="T14" s="34">
        <f>IFERROR(__xludf.DUMMYFUNCTION("IF(ISNA(sum(filter(
Master_Mapping_Sheet!$E$2:$E$3143, ISNUMBER(
Master_Mapping_Sheet!$E$2:$E$3143),
Master_Mapping_Sheet!$C$2:$C$3143=T$1,
Master_Mapping_Sheet!$H$2:$H$3143=$A14))/sum(filter(
Master_Mapping_Sheet!$E$2:$E$3143, ISNUMBER(
Master_Mapping_Sh"&amp;"eet!$E$2:$E$3143),
Master_Mapping_Sheet!$C$2:$C$3143=T$1))), 0, sum(filter(
Master_Mapping_Sheet!$E$2:$E$3143, ISNUMBER(
Master_Mapping_Sheet!$E$2:$E$3143),
Master_Mapping_Sheet!$C$2:$C$3143=T$1,
Master_Mapping_Sheet!$H$2:$H$3143=$A14))/sum(filter(
Master"&amp;"_Mapping_Sheet!$E$2:$E$3143, ISNUMBER(
Master_Mapping_Sheet!$E$2:$E$3143),
Master_Mapping_Sheet!$C$2:$C$3143=T$1)))"),0.0)</f>
        <v>0</v>
      </c>
      <c r="U14" s="34">
        <f>IFERROR(__xludf.DUMMYFUNCTION("IF(ISNA(sum(filter(
Master_Mapping_Sheet!$E$2:$E$3143, ISNUMBER(
Master_Mapping_Sheet!$E$2:$E$3143),
Master_Mapping_Sheet!$C$2:$C$3143=U$1,
Master_Mapping_Sheet!$H$2:$H$3143=$A14))/sum(filter(
Master_Mapping_Sheet!$E$2:$E$3143, ISNUMBER(
Master_Mapping_Sh"&amp;"eet!$E$2:$E$3143),
Master_Mapping_Sheet!$C$2:$C$3143=U$1))), 0, sum(filter(
Master_Mapping_Sheet!$E$2:$E$3143, ISNUMBER(
Master_Mapping_Sheet!$E$2:$E$3143),
Master_Mapping_Sheet!$C$2:$C$3143=U$1,
Master_Mapping_Sheet!$H$2:$H$3143=$A14))/sum(filter(
Master"&amp;"_Mapping_Sheet!$E$2:$E$3143, ISNUMBER(
Master_Mapping_Sheet!$E$2:$E$3143),
Master_Mapping_Sheet!$C$2:$C$3143=U$1)))"),0.0)</f>
        <v>0</v>
      </c>
      <c r="V14" s="34">
        <f>IFERROR(__xludf.DUMMYFUNCTION("IF(ISNA(sum(filter(
Master_Mapping_Sheet!$E$2:$E$3143, ISNUMBER(
Master_Mapping_Sheet!$E$2:$E$3143),
Master_Mapping_Sheet!$C$2:$C$3143=V$1,
Master_Mapping_Sheet!$H$2:$H$3143=$A14))/sum(filter(
Master_Mapping_Sheet!$E$2:$E$3143, ISNUMBER(
Master_Mapping_Sh"&amp;"eet!$E$2:$E$3143),
Master_Mapping_Sheet!$C$2:$C$3143=V$1))), 0, sum(filter(
Master_Mapping_Sheet!$E$2:$E$3143, ISNUMBER(
Master_Mapping_Sheet!$E$2:$E$3143),
Master_Mapping_Sheet!$C$2:$C$3143=V$1,
Master_Mapping_Sheet!$H$2:$H$3143=$A14))/sum(filter(
Master"&amp;"_Mapping_Sheet!$E$2:$E$3143, ISNUMBER(
Master_Mapping_Sheet!$E$2:$E$3143),
Master_Mapping_Sheet!$C$2:$C$3143=V$1)))"),0.0)</f>
        <v>0</v>
      </c>
      <c r="W14" s="34">
        <f>IFERROR(__xludf.DUMMYFUNCTION("IF(ISNA(sum(filter(
Master_Mapping_Sheet!$E$2:$E$3143, ISNUMBER(
Master_Mapping_Sheet!$E$2:$E$3143),
Master_Mapping_Sheet!$C$2:$C$3143=W$1,
Master_Mapping_Sheet!$H$2:$H$3143=$A14))/sum(filter(
Master_Mapping_Sheet!$E$2:$E$3143, ISNUMBER(
Master_Mapping_Sh"&amp;"eet!$E$2:$E$3143),
Master_Mapping_Sheet!$C$2:$C$3143=W$1))), 0, sum(filter(
Master_Mapping_Sheet!$E$2:$E$3143, ISNUMBER(
Master_Mapping_Sheet!$E$2:$E$3143),
Master_Mapping_Sheet!$C$2:$C$3143=W$1,
Master_Mapping_Sheet!$H$2:$H$3143=$A14))/sum(filter(
Master"&amp;"_Mapping_Sheet!$E$2:$E$3143, ISNUMBER(
Master_Mapping_Sheet!$E$2:$E$3143),
Master_Mapping_Sheet!$C$2:$C$3143=W$1)))"),0.0)</f>
        <v>0</v>
      </c>
      <c r="X14" s="34">
        <f>IFERROR(__xludf.DUMMYFUNCTION("IF(ISNA(sum(filter(
Master_Mapping_Sheet!$E$2:$E$3143, ISNUMBER(
Master_Mapping_Sheet!$E$2:$E$3143),
Master_Mapping_Sheet!$C$2:$C$3143=X$1,
Master_Mapping_Sheet!$H$2:$H$3143=$A14))/sum(filter(
Master_Mapping_Sheet!$E$2:$E$3143, ISNUMBER(
Master_Mapping_Sh"&amp;"eet!$E$2:$E$3143),
Master_Mapping_Sheet!$C$2:$C$3143=X$1))), 0, sum(filter(
Master_Mapping_Sheet!$E$2:$E$3143, ISNUMBER(
Master_Mapping_Sheet!$E$2:$E$3143),
Master_Mapping_Sheet!$C$2:$C$3143=X$1,
Master_Mapping_Sheet!$H$2:$H$3143=$A14))/sum(filter(
Master"&amp;"_Mapping_Sheet!$E$2:$E$3143, ISNUMBER(
Master_Mapping_Sheet!$E$2:$E$3143),
Master_Mapping_Sheet!$C$2:$C$3143=X$1)))"),0.0)</f>
        <v>0</v>
      </c>
      <c r="Y14" s="34">
        <f>IFERROR(__xludf.DUMMYFUNCTION("IF(ISNA(sum(filter(
Master_Mapping_Sheet!$E$2:$E$3143, ISNUMBER(
Master_Mapping_Sheet!$E$2:$E$3143),
Master_Mapping_Sheet!$C$2:$C$3143=Y$1,
Master_Mapping_Sheet!$H$2:$H$3143=$A14))/sum(filter(
Master_Mapping_Sheet!$E$2:$E$3143, ISNUMBER(
Master_Mapping_Sh"&amp;"eet!$E$2:$E$3143),
Master_Mapping_Sheet!$C$2:$C$3143=Y$1))), 0, sum(filter(
Master_Mapping_Sheet!$E$2:$E$3143, ISNUMBER(
Master_Mapping_Sheet!$E$2:$E$3143),
Master_Mapping_Sheet!$C$2:$C$3143=Y$1,
Master_Mapping_Sheet!$H$2:$H$3143=$A14))/sum(filter(
Master"&amp;"_Mapping_Sheet!$E$2:$E$3143, ISNUMBER(
Master_Mapping_Sheet!$E$2:$E$3143),
Master_Mapping_Sheet!$C$2:$C$3143=Y$1)))"),0.0)</f>
        <v>0</v>
      </c>
      <c r="Z14" s="34">
        <f>IFERROR(__xludf.DUMMYFUNCTION("IF(ISNA(sum(filter(
Master_Mapping_Sheet!$E$2:$E$3143, ISNUMBER(
Master_Mapping_Sheet!$E$2:$E$3143),
Master_Mapping_Sheet!$C$2:$C$3143=Z$1,
Master_Mapping_Sheet!$H$2:$H$3143=$A14))/sum(filter(
Master_Mapping_Sheet!$E$2:$E$3143, ISNUMBER(
Master_Mapping_Sh"&amp;"eet!$E$2:$E$3143),
Master_Mapping_Sheet!$C$2:$C$3143=Z$1))), 0, sum(filter(
Master_Mapping_Sheet!$E$2:$E$3143, ISNUMBER(
Master_Mapping_Sheet!$E$2:$E$3143),
Master_Mapping_Sheet!$C$2:$C$3143=Z$1,
Master_Mapping_Sheet!$H$2:$H$3143=$A14))/sum(filter(
Master"&amp;"_Mapping_Sheet!$E$2:$E$3143, ISNUMBER(
Master_Mapping_Sheet!$E$2:$E$3143),
Master_Mapping_Sheet!$C$2:$C$3143=Z$1)))"),0.0)</f>
        <v>0</v>
      </c>
      <c r="AA14" s="34">
        <f>IFERROR(__xludf.DUMMYFUNCTION("IF(ISNA(sum(filter(
Master_Mapping_Sheet!$E$2:$E$3143, ISNUMBER(
Master_Mapping_Sheet!$E$2:$E$3143),
Master_Mapping_Sheet!$C$2:$C$3143=AA$1,
Master_Mapping_Sheet!$H$2:$H$3143=$A14))/sum(filter(
Master_Mapping_Sheet!$E$2:$E$3143, ISNUMBER(
Master_Mapping_S"&amp;"heet!$E$2:$E$3143),
Master_Mapping_Sheet!$C$2:$C$3143=AA$1))), 0, sum(filter(
Master_Mapping_Sheet!$E$2:$E$3143, ISNUMBER(
Master_Mapping_Sheet!$E$2:$E$3143),
Master_Mapping_Sheet!$C$2:$C$3143=AA$1,
Master_Mapping_Sheet!$H$2:$H$3143=$A14))/sum(filter(
Mas"&amp;"ter_Mapping_Sheet!$E$2:$E$3143, ISNUMBER(
Master_Mapping_Sheet!$E$2:$E$3143),
Master_Mapping_Sheet!$C$2:$C$3143=AA$1)))"),0.0)</f>
        <v>0</v>
      </c>
      <c r="AB14" s="34">
        <f>IFERROR(__xludf.DUMMYFUNCTION("IF(ISNA(sum(filter(
Master_Mapping_Sheet!$E$2:$E$3143, ISNUMBER(
Master_Mapping_Sheet!$E$2:$E$3143),
Master_Mapping_Sheet!$C$2:$C$3143=AB$1,
Master_Mapping_Sheet!$H$2:$H$3143=$A14))/sum(filter(
Master_Mapping_Sheet!$E$2:$E$3143, ISNUMBER(
Master_Mapping_S"&amp;"heet!$E$2:$E$3143),
Master_Mapping_Sheet!$C$2:$C$3143=AB$1))), 0, sum(filter(
Master_Mapping_Sheet!$E$2:$E$3143, ISNUMBER(
Master_Mapping_Sheet!$E$2:$E$3143),
Master_Mapping_Sheet!$C$2:$C$3143=AB$1,
Master_Mapping_Sheet!$H$2:$H$3143=$A14))/sum(filter(
Mas"&amp;"ter_Mapping_Sheet!$E$2:$E$3143, ISNUMBER(
Master_Mapping_Sheet!$E$2:$E$3143),
Master_Mapping_Sheet!$C$2:$C$3143=AB$1)))"),0.0)</f>
        <v>0</v>
      </c>
      <c r="AC14" s="34">
        <f>IFERROR(__xludf.DUMMYFUNCTION("IF(ISNA(sum(filter(
Master_Mapping_Sheet!$E$2:$E$3143, ISNUMBER(
Master_Mapping_Sheet!$E$2:$E$3143),
Master_Mapping_Sheet!$C$2:$C$3143=AC$1,
Master_Mapping_Sheet!$H$2:$H$3143=$A14))/sum(filter(
Master_Mapping_Sheet!$E$2:$E$3143, ISNUMBER(
Master_Mapping_S"&amp;"heet!$E$2:$E$3143),
Master_Mapping_Sheet!$C$2:$C$3143=AC$1))), 0, sum(filter(
Master_Mapping_Sheet!$E$2:$E$3143, ISNUMBER(
Master_Mapping_Sheet!$E$2:$E$3143),
Master_Mapping_Sheet!$C$2:$C$3143=AC$1,
Master_Mapping_Sheet!$H$2:$H$3143=$A14))/sum(filter(
Mas"&amp;"ter_Mapping_Sheet!$E$2:$E$3143, ISNUMBER(
Master_Mapping_Sheet!$E$2:$E$3143),
Master_Mapping_Sheet!$C$2:$C$3143=AC$1)))"),0.0)</f>
        <v>0</v>
      </c>
      <c r="AD14" s="34">
        <f>IFERROR(__xludf.DUMMYFUNCTION("IF(ISNA(sum(filter(
Master_Mapping_Sheet!$E$2:$E$3143, ISNUMBER(
Master_Mapping_Sheet!$E$2:$E$3143),
Master_Mapping_Sheet!$C$2:$C$3143=AD$1,
Master_Mapping_Sheet!$H$2:$H$3143=$A14))/sum(filter(
Master_Mapping_Sheet!$E$2:$E$3143, ISNUMBER(
Master_Mapping_S"&amp;"heet!$E$2:$E$3143),
Master_Mapping_Sheet!$C$2:$C$3143=AD$1))), 0, sum(filter(
Master_Mapping_Sheet!$E$2:$E$3143, ISNUMBER(
Master_Mapping_Sheet!$E$2:$E$3143),
Master_Mapping_Sheet!$C$2:$C$3143=AD$1,
Master_Mapping_Sheet!$H$2:$H$3143=$A14))/sum(filter(
Mas"&amp;"ter_Mapping_Sheet!$E$2:$E$3143, ISNUMBER(
Master_Mapping_Sheet!$E$2:$E$3143),
Master_Mapping_Sheet!$C$2:$C$3143=AD$1)))"),0.0)</f>
        <v>0</v>
      </c>
      <c r="AE14" s="34">
        <f>IFERROR(__xludf.DUMMYFUNCTION("IF(ISNA(sum(filter(
Master_Mapping_Sheet!$E$2:$E$3143, ISNUMBER(
Master_Mapping_Sheet!$E$2:$E$3143),
Master_Mapping_Sheet!$C$2:$C$3143=AE$1,
Master_Mapping_Sheet!$H$2:$H$3143=$A14))/sum(filter(
Master_Mapping_Sheet!$E$2:$E$3143, ISNUMBER(
Master_Mapping_S"&amp;"heet!$E$2:$E$3143),
Master_Mapping_Sheet!$C$2:$C$3143=AE$1))), 0, sum(filter(
Master_Mapping_Sheet!$E$2:$E$3143, ISNUMBER(
Master_Mapping_Sheet!$E$2:$E$3143),
Master_Mapping_Sheet!$C$2:$C$3143=AE$1,
Master_Mapping_Sheet!$H$2:$H$3143=$A14))/sum(filter(
Mas"&amp;"ter_Mapping_Sheet!$E$2:$E$3143, ISNUMBER(
Master_Mapping_Sheet!$E$2:$E$3143),
Master_Mapping_Sheet!$C$2:$C$3143=AE$1)))"),0.0)</f>
        <v>0</v>
      </c>
      <c r="AF14" s="34">
        <f>IFERROR(__xludf.DUMMYFUNCTION("IF(ISNA(sum(filter(
Master_Mapping_Sheet!$E$2:$E$3143, ISNUMBER(
Master_Mapping_Sheet!$E$2:$E$3143),
Master_Mapping_Sheet!$C$2:$C$3143=AF$1,
Master_Mapping_Sheet!$H$2:$H$3143=$A14))/sum(filter(
Master_Mapping_Sheet!$E$2:$E$3143, ISNUMBER(
Master_Mapping_S"&amp;"heet!$E$2:$E$3143),
Master_Mapping_Sheet!$C$2:$C$3143=AF$1))), 0, sum(filter(
Master_Mapping_Sheet!$E$2:$E$3143, ISNUMBER(
Master_Mapping_Sheet!$E$2:$E$3143),
Master_Mapping_Sheet!$C$2:$C$3143=AF$1,
Master_Mapping_Sheet!$H$2:$H$3143=$A14))/sum(filter(
Mas"&amp;"ter_Mapping_Sheet!$E$2:$E$3143, ISNUMBER(
Master_Mapping_Sheet!$E$2:$E$3143),
Master_Mapping_Sheet!$C$2:$C$3143=AF$1)))"),0.0)</f>
        <v>0</v>
      </c>
      <c r="AG14" s="34">
        <f>IFERROR(__xludf.DUMMYFUNCTION("IF(ISNA(sum(filter(
Master_Mapping_Sheet!$E$2:$E$3143, ISNUMBER(
Master_Mapping_Sheet!$E$2:$E$3143),
Master_Mapping_Sheet!$C$2:$C$3143=AG$1,
Master_Mapping_Sheet!$H$2:$H$3143=$A14))/sum(filter(
Master_Mapping_Sheet!$E$2:$E$3143, ISNUMBER(
Master_Mapping_S"&amp;"heet!$E$2:$E$3143),
Master_Mapping_Sheet!$C$2:$C$3143=AG$1))), 0, sum(filter(
Master_Mapping_Sheet!$E$2:$E$3143, ISNUMBER(
Master_Mapping_Sheet!$E$2:$E$3143),
Master_Mapping_Sheet!$C$2:$C$3143=AG$1,
Master_Mapping_Sheet!$H$2:$H$3143=$A14))/sum(filter(
Mas"&amp;"ter_Mapping_Sheet!$E$2:$E$3143, ISNUMBER(
Master_Mapping_Sheet!$E$2:$E$3143),
Master_Mapping_Sheet!$C$2:$C$3143=AG$1)))"),0.0)</f>
        <v>0</v>
      </c>
      <c r="AH14" s="34">
        <f>IFERROR(__xludf.DUMMYFUNCTION("IF(ISNA(sum(filter(
Master_Mapping_Sheet!$E$2:$E$3143, ISNUMBER(
Master_Mapping_Sheet!$E$2:$E$3143),
Master_Mapping_Sheet!$C$2:$C$3143=AH$1,
Master_Mapping_Sheet!$H$2:$H$3143=$A14))/sum(filter(
Master_Mapping_Sheet!$E$2:$E$3143, ISNUMBER(
Master_Mapping_S"&amp;"heet!$E$2:$E$3143),
Master_Mapping_Sheet!$C$2:$C$3143=AH$1))), 0, sum(filter(
Master_Mapping_Sheet!$E$2:$E$3143, ISNUMBER(
Master_Mapping_Sheet!$E$2:$E$3143),
Master_Mapping_Sheet!$C$2:$C$3143=AH$1,
Master_Mapping_Sheet!$H$2:$H$3143=$A14))/sum(filter(
Mas"&amp;"ter_Mapping_Sheet!$E$2:$E$3143, ISNUMBER(
Master_Mapping_Sheet!$E$2:$E$3143),
Master_Mapping_Sheet!$C$2:$C$3143=AH$1)))"),0.0)</f>
        <v>0</v>
      </c>
      <c r="AI14" s="34">
        <f>IFERROR(__xludf.DUMMYFUNCTION("IF(ISNA(sum(filter(
Master_Mapping_Sheet!$E$2:$E$3143, ISNUMBER(
Master_Mapping_Sheet!$E$2:$E$3143),
Master_Mapping_Sheet!$C$2:$C$3143=AI$1,
Master_Mapping_Sheet!$H$2:$H$3143=$A14))/sum(filter(
Master_Mapping_Sheet!$E$2:$E$3143, ISNUMBER(
Master_Mapping_S"&amp;"heet!$E$2:$E$3143),
Master_Mapping_Sheet!$C$2:$C$3143=AI$1))), 0, sum(filter(
Master_Mapping_Sheet!$E$2:$E$3143, ISNUMBER(
Master_Mapping_Sheet!$E$2:$E$3143),
Master_Mapping_Sheet!$C$2:$C$3143=AI$1,
Master_Mapping_Sheet!$H$2:$H$3143=$A14))/sum(filter(
Mas"&amp;"ter_Mapping_Sheet!$E$2:$E$3143, ISNUMBER(
Master_Mapping_Sheet!$E$2:$E$3143),
Master_Mapping_Sheet!$C$2:$C$3143=AI$1)))"),0.07256330146921815)</f>
        <v>0.07256330147</v>
      </c>
      <c r="AJ14" s="34">
        <f>IFERROR(__xludf.DUMMYFUNCTION("IF(ISNA(sum(filter(
Master_Mapping_Sheet!$E$2:$E$3143, ISNUMBER(
Master_Mapping_Sheet!$E$2:$E$3143),
Master_Mapping_Sheet!$C$2:$C$3143=AJ$1,
Master_Mapping_Sheet!$H$2:$H$3143=$A14))/sum(filter(
Master_Mapping_Sheet!$E$2:$E$3143, ISNUMBER(
Master_Mapping_S"&amp;"heet!$E$2:$E$3143),
Master_Mapping_Sheet!$C$2:$C$3143=AJ$1))), 0, sum(filter(
Master_Mapping_Sheet!$E$2:$E$3143, ISNUMBER(
Master_Mapping_Sheet!$E$2:$E$3143),
Master_Mapping_Sheet!$C$2:$C$3143=AJ$1,
Master_Mapping_Sheet!$H$2:$H$3143=$A14))/sum(filter(
Mas"&amp;"ter_Mapping_Sheet!$E$2:$E$3143, ISNUMBER(
Master_Mapping_Sheet!$E$2:$E$3143),
Master_Mapping_Sheet!$C$2:$C$3143=AJ$1)))"),0.0)</f>
        <v>0</v>
      </c>
      <c r="AK14" s="34">
        <f>IFERROR(__xludf.DUMMYFUNCTION("IF(ISNA(sum(filter(
Master_Mapping_Sheet!$E$2:$E$3143, ISNUMBER(
Master_Mapping_Sheet!$E$2:$E$3143),
Master_Mapping_Sheet!$C$2:$C$3143=AK$1,
Master_Mapping_Sheet!$H$2:$H$3143=$A14))/sum(filter(
Master_Mapping_Sheet!$E$2:$E$3143, ISNUMBER(
Master_Mapping_S"&amp;"heet!$E$2:$E$3143),
Master_Mapping_Sheet!$C$2:$C$3143=AK$1))), 0, sum(filter(
Master_Mapping_Sheet!$E$2:$E$3143, ISNUMBER(
Master_Mapping_Sheet!$E$2:$E$3143),
Master_Mapping_Sheet!$C$2:$C$3143=AK$1,
Master_Mapping_Sheet!$H$2:$H$3143=$A14))/sum(filter(
Mas"&amp;"ter_Mapping_Sheet!$E$2:$E$3143, ISNUMBER(
Master_Mapping_Sheet!$E$2:$E$3143),
Master_Mapping_Sheet!$C$2:$C$3143=AK$1)))"),0.0)</f>
        <v>0</v>
      </c>
      <c r="AL14" s="34">
        <f>IFERROR(__xludf.DUMMYFUNCTION("IF(ISNA(sum(filter(
Master_Mapping_Sheet!$E$2:$E$3143, ISNUMBER(
Master_Mapping_Sheet!$E$2:$E$3143),
Master_Mapping_Sheet!$C$2:$C$3143=AL$1,
Master_Mapping_Sheet!$H$2:$H$3143=$A14))/sum(filter(
Master_Mapping_Sheet!$E$2:$E$3143, ISNUMBER(
Master_Mapping_S"&amp;"heet!$E$2:$E$3143),
Master_Mapping_Sheet!$C$2:$C$3143=AL$1))), 0, sum(filter(
Master_Mapping_Sheet!$E$2:$E$3143, ISNUMBER(
Master_Mapping_Sheet!$E$2:$E$3143),
Master_Mapping_Sheet!$C$2:$C$3143=AL$1,
Master_Mapping_Sheet!$H$2:$H$3143=$A14))/sum(filter(
Mas"&amp;"ter_Mapping_Sheet!$E$2:$E$3143, ISNUMBER(
Master_Mapping_Sheet!$E$2:$E$3143),
Master_Mapping_Sheet!$C$2:$C$3143=AL$1)))"),0.0)</f>
        <v>0</v>
      </c>
      <c r="AM14" s="34">
        <f>IFERROR(__xludf.DUMMYFUNCTION("IF(ISNA(sum(filter(
Master_Mapping_Sheet!$E$2:$E$3143, ISNUMBER(
Master_Mapping_Sheet!$E$2:$E$3143),
Master_Mapping_Sheet!$C$2:$C$3143=AM$1,
Master_Mapping_Sheet!$H$2:$H$3143=$A14))/sum(filter(
Master_Mapping_Sheet!$E$2:$E$3143, ISNUMBER(
Master_Mapping_S"&amp;"heet!$E$2:$E$3143),
Master_Mapping_Sheet!$C$2:$C$3143=AM$1))), 0, sum(filter(
Master_Mapping_Sheet!$E$2:$E$3143, ISNUMBER(
Master_Mapping_Sheet!$E$2:$E$3143),
Master_Mapping_Sheet!$C$2:$C$3143=AM$1,
Master_Mapping_Sheet!$H$2:$H$3143=$A14))/sum(filter(
Mas"&amp;"ter_Mapping_Sheet!$E$2:$E$3143, ISNUMBER(
Master_Mapping_Sheet!$E$2:$E$3143),
Master_Mapping_Sheet!$C$2:$C$3143=AM$1)))"),0.0)</f>
        <v>0</v>
      </c>
      <c r="AN14" s="34">
        <f>IFERROR(__xludf.DUMMYFUNCTION("IF(ISNA(sum(filter(
Master_Mapping_Sheet!$E$2:$E$3143, ISNUMBER(
Master_Mapping_Sheet!$E$2:$E$3143),
Master_Mapping_Sheet!$C$2:$C$3143=AN$1,
Master_Mapping_Sheet!$H$2:$H$3143=$A14))/sum(filter(
Master_Mapping_Sheet!$E$2:$E$3143, ISNUMBER(
Master_Mapping_S"&amp;"heet!$E$2:$E$3143),
Master_Mapping_Sheet!$C$2:$C$3143=AN$1))), 0, sum(filter(
Master_Mapping_Sheet!$E$2:$E$3143, ISNUMBER(
Master_Mapping_Sheet!$E$2:$E$3143),
Master_Mapping_Sheet!$C$2:$C$3143=AN$1,
Master_Mapping_Sheet!$H$2:$H$3143=$A14))/sum(filter(
Mas"&amp;"ter_Mapping_Sheet!$E$2:$E$3143, ISNUMBER(
Master_Mapping_Sheet!$E$2:$E$3143),
Master_Mapping_Sheet!$C$2:$C$3143=AN$1)))"),0.0)</f>
        <v>0</v>
      </c>
      <c r="AO14" s="34">
        <f>IFERROR(__xludf.DUMMYFUNCTION("IF(ISNA(sum(filter(
Master_Mapping_Sheet!$E$2:$E$3143, ISNUMBER(
Master_Mapping_Sheet!$E$2:$E$3143),
Master_Mapping_Sheet!$C$2:$C$3143=AO$1,
Master_Mapping_Sheet!$H$2:$H$3143=$A14))/sum(filter(
Master_Mapping_Sheet!$E$2:$E$3143, ISNUMBER(
Master_Mapping_S"&amp;"heet!$E$2:$E$3143),
Master_Mapping_Sheet!$C$2:$C$3143=AO$1))), 0, sum(filter(
Master_Mapping_Sheet!$E$2:$E$3143, ISNUMBER(
Master_Mapping_Sheet!$E$2:$E$3143),
Master_Mapping_Sheet!$C$2:$C$3143=AO$1,
Master_Mapping_Sheet!$H$2:$H$3143=$A14))/sum(filter(
Mas"&amp;"ter_Mapping_Sheet!$E$2:$E$3143, ISNUMBER(
Master_Mapping_Sheet!$E$2:$E$3143),
Master_Mapping_Sheet!$C$2:$C$3143=AO$1)))"),0.0)</f>
        <v>0</v>
      </c>
      <c r="AP14" s="34">
        <f>IFERROR(__xludf.DUMMYFUNCTION("IF(ISNA(sum(filter(
Master_Mapping_Sheet!$E$2:$E$3143, ISNUMBER(
Master_Mapping_Sheet!$E$2:$E$3143),
Master_Mapping_Sheet!$C$2:$C$3143=AP$1,
Master_Mapping_Sheet!$H$2:$H$3143=$A14))/sum(filter(
Master_Mapping_Sheet!$E$2:$E$3143, ISNUMBER(
Master_Mapping_S"&amp;"heet!$E$2:$E$3143),
Master_Mapping_Sheet!$C$2:$C$3143=AP$1))), 0, sum(filter(
Master_Mapping_Sheet!$E$2:$E$3143, ISNUMBER(
Master_Mapping_Sheet!$E$2:$E$3143),
Master_Mapping_Sheet!$C$2:$C$3143=AP$1,
Master_Mapping_Sheet!$H$2:$H$3143=$A14))/sum(filter(
Mas"&amp;"ter_Mapping_Sheet!$E$2:$E$3143, ISNUMBER(
Master_Mapping_Sheet!$E$2:$E$3143),
Master_Mapping_Sheet!$C$2:$C$3143=AP$1)))"),0.0)</f>
        <v>0</v>
      </c>
      <c r="AQ14" s="34">
        <f>IFERROR(__xludf.DUMMYFUNCTION("IF(ISNA(sum(filter(
Master_Mapping_Sheet!$E$2:$E$3143, ISNUMBER(
Master_Mapping_Sheet!$E$2:$E$3143),
Master_Mapping_Sheet!$C$2:$C$3143=AQ$1,
Master_Mapping_Sheet!$H$2:$H$3143=$A14))/sum(filter(
Master_Mapping_Sheet!$E$2:$E$3143, ISNUMBER(
Master_Mapping_S"&amp;"heet!$E$2:$E$3143),
Master_Mapping_Sheet!$C$2:$C$3143=AQ$1))), 0, sum(filter(
Master_Mapping_Sheet!$E$2:$E$3143, ISNUMBER(
Master_Mapping_Sheet!$E$2:$E$3143),
Master_Mapping_Sheet!$C$2:$C$3143=AQ$1,
Master_Mapping_Sheet!$H$2:$H$3143=$A14))/sum(filter(
Mas"&amp;"ter_Mapping_Sheet!$E$2:$E$3143, ISNUMBER(
Master_Mapping_Sheet!$E$2:$E$3143),
Master_Mapping_Sheet!$C$2:$C$3143=AQ$1)))"),0.0)</f>
        <v>0</v>
      </c>
      <c r="AR14" s="34">
        <f>IFERROR(__xludf.DUMMYFUNCTION("IF(ISNA(sum(filter(
Master_Mapping_Sheet!$E$2:$E$3143, ISNUMBER(
Master_Mapping_Sheet!$E$2:$E$3143),
Master_Mapping_Sheet!$C$2:$C$3143=AR$1,
Master_Mapping_Sheet!$H$2:$H$3143=$A14))/sum(filter(
Master_Mapping_Sheet!$E$2:$E$3143, ISNUMBER(
Master_Mapping_S"&amp;"heet!$E$2:$E$3143),
Master_Mapping_Sheet!$C$2:$C$3143=AR$1))), 0, sum(filter(
Master_Mapping_Sheet!$E$2:$E$3143, ISNUMBER(
Master_Mapping_Sheet!$E$2:$E$3143),
Master_Mapping_Sheet!$C$2:$C$3143=AR$1,
Master_Mapping_Sheet!$H$2:$H$3143=$A14))/sum(filter(
Mas"&amp;"ter_Mapping_Sheet!$E$2:$E$3143, ISNUMBER(
Master_Mapping_Sheet!$E$2:$E$3143),
Master_Mapping_Sheet!$C$2:$C$3143=AR$1)))"),0.0)</f>
        <v>0</v>
      </c>
      <c r="AS14" s="34">
        <f>IFERROR(__xludf.DUMMYFUNCTION("IF(ISNA(sum(filter(
Master_Mapping_Sheet!$E$2:$E$3143, ISNUMBER(
Master_Mapping_Sheet!$E$2:$E$3143),
Master_Mapping_Sheet!$C$2:$C$3143=AS$1,
Master_Mapping_Sheet!$H$2:$H$3143=$A14))/sum(filter(
Master_Mapping_Sheet!$E$2:$E$3143, ISNUMBER(
Master_Mapping_S"&amp;"heet!$E$2:$E$3143),
Master_Mapping_Sheet!$C$2:$C$3143=AS$1))), 0, sum(filter(
Master_Mapping_Sheet!$E$2:$E$3143, ISNUMBER(
Master_Mapping_Sheet!$E$2:$E$3143),
Master_Mapping_Sheet!$C$2:$C$3143=AS$1,
Master_Mapping_Sheet!$H$2:$H$3143=$A14))/sum(filter(
Mas"&amp;"ter_Mapping_Sheet!$E$2:$E$3143, ISNUMBER(
Master_Mapping_Sheet!$E$2:$E$3143),
Master_Mapping_Sheet!$C$2:$C$3143=AS$1)))"),0.0)</f>
        <v>0</v>
      </c>
      <c r="AT14" s="34">
        <f>IFERROR(__xludf.DUMMYFUNCTION("IF(ISNA(sum(filter(
Master_Mapping_Sheet!$E$2:$E$3143, ISNUMBER(
Master_Mapping_Sheet!$E$2:$E$3143),
Master_Mapping_Sheet!$C$2:$C$3143=AT$1,
Master_Mapping_Sheet!$H$2:$H$3143=$A14))/sum(filter(
Master_Mapping_Sheet!$E$2:$E$3143, ISNUMBER(
Master_Mapping_S"&amp;"heet!$E$2:$E$3143),
Master_Mapping_Sheet!$C$2:$C$3143=AT$1))), 0, sum(filter(
Master_Mapping_Sheet!$E$2:$E$3143, ISNUMBER(
Master_Mapping_Sheet!$E$2:$E$3143),
Master_Mapping_Sheet!$C$2:$C$3143=AT$1,
Master_Mapping_Sheet!$H$2:$H$3143=$A14))/sum(filter(
Mas"&amp;"ter_Mapping_Sheet!$E$2:$E$3143, ISNUMBER(
Master_Mapping_Sheet!$E$2:$E$3143),
Master_Mapping_Sheet!$C$2:$C$3143=AT$1)))"),0.0)</f>
        <v>0</v>
      </c>
      <c r="AU14" s="34">
        <f>IFERROR(__xludf.DUMMYFUNCTION("IF(ISNA(sum(filter(
Master_Mapping_Sheet!$E$2:$E$3143, ISNUMBER(
Master_Mapping_Sheet!$E$2:$E$3143),
Master_Mapping_Sheet!$C$2:$C$3143=AU$1,
Master_Mapping_Sheet!$H$2:$H$3143=$A14))/sum(filter(
Master_Mapping_Sheet!$E$2:$E$3143, ISNUMBER(
Master_Mapping_S"&amp;"heet!$E$2:$E$3143),
Master_Mapping_Sheet!$C$2:$C$3143=AU$1))), 0, sum(filter(
Master_Mapping_Sheet!$E$2:$E$3143, ISNUMBER(
Master_Mapping_Sheet!$E$2:$E$3143),
Master_Mapping_Sheet!$C$2:$C$3143=AU$1,
Master_Mapping_Sheet!$H$2:$H$3143=$A14))/sum(filter(
Mas"&amp;"ter_Mapping_Sheet!$E$2:$E$3143, ISNUMBER(
Master_Mapping_Sheet!$E$2:$E$3143),
Master_Mapping_Sheet!$C$2:$C$3143=AU$1)))"),0.0)</f>
        <v>0</v>
      </c>
      <c r="AV14" s="34">
        <f>IFERROR(__xludf.DUMMYFUNCTION("IF(ISNA(sum(filter(
Master_Mapping_Sheet!$E$2:$E$3143, ISNUMBER(
Master_Mapping_Sheet!$E$2:$E$3143),
Master_Mapping_Sheet!$C$2:$C$3143=AV$1,
Master_Mapping_Sheet!$H$2:$H$3143=$A14))/sum(filter(
Master_Mapping_Sheet!$E$2:$E$3143, ISNUMBER(
Master_Mapping_S"&amp;"heet!$E$2:$E$3143),
Master_Mapping_Sheet!$C$2:$C$3143=AV$1))), 0, sum(filter(
Master_Mapping_Sheet!$E$2:$E$3143, ISNUMBER(
Master_Mapping_Sheet!$E$2:$E$3143),
Master_Mapping_Sheet!$C$2:$C$3143=AV$1,
Master_Mapping_Sheet!$H$2:$H$3143=$A14))/sum(filter(
Mas"&amp;"ter_Mapping_Sheet!$E$2:$E$3143, ISNUMBER(
Master_Mapping_Sheet!$E$2:$E$3143),
Master_Mapping_Sheet!$C$2:$C$3143=AV$1)))"),0.8298960106235898)</f>
        <v>0.8298960106</v>
      </c>
      <c r="AW14" s="34">
        <f>IFERROR(__xludf.DUMMYFUNCTION("IF(ISNA(sum(filter(
Master_Mapping_Sheet!$E$2:$E$3143, ISNUMBER(
Master_Mapping_Sheet!$E$2:$E$3143),
Master_Mapping_Sheet!$C$2:$C$3143=AW$1,
Master_Mapping_Sheet!$H$2:$H$3143=$A14))/sum(filter(
Master_Mapping_Sheet!$E$2:$E$3143, ISNUMBER(
Master_Mapping_S"&amp;"heet!$E$2:$E$3143),
Master_Mapping_Sheet!$C$2:$C$3143=AW$1))), 0, sum(filter(
Master_Mapping_Sheet!$E$2:$E$3143, ISNUMBER(
Master_Mapping_Sheet!$E$2:$E$3143),
Master_Mapping_Sheet!$C$2:$C$3143=AW$1,
Master_Mapping_Sheet!$H$2:$H$3143=$A14))/sum(filter(
Mas"&amp;"ter_Mapping_Sheet!$E$2:$E$3143, ISNUMBER(
Master_Mapping_Sheet!$E$2:$E$3143),
Master_Mapping_Sheet!$C$2:$C$3143=AW$1)))"),0.0)</f>
        <v>0</v>
      </c>
      <c r="AX14" s="34">
        <f>IFERROR(__xludf.DUMMYFUNCTION("IF(ISNA(sum(filter(
Master_Mapping_Sheet!$E$2:$E$3143, ISNUMBER(
Master_Mapping_Sheet!$E$2:$E$3143),
Master_Mapping_Sheet!$C$2:$C$3143=AX$1,
Master_Mapping_Sheet!$H$2:$H$3143=$A14))/sum(filter(
Master_Mapping_Sheet!$E$2:$E$3143, ISNUMBER(
Master_Mapping_S"&amp;"heet!$E$2:$E$3143),
Master_Mapping_Sheet!$C$2:$C$3143=AX$1))), 0, sum(filter(
Master_Mapping_Sheet!$E$2:$E$3143, ISNUMBER(
Master_Mapping_Sheet!$E$2:$E$3143),
Master_Mapping_Sheet!$C$2:$C$3143=AX$1,
Master_Mapping_Sheet!$H$2:$H$3143=$A14))/sum(filter(
Mas"&amp;"ter_Mapping_Sheet!$E$2:$E$3143, ISNUMBER(
Master_Mapping_Sheet!$E$2:$E$3143),
Master_Mapping_Sheet!$C$2:$C$3143=AX$1)))"),0.0)</f>
        <v>0</v>
      </c>
      <c r="AY14" s="34">
        <f>IFERROR(__xludf.DUMMYFUNCTION("IF(ISNA(sum(filter(
Master_Mapping_Sheet!$E$2:$E$3143, ISNUMBER(
Master_Mapping_Sheet!$E$2:$E$3143),
Master_Mapping_Sheet!$C$2:$C$3143=AY$1,
Master_Mapping_Sheet!$H$2:$H$3143=$A14))/sum(filter(
Master_Mapping_Sheet!$E$2:$E$3143, ISNUMBER(
Master_Mapping_S"&amp;"heet!$E$2:$E$3143),
Master_Mapping_Sheet!$C$2:$C$3143=AY$1))), 0, sum(filter(
Master_Mapping_Sheet!$E$2:$E$3143, ISNUMBER(
Master_Mapping_Sheet!$E$2:$E$3143),
Master_Mapping_Sheet!$C$2:$C$3143=AY$1,
Master_Mapping_Sheet!$H$2:$H$3143=$A14))/sum(filter(
Mas"&amp;"ter_Mapping_Sheet!$E$2:$E$3143, ISNUMBER(
Master_Mapping_Sheet!$E$2:$E$3143),
Master_Mapping_Sheet!$C$2:$C$3143=AY$1)))"),0.0)</f>
        <v>0</v>
      </c>
      <c r="AZ14" s="34">
        <f>IFERROR(__xludf.DUMMYFUNCTION("IF(ISNA(sum(filter(
Master_Mapping_Sheet!$E$2:$E$3143, ISNUMBER(
Master_Mapping_Sheet!$E$2:$E$3143),
Master_Mapping_Sheet!$C$2:$C$3143=AZ$1,
Master_Mapping_Sheet!$H$2:$H$3143=$A14))/sum(filter(
Master_Mapping_Sheet!$E$2:$E$3143, ISNUMBER(
Master_Mapping_S"&amp;"heet!$E$2:$E$3143),
Master_Mapping_Sheet!$C$2:$C$3143=AZ$1))), 0, sum(filter(
Master_Mapping_Sheet!$E$2:$E$3143, ISNUMBER(
Master_Mapping_Sheet!$E$2:$E$3143),
Master_Mapping_Sheet!$C$2:$C$3143=AZ$1,
Master_Mapping_Sheet!$H$2:$H$3143=$A14))/sum(filter(
Mas"&amp;"ter_Mapping_Sheet!$E$2:$E$3143, ISNUMBER(
Master_Mapping_Sheet!$E$2:$E$3143),
Master_Mapping_Sheet!$C$2:$C$3143=AZ$1)))"),0.0)</f>
        <v>0</v>
      </c>
    </row>
    <row r="15" ht="15.75" customHeight="1">
      <c r="A15" s="34" t="s">
        <v>4009</v>
      </c>
      <c r="B15" s="34">
        <f>IFERROR(__xludf.DUMMYFUNCTION("IF(ISNA(sum(filter(
Master_Mapping_Sheet!$E$2:$E$3143, ISNUMBER(
Master_Mapping_Sheet!$E$2:$E$3143),
Master_Mapping_Sheet!$C$2:$C$3143=B$1,
Master_Mapping_Sheet!$H$2:$H$3143=$A15))/sum(filter(
Master_Mapping_Sheet!$E$2:$E$3143, ISNUMBER(
Master_Mapping_Sh"&amp;"eet!$E$2:$E$3143),
Master_Mapping_Sheet!$C$2:$C$3143=B$1))), 0, sum(filter(
Master_Mapping_Sheet!$E$2:$E$3143, ISNUMBER(
Master_Mapping_Sheet!$E$2:$E$3143),
Master_Mapping_Sheet!$C$2:$C$3143=B$1,
Master_Mapping_Sheet!$H$2:$H$3143=$A15))/sum(filter(
Master"&amp;"_Mapping_Sheet!$E$2:$E$3143, ISNUMBER(
Master_Mapping_Sheet!$E$2:$E$3143),
Master_Mapping_Sheet!$C$2:$C$3143=B$1)))"),0.0)</f>
        <v>0</v>
      </c>
      <c r="C15" s="34">
        <f>IFERROR(__xludf.DUMMYFUNCTION("IF(ISNA(sum(filter(
Master_Mapping_Sheet!$E$2:$E$3143, ISNUMBER(
Master_Mapping_Sheet!$E$2:$E$3143),
Master_Mapping_Sheet!$C$2:$C$3143=C$1,
Master_Mapping_Sheet!$H$2:$H$3143=$A15))/sum(filter(
Master_Mapping_Sheet!$E$2:$E$3143, ISNUMBER(
Master_Mapping_Sh"&amp;"eet!$E$2:$E$3143),
Master_Mapping_Sheet!$C$2:$C$3143=C$1))), 0, sum(filter(
Master_Mapping_Sheet!$E$2:$E$3143, ISNUMBER(
Master_Mapping_Sheet!$E$2:$E$3143),
Master_Mapping_Sheet!$C$2:$C$3143=C$1,
Master_Mapping_Sheet!$H$2:$H$3143=$A15))/sum(filter(
Master"&amp;"_Mapping_Sheet!$E$2:$E$3143, ISNUMBER(
Master_Mapping_Sheet!$E$2:$E$3143),
Master_Mapping_Sheet!$C$2:$C$3143=C$1)))"),0.0)</f>
        <v>0</v>
      </c>
      <c r="D15" s="34">
        <f>IFERROR(__xludf.DUMMYFUNCTION("IF(ISNA(sum(filter(
Master_Mapping_Sheet!$E$2:$E$3143, ISNUMBER(
Master_Mapping_Sheet!$E$2:$E$3143),
Master_Mapping_Sheet!$C$2:$C$3143=D$1,
Master_Mapping_Sheet!$H$2:$H$3143=$A15))/sum(filter(
Master_Mapping_Sheet!$E$2:$E$3143, ISNUMBER(
Master_Mapping_Sh"&amp;"eet!$E$2:$E$3143),
Master_Mapping_Sheet!$C$2:$C$3143=D$1))), 0, sum(filter(
Master_Mapping_Sheet!$E$2:$E$3143, ISNUMBER(
Master_Mapping_Sheet!$E$2:$E$3143),
Master_Mapping_Sheet!$C$2:$C$3143=D$1,
Master_Mapping_Sheet!$H$2:$H$3143=$A15))/sum(filter(
Master"&amp;"_Mapping_Sheet!$E$2:$E$3143, ISNUMBER(
Master_Mapping_Sheet!$E$2:$E$3143),
Master_Mapping_Sheet!$C$2:$C$3143=D$1)))"),0.0)</f>
        <v>0</v>
      </c>
      <c r="E15" s="34">
        <f>IFERROR(__xludf.DUMMYFUNCTION("IF(ISNA(sum(filter(
Master_Mapping_Sheet!$E$2:$E$3143, ISNUMBER(
Master_Mapping_Sheet!$E$2:$E$3143),
Master_Mapping_Sheet!$C$2:$C$3143=E$1,
Master_Mapping_Sheet!$H$2:$H$3143=$A15))/sum(filter(
Master_Mapping_Sheet!$E$2:$E$3143, ISNUMBER(
Master_Mapping_Sh"&amp;"eet!$E$2:$E$3143),
Master_Mapping_Sheet!$C$2:$C$3143=E$1))), 0, sum(filter(
Master_Mapping_Sheet!$E$2:$E$3143, ISNUMBER(
Master_Mapping_Sheet!$E$2:$E$3143),
Master_Mapping_Sheet!$C$2:$C$3143=E$1,
Master_Mapping_Sheet!$H$2:$H$3143=$A15))/sum(filter(
Master"&amp;"_Mapping_Sheet!$E$2:$E$3143, ISNUMBER(
Master_Mapping_Sheet!$E$2:$E$3143),
Master_Mapping_Sheet!$C$2:$C$3143=E$1)))"),0.0)</f>
        <v>0</v>
      </c>
      <c r="F15" s="34">
        <f>IFERROR(__xludf.DUMMYFUNCTION("IF(ISNA(sum(filter(
Master_Mapping_Sheet!$E$2:$E$3143, ISNUMBER(
Master_Mapping_Sheet!$E$2:$E$3143),
Master_Mapping_Sheet!$C$2:$C$3143=F$1,
Master_Mapping_Sheet!$H$2:$H$3143=$A15))/sum(filter(
Master_Mapping_Sheet!$E$2:$E$3143, ISNUMBER(
Master_Mapping_Sh"&amp;"eet!$E$2:$E$3143),
Master_Mapping_Sheet!$C$2:$C$3143=F$1))), 0, sum(filter(
Master_Mapping_Sheet!$E$2:$E$3143, ISNUMBER(
Master_Mapping_Sheet!$E$2:$E$3143),
Master_Mapping_Sheet!$C$2:$C$3143=F$1,
Master_Mapping_Sheet!$H$2:$H$3143=$A15))/sum(filter(
Master"&amp;"_Mapping_Sheet!$E$2:$E$3143, ISNUMBER(
Master_Mapping_Sheet!$E$2:$E$3143),
Master_Mapping_Sheet!$C$2:$C$3143=F$1)))"),0.0)</f>
        <v>0</v>
      </c>
      <c r="G15" s="34">
        <f>IFERROR(__xludf.DUMMYFUNCTION("IF(ISNA(sum(filter(
Master_Mapping_Sheet!$E$2:$E$3143, ISNUMBER(
Master_Mapping_Sheet!$E$2:$E$3143),
Master_Mapping_Sheet!$C$2:$C$3143=G$1,
Master_Mapping_Sheet!$H$2:$H$3143=$A15))/sum(filter(
Master_Mapping_Sheet!$E$2:$E$3143, ISNUMBER(
Master_Mapping_Sh"&amp;"eet!$E$2:$E$3143),
Master_Mapping_Sheet!$C$2:$C$3143=G$1))), 0, sum(filter(
Master_Mapping_Sheet!$E$2:$E$3143, ISNUMBER(
Master_Mapping_Sheet!$E$2:$E$3143),
Master_Mapping_Sheet!$C$2:$C$3143=G$1,
Master_Mapping_Sheet!$H$2:$H$3143=$A15))/sum(filter(
Master"&amp;"_Mapping_Sheet!$E$2:$E$3143, ISNUMBER(
Master_Mapping_Sheet!$E$2:$E$3143),
Master_Mapping_Sheet!$C$2:$C$3143=G$1)))"),0.0)</f>
        <v>0</v>
      </c>
      <c r="H15" s="34">
        <f>IFERROR(__xludf.DUMMYFUNCTION("IF(ISNA(sum(filter(
Master_Mapping_Sheet!$E$2:$E$3143, ISNUMBER(
Master_Mapping_Sheet!$E$2:$E$3143),
Master_Mapping_Sheet!$C$2:$C$3143=H$1,
Master_Mapping_Sheet!$H$2:$H$3143=$A15))/sum(filter(
Master_Mapping_Sheet!$E$2:$E$3143, ISNUMBER(
Master_Mapping_Sh"&amp;"eet!$E$2:$E$3143),
Master_Mapping_Sheet!$C$2:$C$3143=H$1))), 0, sum(filter(
Master_Mapping_Sheet!$E$2:$E$3143, ISNUMBER(
Master_Mapping_Sheet!$E$2:$E$3143),
Master_Mapping_Sheet!$C$2:$C$3143=H$1,
Master_Mapping_Sheet!$H$2:$H$3143=$A15))/sum(filter(
Master"&amp;"_Mapping_Sheet!$E$2:$E$3143, ISNUMBER(
Master_Mapping_Sheet!$E$2:$E$3143),
Master_Mapping_Sheet!$C$2:$C$3143=H$1)))"),0.0)</f>
        <v>0</v>
      </c>
      <c r="I15" s="34">
        <f>IFERROR(__xludf.DUMMYFUNCTION("IF(ISNA(sum(filter(
Master_Mapping_Sheet!$E$2:$E$3143, ISNUMBER(
Master_Mapping_Sheet!$E$2:$E$3143),
Master_Mapping_Sheet!$C$2:$C$3143=I$1,
Master_Mapping_Sheet!$H$2:$H$3143=$A15))/sum(filter(
Master_Mapping_Sheet!$E$2:$E$3143, ISNUMBER(
Master_Mapping_Sh"&amp;"eet!$E$2:$E$3143),
Master_Mapping_Sheet!$C$2:$C$3143=I$1))), 0, sum(filter(
Master_Mapping_Sheet!$E$2:$E$3143, ISNUMBER(
Master_Mapping_Sheet!$E$2:$E$3143),
Master_Mapping_Sheet!$C$2:$C$3143=I$1,
Master_Mapping_Sheet!$H$2:$H$3143=$A15))/sum(filter(
Master"&amp;"_Mapping_Sheet!$E$2:$E$3143, ISNUMBER(
Master_Mapping_Sheet!$E$2:$E$3143),
Master_Mapping_Sheet!$C$2:$C$3143=I$1)))"),0.0)</f>
        <v>0</v>
      </c>
      <c r="J15" s="34">
        <f>IFERROR(__xludf.DUMMYFUNCTION("IF(ISNA(sum(filter(
Master_Mapping_Sheet!$E$2:$E$3143, ISNUMBER(
Master_Mapping_Sheet!$E$2:$E$3143),
Master_Mapping_Sheet!$C$2:$C$3143=J$1,
Master_Mapping_Sheet!$H$2:$H$3143=$A15))/sum(filter(
Master_Mapping_Sheet!$E$2:$E$3143, ISNUMBER(
Master_Mapping_Sh"&amp;"eet!$E$2:$E$3143),
Master_Mapping_Sheet!$C$2:$C$3143=J$1))), 0, sum(filter(
Master_Mapping_Sheet!$E$2:$E$3143, ISNUMBER(
Master_Mapping_Sheet!$E$2:$E$3143),
Master_Mapping_Sheet!$C$2:$C$3143=J$1,
Master_Mapping_Sheet!$H$2:$H$3143=$A15))/sum(filter(
Master"&amp;"_Mapping_Sheet!$E$2:$E$3143, ISNUMBER(
Master_Mapping_Sheet!$E$2:$E$3143),
Master_Mapping_Sheet!$C$2:$C$3143=J$1)))"),0.0)</f>
        <v>0</v>
      </c>
      <c r="K15" s="34">
        <f>IFERROR(__xludf.DUMMYFUNCTION("IF(ISNA(sum(filter(
Master_Mapping_Sheet!$E$2:$E$3143, ISNUMBER(
Master_Mapping_Sheet!$E$2:$E$3143),
Master_Mapping_Sheet!$C$2:$C$3143=K$1,
Master_Mapping_Sheet!$H$2:$H$3143=$A15))/sum(filter(
Master_Mapping_Sheet!$E$2:$E$3143, ISNUMBER(
Master_Mapping_Sh"&amp;"eet!$E$2:$E$3143),
Master_Mapping_Sheet!$C$2:$C$3143=K$1))), 0, sum(filter(
Master_Mapping_Sheet!$E$2:$E$3143, ISNUMBER(
Master_Mapping_Sheet!$E$2:$E$3143),
Master_Mapping_Sheet!$C$2:$C$3143=K$1,
Master_Mapping_Sheet!$H$2:$H$3143=$A15))/sum(filter(
Master"&amp;"_Mapping_Sheet!$E$2:$E$3143, ISNUMBER(
Master_Mapping_Sheet!$E$2:$E$3143),
Master_Mapping_Sheet!$C$2:$C$3143=K$1)))"),0.0)</f>
        <v>0</v>
      </c>
      <c r="L15" s="34">
        <f>IFERROR(__xludf.DUMMYFUNCTION("IF(ISNA(sum(filter(
Master_Mapping_Sheet!$E$2:$E$3143, ISNUMBER(
Master_Mapping_Sheet!$E$2:$E$3143),
Master_Mapping_Sheet!$C$2:$C$3143=L$1,
Master_Mapping_Sheet!$H$2:$H$3143=$A15))/sum(filter(
Master_Mapping_Sheet!$E$2:$E$3143, ISNUMBER(
Master_Mapping_Sh"&amp;"eet!$E$2:$E$3143),
Master_Mapping_Sheet!$C$2:$C$3143=L$1))), 0, sum(filter(
Master_Mapping_Sheet!$E$2:$E$3143, ISNUMBER(
Master_Mapping_Sheet!$E$2:$E$3143),
Master_Mapping_Sheet!$C$2:$C$3143=L$1,
Master_Mapping_Sheet!$H$2:$H$3143=$A15))/sum(filter(
Master"&amp;"_Mapping_Sheet!$E$2:$E$3143, ISNUMBER(
Master_Mapping_Sheet!$E$2:$E$3143),
Master_Mapping_Sheet!$C$2:$C$3143=L$1)))"),0.0)</f>
        <v>0</v>
      </c>
      <c r="M15" s="34">
        <f>IFERROR(__xludf.DUMMYFUNCTION("IF(ISNA(sum(filter(
Master_Mapping_Sheet!$E$2:$E$3143, ISNUMBER(
Master_Mapping_Sheet!$E$2:$E$3143),
Master_Mapping_Sheet!$C$2:$C$3143=M$1,
Master_Mapping_Sheet!$H$2:$H$3143=$A15))/sum(filter(
Master_Mapping_Sheet!$E$2:$E$3143, ISNUMBER(
Master_Mapping_Sh"&amp;"eet!$E$2:$E$3143),
Master_Mapping_Sheet!$C$2:$C$3143=M$1))), 0, sum(filter(
Master_Mapping_Sheet!$E$2:$E$3143, ISNUMBER(
Master_Mapping_Sheet!$E$2:$E$3143),
Master_Mapping_Sheet!$C$2:$C$3143=M$1,
Master_Mapping_Sheet!$H$2:$H$3143=$A15))/sum(filter(
Master"&amp;"_Mapping_Sheet!$E$2:$E$3143, ISNUMBER(
Master_Mapping_Sheet!$E$2:$E$3143),
Master_Mapping_Sheet!$C$2:$C$3143=M$1)))"),0.0)</f>
        <v>0</v>
      </c>
      <c r="N15" s="34">
        <f>IFERROR(__xludf.DUMMYFUNCTION("IF(ISNA(sum(filter(
Master_Mapping_Sheet!$E$2:$E$3143, ISNUMBER(
Master_Mapping_Sheet!$E$2:$E$3143),
Master_Mapping_Sheet!$C$2:$C$3143=N$1,
Master_Mapping_Sheet!$H$2:$H$3143=$A15))/sum(filter(
Master_Mapping_Sheet!$E$2:$E$3143, ISNUMBER(
Master_Mapping_Sh"&amp;"eet!$E$2:$E$3143),
Master_Mapping_Sheet!$C$2:$C$3143=N$1))), 0, sum(filter(
Master_Mapping_Sheet!$E$2:$E$3143, ISNUMBER(
Master_Mapping_Sheet!$E$2:$E$3143),
Master_Mapping_Sheet!$C$2:$C$3143=N$1,
Master_Mapping_Sheet!$H$2:$H$3143=$A15))/sum(filter(
Master"&amp;"_Mapping_Sheet!$E$2:$E$3143, ISNUMBER(
Master_Mapping_Sheet!$E$2:$E$3143),
Master_Mapping_Sheet!$C$2:$C$3143=N$1)))"),0.0)</f>
        <v>0</v>
      </c>
      <c r="O15" s="34">
        <f>IFERROR(__xludf.DUMMYFUNCTION("IF(ISNA(sum(filter(
Master_Mapping_Sheet!$E$2:$E$3143, ISNUMBER(
Master_Mapping_Sheet!$E$2:$E$3143),
Master_Mapping_Sheet!$C$2:$C$3143=O$1,
Master_Mapping_Sheet!$H$2:$H$3143=$A15))/sum(filter(
Master_Mapping_Sheet!$E$2:$E$3143, ISNUMBER(
Master_Mapping_Sh"&amp;"eet!$E$2:$E$3143),
Master_Mapping_Sheet!$C$2:$C$3143=O$1))), 0, sum(filter(
Master_Mapping_Sheet!$E$2:$E$3143, ISNUMBER(
Master_Mapping_Sheet!$E$2:$E$3143),
Master_Mapping_Sheet!$C$2:$C$3143=O$1,
Master_Mapping_Sheet!$H$2:$H$3143=$A15))/sum(filter(
Master"&amp;"_Mapping_Sheet!$E$2:$E$3143, ISNUMBER(
Master_Mapping_Sheet!$E$2:$E$3143),
Master_Mapping_Sheet!$C$2:$C$3143=O$1)))"),0.0)</f>
        <v>0</v>
      </c>
      <c r="P15" s="34">
        <f>IFERROR(__xludf.DUMMYFUNCTION("IF(ISNA(sum(filter(
Master_Mapping_Sheet!$E$2:$E$3143, ISNUMBER(
Master_Mapping_Sheet!$E$2:$E$3143),
Master_Mapping_Sheet!$C$2:$C$3143=P$1,
Master_Mapping_Sheet!$H$2:$H$3143=$A15))/sum(filter(
Master_Mapping_Sheet!$E$2:$E$3143, ISNUMBER(
Master_Mapping_Sh"&amp;"eet!$E$2:$E$3143),
Master_Mapping_Sheet!$C$2:$C$3143=P$1))), 0, sum(filter(
Master_Mapping_Sheet!$E$2:$E$3143, ISNUMBER(
Master_Mapping_Sheet!$E$2:$E$3143),
Master_Mapping_Sheet!$C$2:$C$3143=P$1,
Master_Mapping_Sheet!$H$2:$H$3143=$A15))/sum(filter(
Master"&amp;"_Mapping_Sheet!$E$2:$E$3143, ISNUMBER(
Master_Mapping_Sheet!$E$2:$E$3143),
Master_Mapping_Sheet!$C$2:$C$3143=P$1)))"),0.0)</f>
        <v>0</v>
      </c>
      <c r="Q15" s="34">
        <f>IFERROR(__xludf.DUMMYFUNCTION("IF(ISNA(sum(filter(
Master_Mapping_Sheet!$E$2:$E$3143, ISNUMBER(
Master_Mapping_Sheet!$E$2:$E$3143),
Master_Mapping_Sheet!$C$2:$C$3143=Q$1,
Master_Mapping_Sheet!$H$2:$H$3143=$A15))/sum(filter(
Master_Mapping_Sheet!$E$2:$E$3143, ISNUMBER(
Master_Mapping_Sh"&amp;"eet!$E$2:$E$3143),
Master_Mapping_Sheet!$C$2:$C$3143=Q$1))), 0, sum(filter(
Master_Mapping_Sheet!$E$2:$E$3143, ISNUMBER(
Master_Mapping_Sheet!$E$2:$E$3143),
Master_Mapping_Sheet!$C$2:$C$3143=Q$1,
Master_Mapping_Sheet!$H$2:$H$3143=$A15))/sum(filter(
Master"&amp;"_Mapping_Sheet!$E$2:$E$3143, ISNUMBER(
Master_Mapping_Sheet!$E$2:$E$3143),
Master_Mapping_Sheet!$C$2:$C$3143=Q$1)))"),0.0)</f>
        <v>0</v>
      </c>
      <c r="R15" s="34">
        <f>IFERROR(__xludf.DUMMYFUNCTION("IF(ISNA(sum(filter(
Master_Mapping_Sheet!$E$2:$E$3143, ISNUMBER(
Master_Mapping_Sheet!$E$2:$E$3143),
Master_Mapping_Sheet!$C$2:$C$3143=R$1,
Master_Mapping_Sheet!$H$2:$H$3143=$A15))/sum(filter(
Master_Mapping_Sheet!$E$2:$E$3143, ISNUMBER(
Master_Mapping_Sh"&amp;"eet!$E$2:$E$3143),
Master_Mapping_Sheet!$C$2:$C$3143=R$1))), 0, sum(filter(
Master_Mapping_Sheet!$E$2:$E$3143, ISNUMBER(
Master_Mapping_Sheet!$E$2:$E$3143),
Master_Mapping_Sheet!$C$2:$C$3143=R$1,
Master_Mapping_Sheet!$H$2:$H$3143=$A15))/sum(filter(
Master"&amp;"_Mapping_Sheet!$E$2:$E$3143, ISNUMBER(
Master_Mapping_Sheet!$E$2:$E$3143),
Master_Mapping_Sheet!$C$2:$C$3143=R$1)))"),0.0)</f>
        <v>0</v>
      </c>
      <c r="S15" s="34">
        <f>IFERROR(__xludf.DUMMYFUNCTION("IF(ISNA(sum(filter(
Master_Mapping_Sheet!$E$2:$E$3143, ISNUMBER(
Master_Mapping_Sheet!$E$2:$E$3143),
Master_Mapping_Sheet!$C$2:$C$3143=S$1,
Master_Mapping_Sheet!$H$2:$H$3143=$A15))/sum(filter(
Master_Mapping_Sheet!$E$2:$E$3143, ISNUMBER(
Master_Mapping_Sh"&amp;"eet!$E$2:$E$3143),
Master_Mapping_Sheet!$C$2:$C$3143=S$1))), 0, sum(filter(
Master_Mapping_Sheet!$E$2:$E$3143, ISNUMBER(
Master_Mapping_Sheet!$E$2:$E$3143),
Master_Mapping_Sheet!$C$2:$C$3143=S$1,
Master_Mapping_Sheet!$H$2:$H$3143=$A15))/sum(filter(
Master"&amp;"_Mapping_Sheet!$E$2:$E$3143, ISNUMBER(
Master_Mapping_Sheet!$E$2:$E$3143),
Master_Mapping_Sheet!$C$2:$C$3143=S$1)))"),0.0)</f>
        <v>0</v>
      </c>
      <c r="T15" s="34">
        <f>IFERROR(__xludf.DUMMYFUNCTION("IF(ISNA(sum(filter(
Master_Mapping_Sheet!$E$2:$E$3143, ISNUMBER(
Master_Mapping_Sheet!$E$2:$E$3143),
Master_Mapping_Sheet!$C$2:$C$3143=T$1,
Master_Mapping_Sheet!$H$2:$H$3143=$A15))/sum(filter(
Master_Mapping_Sheet!$E$2:$E$3143, ISNUMBER(
Master_Mapping_Sh"&amp;"eet!$E$2:$E$3143),
Master_Mapping_Sheet!$C$2:$C$3143=T$1))), 0, sum(filter(
Master_Mapping_Sheet!$E$2:$E$3143, ISNUMBER(
Master_Mapping_Sheet!$E$2:$E$3143),
Master_Mapping_Sheet!$C$2:$C$3143=T$1,
Master_Mapping_Sheet!$H$2:$H$3143=$A15))/sum(filter(
Master"&amp;"_Mapping_Sheet!$E$2:$E$3143, ISNUMBER(
Master_Mapping_Sheet!$E$2:$E$3143),
Master_Mapping_Sheet!$C$2:$C$3143=T$1)))"),0.0)</f>
        <v>0</v>
      </c>
      <c r="U15" s="34">
        <f>IFERROR(__xludf.DUMMYFUNCTION("IF(ISNA(sum(filter(
Master_Mapping_Sheet!$E$2:$E$3143, ISNUMBER(
Master_Mapping_Sheet!$E$2:$E$3143),
Master_Mapping_Sheet!$C$2:$C$3143=U$1,
Master_Mapping_Sheet!$H$2:$H$3143=$A15))/sum(filter(
Master_Mapping_Sheet!$E$2:$E$3143, ISNUMBER(
Master_Mapping_Sh"&amp;"eet!$E$2:$E$3143),
Master_Mapping_Sheet!$C$2:$C$3143=U$1))), 0, sum(filter(
Master_Mapping_Sheet!$E$2:$E$3143, ISNUMBER(
Master_Mapping_Sheet!$E$2:$E$3143),
Master_Mapping_Sheet!$C$2:$C$3143=U$1,
Master_Mapping_Sheet!$H$2:$H$3143=$A15))/sum(filter(
Master"&amp;"_Mapping_Sheet!$E$2:$E$3143, ISNUMBER(
Master_Mapping_Sheet!$E$2:$E$3143),
Master_Mapping_Sheet!$C$2:$C$3143=U$1)))"),0.0)</f>
        <v>0</v>
      </c>
      <c r="V15" s="34">
        <f>IFERROR(__xludf.DUMMYFUNCTION("IF(ISNA(sum(filter(
Master_Mapping_Sheet!$E$2:$E$3143, ISNUMBER(
Master_Mapping_Sheet!$E$2:$E$3143),
Master_Mapping_Sheet!$C$2:$C$3143=V$1,
Master_Mapping_Sheet!$H$2:$H$3143=$A15))/sum(filter(
Master_Mapping_Sheet!$E$2:$E$3143, ISNUMBER(
Master_Mapping_Sh"&amp;"eet!$E$2:$E$3143),
Master_Mapping_Sheet!$C$2:$C$3143=V$1))), 0, sum(filter(
Master_Mapping_Sheet!$E$2:$E$3143, ISNUMBER(
Master_Mapping_Sheet!$E$2:$E$3143),
Master_Mapping_Sheet!$C$2:$C$3143=V$1,
Master_Mapping_Sheet!$H$2:$H$3143=$A15))/sum(filter(
Master"&amp;"_Mapping_Sheet!$E$2:$E$3143, ISNUMBER(
Master_Mapping_Sheet!$E$2:$E$3143),
Master_Mapping_Sheet!$C$2:$C$3143=V$1)))"),0.0)</f>
        <v>0</v>
      </c>
      <c r="W15" s="34">
        <f>IFERROR(__xludf.DUMMYFUNCTION("IF(ISNA(sum(filter(
Master_Mapping_Sheet!$E$2:$E$3143, ISNUMBER(
Master_Mapping_Sheet!$E$2:$E$3143),
Master_Mapping_Sheet!$C$2:$C$3143=W$1,
Master_Mapping_Sheet!$H$2:$H$3143=$A15))/sum(filter(
Master_Mapping_Sheet!$E$2:$E$3143, ISNUMBER(
Master_Mapping_Sh"&amp;"eet!$E$2:$E$3143),
Master_Mapping_Sheet!$C$2:$C$3143=W$1))), 0, sum(filter(
Master_Mapping_Sheet!$E$2:$E$3143, ISNUMBER(
Master_Mapping_Sheet!$E$2:$E$3143),
Master_Mapping_Sheet!$C$2:$C$3143=W$1,
Master_Mapping_Sheet!$H$2:$H$3143=$A15))/sum(filter(
Master"&amp;"_Mapping_Sheet!$E$2:$E$3143, ISNUMBER(
Master_Mapping_Sheet!$E$2:$E$3143),
Master_Mapping_Sheet!$C$2:$C$3143=W$1)))"),0.0)</f>
        <v>0</v>
      </c>
      <c r="X15" s="34">
        <f>IFERROR(__xludf.DUMMYFUNCTION("IF(ISNA(sum(filter(
Master_Mapping_Sheet!$E$2:$E$3143, ISNUMBER(
Master_Mapping_Sheet!$E$2:$E$3143),
Master_Mapping_Sheet!$C$2:$C$3143=X$1,
Master_Mapping_Sheet!$H$2:$H$3143=$A15))/sum(filter(
Master_Mapping_Sheet!$E$2:$E$3143, ISNUMBER(
Master_Mapping_Sh"&amp;"eet!$E$2:$E$3143),
Master_Mapping_Sheet!$C$2:$C$3143=X$1))), 0, sum(filter(
Master_Mapping_Sheet!$E$2:$E$3143, ISNUMBER(
Master_Mapping_Sheet!$E$2:$E$3143),
Master_Mapping_Sheet!$C$2:$C$3143=X$1,
Master_Mapping_Sheet!$H$2:$H$3143=$A15))/sum(filter(
Master"&amp;"_Mapping_Sheet!$E$2:$E$3143, ISNUMBER(
Master_Mapping_Sheet!$E$2:$E$3143),
Master_Mapping_Sheet!$C$2:$C$3143=X$1)))"),0.0)</f>
        <v>0</v>
      </c>
      <c r="Y15" s="34">
        <f>IFERROR(__xludf.DUMMYFUNCTION("IF(ISNA(sum(filter(
Master_Mapping_Sheet!$E$2:$E$3143, ISNUMBER(
Master_Mapping_Sheet!$E$2:$E$3143),
Master_Mapping_Sheet!$C$2:$C$3143=Y$1,
Master_Mapping_Sheet!$H$2:$H$3143=$A15))/sum(filter(
Master_Mapping_Sheet!$E$2:$E$3143, ISNUMBER(
Master_Mapping_Sh"&amp;"eet!$E$2:$E$3143),
Master_Mapping_Sheet!$C$2:$C$3143=Y$1))), 0, sum(filter(
Master_Mapping_Sheet!$E$2:$E$3143, ISNUMBER(
Master_Mapping_Sheet!$E$2:$E$3143),
Master_Mapping_Sheet!$C$2:$C$3143=Y$1,
Master_Mapping_Sheet!$H$2:$H$3143=$A15))/sum(filter(
Master"&amp;"_Mapping_Sheet!$E$2:$E$3143, ISNUMBER(
Master_Mapping_Sheet!$E$2:$E$3143),
Master_Mapping_Sheet!$C$2:$C$3143=Y$1)))"),0.0)</f>
        <v>0</v>
      </c>
      <c r="Z15" s="34">
        <f>IFERROR(__xludf.DUMMYFUNCTION("IF(ISNA(sum(filter(
Master_Mapping_Sheet!$E$2:$E$3143, ISNUMBER(
Master_Mapping_Sheet!$E$2:$E$3143),
Master_Mapping_Sheet!$C$2:$C$3143=Z$1,
Master_Mapping_Sheet!$H$2:$H$3143=$A15))/sum(filter(
Master_Mapping_Sheet!$E$2:$E$3143, ISNUMBER(
Master_Mapping_Sh"&amp;"eet!$E$2:$E$3143),
Master_Mapping_Sheet!$C$2:$C$3143=Z$1))), 0, sum(filter(
Master_Mapping_Sheet!$E$2:$E$3143, ISNUMBER(
Master_Mapping_Sheet!$E$2:$E$3143),
Master_Mapping_Sheet!$C$2:$C$3143=Z$1,
Master_Mapping_Sheet!$H$2:$H$3143=$A15))/sum(filter(
Master"&amp;"_Mapping_Sheet!$E$2:$E$3143, ISNUMBER(
Master_Mapping_Sheet!$E$2:$E$3143),
Master_Mapping_Sheet!$C$2:$C$3143=Z$1)))"),0.0)</f>
        <v>0</v>
      </c>
      <c r="AA15" s="34">
        <f>IFERROR(__xludf.DUMMYFUNCTION("IF(ISNA(sum(filter(
Master_Mapping_Sheet!$E$2:$E$3143, ISNUMBER(
Master_Mapping_Sheet!$E$2:$E$3143),
Master_Mapping_Sheet!$C$2:$C$3143=AA$1,
Master_Mapping_Sheet!$H$2:$H$3143=$A15))/sum(filter(
Master_Mapping_Sheet!$E$2:$E$3143, ISNUMBER(
Master_Mapping_S"&amp;"heet!$E$2:$E$3143),
Master_Mapping_Sheet!$C$2:$C$3143=AA$1))), 0, sum(filter(
Master_Mapping_Sheet!$E$2:$E$3143, ISNUMBER(
Master_Mapping_Sheet!$E$2:$E$3143),
Master_Mapping_Sheet!$C$2:$C$3143=AA$1,
Master_Mapping_Sheet!$H$2:$H$3143=$A15))/sum(filter(
Mas"&amp;"ter_Mapping_Sheet!$E$2:$E$3143, ISNUMBER(
Master_Mapping_Sheet!$E$2:$E$3143),
Master_Mapping_Sheet!$C$2:$C$3143=AA$1)))"),0.0)</f>
        <v>0</v>
      </c>
      <c r="AB15" s="34">
        <f>IFERROR(__xludf.DUMMYFUNCTION("IF(ISNA(sum(filter(
Master_Mapping_Sheet!$E$2:$E$3143, ISNUMBER(
Master_Mapping_Sheet!$E$2:$E$3143),
Master_Mapping_Sheet!$C$2:$C$3143=AB$1,
Master_Mapping_Sheet!$H$2:$H$3143=$A15))/sum(filter(
Master_Mapping_Sheet!$E$2:$E$3143, ISNUMBER(
Master_Mapping_S"&amp;"heet!$E$2:$E$3143),
Master_Mapping_Sheet!$C$2:$C$3143=AB$1))), 0, sum(filter(
Master_Mapping_Sheet!$E$2:$E$3143, ISNUMBER(
Master_Mapping_Sheet!$E$2:$E$3143),
Master_Mapping_Sheet!$C$2:$C$3143=AB$1,
Master_Mapping_Sheet!$H$2:$H$3143=$A15))/sum(filter(
Mas"&amp;"ter_Mapping_Sheet!$E$2:$E$3143, ISNUMBER(
Master_Mapping_Sheet!$E$2:$E$3143),
Master_Mapping_Sheet!$C$2:$C$3143=AB$1)))"),0.0)</f>
        <v>0</v>
      </c>
      <c r="AC15" s="34">
        <f>IFERROR(__xludf.DUMMYFUNCTION("IF(ISNA(sum(filter(
Master_Mapping_Sheet!$E$2:$E$3143, ISNUMBER(
Master_Mapping_Sheet!$E$2:$E$3143),
Master_Mapping_Sheet!$C$2:$C$3143=AC$1,
Master_Mapping_Sheet!$H$2:$H$3143=$A15))/sum(filter(
Master_Mapping_Sheet!$E$2:$E$3143, ISNUMBER(
Master_Mapping_S"&amp;"heet!$E$2:$E$3143),
Master_Mapping_Sheet!$C$2:$C$3143=AC$1))), 0, sum(filter(
Master_Mapping_Sheet!$E$2:$E$3143, ISNUMBER(
Master_Mapping_Sheet!$E$2:$E$3143),
Master_Mapping_Sheet!$C$2:$C$3143=AC$1,
Master_Mapping_Sheet!$H$2:$H$3143=$A15))/sum(filter(
Mas"&amp;"ter_Mapping_Sheet!$E$2:$E$3143, ISNUMBER(
Master_Mapping_Sheet!$E$2:$E$3143),
Master_Mapping_Sheet!$C$2:$C$3143=AC$1)))"),0.0)</f>
        <v>0</v>
      </c>
      <c r="AD15" s="34">
        <f>IFERROR(__xludf.DUMMYFUNCTION("IF(ISNA(sum(filter(
Master_Mapping_Sheet!$E$2:$E$3143, ISNUMBER(
Master_Mapping_Sheet!$E$2:$E$3143),
Master_Mapping_Sheet!$C$2:$C$3143=AD$1,
Master_Mapping_Sheet!$H$2:$H$3143=$A15))/sum(filter(
Master_Mapping_Sheet!$E$2:$E$3143, ISNUMBER(
Master_Mapping_S"&amp;"heet!$E$2:$E$3143),
Master_Mapping_Sheet!$C$2:$C$3143=AD$1))), 0, sum(filter(
Master_Mapping_Sheet!$E$2:$E$3143, ISNUMBER(
Master_Mapping_Sheet!$E$2:$E$3143),
Master_Mapping_Sheet!$C$2:$C$3143=AD$1,
Master_Mapping_Sheet!$H$2:$H$3143=$A15))/sum(filter(
Mas"&amp;"ter_Mapping_Sheet!$E$2:$E$3143, ISNUMBER(
Master_Mapping_Sheet!$E$2:$E$3143),
Master_Mapping_Sheet!$C$2:$C$3143=AD$1)))"),0.0)</f>
        <v>0</v>
      </c>
      <c r="AE15" s="34">
        <f>IFERROR(__xludf.DUMMYFUNCTION("IF(ISNA(sum(filter(
Master_Mapping_Sheet!$E$2:$E$3143, ISNUMBER(
Master_Mapping_Sheet!$E$2:$E$3143),
Master_Mapping_Sheet!$C$2:$C$3143=AE$1,
Master_Mapping_Sheet!$H$2:$H$3143=$A15))/sum(filter(
Master_Mapping_Sheet!$E$2:$E$3143, ISNUMBER(
Master_Mapping_S"&amp;"heet!$E$2:$E$3143),
Master_Mapping_Sheet!$C$2:$C$3143=AE$1))), 0, sum(filter(
Master_Mapping_Sheet!$E$2:$E$3143, ISNUMBER(
Master_Mapping_Sheet!$E$2:$E$3143),
Master_Mapping_Sheet!$C$2:$C$3143=AE$1,
Master_Mapping_Sheet!$H$2:$H$3143=$A15))/sum(filter(
Mas"&amp;"ter_Mapping_Sheet!$E$2:$E$3143, ISNUMBER(
Master_Mapping_Sheet!$E$2:$E$3143),
Master_Mapping_Sheet!$C$2:$C$3143=AE$1)))"),0.0)</f>
        <v>0</v>
      </c>
      <c r="AF15" s="34">
        <f>IFERROR(__xludf.DUMMYFUNCTION("IF(ISNA(sum(filter(
Master_Mapping_Sheet!$E$2:$E$3143, ISNUMBER(
Master_Mapping_Sheet!$E$2:$E$3143),
Master_Mapping_Sheet!$C$2:$C$3143=AF$1,
Master_Mapping_Sheet!$H$2:$H$3143=$A15))/sum(filter(
Master_Mapping_Sheet!$E$2:$E$3143, ISNUMBER(
Master_Mapping_S"&amp;"heet!$E$2:$E$3143),
Master_Mapping_Sheet!$C$2:$C$3143=AF$1))), 0, sum(filter(
Master_Mapping_Sheet!$E$2:$E$3143, ISNUMBER(
Master_Mapping_Sheet!$E$2:$E$3143),
Master_Mapping_Sheet!$C$2:$C$3143=AF$1,
Master_Mapping_Sheet!$H$2:$H$3143=$A15))/sum(filter(
Mas"&amp;"ter_Mapping_Sheet!$E$2:$E$3143, ISNUMBER(
Master_Mapping_Sheet!$E$2:$E$3143),
Master_Mapping_Sheet!$C$2:$C$3143=AF$1)))"),0.0)</f>
        <v>0</v>
      </c>
      <c r="AG15" s="34">
        <f>IFERROR(__xludf.DUMMYFUNCTION("IF(ISNA(sum(filter(
Master_Mapping_Sheet!$E$2:$E$3143, ISNUMBER(
Master_Mapping_Sheet!$E$2:$E$3143),
Master_Mapping_Sheet!$C$2:$C$3143=AG$1,
Master_Mapping_Sheet!$H$2:$H$3143=$A15))/sum(filter(
Master_Mapping_Sheet!$E$2:$E$3143, ISNUMBER(
Master_Mapping_S"&amp;"heet!$E$2:$E$3143),
Master_Mapping_Sheet!$C$2:$C$3143=AG$1))), 0, sum(filter(
Master_Mapping_Sheet!$E$2:$E$3143, ISNUMBER(
Master_Mapping_Sheet!$E$2:$E$3143),
Master_Mapping_Sheet!$C$2:$C$3143=AG$1,
Master_Mapping_Sheet!$H$2:$H$3143=$A15))/sum(filter(
Mas"&amp;"ter_Mapping_Sheet!$E$2:$E$3143, ISNUMBER(
Master_Mapping_Sheet!$E$2:$E$3143),
Master_Mapping_Sheet!$C$2:$C$3143=AG$1)))"),0.0)</f>
        <v>0</v>
      </c>
      <c r="AH15" s="34">
        <f>IFERROR(__xludf.DUMMYFUNCTION("IF(ISNA(sum(filter(
Master_Mapping_Sheet!$E$2:$E$3143, ISNUMBER(
Master_Mapping_Sheet!$E$2:$E$3143),
Master_Mapping_Sheet!$C$2:$C$3143=AH$1,
Master_Mapping_Sheet!$H$2:$H$3143=$A15))/sum(filter(
Master_Mapping_Sheet!$E$2:$E$3143, ISNUMBER(
Master_Mapping_S"&amp;"heet!$E$2:$E$3143),
Master_Mapping_Sheet!$C$2:$C$3143=AH$1))), 0, sum(filter(
Master_Mapping_Sheet!$E$2:$E$3143, ISNUMBER(
Master_Mapping_Sheet!$E$2:$E$3143),
Master_Mapping_Sheet!$C$2:$C$3143=AH$1,
Master_Mapping_Sheet!$H$2:$H$3143=$A15))/sum(filter(
Mas"&amp;"ter_Mapping_Sheet!$E$2:$E$3143, ISNUMBER(
Master_Mapping_Sheet!$E$2:$E$3143),
Master_Mapping_Sheet!$C$2:$C$3143=AH$1)))"),0.0)</f>
        <v>0</v>
      </c>
      <c r="AI15" s="34">
        <f>IFERROR(__xludf.DUMMYFUNCTION("IF(ISNA(sum(filter(
Master_Mapping_Sheet!$E$2:$E$3143, ISNUMBER(
Master_Mapping_Sheet!$E$2:$E$3143),
Master_Mapping_Sheet!$C$2:$C$3143=AI$1,
Master_Mapping_Sheet!$H$2:$H$3143=$A15))/sum(filter(
Master_Mapping_Sheet!$E$2:$E$3143, ISNUMBER(
Master_Mapping_S"&amp;"heet!$E$2:$E$3143),
Master_Mapping_Sheet!$C$2:$C$3143=AI$1))), 0, sum(filter(
Master_Mapping_Sheet!$E$2:$E$3143, ISNUMBER(
Master_Mapping_Sheet!$E$2:$E$3143),
Master_Mapping_Sheet!$C$2:$C$3143=AI$1,
Master_Mapping_Sheet!$H$2:$H$3143=$A15))/sum(filter(
Mas"&amp;"ter_Mapping_Sheet!$E$2:$E$3143, ISNUMBER(
Master_Mapping_Sheet!$E$2:$E$3143),
Master_Mapping_Sheet!$C$2:$C$3143=AI$1)))"),0.9274366985307818)</f>
        <v>0.9274366985</v>
      </c>
      <c r="AJ15" s="34">
        <f>IFERROR(__xludf.DUMMYFUNCTION("IF(ISNA(sum(filter(
Master_Mapping_Sheet!$E$2:$E$3143, ISNUMBER(
Master_Mapping_Sheet!$E$2:$E$3143),
Master_Mapping_Sheet!$C$2:$C$3143=AJ$1,
Master_Mapping_Sheet!$H$2:$H$3143=$A15))/sum(filter(
Master_Mapping_Sheet!$E$2:$E$3143, ISNUMBER(
Master_Mapping_S"&amp;"heet!$E$2:$E$3143),
Master_Mapping_Sheet!$C$2:$C$3143=AJ$1))), 0, sum(filter(
Master_Mapping_Sheet!$E$2:$E$3143, ISNUMBER(
Master_Mapping_Sheet!$E$2:$E$3143),
Master_Mapping_Sheet!$C$2:$C$3143=AJ$1,
Master_Mapping_Sheet!$H$2:$H$3143=$A15))/sum(filter(
Mas"&amp;"ter_Mapping_Sheet!$E$2:$E$3143, ISNUMBER(
Master_Mapping_Sheet!$E$2:$E$3143),
Master_Mapping_Sheet!$C$2:$C$3143=AJ$1)))"),0.0)</f>
        <v>0</v>
      </c>
      <c r="AK15" s="34">
        <f>IFERROR(__xludf.DUMMYFUNCTION("IF(ISNA(sum(filter(
Master_Mapping_Sheet!$E$2:$E$3143, ISNUMBER(
Master_Mapping_Sheet!$E$2:$E$3143),
Master_Mapping_Sheet!$C$2:$C$3143=AK$1,
Master_Mapping_Sheet!$H$2:$H$3143=$A15))/sum(filter(
Master_Mapping_Sheet!$E$2:$E$3143, ISNUMBER(
Master_Mapping_S"&amp;"heet!$E$2:$E$3143),
Master_Mapping_Sheet!$C$2:$C$3143=AK$1))), 0, sum(filter(
Master_Mapping_Sheet!$E$2:$E$3143, ISNUMBER(
Master_Mapping_Sheet!$E$2:$E$3143),
Master_Mapping_Sheet!$C$2:$C$3143=AK$1,
Master_Mapping_Sheet!$H$2:$H$3143=$A15))/sum(filter(
Mas"&amp;"ter_Mapping_Sheet!$E$2:$E$3143, ISNUMBER(
Master_Mapping_Sheet!$E$2:$E$3143),
Master_Mapping_Sheet!$C$2:$C$3143=AK$1)))"),0.0)</f>
        <v>0</v>
      </c>
      <c r="AL15" s="34">
        <f>IFERROR(__xludf.DUMMYFUNCTION("IF(ISNA(sum(filter(
Master_Mapping_Sheet!$E$2:$E$3143, ISNUMBER(
Master_Mapping_Sheet!$E$2:$E$3143),
Master_Mapping_Sheet!$C$2:$C$3143=AL$1,
Master_Mapping_Sheet!$H$2:$H$3143=$A15))/sum(filter(
Master_Mapping_Sheet!$E$2:$E$3143, ISNUMBER(
Master_Mapping_S"&amp;"heet!$E$2:$E$3143),
Master_Mapping_Sheet!$C$2:$C$3143=AL$1))), 0, sum(filter(
Master_Mapping_Sheet!$E$2:$E$3143, ISNUMBER(
Master_Mapping_Sheet!$E$2:$E$3143),
Master_Mapping_Sheet!$C$2:$C$3143=AL$1,
Master_Mapping_Sheet!$H$2:$H$3143=$A15))/sum(filter(
Mas"&amp;"ter_Mapping_Sheet!$E$2:$E$3143, ISNUMBER(
Master_Mapping_Sheet!$E$2:$E$3143),
Master_Mapping_Sheet!$C$2:$C$3143=AL$1)))"),0.0)</f>
        <v>0</v>
      </c>
      <c r="AM15" s="34">
        <f>IFERROR(__xludf.DUMMYFUNCTION("IF(ISNA(sum(filter(
Master_Mapping_Sheet!$E$2:$E$3143, ISNUMBER(
Master_Mapping_Sheet!$E$2:$E$3143),
Master_Mapping_Sheet!$C$2:$C$3143=AM$1,
Master_Mapping_Sheet!$H$2:$H$3143=$A15))/sum(filter(
Master_Mapping_Sheet!$E$2:$E$3143, ISNUMBER(
Master_Mapping_S"&amp;"heet!$E$2:$E$3143),
Master_Mapping_Sheet!$C$2:$C$3143=AM$1))), 0, sum(filter(
Master_Mapping_Sheet!$E$2:$E$3143, ISNUMBER(
Master_Mapping_Sheet!$E$2:$E$3143),
Master_Mapping_Sheet!$C$2:$C$3143=AM$1,
Master_Mapping_Sheet!$H$2:$H$3143=$A15))/sum(filter(
Mas"&amp;"ter_Mapping_Sheet!$E$2:$E$3143, ISNUMBER(
Master_Mapping_Sheet!$E$2:$E$3143),
Master_Mapping_Sheet!$C$2:$C$3143=AM$1)))"),0.0)</f>
        <v>0</v>
      </c>
      <c r="AN15" s="34">
        <f>IFERROR(__xludf.DUMMYFUNCTION("IF(ISNA(sum(filter(
Master_Mapping_Sheet!$E$2:$E$3143, ISNUMBER(
Master_Mapping_Sheet!$E$2:$E$3143),
Master_Mapping_Sheet!$C$2:$C$3143=AN$1,
Master_Mapping_Sheet!$H$2:$H$3143=$A15))/sum(filter(
Master_Mapping_Sheet!$E$2:$E$3143, ISNUMBER(
Master_Mapping_S"&amp;"heet!$E$2:$E$3143),
Master_Mapping_Sheet!$C$2:$C$3143=AN$1))), 0, sum(filter(
Master_Mapping_Sheet!$E$2:$E$3143, ISNUMBER(
Master_Mapping_Sheet!$E$2:$E$3143),
Master_Mapping_Sheet!$C$2:$C$3143=AN$1,
Master_Mapping_Sheet!$H$2:$H$3143=$A15))/sum(filter(
Mas"&amp;"ter_Mapping_Sheet!$E$2:$E$3143, ISNUMBER(
Master_Mapping_Sheet!$E$2:$E$3143),
Master_Mapping_Sheet!$C$2:$C$3143=AN$1)))"),0.0)</f>
        <v>0</v>
      </c>
      <c r="AO15" s="34">
        <f>IFERROR(__xludf.DUMMYFUNCTION("IF(ISNA(sum(filter(
Master_Mapping_Sheet!$E$2:$E$3143, ISNUMBER(
Master_Mapping_Sheet!$E$2:$E$3143),
Master_Mapping_Sheet!$C$2:$C$3143=AO$1,
Master_Mapping_Sheet!$H$2:$H$3143=$A15))/sum(filter(
Master_Mapping_Sheet!$E$2:$E$3143, ISNUMBER(
Master_Mapping_S"&amp;"heet!$E$2:$E$3143),
Master_Mapping_Sheet!$C$2:$C$3143=AO$1))), 0, sum(filter(
Master_Mapping_Sheet!$E$2:$E$3143, ISNUMBER(
Master_Mapping_Sheet!$E$2:$E$3143),
Master_Mapping_Sheet!$C$2:$C$3143=AO$1,
Master_Mapping_Sheet!$H$2:$H$3143=$A15))/sum(filter(
Mas"&amp;"ter_Mapping_Sheet!$E$2:$E$3143, ISNUMBER(
Master_Mapping_Sheet!$E$2:$E$3143),
Master_Mapping_Sheet!$C$2:$C$3143=AO$1)))"),0.0)</f>
        <v>0</v>
      </c>
      <c r="AP15" s="34">
        <f>IFERROR(__xludf.DUMMYFUNCTION("IF(ISNA(sum(filter(
Master_Mapping_Sheet!$E$2:$E$3143, ISNUMBER(
Master_Mapping_Sheet!$E$2:$E$3143),
Master_Mapping_Sheet!$C$2:$C$3143=AP$1,
Master_Mapping_Sheet!$H$2:$H$3143=$A15))/sum(filter(
Master_Mapping_Sheet!$E$2:$E$3143, ISNUMBER(
Master_Mapping_S"&amp;"heet!$E$2:$E$3143),
Master_Mapping_Sheet!$C$2:$C$3143=AP$1))), 0, sum(filter(
Master_Mapping_Sheet!$E$2:$E$3143, ISNUMBER(
Master_Mapping_Sheet!$E$2:$E$3143),
Master_Mapping_Sheet!$C$2:$C$3143=AP$1,
Master_Mapping_Sheet!$H$2:$H$3143=$A15))/sum(filter(
Mas"&amp;"ter_Mapping_Sheet!$E$2:$E$3143, ISNUMBER(
Master_Mapping_Sheet!$E$2:$E$3143),
Master_Mapping_Sheet!$C$2:$C$3143=AP$1)))"),1.0)</f>
        <v>1</v>
      </c>
      <c r="AQ15" s="34">
        <f>IFERROR(__xludf.DUMMYFUNCTION("IF(ISNA(sum(filter(
Master_Mapping_Sheet!$E$2:$E$3143, ISNUMBER(
Master_Mapping_Sheet!$E$2:$E$3143),
Master_Mapping_Sheet!$C$2:$C$3143=AQ$1,
Master_Mapping_Sheet!$H$2:$H$3143=$A15))/sum(filter(
Master_Mapping_Sheet!$E$2:$E$3143, ISNUMBER(
Master_Mapping_S"&amp;"heet!$E$2:$E$3143),
Master_Mapping_Sheet!$C$2:$C$3143=AQ$1))), 0, sum(filter(
Master_Mapping_Sheet!$E$2:$E$3143, ISNUMBER(
Master_Mapping_Sheet!$E$2:$E$3143),
Master_Mapping_Sheet!$C$2:$C$3143=AQ$1,
Master_Mapping_Sheet!$H$2:$H$3143=$A15))/sum(filter(
Mas"&amp;"ter_Mapping_Sheet!$E$2:$E$3143, ISNUMBER(
Master_Mapping_Sheet!$E$2:$E$3143),
Master_Mapping_Sheet!$C$2:$C$3143=AQ$1)))"),0.0)</f>
        <v>0</v>
      </c>
      <c r="AR15" s="34">
        <f>IFERROR(__xludf.DUMMYFUNCTION("IF(ISNA(sum(filter(
Master_Mapping_Sheet!$E$2:$E$3143, ISNUMBER(
Master_Mapping_Sheet!$E$2:$E$3143),
Master_Mapping_Sheet!$C$2:$C$3143=AR$1,
Master_Mapping_Sheet!$H$2:$H$3143=$A15))/sum(filter(
Master_Mapping_Sheet!$E$2:$E$3143, ISNUMBER(
Master_Mapping_S"&amp;"heet!$E$2:$E$3143),
Master_Mapping_Sheet!$C$2:$C$3143=AR$1))), 0, sum(filter(
Master_Mapping_Sheet!$E$2:$E$3143, ISNUMBER(
Master_Mapping_Sheet!$E$2:$E$3143),
Master_Mapping_Sheet!$C$2:$C$3143=AR$1,
Master_Mapping_Sheet!$H$2:$H$3143=$A15))/sum(filter(
Mas"&amp;"ter_Mapping_Sheet!$E$2:$E$3143, ISNUMBER(
Master_Mapping_Sheet!$E$2:$E$3143),
Master_Mapping_Sheet!$C$2:$C$3143=AR$1)))"),0.0)</f>
        <v>0</v>
      </c>
      <c r="AS15" s="34">
        <f>IFERROR(__xludf.DUMMYFUNCTION("IF(ISNA(sum(filter(
Master_Mapping_Sheet!$E$2:$E$3143, ISNUMBER(
Master_Mapping_Sheet!$E$2:$E$3143),
Master_Mapping_Sheet!$C$2:$C$3143=AS$1,
Master_Mapping_Sheet!$H$2:$H$3143=$A15))/sum(filter(
Master_Mapping_Sheet!$E$2:$E$3143, ISNUMBER(
Master_Mapping_S"&amp;"heet!$E$2:$E$3143),
Master_Mapping_Sheet!$C$2:$C$3143=AS$1))), 0, sum(filter(
Master_Mapping_Sheet!$E$2:$E$3143, ISNUMBER(
Master_Mapping_Sheet!$E$2:$E$3143),
Master_Mapping_Sheet!$C$2:$C$3143=AS$1,
Master_Mapping_Sheet!$H$2:$H$3143=$A15))/sum(filter(
Mas"&amp;"ter_Mapping_Sheet!$E$2:$E$3143, ISNUMBER(
Master_Mapping_Sheet!$E$2:$E$3143),
Master_Mapping_Sheet!$C$2:$C$3143=AS$1)))"),0.0)</f>
        <v>0</v>
      </c>
      <c r="AT15" s="34">
        <f>IFERROR(__xludf.DUMMYFUNCTION("IF(ISNA(sum(filter(
Master_Mapping_Sheet!$E$2:$E$3143, ISNUMBER(
Master_Mapping_Sheet!$E$2:$E$3143),
Master_Mapping_Sheet!$C$2:$C$3143=AT$1,
Master_Mapping_Sheet!$H$2:$H$3143=$A15))/sum(filter(
Master_Mapping_Sheet!$E$2:$E$3143, ISNUMBER(
Master_Mapping_S"&amp;"heet!$E$2:$E$3143),
Master_Mapping_Sheet!$C$2:$C$3143=AT$1))), 0, sum(filter(
Master_Mapping_Sheet!$E$2:$E$3143, ISNUMBER(
Master_Mapping_Sheet!$E$2:$E$3143),
Master_Mapping_Sheet!$C$2:$C$3143=AT$1,
Master_Mapping_Sheet!$H$2:$H$3143=$A15))/sum(filter(
Mas"&amp;"ter_Mapping_Sheet!$E$2:$E$3143, ISNUMBER(
Master_Mapping_Sheet!$E$2:$E$3143),
Master_Mapping_Sheet!$C$2:$C$3143=AT$1)))"),0.0)</f>
        <v>0</v>
      </c>
      <c r="AU15" s="34">
        <f>IFERROR(__xludf.DUMMYFUNCTION("IF(ISNA(sum(filter(
Master_Mapping_Sheet!$E$2:$E$3143, ISNUMBER(
Master_Mapping_Sheet!$E$2:$E$3143),
Master_Mapping_Sheet!$C$2:$C$3143=AU$1,
Master_Mapping_Sheet!$H$2:$H$3143=$A15))/sum(filter(
Master_Mapping_Sheet!$E$2:$E$3143, ISNUMBER(
Master_Mapping_S"&amp;"heet!$E$2:$E$3143),
Master_Mapping_Sheet!$C$2:$C$3143=AU$1))), 0, sum(filter(
Master_Mapping_Sheet!$E$2:$E$3143, ISNUMBER(
Master_Mapping_Sheet!$E$2:$E$3143),
Master_Mapping_Sheet!$C$2:$C$3143=AU$1,
Master_Mapping_Sheet!$H$2:$H$3143=$A15))/sum(filter(
Mas"&amp;"ter_Mapping_Sheet!$E$2:$E$3143, ISNUMBER(
Master_Mapping_Sheet!$E$2:$E$3143),
Master_Mapping_Sheet!$C$2:$C$3143=AU$1)))"),0.0)</f>
        <v>0</v>
      </c>
      <c r="AV15" s="34">
        <f>IFERROR(__xludf.DUMMYFUNCTION("IF(ISNA(sum(filter(
Master_Mapping_Sheet!$E$2:$E$3143, ISNUMBER(
Master_Mapping_Sheet!$E$2:$E$3143),
Master_Mapping_Sheet!$C$2:$C$3143=AV$1,
Master_Mapping_Sheet!$H$2:$H$3143=$A15))/sum(filter(
Master_Mapping_Sheet!$E$2:$E$3143, ISNUMBER(
Master_Mapping_S"&amp;"heet!$E$2:$E$3143),
Master_Mapping_Sheet!$C$2:$C$3143=AV$1))), 0, sum(filter(
Master_Mapping_Sheet!$E$2:$E$3143, ISNUMBER(
Master_Mapping_Sheet!$E$2:$E$3143),
Master_Mapping_Sheet!$C$2:$C$3143=AV$1,
Master_Mapping_Sheet!$H$2:$H$3143=$A15))/sum(filter(
Mas"&amp;"ter_Mapping_Sheet!$E$2:$E$3143, ISNUMBER(
Master_Mapping_Sheet!$E$2:$E$3143),
Master_Mapping_Sheet!$C$2:$C$3143=AV$1)))"),0.0)</f>
        <v>0</v>
      </c>
      <c r="AW15" s="34">
        <f>IFERROR(__xludf.DUMMYFUNCTION("IF(ISNA(sum(filter(
Master_Mapping_Sheet!$E$2:$E$3143, ISNUMBER(
Master_Mapping_Sheet!$E$2:$E$3143),
Master_Mapping_Sheet!$C$2:$C$3143=AW$1,
Master_Mapping_Sheet!$H$2:$H$3143=$A15))/sum(filter(
Master_Mapping_Sheet!$E$2:$E$3143, ISNUMBER(
Master_Mapping_S"&amp;"heet!$E$2:$E$3143),
Master_Mapping_Sheet!$C$2:$C$3143=AW$1))), 0, sum(filter(
Master_Mapping_Sheet!$E$2:$E$3143, ISNUMBER(
Master_Mapping_Sheet!$E$2:$E$3143),
Master_Mapping_Sheet!$C$2:$C$3143=AW$1,
Master_Mapping_Sheet!$H$2:$H$3143=$A15))/sum(filter(
Mas"&amp;"ter_Mapping_Sheet!$E$2:$E$3143, ISNUMBER(
Master_Mapping_Sheet!$E$2:$E$3143),
Master_Mapping_Sheet!$C$2:$C$3143=AW$1)))"),0.0)</f>
        <v>0</v>
      </c>
      <c r="AX15" s="34">
        <f>IFERROR(__xludf.DUMMYFUNCTION("IF(ISNA(sum(filter(
Master_Mapping_Sheet!$E$2:$E$3143, ISNUMBER(
Master_Mapping_Sheet!$E$2:$E$3143),
Master_Mapping_Sheet!$C$2:$C$3143=AX$1,
Master_Mapping_Sheet!$H$2:$H$3143=$A15))/sum(filter(
Master_Mapping_Sheet!$E$2:$E$3143, ISNUMBER(
Master_Mapping_S"&amp;"heet!$E$2:$E$3143),
Master_Mapping_Sheet!$C$2:$C$3143=AX$1))), 0, sum(filter(
Master_Mapping_Sheet!$E$2:$E$3143, ISNUMBER(
Master_Mapping_Sheet!$E$2:$E$3143),
Master_Mapping_Sheet!$C$2:$C$3143=AX$1,
Master_Mapping_Sheet!$H$2:$H$3143=$A15))/sum(filter(
Mas"&amp;"ter_Mapping_Sheet!$E$2:$E$3143, ISNUMBER(
Master_Mapping_Sheet!$E$2:$E$3143),
Master_Mapping_Sheet!$C$2:$C$3143=AX$1)))"),0.0)</f>
        <v>0</v>
      </c>
      <c r="AY15" s="34">
        <f>IFERROR(__xludf.DUMMYFUNCTION("IF(ISNA(sum(filter(
Master_Mapping_Sheet!$E$2:$E$3143, ISNUMBER(
Master_Mapping_Sheet!$E$2:$E$3143),
Master_Mapping_Sheet!$C$2:$C$3143=AY$1,
Master_Mapping_Sheet!$H$2:$H$3143=$A15))/sum(filter(
Master_Mapping_Sheet!$E$2:$E$3143, ISNUMBER(
Master_Mapping_S"&amp;"heet!$E$2:$E$3143),
Master_Mapping_Sheet!$C$2:$C$3143=AY$1))), 0, sum(filter(
Master_Mapping_Sheet!$E$2:$E$3143, ISNUMBER(
Master_Mapping_Sheet!$E$2:$E$3143),
Master_Mapping_Sheet!$C$2:$C$3143=AY$1,
Master_Mapping_Sheet!$H$2:$H$3143=$A15))/sum(filter(
Mas"&amp;"ter_Mapping_Sheet!$E$2:$E$3143, ISNUMBER(
Master_Mapping_Sheet!$E$2:$E$3143),
Master_Mapping_Sheet!$C$2:$C$3143=AY$1)))"),0.0)</f>
        <v>0</v>
      </c>
      <c r="AZ15" s="34">
        <f>IFERROR(__xludf.DUMMYFUNCTION("IF(ISNA(sum(filter(
Master_Mapping_Sheet!$E$2:$E$3143, ISNUMBER(
Master_Mapping_Sheet!$E$2:$E$3143),
Master_Mapping_Sheet!$C$2:$C$3143=AZ$1,
Master_Mapping_Sheet!$H$2:$H$3143=$A15))/sum(filter(
Master_Mapping_Sheet!$E$2:$E$3143, ISNUMBER(
Master_Mapping_S"&amp;"heet!$E$2:$E$3143),
Master_Mapping_Sheet!$C$2:$C$3143=AZ$1))), 0, sum(filter(
Master_Mapping_Sheet!$E$2:$E$3143, ISNUMBER(
Master_Mapping_Sheet!$E$2:$E$3143),
Master_Mapping_Sheet!$C$2:$C$3143=AZ$1,
Master_Mapping_Sheet!$H$2:$H$3143=$A15))/sum(filter(
Mas"&amp;"ter_Mapping_Sheet!$E$2:$E$3143, ISNUMBER(
Master_Mapping_Sheet!$E$2:$E$3143),
Master_Mapping_Sheet!$C$2:$C$3143=AZ$1)))"),0.0)</f>
        <v>0</v>
      </c>
    </row>
    <row r="16" ht="15.75" customHeight="1">
      <c r="A16" s="34" t="s">
        <v>3969</v>
      </c>
      <c r="B16" s="34">
        <f>IFERROR(__xludf.DUMMYFUNCTION("IF(ISNA(sum(filter(
Master_Mapping_Sheet!$E$2:$E$3143, ISNUMBER(
Master_Mapping_Sheet!$E$2:$E$3143),
Master_Mapping_Sheet!$C$2:$C$3143=B$1,
Master_Mapping_Sheet!$H$2:$H$3143=$A16))/sum(filter(
Master_Mapping_Sheet!$E$2:$E$3143, ISNUMBER(
Master_Mapping_Sh"&amp;"eet!$E$2:$E$3143),
Master_Mapping_Sheet!$C$2:$C$3143=B$1))), 0, sum(filter(
Master_Mapping_Sheet!$E$2:$E$3143, ISNUMBER(
Master_Mapping_Sheet!$E$2:$E$3143),
Master_Mapping_Sheet!$C$2:$C$3143=B$1,
Master_Mapping_Sheet!$H$2:$H$3143=$A16))/sum(filter(
Master"&amp;"_Mapping_Sheet!$E$2:$E$3143, ISNUMBER(
Master_Mapping_Sheet!$E$2:$E$3143),
Master_Mapping_Sheet!$C$2:$C$3143=B$1)))"),0.8286693779818137)</f>
        <v>0.828669378</v>
      </c>
      <c r="C16" s="34">
        <f>IFERROR(__xludf.DUMMYFUNCTION("IF(ISNA(sum(filter(
Master_Mapping_Sheet!$E$2:$E$3143, ISNUMBER(
Master_Mapping_Sheet!$E$2:$E$3143),
Master_Mapping_Sheet!$C$2:$C$3143=C$1,
Master_Mapping_Sheet!$H$2:$H$3143=$A16))/sum(filter(
Master_Mapping_Sheet!$E$2:$E$3143, ISNUMBER(
Master_Mapping_Sh"&amp;"eet!$E$2:$E$3143),
Master_Mapping_Sheet!$C$2:$C$3143=C$1))), 0, sum(filter(
Master_Mapping_Sheet!$E$2:$E$3143, ISNUMBER(
Master_Mapping_Sheet!$E$2:$E$3143),
Master_Mapping_Sheet!$C$2:$C$3143=C$1,
Master_Mapping_Sheet!$H$2:$H$3143=$A16))/sum(filter(
Master"&amp;"_Mapping_Sheet!$E$2:$E$3143, ISNUMBER(
Master_Mapping_Sheet!$E$2:$E$3143),
Master_Mapping_Sheet!$C$2:$C$3143=C$1)))"),0.0)</f>
        <v>0</v>
      </c>
      <c r="D16" s="34">
        <f>IFERROR(__xludf.DUMMYFUNCTION("IF(ISNA(sum(filter(
Master_Mapping_Sheet!$E$2:$E$3143, ISNUMBER(
Master_Mapping_Sheet!$E$2:$E$3143),
Master_Mapping_Sheet!$C$2:$C$3143=D$1,
Master_Mapping_Sheet!$H$2:$H$3143=$A16))/sum(filter(
Master_Mapping_Sheet!$E$2:$E$3143, ISNUMBER(
Master_Mapping_Sh"&amp;"eet!$E$2:$E$3143),
Master_Mapping_Sheet!$C$2:$C$3143=D$1))), 0, sum(filter(
Master_Mapping_Sheet!$E$2:$E$3143, ISNUMBER(
Master_Mapping_Sheet!$E$2:$E$3143),
Master_Mapping_Sheet!$C$2:$C$3143=D$1,
Master_Mapping_Sheet!$H$2:$H$3143=$A16))/sum(filter(
Master"&amp;"_Mapping_Sheet!$E$2:$E$3143, ISNUMBER(
Master_Mapping_Sheet!$E$2:$E$3143),
Master_Mapping_Sheet!$C$2:$C$3143=D$1)))"),0.0)</f>
        <v>0</v>
      </c>
      <c r="E16" s="34">
        <f>IFERROR(__xludf.DUMMYFUNCTION("IF(ISNA(sum(filter(
Master_Mapping_Sheet!$E$2:$E$3143, ISNUMBER(
Master_Mapping_Sheet!$E$2:$E$3143),
Master_Mapping_Sheet!$C$2:$C$3143=E$1,
Master_Mapping_Sheet!$H$2:$H$3143=$A16))/sum(filter(
Master_Mapping_Sheet!$E$2:$E$3143, ISNUMBER(
Master_Mapping_Sh"&amp;"eet!$E$2:$E$3143),
Master_Mapping_Sheet!$C$2:$C$3143=E$1))), 0, sum(filter(
Master_Mapping_Sheet!$E$2:$E$3143, ISNUMBER(
Master_Mapping_Sheet!$E$2:$E$3143),
Master_Mapping_Sheet!$C$2:$C$3143=E$1,
Master_Mapping_Sheet!$H$2:$H$3143=$A16))/sum(filter(
Master"&amp;"_Mapping_Sheet!$E$2:$E$3143, ISNUMBER(
Master_Mapping_Sheet!$E$2:$E$3143),
Master_Mapping_Sheet!$C$2:$C$3143=E$1)))"),0.0)</f>
        <v>0</v>
      </c>
      <c r="F16" s="34">
        <f>IFERROR(__xludf.DUMMYFUNCTION("IF(ISNA(sum(filter(
Master_Mapping_Sheet!$E$2:$E$3143, ISNUMBER(
Master_Mapping_Sheet!$E$2:$E$3143),
Master_Mapping_Sheet!$C$2:$C$3143=F$1,
Master_Mapping_Sheet!$H$2:$H$3143=$A16))/sum(filter(
Master_Mapping_Sheet!$E$2:$E$3143, ISNUMBER(
Master_Mapping_Sh"&amp;"eet!$E$2:$E$3143),
Master_Mapping_Sheet!$C$2:$C$3143=F$1))), 0, sum(filter(
Master_Mapping_Sheet!$E$2:$E$3143, ISNUMBER(
Master_Mapping_Sheet!$E$2:$E$3143),
Master_Mapping_Sheet!$C$2:$C$3143=F$1,
Master_Mapping_Sheet!$H$2:$H$3143=$A16))/sum(filter(
Master"&amp;"_Mapping_Sheet!$E$2:$E$3143, ISNUMBER(
Master_Mapping_Sheet!$E$2:$E$3143),
Master_Mapping_Sheet!$C$2:$C$3143=F$1)))"),0.0)</f>
        <v>0</v>
      </c>
      <c r="G16" s="34">
        <f>IFERROR(__xludf.DUMMYFUNCTION("IF(ISNA(sum(filter(
Master_Mapping_Sheet!$E$2:$E$3143, ISNUMBER(
Master_Mapping_Sheet!$E$2:$E$3143),
Master_Mapping_Sheet!$C$2:$C$3143=G$1,
Master_Mapping_Sheet!$H$2:$H$3143=$A16))/sum(filter(
Master_Mapping_Sheet!$E$2:$E$3143, ISNUMBER(
Master_Mapping_Sh"&amp;"eet!$E$2:$E$3143),
Master_Mapping_Sheet!$C$2:$C$3143=G$1))), 0, sum(filter(
Master_Mapping_Sheet!$E$2:$E$3143, ISNUMBER(
Master_Mapping_Sheet!$E$2:$E$3143),
Master_Mapping_Sheet!$C$2:$C$3143=G$1,
Master_Mapping_Sheet!$H$2:$H$3143=$A16))/sum(filter(
Master"&amp;"_Mapping_Sheet!$E$2:$E$3143, ISNUMBER(
Master_Mapping_Sheet!$E$2:$E$3143),
Master_Mapping_Sheet!$C$2:$C$3143=G$1)))"),0.0)</f>
        <v>0</v>
      </c>
      <c r="H16" s="34">
        <f>IFERROR(__xludf.DUMMYFUNCTION("IF(ISNA(sum(filter(
Master_Mapping_Sheet!$E$2:$E$3143, ISNUMBER(
Master_Mapping_Sheet!$E$2:$E$3143),
Master_Mapping_Sheet!$C$2:$C$3143=H$1,
Master_Mapping_Sheet!$H$2:$H$3143=$A16))/sum(filter(
Master_Mapping_Sheet!$E$2:$E$3143, ISNUMBER(
Master_Mapping_Sh"&amp;"eet!$E$2:$E$3143),
Master_Mapping_Sheet!$C$2:$C$3143=H$1))), 0, sum(filter(
Master_Mapping_Sheet!$E$2:$E$3143, ISNUMBER(
Master_Mapping_Sheet!$E$2:$E$3143),
Master_Mapping_Sheet!$C$2:$C$3143=H$1,
Master_Mapping_Sheet!$H$2:$H$3143=$A16))/sum(filter(
Master"&amp;"_Mapping_Sheet!$E$2:$E$3143, ISNUMBER(
Master_Mapping_Sheet!$E$2:$E$3143),
Master_Mapping_Sheet!$C$2:$C$3143=H$1)))"),0.0)</f>
        <v>0</v>
      </c>
      <c r="I16" s="34">
        <f>IFERROR(__xludf.DUMMYFUNCTION("IF(ISNA(sum(filter(
Master_Mapping_Sheet!$E$2:$E$3143, ISNUMBER(
Master_Mapping_Sheet!$E$2:$E$3143),
Master_Mapping_Sheet!$C$2:$C$3143=I$1,
Master_Mapping_Sheet!$H$2:$H$3143=$A16))/sum(filter(
Master_Mapping_Sheet!$E$2:$E$3143, ISNUMBER(
Master_Mapping_Sh"&amp;"eet!$E$2:$E$3143),
Master_Mapping_Sheet!$C$2:$C$3143=I$1))), 0, sum(filter(
Master_Mapping_Sheet!$E$2:$E$3143, ISNUMBER(
Master_Mapping_Sheet!$E$2:$E$3143),
Master_Mapping_Sheet!$C$2:$C$3143=I$1,
Master_Mapping_Sheet!$H$2:$H$3143=$A16))/sum(filter(
Master"&amp;"_Mapping_Sheet!$E$2:$E$3143, ISNUMBER(
Master_Mapping_Sheet!$E$2:$E$3143),
Master_Mapping_Sheet!$C$2:$C$3143=I$1)))"),0.0)</f>
        <v>0</v>
      </c>
      <c r="J16" s="34">
        <f>IFERROR(__xludf.DUMMYFUNCTION("IF(ISNA(sum(filter(
Master_Mapping_Sheet!$E$2:$E$3143, ISNUMBER(
Master_Mapping_Sheet!$E$2:$E$3143),
Master_Mapping_Sheet!$C$2:$C$3143=J$1,
Master_Mapping_Sheet!$H$2:$H$3143=$A16))/sum(filter(
Master_Mapping_Sheet!$E$2:$E$3143, ISNUMBER(
Master_Mapping_Sh"&amp;"eet!$E$2:$E$3143),
Master_Mapping_Sheet!$C$2:$C$3143=J$1))), 0, sum(filter(
Master_Mapping_Sheet!$E$2:$E$3143, ISNUMBER(
Master_Mapping_Sheet!$E$2:$E$3143),
Master_Mapping_Sheet!$C$2:$C$3143=J$1,
Master_Mapping_Sheet!$H$2:$H$3143=$A16))/sum(filter(
Master"&amp;"_Mapping_Sheet!$E$2:$E$3143, ISNUMBER(
Master_Mapping_Sheet!$E$2:$E$3143),
Master_Mapping_Sheet!$C$2:$C$3143=J$1)))"),0.0)</f>
        <v>0</v>
      </c>
      <c r="K16" s="34">
        <f>IFERROR(__xludf.DUMMYFUNCTION("IF(ISNA(sum(filter(
Master_Mapping_Sheet!$E$2:$E$3143, ISNUMBER(
Master_Mapping_Sheet!$E$2:$E$3143),
Master_Mapping_Sheet!$C$2:$C$3143=K$1,
Master_Mapping_Sheet!$H$2:$H$3143=$A16))/sum(filter(
Master_Mapping_Sheet!$E$2:$E$3143, ISNUMBER(
Master_Mapping_Sh"&amp;"eet!$E$2:$E$3143),
Master_Mapping_Sheet!$C$2:$C$3143=K$1))), 0, sum(filter(
Master_Mapping_Sheet!$E$2:$E$3143, ISNUMBER(
Master_Mapping_Sheet!$E$2:$E$3143),
Master_Mapping_Sheet!$C$2:$C$3143=K$1,
Master_Mapping_Sheet!$H$2:$H$3143=$A16))/sum(filter(
Master"&amp;"_Mapping_Sheet!$E$2:$E$3143, ISNUMBER(
Master_Mapping_Sheet!$E$2:$E$3143),
Master_Mapping_Sheet!$C$2:$C$3143=K$1)))"),0.05081694413527456)</f>
        <v>0.05081694414</v>
      </c>
      <c r="L16" s="34">
        <f>IFERROR(__xludf.DUMMYFUNCTION("IF(ISNA(sum(filter(
Master_Mapping_Sheet!$E$2:$E$3143, ISNUMBER(
Master_Mapping_Sheet!$E$2:$E$3143),
Master_Mapping_Sheet!$C$2:$C$3143=L$1,
Master_Mapping_Sheet!$H$2:$H$3143=$A16))/sum(filter(
Master_Mapping_Sheet!$E$2:$E$3143, ISNUMBER(
Master_Mapping_Sh"&amp;"eet!$E$2:$E$3143),
Master_Mapping_Sheet!$C$2:$C$3143=L$1))), 0, sum(filter(
Master_Mapping_Sheet!$E$2:$E$3143, ISNUMBER(
Master_Mapping_Sheet!$E$2:$E$3143),
Master_Mapping_Sheet!$C$2:$C$3143=L$1,
Master_Mapping_Sheet!$H$2:$H$3143=$A16))/sum(filter(
Master"&amp;"_Mapping_Sheet!$E$2:$E$3143, ISNUMBER(
Master_Mapping_Sheet!$E$2:$E$3143),
Master_Mapping_Sheet!$C$2:$C$3143=L$1)))"),0.9948932051176388)</f>
        <v>0.9948932051</v>
      </c>
      <c r="M16" s="34">
        <f>IFERROR(__xludf.DUMMYFUNCTION("IF(ISNA(sum(filter(
Master_Mapping_Sheet!$E$2:$E$3143, ISNUMBER(
Master_Mapping_Sheet!$E$2:$E$3143),
Master_Mapping_Sheet!$C$2:$C$3143=M$1,
Master_Mapping_Sheet!$H$2:$H$3143=$A16))/sum(filter(
Master_Mapping_Sheet!$E$2:$E$3143, ISNUMBER(
Master_Mapping_Sh"&amp;"eet!$E$2:$E$3143),
Master_Mapping_Sheet!$C$2:$C$3143=M$1))), 0, sum(filter(
Master_Mapping_Sheet!$E$2:$E$3143, ISNUMBER(
Master_Mapping_Sheet!$E$2:$E$3143),
Master_Mapping_Sheet!$C$2:$C$3143=M$1,
Master_Mapping_Sheet!$H$2:$H$3143=$A16))/sum(filter(
Master"&amp;"_Mapping_Sheet!$E$2:$E$3143, ISNUMBER(
Master_Mapping_Sheet!$E$2:$E$3143),
Master_Mapping_Sheet!$C$2:$C$3143=M$1)))"),0.0)</f>
        <v>0</v>
      </c>
      <c r="N16" s="34">
        <f>IFERROR(__xludf.DUMMYFUNCTION("IF(ISNA(sum(filter(
Master_Mapping_Sheet!$E$2:$E$3143, ISNUMBER(
Master_Mapping_Sheet!$E$2:$E$3143),
Master_Mapping_Sheet!$C$2:$C$3143=N$1,
Master_Mapping_Sheet!$H$2:$H$3143=$A16))/sum(filter(
Master_Mapping_Sheet!$E$2:$E$3143, ISNUMBER(
Master_Mapping_Sh"&amp;"eet!$E$2:$E$3143),
Master_Mapping_Sheet!$C$2:$C$3143=N$1))), 0, sum(filter(
Master_Mapping_Sheet!$E$2:$E$3143, ISNUMBER(
Master_Mapping_Sheet!$E$2:$E$3143),
Master_Mapping_Sheet!$C$2:$C$3143=N$1,
Master_Mapping_Sheet!$H$2:$H$3143=$A16))/sum(filter(
Master"&amp;"_Mapping_Sheet!$E$2:$E$3143, ISNUMBER(
Master_Mapping_Sheet!$E$2:$E$3143),
Master_Mapping_Sheet!$C$2:$C$3143=N$1)))"),0.0)</f>
        <v>0</v>
      </c>
      <c r="O16" s="34">
        <f>IFERROR(__xludf.DUMMYFUNCTION("IF(ISNA(sum(filter(
Master_Mapping_Sheet!$E$2:$E$3143, ISNUMBER(
Master_Mapping_Sheet!$E$2:$E$3143),
Master_Mapping_Sheet!$C$2:$C$3143=O$1,
Master_Mapping_Sheet!$H$2:$H$3143=$A16))/sum(filter(
Master_Mapping_Sheet!$E$2:$E$3143, ISNUMBER(
Master_Mapping_Sh"&amp;"eet!$E$2:$E$3143),
Master_Mapping_Sheet!$C$2:$C$3143=O$1))), 0, sum(filter(
Master_Mapping_Sheet!$E$2:$E$3143, ISNUMBER(
Master_Mapping_Sheet!$E$2:$E$3143),
Master_Mapping_Sheet!$C$2:$C$3143=O$1,
Master_Mapping_Sheet!$H$2:$H$3143=$A16))/sum(filter(
Master"&amp;"_Mapping_Sheet!$E$2:$E$3143, ISNUMBER(
Master_Mapping_Sheet!$E$2:$E$3143),
Master_Mapping_Sheet!$C$2:$C$3143=O$1)))"),0.0)</f>
        <v>0</v>
      </c>
      <c r="P16" s="34">
        <f>IFERROR(__xludf.DUMMYFUNCTION("IF(ISNA(sum(filter(
Master_Mapping_Sheet!$E$2:$E$3143, ISNUMBER(
Master_Mapping_Sheet!$E$2:$E$3143),
Master_Mapping_Sheet!$C$2:$C$3143=P$1,
Master_Mapping_Sheet!$H$2:$H$3143=$A16))/sum(filter(
Master_Mapping_Sheet!$E$2:$E$3143, ISNUMBER(
Master_Mapping_Sh"&amp;"eet!$E$2:$E$3143),
Master_Mapping_Sheet!$C$2:$C$3143=P$1))), 0, sum(filter(
Master_Mapping_Sheet!$E$2:$E$3143, ISNUMBER(
Master_Mapping_Sheet!$E$2:$E$3143),
Master_Mapping_Sheet!$C$2:$C$3143=P$1,
Master_Mapping_Sheet!$H$2:$H$3143=$A16))/sum(filter(
Master"&amp;"_Mapping_Sheet!$E$2:$E$3143, ISNUMBER(
Master_Mapping_Sheet!$E$2:$E$3143),
Master_Mapping_Sheet!$C$2:$C$3143=P$1)))"),0.0)</f>
        <v>0</v>
      </c>
      <c r="Q16" s="34">
        <f>IFERROR(__xludf.DUMMYFUNCTION("IF(ISNA(sum(filter(
Master_Mapping_Sheet!$E$2:$E$3143, ISNUMBER(
Master_Mapping_Sheet!$E$2:$E$3143),
Master_Mapping_Sheet!$C$2:$C$3143=Q$1,
Master_Mapping_Sheet!$H$2:$H$3143=$A16))/sum(filter(
Master_Mapping_Sheet!$E$2:$E$3143, ISNUMBER(
Master_Mapping_Sh"&amp;"eet!$E$2:$E$3143),
Master_Mapping_Sheet!$C$2:$C$3143=Q$1))), 0, sum(filter(
Master_Mapping_Sheet!$E$2:$E$3143, ISNUMBER(
Master_Mapping_Sheet!$E$2:$E$3143),
Master_Mapping_Sheet!$C$2:$C$3143=Q$1,
Master_Mapping_Sheet!$H$2:$H$3143=$A16))/sum(filter(
Master"&amp;"_Mapping_Sheet!$E$2:$E$3143, ISNUMBER(
Master_Mapping_Sheet!$E$2:$E$3143),
Master_Mapping_Sheet!$C$2:$C$3143=Q$1)))"),0.0)</f>
        <v>0</v>
      </c>
      <c r="R16" s="34">
        <f>IFERROR(__xludf.DUMMYFUNCTION("IF(ISNA(sum(filter(
Master_Mapping_Sheet!$E$2:$E$3143, ISNUMBER(
Master_Mapping_Sheet!$E$2:$E$3143),
Master_Mapping_Sheet!$C$2:$C$3143=R$1,
Master_Mapping_Sheet!$H$2:$H$3143=$A16))/sum(filter(
Master_Mapping_Sheet!$E$2:$E$3143, ISNUMBER(
Master_Mapping_Sh"&amp;"eet!$E$2:$E$3143),
Master_Mapping_Sheet!$C$2:$C$3143=R$1))), 0, sum(filter(
Master_Mapping_Sheet!$E$2:$E$3143, ISNUMBER(
Master_Mapping_Sheet!$E$2:$E$3143),
Master_Mapping_Sheet!$C$2:$C$3143=R$1,
Master_Mapping_Sheet!$H$2:$H$3143=$A16))/sum(filter(
Master"&amp;"_Mapping_Sheet!$E$2:$E$3143, ISNUMBER(
Master_Mapping_Sheet!$E$2:$E$3143),
Master_Mapping_Sheet!$C$2:$C$3143=R$1)))"),0.0)</f>
        <v>0</v>
      </c>
      <c r="S16" s="34">
        <f>IFERROR(__xludf.DUMMYFUNCTION("IF(ISNA(sum(filter(
Master_Mapping_Sheet!$E$2:$E$3143, ISNUMBER(
Master_Mapping_Sheet!$E$2:$E$3143),
Master_Mapping_Sheet!$C$2:$C$3143=S$1,
Master_Mapping_Sheet!$H$2:$H$3143=$A16))/sum(filter(
Master_Mapping_Sheet!$E$2:$E$3143, ISNUMBER(
Master_Mapping_Sh"&amp;"eet!$E$2:$E$3143),
Master_Mapping_Sheet!$C$2:$C$3143=S$1))), 0, sum(filter(
Master_Mapping_Sheet!$E$2:$E$3143, ISNUMBER(
Master_Mapping_Sheet!$E$2:$E$3143),
Master_Mapping_Sheet!$C$2:$C$3143=S$1,
Master_Mapping_Sheet!$H$2:$H$3143=$A16))/sum(filter(
Master"&amp;"_Mapping_Sheet!$E$2:$E$3143, ISNUMBER(
Master_Mapping_Sheet!$E$2:$E$3143),
Master_Mapping_Sheet!$C$2:$C$3143=S$1)))"),0.0)</f>
        <v>0</v>
      </c>
      <c r="T16" s="34">
        <f>IFERROR(__xludf.DUMMYFUNCTION("IF(ISNA(sum(filter(
Master_Mapping_Sheet!$E$2:$E$3143, ISNUMBER(
Master_Mapping_Sheet!$E$2:$E$3143),
Master_Mapping_Sheet!$C$2:$C$3143=T$1,
Master_Mapping_Sheet!$H$2:$H$3143=$A16))/sum(filter(
Master_Mapping_Sheet!$E$2:$E$3143, ISNUMBER(
Master_Mapping_Sh"&amp;"eet!$E$2:$E$3143),
Master_Mapping_Sheet!$C$2:$C$3143=T$1))), 0, sum(filter(
Master_Mapping_Sheet!$E$2:$E$3143, ISNUMBER(
Master_Mapping_Sheet!$E$2:$E$3143),
Master_Mapping_Sheet!$C$2:$C$3143=T$1,
Master_Mapping_Sheet!$H$2:$H$3143=$A16))/sum(filter(
Master"&amp;"_Mapping_Sheet!$E$2:$E$3143, ISNUMBER(
Master_Mapping_Sheet!$E$2:$E$3143),
Master_Mapping_Sheet!$C$2:$C$3143=T$1)))"),0.0)</f>
        <v>0</v>
      </c>
      <c r="U16" s="34">
        <f>IFERROR(__xludf.DUMMYFUNCTION("IF(ISNA(sum(filter(
Master_Mapping_Sheet!$E$2:$E$3143, ISNUMBER(
Master_Mapping_Sheet!$E$2:$E$3143),
Master_Mapping_Sheet!$C$2:$C$3143=U$1,
Master_Mapping_Sheet!$H$2:$H$3143=$A16))/sum(filter(
Master_Mapping_Sheet!$E$2:$E$3143, ISNUMBER(
Master_Mapping_Sh"&amp;"eet!$E$2:$E$3143),
Master_Mapping_Sheet!$C$2:$C$3143=U$1))), 0, sum(filter(
Master_Mapping_Sheet!$E$2:$E$3143, ISNUMBER(
Master_Mapping_Sheet!$E$2:$E$3143),
Master_Mapping_Sheet!$C$2:$C$3143=U$1,
Master_Mapping_Sheet!$H$2:$H$3143=$A16))/sum(filter(
Master"&amp;"_Mapping_Sheet!$E$2:$E$3143, ISNUMBER(
Master_Mapping_Sheet!$E$2:$E$3143),
Master_Mapping_Sheet!$C$2:$C$3143=U$1)))"),0.0)</f>
        <v>0</v>
      </c>
      <c r="V16" s="34">
        <f>IFERROR(__xludf.DUMMYFUNCTION("IF(ISNA(sum(filter(
Master_Mapping_Sheet!$E$2:$E$3143, ISNUMBER(
Master_Mapping_Sheet!$E$2:$E$3143),
Master_Mapping_Sheet!$C$2:$C$3143=V$1,
Master_Mapping_Sheet!$H$2:$H$3143=$A16))/sum(filter(
Master_Mapping_Sheet!$E$2:$E$3143, ISNUMBER(
Master_Mapping_Sh"&amp;"eet!$E$2:$E$3143),
Master_Mapping_Sheet!$C$2:$C$3143=V$1))), 0, sum(filter(
Master_Mapping_Sheet!$E$2:$E$3143, ISNUMBER(
Master_Mapping_Sheet!$E$2:$E$3143),
Master_Mapping_Sheet!$C$2:$C$3143=V$1,
Master_Mapping_Sheet!$H$2:$H$3143=$A16))/sum(filter(
Master"&amp;"_Mapping_Sheet!$E$2:$E$3143, ISNUMBER(
Master_Mapping_Sheet!$E$2:$E$3143),
Master_Mapping_Sheet!$C$2:$C$3143=V$1)))"),0.0)</f>
        <v>0</v>
      </c>
      <c r="W16" s="34">
        <f>IFERROR(__xludf.DUMMYFUNCTION("IF(ISNA(sum(filter(
Master_Mapping_Sheet!$E$2:$E$3143, ISNUMBER(
Master_Mapping_Sheet!$E$2:$E$3143),
Master_Mapping_Sheet!$C$2:$C$3143=W$1,
Master_Mapping_Sheet!$H$2:$H$3143=$A16))/sum(filter(
Master_Mapping_Sheet!$E$2:$E$3143, ISNUMBER(
Master_Mapping_Sh"&amp;"eet!$E$2:$E$3143),
Master_Mapping_Sheet!$C$2:$C$3143=W$1))), 0, sum(filter(
Master_Mapping_Sheet!$E$2:$E$3143, ISNUMBER(
Master_Mapping_Sheet!$E$2:$E$3143),
Master_Mapping_Sheet!$C$2:$C$3143=W$1,
Master_Mapping_Sheet!$H$2:$H$3143=$A16))/sum(filter(
Master"&amp;"_Mapping_Sheet!$E$2:$E$3143, ISNUMBER(
Master_Mapping_Sheet!$E$2:$E$3143),
Master_Mapping_Sheet!$C$2:$C$3143=W$1)))"),0.0)</f>
        <v>0</v>
      </c>
      <c r="X16" s="34">
        <f>IFERROR(__xludf.DUMMYFUNCTION("IF(ISNA(sum(filter(
Master_Mapping_Sheet!$E$2:$E$3143, ISNUMBER(
Master_Mapping_Sheet!$E$2:$E$3143),
Master_Mapping_Sheet!$C$2:$C$3143=X$1,
Master_Mapping_Sheet!$H$2:$H$3143=$A16))/sum(filter(
Master_Mapping_Sheet!$E$2:$E$3143, ISNUMBER(
Master_Mapping_Sh"&amp;"eet!$E$2:$E$3143),
Master_Mapping_Sheet!$C$2:$C$3143=X$1))), 0, sum(filter(
Master_Mapping_Sheet!$E$2:$E$3143, ISNUMBER(
Master_Mapping_Sheet!$E$2:$E$3143),
Master_Mapping_Sheet!$C$2:$C$3143=X$1,
Master_Mapping_Sheet!$H$2:$H$3143=$A16))/sum(filter(
Master"&amp;"_Mapping_Sheet!$E$2:$E$3143, ISNUMBER(
Master_Mapping_Sheet!$E$2:$E$3143),
Master_Mapping_Sheet!$C$2:$C$3143=X$1)))"),0.0)</f>
        <v>0</v>
      </c>
      <c r="Y16" s="34">
        <f>IFERROR(__xludf.DUMMYFUNCTION("IF(ISNA(sum(filter(
Master_Mapping_Sheet!$E$2:$E$3143, ISNUMBER(
Master_Mapping_Sheet!$E$2:$E$3143),
Master_Mapping_Sheet!$C$2:$C$3143=Y$1,
Master_Mapping_Sheet!$H$2:$H$3143=$A16))/sum(filter(
Master_Mapping_Sheet!$E$2:$E$3143, ISNUMBER(
Master_Mapping_Sh"&amp;"eet!$E$2:$E$3143),
Master_Mapping_Sheet!$C$2:$C$3143=Y$1))), 0, sum(filter(
Master_Mapping_Sheet!$E$2:$E$3143, ISNUMBER(
Master_Mapping_Sheet!$E$2:$E$3143),
Master_Mapping_Sheet!$C$2:$C$3143=Y$1,
Master_Mapping_Sheet!$H$2:$H$3143=$A16))/sum(filter(
Master"&amp;"_Mapping_Sheet!$E$2:$E$3143, ISNUMBER(
Master_Mapping_Sheet!$E$2:$E$3143),
Master_Mapping_Sheet!$C$2:$C$3143=Y$1)))"),0.0)</f>
        <v>0</v>
      </c>
      <c r="Z16" s="34">
        <f>IFERROR(__xludf.DUMMYFUNCTION("IF(ISNA(sum(filter(
Master_Mapping_Sheet!$E$2:$E$3143, ISNUMBER(
Master_Mapping_Sheet!$E$2:$E$3143),
Master_Mapping_Sheet!$C$2:$C$3143=Z$1,
Master_Mapping_Sheet!$H$2:$H$3143=$A16))/sum(filter(
Master_Mapping_Sheet!$E$2:$E$3143, ISNUMBER(
Master_Mapping_Sh"&amp;"eet!$E$2:$E$3143),
Master_Mapping_Sheet!$C$2:$C$3143=Z$1))), 0, sum(filter(
Master_Mapping_Sheet!$E$2:$E$3143, ISNUMBER(
Master_Mapping_Sheet!$E$2:$E$3143),
Master_Mapping_Sheet!$C$2:$C$3143=Z$1,
Master_Mapping_Sheet!$H$2:$H$3143=$A16))/sum(filter(
Master"&amp;"_Mapping_Sheet!$E$2:$E$3143, ISNUMBER(
Master_Mapping_Sheet!$E$2:$E$3143),
Master_Mapping_Sheet!$C$2:$C$3143=Z$1)))"),0.32422636400436783)</f>
        <v>0.324226364</v>
      </c>
      <c r="AA16" s="34">
        <f>IFERROR(__xludf.DUMMYFUNCTION("IF(ISNA(sum(filter(
Master_Mapping_Sheet!$E$2:$E$3143, ISNUMBER(
Master_Mapping_Sheet!$E$2:$E$3143),
Master_Mapping_Sheet!$C$2:$C$3143=AA$1,
Master_Mapping_Sheet!$H$2:$H$3143=$A16))/sum(filter(
Master_Mapping_Sheet!$E$2:$E$3143, ISNUMBER(
Master_Mapping_S"&amp;"heet!$E$2:$E$3143),
Master_Mapping_Sheet!$C$2:$C$3143=AA$1))), 0, sum(filter(
Master_Mapping_Sheet!$E$2:$E$3143, ISNUMBER(
Master_Mapping_Sheet!$E$2:$E$3143),
Master_Mapping_Sheet!$C$2:$C$3143=AA$1,
Master_Mapping_Sheet!$H$2:$H$3143=$A16))/sum(filter(
Mas"&amp;"ter_Mapping_Sheet!$E$2:$E$3143, ISNUMBER(
Master_Mapping_Sheet!$E$2:$E$3143),
Master_Mapping_Sheet!$C$2:$C$3143=AA$1)))"),0.0)</f>
        <v>0</v>
      </c>
      <c r="AB16" s="34">
        <f>IFERROR(__xludf.DUMMYFUNCTION("IF(ISNA(sum(filter(
Master_Mapping_Sheet!$E$2:$E$3143, ISNUMBER(
Master_Mapping_Sheet!$E$2:$E$3143),
Master_Mapping_Sheet!$C$2:$C$3143=AB$1,
Master_Mapping_Sheet!$H$2:$H$3143=$A16))/sum(filter(
Master_Mapping_Sheet!$E$2:$E$3143, ISNUMBER(
Master_Mapping_S"&amp;"heet!$E$2:$E$3143),
Master_Mapping_Sheet!$C$2:$C$3143=AB$1))), 0, sum(filter(
Master_Mapping_Sheet!$E$2:$E$3143, ISNUMBER(
Master_Mapping_Sheet!$E$2:$E$3143),
Master_Mapping_Sheet!$C$2:$C$3143=AB$1,
Master_Mapping_Sheet!$H$2:$H$3143=$A16))/sum(filter(
Mas"&amp;"ter_Mapping_Sheet!$E$2:$E$3143, ISNUMBER(
Master_Mapping_Sheet!$E$2:$E$3143),
Master_Mapping_Sheet!$C$2:$C$3143=AB$1)))"),0.0)</f>
        <v>0</v>
      </c>
      <c r="AC16" s="34">
        <f>IFERROR(__xludf.DUMMYFUNCTION("IF(ISNA(sum(filter(
Master_Mapping_Sheet!$E$2:$E$3143, ISNUMBER(
Master_Mapping_Sheet!$E$2:$E$3143),
Master_Mapping_Sheet!$C$2:$C$3143=AC$1,
Master_Mapping_Sheet!$H$2:$H$3143=$A16))/sum(filter(
Master_Mapping_Sheet!$E$2:$E$3143, ISNUMBER(
Master_Mapping_S"&amp;"heet!$E$2:$E$3143),
Master_Mapping_Sheet!$C$2:$C$3143=AC$1))), 0, sum(filter(
Master_Mapping_Sheet!$E$2:$E$3143, ISNUMBER(
Master_Mapping_Sheet!$E$2:$E$3143),
Master_Mapping_Sheet!$C$2:$C$3143=AC$1,
Master_Mapping_Sheet!$H$2:$H$3143=$A16))/sum(filter(
Mas"&amp;"ter_Mapping_Sheet!$E$2:$E$3143, ISNUMBER(
Master_Mapping_Sheet!$E$2:$E$3143),
Master_Mapping_Sheet!$C$2:$C$3143=AC$1)))"),0.0)</f>
        <v>0</v>
      </c>
      <c r="AD16" s="34">
        <f>IFERROR(__xludf.DUMMYFUNCTION("IF(ISNA(sum(filter(
Master_Mapping_Sheet!$E$2:$E$3143, ISNUMBER(
Master_Mapping_Sheet!$E$2:$E$3143),
Master_Mapping_Sheet!$C$2:$C$3143=AD$1,
Master_Mapping_Sheet!$H$2:$H$3143=$A16))/sum(filter(
Master_Mapping_Sheet!$E$2:$E$3143, ISNUMBER(
Master_Mapping_S"&amp;"heet!$E$2:$E$3143),
Master_Mapping_Sheet!$C$2:$C$3143=AD$1))), 0, sum(filter(
Master_Mapping_Sheet!$E$2:$E$3143, ISNUMBER(
Master_Mapping_Sheet!$E$2:$E$3143),
Master_Mapping_Sheet!$C$2:$C$3143=AD$1,
Master_Mapping_Sheet!$H$2:$H$3143=$A16))/sum(filter(
Mas"&amp;"ter_Mapping_Sheet!$E$2:$E$3143, ISNUMBER(
Master_Mapping_Sheet!$E$2:$E$3143),
Master_Mapping_Sheet!$C$2:$C$3143=AD$1)))"),0.0)</f>
        <v>0</v>
      </c>
      <c r="AE16" s="34">
        <f>IFERROR(__xludf.DUMMYFUNCTION("IF(ISNA(sum(filter(
Master_Mapping_Sheet!$E$2:$E$3143, ISNUMBER(
Master_Mapping_Sheet!$E$2:$E$3143),
Master_Mapping_Sheet!$C$2:$C$3143=AE$1,
Master_Mapping_Sheet!$H$2:$H$3143=$A16))/sum(filter(
Master_Mapping_Sheet!$E$2:$E$3143, ISNUMBER(
Master_Mapping_S"&amp;"heet!$E$2:$E$3143),
Master_Mapping_Sheet!$C$2:$C$3143=AE$1))), 0, sum(filter(
Master_Mapping_Sheet!$E$2:$E$3143, ISNUMBER(
Master_Mapping_Sheet!$E$2:$E$3143),
Master_Mapping_Sheet!$C$2:$C$3143=AE$1,
Master_Mapping_Sheet!$H$2:$H$3143=$A16))/sum(filter(
Mas"&amp;"ter_Mapping_Sheet!$E$2:$E$3143, ISNUMBER(
Master_Mapping_Sheet!$E$2:$E$3143),
Master_Mapping_Sheet!$C$2:$C$3143=AE$1)))"),0.0)</f>
        <v>0</v>
      </c>
      <c r="AF16" s="34">
        <f>IFERROR(__xludf.DUMMYFUNCTION("IF(ISNA(sum(filter(
Master_Mapping_Sheet!$E$2:$E$3143, ISNUMBER(
Master_Mapping_Sheet!$E$2:$E$3143),
Master_Mapping_Sheet!$C$2:$C$3143=AF$1,
Master_Mapping_Sheet!$H$2:$H$3143=$A16))/sum(filter(
Master_Mapping_Sheet!$E$2:$E$3143, ISNUMBER(
Master_Mapping_S"&amp;"heet!$E$2:$E$3143),
Master_Mapping_Sheet!$C$2:$C$3143=AF$1))), 0, sum(filter(
Master_Mapping_Sheet!$E$2:$E$3143, ISNUMBER(
Master_Mapping_Sheet!$E$2:$E$3143),
Master_Mapping_Sheet!$C$2:$C$3143=AF$1,
Master_Mapping_Sheet!$H$2:$H$3143=$A16))/sum(filter(
Mas"&amp;"ter_Mapping_Sheet!$E$2:$E$3143, ISNUMBER(
Master_Mapping_Sheet!$E$2:$E$3143),
Master_Mapping_Sheet!$C$2:$C$3143=AF$1)))"),0.0)</f>
        <v>0</v>
      </c>
      <c r="AG16" s="34">
        <f>IFERROR(__xludf.DUMMYFUNCTION("IF(ISNA(sum(filter(
Master_Mapping_Sheet!$E$2:$E$3143, ISNUMBER(
Master_Mapping_Sheet!$E$2:$E$3143),
Master_Mapping_Sheet!$C$2:$C$3143=AG$1,
Master_Mapping_Sheet!$H$2:$H$3143=$A16))/sum(filter(
Master_Mapping_Sheet!$E$2:$E$3143, ISNUMBER(
Master_Mapping_S"&amp;"heet!$E$2:$E$3143),
Master_Mapping_Sheet!$C$2:$C$3143=AG$1))), 0, sum(filter(
Master_Mapping_Sheet!$E$2:$E$3143, ISNUMBER(
Master_Mapping_Sheet!$E$2:$E$3143),
Master_Mapping_Sheet!$C$2:$C$3143=AG$1,
Master_Mapping_Sheet!$H$2:$H$3143=$A16))/sum(filter(
Mas"&amp;"ter_Mapping_Sheet!$E$2:$E$3143, ISNUMBER(
Master_Mapping_Sheet!$E$2:$E$3143),
Master_Mapping_Sheet!$C$2:$C$3143=AG$1)))"),0.0)</f>
        <v>0</v>
      </c>
      <c r="AH16" s="34">
        <f>IFERROR(__xludf.DUMMYFUNCTION("IF(ISNA(sum(filter(
Master_Mapping_Sheet!$E$2:$E$3143, ISNUMBER(
Master_Mapping_Sheet!$E$2:$E$3143),
Master_Mapping_Sheet!$C$2:$C$3143=AH$1,
Master_Mapping_Sheet!$H$2:$H$3143=$A16))/sum(filter(
Master_Mapping_Sheet!$E$2:$E$3143, ISNUMBER(
Master_Mapping_S"&amp;"heet!$E$2:$E$3143),
Master_Mapping_Sheet!$C$2:$C$3143=AH$1))), 0, sum(filter(
Master_Mapping_Sheet!$E$2:$E$3143, ISNUMBER(
Master_Mapping_Sheet!$E$2:$E$3143),
Master_Mapping_Sheet!$C$2:$C$3143=AH$1,
Master_Mapping_Sheet!$H$2:$H$3143=$A16))/sum(filter(
Mas"&amp;"ter_Mapping_Sheet!$E$2:$E$3143, ISNUMBER(
Master_Mapping_Sheet!$E$2:$E$3143),
Master_Mapping_Sheet!$C$2:$C$3143=AH$1)))"),0.0)</f>
        <v>0</v>
      </c>
      <c r="AI16" s="34">
        <f>IFERROR(__xludf.DUMMYFUNCTION("IF(ISNA(sum(filter(
Master_Mapping_Sheet!$E$2:$E$3143, ISNUMBER(
Master_Mapping_Sheet!$E$2:$E$3143),
Master_Mapping_Sheet!$C$2:$C$3143=AI$1,
Master_Mapping_Sheet!$H$2:$H$3143=$A16))/sum(filter(
Master_Mapping_Sheet!$E$2:$E$3143, ISNUMBER(
Master_Mapping_S"&amp;"heet!$E$2:$E$3143),
Master_Mapping_Sheet!$C$2:$C$3143=AI$1))), 0, sum(filter(
Master_Mapping_Sheet!$E$2:$E$3143, ISNUMBER(
Master_Mapping_Sheet!$E$2:$E$3143),
Master_Mapping_Sheet!$C$2:$C$3143=AI$1,
Master_Mapping_Sheet!$H$2:$H$3143=$A16))/sum(filter(
Mas"&amp;"ter_Mapping_Sheet!$E$2:$E$3143, ISNUMBER(
Master_Mapping_Sheet!$E$2:$E$3143),
Master_Mapping_Sheet!$C$2:$C$3143=AI$1)))"),0.0)</f>
        <v>0</v>
      </c>
      <c r="AJ16" s="34">
        <f>IFERROR(__xludf.DUMMYFUNCTION("IF(ISNA(sum(filter(
Master_Mapping_Sheet!$E$2:$E$3143, ISNUMBER(
Master_Mapping_Sheet!$E$2:$E$3143),
Master_Mapping_Sheet!$C$2:$C$3143=AJ$1,
Master_Mapping_Sheet!$H$2:$H$3143=$A16))/sum(filter(
Master_Mapping_Sheet!$E$2:$E$3143, ISNUMBER(
Master_Mapping_S"&amp;"heet!$E$2:$E$3143),
Master_Mapping_Sheet!$C$2:$C$3143=AJ$1))), 0, sum(filter(
Master_Mapping_Sheet!$E$2:$E$3143, ISNUMBER(
Master_Mapping_Sheet!$E$2:$E$3143),
Master_Mapping_Sheet!$C$2:$C$3143=AJ$1,
Master_Mapping_Sheet!$H$2:$H$3143=$A16))/sum(filter(
Mas"&amp;"ter_Mapping_Sheet!$E$2:$E$3143, ISNUMBER(
Master_Mapping_Sheet!$E$2:$E$3143),
Master_Mapping_Sheet!$C$2:$C$3143=AJ$1)))"),0.0)</f>
        <v>0</v>
      </c>
      <c r="AK16" s="34">
        <f>IFERROR(__xludf.DUMMYFUNCTION("IF(ISNA(sum(filter(
Master_Mapping_Sheet!$E$2:$E$3143, ISNUMBER(
Master_Mapping_Sheet!$E$2:$E$3143),
Master_Mapping_Sheet!$C$2:$C$3143=AK$1,
Master_Mapping_Sheet!$H$2:$H$3143=$A16))/sum(filter(
Master_Mapping_Sheet!$E$2:$E$3143, ISNUMBER(
Master_Mapping_S"&amp;"heet!$E$2:$E$3143),
Master_Mapping_Sheet!$C$2:$C$3143=AK$1))), 0, sum(filter(
Master_Mapping_Sheet!$E$2:$E$3143, ISNUMBER(
Master_Mapping_Sheet!$E$2:$E$3143),
Master_Mapping_Sheet!$C$2:$C$3143=AK$1,
Master_Mapping_Sheet!$H$2:$H$3143=$A16))/sum(filter(
Mas"&amp;"ter_Mapping_Sheet!$E$2:$E$3143, ISNUMBER(
Master_Mapping_Sheet!$E$2:$E$3143),
Master_Mapping_Sheet!$C$2:$C$3143=AK$1)))"),0.0)</f>
        <v>0</v>
      </c>
      <c r="AL16" s="34">
        <f>IFERROR(__xludf.DUMMYFUNCTION("IF(ISNA(sum(filter(
Master_Mapping_Sheet!$E$2:$E$3143, ISNUMBER(
Master_Mapping_Sheet!$E$2:$E$3143),
Master_Mapping_Sheet!$C$2:$C$3143=AL$1,
Master_Mapping_Sheet!$H$2:$H$3143=$A16))/sum(filter(
Master_Mapping_Sheet!$E$2:$E$3143, ISNUMBER(
Master_Mapping_S"&amp;"heet!$E$2:$E$3143),
Master_Mapping_Sheet!$C$2:$C$3143=AL$1))), 0, sum(filter(
Master_Mapping_Sheet!$E$2:$E$3143, ISNUMBER(
Master_Mapping_Sheet!$E$2:$E$3143),
Master_Mapping_Sheet!$C$2:$C$3143=AL$1,
Master_Mapping_Sheet!$H$2:$H$3143=$A16))/sum(filter(
Mas"&amp;"ter_Mapping_Sheet!$E$2:$E$3143, ISNUMBER(
Master_Mapping_Sheet!$E$2:$E$3143),
Master_Mapping_Sheet!$C$2:$C$3143=AL$1)))"),0.0)</f>
        <v>0</v>
      </c>
      <c r="AM16" s="34">
        <f>IFERROR(__xludf.DUMMYFUNCTION("IF(ISNA(sum(filter(
Master_Mapping_Sheet!$E$2:$E$3143, ISNUMBER(
Master_Mapping_Sheet!$E$2:$E$3143),
Master_Mapping_Sheet!$C$2:$C$3143=AM$1,
Master_Mapping_Sheet!$H$2:$H$3143=$A16))/sum(filter(
Master_Mapping_Sheet!$E$2:$E$3143, ISNUMBER(
Master_Mapping_S"&amp;"heet!$E$2:$E$3143),
Master_Mapping_Sheet!$C$2:$C$3143=AM$1))), 0, sum(filter(
Master_Mapping_Sheet!$E$2:$E$3143, ISNUMBER(
Master_Mapping_Sheet!$E$2:$E$3143),
Master_Mapping_Sheet!$C$2:$C$3143=AM$1,
Master_Mapping_Sheet!$H$2:$H$3143=$A16))/sum(filter(
Mas"&amp;"ter_Mapping_Sheet!$E$2:$E$3143, ISNUMBER(
Master_Mapping_Sheet!$E$2:$E$3143),
Master_Mapping_Sheet!$C$2:$C$3143=AM$1)))"),0.0)</f>
        <v>0</v>
      </c>
      <c r="AN16" s="34">
        <f>IFERROR(__xludf.DUMMYFUNCTION("IF(ISNA(sum(filter(
Master_Mapping_Sheet!$E$2:$E$3143, ISNUMBER(
Master_Mapping_Sheet!$E$2:$E$3143),
Master_Mapping_Sheet!$C$2:$C$3143=AN$1,
Master_Mapping_Sheet!$H$2:$H$3143=$A16))/sum(filter(
Master_Mapping_Sheet!$E$2:$E$3143, ISNUMBER(
Master_Mapping_S"&amp;"heet!$E$2:$E$3143),
Master_Mapping_Sheet!$C$2:$C$3143=AN$1))), 0, sum(filter(
Master_Mapping_Sheet!$E$2:$E$3143, ISNUMBER(
Master_Mapping_Sheet!$E$2:$E$3143),
Master_Mapping_Sheet!$C$2:$C$3143=AN$1,
Master_Mapping_Sheet!$H$2:$H$3143=$A16))/sum(filter(
Mas"&amp;"ter_Mapping_Sheet!$E$2:$E$3143, ISNUMBER(
Master_Mapping_Sheet!$E$2:$E$3143),
Master_Mapping_Sheet!$C$2:$C$3143=AN$1)))"),0.0)</f>
        <v>0</v>
      </c>
      <c r="AO16" s="34">
        <f>IFERROR(__xludf.DUMMYFUNCTION("IF(ISNA(sum(filter(
Master_Mapping_Sheet!$E$2:$E$3143, ISNUMBER(
Master_Mapping_Sheet!$E$2:$E$3143),
Master_Mapping_Sheet!$C$2:$C$3143=AO$1,
Master_Mapping_Sheet!$H$2:$H$3143=$A16))/sum(filter(
Master_Mapping_Sheet!$E$2:$E$3143, ISNUMBER(
Master_Mapping_S"&amp;"heet!$E$2:$E$3143),
Master_Mapping_Sheet!$C$2:$C$3143=AO$1))), 0, sum(filter(
Master_Mapping_Sheet!$E$2:$E$3143, ISNUMBER(
Master_Mapping_Sheet!$E$2:$E$3143),
Master_Mapping_Sheet!$C$2:$C$3143=AO$1,
Master_Mapping_Sheet!$H$2:$H$3143=$A16))/sum(filter(
Mas"&amp;"ter_Mapping_Sheet!$E$2:$E$3143, ISNUMBER(
Master_Mapping_Sheet!$E$2:$E$3143),
Master_Mapping_Sheet!$C$2:$C$3143=AO$1)))"),0.0)</f>
        <v>0</v>
      </c>
      <c r="AP16" s="34">
        <f>IFERROR(__xludf.DUMMYFUNCTION("IF(ISNA(sum(filter(
Master_Mapping_Sheet!$E$2:$E$3143, ISNUMBER(
Master_Mapping_Sheet!$E$2:$E$3143),
Master_Mapping_Sheet!$C$2:$C$3143=AP$1,
Master_Mapping_Sheet!$H$2:$H$3143=$A16))/sum(filter(
Master_Mapping_Sheet!$E$2:$E$3143, ISNUMBER(
Master_Mapping_S"&amp;"heet!$E$2:$E$3143),
Master_Mapping_Sheet!$C$2:$C$3143=AP$1))), 0, sum(filter(
Master_Mapping_Sheet!$E$2:$E$3143, ISNUMBER(
Master_Mapping_Sheet!$E$2:$E$3143),
Master_Mapping_Sheet!$C$2:$C$3143=AP$1,
Master_Mapping_Sheet!$H$2:$H$3143=$A16))/sum(filter(
Mas"&amp;"ter_Mapping_Sheet!$E$2:$E$3143, ISNUMBER(
Master_Mapping_Sheet!$E$2:$E$3143),
Master_Mapping_Sheet!$C$2:$C$3143=AP$1)))"),0.0)</f>
        <v>0</v>
      </c>
      <c r="AQ16" s="34">
        <f>IFERROR(__xludf.DUMMYFUNCTION("IF(ISNA(sum(filter(
Master_Mapping_Sheet!$E$2:$E$3143, ISNUMBER(
Master_Mapping_Sheet!$E$2:$E$3143),
Master_Mapping_Sheet!$C$2:$C$3143=AQ$1,
Master_Mapping_Sheet!$H$2:$H$3143=$A16))/sum(filter(
Master_Mapping_Sheet!$E$2:$E$3143, ISNUMBER(
Master_Mapping_S"&amp;"heet!$E$2:$E$3143),
Master_Mapping_Sheet!$C$2:$C$3143=AQ$1))), 0, sum(filter(
Master_Mapping_Sheet!$E$2:$E$3143, ISNUMBER(
Master_Mapping_Sheet!$E$2:$E$3143),
Master_Mapping_Sheet!$C$2:$C$3143=AQ$1,
Master_Mapping_Sheet!$H$2:$H$3143=$A16))/sum(filter(
Mas"&amp;"ter_Mapping_Sheet!$E$2:$E$3143, ISNUMBER(
Master_Mapping_Sheet!$E$2:$E$3143),
Master_Mapping_Sheet!$C$2:$C$3143=AQ$1)))"),0.0)</f>
        <v>0</v>
      </c>
      <c r="AR16" s="34">
        <f>IFERROR(__xludf.DUMMYFUNCTION("IF(ISNA(sum(filter(
Master_Mapping_Sheet!$E$2:$E$3143, ISNUMBER(
Master_Mapping_Sheet!$E$2:$E$3143),
Master_Mapping_Sheet!$C$2:$C$3143=AR$1,
Master_Mapping_Sheet!$H$2:$H$3143=$A16))/sum(filter(
Master_Mapping_Sheet!$E$2:$E$3143, ISNUMBER(
Master_Mapping_S"&amp;"heet!$E$2:$E$3143),
Master_Mapping_Sheet!$C$2:$C$3143=AR$1))), 0, sum(filter(
Master_Mapping_Sheet!$E$2:$E$3143, ISNUMBER(
Master_Mapping_Sheet!$E$2:$E$3143),
Master_Mapping_Sheet!$C$2:$C$3143=AR$1,
Master_Mapping_Sheet!$H$2:$H$3143=$A16))/sum(filter(
Mas"&amp;"ter_Mapping_Sheet!$E$2:$E$3143, ISNUMBER(
Master_Mapping_Sheet!$E$2:$E$3143),
Master_Mapping_Sheet!$C$2:$C$3143=AR$1)))"),0.0)</f>
        <v>0</v>
      </c>
      <c r="AS16" s="34">
        <f>IFERROR(__xludf.DUMMYFUNCTION("IF(ISNA(sum(filter(
Master_Mapping_Sheet!$E$2:$E$3143, ISNUMBER(
Master_Mapping_Sheet!$E$2:$E$3143),
Master_Mapping_Sheet!$C$2:$C$3143=AS$1,
Master_Mapping_Sheet!$H$2:$H$3143=$A16))/sum(filter(
Master_Mapping_Sheet!$E$2:$E$3143, ISNUMBER(
Master_Mapping_S"&amp;"heet!$E$2:$E$3143),
Master_Mapping_Sheet!$C$2:$C$3143=AS$1))), 0, sum(filter(
Master_Mapping_Sheet!$E$2:$E$3143, ISNUMBER(
Master_Mapping_Sheet!$E$2:$E$3143),
Master_Mapping_Sheet!$C$2:$C$3143=AS$1,
Master_Mapping_Sheet!$H$2:$H$3143=$A16))/sum(filter(
Mas"&amp;"ter_Mapping_Sheet!$E$2:$E$3143, ISNUMBER(
Master_Mapping_Sheet!$E$2:$E$3143),
Master_Mapping_Sheet!$C$2:$C$3143=AS$1)))"),0.0)</f>
        <v>0</v>
      </c>
      <c r="AT16" s="34">
        <f>IFERROR(__xludf.DUMMYFUNCTION("IF(ISNA(sum(filter(
Master_Mapping_Sheet!$E$2:$E$3143, ISNUMBER(
Master_Mapping_Sheet!$E$2:$E$3143),
Master_Mapping_Sheet!$C$2:$C$3143=AT$1,
Master_Mapping_Sheet!$H$2:$H$3143=$A16))/sum(filter(
Master_Mapping_Sheet!$E$2:$E$3143, ISNUMBER(
Master_Mapping_S"&amp;"heet!$E$2:$E$3143),
Master_Mapping_Sheet!$C$2:$C$3143=AT$1))), 0, sum(filter(
Master_Mapping_Sheet!$E$2:$E$3143, ISNUMBER(
Master_Mapping_Sheet!$E$2:$E$3143),
Master_Mapping_Sheet!$C$2:$C$3143=AT$1,
Master_Mapping_Sheet!$H$2:$H$3143=$A16))/sum(filter(
Mas"&amp;"ter_Mapping_Sheet!$E$2:$E$3143, ISNUMBER(
Master_Mapping_Sheet!$E$2:$E$3143),
Master_Mapping_Sheet!$C$2:$C$3143=AT$1)))"),0.0)</f>
        <v>0</v>
      </c>
      <c r="AU16" s="34">
        <f>IFERROR(__xludf.DUMMYFUNCTION("IF(ISNA(sum(filter(
Master_Mapping_Sheet!$E$2:$E$3143, ISNUMBER(
Master_Mapping_Sheet!$E$2:$E$3143),
Master_Mapping_Sheet!$C$2:$C$3143=AU$1,
Master_Mapping_Sheet!$H$2:$H$3143=$A16))/sum(filter(
Master_Mapping_Sheet!$E$2:$E$3143, ISNUMBER(
Master_Mapping_S"&amp;"heet!$E$2:$E$3143),
Master_Mapping_Sheet!$C$2:$C$3143=AU$1))), 0, sum(filter(
Master_Mapping_Sheet!$E$2:$E$3143, ISNUMBER(
Master_Mapping_Sheet!$E$2:$E$3143),
Master_Mapping_Sheet!$C$2:$C$3143=AU$1,
Master_Mapping_Sheet!$H$2:$H$3143=$A16))/sum(filter(
Mas"&amp;"ter_Mapping_Sheet!$E$2:$E$3143, ISNUMBER(
Master_Mapping_Sheet!$E$2:$E$3143),
Master_Mapping_Sheet!$C$2:$C$3143=AU$1)))"),0.0)</f>
        <v>0</v>
      </c>
      <c r="AV16" s="34">
        <f>IFERROR(__xludf.DUMMYFUNCTION("IF(ISNA(sum(filter(
Master_Mapping_Sheet!$E$2:$E$3143, ISNUMBER(
Master_Mapping_Sheet!$E$2:$E$3143),
Master_Mapping_Sheet!$C$2:$C$3143=AV$1,
Master_Mapping_Sheet!$H$2:$H$3143=$A16))/sum(filter(
Master_Mapping_Sheet!$E$2:$E$3143, ISNUMBER(
Master_Mapping_S"&amp;"heet!$E$2:$E$3143),
Master_Mapping_Sheet!$C$2:$C$3143=AV$1))), 0, sum(filter(
Master_Mapping_Sheet!$E$2:$E$3143, ISNUMBER(
Master_Mapping_Sheet!$E$2:$E$3143),
Master_Mapping_Sheet!$C$2:$C$3143=AV$1,
Master_Mapping_Sheet!$H$2:$H$3143=$A16))/sum(filter(
Mas"&amp;"ter_Mapping_Sheet!$E$2:$E$3143, ISNUMBER(
Master_Mapping_Sheet!$E$2:$E$3143),
Master_Mapping_Sheet!$C$2:$C$3143=AV$1)))"),0.0)</f>
        <v>0</v>
      </c>
      <c r="AW16" s="34">
        <f>IFERROR(__xludf.DUMMYFUNCTION("IF(ISNA(sum(filter(
Master_Mapping_Sheet!$E$2:$E$3143, ISNUMBER(
Master_Mapping_Sheet!$E$2:$E$3143),
Master_Mapping_Sheet!$C$2:$C$3143=AW$1,
Master_Mapping_Sheet!$H$2:$H$3143=$A16))/sum(filter(
Master_Mapping_Sheet!$E$2:$E$3143, ISNUMBER(
Master_Mapping_S"&amp;"heet!$E$2:$E$3143),
Master_Mapping_Sheet!$C$2:$C$3143=AW$1))), 0, sum(filter(
Master_Mapping_Sheet!$E$2:$E$3143, ISNUMBER(
Master_Mapping_Sheet!$E$2:$E$3143),
Master_Mapping_Sheet!$C$2:$C$3143=AW$1,
Master_Mapping_Sheet!$H$2:$H$3143=$A16))/sum(filter(
Mas"&amp;"ter_Mapping_Sheet!$E$2:$E$3143, ISNUMBER(
Master_Mapping_Sheet!$E$2:$E$3143),
Master_Mapping_Sheet!$C$2:$C$3143=AW$1)))"),0.0)</f>
        <v>0</v>
      </c>
      <c r="AX16" s="34">
        <f>IFERROR(__xludf.DUMMYFUNCTION("IF(ISNA(sum(filter(
Master_Mapping_Sheet!$E$2:$E$3143, ISNUMBER(
Master_Mapping_Sheet!$E$2:$E$3143),
Master_Mapping_Sheet!$C$2:$C$3143=AX$1,
Master_Mapping_Sheet!$H$2:$H$3143=$A16))/sum(filter(
Master_Mapping_Sheet!$E$2:$E$3143, ISNUMBER(
Master_Mapping_S"&amp;"heet!$E$2:$E$3143),
Master_Mapping_Sheet!$C$2:$C$3143=AX$1))), 0, sum(filter(
Master_Mapping_Sheet!$E$2:$E$3143, ISNUMBER(
Master_Mapping_Sheet!$E$2:$E$3143),
Master_Mapping_Sheet!$C$2:$C$3143=AX$1,
Master_Mapping_Sheet!$H$2:$H$3143=$A16))/sum(filter(
Mas"&amp;"ter_Mapping_Sheet!$E$2:$E$3143, ISNUMBER(
Master_Mapping_Sheet!$E$2:$E$3143),
Master_Mapping_Sheet!$C$2:$C$3143=AX$1)))"),0.0)</f>
        <v>0</v>
      </c>
      <c r="AY16" s="34">
        <f>IFERROR(__xludf.DUMMYFUNCTION("IF(ISNA(sum(filter(
Master_Mapping_Sheet!$E$2:$E$3143, ISNUMBER(
Master_Mapping_Sheet!$E$2:$E$3143),
Master_Mapping_Sheet!$C$2:$C$3143=AY$1,
Master_Mapping_Sheet!$H$2:$H$3143=$A16))/sum(filter(
Master_Mapping_Sheet!$E$2:$E$3143, ISNUMBER(
Master_Mapping_S"&amp;"heet!$E$2:$E$3143),
Master_Mapping_Sheet!$C$2:$C$3143=AY$1))), 0, sum(filter(
Master_Mapping_Sheet!$E$2:$E$3143, ISNUMBER(
Master_Mapping_Sheet!$E$2:$E$3143),
Master_Mapping_Sheet!$C$2:$C$3143=AY$1,
Master_Mapping_Sheet!$H$2:$H$3143=$A16))/sum(filter(
Mas"&amp;"ter_Mapping_Sheet!$E$2:$E$3143, ISNUMBER(
Master_Mapping_Sheet!$E$2:$E$3143),
Master_Mapping_Sheet!$C$2:$C$3143=AY$1)))"),0.0)</f>
        <v>0</v>
      </c>
      <c r="AZ16" s="34">
        <f>IFERROR(__xludf.DUMMYFUNCTION("IF(ISNA(sum(filter(
Master_Mapping_Sheet!$E$2:$E$3143, ISNUMBER(
Master_Mapping_Sheet!$E$2:$E$3143),
Master_Mapping_Sheet!$C$2:$C$3143=AZ$1,
Master_Mapping_Sheet!$H$2:$H$3143=$A16))/sum(filter(
Master_Mapping_Sheet!$E$2:$E$3143, ISNUMBER(
Master_Mapping_S"&amp;"heet!$E$2:$E$3143),
Master_Mapping_Sheet!$C$2:$C$3143=AZ$1))), 0, sum(filter(
Master_Mapping_Sheet!$E$2:$E$3143, ISNUMBER(
Master_Mapping_Sheet!$E$2:$E$3143),
Master_Mapping_Sheet!$C$2:$C$3143=AZ$1,
Master_Mapping_Sheet!$H$2:$H$3143=$A16))/sum(filter(
Mas"&amp;"ter_Mapping_Sheet!$E$2:$E$3143, ISNUMBER(
Master_Mapping_Sheet!$E$2:$E$3143),
Master_Mapping_Sheet!$C$2:$C$3143=AZ$1)))"),0.0)</f>
        <v>0</v>
      </c>
    </row>
    <row r="17" ht="15.75" customHeight="1">
      <c r="A17" s="34" t="s">
        <v>3970</v>
      </c>
      <c r="B17" s="34">
        <f>IFERROR(__xludf.DUMMYFUNCTION("IF(ISNA(sum(filter(
Master_Mapping_Sheet!$E$2:$E$3143, ISNUMBER(
Master_Mapping_Sheet!$E$2:$E$3143),
Master_Mapping_Sheet!$C$2:$C$3143=B$1,
Master_Mapping_Sheet!$H$2:$H$3143=$A17))/sum(filter(
Master_Mapping_Sheet!$E$2:$E$3143, ISNUMBER(
Master_Mapping_Sh"&amp;"eet!$E$2:$E$3143),
Master_Mapping_Sheet!$C$2:$C$3143=B$1))), 0, sum(filter(
Master_Mapping_Sheet!$E$2:$E$3143, ISNUMBER(
Master_Mapping_Sheet!$E$2:$E$3143),
Master_Mapping_Sheet!$C$2:$C$3143=B$1,
Master_Mapping_Sheet!$H$2:$H$3143=$A17))/sum(filter(
Master"&amp;"_Mapping_Sheet!$E$2:$E$3143, ISNUMBER(
Master_Mapping_Sheet!$E$2:$E$3143),
Master_Mapping_Sheet!$C$2:$C$3143=B$1)))"),0.17133062201818627)</f>
        <v>0.171330622</v>
      </c>
      <c r="C17" s="34">
        <f>IFERROR(__xludf.DUMMYFUNCTION("IF(ISNA(sum(filter(
Master_Mapping_Sheet!$E$2:$E$3143, ISNUMBER(
Master_Mapping_Sheet!$E$2:$E$3143),
Master_Mapping_Sheet!$C$2:$C$3143=C$1,
Master_Mapping_Sheet!$H$2:$H$3143=$A17))/sum(filter(
Master_Mapping_Sheet!$E$2:$E$3143, ISNUMBER(
Master_Mapping_Sh"&amp;"eet!$E$2:$E$3143),
Master_Mapping_Sheet!$C$2:$C$3143=C$1))), 0, sum(filter(
Master_Mapping_Sheet!$E$2:$E$3143, ISNUMBER(
Master_Mapping_Sheet!$E$2:$E$3143),
Master_Mapping_Sheet!$C$2:$C$3143=C$1,
Master_Mapping_Sheet!$H$2:$H$3143=$A17))/sum(filter(
Master"&amp;"_Mapping_Sheet!$E$2:$E$3143, ISNUMBER(
Master_Mapping_Sheet!$E$2:$E$3143),
Master_Mapping_Sheet!$C$2:$C$3143=C$1)))"),0.0)</f>
        <v>0</v>
      </c>
      <c r="D17" s="34">
        <f>IFERROR(__xludf.DUMMYFUNCTION("IF(ISNA(sum(filter(
Master_Mapping_Sheet!$E$2:$E$3143, ISNUMBER(
Master_Mapping_Sheet!$E$2:$E$3143),
Master_Mapping_Sheet!$C$2:$C$3143=D$1,
Master_Mapping_Sheet!$H$2:$H$3143=$A17))/sum(filter(
Master_Mapping_Sheet!$E$2:$E$3143, ISNUMBER(
Master_Mapping_Sh"&amp;"eet!$E$2:$E$3143),
Master_Mapping_Sheet!$C$2:$C$3143=D$1))), 0, sum(filter(
Master_Mapping_Sheet!$E$2:$E$3143, ISNUMBER(
Master_Mapping_Sheet!$E$2:$E$3143),
Master_Mapping_Sheet!$C$2:$C$3143=D$1,
Master_Mapping_Sheet!$H$2:$H$3143=$A17))/sum(filter(
Master"&amp;"_Mapping_Sheet!$E$2:$E$3143, ISNUMBER(
Master_Mapping_Sheet!$E$2:$E$3143),
Master_Mapping_Sheet!$C$2:$C$3143=D$1)))"),0.0)</f>
        <v>0</v>
      </c>
      <c r="E17" s="34">
        <f>IFERROR(__xludf.DUMMYFUNCTION("IF(ISNA(sum(filter(
Master_Mapping_Sheet!$E$2:$E$3143, ISNUMBER(
Master_Mapping_Sheet!$E$2:$E$3143),
Master_Mapping_Sheet!$C$2:$C$3143=E$1,
Master_Mapping_Sheet!$H$2:$H$3143=$A17))/sum(filter(
Master_Mapping_Sheet!$E$2:$E$3143, ISNUMBER(
Master_Mapping_Sh"&amp;"eet!$E$2:$E$3143),
Master_Mapping_Sheet!$C$2:$C$3143=E$1))), 0, sum(filter(
Master_Mapping_Sheet!$E$2:$E$3143, ISNUMBER(
Master_Mapping_Sheet!$E$2:$E$3143),
Master_Mapping_Sheet!$C$2:$C$3143=E$1,
Master_Mapping_Sheet!$H$2:$H$3143=$A17))/sum(filter(
Master"&amp;"_Mapping_Sheet!$E$2:$E$3143, ISNUMBER(
Master_Mapping_Sheet!$E$2:$E$3143),
Master_Mapping_Sheet!$C$2:$C$3143=E$1)))"),0.0)</f>
        <v>0</v>
      </c>
      <c r="F17" s="34">
        <f>IFERROR(__xludf.DUMMYFUNCTION("IF(ISNA(sum(filter(
Master_Mapping_Sheet!$E$2:$E$3143, ISNUMBER(
Master_Mapping_Sheet!$E$2:$E$3143),
Master_Mapping_Sheet!$C$2:$C$3143=F$1,
Master_Mapping_Sheet!$H$2:$H$3143=$A17))/sum(filter(
Master_Mapping_Sheet!$E$2:$E$3143, ISNUMBER(
Master_Mapping_Sh"&amp;"eet!$E$2:$E$3143),
Master_Mapping_Sheet!$C$2:$C$3143=F$1))), 0, sum(filter(
Master_Mapping_Sheet!$E$2:$E$3143, ISNUMBER(
Master_Mapping_Sheet!$E$2:$E$3143),
Master_Mapping_Sheet!$C$2:$C$3143=F$1,
Master_Mapping_Sheet!$H$2:$H$3143=$A17))/sum(filter(
Master"&amp;"_Mapping_Sheet!$E$2:$E$3143, ISNUMBER(
Master_Mapping_Sheet!$E$2:$E$3143),
Master_Mapping_Sheet!$C$2:$C$3143=F$1)))"),0.0)</f>
        <v>0</v>
      </c>
      <c r="G17" s="34">
        <f>IFERROR(__xludf.DUMMYFUNCTION("IF(ISNA(sum(filter(
Master_Mapping_Sheet!$E$2:$E$3143, ISNUMBER(
Master_Mapping_Sheet!$E$2:$E$3143),
Master_Mapping_Sheet!$C$2:$C$3143=G$1,
Master_Mapping_Sheet!$H$2:$H$3143=$A17))/sum(filter(
Master_Mapping_Sheet!$E$2:$E$3143, ISNUMBER(
Master_Mapping_Sh"&amp;"eet!$E$2:$E$3143),
Master_Mapping_Sheet!$C$2:$C$3143=G$1))), 0, sum(filter(
Master_Mapping_Sheet!$E$2:$E$3143, ISNUMBER(
Master_Mapping_Sheet!$E$2:$E$3143),
Master_Mapping_Sheet!$C$2:$C$3143=G$1,
Master_Mapping_Sheet!$H$2:$H$3143=$A17))/sum(filter(
Master"&amp;"_Mapping_Sheet!$E$2:$E$3143, ISNUMBER(
Master_Mapping_Sheet!$E$2:$E$3143),
Master_Mapping_Sheet!$C$2:$C$3143=G$1)))"),0.0)</f>
        <v>0</v>
      </c>
      <c r="H17" s="34">
        <f>IFERROR(__xludf.DUMMYFUNCTION("IF(ISNA(sum(filter(
Master_Mapping_Sheet!$E$2:$E$3143, ISNUMBER(
Master_Mapping_Sheet!$E$2:$E$3143),
Master_Mapping_Sheet!$C$2:$C$3143=H$1,
Master_Mapping_Sheet!$H$2:$H$3143=$A17))/sum(filter(
Master_Mapping_Sheet!$E$2:$E$3143, ISNUMBER(
Master_Mapping_Sh"&amp;"eet!$E$2:$E$3143),
Master_Mapping_Sheet!$C$2:$C$3143=H$1))), 0, sum(filter(
Master_Mapping_Sheet!$E$2:$E$3143, ISNUMBER(
Master_Mapping_Sheet!$E$2:$E$3143),
Master_Mapping_Sheet!$C$2:$C$3143=H$1,
Master_Mapping_Sheet!$H$2:$H$3143=$A17))/sum(filter(
Master"&amp;"_Mapping_Sheet!$E$2:$E$3143, ISNUMBER(
Master_Mapping_Sheet!$E$2:$E$3143),
Master_Mapping_Sheet!$C$2:$C$3143=H$1)))"),0.0)</f>
        <v>0</v>
      </c>
      <c r="I17" s="34">
        <f>IFERROR(__xludf.DUMMYFUNCTION("IF(ISNA(sum(filter(
Master_Mapping_Sheet!$E$2:$E$3143, ISNUMBER(
Master_Mapping_Sheet!$E$2:$E$3143),
Master_Mapping_Sheet!$C$2:$C$3143=I$1,
Master_Mapping_Sheet!$H$2:$H$3143=$A17))/sum(filter(
Master_Mapping_Sheet!$E$2:$E$3143, ISNUMBER(
Master_Mapping_Sh"&amp;"eet!$E$2:$E$3143),
Master_Mapping_Sheet!$C$2:$C$3143=I$1))), 0, sum(filter(
Master_Mapping_Sheet!$E$2:$E$3143, ISNUMBER(
Master_Mapping_Sheet!$E$2:$E$3143),
Master_Mapping_Sheet!$C$2:$C$3143=I$1,
Master_Mapping_Sheet!$H$2:$H$3143=$A17))/sum(filter(
Master"&amp;"_Mapping_Sheet!$E$2:$E$3143, ISNUMBER(
Master_Mapping_Sheet!$E$2:$E$3143),
Master_Mapping_Sheet!$C$2:$C$3143=I$1)))"),0.0)</f>
        <v>0</v>
      </c>
      <c r="J17" s="34">
        <f>IFERROR(__xludf.DUMMYFUNCTION("IF(ISNA(sum(filter(
Master_Mapping_Sheet!$E$2:$E$3143, ISNUMBER(
Master_Mapping_Sheet!$E$2:$E$3143),
Master_Mapping_Sheet!$C$2:$C$3143=J$1,
Master_Mapping_Sheet!$H$2:$H$3143=$A17))/sum(filter(
Master_Mapping_Sheet!$E$2:$E$3143, ISNUMBER(
Master_Mapping_Sh"&amp;"eet!$E$2:$E$3143),
Master_Mapping_Sheet!$C$2:$C$3143=J$1))), 0, sum(filter(
Master_Mapping_Sheet!$E$2:$E$3143, ISNUMBER(
Master_Mapping_Sheet!$E$2:$E$3143),
Master_Mapping_Sheet!$C$2:$C$3143=J$1,
Master_Mapping_Sheet!$H$2:$H$3143=$A17))/sum(filter(
Master"&amp;"_Mapping_Sheet!$E$2:$E$3143, ISNUMBER(
Master_Mapping_Sheet!$E$2:$E$3143),
Master_Mapping_Sheet!$C$2:$C$3143=J$1)))"),0.0)</f>
        <v>0</v>
      </c>
      <c r="K17" s="34">
        <f>IFERROR(__xludf.DUMMYFUNCTION("IF(ISNA(sum(filter(
Master_Mapping_Sheet!$E$2:$E$3143, ISNUMBER(
Master_Mapping_Sheet!$E$2:$E$3143),
Master_Mapping_Sheet!$C$2:$C$3143=K$1,
Master_Mapping_Sheet!$H$2:$H$3143=$A17))/sum(filter(
Master_Mapping_Sheet!$E$2:$E$3143, ISNUMBER(
Master_Mapping_Sh"&amp;"eet!$E$2:$E$3143),
Master_Mapping_Sheet!$C$2:$C$3143=K$1))), 0, sum(filter(
Master_Mapping_Sheet!$E$2:$E$3143, ISNUMBER(
Master_Mapping_Sheet!$E$2:$E$3143),
Master_Mapping_Sheet!$C$2:$C$3143=K$1,
Master_Mapping_Sheet!$H$2:$H$3143=$A17))/sum(filter(
Master"&amp;"_Mapping_Sheet!$E$2:$E$3143, ISNUMBER(
Master_Mapping_Sheet!$E$2:$E$3143),
Master_Mapping_Sheet!$C$2:$C$3143=K$1)))"),0.0)</f>
        <v>0</v>
      </c>
      <c r="L17" s="34">
        <f>IFERROR(__xludf.DUMMYFUNCTION("IF(ISNA(sum(filter(
Master_Mapping_Sheet!$E$2:$E$3143, ISNUMBER(
Master_Mapping_Sheet!$E$2:$E$3143),
Master_Mapping_Sheet!$C$2:$C$3143=L$1,
Master_Mapping_Sheet!$H$2:$H$3143=$A17))/sum(filter(
Master_Mapping_Sheet!$E$2:$E$3143, ISNUMBER(
Master_Mapping_Sh"&amp;"eet!$E$2:$E$3143),
Master_Mapping_Sheet!$C$2:$C$3143=L$1))), 0, sum(filter(
Master_Mapping_Sheet!$E$2:$E$3143, ISNUMBER(
Master_Mapping_Sheet!$E$2:$E$3143),
Master_Mapping_Sheet!$C$2:$C$3143=L$1,
Master_Mapping_Sheet!$H$2:$H$3143=$A17))/sum(filter(
Master"&amp;"_Mapping_Sheet!$E$2:$E$3143, ISNUMBER(
Master_Mapping_Sheet!$E$2:$E$3143),
Master_Mapping_Sheet!$C$2:$C$3143=L$1)))"),0.005106794882361203)</f>
        <v>0.005106794882</v>
      </c>
      <c r="M17" s="34">
        <f>IFERROR(__xludf.DUMMYFUNCTION("IF(ISNA(sum(filter(
Master_Mapping_Sheet!$E$2:$E$3143, ISNUMBER(
Master_Mapping_Sheet!$E$2:$E$3143),
Master_Mapping_Sheet!$C$2:$C$3143=M$1,
Master_Mapping_Sheet!$H$2:$H$3143=$A17))/sum(filter(
Master_Mapping_Sheet!$E$2:$E$3143, ISNUMBER(
Master_Mapping_Sh"&amp;"eet!$E$2:$E$3143),
Master_Mapping_Sheet!$C$2:$C$3143=M$1))), 0, sum(filter(
Master_Mapping_Sheet!$E$2:$E$3143, ISNUMBER(
Master_Mapping_Sheet!$E$2:$E$3143),
Master_Mapping_Sheet!$C$2:$C$3143=M$1,
Master_Mapping_Sheet!$H$2:$H$3143=$A17))/sum(filter(
Master"&amp;"_Mapping_Sheet!$E$2:$E$3143, ISNUMBER(
Master_Mapping_Sheet!$E$2:$E$3143),
Master_Mapping_Sheet!$C$2:$C$3143=M$1)))"),0.0)</f>
        <v>0</v>
      </c>
      <c r="N17" s="34">
        <f>IFERROR(__xludf.DUMMYFUNCTION("IF(ISNA(sum(filter(
Master_Mapping_Sheet!$E$2:$E$3143, ISNUMBER(
Master_Mapping_Sheet!$E$2:$E$3143),
Master_Mapping_Sheet!$C$2:$C$3143=N$1,
Master_Mapping_Sheet!$H$2:$H$3143=$A17))/sum(filter(
Master_Mapping_Sheet!$E$2:$E$3143, ISNUMBER(
Master_Mapping_Sh"&amp;"eet!$E$2:$E$3143),
Master_Mapping_Sheet!$C$2:$C$3143=N$1))), 0, sum(filter(
Master_Mapping_Sheet!$E$2:$E$3143, ISNUMBER(
Master_Mapping_Sheet!$E$2:$E$3143),
Master_Mapping_Sheet!$C$2:$C$3143=N$1,
Master_Mapping_Sheet!$H$2:$H$3143=$A17))/sum(filter(
Master"&amp;"_Mapping_Sheet!$E$2:$E$3143, ISNUMBER(
Master_Mapping_Sheet!$E$2:$E$3143),
Master_Mapping_Sheet!$C$2:$C$3143=N$1)))"),0.0)</f>
        <v>0</v>
      </c>
      <c r="O17" s="34">
        <f>IFERROR(__xludf.DUMMYFUNCTION("IF(ISNA(sum(filter(
Master_Mapping_Sheet!$E$2:$E$3143, ISNUMBER(
Master_Mapping_Sheet!$E$2:$E$3143),
Master_Mapping_Sheet!$C$2:$C$3143=O$1,
Master_Mapping_Sheet!$H$2:$H$3143=$A17))/sum(filter(
Master_Mapping_Sheet!$E$2:$E$3143, ISNUMBER(
Master_Mapping_Sh"&amp;"eet!$E$2:$E$3143),
Master_Mapping_Sheet!$C$2:$C$3143=O$1))), 0, sum(filter(
Master_Mapping_Sheet!$E$2:$E$3143, ISNUMBER(
Master_Mapping_Sheet!$E$2:$E$3143),
Master_Mapping_Sheet!$C$2:$C$3143=O$1,
Master_Mapping_Sheet!$H$2:$H$3143=$A17))/sum(filter(
Master"&amp;"_Mapping_Sheet!$E$2:$E$3143, ISNUMBER(
Master_Mapping_Sheet!$E$2:$E$3143),
Master_Mapping_Sheet!$C$2:$C$3143=O$1)))"),0.0)</f>
        <v>0</v>
      </c>
      <c r="P17" s="34">
        <f>IFERROR(__xludf.DUMMYFUNCTION("IF(ISNA(sum(filter(
Master_Mapping_Sheet!$E$2:$E$3143, ISNUMBER(
Master_Mapping_Sheet!$E$2:$E$3143),
Master_Mapping_Sheet!$C$2:$C$3143=P$1,
Master_Mapping_Sheet!$H$2:$H$3143=$A17))/sum(filter(
Master_Mapping_Sheet!$E$2:$E$3143, ISNUMBER(
Master_Mapping_Sh"&amp;"eet!$E$2:$E$3143),
Master_Mapping_Sheet!$C$2:$C$3143=P$1))), 0, sum(filter(
Master_Mapping_Sheet!$E$2:$E$3143, ISNUMBER(
Master_Mapping_Sheet!$E$2:$E$3143),
Master_Mapping_Sheet!$C$2:$C$3143=P$1,
Master_Mapping_Sheet!$H$2:$H$3143=$A17))/sum(filter(
Master"&amp;"_Mapping_Sheet!$E$2:$E$3143, ISNUMBER(
Master_Mapping_Sheet!$E$2:$E$3143),
Master_Mapping_Sheet!$C$2:$C$3143=P$1)))"),0.0)</f>
        <v>0</v>
      </c>
      <c r="Q17" s="34">
        <f>IFERROR(__xludf.DUMMYFUNCTION("IF(ISNA(sum(filter(
Master_Mapping_Sheet!$E$2:$E$3143, ISNUMBER(
Master_Mapping_Sheet!$E$2:$E$3143),
Master_Mapping_Sheet!$C$2:$C$3143=Q$1,
Master_Mapping_Sheet!$H$2:$H$3143=$A17))/sum(filter(
Master_Mapping_Sheet!$E$2:$E$3143, ISNUMBER(
Master_Mapping_Sh"&amp;"eet!$E$2:$E$3143),
Master_Mapping_Sheet!$C$2:$C$3143=Q$1))), 0, sum(filter(
Master_Mapping_Sheet!$E$2:$E$3143, ISNUMBER(
Master_Mapping_Sheet!$E$2:$E$3143),
Master_Mapping_Sheet!$C$2:$C$3143=Q$1,
Master_Mapping_Sheet!$H$2:$H$3143=$A17))/sum(filter(
Master"&amp;"_Mapping_Sheet!$E$2:$E$3143, ISNUMBER(
Master_Mapping_Sheet!$E$2:$E$3143),
Master_Mapping_Sheet!$C$2:$C$3143=Q$1)))"),0.0)</f>
        <v>0</v>
      </c>
      <c r="R17" s="34">
        <f>IFERROR(__xludf.DUMMYFUNCTION("IF(ISNA(sum(filter(
Master_Mapping_Sheet!$E$2:$E$3143, ISNUMBER(
Master_Mapping_Sheet!$E$2:$E$3143),
Master_Mapping_Sheet!$C$2:$C$3143=R$1,
Master_Mapping_Sheet!$H$2:$H$3143=$A17))/sum(filter(
Master_Mapping_Sheet!$E$2:$E$3143, ISNUMBER(
Master_Mapping_Sh"&amp;"eet!$E$2:$E$3143),
Master_Mapping_Sheet!$C$2:$C$3143=R$1))), 0, sum(filter(
Master_Mapping_Sheet!$E$2:$E$3143, ISNUMBER(
Master_Mapping_Sheet!$E$2:$E$3143),
Master_Mapping_Sheet!$C$2:$C$3143=R$1,
Master_Mapping_Sheet!$H$2:$H$3143=$A17))/sum(filter(
Master"&amp;"_Mapping_Sheet!$E$2:$E$3143, ISNUMBER(
Master_Mapping_Sheet!$E$2:$E$3143),
Master_Mapping_Sheet!$C$2:$C$3143=R$1)))"),0.0)</f>
        <v>0</v>
      </c>
      <c r="S17" s="34">
        <f>IFERROR(__xludf.DUMMYFUNCTION("IF(ISNA(sum(filter(
Master_Mapping_Sheet!$E$2:$E$3143, ISNUMBER(
Master_Mapping_Sheet!$E$2:$E$3143),
Master_Mapping_Sheet!$C$2:$C$3143=S$1,
Master_Mapping_Sheet!$H$2:$H$3143=$A17))/sum(filter(
Master_Mapping_Sheet!$E$2:$E$3143, ISNUMBER(
Master_Mapping_Sh"&amp;"eet!$E$2:$E$3143),
Master_Mapping_Sheet!$C$2:$C$3143=S$1))), 0, sum(filter(
Master_Mapping_Sheet!$E$2:$E$3143, ISNUMBER(
Master_Mapping_Sheet!$E$2:$E$3143),
Master_Mapping_Sheet!$C$2:$C$3143=S$1,
Master_Mapping_Sheet!$H$2:$H$3143=$A17))/sum(filter(
Master"&amp;"_Mapping_Sheet!$E$2:$E$3143, ISNUMBER(
Master_Mapping_Sheet!$E$2:$E$3143),
Master_Mapping_Sheet!$C$2:$C$3143=S$1)))"),0.9046596735329818)</f>
        <v>0.9046596735</v>
      </c>
      <c r="T17" s="34">
        <f>IFERROR(__xludf.DUMMYFUNCTION("IF(ISNA(sum(filter(
Master_Mapping_Sheet!$E$2:$E$3143, ISNUMBER(
Master_Mapping_Sheet!$E$2:$E$3143),
Master_Mapping_Sheet!$C$2:$C$3143=T$1,
Master_Mapping_Sheet!$H$2:$H$3143=$A17))/sum(filter(
Master_Mapping_Sheet!$E$2:$E$3143, ISNUMBER(
Master_Mapping_Sh"&amp;"eet!$E$2:$E$3143),
Master_Mapping_Sheet!$C$2:$C$3143=T$1))), 0, sum(filter(
Master_Mapping_Sheet!$E$2:$E$3143, ISNUMBER(
Master_Mapping_Sheet!$E$2:$E$3143),
Master_Mapping_Sheet!$C$2:$C$3143=T$1,
Master_Mapping_Sheet!$H$2:$H$3143=$A17))/sum(filter(
Master"&amp;"_Mapping_Sheet!$E$2:$E$3143, ISNUMBER(
Master_Mapping_Sheet!$E$2:$E$3143),
Master_Mapping_Sheet!$C$2:$C$3143=T$1)))"),0.0)</f>
        <v>0</v>
      </c>
      <c r="U17" s="34">
        <f>IFERROR(__xludf.DUMMYFUNCTION("IF(ISNA(sum(filter(
Master_Mapping_Sheet!$E$2:$E$3143, ISNUMBER(
Master_Mapping_Sheet!$E$2:$E$3143),
Master_Mapping_Sheet!$C$2:$C$3143=U$1,
Master_Mapping_Sheet!$H$2:$H$3143=$A17))/sum(filter(
Master_Mapping_Sheet!$E$2:$E$3143, ISNUMBER(
Master_Mapping_Sh"&amp;"eet!$E$2:$E$3143),
Master_Mapping_Sheet!$C$2:$C$3143=U$1))), 0, sum(filter(
Master_Mapping_Sheet!$E$2:$E$3143, ISNUMBER(
Master_Mapping_Sheet!$E$2:$E$3143),
Master_Mapping_Sheet!$C$2:$C$3143=U$1,
Master_Mapping_Sheet!$H$2:$H$3143=$A17))/sum(filter(
Master"&amp;"_Mapping_Sheet!$E$2:$E$3143, ISNUMBER(
Master_Mapping_Sheet!$E$2:$E$3143),
Master_Mapping_Sheet!$C$2:$C$3143=U$1)))"),0.0)</f>
        <v>0</v>
      </c>
      <c r="V17" s="34">
        <f>IFERROR(__xludf.DUMMYFUNCTION("IF(ISNA(sum(filter(
Master_Mapping_Sheet!$E$2:$E$3143, ISNUMBER(
Master_Mapping_Sheet!$E$2:$E$3143),
Master_Mapping_Sheet!$C$2:$C$3143=V$1,
Master_Mapping_Sheet!$H$2:$H$3143=$A17))/sum(filter(
Master_Mapping_Sheet!$E$2:$E$3143, ISNUMBER(
Master_Mapping_Sh"&amp;"eet!$E$2:$E$3143),
Master_Mapping_Sheet!$C$2:$C$3143=V$1))), 0, sum(filter(
Master_Mapping_Sheet!$E$2:$E$3143, ISNUMBER(
Master_Mapping_Sheet!$E$2:$E$3143),
Master_Mapping_Sheet!$C$2:$C$3143=V$1,
Master_Mapping_Sheet!$H$2:$H$3143=$A17))/sum(filter(
Master"&amp;"_Mapping_Sheet!$E$2:$E$3143, ISNUMBER(
Master_Mapping_Sheet!$E$2:$E$3143),
Master_Mapping_Sheet!$C$2:$C$3143=V$1)))"),0.0)</f>
        <v>0</v>
      </c>
      <c r="W17" s="34">
        <f>IFERROR(__xludf.DUMMYFUNCTION("IF(ISNA(sum(filter(
Master_Mapping_Sheet!$E$2:$E$3143, ISNUMBER(
Master_Mapping_Sheet!$E$2:$E$3143),
Master_Mapping_Sheet!$C$2:$C$3143=W$1,
Master_Mapping_Sheet!$H$2:$H$3143=$A17))/sum(filter(
Master_Mapping_Sheet!$E$2:$E$3143, ISNUMBER(
Master_Mapping_Sh"&amp;"eet!$E$2:$E$3143),
Master_Mapping_Sheet!$C$2:$C$3143=W$1))), 0, sum(filter(
Master_Mapping_Sheet!$E$2:$E$3143, ISNUMBER(
Master_Mapping_Sheet!$E$2:$E$3143),
Master_Mapping_Sheet!$C$2:$C$3143=W$1,
Master_Mapping_Sheet!$H$2:$H$3143=$A17))/sum(filter(
Master"&amp;"_Mapping_Sheet!$E$2:$E$3143, ISNUMBER(
Master_Mapping_Sheet!$E$2:$E$3143),
Master_Mapping_Sheet!$C$2:$C$3143=W$1)))"),0.0)</f>
        <v>0</v>
      </c>
      <c r="X17" s="34">
        <f>IFERROR(__xludf.DUMMYFUNCTION("IF(ISNA(sum(filter(
Master_Mapping_Sheet!$E$2:$E$3143, ISNUMBER(
Master_Mapping_Sheet!$E$2:$E$3143),
Master_Mapping_Sheet!$C$2:$C$3143=X$1,
Master_Mapping_Sheet!$H$2:$H$3143=$A17))/sum(filter(
Master_Mapping_Sheet!$E$2:$E$3143, ISNUMBER(
Master_Mapping_Sh"&amp;"eet!$E$2:$E$3143),
Master_Mapping_Sheet!$C$2:$C$3143=X$1))), 0, sum(filter(
Master_Mapping_Sheet!$E$2:$E$3143, ISNUMBER(
Master_Mapping_Sheet!$E$2:$E$3143),
Master_Mapping_Sheet!$C$2:$C$3143=X$1,
Master_Mapping_Sheet!$H$2:$H$3143=$A17))/sum(filter(
Master"&amp;"_Mapping_Sheet!$E$2:$E$3143, ISNUMBER(
Master_Mapping_Sheet!$E$2:$E$3143),
Master_Mapping_Sheet!$C$2:$C$3143=X$1)))"),0.0)</f>
        <v>0</v>
      </c>
      <c r="Y17" s="34">
        <f>IFERROR(__xludf.DUMMYFUNCTION("IF(ISNA(sum(filter(
Master_Mapping_Sheet!$E$2:$E$3143, ISNUMBER(
Master_Mapping_Sheet!$E$2:$E$3143),
Master_Mapping_Sheet!$C$2:$C$3143=Y$1,
Master_Mapping_Sheet!$H$2:$H$3143=$A17))/sum(filter(
Master_Mapping_Sheet!$E$2:$E$3143, ISNUMBER(
Master_Mapping_Sh"&amp;"eet!$E$2:$E$3143),
Master_Mapping_Sheet!$C$2:$C$3143=Y$1))), 0, sum(filter(
Master_Mapping_Sheet!$E$2:$E$3143, ISNUMBER(
Master_Mapping_Sheet!$E$2:$E$3143),
Master_Mapping_Sheet!$C$2:$C$3143=Y$1,
Master_Mapping_Sheet!$H$2:$H$3143=$A17))/sum(filter(
Master"&amp;"_Mapping_Sheet!$E$2:$E$3143, ISNUMBER(
Master_Mapping_Sheet!$E$2:$E$3143),
Master_Mapping_Sheet!$C$2:$C$3143=Y$1)))"),0.0)</f>
        <v>0</v>
      </c>
      <c r="Z17" s="34">
        <f>IFERROR(__xludf.DUMMYFUNCTION("IF(ISNA(sum(filter(
Master_Mapping_Sheet!$E$2:$E$3143, ISNUMBER(
Master_Mapping_Sheet!$E$2:$E$3143),
Master_Mapping_Sheet!$C$2:$C$3143=Z$1,
Master_Mapping_Sheet!$H$2:$H$3143=$A17))/sum(filter(
Master_Mapping_Sheet!$E$2:$E$3143, ISNUMBER(
Master_Mapping_Sh"&amp;"eet!$E$2:$E$3143),
Master_Mapping_Sheet!$C$2:$C$3143=Z$1))), 0, sum(filter(
Master_Mapping_Sheet!$E$2:$E$3143, ISNUMBER(
Master_Mapping_Sheet!$E$2:$E$3143),
Master_Mapping_Sheet!$C$2:$C$3143=Z$1,
Master_Mapping_Sheet!$H$2:$H$3143=$A17))/sum(filter(
Master"&amp;"_Mapping_Sheet!$E$2:$E$3143, ISNUMBER(
Master_Mapping_Sheet!$E$2:$E$3143),
Master_Mapping_Sheet!$C$2:$C$3143=Z$1)))"),0.18514367161163253)</f>
        <v>0.1851436716</v>
      </c>
      <c r="AA17" s="34">
        <f>IFERROR(__xludf.DUMMYFUNCTION("IF(ISNA(sum(filter(
Master_Mapping_Sheet!$E$2:$E$3143, ISNUMBER(
Master_Mapping_Sheet!$E$2:$E$3143),
Master_Mapping_Sheet!$C$2:$C$3143=AA$1,
Master_Mapping_Sheet!$H$2:$H$3143=$A17))/sum(filter(
Master_Mapping_Sheet!$E$2:$E$3143, ISNUMBER(
Master_Mapping_S"&amp;"heet!$E$2:$E$3143),
Master_Mapping_Sheet!$C$2:$C$3143=AA$1))), 0, sum(filter(
Master_Mapping_Sheet!$E$2:$E$3143, ISNUMBER(
Master_Mapping_Sheet!$E$2:$E$3143),
Master_Mapping_Sheet!$C$2:$C$3143=AA$1,
Master_Mapping_Sheet!$H$2:$H$3143=$A17))/sum(filter(
Mas"&amp;"ter_Mapping_Sheet!$E$2:$E$3143, ISNUMBER(
Master_Mapping_Sheet!$E$2:$E$3143),
Master_Mapping_Sheet!$C$2:$C$3143=AA$1)))"),0.0)</f>
        <v>0</v>
      </c>
      <c r="AB17" s="34">
        <f>IFERROR(__xludf.DUMMYFUNCTION("IF(ISNA(sum(filter(
Master_Mapping_Sheet!$E$2:$E$3143, ISNUMBER(
Master_Mapping_Sheet!$E$2:$E$3143),
Master_Mapping_Sheet!$C$2:$C$3143=AB$1,
Master_Mapping_Sheet!$H$2:$H$3143=$A17))/sum(filter(
Master_Mapping_Sheet!$E$2:$E$3143, ISNUMBER(
Master_Mapping_S"&amp;"heet!$E$2:$E$3143),
Master_Mapping_Sheet!$C$2:$C$3143=AB$1))), 0, sum(filter(
Master_Mapping_Sheet!$E$2:$E$3143, ISNUMBER(
Master_Mapping_Sheet!$E$2:$E$3143),
Master_Mapping_Sheet!$C$2:$C$3143=AB$1,
Master_Mapping_Sheet!$H$2:$H$3143=$A17))/sum(filter(
Mas"&amp;"ter_Mapping_Sheet!$E$2:$E$3143, ISNUMBER(
Master_Mapping_Sheet!$E$2:$E$3143),
Master_Mapping_Sheet!$C$2:$C$3143=AB$1)))"),0.0)</f>
        <v>0</v>
      </c>
      <c r="AC17" s="34">
        <f>IFERROR(__xludf.DUMMYFUNCTION("IF(ISNA(sum(filter(
Master_Mapping_Sheet!$E$2:$E$3143, ISNUMBER(
Master_Mapping_Sheet!$E$2:$E$3143),
Master_Mapping_Sheet!$C$2:$C$3143=AC$1,
Master_Mapping_Sheet!$H$2:$H$3143=$A17))/sum(filter(
Master_Mapping_Sheet!$E$2:$E$3143, ISNUMBER(
Master_Mapping_S"&amp;"heet!$E$2:$E$3143),
Master_Mapping_Sheet!$C$2:$C$3143=AC$1))), 0, sum(filter(
Master_Mapping_Sheet!$E$2:$E$3143, ISNUMBER(
Master_Mapping_Sheet!$E$2:$E$3143),
Master_Mapping_Sheet!$C$2:$C$3143=AC$1,
Master_Mapping_Sheet!$H$2:$H$3143=$A17))/sum(filter(
Mas"&amp;"ter_Mapping_Sheet!$E$2:$E$3143, ISNUMBER(
Master_Mapping_Sheet!$E$2:$E$3143),
Master_Mapping_Sheet!$C$2:$C$3143=AC$1)))"),0.0)</f>
        <v>0</v>
      </c>
      <c r="AD17" s="34">
        <f>IFERROR(__xludf.DUMMYFUNCTION("IF(ISNA(sum(filter(
Master_Mapping_Sheet!$E$2:$E$3143, ISNUMBER(
Master_Mapping_Sheet!$E$2:$E$3143),
Master_Mapping_Sheet!$C$2:$C$3143=AD$1,
Master_Mapping_Sheet!$H$2:$H$3143=$A17))/sum(filter(
Master_Mapping_Sheet!$E$2:$E$3143, ISNUMBER(
Master_Mapping_S"&amp;"heet!$E$2:$E$3143),
Master_Mapping_Sheet!$C$2:$C$3143=AD$1))), 0, sum(filter(
Master_Mapping_Sheet!$E$2:$E$3143, ISNUMBER(
Master_Mapping_Sheet!$E$2:$E$3143),
Master_Mapping_Sheet!$C$2:$C$3143=AD$1,
Master_Mapping_Sheet!$H$2:$H$3143=$A17))/sum(filter(
Mas"&amp;"ter_Mapping_Sheet!$E$2:$E$3143, ISNUMBER(
Master_Mapping_Sheet!$E$2:$E$3143),
Master_Mapping_Sheet!$C$2:$C$3143=AD$1)))"),0.0)</f>
        <v>0</v>
      </c>
      <c r="AE17" s="34">
        <f>IFERROR(__xludf.DUMMYFUNCTION("IF(ISNA(sum(filter(
Master_Mapping_Sheet!$E$2:$E$3143, ISNUMBER(
Master_Mapping_Sheet!$E$2:$E$3143),
Master_Mapping_Sheet!$C$2:$C$3143=AE$1,
Master_Mapping_Sheet!$H$2:$H$3143=$A17))/sum(filter(
Master_Mapping_Sheet!$E$2:$E$3143, ISNUMBER(
Master_Mapping_S"&amp;"heet!$E$2:$E$3143),
Master_Mapping_Sheet!$C$2:$C$3143=AE$1))), 0, sum(filter(
Master_Mapping_Sheet!$E$2:$E$3143, ISNUMBER(
Master_Mapping_Sheet!$E$2:$E$3143),
Master_Mapping_Sheet!$C$2:$C$3143=AE$1,
Master_Mapping_Sheet!$H$2:$H$3143=$A17))/sum(filter(
Mas"&amp;"ter_Mapping_Sheet!$E$2:$E$3143, ISNUMBER(
Master_Mapping_Sheet!$E$2:$E$3143),
Master_Mapping_Sheet!$C$2:$C$3143=AE$1)))"),0.0)</f>
        <v>0</v>
      </c>
      <c r="AF17" s="34">
        <f>IFERROR(__xludf.DUMMYFUNCTION("IF(ISNA(sum(filter(
Master_Mapping_Sheet!$E$2:$E$3143, ISNUMBER(
Master_Mapping_Sheet!$E$2:$E$3143),
Master_Mapping_Sheet!$C$2:$C$3143=AF$1,
Master_Mapping_Sheet!$H$2:$H$3143=$A17))/sum(filter(
Master_Mapping_Sheet!$E$2:$E$3143, ISNUMBER(
Master_Mapping_S"&amp;"heet!$E$2:$E$3143),
Master_Mapping_Sheet!$C$2:$C$3143=AF$1))), 0, sum(filter(
Master_Mapping_Sheet!$E$2:$E$3143, ISNUMBER(
Master_Mapping_Sheet!$E$2:$E$3143),
Master_Mapping_Sheet!$C$2:$C$3143=AF$1,
Master_Mapping_Sheet!$H$2:$H$3143=$A17))/sum(filter(
Mas"&amp;"ter_Mapping_Sheet!$E$2:$E$3143, ISNUMBER(
Master_Mapping_Sheet!$E$2:$E$3143),
Master_Mapping_Sheet!$C$2:$C$3143=AF$1)))"),0.0)</f>
        <v>0</v>
      </c>
      <c r="AG17" s="34">
        <f>IFERROR(__xludf.DUMMYFUNCTION("IF(ISNA(sum(filter(
Master_Mapping_Sheet!$E$2:$E$3143, ISNUMBER(
Master_Mapping_Sheet!$E$2:$E$3143),
Master_Mapping_Sheet!$C$2:$C$3143=AG$1,
Master_Mapping_Sheet!$H$2:$H$3143=$A17))/sum(filter(
Master_Mapping_Sheet!$E$2:$E$3143, ISNUMBER(
Master_Mapping_S"&amp;"heet!$E$2:$E$3143),
Master_Mapping_Sheet!$C$2:$C$3143=AG$1))), 0, sum(filter(
Master_Mapping_Sheet!$E$2:$E$3143, ISNUMBER(
Master_Mapping_Sheet!$E$2:$E$3143),
Master_Mapping_Sheet!$C$2:$C$3143=AG$1,
Master_Mapping_Sheet!$H$2:$H$3143=$A17))/sum(filter(
Mas"&amp;"ter_Mapping_Sheet!$E$2:$E$3143, ISNUMBER(
Master_Mapping_Sheet!$E$2:$E$3143),
Master_Mapping_Sheet!$C$2:$C$3143=AG$1)))"),0.0)</f>
        <v>0</v>
      </c>
      <c r="AH17" s="34">
        <f>IFERROR(__xludf.DUMMYFUNCTION("IF(ISNA(sum(filter(
Master_Mapping_Sheet!$E$2:$E$3143, ISNUMBER(
Master_Mapping_Sheet!$E$2:$E$3143),
Master_Mapping_Sheet!$C$2:$C$3143=AH$1,
Master_Mapping_Sheet!$H$2:$H$3143=$A17))/sum(filter(
Master_Mapping_Sheet!$E$2:$E$3143, ISNUMBER(
Master_Mapping_S"&amp;"heet!$E$2:$E$3143),
Master_Mapping_Sheet!$C$2:$C$3143=AH$1))), 0, sum(filter(
Master_Mapping_Sheet!$E$2:$E$3143, ISNUMBER(
Master_Mapping_Sheet!$E$2:$E$3143),
Master_Mapping_Sheet!$C$2:$C$3143=AH$1,
Master_Mapping_Sheet!$H$2:$H$3143=$A17))/sum(filter(
Mas"&amp;"ter_Mapping_Sheet!$E$2:$E$3143, ISNUMBER(
Master_Mapping_Sheet!$E$2:$E$3143),
Master_Mapping_Sheet!$C$2:$C$3143=AH$1)))"),0.0)</f>
        <v>0</v>
      </c>
      <c r="AI17" s="34">
        <f>IFERROR(__xludf.DUMMYFUNCTION("IF(ISNA(sum(filter(
Master_Mapping_Sheet!$E$2:$E$3143, ISNUMBER(
Master_Mapping_Sheet!$E$2:$E$3143),
Master_Mapping_Sheet!$C$2:$C$3143=AI$1,
Master_Mapping_Sheet!$H$2:$H$3143=$A17))/sum(filter(
Master_Mapping_Sheet!$E$2:$E$3143, ISNUMBER(
Master_Mapping_S"&amp;"heet!$E$2:$E$3143),
Master_Mapping_Sheet!$C$2:$C$3143=AI$1))), 0, sum(filter(
Master_Mapping_Sheet!$E$2:$E$3143, ISNUMBER(
Master_Mapping_Sheet!$E$2:$E$3143),
Master_Mapping_Sheet!$C$2:$C$3143=AI$1,
Master_Mapping_Sheet!$H$2:$H$3143=$A17))/sum(filter(
Mas"&amp;"ter_Mapping_Sheet!$E$2:$E$3143, ISNUMBER(
Master_Mapping_Sheet!$E$2:$E$3143),
Master_Mapping_Sheet!$C$2:$C$3143=AI$1)))"),0.0)</f>
        <v>0</v>
      </c>
      <c r="AJ17" s="34">
        <f>IFERROR(__xludf.DUMMYFUNCTION("IF(ISNA(sum(filter(
Master_Mapping_Sheet!$E$2:$E$3143, ISNUMBER(
Master_Mapping_Sheet!$E$2:$E$3143),
Master_Mapping_Sheet!$C$2:$C$3143=AJ$1,
Master_Mapping_Sheet!$H$2:$H$3143=$A17))/sum(filter(
Master_Mapping_Sheet!$E$2:$E$3143, ISNUMBER(
Master_Mapping_S"&amp;"heet!$E$2:$E$3143),
Master_Mapping_Sheet!$C$2:$C$3143=AJ$1))), 0, sum(filter(
Master_Mapping_Sheet!$E$2:$E$3143, ISNUMBER(
Master_Mapping_Sheet!$E$2:$E$3143),
Master_Mapping_Sheet!$C$2:$C$3143=AJ$1,
Master_Mapping_Sheet!$H$2:$H$3143=$A17))/sum(filter(
Mas"&amp;"ter_Mapping_Sheet!$E$2:$E$3143, ISNUMBER(
Master_Mapping_Sheet!$E$2:$E$3143),
Master_Mapping_Sheet!$C$2:$C$3143=AJ$1)))"),0.0)</f>
        <v>0</v>
      </c>
      <c r="AK17" s="34">
        <f>IFERROR(__xludf.DUMMYFUNCTION("IF(ISNA(sum(filter(
Master_Mapping_Sheet!$E$2:$E$3143, ISNUMBER(
Master_Mapping_Sheet!$E$2:$E$3143),
Master_Mapping_Sheet!$C$2:$C$3143=AK$1,
Master_Mapping_Sheet!$H$2:$H$3143=$A17))/sum(filter(
Master_Mapping_Sheet!$E$2:$E$3143, ISNUMBER(
Master_Mapping_S"&amp;"heet!$E$2:$E$3143),
Master_Mapping_Sheet!$C$2:$C$3143=AK$1))), 0, sum(filter(
Master_Mapping_Sheet!$E$2:$E$3143, ISNUMBER(
Master_Mapping_Sheet!$E$2:$E$3143),
Master_Mapping_Sheet!$C$2:$C$3143=AK$1,
Master_Mapping_Sheet!$H$2:$H$3143=$A17))/sum(filter(
Mas"&amp;"ter_Mapping_Sheet!$E$2:$E$3143, ISNUMBER(
Master_Mapping_Sheet!$E$2:$E$3143),
Master_Mapping_Sheet!$C$2:$C$3143=AK$1)))"),0.0)</f>
        <v>0</v>
      </c>
      <c r="AL17" s="34">
        <f>IFERROR(__xludf.DUMMYFUNCTION("IF(ISNA(sum(filter(
Master_Mapping_Sheet!$E$2:$E$3143, ISNUMBER(
Master_Mapping_Sheet!$E$2:$E$3143),
Master_Mapping_Sheet!$C$2:$C$3143=AL$1,
Master_Mapping_Sheet!$H$2:$H$3143=$A17))/sum(filter(
Master_Mapping_Sheet!$E$2:$E$3143, ISNUMBER(
Master_Mapping_S"&amp;"heet!$E$2:$E$3143),
Master_Mapping_Sheet!$C$2:$C$3143=AL$1))), 0, sum(filter(
Master_Mapping_Sheet!$E$2:$E$3143, ISNUMBER(
Master_Mapping_Sheet!$E$2:$E$3143),
Master_Mapping_Sheet!$C$2:$C$3143=AL$1,
Master_Mapping_Sheet!$H$2:$H$3143=$A17))/sum(filter(
Mas"&amp;"ter_Mapping_Sheet!$E$2:$E$3143, ISNUMBER(
Master_Mapping_Sheet!$E$2:$E$3143),
Master_Mapping_Sheet!$C$2:$C$3143=AL$1)))"),0.0)</f>
        <v>0</v>
      </c>
      <c r="AM17" s="34">
        <f>IFERROR(__xludf.DUMMYFUNCTION("IF(ISNA(sum(filter(
Master_Mapping_Sheet!$E$2:$E$3143, ISNUMBER(
Master_Mapping_Sheet!$E$2:$E$3143),
Master_Mapping_Sheet!$C$2:$C$3143=AM$1,
Master_Mapping_Sheet!$H$2:$H$3143=$A17))/sum(filter(
Master_Mapping_Sheet!$E$2:$E$3143, ISNUMBER(
Master_Mapping_S"&amp;"heet!$E$2:$E$3143),
Master_Mapping_Sheet!$C$2:$C$3143=AM$1))), 0, sum(filter(
Master_Mapping_Sheet!$E$2:$E$3143, ISNUMBER(
Master_Mapping_Sheet!$E$2:$E$3143),
Master_Mapping_Sheet!$C$2:$C$3143=AM$1,
Master_Mapping_Sheet!$H$2:$H$3143=$A17))/sum(filter(
Mas"&amp;"ter_Mapping_Sheet!$E$2:$E$3143, ISNUMBER(
Master_Mapping_Sheet!$E$2:$E$3143),
Master_Mapping_Sheet!$C$2:$C$3143=AM$1)))"),0.0)</f>
        <v>0</v>
      </c>
      <c r="AN17" s="34">
        <f>IFERROR(__xludf.DUMMYFUNCTION("IF(ISNA(sum(filter(
Master_Mapping_Sheet!$E$2:$E$3143, ISNUMBER(
Master_Mapping_Sheet!$E$2:$E$3143),
Master_Mapping_Sheet!$C$2:$C$3143=AN$1,
Master_Mapping_Sheet!$H$2:$H$3143=$A17))/sum(filter(
Master_Mapping_Sheet!$E$2:$E$3143, ISNUMBER(
Master_Mapping_S"&amp;"heet!$E$2:$E$3143),
Master_Mapping_Sheet!$C$2:$C$3143=AN$1))), 0, sum(filter(
Master_Mapping_Sheet!$E$2:$E$3143, ISNUMBER(
Master_Mapping_Sheet!$E$2:$E$3143),
Master_Mapping_Sheet!$C$2:$C$3143=AN$1,
Master_Mapping_Sheet!$H$2:$H$3143=$A17))/sum(filter(
Mas"&amp;"ter_Mapping_Sheet!$E$2:$E$3143, ISNUMBER(
Master_Mapping_Sheet!$E$2:$E$3143),
Master_Mapping_Sheet!$C$2:$C$3143=AN$1)))"),0.0)</f>
        <v>0</v>
      </c>
      <c r="AO17" s="34">
        <f>IFERROR(__xludf.DUMMYFUNCTION("IF(ISNA(sum(filter(
Master_Mapping_Sheet!$E$2:$E$3143, ISNUMBER(
Master_Mapping_Sheet!$E$2:$E$3143),
Master_Mapping_Sheet!$C$2:$C$3143=AO$1,
Master_Mapping_Sheet!$H$2:$H$3143=$A17))/sum(filter(
Master_Mapping_Sheet!$E$2:$E$3143, ISNUMBER(
Master_Mapping_S"&amp;"heet!$E$2:$E$3143),
Master_Mapping_Sheet!$C$2:$C$3143=AO$1))), 0, sum(filter(
Master_Mapping_Sheet!$E$2:$E$3143, ISNUMBER(
Master_Mapping_Sheet!$E$2:$E$3143),
Master_Mapping_Sheet!$C$2:$C$3143=AO$1,
Master_Mapping_Sheet!$H$2:$H$3143=$A17))/sum(filter(
Mas"&amp;"ter_Mapping_Sheet!$E$2:$E$3143, ISNUMBER(
Master_Mapping_Sheet!$E$2:$E$3143),
Master_Mapping_Sheet!$C$2:$C$3143=AO$1)))"),0.0)</f>
        <v>0</v>
      </c>
      <c r="AP17" s="34">
        <f>IFERROR(__xludf.DUMMYFUNCTION("IF(ISNA(sum(filter(
Master_Mapping_Sheet!$E$2:$E$3143, ISNUMBER(
Master_Mapping_Sheet!$E$2:$E$3143),
Master_Mapping_Sheet!$C$2:$C$3143=AP$1,
Master_Mapping_Sheet!$H$2:$H$3143=$A17))/sum(filter(
Master_Mapping_Sheet!$E$2:$E$3143, ISNUMBER(
Master_Mapping_S"&amp;"heet!$E$2:$E$3143),
Master_Mapping_Sheet!$C$2:$C$3143=AP$1))), 0, sum(filter(
Master_Mapping_Sheet!$E$2:$E$3143, ISNUMBER(
Master_Mapping_Sheet!$E$2:$E$3143),
Master_Mapping_Sheet!$C$2:$C$3143=AP$1,
Master_Mapping_Sheet!$H$2:$H$3143=$A17))/sum(filter(
Mas"&amp;"ter_Mapping_Sheet!$E$2:$E$3143, ISNUMBER(
Master_Mapping_Sheet!$E$2:$E$3143),
Master_Mapping_Sheet!$C$2:$C$3143=AP$1)))"),0.0)</f>
        <v>0</v>
      </c>
      <c r="AQ17" s="34">
        <f>IFERROR(__xludf.DUMMYFUNCTION("IF(ISNA(sum(filter(
Master_Mapping_Sheet!$E$2:$E$3143, ISNUMBER(
Master_Mapping_Sheet!$E$2:$E$3143),
Master_Mapping_Sheet!$C$2:$C$3143=AQ$1,
Master_Mapping_Sheet!$H$2:$H$3143=$A17))/sum(filter(
Master_Mapping_Sheet!$E$2:$E$3143, ISNUMBER(
Master_Mapping_S"&amp;"heet!$E$2:$E$3143),
Master_Mapping_Sheet!$C$2:$C$3143=AQ$1))), 0, sum(filter(
Master_Mapping_Sheet!$E$2:$E$3143, ISNUMBER(
Master_Mapping_Sheet!$E$2:$E$3143),
Master_Mapping_Sheet!$C$2:$C$3143=AQ$1,
Master_Mapping_Sheet!$H$2:$H$3143=$A17))/sum(filter(
Mas"&amp;"ter_Mapping_Sheet!$E$2:$E$3143, ISNUMBER(
Master_Mapping_Sheet!$E$2:$E$3143),
Master_Mapping_Sheet!$C$2:$C$3143=AQ$1)))"),0.0)</f>
        <v>0</v>
      </c>
      <c r="AR17" s="34">
        <f>IFERROR(__xludf.DUMMYFUNCTION("IF(ISNA(sum(filter(
Master_Mapping_Sheet!$E$2:$E$3143, ISNUMBER(
Master_Mapping_Sheet!$E$2:$E$3143),
Master_Mapping_Sheet!$C$2:$C$3143=AR$1,
Master_Mapping_Sheet!$H$2:$H$3143=$A17))/sum(filter(
Master_Mapping_Sheet!$E$2:$E$3143, ISNUMBER(
Master_Mapping_S"&amp;"heet!$E$2:$E$3143),
Master_Mapping_Sheet!$C$2:$C$3143=AR$1))), 0, sum(filter(
Master_Mapping_Sheet!$E$2:$E$3143, ISNUMBER(
Master_Mapping_Sheet!$E$2:$E$3143),
Master_Mapping_Sheet!$C$2:$C$3143=AR$1,
Master_Mapping_Sheet!$H$2:$H$3143=$A17))/sum(filter(
Mas"&amp;"ter_Mapping_Sheet!$E$2:$E$3143, ISNUMBER(
Master_Mapping_Sheet!$E$2:$E$3143),
Master_Mapping_Sheet!$C$2:$C$3143=AR$1)))"),1.0)</f>
        <v>1</v>
      </c>
      <c r="AS17" s="34">
        <f>IFERROR(__xludf.DUMMYFUNCTION("IF(ISNA(sum(filter(
Master_Mapping_Sheet!$E$2:$E$3143, ISNUMBER(
Master_Mapping_Sheet!$E$2:$E$3143),
Master_Mapping_Sheet!$C$2:$C$3143=AS$1,
Master_Mapping_Sheet!$H$2:$H$3143=$A17))/sum(filter(
Master_Mapping_Sheet!$E$2:$E$3143, ISNUMBER(
Master_Mapping_S"&amp;"heet!$E$2:$E$3143),
Master_Mapping_Sheet!$C$2:$C$3143=AS$1))), 0, sum(filter(
Master_Mapping_Sheet!$E$2:$E$3143, ISNUMBER(
Master_Mapping_Sheet!$E$2:$E$3143),
Master_Mapping_Sheet!$C$2:$C$3143=AS$1,
Master_Mapping_Sheet!$H$2:$H$3143=$A17))/sum(filter(
Mas"&amp;"ter_Mapping_Sheet!$E$2:$E$3143, ISNUMBER(
Master_Mapping_Sheet!$E$2:$E$3143),
Master_Mapping_Sheet!$C$2:$C$3143=AS$1)))"),0.0)</f>
        <v>0</v>
      </c>
      <c r="AT17" s="34">
        <f>IFERROR(__xludf.DUMMYFUNCTION("IF(ISNA(sum(filter(
Master_Mapping_Sheet!$E$2:$E$3143, ISNUMBER(
Master_Mapping_Sheet!$E$2:$E$3143),
Master_Mapping_Sheet!$C$2:$C$3143=AT$1,
Master_Mapping_Sheet!$H$2:$H$3143=$A17))/sum(filter(
Master_Mapping_Sheet!$E$2:$E$3143, ISNUMBER(
Master_Mapping_S"&amp;"heet!$E$2:$E$3143),
Master_Mapping_Sheet!$C$2:$C$3143=AT$1))), 0, sum(filter(
Master_Mapping_Sheet!$E$2:$E$3143, ISNUMBER(
Master_Mapping_Sheet!$E$2:$E$3143),
Master_Mapping_Sheet!$C$2:$C$3143=AT$1,
Master_Mapping_Sheet!$H$2:$H$3143=$A17))/sum(filter(
Mas"&amp;"ter_Mapping_Sheet!$E$2:$E$3143, ISNUMBER(
Master_Mapping_Sheet!$E$2:$E$3143),
Master_Mapping_Sheet!$C$2:$C$3143=AT$1)))"),0.0)</f>
        <v>0</v>
      </c>
      <c r="AU17" s="34">
        <f>IFERROR(__xludf.DUMMYFUNCTION("IF(ISNA(sum(filter(
Master_Mapping_Sheet!$E$2:$E$3143, ISNUMBER(
Master_Mapping_Sheet!$E$2:$E$3143),
Master_Mapping_Sheet!$C$2:$C$3143=AU$1,
Master_Mapping_Sheet!$H$2:$H$3143=$A17))/sum(filter(
Master_Mapping_Sheet!$E$2:$E$3143, ISNUMBER(
Master_Mapping_S"&amp;"heet!$E$2:$E$3143),
Master_Mapping_Sheet!$C$2:$C$3143=AU$1))), 0, sum(filter(
Master_Mapping_Sheet!$E$2:$E$3143, ISNUMBER(
Master_Mapping_Sheet!$E$2:$E$3143),
Master_Mapping_Sheet!$C$2:$C$3143=AU$1,
Master_Mapping_Sheet!$H$2:$H$3143=$A17))/sum(filter(
Mas"&amp;"ter_Mapping_Sheet!$E$2:$E$3143, ISNUMBER(
Master_Mapping_Sheet!$E$2:$E$3143),
Master_Mapping_Sheet!$C$2:$C$3143=AU$1)))"),0.0)</f>
        <v>0</v>
      </c>
      <c r="AV17" s="34">
        <f>IFERROR(__xludf.DUMMYFUNCTION("IF(ISNA(sum(filter(
Master_Mapping_Sheet!$E$2:$E$3143, ISNUMBER(
Master_Mapping_Sheet!$E$2:$E$3143),
Master_Mapping_Sheet!$C$2:$C$3143=AV$1,
Master_Mapping_Sheet!$H$2:$H$3143=$A17))/sum(filter(
Master_Mapping_Sheet!$E$2:$E$3143, ISNUMBER(
Master_Mapping_S"&amp;"heet!$E$2:$E$3143),
Master_Mapping_Sheet!$C$2:$C$3143=AV$1))), 0, sum(filter(
Master_Mapping_Sheet!$E$2:$E$3143, ISNUMBER(
Master_Mapping_Sheet!$E$2:$E$3143),
Master_Mapping_Sheet!$C$2:$C$3143=AV$1,
Master_Mapping_Sheet!$H$2:$H$3143=$A17))/sum(filter(
Mas"&amp;"ter_Mapping_Sheet!$E$2:$E$3143, ISNUMBER(
Master_Mapping_Sheet!$E$2:$E$3143),
Master_Mapping_Sheet!$C$2:$C$3143=AV$1)))"),0.01131877217407028)</f>
        <v>0.01131877217</v>
      </c>
      <c r="AW17" s="34">
        <f>IFERROR(__xludf.DUMMYFUNCTION("IF(ISNA(sum(filter(
Master_Mapping_Sheet!$E$2:$E$3143, ISNUMBER(
Master_Mapping_Sheet!$E$2:$E$3143),
Master_Mapping_Sheet!$C$2:$C$3143=AW$1,
Master_Mapping_Sheet!$H$2:$H$3143=$A17))/sum(filter(
Master_Mapping_Sheet!$E$2:$E$3143, ISNUMBER(
Master_Mapping_S"&amp;"heet!$E$2:$E$3143),
Master_Mapping_Sheet!$C$2:$C$3143=AW$1))), 0, sum(filter(
Master_Mapping_Sheet!$E$2:$E$3143, ISNUMBER(
Master_Mapping_Sheet!$E$2:$E$3143),
Master_Mapping_Sheet!$C$2:$C$3143=AW$1,
Master_Mapping_Sheet!$H$2:$H$3143=$A17))/sum(filter(
Mas"&amp;"ter_Mapping_Sheet!$E$2:$E$3143, ISNUMBER(
Master_Mapping_Sheet!$E$2:$E$3143),
Master_Mapping_Sheet!$C$2:$C$3143=AW$1)))"),0.0)</f>
        <v>0</v>
      </c>
      <c r="AX17" s="34">
        <f>IFERROR(__xludf.DUMMYFUNCTION("IF(ISNA(sum(filter(
Master_Mapping_Sheet!$E$2:$E$3143, ISNUMBER(
Master_Mapping_Sheet!$E$2:$E$3143),
Master_Mapping_Sheet!$C$2:$C$3143=AX$1,
Master_Mapping_Sheet!$H$2:$H$3143=$A17))/sum(filter(
Master_Mapping_Sheet!$E$2:$E$3143, ISNUMBER(
Master_Mapping_S"&amp;"heet!$E$2:$E$3143),
Master_Mapping_Sheet!$C$2:$C$3143=AX$1))), 0, sum(filter(
Master_Mapping_Sheet!$E$2:$E$3143, ISNUMBER(
Master_Mapping_Sheet!$E$2:$E$3143),
Master_Mapping_Sheet!$C$2:$C$3143=AX$1,
Master_Mapping_Sheet!$H$2:$H$3143=$A17))/sum(filter(
Mas"&amp;"ter_Mapping_Sheet!$E$2:$E$3143, ISNUMBER(
Master_Mapping_Sheet!$E$2:$E$3143),
Master_Mapping_Sheet!$C$2:$C$3143=AX$1)))"),0.0)</f>
        <v>0</v>
      </c>
      <c r="AY17" s="34">
        <f>IFERROR(__xludf.DUMMYFUNCTION("IF(ISNA(sum(filter(
Master_Mapping_Sheet!$E$2:$E$3143, ISNUMBER(
Master_Mapping_Sheet!$E$2:$E$3143),
Master_Mapping_Sheet!$C$2:$C$3143=AY$1,
Master_Mapping_Sheet!$H$2:$H$3143=$A17))/sum(filter(
Master_Mapping_Sheet!$E$2:$E$3143, ISNUMBER(
Master_Mapping_S"&amp;"heet!$E$2:$E$3143),
Master_Mapping_Sheet!$C$2:$C$3143=AY$1))), 0, sum(filter(
Master_Mapping_Sheet!$E$2:$E$3143, ISNUMBER(
Master_Mapping_Sheet!$E$2:$E$3143),
Master_Mapping_Sheet!$C$2:$C$3143=AY$1,
Master_Mapping_Sheet!$H$2:$H$3143=$A17))/sum(filter(
Mas"&amp;"ter_Mapping_Sheet!$E$2:$E$3143, ISNUMBER(
Master_Mapping_Sheet!$E$2:$E$3143),
Master_Mapping_Sheet!$C$2:$C$3143=AY$1)))"),0.0)</f>
        <v>0</v>
      </c>
      <c r="AZ17" s="34">
        <f>IFERROR(__xludf.DUMMYFUNCTION("IF(ISNA(sum(filter(
Master_Mapping_Sheet!$E$2:$E$3143, ISNUMBER(
Master_Mapping_Sheet!$E$2:$E$3143),
Master_Mapping_Sheet!$C$2:$C$3143=AZ$1,
Master_Mapping_Sheet!$H$2:$H$3143=$A17))/sum(filter(
Master_Mapping_Sheet!$E$2:$E$3143, ISNUMBER(
Master_Mapping_S"&amp;"heet!$E$2:$E$3143),
Master_Mapping_Sheet!$C$2:$C$3143=AZ$1))), 0, sum(filter(
Master_Mapping_Sheet!$E$2:$E$3143, ISNUMBER(
Master_Mapping_Sheet!$E$2:$E$3143),
Master_Mapping_Sheet!$C$2:$C$3143=AZ$1,
Master_Mapping_Sheet!$H$2:$H$3143=$A17))/sum(filter(
Mas"&amp;"ter_Mapping_Sheet!$E$2:$E$3143, ISNUMBER(
Master_Mapping_Sheet!$E$2:$E$3143),
Master_Mapping_Sheet!$C$2:$C$3143=AZ$1)))"),0.0)</f>
        <v>0</v>
      </c>
    </row>
    <row r="18" ht="15.75" customHeight="1">
      <c r="A18" s="34" t="s">
        <v>3976</v>
      </c>
      <c r="B18" s="34">
        <f>IFERROR(__xludf.DUMMYFUNCTION("IF(ISNA(sum(filter(
Master_Mapping_Sheet!$E$2:$E$3143, ISNUMBER(
Master_Mapping_Sheet!$E$2:$E$3143),
Master_Mapping_Sheet!$C$2:$C$3143=B$1,
Master_Mapping_Sheet!$H$2:$H$3143=$A18))/sum(filter(
Master_Mapping_Sheet!$E$2:$E$3143, ISNUMBER(
Master_Mapping_Sh"&amp;"eet!$E$2:$E$3143),
Master_Mapping_Sheet!$C$2:$C$3143=B$1))), 0, sum(filter(
Master_Mapping_Sheet!$E$2:$E$3143, ISNUMBER(
Master_Mapping_Sheet!$E$2:$E$3143),
Master_Mapping_Sheet!$C$2:$C$3143=B$1,
Master_Mapping_Sheet!$H$2:$H$3143=$A18))/sum(filter(
Master"&amp;"_Mapping_Sheet!$E$2:$E$3143, ISNUMBER(
Master_Mapping_Sheet!$E$2:$E$3143),
Master_Mapping_Sheet!$C$2:$C$3143=B$1)))"),0.0)</f>
        <v>0</v>
      </c>
      <c r="C18" s="34">
        <f>IFERROR(__xludf.DUMMYFUNCTION("IF(ISNA(sum(filter(
Master_Mapping_Sheet!$E$2:$E$3143, ISNUMBER(
Master_Mapping_Sheet!$E$2:$E$3143),
Master_Mapping_Sheet!$C$2:$C$3143=C$1,
Master_Mapping_Sheet!$H$2:$H$3143=$A18))/sum(filter(
Master_Mapping_Sheet!$E$2:$E$3143, ISNUMBER(
Master_Mapping_Sh"&amp;"eet!$E$2:$E$3143),
Master_Mapping_Sheet!$C$2:$C$3143=C$1))), 0, sum(filter(
Master_Mapping_Sheet!$E$2:$E$3143, ISNUMBER(
Master_Mapping_Sheet!$E$2:$E$3143),
Master_Mapping_Sheet!$C$2:$C$3143=C$1,
Master_Mapping_Sheet!$H$2:$H$3143=$A18))/sum(filter(
Master"&amp;"_Mapping_Sheet!$E$2:$E$3143, ISNUMBER(
Master_Mapping_Sheet!$E$2:$E$3143),
Master_Mapping_Sheet!$C$2:$C$3143=C$1)))"),0.0)</f>
        <v>0</v>
      </c>
      <c r="D18" s="34">
        <f>IFERROR(__xludf.DUMMYFUNCTION("IF(ISNA(sum(filter(
Master_Mapping_Sheet!$E$2:$E$3143, ISNUMBER(
Master_Mapping_Sheet!$E$2:$E$3143),
Master_Mapping_Sheet!$C$2:$C$3143=D$1,
Master_Mapping_Sheet!$H$2:$H$3143=$A18))/sum(filter(
Master_Mapping_Sheet!$E$2:$E$3143, ISNUMBER(
Master_Mapping_Sh"&amp;"eet!$E$2:$E$3143),
Master_Mapping_Sheet!$C$2:$C$3143=D$1))), 0, sum(filter(
Master_Mapping_Sheet!$E$2:$E$3143, ISNUMBER(
Master_Mapping_Sheet!$E$2:$E$3143),
Master_Mapping_Sheet!$C$2:$C$3143=D$1,
Master_Mapping_Sheet!$H$2:$H$3143=$A18))/sum(filter(
Master"&amp;"_Mapping_Sheet!$E$2:$E$3143, ISNUMBER(
Master_Mapping_Sheet!$E$2:$E$3143),
Master_Mapping_Sheet!$C$2:$C$3143=D$1)))"),0.0)</f>
        <v>0</v>
      </c>
      <c r="E18" s="34">
        <f>IFERROR(__xludf.DUMMYFUNCTION("IF(ISNA(sum(filter(
Master_Mapping_Sheet!$E$2:$E$3143, ISNUMBER(
Master_Mapping_Sheet!$E$2:$E$3143),
Master_Mapping_Sheet!$C$2:$C$3143=E$1,
Master_Mapping_Sheet!$H$2:$H$3143=$A18))/sum(filter(
Master_Mapping_Sheet!$E$2:$E$3143, ISNUMBER(
Master_Mapping_Sh"&amp;"eet!$E$2:$E$3143),
Master_Mapping_Sheet!$C$2:$C$3143=E$1))), 0, sum(filter(
Master_Mapping_Sheet!$E$2:$E$3143, ISNUMBER(
Master_Mapping_Sheet!$E$2:$E$3143),
Master_Mapping_Sheet!$C$2:$C$3143=E$1,
Master_Mapping_Sheet!$H$2:$H$3143=$A18))/sum(filter(
Master"&amp;"_Mapping_Sheet!$E$2:$E$3143, ISNUMBER(
Master_Mapping_Sheet!$E$2:$E$3143),
Master_Mapping_Sheet!$C$2:$C$3143=E$1)))"),0.34494212662644586)</f>
        <v>0.3449421266</v>
      </c>
      <c r="F18" s="34">
        <f>IFERROR(__xludf.DUMMYFUNCTION("IF(ISNA(sum(filter(
Master_Mapping_Sheet!$E$2:$E$3143, ISNUMBER(
Master_Mapping_Sheet!$E$2:$E$3143),
Master_Mapping_Sheet!$C$2:$C$3143=F$1,
Master_Mapping_Sheet!$H$2:$H$3143=$A18))/sum(filter(
Master_Mapping_Sheet!$E$2:$E$3143, ISNUMBER(
Master_Mapping_Sh"&amp;"eet!$E$2:$E$3143),
Master_Mapping_Sheet!$C$2:$C$3143=F$1))), 0, sum(filter(
Master_Mapping_Sheet!$E$2:$E$3143, ISNUMBER(
Master_Mapping_Sheet!$E$2:$E$3143),
Master_Mapping_Sheet!$C$2:$C$3143=F$1,
Master_Mapping_Sheet!$H$2:$H$3143=$A18))/sum(filter(
Master"&amp;"_Mapping_Sheet!$E$2:$E$3143, ISNUMBER(
Master_Mapping_Sheet!$E$2:$E$3143),
Master_Mapping_Sheet!$C$2:$C$3143=F$1)))"),0.0)</f>
        <v>0</v>
      </c>
      <c r="G18" s="34">
        <f>IFERROR(__xludf.DUMMYFUNCTION("IF(ISNA(sum(filter(
Master_Mapping_Sheet!$E$2:$E$3143, ISNUMBER(
Master_Mapping_Sheet!$E$2:$E$3143),
Master_Mapping_Sheet!$C$2:$C$3143=G$1,
Master_Mapping_Sheet!$H$2:$H$3143=$A18))/sum(filter(
Master_Mapping_Sheet!$E$2:$E$3143, ISNUMBER(
Master_Mapping_Sh"&amp;"eet!$E$2:$E$3143),
Master_Mapping_Sheet!$C$2:$C$3143=G$1))), 0, sum(filter(
Master_Mapping_Sheet!$E$2:$E$3143, ISNUMBER(
Master_Mapping_Sheet!$E$2:$E$3143),
Master_Mapping_Sheet!$C$2:$C$3143=G$1,
Master_Mapping_Sheet!$H$2:$H$3143=$A18))/sum(filter(
Master"&amp;"_Mapping_Sheet!$E$2:$E$3143, ISNUMBER(
Master_Mapping_Sheet!$E$2:$E$3143),
Master_Mapping_Sheet!$C$2:$C$3143=G$1)))"),0.0)</f>
        <v>0</v>
      </c>
      <c r="H18" s="34">
        <f>IFERROR(__xludf.DUMMYFUNCTION("IF(ISNA(sum(filter(
Master_Mapping_Sheet!$E$2:$E$3143, ISNUMBER(
Master_Mapping_Sheet!$E$2:$E$3143),
Master_Mapping_Sheet!$C$2:$C$3143=H$1,
Master_Mapping_Sheet!$H$2:$H$3143=$A18))/sum(filter(
Master_Mapping_Sheet!$E$2:$E$3143, ISNUMBER(
Master_Mapping_Sh"&amp;"eet!$E$2:$E$3143),
Master_Mapping_Sheet!$C$2:$C$3143=H$1))), 0, sum(filter(
Master_Mapping_Sheet!$E$2:$E$3143, ISNUMBER(
Master_Mapping_Sheet!$E$2:$E$3143),
Master_Mapping_Sheet!$C$2:$C$3143=H$1,
Master_Mapping_Sheet!$H$2:$H$3143=$A18))/sum(filter(
Master"&amp;"_Mapping_Sheet!$E$2:$E$3143, ISNUMBER(
Master_Mapping_Sheet!$E$2:$E$3143),
Master_Mapping_Sheet!$C$2:$C$3143=H$1)))"),0.0)</f>
        <v>0</v>
      </c>
      <c r="I18" s="34">
        <f>IFERROR(__xludf.DUMMYFUNCTION("IF(ISNA(sum(filter(
Master_Mapping_Sheet!$E$2:$E$3143, ISNUMBER(
Master_Mapping_Sheet!$E$2:$E$3143),
Master_Mapping_Sheet!$C$2:$C$3143=I$1,
Master_Mapping_Sheet!$H$2:$H$3143=$A18))/sum(filter(
Master_Mapping_Sheet!$E$2:$E$3143, ISNUMBER(
Master_Mapping_Sh"&amp;"eet!$E$2:$E$3143),
Master_Mapping_Sheet!$C$2:$C$3143=I$1))), 0, sum(filter(
Master_Mapping_Sheet!$E$2:$E$3143, ISNUMBER(
Master_Mapping_Sheet!$E$2:$E$3143),
Master_Mapping_Sheet!$C$2:$C$3143=I$1,
Master_Mapping_Sheet!$H$2:$H$3143=$A18))/sum(filter(
Master"&amp;"_Mapping_Sheet!$E$2:$E$3143, ISNUMBER(
Master_Mapping_Sheet!$E$2:$E$3143),
Master_Mapping_Sheet!$C$2:$C$3143=I$1)))"),0.0)</f>
        <v>0</v>
      </c>
      <c r="J18" s="34">
        <f>IFERROR(__xludf.DUMMYFUNCTION("IF(ISNA(sum(filter(
Master_Mapping_Sheet!$E$2:$E$3143, ISNUMBER(
Master_Mapping_Sheet!$E$2:$E$3143),
Master_Mapping_Sheet!$C$2:$C$3143=J$1,
Master_Mapping_Sheet!$H$2:$H$3143=$A18))/sum(filter(
Master_Mapping_Sheet!$E$2:$E$3143, ISNUMBER(
Master_Mapping_Sh"&amp;"eet!$E$2:$E$3143),
Master_Mapping_Sheet!$C$2:$C$3143=J$1))), 0, sum(filter(
Master_Mapping_Sheet!$E$2:$E$3143, ISNUMBER(
Master_Mapping_Sheet!$E$2:$E$3143),
Master_Mapping_Sheet!$C$2:$C$3143=J$1,
Master_Mapping_Sheet!$H$2:$H$3143=$A18))/sum(filter(
Master"&amp;"_Mapping_Sheet!$E$2:$E$3143, ISNUMBER(
Master_Mapping_Sheet!$E$2:$E$3143),
Master_Mapping_Sheet!$C$2:$C$3143=J$1)))"),0.0)</f>
        <v>0</v>
      </c>
      <c r="K18" s="34">
        <f>IFERROR(__xludf.DUMMYFUNCTION("IF(ISNA(sum(filter(
Master_Mapping_Sheet!$E$2:$E$3143, ISNUMBER(
Master_Mapping_Sheet!$E$2:$E$3143),
Master_Mapping_Sheet!$C$2:$C$3143=K$1,
Master_Mapping_Sheet!$H$2:$H$3143=$A18))/sum(filter(
Master_Mapping_Sheet!$E$2:$E$3143, ISNUMBER(
Master_Mapping_Sh"&amp;"eet!$E$2:$E$3143),
Master_Mapping_Sheet!$C$2:$C$3143=K$1))), 0, sum(filter(
Master_Mapping_Sheet!$E$2:$E$3143, ISNUMBER(
Master_Mapping_Sheet!$E$2:$E$3143),
Master_Mapping_Sheet!$C$2:$C$3143=K$1,
Master_Mapping_Sheet!$H$2:$H$3143=$A18))/sum(filter(
Master"&amp;"_Mapping_Sheet!$E$2:$E$3143, ISNUMBER(
Master_Mapping_Sheet!$E$2:$E$3143),
Master_Mapping_Sheet!$C$2:$C$3143=K$1)))"),0.0)</f>
        <v>0</v>
      </c>
      <c r="L18" s="34">
        <f>IFERROR(__xludf.DUMMYFUNCTION("IF(ISNA(sum(filter(
Master_Mapping_Sheet!$E$2:$E$3143, ISNUMBER(
Master_Mapping_Sheet!$E$2:$E$3143),
Master_Mapping_Sheet!$C$2:$C$3143=L$1,
Master_Mapping_Sheet!$H$2:$H$3143=$A18))/sum(filter(
Master_Mapping_Sheet!$E$2:$E$3143, ISNUMBER(
Master_Mapping_Sh"&amp;"eet!$E$2:$E$3143),
Master_Mapping_Sheet!$C$2:$C$3143=L$1))), 0, sum(filter(
Master_Mapping_Sheet!$E$2:$E$3143, ISNUMBER(
Master_Mapping_Sheet!$E$2:$E$3143),
Master_Mapping_Sheet!$C$2:$C$3143=L$1,
Master_Mapping_Sheet!$H$2:$H$3143=$A18))/sum(filter(
Master"&amp;"_Mapping_Sheet!$E$2:$E$3143, ISNUMBER(
Master_Mapping_Sheet!$E$2:$E$3143),
Master_Mapping_Sheet!$C$2:$C$3143=L$1)))"),0.0)</f>
        <v>0</v>
      </c>
      <c r="M18" s="34">
        <f>IFERROR(__xludf.DUMMYFUNCTION("IF(ISNA(sum(filter(
Master_Mapping_Sheet!$E$2:$E$3143, ISNUMBER(
Master_Mapping_Sheet!$E$2:$E$3143),
Master_Mapping_Sheet!$C$2:$C$3143=M$1,
Master_Mapping_Sheet!$H$2:$H$3143=$A18))/sum(filter(
Master_Mapping_Sheet!$E$2:$E$3143, ISNUMBER(
Master_Mapping_Sh"&amp;"eet!$E$2:$E$3143),
Master_Mapping_Sheet!$C$2:$C$3143=M$1))), 0, sum(filter(
Master_Mapping_Sheet!$E$2:$E$3143, ISNUMBER(
Master_Mapping_Sheet!$E$2:$E$3143),
Master_Mapping_Sheet!$C$2:$C$3143=M$1,
Master_Mapping_Sheet!$H$2:$H$3143=$A18))/sum(filter(
Master"&amp;"_Mapping_Sheet!$E$2:$E$3143, ISNUMBER(
Master_Mapping_Sheet!$E$2:$E$3143),
Master_Mapping_Sheet!$C$2:$C$3143=M$1)))"),0.0)</f>
        <v>0</v>
      </c>
      <c r="N18" s="34">
        <f>IFERROR(__xludf.DUMMYFUNCTION("IF(ISNA(sum(filter(
Master_Mapping_Sheet!$E$2:$E$3143, ISNUMBER(
Master_Mapping_Sheet!$E$2:$E$3143),
Master_Mapping_Sheet!$C$2:$C$3143=N$1,
Master_Mapping_Sheet!$H$2:$H$3143=$A18))/sum(filter(
Master_Mapping_Sheet!$E$2:$E$3143, ISNUMBER(
Master_Mapping_Sh"&amp;"eet!$E$2:$E$3143),
Master_Mapping_Sheet!$C$2:$C$3143=N$1))), 0, sum(filter(
Master_Mapping_Sheet!$E$2:$E$3143, ISNUMBER(
Master_Mapping_Sheet!$E$2:$E$3143),
Master_Mapping_Sheet!$C$2:$C$3143=N$1,
Master_Mapping_Sheet!$H$2:$H$3143=$A18))/sum(filter(
Master"&amp;"_Mapping_Sheet!$E$2:$E$3143, ISNUMBER(
Master_Mapping_Sheet!$E$2:$E$3143),
Master_Mapping_Sheet!$C$2:$C$3143=N$1)))"),0.0)</f>
        <v>0</v>
      </c>
      <c r="O18" s="34">
        <f>IFERROR(__xludf.DUMMYFUNCTION("IF(ISNA(sum(filter(
Master_Mapping_Sheet!$E$2:$E$3143, ISNUMBER(
Master_Mapping_Sheet!$E$2:$E$3143),
Master_Mapping_Sheet!$C$2:$C$3143=O$1,
Master_Mapping_Sheet!$H$2:$H$3143=$A18))/sum(filter(
Master_Mapping_Sheet!$E$2:$E$3143, ISNUMBER(
Master_Mapping_Sh"&amp;"eet!$E$2:$E$3143),
Master_Mapping_Sheet!$C$2:$C$3143=O$1))), 0, sum(filter(
Master_Mapping_Sheet!$E$2:$E$3143, ISNUMBER(
Master_Mapping_Sheet!$E$2:$E$3143),
Master_Mapping_Sheet!$C$2:$C$3143=O$1,
Master_Mapping_Sheet!$H$2:$H$3143=$A18))/sum(filter(
Master"&amp;"_Mapping_Sheet!$E$2:$E$3143, ISNUMBER(
Master_Mapping_Sheet!$E$2:$E$3143),
Master_Mapping_Sheet!$C$2:$C$3143=O$1)))"),0.0)</f>
        <v>0</v>
      </c>
      <c r="P18" s="34">
        <f>IFERROR(__xludf.DUMMYFUNCTION("IF(ISNA(sum(filter(
Master_Mapping_Sheet!$E$2:$E$3143, ISNUMBER(
Master_Mapping_Sheet!$E$2:$E$3143),
Master_Mapping_Sheet!$C$2:$C$3143=P$1,
Master_Mapping_Sheet!$H$2:$H$3143=$A18))/sum(filter(
Master_Mapping_Sheet!$E$2:$E$3143, ISNUMBER(
Master_Mapping_Sh"&amp;"eet!$E$2:$E$3143),
Master_Mapping_Sheet!$C$2:$C$3143=P$1))), 0, sum(filter(
Master_Mapping_Sheet!$E$2:$E$3143, ISNUMBER(
Master_Mapping_Sheet!$E$2:$E$3143),
Master_Mapping_Sheet!$C$2:$C$3143=P$1,
Master_Mapping_Sheet!$H$2:$H$3143=$A18))/sum(filter(
Master"&amp;"_Mapping_Sheet!$E$2:$E$3143, ISNUMBER(
Master_Mapping_Sheet!$E$2:$E$3143),
Master_Mapping_Sheet!$C$2:$C$3143=P$1)))"),0.0)</f>
        <v>0</v>
      </c>
      <c r="Q18" s="34">
        <f>IFERROR(__xludf.DUMMYFUNCTION("IF(ISNA(sum(filter(
Master_Mapping_Sheet!$E$2:$E$3143, ISNUMBER(
Master_Mapping_Sheet!$E$2:$E$3143),
Master_Mapping_Sheet!$C$2:$C$3143=Q$1,
Master_Mapping_Sheet!$H$2:$H$3143=$A18))/sum(filter(
Master_Mapping_Sheet!$E$2:$E$3143, ISNUMBER(
Master_Mapping_Sh"&amp;"eet!$E$2:$E$3143),
Master_Mapping_Sheet!$C$2:$C$3143=Q$1))), 0, sum(filter(
Master_Mapping_Sheet!$E$2:$E$3143, ISNUMBER(
Master_Mapping_Sheet!$E$2:$E$3143),
Master_Mapping_Sheet!$C$2:$C$3143=Q$1,
Master_Mapping_Sheet!$H$2:$H$3143=$A18))/sum(filter(
Master"&amp;"_Mapping_Sheet!$E$2:$E$3143, ISNUMBER(
Master_Mapping_Sheet!$E$2:$E$3143),
Master_Mapping_Sheet!$C$2:$C$3143=Q$1)))"),0.0)</f>
        <v>0</v>
      </c>
      <c r="R18" s="34">
        <f>IFERROR(__xludf.DUMMYFUNCTION("IF(ISNA(sum(filter(
Master_Mapping_Sheet!$E$2:$E$3143, ISNUMBER(
Master_Mapping_Sheet!$E$2:$E$3143),
Master_Mapping_Sheet!$C$2:$C$3143=R$1,
Master_Mapping_Sheet!$H$2:$H$3143=$A18))/sum(filter(
Master_Mapping_Sheet!$E$2:$E$3143, ISNUMBER(
Master_Mapping_Sh"&amp;"eet!$E$2:$E$3143),
Master_Mapping_Sheet!$C$2:$C$3143=R$1))), 0, sum(filter(
Master_Mapping_Sheet!$E$2:$E$3143, ISNUMBER(
Master_Mapping_Sheet!$E$2:$E$3143),
Master_Mapping_Sheet!$C$2:$C$3143=R$1,
Master_Mapping_Sheet!$H$2:$H$3143=$A18))/sum(filter(
Master"&amp;"_Mapping_Sheet!$E$2:$E$3143, ISNUMBER(
Master_Mapping_Sheet!$E$2:$E$3143),
Master_Mapping_Sheet!$C$2:$C$3143=R$1)))"),0.0)</f>
        <v>0</v>
      </c>
      <c r="S18" s="34">
        <f>IFERROR(__xludf.DUMMYFUNCTION("IF(ISNA(sum(filter(
Master_Mapping_Sheet!$E$2:$E$3143, ISNUMBER(
Master_Mapping_Sheet!$E$2:$E$3143),
Master_Mapping_Sheet!$C$2:$C$3143=S$1,
Master_Mapping_Sheet!$H$2:$H$3143=$A18))/sum(filter(
Master_Mapping_Sheet!$E$2:$E$3143, ISNUMBER(
Master_Mapping_Sh"&amp;"eet!$E$2:$E$3143),
Master_Mapping_Sheet!$C$2:$C$3143=S$1))), 0, sum(filter(
Master_Mapping_Sheet!$E$2:$E$3143, ISNUMBER(
Master_Mapping_Sheet!$E$2:$E$3143),
Master_Mapping_Sheet!$C$2:$C$3143=S$1,
Master_Mapping_Sheet!$H$2:$H$3143=$A18))/sum(filter(
Master"&amp;"_Mapping_Sheet!$E$2:$E$3143, ISNUMBER(
Master_Mapping_Sheet!$E$2:$E$3143),
Master_Mapping_Sheet!$C$2:$C$3143=S$1)))"),0.0)</f>
        <v>0</v>
      </c>
      <c r="T18" s="34">
        <f>IFERROR(__xludf.DUMMYFUNCTION("IF(ISNA(sum(filter(
Master_Mapping_Sheet!$E$2:$E$3143, ISNUMBER(
Master_Mapping_Sheet!$E$2:$E$3143),
Master_Mapping_Sheet!$C$2:$C$3143=T$1,
Master_Mapping_Sheet!$H$2:$H$3143=$A18))/sum(filter(
Master_Mapping_Sheet!$E$2:$E$3143, ISNUMBER(
Master_Mapping_Sh"&amp;"eet!$E$2:$E$3143),
Master_Mapping_Sheet!$C$2:$C$3143=T$1))), 0, sum(filter(
Master_Mapping_Sheet!$E$2:$E$3143, ISNUMBER(
Master_Mapping_Sheet!$E$2:$E$3143),
Master_Mapping_Sheet!$C$2:$C$3143=T$1,
Master_Mapping_Sheet!$H$2:$H$3143=$A18))/sum(filter(
Master"&amp;"_Mapping_Sheet!$E$2:$E$3143, ISNUMBER(
Master_Mapping_Sheet!$E$2:$E$3143),
Master_Mapping_Sheet!$C$2:$C$3143=T$1)))"),0.18862775373112953)</f>
        <v>0.1886277537</v>
      </c>
      <c r="U18" s="34">
        <f>IFERROR(__xludf.DUMMYFUNCTION("IF(ISNA(sum(filter(
Master_Mapping_Sheet!$E$2:$E$3143, ISNUMBER(
Master_Mapping_Sheet!$E$2:$E$3143),
Master_Mapping_Sheet!$C$2:$C$3143=U$1,
Master_Mapping_Sheet!$H$2:$H$3143=$A18))/sum(filter(
Master_Mapping_Sheet!$E$2:$E$3143, ISNUMBER(
Master_Mapping_Sh"&amp;"eet!$E$2:$E$3143),
Master_Mapping_Sheet!$C$2:$C$3143=U$1))), 0, sum(filter(
Master_Mapping_Sheet!$E$2:$E$3143, ISNUMBER(
Master_Mapping_Sheet!$E$2:$E$3143),
Master_Mapping_Sheet!$C$2:$C$3143=U$1,
Master_Mapping_Sheet!$H$2:$H$3143=$A18))/sum(filter(
Master"&amp;"_Mapping_Sheet!$E$2:$E$3143, ISNUMBER(
Master_Mapping_Sheet!$E$2:$E$3143),
Master_Mapping_Sheet!$C$2:$C$3143=U$1)))"),0.0)</f>
        <v>0</v>
      </c>
      <c r="V18" s="34">
        <f>IFERROR(__xludf.DUMMYFUNCTION("IF(ISNA(sum(filter(
Master_Mapping_Sheet!$E$2:$E$3143, ISNUMBER(
Master_Mapping_Sheet!$E$2:$E$3143),
Master_Mapping_Sheet!$C$2:$C$3143=V$1,
Master_Mapping_Sheet!$H$2:$H$3143=$A18))/sum(filter(
Master_Mapping_Sheet!$E$2:$E$3143, ISNUMBER(
Master_Mapping_Sh"&amp;"eet!$E$2:$E$3143),
Master_Mapping_Sheet!$C$2:$C$3143=V$1))), 0, sum(filter(
Master_Mapping_Sheet!$E$2:$E$3143, ISNUMBER(
Master_Mapping_Sheet!$E$2:$E$3143),
Master_Mapping_Sheet!$C$2:$C$3143=V$1,
Master_Mapping_Sheet!$H$2:$H$3143=$A18))/sum(filter(
Master"&amp;"_Mapping_Sheet!$E$2:$E$3143, ISNUMBER(
Master_Mapping_Sheet!$E$2:$E$3143),
Master_Mapping_Sheet!$C$2:$C$3143=V$1)))"),0.0)</f>
        <v>0</v>
      </c>
      <c r="W18" s="34">
        <f>IFERROR(__xludf.DUMMYFUNCTION("IF(ISNA(sum(filter(
Master_Mapping_Sheet!$E$2:$E$3143, ISNUMBER(
Master_Mapping_Sheet!$E$2:$E$3143),
Master_Mapping_Sheet!$C$2:$C$3143=W$1,
Master_Mapping_Sheet!$H$2:$H$3143=$A18))/sum(filter(
Master_Mapping_Sheet!$E$2:$E$3143, ISNUMBER(
Master_Mapping_Sh"&amp;"eet!$E$2:$E$3143),
Master_Mapping_Sheet!$C$2:$C$3143=W$1))), 0, sum(filter(
Master_Mapping_Sheet!$E$2:$E$3143, ISNUMBER(
Master_Mapping_Sheet!$E$2:$E$3143),
Master_Mapping_Sheet!$C$2:$C$3143=W$1,
Master_Mapping_Sheet!$H$2:$H$3143=$A18))/sum(filter(
Master"&amp;"_Mapping_Sheet!$E$2:$E$3143, ISNUMBER(
Master_Mapping_Sheet!$E$2:$E$3143),
Master_Mapping_Sheet!$C$2:$C$3143=W$1)))"),0.0)</f>
        <v>0</v>
      </c>
      <c r="X18" s="34">
        <f>IFERROR(__xludf.DUMMYFUNCTION("IF(ISNA(sum(filter(
Master_Mapping_Sheet!$E$2:$E$3143, ISNUMBER(
Master_Mapping_Sheet!$E$2:$E$3143),
Master_Mapping_Sheet!$C$2:$C$3143=X$1,
Master_Mapping_Sheet!$H$2:$H$3143=$A18))/sum(filter(
Master_Mapping_Sheet!$E$2:$E$3143, ISNUMBER(
Master_Mapping_Sh"&amp;"eet!$E$2:$E$3143),
Master_Mapping_Sheet!$C$2:$C$3143=X$1))), 0, sum(filter(
Master_Mapping_Sheet!$E$2:$E$3143, ISNUMBER(
Master_Mapping_Sheet!$E$2:$E$3143),
Master_Mapping_Sheet!$C$2:$C$3143=X$1,
Master_Mapping_Sheet!$H$2:$H$3143=$A18))/sum(filter(
Master"&amp;"_Mapping_Sheet!$E$2:$E$3143, ISNUMBER(
Master_Mapping_Sheet!$E$2:$E$3143),
Master_Mapping_Sheet!$C$2:$C$3143=X$1)))"),0.0)</f>
        <v>0</v>
      </c>
      <c r="Y18" s="34">
        <f>IFERROR(__xludf.DUMMYFUNCTION("IF(ISNA(sum(filter(
Master_Mapping_Sheet!$E$2:$E$3143, ISNUMBER(
Master_Mapping_Sheet!$E$2:$E$3143),
Master_Mapping_Sheet!$C$2:$C$3143=Y$1,
Master_Mapping_Sheet!$H$2:$H$3143=$A18))/sum(filter(
Master_Mapping_Sheet!$E$2:$E$3143, ISNUMBER(
Master_Mapping_Sh"&amp;"eet!$E$2:$E$3143),
Master_Mapping_Sheet!$C$2:$C$3143=Y$1))), 0, sum(filter(
Master_Mapping_Sheet!$E$2:$E$3143, ISNUMBER(
Master_Mapping_Sheet!$E$2:$E$3143),
Master_Mapping_Sheet!$C$2:$C$3143=Y$1,
Master_Mapping_Sheet!$H$2:$H$3143=$A18))/sum(filter(
Master"&amp;"_Mapping_Sheet!$E$2:$E$3143, ISNUMBER(
Master_Mapping_Sheet!$E$2:$E$3143),
Master_Mapping_Sheet!$C$2:$C$3143=Y$1)))"),0.0)</f>
        <v>0</v>
      </c>
      <c r="Z18" s="34">
        <f>IFERROR(__xludf.DUMMYFUNCTION("IF(ISNA(sum(filter(
Master_Mapping_Sheet!$E$2:$E$3143, ISNUMBER(
Master_Mapping_Sheet!$E$2:$E$3143),
Master_Mapping_Sheet!$C$2:$C$3143=Z$1,
Master_Mapping_Sheet!$H$2:$H$3143=$A18))/sum(filter(
Master_Mapping_Sheet!$E$2:$E$3143, ISNUMBER(
Master_Mapping_Sh"&amp;"eet!$E$2:$E$3143),
Master_Mapping_Sheet!$C$2:$C$3143=Z$1))), 0, sum(filter(
Master_Mapping_Sheet!$E$2:$E$3143, ISNUMBER(
Master_Mapping_Sheet!$E$2:$E$3143),
Master_Mapping_Sheet!$C$2:$C$3143=Z$1,
Master_Mapping_Sheet!$H$2:$H$3143=$A18))/sum(filter(
Master"&amp;"_Mapping_Sheet!$E$2:$E$3143, ISNUMBER(
Master_Mapping_Sheet!$E$2:$E$3143),
Master_Mapping_Sheet!$C$2:$C$3143=Z$1)))"),0.0)</f>
        <v>0</v>
      </c>
      <c r="AA18" s="34">
        <f>IFERROR(__xludf.DUMMYFUNCTION("IF(ISNA(sum(filter(
Master_Mapping_Sheet!$E$2:$E$3143, ISNUMBER(
Master_Mapping_Sheet!$E$2:$E$3143),
Master_Mapping_Sheet!$C$2:$C$3143=AA$1,
Master_Mapping_Sheet!$H$2:$H$3143=$A18))/sum(filter(
Master_Mapping_Sheet!$E$2:$E$3143, ISNUMBER(
Master_Mapping_S"&amp;"heet!$E$2:$E$3143),
Master_Mapping_Sheet!$C$2:$C$3143=AA$1))), 0, sum(filter(
Master_Mapping_Sheet!$E$2:$E$3143, ISNUMBER(
Master_Mapping_Sheet!$E$2:$E$3143),
Master_Mapping_Sheet!$C$2:$C$3143=AA$1,
Master_Mapping_Sheet!$H$2:$H$3143=$A18))/sum(filter(
Mas"&amp;"ter_Mapping_Sheet!$E$2:$E$3143, ISNUMBER(
Master_Mapping_Sheet!$E$2:$E$3143),
Master_Mapping_Sheet!$C$2:$C$3143=AA$1)))"),0.0)</f>
        <v>0</v>
      </c>
      <c r="AB18" s="34">
        <f>IFERROR(__xludf.DUMMYFUNCTION("IF(ISNA(sum(filter(
Master_Mapping_Sheet!$E$2:$E$3143, ISNUMBER(
Master_Mapping_Sheet!$E$2:$E$3143),
Master_Mapping_Sheet!$C$2:$C$3143=AB$1,
Master_Mapping_Sheet!$H$2:$H$3143=$A18))/sum(filter(
Master_Mapping_Sheet!$E$2:$E$3143, ISNUMBER(
Master_Mapping_S"&amp;"heet!$E$2:$E$3143),
Master_Mapping_Sheet!$C$2:$C$3143=AB$1))), 0, sum(filter(
Master_Mapping_Sheet!$E$2:$E$3143, ISNUMBER(
Master_Mapping_Sheet!$E$2:$E$3143),
Master_Mapping_Sheet!$C$2:$C$3143=AB$1,
Master_Mapping_Sheet!$H$2:$H$3143=$A18))/sum(filter(
Mas"&amp;"ter_Mapping_Sheet!$E$2:$E$3143, ISNUMBER(
Master_Mapping_Sheet!$E$2:$E$3143),
Master_Mapping_Sheet!$C$2:$C$3143=AB$1)))"),0.0)</f>
        <v>0</v>
      </c>
      <c r="AC18" s="34">
        <f>IFERROR(__xludf.DUMMYFUNCTION("IF(ISNA(sum(filter(
Master_Mapping_Sheet!$E$2:$E$3143, ISNUMBER(
Master_Mapping_Sheet!$E$2:$E$3143),
Master_Mapping_Sheet!$C$2:$C$3143=AC$1,
Master_Mapping_Sheet!$H$2:$H$3143=$A18))/sum(filter(
Master_Mapping_Sheet!$E$2:$E$3143, ISNUMBER(
Master_Mapping_S"&amp;"heet!$E$2:$E$3143),
Master_Mapping_Sheet!$C$2:$C$3143=AC$1))), 0, sum(filter(
Master_Mapping_Sheet!$E$2:$E$3143, ISNUMBER(
Master_Mapping_Sheet!$E$2:$E$3143),
Master_Mapping_Sheet!$C$2:$C$3143=AC$1,
Master_Mapping_Sheet!$H$2:$H$3143=$A18))/sum(filter(
Mas"&amp;"ter_Mapping_Sheet!$E$2:$E$3143, ISNUMBER(
Master_Mapping_Sheet!$E$2:$E$3143),
Master_Mapping_Sheet!$C$2:$C$3143=AC$1)))"),0.0)</f>
        <v>0</v>
      </c>
      <c r="AD18" s="34">
        <f>IFERROR(__xludf.DUMMYFUNCTION("IF(ISNA(sum(filter(
Master_Mapping_Sheet!$E$2:$E$3143, ISNUMBER(
Master_Mapping_Sheet!$E$2:$E$3143),
Master_Mapping_Sheet!$C$2:$C$3143=AD$1,
Master_Mapping_Sheet!$H$2:$H$3143=$A18))/sum(filter(
Master_Mapping_Sheet!$E$2:$E$3143, ISNUMBER(
Master_Mapping_S"&amp;"heet!$E$2:$E$3143),
Master_Mapping_Sheet!$C$2:$C$3143=AD$1))), 0, sum(filter(
Master_Mapping_Sheet!$E$2:$E$3143, ISNUMBER(
Master_Mapping_Sheet!$E$2:$E$3143),
Master_Mapping_Sheet!$C$2:$C$3143=AD$1,
Master_Mapping_Sheet!$H$2:$H$3143=$A18))/sum(filter(
Mas"&amp;"ter_Mapping_Sheet!$E$2:$E$3143, ISNUMBER(
Master_Mapping_Sheet!$E$2:$E$3143),
Master_Mapping_Sheet!$C$2:$C$3143=AD$1)))"),0.0)</f>
        <v>0</v>
      </c>
      <c r="AE18" s="34">
        <f>IFERROR(__xludf.DUMMYFUNCTION("IF(ISNA(sum(filter(
Master_Mapping_Sheet!$E$2:$E$3143, ISNUMBER(
Master_Mapping_Sheet!$E$2:$E$3143),
Master_Mapping_Sheet!$C$2:$C$3143=AE$1,
Master_Mapping_Sheet!$H$2:$H$3143=$A18))/sum(filter(
Master_Mapping_Sheet!$E$2:$E$3143, ISNUMBER(
Master_Mapping_S"&amp;"heet!$E$2:$E$3143),
Master_Mapping_Sheet!$C$2:$C$3143=AE$1))), 0, sum(filter(
Master_Mapping_Sheet!$E$2:$E$3143, ISNUMBER(
Master_Mapping_Sheet!$E$2:$E$3143),
Master_Mapping_Sheet!$C$2:$C$3143=AE$1,
Master_Mapping_Sheet!$H$2:$H$3143=$A18))/sum(filter(
Mas"&amp;"ter_Mapping_Sheet!$E$2:$E$3143, ISNUMBER(
Master_Mapping_Sheet!$E$2:$E$3143),
Master_Mapping_Sheet!$C$2:$C$3143=AE$1)))"),0.0)</f>
        <v>0</v>
      </c>
      <c r="AF18" s="34">
        <f>IFERROR(__xludf.DUMMYFUNCTION("IF(ISNA(sum(filter(
Master_Mapping_Sheet!$E$2:$E$3143, ISNUMBER(
Master_Mapping_Sheet!$E$2:$E$3143),
Master_Mapping_Sheet!$C$2:$C$3143=AF$1,
Master_Mapping_Sheet!$H$2:$H$3143=$A18))/sum(filter(
Master_Mapping_Sheet!$E$2:$E$3143, ISNUMBER(
Master_Mapping_S"&amp;"heet!$E$2:$E$3143),
Master_Mapping_Sheet!$C$2:$C$3143=AF$1))), 0, sum(filter(
Master_Mapping_Sheet!$E$2:$E$3143, ISNUMBER(
Master_Mapping_Sheet!$E$2:$E$3143),
Master_Mapping_Sheet!$C$2:$C$3143=AF$1,
Master_Mapping_Sheet!$H$2:$H$3143=$A18))/sum(filter(
Mas"&amp;"ter_Mapping_Sheet!$E$2:$E$3143, ISNUMBER(
Master_Mapping_Sheet!$E$2:$E$3143),
Master_Mapping_Sheet!$C$2:$C$3143=AF$1)))"),0.0)</f>
        <v>0</v>
      </c>
      <c r="AG18" s="34">
        <f>IFERROR(__xludf.DUMMYFUNCTION("IF(ISNA(sum(filter(
Master_Mapping_Sheet!$E$2:$E$3143, ISNUMBER(
Master_Mapping_Sheet!$E$2:$E$3143),
Master_Mapping_Sheet!$C$2:$C$3143=AG$1,
Master_Mapping_Sheet!$H$2:$H$3143=$A18))/sum(filter(
Master_Mapping_Sheet!$E$2:$E$3143, ISNUMBER(
Master_Mapping_S"&amp;"heet!$E$2:$E$3143),
Master_Mapping_Sheet!$C$2:$C$3143=AG$1))), 0, sum(filter(
Master_Mapping_Sheet!$E$2:$E$3143, ISNUMBER(
Master_Mapping_Sheet!$E$2:$E$3143),
Master_Mapping_Sheet!$C$2:$C$3143=AG$1,
Master_Mapping_Sheet!$H$2:$H$3143=$A18))/sum(filter(
Mas"&amp;"ter_Mapping_Sheet!$E$2:$E$3143, ISNUMBER(
Master_Mapping_Sheet!$E$2:$E$3143),
Master_Mapping_Sheet!$C$2:$C$3143=AG$1)))"),0.12791321863570773)</f>
        <v>0.1279132186</v>
      </c>
      <c r="AH18" s="34">
        <f>IFERROR(__xludf.DUMMYFUNCTION("IF(ISNA(sum(filter(
Master_Mapping_Sheet!$E$2:$E$3143, ISNUMBER(
Master_Mapping_Sheet!$E$2:$E$3143),
Master_Mapping_Sheet!$C$2:$C$3143=AH$1,
Master_Mapping_Sheet!$H$2:$H$3143=$A18))/sum(filter(
Master_Mapping_Sheet!$E$2:$E$3143, ISNUMBER(
Master_Mapping_S"&amp;"heet!$E$2:$E$3143),
Master_Mapping_Sheet!$C$2:$C$3143=AH$1))), 0, sum(filter(
Master_Mapping_Sheet!$E$2:$E$3143, ISNUMBER(
Master_Mapping_Sheet!$E$2:$E$3143),
Master_Mapping_Sheet!$C$2:$C$3143=AH$1,
Master_Mapping_Sheet!$H$2:$H$3143=$A18))/sum(filter(
Mas"&amp;"ter_Mapping_Sheet!$E$2:$E$3143, ISNUMBER(
Master_Mapping_Sheet!$E$2:$E$3143),
Master_Mapping_Sheet!$C$2:$C$3143=AH$1)))"),0.0)</f>
        <v>0</v>
      </c>
      <c r="AI18" s="34">
        <f>IFERROR(__xludf.DUMMYFUNCTION("IF(ISNA(sum(filter(
Master_Mapping_Sheet!$E$2:$E$3143, ISNUMBER(
Master_Mapping_Sheet!$E$2:$E$3143),
Master_Mapping_Sheet!$C$2:$C$3143=AI$1,
Master_Mapping_Sheet!$H$2:$H$3143=$A18))/sum(filter(
Master_Mapping_Sheet!$E$2:$E$3143, ISNUMBER(
Master_Mapping_S"&amp;"heet!$E$2:$E$3143),
Master_Mapping_Sheet!$C$2:$C$3143=AI$1))), 0, sum(filter(
Master_Mapping_Sheet!$E$2:$E$3143, ISNUMBER(
Master_Mapping_Sheet!$E$2:$E$3143),
Master_Mapping_Sheet!$C$2:$C$3143=AI$1,
Master_Mapping_Sheet!$H$2:$H$3143=$A18))/sum(filter(
Mas"&amp;"ter_Mapping_Sheet!$E$2:$E$3143, ISNUMBER(
Master_Mapping_Sheet!$E$2:$E$3143),
Master_Mapping_Sheet!$C$2:$C$3143=AI$1)))"),0.0)</f>
        <v>0</v>
      </c>
      <c r="AJ18" s="34">
        <f>IFERROR(__xludf.DUMMYFUNCTION("IF(ISNA(sum(filter(
Master_Mapping_Sheet!$E$2:$E$3143, ISNUMBER(
Master_Mapping_Sheet!$E$2:$E$3143),
Master_Mapping_Sheet!$C$2:$C$3143=AJ$1,
Master_Mapping_Sheet!$H$2:$H$3143=$A18))/sum(filter(
Master_Mapping_Sheet!$E$2:$E$3143, ISNUMBER(
Master_Mapping_S"&amp;"heet!$E$2:$E$3143),
Master_Mapping_Sheet!$C$2:$C$3143=AJ$1))), 0, sum(filter(
Master_Mapping_Sheet!$E$2:$E$3143, ISNUMBER(
Master_Mapping_Sheet!$E$2:$E$3143),
Master_Mapping_Sheet!$C$2:$C$3143=AJ$1,
Master_Mapping_Sheet!$H$2:$H$3143=$A18))/sum(filter(
Mas"&amp;"ter_Mapping_Sheet!$E$2:$E$3143, ISNUMBER(
Master_Mapping_Sheet!$E$2:$E$3143),
Master_Mapping_Sheet!$C$2:$C$3143=AJ$1)))"),0.0)</f>
        <v>0</v>
      </c>
      <c r="AK18" s="34">
        <f>IFERROR(__xludf.DUMMYFUNCTION("IF(ISNA(sum(filter(
Master_Mapping_Sheet!$E$2:$E$3143, ISNUMBER(
Master_Mapping_Sheet!$E$2:$E$3143),
Master_Mapping_Sheet!$C$2:$C$3143=AK$1,
Master_Mapping_Sheet!$H$2:$H$3143=$A18))/sum(filter(
Master_Mapping_Sheet!$E$2:$E$3143, ISNUMBER(
Master_Mapping_S"&amp;"heet!$E$2:$E$3143),
Master_Mapping_Sheet!$C$2:$C$3143=AK$1))), 0, sum(filter(
Master_Mapping_Sheet!$E$2:$E$3143, ISNUMBER(
Master_Mapping_Sheet!$E$2:$E$3143),
Master_Mapping_Sheet!$C$2:$C$3143=AK$1,
Master_Mapping_Sheet!$H$2:$H$3143=$A18))/sum(filter(
Mas"&amp;"ter_Mapping_Sheet!$E$2:$E$3143, ISNUMBER(
Master_Mapping_Sheet!$E$2:$E$3143),
Master_Mapping_Sheet!$C$2:$C$3143=AK$1)))"),0.0)</f>
        <v>0</v>
      </c>
      <c r="AL18" s="34">
        <f>IFERROR(__xludf.DUMMYFUNCTION("IF(ISNA(sum(filter(
Master_Mapping_Sheet!$E$2:$E$3143, ISNUMBER(
Master_Mapping_Sheet!$E$2:$E$3143),
Master_Mapping_Sheet!$C$2:$C$3143=AL$1,
Master_Mapping_Sheet!$H$2:$H$3143=$A18))/sum(filter(
Master_Mapping_Sheet!$E$2:$E$3143, ISNUMBER(
Master_Mapping_S"&amp;"heet!$E$2:$E$3143),
Master_Mapping_Sheet!$C$2:$C$3143=AL$1))), 0, sum(filter(
Master_Mapping_Sheet!$E$2:$E$3143, ISNUMBER(
Master_Mapping_Sheet!$E$2:$E$3143),
Master_Mapping_Sheet!$C$2:$C$3143=AL$1,
Master_Mapping_Sheet!$H$2:$H$3143=$A18))/sum(filter(
Mas"&amp;"ter_Mapping_Sheet!$E$2:$E$3143, ISNUMBER(
Master_Mapping_Sheet!$E$2:$E$3143),
Master_Mapping_Sheet!$C$2:$C$3143=AL$1)))"),1.0)</f>
        <v>1</v>
      </c>
      <c r="AM18" s="34">
        <f>IFERROR(__xludf.DUMMYFUNCTION("IF(ISNA(sum(filter(
Master_Mapping_Sheet!$E$2:$E$3143, ISNUMBER(
Master_Mapping_Sheet!$E$2:$E$3143),
Master_Mapping_Sheet!$C$2:$C$3143=AM$1,
Master_Mapping_Sheet!$H$2:$H$3143=$A18))/sum(filter(
Master_Mapping_Sheet!$E$2:$E$3143, ISNUMBER(
Master_Mapping_S"&amp;"heet!$E$2:$E$3143),
Master_Mapping_Sheet!$C$2:$C$3143=AM$1))), 0, sum(filter(
Master_Mapping_Sheet!$E$2:$E$3143, ISNUMBER(
Master_Mapping_Sheet!$E$2:$E$3143),
Master_Mapping_Sheet!$C$2:$C$3143=AM$1,
Master_Mapping_Sheet!$H$2:$H$3143=$A18))/sum(filter(
Mas"&amp;"ter_Mapping_Sheet!$E$2:$E$3143, ISNUMBER(
Master_Mapping_Sheet!$E$2:$E$3143),
Master_Mapping_Sheet!$C$2:$C$3143=AM$1)))"),0.0)</f>
        <v>0</v>
      </c>
      <c r="AN18" s="34">
        <f>IFERROR(__xludf.DUMMYFUNCTION("IF(ISNA(sum(filter(
Master_Mapping_Sheet!$E$2:$E$3143, ISNUMBER(
Master_Mapping_Sheet!$E$2:$E$3143),
Master_Mapping_Sheet!$C$2:$C$3143=AN$1,
Master_Mapping_Sheet!$H$2:$H$3143=$A18))/sum(filter(
Master_Mapping_Sheet!$E$2:$E$3143, ISNUMBER(
Master_Mapping_S"&amp;"heet!$E$2:$E$3143),
Master_Mapping_Sheet!$C$2:$C$3143=AN$1))), 0, sum(filter(
Master_Mapping_Sheet!$E$2:$E$3143, ISNUMBER(
Master_Mapping_Sheet!$E$2:$E$3143),
Master_Mapping_Sheet!$C$2:$C$3143=AN$1,
Master_Mapping_Sheet!$H$2:$H$3143=$A18))/sum(filter(
Mas"&amp;"ter_Mapping_Sheet!$E$2:$E$3143, ISNUMBER(
Master_Mapping_Sheet!$E$2:$E$3143),
Master_Mapping_Sheet!$C$2:$C$3143=AN$1)))"),0.0)</f>
        <v>0</v>
      </c>
      <c r="AO18" s="34">
        <f>IFERROR(__xludf.DUMMYFUNCTION("IF(ISNA(sum(filter(
Master_Mapping_Sheet!$E$2:$E$3143, ISNUMBER(
Master_Mapping_Sheet!$E$2:$E$3143),
Master_Mapping_Sheet!$C$2:$C$3143=AO$1,
Master_Mapping_Sheet!$H$2:$H$3143=$A18))/sum(filter(
Master_Mapping_Sheet!$E$2:$E$3143, ISNUMBER(
Master_Mapping_S"&amp;"heet!$E$2:$E$3143),
Master_Mapping_Sheet!$C$2:$C$3143=AO$1))), 0, sum(filter(
Master_Mapping_Sheet!$E$2:$E$3143, ISNUMBER(
Master_Mapping_Sheet!$E$2:$E$3143),
Master_Mapping_Sheet!$C$2:$C$3143=AO$1,
Master_Mapping_Sheet!$H$2:$H$3143=$A18))/sum(filter(
Mas"&amp;"ter_Mapping_Sheet!$E$2:$E$3143, ISNUMBER(
Master_Mapping_Sheet!$E$2:$E$3143),
Master_Mapping_Sheet!$C$2:$C$3143=AO$1)))"),0.0)</f>
        <v>0</v>
      </c>
      <c r="AP18" s="34">
        <f>IFERROR(__xludf.DUMMYFUNCTION("IF(ISNA(sum(filter(
Master_Mapping_Sheet!$E$2:$E$3143, ISNUMBER(
Master_Mapping_Sheet!$E$2:$E$3143),
Master_Mapping_Sheet!$C$2:$C$3143=AP$1,
Master_Mapping_Sheet!$H$2:$H$3143=$A18))/sum(filter(
Master_Mapping_Sheet!$E$2:$E$3143, ISNUMBER(
Master_Mapping_S"&amp;"heet!$E$2:$E$3143),
Master_Mapping_Sheet!$C$2:$C$3143=AP$1))), 0, sum(filter(
Master_Mapping_Sheet!$E$2:$E$3143, ISNUMBER(
Master_Mapping_Sheet!$E$2:$E$3143),
Master_Mapping_Sheet!$C$2:$C$3143=AP$1,
Master_Mapping_Sheet!$H$2:$H$3143=$A18))/sum(filter(
Mas"&amp;"ter_Mapping_Sheet!$E$2:$E$3143, ISNUMBER(
Master_Mapping_Sheet!$E$2:$E$3143),
Master_Mapping_Sheet!$C$2:$C$3143=AP$1)))"),0.0)</f>
        <v>0</v>
      </c>
      <c r="AQ18" s="34">
        <f>IFERROR(__xludf.DUMMYFUNCTION("IF(ISNA(sum(filter(
Master_Mapping_Sheet!$E$2:$E$3143, ISNUMBER(
Master_Mapping_Sheet!$E$2:$E$3143),
Master_Mapping_Sheet!$C$2:$C$3143=AQ$1,
Master_Mapping_Sheet!$H$2:$H$3143=$A18))/sum(filter(
Master_Mapping_Sheet!$E$2:$E$3143, ISNUMBER(
Master_Mapping_S"&amp;"heet!$E$2:$E$3143),
Master_Mapping_Sheet!$C$2:$C$3143=AQ$1))), 0, sum(filter(
Master_Mapping_Sheet!$E$2:$E$3143, ISNUMBER(
Master_Mapping_Sheet!$E$2:$E$3143),
Master_Mapping_Sheet!$C$2:$C$3143=AQ$1,
Master_Mapping_Sheet!$H$2:$H$3143=$A18))/sum(filter(
Mas"&amp;"ter_Mapping_Sheet!$E$2:$E$3143, ISNUMBER(
Master_Mapping_Sheet!$E$2:$E$3143),
Master_Mapping_Sheet!$C$2:$C$3143=AQ$1)))"),0.0)</f>
        <v>0</v>
      </c>
      <c r="AR18" s="34">
        <f>IFERROR(__xludf.DUMMYFUNCTION("IF(ISNA(sum(filter(
Master_Mapping_Sheet!$E$2:$E$3143, ISNUMBER(
Master_Mapping_Sheet!$E$2:$E$3143),
Master_Mapping_Sheet!$C$2:$C$3143=AR$1,
Master_Mapping_Sheet!$H$2:$H$3143=$A18))/sum(filter(
Master_Mapping_Sheet!$E$2:$E$3143, ISNUMBER(
Master_Mapping_S"&amp;"heet!$E$2:$E$3143),
Master_Mapping_Sheet!$C$2:$C$3143=AR$1))), 0, sum(filter(
Master_Mapping_Sheet!$E$2:$E$3143, ISNUMBER(
Master_Mapping_Sheet!$E$2:$E$3143),
Master_Mapping_Sheet!$C$2:$C$3143=AR$1,
Master_Mapping_Sheet!$H$2:$H$3143=$A18))/sum(filter(
Mas"&amp;"ter_Mapping_Sheet!$E$2:$E$3143, ISNUMBER(
Master_Mapping_Sheet!$E$2:$E$3143),
Master_Mapping_Sheet!$C$2:$C$3143=AR$1)))"),0.0)</f>
        <v>0</v>
      </c>
      <c r="AS18" s="34">
        <f>IFERROR(__xludf.DUMMYFUNCTION("IF(ISNA(sum(filter(
Master_Mapping_Sheet!$E$2:$E$3143, ISNUMBER(
Master_Mapping_Sheet!$E$2:$E$3143),
Master_Mapping_Sheet!$C$2:$C$3143=AS$1,
Master_Mapping_Sheet!$H$2:$H$3143=$A18))/sum(filter(
Master_Mapping_Sheet!$E$2:$E$3143, ISNUMBER(
Master_Mapping_S"&amp;"heet!$E$2:$E$3143),
Master_Mapping_Sheet!$C$2:$C$3143=AS$1))), 0, sum(filter(
Master_Mapping_Sheet!$E$2:$E$3143, ISNUMBER(
Master_Mapping_Sheet!$E$2:$E$3143),
Master_Mapping_Sheet!$C$2:$C$3143=AS$1,
Master_Mapping_Sheet!$H$2:$H$3143=$A18))/sum(filter(
Mas"&amp;"ter_Mapping_Sheet!$E$2:$E$3143, ISNUMBER(
Master_Mapping_Sheet!$E$2:$E$3143),
Master_Mapping_Sheet!$C$2:$C$3143=AS$1)))"),0.0478167592418932)</f>
        <v>0.04781675924</v>
      </c>
      <c r="AT18" s="34">
        <f>IFERROR(__xludf.DUMMYFUNCTION("IF(ISNA(sum(filter(
Master_Mapping_Sheet!$E$2:$E$3143, ISNUMBER(
Master_Mapping_Sheet!$E$2:$E$3143),
Master_Mapping_Sheet!$C$2:$C$3143=AT$1,
Master_Mapping_Sheet!$H$2:$H$3143=$A18))/sum(filter(
Master_Mapping_Sheet!$E$2:$E$3143, ISNUMBER(
Master_Mapping_S"&amp;"heet!$E$2:$E$3143),
Master_Mapping_Sheet!$C$2:$C$3143=AT$1))), 0, sum(filter(
Master_Mapping_Sheet!$E$2:$E$3143, ISNUMBER(
Master_Mapping_Sheet!$E$2:$E$3143),
Master_Mapping_Sheet!$C$2:$C$3143=AT$1,
Master_Mapping_Sheet!$H$2:$H$3143=$A18))/sum(filter(
Mas"&amp;"ter_Mapping_Sheet!$E$2:$E$3143, ISNUMBER(
Master_Mapping_Sheet!$E$2:$E$3143),
Master_Mapping_Sheet!$C$2:$C$3143=AT$1)))"),0.0)</f>
        <v>0</v>
      </c>
      <c r="AU18" s="34">
        <f>IFERROR(__xludf.DUMMYFUNCTION("IF(ISNA(sum(filter(
Master_Mapping_Sheet!$E$2:$E$3143, ISNUMBER(
Master_Mapping_Sheet!$E$2:$E$3143),
Master_Mapping_Sheet!$C$2:$C$3143=AU$1,
Master_Mapping_Sheet!$H$2:$H$3143=$A18))/sum(filter(
Master_Mapping_Sheet!$E$2:$E$3143, ISNUMBER(
Master_Mapping_S"&amp;"heet!$E$2:$E$3143),
Master_Mapping_Sheet!$C$2:$C$3143=AU$1))), 0, sum(filter(
Master_Mapping_Sheet!$E$2:$E$3143, ISNUMBER(
Master_Mapping_Sheet!$E$2:$E$3143),
Master_Mapping_Sheet!$C$2:$C$3143=AU$1,
Master_Mapping_Sheet!$H$2:$H$3143=$A18))/sum(filter(
Mas"&amp;"ter_Mapping_Sheet!$E$2:$E$3143, ISNUMBER(
Master_Mapping_Sheet!$E$2:$E$3143),
Master_Mapping_Sheet!$C$2:$C$3143=AU$1)))"),0.0)</f>
        <v>0</v>
      </c>
      <c r="AV18" s="34">
        <f>IFERROR(__xludf.DUMMYFUNCTION("IF(ISNA(sum(filter(
Master_Mapping_Sheet!$E$2:$E$3143, ISNUMBER(
Master_Mapping_Sheet!$E$2:$E$3143),
Master_Mapping_Sheet!$C$2:$C$3143=AV$1,
Master_Mapping_Sheet!$H$2:$H$3143=$A18))/sum(filter(
Master_Mapping_Sheet!$E$2:$E$3143, ISNUMBER(
Master_Mapping_S"&amp;"heet!$E$2:$E$3143),
Master_Mapping_Sheet!$C$2:$C$3143=AV$1))), 0, sum(filter(
Master_Mapping_Sheet!$E$2:$E$3143, ISNUMBER(
Master_Mapping_Sheet!$E$2:$E$3143),
Master_Mapping_Sheet!$C$2:$C$3143=AV$1,
Master_Mapping_Sheet!$H$2:$H$3143=$A18))/sum(filter(
Mas"&amp;"ter_Mapping_Sheet!$E$2:$E$3143, ISNUMBER(
Master_Mapping_Sheet!$E$2:$E$3143),
Master_Mapping_Sheet!$C$2:$C$3143=AV$1)))"),0.0)</f>
        <v>0</v>
      </c>
      <c r="AW18" s="34">
        <f>IFERROR(__xludf.DUMMYFUNCTION("IF(ISNA(sum(filter(
Master_Mapping_Sheet!$E$2:$E$3143, ISNUMBER(
Master_Mapping_Sheet!$E$2:$E$3143),
Master_Mapping_Sheet!$C$2:$C$3143=AW$1,
Master_Mapping_Sheet!$H$2:$H$3143=$A18))/sum(filter(
Master_Mapping_Sheet!$E$2:$E$3143, ISNUMBER(
Master_Mapping_S"&amp;"heet!$E$2:$E$3143),
Master_Mapping_Sheet!$C$2:$C$3143=AW$1))), 0, sum(filter(
Master_Mapping_Sheet!$E$2:$E$3143, ISNUMBER(
Master_Mapping_Sheet!$E$2:$E$3143),
Master_Mapping_Sheet!$C$2:$C$3143=AW$1,
Master_Mapping_Sheet!$H$2:$H$3143=$A18))/sum(filter(
Mas"&amp;"ter_Mapping_Sheet!$E$2:$E$3143, ISNUMBER(
Master_Mapping_Sheet!$E$2:$E$3143),
Master_Mapping_Sheet!$C$2:$C$3143=AW$1)))"),0.0)</f>
        <v>0</v>
      </c>
      <c r="AX18" s="34">
        <f>IFERROR(__xludf.DUMMYFUNCTION("IF(ISNA(sum(filter(
Master_Mapping_Sheet!$E$2:$E$3143, ISNUMBER(
Master_Mapping_Sheet!$E$2:$E$3143),
Master_Mapping_Sheet!$C$2:$C$3143=AX$1,
Master_Mapping_Sheet!$H$2:$H$3143=$A18))/sum(filter(
Master_Mapping_Sheet!$E$2:$E$3143, ISNUMBER(
Master_Mapping_S"&amp;"heet!$E$2:$E$3143),
Master_Mapping_Sheet!$C$2:$C$3143=AX$1))), 0, sum(filter(
Master_Mapping_Sheet!$E$2:$E$3143, ISNUMBER(
Master_Mapping_Sheet!$E$2:$E$3143),
Master_Mapping_Sheet!$C$2:$C$3143=AX$1,
Master_Mapping_Sheet!$H$2:$H$3143=$A18))/sum(filter(
Mas"&amp;"ter_Mapping_Sheet!$E$2:$E$3143, ISNUMBER(
Master_Mapping_Sheet!$E$2:$E$3143),
Master_Mapping_Sheet!$C$2:$C$3143=AX$1)))"),0.0)</f>
        <v>0</v>
      </c>
      <c r="AY18" s="34">
        <f>IFERROR(__xludf.DUMMYFUNCTION("IF(ISNA(sum(filter(
Master_Mapping_Sheet!$E$2:$E$3143, ISNUMBER(
Master_Mapping_Sheet!$E$2:$E$3143),
Master_Mapping_Sheet!$C$2:$C$3143=AY$1,
Master_Mapping_Sheet!$H$2:$H$3143=$A18))/sum(filter(
Master_Mapping_Sheet!$E$2:$E$3143, ISNUMBER(
Master_Mapping_S"&amp;"heet!$E$2:$E$3143),
Master_Mapping_Sheet!$C$2:$C$3143=AY$1))), 0, sum(filter(
Master_Mapping_Sheet!$E$2:$E$3143, ISNUMBER(
Master_Mapping_Sheet!$E$2:$E$3143),
Master_Mapping_Sheet!$C$2:$C$3143=AY$1,
Master_Mapping_Sheet!$H$2:$H$3143=$A18))/sum(filter(
Mas"&amp;"ter_Mapping_Sheet!$E$2:$E$3143, ISNUMBER(
Master_Mapping_Sheet!$E$2:$E$3143),
Master_Mapping_Sheet!$C$2:$C$3143=AY$1)))"),0.0)</f>
        <v>0</v>
      </c>
      <c r="AZ18" s="34">
        <f>IFERROR(__xludf.DUMMYFUNCTION("IF(ISNA(sum(filter(
Master_Mapping_Sheet!$E$2:$E$3143, ISNUMBER(
Master_Mapping_Sheet!$E$2:$E$3143),
Master_Mapping_Sheet!$C$2:$C$3143=AZ$1,
Master_Mapping_Sheet!$H$2:$H$3143=$A18))/sum(filter(
Master_Mapping_Sheet!$E$2:$E$3143, ISNUMBER(
Master_Mapping_S"&amp;"heet!$E$2:$E$3143),
Master_Mapping_Sheet!$C$2:$C$3143=AZ$1))), 0, sum(filter(
Master_Mapping_Sheet!$E$2:$E$3143, ISNUMBER(
Master_Mapping_Sheet!$E$2:$E$3143),
Master_Mapping_Sheet!$C$2:$C$3143=AZ$1,
Master_Mapping_Sheet!$H$2:$H$3143=$A18))/sum(filter(
Mas"&amp;"ter_Mapping_Sheet!$E$2:$E$3143, ISNUMBER(
Master_Mapping_Sheet!$E$2:$E$3143),
Master_Mapping_Sheet!$C$2:$C$3143=AZ$1)))"),0.0)</f>
        <v>0</v>
      </c>
    </row>
    <row r="19" ht="15.75" customHeight="1">
      <c r="A19" s="34" t="s">
        <v>4001</v>
      </c>
      <c r="B19" s="34">
        <f>IFERROR(__xludf.DUMMYFUNCTION("IF(ISNA(sum(filter(
Master_Mapping_Sheet!$E$2:$E$3143, ISNUMBER(
Master_Mapping_Sheet!$E$2:$E$3143),
Master_Mapping_Sheet!$C$2:$C$3143=B$1,
Master_Mapping_Sheet!$H$2:$H$3143=$A19))/sum(filter(
Master_Mapping_Sheet!$E$2:$E$3143, ISNUMBER(
Master_Mapping_Sh"&amp;"eet!$E$2:$E$3143),
Master_Mapping_Sheet!$C$2:$C$3143=B$1))), 0, sum(filter(
Master_Mapping_Sheet!$E$2:$E$3143, ISNUMBER(
Master_Mapping_Sheet!$E$2:$E$3143),
Master_Mapping_Sheet!$C$2:$C$3143=B$1,
Master_Mapping_Sheet!$H$2:$H$3143=$A19))/sum(filter(
Master"&amp;"_Mapping_Sheet!$E$2:$E$3143, ISNUMBER(
Master_Mapping_Sheet!$E$2:$E$3143),
Master_Mapping_Sheet!$C$2:$C$3143=B$1)))"),0.0)</f>
        <v>0</v>
      </c>
      <c r="C19" s="34">
        <f>IFERROR(__xludf.DUMMYFUNCTION("IF(ISNA(sum(filter(
Master_Mapping_Sheet!$E$2:$E$3143, ISNUMBER(
Master_Mapping_Sheet!$E$2:$E$3143),
Master_Mapping_Sheet!$C$2:$C$3143=C$1,
Master_Mapping_Sheet!$H$2:$H$3143=$A19))/sum(filter(
Master_Mapping_Sheet!$E$2:$E$3143, ISNUMBER(
Master_Mapping_Sh"&amp;"eet!$E$2:$E$3143),
Master_Mapping_Sheet!$C$2:$C$3143=C$1))), 0, sum(filter(
Master_Mapping_Sheet!$E$2:$E$3143, ISNUMBER(
Master_Mapping_Sheet!$E$2:$E$3143),
Master_Mapping_Sheet!$C$2:$C$3143=C$1,
Master_Mapping_Sheet!$H$2:$H$3143=$A19))/sum(filter(
Master"&amp;"_Mapping_Sheet!$E$2:$E$3143, ISNUMBER(
Master_Mapping_Sheet!$E$2:$E$3143),
Master_Mapping_Sheet!$C$2:$C$3143=C$1)))"),0.0)</f>
        <v>0</v>
      </c>
      <c r="D19" s="34">
        <f>IFERROR(__xludf.DUMMYFUNCTION("IF(ISNA(sum(filter(
Master_Mapping_Sheet!$E$2:$E$3143, ISNUMBER(
Master_Mapping_Sheet!$E$2:$E$3143),
Master_Mapping_Sheet!$C$2:$C$3143=D$1,
Master_Mapping_Sheet!$H$2:$H$3143=$A19))/sum(filter(
Master_Mapping_Sheet!$E$2:$E$3143, ISNUMBER(
Master_Mapping_Sh"&amp;"eet!$E$2:$E$3143),
Master_Mapping_Sheet!$C$2:$C$3143=D$1))), 0, sum(filter(
Master_Mapping_Sheet!$E$2:$E$3143, ISNUMBER(
Master_Mapping_Sheet!$E$2:$E$3143),
Master_Mapping_Sheet!$C$2:$C$3143=D$1,
Master_Mapping_Sheet!$H$2:$H$3143=$A19))/sum(filter(
Master"&amp;"_Mapping_Sheet!$E$2:$E$3143, ISNUMBER(
Master_Mapping_Sheet!$E$2:$E$3143),
Master_Mapping_Sheet!$C$2:$C$3143=D$1)))"),0.0)</f>
        <v>0</v>
      </c>
      <c r="E19" s="34">
        <f>IFERROR(__xludf.DUMMYFUNCTION("IF(ISNA(sum(filter(
Master_Mapping_Sheet!$E$2:$E$3143, ISNUMBER(
Master_Mapping_Sheet!$E$2:$E$3143),
Master_Mapping_Sheet!$C$2:$C$3143=E$1,
Master_Mapping_Sheet!$H$2:$H$3143=$A19))/sum(filter(
Master_Mapping_Sheet!$E$2:$E$3143, ISNUMBER(
Master_Mapping_Sh"&amp;"eet!$E$2:$E$3143),
Master_Mapping_Sheet!$C$2:$C$3143=E$1))), 0, sum(filter(
Master_Mapping_Sheet!$E$2:$E$3143, ISNUMBER(
Master_Mapping_Sheet!$E$2:$E$3143),
Master_Mapping_Sheet!$C$2:$C$3143=E$1,
Master_Mapping_Sheet!$H$2:$H$3143=$A19))/sum(filter(
Master"&amp;"_Mapping_Sheet!$E$2:$E$3143, ISNUMBER(
Master_Mapping_Sheet!$E$2:$E$3143),
Master_Mapping_Sheet!$C$2:$C$3143=E$1)))"),0.0)</f>
        <v>0</v>
      </c>
      <c r="F19" s="34">
        <f>IFERROR(__xludf.DUMMYFUNCTION("IF(ISNA(sum(filter(
Master_Mapping_Sheet!$E$2:$E$3143, ISNUMBER(
Master_Mapping_Sheet!$E$2:$E$3143),
Master_Mapping_Sheet!$C$2:$C$3143=F$1,
Master_Mapping_Sheet!$H$2:$H$3143=$A19))/sum(filter(
Master_Mapping_Sheet!$E$2:$E$3143, ISNUMBER(
Master_Mapping_Sh"&amp;"eet!$E$2:$E$3143),
Master_Mapping_Sheet!$C$2:$C$3143=F$1))), 0, sum(filter(
Master_Mapping_Sheet!$E$2:$E$3143, ISNUMBER(
Master_Mapping_Sheet!$E$2:$E$3143),
Master_Mapping_Sheet!$C$2:$C$3143=F$1,
Master_Mapping_Sheet!$H$2:$H$3143=$A19))/sum(filter(
Master"&amp;"_Mapping_Sheet!$E$2:$E$3143, ISNUMBER(
Master_Mapping_Sheet!$E$2:$E$3143),
Master_Mapping_Sheet!$C$2:$C$3143=F$1)))"),0.0)</f>
        <v>0</v>
      </c>
      <c r="G19" s="34">
        <f>IFERROR(__xludf.DUMMYFUNCTION("IF(ISNA(sum(filter(
Master_Mapping_Sheet!$E$2:$E$3143, ISNUMBER(
Master_Mapping_Sheet!$E$2:$E$3143),
Master_Mapping_Sheet!$C$2:$C$3143=G$1,
Master_Mapping_Sheet!$H$2:$H$3143=$A19))/sum(filter(
Master_Mapping_Sheet!$E$2:$E$3143, ISNUMBER(
Master_Mapping_Sh"&amp;"eet!$E$2:$E$3143),
Master_Mapping_Sheet!$C$2:$C$3143=G$1))), 0, sum(filter(
Master_Mapping_Sheet!$E$2:$E$3143, ISNUMBER(
Master_Mapping_Sheet!$E$2:$E$3143),
Master_Mapping_Sheet!$C$2:$C$3143=G$1,
Master_Mapping_Sheet!$H$2:$H$3143=$A19))/sum(filter(
Master"&amp;"_Mapping_Sheet!$E$2:$E$3143, ISNUMBER(
Master_Mapping_Sheet!$E$2:$E$3143),
Master_Mapping_Sheet!$C$2:$C$3143=G$1)))"),0.0)</f>
        <v>0</v>
      </c>
      <c r="H19" s="34">
        <f>IFERROR(__xludf.DUMMYFUNCTION("IF(ISNA(sum(filter(
Master_Mapping_Sheet!$E$2:$E$3143, ISNUMBER(
Master_Mapping_Sheet!$E$2:$E$3143),
Master_Mapping_Sheet!$C$2:$C$3143=H$1,
Master_Mapping_Sheet!$H$2:$H$3143=$A19))/sum(filter(
Master_Mapping_Sheet!$E$2:$E$3143, ISNUMBER(
Master_Mapping_Sh"&amp;"eet!$E$2:$E$3143),
Master_Mapping_Sheet!$C$2:$C$3143=H$1))), 0, sum(filter(
Master_Mapping_Sheet!$E$2:$E$3143, ISNUMBER(
Master_Mapping_Sheet!$E$2:$E$3143),
Master_Mapping_Sheet!$C$2:$C$3143=H$1,
Master_Mapping_Sheet!$H$2:$H$3143=$A19))/sum(filter(
Master"&amp;"_Mapping_Sheet!$E$2:$E$3143, ISNUMBER(
Master_Mapping_Sheet!$E$2:$E$3143),
Master_Mapping_Sheet!$C$2:$C$3143=H$1)))"),0.0)</f>
        <v>0</v>
      </c>
      <c r="I19" s="34">
        <f>IFERROR(__xludf.DUMMYFUNCTION("IF(ISNA(sum(filter(
Master_Mapping_Sheet!$E$2:$E$3143, ISNUMBER(
Master_Mapping_Sheet!$E$2:$E$3143),
Master_Mapping_Sheet!$C$2:$C$3143=I$1,
Master_Mapping_Sheet!$H$2:$H$3143=$A19))/sum(filter(
Master_Mapping_Sheet!$E$2:$E$3143, ISNUMBER(
Master_Mapping_Sh"&amp;"eet!$E$2:$E$3143),
Master_Mapping_Sheet!$C$2:$C$3143=I$1))), 0, sum(filter(
Master_Mapping_Sheet!$E$2:$E$3143, ISNUMBER(
Master_Mapping_Sheet!$E$2:$E$3143),
Master_Mapping_Sheet!$C$2:$C$3143=I$1,
Master_Mapping_Sheet!$H$2:$H$3143=$A19))/sum(filter(
Master"&amp;"_Mapping_Sheet!$E$2:$E$3143, ISNUMBER(
Master_Mapping_Sheet!$E$2:$E$3143),
Master_Mapping_Sheet!$C$2:$C$3143=I$1)))"),0.0)</f>
        <v>0</v>
      </c>
      <c r="J19" s="34">
        <f>IFERROR(__xludf.DUMMYFUNCTION("IF(ISNA(sum(filter(
Master_Mapping_Sheet!$E$2:$E$3143, ISNUMBER(
Master_Mapping_Sheet!$E$2:$E$3143),
Master_Mapping_Sheet!$C$2:$C$3143=J$1,
Master_Mapping_Sheet!$H$2:$H$3143=$A19))/sum(filter(
Master_Mapping_Sheet!$E$2:$E$3143, ISNUMBER(
Master_Mapping_Sh"&amp;"eet!$E$2:$E$3143),
Master_Mapping_Sheet!$C$2:$C$3143=J$1))), 0, sum(filter(
Master_Mapping_Sheet!$E$2:$E$3143, ISNUMBER(
Master_Mapping_Sheet!$E$2:$E$3143),
Master_Mapping_Sheet!$C$2:$C$3143=J$1,
Master_Mapping_Sheet!$H$2:$H$3143=$A19))/sum(filter(
Master"&amp;"_Mapping_Sheet!$E$2:$E$3143, ISNUMBER(
Master_Mapping_Sheet!$E$2:$E$3143),
Master_Mapping_Sheet!$C$2:$C$3143=J$1)))"),0.0)</f>
        <v>0</v>
      </c>
      <c r="K19" s="34">
        <f>IFERROR(__xludf.DUMMYFUNCTION("IF(ISNA(sum(filter(
Master_Mapping_Sheet!$E$2:$E$3143, ISNUMBER(
Master_Mapping_Sheet!$E$2:$E$3143),
Master_Mapping_Sheet!$C$2:$C$3143=K$1,
Master_Mapping_Sheet!$H$2:$H$3143=$A19))/sum(filter(
Master_Mapping_Sheet!$E$2:$E$3143, ISNUMBER(
Master_Mapping_Sh"&amp;"eet!$E$2:$E$3143),
Master_Mapping_Sheet!$C$2:$C$3143=K$1))), 0, sum(filter(
Master_Mapping_Sheet!$E$2:$E$3143, ISNUMBER(
Master_Mapping_Sheet!$E$2:$E$3143),
Master_Mapping_Sheet!$C$2:$C$3143=K$1,
Master_Mapping_Sheet!$H$2:$H$3143=$A19))/sum(filter(
Master"&amp;"_Mapping_Sheet!$E$2:$E$3143, ISNUMBER(
Master_Mapping_Sheet!$E$2:$E$3143),
Master_Mapping_Sheet!$C$2:$C$3143=K$1)))"),0.0)</f>
        <v>0</v>
      </c>
      <c r="L19" s="34">
        <f>IFERROR(__xludf.DUMMYFUNCTION("IF(ISNA(sum(filter(
Master_Mapping_Sheet!$E$2:$E$3143, ISNUMBER(
Master_Mapping_Sheet!$E$2:$E$3143),
Master_Mapping_Sheet!$C$2:$C$3143=L$1,
Master_Mapping_Sheet!$H$2:$H$3143=$A19))/sum(filter(
Master_Mapping_Sheet!$E$2:$E$3143, ISNUMBER(
Master_Mapping_Sh"&amp;"eet!$E$2:$E$3143),
Master_Mapping_Sheet!$C$2:$C$3143=L$1))), 0, sum(filter(
Master_Mapping_Sheet!$E$2:$E$3143, ISNUMBER(
Master_Mapping_Sheet!$E$2:$E$3143),
Master_Mapping_Sheet!$C$2:$C$3143=L$1,
Master_Mapping_Sheet!$H$2:$H$3143=$A19))/sum(filter(
Master"&amp;"_Mapping_Sheet!$E$2:$E$3143, ISNUMBER(
Master_Mapping_Sheet!$E$2:$E$3143),
Master_Mapping_Sheet!$C$2:$C$3143=L$1)))"),0.0)</f>
        <v>0</v>
      </c>
      <c r="M19" s="34">
        <f>IFERROR(__xludf.DUMMYFUNCTION("IF(ISNA(sum(filter(
Master_Mapping_Sheet!$E$2:$E$3143, ISNUMBER(
Master_Mapping_Sheet!$E$2:$E$3143),
Master_Mapping_Sheet!$C$2:$C$3143=M$1,
Master_Mapping_Sheet!$H$2:$H$3143=$A19))/sum(filter(
Master_Mapping_Sheet!$E$2:$E$3143, ISNUMBER(
Master_Mapping_Sh"&amp;"eet!$E$2:$E$3143),
Master_Mapping_Sheet!$C$2:$C$3143=M$1))), 0, sum(filter(
Master_Mapping_Sheet!$E$2:$E$3143, ISNUMBER(
Master_Mapping_Sheet!$E$2:$E$3143),
Master_Mapping_Sheet!$C$2:$C$3143=M$1,
Master_Mapping_Sheet!$H$2:$H$3143=$A19))/sum(filter(
Master"&amp;"_Mapping_Sheet!$E$2:$E$3143, ISNUMBER(
Master_Mapping_Sheet!$E$2:$E$3143),
Master_Mapping_Sheet!$C$2:$C$3143=M$1)))"),0.0)</f>
        <v>0</v>
      </c>
      <c r="N19" s="34">
        <f>IFERROR(__xludf.DUMMYFUNCTION("IF(ISNA(sum(filter(
Master_Mapping_Sheet!$E$2:$E$3143, ISNUMBER(
Master_Mapping_Sheet!$E$2:$E$3143),
Master_Mapping_Sheet!$C$2:$C$3143=N$1,
Master_Mapping_Sheet!$H$2:$H$3143=$A19))/sum(filter(
Master_Mapping_Sheet!$E$2:$E$3143, ISNUMBER(
Master_Mapping_Sh"&amp;"eet!$E$2:$E$3143),
Master_Mapping_Sheet!$C$2:$C$3143=N$1))), 0, sum(filter(
Master_Mapping_Sheet!$E$2:$E$3143, ISNUMBER(
Master_Mapping_Sheet!$E$2:$E$3143),
Master_Mapping_Sheet!$C$2:$C$3143=N$1,
Master_Mapping_Sheet!$H$2:$H$3143=$A19))/sum(filter(
Master"&amp;"_Mapping_Sheet!$E$2:$E$3143, ISNUMBER(
Master_Mapping_Sheet!$E$2:$E$3143),
Master_Mapping_Sheet!$C$2:$C$3143=N$1)))"),0.0)</f>
        <v>0</v>
      </c>
      <c r="O19" s="34">
        <f>IFERROR(__xludf.DUMMYFUNCTION("IF(ISNA(sum(filter(
Master_Mapping_Sheet!$E$2:$E$3143, ISNUMBER(
Master_Mapping_Sheet!$E$2:$E$3143),
Master_Mapping_Sheet!$C$2:$C$3143=O$1,
Master_Mapping_Sheet!$H$2:$H$3143=$A19))/sum(filter(
Master_Mapping_Sheet!$E$2:$E$3143, ISNUMBER(
Master_Mapping_Sh"&amp;"eet!$E$2:$E$3143),
Master_Mapping_Sheet!$C$2:$C$3143=O$1))), 0, sum(filter(
Master_Mapping_Sheet!$E$2:$E$3143, ISNUMBER(
Master_Mapping_Sheet!$E$2:$E$3143),
Master_Mapping_Sheet!$C$2:$C$3143=O$1,
Master_Mapping_Sheet!$H$2:$H$3143=$A19))/sum(filter(
Master"&amp;"_Mapping_Sheet!$E$2:$E$3143, ISNUMBER(
Master_Mapping_Sheet!$E$2:$E$3143),
Master_Mapping_Sheet!$C$2:$C$3143=O$1)))"),0.0)</f>
        <v>0</v>
      </c>
      <c r="P19" s="34">
        <f>IFERROR(__xludf.DUMMYFUNCTION("IF(ISNA(sum(filter(
Master_Mapping_Sheet!$E$2:$E$3143, ISNUMBER(
Master_Mapping_Sheet!$E$2:$E$3143),
Master_Mapping_Sheet!$C$2:$C$3143=P$1,
Master_Mapping_Sheet!$H$2:$H$3143=$A19))/sum(filter(
Master_Mapping_Sheet!$E$2:$E$3143, ISNUMBER(
Master_Mapping_Sh"&amp;"eet!$E$2:$E$3143),
Master_Mapping_Sheet!$C$2:$C$3143=P$1))), 0, sum(filter(
Master_Mapping_Sheet!$E$2:$E$3143, ISNUMBER(
Master_Mapping_Sheet!$E$2:$E$3143),
Master_Mapping_Sheet!$C$2:$C$3143=P$1,
Master_Mapping_Sheet!$H$2:$H$3143=$A19))/sum(filter(
Master"&amp;"_Mapping_Sheet!$E$2:$E$3143, ISNUMBER(
Master_Mapping_Sheet!$E$2:$E$3143),
Master_Mapping_Sheet!$C$2:$C$3143=P$1)))"),0.0)</f>
        <v>0</v>
      </c>
      <c r="Q19" s="34">
        <f>IFERROR(__xludf.DUMMYFUNCTION("IF(ISNA(sum(filter(
Master_Mapping_Sheet!$E$2:$E$3143, ISNUMBER(
Master_Mapping_Sheet!$E$2:$E$3143),
Master_Mapping_Sheet!$C$2:$C$3143=Q$1,
Master_Mapping_Sheet!$H$2:$H$3143=$A19))/sum(filter(
Master_Mapping_Sheet!$E$2:$E$3143, ISNUMBER(
Master_Mapping_Sh"&amp;"eet!$E$2:$E$3143),
Master_Mapping_Sheet!$C$2:$C$3143=Q$1))), 0, sum(filter(
Master_Mapping_Sheet!$E$2:$E$3143, ISNUMBER(
Master_Mapping_Sheet!$E$2:$E$3143),
Master_Mapping_Sheet!$C$2:$C$3143=Q$1,
Master_Mapping_Sheet!$H$2:$H$3143=$A19))/sum(filter(
Master"&amp;"_Mapping_Sheet!$E$2:$E$3143, ISNUMBER(
Master_Mapping_Sheet!$E$2:$E$3143),
Master_Mapping_Sheet!$C$2:$C$3143=Q$1)))"),0.0)</f>
        <v>0</v>
      </c>
      <c r="R19" s="34">
        <f>IFERROR(__xludf.DUMMYFUNCTION("IF(ISNA(sum(filter(
Master_Mapping_Sheet!$E$2:$E$3143, ISNUMBER(
Master_Mapping_Sheet!$E$2:$E$3143),
Master_Mapping_Sheet!$C$2:$C$3143=R$1,
Master_Mapping_Sheet!$H$2:$H$3143=$A19))/sum(filter(
Master_Mapping_Sheet!$E$2:$E$3143, ISNUMBER(
Master_Mapping_Sh"&amp;"eet!$E$2:$E$3143),
Master_Mapping_Sheet!$C$2:$C$3143=R$1))), 0, sum(filter(
Master_Mapping_Sheet!$E$2:$E$3143, ISNUMBER(
Master_Mapping_Sheet!$E$2:$E$3143),
Master_Mapping_Sheet!$C$2:$C$3143=R$1,
Master_Mapping_Sheet!$H$2:$H$3143=$A19))/sum(filter(
Master"&amp;"_Mapping_Sheet!$E$2:$E$3143, ISNUMBER(
Master_Mapping_Sheet!$E$2:$E$3143),
Master_Mapping_Sheet!$C$2:$C$3143=R$1)))"),1.0)</f>
        <v>1</v>
      </c>
      <c r="S19" s="34">
        <f>IFERROR(__xludf.DUMMYFUNCTION("IF(ISNA(sum(filter(
Master_Mapping_Sheet!$E$2:$E$3143, ISNUMBER(
Master_Mapping_Sheet!$E$2:$E$3143),
Master_Mapping_Sheet!$C$2:$C$3143=S$1,
Master_Mapping_Sheet!$H$2:$H$3143=$A19))/sum(filter(
Master_Mapping_Sheet!$E$2:$E$3143, ISNUMBER(
Master_Mapping_Sh"&amp;"eet!$E$2:$E$3143),
Master_Mapping_Sheet!$C$2:$C$3143=S$1))), 0, sum(filter(
Master_Mapping_Sheet!$E$2:$E$3143, ISNUMBER(
Master_Mapping_Sheet!$E$2:$E$3143),
Master_Mapping_Sheet!$C$2:$C$3143=S$1,
Master_Mapping_Sheet!$H$2:$H$3143=$A19))/sum(filter(
Master"&amp;"_Mapping_Sheet!$E$2:$E$3143, ISNUMBER(
Master_Mapping_Sheet!$E$2:$E$3143),
Master_Mapping_Sheet!$C$2:$C$3143=S$1)))"),0.0)</f>
        <v>0</v>
      </c>
      <c r="T19" s="34">
        <f>IFERROR(__xludf.DUMMYFUNCTION("IF(ISNA(sum(filter(
Master_Mapping_Sheet!$E$2:$E$3143, ISNUMBER(
Master_Mapping_Sheet!$E$2:$E$3143),
Master_Mapping_Sheet!$C$2:$C$3143=T$1,
Master_Mapping_Sheet!$H$2:$H$3143=$A19))/sum(filter(
Master_Mapping_Sheet!$E$2:$E$3143, ISNUMBER(
Master_Mapping_Sh"&amp;"eet!$E$2:$E$3143),
Master_Mapping_Sheet!$C$2:$C$3143=T$1))), 0, sum(filter(
Master_Mapping_Sheet!$E$2:$E$3143, ISNUMBER(
Master_Mapping_Sheet!$E$2:$E$3143),
Master_Mapping_Sheet!$C$2:$C$3143=T$1,
Master_Mapping_Sheet!$H$2:$H$3143=$A19))/sum(filter(
Master"&amp;"_Mapping_Sheet!$E$2:$E$3143, ISNUMBER(
Master_Mapping_Sheet!$E$2:$E$3143),
Master_Mapping_Sheet!$C$2:$C$3143=T$1)))"),0.0)</f>
        <v>0</v>
      </c>
      <c r="U19" s="34">
        <f>IFERROR(__xludf.DUMMYFUNCTION("IF(ISNA(sum(filter(
Master_Mapping_Sheet!$E$2:$E$3143, ISNUMBER(
Master_Mapping_Sheet!$E$2:$E$3143),
Master_Mapping_Sheet!$C$2:$C$3143=U$1,
Master_Mapping_Sheet!$H$2:$H$3143=$A19))/sum(filter(
Master_Mapping_Sheet!$E$2:$E$3143, ISNUMBER(
Master_Mapping_Sh"&amp;"eet!$E$2:$E$3143),
Master_Mapping_Sheet!$C$2:$C$3143=U$1))), 0, sum(filter(
Master_Mapping_Sheet!$E$2:$E$3143, ISNUMBER(
Master_Mapping_Sheet!$E$2:$E$3143),
Master_Mapping_Sheet!$C$2:$C$3143=U$1,
Master_Mapping_Sheet!$H$2:$H$3143=$A19))/sum(filter(
Master"&amp;"_Mapping_Sheet!$E$2:$E$3143, ISNUMBER(
Master_Mapping_Sheet!$E$2:$E$3143),
Master_Mapping_Sheet!$C$2:$C$3143=U$1)))"),0.0)</f>
        <v>0</v>
      </c>
      <c r="V19" s="34">
        <f>IFERROR(__xludf.DUMMYFUNCTION("IF(ISNA(sum(filter(
Master_Mapping_Sheet!$E$2:$E$3143, ISNUMBER(
Master_Mapping_Sheet!$E$2:$E$3143),
Master_Mapping_Sheet!$C$2:$C$3143=V$1,
Master_Mapping_Sheet!$H$2:$H$3143=$A19))/sum(filter(
Master_Mapping_Sheet!$E$2:$E$3143, ISNUMBER(
Master_Mapping_Sh"&amp;"eet!$E$2:$E$3143),
Master_Mapping_Sheet!$C$2:$C$3143=V$1))), 0, sum(filter(
Master_Mapping_Sheet!$E$2:$E$3143, ISNUMBER(
Master_Mapping_Sheet!$E$2:$E$3143),
Master_Mapping_Sheet!$C$2:$C$3143=V$1,
Master_Mapping_Sheet!$H$2:$H$3143=$A19))/sum(filter(
Master"&amp;"_Mapping_Sheet!$E$2:$E$3143, ISNUMBER(
Master_Mapping_Sheet!$E$2:$E$3143),
Master_Mapping_Sheet!$C$2:$C$3143=V$1)))"),0.0)</f>
        <v>0</v>
      </c>
      <c r="W19" s="34">
        <f>IFERROR(__xludf.DUMMYFUNCTION("IF(ISNA(sum(filter(
Master_Mapping_Sheet!$E$2:$E$3143, ISNUMBER(
Master_Mapping_Sheet!$E$2:$E$3143),
Master_Mapping_Sheet!$C$2:$C$3143=W$1,
Master_Mapping_Sheet!$H$2:$H$3143=$A19))/sum(filter(
Master_Mapping_Sheet!$E$2:$E$3143, ISNUMBER(
Master_Mapping_Sh"&amp;"eet!$E$2:$E$3143),
Master_Mapping_Sheet!$C$2:$C$3143=W$1))), 0, sum(filter(
Master_Mapping_Sheet!$E$2:$E$3143, ISNUMBER(
Master_Mapping_Sheet!$E$2:$E$3143),
Master_Mapping_Sheet!$C$2:$C$3143=W$1,
Master_Mapping_Sheet!$H$2:$H$3143=$A19))/sum(filter(
Master"&amp;"_Mapping_Sheet!$E$2:$E$3143, ISNUMBER(
Master_Mapping_Sheet!$E$2:$E$3143),
Master_Mapping_Sheet!$C$2:$C$3143=W$1)))"),0.0)</f>
        <v>0</v>
      </c>
      <c r="X19" s="34">
        <f>IFERROR(__xludf.DUMMYFUNCTION("IF(ISNA(sum(filter(
Master_Mapping_Sheet!$E$2:$E$3143, ISNUMBER(
Master_Mapping_Sheet!$E$2:$E$3143),
Master_Mapping_Sheet!$C$2:$C$3143=X$1,
Master_Mapping_Sheet!$H$2:$H$3143=$A19))/sum(filter(
Master_Mapping_Sheet!$E$2:$E$3143, ISNUMBER(
Master_Mapping_Sh"&amp;"eet!$E$2:$E$3143),
Master_Mapping_Sheet!$C$2:$C$3143=X$1))), 0, sum(filter(
Master_Mapping_Sheet!$E$2:$E$3143, ISNUMBER(
Master_Mapping_Sheet!$E$2:$E$3143),
Master_Mapping_Sheet!$C$2:$C$3143=X$1,
Master_Mapping_Sheet!$H$2:$H$3143=$A19))/sum(filter(
Master"&amp;"_Mapping_Sheet!$E$2:$E$3143, ISNUMBER(
Master_Mapping_Sheet!$E$2:$E$3143),
Master_Mapping_Sheet!$C$2:$C$3143=X$1)))"),0.0)</f>
        <v>0</v>
      </c>
      <c r="Y19" s="34">
        <f>IFERROR(__xludf.DUMMYFUNCTION("IF(ISNA(sum(filter(
Master_Mapping_Sheet!$E$2:$E$3143, ISNUMBER(
Master_Mapping_Sheet!$E$2:$E$3143),
Master_Mapping_Sheet!$C$2:$C$3143=Y$1,
Master_Mapping_Sheet!$H$2:$H$3143=$A19))/sum(filter(
Master_Mapping_Sheet!$E$2:$E$3143, ISNUMBER(
Master_Mapping_Sh"&amp;"eet!$E$2:$E$3143),
Master_Mapping_Sheet!$C$2:$C$3143=Y$1))), 0, sum(filter(
Master_Mapping_Sheet!$E$2:$E$3143, ISNUMBER(
Master_Mapping_Sheet!$E$2:$E$3143),
Master_Mapping_Sheet!$C$2:$C$3143=Y$1,
Master_Mapping_Sheet!$H$2:$H$3143=$A19))/sum(filter(
Master"&amp;"_Mapping_Sheet!$E$2:$E$3143, ISNUMBER(
Master_Mapping_Sheet!$E$2:$E$3143),
Master_Mapping_Sheet!$C$2:$C$3143=Y$1)))"),0.0)</f>
        <v>0</v>
      </c>
      <c r="Z19" s="34">
        <f>IFERROR(__xludf.DUMMYFUNCTION("IF(ISNA(sum(filter(
Master_Mapping_Sheet!$E$2:$E$3143, ISNUMBER(
Master_Mapping_Sheet!$E$2:$E$3143),
Master_Mapping_Sheet!$C$2:$C$3143=Z$1,
Master_Mapping_Sheet!$H$2:$H$3143=$A19))/sum(filter(
Master_Mapping_Sheet!$E$2:$E$3143, ISNUMBER(
Master_Mapping_Sh"&amp;"eet!$E$2:$E$3143),
Master_Mapping_Sheet!$C$2:$C$3143=Z$1))), 0, sum(filter(
Master_Mapping_Sheet!$E$2:$E$3143, ISNUMBER(
Master_Mapping_Sheet!$E$2:$E$3143),
Master_Mapping_Sheet!$C$2:$C$3143=Z$1,
Master_Mapping_Sheet!$H$2:$H$3143=$A19))/sum(filter(
Master"&amp;"_Mapping_Sheet!$E$2:$E$3143, ISNUMBER(
Master_Mapping_Sheet!$E$2:$E$3143),
Master_Mapping_Sheet!$C$2:$C$3143=Z$1)))"),0.0)</f>
        <v>0</v>
      </c>
      <c r="AA19" s="34">
        <f>IFERROR(__xludf.DUMMYFUNCTION("IF(ISNA(sum(filter(
Master_Mapping_Sheet!$E$2:$E$3143, ISNUMBER(
Master_Mapping_Sheet!$E$2:$E$3143),
Master_Mapping_Sheet!$C$2:$C$3143=AA$1,
Master_Mapping_Sheet!$H$2:$H$3143=$A19))/sum(filter(
Master_Mapping_Sheet!$E$2:$E$3143, ISNUMBER(
Master_Mapping_S"&amp;"heet!$E$2:$E$3143),
Master_Mapping_Sheet!$C$2:$C$3143=AA$1))), 0, sum(filter(
Master_Mapping_Sheet!$E$2:$E$3143, ISNUMBER(
Master_Mapping_Sheet!$E$2:$E$3143),
Master_Mapping_Sheet!$C$2:$C$3143=AA$1,
Master_Mapping_Sheet!$H$2:$H$3143=$A19))/sum(filter(
Mas"&amp;"ter_Mapping_Sheet!$E$2:$E$3143, ISNUMBER(
Master_Mapping_Sheet!$E$2:$E$3143),
Master_Mapping_Sheet!$C$2:$C$3143=AA$1)))"),0.42440668052902475)</f>
        <v>0.4244066805</v>
      </c>
      <c r="AB19" s="34">
        <f>IFERROR(__xludf.DUMMYFUNCTION("IF(ISNA(sum(filter(
Master_Mapping_Sheet!$E$2:$E$3143, ISNUMBER(
Master_Mapping_Sheet!$E$2:$E$3143),
Master_Mapping_Sheet!$C$2:$C$3143=AB$1,
Master_Mapping_Sheet!$H$2:$H$3143=$A19))/sum(filter(
Master_Mapping_Sheet!$E$2:$E$3143, ISNUMBER(
Master_Mapping_S"&amp;"heet!$E$2:$E$3143),
Master_Mapping_Sheet!$C$2:$C$3143=AB$1))), 0, sum(filter(
Master_Mapping_Sheet!$E$2:$E$3143, ISNUMBER(
Master_Mapping_Sheet!$E$2:$E$3143),
Master_Mapping_Sheet!$C$2:$C$3143=AB$1,
Master_Mapping_Sheet!$H$2:$H$3143=$A19))/sum(filter(
Mas"&amp;"ter_Mapping_Sheet!$E$2:$E$3143, ISNUMBER(
Master_Mapping_Sheet!$E$2:$E$3143),
Master_Mapping_Sheet!$C$2:$C$3143=AB$1)))"),0.0)</f>
        <v>0</v>
      </c>
      <c r="AC19" s="34">
        <f>IFERROR(__xludf.DUMMYFUNCTION("IF(ISNA(sum(filter(
Master_Mapping_Sheet!$E$2:$E$3143, ISNUMBER(
Master_Mapping_Sheet!$E$2:$E$3143),
Master_Mapping_Sheet!$C$2:$C$3143=AC$1,
Master_Mapping_Sheet!$H$2:$H$3143=$A19))/sum(filter(
Master_Mapping_Sheet!$E$2:$E$3143, ISNUMBER(
Master_Mapping_S"&amp;"heet!$E$2:$E$3143),
Master_Mapping_Sheet!$C$2:$C$3143=AC$1))), 0, sum(filter(
Master_Mapping_Sheet!$E$2:$E$3143, ISNUMBER(
Master_Mapping_Sheet!$E$2:$E$3143),
Master_Mapping_Sheet!$C$2:$C$3143=AC$1,
Master_Mapping_Sheet!$H$2:$H$3143=$A19))/sum(filter(
Mas"&amp;"ter_Mapping_Sheet!$E$2:$E$3143, ISNUMBER(
Master_Mapping_Sheet!$E$2:$E$3143),
Master_Mapping_Sheet!$C$2:$C$3143=AC$1)))"),0.0)</f>
        <v>0</v>
      </c>
      <c r="AD19" s="34">
        <f>IFERROR(__xludf.DUMMYFUNCTION("IF(ISNA(sum(filter(
Master_Mapping_Sheet!$E$2:$E$3143, ISNUMBER(
Master_Mapping_Sheet!$E$2:$E$3143),
Master_Mapping_Sheet!$C$2:$C$3143=AD$1,
Master_Mapping_Sheet!$H$2:$H$3143=$A19))/sum(filter(
Master_Mapping_Sheet!$E$2:$E$3143, ISNUMBER(
Master_Mapping_S"&amp;"heet!$E$2:$E$3143),
Master_Mapping_Sheet!$C$2:$C$3143=AD$1))), 0, sum(filter(
Master_Mapping_Sheet!$E$2:$E$3143, ISNUMBER(
Master_Mapping_Sheet!$E$2:$E$3143),
Master_Mapping_Sheet!$C$2:$C$3143=AD$1,
Master_Mapping_Sheet!$H$2:$H$3143=$A19))/sum(filter(
Mas"&amp;"ter_Mapping_Sheet!$E$2:$E$3143, ISNUMBER(
Master_Mapping_Sheet!$E$2:$E$3143),
Master_Mapping_Sheet!$C$2:$C$3143=AD$1)))"),0.0)</f>
        <v>0</v>
      </c>
      <c r="AE19" s="34">
        <f>IFERROR(__xludf.DUMMYFUNCTION("IF(ISNA(sum(filter(
Master_Mapping_Sheet!$E$2:$E$3143, ISNUMBER(
Master_Mapping_Sheet!$E$2:$E$3143),
Master_Mapping_Sheet!$C$2:$C$3143=AE$1,
Master_Mapping_Sheet!$H$2:$H$3143=$A19))/sum(filter(
Master_Mapping_Sheet!$E$2:$E$3143, ISNUMBER(
Master_Mapping_S"&amp;"heet!$E$2:$E$3143),
Master_Mapping_Sheet!$C$2:$C$3143=AE$1))), 0, sum(filter(
Master_Mapping_Sheet!$E$2:$E$3143, ISNUMBER(
Master_Mapping_Sheet!$E$2:$E$3143),
Master_Mapping_Sheet!$C$2:$C$3143=AE$1,
Master_Mapping_Sheet!$H$2:$H$3143=$A19))/sum(filter(
Mas"&amp;"ter_Mapping_Sheet!$E$2:$E$3143, ISNUMBER(
Master_Mapping_Sheet!$E$2:$E$3143),
Master_Mapping_Sheet!$C$2:$C$3143=AE$1)))"),0.0)</f>
        <v>0</v>
      </c>
      <c r="AF19" s="34">
        <f>IFERROR(__xludf.DUMMYFUNCTION("IF(ISNA(sum(filter(
Master_Mapping_Sheet!$E$2:$E$3143, ISNUMBER(
Master_Mapping_Sheet!$E$2:$E$3143),
Master_Mapping_Sheet!$C$2:$C$3143=AF$1,
Master_Mapping_Sheet!$H$2:$H$3143=$A19))/sum(filter(
Master_Mapping_Sheet!$E$2:$E$3143, ISNUMBER(
Master_Mapping_S"&amp;"heet!$E$2:$E$3143),
Master_Mapping_Sheet!$C$2:$C$3143=AF$1))), 0, sum(filter(
Master_Mapping_Sheet!$E$2:$E$3143, ISNUMBER(
Master_Mapping_Sheet!$E$2:$E$3143),
Master_Mapping_Sheet!$C$2:$C$3143=AF$1,
Master_Mapping_Sheet!$H$2:$H$3143=$A19))/sum(filter(
Mas"&amp;"ter_Mapping_Sheet!$E$2:$E$3143, ISNUMBER(
Master_Mapping_Sheet!$E$2:$E$3143),
Master_Mapping_Sheet!$C$2:$C$3143=AF$1)))"),0.0)</f>
        <v>0</v>
      </c>
      <c r="AG19" s="34">
        <f>IFERROR(__xludf.DUMMYFUNCTION("IF(ISNA(sum(filter(
Master_Mapping_Sheet!$E$2:$E$3143, ISNUMBER(
Master_Mapping_Sheet!$E$2:$E$3143),
Master_Mapping_Sheet!$C$2:$C$3143=AG$1,
Master_Mapping_Sheet!$H$2:$H$3143=$A19))/sum(filter(
Master_Mapping_Sheet!$E$2:$E$3143, ISNUMBER(
Master_Mapping_S"&amp;"heet!$E$2:$E$3143),
Master_Mapping_Sheet!$C$2:$C$3143=AG$1))), 0, sum(filter(
Master_Mapping_Sheet!$E$2:$E$3143, ISNUMBER(
Master_Mapping_Sheet!$E$2:$E$3143),
Master_Mapping_Sheet!$C$2:$C$3143=AG$1,
Master_Mapping_Sheet!$H$2:$H$3143=$A19))/sum(filter(
Mas"&amp;"ter_Mapping_Sheet!$E$2:$E$3143, ISNUMBER(
Master_Mapping_Sheet!$E$2:$E$3143),
Master_Mapping_Sheet!$C$2:$C$3143=AG$1)))"),0.0)</f>
        <v>0</v>
      </c>
      <c r="AH19" s="34">
        <f>IFERROR(__xludf.DUMMYFUNCTION("IF(ISNA(sum(filter(
Master_Mapping_Sheet!$E$2:$E$3143, ISNUMBER(
Master_Mapping_Sheet!$E$2:$E$3143),
Master_Mapping_Sheet!$C$2:$C$3143=AH$1,
Master_Mapping_Sheet!$H$2:$H$3143=$A19))/sum(filter(
Master_Mapping_Sheet!$E$2:$E$3143, ISNUMBER(
Master_Mapping_S"&amp;"heet!$E$2:$E$3143),
Master_Mapping_Sheet!$C$2:$C$3143=AH$1))), 0, sum(filter(
Master_Mapping_Sheet!$E$2:$E$3143, ISNUMBER(
Master_Mapping_Sheet!$E$2:$E$3143),
Master_Mapping_Sheet!$C$2:$C$3143=AH$1,
Master_Mapping_Sheet!$H$2:$H$3143=$A19))/sum(filter(
Mas"&amp;"ter_Mapping_Sheet!$E$2:$E$3143, ISNUMBER(
Master_Mapping_Sheet!$E$2:$E$3143),
Master_Mapping_Sheet!$C$2:$C$3143=AH$1)))"),0.0)</f>
        <v>0</v>
      </c>
      <c r="AI19" s="34">
        <f>IFERROR(__xludf.DUMMYFUNCTION("IF(ISNA(sum(filter(
Master_Mapping_Sheet!$E$2:$E$3143, ISNUMBER(
Master_Mapping_Sheet!$E$2:$E$3143),
Master_Mapping_Sheet!$C$2:$C$3143=AI$1,
Master_Mapping_Sheet!$H$2:$H$3143=$A19))/sum(filter(
Master_Mapping_Sheet!$E$2:$E$3143, ISNUMBER(
Master_Mapping_S"&amp;"heet!$E$2:$E$3143),
Master_Mapping_Sheet!$C$2:$C$3143=AI$1))), 0, sum(filter(
Master_Mapping_Sheet!$E$2:$E$3143, ISNUMBER(
Master_Mapping_Sheet!$E$2:$E$3143),
Master_Mapping_Sheet!$C$2:$C$3143=AI$1,
Master_Mapping_Sheet!$H$2:$H$3143=$A19))/sum(filter(
Mas"&amp;"ter_Mapping_Sheet!$E$2:$E$3143, ISNUMBER(
Master_Mapping_Sheet!$E$2:$E$3143),
Master_Mapping_Sheet!$C$2:$C$3143=AI$1)))"),0.0)</f>
        <v>0</v>
      </c>
      <c r="AJ19" s="34">
        <f>IFERROR(__xludf.DUMMYFUNCTION("IF(ISNA(sum(filter(
Master_Mapping_Sheet!$E$2:$E$3143, ISNUMBER(
Master_Mapping_Sheet!$E$2:$E$3143),
Master_Mapping_Sheet!$C$2:$C$3143=AJ$1,
Master_Mapping_Sheet!$H$2:$H$3143=$A19))/sum(filter(
Master_Mapping_Sheet!$E$2:$E$3143, ISNUMBER(
Master_Mapping_S"&amp;"heet!$E$2:$E$3143),
Master_Mapping_Sheet!$C$2:$C$3143=AJ$1))), 0, sum(filter(
Master_Mapping_Sheet!$E$2:$E$3143, ISNUMBER(
Master_Mapping_Sheet!$E$2:$E$3143),
Master_Mapping_Sheet!$C$2:$C$3143=AJ$1,
Master_Mapping_Sheet!$H$2:$H$3143=$A19))/sum(filter(
Mas"&amp;"ter_Mapping_Sheet!$E$2:$E$3143, ISNUMBER(
Master_Mapping_Sheet!$E$2:$E$3143),
Master_Mapping_Sheet!$C$2:$C$3143=AJ$1)))"),0.0)</f>
        <v>0</v>
      </c>
      <c r="AK19" s="34">
        <f>IFERROR(__xludf.DUMMYFUNCTION("IF(ISNA(sum(filter(
Master_Mapping_Sheet!$E$2:$E$3143, ISNUMBER(
Master_Mapping_Sheet!$E$2:$E$3143),
Master_Mapping_Sheet!$C$2:$C$3143=AK$1,
Master_Mapping_Sheet!$H$2:$H$3143=$A19))/sum(filter(
Master_Mapping_Sheet!$E$2:$E$3143, ISNUMBER(
Master_Mapping_S"&amp;"heet!$E$2:$E$3143),
Master_Mapping_Sheet!$C$2:$C$3143=AK$1))), 0, sum(filter(
Master_Mapping_Sheet!$E$2:$E$3143, ISNUMBER(
Master_Mapping_Sheet!$E$2:$E$3143),
Master_Mapping_Sheet!$C$2:$C$3143=AK$1,
Master_Mapping_Sheet!$H$2:$H$3143=$A19))/sum(filter(
Mas"&amp;"ter_Mapping_Sheet!$E$2:$E$3143, ISNUMBER(
Master_Mapping_Sheet!$E$2:$E$3143),
Master_Mapping_Sheet!$C$2:$C$3143=AK$1)))"),0.0)</f>
        <v>0</v>
      </c>
      <c r="AL19" s="34">
        <f>IFERROR(__xludf.DUMMYFUNCTION("IF(ISNA(sum(filter(
Master_Mapping_Sheet!$E$2:$E$3143, ISNUMBER(
Master_Mapping_Sheet!$E$2:$E$3143),
Master_Mapping_Sheet!$C$2:$C$3143=AL$1,
Master_Mapping_Sheet!$H$2:$H$3143=$A19))/sum(filter(
Master_Mapping_Sheet!$E$2:$E$3143, ISNUMBER(
Master_Mapping_S"&amp;"heet!$E$2:$E$3143),
Master_Mapping_Sheet!$C$2:$C$3143=AL$1))), 0, sum(filter(
Master_Mapping_Sheet!$E$2:$E$3143, ISNUMBER(
Master_Mapping_Sheet!$E$2:$E$3143),
Master_Mapping_Sheet!$C$2:$C$3143=AL$1,
Master_Mapping_Sheet!$H$2:$H$3143=$A19))/sum(filter(
Mas"&amp;"ter_Mapping_Sheet!$E$2:$E$3143, ISNUMBER(
Master_Mapping_Sheet!$E$2:$E$3143),
Master_Mapping_Sheet!$C$2:$C$3143=AL$1)))"),0.0)</f>
        <v>0</v>
      </c>
      <c r="AM19" s="34">
        <f>IFERROR(__xludf.DUMMYFUNCTION("IF(ISNA(sum(filter(
Master_Mapping_Sheet!$E$2:$E$3143, ISNUMBER(
Master_Mapping_Sheet!$E$2:$E$3143),
Master_Mapping_Sheet!$C$2:$C$3143=AM$1,
Master_Mapping_Sheet!$H$2:$H$3143=$A19))/sum(filter(
Master_Mapping_Sheet!$E$2:$E$3143, ISNUMBER(
Master_Mapping_S"&amp;"heet!$E$2:$E$3143),
Master_Mapping_Sheet!$C$2:$C$3143=AM$1))), 0, sum(filter(
Master_Mapping_Sheet!$E$2:$E$3143, ISNUMBER(
Master_Mapping_Sheet!$E$2:$E$3143),
Master_Mapping_Sheet!$C$2:$C$3143=AM$1,
Master_Mapping_Sheet!$H$2:$H$3143=$A19))/sum(filter(
Mas"&amp;"ter_Mapping_Sheet!$E$2:$E$3143, ISNUMBER(
Master_Mapping_Sheet!$E$2:$E$3143),
Master_Mapping_Sheet!$C$2:$C$3143=AM$1)))"),0.0)</f>
        <v>0</v>
      </c>
      <c r="AN19" s="34">
        <f>IFERROR(__xludf.DUMMYFUNCTION("IF(ISNA(sum(filter(
Master_Mapping_Sheet!$E$2:$E$3143, ISNUMBER(
Master_Mapping_Sheet!$E$2:$E$3143),
Master_Mapping_Sheet!$C$2:$C$3143=AN$1,
Master_Mapping_Sheet!$H$2:$H$3143=$A19))/sum(filter(
Master_Mapping_Sheet!$E$2:$E$3143, ISNUMBER(
Master_Mapping_S"&amp;"heet!$E$2:$E$3143),
Master_Mapping_Sheet!$C$2:$C$3143=AN$1))), 0, sum(filter(
Master_Mapping_Sheet!$E$2:$E$3143, ISNUMBER(
Master_Mapping_Sheet!$E$2:$E$3143),
Master_Mapping_Sheet!$C$2:$C$3143=AN$1,
Master_Mapping_Sheet!$H$2:$H$3143=$A19))/sum(filter(
Mas"&amp;"ter_Mapping_Sheet!$E$2:$E$3143, ISNUMBER(
Master_Mapping_Sheet!$E$2:$E$3143),
Master_Mapping_Sheet!$C$2:$C$3143=AN$1)))"),0.0)</f>
        <v>0</v>
      </c>
      <c r="AO19" s="34">
        <f>IFERROR(__xludf.DUMMYFUNCTION("IF(ISNA(sum(filter(
Master_Mapping_Sheet!$E$2:$E$3143, ISNUMBER(
Master_Mapping_Sheet!$E$2:$E$3143),
Master_Mapping_Sheet!$C$2:$C$3143=AO$1,
Master_Mapping_Sheet!$H$2:$H$3143=$A19))/sum(filter(
Master_Mapping_Sheet!$E$2:$E$3143, ISNUMBER(
Master_Mapping_S"&amp;"heet!$E$2:$E$3143),
Master_Mapping_Sheet!$C$2:$C$3143=AO$1))), 0, sum(filter(
Master_Mapping_Sheet!$E$2:$E$3143, ISNUMBER(
Master_Mapping_Sheet!$E$2:$E$3143),
Master_Mapping_Sheet!$C$2:$C$3143=AO$1,
Master_Mapping_Sheet!$H$2:$H$3143=$A19))/sum(filter(
Mas"&amp;"ter_Mapping_Sheet!$E$2:$E$3143, ISNUMBER(
Master_Mapping_Sheet!$E$2:$E$3143),
Master_Mapping_Sheet!$C$2:$C$3143=AO$1)))"),0.0)</f>
        <v>0</v>
      </c>
      <c r="AP19" s="34">
        <f>IFERROR(__xludf.DUMMYFUNCTION("IF(ISNA(sum(filter(
Master_Mapping_Sheet!$E$2:$E$3143, ISNUMBER(
Master_Mapping_Sheet!$E$2:$E$3143),
Master_Mapping_Sheet!$C$2:$C$3143=AP$1,
Master_Mapping_Sheet!$H$2:$H$3143=$A19))/sum(filter(
Master_Mapping_Sheet!$E$2:$E$3143, ISNUMBER(
Master_Mapping_S"&amp;"heet!$E$2:$E$3143),
Master_Mapping_Sheet!$C$2:$C$3143=AP$1))), 0, sum(filter(
Master_Mapping_Sheet!$E$2:$E$3143, ISNUMBER(
Master_Mapping_Sheet!$E$2:$E$3143),
Master_Mapping_Sheet!$C$2:$C$3143=AP$1,
Master_Mapping_Sheet!$H$2:$H$3143=$A19))/sum(filter(
Mas"&amp;"ter_Mapping_Sheet!$E$2:$E$3143, ISNUMBER(
Master_Mapping_Sheet!$E$2:$E$3143),
Master_Mapping_Sheet!$C$2:$C$3143=AP$1)))"),0.0)</f>
        <v>0</v>
      </c>
      <c r="AQ19" s="34">
        <f>IFERROR(__xludf.DUMMYFUNCTION("IF(ISNA(sum(filter(
Master_Mapping_Sheet!$E$2:$E$3143, ISNUMBER(
Master_Mapping_Sheet!$E$2:$E$3143),
Master_Mapping_Sheet!$C$2:$C$3143=AQ$1,
Master_Mapping_Sheet!$H$2:$H$3143=$A19))/sum(filter(
Master_Mapping_Sheet!$E$2:$E$3143, ISNUMBER(
Master_Mapping_S"&amp;"heet!$E$2:$E$3143),
Master_Mapping_Sheet!$C$2:$C$3143=AQ$1))), 0, sum(filter(
Master_Mapping_Sheet!$E$2:$E$3143, ISNUMBER(
Master_Mapping_Sheet!$E$2:$E$3143),
Master_Mapping_Sheet!$C$2:$C$3143=AQ$1,
Master_Mapping_Sheet!$H$2:$H$3143=$A19))/sum(filter(
Mas"&amp;"ter_Mapping_Sheet!$E$2:$E$3143, ISNUMBER(
Master_Mapping_Sheet!$E$2:$E$3143),
Master_Mapping_Sheet!$C$2:$C$3143=AQ$1)))"),0.0)</f>
        <v>0</v>
      </c>
      <c r="AR19" s="34">
        <f>IFERROR(__xludf.DUMMYFUNCTION("IF(ISNA(sum(filter(
Master_Mapping_Sheet!$E$2:$E$3143, ISNUMBER(
Master_Mapping_Sheet!$E$2:$E$3143),
Master_Mapping_Sheet!$C$2:$C$3143=AR$1,
Master_Mapping_Sheet!$H$2:$H$3143=$A19))/sum(filter(
Master_Mapping_Sheet!$E$2:$E$3143, ISNUMBER(
Master_Mapping_S"&amp;"heet!$E$2:$E$3143),
Master_Mapping_Sheet!$C$2:$C$3143=AR$1))), 0, sum(filter(
Master_Mapping_Sheet!$E$2:$E$3143, ISNUMBER(
Master_Mapping_Sheet!$E$2:$E$3143),
Master_Mapping_Sheet!$C$2:$C$3143=AR$1,
Master_Mapping_Sheet!$H$2:$H$3143=$A19))/sum(filter(
Mas"&amp;"ter_Mapping_Sheet!$E$2:$E$3143, ISNUMBER(
Master_Mapping_Sheet!$E$2:$E$3143),
Master_Mapping_Sheet!$C$2:$C$3143=AR$1)))"),0.0)</f>
        <v>0</v>
      </c>
      <c r="AS19" s="34">
        <f>IFERROR(__xludf.DUMMYFUNCTION("IF(ISNA(sum(filter(
Master_Mapping_Sheet!$E$2:$E$3143, ISNUMBER(
Master_Mapping_Sheet!$E$2:$E$3143),
Master_Mapping_Sheet!$C$2:$C$3143=AS$1,
Master_Mapping_Sheet!$H$2:$H$3143=$A19))/sum(filter(
Master_Mapping_Sheet!$E$2:$E$3143, ISNUMBER(
Master_Mapping_S"&amp;"heet!$E$2:$E$3143),
Master_Mapping_Sheet!$C$2:$C$3143=AS$1))), 0, sum(filter(
Master_Mapping_Sheet!$E$2:$E$3143, ISNUMBER(
Master_Mapping_Sheet!$E$2:$E$3143),
Master_Mapping_Sheet!$C$2:$C$3143=AS$1,
Master_Mapping_Sheet!$H$2:$H$3143=$A19))/sum(filter(
Mas"&amp;"ter_Mapping_Sheet!$E$2:$E$3143, ISNUMBER(
Master_Mapping_Sheet!$E$2:$E$3143),
Master_Mapping_Sheet!$C$2:$C$3143=AS$1)))"),0.0)</f>
        <v>0</v>
      </c>
      <c r="AT19" s="34">
        <f>IFERROR(__xludf.DUMMYFUNCTION("IF(ISNA(sum(filter(
Master_Mapping_Sheet!$E$2:$E$3143, ISNUMBER(
Master_Mapping_Sheet!$E$2:$E$3143),
Master_Mapping_Sheet!$C$2:$C$3143=AT$1,
Master_Mapping_Sheet!$H$2:$H$3143=$A19))/sum(filter(
Master_Mapping_Sheet!$E$2:$E$3143, ISNUMBER(
Master_Mapping_S"&amp;"heet!$E$2:$E$3143),
Master_Mapping_Sheet!$C$2:$C$3143=AT$1))), 0, sum(filter(
Master_Mapping_Sheet!$E$2:$E$3143, ISNUMBER(
Master_Mapping_Sheet!$E$2:$E$3143),
Master_Mapping_Sheet!$C$2:$C$3143=AT$1,
Master_Mapping_Sheet!$H$2:$H$3143=$A19))/sum(filter(
Mas"&amp;"ter_Mapping_Sheet!$E$2:$E$3143, ISNUMBER(
Master_Mapping_Sheet!$E$2:$E$3143),
Master_Mapping_Sheet!$C$2:$C$3143=AT$1)))"),0.0)</f>
        <v>0</v>
      </c>
      <c r="AU19" s="34">
        <f>IFERROR(__xludf.DUMMYFUNCTION("IF(ISNA(sum(filter(
Master_Mapping_Sheet!$E$2:$E$3143, ISNUMBER(
Master_Mapping_Sheet!$E$2:$E$3143),
Master_Mapping_Sheet!$C$2:$C$3143=AU$1,
Master_Mapping_Sheet!$H$2:$H$3143=$A19))/sum(filter(
Master_Mapping_Sheet!$E$2:$E$3143, ISNUMBER(
Master_Mapping_S"&amp;"heet!$E$2:$E$3143),
Master_Mapping_Sheet!$C$2:$C$3143=AU$1))), 0, sum(filter(
Master_Mapping_Sheet!$E$2:$E$3143, ISNUMBER(
Master_Mapping_Sheet!$E$2:$E$3143),
Master_Mapping_Sheet!$C$2:$C$3143=AU$1,
Master_Mapping_Sheet!$H$2:$H$3143=$A19))/sum(filter(
Mas"&amp;"ter_Mapping_Sheet!$E$2:$E$3143, ISNUMBER(
Master_Mapping_Sheet!$E$2:$E$3143),
Master_Mapping_Sheet!$C$2:$C$3143=AU$1)))"),0.0)</f>
        <v>0</v>
      </c>
      <c r="AV19" s="34">
        <f>IFERROR(__xludf.DUMMYFUNCTION("IF(ISNA(sum(filter(
Master_Mapping_Sheet!$E$2:$E$3143, ISNUMBER(
Master_Mapping_Sheet!$E$2:$E$3143),
Master_Mapping_Sheet!$C$2:$C$3143=AV$1,
Master_Mapping_Sheet!$H$2:$H$3143=$A19))/sum(filter(
Master_Mapping_Sheet!$E$2:$E$3143, ISNUMBER(
Master_Mapping_S"&amp;"heet!$E$2:$E$3143),
Master_Mapping_Sheet!$C$2:$C$3143=AV$1))), 0, sum(filter(
Master_Mapping_Sheet!$E$2:$E$3143, ISNUMBER(
Master_Mapping_Sheet!$E$2:$E$3143),
Master_Mapping_Sheet!$C$2:$C$3143=AV$1,
Master_Mapping_Sheet!$H$2:$H$3143=$A19))/sum(filter(
Mas"&amp;"ter_Mapping_Sheet!$E$2:$E$3143, ISNUMBER(
Master_Mapping_Sheet!$E$2:$E$3143),
Master_Mapping_Sheet!$C$2:$C$3143=AV$1)))"),0.0)</f>
        <v>0</v>
      </c>
      <c r="AW19" s="34">
        <f>IFERROR(__xludf.DUMMYFUNCTION("IF(ISNA(sum(filter(
Master_Mapping_Sheet!$E$2:$E$3143, ISNUMBER(
Master_Mapping_Sheet!$E$2:$E$3143),
Master_Mapping_Sheet!$C$2:$C$3143=AW$1,
Master_Mapping_Sheet!$H$2:$H$3143=$A19))/sum(filter(
Master_Mapping_Sheet!$E$2:$E$3143, ISNUMBER(
Master_Mapping_S"&amp;"heet!$E$2:$E$3143),
Master_Mapping_Sheet!$C$2:$C$3143=AW$1))), 0, sum(filter(
Master_Mapping_Sheet!$E$2:$E$3143, ISNUMBER(
Master_Mapping_Sheet!$E$2:$E$3143),
Master_Mapping_Sheet!$C$2:$C$3143=AW$1,
Master_Mapping_Sheet!$H$2:$H$3143=$A19))/sum(filter(
Mas"&amp;"ter_Mapping_Sheet!$E$2:$E$3143, ISNUMBER(
Master_Mapping_Sheet!$E$2:$E$3143),
Master_Mapping_Sheet!$C$2:$C$3143=AW$1)))"),0.0)</f>
        <v>0</v>
      </c>
      <c r="AX19" s="34">
        <f>IFERROR(__xludf.DUMMYFUNCTION("IF(ISNA(sum(filter(
Master_Mapping_Sheet!$E$2:$E$3143, ISNUMBER(
Master_Mapping_Sheet!$E$2:$E$3143),
Master_Mapping_Sheet!$C$2:$C$3143=AX$1,
Master_Mapping_Sheet!$H$2:$H$3143=$A19))/sum(filter(
Master_Mapping_Sheet!$E$2:$E$3143, ISNUMBER(
Master_Mapping_S"&amp;"heet!$E$2:$E$3143),
Master_Mapping_Sheet!$C$2:$C$3143=AX$1))), 0, sum(filter(
Master_Mapping_Sheet!$E$2:$E$3143, ISNUMBER(
Master_Mapping_Sheet!$E$2:$E$3143),
Master_Mapping_Sheet!$C$2:$C$3143=AX$1,
Master_Mapping_Sheet!$H$2:$H$3143=$A19))/sum(filter(
Mas"&amp;"ter_Mapping_Sheet!$E$2:$E$3143, ISNUMBER(
Master_Mapping_Sheet!$E$2:$E$3143),
Master_Mapping_Sheet!$C$2:$C$3143=AX$1)))"),0.0)</f>
        <v>0</v>
      </c>
      <c r="AY19" s="34">
        <f>IFERROR(__xludf.DUMMYFUNCTION("IF(ISNA(sum(filter(
Master_Mapping_Sheet!$E$2:$E$3143, ISNUMBER(
Master_Mapping_Sheet!$E$2:$E$3143),
Master_Mapping_Sheet!$C$2:$C$3143=AY$1,
Master_Mapping_Sheet!$H$2:$H$3143=$A19))/sum(filter(
Master_Mapping_Sheet!$E$2:$E$3143, ISNUMBER(
Master_Mapping_S"&amp;"heet!$E$2:$E$3143),
Master_Mapping_Sheet!$C$2:$C$3143=AY$1))), 0, sum(filter(
Master_Mapping_Sheet!$E$2:$E$3143, ISNUMBER(
Master_Mapping_Sheet!$E$2:$E$3143),
Master_Mapping_Sheet!$C$2:$C$3143=AY$1,
Master_Mapping_Sheet!$H$2:$H$3143=$A19))/sum(filter(
Mas"&amp;"ter_Mapping_Sheet!$E$2:$E$3143, ISNUMBER(
Master_Mapping_Sheet!$E$2:$E$3143),
Master_Mapping_Sheet!$C$2:$C$3143=AY$1)))"),0.0)</f>
        <v>0</v>
      </c>
      <c r="AZ19" s="34">
        <f>IFERROR(__xludf.DUMMYFUNCTION("IF(ISNA(sum(filter(
Master_Mapping_Sheet!$E$2:$E$3143, ISNUMBER(
Master_Mapping_Sheet!$E$2:$E$3143),
Master_Mapping_Sheet!$C$2:$C$3143=AZ$1,
Master_Mapping_Sheet!$H$2:$H$3143=$A19))/sum(filter(
Master_Mapping_Sheet!$E$2:$E$3143, ISNUMBER(
Master_Mapping_S"&amp;"heet!$E$2:$E$3143),
Master_Mapping_Sheet!$C$2:$C$3143=AZ$1))), 0, sum(filter(
Master_Mapping_Sheet!$E$2:$E$3143, ISNUMBER(
Master_Mapping_Sheet!$E$2:$E$3143),
Master_Mapping_Sheet!$C$2:$C$3143=AZ$1,
Master_Mapping_Sheet!$H$2:$H$3143=$A19))/sum(filter(
Mas"&amp;"ter_Mapping_Sheet!$E$2:$E$3143, ISNUMBER(
Master_Mapping_Sheet!$E$2:$E$3143),
Master_Mapping_Sheet!$C$2:$C$3143=AZ$1)))"),0.0)</f>
        <v>0</v>
      </c>
    </row>
    <row r="20" ht="15.75" customHeight="1">
      <c r="A20" s="34" t="s">
        <v>3999</v>
      </c>
      <c r="B20" s="34">
        <f>IFERROR(__xludf.DUMMYFUNCTION("IF(ISNA(sum(filter(
Master_Mapping_Sheet!$E$2:$E$3143, ISNUMBER(
Master_Mapping_Sheet!$E$2:$E$3143),
Master_Mapping_Sheet!$C$2:$C$3143=B$1,
Master_Mapping_Sheet!$H$2:$H$3143=$A20))/sum(filter(
Master_Mapping_Sheet!$E$2:$E$3143, ISNUMBER(
Master_Mapping_Sh"&amp;"eet!$E$2:$E$3143),
Master_Mapping_Sheet!$C$2:$C$3143=B$1))), 0, sum(filter(
Master_Mapping_Sheet!$E$2:$E$3143, ISNUMBER(
Master_Mapping_Sheet!$E$2:$E$3143),
Master_Mapping_Sheet!$C$2:$C$3143=B$1,
Master_Mapping_Sheet!$H$2:$H$3143=$A20))/sum(filter(
Master"&amp;"_Mapping_Sheet!$E$2:$E$3143, ISNUMBER(
Master_Mapping_Sheet!$E$2:$E$3143),
Master_Mapping_Sheet!$C$2:$C$3143=B$1)))"),0.0)</f>
        <v>0</v>
      </c>
      <c r="C20" s="34">
        <f>IFERROR(__xludf.DUMMYFUNCTION("IF(ISNA(sum(filter(
Master_Mapping_Sheet!$E$2:$E$3143, ISNUMBER(
Master_Mapping_Sheet!$E$2:$E$3143),
Master_Mapping_Sheet!$C$2:$C$3143=C$1,
Master_Mapping_Sheet!$H$2:$H$3143=$A20))/sum(filter(
Master_Mapping_Sheet!$E$2:$E$3143, ISNUMBER(
Master_Mapping_Sh"&amp;"eet!$E$2:$E$3143),
Master_Mapping_Sheet!$C$2:$C$3143=C$1))), 0, sum(filter(
Master_Mapping_Sheet!$E$2:$E$3143, ISNUMBER(
Master_Mapping_Sheet!$E$2:$E$3143),
Master_Mapping_Sheet!$C$2:$C$3143=C$1,
Master_Mapping_Sheet!$H$2:$H$3143=$A20))/sum(filter(
Master"&amp;"_Mapping_Sheet!$E$2:$E$3143, ISNUMBER(
Master_Mapping_Sheet!$E$2:$E$3143),
Master_Mapping_Sheet!$C$2:$C$3143=C$1)))"),0.0)</f>
        <v>0</v>
      </c>
      <c r="D20" s="34">
        <f>IFERROR(__xludf.DUMMYFUNCTION("IF(ISNA(sum(filter(
Master_Mapping_Sheet!$E$2:$E$3143, ISNUMBER(
Master_Mapping_Sheet!$E$2:$E$3143),
Master_Mapping_Sheet!$C$2:$C$3143=D$1,
Master_Mapping_Sheet!$H$2:$H$3143=$A20))/sum(filter(
Master_Mapping_Sheet!$E$2:$E$3143, ISNUMBER(
Master_Mapping_Sh"&amp;"eet!$E$2:$E$3143),
Master_Mapping_Sheet!$C$2:$C$3143=D$1))), 0, sum(filter(
Master_Mapping_Sheet!$E$2:$E$3143, ISNUMBER(
Master_Mapping_Sheet!$E$2:$E$3143),
Master_Mapping_Sheet!$C$2:$C$3143=D$1,
Master_Mapping_Sheet!$H$2:$H$3143=$A20))/sum(filter(
Master"&amp;"_Mapping_Sheet!$E$2:$E$3143, ISNUMBER(
Master_Mapping_Sheet!$E$2:$E$3143),
Master_Mapping_Sheet!$C$2:$C$3143=D$1)))"),0.0)</f>
        <v>0</v>
      </c>
      <c r="E20" s="34">
        <f>IFERROR(__xludf.DUMMYFUNCTION("IF(ISNA(sum(filter(
Master_Mapping_Sheet!$E$2:$E$3143, ISNUMBER(
Master_Mapping_Sheet!$E$2:$E$3143),
Master_Mapping_Sheet!$C$2:$C$3143=E$1,
Master_Mapping_Sheet!$H$2:$H$3143=$A20))/sum(filter(
Master_Mapping_Sheet!$E$2:$E$3143, ISNUMBER(
Master_Mapping_Sh"&amp;"eet!$E$2:$E$3143),
Master_Mapping_Sheet!$C$2:$C$3143=E$1))), 0, sum(filter(
Master_Mapping_Sheet!$E$2:$E$3143, ISNUMBER(
Master_Mapping_Sheet!$E$2:$E$3143),
Master_Mapping_Sheet!$C$2:$C$3143=E$1,
Master_Mapping_Sheet!$H$2:$H$3143=$A20))/sum(filter(
Master"&amp;"_Mapping_Sheet!$E$2:$E$3143, ISNUMBER(
Master_Mapping_Sheet!$E$2:$E$3143),
Master_Mapping_Sheet!$C$2:$C$3143=E$1)))"),0.0)</f>
        <v>0</v>
      </c>
      <c r="F20" s="34">
        <f>IFERROR(__xludf.DUMMYFUNCTION("IF(ISNA(sum(filter(
Master_Mapping_Sheet!$E$2:$E$3143, ISNUMBER(
Master_Mapping_Sheet!$E$2:$E$3143),
Master_Mapping_Sheet!$C$2:$C$3143=F$1,
Master_Mapping_Sheet!$H$2:$H$3143=$A20))/sum(filter(
Master_Mapping_Sheet!$E$2:$E$3143, ISNUMBER(
Master_Mapping_Sh"&amp;"eet!$E$2:$E$3143),
Master_Mapping_Sheet!$C$2:$C$3143=F$1))), 0, sum(filter(
Master_Mapping_Sheet!$E$2:$E$3143, ISNUMBER(
Master_Mapping_Sheet!$E$2:$E$3143),
Master_Mapping_Sheet!$C$2:$C$3143=F$1,
Master_Mapping_Sheet!$H$2:$H$3143=$A20))/sum(filter(
Master"&amp;"_Mapping_Sheet!$E$2:$E$3143, ISNUMBER(
Master_Mapping_Sheet!$E$2:$E$3143),
Master_Mapping_Sheet!$C$2:$C$3143=F$1)))"),0.0)</f>
        <v>0</v>
      </c>
      <c r="G20" s="34">
        <f>IFERROR(__xludf.DUMMYFUNCTION("IF(ISNA(sum(filter(
Master_Mapping_Sheet!$E$2:$E$3143, ISNUMBER(
Master_Mapping_Sheet!$E$2:$E$3143),
Master_Mapping_Sheet!$C$2:$C$3143=G$1,
Master_Mapping_Sheet!$H$2:$H$3143=$A20))/sum(filter(
Master_Mapping_Sheet!$E$2:$E$3143, ISNUMBER(
Master_Mapping_Sh"&amp;"eet!$E$2:$E$3143),
Master_Mapping_Sheet!$C$2:$C$3143=G$1))), 0, sum(filter(
Master_Mapping_Sheet!$E$2:$E$3143, ISNUMBER(
Master_Mapping_Sheet!$E$2:$E$3143),
Master_Mapping_Sheet!$C$2:$C$3143=G$1,
Master_Mapping_Sheet!$H$2:$H$3143=$A20))/sum(filter(
Master"&amp;"_Mapping_Sheet!$E$2:$E$3143, ISNUMBER(
Master_Mapping_Sheet!$E$2:$E$3143),
Master_Mapping_Sheet!$C$2:$C$3143=G$1)))"),0.0)</f>
        <v>0</v>
      </c>
      <c r="H20" s="34">
        <f>IFERROR(__xludf.DUMMYFUNCTION("IF(ISNA(sum(filter(
Master_Mapping_Sheet!$E$2:$E$3143, ISNUMBER(
Master_Mapping_Sheet!$E$2:$E$3143),
Master_Mapping_Sheet!$C$2:$C$3143=H$1,
Master_Mapping_Sheet!$H$2:$H$3143=$A20))/sum(filter(
Master_Mapping_Sheet!$E$2:$E$3143, ISNUMBER(
Master_Mapping_Sh"&amp;"eet!$E$2:$E$3143),
Master_Mapping_Sheet!$C$2:$C$3143=H$1))), 0, sum(filter(
Master_Mapping_Sheet!$E$2:$E$3143, ISNUMBER(
Master_Mapping_Sheet!$E$2:$E$3143),
Master_Mapping_Sheet!$C$2:$C$3143=H$1,
Master_Mapping_Sheet!$H$2:$H$3143=$A20))/sum(filter(
Master"&amp;"_Mapping_Sheet!$E$2:$E$3143, ISNUMBER(
Master_Mapping_Sheet!$E$2:$E$3143),
Master_Mapping_Sheet!$C$2:$C$3143=H$1)))"),0.0)</f>
        <v>0</v>
      </c>
      <c r="I20" s="34">
        <f>IFERROR(__xludf.DUMMYFUNCTION("IF(ISNA(sum(filter(
Master_Mapping_Sheet!$E$2:$E$3143, ISNUMBER(
Master_Mapping_Sheet!$E$2:$E$3143),
Master_Mapping_Sheet!$C$2:$C$3143=I$1,
Master_Mapping_Sheet!$H$2:$H$3143=$A20))/sum(filter(
Master_Mapping_Sheet!$E$2:$E$3143, ISNUMBER(
Master_Mapping_Sh"&amp;"eet!$E$2:$E$3143),
Master_Mapping_Sheet!$C$2:$C$3143=I$1))), 0, sum(filter(
Master_Mapping_Sheet!$E$2:$E$3143, ISNUMBER(
Master_Mapping_Sheet!$E$2:$E$3143),
Master_Mapping_Sheet!$C$2:$C$3143=I$1,
Master_Mapping_Sheet!$H$2:$H$3143=$A20))/sum(filter(
Master"&amp;"_Mapping_Sheet!$E$2:$E$3143, ISNUMBER(
Master_Mapping_Sheet!$E$2:$E$3143),
Master_Mapping_Sheet!$C$2:$C$3143=I$1)))"),0.0)</f>
        <v>0</v>
      </c>
      <c r="J20" s="34">
        <f>IFERROR(__xludf.DUMMYFUNCTION("IF(ISNA(sum(filter(
Master_Mapping_Sheet!$E$2:$E$3143, ISNUMBER(
Master_Mapping_Sheet!$E$2:$E$3143),
Master_Mapping_Sheet!$C$2:$C$3143=J$1,
Master_Mapping_Sheet!$H$2:$H$3143=$A20))/sum(filter(
Master_Mapping_Sheet!$E$2:$E$3143, ISNUMBER(
Master_Mapping_Sh"&amp;"eet!$E$2:$E$3143),
Master_Mapping_Sheet!$C$2:$C$3143=J$1))), 0, sum(filter(
Master_Mapping_Sheet!$E$2:$E$3143, ISNUMBER(
Master_Mapping_Sheet!$E$2:$E$3143),
Master_Mapping_Sheet!$C$2:$C$3143=J$1,
Master_Mapping_Sheet!$H$2:$H$3143=$A20))/sum(filter(
Master"&amp;"_Mapping_Sheet!$E$2:$E$3143, ISNUMBER(
Master_Mapping_Sheet!$E$2:$E$3143),
Master_Mapping_Sheet!$C$2:$C$3143=J$1)))"),0.0)</f>
        <v>0</v>
      </c>
      <c r="K20" s="34">
        <f>IFERROR(__xludf.DUMMYFUNCTION("IF(ISNA(sum(filter(
Master_Mapping_Sheet!$E$2:$E$3143, ISNUMBER(
Master_Mapping_Sheet!$E$2:$E$3143),
Master_Mapping_Sheet!$C$2:$C$3143=K$1,
Master_Mapping_Sheet!$H$2:$H$3143=$A20))/sum(filter(
Master_Mapping_Sheet!$E$2:$E$3143, ISNUMBER(
Master_Mapping_Sh"&amp;"eet!$E$2:$E$3143),
Master_Mapping_Sheet!$C$2:$C$3143=K$1))), 0, sum(filter(
Master_Mapping_Sheet!$E$2:$E$3143, ISNUMBER(
Master_Mapping_Sheet!$E$2:$E$3143),
Master_Mapping_Sheet!$C$2:$C$3143=K$1,
Master_Mapping_Sheet!$H$2:$H$3143=$A20))/sum(filter(
Master"&amp;"_Mapping_Sheet!$E$2:$E$3143, ISNUMBER(
Master_Mapping_Sheet!$E$2:$E$3143),
Master_Mapping_Sheet!$C$2:$C$3143=K$1)))"),0.0)</f>
        <v>0</v>
      </c>
      <c r="L20" s="34">
        <f>IFERROR(__xludf.DUMMYFUNCTION("IF(ISNA(sum(filter(
Master_Mapping_Sheet!$E$2:$E$3143, ISNUMBER(
Master_Mapping_Sheet!$E$2:$E$3143),
Master_Mapping_Sheet!$C$2:$C$3143=L$1,
Master_Mapping_Sheet!$H$2:$H$3143=$A20))/sum(filter(
Master_Mapping_Sheet!$E$2:$E$3143, ISNUMBER(
Master_Mapping_Sh"&amp;"eet!$E$2:$E$3143),
Master_Mapping_Sheet!$C$2:$C$3143=L$1))), 0, sum(filter(
Master_Mapping_Sheet!$E$2:$E$3143, ISNUMBER(
Master_Mapping_Sheet!$E$2:$E$3143),
Master_Mapping_Sheet!$C$2:$C$3143=L$1,
Master_Mapping_Sheet!$H$2:$H$3143=$A20))/sum(filter(
Master"&amp;"_Mapping_Sheet!$E$2:$E$3143, ISNUMBER(
Master_Mapping_Sheet!$E$2:$E$3143),
Master_Mapping_Sheet!$C$2:$C$3143=L$1)))"),0.0)</f>
        <v>0</v>
      </c>
      <c r="M20" s="34">
        <f>IFERROR(__xludf.DUMMYFUNCTION("IF(ISNA(sum(filter(
Master_Mapping_Sheet!$E$2:$E$3143, ISNUMBER(
Master_Mapping_Sheet!$E$2:$E$3143),
Master_Mapping_Sheet!$C$2:$C$3143=M$1,
Master_Mapping_Sheet!$H$2:$H$3143=$A20))/sum(filter(
Master_Mapping_Sheet!$E$2:$E$3143, ISNUMBER(
Master_Mapping_Sh"&amp;"eet!$E$2:$E$3143),
Master_Mapping_Sheet!$C$2:$C$3143=M$1))), 0, sum(filter(
Master_Mapping_Sheet!$E$2:$E$3143, ISNUMBER(
Master_Mapping_Sheet!$E$2:$E$3143),
Master_Mapping_Sheet!$C$2:$C$3143=M$1,
Master_Mapping_Sheet!$H$2:$H$3143=$A20))/sum(filter(
Master"&amp;"_Mapping_Sheet!$E$2:$E$3143, ISNUMBER(
Master_Mapping_Sheet!$E$2:$E$3143),
Master_Mapping_Sheet!$C$2:$C$3143=M$1)))"),0.0)</f>
        <v>0</v>
      </c>
      <c r="N20" s="34">
        <f>IFERROR(__xludf.DUMMYFUNCTION("IF(ISNA(sum(filter(
Master_Mapping_Sheet!$E$2:$E$3143, ISNUMBER(
Master_Mapping_Sheet!$E$2:$E$3143),
Master_Mapping_Sheet!$C$2:$C$3143=N$1,
Master_Mapping_Sheet!$H$2:$H$3143=$A20))/sum(filter(
Master_Mapping_Sheet!$E$2:$E$3143, ISNUMBER(
Master_Mapping_Sh"&amp;"eet!$E$2:$E$3143),
Master_Mapping_Sheet!$C$2:$C$3143=N$1))), 0, sum(filter(
Master_Mapping_Sheet!$E$2:$E$3143, ISNUMBER(
Master_Mapping_Sheet!$E$2:$E$3143),
Master_Mapping_Sheet!$C$2:$C$3143=N$1,
Master_Mapping_Sheet!$H$2:$H$3143=$A20))/sum(filter(
Master"&amp;"_Mapping_Sheet!$E$2:$E$3143, ISNUMBER(
Master_Mapping_Sheet!$E$2:$E$3143),
Master_Mapping_Sheet!$C$2:$C$3143=N$1)))"),0.0)</f>
        <v>0</v>
      </c>
      <c r="O20" s="34">
        <f>IFERROR(__xludf.DUMMYFUNCTION("IF(ISNA(sum(filter(
Master_Mapping_Sheet!$E$2:$E$3143, ISNUMBER(
Master_Mapping_Sheet!$E$2:$E$3143),
Master_Mapping_Sheet!$C$2:$C$3143=O$1,
Master_Mapping_Sheet!$H$2:$H$3143=$A20))/sum(filter(
Master_Mapping_Sheet!$E$2:$E$3143, ISNUMBER(
Master_Mapping_Sh"&amp;"eet!$E$2:$E$3143),
Master_Mapping_Sheet!$C$2:$C$3143=O$1))), 0, sum(filter(
Master_Mapping_Sheet!$E$2:$E$3143, ISNUMBER(
Master_Mapping_Sheet!$E$2:$E$3143),
Master_Mapping_Sheet!$C$2:$C$3143=O$1,
Master_Mapping_Sheet!$H$2:$H$3143=$A20))/sum(filter(
Master"&amp;"_Mapping_Sheet!$E$2:$E$3143, ISNUMBER(
Master_Mapping_Sheet!$E$2:$E$3143),
Master_Mapping_Sheet!$C$2:$C$3143=O$1)))"),0.0)</f>
        <v>0</v>
      </c>
      <c r="P20" s="34">
        <f>IFERROR(__xludf.DUMMYFUNCTION("IF(ISNA(sum(filter(
Master_Mapping_Sheet!$E$2:$E$3143, ISNUMBER(
Master_Mapping_Sheet!$E$2:$E$3143),
Master_Mapping_Sheet!$C$2:$C$3143=P$1,
Master_Mapping_Sheet!$H$2:$H$3143=$A20))/sum(filter(
Master_Mapping_Sheet!$E$2:$E$3143, ISNUMBER(
Master_Mapping_Sh"&amp;"eet!$E$2:$E$3143),
Master_Mapping_Sheet!$C$2:$C$3143=P$1))), 0, sum(filter(
Master_Mapping_Sheet!$E$2:$E$3143, ISNUMBER(
Master_Mapping_Sheet!$E$2:$E$3143),
Master_Mapping_Sheet!$C$2:$C$3143=P$1,
Master_Mapping_Sheet!$H$2:$H$3143=$A20))/sum(filter(
Master"&amp;"_Mapping_Sheet!$E$2:$E$3143, ISNUMBER(
Master_Mapping_Sheet!$E$2:$E$3143),
Master_Mapping_Sheet!$C$2:$C$3143=P$1)))"),0.0)</f>
        <v>0</v>
      </c>
      <c r="Q20" s="34">
        <f>IFERROR(__xludf.DUMMYFUNCTION("IF(ISNA(sum(filter(
Master_Mapping_Sheet!$E$2:$E$3143, ISNUMBER(
Master_Mapping_Sheet!$E$2:$E$3143),
Master_Mapping_Sheet!$C$2:$C$3143=Q$1,
Master_Mapping_Sheet!$H$2:$H$3143=$A20))/sum(filter(
Master_Mapping_Sheet!$E$2:$E$3143, ISNUMBER(
Master_Mapping_Sh"&amp;"eet!$E$2:$E$3143),
Master_Mapping_Sheet!$C$2:$C$3143=Q$1))), 0, sum(filter(
Master_Mapping_Sheet!$E$2:$E$3143, ISNUMBER(
Master_Mapping_Sheet!$E$2:$E$3143),
Master_Mapping_Sheet!$C$2:$C$3143=Q$1,
Master_Mapping_Sheet!$H$2:$H$3143=$A20))/sum(filter(
Master"&amp;"_Mapping_Sheet!$E$2:$E$3143, ISNUMBER(
Master_Mapping_Sheet!$E$2:$E$3143),
Master_Mapping_Sheet!$C$2:$C$3143=Q$1)))"),0.17051179231457148)</f>
        <v>0.1705117923</v>
      </c>
      <c r="R20" s="34">
        <f>IFERROR(__xludf.DUMMYFUNCTION("IF(ISNA(sum(filter(
Master_Mapping_Sheet!$E$2:$E$3143, ISNUMBER(
Master_Mapping_Sheet!$E$2:$E$3143),
Master_Mapping_Sheet!$C$2:$C$3143=R$1,
Master_Mapping_Sheet!$H$2:$H$3143=$A20))/sum(filter(
Master_Mapping_Sheet!$E$2:$E$3143, ISNUMBER(
Master_Mapping_Sh"&amp;"eet!$E$2:$E$3143),
Master_Mapping_Sheet!$C$2:$C$3143=R$1))), 0, sum(filter(
Master_Mapping_Sheet!$E$2:$E$3143, ISNUMBER(
Master_Mapping_Sheet!$E$2:$E$3143),
Master_Mapping_Sheet!$C$2:$C$3143=R$1,
Master_Mapping_Sheet!$H$2:$H$3143=$A20))/sum(filter(
Master"&amp;"_Mapping_Sheet!$E$2:$E$3143, ISNUMBER(
Master_Mapping_Sheet!$E$2:$E$3143),
Master_Mapping_Sheet!$C$2:$C$3143=R$1)))"),0.0)</f>
        <v>0</v>
      </c>
      <c r="S20" s="34">
        <f>IFERROR(__xludf.DUMMYFUNCTION("IF(ISNA(sum(filter(
Master_Mapping_Sheet!$E$2:$E$3143, ISNUMBER(
Master_Mapping_Sheet!$E$2:$E$3143),
Master_Mapping_Sheet!$C$2:$C$3143=S$1,
Master_Mapping_Sheet!$H$2:$H$3143=$A20))/sum(filter(
Master_Mapping_Sheet!$E$2:$E$3143, ISNUMBER(
Master_Mapping_Sh"&amp;"eet!$E$2:$E$3143),
Master_Mapping_Sheet!$C$2:$C$3143=S$1))), 0, sum(filter(
Master_Mapping_Sheet!$E$2:$E$3143, ISNUMBER(
Master_Mapping_Sheet!$E$2:$E$3143),
Master_Mapping_Sheet!$C$2:$C$3143=S$1,
Master_Mapping_Sheet!$H$2:$H$3143=$A20))/sum(filter(
Master"&amp;"_Mapping_Sheet!$E$2:$E$3143, ISNUMBER(
Master_Mapping_Sheet!$E$2:$E$3143),
Master_Mapping_Sheet!$C$2:$C$3143=S$1)))"),0.0)</f>
        <v>0</v>
      </c>
      <c r="T20" s="34">
        <f>IFERROR(__xludf.DUMMYFUNCTION("IF(ISNA(sum(filter(
Master_Mapping_Sheet!$E$2:$E$3143, ISNUMBER(
Master_Mapping_Sheet!$E$2:$E$3143),
Master_Mapping_Sheet!$C$2:$C$3143=T$1,
Master_Mapping_Sheet!$H$2:$H$3143=$A20))/sum(filter(
Master_Mapping_Sheet!$E$2:$E$3143, ISNUMBER(
Master_Mapping_Sh"&amp;"eet!$E$2:$E$3143),
Master_Mapping_Sheet!$C$2:$C$3143=T$1))), 0, sum(filter(
Master_Mapping_Sheet!$E$2:$E$3143, ISNUMBER(
Master_Mapping_Sheet!$E$2:$E$3143),
Master_Mapping_Sheet!$C$2:$C$3143=T$1,
Master_Mapping_Sheet!$H$2:$H$3143=$A20))/sum(filter(
Master"&amp;"_Mapping_Sheet!$E$2:$E$3143, ISNUMBER(
Master_Mapping_Sheet!$E$2:$E$3143),
Master_Mapping_Sheet!$C$2:$C$3143=T$1)))"),0.0)</f>
        <v>0</v>
      </c>
      <c r="U20" s="34">
        <f>IFERROR(__xludf.DUMMYFUNCTION("IF(ISNA(sum(filter(
Master_Mapping_Sheet!$E$2:$E$3143, ISNUMBER(
Master_Mapping_Sheet!$E$2:$E$3143),
Master_Mapping_Sheet!$C$2:$C$3143=U$1,
Master_Mapping_Sheet!$H$2:$H$3143=$A20))/sum(filter(
Master_Mapping_Sheet!$E$2:$E$3143, ISNUMBER(
Master_Mapping_Sh"&amp;"eet!$E$2:$E$3143),
Master_Mapping_Sheet!$C$2:$C$3143=U$1))), 0, sum(filter(
Master_Mapping_Sheet!$E$2:$E$3143, ISNUMBER(
Master_Mapping_Sheet!$E$2:$E$3143),
Master_Mapping_Sheet!$C$2:$C$3143=U$1,
Master_Mapping_Sheet!$H$2:$H$3143=$A20))/sum(filter(
Master"&amp;"_Mapping_Sheet!$E$2:$E$3143, ISNUMBER(
Master_Mapping_Sheet!$E$2:$E$3143),
Master_Mapping_Sheet!$C$2:$C$3143=U$1)))"),0.0)</f>
        <v>0</v>
      </c>
      <c r="V20" s="34">
        <f>IFERROR(__xludf.DUMMYFUNCTION("IF(ISNA(sum(filter(
Master_Mapping_Sheet!$E$2:$E$3143, ISNUMBER(
Master_Mapping_Sheet!$E$2:$E$3143),
Master_Mapping_Sheet!$C$2:$C$3143=V$1,
Master_Mapping_Sheet!$H$2:$H$3143=$A20))/sum(filter(
Master_Mapping_Sheet!$E$2:$E$3143, ISNUMBER(
Master_Mapping_Sh"&amp;"eet!$E$2:$E$3143),
Master_Mapping_Sheet!$C$2:$C$3143=V$1))), 0, sum(filter(
Master_Mapping_Sheet!$E$2:$E$3143, ISNUMBER(
Master_Mapping_Sheet!$E$2:$E$3143),
Master_Mapping_Sheet!$C$2:$C$3143=V$1,
Master_Mapping_Sheet!$H$2:$H$3143=$A20))/sum(filter(
Master"&amp;"_Mapping_Sheet!$E$2:$E$3143, ISNUMBER(
Master_Mapping_Sheet!$E$2:$E$3143),
Master_Mapping_Sheet!$C$2:$C$3143=V$1)))"),0.0)</f>
        <v>0</v>
      </c>
      <c r="W20" s="34">
        <f>IFERROR(__xludf.DUMMYFUNCTION("IF(ISNA(sum(filter(
Master_Mapping_Sheet!$E$2:$E$3143, ISNUMBER(
Master_Mapping_Sheet!$E$2:$E$3143),
Master_Mapping_Sheet!$C$2:$C$3143=W$1,
Master_Mapping_Sheet!$H$2:$H$3143=$A20))/sum(filter(
Master_Mapping_Sheet!$E$2:$E$3143, ISNUMBER(
Master_Mapping_Sh"&amp;"eet!$E$2:$E$3143),
Master_Mapping_Sheet!$C$2:$C$3143=W$1))), 0, sum(filter(
Master_Mapping_Sheet!$E$2:$E$3143, ISNUMBER(
Master_Mapping_Sheet!$E$2:$E$3143),
Master_Mapping_Sheet!$C$2:$C$3143=W$1,
Master_Mapping_Sheet!$H$2:$H$3143=$A20))/sum(filter(
Master"&amp;"_Mapping_Sheet!$E$2:$E$3143, ISNUMBER(
Master_Mapping_Sheet!$E$2:$E$3143),
Master_Mapping_Sheet!$C$2:$C$3143=W$1)))"),0.0)</f>
        <v>0</v>
      </c>
      <c r="X20" s="34">
        <f>IFERROR(__xludf.DUMMYFUNCTION("IF(ISNA(sum(filter(
Master_Mapping_Sheet!$E$2:$E$3143, ISNUMBER(
Master_Mapping_Sheet!$E$2:$E$3143),
Master_Mapping_Sheet!$C$2:$C$3143=X$1,
Master_Mapping_Sheet!$H$2:$H$3143=$A20))/sum(filter(
Master_Mapping_Sheet!$E$2:$E$3143, ISNUMBER(
Master_Mapping_Sh"&amp;"eet!$E$2:$E$3143),
Master_Mapping_Sheet!$C$2:$C$3143=X$1))), 0, sum(filter(
Master_Mapping_Sheet!$E$2:$E$3143, ISNUMBER(
Master_Mapping_Sheet!$E$2:$E$3143),
Master_Mapping_Sheet!$C$2:$C$3143=X$1,
Master_Mapping_Sheet!$H$2:$H$3143=$A20))/sum(filter(
Master"&amp;"_Mapping_Sheet!$E$2:$E$3143, ISNUMBER(
Master_Mapping_Sheet!$E$2:$E$3143),
Master_Mapping_Sheet!$C$2:$C$3143=X$1)))"),0.0)</f>
        <v>0</v>
      </c>
      <c r="Y20" s="34">
        <f>IFERROR(__xludf.DUMMYFUNCTION("IF(ISNA(sum(filter(
Master_Mapping_Sheet!$E$2:$E$3143, ISNUMBER(
Master_Mapping_Sheet!$E$2:$E$3143),
Master_Mapping_Sheet!$C$2:$C$3143=Y$1,
Master_Mapping_Sheet!$H$2:$H$3143=$A20))/sum(filter(
Master_Mapping_Sheet!$E$2:$E$3143, ISNUMBER(
Master_Mapping_Sh"&amp;"eet!$E$2:$E$3143),
Master_Mapping_Sheet!$C$2:$C$3143=Y$1))), 0, sum(filter(
Master_Mapping_Sheet!$E$2:$E$3143, ISNUMBER(
Master_Mapping_Sheet!$E$2:$E$3143),
Master_Mapping_Sheet!$C$2:$C$3143=Y$1,
Master_Mapping_Sheet!$H$2:$H$3143=$A20))/sum(filter(
Master"&amp;"_Mapping_Sheet!$E$2:$E$3143, ISNUMBER(
Master_Mapping_Sheet!$E$2:$E$3143),
Master_Mapping_Sheet!$C$2:$C$3143=Y$1)))"),0.04569691255447318)</f>
        <v>0.04569691255</v>
      </c>
      <c r="Z20" s="34">
        <f>IFERROR(__xludf.DUMMYFUNCTION("IF(ISNA(sum(filter(
Master_Mapping_Sheet!$E$2:$E$3143, ISNUMBER(
Master_Mapping_Sheet!$E$2:$E$3143),
Master_Mapping_Sheet!$C$2:$C$3143=Z$1,
Master_Mapping_Sheet!$H$2:$H$3143=$A20))/sum(filter(
Master_Mapping_Sheet!$E$2:$E$3143, ISNUMBER(
Master_Mapping_Sh"&amp;"eet!$E$2:$E$3143),
Master_Mapping_Sheet!$C$2:$C$3143=Z$1))), 0, sum(filter(
Master_Mapping_Sheet!$E$2:$E$3143, ISNUMBER(
Master_Mapping_Sheet!$E$2:$E$3143),
Master_Mapping_Sheet!$C$2:$C$3143=Z$1,
Master_Mapping_Sheet!$H$2:$H$3143=$A20))/sum(filter(
Master"&amp;"_Mapping_Sheet!$E$2:$E$3143, ISNUMBER(
Master_Mapping_Sheet!$E$2:$E$3143),
Master_Mapping_Sheet!$C$2:$C$3143=Z$1)))"),0.0)</f>
        <v>0</v>
      </c>
      <c r="AA20" s="34">
        <f>IFERROR(__xludf.DUMMYFUNCTION("IF(ISNA(sum(filter(
Master_Mapping_Sheet!$E$2:$E$3143, ISNUMBER(
Master_Mapping_Sheet!$E$2:$E$3143),
Master_Mapping_Sheet!$C$2:$C$3143=AA$1,
Master_Mapping_Sheet!$H$2:$H$3143=$A20))/sum(filter(
Master_Mapping_Sheet!$E$2:$E$3143, ISNUMBER(
Master_Mapping_S"&amp;"heet!$E$2:$E$3143),
Master_Mapping_Sheet!$C$2:$C$3143=AA$1))), 0, sum(filter(
Master_Mapping_Sheet!$E$2:$E$3143, ISNUMBER(
Master_Mapping_Sheet!$E$2:$E$3143),
Master_Mapping_Sheet!$C$2:$C$3143=AA$1,
Master_Mapping_Sheet!$H$2:$H$3143=$A20))/sum(filter(
Mas"&amp;"ter_Mapping_Sheet!$E$2:$E$3143, ISNUMBER(
Master_Mapping_Sheet!$E$2:$E$3143),
Master_Mapping_Sheet!$C$2:$C$3143=AA$1)))"),0.0)</f>
        <v>0</v>
      </c>
      <c r="AB20" s="34">
        <f>IFERROR(__xludf.DUMMYFUNCTION("IF(ISNA(sum(filter(
Master_Mapping_Sheet!$E$2:$E$3143, ISNUMBER(
Master_Mapping_Sheet!$E$2:$E$3143),
Master_Mapping_Sheet!$C$2:$C$3143=AB$1,
Master_Mapping_Sheet!$H$2:$H$3143=$A20))/sum(filter(
Master_Mapping_Sheet!$E$2:$E$3143, ISNUMBER(
Master_Mapping_S"&amp;"heet!$E$2:$E$3143),
Master_Mapping_Sheet!$C$2:$C$3143=AB$1))), 0, sum(filter(
Master_Mapping_Sheet!$E$2:$E$3143, ISNUMBER(
Master_Mapping_Sheet!$E$2:$E$3143),
Master_Mapping_Sheet!$C$2:$C$3143=AB$1,
Master_Mapping_Sheet!$H$2:$H$3143=$A20))/sum(filter(
Mas"&amp;"ter_Mapping_Sheet!$E$2:$E$3143, ISNUMBER(
Master_Mapping_Sheet!$E$2:$E$3143),
Master_Mapping_Sheet!$C$2:$C$3143=AB$1)))"),0.03117728272652479)</f>
        <v>0.03117728273</v>
      </c>
      <c r="AC20" s="34">
        <f>IFERROR(__xludf.DUMMYFUNCTION("IF(ISNA(sum(filter(
Master_Mapping_Sheet!$E$2:$E$3143, ISNUMBER(
Master_Mapping_Sheet!$E$2:$E$3143),
Master_Mapping_Sheet!$C$2:$C$3143=AC$1,
Master_Mapping_Sheet!$H$2:$H$3143=$A20))/sum(filter(
Master_Mapping_Sheet!$E$2:$E$3143, ISNUMBER(
Master_Mapping_S"&amp;"heet!$E$2:$E$3143),
Master_Mapping_Sheet!$C$2:$C$3143=AC$1))), 0, sum(filter(
Master_Mapping_Sheet!$E$2:$E$3143, ISNUMBER(
Master_Mapping_Sheet!$E$2:$E$3143),
Master_Mapping_Sheet!$C$2:$C$3143=AC$1,
Master_Mapping_Sheet!$H$2:$H$3143=$A20))/sum(filter(
Mas"&amp;"ter_Mapping_Sheet!$E$2:$E$3143, ISNUMBER(
Master_Mapping_Sheet!$E$2:$E$3143),
Master_Mapping_Sheet!$C$2:$C$3143=AC$1)))"),0.9884799626360773)</f>
        <v>0.9884799626</v>
      </c>
      <c r="AD20" s="34">
        <f>IFERROR(__xludf.DUMMYFUNCTION("IF(ISNA(sum(filter(
Master_Mapping_Sheet!$E$2:$E$3143, ISNUMBER(
Master_Mapping_Sheet!$E$2:$E$3143),
Master_Mapping_Sheet!$C$2:$C$3143=AD$1,
Master_Mapping_Sheet!$H$2:$H$3143=$A20))/sum(filter(
Master_Mapping_Sheet!$E$2:$E$3143, ISNUMBER(
Master_Mapping_S"&amp;"heet!$E$2:$E$3143),
Master_Mapping_Sheet!$C$2:$C$3143=AD$1))), 0, sum(filter(
Master_Mapping_Sheet!$E$2:$E$3143, ISNUMBER(
Master_Mapping_Sheet!$E$2:$E$3143),
Master_Mapping_Sheet!$C$2:$C$3143=AD$1,
Master_Mapping_Sheet!$H$2:$H$3143=$A20))/sum(filter(
Mas"&amp;"ter_Mapping_Sheet!$E$2:$E$3143, ISNUMBER(
Master_Mapping_Sheet!$E$2:$E$3143),
Master_Mapping_Sheet!$C$2:$C$3143=AD$1)))"),0.0)</f>
        <v>0</v>
      </c>
      <c r="AE20" s="34">
        <f>IFERROR(__xludf.DUMMYFUNCTION("IF(ISNA(sum(filter(
Master_Mapping_Sheet!$E$2:$E$3143, ISNUMBER(
Master_Mapping_Sheet!$E$2:$E$3143),
Master_Mapping_Sheet!$C$2:$C$3143=AE$1,
Master_Mapping_Sheet!$H$2:$H$3143=$A20))/sum(filter(
Master_Mapping_Sheet!$E$2:$E$3143, ISNUMBER(
Master_Mapping_S"&amp;"heet!$E$2:$E$3143),
Master_Mapping_Sheet!$C$2:$C$3143=AE$1))), 0, sum(filter(
Master_Mapping_Sheet!$E$2:$E$3143, ISNUMBER(
Master_Mapping_Sheet!$E$2:$E$3143),
Master_Mapping_Sheet!$C$2:$C$3143=AE$1,
Master_Mapping_Sheet!$H$2:$H$3143=$A20))/sum(filter(
Mas"&amp;"ter_Mapping_Sheet!$E$2:$E$3143, ISNUMBER(
Master_Mapping_Sheet!$E$2:$E$3143),
Master_Mapping_Sheet!$C$2:$C$3143=AE$1)))"),0.0)</f>
        <v>0</v>
      </c>
      <c r="AF20" s="34">
        <f>IFERROR(__xludf.DUMMYFUNCTION("IF(ISNA(sum(filter(
Master_Mapping_Sheet!$E$2:$E$3143, ISNUMBER(
Master_Mapping_Sheet!$E$2:$E$3143),
Master_Mapping_Sheet!$C$2:$C$3143=AF$1,
Master_Mapping_Sheet!$H$2:$H$3143=$A20))/sum(filter(
Master_Mapping_Sheet!$E$2:$E$3143, ISNUMBER(
Master_Mapping_S"&amp;"heet!$E$2:$E$3143),
Master_Mapping_Sheet!$C$2:$C$3143=AF$1))), 0, sum(filter(
Master_Mapping_Sheet!$E$2:$E$3143, ISNUMBER(
Master_Mapping_Sheet!$E$2:$E$3143),
Master_Mapping_Sheet!$C$2:$C$3143=AF$1,
Master_Mapping_Sheet!$H$2:$H$3143=$A20))/sum(filter(
Mas"&amp;"ter_Mapping_Sheet!$E$2:$E$3143, ISNUMBER(
Master_Mapping_Sheet!$E$2:$E$3143),
Master_Mapping_Sheet!$C$2:$C$3143=AF$1)))"),0.0)</f>
        <v>0</v>
      </c>
      <c r="AG20" s="34">
        <f>IFERROR(__xludf.DUMMYFUNCTION("IF(ISNA(sum(filter(
Master_Mapping_Sheet!$E$2:$E$3143, ISNUMBER(
Master_Mapping_Sheet!$E$2:$E$3143),
Master_Mapping_Sheet!$C$2:$C$3143=AG$1,
Master_Mapping_Sheet!$H$2:$H$3143=$A20))/sum(filter(
Master_Mapping_Sheet!$E$2:$E$3143, ISNUMBER(
Master_Mapping_S"&amp;"heet!$E$2:$E$3143),
Master_Mapping_Sheet!$C$2:$C$3143=AG$1))), 0, sum(filter(
Master_Mapping_Sheet!$E$2:$E$3143, ISNUMBER(
Master_Mapping_Sheet!$E$2:$E$3143),
Master_Mapping_Sheet!$C$2:$C$3143=AG$1,
Master_Mapping_Sheet!$H$2:$H$3143=$A20))/sum(filter(
Mas"&amp;"ter_Mapping_Sheet!$E$2:$E$3143, ISNUMBER(
Master_Mapping_Sheet!$E$2:$E$3143),
Master_Mapping_Sheet!$C$2:$C$3143=AG$1)))"),0.0)</f>
        <v>0</v>
      </c>
      <c r="AH20" s="34">
        <f>IFERROR(__xludf.DUMMYFUNCTION("IF(ISNA(sum(filter(
Master_Mapping_Sheet!$E$2:$E$3143, ISNUMBER(
Master_Mapping_Sheet!$E$2:$E$3143),
Master_Mapping_Sheet!$C$2:$C$3143=AH$1,
Master_Mapping_Sheet!$H$2:$H$3143=$A20))/sum(filter(
Master_Mapping_Sheet!$E$2:$E$3143, ISNUMBER(
Master_Mapping_S"&amp;"heet!$E$2:$E$3143),
Master_Mapping_Sheet!$C$2:$C$3143=AH$1))), 0, sum(filter(
Master_Mapping_Sheet!$E$2:$E$3143, ISNUMBER(
Master_Mapping_Sheet!$E$2:$E$3143),
Master_Mapping_Sheet!$C$2:$C$3143=AH$1,
Master_Mapping_Sheet!$H$2:$H$3143=$A20))/sum(filter(
Mas"&amp;"ter_Mapping_Sheet!$E$2:$E$3143, ISNUMBER(
Master_Mapping_Sheet!$E$2:$E$3143),
Master_Mapping_Sheet!$C$2:$C$3143=AH$1)))"),0.0)</f>
        <v>0</v>
      </c>
      <c r="AI20" s="34">
        <f>IFERROR(__xludf.DUMMYFUNCTION("IF(ISNA(sum(filter(
Master_Mapping_Sheet!$E$2:$E$3143, ISNUMBER(
Master_Mapping_Sheet!$E$2:$E$3143),
Master_Mapping_Sheet!$C$2:$C$3143=AI$1,
Master_Mapping_Sheet!$H$2:$H$3143=$A20))/sum(filter(
Master_Mapping_Sheet!$E$2:$E$3143, ISNUMBER(
Master_Mapping_S"&amp;"heet!$E$2:$E$3143),
Master_Mapping_Sheet!$C$2:$C$3143=AI$1))), 0, sum(filter(
Master_Mapping_Sheet!$E$2:$E$3143, ISNUMBER(
Master_Mapping_Sheet!$E$2:$E$3143),
Master_Mapping_Sheet!$C$2:$C$3143=AI$1,
Master_Mapping_Sheet!$H$2:$H$3143=$A20))/sum(filter(
Mas"&amp;"ter_Mapping_Sheet!$E$2:$E$3143, ISNUMBER(
Master_Mapping_Sheet!$E$2:$E$3143),
Master_Mapping_Sheet!$C$2:$C$3143=AI$1)))"),0.0)</f>
        <v>0</v>
      </c>
      <c r="AJ20" s="34">
        <f>IFERROR(__xludf.DUMMYFUNCTION("IF(ISNA(sum(filter(
Master_Mapping_Sheet!$E$2:$E$3143, ISNUMBER(
Master_Mapping_Sheet!$E$2:$E$3143),
Master_Mapping_Sheet!$C$2:$C$3143=AJ$1,
Master_Mapping_Sheet!$H$2:$H$3143=$A20))/sum(filter(
Master_Mapping_Sheet!$E$2:$E$3143, ISNUMBER(
Master_Mapping_S"&amp;"heet!$E$2:$E$3143),
Master_Mapping_Sheet!$C$2:$C$3143=AJ$1))), 0, sum(filter(
Master_Mapping_Sheet!$E$2:$E$3143, ISNUMBER(
Master_Mapping_Sheet!$E$2:$E$3143),
Master_Mapping_Sheet!$C$2:$C$3143=AJ$1,
Master_Mapping_Sheet!$H$2:$H$3143=$A20))/sum(filter(
Mas"&amp;"ter_Mapping_Sheet!$E$2:$E$3143, ISNUMBER(
Master_Mapping_Sheet!$E$2:$E$3143),
Master_Mapping_Sheet!$C$2:$C$3143=AJ$1)))"),0.9089161476976143)</f>
        <v>0.9089161477</v>
      </c>
      <c r="AK20" s="34">
        <f>IFERROR(__xludf.DUMMYFUNCTION("IF(ISNA(sum(filter(
Master_Mapping_Sheet!$E$2:$E$3143, ISNUMBER(
Master_Mapping_Sheet!$E$2:$E$3143),
Master_Mapping_Sheet!$C$2:$C$3143=AK$1,
Master_Mapping_Sheet!$H$2:$H$3143=$A20))/sum(filter(
Master_Mapping_Sheet!$E$2:$E$3143, ISNUMBER(
Master_Mapping_S"&amp;"heet!$E$2:$E$3143),
Master_Mapping_Sheet!$C$2:$C$3143=AK$1))), 0, sum(filter(
Master_Mapping_Sheet!$E$2:$E$3143, ISNUMBER(
Master_Mapping_Sheet!$E$2:$E$3143),
Master_Mapping_Sheet!$C$2:$C$3143=AK$1,
Master_Mapping_Sheet!$H$2:$H$3143=$A20))/sum(filter(
Mas"&amp;"ter_Mapping_Sheet!$E$2:$E$3143, ISNUMBER(
Master_Mapping_Sheet!$E$2:$E$3143),
Master_Mapping_Sheet!$C$2:$C$3143=AK$1)))"),0.0)</f>
        <v>0</v>
      </c>
      <c r="AL20" s="34">
        <f>IFERROR(__xludf.DUMMYFUNCTION("IF(ISNA(sum(filter(
Master_Mapping_Sheet!$E$2:$E$3143, ISNUMBER(
Master_Mapping_Sheet!$E$2:$E$3143),
Master_Mapping_Sheet!$C$2:$C$3143=AL$1,
Master_Mapping_Sheet!$H$2:$H$3143=$A20))/sum(filter(
Master_Mapping_Sheet!$E$2:$E$3143, ISNUMBER(
Master_Mapping_S"&amp;"heet!$E$2:$E$3143),
Master_Mapping_Sheet!$C$2:$C$3143=AL$1))), 0, sum(filter(
Master_Mapping_Sheet!$E$2:$E$3143, ISNUMBER(
Master_Mapping_Sheet!$E$2:$E$3143),
Master_Mapping_Sheet!$C$2:$C$3143=AL$1,
Master_Mapping_Sheet!$H$2:$H$3143=$A20))/sum(filter(
Mas"&amp;"ter_Mapping_Sheet!$E$2:$E$3143, ISNUMBER(
Master_Mapping_Sheet!$E$2:$E$3143),
Master_Mapping_Sheet!$C$2:$C$3143=AL$1)))"),0.0)</f>
        <v>0</v>
      </c>
      <c r="AM20" s="34">
        <f>IFERROR(__xludf.DUMMYFUNCTION("IF(ISNA(sum(filter(
Master_Mapping_Sheet!$E$2:$E$3143, ISNUMBER(
Master_Mapping_Sheet!$E$2:$E$3143),
Master_Mapping_Sheet!$C$2:$C$3143=AM$1,
Master_Mapping_Sheet!$H$2:$H$3143=$A20))/sum(filter(
Master_Mapping_Sheet!$E$2:$E$3143, ISNUMBER(
Master_Mapping_S"&amp;"heet!$E$2:$E$3143),
Master_Mapping_Sheet!$C$2:$C$3143=AM$1))), 0, sum(filter(
Master_Mapping_Sheet!$E$2:$E$3143, ISNUMBER(
Master_Mapping_Sheet!$E$2:$E$3143),
Master_Mapping_Sheet!$C$2:$C$3143=AM$1,
Master_Mapping_Sheet!$H$2:$H$3143=$A20))/sum(filter(
Mas"&amp;"ter_Mapping_Sheet!$E$2:$E$3143, ISNUMBER(
Master_Mapping_Sheet!$E$2:$E$3143),
Master_Mapping_Sheet!$C$2:$C$3143=AM$1)))"),0.0)</f>
        <v>0</v>
      </c>
      <c r="AN20" s="34">
        <f>IFERROR(__xludf.DUMMYFUNCTION("IF(ISNA(sum(filter(
Master_Mapping_Sheet!$E$2:$E$3143, ISNUMBER(
Master_Mapping_Sheet!$E$2:$E$3143),
Master_Mapping_Sheet!$C$2:$C$3143=AN$1,
Master_Mapping_Sheet!$H$2:$H$3143=$A20))/sum(filter(
Master_Mapping_Sheet!$E$2:$E$3143, ISNUMBER(
Master_Mapping_S"&amp;"heet!$E$2:$E$3143),
Master_Mapping_Sheet!$C$2:$C$3143=AN$1))), 0, sum(filter(
Master_Mapping_Sheet!$E$2:$E$3143, ISNUMBER(
Master_Mapping_Sheet!$E$2:$E$3143),
Master_Mapping_Sheet!$C$2:$C$3143=AN$1,
Master_Mapping_Sheet!$H$2:$H$3143=$A20))/sum(filter(
Mas"&amp;"ter_Mapping_Sheet!$E$2:$E$3143, ISNUMBER(
Master_Mapping_Sheet!$E$2:$E$3143),
Master_Mapping_Sheet!$C$2:$C$3143=AN$1)))"),0.0)</f>
        <v>0</v>
      </c>
      <c r="AO20" s="34">
        <f>IFERROR(__xludf.DUMMYFUNCTION("IF(ISNA(sum(filter(
Master_Mapping_Sheet!$E$2:$E$3143, ISNUMBER(
Master_Mapping_Sheet!$E$2:$E$3143),
Master_Mapping_Sheet!$C$2:$C$3143=AO$1,
Master_Mapping_Sheet!$H$2:$H$3143=$A20))/sum(filter(
Master_Mapping_Sheet!$E$2:$E$3143, ISNUMBER(
Master_Mapping_S"&amp;"heet!$E$2:$E$3143),
Master_Mapping_Sheet!$C$2:$C$3143=AO$1))), 0, sum(filter(
Master_Mapping_Sheet!$E$2:$E$3143, ISNUMBER(
Master_Mapping_Sheet!$E$2:$E$3143),
Master_Mapping_Sheet!$C$2:$C$3143=AO$1,
Master_Mapping_Sheet!$H$2:$H$3143=$A20))/sum(filter(
Mas"&amp;"ter_Mapping_Sheet!$E$2:$E$3143, ISNUMBER(
Master_Mapping_Sheet!$E$2:$E$3143),
Master_Mapping_Sheet!$C$2:$C$3143=AO$1)))"),0.0)</f>
        <v>0</v>
      </c>
      <c r="AP20" s="34">
        <f>IFERROR(__xludf.DUMMYFUNCTION("IF(ISNA(sum(filter(
Master_Mapping_Sheet!$E$2:$E$3143, ISNUMBER(
Master_Mapping_Sheet!$E$2:$E$3143),
Master_Mapping_Sheet!$C$2:$C$3143=AP$1,
Master_Mapping_Sheet!$H$2:$H$3143=$A20))/sum(filter(
Master_Mapping_Sheet!$E$2:$E$3143, ISNUMBER(
Master_Mapping_S"&amp;"heet!$E$2:$E$3143),
Master_Mapping_Sheet!$C$2:$C$3143=AP$1))), 0, sum(filter(
Master_Mapping_Sheet!$E$2:$E$3143, ISNUMBER(
Master_Mapping_Sheet!$E$2:$E$3143),
Master_Mapping_Sheet!$C$2:$C$3143=AP$1,
Master_Mapping_Sheet!$H$2:$H$3143=$A20))/sum(filter(
Mas"&amp;"ter_Mapping_Sheet!$E$2:$E$3143, ISNUMBER(
Master_Mapping_Sheet!$E$2:$E$3143),
Master_Mapping_Sheet!$C$2:$C$3143=AP$1)))"),0.0)</f>
        <v>0</v>
      </c>
      <c r="AQ20" s="34">
        <f>IFERROR(__xludf.DUMMYFUNCTION("IF(ISNA(sum(filter(
Master_Mapping_Sheet!$E$2:$E$3143, ISNUMBER(
Master_Mapping_Sheet!$E$2:$E$3143),
Master_Mapping_Sheet!$C$2:$C$3143=AQ$1,
Master_Mapping_Sheet!$H$2:$H$3143=$A20))/sum(filter(
Master_Mapping_Sheet!$E$2:$E$3143, ISNUMBER(
Master_Mapping_S"&amp;"heet!$E$2:$E$3143),
Master_Mapping_Sheet!$C$2:$C$3143=AQ$1))), 0, sum(filter(
Master_Mapping_Sheet!$E$2:$E$3143, ISNUMBER(
Master_Mapping_Sheet!$E$2:$E$3143),
Master_Mapping_Sheet!$C$2:$C$3143=AQ$1,
Master_Mapping_Sheet!$H$2:$H$3143=$A20))/sum(filter(
Mas"&amp;"ter_Mapping_Sheet!$E$2:$E$3143, ISNUMBER(
Master_Mapping_Sheet!$E$2:$E$3143),
Master_Mapping_Sheet!$C$2:$C$3143=AQ$1)))"),0.9397096543307104)</f>
        <v>0.9397096543</v>
      </c>
      <c r="AR20" s="34">
        <f>IFERROR(__xludf.DUMMYFUNCTION("IF(ISNA(sum(filter(
Master_Mapping_Sheet!$E$2:$E$3143, ISNUMBER(
Master_Mapping_Sheet!$E$2:$E$3143),
Master_Mapping_Sheet!$C$2:$C$3143=AR$1,
Master_Mapping_Sheet!$H$2:$H$3143=$A20))/sum(filter(
Master_Mapping_Sheet!$E$2:$E$3143, ISNUMBER(
Master_Mapping_S"&amp;"heet!$E$2:$E$3143),
Master_Mapping_Sheet!$C$2:$C$3143=AR$1))), 0, sum(filter(
Master_Mapping_Sheet!$E$2:$E$3143, ISNUMBER(
Master_Mapping_Sheet!$E$2:$E$3143),
Master_Mapping_Sheet!$C$2:$C$3143=AR$1,
Master_Mapping_Sheet!$H$2:$H$3143=$A20))/sum(filter(
Mas"&amp;"ter_Mapping_Sheet!$E$2:$E$3143, ISNUMBER(
Master_Mapping_Sheet!$E$2:$E$3143),
Master_Mapping_Sheet!$C$2:$C$3143=AR$1)))"),0.0)</f>
        <v>0</v>
      </c>
      <c r="AS20" s="34">
        <f>IFERROR(__xludf.DUMMYFUNCTION("IF(ISNA(sum(filter(
Master_Mapping_Sheet!$E$2:$E$3143, ISNUMBER(
Master_Mapping_Sheet!$E$2:$E$3143),
Master_Mapping_Sheet!$C$2:$C$3143=AS$1,
Master_Mapping_Sheet!$H$2:$H$3143=$A20))/sum(filter(
Master_Mapping_Sheet!$E$2:$E$3143, ISNUMBER(
Master_Mapping_S"&amp;"heet!$E$2:$E$3143),
Master_Mapping_Sheet!$C$2:$C$3143=AS$1))), 0, sum(filter(
Master_Mapping_Sheet!$E$2:$E$3143, ISNUMBER(
Master_Mapping_Sheet!$E$2:$E$3143),
Master_Mapping_Sheet!$C$2:$C$3143=AS$1,
Master_Mapping_Sheet!$H$2:$H$3143=$A20))/sum(filter(
Mas"&amp;"ter_Mapping_Sheet!$E$2:$E$3143, ISNUMBER(
Master_Mapping_Sheet!$E$2:$E$3143),
Master_Mapping_Sheet!$C$2:$C$3143=AS$1)))"),0.0)</f>
        <v>0</v>
      </c>
      <c r="AT20" s="34">
        <f>IFERROR(__xludf.DUMMYFUNCTION("IF(ISNA(sum(filter(
Master_Mapping_Sheet!$E$2:$E$3143, ISNUMBER(
Master_Mapping_Sheet!$E$2:$E$3143),
Master_Mapping_Sheet!$C$2:$C$3143=AT$1,
Master_Mapping_Sheet!$H$2:$H$3143=$A20))/sum(filter(
Master_Mapping_Sheet!$E$2:$E$3143, ISNUMBER(
Master_Mapping_S"&amp;"heet!$E$2:$E$3143),
Master_Mapping_Sheet!$C$2:$C$3143=AT$1))), 0, sum(filter(
Master_Mapping_Sheet!$E$2:$E$3143, ISNUMBER(
Master_Mapping_Sheet!$E$2:$E$3143),
Master_Mapping_Sheet!$C$2:$C$3143=AT$1,
Master_Mapping_Sheet!$H$2:$H$3143=$A20))/sum(filter(
Mas"&amp;"ter_Mapping_Sheet!$E$2:$E$3143, ISNUMBER(
Master_Mapping_Sheet!$E$2:$E$3143),
Master_Mapping_Sheet!$C$2:$C$3143=AT$1)))"),0.0)</f>
        <v>0</v>
      </c>
      <c r="AU20" s="34">
        <f>IFERROR(__xludf.DUMMYFUNCTION("IF(ISNA(sum(filter(
Master_Mapping_Sheet!$E$2:$E$3143, ISNUMBER(
Master_Mapping_Sheet!$E$2:$E$3143),
Master_Mapping_Sheet!$C$2:$C$3143=AU$1,
Master_Mapping_Sheet!$H$2:$H$3143=$A20))/sum(filter(
Master_Mapping_Sheet!$E$2:$E$3143, ISNUMBER(
Master_Mapping_S"&amp;"heet!$E$2:$E$3143),
Master_Mapping_Sheet!$C$2:$C$3143=AU$1))), 0, sum(filter(
Master_Mapping_Sheet!$E$2:$E$3143, ISNUMBER(
Master_Mapping_Sheet!$E$2:$E$3143),
Master_Mapping_Sheet!$C$2:$C$3143=AU$1,
Master_Mapping_Sheet!$H$2:$H$3143=$A20))/sum(filter(
Mas"&amp;"ter_Mapping_Sheet!$E$2:$E$3143, ISNUMBER(
Master_Mapping_Sheet!$E$2:$E$3143),
Master_Mapping_Sheet!$C$2:$C$3143=AU$1)))"),0.0)</f>
        <v>0</v>
      </c>
      <c r="AV20" s="34">
        <f>IFERROR(__xludf.DUMMYFUNCTION("IF(ISNA(sum(filter(
Master_Mapping_Sheet!$E$2:$E$3143, ISNUMBER(
Master_Mapping_Sheet!$E$2:$E$3143),
Master_Mapping_Sheet!$C$2:$C$3143=AV$1,
Master_Mapping_Sheet!$H$2:$H$3143=$A20))/sum(filter(
Master_Mapping_Sheet!$E$2:$E$3143, ISNUMBER(
Master_Mapping_S"&amp;"heet!$E$2:$E$3143),
Master_Mapping_Sheet!$C$2:$C$3143=AV$1))), 0, sum(filter(
Master_Mapping_Sheet!$E$2:$E$3143, ISNUMBER(
Master_Mapping_Sheet!$E$2:$E$3143),
Master_Mapping_Sheet!$C$2:$C$3143=AV$1,
Master_Mapping_Sheet!$H$2:$H$3143=$A20))/sum(filter(
Mas"&amp;"ter_Mapping_Sheet!$E$2:$E$3143, ISNUMBER(
Master_Mapping_Sheet!$E$2:$E$3143),
Master_Mapping_Sheet!$C$2:$C$3143=AV$1)))"),0.0)</f>
        <v>0</v>
      </c>
      <c r="AW20" s="34">
        <f>IFERROR(__xludf.DUMMYFUNCTION("IF(ISNA(sum(filter(
Master_Mapping_Sheet!$E$2:$E$3143, ISNUMBER(
Master_Mapping_Sheet!$E$2:$E$3143),
Master_Mapping_Sheet!$C$2:$C$3143=AW$1,
Master_Mapping_Sheet!$H$2:$H$3143=$A20))/sum(filter(
Master_Mapping_Sheet!$E$2:$E$3143, ISNUMBER(
Master_Mapping_S"&amp;"heet!$E$2:$E$3143),
Master_Mapping_Sheet!$C$2:$C$3143=AW$1))), 0, sum(filter(
Master_Mapping_Sheet!$E$2:$E$3143, ISNUMBER(
Master_Mapping_Sheet!$E$2:$E$3143),
Master_Mapping_Sheet!$C$2:$C$3143=AW$1,
Master_Mapping_Sheet!$H$2:$H$3143=$A20))/sum(filter(
Mas"&amp;"ter_Mapping_Sheet!$E$2:$E$3143, ISNUMBER(
Master_Mapping_Sheet!$E$2:$E$3143),
Master_Mapping_Sheet!$C$2:$C$3143=AW$1)))"),0.0)</f>
        <v>0</v>
      </c>
      <c r="AX20" s="34">
        <f>IFERROR(__xludf.DUMMYFUNCTION("IF(ISNA(sum(filter(
Master_Mapping_Sheet!$E$2:$E$3143, ISNUMBER(
Master_Mapping_Sheet!$E$2:$E$3143),
Master_Mapping_Sheet!$C$2:$C$3143=AX$1,
Master_Mapping_Sheet!$H$2:$H$3143=$A20))/sum(filter(
Master_Mapping_Sheet!$E$2:$E$3143, ISNUMBER(
Master_Mapping_S"&amp;"heet!$E$2:$E$3143),
Master_Mapping_Sheet!$C$2:$C$3143=AX$1))), 0, sum(filter(
Master_Mapping_Sheet!$E$2:$E$3143, ISNUMBER(
Master_Mapping_Sheet!$E$2:$E$3143),
Master_Mapping_Sheet!$C$2:$C$3143=AX$1,
Master_Mapping_Sheet!$H$2:$H$3143=$A20))/sum(filter(
Mas"&amp;"ter_Mapping_Sheet!$E$2:$E$3143, ISNUMBER(
Master_Mapping_Sheet!$E$2:$E$3143),
Master_Mapping_Sheet!$C$2:$C$3143=AX$1)))"),0.0)</f>
        <v>0</v>
      </c>
      <c r="AY20" s="34">
        <f>IFERROR(__xludf.DUMMYFUNCTION("IF(ISNA(sum(filter(
Master_Mapping_Sheet!$E$2:$E$3143, ISNUMBER(
Master_Mapping_Sheet!$E$2:$E$3143),
Master_Mapping_Sheet!$C$2:$C$3143=AY$1,
Master_Mapping_Sheet!$H$2:$H$3143=$A20))/sum(filter(
Master_Mapping_Sheet!$E$2:$E$3143, ISNUMBER(
Master_Mapping_S"&amp;"heet!$E$2:$E$3143),
Master_Mapping_Sheet!$C$2:$C$3143=AY$1))), 0, sum(filter(
Master_Mapping_Sheet!$E$2:$E$3143, ISNUMBER(
Master_Mapping_Sheet!$E$2:$E$3143),
Master_Mapping_Sheet!$C$2:$C$3143=AY$1,
Master_Mapping_Sheet!$H$2:$H$3143=$A20))/sum(filter(
Mas"&amp;"ter_Mapping_Sheet!$E$2:$E$3143, ISNUMBER(
Master_Mapping_Sheet!$E$2:$E$3143),
Master_Mapping_Sheet!$C$2:$C$3143=AY$1)))"),0.0)</f>
        <v>0</v>
      </c>
      <c r="AZ20" s="34">
        <f>IFERROR(__xludf.DUMMYFUNCTION("IF(ISNA(sum(filter(
Master_Mapping_Sheet!$E$2:$E$3143, ISNUMBER(
Master_Mapping_Sheet!$E$2:$E$3143),
Master_Mapping_Sheet!$C$2:$C$3143=AZ$1,
Master_Mapping_Sheet!$H$2:$H$3143=$A20))/sum(filter(
Master_Mapping_Sheet!$E$2:$E$3143, ISNUMBER(
Master_Mapping_S"&amp;"heet!$E$2:$E$3143),
Master_Mapping_Sheet!$C$2:$C$3143=AZ$1))), 0, sum(filter(
Master_Mapping_Sheet!$E$2:$E$3143, ISNUMBER(
Master_Mapping_Sheet!$E$2:$E$3143),
Master_Mapping_Sheet!$C$2:$C$3143=AZ$1,
Master_Mapping_Sheet!$H$2:$H$3143=$A20))/sum(filter(
Mas"&amp;"ter_Mapping_Sheet!$E$2:$E$3143, ISNUMBER(
Master_Mapping_Sheet!$E$2:$E$3143),
Master_Mapping_Sheet!$C$2:$C$3143=AZ$1)))"),0.0)</f>
        <v>0</v>
      </c>
    </row>
    <row r="21" ht="15.75" customHeight="1">
      <c r="A21" s="34" t="s">
        <v>3972</v>
      </c>
      <c r="B21" s="34">
        <f>IFERROR(__xludf.DUMMYFUNCTION("IF(ISNA(sum(filter(
Master_Mapping_Sheet!$E$2:$E$3143, ISNUMBER(
Master_Mapping_Sheet!$E$2:$E$3143),
Master_Mapping_Sheet!$C$2:$C$3143=B$1,
Master_Mapping_Sheet!$H$2:$H$3143=$A21))/sum(filter(
Master_Mapping_Sheet!$E$2:$E$3143, ISNUMBER(
Master_Mapping_Sh"&amp;"eet!$E$2:$E$3143),
Master_Mapping_Sheet!$C$2:$C$3143=B$1))), 0, sum(filter(
Master_Mapping_Sheet!$E$2:$E$3143, ISNUMBER(
Master_Mapping_Sheet!$E$2:$E$3143),
Master_Mapping_Sheet!$C$2:$C$3143=B$1,
Master_Mapping_Sheet!$H$2:$H$3143=$A21))/sum(filter(
Master"&amp;"_Mapping_Sheet!$E$2:$E$3143, ISNUMBER(
Master_Mapping_Sheet!$E$2:$E$3143),
Master_Mapping_Sheet!$C$2:$C$3143=B$1)))"),0.0)</f>
        <v>0</v>
      </c>
      <c r="C21" s="34">
        <f>IFERROR(__xludf.DUMMYFUNCTION("IF(ISNA(sum(filter(
Master_Mapping_Sheet!$E$2:$E$3143, ISNUMBER(
Master_Mapping_Sheet!$E$2:$E$3143),
Master_Mapping_Sheet!$C$2:$C$3143=C$1,
Master_Mapping_Sheet!$H$2:$H$3143=$A21))/sum(filter(
Master_Mapping_Sheet!$E$2:$E$3143, ISNUMBER(
Master_Mapping_Sh"&amp;"eet!$E$2:$E$3143),
Master_Mapping_Sheet!$C$2:$C$3143=C$1))), 0, sum(filter(
Master_Mapping_Sheet!$E$2:$E$3143, ISNUMBER(
Master_Mapping_Sheet!$E$2:$E$3143),
Master_Mapping_Sheet!$C$2:$C$3143=C$1,
Master_Mapping_Sheet!$H$2:$H$3143=$A21))/sum(filter(
Master"&amp;"_Mapping_Sheet!$E$2:$E$3143, ISNUMBER(
Master_Mapping_Sheet!$E$2:$E$3143),
Master_Mapping_Sheet!$C$2:$C$3143=C$1)))"),0.0)</f>
        <v>0</v>
      </c>
      <c r="D21" s="34">
        <f>IFERROR(__xludf.DUMMYFUNCTION("IF(ISNA(sum(filter(
Master_Mapping_Sheet!$E$2:$E$3143, ISNUMBER(
Master_Mapping_Sheet!$E$2:$E$3143),
Master_Mapping_Sheet!$C$2:$C$3143=D$1,
Master_Mapping_Sheet!$H$2:$H$3143=$A21))/sum(filter(
Master_Mapping_Sheet!$E$2:$E$3143, ISNUMBER(
Master_Mapping_Sh"&amp;"eet!$E$2:$E$3143),
Master_Mapping_Sheet!$C$2:$C$3143=D$1))), 0, sum(filter(
Master_Mapping_Sheet!$E$2:$E$3143, ISNUMBER(
Master_Mapping_Sheet!$E$2:$E$3143),
Master_Mapping_Sheet!$C$2:$C$3143=D$1,
Master_Mapping_Sheet!$H$2:$H$3143=$A21))/sum(filter(
Master"&amp;"_Mapping_Sheet!$E$2:$E$3143, ISNUMBER(
Master_Mapping_Sheet!$E$2:$E$3143),
Master_Mapping_Sheet!$C$2:$C$3143=D$1)))"),1.0)</f>
        <v>1</v>
      </c>
      <c r="E21" s="34">
        <f>IFERROR(__xludf.DUMMYFUNCTION("IF(ISNA(sum(filter(
Master_Mapping_Sheet!$E$2:$E$3143, ISNUMBER(
Master_Mapping_Sheet!$E$2:$E$3143),
Master_Mapping_Sheet!$C$2:$C$3143=E$1,
Master_Mapping_Sheet!$H$2:$H$3143=$A21))/sum(filter(
Master_Mapping_Sheet!$E$2:$E$3143, ISNUMBER(
Master_Mapping_Sh"&amp;"eet!$E$2:$E$3143),
Master_Mapping_Sheet!$C$2:$C$3143=E$1))), 0, sum(filter(
Master_Mapping_Sheet!$E$2:$E$3143, ISNUMBER(
Master_Mapping_Sheet!$E$2:$E$3143),
Master_Mapping_Sheet!$C$2:$C$3143=E$1,
Master_Mapping_Sheet!$H$2:$H$3143=$A21))/sum(filter(
Master"&amp;"_Mapping_Sheet!$E$2:$E$3143, ISNUMBER(
Master_Mapping_Sheet!$E$2:$E$3143),
Master_Mapping_Sheet!$C$2:$C$3143=E$1)))"),0.0)</f>
        <v>0</v>
      </c>
      <c r="F21" s="34">
        <f>IFERROR(__xludf.DUMMYFUNCTION("IF(ISNA(sum(filter(
Master_Mapping_Sheet!$E$2:$E$3143, ISNUMBER(
Master_Mapping_Sheet!$E$2:$E$3143),
Master_Mapping_Sheet!$C$2:$C$3143=F$1,
Master_Mapping_Sheet!$H$2:$H$3143=$A21))/sum(filter(
Master_Mapping_Sheet!$E$2:$E$3143, ISNUMBER(
Master_Mapping_Sh"&amp;"eet!$E$2:$E$3143),
Master_Mapping_Sheet!$C$2:$C$3143=F$1))), 0, sum(filter(
Master_Mapping_Sheet!$E$2:$E$3143, ISNUMBER(
Master_Mapping_Sheet!$E$2:$E$3143),
Master_Mapping_Sheet!$C$2:$C$3143=F$1,
Master_Mapping_Sheet!$H$2:$H$3143=$A21))/sum(filter(
Master"&amp;"_Mapping_Sheet!$E$2:$E$3143, ISNUMBER(
Master_Mapping_Sheet!$E$2:$E$3143),
Master_Mapping_Sheet!$C$2:$C$3143=F$1)))"),0.004595306380235304)</f>
        <v>0.00459530638</v>
      </c>
      <c r="G21" s="34">
        <f>IFERROR(__xludf.DUMMYFUNCTION("IF(ISNA(sum(filter(
Master_Mapping_Sheet!$E$2:$E$3143, ISNUMBER(
Master_Mapping_Sheet!$E$2:$E$3143),
Master_Mapping_Sheet!$C$2:$C$3143=G$1,
Master_Mapping_Sheet!$H$2:$H$3143=$A21))/sum(filter(
Master_Mapping_Sheet!$E$2:$E$3143, ISNUMBER(
Master_Mapping_Sh"&amp;"eet!$E$2:$E$3143),
Master_Mapping_Sheet!$C$2:$C$3143=G$1))), 0, sum(filter(
Master_Mapping_Sheet!$E$2:$E$3143, ISNUMBER(
Master_Mapping_Sheet!$E$2:$E$3143),
Master_Mapping_Sheet!$C$2:$C$3143=G$1,
Master_Mapping_Sheet!$H$2:$H$3143=$A21))/sum(filter(
Master"&amp;"_Mapping_Sheet!$E$2:$E$3143, ISNUMBER(
Master_Mapping_Sheet!$E$2:$E$3143),
Master_Mapping_Sheet!$C$2:$C$3143=G$1)))"),0.0)</f>
        <v>0</v>
      </c>
      <c r="H21" s="34">
        <f>IFERROR(__xludf.DUMMYFUNCTION("IF(ISNA(sum(filter(
Master_Mapping_Sheet!$E$2:$E$3143, ISNUMBER(
Master_Mapping_Sheet!$E$2:$E$3143),
Master_Mapping_Sheet!$C$2:$C$3143=H$1,
Master_Mapping_Sheet!$H$2:$H$3143=$A21))/sum(filter(
Master_Mapping_Sheet!$E$2:$E$3143, ISNUMBER(
Master_Mapping_Sh"&amp;"eet!$E$2:$E$3143),
Master_Mapping_Sheet!$C$2:$C$3143=H$1))), 0, sum(filter(
Master_Mapping_Sheet!$E$2:$E$3143, ISNUMBER(
Master_Mapping_Sheet!$E$2:$E$3143),
Master_Mapping_Sheet!$C$2:$C$3143=H$1,
Master_Mapping_Sheet!$H$2:$H$3143=$A21))/sum(filter(
Master"&amp;"_Mapping_Sheet!$E$2:$E$3143, ISNUMBER(
Master_Mapping_Sheet!$E$2:$E$3143),
Master_Mapping_Sheet!$C$2:$C$3143=H$1)))"),0.0)</f>
        <v>0</v>
      </c>
      <c r="I21" s="34">
        <f>IFERROR(__xludf.DUMMYFUNCTION("IF(ISNA(sum(filter(
Master_Mapping_Sheet!$E$2:$E$3143, ISNUMBER(
Master_Mapping_Sheet!$E$2:$E$3143),
Master_Mapping_Sheet!$C$2:$C$3143=I$1,
Master_Mapping_Sheet!$H$2:$H$3143=$A21))/sum(filter(
Master_Mapping_Sheet!$E$2:$E$3143, ISNUMBER(
Master_Mapping_Sh"&amp;"eet!$E$2:$E$3143),
Master_Mapping_Sheet!$C$2:$C$3143=I$1))), 0, sum(filter(
Master_Mapping_Sheet!$E$2:$E$3143, ISNUMBER(
Master_Mapping_Sheet!$E$2:$E$3143),
Master_Mapping_Sheet!$C$2:$C$3143=I$1,
Master_Mapping_Sheet!$H$2:$H$3143=$A21))/sum(filter(
Master"&amp;"_Mapping_Sheet!$E$2:$E$3143, ISNUMBER(
Master_Mapping_Sheet!$E$2:$E$3143),
Master_Mapping_Sheet!$C$2:$C$3143=I$1)))"),0.0)</f>
        <v>0</v>
      </c>
      <c r="J21" s="34">
        <f>IFERROR(__xludf.DUMMYFUNCTION("IF(ISNA(sum(filter(
Master_Mapping_Sheet!$E$2:$E$3143, ISNUMBER(
Master_Mapping_Sheet!$E$2:$E$3143),
Master_Mapping_Sheet!$C$2:$C$3143=J$1,
Master_Mapping_Sheet!$H$2:$H$3143=$A21))/sum(filter(
Master_Mapping_Sheet!$E$2:$E$3143, ISNUMBER(
Master_Mapping_Sh"&amp;"eet!$E$2:$E$3143),
Master_Mapping_Sheet!$C$2:$C$3143=J$1))), 0, sum(filter(
Master_Mapping_Sheet!$E$2:$E$3143, ISNUMBER(
Master_Mapping_Sheet!$E$2:$E$3143),
Master_Mapping_Sheet!$C$2:$C$3143=J$1,
Master_Mapping_Sheet!$H$2:$H$3143=$A21))/sum(filter(
Master"&amp;"_Mapping_Sheet!$E$2:$E$3143, ISNUMBER(
Master_Mapping_Sheet!$E$2:$E$3143),
Master_Mapping_Sheet!$C$2:$C$3143=J$1)))"),0.0)</f>
        <v>0</v>
      </c>
      <c r="K21" s="34">
        <f>IFERROR(__xludf.DUMMYFUNCTION("IF(ISNA(sum(filter(
Master_Mapping_Sheet!$E$2:$E$3143, ISNUMBER(
Master_Mapping_Sheet!$E$2:$E$3143),
Master_Mapping_Sheet!$C$2:$C$3143=K$1,
Master_Mapping_Sheet!$H$2:$H$3143=$A21))/sum(filter(
Master_Mapping_Sheet!$E$2:$E$3143, ISNUMBER(
Master_Mapping_Sh"&amp;"eet!$E$2:$E$3143),
Master_Mapping_Sheet!$C$2:$C$3143=K$1))), 0, sum(filter(
Master_Mapping_Sheet!$E$2:$E$3143, ISNUMBER(
Master_Mapping_Sheet!$E$2:$E$3143),
Master_Mapping_Sheet!$C$2:$C$3143=K$1,
Master_Mapping_Sheet!$H$2:$H$3143=$A21))/sum(filter(
Master"&amp;"_Mapping_Sheet!$E$2:$E$3143, ISNUMBER(
Master_Mapping_Sheet!$E$2:$E$3143),
Master_Mapping_Sheet!$C$2:$C$3143=K$1)))"),0.0)</f>
        <v>0</v>
      </c>
      <c r="L21" s="34">
        <f>IFERROR(__xludf.DUMMYFUNCTION("IF(ISNA(sum(filter(
Master_Mapping_Sheet!$E$2:$E$3143, ISNUMBER(
Master_Mapping_Sheet!$E$2:$E$3143),
Master_Mapping_Sheet!$C$2:$C$3143=L$1,
Master_Mapping_Sheet!$H$2:$H$3143=$A21))/sum(filter(
Master_Mapping_Sheet!$E$2:$E$3143, ISNUMBER(
Master_Mapping_Sh"&amp;"eet!$E$2:$E$3143),
Master_Mapping_Sheet!$C$2:$C$3143=L$1))), 0, sum(filter(
Master_Mapping_Sheet!$E$2:$E$3143, ISNUMBER(
Master_Mapping_Sheet!$E$2:$E$3143),
Master_Mapping_Sheet!$C$2:$C$3143=L$1,
Master_Mapping_Sheet!$H$2:$H$3143=$A21))/sum(filter(
Master"&amp;"_Mapping_Sheet!$E$2:$E$3143, ISNUMBER(
Master_Mapping_Sheet!$E$2:$E$3143),
Master_Mapping_Sheet!$C$2:$C$3143=L$1)))"),0.0)</f>
        <v>0</v>
      </c>
      <c r="M21" s="34">
        <f>IFERROR(__xludf.DUMMYFUNCTION("IF(ISNA(sum(filter(
Master_Mapping_Sheet!$E$2:$E$3143, ISNUMBER(
Master_Mapping_Sheet!$E$2:$E$3143),
Master_Mapping_Sheet!$C$2:$C$3143=M$1,
Master_Mapping_Sheet!$H$2:$H$3143=$A21))/sum(filter(
Master_Mapping_Sheet!$E$2:$E$3143, ISNUMBER(
Master_Mapping_Sh"&amp;"eet!$E$2:$E$3143),
Master_Mapping_Sheet!$C$2:$C$3143=M$1))), 0, sum(filter(
Master_Mapping_Sheet!$E$2:$E$3143, ISNUMBER(
Master_Mapping_Sheet!$E$2:$E$3143),
Master_Mapping_Sheet!$C$2:$C$3143=M$1,
Master_Mapping_Sheet!$H$2:$H$3143=$A21))/sum(filter(
Master"&amp;"_Mapping_Sheet!$E$2:$E$3143, ISNUMBER(
Master_Mapping_Sheet!$E$2:$E$3143),
Master_Mapping_Sheet!$C$2:$C$3143=M$1)))"),0.0)</f>
        <v>0</v>
      </c>
      <c r="N21" s="34">
        <f>IFERROR(__xludf.DUMMYFUNCTION("IF(ISNA(sum(filter(
Master_Mapping_Sheet!$E$2:$E$3143, ISNUMBER(
Master_Mapping_Sheet!$E$2:$E$3143),
Master_Mapping_Sheet!$C$2:$C$3143=N$1,
Master_Mapping_Sheet!$H$2:$H$3143=$A21))/sum(filter(
Master_Mapping_Sheet!$E$2:$E$3143, ISNUMBER(
Master_Mapping_Sh"&amp;"eet!$E$2:$E$3143),
Master_Mapping_Sheet!$C$2:$C$3143=N$1))), 0, sum(filter(
Master_Mapping_Sheet!$E$2:$E$3143, ISNUMBER(
Master_Mapping_Sheet!$E$2:$E$3143),
Master_Mapping_Sheet!$C$2:$C$3143=N$1,
Master_Mapping_Sheet!$H$2:$H$3143=$A21))/sum(filter(
Master"&amp;"_Mapping_Sheet!$E$2:$E$3143, ISNUMBER(
Master_Mapping_Sheet!$E$2:$E$3143),
Master_Mapping_Sheet!$C$2:$C$3143=N$1)))"),0.0)</f>
        <v>0</v>
      </c>
      <c r="O21" s="34">
        <f>IFERROR(__xludf.DUMMYFUNCTION("IF(ISNA(sum(filter(
Master_Mapping_Sheet!$E$2:$E$3143, ISNUMBER(
Master_Mapping_Sheet!$E$2:$E$3143),
Master_Mapping_Sheet!$C$2:$C$3143=O$1,
Master_Mapping_Sheet!$H$2:$H$3143=$A21))/sum(filter(
Master_Mapping_Sheet!$E$2:$E$3143, ISNUMBER(
Master_Mapping_Sh"&amp;"eet!$E$2:$E$3143),
Master_Mapping_Sheet!$C$2:$C$3143=O$1))), 0, sum(filter(
Master_Mapping_Sheet!$E$2:$E$3143, ISNUMBER(
Master_Mapping_Sheet!$E$2:$E$3143),
Master_Mapping_Sheet!$C$2:$C$3143=O$1,
Master_Mapping_Sheet!$H$2:$H$3143=$A21))/sum(filter(
Master"&amp;"_Mapping_Sheet!$E$2:$E$3143, ISNUMBER(
Master_Mapping_Sheet!$E$2:$E$3143),
Master_Mapping_Sheet!$C$2:$C$3143=O$1)))"),0.0)</f>
        <v>0</v>
      </c>
      <c r="P21" s="34">
        <f>IFERROR(__xludf.DUMMYFUNCTION("IF(ISNA(sum(filter(
Master_Mapping_Sheet!$E$2:$E$3143, ISNUMBER(
Master_Mapping_Sheet!$E$2:$E$3143),
Master_Mapping_Sheet!$C$2:$C$3143=P$1,
Master_Mapping_Sheet!$H$2:$H$3143=$A21))/sum(filter(
Master_Mapping_Sheet!$E$2:$E$3143, ISNUMBER(
Master_Mapping_Sh"&amp;"eet!$E$2:$E$3143),
Master_Mapping_Sheet!$C$2:$C$3143=P$1))), 0, sum(filter(
Master_Mapping_Sheet!$E$2:$E$3143, ISNUMBER(
Master_Mapping_Sheet!$E$2:$E$3143),
Master_Mapping_Sheet!$C$2:$C$3143=P$1,
Master_Mapping_Sheet!$H$2:$H$3143=$A21))/sum(filter(
Master"&amp;"_Mapping_Sheet!$E$2:$E$3143, ISNUMBER(
Master_Mapping_Sheet!$E$2:$E$3143),
Master_Mapping_Sheet!$C$2:$C$3143=P$1)))"),0.0)</f>
        <v>0</v>
      </c>
      <c r="Q21" s="34">
        <f>IFERROR(__xludf.DUMMYFUNCTION("IF(ISNA(sum(filter(
Master_Mapping_Sheet!$E$2:$E$3143, ISNUMBER(
Master_Mapping_Sheet!$E$2:$E$3143),
Master_Mapping_Sheet!$C$2:$C$3143=Q$1,
Master_Mapping_Sheet!$H$2:$H$3143=$A21))/sum(filter(
Master_Mapping_Sheet!$E$2:$E$3143, ISNUMBER(
Master_Mapping_Sh"&amp;"eet!$E$2:$E$3143),
Master_Mapping_Sheet!$C$2:$C$3143=Q$1))), 0, sum(filter(
Master_Mapping_Sheet!$E$2:$E$3143, ISNUMBER(
Master_Mapping_Sheet!$E$2:$E$3143),
Master_Mapping_Sheet!$C$2:$C$3143=Q$1,
Master_Mapping_Sheet!$H$2:$H$3143=$A21))/sum(filter(
Master"&amp;"_Mapping_Sheet!$E$2:$E$3143, ISNUMBER(
Master_Mapping_Sheet!$E$2:$E$3143),
Master_Mapping_Sheet!$C$2:$C$3143=Q$1)))"),0.0)</f>
        <v>0</v>
      </c>
      <c r="R21" s="34">
        <f>IFERROR(__xludf.DUMMYFUNCTION("IF(ISNA(sum(filter(
Master_Mapping_Sheet!$E$2:$E$3143, ISNUMBER(
Master_Mapping_Sheet!$E$2:$E$3143),
Master_Mapping_Sheet!$C$2:$C$3143=R$1,
Master_Mapping_Sheet!$H$2:$H$3143=$A21))/sum(filter(
Master_Mapping_Sheet!$E$2:$E$3143, ISNUMBER(
Master_Mapping_Sh"&amp;"eet!$E$2:$E$3143),
Master_Mapping_Sheet!$C$2:$C$3143=R$1))), 0, sum(filter(
Master_Mapping_Sheet!$E$2:$E$3143, ISNUMBER(
Master_Mapping_Sheet!$E$2:$E$3143),
Master_Mapping_Sheet!$C$2:$C$3143=R$1,
Master_Mapping_Sheet!$H$2:$H$3143=$A21))/sum(filter(
Master"&amp;"_Mapping_Sheet!$E$2:$E$3143, ISNUMBER(
Master_Mapping_Sheet!$E$2:$E$3143),
Master_Mapping_Sheet!$C$2:$C$3143=R$1)))"),0.0)</f>
        <v>0</v>
      </c>
      <c r="S21" s="34">
        <f>IFERROR(__xludf.DUMMYFUNCTION("IF(ISNA(sum(filter(
Master_Mapping_Sheet!$E$2:$E$3143, ISNUMBER(
Master_Mapping_Sheet!$E$2:$E$3143),
Master_Mapping_Sheet!$C$2:$C$3143=S$1,
Master_Mapping_Sheet!$H$2:$H$3143=$A21))/sum(filter(
Master_Mapping_Sheet!$E$2:$E$3143, ISNUMBER(
Master_Mapping_Sh"&amp;"eet!$E$2:$E$3143),
Master_Mapping_Sheet!$C$2:$C$3143=S$1))), 0, sum(filter(
Master_Mapping_Sheet!$E$2:$E$3143, ISNUMBER(
Master_Mapping_Sheet!$E$2:$E$3143),
Master_Mapping_Sheet!$C$2:$C$3143=S$1,
Master_Mapping_Sheet!$H$2:$H$3143=$A21))/sum(filter(
Master"&amp;"_Mapping_Sheet!$E$2:$E$3143, ISNUMBER(
Master_Mapping_Sheet!$E$2:$E$3143),
Master_Mapping_Sheet!$C$2:$C$3143=S$1)))"),0.0)</f>
        <v>0</v>
      </c>
      <c r="T21" s="34">
        <f>IFERROR(__xludf.DUMMYFUNCTION("IF(ISNA(sum(filter(
Master_Mapping_Sheet!$E$2:$E$3143, ISNUMBER(
Master_Mapping_Sheet!$E$2:$E$3143),
Master_Mapping_Sheet!$C$2:$C$3143=T$1,
Master_Mapping_Sheet!$H$2:$H$3143=$A21))/sum(filter(
Master_Mapping_Sheet!$E$2:$E$3143, ISNUMBER(
Master_Mapping_Sh"&amp;"eet!$E$2:$E$3143),
Master_Mapping_Sheet!$C$2:$C$3143=T$1))), 0, sum(filter(
Master_Mapping_Sheet!$E$2:$E$3143, ISNUMBER(
Master_Mapping_Sheet!$E$2:$E$3143),
Master_Mapping_Sheet!$C$2:$C$3143=T$1,
Master_Mapping_Sheet!$H$2:$H$3143=$A21))/sum(filter(
Master"&amp;"_Mapping_Sheet!$E$2:$E$3143, ISNUMBER(
Master_Mapping_Sheet!$E$2:$E$3143),
Master_Mapping_Sheet!$C$2:$C$3143=T$1)))"),0.0)</f>
        <v>0</v>
      </c>
      <c r="U21" s="34">
        <f>IFERROR(__xludf.DUMMYFUNCTION("IF(ISNA(sum(filter(
Master_Mapping_Sheet!$E$2:$E$3143, ISNUMBER(
Master_Mapping_Sheet!$E$2:$E$3143),
Master_Mapping_Sheet!$C$2:$C$3143=U$1,
Master_Mapping_Sheet!$H$2:$H$3143=$A21))/sum(filter(
Master_Mapping_Sheet!$E$2:$E$3143, ISNUMBER(
Master_Mapping_Sh"&amp;"eet!$E$2:$E$3143),
Master_Mapping_Sheet!$C$2:$C$3143=U$1))), 0, sum(filter(
Master_Mapping_Sheet!$E$2:$E$3143, ISNUMBER(
Master_Mapping_Sheet!$E$2:$E$3143),
Master_Mapping_Sheet!$C$2:$C$3143=U$1,
Master_Mapping_Sheet!$H$2:$H$3143=$A21))/sum(filter(
Master"&amp;"_Mapping_Sheet!$E$2:$E$3143, ISNUMBER(
Master_Mapping_Sheet!$E$2:$E$3143),
Master_Mapping_Sheet!$C$2:$C$3143=U$1)))"),0.0)</f>
        <v>0</v>
      </c>
      <c r="V21" s="34">
        <f>IFERROR(__xludf.DUMMYFUNCTION("IF(ISNA(sum(filter(
Master_Mapping_Sheet!$E$2:$E$3143, ISNUMBER(
Master_Mapping_Sheet!$E$2:$E$3143),
Master_Mapping_Sheet!$C$2:$C$3143=V$1,
Master_Mapping_Sheet!$H$2:$H$3143=$A21))/sum(filter(
Master_Mapping_Sheet!$E$2:$E$3143, ISNUMBER(
Master_Mapping_Sh"&amp;"eet!$E$2:$E$3143),
Master_Mapping_Sheet!$C$2:$C$3143=V$1))), 0, sum(filter(
Master_Mapping_Sheet!$E$2:$E$3143, ISNUMBER(
Master_Mapping_Sheet!$E$2:$E$3143),
Master_Mapping_Sheet!$C$2:$C$3143=V$1,
Master_Mapping_Sheet!$H$2:$H$3143=$A21))/sum(filter(
Master"&amp;"_Mapping_Sheet!$E$2:$E$3143, ISNUMBER(
Master_Mapping_Sheet!$E$2:$E$3143),
Master_Mapping_Sheet!$C$2:$C$3143=V$1)))"),0.0)</f>
        <v>0</v>
      </c>
      <c r="W21" s="34">
        <f>IFERROR(__xludf.DUMMYFUNCTION("IF(ISNA(sum(filter(
Master_Mapping_Sheet!$E$2:$E$3143, ISNUMBER(
Master_Mapping_Sheet!$E$2:$E$3143),
Master_Mapping_Sheet!$C$2:$C$3143=W$1,
Master_Mapping_Sheet!$H$2:$H$3143=$A21))/sum(filter(
Master_Mapping_Sheet!$E$2:$E$3143, ISNUMBER(
Master_Mapping_Sh"&amp;"eet!$E$2:$E$3143),
Master_Mapping_Sheet!$C$2:$C$3143=W$1))), 0, sum(filter(
Master_Mapping_Sheet!$E$2:$E$3143, ISNUMBER(
Master_Mapping_Sheet!$E$2:$E$3143),
Master_Mapping_Sheet!$C$2:$C$3143=W$1,
Master_Mapping_Sheet!$H$2:$H$3143=$A21))/sum(filter(
Master"&amp;"_Mapping_Sheet!$E$2:$E$3143, ISNUMBER(
Master_Mapping_Sheet!$E$2:$E$3143),
Master_Mapping_Sheet!$C$2:$C$3143=W$1)))"),0.0)</f>
        <v>0</v>
      </c>
      <c r="X21" s="34">
        <f>IFERROR(__xludf.DUMMYFUNCTION("IF(ISNA(sum(filter(
Master_Mapping_Sheet!$E$2:$E$3143, ISNUMBER(
Master_Mapping_Sheet!$E$2:$E$3143),
Master_Mapping_Sheet!$C$2:$C$3143=X$1,
Master_Mapping_Sheet!$H$2:$H$3143=$A21))/sum(filter(
Master_Mapping_Sheet!$E$2:$E$3143, ISNUMBER(
Master_Mapping_Sh"&amp;"eet!$E$2:$E$3143),
Master_Mapping_Sheet!$C$2:$C$3143=X$1))), 0, sum(filter(
Master_Mapping_Sheet!$E$2:$E$3143, ISNUMBER(
Master_Mapping_Sheet!$E$2:$E$3143),
Master_Mapping_Sheet!$C$2:$C$3143=X$1,
Master_Mapping_Sheet!$H$2:$H$3143=$A21))/sum(filter(
Master"&amp;"_Mapping_Sheet!$E$2:$E$3143, ISNUMBER(
Master_Mapping_Sheet!$E$2:$E$3143),
Master_Mapping_Sheet!$C$2:$C$3143=X$1)))"),0.0)</f>
        <v>0</v>
      </c>
      <c r="Y21" s="34">
        <f>IFERROR(__xludf.DUMMYFUNCTION("IF(ISNA(sum(filter(
Master_Mapping_Sheet!$E$2:$E$3143, ISNUMBER(
Master_Mapping_Sheet!$E$2:$E$3143),
Master_Mapping_Sheet!$C$2:$C$3143=Y$1,
Master_Mapping_Sheet!$H$2:$H$3143=$A21))/sum(filter(
Master_Mapping_Sheet!$E$2:$E$3143, ISNUMBER(
Master_Mapping_Sh"&amp;"eet!$E$2:$E$3143),
Master_Mapping_Sheet!$C$2:$C$3143=Y$1))), 0, sum(filter(
Master_Mapping_Sheet!$E$2:$E$3143, ISNUMBER(
Master_Mapping_Sheet!$E$2:$E$3143),
Master_Mapping_Sheet!$C$2:$C$3143=Y$1,
Master_Mapping_Sheet!$H$2:$H$3143=$A21))/sum(filter(
Master"&amp;"_Mapping_Sheet!$E$2:$E$3143, ISNUMBER(
Master_Mapping_Sheet!$E$2:$E$3143),
Master_Mapping_Sheet!$C$2:$C$3143=Y$1)))"),0.0)</f>
        <v>0</v>
      </c>
      <c r="Z21" s="34">
        <f>IFERROR(__xludf.DUMMYFUNCTION("IF(ISNA(sum(filter(
Master_Mapping_Sheet!$E$2:$E$3143, ISNUMBER(
Master_Mapping_Sheet!$E$2:$E$3143),
Master_Mapping_Sheet!$C$2:$C$3143=Z$1,
Master_Mapping_Sheet!$H$2:$H$3143=$A21))/sum(filter(
Master_Mapping_Sheet!$E$2:$E$3143, ISNUMBER(
Master_Mapping_Sh"&amp;"eet!$E$2:$E$3143),
Master_Mapping_Sheet!$C$2:$C$3143=Z$1))), 0, sum(filter(
Master_Mapping_Sheet!$E$2:$E$3143, ISNUMBER(
Master_Mapping_Sheet!$E$2:$E$3143),
Master_Mapping_Sheet!$C$2:$C$3143=Z$1,
Master_Mapping_Sheet!$H$2:$H$3143=$A21))/sum(filter(
Master"&amp;"_Mapping_Sheet!$E$2:$E$3143, ISNUMBER(
Master_Mapping_Sheet!$E$2:$E$3143),
Master_Mapping_Sheet!$C$2:$C$3143=Z$1)))"),0.0)</f>
        <v>0</v>
      </c>
      <c r="AA21" s="34">
        <f>IFERROR(__xludf.DUMMYFUNCTION("IF(ISNA(sum(filter(
Master_Mapping_Sheet!$E$2:$E$3143, ISNUMBER(
Master_Mapping_Sheet!$E$2:$E$3143),
Master_Mapping_Sheet!$C$2:$C$3143=AA$1,
Master_Mapping_Sheet!$H$2:$H$3143=$A21))/sum(filter(
Master_Mapping_Sheet!$E$2:$E$3143, ISNUMBER(
Master_Mapping_S"&amp;"heet!$E$2:$E$3143),
Master_Mapping_Sheet!$C$2:$C$3143=AA$1))), 0, sum(filter(
Master_Mapping_Sheet!$E$2:$E$3143, ISNUMBER(
Master_Mapping_Sheet!$E$2:$E$3143),
Master_Mapping_Sheet!$C$2:$C$3143=AA$1,
Master_Mapping_Sheet!$H$2:$H$3143=$A21))/sum(filter(
Mas"&amp;"ter_Mapping_Sheet!$E$2:$E$3143, ISNUMBER(
Master_Mapping_Sheet!$E$2:$E$3143),
Master_Mapping_Sheet!$C$2:$C$3143=AA$1)))"),0.0)</f>
        <v>0</v>
      </c>
      <c r="AB21" s="34">
        <f>IFERROR(__xludf.DUMMYFUNCTION("IF(ISNA(sum(filter(
Master_Mapping_Sheet!$E$2:$E$3143, ISNUMBER(
Master_Mapping_Sheet!$E$2:$E$3143),
Master_Mapping_Sheet!$C$2:$C$3143=AB$1,
Master_Mapping_Sheet!$H$2:$H$3143=$A21))/sum(filter(
Master_Mapping_Sheet!$E$2:$E$3143, ISNUMBER(
Master_Mapping_S"&amp;"heet!$E$2:$E$3143),
Master_Mapping_Sheet!$C$2:$C$3143=AB$1))), 0, sum(filter(
Master_Mapping_Sheet!$E$2:$E$3143, ISNUMBER(
Master_Mapping_Sheet!$E$2:$E$3143),
Master_Mapping_Sheet!$C$2:$C$3143=AB$1,
Master_Mapping_Sheet!$H$2:$H$3143=$A21))/sum(filter(
Mas"&amp;"ter_Mapping_Sheet!$E$2:$E$3143, ISNUMBER(
Master_Mapping_Sheet!$E$2:$E$3143),
Master_Mapping_Sheet!$C$2:$C$3143=AB$1)))"),0.0)</f>
        <v>0</v>
      </c>
      <c r="AC21" s="34">
        <f>IFERROR(__xludf.DUMMYFUNCTION("IF(ISNA(sum(filter(
Master_Mapping_Sheet!$E$2:$E$3143, ISNUMBER(
Master_Mapping_Sheet!$E$2:$E$3143),
Master_Mapping_Sheet!$C$2:$C$3143=AC$1,
Master_Mapping_Sheet!$H$2:$H$3143=$A21))/sum(filter(
Master_Mapping_Sheet!$E$2:$E$3143, ISNUMBER(
Master_Mapping_S"&amp;"heet!$E$2:$E$3143),
Master_Mapping_Sheet!$C$2:$C$3143=AC$1))), 0, sum(filter(
Master_Mapping_Sheet!$E$2:$E$3143, ISNUMBER(
Master_Mapping_Sheet!$E$2:$E$3143),
Master_Mapping_Sheet!$C$2:$C$3143=AC$1,
Master_Mapping_Sheet!$H$2:$H$3143=$A21))/sum(filter(
Mas"&amp;"ter_Mapping_Sheet!$E$2:$E$3143, ISNUMBER(
Master_Mapping_Sheet!$E$2:$E$3143),
Master_Mapping_Sheet!$C$2:$C$3143=AC$1)))"),0.0)</f>
        <v>0</v>
      </c>
      <c r="AD21" s="34">
        <f>IFERROR(__xludf.DUMMYFUNCTION("IF(ISNA(sum(filter(
Master_Mapping_Sheet!$E$2:$E$3143, ISNUMBER(
Master_Mapping_Sheet!$E$2:$E$3143),
Master_Mapping_Sheet!$C$2:$C$3143=AD$1,
Master_Mapping_Sheet!$H$2:$H$3143=$A21))/sum(filter(
Master_Mapping_Sheet!$E$2:$E$3143, ISNUMBER(
Master_Mapping_S"&amp;"heet!$E$2:$E$3143),
Master_Mapping_Sheet!$C$2:$C$3143=AD$1))), 0, sum(filter(
Master_Mapping_Sheet!$E$2:$E$3143, ISNUMBER(
Master_Mapping_Sheet!$E$2:$E$3143),
Master_Mapping_Sheet!$C$2:$C$3143=AD$1,
Master_Mapping_Sheet!$H$2:$H$3143=$A21))/sum(filter(
Mas"&amp;"ter_Mapping_Sheet!$E$2:$E$3143, ISNUMBER(
Master_Mapping_Sheet!$E$2:$E$3143),
Master_Mapping_Sheet!$C$2:$C$3143=AD$1)))"),0.0)</f>
        <v>0</v>
      </c>
      <c r="AE21" s="34">
        <f>IFERROR(__xludf.DUMMYFUNCTION("IF(ISNA(sum(filter(
Master_Mapping_Sheet!$E$2:$E$3143, ISNUMBER(
Master_Mapping_Sheet!$E$2:$E$3143),
Master_Mapping_Sheet!$C$2:$C$3143=AE$1,
Master_Mapping_Sheet!$H$2:$H$3143=$A21))/sum(filter(
Master_Mapping_Sheet!$E$2:$E$3143, ISNUMBER(
Master_Mapping_S"&amp;"heet!$E$2:$E$3143),
Master_Mapping_Sheet!$C$2:$C$3143=AE$1))), 0, sum(filter(
Master_Mapping_Sheet!$E$2:$E$3143, ISNUMBER(
Master_Mapping_Sheet!$E$2:$E$3143),
Master_Mapping_Sheet!$C$2:$C$3143=AE$1,
Master_Mapping_Sheet!$H$2:$H$3143=$A21))/sum(filter(
Mas"&amp;"ter_Mapping_Sheet!$E$2:$E$3143, ISNUMBER(
Master_Mapping_Sheet!$E$2:$E$3143),
Master_Mapping_Sheet!$C$2:$C$3143=AE$1)))"),0.0)</f>
        <v>0</v>
      </c>
      <c r="AF21" s="34">
        <f>IFERROR(__xludf.DUMMYFUNCTION("IF(ISNA(sum(filter(
Master_Mapping_Sheet!$E$2:$E$3143, ISNUMBER(
Master_Mapping_Sheet!$E$2:$E$3143),
Master_Mapping_Sheet!$C$2:$C$3143=AF$1,
Master_Mapping_Sheet!$H$2:$H$3143=$A21))/sum(filter(
Master_Mapping_Sheet!$E$2:$E$3143, ISNUMBER(
Master_Mapping_S"&amp;"heet!$E$2:$E$3143),
Master_Mapping_Sheet!$C$2:$C$3143=AF$1))), 0, sum(filter(
Master_Mapping_Sheet!$E$2:$E$3143, ISNUMBER(
Master_Mapping_Sheet!$E$2:$E$3143),
Master_Mapping_Sheet!$C$2:$C$3143=AF$1,
Master_Mapping_Sheet!$H$2:$H$3143=$A21))/sum(filter(
Mas"&amp;"ter_Mapping_Sheet!$E$2:$E$3143, ISNUMBER(
Master_Mapping_Sheet!$E$2:$E$3143),
Master_Mapping_Sheet!$C$2:$C$3143=AF$1)))"),0.0)</f>
        <v>0</v>
      </c>
      <c r="AG21" s="34">
        <f>IFERROR(__xludf.DUMMYFUNCTION("IF(ISNA(sum(filter(
Master_Mapping_Sheet!$E$2:$E$3143, ISNUMBER(
Master_Mapping_Sheet!$E$2:$E$3143),
Master_Mapping_Sheet!$C$2:$C$3143=AG$1,
Master_Mapping_Sheet!$H$2:$H$3143=$A21))/sum(filter(
Master_Mapping_Sheet!$E$2:$E$3143, ISNUMBER(
Master_Mapping_S"&amp;"heet!$E$2:$E$3143),
Master_Mapping_Sheet!$C$2:$C$3143=AG$1))), 0, sum(filter(
Master_Mapping_Sheet!$E$2:$E$3143, ISNUMBER(
Master_Mapping_Sheet!$E$2:$E$3143),
Master_Mapping_Sheet!$C$2:$C$3143=AG$1,
Master_Mapping_Sheet!$H$2:$H$3143=$A21))/sum(filter(
Mas"&amp;"ter_Mapping_Sheet!$E$2:$E$3143, ISNUMBER(
Master_Mapping_Sheet!$E$2:$E$3143),
Master_Mapping_Sheet!$C$2:$C$3143=AG$1)))"),0.8150130700808893)</f>
        <v>0.8150130701</v>
      </c>
      <c r="AH21" s="34">
        <f>IFERROR(__xludf.DUMMYFUNCTION("IF(ISNA(sum(filter(
Master_Mapping_Sheet!$E$2:$E$3143, ISNUMBER(
Master_Mapping_Sheet!$E$2:$E$3143),
Master_Mapping_Sheet!$C$2:$C$3143=AH$1,
Master_Mapping_Sheet!$H$2:$H$3143=$A21))/sum(filter(
Master_Mapping_Sheet!$E$2:$E$3143, ISNUMBER(
Master_Mapping_S"&amp;"heet!$E$2:$E$3143),
Master_Mapping_Sheet!$C$2:$C$3143=AH$1))), 0, sum(filter(
Master_Mapping_Sheet!$E$2:$E$3143, ISNUMBER(
Master_Mapping_Sheet!$E$2:$E$3143),
Master_Mapping_Sheet!$C$2:$C$3143=AH$1,
Master_Mapping_Sheet!$H$2:$H$3143=$A21))/sum(filter(
Mas"&amp;"ter_Mapping_Sheet!$E$2:$E$3143, ISNUMBER(
Master_Mapping_Sheet!$E$2:$E$3143),
Master_Mapping_Sheet!$C$2:$C$3143=AH$1)))"),0.0)</f>
        <v>0</v>
      </c>
      <c r="AI21" s="34">
        <f>IFERROR(__xludf.DUMMYFUNCTION("IF(ISNA(sum(filter(
Master_Mapping_Sheet!$E$2:$E$3143, ISNUMBER(
Master_Mapping_Sheet!$E$2:$E$3143),
Master_Mapping_Sheet!$C$2:$C$3143=AI$1,
Master_Mapping_Sheet!$H$2:$H$3143=$A21))/sum(filter(
Master_Mapping_Sheet!$E$2:$E$3143, ISNUMBER(
Master_Mapping_S"&amp;"heet!$E$2:$E$3143),
Master_Mapping_Sheet!$C$2:$C$3143=AI$1))), 0, sum(filter(
Master_Mapping_Sheet!$E$2:$E$3143, ISNUMBER(
Master_Mapping_Sheet!$E$2:$E$3143),
Master_Mapping_Sheet!$C$2:$C$3143=AI$1,
Master_Mapping_Sheet!$H$2:$H$3143=$A21))/sum(filter(
Mas"&amp;"ter_Mapping_Sheet!$E$2:$E$3143, ISNUMBER(
Master_Mapping_Sheet!$E$2:$E$3143),
Master_Mapping_Sheet!$C$2:$C$3143=AI$1)))"),0.0)</f>
        <v>0</v>
      </c>
      <c r="AJ21" s="34">
        <f>IFERROR(__xludf.DUMMYFUNCTION("IF(ISNA(sum(filter(
Master_Mapping_Sheet!$E$2:$E$3143, ISNUMBER(
Master_Mapping_Sheet!$E$2:$E$3143),
Master_Mapping_Sheet!$C$2:$C$3143=AJ$1,
Master_Mapping_Sheet!$H$2:$H$3143=$A21))/sum(filter(
Master_Mapping_Sheet!$E$2:$E$3143, ISNUMBER(
Master_Mapping_S"&amp;"heet!$E$2:$E$3143),
Master_Mapping_Sheet!$C$2:$C$3143=AJ$1))), 0, sum(filter(
Master_Mapping_Sheet!$E$2:$E$3143, ISNUMBER(
Master_Mapping_Sheet!$E$2:$E$3143),
Master_Mapping_Sheet!$C$2:$C$3143=AJ$1,
Master_Mapping_Sheet!$H$2:$H$3143=$A21))/sum(filter(
Mas"&amp;"ter_Mapping_Sheet!$E$2:$E$3143, ISNUMBER(
Master_Mapping_Sheet!$E$2:$E$3143),
Master_Mapping_Sheet!$C$2:$C$3143=AJ$1)))"),0.0)</f>
        <v>0</v>
      </c>
      <c r="AK21" s="34">
        <f>IFERROR(__xludf.DUMMYFUNCTION("IF(ISNA(sum(filter(
Master_Mapping_Sheet!$E$2:$E$3143, ISNUMBER(
Master_Mapping_Sheet!$E$2:$E$3143),
Master_Mapping_Sheet!$C$2:$C$3143=AK$1,
Master_Mapping_Sheet!$H$2:$H$3143=$A21))/sum(filter(
Master_Mapping_Sheet!$E$2:$E$3143, ISNUMBER(
Master_Mapping_S"&amp;"heet!$E$2:$E$3143),
Master_Mapping_Sheet!$C$2:$C$3143=AK$1))), 0, sum(filter(
Master_Mapping_Sheet!$E$2:$E$3143, ISNUMBER(
Master_Mapping_Sheet!$E$2:$E$3143),
Master_Mapping_Sheet!$C$2:$C$3143=AK$1,
Master_Mapping_Sheet!$H$2:$H$3143=$A21))/sum(filter(
Mas"&amp;"ter_Mapping_Sheet!$E$2:$E$3143, ISNUMBER(
Master_Mapping_Sheet!$E$2:$E$3143),
Master_Mapping_Sheet!$C$2:$C$3143=AK$1)))"),0.0)</f>
        <v>0</v>
      </c>
      <c r="AL21" s="34">
        <f>IFERROR(__xludf.DUMMYFUNCTION("IF(ISNA(sum(filter(
Master_Mapping_Sheet!$E$2:$E$3143, ISNUMBER(
Master_Mapping_Sheet!$E$2:$E$3143),
Master_Mapping_Sheet!$C$2:$C$3143=AL$1,
Master_Mapping_Sheet!$H$2:$H$3143=$A21))/sum(filter(
Master_Mapping_Sheet!$E$2:$E$3143, ISNUMBER(
Master_Mapping_S"&amp;"heet!$E$2:$E$3143),
Master_Mapping_Sheet!$C$2:$C$3143=AL$1))), 0, sum(filter(
Master_Mapping_Sheet!$E$2:$E$3143, ISNUMBER(
Master_Mapping_Sheet!$E$2:$E$3143),
Master_Mapping_Sheet!$C$2:$C$3143=AL$1,
Master_Mapping_Sheet!$H$2:$H$3143=$A21))/sum(filter(
Mas"&amp;"ter_Mapping_Sheet!$E$2:$E$3143, ISNUMBER(
Master_Mapping_Sheet!$E$2:$E$3143),
Master_Mapping_Sheet!$C$2:$C$3143=AL$1)))"),0.0)</f>
        <v>0</v>
      </c>
      <c r="AM21" s="34">
        <f>IFERROR(__xludf.DUMMYFUNCTION("IF(ISNA(sum(filter(
Master_Mapping_Sheet!$E$2:$E$3143, ISNUMBER(
Master_Mapping_Sheet!$E$2:$E$3143),
Master_Mapping_Sheet!$C$2:$C$3143=AM$1,
Master_Mapping_Sheet!$H$2:$H$3143=$A21))/sum(filter(
Master_Mapping_Sheet!$E$2:$E$3143, ISNUMBER(
Master_Mapping_S"&amp;"heet!$E$2:$E$3143),
Master_Mapping_Sheet!$C$2:$C$3143=AM$1))), 0, sum(filter(
Master_Mapping_Sheet!$E$2:$E$3143, ISNUMBER(
Master_Mapping_Sheet!$E$2:$E$3143),
Master_Mapping_Sheet!$C$2:$C$3143=AM$1,
Master_Mapping_Sheet!$H$2:$H$3143=$A21))/sum(filter(
Mas"&amp;"ter_Mapping_Sheet!$E$2:$E$3143, ISNUMBER(
Master_Mapping_Sheet!$E$2:$E$3143),
Master_Mapping_Sheet!$C$2:$C$3143=AM$1)))"),0.0)</f>
        <v>0</v>
      </c>
      <c r="AN21" s="34">
        <f>IFERROR(__xludf.DUMMYFUNCTION("IF(ISNA(sum(filter(
Master_Mapping_Sheet!$E$2:$E$3143, ISNUMBER(
Master_Mapping_Sheet!$E$2:$E$3143),
Master_Mapping_Sheet!$C$2:$C$3143=AN$1,
Master_Mapping_Sheet!$H$2:$H$3143=$A21))/sum(filter(
Master_Mapping_Sheet!$E$2:$E$3143, ISNUMBER(
Master_Mapping_S"&amp;"heet!$E$2:$E$3143),
Master_Mapping_Sheet!$C$2:$C$3143=AN$1))), 0, sum(filter(
Master_Mapping_Sheet!$E$2:$E$3143, ISNUMBER(
Master_Mapping_Sheet!$E$2:$E$3143),
Master_Mapping_Sheet!$C$2:$C$3143=AN$1,
Master_Mapping_Sheet!$H$2:$H$3143=$A21))/sum(filter(
Mas"&amp;"ter_Mapping_Sheet!$E$2:$E$3143, ISNUMBER(
Master_Mapping_Sheet!$E$2:$E$3143),
Master_Mapping_Sheet!$C$2:$C$3143=AN$1)))"),0.0)</f>
        <v>0</v>
      </c>
      <c r="AO21" s="34">
        <f>IFERROR(__xludf.DUMMYFUNCTION("IF(ISNA(sum(filter(
Master_Mapping_Sheet!$E$2:$E$3143, ISNUMBER(
Master_Mapping_Sheet!$E$2:$E$3143),
Master_Mapping_Sheet!$C$2:$C$3143=AO$1,
Master_Mapping_Sheet!$H$2:$H$3143=$A21))/sum(filter(
Master_Mapping_Sheet!$E$2:$E$3143, ISNUMBER(
Master_Mapping_S"&amp;"heet!$E$2:$E$3143),
Master_Mapping_Sheet!$C$2:$C$3143=AO$1))), 0, sum(filter(
Master_Mapping_Sheet!$E$2:$E$3143, ISNUMBER(
Master_Mapping_Sheet!$E$2:$E$3143),
Master_Mapping_Sheet!$C$2:$C$3143=AO$1,
Master_Mapping_Sheet!$H$2:$H$3143=$A21))/sum(filter(
Mas"&amp;"ter_Mapping_Sheet!$E$2:$E$3143, ISNUMBER(
Master_Mapping_Sheet!$E$2:$E$3143),
Master_Mapping_Sheet!$C$2:$C$3143=AO$1)))"),0.0)</f>
        <v>0</v>
      </c>
      <c r="AP21" s="34">
        <f>IFERROR(__xludf.DUMMYFUNCTION("IF(ISNA(sum(filter(
Master_Mapping_Sheet!$E$2:$E$3143, ISNUMBER(
Master_Mapping_Sheet!$E$2:$E$3143),
Master_Mapping_Sheet!$C$2:$C$3143=AP$1,
Master_Mapping_Sheet!$H$2:$H$3143=$A21))/sum(filter(
Master_Mapping_Sheet!$E$2:$E$3143, ISNUMBER(
Master_Mapping_S"&amp;"heet!$E$2:$E$3143),
Master_Mapping_Sheet!$C$2:$C$3143=AP$1))), 0, sum(filter(
Master_Mapping_Sheet!$E$2:$E$3143, ISNUMBER(
Master_Mapping_Sheet!$E$2:$E$3143),
Master_Mapping_Sheet!$C$2:$C$3143=AP$1,
Master_Mapping_Sheet!$H$2:$H$3143=$A21))/sum(filter(
Mas"&amp;"ter_Mapping_Sheet!$E$2:$E$3143, ISNUMBER(
Master_Mapping_Sheet!$E$2:$E$3143),
Master_Mapping_Sheet!$C$2:$C$3143=AP$1)))"),0.0)</f>
        <v>0</v>
      </c>
      <c r="AQ21" s="34">
        <f>IFERROR(__xludf.DUMMYFUNCTION("IF(ISNA(sum(filter(
Master_Mapping_Sheet!$E$2:$E$3143, ISNUMBER(
Master_Mapping_Sheet!$E$2:$E$3143),
Master_Mapping_Sheet!$C$2:$C$3143=AQ$1,
Master_Mapping_Sheet!$H$2:$H$3143=$A21))/sum(filter(
Master_Mapping_Sheet!$E$2:$E$3143, ISNUMBER(
Master_Mapping_S"&amp;"heet!$E$2:$E$3143),
Master_Mapping_Sheet!$C$2:$C$3143=AQ$1))), 0, sum(filter(
Master_Mapping_Sheet!$E$2:$E$3143, ISNUMBER(
Master_Mapping_Sheet!$E$2:$E$3143),
Master_Mapping_Sheet!$C$2:$C$3143=AQ$1,
Master_Mapping_Sheet!$H$2:$H$3143=$A21))/sum(filter(
Mas"&amp;"ter_Mapping_Sheet!$E$2:$E$3143, ISNUMBER(
Master_Mapping_Sheet!$E$2:$E$3143),
Master_Mapping_Sheet!$C$2:$C$3143=AQ$1)))"),0.0)</f>
        <v>0</v>
      </c>
      <c r="AR21" s="34">
        <f>IFERROR(__xludf.DUMMYFUNCTION("IF(ISNA(sum(filter(
Master_Mapping_Sheet!$E$2:$E$3143, ISNUMBER(
Master_Mapping_Sheet!$E$2:$E$3143),
Master_Mapping_Sheet!$C$2:$C$3143=AR$1,
Master_Mapping_Sheet!$H$2:$H$3143=$A21))/sum(filter(
Master_Mapping_Sheet!$E$2:$E$3143, ISNUMBER(
Master_Mapping_S"&amp;"heet!$E$2:$E$3143),
Master_Mapping_Sheet!$C$2:$C$3143=AR$1))), 0, sum(filter(
Master_Mapping_Sheet!$E$2:$E$3143, ISNUMBER(
Master_Mapping_Sheet!$E$2:$E$3143),
Master_Mapping_Sheet!$C$2:$C$3143=AR$1,
Master_Mapping_Sheet!$H$2:$H$3143=$A21))/sum(filter(
Mas"&amp;"ter_Mapping_Sheet!$E$2:$E$3143, ISNUMBER(
Master_Mapping_Sheet!$E$2:$E$3143),
Master_Mapping_Sheet!$C$2:$C$3143=AR$1)))"),0.0)</f>
        <v>0</v>
      </c>
      <c r="AS21" s="34">
        <f>IFERROR(__xludf.DUMMYFUNCTION("IF(ISNA(sum(filter(
Master_Mapping_Sheet!$E$2:$E$3143, ISNUMBER(
Master_Mapping_Sheet!$E$2:$E$3143),
Master_Mapping_Sheet!$C$2:$C$3143=AS$1,
Master_Mapping_Sheet!$H$2:$H$3143=$A21))/sum(filter(
Master_Mapping_Sheet!$E$2:$E$3143, ISNUMBER(
Master_Mapping_S"&amp;"heet!$E$2:$E$3143),
Master_Mapping_Sheet!$C$2:$C$3143=AS$1))), 0, sum(filter(
Master_Mapping_Sheet!$E$2:$E$3143, ISNUMBER(
Master_Mapping_Sheet!$E$2:$E$3143),
Master_Mapping_Sheet!$C$2:$C$3143=AS$1,
Master_Mapping_Sheet!$H$2:$H$3143=$A21))/sum(filter(
Mas"&amp;"ter_Mapping_Sheet!$E$2:$E$3143, ISNUMBER(
Master_Mapping_Sheet!$E$2:$E$3143),
Master_Mapping_Sheet!$C$2:$C$3143=AS$1)))"),0.02863070459161125)</f>
        <v>0.02863070459</v>
      </c>
      <c r="AT21" s="34">
        <f>IFERROR(__xludf.DUMMYFUNCTION("IF(ISNA(sum(filter(
Master_Mapping_Sheet!$E$2:$E$3143, ISNUMBER(
Master_Mapping_Sheet!$E$2:$E$3143),
Master_Mapping_Sheet!$C$2:$C$3143=AT$1,
Master_Mapping_Sheet!$H$2:$H$3143=$A21))/sum(filter(
Master_Mapping_Sheet!$E$2:$E$3143, ISNUMBER(
Master_Mapping_S"&amp;"heet!$E$2:$E$3143),
Master_Mapping_Sheet!$C$2:$C$3143=AT$1))), 0, sum(filter(
Master_Mapping_Sheet!$E$2:$E$3143, ISNUMBER(
Master_Mapping_Sheet!$E$2:$E$3143),
Master_Mapping_Sheet!$C$2:$C$3143=AT$1,
Master_Mapping_Sheet!$H$2:$H$3143=$A21))/sum(filter(
Mas"&amp;"ter_Mapping_Sheet!$E$2:$E$3143, ISNUMBER(
Master_Mapping_Sheet!$E$2:$E$3143),
Master_Mapping_Sheet!$C$2:$C$3143=AT$1)))"),0.0)</f>
        <v>0</v>
      </c>
      <c r="AU21" s="34">
        <f>IFERROR(__xludf.DUMMYFUNCTION("IF(ISNA(sum(filter(
Master_Mapping_Sheet!$E$2:$E$3143, ISNUMBER(
Master_Mapping_Sheet!$E$2:$E$3143),
Master_Mapping_Sheet!$C$2:$C$3143=AU$1,
Master_Mapping_Sheet!$H$2:$H$3143=$A21))/sum(filter(
Master_Mapping_Sheet!$E$2:$E$3143, ISNUMBER(
Master_Mapping_S"&amp;"heet!$E$2:$E$3143),
Master_Mapping_Sheet!$C$2:$C$3143=AU$1))), 0, sum(filter(
Master_Mapping_Sheet!$E$2:$E$3143, ISNUMBER(
Master_Mapping_Sheet!$E$2:$E$3143),
Master_Mapping_Sheet!$C$2:$C$3143=AU$1,
Master_Mapping_Sheet!$H$2:$H$3143=$A21))/sum(filter(
Mas"&amp;"ter_Mapping_Sheet!$E$2:$E$3143, ISNUMBER(
Master_Mapping_Sheet!$E$2:$E$3143),
Master_Mapping_Sheet!$C$2:$C$3143=AU$1)))"),0.0)</f>
        <v>0</v>
      </c>
      <c r="AV21" s="34">
        <f>IFERROR(__xludf.DUMMYFUNCTION("IF(ISNA(sum(filter(
Master_Mapping_Sheet!$E$2:$E$3143, ISNUMBER(
Master_Mapping_Sheet!$E$2:$E$3143),
Master_Mapping_Sheet!$C$2:$C$3143=AV$1,
Master_Mapping_Sheet!$H$2:$H$3143=$A21))/sum(filter(
Master_Mapping_Sheet!$E$2:$E$3143, ISNUMBER(
Master_Mapping_S"&amp;"heet!$E$2:$E$3143),
Master_Mapping_Sheet!$C$2:$C$3143=AV$1))), 0, sum(filter(
Master_Mapping_Sheet!$E$2:$E$3143, ISNUMBER(
Master_Mapping_Sheet!$E$2:$E$3143),
Master_Mapping_Sheet!$C$2:$C$3143=AV$1,
Master_Mapping_Sheet!$H$2:$H$3143=$A21))/sum(filter(
Mas"&amp;"ter_Mapping_Sheet!$E$2:$E$3143, ISNUMBER(
Master_Mapping_Sheet!$E$2:$E$3143),
Master_Mapping_Sheet!$C$2:$C$3143=AV$1)))"),0.0)</f>
        <v>0</v>
      </c>
      <c r="AW21" s="34">
        <f>IFERROR(__xludf.DUMMYFUNCTION("IF(ISNA(sum(filter(
Master_Mapping_Sheet!$E$2:$E$3143, ISNUMBER(
Master_Mapping_Sheet!$E$2:$E$3143),
Master_Mapping_Sheet!$C$2:$C$3143=AW$1,
Master_Mapping_Sheet!$H$2:$H$3143=$A21))/sum(filter(
Master_Mapping_Sheet!$E$2:$E$3143, ISNUMBER(
Master_Mapping_S"&amp;"heet!$E$2:$E$3143),
Master_Mapping_Sheet!$C$2:$C$3143=AW$1))), 0, sum(filter(
Master_Mapping_Sheet!$E$2:$E$3143, ISNUMBER(
Master_Mapping_Sheet!$E$2:$E$3143),
Master_Mapping_Sheet!$C$2:$C$3143=AW$1,
Master_Mapping_Sheet!$H$2:$H$3143=$A21))/sum(filter(
Mas"&amp;"ter_Mapping_Sheet!$E$2:$E$3143, ISNUMBER(
Master_Mapping_Sheet!$E$2:$E$3143),
Master_Mapping_Sheet!$C$2:$C$3143=AW$1)))"),0.0)</f>
        <v>0</v>
      </c>
      <c r="AX21" s="34">
        <f>IFERROR(__xludf.DUMMYFUNCTION("IF(ISNA(sum(filter(
Master_Mapping_Sheet!$E$2:$E$3143, ISNUMBER(
Master_Mapping_Sheet!$E$2:$E$3143),
Master_Mapping_Sheet!$C$2:$C$3143=AX$1,
Master_Mapping_Sheet!$H$2:$H$3143=$A21))/sum(filter(
Master_Mapping_Sheet!$E$2:$E$3143, ISNUMBER(
Master_Mapping_S"&amp;"heet!$E$2:$E$3143),
Master_Mapping_Sheet!$C$2:$C$3143=AX$1))), 0, sum(filter(
Master_Mapping_Sheet!$E$2:$E$3143, ISNUMBER(
Master_Mapping_Sheet!$E$2:$E$3143),
Master_Mapping_Sheet!$C$2:$C$3143=AX$1,
Master_Mapping_Sheet!$H$2:$H$3143=$A21))/sum(filter(
Mas"&amp;"ter_Mapping_Sheet!$E$2:$E$3143, ISNUMBER(
Master_Mapping_Sheet!$E$2:$E$3143),
Master_Mapping_Sheet!$C$2:$C$3143=AX$1)))"),0.0)</f>
        <v>0</v>
      </c>
      <c r="AY21" s="34">
        <f>IFERROR(__xludf.DUMMYFUNCTION("IF(ISNA(sum(filter(
Master_Mapping_Sheet!$E$2:$E$3143, ISNUMBER(
Master_Mapping_Sheet!$E$2:$E$3143),
Master_Mapping_Sheet!$C$2:$C$3143=AY$1,
Master_Mapping_Sheet!$H$2:$H$3143=$A21))/sum(filter(
Master_Mapping_Sheet!$E$2:$E$3143, ISNUMBER(
Master_Mapping_S"&amp;"heet!$E$2:$E$3143),
Master_Mapping_Sheet!$C$2:$C$3143=AY$1))), 0, sum(filter(
Master_Mapping_Sheet!$E$2:$E$3143, ISNUMBER(
Master_Mapping_Sheet!$E$2:$E$3143),
Master_Mapping_Sheet!$C$2:$C$3143=AY$1,
Master_Mapping_Sheet!$H$2:$H$3143=$A21))/sum(filter(
Mas"&amp;"ter_Mapping_Sheet!$E$2:$E$3143, ISNUMBER(
Master_Mapping_Sheet!$E$2:$E$3143),
Master_Mapping_Sheet!$C$2:$C$3143=AY$1)))"),0.0)</f>
        <v>0</v>
      </c>
      <c r="AZ21" s="34">
        <f>IFERROR(__xludf.DUMMYFUNCTION("IF(ISNA(sum(filter(
Master_Mapping_Sheet!$E$2:$E$3143, ISNUMBER(
Master_Mapping_Sheet!$E$2:$E$3143),
Master_Mapping_Sheet!$C$2:$C$3143=AZ$1,
Master_Mapping_Sheet!$H$2:$H$3143=$A21))/sum(filter(
Master_Mapping_Sheet!$E$2:$E$3143, ISNUMBER(
Master_Mapping_S"&amp;"heet!$E$2:$E$3143),
Master_Mapping_Sheet!$C$2:$C$3143=AZ$1))), 0, sum(filter(
Master_Mapping_Sheet!$E$2:$E$3143, ISNUMBER(
Master_Mapping_Sheet!$E$2:$E$3143),
Master_Mapping_Sheet!$C$2:$C$3143=AZ$1,
Master_Mapping_Sheet!$H$2:$H$3143=$A21))/sum(filter(
Mas"&amp;"ter_Mapping_Sheet!$E$2:$E$3143, ISNUMBER(
Master_Mapping_Sheet!$E$2:$E$3143),
Master_Mapping_Sheet!$C$2:$C$3143=AZ$1)))"),0.0)</f>
        <v>0</v>
      </c>
    </row>
    <row r="22" ht="15.75" customHeight="1">
      <c r="A22" s="34" t="s">
        <v>3979</v>
      </c>
      <c r="B22" s="34">
        <f>IFERROR(__xludf.DUMMYFUNCTION("IF(ISNA(sum(filter(
Master_Mapping_Sheet!$E$2:$E$3143, ISNUMBER(
Master_Mapping_Sheet!$E$2:$E$3143),
Master_Mapping_Sheet!$C$2:$C$3143=B$1,
Master_Mapping_Sheet!$H$2:$H$3143=$A22))/sum(filter(
Master_Mapping_Sheet!$E$2:$E$3143, ISNUMBER(
Master_Mapping_Sh"&amp;"eet!$E$2:$E$3143),
Master_Mapping_Sheet!$C$2:$C$3143=B$1))), 0, sum(filter(
Master_Mapping_Sheet!$E$2:$E$3143, ISNUMBER(
Master_Mapping_Sheet!$E$2:$E$3143),
Master_Mapping_Sheet!$C$2:$C$3143=B$1,
Master_Mapping_Sheet!$H$2:$H$3143=$A22))/sum(filter(
Master"&amp;"_Mapping_Sheet!$E$2:$E$3143, ISNUMBER(
Master_Mapping_Sheet!$E$2:$E$3143),
Master_Mapping_Sheet!$C$2:$C$3143=B$1)))"),0.0)</f>
        <v>0</v>
      </c>
      <c r="C22" s="34">
        <f>IFERROR(__xludf.DUMMYFUNCTION("IF(ISNA(sum(filter(
Master_Mapping_Sheet!$E$2:$E$3143, ISNUMBER(
Master_Mapping_Sheet!$E$2:$E$3143),
Master_Mapping_Sheet!$C$2:$C$3143=C$1,
Master_Mapping_Sheet!$H$2:$H$3143=$A22))/sum(filter(
Master_Mapping_Sheet!$E$2:$E$3143, ISNUMBER(
Master_Mapping_Sh"&amp;"eet!$E$2:$E$3143),
Master_Mapping_Sheet!$C$2:$C$3143=C$1))), 0, sum(filter(
Master_Mapping_Sheet!$E$2:$E$3143, ISNUMBER(
Master_Mapping_Sheet!$E$2:$E$3143),
Master_Mapping_Sheet!$C$2:$C$3143=C$1,
Master_Mapping_Sheet!$H$2:$H$3143=$A22))/sum(filter(
Master"&amp;"_Mapping_Sheet!$E$2:$E$3143, ISNUMBER(
Master_Mapping_Sheet!$E$2:$E$3143),
Master_Mapping_Sheet!$C$2:$C$3143=C$1)))"),0.0)</f>
        <v>0</v>
      </c>
      <c r="D22" s="34">
        <f>IFERROR(__xludf.DUMMYFUNCTION("IF(ISNA(sum(filter(
Master_Mapping_Sheet!$E$2:$E$3143, ISNUMBER(
Master_Mapping_Sheet!$E$2:$E$3143),
Master_Mapping_Sheet!$C$2:$C$3143=D$1,
Master_Mapping_Sheet!$H$2:$H$3143=$A22))/sum(filter(
Master_Mapping_Sheet!$E$2:$E$3143, ISNUMBER(
Master_Mapping_Sh"&amp;"eet!$E$2:$E$3143),
Master_Mapping_Sheet!$C$2:$C$3143=D$1))), 0, sum(filter(
Master_Mapping_Sheet!$E$2:$E$3143, ISNUMBER(
Master_Mapping_Sheet!$E$2:$E$3143),
Master_Mapping_Sheet!$C$2:$C$3143=D$1,
Master_Mapping_Sheet!$H$2:$H$3143=$A22))/sum(filter(
Master"&amp;"_Mapping_Sheet!$E$2:$E$3143, ISNUMBER(
Master_Mapping_Sheet!$E$2:$E$3143),
Master_Mapping_Sheet!$C$2:$C$3143=D$1)))"),0.0)</f>
        <v>0</v>
      </c>
      <c r="E22" s="34">
        <f>IFERROR(__xludf.DUMMYFUNCTION("IF(ISNA(sum(filter(
Master_Mapping_Sheet!$E$2:$E$3143, ISNUMBER(
Master_Mapping_Sheet!$E$2:$E$3143),
Master_Mapping_Sheet!$C$2:$C$3143=E$1,
Master_Mapping_Sheet!$H$2:$H$3143=$A22))/sum(filter(
Master_Mapping_Sheet!$E$2:$E$3143, ISNUMBER(
Master_Mapping_Sh"&amp;"eet!$E$2:$E$3143),
Master_Mapping_Sheet!$C$2:$C$3143=E$1))), 0, sum(filter(
Master_Mapping_Sheet!$E$2:$E$3143, ISNUMBER(
Master_Mapping_Sheet!$E$2:$E$3143),
Master_Mapping_Sheet!$C$2:$C$3143=E$1,
Master_Mapping_Sheet!$H$2:$H$3143=$A22))/sum(filter(
Master"&amp;"_Mapping_Sheet!$E$2:$E$3143, ISNUMBER(
Master_Mapping_Sheet!$E$2:$E$3143),
Master_Mapping_Sheet!$C$2:$C$3143=E$1)))"),0.0)</f>
        <v>0</v>
      </c>
      <c r="F22" s="34">
        <f>IFERROR(__xludf.DUMMYFUNCTION("IF(ISNA(sum(filter(
Master_Mapping_Sheet!$E$2:$E$3143, ISNUMBER(
Master_Mapping_Sheet!$E$2:$E$3143),
Master_Mapping_Sheet!$C$2:$C$3143=F$1,
Master_Mapping_Sheet!$H$2:$H$3143=$A22))/sum(filter(
Master_Mapping_Sheet!$E$2:$E$3143, ISNUMBER(
Master_Mapping_Sh"&amp;"eet!$E$2:$E$3143),
Master_Mapping_Sheet!$C$2:$C$3143=F$1))), 0, sum(filter(
Master_Mapping_Sheet!$E$2:$E$3143, ISNUMBER(
Master_Mapping_Sheet!$E$2:$E$3143),
Master_Mapping_Sheet!$C$2:$C$3143=F$1,
Master_Mapping_Sheet!$H$2:$H$3143=$A22))/sum(filter(
Master"&amp;"_Mapping_Sheet!$E$2:$E$3143, ISNUMBER(
Master_Mapping_Sheet!$E$2:$E$3143),
Master_Mapping_Sheet!$C$2:$C$3143=F$1)))"),0.40209435123290677)</f>
        <v>0.4020943512</v>
      </c>
      <c r="G22" s="34">
        <f>IFERROR(__xludf.DUMMYFUNCTION("IF(ISNA(sum(filter(
Master_Mapping_Sheet!$E$2:$E$3143, ISNUMBER(
Master_Mapping_Sheet!$E$2:$E$3143),
Master_Mapping_Sheet!$C$2:$C$3143=G$1,
Master_Mapping_Sheet!$H$2:$H$3143=$A22))/sum(filter(
Master_Mapping_Sheet!$E$2:$E$3143, ISNUMBER(
Master_Mapping_Sh"&amp;"eet!$E$2:$E$3143),
Master_Mapping_Sheet!$C$2:$C$3143=G$1))), 0, sum(filter(
Master_Mapping_Sheet!$E$2:$E$3143, ISNUMBER(
Master_Mapping_Sheet!$E$2:$E$3143),
Master_Mapping_Sheet!$C$2:$C$3143=G$1,
Master_Mapping_Sheet!$H$2:$H$3143=$A22))/sum(filter(
Master"&amp;"_Mapping_Sheet!$E$2:$E$3143, ISNUMBER(
Master_Mapping_Sheet!$E$2:$E$3143),
Master_Mapping_Sheet!$C$2:$C$3143=G$1)))"),0.0)</f>
        <v>0</v>
      </c>
      <c r="H22" s="34">
        <f>IFERROR(__xludf.DUMMYFUNCTION("IF(ISNA(sum(filter(
Master_Mapping_Sheet!$E$2:$E$3143, ISNUMBER(
Master_Mapping_Sheet!$E$2:$E$3143),
Master_Mapping_Sheet!$C$2:$C$3143=H$1,
Master_Mapping_Sheet!$H$2:$H$3143=$A22))/sum(filter(
Master_Mapping_Sheet!$E$2:$E$3143, ISNUMBER(
Master_Mapping_Sh"&amp;"eet!$E$2:$E$3143),
Master_Mapping_Sheet!$C$2:$C$3143=H$1))), 0, sum(filter(
Master_Mapping_Sheet!$E$2:$E$3143, ISNUMBER(
Master_Mapping_Sheet!$E$2:$E$3143),
Master_Mapping_Sheet!$C$2:$C$3143=H$1,
Master_Mapping_Sheet!$H$2:$H$3143=$A22))/sum(filter(
Master"&amp;"_Mapping_Sheet!$E$2:$E$3143, ISNUMBER(
Master_Mapping_Sheet!$E$2:$E$3143),
Master_Mapping_Sheet!$C$2:$C$3143=H$1)))"),0.0)</f>
        <v>0</v>
      </c>
      <c r="I22" s="34">
        <f>IFERROR(__xludf.DUMMYFUNCTION("IF(ISNA(sum(filter(
Master_Mapping_Sheet!$E$2:$E$3143, ISNUMBER(
Master_Mapping_Sheet!$E$2:$E$3143),
Master_Mapping_Sheet!$C$2:$C$3143=I$1,
Master_Mapping_Sheet!$H$2:$H$3143=$A22))/sum(filter(
Master_Mapping_Sheet!$E$2:$E$3143, ISNUMBER(
Master_Mapping_Sh"&amp;"eet!$E$2:$E$3143),
Master_Mapping_Sheet!$C$2:$C$3143=I$1))), 0, sum(filter(
Master_Mapping_Sheet!$E$2:$E$3143, ISNUMBER(
Master_Mapping_Sheet!$E$2:$E$3143),
Master_Mapping_Sheet!$C$2:$C$3143=I$1,
Master_Mapping_Sheet!$H$2:$H$3143=$A22))/sum(filter(
Master"&amp;"_Mapping_Sheet!$E$2:$E$3143, ISNUMBER(
Master_Mapping_Sheet!$E$2:$E$3143),
Master_Mapping_Sheet!$C$2:$C$3143=I$1)))"),0.0)</f>
        <v>0</v>
      </c>
      <c r="J22" s="34">
        <f>IFERROR(__xludf.DUMMYFUNCTION("IF(ISNA(sum(filter(
Master_Mapping_Sheet!$E$2:$E$3143, ISNUMBER(
Master_Mapping_Sheet!$E$2:$E$3143),
Master_Mapping_Sheet!$C$2:$C$3143=J$1,
Master_Mapping_Sheet!$H$2:$H$3143=$A22))/sum(filter(
Master_Mapping_Sheet!$E$2:$E$3143, ISNUMBER(
Master_Mapping_Sh"&amp;"eet!$E$2:$E$3143),
Master_Mapping_Sheet!$C$2:$C$3143=J$1))), 0, sum(filter(
Master_Mapping_Sheet!$E$2:$E$3143, ISNUMBER(
Master_Mapping_Sheet!$E$2:$E$3143),
Master_Mapping_Sheet!$C$2:$C$3143=J$1,
Master_Mapping_Sheet!$H$2:$H$3143=$A22))/sum(filter(
Master"&amp;"_Mapping_Sheet!$E$2:$E$3143, ISNUMBER(
Master_Mapping_Sheet!$E$2:$E$3143),
Master_Mapping_Sheet!$C$2:$C$3143=J$1)))"),0.0)</f>
        <v>0</v>
      </c>
      <c r="K22" s="34">
        <f>IFERROR(__xludf.DUMMYFUNCTION("IF(ISNA(sum(filter(
Master_Mapping_Sheet!$E$2:$E$3143, ISNUMBER(
Master_Mapping_Sheet!$E$2:$E$3143),
Master_Mapping_Sheet!$C$2:$C$3143=K$1,
Master_Mapping_Sheet!$H$2:$H$3143=$A22))/sum(filter(
Master_Mapping_Sheet!$E$2:$E$3143, ISNUMBER(
Master_Mapping_Sh"&amp;"eet!$E$2:$E$3143),
Master_Mapping_Sheet!$C$2:$C$3143=K$1))), 0, sum(filter(
Master_Mapping_Sheet!$E$2:$E$3143, ISNUMBER(
Master_Mapping_Sheet!$E$2:$E$3143),
Master_Mapping_Sheet!$C$2:$C$3143=K$1,
Master_Mapping_Sheet!$H$2:$H$3143=$A22))/sum(filter(
Master"&amp;"_Mapping_Sheet!$E$2:$E$3143, ISNUMBER(
Master_Mapping_Sheet!$E$2:$E$3143),
Master_Mapping_Sheet!$C$2:$C$3143=K$1)))"),0.0)</f>
        <v>0</v>
      </c>
      <c r="L22" s="34">
        <f>IFERROR(__xludf.DUMMYFUNCTION("IF(ISNA(sum(filter(
Master_Mapping_Sheet!$E$2:$E$3143, ISNUMBER(
Master_Mapping_Sheet!$E$2:$E$3143),
Master_Mapping_Sheet!$C$2:$C$3143=L$1,
Master_Mapping_Sheet!$H$2:$H$3143=$A22))/sum(filter(
Master_Mapping_Sheet!$E$2:$E$3143, ISNUMBER(
Master_Mapping_Sh"&amp;"eet!$E$2:$E$3143),
Master_Mapping_Sheet!$C$2:$C$3143=L$1))), 0, sum(filter(
Master_Mapping_Sheet!$E$2:$E$3143, ISNUMBER(
Master_Mapping_Sheet!$E$2:$E$3143),
Master_Mapping_Sheet!$C$2:$C$3143=L$1,
Master_Mapping_Sheet!$H$2:$H$3143=$A22))/sum(filter(
Master"&amp;"_Mapping_Sheet!$E$2:$E$3143, ISNUMBER(
Master_Mapping_Sheet!$E$2:$E$3143),
Master_Mapping_Sheet!$C$2:$C$3143=L$1)))"),0.0)</f>
        <v>0</v>
      </c>
      <c r="M22" s="34">
        <f>IFERROR(__xludf.DUMMYFUNCTION("IF(ISNA(sum(filter(
Master_Mapping_Sheet!$E$2:$E$3143, ISNUMBER(
Master_Mapping_Sheet!$E$2:$E$3143),
Master_Mapping_Sheet!$C$2:$C$3143=M$1,
Master_Mapping_Sheet!$H$2:$H$3143=$A22))/sum(filter(
Master_Mapping_Sheet!$E$2:$E$3143, ISNUMBER(
Master_Mapping_Sh"&amp;"eet!$E$2:$E$3143),
Master_Mapping_Sheet!$C$2:$C$3143=M$1))), 0, sum(filter(
Master_Mapping_Sheet!$E$2:$E$3143, ISNUMBER(
Master_Mapping_Sheet!$E$2:$E$3143),
Master_Mapping_Sheet!$C$2:$C$3143=M$1,
Master_Mapping_Sheet!$H$2:$H$3143=$A22))/sum(filter(
Master"&amp;"_Mapping_Sheet!$E$2:$E$3143, ISNUMBER(
Master_Mapping_Sheet!$E$2:$E$3143),
Master_Mapping_Sheet!$C$2:$C$3143=M$1)))"),0.0)</f>
        <v>0</v>
      </c>
      <c r="N22" s="34">
        <f>IFERROR(__xludf.DUMMYFUNCTION("IF(ISNA(sum(filter(
Master_Mapping_Sheet!$E$2:$E$3143, ISNUMBER(
Master_Mapping_Sheet!$E$2:$E$3143),
Master_Mapping_Sheet!$C$2:$C$3143=N$1,
Master_Mapping_Sheet!$H$2:$H$3143=$A22))/sum(filter(
Master_Mapping_Sheet!$E$2:$E$3143, ISNUMBER(
Master_Mapping_Sh"&amp;"eet!$E$2:$E$3143),
Master_Mapping_Sheet!$C$2:$C$3143=N$1))), 0, sum(filter(
Master_Mapping_Sheet!$E$2:$E$3143, ISNUMBER(
Master_Mapping_Sheet!$E$2:$E$3143),
Master_Mapping_Sheet!$C$2:$C$3143=N$1,
Master_Mapping_Sheet!$H$2:$H$3143=$A22))/sum(filter(
Master"&amp;"_Mapping_Sheet!$E$2:$E$3143, ISNUMBER(
Master_Mapping_Sheet!$E$2:$E$3143),
Master_Mapping_Sheet!$C$2:$C$3143=N$1)))"),0.0)</f>
        <v>0</v>
      </c>
      <c r="O22" s="34">
        <f>IFERROR(__xludf.DUMMYFUNCTION("IF(ISNA(sum(filter(
Master_Mapping_Sheet!$E$2:$E$3143, ISNUMBER(
Master_Mapping_Sheet!$E$2:$E$3143),
Master_Mapping_Sheet!$C$2:$C$3143=O$1,
Master_Mapping_Sheet!$H$2:$H$3143=$A22))/sum(filter(
Master_Mapping_Sheet!$E$2:$E$3143, ISNUMBER(
Master_Mapping_Sh"&amp;"eet!$E$2:$E$3143),
Master_Mapping_Sheet!$C$2:$C$3143=O$1))), 0, sum(filter(
Master_Mapping_Sheet!$E$2:$E$3143, ISNUMBER(
Master_Mapping_Sheet!$E$2:$E$3143),
Master_Mapping_Sheet!$C$2:$C$3143=O$1,
Master_Mapping_Sheet!$H$2:$H$3143=$A22))/sum(filter(
Master"&amp;"_Mapping_Sheet!$E$2:$E$3143, ISNUMBER(
Master_Mapping_Sheet!$E$2:$E$3143),
Master_Mapping_Sheet!$C$2:$C$3143=O$1)))"),0.0)</f>
        <v>0</v>
      </c>
      <c r="P22" s="34">
        <f>IFERROR(__xludf.DUMMYFUNCTION("IF(ISNA(sum(filter(
Master_Mapping_Sheet!$E$2:$E$3143, ISNUMBER(
Master_Mapping_Sheet!$E$2:$E$3143),
Master_Mapping_Sheet!$C$2:$C$3143=P$1,
Master_Mapping_Sheet!$H$2:$H$3143=$A22))/sum(filter(
Master_Mapping_Sheet!$E$2:$E$3143, ISNUMBER(
Master_Mapping_Sh"&amp;"eet!$E$2:$E$3143),
Master_Mapping_Sheet!$C$2:$C$3143=P$1))), 0, sum(filter(
Master_Mapping_Sheet!$E$2:$E$3143, ISNUMBER(
Master_Mapping_Sheet!$E$2:$E$3143),
Master_Mapping_Sheet!$C$2:$C$3143=P$1,
Master_Mapping_Sheet!$H$2:$H$3143=$A22))/sum(filter(
Master"&amp;"_Mapping_Sheet!$E$2:$E$3143, ISNUMBER(
Master_Mapping_Sheet!$E$2:$E$3143),
Master_Mapping_Sheet!$C$2:$C$3143=P$1)))"),0.0)</f>
        <v>0</v>
      </c>
      <c r="Q22" s="34">
        <f>IFERROR(__xludf.DUMMYFUNCTION("IF(ISNA(sum(filter(
Master_Mapping_Sheet!$E$2:$E$3143, ISNUMBER(
Master_Mapping_Sheet!$E$2:$E$3143),
Master_Mapping_Sheet!$C$2:$C$3143=Q$1,
Master_Mapping_Sheet!$H$2:$H$3143=$A22))/sum(filter(
Master_Mapping_Sheet!$E$2:$E$3143, ISNUMBER(
Master_Mapping_Sh"&amp;"eet!$E$2:$E$3143),
Master_Mapping_Sheet!$C$2:$C$3143=Q$1))), 0, sum(filter(
Master_Mapping_Sheet!$E$2:$E$3143, ISNUMBER(
Master_Mapping_Sheet!$E$2:$E$3143),
Master_Mapping_Sheet!$C$2:$C$3143=Q$1,
Master_Mapping_Sheet!$H$2:$H$3143=$A22))/sum(filter(
Master"&amp;"_Mapping_Sheet!$E$2:$E$3143, ISNUMBER(
Master_Mapping_Sheet!$E$2:$E$3143),
Master_Mapping_Sheet!$C$2:$C$3143=Q$1)))"),0.0)</f>
        <v>0</v>
      </c>
      <c r="R22" s="34">
        <f>IFERROR(__xludf.DUMMYFUNCTION("IF(ISNA(sum(filter(
Master_Mapping_Sheet!$E$2:$E$3143, ISNUMBER(
Master_Mapping_Sheet!$E$2:$E$3143),
Master_Mapping_Sheet!$C$2:$C$3143=R$1,
Master_Mapping_Sheet!$H$2:$H$3143=$A22))/sum(filter(
Master_Mapping_Sheet!$E$2:$E$3143, ISNUMBER(
Master_Mapping_Sh"&amp;"eet!$E$2:$E$3143),
Master_Mapping_Sheet!$C$2:$C$3143=R$1))), 0, sum(filter(
Master_Mapping_Sheet!$E$2:$E$3143, ISNUMBER(
Master_Mapping_Sheet!$E$2:$E$3143),
Master_Mapping_Sheet!$C$2:$C$3143=R$1,
Master_Mapping_Sheet!$H$2:$H$3143=$A22))/sum(filter(
Master"&amp;"_Mapping_Sheet!$E$2:$E$3143, ISNUMBER(
Master_Mapping_Sheet!$E$2:$E$3143),
Master_Mapping_Sheet!$C$2:$C$3143=R$1)))"),0.0)</f>
        <v>0</v>
      </c>
      <c r="S22" s="34">
        <f>IFERROR(__xludf.DUMMYFUNCTION("IF(ISNA(sum(filter(
Master_Mapping_Sheet!$E$2:$E$3143, ISNUMBER(
Master_Mapping_Sheet!$E$2:$E$3143),
Master_Mapping_Sheet!$C$2:$C$3143=S$1,
Master_Mapping_Sheet!$H$2:$H$3143=$A22))/sum(filter(
Master_Mapping_Sheet!$E$2:$E$3143, ISNUMBER(
Master_Mapping_Sh"&amp;"eet!$E$2:$E$3143),
Master_Mapping_Sheet!$C$2:$C$3143=S$1))), 0, sum(filter(
Master_Mapping_Sheet!$E$2:$E$3143, ISNUMBER(
Master_Mapping_Sheet!$E$2:$E$3143),
Master_Mapping_Sheet!$C$2:$C$3143=S$1,
Master_Mapping_Sheet!$H$2:$H$3143=$A22))/sum(filter(
Master"&amp;"_Mapping_Sheet!$E$2:$E$3143, ISNUMBER(
Master_Mapping_Sheet!$E$2:$E$3143),
Master_Mapping_Sheet!$C$2:$C$3143=S$1)))"),0.0)</f>
        <v>0</v>
      </c>
      <c r="T22" s="34">
        <f>IFERROR(__xludf.DUMMYFUNCTION("IF(ISNA(sum(filter(
Master_Mapping_Sheet!$E$2:$E$3143, ISNUMBER(
Master_Mapping_Sheet!$E$2:$E$3143),
Master_Mapping_Sheet!$C$2:$C$3143=T$1,
Master_Mapping_Sheet!$H$2:$H$3143=$A22))/sum(filter(
Master_Mapping_Sheet!$E$2:$E$3143, ISNUMBER(
Master_Mapping_Sh"&amp;"eet!$E$2:$E$3143),
Master_Mapping_Sheet!$C$2:$C$3143=T$1))), 0, sum(filter(
Master_Mapping_Sheet!$E$2:$E$3143, ISNUMBER(
Master_Mapping_Sheet!$E$2:$E$3143),
Master_Mapping_Sheet!$C$2:$C$3143=T$1,
Master_Mapping_Sheet!$H$2:$H$3143=$A22))/sum(filter(
Master"&amp;"_Mapping_Sheet!$E$2:$E$3143, ISNUMBER(
Master_Mapping_Sheet!$E$2:$E$3143),
Master_Mapping_Sheet!$C$2:$C$3143=T$1)))"),0.0)</f>
        <v>0</v>
      </c>
      <c r="U22" s="34">
        <f>IFERROR(__xludf.DUMMYFUNCTION("IF(ISNA(sum(filter(
Master_Mapping_Sheet!$E$2:$E$3143, ISNUMBER(
Master_Mapping_Sheet!$E$2:$E$3143),
Master_Mapping_Sheet!$C$2:$C$3143=U$1,
Master_Mapping_Sheet!$H$2:$H$3143=$A22))/sum(filter(
Master_Mapping_Sheet!$E$2:$E$3143, ISNUMBER(
Master_Mapping_Sh"&amp;"eet!$E$2:$E$3143),
Master_Mapping_Sheet!$C$2:$C$3143=U$1))), 0, sum(filter(
Master_Mapping_Sheet!$E$2:$E$3143, ISNUMBER(
Master_Mapping_Sheet!$E$2:$E$3143),
Master_Mapping_Sheet!$C$2:$C$3143=U$1,
Master_Mapping_Sheet!$H$2:$H$3143=$A22))/sum(filter(
Master"&amp;"_Mapping_Sheet!$E$2:$E$3143, ISNUMBER(
Master_Mapping_Sheet!$E$2:$E$3143),
Master_Mapping_Sheet!$C$2:$C$3143=U$1)))"),0.0)</f>
        <v>0</v>
      </c>
      <c r="V22" s="34">
        <f>IFERROR(__xludf.DUMMYFUNCTION("IF(ISNA(sum(filter(
Master_Mapping_Sheet!$E$2:$E$3143, ISNUMBER(
Master_Mapping_Sheet!$E$2:$E$3143),
Master_Mapping_Sheet!$C$2:$C$3143=V$1,
Master_Mapping_Sheet!$H$2:$H$3143=$A22))/sum(filter(
Master_Mapping_Sheet!$E$2:$E$3143, ISNUMBER(
Master_Mapping_Sh"&amp;"eet!$E$2:$E$3143),
Master_Mapping_Sheet!$C$2:$C$3143=V$1))), 0, sum(filter(
Master_Mapping_Sheet!$E$2:$E$3143, ISNUMBER(
Master_Mapping_Sheet!$E$2:$E$3143),
Master_Mapping_Sheet!$C$2:$C$3143=V$1,
Master_Mapping_Sheet!$H$2:$H$3143=$A22))/sum(filter(
Master"&amp;"_Mapping_Sheet!$E$2:$E$3143, ISNUMBER(
Master_Mapping_Sheet!$E$2:$E$3143),
Master_Mapping_Sheet!$C$2:$C$3143=V$1)))"),0.0)</f>
        <v>0</v>
      </c>
      <c r="W22" s="34">
        <f>IFERROR(__xludf.DUMMYFUNCTION("IF(ISNA(sum(filter(
Master_Mapping_Sheet!$E$2:$E$3143, ISNUMBER(
Master_Mapping_Sheet!$E$2:$E$3143),
Master_Mapping_Sheet!$C$2:$C$3143=W$1,
Master_Mapping_Sheet!$H$2:$H$3143=$A22))/sum(filter(
Master_Mapping_Sheet!$E$2:$E$3143, ISNUMBER(
Master_Mapping_Sh"&amp;"eet!$E$2:$E$3143),
Master_Mapping_Sheet!$C$2:$C$3143=W$1))), 0, sum(filter(
Master_Mapping_Sheet!$E$2:$E$3143, ISNUMBER(
Master_Mapping_Sheet!$E$2:$E$3143),
Master_Mapping_Sheet!$C$2:$C$3143=W$1,
Master_Mapping_Sheet!$H$2:$H$3143=$A22))/sum(filter(
Master"&amp;"_Mapping_Sheet!$E$2:$E$3143, ISNUMBER(
Master_Mapping_Sheet!$E$2:$E$3143),
Master_Mapping_Sheet!$C$2:$C$3143=W$1)))"),0.0)</f>
        <v>0</v>
      </c>
      <c r="X22" s="34">
        <f>IFERROR(__xludf.DUMMYFUNCTION("IF(ISNA(sum(filter(
Master_Mapping_Sheet!$E$2:$E$3143, ISNUMBER(
Master_Mapping_Sheet!$E$2:$E$3143),
Master_Mapping_Sheet!$C$2:$C$3143=X$1,
Master_Mapping_Sheet!$H$2:$H$3143=$A22))/sum(filter(
Master_Mapping_Sheet!$E$2:$E$3143, ISNUMBER(
Master_Mapping_Sh"&amp;"eet!$E$2:$E$3143),
Master_Mapping_Sheet!$C$2:$C$3143=X$1))), 0, sum(filter(
Master_Mapping_Sheet!$E$2:$E$3143, ISNUMBER(
Master_Mapping_Sheet!$E$2:$E$3143),
Master_Mapping_Sheet!$C$2:$C$3143=X$1,
Master_Mapping_Sheet!$H$2:$H$3143=$A22))/sum(filter(
Master"&amp;"_Mapping_Sheet!$E$2:$E$3143, ISNUMBER(
Master_Mapping_Sheet!$E$2:$E$3143),
Master_Mapping_Sheet!$C$2:$C$3143=X$1)))"),0.0)</f>
        <v>0</v>
      </c>
      <c r="Y22" s="34">
        <f>IFERROR(__xludf.DUMMYFUNCTION("IF(ISNA(sum(filter(
Master_Mapping_Sheet!$E$2:$E$3143, ISNUMBER(
Master_Mapping_Sheet!$E$2:$E$3143),
Master_Mapping_Sheet!$C$2:$C$3143=Y$1,
Master_Mapping_Sheet!$H$2:$H$3143=$A22))/sum(filter(
Master_Mapping_Sheet!$E$2:$E$3143, ISNUMBER(
Master_Mapping_Sh"&amp;"eet!$E$2:$E$3143),
Master_Mapping_Sheet!$C$2:$C$3143=Y$1))), 0, sum(filter(
Master_Mapping_Sheet!$E$2:$E$3143, ISNUMBER(
Master_Mapping_Sheet!$E$2:$E$3143),
Master_Mapping_Sheet!$C$2:$C$3143=Y$1,
Master_Mapping_Sheet!$H$2:$H$3143=$A22))/sum(filter(
Master"&amp;"_Mapping_Sheet!$E$2:$E$3143, ISNUMBER(
Master_Mapping_Sheet!$E$2:$E$3143),
Master_Mapping_Sheet!$C$2:$C$3143=Y$1)))"),0.0)</f>
        <v>0</v>
      </c>
      <c r="Z22" s="34">
        <f>IFERROR(__xludf.DUMMYFUNCTION("IF(ISNA(sum(filter(
Master_Mapping_Sheet!$E$2:$E$3143, ISNUMBER(
Master_Mapping_Sheet!$E$2:$E$3143),
Master_Mapping_Sheet!$C$2:$C$3143=Z$1,
Master_Mapping_Sheet!$H$2:$H$3143=$A22))/sum(filter(
Master_Mapping_Sheet!$E$2:$E$3143, ISNUMBER(
Master_Mapping_Sh"&amp;"eet!$E$2:$E$3143),
Master_Mapping_Sheet!$C$2:$C$3143=Z$1))), 0, sum(filter(
Master_Mapping_Sheet!$E$2:$E$3143, ISNUMBER(
Master_Mapping_Sheet!$E$2:$E$3143),
Master_Mapping_Sheet!$C$2:$C$3143=Z$1,
Master_Mapping_Sheet!$H$2:$H$3143=$A22))/sum(filter(
Master"&amp;"_Mapping_Sheet!$E$2:$E$3143, ISNUMBER(
Master_Mapping_Sheet!$E$2:$E$3143),
Master_Mapping_Sheet!$C$2:$C$3143=Z$1)))"),0.0)</f>
        <v>0</v>
      </c>
      <c r="AA22" s="34">
        <f>IFERROR(__xludf.DUMMYFUNCTION("IF(ISNA(sum(filter(
Master_Mapping_Sheet!$E$2:$E$3143, ISNUMBER(
Master_Mapping_Sheet!$E$2:$E$3143),
Master_Mapping_Sheet!$C$2:$C$3143=AA$1,
Master_Mapping_Sheet!$H$2:$H$3143=$A22))/sum(filter(
Master_Mapping_Sheet!$E$2:$E$3143, ISNUMBER(
Master_Mapping_S"&amp;"heet!$E$2:$E$3143),
Master_Mapping_Sheet!$C$2:$C$3143=AA$1))), 0, sum(filter(
Master_Mapping_Sheet!$E$2:$E$3143, ISNUMBER(
Master_Mapping_Sheet!$E$2:$E$3143),
Master_Mapping_Sheet!$C$2:$C$3143=AA$1,
Master_Mapping_Sheet!$H$2:$H$3143=$A22))/sum(filter(
Mas"&amp;"ter_Mapping_Sheet!$E$2:$E$3143, ISNUMBER(
Master_Mapping_Sheet!$E$2:$E$3143),
Master_Mapping_Sheet!$C$2:$C$3143=AA$1)))"),0.0)</f>
        <v>0</v>
      </c>
      <c r="AB22" s="34">
        <f>IFERROR(__xludf.DUMMYFUNCTION("IF(ISNA(sum(filter(
Master_Mapping_Sheet!$E$2:$E$3143, ISNUMBER(
Master_Mapping_Sheet!$E$2:$E$3143),
Master_Mapping_Sheet!$C$2:$C$3143=AB$1,
Master_Mapping_Sheet!$H$2:$H$3143=$A22))/sum(filter(
Master_Mapping_Sheet!$E$2:$E$3143, ISNUMBER(
Master_Mapping_S"&amp;"heet!$E$2:$E$3143),
Master_Mapping_Sheet!$C$2:$C$3143=AB$1))), 0, sum(filter(
Master_Mapping_Sheet!$E$2:$E$3143, ISNUMBER(
Master_Mapping_Sheet!$E$2:$E$3143),
Master_Mapping_Sheet!$C$2:$C$3143=AB$1,
Master_Mapping_Sheet!$H$2:$H$3143=$A22))/sum(filter(
Mas"&amp;"ter_Mapping_Sheet!$E$2:$E$3143, ISNUMBER(
Master_Mapping_Sheet!$E$2:$E$3143),
Master_Mapping_Sheet!$C$2:$C$3143=AB$1)))"),0.0)</f>
        <v>0</v>
      </c>
      <c r="AC22" s="34">
        <f>IFERROR(__xludf.DUMMYFUNCTION("IF(ISNA(sum(filter(
Master_Mapping_Sheet!$E$2:$E$3143, ISNUMBER(
Master_Mapping_Sheet!$E$2:$E$3143),
Master_Mapping_Sheet!$C$2:$C$3143=AC$1,
Master_Mapping_Sheet!$H$2:$H$3143=$A22))/sum(filter(
Master_Mapping_Sheet!$E$2:$E$3143, ISNUMBER(
Master_Mapping_S"&amp;"heet!$E$2:$E$3143),
Master_Mapping_Sheet!$C$2:$C$3143=AC$1))), 0, sum(filter(
Master_Mapping_Sheet!$E$2:$E$3143, ISNUMBER(
Master_Mapping_Sheet!$E$2:$E$3143),
Master_Mapping_Sheet!$C$2:$C$3143=AC$1,
Master_Mapping_Sheet!$H$2:$H$3143=$A22))/sum(filter(
Mas"&amp;"ter_Mapping_Sheet!$E$2:$E$3143, ISNUMBER(
Master_Mapping_Sheet!$E$2:$E$3143),
Master_Mapping_Sheet!$C$2:$C$3143=AC$1)))"),0.0)</f>
        <v>0</v>
      </c>
      <c r="AD22" s="34">
        <f>IFERROR(__xludf.DUMMYFUNCTION("IF(ISNA(sum(filter(
Master_Mapping_Sheet!$E$2:$E$3143, ISNUMBER(
Master_Mapping_Sheet!$E$2:$E$3143),
Master_Mapping_Sheet!$C$2:$C$3143=AD$1,
Master_Mapping_Sheet!$H$2:$H$3143=$A22))/sum(filter(
Master_Mapping_Sheet!$E$2:$E$3143, ISNUMBER(
Master_Mapping_S"&amp;"heet!$E$2:$E$3143),
Master_Mapping_Sheet!$C$2:$C$3143=AD$1))), 0, sum(filter(
Master_Mapping_Sheet!$E$2:$E$3143, ISNUMBER(
Master_Mapping_Sheet!$E$2:$E$3143),
Master_Mapping_Sheet!$C$2:$C$3143=AD$1,
Master_Mapping_Sheet!$H$2:$H$3143=$A22))/sum(filter(
Mas"&amp;"ter_Mapping_Sheet!$E$2:$E$3143, ISNUMBER(
Master_Mapping_Sheet!$E$2:$E$3143),
Master_Mapping_Sheet!$C$2:$C$3143=AD$1)))"),0.0)</f>
        <v>0</v>
      </c>
      <c r="AE22" s="34">
        <f>IFERROR(__xludf.DUMMYFUNCTION("IF(ISNA(sum(filter(
Master_Mapping_Sheet!$E$2:$E$3143, ISNUMBER(
Master_Mapping_Sheet!$E$2:$E$3143),
Master_Mapping_Sheet!$C$2:$C$3143=AE$1,
Master_Mapping_Sheet!$H$2:$H$3143=$A22))/sum(filter(
Master_Mapping_Sheet!$E$2:$E$3143, ISNUMBER(
Master_Mapping_S"&amp;"heet!$E$2:$E$3143),
Master_Mapping_Sheet!$C$2:$C$3143=AE$1))), 0, sum(filter(
Master_Mapping_Sheet!$E$2:$E$3143, ISNUMBER(
Master_Mapping_Sheet!$E$2:$E$3143),
Master_Mapping_Sheet!$C$2:$C$3143=AE$1,
Master_Mapping_Sheet!$H$2:$H$3143=$A22))/sum(filter(
Mas"&amp;"ter_Mapping_Sheet!$E$2:$E$3143, ISNUMBER(
Master_Mapping_Sheet!$E$2:$E$3143),
Master_Mapping_Sheet!$C$2:$C$3143=AE$1)))"),0.0)</f>
        <v>0</v>
      </c>
      <c r="AF22" s="34">
        <f>IFERROR(__xludf.DUMMYFUNCTION("IF(ISNA(sum(filter(
Master_Mapping_Sheet!$E$2:$E$3143, ISNUMBER(
Master_Mapping_Sheet!$E$2:$E$3143),
Master_Mapping_Sheet!$C$2:$C$3143=AF$1,
Master_Mapping_Sheet!$H$2:$H$3143=$A22))/sum(filter(
Master_Mapping_Sheet!$E$2:$E$3143, ISNUMBER(
Master_Mapping_S"&amp;"heet!$E$2:$E$3143),
Master_Mapping_Sheet!$C$2:$C$3143=AF$1))), 0, sum(filter(
Master_Mapping_Sheet!$E$2:$E$3143, ISNUMBER(
Master_Mapping_Sheet!$E$2:$E$3143),
Master_Mapping_Sheet!$C$2:$C$3143=AF$1,
Master_Mapping_Sheet!$H$2:$H$3143=$A22))/sum(filter(
Mas"&amp;"ter_Mapping_Sheet!$E$2:$E$3143, ISNUMBER(
Master_Mapping_Sheet!$E$2:$E$3143),
Master_Mapping_Sheet!$C$2:$C$3143=AF$1)))"),0.0)</f>
        <v>0</v>
      </c>
      <c r="AG22" s="34">
        <f>IFERROR(__xludf.DUMMYFUNCTION("IF(ISNA(sum(filter(
Master_Mapping_Sheet!$E$2:$E$3143, ISNUMBER(
Master_Mapping_Sheet!$E$2:$E$3143),
Master_Mapping_Sheet!$C$2:$C$3143=AG$1,
Master_Mapping_Sheet!$H$2:$H$3143=$A22))/sum(filter(
Master_Mapping_Sheet!$E$2:$E$3143, ISNUMBER(
Master_Mapping_S"&amp;"heet!$E$2:$E$3143),
Master_Mapping_Sheet!$C$2:$C$3143=AG$1))), 0, sum(filter(
Master_Mapping_Sheet!$E$2:$E$3143, ISNUMBER(
Master_Mapping_Sheet!$E$2:$E$3143),
Master_Mapping_Sheet!$C$2:$C$3143=AG$1,
Master_Mapping_Sheet!$H$2:$H$3143=$A22))/sum(filter(
Mas"&amp;"ter_Mapping_Sheet!$E$2:$E$3143, ISNUMBER(
Master_Mapping_Sheet!$E$2:$E$3143),
Master_Mapping_Sheet!$C$2:$C$3143=AG$1)))"),0.0)</f>
        <v>0</v>
      </c>
      <c r="AH22" s="34">
        <f>IFERROR(__xludf.DUMMYFUNCTION("IF(ISNA(sum(filter(
Master_Mapping_Sheet!$E$2:$E$3143, ISNUMBER(
Master_Mapping_Sheet!$E$2:$E$3143),
Master_Mapping_Sheet!$C$2:$C$3143=AH$1,
Master_Mapping_Sheet!$H$2:$H$3143=$A22))/sum(filter(
Master_Mapping_Sheet!$E$2:$E$3143, ISNUMBER(
Master_Mapping_S"&amp;"heet!$E$2:$E$3143),
Master_Mapping_Sheet!$C$2:$C$3143=AH$1))), 0, sum(filter(
Master_Mapping_Sheet!$E$2:$E$3143, ISNUMBER(
Master_Mapping_Sheet!$E$2:$E$3143),
Master_Mapping_Sheet!$C$2:$C$3143=AH$1,
Master_Mapping_Sheet!$H$2:$H$3143=$A22))/sum(filter(
Mas"&amp;"ter_Mapping_Sheet!$E$2:$E$3143, ISNUMBER(
Master_Mapping_Sheet!$E$2:$E$3143),
Master_Mapping_Sheet!$C$2:$C$3143=AH$1)))"),0.0)</f>
        <v>0</v>
      </c>
      <c r="AI22" s="34">
        <f>IFERROR(__xludf.DUMMYFUNCTION("IF(ISNA(sum(filter(
Master_Mapping_Sheet!$E$2:$E$3143, ISNUMBER(
Master_Mapping_Sheet!$E$2:$E$3143),
Master_Mapping_Sheet!$C$2:$C$3143=AI$1,
Master_Mapping_Sheet!$H$2:$H$3143=$A22))/sum(filter(
Master_Mapping_Sheet!$E$2:$E$3143, ISNUMBER(
Master_Mapping_S"&amp;"heet!$E$2:$E$3143),
Master_Mapping_Sheet!$C$2:$C$3143=AI$1))), 0, sum(filter(
Master_Mapping_Sheet!$E$2:$E$3143, ISNUMBER(
Master_Mapping_Sheet!$E$2:$E$3143),
Master_Mapping_Sheet!$C$2:$C$3143=AI$1,
Master_Mapping_Sheet!$H$2:$H$3143=$A22))/sum(filter(
Mas"&amp;"ter_Mapping_Sheet!$E$2:$E$3143, ISNUMBER(
Master_Mapping_Sheet!$E$2:$E$3143),
Master_Mapping_Sheet!$C$2:$C$3143=AI$1)))"),0.0)</f>
        <v>0</v>
      </c>
      <c r="AJ22" s="34">
        <f>IFERROR(__xludf.DUMMYFUNCTION("IF(ISNA(sum(filter(
Master_Mapping_Sheet!$E$2:$E$3143, ISNUMBER(
Master_Mapping_Sheet!$E$2:$E$3143),
Master_Mapping_Sheet!$C$2:$C$3143=AJ$1,
Master_Mapping_Sheet!$H$2:$H$3143=$A22))/sum(filter(
Master_Mapping_Sheet!$E$2:$E$3143, ISNUMBER(
Master_Mapping_S"&amp;"heet!$E$2:$E$3143),
Master_Mapping_Sheet!$C$2:$C$3143=AJ$1))), 0, sum(filter(
Master_Mapping_Sheet!$E$2:$E$3143, ISNUMBER(
Master_Mapping_Sheet!$E$2:$E$3143),
Master_Mapping_Sheet!$C$2:$C$3143=AJ$1,
Master_Mapping_Sheet!$H$2:$H$3143=$A22))/sum(filter(
Mas"&amp;"ter_Mapping_Sheet!$E$2:$E$3143, ISNUMBER(
Master_Mapping_Sheet!$E$2:$E$3143),
Master_Mapping_Sheet!$C$2:$C$3143=AJ$1)))"),0.0)</f>
        <v>0</v>
      </c>
      <c r="AK22" s="34">
        <f>IFERROR(__xludf.DUMMYFUNCTION("IF(ISNA(sum(filter(
Master_Mapping_Sheet!$E$2:$E$3143, ISNUMBER(
Master_Mapping_Sheet!$E$2:$E$3143),
Master_Mapping_Sheet!$C$2:$C$3143=AK$1,
Master_Mapping_Sheet!$H$2:$H$3143=$A22))/sum(filter(
Master_Mapping_Sheet!$E$2:$E$3143, ISNUMBER(
Master_Mapping_S"&amp;"heet!$E$2:$E$3143),
Master_Mapping_Sheet!$C$2:$C$3143=AK$1))), 0, sum(filter(
Master_Mapping_Sheet!$E$2:$E$3143, ISNUMBER(
Master_Mapping_Sheet!$E$2:$E$3143),
Master_Mapping_Sheet!$C$2:$C$3143=AK$1,
Master_Mapping_Sheet!$H$2:$H$3143=$A22))/sum(filter(
Mas"&amp;"ter_Mapping_Sheet!$E$2:$E$3143, ISNUMBER(
Master_Mapping_Sheet!$E$2:$E$3143),
Master_Mapping_Sheet!$C$2:$C$3143=AK$1)))"),0.0)</f>
        <v>0</v>
      </c>
      <c r="AL22" s="34">
        <f>IFERROR(__xludf.DUMMYFUNCTION("IF(ISNA(sum(filter(
Master_Mapping_Sheet!$E$2:$E$3143, ISNUMBER(
Master_Mapping_Sheet!$E$2:$E$3143),
Master_Mapping_Sheet!$C$2:$C$3143=AL$1,
Master_Mapping_Sheet!$H$2:$H$3143=$A22))/sum(filter(
Master_Mapping_Sheet!$E$2:$E$3143, ISNUMBER(
Master_Mapping_S"&amp;"heet!$E$2:$E$3143),
Master_Mapping_Sheet!$C$2:$C$3143=AL$1))), 0, sum(filter(
Master_Mapping_Sheet!$E$2:$E$3143, ISNUMBER(
Master_Mapping_Sheet!$E$2:$E$3143),
Master_Mapping_Sheet!$C$2:$C$3143=AL$1,
Master_Mapping_Sheet!$H$2:$H$3143=$A22))/sum(filter(
Mas"&amp;"ter_Mapping_Sheet!$E$2:$E$3143, ISNUMBER(
Master_Mapping_Sheet!$E$2:$E$3143),
Master_Mapping_Sheet!$C$2:$C$3143=AL$1)))"),0.0)</f>
        <v>0</v>
      </c>
      <c r="AM22" s="34">
        <f>IFERROR(__xludf.DUMMYFUNCTION("IF(ISNA(sum(filter(
Master_Mapping_Sheet!$E$2:$E$3143, ISNUMBER(
Master_Mapping_Sheet!$E$2:$E$3143),
Master_Mapping_Sheet!$C$2:$C$3143=AM$1,
Master_Mapping_Sheet!$H$2:$H$3143=$A22))/sum(filter(
Master_Mapping_Sheet!$E$2:$E$3143, ISNUMBER(
Master_Mapping_S"&amp;"heet!$E$2:$E$3143),
Master_Mapping_Sheet!$C$2:$C$3143=AM$1))), 0, sum(filter(
Master_Mapping_Sheet!$E$2:$E$3143, ISNUMBER(
Master_Mapping_Sheet!$E$2:$E$3143),
Master_Mapping_Sheet!$C$2:$C$3143=AM$1,
Master_Mapping_Sheet!$H$2:$H$3143=$A22))/sum(filter(
Mas"&amp;"ter_Mapping_Sheet!$E$2:$E$3143, ISNUMBER(
Master_Mapping_Sheet!$E$2:$E$3143),
Master_Mapping_Sheet!$C$2:$C$3143=AM$1)))"),0.0)</f>
        <v>0</v>
      </c>
      <c r="AN22" s="34">
        <f>IFERROR(__xludf.DUMMYFUNCTION("IF(ISNA(sum(filter(
Master_Mapping_Sheet!$E$2:$E$3143, ISNUMBER(
Master_Mapping_Sheet!$E$2:$E$3143),
Master_Mapping_Sheet!$C$2:$C$3143=AN$1,
Master_Mapping_Sheet!$H$2:$H$3143=$A22))/sum(filter(
Master_Mapping_Sheet!$E$2:$E$3143, ISNUMBER(
Master_Mapping_S"&amp;"heet!$E$2:$E$3143),
Master_Mapping_Sheet!$C$2:$C$3143=AN$1))), 0, sum(filter(
Master_Mapping_Sheet!$E$2:$E$3143, ISNUMBER(
Master_Mapping_Sheet!$E$2:$E$3143),
Master_Mapping_Sheet!$C$2:$C$3143=AN$1,
Master_Mapping_Sheet!$H$2:$H$3143=$A22))/sum(filter(
Mas"&amp;"ter_Mapping_Sheet!$E$2:$E$3143, ISNUMBER(
Master_Mapping_Sheet!$E$2:$E$3143),
Master_Mapping_Sheet!$C$2:$C$3143=AN$1)))"),0.0)</f>
        <v>0</v>
      </c>
      <c r="AO22" s="34">
        <f>IFERROR(__xludf.DUMMYFUNCTION("IF(ISNA(sum(filter(
Master_Mapping_Sheet!$E$2:$E$3143, ISNUMBER(
Master_Mapping_Sheet!$E$2:$E$3143),
Master_Mapping_Sheet!$C$2:$C$3143=AO$1,
Master_Mapping_Sheet!$H$2:$H$3143=$A22))/sum(filter(
Master_Mapping_Sheet!$E$2:$E$3143, ISNUMBER(
Master_Mapping_S"&amp;"heet!$E$2:$E$3143),
Master_Mapping_Sheet!$C$2:$C$3143=AO$1))), 0, sum(filter(
Master_Mapping_Sheet!$E$2:$E$3143, ISNUMBER(
Master_Mapping_Sheet!$E$2:$E$3143),
Master_Mapping_Sheet!$C$2:$C$3143=AO$1,
Master_Mapping_Sheet!$H$2:$H$3143=$A22))/sum(filter(
Mas"&amp;"ter_Mapping_Sheet!$E$2:$E$3143, ISNUMBER(
Master_Mapping_Sheet!$E$2:$E$3143),
Master_Mapping_Sheet!$C$2:$C$3143=AO$1)))"),0.0)</f>
        <v>0</v>
      </c>
      <c r="AP22" s="34">
        <f>IFERROR(__xludf.DUMMYFUNCTION("IF(ISNA(sum(filter(
Master_Mapping_Sheet!$E$2:$E$3143, ISNUMBER(
Master_Mapping_Sheet!$E$2:$E$3143),
Master_Mapping_Sheet!$C$2:$C$3143=AP$1,
Master_Mapping_Sheet!$H$2:$H$3143=$A22))/sum(filter(
Master_Mapping_Sheet!$E$2:$E$3143, ISNUMBER(
Master_Mapping_S"&amp;"heet!$E$2:$E$3143),
Master_Mapping_Sheet!$C$2:$C$3143=AP$1))), 0, sum(filter(
Master_Mapping_Sheet!$E$2:$E$3143, ISNUMBER(
Master_Mapping_Sheet!$E$2:$E$3143),
Master_Mapping_Sheet!$C$2:$C$3143=AP$1,
Master_Mapping_Sheet!$H$2:$H$3143=$A22))/sum(filter(
Mas"&amp;"ter_Mapping_Sheet!$E$2:$E$3143, ISNUMBER(
Master_Mapping_Sheet!$E$2:$E$3143),
Master_Mapping_Sheet!$C$2:$C$3143=AP$1)))"),0.0)</f>
        <v>0</v>
      </c>
      <c r="AQ22" s="34">
        <f>IFERROR(__xludf.DUMMYFUNCTION("IF(ISNA(sum(filter(
Master_Mapping_Sheet!$E$2:$E$3143, ISNUMBER(
Master_Mapping_Sheet!$E$2:$E$3143),
Master_Mapping_Sheet!$C$2:$C$3143=AQ$1,
Master_Mapping_Sheet!$H$2:$H$3143=$A22))/sum(filter(
Master_Mapping_Sheet!$E$2:$E$3143, ISNUMBER(
Master_Mapping_S"&amp;"heet!$E$2:$E$3143),
Master_Mapping_Sheet!$C$2:$C$3143=AQ$1))), 0, sum(filter(
Master_Mapping_Sheet!$E$2:$E$3143, ISNUMBER(
Master_Mapping_Sheet!$E$2:$E$3143),
Master_Mapping_Sheet!$C$2:$C$3143=AQ$1,
Master_Mapping_Sheet!$H$2:$H$3143=$A22))/sum(filter(
Mas"&amp;"ter_Mapping_Sheet!$E$2:$E$3143, ISNUMBER(
Master_Mapping_Sheet!$E$2:$E$3143),
Master_Mapping_Sheet!$C$2:$C$3143=AQ$1)))"),0.0)</f>
        <v>0</v>
      </c>
      <c r="AR22" s="34">
        <f>IFERROR(__xludf.DUMMYFUNCTION("IF(ISNA(sum(filter(
Master_Mapping_Sheet!$E$2:$E$3143, ISNUMBER(
Master_Mapping_Sheet!$E$2:$E$3143),
Master_Mapping_Sheet!$C$2:$C$3143=AR$1,
Master_Mapping_Sheet!$H$2:$H$3143=$A22))/sum(filter(
Master_Mapping_Sheet!$E$2:$E$3143, ISNUMBER(
Master_Mapping_S"&amp;"heet!$E$2:$E$3143),
Master_Mapping_Sheet!$C$2:$C$3143=AR$1))), 0, sum(filter(
Master_Mapping_Sheet!$E$2:$E$3143, ISNUMBER(
Master_Mapping_Sheet!$E$2:$E$3143),
Master_Mapping_Sheet!$C$2:$C$3143=AR$1,
Master_Mapping_Sheet!$H$2:$H$3143=$A22))/sum(filter(
Mas"&amp;"ter_Mapping_Sheet!$E$2:$E$3143, ISNUMBER(
Master_Mapping_Sheet!$E$2:$E$3143),
Master_Mapping_Sheet!$C$2:$C$3143=AR$1)))"),0.0)</f>
        <v>0</v>
      </c>
      <c r="AS22" s="34">
        <f>IFERROR(__xludf.DUMMYFUNCTION("IF(ISNA(sum(filter(
Master_Mapping_Sheet!$E$2:$E$3143, ISNUMBER(
Master_Mapping_Sheet!$E$2:$E$3143),
Master_Mapping_Sheet!$C$2:$C$3143=AS$1,
Master_Mapping_Sheet!$H$2:$H$3143=$A22))/sum(filter(
Master_Mapping_Sheet!$E$2:$E$3143, ISNUMBER(
Master_Mapping_S"&amp;"heet!$E$2:$E$3143),
Master_Mapping_Sheet!$C$2:$C$3143=AS$1))), 0, sum(filter(
Master_Mapping_Sheet!$E$2:$E$3143, ISNUMBER(
Master_Mapping_Sheet!$E$2:$E$3143),
Master_Mapping_Sheet!$C$2:$C$3143=AS$1,
Master_Mapping_Sheet!$H$2:$H$3143=$A22))/sum(filter(
Mas"&amp;"ter_Mapping_Sheet!$E$2:$E$3143, ISNUMBER(
Master_Mapping_Sheet!$E$2:$E$3143),
Master_Mapping_Sheet!$C$2:$C$3143=AS$1)))"),0.0)</f>
        <v>0</v>
      </c>
      <c r="AT22" s="34">
        <f>IFERROR(__xludf.DUMMYFUNCTION("IF(ISNA(sum(filter(
Master_Mapping_Sheet!$E$2:$E$3143, ISNUMBER(
Master_Mapping_Sheet!$E$2:$E$3143),
Master_Mapping_Sheet!$C$2:$C$3143=AT$1,
Master_Mapping_Sheet!$H$2:$H$3143=$A22))/sum(filter(
Master_Mapping_Sheet!$E$2:$E$3143, ISNUMBER(
Master_Mapping_S"&amp;"heet!$E$2:$E$3143),
Master_Mapping_Sheet!$C$2:$C$3143=AT$1))), 0, sum(filter(
Master_Mapping_Sheet!$E$2:$E$3143, ISNUMBER(
Master_Mapping_Sheet!$E$2:$E$3143),
Master_Mapping_Sheet!$C$2:$C$3143=AT$1,
Master_Mapping_Sheet!$H$2:$H$3143=$A22))/sum(filter(
Mas"&amp;"ter_Mapping_Sheet!$E$2:$E$3143, ISNUMBER(
Master_Mapping_Sheet!$E$2:$E$3143),
Master_Mapping_Sheet!$C$2:$C$3143=AT$1)))"),0.0)</f>
        <v>0</v>
      </c>
      <c r="AU22" s="34">
        <f>IFERROR(__xludf.DUMMYFUNCTION("IF(ISNA(sum(filter(
Master_Mapping_Sheet!$E$2:$E$3143, ISNUMBER(
Master_Mapping_Sheet!$E$2:$E$3143),
Master_Mapping_Sheet!$C$2:$C$3143=AU$1,
Master_Mapping_Sheet!$H$2:$H$3143=$A22))/sum(filter(
Master_Mapping_Sheet!$E$2:$E$3143, ISNUMBER(
Master_Mapping_S"&amp;"heet!$E$2:$E$3143),
Master_Mapping_Sheet!$C$2:$C$3143=AU$1))), 0, sum(filter(
Master_Mapping_Sheet!$E$2:$E$3143, ISNUMBER(
Master_Mapping_Sheet!$E$2:$E$3143),
Master_Mapping_Sheet!$C$2:$C$3143=AU$1,
Master_Mapping_Sheet!$H$2:$H$3143=$A22))/sum(filter(
Mas"&amp;"ter_Mapping_Sheet!$E$2:$E$3143, ISNUMBER(
Master_Mapping_Sheet!$E$2:$E$3143),
Master_Mapping_Sheet!$C$2:$C$3143=AU$1)))"),0.0)</f>
        <v>0</v>
      </c>
      <c r="AV22" s="34">
        <f>IFERROR(__xludf.DUMMYFUNCTION("IF(ISNA(sum(filter(
Master_Mapping_Sheet!$E$2:$E$3143, ISNUMBER(
Master_Mapping_Sheet!$E$2:$E$3143),
Master_Mapping_Sheet!$C$2:$C$3143=AV$1,
Master_Mapping_Sheet!$H$2:$H$3143=$A22))/sum(filter(
Master_Mapping_Sheet!$E$2:$E$3143, ISNUMBER(
Master_Mapping_S"&amp;"heet!$E$2:$E$3143),
Master_Mapping_Sheet!$C$2:$C$3143=AV$1))), 0, sum(filter(
Master_Mapping_Sheet!$E$2:$E$3143, ISNUMBER(
Master_Mapping_Sheet!$E$2:$E$3143),
Master_Mapping_Sheet!$C$2:$C$3143=AV$1,
Master_Mapping_Sheet!$H$2:$H$3143=$A22))/sum(filter(
Mas"&amp;"ter_Mapping_Sheet!$E$2:$E$3143, ISNUMBER(
Master_Mapping_Sheet!$E$2:$E$3143),
Master_Mapping_Sheet!$C$2:$C$3143=AV$1)))"),0.0)</f>
        <v>0</v>
      </c>
      <c r="AW22" s="34">
        <f>IFERROR(__xludf.DUMMYFUNCTION("IF(ISNA(sum(filter(
Master_Mapping_Sheet!$E$2:$E$3143, ISNUMBER(
Master_Mapping_Sheet!$E$2:$E$3143),
Master_Mapping_Sheet!$C$2:$C$3143=AW$1,
Master_Mapping_Sheet!$H$2:$H$3143=$A22))/sum(filter(
Master_Mapping_Sheet!$E$2:$E$3143, ISNUMBER(
Master_Mapping_S"&amp;"heet!$E$2:$E$3143),
Master_Mapping_Sheet!$C$2:$C$3143=AW$1))), 0, sum(filter(
Master_Mapping_Sheet!$E$2:$E$3143, ISNUMBER(
Master_Mapping_Sheet!$E$2:$E$3143),
Master_Mapping_Sheet!$C$2:$C$3143=AW$1,
Master_Mapping_Sheet!$H$2:$H$3143=$A22))/sum(filter(
Mas"&amp;"ter_Mapping_Sheet!$E$2:$E$3143, ISNUMBER(
Master_Mapping_Sheet!$E$2:$E$3143),
Master_Mapping_Sheet!$C$2:$C$3143=AW$1)))"),0.0)</f>
        <v>0</v>
      </c>
      <c r="AX22" s="34">
        <f>IFERROR(__xludf.DUMMYFUNCTION("IF(ISNA(sum(filter(
Master_Mapping_Sheet!$E$2:$E$3143, ISNUMBER(
Master_Mapping_Sheet!$E$2:$E$3143),
Master_Mapping_Sheet!$C$2:$C$3143=AX$1,
Master_Mapping_Sheet!$H$2:$H$3143=$A22))/sum(filter(
Master_Mapping_Sheet!$E$2:$E$3143, ISNUMBER(
Master_Mapping_S"&amp;"heet!$E$2:$E$3143),
Master_Mapping_Sheet!$C$2:$C$3143=AX$1))), 0, sum(filter(
Master_Mapping_Sheet!$E$2:$E$3143, ISNUMBER(
Master_Mapping_Sheet!$E$2:$E$3143),
Master_Mapping_Sheet!$C$2:$C$3143=AX$1,
Master_Mapping_Sheet!$H$2:$H$3143=$A22))/sum(filter(
Mas"&amp;"ter_Mapping_Sheet!$E$2:$E$3143, ISNUMBER(
Master_Mapping_Sheet!$E$2:$E$3143),
Master_Mapping_Sheet!$C$2:$C$3143=AX$1)))"),0.0)</f>
        <v>0</v>
      </c>
      <c r="AY22" s="34">
        <f>IFERROR(__xludf.DUMMYFUNCTION("IF(ISNA(sum(filter(
Master_Mapping_Sheet!$E$2:$E$3143, ISNUMBER(
Master_Mapping_Sheet!$E$2:$E$3143),
Master_Mapping_Sheet!$C$2:$C$3143=AY$1,
Master_Mapping_Sheet!$H$2:$H$3143=$A22))/sum(filter(
Master_Mapping_Sheet!$E$2:$E$3143, ISNUMBER(
Master_Mapping_S"&amp;"heet!$E$2:$E$3143),
Master_Mapping_Sheet!$C$2:$C$3143=AY$1))), 0, sum(filter(
Master_Mapping_Sheet!$E$2:$E$3143, ISNUMBER(
Master_Mapping_Sheet!$E$2:$E$3143),
Master_Mapping_Sheet!$C$2:$C$3143=AY$1,
Master_Mapping_Sheet!$H$2:$H$3143=$A22))/sum(filter(
Mas"&amp;"ter_Mapping_Sheet!$E$2:$E$3143, ISNUMBER(
Master_Mapping_Sheet!$E$2:$E$3143),
Master_Mapping_Sheet!$C$2:$C$3143=AY$1)))"),0.0)</f>
        <v>0</v>
      </c>
      <c r="AZ22" s="34">
        <f>IFERROR(__xludf.DUMMYFUNCTION("IF(ISNA(sum(filter(
Master_Mapping_Sheet!$E$2:$E$3143, ISNUMBER(
Master_Mapping_Sheet!$E$2:$E$3143),
Master_Mapping_Sheet!$C$2:$C$3143=AZ$1,
Master_Mapping_Sheet!$H$2:$H$3143=$A22))/sum(filter(
Master_Mapping_Sheet!$E$2:$E$3143, ISNUMBER(
Master_Mapping_S"&amp;"heet!$E$2:$E$3143),
Master_Mapping_Sheet!$C$2:$C$3143=AZ$1))), 0, sum(filter(
Master_Mapping_Sheet!$E$2:$E$3143, ISNUMBER(
Master_Mapping_Sheet!$E$2:$E$3143),
Master_Mapping_Sheet!$C$2:$C$3143=AZ$1,
Master_Mapping_Sheet!$H$2:$H$3143=$A22))/sum(filter(
Mas"&amp;"ter_Mapping_Sheet!$E$2:$E$3143, ISNUMBER(
Master_Mapping_Sheet!$E$2:$E$3143),
Master_Mapping_Sheet!$C$2:$C$3143=AZ$1)))"),0.0)</f>
        <v>0</v>
      </c>
    </row>
    <row r="23" ht="15.75" customHeight="1">
      <c r="A23" s="34" t="s">
        <v>3981</v>
      </c>
      <c r="B23" s="34">
        <f>IFERROR(__xludf.DUMMYFUNCTION("IF(ISNA(sum(filter(
Master_Mapping_Sheet!$E$2:$E$3143, ISNUMBER(
Master_Mapping_Sheet!$E$2:$E$3143),
Master_Mapping_Sheet!$C$2:$C$3143=B$1,
Master_Mapping_Sheet!$H$2:$H$3143=$A23))/sum(filter(
Master_Mapping_Sheet!$E$2:$E$3143, ISNUMBER(
Master_Mapping_Sh"&amp;"eet!$E$2:$E$3143),
Master_Mapping_Sheet!$C$2:$C$3143=B$1))), 0, sum(filter(
Master_Mapping_Sheet!$E$2:$E$3143, ISNUMBER(
Master_Mapping_Sheet!$E$2:$E$3143),
Master_Mapping_Sheet!$C$2:$C$3143=B$1,
Master_Mapping_Sheet!$H$2:$H$3143=$A23))/sum(filter(
Master"&amp;"_Mapping_Sheet!$E$2:$E$3143, ISNUMBER(
Master_Mapping_Sheet!$E$2:$E$3143),
Master_Mapping_Sheet!$C$2:$C$3143=B$1)))"),0.0)</f>
        <v>0</v>
      </c>
      <c r="C23" s="34">
        <f>IFERROR(__xludf.DUMMYFUNCTION("IF(ISNA(sum(filter(
Master_Mapping_Sheet!$E$2:$E$3143, ISNUMBER(
Master_Mapping_Sheet!$E$2:$E$3143),
Master_Mapping_Sheet!$C$2:$C$3143=C$1,
Master_Mapping_Sheet!$H$2:$H$3143=$A23))/sum(filter(
Master_Mapping_Sheet!$E$2:$E$3143, ISNUMBER(
Master_Mapping_Sh"&amp;"eet!$E$2:$E$3143),
Master_Mapping_Sheet!$C$2:$C$3143=C$1))), 0, sum(filter(
Master_Mapping_Sheet!$E$2:$E$3143, ISNUMBER(
Master_Mapping_Sheet!$E$2:$E$3143),
Master_Mapping_Sheet!$C$2:$C$3143=C$1,
Master_Mapping_Sheet!$H$2:$H$3143=$A23))/sum(filter(
Master"&amp;"_Mapping_Sheet!$E$2:$E$3143, ISNUMBER(
Master_Mapping_Sheet!$E$2:$E$3143),
Master_Mapping_Sheet!$C$2:$C$3143=C$1)))"),0.0)</f>
        <v>0</v>
      </c>
      <c r="D23" s="34">
        <f>IFERROR(__xludf.DUMMYFUNCTION("IF(ISNA(sum(filter(
Master_Mapping_Sheet!$E$2:$E$3143, ISNUMBER(
Master_Mapping_Sheet!$E$2:$E$3143),
Master_Mapping_Sheet!$C$2:$C$3143=D$1,
Master_Mapping_Sheet!$H$2:$H$3143=$A23))/sum(filter(
Master_Mapping_Sheet!$E$2:$E$3143, ISNUMBER(
Master_Mapping_Sh"&amp;"eet!$E$2:$E$3143),
Master_Mapping_Sheet!$C$2:$C$3143=D$1))), 0, sum(filter(
Master_Mapping_Sheet!$E$2:$E$3143, ISNUMBER(
Master_Mapping_Sheet!$E$2:$E$3143),
Master_Mapping_Sheet!$C$2:$C$3143=D$1,
Master_Mapping_Sheet!$H$2:$H$3143=$A23))/sum(filter(
Master"&amp;"_Mapping_Sheet!$E$2:$E$3143, ISNUMBER(
Master_Mapping_Sheet!$E$2:$E$3143),
Master_Mapping_Sheet!$C$2:$C$3143=D$1)))"),0.0)</f>
        <v>0</v>
      </c>
      <c r="E23" s="34">
        <f>IFERROR(__xludf.DUMMYFUNCTION("IF(ISNA(sum(filter(
Master_Mapping_Sheet!$E$2:$E$3143, ISNUMBER(
Master_Mapping_Sheet!$E$2:$E$3143),
Master_Mapping_Sheet!$C$2:$C$3143=E$1,
Master_Mapping_Sheet!$H$2:$H$3143=$A23))/sum(filter(
Master_Mapping_Sheet!$E$2:$E$3143, ISNUMBER(
Master_Mapping_Sh"&amp;"eet!$E$2:$E$3143),
Master_Mapping_Sheet!$C$2:$C$3143=E$1))), 0, sum(filter(
Master_Mapping_Sheet!$E$2:$E$3143, ISNUMBER(
Master_Mapping_Sheet!$E$2:$E$3143),
Master_Mapping_Sheet!$C$2:$C$3143=E$1,
Master_Mapping_Sheet!$H$2:$H$3143=$A23))/sum(filter(
Master"&amp;"_Mapping_Sheet!$E$2:$E$3143, ISNUMBER(
Master_Mapping_Sheet!$E$2:$E$3143),
Master_Mapping_Sheet!$C$2:$C$3143=E$1)))"),0.0)</f>
        <v>0</v>
      </c>
      <c r="F23" s="34">
        <f>IFERROR(__xludf.DUMMYFUNCTION("IF(ISNA(sum(filter(
Master_Mapping_Sheet!$E$2:$E$3143, ISNUMBER(
Master_Mapping_Sheet!$E$2:$E$3143),
Master_Mapping_Sheet!$C$2:$C$3143=F$1,
Master_Mapping_Sheet!$H$2:$H$3143=$A23))/sum(filter(
Master_Mapping_Sheet!$E$2:$E$3143, ISNUMBER(
Master_Mapping_Sh"&amp;"eet!$E$2:$E$3143),
Master_Mapping_Sheet!$C$2:$C$3143=F$1))), 0, sum(filter(
Master_Mapping_Sheet!$E$2:$E$3143, ISNUMBER(
Master_Mapping_Sheet!$E$2:$E$3143),
Master_Mapping_Sheet!$C$2:$C$3143=F$1,
Master_Mapping_Sheet!$H$2:$H$3143=$A23))/sum(filter(
Master"&amp;"_Mapping_Sheet!$E$2:$E$3143, ISNUMBER(
Master_Mapping_Sheet!$E$2:$E$3143),
Master_Mapping_Sheet!$C$2:$C$3143=F$1)))"),0.5905680231071869)</f>
        <v>0.5905680231</v>
      </c>
      <c r="G23" s="34">
        <f>IFERROR(__xludf.DUMMYFUNCTION("IF(ISNA(sum(filter(
Master_Mapping_Sheet!$E$2:$E$3143, ISNUMBER(
Master_Mapping_Sheet!$E$2:$E$3143),
Master_Mapping_Sheet!$C$2:$C$3143=G$1,
Master_Mapping_Sheet!$H$2:$H$3143=$A23))/sum(filter(
Master_Mapping_Sheet!$E$2:$E$3143, ISNUMBER(
Master_Mapping_Sh"&amp;"eet!$E$2:$E$3143),
Master_Mapping_Sheet!$C$2:$C$3143=G$1))), 0, sum(filter(
Master_Mapping_Sheet!$E$2:$E$3143, ISNUMBER(
Master_Mapping_Sheet!$E$2:$E$3143),
Master_Mapping_Sheet!$C$2:$C$3143=G$1,
Master_Mapping_Sheet!$H$2:$H$3143=$A23))/sum(filter(
Master"&amp;"_Mapping_Sheet!$E$2:$E$3143, ISNUMBER(
Master_Mapping_Sheet!$E$2:$E$3143),
Master_Mapping_Sheet!$C$2:$C$3143=G$1)))"),0.0)</f>
        <v>0</v>
      </c>
      <c r="H23" s="34">
        <f>IFERROR(__xludf.DUMMYFUNCTION("IF(ISNA(sum(filter(
Master_Mapping_Sheet!$E$2:$E$3143, ISNUMBER(
Master_Mapping_Sheet!$E$2:$E$3143),
Master_Mapping_Sheet!$C$2:$C$3143=H$1,
Master_Mapping_Sheet!$H$2:$H$3143=$A23))/sum(filter(
Master_Mapping_Sheet!$E$2:$E$3143, ISNUMBER(
Master_Mapping_Sh"&amp;"eet!$E$2:$E$3143),
Master_Mapping_Sheet!$C$2:$C$3143=H$1))), 0, sum(filter(
Master_Mapping_Sheet!$E$2:$E$3143, ISNUMBER(
Master_Mapping_Sheet!$E$2:$E$3143),
Master_Mapping_Sheet!$C$2:$C$3143=H$1,
Master_Mapping_Sheet!$H$2:$H$3143=$A23))/sum(filter(
Master"&amp;"_Mapping_Sheet!$E$2:$E$3143, ISNUMBER(
Master_Mapping_Sheet!$E$2:$E$3143),
Master_Mapping_Sheet!$C$2:$C$3143=H$1)))"),0.0)</f>
        <v>0</v>
      </c>
      <c r="I23" s="34">
        <f>IFERROR(__xludf.DUMMYFUNCTION("IF(ISNA(sum(filter(
Master_Mapping_Sheet!$E$2:$E$3143, ISNUMBER(
Master_Mapping_Sheet!$E$2:$E$3143),
Master_Mapping_Sheet!$C$2:$C$3143=I$1,
Master_Mapping_Sheet!$H$2:$H$3143=$A23))/sum(filter(
Master_Mapping_Sheet!$E$2:$E$3143, ISNUMBER(
Master_Mapping_Sh"&amp;"eet!$E$2:$E$3143),
Master_Mapping_Sheet!$C$2:$C$3143=I$1))), 0, sum(filter(
Master_Mapping_Sheet!$E$2:$E$3143, ISNUMBER(
Master_Mapping_Sheet!$E$2:$E$3143),
Master_Mapping_Sheet!$C$2:$C$3143=I$1,
Master_Mapping_Sheet!$H$2:$H$3143=$A23))/sum(filter(
Master"&amp;"_Mapping_Sheet!$E$2:$E$3143, ISNUMBER(
Master_Mapping_Sheet!$E$2:$E$3143),
Master_Mapping_Sheet!$C$2:$C$3143=I$1)))"),0.0)</f>
        <v>0</v>
      </c>
      <c r="J23" s="34">
        <f>IFERROR(__xludf.DUMMYFUNCTION("IF(ISNA(sum(filter(
Master_Mapping_Sheet!$E$2:$E$3143, ISNUMBER(
Master_Mapping_Sheet!$E$2:$E$3143),
Master_Mapping_Sheet!$C$2:$C$3143=J$1,
Master_Mapping_Sheet!$H$2:$H$3143=$A23))/sum(filter(
Master_Mapping_Sheet!$E$2:$E$3143, ISNUMBER(
Master_Mapping_Sh"&amp;"eet!$E$2:$E$3143),
Master_Mapping_Sheet!$C$2:$C$3143=J$1))), 0, sum(filter(
Master_Mapping_Sheet!$E$2:$E$3143, ISNUMBER(
Master_Mapping_Sheet!$E$2:$E$3143),
Master_Mapping_Sheet!$C$2:$C$3143=J$1,
Master_Mapping_Sheet!$H$2:$H$3143=$A23))/sum(filter(
Master"&amp;"_Mapping_Sheet!$E$2:$E$3143, ISNUMBER(
Master_Mapping_Sheet!$E$2:$E$3143),
Master_Mapping_Sheet!$C$2:$C$3143=J$1)))"),0.0)</f>
        <v>0</v>
      </c>
      <c r="K23" s="34">
        <f>IFERROR(__xludf.DUMMYFUNCTION("IF(ISNA(sum(filter(
Master_Mapping_Sheet!$E$2:$E$3143, ISNUMBER(
Master_Mapping_Sheet!$E$2:$E$3143),
Master_Mapping_Sheet!$C$2:$C$3143=K$1,
Master_Mapping_Sheet!$H$2:$H$3143=$A23))/sum(filter(
Master_Mapping_Sheet!$E$2:$E$3143, ISNUMBER(
Master_Mapping_Sh"&amp;"eet!$E$2:$E$3143),
Master_Mapping_Sheet!$C$2:$C$3143=K$1))), 0, sum(filter(
Master_Mapping_Sheet!$E$2:$E$3143, ISNUMBER(
Master_Mapping_Sheet!$E$2:$E$3143),
Master_Mapping_Sheet!$C$2:$C$3143=K$1,
Master_Mapping_Sheet!$H$2:$H$3143=$A23))/sum(filter(
Master"&amp;"_Mapping_Sheet!$E$2:$E$3143, ISNUMBER(
Master_Mapping_Sheet!$E$2:$E$3143),
Master_Mapping_Sheet!$C$2:$C$3143=K$1)))"),0.0)</f>
        <v>0</v>
      </c>
      <c r="L23" s="34">
        <f>IFERROR(__xludf.DUMMYFUNCTION("IF(ISNA(sum(filter(
Master_Mapping_Sheet!$E$2:$E$3143, ISNUMBER(
Master_Mapping_Sheet!$E$2:$E$3143),
Master_Mapping_Sheet!$C$2:$C$3143=L$1,
Master_Mapping_Sheet!$H$2:$H$3143=$A23))/sum(filter(
Master_Mapping_Sheet!$E$2:$E$3143, ISNUMBER(
Master_Mapping_Sh"&amp;"eet!$E$2:$E$3143),
Master_Mapping_Sheet!$C$2:$C$3143=L$1))), 0, sum(filter(
Master_Mapping_Sheet!$E$2:$E$3143, ISNUMBER(
Master_Mapping_Sheet!$E$2:$E$3143),
Master_Mapping_Sheet!$C$2:$C$3143=L$1,
Master_Mapping_Sheet!$H$2:$H$3143=$A23))/sum(filter(
Master"&amp;"_Mapping_Sheet!$E$2:$E$3143, ISNUMBER(
Master_Mapping_Sheet!$E$2:$E$3143),
Master_Mapping_Sheet!$C$2:$C$3143=L$1)))"),0.0)</f>
        <v>0</v>
      </c>
      <c r="M23" s="34">
        <f>IFERROR(__xludf.DUMMYFUNCTION("IF(ISNA(sum(filter(
Master_Mapping_Sheet!$E$2:$E$3143, ISNUMBER(
Master_Mapping_Sheet!$E$2:$E$3143),
Master_Mapping_Sheet!$C$2:$C$3143=M$1,
Master_Mapping_Sheet!$H$2:$H$3143=$A23))/sum(filter(
Master_Mapping_Sheet!$E$2:$E$3143, ISNUMBER(
Master_Mapping_Sh"&amp;"eet!$E$2:$E$3143),
Master_Mapping_Sheet!$C$2:$C$3143=M$1))), 0, sum(filter(
Master_Mapping_Sheet!$E$2:$E$3143, ISNUMBER(
Master_Mapping_Sheet!$E$2:$E$3143),
Master_Mapping_Sheet!$C$2:$C$3143=M$1,
Master_Mapping_Sheet!$H$2:$H$3143=$A23))/sum(filter(
Master"&amp;"_Mapping_Sheet!$E$2:$E$3143, ISNUMBER(
Master_Mapping_Sheet!$E$2:$E$3143),
Master_Mapping_Sheet!$C$2:$C$3143=M$1)))"),0.0)</f>
        <v>0</v>
      </c>
      <c r="N23" s="34">
        <f>IFERROR(__xludf.DUMMYFUNCTION("IF(ISNA(sum(filter(
Master_Mapping_Sheet!$E$2:$E$3143, ISNUMBER(
Master_Mapping_Sheet!$E$2:$E$3143),
Master_Mapping_Sheet!$C$2:$C$3143=N$1,
Master_Mapping_Sheet!$H$2:$H$3143=$A23))/sum(filter(
Master_Mapping_Sheet!$E$2:$E$3143, ISNUMBER(
Master_Mapping_Sh"&amp;"eet!$E$2:$E$3143),
Master_Mapping_Sheet!$C$2:$C$3143=N$1))), 0, sum(filter(
Master_Mapping_Sheet!$E$2:$E$3143, ISNUMBER(
Master_Mapping_Sheet!$E$2:$E$3143),
Master_Mapping_Sheet!$C$2:$C$3143=N$1,
Master_Mapping_Sheet!$H$2:$H$3143=$A23))/sum(filter(
Master"&amp;"_Mapping_Sheet!$E$2:$E$3143, ISNUMBER(
Master_Mapping_Sheet!$E$2:$E$3143),
Master_Mapping_Sheet!$C$2:$C$3143=N$1)))"),0.0)</f>
        <v>0</v>
      </c>
      <c r="O23" s="34">
        <f>IFERROR(__xludf.DUMMYFUNCTION("IF(ISNA(sum(filter(
Master_Mapping_Sheet!$E$2:$E$3143, ISNUMBER(
Master_Mapping_Sheet!$E$2:$E$3143),
Master_Mapping_Sheet!$C$2:$C$3143=O$1,
Master_Mapping_Sheet!$H$2:$H$3143=$A23))/sum(filter(
Master_Mapping_Sheet!$E$2:$E$3143, ISNUMBER(
Master_Mapping_Sh"&amp;"eet!$E$2:$E$3143),
Master_Mapping_Sheet!$C$2:$C$3143=O$1))), 0, sum(filter(
Master_Mapping_Sheet!$E$2:$E$3143, ISNUMBER(
Master_Mapping_Sheet!$E$2:$E$3143),
Master_Mapping_Sheet!$C$2:$C$3143=O$1,
Master_Mapping_Sheet!$H$2:$H$3143=$A23))/sum(filter(
Master"&amp;"_Mapping_Sheet!$E$2:$E$3143, ISNUMBER(
Master_Mapping_Sheet!$E$2:$E$3143),
Master_Mapping_Sheet!$C$2:$C$3143=O$1)))"),0.0)</f>
        <v>0</v>
      </c>
      <c r="P23" s="34">
        <f>IFERROR(__xludf.DUMMYFUNCTION("IF(ISNA(sum(filter(
Master_Mapping_Sheet!$E$2:$E$3143, ISNUMBER(
Master_Mapping_Sheet!$E$2:$E$3143),
Master_Mapping_Sheet!$C$2:$C$3143=P$1,
Master_Mapping_Sheet!$H$2:$H$3143=$A23))/sum(filter(
Master_Mapping_Sheet!$E$2:$E$3143, ISNUMBER(
Master_Mapping_Sh"&amp;"eet!$E$2:$E$3143),
Master_Mapping_Sheet!$C$2:$C$3143=P$1))), 0, sum(filter(
Master_Mapping_Sheet!$E$2:$E$3143, ISNUMBER(
Master_Mapping_Sheet!$E$2:$E$3143),
Master_Mapping_Sheet!$C$2:$C$3143=P$1,
Master_Mapping_Sheet!$H$2:$H$3143=$A23))/sum(filter(
Master"&amp;"_Mapping_Sheet!$E$2:$E$3143, ISNUMBER(
Master_Mapping_Sheet!$E$2:$E$3143),
Master_Mapping_Sheet!$C$2:$C$3143=P$1)))"),0.0)</f>
        <v>0</v>
      </c>
      <c r="Q23" s="34">
        <f>IFERROR(__xludf.DUMMYFUNCTION("IF(ISNA(sum(filter(
Master_Mapping_Sheet!$E$2:$E$3143, ISNUMBER(
Master_Mapping_Sheet!$E$2:$E$3143),
Master_Mapping_Sheet!$C$2:$C$3143=Q$1,
Master_Mapping_Sheet!$H$2:$H$3143=$A23))/sum(filter(
Master_Mapping_Sheet!$E$2:$E$3143, ISNUMBER(
Master_Mapping_Sh"&amp;"eet!$E$2:$E$3143),
Master_Mapping_Sheet!$C$2:$C$3143=Q$1))), 0, sum(filter(
Master_Mapping_Sheet!$E$2:$E$3143, ISNUMBER(
Master_Mapping_Sheet!$E$2:$E$3143),
Master_Mapping_Sheet!$C$2:$C$3143=Q$1,
Master_Mapping_Sheet!$H$2:$H$3143=$A23))/sum(filter(
Master"&amp;"_Mapping_Sheet!$E$2:$E$3143, ISNUMBER(
Master_Mapping_Sheet!$E$2:$E$3143),
Master_Mapping_Sheet!$C$2:$C$3143=Q$1)))"),0.0)</f>
        <v>0</v>
      </c>
      <c r="R23" s="34">
        <f>IFERROR(__xludf.DUMMYFUNCTION("IF(ISNA(sum(filter(
Master_Mapping_Sheet!$E$2:$E$3143, ISNUMBER(
Master_Mapping_Sheet!$E$2:$E$3143),
Master_Mapping_Sheet!$C$2:$C$3143=R$1,
Master_Mapping_Sheet!$H$2:$H$3143=$A23))/sum(filter(
Master_Mapping_Sheet!$E$2:$E$3143, ISNUMBER(
Master_Mapping_Sh"&amp;"eet!$E$2:$E$3143),
Master_Mapping_Sheet!$C$2:$C$3143=R$1))), 0, sum(filter(
Master_Mapping_Sheet!$E$2:$E$3143, ISNUMBER(
Master_Mapping_Sheet!$E$2:$E$3143),
Master_Mapping_Sheet!$C$2:$C$3143=R$1,
Master_Mapping_Sheet!$H$2:$H$3143=$A23))/sum(filter(
Master"&amp;"_Mapping_Sheet!$E$2:$E$3143, ISNUMBER(
Master_Mapping_Sheet!$E$2:$E$3143),
Master_Mapping_Sheet!$C$2:$C$3143=R$1)))"),0.0)</f>
        <v>0</v>
      </c>
      <c r="S23" s="34">
        <f>IFERROR(__xludf.DUMMYFUNCTION("IF(ISNA(sum(filter(
Master_Mapping_Sheet!$E$2:$E$3143, ISNUMBER(
Master_Mapping_Sheet!$E$2:$E$3143),
Master_Mapping_Sheet!$C$2:$C$3143=S$1,
Master_Mapping_Sheet!$H$2:$H$3143=$A23))/sum(filter(
Master_Mapping_Sheet!$E$2:$E$3143, ISNUMBER(
Master_Mapping_Sh"&amp;"eet!$E$2:$E$3143),
Master_Mapping_Sheet!$C$2:$C$3143=S$1))), 0, sum(filter(
Master_Mapping_Sheet!$E$2:$E$3143, ISNUMBER(
Master_Mapping_Sheet!$E$2:$E$3143),
Master_Mapping_Sheet!$C$2:$C$3143=S$1,
Master_Mapping_Sheet!$H$2:$H$3143=$A23))/sum(filter(
Master"&amp;"_Mapping_Sheet!$E$2:$E$3143, ISNUMBER(
Master_Mapping_Sheet!$E$2:$E$3143),
Master_Mapping_Sheet!$C$2:$C$3143=S$1)))"),0.0)</f>
        <v>0</v>
      </c>
      <c r="T23" s="34">
        <f>IFERROR(__xludf.DUMMYFUNCTION("IF(ISNA(sum(filter(
Master_Mapping_Sheet!$E$2:$E$3143, ISNUMBER(
Master_Mapping_Sheet!$E$2:$E$3143),
Master_Mapping_Sheet!$C$2:$C$3143=T$1,
Master_Mapping_Sheet!$H$2:$H$3143=$A23))/sum(filter(
Master_Mapping_Sheet!$E$2:$E$3143, ISNUMBER(
Master_Mapping_Sh"&amp;"eet!$E$2:$E$3143),
Master_Mapping_Sheet!$C$2:$C$3143=T$1))), 0, sum(filter(
Master_Mapping_Sheet!$E$2:$E$3143, ISNUMBER(
Master_Mapping_Sheet!$E$2:$E$3143),
Master_Mapping_Sheet!$C$2:$C$3143=T$1,
Master_Mapping_Sheet!$H$2:$H$3143=$A23))/sum(filter(
Master"&amp;"_Mapping_Sheet!$E$2:$E$3143, ISNUMBER(
Master_Mapping_Sheet!$E$2:$E$3143),
Master_Mapping_Sheet!$C$2:$C$3143=T$1)))"),0.0)</f>
        <v>0</v>
      </c>
      <c r="U23" s="34">
        <f>IFERROR(__xludf.DUMMYFUNCTION("IF(ISNA(sum(filter(
Master_Mapping_Sheet!$E$2:$E$3143, ISNUMBER(
Master_Mapping_Sheet!$E$2:$E$3143),
Master_Mapping_Sheet!$C$2:$C$3143=U$1,
Master_Mapping_Sheet!$H$2:$H$3143=$A23))/sum(filter(
Master_Mapping_Sheet!$E$2:$E$3143, ISNUMBER(
Master_Mapping_Sh"&amp;"eet!$E$2:$E$3143),
Master_Mapping_Sheet!$C$2:$C$3143=U$1))), 0, sum(filter(
Master_Mapping_Sheet!$E$2:$E$3143, ISNUMBER(
Master_Mapping_Sheet!$E$2:$E$3143),
Master_Mapping_Sheet!$C$2:$C$3143=U$1,
Master_Mapping_Sheet!$H$2:$H$3143=$A23))/sum(filter(
Master"&amp;"_Mapping_Sheet!$E$2:$E$3143, ISNUMBER(
Master_Mapping_Sheet!$E$2:$E$3143),
Master_Mapping_Sheet!$C$2:$C$3143=U$1)))"),0.0)</f>
        <v>0</v>
      </c>
      <c r="V23" s="34">
        <f>IFERROR(__xludf.DUMMYFUNCTION("IF(ISNA(sum(filter(
Master_Mapping_Sheet!$E$2:$E$3143, ISNUMBER(
Master_Mapping_Sheet!$E$2:$E$3143),
Master_Mapping_Sheet!$C$2:$C$3143=V$1,
Master_Mapping_Sheet!$H$2:$H$3143=$A23))/sum(filter(
Master_Mapping_Sheet!$E$2:$E$3143, ISNUMBER(
Master_Mapping_Sh"&amp;"eet!$E$2:$E$3143),
Master_Mapping_Sheet!$C$2:$C$3143=V$1))), 0, sum(filter(
Master_Mapping_Sheet!$E$2:$E$3143, ISNUMBER(
Master_Mapping_Sheet!$E$2:$E$3143),
Master_Mapping_Sheet!$C$2:$C$3143=V$1,
Master_Mapping_Sheet!$H$2:$H$3143=$A23))/sum(filter(
Master"&amp;"_Mapping_Sheet!$E$2:$E$3143, ISNUMBER(
Master_Mapping_Sheet!$E$2:$E$3143),
Master_Mapping_Sheet!$C$2:$C$3143=V$1)))"),0.0)</f>
        <v>0</v>
      </c>
      <c r="W23" s="34">
        <f>IFERROR(__xludf.DUMMYFUNCTION("IF(ISNA(sum(filter(
Master_Mapping_Sheet!$E$2:$E$3143, ISNUMBER(
Master_Mapping_Sheet!$E$2:$E$3143),
Master_Mapping_Sheet!$C$2:$C$3143=W$1,
Master_Mapping_Sheet!$H$2:$H$3143=$A23))/sum(filter(
Master_Mapping_Sheet!$E$2:$E$3143, ISNUMBER(
Master_Mapping_Sh"&amp;"eet!$E$2:$E$3143),
Master_Mapping_Sheet!$C$2:$C$3143=W$1))), 0, sum(filter(
Master_Mapping_Sheet!$E$2:$E$3143, ISNUMBER(
Master_Mapping_Sheet!$E$2:$E$3143),
Master_Mapping_Sheet!$C$2:$C$3143=W$1,
Master_Mapping_Sheet!$H$2:$H$3143=$A23))/sum(filter(
Master"&amp;"_Mapping_Sheet!$E$2:$E$3143, ISNUMBER(
Master_Mapping_Sheet!$E$2:$E$3143),
Master_Mapping_Sheet!$C$2:$C$3143=W$1)))"),0.0)</f>
        <v>0</v>
      </c>
      <c r="X23" s="34">
        <f>IFERROR(__xludf.DUMMYFUNCTION("IF(ISNA(sum(filter(
Master_Mapping_Sheet!$E$2:$E$3143, ISNUMBER(
Master_Mapping_Sheet!$E$2:$E$3143),
Master_Mapping_Sheet!$C$2:$C$3143=X$1,
Master_Mapping_Sheet!$H$2:$H$3143=$A23))/sum(filter(
Master_Mapping_Sheet!$E$2:$E$3143, ISNUMBER(
Master_Mapping_Sh"&amp;"eet!$E$2:$E$3143),
Master_Mapping_Sheet!$C$2:$C$3143=X$1))), 0, sum(filter(
Master_Mapping_Sheet!$E$2:$E$3143, ISNUMBER(
Master_Mapping_Sheet!$E$2:$E$3143),
Master_Mapping_Sheet!$C$2:$C$3143=X$1,
Master_Mapping_Sheet!$H$2:$H$3143=$A23))/sum(filter(
Master"&amp;"_Mapping_Sheet!$E$2:$E$3143, ISNUMBER(
Master_Mapping_Sheet!$E$2:$E$3143),
Master_Mapping_Sheet!$C$2:$C$3143=X$1)))"),0.0)</f>
        <v>0</v>
      </c>
      <c r="Y23" s="34">
        <f>IFERROR(__xludf.DUMMYFUNCTION("IF(ISNA(sum(filter(
Master_Mapping_Sheet!$E$2:$E$3143, ISNUMBER(
Master_Mapping_Sheet!$E$2:$E$3143),
Master_Mapping_Sheet!$C$2:$C$3143=Y$1,
Master_Mapping_Sheet!$H$2:$H$3143=$A23))/sum(filter(
Master_Mapping_Sheet!$E$2:$E$3143, ISNUMBER(
Master_Mapping_Sh"&amp;"eet!$E$2:$E$3143),
Master_Mapping_Sheet!$C$2:$C$3143=Y$1))), 0, sum(filter(
Master_Mapping_Sheet!$E$2:$E$3143, ISNUMBER(
Master_Mapping_Sheet!$E$2:$E$3143),
Master_Mapping_Sheet!$C$2:$C$3143=Y$1,
Master_Mapping_Sheet!$H$2:$H$3143=$A23))/sum(filter(
Master"&amp;"_Mapping_Sheet!$E$2:$E$3143, ISNUMBER(
Master_Mapping_Sheet!$E$2:$E$3143),
Master_Mapping_Sheet!$C$2:$C$3143=Y$1)))"),0.0)</f>
        <v>0</v>
      </c>
      <c r="Z23" s="34">
        <f>IFERROR(__xludf.DUMMYFUNCTION("IF(ISNA(sum(filter(
Master_Mapping_Sheet!$E$2:$E$3143, ISNUMBER(
Master_Mapping_Sheet!$E$2:$E$3143),
Master_Mapping_Sheet!$C$2:$C$3143=Z$1,
Master_Mapping_Sheet!$H$2:$H$3143=$A23))/sum(filter(
Master_Mapping_Sheet!$E$2:$E$3143, ISNUMBER(
Master_Mapping_Sh"&amp;"eet!$E$2:$E$3143),
Master_Mapping_Sheet!$C$2:$C$3143=Z$1))), 0, sum(filter(
Master_Mapping_Sheet!$E$2:$E$3143, ISNUMBER(
Master_Mapping_Sheet!$E$2:$E$3143),
Master_Mapping_Sheet!$C$2:$C$3143=Z$1,
Master_Mapping_Sheet!$H$2:$H$3143=$A23))/sum(filter(
Master"&amp;"_Mapping_Sheet!$E$2:$E$3143, ISNUMBER(
Master_Mapping_Sheet!$E$2:$E$3143),
Master_Mapping_Sheet!$C$2:$C$3143=Z$1)))"),0.0)</f>
        <v>0</v>
      </c>
      <c r="AA23" s="34">
        <f>IFERROR(__xludf.DUMMYFUNCTION("IF(ISNA(sum(filter(
Master_Mapping_Sheet!$E$2:$E$3143, ISNUMBER(
Master_Mapping_Sheet!$E$2:$E$3143),
Master_Mapping_Sheet!$C$2:$C$3143=AA$1,
Master_Mapping_Sheet!$H$2:$H$3143=$A23))/sum(filter(
Master_Mapping_Sheet!$E$2:$E$3143, ISNUMBER(
Master_Mapping_S"&amp;"heet!$E$2:$E$3143),
Master_Mapping_Sheet!$C$2:$C$3143=AA$1))), 0, sum(filter(
Master_Mapping_Sheet!$E$2:$E$3143, ISNUMBER(
Master_Mapping_Sheet!$E$2:$E$3143),
Master_Mapping_Sheet!$C$2:$C$3143=AA$1,
Master_Mapping_Sheet!$H$2:$H$3143=$A23))/sum(filter(
Mas"&amp;"ter_Mapping_Sheet!$E$2:$E$3143, ISNUMBER(
Master_Mapping_Sheet!$E$2:$E$3143),
Master_Mapping_Sheet!$C$2:$C$3143=AA$1)))"),0.0)</f>
        <v>0</v>
      </c>
      <c r="AB23" s="34">
        <f>IFERROR(__xludf.DUMMYFUNCTION("IF(ISNA(sum(filter(
Master_Mapping_Sheet!$E$2:$E$3143, ISNUMBER(
Master_Mapping_Sheet!$E$2:$E$3143),
Master_Mapping_Sheet!$C$2:$C$3143=AB$1,
Master_Mapping_Sheet!$H$2:$H$3143=$A23))/sum(filter(
Master_Mapping_Sheet!$E$2:$E$3143, ISNUMBER(
Master_Mapping_S"&amp;"heet!$E$2:$E$3143),
Master_Mapping_Sheet!$C$2:$C$3143=AB$1))), 0, sum(filter(
Master_Mapping_Sheet!$E$2:$E$3143, ISNUMBER(
Master_Mapping_Sheet!$E$2:$E$3143),
Master_Mapping_Sheet!$C$2:$C$3143=AB$1,
Master_Mapping_Sheet!$H$2:$H$3143=$A23))/sum(filter(
Mas"&amp;"ter_Mapping_Sheet!$E$2:$E$3143, ISNUMBER(
Master_Mapping_Sheet!$E$2:$E$3143),
Master_Mapping_Sheet!$C$2:$C$3143=AB$1)))"),0.0)</f>
        <v>0</v>
      </c>
      <c r="AC23" s="34">
        <f>IFERROR(__xludf.DUMMYFUNCTION("IF(ISNA(sum(filter(
Master_Mapping_Sheet!$E$2:$E$3143, ISNUMBER(
Master_Mapping_Sheet!$E$2:$E$3143),
Master_Mapping_Sheet!$C$2:$C$3143=AC$1,
Master_Mapping_Sheet!$H$2:$H$3143=$A23))/sum(filter(
Master_Mapping_Sheet!$E$2:$E$3143, ISNUMBER(
Master_Mapping_S"&amp;"heet!$E$2:$E$3143),
Master_Mapping_Sheet!$C$2:$C$3143=AC$1))), 0, sum(filter(
Master_Mapping_Sheet!$E$2:$E$3143, ISNUMBER(
Master_Mapping_Sheet!$E$2:$E$3143),
Master_Mapping_Sheet!$C$2:$C$3143=AC$1,
Master_Mapping_Sheet!$H$2:$H$3143=$A23))/sum(filter(
Mas"&amp;"ter_Mapping_Sheet!$E$2:$E$3143, ISNUMBER(
Master_Mapping_Sheet!$E$2:$E$3143),
Master_Mapping_Sheet!$C$2:$C$3143=AC$1)))"),0.0)</f>
        <v>0</v>
      </c>
      <c r="AD23" s="34">
        <f>IFERROR(__xludf.DUMMYFUNCTION("IF(ISNA(sum(filter(
Master_Mapping_Sheet!$E$2:$E$3143, ISNUMBER(
Master_Mapping_Sheet!$E$2:$E$3143),
Master_Mapping_Sheet!$C$2:$C$3143=AD$1,
Master_Mapping_Sheet!$H$2:$H$3143=$A23))/sum(filter(
Master_Mapping_Sheet!$E$2:$E$3143, ISNUMBER(
Master_Mapping_S"&amp;"heet!$E$2:$E$3143),
Master_Mapping_Sheet!$C$2:$C$3143=AD$1))), 0, sum(filter(
Master_Mapping_Sheet!$E$2:$E$3143, ISNUMBER(
Master_Mapping_Sheet!$E$2:$E$3143),
Master_Mapping_Sheet!$C$2:$C$3143=AD$1,
Master_Mapping_Sheet!$H$2:$H$3143=$A23))/sum(filter(
Mas"&amp;"ter_Mapping_Sheet!$E$2:$E$3143, ISNUMBER(
Master_Mapping_Sheet!$E$2:$E$3143),
Master_Mapping_Sheet!$C$2:$C$3143=AD$1)))"),0.0)</f>
        <v>0</v>
      </c>
      <c r="AE23" s="34">
        <f>IFERROR(__xludf.DUMMYFUNCTION("IF(ISNA(sum(filter(
Master_Mapping_Sheet!$E$2:$E$3143, ISNUMBER(
Master_Mapping_Sheet!$E$2:$E$3143),
Master_Mapping_Sheet!$C$2:$C$3143=AE$1,
Master_Mapping_Sheet!$H$2:$H$3143=$A23))/sum(filter(
Master_Mapping_Sheet!$E$2:$E$3143, ISNUMBER(
Master_Mapping_S"&amp;"heet!$E$2:$E$3143),
Master_Mapping_Sheet!$C$2:$C$3143=AE$1))), 0, sum(filter(
Master_Mapping_Sheet!$E$2:$E$3143, ISNUMBER(
Master_Mapping_Sheet!$E$2:$E$3143),
Master_Mapping_Sheet!$C$2:$C$3143=AE$1,
Master_Mapping_Sheet!$H$2:$H$3143=$A23))/sum(filter(
Mas"&amp;"ter_Mapping_Sheet!$E$2:$E$3143, ISNUMBER(
Master_Mapping_Sheet!$E$2:$E$3143),
Master_Mapping_Sheet!$C$2:$C$3143=AE$1)))"),0.0)</f>
        <v>0</v>
      </c>
      <c r="AF23" s="34">
        <f>IFERROR(__xludf.DUMMYFUNCTION("IF(ISNA(sum(filter(
Master_Mapping_Sheet!$E$2:$E$3143, ISNUMBER(
Master_Mapping_Sheet!$E$2:$E$3143),
Master_Mapping_Sheet!$C$2:$C$3143=AF$1,
Master_Mapping_Sheet!$H$2:$H$3143=$A23))/sum(filter(
Master_Mapping_Sheet!$E$2:$E$3143, ISNUMBER(
Master_Mapping_S"&amp;"heet!$E$2:$E$3143),
Master_Mapping_Sheet!$C$2:$C$3143=AF$1))), 0, sum(filter(
Master_Mapping_Sheet!$E$2:$E$3143, ISNUMBER(
Master_Mapping_Sheet!$E$2:$E$3143),
Master_Mapping_Sheet!$C$2:$C$3143=AF$1,
Master_Mapping_Sheet!$H$2:$H$3143=$A23))/sum(filter(
Mas"&amp;"ter_Mapping_Sheet!$E$2:$E$3143, ISNUMBER(
Master_Mapping_Sheet!$E$2:$E$3143),
Master_Mapping_Sheet!$C$2:$C$3143=AF$1)))"),0.0)</f>
        <v>0</v>
      </c>
      <c r="AG23" s="34">
        <f>IFERROR(__xludf.DUMMYFUNCTION("IF(ISNA(sum(filter(
Master_Mapping_Sheet!$E$2:$E$3143, ISNUMBER(
Master_Mapping_Sheet!$E$2:$E$3143),
Master_Mapping_Sheet!$C$2:$C$3143=AG$1,
Master_Mapping_Sheet!$H$2:$H$3143=$A23))/sum(filter(
Master_Mapping_Sheet!$E$2:$E$3143, ISNUMBER(
Master_Mapping_S"&amp;"heet!$E$2:$E$3143),
Master_Mapping_Sheet!$C$2:$C$3143=AG$1))), 0, sum(filter(
Master_Mapping_Sheet!$E$2:$E$3143, ISNUMBER(
Master_Mapping_Sheet!$E$2:$E$3143),
Master_Mapping_Sheet!$C$2:$C$3143=AG$1,
Master_Mapping_Sheet!$H$2:$H$3143=$A23))/sum(filter(
Mas"&amp;"ter_Mapping_Sheet!$E$2:$E$3143, ISNUMBER(
Master_Mapping_Sheet!$E$2:$E$3143),
Master_Mapping_Sheet!$C$2:$C$3143=AG$1)))"),0.0)</f>
        <v>0</v>
      </c>
      <c r="AH23" s="34">
        <f>IFERROR(__xludf.DUMMYFUNCTION("IF(ISNA(sum(filter(
Master_Mapping_Sheet!$E$2:$E$3143, ISNUMBER(
Master_Mapping_Sheet!$E$2:$E$3143),
Master_Mapping_Sheet!$C$2:$C$3143=AH$1,
Master_Mapping_Sheet!$H$2:$H$3143=$A23))/sum(filter(
Master_Mapping_Sheet!$E$2:$E$3143, ISNUMBER(
Master_Mapping_S"&amp;"heet!$E$2:$E$3143),
Master_Mapping_Sheet!$C$2:$C$3143=AH$1))), 0, sum(filter(
Master_Mapping_Sheet!$E$2:$E$3143, ISNUMBER(
Master_Mapping_Sheet!$E$2:$E$3143),
Master_Mapping_Sheet!$C$2:$C$3143=AH$1,
Master_Mapping_Sheet!$H$2:$H$3143=$A23))/sum(filter(
Mas"&amp;"ter_Mapping_Sheet!$E$2:$E$3143, ISNUMBER(
Master_Mapping_Sheet!$E$2:$E$3143),
Master_Mapping_Sheet!$C$2:$C$3143=AH$1)))"),0.0)</f>
        <v>0</v>
      </c>
      <c r="AI23" s="34">
        <f>IFERROR(__xludf.DUMMYFUNCTION("IF(ISNA(sum(filter(
Master_Mapping_Sheet!$E$2:$E$3143, ISNUMBER(
Master_Mapping_Sheet!$E$2:$E$3143),
Master_Mapping_Sheet!$C$2:$C$3143=AI$1,
Master_Mapping_Sheet!$H$2:$H$3143=$A23))/sum(filter(
Master_Mapping_Sheet!$E$2:$E$3143, ISNUMBER(
Master_Mapping_S"&amp;"heet!$E$2:$E$3143),
Master_Mapping_Sheet!$C$2:$C$3143=AI$1))), 0, sum(filter(
Master_Mapping_Sheet!$E$2:$E$3143, ISNUMBER(
Master_Mapping_Sheet!$E$2:$E$3143),
Master_Mapping_Sheet!$C$2:$C$3143=AI$1,
Master_Mapping_Sheet!$H$2:$H$3143=$A23))/sum(filter(
Mas"&amp;"ter_Mapping_Sheet!$E$2:$E$3143, ISNUMBER(
Master_Mapping_Sheet!$E$2:$E$3143),
Master_Mapping_Sheet!$C$2:$C$3143=AI$1)))"),0.0)</f>
        <v>0</v>
      </c>
      <c r="AJ23" s="34">
        <f>IFERROR(__xludf.DUMMYFUNCTION("IF(ISNA(sum(filter(
Master_Mapping_Sheet!$E$2:$E$3143, ISNUMBER(
Master_Mapping_Sheet!$E$2:$E$3143),
Master_Mapping_Sheet!$C$2:$C$3143=AJ$1,
Master_Mapping_Sheet!$H$2:$H$3143=$A23))/sum(filter(
Master_Mapping_Sheet!$E$2:$E$3143, ISNUMBER(
Master_Mapping_S"&amp;"heet!$E$2:$E$3143),
Master_Mapping_Sheet!$C$2:$C$3143=AJ$1))), 0, sum(filter(
Master_Mapping_Sheet!$E$2:$E$3143, ISNUMBER(
Master_Mapping_Sheet!$E$2:$E$3143),
Master_Mapping_Sheet!$C$2:$C$3143=AJ$1,
Master_Mapping_Sheet!$H$2:$H$3143=$A23))/sum(filter(
Mas"&amp;"ter_Mapping_Sheet!$E$2:$E$3143, ISNUMBER(
Master_Mapping_Sheet!$E$2:$E$3143),
Master_Mapping_Sheet!$C$2:$C$3143=AJ$1)))"),0.0)</f>
        <v>0</v>
      </c>
      <c r="AK23" s="34">
        <f>IFERROR(__xludf.DUMMYFUNCTION("IF(ISNA(sum(filter(
Master_Mapping_Sheet!$E$2:$E$3143, ISNUMBER(
Master_Mapping_Sheet!$E$2:$E$3143),
Master_Mapping_Sheet!$C$2:$C$3143=AK$1,
Master_Mapping_Sheet!$H$2:$H$3143=$A23))/sum(filter(
Master_Mapping_Sheet!$E$2:$E$3143, ISNUMBER(
Master_Mapping_S"&amp;"heet!$E$2:$E$3143),
Master_Mapping_Sheet!$C$2:$C$3143=AK$1))), 0, sum(filter(
Master_Mapping_Sheet!$E$2:$E$3143, ISNUMBER(
Master_Mapping_Sheet!$E$2:$E$3143),
Master_Mapping_Sheet!$C$2:$C$3143=AK$1,
Master_Mapping_Sheet!$H$2:$H$3143=$A23))/sum(filter(
Mas"&amp;"ter_Mapping_Sheet!$E$2:$E$3143, ISNUMBER(
Master_Mapping_Sheet!$E$2:$E$3143),
Master_Mapping_Sheet!$C$2:$C$3143=AK$1)))"),0.0)</f>
        <v>0</v>
      </c>
      <c r="AL23" s="34">
        <f>IFERROR(__xludf.DUMMYFUNCTION("IF(ISNA(sum(filter(
Master_Mapping_Sheet!$E$2:$E$3143, ISNUMBER(
Master_Mapping_Sheet!$E$2:$E$3143),
Master_Mapping_Sheet!$C$2:$C$3143=AL$1,
Master_Mapping_Sheet!$H$2:$H$3143=$A23))/sum(filter(
Master_Mapping_Sheet!$E$2:$E$3143, ISNUMBER(
Master_Mapping_S"&amp;"heet!$E$2:$E$3143),
Master_Mapping_Sheet!$C$2:$C$3143=AL$1))), 0, sum(filter(
Master_Mapping_Sheet!$E$2:$E$3143, ISNUMBER(
Master_Mapping_Sheet!$E$2:$E$3143),
Master_Mapping_Sheet!$C$2:$C$3143=AL$1,
Master_Mapping_Sheet!$H$2:$H$3143=$A23))/sum(filter(
Mas"&amp;"ter_Mapping_Sheet!$E$2:$E$3143, ISNUMBER(
Master_Mapping_Sheet!$E$2:$E$3143),
Master_Mapping_Sheet!$C$2:$C$3143=AL$1)))"),0.0)</f>
        <v>0</v>
      </c>
      <c r="AM23" s="34">
        <f>IFERROR(__xludf.DUMMYFUNCTION("IF(ISNA(sum(filter(
Master_Mapping_Sheet!$E$2:$E$3143, ISNUMBER(
Master_Mapping_Sheet!$E$2:$E$3143),
Master_Mapping_Sheet!$C$2:$C$3143=AM$1,
Master_Mapping_Sheet!$H$2:$H$3143=$A23))/sum(filter(
Master_Mapping_Sheet!$E$2:$E$3143, ISNUMBER(
Master_Mapping_S"&amp;"heet!$E$2:$E$3143),
Master_Mapping_Sheet!$C$2:$C$3143=AM$1))), 0, sum(filter(
Master_Mapping_Sheet!$E$2:$E$3143, ISNUMBER(
Master_Mapping_Sheet!$E$2:$E$3143),
Master_Mapping_Sheet!$C$2:$C$3143=AM$1,
Master_Mapping_Sheet!$H$2:$H$3143=$A23))/sum(filter(
Mas"&amp;"ter_Mapping_Sheet!$E$2:$E$3143, ISNUMBER(
Master_Mapping_Sheet!$E$2:$E$3143),
Master_Mapping_Sheet!$C$2:$C$3143=AM$1)))"),0.0)</f>
        <v>0</v>
      </c>
      <c r="AN23" s="34">
        <f>IFERROR(__xludf.DUMMYFUNCTION("IF(ISNA(sum(filter(
Master_Mapping_Sheet!$E$2:$E$3143, ISNUMBER(
Master_Mapping_Sheet!$E$2:$E$3143),
Master_Mapping_Sheet!$C$2:$C$3143=AN$1,
Master_Mapping_Sheet!$H$2:$H$3143=$A23))/sum(filter(
Master_Mapping_Sheet!$E$2:$E$3143, ISNUMBER(
Master_Mapping_S"&amp;"heet!$E$2:$E$3143),
Master_Mapping_Sheet!$C$2:$C$3143=AN$1))), 0, sum(filter(
Master_Mapping_Sheet!$E$2:$E$3143, ISNUMBER(
Master_Mapping_Sheet!$E$2:$E$3143),
Master_Mapping_Sheet!$C$2:$C$3143=AN$1,
Master_Mapping_Sheet!$H$2:$H$3143=$A23))/sum(filter(
Mas"&amp;"ter_Mapping_Sheet!$E$2:$E$3143, ISNUMBER(
Master_Mapping_Sheet!$E$2:$E$3143),
Master_Mapping_Sheet!$C$2:$C$3143=AN$1)))"),0.0)</f>
        <v>0</v>
      </c>
      <c r="AO23" s="34">
        <f>IFERROR(__xludf.DUMMYFUNCTION("IF(ISNA(sum(filter(
Master_Mapping_Sheet!$E$2:$E$3143, ISNUMBER(
Master_Mapping_Sheet!$E$2:$E$3143),
Master_Mapping_Sheet!$C$2:$C$3143=AO$1,
Master_Mapping_Sheet!$H$2:$H$3143=$A23))/sum(filter(
Master_Mapping_Sheet!$E$2:$E$3143, ISNUMBER(
Master_Mapping_S"&amp;"heet!$E$2:$E$3143),
Master_Mapping_Sheet!$C$2:$C$3143=AO$1))), 0, sum(filter(
Master_Mapping_Sheet!$E$2:$E$3143, ISNUMBER(
Master_Mapping_Sheet!$E$2:$E$3143),
Master_Mapping_Sheet!$C$2:$C$3143=AO$1,
Master_Mapping_Sheet!$H$2:$H$3143=$A23))/sum(filter(
Mas"&amp;"ter_Mapping_Sheet!$E$2:$E$3143, ISNUMBER(
Master_Mapping_Sheet!$E$2:$E$3143),
Master_Mapping_Sheet!$C$2:$C$3143=AO$1)))"),0.0)</f>
        <v>0</v>
      </c>
      <c r="AP23" s="34">
        <f>IFERROR(__xludf.DUMMYFUNCTION("IF(ISNA(sum(filter(
Master_Mapping_Sheet!$E$2:$E$3143, ISNUMBER(
Master_Mapping_Sheet!$E$2:$E$3143),
Master_Mapping_Sheet!$C$2:$C$3143=AP$1,
Master_Mapping_Sheet!$H$2:$H$3143=$A23))/sum(filter(
Master_Mapping_Sheet!$E$2:$E$3143, ISNUMBER(
Master_Mapping_S"&amp;"heet!$E$2:$E$3143),
Master_Mapping_Sheet!$C$2:$C$3143=AP$1))), 0, sum(filter(
Master_Mapping_Sheet!$E$2:$E$3143, ISNUMBER(
Master_Mapping_Sheet!$E$2:$E$3143),
Master_Mapping_Sheet!$C$2:$C$3143=AP$1,
Master_Mapping_Sheet!$H$2:$H$3143=$A23))/sum(filter(
Mas"&amp;"ter_Mapping_Sheet!$E$2:$E$3143, ISNUMBER(
Master_Mapping_Sheet!$E$2:$E$3143),
Master_Mapping_Sheet!$C$2:$C$3143=AP$1)))"),0.0)</f>
        <v>0</v>
      </c>
      <c r="AQ23" s="34">
        <f>IFERROR(__xludf.DUMMYFUNCTION("IF(ISNA(sum(filter(
Master_Mapping_Sheet!$E$2:$E$3143, ISNUMBER(
Master_Mapping_Sheet!$E$2:$E$3143),
Master_Mapping_Sheet!$C$2:$C$3143=AQ$1,
Master_Mapping_Sheet!$H$2:$H$3143=$A23))/sum(filter(
Master_Mapping_Sheet!$E$2:$E$3143, ISNUMBER(
Master_Mapping_S"&amp;"heet!$E$2:$E$3143),
Master_Mapping_Sheet!$C$2:$C$3143=AQ$1))), 0, sum(filter(
Master_Mapping_Sheet!$E$2:$E$3143, ISNUMBER(
Master_Mapping_Sheet!$E$2:$E$3143),
Master_Mapping_Sheet!$C$2:$C$3143=AQ$1,
Master_Mapping_Sheet!$H$2:$H$3143=$A23))/sum(filter(
Mas"&amp;"ter_Mapping_Sheet!$E$2:$E$3143, ISNUMBER(
Master_Mapping_Sheet!$E$2:$E$3143),
Master_Mapping_Sheet!$C$2:$C$3143=AQ$1)))"),0.0)</f>
        <v>0</v>
      </c>
      <c r="AR23" s="34">
        <f>IFERROR(__xludf.DUMMYFUNCTION("IF(ISNA(sum(filter(
Master_Mapping_Sheet!$E$2:$E$3143, ISNUMBER(
Master_Mapping_Sheet!$E$2:$E$3143),
Master_Mapping_Sheet!$C$2:$C$3143=AR$1,
Master_Mapping_Sheet!$H$2:$H$3143=$A23))/sum(filter(
Master_Mapping_Sheet!$E$2:$E$3143, ISNUMBER(
Master_Mapping_S"&amp;"heet!$E$2:$E$3143),
Master_Mapping_Sheet!$C$2:$C$3143=AR$1))), 0, sum(filter(
Master_Mapping_Sheet!$E$2:$E$3143, ISNUMBER(
Master_Mapping_Sheet!$E$2:$E$3143),
Master_Mapping_Sheet!$C$2:$C$3143=AR$1,
Master_Mapping_Sheet!$H$2:$H$3143=$A23))/sum(filter(
Mas"&amp;"ter_Mapping_Sheet!$E$2:$E$3143, ISNUMBER(
Master_Mapping_Sheet!$E$2:$E$3143),
Master_Mapping_Sheet!$C$2:$C$3143=AR$1)))"),0.0)</f>
        <v>0</v>
      </c>
      <c r="AS23" s="34">
        <f>IFERROR(__xludf.DUMMYFUNCTION("IF(ISNA(sum(filter(
Master_Mapping_Sheet!$E$2:$E$3143, ISNUMBER(
Master_Mapping_Sheet!$E$2:$E$3143),
Master_Mapping_Sheet!$C$2:$C$3143=AS$1,
Master_Mapping_Sheet!$H$2:$H$3143=$A23))/sum(filter(
Master_Mapping_Sheet!$E$2:$E$3143, ISNUMBER(
Master_Mapping_S"&amp;"heet!$E$2:$E$3143),
Master_Mapping_Sheet!$C$2:$C$3143=AS$1))), 0, sum(filter(
Master_Mapping_Sheet!$E$2:$E$3143, ISNUMBER(
Master_Mapping_Sheet!$E$2:$E$3143),
Master_Mapping_Sheet!$C$2:$C$3143=AS$1,
Master_Mapping_Sheet!$H$2:$H$3143=$A23))/sum(filter(
Mas"&amp;"ter_Mapping_Sheet!$E$2:$E$3143, ISNUMBER(
Master_Mapping_Sheet!$E$2:$E$3143),
Master_Mapping_Sheet!$C$2:$C$3143=AS$1)))"),0.0)</f>
        <v>0</v>
      </c>
      <c r="AT23" s="34">
        <f>IFERROR(__xludf.DUMMYFUNCTION("IF(ISNA(sum(filter(
Master_Mapping_Sheet!$E$2:$E$3143, ISNUMBER(
Master_Mapping_Sheet!$E$2:$E$3143),
Master_Mapping_Sheet!$C$2:$C$3143=AT$1,
Master_Mapping_Sheet!$H$2:$H$3143=$A23))/sum(filter(
Master_Mapping_Sheet!$E$2:$E$3143, ISNUMBER(
Master_Mapping_S"&amp;"heet!$E$2:$E$3143),
Master_Mapping_Sheet!$C$2:$C$3143=AT$1))), 0, sum(filter(
Master_Mapping_Sheet!$E$2:$E$3143, ISNUMBER(
Master_Mapping_Sheet!$E$2:$E$3143),
Master_Mapping_Sheet!$C$2:$C$3143=AT$1,
Master_Mapping_Sheet!$H$2:$H$3143=$A23))/sum(filter(
Mas"&amp;"ter_Mapping_Sheet!$E$2:$E$3143, ISNUMBER(
Master_Mapping_Sheet!$E$2:$E$3143),
Master_Mapping_Sheet!$C$2:$C$3143=AT$1)))"),0.0)</f>
        <v>0</v>
      </c>
      <c r="AU23" s="34">
        <f>IFERROR(__xludf.DUMMYFUNCTION("IF(ISNA(sum(filter(
Master_Mapping_Sheet!$E$2:$E$3143, ISNUMBER(
Master_Mapping_Sheet!$E$2:$E$3143),
Master_Mapping_Sheet!$C$2:$C$3143=AU$1,
Master_Mapping_Sheet!$H$2:$H$3143=$A23))/sum(filter(
Master_Mapping_Sheet!$E$2:$E$3143, ISNUMBER(
Master_Mapping_S"&amp;"heet!$E$2:$E$3143),
Master_Mapping_Sheet!$C$2:$C$3143=AU$1))), 0, sum(filter(
Master_Mapping_Sheet!$E$2:$E$3143, ISNUMBER(
Master_Mapping_Sheet!$E$2:$E$3143),
Master_Mapping_Sheet!$C$2:$C$3143=AU$1,
Master_Mapping_Sheet!$H$2:$H$3143=$A23))/sum(filter(
Mas"&amp;"ter_Mapping_Sheet!$E$2:$E$3143, ISNUMBER(
Master_Mapping_Sheet!$E$2:$E$3143),
Master_Mapping_Sheet!$C$2:$C$3143=AU$1)))"),0.0)</f>
        <v>0</v>
      </c>
      <c r="AV23" s="34">
        <f>IFERROR(__xludf.DUMMYFUNCTION("IF(ISNA(sum(filter(
Master_Mapping_Sheet!$E$2:$E$3143, ISNUMBER(
Master_Mapping_Sheet!$E$2:$E$3143),
Master_Mapping_Sheet!$C$2:$C$3143=AV$1,
Master_Mapping_Sheet!$H$2:$H$3143=$A23))/sum(filter(
Master_Mapping_Sheet!$E$2:$E$3143, ISNUMBER(
Master_Mapping_S"&amp;"heet!$E$2:$E$3143),
Master_Mapping_Sheet!$C$2:$C$3143=AV$1))), 0, sum(filter(
Master_Mapping_Sheet!$E$2:$E$3143, ISNUMBER(
Master_Mapping_Sheet!$E$2:$E$3143),
Master_Mapping_Sheet!$C$2:$C$3143=AV$1,
Master_Mapping_Sheet!$H$2:$H$3143=$A23))/sum(filter(
Mas"&amp;"ter_Mapping_Sheet!$E$2:$E$3143, ISNUMBER(
Master_Mapping_Sheet!$E$2:$E$3143),
Master_Mapping_Sheet!$C$2:$C$3143=AV$1)))"),0.0)</f>
        <v>0</v>
      </c>
      <c r="AW23" s="34">
        <f>IFERROR(__xludf.DUMMYFUNCTION("IF(ISNA(sum(filter(
Master_Mapping_Sheet!$E$2:$E$3143, ISNUMBER(
Master_Mapping_Sheet!$E$2:$E$3143),
Master_Mapping_Sheet!$C$2:$C$3143=AW$1,
Master_Mapping_Sheet!$H$2:$H$3143=$A23))/sum(filter(
Master_Mapping_Sheet!$E$2:$E$3143, ISNUMBER(
Master_Mapping_S"&amp;"heet!$E$2:$E$3143),
Master_Mapping_Sheet!$C$2:$C$3143=AW$1))), 0, sum(filter(
Master_Mapping_Sheet!$E$2:$E$3143, ISNUMBER(
Master_Mapping_Sheet!$E$2:$E$3143),
Master_Mapping_Sheet!$C$2:$C$3143=AW$1,
Master_Mapping_Sheet!$H$2:$H$3143=$A23))/sum(filter(
Mas"&amp;"ter_Mapping_Sheet!$E$2:$E$3143, ISNUMBER(
Master_Mapping_Sheet!$E$2:$E$3143),
Master_Mapping_Sheet!$C$2:$C$3143=AW$1)))"),0.0)</f>
        <v>0</v>
      </c>
      <c r="AX23" s="34">
        <f>IFERROR(__xludf.DUMMYFUNCTION("IF(ISNA(sum(filter(
Master_Mapping_Sheet!$E$2:$E$3143, ISNUMBER(
Master_Mapping_Sheet!$E$2:$E$3143),
Master_Mapping_Sheet!$C$2:$C$3143=AX$1,
Master_Mapping_Sheet!$H$2:$H$3143=$A23))/sum(filter(
Master_Mapping_Sheet!$E$2:$E$3143, ISNUMBER(
Master_Mapping_S"&amp;"heet!$E$2:$E$3143),
Master_Mapping_Sheet!$C$2:$C$3143=AX$1))), 0, sum(filter(
Master_Mapping_Sheet!$E$2:$E$3143, ISNUMBER(
Master_Mapping_Sheet!$E$2:$E$3143),
Master_Mapping_Sheet!$C$2:$C$3143=AX$1,
Master_Mapping_Sheet!$H$2:$H$3143=$A23))/sum(filter(
Mas"&amp;"ter_Mapping_Sheet!$E$2:$E$3143, ISNUMBER(
Master_Mapping_Sheet!$E$2:$E$3143),
Master_Mapping_Sheet!$C$2:$C$3143=AX$1)))"),0.0)</f>
        <v>0</v>
      </c>
      <c r="AY23" s="34">
        <f>IFERROR(__xludf.DUMMYFUNCTION("IF(ISNA(sum(filter(
Master_Mapping_Sheet!$E$2:$E$3143, ISNUMBER(
Master_Mapping_Sheet!$E$2:$E$3143),
Master_Mapping_Sheet!$C$2:$C$3143=AY$1,
Master_Mapping_Sheet!$H$2:$H$3143=$A23))/sum(filter(
Master_Mapping_Sheet!$E$2:$E$3143, ISNUMBER(
Master_Mapping_S"&amp;"heet!$E$2:$E$3143),
Master_Mapping_Sheet!$C$2:$C$3143=AY$1))), 0, sum(filter(
Master_Mapping_Sheet!$E$2:$E$3143, ISNUMBER(
Master_Mapping_Sheet!$E$2:$E$3143),
Master_Mapping_Sheet!$C$2:$C$3143=AY$1,
Master_Mapping_Sheet!$H$2:$H$3143=$A23))/sum(filter(
Mas"&amp;"ter_Mapping_Sheet!$E$2:$E$3143, ISNUMBER(
Master_Mapping_Sheet!$E$2:$E$3143),
Master_Mapping_Sheet!$C$2:$C$3143=AY$1)))"),0.0)</f>
        <v>0</v>
      </c>
      <c r="AZ23" s="34">
        <f>IFERROR(__xludf.DUMMYFUNCTION("IF(ISNA(sum(filter(
Master_Mapping_Sheet!$E$2:$E$3143, ISNUMBER(
Master_Mapping_Sheet!$E$2:$E$3143),
Master_Mapping_Sheet!$C$2:$C$3143=AZ$1,
Master_Mapping_Sheet!$H$2:$H$3143=$A23))/sum(filter(
Master_Mapping_Sheet!$E$2:$E$3143, ISNUMBER(
Master_Mapping_S"&amp;"heet!$E$2:$E$3143),
Master_Mapping_Sheet!$C$2:$C$3143=AZ$1))), 0, sum(filter(
Master_Mapping_Sheet!$E$2:$E$3143, ISNUMBER(
Master_Mapping_Sheet!$E$2:$E$3143),
Master_Mapping_Sheet!$C$2:$C$3143=AZ$1,
Master_Mapping_Sheet!$H$2:$H$3143=$A23))/sum(filter(
Mas"&amp;"ter_Mapping_Sheet!$E$2:$E$3143, ISNUMBER(
Master_Mapping_Sheet!$E$2:$E$3143),
Master_Mapping_Sheet!$C$2:$C$3143=AZ$1)))"),0.0)</f>
        <v>0</v>
      </c>
    </row>
    <row r="24" ht="15.75" customHeight="1">
      <c r="A24" s="34" t="s">
        <v>3980</v>
      </c>
      <c r="B24" s="34">
        <f>IFERROR(__xludf.DUMMYFUNCTION("IF(ISNA(sum(filter(
Master_Mapping_Sheet!$E$2:$E$3143, ISNUMBER(
Master_Mapping_Sheet!$E$2:$E$3143),
Master_Mapping_Sheet!$C$2:$C$3143=B$1,
Master_Mapping_Sheet!$H$2:$H$3143=$A24))/sum(filter(
Master_Mapping_Sheet!$E$2:$E$3143, ISNUMBER(
Master_Mapping_Sh"&amp;"eet!$E$2:$E$3143),
Master_Mapping_Sheet!$C$2:$C$3143=B$1))), 0, sum(filter(
Master_Mapping_Sheet!$E$2:$E$3143, ISNUMBER(
Master_Mapping_Sheet!$E$2:$E$3143),
Master_Mapping_Sheet!$C$2:$C$3143=B$1,
Master_Mapping_Sheet!$H$2:$H$3143=$A24))/sum(filter(
Master"&amp;"_Mapping_Sheet!$E$2:$E$3143, ISNUMBER(
Master_Mapping_Sheet!$E$2:$E$3143),
Master_Mapping_Sheet!$C$2:$C$3143=B$1)))"),0.0)</f>
        <v>0</v>
      </c>
      <c r="C24" s="34">
        <f>IFERROR(__xludf.DUMMYFUNCTION("IF(ISNA(sum(filter(
Master_Mapping_Sheet!$E$2:$E$3143, ISNUMBER(
Master_Mapping_Sheet!$E$2:$E$3143),
Master_Mapping_Sheet!$C$2:$C$3143=C$1,
Master_Mapping_Sheet!$H$2:$H$3143=$A24))/sum(filter(
Master_Mapping_Sheet!$E$2:$E$3143, ISNUMBER(
Master_Mapping_Sh"&amp;"eet!$E$2:$E$3143),
Master_Mapping_Sheet!$C$2:$C$3143=C$1))), 0, sum(filter(
Master_Mapping_Sheet!$E$2:$E$3143, ISNUMBER(
Master_Mapping_Sheet!$E$2:$E$3143),
Master_Mapping_Sheet!$C$2:$C$3143=C$1,
Master_Mapping_Sheet!$H$2:$H$3143=$A24))/sum(filter(
Master"&amp;"_Mapping_Sheet!$E$2:$E$3143, ISNUMBER(
Master_Mapping_Sheet!$E$2:$E$3143),
Master_Mapping_Sheet!$C$2:$C$3143=C$1)))"),0.0)</f>
        <v>0</v>
      </c>
      <c r="D24" s="34">
        <f>IFERROR(__xludf.DUMMYFUNCTION("IF(ISNA(sum(filter(
Master_Mapping_Sheet!$E$2:$E$3143, ISNUMBER(
Master_Mapping_Sheet!$E$2:$E$3143),
Master_Mapping_Sheet!$C$2:$C$3143=D$1,
Master_Mapping_Sheet!$H$2:$H$3143=$A24))/sum(filter(
Master_Mapping_Sheet!$E$2:$E$3143, ISNUMBER(
Master_Mapping_Sh"&amp;"eet!$E$2:$E$3143),
Master_Mapping_Sheet!$C$2:$C$3143=D$1))), 0, sum(filter(
Master_Mapping_Sheet!$E$2:$E$3143, ISNUMBER(
Master_Mapping_Sheet!$E$2:$E$3143),
Master_Mapping_Sheet!$C$2:$C$3143=D$1,
Master_Mapping_Sheet!$H$2:$H$3143=$A24))/sum(filter(
Master"&amp;"_Mapping_Sheet!$E$2:$E$3143, ISNUMBER(
Master_Mapping_Sheet!$E$2:$E$3143),
Master_Mapping_Sheet!$C$2:$C$3143=D$1)))"),0.0)</f>
        <v>0</v>
      </c>
      <c r="E24" s="34">
        <f>IFERROR(__xludf.DUMMYFUNCTION("IF(ISNA(sum(filter(
Master_Mapping_Sheet!$E$2:$E$3143, ISNUMBER(
Master_Mapping_Sheet!$E$2:$E$3143),
Master_Mapping_Sheet!$C$2:$C$3143=E$1,
Master_Mapping_Sheet!$H$2:$H$3143=$A24))/sum(filter(
Master_Mapping_Sheet!$E$2:$E$3143, ISNUMBER(
Master_Mapping_Sh"&amp;"eet!$E$2:$E$3143),
Master_Mapping_Sheet!$C$2:$C$3143=E$1))), 0, sum(filter(
Master_Mapping_Sheet!$E$2:$E$3143, ISNUMBER(
Master_Mapping_Sheet!$E$2:$E$3143),
Master_Mapping_Sheet!$C$2:$C$3143=E$1,
Master_Mapping_Sheet!$H$2:$H$3143=$A24))/sum(filter(
Master"&amp;"_Mapping_Sheet!$E$2:$E$3143, ISNUMBER(
Master_Mapping_Sheet!$E$2:$E$3143),
Master_Mapping_Sheet!$C$2:$C$3143=E$1)))"),0.0)</f>
        <v>0</v>
      </c>
      <c r="F24" s="34">
        <f>IFERROR(__xludf.DUMMYFUNCTION("IF(ISNA(sum(filter(
Master_Mapping_Sheet!$E$2:$E$3143, ISNUMBER(
Master_Mapping_Sheet!$E$2:$E$3143),
Master_Mapping_Sheet!$C$2:$C$3143=F$1,
Master_Mapping_Sheet!$H$2:$H$3143=$A24))/sum(filter(
Master_Mapping_Sheet!$E$2:$E$3143, ISNUMBER(
Master_Mapping_Sh"&amp;"eet!$E$2:$E$3143),
Master_Mapping_Sheet!$C$2:$C$3143=F$1))), 0, sum(filter(
Master_Mapping_Sheet!$E$2:$E$3143, ISNUMBER(
Master_Mapping_Sheet!$E$2:$E$3143),
Master_Mapping_Sheet!$C$2:$C$3143=F$1,
Master_Mapping_Sheet!$H$2:$H$3143=$A24))/sum(filter(
Master"&amp;"_Mapping_Sheet!$E$2:$E$3143, ISNUMBER(
Master_Mapping_Sheet!$E$2:$E$3143),
Master_Mapping_Sheet!$C$2:$C$3143=F$1)))"),0.0027423192796709617)</f>
        <v>0.00274231928</v>
      </c>
      <c r="G24" s="34">
        <f>IFERROR(__xludf.DUMMYFUNCTION("IF(ISNA(sum(filter(
Master_Mapping_Sheet!$E$2:$E$3143, ISNUMBER(
Master_Mapping_Sheet!$E$2:$E$3143),
Master_Mapping_Sheet!$C$2:$C$3143=G$1,
Master_Mapping_Sheet!$H$2:$H$3143=$A24))/sum(filter(
Master_Mapping_Sheet!$E$2:$E$3143, ISNUMBER(
Master_Mapping_Sh"&amp;"eet!$E$2:$E$3143),
Master_Mapping_Sheet!$C$2:$C$3143=G$1))), 0, sum(filter(
Master_Mapping_Sheet!$E$2:$E$3143, ISNUMBER(
Master_Mapping_Sheet!$E$2:$E$3143),
Master_Mapping_Sheet!$C$2:$C$3143=G$1,
Master_Mapping_Sheet!$H$2:$H$3143=$A24))/sum(filter(
Master"&amp;"_Mapping_Sheet!$E$2:$E$3143, ISNUMBER(
Master_Mapping_Sheet!$E$2:$E$3143),
Master_Mapping_Sheet!$C$2:$C$3143=G$1)))"),0.0)</f>
        <v>0</v>
      </c>
      <c r="H24" s="34">
        <f>IFERROR(__xludf.DUMMYFUNCTION("IF(ISNA(sum(filter(
Master_Mapping_Sheet!$E$2:$E$3143, ISNUMBER(
Master_Mapping_Sheet!$E$2:$E$3143),
Master_Mapping_Sheet!$C$2:$C$3143=H$1,
Master_Mapping_Sheet!$H$2:$H$3143=$A24))/sum(filter(
Master_Mapping_Sheet!$E$2:$E$3143, ISNUMBER(
Master_Mapping_Sh"&amp;"eet!$E$2:$E$3143),
Master_Mapping_Sheet!$C$2:$C$3143=H$1))), 0, sum(filter(
Master_Mapping_Sheet!$E$2:$E$3143, ISNUMBER(
Master_Mapping_Sheet!$E$2:$E$3143),
Master_Mapping_Sheet!$C$2:$C$3143=H$1,
Master_Mapping_Sheet!$H$2:$H$3143=$A24))/sum(filter(
Master"&amp;"_Mapping_Sheet!$E$2:$E$3143, ISNUMBER(
Master_Mapping_Sheet!$E$2:$E$3143),
Master_Mapping_Sheet!$C$2:$C$3143=H$1)))"),0.0)</f>
        <v>0</v>
      </c>
      <c r="I24" s="34">
        <f>IFERROR(__xludf.DUMMYFUNCTION("IF(ISNA(sum(filter(
Master_Mapping_Sheet!$E$2:$E$3143, ISNUMBER(
Master_Mapping_Sheet!$E$2:$E$3143),
Master_Mapping_Sheet!$C$2:$C$3143=I$1,
Master_Mapping_Sheet!$H$2:$H$3143=$A24))/sum(filter(
Master_Mapping_Sheet!$E$2:$E$3143, ISNUMBER(
Master_Mapping_Sh"&amp;"eet!$E$2:$E$3143),
Master_Mapping_Sheet!$C$2:$C$3143=I$1))), 0, sum(filter(
Master_Mapping_Sheet!$E$2:$E$3143, ISNUMBER(
Master_Mapping_Sheet!$E$2:$E$3143),
Master_Mapping_Sheet!$C$2:$C$3143=I$1,
Master_Mapping_Sheet!$H$2:$H$3143=$A24))/sum(filter(
Master"&amp;"_Mapping_Sheet!$E$2:$E$3143, ISNUMBER(
Master_Mapping_Sheet!$E$2:$E$3143),
Master_Mapping_Sheet!$C$2:$C$3143=I$1)))"),0.0)</f>
        <v>0</v>
      </c>
      <c r="J24" s="34">
        <f>IFERROR(__xludf.DUMMYFUNCTION("IF(ISNA(sum(filter(
Master_Mapping_Sheet!$E$2:$E$3143, ISNUMBER(
Master_Mapping_Sheet!$E$2:$E$3143),
Master_Mapping_Sheet!$C$2:$C$3143=J$1,
Master_Mapping_Sheet!$H$2:$H$3143=$A24))/sum(filter(
Master_Mapping_Sheet!$E$2:$E$3143, ISNUMBER(
Master_Mapping_Sh"&amp;"eet!$E$2:$E$3143),
Master_Mapping_Sheet!$C$2:$C$3143=J$1))), 0, sum(filter(
Master_Mapping_Sheet!$E$2:$E$3143, ISNUMBER(
Master_Mapping_Sheet!$E$2:$E$3143),
Master_Mapping_Sheet!$C$2:$C$3143=J$1,
Master_Mapping_Sheet!$H$2:$H$3143=$A24))/sum(filter(
Master"&amp;"_Mapping_Sheet!$E$2:$E$3143, ISNUMBER(
Master_Mapping_Sheet!$E$2:$E$3143),
Master_Mapping_Sheet!$C$2:$C$3143=J$1)))"),0.0)</f>
        <v>0</v>
      </c>
      <c r="K24" s="34">
        <f>IFERROR(__xludf.DUMMYFUNCTION("IF(ISNA(sum(filter(
Master_Mapping_Sheet!$E$2:$E$3143, ISNUMBER(
Master_Mapping_Sheet!$E$2:$E$3143),
Master_Mapping_Sheet!$C$2:$C$3143=K$1,
Master_Mapping_Sheet!$H$2:$H$3143=$A24))/sum(filter(
Master_Mapping_Sheet!$E$2:$E$3143, ISNUMBER(
Master_Mapping_Sh"&amp;"eet!$E$2:$E$3143),
Master_Mapping_Sheet!$C$2:$C$3143=K$1))), 0, sum(filter(
Master_Mapping_Sheet!$E$2:$E$3143, ISNUMBER(
Master_Mapping_Sheet!$E$2:$E$3143),
Master_Mapping_Sheet!$C$2:$C$3143=K$1,
Master_Mapping_Sheet!$H$2:$H$3143=$A24))/sum(filter(
Master"&amp;"_Mapping_Sheet!$E$2:$E$3143, ISNUMBER(
Master_Mapping_Sheet!$E$2:$E$3143),
Master_Mapping_Sheet!$C$2:$C$3143=K$1)))"),0.0)</f>
        <v>0</v>
      </c>
      <c r="L24" s="34">
        <f>IFERROR(__xludf.DUMMYFUNCTION("IF(ISNA(sum(filter(
Master_Mapping_Sheet!$E$2:$E$3143, ISNUMBER(
Master_Mapping_Sheet!$E$2:$E$3143),
Master_Mapping_Sheet!$C$2:$C$3143=L$1,
Master_Mapping_Sheet!$H$2:$H$3143=$A24))/sum(filter(
Master_Mapping_Sheet!$E$2:$E$3143, ISNUMBER(
Master_Mapping_Sh"&amp;"eet!$E$2:$E$3143),
Master_Mapping_Sheet!$C$2:$C$3143=L$1))), 0, sum(filter(
Master_Mapping_Sheet!$E$2:$E$3143, ISNUMBER(
Master_Mapping_Sheet!$E$2:$E$3143),
Master_Mapping_Sheet!$C$2:$C$3143=L$1,
Master_Mapping_Sheet!$H$2:$H$3143=$A24))/sum(filter(
Master"&amp;"_Mapping_Sheet!$E$2:$E$3143, ISNUMBER(
Master_Mapping_Sheet!$E$2:$E$3143),
Master_Mapping_Sheet!$C$2:$C$3143=L$1)))"),0.0)</f>
        <v>0</v>
      </c>
      <c r="M24" s="34">
        <f>IFERROR(__xludf.DUMMYFUNCTION("IF(ISNA(sum(filter(
Master_Mapping_Sheet!$E$2:$E$3143, ISNUMBER(
Master_Mapping_Sheet!$E$2:$E$3143),
Master_Mapping_Sheet!$C$2:$C$3143=M$1,
Master_Mapping_Sheet!$H$2:$H$3143=$A24))/sum(filter(
Master_Mapping_Sheet!$E$2:$E$3143, ISNUMBER(
Master_Mapping_Sh"&amp;"eet!$E$2:$E$3143),
Master_Mapping_Sheet!$C$2:$C$3143=M$1))), 0, sum(filter(
Master_Mapping_Sheet!$E$2:$E$3143, ISNUMBER(
Master_Mapping_Sheet!$E$2:$E$3143),
Master_Mapping_Sheet!$C$2:$C$3143=M$1,
Master_Mapping_Sheet!$H$2:$H$3143=$A24))/sum(filter(
Master"&amp;"_Mapping_Sheet!$E$2:$E$3143, ISNUMBER(
Master_Mapping_Sheet!$E$2:$E$3143),
Master_Mapping_Sheet!$C$2:$C$3143=M$1)))"),0.0)</f>
        <v>0</v>
      </c>
      <c r="N24" s="34">
        <f>IFERROR(__xludf.DUMMYFUNCTION("IF(ISNA(sum(filter(
Master_Mapping_Sheet!$E$2:$E$3143, ISNUMBER(
Master_Mapping_Sheet!$E$2:$E$3143),
Master_Mapping_Sheet!$C$2:$C$3143=N$1,
Master_Mapping_Sheet!$H$2:$H$3143=$A24))/sum(filter(
Master_Mapping_Sheet!$E$2:$E$3143, ISNUMBER(
Master_Mapping_Sh"&amp;"eet!$E$2:$E$3143),
Master_Mapping_Sheet!$C$2:$C$3143=N$1))), 0, sum(filter(
Master_Mapping_Sheet!$E$2:$E$3143, ISNUMBER(
Master_Mapping_Sheet!$E$2:$E$3143),
Master_Mapping_Sheet!$C$2:$C$3143=N$1,
Master_Mapping_Sheet!$H$2:$H$3143=$A24))/sum(filter(
Master"&amp;"_Mapping_Sheet!$E$2:$E$3143, ISNUMBER(
Master_Mapping_Sheet!$E$2:$E$3143),
Master_Mapping_Sheet!$C$2:$C$3143=N$1)))"),0.18972111123892085)</f>
        <v>0.1897211112</v>
      </c>
      <c r="O24" s="34">
        <f>IFERROR(__xludf.DUMMYFUNCTION("IF(ISNA(sum(filter(
Master_Mapping_Sheet!$E$2:$E$3143, ISNUMBER(
Master_Mapping_Sheet!$E$2:$E$3143),
Master_Mapping_Sheet!$C$2:$C$3143=O$1,
Master_Mapping_Sheet!$H$2:$H$3143=$A24))/sum(filter(
Master_Mapping_Sheet!$E$2:$E$3143, ISNUMBER(
Master_Mapping_Sh"&amp;"eet!$E$2:$E$3143),
Master_Mapping_Sheet!$C$2:$C$3143=O$1))), 0, sum(filter(
Master_Mapping_Sheet!$E$2:$E$3143, ISNUMBER(
Master_Mapping_Sheet!$E$2:$E$3143),
Master_Mapping_Sheet!$C$2:$C$3143=O$1,
Master_Mapping_Sheet!$H$2:$H$3143=$A24))/sum(filter(
Master"&amp;"_Mapping_Sheet!$E$2:$E$3143, ISNUMBER(
Master_Mapping_Sheet!$E$2:$E$3143),
Master_Mapping_Sheet!$C$2:$C$3143=O$1)))"),0.0)</f>
        <v>0</v>
      </c>
      <c r="P24" s="34">
        <f>IFERROR(__xludf.DUMMYFUNCTION("IF(ISNA(sum(filter(
Master_Mapping_Sheet!$E$2:$E$3143, ISNUMBER(
Master_Mapping_Sheet!$E$2:$E$3143),
Master_Mapping_Sheet!$C$2:$C$3143=P$1,
Master_Mapping_Sheet!$H$2:$H$3143=$A24))/sum(filter(
Master_Mapping_Sheet!$E$2:$E$3143, ISNUMBER(
Master_Mapping_Sh"&amp;"eet!$E$2:$E$3143),
Master_Mapping_Sheet!$C$2:$C$3143=P$1))), 0, sum(filter(
Master_Mapping_Sheet!$E$2:$E$3143, ISNUMBER(
Master_Mapping_Sheet!$E$2:$E$3143),
Master_Mapping_Sheet!$C$2:$C$3143=P$1,
Master_Mapping_Sheet!$H$2:$H$3143=$A24))/sum(filter(
Master"&amp;"_Mapping_Sheet!$E$2:$E$3143, ISNUMBER(
Master_Mapping_Sheet!$E$2:$E$3143),
Master_Mapping_Sheet!$C$2:$C$3143=P$1)))"),0.0)</f>
        <v>0</v>
      </c>
      <c r="Q24" s="34">
        <f>IFERROR(__xludf.DUMMYFUNCTION("IF(ISNA(sum(filter(
Master_Mapping_Sheet!$E$2:$E$3143, ISNUMBER(
Master_Mapping_Sheet!$E$2:$E$3143),
Master_Mapping_Sheet!$C$2:$C$3143=Q$1,
Master_Mapping_Sheet!$H$2:$H$3143=$A24))/sum(filter(
Master_Mapping_Sheet!$E$2:$E$3143, ISNUMBER(
Master_Mapping_Sh"&amp;"eet!$E$2:$E$3143),
Master_Mapping_Sheet!$C$2:$C$3143=Q$1))), 0, sum(filter(
Master_Mapping_Sheet!$E$2:$E$3143, ISNUMBER(
Master_Mapping_Sheet!$E$2:$E$3143),
Master_Mapping_Sheet!$C$2:$C$3143=Q$1,
Master_Mapping_Sheet!$H$2:$H$3143=$A24))/sum(filter(
Master"&amp;"_Mapping_Sheet!$E$2:$E$3143, ISNUMBER(
Master_Mapping_Sheet!$E$2:$E$3143),
Master_Mapping_Sheet!$C$2:$C$3143=Q$1)))"),0.0)</f>
        <v>0</v>
      </c>
      <c r="R24" s="34">
        <f>IFERROR(__xludf.DUMMYFUNCTION("IF(ISNA(sum(filter(
Master_Mapping_Sheet!$E$2:$E$3143, ISNUMBER(
Master_Mapping_Sheet!$E$2:$E$3143),
Master_Mapping_Sheet!$C$2:$C$3143=R$1,
Master_Mapping_Sheet!$H$2:$H$3143=$A24))/sum(filter(
Master_Mapping_Sheet!$E$2:$E$3143, ISNUMBER(
Master_Mapping_Sh"&amp;"eet!$E$2:$E$3143),
Master_Mapping_Sheet!$C$2:$C$3143=R$1))), 0, sum(filter(
Master_Mapping_Sheet!$E$2:$E$3143, ISNUMBER(
Master_Mapping_Sheet!$E$2:$E$3143),
Master_Mapping_Sheet!$C$2:$C$3143=R$1,
Master_Mapping_Sheet!$H$2:$H$3143=$A24))/sum(filter(
Master"&amp;"_Mapping_Sheet!$E$2:$E$3143, ISNUMBER(
Master_Mapping_Sheet!$E$2:$E$3143),
Master_Mapping_Sheet!$C$2:$C$3143=R$1)))"),0.0)</f>
        <v>0</v>
      </c>
      <c r="S24" s="34">
        <f>IFERROR(__xludf.DUMMYFUNCTION("IF(ISNA(sum(filter(
Master_Mapping_Sheet!$E$2:$E$3143, ISNUMBER(
Master_Mapping_Sheet!$E$2:$E$3143),
Master_Mapping_Sheet!$C$2:$C$3143=S$1,
Master_Mapping_Sheet!$H$2:$H$3143=$A24))/sum(filter(
Master_Mapping_Sheet!$E$2:$E$3143, ISNUMBER(
Master_Mapping_Sh"&amp;"eet!$E$2:$E$3143),
Master_Mapping_Sheet!$C$2:$C$3143=S$1))), 0, sum(filter(
Master_Mapping_Sheet!$E$2:$E$3143, ISNUMBER(
Master_Mapping_Sheet!$E$2:$E$3143),
Master_Mapping_Sheet!$C$2:$C$3143=S$1,
Master_Mapping_Sheet!$H$2:$H$3143=$A24))/sum(filter(
Master"&amp;"_Mapping_Sheet!$E$2:$E$3143, ISNUMBER(
Master_Mapping_Sheet!$E$2:$E$3143),
Master_Mapping_Sheet!$C$2:$C$3143=S$1)))"),0.0)</f>
        <v>0</v>
      </c>
      <c r="T24" s="34">
        <f>IFERROR(__xludf.DUMMYFUNCTION("IF(ISNA(sum(filter(
Master_Mapping_Sheet!$E$2:$E$3143, ISNUMBER(
Master_Mapping_Sheet!$E$2:$E$3143),
Master_Mapping_Sheet!$C$2:$C$3143=T$1,
Master_Mapping_Sheet!$H$2:$H$3143=$A24))/sum(filter(
Master_Mapping_Sheet!$E$2:$E$3143, ISNUMBER(
Master_Mapping_Sh"&amp;"eet!$E$2:$E$3143),
Master_Mapping_Sheet!$C$2:$C$3143=T$1))), 0, sum(filter(
Master_Mapping_Sheet!$E$2:$E$3143, ISNUMBER(
Master_Mapping_Sheet!$E$2:$E$3143),
Master_Mapping_Sheet!$C$2:$C$3143=T$1,
Master_Mapping_Sheet!$H$2:$H$3143=$A24))/sum(filter(
Master"&amp;"_Mapping_Sheet!$E$2:$E$3143, ISNUMBER(
Master_Mapping_Sheet!$E$2:$E$3143),
Master_Mapping_Sheet!$C$2:$C$3143=T$1)))"),0.0)</f>
        <v>0</v>
      </c>
      <c r="U24" s="34">
        <f>IFERROR(__xludf.DUMMYFUNCTION("IF(ISNA(sum(filter(
Master_Mapping_Sheet!$E$2:$E$3143, ISNUMBER(
Master_Mapping_Sheet!$E$2:$E$3143),
Master_Mapping_Sheet!$C$2:$C$3143=U$1,
Master_Mapping_Sheet!$H$2:$H$3143=$A24))/sum(filter(
Master_Mapping_Sheet!$E$2:$E$3143, ISNUMBER(
Master_Mapping_Sh"&amp;"eet!$E$2:$E$3143),
Master_Mapping_Sheet!$C$2:$C$3143=U$1))), 0, sum(filter(
Master_Mapping_Sheet!$E$2:$E$3143, ISNUMBER(
Master_Mapping_Sheet!$E$2:$E$3143),
Master_Mapping_Sheet!$C$2:$C$3143=U$1,
Master_Mapping_Sheet!$H$2:$H$3143=$A24))/sum(filter(
Master"&amp;"_Mapping_Sheet!$E$2:$E$3143, ISNUMBER(
Master_Mapping_Sheet!$E$2:$E$3143),
Master_Mapping_Sheet!$C$2:$C$3143=U$1)))"),0.0)</f>
        <v>0</v>
      </c>
      <c r="V24" s="34">
        <f>IFERROR(__xludf.DUMMYFUNCTION("IF(ISNA(sum(filter(
Master_Mapping_Sheet!$E$2:$E$3143, ISNUMBER(
Master_Mapping_Sheet!$E$2:$E$3143),
Master_Mapping_Sheet!$C$2:$C$3143=V$1,
Master_Mapping_Sheet!$H$2:$H$3143=$A24))/sum(filter(
Master_Mapping_Sheet!$E$2:$E$3143, ISNUMBER(
Master_Mapping_Sh"&amp;"eet!$E$2:$E$3143),
Master_Mapping_Sheet!$C$2:$C$3143=V$1))), 0, sum(filter(
Master_Mapping_Sheet!$E$2:$E$3143, ISNUMBER(
Master_Mapping_Sheet!$E$2:$E$3143),
Master_Mapping_Sheet!$C$2:$C$3143=V$1,
Master_Mapping_Sheet!$H$2:$H$3143=$A24))/sum(filter(
Master"&amp;"_Mapping_Sheet!$E$2:$E$3143, ISNUMBER(
Master_Mapping_Sheet!$E$2:$E$3143),
Master_Mapping_Sheet!$C$2:$C$3143=V$1)))"),0.0)</f>
        <v>0</v>
      </c>
      <c r="W24" s="34">
        <f>IFERROR(__xludf.DUMMYFUNCTION("IF(ISNA(sum(filter(
Master_Mapping_Sheet!$E$2:$E$3143, ISNUMBER(
Master_Mapping_Sheet!$E$2:$E$3143),
Master_Mapping_Sheet!$C$2:$C$3143=W$1,
Master_Mapping_Sheet!$H$2:$H$3143=$A24))/sum(filter(
Master_Mapping_Sheet!$E$2:$E$3143, ISNUMBER(
Master_Mapping_Sh"&amp;"eet!$E$2:$E$3143),
Master_Mapping_Sheet!$C$2:$C$3143=W$1))), 0, sum(filter(
Master_Mapping_Sheet!$E$2:$E$3143, ISNUMBER(
Master_Mapping_Sheet!$E$2:$E$3143),
Master_Mapping_Sheet!$C$2:$C$3143=W$1,
Master_Mapping_Sheet!$H$2:$H$3143=$A24))/sum(filter(
Master"&amp;"_Mapping_Sheet!$E$2:$E$3143, ISNUMBER(
Master_Mapping_Sheet!$E$2:$E$3143),
Master_Mapping_Sheet!$C$2:$C$3143=W$1)))"),0.0)</f>
        <v>0</v>
      </c>
      <c r="X24" s="34">
        <f>IFERROR(__xludf.DUMMYFUNCTION("IF(ISNA(sum(filter(
Master_Mapping_Sheet!$E$2:$E$3143, ISNUMBER(
Master_Mapping_Sheet!$E$2:$E$3143),
Master_Mapping_Sheet!$C$2:$C$3143=X$1,
Master_Mapping_Sheet!$H$2:$H$3143=$A24))/sum(filter(
Master_Mapping_Sheet!$E$2:$E$3143, ISNUMBER(
Master_Mapping_Sh"&amp;"eet!$E$2:$E$3143),
Master_Mapping_Sheet!$C$2:$C$3143=X$1))), 0, sum(filter(
Master_Mapping_Sheet!$E$2:$E$3143, ISNUMBER(
Master_Mapping_Sheet!$E$2:$E$3143),
Master_Mapping_Sheet!$C$2:$C$3143=X$1,
Master_Mapping_Sheet!$H$2:$H$3143=$A24))/sum(filter(
Master"&amp;"_Mapping_Sheet!$E$2:$E$3143, ISNUMBER(
Master_Mapping_Sheet!$E$2:$E$3143),
Master_Mapping_Sheet!$C$2:$C$3143=X$1)))"),0.0)</f>
        <v>0</v>
      </c>
      <c r="Y24" s="34">
        <f>IFERROR(__xludf.DUMMYFUNCTION("IF(ISNA(sum(filter(
Master_Mapping_Sheet!$E$2:$E$3143, ISNUMBER(
Master_Mapping_Sheet!$E$2:$E$3143),
Master_Mapping_Sheet!$C$2:$C$3143=Y$1,
Master_Mapping_Sheet!$H$2:$H$3143=$A24))/sum(filter(
Master_Mapping_Sheet!$E$2:$E$3143, ISNUMBER(
Master_Mapping_Sh"&amp;"eet!$E$2:$E$3143),
Master_Mapping_Sheet!$C$2:$C$3143=Y$1))), 0, sum(filter(
Master_Mapping_Sheet!$E$2:$E$3143, ISNUMBER(
Master_Mapping_Sheet!$E$2:$E$3143),
Master_Mapping_Sheet!$C$2:$C$3143=Y$1,
Master_Mapping_Sheet!$H$2:$H$3143=$A24))/sum(filter(
Master"&amp;"_Mapping_Sheet!$E$2:$E$3143, ISNUMBER(
Master_Mapping_Sheet!$E$2:$E$3143),
Master_Mapping_Sheet!$C$2:$C$3143=Y$1)))"),0.0)</f>
        <v>0</v>
      </c>
      <c r="Z24" s="34">
        <f>IFERROR(__xludf.DUMMYFUNCTION("IF(ISNA(sum(filter(
Master_Mapping_Sheet!$E$2:$E$3143, ISNUMBER(
Master_Mapping_Sheet!$E$2:$E$3143),
Master_Mapping_Sheet!$C$2:$C$3143=Z$1,
Master_Mapping_Sheet!$H$2:$H$3143=$A24))/sum(filter(
Master_Mapping_Sheet!$E$2:$E$3143, ISNUMBER(
Master_Mapping_Sh"&amp;"eet!$E$2:$E$3143),
Master_Mapping_Sheet!$C$2:$C$3143=Z$1))), 0, sum(filter(
Master_Mapping_Sheet!$E$2:$E$3143, ISNUMBER(
Master_Mapping_Sheet!$E$2:$E$3143),
Master_Mapping_Sheet!$C$2:$C$3143=Z$1,
Master_Mapping_Sheet!$H$2:$H$3143=$A24))/sum(filter(
Master"&amp;"_Mapping_Sheet!$E$2:$E$3143, ISNUMBER(
Master_Mapping_Sheet!$E$2:$E$3143),
Master_Mapping_Sheet!$C$2:$C$3143=Z$1)))"),0.0)</f>
        <v>0</v>
      </c>
      <c r="AA24" s="34">
        <f>IFERROR(__xludf.DUMMYFUNCTION("IF(ISNA(sum(filter(
Master_Mapping_Sheet!$E$2:$E$3143, ISNUMBER(
Master_Mapping_Sheet!$E$2:$E$3143),
Master_Mapping_Sheet!$C$2:$C$3143=AA$1,
Master_Mapping_Sheet!$H$2:$H$3143=$A24))/sum(filter(
Master_Mapping_Sheet!$E$2:$E$3143, ISNUMBER(
Master_Mapping_S"&amp;"heet!$E$2:$E$3143),
Master_Mapping_Sheet!$C$2:$C$3143=AA$1))), 0, sum(filter(
Master_Mapping_Sheet!$E$2:$E$3143, ISNUMBER(
Master_Mapping_Sheet!$E$2:$E$3143),
Master_Mapping_Sheet!$C$2:$C$3143=AA$1,
Master_Mapping_Sheet!$H$2:$H$3143=$A24))/sum(filter(
Mas"&amp;"ter_Mapping_Sheet!$E$2:$E$3143, ISNUMBER(
Master_Mapping_Sheet!$E$2:$E$3143),
Master_Mapping_Sheet!$C$2:$C$3143=AA$1)))"),0.0)</f>
        <v>0</v>
      </c>
      <c r="AB24" s="34">
        <f>IFERROR(__xludf.DUMMYFUNCTION("IF(ISNA(sum(filter(
Master_Mapping_Sheet!$E$2:$E$3143, ISNUMBER(
Master_Mapping_Sheet!$E$2:$E$3143),
Master_Mapping_Sheet!$C$2:$C$3143=AB$1,
Master_Mapping_Sheet!$H$2:$H$3143=$A24))/sum(filter(
Master_Mapping_Sheet!$E$2:$E$3143, ISNUMBER(
Master_Mapping_S"&amp;"heet!$E$2:$E$3143),
Master_Mapping_Sheet!$C$2:$C$3143=AB$1))), 0, sum(filter(
Master_Mapping_Sheet!$E$2:$E$3143, ISNUMBER(
Master_Mapping_Sheet!$E$2:$E$3143),
Master_Mapping_Sheet!$C$2:$C$3143=AB$1,
Master_Mapping_Sheet!$H$2:$H$3143=$A24))/sum(filter(
Mas"&amp;"ter_Mapping_Sheet!$E$2:$E$3143, ISNUMBER(
Master_Mapping_Sheet!$E$2:$E$3143),
Master_Mapping_Sheet!$C$2:$C$3143=AB$1)))"),0.9628137766902187)</f>
        <v>0.9628137767</v>
      </c>
      <c r="AC24" s="34">
        <f>IFERROR(__xludf.DUMMYFUNCTION("IF(ISNA(sum(filter(
Master_Mapping_Sheet!$E$2:$E$3143, ISNUMBER(
Master_Mapping_Sheet!$E$2:$E$3143),
Master_Mapping_Sheet!$C$2:$C$3143=AC$1,
Master_Mapping_Sheet!$H$2:$H$3143=$A24))/sum(filter(
Master_Mapping_Sheet!$E$2:$E$3143, ISNUMBER(
Master_Mapping_S"&amp;"heet!$E$2:$E$3143),
Master_Mapping_Sheet!$C$2:$C$3143=AC$1))), 0, sum(filter(
Master_Mapping_Sheet!$E$2:$E$3143, ISNUMBER(
Master_Mapping_Sheet!$E$2:$E$3143),
Master_Mapping_Sheet!$C$2:$C$3143=AC$1,
Master_Mapping_Sheet!$H$2:$H$3143=$A24))/sum(filter(
Mas"&amp;"ter_Mapping_Sheet!$E$2:$E$3143, ISNUMBER(
Master_Mapping_Sheet!$E$2:$E$3143),
Master_Mapping_Sheet!$C$2:$C$3143=AC$1)))"),0.0)</f>
        <v>0</v>
      </c>
      <c r="AD24" s="34">
        <f>IFERROR(__xludf.DUMMYFUNCTION("IF(ISNA(sum(filter(
Master_Mapping_Sheet!$E$2:$E$3143, ISNUMBER(
Master_Mapping_Sheet!$E$2:$E$3143),
Master_Mapping_Sheet!$C$2:$C$3143=AD$1,
Master_Mapping_Sheet!$H$2:$H$3143=$A24))/sum(filter(
Master_Mapping_Sheet!$E$2:$E$3143, ISNUMBER(
Master_Mapping_S"&amp;"heet!$E$2:$E$3143),
Master_Mapping_Sheet!$C$2:$C$3143=AD$1))), 0, sum(filter(
Master_Mapping_Sheet!$E$2:$E$3143, ISNUMBER(
Master_Mapping_Sheet!$E$2:$E$3143),
Master_Mapping_Sheet!$C$2:$C$3143=AD$1,
Master_Mapping_Sheet!$H$2:$H$3143=$A24))/sum(filter(
Mas"&amp;"ter_Mapping_Sheet!$E$2:$E$3143, ISNUMBER(
Master_Mapping_Sheet!$E$2:$E$3143),
Master_Mapping_Sheet!$C$2:$C$3143=AD$1)))"),0.0)</f>
        <v>0</v>
      </c>
      <c r="AE24" s="34">
        <f>IFERROR(__xludf.DUMMYFUNCTION("IF(ISNA(sum(filter(
Master_Mapping_Sheet!$E$2:$E$3143, ISNUMBER(
Master_Mapping_Sheet!$E$2:$E$3143),
Master_Mapping_Sheet!$C$2:$C$3143=AE$1,
Master_Mapping_Sheet!$H$2:$H$3143=$A24))/sum(filter(
Master_Mapping_Sheet!$E$2:$E$3143, ISNUMBER(
Master_Mapping_S"&amp;"heet!$E$2:$E$3143),
Master_Mapping_Sheet!$C$2:$C$3143=AE$1))), 0, sum(filter(
Master_Mapping_Sheet!$E$2:$E$3143, ISNUMBER(
Master_Mapping_Sheet!$E$2:$E$3143),
Master_Mapping_Sheet!$C$2:$C$3143=AE$1,
Master_Mapping_Sheet!$H$2:$H$3143=$A24))/sum(filter(
Mas"&amp;"ter_Mapping_Sheet!$E$2:$E$3143, ISNUMBER(
Master_Mapping_Sheet!$E$2:$E$3143),
Master_Mapping_Sheet!$C$2:$C$3143=AE$1)))"),0.0)</f>
        <v>0</v>
      </c>
      <c r="AF24" s="34">
        <f>IFERROR(__xludf.DUMMYFUNCTION("IF(ISNA(sum(filter(
Master_Mapping_Sheet!$E$2:$E$3143, ISNUMBER(
Master_Mapping_Sheet!$E$2:$E$3143),
Master_Mapping_Sheet!$C$2:$C$3143=AF$1,
Master_Mapping_Sheet!$H$2:$H$3143=$A24))/sum(filter(
Master_Mapping_Sheet!$E$2:$E$3143, ISNUMBER(
Master_Mapping_S"&amp;"heet!$E$2:$E$3143),
Master_Mapping_Sheet!$C$2:$C$3143=AF$1))), 0, sum(filter(
Master_Mapping_Sheet!$E$2:$E$3143, ISNUMBER(
Master_Mapping_Sheet!$E$2:$E$3143),
Master_Mapping_Sheet!$C$2:$C$3143=AF$1,
Master_Mapping_Sheet!$H$2:$H$3143=$A24))/sum(filter(
Mas"&amp;"ter_Mapping_Sheet!$E$2:$E$3143, ISNUMBER(
Master_Mapping_Sheet!$E$2:$E$3143),
Master_Mapping_Sheet!$C$2:$C$3143=AF$1)))"),0.0)</f>
        <v>0</v>
      </c>
      <c r="AG24" s="34">
        <f>IFERROR(__xludf.DUMMYFUNCTION("IF(ISNA(sum(filter(
Master_Mapping_Sheet!$E$2:$E$3143, ISNUMBER(
Master_Mapping_Sheet!$E$2:$E$3143),
Master_Mapping_Sheet!$C$2:$C$3143=AG$1,
Master_Mapping_Sheet!$H$2:$H$3143=$A24))/sum(filter(
Master_Mapping_Sheet!$E$2:$E$3143, ISNUMBER(
Master_Mapping_S"&amp;"heet!$E$2:$E$3143),
Master_Mapping_Sheet!$C$2:$C$3143=AG$1))), 0, sum(filter(
Master_Mapping_Sheet!$E$2:$E$3143, ISNUMBER(
Master_Mapping_Sheet!$E$2:$E$3143),
Master_Mapping_Sheet!$C$2:$C$3143=AG$1,
Master_Mapping_Sheet!$H$2:$H$3143=$A24))/sum(filter(
Mas"&amp;"ter_Mapping_Sheet!$E$2:$E$3143, ISNUMBER(
Master_Mapping_Sheet!$E$2:$E$3143),
Master_Mapping_Sheet!$C$2:$C$3143=AG$1)))"),0.0)</f>
        <v>0</v>
      </c>
      <c r="AH24" s="34">
        <f>IFERROR(__xludf.DUMMYFUNCTION("IF(ISNA(sum(filter(
Master_Mapping_Sheet!$E$2:$E$3143, ISNUMBER(
Master_Mapping_Sheet!$E$2:$E$3143),
Master_Mapping_Sheet!$C$2:$C$3143=AH$1,
Master_Mapping_Sheet!$H$2:$H$3143=$A24))/sum(filter(
Master_Mapping_Sheet!$E$2:$E$3143, ISNUMBER(
Master_Mapping_S"&amp;"heet!$E$2:$E$3143),
Master_Mapping_Sheet!$C$2:$C$3143=AH$1))), 0, sum(filter(
Master_Mapping_Sheet!$E$2:$E$3143, ISNUMBER(
Master_Mapping_Sheet!$E$2:$E$3143),
Master_Mapping_Sheet!$C$2:$C$3143=AH$1,
Master_Mapping_Sheet!$H$2:$H$3143=$A24))/sum(filter(
Mas"&amp;"ter_Mapping_Sheet!$E$2:$E$3143, ISNUMBER(
Master_Mapping_Sheet!$E$2:$E$3143),
Master_Mapping_Sheet!$C$2:$C$3143=AH$1)))"),0.0)</f>
        <v>0</v>
      </c>
      <c r="AI24" s="34">
        <f>IFERROR(__xludf.DUMMYFUNCTION("IF(ISNA(sum(filter(
Master_Mapping_Sheet!$E$2:$E$3143, ISNUMBER(
Master_Mapping_Sheet!$E$2:$E$3143),
Master_Mapping_Sheet!$C$2:$C$3143=AI$1,
Master_Mapping_Sheet!$H$2:$H$3143=$A24))/sum(filter(
Master_Mapping_Sheet!$E$2:$E$3143, ISNUMBER(
Master_Mapping_S"&amp;"heet!$E$2:$E$3143),
Master_Mapping_Sheet!$C$2:$C$3143=AI$1))), 0, sum(filter(
Master_Mapping_Sheet!$E$2:$E$3143, ISNUMBER(
Master_Mapping_Sheet!$E$2:$E$3143),
Master_Mapping_Sheet!$C$2:$C$3143=AI$1,
Master_Mapping_Sheet!$H$2:$H$3143=$A24))/sum(filter(
Mas"&amp;"ter_Mapping_Sheet!$E$2:$E$3143, ISNUMBER(
Master_Mapping_Sheet!$E$2:$E$3143),
Master_Mapping_Sheet!$C$2:$C$3143=AI$1)))"),0.0)</f>
        <v>0</v>
      </c>
      <c r="AJ24" s="34">
        <f>IFERROR(__xludf.DUMMYFUNCTION("IF(ISNA(sum(filter(
Master_Mapping_Sheet!$E$2:$E$3143, ISNUMBER(
Master_Mapping_Sheet!$E$2:$E$3143),
Master_Mapping_Sheet!$C$2:$C$3143=AJ$1,
Master_Mapping_Sheet!$H$2:$H$3143=$A24))/sum(filter(
Master_Mapping_Sheet!$E$2:$E$3143, ISNUMBER(
Master_Mapping_S"&amp;"heet!$E$2:$E$3143),
Master_Mapping_Sheet!$C$2:$C$3143=AJ$1))), 0, sum(filter(
Master_Mapping_Sheet!$E$2:$E$3143, ISNUMBER(
Master_Mapping_Sheet!$E$2:$E$3143),
Master_Mapping_Sheet!$C$2:$C$3143=AJ$1,
Master_Mapping_Sheet!$H$2:$H$3143=$A24))/sum(filter(
Mas"&amp;"ter_Mapping_Sheet!$E$2:$E$3143, ISNUMBER(
Master_Mapping_Sheet!$E$2:$E$3143),
Master_Mapping_Sheet!$C$2:$C$3143=AJ$1)))"),0.0)</f>
        <v>0</v>
      </c>
      <c r="AK24" s="34">
        <f>IFERROR(__xludf.DUMMYFUNCTION("IF(ISNA(sum(filter(
Master_Mapping_Sheet!$E$2:$E$3143, ISNUMBER(
Master_Mapping_Sheet!$E$2:$E$3143),
Master_Mapping_Sheet!$C$2:$C$3143=AK$1,
Master_Mapping_Sheet!$H$2:$H$3143=$A24))/sum(filter(
Master_Mapping_Sheet!$E$2:$E$3143, ISNUMBER(
Master_Mapping_S"&amp;"heet!$E$2:$E$3143),
Master_Mapping_Sheet!$C$2:$C$3143=AK$1))), 0, sum(filter(
Master_Mapping_Sheet!$E$2:$E$3143, ISNUMBER(
Master_Mapping_Sheet!$E$2:$E$3143),
Master_Mapping_Sheet!$C$2:$C$3143=AK$1,
Master_Mapping_Sheet!$H$2:$H$3143=$A24))/sum(filter(
Mas"&amp;"ter_Mapping_Sheet!$E$2:$E$3143, ISNUMBER(
Master_Mapping_Sheet!$E$2:$E$3143),
Master_Mapping_Sheet!$C$2:$C$3143=AK$1)))"),0.0)</f>
        <v>0</v>
      </c>
      <c r="AL24" s="34">
        <f>IFERROR(__xludf.DUMMYFUNCTION("IF(ISNA(sum(filter(
Master_Mapping_Sheet!$E$2:$E$3143, ISNUMBER(
Master_Mapping_Sheet!$E$2:$E$3143),
Master_Mapping_Sheet!$C$2:$C$3143=AL$1,
Master_Mapping_Sheet!$H$2:$H$3143=$A24))/sum(filter(
Master_Mapping_Sheet!$E$2:$E$3143, ISNUMBER(
Master_Mapping_S"&amp;"heet!$E$2:$E$3143),
Master_Mapping_Sheet!$C$2:$C$3143=AL$1))), 0, sum(filter(
Master_Mapping_Sheet!$E$2:$E$3143, ISNUMBER(
Master_Mapping_Sheet!$E$2:$E$3143),
Master_Mapping_Sheet!$C$2:$C$3143=AL$1,
Master_Mapping_Sheet!$H$2:$H$3143=$A24))/sum(filter(
Mas"&amp;"ter_Mapping_Sheet!$E$2:$E$3143, ISNUMBER(
Master_Mapping_Sheet!$E$2:$E$3143),
Master_Mapping_Sheet!$C$2:$C$3143=AL$1)))"),0.0)</f>
        <v>0</v>
      </c>
      <c r="AM24" s="34">
        <f>IFERROR(__xludf.DUMMYFUNCTION("IF(ISNA(sum(filter(
Master_Mapping_Sheet!$E$2:$E$3143, ISNUMBER(
Master_Mapping_Sheet!$E$2:$E$3143),
Master_Mapping_Sheet!$C$2:$C$3143=AM$1,
Master_Mapping_Sheet!$H$2:$H$3143=$A24))/sum(filter(
Master_Mapping_Sheet!$E$2:$E$3143, ISNUMBER(
Master_Mapping_S"&amp;"heet!$E$2:$E$3143),
Master_Mapping_Sheet!$C$2:$C$3143=AM$1))), 0, sum(filter(
Master_Mapping_Sheet!$E$2:$E$3143, ISNUMBER(
Master_Mapping_Sheet!$E$2:$E$3143),
Master_Mapping_Sheet!$C$2:$C$3143=AM$1,
Master_Mapping_Sheet!$H$2:$H$3143=$A24))/sum(filter(
Mas"&amp;"ter_Mapping_Sheet!$E$2:$E$3143, ISNUMBER(
Master_Mapping_Sheet!$E$2:$E$3143),
Master_Mapping_Sheet!$C$2:$C$3143=AM$1)))"),1.0)</f>
        <v>1</v>
      </c>
      <c r="AN24" s="34">
        <f>IFERROR(__xludf.DUMMYFUNCTION("IF(ISNA(sum(filter(
Master_Mapping_Sheet!$E$2:$E$3143, ISNUMBER(
Master_Mapping_Sheet!$E$2:$E$3143),
Master_Mapping_Sheet!$C$2:$C$3143=AN$1,
Master_Mapping_Sheet!$H$2:$H$3143=$A24))/sum(filter(
Master_Mapping_Sheet!$E$2:$E$3143, ISNUMBER(
Master_Mapping_S"&amp;"heet!$E$2:$E$3143),
Master_Mapping_Sheet!$C$2:$C$3143=AN$1))), 0, sum(filter(
Master_Mapping_Sheet!$E$2:$E$3143, ISNUMBER(
Master_Mapping_Sheet!$E$2:$E$3143),
Master_Mapping_Sheet!$C$2:$C$3143=AN$1,
Master_Mapping_Sheet!$H$2:$H$3143=$A24))/sum(filter(
Mas"&amp;"ter_Mapping_Sheet!$E$2:$E$3143, ISNUMBER(
Master_Mapping_Sheet!$E$2:$E$3143),
Master_Mapping_Sheet!$C$2:$C$3143=AN$1)))"),0.0)</f>
        <v>0</v>
      </c>
      <c r="AO24" s="34">
        <f>IFERROR(__xludf.DUMMYFUNCTION("IF(ISNA(sum(filter(
Master_Mapping_Sheet!$E$2:$E$3143, ISNUMBER(
Master_Mapping_Sheet!$E$2:$E$3143),
Master_Mapping_Sheet!$C$2:$C$3143=AO$1,
Master_Mapping_Sheet!$H$2:$H$3143=$A24))/sum(filter(
Master_Mapping_Sheet!$E$2:$E$3143, ISNUMBER(
Master_Mapping_S"&amp;"heet!$E$2:$E$3143),
Master_Mapping_Sheet!$C$2:$C$3143=AO$1))), 0, sum(filter(
Master_Mapping_Sheet!$E$2:$E$3143, ISNUMBER(
Master_Mapping_Sheet!$E$2:$E$3143),
Master_Mapping_Sheet!$C$2:$C$3143=AO$1,
Master_Mapping_Sheet!$H$2:$H$3143=$A24))/sum(filter(
Mas"&amp;"ter_Mapping_Sheet!$E$2:$E$3143, ISNUMBER(
Master_Mapping_Sheet!$E$2:$E$3143),
Master_Mapping_Sheet!$C$2:$C$3143=AO$1)))"),0.0)</f>
        <v>0</v>
      </c>
      <c r="AP24" s="34">
        <f>IFERROR(__xludf.DUMMYFUNCTION("IF(ISNA(sum(filter(
Master_Mapping_Sheet!$E$2:$E$3143, ISNUMBER(
Master_Mapping_Sheet!$E$2:$E$3143),
Master_Mapping_Sheet!$C$2:$C$3143=AP$1,
Master_Mapping_Sheet!$H$2:$H$3143=$A24))/sum(filter(
Master_Mapping_Sheet!$E$2:$E$3143, ISNUMBER(
Master_Mapping_S"&amp;"heet!$E$2:$E$3143),
Master_Mapping_Sheet!$C$2:$C$3143=AP$1))), 0, sum(filter(
Master_Mapping_Sheet!$E$2:$E$3143, ISNUMBER(
Master_Mapping_Sheet!$E$2:$E$3143),
Master_Mapping_Sheet!$C$2:$C$3143=AP$1,
Master_Mapping_Sheet!$H$2:$H$3143=$A24))/sum(filter(
Mas"&amp;"ter_Mapping_Sheet!$E$2:$E$3143, ISNUMBER(
Master_Mapping_Sheet!$E$2:$E$3143),
Master_Mapping_Sheet!$C$2:$C$3143=AP$1)))"),0.0)</f>
        <v>0</v>
      </c>
      <c r="AQ24" s="34">
        <f>IFERROR(__xludf.DUMMYFUNCTION("IF(ISNA(sum(filter(
Master_Mapping_Sheet!$E$2:$E$3143, ISNUMBER(
Master_Mapping_Sheet!$E$2:$E$3143),
Master_Mapping_Sheet!$C$2:$C$3143=AQ$1,
Master_Mapping_Sheet!$H$2:$H$3143=$A24))/sum(filter(
Master_Mapping_Sheet!$E$2:$E$3143, ISNUMBER(
Master_Mapping_S"&amp;"heet!$E$2:$E$3143),
Master_Mapping_Sheet!$C$2:$C$3143=AQ$1))), 0, sum(filter(
Master_Mapping_Sheet!$E$2:$E$3143, ISNUMBER(
Master_Mapping_Sheet!$E$2:$E$3143),
Master_Mapping_Sheet!$C$2:$C$3143=AQ$1,
Master_Mapping_Sheet!$H$2:$H$3143=$A24))/sum(filter(
Mas"&amp;"ter_Mapping_Sheet!$E$2:$E$3143, ISNUMBER(
Master_Mapping_Sheet!$E$2:$E$3143),
Master_Mapping_Sheet!$C$2:$C$3143=AQ$1)))"),0.0)</f>
        <v>0</v>
      </c>
      <c r="AR24" s="34">
        <f>IFERROR(__xludf.DUMMYFUNCTION("IF(ISNA(sum(filter(
Master_Mapping_Sheet!$E$2:$E$3143, ISNUMBER(
Master_Mapping_Sheet!$E$2:$E$3143),
Master_Mapping_Sheet!$C$2:$C$3143=AR$1,
Master_Mapping_Sheet!$H$2:$H$3143=$A24))/sum(filter(
Master_Mapping_Sheet!$E$2:$E$3143, ISNUMBER(
Master_Mapping_S"&amp;"heet!$E$2:$E$3143),
Master_Mapping_Sheet!$C$2:$C$3143=AR$1))), 0, sum(filter(
Master_Mapping_Sheet!$E$2:$E$3143, ISNUMBER(
Master_Mapping_Sheet!$E$2:$E$3143),
Master_Mapping_Sheet!$C$2:$C$3143=AR$1,
Master_Mapping_Sheet!$H$2:$H$3143=$A24))/sum(filter(
Mas"&amp;"ter_Mapping_Sheet!$E$2:$E$3143, ISNUMBER(
Master_Mapping_Sheet!$E$2:$E$3143),
Master_Mapping_Sheet!$C$2:$C$3143=AR$1)))"),0.0)</f>
        <v>0</v>
      </c>
      <c r="AS24" s="34">
        <f>IFERROR(__xludf.DUMMYFUNCTION("IF(ISNA(sum(filter(
Master_Mapping_Sheet!$E$2:$E$3143, ISNUMBER(
Master_Mapping_Sheet!$E$2:$E$3143),
Master_Mapping_Sheet!$C$2:$C$3143=AS$1,
Master_Mapping_Sheet!$H$2:$H$3143=$A24))/sum(filter(
Master_Mapping_Sheet!$E$2:$E$3143, ISNUMBER(
Master_Mapping_S"&amp;"heet!$E$2:$E$3143),
Master_Mapping_Sheet!$C$2:$C$3143=AS$1))), 0, sum(filter(
Master_Mapping_Sheet!$E$2:$E$3143, ISNUMBER(
Master_Mapping_Sheet!$E$2:$E$3143),
Master_Mapping_Sheet!$C$2:$C$3143=AS$1,
Master_Mapping_Sheet!$H$2:$H$3143=$A24))/sum(filter(
Mas"&amp;"ter_Mapping_Sheet!$E$2:$E$3143, ISNUMBER(
Master_Mapping_Sheet!$E$2:$E$3143),
Master_Mapping_Sheet!$C$2:$C$3143=AS$1)))"),0.0)</f>
        <v>0</v>
      </c>
      <c r="AT24" s="34">
        <f>IFERROR(__xludf.DUMMYFUNCTION("IF(ISNA(sum(filter(
Master_Mapping_Sheet!$E$2:$E$3143, ISNUMBER(
Master_Mapping_Sheet!$E$2:$E$3143),
Master_Mapping_Sheet!$C$2:$C$3143=AT$1,
Master_Mapping_Sheet!$H$2:$H$3143=$A24))/sum(filter(
Master_Mapping_Sheet!$E$2:$E$3143, ISNUMBER(
Master_Mapping_S"&amp;"heet!$E$2:$E$3143),
Master_Mapping_Sheet!$C$2:$C$3143=AT$1))), 0, sum(filter(
Master_Mapping_Sheet!$E$2:$E$3143, ISNUMBER(
Master_Mapping_Sheet!$E$2:$E$3143),
Master_Mapping_Sheet!$C$2:$C$3143=AT$1,
Master_Mapping_Sheet!$H$2:$H$3143=$A24))/sum(filter(
Mas"&amp;"ter_Mapping_Sheet!$E$2:$E$3143, ISNUMBER(
Master_Mapping_Sheet!$E$2:$E$3143),
Master_Mapping_Sheet!$C$2:$C$3143=AT$1)))"),0.0)</f>
        <v>0</v>
      </c>
      <c r="AU24" s="34">
        <f>IFERROR(__xludf.DUMMYFUNCTION("IF(ISNA(sum(filter(
Master_Mapping_Sheet!$E$2:$E$3143, ISNUMBER(
Master_Mapping_Sheet!$E$2:$E$3143),
Master_Mapping_Sheet!$C$2:$C$3143=AU$1,
Master_Mapping_Sheet!$H$2:$H$3143=$A24))/sum(filter(
Master_Mapping_Sheet!$E$2:$E$3143, ISNUMBER(
Master_Mapping_S"&amp;"heet!$E$2:$E$3143),
Master_Mapping_Sheet!$C$2:$C$3143=AU$1))), 0, sum(filter(
Master_Mapping_Sheet!$E$2:$E$3143, ISNUMBER(
Master_Mapping_Sheet!$E$2:$E$3143),
Master_Mapping_Sheet!$C$2:$C$3143=AU$1,
Master_Mapping_Sheet!$H$2:$H$3143=$A24))/sum(filter(
Mas"&amp;"ter_Mapping_Sheet!$E$2:$E$3143, ISNUMBER(
Master_Mapping_Sheet!$E$2:$E$3143),
Master_Mapping_Sheet!$C$2:$C$3143=AU$1)))"),0.0)</f>
        <v>0</v>
      </c>
      <c r="AV24" s="34">
        <f>IFERROR(__xludf.DUMMYFUNCTION("IF(ISNA(sum(filter(
Master_Mapping_Sheet!$E$2:$E$3143, ISNUMBER(
Master_Mapping_Sheet!$E$2:$E$3143),
Master_Mapping_Sheet!$C$2:$C$3143=AV$1,
Master_Mapping_Sheet!$H$2:$H$3143=$A24))/sum(filter(
Master_Mapping_Sheet!$E$2:$E$3143, ISNUMBER(
Master_Mapping_S"&amp;"heet!$E$2:$E$3143),
Master_Mapping_Sheet!$C$2:$C$3143=AV$1))), 0, sum(filter(
Master_Mapping_Sheet!$E$2:$E$3143, ISNUMBER(
Master_Mapping_Sheet!$E$2:$E$3143),
Master_Mapping_Sheet!$C$2:$C$3143=AV$1,
Master_Mapping_Sheet!$H$2:$H$3143=$A24))/sum(filter(
Mas"&amp;"ter_Mapping_Sheet!$E$2:$E$3143, ISNUMBER(
Master_Mapping_Sheet!$E$2:$E$3143),
Master_Mapping_Sheet!$C$2:$C$3143=AV$1)))"),0.0)</f>
        <v>0</v>
      </c>
      <c r="AW24" s="34">
        <f>IFERROR(__xludf.DUMMYFUNCTION("IF(ISNA(sum(filter(
Master_Mapping_Sheet!$E$2:$E$3143, ISNUMBER(
Master_Mapping_Sheet!$E$2:$E$3143),
Master_Mapping_Sheet!$C$2:$C$3143=AW$1,
Master_Mapping_Sheet!$H$2:$H$3143=$A24))/sum(filter(
Master_Mapping_Sheet!$E$2:$E$3143, ISNUMBER(
Master_Mapping_S"&amp;"heet!$E$2:$E$3143),
Master_Mapping_Sheet!$C$2:$C$3143=AW$1))), 0, sum(filter(
Master_Mapping_Sheet!$E$2:$E$3143, ISNUMBER(
Master_Mapping_Sheet!$E$2:$E$3143),
Master_Mapping_Sheet!$C$2:$C$3143=AW$1,
Master_Mapping_Sheet!$H$2:$H$3143=$A24))/sum(filter(
Mas"&amp;"ter_Mapping_Sheet!$E$2:$E$3143, ISNUMBER(
Master_Mapping_Sheet!$E$2:$E$3143),
Master_Mapping_Sheet!$C$2:$C$3143=AW$1)))"),1.0)</f>
        <v>1</v>
      </c>
      <c r="AX24" s="34">
        <f>IFERROR(__xludf.DUMMYFUNCTION("IF(ISNA(sum(filter(
Master_Mapping_Sheet!$E$2:$E$3143, ISNUMBER(
Master_Mapping_Sheet!$E$2:$E$3143),
Master_Mapping_Sheet!$C$2:$C$3143=AX$1,
Master_Mapping_Sheet!$H$2:$H$3143=$A24))/sum(filter(
Master_Mapping_Sheet!$E$2:$E$3143, ISNUMBER(
Master_Mapping_S"&amp;"heet!$E$2:$E$3143),
Master_Mapping_Sheet!$C$2:$C$3143=AX$1))), 0, sum(filter(
Master_Mapping_Sheet!$E$2:$E$3143, ISNUMBER(
Master_Mapping_Sheet!$E$2:$E$3143),
Master_Mapping_Sheet!$C$2:$C$3143=AX$1,
Master_Mapping_Sheet!$H$2:$H$3143=$A24))/sum(filter(
Mas"&amp;"ter_Mapping_Sheet!$E$2:$E$3143, ISNUMBER(
Master_Mapping_Sheet!$E$2:$E$3143),
Master_Mapping_Sheet!$C$2:$C$3143=AX$1)))"),0.0)</f>
        <v>0</v>
      </c>
      <c r="AY24" s="34">
        <f>IFERROR(__xludf.DUMMYFUNCTION("IF(ISNA(sum(filter(
Master_Mapping_Sheet!$E$2:$E$3143, ISNUMBER(
Master_Mapping_Sheet!$E$2:$E$3143),
Master_Mapping_Sheet!$C$2:$C$3143=AY$1,
Master_Mapping_Sheet!$H$2:$H$3143=$A24))/sum(filter(
Master_Mapping_Sheet!$E$2:$E$3143, ISNUMBER(
Master_Mapping_S"&amp;"heet!$E$2:$E$3143),
Master_Mapping_Sheet!$C$2:$C$3143=AY$1))), 0, sum(filter(
Master_Mapping_Sheet!$E$2:$E$3143, ISNUMBER(
Master_Mapping_Sheet!$E$2:$E$3143),
Master_Mapping_Sheet!$C$2:$C$3143=AY$1,
Master_Mapping_Sheet!$H$2:$H$3143=$A24))/sum(filter(
Mas"&amp;"ter_Mapping_Sheet!$E$2:$E$3143, ISNUMBER(
Master_Mapping_Sheet!$E$2:$E$3143),
Master_Mapping_Sheet!$C$2:$C$3143=AY$1)))"),0.0)</f>
        <v>0</v>
      </c>
      <c r="AZ24" s="34">
        <f>IFERROR(__xludf.DUMMYFUNCTION("IF(ISNA(sum(filter(
Master_Mapping_Sheet!$E$2:$E$3143, ISNUMBER(
Master_Mapping_Sheet!$E$2:$E$3143),
Master_Mapping_Sheet!$C$2:$C$3143=AZ$1,
Master_Mapping_Sheet!$H$2:$H$3143=$A24))/sum(filter(
Master_Mapping_Sheet!$E$2:$E$3143, ISNUMBER(
Master_Mapping_S"&amp;"heet!$E$2:$E$3143),
Master_Mapping_Sheet!$C$2:$C$3143=AZ$1))), 0, sum(filter(
Master_Mapping_Sheet!$E$2:$E$3143, ISNUMBER(
Master_Mapping_Sheet!$E$2:$E$3143),
Master_Mapping_Sheet!$C$2:$C$3143=AZ$1,
Master_Mapping_Sheet!$H$2:$H$3143=$A24))/sum(filter(
Mas"&amp;"ter_Mapping_Sheet!$E$2:$E$3143, ISNUMBER(
Master_Mapping_Sheet!$E$2:$E$3143),
Master_Mapping_Sheet!$C$2:$C$3143=AZ$1)))"),0.0)</f>
        <v>0</v>
      </c>
    </row>
    <row r="25" ht="15.75" customHeight="1">
      <c r="A25" s="34" t="s">
        <v>3983</v>
      </c>
      <c r="B25" s="34">
        <f>IFERROR(__xludf.DUMMYFUNCTION("IF(ISNA(sum(filter(
Master_Mapping_Sheet!$E$2:$E$3143, ISNUMBER(
Master_Mapping_Sheet!$E$2:$E$3143),
Master_Mapping_Sheet!$C$2:$C$3143=B$1,
Master_Mapping_Sheet!$H$2:$H$3143=$A25))/sum(filter(
Master_Mapping_Sheet!$E$2:$E$3143, ISNUMBER(
Master_Mapping_Sh"&amp;"eet!$E$2:$E$3143),
Master_Mapping_Sheet!$C$2:$C$3143=B$1))), 0, sum(filter(
Master_Mapping_Sheet!$E$2:$E$3143, ISNUMBER(
Master_Mapping_Sheet!$E$2:$E$3143),
Master_Mapping_Sheet!$C$2:$C$3143=B$1,
Master_Mapping_Sheet!$H$2:$H$3143=$A25))/sum(filter(
Master"&amp;"_Mapping_Sheet!$E$2:$E$3143, ISNUMBER(
Master_Mapping_Sheet!$E$2:$E$3143),
Master_Mapping_Sheet!$C$2:$C$3143=B$1)))"),0.0)</f>
        <v>0</v>
      </c>
      <c r="C25" s="34">
        <f>IFERROR(__xludf.DUMMYFUNCTION("IF(ISNA(sum(filter(
Master_Mapping_Sheet!$E$2:$E$3143, ISNUMBER(
Master_Mapping_Sheet!$E$2:$E$3143),
Master_Mapping_Sheet!$C$2:$C$3143=C$1,
Master_Mapping_Sheet!$H$2:$H$3143=$A25))/sum(filter(
Master_Mapping_Sheet!$E$2:$E$3143, ISNUMBER(
Master_Mapping_Sh"&amp;"eet!$E$2:$E$3143),
Master_Mapping_Sheet!$C$2:$C$3143=C$1))), 0, sum(filter(
Master_Mapping_Sheet!$E$2:$E$3143, ISNUMBER(
Master_Mapping_Sheet!$E$2:$E$3143),
Master_Mapping_Sheet!$C$2:$C$3143=C$1,
Master_Mapping_Sheet!$H$2:$H$3143=$A25))/sum(filter(
Master"&amp;"_Mapping_Sheet!$E$2:$E$3143, ISNUMBER(
Master_Mapping_Sheet!$E$2:$E$3143),
Master_Mapping_Sheet!$C$2:$C$3143=C$1)))"),0.0)</f>
        <v>0</v>
      </c>
      <c r="D25" s="34">
        <f>IFERROR(__xludf.DUMMYFUNCTION("IF(ISNA(sum(filter(
Master_Mapping_Sheet!$E$2:$E$3143, ISNUMBER(
Master_Mapping_Sheet!$E$2:$E$3143),
Master_Mapping_Sheet!$C$2:$C$3143=D$1,
Master_Mapping_Sheet!$H$2:$H$3143=$A25))/sum(filter(
Master_Mapping_Sheet!$E$2:$E$3143, ISNUMBER(
Master_Mapping_Sh"&amp;"eet!$E$2:$E$3143),
Master_Mapping_Sheet!$C$2:$C$3143=D$1))), 0, sum(filter(
Master_Mapping_Sheet!$E$2:$E$3143, ISNUMBER(
Master_Mapping_Sheet!$E$2:$E$3143),
Master_Mapping_Sheet!$C$2:$C$3143=D$1,
Master_Mapping_Sheet!$H$2:$H$3143=$A25))/sum(filter(
Master"&amp;"_Mapping_Sheet!$E$2:$E$3143, ISNUMBER(
Master_Mapping_Sheet!$E$2:$E$3143),
Master_Mapping_Sheet!$C$2:$C$3143=D$1)))"),0.0)</f>
        <v>0</v>
      </c>
      <c r="E25" s="34">
        <f>IFERROR(__xludf.DUMMYFUNCTION("IF(ISNA(sum(filter(
Master_Mapping_Sheet!$E$2:$E$3143, ISNUMBER(
Master_Mapping_Sheet!$E$2:$E$3143),
Master_Mapping_Sheet!$C$2:$C$3143=E$1,
Master_Mapping_Sheet!$H$2:$H$3143=$A25))/sum(filter(
Master_Mapping_Sheet!$E$2:$E$3143, ISNUMBER(
Master_Mapping_Sh"&amp;"eet!$E$2:$E$3143),
Master_Mapping_Sheet!$C$2:$C$3143=E$1))), 0, sum(filter(
Master_Mapping_Sheet!$E$2:$E$3143, ISNUMBER(
Master_Mapping_Sheet!$E$2:$E$3143),
Master_Mapping_Sheet!$C$2:$C$3143=E$1,
Master_Mapping_Sheet!$H$2:$H$3143=$A25))/sum(filter(
Master"&amp;"_Mapping_Sheet!$E$2:$E$3143, ISNUMBER(
Master_Mapping_Sheet!$E$2:$E$3143),
Master_Mapping_Sheet!$C$2:$C$3143=E$1)))"),0.0)</f>
        <v>0</v>
      </c>
      <c r="F25" s="34">
        <f>IFERROR(__xludf.DUMMYFUNCTION("IF(ISNA(sum(filter(
Master_Mapping_Sheet!$E$2:$E$3143, ISNUMBER(
Master_Mapping_Sheet!$E$2:$E$3143),
Master_Mapping_Sheet!$C$2:$C$3143=F$1,
Master_Mapping_Sheet!$H$2:$H$3143=$A25))/sum(filter(
Master_Mapping_Sheet!$E$2:$E$3143, ISNUMBER(
Master_Mapping_Sh"&amp;"eet!$E$2:$E$3143),
Master_Mapping_Sheet!$C$2:$C$3143=F$1))), 0, sum(filter(
Master_Mapping_Sheet!$E$2:$E$3143, ISNUMBER(
Master_Mapping_Sheet!$E$2:$E$3143),
Master_Mapping_Sheet!$C$2:$C$3143=F$1,
Master_Mapping_Sheet!$H$2:$H$3143=$A25))/sum(filter(
Master"&amp;"_Mapping_Sheet!$E$2:$E$3143, ISNUMBER(
Master_Mapping_Sheet!$E$2:$E$3143),
Master_Mapping_Sheet!$C$2:$C$3143=F$1)))"),0.0)</f>
        <v>0</v>
      </c>
      <c r="G25" s="34">
        <f>IFERROR(__xludf.DUMMYFUNCTION("IF(ISNA(sum(filter(
Master_Mapping_Sheet!$E$2:$E$3143, ISNUMBER(
Master_Mapping_Sheet!$E$2:$E$3143),
Master_Mapping_Sheet!$C$2:$C$3143=G$1,
Master_Mapping_Sheet!$H$2:$H$3143=$A25))/sum(filter(
Master_Mapping_Sheet!$E$2:$E$3143, ISNUMBER(
Master_Mapping_Sh"&amp;"eet!$E$2:$E$3143),
Master_Mapping_Sheet!$C$2:$C$3143=G$1))), 0, sum(filter(
Master_Mapping_Sheet!$E$2:$E$3143, ISNUMBER(
Master_Mapping_Sheet!$E$2:$E$3143),
Master_Mapping_Sheet!$C$2:$C$3143=G$1,
Master_Mapping_Sheet!$H$2:$H$3143=$A25))/sum(filter(
Master"&amp;"_Mapping_Sheet!$E$2:$E$3143, ISNUMBER(
Master_Mapping_Sheet!$E$2:$E$3143),
Master_Mapping_Sheet!$C$2:$C$3143=G$1)))"),1.0)</f>
        <v>1</v>
      </c>
      <c r="H25" s="34">
        <f>IFERROR(__xludf.DUMMYFUNCTION("IF(ISNA(sum(filter(
Master_Mapping_Sheet!$E$2:$E$3143, ISNUMBER(
Master_Mapping_Sheet!$E$2:$E$3143),
Master_Mapping_Sheet!$C$2:$C$3143=H$1,
Master_Mapping_Sheet!$H$2:$H$3143=$A25))/sum(filter(
Master_Mapping_Sheet!$E$2:$E$3143, ISNUMBER(
Master_Mapping_Sh"&amp;"eet!$E$2:$E$3143),
Master_Mapping_Sheet!$C$2:$C$3143=H$1))), 0, sum(filter(
Master_Mapping_Sheet!$E$2:$E$3143, ISNUMBER(
Master_Mapping_Sheet!$E$2:$E$3143),
Master_Mapping_Sheet!$C$2:$C$3143=H$1,
Master_Mapping_Sheet!$H$2:$H$3143=$A25))/sum(filter(
Master"&amp;"_Mapping_Sheet!$E$2:$E$3143, ISNUMBER(
Master_Mapping_Sheet!$E$2:$E$3143),
Master_Mapping_Sheet!$C$2:$C$3143=H$1)))"),0.0)</f>
        <v>0</v>
      </c>
      <c r="I25" s="34">
        <f>IFERROR(__xludf.DUMMYFUNCTION("IF(ISNA(sum(filter(
Master_Mapping_Sheet!$E$2:$E$3143, ISNUMBER(
Master_Mapping_Sheet!$E$2:$E$3143),
Master_Mapping_Sheet!$C$2:$C$3143=I$1,
Master_Mapping_Sheet!$H$2:$H$3143=$A25))/sum(filter(
Master_Mapping_Sheet!$E$2:$E$3143, ISNUMBER(
Master_Mapping_Sh"&amp;"eet!$E$2:$E$3143),
Master_Mapping_Sheet!$C$2:$C$3143=I$1))), 0, sum(filter(
Master_Mapping_Sheet!$E$2:$E$3143, ISNUMBER(
Master_Mapping_Sheet!$E$2:$E$3143),
Master_Mapping_Sheet!$C$2:$C$3143=I$1,
Master_Mapping_Sheet!$H$2:$H$3143=$A25))/sum(filter(
Master"&amp;"_Mapping_Sheet!$E$2:$E$3143, ISNUMBER(
Master_Mapping_Sheet!$E$2:$E$3143),
Master_Mapping_Sheet!$C$2:$C$3143=I$1)))"),0.0)</f>
        <v>0</v>
      </c>
      <c r="J25" s="34">
        <f>IFERROR(__xludf.DUMMYFUNCTION("IF(ISNA(sum(filter(
Master_Mapping_Sheet!$E$2:$E$3143, ISNUMBER(
Master_Mapping_Sheet!$E$2:$E$3143),
Master_Mapping_Sheet!$C$2:$C$3143=J$1,
Master_Mapping_Sheet!$H$2:$H$3143=$A25))/sum(filter(
Master_Mapping_Sheet!$E$2:$E$3143, ISNUMBER(
Master_Mapping_Sh"&amp;"eet!$E$2:$E$3143),
Master_Mapping_Sheet!$C$2:$C$3143=J$1))), 0, sum(filter(
Master_Mapping_Sheet!$E$2:$E$3143, ISNUMBER(
Master_Mapping_Sheet!$E$2:$E$3143),
Master_Mapping_Sheet!$C$2:$C$3143=J$1,
Master_Mapping_Sheet!$H$2:$H$3143=$A25))/sum(filter(
Master"&amp;"_Mapping_Sheet!$E$2:$E$3143, ISNUMBER(
Master_Mapping_Sheet!$E$2:$E$3143),
Master_Mapping_Sheet!$C$2:$C$3143=J$1)))"),0.0)</f>
        <v>0</v>
      </c>
      <c r="K25" s="34">
        <f>IFERROR(__xludf.DUMMYFUNCTION("IF(ISNA(sum(filter(
Master_Mapping_Sheet!$E$2:$E$3143, ISNUMBER(
Master_Mapping_Sheet!$E$2:$E$3143),
Master_Mapping_Sheet!$C$2:$C$3143=K$1,
Master_Mapping_Sheet!$H$2:$H$3143=$A25))/sum(filter(
Master_Mapping_Sheet!$E$2:$E$3143, ISNUMBER(
Master_Mapping_Sh"&amp;"eet!$E$2:$E$3143),
Master_Mapping_Sheet!$C$2:$C$3143=K$1))), 0, sum(filter(
Master_Mapping_Sheet!$E$2:$E$3143, ISNUMBER(
Master_Mapping_Sheet!$E$2:$E$3143),
Master_Mapping_Sheet!$C$2:$C$3143=K$1,
Master_Mapping_Sheet!$H$2:$H$3143=$A25))/sum(filter(
Master"&amp;"_Mapping_Sheet!$E$2:$E$3143, ISNUMBER(
Master_Mapping_Sheet!$E$2:$E$3143),
Master_Mapping_Sheet!$C$2:$C$3143=K$1)))"),0.0)</f>
        <v>0</v>
      </c>
      <c r="L25" s="34">
        <f>IFERROR(__xludf.DUMMYFUNCTION("IF(ISNA(sum(filter(
Master_Mapping_Sheet!$E$2:$E$3143, ISNUMBER(
Master_Mapping_Sheet!$E$2:$E$3143),
Master_Mapping_Sheet!$C$2:$C$3143=L$1,
Master_Mapping_Sheet!$H$2:$H$3143=$A25))/sum(filter(
Master_Mapping_Sheet!$E$2:$E$3143, ISNUMBER(
Master_Mapping_Sh"&amp;"eet!$E$2:$E$3143),
Master_Mapping_Sheet!$C$2:$C$3143=L$1))), 0, sum(filter(
Master_Mapping_Sheet!$E$2:$E$3143, ISNUMBER(
Master_Mapping_Sheet!$E$2:$E$3143),
Master_Mapping_Sheet!$C$2:$C$3143=L$1,
Master_Mapping_Sheet!$H$2:$H$3143=$A25))/sum(filter(
Master"&amp;"_Mapping_Sheet!$E$2:$E$3143, ISNUMBER(
Master_Mapping_Sheet!$E$2:$E$3143),
Master_Mapping_Sheet!$C$2:$C$3143=L$1)))"),0.0)</f>
        <v>0</v>
      </c>
      <c r="M25" s="34">
        <f>IFERROR(__xludf.DUMMYFUNCTION("IF(ISNA(sum(filter(
Master_Mapping_Sheet!$E$2:$E$3143, ISNUMBER(
Master_Mapping_Sheet!$E$2:$E$3143),
Master_Mapping_Sheet!$C$2:$C$3143=M$1,
Master_Mapping_Sheet!$H$2:$H$3143=$A25))/sum(filter(
Master_Mapping_Sheet!$E$2:$E$3143, ISNUMBER(
Master_Mapping_Sh"&amp;"eet!$E$2:$E$3143),
Master_Mapping_Sheet!$C$2:$C$3143=M$1))), 0, sum(filter(
Master_Mapping_Sheet!$E$2:$E$3143, ISNUMBER(
Master_Mapping_Sheet!$E$2:$E$3143),
Master_Mapping_Sheet!$C$2:$C$3143=M$1,
Master_Mapping_Sheet!$H$2:$H$3143=$A25))/sum(filter(
Master"&amp;"_Mapping_Sheet!$E$2:$E$3143, ISNUMBER(
Master_Mapping_Sheet!$E$2:$E$3143),
Master_Mapping_Sheet!$C$2:$C$3143=M$1)))"),0.0)</f>
        <v>0</v>
      </c>
      <c r="N25" s="34">
        <f>IFERROR(__xludf.DUMMYFUNCTION("IF(ISNA(sum(filter(
Master_Mapping_Sheet!$E$2:$E$3143, ISNUMBER(
Master_Mapping_Sheet!$E$2:$E$3143),
Master_Mapping_Sheet!$C$2:$C$3143=N$1,
Master_Mapping_Sheet!$H$2:$H$3143=$A25))/sum(filter(
Master_Mapping_Sheet!$E$2:$E$3143, ISNUMBER(
Master_Mapping_Sh"&amp;"eet!$E$2:$E$3143),
Master_Mapping_Sheet!$C$2:$C$3143=N$1))), 0, sum(filter(
Master_Mapping_Sheet!$E$2:$E$3143, ISNUMBER(
Master_Mapping_Sheet!$E$2:$E$3143),
Master_Mapping_Sheet!$C$2:$C$3143=N$1,
Master_Mapping_Sheet!$H$2:$H$3143=$A25))/sum(filter(
Master"&amp;"_Mapping_Sheet!$E$2:$E$3143, ISNUMBER(
Master_Mapping_Sheet!$E$2:$E$3143),
Master_Mapping_Sheet!$C$2:$C$3143=N$1)))"),0.0)</f>
        <v>0</v>
      </c>
      <c r="O25" s="34">
        <f>IFERROR(__xludf.DUMMYFUNCTION("IF(ISNA(sum(filter(
Master_Mapping_Sheet!$E$2:$E$3143, ISNUMBER(
Master_Mapping_Sheet!$E$2:$E$3143),
Master_Mapping_Sheet!$C$2:$C$3143=O$1,
Master_Mapping_Sheet!$H$2:$H$3143=$A25))/sum(filter(
Master_Mapping_Sheet!$E$2:$E$3143, ISNUMBER(
Master_Mapping_Sh"&amp;"eet!$E$2:$E$3143),
Master_Mapping_Sheet!$C$2:$C$3143=O$1))), 0, sum(filter(
Master_Mapping_Sheet!$E$2:$E$3143, ISNUMBER(
Master_Mapping_Sheet!$E$2:$E$3143),
Master_Mapping_Sheet!$C$2:$C$3143=O$1,
Master_Mapping_Sheet!$H$2:$H$3143=$A25))/sum(filter(
Master"&amp;"_Mapping_Sheet!$E$2:$E$3143, ISNUMBER(
Master_Mapping_Sheet!$E$2:$E$3143),
Master_Mapping_Sheet!$C$2:$C$3143=O$1)))"),0.0)</f>
        <v>0</v>
      </c>
      <c r="P25" s="34">
        <f>IFERROR(__xludf.DUMMYFUNCTION("IF(ISNA(sum(filter(
Master_Mapping_Sheet!$E$2:$E$3143, ISNUMBER(
Master_Mapping_Sheet!$E$2:$E$3143),
Master_Mapping_Sheet!$C$2:$C$3143=P$1,
Master_Mapping_Sheet!$H$2:$H$3143=$A25))/sum(filter(
Master_Mapping_Sheet!$E$2:$E$3143, ISNUMBER(
Master_Mapping_Sh"&amp;"eet!$E$2:$E$3143),
Master_Mapping_Sheet!$C$2:$C$3143=P$1))), 0, sum(filter(
Master_Mapping_Sheet!$E$2:$E$3143, ISNUMBER(
Master_Mapping_Sheet!$E$2:$E$3143),
Master_Mapping_Sheet!$C$2:$C$3143=P$1,
Master_Mapping_Sheet!$H$2:$H$3143=$A25))/sum(filter(
Master"&amp;"_Mapping_Sheet!$E$2:$E$3143, ISNUMBER(
Master_Mapping_Sheet!$E$2:$E$3143),
Master_Mapping_Sheet!$C$2:$C$3143=P$1)))"),0.0)</f>
        <v>0</v>
      </c>
      <c r="Q25" s="34">
        <f>IFERROR(__xludf.DUMMYFUNCTION("IF(ISNA(sum(filter(
Master_Mapping_Sheet!$E$2:$E$3143, ISNUMBER(
Master_Mapping_Sheet!$E$2:$E$3143),
Master_Mapping_Sheet!$C$2:$C$3143=Q$1,
Master_Mapping_Sheet!$H$2:$H$3143=$A25))/sum(filter(
Master_Mapping_Sheet!$E$2:$E$3143, ISNUMBER(
Master_Mapping_Sh"&amp;"eet!$E$2:$E$3143),
Master_Mapping_Sheet!$C$2:$C$3143=Q$1))), 0, sum(filter(
Master_Mapping_Sheet!$E$2:$E$3143, ISNUMBER(
Master_Mapping_Sheet!$E$2:$E$3143),
Master_Mapping_Sheet!$C$2:$C$3143=Q$1,
Master_Mapping_Sheet!$H$2:$H$3143=$A25))/sum(filter(
Master"&amp;"_Mapping_Sheet!$E$2:$E$3143, ISNUMBER(
Master_Mapping_Sheet!$E$2:$E$3143),
Master_Mapping_Sheet!$C$2:$C$3143=Q$1)))"),0.0)</f>
        <v>0</v>
      </c>
      <c r="R25" s="34">
        <f>IFERROR(__xludf.DUMMYFUNCTION("IF(ISNA(sum(filter(
Master_Mapping_Sheet!$E$2:$E$3143, ISNUMBER(
Master_Mapping_Sheet!$E$2:$E$3143),
Master_Mapping_Sheet!$C$2:$C$3143=R$1,
Master_Mapping_Sheet!$H$2:$H$3143=$A25))/sum(filter(
Master_Mapping_Sheet!$E$2:$E$3143, ISNUMBER(
Master_Mapping_Sh"&amp;"eet!$E$2:$E$3143),
Master_Mapping_Sheet!$C$2:$C$3143=R$1))), 0, sum(filter(
Master_Mapping_Sheet!$E$2:$E$3143, ISNUMBER(
Master_Mapping_Sheet!$E$2:$E$3143),
Master_Mapping_Sheet!$C$2:$C$3143=R$1,
Master_Mapping_Sheet!$H$2:$H$3143=$A25))/sum(filter(
Master"&amp;"_Mapping_Sheet!$E$2:$E$3143, ISNUMBER(
Master_Mapping_Sheet!$E$2:$E$3143),
Master_Mapping_Sheet!$C$2:$C$3143=R$1)))"),0.0)</f>
        <v>0</v>
      </c>
      <c r="S25" s="34">
        <f>IFERROR(__xludf.DUMMYFUNCTION("IF(ISNA(sum(filter(
Master_Mapping_Sheet!$E$2:$E$3143, ISNUMBER(
Master_Mapping_Sheet!$E$2:$E$3143),
Master_Mapping_Sheet!$C$2:$C$3143=S$1,
Master_Mapping_Sheet!$H$2:$H$3143=$A25))/sum(filter(
Master_Mapping_Sheet!$E$2:$E$3143, ISNUMBER(
Master_Mapping_Sh"&amp;"eet!$E$2:$E$3143),
Master_Mapping_Sheet!$C$2:$C$3143=S$1))), 0, sum(filter(
Master_Mapping_Sheet!$E$2:$E$3143, ISNUMBER(
Master_Mapping_Sheet!$E$2:$E$3143),
Master_Mapping_Sheet!$C$2:$C$3143=S$1,
Master_Mapping_Sheet!$H$2:$H$3143=$A25))/sum(filter(
Master"&amp;"_Mapping_Sheet!$E$2:$E$3143, ISNUMBER(
Master_Mapping_Sheet!$E$2:$E$3143),
Master_Mapping_Sheet!$C$2:$C$3143=S$1)))"),0.0)</f>
        <v>0</v>
      </c>
      <c r="T25" s="34">
        <f>IFERROR(__xludf.DUMMYFUNCTION("IF(ISNA(sum(filter(
Master_Mapping_Sheet!$E$2:$E$3143, ISNUMBER(
Master_Mapping_Sheet!$E$2:$E$3143),
Master_Mapping_Sheet!$C$2:$C$3143=T$1,
Master_Mapping_Sheet!$H$2:$H$3143=$A25))/sum(filter(
Master_Mapping_Sheet!$E$2:$E$3143, ISNUMBER(
Master_Mapping_Sh"&amp;"eet!$E$2:$E$3143),
Master_Mapping_Sheet!$C$2:$C$3143=T$1))), 0, sum(filter(
Master_Mapping_Sheet!$E$2:$E$3143, ISNUMBER(
Master_Mapping_Sheet!$E$2:$E$3143),
Master_Mapping_Sheet!$C$2:$C$3143=T$1,
Master_Mapping_Sheet!$H$2:$H$3143=$A25))/sum(filter(
Master"&amp;"_Mapping_Sheet!$E$2:$E$3143, ISNUMBER(
Master_Mapping_Sheet!$E$2:$E$3143),
Master_Mapping_Sheet!$C$2:$C$3143=T$1)))"),0.0)</f>
        <v>0</v>
      </c>
      <c r="U25" s="34">
        <f>IFERROR(__xludf.DUMMYFUNCTION("IF(ISNA(sum(filter(
Master_Mapping_Sheet!$E$2:$E$3143, ISNUMBER(
Master_Mapping_Sheet!$E$2:$E$3143),
Master_Mapping_Sheet!$C$2:$C$3143=U$1,
Master_Mapping_Sheet!$H$2:$H$3143=$A25))/sum(filter(
Master_Mapping_Sheet!$E$2:$E$3143, ISNUMBER(
Master_Mapping_Sh"&amp;"eet!$E$2:$E$3143),
Master_Mapping_Sheet!$C$2:$C$3143=U$1))), 0, sum(filter(
Master_Mapping_Sheet!$E$2:$E$3143, ISNUMBER(
Master_Mapping_Sheet!$E$2:$E$3143),
Master_Mapping_Sheet!$C$2:$C$3143=U$1,
Master_Mapping_Sheet!$H$2:$H$3143=$A25))/sum(filter(
Master"&amp;"_Mapping_Sheet!$E$2:$E$3143, ISNUMBER(
Master_Mapping_Sheet!$E$2:$E$3143),
Master_Mapping_Sheet!$C$2:$C$3143=U$1)))"),0.0)</f>
        <v>0</v>
      </c>
      <c r="V25" s="34">
        <f>IFERROR(__xludf.DUMMYFUNCTION("IF(ISNA(sum(filter(
Master_Mapping_Sheet!$E$2:$E$3143, ISNUMBER(
Master_Mapping_Sheet!$E$2:$E$3143),
Master_Mapping_Sheet!$C$2:$C$3143=V$1,
Master_Mapping_Sheet!$H$2:$H$3143=$A25))/sum(filter(
Master_Mapping_Sheet!$E$2:$E$3143, ISNUMBER(
Master_Mapping_Sh"&amp;"eet!$E$2:$E$3143),
Master_Mapping_Sheet!$C$2:$C$3143=V$1))), 0, sum(filter(
Master_Mapping_Sheet!$E$2:$E$3143, ISNUMBER(
Master_Mapping_Sheet!$E$2:$E$3143),
Master_Mapping_Sheet!$C$2:$C$3143=V$1,
Master_Mapping_Sheet!$H$2:$H$3143=$A25))/sum(filter(
Master"&amp;"_Mapping_Sheet!$E$2:$E$3143, ISNUMBER(
Master_Mapping_Sheet!$E$2:$E$3143),
Master_Mapping_Sheet!$C$2:$C$3143=V$1)))"),0.0)</f>
        <v>0</v>
      </c>
      <c r="W25" s="34">
        <f>IFERROR(__xludf.DUMMYFUNCTION("IF(ISNA(sum(filter(
Master_Mapping_Sheet!$E$2:$E$3143, ISNUMBER(
Master_Mapping_Sheet!$E$2:$E$3143),
Master_Mapping_Sheet!$C$2:$C$3143=W$1,
Master_Mapping_Sheet!$H$2:$H$3143=$A25))/sum(filter(
Master_Mapping_Sheet!$E$2:$E$3143, ISNUMBER(
Master_Mapping_Sh"&amp;"eet!$E$2:$E$3143),
Master_Mapping_Sheet!$C$2:$C$3143=W$1))), 0, sum(filter(
Master_Mapping_Sheet!$E$2:$E$3143, ISNUMBER(
Master_Mapping_Sheet!$E$2:$E$3143),
Master_Mapping_Sheet!$C$2:$C$3143=W$1,
Master_Mapping_Sheet!$H$2:$H$3143=$A25))/sum(filter(
Master"&amp;"_Mapping_Sheet!$E$2:$E$3143, ISNUMBER(
Master_Mapping_Sheet!$E$2:$E$3143),
Master_Mapping_Sheet!$C$2:$C$3143=W$1)))"),0.0)</f>
        <v>0</v>
      </c>
      <c r="X25" s="34">
        <f>IFERROR(__xludf.DUMMYFUNCTION("IF(ISNA(sum(filter(
Master_Mapping_Sheet!$E$2:$E$3143, ISNUMBER(
Master_Mapping_Sheet!$E$2:$E$3143),
Master_Mapping_Sheet!$C$2:$C$3143=X$1,
Master_Mapping_Sheet!$H$2:$H$3143=$A25))/sum(filter(
Master_Mapping_Sheet!$E$2:$E$3143, ISNUMBER(
Master_Mapping_Sh"&amp;"eet!$E$2:$E$3143),
Master_Mapping_Sheet!$C$2:$C$3143=X$1))), 0, sum(filter(
Master_Mapping_Sheet!$E$2:$E$3143, ISNUMBER(
Master_Mapping_Sheet!$E$2:$E$3143),
Master_Mapping_Sheet!$C$2:$C$3143=X$1,
Master_Mapping_Sheet!$H$2:$H$3143=$A25))/sum(filter(
Master"&amp;"_Mapping_Sheet!$E$2:$E$3143, ISNUMBER(
Master_Mapping_Sheet!$E$2:$E$3143),
Master_Mapping_Sheet!$C$2:$C$3143=X$1)))"),0.0)</f>
        <v>0</v>
      </c>
      <c r="Y25" s="34">
        <f>IFERROR(__xludf.DUMMYFUNCTION("IF(ISNA(sum(filter(
Master_Mapping_Sheet!$E$2:$E$3143, ISNUMBER(
Master_Mapping_Sheet!$E$2:$E$3143),
Master_Mapping_Sheet!$C$2:$C$3143=Y$1,
Master_Mapping_Sheet!$H$2:$H$3143=$A25))/sum(filter(
Master_Mapping_Sheet!$E$2:$E$3143, ISNUMBER(
Master_Mapping_Sh"&amp;"eet!$E$2:$E$3143),
Master_Mapping_Sheet!$C$2:$C$3143=Y$1))), 0, sum(filter(
Master_Mapping_Sheet!$E$2:$E$3143, ISNUMBER(
Master_Mapping_Sheet!$E$2:$E$3143),
Master_Mapping_Sheet!$C$2:$C$3143=Y$1,
Master_Mapping_Sheet!$H$2:$H$3143=$A25))/sum(filter(
Master"&amp;"_Mapping_Sheet!$E$2:$E$3143, ISNUMBER(
Master_Mapping_Sheet!$E$2:$E$3143),
Master_Mapping_Sheet!$C$2:$C$3143=Y$1)))"),0.0)</f>
        <v>0</v>
      </c>
      <c r="Z25" s="34">
        <f>IFERROR(__xludf.DUMMYFUNCTION("IF(ISNA(sum(filter(
Master_Mapping_Sheet!$E$2:$E$3143, ISNUMBER(
Master_Mapping_Sheet!$E$2:$E$3143),
Master_Mapping_Sheet!$C$2:$C$3143=Z$1,
Master_Mapping_Sheet!$H$2:$H$3143=$A25))/sum(filter(
Master_Mapping_Sheet!$E$2:$E$3143, ISNUMBER(
Master_Mapping_Sh"&amp;"eet!$E$2:$E$3143),
Master_Mapping_Sheet!$C$2:$C$3143=Z$1))), 0, sum(filter(
Master_Mapping_Sheet!$E$2:$E$3143, ISNUMBER(
Master_Mapping_Sheet!$E$2:$E$3143),
Master_Mapping_Sheet!$C$2:$C$3143=Z$1,
Master_Mapping_Sheet!$H$2:$H$3143=$A25))/sum(filter(
Master"&amp;"_Mapping_Sheet!$E$2:$E$3143, ISNUMBER(
Master_Mapping_Sheet!$E$2:$E$3143),
Master_Mapping_Sheet!$C$2:$C$3143=Z$1)))"),0.0)</f>
        <v>0</v>
      </c>
      <c r="AA25" s="34">
        <f>IFERROR(__xludf.DUMMYFUNCTION("IF(ISNA(sum(filter(
Master_Mapping_Sheet!$E$2:$E$3143, ISNUMBER(
Master_Mapping_Sheet!$E$2:$E$3143),
Master_Mapping_Sheet!$C$2:$C$3143=AA$1,
Master_Mapping_Sheet!$H$2:$H$3143=$A25))/sum(filter(
Master_Mapping_Sheet!$E$2:$E$3143, ISNUMBER(
Master_Mapping_S"&amp;"heet!$E$2:$E$3143),
Master_Mapping_Sheet!$C$2:$C$3143=AA$1))), 0, sum(filter(
Master_Mapping_Sheet!$E$2:$E$3143, ISNUMBER(
Master_Mapping_Sheet!$E$2:$E$3143),
Master_Mapping_Sheet!$C$2:$C$3143=AA$1,
Master_Mapping_Sheet!$H$2:$H$3143=$A25))/sum(filter(
Mas"&amp;"ter_Mapping_Sheet!$E$2:$E$3143, ISNUMBER(
Master_Mapping_Sheet!$E$2:$E$3143),
Master_Mapping_Sheet!$C$2:$C$3143=AA$1)))"),0.0)</f>
        <v>0</v>
      </c>
      <c r="AB25" s="34">
        <f>IFERROR(__xludf.DUMMYFUNCTION("IF(ISNA(sum(filter(
Master_Mapping_Sheet!$E$2:$E$3143, ISNUMBER(
Master_Mapping_Sheet!$E$2:$E$3143),
Master_Mapping_Sheet!$C$2:$C$3143=AB$1,
Master_Mapping_Sheet!$H$2:$H$3143=$A25))/sum(filter(
Master_Mapping_Sheet!$E$2:$E$3143, ISNUMBER(
Master_Mapping_S"&amp;"heet!$E$2:$E$3143),
Master_Mapping_Sheet!$C$2:$C$3143=AB$1))), 0, sum(filter(
Master_Mapping_Sheet!$E$2:$E$3143, ISNUMBER(
Master_Mapping_Sheet!$E$2:$E$3143),
Master_Mapping_Sheet!$C$2:$C$3143=AB$1,
Master_Mapping_Sheet!$H$2:$H$3143=$A25))/sum(filter(
Mas"&amp;"ter_Mapping_Sheet!$E$2:$E$3143, ISNUMBER(
Master_Mapping_Sheet!$E$2:$E$3143),
Master_Mapping_Sheet!$C$2:$C$3143=AB$1)))"),0.0)</f>
        <v>0</v>
      </c>
      <c r="AC25" s="34">
        <f>IFERROR(__xludf.DUMMYFUNCTION("IF(ISNA(sum(filter(
Master_Mapping_Sheet!$E$2:$E$3143, ISNUMBER(
Master_Mapping_Sheet!$E$2:$E$3143),
Master_Mapping_Sheet!$C$2:$C$3143=AC$1,
Master_Mapping_Sheet!$H$2:$H$3143=$A25))/sum(filter(
Master_Mapping_Sheet!$E$2:$E$3143, ISNUMBER(
Master_Mapping_S"&amp;"heet!$E$2:$E$3143),
Master_Mapping_Sheet!$C$2:$C$3143=AC$1))), 0, sum(filter(
Master_Mapping_Sheet!$E$2:$E$3143, ISNUMBER(
Master_Mapping_Sheet!$E$2:$E$3143),
Master_Mapping_Sheet!$C$2:$C$3143=AC$1,
Master_Mapping_Sheet!$H$2:$H$3143=$A25))/sum(filter(
Mas"&amp;"ter_Mapping_Sheet!$E$2:$E$3143, ISNUMBER(
Master_Mapping_Sheet!$E$2:$E$3143),
Master_Mapping_Sheet!$C$2:$C$3143=AC$1)))"),0.011520037363922686)</f>
        <v>0.01152003736</v>
      </c>
      <c r="AD25" s="34">
        <f>IFERROR(__xludf.DUMMYFUNCTION("IF(ISNA(sum(filter(
Master_Mapping_Sheet!$E$2:$E$3143, ISNUMBER(
Master_Mapping_Sheet!$E$2:$E$3143),
Master_Mapping_Sheet!$C$2:$C$3143=AD$1,
Master_Mapping_Sheet!$H$2:$H$3143=$A25))/sum(filter(
Master_Mapping_Sheet!$E$2:$E$3143, ISNUMBER(
Master_Mapping_S"&amp;"heet!$E$2:$E$3143),
Master_Mapping_Sheet!$C$2:$C$3143=AD$1))), 0, sum(filter(
Master_Mapping_Sheet!$E$2:$E$3143, ISNUMBER(
Master_Mapping_Sheet!$E$2:$E$3143),
Master_Mapping_Sheet!$C$2:$C$3143=AD$1,
Master_Mapping_Sheet!$H$2:$H$3143=$A25))/sum(filter(
Mas"&amp;"ter_Mapping_Sheet!$E$2:$E$3143, ISNUMBER(
Master_Mapping_Sheet!$E$2:$E$3143),
Master_Mapping_Sheet!$C$2:$C$3143=AD$1)))"),0.0)</f>
        <v>0</v>
      </c>
      <c r="AE25" s="34">
        <f>IFERROR(__xludf.DUMMYFUNCTION("IF(ISNA(sum(filter(
Master_Mapping_Sheet!$E$2:$E$3143, ISNUMBER(
Master_Mapping_Sheet!$E$2:$E$3143),
Master_Mapping_Sheet!$C$2:$C$3143=AE$1,
Master_Mapping_Sheet!$H$2:$H$3143=$A25))/sum(filter(
Master_Mapping_Sheet!$E$2:$E$3143, ISNUMBER(
Master_Mapping_S"&amp;"heet!$E$2:$E$3143),
Master_Mapping_Sheet!$C$2:$C$3143=AE$1))), 0, sum(filter(
Master_Mapping_Sheet!$E$2:$E$3143, ISNUMBER(
Master_Mapping_Sheet!$E$2:$E$3143),
Master_Mapping_Sheet!$C$2:$C$3143=AE$1,
Master_Mapping_Sheet!$H$2:$H$3143=$A25))/sum(filter(
Mas"&amp;"ter_Mapping_Sheet!$E$2:$E$3143, ISNUMBER(
Master_Mapping_Sheet!$E$2:$E$3143),
Master_Mapping_Sheet!$C$2:$C$3143=AE$1)))"),0.0)</f>
        <v>0</v>
      </c>
      <c r="AF25" s="34">
        <f>IFERROR(__xludf.DUMMYFUNCTION("IF(ISNA(sum(filter(
Master_Mapping_Sheet!$E$2:$E$3143, ISNUMBER(
Master_Mapping_Sheet!$E$2:$E$3143),
Master_Mapping_Sheet!$C$2:$C$3143=AF$1,
Master_Mapping_Sheet!$H$2:$H$3143=$A25))/sum(filter(
Master_Mapping_Sheet!$E$2:$E$3143, ISNUMBER(
Master_Mapping_S"&amp;"heet!$E$2:$E$3143),
Master_Mapping_Sheet!$C$2:$C$3143=AF$1))), 0, sum(filter(
Master_Mapping_Sheet!$E$2:$E$3143, ISNUMBER(
Master_Mapping_Sheet!$E$2:$E$3143),
Master_Mapping_Sheet!$C$2:$C$3143=AF$1,
Master_Mapping_Sheet!$H$2:$H$3143=$A25))/sum(filter(
Mas"&amp;"ter_Mapping_Sheet!$E$2:$E$3143, ISNUMBER(
Master_Mapping_Sheet!$E$2:$E$3143),
Master_Mapping_Sheet!$C$2:$C$3143=AF$1)))"),0.0)</f>
        <v>0</v>
      </c>
      <c r="AG25" s="34">
        <f>IFERROR(__xludf.DUMMYFUNCTION("IF(ISNA(sum(filter(
Master_Mapping_Sheet!$E$2:$E$3143, ISNUMBER(
Master_Mapping_Sheet!$E$2:$E$3143),
Master_Mapping_Sheet!$C$2:$C$3143=AG$1,
Master_Mapping_Sheet!$H$2:$H$3143=$A25))/sum(filter(
Master_Mapping_Sheet!$E$2:$E$3143, ISNUMBER(
Master_Mapping_S"&amp;"heet!$E$2:$E$3143),
Master_Mapping_Sheet!$C$2:$C$3143=AG$1))), 0, sum(filter(
Master_Mapping_Sheet!$E$2:$E$3143, ISNUMBER(
Master_Mapping_Sheet!$E$2:$E$3143),
Master_Mapping_Sheet!$C$2:$C$3143=AG$1,
Master_Mapping_Sheet!$H$2:$H$3143=$A25))/sum(filter(
Mas"&amp;"ter_Mapping_Sheet!$E$2:$E$3143, ISNUMBER(
Master_Mapping_Sheet!$E$2:$E$3143),
Master_Mapping_Sheet!$C$2:$C$3143=AG$1)))"),0.05707371128340296)</f>
        <v>0.05707371128</v>
      </c>
      <c r="AH25" s="34">
        <f>IFERROR(__xludf.DUMMYFUNCTION("IF(ISNA(sum(filter(
Master_Mapping_Sheet!$E$2:$E$3143, ISNUMBER(
Master_Mapping_Sheet!$E$2:$E$3143),
Master_Mapping_Sheet!$C$2:$C$3143=AH$1,
Master_Mapping_Sheet!$H$2:$H$3143=$A25))/sum(filter(
Master_Mapping_Sheet!$E$2:$E$3143, ISNUMBER(
Master_Mapping_S"&amp;"heet!$E$2:$E$3143),
Master_Mapping_Sheet!$C$2:$C$3143=AH$1))), 0, sum(filter(
Master_Mapping_Sheet!$E$2:$E$3143, ISNUMBER(
Master_Mapping_Sheet!$E$2:$E$3143),
Master_Mapping_Sheet!$C$2:$C$3143=AH$1,
Master_Mapping_Sheet!$H$2:$H$3143=$A25))/sum(filter(
Mas"&amp;"ter_Mapping_Sheet!$E$2:$E$3143, ISNUMBER(
Master_Mapping_Sheet!$E$2:$E$3143),
Master_Mapping_Sheet!$C$2:$C$3143=AH$1)))"),0.0)</f>
        <v>0</v>
      </c>
      <c r="AI25" s="34">
        <f>IFERROR(__xludf.DUMMYFUNCTION("IF(ISNA(sum(filter(
Master_Mapping_Sheet!$E$2:$E$3143, ISNUMBER(
Master_Mapping_Sheet!$E$2:$E$3143),
Master_Mapping_Sheet!$C$2:$C$3143=AI$1,
Master_Mapping_Sheet!$H$2:$H$3143=$A25))/sum(filter(
Master_Mapping_Sheet!$E$2:$E$3143, ISNUMBER(
Master_Mapping_S"&amp;"heet!$E$2:$E$3143),
Master_Mapping_Sheet!$C$2:$C$3143=AI$1))), 0, sum(filter(
Master_Mapping_Sheet!$E$2:$E$3143, ISNUMBER(
Master_Mapping_Sheet!$E$2:$E$3143),
Master_Mapping_Sheet!$C$2:$C$3143=AI$1,
Master_Mapping_Sheet!$H$2:$H$3143=$A25))/sum(filter(
Mas"&amp;"ter_Mapping_Sheet!$E$2:$E$3143, ISNUMBER(
Master_Mapping_Sheet!$E$2:$E$3143),
Master_Mapping_Sheet!$C$2:$C$3143=AI$1)))"),0.0)</f>
        <v>0</v>
      </c>
      <c r="AJ25" s="34">
        <f>IFERROR(__xludf.DUMMYFUNCTION("IF(ISNA(sum(filter(
Master_Mapping_Sheet!$E$2:$E$3143, ISNUMBER(
Master_Mapping_Sheet!$E$2:$E$3143),
Master_Mapping_Sheet!$C$2:$C$3143=AJ$1,
Master_Mapping_Sheet!$H$2:$H$3143=$A25))/sum(filter(
Master_Mapping_Sheet!$E$2:$E$3143, ISNUMBER(
Master_Mapping_S"&amp;"heet!$E$2:$E$3143),
Master_Mapping_Sheet!$C$2:$C$3143=AJ$1))), 0, sum(filter(
Master_Mapping_Sheet!$E$2:$E$3143, ISNUMBER(
Master_Mapping_Sheet!$E$2:$E$3143),
Master_Mapping_Sheet!$C$2:$C$3143=AJ$1,
Master_Mapping_Sheet!$H$2:$H$3143=$A25))/sum(filter(
Mas"&amp;"ter_Mapping_Sheet!$E$2:$E$3143, ISNUMBER(
Master_Mapping_Sheet!$E$2:$E$3143),
Master_Mapping_Sheet!$C$2:$C$3143=AJ$1)))"),0.0)</f>
        <v>0</v>
      </c>
      <c r="AK25" s="34">
        <f>IFERROR(__xludf.DUMMYFUNCTION("IF(ISNA(sum(filter(
Master_Mapping_Sheet!$E$2:$E$3143, ISNUMBER(
Master_Mapping_Sheet!$E$2:$E$3143),
Master_Mapping_Sheet!$C$2:$C$3143=AK$1,
Master_Mapping_Sheet!$H$2:$H$3143=$A25))/sum(filter(
Master_Mapping_Sheet!$E$2:$E$3143, ISNUMBER(
Master_Mapping_S"&amp;"heet!$E$2:$E$3143),
Master_Mapping_Sheet!$C$2:$C$3143=AK$1))), 0, sum(filter(
Master_Mapping_Sheet!$E$2:$E$3143, ISNUMBER(
Master_Mapping_Sheet!$E$2:$E$3143),
Master_Mapping_Sheet!$C$2:$C$3143=AK$1,
Master_Mapping_Sheet!$H$2:$H$3143=$A25))/sum(filter(
Mas"&amp;"ter_Mapping_Sheet!$E$2:$E$3143, ISNUMBER(
Master_Mapping_Sheet!$E$2:$E$3143),
Master_Mapping_Sheet!$C$2:$C$3143=AK$1)))"),0.0)</f>
        <v>0</v>
      </c>
      <c r="AL25" s="34">
        <f>IFERROR(__xludf.DUMMYFUNCTION("IF(ISNA(sum(filter(
Master_Mapping_Sheet!$E$2:$E$3143, ISNUMBER(
Master_Mapping_Sheet!$E$2:$E$3143),
Master_Mapping_Sheet!$C$2:$C$3143=AL$1,
Master_Mapping_Sheet!$H$2:$H$3143=$A25))/sum(filter(
Master_Mapping_Sheet!$E$2:$E$3143, ISNUMBER(
Master_Mapping_S"&amp;"heet!$E$2:$E$3143),
Master_Mapping_Sheet!$C$2:$C$3143=AL$1))), 0, sum(filter(
Master_Mapping_Sheet!$E$2:$E$3143, ISNUMBER(
Master_Mapping_Sheet!$E$2:$E$3143),
Master_Mapping_Sheet!$C$2:$C$3143=AL$1,
Master_Mapping_Sheet!$H$2:$H$3143=$A25))/sum(filter(
Mas"&amp;"ter_Mapping_Sheet!$E$2:$E$3143, ISNUMBER(
Master_Mapping_Sheet!$E$2:$E$3143),
Master_Mapping_Sheet!$C$2:$C$3143=AL$1)))"),0.0)</f>
        <v>0</v>
      </c>
      <c r="AM25" s="34">
        <f>IFERROR(__xludf.DUMMYFUNCTION("IF(ISNA(sum(filter(
Master_Mapping_Sheet!$E$2:$E$3143, ISNUMBER(
Master_Mapping_Sheet!$E$2:$E$3143),
Master_Mapping_Sheet!$C$2:$C$3143=AM$1,
Master_Mapping_Sheet!$H$2:$H$3143=$A25))/sum(filter(
Master_Mapping_Sheet!$E$2:$E$3143, ISNUMBER(
Master_Mapping_S"&amp;"heet!$E$2:$E$3143),
Master_Mapping_Sheet!$C$2:$C$3143=AM$1))), 0, sum(filter(
Master_Mapping_Sheet!$E$2:$E$3143, ISNUMBER(
Master_Mapping_Sheet!$E$2:$E$3143),
Master_Mapping_Sheet!$C$2:$C$3143=AM$1,
Master_Mapping_Sheet!$H$2:$H$3143=$A25))/sum(filter(
Mas"&amp;"ter_Mapping_Sheet!$E$2:$E$3143, ISNUMBER(
Master_Mapping_Sheet!$E$2:$E$3143),
Master_Mapping_Sheet!$C$2:$C$3143=AM$1)))"),0.0)</f>
        <v>0</v>
      </c>
      <c r="AN25" s="34">
        <f>IFERROR(__xludf.DUMMYFUNCTION("IF(ISNA(sum(filter(
Master_Mapping_Sheet!$E$2:$E$3143, ISNUMBER(
Master_Mapping_Sheet!$E$2:$E$3143),
Master_Mapping_Sheet!$C$2:$C$3143=AN$1,
Master_Mapping_Sheet!$H$2:$H$3143=$A25))/sum(filter(
Master_Mapping_Sheet!$E$2:$E$3143, ISNUMBER(
Master_Mapping_S"&amp;"heet!$E$2:$E$3143),
Master_Mapping_Sheet!$C$2:$C$3143=AN$1))), 0, sum(filter(
Master_Mapping_Sheet!$E$2:$E$3143, ISNUMBER(
Master_Mapping_Sheet!$E$2:$E$3143),
Master_Mapping_Sheet!$C$2:$C$3143=AN$1,
Master_Mapping_Sheet!$H$2:$H$3143=$A25))/sum(filter(
Mas"&amp;"ter_Mapping_Sheet!$E$2:$E$3143, ISNUMBER(
Master_Mapping_Sheet!$E$2:$E$3143),
Master_Mapping_Sheet!$C$2:$C$3143=AN$1)))"),0.0)</f>
        <v>0</v>
      </c>
      <c r="AO25" s="34">
        <f>IFERROR(__xludf.DUMMYFUNCTION("IF(ISNA(sum(filter(
Master_Mapping_Sheet!$E$2:$E$3143, ISNUMBER(
Master_Mapping_Sheet!$E$2:$E$3143),
Master_Mapping_Sheet!$C$2:$C$3143=AO$1,
Master_Mapping_Sheet!$H$2:$H$3143=$A25))/sum(filter(
Master_Mapping_Sheet!$E$2:$E$3143, ISNUMBER(
Master_Mapping_S"&amp;"heet!$E$2:$E$3143),
Master_Mapping_Sheet!$C$2:$C$3143=AO$1))), 0, sum(filter(
Master_Mapping_Sheet!$E$2:$E$3143, ISNUMBER(
Master_Mapping_Sheet!$E$2:$E$3143),
Master_Mapping_Sheet!$C$2:$C$3143=AO$1,
Master_Mapping_Sheet!$H$2:$H$3143=$A25))/sum(filter(
Mas"&amp;"ter_Mapping_Sheet!$E$2:$E$3143, ISNUMBER(
Master_Mapping_Sheet!$E$2:$E$3143),
Master_Mapping_Sheet!$C$2:$C$3143=AO$1)))"),0.0)</f>
        <v>0</v>
      </c>
      <c r="AP25" s="34">
        <f>IFERROR(__xludf.DUMMYFUNCTION("IF(ISNA(sum(filter(
Master_Mapping_Sheet!$E$2:$E$3143, ISNUMBER(
Master_Mapping_Sheet!$E$2:$E$3143),
Master_Mapping_Sheet!$C$2:$C$3143=AP$1,
Master_Mapping_Sheet!$H$2:$H$3143=$A25))/sum(filter(
Master_Mapping_Sheet!$E$2:$E$3143, ISNUMBER(
Master_Mapping_S"&amp;"heet!$E$2:$E$3143),
Master_Mapping_Sheet!$C$2:$C$3143=AP$1))), 0, sum(filter(
Master_Mapping_Sheet!$E$2:$E$3143, ISNUMBER(
Master_Mapping_Sheet!$E$2:$E$3143),
Master_Mapping_Sheet!$C$2:$C$3143=AP$1,
Master_Mapping_Sheet!$H$2:$H$3143=$A25))/sum(filter(
Mas"&amp;"ter_Mapping_Sheet!$E$2:$E$3143, ISNUMBER(
Master_Mapping_Sheet!$E$2:$E$3143),
Master_Mapping_Sheet!$C$2:$C$3143=AP$1)))"),0.0)</f>
        <v>0</v>
      </c>
      <c r="AQ25" s="34">
        <f>IFERROR(__xludf.DUMMYFUNCTION("IF(ISNA(sum(filter(
Master_Mapping_Sheet!$E$2:$E$3143, ISNUMBER(
Master_Mapping_Sheet!$E$2:$E$3143),
Master_Mapping_Sheet!$C$2:$C$3143=AQ$1,
Master_Mapping_Sheet!$H$2:$H$3143=$A25))/sum(filter(
Master_Mapping_Sheet!$E$2:$E$3143, ISNUMBER(
Master_Mapping_S"&amp;"heet!$E$2:$E$3143),
Master_Mapping_Sheet!$C$2:$C$3143=AQ$1))), 0, sum(filter(
Master_Mapping_Sheet!$E$2:$E$3143, ISNUMBER(
Master_Mapping_Sheet!$E$2:$E$3143),
Master_Mapping_Sheet!$C$2:$C$3143=AQ$1,
Master_Mapping_Sheet!$H$2:$H$3143=$A25))/sum(filter(
Mas"&amp;"ter_Mapping_Sheet!$E$2:$E$3143, ISNUMBER(
Master_Mapping_Sheet!$E$2:$E$3143),
Master_Mapping_Sheet!$C$2:$C$3143=AQ$1)))"),0.060290345669289626)</f>
        <v>0.06029034567</v>
      </c>
      <c r="AR25" s="34">
        <f>IFERROR(__xludf.DUMMYFUNCTION("IF(ISNA(sum(filter(
Master_Mapping_Sheet!$E$2:$E$3143, ISNUMBER(
Master_Mapping_Sheet!$E$2:$E$3143),
Master_Mapping_Sheet!$C$2:$C$3143=AR$1,
Master_Mapping_Sheet!$H$2:$H$3143=$A25))/sum(filter(
Master_Mapping_Sheet!$E$2:$E$3143, ISNUMBER(
Master_Mapping_S"&amp;"heet!$E$2:$E$3143),
Master_Mapping_Sheet!$C$2:$C$3143=AR$1))), 0, sum(filter(
Master_Mapping_Sheet!$E$2:$E$3143, ISNUMBER(
Master_Mapping_Sheet!$E$2:$E$3143),
Master_Mapping_Sheet!$C$2:$C$3143=AR$1,
Master_Mapping_Sheet!$H$2:$H$3143=$A25))/sum(filter(
Mas"&amp;"ter_Mapping_Sheet!$E$2:$E$3143, ISNUMBER(
Master_Mapping_Sheet!$E$2:$E$3143),
Master_Mapping_Sheet!$C$2:$C$3143=AR$1)))"),0.0)</f>
        <v>0</v>
      </c>
      <c r="AS25" s="34">
        <f>IFERROR(__xludf.DUMMYFUNCTION("IF(ISNA(sum(filter(
Master_Mapping_Sheet!$E$2:$E$3143, ISNUMBER(
Master_Mapping_Sheet!$E$2:$E$3143),
Master_Mapping_Sheet!$C$2:$C$3143=AS$1,
Master_Mapping_Sheet!$H$2:$H$3143=$A25))/sum(filter(
Master_Mapping_Sheet!$E$2:$E$3143, ISNUMBER(
Master_Mapping_S"&amp;"heet!$E$2:$E$3143),
Master_Mapping_Sheet!$C$2:$C$3143=AS$1))), 0, sum(filter(
Master_Mapping_Sheet!$E$2:$E$3143, ISNUMBER(
Master_Mapping_Sheet!$E$2:$E$3143),
Master_Mapping_Sheet!$C$2:$C$3143=AS$1,
Master_Mapping_Sheet!$H$2:$H$3143=$A25))/sum(filter(
Mas"&amp;"ter_Mapping_Sheet!$E$2:$E$3143, ISNUMBER(
Master_Mapping_Sheet!$E$2:$E$3143),
Master_Mapping_Sheet!$C$2:$C$3143=AS$1)))"),0.0)</f>
        <v>0</v>
      </c>
      <c r="AT25" s="34">
        <f>IFERROR(__xludf.DUMMYFUNCTION("IF(ISNA(sum(filter(
Master_Mapping_Sheet!$E$2:$E$3143, ISNUMBER(
Master_Mapping_Sheet!$E$2:$E$3143),
Master_Mapping_Sheet!$C$2:$C$3143=AT$1,
Master_Mapping_Sheet!$H$2:$H$3143=$A25))/sum(filter(
Master_Mapping_Sheet!$E$2:$E$3143, ISNUMBER(
Master_Mapping_S"&amp;"heet!$E$2:$E$3143),
Master_Mapping_Sheet!$C$2:$C$3143=AT$1))), 0, sum(filter(
Master_Mapping_Sheet!$E$2:$E$3143, ISNUMBER(
Master_Mapping_Sheet!$E$2:$E$3143),
Master_Mapping_Sheet!$C$2:$C$3143=AT$1,
Master_Mapping_Sheet!$H$2:$H$3143=$A25))/sum(filter(
Mas"&amp;"ter_Mapping_Sheet!$E$2:$E$3143, ISNUMBER(
Master_Mapping_Sheet!$E$2:$E$3143),
Master_Mapping_Sheet!$C$2:$C$3143=AT$1)))"),0.0)</f>
        <v>0</v>
      </c>
      <c r="AU25" s="34">
        <f>IFERROR(__xludf.DUMMYFUNCTION("IF(ISNA(sum(filter(
Master_Mapping_Sheet!$E$2:$E$3143, ISNUMBER(
Master_Mapping_Sheet!$E$2:$E$3143),
Master_Mapping_Sheet!$C$2:$C$3143=AU$1,
Master_Mapping_Sheet!$H$2:$H$3143=$A25))/sum(filter(
Master_Mapping_Sheet!$E$2:$E$3143, ISNUMBER(
Master_Mapping_S"&amp;"heet!$E$2:$E$3143),
Master_Mapping_Sheet!$C$2:$C$3143=AU$1))), 0, sum(filter(
Master_Mapping_Sheet!$E$2:$E$3143, ISNUMBER(
Master_Mapping_Sheet!$E$2:$E$3143),
Master_Mapping_Sheet!$C$2:$C$3143=AU$1,
Master_Mapping_Sheet!$H$2:$H$3143=$A25))/sum(filter(
Mas"&amp;"ter_Mapping_Sheet!$E$2:$E$3143, ISNUMBER(
Master_Mapping_Sheet!$E$2:$E$3143),
Master_Mapping_Sheet!$C$2:$C$3143=AU$1)))"),0.0)</f>
        <v>0</v>
      </c>
      <c r="AV25" s="34">
        <f>IFERROR(__xludf.DUMMYFUNCTION("IF(ISNA(sum(filter(
Master_Mapping_Sheet!$E$2:$E$3143, ISNUMBER(
Master_Mapping_Sheet!$E$2:$E$3143),
Master_Mapping_Sheet!$C$2:$C$3143=AV$1,
Master_Mapping_Sheet!$H$2:$H$3143=$A25))/sum(filter(
Master_Mapping_Sheet!$E$2:$E$3143, ISNUMBER(
Master_Mapping_S"&amp;"heet!$E$2:$E$3143),
Master_Mapping_Sheet!$C$2:$C$3143=AV$1))), 0, sum(filter(
Master_Mapping_Sheet!$E$2:$E$3143, ISNUMBER(
Master_Mapping_Sheet!$E$2:$E$3143),
Master_Mapping_Sheet!$C$2:$C$3143=AV$1,
Master_Mapping_Sheet!$H$2:$H$3143=$A25))/sum(filter(
Mas"&amp;"ter_Mapping_Sheet!$E$2:$E$3143, ISNUMBER(
Master_Mapping_Sheet!$E$2:$E$3143),
Master_Mapping_Sheet!$C$2:$C$3143=AV$1)))"),0.0)</f>
        <v>0</v>
      </c>
      <c r="AW25" s="34">
        <f>IFERROR(__xludf.DUMMYFUNCTION("IF(ISNA(sum(filter(
Master_Mapping_Sheet!$E$2:$E$3143, ISNUMBER(
Master_Mapping_Sheet!$E$2:$E$3143),
Master_Mapping_Sheet!$C$2:$C$3143=AW$1,
Master_Mapping_Sheet!$H$2:$H$3143=$A25))/sum(filter(
Master_Mapping_Sheet!$E$2:$E$3143, ISNUMBER(
Master_Mapping_S"&amp;"heet!$E$2:$E$3143),
Master_Mapping_Sheet!$C$2:$C$3143=AW$1))), 0, sum(filter(
Master_Mapping_Sheet!$E$2:$E$3143, ISNUMBER(
Master_Mapping_Sheet!$E$2:$E$3143),
Master_Mapping_Sheet!$C$2:$C$3143=AW$1,
Master_Mapping_Sheet!$H$2:$H$3143=$A25))/sum(filter(
Mas"&amp;"ter_Mapping_Sheet!$E$2:$E$3143, ISNUMBER(
Master_Mapping_Sheet!$E$2:$E$3143),
Master_Mapping_Sheet!$C$2:$C$3143=AW$1)))"),0.0)</f>
        <v>0</v>
      </c>
      <c r="AX25" s="34">
        <f>IFERROR(__xludf.DUMMYFUNCTION("IF(ISNA(sum(filter(
Master_Mapping_Sheet!$E$2:$E$3143, ISNUMBER(
Master_Mapping_Sheet!$E$2:$E$3143),
Master_Mapping_Sheet!$C$2:$C$3143=AX$1,
Master_Mapping_Sheet!$H$2:$H$3143=$A25))/sum(filter(
Master_Mapping_Sheet!$E$2:$E$3143, ISNUMBER(
Master_Mapping_S"&amp;"heet!$E$2:$E$3143),
Master_Mapping_Sheet!$C$2:$C$3143=AX$1))), 0, sum(filter(
Master_Mapping_Sheet!$E$2:$E$3143, ISNUMBER(
Master_Mapping_Sheet!$E$2:$E$3143),
Master_Mapping_Sheet!$C$2:$C$3143=AX$1,
Master_Mapping_Sheet!$H$2:$H$3143=$A25))/sum(filter(
Mas"&amp;"ter_Mapping_Sheet!$E$2:$E$3143, ISNUMBER(
Master_Mapping_Sheet!$E$2:$E$3143),
Master_Mapping_Sheet!$C$2:$C$3143=AX$1)))"),0.0)</f>
        <v>0</v>
      </c>
      <c r="AY25" s="34">
        <f>IFERROR(__xludf.DUMMYFUNCTION("IF(ISNA(sum(filter(
Master_Mapping_Sheet!$E$2:$E$3143, ISNUMBER(
Master_Mapping_Sheet!$E$2:$E$3143),
Master_Mapping_Sheet!$C$2:$C$3143=AY$1,
Master_Mapping_Sheet!$H$2:$H$3143=$A25))/sum(filter(
Master_Mapping_Sheet!$E$2:$E$3143, ISNUMBER(
Master_Mapping_S"&amp;"heet!$E$2:$E$3143),
Master_Mapping_Sheet!$C$2:$C$3143=AY$1))), 0, sum(filter(
Master_Mapping_Sheet!$E$2:$E$3143, ISNUMBER(
Master_Mapping_Sheet!$E$2:$E$3143),
Master_Mapping_Sheet!$C$2:$C$3143=AY$1,
Master_Mapping_Sheet!$H$2:$H$3143=$A25))/sum(filter(
Mas"&amp;"ter_Mapping_Sheet!$E$2:$E$3143, ISNUMBER(
Master_Mapping_Sheet!$E$2:$E$3143),
Master_Mapping_Sheet!$C$2:$C$3143=AY$1)))"),0.0)</f>
        <v>0</v>
      </c>
      <c r="AZ25" s="34">
        <f>IFERROR(__xludf.DUMMYFUNCTION("IF(ISNA(sum(filter(
Master_Mapping_Sheet!$E$2:$E$3143, ISNUMBER(
Master_Mapping_Sheet!$E$2:$E$3143),
Master_Mapping_Sheet!$C$2:$C$3143=AZ$1,
Master_Mapping_Sheet!$H$2:$H$3143=$A25))/sum(filter(
Master_Mapping_Sheet!$E$2:$E$3143, ISNUMBER(
Master_Mapping_S"&amp;"heet!$E$2:$E$3143),
Master_Mapping_Sheet!$C$2:$C$3143=AZ$1))), 0, sum(filter(
Master_Mapping_Sheet!$E$2:$E$3143, ISNUMBER(
Master_Mapping_Sheet!$E$2:$E$3143),
Master_Mapping_Sheet!$C$2:$C$3143=AZ$1,
Master_Mapping_Sheet!$H$2:$H$3143=$A25))/sum(filter(
Mas"&amp;"ter_Mapping_Sheet!$E$2:$E$3143, ISNUMBER(
Master_Mapping_Sheet!$E$2:$E$3143),
Master_Mapping_Sheet!$C$2:$C$3143=AZ$1)))"),0.47900804202329567)</f>
        <v>0.479008042</v>
      </c>
    </row>
    <row r="26" ht="15.75" customHeight="1">
      <c r="A26" s="34" t="s">
        <v>3990</v>
      </c>
      <c r="B26" s="34">
        <f>IFERROR(__xludf.DUMMYFUNCTION("IF(ISNA(sum(filter(
Master_Mapping_Sheet!$E$2:$E$3143, ISNUMBER(
Master_Mapping_Sheet!$E$2:$E$3143),
Master_Mapping_Sheet!$C$2:$C$3143=B$1,
Master_Mapping_Sheet!$H$2:$H$3143=$A26))/sum(filter(
Master_Mapping_Sheet!$E$2:$E$3143, ISNUMBER(
Master_Mapping_Sh"&amp;"eet!$E$2:$E$3143),
Master_Mapping_Sheet!$C$2:$C$3143=B$1))), 0, sum(filter(
Master_Mapping_Sheet!$E$2:$E$3143, ISNUMBER(
Master_Mapping_Sheet!$E$2:$E$3143),
Master_Mapping_Sheet!$C$2:$C$3143=B$1,
Master_Mapping_Sheet!$H$2:$H$3143=$A26))/sum(filter(
Master"&amp;"_Mapping_Sheet!$E$2:$E$3143, ISNUMBER(
Master_Mapping_Sheet!$E$2:$E$3143),
Master_Mapping_Sheet!$C$2:$C$3143=B$1)))"),0.0)</f>
        <v>0</v>
      </c>
      <c r="C26" s="34">
        <f>IFERROR(__xludf.DUMMYFUNCTION("IF(ISNA(sum(filter(
Master_Mapping_Sheet!$E$2:$E$3143, ISNUMBER(
Master_Mapping_Sheet!$E$2:$E$3143),
Master_Mapping_Sheet!$C$2:$C$3143=C$1,
Master_Mapping_Sheet!$H$2:$H$3143=$A26))/sum(filter(
Master_Mapping_Sheet!$E$2:$E$3143, ISNUMBER(
Master_Mapping_Sh"&amp;"eet!$E$2:$E$3143),
Master_Mapping_Sheet!$C$2:$C$3143=C$1))), 0, sum(filter(
Master_Mapping_Sheet!$E$2:$E$3143, ISNUMBER(
Master_Mapping_Sheet!$E$2:$E$3143),
Master_Mapping_Sheet!$C$2:$C$3143=C$1,
Master_Mapping_Sheet!$H$2:$H$3143=$A26))/sum(filter(
Master"&amp;"_Mapping_Sheet!$E$2:$E$3143, ISNUMBER(
Master_Mapping_Sheet!$E$2:$E$3143),
Master_Mapping_Sheet!$C$2:$C$3143=C$1)))"),0.0)</f>
        <v>0</v>
      </c>
      <c r="D26" s="34">
        <f>IFERROR(__xludf.DUMMYFUNCTION("IF(ISNA(sum(filter(
Master_Mapping_Sheet!$E$2:$E$3143, ISNUMBER(
Master_Mapping_Sheet!$E$2:$E$3143),
Master_Mapping_Sheet!$C$2:$C$3143=D$1,
Master_Mapping_Sheet!$H$2:$H$3143=$A26))/sum(filter(
Master_Mapping_Sheet!$E$2:$E$3143, ISNUMBER(
Master_Mapping_Sh"&amp;"eet!$E$2:$E$3143),
Master_Mapping_Sheet!$C$2:$C$3143=D$1))), 0, sum(filter(
Master_Mapping_Sheet!$E$2:$E$3143, ISNUMBER(
Master_Mapping_Sheet!$E$2:$E$3143),
Master_Mapping_Sheet!$C$2:$C$3143=D$1,
Master_Mapping_Sheet!$H$2:$H$3143=$A26))/sum(filter(
Master"&amp;"_Mapping_Sheet!$E$2:$E$3143, ISNUMBER(
Master_Mapping_Sheet!$E$2:$E$3143),
Master_Mapping_Sheet!$C$2:$C$3143=D$1)))"),0.0)</f>
        <v>0</v>
      </c>
      <c r="E26" s="34">
        <f>IFERROR(__xludf.DUMMYFUNCTION("IF(ISNA(sum(filter(
Master_Mapping_Sheet!$E$2:$E$3143, ISNUMBER(
Master_Mapping_Sheet!$E$2:$E$3143),
Master_Mapping_Sheet!$C$2:$C$3143=E$1,
Master_Mapping_Sheet!$H$2:$H$3143=$A26))/sum(filter(
Master_Mapping_Sheet!$E$2:$E$3143, ISNUMBER(
Master_Mapping_Sh"&amp;"eet!$E$2:$E$3143),
Master_Mapping_Sheet!$C$2:$C$3143=E$1))), 0, sum(filter(
Master_Mapping_Sheet!$E$2:$E$3143, ISNUMBER(
Master_Mapping_Sheet!$E$2:$E$3143),
Master_Mapping_Sheet!$C$2:$C$3143=E$1,
Master_Mapping_Sheet!$H$2:$H$3143=$A26))/sum(filter(
Master"&amp;"_Mapping_Sheet!$E$2:$E$3143, ISNUMBER(
Master_Mapping_Sheet!$E$2:$E$3143),
Master_Mapping_Sheet!$C$2:$C$3143=E$1)))"),0.0)</f>
        <v>0</v>
      </c>
      <c r="F26" s="34">
        <f>IFERROR(__xludf.DUMMYFUNCTION("IF(ISNA(sum(filter(
Master_Mapping_Sheet!$E$2:$E$3143, ISNUMBER(
Master_Mapping_Sheet!$E$2:$E$3143),
Master_Mapping_Sheet!$C$2:$C$3143=F$1,
Master_Mapping_Sheet!$H$2:$H$3143=$A26))/sum(filter(
Master_Mapping_Sheet!$E$2:$E$3143, ISNUMBER(
Master_Mapping_Sh"&amp;"eet!$E$2:$E$3143),
Master_Mapping_Sheet!$C$2:$C$3143=F$1))), 0, sum(filter(
Master_Mapping_Sheet!$E$2:$E$3143, ISNUMBER(
Master_Mapping_Sheet!$E$2:$E$3143),
Master_Mapping_Sheet!$C$2:$C$3143=F$1,
Master_Mapping_Sheet!$H$2:$H$3143=$A26))/sum(filter(
Master"&amp;"_Mapping_Sheet!$E$2:$E$3143, ISNUMBER(
Master_Mapping_Sheet!$E$2:$E$3143),
Master_Mapping_Sheet!$C$2:$C$3143=F$1)))"),0.0)</f>
        <v>0</v>
      </c>
      <c r="G26" s="34">
        <f>IFERROR(__xludf.DUMMYFUNCTION("IF(ISNA(sum(filter(
Master_Mapping_Sheet!$E$2:$E$3143, ISNUMBER(
Master_Mapping_Sheet!$E$2:$E$3143),
Master_Mapping_Sheet!$C$2:$C$3143=G$1,
Master_Mapping_Sheet!$H$2:$H$3143=$A26))/sum(filter(
Master_Mapping_Sheet!$E$2:$E$3143, ISNUMBER(
Master_Mapping_Sh"&amp;"eet!$E$2:$E$3143),
Master_Mapping_Sheet!$C$2:$C$3143=G$1))), 0, sum(filter(
Master_Mapping_Sheet!$E$2:$E$3143, ISNUMBER(
Master_Mapping_Sheet!$E$2:$E$3143),
Master_Mapping_Sheet!$C$2:$C$3143=G$1,
Master_Mapping_Sheet!$H$2:$H$3143=$A26))/sum(filter(
Master"&amp;"_Mapping_Sheet!$E$2:$E$3143, ISNUMBER(
Master_Mapping_Sheet!$E$2:$E$3143),
Master_Mapping_Sheet!$C$2:$C$3143=G$1)))"),0.0)</f>
        <v>0</v>
      </c>
      <c r="H26" s="34">
        <f>IFERROR(__xludf.DUMMYFUNCTION("IF(ISNA(sum(filter(
Master_Mapping_Sheet!$E$2:$E$3143, ISNUMBER(
Master_Mapping_Sheet!$E$2:$E$3143),
Master_Mapping_Sheet!$C$2:$C$3143=H$1,
Master_Mapping_Sheet!$H$2:$H$3143=$A26))/sum(filter(
Master_Mapping_Sheet!$E$2:$E$3143, ISNUMBER(
Master_Mapping_Sh"&amp;"eet!$E$2:$E$3143),
Master_Mapping_Sheet!$C$2:$C$3143=H$1))), 0, sum(filter(
Master_Mapping_Sheet!$E$2:$E$3143, ISNUMBER(
Master_Mapping_Sheet!$E$2:$E$3143),
Master_Mapping_Sheet!$C$2:$C$3143=H$1,
Master_Mapping_Sheet!$H$2:$H$3143=$A26))/sum(filter(
Master"&amp;"_Mapping_Sheet!$E$2:$E$3143, ISNUMBER(
Master_Mapping_Sheet!$E$2:$E$3143),
Master_Mapping_Sheet!$C$2:$C$3143=H$1)))"),0.0)</f>
        <v>0</v>
      </c>
      <c r="I26" s="34">
        <f>IFERROR(__xludf.DUMMYFUNCTION("IF(ISNA(sum(filter(
Master_Mapping_Sheet!$E$2:$E$3143, ISNUMBER(
Master_Mapping_Sheet!$E$2:$E$3143),
Master_Mapping_Sheet!$C$2:$C$3143=I$1,
Master_Mapping_Sheet!$H$2:$H$3143=$A26))/sum(filter(
Master_Mapping_Sheet!$E$2:$E$3143, ISNUMBER(
Master_Mapping_Sh"&amp;"eet!$E$2:$E$3143),
Master_Mapping_Sheet!$C$2:$C$3143=I$1))), 0, sum(filter(
Master_Mapping_Sheet!$E$2:$E$3143, ISNUMBER(
Master_Mapping_Sheet!$E$2:$E$3143),
Master_Mapping_Sheet!$C$2:$C$3143=I$1,
Master_Mapping_Sheet!$H$2:$H$3143=$A26))/sum(filter(
Master"&amp;"_Mapping_Sheet!$E$2:$E$3143, ISNUMBER(
Master_Mapping_Sheet!$E$2:$E$3143),
Master_Mapping_Sheet!$C$2:$C$3143=I$1)))"),0.0)</f>
        <v>0</v>
      </c>
      <c r="J26" s="34">
        <f>IFERROR(__xludf.DUMMYFUNCTION("IF(ISNA(sum(filter(
Master_Mapping_Sheet!$E$2:$E$3143, ISNUMBER(
Master_Mapping_Sheet!$E$2:$E$3143),
Master_Mapping_Sheet!$C$2:$C$3143=J$1,
Master_Mapping_Sheet!$H$2:$H$3143=$A26))/sum(filter(
Master_Mapping_Sheet!$E$2:$E$3143, ISNUMBER(
Master_Mapping_Sh"&amp;"eet!$E$2:$E$3143),
Master_Mapping_Sheet!$C$2:$C$3143=J$1))), 0, sum(filter(
Master_Mapping_Sheet!$E$2:$E$3143, ISNUMBER(
Master_Mapping_Sheet!$E$2:$E$3143),
Master_Mapping_Sheet!$C$2:$C$3143=J$1,
Master_Mapping_Sheet!$H$2:$H$3143=$A26))/sum(filter(
Master"&amp;"_Mapping_Sheet!$E$2:$E$3143, ISNUMBER(
Master_Mapping_Sheet!$E$2:$E$3143),
Master_Mapping_Sheet!$C$2:$C$3143=J$1)))"),0.0)</f>
        <v>0</v>
      </c>
      <c r="K26" s="34">
        <f>IFERROR(__xludf.DUMMYFUNCTION("IF(ISNA(sum(filter(
Master_Mapping_Sheet!$E$2:$E$3143, ISNUMBER(
Master_Mapping_Sheet!$E$2:$E$3143),
Master_Mapping_Sheet!$C$2:$C$3143=K$1,
Master_Mapping_Sheet!$H$2:$H$3143=$A26))/sum(filter(
Master_Mapping_Sheet!$E$2:$E$3143, ISNUMBER(
Master_Mapping_Sh"&amp;"eet!$E$2:$E$3143),
Master_Mapping_Sheet!$C$2:$C$3143=K$1))), 0, sum(filter(
Master_Mapping_Sheet!$E$2:$E$3143, ISNUMBER(
Master_Mapping_Sheet!$E$2:$E$3143),
Master_Mapping_Sheet!$C$2:$C$3143=K$1,
Master_Mapping_Sheet!$H$2:$H$3143=$A26))/sum(filter(
Master"&amp;"_Mapping_Sheet!$E$2:$E$3143, ISNUMBER(
Master_Mapping_Sheet!$E$2:$E$3143),
Master_Mapping_Sheet!$C$2:$C$3143=K$1)))"),0.0)</f>
        <v>0</v>
      </c>
      <c r="L26" s="34">
        <f>IFERROR(__xludf.DUMMYFUNCTION("IF(ISNA(sum(filter(
Master_Mapping_Sheet!$E$2:$E$3143, ISNUMBER(
Master_Mapping_Sheet!$E$2:$E$3143),
Master_Mapping_Sheet!$C$2:$C$3143=L$1,
Master_Mapping_Sheet!$H$2:$H$3143=$A26))/sum(filter(
Master_Mapping_Sheet!$E$2:$E$3143, ISNUMBER(
Master_Mapping_Sh"&amp;"eet!$E$2:$E$3143),
Master_Mapping_Sheet!$C$2:$C$3143=L$1))), 0, sum(filter(
Master_Mapping_Sheet!$E$2:$E$3143, ISNUMBER(
Master_Mapping_Sheet!$E$2:$E$3143),
Master_Mapping_Sheet!$C$2:$C$3143=L$1,
Master_Mapping_Sheet!$H$2:$H$3143=$A26))/sum(filter(
Master"&amp;"_Mapping_Sheet!$E$2:$E$3143, ISNUMBER(
Master_Mapping_Sheet!$E$2:$E$3143),
Master_Mapping_Sheet!$C$2:$C$3143=L$1)))"),0.0)</f>
        <v>0</v>
      </c>
      <c r="M26" s="34">
        <f>IFERROR(__xludf.DUMMYFUNCTION("IF(ISNA(sum(filter(
Master_Mapping_Sheet!$E$2:$E$3143, ISNUMBER(
Master_Mapping_Sheet!$E$2:$E$3143),
Master_Mapping_Sheet!$C$2:$C$3143=M$1,
Master_Mapping_Sheet!$H$2:$H$3143=$A26))/sum(filter(
Master_Mapping_Sheet!$E$2:$E$3143, ISNUMBER(
Master_Mapping_Sh"&amp;"eet!$E$2:$E$3143),
Master_Mapping_Sheet!$C$2:$C$3143=M$1))), 0, sum(filter(
Master_Mapping_Sheet!$E$2:$E$3143, ISNUMBER(
Master_Mapping_Sheet!$E$2:$E$3143),
Master_Mapping_Sheet!$C$2:$C$3143=M$1,
Master_Mapping_Sheet!$H$2:$H$3143=$A26))/sum(filter(
Master"&amp;"_Mapping_Sheet!$E$2:$E$3143, ISNUMBER(
Master_Mapping_Sheet!$E$2:$E$3143),
Master_Mapping_Sheet!$C$2:$C$3143=M$1)))"),0.0)</f>
        <v>0</v>
      </c>
      <c r="N26" s="34">
        <f>IFERROR(__xludf.DUMMYFUNCTION("IF(ISNA(sum(filter(
Master_Mapping_Sheet!$E$2:$E$3143, ISNUMBER(
Master_Mapping_Sheet!$E$2:$E$3143),
Master_Mapping_Sheet!$C$2:$C$3143=N$1,
Master_Mapping_Sheet!$H$2:$H$3143=$A26))/sum(filter(
Master_Mapping_Sheet!$E$2:$E$3143, ISNUMBER(
Master_Mapping_Sh"&amp;"eet!$E$2:$E$3143),
Master_Mapping_Sheet!$C$2:$C$3143=N$1))), 0, sum(filter(
Master_Mapping_Sheet!$E$2:$E$3143, ISNUMBER(
Master_Mapping_Sheet!$E$2:$E$3143),
Master_Mapping_Sheet!$C$2:$C$3143=N$1,
Master_Mapping_Sheet!$H$2:$H$3143=$A26))/sum(filter(
Master"&amp;"_Mapping_Sheet!$E$2:$E$3143, ISNUMBER(
Master_Mapping_Sheet!$E$2:$E$3143),
Master_Mapping_Sheet!$C$2:$C$3143=N$1)))"),0.8102788887610791)</f>
        <v>0.8102788888</v>
      </c>
      <c r="O26" s="34">
        <f>IFERROR(__xludf.DUMMYFUNCTION("IF(ISNA(sum(filter(
Master_Mapping_Sheet!$E$2:$E$3143, ISNUMBER(
Master_Mapping_Sheet!$E$2:$E$3143),
Master_Mapping_Sheet!$C$2:$C$3143=O$1,
Master_Mapping_Sheet!$H$2:$H$3143=$A26))/sum(filter(
Master_Mapping_Sheet!$E$2:$E$3143, ISNUMBER(
Master_Mapping_Sh"&amp;"eet!$E$2:$E$3143),
Master_Mapping_Sheet!$C$2:$C$3143=O$1))), 0, sum(filter(
Master_Mapping_Sheet!$E$2:$E$3143, ISNUMBER(
Master_Mapping_Sheet!$E$2:$E$3143),
Master_Mapping_Sheet!$C$2:$C$3143=O$1,
Master_Mapping_Sheet!$H$2:$H$3143=$A26))/sum(filter(
Master"&amp;"_Mapping_Sheet!$E$2:$E$3143, ISNUMBER(
Master_Mapping_Sheet!$E$2:$E$3143),
Master_Mapping_Sheet!$C$2:$C$3143=O$1)))"),0.0)</f>
        <v>0</v>
      </c>
      <c r="P26" s="34">
        <f>IFERROR(__xludf.DUMMYFUNCTION("IF(ISNA(sum(filter(
Master_Mapping_Sheet!$E$2:$E$3143, ISNUMBER(
Master_Mapping_Sheet!$E$2:$E$3143),
Master_Mapping_Sheet!$C$2:$C$3143=P$1,
Master_Mapping_Sheet!$H$2:$H$3143=$A26))/sum(filter(
Master_Mapping_Sheet!$E$2:$E$3143, ISNUMBER(
Master_Mapping_Sh"&amp;"eet!$E$2:$E$3143),
Master_Mapping_Sheet!$C$2:$C$3143=P$1))), 0, sum(filter(
Master_Mapping_Sheet!$E$2:$E$3143, ISNUMBER(
Master_Mapping_Sheet!$E$2:$E$3143),
Master_Mapping_Sheet!$C$2:$C$3143=P$1,
Master_Mapping_Sheet!$H$2:$H$3143=$A26))/sum(filter(
Master"&amp;"_Mapping_Sheet!$E$2:$E$3143, ISNUMBER(
Master_Mapping_Sheet!$E$2:$E$3143),
Master_Mapping_Sheet!$C$2:$C$3143=P$1)))"),0.0)</f>
        <v>0</v>
      </c>
      <c r="Q26" s="34">
        <f>IFERROR(__xludf.DUMMYFUNCTION("IF(ISNA(sum(filter(
Master_Mapping_Sheet!$E$2:$E$3143, ISNUMBER(
Master_Mapping_Sheet!$E$2:$E$3143),
Master_Mapping_Sheet!$C$2:$C$3143=Q$1,
Master_Mapping_Sheet!$H$2:$H$3143=$A26))/sum(filter(
Master_Mapping_Sheet!$E$2:$E$3143, ISNUMBER(
Master_Mapping_Sh"&amp;"eet!$E$2:$E$3143),
Master_Mapping_Sheet!$C$2:$C$3143=Q$1))), 0, sum(filter(
Master_Mapping_Sheet!$E$2:$E$3143, ISNUMBER(
Master_Mapping_Sheet!$E$2:$E$3143),
Master_Mapping_Sheet!$C$2:$C$3143=Q$1,
Master_Mapping_Sheet!$H$2:$H$3143=$A26))/sum(filter(
Master"&amp;"_Mapping_Sheet!$E$2:$E$3143, ISNUMBER(
Master_Mapping_Sheet!$E$2:$E$3143),
Master_Mapping_Sheet!$C$2:$C$3143=Q$1)))"),0.0)</f>
        <v>0</v>
      </c>
      <c r="R26" s="34">
        <f>IFERROR(__xludf.DUMMYFUNCTION("IF(ISNA(sum(filter(
Master_Mapping_Sheet!$E$2:$E$3143, ISNUMBER(
Master_Mapping_Sheet!$E$2:$E$3143),
Master_Mapping_Sheet!$C$2:$C$3143=R$1,
Master_Mapping_Sheet!$H$2:$H$3143=$A26))/sum(filter(
Master_Mapping_Sheet!$E$2:$E$3143, ISNUMBER(
Master_Mapping_Sh"&amp;"eet!$E$2:$E$3143),
Master_Mapping_Sheet!$C$2:$C$3143=R$1))), 0, sum(filter(
Master_Mapping_Sheet!$E$2:$E$3143, ISNUMBER(
Master_Mapping_Sheet!$E$2:$E$3143),
Master_Mapping_Sheet!$C$2:$C$3143=R$1,
Master_Mapping_Sheet!$H$2:$H$3143=$A26))/sum(filter(
Master"&amp;"_Mapping_Sheet!$E$2:$E$3143, ISNUMBER(
Master_Mapping_Sheet!$E$2:$E$3143),
Master_Mapping_Sheet!$C$2:$C$3143=R$1)))"),0.0)</f>
        <v>0</v>
      </c>
      <c r="S26" s="34">
        <f>IFERROR(__xludf.DUMMYFUNCTION("IF(ISNA(sum(filter(
Master_Mapping_Sheet!$E$2:$E$3143, ISNUMBER(
Master_Mapping_Sheet!$E$2:$E$3143),
Master_Mapping_Sheet!$C$2:$C$3143=S$1,
Master_Mapping_Sheet!$H$2:$H$3143=$A26))/sum(filter(
Master_Mapping_Sheet!$E$2:$E$3143, ISNUMBER(
Master_Mapping_Sh"&amp;"eet!$E$2:$E$3143),
Master_Mapping_Sheet!$C$2:$C$3143=S$1))), 0, sum(filter(
Master_Mapping_Sheet!$E$2:$E$3143, ISNUMBER(
Master_Mapping_Sheet!$E$2:$E$3143),
Master_Mapping_Sheet!$C$2:$C$3143=S$1,
Master_Mapping_Sheet!$H$2:$H$3143=$A26))/sum(filter(
Master"&amp;"_Mapping_Sheet!$E$2:$E$3143, ISNUMBER(
Master_Mapping_Sheet!$E$2:$E$3143),
Master_Mapping_Sheet!$C$2:$C$3143=S$1)))"),0.0)</f>
        <v>0</v>
      </c>
      <c r="T26" s="34">
        <f>IFERROR(__xludf.DUMMYFUNCTION("IF(ISNA(sum(filter(
Master_Mapping_Sheet!$E$2:$E$3143, ISNUMBER(
Master_Mapping_Sheet!$E$2:$E$3143),
Master_Mapping_Sheet!$C$2:$C$3143=T$1,
Master_Mapping_Sheet!$H$2:$H$3143=$A26))/sum(filter(
Master_Mapping_Sheet!$E$2:$E$3143, ISNUMBER(
Master_Mapping_Sh"&amp;"eet!$E$2:$E$3143),
Master_Mapping_Sheet!$C$2:$C$3143=T$1))), 0, sum(filter(
Master_Mapping_Sheet!$E$2:$E$3143, ISNUMBER(
Master_Mapping_Sheet!$E$2:$E$3143),
Master_Mapping_Sheet!$C$2:$C$3143=T$1,
Master_Mapping_Sheet!$H$2:$H$3143=$A26))/sum(filter(
Master"&amp;"_Mapping_Sheet!$E$2:$E$3143, ISNUMBER(
Master_Mapping_Sheet!$E$2:$E$3143),
Master_Mapping_Sheet!$C$2:$C$3143=T$1)))"),0.0)</f>
        <v>0</v>
      </c>
      <c r="U26" s="34">
        <f>IFERROR(__xludf.DUMMYFUNCTION("IF(ISNA(sum(filter(
Master_Mapping_Sheet!$E$2:$E$3143, ISNUMBER(
Master_Mapping_Sheet!$E$2:$E$3143),
Master_Mapping_Sheet!$C$2:$C$3143=U$1,
Master_Mapping_Sheet!$H$2:$H$3143=$A26))/sum(filter(
Master_Mapping_Sheet!$E$2:$E$3143, ISNUMBER(
Master_Mapping_Sh"&amp;"eet!$E$2:$E$3143),
Master_Mapping_Sheet!$C$2:$C$3143=U$1))), 0, sum(filter(
Master_Mapping_Sheet!$E$2:$E$3143, ISNUMBER(
Master_Mapping_Sheet!$E$2:$E$3143),
Master_Mapping_Sheet!$C$2:$C$3143=U$1,
Master_Mapping_Sheet!$H$2:$H$3143=$A26))/sum(filter(
Master"&amp;"_Mapping_Sheet!$E$2:$E$3143, ISNUMBER(
Master_Mapping_Sheet!$E$2:$E$3143),
Master_Mapping_Sheet!$C$2:$C$3143=U$1)))"),0.0)</f>
        <v>0</v>
      </c>
      <c r="V26" s="34">
        <f>IFERROR(__xludf.DUMMYFUNCTION("IF(ISNA(sum(filter(
Master_Mapping_Sheet!$E$2:$E$3143, ISNUMBER(
Master_Mapping_Sheet!$E$2:$E$3143),
Master_Mapping_Sheet!$C$2:$C$3143=V$1,
Master_Mapping_Sheet!$H$2:$H$3143=$A26))/sum(filter(
Master_Mapping_Sheet!$E$2:$E$3143, ISNUMBER(
Master_Mapping_Sh"&amp;"eet!$E$2:$E$3143),
Master_Mapping_Sheet!$C$2:$C$3143=V$1))), 0, sum(filter(
Master_Mapping_Sheet!$E$2:$E$3143, ISNUMBER(
Master_Mapping_Sheet!$E$2:$E$3143),
Master_Mapping_Sheet!$C$2:$C$3143=V$1,
Master_Mapping_Sheet!$H$2:$H$3143=$A26))/sum(filter(
Master"&amp;"_Mapping_Sheet!$E$2:$E$3143, ISNUMBER(
Master_Mapping_Sheet!$E$2:$E$3143),
Master_Mapping_Sheet!$C$2:$C$3143=V$1)))"),0.0)</f>
        <v>0</v>
      </c>
      <c r="W26" s="34">
        <f>IFERROR(__xludf.DUMMYFUNCTION("IF(ISNA(sum(filter(
Master_Mapping_Sheet!$E$2:$E$3143, ISNUMBER(
Master_Mapping_Sheet!$E$2:$E$3143),
Master_Mapping_Sheet!$C$2:$C$3143=W$1,
Master_Mapping_Sheet!$H$2:$H$3143=$A26))/sum(filter(
Master_Mapping_Sheet!$E$2:$E$3143, ISNUMBER(
Master_Mapping_Sh"&amp;"eet!$E$2:$E$3143),
Master_Mapping_Sheet!$C$2:$C$3143=W$1))), 0, sum(filter(
Master_Mapping_Sheet!$E$2:$E$3143, ISNUMBER(
Master_Mapping_Sheet!$E$2:$E$3143),
Master_Mapping_Sheet!$C$2:$C$3143=W$1,
Master_Mapping_Sheet!$H$2:$H$3143=$A26))/sum(filter(
Master"&amp;"_Mapping_Sheet!$E$2:$E$3143, ISNUMBER(
Master_Mapping_Sheet!$E$2:$E$3143),
Master_Mapping_Sheet!$C$2:$C$3143=W$1)))"),0.0)</f>
        <v>0</v>
      </c>
      <c r="X26" s="34">
        <f>IFERROR(__xludf.DUMMYFUNCTION("IF(ISNA(sum(filter(
Master_Mapping_Sheet!$E$2:$E$3143, ISNUMBER(
Master_Mapping_Sheet!$E$2:$E$3143),
Master_Mapping_Sheet!$C$2:$C$3143=X$1,
Master_Mapping_Sheet!$H$2:$H$3143=$A26))/sum(filter(
Master_Mapping_Sheet!$E$2:$E$3143, ISNUMBER(
Master_Mapping_Sh"&amp;"eet!$E$2:$E$3143),
Master_Mapping_Sheet!$C$2:$C$3143=X$1))), 0, sum(filter(
Master_Mapping_Sheet!$E$2:$E$3143, ISNUMBER(
Master_Mapping_Sheet!$E$2:$E$3143),
Master_Mapping_Sheet!$C$2:$C$3143=X$1,
Master_Mapping_Sheet!$H$2:$H$3143=$A26))/sum(filter(
Master"&amp;"_Mapping_Sheet!$E$2:$E$3143, ISNUMBER(
Master_Mapping_Sheet!$E$2:$E$3143),
Master_Mapping_Sheet!$C$2:$C$3143=X$1)))"),0.0)</f>
        <v>0</v>
      </c>
      <c r="Y26" s="34">
        <f>IFERROR(__xludf.DUMMYFUNCTION("IF(ISNA(sum(filter(
Master_Mapping_Sheet!$E$2:$E$3143, ISNUMBER(
Master_Mapping_Sheet!$E$2:$E$3143),
Master_Mapping_Sheet!$C$2:$C$3143=Y$1,
Master_Mapping_Sheet!$H$2:$H$3143=$A26))/sum(filter(
Master_Mapping_Sheet!$E$2:$E$3143, ISNUMBER(
Master_Mapping_Sh"&amp;"eet!$E$2:$E$3143),
Master_Mapping_Sheet!$C$2:$C$3143=Y$1))), 0, sum(filter(
Master_Mapping_Sheet!$E$2:$E$3143, ISNUMBER(
Master_Mapping_Sheet!$E$2:$E$3143),
Master_Mapping_Sheet!$C$2:$C$3143=Y$1,
Master_Mapping_Sheet!$H$2:$H$3143=$A26))/sum(filter(
Master"&amp;"_Mapping_Sheet!$E$2:$E$3143, ISNUMBER(
Master_Mapping_Sheet!$E$2:$E$3143),
Master_Mapping_Sheet!$C$2:$C$3143=Y$1)))"),0.0)</f>
        <v>0</v>
      </c>
      <c r="Z26" s="34">
        <f>IFERROR(__xludf.DUMMYFUNCTION("IF(ISNA(sum(filter(
Master_Mapping_Sheet!$E$2:$E$3143, ISNUMBER(
Master_Mapping_Sheet!$E$2:$E$3143),
Master_Mapping_Sheet!$C$2:$C$3143=Z$1,
Master_Mapping_Sheet!$H$2:$H$3143=$A26))/sum(filter(
Master_Mapping_Sheet!$E$2:$E$3143, ISNUMBER(
Master_Mapping_Sh"&amp;"eet!$E$2:$E$3143),
Master_Mapping_Sheet!$C$2:$C$3143=Z$1))), 0, sum(filter(
Master_Mapping_Sheet!$E$2:$E$3143, ISNUMBER(
Master_Mapping_Sheet!$E$2:$E$3143),
Master_Mapping_Sheet!$C$2:$C$3143=Z$1,
Master_Mapping_Sheet!$H$2:$H$3143=$A26))/sum(filter(
Master"&amp;"_Mapping_Sheet!$E$2:$E$3143, ISNUMBER(
Master_Mapping_Sheet!$E$2:$E$3143),
Master_Mapping_Sheet!$C$2:$C$3143=Z$1)))"),0.0)</f>
        <v>0</v>
      </c>
      <c r="AA26" s="34">
        <f>IFERROR(__xludf.DUMMYFUNCTION("IF(ISNA(sum(filter(
Master_Mapping_Sheet!$E$2:$E$3143, ISNUMBER(
Master_Mapping_Sheet!$E$2:$E$3143),
Master_Mapping_Sheet!$C$2:$C$3143=AA$1,
Master_Mapping_Sheet!$H$2:$H$3143=$A26))/sum(filter(
Master_Mapping_Sheet!$E$2:$E$3143, ISNUMBER(
Master_Mapping_S"&amp;"heet!$E$2:$E$3143),
Master_Mapping_Sheet!$C$2:$C$3143=AA$1))), 0, sum(filter(
Master_Mapping_Sheet!$E$2:$E$3143, ISNUMBER(
Master_Mapping_Sheet!$E$2:$E$3143),
Master_Mapping_Sheet!$C$2:$C$3143=AA$1,
Master_Mapping_Sheet!$H$2:$H$3143=$A26))/sum(filter(
Mas"&amp;"ter_Mapping_Sheet!$E$2:$E$3143, ISNUMBER(
Master_Mapping_Sheet!$E$2:$E$3143),
Master_Mapping_Sheet!$C$2:$C$3143=AA$1)))"),0.0)</f>
        <v>0</v>
      </c>
      <c r="AB26" s="34">
        <f>IFERROR(__xludf.DUMMYFUNCTION("IF(ISNA(sum(filter(
Master_Mapping_Sheet!$E$2:$E$3143, ISNUMBER(
Master_Mapping_Sheet!$E$2:$E$3143),
Master_Mapping_Sheet!$C$2:$C$3143=AB$1,
Master_Mapping_Sheet!$H$2:$H$3143=$A26))/sum(filter(
Master_Mapping_Sheet!$E$2:$E$3143, ISNUMBER(
Master_Mapping_S"&amp;"heet!$E$2:$E$3143),
Master_Mapping_Sheet!$C$2:$C$3143=AB$1))), 0, sum(filter(
Master_Mapping_Sheet!$E$2:$E$3143, ISNUMBER(
Master_Mapping_Sheet!$E$2:$E$3143),
Master_Mapping_Sheet!$C$2:$C$3143=AB$1,
Master_Mapping_Sheet!$H$2:$H$3143=$A26))/sum(filter(
Mas"&amp;"ter_Mapping_Sheet!$E$2:$E$3143, ISNUMBER(
Master_Mapping_Sheet!$E$2:$E$3143),
Master_Mapping_Sheet!$C$2:$C$3143=AB$1)))"),0.0)</f>
        <v>0</v>
      </c>
      <c r="AC26" s="34">
        <f>IFERROR(__xludf.DUMMYFUNCTION("IF(ISNA(sum(filter(
Master_Mapping_Sheet!$E$2:$E$3143, ISNUMBER(
Master_Mapping_Sheet!$E$2:$E$3143),
Master_Mapping_Sheet!$C$2:$C$3143=AC$1,
Master_Mapping_Sheet!$H$2:$H$3143=$A26))/sum(filter(
Master_Mapping_Sheet!$E$2:$E$3143, ISNUMBER(
Master_Mapping_S"&amp;"heet!$E$2:$E$3143),
Master_Mapping_Sheet!$C$2:$C$3143=AC$1))), 0, sum(filter(
Master_Mapping_Sheet!$E$2:$E$3143, ISNUMBER(
Master_Mapping_Sheet!$E$2:$E$3143),
Master_Mapping_Sheet!$C$2:$C$3143=AC$1,
Master_Mapping_Sheet!$H$2:$H$3143=$A26))/sum(filter(
Mas"&amp;"ter_Mapping_Sheet!$E$2:$E$3143, ISNUMBER(
Master_Mapping_Sheet!$E$2:$E$3143),
Master_Mapping_Sheet!$C$2:$C$3143=AC$1)))"),0.0)</f>
        <v>0</v>
      </c>
      <c r="AD26" s="34">
        <f>IFERROR(__xludf.DUMMYFUNCTION("IF(ISNA(sum(filter(
Master_Mapping_Sheet!$E$2:$E$3143, ISNUMBER(
Master_Mapping_Sheet!$E$2:$E$3143),
Master_Mapping_Sheet!$C$2:$C$3143=AD$1,
Master_Mapping_Sheet!$H$2:$H$3143=$A26))/sum(filter(
Master_Mapping_Sheet!$E$2:$E$3143, ISNUMBER(
Master_Mapping_S"&amp;"heet!$E$2:$E$3143),
Master_Mapping_Sheet!$C$2:$C$3143=AD$1))), 0, sum(filter(
Master_Mapping_Sheet!$E$2:$E$3143, ISNUMBER(
Master_Mapping_Sheet!$E$2:$E$3143),
Master_Mapping_Sheet!$C$2:$C$3143=AD$1,
Master_Mapping_Sheet!$H$2:$H$3143=$A26))/sum(filter(
Mas"&amp;"ter_Mapping_Sheet!$E$2:$E$3143, ISNUMBER(
Master_Mapping_Sheet!$E$2:$E$3143),
Master_Mapping_Sheet!$C$2:$C$3143=AD$1)))"),1.0)</f>
        <v>1</v>
      </c>
      <c r="AE26" s="34">
        <f>IFERROR(__xludf.DUMMYFUNCTION("IF(ISNA(sum(filter(
Master_Mapping_Sheet!$E$2:$E$3143, ISNUMBER(
Master_Mapping_Sheet!$E$2:$E$3143),
Master_Mapping_Sheet!$C$2:$C$3143=AE$1,
Master_Mapping_Sheet!$H$2:$H$3143=$A26))/sum(filter(
Master_Mapping_Sheet!$E$2:$E$3143, ISNUMBER(
Master_Mapping_S"&amp;"heet!$E$2:$E$3143),
Master_Mapping_Sheet!$C$2:$C$3143=AE$1))), 0, sum(filter(
Master_Mapping_Sheet!$E$2:$E$3143, ISNUMBER(
Master_Mapping_Sheet!$E$2:$E$3143),
Master_Mapping_Sheet!$C$2:$C$3143=AE$1,
Master_Mapping_Sheet!$H$2:$H$3143=$A26))/sum(filter(
Mas"&amp;"ter_Mapping_Sheet!$E$2:$E$3143, ISNUMBER(
Master_Mapping_Sheet!$E$2:$E$3143),
Master_Mapping_Sheet!$C$2:$C$3143=AE$1)))"),0.0)</f>
        <v>0</v>
      </c>
      <c r="AF26" s="34">
        <f>IFERROR(__xludf.DUMMYFUNCTION("IF(ISNA(sum(filter(
Master_Mapping_Sheet!$E$2:$E$3143, ISNUMBER(
Master_Mapping_Sheet!$E$2:$E$3143),
Master_Mapping_Sheet!$C$2:$C$3143=AF$1,
Master_Mapping_Sheet!$H$2:$H$3143=$A26))/sum(filter(
Master_Mapping_Sheet!$E$2:$E$3143, ISNUMBER(
Master_Mapping_S"&amp;"heet!$E$2:$E$3143),
Master_Mapping_Sheet!$C$2:$C$3143=AF$1))), 0, sum(filter(
Master_Mapping_Sheet!$E$2:$E$3143, ISNUMBER(
Master_Mapping_Sheet!$E$2:$E$3143),
Master_Mapping_Sheet!$C$2:$C$3143=AF$1,
Master_Mapping_Sheet!$H$2:$H$3143=$A26))/sum(filter(
Mas"&amp;"ter_Mapping_Sheet!$E$2:$E$3143, ISNUMBER(
Master_Mapping_Sheet!$E$2:$E$3143),
Master_Mapping_Sheet!$C$2:$C$3143=AF$1)))"),0.0)</f>
        <v>0</v>
      </c>
      <c r="AG26" s="34">
        <f>IFERROR(__xludf.DUMMYFUNCTION("IF(ISNA(sum(filter(
Master_Mapping_Sheet!$E$2:$E$3143, ISNUMBER(
Master_Mapping_Sheet!$E$2:$E$3143),
Master_Mapping_Sheet!$C$2:$C$3143=AG$1,
Master_Mapping_Sheet!$H$2:$H$3143=$A26))/sum(filter(
Master_Mapping_Sheet!$E$2:$E$3143, ISNUMBER(
Master_Mapping_S"&amp;"heet!$E$2:$E$3143),
Master_Mapping_Sheet!$C$2:$C$3143=AG$1))), 0, sum(filter(
Master_Mapping_Sheet!$E$2:$E$3143, ISNUMBER(
Master_Mapping_Sheet!$E$2:$E$3143),
Master_Mapping_Sheet!$C$2:$C$3143=AG$1,
Master_Mapping_Sheet!$H$2:$H$3143=$A26))/sum(filter(
Mas"&amp;"ter_Mapping_Sheet!$E$2:$E$3143, ISNUMBER(
Master_Mapping_Sheet!$E$2:$E$3143),
Master_Mapping_Sheet!$C$2:$C$3143=AG$1)))"),0.0)</f>
        <v>0</v>
      </c>
      <c r="AH26" s="34">
        <f>IFERROR(__xludf.DUMMYFUNCTION("IF(ISNA(sum(filter(
Master_Mapping_Sheet!$E$2:$E$3143, ISNUMBER(
Master_Mapping_Sheet!$E$2:$E$3143),
Master_Mapping_Sheet!$C$2:$C$3143=AH$1,
Master_Mapping_Sheet!$H$2:$H$3143=$A26))/sum(filter(
Master_Mapping_Sheet!$E$2:$E$3143, ISNUMBER(
Master_Mapping_S"&amp;"heet!$E$2:$E$3143),
Master_Mapping_Sheet!$C$2:$C$3143=AH$1))), 0, sum(filter(
Master_Mapping_Sheet!$E$2:$E$3143, ISNUMBER(
Master_Mapping_Sheet!$E$2:$E$3143),
Master_Mapping_Sheet!$C$2:$C$3143=AH$1,
Master_Mapping_Sheet!$H$2:$H$3143=$A26))/sum(filter(
Mas"&amp;"ter_Mapping_Sheet!$E$2:$E$3143, ISNUMBER(
Master_Mapping_Sheet!$E$2:$E$3143),
Master_Mapping_Sheet!$C$2:$C$3143=AH$1)))"),0.0)</f>
        <v>0</v>
      </c>
      <c r="AI26" s="34">
        <f>IFERROR(__xludf.DUMMYFUNCTION("IF(ISNA(sum(filter(
Master_Mapping_Sheet!$E$2:$E$3143, ISNUMBER(
Master_Mapping_Sheet!$E$2:$E$3143),
Master_Mapping_Sheet!$C$2:$C$3143=AI$1,
Master_Mapping_Sheet!$H$2:$H$3143=$A26))/sum(filter(
Master_Mapping_Sheet!$E$2:$E$3143, ISNUMBER(
Master_Mapping_S"&amp;"heet!$E$2:$E$3143),
Master_Mapping_Sheet!$C$2:$C$3143=AI$1))), 0, sum(filter(
Master_Mapping_Sheet!$E$2:$E$3143, ISNUMBER(
Master_Mapping_Sheet!$E$2:$E$3143),
Master_Mapping_Sheet!$C$2:$C$3143=AI$1,
Master_Mapping_Sheet!$H$2:$H$3143=$A26))/sum(filter(
Mas"&amp;"ter_Mapping_Sheet!$E$2:$E$3143, ISNUMBER(
Master_Mapping_Sheet!$E$2:$E$3143),
Master_Mapping_Sheet!$C$2:$C$3143=AI$1)))"),0.0)</f>
        <v>0</v>
      </c>
      <c r="AJ26" s="34">
        <f>IFERROR(__xludf.DUMMYFUNCTION("IF(ISNA(sum(filter(
Master_Mapping_Sheet!$E$2:$E$3143, ISNUMBER(
Master_Mapping_Sheet!$E$2:$E$3143),
Master_Mapping_Sheet!$C$2:$C$3143=AJ$1,
Master_Mapping_Sheet!$H$2:$H$3143=$A26))/sum(filter(
Master_Mapping_Sheet!$E$2:$E$3143, ISNUMBER(
Master_Mapping_S"&amp;"heet!$E$2:$E$3143),
Master_Mapping_Sheet!$C$2:$C$3143=AJ$1))), 0, sum(filter(
Master_Mapping_Sheet!$E$2:$E$3143, ISNUMBER(
Master_Mapping_Sheet!$E$2:$E$3143),
Master_Mapping_Sheet!$C$2:$C$3143=AJ$1,
Master_Mapping_Sheet!$H$2:$H$3143=$A26))/sum(filter(
Mas"&amp;"ter_Mapping_Sheet!$E$2:$E$3143, ISNUMBER(
Master_Mapping_Sheet!$E$2:$E$3143),
Master_Mapping_Sheet!$C$2:$C$3143=AJ$1)))"),0.0)</f>
        <v>0</v>
      </c>
      <c r="AK26" s="34">
        <f>IFERROR(__xludf.DUMMYFUNCTION("IF(ISNA(sum(filter(
Master_Mapping_Sheet!$E$2:$E$3143, ISNUMBER(
Master_Mapping_Sheet!$E$2:$E$3143),
Master_Mapping_Sheet!$C$2:$C$3143=AK$1,
Master_Mapping_Sheet!$H$2:$H$3143=$A26))/sum(filter(
Master_Mapping_Sheet!$E$2:$E$3143, ISNUMBER(
Master_Mapping_S"&amp;"heet!$E$2:$E$3143),
Master_Mapping_Sheet!$C$2:$C$3143=AK$1))), 0, sum(filter(
Master_Mapping_Sheet!$E$2:$E$3143, ISNUMBER(
Master_Mapping_Sheet!$E$2:$E$3143),
Master_Mapping_Sheet!$C$2:$C$3143=AK$1,
Master_Mapping_Sheet!$H$2:$H$3143=$A26))/sum(filter(
Mas"&amp;"ter_Mapping_Sheet!$E$2:$E$3143, ISNUMBER(
Master_Mapping_Sheet!$E$2:$E$3143),
Master_Mapping_Sheet!$C$2:$C$3143=AK$1)))"),0.0)</f>
        <v>0</v>
      </c>
      <c r="AL26" s="34">
        <f>IFERROR(__xludf.DUMMYFUNCTION("IF(ISNA(sum(filter(
Master_Mapping_Sheet!$E$2:$E$3143, ISNUMBER(
Master_Mapping_Sheet!$E$2:$E$3143),
Master_Mapping_Sheet!$C$2:$C$3143=AL$1,
Master_Mapping_Sheet!$H$2:$H$3143=$A26))/sum(filter(
Master_Mapping_Sheet!$E$2:$E$3143, ISNUMBER(
Master_Mapping_S"&amp;"heet!$E$2:$E$3143),
Master_Mapping_Sheet!$C$2:$C$3143=AL$1))), 0, sum(filter(
Master_Mapping_Sheet!$E$2:$E$3143, ISNUMBER(
Master_Mapping_Sheet!$E$2:$E$3143),
Master_Mapping_Sheet!$C$2:$C$3143=AL$1,
Master_Mapping_Sheet!$H$2:$H$3143=$A26))/sum(filter(
Mas"&amp;"ter_Mapping_Sheet!$E$2:$E$3143, ISNUMBER(
Master_Mapping_Sheet!$E$2:$E$3143),
Master_Mapping_Sheet!$C$2:$C$3143=AL$1)))"),0.0)</f>
        <v>0</v>
      </c>
      <c r="AM26" s="34">
        <f>IFERROR(__xludf.DUMMYFUNCTION("IF(ISNA(sum(filter(
Master_Mapping_Sheet!$E$2:$E$3143, ISNUMBER(
Master_Mapping_Sheet!$E$2:$E$3143),
Master_Mapping_Sheet!$C$2:$C$3143=AM$1,
Master_Mapping_Sheet!$H$2:$H$3143=$A26))/sum(filter(
Master_Mapping_Sheet!$E$2:$E$3143, ISNUMBER(
Master_Mapping_S"&amp;"heet!$E$2:$E$3143),
Master_Mapping_Sheet!$C$2:$C$3143=AM$1))), 0, sum(filter(
Master_Mapping_Sheet!$E$2:$E$3143, ISNUMBER(
Master_Mapping_Sheet!$E$2:$E$3143),
Master_Mapping_Sheet!$C$2:$C$3143=AM$1,
Master_Mapping_Sheet!$H$2:$H$3143=$A26))/sum(filter(
Mas"&amp;"ter_Mapping_Sheet!$E$2:$E$3143, ISNUMBER(
Master_Mapping_Sheet!$E$2:$E$3143),
Master_Mapping_Sheet!$C$2:$C$3143=AM$1)))"),0.0)</f>
        <v>0</v>
      </c>
      <c r="AN26" s="34">
        <f>IFERROR(__xludf.DUMMYFUNCTION("IF(ISNA(sum(filter(
Master_Mapping_Sheet!$E$2:$E$3143, ISNUMBER(
Master_Mapping_Sheet!$E$2:$E$3143),
Master_Mapping_Sheet!$C$2:$C$3143=AN$1,
Master_Mapping_Sheet!$H$2:$H$3143=$A26))/sum(filter(
Master_Mapping_Sheet!$E$2:$E$3143, ISNUMBER(
Master_Mapping_S"&amp;"heet!$E$2:$E$3143),
Master_Mapping_Sheet!$C$2:$C$3143=AN$1))), 0, sum(filter(
Master_Mapping_Sheet!$E$2:$E$3143, ISNUMBER(
Master_Mapping_Sheet!$E$2:$E$3143),
Master_Mapping_Sheet!$C$2:$C$3143=AN$1,
Master_Mapping_Sheet!$H$2:$H$3143=$A26))/sum(filter(
Mas"&amp;"ter_Mapping_Sheet!$E$2:$E$3143, ISNUMBER(
Master_Mapping_Sheet!$E$2:$E$3143),
Master_Mapping_Sheet!$C$2:$C$3143=AN$1)))"),0.0)</f>
        <v>0</v>
      </c>
      <c r="AO26" s="34">
        <f>IFERROR(__xludf.DUMMYFUNCTION("IF(ISNA(sum(filter(
Master_Mapping_Sheet!$E$2:$E$3143, ISNUMBER(
Master_Mapping_Sheet!$E$2:$E$3143),
Master_Mapping_Sheet!$C$2:$C$3143=AO$1,
Master_Mapping_Sheet!$H$2:$H$3143=$A26))/sum(filter(
Master_Mapping_Sheet!$E$2:$E$3143, ISNUMBER(
Master_Mapping_S"&amp;"heet!$E$2:$E$3143),
Master_Mapping_Sheet!$C$2:$C$3143=AO$1))), 0, sum(filter(
Master_Mapping_Sheet!$E$2:$E$3143, ISNUMBER(
Master_Mapping_Sheet!$E$2:$E$3143),
Master_Mapping_Sheet!$C$2:$C$3143=AO$1,
Master_Mapping_Sheet!$H$2:$H$3143=$A26))/sum(filter(
Mas"&amp;"ter_Mapping_Sheet!$E$2:$E$3143, ISNUMBER(
Master_Mapping_Sheet!$E$2:$E$3143),
Master_Mapping_Sheet!$C$2:$C$3143=AO$1)))"),0.0)</f>
        <v>0</v>
      </c>
      <c r="AP26" s="34">
        <f>IFERROR(__xludf.DUMMYFUNCTION("IF(ISNA(sum(filter(
Master_Mapping_Sheet!$E$2:$E$3143, ISNUMBER(
Master_Mapping_Sheet!$E$2:$E$3143),
Master_Mapping_Sheet!$C$2:$C$3143=AP$1,
Master_Mapping_Sheet!$H$2:$H$3143=$A26))/sum(filter(
Master_Mapping_Sheet!$E$2:$E$3143, ISNUMBER(
Master_Mapping_S"&amp;"heet!$E$2:$E$3143),
Master_Mapping_Sheet!$C$2:$C$3143=AP$1))), 0, sum(filter(
Master_Mapping_Sheet!$E$2:$E$3143, ISNUMBER(
Master_Mapping_Sheet!$E$2:$E$3143),
Master_Mapping_Sheet!$C$2:$C$3143=AP$1,
Master_Mapping_Sheet!$H$2:$H$3143=$A26))/sum(filter(
Mas"&amp;"ter_Mapping_Sheet!$E$2:$E$3143, ISNUMBER(
Master_Mapping_Sheet!$E$2:$E$3143),
Master_Mapping_Sheet!$C$2:$C$3143=AP$1)))"),0.0)</f>
        <v>0</v>
      </c>
      <c r="AQ26" s="34">
        <f>IFERROR(__xludf.DUMMYFUNCTION("IF(ISNA(sum(filter(
Master_Mapping_Sheet!$E$2:$E$3143, ISNUMBER(
Master_Mapping_Sheet!$E$2:$E$3143),
Master_Mapping_Sheet!$C$2:$C$3143=AQ$1,
Master_Mapping_Sheet!$H$2:$H$3143=$A26))/sum(filter(
Master_Mapping_Sheet!$E$2:$E$3143, ISNUMBER(
Master_Mapping_S"&amp;"heet!$E$2:$E$3143),
Master_Mapping_Sheet!$C$2:$C$3143=AQ$1))), 0, sum(filter(
Master_Mapping_Sheet!$E$2:$E$3143, ISNUMBER(
Master_Mapping_Sheet!$E$2:$E$3143),
Master_Mapping_Sheet!$C$2:$C$3143=AQ$1,
Master_Mapping_Sheet!$H$2:$H$3143=$A26))/sum(filter(
Mas"&amp;"ter_Mapping_Sheet!$E$2:$E$3143, ISNUMBER(
Master_Mapping_Sheet!$E$2:$E$3143),
Master_Mapping_Sheet!$C$2:$C$3143=AQ$1)))"),0.0)</f>
        <v>0</v>
      </c>
      <c r="AR26" s="34">
        <f>IFERROR(__xludf.DUMMYFUNCTION("IF(ISNA(sum(filter(
Master_Mapping_Sheet!$E$2:$E$3143, ISNUMBER(
Master_Mapping_Sheet!$E$2:$E$3143),
Master_Mapping_Sheet!$C$2:$C$3143=AR$1,
Master_Mapping_Sheet!$H$2:$H$3143=$A26))/sum(filter(
Master_Mapping_Sheet!$E$2:$E$3143, ISNUMBER(
Master_Mapping_S"&amp;"heet!$E$2:$E$3143),
Master_Mapping_Sheet!$C$2:$C$3143=AR$1))), 0, sum(filter(
Master_Mapping_Sheet!$E$2:$E$3143, ISNUMBER(
Master_Mapping_Sheet!$E$2:$E$3143),
Master_Mapping_Sheet!$C$2:$C$3143=AR$1,
Master_Mapping_Sheet!$H$2:$H$3143=$A26))/sum(filter(
Mas"&amp;"ter_Mapping_Sheet!$E$2:$E$3143, ISNUMBER(
Master_Mapping_Sheet!$E$2:$E$3143),
Master_Mapping_Sheet!$C$2:$C$3143=AR$1)))"),0.0)</f>
        <v>0</v>
      </c>
      <c r="AS26" s="34">
        <f>IFERROR(__xludf.DUMMYFUNCTION("IF(ISNA(sum(filter(
Master_Mapping_Sheet!$E$2:$E$3143, ISNUMBER(
Master_Mapping_Sheet!$E$2:$E$3143),
Master_Mapping_Sheet!$C$2:$C$3143=AS$1,
Master_Mapping_Sheet!$H$2:$H$3143=$A26))/sum(filter(
Master_Mapping_Sheet!$E$2:$E$3143, ISNUMBER(
Master_Mapping_S"&amp;"heet!$E$2:$E$3143),
Master_Mapping_Sheet!$C$2:$C$3143=AS$1))), 0, sum(filter(
Master_Mapping_Sheet!$E$2:$E$3143, ISNUMBER(
Master_Mapping_Sheet!$E$2:$E$3143),
Master_Mapping_Sheet!$C$2:$C$3143=AS$1,
Master_Mapping_Sheet!$H$2:$H$3143=$A26))/sum(filter(
Mas"&amp;"ter_Mapping_Sheet!$E$2:$E$3143, ISNUMBER(
Master_Mapping_Sheet!$E$2:$E$3143),
Master_Mapping_Sheet!$C$2:$C$3143=AS$1)))"),0.0)</f>
        <v>0</v>
      </c>
      <c r="AT26" s="34">
        <f>IFERROR(__xludf.DUMMYFUNCTION("IF(ISNA(sum(filter(
Master_Mapping_Sheet!$E$2:$E$3143, ISNUMBER(
Master_Mapping_Sheet!$E$2:$E$3143),
Master_Mapping_Sheet!$C$2:$C$3143=AT$1,
Master_Mapping_Sheet!$H$2:$H$3143=$A26))/sum(filter(
Master_Mapping_Sheet!$E$2:$E$3143, ISNUMBER(
Master_Mapping_S"&amp;"heet!$E$2:$E$3143),
Master_Mapping_Sheet!$C$2:$C$3143=AT$1))), 0, sum(filter(
Master_Mapping_Sheet!$E$2:$E$3143, ISNUMBER(
Master_Mapping_Sheet!$E$2:$E$3143),
Master_Mapping_Sheet!$C$2:$C$3143=AT$1,
Master_Mapping_Sheet!$H$2:$H$3143=$A26))/sum(filter(
Mas"&amp;"ter_Mapping_Sheet!$E$2:$E$3143, ISNUMBER(
Master_Mapping_Sheet!$E$2:$E$3143),
Master_Mapping_Sheet!$C$2:$C$3143=AT$1)))"),1.0)</f>
        <v>1</v>
      </c>
      <c r="AU26" s="34">
        <f>IFERROR(__xludf.DUMMYFUNCTION("IF(ISNA(sum(filter(
Master_Mapping_Sheet!$E$2:$E$3143, ISNUMBER(
Master_Mapping_Sheet!$E$2:$E$3143),
Master_Mapping_Sheet!$C$2:$C$3143=AU$1,
Master_Mapping_Sheet!$H$2:$H$3143=$A26))/sum(filter(
Master_Mapping_Sheet!$E$2:$E$3143, ISNUMBER(
Master_Mapping_S"&amp;"heet!$E$2:$E$3143),
Master_Mapping_Sheet!$C$2:$C$3143=AU$1))), 0, sum(filter(
Master_Mapping_Sheet!$E$2:$E$3143, ISNUMBER(
Master_Mapping_Sheet!$E$2:$E$3143),
Master_Mapping_Sheet!$C$2:$C$3143=AU$1,
Master_Mapping_Sheet!$H$2:$H$3143=$A26))/sum(filter(
Mas"&amp;"ter_Mapping_Sheet!$E$2:$E$3143, ISNUMBER(
Master_Mapping_Sheet!$E$2:$E$3143),
Master_Mapping_Sheet!$C$2:$C$3143=AU$1)))"),0.0)</f>
        <v>0</v>
      </c>
      <c r="AV26" s="34">
        <f>IFERROR(__xludf.DUMMYFUNCTION("IF(ISNA(sum(filter(
Master_Mapping_Sheet!$E$2:$E$3143, ISNUMBER(
Master_Mapping_Sheet!$E$2:$E$3143),
Master_Mapping_Sheet!$C$2:$C$3143=AV$1,
Master_Mapping_Sheet!$H$2:$H$3143=$A26))/sum(filter(
Master_Mapping_Sheet!$E$2:$E$3143, ISNUMBER(
Master_Mapping_S"&amp;"heet!$E$2:$E$3143),
Master_Mapping_Sheet!$C$2:$C$3143=AV$1))), 0, sum(filter(
Master_Mapping_Sheet!$E$2:$E$3143, ISNUMBER(
Master_Mapping_Sheet!$E$2:$E$3143),
Master_Mapping_Sheet!$C$2:$C$3143=AV$1,
Master_Mapping_Sheet!$H$2:$H$3143=$A26))/sum(filter(
Mas"&amp;"ter_Mapping_Sheet!$E$2:$E$3143, ISNUMBER(
Master_Mapping_Sheet!$E$2:$E$3143),
Master_Mapping_Sheet!$C$2:$C$3143=AV$1)))"),0.0)</f>
        <v>0</v>
      </c>
      <c r="AW26" s="34">
        <f>IFERROR(__xludf.DUMMYFUNCTION("IF(ISNA(sum(filter(
Master_Mapping_Sheet!$E$2:$E$3143, ISNUMBER(
Master_Mapping_Sheet!$E$2:$E$3143),
Master_Mapping_Sheet!$C$2:$C$3143=AW$1,
Master_Mapping_Sheet!$H$2:$H$3143=$A26))/sum(filter(
Master_Mapping_Sheet!$E$2:$E$3143, ISNUMBER(
Master_Mapping_S"&amp;"heet!$E$2:$E$3143),
Master_Mapping_Sheet!$C$2:$C$3143=AW$1))), 0, sum(filter(
Master_Mapping_Sheet!$E$2:$E$3143, ISNUMBER(
Master_Mapping_Sheet!$E$2:$E$3143),
Master_Mapping_Sheet!$C$2:$C$3143=AW$1,
Master_Mapping_Sheet!$H$2:$H$3143=$A26))/sum(filter(
Mas"&amp;"ter_Mapping_Sheet!$E$2:$E$3143, ISNUMBER(
Master_Mapping_Sheet!$E$2:$E$3143),
Master_Mapping_Sheet!$C$2:$C$3143=AW$1)))"),0.0)</f>
        <v>0</v>
      </c>
      <c r="AX26" s="34">
        <f>IFERROR(__xludf.DUMMYFUNCTION("IF(ISNA(sum(filter(
Master_Mapping_Sheet!$E$2:$E$3143, ISNUMBER(
Master_Mapping_Sheet!$E$2:$E$3143),
Master_Mapping_Sheet!$C$2:$C$3143=AX$1,
Master_Mapping_Sheet!$H$2:$H$3143=$A26))/sum(filter(
Master_Mapping_Sheet!$E$2:$E$3143, ISNUMBER(
Master_Mapping_S"&amp;"heet!$E$2:$E$3143),
Master_Mapping_Sheet!$C$2:$C$3143=AX$1))), 0, sum(filter(
Master_Mapping_Sheet!$E$2:$E$3143, ISNUMBER(
Master_Mapping_Sheet!$E$2:$E$3143),
Master_Mapping_Sheet!$C$2:$C$3143=AX$1,
Master_Mapping_Sheet!$H$2:$H$3143=$A26))/sum(filter(
Mas"&amp;"ter_Mapping_Sheet!$E$2:$E$3143, ISNUMBER(
Master_Mapping_Sheet!$E$2:$E$3143),
Master_Mapping_Sheet!$C$2:$C$3143=AX$1)))"),0.0)</f>
        <v>0</v>
      </c>
      <c r="AY26" s="34">
        <f>IFERROR(__xludf.DUMMYFUNCTION("IF(ISNA(sum(filter(
Master_Mapping_Sheet!$E$2:$E$3143, ISNUMBER(
Master_Mapping_Sheet!$E$2:$E$3143),
Master_Mapping_Sheet!$C$2:$C$3143=AY$1,
Master_Mapping_Sheet!$H$2:$H$3143=$A26))/sum(filter(
Master_Mapping_Sheet!$E$2:$E$3143, ISNUMBER(
Master_Mapping_S"&amp;"heet!$E$2:$E$3143),
Master_Mapping_Sheet!$C$2:$C$3143=AY$1))), 0, sum(filter(
Master_Mapping_Sheet!$E$2:$E$3143, ISNUMBER(
Master_Mapping_Sheet!$E$2:$E$3143),
Master_Mapping_Sheet!$C$2:$C$3143=AY$1,
Master_Mapping_Sheet!$H$2:$H$3143=$A26))/sum(filter(
Mas"&amp;"ter_Mapping_Sheet!$E$2:$E$3143, ISNUMBER(
Master_Mapping_Sheet!$E$2:$E$3143),
Master_Mapping_Sheet!$C$2:$C$3143=AY$1)))"),0.0)</f>
        <v>0</v>
      </c>
      <c r="AZ26" s="34">
        <f>IFERROR(__xludf.DUMMYFUNCTION("IF(ISNA(sum(filter(
Master_Mapping_Sheet!$E$2:$E$3143, ISNUMBER(
Master_Mapping_Sheet!$E$2:$E$3143),
Master_Mapping_Sheet!$C$2:$C$3143=AZ$1,
Master_Mapping_Sheet!$H$2:$H$3143=$A26))/sum(filter(
Master_Mapping_Sheet!$E$2:$E$3143, ISNUMBER(
Master_Mapping_S"&amp;"heet!$E$2:$E$3143),
Master_Mapping_Sheet!$C$2:$C$3143=AZ$1))), 0, sum(filter(
Master_Mapping_Sheet!$E$2:$E$3143, ISNUMBER(
Master_Mapping_Sheet!$E$2:$E$3143),
Master_Mapping_Sheet!$C$2:$C$3143=AZ$1,
Master_Mapping_Sheet!$H$2:$H$3143=$A26))/sum(filter(
Mas"&amp;"ter_Mapping_Sheet!$E$2:$E$3143, ISNUMBER(
Master_Mapping_Sheet!$E$2:$E$3143),
Master_Mapping_Sheet!$C$2:$C$3143=AZ$1)))"),0.5209919579767043)</f>
        <v>0.520991958</v>
      </c>
    </row>
    <row r="27" ht="15.75" customHeight="1">
      <c r="D27" s="32"/>
    </row>
    <row r="28" ht="15.75" customHeight="1"/>
    <row r="29" ht="15.75" customHeight="1">
      <c r="D29" s="32"/>
    </row>
    <row r="30" ht="15.75" customHeight="1">
      <c r="D30" s="32"/>
    </row>
    <row r="31" ht="15.75" customHeight="1">
      <c r="D31" s="32"/>
    </row>
    <row r="32" ht="15.75" customHeight="1">
      <c r="D32" s="32"/>
    </row>
    <row r="33" ht="15.75" customHeight="1">
      <c r="D33" s="32"/>
    </row>
    <row r="34" ht="15.75" customHeight="1">
      <c r="D34" s="32"/>
    </row>
    <row r="35" ht="15.75" customHeight="1">
      <c r="D35" s="32"/>
    </row>
    <row r="36" ht="15.75" customHeight="1">
      <c r="D36" s="32"/>
    </row>
    <row r="37" ht="15.75" customHeight="1">
      <c r="D37" s="32"/>
    </row>
    <row r="38" ht="15.75" customHeight="1">
      <c r="D38" s="32"/>
    </row>
    <row r="39" ht="15.75" customHeight="1">
      <c r="D39" s="32"/>
    </row>
    <row r="40" ht="15.75" customHeight="1">
      <c r="D40" s="32"/>
    </row>
    <row r="41" ht="15.75" customHeight="1">
      <c r="D41" s="32"/>
    </row>
    <row r="42" ht="15.75" customHeight="1">
      <c r="D42" s="32"/>
    </row>
    <row r="43" ht="15.75" customHeight="1">
      <c r="D43" s="32"/>
    </row>
    <row r="44" ht="15.75" customHeight="1">
      <c r="D44" s="32"/>
    </row>
    <row r="45" ht="15.75" customHeight="1">
      <c r="D45" s="32"/>
    </row>
    <row r="46" ht="15.75" customHeight="1">
      <c r="D46" s="32"/>
    </row>
    <row r="47" ht="15.75" customHeight="1">
      <c r="D47" s="32"/>
    </row>
    <row r="48" ht="15.75" customHeight="1">
      <c r="D48" s="32"/>
    </row>
    <row r="49" ht="15.75" customHeight="1">
      <c r="D49" s="32"/>
    </row>
    <row r="50" ht="15.75" customHeight="1">
      <c r="D50" s="32"/>
    </row>
    <row r="51" ht="15.75" customHeight="1">
      <c r="D51" s="32"/>
    </row>
    <row r="52" ht="15.75" customHeight="1">
      <c r="D52" s="32"/>
    </row>
    <row r="53" ht="15.75" customHeight="1">
      <c r="D53" s="32"/>
    </row>
    <row r="54" ht="15.75" customHeight="1">
      <c r="D54" s="32"/>
    </row>
    <row r="55" ht="15.75" customHeight="1">
      <c r="D55" s="32"/>
    </row>
    <row r="56" ht="15.75" customHeight="1">
      <c r="D56" s="32"/>
    </row>
    <row r="57" ht="15.75" customHeight="1">
      <c r="D57" s="32"/>
    </row>
    <row r="58" ht="15.75" customHeight="1">
      <c r="D58" s="32"/>
    </row>
    <row r="59" ht="15.75" customHeight="1">
      <c r="D59" s="32"/>
    </row>
    <row r="60" ht="15.75" customHeight="1">
      <c r="D60" s="32"/>
    </row>
    <row r="61" ht="15.75" customHeight="1">
      <c r="D61" s="32"/>
    </row>
    <row r="62" ht="15.75" customHeight="1">
      <c r="D62" s="32"/>
    </row>
    <row r="63" ht="15.75" customHeight="1">
      <c r="D63" s="32"/>
    </row>
    <row r="64" ht="15.75" customHeight="1">
      <c r="D64" s="32"/>
    </row>
    <row r="65" ht="15.75" customHeight="1">
      <c r="D65" s="32"/>
    </row>
    <row r="66" ht="15.75" customHeight="1">
      <c r="D66" s="32"/>
    </row>
    <row r="67" ht="15.75" customHeight="1">
      <c r="D67" s="32"/>
    </row>
    <row r="68" ht="15.75" customHeight="1">
      <c r="D68" s="32"/>
    </row>
    <row r="69" ht="15.75" customHeight="1">
      <c r="D69" s="32"/>
    </row>
    <row r="70" ht="15.75" customHeight="1">
      <c r="D70" s="32"/>
    </row>
    <row r="71" ht="15.75" customHeight="1">
      <c r="D71" s="32"/>
    </row>
    <row r="72" ht="15.75" customHeight="1">
      <c r="D72" s="32"/>
    </row>
    <row r="73" ht="15.75" customHeight="1">
      <c r="D73" s="32"/>
    </row>
    <row r="74" ht="15.75" customHeight="1">
      <c r="D74" s="32"/>
    </row>
    <row r="75" ht="15.75" customHeight="1">
      <c r="D75" s="32"/>
    </row>
    <row r="76" ht="15.75" customHeight="1">
      <c r="D76" s="32"/>
    </row>
    <row r="77" ht="15.75" customHeight="1">
      <c r="D77" s="32"/>
    </row>
    <row r="78" ht="15.75" customHeight="1">
      <c r="D78" s="32"/>
    </row>
    <row r="79" ht="15.75" customHeight="1">
      <c r="D79" s="32"/>
    </row>
    <row r="80" ht="15.75" customHeight="1">
      <c r="D80" s="32"/>
    </row>
    <row r="81" ht="15.75" customHeight="1">
      <c r="D81" s="32"/>
    </row>
    <row r="82" ht="15.75" customHeight="1">
      <c r="D82" s="32"/>
    </row>
    <row r="83" ht="15.75" customHeight="1">
      <c r="D83" s="32"/>
    </row>
    <row r="84" ht="15.75" customHeight="1">
      <c r="D84" s="32"/>
    </row>
    <row r="85" ht="15.75" customHeight="1">
      <c r="D85" s="32"/>
    </row>
    <row r="86" ht="15.75" customHeight="1">
      <c r="D86" s="32"/>
    </row>
    <row r="87" ht="15.75" customHeight="1">
      <c r="D87" s="32"/>
    </row>
    <row r="88" ht="15.75" customHeight="1">
      <c r="D88" s="32"/>
    </row>
    <row r="89" ht="15.75" customHeight="1">
      <c r="D89" s="32"/>
    </row>
    <row r="90" ht="15.75" customHeight="1">
      <c r="D90" s="32"/>
    </row>
    <row r="91" ht="15.75" customHeight="1">
      <c r="D91" s="32"/>
    </row>
    <row r="92" ht="15.75" customHeight="1">
      <c r="D92" s="32"/>
    </row>
    <row r="93" ht="15.75" customHeight="1">
      <c r="D93" s="32"/>
    </row>
    <row r="94" ht="15.75" customHeight="1">
      <c r="D94" s="32"/>
    </row>
    <row r="95" ht="15.75" customHeight="1">
      <c r="D95" s="32"/>
    </row>
    <row r="96" ht="15.75" customHeight="1">
      <c r="D96" s="32"/>
    </row>
    <row r="97" ht="15.75" customHeight="1">
      <c r="D97" s="32"/>
    </row>
    <row r="98" ht="15.75" customHeight="1">
      <c r="D98" s="32"/>
    </row>
    <row r="99" ht="15.75" customHeight="1">
      <c r="D99" s="32"/>
    </row>
    <row r="100" ht="15.75" customHeight="1">
      <c r="D100" s="32"/>
    </row>
    <row r="101" ht="15.75" customHeight="1">
      <c r="D101" s="32"/>
    </row>
    <row r="102" ht="15.75" customHeight="1">
      <c r="D102" s="32"/>
    </row>
    <row r="103" ht="15.75" customHeight="1">
      <c r="D103" s="32"/>
    </row>
    <row r="104" ht="15.75" customHeight="1">
      <c r="D104" s="32"/>
    </row>
    <row r="105" ht="15.75" customHeight="1">
      <c r="D105" s="32"/>
    </row>
    <row r="106" ht="15.75" customHeight="1">
      <c r="D106" s="32"/>
    </row>
    <row r="107" ht="15.75" customHeight="1">
      <c r="D107" s="32"/>
    </row>
    <row r="108" ht="15.75" customHeight="1">
      <c r="D108" s="32"/>
    </row>
    <row r="109" ht="15.75" customHeight="1">
      <c r="D109" s="32"/>
    </row>
    <row r="110" ht="15.75" customHeight="1">
      <c r="D110" s="32"/>
    </row>
    <row r="111" ht="15.75" customHeight="1">
      <c r="D111" s="32"/>
    </row>
    <row r="112" ht="15.75" customHeight="1">
      <c r="D112" s="32"/>
    </row>
    <row r="113" ht="15.75" customHeight="1">
      <c r="D113" s="32"/>
    </row>
    <row r="114" ht="15.75" customHeight="1">
      <c r="D114" s="32"/>
    </row>
    <row r="115" ht="15.75" customHeight="1">
      <c r="D115" s="32"/>
    </row>
    <row r="116" ht="15.75" customHeight="1">
      <c r="D116" s="32"/>
    </row>
    <row r="117" ht="15.75" customHeight="1">
      <c r="D117" s="32"/>
    </row>
    <row r="118" ht="15.75" customHeight="1">
      <c r="D118" s="32"/>
    </row>
    <row r="119" ht="15.75" customHeight="1">
      <c r="D119" s="32"/>
    </row>
    <row r="120" ht="15.75" customHeight="1">
      <c r="D120" s="32"/>
    </row>
    <row r="121" ht="15.75" customHeight="1">
      <c r="D121" s="32"/>
    </row>
    <row r="122" ht="15.75" customHeight="1">
      <c r="D122" s="32"/>
    </row>
    <row r="123" ht="15.75" customHeight="1">
      <c r="D123" s="32"/>
    </row>
    <row r="124" ht="15.75" customHeight="1">
      <c r="D124" s="32"/>
    </row>
    <row r="125" ht="15.75" customHeight="1">
      <c r="D125" s="32"/>
    </row>
    <row r="126" ht="15.75" customHeight="1">
      <c r="D126" s="32"/>
    </row>
    <row r="127" ht="15.75" customHeight="1">
      <c r="D127" s="32"/>
    </row>
    <row r="128" ht="15.75" customHeight="1">
      <c r="D128" s="32"/>
    </row>
    <row r="129" ht="15.75" customHeight="1">
      <c r="D129" s="32"/>
    </row>
    <row r="130" ht="15.75" customHeight="1">
      <c r="D130" s="32"/>
    </row>
    <row r="131" ht="15.75" customHeight="1">
      <c r="D131" s="32"/>
    </row>
    <row r="132" ht="15.75" customHeight="1">
      <c r="D132" s="32"/>
    </row>
    <row r="133" ht="15.75" customHeight="1">
      <c r="D133" s="32"/>
    </row>
    <row r="134" ht="15.75" customHeight="1">
      <c r="D134" s="32"/>
    </row>
    <row r="135" ht="15.75" customHeight="1">
      <c r="D135" s="32"/>
    </row>
    <row r="136" ht="15.75" customHeight="1">
      <c r="D136" s="32"/>
    </row>
    <row r="137" ht="15.75" customHeight="1">
      <c r="D137" s="32"/>
    </row>
    <row r="138" ht="15.75" customHeight="1">
      <c r="D138" s="32"/>
    </row>
    <row r="139" ht="15.75" customHeight="1">
      <c r="D139" s="32"/>
    </row>
    <row r="140" ht="15.75" customHeight="1">
      <c r="D140" s="32"/>
    </row>
    <row r="141" ht="15.75" customHeight="1">
      <c r="D141" s="32"/>
    </row>
    <row r="142" ht="15.75" customHeight="1">
      <c r="D142" s="32"/>
    </row>
    <row r="143" ht="15.75" customHeight="1">
      <c r="D143" s="32"/>
    </row>
    <row r="144" ht="15.75" customHeight="1">
      <c r="D144" s="32"/>
    </row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</sheetData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5.13"/>
  </cols>
  <sheetData>
    <row r="1">
      <c r="A1" s="83" t="str">
        <f>State_EMM_RowSums!A1</f>
        <v>State</v>
      </c>
      <c r="B1" s="28" t="s">
        <v>4226</v>
      </c>
      <c r="C1" s="84" t="s">
        <v>4277</v>
      </c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>
      <c r="A2" s="25" t="str">
        <f>State_EMM_RowSums!A2</f>
        <v>Alabama</v>
      </c>
      <c r="B2" s="34" t="s">
        <v>1994</v>
      </c>
      <c r="C2" s="25" t="str">
        <f t="array" ref="C2">INDEX(State_EMM_RowSums!C$1:AA$1,1,MATCH(MAX(State_EMM_RowSums!C2:AA2),State_EMM_RowSums!C2:AA2,0))</f>
        <v>SRSE</v>
      </c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>
      <c r="A3" s="25" t="str">
        <f>State_EMM_RowSums!A3</f>
        <v>Alaska</v>
      </c>
      <c r="B3" s="34" t="s">
        <v>2062</v>
      </c>
      <c r="C3" s="25" t="str">
        <f t="array" ref="C3">INDEX(State_EMM_RowSums!C$1:AA$1,1,MATCH(MAX(State_EMM_RowSums!C3:AA3),State_EMM_RowSums!C3:AA3,0))</f>
        <v>TRE</v>
      </c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  <c r="AA3" s="25"/>
    </row>
    <row r="4">
      <c r="A4" s="25" t="str">
        <f>State_EMM_RowSums!A4</f>
        <v>Arizona</v>
      </c>
      <c r="B4" s="34" t="s">
        <v>2063</v>
      </c>
      <c r="C4" s="25" t="str">
        <f t="array" ref="C4">INDEX(State_EMM_RowSums!C$1:AA$1,1,MATCH(MAX(State_EMM_RowSums!C4:AA4),State_EMM_RowSums!C4:AA4,0))</f>
        <v>SRSG</v>
      </c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</row>
    <row r="5">
      <c r="A5" s="25" t="str">
        <f>State_EMM_RowSums!A5</f>
        <v>Arkansas</v>
      </c>
      <c r="B5" s="34" t="s">
        <v>2079</v>
      </c>
      <c r="C5" s="25" t="str">
        <f t="array" ref="C5">INDEX(State_EMM_RowSums!C$1:AA$1,1,MATCH(MAX(State_EMM_RowSums!C5:AA5),State_EMM_RowSums!C5:AA5,0))</f>
        <v>MISS</v>
      </c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</row>
    <row r="6">
      <c r="A6" s="25" t="str">
        <f>State_EMM_RowSums!A6</f>
        <v>California</v>
      </c>
      <c r="B6" s="34" t="s">
        <v>2137</v>
      </c>
      <c r="C6" s="25" t="str">
        <f t="array" ref="C6">INDEX(State_EMM_RowSums!C$1:AA$1,1,MATCH(MAX(State_EMM_RowSums!C6:AA6),State_EMM_RowSums!C6:AA6,0))</f>
        <v>CASO</v>
      </c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</row>
    <row r="7">
      <c r="A7" s="25" t="str">
        <f>State_EMM_RowSums!A7</f>
        <v>Colorado</v>
      </c>
      <c r="B7" s="34" t="s">
        <v>2194</v>
      </c>
      <c r="C7" s="25" t="str">
        <f t="array" ref="C7">INDEX(State_EMM_RowSums!C$1:AA$1,1,MATCH(MAX(State_EMM_RowSums!C7:AA7),State_EMM_RowSums!C7:AA7,0))</f>
        <v>RMRG</v>
      </c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  <c r="AA7" s="25"/>
    </row>
    <row r="8">
      <c r="A8" s="25" t="str">
        <f>State_EMM_RowSums!A8</f>
        <v>Connecticut</v>
      </c>
      <c r="B8" s="34" t="s">
        <v>2250</v>
      </c>
      <c r="C8" s="25" t="str">
        <f t="array" ref="C8">INDEX(State_EMM_RowSums!C$1:AA$1,1,MATCH(MAX(State_EMM_RowSums!C8:AA8),State_EMM_RowSums!C8:AA8,0))</f>
        <v>ISNE</v>
      </c>
      <c r="D8" s="25"/>
      <c r="E8" s="25"/>
      <c r="F8" s="25"/>
      <c r="G8" s="25"/>
      <c r="H8" s="25"/>
      <c r="I8" s="25"/>
      <c r="J8" s="25"/>
      <c r="K8" s="25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  <c r="AA8" s="25"/>
    </row>
    <row r="9">
      <c r="A9" s="25" t="str">
        <f>State_EMM_RowSums!A9</f>
        <v>Delaware</v>
      </c>
      <c r="B9" s="34" t="s">
        <v>2259</v>
      </c>
      <c r="C9" s="25" t="str">
        <f t="array" ref="C9">INDEX(State_EMM_RowSums!C$1:AA$1,1,MATCH(MAX(State_EMM_RowSums!C9:AA9),State_EMM_RowSums!C9:AA9,0))</f>
        <v>PJME</v>
      </c>
      <c r="D9" s="25"/>
      <c r="E9" s="25"/>
      <c r="F9" s="25"/>
      <c r="G9" s="25"/>
      <c r="H9" s="25"/>
      <c r="I9" s="25"/>
      <c r="J9" s="25"/>
      <c r="K9" s="25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  <c r="AA9" s="25"/>
    </row>
    <row r="10">
      <c r="A10" s="25" t="str">
        <f>State_EMM_RowSums!A10</f>
        <v>District of Columbia</v>
      </c>
      <c r="B10" s="34" t="s">
        <v>2263</v>
      </c>
      <c r="C10" s="25" t="str">
        <f t="array" ref="C10">INDEX(State_EMM_RowSums!C$1:AA$1,1,MATCH(MAX(State_EMM_RowSums!C10:AA10),State_EMM_RowSums!C10:AA10,0))</f>
        <v>PJMD</v>
      </c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  <c r="AA10" s="25"/>
    </row>
    <row r="11">
      <c r="A11" s="25" t="str">
        <f>State_EMM_RowSums!A11</f>
        <v>Florida</v>
      </c>
      <c r="B11" s="34" t="s">
        <v>2264</v>
      </c>
      <c r="C11" s="25" t="str">
        <f t="array" ref="C11">INDEX(State_EMM_RowSums!C$1:AA$1,1,MATCH(MAX(State_EMM_RowSums!C11:AA11),State_EMM_RowSums!C11:AA11,0))</f>
        <v>FRCC</v>
      </c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</row>
    <row r="12">
      <c r="A12" s="25" t="str">
        <f>State_EMM_RowSums!A12</f>
        <v>Georgia</v>
      </c>
      <c r="B12" s="34" t="s">
        <v>2314</v>
      </c>
      <c r="C12" s="25" t="str">
        <f t="array" ref="C12">INDEX(State_EMM_RowSums!C$1:AA$1,1,MATCH(MAX(State_EMM_RowSums!C12:AA12),State_EMM_RowSums!C12:AA12,0))</f>
        <v>SRSE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  <c r="AA12" s="25"/>
    </row>
    <row r="13">
      <c r="A13" s="25" t="str">
        <f>State_EMM_RowSums!A13</f>
        <v>Hawaii</v>
      </c>
      <c r="B13" s="34" t="s">
        <v>2423</v>
      </c>
      <c r="C13" s="25" t="str">
        <f t="array" ref="C13">INDEX(State_EMM_RowSums!C$1:AA$1,1,MATCH(MAX(State_EMM_RowSums!C13:AA13),State_EMM_RowSums!C13:AA13,0))</f>
        <v>TRE</v>
      </c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</row>
    <row r="14">
      <c r="A14" s="25" t="str">
        <f>State_EMM_RowSums!A14</f>
        <v>Idaho</v>
      </c>
      <c r="B14" s="34" t="s">
        <v>2424</v>
      </c>
      <c r="C14" s="25" t="str">
        <f t="array" ref="C14">INDEX(State_EMM_RowSums!C$1:AA$1,1,MATCH(MAX(State_EMM_RowSums!C14:AA14),State_EMM_RowSums!C14:AA14,0))</f>
        <v>BASN</v>
      </c>
      <c r="D14" s="25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5"/>
    </row>
    <row r="15">
      <c r="A15" s="25" t="str">
        <f>State_EMM_RowSums!A15</f>
        <v>Illinois</v>
      </c>
      <c r="B15" s="34" t="s">
        <v>2458</v>
      </c>
      <c r="C15" s="25" t="str">
        <f t="array" ref="C15">INDEX(State_EMM_RowSums!C$1:AA$1,1,MATCH(MAX(State_EMM_RowSums!C15:AA15),State_EMM_RowSums!C15:AA15,0))</f>
        <v>PJMC</v>
      </c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</row>
    <row r="16">
      <c r="A16" s="25" t="str">
        <f>State_EMM_RowSums!A16</f>
        <v>Indiana</v>
      </c>
      <c r="B16" s="34" t="s">
        <v>2513</v>
      </c>
      <c r="C16" s="25" t="str">
        <f t="array" ref="C16">INDEX(State_EMM_RowSums!C$1:AA$1,1,MATCH(MAX(State_EMM_RowSums!C16:AA16),State_EMM_RowSums!C16:AA16,0))</f>
        <v>MISC</v>
      </c>
      <c r="D16" s="25"/>
      <c r="E16" s="25"/>
      <c r="F16" s="25"/>
      <c r="G16" s="25"/>
      <c r="H16" s="25"/>
      <c r="I16" s="25"/>
      <c r="J16" s="25"/>
      <c r="K16" s="25"/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</row>
    <row r="17">
      <c r="A17" s="25" t="str">
        <f>State_EMM_RowSums!A17</f>
        <v>Iowa</v>
      </c>
      <c r="B17" s="34" t="s">
        <v>2555</v>
      </c>
      <c r="C17" s="25" t="str">
        <f t="array" ref="C17">INDEX(State_EMM_RowSums!C$1:AA$1,1,MATCH(MAX(State_EMM_RowSums!C17:AA17),State_EMM_RowSums!C17:AA17,0))</f>
        <v>MISW</v>
      </c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</row>
    <row r="18">
      <c r="A18" s="25" t="str">
        <f>State_EMM_RowSums!A18</f>
        <v>Kansas</v>
      </c>
      <c r="B18" s="34" t="s">
        <v>2601</v>
      </c>
      <c r="C18" s="25" t="str">
        <f t="array" ref="C18">INDEX(State_EMM_RowSums!C$1:AA$1,1,MATCH(MAX(State_EMM_RowSums!C18:AA18),State_EMM_RowSums!C18:AA18,0))</f>
        <v>SPPC</v>
      </c>
      <c r="D18" s="25"/>
      <c r="E18" s="25"/>
      <c r="F18" s="25"/>
      <c r="G18" s="25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</row>
    <row r="19">
      <c r="A19" s="25" t="str">
        <f>State_EMM_RowSums!A19</f>
        <v>Kentucky</v>
      </c>
      <c r="B19" s="34" t="s">
        <v>2669</v>
      </c>
      <c r="C19" s="25" t="str">
        <f t="array" ref="C19">INDEX(State_EMM_RowSums!C$1:AA$1,1,MATCH(MAX(State_EMM_RowSums!C19:AA19),State_EMM_RowSums!C19:AA19,0))</f>
        <v>SRCE</v>
      </c>
      <c r="D19" s="25"/>
      <c r="E19" s="25"/>
      <c r="F19" s="25"/>
      <c r="G19" s="25"/>
      <c r="H19" s="25"/>
      <c r="I19" s="25"/>
      <c r="J19" s="25"/>
      <c r="K19" s="25"/>
      <c r="L19" s="25"/>
      <c r="M19" s="25"/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  <c r="AA19" s="25"/>
    </row>
    <row r="20">
      <c r="A20" s="25" t="str">
        <f>State_EMM_RowSums!A20</f>
        <v>Louisiana</v>
      </c>
      <c r="B20" s="34" t="s">
        <v>2725</v>
      </c>
      <c r="C20" s="25" t="str">
        <f t="array" ref="C20">INDEX(State_EMM_RowSums!C$1:AA$1,1,MATCH(MAX(State_EMM_RowSums!C20:AA20),State_EMM_RowSums!C20:AA20,0))</f>
        <v>MISS</v>
      </c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</row>
    <row r="21">
      <c r="A21" s="25" t="str">
        <f>State_EMM_RowSums!A21</f>
        <v>Maine</v>
      </c>
      <c r="B21" s="34" t="s">
        <v>2790</v>
      </c>
      <c r="C21" s="25" t="str">
        <f t="array" ref="C21">INDEX(State_EMM_RowSums!C$1:AA$1,1,MATCH(MAX(State_EMM_RowSums!C21:AA21),State_EMM_RowSums!C21:AA21,0))</f>
        <v>ISNE</v>
      </c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</row>
    <row r="22">
      <c r="A22" s="25" t="str">
        <f>State_EMM_RowSums!A22</f>
        <v>Maryland</v>
      </c>
      <c r="B22" s="34" t="s">
        <v>2801</v>
      </c>
      <c r="C22" s="25" t="str">
        <f t="array" ref="C22">INDEX(State_EMM_RowSums!C$1:AA$1,1,MATCH(MAX(State_EMM_RowSums!C22:AA22),State_EMM_RowSums!C22:AA22,0))</f>
        <v>PJME</v>
      </c>
      <c r="D22" s="25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  <c r="AA22" s="25"/>
    </row>
    <row r="23">
      <c r="A23" s="25" t="str">
        <f>State_EMM_RowSums!A23</f>
        <v>Massachusetts</v>
      </c>
      <c r="B23" s="34" t="s">
        <v>2819</v>
      </c>
      <c r="C23" s="25" t="str">
        <f t="array" ref="C23">INDEX(State_EMM_RowSums!C$1:AA$1,1,MATCH(MAX(State_EMM_RowSums!C23:AA23),State_EMM_RowSums!C23:AA23,0))</f>
        <v>ISNE</v>
      </c>
      <c r="D23" s="25"/>
      <c r="E23" s="25"/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  <c r="AA23" s="25"/>
    </row>
    <row r="24">
      <c r="A24" s="25" t="str">
        <f>State_EMM_RowSums!A24</f>
        <v>Michigan</v>
      </c>
      <c r="B24" s="34" t="s">
        <v>2830</v>
      </c>
      <c r="C24" s="25" t="str">
        <f t="array" ref="C24">INDEX(State_EMM_RowSums!C$1:AA$1,1,MATCH(MAX(State_EMM_RowSums!C24:AA24),State_EMM_RowSums!C24:AA24,0))</f>
        <v>MISE</v>
      </c>
      <c r="D24" s="25"/>
      <c r="E24" s="25"/>
      <c r="F24" s="25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  <c r="AA24" s="25"/>
    </row>
    <row r="25">
      <c r="A25" s="25" t="str">
        <f>State_EMM_RowSums!A25</f>
        <v>Minnesota</v>
      </c>
      <c r="B25" s="34" t="s">
        <v>2893</v>
      </c>
      <c r="C25" s="25" t="str">
        <f t="array" ref="C25">INDEX(State_EMM_RowSums!C$1:AA$1,1,MATCH(MAX(State_EMM_RowSums!C25:AA25),State_EMM_RowSums!C25:AA25,0))</f>
        <v>MISW</v>
      </c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  <c r="AA25" s="25"/>
    </row>
    <row r="26">
      <c r="A26" s="25" t="str">
        <f>State_EMM_RowSums!A26</f>
        <v>Mississippi</v>
      </c>
      <c r="B26" s="34" t="s">
        <v>2955</v>
      </c>
      <c r="C26" s="25" t="str">
        <f t="array" ref="C26">INDEX(State_EMM_RowSums!C$1:AA$1,1,MATCH(MAX(State_EMM_RowSums!C26:AA26),State_EMM_RowSums!C26:AA26,0))</f>
        <v>MISS</v>
      </c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  <c r="AA26" s="25"/>
    </row>
    <row r="27">
      <c r="A27" s="25" t="str">
        <f>State_EMM_RowSums!A27</f>
        <v>Missouri</v>
      </c>
      <c r="B27" s="34" t="s">
        <v>2992</v>
      </c>
      <c r="C27" s="25" t="str">
        <f t="array" ref="C27">INDEX(State_EMM_RowSums!C$1:AA$1,1,MATCH(MAX(State_EMM_RowSums!C27:AA27),State_EMM_RowSums!C27:AA27,0))</f>
        <v>MISC</v>
      </c>
      <c r="D27" s="25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  <c r="AA27" s="25"/>
    </row>
    <row r="28">
      <c r="A28" s="25" t="str">
        <f>State_EMM_RowSums!A28</f>
        <v>Montana</v>
      </c>
      <c r="B28" s="34" t="s">
        <v>3034</v>
      </c>
      <c r="C28" s="25" t="str">
        <f t="array" ref="C28">INDEX(State_EMM_RowSums!C$1:AA$1,1,MATCH(MAX(State_EMM_RowSums!C28:AA28),State_EMM_RowSums!C28:AA28,0))</f>
        <v>NWPP</v>
      </c>
      <c r="D28" s="25"/>
      <c r="E28" s="25"/>
      <c r="F28" s="25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  <c r="AA28" s="25"/>
    </row>
    <row r="29">
      <c r="A29" s="25" t="str">
        <f>State_EMM_RowSums!A29</f>
        <v>Nebraska</v>
      </c>
      <c r="B29" s="34" t="s">
        <v>3071</v>
      </c>
      <c r="C29" s="25" t="str">
        <f t="array" ref="C29">INDEX(State_EMM_RowSums!C$1:AA$1,1,MATCH(MAX(State_EMM_RowSums!C29:AA29),State_EMM_RowSums!C29:AA29,0))</f>
        <v>SPPN</v>
      </c>
      <c r="D29" s="25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  <c r="AA29" s="25"/>
    </row>
    <row r="30">
      <c r="A30" s="25" t="str">
        <f>State_EMM_RowSums!A30</f>
        <v>Nevada</v>
      </c>
      <c r="B30" s="34" t="s">
        <v>3112</v>
      </c>
      <c r="C30" s="25" t="str">
        <f t="array" ref="C30">INDEX(State_EMM_RowSums!C$1:AA$1,1,MATCH(MAX(State_EMM_RowSums!C30:AA30),State_EMM_RowSums!C30:AA30,0))</f>
        <v>BASN</v>
      </c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</row>
    <row r="31">
      <c r="A31" s="25" t="str">
        <f>State_EMM_RowSums!A31</f>
        <v>New Hampshire</v>
      </c>
      <c r="B31" s="34" t="s">
        <v>3123</v>
      </c>
      <c r="C31" s="25" t="str">
        <f t="array" ref="C31">INDEX(State_EMM_RowSums!C$1:AA$1,1,MATCH(MAX(State_EMM_RowSums!C31:AA31),State_EMM_RowSums!C31:AA31,0))</f>
        <v>ISNE</v>
      </c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  <c r="AA31" s="25"/>
    </row>
    <row r="32">
      <c r="A32" s="25" t="str">
        <f>State_EMM_RowSums!A32</f>
        <v>New Jersey</v>
      </c>
      <c r="B32" s="34" t="s">
        <v>3131</v>
      </c>
      <c r="C32" s="25" t="str">
        <f t="array" ref="C32">INDEX(State_EMM_RowSums!C$1:AA$1,1,MATCH(MAX(State_EMM_RowSums!C32:AA32),State_EMM_RowSums!C32:AA32,0))</f>
        <v>PJME</v>
      </c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  <c r="AA32" s="25"/>
    </row>
    <row r="33">
      <c r="A33" s="25" t="str">
        <f>State_EMM_RowSums!A33</f>
        <v>New Mexico</v>
      </c>
      <c r="B33" s="34" t="s">
        <v>3143</v>
      </c>
      <c r="C33" s="25" t="str">
        <f t="array" ref="C33">INDEX(State_EMM_RowSums!C$1:AA$1,1,MATCH(MAX(State_EMM_RowSums!C33:AA33),State_EMM_RowSums!C33:AA33,0))</f>
        <v>SRSG</v>
      </c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</row>
    <row r="34">
      <c r="A34" s="25" t="str">
        <f>State_EMM_RowSums!A34</f>
        <v>New York</v>
      </c>
      <c r="B34" s="34" t="s">
        <v>3168</v>
      </c>
      <c r="C34" s="25" t="str">
        <f t="array" ref="C34">INDEX(State_EMM_RowSums!C$1:AA$1,1,MATCH(MAX(State_EMM_RowSums!C34:AA34),State_EMM_RowSums!C34:AA34,0))</f>
        <v>NYCW</v>
      </c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</row>
    <row r="35">
      <c r="A35" s="25" t="str">
        <f>State_EMM_RowSums!A35</f>
        <v>North Carolina</v>
      </c>
      <c r="B35" s="34" t="s">
        <v>3200</v>
      </c>
      <c r="C35" s="25" t="str">
        <f t="array" ref="C35">INDEX(State_EMM_RowSums!C$1:AA$1,1,MATCH(MAX(State_EMM_RowSums!C35:AA35),State_EMM_RowSums!C35:AA35,0))</f>
        <v>SRCA</v>
      </c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</row>
    <row r="36">
      <c r="A36" s="25" t="str">
        <f>State_EMM_RowSums!A36</f>
        <v>North Dakota</v>
      </c>
      <c r="B36" s="34" t="s">
        <v>3265</v>
      </c>
      <c r="C36" s="25" t="str">
        <f t="array" ref="C36">INDEX(State_EMM_RowSums!C$1:AA$1,1,MATCH(MAX(State_EMM_RowSums!C36:AA36),State_EMM_RowSums!C36:AA36,0))</f>
        <v>SPPN</v>
      </c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</row>
    <row r="37">
      <c r="A37" s="25" t="str">
        <f>State_EMM_RowSums!A37</f>
        <v>Ohio</v>
      </c>
      <c r="B37" s="34" t="s">
        <v>3297</v>
      </c>
      <c r="C37" s="25" t="str">
        <f t="array" ref="C37">INDEX(State_EMM_RowSums!C$1:AA$1,1,MATCH(MAX(State_EMM_RowSums!C37:AA37),State_EMM_RowSums!C37:AA37,0))</f>
        <v>PJMW</v>
      </c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</row>
    <row r="38">
      <c r="A38" s="25" t="str">
        <f>State_EMM_RowSums!A38</f>
        <v>Oklahoma</v>
      </c>
      <c r="B38" s="34" t="s">
        <v>3333</v>
      </c>
      <c r="C38" s="25" t="str">
        <f t="array" ref="C38">INDEX(State_EMM_RowSums!C$1:AA$1,1,MATCH(MAX(State_EMM_RowSums!C38:AA38),State_EMM_RowSums!C38:AA38,0))</f>
        <v>SPPS</v>
      </c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</row>
    <row r="39">
      <c r="A39" s="25" t="str">
        <f>State_EMM_RowSums!A39</f>
        <v>Oregon</v>
      </c>
      <c r="B39" s="34" t="s">
        <v>3376</v>
      </c>
      <c r="C39" s="25" t="str">
        <f t="array" ref="C39">INDEX(State_EMM_RowSums!C$1:AA$1,1,MATCH(MAX(State_EMM_RowSums!C39:AA39),State_EMM_RowSums!C39:AA39,0))</f>
        <v>NWPP</v>
      </c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</row>
    <row r="40">
      <c r="A40" s="25" t="str">
        <f>State_EMM_RowSums!A40</f>
        <v>Pennsylvania</v>
      </c>
      <c r="B40" s="34" t="s">
        <v>3393</v>
      </c>
      <c r="C40" s="25" t="str">
        <f t="array" ref="C40">INDEX(State_EMM_RowSums!C$1:AA$1,1,MATCH(MAX(State_EMM_RowSums!C40:AA40),State_EMM_RowSums!C40:AA40,0))</f>
        <v>PJME</v>
      </c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</row>
    <row r="41">
      <c r="A41" s="25" t="str">
        <f>State_EMM_RowSums!A41</f>
        <v>Rhode Island</v>
      </c>
      <c r="B41" s="34" t="s">
        <v>3427</v>
      </c>
      <c r="C41" s="25" t="str">
        <f t="array" ref="C41">INDEX(State_EMM_RowSums!C$1:AA$1,1,MATCH(MAX(State_EMM_RowSums!C41:AA41),State_EMM_RowSums!C41:AA41,0))</f>
        <v>ISNE</v>
      </c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</row>
    <row r="42">
      <c r="A42" s="25" t="str">
        <f>State_EMM_RowSums!A42</f>
        <v>South Carolina</v>
      </c>
      <c r="B42" s="34" t="s">
        <v>3430</v>
      </c>
      <c r="C42" s="25" t="str">
        <f t="array" ref="C42">INDEX(State_EMM_RowSums!C$1:AA$1,1,MATCH(MAX(State_EMM_RowSums!C42:AA42),State_EMM_RowSums!C42:AA42,0))</f>
        <v>SRCA</v>
      </c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</row>
    <row r="43">
      <c r="A43" s="25" t="str">
        <f>State_EMM_RowSums!A43</f>
        <v>South Dakota</v>
      </c>
      <c r="B43" s="34" t="s">
        <v>3458</v>
      </c>
      <c r="C43" s="25" t="str">
        <f t="array" ref="C43">INDEX(State_EMM_RowSums!C$1:AA$1,1,MATCH(MAX(State_EMM_RowSums!C43:AA43),State_EMM_RowSums!C43:AA43,0))</f>
        <v>SPPN</v>
      </c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</row>
    <row r="44">
      <c r="A44" s="25" t="str">
        <f>State_EMM_RowSums!A44</f>
        <v>Tennessee</v>
      </c>
      <c r="B44" s="34" t="s">
        <v>3497</v>
      </c>
      <c r="C44" s="25" t="str">
        <f t="array" ref="C44">INDEX(State_EMM_RowSums!C$1:AA$1,1,MATCH(MAX(State_EMM_RowSums!C44:AA44),State_EMM_RowSums!C44:AA44,0))</f>
        <v>SRCE</v>
      </c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</row>
    <row r="45">
      <c r="A45" s="25" t="str">
        <f>State_EMM_RowSums!A45</f>
        <v>Texas</v>
      </c>
      <c r="B45" s="34" t="s">
        <v>3524</v>
      </c>
      <c r="C45" s="25" t="str">
        <f t="array" ref="C45">INDEX(State_EMM_RowSums!C$1:AA$1,1,MATCH(MAX(State_EMM_RowSums!C45:AA45),State_EMM_RowSums!C45:AA45,0))</f>
        <v>TRE</v>
      </c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</row>
    <row r="46">
      <c r="A46" s="25" t="str">
        <f>State_EMM_RowSums!A46</f>
        <v>Utah</v>
      </c>
      <c r="B46" s="34" t="s">
        <v>3687</v>
      </c>
      <c r="C46" s="25" t="str">
        <f t="array" ref="C46">INDEX(State_EMM_RowSums!C$1:AA$1,1,MATCH(MAX(State_EMM_RowSums!C46:AA46),State_EMM_RowSums!C46:AA46,0))</f>
        <v>BASN</v>
      </c>
      <c r="D46" s="25"/>
      <c r="E46" s="25"/>
      <c r="F46" s="25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  <c r="AA46" s="25"/>
    </row>
    <row r="47">
      <c r="A47" s="25" t="str">
        <f>State_EMM_RowSums!A47</f>
        <v>Vermont</v>
      </c>
      <c r="B47" s="34" t="s">
        <v>3704</v>
      </c>
      <c r="C47" s="25" t="str">
        <f t="array" ref="C47">INDEX(State_EMM_RowSums!C$1:AA$1,1,MATCH(MAX(State_EMM_RowSums!C47:AA47),State_EMM_RowSums!C47:AA47,0))</f>
        <v>ISNE</v>
      </c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  <c r="AA47" s="25"/>
    </row>
    <row r="48">
      <c r="A48" s="25" t="str">
        <f>State_EMM_RowSums!A48</f>
        <v>Virginia</v>
      </c>
      <c r="B48" s="34" t="s">
        <v>3713</v>
      </c>
      <c r="C48" s="25" t="str">
        <f t="array" ref="C48">INDEX(State_EMM_RowSums!C$1:AA$1,1,MATCH(MAX(State_EMM_RowSums!C48:AA48),State_EMM_RowSums!C48:AA48,0))</f>
        <v>PJMD</v>
      </c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</row>
    <row r="49">
      <c r="A49" s="25" t="str">
        <f>State_EMM_RowSums!A49</f>
        <v>Washington</v>
      </c>
      <c r="B49" s="34" t="s">
        <v>3797</v>
      </c>
      <c r="C49" s="25" t="str">
        <f t="array" ref="C49">INDEX(State_EMM_RowSums!C$1:AA$1,1,MATCH(MAX(State_EMM_RowSums!C49:AA49),State_EMM_RowSums!C49:AA49,0))</f>
        <v>NWPP</v>
      </c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</row>
    <row r="50">
      <c r="A50" s="25" t="str">
        <f>State_EMM_RowSums!A50</f>
        <v>West Virginia</v>
      </c>
      <c r="B50" s="34" t="s">
        <v>3820</v>
      </c>
      <c r="C50" s="25" t="str">
        <f t="array" ref="C50">INDEX(State_EMM_RowSums!C$1:AA$1,1,MATCH(MAX(State_EMM_RowSums!C50:AA50),State_EMM_RowSums!C50:AA50,0))</f>
        <v>PJMW</v>
      </c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</row>
    <row r="51">
      <c r="A51" s="25" t="str">
        <f>State_EMM_RowSums!A51</f>
        <v>Wisconsin</v>
      </c>
      <c r="B51" s="34" t="s">
        <v>3838</v>
      </c>
      <c r="C51" s="25" t="str">
        <f t="array" ref="C51">INDEX(State_EMM_RowSums!C$1:AA$1,1,MATCH(MAX(State_EMM_RowSums!C51:AA51),State_EMM_RowSums!C51:AA51,0))</f>
        <v>MISW</v>
      </c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</row>
    <row r="52">
      <c r="A52" s="25" t="str">
        <f>State_EMM_RowSums!A52</f>
        <v>Wyoming</v>
      </c>
      <c r="B52" s="34" t="s">
        <v>3874</v>
      </c>
      <c r="C52" s="25" t="str">
        <f t="array" ref="C52">INDEX(State_EMM_RowSums!C$1:AA$1,1,MATCH(MAX(State_EMM_RowSums!C52:AA52),State_EMM_RowSums!C52:AA52,0))</f>
        <v>BASN</v>
      </c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</row>
    <row r="53">
      <c r="A53" s="25"/>
      <c r="B53" s="25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</row>
    <row r="54">
      <c r="A54" s="25"/>
      <c r="B54" s="25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</row>
    <row r="55">
      <c r="A55" s="25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</row>
    <row r="56">
      <c r="A56" s="25"/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</row>
    <row r="57">
      <c r="A57" s="25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</row>
    <row r="58">
      <c r="A58" s="25"/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</row>
    <row r="59">
      <c r="A59" s="25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</row>
    <row r="60">
      <c r="A60" s="25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</row>
    <row r="61">
      <c r="A61" s="25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</row>
    <row r="62">
      <c r="A62" s="25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</row>
    <row r="63">
      <c r="A63" s="25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</row>
    <row r="64">
      <c r="A64" s="25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</row>
    <row r="65">
      <c r="A65" s="25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</row>
    <row r="66">
      <c r="A66" s="25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</row>
    <row r="67">
      <c r="A67" s="2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</row>
    <row r="68">
      <c r="A68" s="25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</row>
    <row r="69">
      <c r="A69" s="25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</row>
    <row r="70">
      <c r="A70" s="25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</row>
    <row r="71">
      <c r="A71" s="2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</row>
    <row r="72">
      <c r="A72" s="2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</row>
    <row r="73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</row>
    <row r="74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</row>
    <row r="75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</row>
    <row r="76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</row>
    <row r="77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</row>
    <row r="78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</row>
    <row r="79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</row>
    <row r="80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</row>
    <row r="81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</row>
    <row r="82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</row>
    <row r="83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</row>
    <row r="84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</row>
    <row r="85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</row>
    <row r="86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</row>
    <row r="87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</row>
    <row r="88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</row>
    <row r="89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</row>
    <row r="90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</row>
    <row r="91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</row>
    <row r="92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</row>
    <row r="93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</row>
    <row r="94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</row>
    <row r="95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</row>
    <row r="96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</row>
    <row r="97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</row>
    <row r="98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</row>
    <row r="99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</row>
    <row r="100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</row>
    <row r="101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</row>
    <row r="102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</row>
    <row r="103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</row>
    <row r="104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</row>
    <row r="105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</row>
    <row r="106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</row>
    <row r="107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</row>
    <row r="108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</row>
    <row r="109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</row>
    <row r="110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</row>
    <row r="111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</row>
    <row r="112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</row>
    <row r="113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</row>
    <row r="114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</row>
    <row r="115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</row>
    <row r="116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</row>
    <row r="117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</row>
    <row r="118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</row>
    <row r="119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</row>
    <row r="120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</row>
    <row r="121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</row>
    <row r="122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</row>
    <row r="123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</row>
    <row r="124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</row>
    <row r="125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</row>
    <row r="126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</row>
    <row r="127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</row>
    <row r="128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</row>
    <row r="129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</row>
    <row r="130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</row>
    <row r="131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</row>
    <row r="132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</row>
    <row r="133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</row>
    <row r="134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</row>
    <row r="135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</row>
    <row r="136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</row>
    <row r="137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</row>
    <row r="138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</row>
    <row r="139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</row>
    <row r="140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</row>
    <row r="14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</row>
    <row r="142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</row>
    <row r="143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</row>
    <row r="144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</row>
    <row r="145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</row>
    <row r="146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</row>
    <row r="147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</row>
    <row r="148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</row>
    <row r="149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</row>
    <row r="150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</row>
    <row r="15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</row>
    <row r="152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</row>
    <row r="153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</row>
    <row r="154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</row>
    <row r="155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</row>
    <row r="156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</row>
    <row r="157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</row>
    <row r="158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</row>
    <row r="159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</row>
    <row r="160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</row>
    <row r="161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</row>
    <row r="162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</row>
    <row r="163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</row>
    <row r="164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</row>
    <row r="165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</row>
    <row r="166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</row>
    <row r="167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</row>
    <row r="168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</row>
    <row r="169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</row>
    <row r="170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</row>
    <row r="171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</row>
    <row r="172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</row>
    <row r="173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</row>
    <row r="174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</row>
    <row r="175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</row>
    <row r="176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</row>
    <row r="177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</row>
    <row r="178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</row>
    <row r="179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</row>
    <row r="180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</row>
    <row r="181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</row>
    <row r="182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</row>
    <row r="183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</row>
    <row r="184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</row>
    <row r="185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</row>
    <row r="186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</row>
    <row r="187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</row>
    <row r="188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</row>
    <row r="189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</row>
    <row r="190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</row>
    <row r="191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</row>
    <row r="192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</row>
    <row r="193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</row>
    <row r="194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</row>
    <row r="195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</row>
    <row r="196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</row>
    <row r="197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</row>
    <row r="198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</row>
    <row r="199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</row>
    <row r="200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</row>
    <row r="201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</row>
    <row r="202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</row>
    <row r="203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</row>
    <row r="204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</row>
    <row r="205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</row>
    <row r="206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</row>
    <row r="207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</row>
    <row r="208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</row>
    <row r="209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</row>
    <row r="210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</row>
    <row r="211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</row>
    <row r="212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</row>
    <row r="213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</row>
    <row r="214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</row>
    <row r="215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</row>
    <row r="216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</row>
    <row r="217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</row>
    <row r="218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</row>
    <row r="219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</row>
    <row r="220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</row>
    <row r="22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</row>
    <row r="222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</row>
    <row r="223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</row>
    <row r="224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</row>
    <row r="225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</row>
    <row r="226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</row>
    <row r="227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</row>
    <row r="228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</row>
    <row r="229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</row>
    <row r="230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</row>
    <row r="23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</row>
    <row r="232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</row>
    <row r="233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</row>
    <row r="234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</row>
    <row r="235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</row>
    <row r="236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</row>
    <row r="237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</row>
    <row r="238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</row>
    <row r="239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</row>
    <row r="240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</row>
    <row r="24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</row>
    <row r="242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</row>
    <row r="243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</row>
    <row r="244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</row>
    <row r="245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</row>
    <row r="246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</row>
    <row r="247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</row>
    <row r="248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</row>
    <row r="249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</row>
    <row r="250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</row>
    <row r="25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</row>
    <row r="252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</row>
    <row r="253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</row>
    <row r="254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</row>
    <row r="255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</row>
    <row r="256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</row>
    <row r="257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</row>
    <row r="258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</row>
    <row r="259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</row>
    <row r="260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</row>
    <row r="26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</row>
    <row r="262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</row>
    <row r="263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</row>
    <row r="264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</row>
    <row r="265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</row>
    <row r="266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</row>
    <row r="267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</row>
    <row r="268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</row>
    <row r="269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</row>
    <row r="270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</row>
    <row r="27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</row>
    <row r="272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</row>
    <row r="273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</row>
    <row r="274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</row>
    <row r="275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</row>
    <row r="276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</row>
    <row r="277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</row>
    <row r="278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</row>
    <row r="279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</row>
    <row r="280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</row>
    <row r="28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</row>
    <row r="282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</row>
    <row r="283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</row>
    <row r="284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</row>
    <row r="285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</row>
    <row r="286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</row>
    <row r="287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</row>
    <row r="288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</row>
    <row r="289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</row>
    <row r="290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</row>
    <row r="29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</row>
    <row r="292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</row>
    <row r="293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</row>
    <row r="294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</row>
    <row r="295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</row>
    <row r="296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</row>
    <row r="297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</row>
    <row r="298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</row>
    <row r="299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</row>
    <row r="300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</row>
    <row r="30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</row>
    <row r="302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</row>
    <row r="303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</row>
    <row r="304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</row>
    <row r="305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</row>
    <row r="306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</row>
    <row r="307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</row>
    <row r="308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</row>
    <row r="309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</row>
    <row r="310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</row>
    <row r="31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</row>
    <row r="312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</row>
    <row r="313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</row>
    <row r="314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</row>
    <row r="315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</row>
    <row r="316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</row>
    <row r="317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</row>
    <row r="318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</row>
    <row r="319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</row>
    <row r="320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</row>
    <row r="32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</row>
    <row r="322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</row>
    <row r="323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</row>
    <row r="324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</row>
    <row r="325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</row>
    <row r="326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</row>
    <row r="327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</row>
    <row r="328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</row>
    <row r="329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</row>
    <row r="330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</row>
    <row r="33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</row>
    <row r="332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</row>
    <row r="333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</row>
    <row r="334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</row>
    <row r="335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</row>
    <row r="336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</row>
    <row r="337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</row>
    <row r="338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</row>
    <row r="339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</row>
    <row r="340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</row>
    <row r="34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</row>
    <row r="342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</row>
    <row r="343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</row>
    <row r="344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</row>
    <row r="345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</row>
    <row r="346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</row>
    <row r="347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</row>
    <row r="348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</row>
    <row r="349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</row>
    <row r="350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</row>
    <row r="35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</row>
    <row r="352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</row>
    <row r="353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</row>
    <row r="354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</row>
    <row r="355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</row>
    <row r="356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</row>
    <row r="357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</row>
    <row r="358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</row>
    <row r="359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</row>
    <row r="360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</row>
    <row r="36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</row>
    <row r="362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</row>
    <row r="363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</row>
    <row r="364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</row>
    <row r="365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</row>
    <row r="366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</row>
    <row r="367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</row>
    <row r="368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</row>
    <row r="369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</row>
    <row r="370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</row>
    <row r="37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</row>
    <row r="372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</row>
    <row r="373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</row>
    <row r="374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</row>
    <row r="375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</row>
    <row r="376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</row>
    <row r="377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</row>
    <row r="378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</row>
    <row r="379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</row>
    <row r="380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</row>
    <row r="38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</row>
    <row r="382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</row>
    <row r="383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</row>
    <row r="384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</row>
    <row r="385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</row>
    <row r="386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</row>
    <row r="387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</row>
    <row r="388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</row>
    <row r="389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</row>
    <row r="390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</row>
    <row r="39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</row>
    <row r="392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</row>
    <row r="393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</row>
    <row r="394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</row>
    <row r="395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</row>
    <row r="396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</row>
    <row r="397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</row>
    <row r="398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</row>
    <row r="399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</row>
    <row r="400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</row>
    <row r="40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</row>
    <row r="402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</row>
    <row r="403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</row>
    <row r="404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</row>
    <row r="405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</row>
    <row r="406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</row>
    <row r="407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</row>
    <row r="408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</row>
    <row r="409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</row>
    <row r="410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</row>
    <row r="41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</row>
    <row r="412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</row>
    <row r="413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</row>
    <row r="414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</row>
    <row r="415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</row>
    <row r="416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</row>
    <row r="417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</row>
    <row r="418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</row>
    <row r="419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</row>
    <row r="420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</row>
    <row r="42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</row>
    <row r="422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</row>
    <row r="423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</row>
    <row r="424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</row>
    <row r="425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</row>
    <row r="426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</row>
    <row r="427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</row>
    <row r="428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</row>
    <row r="429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</row>
    <row r="430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</row>
    <row r="43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</row>
    <row r="432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</row>
    <row r="433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</row>
    <row r="434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</row>
    <row r="435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</row>
    <row r="436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</row>
    <row r="437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</row>
    <row r="438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</row>
    <row r="439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</row>
    <row r="440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</row>
    <row r="44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</row>
    <row r="442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</row>
    <row r="443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</row>
    <row r="444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</row>
    <row r="445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</row>
    <row r="446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</row>
    <row r="447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</row>
    <row r="448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</row>
    <row r="449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</row>
    <row r="450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</row>
    <row r="45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</row>
    <row r="452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</row>
    <row r="453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</row>
    <row r="454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</row>
    <row r="455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</row>
    <row r="456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</row>
    <row r="457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</row>
    <row r="458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</row>
    <row r="459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</row>
    <row r="460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</row>
    <row r="46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</row>
    <row r="462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</row>
    <row r="463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</row>
    <row r="464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</row>
    <row r="465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</row>
    <row r="466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</row>
    <row r="467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</row>
    <row r="468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</row>
    <row r="469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</row>
    <row r="470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</row>
    <row r="47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</row>
    <row r="472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</row>
    <row r="473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</row>
    <row r="474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</row>
    <row r="475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</row>
    <row r="476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</row>
    <row r="477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</row>
    <row r="478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</row>
    <row r="479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</row>
    <row r="480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</row>
    <row r="48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</row>
    <row r="482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</row>
    <row r="483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</row>
    <row r="484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</row>
    <row r="485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</row>
    <row r="486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</row>
    <row r="487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</row>
    <row r="488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</row>
    <row r="489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</row>
    <row r="490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</row>
    <row r="49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</row>
    <row r="492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</row>
    <row r="493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</row>
    <row r="494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</row>
    <row r="495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</row>
    <row r="496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</row>
    <row r="497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</row>
    <row r="498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</row>
    <row r="499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</row>
    <row r="500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</row>
    <row r="50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</row>
    <row r="502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</row>
    <row r="503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</row>
    <row r="504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</row>
    <row r="505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</row>
    <row r="506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</row>
    <row r="507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</row>
    <row r="508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</row>
    <row r="509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</row>
    <row r="510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</row>
    <row r="51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</row>
    <row r="512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</row>
    <row r="513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</row>
    <row r="514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</row>
    <row r="515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</row>
    <row r="516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</row>
    <row r="517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</row>
    <row r="518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</row>
    <row r="519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</row>
    <row r="520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</row>
    <row r="52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</row>
    <row r="522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</row>
    <row r="523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</row>
    <row r="524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</row>
    <row r="525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</row>
    <row r="526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</row>
    <row r="527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</row>
    <row r="528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</row>
    <row r="529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</row>
    <row r="530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</row>
    <row r="53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</row>
    <row r="532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</row>
    <row r="533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</row>
    <row r="534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</row>
    <row r="535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</row>
    <row r="536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</row>
    <row r="537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</row>
    <row r="538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</row>
    <row r="539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</row>
    <row r="540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</row>
    <row r="54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</row>
    <row r="542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</row>
    <row r="543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</row>
    <row r="544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</row>
    <row r="545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</row>
    <row r="546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</row>
    <row r="547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</row>
    <row r="548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</row>
    <row r="549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</row>
    <row r="550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</row>
    <row r="55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</row>
    <row r="552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</row>
    <row r="553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</row>
    <row r="554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</row>
    <row r="555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</row>
    <row r="556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</row>
    <row r="557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</row>
    <row r="558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</row>
    <row r="559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</row>
    <row r="560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</row>
    <row r="56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</row>
    <row r="562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</row>
    <row r="563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</row>
    <row r="564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</row>
    <row r="565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</row>
    <row r="566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</row>
    <row r="567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</row>
    <row r="568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</row>
    <row r="569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</row>
    <row r="570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</row>
    <row r="57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</row>
    <row r="572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</row>
    <row r="573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</row>
    <row r="574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</row>
    <row r="575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</row>
    <row r="576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</row>
    <row r="577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</row>
    <row r="578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</row>
    <row r="579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</row>
    <row r="580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</row>
    <row r="58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</row>
    <row r="582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</row>
    <row r="583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</row>
    <row r="584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</row>
    <row r="585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</row>
    <row r="586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</row>
    <row r="587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</row>
    <row r="588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</row>
    <row r="589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</row>
    <row r="590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</row>
    <row r="59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</row>
    <row r="592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</row>
    <row r="593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</row>
    <row r="594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</row>
    <row r="595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</row>
    <row r="596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</row>
    <row r="597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</row>
    <row r="598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</row>
    <row r="599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</row>
    <row r="600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</row>
    <row r="60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</row>
    <row r="602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</row>
    <row r="603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</row>
    <row r="604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</row>
    <row r="605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</row>
    <row r="606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</row>
    <row r="607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</row>
    <row r="608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</row>
    <row r="609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</row>
    <row r="610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</row>
    <row r="61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</row>
    <row r="612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</row>
    <row r="613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</row>
    <row r="614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</row>
    <row r="615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</row>
    <row r="616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</row>
    <row r="617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</row>
    <row r="618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</row>
    <row r="619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</row>
    <row r="620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</row>
    <row r="62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</row>
    <row r="622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</row>
    <row r="623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</row>
    <row r="624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</row>
    <row r="625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</row>
    <row r="626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</row>
    <row r="627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</row>
    <row r="628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</row>
    <row r="629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</row>
    <row r="630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</row>
    <row r="63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</row>
    <row r="632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</row>
    <row r="633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</row>
    <row r="634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</row>
    <row r="635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</row>
    <row r="636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</row>
    <row r="637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</row>
    <row r="638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</row>
    <row r="639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</row>
    <row r="640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</row>
    <row r="64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</row>
    <row r="642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</row>
    <row r="643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</row>
    <row r="644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</row>
    <row r="645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</row>
    <row r="646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</row>
    <row r="647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</row>
    <row r="648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</row>
    <row r="649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</row>
    <row r="650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</row>
    <row r="65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</row>
    <row r="652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</row>
    <row r="653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</row>
    <row r="654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</row>
    <row r="655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</row>
    <row r="656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</row>
    <row r="657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</row>
    <row r="658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</row>
    <row r="659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</row>
    <row r="660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</row>
    <row r="66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</row>
    <row r="662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</row>
    <row r="663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</row>
    <row r="664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</row>
    <row r="665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</row>
    <row r="666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</row>
    <row r="667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</row>
    <row r="668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</row>
    <row r="669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</row>
    <row r="670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</row>
    <row r="67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</row>
    <row r="672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</row>
    <row r="673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</row>
    <row r="674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</row>
    <row r="675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</row>
    <row r="676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</row>
    <row r="677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</row>
    <row r="678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</row>
    <row r="679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</row>
    <row r="680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</row>
    <row r="68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</row>
    <row r="682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</row>
    <row r="683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</row>
    <row r="684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</row>
    <row r="685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</row>
    <row r="686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</row>
    <row r="687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</row>
    <row r="688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</row>
    <row r="689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</row>
    <row r="690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</row>
    <row r="69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</row>
    <row r="692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</row>
    <row r="693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</row>
    <row r="694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</row>
    <row r="695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</row>
    <row r="696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</row>
    <row r="697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</row>
    <row r="698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</row>
    <row r="699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</row>
    <row r="700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</row>
    <row r="70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</row>
    <row r="702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</row>
    <row r="703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</row>
    <row r="704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</row>
    <row r="705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</row>
    <row r="706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</row>
    <row r="707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</row>
    <row r="708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</row>
    <row r="709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</row>
    <row r="710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</row>
    <row r="71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</row>
    <row r="712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</row>
    <row r="713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</row>
    <row r="714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</row>
    <row r="715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</row>
    <row r="716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</row>
    <row r="717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</row>
    <row r="718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</row>
    <row r="719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</row>
    <row r="720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</row>
    <row r="72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</row>
    <row r="722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</row>
    <row r="723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</row>
    <row r="724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</row>
    <row r="725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</row>
    <row r="726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</row>
    <row r="727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</row>
    <row r="728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</row>
    <row r="729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</row>
    <row r="730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</row>
    <row r="73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</row>
    <row r="732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</row>
    <row r="733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</row>
    <row r="734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</row>
    <row r="735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</row>
    <row r="736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</row>
    <row r="737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</row>
    <row r="738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</row>
    <row r="739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</row>
    <row r="740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</row>
    <row r="74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</row>
    <row r="742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</row>
    <row r="743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</row>
    <row r="744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</row>
    <row r="745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</row>
    <row r="746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</row>
    <row r="747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</row>
    <row r="748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</row>
    <row r="749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</row>
    <row r="750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</row>
    <row r="75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</row>
    <row r="752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</row>
    <row r="753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</row>
    <row r="754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</row>
    <row r="755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</row>
    <row r="756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</row>
    <row r="757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</row>
    <row r="758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</row>
    <row r="759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</row>
    <row r="760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</row>
    <row r="76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</row>
    <row r="762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</row>
    <row r="763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</row>
    <row r="764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</row>
    <row r="765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</row>
    <row r="766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</row>
    <row r="767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</row>
    <row r="768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</row>
    <row r="769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</row>
    <row r="770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</row>
    <row r="77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</row>
    <row r="772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</row>
    <row r="773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</row>
    <row r="774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</row>
    <row r="775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</row>
    <row r="776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</row>
    <row r="777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</row>
    <row r="778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</row>
    <row r="779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</row>
    <row r="780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</row>
    <row r="78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</row>
    <row r="782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</row>
    <row r="783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</row>
    <row r="784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</row>
    <row r="785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</row>
    <row r="786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</row>
    <row r="787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</row>
    <row r="788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</row>
    <row r="789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</row>
    <row r="790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</row>
    <row r="79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</row>
    <row r="792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</row>
    <row r="793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</row>
    <row r="794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</row>
    <row r="795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</row>
    <row r="796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</row>
    <row r="797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</row>
    <row r="798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</row>
    <row r="799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</row>
    <row r="800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</row>
    <row r="80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</row>
    <row r="802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</row>
    <row r="803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</row>
    <row r="804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</row>
    <row r="805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</row>
    <row r="806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</row>
    <row r="807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</row>
    <row r="808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</row>
    <row r="809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</row>
    <row r="810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</row>
    <row r="81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</row>
    <row r="812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</row>
    <row r="813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</row>
    <row r="814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</row>
    <row r="815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</row>
    <row r="816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</row>
    <row r="817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</row>
    <row r="818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</row>
    <row r="819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</row>
    <row r="820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</row>
    <row r="82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</row>
    <row r="822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</row>
    <row r="823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</row>
    <row r="824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</row>
    <row r="825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</row>
    <row r="826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</row>
    <row r="827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</row>
    <row r="828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</row>
    <row r="829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</row>
    <row r="830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</row>
    <row r="83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</row>
    <row r="832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</row>
    <row r="833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</row>
    <row r="834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</row>
    <row r="835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</row>
    <row r="836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</row>
    <row r="837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</row>
    <row r="838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</row>
    <row r="839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</row>
    <row r="840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</row>
    <row r="84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</row>
    <row r="842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</row>
    <row r="843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</row>
    <row r="844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</row>
    <row r="845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</row>
    <row r="846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</row>
    <row r="847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</row>
    <row r="848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</row>
    <row r="849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</row>
    <row r="850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</row>
    <row r="85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</row>
    <row r="852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</row>
    <row r="853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</row>
    <row r="854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</row>
    <row r="855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</row>
    <row r="856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</row>
    <row r="857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</row>
    <row r="858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</row>
    <row r="859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</row>
    <row r="860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</row>
    <row r="86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</row>
    <row r="862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</row>
    <row r="863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</row>
    <row r="864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</row>
    <row r="865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</row>
    <row r="866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</row>
    <row r="867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</row>
    <row r="868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</row>
    <row r="869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</row>
    <row r="870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</row>
    <row r="87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</row>
    <row r="872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</row>
    <row r="873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</row>
    <row r="874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</row>
    <row r="875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</row>
    <row r="876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</row>
    <row r="877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</row>
    <row r="878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</row>
    <row r="879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</row>
    <row r="880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</row>
    <row r="88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</row>
    <row r="882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</row>
    <row r="883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</row>
    <row r="884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</row>
    <row r="885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</row>
    <row r="886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</row>
    <row r="887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</row>
    <row r="888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</row>
    <row r="889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</row>
    <row r="890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</row>
    <row r="89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</row>
    <row r="892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</row>
    <row r="893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</row>
    <row r="894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</row>
    <row r="895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</row>
    <row r="896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</row>
    <row r="897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</row>
    <row r="898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</row>
    <row r="899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</row>
    <row r="900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</row>
    <row r="90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</row>
    <row r="902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</row>
    <row r="903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</row>
    <row r="904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</row>
    <row r="905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</row>
    <row r="906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</row>
    <row r="907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</row>
    <row r="908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</row>
    <row r="909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</row>
    <row r="910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</row>
    <row r="91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</row>
    <row r="912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</row>
    <row r="913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</row>
    <row r="914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</row>
    <row r="915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</row>
    <row r="916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</row>
    <row r="917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</row>
    <row r="918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</row>
    <row r="919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</row>
    <row r="920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</row>
    <row r="92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</row>
    <row r="922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</row>
    <row r="923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</row>
    <row r="924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</row>
    <row r="925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</row>
    <row r="926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</row>
    <row r="927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</row>
    <row r="928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</row>
    <row r="929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</row>
    <row r="930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</row>
    <row r="93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</row>
    <row r="932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</row>
    <row r="933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</row>
    <row r="934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</row>
    <row r="935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</row>
    <row r="936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</row>
    <row r="937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</row>
    <row r="938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</row>
    <row r="939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</row>
    <row r="940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</row>
    <row r="94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</row>
    <row r="942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</row>
    <row r="943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</row>
    <row r="944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</row>
    <row r="945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</row>
    <row r="946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</row>
    <row r="947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</row>
    <row r="948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</row>
    <row r="949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</row>
    <row r="950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</row>
    <row r="95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</row>
    <row r="952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</row>
    <row r="953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</row>
    <row r="954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</row>
    <row r="955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</row>
    <row r="956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</row>
    <row r="957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</row>
    <row r="958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</row>
    <row r="959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</row>
    <row r="960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</row>
    <row r="96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</row>
    <row r="962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</row>
    <row r="963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</row>
    <row r="964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</row>
    <row r="965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</row>
    <row r="966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</row>
    <row r="967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</row>
    <row r="968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</row>
    <row r="969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</row>
    <row r="970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</row>
    <row r="97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</row>
    <row r="972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</row>
    <row r="973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</row>
    <row r="974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</row>
    <row r="975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</row>
    <row r="976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</row>
    <row r="977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</row>
    <row r="978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</row>
    <row r="979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</row>
    <row r="980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</row>
    <row r="98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</row>
    <row r="982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</row>
    <row r="983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</row>
    <row r="984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</row>
    <row r="985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</row>
    <row r="986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</row>
    <row r="987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</row>
    <row r="988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</row>
    <row r="989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</row>
    <row r="990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</row>
    <row r="99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</row>
    <row r="992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</row>
    <row r="993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</row>
    <row r="994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</row>
    <row r="995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</row>
    <row r="996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</row>
    <row r="997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</row>
    <row r="998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</row>
    <row r="999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</row>
    <row r="1000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</row>
  </sheetData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2" max="2" width="13.63"/>
    <col customWidth="1" min="3" max="3" width="15.25"/>
  </cols>
  <sheetData>
    <row r="1">
      <c r="A1" s="84" t="s">
        <v>35</v>
      </c>
      <c r="B1" s="84" t="s">
        <v>4278</v>
      </c>
      <c r="C1" s="84" t="s">
        <v>4279</v>
      </c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</row>
    <row r="2">
      <c r="A2" s="85" t="s">
        <v>4010</v>
      </c>
      <c r="B2" s="86">
        <f>IFERROR(__xludf.DUMMYFUNCTION("sum(filter(
Master_Mapping_Sheet!$E$2:$E$3143, ISNUMBER(
Master_Mapping_Sheet!$E$2:$E$3143),
Master_Mapping_Sheet!$H$2:$H$3143=A2))"),2.6359041E7)</f>
        <v>26359041</v>
      </c>
      <c r="C2" s="87">
        <f t="shared" ref="C2:C26" si="1">B2/SUM(B$2:B$26)</f>
        <v>0.07921929335</v>
      </c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</row>
    <row r="3">
      <c r="A3" s="85" t="s">
        <v>3989</v>
      </c>
      <c r="B3" s="86">
        <f>IFERROR(__xludf.DUMMYFUNCTION("sum(filter(
Master_Mapping_Sheet!$E$2:$E$3143, ISNUMBER(
Master_Mapping_Sheet!$E$2:$E$3143),
Master_Mapping_Sheet!$H$2:$H$3143=A3))"),2.1461718E7)</f>
        <v>21461718</v>
      </c>
      <c r="C3" s="87">
        <f t="shared" si="1"/>
        <v>0.06450091011</v>
      </c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>
      <c r="A4" s="85" t="s">
        <v>3996</v>
      </c>
      <c r="B4" s="86">
        <f>IFERROR(__xludf.DUMMYFUNCTION("sum(filter(
Master_Mapping_Sheet!$E$2:$E$3143, ISNUMBER(
Master_Mapping_Sheet!$E$2:$E$3143),
Master_Mapping_Sheet!$H$2:$H$3143=A4))"),1.4449926E7)</f>
        <v>14449926</v>
      </c>
      <c r="C4" s="87">
        <f t="shared" si="1"/>
        <v>0.04342771525</v>
      </c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</row>
    <row r="5">
      <c r="A5" s="85" t="s">
        <v>3992</v>
      </c>
      <c r="B5" s="86">
        <f>IFERROR(__xludf.DUMMYFUNCTION("sum(filter(
Master_Mapping_Sheet!$E$2:$E$3143, ISNUMBER(
Master_Mapping_Sheet!$E$2:$E$3143),
Master_Mapping_Sheet!$H$2:$H$3143=A5))"),1.1650544E7)</f>
        <v>11650544</v>
      </c>
      <c r="C5" s="87">
        <f t="shared" si="1"/>
        <v>0.03501447047</v>
      </c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</row>
    <row r="6">
      <c r="A6" s="85" t="s">
        <v>4003</v>
      </c>
      <c r="B6" s="86">
        <f>IFERROR(__xludf.DUMMYFUNCTION("sum(filter(
Master_Mapping_Sheet!$E$2:$E$3143, ISNUMBER(
Master_Mapping_Sheet!$E$2:$E$3143),
Master_Mapping_Sheet!$H$2:$H$3143=A6))"),9009405.0)</f>
        <v>9009405</v>
      </c>
      <c r="C6" s="87">
        <f t="shared" si="1"/>
        <v>0.0270768082</v>
      </c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</row>
    <row r="7">
      <c r="A7" s="85" t="s">
        <v>3974</v>
      </c>
      <c r="B7" s="86">
        <f>IFERROR(__xludf.DUMMYFUNCTION("sum(filter(
Master_Mapping_Sheet!$E$2:$E$3143, ISNUMBER(
Master_Mapping_Sheet!$E$2:$E$3143),
Master_Mapping_Sheet!$H$2:$H$3143=A7))"),8975215.0)</f>
        <v>8975215</v>
      </c>
      <c r="C7" s="87">
        <f t="shared" si="1"/>
        <v>0.0269740538</v>
      </c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</row>
    <row r="8">
      <c r="A8" s="85" t="s">
        <v>3985</v>
      </c>
      <c r="B8" s="86">
        <f>IFERROR(__xludf.DUMMYFUNCTION("sum(filter(
Master_Mapping_Sheet!$E$2:$E$3143, ISNUMBER(
Master_Mapping_Sheet!$E$2:$E$3143),
Master_Mapping_Sheet!$H$2:$H$3143=A8))"),1.5148545E7)</f>
        <v>15148545</v>
      </c>
      <c r="C8" s="87">
        <f t="shared" si="1"/>
        <v>0.04552734032</v>
      </c>
      <c r="D8" s="25"/>
      <c r="E8" s="25"/>
      <c r="F8" s="25"/>
      <c r="G8" s="25"/>
      <c r="H8" s="25"/>
      <c r="I8" s="25"/>
      <c r="J8" s="25"/>
      <c r="K8" s="25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</row>
    <row r="9">
      <c r="A9" s="85" t="s">
        <v>4006</v>
      </c>
      <c r="B9" s="86">
        <f>IFERROR(__xludf.DUMMYFUNCTION("sum(filter(
Master_Mapping_Sheet!$E$2:$E$3143, ISNUMBER(
Master_Mapping_Sheet!$E$2:$E$3143),
Master_Mapping_Sheet!$H$2:$H$3143=A9))"),1.166305E7)</f>
        <v>11663050</v>
      </c>
      <c r="C9" s="87">
        <f t="shared" si="1"/>
        <v>0.03505205593</v>
      </c>
      <c r="D9" s="25"/>
      <c r="E9" s="25"/>
      <c r="F9" s="25"/>
      <c r="G9" s="25"/>
      <c r="H9" s="25"/>
      <c r="I9" s="25"/>
      <c r="J9" s="25"/>
      <c r="K9" s="25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</row>
    <row r="10">
      <c r="A10" s="85" t="s">
        <v>4005</v>
      </c>
      <c r="B10" s="86">
        <f>IFERROR(__xludf.DUMMYFUNCTION("sum(filter(
Master_Mapping_Sheet!$E$2:$E$3143, ISNUMBER(
Master_Mapping_Sheet!$E$2:$E$3143),
Master_Mapping_Sheet!$H$2:$H$3143=A10))"),7417479.0)</f>
        <v>7417479</v>
      </c>
      <c r="C10" s="87">
        <f t="shared" si="1"/>
        <v>0.02229244398</v>
      </c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</row>
    <row r="11">
      <c r="A11" s="85" t="s">
        <v>3987</v>
      </c>
      <c r="B11" s="86">
        <f>IFERROR(__xludf.DUMMYFUNCTION("sum(filter(
Master_Mapping_Sheet!$E$2:$E$3143, ISNUMBER(
Master_Mapping_Sheet!$E$2:$E$3143),
Master_Mapping_Sheet!$H$2:$H$3143=A11))"),2.5611983E7)</f>
        <v>25611983</v>
      </c>
      <c r="C11" s="87">
        <f t="shared" si="1"/>
        <v>0.07697409001</v>
      </c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</row>
    <row r="12">
      <c r="A12" s="85" t="s">
        <v>3997</v>
      </c>
      <c r="B12" s="86">
        <f>IFERROR(__xludf.DUMMYFUNCTION("sum(filter(
Master_Mapping_Sheet!$E$2:$E$3143, ISNUMBER(
Master_Mapping_Sheet!$E$2:$E$3143),
Master_Mapping_Sheet!$H$2:$H$3143=A12))"),2.2867598E7)</f>
        <v>22867598</v>
      </c>
      <c r="C12" s="87">
        <f t="shared" si="1"/>
        <v>0.06872613287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</row>
    <row r="13">
      <c r="A13" s="85" t="s">
        <v>3994</v>
      </c>
      <c r="B13" s="86">
        <f>IFERROR(__xludf.DUMMYFUNCTION("sum(filter(
Master_Mapping_Sheet!$E$2:$E$3143, ISNUMBER(
Master_Mapping_Sheet!$E$2:$E$3143),
Master_Mapping_Sheet!$H$2:$H$3143=A13))"),8878015.0)</f>
        <v>8878015</v>
      </c>
      <c r="C13" s="87">
        <f t="shared" si="1"/>
        <v>0.02668192954</v>
      </c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</row>
    <row r="14">
      <c r="A14" s="85" t="s">
        <v>3988</v>
      </c>
      <c r="B14" s="86">
        <f>IFERROR(__xludf.DUMMYFUNCTION("sum(filter(
Master_Mapping_Sheet!$E$2:$E$3143, ISNUMBER(
Master_Mapping_Sheet!$E$2:$E$3143),
Master_Mapping_Sheet!$H$2:$H$3143=A14))"),8698354.0)</f>
        <v>8698354</v>
      </c>
      <c r="C14" s="87">
        <f t="shared" si="1"/>
        <v>0.02614197752</v>
      </c>
      <c r="D14" s="25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</row>
    <row r="15">
      <c r="A15" s="85" t="s">
        <v>4009</v>
      </c>
      <c r="B15" s="86">
        <f>IFERROR(__xludf.DUMMYFUNCTION("sum(filter(
Master_Mapping_Sheet!$E$2:$E$3143, ISNUMBER(
Master_Mapping_Sheet!$E$2:$E$3143),
Master_Mapping_Sheet!$H$2:$H$3143=A15))"),1.5422787E7)</f>
        <v>15422787</v>
      </c>
      <c r="C15" s="87">
        <f t="shared" si="1"/>
        <v>0.04635154548</v>
      </c>
      <c r="D15" s="25"/>
      <c r="E15" s="25"/>
      <c r="F15" s="25"/>
      <c r="G15" s="25"/>
      <c r="H15" s="25"/>
      <c r="I15" s="24"/>
      <c r="J15" s="25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</row>
    <row r="16">
      <c r="A16" s="85" t="s">
        <v>3969</v>
      </c>
      <c r="B16" s="86">
        <f>IFERROR(__xludf.DUMMYFUNCTION("sum(filter(
Master_Mapping_Sheet!$E$2:$E$3143, ISNUMBER(
Master_Mapping_Sheet!$E$2:$E$3143),
Master_Mapping_Sheet!$H$2:$H$3143=A16))"),1.7308267E7)</f>
        <v>17308267</v>
      </c>
      <c r="C16" s="87">
        <f t="shared" si="1"/>
        <v>0.05201815502</v>
      </c>
      <c r="D16" s="25"/>
      <c r="E16" s="25"/>
      <c r="F16" s="25"/>
      <c r="G16" s="25"/>
      <c r="H16" s="25"/>
      <c r="I16" s="24"/>
      <c r="J16" s="25"/>
      <c r="K16" s="25"/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</row>
    <row r="17">
      <c r="A17" s="85" t="s">
        <v>3970</v>
      </c>
      <c r="B17" s="86">
        <f>IFERROR(__xludf.DUMMYFUNCTION("sum(filter(
Master_Mapping_Sheet!$E$2:$E$3143, ISNUMBER(
Master_Mapping_Sheet!$E$2:$E$3143),
Master_Mapping_Sheet!$H$2:$H$3143=A17))"),1.2795595E7)</f>
        <v>12795595</v>
      </c>
      <c r="C17" s="87">
        <f t="shared" si="1"/>
        <v>0.03845579943</v>
      </c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</row>
    <row r="18">
      <c r="A18" s="85" t="s">
        <v>3976</v>
      </c>
      <c r="B18" s="86">
        <f>IFERROR(__xludf.DUMMYFUNCTION("sum(filter(
Master_Mapping_Sheet!$E$2:$E$3143, ISNUMBER(
Master_Mapping_Sheet!$E$2:$E$3143),
Master_Mapping_Sheet!$H$2:$H$3143=A18))"),7703775.0)</f>
        <v>7703775</v>
      </c>
      <c r="C18" s="87">
        <f t="shared" si="1"/>
        <v>0.02315287615</v>
      </c>
      <c r="D18" s="25"/>
      <c r="E18" s="25"/>
      <c r="F18" s="25"/>
      <c r="G18" s="25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</row>
    <row r="19">
      <c r="A19" s="85" t="s">
        <v>4001</v>
      </c>
      <c r="B19" s="86">
        <f>IFERROR(__xludf.DUMMYFUNCTION("sum(filter(
Master_Mapping_Sheet!$E$2:$E$3143, ISNUMBER(
Master_Mapping_Sheet!$E$2:$E$3143),
Master_Mapping_Sheet!$H$2:$H$3143=A19))"),5570236.0)</f>
        <v>5570236</v>
      </c>
      <c r="C19" s="87">
        <f t="shared" si="1"/>
        <v>0.01674075167</v>
      </c>
      <c r="D19" s="25"/>
      <c r="E19" s="25"/>
      <c r="F19" s="25"/>
      <c r="G19" s="25"/>
      <c r="H19" s="25"/>
      <c r="I19" s="25"/>
      <c r="J19" s="25"/>
      <c r="K19" s="25"/>
      <c r="L19" s="25"/>
      <c r="M19" s="25"/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</row>
    <row r="20">
      <c r="A20" s="85" t="s">
        <v>3999</v>
      </c>
      <c r="B20" s="86">
        <f>IFERROR(__xludf.DUMMYFUNCTION("sum(filter(
Master_Mapping_Sheet!$E$2:$E$3143, ISNUMBER(
Master_Mapping_Sheet!$E$2:$E$3143),
Master_Mapping_Sheet!$H$2:$H$3143=A20))"),4376358.0)</f>
        <v>4376358</v>
      </c>
      <c r="C20" s="87">
        <f t="shared" si="1"/>
        <v>0.01315267836</v>
      </c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</row>
    <row r="21">
      <c r="A21" s="85" t="s">
        <v>3972</v>
      </c>
      <c r="B21" s="86">
        <f>IFERROR(__xludf.DUMMYFUNCTION("sum(filter(
Master_Mapping_Sheet!$E$2:$E$3143, ISNUMBER(
Master_Mapping_Sheet!$E$2:$E$3143),
Master_Mapping_Sheet!$H$2:$H$3143=A21))"),1.0206972E7)</f>
        <v>10206972</v>
      </c>
      <c r="C21" s="87">
        <f t="shared" si="1"/>
        <v>0.03067596841</v>
      </c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</row>
    <row r="22">
      <c r="A22" s="85" t="s">
        <v>3979</v>
      </c>
      <c r="B22" s="86">
        <f>IFERROR(__xludf.DUMMYFUNCTION("sum(filter(
Master_Mapping_Sheet!$E$2:$E$3143, ISNUMBER(
Master_Mapping_Sheet!$E$2:$E$3143),
Master_Mapping_Sheet!$H$2:$H$3143=A22))"),1.5667684E7)</f>
        <v>15667684</v>
      </c>
      <c r="C22" s="87">
        <f t="shared" si="1"/>
        <v>0.04708755736</v>
      </c>
      <c r="D22" s="25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</row>
    <row r="23">
      <c r="A23" s="85" t="s">
        <v>3981</v>
      </c>
      <c r="B23" s="86">
        <f>IFERROR(__xludf.DUMMYFUNCTION("sum(filter(
Master_Mapping_Sheet!$E$2:$E$3143, ISNUMBER(
Master_Mapping_Sheet!$E$2:$E$3143),
Master_Mapping_Sheet!$H$2:$H$3143=A23))"),2.3011597E7)</f>
        <v>23011597</v>
      </c>
      <c r="C23" s="87">
        <f t="shared" si="1"/>
        <v>0.06915890655</v>
      </c>
      <c r="D23" s="25"/>
      <c r="E23" s="25"/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</row>
    <row r="24">
      <c r="A24" s="85" t="s">
        <v>3980</v>
      </c>
      <c r="B24" s="86">
        <f>IFERROR(__xludf.DUMMYFUNCTION("sum(filter(
Master_Mapping_Sheet!$E$2:$E$3143, ISNUMBER(
Master_Mapping_Sheet!$E$2:$E$3143),
Master_Mapping_Sheet!$H$2:$H$3143=A24))"),1.361653E7)</f>
        <v>13616530</v>
      </c>
      <c r="C24" s="87">
        <f t="shared" si="1"/>
        <v>0.04092303223</v>
      </c>
      <c r="D24" s="25"/>
      <c r="E24" s="25"/>
      <c r="F24" s="25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</row>
    <row r="25">
      <c r="A25" s="85" t="s">
        <v>3983</v>
      </c>
      <c r="B25" s="86">
        <f>IFERROR(__xludf.DUMMYFUNCTION("sum(filter(
Master_Mapping_Sheet!$E$2:$E$3143, ISNUMBER(
Master_Mapping_Sheet!$E$2:$E$3143),
Master_Mapping_Sheet!$H$2:$H$3143=A25))"),6356270.0)</f>
        <v>6356270</v>
      </c>
      <c r="C25" s="87">
        <f t="shared" si="1"/>
        <v>0.01910309323</v>
      </c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</row>
    <row r="26">
      <c r="A26" s="85" t="s">
        <v>3990</v>
      </c>
      <c r="B26" s="86">
        <f>IFERROR(__xludf.DUMMYFUNCTION("sum(filter(
Master_Mapping_Sheet!$E$2:$E$3143, ISNUMBER(
Master_Mapping_Sheet!$E$2:$E$3143),
Master_Mapping_Sheet!$H$2:$H$3143=A26))"),8508175.0)</f>
        <v>8508175</v>
      </c>
      <c r="C26" s="87">
        <f t="shared" si="1"/>
        <v>0.02557041477</v>
      </c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</row>
    <row r="27">
      <c r="A27" s="25"/>
      <c r="B27" s="25"/>
      <c r="C27" s="25"/>
      <c r="D27" s="25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</row>
    <row r="28">
      <c r="A28" s="25"/>
      <c r="B28" s="25"/>
      <c r="C28" s="25"/>
      <c r="D28" s="25"/>
      <c r="E28" s="25"/>
      <c r="F28" s="25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</row>
    <row r="29">
      <c r="A29" s="25"/>
      <c r="B29" s="25"/>
      <c r="C29" s="25"/>
      <c r="D29" s="25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</row>
    <row r="30">
      <c r="A30" s="25"/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</row>
    <row r="31">
      <c r="A31" s="25"/>
      <c r="B31" s="25"/>
      <c r="C31" s="25"/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</row>
    <row r="32">
      <c r="A32" s="25"/>
      <c r="B32" s="25"/>
      <c r="C32" s="25"/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</row>
    <row r="33">
      <c r="A33" s="25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</row>
    <row r="34">
      <c r="A34" s="25"/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</row>
    <row r="35">
      <c r="A35" s="25"/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</row>
    <row r="36">
      <c r="A36" s="25"/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</row>
    <row r="37">
      <c r="A37" s="25"/>
      <c r="B37" s="25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</row>
    <row r="38">
      <c r="A38" s="25"/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</row>
    <row r="39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</row>
    <row r="40">
      <c r="A40" s="25"/>
      <c r="B40" s="25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</row>
    <row r="4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</row>
    <row r="42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</row>
    <row r="43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</row>
    <row r="44">
      <c r="A44" s="25"/>
      <c r="B44" s="25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</row>
    <row r="45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</row>
    <row r="46">
      <c r="A46" s="25"/>
      <c r="B46" s="25"/>
      <c r="C46" s="25"/>
      <c r="D46" s="25"/>
      <c r="E46" s="25"/>
      <c r="F46" s="25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</row>
    <row r="47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</row>
    <row r="48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</row>
    <row r="49">
      <c r="A49" s="25"/>
      <c r="B49" s="25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</row>
    <row r="50">
      <c r="A50" s="25"/>
      <c r="B50" s="25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</row>
    <row r="51">
      <c r="A51" s="25"/>
      <c r="B51" s="25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</row>
    <row r="52">
      <c r="A52" s="25"/>
      <c r="B52" s="25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</row>
    <row r="53">
      <c r="A53" s="25"/>
      <c r="B53" s="25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</row>
    <row r="54">
      <c r="A54" s="25"/>
      <c r="B54" s="25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</row>
    <row r="55">
      <c r="A55" s="25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</row>
    <row r="56">
      <c r="A56" s="25"/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</row>
    <row r="57">
      <c r="A57" s="25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</row>
    <row r="58">
      <c r="A58" s="25"/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</row>
    <row r="59">
      <c r="A59" s="25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</row>
    <row r="60">
      <c r="A60" s="25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</row>
    <row r="61">
      <c r="A61" s="25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</row>
    <row r="62">
      <c r="A62" s="25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</row>
    <row r="63">
      <c r="A63" s="25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</row>
    <row r="64">
      <c r="A64" s="25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</row>
    <row r="65">
      <c r="A65" s="25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</row>
    <row r="66">
      <c r="A66" s="25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</row>
    <row r="67">
      <c r="A67" s="2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</row>
    <row r="68">
      <c r="A68" s="25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</row>
    <row r="69">
      <c r="A69" s="25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</row>
    <row r="70">
      <c r="A70" s="25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</row>
    <row r="71">
      <c r="A71" s="2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</row>
    <row r="72">
      <c r="A72" s="2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</row>
    <row r="73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</row>
    <row r="74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</row>
    <row r="75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</row>
    <row r="76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</row>
    <row r="77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</row>
    <row r="78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</row>
    <row r="79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</row>
    <row r="80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</row>
    <row r="81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</row>
    <row r="82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</row>
    <row r="83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</row>
    <row r="84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</row>
    <row r="85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</row>
    <row r="86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</row>
    <row r="87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</row>
    <row r="88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</row>
    <row r="89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</row>
    <row r="90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</row>
    <row r="91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</row>
    <row r="92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</row>
    <row r="93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</row>
    <row r="94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</row>
    <row r="95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</row>
    <row r="96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</row>
    <row r="97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</row>
    <row r="98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</row>
    <row r="99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</row>
    <row r="100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</row>
    <row r="101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</row>
    <row r="102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</row>
    <row r="103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</row>
    <row r="104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</row>
    <row r="105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</row>
    <row r="106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</row>
    <row r="107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</row>
    <row r="108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</row>
    <row r="109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</row>
    <row r="110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</row>
    <row r="111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</row>
    <row r="112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</row>
    <row r="113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</row>
    <row r="114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</row>
    <row r="115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</row>
    <row r="116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</row>
    <row r="117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</row>
    <row r="118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</row>
    <row r="119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</row>
    <row r="120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</row>
    <row r="121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</row>
    <row r="122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</row>
    <row r="123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</row>
    <row r="124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</row>
    <row r="125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</row>
    <row r="126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</row>
    <row r="127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</row>
    <row r="128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</row>
    <row r="129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</row>
    <row r="130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</row>
    <row r="131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</row>
    <row r="132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</row>
    <row r="133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</row>
    <row r="134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</row>
    <row r="135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</row>
    <row r="136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</row>
    <row r="137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</row>
    <row r="138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</row>
    <row r="139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</row>
    <row r="140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</row>
    <row r="14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</row>
    <row r="142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</row>
    <row r="143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</row>
    <row r="144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</row>
    <row r="145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</row>
    <row r="146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</row>
    <row r="147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</row>
    <row r="148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</row>
    <row r="149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</row>
    <row r="150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</row>
    <row r="15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</row>
    <row r="152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</row>
    <row r="153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</row>
    <row r="154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</row>
    <row r="155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</row>
    <row r="156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</row>
    <row r="157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</row>
    <row r="158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</row>
    <row r="159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</row>
    <row r="160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</row>
    <row r="161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</row>
    <row r="162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</row>
    <row r="163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</row>
    <row r="164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</row>
    <row r="165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</row>
    <row r="166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</row>
    <row r="167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</row>
    <row r="168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</row>
    <row r="169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</row>
    <row r="170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</row>
    <row r="171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</row>
    <row r="172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</row>
    <row r="173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</row>
    <row r="174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</row>
    <row r="175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</row>
    <row r="176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</row>
    <row r="177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</row>
    <row r="178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</row>
    <row r="179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</row>
    <row r="180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</row>
    <row r="181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</row>
    <row r="182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</row>
    <row r="183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</row>
    <row r="184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</row>
    <row r="185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</row>
    <row r="186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</row>
    <row r="187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</row>
    <row r="188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</row>
    <row r="189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</row>
    <row r="190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</row>
    <row r="191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</row>
    <row r="192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</row>
    <row r="193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</row>
    <row r="194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</row>
    <row r="195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</row>
    <row r="196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</row>
    <row r="197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</row>
    <row r="198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</row>
    <row r="199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</row>
    <row r="200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</row>
    <row r="201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</row>
    <row r="202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</row>
    <row r="203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</row>
    <row r="204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</row>
    <row r="205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</row>
    <row r="206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</row>
    <row r="207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</row>
    <row r="208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</row>
    <row r="209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</row>
    <row r="210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</row>
    <row r="211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</row>
    <row r="212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</row>
    <row r="213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</row>
    <row r="214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</row>
    <row r="215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</row>
    <row r="216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</row>
    <row r="217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</row>
    <row r="218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</row>
    <row r="219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</row>
    <row r="220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</row>
    <row r="22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</row>
    <row r="222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</row>
    <row r="223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</row>
    <row r="224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</row>
    <row r="225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</row>
    <row r="226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</row>
    <row r="227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</row>
    <row r="228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</row>
    <row r="229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</row>
    <row r="230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</row>
    <row r="23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</row>
    <row r="232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</row>
    <row r="233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</row>
    <row r="234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</row>
    <row r="235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</row>
    <row r="236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</row>
    <row r="237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</row>
    <row r="238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</row>
    <row r="239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</row>
    <row r="240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</row>
    <row r="24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</row>
    <row r="242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</row>
    <row r="243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</row>
    <row r="244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</row>
    <row r="245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</row>
    <row r="246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</row>
    <row r="247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</row>
    <row r="248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</row>
    <row r="249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</row>
    <row r="250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</row>
    <row r="25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</row>
    <row r="252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</row>
    <row r="253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</row>
    <row r="254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</row>
    <row r="255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</row>
    <row r="256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</row>
    <row r="257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</row>
    <row r="258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</row>
    <row r="259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</row>
    <row r="260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</row>
    <row r="26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</row>
    <row r="262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</row>
    <row r="263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</row>
    <row r="264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</row>
    <row r="265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</row>
    <row r="266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</row>
    <row r="267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</row>
    <row r="268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</row>
    <row r="269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</row>
    <row r="270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</row>
    <row r="27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</row>
    <row r="272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</row>
    <row r="273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</row>
    <row r="274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</row>
    <row r="275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</row>
    <row r="276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</row>
    <row r="277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</row>
    <row r="278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</row>
    <row r="279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</row>
    <row r="280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</row>
    <row r="28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</row>
    <row r="282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</row>
    <row r="283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</row>
    <row r="284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</row>
    <row r="285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</row>
    <row r="286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</row>
    <row r="287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</row>
    <row r="288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</row>
    <row r="289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</row>
    <row r="290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</row>
    <row r="29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</row>
    <row r="292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</row>
    <row r="293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</row>
    <row r="294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</row>
    <row r="295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</row>
    <row r="296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</row>
    <row r="297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</row>
    <row r="298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</row>
    <row r="299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</row>
    <row r="300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</row>
    <row r="30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</row>
    <row r="302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</row>
    <row r="303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</row>
    <row r="304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</row>
    <row r="305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</row>
    <row r="306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</row>
    <row r="307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</row>
    <row r="308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</row>
    <row r="309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</row>
    <row r="310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</row>
    <row r="31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</row>
    <row r="312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</row>
    <row r="313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</row>
    <row r="314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</row>
    <row r="315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</row>
    <row r="316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</row>
    <row r="317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</row>
    <row r="318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</row>
    <row r="319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</row>
    <row r="320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</row>
    <row r="32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</row>
    <row r="322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</row>
    <row r="323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</row>
    <row r="324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</row>
    <row r="325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</row>
    <row r="326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</row>
    <row r="327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</row>
    <row r="328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</row>
    <row r="329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</row>
    <row r="330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</row>
    <row r="33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</row>
    <row r="332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</row>
    <row r="333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</row>
    <row r="334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</row>
    <row r="335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</row>
    <row r="336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</row>
    <row r="337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</row>
    <row r="338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</row>
    <row r="339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</row>
    <row r="340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</row>
    <row r="34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</row>
    <row r="342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</row>
    <row r="343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</row>
    <row r="344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</row>
    <row r="345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</row>
    <row r="346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</row>
    <row r="347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</row>
    <row r="348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</row>
    <row r="349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</row>
    <row r="350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</row>
    <row r="35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</row>
    <row r="352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</row>
    <row r="353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</row>
    <row r="354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</row>
    <row r="355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</row>
    <row r="356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</row>
    <row r="357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</row>
    <row r="358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</row>
    <row r="359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</row>
    <row r="360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</row>
    <row r="36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</row>
    <row r="362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</row>
    <row r="363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</row>
    <row r="364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</row>
    <row r="365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</row>
    <row r="366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</row>
    <row r="367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</row>
    <row r="368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</row>
    <row r="369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</row>
    <row r="370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</row>
    <row r="37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</row>
    <row r="372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</row>
    <row r="373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</row>
    <row r="374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</row>
    <row r="375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</row>
    <row r="376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</row>
    <row r="377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</row>
    <row r="378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</row>
    <row r="379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</row>
    <row r="380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</row>
    <row r="38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</row>
    <row r="382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</row>
    <row r="383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</row>
    <row r="384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</row>
    <row r="385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</row>
    <row r="386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</row>
    <row r="387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</row>
    <row r="388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</row>
    <row r="389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</row>
    <row r="390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</row>
    <row r="39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</row>
    <row r="392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</row>
    <row r="393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</row>
    <row r="394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</row>
    <row r="395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</row>
    <row r="396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</row>
    <row r="397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</row>
    <row r="398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</row>
    <row r="399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</row>
    <row r="400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</row>
    <row r="40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</row>
    <row r="402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</row>
    <row r="403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</row>
    <row r="404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</row>
    <row r="405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</row>
    <row r="406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</row>
    <row r="407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</row>
    <row r="408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</row>
    <row r="409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</row>
    <row r="410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</row>
    <row r="41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</row>
    <row r="412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</row>
    <row r="413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</row>
    <row r="414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</row>
    <row r="415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</row>
    <row r="416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</row>
    <row r="417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</row>
    <row r="418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</row>
    <row r="419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</row>
    <row r="420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</row>
    <row r="42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</row>
    <row r="422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</row>
    <row r="423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</row>
    <row r="424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</row>
    <row r="425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</row>
    <row r="426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</row>
    <row r="427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</row>
    <row r="428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</row>
    <row r="429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</row>
    <row r="430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</row>
    <row r="43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</row>
    <row r="432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</row>
    <row r="433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</row>
    <row r="434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</row>
    <row r="435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</row>
    <row r="436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</row>
    <row r="437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</row>
    <row r="438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</row>
    <row r="439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</row>
    <row r="440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</row>
    <row r="44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</row>
    <row r="442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</row>
    <row r="443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</row>
    <row r="444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</row>
    <row r="445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</row>
    <row r="446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</row>
    <row r="447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</row>
    <row r="448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</row>
    <row r="449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</row>
    <row r="450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</row>
    <row r="45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</row>
    <row r="452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</row>
    <row r="453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</row>
    <row r="454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</row>
    <row r="455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</row>
    <row r="456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</row>
    <row r="457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</row>
    <row r="458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</row>
    <row r="459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</row>
    <row r="460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</row>
    <row r="46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</row>
    <row r="462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</row>
    <row r="463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</row>
    <row r="464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</row>
    <row r="465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</row>
    <row r="466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</row>
    <row r="467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</row>
    <row r="468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</row>
    <row r="469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</row>
    <row r="470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</row>
    <row r="47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</row>
    <row r="472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</row>
    <row r="473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</row>
    <row r="474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</row>
    <row r="475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</row>
    <row r="476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</row>
    <row r="477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</row>
    <row r="478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</row>
    <row r="479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</row>
    <row r="480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</row>
    <row r="48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</row>
    <row r="482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</row>
    <row r="483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</row>
    <row r="484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</row>
    <row r="485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</row>
    <row r="486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</row>
    <row r="487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</row>
    <row r="488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</row>
    <row r="489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</row>
    <row r="490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</row>
    <row r="49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</row>
    <row r="492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</row>
    <row r="493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</row>
    <row r="494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</row>
    <row r="495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</row>
    <row r="496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</row>
    <row r="497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</row>
    <row r="498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</row>
    <row r="499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</row>
    <row r="500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</row>
    <row r="50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</row>
    <row r="502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</row>
    <row r="503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</row>
    <row r="504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</row>
    <row r="505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</row>
    <row r="506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</row>
    <row r="507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</row>
    <row r="508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</row>
    <row r="509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</row>
    <row r="510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</row>
    <row r="51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</row>
    <row r="512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</row>
    <row r="513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</row>
    <row r="514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</row>
    <row r="515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</row>
    <row r="516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</row>
    <row r="517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</row>
    <row r="518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</row>
    <row r="519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</row>
    <row r="520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</row>
    <row r="52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</row>
    <row r="522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</row>
    <row r="523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</row>
    <row r="524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</row>
    <row r="525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</row>
    <row r="526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</row>
    <row r="527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</row>
    <row r="528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</row>
    <row r="529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</row>
    <row r="530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</row>
    <row r="53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</row>
    <row r="532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</row>
    <row r="533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</row>
    <row r="534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</row>
    <row r="535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</row>
    <row r="536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</row>
    <row r="537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</row>
    <row r="538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</row>
    <row r="539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</row>
    <row r="540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</row>
    <row r="54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</row>
    <row r="542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</row>
    <row r="543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</row>
    <row r="544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</row>
    <row r="545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</row>
    <row r="546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</row>
    <row r="547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</row>
    <row r="548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</row>
    <row r="549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</row>
    <row r="550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</row>
    <row r="55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</row>
    <row r="552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</row>
    <row r="553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</row>
    <row r="554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</row>
    <row r="555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</row>
    <row r="556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</row>
    <row r="557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</row>
    <row r="558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</row>
    <row r="559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</row>
    <row r="560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</row>
    <row r="56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</row>
    <row r="562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</row>
    <row r="563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</row>
    <row r="564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</row>
    <row r="565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</row>
    <row r="566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</row>
    <row r="567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</row>
    <row r="568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</row>
    <row r="569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</row>
    <row r="570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</row>
    <row r="57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</row>
    <row r="572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</row>
    <row r="573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</row>
    <row r="574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</row>
    <row r="575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</row>
    <row r="576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</row>
    <row r="577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</row>
    <row r="578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</row>
    <row r="579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</row>
    <row r="580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</row>
    <row r="58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</row>
    <row r="582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</row>
    <row r="583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</row>
    <row r="584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</row>
    <row r="585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</row>
    <row r="586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</row>
    <row r="587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</row>
    <row r="588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</row>
    <row r="589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</row>
    <row r="590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</row>
    <row r="59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</row>
    <row r="592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</row>
    <row r="593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</row>
    <row r="594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</row>
    <row r="595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</row>
    <row r="596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</row>
    <row r="597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</row>
    <row r="598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</row>
    <row r="599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</row>
    <row r="600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</row>
    <row r="60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</row>
    <row r="602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</row>
    <row r="603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</row>
    <row r="604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</row>
    <row r="605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</row>
    <row r="606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</row>
    <row r="607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</row>
    <row r="608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</row>
    <row r="609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</row>
    <row r="610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</row>
    <row r="61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</row>
    <row r="612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</row>
    <row r="613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</row>
    <row r="614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</row>
    <row r="615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</row>
    <row r="616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</row>
    <row r="617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</row>
    <row r="618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</row>
    <row r="619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</row>
    <row r="620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</row>
    <row r="62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</row>
    <row r="622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</row>
    <row r="623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</row>
    <row r="624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</row>
    <row r="625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</row>
    <row r="626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</row>
    <row r="627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</row>
    <row r="628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</row>
    <row r="629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</row>
    <row r="630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</row>
    <row r="63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</row>
    <row r="632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</row>
    <row r="633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</row>
    <row r="634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</row>
    <row r="635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</row>
    <row r="636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</row>
    <row r="637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</row>
    <row r="638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</row>
    <row r="639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</row>
    <row r="640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</row>
    <row r="64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</row>
    <row r="642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</row>
    <row r="643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</row>
    <row r="644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</row>
    <row r="645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</row>
    <row r="646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</row>
    <row r="647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</row>
    <row r="648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</row>
    <row r="649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</row>
    <row r="650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</row>
    <row r="65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</row>
    <row r="652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</row>
    <row r="653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</row>
    <row r="654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</row>
    <row r="655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</row>
    <row r="656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</row>
    <row r="657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</row>
    <row r="658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</row>
    <row r="659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</row>
    <row r="660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</row>
    <row r="66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</row>
    <row r="662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</row>
    <row r="663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</row>
    <row r="664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</row>
    <row r="665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</row>
    <row r="666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</row>
    <row r="667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</row>
    <row r="668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</row>
    <row r="669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</row>
    <row r="670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</row>
    <row r="67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</row>
    <row r="672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</row>
    <row r="673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</row>
    <row r="674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</row>
    <row r="675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</row>
    <row r="676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</row>
    <row r="677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</row>
    <row r="678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</row>
    <row r="679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</row>
    <row r="680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</row>
    <row r="68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</row>
    <row r="682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</row>
    <row r="683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</row>
    <row r="684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</row>
    <row r="685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</row>
    <row r="686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</row>
    <row r="687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</row>
    <row r="688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</row>
    <row r="689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</row>
    <row r="690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</row>
    <row r="69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</row>
    <row r="692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</row>
    <row r="693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</row>
    <row r="694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</row>
    <row r="695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</row>
    <row r="696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</row>
    <row r="697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</row>
    <row r="698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</row>
    <row r="699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</row>
    <row r="700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</row>
    <row r="70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</row>
    <row r="702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</row>
    <row r="703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</row>
    <row r="704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</row>
    <row r="705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</row>
    <row r="706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</row>
    <row r="707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</row>
    <row r="708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</row>
    <row r="709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</row>
    <row r="710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</row>
    <row r="71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</row>
    <row r="712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</row>
    <row r="713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</row>
    <row r="714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</row>
    <row r="715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</row>
    <row r="716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</row>
    <row r="717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</row>
    <row r="718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</row>
    <row r="719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</row>
    <row r="720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</row>
    <row r="72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</row>
    <row r="722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</row>
    <row r="723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</row>
    <row r="724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</row>
    <row r="725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</row>
    <row r="726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</row>
    <row r="727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</row>
    <row r="728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</row>
    <row r="729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</row>
    <row r="730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</row>
    <row r="73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</row>
    <row r="732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</row>
    <row r="733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</row>
    <row r="734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</row>
    <row r="735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</row>
    <row r="736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</row>
    <row r="737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</row>
    <row r="738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</row>
    <row r="739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</row>
    <row r="740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</row>
    <row r="74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</row>
    <row r="742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</row>
    <row r="743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</row>
    <row r="744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</row>
    <row r="745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</row>
    <row r="746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</row>
    <row r="747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</row>
    <row r="748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</row>
    <row r="749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</row>
    <row r="750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</row>
    <row r="75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</row>
    <row r="752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</row>
    <row r="753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</row>
    <row r="754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</row>
    <row r="755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</row>
    <row r="756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</row>
    <row r="757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</row>
    <row r="758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</row>
    <row r="759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</row>
    <row r="760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</row>
    <row r="76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</row>
    <row r="762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</row>
    <row r="763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</row>
    <row r="764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</row>
    <row r="765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</row>
    <row r="766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</row>
    <row r="767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</row>
    <row r="768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</row>
    <row r="769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</row>
    <row r="770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</row>
    <row r="77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</row>
    <row r="772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</row>
    <row r="773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</row>
    <row r="774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</row>
    <row r="775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</row>
    <row r="776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</row>
    <row r="777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</row>
    <row r="778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</row>
    <row r="779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</row>
    <row r="780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</row>
    <row r="78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</row>
    <row r="782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</row>
    <row r="783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</row>
    <row r="784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</row>
    <row r="785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</row>
    <row r="786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</row>
    <row r="787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</row>
    <row r="788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</row>
    <row r="789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</row>
    <row r="790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</row>
    <row r="79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</row>
    <row r="792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</row>
    <row r="793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</row>
    <row r="794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</row>
    <row r="795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</row>
    <row r="796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</row>
    <row r="797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</row>
    <row r="798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</row>
    <row r="799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</row>
    <row r="800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</row>
    <row r="80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</row>
    <row r="802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</row>
    <row r="803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</row>
    <row r="804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</row>
    <row r="805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</row>
    <row r="806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</row>
    <row r="807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</row>
    <row r="808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</row>
    <row r="809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</row>
    <row r="810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</row>
    <row r="81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</row>
    <row r="812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</row>
    <row r="813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</row>
    <row r="814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</row>
    <row r="815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</row>
    <row r="816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</row>
    <row r="817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</row>
    <row r="818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</row>
    <row r="819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</row>
    <row r="820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</row>
    <row r="82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</row>
    <row r="822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</row>
    <row r="823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</row>
    <row r="824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</row>
    <row r="825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</row>
    <row r="826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</row>
    <row r="827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</row>
    <row r="828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</row>
    <row r="829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</row>
    <row r="830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</row>
    <row r="83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</row>
    <row r="832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</row>
    <row r="833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</row>
    <row r="834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</row>
    <row r="835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</row>
    <row r="836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</row>
    <row r="837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</row>
    <row r="838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</row>
    <row r="839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</row>
    <row r="840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</row>
    <row r="84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</row>
    <row r="842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</row>
    <row r="843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</row>
    <row r="844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</row>
    <row r="845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</row>
    <row r="846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</row>
    <row r="847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</row>
    <row r="848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</row>
    <row r="849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</row>
    <row r="850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</row>
    <row r="85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</row>
    <row r="852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</row>
    <row r="853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</row>
    <row r="854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</row>
    <row r="855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</row>
    <row r="856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</row>
    <row r="857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</row>
    <row r="858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</row>
    <row r="859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</row>
    <row r="860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</row>
    <row r="86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</row>
    <row r="862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</row>
    <row r="863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</row>
    <row r="864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</row>
    <row r="865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</row>
    <row r="866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</row>
    <row r="867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</row>
    <row r="868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</row>
    <row r="869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</row>
    <row r="870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</row>
    <row r="87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</row>
    <row r="872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</row>
    <row r="873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</row>
    <row r="874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</row>
    <row r="875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</row>
    <row r="876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</row>
    <row r="877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</row>
    <row r="878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</row>
    <row r="879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</row>
    <row r="880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</row>
    <row r="88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</row>
    <row r="882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</row>
    <row r="883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</row>
    <row r="884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</row>
    <row r="885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</row>
    <row r="886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</row>
    <row r="887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</row>
    <row r="888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</row>
    <row r="889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</row>
    <row r="890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</row>
    <row r="89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</row>
    <row r="892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</row>
    <row r="893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</row>
    <row r="894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</row>
    <row r="895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</row>
    <row r="896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</row>
    <row r="897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</row>
    <row r="898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</row>
    <row r="899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</row>
    <row r="900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</row>
    <row r="90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</row>
    <row r="902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</row>
    <row r="903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</row>
    <row r="904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</row>
    <row r="905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</row>
    <row r="906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</row>
    <row r="907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</row>
    <row r="908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</row>
    <row r="909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</row>
    <row r="910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</row>
    <row r="91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</row>
    <row r="912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</row>
    <row r="913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</row>
    <row r="914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</row>
    <row r="915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</row>
    <row r="916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</row>
    <row r="917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</row>
    <row r="918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</row>
    <row r="919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</row>
    <row r="920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</row>
    <row r="92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</row>
    <row r="922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</row>
    <row r="923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</row>
    <row r="924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</row>
    <row r="925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</row>
    <row r="926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</row>
    <row r="927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</row>
    <row r="928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</row>
    <row r="929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</row>
    <row r="930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</row>
    <row r="93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</row>
    <row r="932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</row>
    <row r="933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</row>
    <row r="934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</row>
    <row r="935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</row>
    <row r="936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</row>
    <row r="937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</row>
    <row r="938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</row>
    <row r="939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</row>
    <row r="940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</row>
    <row r="94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</row>
    <row r="942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</row>
    <row r="943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</row>
    <row r="944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</row>
    <row r="945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</row>
    <row r="946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</row>
    <row r="947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</row>
    <row r="948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</row>
    <row r="949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</row>
    <row r="950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</row>
    <row r="95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</row>
    <row r="952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</row>
    <row r="953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</row>
    <row r="954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</row>
    <row r="955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</row>
    <row r="956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</row>
    <row r="957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</row>
    <row r="958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</row>
    <row r="959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</row>
    <row r="960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</row>
    <row r="96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</row>
    <row r="962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</row>
    <row r="963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</row>
    <row r="964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</row>
    <row r="965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</row>
    <row r="966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</row>
    <row r="967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</row>
    <row r="968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</row>
    <row r="969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</row>
    <row r="970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</row>
    <row r="97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</row>
    <row r="972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</row>
    <row r="973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</row>
    <row r="974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</row>
    <row r="975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</row>
    <row r="976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</row>
    <row r="977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</row>
    <row r="978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</row>
    <row r="979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</row>
    <row r="980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</row>
    <row r="98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</row>
    <row r="982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</row>
    <row r="983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</row>
    <row r="984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</row>
    <row r="985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</row>
    <row r="986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</row>
    <row r="987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</row>
    <row r="988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</row>
    <row r="989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</row>
    <row r="990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</row>
    <row r="99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</row>
    <row r="992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</row>
    <row r="993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</row>
    <row r="994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</row>
    <row r="995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</row>
    <row r="996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</row>
    <row r="997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</row>
    <row r="998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</row>
    <row r="999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</row>
    <row r="1000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</row>
  </sheetData>
  <drawing r:id="rId1"/>
</worksheet>
</file>